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w_Data" sheetId="1" state="visible" r:id="rId1"/>
    <sheet xmlns:r="http://schemas.openxmlformats.org/officeDocument/2006/relationships" name="Cleaned_Data" sheetId="2" state="visible" r:id="rId2"/>
    <sheet xmlns:r="http://schemas.openxmlformats.org/officeDocument/2006/relationships" name="Data_Quality_Summary" sheetId="3" state="visible" r:id="rId3"/>
    <sheet xmlns:r="http://schemas.openxmlformats.org/officeDocument/2006/relationships" name="Analysis" sheetId="4" state="visible" r:id="rId4"/>
    <sheet xmlns:r="http://schemas.openxmlformats.org/officeDocument/2006/relationships" name="Dashboard" sheetId="5" state="visible" r:id="rId5"/>
    <sheet xmlns:r="http://schemas.openxmlformats.org/officeDocument/2006/relationships" name="README" sheetId="6" state="visible" r:id="rId6"/>
  </sheets>
  <definedNames/>
  <calcPr calcId="124519" fullCalcOnLoad="1"/>
</workbook>
</file>

<file path=xl/styles.xml><?xml version="1.0" encoding="utf-8"?>
<styleSheet xmlns="http://schemas.openxmlformats.org/spreadsheetml/2006/main">
  <numFmts count="1">
    <numFmt numFmtId="164" formatCode="yyyy-mm-dd 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Y5001"/>
  <sheetViews>
    <sheetView workbookViewId="0">
      <selection activeCell="A1" sqref="A1"/>
    </sheetView>
  </sheetViews>
  <sheetFormatPr baseColWidth="8" defaultRowHeight="15"/>
  <sheetData>
    <row r="1">
      <c r="A1" t="inlineStr">
        <is>
          <t>ref_number</t>
        </is>
      </c>
      <c r="B1" t="inlineStr">
        <is>
          <t>disclosure_group</t>
        </is>
      </c>
      <c r="C1" t="inlineStr">
        <is>
          <t>title_en</t>
        </is>
      </c>
      <c r="D1" t="inlineStr">
        <is>
          <t>title_fr</t>
        </is>
      </c>
      <c r="E1" t="inlineStr">
        <is>
          <t>name</t>
        </is>
      </c>
      <c r="F1" t="inlineStr">
        <is>
          <t>purpose_en</t>
        </is>
      </c>
      <c r="G1" t="inlineStr">
        <is>
          <t>purpose_fr</t>
        </is>
      </c>
      <c r="H1" t="inlineStr">
        <is>
          <t>start_date</t>
        </is>
      </c>
      <c r="I1" t="inlineStr">
        <is>
          <t>end_date</t>
        </is>
      </c>
      <c r="J1" t="inlineStr">
        <is>
          <t>destination_en</t>
        </is>
      </c>
      <c r="K1" t="inlineStr">
        <is>
          <t>destination_fr</t>
        </is>
      </c>
      <c r="L1" t="inlineStr">
        <is>
          <t>destination_2_en</t>
        </is>
      </c>
      <c r="M1" t="inlineStr">
        <is>
          <t>destination_2_fr</t>
        </is>
      </c>
      <c r="N1" t="inlineStr">
        <is>
          <t>destination_other_en</t>
        </is>
      </c>
      <c r="O1" t="inlineStr">
        <is>
          <t>destination_other_fr</t>
        </is>
      </c>
      <c r="P1" t="inlineStr">
        <is>
          <t>airfare</t>
        </is>
      </c>
      <c r="Q1" t="inlineStr">
        <is>
          <t>other_transport</t>
        </is>
      </c>
      <c r="R1" t="inlineStr">
        <is>
          <t>lodging</t>
        </is>
      </c>
      <c r="S1" t="inlineStr">
        <is>
          <t>meals</t>
        </is>
      </c>
      <c r="T1" t="inlineStr">
        <is>
          <t>other_expenses</t>
        </is>
      </c>
      <c r="U1" t="inlineStr">
        <is>
          <t>total</t>
        </is>
      </c>
      <c r="V1" t="inlineStr">
        <is>
          <t>additional_comments_en</t>
        </is>
      </c>
      <c r="W1" t="inlineStr">
        <is>
          <t>additional_comments_fr</t>
        </is>
      </c>
      <c r="X1" t="inlineStr">
        <is>
          <t>owner_org</t>
        </is>
      </c>
      <c r="Y1" t="inlineStr">
        <is>
          <t>owner_org_title</t>
        </is>
      </c>
    </row>
    <row r="2">
      <c r="A2" t="inlineStr">
        <is>
          <t>T-20120-P11-001</t>
        </is>
      </c>
      <c r="B2" t="inlineStr">
        <is>
          <t>SLE</t>
        </is>
      </c>
      <c r="C2" t="inlineStr">
        <is>
          <t>Chief Executive Officer</t>
        </is>
      </c>
      <c r="D2" t="inlineStr">
        <is>
          <t>Président directeur-général</t>
        </is>
      </c>
      <c r="E2" t="inlineStr">
        <is>
          <t>Philip Rizcallah</t>
        </is>
      </c>
      <c r="F2" t="inlineStr">
        <is>
          <t>To attend meeting with Saskatchewan Provincial Government</t>
        </is>
      </c>
      <c r="G2" t="inlineStr">
        <is>
          <t>Pour assister à une réunion avec le gouvernement provincial de la Saskatchewan</t>
        </is>
      </c>
      <c r="H2" s="1" t="n">
        <v>43864</v>
      </c>
      <c r="I2" s="1" t="n">
        <v>43865</v>
      </c>
      <c r="J2" t="inlineStr">
        <is>
          <t>Regina, Saskatchewan, Canada</t>
        </is>
      </c>
      <c r="K2" t="inlineStr">
        <is>
          <t>Regina, Saskatchewan, Canada</t>
        </is>
      </c>
      <c r="P2" t="n">
        <v>646.17</v>
      </c>
      <c r="Q2" t="n">
        <v>117.26</v>
      </c>
      <c r="R2" t="n">
        <v>157.78</v>
      </c>
      <c r="S2" t="n">
        <v>197.25</v>
      </c>
      <c r="T2" t="n">
        <v>0</v>
      </c>
      <c r="U2" t="n">
        <v>1118.46</v>
      </c>
      <c r="X2" t="inlineStr">
        <is>
          <t>casdo-ocena</t>
        </is>
      </c>
      <c r="Y2" t="inlineStr">
        <is>
          <t>Accessibility Standards Canada | Normes d’accessibilité Canada</t>
        </is>
      </c>
    </row>
    <row r="3">
      <c r="A3" t="inlineStr">
        <is>
          <t>T-2020-P11-0001</t>
        </is>
      </c>
      <c r="B3" t="inlineStr">
        <is>
          <t>SLE</t>
        </is>
      </c>
      <c r="C3" t="inlineStr">
        <is>
          <t>Chair</t>
        </is>
      </c>
      <c r="D3" t="inlineStr">
        <is>
          <t>Président</t>
        </is>
      </c>
      <c r="E3" t="inlineStr">
        <is>
          <t>Bérubé, Paul-Claude</t>
        </is>
      </c>
      <c r="F3" t="inlineStr">
        <is>
          <t>Board members meeting</t>
        </is>
      </c>
      <c r="G3" t="inlineStr">
        <is>
          <t xml:space="preserve">Réunion du conseil </t>
        </is>
      </c>
      <c r="H3" s="1" t="n">
        <v>43870</v>
      </c>
      <c r="I3" s="1" t="n">
        <v>43874</v>
      </c>
      <c r="J3" t="inlineStr">
        <is>
          <t>Vancouver, British Columbia, Canada</t>
        </is>
      </c>
      <c r="K3" t="inlineStr">
        <is>
          <t>Vancouver, Colombie-Britannique</t>
        </is>
      </c>
      <c r="P3" t="n">
        <v>1104.27</v>
      </c>
      <c r="Q3" t="n">
        <v>189.72</v>
      </c>
      <c r="R3" t="n">
        <v>841.3099999999999</v>
      </c>
      <c r="S3" t="n">
        <v>461.84</v>
      </c>
      <c r="U3" t="n">
        <v>2597.14</v>
      </c>
      <c r="X3" t="inlineStr">
        <is>
          <t>casdo-ocena</t>
        </is>
      </c>
      <c r="Y3" t="inlineStr">
        <is>
          <t>Accessibility Standards Canada | Normes d’accessibilité Canada</t>
        </is>
      </c>
    </row>
    <row r="4">
      <c r="A4" t="inlineStr">
        <is>
          <t>T-2020-P11-0002</t>
        </is>
      </c>
      <c r="B4" t="inlineStr">
        <is>
          <t>SLE</t>
        </is>
      </c>
      <c r="C4" t="inlineStr">
        <is>
          <t>Vice Chair</t>
        </is>
      </c>
      <c r="D4" t="inlineStr">
        <is>
          <t>vice-présidente</t>
        </is>
      </c>
      <c r="E4" t="inlineStr">
        <is>
          <t>Reid, Mary</t>
        </is>
      </c>
      <c r="F4" t="inlineStr">
        <is>
          <t>Board members meeting</t>
        </is>
      </c>
      <c r="G4" t="inlineStr">
        <is>
          <t xml:space="preserve">Réunion du conseil </t>
        </is>
      </c>
      <c r="H4" s="1" t="n">
        <v>43870</v>
      </c>
      <c r="I4" s="1" t="n">
        <v>43875</v>
      </c>
      <c r="J4" t="inlineStr">
        <is>
          <t>Vancouver, British Columbia, Canada</t>
        </is>
      </c>
      <c r="K4" t="inlineStr">
        <is>
          <t>Vancouver, Colombie-Britannique</t>
        </is>
      </c>
      <c r="P4" t="n">
        <v>2511.31</v>
      </c>
      <c r="Q4" t="n">
        <v>132.48</v>
      </c>
      <c r="R4" t="n">
        <v>785.65</v>
      </c>
      <c r="S4" t="n">
        <v>591</v>
      </c>
      <c r="T4" t="n">
        <v>108.3</v>
      </c>
      <c r="U4" t="n">
        <v>4128.74</v>
      </c>
      <c r="X4" t="inlineStr">
        <is>
          <t>casdo-ocena</t>
        </is>
      </c>
      <c r="Y4" t="inlineStr">
        <is>
          <t>Accessibility Standards Canada | Normes d’accessibilité Canada</t>
        </is>
      </c>
    </row>
    <row r="5">
      <c r="A5" t="inlineStr">
        <is>
          <t>T-2020-P11-0003</t>
        </is>
      </c>
      <c r="B5" t="inlineStr">
        <is>
          <t>SLE</t>
        </is>
      </c>
      <c r="C5" t="inlineStr">
        <is>
          <t>Board Of Directors</t>
        </is>
      </c>
      <c r="D5" t="inlineStr">
        <is>
          <t>Membre du conseil de direction</t>
        </is>
      </c>
      <c r="E5" t="inlineStr">
        <is>
          <t>McLaughlin, Joseph</t>
        </is>
      </c>
      <c r="F5" t="inlineStr">
        <is>
          <t>Board members meeting</t>
        </is>
      </c>
      <c r="G5" t="inlineStr">
        <is>
          <t xml:space="preserve">Réunion du conseil </t>
        </is>
      </c>
      <c r="H5" s="1" t="n">
        <v>43870</v>
      </c>
      <c r="I5" s="1" t="n">
        <v>43873</v>
      </c>
      <c r="J5" t="inlineStr">
        <is>
          <t>Vancouver, British Columbia, Canada</t>
        </is>
      </c>
      <c r="K5" t="inlineStr">
        <is>
          <t>Vancouver, Colombie-Britannique</t>
        </is>
      </c>
      <c r="Q5" t="n">
        <v>58.32</v>
      </c>
      <c r="R5" t="n">
        <v>630.99</v>
      </c>
      <c r="S5" t="n">
        <v>264.6</v>
      </c>
      <c r="T5" t="n">
        <v>123</v>
      </c>
      <c r="U5" t="n">
        <v>1076.91</v>
      </c>
      <c r="X5" t="inlineStr">
        <is>
          <t>casdo-ocena</t>
        </is>
      </c>
      <c r="Y5" t="inlineStr">
        <is>
          <t>Accessibility Standards Canada | Normes d’accessibilité Canada</t>
        </is>
      </c>
    </row>
    <row r="6">
      <c r="A6" t="inlineStr">
        <is>
          <t>T-2020-P11-0004</t>
        </is>
      </c>
      <c r="B6" t="inlineStr">
        <is>
          <t>SLE</t>
        </is>
      </c>
      <c r="C6" t="inlineStr">
        <is>
          <t xml:space="preserve">Board Of Directors </t>
        </is>
      </c>
      <c r="D6" t="inlineStr">
        <is>
          <t>Membre du conseil de direction</t>
        </is>
      </c>
      <c r="E6" t="inlineStr">
        <is>
          <t>Haan, Maureen</t>
        </is>
      </c>
      <c r="F6" t="inlineStr">
        <is>
          <t>Board members meeting</t>
        </is>
      </c>
      <c r="G6" t="inlineStr">
        <is>
          <t xml:space="preserve">Réunion du conseil </t>
        </is>
      </c>
      <c r="H6" s="1" t="n">
        <v>43870</v>
      </c>
      <c r="I6" s="1" t="n">
        <v>43873</v>
      </c>
      <c r="J6" t="inlineStr">
        <is>
          <t>Vancouver, British Columbia, Canada</t>
        </is>
      </c>
      <c r="K6" t="inlineStr">
        <is>
          <t>Vancouver, Colombie-Britannique</t>
        </is>
      </c>
      <c r="P6" t="n">
        <v>880.99</v>
      </c>
      <c r="Q6" t="n">
        <v>192.76</v>
      </c>
      <c r="R6" t="n">
        <v>630.99</v>
      </c>
      <c r="S6" t="n">
        <v>332.45</v>
      </c>
      <c r="U6" t="n">
        <v>2037.19</v>
      </c>
      <c r="X6" t="inlineStr">
        <is>
          <t>casdo-ocena</t>
        </is>
      </c>
      <c r="Y6" t="inlineStr">
        <is>
          <t>Accessibility Standards Canada | Normes d’accessibilité Canada</t>
        </is>
      </c>
    </row>
    <row r="7">
      <c r="A7" t="inlineStr">
        <is>
          <t>T-2020-P11-0005</t>
        </is>
      </c>
      <c r="B7" t="inlineStr">
        <is>
          <t>SLE</t>
        </is>
      </c>
      <c r="C7" t="inlineStr">
        <is>
          <t>Board Of Directors</t>
        </is>
      </c>
      <c r="D7" t="inlineStr">
        <is>
          <t>Membre du conseil de direction</t>
        </is>
      </c>
      <c r="E7" t="inlineStr">
        <is>
          <t xml:space="preserve">Hartin, Penny </t>
        </is>
      </c>
      <c r="F7" t="inlineStr">
        <is>
          <t>Board members meeting</t>
        </is>
      </c>
      <c r="G7" t="inlineStr">
        <is>
          <t xml:space="preserve">Réunion du conseil </t>
        </is>
      </c>
      <c r="H7" s="1" t="n">
        <v>43870</v>
      </c>
      <c r="I7" s="1" t="n">
        <v>43873</v>
      </c>
      <c r="J7" t="inlineStr">
        <is>
          <t>Vancouver, British Columbia, Canada</t>
        </is>
      </c>
      <c r="K7" t="inlineStr">
        <is>
          <t>Vancouver, Colombie-Britannique</t>
        </is>
      </c>
      <c r="P7" t="n">
        <v>935.23</v>
      </c>
      <c r="Q7" t="n">
        <v>117.3</v>
      </c>
      <c r="R7" t="n">
        <v>630.99</v>
      </c>
      <c r="S7" t="n">
        <v>353.05</v>
      </c>
      <c r="U7" t="n">
        <v>2036.57</v>
      </c>
      <c r="X7" t="inlineStr">
        <is>
          <t>casdo-ocena</t>
        </is>
      </c>
      <c r="Y7" t="inlineStr">
        <is>
          <t>Accessibility Standards Canada | Normes d’accessibilité Canada</t>
        </is>
      </c>
    </row>
    <row r="8">
      <c r="A8" t="inlineStr">
        <is>
          <t>T-2020-P11-0006</t>
        </is>
      </c>
      <c r="B8" t="inlineStr">
        <is>
          <t>SLE</t>
        </is>
      </c>
      <c r="C8" t="inlineStr">
        <is>
          <t>Board Of Directors</t>
        </is>
      </c>
      <c r="D8" t="inlineStr">
        <is>
          <t>Membre du conseil de direction</t>
        </is>
      </c>
      <c r="E8" t="inlineStr">
        <is>
          <t>Earle, Kory</t>
        </is>
      </c>
      <c r="F8" t="inlineStr">
        <is>
          <t>Board members meeting</t>
        </is>
      </c>
      <c r="G8" t="inlineStr">
        <is>
          <t xml:space="preserve">Réunion du conseil </t>
        </is>
      </c>
      <c r="H8" s="1" t="n">
        <v>43870</v>
      </c>
      <c r="I8" s="1" t="n">
        <v>43873</v>
      </c>
      <c r="J8" t="inlineStr">
        <is>
          <t>Vancouver, British Columbia, Canada</t>
        </is>
      </c>
      <c r="K8" t="inlineStr">
        <is>
          <t>Vancouver, Colombie-Britannique</t>
        </is>
      </c>
      <c r="P8" t="n">
        <v>949.11</v>
      </c>
      <c r="R8" t="n">
        <v>630.99</v>
      </c>
      <c r="S8" t="n">
        <v>373.4</v>
      </c>
      <c r="U8" t="n">
        <v>1953.5</v>
      </c>
      <c r="X8" t="inlineStr">
        <is>
          <t>casdo-ocena</t>
        </is>
      </c>
      <c r="Y8" t="inlineStr">
        <is>
          <t>Accessibility Standards Canada | Normes d’accessibilité Canada</t>
        </is>
      </c>
    </row>
    <row r="9">
      <c r="A9" t="inlineStr">
        <is>
          <t>T-2020-P11-0007</t>
        </is>
      </c>
      <c r="B9" t="inlineStr">
        <is>
          <t>SLE</t>
        </is>
      </c>
      <c r="C9" t="inlineStr">
        <is>
          <t>Board Of Directors</t>
        </is>
      </c>
      <c r="D9" t="inlineStr">
        <is>
          <t>Membre du conseil de direction</t>
        </is>
      </c>
      <c r="E9" t="inlineStr">
        <is>
          <t>Ringaert, Laurie</t>
        </is>
      </c>
      <c r="F9" t="inlineStr">
        <is>
          <t>Board members meeting</t>
        </is>
      </c>
      <c r="G9" t="inlineStr">
        <is>
          <t xml:space="preserve">Réunion du conseil </t>
        </is>
      </c>
      <c r="H9" s="1" t="n">
        <v>43870</v>
      </c>
      <c r="I9" s="1" t="n">
        <v>43873</v>
      </c>
      <c r="J9" t="inlineStr">
        <is>
          <t>Vancouver, British Columbia, Canada</t>
        </is>
      </c>
      <c r="K9" t="inlineStr">
        <is>
          <t>Vancouver, Colombie-Britannique</t>
        </is>
      </c>
      <c r="P9" t="n">
        <v>662.91</v>
      </c>
      <c r="Q9" t="n">
        <v>128.43</v>
      </c>
      <c r="R9" t="n">
        <v>630.99</v>
      </c>
      <c r="S9" t="n">
        <v>332.45</v>
      </c>
      <c r="U9" t="n">
        <v>1754.78</v>
      </c>
      <c r="X9" t="inlineStr">
        <is>
          <t>casdo-ocena</t>
        </is>
      </c>
      <c r="Y9" t="inlineStr">
        <is>
          <t>Accessibility Standards Canada | Normes d’accessibilité Canada</t>
        </is>
      </c>
    </row>
    <row r="10">
      <c r="A10" t="inlineStr">
        <is>
          <t>T-2020-P11-0008</t>
        </is>
      </c>
      <c r="B10" t="inlineStr">
        <is>
          <t>SLE</t>
        </is>
      </c>
      <c r="C10" t="inlineStr">
        <is>
          <t>Board Of Directors</t>
        </is>
      </c>
      <c r="D10" t="inlineStr">
        <is>
          <t>Membre du conseil de direction</t>
        </is>
      </c>
      <c r="E10" t="inlineStr">
        <is>
          <t>Khedr, Rabia</t>
        </is>
      </c>
      <c r="F10" t="inlineStr">
        <is>
          <t>Board members meeting</t>
        </is>
      </c>
      <c r="G10" t="inlineStr">
        <is>
          <t xml:space="preserve">Réunion du conseil </t>
        </is>
      </c>
      <c r="H10" s="1" t="n">
        <v>43870</v>
      </c>
      <c r="I10" s="1" t="n">
        <v>43873</v>
      </c>
      <c r="J10" t="inlineStr">
        <is>
          <t>Vancouver, British Columbia, Canada</t>
        </is>
      </c>
      <c r="K10" t="inlineStr">
        <is>
          <t>Vancouver, Colombie-Britannique</t>
        </is>
      </c>
      <c r="P10" t="n">
        <v>935.23</v>
      </c>
      <c r="Q10" t="n">
        <v>118.3</v>
      </c>
      <c r="R10" t="n">
        <v>630.99</v>
      </c>
      <c r="S10" t="n">
        <v>353.05</v>
      </c>
      <c r="U10" t="n">
        <v>2037.57</v>
      </c>
      <c r="X10" t="inlineStr">
        <is>
          <t>casdo-ocena</t>
        </is>
      </c>
      <c r="Y10" t="inlineStr">
        <is>
          <t>Accessibility Standards Canada | Normes d’accessibilité Canada</t>
        </is>
      </c>
    </row>
    <row r="11">
      <c r="A11" t="inlineStr">
        <is>
          <t>T-2020-P11-0009</t>
        </is>
      </c>
      <c r="B11" t="inlineStr">
        <is>
          <t>SLE</t>
        </is>
      </c>
      <c r="C11" t="inlineStr">
        <is>
          <t>Chief Executive Officer</t>
        </is>
      </c>
      <c r="D11" t="inlineStr">
        <is>
          <t>Président-directeur général</t>
        </is>
      </c>
      <c r="E11" t="inlineStr">
        <is>
          <t>Rizcallah, Philip</t>
        </is>
      </c>
      <c r="F11" t="inlineStr">
        <is>
          <t>Board members meeting</t>
        </is>
      </c>
      <c r="G11" t="inlineStr">
        <is>
          <t xml:space="preserve">Réunion du conseil </t>
        </is>
      </c>
      <c r="H11" s="1" t="n">
        <v>43870</v>
      </c>
      <c r="I11" s="1" t="n">
        <v>43875</v>
      </c>
      <c r="J11" t="inlineStr">
        <is>
          <t>Vancouver, British Columbia, Canada</t>
        </is>
      </c>
      <c r="K11" t="inlineStr">
        <is>
          <t>Vancouver, Colombie-Britannique</t>
        </is>
      </c>
      <c r="P11" t="n">
        <v>1313.32</v>
      </c>
      <c r="Q11" t="n">
        <v>342.77</v>
      </c>
      <c r="R11" t="n">
        <v>970.75</v>
      </c>
      <c r="S11" t="n">
        <v>591</v>
      </c>
      <c r="T11" t="n">
        <v>313</v>
      </c>
      <c r="U11" t="n">
        <v>3530.84</v>
      </c>
      <c r="X11" t="inlineStr">
        <is>
          <t>casdo-ocena</t>
        </is>
      </c>
      <c r="Y11" t="inlineStr">
        <is>
          <t>Accessibility Standards Canada | Normes d’accessibilité Canada</t>
        </is>
      </c>
    </row>
    <row r="12">
      <c r="A12" t="inlineStr">
        <is>
          <t>T-2020-P1-0001</t>
        </is>
      </c>
      <c r="B12" t="inlineStr">
        <is>
          <t>SLE</t>
        </is>
      </c>
      <c r="C12" t="inlineStr">
        <is>
          <t>Chair</t>
        </is>
      </c>
      <c r="D12" t="inlineStr">
        <is>
          <t>Président</t>
        </is>
      </c>
      <c r="E12" t="inlineStr">
        <is>
          <t>Bérubé, Paul-Claude</t>
        </is>
      </c>
      <c r="F12" t="inlineStr">
        <is>
          <t>Meeting with Chief Executive Officer of Accessibility Stadards Canada</t>
        </is>
      </c>
      <c r="G12" t="inlineStr">
        <is>
          <t xml:space="preserve">Réunion avec le Président-directeur général de Normes d’accessibilité Canada </t>
        </is>
      </c>
      <c r="H12" s="1" t="n">
        <v>43880</v>
      </c>
      <c r="I12" s="1" t="n">
        <v>43880</v>
      </c>
      <c r="J12" t="inlineStr">
        <is>
          <t>Montreal, Quebec, Canada</t>
        </is>
      </c>
      <c r="K12" t="inlineStr">
        <is>
          <t>Montréal, Québec, Canada</t>
        </is>
      </c>
      <c r="Q12" t="n">
        <v>62.06</v>
      </c>
      <c r="R12" t="n">
        <v>0</v>
      </c>
      <c r="S12" t="n">
        <v>20.6</v>
      </c>
      <c r="U12" t="n">
        <v>82.66</v>
      </c>
      <c r="X12" t="inlineStr">
        <is>
          <t>casdo-ocena</t>
        </is>
      </c>
      <c r="Y12" t="inlineStr">
        <is>
          <t>Accessibility Standards Canada | Normes d’accessibilité Canada</t>
        </is>
      </c>
    </row>
    <row r="13">
      <c r="A13" t="inlineStr">
        <is>
          <t>T-2020-P1-0002</t>
        </is>
      </c>
      <c r="B13" t="inlineStr">
        <is>
          <t>SLE</t>
        </is>
      </c>
      <c r="C13" t="inlineStr">
        <is>
          <t>Chair</t>
        </is>
      </c>
      <c r="D13" t="inlineStr">
        <is>
          <t>Président</t>
        </is>
      </c>
      <c r="E13" t="inlineStr">
        <is>
          <t>Bérubé, Paul-Claude</t>
        </is>
      </c>
      <c r="F13" t="inlineStr">
        <is>
          <t>Meeting with Chief Executive Officer and Staff of of Accessibility Stadards Canada</t>
        </is>
      </c>
      <c r="G13" t="inlineStr">
        <is>
          <t xml:space="preserve">Réunion avec le Président-directeur général et employés de Normes d’accessibilité Canada </t>
        </is>
      </c>
      <c r="H13" s="1" t="n">
        <v>43885</v>
      </c>
      <c r="I13" s="1" t="n">
        <v>43885</v>
      </c>
      <c r="J13" t="inlineStr">
        <is>
          <t>Ottawa, Ontario, Canada</t>
        </is>
      </c>
      <c r="K13" t="inlineStr">
        <is>
          <t>Ottawa, Ontario, Canada</t>
        </is>
      </c>
      <c r="Q13" t="n">
        <v>276.06</v>
      </c>
      <c r="R13" t="n">
        <v>0</v>
      </c>
      <c r="S13" t="n">
        <v>91.5</v>
      </c>
      <c r="U13" t="n">
        <v>367.56</v>
      </c>
      <c r="X13" t="inlineStr">
        <is>
          <t>casdo-ocena</t>
        </is>
      </c>
      <c r="Y13" t="inlineStr">
        <is>
          <t>Accessibility Standards Canada | Normes d’accessibilité Canada</t>
        </is>
      </c>
    </row>
    <row r="14">
      <c r="A14" t="inlineStr">
        <is>
          <t>T-2020-P1-0003</t>
        </is>
      </c>
      <c r="B14" t="inlineStr">
        <is>
          <t>SLE</t>
        </is>
      </c>
      <c r="C14" t="inlineStr">
        <is>
          <t>Chief Executive Officer</t>
        </is>
      </c>
      <c r="D14" t="inlineStr">
        <is>
          <t>Président-directeur général</t>
        </is>
      </c>
      <c r="E14" t="inlineStr">
        <is>
          <t>Rizcallah, Philip</t>
        </is>
      </c>
      <c r="F14" t="inlineStr">
        <is>
          <t>Meetings with various Stakeholders</t>
        </is>
      </c>
      <c r="G14" t="inlineStr">
        <is>
          <t>Réunions avec divers intervenants</t>
        </is>
      </c>
      <c r="H14" s="1" t="n">
        <v>43851</v>
      </c>
      <c r="I14" s="1" t="n">
        <v>43855</v>
      </c>
      <c r="J14" t="inlineStr">
        <is>
          <t>Toronto, Ontario and Halifax, Nova Scotia, Canada</t>
        </is>
      </c>
      <c r="K14" t="inlineStr">
        <is>
          <t>Toronto, Ontario et Halifax, Nouvelle-Écosse, Canada</t>
        </is>
      </c>
      <c r="P14" t="n">
        <v>1190.86</v>
      </c>
      <c r="Q14" t="n">
        <v>359.36</v>
      </c>
      <c r="R14" t="n">
        <v>344.73</v>
      </c>
      <c r="S14" t="n">
        <v>394.25</v>
      </c>
      <c r="T14" t="n">
        <v>172.2</v>
      </c>
      <c r="U14" t="n">
        <v>2461.4</v>
      </c>
      <c r="X14" t="inlineStr">
        <is>
          <t>casdo-ocena</t>
        </is>
      </c>
      <c r="Y14" t="inlineStr">
        <is>
          <t>Accessibility Standards Canada | Normes d’accessibilité Canada</t>
        </is>
      </c>
    </row>
    <row r="15">
      <c r="A15" t="inlineStr">
        <is>
          <t>T-2020-P2-0001</t>
        </is>
      </c>
      <c r="B15" t="inlineStr">
        <is>
          <t>SLE</t>
        </is>
      </c>
      <c r="C15" t="inlineStr">
        <is>
          <t>Chief Executive Officer</t>
        </is>
      </c>
      <c r="D15" t="inlineStr">
        <is>
          <t>Président-directeur général</t>
        </is>
      </c>
      <c r="E15" t="inlineStr">
        <is>
          <t>Rizcallah, Philip</t>
        </is>
      </c>
      <c r="F15" t="inlineStr">
        <is>
          <t>To attend Canadian Accessibility Standards Development Organization business meetings</t>
        </is>
      </c>
      <c r="G15" t="inlineStr">
        <is>
          <t>Pour assister des réunions d'affaire de l'Organisation Canadienne d'élaboration de normes d'accessibilité</t>
        </is>
      </c>
      <c r="H15" s="1" t="n">
        <v>43900</v>
      </c>
      <c r="I15" s="1" t="n">
        <v>43900</v>
      </c>
      <c r="J15" t="inlineStr">
        <is>
          <t>Montréal, Quebec, Canada</t>
        </is>
      </c>
      <c r="K15" t="inlineStr">
        <is>
          <t>Montréal, Québec, Canada</t>
        </is>
      </c>
      <c r="P15" t="n">
        <v>0</v>
      </c>
      <c r="Q15" t="n">
        <v>339.57</v>
      </c>
      <c r="R15" t="n">
        <v>0</v>
      </c>
      <c r="S15" t="n">
        <v>71.15000000000001</v>
      </c>
      <c r="T15" t="n">
        <v>3.2</v>
      </c>
      <c r="U15" t="n">
        <v>413.92</v>
      </c>
      <c r="X15" t="inlineStr">
        <is>
          <t>casdo-ocena</t>
        </is>
      </c>
      <c r="Y15" t="inlineStr">
        <is>
          <t>Accessibility Standards Canada | Normes d’accessibilité Canada</t>
        </is>
      </c>
    </row>
    <row r="16">
      <c r="A16" t="inlineStr">
        <is>
          <t>T-2020-P2-0002</t>
        </is>
      </c>
      <c r="B16" t="inlineStr">
        <is>
          <t>SLE</t>
        </is>
      </c>
      <c r="C16" t="inlineStr">
        <is>
          <t>Chief Executive Officer</t>
        </is>
      </c>
      <c r="D16" t="inlineStr">
        <is>
          <t>Président-directeur général</t>
        </is>
      </c>
      <c r="E16" t="inlineStr">
        <is>
          <t>Rizcallah, Philip</t>
        </is>
      </c>
      <c r="F16" t="inlineStr">
        <is>
          <t>To attend meeting with Chair and Chief Operating Officer</t>
        </is>
      </c>
      <c r="G16" t="inlineStr">
        <is>
          <t>Pour assister à une réunion avec le Président et le Chef de l’exploitation</t>
        </is>
      </c>
      <c r="H16" s="1" t="n">
        <v>43880</v>
      </c>
      <c r="I16" s="1" t="n">
        <v>43880</v>
      </c>
      <c r="J16" t="inlineStr">
        <is>
          <t>Montréal, Quebec, Canada</t>
        </is>
      </c>
      <c r="K16" t="inlineStr">
        <is>
          <t>Montréal, Québec, Canada</t>
        </is>
      </c>
      <c r="P16" t="n">
        <v>0</v>
      </c>
      <c r="Q16" t="n">
        <v>267.25</v>
      </c>
      <c r="R16" t="n">
        <v>0</v>
      </c>
      <c r="S16" t="n">
        <v>20.6</v>
      </c>
      <c r="T16" t="n">
        <v>0</v>
      </c>
      <c r="U16" t="n">
        <v>287.85</v>
      </c>
      <c r="X16" t="inlineStr">
        <is>
          <t>casdo-ocena</t>
        </is>
      </c>
      <c r="Y16" t="inlineStr">
        <is>
          <t>Accessibility Standards Canada | Normes d’accessibilité Canada</t>
        </is>
      </c>
    </row>
    <row r="17">
      <c r="A17" t="inlineStr">
        <is>
          <t>T-2020-P2-0003</t>
        </is>
      </c>
      <c r="B17" t="inlineStr">
        <is>
          <t>SLE</t>
        </is>
      </c>
      <c r="C17" t="inlineStr">
        <is>
          <t>Chief Executive Officer</t>
        </is>
      </c>
      <c r="D17" t="inlineStr">
        <is>
          <t>Président-directeur général</t>
        </is>
      </c>
      <c r="E17" t="inlineStr">
        <is>
          <t>Rizcallah, Philip</t>
        </is>
      </c>
      <c r="F17" t="inlineStr">
        <is>
          <t>To attend meeting with Chair</t>
        </is>
      </c>
      <c r="G17" t="inlineStr">
        <is>
          <t>Pour assister à une réunion avec le Président</t>
        </is>
      </c>
      <c r="H17" s="1" t="n">
        <v>43867</v>
      </c>
      <c r="I17" s="1" t="n">
        <v>43868</v>
      </c>
      <c r="J17" t="inlineStr">
        <is>
          <t>Saint-Jean-sur-Richelieu, Quebec, Canada</t>
        </is>
      </c>
      <c r="K17" t="inlineStr">
        <is>
          <t>Saint-Jean-sur-Richelieu, Québec, Canada</t>
        </is>
      </c>
      <c r="P17" t="n">
        <v>0</v>
      </c>
      <c r="Q17" t="n">
        <v>315.28</v>
      </c>
      <c r="R17" t="n">
        <v>0</v>
      </c>
      <c r="S17" t="n">
        <v>91.5</v>
      </c>
      <c r="T17" t="n">
        <v>3.2</v>
      </c>
      <c r="U17" t="n">
        <v>409.98</v>
      </c>
      <c r="X17" t="inlineStr">
        <is>
          <t>casdo-ocena</t>
        </is>
      </c>
      <c r="Y17" t="inlineStr">
        <is>
          <t>Accessibility Standards Canada | Normes d’accessibilité Canada</t>
        </is>
      </c>
    </row>
    <row r="18">
      <c r="A18" t="inlineStr">
        <is>
          <t>T-2020-P2-0004</t>
        </is>
      </c>
      <c r="B18" t="inlineStr">
        <is>
          <t>SLE</t>
        </is>
      </c>
      <c r="C18" t="inlineStr">
        <is>
          <t>Chair</t>
        </is>
      </c>
      <c r="D18" t="inlineStr">
        <is>
          <t>Président</t>
        </is>
      </c>
      <c r="E18" t="inlineStr">
        <is>
          <t>Bérubé, Paul-Claude</t>
        </is>
      </c>
      <c r="F18" t="inlineStr">
        <is>
          <t>To attend meeting with Canadian Accessibility Standards Development Organization Chief Executive Officer and Vice-chair</t>
        </is>
      </c>
      <c r="G18" t="inlineStr">
        <is>
          <t>Pour assister à une réunion avec le Directeur général et le Vice-Président du Conseil d'administration de l'Organisation Canadienne d'élaboration de normes d'accessibilité</t>
        </is>
      </c>
      <c r="H18" s="1" t="n">
        <v>43858</v>
      </c>
      <c r="I18" s="1" t="n">
        <v>43858</v>
      </c>
      <c r="J18" t="inlineStr">
        <is>
          <t>Ottawa, Ontario, Canada</t>
        </is>
      </c>
      <c r="K18" t="inlineStr">
        <is>
          <t>Ottawa, Ontario, Canada</t>
        </is>
      </c>
      <c r="P18" t="n">
        <v>0</v>
      </c>
      <c r="Q18" t="n">
        <v>563.09</v>
      </c>
      <c r="R18" t="n">
        <v>0</v>
      </c>
      <c r="S18" t="n">
        <v>20.6</v>
      </c>
      <c r="T18" t="n">
        <v>0</v>
      </c>
      <c r="U18" t="n">
        <v>583.6900000000001</v>
      </c>
      <c r="X18" t="inlineStr">
        <is>
          <t>casdo-ocena</t>
        </is>
      </c>
      <c r="Y18" t="inlineStr">
        <is>
          <t>Accessibility Standards Canada | Normes d’accessibilité Canada</t>
        </is>
      </c>
    </row>
    <row r="19">
      <c r="A19" t="inlineStr">
        <is>
          <t>T-2020-P2-0005</t>
        </is>
      </c>
      <c r="B19" t="inlineStr">
        <is>
          <t>SLE</t>
        </is>
      </c>
      <c r="C19" t="inlineStr">
        <is>
          <t>Chair</t>
        </is>
      </c>
      <c r="D19" t="inlineStr">
        <is>
          <t>Président</t>
        </is>
      </c>
      <c r="E19" t="inlineStr">
        <is>
          <t>Bérubé, Paul-Claude</t>
        </is>
      </c>
      <c r="F19" t="inlineStr">
        <is>
          <t>Physical presence required for Canadian Accessibility Standards Development Organization board members meeting</t>
        </is>
      </c>
      <c r="G19" t="inlineStr">
        <is>
          <t>Participer à la réunion du conseil d'administration de l'Organisation canadienne d'élaboration de normes d'accessibilité</t>
        </is>
      </c>
      <c r="H19" s="1" t="n">
        <v>43851</v>
      </c>
      <c r="I19" s="1" t="n">
        <v>43851</v>
      </c>
      <c r="J19" t="inlineStr">
        <is>
          <t>Ottawa, Ontario, Canada</t>
        </is>
      </c>
      <c r="K19" t="inlineStr">
        <is>
          <t>Ottawa, Ontario, Canada</t>
        </is>
      </c>
      <c r="P19" t="n">
        <v>0</v>
      </c>
      <c r="Q19" t="n">
        <v>440.71</v>
      </c>
      <c r="R19" t="n">
        <v>0</v>
      </c>
      <c r="S19" t="n">
        <v>20.6</v>
      </c>
      <c r="T19" t="n">
        <v>0</v>
      </c>
      <c r="U19" t="n">
        <v>461.31</v>
      </c>
      <c r="X19" t="inlineStr">
        <is>
          <t>casdo-ocena</t>
        </is>
      </c>
      <c r="Y19" t="inlineStr">
        <is>
          <t>Accessibility Standards Canada | Normes d’accessibilité Canada</t>
        </is>
      </c>
    </row>
    <row r="20">
      <c r="A20" t="inlineStr">
        <is>
          <t>T-2020-P2-0006</t>
        </is>
      </c>
      <c r="B20" t="inlineStr">
        <is>
          <t>SLE</t>
        </is>
      </c>
      <c r="C20" t="inlineStr">
        <is>
          <t>Vice Chair</t>
        </is>
      </c>
      <c r="D20" t="inlineStr">
        <is>
          <t>Vice-Présidente</t>
        </is>
      </c>
      <c r="E20" t="inlineStr">
        <is>
          <t>Reid, Mary</t>
        </is>
      </c>
      <c r="F20" t="inlineStr">
        <is>
          <t>To attend meeting with Canadian Accessibility Standards Development Organization Chief Executive Officer and Chair</t>
        </is>
      </c>
      <c r="G20" t="inlineStr">
        <is>
          <t>Pour assister à une réunion avec le Directeur général du Conseil d'administration et le président de l'Organisation Canadienne d'élaboration de normes d'accessibilité</t>
        </is>
      </c>
      <c r="H20" s="1" t="n">
        <v>43899</v>
      </c>
      <c r="I20" s="1" t="n">
        <v>43900</v>
      </c>
      <c r="J20" t="inlineStr">
        <is>
          <t>Montréal, Quebec, Canada</t>
        </is>
      </c>
      <c r="K20" t="inlineStr">
        <is>
          <t>Montréal, Québec, Canada</t>
        </is>
      </c>
      <c r="P20" t="n">
        <v>1278.66</v>
      </c>
      <c r="Q20" t="n">
        <v>32</v>
      </c>
      <c r="R20" t="n">
        <v>50</v>
      </c>
      <c r="S20" t="n">
        <v>112.1</v>
      </c>
      <c r="T20" t="n">
        <v>0</v>
      </c>
      <c r="U20" t="n">
        <v>1472.76</v>
      </c>
      <c r="X20" t="inlineStr">
        <is>
          <t>casdo-ocena</t>
        </is>
      </c>
      <c r="Y20" t="inlineStr">
        <is>
          <t>Accessibility Standards Canada | Normes d’accessibilité Canada</t>
        </is>
      </c>
    </row>
    <row r="21">
      <c r="A21" t="inlineStr">
        <is>
          <t>T-2020-P2-0007</t>
        </is>
      </c>
      <c r="B21" t="inlineStr">
        <is>
          <t>SLE</t>
        </is>
      </c>
      <c r="C21" t="inlineStr">
        <is>
          <t>Vice Chair</t>
        </is>
      </c>
      <c r="D21" t="inlineStr">
        <is>
          <t>Vice-Présidente</t>
        </is>
      </c>
      <c r="E21" t="inlineStr">
        <is>
          <t>Reid, Mary</t>
        </is>
      </c>
      <c r="F21" t="inlineStr">
        <is>
          <t>To attend meeting with Canadian Accessibility Standards Development Organization Chief Executive Officer</t>
        </is>
      </c>
      <c r="G21" t="inlineStr">
        <is>
          <t>Pour assister à une réunion avec le Directeur général du Conseil d'administration de l'Organisation Canadienne d'élaboration de normes d'accessibilité</t>
        </is>
      </c>
      <c r="H21" s="1" t="n">
        <v>43849</v>
      </c>
      <c r="I21" s="1" t="n">
        <v>43850</v>
      </c>
      <c r="J21" t="inlineStr">
        <is>
          <t>Ottawa, Ontario, Canada</t>
        </is>
      </c>
      <c r="K21" t="inlineStr">
        <is>
          <t>Ottawa, Ontario, Canada</t>
        </is>
      </c>
      <c r="P21" t="n">
        <v>1210.74</v>
      </c>
      <c r="Q21" t="n">
        <v>70.25</v>
      </c>
      <c r="R21" t="n">
        <v>269.12</v>
      </c>
      <c r="S21" t="n">
        <v>197.25</v>
      </c>
      <c r="T21" t="n">
        <v>0</v>
      </c>
      <c r="U21" t="n">
        <v>1747.36</v>
      </c>
      <c r="X21" t="inlineStr">
        <is>
          <t>casdo-ocena</t>
        </is>
      </c>
      <c r="Y21" t="inlineStr">
        <is>
          <t>Accessibility Standards Canada | Normes d’accessibilité Canada</t>
        </is>
      </c>
    </row>
    <row r="22">
      <c r="A22" t="inlineStr">
        <is>
          <t>T-2020-P2-0008</t>
        </is>
      </c>
      <c r="B22" t="inlineStr">
        <is>
          <t>SLE</t>
        </is>
      </c>
      <c r="C22" t="inlineStr">
        <is>
          <t>Board Of Directors</t>
        </is>
      </c>
      <c r="D22" t="inlineStr">
        <is>
          <t>Membre du conseil d'administration</t>
        </is>
      </c>
      <c r="E22" t="inlineStr">
        <is>
          <t>Adair, William</t>
        </is>
      </c>
      <c r="F22" t="inlineStr">
        <is>
          <t>Physical presence required for Canadian Accessibility Standards Development Organization board members meeting</t>
        </is>
      </c>
      <c r="G22" t="inlineStr">
        <is>
          <t>Participer à la réunion du conseil d'administration de l'Organisation canadienne d'élaboration de normes d'accessibilité</t>
        </is>
      </c>
      <c r="H22" s="1" t="n">
        <v>43870</v>
      </c>
      <c r="I22" s="1" t="n">
        <v>43873</v>
      </c>
      <c r="J22" t="inlineStr">
        <is>
          <t>Vancouver, British Columbia, Canada</t>
        </is>
      </c>
      <c r="K22" t="inlineStr">
        <is>
          <t>Vancouver, Colombie-Britannique, Canada</t>
        </is>
      </c>
      <c r="P22" t="n">
        <v>894.55</v>
      </c>
      <c r="Q22" t="n">
        <v>163.15</v>
      </c>
      <c r="R22" t="n">
        <v>630.99</v>
      </c>
      <c r="S22" t="n">
        <v>353.05</v>
      </c>
      <c r="T22" t="n">
        <v>0</v>
      </c>
      <c r="U22" t="n">
        <v>2041.74</v>
      </c>
      <c r="X22" t="inlineStr">
        <is>
          <t>casdo-ocena</t>
        </is>
      </c>
      <c r="Y22" t="inlineStr">
        <is>
          <t>Accessibility Standards Canada | Normes d’accessibilité Canada</t>
        </is>
      </c>
    </row>
    <row r="23">
      <c r="A23" t="inlineStr">
        <is>
          <t>T-2022-P5-0001</t>
        </is>
      </c>
      <c r="B23" t="inlineStr">
        <is>
          <t>SLE</t>
        </is>
      </c>
      <c r="C23" t="inlineStr">
        <is>
          <t>Chief Executive Officer</t>
        </is>
      </c>
      <c r="D23" t="inlineStr">
        <is>
          <t>Président-directeur général</t>
        </is>
      </c>
      <c r="E23" t="inlineStr">
        <is>
          <t>Rizcallah, Philip</t>
        </is>
      </c>
      <c r="F23" t="inlineStr">
        <is>
          <t xml:space="preserve">Meeting with Government of Quebec </t>
        </is>
      </c>
      <c r="G23" t="inlineStr">
        <is>
          <t>Réunion avec le gouvernement du Québec</t>
        </is>
      </c>
      <c r="H23" s="1" t="n">
        <v>44518</v>
      </c>
      <c r="I23" s="1" t="n">
        <v>44519</v>
      </c>
      <c r="J23" t="inlineStr">
        <is>
          <t>Brossard, Quebec, Canada</t>
        </is>
      </c>
      <c r="K23" t="inlineStr">
        <is>
          <t>Brossard, Québec, Canada</t>
        </is>
      </c>
      <c r="P23" t="n">
        <v>0</v>
      </c>
      <c r="Q23" t="n">
        <v>324.3</v>
      </c>
      <c r="R23" t="n">
        <v>177.31</v>
      </c>
      <c r="S23" t="n">
        <v>183.55</v>
      </c>
      <c r="T23" t="n">
        <v>11.6</v>
      </c>
      <c r="U23" t="n">
        <v>696.76</v>
      </c>
      <c r="X23" t="inlineStr">
        <is>
          <t>casdo-ocena</t>
        </is>
      </c>
      <c r="Y23" t="inlineStr">
        <is>
          <t>Accessibility Standards Canada | Normes d’accessibilité Canada</t>
        </is>
      </c>
    </row>
    <row r="24">
      <c r="A24" t="inlineStr">
        <is>
          <t>T-2022-P5-0002</t>
        </is>
      </c>
      <c r="B24" t="inlineStr">
        <is>
          <t>SLE</t>
        </is>
      </c>
      <c r="C24" t="inlineStr">
        <is>
          <t>Chief Executive Officer</t>
        </is>
      </c>
      <c r="D24" t="inlineStr">
        <is>
          <t>Président-directeur général</t>
        </is>
      </c>
      <c r="E24" t="inlineStr">
        <is>
          <t>Rizcallah, Philip</t>
        </is>
      </c>
      <c r="F24" t="inlineStr">
        <is>
          <t>Meeting with the Office des personnes handicapées du Québec</t>
        </is>
      </c>
      <c r="G24" t="inlineStr">
        <is>
          <t>Réunion avec l'Office des personnes handicapées du Québec</t>
        </is>
      </c>
      <c r="H24" s="1" t="n">
        <v>44545</v>
      </c>
      <c r="I24" s="1" t="n">
        <v>44546</v>
      </c>
      <c r="J24" t="inlineStr">
        <is>
          <t>Québec, Quebec, Canada</t>
        </is>
      </c>
      <c r="K24" t="inlineStr">
        <is>
          <t>Québec, Québec, Canada</t>
        </is>
      </c>
      <c r="P24" t="n">
        <v>811.86</v>
      </c>
      <c r="Q24" t="n">
        <v>235.12</v>
      </c>
      <c r="R24" t="n">
        <v>154.7</v>
      </c>
      <c r="S24" t="n">
        <v>226.5</v>
      </c>
      <c r="T24" t="n">
        <v>0</v>
      </c>
      <c r="U24" t="n">
        <v>1428.18</v>
      </c>
      <c r="X24" t="inlineStr">
        <is>
          <t>casdo-ocena</t>
        </is>
      </c>
      <c r="Y24" t="inlineStr">
        <is>
          <t>Accessibility Standards Canada | Normes d’accessibilité Canada</t>
        </is>
      </c>
    </row>
    <row r="25">
      <c r="A25" t="inlineStr">
        <is>
          <t>T-2022-P5-0004</t>
        </is>
      </c>
      <c r="B25" t="inlineStr">
        <is>
          <t>SLE</t>
        </is>
      </c>
      <c r="C25" t="inlineStr">
        <is>
          <t>Chief Executive Officer</t>
        </is>
      </c>
      <c r="D25" t="inlineStr">
        <is>
          <t>Président-directeur général</t>
        </is>
      </c>
      <c r="E25" t="inlineStr">
        <is>
          <t>Rizcallah, Philip</t>
        </is>
      </c>
      <c r="F25" t="inlineStr">
        <is>
          <t>Stakeholder meetings in Atlantic Canada</t>
        </is>
      </c>
      <c r="G25" t="inlineStr">
        <is>
          <t>Réunions avec parties prenantes</t>
        </is>
      </c>
      <c r="H25" s="1" t="n">
        <v>44604</v>
      </c>
      <c r="I25" s="1" t="n">
        <v>44615</v>
      </c>
      <c r="J25" t="inlineStr">
        <is>
          <t>St. John's, NL</t>
        </is>
      </c>
      <c r="K25" t="inlineStr">
        <is>
          <t>St. John's, TN</t>
        </is>
      </c>
      <c r="P25" t="n">
        <v>1095.53</v>
      </c>
      <c r="Q25" t="n">
        <v>304.61</v>
      </c>
      <c r="R25" t="n">
        <v>553.4299999999999</v>
      </c>
      <c r="S25" t="n">
        <v>884.65</v>
      </c>
      <c r="T25" t="n">
        <v>253.04</v>
      </c>
      <c r="U25" t="n">
        <v>3091.26</v>
      </c>
      <c r="X25" t="inlineStr">
        <is>
          <t>casdo-ocena</t>
        </is>
      </c>
      <c r="Y25" t="inlineStr">
        <is>
          <t>Accessibility Standards Canada | Normes d’accessibilité Canada</t>
        </is>
      </c>
    </row>
    <row r="26">
      <c r="A26" t="inlineStr">
        <is>
          <t>T-2022-P5-0005</t>
        </is>
      </c>
      <c r="B26" t="inlineStr">
        <is>
          <t>SLE</t>
        </is>
      </c>
      <c r="C26" t="inlineStr">
        <is>
          <t>Chief Executive Officer</t>
        </is>
      </c>
      <c r="D26" t="inlineStr">
        <is>
          <t>Président-directeur général</t>
        </is>
      </c>
      <c r="E26" t="inlineStr">
        <is>
          <t>Rizcallah, Philip</t>
        </is>
      </c>
      <c r="F26" t="inlineStr">
        <is>
          <t>Meeting with Legislative Assembly of New Brunswick</t>
        </is>
      </c>
      <c r="G26" t="inlineStr">
        <is>
          <t>Réunion avec l'Assemblée législative due Nouveau-Brunswick</t>
        </is>
      </c>
      <c r="H26" s="1" t="n">
        <v>44620</v>
      </c>
      <c r="I26" s="1" t="n">
        <v>44621</v>
      </c>
      <c r="J26" t="inlineStr">
        <is>
          <t>Fredericton, NB</t>
        </is>
      </c>
      <c r="K26" t="inlineStr">
        <is>
          <t>Fredericton, NB</t>
        </is>
      </c>
      <c r="P26" t="n">
        <v>817.28</v>
      </c>
      <c r="Q26" t="n">
        <v>237.17</v>
      </c>
      <c r="R26" t="n">
        <v>151.17</v>
      </c>
      <c r="S26" t="n">
        <v>205.15</v>
      </c>
      <c r="T26" t="n">
        <v>0</v>
      </c>
      <c r="U26" t="n">
        <v>1410.77</v>
      </c>
      <c r="X26" t="inlineStr">
        <is>
          <t>casdo-ocena</t>
        </is>
      </c>
      <c r="Y26" t="inlineStr">
        <is>
          <t>Accessibility Standards Canada | Normes d’accessibilité Canada</t>
        </is>
      </c>
    </row>
    <row r="27">
      <c r="A27" t="inlineStr">
        <is>
          <t>T-2023-P2-0001</t>
        </is>
      </c>
      <c r="B27" t="inlineStr">
        <is>
          <t>SLE</t>
        </is>
      </c>
      <c r="C27" t="inlineStr">
        <is>
          <t>Chief Executive Officer</t>
        </is>
      </c>
      <c r="D27" t="inlineStr">
        <is>
          <t>Président-directeur général</t>
        </is>
      </c>
      <c r="E27" t="inlineStr">
        <is>
          <t>Rizcallah, Philip</t>
        </is>
      </c>
      <c r="F27" t="inlineStr">
        <is>
          <t>Stakeholder meetings in Toronto</t>
        </is>
      </c>
      <c r="G27" t="inlineStr">
        <is>
          <t>Réunions avec des parties prenantes à Toronto</t>
        </is>
      </c>
      <c r="H27" s="1" t="n">
        <v>44658</v>
      </c>
      <c r="I27" s="1" t="n">
        <v>44660</v>
      </c>
      <c r="J27" t="inlineStr">
        <is>
          <t>Toronto, Ontario, Canada</t>
        </is>
      </c>
      <c r="K27" t="inlineStr">
        <is>
          <t>Toronto, Ontario, Canada</t>
        </is>
      </c>
      <c r="P27" t="n">
        <v>721.22</v>
      </c>
      <c r="Q27" t="n">
        <v>193.16</v>
      </c>
      <c r="R27" t="n">
        <v>491.24</v>
      </c>
      <c r="S27" t="n">
        <v>292.85</v>
      </c>
      <c r="U27" t="n">
        <v>1698.47</v>
      </c>
      <c r="X27" t="inlineStr">
        <is>
          <t>casdo-ocena</t>
        </is>
      </c>
      <c r="Y27" t="inlineStr">
        <is>
          <t>Accessibility Standards Canada | Normes d’accessibilité Canada</t>
        </is>
      </c>
    </row>
    <row r="28">
      <c r="A28" t="inlineStr">
        <is>
          <t>T-2023-P3-0001</t>
        </is>
      </c>
      <c r="B28" t="inlineStr">
        <is>
          <t>SLE</t>
        </is>
      </c>
      <c r="C28" t="inlineStr">
        <is>
          <t>Chief Executive Officer</t>
        </is>
      </c>
      <c r="D28" t="inlineStr">
        <is>
          <t>Président-directeur général</t>
        </is>
      </c>
      <c r="E28" t="inlineStr">
        <is>
          <t>Rizcallah, Philip</t>
        </is>
      </c>
      <c r="F28" t="inlineStr">
        <is>
          <t>Stakeholder meetings in Halifax</t>
        </is>
      </c>
      <c r="G28" t="inlineStr">
        <is>
          <t>Réunions avec des parties prenantes à Halifax</t>
        </is>
      </c>
      <c r="H28" s="1" t="n">
        <v>44663</v>
      </c>
      <c r="I28" s="1" t="n">
        <v>44668</v>
      </c>
      <c r="J28" t="inlineStr">
        <is>
          <t>Halifax, Nova Scotia, Canada</t>
        </is>
      </c>
      <c r="K28" t="inlineStr">
        <is>
          <t>Halifax, Nouvelle-Ecosse, Canada</t>
        </is>
      </c>
      <c r="P28" t="n">
        <v>651.37</v>
      </c>
      <c r="Q28" t="n">
        <v>279.34</v>
      </c>
      <c r="R28" t="n">
        <v>594.72</v>
      </c>
      <c r="S28" t="n">
        <v>342.4</v>
      </c>
      <c r="T28" t="n">
        <v>14.27</v>
      </c>
      <c r="U28" t="n">
        <v>1882.1</v>
      </c>
      <c r="X28" t="inlineStr">
        <is>
          <t>casdo-ocena</t>
        </is>
      </c>
      <c r="Y28" t="inlineStr">
        <is>
          <t>Accessibility Standards Canada | Normes d’accessibilité Canada</t>
        </is>
      </c>
    </row>
    <row r="29">
      <c r="A29" t="inlineStr">
        <is>
          <t>T-2023-P3-0002</t>
        </is>
      </c>
      <c r="B29" t="inlineStr">
        <is>
          <t>SLE</t>
        </is>
      </c>
      <c r="C29" t="inlineStr">
        <is>
          <t>Chief Executive Officer</t>
        </is>
      </c>
      <c r="D29" t="inlineStr">
        <is>
          <t>Président-directeur général</t>
        </is>
      </c>
      <c r="E29" t="inlineStr">
        <is>
          <t>Rizcallah, Philip</t>
        </is>
      </c>
      <c r="F29" t="inlineStr">
        <is>
          <t>Stakeholder meetings in Edmonton</t>
        </is>
      </c>
      <c r="G29" t="inlineStr">
        <is>
          <t>Réunions avec des parties prenantes en Edmonton</t>
        </is>
      </c>
      <c r="H29" s="1" t="n">
        <v>44677</v>
      </c>
      <c r="I29" s="1" t="n">
        <v>44679</v>
      </c>
      <c r="J29" t="inlineStr">
        <is>
          <t>Edmonton, Alberta</t>
        </is>
      </c>
      <c r="K29" t="inlineStr">
        <is>
          <t>Edmonton, Alberta</t>
        </is>
      </c>
      <c r="P29" t="n">
        <v>1504.7</v>
      </c>
      <c r="Q29" t="n">
        <v>205.31</v>
      </c>
      <c r="R29" t="n">
        <v>334.56</v>
      </c>
      <c r="S29" t="n">
        <v>347.25</v>
      </c>
      <c r="T29" t="n">
        <v>0</v>
      </c>
      <c r="U29" t="n">
        <v>2391.82</v>
      </c>
      <c r="X29" t="inlineStr">
        <is>
          <t>casdo-ocena</t>
        </is>
      </c>
      <c r="Y29" t="inlineStr">
        <is>
          <t>Accessibility Standards Canada | Normes d’accessibilité Canada</t>
        </is>
      </c>
    </row>
    <row r="30">
      <c r="A30" t="inlineStr">
        <is>
          <t>T-2023-P3-0003</t>
        </is>
      </c>
      <c r="B30" t="inlineStr">
        <is>
          <t>SLE</t>
        </is>
      </c>
      <c r="C30" t="inlineStr">
        <is>
          <t>Chief Executive Officer</t>
        </is>
      </c>
      <c r="D30" t="inlineStr">
        <is>
          <t>Président-directeur général</t>
        </is>
      </c>
      <c r="E30" t="inlineStr">
        <is>
          <t>Rizcallah, Philip</t>
        </is>
      </c>
      <c r="F30" t="inlineStr">
        <is>
          <t>Stakeholder meetings in Victoria and Vancouver</t>
        </is>
      </c>
      <c r="G30" t="inlineStr">
        <is>
          <t>Réunions avec des parties prenantes à Victoria et Vancouver</t>
        </is>
      </c>
      <c r="H30" s="1" t="n">
        <v>44704</v>
      </c>
      <c r="I30" s="1" t="n">
        <v>44707</v>
      </c>
      <c r="J30" t="inlineStr">
        <is>
          <t>Victoria and Vancouver, British Columbia, Canada</t>
        </is>
      </c>
      <c r="K30" t="inlineStr">
        <is>
          <t>Victoria et Vancouver, Colombie-Britannique</t>
        </is>
      </c>
      <c r="P30" t="n">
        <v>1818.5</v>
      </c>
      <c r="Q30" t="n">
        <v>691.09</v>
      </c>
      <c r="R30" t="n">
        <v>900.59</v>
      </c>
      <c r="S30" t="n">
        <v>463</v>
      </c>
      <c r="T30" t="n">
        <v>0</v>
      </c>
      <c r="U30" t="n">
        <v>3873.18</v>
      </c>
      <c r="X30" t="inlineStr">
        <is>
          <t>casdo-ocena</t>
        </is>
      </c>
      <c r="Y30" t="inlineStr">
        <is>
          <t>Accessibility Standards Canada | Normes d’accessibilité Canada</t>
        </is>
      </c>
    </row>
    <row r="31">
      <c r="A31" t="inlineStr">
        <is>
          <t>T-2023-P4-0001</t>
        </is>
      </c>
      <c r="B31" t="inlineStr">
        <is>
          <t>SLE</t>
        </is>
      </c>
      <c r="C31" t="inlineStr">
        <is>
          <t>Chief Executive Officer</t>
        </is>
      </c>
      <c r="D31" t="inlineStr">
        <is>
          <t>Président-directeur général</t>
        </is>
      </c>
      <c r="E31" t="inlineStr">
        <is>
          <t>Rizcallah, Philip</t>
        </is>
      </c>
      <c r="F31" t="inlineStr">
        <is>
          <t>Stakeholder meetings in Moncton</t>
        </is>
      </c>
      <c r="G31" t="inlineStr">
        <is>
          <t>Réunions avec des parties prenantes à Moncton</t>
        </is>
      </c>
      <c r="H31" s="1" t="n">
        <v>44733</v>
      </c>
      <c r="I31" s="1" t="n">
        <v>44734</v>
      </c>
      <c r="J31" t="inlineStr">
        <is>
          <t>Moncton, New Brunswick, Canada</t>
        </is>
      </c>
      <c r="K31" t="inlineStr">
        <is>
          <t>Moncton, Nouveau Brunswick, Canada</t>
        </is>
      </c>
      <c r="P31" t="n">
        <v>986.9</v>
      </c>
      <c r="Q31" t="n">
        <v>182.9</v>
      </c>
      <c r="R31" t="n">
        <v>141.55</v>
      </c>
      <c r="S31" t="n">
        <v>231.5</v>
      </c>
      <c r="T31" t="n">
        <v>0</v>
      </c>
      <c r="U31" t="n">
        <v>1542.85</v>
      </c>
      <c r="X31" t="inlineStr">
        <is>
          <t>casdo-ocena</t>
        </is>
      </c>
      <c r="Y31" t="inlineStr">
        <is>
          <t>Accessibility Standards Canada | Normes d’accessibilité Canada</t>
        </is>
      </c>
    </row>
    <row r="32">
      <c r="A32" t="inlineStr">
        <is>
          <t>T-2023-P4-0002</t>
        </is>
      </c>
      <c r="B32" t="inlineStr">
        <is>
          <t>SLE</t>
        </is>
      </c>
      <c r="C32" t="inlineStr">
        <is>
          <t>Chief Executive Officer</t>
        </is>
      </c>
      <c r="D32" t="inlineStr">
        <is>
          <t>Président-directeur général</t>
        </is>
      </c>
      <c r="E32" t="inlineStr">
        <is>
          <t>Rizcallah, Philip</t>
        </is>
      </c>
      <c r="F32" t="inlineStr">
        <is>
          <t>Stakeholder meetings in Toronto</t>
        </is>
      </c>
      <c r="G32" t="inlineStr">
        <is>
          <t>Réunions avec des parties prenantes en Toronto</t>
        </is>
      </c>
      <c r="H32" s="1" t="n">
        <v>44735</v>
      </c>
      <c r="I32" s="1" t="n">
        <v>44736</v>
      </c>
      <c r="J32" t="inlineStr">
        <is>
          <t>Toronto, Ontario, Canada</t>
        </is>
      </c>
      <c r="K32" t="inlineStr">
        <is>
          <t>Toronto, Ontario, Canada</t>
        </is>
      </c>
      <c r="P32" t="n">
        <v>0</v>
      </c>
      <c r="Q32" t="n">
        <v>665.2</v>
      </c>
      <c r="R32" t="n">
        <v>404.27</v>
      </c>
      <c r="S32" t="n">
        <v>231.5</v>
      </c>
      <c r="T32" t="n">
        <v>23.73</v>
      </c>
      <c r="U32" t="n">
        <v>1324.7</v>
      </c>
      <c r="X32" t="inlineStr">
        <is>
          <t>casdo-ocena</t>
        </is>
      </c>
      <c r="Y32" t="inlineStr">
        <is>
          <t>Accessibility Standards Canada | Normes d’accessibilité Canada</t>
        </is>
      </c>
    </row>
    <row r="33">
      <c r="A33" t="inlineStr">
        <is>
          <t>T-2023-P5-0001</t>
        </is>
      </c>
      <c r="B33" t="inlineStr">
        <is>
          <t>SLE</t>
        </is>
      </c>
      <c r="C33" t="inlineStr">
        <is>
          <t>Chief Executive Officer</t>
        </is>
      </c>
      <c r="D33" t="inlineStr">
        <is>
          <t>Président-directeur général</t>
        </is>
      </c>
      <c r="E33" t="inlineStr">
        <is>
          <t>Rizcallah, Philip</t>
        </is>
      </c>
      <c r="F33" t="inlineStr">
        <is>
          <t>CACP CIPH Annual Meeting</t>
        </is>
      </c>
      <c r="G33" t="inlineStr">
        <is>
          <t>Réunion annuelle CACP CIPH</t>
        </is>
      </c>
      <c r="H33" s="1" t="n">
        <v>44787</v>
      </c>
      <c r="I33" s="1" t="n">
        <v>44790</v>
      </c>
      <c r="J33" t="inlineStr">
        <is>
          <t>Halifax, Nova Scotia, Canada</t>
        </is>
      </c>
      <c r="K33" t="inlineStr">
        <is>
          <t>Halifax, Nouvelle Ecosse, Canada</t>
        </is>
      </c>
      <c r="P33" t="n">
        <v>698.64</v>
      </c>
      <c r="Q33" t="n">
        <v>278.92</v>
      </c>
      <c r="R33" t="n">
        <v>443.4</v>
      </c>
      <c r="S33" t="n">
        <v>468.95</v>
      </c>
      <c r="T33" t="n">
        <v>0</v>
      </c>
      <c r="U33" t="n">
        <v>1889.91</v>
      </c>
      <c r="X33" t="inlineStr">
        <is>
          <t>casdo-ocena</t>
        </is>
      </c>
      <c r="Y33" t="inlineStr">
        <is>
          <t>Accessibility Standards Canada | Normes d’accessibilité Canada</t>
        </is>
      </c>
    </row>
    <row r="34">
      <c r="A34" t="inlineStr">
        <is>
          <t>T-2023-P5-0002</t>
        </is>
      </c>
      <c r="B34" t="inlineStr">
        <is>
          <t>SLE</t>
        </is>
      </c>
      <c r="C34" t="inlineStr">
        <is>
          <t>Chief Executive Officer</t>
        </is>
      </c>
      <c r="D34" t="inlineStr">
        <is>
          <t>Président-directeur général</t>
        </is>
      </c>
      <c r="E34" t="inlineStr">
        <is>
          <t>Rizcallah, Philip</t>
        </is>
      </c>
      <c r="F34" t="inlineStr">
        <is>
          <t>Standard and training review</t>
        </is>
      </c>
      <c r="G34" t="inlineStr">
        <is>
          <t>Formation des normes</t>
        </is>
      </c>
      <c r="H34" s="1" t="n">
        <v>44798</v>
      </c>
      <c r="I34" s="1" t="n">
        <v>44800</v>
      </c>
      <c r="J34" t="inlineStr">
        <is>
          <t>Peterborough, Ontario, Canada</t>
        </is>
      </c>
      <c r="K34" t="inlineStr">
        <is>
          <t>Peterborough, Ontario, Canada</t>
        </is>
      </c>
      <c r="P34" t="n">
        <v>0</v>
      </c>
      <c r="Q34" t="n">
        <v>336.6</v>
      </c>
      <c r="R34" t="n">
        <v>369.75</v>
      </c>
      <c r="S34" t="n">
        <v>270.95</v>
      </c>
      <c r="T34" t="n">
        <v>0</v>
      </c>
      <c r="U34" t="n">
        <v>977.3</v>
      </c>
      <c r="X34" t="inlineStr">
        <is>
          <t>casdo-ocena</t>
        </is>
      </c>
      <c r="Y34" t="inlineStr">
        <is>
          <t>Accessibility Standards Canada | Normes d’accessibilité Canada</t>
        </is>
      </c>
    </row>
    <row r="35">
      <c r="A35" t="inlineStr">
        <is>
          <t>T-2023-P5-0003</t>
        </is>
      </c>
      <c r="B35" t="inlineStr">
        <is>
          <t>SLE</t>
        </is>
      </c>
      <c r="C35" t="inlineStr">
        <is>
          <t>Chair</t>
        </is>
      </c>
      <c r="D35" t="inlineStr">
        <is>
          <t>Président</t>
        </is>
      </c>
      <c r="E35" t="inlineStr">
        <is>
          <t>Bérubé, Paul-Claude</t>
        </is>
      </c>
      <c r="F35" t="inlineStr">
        <is>
          <t>Meeting with CEO</t>
        </is>
      </c>
      <c r="G35" t="inlineStr">
        <is>
          <t>Réunion avec PDG</t>
        </is>
      </c>
      <c r="H35" s="1" t="n">
        <v>44769</v>
      </c>
      <c r="I35" s="1" t="n">
        <v>44769</v>
      </c>
      <c r="J35" t="inlineStr">
        <is>
          <t>Brossard, Quebec, Canada</t>
        </is>
      </c>
      <c r="K35" t="inlineStr">
        <is>
          <t>Brossard, Québec, Canada</t>
        </is>
      </c>
      <c r="P35" t="n">
        <v>0</v>
      </c>
      <c r="Q35" t="n">
        <v>41.25</v>
      </c>
      <c r="R35" t="n">
        <v>0</v>
      </c>
      <c r="S35" t="n">
        <v>22.15</v>
      </c>
      <c r="T35" t="n">
        <v>0</v>
      </c>
      <c r="U35" t="n">
        <v>63.4</v>
      </c>
      <c r="X35" t="inlineStr">
        <is>
          <t>casdo-ocena</t>
        </is>
      </c>
      <c r="Y35" t="inlineStr">
        <is>
          <t>Accessibility Standards Canada | Normes d’accessibilité Canada</t>
        </is>
      </c>
    </row>
    <row r="36">
      <c r="A36" t="inlineStr">
        <is>
          <t>T-2023-P5-0004</t>
        </is>
      </c>
      <c r="B36" t="inlineStr">
        <is>
          <t>SLE</t>
        </is>
      </c>
      <c r="C36" t="inlineStr">
        <is>
          <t>Chair</t>
        </is>
      </c>
      <c r="D36" t="inlineStr">
        <is>
          <t>Président</t>
        </is>
      </c>
      <c r="E36" t="inlineStr">
        <is>
          <t>Bérubé, Paul-Claude</t>
        </is>
      </c>
      <c r="F36" t="inlineStr">
        <is>
          <t>Meeting with Vie Autonome</t>
        </is>
      </c>
      <c r="G36" t="inlineStr">
        <is>
          <t>Réunion avec Vie Autonome</t>
        </is>
      </c>
      <c r="H36" s="1" t="n">
        <v>44779</v>
      </c>
      <c r="I36" s="1" t="n">
        <v>44779</v>
      </c>
      <c r="J36" t="inlineStr">
        <is>
          <t>Val d'Or, Quebec, Canada</t>
        </is>
      </c>
      <c r="K36" t="inlineStr">
        <is>
          <t>Val d'Or, Québec, Canada</t>
        </is>
      </c>
      <c r="P36" t="n">
        <v>1633.64</v>
      </c>
      <c r="Q36" t="n">
        <v>108.7</v>
      </c>
      <c r="R36" t="n">
        <v>0</v>
      </c>
      <c r="S36" t="n">
        <v>98.45</v>
      </c>
      <c r="T36" t="n">
        <v>0</v>
      </c>
      <c r="U36" t="n">
        <v>1840.79</v>
      </c>
      <c r="X36" t="inlineStr">
        <is>
          <t>casdo-ocena</t>
        </is>
      </c>
      <c r="Y36" t="inlineStr">
        <is>
          <t>Accessibility Standards Canada | Normes d’accessibilité Canada</t>
        </is>
      </c>
    </row>
    <row r="37">
      <c r="A37" t="inlineStr">
        <is>
          <t>T-2023-P5-0005</t>
        </is>
      </c>
      <c r="B37" t="inlineStr">
        <is>
          <t>SLE</t>
        </is>
      </c>
      <c r="C37" t="inlineStr">
        <is>
          <t>Chair</t>
        </is>
      </c>
      <c r="D37" t="inlineStr">
        <is>
          <t>Président</t>
        </is>
      </c>
      <c r="E37" t="inlineStr">
        <is>
          <t>Bérubé, Paul-Claude</t>
        </is>
      </c>
      <c r="F37" t="inlineStr">
        <is>
          <t>Meeting with CEO and co-Chair</t>
        </is>
      </c>
      <c r="G37" t="inlineStr">
        <is>
          <t>Réunion avec PDG et co-président</t>
        </is>
      </c>
      <c r="H37" s="1" t="n">
        <v>44752</v>
      </c>
      <c r="I37" s="1" t="n">
        <v>44754</v>
      </c>
      <c r="J37" t="inlineStr">
        <is>
          <t>Gatineau, Quebec, Canada</t>
        </is>
      </c>
      <c r="K37" t="inlineStr">
        <is>
          <t>Gatineau, Québec, Canada</t>
        </is>
      </c>
      <c r="P37" t="n">
        <v>0</v>
      </c>
      <c r="Q37" t="n">
        <v>296.04</v>
      </c>
      <c r="R37" t="n">
        <v>783.04</v>
      </c>
      <c r="S37" t="n">
        <v>259.4</v>
      </c>
      <c r="T37" t="n">
        <v>0</v>
      </c>
      <c r="U37" t="n">
        <v>1338.48</v>
      </c>
      <c r="X37" t="inlineStr">
        <is>
          <t>casdo-ocena</t>
        </is>
      </c>
      <c r="Y37" t="inlineStr">
        <is>
          <t>Accessibility Standards Canada | Normes d’accessibilité Canada</t>
        </is>
      </c>
    </row>
    <row r="38">
      <c r="A38" t="inlineStr">
        <is>
          <t>T-2023-P5-0006</t>
        </is>
      </c>
      <c r="B38" t="inlineStr">
        <is>
          <t>SLE</t>
        </is>
      </c>
      <c r="C38" t="inlineStr">
        <is>
          <t>Board Member</t>
        </is>
      </c>
      <c r="D38" t="inlineStr">
        <is>
          <t>Membre du conseil d'administration</t>
        </is>
      </c>
      <c r="E38" t="inlineStr">
        <is>
          <t>McLaughlin, Joseph</t>
        </is>
      </c>
      <c r="F38" t="inlineStr">
        <is>
          <t>Stakeholder meeting</t>
        </is>
      </c>
      <c r="G38" t="inlineStr">
        <is>
          <t>Réunion des parties prenantes</t>
        </is>
      </c>
      <c r="H38" s="1" t="n">
        <v>44706</v>
      </c>
      <c r="I38" s="1" t="n">
        <v>44706</v>
      </c>
      <c r="J38" t="inlineStr">
        <is>
          <t>Vancouver, British Columbia, Canada</t>
        </is>
      </c>
      <c r="K38" t="inlineStr">
        <is>
          <t>Vancouver, Colombie Britannique, Canada</t>
        </is>
      </c>
      <c r="P38" t="n">
        <v>0</v>
      </c>
      <c r="Q38" t="n">
        <v>49.68</v>
      </c>
      <c r="R38" t="n">
        <v>0</v>
      </c>
      <c r="S38" t="n">
        <v>0</v>
      </c>
      <c r="U38" t="n">
        <v>49.68</v>
      </c>
      <c r="X38" t="inlineStr">
        <is>
          <t>casdo-ocena</t>
        </is>
      </c>
      <c r="Y38" t="inlineStr">
        <is>
          <t>Accessibility Standards Canada | Normes d’accessibilité Canada</t>
        </is>
      </c>
    </row>
    <row r="39">
      <c r="A39" t="inlineStr">
        <is>
          <t>T-2023-P6-0001</t>
        </is>
      </c>
      <c r="B39" t="inlineStr">
        <is>
          <t>SLE</t>
        </is>
      </c>
      <c r="C39" t="inlineStr">
        <is>
          <t>Vice Chair</t>
        </is>
      </c>
      <c r="D39" t="inlineStr">
        <is>
          <t>Vice président</t>
        </is>
      </c>
      <c r="E39" t="inlineStr">
        <is>
          <t>Reid, Mary</t>
        </is>
      </c>
      <c r="F39" t="inlineStr">
        <is>
          <t>Meeting with CEO and Chair</t>
        </is>
      </c>
      <c r="G39" t="inlineStr">
        <is>
          <t>Réunion avec PDG et Président</t>
        </is>
      </c>
      <c r="H39" s="1" t="n">
        <v>44745</v>
      </c>
      <c r="I39" s="1" t="n">
        <v>44755</v>
      </c>
      <c r="J39" t="inlineStr">
        <is>
          <t>Gatineau, Quebec, Canada</t>
        </is>
      </c>
      <c r="K39" t="inlineStr">
        <is>
          <t>Gatineau, Québec, Canada</t>
        </is>
      </c>
      <c r="P39" t="n">
        <v>780.54</v>
      </c>
      <c r="Q39" t="n">
        <v>50</v>
      </c>
      <c r="R39" t="n">
        <v>371.32</v>
      </c>
      <c r="S39" t="n">
        <v>270.7</v>
      </c>
      <c r="T39" t="n">
        <v>0</v>
      </c>
      <c r="U39" t="n">
        <v>1472.56</v>
      </c>
      <c r="X39" t="inlineStr">
        <is>
          <t>casdo-ocena</t>
        </is>
      </c>
      <c r="Y39" t="inlineStr">
        <is>
          <t>Accessibility Standards Canada | Normes d’accessibilité Canada</t>
        </is>
      </c>
    </row>
    <row r="40">
      <c r="A40" t="inlineStr">
        <is>
          <t>T-2023-P7-0001</t>
        </is>
      </c>
      <c r="B40" t="inlineStr">
        <is>
          <t>SLE</t>
        </is>
      </c>
      <c r="C40" t="inlineStr">
        <is>
          <t>Chief Executive Officer</t>
        </is>
      </c>
      <c r="D40" t="inlineStr">
        <is>
          <t>Président-directeur général</t>
        </is>
      </c>
      <c r="E40" t="inlineStr">
        <is>
          <t>Rizcallah, Philip</t>
        </is>
      </c>
      <c r="F40" t="inlineStr">
        <is>
          <t>International conference on Universal Design</t>
        </is>
      </c>
      <c r="G40" t="inlineStr">
        <is>
          <t>Conférence internationale sur la conception universelle</t>
        </is>
      </c>
      <c r="H40" s="1" t="n">
        <v>44805</v>
      </c>
      <c r="I40" s="1" t="n">
        <v>44814</v>
      </c>
      <c r="J40" t="inlineStr">
        <is>
          <t>Venice, Italy</t>
        </is>
      </c>
      <c r="K40" t="inlineStr">
        <is>
          <t>Venise, Italie</t>
        </is>
      </c>
      <c r="P40" t="n">
        <v>12175.56</v>
      </c>
      <c r="Q40" t="n">
        <v>592.46</v>
      </c>
      <c r="R40" t="n">
        <v>996.34</v>
      </c>
      <c r="S40" t="n">
        <v>731.55</v>
      </c>
      <c r="T40" t="n">
        <v>0</v>
      </c>
      <c r="U40" t="n">
        <v>14495.91</v>
      </c>
      <c r="X40" t="inlineStr">
        <is>
          <t>casdo-ocena</t>
        </is>
      </c>
      <c r="Y40" t="inlineStr">
        <is>
          <t>Accessibility Standards Canada | Normes d’accessibilité Canada</t>
        </is>
      </c>
    </row>
    <row r="41">
      <c r="A41" t="inlineStr">
        <is>
          <t>T-2023-P7-0002</t>
        </is>
      </c>
      <c r="B41" t="inlineStr">
        <is>
          <t>SLE</t>
        </is>
      </c>
      <c r="C41" t="inlineStr">
        <is>
          <t>Chief Executive Officer</t>
        </is>
      </c>
      <c r="D41" t="inlineStr">
        <is>
          <t>Président-directeur général</t>
        </is>
      </c>
      <c r="E41" t="inlineStr">
        <is>
          <t>Rizcallah, Philip</t>
        </is>
      </c>
      <c r="F41" t="inlineStr">
        <is>
          <t>Presenter at International Code Conference</t>
        </is>
      </c>
      <c r="G41" t="inlineStr">
        <is>
          <t>Présenteur à la conférence internationale des codes</t>
        </is>
      </c>
      <c r="H41" s="1" t="n">
        <v>44816</v>
      </c>
      <c r="I41" s="1" t="n">
        <v>44818</v>
      </c>
      <c r="J41" t="inlineStr">
        <is>
          <t>Louisville, Kentucky</t>
        </is>
      </c>
      <c r="K41" t="inlineStr">
        <is>
          <t>Lousiville, Kentucky</t>
        </is>
      </c>
      <c r="P41" t="n">
        <v>1668.11</v>
      </c>
      <c r="Q41" t="n">
        <v>202.11</v>
      </c>
      <c r="R41" t="n">
        <v>400.4</v>
      </c>
      <c r="S41" t="n">
        <v>422.29</v>
      </c>
      <c r="T41" t="n">
        <v>0</v>
      </c>
      <c r="U41" t="n">
        <v>2692.91</v>
      </c>
      <c r="X41" t="inlineStr">
        <is>
          <t>casdo-ocena</t>
        </is>
      </c>
      <c r="Y41" t="inlineStr">
        <is>
          <t>Accessibility Standards Canada | Normes d’accessibilité Canada</t>
        </is>
      </c>
    </row>
    <row r="42">
      <c r="A42" t="inlineStr">
        <is>
          <t>T-2023-P7-0003</t>
        </is>
      </c>
      <c r="B42" t="inlineStr">
        <is>
          <t>SLE</t>
        </is>
      </c>
      <c r="C42" t="inlineStr">
        <is>
          <t>Chief Executive Officer</t>
        </is>
      </c>
      <c r="D42" t="inlineStr">
        <is>
          <t>Président-directeur général</t>
        </is>
      </c>
      <c r="E42" t="inlineStr">
        <is>
          <t>Rizcallah, Philip</t>
        </is>
      </c>
      <c r="F42" t="inlineStr">
        <is>
          <t>Board meeting</t>
        </is>
      </c>
      <c r="G42" t="inlineStr">
        <is>
          <t>Réunion du conseil d'administration</t>
        </is>
      </c>
      <c r="H42" s="1" t="n">
        <v>44822</v>
      </c>
      <c r="I42" s="1" t="n">
        <v>44825</v>
      </c>
      <c r="J42" t="inlineStr">
        <is>
          <t>Montreal, Quebec, Canada</t>
        </is>
      </c>
      <c r="K42" t="inlineStr">
        <is>
          <t>Montréal, Québec, Canada</t>
        </is>
      </c>
      <c r="P42" t="n">
        <v>0</v>
      </c>
      <c r="Q42" t="n">
        <v>671.27</v>
      </c>
      <c r="R42" t="n">
        <v>0</v>
      </c>
      <c r="S42" t="n">
        <v>418.95</v>
      </c>
      <c r="T42" t="n">
        <v>0</v>
      </c>
      <c r="U42" t="n">
        <v>1090.22</v>
      </c>
      <c r="X42" t="inlineStr">
        <is>
          <t>casdo-ocena</t>
        </is>
      </c>
      <c r="Y42" t="inlineStr">
        <is>
          <t>Accessibility Standards Canada | Normes d’accessibilité Canada</t>
        </is>
      </c>
    </row>
    <row r="43">
      <c r="A43" t="inlineStr">
        <is>
          <t>T-2023-P7-0004</t>
        </is>
      </c>
      <c r="B43" t="inlineStr">
        <is>
          <t>SLE</t>
        </is>
      </c>
      <c r="C43" t="inlineStr">
        <is>
          <t>Vice Chair</t>
        </is>
      </c>
      <c r="D43" t="inlineStr">
        <is>
          <t>Vice président</t>
        </is>
      </c>
      <c r="E43" t="inlineStr">
        <is>
          <t>Reid, Mary</t>
        </is>
      </c>
      <c r="F43" t="inlineStr">
        <is>
          <t>Board meeting</t>
        </is>
      </c>
      <c r="G43" t="inlineStr">
        <is>
          <t>Réunion du conseil d'administration</t>
        </is>
      </c>
      <c r="H43" s="1" t="n">
        <v>44822</v>
      </c>
      <c r="I43" s="1" t="n">
        <v>44825</v>
      </c>
      <c r="J43" t="inlineStr">
        <is>
          <t>Montreal, Quebec, Canada</t>
        </is>
      </c>
      <c r="K43" t="inlineStr">
        <is>
          <t>Montréal, Québec, Canada</t>
        </is>
      </c>
      <c r="P43" t="n">
        <v>670.23</v>
      </c>
      <c r="Q43" t="n">
        <v>106.34</v>
      </c>
      <c r="R43" t="n">
        <v>0</v>
      </c>
      <c r="S43" t="n">
        <v>396.8</v>
      </c>
      <c r="T43" t="n">
        <v>0</v>
      </c>
      <c r="U43" t="n">
        <v>1173.37</v>
      </c>
      <c r="X43" t="inlineStr">
        <is>
          <t>casdo-ocena</t>
        </is>
      </c>
      <c r="Y43" t="inlineStr">
        <is>
          <t>Accessibility Standards Canada | Normes d’accessibilité Canada</t>
        </is>
      </c>
    </row>
    <row r="44">
      <c r="A44" t="inlineStr">
        <is>
          <t>T-2023-P7-0005</t>
        </is>
      </c>
      <c r="B44" t="inlineStr">
        <is>
          <t>SLE</t>
        </is>
      </c>
      <c r="C44" t="inlineStr">
        <is>
          <t>Board Member</t>
        </is>
      </c>
      <c r="D44" t="inlineStr">
        <is>
          <t>Membre du conseil d'administration</t>
        </is>
      </c>
      <c r="E44" t="inlineStr">
        <is>
          <t>McLaughlin, Joseph</t>
        </is>
      </c>
      <c r="F44" t="inlineStr">
        <is>
          <t>Board meeting</t>
        </is>
      </c>
      <c r="G44" t="inlineStr">
        <is>
          <t>Réunion du conseil d'administration</t>
        </is>
      </c>
      <c r="H44" s="1" t="n">
        <v>44822</v>
      </c>
      <c r="I44" s="1" t="n">
        <v>44825</v>
      </c>
      <c r="J44" t="inlineStr">
        <is>
          <t>Montreal, Quebec, Canada</t>
        </is>
      </c>
      <c r="K44" t="inlineStr">
        <is>
          <t>Montréal, Québec, Canada</t>
        </is>
      </c>
      <c r="P44" t="n">
        <v>822.12</v>
      </c>
      <c r="Q44" t="n">
        <v>283.29</v>
      </c>
      <c r="R44" t="n">
        <v>1067.43</v>
      </c>
      <c r="S44" t="n">
        <v>418.7</v>
      </c>
      <c r="T44" t="n">
        <v>0</v>
      </c>
      <c r="U44" t="n">
        <v>2591.54</v>
      </c>
      <c r="X44" t="inlineStr">
        <is>
          <t>casdo-ocena</t>
        </is>
      </c>
      <c r="Y44" t="inlineStr">
        <is>
          <t>Accessibility Standards Canada | Normes d’accessibilité Canada</t>
        </is>
      </c>
    </row>
    <row r="45">
      <c r="A45" t="inlineStr">
        <is>
          <t>T-2023-P8-0001</t>
        </is>
      </c>
      <c r="B45" t="inlineStr">
        <is>
          <t>SLE</t>
        </is>
      </c>
      <c r="C45" t="inlineStr">
        <is>
          <t>Chief Executive Officer</t>
        </is>
      </c>
      <c r="D45" t="inlineStr">
        <is>
          <t>Président-directeur général</t>
        </is>
      </c>
      <c r="E45" t="inlineStr">
        <is>
          <t>Rizcallah, Philip</t>
        </is>
      </c>
      <c r="F45" t="inlineStr">
        <is>
          <t>Meeting with stakeholders</t>
        </is>
      </c>
      <c r="G45" t="inlineStr">
        <is>
          <t>Réunion avec les intervenants.</t>
        </is>
      </c>
      <c r="H45" s="1" t="n">
        <v>44714</v>
      </c>
      <c r="I45" s="1" t="n">
        <v>44717</v>
      </c>
      <c r="J45" t="inlineStr">
        <is>
          <t>Halifax, Nova Scotia, Canada</t>
        </is>
      </c>
      <c r="K45" t="inlineStr">
        <is>
          <t>Halifax, Nouvelle Ecosse, Canada</t>
        </is>
      </c>
      <c r="P45" t="n">
        <v>770.0599999999999</v>
      </c>
      <c r="Q45" t="n">
        <v>729.51</v>
      </c>
      <c r="R45" t="n">
        <v>466.86</v>
      </c>
      <c r="S45" t="n">
        <v>231.5</v>
      </c>
      <c r="T45" t="n">
        <v>0</v>
      </c>
      <c r="U45" t="n">
        <v>2197.93</v>
      </c>
      <c r="X45" t="inlineStr">
        <is>
          <t>casdo-ocena</t>
        </is>
      </c>
      <c r="Y45" t="inlineStr">
        <is>
          <t>Accessibility Standards Canada | Normes d’accessibilité Canada</t>
        </is>
      </c>
    </row>
    <row r="46">
      <c r="A46" t="inlineStr">
        <is>
          <t>T-2023-P8-0002</t>
        </is>
      </c>
      <c r="B46" t="inlineStr">
        <is>
          <t>SLE</t>
        </is>
      </c>
      <c r="C46" t="inlineStr">
        <is>
          <t>Board Member</t>
        </is>
      </c>
      <c r="D46" t="inlineStr">
        <is>
          <t>Membre du conseil d'administration</t>
        </is>
      </c>
      <c r="E46" t="inlineStr">
        <is>
          <t>Hartin, Penny</t>
        </is>
      </c>
      <c r="F46" t="inlineStr">
        <is>
          <t>Board meeting &amp; APM.</t>
        </is>
      </c>
      <c r="G46" t="inlineStr">
        <is>
          <t>Réunion du conseil d'administration &amp; APM.</t>
        </is>
      </c>
      <c r="H46" s="1" t="n">
        <v>44822</v>
      </c>
      <c r="I46" s="1" t="n">
        <v>44825</v>
      </c>
      <c r="J46" t="inlineStr">
        <is>
          <t>Montreal, Quebec, Canada</t>
        </is>
      </c>
      <c r="K46" t="inlineStr">
        <is>
          <t>Montréal, Québec, Canada</t>
        </is>
      </c>
      <c r="P46" t="n">
        <v>579.53</v>
      </c>
      <c r="Q46" t="n">
        <v>231.13</v>
      </c>
      <c r="R46" t="n">
        <v>0</v>
      </c>
      <c r="S46" t="n">
        <v>396.8</v>
      </c>
      <c r="T46" t="n">
        <v>0</v>
      </c>
      <c r="U46" t="n">
        <v>1207.46</v>
      </c>
      <c r="X46" t="inlineStr">
        <is>
          <t>casdo-ocena</t>
        </is>
      </c>
      <c r="Y46" t="inlineStr">
        <is>
          <t>Accessibility Standards Canada | Normes d’accessibilité Canada</t>
        </is>
      </c>
    </row>
    <row r="47">
      <c r="A47" t="inlineStr">
        <is>
          <t>T-2023-P8-0003</t>
        </is>
      </c>
      <c r="B47" t="inlineStr">
        <is>
          <t>SLE</t>
        </is>
      </c>
      <c r="C47" t="inlineStr">
        <is>
          <t>Board Member</t>
        </is>
      </c>
      <c r="D47" t="inlineStr">
        <is>
          <t>Membre du conseil d'administration</t>
        </is>
      </c>
      <c r="E47" t="inlineStr">
        <is>
          <t>Haan, Maureen</t>
        </is>
      </c>
      <c r="F47" t="inlineStr">
        <is>
          <t>Board meeting &amp; APM.</t>
        </is>
      </c>
      <c r="G47" t="inlineStr">
        <is>
          <t>Réunion du conseil d'administration &amp; APM.</t>
        </is>
      </c>
      <c r="H47" s="1" t="n">
        <v>44822</v>
      </c>
      <c r="I47" s="1" t="n">
        <v>44825</v>
      </c>
      <c r="J47" t="inlineStr">
        <is>
          <t>Montreal, Quebec, Canada</t>
        </is>
      </c>
      <c r="K47" t="inlineStr">
        <is>
          <t>Montréal, Québec, Canada</t>
        </is>
      </c>
      <c r="P47" t="n">
        <v>693.66</v>
      </c>
      <c r="Q47" t="n">
        <v>135</v>
      </c>
      <c r="R47" t="n">
        <v>0</v>
      </c>
      <c r="S47" t="n">
        <v>396.8</v>
      </c>
      <c r="T47" t="n">
        <v>0</v>
      </c>
      <c r="U47" t="n">
        <v>1225.46</v>
      </c>
      <c r="X47" t="inlineStr">
        <is>
          <t>casdo-ocena</t>
        </is>
      </c>
      <c r="Y47" t="inlineStr">
        <is>
          <t>Accessibility Standards Canada | Normes d’accessibilité Canada</t>
        </is>
      </c>
    </row>
    <row r="48">
      <c r="A48" t="inlineStr">
        <is>
          <t>T-2023-P9-0001</t>
        </is>
      </c>
      <c r="B48" t="inlineStr">
        <is>
          <t>SLE</t>
        </is>
      </c>
      <c r="C48" t="inlineStr">
        <is>
          <t>Chief Executive Officer</t>
        </is>
      </c>
      <c r="D48" t="inlineStr">
        <is>
          <t>Président-directeur général</t>
        </is>
      </c>
      <c r="E48" t="inlineStr">
        <is>
          <t>Rizcallah, Philip</t>
        </is>
      </c>
      <c r="F48" t="inlineStr">
        <is>
          <t>Intelligent Cities Summit.</t>
        </is>
      </c>
      <c r="G48" t="inlineStr">
        <is>
          <t>Sommet ''Intelligent Cities''.</t>
        </is>
      </c>
      <c r="H48" s="1" t="n">
        <v>44873</v>
      </c>
      <c r="I48" s="1" t="n">
        <v>44875</v>
      </c>
      <c r="J48" t="inlineStr">
        <is>
          <t>Toronto, Ontario, Canada</t>
        </is>
      </c>
      <c r="K48" t="inlineStr">
        <is>
          <t>Toronto, Ontario, Canada</t>
        </is>
      </c>
      <c r="P48" t="n">
        <v>591.5</v>
      </c>
      <c r="Q48" t="n">
        <v>246.49</v>
      </c>
      <c r="R48" t="n">
        <v>0</v>
      </c>
      <c r="S48" t="n">
        <v>250</v>
      </c>
      <c r="T48" t="n">
        <v>0</v>
      </c>
      <c r="U48" t="n">
        <v>1087.99</v>
      </c>
      <c r="X48" t="inlineStr">
        <is>
          <t>casdo-ocena</t>
        </is>
      </c>
      <c r="Y48" t="inlineStr">
        <is>
          <t>Accessibility Standards Canada | Normes d’accessibilité Canada</t>
        </is>
      </c>
    </row>
    <row r="49">
      <c r="A49" t="inlineStr">
        <is>
          <t>T-2023-P9-0002</t>
        </is>
      </c>
      <c r="B49" t="inlineStr">
        <is>
          <t>SLE</t>
        </is>
      </c>
      <c r="C49" t="inlineStr">
        <is>
          <t>Chief Executive Officer</t>
        </is>
      </c>
      <c r="D49" t="inlineStr">
        <is>
          <t>Président-directeur général</t>
        </is>
      </c>
      <c r="E49" t="inlineStr">
        <is>
          <t>Rizcallah, Philip</t>
        </is>
      </c>
      <c r="F49" t="inlineStr">
        <is>
          <t>NSBOA conference.</t>
        </is>
      </c>
      <c r="G49" t="inlineStr">
        <is>
          <t>Conférence NSBOA.</t>
        </is>
      </c>
      <c r="H49" s="1" t="n">
        <v>44879</v>
      </c>
      <c r="I49" s="1" t="n">
        <v>44881</v>
      </c>
      <c r="J49" t="inlineStr">
        <is>
          <t>Halifax, Nova Scotia, Canada</t>
        </is>
      </c>
      <c r="K49" t="inlineStr">
        <is>
          <t>Halifax, Nouvelle Écosse, Canada</t>
        </is>
      </c>
      <c r="P49" t="n">
        <v>331.07</v>
      </c>
      <c r="Q49" t="n">
        <v>180.2</v>
      </c>
      <c r="R49" t="n">
        <v>50</v>
      </c>
      <c r="S49" t="n">
        <v>119.75</v>
      </c>
      <c r="T49" t="n">
        <v>0</v>
      </c>
      <c r="U49" t="n">
        <v>681.02</v>
      </c>
      <c r="X49" t="inlineStr">
        <is>
          <t>casdo-ocena</t>
        </is>
      </c>
      <c r="Y49" t="inlineStr">
        <is>
          <t>Accessibility Standards Canada | Normes d’accessibilité Canada</t>
        </is>
      </c>
    </row>
    <row r="50">
      <c r="A50" t="inlineStr">
        <is>
          <t>T-2023-P9-0003</t>
        </is>
      </c>
      <c r="B50" t="inlineStr">
        <is>
          <t>SLE</t>
        </is>
      </c>
      <c r="C50" t="inlineStr">
        <is>
          <t>Chief Executive Officer</t>
        </is>
      </c>
      <c r="D50" t="inlineStr">
        <is>
          <t>Président-directeur général</t>
        </is>
      </c>
      <c r="E50" t="inlineStr">
        <is>
          <t>Rizcallah, Philip</t>
        </is>
      </c>
      <c r="F50" t="inlineStr">
        <is>
          <t>BCANDS conference.</t>
        </is>
      </c>
      <c r="G50" t="inlineStr">
        <is>
          <t>Évènement BCANDS.</t>
        </is>
      </c>
      <c r="H50" s="1" t="n">
        <v>44881</v>
      </c>
      <c r="I50" s="1" t="n">
        <v>44884</v>
      </c>
      <c r="J50" t="inlineStr">
        <is>
          <t>Victoria, Bristish Columbia, Canada</t>
        </is>
      </c>
      <c r="K50" t="inlineStr">
        <is>
          <t>Victoria, Colombie Britanique, Canada</t>
        </is>
      </c>
      <c r="P50" t="n">
        <v>1345.32</v>
      </c>
      <c r="Q50" t="n">
        <v>239.97</v>
      </c>
      <c r="R50" t="n">
        <v>419.42</v>
      </c>
      <c r="S50" t="n">
        <v>233.75</v>
      </c>
      <c r="T50" t="n">
        <v>0</v>
      </c>
      <c r="U50" t="n">
        <v>2238.46</v>
      </c>
      <c r="X50" t="inlineStr">
        <is>
          <t>casdo-ocena</t>
        </is>
      </c>
      <c r="Y50" t="inlineStr">
        <is>
          <t>Accessibility Standards Canada | Normes d’accessibilité Canada</t>
        </is>
      </c>
    </row>
    <row r="51">
      <c r="A51" t="inlineStr">
        <is>
          <t>T-2023-P9-0004</t>
        </is>
      </c>
      <c r="B51" t="inlineStr">
        <is>
          <t>SLE</t>
        </is>
      </c>
      <c r="C51" t="inlineStr">
        <is>
          <t>Board Member</t>
        </is>
      </c>
      <c r="D51" t="inlineStr">
        <is>
          <t>Membre du conseil d'administration</t>
        </is>
      </c>
      <c r="E51" t="inlineStr">
        <is>
          <t>Kory, Earle</t>
        </is>
      </c>
      <c r="F51" t="inlineStr">
        <is>
          <t>Board meeting.</t>
        </is>
      </c>
      <c r="G51" t="inlineStr">
        <is>
          <t>Réunion du conseil d'administration.</t>
        </is>
      </c>
      <c r="H51" s="1" t="n">
        <v>44822</v>
      </c>
      <c r="I51" s="1" t="n">
        <v>44825</v>
      </c>
      <c r="J51" t="inlineStr">
        <is>
          <t>Montreal, Quebec, Canada</t>
        </is>
      </c>
      <c r="K51" t="inlineStr">
        <is>
          <t>Montréal, Québec, Canada</t>
        </is>
      </c>
      <c r="P51" t="n">
        <v>279.39</v>
      </c>
      <c r="Q51" t="n">
        <v>13</v>
      </c>
      <c r="R51" t="n">
        <v>1067.43</v>
      </c>
      <c r="S51" t="n">
        <v>320.25</v>
      </c>
      <c r="T51" t="n">
        <v>0</v>
      </c>
      <c r="U51" t="n">
        <v>1680.07</v>
      </c>
      <c r="X51" t="inlineStr">
        <is>
          <t>casdo-ocena</t>
        </is>
      </c>
      <c r="Y51" t="inlineStr">
        <is>
          <t>Accessibility Standards Canada | Normes d’accessibilité Canada</t>
        </is>
      </c>
    </row>
    <row r="52">
      <c r="A52" t="inlineStr">
        <is>
          <t>T-2023-P9-0005</t>
        </is>
      </c>
      <c r="B52" t="inlineStr">
        <is>
          <t>SLE</t>
        </is>
      </c>
      <c r="C52" t="inlineStr">
        <is>
          <t>Board Member</t>
        </is>
      </c>
      <c r="D52" t="inlineStr">
        <is>
          <t>Membre du conseil d'administration</t>
        </is>
      </c>
      <c r="E52" t="inlineStr">
        <is>
          <t>Kory, Earle</t>
        </is>
      </c>
      <c r="F52" t="inlineStr">
        <is>
          <t>Board meeting.</t>
        </is>
      </c>
      <c r="G52" t="inlineStr">
        <is>
          <t>Réunion du conseil d'administration.</t>
        </is>
      </c>
      <c r="H52" s="1" t="n">
        <v>44907</v>
      </c>
      <c r="I52" s="1" t="n">
        <v>44910</v>
      </c>
      <c r="J52" t="inlineStr">
        <is>
          <t>Toronto, Ontario, Canada</t>
        </is>
      </c>
      <c r="K52" t="inlineStr">
        <is>
          <t>Toronto, Ontario, Canada</t>
        </is>
      </c>
      <c r="P52" t="n">
        <v>0</v>
      </c>
      <c r="Q52" t="n">
        <v>393.23</v>
      </c>
      <c r="R52" t="n">
        <v>0</v>
      </c>
      <c r="S52" t="n">
        <v>307.4</v>
      </c>
      <c r="T52" t="n">
        <v>0</v>
      </c>
      <c r="U52" t="n">
        <v>700.63</v>
      </c>
      <c r="X52" t="inlineStr">
        <is>
          <t>casdo-ocena</t>
        </is>
      </c>
      <c r="Y52" t="inlineStr">
        <is>
          <t>Accessibility Standards Canada | Normes d’accessibilité Canada</t>
        </is>
      </c>
    </row>
    <row r="53">
      <c r="A53" t="inlineStr">
        <is>
          <t>T-2023-P9-0006</t>
        </is>
      </c>
      <c r="B53" t="inlineStr">
        <is>
          <t>SLE</t>
        </is>
      </c>
      <c r="C53" t="inlineStr">
        <is>
          <t>Board Member</t>
        </is>
      </c>
      <c r="D53" t="inlineStr">
        <is>
          <t>Membre du conseil d'administration</t>
        </is>
      </c>
      <c r="E53" t="inlineStr">
        <is>
          <t>Hartin, Penny</t>
        </is>
      </c>
      <c r="F53" t="inlineStr">
        <is>
          <t>Board meeting.</t>
        </is>
      </c>
      <c r="G53" t="inlineStr">
        <is>
          <t>Réunion du conseil d'administration.</t>
        </is>
      </c>
      <c r="H53" s="1" t="n">
        <v>44907</v>
      </c>
      <c r="I53" s="1" t="n">
        <v>44910</v>
      </c>
      <c r="J53" t="inlineStr">
        <is>
          <t>Toronto, Ontario, Canada</t>
        </is>
      </c>
      <c r="K53" t="inlineStr">
        <is>
          <t>Toronto, Ontario, Canada</t>
        </is>
      </c>
      <c r="P53" t="n">
        <v>0</v>
      </c>
      <c r="Q53" t="n">
        <v>48.29</v>
      </c>
      <c r="R53" t="n">
        <v>0</v>
      </c>
      <c r="S53" t="n">
        <v>307.4</v>
      </c>
      <c r="T53" t="n">
        <v>0</v>
      </c>
      <c r="U53" t="n">
        <v>355.69</v>
      </c>
      <c r="X53" t="inlineStr">
        <is>
          <t>casdo-ocena</t>
        </is>
      </c>
      <c r="Y53" t="inlineStr">
        <is>
          <t>Accessibility Standards Canada | Normes d’accessibilité Canada</t>
        </is>
      </c>
    </row>
    <row r="54">
      <c r="A54" t="inlineStr">
        <is>
          <t>T-2023-P9-0007</t>
        </is>
      </c>
      <c r="B54" t="inlineStr">
        <is>
          <t>SLE</t>
        </is>
      </c>
      <c r="C54" t="inlineStr">
        <is>
          <t>Board Member</t>
        </is>
      </c>
      <c r="D54" t="inlineStr">
        <is>
          <t>Membre du conseil d'administration</t>
        </is>
      </c>
      <c r="E54" t="inlineStr">
        <is>
          <t>McLaughlin, Joseph</t>
        </is>
      </c>
      <c r="F54" t="inlineStr">
        <is>
          <t>Strategic discussion meeting.</t>
        </is>
      </c>
      <c r="G54" t="inlineStr">
        <is>
          <t xml:space="preserve">Réunion de discussion stratégique. </t>
        </is>
      </c>
      <c r="H54" s="1" t="n">
        <v>44871</v>
      </c>
      <c r="I54" s="1" t="n">
        <v>44873</v>
      </c>
      <c r="J54" t="inlineStr">
        <is>
          <t>Gatineau, Quebec, Canada</t>
        </is>
      </c>
      <c r="K54" t="inlineStr">
        <is>
          <t>Gatineau, Québec, Canada</t>
        </is>
      </c>
      <c r="P54" t="n">
        <v>1454.37</v>
      </c>
      <c r="Q54" t="n">
        <v>222.54</v>
      </c>
      <c r="R54" t="n">
        <v>340.58</v>
      </c>
      <c r="S54" t="n">
        <v>359.25</v>
      </c>
      <c r="T54" t="n">
        <v>0</v>
      </c>
      <c r="U54" t="n">
        <v>2376.74</v>
      </c>
      <c r="X54" t="inlineStr">
        <is>
          <t>casdo-ocena</t>
        </is>
      </c>
      <c r="Y54" t="inlineStr">
        <is>
          <t>Accessibility Standards Canada | Normes d’accessibilité Canada</t>
        </is>
      </c>
    </row>
    <row r="55">
      <c r="A55" t="inlineStr">
        <is>
          <t>T-2023-P9-0008</t>
        </is>
      </c>
      <c r="B55" t="inlineStr">
        <is>
          <t>SLE</t>
        </is>
      </c>
      <c r="C55" t="inlineStr">
        <is>
          <t>Board Member</t>
        </is>
      </c>
      <c r="D55" t="inlineStr">
        <is>
          <t>Membre du conseil d'administration</t>
        </is>
      </c>
      <c r="E55" t="inlineStr">
        <is>
          <t>McLaughlin, Joseph</t>
        </is>
      </c>
      <c r="F55" t="inlineStr">
        <is>
          <t>Board meeting.</t>
        </is>
      </c>
      <c r="G55" t="inlineStr">
        <is>
          <t>Réunion du conseil d'administration.</t>
        </is>
      </c>
      <c r="H55" s="1" t="n">
        <v>44904</v>
      </c>
      <c r="I55" s="1" t="n">
        <v>44910</v>
      </c>
      <c r="J55" t="inlineStr">
        <is>
          <t>Toronto, Ontario, Canada</t>
        </is>
      </c>
      <c r="K55" t="inlineStr">
        <is>
          <t>Toronto, Ontario, Canada</t>
        </is>
      </c>
      <c r="P55" t="n">
        <v>964.17</v>
      </c>
      <c r="Q55" t="n">
        <v>227.76</v>
      </c>
      <c r="R55" t="n">
        <v>0</v>
      </c>
      <c r="S55" t="n">
        <v>387.05</v>
      </c>
      <c r="T55" t="n">
        <v>0</v>
      </c>
      <c r="U55" t="n">
        <v>1578.98</v>
      </c>
      <c r="X55" t="inlineStr">
        <is>
          <t>casdo-ocena</t>
        </is>
      </c>
      <c r="Y55" t="inlineStr">
        <is>
          <t>Accessibility Standards Canada | Normes d’accessibilité Canada</t>
        </is>
      </c>
    </row>
    <row r="56">
      <c r="A56" t="inlineStr">
        <is>
          <t>T-2023-P9-0009</t>
        </is>
      </c>
      <c r="B56" t="inlineStr">
        <is>
          <t>SLE</t>
        </is>
      </c>
      <c r="C56" t="inlineStr">
        <is>
          <t>Board Member</t>
        </is>
      </c>
      <c r="D56" t="inlineStr">
        <is>
          <t>Membre du conseil d'administration</t>
        </is>
      </c>
      <c r="E56" t="inlineStr">
        <is>
          <t>Ringaert, Laurie</t>
        </is>
      </c>
      <c r="F56" t="inlineStr">
        <is>
          <t>Board meeting and APM.</t>
        </is>
      </c>
      <c r="G56" t="inlineStr">
        <is>
          <t>Réunion du conseil d'administration et APM.</t>
        </is>
      </c>
      <c r="H56" s="1" t="n">
        <v>44822</v>
      </c>
      <c r="I56" s="1" t="n">
        <v>44825</v>
      </c>
      <c r="J56" t="inlineStr">
        <is>
          <t>Montreal, Quebec, Canada</t>
        </is>
      </c>
      <c r="K56" t="inlineStr">
        <is>
          <t>Montréal, Québec, Canada</t>
        </is>
      </c>
      <c r="P56" t="n">
        <v>872.73</v>
      </c>
      <c r="Q56" t="n">
        <v>139.48</v>
      </c>
      <c r="R56" t="n">
        <v>0</v>
      </c>
      <c r="S56" t="n">
        <v>440.85</v>
      </c>
      <c r="T56" t="n">
        <v>0</v>
      </c>
      <c r="U56" t="n">
        <v>1453.06</v>
      </c>
      <c r="X56" t="inlineStr">
        <is>
          <t>casdo-ocena</t>
        </is>
      </c>
      <c r="Y56" t="inlineStr">
        <is>
          <t>Accessibility Standards Canada | Normes d’accessibilité Canada</t>
        </is>
      </c>
    </row>
    <row r="57">
      <c r="A57" t="inlineStr">
        <is>
          <t>T-2023-P10-0001</t>
        </is>
      </c>
      <c r="B57" t="inlineStr">
        <is>
          <t>SLE</t>
        </is>
      </c>
      <c r="C57" t="inlineStr">
        <is>
          <t>Chief Executive Officer</t>
        </is>
      </c>
      <c r="D57" t="inlineStr">
        <is>
          <t>Président-directeur général</t>
        </is>
      </c>
      <c r="E57" t="inlineStr">
        <is>
          <t>Rizcallah, Philip</t>
        </is>
      </c>
      <c r="F57" t="inlineStr">
        <is>
          <t>Board meeting</t>
        </is>
      </c>
      <c r="G57" t="inlineStr">
        <is>
          <t>Réunion du conseil d'administration.</t>
        </is>
      </c>
      <c r="H57" s="1" t="n">
        <v>44907</v>
      </c>
      <c r="I57" s="1" t="n">
        <v>44910</v>
      </c>
      <c r="J57" t="inlineStr">
        <is>
          <t>Toronto, Ontario, Canada</t>
        </is>
      </c>
      <c r="K57" t="inlineStr">
        <is>
          <t>Toronto, Ontario, Canada</t>
        </is>
      </c>
      <c r="P57" t="n">
        <v>894.34</v>
      </c>
      <c r="Q57" t="n">
        <v>182.47</v>
      </c>
      <c r="R57" t="n">
        <v>850.12</v>
      </c>
      <c r="S57" t="n">
        <v>529.6</v>
      </c>
      <c r="T57" t="n">
        <v>0</v>
      </c>
      <c r="U57" t="n">
        <v>2456.53</v>
      </c>
      <c r="X57" t="inlineStr">
        <is>
          <t>casdo-ocena</t>
        </is>
      </c>
      <c r="Y57" t="inlineStr">
        <is>
          <t>Accessibility Standards Canada | Normes d’accessibilité Canada</t>
        </is>
      </c>
    </row>
    <row r="58">
      <c r="A58" t="inlineStr">
        <is>
          <t>T-2023-P10-0002</t>
        </is>
      </c>
      <c r="B58" t="inlineStr">
        <is>
          <t>SLE</t>
        </is>
      </c>
      <c r="C58" t="inlineStr">
        <is>
          <t>Chief Executive Officer</t>
        </is>
      </c>
      <c r="D58" t="inlineStr">
        <is>
          <t>Président-directeur général</t>
        </is>
      </c>
      <c r="E58" t="inlineStr">
        <is>
          <t>Rizcallah, Philip</t>
        </is>
      </c>
      <c r="F58" t="inlineStr">
        <is>
          <t>CSA group meeting</t>
        </is>
      </c>
      <c r="G58" t="inlineStr">
        <is>
          <t>Réunion avec CSA</t>
        </is>
      </c>
      <c r="H58" s="1" t="n">
        <v>44937</v>
      </c>
      <c r="I58" s="1" t="n">
        <v>44939</v>
      </c>
      <c r="J58" t="inlineStr">
        <is>
          <t>Toronto, Ontario, Canada</t>
        </is>
      </c>
      <c r="K58" t="inlineStr">
        <is>
          <t>Toronto, Ontario, Canada</t>
        </is>
      </c>
      <c r="P58" t="n">
        <v>750.83</v>
      </c>
      <c r="Q58" t="n">
        <v>288.89</v>
      </c>
      <c r="R58" t="n">
        <v>538.24</v>
      </c>
      <c r="S58" t="n">
        <v>313.4</v>
      </c>
      <c r="T58" t="n">
        <v>0</v>
      </c>
      <c r="U58" t="n">
        <v>1891.36</v>
      </c>
      <c r="X58" t="inlineStr">
        <is>
          <t>casdo-ocena</t>
        </is>
      </c>
      <c r="Y58" t="inlineStr">
        <is>
          <t>Accessibility Standards Canada | Normes d’accessibilité Canada</t>
        </is>
      </c>
    </row>
    <row r="59">
      <c r="A59" t="inlineStr">
        <is>
          <t>T-2023-P10-0003</t>
        </is>
      </c>
      <c r="B59" t="inlineStr">
        <is>
          <t>SLE</t>
        </is>
      </c>
      <c r="C59" t="inlineStr">
        <is>
          <t>Vice Chair</t>
        </is>
      </c>
      <c r="D59" t="inlineStr">
        <is>
          <t>Vice président</t>
        </is>
      </c>
      <c r="E59" t="inlineStr">
        <is>
          <t>Reid, Mary</t>
        </is>
      </c>
      <c r="F59" t="inlineStr">
        <is>
          <t>Meeting with CEO</t>
        </is>
      </c>
      <c r="G59" t="inlineStr">
        <is>
          <t>Réunion avec directeur général</t>
        </is>
      </c>
      <c r="H59" s="1" t="n">
        <v>44871</v>
      </c>
      <c r="I59" s="1" t="n">
        <v>44874</v>
      </c>
      <c r="J59" t="inlineStr">
        <is>
          <t>Gatineau, Quebec, Canada</t>
        </is>
      </c>
      <c r="K59" t="inlineStr">
        <is>
          <t>Gatineau, Québec, Canada</t>
        </is>
      </c>
      <c r="P59" t="n">
        <v>2395.31</v>
      </c>
      <c r="Q59" t="n">
        <v>160.18</v>
      </c>
      <c r="R59" t="n">
        <v>321.32</v>
      </c>
      <c r="S59" t="n">
        <v>376.55</v>
      </c>
      <c r="T59" t="n">
        <v>0</v>
      </c>
      <c r="U59" t="n">
        <v>3253.36</v>
      </c>
      <c r="X59" t="inlineStr">
        <is>
          <t>casdo-ocena</t>
        </is>
      </c>
      <c r="Y59" t="inlineStr">
        <is>
          <t>Accessibility Standards Canada | Normes d’accessibilité Canada</t>
        </is>
      </c>
    </row>
    <row r="60">
      <c r="A60" t="inlineStr">
        <is>
          <t>T-2023-P11-0001</t>
        </is>
      </c>
      <c r="B60" t="inlineStr">
        <is>
          <t>SLE</t>
        </is>
      </c>
      <c r="C60" t="inlineStr">
        <is>
          <t>Chief Executive Officer</t>
        </is>
      </c>
      <c r="D60" t="inlineStr">
        <is>
          <t>Président-directeur général</t>
        </is>
      </c>
      <c r="E60" t="inlineStr">
        <is>
          <t>Rizcallah, Philip</t>
        </is>
      </c>
      <c r="F60" t="inlineStr">
        <is>
          <t>Meeting with CNIB President</t>
        </is>
      </c>
      <c r="G60" t="inlineStr">
        <is>
          <t>Réunion avec le président de CNIB.</t>
        </is>
      </c>
      <c r="H60" s="1" t="n">
        <v>44895</v>
      </c>
      <c r="I60" s="1" t="n">
        <v>44895</v>
      </c>
      <c r="J60" t="inlineStr">
        <is>
          <t>Ottawa, Ontario, Canada</t>
        </is>
      </c>
      <c r="K60" t="inlineStr">
        <is>
          <t>Ottawa, Ontario, Canada</t>
        </is>
      </c>
      <c r="P60" t="n">
        <v>0</v>
      </c>
      <c r="Q60" t="n">
        <v>137.96</v>
      </c>
      <c r="R60" t="n">
        <v>0</v>
      </c>
      <c r="S60" t="n">
        <v>0</v>
      </c>
      <c r="T60" t="n">
        <v>0</v>
      </c>
      <c r="U60" t="n">
        <v>137.96</v>
      </c>
      <c r="X60" t="inlineStr">
        <is>
          <t>casdo-ocena</t>
        </is>
      </c>
      <c r="Y60" t="inlineStr">
        <is>
          <t>Accessibility Standards Canada | Normes d’accessibilité Canada</t>
        </is>
      </c>
    </row>
    <row r="61">
      <c r="A61" t="inlineStr">
        <is>
          <t>T-2023-P11-0002</t>
        </is>
      </c>
      <c r="B61" t="inlineStr">
        <is>
          <t>SLE</t>
        </is>
      </c>
      <c r="C61" t="inlineStr">
        <is>
          <t>Chief Executive Officer</t>
        </is>
      </c>
      <c r="D61" t="inlineStr">
        <is>
          <t>Président-directeur général</t>
        </is>
      </c>
      <c r="E61" t="inlineStr">
        <is>
          <t>Rizcallah, Philip</t>
        </is>
      </c>
      <c r="F61" t="inlineStr">
        <is>
          <t>Meetings</t>
        </is>
      </c>
      <c r="G61" t="inlineStr">
        <is>
          <t>Rénions</t>
        </is>
      </c>
      <c r="H61" s="1" t="n">
        <v>44802</v>
      </c>
      <c r="I61" s="1" t="n">
        <v>44802</v>
      </c>
      <c r="J61" t="inlineStr">
        <is>
          <t>Ottawa, Ontario, Canada</t>
        </is>
      </c>
      <c r="K61" t="inlineStr">
        <is>
          <t>Ottawa, Ontario, Canada</t>
        </is>
      </c>
      <c r="P61" t="n">
        <v>0</v>
      </c>
      <c r="Q61" t="n">
        <v>133.08</v>
      </c>
      <c r="R61" t="n">
        <v>0</v>
      </c>
      <c r="S61" t="n">
        <v>0</v>
      </c>
      <c r="T61" t="n">
        <v>0</v>
      </c>
      <c r="U61" t="n">
        <v>133.08</v>
      </c>
      <c r="X61" t="inlineStr">
        <is>
          <t>casdo-ocena</t>
        </is>
      </c>
      <c r="Y61" t="inlineStr">
        <is>
          <t>Accessibility Standards Canada | Normes d’accessibilité Canada</t>
        </is>
      </c>
    </row>
    <row r="62">
      <c r="A62" t="inlineStr">
        <is>
          <t>T-2023-P11-0003</t>
        </is>
      </c>
      <c r="B62" t="inlineStr">
        <is>
          <t>SLE</t>
        </is>
      </c>
      <c r="C62" t="inlineStr">
        <is>
          <t>Chief Executive Officer</t>
        </is>
      </c>
      <c r="D62" t="inlineStr">
        <is>
          <t>Président-directeur général</t>
        </is>
      </c>
      <c r="E62" t="inlineStr">
        <is>
          <t>Rizcallah, Philip</t>
        </is>
      </c>
      <c r="F62" t="inlineStr">
        <is>
          <t>3 meetings and a funeral</t>
        </is>
      </c>
      <c r="G62" t="inlineStr">
        <is>
          <t>3 réunions et un funérail</t>
        </is>
      </c>
      <c r="H62" s="1" t="n">
        <v>44955</v>
      </c>
      <c r="I62" s="1" t="n">
        <v>44957</v>
      </c>
      <c r="J62" t="inlineStr">
        <is>
          <t>Toronto, Ontario, Canada</t>
        </is>
      </c>
      <c r="K62" t="inlineStr">
        <is>
          <t>Toronto, Ontario, Canada</t>
        </is>
      </c>
      <c r="P62" t="n">
        <v>875.58</v>
      </c>
      <c r="Q62" t="n">
        <v>234.35</v>
      </c>
      <c r="R62" t="n">
        <v>538.24</v>
      </c>
      <c r="S62" t="n">
        <v>313.4</v>
      </c>
      <c r="T62" t="n">
        <v>0</v>
      </c>
      <c r="U62" t="n">
        <v>1961.57</v>
      </c>
      <c r="X62" t="inlineStr">
        <is>
          <t>casdo-ocena</t>
        </is>
      </c>
      <c r="Y62" t="inlineStr">
        <is>
          <t>Accessibility Standards Canada | Normes d’accessibilité Canada</t>
        </is>
      </c>
    </row>
    <row r="63">
      <c r="A63" t="inlineStr">
        <is>
          <t>T-2023-P11-0004</t>
        </is>
      </c>
      <c r="B63" t="inlineStr">
        <is>
          <t>SLE</t>
        </is>
      </c>
      <c r="C63" t="inlineStr">
        <is>
          <t>Chief Executive Officer</t>
        </is>
      </c>
      <c r="D63" t="inlineStr">
        <is>
          <t>Président-directeur général</t>
        </is>
      </c>
      <c r="E63" t="inlineStr">
        <is>
          <t>Rizcallah, Philip</t>
        </is>
      </c>
      <c r="F63" t="inlineStr">
        <is>
          <t>Board meeting</t>
        </is>
      </c>
      <c r="G63" t="inlineStr">
        <is>
          <t>Réunion du conseil d'administration</t>
        </is>
      </c>
      <c r="H63" s="1" t="n">
        <v>44931</v>
      </c>
      <c r="I63" s="1" t="n">
        <v>44932</v>
      </c>
      <c r="J63" t="inlineStr">
        <is>
          <t>Montreal, Quebec, Canada</t>
        </is>
      </c>
      <c r="K63" t="inlineStr">
        <is>
          <t>Montréal, Québec, Canada</t>
        </is>
      </c>
      <c r="P63" t="n">
        <v>0</v>
      </c>
      <c r="Q63" t="n">
        <v>261.37</v>
      </c>
      <c r="R63" t="n">
        <v>177.31</v>
      </c>
      <c r="S63" t="n">
        <v>159.85</v>
      </c>
      <c r="T63" t="n">
        <v>0</v>
      </c>
      <c r="U63" t="n">
        <v>598.53</v>
      </c>
      <c r="X63" t="inlineStr">
        <is>
          <t>casdo-ocena</t>
        </is>
      </c>
      <c r="Y63" t="inlineStr">
        <is>
          <t>Accessibility Standards Canada | Normes d’accessibilité Canada</t>
        </is>
      </c>
    </row>
    <row r="64">
      <c r="A64" t="inlineStr">
        <is>
          <t>T-2023-P12-0001</t>
        </is>
      </c>
      <c r="B64" t="inlineStr">
        <is>
          <t>SLE</t>
        </is>
      </c>
      <c r="C64" t="inlineStr">
        <is>
          <t>Chief Executive Officer</t>
        </is>
      </c>
      <c r="D64" t="inlineStr">
        <is>
          <t>Président-directeur général</t>
        </is>
      </c>
      <c r="E64" t="inlineStr">
        <is>
          <t>Rizcallah, Philip</t>
        </is>
      </c>
      <c r="F64" t="inlineStr">
        <is>
          <t>Board meeting and meeting with provincial government</t>
        </is>
      </c>
      <c r="G64" t="inlineStr">
        <is>
          <t>Réunion avec un membre du conseil d'administration et réunion avec le gouvernement de la Nouvelle-Écosse.</t>
        </is>
      </c>
      <c r="H64" s="1" t="n">
        <v>44960</v>
      </c>
      <c r="I64" s="1" t="n">
        <v>44967</v>
      </c>
      <c r="J64" t="inlineStr">
        <is>
          <t>Ottawa, Ontario, Canada</t>
        </is>
      </c>
      <c r="K64" t="inlineStr">
        <is>
          <t>Ottawa, Ontario, Canada</t>
        </is>
      </c>
      <c r="P64" t="n">
        <v>0</v>
      </c>
      <c r="Q64" t="n">
        <v>68.44</v>
      </c>
      <c r="R64" t="n">
        <v>0</v>
      </c>
      <c r="S64" t="n">
        <v>0</v>
      </c>
      <c r="T64" t="n">
        <v>0</v>
      </c>
      <c r="U64" t="n">
        <v>68.44</v>
      </c>
      <c r="X64" t="inlineStr">
        <is>
          <t>casdo-ocena</t>
        </is>
      </c>
      <c r="Y64" t="inlineStr">
        <is>
          <t>Accessibility Standards Canada | Normes d’accessibilité Canada</t>
        </is>
      </c>
    </row>
    <row r="65">
      <c r="A65" t="inlineStr">
        <is>
          <t>T-2023-P12-0002</t>
        </is>
      </c>
      <c r="B65" t="inlineStr">
        <is>
          <t>SLE</t>
        </is>
      </c>
      <c r="C65" t="inlineStr">
        <is>
          <t>Chief Executive Officer</t>
        </is>
      </c>
      <c r="D65" t="inlineStr">
        <is>
          <t>Président-directeur général</t>
        </is>
      </c>
      <c r="E65" t="inlineStr">
        <is>
          <t>Rizcallah, Philip</t>
        </is>
      </c>
      <c r="F65" t="inlineStr">
        <is>
          <t>Meetings CSA, ULSE, Trax</t>
        </is>
      </c>
      <c r="G65" t="inlineStr">
        <is>
          <t>Réunions CSA, ULSE, Trax.</t>
        </is>
      </c>
      <c r="H65" s="1" t="n">
        <v>44972</v>
      </c>
      <c r="I65" s="1" t="n">
        <v>44976</v>
      </c>
      <c r="J65" t="inlineStr">
        <is>
          <t>Toronto, Ontario, Canada</t>
        </is>
      </c>
      <c r="K65" t="inlineStr">
        <is>
          <t>Toronto, Ontario, Canada</t>
        </is>
      </c>
      <c r="P65" t="n">
        <v>706.76</v>
      </c>
      <c r="Q65" t="n">
        <v>262.27</v>
      </c>
      <c r="R65" t="n">
        <v>701.58</v>
      </c>
      <c r="S65" t="n">
        <v>359.25</v>
      </c>
      <c r="T65" t="n">
        <v>0</v>
      </c>
      <c r="U65" t="n">
        <v>2029.86</v>
      </c>
      <c r="X65" t="inlineStr">
        <is>
          <t>casdo-ocena</t>
        </is>
      </c>
      <c r="Y65" t="inlineStr">
        <is>
          <t>Accessibility Standards Canada | Normes d’accessibilité Canada</t>
        </is>
      </c>
    </row>
    <row r="66">
      <c r="A66" t="inlineStr">
        <is>
          <t>T-2023-P12-0003</t>
        </is>
      </c>
      <c r="B66" t="inlineStr">
        <is>
          <t>SLE</t>
        </is>
      </c>
      <c r="C66" t="inlineStr">
        <is>
          <t>Chair</t>
        </is>
      </c>
      <c r="D66" t="inlineStr">
        <is>
          <t>Président</t>
        </is>
      </c>
      <c r="E66" t="inlineStr">
        <is>
          <t>Bérubé, Paul-Claude</t>
        </is>
      </c>
      <c r="F66" t="inlineStr">
        <is>
          <t>Board meeting</t>
        </is>
      </c>
      <c r="G66" t="inlineStr">
        <is>
          <t>Réunion du conseil</t>
        </is>
      </c>
      <c r="H66" s="1" t="n">
        <v>44978</v>
      </c>
      <c r="I66" s="1" t="n">
        <v>44981</v>
      </c>
      <c r="J66" t="inlineStr">
        <is>
          <t>Ottawa, Ontario, Canada</t>
        </is>
      </c>
      <c r="K66" t="inlineStr">
        <is>
          <t>Ottawa, Ontario, Canada</t>
        </is>
      </c>
      <c r="P66" t="n">
        <v>837.71</v>
      </c>
      <c r="Q66" t="n">
        <v>182.14</v>
      </c>
      <c r="R66" t="n">
        <v>948.39</v>
      </c>
      <c r="S66" t="n">
        <v>387.05</v>
      </c>
      <c r="T66" t="n">
        <v>0</v>
      </c>
      <c r="U66" t="n">
        <v>2355.29</v>
      </c>
      <c r="X66" t="inlineStr">
        <is>
          <t>casdo-ocena</t>
        </is>
      </c>
      <c r="Y66" t="inlineStr">
        <is>
          <t>Accessibility Standards Canada | Normes d’accessibilité Canada</t>
        </is>
      </c>
    </row>
    <row r="67">
      <c r="A67" t="inlineStr">
        <is>
          <t>T-2023-P12-0004</t>
        </is>
      </c>
      <c r="B67" t="inlineStr">
        <is>
          <t>SLE</t>
        </is>
      </c>
      <c r="C67" t="inlineStr">
        <is>
          <t>Vice Chair</t>
        </is>
      </c>
      <c r="D67" t="inlineStr">
        <is>
          <t>Vice-Présidente</t>
        </is>
      </c>
      <c r="E67" t="inlineStr">
        <is>
          <t>Reid, Mary</t>
        </is>
      </c>
      <c r="F67" t="inlineStr">
        <is>
          <t>Board meeting</t>
        </is>
      </c>
      <c r="G67" t="inlineStr">
        <is>
          <t>Réunion du conseil</t>
        </is>
      </c>
      <c r="H67" s="1" t="n">
        <v>44978</v>
      </c>
      <c r="I67" s="1" t="n">
        <v>44985</v>
      </c>
      <c r="J67" t="inlineStr">
        <is>
          <t>Ottawa, Ontario, Canada</t>
        </is>
      </c>
      <c r="K67" t="inlineStr">
        <is>
          <t>Ottawa, Ontario, Canada</t>
        </is>
      </c>
      <c r="P67" t="n">
        <v>1411.92</v>
      </c>
      <c r="Q67" t="n">
        <v>78.14</v>
      </c>
      <c r="R67" t="n">
        <v>772.11</v>
      </c>
      <c r="S67" t="n">
        <v>409.85</v>
      </c>
      <c r="T67" t="n">
        <v>0</v>
      </c>
      <c r="U67" t="n">
        <v>2672.02</v>
      </c>
      <c r="X67" t="inlineStr">
        <is>
          <t>casdo-ocena</t>
        </is>
      </c>
      <c r="Y67" t="inlineStr">
        <is>
          <t>Accessibility Standards Canada | Normes d’accessibilité Canada</t>
        </is>
      </c>
    </row>
    <row r="68">
      <c r="A68" t="inlineStr">
        <is>
          <t>T-2023-P12-0005</t>
        </is>
      </c>
      <c r="B68" t="inlineStr">
        <is>
          <t>SLE</t>
        </is>
      </c>
      <c r="C68" t="inlineStr">
        <is>
          <t>Board of Directors</t>
        </is>
      </c>
      <c r="D68" t="inlineStr">
        <is>
          <t>Membre du conseil de direction</t>
        </is>
      </c>
      <c r="E68" t="inlineStr">
        <is>
          <t>Earle, Kory</t>
        </is>
      </c>
      <c r="F68" t="inlineStr">
        <is>
          <t>Board meeting</t>
        </is>
      </c>
      <c r="G68" t="inlineStr">
        <is>
          <t>Réunion du conseil</t>
        </is>
      </c>
      <c r="H68" s="1" t="n">
        <v>44978</v>
      </c>
      <c r="I68" s="1" t="n">
        <v>44981</v>
      </c>
      <c r="J68" t="inlineStr">
        <is>
          <t>Ottawa, Ontario, Canada</t>
        </is>
      </c>
      <c r="K68" t="inlineStr">
        <is>
          <t>Ottawa, Ontario, Canada</t>
        </is>
      </c>
      <c r="P68" t="n">
        <v>0</v>
      </c>
      <c r="Q68" t="n">
        <v>90</v>
      </c>
      <c r="R68" t="n">
        <v>0</v>
      </c>
      <c r="S68" t="n">
        <v>364</v>
      </c>
      <c r="T68" t="n">
        <v>0</v>
      </c>
      <c r="U68" t="n">
        <v>454</v>
      </c>
      <c r="X68" t="inlineStr">
        <is>
          <t>casdo-ocena</t>
        </is>
      </c>
      <c r="Y68" t="inlineStr">
        <is>
          <t>Accessibility Standards Canada | Normes d’accessibilité Canada</t>
        </is>
      </c>
    </row>
    <row r="69">
      <c r="A69" t="inlineStr">
        <is>
          <t>T-2023-P12-0006</t>
        </is>
      </c>
      <c r="B69" t="inlineStr">
        <is>
          <t>SLE</t>
        </is>
      </c>
      <c r="C69" t="inlineStr">
        <is>
          <t>Board of Directors</t>
        </is>
      </c>
      <c r="D69" t="inlineStr">
        <is>
          <t>Membre du conseil de direction</t>
        </is>
      </c>
      <c r="E69" t="inlineStr">
        <is>
          <t>Earle, Kory</t>
        </is>
      </c>
      <c r="F69" t="inlineStr">
        <is>
          <t>Board meeting</t>
        </is>
      </c>
      <c r="G69" t="inlineStr">
        <is>
          <t>Réunion du conseil</t>
        </is>
      </c>
      <c r="H69" s="1" t="n">
        <v>44978</v>
      </c>
      <c r="I69" s="1" t="n">
        <v>44981</v>
      </c>
      <c r="J69" t="inlineStr">
        <is>
          <t>Ottawa, Ontario, Canada</t>
        </is>
      </c>
      <c r="K69" t="inlineStr">
        <is>
          <t>Ottawa, Ontario, Canada</t>
        </is>
      </c>
      <c r="P69" t="n">
        <v>604.21</v>
      </c>
      <c r="Q69" t="n">
        <v>138.92</v>
      </c>
      <c r="R69" t="n">
        <v>948.39</v>
      </c>
      <c r="S69" t="n">
        <v>387.05</v>
      </c>
      <c r="T69" t="n">
        <v>0</v>
      </c>
      <c r="U69" t="n">
        <v>2078.57</v>
      </c>
      <c r="X69" t="inlineStr">
        <is>
          <t>casdo-ocena</t>
        </is>
      </c>
      <c r="Y69" t="inlineStr">
        <is>
          <t>Accessibility Standards Canada | Normes d’accessibilité Canada</t>
        </is>
      </c>
    </row>
    <row r="70">
      <c r="A70" t="inlineStr">
        <is>
          <t>T-2023-P12-0007</t>
        </is>
      </c>
      <c r="B70" t="inlineStr">
        <is>
          <t>SLE</t>
        </is>
      </c>
      <c r="C70" t="inlineStr">
        <is>
          <t>Board of Directors</t>
        </is>
      </c>
      <c r="D70" t="inlineStr">
        <is>
          <t>Membre du conseil de direction</t>
        </is>
      </c>
      <c r="E70" t="inlineStr">
        <is>
          <t>McLaughlin, Joseph</t>
        </is>
      </c>
      <c r="F70" t="inlineStr">
        <is>
          <t>Board meeting</t>
        </is>
      </c>
      <c r="G70" t="inlineStr">
        <is>
          <t>Réunion du conseil</t>
        </is>
      </c>
      <c r="H70" s="1" t="n">
        <v>44978</v>
      </c>
      <c r="I70" s="1" t="n">
        <v>44982</v>
      </c>
      <c r="J70" t="inlineStr">
        <is>
          <t>Ottawa, Ontario, Canada</t>
        </is>
      </c>
      <c r="K70" t="inlineStr">
        <is>
          <t>Ottawa, Ontario, Canada</t>
        </is>
      </c>
      <c r="P70" t="n">
        <v>1098.63</v>
      </c>
      <c r="Q70" t="n">
        <v>333.04</v>
      </c>
      <c r="R70" t="n">
        <v>1264.52</v>
      </c>
      <c r="S70" t="n">
        <v>449.95</v>
      </c>
      <c r="T70" t="n">
        <v>0</v>
      </c>
      <c r="U70" t="n">
        <v>3146.14</v>
      </c>
      <c r="X70" t="inlineStr">
        <is>
          <t>casdo-ocena</t>
        </is>
      </c>
      <c r="Y70" t="inlineStr">
        <is>
          <t>Accessibility Standards Canada | Normes d’accessibilité Canada</t>
        </is>
      </c>
    </row>
    <row r="71">
      <c r="A71" t="inlineStr">
        <is>
          <t>T-2023-P12-0008</t>
        </is>
      </c>
      <c r="B71" t="inlineStr">
        <is>
          <t>SLE</t>
        </is>
      </c>
      <c r="C71" t="inlineStr">
        <is>
          <t>Board of Directors</t>
        </is>
      </c>
      <c r="D71" t="inlineStr">
        <is>
          <t>Membre du conseil de direction</t>
        </is>
      </c>
      <c r="E71" t="inlineStr">
        <is>
          <t>Haan, Maureen</t>
        </is>
      </c>
      <c r="F71" t="inlineStr">
        <is>
          <t>Board meeting</t>
        </is>
      </c>
      <c r="G71" t="inlineStr">
        <is>
          <t>Réunion du conseil</t>
        </is>
      </c>
      <c r="H71" s="1" t="n">
        <v>44978</v>
      </c>
      <c r="I71" s="1" t="n">
        <v>44981</v>
      </c>
      <c r="J71" t="inlineStr">
        <is>
          <t>Ottawa, Ontario, Canada</t>
        </is>
      </c>
      <c r="K71" t="inlineStr">
        <is>
          <t>Ottawa, Ontario, Canada</t>
        </is>
      </c>
      <c r="P71" t="n">
        <v>765.29</v>
      </c>
      <c r="Q71" t="n">
        <v>215</v>
      </c>
      <c r="R71" t="n">
        <v>948.39</v>
      </c>
      <c r="S71" t="n">
        <v>307.4</v>
      </c>
      <c r="T71" t="n">
        <v>0</v>
      </c>
      <c r="U71" t="n">
        <v>2236.08</v>
      </c>
      <c r="X71" t="inlineStr">
        <is>
          <t>casdo-ocena</t>
        </is>
      </c>
      <c r="Y71" t="inlineStr">
        <is>
          <t>Accessibility Standards Canada | Normes d’accessibilité Canada</t>
        </is>
      </c>
    </row>
    <row r="72">
      <c r="A72" t="inlineStr">
        <is>
          <t>T-2023-P12-0009</t>
        </is>
      </c>
      <c r="B72" t="inlineStr">
        <is>
          <t>SLE</t>
        </is>
      </c>
      <c r="C72" t="inlineStr">
        <is>
          <t>Board of Directors</t>
        </is>
      </c>
      <c r="D72" t="inlineStr">
        <is>
          <t>Membre du conseil de direction</t>
        </is>
      </c>
      <c r="E72" t="inlineStr">
        <is>
          <t>Adair, William</t>
        </is>
      </c>
      <c r="F72" t="inlineStr">
        <is>
          <t>Board meeting</t>
        </is>
      </c>
      <c r="G72" t="inlineStr">
        <is>
          <t>Réunion du conseil</t>
        </is>
      </c>
      <c r="H72" s="1" t="n">
        <v>44978</v>
      </c>
      <c r="I72" s="1" t="n">
        <v>44981</v>
      </c>
      <c r="J72" t="inlineStr">
        <is>
          <t>Ottawa, Ontario, Canada</t>
        </is>
      </c>
      <c r="K72" t="inlineStr">
        <is>
          <t>Ottawa, Ontario, Canada</t>
        </is>
      </c>
      <c r="P72" t="n">
        <v>480.53</v>
      </c>
      <c r="Q72" t="n">
        <v>126.29</v>
      </c>
      <c r="R72" t="n">
        <v>948.39</v>
      </c>
      <c r="S72" t="n">
        <v>307.4</v>
      </c>
      <c r="T72" t="n">
        <v>0</v>
      </c>
      <c r="U72" t="n">
        <v>1862.61</v>
      </c>
      <c r="X72" t="inlineStr">
        <is>
          <t>casdo-ocena</t>
        </is>
      </c>
      <c r="Y72" t="inlineStr">
        <is>
          <t>Accessibility Standards Canada | Normes d’accessibilité Canada</t>
        </is>
      </c>
    </row>
    <row r="73">
      <c r="A73" t="inlineStr">
        <is>
          <t>T-2024-P1-0001</t>
        </is>
      </c>
      <c r="B73" t="inlineStr">
        <is>
          <t>SLE</t>
        </is>
      </c>
      <c r="C73" t="inlineStr">
        <is>
          <t>Chief Executive Officer</t>
        </is>
      </c>
      <c r="D73" t="inlineStr">
        <is>
          <t>Président-directeur général</t>
        </is>
      </c>
      <c r="E73" t="inlineStr">
        <is>
          <t>Rizcallah, Philip</t>
        </is>
      </c>
      <c r="F73" t="inlineStr">
        <is>
          <t>Stakeholder meetings</t>
        </is>
      </c>
      <c r="G73" t="inlineStr">
        <is>
          <t>Réunions  avec des parties prenantes</t>
        </is>
      </c>
      <c r="H73" s="1" t="n">
        <v>45005</v>
      </c>
      <c r="I73" s="1" t="n">
        <v>45005</v>
      </c>
      <c r="J73" t="inlineStr">
        <is>
          <t>Ottawa, Ontario, Canada</t>
        </is>
      </c>
      <c r="K73" t="inlineStr">
        <is>
          <t>Ottawa, Ontario, Canada</t>
        </is>
      </c>
      <c r="P73" t="n">
        <v>0</v>
      </c>
      <c r="Q73" t="n">
        <v>35.74</v>
      </c>
      <c r="R73" t="n">
        <v>0</v>
      </c>
      <c r="S73" t="n">
        <v>0</v>
      </c>
      <c r="T73" t="n">
        <v>0</v>
      </c>
      <c r="U73" t="n">
        <v>35.74</v>
      </c>
      <c r="X73" t="inlineStr">
        <is>
          <t>casdo-ocena</t>
        </is>
      </c>
      <c r="Y73" t="inlineStr">
        <is>
          <t>Accessibility Standards Canada | Normes d’accessibilité Canada</t>
        </is>
      </c>
    </row>
    <row r="74">
      <c r="A74" t="inlineStr">
        <is>
          <t>T-2024-P1-0002</t>
        </is>
      </c>
      <c r="B74" t="inlineStr">
        <is>
          <t>SLE</t>
        </is>
      </c>
      <c r="C74" t="inlineStr">
        <is>
          <t>Chair</t>
        </is>
      </c>
      <c r="D74" t="inlineStr">
        <is>
          <t>Président</t>
        </is>
      </c>
      <c r="E74" t="inlineStr">
        <is>
          <t>Bérubé, Paul-Claude</t>
        </is>
      </c>
      <c r="F74" t="inlineStr">
        <is>
          <t>Meeting with CEO and VC</t>
        </is>
      </c>
      <c r="G74" t="inlineStr">
        <is>
          <t>Réunion avec PDG et VP</t>
        </is>
      </c>
      <c r="H74" s="1" t="n">
        <v>44871</v>
      </c>
      <c r="I74" s="1" t="n">
        <v>44873</v>
      </c>
      <c r="J74" t="inlineStr">
        <is>
          <t>Gatineau, Quebec, Canada</t>
        </is>
      </c>
      <c r="K74" t="inlineStr">
        <is>
          <t>Gatineau, Québec, Canada</t>
        </is>
      </c>
      <c r="P74" t="n">
        <v>0</v>
      </c>
      <c r="Q74" t="n">
        <v>309.6</v>
      </c>
      <c r="R74" t="n">
        <v>206.47</v>
      </c>
      <c r="S74" t="n">
        <v>193.65</v>
      </c>
      <c r="T74" t="n">
        <v>0</v>
      </c>
      <c r="U74" t="n">
        <v>709.72</v>
      </c>
      <c r="X74" t="inlineStr">
        <is>
          <t>casdo-ocena</t>
        </is>
      </c>
      <c r="Y74" t="inlineStr">
        <is>
          <t>Accessibility Standards Canada | Normes d’accessibilité Canada</t>
        </is>
      </c>
    </row>
    <row r="75">
      <c r="A75" t="inlineStr">
        <is>
          <t>T-2024-P1-0003</t>
        </is>
      </c>
      <c r="B75" t="inlineStr">
        <is>
          <t>SLE</t>
        </is>
      </c>
      <c r="C75" t="inlineStr">
        <is>
          <t>Chair</t>
        </is>
      </c>
      <c r="D75" t="inlineStr">
        <is>
          <t>Président</t>
        </is>
      </c>
      <c r="E75" t="inlineStr">
        <is>
          <t>Bérubé, Paul-Claude</t>
        </is>
      </c>
      <c r="F75" t="inlineStr">
        <is>
          <t>FPT Forum</t>
        </is>
      </c>
      <c r="G75" t="inlineStr">
        <is>
          <t>Forum FPT</t>
        </is>
      </c>
      <c r="H75" s="1" t="n">
        <v>44852</v>
      </c>
      <c r="I75" s="1" t="n">
        <v>44853</v>
      </c>
      <c r="J75" t="inlineStr">
        <is>
          <t>Gatineau, Quebec, Canada</t>
        </is>
      </c>
      <c r="K75" t="inlineStr">
        <is>
          <t>Gatineau, Québec, Canada</t>
        </is>
      </c>
      <c r="P75" t="n">
        <v>0</v>
      </c>
      <c r="Q75" t="n">
        <v>310.8</v>
      </c>
      <c r="R75" t="n">
        <v>194.57</v>
      </c>
      <c r="S75" t="n">
        <v>137.05</v>
      </c>
      <c r="T75" t="n">
        <v>0</v>
      </c>
      <c r="U75" t="n">
        <v>642.42</v>
      </c>
      <c r="X75" t="inlineStr">
        <is>
          <t>casdo-ocena</t>
        </is>
      </c>
      <c r="Y75" t="inlineStr">
        <is>
          <t>Accessibility Standards Canada | Normes d’accessibilité Canada</t>
        </is>
      </c>
    </row>
    <row r="76">
      <c r="A76" t="inlineStr">
        <is>
          <t>T-2024-P1-0004</t>
        </is>
      </c>
      <c r="B76" t="inlineStr">
        <is>
          <t>SLE</t>
        </is>
      </c>
      <c r="C76" t="inlineStr">
        <is>
          <t>Chair</t>
        </is>
      </c>
      <c r="D76" t="inlineStr">
        <is>
          <t>Président</t>
        </is>
      </c>
      <c r="E76" t="inlineStr">
        <is>
          <t>Bérubé, Paul-Claude</t>
        </is>
      </c>
      <c r="F76" t="inlineStr">
        <is>
          <t>Board Meeting</t>
        </is>
      </c>
      <c r="G76" t="inlineStr">
        <is>
          <t>Réunion du conseil d'administration</t>
        </is>
      </c>
      <c r="H76" s="1" t="n">
        <v>44822</v>
      </c>
      <c r="I76" s="1" t="n">
        <v>44825</v>
      </c>
      <c r="J76" t="inlineStr">
        <is>
          <t>Montreal, Quebec, Canada</t>
        </is>
      </c>
      <c r="K76" t="inlineStr">
        <is>
          <t>Montréal, Québec, Canada</t>
        </is>
      </c>
      <c r="P76" t="n">
        <v>0</v>
      </c>
      <c r="Q76" t="n">
        <v>56.84</v>
      </c>
      <c r="R76" t="n">
        <v>1067.43</v>
      </c>
      <c r="S76" t="n">
        <v>298.1</v>
      </c>
      <c r="T76" t="n">
        <v>0</v>
      </c>
      <c r="U76" t="n">
        <v>1422.37</v>
      </c>
      <c r="X76" t="inlineStr">
        <is>
          <t>casdo-ocena</t>
        </is>
      </c>
      <c r="Y76" t="inlineStr">
        <is>
          <t>Accessibility Standards Canada | Normes d’accessibilité Canada</t>
        </is>
      </c>
    </row>
    <row r="77">
      <c r="A77" t="inlineStr">
        <is>
          <t>T-2024-P1-0005</t>
        </is>
      </c>
      <c r="B77" t="inlineStr">
        <is>
          <t>SLE</t>
        </is>
      </c>
      <c r="C77" t="inlineStr">
        <is>
          <t>Chair</t>
        </is>
      </c>
      <c r="D77" t="inlineStr">
        <is>
          <t>Président</t>
        </is>
      </c>
      <c r="E77" t="inlineStr">
        <is>
          <t>Bérubé, Paul-Claude</t>
        </is>
      </c>
      <c r="F77" t="inlineStr">
        <is>
          <t>Presentation to BoC</t>
        </is>
      </c>
      <c r="G77" t="inlineStr">
        <is>
          <t>Présentation au BduC</t>
        </is>
      </c>
      <c r="H77" s="1" t="n">
        <v>44902</v>
      </c>
      <c r="I77" s="1" t="n">
        <v>44902</v>
      </c>
      <c r="J77" t="inlineStr">
        <is>
          <t>Ottawa, Ontario, Canada</t>
        </is>
      </c>
      <c r="K77" t="inlineStr">
        <is>
          <t>Ottawa, Ontario, Canada</t>
        </is>
      </c>
      <c r="P77" t="n">
        <v>0</v>
      </c>
      <c r="Q77" t="n">
        <v>301.32</v>
      </c>
      <c r="R77" t="n">
        <v>0</v>
      </c>
      <c r="S77" t="n">
        <v>119.75</v>
      </c>
      <c r="T77" t="n">
        <v>0</v>
      </c>
      <c r="U77" t="n">
        <v>421.07</v>
      </c>
      <c r="X77" t="inlineStr">
        <is>
          <t>casdo-ocena</t>
        </is>
      </c>
      <c r="Y77" t="inlineStr">
        <is>
          <t>Accessibility Standards Canada | Normes d’accessibilité Canada</t>
        </is>
      </c>
    </row>
    <row r="78">
      <c r="A78" t="inlineStr">
        <is>
          <t>T-2024-P1-0006</t>
        </is>
      </c>
      <c r="B78" t="inlineStr">
        <is>
          <t>SLE</t>
        </is>
      </c>
      <c r="C78" t="inlineStr">
        <is>
          <t>Vice Chair</t>
        </is>
      </c>
      <c r="D78" t="inlineStr">
        <is>
          <t>Vice-Présidente</t>
        </is>
      </c>
      <c r="E78" t="inlineStr">
        <is>
          <t>Reid, Mary</t>
        </is>
      </c>
      <c r="F78" t="inlineStr">
        <is>
          <t>Board Meeting</t>
        </is>
      </c>
      <c r="G78" t="inlineStr">
        <is>
          <t>Réunion du conseil d'administration</t>
        </is>
      </c>
      <c r="H78" s="1" t="n">
        <v>44906</v>
      </c>
      <c r="I78" s="1" t="n">
        <v>44910</v>
      </c>
      <c r="J78" t="inlineStr">
        <is>
          <t>Toronto, Ontario, Canada</t>
        </is>
      </c>
      <c r="K78" t="inlineStr">
        <is>
          <t>Toronto, Ontario, Canada</t>
        </is>
      </c>
      <c r="P78" t="n">
        <v>1579.6</v>
      </c>
      <c r="Q78" t="n">
        <v>123.75</v>
      </c>
      <c r="R78" t="n">
        <v>1123.48</v>
      </c>
      <c r="S78" t="n">
        <v>529.6</v>
      </c>
      <c r="T78" t="n">
        <v>0</v>
      </c>
      <c r="U78" t="n">
        <v>3356.43</v>
      </c>
      <c r="X78" t="inlineStr">
        <is>
          <t>casdo-ocena</t>
        </is>
      </c>
      <c r="Y78" t="inlineStr">
        <is>
          <t>Accessibility Standards Canada | Normes d’accessibilité Canada</t>
        </is>
      </c>
    </row>
    <row r="79">
      <c r="A79" t="inlineStr">
        <is>
          <t>T-2024-P1-0007</t>
        </is>
      </c>
      <c r="B79" t="inlineStr">
        <is>
          <t>SLE</t>
        </is>
      </c>
      <c r="C79" t="inlineStr">
        <is>
          <t>Board of Directors</t>
        </is>
      </c>
      <c r="D79" t="inlineStr">
        <is>
          <t>Membre du conseil de direction</t>
        </is>
      </c>
      <c r="E79" t="inlineStr">
        <is>
          <t>Adair, William</t>
        </is>
      </c>
      <c r="F79" t="inlineStr">
        <is>
          <t>Board Meeting</t>
        </is>
      </c>
      <c r="G79" t="inlineStr">
        <is>
          <t>Réunion du conseil d'administration</t>
        </is>
      </c>
      <c r="H79" s="1" t="n">
        <v>44822</v>
      </c>
      <c r="I79" s="1" t="n">
        <v>44825</v>
      </c>
      <c r="J79" t="inlineStr">
        <is>
          <t>Montreal, Quebec, Canada</t>
        </is>
      </c>
      <c r="K79" t="inlineStr">
        <is>
          <t>Montréal, Québec, Canada</t>
        </is>
      </c>
      <c r="P79" t="n">
        <v>284.78</v>
      </c>
      <c r="Q79" t="n">
        <v>218.6</v>
      </c>
      <c r="R79" t="n">
        <v>1067.43</v>
      </c>
      <c r="S79" t="n">
        <v>352.5</v>
      </c>
      <c r="T79" t="n">
        <v>0</v>
      </c>
      <c r="U79" t="n">
        <v>1923.31</v>
      </c>
      <c r="X79" t="inlineStr">
        <is>
          <t>casdo-ocena</t>
        </is>
      </c>
      <c r="Y79" t="inlineStr">
        <is>
          <t>Accessibility Standards Canada | Normes d’accessibilité Canada</t>
        </is>
      </c>
    </row>
    <row r="80">
      <c r="A80" t="inlineStr">
        <is>
          <t>T-2024-P1-0008</t>
        </is>
      </c>
      <c r="B80" t="inlineStr">
        <is>
          <t>SLE</t>
        </is>
      </c>
      <c r="C80" t="inlineStr">
        <is>
          <t>Board of Directors</t>
        </is>
      </c>
      <c r="D80" t="inlineStr">
        <is>
          <t>Membre du conseil de direction</t>
        </is>
      </c>
      <c r="E80" t="inlineStr">
        <is>
          <t>Adair, William</t>
        </is>
      </c>
      <c r="F80" t="inlineStr">
        <is>
          <t>Board Meeting</t>
        </is>
      </c>
      <c r="G80" t="inlineStr">
        <is>
          <t>Réunion du conseil d'administration</t>
        </is>
      </c>
      <c r="H80" s="1" t="n">
        <v>44907</v>
      </c>
      <c r="I80" s="1" t="n">
        <v>44910</v>
      </c>
      <c r="J80" t="inlineStr">
        <is>
          <t>Toronto, Ontario, Canada</t>
        </is>
      </c>
      <c r="K80" t="inlineStr">
        <is>
          <t>Toronto, Ontario, Canada</t>
        </is>
      </c>
      <c r="P80" t="n">
        <v>0</v>
      </c>
      <c r="Q80" t="n">
        <v>155.92</v>
      </c>
      <c r="R80" t="n">
        <v>0</v>
      </c>
      <c r="S80" t="n">
        <v>56.6</v>
      </c>
      <c r="T80" t="n">
        <v>0</v>
      </c>
      <c r="U80" t="n">
        <v>212.52</v>
      </c>
      <c r="X80" t="inlineStr">
        <is>
          <t>casdo-ocena</t>
        </is>
      </c>
      <c r="Y80" t="inlineStr">
        <is>
          <t>Accessibility Standards Canada | Normes d’accessibilité Canada</t>
        </is>
      </c>
    </row>
    <row r="81">
      <c r="A81" t="inlineStr">
        <is>
          <t>T-2024-P2-0001</t>
        </is>
      </c>
      <c r="B81" t="inlineStr">
        <is>
          <t>SLE</t>
        </is>
      </c>
      <c r="C81" t="inlineStr">
        <is>
          <t>Chief Executive Officer</t>
        </is>
      </c>
      <c r="D81" t="inlineStr">
        <is>
          <t>Président-directeur général</t>
        </is>
      </c>
      <c r="E81" t="inlineStr">
        <is>
          <t>Rizcallah, Philip</t>
        </is>
      </c>
      <c r="F81" t="inlineStr">
        <is>
          <t>Portland conference</t>
        </is>
      </c>
      <c r="G81" t="inlineStr">
        <is>
          <t xml:space="preserve">Conférence à Portland </t>
        </is>
      </c>
      <c r="H81" s="1" t="n">
        <v>45014</v>
      </c>
      <c r="I81" s="1" t="n">
        <v>45018</v>
      </c>
      <c r="J81" t="inlineStr">
        <is>
          <t>Portland, Oregon, USA</t>
        </is>
      </c>
      <c r="K81" t="inlineStr">
        <is>
          <t>Portland, Oregon, EU</t>
        </is>
      </c>
      <c r="P81" t="n">
        <v>1499.26</v>
      </c>
      <c r="Q81" t="n">
        <v>124.43</v>
      </c>
      <c r="R81" t="n">
        <v>716.53</v>
      </c>
      <c r="S81" t="n">
        <v>561.6799999999999</v>
      </c>
      <c r="T81" t="n">
        <v>0</v>
      </c>
      <c r="U81" t="n">
        <v>2901.9</v>
      </c>
      <c r="X81" t="inlineStr">
        <is>
          <t>casdo-ocena</t>
        </is>
      </c>
      <c r="Y81" t="inlineStr">
        <is>
          <t>Accessibility Standards Canada | Normes d’accessibilité Canada</t>
        </is>
      </c>
    </row>
    <row r="82">
      <c r="A82" t="inlineStr">
        <is>
          <t>T-2024-P2-0002</t>
        </is>
      </c>
      <c r="B82" t="inlineStr">
        <is>
          <t>SLE</t>
        </is>
      </c>
      <c r="C82" t="inlineStr">
        <is>
          <t>Chief Executive Officer</t>
        </is>
      </c>
      <c r="D82" t="inlineStr">
        <is>
          <t>Président-directeur général</t>
        </is>
      </c>
      <c r="E82" t="inlineStr">
        <is>
          <t>Rizcallah, Philip</t>
        </is>
      </c>
      <c r="F82" t="inlineStr">
        <is>
          <t>Meetings CFIAT-PR</t>
        </is>
      </c>
      <c r="G82" t="inlineStr">
        <is>
          <t>Réunions avec CFIAT-PR</t>
        </is>
      </c>
      <c r="H82" s="1" t="n">
        <v>45041</v>
      </c>
      <c r="I82" s="1" t="n">
        <v>45047</v>
      </c>
      <c r="J82" t="inlineStr">
        <is>
          <t>Toronto, Ontario, Canada</t>
        </is>
      </c>
      <c r="K82" t="inlineStr">
        <is>
          <t>Toronto, Ontario, Canada</t>
        </is>
      </c>
      <c r="P82" t="n">
        <v>1417.51</v>
      </c>
      <c r="Q82" t="n">
        <v>528.4</v>
      </c>
      <c r="R82" t="n">
        <v>796.2</v>
      </c>
      <c r="S82" t="n">
        <v>643.4</v>
      </c>
      <c r="T82" t="n">
        <v>0</v>
      </c>
      <c r="U82" t="n">
        <v>3385.51</v>
      </c>
      <c r="X82" t="inlineStr">
        <is>
          <t>casdo-ocena</t>
        </is>
      </c>
      <c r="Y82" t="inlineStr">
        <is>
          <t>Accessibility Standards Canada | Normes d’accessibilité Canada</t>
        </is>
      </c>
    </row>
    <row r="83">
      <c r="A83" t="inlineStr">
        <is>
          <t>T-2024-P2-0003</t>
        </is>
      </c>
      <c r="B83" t="inlineStr">
        <is>
          <t>SLE</t>
        </is>
      </c>
      <c r="C83" t="inlineStr">
        <is>
          <t>Chief Executive Officer</t>
        </is>
      </c>
      <c r="D83" t="inlineStr">
        <is>
          <t>Président-directeur général</t>
        </is>
      </c>
      <c r="E83" t="inlineStr">
        <is>
          <t>Rizcallah, Philip</t>
        </is>
      </c>
      <c r="F83" t="inlineStr">
        <is>
          <t>Toronto meeting</t>
        </is>
      </c>
      <c r="G83" t="inlineStr">
        <is>
          <t>Réunion à Toronto</t>
        </is>
      </c>
      <c r="H83" s="1" t="n">
        <v>45057</v>
      </c>
      <c r="I83" s="1" t="n">
        <v>45058</v>
      </c>
      <c r="J83" t="inlineStr">
        <is>
          <t>Toronto, Ontario, Canada</t>
        </is>
      </c>
      <c r="K83" t="inlineStr">
        <is>
          <t>Toronto, Ontario, Canada</t>
        </is>
      </c>
      <c r="P83" t="n">
        <v>0</v>
      </c>
      <c r="Q83" t="n">
        <v>645.3</v>
      </c>
      <c r="R83" t="n">
        <v>194.33</v>
      </c>
      <c r="S83" t="n">
        <v>99.8</v>
      </c>
      <c r="T83" t="n">
        <v>0</v>
      </c>
      <c r="U83" t="n">
        <v>939.4299999999999</v>
      </c>
      <c r="X83" t="inlineStr">
        <is>
          <t>casdo-ocena</t>
        </is>
      </c>
      <c r="Y83" t="inlineStr">
        <is>
          <t>Accessibility Standards Canada | Normes d’accessibilité Canada</t>
        </is>
      </c>
    </row>
    <row r="84">
      <c r="A84" t="inlineStr">
        <is>
          <t>T-2024-P2-0004</t>
        </is>
      </c>
      <c r="B84" t="inlineStr">
        <is>
          <t>SLE</t>
        </is>
      </c>
      <c r="C84" t="inlineStr">
        <is>
          <t>Chair</t>
        </is>
      </c>
      <c r="D84" t="inlineStr">
        <is>
          <t>Président</t>
        </is>
      </c>
      <c r="E84" t="inlineStr">
        <is>
          <t>Bérubé, Paul-Claude</t>
        </is>
      </c>
      <c r="F84" t="inlineStr">
        <is>
          <t>Board meeting</t>
        </is>
      </c>
      <c r="G84" t="inlineStr">
        <is>
          <t>Réunion du conseil d'administration.</t>
        </is>
      </c>
      <c r="H84" s="1" t="n">
        <v>44907</v>
      </c>
      <c r="I84" s="1" t="n">
        <v>44910</v>
      </c>
      <c r="J84" t="inlineStr">
        <is>
          <t>Toronto, Ontario, Canada</t>
        </is>
      </c>
      <c r="K84" t="inlineStr">
        <is>
          <t>Toronto, Ontario, Canada</t>
        </is>
      </c>
      <c r="P84" t="n">
        <v>0</v>
      </c>
      <c r="Q84" t="n">
        <v>734.4400000000001</v>
      </c>
      <c r="R84" t="n">
        <v>842.61</v>
      </c>
      <c r="S84" t="n">
        <v>307.4</v>
      </c>
      <c r="T84" t="n">
        <v>0</v>
      </c>
      <c r="U84" t="n">
        <v>1884.45</v>
      </c>
      <c r="X84" t="inlineStr">
        <is>
          <t>casdo-ocena</t>
        </is>
      </c>
      <c r="Y84" t="inlineStr">
        <is>
          <t>Accessibility Standards Canada | Normes d’accessibilité Canada</t>
        </is>
      </c>
    </row>
    <row r="85">
      <c r="A85" t="inlineStr">
        <is>
          <t>T-2024-P3-0001</t>
        </is>
      </c>
      <c r="B85" t="inlineStr">
        <is>
          <t>SLE</t>
        </is>
      </c>
      <c r="C85" t="inlineStr">
        <is>
          <t>Chief Executive Officer</t>
        </is>
      </c>
      <c r="D85" t="inlineStr">
        <is>
          <t>Président-directeur général</t>
        </is>
      </c>
      <c r="E85" t="inlineStr">
        <is>
          <t>Rizcallah, Philip</t>
        </is>
      </c>
      <c r="F85" t="inlineStr">
        <is>
          <t>Board meeting</t>
        </is>
      </c>
      <c r="G85" t="inlineStr">
        <is>
          <t>Réunion du conseil d'administration.</t>
        </is>
      </c>
      <c r="H85" s="1" t="n">
        <v>45068</v>
      </c>
      <c r="I85" s="1" t="n">
        <v>45072</v>
      </c>
      <c r="J85" t="inlineStr">
        <is>
          <t>Winnipeg, Manitoba, Canada</t>
        </is>
      </c>
      <c r="K85" t="inlineStr">
        <is>
          <t>Winnipeg, Manitoba, Canada</t>
        </is>
      </c>
      <c r="P85" t="n">
        <v>745.3</v>
      </c>
      <c r="Q85" t="n">
        <v>515.97</v>
      </c>
      <c r="R85" t="n">
        <v>1266.32</v>
      </c>
      <c r="S85" t="n">
        <v>569.5</v>
      </c>
      <c r="T85" t="n">
        <v>0</v>
      </c>
      <c r="U85" t="n">
        <v>3097.09</v>
      </c>
      <c r="X85" t="inlineStr">
        <is>
          <t>casdo-ocena</t>
        </is>
      </c>
      <c r="Y85" t="inlineStr">
        <is>
          <t>Accessibility Standards Canada | Normes d’accessibilité Canada</t>
        </is>
      </c>
    </row>
    <row r="86">
      <c r="A86" t="inlineStr">
        <is>
          <t>T-2024-P3-0002</t>
        </is>
      </c>
      <c r="B86" t="inlineStr">
        <is>
          <t>SLE</t>
        </is>
      </c>
      <c r="C86" t="inlineStr">
        <is>
          <t>Chief Executive Officer</t>
        </is>
      </c>
      <c r="D86" t="inlineStr">
        <is>
          <t>Président-directeur général</t>
        </is>
      </c>
      <c r="E86" t="inlineStr">
        <is>
          <t>Rizcallah, Philip</t>
        </is>
      </c>
      <c r="F86" t="inlineStr">
        <is>
          <t>Vancouver conference</t>
        </is>
      </c>
      <c r="G86" t="inlineStr">
        <is>
          <t>Conférence en Vancouver</t>
        </is>
      </c>
      <c r="H86" s="1" t="n">
        <v>45082</v>
      </c>
      <c r="I86" s="1" t="n">
        <v>45086</v>
      </c>
      <c r="J86" t="inlineStr">
        <is>
          <t>Vancouver, British Columbia, Canada</t>
        </is>
      </c>
      <c r="K86" t="inlineStr">
        <is>
          <t>Vancouver, Colombie-Britannique, Canada</t>
        </is>
      </c>
      <c r="P86" t="n">
        <v>949.52</v>
      </c>
      <c r="Q86" t="n">
        <v>139.53</v>
      </c>
      <c r="R86" t="n">
        <v>1992.5</v>
      </c>
      <c r="S86" t="n">
        <v>521.7</v>
      </c>
      <c r="T86" t="n">
        <v>0</v>
      </c>
      <c r="U86" t="n">
        <v>3603.25</v>
      </c>
      <c r="X86" t="inlineStr">
        <is>
          <t>casdo-ocena</t>
        </is>
      </c>
      <c r="Y86" t="inlineStr">
        <is>
          <t>Accessibility Standards Canada | Normes d’accessibilité Canada</t>
        </is>
      </c>
    </row>
    <row r="87">
      <c r="A87" t="inlineStr">
        <is>
          <t>T-2024-P3-0003</t>
        </is>
      </c>
      <c r="B87" t="inlineStr">
        <is>
          <t>SLE</t>
        </is>
      </c>
      <c r="C87" t="inlineStr">
        <is>
          <t>Chief Executive Officer</t>
        </is>
      </c>
      <c r="D87" t="inlineStr">
        <is>
          <t>Président-directeur général</t>
        </is>
      </c>
      <c r="E87" t="inlineStr">
        <is>
          <t>Rizcallah, Philip</t>
        </is>
      </c>
      <c r="F87" t="inlineStr">
        <is>
          <t>CCRW/ULC event</t>
        </is>
      </c>
      <c r="G87" t="inlineStr">
        <is>
          <t>Évènement CCRW/ULC.</t>
        </is>
      </c>
      <c r="H87" s="1" t="n">
        <v>45078</v>
      </c>
      <c r="I87" s="1" t="n">
        <v>45078</v>
      </c>
      <c r="J87" t="inlineStr">
        <is>
          <t>Ottawa, Ontario, Canada</t>
        </is>
      </c>
      <c r="K87" t="inlineStr">
        <is>
          <t>Ottawa, Ontario, Canada</t>
        </is>
      </c>
      <c r="P87" t="n">
        <v>0</v>
      </c>
      <c r="Q87" t="n">
        <v>110.63</v>
      </c>
      <c r="R87" t="n">
        <v>0</v>
      </c>
      <c r="S87" t="n">
        <v>0</v>
      </c>
      <c r="T87" t="n">
        <v>0</v>
      </c>
      <c r="U87" t="n">
        <v>110.63</v>
      </c>
      <c r="X87" t="inlineStr">
        <is>
          <t>casdo-ocena</t>
        </is>
      </c>
      <c r="Y87" t="inlineStr">
        <is>
          <t>Accessibility Standards Canada | Normes d’accessibilité Canada</t>
        </is>
      </c>
    </row>
    <row r="88">
      <c r="A88" t="inlineStr">
        <is>
          <t>T-2024-P3-0004</t>
        </is>
      </c>
      <c r="B88" t="inlineStr">
        <is>
          <t>SLE</t>
        </is>
      </c>
      <c r="C88" t="inlineStr">
        <is>
          <t>Board Member</t>
        </is>
      </c>
      <c r="D88" t="inlineStr">
        <is>
          <t>Membre du conseil d'administration</t>
        </is>
      </c>
      <c r="E88" t="inlineStr">
        <is>
          <t>Haan, Maureen</t>
        </is>
      </c>
      <c r="F88" t="inlineStr">
        <is>
          <t>Meeting in Winnipeg</t>
        </is>
      </c>
      <c r="G88" t="inlineStr">
        <is>
          <t>Réunion à Winnipeg</t>
        </is>
      </c>
      <c r="H88" s="1" t="n">
        <v>45099</v>
      </c>
      <c r="I88" s="1" t="n">
        <v>45100</v>
      </c>
      <c r="J88" t="inlineStr">
        <is>
          <t>Winnipeg, Manitoba, Canada</t>
        </is>
      </c>
      <c r="K88" t="inlineStr">
        <is>
          <t>Winnipeg, Manitoba, Canada</t>
        </is>
      </c>
      <c r="P88" t="n">
        <v>0</v>
      </c>
      <c r="Q88" t="n">
        <v>204.22</v>
      </c>
      <c r="R88" t="n">
        <v>503</v>
      </c>
      <c r="S88" t="n">
        <v>199.3</v>
      </c>
      <c r="T88" t="n">
        <v>0</v>
      </c>
      <c r="U88" t="n">
        <v>906.52</v>
      </c>
      <c r="X88" t="inlineStr">
        <is>
          <t>casdo-ocena</t>
        </is>
      </c>
      <c r="Y88" t="inlineStr">
        <is>
          <t>Accessibility Standards Canada | Normes d’accessibilité Canada</t>
        </is>
      </c>
    </row>
    <row r="89">
      <c r="A89" t="inlineStr">
        <is>
          <t>T-2024-P4-0001</t>
        </is>
      </c>
      <c r="B89" t="inlineStr">
        <is>
          <t>SLE</t>
        </is>
      </c>
      <c r="C89" t="inlineStr">
        <is>
          <t>Chief Executive Officer</t>
        </is>
      </c>
      <c r="D89" t="inlineStr">
        <is>
          <t>Président-directeur général</t>
        </is>
      </c>
      <c r="E89" t="inlineStr">
        <is>
          <t>Rizcallah, Philip</t>
        </is>
      </c>
      <c r="F89" t="inlineStr">
        <is>
          <t>Cophan Conference</t>
        </is>
      </c>
      <c r="G89" t="inlineStr">
        <is>
          <t>Conférence Cophan</t>
        </is>
      </c>
      <c r="H89" s="1" t="n">
        <v>45092</v>
      </c>
      <c r="I89" s="1" t="n">
        <v>45094</v>
      </c>
      <c r="J89" t="inlineStr">
        <is>
          <t>Montreal, Quebec, Canada</t>
        </is>
      </c>
      <c r="K89" t="inlineStr">
        <is>
          <t>Montréal, Québec, Canada</t>
        </is>
      </c>
      <c r="P89" t="n">
        <v>0</v>
      </c>
      <c r="Q89" t="n">
        <v>373.15</v>
      </c>
      <c r="R89" t="n">
        <v>226.08</v>
      </c>
      <c r="S89" t="n">
        <v>188.2</v>
      </c>
      <c r="T89" t="n">
        <v>0</v>
      </c>
      <c r="U89" t="n">
        <v>787.4299999999999</v>
      </c>
      <c r="X89" t="inlineStr">
        <is>
          <t>casdo-ocena</t>
        </is>
      </c>
      <c r="Y89" t="inlineStr">
        <is>
          <t>Accessibility Standards Canada | Normes d’accessibilité Canada</t>
        </is>
      </c>
    </row>
    <row r="90">
      <c r="A90" t="inlineStr">
        <is>
          <t>T-2024-P5-0001</t>
        </is>
      </c>
      <c r="B90" t="inlineStr">
        <is>
          <t>SLE</t>
        </is>
      </c>
      <c r="C90" t="inlineStr">
        <is>
          <t>Chief Executive Officer</t>
        </is>
      </c>
      <c r="D90" t="inlineStr">
        <is>
          <t>Président-directeur général</t>
        </is>
      </c>
      <c r="E90" t="inlineStr">
        <is>
          <t>Rizcallah, Philip</t>
        </is>
      </c>
      <c r="F90" t="inlineStr">
        <is>
          <t>Stakeholder meeting</t>
        </is>
      </c>
      <c r="G90" t="inlineStr">
        <is>
          <t>Réunions</t>
        </is>
      </c>
      <c r="H90" s="1" t="n">
        <v>45119</v>
      </c>
      <c r="I90" s="1" t="n">
        <v>45126</v>
      </c>
      <c r="J90" t="inlineStr">
        <is>
          <t>Toronto, Ontario, Canada</t>
        </is>
      </c>
      <c r="K90" t="inlineStr">
        <is>
          <t>Toronto, Ontario, Canada</t>
        </is>
      </c>
      <c r="P90" t="n">
        <v>0</v>
      </c>
      <c r="Q90" t="n">
        <v>713.23</v>
      </c>
      <c r="R90" t="n">
        <v>1844.23</v>
      </c>
      <c r="S90" t="n">
        <v>881.1</v>
      </c>
      <c r="T90" t="n">
        <v>0</v>
      </c>
      <c r="U90" t="n">
        <v>3438.56</v>
      </c>
      <c r="X90" t="inlineStr">
        <is>
          <t>casdo-ocena</t>
        </is>
      </c>
      <c r="Y90" t="inlineStr">
        <is>
          <t>Accessibility Standards Canada | Normes d’accessibilité Canada</t>
        </is>
      </c>
    </row>
    <row r="91">
      <c r="A91" t="inlineStr">
        <is>
          <t>T-2024-P5-0002</t>
        </is>
      </c>
      <c r="B91" t="inlineStr">
        <is>
          <t>SLE</t>
        </is>
      </c>
      <c r="C91" t="inlineStr">
        <is>
          <t>Chief Executive Officer</t>
        </is>
      </c>
      <c r="D91" t="inlineStr">
        <is>
          <t>Président-directeur général</t>
        </is>
      </c>
      <c r="E91" t="inlineStr">
        <is>
          <t>Rizcallah, Philip</t>
        </is>
      </c>
      <c r="F91" t="inlineStr">
        <is>
          <t>Stakeholder meeting</t>
        </is>
      </c>
      <c r="G91" t="inlineStr">
        <is>
          <t>Réunions</t>
        </is>
      </c>
      <c r="H91" s="1" t="n">
        <v>45143</v>
      </c>
      <c r="I91" s="1" t="n">
        <v>45147</v>
      </c>
      <c r="J91" t="inlineStr">
        <is>
          <t>Halifax, Nova Scotia, Canada</t>
        </is>
      </c>
      <c r="K91" t="inlineStr">
        <is>
          <t>Halifax, Nouvelle-Ecosse, Canada</t>
        </is>
      </c>
      <c r="P91" t="n">
        <v>828.14</v>
      </c>
      <c r="Q91" t="n">
        <v>512.51</v>
      </c>
      <c r="R91" t="n">
        <v>731.41</v>
      </c>
      <c r="S91" t="n">
        <v>485</v>
      </c>
      <c r="T91" t="n">
        <v>0</v>
      </c>
      <c r="U91" t="n">
        <v>2557.06</v>
      </c>
      <c r="X91" t="inlineStr">
        <is>
          <t>casdo-ocena</t>
        </is>
      </c>
      <c r="Y91" t="inlineStr">
        <is>
          <t>Accessibility Standards Canada | Normes d’accessibilité Canada</t>
        </is>
      </c>
    </row>
    <row r="92">
      <c r="A92" t="inlineStr">
        <is>
          <t>T-2024-P6-0001</t>
        </is>
      </c>
      <c r="B92" t="inlineStr">
        <is>
          <t>SLE</t>
        </is>
      </c>
      <c r="C92" t="inlineStr">
        <is>
          <t>Chief Executive Officer</t>
        </is>
      </c>
      <c r="D92" t="inlineStr">
        <is>
          <t>Président-directeur général</t>
        </is>
      </c>
      <c r="E92" t="inlineStr">
        <is>
          <t>Rizcallah, Philip</t>
        </is>
      </c>
      <c r="F92" t="inlineStr">
        <is>
          <t>Board meeting</t>
        </is>
      </c>
      <c r="G92" t="inlineStr">
        <is>
          <t>Réunion du conseil d'administration</t>
        </is>
      </c>
      <c r="H92" s="1" t="n">
        <v>45178</v>
      </c>
      <c r="I92" s="1" t="n">
        <v>45184</v>
      </c>
      <c r="J92" t="inlineStr">
        <is>
          <t>St. John's, Newfoundland</t>
        </is>
      </c>
      <c r="K92" t="inlineStr">
        <is>
          <t>St. John's, Terre-Neuve</t>
        </is>
      </c>
      <c r="P92" t="n">
        <v>815.63</v>
      </c>
      <c r="Q92" t="n">
        <v>88.23</v>
      </c>
      <c r="R92" t="n">
        <v>2063.46</v>
      </c>
      <c r="S92" t="n">
        <v>578.9</v>
      </c>
      <c r="U92" t="n">
        <v>3546.22</v>
      </c>
      <c r="X92" t="inlineStr">
        <is>
          <t>casdo-ocena</t>
        </is>
      </c>
      <c r="Y92" t="inlineStr">
        <is>
          <t>Accessibility Standards Canada | Normes d’accessibilité Canada</t>
        </is>
      </c>
    </row>
    <row r="93">
      <c r="A93" t="inlineStr">
        <is>
          <t>T-2024-P6-0002</t>
        </is>
      </c>
      <c r="B93" t="inlineStr">
        <is>
          <t>SLE</t>
        </is>
      </c>
      <c r="C93" t="inlineStr">
        <is>
          <t>Chief Executive Officer</t>
        </is>
      </c>
      <c r="D93" t="inlineStr">
        <is>
          <t>Président-directeur général</t>
        </is>
      </c>
      <c r="E93" t="inlineStr">
        <is>
          <t>Rizcallah, Philip</t>
        </is>
      </c>
      <c r="F93" t="inlineStr">
        <is>
          <t>Operational activities</t>
        </is>
      </c>
      <c r="G93" t="inlineStr">
        <is>
          <t>Activités opérationels</t>
        </is>
      </c>
      <c r="H93" s="1" t="n">
        <v>45173</v>
      </c>
      <c r="I93" s="1" t="n">
        <v>45178</v>
      </c>
      <c r="J93" t="inlineStr">
        <is>
          <t>NY, NY, USA</t>
        </is>
      </c>
      <c r="K93" t="inlineStr">
        <is>
          <t>NY, NY, EU</t>
        </is>
      </c>
      <c r="P93" t="n">
        <v>989.77</v>
      </c>
      <c r="Q93" t="n">
        <v>476.06</v>
      </c>
      <c r="R93" t="n">
        <v>1536.69</v>
      </c>
      <c r="S93" t="n">
        <v>940.5700000000001</v>
      </c>
      <c r="T93" t="n">
        <v>0</v>
      </c>
      <c r="U93" t="n">
        <v>3943.09</v>
      </c>
      <c r="X93" t="inlineStr">
        <is>
          <t>casdo-ocena</t>
        </is>
      </c>
      <c r="Y93" t="inlineStr">
        <is>
          <t>Accessibility Standards Canada | Normes d’accessibilité Canada</t>
        </is>
      </c>
    </row>
    <row r="94">
      <c r="A94" t="inlineStr">
        <is>
          <t>T-2024-P6-0003</t>
        </is>
      </c>
      <c r="B94" t="inlineStr">
        <is>
          <t>SLE</t>
        </is>
      </c>
      <c r="C94" t="inlineStr">
        <is>
          <t>Chief Executive Officer</t>
        </is>
      </c>
      <c r="D94" t="inlineStr">
        <is>
          <t>Président-directeur général</t>
        </is>
      </c>
      <c r="E94" t="inlineStr">
        <is>
          <t>Rizcallah, Philip</t>
        </is>
      </c>
      <c r="F94" t="inlineStr">
        <is>
          <t>Operational activities</t>
        </is>
      </c>
      <c r="G94" t="inlineStr">
        <is>
          <t>Activités opérationels</t>
        </is>
      </c>
      <c r="H94" s="1" t="n">
        <v>45151</v>
      </c>
      <c r="I94" s="1" t="n">
        <v>45156</v>
      </c>
      <c r="J94" t="inlineStr">
        <is>
          <t>Calgary, Alberta, Canada</t>
        </is>
      </c>
      <c r="K94" t="inlineStr">
        <is>
          <t>Calgary, Alberta, Canada</t>
        </is>
      </c>
      <c r="P94" t="n">
        <v>1301.27</v>
      </c>
      <c r="Q94" t="n">
        <v>371.86</v>
      </c>
      <c r="R94" t="n">
        <v>1859.32</v>
      </c>
      <c r="S94" t="n">
        <v>640.9</v>
      </c>
      <c r="T94" t="n">
        <v>0</v>
      </c>
      <c r="U94" t="n">
        <v>4173.35</v>
      </c>
      <c r="X94" t="inlineStr">
        <is>
          <t>casdo-ocena</t>
        </is>
      </c>
      <c r="Y94" t="inlineStr">
        <is>
          <t>Accessibility Standards Canada | Normes d’accessibilité Canada</t>
        </is>
      </c>
    </row>
    <row r="95">
      <c r="A95" t="inlineStr">
        <is>
          <t>T-2024-P7-0001</t>
        </is>
      </c>
      <c r="B95" t="inlineStr">
        <is>
          <t>SLE</t>
        </is>
      </c>
      <c r="C95" t="inlineStr">
        <is>
          <t>Chief Executive Officer</t>
        </is>
      </c>
      <c r="D95" t="inlineStr">
        <is>
          <t>Président-directeur général</t>
        </is>
      </c>
      <c r="E95" t="inlineStr">
        <is>
          <t>Rizcallah, Philip</t>
        </is>
      </c>
      <c r="F95" t="inlineStr">
        <is>
          <t>Toronto conference</t>
        </is>
      </c>
      <c r="G95" t="inlineStr">
        <is>
          <t>Conférence Toronto</t>
        </is>
      </c>
      <c r="H95" s="1" t="n">
        <v>45196</v>
      </c>
      <c r="I95" s="1" t="n">
        <v>45199</v>
      </c>
      <c r="J95" t="inlineStr">
        <is>
          <t>Toronto, Ontario, Canada</t>
        </is>
      </c>
      <c r="K95" t="inlineStr">
        <is>
          <t>Toronto, Ontario, Canada</t>
        </is>
      </c>
      <c r="P95" t="n">
        <v>0</v>
      </c>
      <c r="Q95" t="n">
        <v>365.14</v>
      </c>
      <c r="R95" t="n">
        <v>952.26</v>
      </c>
      <c r="S95" t="n">
        <v>470</v>
      </c>
      <c r="T95" t="n">
        <v>0</v>
      </c>
      <c r="U95" t="n">
        <v>1787.4</v>
      </c>
      <c r="X95" t="inlineStr">
        <is>
          <t>casdo-ocena</t>
        </is>
      </c>
      <c r="Y95" t="inlineStr">
        <is>
          <t>Accessibility Standards Canada | Normes d’accessibilité Canada</t>
        </is>
      </c>
    </row>
    <row r="96">
      <c r="A96" t="inlineStr">
        <is>
          <t>T-2024-P7-0002</t>
        </is>
      </c>
      <c r="B96" t="inlineStr">
        <is>
          <t>SLE</t>
        </is>
      </c>
      <c r="C96" t="inlineStr">
        <is>
          <t>Chief Executive Officer</t>
        </is>
      </c>
      <c r="D96" t="inlineStr">
        <is>
          <t>Président-directeur général</t>
        </is>
      </c>
      <c r="E96" t="inlineStr">
        <is>
          <t>Rizcallah, Philip</t>
        </is>
      </c>
      <c r="F96" t="inlineStr">
        <is>
          <t>Australian International Sports Organization Meeting</t>
        </is>
      </c>
      <c r="G96" t="inlineStr">
        <is>
          <t>Reunions des sports internationales</t>
        </is>
      </c>
      <c r="H96" s="1" t="n">
        <v>45184</v>
      </c>
      <c r="I96" s="1" t="n">
        <v>45192</v>
      </c>
      <c r="J96" t="inlineStr">
        <is>
          <t>Brisbane, Australia</t>
        </is>
      </c>
      <c r="K96" t="inlineStr">
        <is>
          <t>Brisbane, Australie</t>
        </is>
      </c>
      <c r="P96" t="n">
        <v>11020.28</v>
      </c>
      <c r="Q96" t="n">
        <v>252.63</v>
      </c>
      <c r="R96" t="n">
        <v>1266.76</v>
      </c>
      <c r="S96" t="n">
        <v>1760.64</v>
      </c>
      <c r="T96" t="n">
        <v>17.47</v>
      </c>
      <c r="U96" t="n">
        <v>14317.78</v>
      </c>
      <c r="X96" t="inlineStr">
        <is>
          <t>casdo-ocena</t>
        </is>
      </c>
      <c r="Y96" t="inlineStr">
        <is>
          <t>Accessibility Standards Canada | Normes d’accessibilité Canada</t>
        </is>
      </c>
    </row>
    <row r="97">
      <c r="A97" t="inlineStr">
        <is>
          <t>T-2024-P7-0003</t>
        </is>
      </c>
      <c r="B97" t="inlineStr">
        <is>
          <t>SLE</t>
        </is>
      </c>
      <c r="C97" t="inlineStr">
        <is>
          <t>Chief Executive Officer</t>
        </is>
      </c>
      <c r="D97" t="inlineStr">
        <is>
          <t>Président-directeur général</t>
        </is>
      </c>
      <c r="E97" t="inlineStr">
        <is>
          <t>Rizcallah, Philip</t>
        </is>
      </c>
      <c r="F97" t="inlineStr">
        <is>
          <t>Red Deer Safety Code Conference</t>
        </is>
      </c>
      <c r="G97" t="inlineStr">
        <is>
          <t>Conférence pour code de sécurité Red Deer</t>
        </is>
      </c>
      <c r="H97" s="1" t="n">
        <v>45217</v>
      </c>
      <c r="I97" s="1" t="n">
        <v>45220</v>
      </c>
      <c r="J97" t="inlineStr">
        <is>
          <t>Edmonton, Alberta, Canada</t>
        </is>
      </c>
      <c r="K97" t="inlineStr">
        <is>
          <t>Edmonton, Alberta, Canada</t>
        </is>
      </c>
      <c r="P97" t="n">
        <v>840.1799999999999</v>
      </c>
      <c r="Q97" t="n">
        <v>187.1</v>
      </c>
      <c r="R97" t="n">
        <v>545.61</v>
      </c>
      <c r="S97" t="n">
        <v>372.9</v>
      </c>
      <c r="T97" t="n">
        <v>0</v>
      </c>
      <c r="U97" t="n">
        <v>1945.79</v>
      </c>
      <c r="X97" t="inlineStr">
        <is>
          <t>casdo-ocena</t>
        </is>
      </c>
      <c r="Y97" t="inlineStr">
        <is>
          <t>Accessibility Standards Canada | Normes d’accessibilité Canada</t>
        </is>
      </c>
    </row>
    <row r="98">
      <c r="A98" t="inlineStr">
        <is>
          <t>T-2024-P7-0004</t>
        </is>
      </c>
      <c r="B98" t="inlineStr">
        <is>
          <t>SLE</t>
        </is>
      </c>
      <c r="C98" t="inlineStr">
        <is>
          <t>Chief Executive Officer</t>
        </is>
      </c>
      <c r="D98" t="inlineStr">
        <is>
          <t>Président-directeur général</t>
        </is>
      </c>
      <c r="E98" t="inlineStr">
        <is>
          <t>Rizcallah, Philip</t>
        </is>
      </c>
      <c r="F98" t="inlineStr">
        <is>
          <t>Washington Enabling Summit</t>
        </is>
      </c>
      <c r="G98" t="inlineStr">
        <is>
          <t>Conférence pour code de sécurité Red Deer</t>
        </is>
      </c>
      <c r="H98" s="1" t="n">
        <v>45207</v>
      </c>
      <c r="I98" s="1" t="n">
        <v>45212</v>
      </c>
      <c r="J98" t="inlineStr">
        <is>
          <t>Washington DC, United States</t>
        </is>
      </c>
      <c r="K98" t="inlineStr">
        <is>
          <t>Washington DC, Etats Unis</t>
        </is>
      </c>
      <c r="P98" t="n">
        <v>923.11</v>
      </c>
      <c r="Q98" t="n">
        <v>106.17</v>
      </c>
      <c r="R98" t="n">
        <v>2026.24</v>
      </c>
      <c r="S98" t="n">
        <v>891.24</v>
      </c>
      <c r="T98" t="n">
        <v>0</v>
      </c>
      <c r="U98" t="n">
        <v>3946.76</v>
      </c>
      <c r="X98" t="inlineStr">
        <is>
          <t>casdo-ocena</t>
        </is>
      </c>
      <c r="Y98" t="inlineStr">
        <is>
          <t>Accessibility Standards Canada | Normes d’accessibilité Canada</t>
        </is>
      </c>
    </row>
    <row r="99">
      <c r="A99" t="inlineStr">
        <is>
          <t>T-2024-P7-0005</t>
        </is>
      </c>
      <c r="B99" t="inlineStr">
        <is>
          <t>SLE</t>
        </is>
      </c>
      <c r="C99" t="inlineStr">
        <is>
          <t>Vice Chair</t>
        </is>
      </c>
      <c r="D99" t="inlineStr">
        <is>
          <t>Vice-Présidente</t>
        </is>
      </c>
      <c r="E99" t="inlineStr">
        <is>
          <t>Reid, Mary</t>
        </is>
      </c>
      <c r="F99" t="inlineStr">
        <is>
          <t>Funeral Estey</t>
        </is>
      </c>
      <c r="G99" t="inlineStr">
        <is>
          <t>Funeral Estey</t>
        </is>
      </c>
      <c r="H99" s="1" t="n">
        <v>45187</v>
      </c>
      <c r="I99" s="1" t="n">
        <v>45188</v>
      </c>
      <c r="J99" t="inlineStr">
        <is>
          <t>Halifax, Nova Scotia, Canada</t>
        </is>
      </c>
      <c r="K99" t="inlineStr">
        <is>
          <t>Halifax, Nouvelle Ecosse, Canada</t>
        </is>
      </c>
      <c r="P99" t="n">
        <v>1006.13</v>
      </c>
      <c r="Q99" t="n">
        <v>287.42</v>
      </c>
      <c r="R99" t="n">
        <v>201.76</v>
      </c>
      <c r="S99" t="n">
        <v>199.3</v>
      </c>
      <c r="T99" t="n">
        <v>0</v>
      </c>
      <c r="U99" t="n">
        <v>1694.61</v>
      </c>
      <c r="X99" t="inlineStr">
        <is>
          <t>casdo-ocena</t>
        </is>
      </c>
      <c r="Y99" t="inlineStr">
        <is>
          <t>Accessibility Standards Canada | Normes d’accessibilité Canada</t>
        </is>
      </c>
    </row>
    <row r="100">
      <c r="A100" t="inlineStr">
        <is>
          <t>T-2024-P7-0006</t>
        </is>
      </c>
      <c r="B100" t="inlineStr">
        <is>
          <t>SLE</t>
        </is>
      </c>
      <c r="C100" t="inlineStr">
        <is>
          <t>Vice Chair</t>
        </is>
      </c>
      <c r="D100" t="inlineStr">
        <is>
          <t>Vice-Présidente</t>
        </is>
      </c>
      <c r="E100" t="inlineStr">
        <is>
          <t>Reid, Mary</t>
        </is>
      </c>
      <c r="F100" t="inlineStr">
        <is>
          <t>Board meeting</t>
        </is>
      </c>
      <c r="G100" t="inlineStr">
        <is>
          <t>Réunion du conseil d’administration à St-John</t>
        </is>
      </c>
      <c r="H100" s="1" t="n">
        <v>45209</v>
      </c>
      <c r="I100" s="1" t="n">
        <v>45213</v>
      </c>
      <c r="J100" t="inlineStr">
        <is>
          <t>St. John's, Newfoundland</t>
        </is>
      </c>
      <c r="K100" t="inlineStr">
        <is>
          <t>St. John's, Terre-Neuve</t>
        </is>
      </c>
      <c r="P100" t="n">
        <v>0</v>
      </c>
      <c r="Q100" t="n">
        <v>63.66</v>
      </c>
      <c r="R100" t="n">
        <v>1375.64</v>
      </c>
      <c r="S100" t="n">
        <v>363.3</v>
      </c>
      <c r="T100" t="n">
        <v>0</v>
      </c>
      <c r="U100" t="n">
        <v>1802.6</v>
      </c>
      <c r="X100" t="inlineStr">
        <is>
          <t>casdo-ocena</t>
        </is>
      </c>
      <c r="Y100" t="inlineStr">
        <is>
          <t>Accessibility Standards Canada | Normes d’accessibilité Canada</t>
        </is>
      </c>
    </row>
    <row r="101">
      <c r="A101" t="inlineStr">
        <is>
          <t>T-2024-P7-0007</t>
        </is>
      </c>
      <c r="B101" t="inlineStr">
        <is>
          <t>SLE</t>
        </is>
      </c>
      <c r="C101" t="inlineStr">
        <is>
          <t>Board Member</t>
        </is>
      </c>
      <c r="D101" t="inlineStr">
        <is>
          <t>Membre du conseil d'administration</t>
        </is>
      </c>
      <c r="E101" t="inlineStr">
        <is>
          <t>Kory, Earle</t>
        </is>
      </c>
      <c r="F101" t="inlineStr">
        <is>
          <t>Board meeting</t>
        </is>
      </c>
      <c r="G101" t="inlineStr">
        <is>
          <t>Réunion du conseil d’administration à St-John</t>
        </is>
      </c>
      <c r="H101" s="1" t="n">
        <v>45209</v>
      </c>
      <c r="I101" s="1" t="n">
        <v>45214</v>
      </c>
      <c r="J101" t="inlineStr">
        <is>
          <t>St. John's, Newfoundland</t>
        </is>
      </c>
      <c r="K101" t="inlineStr">
        <is>
          <t>St. John's, Terre-Neuve</t>
        </is>
      </c>
      <c r="P101" t="n">
        <v>1246.38</v>
      </c>
      <c r="Q101" t="n">
        <v>103.22</v>
      </c>
      <c r="R101" t="n">
        <v>1719.55</v>
      </c>
      <c r="S101" t="n">
        <v>504</v>
      </c>
      <c r="T101" t="n">
        <v>0</v>
      </c>
      <c r="U101" t="n">
        <v>3573.15</v>
      </c>
      <c r="X101" t="inlineStr">
        <is>
          <t>casdo-ocena</t>
        </is>
      </c>
      <c r="Y101" t="inlineStr">
        <is>
          <t>Accessibility Standards Canada | Normes d’accessibilité Canada</t>
        </is>
      </c>
    </row>
    <row r="102">
      <c r="A102" t="inlineStr">
        <is>
          <t>T-2024-P7-0008</t>
        </is>
      </c>
      <c r="B102" t="inlineStr">
        <is>
          <t>SLE</t>
        </is>
      </c>
      <c r="C102" t="inlineStr">
        <is>
          <t>Board Member</t>
        </is>
      </c>
      <c r="D102" t="inlineStr">
        <is>
          <t>Membre du conseil d'administration</t>
        </is>
      </c>
      <c r="E102" t="inlineStr">
        <is>
          <t>Ringaert, Laurie</t>
        </is>
      </c>
      <c r="F102" t="inlineStr">
        <is>
          <t>Board meeting</t>
        </is>
      </c>
      <c r="G102" t="inlineStr">
        <is>
          <t>Réunion du conseil d’administration à St-John</t>
        </is>
      </c>
      <c r="H102" s="1" t="n">
        <v>45176</v>
      </c>
      <c r="I102" s="1" t="n">
        <v>45184</v>
      </c>
      <c r="J102" t="inlineStr">
        <is>
          <t>St. John's, Newfoundland</t>
        </is>
      </c>
      <c r="K102" t="inlineStr">
        <is>
          <t>St. John's, Terre-Neuve</t>
        </is>
      </c>
      <c r="P102" t="n">
        <v>1125.78</v>
      </c>
      <c r="Q102" t="n">
        <v>91.39</v>
      </c>
      <c r="R102" t="n">
        <v>1719.55</v>
      </c>
      <c r="S102" t="n">
        <v>486.7</v>
      </c>
      <c r="T102" t="n">
        <v>0</v>
      </c>
      <c r="U102" t="n">
        <v>3423.42</v>
      </c>
      <c r="X102" t="inlineStr">
        <is>
          <t>casdo-ocena</t>
        </is>
      </c>
      <c r="Y102" t="inlineStr">
        <is>
          <t>Accessibility Standards Canada | Normes d’accessibilité Canada</t>
        </is>
      </c>
    </row>
    <row r="103">
      <c r="A103" t="inlineStr">
        <is>
          <t>T-2024-P8-0001</t>
        </is>
      </c>
      <c r="B103" t="inlineStr">
        <is>
          <t>SLE</t>
        </is>
      </c>
      <c r="C103" t="inlineStr">
        <is>
          <t>Chief Executive Officer</t>
        </is>
      </c>
      <c r="D103" t="inlineStr">
        <is>
          <t>Président-directeur général</t>
        </is>
      </c>
      <c r="E103" t="inlineStr">
        <is>
          <t>Rizcallah, Philip</t>
        </is>
      </c>
      <c r="F103" t="inlineStr">
        <is>
          <t>Christchurch Conference</t>
        </is>
      </c>
      <c r="G103" t="inlineStr">
        <is>
          <t>Conférence Christchurch</t>
        </is>
      </c>
      <c r="H103" s="1" t="n">
        <v>45226</v>
      </c>
      <c r="I103" s="1" t="n">
        <v>45233</v>
      </c>
      <c r="J103" t="inlineStr">
        <is>
          <t>Christchurch, New Zealand</t>
        </is>
      </c>
      <c r="K103" t="inlineStr">
        <is>
          <t>Christchurch, Nouvelle Zelande</t>
        </is>
      </c>
      <c r="P103" t="n">
        <v>7657.55</v>
      </c>
      <c r="Q103" t="n">
        <v>312.99</v>
      </c>
      <c r="R103" t="n">
        <v>1308.11</v>
      </c>
      <c r="S103" t="n">
        <v>1114.93</v>
      </c>
      <c r="T103" t="n">
        <v>16.23</v>
      </c>
      <c r="U103" t="n">
        <v>10409.81</v>
      </c>
      <c r="X103" t="inlineStr">
        <is>
          <t>casdo-ocena</t>
        </is>
      </c>
      <c r="Y103" t="inlineStr">
        <is>
          <t>Accessibility Standards Canada | Normes d’accessibilité Canada</t>
        </is>
      </c>
    </row>
    <row r="104">
      <c r="A104" t="inlineStr">
        <is>
          <t>T-2024-P8-0002</t>
        </is>
      </c>
      <c r="B104" t="inlineStr">
        <is>
          <t>SLE</t>
        </is>
      </c>
      <c r="C104" t="inlineStr">
        <is>
          <t>Chief Executive Officer</t>
        </is>
      </c>
      <c r="D104" t="inlineStr">
        <is>
          <t>Président-directeur général</t>
        </is>
      </c>
      <c r="E104" t="inlineStr">
        <is>
          <t>Rizcallah, Philip</t>
        </is>
      </c>
      <c r="F104" t="inlineStr">
        <is>
          <t>Intelligentcities Conference</t>
        </is>
      </c>
      <c r="G104" t="inlineStr">
        <is>
          <t>Conférence Intelligentcities</t>
        </is>
      </c>
      <c r="H104" s="1" t="n">
        <v>45222</v>
      </c>
      <c r="I104" s="1" t="n">
        <v>45225</v>
      </c>
      <c r="J104" t="inlineStr">
        <is>
          <t>Toronto, Ontario, Canada</t>
        </is>
      </c>
      <c r="K104" t="inlineStr">
        <is>
          <t>Toronto, Ontario, Canada</t>
        </is>
      </c>
      <c r="P104" t="n">
        <v>820.66</v>
      </c>
      <c r="Q104" t="n">
        <v>245.73</v>
      </c>
      <c r="R104" t="n">
        <v>801.49</v>
      </c>
      <c r="S104" t="n">
        <v>408.7</v>
      </c>
      <c r="T104" t="n">
        <v>0</v>
      </c>
      <c r="U104" t="n">
        <v>2276.58</v>
      </c>
      <c r="X104" t="inlineStr">
        <is>
          <t>casdo-ocena</t>
        </is>
      </c>
      <c r="Y104" t="inlineStr">
        <is>
          <t>Accessibility Standards Canada | Normes d’accessibilité Canada</t>
        </is>
      </c>
    </row>
    <row r="105">
      <c r="A105" t="inlineStr">
        <is>
          <t>T-2024-P8-0003</t>
        </is>
      </c>
      <c r="B105" t="inlineStr">
        <is>
          <t>SLE</t>
        </is>
      </c>
      <c r="C105" t="inlineStr">
        <is>
          <t>Chief Executive Officer</t>
        </is>
      </c>
      <c r="D105" t="inlineStr">
        <is>
          <t>Président-directeur général</t>
        </is>
      </c>
      <c r="E105" t="inlineStr">
        <is>
          <t>Rizcallah, Philip</t>
        </is>
      </c>
      <c r="F105" t="inlineStr">
        <is>
          <t>Tour of Alberta facilities</t>
        </is>
      </c>
      <c r="G105" t="inlineStr">
        <is>
          <t>Voyage en Alberta pour voir les facilites</t>
        </is>
      </c>
      <c r="H105" s="1" t="n">
        <v>45235</v>
      </c>
      <c r="I105" s="1" t="n">
        <v>45241</v>
      </c>
      <c r="J105" t="inlineStr">
        <is>
          <t>Edmonton, Alberta, Canada</t>
        </is>
      </c>
      <c r="K105" t="inlineStr">
        <is>
          <t>Edmonton, Alberta, Canada</t>
        </is>
      </c>
      <c r="P105" t="n">
        <v>1879.94</v>
      </c>
      <c r="Q105" t="n">
        <v>1152.53</v>
      </c>
      <c r="R105" t="n">
        <v>1302.35</v>
      </c>
      <c r="S105" t="n">
        <v>609.4</v>
      </c>
      <c r="T105" t="n">
        <v>0</v>
      </c>
      <c r="U105" t="n">
        <v>4944.22</v>
      </c>
      <c r="X105" t="inlineStr">
        <is>
          <t>casdo-ocena</t>
        </is>
      </c>
      <c r="Y105" t="inlineStr">
        <is>
          <t>Accessibility Standards Canada | Normes d’accessibilité Canada</t>
        </is>
      </c>
    </row>
    <row r="106">
      <c r="A106" t="inlineStr">
        <is>
          <t>T-2024-P8-0004</t>
        </is>
      </c>
      <c r="B106" t="inlineStr">
        <is>
          <t>SLE</t>
        </is>
      </c>
      <c r="C106" t="inlineStr">
        <is>
          <t>Chief Executive Officer</t>
        </is>
      </c>
      <c r="D106" t="inlineStr">
        <is>
          <t>Président-directeur général</t>
        </is>
      </c>
      <c r="E106" t="inlineStr">
        <is>
          <t>Rizcallah, Philip</t>
        </is>
      </c>
      <c r="F106" t="inlineStr">
        <is>
          <t>Operational activities</t>
        </is>
      </c>
      <c r="G106" t="inlineStr">
        <is>
          <t>Activités opérationels</t>
        </is>
      </c>
      <c r="H106" s="1" t="n">
        <v>45245</v>
      </c>
      <c r="I106" s="1" t="n">
        <v>45246</v>
      </c>
      <c r="J106" t="inlineStr">
        <is>
          <t>Montreal, Quebec, Canada</t>
        </is>
      </c>
      <c r="K106" t="inlineStr">
        <is>
          <t>Montréal, Québec, Canada</t>
        </is>
      </c>
      <c r="P106" t="n">
        <v>142.72</v>
      </c>
      <c r="Q106" t="n">
        <v>123.34</v>
      </c>
      <c r="R106" t="n">
        <v>522.42</v>
      </c>
      <c r="S106" t="n">
        <v>144.05</v>
      </c>
      <c r="T106" t="n">
        <v>0</v>
      </c>
      <c r="U106" t="n">
        <v>932.53</v>
      </c>
      <c r="X106" t="inlineStr">
        <is>
          <t>casdo-ocena</t>
        </is>
      </c>
      <c r="Y106" t="inlineStr">
        <is>
          <t>Accessibility Standards Canada | Normes d’accessibilité Canada</t>
        </is>
      </c>
    </row>
    <row r="107">
      <c r="A107" t="inlineStr">
        <is>
          <t>T-2024-P9-0001</t>
        </is>
      </c>
      <c r="B107" t="inlineStr">
        <is>
          <t>SLE</t>
        </is>
      </c>
      <c r="C107" t="inlineStr">
        <is>
          <t>Chief Executive Officer</t>
        </is>
      </c>
      <c r="D107" t="inlineStr">
        <is>
          <t>Président-directeur général</t>
        </is>
      </c>
      <c r="E107" t="inlineStr">
        <is>
          <t>Rizcallah, Philip</t>
        </is>
      </c>
      <c r="F107" t="inlineStr">
        <is>
          <t>Board meeting</t>
        </is>
      </c>
      <c r="G107" t="inlineStr">
        <is>
          <t>Réunion du conseil d'administration</t>
        </is>
      </c>
      <c r="H107" s="1" t="n">
        <v>45269</v>
      </c>
      <c r="I107" s="1" t="n">
        <v>45276</v>
      </c>
      <c r="J107" t="inlineStr">
        <is>
          <t>Vancouver, BC</t>
        </is>
      </c>
      <c r="K107" t="inlineStr">
        <is>
          <t>Vancouver, CB</t>
        </is>
      </c>
      <c r="P107" t="n">
        <v>210.7</v>
      </c>
      <c r="Q107" t="n">
        <v>296.18</v>
      </c>
      <c r="R107" t="n">
        <v>1812.59</v>
      </c>
      <c r="S107" t="n">
        <v>809.5</v>
      </c>
      <c r="T107" t="n">
        <v>0</v>
      </c>
      <c r="U107" t="n">
        <v>3128.97</v>
      </c>
      <c r="X107" t="inlineStr">
        <is>
          <t>casdo-ocena</t>
        </is>
      </c>
      <c r="Y107" t="inlineStr">
        <is>
          <t>Accessibility Standards Canada | Normes d’accessibilité Canada</t>
        </is>
      </c>
    </row>
    <row r="108">
      <c r="A108" t="inlineStr">
        <is>
          <t>T-2024-P9-0002</t>
        </is>
      </c>
      <c r="B108" t="inlineStr">
        <is>
          <t>SLE</t>
        </is>
      </c>
      <c r="C108" t="inlineStr">
        <is>
          <t>Vice Chair</t>
        </is>
      </c>
      <c r="D108" t="inlineStr">
        <is>
          <t>Vice-présidente</t>
        </is>
      </c>
      <c r="E108" t="inlineStr">
        <is>
          <t>Reid, Mary</t>
        </is>
      </c>
      <c r="F108" t="inlineStr">
        <is>
          <t>Board meeting</t>
        </is>
      </c>
      <c r="G108" t="inlineStr">
        <is>
          <t>Réunion du conseil d'administration</t>
        </is>
      </c>
      <c r="H108" s="1" t="n">
        <v>45245</v>
      </c>
      <c r="I108" s="1" t="n">
        <v>45247</v>
      </c>
      <c r="J108" t="inlineStr">
        <is>
          <t>Montreal, Quebec, Canada</t>
        </is>
      </c>
      <c r="K108" t="inlineStr">
        <is>
          <t>Montréal, Québec, Canada</t>
        </is>
      </c>
      <c r="P108" t="n">
        <v>954.5</v>
      </c>
      <c r="Q108" t="n">
        <v>65.7</v>
      </c>
      <c r="R108" t="n">
        <v>685.79</v>
      </c>
      <c r="S108" t="n">
        <v>319.8</v>
      </c>
      <c r="T108" t="n">
        <v>0</v>
      </c>
      <c r="U108" t="n">
        <v>2025.79</v>
      </c>
      <c r="X108" t="inlineStr">
        <is>
          <t>casdo-ocena</t>
        </is>
      </c>
      <c r="Y108" t="inlineStr">
        <is>
          <t>Accessibility Standards Canada | Normes d’accessibilité Canada</t>
        </is>
      </c>
    </row>
    <row r="109">
      <c r="A109" t="inlineStr">
        <is>
          <t>T-2024-P9-0003</t>
        </is>
      </c>
      <c r="B109" t="inlineStr">
        <is>
          <t>SLE</t>
        </is>
      </c>
      <c r="C109" t="inlineStr">
        <is>
          <t>Board Member</t>
        </is>
      </c>
      <c r="D109" t="inlineStr">
        <is>
          <t>Membre du conseil d'administration</t>
        </is>
      </c>
      <c r="E109" t="inlineStr">
        <is>
          <t>Adair, William</t>
        </is>
      </c>
      <c r="F109" t="inlineStr">
        <is>
          <t>Meeting with Executives</t>
        </is>
      </c>
      <c r="G109" t="inlineStr">
        <is>
          <t>Réunion avec executifs</t>
        </is>
      </c>
      <c r="H109" s="1" t="n">
        <v>45237</v>
      </c>
      <c r="I109" s="1" t="n">
        <v>45238</v>
      </c>
      <c r="J109" t="inlineStr">
        <is>
          <t>Gatineau, Quebec</t>
        </is>
      </c>
      <c r="K109" t="inlineStr">
        <is>
          <t>Gatineau, Québec</t>
        </is>
      </c>
      <c r="P109" t="n">
        <v>975.47</v>
      </c>
      <c r="Q109" t="n">
        <v>0</v>
      </c>
      <c r="R109" t="n">
        <v>0</v>
      </c>
      <c r="S109" t="n">
        <v>182.9</v>
      </c>
      <c r="T109" t="n">
        <v>0</v>
      </c>
      <c r="U109" t="n">
        <v>1158.37</v>
      </c>
      <c r="X109" t="inlineStr">
        <is>
          <t>casdo-ocena</t>
        </is>
      </c>
      <c r="Y109" t="inlineStr">
        <is>
          <t>Accessibility Standards Canada | Normes d’accessibilité Canada</t>
        </is>
      </c>
    </row>
    <row r="110">
      <c r="A110" t="inlineStr">
        <is>
          <t>T-2024-P10-0001</t>
        </is>
      </c>
      <c r="B110" t="inlineStr">
        <is>
          <t>SLE</t>
        </is>
      </c>
      <c r="C110" t="inlineStr">
        <is>
          <t>Vice Chair</t>
        </is>
      </c>
      <c r="D110" t="inlineStr">
        <is>
          <t>Vice-présidente</t>
        </is>
      </c>
      <c r="E110" t="inlineStr">
        <is>
          <t>Reid, Mary</t>
        </is>
      </c>
      <c r="F110" t="inlineStr">
        <is>
          <t>Board meeting</t>
        </is>
      </c>
      <c r="G110" t="inlineStr">
        <is>
          <t>Réunion du conseil d'administration</t>
        </is>
      </c>
      <c r="H110" s="1" t="n">
        <v>45270</v>
      </c>
      <c r="I110" s="1" t="n">
        <v>45273</v>
      </c>
      <c r="J110" t="inlineStr">
        <is>
          <t>Vancouver, BC</t>
        </is>
      </c>
      <c r="K110" t="inlineStr">
        <is>
          <t>Vancouver, CB</t>
        </is>
      </c>
      <c r="P110" t="n">
        <v>807.8</v>
      </c>
      <c r="Q110" t="n">
        <v>19.49</v>
      </c>
      <c r="R110" t="n">
        <v>1075.96</v>
      </c>
      <c r="S110" t="n">
        <v>619.05</v>
      </c>
      <c r="T110" t="n">
        <v>0</v>
      </c>
      <c r="U110" t="n">
        <v>2522.3</v>
      </c>
      <c r="X110" t="inlineStr">
        <is>
          <t>casdo-ocena</t>
        </is>
      </c>
      <c r="Y110" t="inlineStr">
        <is>
          <t>Accessibility Standards Canada | Normes d’accessibilité Canada</t>
        </is>
      </c>
    </row>
    <row r="111">
      <c r="A111" t="inlineStr">
        <is>
          <t>T-2024-P10-0002</t>
        </is>
      </c>
      <c r="B111" t="inlineStr">
        <is>
          <t>SLE</t>
        </is>
      </c>
      <c r="C111" t="inlineStr">
        <is>
          <t>Board Member</t>
        </is>
      </c>
      <c r="D111" t="inlineStr">
        <is>
          <t>Membre du conseil d'administration</t>
        </is>
      </c>
      <c r="E111" t="inlineStr">
        <is>
          <t>Kory, Earle</t>
        </is>
      </c>
      <c r="F111" t="inlineStr">
        <is>
          <t>Board meeting</t>
        </is>
      </c>
      <c r="G111" t="inlineStr">
        <is>
          <t>Réunion du conseil d'administration</t>
        </is>
      </c>
      <c r="H111" s="1" t="n">
        <v>45270</v>
      </c>
      <c r="I111" s="1" t="n">
        <v>45273</v>
      </c>
      <c r="J111" t="inlineStr">
        <is>
          <t>Vancouver, BC</t>
        </is>
      </c>
      <c r="K111" t="inlineStr">
        <is>
          <t>Vancouver, CB</t>
        </is>
      </c>
      <c r="P111" t="n">
        <v>729.39</v>
      </c>
      <c r="Q111" t="n">
        <v>280</v>
      </c>
      <c r="R111" t="n">
        <v>806.97</v>
      </c>
      <c r="S111" t="n">
        <v>457.7</v>
      </c>
      <c r="T111" t="n">
        <v>0</v>
      </c>
      <c r="U111" t="n">
        <v>2274.06</v>
      </c>
      <c r="X111" t="inlineStr">
        <is>
          <t>casdo-ocena</t>
        </is>
      </c>
      <c r="Y111" t="inlineStr">
        <is>
          <t>Accessibility Standards Canada | Normes d’accessibilité Canada</t>
        </is>
      </c>
    </row>
    <row r="112">
      <c r="A112" t="inlineStr">
        <is>
          <t>T-2024-P10-0003</t>
        </is>
      </c>
      <c r="B112" t="inlineStr">
        <is>
          <t>SLE</t>
        </is>
      </c>
      <c r="C112" t="inlineStr">
        <is>
          <t>Board Member</t>
        </is>
      </c>
      <c r="D112" t="inlineStr">
        <is>
          <t>Membre du conseil d'administration</t>
        </is>
      </c>
      <c r="E112" t="inlineStr">
        <is>
          <t>McLaughlin, Joseph</t>
        </is>
      </c>
      <c r="F112" t="inlineStr">
        <is>
          <t>Board meeting</t>
        </is>
      </c>
      <c r="G112" t="inlineStr">
        <is>
          <t>Réunion du conseil d'administration</t>
        </is>
      </c>
      <c r="H112" s="1" t="n">
        <v>45270</v>
      </c>
      <c r="I112" s="1" t="n">
        <v>45273</v>
      </c>
      <c r="J112" t="inlineStr">
        <is>
          <t>Vancouver, BC</t>
        </is>
      </c>
      <c r="K112" t="inlineStr">
        <is>
          <t>Vancouver, CB</t>
        </is>
      </c>
      <c r="P112" t="n">
        <v>0</v>
      </c>
      <c r="Q112" t="n">
        <v>49.72</v>
      </c>
      <c r="R112" t="n">
        <v>806.97</v>
      </c>
      <c r="S112" t="n">
        <v>281.95</v>
      </c>
      <c r="T112" t="n">
        <v>98</v>
      </c>
      <c r="U112" t="n">
        <v>1236.64</v>
      </c>
      <c r="X112" t="inlineStr">
        <is>
          <t>casdo-ocena</t>
        </is>
      </c>
      <c r="Y112" t="inlineStr">
        <is>
          <t>Accessibility Standards Canada | Normes d’accessibilité Canada</t>
        </is>
      </c>
    </row>
    <row r="113">
      <c r="A113" t="inlineStr">
        <is>
          <t>T-2024-P10-0004</t>
        </is>
      </c>
      <c r="B113" t="inlineStr">
        <is>
          <t>SLE</t>
        </is>
      </c>
      <c r="C113" t="inlineStr">
        <is>
          <t>Board Member</t>
        </is>
      </c>
      <c r="D113" t="inlineStr">
        <is>
          <t>Membre du conseil d'administration</t>
        </is>
      </c>
      <c r="E113" t="inlineStr">
        <is>
          <t>Ringaert, Laurie</t>
        </is>
      </c>
      <c r="F113" t="inlineStr">
        <is>
          <t>Board meeting</t>
        </is>
      </c>
      <c r="G113" t="inlineStr">
        <is>
          <t>Réunion du conseil d'administration</t>
        </is>
      </c>
      <c r="H113" s="1" t="n">
        <v>45270</v>
      </c>
      <c r="I113" s="1" t="n">
        <v>45273</v>
      </c>
      <c r="J113" t="inlineStr">
        <is>
          <t>Vancouver, BC</t>
        </is>
      </c>
      <c r="K113" t="inlineStr">
        <is>
          <t>Vancouver, CB</t>
        </is>
      </c>
      <c r="P113" t="n">
        <v>772.01</v>
      </c>
      <c r="Q113" t="n">
        <v>61.34</v>
      </c>
      <c r="R113" t="n">
        <v>806.97</v>
      </c>
      <c r="S113" t="n">
        <v>397.25</v>
      </c>
      <c r="T113" t="n">
        <v>0</v>
      </c>
      <c r="U113" t="n">
        <v>2037.57</v>
      </c>
      <c r="X113" t="inlineStr">
        <is>
          <t>casdo-ocena</t>
        </is>
      </c>
      <c r="Y113" t="inlineStr">
        <is>
          <t>Accessibility Standards Canada | Normes d’accessibilité Canada</t>
        </is>
      </c>
    </row>
    <row r="114">
      <c r="A114" t="inlineStr">
        <is>
          <t>T-2024-P10-0005</t>
        </is>
      </c>
      <c r="B114" t="inlineStr">
        <is>
          <t>SLE</t>
        </is>
      </c>
      <c r="C114" t="inlineStr">
        <is>
          <t>Board Member</t>
        </is>
      </c>
      <c r="D114" t="inlineStr">
        <is>
          <t>Membre du conseil d'administration</t>
        </is>
      </c>
      <c r="E114" t="inlineStr">
        <is>
          <t>Haan, Maureen</t>
        </is>
      </c>
      <c r="F114" t="inlineStr">
        <is>
          <t>Board meeting</t>
        </is>
      </c>
      <c r="G114" t="inlineStr">
        <is>
          <t>Réunion du conseil d'administration</t>
        </is>
      </c>
      <c r="H114" s="1" t="n">
        <v>45270</v>
      </c>
      <c r="I114" s="1" t="n">
        <v>45273</v>
      </c>
      <c r="J114" t="inlineStr">
        <is>
          <t>Vancouver, BC</t>
        </is>
      </c>
      <c r="K114" t="inlineStr">
        <is>
          <t>Vancouver, CB</t>
        </is>
      </c>
      <c r="P114" t="n">
        <v>738.24</v>
      </c>
      <c r="Q114" t="n">
        <v>158.43</v>
      </c>
      <c r="R114" t="n">
        <v>1125.55</v>
      </c>
      <c r="S114" t="n">
        <v>584.45</v>
      </c>
      <c r="T114" t="n">
        <v>0</v>
      </c>
      <c r="U114" t="n">
        <v>2606.67</v>
      </c>
      <c r="X114" t="inlineStr">
        <is>
          <t>casdo-ocena</t>
        </is>
      </c>
      <c r="Y114" t="inlineStr">
        <is>
          <t>Accessibility Standards Canada | Normes d’accessibilité Canada</t>
        </is>
      </c>
    </row>
    <row r="115">
      <c r="A115" t="inlineStr">
        <is>
          <t>T-2024-P10-0006</t>
        </is>
      </c>
      <c r="B115" t="inlineStr">
        <is>
          <t>SLE</t>
        </is>
      </c>
      <c r="C115" t="inlineStr">
        <is>
          <t>Board Member</t>
        </is>
      </c>
      <c r="D115" t="inlineStr">
        <is>
          <t>Membre du conseil d'administration</t>
        </is>
      </c>
      <c r="E115" t="inlineStr">
        <is>
          <t>Adair, William</t>
        </is>
      </c>
      <c r="F115" t="inlineStr">
        <is>
          <t>Board meeting</t>
        </is>
      </c>
      <c r="G115" t="inlineStr">
        <is>
          <t>Réunion du conseil d'administration</t>
        </is>
      </c>
      <c r="H115" s="1" t="n">
        <v>45270</v>
      </c>
      <c r="I115" s="1" t="n">
        <v>45273</v>
      </c>
      <c r="J115" t="inlineStr">
        <is>
          <t>Vancouver, BC</t>
        </is>
      </c>
      <c r="K115" t="inlineStr">
        <is>
          <t>Vancouver, CB</t>
        </is>
      </c>
      <c r="P115" t="n">
        <v>574.67</v>
      </c>
      <c r="Q115" t="n">
        <v>140.46</v>
      </c>
      <c r="R115" t="n">
        <v>806.97</v>
      </c>
      <c r="S115" t="n">
        <v>397.25</v>
      </c>
      <c r="T115" t="n">
        <v>0</v>
      </c>
      <c r="U115" t="n">
        <v>1919.35</v>
      </c>
      <c r="X115" t="inlineStr">
        <is>
          <t>casdo-ocena</t>
        </is>
      </c>
      <c r="Y115" t="inlineStr">
        <is>
          <t>Accessibility Standards Canada | Normes d’accessibilité Canada</t>
        </is>
      </c>
    </row>
    <row r="116">
      <c r="A116" t="inlineStr">
        <is>
          <t>T-2024-P11-0001</t>
        </is>
      </c>
      <c r="B116" t="inlineStr">
        <is>
          <t>SLE</t>
        </is>
      </c>
      <c r="C116" t="inlineStr">
        <is>
          <t>Chief Executive Officer</t>
        </is>
      </c>
      <c r="D116" t="inlineStr">
        <is>
          <t>Président directeur-général</t>
        </is>
      </c>
      <c r="E116" t="inlineStr">
        <is>
          <t>Rizcallah, Philip</t>
        </is>
      </c>
      <c r="F116" t="inlineStr">
        <is>
          <t>Operational activities</t>
        </is>
      </c>
      <c r="G116" t="inlineStr">
        <is>
          <t>Activités opérationels</t>
        </is>
      </c>
      <c r="H116" s="1" t="n">
        <v>45263</v>
      </c>
      <c r="I116" s="1" t="n">
        <v>45264</v>
      </c>
      <c r="J116" t="inlineStr">
        <is>
          <t>Toronto, Ontario</t>
        </is>
      </c>
      <c r="K116" t="inlineStr">
        <is>
          <t>Toronto, Ontario</t>
        </is>
      </c>
      <c r="P116" t="n">
        <v>0</v>
      </c>
      <c r="Q116" t="n">
        <v>621.27</v>
      </c>
      <c r="R116" t="n">
        <v>252.71</v>
      </c>
      <c r="S116" t="n">
        <v>204.5</v>
      </c>
      <c r="T116" t="n">
        <v>0</v>
      </c>
      <c r="U116" t="n">
        <v>1078.48</v>
      </c>
      <c r="X116" t="inlineStr">
        <is>
          <t>casdo-ocena</t>
        </is>
      </c>
      <c r="Y116" t="inlineStr">
        <is>
          <t>Accessibility Standards Canada | Normes d’accessibilité Canada</t>
        </is>
      </c>
    </row>
    <row r="117">
      <c r="A117" t="inlineStr">
        <is>
          <t>T-2024-P11-0002</t>
        </is>
      </c>
      <c r="B117" t="inlineStr">
        <is>
          <t>SLE</t>
        </is>
      </c>
      <c r="C117" t="inlineStr">
        <is>
          <t>Chief Executive Officer</t>
        </is>
      </c>
      <c r="D117" t="inlineStr">
        <is>
          <t>Président directeur-général</t>
        </is>
      </c>
      <c r="E117" t="inlineStr">
        <is>
          <t>Rizcallah, Philip</t>
        </is>
      </c>
      <c r="F117" t="inlineStr">
        <is>
          <t>Operational activities</t>
        </is>
      </c>
      <c r="G117" t="inlineStr">
        <is>
          <t>Activités opérationels</t>
        </is>
      </c>
      <c r="H117" s="1" t="n">
        <v>45312</v>
      </c>
      <c r="I117" s="1" t="n">
        <v>45316</v>
      </c>
      <c r="J117" t="inlineStr">
        <is>
          <t>Toronto, Ontario</t>
        </is>
      </c>
      <c r="K117" t="inlineStr">
        <is>
          <t>Toronto, Ontario</t>
        </is>
      </c>
      <c r="P117" t="n">
        <v>770.9400000000001</v>
      </c>
      <c r="Q117" t="n">
        <v>377.66</v>
      </c>
      <c r="R117" t="n">
        <v>953.4400000000001</v>
      </c>
      <c r="S117" t="n">
        <v>609.4</v>
      </c>
      <c r="T117" t="n">
        <v>0</v>
      </c>
      <c r="U117" t="n">
        <v>2711.44</v>
      </c>
      <c r="X117" t="inlineStr">
        <is>
          <t>casdo-ocena</t>
        </is>
      </c>
      <c r="Y117" t="inlineStr">
        <is>
          <t>Accessibility Standards Canada | Normes d’accessibilité Canada</t>
        </is>
      </c>
    </row>
    <row r="118">
      <c r="A118" t="inlineStr">
        <is>
          <t>T-2024-P12-0001</t>
        </is>
      </c>
      <c r="B118" t="inlineStr">
        <is>
          <t>SLE</t>
        </is>
      </c>
      <c r="C118" t="inlineStr">
        <is>
          <t>Chief Executive Officer</t>
        </is>
      </c>
      <c r="D118" t="inlineStr">
        <is>
          <t>Président directeur-général</t>
        </is>
      </c>
      <c r="E118" t="inlineStr">
        <is>
          <t>Rizcallah, Philip</t>
        </is>
      </c>
      <c r="F118" t="inlineStr">
        <is>
          <t>International Standards Conference</t>
        </is>
      </c>
      <c r="G118" t="inlineStr">
        <is>
          <t>Conférence normes internationales</t>
        </is>
      </c>
      <c r="H118" s="1" t="n">
        <v>45342</v>
      </c>
      <c r="I118" s="1" t="n">
        <v>45346</v>
      </c>
      <c r="J118" t="inlineStr">
        <is>
          <t>Vienna, Austria</t>
        </is>
      </c>
      <c r="K118" t="inlineStr">
        <is>
          <t>Vienne, Autriche</t>
        </is>
      </c>
      <c r="P118" t="n">
        <v>10404.35</v>
      </c>
      <c r="Q118" t="n">
        <v>97.81999999999999</v>
      </c>
      <c r="R118" t="n">
        <v>1073.03</v>
      </c>
      <c r="S118" t="n">
        <v>1079.34</v>
      </c>
      <c r="T118" t="n">
        <v>0</v>
      </c>
      <c r="U118" t="n">
        <v>12654.54</v>
      </c>
      <c r="X118" t="inlineStr">
        <is>
          <t>casdo-ocena</t>
        </is>
      </c>
      <c r="Y118" t="inlineStr">
        <is>
          <t>Accessibility Standards Canada | Normes d’accessibilité Canada</t>
        </is>
      </c>
    </row>
    <row r="119">
      <c r="A119" t="inlineStr">
        <is>
          <t>T-2024-P12-0002</t>
        </is>
      </c>
      <c r="B119" t="inlineStr">
        <is>
          <t>SLE</t>
        </is>
      </c>
      <c r="C119" t="inlineStr">
        <is>
          <t>Chief Executive Officer</t>
        </is>
      </c>
      <c r="D119" t="inlineStr">
        <is>
          <t>Président directeur-général</t>
        </is>
      </c>
      <c r="E119" t="inlineStr">
        <is>
          <t>Rizcallah, Philip</t>
        </is>
      </c>
      <c r="F119" t="inlineStr">
        <is>
          <t>CSUN California</t>
        </is>
      </c>
      <c r="G119" t="inlineStr">
        <is>
          <t>CSUN Californie</t>
        </is>
      </c>
      <c r="H119" s="1" t="n">
        <v>45368</v>
      </c>
      <c r="I119" s="1" t="n">
        <v>45374</v>
      </c>
      <c r="J119" t="inlineStr">
        <is>
          <t>California, USA</t>
        </is>
      </c>
      <c r="K119" t="inlineStr">
        <is>
          <t>Californie, EU</t>
        </is>
      </c>
      <c r="P119" t="n">
        <v>1506.51</v>
      </c>
      <c r="Q119" t="n">
        <v>184.29</v>
      </c>
      <c r="R119" t="n">
        <v>2145.49</v>
      </c>
      <c r="S119" t="n">
        <v>1201.4</v>
      </c>
      <c r="T119" t="n">
        <v>0</v>
      </c>
      <c r="U119" t="n">
        <v>5037.69</v>
      </c>
      <c r="X119" t="inlineStr">
        <is>
          <t>casdo-ocena</t>
        </is>
      </c>
      <c r="Y119" t="inlineStr">
        <is>
          <t>Accessibility Standards Canada | Normes d’accessibilité Canada</t>
        </is>
      </c>
    </row>
    <row r="120">
      <c r="A120" t="inlineStr">
        <is>
          <t>T-2024-P12-0003</t>
        </is>
      </c>
      <c r="B120" t="inlineStr">
        <is>
          <t>SLE</t>
        </is>
      </c>
      <c r="C120" t="inlineStr">
        <is>
          <t>Chief Executive Officer</t>
        </is>
      </c>
      <c r="D120" t="inlineStr">
        <is>
          <t>Président directeur-général</t>
        </is>
      </c>
      <c r="E120" t="inlineStr">
        <is>
          <t>Rizcallah, Philip</t>
        </is>
      </c>
      <c r="F120" t="inlineStr">
        <is>
          <t>Operational Activities</t>
        </is>
      </c>
      <c r="G120" t="inlineStr">
        <is>
          <t>Activités Opérationels</t>
        </is>
      </c>
      <c r="H120" s="1" t="n">
        <v>45340</v>
      </c>
      <c r="I120" s="1" t="n">
        <v>45340</v>
      </c>
      <c r="J120" t="inlineStr">
        <is>
          <t>Montreal, Quebec, Canada</t>
        </is>
      </c>
      <c r="K120" t="inlineStr">
        <is>
          <t>Montréal, Québec, Canada</t>
        </is>
      </c>
      <c r="P120" t="n">
        <v>105.32</v>
      </c>
      <c r="Q120" t="n">
        <v>300.98</v>
      </c>
      <c r="R120" t="n">
        <v>929.53</v>
      </c>
      <c r="S120" t="n">
        <v>331.25</v>
      </c>
      <c r="T120" t="n">
        <v>0</v>
      </c>
      <c r="U120" t="n">
        <v>1667.08</v>
      </c>
      <c r="X120" t="inlineStr">
        <is>
          <t>casdo-ocena</t>
        </is>
      </c>
      <c r="Y120" t="inlineStr">
        <is>
          <t>Accessibility Standards Canada | Normes d’accessibilité Canada</t>
        </is>
      </c>
    </row>
    <row r="121">
      <c r="A121" t="inlineStr">
        <is>
          <t>T-2024-P12-0004</t>
        </is>
      </c>
      <c r="B121" t="inlineStr">
        <is>
          <t>SLE</t>
        </is>
      </c>
      <c r="C121" t="inlineStr">
        <is>
          <t>Chief Executive Officer</t>
        </is>
      </c>
      <c r="D121" t="inlineStr">
        <is>
          <t>Président directeur-général</t>
        </is>
      </c>
      <c r="E121" t="inlineStr">
        <is>
          <t>Rizcallah, Philip</t>
        </is>
      </c>
      <c r="F121" t="inlineStr">
        <is>
          <t>APN Conference</t>
        </is>
      </c>
      <c r="G121" t="inlineStr">
        <is>
          <t>Conférence APN</t>
        </is>
      </c>
      <c r="H121" s="1" t="n">
        <v>45377</v>
      </c>
      <c r="I121" s="1" t="n">
        <v>45380</v>
      </c>
      <c r="J121" t="inlineStr">
        <is>
          <t>Vancouver, BC</t>
        </is>
      </c>
      <c r="K121" t="inlineStr">
        <is>
          <t>Vancouver, CB</t>
        </is>
      </c>
      <c r="P121" t="n">
        <v>1469.37</v>
      </c>
      <c r="Q121" t="n">
        <v>141.6</v>
      </c>
      <c r="R121" t="n">
        <v>883.35</v>
      </c>
      <c r="S121" t="n">
        <v>458</v>
      </c>
      <c r="T121" t="n">
        <v>0</v>
      </c>
      <c r="U121" t="n">
        <v>2952.32</v>
      </c>
      <c r="X121" t="inlineStr">
        <is>
          <t>casdo-ocena</t>
        </is>
      </c>
      <c r="Y121" t="inlineStr">
        <is>
          <t>Accessibility Standards Canada | Normes d’accessibilité Canada</t>
        </is>
      </c>
    </row>
    <row r="122">
      <c r="A122" t="inlineStr">
        <is>
          <t>T-2024-P12-0005</t>
        </is>
      </c>
      <c r="B122" t="inlineStr">
        <is>
          <t>SLE</t>
        </is>
      </c>
      <c r="C122" t="inlineStr">
        <is>
          <t>Vice Chair</t>
        </is>
      </c>
      <c r="D122" t="inlineStr">
        <is>
          <t>Vice-présidente</t>
        </is>
      </c>
      <c r="E122" t="inlineStr">
        <is>
          <t>Reid, Mary</t>
        </is>
      </c>
      <c r="F122" t="inlineStr">
        <is>
          <t>Meeting with CEO</t>
        </is>
      </c>
      <c r="G122" t="inlineStr">
        <is>
          <t>Réunion avec Président</t>
        </is>
      </c>
      <c r="H122" s="1" t="n">
        <v>45327</v>
      </c>
      <c r="I122" s="1" t="n">
        <v>45332</v>
      </c>
      <c r="J122" t="inlineStr">
        <is>
          <t>Montreal, Quebec, Canada</t>
        </is>
      </c>
      <c r="K122" t="inlineStr">
        <is>
          <t>Montréal, Québec, Canada</t>
        </is>
      </c>
      <c r="P122" t="n">
        <v>1125.33</v>
      </c>
      <c r="Q122" t="n">
        <v>87.7</v>
      </c>
      <c r="R122" t="n">
        <v>247.98</v>
      </c>
      <c r="S122" t="n">
        <v>295.15</v>
      </c>
      <c r="T122" t="n">
        <v>0</v>
      </c>
      <c r="U122" t="n">
        <v>1756.16</v>
      </c>
      <c r="X122" t="inlineStr">
        <is>
          <t>casdo-ocena</t>
        </is>
      </c>
      <c r="Y122" t="inlineStr">
        <is>
          <t>Accessibility Standards Canada | Normes d’accessibilité Canada</t>
        </is>
      </c>
    </row>
    <row r="123">
      <c r="A123" t="inlineStr">
        <is>
          <t>T-2024-P12-0006</t>
        </is>
      </c>
      <c r="B123" t="inlineStr">
        <is>
          <t>SLE</t>
        </is>
      </c>
      <c r="C123" t="inlineStr">
        <is>
          <t>Board Member</t>
        </is>
      </c>
      <c r="D123" t="inlineStr">
        <is>
          <t>Membre du conseil d'administration</t>
        </is>
      </c>
      <c r="E123" t="inlineStr">
        <is>
          <t>Haan, Maureen</t>
        </is>
      </c>
      <c r="F123" t="inlineStr">
        <is>
          <t>Meeting with CEO</t>
        </is>
      </c>
      <c r="G123" t="inlineStr">
        <is>
          <t>Réunion avec Président</t>
        </is>
      </c>
      <c r="H123" s="1" t="n">
        <v>45340</v>
      </c>
      <c r="I123" s="1" t="n">
        <v>45342</v>
      </c>
      <c r="J123" t="inlineStr">
        <is>
          <t>Montreal, Quebec, Canada</t>
        </is>
      </c>
      <c r="K123" t="inlineStr">
        <is>
          <t>Montréal, Québec, Canada</t>
        </is>
      </c>
      <c r="P123" t="n">
        <v>712.65</v>
      </c>
      <c r="Q123" t="n">
        <v>68.90000000000001</v>
      </c>
      <c r="R123" t="n">
        <v>0</v>
      </c>
      <c r="S123" t="n">
        <v>246.45</v>
      </c>
      <c r="T123" t="n">
        <v>0</v>
      </c>
      <c r="U123" t="n">
        <v>1028</v>
      </c>
      <c r="X123" t="inlineStr">
        <is>
          <t>casdo-ocena</t>
        </is>
      </c>
      <c r="Y123" t="inlineStr">
        <is>
          <t>Accessibility Standards Canada | Normes d’accessibilité Canada</t>
        </is>
      </c>
    </row>
    <row r="124">
      <c r="A124" t="inlineStr">
        <is>
          <t>T-2025-P1-0001</t>
        </is>
      </c>
      <c r="B124" t="inlineStr">
        <is>
          <t>SLE</t>
        </is>
      </c>
      <c r="C124" t="inlineStr">
        <is>
          <t>Chief Executive Officer</t>
        </is>
      </c>
      <c r="D124" t="inlineStr">
        <is>
          <t>Président directeur-général</t>
        </is>
      </c>
      <c r="E124" t="inlineStr">
        <is>
          <t>Rizcallah, Philip</t>
        </is>
      </c>
      <c r="F124" t="inlineStr">
        <is>
          <t>Standards Conference Pittsburgh</t>
        </is>
      </c>
      <c r="G124" t="inlineStr">
        <is>
          <t>Conférence des normes à Pittsburgh</t>
        </is>
      </c>
      <c r="H124" s="1" t="n">
        <v>45391</v>
      </c>
      <c r="I124" s="1" t="n">
        <v>45393</v>
      </c>
      <c r="J124" t="inlineStr">
        <is>
          <t>Pittsburgh, USA</t>
        </is>
      </c>
      <c r="K124" t="inlineStr">
        <is>
          <t>Pittsburgh, EU</t>
        </is>
      </c>
      <c r="P124" t="n">
        <v>958.5</v>
      </c>
      <c r="Q124" t="n">
        <v>267.74</v>
      </c>
      <c r="R124" t="n">
        <v>423.91</v>
      </c>
      <c r="S124" t="n">
        <v>418.63</v>
      </c>
      <c r="T124" t="n">
        <v>0</v>
      </c>
      <c r="U124" t="n">
        <v>2068.78</v>
      </c>
      <c r="X124" t="inlineStr">
        <is>
          <t>casdo-ocena</t>
        </is>
      </c>
      <c r="Y124" t="inlineStr">
        <is>
          <t>Accessibility Standards Canada | Normes d’accessibilité Canada</t>
        </is>
      </c>
    </row>
    <row r="125">
      <c r="A125" t="inlineStr">
        <is>
          <t>T-2025-P1-0002</t>
        </is>
      </c>
      <c r="B125" t="inlineStr">
        <is>
          <t>SLE</t>
        </is>
      </c>
      <c r="C125" t="inlineStr">
        <is>
          <t>Chief Executive Officer</t>
        </is>
      </c>
      <c r="D125" t="inlineStr">
        <is>
          <t>Président directeur-général</t>
        </is>
      </c>
      <c r="E125" t="inlineStr">
        <is>
          <t>Rizcallah, Philip</t>
        </is>
      </c>
      <c r="F125" t="inlineStr">
        <is>
          <t>Operational Activities</t>
        </is>
      </c>
      <c r="G125" t="inlineStr">
        <is>
          <t>Activités opérationels</t>
        </is>
      </c>
      <c r="H125" s="1" t="n">
        <v>45392</v>
      </c>
      <c r="I125" s="1" t="n">
        <v>45392</v>
      </c>
      <c r="J125" t="inlineStr">
        <is>
          <t>Ottawa, Ontario</t>
        </is>
      </c>
      <c r="K125" t="inlineStr">
        <is>
          <t>Ottawa, Ontario</t>
        </is>
      </c>
      <c r="P125" t="n">
        <v>0</v>
      </c>
      <c r="Q125" t="n">
        <v>56.42</v>
      </c>
      <c r="R125" t="n">
        <v>0</v>
      </c>
      <c r="S125" t="n">
        <v>0</v>
      </c>
      <c r="T125" t="n">
        <v>0</v>
      </c>
      <c r="U125" t="n">
        <v>56.42</v>
      </c>
      <c r="X125" t="inlineStr">
        <is>
          <t>casdo-ocena</t>
        </is>
      </c>
      <c r="Y125" t="inlineStr">
        <is>
          <t>Accessibility Standards Canada | Normes d’accessibilité Canada</t>
        </is>
      </c>
    </row>
    <row r="126">
      <c r="A126" t="inlineStr">
        <is>
          <t>T-2025-P1-0003</t>
        </is>
      </c>
      <c r="B126" t="inlineStr">
        <is>
          <t>SLE</t>
        </is>
      </c>
      <c r="C126" t="inlineStr">
        <is>
          <t>Chair</t>
        </is>
      </c>
      <c r="D126" t="inlineStr">
        <is>
          <t>Président</t>
        </is>
      </c>
      <c r="E126" t="inlineStr">
        <is>
          <t>Bérubé, Paul-Claude</t>
        </is>
      </c>
      <c r="F126" t="inlineStr">
        <is>
          <t>Board meeting</t>
        </is>
      </c>
      <c r="G126" t="inlineStr">
        <is>
          <t>Réunion du conseil d'administration</t>
        </is>
      </c>
      <c r="H126" s="1" t="n">
        <v>45270</v>
      </c>
      <c r="I126" s="1" t="n">
        <v>45273</v>
      </c>
      <c r="J126" t="inlineStr">
        <is>
          <t>Vancouver, BC</t>
        </is>
      </c>
      <c r="K126" t="inlineStr">
        <is>
          <t>Vancouver, CB</t>
        </is>
      </c>
      <c r="P126" t="n">
        <v>0</v>
      </c>
      <c r="Q126" t="n">
        <v>99.93000000000001</v>
      </c>
      <c r="R126" t="n">
        <v>0</v>
      </c>
      <c r="S126" t="n">
        <v>348.25</v>
      </c>
      <c r="T126" t="n">
        <v>0</v>
      </c>
      <c r="U126" t="n">
        <v>448.18</v>
      </c>
      <c r="X126" t="inlineStr">
        <is>
          <t>casdo-ocena</t>
        </is>
      </c>
      <c r="Y126" t="inlineStr">
        <is>
          <t>Accessibility Standards Canada | Normes d’accessibilité Canada</t>
        </is>
      </c>
    </row>
    <row r="127">
      <c r="A127" t="inlineStr">
        <is>
          <t>T-2025-P1-0004</t>
        </is>
      </c>
      <c r="B127" t="inlineStr">
        <is>
          <t>SLE</t>
        </is>
      </c>
      <c r="C127" t="inlineStr">
        <is>
          <t>Chair</t>
        </is>
      </c>
      <c r="D127" t="inlineStr">
        <is>
          <t>Président</t>
        </is>
      </c>
      <c r="E127" t="inlineStr">
        <is>
          <t>Bérubé, Paul-Claude</t>
        </is>
      </c>
      <c r="F127" t="inlineStr">
        <is>
          <t>Operational Activities</t>
        </is>
      </c>
      <c r="G127" t="inlineStr">
        <is>
          <t>Activités opérationels</t>
        </is>
      </c>
      <c r="H127" s="1" t="n">
        <v>45327</v>
      </c>
      <c r="I127" s="1" t="n">
        <v>45328</v>
      </c>
      <c r="J127" t="inlineStr">
        <is>
          <t>Ottawa, Ontario</t>
        </is>
      </c>
      <c r="K127" t="inlineStr">
        <is>
          <t>Ottawa, Ontario</t>
        </is>
      </c>
      <c r="P127" t="n">
        <v>0</v>
      </c>
      <c r="Q127" t="n">
        <v>8.34</v>
      </c>
      <c r="R127" t="n">
        <v>0</v>
      </c>
      <c r="S127" t="n">
        <v>0</v>
      </c>
      <c r="T127" t="n">
        <v>0</v>
      </c>
      <c r="U127" t="n">
        <v>8.34</v>
      </c>
      <c r="X127" t="inlineStr">
        <is>
          <t>casdo-ocena</t>
        </is>
      </c>
      <c r="Y127" t="inlineStr">
        <is>
          <t>Accessibility Standards Canada | Normes d’accessibilité Canada</t>
        </is>
      </c>
    </row>
    <row r="128">
      <c r="A128" t="inlineStr">
        <is>
          <t>T-2025-P1-0005</t>
        </is>
      </c>
      <c r="B128" t="inlineStr">
        <is>
          <t>SLE</t>
        </is>
      </c>
      <c r="C128" t="inlineStr">
        <is>
          <t>Chair</t>
        </is>
      </c>
      <c r="D128" t="inlineStr">
        <is>
          <t>Président</t>
        </is>
      </c>
      <c r="E128" t="inlineStr">
        <is>
          <t>Bérubé, Paul-Claude</t>
        </is>
      </c>
      <c r="F128" t="inlineStr">
        <is>
          <t>Operational Activities</t>
        </is>
      </c>
      <c r="G128" t="inlineStr">
        <is>
          <t>Activités opérationels</t>
        </is>
      </c>
      <c r="H128" s="1" t="n">
        <v>45235</v>
      </c>
      <c r="I128" s="1" t="n">
        <v>45239</v>
      </c>
      <c r="J128" t="inlineStr">
        <is>
          <t>Edmonton, AB</t>
        </is>
      </c>
      <c r="K128" t="inlineStr">
        <is>
          <t>Edmonton, AB</t>
        </is>
      </c>
      <c r="P128" t="n">
        <v>1448.23</v>
      </c>
      <c r="Q128" t="n">
        <v>713.67</v>
      </c>
      <c r="R128" t="n">
        <v>780.2</v>
      </c>
      <c r="S128" t="n">
        <v>633.75</v>
      </c>
      <c r="T128" t="n">
        <v>0</v>
      </c>
      <c r="U128" t="n">
        <v>3575.85</v>
      </c>
      <c r="X128" t="inlineStr">
        <is>
          <t>casdo-ocena</t>
        </is>
      </c>
      <c r="Y128" t="inlineStr">
        <is>
          <t>Accessibility Standards Canada | Normes d’accessibilité Canada</t>
        </is>
      </c>
    </row>
    <row r="129">
      <c r="A129" t="inlineStr">
        <is>
          <t>T-2025-P1-0006</t>
        </is>
      </c>
      <c r="B129" t="inlineStr">
        <is>
          <t>SLE</t>
        </is>
      </c>
      <c r="C129" t="inlineStr">
        <is>
          <t>Chair</t>
        </is>
      </c>
      <c r="D129" t="inlineStr">
        <is>
          <t>Président</t>
        </is>
      </c>
      <c r="E129" t="inlineStr">
        <is>
          <t>Bérubé, Paul-Claude</t>
        </is>
      </c>
      <c r="F129" t="inlineStr">
        <is>
          <t>Operational Activities</t>
        </is>
      </c>
      <c r="G129" t="inlineStr">
        <is>
          <t>Activités opérationels</t>
        </is>
      </c>
      <c r="H129" s="1" t="n">
        <v>45245</v>
      </c>
      <c r="I129" s="1" t="n">
        <v>45246</v>
      </c>
      <c r="J129" t="inlineStr">
        <is>
          <t>Montreal, QC</t>
        </is>
      </c>
      <c r="K129" t="inlineStr">
        <is>
          <t>Montréal, PQ</t>
        </is>
      </c>
      <c r="P129" t="n">
        <v>0</v>
      </c>
      <c r="Q129" t="n">
        <v>104.4</v>
      </c>
      <c r="R129" t="n">
        <v>353.44</v>
      </c>
      <c r="S129" t="n">
        <v>144.05</v>
      </c>
      <c r="T129" t="n">
        <v>0</v>
      </c>
      <c r="U129" t="n">
        <v>601.89</v>
      </c>
      <c r="X129" t="inlineStr">
        <is>
          <t>casdo-ocena</t>
        </is>
      </c>
      <c r="Y129" t="inlineStr">
        <is>
          <t>Accessibility Standards Canada | Normes d’accessibilité Canada</t>
        </is>
      </c>
    </row>
    <row r="130">
      <c r="A130" t="inlineStr">
        <is>
          <t>T-2025-P2-0001</t>
        </is>
      </c>
      <c r="B130" t="inlineStr">
        <is>
          <t>SLE</t>
        </is>
      </c>
      <c r="C130" t="inlineStr">
        <is>
          <t>Chief Executive Officer</t>
        </is>
      </c>
      <c r="D130" t="inlineStr">
        <is>
          <t>Président directeur-général</t>
        </is>
      </c>
      <c r="E130" t="inlineStr">
        <is>
          <t>Rizcallah, Philip</t>
        </is>
      </c>
      <c r="F130" t="inlineStr">
        <is>
          <t>Operational Activities</t>
        </is>
      </c>
      <c r="G130" t="inlineStr">
        <is>
          <t>Activités opérationels</t>
        </is>
      </c>
      <c r="H130" s="1" t="n">
        <v>45403</v>
      </c>
      <c r="I130" s="1" t="n">
        <v>45404</v>
      </c>
      <c r="J130" t="inlineStr">
        <is>
          <t>Toronto, ON</t>
        </is>
      </c>
      <c r="K130" t="inlineStr">
        <is>
          <t>Toronto, ON</t>
        </is>
      </c>
      <c r="P130" t="n">
        <v>615.25</v>
      </c>
      <c r="Q130" t="n">
        <v>168.33</v>
      </c>
      <c r="R130" t="n">
        <v>305.44</v>
      </c>
      <c r="S130" t="n">
        <v>0</v>
      </c>
      <c r="T130" t="n">
        <v>0</v>
      </c>
      <c r="U130" t="n">
        <v>1089.02</v>
      </c>
      <c r="X130" t="inlineStr">
        <is>
          <t>casdo-ocena</t>
        </is>
      </c>
      <c r="Y130" t="inlineStr">
        <is>
          <t>Accessibility Standards Canada | Normes d’accessibilité Canada</t>
        </is>
      </c>
    </row>
    <row r="131">
      <c r="A131" t="inlineStr">
        <is>
          <t>T-2025-P2-0002</t>
        </is>
      </c>
      <c r="B131" t="inlineStr">
        <is>
          <t>SLE</t>
        </is>
      </c>
      <c r="C131" t="inlineStr">
        <is>
          <t>Chair</t>
        </is>
      </c>
      <c r="D131" t="inlineStr">
        <is>
          <t>Président</t>
        </is>
      </c>
      <c r="E131" t="inlineStr">
        <is>
          <t>Bérubé, Paul-Claude</t>
        </is>
      </c>
      <c r="F131" t="inlineStr">
        <is>
          <t>Operational Activities</t>
        </is>
      </c>
      <c r="G131" t="inlineStr">
        <is>
          <t>Activités opérationels</t>
        </is>
      </c>
      <c r="H131" s="1" t="n">
        <v>45327</v>
      </c>
      <c r="I131" s="1" t="n">
        <v>45328</v>
      </c>
      <c r="J131" t="inlineStr">
        <is>
          <t>Montreal, QC</t>
        </is>
      </c>
      <c r="K131" t="inlineStr">
        <is>
          <t>Montéal, PQ</t>
        </is>
      </c>
      <c r="P131" t="n">
        <v>0</v>
      </c>
      <c r="Q131" t="n">
        <v>153.4</v>
      </c>
      <c r="R131" t="n">
        <v>0</v>
      </c>
      <c r="S131" t="n">
        <v>155.5</v>
      </c>
      <c r="T131" t="n">
        <v>0</v>
      </c>
      <c r="U131" t="n">
        <v>308.9</v>
      </c>
      <c r="X131" t="inlineStr">
        <is>
          <t>casdo-ocena</t>
        </is>
      </c>
      <c r="Y131" t="inlineStr">
        <is>
          <t>Accessibility Standards Canada | Normes d’accessibilité Canada</t>
        </is>
      </c>
    </row>
    <row r="132">
      <c r="A132" t="inlineStr">
        <is>
          <t>T-2025-P2-0003</t>
        </is>
      </c>
      <c r="B132" t="inlineStr">
        <is>
          <t>SLE</t>
        </is>
      </c>
      <c r="C132" t="inlineStr">
        <is>
          <t>Chair</t>
        </is>
      </c>
      <c r="D132" t="inlineStr">
        <is>
          <t>Président</t>
        </is>
      </c>
      <c r="E132" t="inlineStr">
        <is>
          <t>Walsh, James</t>
        </is>
      </c>
      <c r="F132" t="inlineStr">
        <is>
          <t>Office visit</t>
        </is>
      </c>
      <c r="G132" t="inlineStr">
        <is>
          <t>Visite du bureau</t>
        </is>
      </c>
      <c r="H132" s="1" t="n">
        <v>45400</v>
      </c>
      <c r="I132" s="1" t="n">
        <v>45400</v>
      </c>
      <c r="J132" t="inlineStr">
        <is>
          <t>Ottawa, ON</t>
        </is>
      </c>
      <c r="K132" t="inlineStr">
        <is>
          <t>Ottawa, ON</t>
        </is>
      </c>
      <c r="P132" t="n">
        <v>11.8</v>
      </c>
      <c r="Q132" t="n">
        <v>40.51</v>
      </c>
      <c r="R132" t="n">
        <v>0</v>
      </c>
      <c r="S132" t="n">
        <v>0</v>
      </c>
      <c r="T132" t="n">
        <v>172.78</v>
      </c>
      <c r="U132" t="n">
        <v>225.09</v>
      </c>
      <c r="X132" t="inlineStr">
        <is>
          <t>casdo-ocena</t>
        </is>
      </c>
      <c r="Y132" t="inlineStr">
        <is>
          <t>Accessibility Standards Canada | Normes d’accessibilité Canada</t>
        </is>
      </c>
    </row>
    <row r="133">
      <c r="A133" t="inlineStr">
        <is>
          <t>T-2025-P3-0001</t>
        </is>
      </c>
      <c r="B133" t="inlineStr">
        <is>
          <t>SLE</t>
        </is>
      </c>
      <c r="C133" t="inlineStr">
        <is>
          <t>Chief Executive Officer</t>
        </is>
      </c>
      <c r="D133" t="inlineStr">
        <is>
          <t>Président directeur-général</t>
        </is>
      </c>
      <c r="E133" t="inlineStr">
        <is>
          <t>Rizcallah, Philip</t>
        </is>
      </c>
      <c r="F133" t="inlineStr">
        <is>
          <t>Symposium Conference</t>
        </is>
      </c>
      <c r="G133" t="inlineStr">
        <is>
          <t>Conférence Symposium</t>
        </is>
      </c>
      <c r="H133" s="1" t="n">
        <v>45438</v>
      </c>
      <c r="I133" s="1" t="n">
        <v>45440</v>
      </c>
      <c r="J133" t="inlineStr">
        <is>
          <t>Montreal, Quebec, Canada</t>
        </is>
      </c>
      <c r="K133" t="inlineStr">
        <is>
          <t>Montréal, Québec, Canada</t>
        </is>
      </c>
      <c r="P133" t="n">
        <v>191.42</v>
      </c>
      <c r="Q133" t="n">
        <v>165.79</v>
      </c>
      <c r="R133" t="n">
        <v>740.41</v>
      </c>
      <c r="S133" t="n">
        <v>312.45</v>
      </c>
      <c r="T133" t="n">
        <v>0</v>
      </c>
      <c r="U133" t="n">
        <v>1410.07</v>
      </c>
      <c r="X133" t="inlineStr">
        <is>
          <t>casdo-ocena</t>
        </is>
      </c>
      <c r="Y133" t="inlineStr">
        <is>
          <t>Accessibility Standards Canada | Normes d’accessibilité Canada</t>
        </is>
      </c>
    </row>
    <row r="134">
      <c r="A134" t="inlineStr">
        <is>
          <t>T-2025-P3-0002</t>
        </is>
      </c>
      <c r="B134" t="inlineStr">
        <is>
          <t>SLE</t>
        </is>
      </c>
      <c r="C134" t="inlineStr">
        <is>
          <t>Chief Executive Officer</t>
        </is>
      </c>
      <c r="D134" t="inlineStr">
        <is>
          <t>Président directeur-général</t>
        </is>
      </c>
      <c r="E134" t="inlineStr">
        <is>
          <t>Rizcallah, Philip</t>
        </is>
      </c>
      <c r="F134" t="inlineStr">
        <is>
          <t>Travel Summit</t>
        </is>
      </c>
      <c r="G134" t="inlineStr">
        <is>
          <t>Summit de voyage</t>
        </is>
      </c>
      <c r="H134" s="1" t="n">
        <v>45421</v>
      </c>
      <c r="I134" s="1" t="n">
        <v>45421</v>
      </c>
      <c r="J134" t="inlineStr">
        <is>
          <t>Ottawa, ON</t>
        </is>
      </c>
      <c r="K134" t="inlineStr">
        <is>
          <t>Ottawa, ON</t>
        </is>
      </c>
      <c r="P134" t="n">
        <v>0</v>
      </c>
      <c r="Q134" t="n">
        <v>36.4</v>
      </c>
      <c r="R134" t="n">
        <v>0</v>
      </c>
      <c r="S134" t="n">
        <v>0</v>
      </c>
      <c r="T134" t="n">
        <v>0</v>
      </c>
      <c r="U134" t="n">
        <v>36.4</v>
      </c>
      <c r="X134" t="inlineStr">
        <is>
          <t>casdo-ocena</t>
        </is>
      </c>
      <c r="Y134" t="inlineStr">
        <is>
          <t>Accessibility Standards Canada | Normes d’accessibilité Canada</t>
        </is>
      </c>
    </row>
    <row r="135">
      <c r="A135" t="inlineStr">
        <is>
          <t>T-2025-P3-0003</t>
        </is>
      </c>
      <c r="B135" t="inlineStr">
        <is>
          <t>SLE</t>
        </is>
      </c>
      <c r="C135" t="inlineStr">
        <is>
          <t>Chief Executive Officer</t>
        </is>
      </c>
      <c r="D135" t="inlineStr">
        <is>
          <t>Président directeur-général</t>
        </is>
      </c>
      <c r="E135" t="inlineStr">
        <is>
          <t>Rizcallah, Philip</t>
        </is>
      </c>
      <c r="F135" t="inlineStr">
        <is>
          <t>Operational activites</t>
        </is>
      </c>
      <c r="G135" t="inlineStr">
        <is>
          <t>Activités opérationels</t>
        </is>
      </c>
      <c r="H135" s="1" t="n">
        <v>45445</v>
      </c>
      <c r="I135" s="1" t="n">
        <v>45446</v>
      </c>
      <c r="J135" t="inlineStr">
        <is>
          <t>Montreal, Quebec, Canada</t>
        </is>
      </c>
      <c r="K135" t="inlineStr">
        <is>
          <t>Montréal, Québec, Canada</t>
        </is>
      </c>
      <c r="P135" t="n">
        <v>324.99</v>
      </c>
      <c r="Q135" t="n">
        <v>117.52</v>
      </c>
      <c r="R135" t="n">
        <v>320.11</v>
      </c>
      <c r="S135" t="n">
        <v>208.4</v>
      </c>
      <c r="T135" t="n">
        <v>0</v>
      </c>
      <c r="U135" t="n">
        <v>971.02</v>
      </c>
      <c r="X135" t="inlineStr">
        <is>
          <t>casdo-ocena</t>
        </is>
      </c>
      <c r="Y135" t="inlineStr">
        <is>
          <t>Accessibility Standards Canada | Normes d’accessibilité Canada</t>
        </is>
      </c>
    </row>
    <row r="136">
      <c r="A136" t="inlineStr">
        <is>
          <t>T-2025-P3-0004</t>
        </is>
      </c>
      <c r="B136" t="inlineStr">
        <is>
          <t>SLE</t>
        </is>
      </c>
      <c r="C136" t="inlineStr">
        <is>
          <t>Chief Executive Officer</t>
        </is>
      </c>
      <c r="D136" t="inlineStr">
        <is>
          <t>Président directeur-général</t>
        </is>
      </c>
      <c r="E136" t="inlineStr">
        <is>
          <t>Rizcallah, Philip</t>
        </is>
      </c>
      <c r="F136" t="inlineStr">
        <is>
          <t>ACBOA Meeting</t>
        </is>
      </c>
      <c r="G136" t="inlineStr">
        <is>
          <t>Réunion ACBOA</t>
        </is>
      </c>
      <c r="H136" s="1" t="n">
        <v>45425</v>
      </c>
      <c r="I136" s="1" t="n">
        <v>45430</v>
      </c>
      <c r="J136" t="inlineStr">
        <is>
          <t>Halifax, NS</t>
        </is>
      </c>
      <c r="K136" t="inlineStr">
        <is>
          <t>Halifax, NE</t>
        </is>
      </c>
      <c r="P136" t="n">
        <v>125.83</v>
      </c>
      <c r="Q136" t="n">
        <v>511.04</v>
      </c>
      <c r="R136" t="n">
        <v>871.3</v>
      </c>
      <c r="S136" t="n">
        <v>621.35</v>
      </c>
      <c r="T136" t="n">
        <v>0</v>
      </c>
      <c r="U136" t="n">
        <v>2129.52</v>
      </c>
      <c r="X136" t="inlineStr">
        <is>
          <t>casdo-ocena</t>
        </is>
      </c>
      <c r="Y136" t="inlineStr">
        <is>
          <t>Accessibility Standards Canada | Normes d’accessibilité Canada</t>
        </is>
      </c>
    </row>
    <row r="137">
      <c r="A137" t="inlineStr">
        <is>
          <t>T-2025-P3-0005</t>
        </is>
      </c>
      <c r="B137" t="inlineStr">
        <is>
          <t>SLE</t>
        </is>
      </c>
      <c r="C137" t="inlineStr">
        <is>
          <t>Chief Executive Officer</t>
        </is>
      </c>
      <c r="D137" t="inlineStr">
        <is>
          <t>Président directeur-général</t>
        </is>
      </c>
      <c r="E137" t="inlineStr">
        <is>
          <t>Rizcallah, Philip</t>
        </is>
      </c>
      <c r="F137" t="inlineStr">
        <is>
          <t>UN Conference</t>
        </is>
      </c>
      <c r="G137" t="inlineStr">
        <is>
          <t>Conférence NU</t>
        </is>
      </c>
      <c r="H137" s="1" t="n">
        <v>45452</v>
      </c>
      <c r="I137" s="1" t="n">
        <v>45457</v>
      </c>
      <c r="J137" t="inlineStr">
        <is>
          <t>New York, New York</t>
        </is>
      </c>
      <c r="K137" t="inlineStr">
        <is>
          <t>New York, New York</t>
        </is>
      </c>
      <c r="P137" t="n">
        <v>1041.58</v>
      </c>
      <c r="Q137" t="n">
        <v>252.07</v>
      </c>
      <c r="R137" t="n">
        <v>2528.38</v>
      </c>
      <c r="S137" t="n">
        <v>947.0700000000001</v>
      </c>
      <c r="T137" t="n">
        <v>0</v>
      </c>
      <c r="U137" t="n">
        <v>4769.1</v>
      </c>
      <c r="X137" t="inlineStr">
        <is>
          <t>casdo-ocena</t>
        </is>
      </c>
      <c r="Y137" t="inlineStr">
        <is>
          <t>Accessibility Standards Canada | Normes d’accessibilité Canada</t>
        </is>
      </c>
    </row>
    <row r="138">
      <c r="A138" t="inlineStr">
        <is>
          <t>T-2025-P3-0006</t>
        </is>
      </c>
      <c r="B138" t="inlineStr">
        <is>
          <t>SLE</t>
        </is>
      </c>
      <c r="C138" t="inlineStr">
        <is>
          <t>Vice Chair</t>
        </is>
      </c>
      <c r="D138" t="inlineStr">
        <is>
          <t>Vice-présidente</t>
        </is>
      </c>
      <c r="E138" t="inlineStr">
        <is>
          <t>Reid, Mary</t>
        </is>
      </c>
      <c r="F138" t="inlineStr">
        <is>
          <t>Symposium Conference</t>
        </is>
      </c>
      <c r="G138" t="inlineStr">
        <is>
          <t>Conférence Symposium</t>
        </is>
      </c>
      <c r="H138" s="1" t="n">
        <v>45438</v>
      </c>
      <c r="I138" s="1" t="n">
        <v>45441</v>
      </c>
      <c r="J138" t="inlineStr">
        <is>
          <t>Montreal, Quebec, Canada</t>
        </is>
      </c>
      <c r="K138" t="inlineStr">
        <is>
          <t>Montréal, Québec, Canada</t>
        </is>
      </c>
      <c r="P138" t="n">
        <v>375.45</v>
      </c>
      <c r="Q138" t="n">
        <v>233.77</v>
      </c>
      <c r="R138" t="n">
        <v>1120.97</v>
      </c>
      <c r="S138" t="n">
        <v>354.95</v>
      </c>
      <c r="T138" t="n">
        <v>0</v>
      </c>
      <c r="U138" t="n">
        <v>2085.14</v>
      </c>
      <c r="X138" t="inlineStr">
        <is>
          <t>casdo-ocena</t>
        </is>
      </c>
      <c r="Y138" t="inlineStr">
        <is>
          <t>Accessibility Standards Canada | Normes d’accessibilité Canada</t>
        </is>
      </c>
    </row>
    <row r="139">
      <c r="A139" t="inlineStr">
        <is>
          <t>T-2025-P3-0007</t>
        </is>
      </c>
      <c r="B139" t="inlineStr">
        <is>
          <t>SLE</t>
        </is>
      </c>
      <c r="C139" t="inlineStr">
        <is>
          <t>Board member</t>
        </is>
      </c>
      <c r="D139" t="inlineStr">
        <is>
          <t>Membre du conseil d'administration</t>
        </is>
      </c>
      <c r="E139" t="inlineStr">
        <is>
          <t>Haan, Maureen</t>
        </is>
      </c>
      <c r="F139" t="inlineStr">
        <is>
          <t>Board meeting</t>
        </is>
      </c>
      <c r="G139" t="inlineStr">
        <is>
          <t>Réunion du conseil d'administration</t>
        </is>
      </c>
      <c r="H139" s="1" t="n">
        <v>45460</v>
      </c>
      <c r="I139" s="1" t="n">
        <v>45463</v>
      </c>
      <c r="J139" t="inlineStr">
        <is>
          <t>Ottawa, ON</t>
        </is>
      </c>
      <c r="K139" t="inlineStr">
        <is>
          <t>Ottawa, ON</t>
        </is>
      </c>
      <c r="P139" t="n">
        <v>771.9299999999999</v>
      </c>
      <c r="Q139" t="n">
        <v>275.69</v>
      </c>
      <c r="R139" t="n">
        <v>0</v>
      </c>
      <c r="S139" t="n">
        <v>391.3</v>
      </c>
      <c r="T139" t="n">
        <v>0</v>
      </c>
      <c r="U139" t="n">
        <v>1438.92</v>
      </c>
      <c r="X139" t="inlineStr">
        <is>
          <t>casdo-ocena</t>
        </is>
      </c>
      <c r="Y139" t="inlineStr">
        <is>
          <t>Accessibility Standards Canada | Normes d’accessibilité Canada</t>
        </is>
      </c>
    </row>
    <row r="140">
      <c r="A140" t="inlineStr">
        <is>
          <t>T-2025-P3-0008</t>
        </is>
      </c>
      <c r="B140" t="inlineStr">
        <is>
          <t>SLE</t>
        </is>
      </c>
      <c r="C140" t="inlineStr">
        <is>
          <t>Board member</t>
        </is>
      </c>
      <c r="D140" t="inlineStr">
        <is>
          <t>Membre du conseil d'administration</t>
        </is>
      </c>
      <c r="E140" t="inlineStr">
        <is>
          <t>Walsh, James</t>
        </is>
      </c>
      <c r="F140" t="inlineStr">
        <is>
          <t>Symposium Conference</t>
        </is>
      </c>
      <c r="G140" t="inlineStr">
        <is>
          <t>Conférence Symposium</t>
        </is>
      </c>
      <c r="H140" s="1" t="n">
        <v>45438</v>
      </c>
      <c r="I140" s="1" t="n">
        <v>45444</v>
      </c>
      <c r="J140" t="inlineStr">
        <is>
          <t>Montreal, Quebec, Canada</t>
        </is>
      </c>
      <c r="K140" t="inlineStr">
        <is>
          <t>Montréal, Québec, Canada</t>
        </is>
      </c>
      <c r="P140" t="n">
        <v>767.33</v>
      </c>
      <c r="Q140" t="n">
        <v>193.43</v>
      </c>
      <c r="R140" t="n">
        <v>927.02</v>
      </c>
      <c r="S140" t="n">
        <v>254.75</v>
      </c>
      <c r="T140" t="n">
        <v>0</v>
      </c>
      <c r="U140" t="n">
        <v>2142.53</v>
      </c>
      <c r="X140" t="inlineStr">
        <is>
          <t>casdo-ocena</t>
        </is>
      </c>
      <c r="Y140" t="inlineStr">
        <is>
          <t>Accessibility Standards Canada | Normes d’accessibilité Canada</t>
        </is>
      </c>
    </row>
    <row r="141">
      <c r="A141" t="inlineStr">
        <is>
          <t>T-2025-P3-0009</t>
        </is>
      </c>
      <c r="B141" t="inlineStr">
        <is>
          <t>SLE</t>
        </is>
      </c>
      <c r="C141" t="inlineStr">
        <is>
          <t>Board member</t>
        </is>
      </c>
      <c r="D141" t="inlineStr">
        <is>
          <t>Membre du conseil d'administration</t>
        </is>
      </c>
      <c r="E141" t="inlineStr">
        <is>
          <t>Walsh, James</t>
        </is>
      </c>
      <c r="F141" t="inlineStr">
        <is>
          <t>Board meeting</t>
        </is>
      </c>
      <c r="G141" t="inlineStr">
        <is>
          <t>Réunion du conseil d'administration</t>
        </is>
      </c>
      <c r="H141" s="1" t="n">
        <v>45460</v>
      </c>
      <c r="I141" s="1" t="n">
        <v>45463</v>
      </c>
      <c r="J141" t="inlineStr">
        <is>
          <t>Ottawa, ON</t>
        </is>
      </c>
      <c r="K141" t="inlineStr">
        <is>
          <t>Ottawa, ON</t>
        </is>
      </c>
      <c r="P141" t="n">
        <v>563.86</v>
      </c>
      <c r="Q141" t="n">
        <v>151.51</v>
      </c>
      <c r="R141" t="n">
        <v>0</v>
      </c>
      <c r="S141" t="n">
        <v>441.7</v>
      </c>
      <c r="T141" t="n">
        <v>0</v>
      </c>
      <c r="U141" t="n">
        <v>1157.07</v>
      </c>
      <c r="X141" t="inlineStr">
        <is>
          <t>casdo-ocena</t>
        </is>
      </c>
      <c r="Y141" t="inlineStr">
        <is>
          <t>Accessibility Standards Canada | Normes d’accessibilité Canada</t>
        </is>
      </c>
    </row>
    <row r="142">
      <c r="A142" t="inlineStr">
        <is>
          <t>T-2025-P4-0001</t>
        </is>
      </c>
      <c r="B142" t="inlineStr">
        <is>
          <t>SLE</t>
        </is>
      </c>
      <c r="C142" t="inlineStr">
        <is>
          <t>Vice Chair</t>
        </is>
      </c>
      <c r="D142" t="inlineStr">
        <is>
          <t>Vice-présidente</t>
        </is>
      </c>
      <c r="E142" t="inlineStr">
        <is>
          <t>Reid, Mary</t>
        </is>
      </c>
      <c r="F142" t="inlineStr">
        <is>
          <t>Board meeting</t>
        </is>
      </c>
      <c r="G142" t="inlineStr">
        <is>
          <t>Réunion du conseil d'administration</t>
        </is>
      </c>
      <c r="H142" s="1" t="n">
        <v>45460</v>
      </c>
      <c r="I142" s="1" t="n">
        <v>45463</v>
      </c>
      <c r="J142" t="inlineStr">
        <is>
          <t>Ottawa, Ontario, Canada</t>
        </is>
      </c>
      <c r="K142" t="inlineStr">
        <is>
          <t>Ottawa, Ontario, Canada</t>
        </is>
      </c>
      <c r="P142" t="n">
        <v>563.86</v>
      </c>
      <c r="Q142" t="n">
        <v>155.47</v>
      </c>
      <c r="R142" t="n">
        <v>1146.15</v>
      </c>
      <c r="S142" t="n">
        <v>441.4</v>
      </c>
      <c r="T142" t="n">
        <v>0</v>
      </c>
      <c r="U142" t="n">
        <v>2306.88</v>
      </c>
      <c r="X142" t="inlineStr">
        <is>
          <t>casdo-ocena</t>
        </is>
      </c>
      <c r="Y142" t="inlineStr">
        <is>
          <t>Accessibility Standards Canada | Normes d’accessibilité Canada</t>
        </is>
      </c>
    </row>
    <row r="143">
      <c r="A143" t="inlineStr">
        <is>
          <t>T-2025-P4-0002</t>
        </is>
      </c>
      <c r="B143" t="inlineStr">
        <is>
          <t>SLE</t>
        </is>
      </c>
      <c r="C143" t="inlineStr">
        <is>
          <t>Board Member</t>
        </is>
      </c>
      <c r="D143" t="inlineStr">
        <is>
          <t>Membre du conseil d'administration</t>
        </is>
      </c>
      <c r="E143" t="inlineStr">
        <is>
          <t>Earle, Kory</t>
        </is>
      </c>
      <c r="F143" t="inlineStr">
        <is>
          <t>Board meeting</t>
        </is>
      </c>
      <c r="G143" t="inlineStr">
        <is>
          <t>Réunion du conseil d'administration</t>
        </is>
      </c>
      <c r="H143" s="1" t="n">
        <v>45460</v>
      </c>
      <c r="I143" s="1" t="n">
        <v>45463</v>
      </c>
      <c r="J143" t="inlineStr">
        <is>
          <t>Ottawa, Ontario, Canada</t>
        </is>
      </c>
      <c r="K143" t="inlineStr">
        <is>
          <t>Ottawa, Ontario, Canada</t>
        </is>
      </c>
      <c r="P143" t="n">
        <v>0</v>
      </c>
      <c r="Q143" t="n">
        <v>64.31</v>
      </c>
      <c r="R143" t="n">
        <v>1146.15</v>
      </c>
      <c r="S143" t="n">
        <v>329.45</v>
      </c>
      <c r="T143" t="n">
        <v>12.43</v>
      </c>
      <c r="U143" t="n">
        <v>1552.34</v>
      </c>
      <c r="X143" t="inlineStr">
        <is>
          <t>casdo-ocena</t>
        </is>
      </c>
      <c r="Y143" t="inlineStr">
        <is>
          <t>Accessibility Standards Canada | Normes d’accessibilité Canada</t>
        </is>
      </c>
    </row>
    <row r="144">
      <c r="A144" t="inlineStr">
        <is>
          <t>T-2025-P4-0003</t>
        </is>
      </c>
      <c r="B144" t="inlineStr">
        <is>
          <t>SLE</t>
        </is>
      </c>
      <c r="C144" t="inlineStr">
        <is>
          <t>Board Member</t>
        </is>
      </c>
      <c r="D144" t="inlineStr">
        <is>
          <t>Membre du conseil d'administration</t>
        </is>
      </c>
      <c r="E144" t="inlineStr">
        <is>
          <t>McLaughlin, Joseph</t>
        </is>
      </c>
      <c r="F144" t="inlineStr">
        <is>
          <t>Board meeting</t>
        </is>
      </c>
      <c r="G144" t="inlineStr">
        <is>
          <t>Réunion du conseil d'administration</t>
        </is>
      </c>
      <c r="H144" s="1" t="n">
        <v>45460</v>
      </c>
      <c r="I144" s="1" t="n">
        <v>45463</v>
      </c>
      <c r="J144" t="inlineStr">
        <is>
          <t>Ottawa, Ontario, Canada</t>
        </is>
      </c>
      <c r="K144" t="inlineStr">
        <is>
          <t>Ottawa, Ontario, Canada</t>
        </is>
      </c>
      <c r="P144" t="n">
        <v>699.92</v>
      </c>
      <c r="Q144" t="n">
        <v>288.17</v>
      </c>
      <c r="R144" t="n">
        <v>1146.15</v>
      </c>
      <c r="S144" t="n">
        <v>441.4</v>
      </c>
      <c r="T144" t="n">
        <v>0</v>
      </c>
      <c r="U144" t="n">
        <v>2575.64</v>
      </c>
      <c r="X144" t="inlineStr">
        <is>
          <t>casdo-ocena</t>
        </is>
      </c>
      <c r="Y144" t="inlineStr">
        <is>
          <t>Accessibility Standards Canada | Normes d’accessibilité Canada</t>
        </is>
      </c>
    </row>
    <row r="145">
      <c r="A145" t="inlineStr">
        <is>
          <t>T-2025-P4-0004</t>
        </is>
      </c>
      <c r="B145" t="inlineStr">
        <is>
          <t>SLE</t>
        </is>
      </c>
      <c r="C145" t="inlineStr">
        <is>
          <t>Board Member</t>
        </is>
      </c>
      <c r="D145" t="inlineStr">
        <is>
          <t>Membre du conseil d'administration</t>
        </is>
      </c>
      <c r="E145" t="inlineStr">
        <is>
          <t>Ringaert, Laurie</t>
        </is>
      </c>
      <c r="F145" t="inlineStr">
        <is>
          <t>Board meeting</t>
        </is>
      </c>
      <c r="G145" t="inlineStr">
        <is>
          <t>Réunion du conseil d'administration</t>
        </is>
      </c>
      <c r="H145" s="1" t="n">
        <v>45460</v>
      </c>
      <c r="I145" s="1" t="n">
        <v>45463</v>
      </c>
      <c r="J145" t="inlineStr">
        <is>
          <t>Ottawa, Ontario, Canada</t>
        </is>
      </c>
      <c r="K145" t="inlineStr">
        <is>
          <t>Ottawa, Ontario, Canada</t>
        </is>
      </c>
      <c r="P145" t="n">
        <v>460.31</v>
      </c>
      <c r="Q145" t="n">
        <v>161.61</v>
      </c>
      <c r="R145" t="n">
        <v>1146.15</v>
      </c>
      <c r="S145" t="n">
        <v>391.3</v>
      </c>
      <c r="T145" t="n">
        <v>0</v>
      </c>
      <c r="U145" t="n">
        <v>2159.37</v>
      </c>
      <c r="X145" t="inlineStr">
        <is>
          <t>casdo-ocena</t>
        </is>
      </c>
      <c r="Y145" t="inlineStr">
        <is>
          <t>Accessibility Standards Canada | Normes d’accessibilité Canada</t>
        </is>
      </c>
    </row>
    <row r="146">
      <c r="A146" t="inlineStr">
        <is>
          <t>T-2025-P4-0005</t>
        </is>
      </c>
      <c r="B146" t="inlineStr">
        <is>
          <t>SLE</t>
        </is>
      </c>
      <c r="C146" t="inlineStr">
        <is>
          <t>Board Member</t>
        </is>
      </c>
      <c r="D146" t="inlineStr">
        <is>
          <t>Membre du conseil d'administration</t>
        </is>
      </c>
      <c r="E146" t="inlineStr">
        <is>
          <t>Sutton, Christopher</t>
        </is>
      </c>
      <c r="F146" t="inlineStr">
        <is>
          <t>Board meeting</t>
        </is>
      </c>
      <c r="G146" t="inlineStr">
        <is>
          <t>Réunion du conseil d'administration</t>
        </is>
      </c>
      <c r="H146" s="1" t="n">
        <v>45460</v>
      </c>
      <c r="I146" s="1" t="n">
        <v>45463</v>
      </c>
      <c r="J146" t="inlineStr">
        <is>
          <t>Ottawa, Ontario, Canada</t>
        </is>
      </c>
      <c r="K146" t="inlineStr">
        <is>
          <t>Ottawa, Ontario, Canada</t>
        </is>
      </c>
      <c r="P146" t="n">
        <v>705.17</v>
      </c>
      <c r="Q146" t="n">
        <v>95.23999999999999</v>
      </c>
      <c r="R146" t="n">
        <v>1146.15</v>
      </c>
      <c r="S146" t="n">
        <v>441.4</v>
      </c>
      <c r="T146" t="n">
        <v>0</v>
      </c>
      <c r="U146" t="n">
        <v>2387.96</v>
      </c>
      <c r="X146" t="inlineStr">
        <is>
          <t>casdo-ocena</t>
        </is>
      </c>
      <c r="Y146" t="inlineStr">
        <is>
          <t>Accessibility Standards Canada | Normes d’accessibilité Canada</t>
        </is>
      </c>
    </row>
    <row r="147">
      <c r="A147" t="inlineStr">
        <is>
          <t>T-2025-P4-0006</t>
        </is>
      </c>
      <c r="B147" t="inlineStr">
        <is>
          <t>SLE</t>
        </is>
      </c>
      <c r="C147" t="inlineStr">
        <is>
          <t>Board Member</t>
        </is>
      </c>
      <c r="D147" t="inlineStr">
        <is>
          <t>Membre du conseil d'administration</t>
        </is>
      </c>
      <c r="E147" t="inlineStr">
        <is>
          <t>Constantin, Wissam</t>
        </is>
      </c>
      <c r="F147" t="inlineStr">
        <is>
          <t>Conference</t>
        </is>
      </c>
      <c r="G147" t="inlineStr">
        <is>
          <t>Conférence</t>
        </is>
      </c>
      <c r="H147" s="1" t="n">
        <v>45436</v>
      </c>
      <c r="I147" s="1" t="n">
        <v>45438</v>
      </c>
      <c r="J147" t="inlineStr">
        <is>
          <t>Montreal, Quebec, Canada</t>
        </is>
      </c>
      <c r="K147" t="inlineStr">
        <is>
          <t>Montréal, Québec, Canada</t>
        </is>
      </c>
      <c r="P147" t="n">
        <v>0</v>
      </c>
      <c r="Q147" t="n">
        <v>279.02</v>
      </c>
      <c r="R147" t="n">
        <v>473.64</v>
      </c>
      <c r="S147" t="n">
        <v>337.65</v>
      </c>
      <c r="T147" t="n">
        <v>0</v>
      </c>
      <c r="U147" t="n">
        <v>1090.31</v>
      </c>
      <c r="X147" t="inlineStr">
        <is>
          <t>casdo-ocena</t>
        </is>
      </c>
      <c r="Y147" t="inlineStr">
        <is>
          <t>Accessibility Standards Canada | Normes d’accessibilité Canada</t>
        </is>
      </c>
    </row>
    <row r="148">
      <c r="A148" t="inlineStr">
        <is>
          <t>T-2025-P4-0007</t>
        </is>
      </c>
      <c r="B148" t="inlineStr">
        <is>
          <t>SLE</t>
        </is>
      </c>
      <c r="C148" t="inlineStr">
        <is>
          <t>Board Member</t>
        </is>
      </c>
      <c r="D148" t="inlineStr">
        <is>
          <t>Membre du conseil d'administration</t>
        </is>
      </c>
      <c r="E148" t="inlineStr">
        <is>
          <t>Constantin, Wissam</t>
        </is>
      </c>
      <c r="F148" t="inlineStr">
        <is>
          <t>Board meeting</t>
        </is>
      </c>
      <c r="G148" t="inlineStr">
        <is>
          <t>Réunion du conseil d'administration</t>
        </is>
      </c>
      <c r="H148" s="1" t="n">
        <v>45461</v>
      </c>
      <c r="I148" s="1" t="n">
        <v>45463</v>
      </c>
      <c r="J148" t="inlineStr">
        <is>
          <t>Ottawa, Ontario, Canada</t>
        </is>
      </c>
      <c r="K148" t="inlineStr">
        <is>
          <t>Ottawa, Ontario, Canada</t>
        </is>
      </c>
      <c r="P148" t="n">
        <v>0</v>
      </c>
      <c r="Q148" t="n">
        <v>45.42</v>
      </c>
      <c r="R148" t="n">
        <v>0</v>
      </c>
      <c r="S148" t="n">
        <v>0</v>
      </c>
      <c r="T148" t="n">
        <v>0</v>
      </c>
      <c r="U148" t="n">
        <v>45.42</v>
      </c>
      <c r="X148" t="inlineStr">
        <is>
          <t>casdo-ocena</t>
        </is>
      </c>
      <c r="Y148" t="inlineStr">
        <is>
          <t>Accessibility Standards Canada | Normes d’accessibilité Canada</t>
        </is>
      </c>
    </row>
    <row r="149">
      <c r="A149" t="inlineStr">
        <is>
          <t>T-2025-P5-0001</t>
        </is>
      </c>
      <c r="B149" t="inlineStr">
        <is>
          <t>SLE</t>
        </is>
      </c>
      <c r="C149" t="inlineStr">
        <is>
          <t>Chief Executive Officer</t>
        </is>
      </c>
      <c r="D149" t="inlineStr">
        <is>
          <t>Président directeur-général</t>
        </is>
      </c>
      <c r="E149" t="inlineStr">
        <is>
          <t>Rizcallah, Philip</t>
        </is>
      </c>
      <c r="F149" t="inlineStr">
        <is>
          <t>Stakeholder meetings</t>
        </is>
      </c>
      <c r="G149" t="inlineStr">
        <is>
          <t>Réunions avec parties prenantes</t>
        </is>
      </c>
      <c r="H149" s="1" t="n">
        <v>45501</v>
      </c>
      <c r="I149" s="1" t="n">
        <v>45503</v>
      </c>
      <c r="J149" t="inlineStr">
        <is>
          <t>St. John's, Newfoundland</t>
        </is>
      </c>
      <c r="K149" t="inlineStr">
        <is>
          <t>St John's, Terre-Neuve</t>
        </is>
      </c>
      <c r="P149" t="n">
        <v>989.5</v>
      </c>
      <c r="Q149" t="n">
        <v>138.54</v>
      </c>
      <c r="R149" t="n">
        <v>509.32</v>
      </c>
      <c r="S149" t="n">
        <v>275.8</v>
      </c>
      <c r="T149" t="n">
        <v>0</v>
      </c>
      <c r="U149" t="n">
        <v>1913.16</v>
      </c>
      <c r="X149" t="inlineStr">
        <is>
          <t>casdo-ocena</t>
        </is>
      </c>
      <c r="Y149" t="inlineStr">
        <is>
          <t>Accessibility Standards Canada | Normes d’accessibilité Canada</t>
        </is>
      </c>
    </row>
    <row r="150">
      <c r="A150" t="inlineStr">
        <is>
          <t>T-2025-P5-0002</t>
        </is>
      </c>
      <c r="B150" t="inlineStr">
        <is>
          <t>SLE</t>
        </is>
      </c>
      <c r="C150" t="inlineStr">
        <is>
          <t>Chief Executive Officer</t>
        </is>
      </c>
      <c r="D150" t="inlineStr">
        <is>
          <t>Président directeur-général</t>
        </is>
      </c>
      <c r="E150" t="inlineStr">
        <is>
          <t>Rizcallah, Philip</t>
        </is>
      </c>
      <c r="F150" t="inlineStr">
        <is>
          <t>Stakeholder meetings</t>
        </is>
      </c>
      <c r="G150" t="inlineStr">
        <is>
          <t>Réunions avec parties prenantes</t>
        </is>
      </c>
      <c r="H150" s="1" t="n">
        <v>45494</v>
      </c>
      <c r="I150" s="1" t="n">
        <v>45499</v>
      </c>
      <c r="J150" t="inlineStr">
        <is>
          <t>Vancouver, BC</t>
        </is>
      </c>
      <c r="K150" t="inlineStr">
        <is>
          <t>Vancouver, CB</t>
        </is>
      </c>
      <c r="P150" t="n">
        <v>1846.8</v>
      </c>
      <c r="Q150" t="n">
        <v>286.98</v>
      </c>
      <c r="R150" t="n">
        <v>2125.19</v>
      </c>
      <c r="S150" t="n">
        <v>750.6</v>
      </c>
      <c r="T150" t="n">
        <v>0</v>
      </c>
      <c r="U150" t="n">
        <v>5009.57</v>
      </c>
      <c r="X150" t="inlineStr">
        <is>
          <t>casdo-ocena</t>
        </is>
      </c>
      <c r="Y150" t="inlineStr">
        <is>
          <t>Accessibility Standards Canada | Normes d’accessibilité Canada</t>
        </is>
      </c>
    </row>
    <row r="151">
      <c r="A151" t="inlineStr">
        <is>
          <t>T-2025-P5-0003</t>
        </is>
      </c>
      <c r="B151" t="inlineStr">
        <is>
          <t>SLE</t>
        </is>
      </c>
      <c r="C151" t="inlineStr">
        <is>
          <t>Chief Executive Officer</t>
        </is>
      </c>
      <c r="D151" t="inlineStr">
        <is>
          <t>Président directeur-général</t>
        </is>
      </c>
      <c r="E151" t="inlineStr">
        <is>
          <t>Rizcallah, Philip</t>
        </is>
      </c>
      <c r="F151" t="inlineStr">
        <is>
          <t>Stakeholder meetings</t>
        </is>
      </c>
      <c r="G151" t="inlineStr">
        <is>
          <t>Réunions avec parties prenantes</t>
        </is>
      </c>
      <c r="H151" s="1" t="n">
        <v>45504</v>
      </c>
      <c r="I151" s="1" t="n">
        <v>45505</v>
      </c>
      <c r="J151" t="inlineStr">
        <is>
          <t>Toronto, Ontario</t>
        </is>
      </c>
      <c r="K151" t="inlineStr">
        <is>
          <t>Toronto, Ontario</t>
        </is>
      </c>
      <c r="P151" t="n">
        <v>0</v>
      </c>
      <c r="Q151" t="n">
        <v>348.31</v>
      </c>
      <c r="R151" t="n">
        <v>337.01</v>
      </c>
      <c r="S151" t="n">
        <v>233.6</v>
      </c>
      <c r="T151" t="n">
        <v>0</v>
      </c>
      <c r="U151" t="n">
        <v>918.92</v>
      </c>
      <c r="X151" t="inlineStr">
        <is>
          <t>casdo-ocena</t>
        </is>
      </c>
      <c r="Y151" t="inlineStr">
        <is>
          <t>Accessibility Standards Canada | Normes d’accessibilité Canada</t>
        </is>
      </c>
    </row>
    <row r="152">
      <c r="A152" t="inlineStr">
        <is>
          <t>T-2025-P5-0004</t>
        </is>
      </c>
      <c r="B152" t="inlineStr">
        <is>
          <t>SLE</t>
        </is>
      </c>
      <c r="C152" t="inlineStr">
        <is>
          <t>Board Member</t>
        </is>
      </c>
      <c r="D152" t="inlineStr">
        <is>
          <t>Membre du conseil d'administration</t>
        </is>
      </c>
      <c r="E152" t="inlineStr">
        <is>
          <t>Adair, William</t>
        </is>
      </c>
      <c r="F152" t="inlineStr">
        <is>
          <t>Board meeting</t>
        </is>
      </c>
      <c r="G152" t="inlineStr">
        <is>
          <t>Réunion du conseil d'administration</t>
        </is>
      </c>
      <c r="H152" s="1" t="n">
        <v>45460</v>
      </c>
      <c r="I152" s="1" t="n">
        <v>45463</v>
      </c>
      <c r="J152" t="inlineStr">
        <is>
          <t>Ottawa, Ontario</t>
        </is>
      </c>
      <c r="K152" t="inlineStr">
        <is>
          <t>Ottawa, Ontario</t>
        </is>
      </c>
      <c r="P152" t="n">
        <v>420.27</v>
      </c>
      <c r="Q152" t="n">
        <v>175</v>
      </c>
      <c r="R152" t="n">
        <v>1146.15</v>
      </c>
      <c r="S152" t="n">
        <v>292.8</v>
      </c>
      <c r="T152" t="n">
        <v>0</v>
      </c>
      <c r="U152" t="n">
        <v>2034.22</v>
      </c>
      <c r="X152" t="inlineStr">
        <is>
          <t>casdo-ocena</t>
        </is>
      </c>
      <c r="Y152" t="inlineStr">
        <is>
          <t>Accessibility Standards Canada | Normes d’accessibilité Canada</t>
        </is>
      </c>
    </row>
    <row r="153">
      <c r="A153" t="inlineStr">
        <is>
          <t>T-2025-P6-0001</t>
        </is>
      </c>
      <c r="B153" t="inlineStr">
        <is>
          <t>SLE</t>
        </is>
      </c>
      <c r="C153" t="inlineStr">
        <is>
          <t>Board Member</t>
        </is>
      </c>
      <c r="D153" t="inlineStr">
        <is>
          <t>Membre du conseil d'administration</t>
        </is>
      </c>
      <c r="E153" t="inlineStr">
        <is>
          <t>McLaughlin, Joseph</t>
        </is>
      </c>
      <c r="F153" t="inlineStr">
        <is>
          <t>Stakeholder meetings</t>
        </is>
      </c>
      <c r="G153" t="inlineStr">
        <is>
          <t>Réunions avec parties prenantes</t>
        </is>
      </c>
      <c r="H153" s="1" t="n">
        <v>45528</v>
      </c>
      <c r="I153" s="1" t="n">
        <v>45528</v>
      </c>
      <c r="J153" t="inlineStr">
        <is>
          <t>Victoria, BC</t>
        </is>
      </c>
      <c r="K153" t="inlineStr">
        <is>
          <t>Victoria, CB</t>
        </is>
      </c>
      <c r="P153" t="n">
        <v>0</v>
      </c>
      <c r="Q153" t="n">
        <v>302.54</v>
      </c>
      <c r="R153" t="n">
        <v>0</v>
      </c>
      <c r="S153" t="n">
        <v>86.75</v>
      </c>
      <c r="T153" t="n">
        <v>0</v>
      </c>
      <c r="U153" t="n">
        <v>389.29</v>
      </c>
      <c r="X153" t="inlineStr">
        <is>
          <t>casdo-ocena</t>
        </is>
      </c>
      <c r="Y153" t="inlineStr">
        <is>
          <t>Accessibility Standards Canada | Normes d’accessibilité Canada</t>
        </is>
      </c>
    </row>
    <row r="154">
      <c r="A154" t="inlineStr">
        <is>
          <t>T-2025-P9-0001</t>
        </is>
      </c>
      <c r="B154" t="inlineStr">
        <is>
          <t>SLE</t>
        </is>
      </c>
      <c r="C154" t="inlineStr">
        <is>
          <t>Chief Executive Officer</t>
        </is>
      </c>
      <c r="D154" t="inlineStr">
        <is>
          <t>Président directeur-général</t>
        </is>
      </c>
      <c r="E154" t="inlineStr">
        <is>
          <t>Zuppa, Dino</t>
        </is>
      </c>
      <c r="F154" t="inlineStr">
        <is>
          <t>Symposium on Accessibility in International Civil Aviation</t>
        </is>
      </c>
      <c r="G154" t="inlineStr">
        <is>
          <t>Symposium sur l'accessibilité dans l'aviation civile internationale</t>
        </is>
      </c>
      <c r="H154" s="1" t="n">
        <v>45627</v>
      </c>
      <c r="I154" s="1" t="n">
        <v>45629</v>
      </c>
      <c r="J154" t="inlineStr">
        <is>
          <t>Montreal, Quebec, Canada</t>
        </is>
      </c>
      <c r="K154" t="inlineStr">
        <is>
          <t>Montréal, Québec, Canada</t>
        </is>
      </c>
      <c r="P154" t="n">
        <v>332.89</v>
      </c>
      <c r="Q154" t="n">
        <v>287.56</v>
      </c>
      <c r="R154" t="n">
        <v>402.24</v>
      </c>
      <c r="S154" t="n">
        <v>332.35</v>
      </c>
      <c r="T154" t="n">
        <v>0</v>
      </c>
      <c r="U154" t="n">
        <v>1367.47</v>
      </c>
      <c r="X154" t="inlineStr">
        <is>
          <t>casdo-ocena</t>
        </is>
      </c>
      <c r="Y154" t="inlineStr">
        <is>
          <t>Accessibility Standards Canada | Normes d’accessibilité Canada</t>
        </is>
      </c>
    </row>
    <row r="155">
      <c r="A155" t="inlineStr">
        <is>
          <t>T-2025-P9-0002</t>
        </is>
      </c>
      <c r="B155" t="inlineStr">
        <is>
          <t>SLE</t>
        </is>
      </c>
      <c r="C155" t="inlineStr">
        <is>
          <t>Chair</t>
        </is>
      </c>
      <c r="D155" t="inlineStr">
        <is>
          <t>Président</t>
        </is>
      </c>
      <c r="E155" t="inlineStr">
        <is>
          <t>Walsh, James</t>
        </is>
      </c>
      <c r="F155" t="inlineStr">
        <is>
          <t>Symposium on Accessibility in International Civil Aviation</t>
        </is>
      </c>
      <c r="G155" t="inlineStr">
        <is>
          <t>Symposium sur l'accessibilité dans l'aviation civile internationale</t>
        </is>
      </c>
      <c r="H155" s="1" t="n">
        <v>45627</v>
      </c>
      <c r="I155" s="1" t="n">
        <v>45631</v>
      </c>
      <c r="J155" t="inlineStr">
        <is>
          <t>Montreal, Quebec, Canada</t>
        </is>
      </c>
      <c r="K155" t="inlineStr">
        <is>
          <t>Montréal, Québec, Canada</t>
        </is>
      </c>
      <c r="P155" t="n">
        <v>1835.13</v>
      </c>
      <c r="Q155" t="n">
        <v>151.88</v>
      </c>
      <c r="R155" t="n">
        <v>638.35</v>
      </c>
      <c r="S155" t="n">
        <v>423.8</v>
      </c>
      <c r="T155" t="n">
        <v>12.43</v>
      </c>
      <c r="U155" t="n">
        <v>3061.59</v>
      </c>
      <c r="X155" t="inlineStr">
        <is>
          <t>casdo-ocena</t>
        </is>
      </c>
      <c r="Y155" t="inlineStr">
        <is>
          <t>Accessibility Standards Canada | Normes d’accessibilité Canada</t>
        </is>
      </c>
    </row>
    <row r="156">
      <c r="A156" t="inlineStr">
        <is>
          <t>T-2025-P11-0001</t>
        </is>
      </c>
      <c r="B156" t="inlineStr">
        <is>
          <t>SLE</t>
        </is>
      </c>
      <c r="C156" t="inlineStr">
        <is>
          <t>Chief Executive Officer</t>
        </is>
      </c>
      <c r="D156" t="inlineStr">
        <is>
          <t>Président directeur-général</t>
        </is>
      </c>
      <c r="E156" t="inlineStr">
        <is>
          <t>Zuppa, Dino</t>
        </is>
      </c>
      <c r="F156" t="inlineStr">
        <is>
          <t>Meeting with DAWN</t>
        </is>
      </c>
      <c r="G156" t="inlineStr">
        <is>
          <t>Réunion avec DAWN</t>
        </is>
      </c>
      <c r="H156" s="1" t="n">
        <v>45678</v>
      </c>
      <c r="I156" s="1" t="n">
        <v>45680</v>
      </c>
      <c r="J156" t="inlineStr">
        <is>
          <t>Montreal, Quebec, Canada</t>
        </is>
      </c>
      <c r="K156" t="inlineStr">
        <is>
          <t>Montréal, Québec, Canada</t>
        </is>
      </c>
      <c r="P156" t="n">
        <v>131.59</v>
      </c>
      <c r="Q156" t="n">
        <v>43.12</v>
      </c>
      <c r="R156" t="n">
        <v>566.55</v>
      </c>
      <c r="S156" t="n">
        <v>387.3</v>
      </c>
      <c r="T156" t="n">
        <v>36.5</v>
      </c>
      <c r="U156" t="n">
        <v>1165.06</v>
      </c>
      <c r="X156" t="inlineStr">
        <is>
          <t>casdo-ocena</t>
        </is>
      </c>
      <c r="Y156" t="inlineStr">
        <is>
          <t>Accessibility Standards Canada | Normes d’accessibilité Canada</t>
        </is>
      </c>
    </row>
    <row r="157">
      <c r="A157" t="inlineStr">
        <is>
          <t>T-2025-P11-0002</t>
        </is>
      </c>
      <c r="B157" t="inlineStr">
        <is>
          <t>SLE</t>
        </is>
      </c>
      <c r="C157" t="inlineStr">
        <is>
          <t>Board Member</t>
        </is>
      </c>
      <c r="D157" t="inlineStr">
        <is>
          <t>Membre du conseil d'administration</t>
        </is>
      </c>
      <c r="E157" t="inlineStr">
        <is>
          <t>Sutton, Christopher</t>
        </is>
      </c>
      <c r="F157" t="inlineStr">
        <is>
          <t>Harkin Institute Conference</t>
        </is>
      </c>
      <c r="G157" t="inlineStr">
        <is>
          <t>Conférence de l'institut Harkin</t>
        </is>
      </c>
      <c r="H157" s="1" t="n">
        <v>45643</v>
      </c>
      <c r="I157" s="1" t="n">
        <v>45650</v>
      </c>
      <c r="J157" t="inlineStr">
        <is>
          <t>Washington DC, USA</t>
        </is>
      </c>
      <c r="K157" t="inlineStr">
        <is>
          <t>Washington DC, USA</t>
        </is>
      </c>
      <c r="P157" t="n">
        <v>0</v>
      </c>
      <c r="Q157" t="n">
        <v>290.96</v>
      </c>
      <c r="R157" t="n">
        <v>0</v>
      </c>
      <c r="S157" t="n">
        <v>767.5</v>
      </c>
      <c r="T157" t="n">
        <v>12.43</v>
      </c>
      <c r="U157" t="n">
        <v>1070.89</v>
      </c>
      <c r="X157" t="inlineStr">
        <is>
          <t>casdo-ocena</t>
        </is>
      </c>
      <c r="Y157" t="inlineStr">
        <is>
          <t>Accessibility Standards Canada | Normes d’accessibilité Canada</t>
        </is>
      </c>
    </row>
    <row r="158">
      <c r="A158" t="inlineStr">
        <is>
          <t>T-2025-P12-0001</t>
        </is>
      </c>
      <c r="B158" t="inlineStr">
        <is>
          <t>SLE</t>
        </is>
      </c>
      <c r="C158" t="inlineStr">
        <is>
          <t>Chief Executive Officer</t>
        </is>
      </c>
      <c r="D158" t="inlineStr">
        <is>
          <t>Président directeur-général</t>
        </is>
      </c>
      <c r="E158" t="inlineStr">
        <is>
          <t>Zuppa, Dino</t>
        </is>
      </c>
      <c r="F158" t="inlineStr">
        <is>
          <t>Training</t>
        </is>
      </c>
      <c r="G158" t="inlineStr">
        <is>
          <t>Formation</t>
        </is>
      </c>
      <c r="H158" s="1" t="n">
        <v>45699</v>
      </c>
      <c r="I158" s="1" t="n">
        <v>45702</v>
      </c>
      <c r="J158" t="inlineStr">
        <is>
          <t>Toronto, Ontario</t>
        </is>
      </c>
      <c r="K158" t="inlineStr">
        <is>
          <t>Toronto, Ontario</t>
        </is>
      </c>
      <c r="P158" t="n">
        <v>752.3200000000001</v>
      </c>
      <c r="Q158" t="n">
        <v>74</v>
      </c>
      <c r="R158" t="n">
        <v>786.96</v>
      </c>
      <c r="S158" t="n">
        <v>431.6</v>
      </c>
      <c r="U158" t="n">
        <v>2044.88</v>
      </c>
      <c r="X158" t="inlineStr">
        <is>
          <t>casdo-ocena</t>
        </is>
      </c>
      <c r="Y158" t="inlineStr">
        <is>
          <t>Accessibility Standards Canada | Normes d’accessibilité Canada</t>
        </is>
      </c>
    </row>
    <row r="159">
      <c r="A159" t="inlineStr">
        <is>
          <t>T-2026-P1-0001</t>
        </is>
      </c>
      <c r="B159" t="inlineStr">
        <is>
          <t>SLE</t>
        </is>
      </c>
      <c r="C159" t="inlineStr">
        <is>
          <t>Chief Executive Officer</t>
        </is>
      </c>
      <c r="D159" t="inlineStr">
        <is>
          <t>Président directeur-général</t>
        </is>
      </c>
      <c r="E159" t="inlineStr">
        <is>
          <t>Zuppa, Dino</t>
        </is>
      </c>
      <c r="F159" t="inlineStr">
        <is>
          <t>International Accessibility Conference</t>
        </is>
      </c>
      <c r="G159" t="inlineStr">
        <is>
          <t>Conférence internationale sur l'accessibilité</t>
        </is>
      </c>
      <c r="H159" s="1" t="n">
        <v>45786</v>
      </c>
      <c r="I159" s="1" t="n">
        <v>45795</v>
      </c>
      <c r="J159" t="inlineStr">
        <is>
          <t>Nice, France</t>
        </is>
      </c>
      <c r="K159" t="inlineStr">
        <is>
          <t>Nice, France</t>
        </is>
      </c>
      <c r="L159" t="inlineStr">
        <is>
          <t>Brussels, Belgium</t>
        </is>
      </c>
      <c r="M159" t="inlineStr">
        <is>
          <t>Bruxelles, Belgique</t>
        </is>
      </c>
      <c r="P159" t="n">
        <v>2907.37</v>
      </c>
      <c r="Q159" t="n">
        <v>173.18</v>
      </c>
      <c r="R159" t="n">
        <v>1926.16</v>
      </c>
      <c r="S159" t="n">
        <v>2321.95</v>
      </c>
      <c r="T159" t="n">
        <v>242.22</v>
      </c>
      <c r="U159" t="n">
        <v>7570.88</v>
      </c>
      <c r="X159" t="inlineStr">
        <is>
          <t>casdo-ocena</t>
        </is>
      </c>
      <c r="Y159" t="inlineStr">
        <is>
          <t>Accessibility Standards Canada | Normes d’accessibilité Canada</t>
        </is>
      </c>
    </row>
    <row r="160">
      <c r="A160" t="inlineStr">
        <is>
          <t>T-2026-P7-0001</t>
        </is>
      </c>
      <c r="B160" t="inlineStr">
        <is>
          <t>SLE</t>
        </is>
      </c>
      <c r="C160" t="inlineStr">
        <is>
          <t>Chief Executive Officer</t>
        </is>
      </c>
      <c r="D160" t="inlineStr">
        <is>
          <t>Président-directeur général</t>
        </is>
      </c>
      <c r="E160" t="inlineStr">
        <is>
          <t>Zuppa, Dino</t>
        </is>
      </c>
      <c r="F160" t="inlineStr">
        <is>
          <t>Meetings with concerned parties</t>
        </is>
      </c>
      <c r="G160" t="inlineStr">
        <is>
          <t>Réunions avec parties prenantes</t>
        </is>
      </c>
      <c r="H160" s="1" t="n">
        <v>45915</v>
      </c>
      <c r="I160" s="1" t="n">
        <v>45918</v>
      </c>
      <c r="J160" t="inlineStr">
        <is>
          <t>Toronto, Ontario</t>
        </is>
      </c>
      <c r="K160" t="inlineStr">
        <is>
          <t>Toronto, Ontario</t>
        </is>
      </c>
      <c r="P160" t="n">
        <v>415.03</v>
      </c>
      <c r="Q160" t="n">
        <v>57.83</v>
      </c>
      <c r="R160" t="n">
        <v>1173.33</v>
      </c>
      <c r="S160" t="n">
        <v>523.2</v>
      </c>
      <c r="T160" t="n">
        <v>0</v>
      </c>
      <c r="U160" t="n">
        <v>2169.39</v>
      </c>
      <c r="X160" t="inlineStr">
        <is>
          <t>casdo-ocena</t>
        </is>
      </c>
      <c r="Y160" t="inlineStr">
        <is>
          <t>Accessibility Standards Canada | Normes d’accessibilité Canada</t>
        </is>
      </c>
    </row>
    <row r="161">
      <c r="A161" t="inlineStr">
        <is>
          <t>T-2026-P7-0002</t>
        </is>
      </c>
      <c r="B161" t="inlineStr">
        <is>
          <t>SLE</t>
        </is>
      </c>
      <c r="C161" t="inlineStr">
        <is>
          <t>Chief Executive Officer</t>
        </is>
      </c>
      <c r="D161" t="inlineStr">
        <is>
          <t>Président-directeur général</t>
        </is>
      </c>
      <c r="E161" t="inlineStr">
        <is>
          <t>Zuppa, Dino</t>
        </is>
      </c>
      <c r="F161" t="inlineStr">
        <is>
          <t>Meetings with concerned parties</t>
        </is>
      </c>
      <c r="G161" t="inlineStr">
        <is>
          <t>Réunions avec parties prenantes</t>
        </is>
      </c>
      <c r="H161" s="1" t="n">
        <v>45923</v>
      </c>
      <c r="I161" s="1" t="n">
        <v>45924</v>
      </c>
      <c r="J161" t="inlineStr">
        <is>
          <t>Toronto, Ontario</t>
        </is>
      </c>
      <c r="K161" t="inlineStr">
        <is>
          <t>Toronto, Ontario</t>
        </is>
      </c>
      <c r="P161" t="n">
        <v>336.28</v>
      </c>
      <c r="Q161" t="n">
        <v>105.2</v>
      </c>
      <c r="R161" t="n">
        <v>633.54</v>
      </c>
      <c r="S161" t="n">
        <v>205.8</v>
      </c>
      <c r="T161" t="n">
        <v>0</v>
      </c>
      <c r="U161" t="n">
        <v>1280.82</v>
      </c>
      <c r="X161" t="inlineStr">
        <is>
          <t>casdo-ocena</t>
        </is>
      </c>
      <c r="Y161" t="inlineStr">
        <is>
          <t>Accessibility Standards Canada | Normes d’accessibilité Canada</t>
        </is>
      </c>
    </row>
    <row r="162">
      <c r="A162" t="inlineStr">
        <is>
          <t>T-2026-P7-0003</t>
        </is>
      </c>
      <c r="B162" t="inlineStr">
        <is>
          <t>SLE</t>
        </is>
      </c>
      <c r="C162" t="inlineStr">
        <is>
          <t>Chief Executive Officer</t>
        </is>
      </c>
      <c r="D162" t="inlineStr">
        <is>
          <t>Président-directeur général</t>
        </is>
      </c>
      <c r="E162" t="inlineStr">
        <is>
          <t>Zuppa, Dino</t>
        </is>
      </c>
      <c r="F162" t="inlineStr">
        <is>
          <t>Meetings with concerned parties</t>
        </is>
      </c>
      <c r="G162" t="inlineStr">
        <is>
          <t>Réunions avec parties prenantes</t>
        </is>
      </c>
      <c r="H162" s="1" t="n">
        <v>45926</v>
      </c>
      <c r="I162" s="1" t="n">
        <v>45927</v>
      </c>
      <c r="J162" t="inlineStr">
        <is>
          <t>Montreal, Quebec, Canada</t>
        </is>
      </c>
      <c r="K162" t="inlineStr">
        <is>
          <t>Montréal, Québec, Canada</t>
        </is>
      </c>
      <c r="P162" t="n">
        <v>0</v>
      </c>
      <c r="Q162" t="n">
        <v>281.27</v>
      </c>
      <c r="R162" t="n">
        <v>260.51</v>
      </c>
      <c r="S162" t="n">
        <v>233.2</v>
      </c>
      <c r="T162" t="n">
        <v>28.2</v>
      </c>
      <c r="U162" t="n">
        <v>803.1799999999999</v>
      </c>
      <c r="X162" t="inlineStr">
        <is>
          <t>casdo-ocena</t>
        </is>
      </c>
      <c r="Y162" t="inlineStr">
        <is>
          <t>Accessibility Standards Canada | Normes d’accessibilité Canada</t>
        </is>
      </c>
    </row>
    <row r="163">
      <c r="A163" t="inlineStr">
        <is>
          <t>T-2026-P7-0004</t>
        </is>
      </c>
      <c r="B163" t="inlineStr">
        <is>
          <t>SLE</t>
        </is>
      </c>
      <c r="C163" t="inlineStr">
        <is>
          <t>Chief Executive Officer</t>
        </is>
      </c>
      <c r="D163" t="inlineStr">
        <is>
          <t>Président-directeur général</t>
        </is>
      </c>
      <c r="E163" t="inlineStr">
        <is>
          <t>Zuppa, Dino</t>
        </is>
      </c>
      <c r="F163" t="inlineStr">
        <is>
          <t>Meetings with concerned parties</t>
        </is>
      </c>
      <c r="G163" t="inlineStr">
        <is>
          <t>Réunions avec parties prenantes</t>
        </is>
      </c>
      <c r="H163" s="1" t="n">
        <v>45940</v>
      </c>
      <c r="I163" s="1" t="n">
        <v>45948</v>
      </c>
      <c r="J163" t="inlineStr">
        <is>
          <t>Halifax, Nova Scotia</t>
        </is>
      </c>
      <c r="K163" t="inlineStr">
        <is>
          <t>Halifax, Nouvelle-Ecosse</t>
        </is>
      </c>
      <c r="P163" t="n">
        <v>676.1900000000001</v>
      </c>
      <c r="Q163" t="n">
        <v>572.66</v>
      </c>
      <c r="R163" t="n">
        <v>1682.3</v>
      </c>
      <c r="S163" t="n">
        <v>759.45</v>
      </c>
      <c r="T163" t="n">
        <v>0</v>
      </c>
      <c r="U163" t="n">
        <v>3690.6</v>
      </c>
      <c r="X163" t="inlineStr">
        <is>
          <t>casdo-ocena</t>
        </is>
      </c>
      <c r="Y163" t="inlineStr">
        <is>
          <t>Accessibility Standards Canada | Normes d’accessibilité Canada</t>
        </is>
      </c>
    </row>
    <row r="164">
      <c r="A164" t="inlineStr">
        <is>
          <t>T-2026-P8-0001</t>
        </is>
      </c>
      <c r="B164" t="inlineStr">
        <is>
          <t>SLE</t>
        </is>
      </c>
      <c r="C164" t="inlineStr">
        <is>
          <t>Board member</t>
        </is>
      </c>
      <c r="D164" t="inlineStr">
        <is>
          <t>Membre du conseil d'administration</t>
        </is>
      </c>
      <c r="E164" t="inlineStr">
        <is>
          <t>Seysan, Yazdani</t>
        </is>
      </c>
      <c r="F164" t="inlineStr">
        <is>
          <t>9th anniversary of Canada VRS</t>
        </is>
      </c>
      <c r="G164" t="inlineStr">
        <is>
          <t>Célébration du 9e anniversaire de SRV Canada.</t>
        </is>
      </c>
      <c r="H164" s="1" t="n">
        <v>45927</v>
      </c>
      <c r="I164" s="1" t="n">
        <v>45927</v>
      </c>
      <c r="J164" t="inlineStr">
        <is>
          <t>Montreal, Quebec, Canada</t>
        </is>
      </c>
      <c r="K164" t="inlineStr">
        <is>
          <t>Montréal, Québec, Canada</t>
        </is>
      </c>
      <c r="P164" t="n">
        <v>0</v>
      </c>
      <c r="Q164" t="n">
        <v>28</v>
      </c>
      <c r="R164" t="n">
        <v>0</v>
      </c>
      <c r="S164" t="n">
        <v>0</v>
      </c>
      <c r="T164" t="n">
        <v>0</v>
      </c>
      <c r="U164" t="n">
        <v>28</v>
      </c>
      <c r="X164" t="inlineStr">
        <is>
          <t>casdo-ocena</t>
        </is>
      </c>
      <c r="Y164" t="inlineStr">
        <is>
          <t>Accessibility Standards Canada | Normes d’accessibilité Canada</t>
        </is>
      </c>
    </row>
    <row r="165">
      <c r="A165" t="inlineStr">
        <is>
          <t>T-2026-P8-0002</t>
        </is>
      </c>
      <c r="B165" t="inlineStr">
        <is>
          <t>SLE</t>
        </is>
      </c>
      <c r="C165" t="inlineStr">
        <is>
          <t>Board Member</t>
        </is>
      </c>
      <c r="D165" t="inlineStr">
        <is>
          <t>Membre du conseil d'administration</t>
        </is>
      </c>
      <c r="E165" t="inlineStr">
        <is>
          <t>Seysan, Yazdani</t>
        </is>
      </c>
      <c r="F165" t="inlineStr">
        <is>
          <t>COPHAN Event</t>
        </is>
      </c>
      <c r="G165" t="inlineStr">
        <is>
          <t>COPHAN évènement</t>
        </is>
      </c>
      <c r="H165" s="1" t="n">
        <v>45933</v>
      </c>
      <c r="I165" s="1" t="n">
        <v>45935</v>
      </c>
      <c r="J165" t="inlineStr">
        <is>
          <t>Quebec City, Quebec, Canada</t>
        </is>
      </c>
      <c r="K165" t="inlineStr">
        <is>
          <t>Québec, Québec, Canada</t>
        </is>
      </c>
      <c r="P165" t="n">
        <v>408.83</v>
      </c>
      <c r="Q165" t="n">
        <v>156.9</v>
      </c>
      <c r="R165" t="n">
        <v>307.04</v>
      </c>
      <c r="S165" t="n">
        <v>142.25</v>
      </c>
      <c r="T165" t="n">
        <v>0</v>
      </c>
      <c r="U165" t="n">
        <v>1015.02</v>
      </c>
      <c r="X165" t="inlineStr">
        <is>
          <t>casdo-ocena</t>
        </is>
      </c>
      <c r="Y165" t="inlineStr">
        <is>
          <t>Accessibility Standards Canada | Normes d’accessibilité Canada</t>
        </is>
      </c>
    </row>
    <row r="166">
      <c r="A166" t="inlineStr">
        <is>
          <t>T-2026-P9-0001</t>
        </is>
      </c>
      <c r="B166" t="inlineStr">
        <is>
          <t>SLE</t>
        </is>
      </c>
      <c r="C166" t="inlineStr">
        <is>
          <t>Board Member</t>
        </is>
      </c>
      <c r="D166" t="inlineStr">
        <is>
          <t>Membre du conseil d'administration</t>
        </is>
      </c>
      <c r="E166" t="inlineStr">
        <is>
          <t>McLaughlin, Joe</t>
        </is>
      </c>
      <c r="F166" t="inlineStr">
        <is>
          <t>Board meeting</t>
        </is>
      </c>
      <c r="G166" t="inlineStr">
        <is>
          <t>Réunion du conseil d'administration</t>
        </is>
      </c>
      <c r="H166" s="1" t="n">
        <v>45984</v>
      </c>
      <c r="I166" s="1" t="n">
        <v>45990</v>
      </c>
      <c r="J166" t="inlineStr">
        <is>
          <t>Ottawa, Ontario</t>
        </is>
      </c>
      <c r="K166" t="inlineStr">
        <is>
          <t>Ottawa, Ontario</t>
        </is>
      </c>
      <c r="P166" t="n">
        <v>478.83</v>
      </c>
      <c r="Q166" t="n">
        <v>263.12</v>
      </c>
      <c r="R166" t="n">
        <v>2242.5</v>
      </c>
      <c r="S166" t="n">
        <v>838.5</v>
      </c>
      <c r="T166" t="n">
        <v>0</v>
      </c>
      <c r="U166" t="n">
        <v>3822.95</v>
      </c>
      <c r="X166" t="inlineStr">
        <is>
          <t>casdo-ocena</t>
        </is>
      </c>
      <c r="Y166" t="inlineStr">
        <is>
          <t>Accessibility Standards Canada | Normes d’accessibilité Canada</t>
        </is>
      </c>
    </row>
    <row r="167">
      <c r="A167" t="inlineStr">
        <is>
          <t>T-2026-P9-0002</t>
        </is>
      </c>
      <c r="B167" t="inlineStr">
        <is>
          <t>SLE</t>
        </is>
      </c>
      <c r="C167" t="inlineStr">
        <is>
          <t>Board Member</t>
        </is>
      </c>
      <c r="D167" t="inlineStr">
        <is>
          <t>Membre du conseil d'administration</t>
        </is>
      </c>
      <c r="E167" t="inlineStr">
        <is>
          <t>Haan, Maureen</t>
        </is>
      </c>
      <c r="F167" t="inlineStr">
        <is>
          <t>Board meeting</t>
        </is>
      </c>
      <c r="G167" t="inlineStr">
        <is>
          <t>Réunion du conseil d'administration</t>
        </is>
      </c>
      <c r="H167" s="1" t="n">
        <v>45984</v>
      </c>
      <c r="I167" s="1" t="n">
        <v>45989</v>
      </c>
      <c r="J167" t="inlineStr">
        <is>
          <t>Ottawa, Ontario</t>
        </is>
      </c>
      <c r="K167" t="inlineStr">
        <is>
          <t>Ottawa, Ontario</t>
        </is>
      </c>
      <c r="P167" t="n">
        <v>604.96</v>
      </c>
      <c r="Q167" t="n">
        <v>251.62</v>
      </c>
      <c r="R167" t="n">
        <v>2242.5</v>
      </c>
      <c r="S167" t="n">
        <v>672.75</v>
      </c>
      <c r="T167" t="n">
        <v>0</v>
      </c>
      <c r="U167" t="n">
        <v>3771.83</v>
      </c>
      <c r="X167" t="inlineStr">
        <is>
          <t>casdo-ocena</t>
        </is>
      </c>
      <c r="Y167" t="inlineStr">
        <is>
          <t>Accessibility Standards Canada | Normes d’accessibilité Canada</t>
        </is>
      </c>
    </row>
    <row r="168">
      <c r="A168" t="inlineStr">
        <is>
          <t>T-2026-P9-0003</t>
        </is>
      </c>
      <c r="B168" t="inlineStr">
        <is>
          <t>SLE</t>
        </is>
      </c>
      <c r="C168" t="inlineStr">
        <is>
          <t>Board Member</t>
        </is>
      </c>
      <c r="D168" t="inlineStr">
        <is>
          <t>Membre du conseil d'administration</t>
        </is>
      </c>
      <c r="E168" t="inlineStr">
        <is>
          <t>Adair, Bill</t>
        </is>
      </c>
      <c r="F168" t="inlineStr">
        <is>
          <t>Board meeting</t>
        </is>
      </c>
      <c r="G168" t="inlineStr">
        <is>
          <t>Réunion du conseil d'administration</t>
        </is>
      </c>
      <c r="H168" s="1" t="n">
        <v>45984</v>
      </c>
      <c r="I168" s="1" t="n">
        <v>45990</v>
      </c>
      <c r="J168" t="inlineStr">
        <is>
          <t>Ottawa, Ontario</t>
        </is>
      </c>
      <c r="K168" t="inlineStr">
        <is>
          <t>Ottawa, Ontario</t>
        </is>
      </c>
      <c r="P168" t="n">
        <v>225.2</v>
      </c>
      <c r="Q168" t="n">
        <v>158.31</v>
      </c>
      <c r="R168" t="n">
        <v>2242.5</v>
      </c>
      <c r="S168" t="n">
        <v>809.45</v>
      </c>
      <c r="T168" t="n">
        <v>0</v>
      </c>
      <c r="U168" t="n">
        <v>3435.46</v>
      </c>
      <c r="X168" t="inlineStr">
        <is>
          <t>casdo-ocena</t>
        </is>
      </c>
      <c r="Y168" t="inlineStr">
        <is>
          <t>Accessibility Standards Canada | Normes d’accessibilité Canada</t>
        </is>
      </c>
    </row>
    <row r="169">
      <c r="A169" t="inlineStr">
        <is>
          <t>T-2026-P9-0004</t>
        </is>
      </c>
      <c r="B169" t="inlineStr">
        <is>
          <t>SLE</t>
        </is>
      </c>
      <c r="C169" t="inlineStr">
        <is>
          <t>Chairperson</t>
        </is>
      </c>
      <c r="D169" t="inlineStr">
        <is>
          <t>Président</t>
        </is>
      </c>
      <c r="E169" t="inlineStr">
        <is>
          <t>Walsh, J. Paul</t>
        </is>
      </c>
      <c r="F169" t="inlineStr">
        <is>
          <t>Board meeting</t>
        </is>
      </c>
      <c r="G169" t="inlineStr">
        <is>
          <t>Réunion du conseil d'administration</t>
        </is>
      </c>
      <c r="H169" s="1" t="n">
        <v>45984</v>
      </c>
      <c r="I169" s="1" t="n">
        <v>45997</v>
      </c>
      <c r="J169" t="inlineStr">
        <is>
          <t>Ottawa, Ontario</t>
        </is>
      </c>
      <c r="K169" t="inlineStr">
        <is>
          <t>Ottawa, Ontario</t>
        </is>
      </c>
      <c r="P169" t="n">
        <v>742.46</v>
      </c>
      <c r="Q169" t="n">
        <v>151.88</v>
      </c>
      <c r="R169" t="n">
        <v>4862.31</v>
      </c>
      <c r="S169" t="n">
        <v>1496.4</v>
      </c>
      <c r="T169" t="n">
        <v>402.5</v>
      </c>
      <c r="U169" t="n">
        <v>7655.55</v>
      </c>
      <c r="X169" t="inlineStr">
        <is>
          <t>casdo-ocena</t>
        </is>
      </c>
      <c r="Y169" t="inlineStr">
        <is>
          <t>Accessibility Standards Canada | Normes d’accessibilité Canada</t>
        </is>
      </c>
    </row>
    <row r="170">
      <c r="A170" t="inlineStr">
        <is>
          <t>T-2026-P10-0001</t>
        </is>
      </c>
      <c r="B170" t="inlineStr">
        <is>
          <t>SLE</t>
        </is>
      </c>
      <c r="C170" t="inlineStr">
        <is>
          <t>Chief Executive Officer</t>
        </is>
      </c>
      <c r="D170" t="inlineStr">
        <is>
          <t>Président-directeur général</t>
        </is>
      </c>
      <c r="E170" t="inlineStr">
        <is>
          <t>Zuppa, Dino</t>
        </is>
      </c>
      <c r="F170" t="inlineStr">
        <is>
          <t>Meetings with concerned parties</t>
        </is>
      </c>
      <c r="G170" t="inlineStr">
        <is>
          <t>Réunions avec parties prenantes</t>
        </is>
      </c>
      <c r="H170" s="1" t="n">
        <v>46034</v>
      </c>
      <c r="I170" s="1" t="n">
        <v>46037</v>
      </c>
      <c r="J170" t="inlineStr">
        <is>
          <t>Fredericton, New Brunswick</t>
        </is>
      </c>
      <c r="K170" t="inlineStr">
        <is>
          <t>Fredericton, Nouveau-Brunswick</t>
        </is>
      </c>
      <c r="P170" t="n">
        <v>630</v>
      </c>
      <c r="Q170" t="n">
        <v>170.3</v>
      </c>
      <c r="R170" t="n">
        <v>549.9</v>
      </c>
      <c r="S170" t="n">
        <v>488.15</v>
      </c>
      <c r="T170" t="n">
        <v>0</v>
      </c>
      <c r="U170" t="n">
        <v>1838.35</v>
      </c>
      <c r="X170" t="inlineStr">
        <is>
          <t>casdo-ocena</t>
        </is>
      </c>
      <c r="Y170" t="inlineStr">
        <is>
          <t>Accessibility Standards Canada | Normes d’accessibilité Canada</t>
        </is>
      </c>
    </row>
    <row r="171">
      <c r="A171" t="inlineStr">
        <is>
          <t>T-2026-P10-0002</t>
        </is>
      </c>
      <c r="B171" t="inlineStr">
        <is>
          <t>SLE</t>
        </is>
      </c>
      <c r="C171" t="inlineStr">
        <is>
          <t>Board Member</t>
        </is>
      </c>
      <c r="D171" t="inlineStr">
        <is>
          <t>Membre du conseil d'administration</t>
        </is>
      </c>
      <c r="E171" t="inlineStr">
        <is>
          <t>Yazdani-Seysan, Mojgan</t>
        </is>
      </c>
      <c r="F171" t="inlineStr">
        <is>
          <t>Board meeting</t>
        </is>
      </c>
      <c r="G171" t="inlineStr">
        <is>
          <t>Réunion du conseil d'administration</t>
        </is>
      </c>
      <c r="H171" s="1" t="n">
        <v>45985</v>
      </c>
      <c r="I171" s="1" t="n">
        <v>45989</v>
      </c>
      <c r="J171" t="inlineStr">
        <is>
          <t>Ottawa, Ontario</t>
        </is>
      </c>
      <c r="K171" t="inlineStr">
        <is>
          <t>Ottawa, Ontario</t>
        </is>
      </c>
      <c r="P171" t="n">
        <v>226.54</v>
      </c>
      <c r="Q171" t="n">
        <v>71.31999999999999</v>
      </c>
      <c r="R171" t="n">
        <v>2242.5</v>
      </c>
      <c r="S171" t="n">
        <v>689.5</v>
      </c>
      <c r="T171" t="n">
        <v>0</v>
      </c>
      <c r="U171" t="n">
        <v>3229.86</v>
      </c>
      <c r="X171" t="inlineStr">
        <is>
          <t>casdo-ocena</t>
        </is>
      </c>
      <c r="Y171" t="inlineStr">
        <is>
          <t>Accessibility Standards Canada | Normes d’accessibilité Canada</t>
        </is>
      </c>
    </row>
    <row r="172">
      <c r="A172" t="inlineStr">
        <is>
          <t>T-2026-P10-0003</t>
        </is>
      </c>
      <c r="B172" t="inlineStr">
        <is>
          <t>SLE</t>
        </is>
      </c>
      <c r="C172" t="inlineStr">
        <is>
          <t>Board Member</t>
        </is>
      </c>
      <c r="D172" t="inlineStr">
        <is>
          <t>Membre du conseil d'administration</t>
        </is>
      </c>
      <c r="E172" t="inlineStr">
        <is>
          <t>De Lisle, Sarah Eve</t>
        </is>
      </c>
      <c r="F172" t="inlineStr">
        <is>
          <t>Board meeting</t>
        </is>
      </c>
      <c r="G172" t="inlineStr">
        <is>
          <t>Réunion du conseil d'administration</t>
        </is>
      </c>
      <c r="H172" s="1" t="n">
        <v>45985</v>
      </c>
      <c r="I172" s="1" t="n">
        <v>45990</v>
      </c>
      <c r="J172" t="inlineStr">
        <is>
          <t>Ottawa, Ontario</t>
        </is>
      </c>
      <c r="K172" t="inlineStr">
        <is>
          <t>Ottawa, Ontario</t>
        </is>
      </c>
      <c r="P172" t="n">
        <v>0</v>
      </c>
      <c r="Q172" t="n">
        <v>239.12</v>
      </c>
      <c r="R172" t="n">
        <v>0</v>
      </c>
      <c r="S172" t="n">
        <v>0</v>
      </c>
      <c r="T172" t="n">
        <v>0</v>
      </c>
      <c r="U172" t="n">
        <v>239.12</v>
      </c>
      <c r="X172" t="inlineStr">
        <is>
          <t>casdo-ocena</t>
        </is>
      </c>
      <c r="Y172" t="inlineStr">
        <is>
          <t>Accessibility Standards Canada | Normes d’accessibilité Canada</t>
        </is>
      </c>
    </row>
    <row r="173">
      <c r="A173" t="inlineStr">
        <is>
          <t>T-2026-P10-0004</t>
        </is>
      </c>
      <c r="B173" t="inlineStr">
        <is>
          <t>SLE</t>
        </is>
      </c>
      <c r="C173" t="inlineStr">
        <is>
          <t>Board Member</t>
        </is>
      </c>
      <c r="D173" t="inlineStr">
        <is>
          <t>Membre du conseil d'administration</t>
        </is>
      </c>
      <c r="E173" t="inlineStr">
        <is>
          <t>Moore, Sarah Anne</t>
        </is>
      </c>
      <c r="F173" t="inlineStr">
        <is>
          <t>Board meeting</t>
        </is>
      </c>
      <c r="G173" t="inlineStr">
        <is>
          <t>Réunion du conseil d'administration</t>
        </is>
      </c>
      <c r="H173" s="1" t="n">
        <v>45985</v>
      </c>
      <c r="I173" s="1" t="n">
        <v>45989</v>
      </c>
      <c r="J173" t="inlineStr">
        <is>
          <t>Ottawa, Ontario</t>
        </is>
      </c>
      <c r="K173" t="inlineStr">
        <is>
          <t>Ottawa, Ontario</t>
        </is>
      </c>
      <c r="P173" t="n">
        <v>612.24</v>
      </c>
      <c r="Q173" t="n">
        <v>152.96</v>
      </c>
      <c r="R173" t="n">
        <v>2242.5</v>
      </c>
      <c r="S173" t="n">
        <v>748.7</v>
      </c>
      <c r="T173" t="n">
        <v>0</v>
      </c>
      <c r="U173" t="n">
        <v>3756.4</v>
      </c>
      <c r="X173" t="inlineStr">
        <is>
          <t>casdo-ocena</t>
        </is>
      </c>
      <c r="Y173" t="inlineStr">
        <is>
          <t>Accessibility Standards Canada | Normes d’accessibilité Canada</t>
        </is>
      </c>
    </row>
    <row r="174">
      <c r="A174" t="inlineStr">
        <is>
          <t>T-2026-P12-0001</t>
        </is>
      </c>
      <c r="B174" t="inlineStr">
        <is>
          <t>SLE</t>
        </is>
      </c>
      <c r="C174" t="inlineStr">
        <is>
          <t>Chief Executive Officer</t>
        </is>
      </c>
      <c r="D174" t="inlineStr">
        <is>
          <t>Président-directeur général</t>
        </is>
      </c>
      <c r="E174" t="inlineStr">
        <is>
          <t>Zuppa, Dino</t>
        </is>
      </c>
      <c r="F174" t="inlineStr">
        <is>
          <t>International accessibility conference</t>
        </is>
      </c>
      <c r="G174" t="inlineStr">
        <is>
          <t xml:space="preserve">Conférence d'accessibilité internationale </t>
        </is>
      </c>
      <c r="H174" s="1" t="n">
        <v>46068</v>
      </c>
      <c r="I174" s="1" t="n">
        <v>46074</v>
      </c>
      <c r="J174" t="inlineStr">
        <is>
          <t>Vienna, Austria</t>
        </is>
      </c>
      <c r="K174" t="inlineStr">
        <is>
          <t>Vienne, Autriche</t>
        </is>
      </c>
      <c r="P174" t="n">
        <v>3561.93</v>
      </c>
      <c r="Q174" t="n">
        <v>240.12</v>
      </c>
      <c r="R174" t="n">
        <v>1516.98</v>
      </c>
      <c r="S174" t="n">
        <v>2223.42</v>
      </c>
      <c r="T174" t="n">
        <v>0</v>
      </c>
      <c r="U174" t="n">
        <v>7542.45</v>
      </c>
      <c r="X174" t="inlineStr">
        <is>
          <t>casdo-ocena</t>
        </is>
      </c>
      <c r="Y174" t="inlineStr">
        <is>
          <t>Accessibility Standards Canada | Normes d’accessibilité Canada</t>
        </is>
      </c>
    </row>
    <row r="175">
      <c r="A175" t="inlineStr">
        <is>
          <t>T-2027-P1-0001</t>
        </is>
      </c>
      <c r="B175" t="inlineStr">
        <is>
          <t>SLE</t>
        </is>
      </c>
      <c r="C175" t="inlineStr">
        <is>
          <t>Chief Executive Officer</t>
        </is>
      </c>
      <c r="D175" t="inlineStr">
        <is>
          <t>Président-directeur général</t>
        </is>
      </c>
      <c r="E175" t="inlineStr">
        <is>
          <t>Zuppa, Dino</t>
        </is>
      </c>
      <c r="F175" t="inlineStr">
        <is>
          <t>APN Conference</t>
        </is>
      </c>
      <c r="G175" t="inlineStr">
        <is>
          <t>Conférence APN</t>
        </is>
      </c>
      <c r="H175" s="1" t="n">
        <v>46110</v>
      </c>
      <c r="I175" s="1" t="n">
        <v>46113</v>
      </c>
      <c r="J175" t="inlineStr">
        <is>
          <t>Toronto, Ontario, Canada</t>
        </is>
      </c>
      <c r="K175" t="inlineStr">
        <is>
          <t>Toronto, Ontario, Canada</t>
        </is>
      </c>
      <c r="P175" t="n">
        <v>499.87</v>
      </c>
      <c r="Q175" t="n">
        <v>240.33</v>
      </c>
      <c r="R175" t="n">
        <v>1048.29</v>
      </c>
      <c r="S175" t="n">
        <v>429.5</v>
      </c>
      <c r="T175" t="n">
        <v>0</v>
      </c>
      <c r="U175" t="n">
        <v>2217.99</v>
      </c>
      <c r="X175" t="inlineStr">
        <is>
          <t>casdo-ocena</t>
        </is>
      </c>
      <c r="Y175" t="inlineStr">
        <is>
          <t>Accessibility Standards Canada | Normes d’accessibilité Canada</t>
        </is>
      </c>
    </row>
    <row r="176">
      <c r="A176" t="inlineStr">
        <is>
          <t>T-2027-P1-0002</t>
        </is>
      </c>
      <c r="B176" t="inlineStr">
        <is>
          <t>SLE</t>
        </is>
      </c>
      <c r="C176" t="inlineStr">
        <is>
          <t>Board member</t>
        </is>
      </c>
      <c r="D176" t="inlineStr">
        <is>
          <t>Membre du conseil d'administration</t>
        </is>
      </c>
      <c r="E176" t="inlineStr">
        <is>
          <t>McLaughlin, Joseph</t>
        </is>
      </c>
      <c r="F176" t="inlineStr">
        <is>
          <t>APN Conference</t>
        </is>
      </c>
      <c r="G176" t="inlineStr">
        <is>
          <t>Conférence APN</t>
        </is>
      </c>
      <c r="H176" s="1" t="n">
        <v>46109</v>
      </c>
      <c r="I176" s="1" t="n">
        <v>46113</v>
      </c>
      <c r="J176" t="inlineStr">
        <is>
          <t>Toronto, Ontario, Canada</t>
        </is>
      </c>
      <c r="K176" t="inlineStr">
        <is>
          <t>Toronto, Ontario, Canada</t>
        </is>
      </c>
      <c r="P176" t="n">
        <v>611.53</v>
      </c>
      <c r="Q176" t="n">
        <v>190.43</v>
      </c>
      <c r="R176" t="n">
        <v>1397.72</v>
      </c>
      <c r="S176" t="n">
        <v>602.95</v>
      </c>
      <c r="T176" t="n">
        <v>0</v>
      </c>
      <c r="U176" t="n">
        <v>2802.63</v>
      </c>
      <c r="X176" t="inlineStr">
        <is>
          <t>casdo-ocena</t>
        </is>
      </c>
      <c r="Y176" t="inlineStr">
        <is>
          <t>Accessibility Standards Canada | Normes d’accessibilité Canada</t>
        </is>
      </c>
    </row>
    <row r="177">
      <c r="A177" t="inlineStr">
        <is>
          <t>T-2027-P1-0003</t>
        </is>
      </c>
      <c r="B177" t="inlineStr">
        <is>
          <t>SLE</t>
        </is>
      </c>
      <c r="C177" t="inlineStr">
        <is>
          <t>Board member</t>
        </is>
      </c>
      <c r="D177" t="inlineStr">
        <is>
          <t>Membre du conseil d'administration</t>
        </is>
      </c>
      <c r="E177" t="inlineStr">
        <is>
          <t>Yazdani-Seysan, Mojgan</t>
        </is>
      </c>
      <c r="F177" t="inlineStr">
        <is>
          <t>APN Conference</t>
        </is>
      </c>
      <c r="G177" t="inlineStr">
        <is>
          <t>Conférence APN</t>
        </is>
      </c>
      <c r="H177" s="1" t="n">
        <v>46110</v>
      </c>
      <c r="I177" s="1" t="n">
        <v>46112</v>
      </c>
      <c r="J177" t="inlineStr">
        <is>
          <t>Toronto, Ontario, Canada</t>
        </is>
      </c>
      <c r="K177" t="inlineStr">
        <is>
          <t>Toronto, Ontario, Canada</t>
        </is>
      </c>
      <c r="P177" t="n">
        <v>623.9400000000001</v>
      </c>
      <c r="Q177" t="n">
        <v>130.48</v>
      </c>
      <c r="R177" t="n">
        <v>698.86</v>
      </c>
      <c r="S177" t="n">
        <v>344.95</v>
      </c>
      <c r="T177" t="n">
        <v>0</v>
      </c>
      <c r="U177" t="n">
        <v>1798.23</v>
      </c>
      <c r="X177" t="inlineStr">
        <is>
          <t>casdo-ocena</t>
        </is>
      </c>
      <c r="Y177" t="inlineStr">
        <is>
          <t>Accessibility Standards Canada | Normes d’accessibilité Canada</t>
        </is>
      </c>
    </row>
    <row r="178">
      <c r="A178" t="inlineStr">
        <is>
          <t>T-2027-P3-0001</t>
        </is>
      </c>
      <c r="B178" t="inlineStr">
        <is>
          <t>SLE</t>
        </is>
      </c>
      <c r="C178" t="inlineStr">
        <is>
          <t>Chief Executive Officer</t>
        </is>
      </c>
      <c r="D178" t="inlineStr">
        <is>
          <t>Président-directeur général</t>
        </is>
      </c>
      <c r="E178" t="inlineStr">
        <is>
          <t>Zuppa, Dino</t>
        </is>
      </c>
      <c r="F178" t="inlineStr">
        <is>
          <t>Conference in Vancouver</t>
        </is>
      </c>
      <c r="G178" t="inlineStr">
        <is>
          <t>Conférence Vancouver</t>
        </is>
      </c>
      <c r="H178" s="1" t="n">
        <v>46168</v>
      </c>
      <c r="I178" s="1" t="n">
        <v>46170</v>
      </c>
      <c r="J178" t="inlineStr">
        <is>
          <t>Vancouver, BC, Canada</t>
        </is>
      </c>
      <c r="K178" t="inlineStr">
        <is>
          <t>Vancouve, CB, Canada</t>
        </is>
      </c>
      <c r="P178" t="n">
        <v>869.88</v>
      </c>
      <c r="Q178" t="n">
        <v>176.6</v>
      </c>
      <c r="R178" t="n">
        <v>1414.36</v>
      </c>
      <c r="S178" t="n">
        <v>731.25</v>
      </c>
      <c r="T178" t="n">
        <v>0</v>
      </c>
      <c r="U178" t="n">
        <v>3192.09</v>
      </c>
      <c r="X178" t="inlineStr">
        <is>
          <t>casdo-ocena</t>
        </is>
      </c>
      <c r="Y178" t="inlineStr">
        <is>
          <t>Accessibility Standards Canada | Normes d’accessibilité Canada</t>
        </is>
      </c>
    </row>
    <row r="179">
      <c r="A179" t="inlineStr">
        <is>
          <t>T-2017-Q1-00001</t>
        </is>
      </c>
      <c r="B179" t="inlineStr">
        <is>
          <t>SLE</t>
        </is>
      </c>
      <c r="C179" t="inlineStr">
        <is>
          <t>A/Executive Director and General Counsel, Secretariat to the Public Service Labour Relations and Employment Board</t>
        </is>
      </c>
      <c r="D179" t="inlineStr">
        <is>
          <t>Directrice générale et avocate générale par intérim, Secrétariat de la Commission des relations de travail et de l’emploi dans la fonction publique</t>
        </is>
      </c>
      <c r="E179" t="inlineStr">
        <is>
          <t>Virginia Adamson</t>
        </is>
      </c>
      <c r="F179" t="inlineStr">
        <is>
          <t>Visit Canadian Industrial relation Board's regional offices</t>
        </is>
      </c>
      <c r="G179" t="inlineStr">
        <is>
          <t>Visiter des bureaux régionaux du Conseil canadien des relations industrielles</t>
        </is>
      </c>
      <c r="H179" s="1" t="n">
        <v>42796</v>
      </c>
      <c r="I179" s="1" t="n">
        <v>42797</v>
      </c>
      <c r="J179" t="inlineStr">
        <is>
          <t>Vancouver, BC</t>
        </is>
      </c>
      <c r="K179" t="inlineStr">
        <is>
          <t>Vancouver, BC</t>
        </is>
      </c>
      <c r="P179" t="n">
        <v>315.13</v>
      </c>
      <c r="Q179" t="n">
        <v>117</v>
      </c>
      <c r="R179" t="n">
        <v>126.6</v>
      </c>
      <c r="S179" t="n">
        <v>97</v>
      </c>
      <c r="U179" t="n">
        <v>655.73</v>
      </c>
      <c r="X179" t="inlineStr">
        <is>
          <t>atssc-scdata</t>
        </is>
      </c>
      <c r="Y179" t="inlineStr">
        <is>
          <t>Administrative Tribunals Support Service of Canada | Service canadien d'appui aux tribunaux administratifs</t>
        </is>
      </c>
    </row>
    <row r="180">
      <c r="A180" t="inlineStr">
        <is>
          <t>T-2017-Q1-00002</t>
        </is>
      </c>
      <c r="B180" t="inlineStr">
        <is>
          <t>SLE</t>
        </is>
      </c>
      <c r="C180" t="inlineStr">
        <is>
          <t>A/Executive Director and General Counsel, Secretariat to the Public Service Labour Relations and Employment Board</t>
        </is>
      </c>
      <c r="D180" t="inlineStr">
        <is>
          <t>Directrice générale et avocate générale par intérim, Secrétariat de la Commission des relations de travail et de l’emploi dans la fonction publique</t>
        </is>
      </c>
      <c r="E180" t="inlineStr">
        <is>
          <t>Virginia Adamson</t>
        </is>
      </c>
      <c r="F180" t="inlineStr">
        <is>
          <t xml:space="preserve">To attend a meeting of the Association of Labour Relations Agencies </t>
        </is>
      </c>
      <c r="G180" t="inlineStr">
        <is>
          <t xml:space="preserve">Participer à une rencontre de la Association of Labour Relations Agencies </t>
        </is>
      </c>
      <c r="H180" s="1" t="n">
        <v>42797</v>
      </c>
      <c r="I180" s="1" t="n">
        <v>42800</v>
      </c>
      <c r="J180" t="inlineStr">
        <is>
          <t>Portland, Oregon</t>
        </is>
      </c>
      <c r="K180" t="inlineStr">
        <is>
          <t>Portland, Oregon</t>
        </is>
      </c>
      <c r="P180" t="n">
        <v>960.79</v>
      </c>
      <c r="Q180" t="n">
        <v>165.3</v>
      </c>
      <c r="R180" t="n">
        <v>553.91</v>
      </c>
      <c r="S180" t="n">
        <v>379.17</v>
      </c>
      <c r="U180" t="n">
        <v>2059.17</v>
      </c>
      <c r="X180" t="inlineStr">
        <is>
          <t>atssc-scdata</t>
        </is>
      </c>
      <c r="Y180" t="inlineStr">
        <is>
          <t>Administrative Tribunals Support Service of Canada | Service canadien d'appui aux tribunaux administratifs</t>
        </is>
      </c>
    </row>
    <row r="181">
      <c r="A181" t="inlineStr">
        <is>
          <t>T-2017-Q1-00003</t>
        </is>
      </c>
      <c r="B181" t="inlineStr">
        <is>
          <t>SLE</t>
        </is>
      </c>
      <c r="C181" t="inlineStr">
        <is>
          <t xml:space="preserve">A/Chairperson, Canadian International Trade Tribunal </t>
        </is>
      </c>
      <c r="D181" t="inlineStr">
        <is>
          <t xml:space="preserve">Président par intérim, Tribunal Canadien du commerce extérieur </t>
        </is>
      </c>
      <c r="E181" t="inlineStr">
        <is>
          <t>Bédard, Jean</t>
        </is>
      </c>
      <c r="F181" t="inlineStr">
        <is>
          <t xml:space="preserve">Attend the 38th Annual International Trade Update </t>
        </is>
      </c>
      <c r="G181" t="inlineStr">
        <is>
          <t>Participer à la 38e International Trade Update annuelle</t>
        </is>
      </c>
      <c r="H181" s="1" t="n">
        <v>42802</v>
      </c>
      <c r="I181" s="1" t="n">
        <v>42804</v>
      </c>
      <c r="J181" t="inlineStr">
        <is>
          <t>Washington, DC</t>
        </is>
      </c>
      <c r="K181" t="inlineStr">
        <is>
          <t>Washington, DC</t>
        </is>
      </c>
      <c r="P181" t="n">
        <v>609.66</v>
      </c>
      <c r="Q181" t="n">
        <v>73.61</v>
      </c>
      <c r="R181" t="n">
        <v>1071.85</v>
      </c>
      <c r="S181" t="n">
        <v>346.61</v>
      </c>
      <c r="U181" t="n">
        <v>2101.73</v>
      </c>
      <c r="X181" t="inlineStr">
        <is>
          <t>atssc-scdata</t>
        </is>
      </c>
      <c r="Y181" t="inlineStr">
        <is>
          <t>Administrative Tribunals Support Service of Canada | Service canadien d'appui aux tribunaux administratifs</t>
        </is>
      </c>
    </row>
    <row r="182">
      <c r="A182" t="inlineStr">
        <is>
          <t>T-2017-Q1-00004</t>
        </is>
      </c>
      <c r="B182" t="inlineStr">
        <is>
          <t>SLE</t>
        </is>
      </c>
      <c r="C182" t="inlineStr">
        <is>
          <t xml:space="preserve">A/Chairperson, Canadian International Trade Tribunal </t>
        </is>
      </c>
      <c r="D182" t="inlineStr">
        <is>
          <t xml:space="preserve">Président par intérim, Tribunal Canadien du commerce extérieur </t>
        </is>
      </c>
      <c r="E182" t="inlineStr">
        <is>
          <t>Bédard, Jean</t>
        </is>
      </c>
      <c r="F182" t="inlineStr">
        <is>
          <t>Attend the Chairperson's forum in Ottawa</t>
        </is>
      </c>
      <c r="G182" t="inlineStr">
        <is>
          <t>Assister au forum de la présidente à Ottawa</t>
        </is>
      </c>
      <c r="H182" s="1" t="n">
        <v>42818</v>
      </c>
      <c r="I182" s="1" t="n">
        <v>42818</v>
      </c>
      <c r="J182" t="inlineStr">
        <is>
          <t>Ottawa, ON</t>
        </is>
      </c>
      <c r="K182" t="inlineStr">
        <is>
          <t>Ottawa, ON</t>
        </is>
      </c>
      <c r="T182" t="n">
        <v>14</v>
      </c>
      <c r="U182" t="n">
        <v>14</v>
      </c>
      <c r="X182" t="inlineStr">
        <is>
          <t>atssc-scdata</t>
        </is>
      </c>
      <c r="Y182" t="inlineStr">
        <is>
          <t>Administrative Tribunals Support Service of Canada | Service canadien d'appui aux tribunaux administratifs</t>
        </is>
      </c>
    </row>
    <row r="183">
      <c r="A183" t="inlineStr">
        <is>
          <t>T-2017-Q1-00005</t>
        </is>
      </c>
      <c r="B183" t="inlineStr">
        <is>
          <t>SLE</t>
        </is>
      </c>
      <c r="C183" t="inlineStr">
        <is>
          <t xml:space="preserve">Executive Director, Secretariat to the Canadian Cultural Property Export Review Board    </t>
        </is>
      </c>
      <c r="D183" t="inlineStr">
        <is>
          <t>Directrice exécutive, Secrétariat de la Commission canadienne d’examen des exportations de biens culturels</t>
        </is>
      </c>
      <c r="E183" t="inlineStr">
        <is>
          <t>Bishop, Delphine</t>
        </is>
      </c>
      <c r="F183" t="inlineStr">
        <is>
          <t xml:space="preserve">Attend a meeting with  Executive Directors </t>
        </is>
      </c>
      <c r="G183" t="inlineStr">
        <is>
          <t>Participer à une rencontre avec les directeurs exécutifs</t>
        </is>
      </c>
      <c r="H183" s="1" t="n">
        <v>42740</v>
      </c>
      <c r="I183" s="1" t="n">
        <v>42740</v>
      </c>
      <c r="J183" t="inlineStr">
        <is>
          <t xml:space="preserve">Ottawa, ON </t>
        </is>
      </c>
      <c r="K183" t="inlineStr">
        <is>
          <t xml:space="preserve">Ottawa, ON </t>
        </is>
      </c>
      <c r="T183" t="n">
        <v>17.5</v>
      </c>
      <c r="U183" t="n">
        <v>17.5</v>
      </c>
      <c r="X183" t="inlineStr">
        <is>
          <t>atssc-scdata</t>
        </is>
      </c>
      <c r="Y183" t="inlineStr">
        <is>
          <t>Administrative Tribunals Support Service of Canada | Service canadien d'appui aux tribunaux administratifs</t>
        </is>
      </c>
    </row>
    <row r="184">
      <c r="A184" t="inlineStr">
        <is>
          <t>T-2017-Q1-00006</t>
        </is>
      </c>
      <c r="B184" t="inlineStr">
        <is>
          <t>SLE</t>
        </is>
      </c>
      <c r="C184" t="inlineStr">
        <is>
          <t xml:space="preserve">Executive Director, Secretariat to the Canadian Cultural Property Export Review Board    </t>
        </is>
      </c>
      <c r="D184" t="inlineStr">
        <is>
          <t>Directrice exécutive, Secrétariat de la Commission canadienne d’examen des exportations de biens culturels</t>
        </is>
      </c>
      <c r="E184" t="inlineStr">
        <is>
          <t>Bishop, Delphine</t>
        </is>
      </c>
      <c r="F184" t="inlineStr">
        <is>
          <t xml:space="preserve">Attend a meeting with  Executive Directors </t>
        </is>
      </c>
      <c r="G184" t="inlineStr">
        <is>
          <t>Participer à une rencontre avec les directeurs exécutifs</t>
        </is>
      </c>
      <c r="H184" s="1" t="n">
        <v>42746</v>
      </c>
      <c r="I184" s="1" t="n">
        <v>42746</v>
      </c>
      <c r="J184" t="inlineStr">
        <is>
          <t xml:space="preserve">Ottawa, ON </t>
        </is>
      </c>
      <c r="K184" t="inlineStr">
        <is>
          <t xml:space="preserve">Ottawa, ON </t>
        </is>
      </c>
      <c r="T184" t="n">
        <v>20</v>
      </c>
      <c r="U184" t="n">
        <v>20</v>
      </c>
      <c r="X184" t="inlineStr">
        <is>
          <t>atssc-scdata</t>
        </is>
      </c>
      <c r="Y184" t="inlineStr">
        <is>
          <t>Administrative Tribunals Support Service of Canada | Service canadien d'appui aux tribunaux administratifs</t>
        </is>
      </c>
    </row>
    <row r="185">
      <c r="A185" t="inlineStr">
        <is>
          <t>T-2017-Q1-00007</t>
        </is>
      </c>
      <c r="B185" t="inlineStr">
        <is>
          <t>SLE</t>
        </is>
      </c>
      <c r="C185" t="inlineStr">
        <is>
          <t xml:space="preserve">Executive Director, Secretariat to the Canadian Cultural Property Export Review Board    </t>
        </is>
      </c>
      <c r="D185" t="inlineStr">
        <is>
          <t>Directrice exécutive, Secrétariat de la Commission canadienne d’examen des exportations de biens culturels</t>
        </is>
      </c>
      <c r="E185" t="inlineStr">
        <is>
          <t>Bishop, Delphine</t>
        </is>
      </c>
      <c r="F185" t="inlineStr">
        <is>
          <t xml:space="preserve">Attend a meeting with  Executive Directors </t>
        </is>
      </c>
      <c r="G185" t="inlineStr">
        <is>
          <t>Participer à une rencontre avec les directeurs exécutifs</t>
        </is>
      </c>
      <c r="H185" s="1" t="n">
        <v>42783</v>
      </c>
      <c r="I185" s="1" t="n">
        <v>42783</v>
      </c>
      <c r="J185" t="inlineStr">
        <is>
          <t xml:space="preserve">Ottawa, ON </t>
        </is>
      </c>
      <c r="K185" t="inlineStr">
        <is>
          <t xml:space="preserve">Ottawa, ON </t>
        </is>
      </c>
      <c r="T185" t="n">
        <v>15</v>
      </c>
      <c r="U185" t="n">
        <v>15</v>
      </c>
      <c r="X185" t="inlineStr">
        <is>
          <t>atssc-scdata</t>
        </is>
      </c>
      <c r="Y185" t="inlineStr">
        <is>
          <t>Administrative Tribunals Support Service of Canada | Service canadien d'appui aux tribunaux administratifs</t>
        </is>
      </c>
    </row>
    <row r="186">
      <c r="A186" t="inlineStr">
        <is>
          <t>T-2017-Q1-00008</t>
        </is>
      </c>
      <c r="B186" t="inlineStr">
        <is>
          <t>SLE</t>
        </is>
      </c>
      <c r="C186" t="inlineStr">
        <is>
          <t xml:space="preserve">Executive Director, Secretariat to the Canadian Cultural Property Export Review Board    </t>
        </is>
      </c>
      <c r="D186" t="inlineStr">
        <is>
          <t>Directrice exécutive, Secrétariat de la Commission canadienne d’examen des exportations de biens culturels</t>
        </is>
      </c>
      <c r="E186" t="inlineStr">
        <is>
          <t>Bishop, Delphine</t>
        </is>
      </c>
      <c r="F186" t="inlineStr">
        <is>
          <t>Attend a meeting with the Senior Project manager</t>
        </is>
      </c>
      <c r="G186" t="inlineStr">
        <is>
          <t>Participer à une rencontre avec la chef de l'initiative stratégique</t>
        </is>
      </c>
      <c r="H186" s="1" t="n">
        <v>42800</v>
      </c>
      <c r="I186" s="1" t="n">
        <v>42800</v>
      </c>
      <c r="J186" t="inlineStr">
        <is>
          <t xml:space="preserve">Ottawa, ON </t>
        </is>
      </c>
      <c r="K186" t="inlineStr">
        <is>
          <t xml:space="preserve">Ottawa, ON </t>
        </is>
      </c>
      <c r="T186" t="n">
        <v>11</v>
      </c>
      <c r="U186" t="n">
        <v>11</v>
      </c>
      <c r="X186" t="inlineStr">
        <is>
          <t>atssc-scdata</t>
        </is>
      </c>
      <c r="Y186" t="inlineStr">
        <is>
          <t>Administrative Tribunals Support Service of Canada | Service canadien d'appui aux tribunaux administratifs</t>
        </is>
      </c>
    </row>
    <row r="187">
      <c r="A187" t="inlineStr">
        <is>
          <t>T-2017-Q1-00009</t>
        </is>
      </c>
      <c r="B187" t="inlineStr">
        <is>
          <t>SLE</t>
        </is>
      </c>
      <c r="C187" t="inlineStr">
        <is>
          <t xml:space="preserve">Executive Director, Secretariat to the Canadian Cultural Property Export Review Board    </t>
        </is>
      </c>
      <c r="D187" t="inlineStr">
        <is>
          <t>Directrice exécutive, Secrétariat de la Commission canadienne d’examen des exportations de biens culturels</t>
        </is>
      </c>
      <c r="E187" t="inlineStr">
        <is>
          <t>Bishop, Delphine</t>
        </is>
      </c>
      <c r="F187" t="inlineStr">
        <is>
          <t>Attend a Budget Allocation meeting</t>
        </is>
      </c>
      <c r="G187" t="inlineStr">
        <is>
          <t>Participer à une rencontre sur l'allocation budgétaire</t>
        </is>
      </c>
      <c r="H187" s="1" t="n">
        <v>42807</v>
      </c>
      <c r="I187" s="1" t="n">
        <v>42807</v>
      </c>
      <c r="J187" t="inlineStr">
        <is>
          <t xml:space="preserve">Ottawa, ON </t>
        </is>
      </c>
      <c r="K187" t="inlineStr">
        <is>
          <t xml:space="preserve">Ottawa, ON </t>
        </is>
      </c>
      <c r="T187" t="n">
        <v>12.5</v>
      </c>
      <c r="U187" t="n">
        <v>12.5</v>
      </c>
      <c r="X187" t="inlineStr">
        <is>
          <t>atssc-scdata</t>
        </is>
      </c>
      <c r="Y187" t="inlineStr">
        <is>
          <t>Administrative Tribunals Support Service of Canada | Service canadien d'appui aux tribunaux administratifs</t>
        </is>
      </c>
    </row>
    <row r="188">
      <c r="A188" t="inlineStr">
        <is>
          <t>T-2017-Q1-00010</t>
        </is>
      </c>
      <c r="B188" t="inlineStr">
        <is>
          <t>SLE</t>
        </is>
      </c>
      <c r="C188" t="inlineStr">
        <is>
          <t xml:space="preserve">Executive Director, Secretariat to the Canadian Cultural Property Export Review Board    </t>
        </is>
      </c>
      <c r="D188" t="inlineStr">
        <is>
          <t>Directrice exécutive, Secrétariat de la Commission canadienne d’examen des exportations de biens culturels</t>
        </is>
      </c>
      <c r="E188" t="inlineStr">
        <is>
          <t>Bishop, Delphine</t>
        </is>
      </c>
      <c r="F188" t="inlineStr">
        <is>
          <t>Attend the CCPERB Board meeting</t>
        </is>
      </c>
      <c r="G188" t="inlineStr">
        <is>
          <t>Assister à la réunion des membres de la Commission CCEEBC</t>
        </is>
      </c>
      <c r="H188" s="1" t="n">
        <v>42808</v>
      </c>
      <c r="I188" s="1" t="n">
        <v>42811</v>
      </c>
      <c r="J188" t="inlineStr">
        <is>
          <t xml:space="preserve">Ottawa, ON </t>
        </is>
      </c>
      <c r="K188" t="inlineStr">
        <is>
          <t xml:space="preserve">Ottawa, ON </t>
        </is>
      </c>
      <c r="T188" t="n">
        <v>80</v>
      </c>
      <c r="U188" t="n">
        <v>80</v>
      </c>
      <c r="X188" t="inlineStr">
        <is>
          <t>atssc-scdata</t>
        </is>
      </c>
      <c r="Y188" t="inlineStr">
        <is>
          <t>Administrative Tribunals Support Service of Canada | Service canadien d'appui aux tribunaux administratifs</t>
        </is>
      </c>
    </row>
    <row r="189">
      <c r="A189" t="inlineStr">
        <is>
          <t>T-2017-Q1-00011</t>
        </is>
      </c>
      <c r="B189" t="inlineStr">
        <is>
          <t>SLE</t>
        </is>
      </c>
      <c r="C189" t="inlineStr">
        <is>
          <t xml:space="preserve">Executive Director, Secretariat to the Canadian Cultural Property Export Review Board    </t>
        </is>
      </c>
      <c r="D189" t="inlineStr">
        <is>
          <t>Directrice exécutive, Secrétariat de la Commission canadienne d’examen des exportations de biens culturels</t>
        </is>
      </c>
      <c r="E189" t="inlineStr">
        <is>
          <t>Bishop, Delphine</t>
        </is>
      </c>
      <c r="F189" t="inlineStr">
        <is>
          <t>Attend the Classification Committee meeting</t>
        </is>
      </c>
      <c r="G189" t="inlineStr">
        <is>
          <t>Participer à une rencontre du comité de la classification</t>
        </is>
      </c>
      <c r="H189" s="1" t="n">
        <v>42816</v>
      </c>
      <c r="I189" s="1" t="n">
        <v>42816</v>
      </c>
      <c r="J189" t="inlineStr">
        <is>
          <t xml:space="preserve">Ottawa, ON </t>
        </is>
      </c>
      <c r="K189" t="inlineStr">
        <is>
          <t xml:space="preserve">Ottawa, ON </t>
        </is>
      </c>
      <c r="T189" t="n">
        <v>20</v>
      </c>
      <c r="U189" t="n">
        <v>20</v>
      </c>
      <c r="X189" t="inlineStr">
        <is>
          <t>atssc-scdata</t>
        </is>
      </c>
      <c r="Y189" t="inlineStr">
        <is>
          <t>Administrative Tribunals Support Service of Canada | Service canadien d'appui aux tribunaux administratifs</t>
        </is>
      </c>
    </row>
    <row r="190">
      <c r="A190" t="inlineStr">
        <is>
          <t>T-2017-Q1-00012</t>
        </is>
      </c>
      <c r="B190" t="inlineStr">
        <is>
          <t>SLE</t>
        </is>
      </c>
      <c r="C190" t="inlineStr">
        <is>
          <t xml:space="preserve">Executive Director, Secretariat to the Canadian Cultural Property Export Review Board    </t>
        </is>
      </c>
      <c r="D190" t="inlineStr">
        <is>
          <t>Directrice exécutive, Secrétariat de la Commission canadienne d’examen des exportations de biens culturels</t>
        </is>
      </c>
      <c r="E190" t="inlineStr">
        <is>
          <t>Bishop, Delphine</t>
        </is>
      </c>
      <c r="F190" t="inlineStr">
        <is>
          <t xml:space="preserve">Attend a meeting with  Executive Directors </t>
        </is>
      </c>
      <c r="G190" t="inlineStr">
        <is>
          <t>Participer à une rencontre avec les directeurs exécutifs</t>
        </is>
      </c>
      <c r="H190" s="1" t="n">
        <v>42823</v>
      </c>
      <c r="I190" s="1" t="n">
        <v>42823</v>
      </c>
      <c r="J190" t="inlineStr">
        <is>
          <t xml:space="preserve">Ottawa, ON </t>
        </is>
      </c>
      <c r="K190" t="inlineStr">
        <is>
          <t xml:space="preserve">Ottawa, ON </t>
        </is>
      </c>
      <c r="T190" t="n">
        <v>20</v>
      </c>
      <c r="U190" t="n">
        <v>20</v>
      </c>
      <c r="X190" t="inlineStr">
        <is>
          <t>atssc-scdata</t>
        </is>
      </c>
      <c r="Y190" t="inlineStr">
        <is>
          <t>Administrative Tribunals Support Service of Canada | Service canadien d'appui aux tribunaux administratifs</t>
        </is>
      </c>
    </row>
    <row r="191">
      <c r="A191" t="inlineStr">
        <is>
          <t>T-2017-Q1-00013</t>
        </is>
      </c>
      <c r="B191" t="inlineStr">
        <is>
          <t>SLE</t>
        </is>
      </c>
      <c r="C191" t="inlineStr">
        <is>
          <t xml:space="preserve">Chairperson, Canada Industrial Relations Board     </t>
        </is>
      </c>
      <c r="D191" t="inlineStr">
        <is>
          <t>Présidente, Conseil canadien des relations industrielles</t>
        </is>
      </c>
      <c r="E191" t="inlineStr">
        <is>
          <t>Ginette Brazeau</t>
        </is>
      </c>
      <c r="F191" t="inlineStr">
        <is>
          <t>Attend a Regional Directors Meeting</t>
        </is>
      </c>
      <c r="G191" t="inlineStr">
        <is>
          <t>Participer à une rencontre des directeurs régionaux</t>
        </is>
      </c>
      <c r="H191" s="1" t="n">
        <v>42794</v>
      </c>
      <c r="I191" s="1" t="n">
        <v>42796</v>
      </c>
      <c r="J191" t="inlineStr">
        <is>
          <t>Vancouver, BC</t>
        </is>
      </c>
      <c r="K191" t="inlineStr">
        <is>
          <t>Vancouver, BC</t>
        </is>
      </c>
      <c r="P191" t="n">
        <v>340.88</v>
      </c>
      <c r="Q191" t="n">
        <v>40</v>
      </c>
      <c r="R191" t="n">
        <v>340.76</v>
      </c>
      <c r="S191" t="n">
        <v>257.8</v>
      </c>
      <c r="U191" t="n">
        <v>979.4400000000001</v>
      </c>
      <c r="X191" t="inlineStr">
        <is>
          <t>atssc-scdata</t>
        </is>
      </c>
      <c r="Y191" t="inlineStr">
        <is>
          <t>Administrative Tribunals Support Service of Canada | Service canadien d'appui aux tribunaux administratifs</t>
        </is>
      </c>
    </row>
    <row r="192">
      <c r="A192" t="inlineStr">
        <is>
          <t>T-2017-Q1-00014</t>
        </is>
      </c>
      <c r="B192" t="inlineStr">
        <is>
          <t>SLE</t>
        </is>
      </c>
      <c r="C192" t="inlineStr">
        <is>
          <t xml:space="preserve">Chairperson, Canada Industrial Relations Board     </t>
        </is>
      </c>
      <c r="D192" t="inlineStr">
        <is>
          <t>Présidente, Conseil canadien des relations industrielles</t>
        </is>
      </c>
      <c r="E192" t="inlineStr">
        <is>
          <t>Ginette Brazeau</t>
        </is>
      </c>
      <c r="F192" t="inlineStr">
        <is>
          <t>To attend the Association of Labour Relations Agencies meeting</t>
        </is>
      </c>
      <c r="G192" t="inlineStr">
        <is>
          <t xml:space="preserve">Participer à une rencontre de la Association of Labour Relations Agencies </t>
        </is>
      </c>
      <c r="H192" s="1" t="n">
        <v>42797</v>
      </c>
      <c r="I192" s="1" t="n">
        <v>42799</v>
      </c>
      <c r="J192" t="inlineStr">
        <is>
          <t>Portland, Oregon</t>
        </is>
      </c>
      <c r="K192" t="inlineStr">
        <is>
          <t>Portland, Oregon</t>
        </is>
      </c>
      <c r="P192" t="n">
        <v>566.46</v>
      </c>
      <c r="Q192" t="n">
        <v>38.05</v>
      </c>
      <c r="R192" t="n">
        <v>852.08</v>
      </c>
      <c r="S192" t="n">
        <v>260.32</v>
      </c>
      <c r="T192" t="n">
        <v>120</v>
      </c>
      <c r="U192" t="n">
        <v>1836.91</v>
      </c>
      <c r="X192" t="inlineStr">
        <is>
          <t>atssc-scdata</t>
        </is>
      </c>
      <c r="Y192" t="inlineStr">
        <is>
          <t>Administrative Tribunals Support Service of Canada | Service canadien d'appui aux tribunaux administratifs</t>
        </is>
      </c>
    </row>
    <row r="193">
      <c r="A193" t="inlineStr">
        <is>
          <t>T-2017-Q1-00015</t>
        </is>
      </c>
      <c r="B193" t="inlineStr">
        <is>
          <t>SLE</t>
        </is>
      </c>
      <c r="C193" t="inlineStr">
        <is>
          <t xml:space="preserve">Chairperson, Canada Industrial Relations Board     </t>
        </is>
      </c>
      <c r="D193" t="inlineStr">
        <is>
          <t>Présidente, Conseil canadien des relations industrielles</t>
        </is>
      </c>
      <c r="E193" t="inlineStr">
        <is>
          <t>Ginette Brazeau</t>
        </is>
      </c>
      <c r="F193" t="inlineStr">
        <is>
          <t>Hearing file # 31022-C</t>
        </is>
      </c>
      <c r="G193" t="inlineStr">
        <is>
          <t>Dossier d'audience no 31022-C</t>
        </is>
      </c>
      <c r="H193" s="1" t="n">
        <v>42801</v>
      </c>
      <c r="I193" s="1" t="n">
        <v>42804</v>
      </c>
      <c r="J193" t="inlineStr">
        <is>
          <t>Toronto, ON</t>
        </is>
      </c>
      <c r="K193" t="inlineStr">
        <is>
          <t>Toronto, ON</t>
        </is>
      </c>
      <c r="P193" t="n">
        <v>380.87</v>
      </c>
      <c r="Q193" t="n">
        <v>25</v>
      </c>
      <c r="R193" t="n">
        <v>611.36</v>
      </c>
      <c r="S193" t="n">
        <v>291.35</v>
      </c>
      <c r="T193" t="n">
        <v>131.16</v>
      </c>
      <c r="U193" t="n">
        <v>1439.74</v>
      </c>
      <c r="X193" t="inlineStr">
        <is>
          <t>atssc-scdata</t>
        </is>
      </c>
      <c r="Y193" t="inlineStr">
        <is>
          <t>Administrative Tribunals Support Service of Canada | Service canadien d'appui aux tribunaux administratifs</t>
        </is>
      </c>
    </row>
    <row r="194">
      <c r="A194" t="inlineStr">
        <is>
          <t>T-2017-Q1-00016</t>
        </is>
      </c>
      <c r="B194" t="inlineStr">
        <is>
          <t>SLE</t>
        </is>
      </c>
      <c r="C194" t="inlineStr">
        <is>
          <t xml:space="preserve">Chairperson, Canada Industrial Relations Board     </t>
        </is>
      </c>
      <c r="D194" t="inlineStr">
        <is>
          <t>Présidente, Conseil canadien des relations industrielles</t>
        </is>
      </c>
      <c r="E194" t="inlineStr">
        <is>
          <t>Ginette Brazeau</t>
        </is>
      </c>
      <c r="F194" t="inlineStr">
        <is>
          <t>Hearing file # 31364-C</t>
        </is>
      </c>
      <c r="G194" t="inlineStr">
        <is>
          <t>Dossier d'audience no 31364-C</t>
        </is>
      </c>
      <c r="H194" s="1" t="n">
        <v>42822</v>
      </c>
      <c r="I194" s="1" t="n">
        <v>42825</v>
      </c>
      <c r="J194" t="inlineStr">
        <is>
          <t>Halifax, NS</t>
        </is>
      </c>
      <c r="K194" t="inlineStr">
        <is>
          <t>Halifax, NS</t>
        </is>
      </c>
      <c r="P194" t="n">
        <v>680.48</v>
      </c>
      <c r="Q194" t="n">
        <v>135</v>
      </c>
      <c r="R194" t="n">
        <v>612.3</v>
      </c>
      <c r="S194" t="n">
        <v>308.6</v>
      </c>
      <c r="T194" t="n">
        <v>92</v>
      </c>
      <c r="U194" t="n">
        <v>1828.38</v>
      </c>
      <c r="X194" t="inlineStr">
        <is>
          <t>atssc-scdata</t>
        </is>
      </c>
      <c r="Y194" t="inlineStr">
        <is>
          <t>Administrative Tribunals Support Service of Canada | Service canadien d'appui aux tribunaux administratifs</t>
        </is>
      </c>
    </row>
    <row r="195">
      <c r="A195" t="inlineStr">
        <is>
          <t>T-2017-Q1-00017</t>
        </is>
      </c>
      <c r="B195" t="inlineStr">
        <is>
          <t>SLE</t>
        </is>
      </c>
      <c r="C195" t="inlineStr">
        <is>
          <t xml:space="preserve">Chairperson, Canada Industrial Relations Board     </t>
        </is>
      </c>
      <c r="D195" t="inlineStr">
        <is>
          <t>Présidente, Conseil canadien des relations industrielles</t>
        </is>
      </c>
      <c r="E195" t="inlineStr">
        <is>
          <t>Ginette Brazeau</t>
        </is>
      </c>
      <c r="F195" t="inlineStr">
        <is>
          <t>Hearing file # 31685 &amp; 31696-C</t>
        </is>
      </c>
      <c r="G195" t="inlineStr">
        <is>
          <t>Dossiers d'audience nos 31685 et 31696-C</t>
        </is>
      </c>
      <c r="H195" s="1" t="n">
        <v>42828</v>
      </c>
      <c r="I195" s="1" t="n">
        <v>42832</v>
      </c>
      <c r="J195" t="inlineStr">
        <is>
          <t>Vancouver, BC</t>
        </is>
      </c>
      <c r="K195" t="inlineStr">
        <is>
          <t>Vancouver, BC</t>
        </is>
      </c>
      <c r="P195" t="n">
        <v>413.98</v>
      </c>
      <c r="Q195" t="n">
        <v>73.2</v>
      </c>
      <c r="R195" t="n">
        <v>700.3200000000001</v>
      </c>
      <c r="S195" t="n">
        <v>248.65</v>
      </c>
      <c r="T195" t="n">
        <v>102</v>
      </c>
      <c r="U195" t="n">
        <v>1538.15</v>
      </c>
      <c r="X195" t="inlineStr">
        <is>
          <t>atssc-scdata</t>
        </is>
      </c>
      <c r="Y195" t="inlineStr">
        <is>
          <t>Administrative Tribunals Support Service of Canada | Service canadien d'appui aux tribunaux administratifs</t>
        </is>
      </c>
    </row>
    <row r="196">
      <c r="A196" t="inlineStr">
        <is>
          <t>T-2017-Q1-00018</t>
        </is>
      </c>
      <c r="B196" t="inlineStr">
        <is>
          <t>SLE</t>
        </is>
      </c>
      <c r="C196" t="inlineStr">
        <is>
          <t xml:space="preserve">Chairperson, Canada Industrial Relations Board     </t>
        </is>
      </c>
      <c r="D196" t="inlineStr">
        <is>
          <t>Présidente, Conseil canadien des relations industrielles</t>
        </is>
      </c>
      <c r="E196" t="inlineStr">
        <is>
          <t>Ginette Brazeau</t>
        </is>
      </c>
      <c r="F196" t="inlineStr">
        <is>
          <t xml:space="preserve">Attend a presentation </t>
        </is>
      </c>
      <c r="G196" t="inlineStr">
        <is>
          <t>Participer à une présentation</t>
        </is>
      </c>
      <c r="H196" s="1" t="n">
        <v>42846</v>
      </c>
      <c r="I196" s="1" t="n">
        <v>42846</v>
      </c>
      <c r="J196" t="inlineStr">
        <is>
          <t>Ottawa, ON</t>
        </is>
      </c>
      <c r="K196" t="inlineStr">
        <is>
          <t>Ottawa, ON</t>
        </is>
      </c>
      <c r="T196" t="n">
        <v>22</v>
      </c>
      <c r="U196" t="n">
        <v>22</v>
      </c>
      <c r="X196" t="inlineStr">
        <is>
          <t>atssc-scdata</t>
        </is>
      </c>
      <c r="Y196" t="inlineStr">
        <is>
          <t>Administrative Tribunals Support Service of Canada | Service canadien d'appui aux tribunaux administratifs</t>
        </is>
      </c>
    </row>
    <row r="197">
      <c r="A197" t="inlineStr">
        <is>
          <t>T-2017-Q1-00019</t>
        </is>
      </c>
      <c r="B197" t="inlineStr">
        <is>
          <t>SLE</t>
        </is>
      </c>
      <c r="C197" t="inlineStr">
        <is>
          <t xml:space="preserve">Chairperson, Canada Industrial Relations Board     </t>
        </is>
      </c>
      <c r="D197" t="inlineStr">
        <is>
          <t>Présidente, Conseil canadien des relations industrielles</t>
        </is>
      </c>
      <c r="E197" t="inlineStr">
        <is>
          <t>Ginette Brazeau</t>
        </is>
      </c>
      <c r="F197" t="inlineStr">
        <is>
          <t>Hearing file # 31670-C &amp; 31671-C</t>
        </is>
      </c>
      <c r="G197" t="inlineStr">
        <is>
          <t>Dossiers d'audience nos 31670-C et 31671-C</t>
        </is>
      </c>
      <c r="H197" s="1" t="n">
        <v>42856</v>
      </c>
      <c r="I197" s="1" t="n">
        <v>42859</v>
      </c>
      <c r="J197" t="inlineStr">
        <is>
          <t>Vancouver, BC</t>
        </is>
      </c>
      <c r="K197" t="inlineStr">
        <is>
          <t>Vancouver, BC</t>
        </is>
      </c>
      <c r="P197" t="n">
        <v>4074.14</v>
      </c>
      <c r="Q197" t="n">
        <v>74.5</v>
      </c>
      <c r="R197" t="n">
        <v>441.8</v>
      </c>
      <c r="S197" t="n">
        <v>150.95</v>
      </c>
      <c r="T197" t="n">
        <v>69</v>
      </c>
      <c r="U197" t="n">
        <v>4810.39</v>
      </c>
      <c r="X197" t="inlineStr">
        <is>
          <t>atssc-scdata</t>
        </is>
      </c>
      <c r="Y197" t="inlineStr">
        <is>
          <t>Administrative Tribunals Support Service of Canada | Service canadien d'appui aux tribunaux administratifs</t>
        </is>
      </c>
    </row>
    <row r="198">
      <c r="A198" t="inlineStr">
        <is>
          <t>T-2017-Q1-00020</t>
        </is>
      </c>
      <c r="B198" t="inlineStr">
        <is>
          <t>SLE</t>
        </is>
      </c>
      <c r="C198" t="inlineStr">
        <is>
          <t>Chairperson, Social Security Tribunal</t>
        </is>
      </c>
      <c r="D198" t="inlineStr">
        <is>
          <t>Présidente du Tribunal de la sécurité sociale</t>
        </is>
      </c>
      <c r="E198" t="inlineStr">
        <is>
          <t>Murielle, Brazeau</t>
        </is>
      </c>
      <c r="F198" t="inlineStr">
        <is>
          <t>To attend training</t>
        </is>
      </c>
      <c r="G198" t="inlineStr">
        <is>
          <t xml:space="preserve">Participer à une formation </t>
        </is>
      </c>
      <c r="H198" s="1" t="n">
        <v>42844</v>
      </c>
      <c r="I198" s="1" t="n">
        <v>42849</v>
      </c>
      <c r="J198" t="inlineStr">
        <is>
          <t xml:space="preserve">Vancouver, BC </t>
        </is>
      </c>
      <c r="K198" t="inlineStr">
        <is>
          <t xml:space="preserve">Vancouver, BC </t>
        </is>
      </c>
      <c r="P198" t="n">
        <v>1604.41</v>
      </c>
      <c r="Q198" t="n">
        <v>106.34</v>
      </c>
      <c r="R198" t="n">
        <v>479.39</v>
      </c>
      <c r="S198" t="n">
        <v>284</v>
      </c>
      <c r="T198" t="n">
        <v>138</v>
      </c>
      <c r="U198" t="n">
        <v>2612.14</v>
      </c>
      <c r="X198" t="inlineStr">
        <is>
          <t>atssc-scdata</t>
        </is>
      </c>
      <c r="Y198" t="inlineStr">
        <is>
          <t>Administrative Tribunals Support Service of Canada | Service canadien d'appui aux tribunaux administratifs</t>
        </is>
      </c>
    </row>
    <row r="199">
      <c r="A199" t="inlineStr">
        <is>
          <t>T-2017-Q1-00021</t>
        </is>
      </c>
      <c r="B199" t="inlineStr">
        <is>
          <t>SLE</t>
        </is>
      </c>
      <c r="C199" t="inlineStr">
        <is>
          <t xml:space="preserve"> Chairperson, Canada Agricultural Review Tribunal       </t>
        </is>
      </c>
      <c r="D199" t="inlineStr">
        <is>
          <t xml:space="preserve"> Président, Commission de révision agricole du Canada</t>
        </is>
      </c>
      <c r="E199" t="inlineStr">
        <is>
          <t>Donald, Buckingham</t>
        </is>
      </c>
      <c r="F199" t="inlineStr">
        <is>
          <t>Hearing file #1912</t>
        </is>
      </c>
      <c r="G199" t="inlineStr">
        <is>
          <t>Dossier d'audience  no 1912</t>
        </is>
      </c>
      <c r="H199" s="1" t="n">
        <v>42805</v>
      </c>
      <c r="I199" s="1" t="n">
        <v>42808</v>
      </c>
      <c r="J199" t="inlineStr">
        <is>
          <t>Calgary, AB</t>
        </is>
      </c>
      <c r="K199" t="inlineStr">
        <is>
          <t>Calgary, AB</t>
        </is>
      </c>
      <c r="P199" t="n">
        <v>250.74</v>
      </c>
      <c r="Q199" t="n">
        <v>73.16</v>
      </c>
      <c r="R199" t="n">
        <v>189.73</v>
      </c>
      <c r="S199" t="n">
        <v>159.95</v>
      </c>
      <c r="T199" t="n">
        <v>48.93</v>
      </c>
      <c r="U199" t="n">
        <v>722.51</v>
      </c>
      <c r="X199" t="inlineStr">
        <is>
          <t>atssc-scdata</t>
        </is>
      </c>
      <c r="Y199" t="inlineStr">
        <is>
          <t>Administrative Tribunals Support Service of Canada | Service canadien d'appui aux tribunaux administratifs</t>
        </is>
      </c>
    </row>
    <row r="200">
      <c r="A200" t="inlineStr">
        <is>
          <t>T-2017-Q1-00022</t>
        </is>
      </c>
      <c r="B200" t="inlineStr">
        <is>
          <t>SLE</t>
        </is>
      </c>
      <c r="C200" t="inlineStr">
        <is>
          <t xml:space="preserve"> Chairperson, Canada Agricultural Review Tribunal       </t>
        </is>
      </c>
      <c r="D200" t="inlineStr">
        <is>
          <t xml:space="preserve"> Président, Commission de révision agricole du Canada</t>
        </is>
      </c>
      <c r="E200" t="inlineStr">
        <is>
          <t>Donald, Buckingham</t>
        </is>
      </c>
      <c r="F200" t="inlineStr">
        <is>
          <t>Attend a meeting at the Canadian Transportation Agency</t>
        </is>
      </c>
      <c r="G200" t="inlineStr">
        <is>
          <t>Participer à une rencontre à l'Office des transports du Canada</t>
        </is>
      </c>
      <c r="H200" s="1" t="n">
        <v>42817</v>
      </c>
      <c r="I200" s="1" t="n">
        <v>42817</v>
      </c>
      <c r="J200" t="inlineStr">
        <is>
          <t>Gatineau, QC</t>
        </is>
      </c>
      <c r="K200" t="inlineStr">
        <is>
          <t>Gatineau, QC</t>
        </is>
      </c>
      <c r="T200" t="n">
        <v>14</v>
      </c>
      <c r="U200" t="n">
        <v>14</v>
      </c>
      <c r="X200" t="inlineStr">
        <is>
          <t>atssc-scdata</t>
        </is>
      </c>
      <c r="Y200" t="inlineStr">
        <is>
          <t>Administrative Tribunals Support Service of Canada | Service canadien d'appui aux tribunaux administratifs</t>
        </is>
      </c>
    </row>
    <row r="201">
      <c r="A201" t="inlineStr">
        <is>
          <t>T-2016-Q4-007</t>
        </is>
      </c>
      <c r="B201" t="inlineStr">
        <is>
          <t>SLE</t>
        </is>
      </c>
      <c r="C201" t="inlineStr">
        <is>
          <t xml:space="preserve">Executive Director, Secretariat to the Canadian Cultural Property Export Review Board    </t>
        </is>
      </c>
      <c r="D201" t="inlineStr">
        <is>
          <t>Directrice exécutive, Secrétariat de la Commission canadienne d’examen des exportations de biens culturels</t>
        </is>
      </c>
      <c r="E201" t="inlineStr">
        <is>
          <t>BISHOP, Delphine</t>
        </is>
      </c>
      <c r="F201" t="inlineStr">
        <is>
          <t xml:space="preserve">Attend the Operations Sub-committee </t>
        </is>
      </c>
      <c r="G201" t="inlineStr">
        <is>
          <t xml:space="preserve">Participer à la réunion du sous-comités des opérations </t>
        </is>
      </c>
      <c r="H201" s="1" t="n">
        <v>42691</v>
      </c>
      <c r="I201" s="1" t="n">
        <v>42691</v>
      </c>
      <c r="J201" t="inlineStr">
        <is>
          <t>Ottawa, ON</t>
        </is>
      </c>
      <c r="K201" t="inlineStr">
        <is>
          <t>Ottawa, ON</t>
        </is>
      </c>
      <c r="Q201" t="n">
        <v>18</v>
      </c>
      <c r="U201" t="n">
        <v>18</v>
      </c>
      <c r="X201" t="inlineStr">
        <is>
          <t>atssc-scdata</t>
        </is>
      </c>
      <c r="Y201" t="inlineStr">
        <is>
          <t>Administrative Tribunals Support Service of Canada | Service canadien d'appui aux tribunaux administratifs</t>
        </is>
      </c>
    </row>
    <row r="202">
      <c r="A202" t="inlineStr">
        <is>
          <t>T-2017-Q1-00023</t>
        </is>
      </c>
      <c r="B202" t="inlineStr">
        <is>
          <t>SLE</t>
        </is>
      </c>
      <c r="C202" t="inlineStr">
        <is>
          <t xml:space="preserve"> Chairperson, Canada Agricultural Review Tribunal       </t>
        </is>
      </c>
      <c r="D202" t="inlineStr">
        <is>
          <t xml:space="preserve"> Président, Commission de révision agricole du Canada</t>
        </is>
      </c>
      <c r="E202" t="inlineStr">
        <is>
          <t>Donald, Buckingham</t>
        </is>
      </c>
      <c r="F202" t="inlineStr">
        <is>
          <t>Hearing file #1856, #1857 &amp; #1858</t>
        </is>
      </c>
      <c r="G202" t="inlineStr">
        <is>
          <t>Dossiers d'audience  nos 1856, 1857 et 1858</t>
        </is>
      </c>
      <c r="H202" s="1" t="n">
        <v>42834</v>
      </c>
      <c r="I202" s="1" t="n">
        <v>42835</v>
      </c>
      <c r="J202" t="inlineStr">
        <is>
          <t>Québec, QC</t>
        </is>
      </c>
      <c r="K202" t="inlineStr">
        <is>
          <t>Québec, QC</t>
        </is>
      </c>
      <c r="P202" t="n">
        <v>660.62</v>
      </c>
      <c r="Q202" t="n">
        <v>64.92</v>
      </c>
      <c r="R202" t="n">
        <v>160.66</v>
      </c>
      <c r="S202" t="n">
        <v>161.7</v>
      </c>
      <c r="U202" t="n">
        <v>1047.9</v>
      </c>
      <c r="X202" t="inlineStr">
        <is>
          <t>atssc-scdata</t>
        </is>
      </c>
      <c r="Y202" t="inlineStr">
        <is>
          <t>Administrative Tribunals Support Service of Canada | Service canadien d'appui aux tribunaux administratifs</t>
        </is>
      </c>
    </row>
    <row r="203">
      <c r="A203" t="inlineStr">
        <is>
          <t>T-2017-Q1-00024</t>
        </is>
      </c>
      <c r="B203" t="inlineStr">
        <is>
          <t>SLE</t>
        </is>
      </c>
      <c r="C203" t="inlineStr">
        <is>
          <t>Executive Director and General Counsel, Secretariat to the Canadian International Trade Tribunal</t>
        </is>
      </c>
      <c r="D203" t="inlineStr">
        <is>
          <t>Directeur exécutif et avocat général, Secrétariat du Tribunal canadien du commerce extérieur</t>
        </is>
      </c>
      <c r="E203" t="inlineStr">
        <is>
          <t>Covelli, Nick</t>
        </is>
      </c>
      <c r="F203" t="inlineStr">
        <is>
          <t xml:space="preserve">Attend the 38th Annual International Trade Update </t>
        </is>
      </c>
      <c r="G203" t="inlineStr">
        <is>
          <t>Participer à la 38e International Trade Update annuelle</t>
        </is>
      </c>
      <c r="H203" s="1" t="n">
        <v>42802</v>
      </c>
      <c r="I203" s="1" t="n">
        <v>42804</v>
      </c>
      <c r="J203" t="inlineStr">
        <is>
          <t>Washington, DC</t>
        </is>
      </c>
      <c r="K203" t="inlineStr">
        <is>
          <t>Washington, DC</t>
        </is>
      </c>
      <c r="P203" t="n">
        <v>668.42</v>
      </c>
      <c r="Q203" t="n">
        <v>32.7</v>
      </c>
      <c r="R203" t="n">
        <v>1070.02</v>
      </c>
      <c r="S203" t="n">
        <v>346.63</v>
      </c>
      <c r="T203" t="n">
        <v>51.65</v>
      </c>
      <c r="U203" t="n">
        <v>2169.42</v>
      </c>
      <c r="X203" t="inlineStr">
        <is>
          <t>atssc-scdata</t>
        </is>
      </c>
      <c r="Y203" t="inlineStr">
        <is>
          <t>Administrative Tribunals Support Service of Canada | Service canadien d'appui aux tribunaux administratifs</t>
        </is>
      </c>
    </row>
    <row r="204">
      <c r="A204" t="inlineStr">
        <is>
          <t>T-2017-Q1-00025</t>
        </is>
      </c>
      <c r="B204" t="inlineStr">
        <is>
          <t>SLE</t>
        </is>
      </c>
      <c r="C204" t="inlineStr">
        <is>
          <t xml:space="preserve">Executive Director and General Counsel, Secretariat to the Canada Industrial Relations Board  </t>
        </is>
      </c>
      <c r="D204" t="inlineStr">
        <is>
          <t xml:space="preserve"> Directrice exécutive et avocate générale, Secrétariat du Conseil canadien des relations industrielles </t>
        </is>
      </c>
      <c r="E204" t="inlineStr">
        <is>
          <t>Sylvie, Guilbert</t>
        </is>
      </c>
      <c r="F204" t="inlineStr">
        <is>
          <t>Attend a regional staff meeting</t>
        </is>
      </c>
      <c r="G204" t="inlineStr">
        <is>
          <t>Participer à une rencontre des employés régionaux</t>
        </is>
      </c>
      <c r="H204" s="1" t="n">
        <v>42794</v>
      </c>
      <c r="I204" s="1" t="n">
        <v>42796</v>
      </c>
      <c r="J204" t="inlineStr">
        <is>
          <t>Vancouver, BC</t>
        </is>
      </c>
      <c r="K204" t="inlineStr">
        <is>
          <t>Vancouver, BC</t>
        </is>
      </c>
      <c r="P204" t="n">
        <v>315.13</v>
      </c>
      <c r="Q204" t="n">
        <v>76.92</v>
      </c>
      <c r="R204" t="n">
        <v>511.14</v>
      </c>
      <c r="S204" t="n">
        <v>291.3</v>
      </c>
      <c r="U204" t="n">
        <v>1194.49</v>
      </c>
      <c r="X204" t="inlineStr">
        <is>
          <t>atssc-scdata</t>
        </is>
      </c>
      <c r="Y204" t="inlineStr">
        <is>
          <t>Administrative Tribunals Support Service of Canada | Service canadien d'appui aux tribunaux administratifs</t>
        </is>
      </c>
    </row>
    <row r="205">
      <c r="A205" t="inlineStr">
        <is>
          <t>T-2017-Q1-00026</t>
        </is>
      </c>
      <c r="B205" t="inlineStr">
        <is>
          <t>SLE</t>
        </is>
      </c>
      <c r="C205" t="inlineStr">
        <is>
          <t xml:space="preserve">Executive Director and General Counsel, Secretariat to the Canada Industrial Relations Board  </t>
        </is>
      </c>
      <c r="D205" t="inlineStr">
        <is>
          <t xml:space="preserve"> Directrice exécutive et avocate générale, Secrétariat du Conseil canadien des relations industrielles </t>
        </is>
      </c>
      <c r="E205" t="inlineStr">
        <is>
          <t>Sylvie, Guilbert</t>
        </is>
      </c>
      <c r="F205" t="inlineStr">
        <is>
          <t xml:space="preserve">To attend a meeting of the Association of Labour Relations Agencies </t>
        </is>
      </c>
      <c r="G205" t="inlineStr">
        <is>
          <t xml:space="preserve">Participer à une rencontre de la Association of Labour Relations Agencies </t>
        </is>
      </c>
      <c r="H205" s="1" t="n">
        <v>42797</v>
      </c>
      <c r="I205" s="1" t="n">
        <v>42800</v>
      </c>
      <c r="J205" t="inlineStr">
        <is>
          <t>Portland, Oregon</t>
        </is>
      </c>
      <c r="K205" t="inlineStr">
        <is>
          <t>Portland, Oregon</t>
        </is>
      </c>
      <c r="P205" t="n">
        <v>742.9299999999999</v>
      </c>
      <c r="Q205" t="n">
        <v>97.63</v>
      </c>
      <c r="R205" t="n">
        <v>830.86</v>
      </c>
      <c r="S205" t="n">
        <v>406.06</v>
      </c>
      <c r="U205" t="n">
        <v>2077.48</v>
      </c>
      <c r="X205" t="inlineStr">
        <is>
          <t>atssc-scdata</t>
        </is>
      </c>
      <c r="Y205" t="inlineStr">
        <is>
          <t>Administrative Tribunals Support Service of Canada | Service canadien d'appui aux tribunaux administratifs</t>
        </is>
      </c>
    </row>
    <row r="206">
      <c r="A206" t="inlineStr">
        <is>
          <t>T-2017-Q1-00027</t>
        </is>
      </c>
      <c r="B206" t="inlineStr">
        <is>
          <t>SLE</t>
        </is>
      </c>
      <c r="C206" t="inlineStr">
        <is>
          <t xml:space="preserve">Chairperson, Canadian Cultural Property Export Review Board        </t>
        </is>
      </c>
      <c r="D206" t="inlineStr">
        <is>
          <t>Présidente, Commission canadienne d’examen des exportations de biens culturels</t>
        </is>
      </c>
      <c r="E206" t="inlineStr">
        <is>
          <t>Ingram, Sharilyn</t>
        </is>
      </c>
      <c r="F206" t="inlineStr">
        <is>
          <t>Attend a preparation day for the CCPERB board meeting</t>
        </is>
      </c>
      <c r="G206" t="inlineStr">
        <is>
          <t>Assister à une journée préparatoire de la rencontre des membre de CCEEBC</t>
        </is>
      </c>
      <c r="H206" s="1" t="n">
        <v>42795</v>
      </c>
      <c r="I206" s="1" t="n">
        <v>42797</v>
      </c>
      <c r="J206" t="inlineStr">
        <is>
          <t>Gatineau, QC</t>
        </is>
      </c>
      <c r="K206" t="inlineStr">
        <is>
          <t>Gatineau, QC</t>
        </is>
      </c>
      <c r="P206" t="n">
        <v>524.3099999999999</v>
      </c>
      <c r="Q206" t="n">
        <v>224.26</v>
      </c>
      <c r="R206" t="n">
        <v>366.52</v>
      </c>
      <c r="S206" t="n">
        <v>211.5</v>
      </c>
      <c r="U206" t="n">
        <v>1326.59</v>
      </c>
      <c r="X206" t="inlineStr">
        <is>
          <t>atssc-scdata</t>
        </is>
      </c>
      <c r="Y206" t="inlineStr">
        <is>
          <t>Administrative Tribunals Support Service of Canada | Service canadien d'appui aux tribunaux administratifs</t>
        </is>
      </c>
    </row>
    <row r="207">
      <c r="A207" t="inlineStr">
        <is>
          <t>T-2017-Q1-00028</t>
        </is>
      </c>
      <c r="B207" t="inlineStr">
        <is>
          <t>SLE</t>
        </is>
      </c>
      <c r="C207" t="inlineStr">
        <is>
          <t xml:space="preserve">Chairperson, Canadian Cultural Property Export Review Board        </t>
        </is>
      </c>
      <c r="D207" t="inlineStr">
        <is>
          <t>Présidente, Commission canadienne d’examen des exportations de biens culturels</t>
        </is>
      </c>
      <c r="E207" t="inlineStr">
        <is>
          <t>Ingram, Sharilyn</t>
        </is>
      </c>
      <c r="F207" t="inlineStr">
        <is>
          <t>Attend the CCPERB meeting</t>
        </is>
      </c>
      <c r="G207" t="inlineStr">
        <is>
          <t>Assister à la réunion de CCEEBC</t>
        </is>
      </c>
      <c r="H207" s="1" t="n">
        <v>42807</v>
      </c>
      <c r="I207" s="1" t="n">
        <v>42811</v>
      </c>
      <c r="J207" t="inlineStr">
        <is>
          <t>Ottawa, ON</t>
        </is>
      </c>
      <c r="K207" t="inlineStr">
        <is>
          <t>Ottawa, ON</t>
        </is>
      </c>
      <c r="P207" t="n">
        <v>417.31</v>
      </c>
      <c r="Q207" t="n">
        <v>213.26</v>
      </c>
      <c r="R207" t="n">
        <v>707.64</v>
      </c>
      <c r="S207" t="n">
        <v>468.5</v>
      </c>
      <c r="U207" t="n">
        <v>1806.71</v>
      </c>
      <c r="X207" t="inlineStr">
        <is>
          <t>atssc-scdata</t>
        </is>
      </c>
      <c r="Y207" t="inlineStr">
        <is>
          <t>Administrative Tribunals Support Service of Canada | Service canadien d'appui aux tribunaux administratifs</t>
        </is>
      </c>
    </row>
    <row r="208">
      <c r="A208" t="inlineStr">
        <is>
          <t>T-2017-Q1-00029</t>
        </is>
      </c>
      <c r="B208" t="inlineStr">
        <is>
          <t>SLE</t>
        </is>
      </c>
      <c r="C208" t="inlineStr">
        <is>
          <t xml:space="preserve">Chairperson, Canadian Cultural Property Export Review Board        </t>
        </is>
      </c>
      <c r="D208" t="inlineStr">
        <is>
          <t>Présidente, Commission canadienne d’examen des exportations de biens culturels</t>
        </is>
      </c>
      <c r="E208" t="inlineStr">
        <is>
          <t>Ingram, Sharilyn</t>
        </is>
      </c>
      <c r="F208" t="inlineStr">
        <is>
          <t>Attend the Chairperson's forum in Ottawa</t>
        </is>
      </c>
      <c r="G208" t="inlineStr">
        <is>
          <t>Assister au forum de la présidente à Ottawa</t>
        </is>
      </c>
      <c r="H208" s="1" t="n">
        <v>42817</v>
      </c>
      <c r="I208" s="1" t="n">
        <v>42818</v>
      </c>
      <c r="J208" t="inlineStr">
        <is>
          <t>Ottawa, ON</t>
        </is>
      </c>
      <c r="K208" t="inlineStr">
        <is>
          <t>Ottawa, ON</t>
        </is>
      </c>
      <c r="P208" t="n">
        <v>500.01</v>
      </c>
      <c r="Q208" t="n">
        <v>227.26</v>
      </c>
      <c r="R208" t="n">
        <v>176.91</v>
      </c>
      <c r="S208" t="n">
        <v>177.2</v>
      </c>
      <c r="U208" t="n">
        <v>1081.38</v>
      </c>
      <c r="X208" t="inlineStr">
        <is>
          <t>atssc-scdata</t>
        </is>
      </c>
      <c r="Y208" t="inlineStr">
        <is>
          <t>Administrative Tribunals Support Service of Canada | Service canadien d'appui aux tribunaux administratifs</t>
        </is>
      </c>
    </row>
    <row r="209">
      <c r="A209" t="inlineStr">
        <is>
          <t>T-2017-Q1-00030</t>
        </is>
      </c>
      <c r="B209" t="inlineStr">
        <is>
          <t>SLE</t>
        </is>
      </c>
      <c r="C209" t="inlineStr">
        <is>
          <t xml:space="preserve">Chairperson, Canadian Human Rights Tribunal        </t>
        </is>
      </c>
      <c r="D209" t="inlineStr">
        <is>
          <t xml:space="preserve">Président, Tribunal canadien des droits de la personne </t>
        </is>
      </c>
      <c r="E209" t="inlineStr">
        <is>
          <t>Thomas, David</t>
        </is>
      </c>
      <c r="F209" t="inlineStr">
        <is>
          <t>Hearing file # T2171/4516</t>
        </is>
      </c>
      <c r="G209" t="inlineStr">
        <is>
          <t>Dossier d'audience no T2171/4516</t>
        </is>
      </c>
      <c r="H209" s="1" t="n">
        <v>42823</v>
      </c>
      <c r="I209" s="1" t="n">
        <v>42827</v>
      </c>
      <c r="J209" t="inlineStr">
        <is>
          <t>Vancouver, BC</t>
        </is>
      </c>
      <c r="K209" t="inlineStr">
        <is>
          <t>Vancouver, BC</t>
        </is>
      </c>
      <c r="P209" t="n">
        <v>650.6900000000001</v>
      </c>
      <c r="Q209" t="n">
        <v>163.48</v>
      </c>
      <c r="R209" t="n">
        <v>307.86</v>
      </c>
      <c r="S209" t="n">
        <v>291.3</v>
      </c>
      <c r="T209" t="n">
        <v>135.82</v>
      </c>
      <c r="U209" t="n">
        <v>1549.15</v>
      </c>
      <c r="X209" t="inlineStr">
        <is>
          <t>atssc-scdata</t>
        </is>
      </c>
      <c r="Y209" t="inlineStr">
        <is>
          <t>Administrative Tribunals Support Service of Canada | Service canadien d'appui aux tribunaux administratifs</t>
        </is>
      </c>
    </row>
    <row r="210">
      <c r="A210" t="inlineStr">
        <is>
          <t>T-2017-Q2-016</t>
        </is>
      </c>
      <c r="B210" t="inlineStr">
        <is>
          <t>SLE</t>
        </is>
      </c>
      <c r="C210" t="inlineStr">
        <is>
          <t xml:space="preserve">Chairperson, Canada Industrial Relations Board     </t>
        </is>
      </c>
      <c r="D210" t="inlineStr">
        <is>
          <t>Présidente, Conseil canadien des relations industrielles</t>
        </is>
      </c>
      <c r="E210" t="inlineStr">
        <is>
          <t>Ginette Brazeau</t>
        </is>
      </c>
      <c r="F210" t="inlineStr">
        <is>
          <t>Hearing file #42147</t>
        </is>
      </c>
      <c r="G210" t="inlineStr">
        <is>
          <t>Dossier d'audience #42147</t>
        </is>
      </c>
      <c r="H210" s="1" t="n">
        <v>42872</v>
      </c>
      <c r="I210" s="1" t="n">
        <v>42873</v>
      </c>
      <c r="J210" t="inlineStr">
        <is>
          <t>Halifax, NS</t>
        </is>
      </c>
      <c r="P210" t="n">
        <v>744.3200000000001</v>
      </c>
      <c r="Q210" t="n">
        <v>112</v>
      </c>
      <c r="R210" t="n">
        <v>198.24</v>
      </c>
      <c r="S210" t="n">
        <v>115.75</v>
      </c>
      <c r="U210" t="n">
        <v>1170.31</v>
      </c>
      <c r="X210" t="inlineStr">
        <is>
          <t>atssc-scdata</t>
        </is>
      </c>
      <c r="Y210" t="inlineStr">
        <is>
          <t>Administrative Tribunals Support Service of Canada | Service canadien d'appui aux tribunaux administratifs</t>
        </is>
      </c>
    </row>
    <row r="211">
      <c r="A211" t="inlineStr">
        <is>
          <t>T-2017-Q2-001</t>
        </is>
      </c>
      <c r="B211" t="inlineStr">
        <is>
          <t>SLE</t>
        </is>
      </c>
      <c r="C211" t="inlineStr">
        <is>
          <t>A/Executive Director and General Counsel, Secretariat to the Public Service Labour Relations and Employment Board</t>
        </is>
      </c>
      <c r="D211" t="inlineStr">
        <is>
          <t>Directrice générale et avocate générale par intérim, Secrétariat de la Commission des relations de travail et de l’emploi dans la fonction publique</t>
        </is>
      </c>
      <c r="E211" t="inlineStr">
        <is>
          <t>Virginia Adamson</t>
        </is>
      </c>
      <c r="F211" t="inlineStr">
        <is>
          <t>To attend the Annual Symposium of the Council of Canadian Administrative Tribunals</t>
        </is>
      </c>
      <c r="G211" t="inlineStr">
        <is>
          <t>Participer au colloque annuel du Conseil des tribunaux administratifs canadiens</t>
        </is>
      </c>
      <c r="H211" s="1" t="n">
        <v>42881</v>
      </c>
      <c r="I211" s="1" t="n">
        <v>42888</v>
      </c>
      <c r="J211" t="inlineStr">
        <is>
          <t>Vancouver, BC</t>
        </is>
      </c>
      <c r="Q211" t="n">
        <v>33</v>
      </c>
      <c r="R211" t="n">
        <v>828.36</v>
      </c>
      <c r="S211" t="n">
        <v>224.2</v>
      </c>
      <c r="T211" t="n">
        <v>56.5</v>
      </c>
      <c r="U211" t="n">
        <v>1142.06</v>
      </c>
      <c r="X211" t="inlineStr">
        <is>
          <t>atssc-scdata</t>
        </is>
      </c>
      <c r="Y211" t="inlineStr">
        <is>
          <t>Administrative Tribunals Support Service of Canada | Service canadien d'appui aux tribunaux administratifs</t>
        </is>
      </c>
    </row>
    <row r="212">
      <c r="A212" t="inlineStr">
        <is>
          <t>T-2017-Q2-002</t>
        </is>
      </c>
      <c r="B212" t="inlineStr">
        <is>
          <t>SLE</t>
        </is>
      </c>
      <c r="C212" t="inlineStr">
        <is>
          <t xml:space="preserve">A/Chairperson, Canadian International Trade Tribunal </t>
        </is>
      </c>
      <c r="D212" t="inlineStr">
        <is>
          <t xml:space="preserve">Président par intérim, Tribunal Canadien du commerce extérieur </t>
        </is>
      </c>
      <c r="E212" t="inlineStr">
        <is>
          <t>Jean Bédard</t>
        </is>
      </c>
      <c r="F212" t="inlineStr">
        <is>
          <t>Meeting with the United States Court of International trade</t>
        </is>
      </c>
      <c r="G212" t="inlineStr">
        <is>
          <t>Rencontre avec la United States Court of International trade</t>
        </is>
      </c>
      <c r="H212" s="1" t="n">
        <v>42941</v>
      </c>
      <c r="I212" s="1" t="n">
        <v>42942</v>
      </c>
      <c r="J212" t="inlineStr">
        <is>
          <t>New York, NY</t>
        </is>
      </c>
      <c r="P212" t="n">
        <v>450.38</v>
      </c>
      <c r="Q212" t="n">
        <v>144.85</v>
      </c>
      <c r="R212" t="n">
        <v>406.1</v>
      </c>
      <c r="S212" t="n">
        <v>247</v>
      </c>
      <c r="U212" t="n">
        <v>1248.33</v>
      </c>
      <c r="X212" t="inlineStr">
        <is>
          <t>atssc-scdata</t>
        </is>
      </c>
      <c r="Y212" t="inlineStr">
        <is>
          <t>Administrative Tribunals Support Service of Canada | Service canadien d'appui aux tribunaux administratifs</t>
        </is>
      </c>
    </row>
    <row r="213">
      <c r="A213" t="inlineStr">
        <is>
          <t>T-2017-Q2-003</t>
        </is>
      </c>
      <c r="B213" t="inlineStr">
        <is>
          <t>SLE</t>
        </is>
      </c>
      <c r="C213" t="inlineStr">
        <is>
          <t xml:space="preserve">A/Chairperson, Canadian International Trade Tribunal </t>
        </is>
      </c>
      <c r="D213" t="inlineStr">
        <is>
          <t xml:space="preserve">Président par intérim, Tribunal Canadien du commerce extérieur </t>
        </is>
      </c>
      <c r="E213" t="inlineStr">
        <is>
          <t>Jean Bédard</t>
        </is>
      </c>
      <c r="F213" t="inlineStr">
        <is>
          <t>Presentation to the Seoul International Forum on Trade Remedies 2017 and Meeting of heads of trade remedy investigative agencies</t>
        </is>
      </c>
      <c r="G213" t="inlineStr">
        <is>
          <t xml:space="preserve">Présentation au Forum Internationale de Séoul sur les recours commerciaux 2017 et participation à une réunion des dirigeants des autorités d’enquête des recours commerciaux </t>
        </is>
      </c>
      <c r="H213" s="1" t="n">
        <v>42919</v>
      </c>
      <c r="I213" s="1" t="n">
        <v>42924</v>
      </c>
      <c r="J213" t="inlineStr">
        <is>
          <t>Soul, SK</t>
        </is>
      </c>
      <c r="P213" t="n">
        <v>4948.28</v>
      </c>
      <c r="Q213" t="n">
        <v>35.2</v>
      </c>
      <c r="R213" t="n">
        <v>1030.74</v>
      </c>
      <c r="S213" t="n">
        <v>846.49</v>
      </c>
      <c r="T213" t="n">
        <v>20.33</v>
      </c>
      <c r="U213" t="n">
        <v>6881.04</v>
      </c>
      <c r="X213" t="inlineStr">
        <is>
          <t>atssc-scdata</t>
        </is>
      </c>
      <c r="Y213" t="inlineStr">
        <is>
          <t>Administrative Tribunals Support Service of Canada | Service canadien d'appui aux tribunaux administratifs</t>
        </is>
      </c>
    </row>
    <row r="214">
      <c r="A214" t="inlineStr">
        <is>
          <t>T-2017-Q2-004</t>
        </is>
      </c>
      <c r="B214" t="inlineStr">
        <is>
          <t>SLE</t>
        </is>
      </c>
      <c r="C214" t="inlineStr">
        <is>
          <t xml:space="preserve">A/Chairperson, Canadian International Trade Tribunal </t>
        </is>
      </c>
      <c r="D214" t="inlineStr">
        <is>
          <t xml:space="preserve">Président par intérim, Tribunal Canadien du commerce extérieur </t>
        </is>
      </c>
      <c r="E214" t="inlineStr">
        <is>
          <t>Jean Bédard</t>
        </is>
      </c>
      <c r="F214" t="inlineStr">
        <is>
          <t>To attend the Annual Symposium of the Council of Canadian Administrative Tribunals</t>
        </is>
      </c>
      <c r="G214" t="inlineStr">
        <is>
          <t>Participer au colloque annuel du Conseil des tribunaux administratifs canadiens</t>
        </is>
      </c>
      <c r="H214" s="1" t="n">
        <v>42882</v>
      </c>
      <c r="I214" s="1" t="n">
        <v>42886</v>
      </c>
      <c r="J214" t="inlineStr">
        <is>
          <t>Vancouver, BC</t>
        </is>
      </c>
      <c r="P214" t="n">
        <v>797.91</v>
      </c>
      <c r="Q214" t="n">
        <v>108.02</v>
      </c>
      <c r="R214" t="n">
        <v>828.36</v>
      </c>
      <c r="S214" t="n">
        <v>242.25</v>
      </c>
      <c r="U214" t="n">
        <v>1976.54</v>
      </c>
      <c r="X214" t="inlineStr">
        <is>
          <t>atssc-scdata</t>
        </is>
      </c>
      <c r="Y214" t="inlineStr">
        <is>
          <t>Administrative Tribunals Support Service of Canada | Service canadien d'appui aux tribunaux administratifs</t>
        </is>
      </c>
    </row>
    <row r="215">
      <c r="A215" t="inlineStr">
        <is>
          <t>T-2017-Q2-005</t>
        </is>
      </c>
      <c r="B215" t="inlineStr">
        <is>
          <t>SLE</t>
        </is>
      </c>
      <c r="C215" t="inlineStr">
        <is>
          <t xml:space="preserve">Executive Director, Secretariat to the Canadian Cultural Property Export Review Board    </t>
        </is>
      </c>
      <c r="D215" t="inlineStr">
        <is>
          <t>Directrice exécutive, Secrétariat de la Commission canadienne d’examen des exportations de biens culturels</t>
        </is>
      </c>
      <c r="E215" t="inlineStr">
        <is>
          <t>Delphine Bishop</t>
        </is>
      </c>
      <c r="F215" t="inlineStr">
        <is>
          <t>To attend a conference by the MIT Open Documentary Lab and Phi Centre</t>
        </is>
      </c>
      <c r="G215" t="inlineStr">
        <is>
          <t>Participer à une conférence offerte par MIT Open Documentary Lab and Phi Centre</t>
        </is>
      </c>
      <c r="H215" s="1" t="n">
        <v>42859</v>
      </c>
      <c r="I215" s="1" t="n">
        <v>42862</v>
      </c>
      <c r="J215" t="inlineStr">
        <is>
          <t>Montréal, Qc</t>
        </is>
      </c>
      <c r="Q215" t="n">
        <v>218.67</v>
      </c>
      <c r="R215" t="n">
        <v>299.88</v>
      </c>
      <c r="S215" t="n">
        <v>126.5</v>
      </c>
      <c r="T215" t="n">
        <v>50</v>
      </c>
      <c r="U215" t="n">
        <v>695.05</v>
      </c>
      <c r="X215" t="inlineStr">
        <is>
          <t>atssc-scdata</t>
        </is>
      </c>
      <c r="Y215" t="inlineStr">
        <is>
          <t>Administrative Tribunals Support Service of Canada | Service canadien d'appui aux tribunaux administratifs</t>
        </is>
      </c>
    </row>
    <row r="216">
      <c r="A216" t="inlineStr">
        <is>
          <t>T-2017-Q2-006</t>
        </is>
      </c>
      <c r="B216" t="inlineStr">
        <is>
          <t>SLE</t>
        </is>
      </c>
      <c r="C216" t="inlineStr">
        <is>
          <t xml:space="preserve">Executive Director, Secretariat to the Canadian Cultural Property Export Review Board    </t>
        </is>
      </c>
      <c r="D216" t="inlineStr">
        <is>
          <t>Directrice exécutive, Secrétariat de la Commission canadienne d’examen des exportations de biens culturels</t>
        </is>
      </c>
      <c r="E216" t="inlineStr">
        <is>
          <t>Delphine Bishop</t>
        </is>
      </c>
      <c r="F216" t="inlineStr">
        <is>
          <t>Attend a Senior Management Committee meeting</t>
        </is>
      </c>
      <c r="G216" t="inlineStr">
        <is>
          <t>Participer à une rencontre du comité de la haute direction</t>
        </is>
      </c>
      <c r="H216" s="1" t="n">
        <v>42830</v>
      </c>
      <c r="I216" s="1" t="n">
        <v>42830</v>
      </c>
      <c r="J216" t="inlineStr">
        <is>
          <t xml:space="preserve">Ottawa, ON </t>
        </is>
      </c>
      <c r="T216" t="n">
        <v>20</v>
      </c>
      <c r="U216" t="n">
        <v>20</v>
      </c>
      <c r="X216" t="inlineStr">
        <is>
          <t>atssc-scdata</t>
        </is>
      </c>
      <c r="Y216" t="inlineStr">
        <is>
          <t>Administrative Tribunals Support Service of Canada | Service canadien d'appui aux tribunaux administratifs</t>
        </is>
      </c>
    </row>
    <row r="217">
      <c r="A217" t="inlineStr">
        <is>
          <t>T-2017-Q2-015</t>
        </is>
      </c>
      <c r="B217" t="inlineStr">
        <is>
          <t>SLE</t>
        </is>
      </c>
      <c r="C217" t="inlineStr">
        <is>
          <t xml:space="preserve">Chairperson, Canada Industrial Relations Board     </t>
        </is>
      </c>
      <c r="D217" t="inlineStr">
        <is>
          <t>Présidente, Conseil canadien des relations industrielles</t>
        </is>
      </c>
      <c r="E217" t="inlineStr">
        <is>
          <t>Ginette Brazeau</t>
        </is>
      </c>
      <c r="F217" t="inlineStr">
        <is>
          <t>To attend the National Academy of Arbitrators' Annual Meeting</t>
        </is>
      </c>
      <c r="G217" t="inlineStr">
        <is>
          <t>Participer à l'assemblée annuel de la National Academy of Arbitrators</t>
        </is>
      </c>
      <c r="H217" s="1" t="n">
        <v>42879</v>
      </c>
      <c r="I217" s="1" t="n">
        <v>42882</v>
      </c>
      <c r="J217" t="inlineStr">
        <is>
          <t>Chicago, IL</t>
        </is>
      </c>
      <c r="P217" t="n">
        <v>324.37</v>
      </c>
      <c r="Q217" t="n">
        <v>165.44</v>
      </c>
      <c r="R217" t="n">
        <v>967.7</v>
      </c>
      <c r="S217" t="n">
        <v>334.6</v>
      </c>
      <c r="U217" t="n">
        <v>1792.11</v>
      </c>
      <c r="X217" t="inlineStr">
        <is>
          <t>atssc-scdata</t>
        </is>
      </c>
      <c r="Y217" t="inlineStr">
        <is>
          <t>Administrative Tribunals Support Service of Canada | Service canadien d'appui aux tribunaux administratifs</t>
        </is>
      </c>
    </row>
    <row r="218">
      <c r="A218" t="inlineStr">
        <is>
          <t>T-2017-Q2-007</t>
        </is>
      </c>
      <c r="B218" t="inlineStr">
        <is>
          <t>SLE</t>
        </is>
      </c>
      <c r="C218" t="inlineStr">
        <is>
          <t xml:space="preserve">Executive Director, Secretariat to the Canadian Cultural Property Export Review Board    </t>
        </is>
      </c>
      <c r="D218" t="inlineStr">
        <is>
          <t>Directrice exécutive, Secrétariat de la Commission canadienne d’examen des exportations de biens culturels</t>
        </is>
      </c>
      <c r="E218" t="inlineStr">
        <is>
          <t>Delphine Bishop</t>
        </is>
      </c>
      <c r="F218" t="inlineStr">
        <is>
          <t>Attend meeting with senior management</t>
        </is>
      </c>
      <c r="G218" t="inlineStr">
        <is>
          <t>Participer à une rencontre avec la haute direction</t>
        </is>
      </c>
      <c r="H218" s="1" t="n">
        <v>42831</v>
      </c>
      <c r="I218" s="1" t="n">
        <v>42831</v>
      </c>
      <c r="J218" t="inlineStr">
        <is>
          <t xml:space="preserve">Ottawa, ON </t>
        </is>
      </c>
      <c r="T218" t="n">
        <v>4</v>
      </c>
      <c r="U218" t="n">
        <v>4</v>
      </c>
      <c r="X218" t="inlineStr">
        <is>
          <t>atssc-scdata</t>
        </is>
      </c>
      <c r="Y218" t="inlineStr">
        <is>
          <t>Administrative Tribunals Support Service of Canada | Service canadien d'appui aux tribunaux administratifs</t>
        </is>
      </c>
    </row>
    <row r="219">
      <c r="A219" t="inlineStr">
        <is>
          <t>T-2017-Q2-008</t>
        </is>
      </c>
      <c r="B219" t="inlineStr">
        <is>
          <t>SLE</t>
        </is>
      </c>
      <c r="C219" t="inlineStr">
        <is>
          <t xml:space="preserve">Executive Director, Secretariat to the Canadian Cultural Property Export Review Board    </t>
        </is>
      </c>
      <c r="D219" t="inlineStr">
        <is>
          <t>Directrice exécutive, Secrétariat de la Commission canadienne d’examen des exportations de biens culturels</t>
        </is>
      </c>
      <c r="E219" t="inlineStr">
        <is>
          <t>Delphine Bishop</t>
        </is>
      </c>
      <c r="F219" t="inlineStr">
        <is>
          <t>Interview</t>
        </is>
      </c>
      <c r="G219" t="inlineStr">
        <is>
          <t>Entrevue</t>
        </is>
      </c>
      <c r="H219" s="1" t="n">
        <v>42837</v>
      </c>
      <c r="I219" s="1" t="n">
        <v>42837</v>
      </c>
      <c r="J219" t="inlineStr">
        <is>
          <t xml:space="preserve">Ottawa, ON </t>
        </is>
      </c>
      <c r="T219" t="n">
        <v>20</v>
      </c>
      <c r="U219" t="n">
        <v>20</v>
      </c>
      <c r="X219" t="inlineStr">
        <is>
          <t>atssc-scdata</t>
        </is>
      </c>
      <c r="Y219" t="inlineStr">
        <is>
          <t>Administrative Tribunals Support Service of Canada | Service canadien d'appui aux tribunaux administratifs</t>
        </is>
      </c>
    </row>
    <row r="220">
      <c r="A220" t="inlineStr">
        <is>
          <t>T-2017-Q2-009</t>
        </is>
      </c>
      <c r="B220" t="inlineStr">
        <is>
          <t>SLE</t>
        </is>
      </c>
      <c r="C220" t="inlineStr">
        <is>
          <t xml:space="preserve">Executive Director, Secretariat to the Canadian Cultural Property Export Review Board    </t>
        </is>
      </c>
      <c r="D220" t="inlineStr">
        <is>
          <t>Directrice exécutive, Secrétariat de la Commission canadienne d’examen des exportations de biens culturels</t>
        </is>
      </c>
      <c r="E220" t="inlineStr">
        <is>
          <t>Delphine Bishop</t>
        </is>
      </c>
      <c r="F220" t="inlineStr">
        <is>
          <t>Interview</t>
        </is>
      </c>
      <c r="G220" t="inlineStr">
        <is>
          <t>Entrevue</t>
        </is>
      </c>
      <c r="H220" s="1" t="n">
        <v>42849</v>
      </c>
      <c r="I220" s="1" t="n">
        <v>42849</v>
      </c>
      <c r="J220" t="inlineStr">
        <is>
          <t xml:space="preserve">Ottawa, ON </t>
        </is>
      </c>
      <c r="T220" t="n">
        <v>16</v>
      </c>
      <c r="U220" t="n">
        <v>16</v>
      </c>
      <c r="X220" t="inlineStr">
        <is>
          <t>atssc-scdata</t>
        </is>
      </c>
      <c r="Y220" t="inlineStr">
        <is>
          <t>Administrative Tribunals Support Service of Canada | Service canadien d'appui aux tribunaux administratifs</t>
        </is>
      </c>
    </row>
    <row r="221">
      <c r="A221" t="inlineStr">
        <is>
          <t>T-2017-Q2-010</t>
        </is>
      </c>
      <c r="B221" t="inlineStr">
        <is>
          <t>SLE</t>
        </is>
      </c>
      <c r="C221" t="inlineStr">
        <is>
          <t xml:space="preserve">Executive Director, Secretariat to the Canadian Cultural Property Export Review Board    </t>
        </is>
      </c>
      <c r="D221" t="inlineStr">
        <is>
          <t>Directrice exécutive, Secrétariat de la Commission canadienne d’examen des exportations de biens culturels</t>
        </is>
      </c>
      <c r="E221" t="inlineStr">
        <is>
          <t>Delphine Bishop</t>
        </is>
      </c>
      <c r="F221" t="inlineStr">
        <is>
          <t>Attend a Senior Management Committee meeting</t>
        </is>
      </c>
      <c r="G221" t="inlineStr">
        <is>
          <t>Participer à une rencontre du comité de la haute direction</t>
        </is>
      </c>
      <c r="H221" s="1" t="n">
        <v>42486</v>
      </c>
      <c r="I221" s="1" t="n">
        <v>42486</v>
      </c>
      <c r="J221" t="inlineStr">
        <is>
          <t xml:space="preserve">Ottawa, ON </t>
        </is>
      </c>
      <c r="T221" t="n">
        <v>20</v>
      </c>
      <c r="U221" t="n">
        <v>20</v>
      </c>
      <c r="X221" t="inlineStr">
        <is>
          <t>atssc-scdata</t>
        </is>
      </c>
      <c r="Y221" t="inlineStr">
        <is>
          <t>Administrative Tribunals Support Service of Canada | Service canadien d'appui aux tribunaux administratifs</t>
        </is>
      </c>
    </row>
    <row r="222">
      <c r="A222" t="inlineStr">
        <is>
          <t>T-2017-Q2-011</t>
        </is>
      </c>
      <c r="B222" t="inlineStr">
        <is>
          <t>SLE</t>
        </is>
      </c>
      <c r="C222" t="inlineStr">
        <is>
          <t xml:space="preserve">Chairperson, Canada Industrial Relations Board     </t>
        </is>
      </c>
      <c r="D222" t="inlineStr">
        <is>
          <t>Présidente, Conseil canadien des relations industrielles</t>
        </is>
      </c>
      <c r="E222" t="inlineStr">
        <is>
          <t>Ginette Brazeau</t>
        </is>
      </c>
      <c r="F222" t="inlineStr">
        <is>
          <t>Hearing file #32141-C</t>
        </is>
      </c>
      <c r="G222" t="inlineStr">
        <is>
          <t>Dossier d'audience #32141-C</t>
        </is>
      </c>
      <c r="H222" s="1" t="n">
        <v>42968</v>
      </c>
      <c r="I222" s="1" t="n">
        <v>42970</v>
      </c>
      <c r="J222" t="inlineStr">
        <is>
          <t>Toronto, ON</t>
        </is>
      </c>
      <c r="Q222" t="n">
        <v>563.26</v>
      </c>
      <c r="R222" t="n">
        <v>359.62</v>
      </c>
      <c r="S222" t="n">
        <v>214.2</v>
      </c>
      <c r="U222" t="n">
        <v>1137.08</v>
      </c>
      <c r="X222" t="inlineStr">
        <is>
          <t>atssc-scdata</t>
        </is>
      </c>
      <c r="Y222" t="inlineStr">
        <is>
          <t>Administrative Tribunals Support Service of Canada | Service canadien d'appui aux tribunaux administratifs</t>
        </is>
      </c>
    </row>
    <row r="223">
      <c r="A223" t="inlineStr">
        <is>
          <t>T-2017-Q2-012</t>
        </is>
      </c>
      <c r="B223" t="inlineStr">
        <is>
          <t>SLE</t>
        </is>
      </c>
      <c r="C223" t="inlineStr">
        <is>
          <t xml:space="preserve">Chairperson, Canada Industrial Relations Board     </t>
        </is>
      </c>
      <c r="D223" t="inlineStr">
        <is>
          <t>Présidente, Conseil canadien des relations industrielles</t>
        </is>
      </c>
      <c r="E223" t="inlineStr">
        <is>
          <t>Ginette Brazeau</t>
        </is>
      </c>
      <c r="F223" t="inlineStr">
        <is>
          <t xml:space="preserve">To attend a meeting of the Association of Labour Relations Agencies </t>
        </is>
      </c>
      <c r="G223" t="inlineStr">
        <is>
          <t xml:space="preserve">Participer à une rencontre de la Association of Labour Relations Agencies </t>
        </is>
      </c>
      <c r="H223" s="1" t="n">
        <v>42937</v>
      </c>
      <c r="I223" s="1" t="n">
        <v>42944</v>
      </c>
      <c r="J223" t="inlineStr">
        <is>
          <t>Portland, Oregon</t>
        </is>
      </c>
      <c r="P223" t="n">
        <v>965.03</v>
      </c>
      <c r="Q223" t="n">
        <v>113.64</v>
      </c>
      <c r="R223" t="n">
        <v>1512.35</v>
      </c>
      <c r="S223" t="n">
        <v>437.99</v>
      </c>
      <c r="U223" t="n">
        <v>3029.01</v>
      </c>
      <c r="X223" t="inlineStr">
        <is>
          <t>atssc-scdata</t>
        </is>
      </c>
      <c r="Y223" t="inlineStr">
        <is>
          <t>Administrative Tribunals Support Service of Canada | Service canadien d'appui aux tribunaux administratifs</t>
        </is>
      </c>
    </row>
    <row r="224">
      <c r="A224" t="inlineStr">
        <is>
          <t>T-2017-Q2-013</t>
        </is>
      </c>
      <c r="B224" t="inlineStr">
        <is>
          <t>SLE</t>
        </is>
      </c>
      <c r="C224" t="inlineStr">
        <is>
          <t xml:space="preserve">Chairperson, Canada Industrial Relations Board     </t>
        </is>
      </c>
      <c r="D224" t="inlineStr">
        <is>
          <t>Présidente, Conseil canadien des relations industrielles</t>
        </is>
      </c>
      <c r="E224" t="inlineStr">
        <is>
          <t>Ginette Brazeau</t>
        </is>
      </c>
      <c r="F224" t="inlineStr">
        <is>
          <t>Hearing file #31936-C</t>
        </is>
      </c>
      <c r="G224" t="inlineStr">
        <is>
          <t>Dossier d'audience #31936-C</t>
        </is>
      </c>
      <c r="H224" s="1" t="n">
        <v>42890</v>
      </c>
      <c r="I224" s="1" t="n">
        <v>42893</v>
      </c>
      <c r="J224" t="inlineStr">
        <is>
          <t>Toronto, ON</t>
        </is>
      </c>
      <c r="P224" t="n">
        <v>331.68</v>
      </c>
      <c r="Q224" t="n">
        <v>92</v>
      </c>
      <c r="R224" t="n">
        <v>627.15</v>
      </c>
      <c r="S224" t="n">
        <v>358.6</v>
      </c>
      <c r="U224" t="n">
        <v>1409.43</v>
      </c>
      <c r="X224" t="inlineStr">
        <is>
          <t>atssc-scdata</t>
        </is>
      </c>
      <c r="Y224" t="inlineStr">
        <is>
          <t>Administrative Tribunals Support Service of Canada | Service canadien d'appui aux tribunaux administratifs</t>
        </is>
      </c>
    </row>
    <row r="225">
      <c r="A225" t="inlineStr">
        <is>
          <t>T-2016-Q4-033</t>
        </is>
      </c>
      <c r="B225" t="inlineStr">
        <is>
          <t>SLE</t>
        </is>
      </c>
      <c r="C225" t="inlineStr">
        <is>
          <t xml:space="preserve"> Chairperson, Canada Agricultural Review Tribunal       </t>
        </is>
      </c>
      <c r="D225" t="inlineStr">
        <is>
          <t xml:space="preserve"> Président, Commission de révision agricole du Canada</t>
        </is>
      </c>
      <c r="E225" t="inlineStr">
        <is>
          <t>Buckingham, Donald</t>
        </is>
      </c>
      <c r="F225" t="inlineStr">
        <is>
          <t>Hearing file #1908</t>
        </is>
      </c>
      <c r="G225" t="inlineStr">
        <is>
          <t>Dossier d'audience #1908</t>
        </is>
      </c>
      <c r="H225" s="1" t="n">
        <v>42743</v>
      </c>
      <c r="I225" s="1" t="n">
        <v>42745</v>
      </c>
      <c r="J225" t="inlineStr">
        <is>
          <t>Montreal, QC</t>
        </is>
      </c>
      <c r="K225" t="inlineStr">
        <is>
          <t>Montreal, QC</t>
        </is>
      </c>
      <c r="Q225" t="n">
        <v>334.73</v>
      </c>
      <c r="R225" t="n">
        <v>304.62</v>
      </c>
      <c r="S225" t="n">
        <v>177.5</v>
      </c>
      <c r="U225" t="n">
        <v>816.85</v>
      </c>
      <c r="X225" t="inlineStr">
        <is>
          <t>atssc-scdata</t>
        </is>
      </c>
      <c r="Y225" t="inlineStr">
        <is>
          <t>Administrative Tribunals Support Service of Canada | Service canadien d'appui aux tribunaux administratifs</t>
        </is>
      </c>
    </row>
    <row r="226">
      <c r="A226" t="inlineStr">
        <is>
          <t>T-2017-Q2-014</t>
        </is>
      </c>
      <c r="B226" t="inlineStr">
        <is>
          <t>SLE</t>
        </is>
      </c>
      <c r="C226" t="inlineStr">
        <is>
          <t xml:space="preserve">Chairperson, Canada Industrial Relations Board     </t>
        </is>
      </c>
      <c r="D226" t="inlineStr">
        <is>
          <t>Présidente, Conseil canadien des relations industrielles</t>
        </is>
      </c>
      <c r="E226" t="inlineStr">
        <is>
          <t>Ginette Brazeau</t>
        </is>
      </c>
      <c r="F226" t="inlineStr">
        <is>
          <t>To attend the Annual Symposium of the Council of Canadian Administrative Tribunals</t>
        </is>
      </c>
      <c r="G226" t="inlineStr">
        <is>
          <t>Participer au colloque annuel du Conseil des tribunaux administratifs canadiens</t>
        </is>
      </c>
      <c r="H226" s="1" t="n">
        <v>42882</v>
      </c>
      <c r="I226" s="1" t="n">
        <v>42885</v>
      </c>
      <c r="J226" t="inlineStr">
        <is>
          <t>Vancouver, BC</t>
        </is>
      </c>
      <c r="P226" t="n">
        <v>1015.65</v>
      </c>
      <c r="Q226" t="n">
        <v>161</v>
      </c>
      <c r="R226" t="n">
        <v>828.36</v>
      </c>
      <c r="S226" t="n">
        <v>143.8</v>
      </c>
      <c r="U226" t="n">
        <v>2148.81</v>
      </c>
      <c r="X226" t="inlineStr">
        <is>
          <t>atssc-scdata</t>
        </is>
      </c>
      <c r="Y226" t="inlineStr">
        <is>
          <t>Administrative Tribunals Support Service of Canada | Service canadien d'appui aux tribunaux administratifs</t>
        </is>
      </c>
    </row>
    <row r="227">
      <c r="A227" t="inlineStr">
        <is>
          <t>T-2017-Q2-017</t>
        </is>
      </c>
      <c r="B227" t="inlineStr">
        <is>
          <t>SLE</t>
        </is>
      </c>
      <c r="C227" t="inlineStr">
        <is>
          <t xml:space="preserve"> Chairperson, Canada Agricultural Review Tribunal       </t>
        </is>
      </c>
      <c r="D227" t="inlineStr">
        <is>
          <t xml:space="preserve"> Président, Commission de révision agricole du Canada</t>
        </is>
      </c>
      <c r="E227" t="inlineStr">
        <is>
          <t>Donald, Buckingham</t>
        </is>
      </c>
      <c r="F227" t="inlineStr">
        <is>
          <t>To attend the Annual Symposium of the Council of Canadian Administrative Tribunals</t>
        </is>
      </c>
      <c r="G227" t="inlineStr">
        <is>
          <t>Participer au colloque annuel du Conseil des tribunaux administratifs canadiens</t>
        </is>
      </c>
      <c r="H227" s="1" t="n">
        <v>42880</v>
      </c>
      <c r="I227" s="1" t="n">
        <v>42886</v>
      </c>
      <c r="J227" t="inlineStr">
        <is>
          <t>Vancouver, BC</t>
        </is>
      </c>
      <c r="P227" t="n">
        <v>922.92</v>
      </c>
      <c r="Q227" t="n">
        <v>104.76</v>
      </c>
      <c r="R227" t="n">
        <v>1380.6</v>
      </c>
      <c r="S227" t="n">
        <v>439.15</v>
      </c>
      <c r="U227" t="n">
        <v>2847.43</v>
      </c>
      <c r="X227" t="inlineStr">
        <is>
          <t>atssc-scdata</t>
        </is>
      </c>
      <c r="Y227" t="inlineStr">
        <is>
          <t>Administrative Tribunals Support Service of Canada | Service canadien d'appui aux tribunaux administratifs</t>
        </is>
      </c>
    </row>
    <row r="228">
      <c r="A228" t="inlineStr">
        <is>
          <t>T-2017-Q2-018</t>
        </is>
      </c>
      <c r="B228" t="inlineStr">
        <is>
          <t>SLE</t>
        </is>
      </c>
      <c r="C228" t="inlineStr">
        <is>
          <t>Chairperson, Public Service Labour Relations and Employment Board Tribunal</t>
        </is>
      </c>
      <c r="D228" t="inlineStr">
        <is>
          <t>Présidente, Tribunal de la commission des relations de travail et de l’emploi dans la fonction publique</t>
        </is>
      </c>
      <c r="E228" t="inlineStr">
        <is>
          <t>Catherine Ebbs</t>
        </is>
      </c>
      <c r="F228" t="inlineStr">
        <is>
          <t xml:space="preserve">To attend a meeting of the Association of Labour Relations Agencies </t>
        </is>
      </c>
      <c r="G228" t="inlineStr">
        <is>
          <t xml:space="preserve">Participer à une rencontre de la Association of Labour Relations Agencies </t>
        </is>
      </c>
      <c r="H228" s="1" t="n">
        <v>42937</v>
      </c>
      <c r="I228" s="1" t="n">
        <v>42942</v>
      </c>
      <c r="J228" t="inlineStr">
        <is>
          <t>Portland, Oregon</t>
        </is>
      </c>
      <c r="P228" t="n">
        <v>1358.74</v>
      </c>
      <c r="Q228" t="n">
        <v>112.57</v>
      </c>
      <c r="R228" t="n">
        <v>1470.65</v>
      </c>
      <c r="S228" t="n">
        <v>550.05</v>
      </c>
      <c r="U228" t="n">
        <v>3492.01</v>
      </c>
      <c r="X228" t="inlineStr">
        <is>
          <t>atssc-scdata</t>
        </is>
      </c>
      <c r="Y228" t="inlineStr">
        <is>
          <t>Administrative Tribunals Support Service of Canada | Service canadien d'appui aux tribunaux administratifs</t>
        </is>
      </c>
    </row>
    <row r="229">
      <c r="A229" t="inlineStr">
        <is>
          <t>T-2017-Q2-019</t>
        </is>
      </c>
      <c r="B229" t="inlineStr">
        <is>
          <t>SLE</t>
        </is>
      </c>
      <c r="C229" t="inlineStr">
        <is>
          <t>Chairperson, Public Service Labour Relations and Employment Board Tribunal</t>
        </is>
      </c>
      <c r="D229" t="inlineStr">
        <is>
          <t>Présidente, Tribunal de la commission des relations de travail et de l’emploi dans la fonction publique</t>
        </is>
      </c>
      <c r="E229" t="inlineStr">
        <is>
          <t>Catherine Ebbs</t>
        </is>
      </c>
      <c r="F229" t="inlineStr">
        <is>
          <t>To attend the Annual Symposium of the Council of Canadian Administrative Tribunals</t>
        </is>
      </c>
      <c r="G229" t="inlineStr">
        <is>
          <t>Participer au colloque annuel du Conseil des tribunaux administratifs canadiens</t>
        </is>
      </c>
      <c r="H229" s="1" t="n">
        <v>42881</v>
      </c>
      <c r="I229" s="1" t="n">
        <v>42885</v>
      </c>
      <c r="J229" t="inlineStr">
        <is>
          <t>Vancouver, BC</t>
        </is>
      </c>
      <c r="P229" t="n">
        <v>832.66</v>
      </c>
      <c r="Q229" t="n">
        <v>55.42</v>
      </c>
      <c r="R229" t="n">
        <v>1304.48</v>
      </c>
      <c r="S229" t="n">
        <v>334.3</v>
      </c>
      <c r="U229" t="n">
        <v>2526.86</v>
      </c>
      <c r="X229" t="inlineStr">
        <is>
          <t>atssc-scdata</t>
        </is>
      </c>
      <c r="Y229" t="inlineStr">
        <is>
          <t>Administrative Tribunals Support Service of Canada | Service canadien d'appui aux tribunaux administratifs</t>
        </is>
      </c>
    </row>
    <row r="230">
      <c r="A230" t="inlineStr">
        <is>
          <t>T-2017-Q2-020</t>
        </is>
      </c>
      <c r="B230" t="inlineStr">
        <is>
          <t>SLE</t>
        </is>
      </c>
      <c r="C230" t="inlineStr">
        <is>
          <t xml:space="preserve">Chairperson, Canadian Cultural Property Export Review Board        </t>
        </is>
      </c>
      <c r="D230" t="inlineStr">
        <is>
          <t>Présidente, Commission canadienne d’examen des exportations de biens culturels</t>
        </is>
      </c>
      <c r="E230" t="inlineStr">
        <is>
          <t>Sharilyn Ingram</t>
        </is>
      </c>
      <c r="F230" t="inlineStr">
        <is>
          <t>Attend the CCPERB meeting</t>
        </is>
      </c>
      <c r="G230" t="inlineStr">
        <is>
          <t>Assister à la réunion de la CCEEBC</t>
        </is>
      </c>
      <c r="H230" s="1" t="n">
        <v>42891</v>
      </c>
      <c r="I230" s="1" t="n">
        <v>42894</v>
      </c>
      <c r="J230" t="inlineStr">
        <is>
          <t xml:space="preserve">Ottawa, ON </t>
        </is>
      </c>
      <c r="Q230" t="n">
        <v>217.26</v>
      </c>
      <c r="S230" t="n">
        <v>376.65</v>
      </c>
      <c r="U230" t="n">
        <v>593.91</v>
      </c>
      <c r="X230" t="inlineStr">
        <is>
          <t>atssc-scdata</t>
        </is>
      </c>
      <c r="Y230" t="inlineStr">
        <is>
          <t>Administrative Tribunals Support Service of Canada | Service canadien d'appui aux tribunaux administratifs</t>
        </is>
      </c>
    </row>
    <row r="231">
      <c r="A231" t="inlineStr">
        <is>
          <t>T-2016-Q4-022</t>
        </is>
      </c>
      <c r="B231" t="inlineStr">
        <is>
          <t>SLE</t>
        </is>
      </c>
      <c r="C231" t="inlineStr">
        <is>
          <t xml:space="preserve">Chairperson, Canada Industrial Relations Board     </t>
        </is>
      </c>
      <c r="D231" t="inlineStr">
        <is>
          <t>Présidente, Conseil canadien des relations industrielles</t>
        </is>
      </c>
      <c r="E231" t="inlineStr">
        <is>
          <t>Brazeau, Ginette</t>
        </is>
      </c>
      <c r="F231" t="inlineStr">
        <is>
          <t>Hearing file #31843-C</t>
        </is>
      </c>
      <c r="G231" t="inlineStr">
        <is>
          <t>Dossier d'audience #31843-C</t>
        </is>
      </c>
      <c r="H231" s="1" t="n">
        <v>42718</v>
      </c>
      <c r="I231" s="1" t="n">
        <v>42721</v>
      </c>
      <c r="J231" t="inlineStr">
        <is>
          <t>Vancouver, C.-B.</t>
        </is>
      </c>
      <c r="K231" t="inlineStr">
        <is>
          <t>Vancouver, BC</t>
        </is>
      </c>
      <c r="P231" t="n">
        <v>1632.77</v>
      </c>
      <c r="Q231" t="n">
        <v>119</v>
      </c>
      <c r="R231" t="n">
        <v>525.24</v>
      </c>
      <c r="S231" t="n">
        <v>291.6</v>
      </c>
      <c r="U231" t="n">
        <v>2568.61</v>
      </c>
      <c r="X231" t="inlineStr">
        <is>
          <t>atssc-scdata</t>
        </is>
      </c>
      <c r="Y231" t="inlineStr">
        <is>
          <t>Administrative Tribunals Support Service of Canada | Service canadien d'appui aux tribunaux administratifs</t>
        </is>
      </c>
    </row>
    <row r="232">
      <c r="A232" t="inlineStr">
        <is>
          <t>T-2017-Q2-021</t>
        </is>
      </c>
      <c r="B232" t="inlineStr">
        <is>
          <t>SLE</t>
        </is>
      </c>
      <c r="C232" t="inlineStr">
        <is>
          <t xml:space="preserve">Chairperson, Canadian Cultural Property Export Review Board        </t>
        </is>
      </c>
      <c r="D232" t="inlineStr">
        <is>
          <t>Présidente, Commission canadienne d’examen des exportations de biens culturels</t>
        </is>
      </c>
      <c r="E232" t="inlineStr">
        <is>
          <t>Sharilyn Ingram</t>
        </is>
      </c>
      <c r="F232" t="inlineStr">
        <is>
          <t>Attend the celebration of the 150th anniversary of Canadian Confederation and the Ministerial Conference on the Canadian Francophony</t>
        </is>
      </c>
      <c r="G232" t="inlineStr">
        <is>
          <t>Assister à la célébration du 150e anniversaire de la confédération canadienne et à la Conférence ministérielle sur la francophonie canadienne</t>
        </is>
      </c>
      <c r="H232" s="1" t="n">
        <v>42908</v>
      </c>
      <c r="I232" s="1" t="n">
        <v>42909</v>
      </c>
      <c r="J232" t="inlineStr">
        <is>
          <t xml:space="preserve">Ottawa, ON </t>
        </is>
      </c>
      <c r="P232" t="n">
        <v>418.16</v>
      </c>
      <c r="Q232" t="n">
        <v>245.26</v>
      </c>
      <c r="S232" t="n">
        <v>51.75</v>
      </c>
      <c r="U232" t="n">
        <v>715.17</v>
      </c>
      <c r="X232" t="inlineStr">
        <is>
          <t>atssc-scdata</t>
        </is>
      </c>
      <c r="Y232" t="inlineStr">
        <is>
          <t>Administrative Tribunals Support Service of Canada | Service canadien d'appui aux tribunaux administratifs</t>
        </is>
      </c>
    </row>
    <row r="233">
      <c r="A233" t="inlineStr">
        <is>
          <t>T-2017-Q2-022</t>
        </is>
      </c>
      <c r="B233" t="inlineStr">
        <is>
          <t>SLE</t>
        </is>
      </c>
      <c r="C233" t="inlineStr">
        <is>
          <t xml:space="preserve">Chairperson, Canadian Cultural Property Export Review Board        </t>
        </is>
      </c>
      <c r="D233" t="inlineStr">
        <is>
          <t>Présidente, Commission canadienne d’examen des exportations de biens culturels</t>
        </is>
      </c>
      <c r="E233" t="inlineStr">
        <is>
          <t>Sharilyn Ingram</t>
        </is>
      </c>
      <c r="F233" t="inlineStr">
        <is>
          <t>Attend a preparation day for the CCPERB board meeting</t>
        </is>
      </c>
      <c r="G233" t="inlineStr">
        <is>
          <t>Assister à une journée préparatoire de la rencontre des membres de la CCEEBC</t>
        </is>
      </c>
      <c r="H233" s="1" t="n">
        <v>42883</v>
      </c>
      <c r="I233" s="1" t="n">
        <v>42885</v>
      </c>
      <c r="J233" t="inlineStr">
        <is>
          <t>Gatineau, QC</t>
        </is>
      </c>
      <c r="P233" t="n">
        <v>543.98</v>
      </c>
      <c r="Q233" t="n">
        <v>172.26</v>
      </c>
      <c r="S233" t="n">
        <v>260.15</v>
      </c>
      <c r="U233" t="n">
        <v>976.39</v>
      </c>
      <c r="X233" t="inlineStr">
        <is>
          <t>atssc-scdata</t>
        </is>
      </c>
      <c r="Y233" t="inlineStr">
        <is>
          <t>Administrative Tribunals Support Service of Canada | Service canadien d'appui aux tribunaux administratifs</t>
        </is>
      </c>
    </row>
    <row r="234">
      <c r="A234" t="inlineStr">
        <is>
          <t>T-2017-Q2-023</t>
        </is>
      </c>
      <c r="B234" t="inlineStr">
        <is>
          <t>SLE</t>
        </is>
      </c>
      <c r="C234" t="inlineStr">
        <is>
          <t xml:space="preserve">Chairperson, Canadian Cultural Property Export Review Board        </t>
        </is>
      </c>
      <c r="D234" t="inlineStr">
        <is>
          <t>Présidente, Commission canadienne d’examen des exportations de biens culturels</t>
        </is>
      </c>
      <c r="E234" t="inlineStr">
        <is>
          <t>Sharilyn Ingram</t>
        </is>
      </c>
      <c r="F234" t="inlineStr">
        <is>
          <t>Attend the CCPERB meeting</t>
        </is>
      </c>
      <c r="G234" t="inlineStr">
        <is>
          <t>Assister à la réunion de la CCEEBC</t>
        </is>
      </c>
      <c r="H234" s="1" t="n">
        <v>42829</v>
      </c>
      <c r="I234" s="1" t="n">
        <v>42829</v>
      </c>
      <c r="J234" t="inlineStr">
        <is>
          <t>Gatineau, QC</t>
        </is>
      </c>
      <c r="Q234" t="n">
        <v>28</v>
      </c>
      <c r="U234" t="n">
        <v>28</v>
      </c>
      <c r="X234" t="inlineStr">
        <is>
          <t>atssc-scdata</t>
        </is>
      </c>
      <c r="Y234" t="inlineStr">
        <is>
          <t>Administrative Tribunals Support Service of Canada | Service canadien d'appui aux tribunaux administratifs</t>
        </is>
      </c>
    </row>
    <row r="235">
      <c r="A235" t="inlineStr">
        <is>
          <t>T-2017-Q2-024</t>
        </is>
      </c>
      <c r="B235" t="inlineStr">
        <is>
          <t>SLE</t>
        </is>
      </c>
      <c r="C235" t="inlineStr">
        <is>
          <t>Chief Administrator, Administrative Tribunals Support Service of Canada</t>
        </is>
      </c>
      <c r="D235" t="inlineStr">
        <is>
          <t>Administrateur en chef, Service canadien d'appui aux Tribunaux Administratifs</t>
        </is>
      </c>
      <c r="E235" t="inlineStr">
        <is>
          <t>Marie-France Pelletier</t>
        </is>
      </c>
      <c r="F235" t="inlineStr">
        <is>
          <t>To attend the Annual Symposium of the Council of Canadian Administrative Tribunals</t>
        </is>
      </c>
      <c r="G235" t="inlineStr">
        <is>
          <t>Participer au colloque annuel du Conseil des tribunaux administratifs canadiens</t>
        </is>
      </c>
      <c r="H235" s="1" t="n">
        <v>42882</v>
      </c>
      <c r="I235" s="1" t="n">
        <v>42887</v>
      </c>
      <c r="J235" t="inlineStr">
        <is>
          <t>Vancouver, BC</t>
        </is>
      </c>
      <c r="P235" t="n">
        <v>1692.09</v>
      </c>
      <c r="Q235" t="n">
        <v>167.64</v>
      </c>
      <c r="R235" t="n">
        <v>1244.43</v>
      </c>
      <c r="S235" t="n">
        <v>305.5</v>
      </c>
      <c r="U235" t="n">
        <v>3409.66</v>
      </c>
      <c r="X235" t="inlineStr">
        <is>
          <t>atssc-scdata</t>
        </is>
      </c>
      <c r="Y235" t="inlineStr">
        <is>
          <t>Administrative Tribunals Support Service of Canada | Service canadien d'appui aux tribunaux administratifs</t>
        </is>
      </c>
    </row>
    <row r="236">
      <c r="A236" t="inlineStr">
        <is>
          <t>T-2017-Q2-025</t>
        </is>
      </c>
      <c r="B236" t="inlineStr">
        <is>
          <t>SLE</t>
        </is>
      </c>
      <c r="C236" t="inlineStr">
        <is>
          <t xml:space="preserve">Chairperson, Canadian Human Rights Tribunal        </t>
        </is>
      </c>
      <c r="D236" t="inlineStr">
        <is>
          <t xml:space="preserve">Président, Tribunal canadien des droits de la personne </t>
        </is>
      </c>
      <c r="E236" t="inlineStr">
        <is>
          <t xml:space="preserve">David Thomas </t>
        </is>
      </c>
      <c r="F236" t="inlineStr">
        <is>
          <t>Canadian Bar Association annual meeting</t>
        </is>
      </c>
      <c r="G236" t="inlineStr">
        <is>
          <t>Rencontre annuelle de l'Association du Barreau canadien</t>
        </is>
      </c>
      <c r="H236" s="1" t="n">
        <v>42964</v>
      </c>
      <c r="I236" s="1" t="n">
        <v>42964</v>
      </c>
      <c r="J236" t="inlineStr">
        <is>
          <t>Montreal,  QC</t>
        </is>
      </c>
      <c r="Q236" t="n">
        <v>254.32</v>
      </c>
      <c r="S236" t="n">
        <v>81.15000000000001</v>
      </c>
      <c r="U236" t="n">
        <v>335.47</v>
      </c>
      <c r="X236" t="inlineStr">
        <is>
          <t>atssc-scdata</t>
        </is>
      </c>
      <c r="Y236" t="inlineStr">
        <is>
          <t>Administrative Tribunals Support Service of Canada | Service canadien d'appui aux tribunaux administratifs</t>
        </is>
      </c>
    </row>
    <row r="237">
      <c r="A237" t="inlineStr">
        <is>
          <t>T-2017-Q2-026</t>
        </is>
      </c>
      <c r="B237" t="inlineStr">
        <is>
          <t>SLE</t>
        </is>
      </c>
      <c r="C237" t="inlineStr">
        <is>
          <t xml:space="preserve">Chairperson, Canadian Human Rights Tribunal        </t>
        </is>
      </c>
      <c r="D237" t="inlineStr">
        <is>
          <t xml:space="preserve">Président, Tribunal canadien des droits de la personne </t>
        </is>
      </c>
      <c r="E237" t="inlineStr">
        <is>
          <t xml:space="preserve">David Thomas </t>
        </is>
      </c>
      <c r="F237" t="inlineStr">
        <is>
          <t>File #T1999/7913</t>
        </is>
      </c>
      <c r="G237" t="inlineStr">
        <is>
          <t>Dossier T1999/7913</t>
        </is>
      </c>
      <c r="H237" s="1" t="n">
        <v>42894</v>
      </c>
      <c r="I237" s="1" t="n">
        <v>42896</v>
      </c>
      <c r="J237" t="inlineStr">
        <is>
          <t xml:space="preserve">Toronto, ON </t>
        </is>
      </c>
      <c r="P237" t="n">
        <v>408.55</v>
      </c>
      <c r="Q237" t="n">
        <v>116.49</v>
      </c>
      <c r="R237" t="n">
        <v>415.28</v>
      </c>
      <c r="S237" t="n">
        <v>232.25</v>
      </c>
      <c r="U237" t="n">
        <v>1172.57</v>
      </c>
      <c r="X237" t="inlineStr">
        <is>
          <t>atssc-scdata</t>
        </is>
      </c>
      <c r="Y237" t="inlineStr">
        <is>
          <t>Administrative Tribunals Support Service of Canada | Service canadien d'appui aux tribunaux administratifs</t>
        </is>
      </c>
    </row>
    <row r="238">
      <c r="A238" t="inlineStr">
        <is>
          <t>T-2017-Q2-027</t>
        </is>
      </c>
      <c r="B238" t="inlineStr">
        <is>
          <t>SLE</t>
        </is>
      </c>
      <c r="C238" t="inlineStr">
        <is>
          <t xml:space="preserve">Chairperson, Canadian Human Rights Tribunal        </t>
        </is>
      </c>
      <c r="D238" t="inlineStr">
        <is>
          <t xml:space="preserve">Président, Tribunal canadien des droits de la personne </t>
        </is>
      </c>
      <c r="E238" t="inlineStr">
        <is>
          <t xml:space="preserve">David Thomas </t>
        </is>
      </c>
      <c r="F238" t="inlineStr">
        <is>
          <t>To attend the Annual Symposium of the Council of Canadian Administrative Tribunals</t>
        </is>
      </c>
      <c r="G238" t="inlineStr">
        <is>
          <t>Participer au colloque annuel du Conseil des tribunaux administratifs canadiens</t>
        </is>
      </c>
      <c r="H238" s="1" t="n">
        <v>42881</v>
      </c>
      <c r="I238" s="1" t="n">
        <v>42887</v>
      </c>
      <c r="J238" t="inlineStr">
        <is>
          <t>Vancouver, BC</t>
        </is>
      </c>
      <c r="P238" t="n">
        <v>859.74</v>
      </c>
      <c r="Q238" t="n">
        <v>162.13</v>
      </c>
      <c r="R238" t="n">
        <v>963.52</v>
      </c>
      <c r="S238" t="n">
        <v>555.5</v>
      </c>
      <c r="U238" t="n">
        <v>2540.89</v>
      </c>
      <c r="X238" t="inlineStr">
        <is>
          <t>atssc-scdata</t>
        </is>
      </c>
      <c r="Y238" t="inlineStr">
        <is>
          <t>Administrative Tribunals Support Service of Canada | Service canadien d'appui aux tribunaux administratifs</t>
        </is>
      </c>
    </row>
    <row r="239">
      <c r="A239" t="inlineStr">
        <is>
          <t>T-2017-Q2-028</t>
        </is>
      </c>
      <c r="B239" t="inlineStr">
        <is>
          <t>SLE</t>
        </is>
      </c>
      <c r="C239" t="inlineStr">
        <is>
          <t xml:space="preserve">Chairperson, Canadian Human Rights Tribunal        </t>
        </is>
      </c>
      <c r="D239" t="inlineStr">
        <is>
          <t>dù« vvvvvvvvvvvvvvvvvvvvk</t>
        </is>
      </c>
      <c r="E239" t="inlineStr">
        <is>
          <t xml:space="preserve">David Thomas </t>
        </is>
      </c>
      <c r="F239" t="inlineStr">
        <is>
          <t>Meeting with stakeholders</t>
        </is>
      </c>
      <c r="G239" t="inlineStr">
        <is>
          <t>Rencontre avec des intervenants</t>
        </is>
      </c>
      <c r="H239" s="1" t="n">
        <v>42873</v>
      </c>
      <c r="I239" s="1" t="n">
        <v>42874</v>
      </c>
      <c r="J239" t="inlineStr">
        <is>
          <t xml:space="preserve">Toronto, ON </t>
        </is>
      </c>
      <c r="Q239" t="n">
        <v>387.6</v>
      </c>
      <c r="R239" t="n">
        <v>207.64</v>
      </c>
      <c r="S239" t="n">
        <v>115.75</v>
      </c>
      <c r="U239" t="n">
        <v>710.99</v>
      </c>
      <c r="X239" t="inlineStr">
        <is>
          <t>atssc-scdata</t>
        </is>
      </c>
      <c r="Y239" t="inlineStr">
        <is>
          <t>Administrative Tribunals Support Service of Canada | Service canadien d'appui aux tribunaux administratifs</t>
        </is>
      </c>
    </row>
    <row r="240">
      <c r="A240" t="inlineStr">
        <is>
          <t>T-2016-Q3-001</t>
        </is>
      </c>
      <c r="B240" t="inlineStr">
        <is>
          <t>SLE</t>
        </is>
      </c>
      <c r="C240" t="inlineStr">
        <is>
          <t xml:space="preserve">A/Chairperson, Canadian International Trade Tribunal </t>
        </is>
      </c>
      <c r="D240" t="inlineStr">
        <is>
          <t xml:space="preserve">Président par intérim, Tribunal Canadien du commerce extérieur </t>
        </is>
      </c>
      <c r="E240" t="inlineStr">
        <is>
          <t>Jean Bédard</t>
        </is>
      </c>
      <c r="F240" t="inlineStr">
        <is>
          <t>Attend a world custom Law Meeting</t>
        </is>
      </c>
      <c r="G240" t="inlineStr">
        <is>
          <t>Participer à une réunion sur les lois du commerce international</t>
        </is>
      </c>
      <c r="H240" s="1" t="n">
        <v>42620</v>
      </c>
      <c r="I240" s="1" t="n">
        <v>42624</v>
      </c>
      <c r="J240" t="inlineStr">
        <is>
          <t>Valparaiso, Chile</t>
        </is>
      </c>
      <c r="K240" t="inlineStr">
        <is>
          <t>Valparaiso, Chile</t>
        </is>
      </c>
      <c r="P240" t="n">
        <v>4186.81</v>
      </c>
      <c r="Q240" t="n">
        <v>303.76</v>
      </c>
      <c r="R240" t="n">
        <v>976.12</v>
      </c>
      <c r="S240" t="n">
        <v>606.48</v>
      </c>
      <c r="U240" t="n">
        <v>6073.17</v>
      </c>
      <c r="X240" t="inlineStr">
        <is>
          <t>atssc-scdata</t>
        </is>
      </c>
      <c r="Y240" t="inlineStr">
        <is>
          <t>Administrative Tribunals Support Service of Canada | Service canadien d'appui aux tribunaux administratifs</t>
        </is>
      </c>
    </row>
    <row r="241">
      <c r="A241" t="inlineStr">
        <is>
          <t>T-2016-Q3-002</t>
        </is>
      </c>
      <c r="B241" t="inlineStr">
        <is>
          <t>SLE</t>
        </is>
      </c>
      <c r="C241" t="inlineStr">
        <is>
          <t xml:space="preserve">A/Chairperson, Canadian International Trade Tribunal </t>
        </is>
      </c>
      <c r="D241" t="inlineStr">
        <is>
          <t xml:space="preserve">Président par intérim, Tribunal Canadien du commerce extérieur </t>
        </is>
      </c>
      <c r="E241" t="inlineStr">
        <is>
          <t>Jean Bédard</t>
        </is>
      </c>
      <c r="F241" t="inlineStr">
        <is>
          <t>Visit a plant for an investigation in a file of the CITT</t>
        </is>
      </c>
      <c r="G241" t="inlineStr">
        <is>
          <t>Visite d'une usine pour une enquête dans un dossier du TCCE</t>
        </is>
      </c>
      <c r="H241" s="1" t="n">
        <v>42662</v>
      </c>
      <c r="I241" s="1" t="n">
        <v>42664</v>
      </c>
      <c r="J241" t="inlineStr">
        <is>
          <t>Edmont, Alberta</t>
        </is>
      </c>
      <c r="K241" t="inlineStr">
        <is>
          <t>Edmont, Alberta</t>
        </is>
      </c>
      <c r="P241" t="n">
        <v>2406.7</v>
      </c>
      <c r="Q241" t="n">
        <v>271.88</v>
      </c>
      <c r="R241" t="n">
        <v>181.56</v>
      </c>
      <c r="S241" t="n">
        <v>194.2</v>
      </c>
      <c r="U241" t="n">
        <v>3054.34</v>
      </c>
      <c r="X241" t="inlineStr">
        <is>
          <t>atssc-scdata</t>
        </is>
      </c>
      <c r="Y241" t="inlineStr">
        <is>
          <t>Administrative Tribunals Support Service of Canada | Service canadien d'appui aux tribunaux administratifs</t>
        </is>
      </c>
    </row>
    <row r="242">
      <c r="A242" t="inlineStr">
        <is>
          <t>T-2016-Q3-022</t>
        </is>
      </c>
      <c r="B242" t="inlineStr">
        <is>
          <t>SLE</t>
        </is>
      </c>
      <c r="C242" t="inlineStr">
        <is>
          <t xml:space="preserve">Chairperson, Canadian Human Rights Tribunal        </t>
        </is>
      </c>
      <c r="D242" t="inlineStr">
        <is>
          <t xml:space="preserve">Président, Tribunal canadien des droits de la personne </t>
        </is>
      </c>
      <c r="E242" t="inlineStr">
        <is>
          <t>Thomas, David</t>
        </is>
      </c>
      <c r="F242" t="inlineStr">
        <is>
          <t>Mediation file T2146</t>
        </is>
      </c>
      <c r="G242" t="inlineStr">
        <is>
          <t>Dossier de médiation T2146</t>
        </is>
      </c>
      <c r="H242" s="1" t="n">
        <v>42668</v>
      </c>
      <c r="I242" s="1" t="n">
        <v>42672</v>
      </c>
      <c r="J242" t="inlineStr">
        <is>
          <t>Edmonton, AB</t>
        </is>
      </c>
      <c r="K242" t="inlineStr">
        <is>
          <t>Edmonton, AB</t>
        </is>
      </c>
      <c r="P242" t="n">
        <v>1306.43</v>
      </c>
      <c r="Q242" t="n">
        <v>208.86</v>
      </c>
      <c r="R242" t="n">
        <v>368.26</v>
      </c>
      <c r="S242" t="n">
        <v>194.5</v>
      </c>
      <c r="U242" t="n">
        <v>2078.05</v>
      </c>
      <c r="X242" t="inlineStr">
        <is>
          <t>atssc-scdata</t>
        </is>
      </c>
      <c r="Y242" t="inlineStr">
        <is>
          <t>Administrative Tribunals Support Service of Canada | Service canadien d'appui aux tribunaux administratifs</t>
        </is>
      </c>
    </row>
    <row r="243">
      <c r="A243" t="inlineStr">
        <is>
          <t>T-2016-Q3-003</t>
        </is>
      </c>
      <c r="B243" t="inlineStr">
        <is>
          <t>SLE</t>
        </is>
      </c>
      <c r="C243" t="inlineStr">
        <is>
          <t xml:space="preserve"> Executive Director, Secretariat to the Canadian Cultural Property Export Review Board  </t>
        </is>
      </c>
      <c r="D243" t="inlineStr">
        <is>
          <t>Directrice exécutive, Secrétariat de la Commission canadienne d’examen des exportations de biens culturels</t>
        </is>
      </c>
      <c r="E243" t="inlineStr">
        <is>
          <t>Bishop, Delphine</t>
        </is>
      </c>
      <c r="F243" t="inlineStr">
        <is>
          <t>Attend a meeting of the Operations Sub-Committee</t>
        </is>
      </c>
      <c r="G243" t="inlineStr">
        <is>
          <t>Participer à une rencontre du sous-comité des activités</t>
        </is>
      </c>
      <c r="H243" s="1" t="n">
        <v>42628</v>
      </c>
      <c r="I243" s="1" t="n">
        <v>42628</v>
      </c>
      <c r="J243" t="inlineStr">
        <is>
          <t>Ottawa, Ontario</t>
        </is>
      </c>
      <c r="K243" t="inlineStr">
        <is>
          <t>Ottawa, Ontario</t>
        </is>
      </c>
      <c r="Q243" t="n">
        <v>18</v>
      </c>
      <c r="U243" t="n">
        <v>18</v>
      </c>
      <c r="X243" t="inlineStr">
        <is>
          <t>atssc-scdata</t>
        </is>
      </c>
      <c r="Y243" t="inlineStr">
        <is>
          <t>Administrative Tribunals Support Service of Canada | Service canadien d'appui aux tribunaux administratifs</t>
        </is>
      </c>
    </row>
    <row r="244">
      <c r="A244" t="inlineStr">
        <is>
          <t>T-2016-Q3-004</t>
        </is>
      </c>
      <c r="B244" t="inlineStr">
        <is>
          <t>SLE</t>
        </is>
      </c>
      <c r="C244" t="inlineStr">
        <is>
          <t xml:space="preserve"> Executive Director, Secretariat to the Canadian Cultural Property Export Review Board  </t>
        </is>
      </c>
      <c r="D244" t="inlineStr">
        <is>
          <t>Directrice exécutive, Secrétariat de la Commission canadienne d’examen des exportations de biens culturels</t>
        </is>
      </c>
      <c r="E244" t="inlineStr">
        <is>
          <t>Bishop, Delphine</t>
        </is>
      </c>
      <c r="F244" t="inlineStr">
        <is>
          <t xml:space="preserve">Attend a meeting with the Deputy Chief Administrator and Executive Directors </t>
        </is>
      </c>
      <c r="G244" t="inlineStr">
        <is>
          <t>Participer à une rencontre avec l'administrateur en chef adjoint et les directeurs exécutifs</t>
        </is>
      </c>
      <c r="H244" s="1" t="n">
        <v>42632</v>
      </c>
      <c r="I244" s="1" t="n">
        <v>42632</v>
      </c>
      <c r="J244" t="inlineStr">
        <is>
          <t>Ottawa, Ontario</t>
        </is>
      </c>
      <c r="K244" t="inlineStr">
        <is>
          <t>Ottawa, Ontario</t>
        </is>
      </c>
      <c r="Q244" t="n">
        <v>20</v>
      </c>
      <c r="U244" t="n">
        <v>20</v>
      </c>
      <c r="X244" t="inlineStr">
        <is>
          <t>atssc-scdata</t>
        </is>
      </c>
      <c r="Y244" t="inlineStr">
        <is>
          <t>Administrative Tribunals Support Service of Canada | Service canadien d'appui aux tribunaux administratifs</t>
        </is>
      </c>
    </row>
    <row r="245">
      <c r="A245" t="inlineStr">
        <is>
          <t>T-2016-Q3-005</t>
        </is>
      </c>
      <c r="B245" t="inlineStr">
        <is>
          <t>SLE</t>
        </is>
      </c>
      <c r="C245" t="inlineStr">
        <is>
          <t xml:space="preserve"> Executive Director, Secretariat to the Canadian Cultural Property Export Review Board  </t>
        </is>
      </c>
      <c r="D245" t="inlineStr">
        <is>
          <t>Directrice exécutive, Secrétariat de la Commission canadienne d’examen des exportations de biens culturels</t>
        </is>
      </c>
      <c r="E245" t="inlineStr">
        <is>
          <t>Bishop, Delphine</t>
        </is>
      </c>
      <c r="F245" t="inlineStr">
        <is>
          <t>Attend the CCPERB meeting</t>
        </is>
      </c>
      <c r="G245" t="inlineStr">
        <is>
          <t xml:space="preserve">Participer à la rencontre de CCEEPC </t>
        </is>
      </c>
      <c r="H245" s="1" t="n">
        <v>42634</v>
      </c>
      <c r="I245" s="1" t="n">
        <v>42636</v>
      </c>
      <c r="J245" t="inlineStr">
        <is>
          <t>Ottawa, Ontario</t>
        </is>
      </c>
      <c r="K245" t="inlineStr">
        <is>
          <t>Ottawa, Ontario</t>
        </is>
      </c>
      <c r="Q245" t="n">
        <v>60</v>
      </c>
      <c r="U245" t="n">
        <v>60</v>
      </c>
      <c r="X245" t="inlineStr">
        <is>
          <t>atssc-scdata</t>
        </is>
      </c>
      <c r="Y245" t="inlineStr">
        <is>
          <t>Administrative Tribunals Support Service of Canada | Service canadien d'appui aux tribunaux administratifs</t>
        </is>
      </c>
    </row>
    <row r="246">
      <c r="A246" t="inlineStr">
        <is>
          <t>T-2016-Q4-014</t>
        </is>
      </c>
      <c r="B246" t="inlineStr">
        <is>
          <t>SLE</t>
        </is>
      </c>
      <c r="C246" t="inlineStr">
        <is>
          <t xml:space="preserve">Chairperson, Canadian Cultural Property Export Review Board    </t>
        </is>
      </c>
      <c r="D246" t="inlineStr">
        <is>
          <t>Président, Commission canadienne d’examen des exportations de biens culturels</t>
        </is>
      </c>
      <c r="E246" t="inlineStr">
        <is>
          <t>BLOOM, Glen A</t>
        </is>
      </c>
      <c r="F246" t="inlineStr">
        <is>
          <t>Attend the Toronto Art Fair</t>
        </is>
      </c>
      <c r="G246" t="inlineStr">
        <is>
          <t>Assister à la Art Fair à Toronto</t>
        </is>
      </c>
      <c r="H246" s="1" t="n">
        <v>42670</v>
      </c>
      <c r="I246" s="1" t="n">
        <v>42673</v>
      </c>
      <c r="J246" t="inlineStr">
        <is>
          <t>Toronto, ON</t>
        </is>
      </c>
      <c r="K246" t="inlineStr">
        <is>
          <t>Toronto, ON</t>
        </is>
      </c>
      <c r="Q246" t="n">
        <v>220.18</v>
      </c>
      <c r="R246" t="n">
        <v>582.52</v>
      </c>
      <c r="S246" t="n">
        <v>354.15</v>
      </c>
      <c r="U246" t="n">
        <v>1156.85</v>
      </c>
      <c r="X246" t="inlineStr">
        <is>
          <t>atssc-scdata</t>
        </is>
      </c>
      <c r="Y246" t="inlineStr">
        <is>
          <t>Administrative Tribunals Support Service of Canada | Service canadien d'appui aux tribunaux administratifs</t>
        </is>
      </c>
    </row>
    <row r="247">
      <c r="A247" t="inlineStr">
        <is>
          <t>T-2016-Q3-006</t>
        </is>
      </c>
      <c r="B247" t="inlineStr">
        <is>
          <t>SLE</t>
        </is>
      </c>
      <c r="C247" t="inlineStr">
        <is>
          <t xml:space="preserve"> Executive Director, Secretariat to the Canadian Cultural Property Export Review Board  </t>
        </is>
      </c>
      <c r="D247" t="inlineStr">
        <is>
          <t>Directrice exécutive, Secrétariat de la Commission canadienne d’examen des exportations de biens culturels</t>
        </is>
      </c>
      <c r="E247" t="inlineStr">
        <is>
          <t>Bishop, Delphine</t>
        </is>
      </c>
      <c r="F247" t="inlineStr">
        <is>
          <t>Attend a Senior Management of ATSSC meeting</t>
        </is>
      </c>
      <c r="G247" t="inlineStr">
        <is>
          <t>Participer à une rencontre de la haute direction du SCDATA</t>
        </is>
      </c>
      <c r="H247" s="1" t="n">
        <v>42641</v>
      </c>
      <c r="I247" s="1" t="n">
        <v>42641</v>
      </c>
      <c r="J247" t="inlineStr">
        <is>
          <t>Ottawa, Ontario</t>
        </is>
      </c>
      <c r="K247" t="inlineStr">
        <is>
          <t>Ottawa, Ontario</t>
        </is>
      </c>
      <c r="Q247" t="n">
        <v>20</v>
      </c>
      <c r="U247" t="n">
        <v>20</v>
      </c>
      <c r="X247" t="inlineStr">
        <is>
          <t>atssc-scdata</t>
        </is>
      </c>
      <c r="Y247" t="inlineStr">
        <is>
          <t>Administrative Tribunals Support Service of Canada | Service canadien d'appui aux tribunaux administratifs</t>
        </is>
      </c>
    </row>
    <row r="248">
      <c r="A248" t="inlineStr">
        <is>
          <t>T-2016-Q3-007</t>
        </is>
      </c>
      <c r="B248" t="inlineStr">
        <is>
          <t>SLE</t>
        </is>
      </c>
      <c r="C248" t="inlineStr">
        <is>
          <t xml:space="preserve">Chairperson, Canadian Cultural Property Export Review Board    </t>
        </is>
      </c>
      <c r="D248" t="inlineStr">
        <is>
          <t>Président, Commission canadienne d’examen des exportations de biens culturels</t>
        </is>
      </c>
      <c r="E248" t="inlineStr">
        <is>
          <t>BLOOM, Glen A</t>
        </is>
      </c>
      <c r="F248" t="inlineStr">
        <is>
          <t>Attend a meeting with a representant at the National Art Gallery of Canada</t>
        </is>
      </c>
      <c r="G248" t="inlineStr">
        <is>
          <t>Participer à une réunion avec un représentant au Musée des Beaux-Art du Canada</t>
        </is>
      </c>
      <c r="H248" s="1" t="n">
        <v>42613</v>
      </c>
      <c r="I248" s="1" t="n">
        <v>42613</v>
      </c>
      <c r="J248" t="inlineStr">
        <is>
          <t>Ottawa, Ontario</t>
        </is>
      </c>
      <c r="K248" t="inlineStr">
        <is>
          <t>Ottawa, Ontario</t>
        </is>
      </c>
      <c r="Q248" t="n">
        <v>12</v>
      </c>
      <c r="U248" t="n">
        <v>12</v>
      </c>
      <c r="X248" t="inlineStr">
        <is>
          <t>atssc-scdata</t>
        </is>
      </c>
      <c r="Y248" t="inlineStr">
        <is>
          <t>Administrative Tribunals Support Service of Canada | Service canadien d'appui aux tribunaux administratifs</t>
        </is>
      </c>
    </row>
    <row r="249">
      <c r="A249" t="inlineStr">
        <is>
          <t>T-2016-Q3-008</t>
        </is>
      </c>
      <c r="B249" t="inlineStr">
        <is>
          <t>SLE</t>
        </is>
      </c>
      <c r="C249" t="inlineStr">
        <is>
          <t xml:space="preserve">Chairperson, Canadian Cultural Property Export Review Board    </t>
        </is>
      </c>
      <c r="D249" t="inlineStr">
        <is>
          <t>Président, Commission canadienne d’examen des exportations de biens culturels</t>
        </is>
      </c>
      <c r="E249" t="inlineStr">
        <is>
          <t>BLOOM, Glen A</t>
        </is>
      </c>
      <c r="F249" t="inlineStr">
        <is>
          <t>Participate in the prep day meetings</t>
        </is>
      </c>
      <c r="G249" t="inlineStr">
        <is>
          <t xml:space="preserve">Participer aux journées préparatoires </t>
        </is>
      </c>
      <c r="H249" s="1" t="n">
        <v>42619</v>
      </c>
      <c r="I249" s="1" t="n">
        <v>42621</v>
      </c>
      <c r="J249" t="inlineStr">
        <is>
          <t>Gatineau, Quebec</t>
        </is>
      </c>
      <c r="K249" t="inlineStr">
        <is>
          <t>Gatineau, Quebec</t>
        </is>
      </c>
      <c r="Q249" t="n">
        <v>45.85</v>
      </c>
      <c r="R249" t="n">
        <v>361.02</v>
      </c>
      <c r="S249" t="n">
        <v>209.5</v>
      </c>
      <c r="U249" t="n">
        <v>616.37</v>
      </c>
      <c r="X249" t="inlineStr">
        <is>
          <t>atssc-scdata</t>
        </is>
      </c>
      <c r="Y249" t="inlineStr">
        <is>
          <t>Administrative Tribunals Support Service of Canada | Service canadien d'appui aux tribunaux administratifs</t>
        </is>
      </c>
    </row>
    <row r="250">
      <c r="A250" t="inlineStr">
        <is>
          <t>T-2017-Q3-019</t>
        </is>
      </c>
      <c r="B250" t="inlineStr">
        <is>
          <t>SLE</t>
        </is>
      </c>
      <c r="C250" t="inlineStr">
        <is>
          <t xml:space="preserve">Chairperson, Canada Industrial Relations Board     </t>
        </is>
      </c>
      <c r="D250" t="inlineStr">
        <is>
          <t>Présidente, Conseil canadien des relations industrielles</t>
        </is>
      </c>
      <c r="E250" t="inlineStr">
        <is>
          <t>Ginette Brazeau</t>
        </is>
      </c>
      <c r="F250" t="inlineStr">
        <is>
          <t>Hearing file #42544</t>
        </is>
      </c>
      <c r="G250" t="inlineStr">
        <is>
          <t>Dossier d'audience #42544</t>
        </is>
      </c>
      <c r="H250" s="1" t="n">
        <v>43024</v>
      </c>
      <c r="I250" s="1" t="n">
        <v>43024</v>
      </c>
      <c r="J250" t="inlineStr">
        <is>
          <t>Toronto, ON</t>
        </is>
      </c>
      <c r="K250" t="inlineStr">
        <is>
          <t>Toronto, ON</t>
        </is>
      </c>
      <c r="P250" t="n">
        <v>479.25</v>
      </c>
      <c r="Q250" t="n">
        <v>23</v>
      </c>
      <c r="S250" t="n">
        <v>18.9</v>
      </c>
      <c r="U250" t="n">
        <v>521.15</v>
      </c>
      <c r="X250" t="inlineStr">
        <is>
          <t>atssc-scdata</t>
        </is>
      </c>
      <c r="Y250" t="inlineStr">
        <is>
          <t>Administrative Tribunals Support Service of Canada | Service canadien d'appui aux tribunaux administratifs</t>
        </is>
      </c>
    </row>
    <row r="251">
      <c r="A251" t="inlineStr">
        <is>
          <t>T-2016-Q3-009</t>
        </is>
      </c>
      <c r="B251" t="inlineStr">
        <is>
          <t>SLE</t>
        </is>
      </c>
      <c r="C251" t="inlineStr">
        <is>
          <t xml:space="preserve">Chairperson, Canadian Cultural Property Export Review Board    </t>
        </is>
      </c>
      <c r="D251" t="inlineStr">
        <is>
          <t>Président, Commission canadienne d’examen des exportations de biens culturels</t>
        </is>
      </c>
      <c r="E251" t="inlineStr">
        <is>
          <t>BLOOM, Glen A</t>
        </is>
      </c>
      <c r="F251" t="inlineStr">
        <is>
          <t>Attend the CCPERB meeting</t>
        </is>
      </c>
      <c r="G251" t="inlineStr">
        <is>
          <t>Participer à la réunion de CCEEB</t>
        </is>
      </c>
      <c r="H251" s="1" t="n">
        <v>42633</v>
      </c>
      <c r="I251" s="1" t="n">
        <v>42636</v>
      </c>
      <c r="J251" t="inlineStr">
        <is>
          <t>Ottawa, Ontario</t>
        </is>
      </c>
      <c r="K251" t="inlineStr">
        <is>
          <t>Ottawa, Ontario</t>
        </is>
      </c>
      <c r="Q251" t="n">
        <v>53.37</v>
      </c>
      <c r="R251" t="n">
        <v>583.11</v>
      </c>
      <c r="S251" t="n">
        <v>260.6</v>
      </c>
      <c r="U251" t="n">
        <v>897.08</v>
      </c>
      <c r="X251" t="inlineStr">
        <is>
          <t>atssc-scdata</t>
        </is>
      </c>
      <c r="Y251" t="inlineStr">
        <is>
          <t>Administrative Tribunals Support Service of Canada | Service canadien d'appui aux tribunaux administratifs</t>
        </is>
      </c>
    </row>
    <row r="252">
      <c r="A252" t="inlineStr">
        <is>
          <t>T-2016-Q3-010</t>
        </is>
      </c>
      <c r="B252" t="inlineStr">
        <is>
          <t>SLE</t>
        </is>
      </c>
      <c r="C252" t="inlineStr">
        <is>
          <t xml:space="preserve">Chairperson, Canada Industrial Relations Board     </t>
        </is>
      </c>
      <c r="D252" t="inlineStr">
        <is>
          <t>Présidente, Conseil canadien des relations industrielles</t>
        </is>
      </c>
      <c r="E252" t="inlineStr">
        <is>
          <t>Brazeau, Ginette</t>
        </is>
      </c>
      <c r="F252" t="inlineStr">
        <is>
          <t>To attend the Association of Labour Relations Agencies Executive Committee meeting</t>
        </is>
      </c>
      <c r="G252" t="inlineStr">
        <is>
          <t>Participer à une rencontre du comité de direction de la Association of Labour Relations Agencies</t>
        </is>
      </c>
      <c r="H252" s="1" t="n">
        <v>42664</v>
      </c>
      <c r="I252" s="1" t="n">
        <v>42667</v>
      </c>
      <c r="J252" t="inlineStr">
        <is>
          <t>Washington, D.C.</t>
        </is>
      </c>
      <c r="K252" t="inlineStr">
        <is>
          <t>Washington, D.C.</t>
        </is>
      </c>
      <c r="P252" t="n">
        <v>1324.71</v>
      </c>
      <c r="Q252" t="n">
        <v>104.32</v>
      </c>
      <c r="R252" t="n">
        <v>888.65</v>
      </c>
      <c r="S252" t="n">
        <v>291.57</v>
      </c>
      <c r="U252" t="n">
        <v>2609.25</v>
      </c>
      <c r="X252" t="inlineStr">
        <is>
          <t>atssc-scdata</t>
        </is>
      </c>
      <c r="Y252" t="inlineStr">
        <is>
          <t>Administrative Tribunals Support Service of Canada | Service canadien d'appui aux tribunaux administratifs</t>
        </is>
      </c>
    </row>
    <row r="253">
      <c r="A253" t="inlineStr">
        <is>
          <t>T-2016-Q3-011</t>
        </is>
      </c>
      <c r="B253" t="inlineStr">
        <is>
          <t>SLE</t>
        </is>
      </c>
      <c r="C253" t="inlineStr">
        <is>
          <t xml:space="preserve">Chairperson, Canada Industrial Relations Board     </t>
        </is>
      </c>
      <c r="D253" t="inlineStr">
        <is>
          <t>Présidente, Conseil canadien des relations industrielles</t>
        </is>
      </c>
      <c r="E253" t="inlineStr">
        <is>
          <t>Brazeau, Ginette</t>
        </is>
      </c>
      <c r="F253" t="inlineStr">
        <is>
          <t>Hearing file 31794-C</t>
        </is>
      </c>
      <c r="G253" t="inlineStr">
        <is>
          <t>Dossier d'audience 31794-C</t>
        </is>
      </c>
      <c r="H253" s="1" t="n">
        <v>42676</v>
      </c>
      <c r="I253" s="1" t="n">
        <v>42678</v>
      </c>
      <c r="J253" t="inlineStr">
        <is>
          <t>Montréal, Québec</t>
        </is>
      </c>
      <c r="K253" t="inlineStr">
        <is>
          <t>Montréal, Québec</t>
        </is>
      </c>
      <c r="Q253" t="n">
        <v>226.58</v>
      </c>
      <c r="R253" t="n">
        <v>340.34</v>
      </c>
      <c r="S253" t="n">
        <v>211.5</v>
      </c>
      <c r="U253" t="n">
        <v>778.42</v>
      </c>
      <c r="X253" t="inlineStr">
        <is>
          <t>atssc-scdata</t>
        </is>
      </c>
      <c r="Y253" t="inlineStr">
        <is>
          <t>Administrative Tribunals Support Service of Canada | Service canadien d'appui aux tribunaux administratifs</t>
        </is>
      </c>
    </row>
    <row r="254">
      <c r="A254" t="inlineStr">
        <is>
          <t>T-2016-Q3-012</t>
        </is>
      </c>
      <c r="B254" t="inlineStr">
        <is>
          <t>SLE</t>
        </is>
      </c>
      <c r="C254" t="inlineStr">
        <is>
          <t xml:space="preserve">Chairperson, Canada Industrial Relations Board     </t>
        </is>
      </c>
      <c r="D254" t="inlineStr">
        <is>
          <t>Présidente, Conseil canadien des relations industrielles</t>
        </is>
      </c>
      <c r="E254" t="inlineStr">
        <is>
          <t>Brazeau, Ginette</t>
        </is>
      </c>
      <c r="F254" t="inlineStr">
        <is>
          <t>Hearing file 31573-C</t>
        </is>
      </c>
      <c r="G254" t="inlineStr">
        <is>
          <t>Dossier d'audience 31573-C</t>
        </is>
      </c>
      <c r="H254" s="1" t="n">
        <v>42689</v>
      </c>
      <c r="I254" s="1" t="n">
        <v>42692</v>
      </c>
      <c r="J254" t="inlineStr">
        <is>
          <t>Edmonton, Alberta</t>
        </is>
      </c>
      <c r="K254" t="inlineStr">
        <is>
          <t>Edmonton, Alberta</t>
        </is>
      </c>
      <c r="P254" t="n">
        <v>1579.08</v>
      </c>
      <c r="Q254" t="n">
        <v>123</v>
      </c>
      <c r="R254" t="n">
        <v>501.84</v>
      </c>
      <c r="S254" t="n">
        <v>228.8</v>
      </c>
      <c r="U254" t="n">
        <v>2432.72</v>
      </c>
      <c r="X254" t="inlineStr">
        <is>
          <t>atssc-scdata</t>
        </is>
      </c>
      <c r="Y254" t="inlineStr">
        <is>
          <t>Administrative Tribunals Support Service of Canada | Service canadien d'appui aux tribunaux administratifs</t>
        </is>
      </c>
    </row>
    <row r="255">
      <c r="A255" t="inlineStr">
        <is>
          <t>T-2016-Q3-013</t>
        </is>
      </c>
      <c r="B255" t="inlineStr">
        <is>
          <t>SLE</t>
        </is>
      </c>
      <c r="C255" t="inlineStr">
        <is>
          <t xml:space="preserve"> Chairperson, Canada Agricultural Review Tribunal       </t>
        </is>
      </c>
      <c r="D255" t="inlineStr">
        <is>
          <t xml:space="preserve"> Président, Commission de révision agricole du Canada</t>
        </is>
      </c>
      <c r="E255" t="inlineStr">
        <is>
          <t>Buckingham, Donald</t>
        </is>
      </c>
      <c r="F255" t="inlineStr">
        <is>
          <t>Hearing CART-1849</t>
        </is>
      </c>
      <c r="G255" t="inlineStr">
        <is>
          <t>Audience 1849-CRAC</t>
        </is>
      </c>
      <c r="H255" s="1" t="n">
        <v>42599</v>
      </c>
      <c r="I255" s="1" t="n">
        <v>42599</v>
      </c>
      <c r="J255" t="inlineStr">
        <is>
          <t>Halifax, NS</t>
        </is>
      </c>
      <c r="K255" t="inlineStr">
        <is>
          <t>Halifax, NS</t>
        </is>
      </c>
      <c r="Q255" t="n">
        <v>81.31999999999999</v>
      </c>
      <c r="S255" t="n">
        <v>17</v>
      </c>
      <c r="U255" t="n">
        <v>98.31999999999999</v>
      </c>
      <c r="X255" t="inlineStr">
        <is>
          <t>atssc-scdata</t>
        </is>
      </c>
      <c r="Y255" t="inlineStr">
        <is>
          <t>Administrative Tribunals Support Service of Canada | Service canadien d'appui aux tribunaux administratifs</t>
        </is>
      </c>
    </row>
    <row r="256">
      <c r="A256" t="inlineStr">
        <is>
          <t>T-2016-Q3-014</t>
        </is>
      </c>
      <c r="B256" t="inlineStr">
        <is>
          <t>SLE</t>
        </is>
      </c>
      <c r="C256" t="inlineStr">
        <is>
          <t xml:space="preserve"> Chairperson, Canada Agricultural Review Tribunal       </t>
        </is>
      </c>
      <c r="D256" t="inlineStr">
        <is>
          <t xml:space="preserve"> Président, Commission de révision agricole du Canada</t>
        </is>
      </c>
      <c r="E256" t="inlineStr">
        <is>
          <t>Buckingham, Donald</t>
        </is>
      </c>
      <c r="F256" t="inlineStr">
        <is>
          <t xml:space="preserve">Attend the American National Association of Administrative Law Judiciary </t>
        </is>
      </c>
      <c r="G256" t="inlineStr">
        <is>
          <t>Participer à la rencontre de la American National Association of Administrative Law Judiciary</t>
        </is>
      </c>
      <c r="H256" s="1" t="n">
        <v>42630</v>
      </c>
      <c r="I256" s="1" t="n">
        <v>42637</v>
      </c>
      <c r="J256" t="inlineStr">
        <is>
          <t>Salt Lake City, Utah</t>
        </is>
      </c>
      <c r="K256" t="inlineStr">
        <is>
          <t>Salt Lake City, Utah</t>
        </is>
      </c>
      <c r="P256" t="n">
        <v>484.72</v>
      </c>
      <c r="Q256" t="n">
        <v>33.14</v>
      </c>
      <c r="R256" t="n">
        <v>570.87</v>
      </c>
      <c r="S256" t="n">
        <v>350.6</v>
      </c>
      <c r="U256" t="n">
        <v>1439.33</v>
      </c>
      <c r="X256" t="inlineStr">
        <is>
          <t>atssc-scdata</t>
        </is>
      </c>
      <c r="Y256" t="inlineStr">
        <is>
          <t>Administrative Tribunals Support Service of Canada | Service canadien d'appui aux tribunaux administratifs</t>
        </is>
      </c>
    </row>
    <row r="257">
      <c r="A257" t="inlineStr">
        <is>
          <t>T-2016-Q3-015</t>
        </is>
      </c>
      <c r="B257" t="inlineStr">
        <is>
          <t>SLE</t>
        </is>
      </c>
      <c r="C257" t="inlineStr">
        <is>
          <t xml:space="preserve"> Chairperson, Canada Agricultural Review Tribunal       </t>
        </is>
      </c>
      <c r="D257" t="inlineStr">
        <is>
          <t xml:space="preserve"> Président, Commission de révision agricole du Canada</t>
        </is>
      </c>
      <c r="E257" t="inlineStr">
        <is>
          <t>Buckingham, Donald</t>
        </is>
      </c>
      <c r="F257" t="inlineStr">
        <is>
          <t>Hearing CART-1879</t>
        </is>
      </c>
      <c r="G257" t="inlineStr">
        <is>
          <t>Audience 1879-CRAC</t>
        </is>
      </c>
      <c r="H257" s="1" t="n">
        <v>42641</v>
      </c>
      <c r="I257" s="1" t="n">
        <v>42641</v>
      </c>
      <c r="J257" t="inlineStr">
        <is>
          <t>Brampton, ON</t>
        </is>
      </c>
      <c r="K257" t="inlineStr">
        <is>
          <t>Brampton, ON</t>
        </is>
      </c>
      <c r="P257" t="n">
        <v>472.62</v>
      </c>
      <c r="Q257" t="n">
        <v>25.14</v>
      </c>
      <c r="S257" t="n">
        <v>78.8</v>
      </c>
      <c r="U257" t="n">
        <v>576.5599999999999</v>
      </c>
      <c r="X257" t="inlineStr">
        <is>
          <t>atssc-scdata</t>
        </is>
      </c>
      <c r="Y257" t="inlineStr">
        <is>
          <t>Administrative Tribunals Support Service of Canada | Service canadien d'appui aux tribunaux administratifs</t>
        </is>
      </c>
    </row>
    <row r="258">
      <c r="A258" t="inlineStr">
        <is>
          <t>T-2016-Q3-016</t>
        </is>
      </c>
      <c r="B258" t="inlineStr">
        <is>
          <t>SLE</t>
        </is>
      </c>
      <c r="C258" t="inlineStr">
        <is>
          <t xml:space="preserve"> Chairperson, Canada Agricultural Review Tribunal       </t>
        </is>
      </c>
      <c r="D258" t="inlineStr">
        <is>
          <t xml:space="preserve"> Président, Commission de révision agricole du Canada</t>
        </is>
      </c>
      <c r="E258" t="inlineStr">
        <is>
          <t>Buckingham, Donald</t>
        </is>
      </c>
      <c r="F258" t="inlineStr">
        <is>
          <t>Hearing CART 1871-1872-1873</t>
        </is>
      </c>
      <c r="G258" t="inlineStr">
        <is>
          <t>Audience 1871-1872-1873 CRAC</t>
        </is>
      </c>
      <c r="H258" s="1" t="n">
        <v>42648</v>
      </c>
      <c r="I258" s="1" t="n">
        <v>42649</v>
      </c>
      <c r="J258" t="inlineStr">
        <is>
          <t>Belleville, ON</t>
        </is>
      </c>
      <c r="K258" t="inlineStr">
        <is>
          <t>Belleville, ON</t>
        </is>
      </c>
      <c r="Q258" t="n">
        <v>309.64</v>
      </c>
      <c r="R258" t="n">
        <v>144.08</v>
      </c>
      <c r="S258" t="n">
        <v>80.09999999999999</v>
      </c>
      <c r="U258" t="n">
        <v>533.8200000000001</v>
      </c>
      <c r="X258" t="inlineStr">
        <is>
          <t>atssc-scdata</t>
        </is>
      </c>
      <c r="Y258" t="inlineStr">
        <is>
          <t>Administrative Tribunals Support Service of Canada | Service canadien d'appui aux tribunaux administratifs</t>
        </is>
      </c>
    </row>
    <row r="259">
      <c r="A259" t="inlineStr">
        <is>
          <t>T-2016-Q4-009</t>
        </is>
      </c>
      <c r="B259" t="inlineStr">
        <is>
          <t>SLE</t>
        </is>
      </c>
      <c r="C259" t="inlineStr">
        <is>
          <t xml:space="preserve">Executive Director, Secretariat to the Canadian Cultural Property Export Review Board    </t>
        </is>
      </c>
      <c r="D259" t="inlineStr">
        <is>
          <t>Directrice exécutive, Secrétariat de la Commission canadienne d’examen des exportations de biens culturels</t>
        </is>
      </c>
      <c r="E259" t="inlineStr">
        <is>
          <t>BISHOP, Delphine</t>
        </is>
      </c>
      <c r="F259" t="inlineStr">
        <is>
          <t>Attend La Biennale de Montréal 2016 at the Musée d’art contemporain of Montréal</t>
        </is>
      </c>
      <c r="G259" t="inlineStr">
        <is>
          <t>Assister à la Biennale de Montréal 2016 au Musée d'art contemporain de Montréal</t>
        </is>
      </c>
      <c r="H259" s="1" t="n">
        <v>42686</v>
      </c>
      <c r="I259" s="1" t="n">
        <v>42686</v>
      </c>
      <c r="J259" t="inlineStr">
        <is>
          <t>Montréal, QC</t>
        </is>
      </c>
      <c r="K259" t="inlineStr">
        <is>
          <t>Montréal, QC</t>
        </is>
      </c>
      <c r="Q259" t="n">
        <v>10</v>
      </c>
      <c r="U259" t="n">
        <v>10</v>
      </c>
      <c r="X259" t="inlineStr">
        <is>
          <t>atssc-scdata</t>
        </is>
      </c>
      <c r="Y259" t="inlineStr">
        <is>
          <t>Administrative Tribunals Support Service of Canada | Service canadien d'appui aux tribunaux administratifs</t>
        </is>
      </c>
    </row>
    <row r="260">
      <c r="A260" t="inlineStr">
        <is>
          <t>T-2016-Q3-017</t>
        </is>
      </c>
      <c r="B260" t="inlineStr">
        <is>
          <t>SLE</t>
        </is>
      </c>
      <c r="C260" t="inlineStr">
        <is>
          <t xml:space="preserve"> Chairperson, Canada Agricultural Review Tribunal       </t>
        </is>
      </c>
      <c r="D260" t="inlineStr">
        <is>
          <t xml:space="preserve"> Président, Commission de révision agricole du Canada</t>
        </is>
      </c>
      <c r="E260" t="inlineStr">
        <is>
          <t>Buckingham, Donald</t>
        </is>
      </c>
      <c r="F260" t="inlineStr">
        <is>
          <t>Attend the Society of Ontario Adjucators and Regulators Annual Conference in Toronto and attend the conference on Aspects of Compliance and Oversight by administrative tribunals in Halifax</t>
        </is>
      </c>
      <c r="G260" t="inlineStr">
        <is>
          <t>Participer à la rencontre annuel de SOAR  à Toronto ainsi que la conférence sur les aspects conformité et surveillances des tribunanux administratifs à Halifax</t>
        </is>
      </c>
      <c r="H260" s="1" t="n">
        <v>42676</v>
      </c>
      <c r="I260" s="1" t="n">
        <v>42679</v>
      </c>
      <c r="J260" t="inlineStr">
        <is>
          <t>Toronto, ON/Halifax NS</t>
        </is>
      </c>
      <c r="K260" t="inlineStr">
        <is>
          <t>Toronto, ON/Halifax NS</t>
        </is>
      </c>
      <c r="P260" t="n">
        <v>710.95</v>
      </c>
      <c r="Q260" t="n">
        <v>308.18</v>
      </c>
      <c r="R260" t="n">
        <v>133.41</v>
      </c>
      <c r="S260" t="n">
        <v>223.1</v>
      </c>
      <c r="U260" t="n">
        <v>1375.64</v>
      </c>
      <c r="X260" t="inlineStr">
        <is>
          <t>atssc-scdata</t>
        </is>
      </c>
      <c r="Y260" t="inlineStr">
        <is>
          <t>Administrative Tribunals Support Service of Canada | Service canadien d'appui aux tribunaux administratifs</t>
        </is>
      </c>
    </row>
    <row r="261">
      <c r="A261" t="inlineStr">
        <is>
          <t>T-2016-Q3-018</t>
        </is>
      </c>
      <c r="B261" t="inlineStr">
        <is>
          <t>SLE</t>
        </is>
      </c>
      <c r="C261" t="inlineStr">
        <is>
          <t xml:space="preserve">Executive Director and General Counsel, Secretariat to the Canada Industrial Relations Board  </t>
        </is>
      </c>
      <c r="D261" t="inlineStr">
        <is>
          <t xml:space="preserve"> Directrice exécutive et avocate générale, Secrétariat du Conseil canadien des relations industrielles </t>
        </is>
      </c>
      <c r="E261" t="inlineStr">
        <is>
          <t>Guilbert, Sylvie</t>
        </is>
      </c>
      <c r="F261" t="inlineStr">
        <is>
          <t>To attend the Association of Labour Relations Agencies Conference</t>
        </is>
      </c>
      <c r="G261" t="inlineStr">
        <is>
          <t>Participer à la conférence annuelle de la Association of Labour Relations Agencies</t>
        </is>
      </c>
      <c r="H261" s="1" t="n">
        <v>42664</v>
      </c>
      <c r="I261" s="1" t="n">
        <v>42666</v>
      </c>
      <c r="J261" t="inlineStr">
        <is>
          <t>Washington, D.C.</t>
        </is>
      </c>
      <c r="K261" t="inlineStr">
        <is>
          <t>Washington, D.C.</t>
        </is>
      </c>
      <c r="P261" t="n">
        <v>1118.86</v>
      </c>
      <c r="Q261" t="n">
        <v>68.40000000000001</v>
      </c>
      <c r="R261" t="n">
        <v>576.8200000000001</v>
      </c>
      <c r="S261" t="n">
        <v>274.27</v>
      </c>
      <c r="U261" t="n">
        <v>2038.35</v>
      </c>
      <c r="X261" t="inlineStr">
        <is>
          <t>atssc-scdata</t>
        </is>
      </c>
      <c r="Y261" t="inlineStr">
        <is>
          <t>Administrative Tribunals Support Service of Canada | Service canadien d'appui aux tribunaux administratifs</t>
        </is>
      </c>
    </row>
    <row r="262">
      <c r="A262" t="inlineStr">
        <is>
          <t>T-2016-Q3-019</t>
        </is>
      </c>
      <c r="B262" t="inlineStr">
        <is>
          <t>SLE</t>
        </is>
      </c>
      <c r="C262" t="inlineStr">
        <is>
          <t xml:space="preserve">Executive Director and General Counsel, Secretariat to the Canada Industrial Relations Board  </t>
        </is>
      </c>
      <c r="D262" t="inlineStr">
        <is>
          <t xml:space="preserve"> Directrice exécutive et avocate générale, Secrétariat du Conseil canadien des relations industrielles </t>
        </is>
      </c>
      <c r="E262" t="inlineStr">
        <is>
          <t>Guilbert, Sylvie</t>
        </is>
      </c>
      <c r="F262" t="inlineStr">
        <is>
          <t>Meeting with the Vancouver regional staff</t>
        </is>
      </c>
      <c r="G262" t="inlineStr">
        <is>
          <t>Rencontre avec les employés régionaux de Vancouver</t>
        </is>
      </c>
      <c r="H262" s="1" t="n">
        <v>42675</v>
      </c>
      <c r="I262" s="1" t="n">
        <v>42677</v>
      </c>
      <c r="J262" t="inlineStr">
        <is>
          <t>Vancouver, BC</t>
        </is>
      </c>
      <c r="K262" t="inlineStr">
        <is>
          <t>Vancouver, BC</t>
        </is>
      </c>
      <c r="P262" t="n">
        <v>5070.97</v>
      </c>
      <c r="Q262" t="n">
        <v>138.25</v>
      </c>
      <c r="R262" t="n">
        <v>350.16</v>
      </c>
      <c r="S262" t="n">
        <v>194.5</v>
      </c>
      <c r="U262" t="n">
        <v>5753.88</v>
      </c>
      <c r="X262" t="inlineStr">
        <is>
          <t>atssc-scdata</t>
        </is>
      </c>
      <c r="Y262" t="inlineStr">
        <is>
          <t>Administrative Tribunals Support Service of Canada | Service canadien d'appui aux tribunaux administratifs</t>
        </is>
      </c>
    </row>
    <row r="263">
      <c r="A263" t="inlineStr">
        <is>
          <t>T-2016-Q4-005</t>
        </is>
      </c>
      <c r="B263" t="inlineStr">
        <is>
          <t>SLE</t>
        </is>
      </c>
      <c r="C263" t="inlineStr">
        <is>
          <t xml:space="preserve">Executive Director, Secretariat to the Canadian Cultural Property Export Review Board    </t>
        </is>
      </c>
      <c r="D263" t="inlineStr">
        <is>
          <t>Directrice exécutive, Secrétariat de la Commission canadienne d’examen des exportations de biens culturels</t>
        </is>
      </c>
      <c r="E263" t="inlineStr">
        <is>
          <t>BISHOP, Delphine</t>
        </is>
      </c>
      <c r="F263" t="inlineStr">
        <is>
          <t>Attend the board meeting, a presentation at the Canadian Museum of History and a visit at the National Gallery of Canada</t>
        </is>
      </c>
      <c r="G263" t="inlineStr">
        <is>
          <t>Participer à la réunion des membres, à une présentation au Musée de l'histoire ainsi qu'à une visite au Musée des beaux-arts du Canada</t>
        </is>
      </c>
      <c r="H263" s="1" t="n">
        <v>42718</v>
      </c>
      <c r="I263" s="1" t="n">
        <v>42720</v>
      </c>
      <c r="J263" t="inlineStr">
        <is>
          <t>Ottawa, ON &amp; Gatineau, QC</t>
        </is>
      </c>
      <c r="K263" t="inlineStr">
        <is>
          <t>Ottawa, ON &amp; Gatineau, QC</t>
        </is>
      </c>
      <c r="Q263" t="n">
        <v>86.5</v>
      </c>
      <c r="U263" t="n">
        <v>86.5</v>
      </c>
      <c r="X263" t="inlineStr">
        <is>
          <t>atssc-scdata</t>
        </is>
      </c>
      <c r="Y263" t="inlineStr">
        <is>
          <t>Administrative Tribunals Support Service of Canada | Service canadien d'appui aux tribunaux administratifs</t>
        </is>
      </c>
    </row>
    <row r="264">
      <c r="A264" t="inlineStr">
        <is>
          <t>T-2016-Q3-020</t>
        </is>
      </c>
      <c r="B264" t="inlineStr">
        <is>
          <t>SLE</t>
        </is>
      </c>
      <c r="C264" t="inlineStr">
        <is>
          <t xml:space="preserve">Chief Administrator, Administrative Tribunals Support Service of Canada      </t>
        </is>
      </c>
      <c r="D264" t="inlineStr">
        <is>
          <t>Administrateur en chef, Service canadien d'appui aux Tribunaux Administratifs</t>
        </is>
      </c>
      <c r="E264" t="inlineStr">
        <is>
          <t>Pelletier, Marie-France</t>
        </is>
      </c>
      <c r="F264" t="inlineStr">
        <is>
          <t>Visit the CIRB regional office in Vancouver, attend a CHRT hearing in Victoria and meet with British Columbia government representative and tribunal officials</t>
        </is>
      </c>
      <c r="G264" t="inlineStr">
        <is>
          <t xml:space="preserve">Visiter le bureau régional du CCRI, assister à une audience du TCDP à Victoria et rencontrer des représentants du gouvernement de la Colombie-Britannique et officiers de tribunaux.  </t>
        </is>
      </c>
      <c r="H264" s="1" t="n">
        <v>42670</v>
      </c>
      <c r="I264" s="1" t="n">
        <v>42676</v>
      </c>
      <c r="J264" t="inlineStr">
        <is>
          <t>Vancouver &amp; Victoria, BC</t>
        </is>
      </c>
      <c r="K264" t="inlineStr">
        <is>
          <t>Vancouver &amp; Victoria, BC</t>
        </is>
      </c>
      <c r="P264" t="n">
        <v>4159.02</v>
      </c>
      <c r="Q264" t="n">
        <v>281</v>
      </c>
      <c r="R264" t="n">
        <v>744.63</v>
      </c>
      <c r="S264" t="n">
        <v>520.05</v>
      </c>
      <c r="U264" t="n">
        <v>5704.7</v>
      </c>
      <c r="X264" t="inlineStr">
        <is>
          <t>atssc-scdata</t>
        </is>
      </c>
      <c r="Y264" t="inlineStr">
        <is>
          <t>Administrative Tribunals Support Service of Canada | Service canadien d'appui aux tribunaux administratifs</t>
        </is>
      </c>
    </row>
    <row r="265">
      <c r="A265" t="inlineStr">
        <is>
          <t>T-2016-Q3-021</t>
        </is>
      </c>
      <c r="B265" t="inlineStr">
        <is>
          <t>SLE</t>
        </is>
      </c>
      <c r="C265" t="inlineStr">
        <is>
          <t xml:space="preserve">Chairperson, Canadian Human Rights Tribunal        </t>
        </is>
      </c>
      <c r="D265" t="inlineStr">
        <is>
          <t xml:space="preserve">Président, Tribunal canadien des droits de la personne </t>
        </is>
      </c>
      <c r="E265" t="inlineStr">
        <is>
          <t>Thomas, David</t>
        </is>
      </c>
      <c r="F265" t="inlineStr">
        <is>
          <t>Mediation file T1823</t>
        </is>
      </c>
      <c r="G265" t="inlineStr">
        <is>
          <t>Dossier de médiation T1823</t>
        </is>
      </c>
      <c r="H265" s="1" t="n">
        <v>42621</v>
      </c>
      <c r="I265" s="1" t="n">
        <v>42625</v>
      </c>
      <c r="J265" t="inlineStr">
        <is>
          <t>Grande Prairie, AB</t>
        </is>
      </c>
      <c r="K265" t="inlineStr">
        <is>
          <t>Grande Prairie, AB</t>
        </is>
      </c>
      <c r="P265" t="n">
        <v>1600.92</v>
      </c>
      <c r="Q265" t="n">
        <v>101.65</v>
      </c>
      <c r="S265" t="n">
        <v>175.4</v>
      </c>
      <c r="U265" t="n">
        <v>1877.97</v>
      </c>
      <c r="X265" t="inlineStr">
        <is>
          <t>atssc-scdata</t>
        </is>
      </c>
      <c r="Y265" t="inlineStr">
        <is>
          <t>Administrative Tribunals Support Service of Canada | Service canadien d'appui aux tribunaux administratifs</t>
        </is>
      </c>
    </row>
    <row r="266">
      <c r="A266" t="inlineStr">
        <is>
          <t>T-2016-Q4-001</t>
        </is>
      </c>
      <c r="B266" t="inlineStr">
        <is>
          <t>SLE</t>
        </is>
      </c>
      <c r="C266" t="inlineStr">
        <is>
          <t>A/Executive Director and General Counsel, Secretariat to the Public Service Labour Relations and Employment Board</t>
        </is>
      </c>
      <c r="D266" t="inlineStr">
        <is>
          <t>Directrice générale et avocate générale par intérim, Secrétariat de la Commission des relations de travail et de l’emploi dans la fonction publique</t>
        </is>
      </c>
      <c r="E266" t="inlineStr">
        <is>
          <t xml:space="preserve">Adamson, Virginia </t>
        </is>
      </c>
      <c r="F266" t="inlineStr">
        <is>
          <t>To attend the Association of Labour Relations Agencies meeting</t>
        </is>
      </c>
      <c r="G266" t="inlineStr">
        <is>
          <t xml:space="preserve">Participer à une rencontre de la Association of Labour Relations Agencies </t>
        </is>
      </c>
      <c r="H266" s="1" t="n">
        <v>42664</v>
      </c>
      <c r="I266" s="1" t="n">
        <v>42666</v>
      </c>
      <c r="J266" t="inlineStr">
        <is>
          <t>Washington, DC</t>
        </is>
      </c>
      <c r="K266" t="inlineStr">
        <is>
          <t>Washington, DC</t>
        </is>
      </c>
      <c r="P266" t="n">
        <v>1093.72</v>
      </c>
      <c r="Q266" t="n">
        <v>18.32</v>
      </c>
      <c r="R266" t="n">
        <v>576.6900000000001</v>
      </c>
      <c r="S266" t="n">
        <v>319.85</v>
      </c>
      <c r="U266" t="n">
        <v>2008.58</v>
      </c>
      <c r="X266" t="inlineStr">
        <is>
          <t>atssc-scdata</t>
        </is>
      </c>
      <c r="Y266" t="inlineStr">
        <is>
          <t>Administrative Tribunals Support Service of Canada | Service canadien d'appui aux tribunaux administratifs</t>
        </is>
      </c>
    </row>
    <row r="267">
      <c r="A267" t="inlineStr">
        <is>
          <t>T-2016-Q4-002</t>
        </is>
      </c>
      <c r="B267" t="inlineStr">
        <is>
          <t>SLE</t>
        </is>
      </c>
      <c r="C267" t="inlineStr">
        <is>
          <t xml:space="preserve">A/Chairperson, Canadian International Trade Tribunal </t>
        </is>
      </c>
      <c r="D267" t="inlineStr">
        <is>
          <t xml:space="preserve">Président par intérim, Tribunal Canadien du commerce extérieur </t>
        </is>
      </c>
      <c r="E267" t="inlineStr">
        <is>
          <t>Bédard, Jean</t>
        </is>
      </c>
      <c r="F267" t="inlineStr">
        <is>
          <t xml:space="preserve">Attend the 19th Judicial Conference of the United States Court of International Trade </t>
        </is>
      </c>
      <c r="G267" t="inlineStr">
        <is>
          <t>Participer à la 19e Conférence judiciaire du Tribunal de commerce international des États-Unis</t>
        </is>
      </c>
      <c r="H267" s="1" t="n">
        <v>42694</v>
      </c>
      <c r="I267" s="1" t="n">
        <v>42696</v>
      </c>
      <c r="J267" t="inlineStr">
        <is>
          <t>New York, NY</t>
        </is>
      </c>
      <c r="K267" t="inlineStr">
        <is>
          <t>New York, NY</t>
        </is>
      </c>
      <c r="P267" t="n">
        <v>625.62</v>
      </c>
      <c r="Q267" t="n">
        <v>193.34</v>
      </c>
      <c r="R267" t="n">
        <v>612.34</v>
      </c>
      <c r="S267" t="n">
        <v>346.44</v>
      </c>
      <c r="U267" t="n">
        <v>1777.74</v>
      </c>
      <c r="X267" t="inlineStr">
        <is>
          <t>atssc-scdata</t>
        </is>
      </c>
      <c r="Y267" t="inlineStr">
        <is>
          <t>Administrative Tribunals Support Service of Canada | Service canadien d'appui aux tribunaux administratifs</t>
        </is>
      </c>
    </row>
    <row r="268">
      <c r="A268" t="inlineStr">
        <is>
          <t>T-2016-Q4-003</t>
        </is>
      </c>
      <c r="B268" t="inlineStr">
        <is>
          <t>SLE</t>
        </is>
      </c>
      <c r="C268" t="inlineStr">
        <is>
          <t xml:space="preserve">A/Chairperson, Canadian International Trade Tribunal </t>
        </is>
      </c>
      <c r="D268" t="inlineStr">
        <is>
          <t xml:space="preserve">Président par intérim, Tribunal Canadien du commerce extérieur </t>
        </is>
      </c>
      <c r="E268" t="inlineStr">
        <is>
          <t>Bédard, Jean</t>
        </is>
      </c>
      <c r="F268" t="inlineStr">
        <is>
          <t>Hearing file# NQ-2016-002 &amp; GC-2016-001</t>
        </is>
      </c>
      <c r="G268" t="inlineStr">
        <is>
          <t>Dossier d'audience #NQ-2016-002 &amp; GC-2016-001</t>
        </is>
      </c>
      <c r="H268" s="1" t="n">
        <v>42701</v>
      </c>
      <c r="I268" s="1" t="n">
        <v>42713</v>
      </c>
      <c r="J268" t="inlineStr">
        <is>
          <t>Edmonton, AB</t>
        </is>
      </c>
      <c r="K268" t="inlineStr">
        <is>
          <t>Edmonton, AB</t>
        </is>
      </c>
      <c r="P268" t="n">
        <v>2396.59</v>
      </c>
      <c r="Q268" t="n">
        <v>97.45</v>
      </c>
      <c r="R268" t="n">
        <v>1818.72</v>
      </c>
      <c r="S268" t="n">
        <v>1165.25</v>
      </c>
      <c r="U268" t="n">
        <v>5478.01</v>
      </c>
      <c r="X268" t="inlineStr">
        <is>
          <t>atssc-scdata</t>
        </is>
      </c>
      <c r="Y268" t="inlineStr">
        <is>
          <t>Administrative Tribunals Support Service of Canada | Service canadien d'appui aux tribunaux administratifs</t>
        </is>
      </c>
    </row>
    <row r="269">
      <c r="A269" t="inlineStr">
        <is>
          <t>T-2016-Q4-004</t>
        </is>
      </c>
      <c r="B269" t="inlineStr">
        <is>
          <t>SLE</t>
        </is>
      </c>
      <c r="C269" t="inlineStr">
        <is>
          <t xml:space="preserve">Executive Director, Secretariat to the Canadian Cultural Property Export Review Board    </t>
        </is>
      </c>
      <c r="D269" t="inlineStr">
        <is>
          <t>Directrice exécutive, Secrétariat de la Commission canadienne d’examen des exportations de biens culturels</t>
        </is>
      </c>
      <c r="E269" t="inlineStr">
        <is>
          <t>BISHOP, Delphine</t>
        </is>
      </c>
      <c r="F269" t="inlineStr">
        <is>
          <t xml:space="preserve">Attend the Strategic Planning Retreat and visit Contemporary Art Show in Toronto </t>
        </is>
      </c>
      <c r="G269" t="inlineStr">
        <is>
          <t>Assister à une séance de réflexion sur la planification stratégique et visiter une exposition d'art contemporain à Toronto</t>
        </is>
      </c>
      <c r="H269" s="1" t="n">
        <v>42679</v>
      </c>
      <c r="I269" s="1" t="n">
        <v>42683</v>
      </c>
      <c r="J269" t="inlineStr">
        <is>
          <t>Toronto, ON</t>
        </is>
      </c>
      <c r="K269" t="inlineStr">
        <is>
          <t>Toronto, ON</t>
        </is>
      </c>
      <c r="P269" t="n">
        <v>421.22</v>
      </c>
      <c r="Q269" t="n">
        <v>234.5</v>
      </c>
      <c r="R269" t="n">
        <v>448.92</v>
      </c>
      <c r="S269" t="n">
        <v>291.35</v>
      </c>
      <c r="T269" t="n">
        <v>12</v>
      </c>
      <c r="U269" t="n">
        <v>1407.99</v>
      </c>
      <c r="X269" t="inlineStr">
        <is>
          <t>atssc-scdata</t>
        </is>
      </c>
      <c r="Y269" t="inlineStr">
        <is>
          <t>Administrative Tribunals Support Service of Canada | Service canadien d'appui aux tribunaux administratifs</t>
        </is>
      </c>
    </row>
    <row r="270">
      <c r="A270" t="inlineStr">
        <is>
          <t>T-2016-Q4-006</t>
        </is>
      </c>
      <c r="B270" t="inlineStr">
        <is>
          <t>SLE</t>
        </is>
      </c>
      <c r="C270" t="inlineStr">
        <is>
          <t xml:space="preserve">Executive Director, Secretariat to the Canadian Cultural Property Export Review Board    </t>
        </is>
      </c>
      <c r="D270" t="inlineStr">
        <is>
          <t>Directrice exécutive, Secrétariat de la Commission canadienne d’examen des exportations de biens culturels</t>
        </is>
      </c>
      <c r="E270" t="inlineStr">
        <is>
          <t>BISHOP, Delphine</t>
        </is>
      </c>
      <c r="F270" t="inlineStr">
        <is>
          <t xml:space="preserve">Attend the Summit on the Value of Library, Archives and Museums in a Changing World </t>
        </is>
      </c>
      <c r="G270" t="inlineStr">
        <is>
          <t>Participer au sommet sur la valeur des bibliothèques, des archives et des musées dans un monde en mouvement</t>
        </is>
      </c>
      <c r="H270" s="1" t="n">
        <v>42710</v>
      </c>
      <c r="I270" s="1" t="n">
        <v>42710</v>
      </c>
      <c r="J270" t="inlineStr">
        <is>
          <t xml:space="preserve">Ottawa, ON </t>
        </is>
      </c>
      <c r="K270" t="inlineStr">
        <is>
          <t xml:space="preserve">Ottawa, ON </t>
        </is>
      </c>
      <c r="Q270" t="n">
        <v>12</v>
      </c>
      <c r="U270" t="n">
        <v>12</v>
      </c>
      <c r="X270" t="inlineStr">
        <is>
          <t>atssc-scdata</t>
        </is>
      </c>
      <c r="Y270" t="inlineStr">
        <is>
          <t>Administrative Tribunals Support Service of Canada | Service canadien d'appui aux tribunaux administratifs</t>
        </is>
      </c>
    </row>
    <row r="271">
      <c r="A271" t="inlineStr">
        <is>
          <t>T-2016-Q4-008</t>
        </is>
      </c>
      <c r="B271" t="inlineStr">
        <is>
          <t>SLE</t>
        </is>
      </c>
      <c r="C271" t="inlineStr">
        <is>
          <t xml:space="preserve">Executive Director, Secretariat to the Canadian Cultural Property Export Review Board    </t>
        </is>
      </c>
      <c r="D271" t="inlineStr">
        <is>
          <t>Directrice exécutive, Secrétariat de la Commission canadienne d’examen des exportations de biens culturels</t>
        </is>
      </c>
      <c r="E271" t="inlineStr">
        <is>
          <t>BISHOP, Delphine</t>
        </is>
      </c>
      <c r="F271" t="inlineStr">
        <is>
          <t>Attend the opening of Hornstein Pavillon at the Montréal Museum of Fine Arts</t>
        </is>
      </c>
      <c r="G271" t="inlineStr">
        <is>
          <t>Assister à l'ouverture du Pavillon Hornstein au Musée des beaux-arts de Montréal</t>
        </is>
      </c>
      <c r="H271" s="1" t="n">
        <v>42690</v>
      </c>
      <c r="I271" s="1" t="n">
        <v>42690</v>
      </c>
      <c r="J271" t="inlineStr">
        <is>
          <t>Montréal, QC</t>
        </is>
      </c>
      <c r="K271" t="inlineStr">
        <is>
          <t>Montréal, QC</t>
        </is>
      </c>
      <c r="Q271" t="n">
        <v>13.5</v>
      </c>
      <c r="U271" t="n">
        <v>13.5</v>
      </c>
      <c r="X271" t="inlineStr">
        <is>
          <t>atssc-scdata</t>
        </is>
      </c>
      <c r="Y271" t="inlineStr">
        <is>
          <t>Administrative Tribunals Support Service of Canada | Service canadien d'appui aux tribunaux administratifs</t>
        </is>
      </c>
    </row>
    <row r="272">
      <c r="A272" t="inlineStr">
        <is>
          <t>T-2017-Q3-010</t>
        </is>
      </c>
      <c r="B272" t="inlineStr">
        <is>
          <t>SLE</t>
        </is>
      </c>
      <c r="C272" t="inlineStr">
        <is>
          <t xml:space="preserve">Chairperson, Canada Industrial Relations Board     </t>
        </is>
      </c>
      <c r="D272" t="inlineStr">
        <is>
          <t>Présidente, Conseil canadien des relations industrielles</t>
        </is>
      </c>
      <c r="E272" t="inlineStr">
        <is>
          <t>Ginette Brazeau</t>
        </is>
      </c>
      <c r="F272" t="inlineStr">
        <is>
          <t>Hearing file #42594</t>
        </is>
      </c>
      <c r="G272" t="inlineStr">
        <is>
          <t>Dossier d'audience #42594</t>
        </is>
      </c>
      <c r="H272" s="1" t="n">
        <v>43003</v>
      </c>
      <c r="I272" s="1" t="n">
        <v>43005</v>
      </c>
      <c r="J272" t="inlineStr">
        <is>
          <t>Toronto, ON</t>
        </is>
      </c>
      <c r="K272" t="inlineStr">
        <is>
          <t>Toronto, ON</t>
        </is>
      </c>
      <c r="Q272" t="n">
        <v>250.31</v>
      </c>
      <c r="R272" t="n">
        <v>1133.9</v>
      </c>
      <c r="S272" t="n">
        <v>243.9</v>
      </c>
      <c r="U272" t="n">
        <v>1628.11</v>
      </c>
      <c r="X272" t="inlineStr">
        <is>
          <t>atssc-scdata</t>
        </is>
      </c>
      <c r="Y272" t="inlineStr">
        <is>
          <t>Administrative Tribunals Support Service of Canada | Service canadien d'appui aux tribunaux administratifs</t>
        </is>
      </c>
    </row>
    <row r="273">
      <c r="A273" t="inlineStr">
        <is>
          <t>T-2016-Q4-010</t>
        </is>
      </c>
      <c r="B273" t="inlineStr">
        <is>
          <t>SLE</t>
        </is>
      </c>
      <c r="C273" t="inlineStr">
        <is>
          <t xml:space="preserve">Executive Director, Secretariat to the Canadian Cultural Property Export Review Board    </t>
        </is>
      </c>
      <c r="D273" t="inlineStr">
        <is>
          <t>Directrice exécutive, Secrétariat de la Commission canadienne d’examen des exportations de biens culturels</t>
        </is>
      </c>
      <c r="E273" t="inlineStr">
        <is>
          <t>BISHOP, Delphine</t>
        </is>
      </c>
      <c r="F273" t="inlineStr">
        <is>
          <t>Attend the media event of Roué Collection at the Canadian Museum of History</t>
        </is>
      </c>
      <c r="G273" t="inlineStr">
        <is>
          <t>Assister à l'événement médiatique de la collection Roué au Musée canadien de l'histoire</t>
        </is>
      </c>
      <c r="H273" s="1" t="n">
        <v>42670</v>
      </c>
      <c r="I273" s="1" t="n">
        <v>42670</v>
      </c>
      <c r="J273" t="inlineStr">
        <is>
          <t>Gatineau, QC</t>
        </is>
      </c>
      <c r="K273" t="inlineStr">
        <is>
          <t>Gatineau, QC</t>
        </is>
      </c>
      <c r="Q273" t="n">
        <v>12.5</v>
      </c>
      <c r="U273" t="n">
        <v>12.5</v>
      </c>
      <c r="X273" t="inlineStr">
        <is>
          <t>atssc-scdata</t>
        </is>
      </c>
      <c r="Y273" t="inlineStr">
        <is>
          <t>Administrative Tribunals Support Service of Canada | Service canadien d'appui aux tribunaux administratifs</t>
        </is>
      </c>
    </row>
    <row r="274">
      <c r="A274" t="inlineStr">
        <is>
          <t>T-2016-Q4-011</t>
        </is>
      </c>
      <c r="B274" t="inlineStr">
        <is>
          <t>SLE</t>
        </is>
      </c>
      <c r="C274" t="inlineStr">
        <is>
          <t xml:space="preserve">Executive Director, Secretariat to the Canadian Cultural Property Export Review Board    </t>
        </is>
      </c>
      <c r="D274" t="inlineStr">
        <is>
          <t>Directrice exécutive, Secrétariat de la Commission canadienne d’examen des exportations de biens culturels</t>
        </is>
      </c>
      <c r="E274" t="inlineStr">
        <is>
          <t>BISHOP, Delphine</t>
        </is>
      </c>
      <c r="F274" t="inlineStr">
        <is>
          <t>Attend a Senior Management Committee meeting</t>
        </is>
      </c>
      <c r="G274" t="inlineStr">
        <is>
          <t>Participer à une rencontre du comité de la haute direction</t>
        </is>
      </c>
      <c r="H274" s="1" t="n">
        <v>42669</v>
      </c>
      <c r="I274" s="1" t="n">
        <v>42669</v>
      </c>
      <c r="J274" t="inlineStr">
        <is>
          <t>Ottawa, ON</t>
        </is>
      </c>
      <c r="K274" t="inlineStr">
        <is>
          <t>Ottawa, ON</t>
        </is>
      </c>
      <c r="Q274" t="n">
        <v>20</v>
      </c>
      <c r="U274" t="n">
        <v>20</v>
      </c>
      <c r="X274" t="inlineStr">
        <is>
          <t>atssc-scdata</t>
        </is>
      </c>
      <c r="Y274" t="inlineStr">
        <is>
          <t>Administrative Tribunals Support Service of Canada | Service canadien d'appui aux tribunaux administratifs</t>
        </is>
      </c>
    </row>
    <row r="275">
      <c r="A275" t="inlineStr">
        <is>
          <t>T-2016-Q4-012</t>
        </is>
      </c>
      <c r="B275" t="inlineStr">
        <is>
          <t>SLE</t>
        </is>
      </c>
      <c r="C275" t="inlineStr">
        <is>
          <t xml:space="preserve">Executive Director, Secretariat to the Canadian Cultural Property Export Review Board    </t>
        </is>
      </c>
      <c r="D275" t="inlineStr">
        <is>
          <t>Directrice exécutive, Secrétariat de la Commission canadienne d’examen des exportations de biens culturels</t>
        </is>
      </c>
      <c r="E275" t="inlineStr">
        <is>
          <t>BISHOP, Delphine</t>
        </is>
      </c>
      <c r="F275" t="inlineStr">
        <is>
          <t>Attend the Opening of the Canadian Photography Institute at the National Gallery of Canada</t>
        </is>
      </c>
      <c r="G275" t="inlineStr">
        <is>
          <t xml:space="preserve">Assister à l'ouverture de l'Institut canadienne de photographie au Musée des beaux-arts du Canada </t>
        </is>
      </c>
      <c r="H275" s="1" t="n">
        <v>42669</v>
      </c>
      <c r="I275" s="1" t="n">
        <v>42669</v>
      </c>
      <c r="J275" t="inlineStr">
        <is>
          <t>Ottawa, ON</t>
        </is>
      </c>
      <c r="K275" t="inlineStr">
        <is>
          <t>Ottawa, ON</t>
        </is>
      </c>
      <c r="Q275" t="n">
        <v>11</v>
      </c>
      <c r="U275" t="n">
        <v>11</v>
      </c>
      <c r="X275" t="inlineStr">
        <is>
          <t>atssc-scdata</t>
        </is>
      </c>
      <c r="Y275" t="inlineStr">
        <is>
          <t>Administrative Tribunals Support Service of Canada | Service canadien d'appui aux tribunaux administratifs</t>
        </is>
      </c>
    </row>
    <row r="276">
      <c r="A276" t="inlineStr">
        <is>
          <t>T-2016-Q4-013</t>
        </is>
      </c>
      <c r="B276" t="inlineStr">
        <is>
          <t>SLE</t>
        </is>
      </c>
      <c r="C276" t="inlineStr">
        <is>
          <t xml:space="preserve">Chairperson, Canadian Cultural Property Export Review Board    </t>
        </is>
      </c>
      <c r="D276" t="inlineStr">
        <is>
          <t>Président, Commission canadienne d’examen des exportations de biens culturels</t>
        </is>
      </c>
      <c r="E276" t="inlineStr">
        <is>
          <t>BLOOM, Glen A</t>
        </is>
      </c>
      <c r="F276" t="inlineStr">
        <is>
          <t>To attend a meeting with the Art Gallery of Hamilton</t>
        </is>
      </c>
      <c r="G276" t="inlineStr">
        <is>
          <t>Assister à une rencontre avec la Art Gallery of Hamilton</t>
        </is>
      </c>
      <c r="H276" s="1" t="n">
        <v>42660</v>
      </c>
      <c r="I276" s="1" t="n">
        <v>42664</v>
      </c>
      <c r="J276" t="inlineStr">
        <is>
          <t>Hamilton, ON</t>
        </is>
      </c>
      <c r="K276" t="inlineStr">
        <is>
          <t>Hamilton, ON</t>
        </is>
      </c>
      <c r="Q276" t="n">
        <v>550.17</v>
      </c>
      <c r="R276" t="n">
        <v>465.54</v>
      </c>
      <c r="S276" t="n">
        <v>308.6</v>
      </c>
      <c r="U276" t="n">
        <v>1324.31</v>
      </c>
      <c r="X276" t="inlineStr">
        <is>
          <t>atssc-scdata</t>
        </is>
      </c>
      <c r="Y276" t="inlineStr">
        <is>
          <t>Administrative Tribunals Support Service of Canada | Service canadien d'appui aux tribunaux administratifs</t>
        </is>
      </c>
    </row>
    <row r="277">
      <c r="A277" t="inlineStr">
        <is>
          <t>T-2016-Q4-015</t>
        </is>
      </c>
      <c r="B277" t="inlineStr">
        <is>
          <t>SLE</t>
        </is>
      </c>
      <c r="C277" t="inlineStr">
        <is>
          <t xml:space="preserve">Chairperson, Canadian Cultural Property Export Review Board    </t>
        </is>
      </c>
      <c r="D277" t="inlineStr">
        <is>
          <t>Président, Commission canadienne d’examen des exportations de biens culturels</t>
        </is>
      </c>
      <c r="E277" t="inlineStr">
        <is>
          <t>BLOOM, Glen A</t>
        </is>
      </c>
      <c r="F277" t="inlineStr">
        <is>
          <t>Attend the strategic planning retreat in Toronto</t>
        </is>
      </c>
      <c r="G277" t="inlineStr">
        <is>
          <t>Assister à une séance de réflexion sur la planification stratégique à Toronto</t>
        </is>
      </c>
      <c r="H277" s="1" t="n">
        <v>42680</v>
      </c>
      <c r="I277" s="1" t="n">
        <v>42682</v>
      </c>
      <c r="J277" t="inlineStr">
        <is>
          <t>Toronto, ON</t>
        </is>
      </c>
      <c r="K277" t="inlineStr">
        <is>
          <t>Toronto, ON</t>
        </is>
      </c>
      <c r="Q277" t="n">
        <v>437.75</v>
      </c>
      <c r="R277" t="n">
        <v>299.28</v>
      </c>
      <c r="S277" t="n">
        <v>159.95</v>
      </c>
      <c r="U277" t="n">
        <v>896.98</v>
      </c>
      <c r="X277" t="inlineStr">
        <is>
          <t>atssc-scdata</t>
        </is>
      </c>
      <c r="Y277" t="inlineStr">
        <is>
          <t>Administrative Tribunals Support Service of Canada | Service canadien d'appui aux tribunaux administratifs</t>
        </is>
      </c>
    </row>
    <row r="278">
      <c r="A278" t="inlineStr">
        <is>
          <t>T-2016-Q4-016</t>
        </is>
      </c>
      <c r="B278" t="inlineStr">
        <is>
          <t>SLE</t>
        </is>
      </c>
      <c r="C278" t="inlineStr">
        <is>
          <t xml:space="preserve">Chairperson, Canadian Cultural Property Export Review Board    </t>
        </is>
      </c>
      <c r="D278" t="inlineStr">
        <is>
          <t>Président, Commission canadienne d’examen des exportations de biens culturels</t>
        </is>
      </c>
      <c r="E278" t="inlineStr">
        <is>
          <t>BLOOM, Glen A</t>
        </is>
      </c>
      <c r="F278" t="inlineStr">
        <is>
          <t>Attend the Chairperson's forum in Ottawa</t>
        </is>
      </c>
      <c r="G278" t="inlineStr">
        <is>
          <t>Assister au forum de la présidente à Ottawa</t>
        </is>
      </c>
      <c r="H278" s="1" t="n">
        <v>42691</v>
      </c>
      <c r="I278" s="1" t="n">
        <v>42692</v>
      </c>
      <c r="J278" t="inlineStr">
        <is>
          <t>Ottawa, ON</t>
        </is>
      </c>
      <c r="K278" t="inlineStr">
        <is>
          <t>Ottawa, ON</t>
        </is>
      </c>
      <c r="Q278" t="n">
        <v>117.51</v>
      </c>
      <c r="R278" t="n">
        <v>186.22</v>
      </c>
      <c r="S278" t="n">
        <v>114.4</v>
      </c>
      <c r="U278" t="n">
        <v>418.13</v>
      </c>
      <c r="X278" t="inlineStr">
        <is>
          <t>atssc-scdata</t>
        </is>
      </c>
      <c r="Y278" t="inlineStr">
        <is>
          <t>Administrative Tribunals Support Service of Canada | Service canadien d'appui aux tribunaux administratifs</t>
        </is>
      </c>
    </row>
    <row r="279">
      <c r="A279" t="inlineStr">
        <is>
          <t>T-2016-Q4-017</t>
        </is>
      </c>
      <c r="B279" t="inlineStr">
        <is>
          <t>SLE</t>
        </is>
      </c>
      <c r="C279" t="inlineStr">
        <is>
          <t xml:space="preserve">Chairperson, Canadian Cultural Property Export Review Board    </t>
        </is>
      </c>
      <c r="D279" t="inlineStr">
        <is>
          <t>Président, Commission canadienne d’examen des exportations de biens culturels</t>
        </is>
      </c>
      <c r="E279" t="inlineStr">
        <is>
          <t>BLOOM, Glen A</t>
        </is>
      </c>
      <c r="F279" t="inlineStr">
        <is>
          <t>Attend meeting with Beaverbrook Art Gallery, Confederation Center Art Gallery and Art Gallery of Nova Scotia</t>
        </is>
      </c>
      <c r="G279" t="inlineStr">
        <is>
          <t>Assister à une rencontre avec la Beaverbrook Art Gallery, la Confederation Centre Art Gallery et la Art Gallery of Nova Scotia</t>
        </is>
      </c>
      <c r="H279" s="1" t="n">
        <v>42694</v>
      </c>
      <c r="I279" s="1" t="n">
        <v>42698</v>
      </c>
      <c r="J279" t="inlineStr">
        <is>
          <t>Halifax, NÉ</t>
        </is>
      </c>
      <c r="K279" t="inlineStr">
        <is>
          <t>Halifax, NS</t>
        </is>
      </c>
      <c r="Q279" t="n">
        <v>733.5700000000001</v>
      </c>
      <c r="R279" t="n">
        <v>558.27</v>
      </c>
      <c r="S279" t="n">
        <v>388.45</v>
      </c>
      <c r="U279" t="n">
        <v>1680.29</v>
      </c>
      <c r="X279" t="inlineStr">
        <is>
          <t>atssc-scdata</t>
        </is>
      </c>
      <c r="Y279" t="inlineStr">
        <is>
          <t>Administrative Tribunals Support Service of Canada | Service canadien d'appui aux tribunaux administratifs</t>
        </is>
      </c>
    </row>
    <row r="280">
      <c r="A280" t="inlineStr">
        <is>
          <t>T-2016-Q4-018</t>
        </is>
      </c>
      <c r="B280" t="inlineStr">
        <is>
          <t>SLE</t>
        </is>
      </c>
      <c r="C280" t="inlineStr">
        <is>
          <t xml:space="preserve">Chairperson, Canadian Cultural Property Export Review Board    </t>
        </is>
      </c>
      <c r="D280" t="inlineStr">
        <is>
          <t>Président, Commission canadienne d’examen des exportations de biens culturels</t>
        </is>
      </c>
      <c r="E280" t="inlineStr">
        <is>
          <t>BLOOM, Glen A</t>
        </is>
      </c>
      <c r="F280" t="inlineStr">
        <is>
          <t>Attend a preparation day for the CCPERB board meeting</t>
        </is>
      </c>
      <c r="G280" t="inlineStr">
        <is>
          <t>Assister à une journée préparatoire de la rencontre des membre de CCEEBC</t>
        </is>
      </c>
      <c r="H280" s="1" t="n">
        <v>42702</v>
      </c>
      <c r="I280" s="1" t="n">
        <v>42704</v>
      </c>
      <c r="J280" t="inlineStr">
        <is>
          <t>Gatineau, QC</t>
        </is>
      </c>
      <c r="K280" t="inlineStr">
        <is>
          <t>Gatineau, QC</t>
        </is>
      </c>
      <c r="Q280" t="n">
        <v>54.28</v>
      </c>
      <c r="R280" t="n">
        <v>345.1</v>
      </c>
      <c r="S280" t="n">
        <v>159.95</v>
      </c>
      <c r="U280" t="n">
        <v>559.33</v>
      </c>
      <c r="X280" t="inlineStr">
        <is>
          <t>atssc-scdata</t>
        </is>
      </c>
      <c r="Y280" t="inlineStr">
        <is>
          <t>Administrative Tribunals Support Service of Canada | Service canadien d'appui aux tribunaux administratifs</t>
        </is>
      </c>
    </row>
    <row r="281">
      <c r="A281" t="inlineStr">
        <is>
          <t>T-2016-Q4-019</t>
        </is>
      </c>
      <c r="B281" t="inlineStr">
        <is>
          <t>SLE</t>
        </is>
      </c>
      <c r="C281" t="inlineStr">
        <is>
          <t xml:space="preserve">Chairperson, Canadian Cultural Property Export Review Board    </t>
        </is>
      </c>
      <c r="D281" t="inlineStr">
        <is>
          <t>Président, Commission canadienne d’examen des exportations de biens culturels</t>
        </is>
      </c>
      <c r="E281" t="inlineStr">
        <is>
          <t>BLOOM, Glen A</t>
        </is>
      </c>
      <c r="F281" t="inlineStr">
        <is>
          <t>Attend the Ontario Association of Art Galleries workshop</t>
        </is>
      </c>
      <c r="G281" t="inlineStr">
        <is>
          <t>Participer à un atelier de l'Association ontarienne des galeries d'art</t>
        </is>
      </c>
      <c r="H281" s="1" t="n">
        <v>42704</v>
      </c>
      <c r="I281" s="1" t="n">
        <v>42706</v>
      </c>
      <c r="J281" t="inlineStr">
        <is>
          <t>Mississauga, ON</t>
        </is>
      </c>
      <c r="K281" t="inlineStr">
        <is>
          <t>Mississauga, ON</t>
        </is>
      </c>
      <c r="Q281" t="n">
        <v>544.2</v>
      </c>
      <c r="R281" t="n">
        <v>291.08</v>
      </c>
      <c r="S281" t="n">
        <v>245.75</v>
      </c>
      <c r="U281" t="n">
        <v>1081.03</v>
      </c>
      <c r="X281" t="inlineStr">
        <is>
          <t>atssc-scdata</t>
        </is>
      </c>
      <c r="Y281" t="inlineStr">
        <is>
          <t>Administrative Tribunals Support Service of Canada | Service canadien d'appui aux tribunaux administratifs</t>
        </is>
      </c>
    </row>
    <row r="282">
      <c r="A282" t="inlineStr">
        <is>
          <t>T-2016-Q4-020</t>
        </is>
      </c>
      <c r="B282" t="inlineStr">
        <is>
          <t>SLE</t>
        </is>
      </c>
      <c r="C282" t="inlineStr">
        <is>
          <t xml:space="preserve">Chairperson, Canadian Cultural Property Export Review Board    </t>
        </is>
      </c>
      <c r="D282" t="inlineStr">
        <is>
          <t>Président, Commission canadienne d’examen des exportations de biens culturels</t>
        </is>
      </c>
      <c r="E282" t="inlineStr">
        <is>
          <t>BLOOM, Glen A</t>
        </is>
      </c>
      <c r="F282" t="inlineStr">
        <is>
          <t>Attend the Summit on the Value of Library, Archives and Museums in a Changing world</t>
        </is>
      </c>
      <c r="G282" t="inlineStr">
        <is>
          <t>Assister au sommet sur la valeur des bibliothèques, des archives et des musées dans un monde en mouvement</t>
        </is>
      </c>
      <c r="H282" s="1" t="n">
        <v>42709</v>
      </c>
      <c r="I282" s="1" t="n">
        <v>42711</v>
      </c>
      <c r="J282" t="inlineStr">
        <is>
          <t>Ottawa, ON</t>
        </is>
      </c>
      <c r="K282" t="inlineStr">
        <is>
          <t>Ottawa, ON</t>
        </is>
      </c>
      <c r="Q282" t="n">
        <v>105.05</v>
      </c>
      <c r="R282" t="n">
        <v>179.24</v>
      </c>
      <c r="S282" t="n">
        <v>177.2</v>
      </c>
      <c r="U282" t="n">
        <v>461.49</v>
      </c>
      <c r="X282" t="inlineStr">
        <is>
          <t>atssc-scdata</t>
        </is>
      </c>
      <c r="Y282" t="inlineStr">
        <is>
          <t>Administrative Tribunals Support Service of Canada | Service canadien d'appui aux tribunaux administratifs</t>
        </is>
      </c>
    </row>
    <row r="283">
      <c r="A283" t="inlineStr">
        <is>
          <t>T-2016-Q4-021</t>
        </is>
      </c>
      <c r="B283" t="inlineStr">
        <is>
          <t>SLE</t>
        </is>
      </c>
      <c r="C283" t="inlineStr">
        <is>
          <t xml:space="preserve">Chairperson, Canadian Cultural Property Export Review Board    </t>
        </is>
      </c>
      <c r="D283" t="inlineStr">
        <is>
          <t>Président, Commission canadienne d’examen des exportations de biens culturels</t>
        </is>
      </c>
      <c r="E283" t="inlineStr">
        <is>
          <t>BLOOM, Glen A</t>
        </is>
      </c>
      <c r="F283" t="inlineStr">
        <is>
          <t>Attend the CCPERB meeting</t>
        </is>
      </c>
      <c r="G283" t="inlineStr">
        <is>
          <t>Assister à la réunion de CCEEBC</t>
        </is>
      </c>
      <c r="H283" s="1" t="n">
        <v>42717</v>
      </c>
      <c r="I283" s="1" t="n">
        <v>42720</v>
      </c>
      <c r="J283" t="inlineStr">
        <is>
          <t>Ottawa, ON</t>
        </is>
      </c>
      <c r="K283" t="inlineStr">
        <is>
          <t>Ottawa, ON</t>
        </is>
      </c>
      <c r="Q283" t="n">
        <v>122.05</v>
      </c>
      <c r="R283" t="n">
        <v>537.72</v>
      </c>
      <c r="S283" t="n">
        <v>308.6</v>
      </c>
      <c r="U283" t="n">
        <v>968.37</v>
      </c>
      <c r="X283" t="inlineStr">
        <is>
          <t>atssc-scdata</t>
        </is>
      </c>
      <c r="Y283" t="inlineStr">
        <is>
          <t>Administrative Tribunals Support Service of Canada | Service canadien d'appui aux tribunaux administratifs</t>
        </is>
      </c>
    </row>
    <row r="284">
      <c r="A284" t="inlineStr">
        <is>
          <t>T-2016-Q4-023</t>
        </is>
      </c>
      <c r="B284" t="inlineStr">
        <is>
          <t>SLE</t>
        </is>
      </c>
      <c r="C284" t="inlineStr">
        <is>
          <t xml:space="preserve">Chairperson, Canada Industrial Relations Board     </t>
        </is>
      </c>
      <c r="D284" t="inlineStr">
        <is>
          <t>Présidente, Conseil canadien des relations industrielles</t>
        </is>
      </c>
      <c r="E284" t="inlineStr">
        <is>
          <t>Brazeau, Ginette</t>
        </is>
      </c>
      <c r="F284" t="inlineStr">
        <is>
          <t>Meeting with Labour Canada</t>
        </is>
      </c>
      <c r="G284" t="inlineStr">
        <is>
          <t>Rencontre avec Travail Canada</t>
        </is>
      </c>
      <c r="H284" s="1" t="n">
        <v>42759</v>
      </c>
      <c r="I284" s="1" t="n">
        <v>42759</v>
      </c>
      <c r="J284" t="inlineStr">
        <is>
          <t>Ottawa, ON</t>
        </is>
      </c>
      <c r="K284" t="inlineStr">
        <is>
          <t>Ottawa, ON</t>
        </is>
      </c>
      <c r="Q284" t="n">
        <v>10</v>
      </c>
      <c r="U284" t="n">
        <v>10</v>
      </c>
      <c r="X284" t="inlineStr">
        <is>
          <t>atssc-scdata</t>
        </is>
      </c>
      <c r="Y284" t="inlineStr">
        <is>
          <t>Administrative Tribunals Support Service of Canada | Service canadien d'appui aux tribunaux administratifs</t>
        </is>
      </c>
    </row>
    <row r="285">
      <c r="A285" t="inlineStr">
        <is>
          <t>T-2016-Q4-024</t>
        </is>
      </c>
      <c r="B285" t="inlineStr">
        <is>
          <t>SLE</t>
        </is>
      </c>
      <c r="C285" t="inlineStr">
        <is>
          <t xml:space="preserve">Chairperson, Canada Industrial Relations Board     </t>
        </is>
      </c>
      <c r="D285" t="inlineStr">
        <is>
          <t>Présidente, Conseil canadien des relations industrielles</t>
        </is>
      </c>
      <c r="E285" t="inlineStr">
        <is>
          <t>Brazeau, Ginette</t>
        </is>
      </c>
      <c r="F285" t="inlineStr">
        <is>
          <t>Attend the National Labour Arbitration Competition in Toronto</t>
        </is>
      </c>
      <c r="G285" t="inlineStr">
        <is>
          <t>Assister au concours national d'arbitrage en droit du travail à Toronto</t>
        </is>
      </c>
      <c r="H285" s="1" t="n">
        <v>42763</v>
      </c>
      <c r="I285" s="1" t="n">
        <v>42764</v>
      </c>
      <c r="J285" t="inlineStr">
        <is>
          <t>Toronto, ON</t>
        </is>
      </c>
      <c r="K285" t="inlineStr">
        <is>
          <t>Toronto, ON</t>
        </is>
      </c>
      <c r="P285" t="n">
        <v>320.82</v>
      </c>
      <c r="Q285" t="n">
        <v>60</v>
      </c>
      <c r="R285" t="n">
        <v>146.9</v>
      </c>
      <c r="S285" t="n">
        <v>34.6</v>
      </c>
      <c r="U285" t="n">
        <v>562.3200000000001</v>
      </c>
      <c r="X285" t="inlineStr">
        <is>
          <t>atssc-scdata</t>
        </is>
      </c>
      <c r="Y285" t="inlineStr">
        <is>
          <t>Administrative Tribunals Support Service of Canada | Service canadien d'appui aux tribunaux administratifs</t>
        </is>
      </c>
    </row>
    <row r="286">
      <c r="A286" t="inlineStr">
        <is>
          <t>T-2016-Q4-025</t>
        </is>
      </c>
      <c r="B286" t="inlineStr">
        <is>
          <t>SLE</t>
        </is>
      </c>
      <c r="C286" t="inlineStr">
        <is>
          <t xml:space="preserve">Chairperson, Canada Industrial Relations Board     </t>
        </is>
      </c>
      <c r="D286" t="inlineStr">
        <is>
          <t>Présidente, Conseil canadien des relations industrielles</t>
        </is>
      </c>
      <c r="E286" t="inlineStr">
        <is>
          <t>Brazeau, Ginette</t>
        </is>
      </c>
      <c r="F286" t="inlineStr">
        <is>
          <t>Hearing file #31946-C</t>
        </is>
      </c>
      <c r="G286" t="inlineStr">
        <is>
          <t>Dossier d'audience #31946-C</t>
        </is>
      </c>
      <c r="H286" s="1" t="n">
        <v>42781</v>
      </c>
      <c r="I286" s="1" t="n">
        <v>42782</v>
      </c>
      <c r="J286" t="inlineStr">
        <is>
          <t>Montreal, QC</t>
        </is>
      </c>
      <c r="K286" t="inlineStr">
        <is>
          <t>Montreal, QC</t>
        </is>
      </c>
      <c r="Q286" t="n">
        <v>214.7</v>
      </c>
      <c r="R286" t="n">
        <v>165.41</v>
      </c>
      <c r="S286" t="n">
        <v>68.84999999999999</v>
      </c>
      <c r="U286" t="n">
        <v>448.96</v>
      </c>
      <c r="X286" t="inlineStr">
        <is>
          <t>atssc-scdata</t>
        </is>
      </c>
      <c r="Y286" t="inlineStr">
        <is>
          <t>Administrative Tribunals Support Service of Canada | Service canadien d'appui aux tribunaux administratifs</t>
        </is>
      </c>
    </row>
    <row r="287">
      <c r="A287" t="inlineStr">
        <is>
          <t>T-2016-Q4-026</t>
        </is>
      </c>
      <c r="B287" t="inlineStr">
        <is>
          <t>SLE</t>
        </is>
      </c>
      <c r="C287" t="inlineStr">
        <is>
          <t xml:space="preserve">Chairperson, Canada Industrial Relations Board     </t>
        </is>
      </c>
      <c r="D287" t="inlineStr">
        <is>
          <t>Présidente, Conseil canadien des relations industrielles</t>
        </is>
      </c>
      <c r="E287" t="inlineStr">
        <is>
          <t>Brazeau, Ginette</t>
        </is>
      </c>
      <c r="F287" t="inlineStr">
        <is>
          <t>Hearing file #31946C</t>
        </is>
      </c>
      <c r="G287" t="inlineStr">
        <is>
          <t>Dossier d'audience #31946C</t>
        </is>
      </c>
      <c r="H287" s="1" t="n">
        <v>42786</v>
      </c>
      <c r="I287" s="1" t="n">
        <v>42788</v>
      </c>
      <c r="J287" t="inlineStr">
        <is>
          <t>Montreal, QC</t>
        </is>
      </c>
      <c r="K287" t="inlineStr">
        <is>
          <t>Montreal, QC</t>
        </is>
      </c>
      <c r="Q287" t="n">
        <v>237.48</v>
      </c>
      <c r="R287" t="n">
        <v>330.82</v>
      </c>
      <c r="S287" t="n">
        <v>211.5</v>
      </c>
      <c r="U287" t="n">
        <v>779.8</v>
      </c>
      <c r="X287" t="inlineStr">
        <is>
          <t>atssc-scdata</t>
        </is>
      </c>
      <c r="Y287" t="inlineStr">
        <is>
          <t>Administrative Tribunals Support Service of Canada | Service canadien d'appui aux tribunaux administratifs</t>
        </is>
      </c>
    </row>
    <row r="288">
      <c r="A288" t="inlineStr">
        <is>
          <t>T-2016-Q4-027</t>
        </is>
      </c>
      <c r="B288" t="inlineStr">
        <is>
          <t>SLE</t>
        </is>
      </c>
      <c r="C288" t="inlineStr">
        <is>
          <t>Chairperson, Social Security Tribunal</t>
        </is>
      </c>
      <c r="D288" t="inlineStr">
        <is>
          <t>Présidente du Tribunal de la sécurité sociale</t>
        </is>
      </c>
      <c r="E288" t="inlineStr">
        <is>
          <t>Brazeau, Murielle</t>
        </is>
      </c>
      <c r="F288" t="inlineStr">
        <is>
          <t>Meeting with stakeholders</t>
        </is>
      </c>
      <c r="G288" t="inlineStr">
        <is>
          <t>Rencontre avec des intervenants</t>
        </is>
      </c>
      <c r="H288" s="1" t="n">
        <v>42711</v>
      </c>
      <c r="I288" s="1" t="n">
        <v>42713</v>
      </c>
      <c r="J288" t="inlineStr">
        <is>
          <t>Charlottetown,   Î.-P.-É. &amp;  Halifax, NÉ</t>
        </is>
      </c>
      <c r="K288" t="inlineStr">
        <is>
          <t>Charlottetown, P.E.I. &amp; Halifax, NS</t>
        </is>
      </c>
      <c r="P288" t="n">
        <v>867.61</v>
      </c>
      <c r="Q288" t="n">
        <v>53.66</v>
      </c>
      <c r="R288" t="n">
        <v>234.78</v>
      </c>
      <c r="S288" t="n">
        <v>228.75</v>
      </c>
      <c r="U288" t="n">
        <v>1384.8</v>
      </c>
      <c r="X288" t="inlineStr">
        <is>
          <t>atssc-scdata</t>
        </is>
      </c>
      <c r="Y288" t="inlineStr">
        <is>
          <t>Administrative Tribunals Support Service of Canada | Service canadien d'appui aux tribunaux administratifs</t>
        </is>
      </c>
    </row>
    <row r="289">
      <c r="A289" t="inlineStr">
        <is>
          <t>T-2016-Q4-028</t>
        </is>
      </c>
      <c r="B289" t="inlineStr">
        <is>
          <t>SLE</t>
        </is>
      </c>
      <c r="C289" t="inlineStr">
        <is>
          <t>Chairperson, Social Security Tribunal</t>
        </is>
      </c>
      <c r="D289" t="inlineStr">
        <is>
          <t>Présidente du Tribunal de la sécurité sociale</t>
        </is>
      </c>
      <c r="E289" t="inlineStr">
        <is>
          <t>Brazeau, Murielle</t>
        </is>
      </c>
      <c r="F289" t="inlineStr">
        <is>
          <t>To attend training</t>
        </is>
      </c>
      <c r="G289" t="inlineStr">
        <is>
          <t xml:space="preserve">Participer à une formation </t>
        </is>
      </c>
      <c r="H289" s="1" t="n">
        <v>42697</v>
      </c>
      <c r="I289" s="1" t="n">
        <v>42701</v>
      </c>
      <c r="J289" t="inlineStr">
        <is>
          <t>Toronto, ON</t>
        </is>
      </c>
      <c r="K289" t="inlineStr">
        <is>
          <t>Toronto, ON</t>
        </is>
      </c>
      <c r="P289" t="n">
        <v>493.02</v>
      </c>
      <c r="Q289" t="n">
        <v>184.76</v>
      </c>
      <c r="R289" t="n">
        <v>100</v>
      </c>
      <c r="S289" t="n">
        <v>194.55</v>
      </c>
      <c r="U289" t="n">
        <v>972.33</v>
      </c>
      <c r="X289" t="inlineStr">
        <is>
          <t>atssc-scdata</t>
        </is>
      </c>
      <c r="Y289" t="inlineStr">
        <is>
          <t>Administrative Tribunals Support Service of Canada | Service canadien d'appui aux tribunaux administratifs</t>
        </is>
      </c>
    </row>
    <row r="290">
      <c r="A290" t="inlineStr">
        <is>
          <t>T-2016-Q4-029</t>
        </is>
      </c>
      <c r="B290" t="inlineStr">
        <is>
          <t>SLE</t>
        </is>
      </c>
      <c r="C290" t="inlineStr">
        <is>
          <t>Chairperson, Social Security Tribunal</t>
        </is>
      </c>
      <c r="D290" t="inlineStr">
        <is>
          <t>Présidente du Tribunal de la sécurité sociale</t>
        </is>
      </c>
      <c r="E290" t="inlineStr">
        <is>
          <t>Brazeau, Murielle</t>
        </is>
      </c>
      <c r="F290" t="inlineStr">
        <is>
          <t>To attend training</t>
        </is>
      </c>
      <c r="G290" t="inlineStr">
        <is>
          <t xml:space="preserve">Participer à une formation </t>
        </is>
      </c>
      <c r="H290" s="1" t="n">
        <v>42767</v>
      </c>
      <c r="I290" s="1" t="n">
        <v>42771</v>
      </c>
      <c r="J290" t="inlineStr">
        <is>
          <t>Toronto, ON</t>
        </is>
      </c>
      <c r="K290" t="inlineStr">
        <is>
          <t>Toronto, ON</t>
        </is>
      </c>
      <c r="P290" t="n">
        <v>461.49</v>
      </c>
      <c r="Q290" t="n">
        <v>306</v>
      </c>
      <c r="R290" t="n">
        <v>100</v>
      </c>
      <c r="S290" t="n">
        <v>86.5</v>
      </c>
      <c r="U290" t="n">
        <v>953.99</v>
      </c>
      <c r="X290" t="inlineStr">
        <is>
          <t>atssc-scdata</t>
        </is>
      </c>
      <c r="Y290" t="inlineStr">
        <is>
          <t>Administrative Tribunals Support Service of Canada | Service canadien d'appui aux tribunaux administratifs</t>
        </is>
      </c>
    </row>
    <row r="291">
      <c r="A291" t="inlineStr">
        <is>
          <t>T-2016-Q4-030</t>
        </is>
      </c>
      <c r="B291" t="inlineStr">
        <is>
          <t>SLE</t>
        </is>
      </c>
      <c r="C291" t="inlineStr">
        <is>
          <t xml:space="preserve"> Chairperson, Canada Agricultural Review Tribunal       </t>
        </is>
      </c>
      <c r="D291" t="inlineStr">
        <is>
          <t xml:space="preserve"> Président, Commission de révision agricole du Canada</t>
        </is>
      </c>
      <c r="E291" t="inlineStr">
        <is>
          <t>Buckingham, Donald</t>
        </is>
      </c>
      <c r="F291" t="inlineStr">
        <is>
          <t>Attend the University of Ottawa faculty of Law meeting</t>
        </is>
      </c>
      <c r="G291" t="inlineStr">
        <is>
          <t>Participer à une rencontre avec la faculté de droit de l'Université d'Ottawa</t>
        </is>
      </c>
      <c r="H291" s="1" t="n">
        <v>42668</v>
      </c>
      <c r="I291" s="1" t="n">
        <v>42668</v>
      </c>
      <c r="J291" t="inlineStr">
        <is>
          <t>Ottawa, ON</t>
        </is>
      </c>
      <c r="K291" t="inlineStr">
        <is>
          <t>Ottawa, ON</t>
        </is>
      </c>
      <c r="Q291" t="n">
        <v>9</v>
      </c>
      <c r="U291" t="n">
        <v>9</v>
      </c>
      <c r="X291" t="inlineStr">
        <is>
          <t>atssc-scdata</t>
        </is>
      </c>
      <c r="Y291" t="inlineStr">
        <is>
          <t>Administrative Tribunals Support Service of Canada | Service canadien d'appui aux tribunaux administratifs</t>
        </is>
      </c>
    </row>
    <row r="292">
      <c r="A292" t="inlineStr">
        <is>
          <t>T-2016-Q4-031</t>
        </is>
      </c>
      <c r="B292" t="inlineStr">
        <is>
          <t>SLE</t>
        </is>
      </c>
      <c r="C292" t="inlineStr">
        <is>
          <t xml:space="preserve"> Chairperson, Canada Agricultural Review Tribunal       </t>
        </is>
      </c>
      <c r="D292" t="inlineStr">
        <is>
          <t xml:space="preserve"> Président, Commission de révision agricole du Canada</t>
        </is>
      </c>
      <c r="E292" t="inlineStr">
        <is>
          <t>Buckingham, Donald</t>
        </is>
      </c>
      <c r="F292" t="inlineStr">
        <is>
          <t>To attend a meeting of Council of Federal Tribunal Chairs in Gatineau</t>
        </is>
      </c>
      <c r="G292" t="inlineStr">
        <is>
          <t>Rencontre avec le Conseil des présidents des tribunaux fédéraux à Gatineau</t>
        </is>
      </c>
      <c r="H292" s="1" t="n">
        <v>42682</v>
      </c>
      <c r="I292" s="1" t="n">
        <v>42682</v>
      </c>
      <c r="J292" t="inlineStr">
        <is>
          <t>Gatineau, QC</t>
        </is>
      </c>
      <c r="K292" t="inlineStr">
        <is>
          <t>Gatineau, QC</t>
        </is>
      </c>
      <c r="Q292" t="n">
        <v>16</v>
      </c>
      <c r="U292" t="n">
        <v>16</v>
      </c>
      <c r="X292" t="inlineStr">
        <is>
          <t>atssc-scdata</t>
        </is>
      </c>
      <c r="Y292" t="inlineStr">
        <is>
          <t>Administrative Tribunals Support Service of Canada | Service canadien d'appui aux tribunaux administratifs</t>
        </is>
      </c>
    </row>
    <row r="293">
      <c r="A293" t="inlineStr">
        <is>
          <t>T-2016-Q4-032</t>
        </is>
      </c>
      <c r="B293" t="inlineStr">
        <is>
          <t>SLE</t>
        </is>
      </c>
      <c r="C293" t="inlineStr">
        <is>
          <t xml:space="preserve"> Chairperson, Canada Agricultural Review Tribunal       </t>
        </is>
      </c>
      <c r="D293" t="inlineStr">
        <is>
          <t xml:space="preserve"> Président, Commission de révision agricole du Canada</t>
        </is>
      </c>
      <c r="E293" t="inlineStr">
        <is>
          <t>Buckingham, Donald</t>
        </is>
      </c>
      <c r="F293" t="inlineStr">
        <is>
          <t>Hearing file # 1884</t>
        </is>
      </c>
      <c r="G293" t="inlineStr">
        <is>
          <t>Dossier d'audience #1884</t>
        </is>
      </c>
      <c r="H293" s="1" t="n">
        <v>42701</v>
      </c>
      <c r="I293" s="1" t="n">
        <v>42702</v>
      </c>
      <c r="J293" t="inlineStr">
        <is>
          <t>Toronto, ON</t>
        </is>
      </c>
      <c r="K293" t="inlineStr">
        <is>
          <t>Toronto, ON</t>
        </is>
      </c>
      <c r="P293" t="n">
        <v>459.23</v>
      </c>
      <c r="Q293" t="n">
        <v>73.23999999999999</v>
      </c>
      <c r="R293" t="n">
        <v>123.17</v>
      </c>
      <c r="S293" t="n">
        <v>97.40000000000001</v>
      </c>
      <c r="U293" t="n">
        <v>753.04</v>
      </c>
      <c r="X293" t="inlineStr">
        <is>
          <t>atssc-scdata</t>
        </is>
      </c>
      <c r="Y293" t="inlineStr">
        <is>
          <t>Administrative Tribunals Support Service of Canada | Service canadien d'appui aux tribunaux administratifs</t>
        </is>
      </c>
    </row>
    <row r="294">
      <c r="A294" t="inlineStr">
        <is>
          <t>T-2016-Q4-034</t>
        </is>
      </c>
      <c r="B294" t="inlineStr">
        <is>
          <t>SLE</t>
        </is>
      </c>
      <c r="C294" t="inlineStr">
        <is>
          <t xml:space="preserve"> Chairperson, Canada Agricultural Review Tribunal       </t>
        </is>
      </c>
      <c r="D294" t="inlineStr">
        <is>
          <t xml:space="preserve"> Président, Commission de révision agricole du Canada</t>
        </is>
      </c>
      <c r="E294" t="inlineStr">
        <is>
          <t>Buckingham, Donald</t>
        </is>
      </c>
      <c r="F294" t="inlineStr">
        <is>
          <t>Hearing files #1907 &amp;1910</t>
        </is>
      </c>
      <c r="G294" t="inlineStr">
        <is>
          <t>Dossier d'audiences # 1907 &amp; 1910</t>
        </is>
      </c>
      <c r="H294" s="1" t="n">
        <v>42757</v>
      </c>
      <c r="I294" s="1" t="n">
        <v>42758</v>
      </c>
      <c r="J294" t="inlineStr">
        <is>
          <t>Toronto, ON</t>
        </is>
      </c>
      <c r="K294" t="inlineStr">
        <is>
          <t>Toronto, ON</t>
        </is>
      </c>
      <c r="P294" t="n">
        <v>448.05</v>
      </c>
      <c r="Q294" t="n">
        <v>67.17</v>
      </c>
      <c r="R294" t="n">
        <v>123.17</v>
      </c>
      <c r="S294" t="n">
        <v>97.40000000000001</v>
      </c>
      <c r="U294" t="n">
        <v>735.79</v>
      </c>
      <c r="X294" t="inlineStr">
        <is>
          <t>atssc-scdata</t>
        </is>
      </c>
      <c r="Y294" t="inlineStr">
        <is>
          <t>Administrative Tribunals Support Service of Canada | Service canadien d'appui aux tribunaux administratifs</t>
        </is>
      </c>
    </row>
    <row r="295">
      <c r="A295" t="inlineStr">
        <is>
          <t>T-2016-Q4-035</t>
        </is>
      </c>
      <c r="B295" t="inlineStr">
        <is>
          <t>SLE</t>
        </is>
      </c>
      <c r="C295" t="inlineStr">
        <is>
          <t xml:space="preserve"> Chairperson, Public Service Labour Relations and Employment Board Tribunal</t>
        </is>
      </c>
      <c r="D295" t="inlineStr">
        <is>
          <t>Présidente, Tribunal de la commission des relations de travail et de l’emploi dans la fonction publique</t>
        </is>
      </c>
      <c r="E295" t="inlineStr">
        <is>
          <t>Ebbs, Catherine</t>
        </is>
      </c>
      <c r="F295" t="inlineStr">
        <is>
          <t>Hearing file #2015-9651</t>
        </is>
      </c>
      <c r="G295" t="inlineStr">
        <is>
          <t>Dossier d'audience #2015-9651</t>
        </is>
      </c>
      <c r="H295" s="1" t="n">
        <v>42709</v>
      </c>
      <c r="I295" s="1" t="n">
        <v>42712</v>
      </c>
      <c r="J295" t="inlineStr">
        <is>
          <t>Edmonton, AB</t>
        </is>
      </c>
      <c r="K295" t="inlineStr">
        <is>
          <t>Edmonton, AB</t>
        </is>
      </c>
      <c r="P295" t="n">
        <v>2387.55</v>
      </c>
      <c r="Q295" t="n">
        <v>186.3</v>
      </c>
      <c r="R295" t="n">
        <v>334.56</v>
      </c>
      <c r="S295" t="n">
        <v>194.8</v>
      </c>
      <c r="U295" t="n">
        <v>3103.21</v>
      </c>
      <c r="X295" t="inlineStr">
        <is>
          <t>atssc-scdata</t>
        </is>
      </c>
      <c r="Y295" t="inlineStr">
        <is>
          <t>Administrative Tribunals Support Service of Canada | Service canadien d'appui aux tribunaux administratifs</t>
        </is>
      </c>
    </row>
    <row r="296">
      <c r="A296" t="inlineStr">
        <is>
          <t>T-2017-Q3-014</t>
        </is>
      </c>
      <c r="B296" t="inlineStr">
        <is>
          <t>SLE</t>
        </is>
      </c>
      <c r="C296" t="inlineStr">
        <is>
          <t xml:space="preserve">Chairperson, Canada Industrial Relations Board     </t>
        </is>
      </c>
      <c r="D296" t="inlineStr">
        <is>
          <t>Présidente, Conseil canadien des relations industrielles</t>
        </is>
      </c>
      <c r="E296" t="inlineStr">
        <is>
          <t>Ginette Brazeau</t>
        </is>
      </c>
      <c r="F296" t="inlineStr">
        <is>
          <t>Hearing file #42371</t>
        </is>
      </c>
      <c r="G296" t="inlineStr">
        <is>
          <t>Dossier d'audience #42371</t>
        </is>
      </c>
      <c r="H296" s="1" t="n">
        <v>43006</v>
      </c>
      <c r="I296" s="1" t="n">
        <v>43007</v>
      </c>
      <c r="J296" t="inlineStr">
        <is>
          <t>Toronto, ON</t>
        </is>
      </c>
      <c r="K296" t="inlineStr">
        <is>
          <t>Toronto, ON</t>
        </is>
      </c>
      <c r="Q296" t="n">
        <v>334.31</v>
      </c>
      <c r="R296" t="n">
        <v>429.22</v>
      </c>
      <c r="S296" t="n">
        <v>196.9</v>
      </c>
      <c r="U296" t="n">
        <v>960.4299999999999</v>
      </c>
      <c r="X296" t="inlineStr">
        <is>
          <t>atssc-scdata</t>
        </is>
      </c>
      <c r="Y296" t="inlineStr">
        <is>
          <t>Administrative Tribunals Support Service of Canada | Service canadien d'appui aux tribunaux administratifs</t>
        </is>
      </c>
    </row>
    <row r="297">
      <c r="A297" t="inlineStr">
        <is>
          <t>T-2016-Q4-036</t>
        </is>
      </c>
      <c r="B297" t="inlineStr">
        <is>
          <t>SLE</t>
        </is>
      </c>
      <c r="C297" t="inlineStr">
        <is>
          <t xml:space="preserve">Executive Director and General Counsel, Secretariat to the Canada Industrial Relations Board  </t>
        </is>
      </c>
      <c r="D297" t="inlineStr">
        <is>
          <t xml:space="preserve"> Directrice exécutive et avocate générale, Secrétariat du Conseil canadien des relations industrielles </t>
        </is>
      </c>
      <c r="E297" t="inlineStr">
        <is>
          <t>Guilbert, Sylvie</t>
        </is>
      </c>
      <c r="F297" t="inlineStr">
        <is>
          <t>Visit the Regional Office of Winnipeg and meeting with the new Acting Regional Director in Vancouver</t>
        </is>
      </c>
      <c r="G297" t="inlineStr">
        <is>
          <t xml:space="preserve">Visiter le bureau régional de Winnipeg et rencontrer le nouveau directeur régional par intérim à Vancouver </t>
        </is>
      </c>
      <c r="H297" s="1" t="n">
        <v>42709</v>
      </c>
      <c r="I297" s="1" t="n">
        <v>42711</v>
      </c>
      <c r="J297" t="inlineStr">
        <is>
          <t>Winnipeg, MB &amp; Vancouver C.-B.</t>
        </is>
      </c>
      <c r="K297" t="inlineStr">
        <is>
          <t>Winnipeg, MB &amp; Vancouver BC</t>
        </is>
      </c>
      <c r="P297" t="n">
        <v>2411.49</v>
      </c>
      <c r="Q297" t="n">
        <v>134.67</v>
      </c>
      <c r="R297" t="n">
        <v>322.77</v>
      </c>
      <c r="S297" t="n">
        <v>200.2</v>
      </c>
      <c r="U297" t="n">
        <v>3069.13</v>
      </c>
      <c r="X297" t="inlineStr">
        <is>
          <t>atssc-scdata</t>
        </is>
      </c>
      <c r="Y297" t="inlineStr">
        <is>
          <t>Administrative Tribunals Support Service of Canada | Service canadien d'appui aux tribunaux administratifs</t>
        </is>
      </c>
    </row>
    <row r="298">
      <c r="A298" t="inlineStr">
        <is>
          <t>T-2016-Q4-037</t>
        </is>
      </c>
      <c r="B298" t="inlineStr">
        <is>
          <t>SLE</t>
        </is>
      </c>
      <c r="C298" t="inlineStr">
        <is>
          <t xml:space="preserve">Chairperson, Canadian Cultural Property Export Review Board        </t>
        </is>
      </c>
      <c r="D298" t="inlineStr">
        <is>
          <t>Présidente, Commission canadienne d’examen des exportations de biens culturels</t>
        </is>
      </c>
      <c r="E298" t="inlineStr">
        <is>
          <t>Ingram, Sharilyn</t>
        </is>
      </c>
      <c r="F298" t="inlineStr">
        <is>
          <t xml:space="preserve">Attend an orientation session </t>
        </is>
      </c>
      <c r="G298" t="inlineStr">
        <is>
          <t xml:space="preserve">Participer à une séance d'orientation </t>
        </is>
      </c>
      <c r="H298" s="1" t="n">
        <v>42764</v>
      </c>
      <c r="I298" s="1" t="n">
        <v>42765</v>
      </c>
      <c r="J298" t="inlineStr">
        <is>
          <t>Gatineau, QC</t>
        </is>
      </c>
      <c r="K298" t="inlineStr">
        <is>
          <t>Gatineau, QC</t>
        </is>
      </c>
      <c r="P298" t="n">
        <v>434.6</v>
      </c>
      <c r="Q298" t="n">
        <v>235.26</v>
      </c>
      <c r="R298" t="n">
        <v>183.26</v>
      </c>
      <c r="S298" t="n">
        <v>159.95</v>
      </c>
      <c r="U298" t="n">
        <v>1013.07</v>
      </c>
      <c r="X298" t="inlineStr">
        <is>
          <t>atssc-scdata</t>
        </is>
      </c>
      <c r="Y298" t="inlineStr">
        <is>
          <t>Administrative Tribunals Support Service of Canada | Service canadien d'appui aux tribunaux administratifs</t>
        </is>
      </c>
    </row>
    <row r="299">
      <c r="A299" t="inlineStr">
        <is>
          <t>T-2016-Q4-038</t>
        </is>
      </c>
      <c r="B299" t="inlineStr">
        <is>
          <t>SLE</t>
        </is>
      </c>
      <c r="C299" t="inlineStr">
        <is>
          <t xml:space="preserve">Chairperson, Canadian Cultural Property Export Review Board        </t>
        </is>
      </c>
      <c r="D299" t="inlineStr">
        <is>
          <t>Présidente, Commission canadienne d’examen des exportations de biens culturels</t>
        </is>
      </c>
      <c r="E299" t="inlineStr">
        <is>
          <t>Ingram, Sharilyn</t>
        </is>
      </c>
      <c r="F299" t="inlineStr">
        <is>
          <t xml:space="preserve">Attend the Chair Orientation and Retreat </t>
        </is>
      </c>
      <c r="G299" t="inlineStr">
        <is>
          <t xml:space="preserve">Participer à une séance d'orientation et de réflexion de la présidente </t>
        </is>
      </c>
      <c r="H299" s="1" t="n">
        <v>42767</v>
      </c>
      <c r="I299" s="1" t="n">
        <v>42769</v>
      </c>
      <c r="J299" t="inlineStr">
        <is>
          <t xml:space="preserve"> Gatineau, QC &amp; Ottawa, ON</t>
        </is>
      </c>
      <c r="K299" t="inlineStr">
        <is>
          <t xml:space="preserve"> Gatineau, QC &amp; Ottawa, ON</t>
        </is>
      </c>
      <c r="P299" t="n">
        <v>538.33</v>
      </c>
      <c r="Q299" t="n">
        <v>228.26</v>
      </c>
      <c r="R299" t="n">
        <v>363.14</v>
      </c>
      <c r="S299" t="n">
        <v>211.5</v>
      </c>
      <c r="U299" t="n">
        <v>1341.23</v>
      </c>
      <c r="X299" t="inlineStr">
        <is>
          <t>atssc-scdata</t>
        </is>
      </c>
      <c r="Y299" t="inlineStr">
        <is>
          <t>Administrative Tribunals Support Service of Canada | Service canadien d'appui aux tribunaux administratifs</t>
        </is>
      </c>
    </row>
    <row r="300">
      <c r="A300" t="inlineStr">
        <is>
          <t>T-2016-Q4-039</t>
        </is>
      </c>
      <c r="B300" t="inlineStr">
        <is>
          <t>SLE</t>
        </is>
      </c>
      <c r="C300" t="inlineStr">
        <is>
          <t xml:space="preserve">Chairperson, Canadian Human Rights Tribunal        </t>
        </is>
      </c>
      <c r="D300" t="inlineStr">
        <is>
          <t xml:space="preserve">Président, Tribunal canadien des droits de la personne </t>
        </is>
      </c>
      <c r="E300" t="inlineStr">
        <is>
          <t>Thomas, David</t>
        </is>
      </c>
      <c r="F300" t="inlineStr">
        <is>
          <t>Attend the United Nations Forum on Business and Human Rights</t>
        </is>
      </c>
      <c r="G300" t="inlineStr">
        <is>
          <t>Participer au Forum des Nations Unies sur les droits de l'homme</t>
        </is>
      </c>
      <c r="H300" s="1" t="n">
        <v>42685</v>
      </c>
      <c r="I300" s="1" t="n">
        <v>42690</v>
      </c>
      <c r="J300" t="inlineStr">
        <is>
          <t>Genève, CH</t>
        </is>
      </c>
      <c r="K300" t="inlineStr">
        <is>
          <t>Genève, CH</t>
        </is>
      </c>
      <c r="P300" t="n">
        <v>3058.67</v>
      </c>
      <c r="Q300" t="n">
        <v>82.89</v>
      </c>
      <c r="R300" t="n">
        <v>1509.57</v>
      </c>
      <c r="S300" t="n">
        <v>1410.28</v>
      </c>
      <c r="U300" t="n">
        <v>6061.41</v>
      </c>
      <c r="X300" t="inlineStr">
        <is>
          <t>atssc-scdata</t>
        </is>
      </c>
      <c r="Y300" t="inlineStr">
        <is>
          <t>Administrative Tribunals Support Service of Canada | Service canadien d'appui aux tribunaux administratifs</t>
        </is>
      </c>
    </row>
    <row r="301">
      <c r="A301" t="inlineStr">
        <is>
          <t>T-2016-Q4-040</t>
        </is>
      </c>
      <c r="B301" t="inlineStr">
        <is>
          <t>SLE</t>
        </is>
      </c>
      <c r="C301" t="inlineStr">
        <is>
          <t xml:space="preserve">Chairperson, Canadian Human Rights Tribunal        </t>
        </is>
      </c>
      <c r="D301" t="inlineStr">
        <is>
          <t xml:space="preserve">Président, Tribunal canadien des droits de la personne </t>
        </is>
      </c>
      <c r="E301" t="inlineStr">
        <is>
          <t>Thomas, David</t>
        </is>
      </c>
      <c r="F301" t="inlineStr">
        <is>
          <t>Hearing files # T2168/4216 &amp; T2169/4316</t>
        </is>
      </c>
      <c r="G301" t="inlineStr">
        <is>
          <t>Dossier d'audience T2168/4216 &amp; T2169/4316</t>
        </is>
      </c>
      <c r="H301" s="1" t="n">
        <v>42759</v>
      </c>
      <c r="I301" s="1" t="n">
        <v>42761</v>
      </c>
      <c r="J301" t="inlineStr">
        <is>
          <t>Halifax, NÉ</t>
        </is>
      </c>
      <c r="K301" t="inlineStr">
        <is>
          <t>Halifax, NS</t>
        </is>
      </c>
      <c r="P301" t="n">
        <v>461.26</v>
      </c>
      <c r="Q301" t="n">
        <v>253.27</v>
      </c>
      <c r="R301" t="n">
        <v>279.18</v>
      </c>
      <c r="S301" t="n">
        <v>291.3</v>
      </c>
      <c r="U301" t="n">
        <v>1285.01</v>
      </c>
      <c r="X301" t="inlineStr">
        <is>
          <t>atssc-scdata</t>
        </is>
      </c>
      <c r="Y301" t="inlineStr">
        <is>
          <t>Administrative Tribunals Support Service of Canada | Service canadien d'appui aux tribunaux administratifs</t>
        </is>
      </c>
    </row>
    <row r="302">
      <c r="A302" t="inlineStr">
        <is>
          <t>T-2017-Q3-003</t>
        </is>
      </c>
      <c r="B302" t="inlineStr">
        <is>
          <t>SLE</t>
        </is>
      </c>
      <c r="C302" t="inlineStr">
        <is>
          <t xml:space="preserve">A/Chairperson, Canadian International Trade Tribunal </t>
        </is>
      </c>
      <c r="D302" t="inlineStr">
        <is>
          <t xml:space="preserve">Président par intérim, Tribunal Canadien du commerce extérieur </t>
        </is>
      </c>
      <c r="E302" t="inlineStr">
        <is>
          <t>Jean Bédard</t>
        </is>
      </c>
      <c r="F302" t="inlineStr">
        <is>
          <t>Attend and speak to the World Customs Law Meeting.</t>
        </is>
      </c>
      <c r="G302" t="inlineStr">
        <is>
          <t>Participer et faire une présentation à la réunion mondiale sur la législation douanière</t>
        </is>
      </c>
      <c r="H302" s="1" t="n">
        <v>42982</v>
      </c>
      <c r="I302" s="1" t="n">
        <v>42987</v>
      </c>
      <c r="J302" t="inlineStr">
        <is>
          <t>Rome, Italy</t>
        </is>
      </c>
      <c r="K302" t="inlineStr">
        <is>
          <t>Rome, Italie</t>
        </is>
      </c>
      <c r="P302" t="n">
        <v>3564.04</v>
      </c>
      <c r="Q302" t="n">
        <v>234.61</v>
      </c>
      <c r="S302" t="n">
        <v>578.83</v>
      </c>
      <c r="U302" t="n">
        <v>4377.48</v>
      </c>
      <c r="X302" t="inlineStr">
        <is>
          <t>atssc-scdata</t>
        </is>
      </c>
      <c r="Y302" t="inlineStr">
        <is>
          <t>Administrative Tribunals Support Service of Canada | Service canadien d'appui aux tribunaux administratifs</t>
        </is>
      </c>
    </row>
    <row r="303">
      <c r="A303" t="inlineStr">
        <is>
          <t>T-2017-Q3-009</t>
        </is>
      </c>
      <c r="B303" t="inlineStr">
        <is>
          <t>SLE</t>
        </is>
      </c>
      <c r="C303" t="inlineStr">
        <is>
          <t xml:space="preserve">Chairperson, Canada Industrial Relations Board     </t>
        </is>
      </c>
      <c r="D303" t="inlineStr">
        <is>
          <t>Présidente, Conseil canadien des relations industrielles</t>
        </is>
      </c>
      <c r="E303" t="inlineStr">
        <is>
          <t>Ginette Brazeau</t>
        </is>
      </c>
      <c r="F303" t="inlineStr">
        <is>
          <t xml:space="preserve">To attend the International Industrial Relations Conference </t>
        </is>
      </c>
      <c r="G303" t="inlineStr">
        <is>
          <t>Participation à la Conférence sur les relations industrielles</t>
        </is>
      </c>
      <c r="H303" s="1" t="n">
        <v>42998</v>
      </c>
      <c r="I303" s="1" t="n">
        <v>43000</v>
      </c>
      <c r="J303" t="inlineStr">
        <is>
          <t>Ottawa, ON</t>
        </is>
      </c>
      <c r="K303" t="inlineStr">
        <is>
          <t>Ottawa, ON</t>
        </is>
      </c>
      <c r="R303" t="n">
        <v>486.52</v>
      </c>
      <c r="U303" t="n">
        <v>486.52</v>
      </c>
      <c r="X303" t="inlineStr">
        <is>
          <t>atssc-scdata</t>
        </is>
      </c>
      <c r="Y303" t="inlineStr">
        <is>
          <t>Administrative Tribunals Support Service of Canada | Service canadien d'appui aux tribunaux administratifs</t>
        </is>
      </c>
    </row>
    <row r="304">
      <c r="A304" t="inlineStr">
        <is>
          <t>T-2017-Q3-015</t>
        </is>
      </c>
      <c r="B304" t="inlineStr">
        <is>
          <t>SLE</t>
        </is>
      </c>
      <c r="C304" t="inlineStr">
        <is>
          <t xml:space="preserve">Chairperson, Canada Industrial Relations Board     </t>
        </is>
      </c>
      <c r="D304" t="inlineStr">
        <is>
          <t>Présidente, Conseil canadien des relations industrielles</t>
        </is>
      </c>
      <c r="E304" t="inlineStr">
        <is>
          <t>Ginette Brazeau</t>
        </is>
      </c>
      <c r="F304" t="inlineStr">
        <is>
          <t xml:space="preserve">To attend a meeting of the Association of Labour Relations Agencies </t>
        </is>
      </c>
      <c r="G304" t="inlineStr">
        <is>
          <t xml:space="preserve">Participer à une rencontre de la Association of Labour Relations Agencies </t>
        </is>
      </c>
      <c r="H304" s="1" t="n">
        <v>43023</v>
      </c>
      <c r="I304" s="1" t="n">
        <v>43023</v>
      </c>
      <c r="J304" t="inlineStr">
        <is>
          <t>Montreal, QC</t>
        </is>
      </c>
      <c r="K304" t="inlineStr">
        <is>
          <t>Montreal, QC</t>
        </is>
      </c>
      <c r="Q304" t="n">
        <v>200.04</v>
      </c>
      <c r="U304" t="n">
        <v>200.04</v>
      </c>
      <c r="X304" t="inlineStr">
        <is>
          <t>atssc-scdata</t>
        </is>
      </c>
      <c r="Y304" t="inlineStr">
        <is>
          <t>Administrative Tribunals Support Service of Canada | Service canadien d'appui aux tribunaux administratifs</t>
        </is>
      </c>
    </row>
    <row r="305">
      <c r="A305" t="inlineStr">
        <is>
          <t>T-2017-Q3-001</t>
        </is>
      </c>
      <c r="B305" t="inlineStr">
        <is>
          <t>SLE</t>
        </is>
      </c>
      <c r="C305" t="inlineStr">
        <is>
          <t>A/Executive Director and General Counsel, Secretariat to the Public Service Labour Relations and Employment Board</t>
        </is>
      </c>
      <c r="D305" t="inlineStr">
        <is>
          <t>Directrice générale et avocate générale par intérim, Secrétariat de la Commission des relations de travail et de l’emploi dans la fonction publique</t>
        </is>
      </c>
      <c r="E305" t="inlineStr">
        <is>
          <t>Virginia Adamson</t>
        </is>
      </c>
      <c r="F305" t="inlineStr">
        <is>
          <t>To attend the annual meeting of Labour Board Chairs and Administrators</t>
        </is>
      </c>
      <c r="G305" t="inlineStr">
        <is>
          <t>Participer à la réunion annuelle des présidents et des administrateurs de Commission des relations de travail</t>
        </is>
      </c>
      <c r="H305" s="1" t="n">
        <v>42996</v>
      </c>
      <c r="I305" s="1" t="n">
        <v>42998</v>
      </c>
      <c r="J305" t="inlineStr">
        <is>
          <t>Wakefield, QC</t>
        </is>
      </c>
      <c r="K305" t="inlineStr">
        <is>
          <t>Wakefield, QC</t>
        </is>
      </c>
      <c r="Q305" t="n">
        <v>44.4</v>
      </c>
      <c r="R305" t="n">
        <v>487.14</v>
      </c>
      <c r="S305" t="n">
        <v>214.2</v>
      </c>
      <c r="U305" t="n">
        <v>745.74</v>
      </c>
      <c r="X305" t="inlineStr">
        <is>
          <t>atssc-scdata</t>
        </is>
      </c>
      <c r="Y305" t="inlineStr">
        <is>
          <t>Administrative Tribunals Support Service of Canada | Service canadien d'appui aux tribunaux administratifs</t>
        </is>
      </c>
    </row>
    <row r="306">
      <c r="A306" t="inlineStr">
        <is>
          <t>T-2017-Q3-002</t>
        </is>
      </c>
      <c r="B306" t="inlineStr">
        <is>
          <t>SLE</t>
        </is>
      </c>
      <c r="C306" t="inlineStr">
        <is>
          <t>A/Executive Director and General Counsel, Secretariat to the Public Service Labour Relations and Employment Board</t>
        </is>
      </c>
      <c r="D306" t="inlineStr">
        <is>
          <t>Directrice générale et avocate générale par intérim, Secrétariat de la Commission des relations de travail et de l’emploi dans la fonction publique</t>
        </is>
      </c>
      <c r="E306" t="inlineStr">
        <is>
          <t>Virginia Adamson</t>
        </is>
      </c>
      <c r="F306" t="inlineStr">
        <is>
          <t xml:space="preserve">To attend a meeting of the Association of Labour Relations Agencies </t>
        </is>
      </c>
      <c r="G306" t="inlineStr">
        <is>
          <t xml:space="preserve">Participer à une rencontre de la Association of Labour Relations Agencies </t>
        </is>
      </c>
      <c r="H306" s="1" t="n">
        <v>43021</v>
      </c>
      <c r="I306" s="1" t="n">
        <v>43023</v>
      </c>
      <c r="J306" t="inlineStr">
        <is>
          <t>Montreal, QC</t>
        </is>
      </c>
      <c r="K306" t="inlineStr">
        <is>
          <t>Montreal, QC</t>
        </is>
      </c>
      <c r="Q306" t="n">
        <v>302.48</v>
      </c>
      <c r="R306" t="n">
        <v>473.64</v>
      </c>
      <c r="S306" t="n">
        <v>203.7</v>
      </c>
      <c r="U306" t="n">
        <v>979.8200000000001</v>
      </c>
      <c r="X306" t="inlineStr">
        <is>
          <t>atssc-scdata</t>
        </is>
      </c>
      <c r="Y306" t="inlineStr">
        <is>
          <t>Administrative Tribunals Support Service of Canada | Service canadien d'appui aux tribunaux administratifs</t>
        </is>
      </c>
    </row>
    <row r="307">
      <c r="A307" t="inlineStr">
        <is>
          <t>T-2017-Q3-004</t>
        </is>
      </c>
      <c r="B307" t="inlineStr">
        <is>
          <t>SLE</t>
        </is>
      </c>
      <c r="C307" t="inlineStr">
        <is>
          <t xml:space="preserve"> Chairperson, Canada Agricultural Review Tribunal       </t>
        </is>
      </c>
      <c r="D307" t="inlineStr">
        <is>
          <t xml:space="preserve"> Président, Commission de révision agricole du Canada</t>
        </is>
      </c>
      <c r="E307" t="inlineStr">
        <is>
          <t>Luc Bélanger</t>
        </is>
      </c>
      <c r="F307" t="inlineStr">
        <is>
          <t>Meet with the new member of CART</t>
        </is>
      </c>
      <c r="G307" t="inlineStr">
        <is>
          <t>Rencontre avec le nouveau membre de la CRAC</t>
        </is>
      </c>
      <c r="H307" s="1" t="n">
        <v>42989</v>
      </c>
      <c r="I307" s="1" t="n">
        <v>42991</v>
      </c>
      <c r="J307" t="inlineStr">
        <is>
          <t>Quebec , QC</t>
        </is>
      </c>
      <c r="K307" t="inlineStr">
        <is>
          <t>Québec , QC</t>
        </is>
      </c>
      <c r="Q307" t="n">
        <v>509.33</v>
      </c>
      <c r="R307" t="n">
        <v>512.1900000000001</v>
      </c>
      <c r="S307" t="n">
        <v>232.25</v>
      </c>
      <c r="U307" t="n">
        <v>1253.77</v>
      </c>
      <c r="X307" t="inlineStr">
        <is>
          <t>atssc-scdata</t>
        </is>
      </c>
      <c r="Y307" t="inlineStr">
        <is>
          <t>Administrative Tribunals Support Service of Canada | Service canadien d'appui aux tribunaux administratifs</t>
        </is>
      </c>
    </row>
    <row r="308">
      <c r="A308" t="inlineStr">
        <is>
          <t>T-2017-Q3-005</t>
        </is>
      </c>
      <c r="B308" t="inlineStr">
        <is>
          <t>SLE</t>
        </is>
      </c>
      <c r="C308" t="inlineStr">
        <is>
          <t xml:space="preserve"> Chairperson, Canada Agricultural Review Tribunal       </t>
        </is>
      </c>
      <c r="D308" t="inlineStr">
        <is>
          <t xml:space="preserve"> Président, Commission de révision agricole du Canada</t>
        </is>
      </c>
      <c r="E308" t="inlineStr">
        <is>
          <t>Luc Bélanger</t>
        </is>
      </c>
      <c r="F308" t="inlineStr">
        <is>
          <t>Training of the new member of CART</t>
        </is>
      </c>
      <c r="G308" t="inlineStr">
        <is>
          <t>Formation du nouveau membre de la CRAC</t>
        </is>
      </c>
      <c r="H308" s="1" t="n">
        <v>43024</v>
      </c>
      <c r="I308" s="1" t="n">
        <v>43026</v>
      </c>
      <c r="J308" t="inlineStr">
        <is>
          <t>Quebec , QC</t>
        </is>
      </c>
      <c r="K308" t="inlineStr">
        <is>
          <t>Québec , QC</t>
        </is>
      </c>
      <c r="Q308" t="n">
        <v>540.01</v>
      </c>
      <c r="R308" t="n">
        <v>480.86</v>
      </c>
      <c r="S308" t="n">
        <v>288.85</v>
      </c>
      <c r="U308" t="n">
        <v>1309.72</v>
      </c>
      <c r="X308" t="inlineStr">
        <is>
          <t>atssc-scdata</t>
        </is>
      </c>
      <c r="Y308" t="inlineStr">
        <is>
          <t>Administrative Tribunals Support Service of Canada | Service canadien d'appui aux tribunaux administratifs</t>
        </is>
      </c>
    </row>
    <row r="309">
      <c r="A309" t="inlineStr">
        <is>
          <t>T-2017-Q3-006</t>
        </is>
      </c>
      <c r="B309" t="inlineStr">
        <is>
          <t>SLE</t>
        </is>
      </c>
      <c r="C309" t="inlineStr">
        <is>
          <t xml:space="preserve">Executive Director, Secretariat to the Canadian Cultural Property Export Review Board    </t>
        </is>
      </c>
      <c r="D309" t="inlineStr">
        <is>
          <t>Directrice exécutive, Secrétariat de la Commission canadienne d’examen des exportations de biens culturels</t>
        </is>
      </c>
      <c r="E309" t="inlineStr">
        <is>
          <t>Delphine Bishop</t>
        </is>
      </c>
      <c r="F309" t="inlineStr">
        <is>
          <t>Attend the board meeting and the Tour new Canadian, Indigenous Galleries</t>
        </is>
      </c>
      <c r="G309" t="inlineStr">
        <is>
          <t xml:space="preserve">Participer à la rencontre des membres et visiter la nouvelle galerie d'art canadien et autochtone </t>
        </is>
      </c>
      <c r="H309" s="1" t="n">
        <v>42984</v>
      </c>
      <c r="I309" s="1" t="n">
        <v>42986</v>
      </c>
      <c r="J309" t="inlineStr">
        <is>
          <t>Ottawa, ON</t>
        </is>
      </c>
      <c r="K309" t="inlineStr">
        <is>
          <t>Ottawa, ON</t>
        </is>
      </c>
      <c r="Q309" t="n">
        <v>79</v>
      </c>
      <c r="U309" t="n">
        <v>79</v>
      </c>
      <c r="X309" t="inlineStr">
        <is>
          <t>atssc-scdata</t>
        </is>
      </c>
      <c r="Y309" t="inlineStr">
        <is>
          <t>Administrative Tribunals Support Service of Canada | Service canadien d'appui aux tribunaux administratifs</t>
        </is>
      </c>
    </row>
    <row r="310">
      <c r="A310" t="inlineStr">
        <is>
          <t>T-2017-Q3-007</t>
        </is>
      </c>
      <c r="B310" t="inlineStr">
        <is>
          <t>SLE</t>
        </is>
      </c>
      <c r="C310" t="inlineStr">
        <is>
          <t xml:space="preserve">Executive Director, Secretariat to the Canadian Cultural Property Export Review Board    </t>
        </is>
      </c>
      <c r="D310" t="inlineStr">
        <is>
          <t>Directrice exécutive, Secrétariat de la Commission canadienne d’examen des exportations de biens culturels</t>
        </is>
      </c>
      <c r="E310" t="inlineStr">
        <is>
          <t>Delphine Bishop</t>
        </is>
      </c>
      <c r="F310" t="inlineStr">
        <is>
          <t>Attend the CCPERB meeting</t>
        </is>
      </c>
      <c r="G310" t="inlineStr">
        <is>
          <t>Participer à la réunion de la CCEEBC</t>
        </is>
      </c>
      <c r="H310" s="1" t="n">
        <v>42892</v>
      </c>
      <c r="I310" s="1" t="n">
        <v>42894</v>
      </c>
      <c r="J310" t="inlineStr">
        <is>
          <t>Ottawa, ON</t>
        </is>
      </c>
      <c r="K310" t="inlineStr">
        <is>
          <t>Ottawa, ON</t>
        </is>
      </c>
      <c r="Q310" t="n">
        <v>60</v>
      </c>
      <c r="U310" t="n">
        <v>60</v>
      </c>
      <c r="X310" t="inlineStr">
        <is>
          <t>atssc-scdata</t>
        </is>
      </c>
      <c r="Y310" t="inlineStr">
        <is>
          <t>Administrative Tribunals Support Service of Canada | Service canadien d'appui aux tribunaux administratifs</t>
        </is>
      </c>
    </row>
    <row r="311">
      <c r="A311" t="inlineStr">
        <is>
          <t>T-2017-Q3-008</t>
        </is>
      </c>
      <c r="B311" t="inlineStr">
        <is>
          <t>SLE</t>
        </is>
      </c>
      <c r="C311" t="inlineStr">
        <is>
          <t xml:space="preserve">Chairperson, Canada Industrial Relations Board     </t>
        </is>
      </c>
      <c r="D311" t="inlineStr">
        <is>
          <t>Présidente, Conseil canadien des relations industrielles</t>
        </is>
      </c>
      <c r="E311" t="inlineStr">
        <is>
          <t>Ginette Brazeau</t>
        </is>
      </c>
      <c r="F311" t="inlineStr">
        <is>
          <t>To attend the annual meeting of Labour Board Chairs and Administrators</t>
        </is>
      </c>
      <c r="G311" t="inlineStr">
        <is>
          <t>Participer à la réunion annuelle des présidents et des administrateurs de Commission des relations de travail</t>
        </is>
      </c>
      <c r="H311" s="1" t="n">
        <v>42996</v>
      </c>
      <c r="I311" s="1" t="n">
        <v>42998</v>
      </c>
      <c r="J311" t="inlineStr">
        <is>
          <t>Wakefield, QC</t>
        </is>
      </c>
      <c r="K311" t="inlineStr">
        <is>
          <t>Wakefield, QC</t>
        </is>
      </c>
      <c r="Q311" t="n">
        <v>38.86</v>
      </c>
      <c r="R311" t="n">
        <v>487.14</v>
      </c>
      <c r="S311" t="n">
        <v>214.2</v>
      </c>
      <c r="U311" t="n">
        <v>740.2</v>
      </c>
      <c r="X311" t="inlineStr">
        <is>
          <t>atssc-scdata</t>
        </is>
      </c>
      <c r="Y311" t="inlineStr">
        <is>
          <t>Administrative Tribunals Support Service of Canada | Service canadien d'appui aux tribunaux administratifs</t>
        </is>
      </c>
    </row>
    <row r="312">
      <c r="A312" t="inlineStr">
        <is>
          <t>T-2017-Q3-020</t>
        </is>
      </c>
      <c r="B312" t="inlineStr">
        <is>
          <t>SLE</t>
        </is>
      </c>
      <c r="C312" t="inlineStr">
        <is>
          <t xml:space="preserve">Chairperson, Canada Industrial Relations Board     </t>
        </is>
      </c>
      <c r="D312" t="inlineStr">
        <is>
          <t>Présidente, Conseil canadien des relations industrielles</t>
        </is>
      </c>
      <c r="E312" t="inlineStr">
        <is>
          <t>Ginette Brazeau</t>
        </is>
      </c>
      <c r="F312" t="inlineStr">
        <is>
          <t>Hearing file #42594</t>
        </is>
      </c>
      <c r="G312" t="inlineStr">
        <is>
          <t>Dossier d'audience #42594</t>
        </is>
      </c>
      <c r="H312" s="1" t="n">
        <v>43027</v>
      </c>
      <c r="I312" s="1" t="n">
        <v>43027</v>
      </c>
      <c r="J312" t="inlineStr">
        <is>
          <t>Toronto, ON</t>
        </is>
      </c>
      <c r="K312" t="inlineStr">
        <is>
          <t>Toronto, ON</t>
        </is>
      </c>
      <c r="P312" t="n">
        <v>605.74</v>
      </c>
      <c r="Q312" t="n">
        <v>23</v>
      </c>
      <c r="S312" t="n">
        <v>38</v>
      </c>
      <c r="U312" t="n">
        <v>666.74</v>
      </c>
      <c r="X312" t="inlineStr">
        <is>
          <t>atssc-scdata</t>
        </is>
      </c>
      <c r="Y312" t="inlineStr">
        <is>
          <t>Administrative Tribunals Support Service of Canada | Service canadien d'appui aux tribunaux administratifs</t>
        </is>
      </c>
    </row>
    <row r="313">
      <c r="A313" t="inlineStr">
        <is>
          <t>T-2017-Q3-021</t>
        </is>
      </c>
      <c r="B313" t="inlineStr">
        <is>
          <t>SLE</t>
        </is>
      </c>
      <c r="C313" t="inlineStr">
        <is>
          <t xml:space="preserve">Chairperson, Canada Industrial Relations Board     </t>
        </is>
      </c>
      <c r="D313" t="inlineStr">
        <is>
          <t>Présidente, Conseil canadien des relations industrielles</t>
        </is>
      </c>
      <c r="E313" t="inlineStr">
        <is>
          <t>Ginette Brazeau</t>
        </is>
      </c>
      <c r="F313" t="inlineStr">
        <is>
          <t>Attendance and participartion at the 2017  Internationl Agencies Forum</t>
        </is>
      </c>
      <c r="G313" t="inlineStr">
        <is>
          <t>Participer au forum des agences internationales 2017</t>
        </is>
      </c>
      <c r="H313" s="1" t="n">
        <v>43038</v>
      </c>
      <c r="I313" s="1" t="n">
        <v>43046</v>
      </c>
      <c r="J313" t="inlineStr">
        <is>
          <t>Melbourne, AU</t>
        </is>
      </c>
      <c r="K313" t="inlineStr">
        <is>
          <t>Melbourne, AU</t>
        </is>
      </c>
      <c r="P313" t="n">
        <v>9798.76</v>
      </c>
      <c r="Q313" t="n">
        <v>231.39</v>
      </c>
      <c r="R313" t="n">
        <v>717.72</v>
      </c>
      <c r="S313" t="n">
        <v>1176.45</v>
      </c>
      <c r="U313" t="n">
        <v>11924.32</v>
      </c>
      <c r="X313" t="inlineStr">
        <is>
          <t>atssc-scdata</t>
        </is>
      </c>
      <c r="Y313" t="inlineStr">
        <is>
          <t>Administrative Tribunals Support Service of Canada | Service canadien d'appui aux tribunaux administratifs</t>
        </is>
      </c>
    </row>
    <row r="314">
      <c r="A314" t="inlineStr">
        <is>
          <t>T-2017-Q3-022</t>
        </is>
      </c>
      <c r="B314" t="inlineStr">
        <is>
          <t>SLE</t>
        </is>
      </c>
      <c r="C314" t="inlineStr">
        <is>
          <t xml:space="preserve">Chairperson, Social Security Tribunal  </t>
        </is>
      </c>
      <c r="D314" t="inlineStr">
        <is>
          <t>Présidente du Tribunal de la sécurité sociale</t>
        </is>
      </c>
      <c r="E314" t="inlineStr">
        <is>
          <t>Murielle Brazeau</t>
        </is>
      </c>
      <c r="F314" t="inlineStr">
        <is>
          <t>Meeting with stakeholders</t>
        </is>
      </c>
      <c r="G314" t="inlineStr">
        <is>
          <t>Réunion avec les intervenants</t>
        </is>
      </c>
      <c r="H314" s="1" t="n">
        <v>42999</v>
      </c>
      <c r="I314" s="1" t="n">
        <v>43000</v>
      </c>
      <c r="J314" t="inlineStr">
        <is>
          <t>Toronto, ON</t>
        </is>
      </c>
      <c r="K314" t="inlineStr">
        <is>
          <t>Toronto, ON</t>
        </is>
      </c>
      <c r="P314" t="n">
        <v>419.85</v>
      </c>
      <c r="Q314" t="n">
        <v>200.34</v>
      </c>
      <c r="S314" t="n">
        <v>98.45</v>
      </c>
      <c r="U314" t="n">
        <v>718.64</v>
      </c>
      <c r="X314" t="inlineStr">
        <is>
          <t>atssc-scdata</t>
        </is>
      </c>
      <c r="Y314" t="inlineStr">
        <is>
          <t>Administrative Tribunals Support Service of Canada | Service canadien d'appui aux tribunaux administratifs</t>
        </is>
      </c>
    </row>
    <row r="315">
      <c r="A315" t="inlineStr">
        <is>
          <t>T-2017-Q3-023</t>
        </is>
      </c>
      <c r="B315" t="inlineStr">
        <is>
          <t>SLE</t>
        </is>
      </c>
      <c r="C315" t="inlineStr">
        <is>
          <t xml:space="preserve">Director General and CIO Information Services and Solutions, and Executive Director, Secretariat to the Specific Claims Tribunal </t>
        </is>
      </c>
      <c r="D315" t="inlineStr">
        <is>
          <t>Directeur général, Services et solutions d’information et directeur exécutif du Secrétariat du Tribunal des revendications particulières</t>
        </is>
      </c>
      <c r="E315" t="inlineStr">
        <is>
          <t>Stuart Campbell</t>
        </is>
      </c>
      <c r="F315" t="inlineStr">
        <is>
          <t>Meeting with the Chair of SCT</t>
        </is>
      </c>
      <c r="G315" t="inlineStr">
        <is>
          <t>Rencontre avec le président du TRP</t>
        </is>
      </c>
      <c r="H315" s="1" t="n">
        <v>42982</v>
      </c>
      <c r="I315" s="1" t="n">
        <v>42985</v>
      </c>
      <c r="J315" t="inlineStr">
        <is>
          <t>Vancouver, CB</t>
        </is>
      </c>
      <c r="K315" t="inlineStr">
        <is>
          <t>Vancouver, BC</t>
        </is>
      </c>
      <c r="P315" t="n">
        <v>1638.75</v>
      </c>
      <c r="Q315" t="n">
        <v>208.65</v>
      </c>
      <c r="R315" t="n">
        <v>399.52</v>
      </c>
      <c r="S315" t="n">
        <v>260.15</v>
      </c>
      <c r="U315" t="n">
        <v>2507.07</v>
      </c>
      <c r="X315" t="inlineStr">
        <is>
          <t>atssc-scdata</t>
        </is>
      </c>
      <c r="Y315" t="inlineStr">
        <is>
          <t>Administrative Tribunals Support Service of Canada | Service canadien d'appui aux tribunaux administratifs</t>
        </is>
      </c>
    </row>
    <row r="316">
      <c r="A316" t="inlineStr">
        <is>
          <t>T-2017-Q3-024</t>
        </is>
      </c>
      <c r="B316" t="inlineStr">
        <is>
          <t>SLE</t>
        </is>
      </c>
      <c r="C316" t="inlineStr">
        <is>
          <t xml:space="preserve">Director General and CIO Information Services and Solutions, and Executive Director, Secretariat to the Specific Claims Tribunal </t>
        </is>
      </c>
      <c r="D316" t="inlineStr">
        <is>
          <t>Directeur général, Services et solutions d’information et directeur exécutif du Secrétariat du Tribunal des revendications particulières</t>
        </is>
      </c>
      <c r="E316" t="inlineStr">
        <is>
          <t>Stuart Campbell</t>
        </is>
      </c>
      <c r="F316" t="inlineStr">
        <is>
          <t xml:space="preserve">To attend the Court Technology Conference </t>
        </is>
      </c>
      <c r="G316" t="inlineStr">
        <is>
          <t>Assister à la Court Technology Conference</t>
        </is>
      </c>
      <c r="H316" s="1" t="n">
        <v>42989</v>
      </c>
      <c r="I316" s="1" t="n">
        <v>42993</v>
      </c>
      <c r="J316" t="inlineStr">
        <is>
          <t>Salt Lake City, UT</t>
        </is>
      </c>
      <c r="K316" t="inlineStr">
        <is>
          <t>Salt Lake City, UT</t>
        </is>
      </c>
      <c r="P316" t="n">
        <v>1607.09</v>
      </c>
      <c r="Q316" t="n">
        <v>85.11</v>
      </c>
      <c r="R316" t="n">
        <v>1057.77</v>
      </c>
      <c r="S316" t="n">
        <v>527.55</v>
      </c>
      <c r="U316" t="n">
        <v>3277.52</v>
      </c>
      <c r="X316" t="inlineStr">
        <is>
          <t>atssc-scdata</t>
        </is>
      </c>
      <c r="Y316" t="inlineStr">
        <is>
          <t>Administrative Tribunals Support Service of Canada | Service canadien d'appui aux tribunaux administratifs</t>
        </is>
      </c>
    </row>
    <row r="317">
      <c r="A317" t="inlineStr">
        <is>
          <t>T-2017-Q3-025</t>
        </is>
      </c>
      <c r="B317" t="inlineStr">
        <is>
          <t>SLE</t>
        </is>
      </c>
      <c r="C317" t="inlineStr">
        <is>
          <t>Chairperson, Public Service Labour Relations and Employment Board Tribunal</t>
        </is>
      </c>
      <c r="D317" t="inlineStr">
        <is>
          <t>Présidente, Tribunal de la commission des relations de travail et de l’emploi dans la fonction publique</t>
        </is>
      </c>
      <c r="E317" t="inlineStr">
        <is>
          <t>Catherine Ebbs</t>
        </is>
      </c>
      <c r="F317" t="inlineStr">
        <is>
          <t>To attend the annual meeting of Labour Board Chairs and Administrators</t>
        </is>
      </c>
      <c r="G317" t="inlineStr">
        <is>
          <t>Participer à la réunion annuelle des présidents et des administrateurs de Commission des relations de travail</t>
        </is>
      </c>
      <c r="H317" s="1" t="n">
        <v>42996</v>
      </c>
      <c r="I317" s="1" t="n">
        <v>42998</v>
      </c>
      <c r="J317" t="inlineStr">
        <is>
          <t>Wakefield, QC</t>
        </is>
      </c>
      <c r="K317" t="inlineStr">
        <is>
          <t>Wakefield, QC</t>
        </is>
      </c>
      <c r="Q317" t="n">
        <v>32.19</v>
      </c>
      <c r="S317" t="n">
        <v>51.9</v>
      </c>
      <c r="U317" t="n">
        <v>84.09</v>
      </c>
      <c r="X317" t="inlineStr">
        <is>
          <t>atssc-scdata</t>
        </is>
      </c>
      <c r="Y317" t="inlineStr">
        <is>
          <t>Administrative Tribunals Support Service of Canada | Service canadien d'appui aux tribunaux administratifs</t>
        </is>
      </c>
    </row>
    <row r="318">
      <c r="A318" t="inlineStr">
        <is>
          <t>T-2017-Q3-026</t>
        </is>
      </c>
      <c r="B318" t="inlineStr">
        <is>
          <t>SLE</t>
        </is>
      </c>
      <c r="C318" t="inlineStr">
        <is>
          <t>Chairperson, Public Service Labour Relations and Employment Board Tribunal</t>
        </is>
      </c>
      <c r="D318" t="inlineStr">
        <is>
          <t>Présidente, Tribunal de la commission des relations de travail et de l’emploi dans la fonction publique</t>
        </is>
      </c>
      <c r="E318" t="inlineStr">
        <is>
          <t>Catherine Ebbs</t>
        </is>
      </c>
      <c r="F318" t="inlineStr">
        <is>
          <t>Hearing file #561-02-777</t>
        </is>
      </c>
      <c r="G318" t="inlineStr">
        <is>
          <t>Dossier d'audience #561-02-777</t>
        </is>
      </c>
      <c r="H318" s="1" t="n">
        <v>43038</v>
      </c>
      <c r="I318" s="1" t="n">
        <v>43041</v>
      </c>
      <c r="J318" t="inlineStr">
        <is>
          <t>Kingston, ON</t>
        </is>
      </c>
      <c r="K318" t="inlineStr">
        <is>
          <t>Kingston, ON</t>
        </is>
      </c>
      <c r="Q318" t="n">
        <v>275.03</v>
      </c>
      <c r="R318" t="n">
        <v>436.47</v>
      </c>
      <c r="S318" t="n">
        <v>277.9</v>
      </c>
      <c r="U318" t="n">
        <v>989.4</v>
      </c>
      <c r="X318" t="inlineStr">
        <is>
          <t>atssc-scdata</t>
        </is>
      </c>
      <c r="Y318" t="inlineStr">
        <is>
          <t>Administrative Tribunals Support Service of Canada | Service canadien d'appui aux tribunaux administratifs</t>
        </is>
      </c>
    </row>
    <row r="319">
      <c r="A319" t="inlineStr">
        <is>
          <t>T-2017-Q3-041</t>
        </is>
      </c>
      <c r="B319" t="inlineStr">
        <is>
          <t>SLE</t>
        </is>
      </c>
      <c r="C319" t="inlineStr">
        <is>
          <t xml:space="preserve">Chairperson, Canadian Human Rights Tribunal        </t>
        </is>
      </c>
      <c r="D319" t="inlineStr">
        <is>
          <t xml:space="preserve">Président, Tribunal canadien des droits de la personne </t>
        </is>
      </c>
      <c r="E319" t="inlineStr">
        <is>
          <t xml:space="preserve">David Thomas </t>
        </is>
      </c>
      <c r="F319" t="inlineStr">
        <is>
          <t>Mediation file #T2212/3417</t>
        </is>
      </c>
      <c r="G319" t="inlineStr">
        <is>
          <t>Médiation dossier #T2212/3417</t>
        </is>
      </c>
      <c r="H319" s="1" t="n">
        <v>42997</v>
      </c>
      <c r="I319" s="1" t="n">
        <v>43001</v>
      </c>
      <c r="J319" t="inlineStr">
        <is>
          <t>Vancouver, CB</t>
        </is>
      </c>
      <c r="K319" t="inlineStr">
        <is>
          <t>Vancouver, BC</t>
        </is>
      </c>
      <c r="P319" t="n">
        <v>966.1799999999999</v>
      </c>
      <c r="Q319" t="n">
        <v>166.62</v>
      </c>
      <c r="R319" t="n">
        <v>600.6799999999999</v>
      </c>
      <c r="S319" t="n">
        <v>295.35</v>
      </c>
      <c r="U319" t="n">
        <v>2028.83</v>
      </c>
      <c r="X319" t="inlineStr">
        <is>
          <t>atssc-scdata</t>
        </is>
      </c>
      <c r="Y319" t="inlineStr">
        <is>
          <t>Administrative Tribunals Support Service of Canada | Service canadien d'appui aux tribunaux administratifs</t>
        </is>
      </c>
    </row>
    <row r="320">
      <c r="A320" t="inlineStr">
        <is>
          <t>T-2017-Q3-027</t>
        </is>
      </c>
      <c r="B320" t="inlineStr">
        <is>
          <t>SLE</t>
        </is>
      </c>
      <c r="C320" t="inlineStr">
        <is>
          <t>Executive Director and General Counsel, Secretariat to the Canada Industrial Relations Board</t>
        </is>
      </c>
      <c r="D320" t="inlineStr">
        <is>
          <t>Directrice exécutive et avocate générale, Secrétariat du Conseil canadien des relations industrielles</t>
        </is>
      </c>
      <c r="E320" t="inlineStr">
        <is>
          <t>Sylvie Guilbert</t>
        </is>
      </c>
      <c r="F320" t="inlineStr">
        <is>
          <t xml:space="preserve">To attend a meeting of the Association of Labour Relations Agencies </t>
        </is>
      </c>
      <c r="G320" t="inlineStr">
        <is>
          <t xml:space="preserve">Participer à une rencontre de la Association of Labour Relations Agencies </t>
        </is>
      </c>
      <c r="H320" s="1" t="n">
        <v>42937</v>
      </c>
      <c r="I320" s="1" t="n">
        <v>42942</v>
      </c>
      <c r="J320" t="inlineStr">
        <is>
          <t>Portland, Oregon</t>
        </is>
      </c>
      <c r="K320" t="inlineStr">
        <is>
          <t>Portland, Oregon</t>
        </is>
      </c>
      <c r="P320" t="n">
        <v>1051.73</v>
      </c>
      <c r="Q320" t="n">
        <v>172.56</v>
      </c>
      <c r="R320" t="n">
        <v>1583.45</v>
      </c>
      <c r="S320" t="n">
        <v>485.76</v>
      </c>
      <c r="U320" t="n">
        <v>3293.5</v>
      </c>
      <c r="X320" t="inlineStr">
        <is>
          <t>atssc-scdata</t>
        </is>
      </c>
      <c r="Y320" t="inlineStr">
        <is>
          <t>Administrative Tribunals Support Service of Canada | Service canadien d'appui aux tribunaux administratifs</t>
        </is>
      </c>
    </row>
    <row r="321">
      <c r="A321" t="inlineStr">
        <is>
          <t>T-2017-Q3-028</t>
        </is>
      </c>
      <c r="B321" t="inlineStr">
        <is>
          <t>SLE</t>
        </is>
      </c>
      <c r="C321" t="inlineStr">
        <is>
          <t>Executive Director and General Counsel, Secretariat to the Canada Industrial Relations Board</t>
        </is>
      </c>
      <c r="D321" t="inlineStr">
        <is>
          <t>Directrice exécutive et avocate générale, Secrétariat du Conseil canadien des relations industrielles</t>
        </is>
      </c>
      <c r="E321" t="inlineStr">
        <is>
          <t>Sylvie Guilbert</t>
        </is>
      </c>
      <c r="F321" t="inlineStr">
        <is>
          <t>Preparation for the annual meeting of Labour Board Chairs and Administrators</t>
        </is>
      </c>
      <c r="G321" t="inlineStr">
        <is>
          <t>Préparation de l'assemblée annuelle des présidents et administrateurs des commission des relation du travail</t>
        </is>
      </c>
      <c r="H321" s="1" t="n">
        <v>42968</v>
      </c>
      <c r="I321" s="1" t="n">
        <v>42968</v>
      </c>
      <c r="J321" t="inlineStr">
        <is>
          <t>Wakefield, QC</t>
        </is>
      </c>
      <c r="K321" t="inlineStr">
        <is>
          <t>Wakefield, QC</t>
        </is>
      </c>
      <c r="Q321" t="n">
        <v>38.85</v>
      </c>
      <c r="U321" t="n">
        <v>38.85</v>
      </c>
      <c r="X321" t="inlineStr">
        <is>
          <t>atssc-scdata</t>
        </is>
      </c>
      <c r="Y321" t="inlineStr">
        <is>
          <t>Administrative Tribunals Support Service of Canada | Service canadien d'appui aux tribunaux administratifs</t>
        </is>
      </c>
    </row>
    <row r="322">
      <c r="A322" t="inlineStr">
        <is>
          <t>T-2017-Q3-029</t>
        </is>
      </c>
      <c r="B322" t="inlineStr">
        <is>
          <t>SLE</t>
        </is>
      </c>
      <c r="C322" t="inlineStr">
        <is>
          <t>Executive Director and General Counsel, Secretariat to the Canada Industrial Relations Board</t>
        </is>
      </c>
      <c r="D322" t="inlineStr">
        <is>
          <t>Directrice exécutive et avocate générale, Secrétariat du Conseil canadien des relations industrielles</t>
        </is>
      </c>
      <c r="E322" t="inlineStr">
        <is>
          <t>Sylvie Guilbert</t>
        </is>
      </c>
      <c r="F322" t="inlineStr">
        <is>
          <t>To attend the annual meeting of Labour Board Chairs and Administrators</t>
        </is>
      </c>
      <c r="G322" t="inlineStr">
        <is>
          <t>Participer à la réunion annuelle des présidents et des administrateurs de Commission des relations de travail</t>
        </is>
      </c>
      <c r="H322" s="1" t="n">
        <v>42996</v>
      </c>
      <c r="I322" s="1" t="n">
        <v>42998</v>
      </c>
      <c r="J322" t="inlineStr">
        <is>
          <t>Wakefield, QC</t>
        </is>
      </c>
      <c r="K322" t="inlineStr">
        <is>
          <t>Wakefield, QC</t>
        </is>
      </c>
      <c r="Q322" t="n">
        <v>38.85</v>
      </c>
      <c r="R322" t="n">
        <v>487.14</v>
      </c>
      <c r="S322" t="n">
        <v>214.2</v>
      </c>
      <c r="U322" t="n">
        <v>740.1900000000001</v>
      </c>
      <c r="X322" t="inlineStr">
        <is>
          <t>atssc-scdata</t>
        </is>
      </c>
      <c r="Y322" t="inlineStr">
        <is>
          <t>Administrative Tribunals Support Service of Canada | Service canadien d'appui aux tribunaux administratifs</t>
        </is>
      </c>
    </row>
    <row r="323">
      <c r="A323" t="inlineStr">
        <is>
          <t>T-2017-Q3-030</t>
        </is>
      </c>
      <c r="B323" t="inlineStr">
        <is>
          <t>SLE</t>
        </is>
      </c>
      <c r="C323" t="inlineStr">
        <is>
          <t>Executive Director and General Counsel, Secretariat to the Canada Industrial Relations Board</t>
        </is>
      </c>
      <c r="D323" t="inlineStr">
        <is>
          <t>Directrice exécutive et avocate générale, Secrétariat du Conseil canadien des relations industrielles</t>
        </is>
      </c>
      <c r="E323" t="inlineStr">
        <is>
          <t>Sylvie Guilbert</t>
        </is>
      </c>
      <c r="F323" t="inlineStr">
        <is>
          <t>Regional Interviews</t>
        </is>
      </c>
      <c r="G323" t="inlineStr">
        <is>
          <t>Entrevues au bureau régional</t>
        </is>
      </c>
      <c r="H323" s="1" t="n">
        <v>43010</v>
      </c>
      <c r="I323" s="1" t="n">
        <v>43013</v>
      </c>
      <c r="J323" t="inlineStr">
        <is>
          <t>Vancouver, CB</t>
        </is>
      </c>
      <c r="K323" t="inlineStr">
        <is>
          <t>Vancouver, BC</t>
        </is>
      </c>
      <c r="P323" t="n">
        <v>1094.42</v>
      </c>
      <c r="Q323" t="n">
        <v>174.9</v>
      </c>
      <c r="R323" t="n">
        <v>793.14</v>
      </c>
      <c r="S323" t="n">
        <v>347.85</v>
      </c>
      <c r="U323" t="n">
        <v>2410.31</v>
      </c>
      <c r="X323" t="inlineStr">
        <is>
          <t>atssc-scdata</t>
        </is>
      </c>
      <c r="Y323" t="inlineStr">
        <is>
          <t>Administrative Tribunals Support Service of Canada | Service canadien d'appui aux tribunaux administratifs</t>
        </is>
      </c>
    </row>
    <row r="324">
      <c r="A324" t="inlineStr">
        <is>
          <t>T-2017-Q3-038</t>
        </is>
      </c>
      <c r="B324" t="inlineStr">
        <is>
          <t>SLE</t>
        </is>
      </c>
      <c r="C324" t="inlineStr">
        <is>
          <t>Chief Administrator, Administrative Tribunals Support Service of Canada</t>
        </is>
      </c>
      <c r="D324" t="inlineStr">
        <is>
          <t>Administrateur en chef, Service canadien d'appui aux Tribunaux Administratifs</t>
        </is>
      </c>
      <c r="E324" t="inlineStr">
        <is>
          <t>Marie-France Pelletier</t>
        </is>
      </c>
      <c r="F324" t="inlineStr">
        <is>
          <t xml:space="preserve"> Meetings with regional office and  external stakeholders</t>
        </is>
      </c>
      <c r="G324" t="inlineStr">
        <is>
          <t>Rencontres au bureau régional et avec des intervenants externes</t>
        </is>
      </c>
      <c r="H324" s="1" t="n">
        <v>42955</v>
      </c>
      <c r="I324" s="1" t="n">
        <v>42955</v>
      </c>
      <c r="J324" t="inlineStr">
        <is>
          <t>Montréal, QC</t>
        </is>
      </c>
      <c r="K324" t="inlineStr">
        <is>
          <t>Montreal, QC</t>
        </is>
      </c>
      <c r="Q324" t="n">
        <v>314.73</v>
      </c>
      <c r="S324" t="n">
        <v>18.05</v>
      </c>
      <c r="U324" t="n">
        <v>332.78</v>
      </c>
      <c r="X324" t="inlineStr">
        <is>
          <t>atssc-scdata</t>
        </is>
      </c>
      <c r="Y324" t="inlineStr">
        <is>
          <t>Administrative Tribunals Support Service of Canada | Service canadien d'appui aux tribunaux administratifs</t>
        </is>
      </c>
    </row>
    <row r="325">
      <c r="A325" t="inlineStr">
        <is>
          <t>T-2017-Q3-031</t>
        </is>
      </c>
      <c r="B325" t="inlineStr">
        <is>
          <t>SLE</t>
        </is>
      </c>
      <c r="C325" t="inlineStr">
        <is>
          <t>Executive Director and General Counsel, Secretariat to the Canada Industrial Relations Board</t>
        </is>
      </c>
      <c r="D325" t="inlineStr">
        <is>
          <t>Directrice exécutive et avocate générale, Secrétariat du Conseil canadien des relations industrielles</t>
        </is>
      </c>
      <c r="E325" t="inlineStr">
        <is>
          <t>Sylvie Guilbert</t>
        </is>
      </c>
      <c r="F325" t="inlineStr">
        <is>
          <t xml:space="preserve">To attend a meeting of the Association of Labour Relations Agencies </t>
        </is>
      </c>
      <c r="G325" t="inlineStr">
        <is>
          <t xml:space="preserve">Participer à une rencontre de la Association of Labour Relations Agencies </t>
        </is>
      </c>
      <c r="H325" s="1" t="n">
        <v>43020</v>
      </c>
      <c r="I325" s="1" t="n">
        <v>43024</v>
      </c>
      <c r="J325" t="inlineStr">
        <is>
          <t>Montréal, QC</t>
        </is>
      </c>
      <c r="K325" t="inlineStr">
        <is>
          <t>Montréal, QC</t>
        </is>
      </c>
      <c r="Q325" t="n">
        <v>203.05</v>
      </c>
      <c r="R325" t="n">
        <v>710.46</v>
      </c>
      <c r="S325" t="n">
        <v>249.25</v>
      </c>
      <c r="U325" t="n">
        <v>1162.76</v>
      </c>
      <c r="X325" t="inlineStr">
        <is>
          <t>atssc-scdata</t>
        </is>
      </c>
      <c r="Y325" t="inlineStr">
        <is>
          <t>Administrative Tribunals Support Service of Canada | Service canadien d'appui aux tribunaux administratifs</t>
        </is>
      </c>
    </row>
    <row r="326">
      <c r="A326" t="inlineStr">
        <is>
          <t>T-2017-Q3-032</t>
        </is>
      </c>
      <c r="B326" t="inlineStr">
        <is>
          <t>SLE</t>
        </is>
      </c>
      <c r="C326" t="inlineStr">
        <is>
          <t xml:space="preserve">Chairperson, Canadian Cultural Property Export Review Board        </t>
        </is>
      </c>
      <c r="D326" t="inlineStr">
        <is>
          <t>Présidente, Commission canadienne d’examen des exportations de biens culturels</t>
        </is>
      </c>
      <c r="E326" t="inlineStr">
        <is>
          <t>Sharilyn Ingram</t>
        </is>
      </c>
      <c r="F326" t="inlineStr">
        <is>
          <t>Participate an On camera interview at CBC Hamilton</t>
        </is>
      </c>
      <c r="G326" t="inlineStr">
        <is>
          <t>Participer à une entrevue télévisée de CBC Hamilton</t>
        </is>
      </c>
      <c r="H326" s="1" t="n">
        <v>42921</v>
      </c>
      <c r="I326" s="1" t="n">
        <v>42921</v>
      </c>
      <c r="J326" t="inlineStr">
        <is>
          <t>Hamilton, ON</t>
        </is>
      </c>
      <c r="K326" t="inlineStr">
        <is>
          <t>Hamilton, ON</t>
        </is>
      </c>
      <c r="Q326" t="n">
        <v>34.96</v>
      </c>
      <c r="U326" t="n">
        <v>34.96</v>
      </c>
      <c r="X326" t="inlineStr">
        <is>
          <t>atssc-scdata</t>
        </is>
      </c>
      <c r="Y326" t="inlineStr">
        <is>
          <t>Administrative Tribunals Support Service of Canada | Service canadien d'appui aux tribunaux administratifs</t>
        </is>
      </c>
    </row>
    <row r="327">
      <c r="A327" t="inlineStr">
        <is>
          <t>T-2017-Q3-033</t>
        </is>
      </c>
      <c r="B327" t="inlineStr">
        <is>
          <t>SLE</t>
        </is>
      </c>
      <c r="C327" t="inlineStr">
        <is>
          <t xml:space="preserve">Chairperson, Canadian Cultural Property Export Review Board        </t>
        </is>
      </c>
      <c r="D327" t="inlineStr">
        <is>
          <t>Présidente, Commission canadienne d’examen des exportations de biens culturels</t>
        </is>
      </c>
      <c r="E327" t="inlineStr">
        <is>
          <t>Sharilyn Ingram</t>
        </is>
      </c>
      <c r="F327" t="inlineStr">
        <is>
          <t>Attend the preparation day of  the CCPERB meeting and attend meeting selection process for new member</t>
        </is>
      </c>
      <c r="G327" t="inlineStr">
        <is>
          <t>Assister à la journée préparatoire de la réunion de la CCEEBC et participer à une rencontre sur le processus de sélection d'un nouveau membre</t>
        </is>
      </c>
      <c r="H327" s="1" t="n">
        <v>42977</v>
      </c>
      <c r="I327" s="1" t="n">
        <v>42979</v>
      </c>
      <c r="J327" t="inlineStr">
        <is>
          <t>Gatineau QC, Ottawa, ON</t>
        </is>
      </c>
      <c r="K327" t="inlineStr">
        <is>
          <t>Gatineau QC, Ottawa, ON</t>
        </is>
      </c>
      <c r="Q327" t="n">
        <v>640.95</v>
      </c>
      <c r="R327" t="n">
        <v>402.24</v>
      </c>
      <c r="S327" t="n">
        <v>232.25</v>
      </c>
      <c r="U327" t="n">
        <v>1275.44</v>
      </c>
      <c r="X327" t="inlineStr">
        <is>
          <t>atssc-scdata</t>
        </is>
      </c>
      <c r="Y327" t="inlineStr">
        <is>
          <t>Administrative Tribunals Support Service of Canada | Service canadien d'appui aux tribunaux administratifs</t>
        </is>
      </c>
    </row>
    <row r="328">
      <c r="A328" t="inlineStr">
        <is>
          <t>T-2017-Q3-034</t>
        </is>
      </c>
      <c r="B328" t="inlineStr">
        <is>
          <t>SLE</t>
        </is>
      </c>
      <c r="C328" t="inlineStr">
        <is>
          <t xml:space="preserve">Chairperson, Canadian Cultural Property Export Review Board        </t>
        </is>
      </c>
      <c r="D328" t="inlineStr">
        <is>
          <t>Présidente, Commission canadienne d’examen des exportations de biens culturels</t>
        </is>
      </c>
      <c r="E328" t="inlineStr">
        <is>
          <t>Sharilyn Ingram</t>
        </is>
      </c>
      <c r="F328" t="inlineStr">
        <is>
          <t xml:space="preserve">Attend the CCPERB meeting </t>
        </is>
      </c>
      <c r="G328" t="inlineStr">
        <is>
          <t>Assister à la réunion de la CCEEBC</t>
        </is>
      </c>
      <c r="H328" s="1" t="n">
        <v>42983</v>
      </c>
      <c r="I328" s="1" t="n">
        <v>42986</v>
      </c>
      <c r="J328" t="inlineStr">
        <is>
          <t>Ottawa, ON</t>
        </is>
      </c>
      <c r="K328" t="inlineStr">
        <is>
          <t>Ottawa, ON</t>
        </is>
      </c>
      <c r="P328" t="n">
        <v>415.28</v>
      </c>
      <c r="Q328" t="n">
        <v>228.26</v>
      </c>
      <c r="R328" t="n">
        <v>572.64</v>
      </c>
      <c r="S328" t="n">
        <v>376.65</v>
      </c>
      <c r="U328" t="n">
        <v>1592.83</v>
      </c>
      <c r="X328" t="inlineStr">
        <is>
          <t>atssc-scdata</t>
        </is>
      </c>
      <c r="Y328" t="inlineStr">
        <is>
          <t>Administrative Tribunals Support Service of Canada | Service canadien d'appui aux tribunaux administratifs</t>
        </is>
      </c>
    </row>
    <row r="329">
      <c r="A329" t="inlineStr">
        <is>
          <t>T-2017-Q3-035</t>
        </is>
      </c>
      <c r="B329" t="inlineStr">
        <is>
          <t>SLE</t>
        </is>
      </c>
      <c r="C329" t="inlineStr">
        <is>
          <t xml:space="preserve">Chairperson, Canadian Cultural Property Export Review Board        </t>
        </is>
      </c>
      <c r="D329" t="inlineStr">
        <is>
          <t>Présidente, Commission canadienne d’examen des exportations de biens culturels</t>
        </is>
      </c>
      <c r="E329" t="inlineStr">
        <is>
          <t>Sharilyn Ingram</t>
        </is>
      </c>
      <c r="F329" t="inlineStr">
        <is>
          <t>To attend the CCPERB selection process</t>
        </is>
      </c>
      <c r="G329" t="inlineStr">
        <is>
          <t>Assister au processus de sélection de la CCEEBC</t>
        </is>
      </c>
      <c r="H329" s="1" t="n">
        <v>43025</v>
      </c>
      <c r="I329" s="1" t="n">
        <v>43033</v>
      </c>
      <c r="J329" t="inlineStr">
        <is>
          <t>Ottawa, ON</t>
        </is>
      </c>
      <c r="K329" t="inlineStr">
        <is>
          <t>Ottawa, ON</t>
        </is>
      </c>
      <c r="P329" t="n">
        <v>504.6</v>
      </c>
      <c r="Q329" t="n">
        <v>238.26</v>
      </c>
      <c r="R329" t="n">
        <v>1527.04</v>
      </c>
      <c r="S329" t="n">
        <v>781.8</v>
      </c>
      <c r="U329" t="n">
        <v>3051.7</v>
      </c>
      <c r="X329" t="inlineStr">
        <is>
          <t>atssc-scdata</t>
        </is>
      </c>
      <c r="Y329" t="inlineStr">
        <is>
          <t>Administrative Tribunals Support Service of Canada | Service canadien d'appui aux tribunaux administratifs</t>
        </is>
      </c>
    </row>
    <row r="330">
      <c r="A330" t="inlineStr">
        <is>
          <t>T-2017-Q3-036</t>
        </is>
      </c>
      <c r="B330" t="inlineStr">
        <is>
          <t>SLE</t>
        </is>
      </c>
      <c r="C330" t="inlineStr">
        <is>
          <t xml:space="preserve">Chairperson, Canadian Cultural Property Export Review Board        </t>
        </is>
      </c>
      <c r="D330" t="inlineStr">
        <is>
          <t>Présidente, Commission canadienne d’examen des exportations de biens culturels</t>
        </is>
      </c>
      <c r="E330" t="inlineStr">
        <is>
          <t>Sharilyn Ingram</t>
        </is>
      </c>
      <c r="F330" t="inlineStr">
        <is>
          <t>To attend the Toronto Art Fair</t>
        </is>
      </c>
      <c r="G330" t="inlineStr">
        <is>
          <t>Assister à la foire artistique internationale de Toronto</t>
        </is>
      </c>
      <c r="H330" s="1" t="n">
        <v>43035</v>
      </c>
      <c r="I330" s="1" t="n">
        <v>43036</v>
      </c>
      <c r="J330" t="inlineStr">
        <is>
          <t>Toronto, ON</t>
        </is>
      </c>
      <c r="K330" t="inlineStr">
        <is>
          <t>Toronto, ON</t>
        </is>
      </c>
      <c r="Q330" t="n">
        <v>45.67</v>
      </c>
      <c r="R330" t="n">
        <v>214.61</v>
      </c>
      <c r="S330" t="n">
        <v>186.2</v>
      </c>
      <c r="U330" t="n">
        <v>446.48</v>
      </c>
      <c r="X330" t="inlineStr">
        <is>
          <t>atssc-scdata</t>
        </is>
      </c>
      <c r="Y330" t="inlineStr">
        <is>
          <t>Administrative Tribunals Support Service of Canada | Service canadien d'appui aux tribunaux administratifs</t>
        </is>
      </c>
    </row>
    <row r="331">
      <c r="A331" t="inlineStr">
        <is>
          <t>T-2017-Q3-037</t>
        </is>
      </c>
      <c r="B331" t="inlineStr">
        <is>
          <t>SLE</t>
        </is>
      </c>
      <c r="C331" t="inlineStr">
        <is>
          <t xml:space="preserve">Chairperson, Canadian Cultural Property Export Review Board        </t>
        </is>
      </c>
      <c r="D331" t="inlineStr">
        <is>
          <t>Présidente, Commission canadienne d’examen des exportations de biens culturels</t>
        </is>
      </c>
      <c r="E331" t="inlineStr">
        <is>
          <t>Sharilyn Ingram</t>
        </is>
      </c>
      <c r="F331" t="inlineStr">
        <is>
          <t>To attend the orientation session for heads of federal administrative tribunals</t>
        </is>
      </c>
      <c r="G331" t="inlineStr">
        <is>
          <t>Assister à la séance d'orientation des dirigeants des tribunaux administratifs fédéraux</t>
        </is>
      </c>
      <c r="H331" s="1" t="n">
        <v>43044</v>
      </c>
      <c r="I331" s="1" t="n">
        <v>43046</v>
      </c>
      <c r="J331" t="inlineStr">
        <is>
          <t>Ottawa, ON</t>
        </is>
      </c>
      <c r="K331" t="inlineStr">
        <is>
          <t>Ottawa, ON</t>
        </is>
      </c>
      <c r="P331" t="n">
        <v>600.65</v>
      </c>
      <c r="Q331" t="n">
        <v>236.26</v>
      </c>
      <c r="R331" t="n">
        <v>381.76</v>
      </c>
      <c r="S331" t="n">
        <v>288.85</v>
      </c>
      <c r="U331" t="n">
        <v>1507.52</v>
      </c>
      <c r="X331" t="inlineStr">
        <is>
          <t>atssc-scdata</t>
        </is>
      </c>
      <c r="Y331" t="inlineStr">
        <is>
          <t>Administrative Tribunals Support Service of Canada | Service canadien d'appui aux tribunaux administratifs</t>
        </is>
      </c>
    </row>
    <row r="332">
      <c r="A332" t="inlineStr">
        <is>
          <t>T-2017-Q3-039</t>
        </is>
      </c>
      <c r="B332" t="inlineStr">
        <is>
          <t>SLE</t>
        </is>
      </c>
      <c r="C332" t="inlineStr">
        <is>
          <t>A/Executive Director and Registrar, Secretariat to the Canadian Human Rights Tribunal</t>
        </is>
      </c>
      <c r="D332" t="inlineStr">
        <is>
          <t>Directeur exécutive et greffière par intérim, Secrétariat du Tribunal Canadien des droits de la personne</t>
        </is>
      </c>
      <c r="E332" t="inlineStr">
        <is>
          <t>Amal Picard</t>
        </is>
      </c>
      <c r="F332" t="inlineStr">
        <is>
          <t>Participate at the advance Alternative Dispute Resolution Workshop</t>
        </is>
      </c>
      <c r="G332" t="inlineStr">
        <is>
          <t>Participer à un atelier de perfectionnement sur les modes alternatifs de résolution des conflits</t>
        </is>
      </c>
      <c r="H332" s="1" t="n">
        <v>43031</v>
      </c>
      <c r="I332" s="1" t="n">
        <v>43036</v>
      </c>
      <c r="J332" t="inlineStr">
        <is>
          <t>Toronto, ON</t>
        </is>
      </c>
      <c r="K332" t="inlineStr">
        <is>
          <t>Toronto, ON</t>
        </is>
      </c>
      <c r="Q332" t="n">
        <v>435.44</v>
      </c>
      <c r="R332" t="n">
        <v>980</v>
      </c>
      <c r="S332" t="n">
        <v>596.8</v>
      </c>
      <c r="U332" t="n">
        <v>2012.24</v>
      </c>
      <c r="X332" t="inlineStr">
        <is>
          <t>atssc-scdata</t>
        </is>
      </c>
      <c r="Y332" t="inlineStr">
        <is>
          <t>Administrative Tribunals Support Service of Canada | Service canadien d'appui aux tribunaux administratifs</t>
        </is>
      </c>
    </row>
    <row r="333">
      <c r="A333" t="inlineStr">
        <is>
          <t>T-2017-Q3-040</t>
        </is>
      </c>
      <c r="B333" t="inlineStr">
        <is>
          <t>SLE</t>
        </is>
      </c>
      <c r="C333" t="inlineStr">
        <is>
          <t xml:space="preserve">Chairperson, Canadian Human Rights Tribunal        </t>
        </is>
      </c>
      <c r="D333" t="inlineStr">
        <is>
          <t xml:space="preserve">Président, Tribunal canadien des droits de la personne </t>
        </is>
      </c>
      <c r="E333" t="inlineStr">
        <is>
          <t xml:space="preserve">David Thomas </t>
        </is>
      </c>
      <c r="F333" t="inlineStr">
        <is>
          <t>Mcgill University Outreach</t>
        </is>
      </c>
      <c r="G333" t="inlineStr">
        <is>
          <t>Discours à l'Université McGill</t>
        </is>
      </c>
      <c r="H333" s="1" t="n">
        <v>42991</v>
      </c>
      <c r="I333" s="1" t="n">
        <v>42992</v>
      </c>
      <c r="J333" t="inlineStr">
        <is>
          <t>Montréal, QC</t>
        </is>
      </c>
      <c r="K333" t="inlineStr">
        <is>
          <t>Montréal, QC</t>
        </is>
      </c>
      <c r="Q333" t="n">
        <v>235.32</v>
      </c>
      <c r="R333" t="n">
        <v>132.09</v>
      </c>
      <c r="S333" t="n">
        <v>115.75</v>
      </c>
      <c r="U333" t="n">
        <v>483.16</v>
      </c>
      <c r="X333" t="inlineStr">
        <is>
          <t>atssc-scdata</t>
        </is>
      </c>
      <c r="Y333" t="inlineStr">
        <is>
          <t>Administrative Tribunals Support Service of Canada | Service canadien d'appui aux tribunaux administratifs</t>
        </is>
      </c>
    </row>
    <row r="334">
      <c r="A334" t="inlineStr">
        <is>
          <t>T-2017-Q3-042</t>
        </is>
      </c>
      <c r="B334" t="inlineStr">
        <is>
          <t>SLE</t>
        </is>
      </c>
      <c r="C334" t="inlineStr">
        <is>
          <t xml:space="preserve">Chairperson, Canadian Human Rights Tribunal        </t>
        </is>
      </c>
      <c r="D334" t="inlineStr">
        <is>
          <t xml:space="preserve">Président, Tribunal canadien des droits de la personne </t>
        </is>
      </c>
      <c r="E334" t="inlineStr">
        <is>
          <t xml:space="preserve">David Thomas </t>
        </is>
      </c>
      <c r="F334" t="inlineStr">
        <is>
          <t>Speaking Engagement in the Office of the Ombudsmen</t>
        </is>
      </c>
      <c r="G334" t="inlineStr">
        <is>
          <t>Allocution au Bureau de l'Ombudsman</t>
        </is>
      </c>
      <c r="H334" s="1" t="n">
        <v>43026</v>
      </c>
      <c r="I334" s="1" t="n">
        <v>43028</v>
      </c>
      <c r="J334" t="inlineStr">
        <is>
          <t>Victoria, CB</t>
        </is>
      </c>
      <c r="K334" t="inlineStr">
        <is>
          <t>Victoria, BC</t>
        </is>
      </c>
      <c r="P334" t="n">
        <v>1374.46</v>
      </c>
      <c r="Q334" t="n">
        <v>138</v>
      </c>
      <c r="R334" t="n">
        <v>50</v>
      </c>
      <c r="S334" t="n">
        <v>156.35</v>
      </c>
      <c r="U334" t="n">
        <v>1718.81</v>
      </c>
      <c r="X334" t="inlineStr">
        <is>
          <t>atssc-scdata</t>
        </is>
      </c>
      <c r="Y334" t="inlineStr">
        <is>
          <t>Administrative Tribunals Support Service of Canada | Service canadien d'appui aux tribunaux administratifs</t>
        </is>
      </c>
    </row>
    <row r="335">
      <c r="A335" t="inlineStr">
        <is>
          <t>T-2017-Q4-001</t>
        </is>
      </c>
      <c r="B335" t="inlineStr">
        <is>
          <t>SLE</t>
        </is>
      </c>
      <c r="C335" t="inlineStr">
        <is>
          <t xml:space="preserve">A/Chairperson, Canadian International Trade Tribunal </t>
        </is>
      </c>
      <c r="D335" t="inlineStr">
        <is>
          <t xml:space="preserve">Président par intérim, Tribunal Canadien du commerce extérieur </t>
        </is>
      </c>
      <c r="E335" t="inlineStr">
        <is>
          <t>Jean Bédard</t>
        </is>
      </c>
      <c r="F335" t="inlineStr">
        <is>
          <t>Assist to a presentation - La justice sanspapier, oui c'est possible</t>
        </is>
      </c>
      <c r="G335" t="inlineStr">
        <is>
          <t>Assisté à la présentation- La justice sanspapier, oui c'est possible</t>
        </is>
      </c>
      <c r="H335" s="1" t="n">
        <v>43130</v>
      </c>
      <c r="I335" s="1" t="n">
        <v>43130</v>
      </c>
      <c r="J335" t="inlineStr">
        <is>
          <t>Montréal, QC</t>
        </is>
      </c>
      <c r="K335" t="inlineStr">
        <is>
          <t>Montréal, QC</t>
        </is>
      </c>
      <c r="Q335" t="n">
        <v>302.37</v>
      </c>
      <c r="S335" t="n">
        <v>18.9</v>
      </c>
      <c r="U335" t="n">
        <v>321.27</v>
      </c>
      <c r="X335" t="inlineStr">
        <is>
          <t>atssc-scdata</t>
        </is>
      </c>
      <c r="Y335" t="inlineStr">
        <is>
          <t>Administrative Tribunals Support Service of Canada | Service canadien d'appui aux tribunaux administratifs</t>
        </is>
      </c>
    </row>
    <row r="336">
      <c r="A336" t="inlineStr">
        <is>
          <t>T-2017-Q4-002</t>
        </is>
      </c>
      <c r="B336" t="inlineStr">
        <is>
          <t>SLE</t>
        </is>
      </c>
      <c r="C336" t="inlineStr">
        <is>
          <t xml:space="preserve"> Chairperson, Canada Agricultural Review Tribunal       </t>
        </is>
      </c>
      <c r="D336" t="inlineStr">
        <is>
          <t xml:space="preserve"> Président, Commission de révision agricole du Canada</t>
        </is>
      </c>
      <c r="E336" t="inlineStr">
        <is>
          <t>Luc Bélanger</t>
        </is>
      </c>
      <c r="F336" t="inlineStr">
        <is>
          <t>Hearing file CART-1867</t>
        </is>
      </c>
      <c r="G336" t="inlineStr">
        <is>
          <t>Dossier d'audience CRAC-1867</t>
        </is>
      </c>
      <c r="H336" s="1" t="n">
        <v>43068</v>
      </c>
      <c r="I336" s="1" t="n">
        <v>43070</v>
      </c>
      <c r="J336" t="inlineStr">
        <is>
          <t>Regina, SK</t>
        </is>
      </c>
      <c r="K336" t="inlineStr">
        <is>
          <t>Regina, SK</t>
        </is>
      </c>
      <c r="P336" t="n">
        <v>2164.89</v>
      </c>
      <c r="Q336" t="n">
        <v>128.3</v>
      </c>
      <c r="R336" t="n">
        <v>340.7</v>
      </c>
      <c r="S336" t="n">
        <v>270.15</v>
      </c>
      <c r="U336" t="n">
        <v>2904.04</v>
      </c>
      <c r="X336" t="inlineStr">
        <is>
          <t>atssc-scdata</t>
        </is>
      </c>
      <c r="Y336" t="inlineStr">
        <is>
          <t>Administrative Tribunals Support Service of Canada | Service canadien d'appui aux tribunaux administratifs</t>
        </is>
      </c>
    </row>
    <row r="337">
      <c r="A337" t="inlineStr">
        <is>
          <t>T-2017-Q4-003</t>
        </is>
      </c>
      <c r="B337" t="inlineStr">
        <is>
          <t>SLE</t>
        </is>
      </c>
      <c r="C337" t="inlineStr">
        <is>
          <t xml:space="preserve"> Chairperson, Canada Agricultural Review Tribunal       </t>
        </is>
      </c>
      <c r="D337" t="inlineStr">
        <is>
          <t xml:space="preserve"> Président, Commission de révision agricole du Canada</t>
        </is>
      </c>
      <c r="E337" t="inlineStr">
        <is>
          <t>Luc Bélanger</t>
        </is>
      </c>
      <c r="F337" t="inlineStr">
        <is>
          <t>Hearing file CART-1947</t>
        </is>
      </c>
      <c r="G337" t="inlineStr">
        <is>
          <t>Dossier d'audience CRAC-1947</t>
        </is>
      </c>
      <c r="H337" s="1" t="n">
        <v>43080</v>
      </c>
      <c r="I337" s="1" t="n">
        <v>43082</v>
      </c>
      <c r="J337" t="inlineStr">
        <is>
          <t>Niagara Falls, ON</t>
        </is>
      </c>
      <c r="K337" t="inlineStr">
        <is>
          <t>Niagara Falls, ON</t>
        </is>
      </c>
      <c r="Q337" t="n">
        <v>408.95</v>
      </c>
      <c r="R337" t="n">
        <v>397.57</v>
      </c>
      <c r="S337" t="n">
        <v>251.05</v>
      </c>
      <c r="U337" t="n">
        <v>1057.57</v>
      </c>
      <c r="X337" t="inlineStr">
        <is>
          <t>atssc-scdata</t>
        </is>
      </c>
      <c r="Y337" t="inlineStr">
        <is>
          <t>Administrative Tribunals Support Service of Canada | Service canadien d'appui aux tribunaux administratifs</t>
        </is>
      </c>
    </row>
    <row r="338">
      <c r="A338" t="inlineStr">
        <is>
          <t>T-2017-Q4-004</t>
        </is>
      </c>
      <c r="B338" t="inlineStr">
        <is>
          <t>SLE</t>
        </is>
      </c>
      <c r="C338" t="inlineStr">
        <is>
          <t xml:space="preserve"> Chairperson, Canada Agricultural Review Tribunal       </t>
        </is>
      </c>
      <c r="D338" t="inlineStr">
        <is>
          <t xml:space="preserve"> Président, Commission de révision agricole du Canada</t>
        </is>
      </c>
      <c r="E338" t="inlineStr">
        <is>
          <t>Luc Bélanger</t>
        </is>
      </c>
      <c r="F338" t="inlineStr">
        <is>
          <t>Hearing file CART-1959 &amp; CART 1949</t>
        </is>
      </c>
      <c r="G338" t="inlineStr">
        <is>
          <t>Dossier d'audience CRAC-1959 &amp; CRAC-1949</t>
        </is>
      </c>
      <c r="H338" s="1" t="n">
        <v>43117</v>
      </c>
      <c r="I338" s="1" t="n">
        <v>43484</v>
      </c>
      <c r="J338" t="inlineStr">
        <is>
          <t>Toronto, ON</t>
        </is>
      </c>
      <c r="K338" t="inlineStr">
        <is>
          <t>Toronto, ON</t>
        </is>
      </c>
      <c r="Q338" t="n">
        <v>349.25</v>
      </c>
      <c r="R338" t="n">
        <v>575.4</v>
      </c>
      <c r="S338" t="n">
        <v>251.05</v>
      </c>
      <c r="U338" t="n">
        <v>1175.7</v>
      </c>
      <c r="X338" t="inlineStr">
        <is>
          <t>atssc-scdata</t>
        </is>
      </c>
      <c r="Y338" t="inlineStr">
        <is>
          <t>Administrative Tribunals Support Service of Canada | Service canadien d'appui aux tribunaux administratifs</t>
        </is>
      </c>
    </row>
    <row r="339">
      <c r="A339" t="inlineStr">
        <is>
          <t>T-2017-Q4-005</t>
        </is>
      </c>
      <c r="B339" t="inlineStr">
        <is>
          <t>SLE</t>
        </is>
      </c>
      <c r="C339" t="inlineStr">
        <is>
          <t xml:space="preserve"> Chairperson, Canada Agricultural Review Tribunal       </t>
        </is>
      </c>
      <c r="D339" t="inlineStr">
        <is>
          <t xml:space="preserve"> Président, Commission de révision agricole du Canada</t>
        </is>
      </c>
      <c r="E339" t="inlineStr">
        <is>
          <t>Luc Bélanger</t>
        </is>
      </c>
      <c r="F339" t="inlineStr">
        <is>
          <t>Attend a Lafortune Group presentation and meetings.</t>
        </is>
      </c>
      <c r="G339" t="inlineStr">
        <is>
          <t>Assister a une présentation de Lafortune groupe et réunions.</t>
        </is>
      </c>
      <c r="H339" s="1" t="n">
        <v>43130</v>
      </c>
      <c r="I339" s="1" t="n">
        <v>43131</v>
      </c>
      <c r="J339" t="inlineStr">
        <is>
          <t>Montréal, QC</t>
        </is>
      </c>
      <c r="K339" t="inlineStr">
        <is>
          <t>Montréal, QC</t>
        </is>
      </c>
      <c r="Q339" t="n">
        <v>279.94</v>
      </c>
      <c r="R339" t="n">
        <v>196.35</v>
      </c>
      <c r="S339" t="n">
        <v>186.2</v>
      </c>
      <c r="U339" t="n">
        <v>662.49</v>
      </c>
      <c r="X339" t="inlineStr">
        <is>
          <t>atssc-scdata</t>
        </is>
      </c>
      <c r="Y339" t="inlineStr">
        <is>
          <t>Administrative Tribunals Support Service of Canada | Service canadien d'appui aux tribunaux administratifs</t>
        </is>
      </c>
    </row>
    <row r="340">
      <c r="A340" t="inlineStr">
        <is>
          <t>T-2017-Q4-006</t>
        </is>
      </c>
      <c r="B340" t="inlineStr">
        <is>
          <t>SLE</t>
        </is>
      </c>
      <c r="C340" t="inlineStr">
        <is>
          <t xml:space="preserve">Executive Director, Secretariat to the Canadian Cultural Property Export Review Board    </t>
        </is>
      </c>
      <c r="D340" t="inlineStr">
        <is>
          <t>Directrice exécutive, Secrétariat de la Commission canadienne d’examen des exportations de biens culturels</t>
        </is>
      </c>
      <c r="E340" t="inlineStr">
        <is>
          <t>Delphine Bishop</t>
        </is>
      </c>
      <c r="F340" t="inlineStr">
        <is>
          <t>Attend a meeting</t>
        </is>
      </c>
      <c r="G340" t="inlineStr">
        <is>
          <t>Participer à une rencontre</t>
        </is>
      </c>
      <c r="H340" s="1" t="n">
        <v>42993</v>
      </c>
      <c r="I340" s="1" t="n">
        <v>43358</v>
      </c>
      <c r="J340" t="inlineStr">
        <is>
          <t>Ottawa, ON</t>
        </is>
      </c>
      <c r="K340" t="inlineStr">
        <is>
          <t>Ottawa, ON</t>
        </is>
      </c>
      <c r="T340" t="n">
        <v>17.5</v>
      </c>
      <c r="U340" t="n">
        <v>17.5</v>
      </c>
      <c r="X340" t="inlineStr">
        <is>
          <t>atssc-scdata</t>
        </is>
      </c>
      <c r="Y340" t="inlineStr">
        <is>
          <t>Administrative Tribunals Support Service of Canada | Service canadien d'appui aux tribunaux administratifs</t>
        </is>
      </c>
    </row>
    <row r="341">
      <c r="A341" t="inlineStr">
        <is>
          <t>T-2017-Q4-007</t>
        </is>
      </c>
      <c r="B341" t="inlineStr">
        <is>
          <t>SLE</t>
        </is>
      </c>
      <c r="C341" t="inlineStr">
        <is>
          <t xml:space="preserve">Executive Director, Secretariat to the Canadian Cultural Property Export Review Board    </t>
        </is>
      </c>
      <c r="D341" t="inlineStr">
        <is>
          <t>Directrice exécutive, Secrétariat de la Commission canadienne d’examen des exportations de biens culturels</t>
        </is>
      </c>
      <c r="E341" t="inlineStr">
        <is>
          <t>Delphine Bishop</t>
        </is>
      </c>
      <c r="F341" t="inlineStr">
        <is>
          <t>To attend a meeting with executive director</t>
        </is>
      </c>
      <c r="G341" t="inlineStr">
        <is>
          <t>Participer à une rencontre avec un directeur exécutif</t>
        </is>
      </c>
      <c r="H341" s="1" t="n">
        <v>42996</v>
      </c>
      <c r="I341" s="1" t="n">
        <v>42996</v>
      </c>
      <c r="J341" t="inlineStr">
        <is>
          <t>Ottawa, ON</t>
        </is>
      </c>
      <c r="K341" t="inlineStr">
        <is>
          <t>Ottawa, ON</t>
        </is>
      </c>
      <c r="T341" t="n">
        <v>20</v>
      </c>
      <c r="U341" t="n">
        <v>20</v>
      </c>
      <c r="X341" t="inlineStr">
        <is>
          <t>atssc-scdata</t>
        </is>
      </c>
      <c r="Y341" t="inlineStr">
        <is>
          <t>Administrative Tribunals Support Service of Canada | Service canadien d'appui aux tribunaux administratifs</t>
        </is>
      </c>
    </row>
    <row r="342">
      <c r="A342" t="inlineStr">
        <is>
          <t>T-2017-Q4-008</t>
        </is>
      </c>
      <c r="B342" t="inlineStr">
        <is>
          <t>SLE</t>
        </is>
      </c>
      <c r="C342" t="inlineStr">
        <is>
          <t xml:space="preserve">Executive Director, Secretariat to the Canadian Cultural Property Export Review Board    </t>
        </is>
      </c>
      <c r="D342" t="inlineStr">
        <is>
          <t>Directrice exécutive, Secrétariat de la Commission canadienne d’examen des exportations de biens culturels</t>
        </is>
      </c>
      <c r="E342" t="inlineStr">
        <is>
          <t>Delphine Bishop</t>
        </is>
      </c>
      <c r="F342" t="inlineStr">
        <is>
          <t>Attend a meeting</t>
        </is>
      </c>
      <c r="G342" t="inlineStr">
        <is>
          <t>Participer à une rencontre</t>
        </is>
      </c>
      <c r="H342" s="1" t="n">
        <v>43005</v>
      </c>
      <c r="I342" s="1" t="n">
        <v>43005</v>
      </c>
      <c r="J342" t="inlineStr">
        <is>
          <t>Ottawa, ON</t>
        </is>
      </c>
      <c r="K342" t="inlineStr">
        <is>
          <t>Ottawa, ON</t>
        </is>
      </c>
      <c r="T342" t="n">
        <v>14</v>
      </c>
      <c r="U342" t="n">
        <v>14</v>
      </c>
      <c r="X342" t="inlineStr">
        <is>
          <t>atssc-scdata</t>
        </is>
      </c>
      <c r="Y342" t="inlineStr">
        <is>
          <t>Administrative Tribunals Support Service of Canada | Service canadien d'appui aux tribunaux administratifs</t>
        </is>
      </c>
    </row>
    <row r="343">
      <c r="A343" t="inlineStr">
        <is>
          <t>T-2017-Q4-009</t>
        </is>
      </c>
      <c r="B343" t="inlineStr">
        <is>
          <t>SLE</t>
        </is>
      </c>
      <c r="C343" t="inlineStr">
        <is>
          <t xml:space="preserve">Executive Director, Secretariat to the Canadian Cultural Property Export Review Board    </t>
        </is>
      </c>
      <c r="D343" t="inlineStr">
        <is>
          <t>Directrice exécutive, Secrétariat de la Commission canadienne d’examen des exportations de biens culturels</t>
        </is>
      </c>
      <c r="E343" t="inlineStr">
        <is>
          <t>Delphine Bishop</t>
        </is>
      </c>
      <c r="F343" t="inlineStr">
        <is>
          <t>Attend a meeting</t>
        </is>
      </c>
      <c r="G343" t="inlineStr">
        <is>
          <t>Participer à une rencontre</t>
        </is>
      </c>
      <c r="H343" s="1" t="n">
        <v>43012</v>
      </c>
      <c r="I343" s="1" t="n">
        <v>43012</v>
      </c>
      <c r="J343" t="inlineStr">
        <is>
          <t>Ottawa, ON</t>
        </is>
      </c>
      <c r="K343" t="inlineStr">
        <is>
          <t>Ottawa, ON</t>
        </is>
      </c>
      <c r="T343" t="n">
        <v>20</v>
      </c>
      <c r="U343" t="n">
        <v>20</v>
      </c>
      <c r="X343" t="inlineStr">
        <is>
          <t>atssc-scdata</t>
        </is>
      </c>
      <c r="Y343" t="inlineStr">
        <is>
          <t>Administrative Tribunals Support Service of Canada | Service canadien d'appui aux tribunaux administratifs</t>
        </is>
      </c>
    </row>
    <row r="344">
      <c r="A344" t="inlineStr">
        <is>
          <t>T-2017-Q4-010</t>
        </is>
      </c>
      <c r="B344" t="inlineStr">
        <is>
          <t>SLE</t>
        </is>
      </c>
      <c r="C344" t="inlineStr">
        <is>
          <t xml:space="preserve">Executive Director, Secretariat to the Canadian Cultural Property Export Review Board    </t>
        </is>
      </c>
      <c r="D344" t="inlineStr">
        <is>
          <t>Directrice exécutive, Secrétariat de la Commission canadienne d’examen des exportations de biens culturels</t>
        </is>
      </c>
      <c r="E344" t="inlineStr">
        <is>
          <t>Delphine Bishop</t>
        </is>
      </c>
      <c r="F344" t="inlineStr">
        <is>
          <t>Attend a meeting</t>
        </is>
      </c>
      <c r="G344" t="inlineStr">
        <is>
          <t>Participer à une rencontre</t>
        </is>
      </c>
      <c r="H344" s="1" t="n">
        <v>43018</v>
      </c>
      <c r="I344" s="1" t="n">
        <v>43018</v>
      </c>
      <c r="J344" t="inlineStr">
        <is>
          <t>Ottawa, ON</t>
        </is>
      </c>
      <c r="K344" t="inlineStr">
        <is>
          <t>Ottawa, ON</t>
        </is>
      </c>
      <c r="T344" t="n">
        <v>20</v>
      </c>
      <c r="U344" t="n">
        <v>20</v>
      </c>
      <c r="X344" t="inlineStr">
        <is>
          <t>atssc-scdata</t>
        </is>
      </c>
      <c r="Y344" t="inlineStr">
        <is>
          <t>Administrative Tribunals Support Service of Canada | Service canadien d'appui aux tribunaux administratifs</t>
        </is>
      </c>
    </row>
    <row r="345">
      <c r="A345" t="inlineStr">
        <is>
          <t>T-2017-Q4-011</t>
        </is>
      </c>
      <c r="B345" t="inlineStr">
        <is>
          <t>SLE</t>
        </is>
      </c>
      <c r="C345" t="inlineStr">
        <is>
          <t xml:space="preserve">Executive Director, Secretariat to the Canadian Cultural Property Export Review Board    </t>
        </is>
      </c>
      <c r="D345" t="inlineStr">
        <is>
          <t>Directrice exécutive, Secrétariat de la Commission canadienne d’examen des exportations de biens culturels</t>
        </is>
      </c>
      <c r="E345" t="inlineStr">
        <is>
          <t>Delphine Bishop</t>
        </is>
      </c>
      <c r="F345" t="inlineStr">
        <is>
          <t>Attend a Senior Management Committee meeting</t>
        </is>
      </c>
      <c r="G345" t="inlineStr">
        <is>
          <t>Participer à une rencontre du comité de la haute direction</t>
        </is>
      </c>
      <c r="H345" s="1" t="n">
        <v>43019</v>
      </c>
      <c r="I345" s="1" t="n">
        <v>43019</v>
      </c>
      <c r="J345" t="inlineStr">
        <is>
          <t>Ottawa, ON</t>
        </is>
      </c>
      <c r="K345" t="inlineStr">
        <is>
          <t>Ottawa, ON</t>
        </is>
      </c>
      <c r="T345" t="n">
        <v>12.5</v>
      </c>
      <c r="U345" t="n">
        <v>12.5</v>
      </c>
      <c r="X345" t="inlineStr">
        <is>
          <t>atssc-scdata</t>
        </is>
      </c>
      <c r="Y345" t="inlineStr">
        <is>
          <t>Administrative Tribunals Support Service of Canada | Service canadien d'appui aux tribunaux administratifs</t>
        </is>
      </c>
    </row>
    <row r="346">
      <c r="A346" t="inlineStr">
        <is>
          <t>T-2017-Q4-012</t>
        </is>
      </c>
      <c r="B346" t="inlineStr">
        <is>
          <t>SLE</t>
        </is>
      </c>
      <c r="C346" t="inlineStr">
        <is>
          <t xml:space="preserve">Executive Director, Secretariat to the Canadian Cultural Property Export Review Board    </t>
        </is>
      </c>
      <c r="D346" t="inlineStr">
        <is>
          <t>Directrice exécutive, Secrétariat de la Commission canadienne d’examen des exportations de biens culturels</t>
        </is>
      </c>
      <c r="E346" t="inlineStr">
        <is>
          <t>Delphine Bishop</t>
        </is>
      </c>
      <c r="F346" t="inlineStr">
        <is>
          <t>Attend a Senior Management Committee meeting</t>
        </is>
      </c>
      <c r="G346" t="inlineStr">
        <is>
          <t>Participer à une rencontre du comité de la haute direction</t>
        </is>
      </c>
      <c r="H346" s="1" t="n">
        <v>43047</v>
      </c>
      <c r="I346" s="1" t="n">
        <v>43047</v>
      </c>
      <c r="J346" t="inlineStr">
        <is>
          <t>Ottawa, ON</t>
        </is>
      </c>
      <c r="K346" t="inlineStr">
        <is>
          <t>Ottawa, ON</t>
        </is>
      </c>
      <c r="T346" t="n">
        <v>20</v>
      </c>
      <c r="U346" t="n">
        <v>20</v>
      </c>
      <c r="X346" t="inlineStr">
        <is>
          <t>atssc-scdata</t>
        </is>
      </c>
      <c r="Y346" t="inlineStr">
        <is>
          <t>Administrative Tribunals Support Service of Canada | Service canadien d'appui aux tribunaux administratifs</t>
        </is>
      </c>
    </row>
    <row r="347">
      <c r="A347" t="inlineStr">
        <is>
          <t>T-2017-Q4-013</t>
        </is>
      </c>
      <c r="B347" t="inlineStr">
        <is>
          <t>SLE</t>
        </is>
      </c>
      <c r="C347" t="inlineStr">
        <is>
          <t xml:space="preserve">Executive Director, Secretariat to the Canadian Cultural Property Export Review Board    </t>
        </is>
      </c>
      <c r="D347" t="inlineStr">
        <is>
          <t>Directrice exécutive, Secrétariat de la Commission canadienne d’examen des exportations de biens culturels</t>
        </is>
      </c>
      <c r="E347" t="inlineStr">
        <is>
          <t>Delphine Bishop</t>
        </is>
      </c>
      <c r="F347" t="inlineStr">
        <is>
          <t>To attend a meeting with an executive director</t>
        </is>
      </c>
      <c r="G347" t="inlineStr">
        <is>
          <t>Participer à une rencontre avec un directeur exécutif</t>
        </is>
      </c>
      <c r="H347" s="1" t="n">
        <v>43055</v>
      </c>
      <c r="I347" s="1" t="n">
        <v>43055</v>
      </c>
      <c r="J347" t="inlineStr">
        <is>
          <t>Ottawa, ON</t>
        </is>
      </c>
      <c r="K347" t="inlineStr">
        <is>
          <t>Ottawa, ON</t>
        </is>
      </c>
      <c r="T347" t="n">
        <v>22</v>
      </c>
      <c r="U347" t="n">
        <v>22</v>
      </c>
      <c r="X347" t="inlineStr">
        <is>
          <t>atssc-scdata</t>
        </is>
      </c>
      <c r="Y347" t="inlineStr">
        <is>
          <t>Administrative Tribunals Support Service of Canada | Service canadien d'appui aux tribunaux administratifs</t>
        </is>
      </c>
    </row>
    <row r="348">
      <c r="A348" t="inlineStr">
        <is>
          <t>T-2017-Q4-014</t>
        </is>
      </c>
      <c r="B348" t="inlineStr">
        <is>
          <t>SLE</t>
        </is>
      </c>
      <c r="C348" t="inlineStr">
        <is>
          <t xml:space="preserve">Executive Director, Secretariat to the Canadian Cultural Property Export Review Board    </t>
        </is>
      </c>
      <c r="D348" t="inlineStr">
        <is>
          <t>Directrice exécutive, Secrétariat de la Commission canadienne d’examen des exportations de biens culturels</t>
        </is>
      </c>
      <c r="E348" t="inlineStr">
        <is>
          <t>Delphine Bishop</t>
        </is>
      </c>
      <c r="F348" t="inlineStr">
        <is>
          <t>Meeting at National Gallery of Canada</t>
        </is>
      </c>
      <c r="G348" t="inlineStr">
        <is>
          <t>Participer a une rencontre aux musées des beaux-arts du Canada</t>
        </is>
      </c>
      <c r="H348" s="1" t="n">
        <v>43066</v>
      </c>
      <c r="I348" s="1" t="n">
        <v>43066</v>
      </c>
      <c r="J348" t="inlineStr">
        <is>
          <t>Ottawa, ON</t>
        </is>
      </c>
      <c r="K348" t="inlineStr">
        <is>
          <t>Ottawa, ON</t>
        </is>
      </c>
      <c r="T348" t="n">
        <v>14</v>
      </c>
      <c r="U348" t="n">
        <v>14</v>
      </c>
      <c r="X348" t="inlineStr">
        <is>
          <t>atssc-scdata</t>
        </is>
      </c>
      <c r="Y348" t="inlineStr">
        <is>
          <t>Administrative Tribunals Support Service of Canada | Service canadien d'appui aux tribunaux administratifs</t>
        </is>
      </c>
    </row>
    <row r="349">
      <c r="A349" t="inlineStr">
        <is>
          <t>T-2017-Q4-015</t>
        </is>
      </c>
      <c r="B349" t="inlineStr">
        <is>
          <t>SLE</t>
        </is>
      </c>
      <c r="C349" t="inlineStr">
        <is>
          <t xml:space="preserve">Executive Director, Secretariat to the Canadian Cultural Property Export Review Board    </t>
        </is>
      </c>
      <c r="D349" t="inlineStr">
        <is>
          <t>Directrice exécutive, Secrétariat de la Commission canadienne d’examen des exportations de biens culturels</t>
        </is>
      </c>
      <c r="E349" t="inlineStr">
        <is>
          <t>Delphine Bishop</t>
        </is>
      </c>
      <c r="F349" t="inlineStr">
        <is>
          <t>To attend training</t>
        </is>
      </c>
      <c r="G349" t="inlineStr">
        <is>
          <t>Participer à une formation</t>
        </is>
      </c>
      <c r="H349" s="1" t="n">
        <v>43070</v>
      </c>
      <c r="I349" s="1" t="n">
        <v>43070</v>
      </c>
      <c r="J349" t="inlineStr">
        <is>
          <t>Ottawa, ON</t>
        </is>
      </c>
      <c r="K349" t="inlineStr">
        <is>
          <t>Ottawa, ON</t>
        </is>
      </c>
      <c r="T349" t="n">
        <v>22</v>
      </c>
      <c r="U349" t="n">
        <v>22</v>
      </c>
      <c r="X349" t="inlineStr">
        <is>
          <t>atssc-scdata</t>
        </is>
      </c>
      <c r="Y349" t="inlineStr">
        <is>
          <t>Administrative Tribunals Support Service of Canada | Service canadien d'appui aux tribunaux administratifs</t>
        </is>
      </c>
    </row>
    <row r="350">
      <c r="A350" t="inlineStr">
        <is>
          <t>T-2017-Q4-016</t>
        </is>
      </c>
      <c r="B350" t="inlineStr">
        <is>
          <t>SLE</t>
        </is>
      </c>
      <c r="C350" t="inlineStr">
        <is>
          <t xml:space="preserve">Executive Director, Secretariat to the Canadian Cultural Property Export Review Board    </t>
        </is>
      </c>
      <c r="D350" t="inlineStr">
        <is>
          <t>Directrice exécutive, Secrétariat de la Commission canadienne d’examen des exportations de biens culturels</t>
        </is>
      </c>
      <c r="E350" t="inlineStr">
        <is>
          <t>Delphine Bishop</t>
        </is>
      </c>
      <c r="F350" t="inlineStr">
        <is>
          <t>Attend the Board Meeting</t>
        </is>
      </c>
      <c r="G350" t="inlineStr">
        <is>
          <t>Participer à la rencontre des membres</t>
        </is>
      </c>
      <c r="H350" s="1" t="n">
        <v>43082</v>
      </c>
      <c r="I350" s="1" t="n">
        <v>43082</v>
      </c>
      <c r="J350" t="inlineStr">
        <is>
          <t>Ottawa, ON</t>
        </is>
      </c>
      <c r="K350" t="inlineStr">
        <is>
          <t>Ottawa, ON</t>
        </is>
      </c>
      <c r="T350" t="n">
        <v>20</v>
      </c>
      <c r="U350" t="n">
        <v>20</v>
      </c>
      <c r="X350" t="inlineStr">
        <is>
          <t>atssc-scdata</t>
        </is>
      </c>
      <c r="Y350" t="inlineStr">
        <is>
          <t>Administrative Tribunals Support Service of Canada | Service canadien d'appui aux tribunaux administratifs</t>
        </is>
      </c>
    </row>
    <row r="351">
      <c r="A351" t="inlineStr">
        <is>
          <t>T-2017-Q4-017</t>
        </is>
      </c>
      <c r="B351" t="inlineStr">
        <is>
          <t>SLE</t>
        </is>
      </c>
      <c r="C351" t="inlineStr">
        <is>
          <t xml:space="preserve">Executive Director, Secretariat to the Canadian Cultural Property Export Review Board    </t>
        </is>
      </c>
      <c r="D351" t="inlineStr">
        <is>
          <t>Directrice exécutive, Secrétariat de la Commission canadienne d’examen des exportations de biens culturels</t>
        </is>
      </c>
      <c r="E351" t="inlineStr">
        <is>
          <t>Delphine Bishop</t>
        </is>
      </c>
      <c r="F351" t="inlineStr">
        <is>
          <t>Attend the Board Meeting</t>
        </is>
      </c>
      <c r="G351" t="inlineStr">
        <is>
          <t>Participer à la rencontre des membres</t>
        </is>
      </c>
      <c r="H351" s="1" t="n">
        <v>43084</v>
      </c>
      <c r="I351" s="1" t="n">
        <v>43084</v>
      </c>
      <c r="J351" t="inlineStr">
        <is>
          <t>Ottawa, ON</t>
        </is>
      </c>
      <c r="K351" t="inlineStr">
        <is>
          <t>Ottawa, ON</t>
        </is>
      </c>
      <c r="T351" t="n">
        <v>20</v>
      </c>
      <c r="U351" t="n">
        <v>20</v>
      </c>
      <c r="X351" t="inlineStr">
        <is>
          <t>atssc-scdata</t>
        </is>
      </c>
      <c r="Y351" t="inlineStr">
        <is>
          <t>Administrative Tribunals Support Service of Canada | Service canadien d'appui aux tribunaux administratifs</t>
        </is>
      </c>
    </row>
    <row r="352">
      <c r="A352" t="inlineStr">
        <is>
          <t>T-2017-Q4-018</t>
        </is>
      </c>
      <c r="B352" t="inlineStr">
        <is>
          <t>SLE</t>
        </is>
      </c>
      <c r="C352" t="inlineStr">
        <is>
          <t xml:space="preserve">Executive Director &amp; Registrar, Secretariats to the Competition Tribunal and the Public Servants Disclosure Protection Tribunal </t>
        </is>
      </c>
      <c r="D352" t="inlineStr">
        <is>
          <t xml:space="preserve">Directeur exécutif et Régistraire, Secrétariat du Tribunal de la concurrance et du Tribunal de la protection des fonctionnaires divulgateurs </t>
        </is>
      </c>
      <c r="E352" t="inlineStr">
        <is>
          <t>Rachel Boyer</t>
        </is>
      </c>
      <c r="F352" t="inlineStr">
        <is>
          <t>Attend meeting at Lexum</t>
        </is>
      </c>
      <c r="G352" t="inlineStr">
        <is>
          <t>Participer a une réunion de Lexum</t>
        </is>
      </c>
      <c r="H352" s="1" t="n">
        <v>43111</v>
      </c>
      <c r="I352" s="1" t="n">
        <v>43111</v>
      </c>
      <c r="J352" t="inlineStr">
        <is>
          <t>Montreal, QC</t>
        </is>
      </c>
      <c r="K352" t="inlineStr">
        <is>
          <t>Montreal, QC</t>
        </is>
      </c>
      <c r="Q352" t="n">
        <v>126.87</v>
      </c>
      <c r="S352" t="n">
        <v>18.9</v>
      </c>
      <c r="U352" t="n">
        <v>145.77</v>
      </c>
      <c r="X352" t="inlineStr">
        <is>
          <t>atssc-scdata</t>
        </is>
      </c>
      <c r="Y352" t="inlineStr">
        <is>
          <t>Administrative Tribunals Support Service of Canada | Service canadien d'appui aux tribunaux administratifs</t>
        </is>
      </c>
    </row>
    <row r="353">
      <c r="A353" t="inlineStr">
        <is>
          <t>T-2017-Q4-019</t>
        </is>
      </c>
      <c r="B353" t="inlineStr">
        <is>
          <t>SLE</t>
        </is>
      </c>
      <c r="C353" t="inlineStr">
        <is>
          <t xml:space="preserve">Chairperson, Canada Industrial Relations Board     </t>
        </is>
      </c>
      <c r="D353" t="inlineStr">
        <is>
          <t>Présidente, Conseil canadien des relations industrielles</t>
        </is>
      </c>
      <c r="E353" t="inlineStr">
        <is>
          <t>Ginette Brazeau</t>
        </is>
      </c>
      <c r="F353" t="inlineStr">
        <is>
          <t>Hearing file #32222-C &amp; 32357-C</t>
        </is>
      </c>
      <c r="G353" t="inlineStr">
        <is>
          <t>Dossier d'audience #32222-C &amp; 32357-C</t>
        </is>
      </c>
      <c r="H353" s="1" t="n">
        <v>43424</v>
      </c>
      <c r="I353" s="1" t="n">
        <v>43429</v>
      </c>
      <c r="J353" t="inlineStr">
        <is>
          <t>Vancouver, BC</t>
        </is>
      </c>
      <c r="K353" t="inlineStr">
        <is>
          <t>Vancouver, BC</t>
        </is>
      </c>
      <c r="P353" t="n">
        <v>3682.2</v>
      </c>
      <c r="Q353" t="n">
        <v>218.8</v>
      </c>
      <c r="R353" t="n">
        <v>1145.6</v>
      </c>
      <c r="S353" t="n">
        <v>549.45</v>
      </c>
      <c r="U353" t="n">
        <v>5596.05</v>
      </c>
      <c r="X353" t="inlineStr">
        <is>
          <t>atssc-scdata</t>
        </is>
      </c>
      <c r="Y353" t="inlineStr">
        <is>
          <t>Administrative Tribunals Support Service of Canada | Service canadien d'appui aux tribunaux administratifs</t>
        </is>
      </c>
    </row>
    <row r="354">
      <c r="A354" t="inlineStr">
        <is>
          <t>T-2017-Q4-020</t>
        </is>
      </c>
      <c r="B354" t="inlineStr">
        <is>
          <t>SLE</t>
        </is>
      </c>
      <c r="C354" t="inlineStr">
        <is>
          <t xml:space="preserve">Chairperson, Canada Industrial Relations Board     </t>
        </is>
      </c>
      <c r="D354" t="inlineStr">
        <is>
          <t>Présidente, Conseil canadien des relations industrielles</t>
        </is>
      </c>
      <c r="E354" t="inlineStr">
        <is>
          <t>Ginette Brazeau</t>
        </is>
      </c>
      <c r="F354" t="inlineStr">
        <is>
          <t>Hearing file #31936-C</t>
        </is>
      </c>
      <c r="G354" t="inlineStr">
        <is>
          <t>Dossier d'audience #31936-C</t>
        </is>
      </c>
      <c r="H354" s="1" t="n">
        <v>43444</v>
      </c>
      <c r="I354" s="1" t="n">
        <v>43449</v>
      </c>
      <c r="J354" t="inlineStr">
        <is>
          <t>Toronto, ON</t>
        </is>
      </c>
      <c r="K354" t="inlineStr">
        <is>
          <t>Toronto, ON</t>
        </is>
      </c>
      <c r="P354" t="n">
        <v>491.09</v>
      </c>
      <c r="Q354" t="n">
        <v>145</v>
      </c>
      <c r="R354" t="n">
        <v>819.25</v>
      </c>
      <c r="S354" t="n">
        <v>465.9</v>
      </c>
      <c r="U354" t="n">
        <v>1921.24</v>
      </c>
      <c r="X354" t="inlineStr">
        <is>
          <t>atssc-scdata</t>
        </is>
      </c>
      <c r="Y354" t="inlineStr">
        <is>
          <t>Administrative Tribunals Support Service of Canada | Service canadien d'appui aux tribunaux administratifs</t>
        </is>
      </c>
    </row>
    <row r="355">
      <c r="A355" t="inlineStr">
        <is>
          <t>T-2017-Q4-021</t>
        </is>
      </c>
      <c r="B355" t="inlineStr">
        <is>
          <t>SLE</t>
        </is>
      </c>
      <c r="C355" t="inlineStr">
        <is>
          <t xml:space="preserve">Chairperson, Canada Industrial Relations Board     </t>
        </is>
      </c>
      <c r="D355" t="inlineStr">
        <is>
          <t>Présidente, Conseil canadien des relations industrielles</t>
        </is>
      </c>
      <c r="E355" t="inlineStr">
        <is>
          <t>Ginette Brazeau</t>
        </is>
      </c>
      <c r="F355" t="inlineStr">
        <is>
          <t>To participate at the annual Mathews Dinsdale National Labour Arbitration Competition</t>
        </is>
      </c>
      <c r="G355" t="inlineStr">
        <is>
          <t>Participer a la rencontre annuelle de Mathews Dinsdale National Labour Arbitration Competition</t>
        </is>
      </c>
      <c r="H355" s="1" t="n">
        <v>43127</v>
      </c>
      <c r="I355" s="1" t="n">
        <v>43128</v>
      </c>
      <c r="J355" t="inlineStr">
        <is>
          <t>Toronto, ON</t>
        </is>
      </c>
      <c r="K355" t="inlineStr">
        <is>
          <t>Toronto, ON</t>
        </is>
      </c>
      <c r="P355" t="n">
        <v>536.85</v>
      </c>
      <c r="Q355" t="n">
        <v>88.44</v>
      </c>
      <c r="R355" t="n">
        <v>184.45</v>
      </c>
      <c r="S355" t="n">
        <v>17.3</v>
      </c>
      <c r="U355" t="n">
        <v>827.04</v>
      </c>
      <c r="X355" t="inlineStr">
        <is>
          <t>atssc-scdata</t>
        </is>
      </c>
      <c r="Y355" t="inlineStr">
        <is>
          <t>Administrative Tribunals Support Service of Canada | Service canadien d'appui aux tribunaux administratifs</t>
        </is>
      </c>
    </row>
    <row r="356">
      <c r="A356" t="inlineStr">
        <is>
          <t>T-2017-Q4-022</t>
        </is>
      </c>
      <c r="B356" t="inlineStr">
        <is>
          <t>SLE</t>
        </is>
      </c>
      <c r="C356" t="inlineStr">
        <is>
          <t xml:space="preserve">Chairperson, Canada Industrial Relations Board     </t>
        </is>
      </c>
      <c r="D356" t="inlineStr">
        <is>
          <t>Présidente, Conseil canadien des relations industrielles</t>
        </is>
      </c>
      <c r="E356" t="inlineStr">
        <is>
          <t>Ginette Brazeau</t>
        </is>
      </c>
      <c r="F356" t="inlineStr">
        <is>
          <t>To attend a Welcome/Introduction meeting</t>
        </is>
      </c>
      <c r="G356" t="inlineStr">
        <is>
          <t>Pour participer a une réunion d'introduction</t>
        </is>
      </c>
      <c r="H356" s="1" t="n">
        <v>43128</v>
      </c>
      <c r="I356" s="1" t="n">
        <v>43129</v>
      </c>
      <c r="J356" t="inlineStr">
        <is>
          <t>Montreal, QC</t>
        </is>
      </c>
      <c r="K356" t="inlineStr">
        <is>
          <t>Montreal, QC</t>
        </is>
      </c>
      <c r="Q356" t="n">
        <v>213.82</v>
      </c>
      <c r="R356" t="n">
        <v>213.01</v>
      </c>
      <c r="S356" t="n">
        <v>53.7</v>
      </c>
      <c r="U356" t="n">
        <v>480.53</v>
      </c>
      <c r="X356" t="inlineStr">
        <is>
          <t>atssc-scdata</t>
        </is>
      </c>
      <c r="Y356" t="inlineStr">
        <is>
          <t>Administrative Tribunals Support Service of Canada | Service canadien d'appui aux tribunaux administratifs</t>
        </is>
      </c>
    </row>
    <row r="357">
      <c r="A357" t="inlineStr">
        <is>
          <t>T-2017-Q4-023</t>
        </is>
      </c>
      <c r="B357" t="inlineStr">
        <is>
          <t>SLE</t>
        </is>
      </c>
      <c r="C357" t="inlineStr">
        <is>
          <t xml:space="preserve">Chairperson, Canada Industrial Relations Board     </t>
        </is>
      </c>
      <c r="D357" t="inlineStr">
        <is>
          <t>Présidente, Conseil canadien des relations industrielles</t>
        </is>
      </c>
      <c r="E357" t="inlineStr">
        <is>
          <t>Ginette Brazeau</t>
        </is>
      </c>
      <c r="F357" t="inlineStr">
        <is>
          <t>Hearing file #31573-C</t>
        </is>
      </c>
      <c r="G357" t="inlineStr">
        <is>
          <t>Dossier d'audience #31573-C</t>
        </is>
      </c>
      <c r="H357" s="1" t="n">
        <v>43136</v>
      </c>
      <c r="I357" s="1" t="n">
        <v>43139</v>
      </c>
      <c r="J357" t="inlineStr">
        <is>
          <t>Edmonton, AB</t>
        </is>
      </c>
      <c r="K357" t="inlineStr">
        <is>
          <t>Edmonton, AB</t>
        </is>
      </c>
      <c r="P357" t="n">
        <v>2462.41</v>
      </c>
      <c r="Q357" t="n">
        <v>185.5</v>
      </c>
      <c r="R357" t="n">
        <v>421.02</v>
      </c>
      <c r="S357" t="n">
        <v>184.4</v>
      </c>
      <c r="U357" t="n">
        <v>3253.33</v>
      </c>
      <c r="X357" t="inlineStr">
        <is>
          <t>atssc-scdata</t>
        </is>
      </c>
      <c r="Y357" t="inlineStr">
        <is>
          <t>Administrative Tribunals Support Service of Canada | Service canadien d'appui aux tribunaux administratifs</t>
        </is>
      </c>
    </row>
    <row r="358">
      <c r="A358" t="inlineStr">
        <is>
          <t>T-2017-Q4-024</t>
        </is>
      </c>
      <c r="B358" t="inlineStr">
        <is>
          <t>SLE</t>
        </is>
      </c>
      <c r="C358" t="inlineStr">
        <is>
          <t xml:space="preserve">Chairperson, Canada Industrial Relations Board     </t>
        </is>
      </c>
      <c r="D358" t="inlineStr">
        <is>
          <t>Présidente, Conseil canadien des relations industrielles</t>
        </is>
      </c>
      <c r="E358" t="inlineStr">
        <is>
          <t>Ginette Brazeau</t>
        </is>
      </c>
      <c r="F358" t="inlineStr">
        <is>
          <t>Case management meeting in hearing file #32428 &amp; 32467</t>
        </is>
      </c>
      <c r="G358" t="inlineStr">
        <is>
          <t>Rencontre de gestion concernant les dossiers d'audience #32428 &amp; 32467</t>
        </is>
      </c>
      <c r="H358" s="1" t="n">
        <v>43152</v>
      </c>
      <c r="I358" s="1" t="n">
        <v>43153</v>
      </c>
      <c r="J358" t="inlineStr">
        <is>
          <t>Vancouver, BC</t>
        </is>
      </c>
      <c r="K358" t="inlineStr">
        <is>
          <t>Vancouver, BC</t>
        </is>
      </c>
      <c r="P358" t="n">
        <v>2880.76</v>
      </c>
      <c r="Q358" t="n">
        <v>118</v>
      </c>
      <c r="R358" t="n">
        <v>222.07</v>
      </c>
      <c r="S358" t="n">
        <v>83.55</v>
      </c>
      <c r="U358" t="n">
        <v>3304.38</v>
      </c>
      <c r="X358" t="inlineStr">
        <is>
          <t>atssc-scdata</t>
        </is>
      </c>
      <c r="Y358" t="inlineStr">
        <is>
          <t>Administrative Tribunals Support Service of Canada | Service canadien d'appui aux tribunaux administratifs</t>
        </is>
      </c>
    </row>
    <row r="359">
      <c r="A359" t="inlineStr">
        <is>
          <t>T-2018-Q3-019</t>
        </is>
      </c>
      <c r="B359" t="inlineStr">
        <is>
          <t>SLE</t>
        </is>
      </c>
      <c r="C359" t="inlineStr">
        <is>
          <t xml:space="preserve">Chairperson, Canadian Human Rights Tribunal </t>
        </is>
      </c>
      <c r="D359" t="inlineStr">
        <is>
          <t xml:space="preserve">Président, Tribunal canadien des droits de la personne </t>
        </is>
      </c>
      <c r="E359" t="inlineStr">
        <is>
          <t>Thomas, David</t>
        </is>
      </c>
      <c r="F359" t="inlineStr">
        <is>
          <t>Celebration of Life for Grant Sinclair</t>
        </is>
      </c>
      <c r="G359" t="inlineStr">
        <is>
          <t>Célébration de la vie pour Grant Sinclair</t>
        </is>
      </c>
      <c r="H359" s="1" t="n">
        <v>43393</v>
      </c>
      <c r="I359" s="1" t="n">
        <v>43393</v>
      </c>
      <c r="J359" t="inlineStr">
        <is>
          <t>Toronto, Ontario</t>
        </is>
      </c>
      <c r="K359" t="inlineStr">
        <is>
          <t>Toronto, Ontario</t>
        </is>
      </c>
      <c r="Q359" t="n">
        <v>21.68</v>
      </c>
      <c r="U359" t="n">
        <v>21.68</v>
      </c>
      <c r="X359" t="inlineStr">
        <is>
          <t>atssc-scdata</t>
        </is>
      </c>
      <c r="Y359" t="inlineStr">
        <is>
          <t>Administrative Tribunals Support Service of Canada | Service canadien d'appui aux tribunaux administratifs</t>
        </is>
      </c>
    </row>
    <row r="360">
      <c r="A360" t="inlineStr">
        <is>
          <t>T-2017-Q4-025</t>
        </is>
      </c>
      <c r="B360" t="inlineStr">
        <is>
          <t>SLE</t>
        </is>
      </c>
      <c r="C360" t="inlineStr">
        <is>
          <t>Chairperson, Public Service Labour Relations and Employment Board Tribunal</t>
        </is>
      </c>
      <c r="D360" t="inlineStr">
        <is>
          <t>Présidente, Tribunal de la commission des relations de travail et de l’emploi dans la fonction publique</t>
        </is>
      </c>
      <c r="E360" t="inlineStr">
        <is>
          <t>Catherine Ebbs</t>
        </is>
      </c>
      <c r="F360" t="inlineStr">
        <is>
          <t>Hearing file #561-02-00777</t>
        </is>
      </c>
      <c r="G360" t="inlineStr">
        <is>
          <t>Dossier d'audience #561-02-00777</t>
        </is>
      </c>
      <c r="H360" s="1" t="n">
        <v>43103</v>
      </c>
      <c r="I360" s="1" t="n">
        <v>43105</v>
      </c>
      <c r="J360" t="inlineStr">
        <is>
          <t>Kingston, ON</t>
        </is>
      </c>
      <c r="K360" t="inlineStr">
        <is>
          <t>Kingston, ON</t>
        </is>
      </c>
      <c r="Q360" t="n">
        <v>293.33</v>
      </c>
      <c r="R360" t="n">
        <v>256.06</v>
      </c>
      <c r="S360" t="n">
        <v>156.35</v>
      </c>
      <c r="U360" t="n">
        <v>705.74</v>
      </c>
      <c r="X360" t="inlineStr">
        <is>
          <t>atssc-scdata</t>
        </is>
      </c>
      <c r="Y360" t="inlineStr">
        <is>
          <t>Administrative Tribunals Support Service of Canada | Service canadien d'appui aux tribunaux administratifs</t>
        </is>
      </c>
    </row>
    <row r="361">
      <c r="A361" t="inlineStr">
        <is>
          <t>T-2017-Q4-026</t>
        </is>
      </c>
      <c r="B361" t="inlineStr">
        <is>
          <t>SLE</t>
        </is>
      </c>
      <c r="C361" t="inlineStr">
        <is>
          <t>Executive Director and General Counsel, Secretariat to the Canada Industrial Relations Board</t>
        </is>
      </c>
      <c r="D361" t="inlineStr">
        <is>
          <t>Directrice exécutive et avocate générale, Secrétariat du Conseil canadien des relations industrielles</t>
        </is>
      </c>
      <c r="E361" t="inlineStr">
        <is>
          <t>Sylvie Guilbert</t>
        </is>
      </c>
      <c r="F361" t="inlineStr">
        <is>
          <t>Attendance and participartion at the 2017  International Agencies Forum</t>
        </is>
      </c>
      <c r="G361" t="inlineStr">
        <is>
          <t>Participer au forum des agences internationales 2017</t>
        </is>
      </c>
      <c r="H361" s="1" t="n">
        <v>43034</v>
      </c>
      <c r="I361" s="1" t="n">
        <v>43046</v>
      </c>
      <c r="J361" t="inlineStr">
        <is>
          <t>Melbourne, Australia</t>
        </is>
      </c>
      <c r="K361" t="inlineStr">
        <is>
          <t>Melbourne, Australia</t>
        </is>
      </c>
      <c r="P361" t="n">
        <v>12119.26</v>
      </c>
      <c r="Q361" t="n">
        <v>137.32</v>
      </c>
      <c r="R361" t="n">
        <v>1302.3</v>
      </c>
      <c r="S361" t="n">
        <v>1657.57</v>
      </c>
      <c r="T361" t="n">
        <v>25</v>
      </c>
      <c r="U361" t="n">
        <v>15241.45</v>
      </c>
      <c r="X361" t="inlineStr">
        <is>
          <t>atssc-scdata</t>
        </is>
      </c>
      <c r="Y361" t="inlineStr">
        <is>
          <t>Administrative Tribunals Support Service of Canada | Service canadien d'appui aux tribunaux administratifs</t>
        </is>
      </c>
    </row>
    <row r="362">
      <c r="A362" t="inlineStr">
        <is>
          <t>T-2017-Q4-027</t>
        </is>
      </c>
      <c r="B362" t="inlineStr">
        <is>
          <t>SLE</t>
        </is>
      </c>
      <c r="C362" t="inlineStr">
        <is>
          <t>Executive Director and General Counsel, Secretariat to the Canada Industrial Relations Board</t>
        </is>
      </c>
      <c r="D362" t="inlineStr">
        <is>
          <t>Directrice exécutive et avocate générale, Secrétariat du Conseil canadien des relations industrielles</t>
        </is>
      </c>
      <c r="E362" t="inlineStr">
        <is>
          <t>Sylvie Guilbert</t>
        </is>
      </c>
      <c r="F362" t="inlineStr">
        <is>
          <t>Interviews</t>
        </is>
      </c>
      <c r="G362" t="inlineStr">
        <is>
          <t>Entrevues</t>
        </is>
      </c>
      <c r="H362" s="1" t="n">
        <v>43059</v>
      </c>
      <c r="I362" s="1" t="n">
        <v>43061</v>
      </c>
      <c r="J362" t="inlineStr">
        <is>
          <t>Vancouver, BC</t>
        </is>
      </c>
      <c r="K362" t="inlineStr">
        <is>
          <t>Vancouver, BC</t>
        </is>
      </c>
      <c r="P362" t="n">
        <v>3979.67</v>
      </c>
      <c r="Q362" t="n">
        <v>81</v>
      </c>
      <c r="R362" t="n">
        <v>229.13</v>
      </c>
      <c r="S362" t="n">
        <v>205.3</v>
      </c>
      <c r="U362" t="n">
        <v>4495.1</v>
      </c>
      <c r="X362" t="inlineStr">
        <is>
          <t>atssc-scdata</t>
        </is>
      </c>
      <c r="Y362" t="inlineStr">
        <is>
          <t>Administrative Tribunals Support Service of Canada | Service canadien d'appui aux tribunaux administratifs</t>
        </is>
      </c>
    </row>
    <row r="363">
      <c r="A363" t="inlineStr">
        <is>
          <t>T-2017-Q4-028</t>
        </is>
      </c>
      <c r="B363" t="inlineStr">
        <is>
          <t>SLE</t>
        </is>
      </c>
      <c r="C363" t="inlineStr">
        <is>
          <t xml:space="preserve">Chairperson, Canadian Cultural Property Export Review Board        </t>
        </is>
      </c>
      <c r="D363" t="inlineStr">
        <is>
          <t>Présidente, Commission canadienne d’examen des exportations de biens culturels</t>
        </is>
      </c>
      <c r="E363" t="inlineStr">
        <is>
          <t>Sharilyn Ingram</t>
        </is>
      </c>
      <c r="F363" t="inlineStr">
        <is>
          <t>Attend the preparation day of  the CCPERB meeting and participate in training</t>
        </is>
      </c>
      <c r="G363" t="inlineStr">
        <is>
          <t>Assister à la journée préparatoire de la réunion de la CCEEBC et participer à une formation</t>
        </is>
      </c>
      <c r="H363" s="1" t="n">
        <v>43068</v>
      </c>
      <c r="I363" s="1" t="n">
        <v>43071</v>
      </c>
      <c r="J363" t="inlineStr">
        <is>
          <t>Gatineau, QC</t>
        </is>
      </c>
      <c r="K363" t="inlineStr">
        <is>
          <t>Gatineau, QC</t>
        </is>
      </c>
      <c r="Q363" t="n">
        <v>694.35</v>
      </c>
      <c r="R363" t="n">
        <v>581.97</v>
      </c>
      <c r="S363" t="n">
        <v>344.15</v>
      </c>
      <c r="U363" t="n">
        <v>1620.47</v>
      </c>
      <c r="X363" t="inlineStr">
        <is>
          <t>atssc-scdata</t>
        </is>
      </c>
      <c r="Y363" t="inlineStr">
        <is>
          <t>Administrative Tribunals Support Service of Canada | Service canadien d'appui aux tribunaux administratifs</t>
        </is>
      </c>
    </row>
    <row r="364">
      <c r="A364" t="inlineStr">
        <is>
          <t>T-2017-Q4-029</t>
        </is>
      </c>
      <c r="B364" t="inlineStr">
        <is>
          <t>SLE</t>
        </is>
      </c>
      <c r="C364" t="inlineStr">
        <is>
          <t xml:space="preserve">Chairperson, Canadian Cultural Property Export Review Board        </t>
        </is>
      </c>
      <c r="D364" t="inlineStr">
        <is>
          <t>Présidente, Commission canadienne d’examen des exportations de biens culturels</t>
        </is>
      </c>
      <c r="E364" t="inlineStr">
        <is>
          <t>Sharilyn Ingram</t>
        </is>
      </c>
      <c r="F364" t="inlineStr">
        <is>
          <t xml:space="preserve">Attend the CCPERB meeting </t>
        </is>
      </c>
      <c r="G364" t="inlineStr">
        <is>
          <t>Assister à la réunion de la CCEEBC</t>
        </is>
      </c>
      <c r="H364" s="1" t="n">
        <v>43446</v>
      </c>
      <c r="I364" s="1" t="n">
        <v>43447</v>
      </c>
      <c r="J364" t="inlineStr">
        <is>
          <t>Ottawa, ON</t>
        </is>
      </c>
      <c r="K364" t="inlineStr">
        <is>
          <t>Ottawa, ON</t>
        </is>
      </c>
      <c r="P364" t="n">
        <v>498.84</v>
      </c>
      <c r="Q364" t="n">
        <v>214.26</v>
      </c>
      <c r="R364" t="n">
        <v>572.64</v>
      </c>
      <c r="S364" t="n">
        <v>372.6</v>
      </c>
      <c r="U364" t="n">
        <v>1658.34</v>
      </c>
      <c r="X364" t="inlineStr">
        <is>
          <t>atssc-scdata</t>
        </is>
      </c>
      <c r="Y364" t="inlineStr">
        <is>
          <t>Administrative Tribunals Support Service of Canada | Service canadien d'appui aux tribunaux administratifs</t>
        </is>
      </c>
    </row>
    <row r="365">
      <c r="A365" t="inlineStr">
        <is>
          <t>T-2017-Q4-030</t>
        </is>
      </c>
      <c r="B365" t="inlineStr">
        <is>
          <t>SLE</t>
        </is>
      </c>
      <c r="C365" t="inlineStr">
        <is>
          <t xml:space="preserve">Chairperson, Canadian Cultural Property Export Review Board        </t>
        </is>
      </c>
      <c r="D365" t="inlineStr">
        <is>
          <t>Présidente, Commission canadienne d’examen des exportations de biens culturels</t>
        </is>
      </c>
      <c r="E365" t="inlineStr">
        <is>
          <t>Sharilyn Ingram</t>
        </is>
      </c>
      <c r="F365" t="inlineStr">
        <is>
          <t>Attend the CCPERB Orientation Meeting</t>
        </is>
      </c>
      <c r="G365" t="inlineStr">
        <is>
          <t>Assister à la réunion d'orientation  de la CCEEBC</t>
        </is>
      </c>
      <c r="H365" s="1" t="n">
        <v>43121</v>
      </c>
      <c r="I365" s="1" t="n">
        <v>43124</v>
      </c>
      <c r="J365" t="inlineStr">
        <is>
          <t>Ottawa, ON</t>
        </is>
      </c>
      <c r="K365" t="inlineStr">
        <is>
          <t>Ottawa, ON</t>
        </is>
      </c>
      <c r="P365" t="n">
        <v>552.63</v>
      </c>
      <c r="Q365" t="n">
        <v>221.92</v>
      </c>
      <c r="R365" t="n">
        <v>578.1900000000001</v>
      </c>
      <c r="S365" t="n">
        <v>391.5</v>
      </c>
      <c r="U365" t="n">
        <v>1744.24</v>
      </c>
      <c r="X365" t="inlineStr">
        <is>
          <t>atssc-scdata</t>
        </is>
      </c>
      <c r="Y365" t="inlineStr">
        <is>
          <t>Administrative Tribunals Support Service of Canada | Service canadien d'appui aux tribunaux administratifs</t>
        </is>
      </c>
    </row>
    <row r="366">
      <c r="A366" t="inlineStr">
        <is>
          <t>T-2017-Q4-031</t>
        </is>
      </c>
      <c r="B366" t="inlineStr">
        <is>
          <t>SLE</t>
        </is>
      </c>
      <c r="C366" t="inlineStr">
        <is>
          <t xml:space="preserve">Chairperson, Canadian Human Rights Tribunal        </t>
        </is>
      </c>
      <c r="D366" t="inlineStr">
        <is>
          <t xml:space="preserve">Président, Tribunal canadien des droits de la personne </t>
        </is>
      </c>
      <c r="E366" t="inlineStr">
        <is>
          <t xml:space="preserve">David Thomas </t>
        </is>
      </c>
      <c r="F366" t="inlineStr">
        <is>
          <t>Mediation file #T2206/2817</t>
        </is>
      </c>
      <c r="G366" t="inlineStr">
        <is>
          <t>Médiation dossier #T2206/2817</t>
        </is>
      </c>
      <c r="H366" s="1" t="n">
        <v>43075</v>
      </c>
      <c r="I366" s="1" t="n">
        <v>43076</v>
      </c>
      <c r="J366" t="inlineStr">
        <is>
          <t>London, ON</t>
        </is>
      </c>
      <c r="K366" t="inlineStr">
        <is>
          <t>London, ON</t>
        </is>
      </c>
      <c r="P366" t="n">
        <v>616.26</v>
      </c>
      <c r="Q366" t="n">
        <v>87.73</v>
      </c>
      <c r="R366" t="n">
        <v>219.49</v>
      </c>
      <c r="S366" t="n">
        <v>157.95</v>
      </c>
      <c r="U366" t="n">
        <v>1081.43</v>
      </c>
      <c r="X366" t="inlineStr">
        <is>
          <t>atssc-scdata</t>
        </is>
      </c>
      <c r="Y366" t="inlineStr">
        <is>
          <t>Administrative Tribunals Support Service of Canada | Service canadien d'appui aux tribunaux administratifs</t>
        </is>
      </c>
    </row>
    <row r="367">
      <c r="A367" t="inlineStr">
        <is>
          <t>T-2017-Q4-032</t>
        </is>
      </c>
      <c r="B367" t="inlineStr">
        <is>
          <t>SLE</t>
        </is>
      </c>
      <c r="C367" t="inlineStr">
        <is>
          <t xml:space="preserve">Chairperson, Canadian Human Rights Tribunal        </t>
        </is>
      </c>
      <c r="D367" t="inlineStr">
        <is>
          <t xml:space="preserve">Président, Tribunal canadien des droits de la personne </t>
        </is>
      </c>
      <c r="E367" t="inlineStr">
        <is>
          <t xml:space="preserve">David Thomas </t>
        </is>
      </c>
      <c r="F367" t="inlineStr">
        <is>
          <t xml:space="preserve">Mediation file #T2223/4517 </t>
        </is>
      </c>
      <c r="G367" t="inlineStr">
        <is>
          <t>Médiation dossier #T2223/4517</t>
        </is>
      </c>
      <c r="H367" s="1" t="n">
        <v>43111</v>
      </c>
      <c r="I367" s="1" t="n">
        <v>43116</v>
      </c>
      <c r="J367" t="inlineStr">
        <is>
          <t>Vancouver, BC</t>
        </is>
      </c>
      <c r="K367" t="inlineStr">
        <is>
          <t>Vancouver, BC</t>
        </is>
      </c>
      <c r="P367" t="n">
        <v>842.79</v>
      </c>
      <c r="Q367" t="n">
        <v>184.09</v>
      </c>
      <c r="R367" t="n">
        <v>364.26</v>
      </c>
      <c r="S367" t="n">
        <v>410.6</v>
      </c>
      <c r="U367" t="n">
        <v>1801.74</v>
      </c>
      <c r="X367" t="inlineStr">
        <is>
          <t>atssc-scdata</t>
        </is>
      </c>
      <c r="Y367" t="inlineStr">
        <is>
          <t>Administrative Tribunals Support Service of Canada | Service canadien d'appui aux tribunaux administratifs</t>
        </is>
      </c>
    </row>
    <row r="368">
      <c r="A368" t="inlineStr">
        <is>
          <t>T-2018-Q1-001</t>
        </is>
      </c>
      <c r="B368" t="inlineStr">
        <is>
          <t>SLE</t>
        </is>
      </c>
      <c r="C368" t="inlineStr">
        <is>
          <t>A/Executive Director and General Counsel, Secretariat to the Public Service Labour Relations and Employment Board</t>
        </is>
      </c>
      <c r="D368" t="inlineStr">
        <is>
          <t>Directrice générale et avocate générale par intérim, Secrétariat de la Commission des relations de travail et de l’emploi dans la fonction publique</t>
        </is>
      </c>
      <c r="E368" t="inlineStr">
        <is>
          <t>Virginia Adamson</t>
        </is>
      </c>
      <c r="F368" t="inlineStr">
        <is>
          <t xml:space="preserve">To attend a meeting of the Association of Labour Relations Agencies </t>
        </is>
      </c>
      <c r="G368" t="inlineStr">
        <is>
          <t xml:space="preserve">Participer à une rencontre de la Association of Labour Relations Agencies </t>
        </is>
      </c>
      <c r="H368" s="1" t="n">
        <v>43161</v>
      </c>
      <c r="I368" s="1" t="n">
        <v>43163</v>
      </c>
      <c r="J368" t="inlineStr">
        <is>
          <t>Boston, US</t>
        </is>
      </c>
      <c r="Q368" t="n">
        <v>34</v>
      </c>
      <c r="S368" t="n">
        <v>19.1</v>
      </c>
      <c r="U368" t="n">
        <v>53.1</v>
      </c>
      <c r="V368" t="inlineStr">
        <is>
          <t>Trip was cancelled</t>
        </is>
      </c>
      <c r="W368" t="inlineStr">
        <is>
          <t>Voyage annulé</t>
        </is>
      </c>
      <c r="X368" t="inlineStr">
        <is>
          <t>atssc-scdata</t>
        </is>
      </c>
      <c r="Y368" t="inlineStr">
        <is>
          <t>Administrative Tribunals Support Service of Canada | Service canadien d'appui aux tribunaux administratifs</t>
        </is>
      </c>
    </row>
    <row r="369">
      <c r="A369" t="inlineStr">
        <is>
          <t>T-2018-Q1-002</t>
        </is>
      </c>
      <c r="B369" t="inlineStr">
        <is>
          <t>SLE</t>
        </is>
      </c>
      <c r="C369" t="inlineStr">
        <is>
          <t xml:space="preserve">A/Chairperson, Canadian International Trade Tribunal </t>
        </is>
      </c>
      <c r="D369" t="inlineStr">
        <is>
          <t xml:space="preserve">Président par intérim, Tribunal Canadien du commerce extérieur </t>
        </is>
      </c>
      <c r="E369" t="inlineStr">
        <is>
          <t>Jean Bédard</t>
        </is>
      </c>
      <c r="F369" t="inlineStr">
        <is>
          <t>Outreach at Queen's University</t>
        </is>
      </c>
      <c r="G369" t="inlineStr">
        <is>
          <t xml:space="preserve">Sensibilisation à l'Université de Queens </t>
        </is>
      </c>
      <c r="H369" s="1" t="n">
        <v>43159</v>
      </c>
      <c r="I369" s="1" t="n">
        <v>43159</v>
      </c>
      <c r="J369" t="inlineStr">
        <is>
          <t>Kingston, On</t>
        </is>
      </c>
      <c r="Q369" t="n">
        <v>277.8</v>
      </c>
      <c r="U369" t="n">
        <v>277.8</v>
      </c>
      <c r="X369" t="inlineStr">
        <is>
          <t>atssc-scdata</t>
        </is>
      </c>
      <c r="Y369" t="inlineStr">
        <is>
          <t>Administrative Tribunals Support Service of Canada | Service canadien d'appui aux tribunaux administratifs</t>
        </is>
      </c>
    </row>
    <row r="370">
      <c r="A370" t="inlineStr">
        <is>
          <t>T-2018-Q1-003</t>
        </is>
      </c>
      <c r="B370" t="inlineStr">
        <is>
          <t>SLE</t>
        </is>
      </c>
      <c r="C370" t="inlineStr">
        <is>
          <t xml:space="preserve"> Chairperson, Canada Agricultural Review Tribunal       </t>
        </is>
      </c>
      <c r="D370" t="inlineStr">
        <is>
          <t xml:space="preserve"> Président, Commission de révision agricole du Canada</t>
        </is>
      </c>
      <c r="E370" t="inlineStr">
        <is>
          <t>Luc Bélanger</t>
        </is>
      </c>
      <c r="F370" t="inlineStr">
        <is>
          <t>Hearing files #  CART-1921 and CART-1951</t>
        </is>
      </c>
      <c r="G370" t="inlineStr">
        <is>
          <t>Dossier d'audience no CRAC-1921 et CRAC 1951</t>
        </is>
      </c>
      <c r="H370" s="1" t="n">
        <v>43150</v>
      </c>
      <c r="I370" s="1" t="n">
        <v>43152</v>
      </c>
      <c r="J370" t="inlineStr">
        <is>
          <t>Montreal, Qc</t>
        </is>
      </c>
      <c r="Q370" t="n">
        <v>241.8</v>
      </c>
      <c r="R370" t="n">
        <v>526.64</v>
      </c>
      <c r="S370" t="n">
        <v>241.5</v>
      </c>
      <c r="U370" t="n">
        <v>1009.94</v>
      </c>
      <c r="X370" t="inlineStr">
        <is>
          <t>atssc-scdata</t>
        </is>
      </c>
      <c r="Y370" t="inlineStr">
        <is>
          <t>Administrative Tribunals Support Service of Canada | Service canadien d'appui aux tribunaux administratifs</t>
        </is>
      </c>
    </row>
    <row r="371">
      <c r="A371" t="inlineStr">
        <is>
          <t>T-2018-Q1-004</t>
        </is>
      </c>
      <c r="B371" t="inlineStr">
        <is>
          <t>SLE</t>
        </is>
      </c>
      <c r="C371" t="inlineStr">
        <is>
          <t xml:space="preserve">Executive Director, Secretariat to the Canadian Cultural Property Export Review Board    </t>
        </is>
      </c>
      <c r="D371" t="inlineStr">
        <is>
          <t>Directrice exécutive, Secrétariat de la Commission canadienne d’examen des exportations de biens culturels</t>
        </is>
      </c>
      <c r="E371" t="inlineStr">
        <is>
          <t>Delphine Bishop</t>
        </is>
      </c>
      <c r="F371" t="inlineStr">
        <is>
          <t>Attend the CCPERB Orientation Meeting</t>
        </is>
      </c>
      <c r="G371" t="inlineStr">
        <is>
          <t>Assister à la réunion d'orientation  de la CCEEBC</t>
        </is>
      </c>
      <c r="H371" s="1" t="n">
        <v>43122</v>
      </c>
      <c r="I371" s="1" t="n">
        <v>43124</v>
      </c>
      <c r="J371" t="inlineStr">
        <is>
          <t>Ottawa, ON</t>
        </is>
      </c>
      <c r="R371" t="n">
        <v>391.68</v>
      </c>
      <c r="T371" t="n">
        <v>67.90000000000001</v>
      </c>
      <c r="U371" t="n">
        <v>459.58</v>
      </c>
      <c r="X371" t="inlineStr">
        <is>
          <t>atssc-scdata</t>
        </is>
      </c>
      <c r="Y371" t="inlineStr">
        <is>
          <t>Administrative Tribunals Support Service of Canada | Service canadien d'appui aux tribunaux administratifs</t>
        </is>
      </c>
    </row>
    <row r="372">
      <c r="A372" t="inlineStr">
        <is>
          <t>T-2018-Q1-005</t>
        </is>
      </c>
      <c r="B372" t="inlineStr">
        <is>
          <t>SLE</t>
        </is>
      </c>
      <c r="C372" t="inlineStr">
        <is>
          <t xml:space="preserve">Executive Director, Secretariat to the Canadian Cultural Property Export Review Board    </t>
        </is>
      </c>
      <c r="D372" t="inlineStr">
        <is>
          <t>Directrice exécutive, Secrétariat de la Commission canadienne d’examen des exportations de biens culturels</t>
        </is>
      </c>
      <c r="E372" t="inlineStr">
        <is>
          <t>Delphine Bishop</t>
        </is>
      </c>
      <c r="F372" t="inlineStr">
        <is>
          <t>Attend the CCPERB meeting</t>
        </is>
      </c>
      <c r="G372" t="inlineStr">
        <is>
          <t>Assister à la réunion de la CCEEBC</t>
        </is>
      </c>
      <c r="H372" s="1" t="n">
        <v>43179</v>
      </c>
      <c r="I372" s="1" t="n">
        <v>43179</v>
      </c>
      <c r="J372" t="inlineStr">
        <is>
          <t>Ottawa, ON</t>
        </is>
      </c>
      <c r="T372" t="n">
        <v>20</v>
      </c>
      <c r="U372" t="n">
        <v>20</v>
      </c>
      <c r="X372" t="inlineStr">
        <is>
          <t>atssc-scdata</t>
        </is>
      </c>
      <c r="Y372" t="inlineStr">
        <is>
          <t>Administrative Tribunals Support Service of Canada | Service canadien d'appui aux tribunaux administratifs</t>
        </is>
      </c>
    </row>
    <row r="373">
      <c r="A373" t="inlineStr">
        <is>
          <t>T-2018-Q1-006</t>
        </is>
      </c>
      <c r="B373" t="inlineStr">
        <is>
          <t>SLE</t>
        </is>
      </c>
      <c r="C373" t="inlineStr">
        <is>
          <t xml:space="preserve">Executive Director, Secretariat to the Canadian Cultural Property Export Review Board    </t>
        </is>
      </c>
      <c r="D373" t="inlineStr">
        <is>
          <t>Directrice exécutive, Secrétariat de la Commission canadienne d’examen des exportations de biens culturels</t>
        </is>
      </c>
      <c r="E373" t="inlineStr">
        <is>
          <t>Delphine Bishop</t>
        </is>
      </c>
      <c r="F373" t="inlineStr">
        <is>
          <t>Attend the CCPERB meeting</t>
        </is>
      </c>
      <c r="G373" t="inlineStr">
        <is>
          <t>Assister à la réunion de la CCEEBC</t>
        </is>
      </c>
      <c r="H373" s="1" t="n">
        <v>43180</v>
      </c>
      <c r="I373" s="1" t="n">
        <v>43180</v>
      </c>
      <c r="J373" t="inlineStr">
        <is>
          <t>Ottawa, ON</t>
        </is>
      </c>
      <c r="T373" t="n">
        <v>20</v>
      </c>
      <c r="U373" t="n">
        <v>20</v>
      </c>
      <c r="X373" t="inlineStr">
        <is>
          <t>atssc-scdata</t>
        </is>
      </c>
      <c r="Y373" t="inlineStr">
        <is>
          <t>Administrative Tribunals Support Service of Canada | Service canadien d'appui aux tribunaux administratifs</t>
        </is>
      </c>
    </row>
    <row r="374">
      <c r="A374" t="inlineStr">
        <is>
          <t>T-2018-Q1-007</t>
        </is>
      </c>
      <c r="B374" t="inlineStr">
        <is>
          <t>SLE</t>
        </is>
      </c>
      <c r="C374" t="inlineStr">
        <is>
          <t xml:space="preserve">Executive Director, Secretariat to the Canadian Cultural Property Export Review Board    </t>
        </is>
      </c>
      <c r="D374" t="inlineStr">
        <is>
          <t>Directrice exécutive, Secrétariat de la Commission canadienne d’examen des exportations de biens culturels</t>
        </is>
      </c>
      <c r="E374" t="inlineStr">
        <is>
          <t>Delphine Bishop</t>
        </is>
      </c>
      <c r="F374" t="inlineStr">
        <is>
          <t>Attend the CCPERB meeting</t>
        </is>
      </c>
      <c r="G374" t="inlineStr">
        <is>
          <t>Assister à la réunion de la CCEEBC</t>
        </is>
      </c>
      <c r="H374" s="1" t="n">
        <v>43181</v>
      </c>
      <c r="I374" s="1" t="n">
        <v>43181</v>
      </c>
      <c r="J374" t="inlineStr">
        <is>
          <t>Ottawa, ON</t>
        </is>
      </c>
      <c r="T374" t="n">
        <v>6</v>
      </c>
      <c r="U374" t="n">
        <v>6</v>
      </c>
      <c r="X374" t="inlineStr">
        <is>
          <t>atssc-scdata</t>
        </is>
      </c>
      <c r="Y374" t="inlineStr">
        <is>
          <t>Administrative Tribunals Support Service of Canada | Service canadien d'appui aux tribunaux administratifs</t>
        </is>
      </c>
    </row>
    <row r="375">
      <c r="A375" t="inlineStr">
        <is>
          <t>T-2018-Q1-008</t>
        </is>
      </c>
      <c r="B375" t="inlineStr">
        <is>
          <t>SLE</t>
        </is>
      </c>
      <c r="C375" t="inlineStr">
        <is>
          <t xml:space="preserve">Executive Director, Secretariat to the Canadian Cultural Property Export Review Board    </t>
        </is>
      </c>
      <c r="D375" t="inlineStr">
        <is>
          <t>Directrice exécutive, Secrétariat de la Commission canadienne d’examen des exportations de biens culturels</t>
        </is>
      </c>
      <c r="E375" t="inlineStr">
        <is>
          <t>Delphine Bishop</t>
        </is>
      </c>
      <c r="F375" t="inlineStr">
        <is>
          <t>Visit at the Canadian Museum of History</t>
        </is>
      </c>
      <c r="G375" t="inlineStr">
        <is>
          <t>Visite du Musée canadien de l'histoire</t>
        </is>
      </c>
      <c r="H375" s="1" t="n">
        <v>43181</v>
      </c>
      <c r="I375" s="1" t="n">
        <v>43181</v>
      </c>
      <c r="J375" t="inlineStr">
        <is>
          <t>Ottawa, ON</t>
        </is>
      </c>
      <c r="T375" t="n">
        <v>20</v>
      </c>
      <c r="U375" t="n">
        <v>20</v>
      </c>
      <c r="X375" t="inlineStr">
        <is>
          <t>atssc-scdata</t>
        </is>
      </c>
      <c r="Y375" t="inlineStr">
        <is>
          <t>Administrative Tribunals Support Service of Canada | Service canadien d'appui aux tribunaux administratifs</t>
        </is>
      </c>
    </row>
    <row r="376">
      <c r="A376" t="inlineStr">
        <is>
          <t>T-2018-Q1-009</t>
        </is>
      </c>
      <c r="B376" t="inlineStr">
        <is>
          <t>SLE</t>
        </is>
      </c>
      <c r="C376" t="inlineStr">
        <is>
          <t xml:space="preserve">Executive Director, Secretariat to the Canadian Cultural Property Export Review Board    </t>
        </is>
      </c>
      <c r="D376" t="inlineStr">
        <is>
          <t>Directrice exécutive, Secrétariat de la Commission canadienne d’examen des exportations de biens culturels</t>
        </is>
      </c>
      <c r="E376" t="inlineStr">
        <is>
          <t>Delphine Bishop</t>
        </is>
      </c>
      <c r="F376" t="inlineStr">
        <is>
          <t>Attend the CCPERB meeting</t>
        </is>
      </c>
      <c r="G376" t="inlineStr">
        <is>
          <t>Assister à la réunion de la CCEEBC</t>
        </is>
      </c>
      <c r="H376" s="1" t="n">
        <v>43182</v>
      </c>
      <c r="I376" s="1" t="n">
        <v>43182</v>
      </c>
      <c r="J376" t="inlineStr">
        <is>
          <t>Ottawa, ON</t>
        </is>
      </c>
      <c r="T376" t="n">
        <v>20</v>
      </c>
      <c r="U376" t="n">
        <v>20</v>
      </c>
      <c r="X376" t="inlineStr">
        <is>
          <t>atssc-scdata</t>
        </is>
      </c>
      <c r="Y376" t="inlineStr">
        <is>
          <t>Administrative Tribunals Support Service of Canada | Service canadien d'appui aux tribunaux administratifs</t>
        </is>
      </c>
    </row>
    <row r="377">
      <c r="A377" t="inlineStr">
        <is>
          <t>T-2018-Q1-010</t>
        </is>
      </c>
      <c r="B377" t="inlineStr">
        <is>
          <t>SLE</t>
        </is>
      </c>
      <c r="C377" t="inlineStr">
        <is>
          <t xml:space="preserve">Executive Director, Secretariat to the Canadian Cultural Property Export Review Board    </t>
        </is>
      </c>
      <c r="D377" t="inlineStr">
        <is>
          <t>Directrice exécutive, Secrétariat de la Commission canadienne d’examen des exportations de biens culturels</t>
        </is>
      </c>
      <c r="E377" t="inlineStr">
        <is>
          <t>Delphine Bishop</t>
        </is>
      </c>
      <c r="F377" t="inlineStr">
        <is>
          <t>Attend a Senior Management Committee meeting</t>
        </is>
      </c>
      <c r="G377" t="inlineStr">
        <is>
          <t>Participer à une rencontre du comité de la haute direction</t>
        </is>
      </c>
      <c r="H377" s="1" t="n">
        <v>43145</v>
      </c>
      <c r="I377" s="1" t="n">
        <v>43145</v>
      </c>
      <c r="J377" t="inlineStr">
        <is>
          <t>Ottawa, ON</t>
        </is>
      </c>
      <c r="T377" t="n">
        <v>20</v>
      </c>
      <c r="U377" t="n">
        <v>20</v>
      </c>
      <c r="X377" t="inlineStr">
        <is>
          <t>atssc-scdata</t>
        </is>
      </c>
      <c r="Y377" t="inlineStr">
        <is>
          <t>Administrative Tribunals Support Service of Canada | Service canadien d'appui aux tribunaux administratifs</t>
        </is>
      </c>
    </row>
    <row r="378">
      <c r="A378" t="inlineStr">
        <is>
          <t>T-2018-Q1-011</t>
        </is>
      </c>
      <c r="B378" t="inlineStr">
        <is>
          <t>SLE</t>
        </is>
      </c>
      <c r="C378" t="inlineStr">
        <is>
          <t xml:space="preserve">Executive Director, Secretariat to the Canadian Cultural Property Export Review Board    </t>
        </is>
      </c>
      <c r="D378" t="inlineStr">
        <is>
          <t>Directrice exécutive, Secrétariat de la Commission canadienne d’examen des exportations de biens culturels</t>
        </is>
      </c>
      <c r="E378" t="inlineStr">
        <is>
          <t>Delphine Bishop</t>
        </is>
      </c>
      <c r="F378" t="inlineStr">
        <is>
          <t>Attend a Senior Management Committee meeting</t>
        </is>
      </c>
      <c r="G378" t="inlineStr">
        <is>
          <t>Participer à une rencontre du comité de la haute direction</t>
        </is>
      </c>
      <c r="H378" s="1" t="n">
        <v>43188</v>
      </c>
      <c r="I378" s="1" t="n">
        <v>43188</v>
      </c>
      <c r="J378" t="inlineStr">
        <is>
          <t>Ottawa, ON</t>
        </is>
      </c>
      <c r="T378" t="n">
        <v>20</v>
      </c>
      <c r="U378" t="n">
        <v>20</v>
      </c>
      <c r="X378" t="inlineStr">
        <is>
          <t>atssc-scdata</t>
        </is>
      </c>
      <c r="Y378" t="inlineStr">
        <is>
          <t>Administrative Tribunals Support Service of Canada | Service canadien d'appui aux tribunaux administratifs</t>
        </is>
      </c>
    </row>
    <row r="379">
      <c r="A379" t="inlineStr">
        <is>
          <t>T-2018-Q1-012</t>
        </is>
      </c>
      <c r="B379" t="inlineStr">
        <is>
          <t>SLE</t>
        </is>
      </c>
      <c r="C379" t="inlineStr">
        <is>
          <t xml:space="preserve">Acting Director General, Corporate Services and CFO </t>
        </is>
      </c>
      <c r="D379" t="inlineStr">
        <is>
          <t xml:space="preserve">Directeur général, Services de gestion et DPF par intérim </t>
        </is>
      </c>
      <c r="E379" t="inlineStr">
        <is>
          <t>Christopher Bucar</t>
        </is>
      </c>
      <c r="F379" t="inlineStr">
        <is>
          <t xml:space="preserve">DCFO information session </t>
        </is>
      </c>
      <c r="G379" t="inlineStr">
        <is>
          <t>Participer a une séance d’information - ADPF</t>
        </is>
      </c>
      <c r="H379" s="1" t="n">
        <v>43223</v>
      </c>
      <c r="I379" s="1" t="n">
        <v>43223</v>
      </c>
      <c r="J379" t="inlineStr">
        <is>
          <t>Ottawa, ON</t>
        </is>
      </c>
      <c r="T379" t="n">
        <v>12</v>
      </c>
      <c r="U379" t="n">
        <v>12</v>
      </c>
      <c r="X379" t="inlineStr">
        <is>
          <t>atssc-scdata</t>
        </is>
      </c>
      <c r="Y379" t="inlineStr">
        <is>
          <t>Administrative Tribunals Support Service of Canada | Service canadien d'appui aux tribunaux administratifs</t>
        </is>
      </c>
    </row>
    <row r="380">
      <c r="A380" t="inlineStr">
        <is>
          <t>T-2018-Q1-013</t>
        </is>
      </c>
      <c r="B380" t="inlineStr">
        <is>
          <t>SLE</t>
        </is>
      </c>
      <c r="C380" t="inlineStr">
        <is>
          <t xml:space="preserve">Acting Director General, Corporate Services and CFO </t>
        </is>
      </c>
      <c r="D380" t="inlineStr">
        <is>
          <t xml:space="preserve">Directeur général, Services de gestion et DPF par intérim </t>
        </is>
      </c>
      <c r="E380" t="inlineStr">
        <is>
          <t>Christopher Bucar</t>
        </is>
      </c>
      <c r="F380" t="inlineStr">
        <is>
          <t>DCFO ADM meeting</t>
        </is>
      </c>
      <c r="G380" t="inlineStr">
        <is>
          <t>Réunion - ADPF</t>
        </is>
      </c>
      <c r="H380" s="1" t="n">
        <v>43224</v>
      </c>
      <c r="I380" s="1" t="n">
        <v>43224</v>
      </c>
      <c r="J380" t="inlineStr">
        <is>
          <t>Ottawa, ON</t>
        </is>
      </c>
      <c r="T380" t="n">
        <v>12</v>
      </c>
      <c r="U380" t="n">
        <v>12</v>
      </c>
      <c r="X380" t="inlineStr">
        <is>
          <t>atssc-scdata</t>
        </is>
      </c>
      <c r="Y380" t="inlineStr">
        <is>
          <t>Administrative Tribunals Support Service of Canada | Service canadien d'appui aux tribunaux administratifs</t>
        </is>
      </c>
    </row>
    <row r="381">
      <c r="A381" t="inlineStr">
        <is>
          <t>T-2018-Q1-014</t>
        </is>
      </c>
      <c r="B381" t="inlineStr">
        <is>
          <t>SLE</t>
        </is>
      </c>
      <c r="C381" t="inlineStr">
        <is>
          <t xml:space="preserve">Chairperson, Canada Industrial Relations Board     </t>
        </is>
      </c>
      <c r="D381" t="inlineStr">
        <is>
          <t>Présidente, Conseil canadien des relations industrielles</t>
        </is>
      </c>
      <c r="E381" t="inlineStr">
        <is>
          <t>Ginette Brazeau</t>
        </is>
      </c>
      <c r="F381" t="inlineStr">
        <is>
          <t xml:space="preserve">To attend a meeting of the Association of Labour Relations Agencies </t>
        </is>
      </c>
      <c r="G381" t="inlineStr">
        <is>
          <t xml:space="preserve">Participer à une rencontre de la Association of Labour Relations Agencies </t>
        </is>
      </c>
      <c r="H381" s="1" t="n">
        <v>43162</v>
      </c>
      <c r="I381" s="1" t="n">
        <v>43164</v>
      </c>
      <c r="J381" t="inlineStr">
        <is>
          <t>Boston, USA</t>
        </is>
      </c>
      <c r="P381" t="n">
        <v>431.75</v>
      </c>
      <c r="Q381" t="n">
        <v>189.86</v>
      </c>
      <c r="R381" t="n">
        <v>531.6900000000001</v>
      </c>
      <c r="S381" t="n">
        <v>215.83</v>
      </c>
      <c r="T381" t="n">
        <v>47</v>
      </c>
      <c r="U381" t="n">
        <v>1416.13</v>
      </c>
      <c r="X381" t="inlineStr">
        <is>
          <t>atssc-scdata</t>
        </is>
      </c>
      <c r="Y381" t="inlineStr">
        <is>
          <t>Administrative Tribunals Support Service of Canada | Service canadien d'appui aux tribunaux administratifs</t>
        </is>
      </c>
    </row>
    <row r="382">
      <c r="A382" t="inlineStr">
        <is>
          <t>T-2018-Q1-015</t>
        </is>
      </c>
      <c r="B382" t="inlineStr">
        <is>
          <t>SLE</t>
        </is>
      </c>
      <c r="C382" t="inlineStr">
        <is>
          <t xml:space="preserve">Chairperson, Canada Industrial Relations Board     </t>
        </is>
      </c>
      <c r="D382" t="inlineStr">
        <is>
          <t>Présidente, Conseil canadien des relations industrielles</t>
        </is>
      </c>
      <c r="E382" t="inlineStr">
        <is>
          <t>Ginette Brazeau</t>
        </is>
      </c>
      <c r="F382" t="inlineStr">
        <is>
          <t>Meeting concerning new powers to be conferred under Bill C-44</t>
        </is>
      </c>
      <c r="G382" t="inlineStr">
        <is>
          <t xml:space="preserve">Réunion concernant les nouveaux pouvoirs pouvant être conférés en vertu du projet de la loi C-44 </t>
        </is>
      </c>
      <c r="H382" s="1" t="n">
        <v>43223</v>
      </c>
      <c r="I382" s="1" t="n">
        <v>43225</v>
      </c>
      <c r="J382" t="inlineStr">
        <is>
          <t>Toronto, ON</t>
        </is>
      </c>
      <c r="P382" t="n">
        <v>629.0700000000001</v>
      </c>
      <c r="Q382" t="n">
        <v>24.7</v>
      </c>
      <c r="R382" t="n">
        <v>467.72</v>
      </c>
      <c r="S382" t="n">
        <v>167.3</v>
      </c>
      <c r="T382" t="n">
        <v>47</v>
      </c>
      <c r="U382" t="n">
        <v>1335.79</v>
      </c>
      <c r="X382" t="inlineStr">
        <is>
          <t>atssc-scdata</t>
        </is>
      </c>
      <c r="Y382" t="inlineStr">
        <is>
          <t>Administrative Tribunals Support Service of Canada | Service canadien d'appui aux tribunaux administratifs</t>
        </is>
      </c>
    </row>
    <row r="383">
      <c r="A383" t="inlineStr">
        <is>
          <t>T-2018-Q1-016</t>
        </is>
      </c>
      <c r="B383" t="inlineStr">
        <is>
          <t>SLE</t>
        </is>
      </c>
      <c r="C383" t="inlineStr">
        <is>
          <t xml:space="preserve">Chairperson, Canada Industrial Relations Board     </t>
        </is>
      </c>
      <c r="D383" t="inlineStr">
        <is>
          <t>Présidente, Conseil canadien des relations industrielles</t>
        </is>
      </c>
      <c r="E383" t="inlineStr">
        <is>
          <t>Ginette Brazeau</t>
        </is>
      </c>
      <c r="F383" t="inlineStr">
        <is>
          <t>Hearing file #31573-C</t>
        </is>
      </c>
      <c r="G383" t="inlineStr">
        <is>
          <t>Dossier d'audience  no 31573-C</t>
        </is>
      </c>
      <c r="H383" s="1" t="n">
        <v>43194</v>
      </c>
      <c r="I383" s="1" t="n">
        <v>43196</v>
      </c>
      <c r="J383" t="inlineStr">
        <is>
          <t>Edmonton, AB</t>
        </is>
      </c>
      <c r="P383" t="n">
        <v>3048.88</v>
      </c>
      <c r="Q383" t="n">
        <v>116</v>
      </c>
      <c r="R383" t="n">
        <v>289.64</v>
      </c>
      <c r="S383" t="n">
        <v>118.15</v>
      </c>
      <c r="T383" t="n">
        <v>47</v>
      </c>
      <c r="U383" t="n">
        <v>3619.67</v>
      </c>
      <c r="X383" t="inlineStr">
        <is>
          <t>atssc-scdata</t>
        </is>
      </c>
      <c r="Y383" t="inlineStr">
        <is>
          <t>Administrative Tribunals Support Service of Canada | Service canadien d'appui aux tribunaux administratifs</t>
        </is>
      </c>
    </row>
    <row r="384">
      <c r="A384" t="inlineStr">
        <is>
          <t>T-2018-Q3-031</t>
        </is>
      </c>
      <c r="B384" t="inlineStr">
        <is>
          <t>SLE</t>
        </is>
      </c>
      <c r="C384" t="inlineStr">
        <is>
          <t>Executive Director Canadian Cultural Property Export Review Board</t>
        </is>
      </c>
      <c r="D384" t="inlineStr">
        <is>
          <t>Directrice exécutive Commission canadienne d'examen des exportations de biens culturels</t>
        </is>
      </c>
      <c r="E384" t="inlineStr">
        <is>
          <t>Kim, Mijin</t>
        </is>
      </c>
      <c r="F384" t="inlineStr">
        <is>
          <t>Toronto Art Fair</t>
        </is>
      </c>
      <c r="G384" t="inlineStr">
        <is>
          <t>Toronto Art Fair</t>
        </is>
      </c>
      <c r="H384" s="1" t="n">
        <v>43399</v>
      </c>
      <c r="I384" s="1" t="n">
        <v>43402</v>
      </c>
      <c r="J384" t="inlineStr">
        <is>
          <t>Ottawa, Ontario</t>
        </is>
      </c>
      <c r="K384" t="inlineStr">
        <is>
          <t>Ottawa, Ontario</t>
        </is>
      </c>
      <c r="Q384" t="n">
        <v>20</v>
      </c>
      <c r="U384" t="n">
        <v>20</v>
      </c>
      <c r="X384" t="inlineStr">
        <is>
          <t>atssc-scdata</t>
        </is>
      </c>
      <c r="Y384" t="inlineStr">
        <is>
          <t>Administrative Tribunals Support Service of Canada | Service canadien d'appui aux tribunaux administratifs</t>
        </is>
      </c>
    </row>
    <row r="385">
      <c r="A385" t="inlineStr">
        <is>
          <t>T-2018-Q1-017</t>
        </is>
      </c>
      <c r="B385" t="inlineStr">
        <is>
          <t>SLE</t>
        </is>
      </c>
      <c r="C385" t="inlineStr">
        <is>
          <t xml:space="preserve">Chairperson, Canada Industrial Relations Board     </t>
        </is>
      </c>
      <c r="D385" t="inlineStr">
        <is>
          <t>Présidente, Conseil canadien des relations industrielles</t>
        </is>
      </c>
      <c r="E385" t="inlineStr">
        <is>
          <t>Ginette Brazeau</t>
        </is>
      </c>
      <c r="F385" t="inlineStr">
        <is>
          <t xml:space="preserve">To attend the 2018 Teamsters General Meeting </t>
        </is>
      </c>
      <c r="G385" t="inlineStr">
        <is>
          <t>Participer à la reunion générale des Teamsters 2018</t>
        </is>
      </c>
      <c r="H385" s="1" t="n">
        <v>43198</v>
      </c>
      <c r="I385" s="1" t="n">
        <v>43202</v>
      </c>
      <c r="J385" t="inlineStr">
        <is>
          <t>Scottsdale, Arizona</t>
        </is>
      </c>
      <c r="P385" t="n">
        <v>1050</v>
      </c>
      <c r="Q385" t="n">
        <v>89.14</v>
      </c>
      <c r="R385" t="n">
        <v>1496.87</v>
      </c>
      <c r="S385" t="n">
        <v>373.77</v>
      </c>
      <c r="T385" t="n">
        <v>117.5</v>
      </c>
      <c r="U385" t="n">
        <v>3127.28</v>
      </c>
      <c r="X385" t="inlineStr">
        <is>
          <t>atssc-scdata</t>
        </is>
      </c>
      <c r="Y385" t="inlineStr">
        <is>
          <t>Administrative Tribunals Support Service of Canada | Service canadien d'appui aux tribunaux administratifs</t>
        </is>
      </c>
    </row>
    <row r="386">
      <c r="A386" t="inlineStr">
        <is>
          <t>T-2018-Q1-018</t>
        </is>
      </c>
      <c r="B386" t="inlineStr">
        <is>
          <t>SLE</t>
        </is>
      </c>
      <c r="C386" t="inlineStr">
        <is>
          <t xml:space="preserve">Chairperson, Canada Industrial Relations Board     </t>
        </is>
      </c>
      <c r="D386" t="inlineStr">
        <is>
          <t>Présidente, Conseil canadien des relations industrielles</t>
        </is>
      </c>
      <c r="E386" t="inlineStr">
        <is>
          <t>Ginette Brazeau</t>
        </is>
      </c>
      <c r="F386" t="inlineStr">
        <is>
          <t>Hearing file # 32564-C</t>
        </is>
      </c>
      <c r="G386" t="inlineStr">
        <is>
          <t>Dossier d'audience  no 32564-C</t>
        </is>
      </c>
      <c r="H386" s="1" t="n">
        <v>43230</v>
      </c>
      <c r="I386" s="1" t="n">
        <v>43231</v>
      </c>
      <c r="J386" t="inlineStr">
        <is>
          <t>Montreal, QC</t>
        </is>
      </c>
      <c r="Q386" t="n">
        <v>212.44</v>
      </c>
      <c r="R386" t="n">
        <v>220.15</v>
      </c>
      <c r="S386" t="n">
        <v>119.95</v>
      </c>
      <c r="U386" t="n">
        <v>552.54</v>
      </c>
      <c r="X386" t="inlineStr">
        <is>
          <t>atssc-scdata</t>
        </is>
      </c>
      <c r="Y386" t="inlineStr">
        <is>
          <t>Administrative Tribunals Support Service of Canada | Service canadien d'appui aux tribunaux administratifs</t>
        </is>
      </c>
    </row>
    <row r="387">
      <c r="A387" t="inlineStr">
        <is>
          <t>T-2018-Q1-019</t>
        </is>
      </c>
      <c r="B387" t="inlineStr">
        <is>
          <t>SLE</t>
        </is>
      </c>
      <c r="C387" t="inlineStr">
        <is>
          <t xml:space="preserve">Chairperson, Canada Industrial Relations Board     </t>
        </is>
      </c>
      <c r="D387" t="inlineStr">
        <is>
          <t>Présidente, Conseil canadien des relations industrielles</t>
        </is>
      </c>
      <c r="E387" t="inlineStr">
        <is>
          <t>Ginette Brazeau</t>
        </is>
      </c>
      <c r="F387" t="inlineStr">
        <is>
          <t>Attend the National Academy of Arbitrators  Annual Meeting</t>
        </is>
      </c>
      <c r="G387" t="inlineStr">
        <is>
          <t>Participer à la rencontre annuelle du National Academy of Arbitrators</t>
        </is>
      </c>
      <c r="H387" s="1" t="n">
        <v>43243</v>
      </c>
      <c r="I387" s="1" t="n">
        <v>43246</v>
      </c>
      <c r="J387" t="inlineStr">
        <is>
          <t>Vancouver, BC</t>
        </is>
      </c>
      <c r="P387" t="n">
        <v>614.53</v>
      </c>
      <c r="Q387" t="n">
        <v>73</v>
      </c>
      <c r="S387" t="n">
        <v>241.9</v>
      </c>
      <c r="T387" t="n">
        <v>94</v>
      </c>
      <c r="U387" t="n">
        <v>1023.43</v>
      </c>
      <c r="X387" t="inlineStr">
        <is>
          <t>atssc-scdata</t>
        </is>
      </c>
      <c r="Y387" t="inlineStr">
        <is>
          <t>Administrative Tribunals Support Service of Canada | Service canadien d'appui aux tribunaux administratifs</t>
        </is>
      </c>
    </row>
    <row r="388">
      <c r="A388" t="inlineStr">
        <is>
          <t>T-2018-Q1-020</t>
        </is>
      </c>
      <c r="B388" t="inlineStr">
        <is>
          <t>SLE</t>
        </is>
      </c>
      <c r="C388" t="inlineStr">
        <is>
          <t>Executive Director and General Counsel, Secretariat to the Canada Industrial Relations Board</t>
        </is>
      </c>
      <c r="D388" t="inlineStr">
        <is>
          <t>Directrice exécutive et avocate générale, Secrétariat du Conseil canadien des relations industrielles</t>
        </is>
      </c>
      <c r="E388" t="inlineStr">
        <is>
          <t>Sylvie Guilbert</t>
        </is>
      </c>
      <c r="F388" t="inlineStr">
        <is>
          <t>Introduction and training of new regional director</t>
        </is>
      </c>
      <c r="G388" t="inlineStr">
        <is>
          <t xml:space="preserve">Introduction et formation du nouveau directeur régional </t>
        </is>
      </c>
      <c r="H388" s="1" t="n">
        <v>43128</v>
      </c>
      <c r="I388" s="1" t="n">
        <v>43132</v>
      </c>
      <c r="J388" t="inlineStr">
        <is>
          <t>Vancouver, BC</t>
        </is>
      </c>
      <c r="P388" t="n">
        <v>3105.05</v>
      </c>
      <c r="Q388" t="n">
        <v>129</v>
      </c>
      <c r="R388" t="n">
        <v>888.28</v>
      </c>
      <c r="S388" t="n">
        <v>342.55</v>
      </c>
      <c r="U388" t="n">
        <v>4464.88</v>
      </c>
      <c r="X388" t="inlineStr">
        <is>
          <t>atssc-scdata</t>
        </is>
      </c>
      <c r="Y388" t="inlineStr">
        <is>
          <t>Administrative Tribunals Support Service of Canada | Service canadien d'appui aux tribunaux administratifs</t>
        </is>
      </c>
    </row>
    <row r="389">
      <c r="A389" t="inlineStr">
        <is>
          <t>T-2018-Q1-021</t>
        </is>
      </c>
      <c r="B389" t="inlineStr">
        <is>
          <t>SLE</t>
        </is>
      </c>
      <c r="C389" t="inlineStr">
        <is>
          <t>Executive Director and General Counsel, Secretariat to the Canada Industrial Relations Board</t>
        </is>
      </c>
      <c r="D389" t="inlineStr">
        <is>
          <t>Directrice exécutive et avocate générale, Secrétariat du Conseil canadien des relations industrielles</t>
        </is>
      </c>
      <c r="E389" t="inlineStr">
        <is>
          <t>Sylvie Guilbert</t>
        </is>
      </c>
      <c r="F389" t="inlineStr">
        <is>
          <t xml:space="preserve">Staffing competition </t>
        </is>
      </c>
      <c r="G389" t="inlineStr">
        <is>
          <t xml:space="preserve">Concours de dotation </t>
        </is>
      </c>
      <c r="H389" s="1" t="n">
        <v>43215</v>
      </c>
      <c r="I389" s="1" t="n">
        <v>43217</v>
      </c>
      <c r="J389" t="inlineStr">
        <is>
          <t>Montreal, Qc</t>
        </is>
      </c>
      <c r="Q389" t="n">
        <v>239.2</v>
      </c>
      <c r="R389" t="n">
        <v>299.88</v>
      </c>
      <c r="S389" t="n">
        <v>293.15</v>
      </c>
      <c r="T389" t="n">
        <v>42.5</v>
      </c>
      <c r="U389" t="n">
        <v>874.73</v>
      </c>
      <c r="X389" t="inlineStr">
        <is>
          <t>atssc-scdata</t>
        </is>
      </c>
      <c r="Y389" t="inlineStr">
        <is>
          <t>Administrative Tribunals Support Service of Canada | Service canadien d'appui aux tribunaux administratifs</t>
        </is>
      </c>
    </row>
    <row r="390">
      <c r="A390" t="inlineStr">
        <is>
          <t>T-2018-Q1-022</t>
        </is>
      </c>
      <c r="B390" t="inlineStr">
        <is>
          <t>SLE</t>
        </is>
      </c>
      <c r="C390" t="inlineStr">
        <is>
          <t>Executive Director and General Counsel, Secretariat to the Canada Industrial Relations Board</t>
        </is>
      </c>
      <c r="D390" t="inlineStr">
        <is>
          <t>Directrice exécutive et avocate générale, Secrétariat du Conseil canadien des relations industrielles</t>
        </is>
      </c>
      <c r="E390" t="inlineStr">
        <is>
          <t>Sylvie Guilbert</t>
        </is>
      </c>
      <c r="F390" t="inlineStr">
        <is>
          <t>Recruitment and staffing process</t>
        </is>
      </c>
      <c r="G390" t="inlineStr">
        <is>
          <t xml:space="preserve">Processus de recrutement et de dotation </t>
        </is>
      </c>
      <c r="H390" s="1" t="n">
        <v>43150</v>
      </c>
      <c r="I390" s="1" t="n">
        <v>43152</v>
      </c>
      <c r="J390" t="inlineStr">
        <is>
          <t>Montreal, Qc</t>
        </is>
      </c>
      <c r="Q390" t="n">
        <v>282.7</v>
      </c>
      <c r="R390" t="n">
        <v>366.52</v>
      </c>
      <c r="S390" t="n">
        <v>222.6</v>
      </c>
      <c r="U390" t="n">
        <v>871.8200000000001</v>
      </c>
      <c r="X390" t="inlineStr">
        <is>
          <t>atssc-scdata</t>
        </is>
      </c>
      <c r="Y390" t="inlineStr">
        <is>
          <t>Administrative Tribunals Support Service of Canada | Service canadien d'appui aux tribunaux administratifs</t>
        </is>
      </c>
    </row>
    <row r="391">
      <c r="A391" t="inlineStr">
        <is>
          <t>T-2018-Q1-023</t>
        </is>
      </c>
      <c r="B391" t="inlineStr">
        <is>
          <t>SLE</t>
        </is>
      </c>
      <c r="C391" t="inlineStr">
        <is>
          <t xml:space="preserve">Chairperson, Canadian Cultural Property Export Review Board        </t>
        </is>
      </c>
      <c r="D391" t="inlineStr">
        <is>
          <t>Présidente, Commission canadienne d’examen des exportations de biens culturels</t>
        </is>
      </c>
      <c r="E391" t="inlineStr">
        <is>
          <t>Sharilyn Ingram</t>
        </is>
      </c>
      <c r="F391" t="inlineStr">
        <is>
          <t>Attend the CCPERB meeting</t>
        </is>
      </c>
      <c r="G391" t="inlineStr">
        <is>
          <t>Participer à la réunion de la CCEEBC</t>
        </is>
      </c>
      <c r="H391" s="1" t="n">
        <v>43178</v>
      </c>
      <c r="I391" s="1" t="n">
        <v>43182</v>
      </c>
      <c r="J391" t="inlineStr">
        <is>
          <t>Ottawa, Ontario</t>
        </is>
      </c>
      <c r="P391" t="n">
        <v>668.6799999999999</v>
      </c>
      <c r="Q391" t="n">
        <v>243.92</v>
      </c>
      <c r="S391" t="n">
        <v>494.15</v>
      </c>
      <c r="U391" t="n">
        <v>1406.75</v>
      </c>
      <c r="X391" t="inlineStr">
        <is>
          <t>atssc-scdata</t>
        </is>
      </c>
      <c r="Y391" t="inlineStr">
        <is>
          <t>Administrative Tribunals Support Service of Canada | Service canadien d'appui aux tribunaux administratifs</t>
        </is>
      </c>
    </row>
    <row r="392">
      <c r="A392" t="inlineStr">
        <is>
          <t>T-2018-Q1-024</t>
        </is>
      </c>
      <c r="B392" t="inlineStr">
        <is>
          <t>SLE</t>
        </is>
      </c>
      <c r="C392" t="inlineStr">
        <is>
          <t xml:space="preserve">Chairperson, Canadian Cultural Property Export Review Board        </t>
        </is>
      </c>
      <c r="D392" t="inlineStr">
        <is>
          <t>Présidente, Commission canadienne d’examen des exportations de biens culturels</t>
        </is>
      </c>
      <c r="E392" t="inlineStr">
        <is>
          <t>Sharilyn Ingram</t>
        </is>
      </c>
      <c r="F392" t="inlineStr">
        <is>
          <t>Attend the preparation day of  the CCPERB meeting</t>
        </is>
      </c>
      <c r="G392" t="inlineStr">
        <is>
          <t>Assister à la journée préparatoire de la réunion de la CCEEBC</t>
        </is>
      </c>
      <c r="H392" s="1" t="n">
        <v>43167</v>
      </c>
      <c r="I392" s="1" t="n">
        <v>43168</v>
      </c>
      <c r="J392" t="inlineStr">
        <is>
          <t>Gatineau, Qc</t>
        </is>
      </c>
      <c r="P392" t="n">
        <v>502.68</v>
      </c>
      <c r="Q392" t="n">
        <v>248.92</v>
      </c>
      <c r="S392" t="n">
        <v>186.2</v>
      </c>
      <c r="U392" t="n">
        <v>937.8</v>
      </c>
      <c r="X392" t="inlineStr">
        <is>
          <t>atssc-scdata</t>
        </is>
      </c>
      <c r="Y392" t="inlineStr">
        <is>
          <t>Administrative Tribunals Support Service of Canada | Service canadien d'appui aux tribunaux administratifs</t>
        </is>
      </c>
    </row>
    <row r="393">
      <c r="A393" t="inlineStr">
        <is>
          <t>T-2018-Q1-025</t>
        </is>
      </c>
      <c r="B393" t="inlineStr">
        <is>
          <t>SLE</t>
        </is>
      </c>
      <c r="C393" t="inlineStr">
        <is>
          <t>Chief Administrator, Administrative Tribunals Support Service of Canada</t>
        </is>
      </c>
      <c r="D393" t="inlineStr">
        <is>
          <t>Administrateur en chef, Service canadien d'appui aux Tribunaux Administratifs</t>
        </is>
      </c>
      <c r="E393" t="inlineStr">
        <is>
          <t>Marie-France Pelletier</t>
        </is>
      </c>
      <c r="F393" t="inlineStr">
        <is>
          <t>To participate as a panelist at the "Six Minute Administrative Lawyer 2018" and visit the CIRB office</t>
        </is>
      </c>
      <c r="G393" t="inlineStr">
        <is>
          <t>Participer a "Six Minute Administrative Lawyer 2018" et visiter les bureaux de CCRI</t>
        </is>
      </c>
      <c r="H393" s="1" t="n">
        <v>43159</v>
      </c>
      <c r="I393" s="1" t="n">
        <v>43161</v>
      </c>
      <c r="J393" t="inlineStr">
        <is>
          <t>Toronto, On</t>
        </is>
      </c>
      <c r="P393" t="n">
        <v>620.37</v>
      </c>
      <c r="Q393" t="n">
        <v>105</v>
      </c>
      <c r="R393" t="n">
        <v>368.9</v>
      </c>
      <c r="S393" t="n">
        <v>222.6</v>
      </c>
      <c r="U393" t="n">
        <v>1316.87</v>
      </c>
      <c r="X393" t="inlineStr">
        <is>
          <t>atssc-scdata</t>
        </is>
      </c>
      <c r="Y393" t="inlineStr">
        <is>
          <t>Administrative Tribunals Support Service of Canada | Service canadien d'appui aux tribunaux administratifs</t>
        </is>
      </c>
    </row>
    <row r="394">
      <c r="A394" t="inlineStr">
        <is>
          <t>T-2018-Q1-026</t>
        </is>
      </c>
      <c r="B394" t="inlineStr">
        <is>
          <t>SLE</t>
        </is>
      </c>
      <c r="C394" t="inlineStr">
        <is>
          <t xml:space="preserve">Chairperson, Canadian Human Rights Tribunal        </t>
        </is>
      </c>
      <c r="D394" t="inlineStr">
        <is>
          <t xml:space="preserve">Président, Tribunal canadien des droits de la personne </t>
        </is>
      </c>
      <c r="E394" t="inlineStr">
        <is>
          <t xml:space="preserve">David Thomas </t>
        </is>
      </c>
      <c r="F394" t="inlineStr">
        <is>
          <t>Participate at the Leadership and Management workshop (Dealing with difficult people)</t>
        </is>
      </c>
      <c r="G394" t="inlineStr">
        <is>
          <t>Pour participer à un atelier sur la gestion et le leadership ( composer avec des personnes difficiles)</t>
        </is>
      </c>
      <c r="H394" s="1" t="n">
        <v>43165</v>
      </c>
      <c r="I394" s="1" t="n">
        <v>43167</v>
      </c>
      <c r="J394" t="inlineStr">
        <is>
          <t>Toronto, ON</t>
        </is>
      </c>
      <c r="Q394" t="n">
        <v>550.38</v>
      </c>
      <c r="R394" t="n">
        <v>812.04</v>
      </c>
      <c r="S394" t="n">
        <v>332.8</v>
      </c>
      <c r="U394" t="n">
        <v>1695.22</v>
      </c>
      <c r="X394" t="inlineStr">
        <is>
          <t>atssc-scdata</t>
        </is>
      </c>
      <c r="Y394" t="inlineStr">
        <is>
          <t>Administrative Tribunals Support Service of Canada | Service canadien d'appui aux tribunaux administratifs</t>
        </is>
      </c>
    </row>
    <row r="395">
      <c r="A395" t="inlineStr">
        <is>
          <t>T-2018-Q1-027</t>
        </is>
      </c>
      <c r="B395" t="inlineStr">
        <is>
          <t>SLE</t>
        </is>
      </c>
      <c r="C395" t="inlineStr">
        <is>
          <t xml:space="preserve">Chairperson, Canadian Human Rights Tribunal        </t>
        </is>
      </c>
      <c r="D395" t="inlineStr">
        <is>
          <t xml:space="preserve">Président, Tribunal canadien des droits de la personne </t>
        </is>
      </c>
      <c r="E395" t="inlineStr">
        <is>
          <t xml:space="preserve">David Thomas </t>
        </is>
      </c>
      <c r="F395" t="inlineStr">
        <is>
          <t>Queen's University outreach</t>
        </is>
      </c>
      <c r="G395" t="inlineStr">
        <is>
          <t>Discours a l'université Queen's</t>
        </is>
      </c>
      <c r="H395" s="1" t="n">
        <v>43007</v>
      </c>
      <c r="I395" s="1" t="n">
        <v>43007</v>
      </c>
      <c r="J395" t="inlineStr">
        <is>
          <t>Kingston, ON</t>
        </is>
      </c>
      <c r="Q395" t="n">
        <v>202.02</v>
      </c>
      <c r="S395" t="n">
        <v>81.15000000000001</v>
      </c>
      <c r="U395" t="n">
        <v>283.17</v>
      </c>
      <c r="X395" t="inlineStr">
        <is>
          <t>atssc-scdata</t>
        </is>
      </c>
      <c r="Y395" t="inlineStr">
        <is>
          <t>Administrative Tribunals Support Service of Canada | Service canadien d'appui aux tribunaux administratifs</t>
        </is>
      </c>
    </row>
    <row r="396">
      <c r="A396" t="inlineStr">
        <is>
          <t>T-2018-Q2-001</t>
        </is>
      </c>
      <c r="B396" t="inlineStr">
        <is>
          <t>SLE</t>
        </is>
      </c>
      <c r="C396" t="inlineStr">
        <is>
          <t xml:space="preserve">Chairperson, Canada Agricultural Review Tribunal           </t>
        </is>
      </c>
      <c r="D396" t="inlineStr">
        <is>
          <t xml:space="preserve"> Président, Commission de révision agricole du Canada</t>
        </is>
      </c>
      <c r="E396" t="inlineStr">
        <is>
          <t>Bélanger, Luc</t>
        </is>
      </c>
      <c r="F396" t="inlineStr">
        <is>
          <t>Hearing file #  CART-1894, Hamelin</t>
        </is>
      </c>
      <c r="G396" t="inlineStr">
        <is>
          <t>Dossier d'audience no CRAC-1894, Hamelin</t>
        </is>
      </c>
      <c r="H396" s="1" t="n">
        <v>43234</v>
      </c>
      <c r="I396" s="1" t="n">
        <v>43236</v>
      </c>
      <c r="J396" t="inlineStr">
        <is>
          <t>Montreal, QC</t>
        </is>
      </c>
      <c r="Q396" t="n">
        <v>243.36</v>
      </c>
      <c r="R396" t="n">
        <v>418.88</v>
      </c>
      <c r="S396" t="n">
        <v>292.85</v>
      </c>
      <c r="T396" t="n">
        <v>62</v>
      </c>
      <c r="U396" t="n">
        <v>1017.09</v>
      </c>
      <c r="X396" t="inlineStr">
        <is>
          <t>atssc-scdata</t>
        </is>
      </c>
      <c r="Y396" t="inlineStr">
        <is>
          <t>Administrative Tribunals Support Service of Canada | Service canadien d'appui aux tribunaux administratifs</t>
        </is>
      </c>
    </row>
    <row r="397">
      <c r="A397" t="inlineStr">
        <is>
          <t>T-2018-Q2-002</t>
        </is>
      </c>
      <c r="B397" t="inlineStr">
        <is>
          <t>SLE</t>
        </is>
      </c>
      <c r="C397" t="inlineStr">
        <is>
          <t xml:space="preserve">Chairperson, Canada Agricultural Review Tribunal           </t>
        </is>
      </c>
      <c r="D397" t="inlineStr">
        <is>
          <t xml:space="preserve"> Président, Commission de révision agricole du Canada</t>
        </is>
      </c>
      <c r="E397" t="inlineStr">
        <is>
          <t>Bélanger, Luc</t>
        </is>
      </c>
      <c r="F397" t="inlineStr">
        <is>
          <t>Reimbursement for stamps</t>
        </is>
      </c>
      <c r="G397" t="inlineStr">
        <is>
          <t>Remboursement d'étampes</t>
        </is>
      </c>
      <c r="H397" s="1" t="n">
        <v>43293</v>
      </c>
      <c r="I397" s="1" t="n">
        <v>43293</v>
      </c>
      <c r="J397" t="inlineStr">
        <is>
          <t>Ottawa, ON</t>
        </is>
      </c>
      <c r="T397" t="n">
        <v>4.07</v>
      </c>
      <c r="U397" t="n">
        <v>4.07</v>
      </c>
      <c r="X397" t="inlineStr">
        <is>
          <t>atssc-scdata</t>
        </is>
      </c>
      <c r="Y397" t="inlineStr">
        <is>
          <t>Administrative Tribunals Support Service of Canada | Service canadien d'appui aux tribunaux administratifs</t>
        </is>
      </c>
    </row>
    <row r="398">
      <c r="A398" t="inlineStr">
        <is>
          <t>T-2018-Q2-003</t>
        </is>
      </c>
      <c r="B398" t="inlineStr">
        <is>
          <t>SLE</t>
        </is>
      </c>
      <c r="C398" t="inlineStr">
        <is>
          <t xml:space="preserve">Executive Director, Secretariat to the Canadian Cultural Property Export Review Board    </t>
        </is>
      </c>
      <c r="D398" t="inlineStr">
        <is>
          <t>Directrice exécutive, Secrétariat de la Commission canadienne d’examen des exportations de biens culturels</t>
        </is>
      </c>
      <c r="E398" t="inlineStr">
        <is>
          <t>Delphine Bishop</t>
        </is>
      </c>
      <c r="F398" t="inlineStr">
        <is>
          <t>Attend a meeting with Anick Pelletier</t>
        </is>
      </c>
      <c r="G398" t="inlineStr">
        <is>
          <t>Assister à une réunion avec Anick Pelletier</t>
        </is>
      </c>
      <c r="H398" s="1" t="n">
        <v>43250</v>
      </c>
      <c r="I398" s="1" t="n">
        <v>43250</v>
      </c>
      <c r="J398" t="inlineStr">
        <is>
          <t>Ottawa, ON</t>
        </is>
      </c>
      <c r="Q398" t="n">
        <v>18</v>
      </c>
      <c r="U398" t="n">
        <v>18</v>
      </c>
      <c r="X398" t="inlineStr">
        <is>
          <t>atssc-scdata</t>
        </is>
      </c>
      <c r="Y398" t="inlineStr">
        <is>
          <t>Administrative Tribunals Support Service of Canada | Service canadien d'appui aux tribunaux administratifs</t>
        </is>
      </c>
    </row>
    <row r="399">
      <c r="A399" t="inlineStr">
        <is>
          <t>T-2018-Q2-004</t>
        </is>
      </c>
      <c r="B399" t="inlineStr">
        <is>
          <t>SLE</t>
        </is>
      </c>
      <c r="C399" t="inlineStr">
        <is>
          <t xml:space="preserve">Chairperson, Canada Industrial Relations Board </t>
        </is>
      </c>
      <c r="D399" t="inlineStr">
        <is>
          <t>Présidente, Conseil canadien des relations industrielles</t>
        </is>
      </c>
      <c r="E399" t="inlineStr">
        <is>
          <t xml:space="preserve">Brazeau, Ginette </t>
        </is>
      </c>
      <c r="F399" t="inlineStr">
        <is>
          <t xml:space="preserve">To attend a meeting of the Association of Labour Relations Agencies </t>
        </is>
      </c>
      <c r="G399" t="inlineStr">
        <is>
          <t xml:space="preserve">Participer à une rencontre de la Association of Labour Relations Agencies </t>
        </is>
      </c>
      <c r="H399" s="1" t="n">
        <v>43302</v>
      </c>
      <c r="I399" s="1" t="n">
        <v>43306</v>
      </c>
      <c r="J399" t="inlineStr">
        <is>
          <t>Boston, USA</t>
        </is>
      </c>
      <c r="P399" t="n">
        <v>530.54</v>
      </c>
      <c r="Q399" t="n">
        <v>54.83</v>
      </c>
      <c r="R399" t="n">
        <v>1748.59</v>
      </c>
      <c r="S399" t="n">
        <v>362.93</v>
      </c>
      <c r="U399" t="n">
        <v>2696.89</v>
      </c>
      <c r="X399" t="inlineStr">
        <is>
          <t>atssc-scdata</t>
        </is>
      </c>
      <c r="Y399" t="inlineStr">
        <is>
          <t>Administrative Tribunals Support Service of Canada | Service canadien d'appui aux tribunaux administratifs</t>
        </is>
      </c>
    </row>
    <row r="400">
      <c r="A400" t="inlineStr">
        <is>
          <t>T-2018-Q2-005</t>
        </is>
      </c>
      <c r="B400" t="inlineStr">
        <is>
          <t>SLE</t>
        </is>
      </c>
      <c r="C400" t="inlineStr">
        <is>
          <t xml:space="preserve">Chairperson, Canada Industrial Relations Board </t>
        </is>
      </c>
      <c r="D400" t="inlineStr">
        <is>
          <t>Présidente, Conseil canadien des relations industrielles</t>
        </is>
      </c>
      <c r="E400" t="inlineStr">
        <is>
          <t xml:space="preserve">Brazeau, Ginette </t>
        </is>
      </c>
      <c r="F400" t="inlineStr">
        <is>
          <t>Hearing file # 32417,32471 &amp;32489</t>
        </is>
      </c>
      <c r="G400" t="inlineStr">
        <is>
          <t>Dossier d'audience  no 32417,32471  et 32489</t>
        </is>
      </c>
      <c r="H400" s="1" t="n">
        <v>43296</v>
      </c>
      <c r="I400" s="1" t="n">
        <v>43301</v>
      </c>
      <c r="J400" t="inlineStr">
        <is>
          <t>Vancouver, BC</t>
        </is>
      </c>
      <c r="P400" t="n">
        <v>2428.49</v>
      </c>
      <c r="Q400" t="n">
        <v>66.23999999999999</v>
      </c>
      <c r="R400" t="n">
        <v>2056.3</v>
      </c>
      <c r="S400" t="n">
        <v>492.55</v>
      </c>
      <c r="U400" t="n">
        <v>5043.58</v>
      </c>
      <c r="X400" t="inlineStr">
        <is>
          <t>atssc-scdata</t>
        </is>
      </c>
      <c r="Y400" t="inlineStr">
        <is>
          <t>Administrative Tribunals Support Service of Canada | Service canadien d'appui aux tribunaux administratifs</t>
        </is>
      </c>
    </row>
    <row r="401">
      <c r="A401" t="inlineStr">
        <is>
          <t>T-2018-Q3-001</t>
        </is>
      </c>
      <c r="B401" t="inlineStr">
        <is>
          <t>SLE</t>
        </is>
      </c>
      <c r="C401" t="inlineStr">
        <is>
          <t xml:space="preserve">Chairperson, Canada Agricultural Review Tribunal           </t>
        </is>
      </c>
      <c r="D401" t="inlineStr">
        <is>
          <t xml:space="preserve"> Président, Commission de révision agricole du Canada</t>
        </is>
      </c>
      <c r="E401" t="inlineStr">
        <is>
          <t>Bélanger, Luc</t>
        </is>
      </c>
      <c r="F401" t="inlineStr">
        <is>
          <t>Hearing in Vancouver</t>
        </is>
      </c>
      <c r="G401" t="inlineStr">
        <is>
          <t>Audience à Vancouver</t>
        </is>
      </c>
      <c r="H401" s="1" t="n">
        <v>43351</v>
      </c>
      <c r="I401" s="1" t="n">
        <v>43358</v>
      </c>
      <c r="J401" t="inlineStr">
        <is>
          <t>Vancouver, British Columbia</t>
        </is>
      </c>
      <c r="K401" t="inlineStr">
        <is>
          <t>Vancouver, Colombie-Britannique</t>
        </is>
      </c>
      <c r="P401" t="n">
        <v>1003.07</v>
      </c>
      <c r="Q401" t="n">
        <v>651.3</v>
      </c>
      <c r="R401" t="n">
        <v>1917.5</v>
      </c>
      <c r="S401" t="n">
        <v>658</v>
      </c>
      <c r="U401" t="n">
        <v>4229.87</v>
      </c>
      <c r="X401" t="inlineStr">
        <is>
          <t>atssc-scdata</t>
        </is>
      </c>
      <c r="Y401" t="inlineStr">
        <is>
          <t>Administrative Tribunals Support Service of Canada | Service canadien d'appui aux tribunaux administratifs</t>
        </is>
      </c>
    </row>
    <row r="402">
      <c r="A402" t="inlineStr">
        <is>
          <t>T-2018-Q2-006</t>
        </is>
      </c>
      <c r="B402" t="inlineStr">
        <is>
          <t>SLE</t>
        </is>
      </c>
      <c r="C402" t="inlineStr">
        <is>
          <t xml:space="preserve">Chairperson, Canada Industrial Relations Board </t>
        </is>
      </c>
      <c r="D402" t="inlineStr">
        <is>
          <t>Présidente, Conseil canadien des relations industrielles</t>
        </is>
      </c>
      <c r="E402" t="inlineStr">
        <is>
          <t xml:space="preserve">Brazeau, Ginette </t>
        </is>
      </c>
      <c r="F402" t="inlineStr">
        <is>
          <t>Attend the National Academy of Arbitrators  Annual Meeting</t>
        </is>
      </c>
      <c r="G402" t="inlineStr">
        <is>
          <t>Participer à la rencontre annuelle du National Academy of Arbitrators</t>
        </is>
      </c>
      <c r="H402" s="1" t="n">
        <v>43314</v>
      </c>
      <c r="I402" s="1" t="n">
        <v>43317</v>
      </c>
      <c r="J402" t="inlineStr">
        <is>
          <t>Quebec, QC</t>
        </is>
      </c>
      <c r="Q402" t="n">
        <v>468.54</v>
      </c>
      <c r="R402" t="n">
        <v>473.64</v>
      </c>
      <c r="S402" t="n">
        <v>244.7</v>
      </c>
      <c r="T402" t="n">
        <v>486</v>
      </c>
      <c r="U402" t="n">
        <v>1672.88</v>
      </c>
      <c r="X402" t="inlineStr">
        <is>
          <t>atssc-scdata</t>
        </is>
      </c>
      <c r="Y402" t="inlineStr">
        <is>
          <t>Administrative Tribunals Support Service of Canada | Service canadien d'appui aux tribunaux administratifs</t>
        </is>
      </c>
    </row>
    <row r="403">
      <c r="A403" t="inlineStr">
        <is>
          <t>T-2018-Q2-007</t>
        </is>
      </c>
      <c r="B403" t="inlineStr">
        <is>
          <t>SLE</t>
        </is>
      </c>
      <c r="C403" t="inlineStr">
        <is>
          <t>Executive Director and General Counsel, Secretariat to the Canadian International Trade Tribunal</t>
        </is>
      </c>
      <c r="D403" t="inlineStr">
        <is>
          <t>Directeur exécutif et avocat général, Secrétariat du Tribunal canadien du commerce extérieur</t>
        </is>
      </c>
      <c r="E403" t="inlineStr">
        <is>
          <t>Covelli, Nick</t>
        </is>
      </c>
      <c r="F403" t="inlineStr">
        <is>
          <t>International Forum on Trade Remedies 2018</t>
        </is>
      </c>
      <c r="G403" t="inlineStr">
        <is>
          <t>Forum International sur les recours commerciaux 2018</t>
        </is>
      </c>
      <c r="H403" s="1" t="n">
        <v>43282</v>
      </c>
      <c r="I403" s="1" t="n">
        <v>43286</v>
      </c>
      <c r="J403" t="inlineStr">
        <is>
          <t>Seoul, SK</t>
        </is>
      </c>
      <c r="Q403" t="n">
        <v>35.96</v>
      </c>
      <c r="S403" t="n">
        <v>398.65</v>
      </c>
      <c r="T403" t="n">
        <v>541.4</v>
      </c>
      <c r="U403" t="n">
        <v>976.01</v>
      </c>
      <c r="X403" t="inlineStr">
        <is>
          <t>atssc-scdata</t>
        </is>
      </c>
      <c r="Y403" t="inlineStr">
        <is>
          <t>Administrative Tribunals Support Service of Canada | Service canadien d'appui aux tribunaux administratifs</t>
        </is>
      </c>
    </row>
    <row r="404">
      <c r="A404" t="inlineStr">
        <is>
          <t>T-2018-Q2-008</t>
        </is>
      </c>
      <c r="B404" t="inlineStr">
        <is>
          <t>SLE</t>
        </is>
      </c>
      <c r="C404" t="inlineStr">
        <is>
          <t>Chairperson, Federal Public Service Labour Relations and Employment Board Tribunal</t>
        </is>
      </c>
      <c r="D404" t="inlineStr">
        <is>
          <t>Présidente, Tribunal de la commission des relations de travail et de l’emploi dans le secteur public fédéral</t>
        </is>
      </c>
      <c r="E404" t="inlineStr">
        <is>
          <t>Ebbs, Catherine</t>
        </is>
      </c>
      <c r="F404" t="inlineStr">
        <is>
          <t>Attend a Hearing file#566-02-11835 (JEDDRY)</t>
        </is>
      </c>
      <c r="G404" t="inlineStr">
        <is>
          <t>Participer à une audience le  # de dossier est le  566-02-18835 (JEDDRY)</t>
        </is>
      </c>
      <c r="H404" s="1" t="n">
        <v>43270</v>
      </c>
      <c r="I404" s="1" t="n">
        <v>43271</v>
      </c>
      <c r="J404" t="inlineStr">
        <is>
          <t>Halifax, NS</t>
        </is>
      </c>
      <c r="Q404" t="n">
        <v>677.4400000000001</v>
      </c>
      <c r="R404" t="n">
        <v>168.18</v>
      </c>
      <c r="S404" t="n">
        <v>228.74</v>
      </c>
      <c r="T404" t="n">
        <v>169.55</v>
      </c>
      <c r="U404" t="n">
        <v>1243.91</v>
      </c>
      <c r="X404" t="inlineStr">
        <is>
          <t>atssc-scdata</t>
        </is>
      </c>
      <c r="Y404" t="inlineStr">
        <is>
          <t>Administrative Tribunals Support Service of Canada | Service canadien d'appui aux tribunaux administratifs</t>
        </is>
      </c>
    </row>
    <row r="405">
      <c r="A405" t="inlineStr">
        <is>
          <t>T-2018-Q2-009</t>
        </is>
      </c>
      <c r="B405" t="inlineStr">
        <is>
          <t>SLE</t>
        </is>
      </c>
      <c r="C405" t="inlineStr">
        <is>
          <t>Vice-Chairperson, Secretariat to the Social Security Tribunal</t>
        </is>
      </c>
      <c r="D405" t="inlineStr">
        <is>
          <t xml:space="preserve">Vice-président, Secrétariat du Tribunal de la sécurité sociale </t>
        </is>
      </c>
      <c r="E405" t="inlineStr">
        <is>
          <t xml:space="preserve">Giguère, Guy </t>
        </is>
      </c>
      <c r="F405" t="inlineStr">
        <is>
          <t>Attend the Council of Canadian Administrative Tribunals Symposium</t>
        </is>
      </c>
      <c r="G405" t="inlineStr">
        <is>
          <t>Participer au symposium du Conseil des tribunaux administratifs canadiens</t>
        </is>
      </c>
      <c r="H405" s="1" t="n">
        <v>43254</v>
      </c>
      <c r="I405" s="1" t="n">
        <v>43256</v>
      </c>
      <c r="J405" t="inlineStr">
        <is>
          <t>Gatineau,QC</t>
        </is>
      </c>
      <c r="Q405" t="n">
        <v>69.56</v>
      </c>
      <c r="U405" t="n">
        <v>69.56</v>
      </c>
      <c r="X405" t="inlineStr">
        <is>
          <t>atssc-scdata</t>
        </is>
      </c>
      <c r="Y405" t="inlineStr">
        <is>
          <t>Administrative Tribunals Support Service of Canada | Service canadien d'appui aux tribunaux administratifs</t>
        </is>
      </c>
    </row>
    <row r="406">
      <c r="A406" t="inlineStr">
        <is>
          <t>T-2018-Q2-010</t>
        </is>
      </c>
      <c r="B406" t="inlineStr">
        <is>
          <t>SLE</t>
        </is>
      </c>
      <c r="C406" t="inlineStr">
        <is>
          <t>Executive Director and General Counsel, Secretariat to the Canada Industrial Relations Board</t>
        </is>
      </c>
      <c r="D406" t="inlineStr">
        <is>
          <t>Directrice exécutive et avocate générale, Secrétariat du Conseil canadien des relations industrielles</t>
        </is>
      </c>
      <c r="E406" t="inlineStr">
        <is>
          <t xml:space="preserve">Guilbert, Sylvie </t>
        </is>
      </c>
      <c r="F406" t="inlineStr">
        <is>
          <t>To attend a conference of the Association of Labour Relations Agencies (ALRA)</t>
        </is>
      </c>
      <c r="G406" t="inlineStr">
        <is>
          <t>Participer à une conférence de Association of Labour Relations Agencies (ALRA)</t>
        </is>
      </c>
      <c r="H406" s="1" t="n">
        <v>43301</v>
      </c>
      <c r="I406" s="1" t="n">
        <v>43306</v>
      </c>
      <c r="J406" t="inlineStr">
        <is>
          <t>Boston, USA</t>
        </is>
      </c>
      <c r="P406" t="n">
        <v>1024.04</v>
      </c>
      <c r="Q406" t="n">
        <v>100.32</v>
      </c>
      <c r="R406" t="n">
        <v>1600.43</v>
      </c>
      <c r="S406" t="n">
        <v>487.68</v>
      </c>
      <c r="U406" t="n">
        <v>3212.47</v>
      </c>
      <c r="X406" t="inlineStr">
        <is>
          <t>atssc-scdata</t>
        </is>
      </c>
      <c r="Y406" t="inlineStr">
        <is>
          <t>Administrative Tribunals Support Service of Canada | Service canadien d'appui aux tribunaux administratifs</t>
        </is>
      </c>
    </row>
    <row r="407">
      <c r="A407" t="inlineStr">
        <is>
          <t>T-2018-Q2-011</t>
        </is>
      </c>
      <c r="B407" t="inlineStr">
        <is>
          <t>SLE</t>
        </is>
      </c>
      <c r="C407" t="inlineStr">
        <is>
          <t>Executive Director and General Counsel, Secretariat to the Canada Industrial Relations Board</t>
        </is>
      </c>
      <c r="D407" t="inlineStr">
        <is>
          <t>Directrice exécutive et avocate générale, Secrétariat du Conseil canadien des relations industrielles</t>
        </is>
      </c>
      <c r="E407" t="inlineStr">
        <is>
          <t xml:space="preserve">Guilbert, Sylvie </t>
        </is>
      </c>
      <c r="F407" t="inlineStr">
        <is>
          <t xml:space="preserve">Attend the PM-MCO Competition </t>
        </is>
      </c>
      <c r="G407" t="inlineStr">
        <is>
          <t>Participer à la compétition de PM-MCO</t>
        </is>
      </c>
      <c r="H407" s="1" t="n">
        <v>43247</v>
      </c>
      <c r="I407" s="1" t="n">
        <v>43249</v>
      </c>
      <c r="J407" t="inlineStr">
        <is>
          <t>Montreal, QC</t>
        </is>
      </c>
      <c r="R407" t="n">
        <v>495.02</v>
      </c>
      <c r="S407" t="n">
        <v>292.85</v>
      </c>
      <c r="U407" t="n">
        <v>787.87</v>
      </c>
      <c r="X407" t="inlineStr">
        <is>
          <t>atssc-scdata</t>
        </is>
      </c>
      <c r="Y407" t="inlineStr">
        <is>
          <t>Administrative Tribunals Support Service of Canada | Service canadien d'appui aux tribunaux administratifs</t>
        </is>
      </c>
    </row>
    <row r="408">
      <c r="A408" t="inlineStr">
        <is>
          <t>T-2018-Q2-012</t>
        </is>
      </c>
      <c r="B408" t="inlineStr">
        <is>
          <t>SLE</t>
        </is>
      </c>
      <c r="C408" t="inlineStr">
        <is>
          <t>Executive Director and General Counsel, Secretariat to the Canada Industrial Relations Board</t>
        </is>
      </c>
      <c r="D408" t="inlineStr">
        <is>
          <t>Directrice exécutive et avocate générale, Secrétariat du Conseil canadien des relations industrielles</t>
        </is>
      </c>
      <c r="E408" t="inlineStr">
        <is>
          <t xml:space="preserve">Guilbert, Sylvie </t>
        </is>
      </c>
      <c r="F408" t="inlineStr">
        <is>
          <t>Attend the Public Service Commission Exchange</t>
        </is>
      </c>
      <c r="G408" t="inlineStr">
        <is>
          <t>Participer à l'échange de la commission de la fonction publique</t>
        </is>
      </c>
      <c r="H408" s="1" t="n">
        <v>43259</v>
      </c>
      <c r="I408" s="1" t="n">
        <v>43259</v>
      </c>
      <c r="J408" t="inlineStr">
        <is>
          <t>Ottawa, ON</t>
        </is>
      </c>
      <c r="T408" t="n">
        <v>13</v>
      </c>
      <c r="U408" t="n">
        <v>13</v>
      </c>
      <c r="X408" t="inlineStr">
        <is>
          <t>atssc-scdata</t>
        </is>
      </c>
      <c r="Y408" t="inlineStr">
        <is>
          <t>Administrative Tribunals Support Service of Canada | Service canadien d'appui aux tribunaux administratifs</t>
        </is>
      </c>
    </row>
    <row r="409">
      <c r="A409" t="inlineStr">
        <is>
          <t>T-2018-Q2-013</t>
        </is>
      </c>
      <c r="B409" t="inlineStr">
        <is>
          <t>SLE</t>
        </is>
      </c>
      <c r="C409" t="inlineStr">
        <is>
          <t xml:space="preserve">Chairperson, Canadian Cultural Property Export Review Board </t>
        </is>
      </c>
      <c r="D409" t="inlineStr">
        <is>
          <t>Commission canadienne d’examen des exportations de biens culturels</t>
        </is>
      </c>
      <c r="E409" t="inlineStr">
        <is>
          <t>Ingram, Sharilyn</t>
        </is>
      </c>
      <c r="F409" t="inlineStr">
        <is>
          <t>Attend the CCPERB ED Selection Proccess</t>
        </is>
      </c>
      <c r="G409" t="inlineStr">
        <is>
          <t>Participer au processus de sélection du Directeur exécutif de la CCEEBC</t>
        </is>
      </c>
      <c r="H409" s="1" t="n">
        <v>43283</v>
      </c>
      <c r="I409" s="1" t="n">
        <v>43286</v>
      </c>
      <c r="J409" t="inlineStr">
        <is>
          <t>Ottawa, ON</t>
        </is>
      </c>
      <c r="P409" t="n">
        <v>450.52</v>
      </c>
      <c r="Q409" t="n">
        <v>264.92</v>
      </c>
      <c r="R409" t="n">
        <v>578.1900000000001</v>
      </c>
      <c r="S409" t="n">
        <v>396.95</v>
      </c>
      <c r="U409" t="n">
        <v>1690.58</v>
      </c>
      <c r="X409" t="inlineStr">
        <is>
          <t>atssc-scdata</t>
        </is>
      </c>
      <c r="Y409" t="inlineStr">
        <is>
          <t>Administrative Tribunals Support Service of Canada | Service canadien d'appui aux tribunaux administratifs</t>
        </is>
      </c>
    </row>
    <row r="410">
      <c r="A410" t="inlineStr">
        <is>
          <t>T-2018-Q2-014</t>
        </is>
      </c>
      <c r="B410" t="inlineStr">
        <is>
          <t>SLE</t>
        </is>
      </c>
      <c r="C410" t="inlineStr">
        <is>
          <t xml:space="preserve">Chairperson, Canadian Cultural Property Export Review Board </t>
        </is>
      </c>
      <c r="D410" t="inlineStr">
        <is>
          <t>Commission canadienne d’examen des exportations de biens culturels</t>
        </is>
      </c>
      <c r="E410" t="inlineStr">
        <is>
          <t>Ingram, Sharilyn</t>
        </is>
      </c>
      <c r="F410" t="inlineStr">
        <is>
          <t xml:space="preserve">Attend the preparation day of the CCPERB meeting and to attend the Chairperson's Forum </t>
        </is>
      </c>
      <c r="G410" t="inlineStr">
        <is>
          <t>Assister à la journée préparatoire de la réunion de la CCEEBC et assister au Forum du président</t>
        </is>
      </c>
      <c r="H410" s="1" t="n">
        <v>43263</v>
      </c>
      <c r="I410" s="1" t="n">
        <v>43266</v>
      </c>
      <c r="J410" t="inlineStr">
        <is>
          <t>Gatineau, Qc and Ottawa, ON</t>
        </is>
      </c>
      <c r="P410" t="n">
        <v>803.15</v>
      </c>
      <c r="Q410" t="n">
        <v>272.92</v>
      </c>
      <c r="R410" t="n">
        <v>547.64</v>
      </c>
      <c r="S410" t="n">
        <v>396.95</v>
      </c>
      <c r="U410" t="n">
        <v>2020.66</v>
      </c>
      <c r="X410" t="inlineStr">
        <is>
          <t>atssc-scdata</t>
        </is>
      </c>
      <c r="Y410" t="inlineStr">
        <is>
          <t>Administrative Tribunals Support Service of Canada | Service canadien d'appui aux tribunaux administratifs</t>
        </is>
      </c>
    </row>
    <row r="411">
      <c r="A411" t="inlineStr">
        <is>
          <t>T-2018-Q2-015</t>
        </is>
      </c>
      <c r="B411" t="inlineStr">
        <is>
          <t>SLE</t>
        </is>
      </c>
      <c r="C411" t="inlineStr">
        <is>
          <t xml:space="preserve">Chairperson, Canadian Cultural Property Export Review Board </t>
        </is>
      </c>
      <c r="D411" t="inlineStr">
        <is>
          <t>Commission canadienne d’examen des exportations de biens culturels</t>
        </is>
      </c>
      <c r="E411" t="inlineStr">
        <is>
          <t>Ingram, Sharilyn</t>
        </is>
      </c>
      <c r="F411" t="inlineStr">
        <is>
          <t xml:space="preserve">Attend the CCPERB Board meeting </t>
        </is>
      </c>
      <c r="G411" t="inlineStr">
        <is>
          <t>Assister à la réunion de la CCEEBC</t>
        </is>
      </c>
      <c r="H411" s="1" t="n">
        <v>43270</v>
      </c>
      <c r="I411" s="1" t="n">
        <v>43273</v>
      </c>
      <c r="J411" t="inlineStr">
        <is>
          <t>Ottawa, ON</t>
        </is>
      </c>
      <c r="P411" t="n">
        <v>473.31</v>
      </c>
      <c r="Q411" t="n">
        <v>196.09</v>
      </c>
      <c r="R411" t="n">
        <v>578.1900000000001</v>
      </c>
      <c r="S411" t="n">
        <v>396.95</v>
      </c>
      <c r="U411" t="n">
        <v>1644.54</v>
      </c>
      <c r="X411" t="inlineStr">
        <is>
          <t>atssc-scdata</t>
        </is>
      </c>
      <c r="Y411" t="inlineStr">
        <is>
          <t>Administrative Tribunals Support Service of Canada | Service canadien d'appui aux tribunaux administratifs</t>
        </is>
      </c>
    </row>
    <row r="412">
      <c r="A412" t="inlineStr">
        <is>
          <t>T-2018-Q2-016</t>
        </is>
      </c>
      <c r="B412" t="inlineStr">
        <is>
          <t>SLE</t>
        </is>
      </c>
      <c r="C412" t="inlineStr">
        <is>
          <t xml:space="preserve">Chairperson, Canadian Cultural Property Export Review Board </t>
        </is>
      </c>
      <c r="D412" t="inlineStr">
        <is>
          <t>Commission canadienne d’examen des exportations de biens culturels</t>
        </is>
      </c>
      <c r="E412" t="inlineStr">
        <is>
          <t>Ingram, Sharilyn</t>
        </is>
      </c>
      <c r="F412" t="inlineStr">
        <is>
          <t>Attend the CCPERB Orientation Meeting with a new member</t>
        </is>
      </c>
      <c r="G412" t="inlineStr">
        <is>
          <t>Assister à la réunion d'orientation  de la CCEEBC avec un nouveau membre</t>
        </is>
      </c>
      <c r="H412" s="1" t="n">
        <v>43305</v>
      </c>
      <c r="I412" s="1" t="n">
        <v>43306</v>
      </c>
      <c r="J412" t="inlineStr">
        <is>
          <t>Gatineau, QC</t>
        </is>
      </c>
      <c r="P412" t="n">
        <v>403.13</v>
      </c>
      <c r="Q412" t="n">
        <v>231.92</v>
      </c>
      <c r="R412" t="n">
        <v>153.52</v>
      </c>
      <c r="S412" t="n">
        <v>169.55</v>
      </c>
      <c r="U412" t="n">
        <v>958.12</v>
      </c>
      <c r="X412" t="inlineStr">
        <is>
          <t>atssc-scdata</t>
        </is>
      </c>
      <c r="Y412" t="inlineStr">
        <is>
          <t>Administrative Tribunals Support Service of Canada | Service canadien d'appui aux tribunaux administratifs</t>
        </is>
      </c>
    </row>
    <row r="413">
      <c r="A413" t="inlineStr">
        <is>
          <t>T-2018-Q2-017</t>
        </is>
      </c>
      <c r="B413" t="inlineStr">
        <is>
          <t>SLE</t>
        </is>
      </c>
      <c r="C413" t="inlineStr">
        <is>
          <t xml:space="preserve">Executive Director to the Secretariat to the Specific Claims Tribunal </t>
        </is>
      </c>
      <c r="D413" t="inlineStr">
        <is>
          <t>Directeur exécutif du Secrétariat du Tribunal des revendications particulières</t>
        </is>
      </c>
      <c r="E413" t="inlineStr">
        <is>
          <t>Mathieu, Michel</t>
        </is>
      </c>
      <c r="F413" t="inlineStr">
        <is>
          <t>To attend the Income Security Engagement Working Group Meeting and a key stakeholders meeting</t>
        </is>
      </c>
      <c r="G413" t="inlineStr">
        <is>
          <t>Assister à la réunion du groupe de travail sur l'engagement de la sécurité du revenu et à une réunion des principaux intervenants</t>
        </is>
      </c>
      <c r="H413" s="1" t="n">
        <v>43264</v>
      </c>
      <c r="I413" s="1" t="n">
        <v>43265</v>
      </c>
      <c r="J413" t="inlineStr">
        <is>
          <t>Gatineau, QC</t>
        </is>
      </c>
      <c r="Q413" t="n">
        <v>28.53</v>
      </c>
      <c r="T413" t="n">
        <v>13</v>
      </c>
      <c r="U413" t="n">
        <v>41.53</v>
      </c>
      <c r="X413" t="inlineStr">
        <is>
          <t>atssc-scdata</t>
        </is>
      </c>
      <c r="Y413" t="inlineStr">
        <is>
          <t>Administrative Tribunals Support Service of Canada | Service canadien d'appui aux tribunaux administratifs</t>
        </is>
      </c>
    </row>
    <row r="414">
      <c r="A414" t="inlineStr">
        <is>
          <t>T-2018-Q2-018</t>
        </is>
      </c>
      <c r="B414" t="inlineStr">
        <is>
          <t>SLE</t>
        </is>
      </c>
      <c r="C414" t="inlineStr">
        <is>
          <t xml:space="preserve">Executive Director to the Secretariat to the Specific Claims Tribunal </t>
        </is>
      </c>
      <c r="D414" t="inlineStr">
        <is>
          <t>Directeur exécutif du Secrétariat du Tribunal des revendications particulières</t>
        </is>
      </c>
      <c r="E414" t="inlineStr">
        <is>
          <t>Mathieu, Michel</t>
        </is>
      </c>
      <c r="F414" t="inlineStr">
        <is>
          <t>Attend Meeting with representatives from the Stitt Feld Handy Group to explore options in ADR practices for SST</t>
        </is>
      </c>
      <c r="G414" t="inlineStr">
        <is>
          <t>Assister à une réunion avec des représentants du groupe Stitt Feld Handy pour explorer les options en matière de pratiques de règlement extrajudiciaire des différends pour TSS</t>
        </is>
      </c>
      <c r="H414" s="1" t="n">
        <v>43299</v>
      </c>
      <c r="I414" s="1" t="n">
        <v>43299</v>
      </c>
      <c r="J414" t="inlineStr">
        <is>
          <t>Toronto, ON</t>
        </is>
      </c>
      <c r="P414" t="n">
        <v>251.14</v>
      </c>
      <c r="Q414" t="n">
        <v>30.74</v>
      </c>
      <c r="S414" t="n">
        <v>38.65</v>
      </c>
      <c r="T414" t="n">
        <v>14.59</v>
      </c>
      <c r="U414" t="n">
        <v>335.12</v>
      </c>
      <c r="X414" t="inlineStr">
        <is>
          <t>atssc-scdata</t>
        </is>
      </c>
      <c r="Y414" t="inlineStr">
        <is>
          <t>Administrative Tribunals Support Service of Canada | Service canadien d'appui aux tribunaux administratifs</t>
        </is>
      </c>
    </row>
    <row r="415">
      <c r="A415" t="inlineStr">
        <is>
          <t>T-2018-Q2-019</t>
        </is>
      </c>
      <c r="B415" t="inlineStr">
        <is>
          <t>SLE</t>
        </is>
      </c>
      <c r="C415" t="inlineStr">
        <is>
          <t xml:space="preserve">Chairperson, Canadian Human Rights Tribunal </t>
        </is>
      </c>
      <c r="D415" t="inlineStr">
        <is>
          <t xml:space="preserve">Président, Tribunal canadien des droits de la personne </t>
        </is>
      </c>
      <c r="E415" t="inlineStr">
        <is>
          <t>Thomas, David</t>
        </is>
      </c>
      <c r="F415" t="inlineStr">
        <is>
          <t>Mediation file#T2249/0418</t>
        </is>
      </c>
      <c r="G415" t="inlineStr">
        <is>
          <t>Dossier de médiation dossier no T2249/0418</t>
        </is>
      </c>
      <c r="H415" s="1" t="n">
        <v>43268</v>
      </c>
      <c r="I415" s="1" t="n">
        <v>43274</v>
      </c>
      <c r="J415" t="inlineStr">
        <is>
          <t>Fredericton, NB</t>
        </is>
      </c>
      <c r="P415" t="n">
        <v>417.68</v>
      </c>
      <c r="Q415" t="n">
        <v>96</v>
      </c>
      <c r="R415" t="n">
        <v>400.2</v>
      </c>
      <c r="S415" t="n">
        <v>244.95</v>
      </c>
      <c r="U415" t="n">
        <v>1158.83</v>
      </c>
      <c r="X415" t="inlineStr">
        <is>
          <t>atssc-scdata</t>
        </is>
      </c>
      <c r="Y415" t="inlineStr">
        <is>
          <t>Administrative Tribunals Support Service of Canada | Service canadien d'appui aux tribunaux administratifs</t>
        </is>
      </c>
    </row>
    <row r="416">
      <c r="A416" t="inlineStr">
        <is>
          <t>T-2018-Q3-002</t>
        </is>
      </c>
      <c r="B416" t="inlineStr">
        <is>
          <t>SLE</t>
        </is>
      </c>
      <c r="C416" t="inlineStr">
        <is>
          <t xml:space="preserve">Chairperson, Canada Agricultural Review Tribunal           </t>
        </is>
      </c>
      <c r="D416" t="inlineStr">
        <is>
          <t xml:space="preserve"> Président, Commission de révision agricole du Canada</t>
        </is>
      </c>
      <c r="E416" t="inlineStr">
        <is>
          <t>Bélanger, Luc</t>
        </is>
      </c>
      <c r="F416" t="inlineStr">
        <is>
          <t>Annual Canadian Conference on "Droit et politiques agroalimentaires"</t>
        </is>
      </c>
      <c r="G416" t="inlineStr">
        <is>
          <t>Colloque annuel Canadien en droit et politiques agroalimentaires</t>
        </is>
      </c>
      <c r="H416" s="1" t="n">
        <v>43368</v>
      </c>
      <c r="I416" s="1" t="n">
        <v>43371</v>
      </c>
      <c r="J416" t="inlineStr">
        <is>
          <t>Quebec, Quebec</t>
        </is>
      </c>
      <c r="K416" t="inlineStr">
        <is>
          <t>Québec, Québec</t>
        </is>
      </c>
      <c r="Q416" t="n">
        <v>580.3200000000001</v>
      </c>
      <c r="R416" t="n">
        <v>711.15</v>
      </c>
      <c r="S416" t="n">
        <v>416.4</v>
      </c>
      <c r="U416" t="n">
        <v>1707.87</v>
      </c>
      <c r="X416" t="inlineStr">
        <is>
          <t>atssc-scdata</t>
        </is>
      </c>
      <c r="Y416" t="inlineStr">
        <is>
          <t>Administrative Tribunals Support Service of Canada | Service canadien d'appui aux tribunaux administratifs</t>
        </is>
      </c>
    </row>
    <row r="417">
      <c r="A417" t="inlineStr">
        <is>
          <t>T-2018-Q3-003</t>
        </is>
      </c>
      <c r="B417" t="inlineStr">
        <is>
          <t>SLE</t>
        </is>
      </c>
      <c r="C417" t="inlineStr">
        <is>
          <t xml:space="preserve">Chairperson, Canada Industrial Relations Board </t>
        </is>
      </c>
      <c r="D417" t="inlineStr">
        <is>
          <t>Présidente, Conseil canadien des relations industrielles</t>
        </is>
      </c>
      <c r="E417" t="inlineStr">
        <is>
          <t xml:space="preserve">Brazeau, Ginette </t>
        </is>
      </c>
      <c r="F417" t="inlineStr">
        <is>
          <t>To attend the 2018 Conference of Labour Board Chairs and Administrators</t>
        </is>
      </c>
      <c r="G417" t="inlineStr">
        <is>
          <t>Assister à la Conférence des présidents et des administrateurs des Commissions des relations de travail 2018</t>
        </is>
      </c>
      <c r="H417" s="1" t="n">
        <v>43366</v>
      </c>
      <c r="I417" s="1" t="n">
        <v>43369</v>
      </c>
      <c r="J417" t="inlineStr">
        <is>
          <t>Montreal, Quebec</t>
        </is>
      </c>
      <c r="K417" t="inlineStr">
        <is>
          <t>Montréal, Québec</t>
        </is>
      </c>
      <c r="Q417" t="n">
        <v>280.73</v>
      </c>
      <c r="R417" t="n">
        <v>525.72</v>
      </c>
      <c r="S417" t="n">
        <v>136.55</v>
      </c>
      <c r="U417" t="n">
        <v>943</v>
      </c>
      <c r="X417" t="inlineStr">
        <is>
          <t>atssc-scdata</t>
        </is>
      </c>
      <c r="Y417" t="inlineStr">
        <is>
          <t>Administrative Tribunals Support Service of Canada | Service canadien d'appui aux tribunaux administratifs</t>
        </is>
      </c>
    </row>
    <row r="418">
      <c r="A418" t="inlineStr">
        <is>
          <t>T-2018-Q3-004</t>
        </is>
      </c>
      <c r="B418" t="inlineStr">
        <is>
          <t>SLE</t>
        </is>
      </c>
      <c r="C418" t="inlineStr">
        <is>
          <t xml:space="preserve">Chairperson, Canada Industrial Relations Board </t>
        </is>
      </c>
      <c r="D418" t="inlineStr">
        <is>
          <t>Présidente, Conseil canadien des relations industrielles</t>
        </is>
      </c>
      <c r="E418" t="inlineStr">
        <is>
          <t xml:space="preserve">Brazeau, Ginette </t>
        </is>
      </c>
      <c r="F418" t="inlineStr">
        <is>
          <t>2019 International Forum</t>
        </is>
      </c>
      <c r="G418" t="inlineStr">
        <is>
          <t>Forum International 2019</t>
        </is>
      </c>
      <c r="H418" s="1" t="n">
        <v>43380</v>
      </c>
      <c r="I418" s="1" t="n">
        <v>43385</v>
      </c>
      <c r="J418" t="inlineStr">
        <is>
          <t>London, United Kingdom</t>
        </is>
      </c>
      <c r="K418" t="inlineStr">
        <is>
          <t>Londre, Royaume Uni</t>
        </is>
      </c>
      <c r="P418" t="n">
        <v>2939.7</v>
      </c>
      <c r="Q418" t="n">
        <v>134.1</v>
      </c>
      <c r="S418" t="n">
        <v>272.1</v>
      </c>
      <c r="U418" t="n">
        <v>3345.9</v>
      </c>
      <c r="X418" t="inlineStr">
        <is>
          <t>atssc-scdata</t>
        </is>
      </c>
      <c r="Y418" t="inlineStr">
        <is>
          <t>Administrative Tribunals Support Service of Canada | Service canadien d'appui aux tribunaux administratifs</t>
        </is>
      </c>
    </row>
    <row r="419">
      <c r="A419" t="inlineStr">
        <is>
          <t>T-2018-Q3-005</t>
        </is>
      </c>
      <c r="B419" t="inlineStr">
        <is>
          <t>SLE</t>
        </is>
      </c>
      <c r="C419" t="inlineStr">
        <is>
          <t xml:space="preserve">Chairperson, Canada Industrial Relations Board </t>
        </is>
      </c>
      <c r="D419" t="inlineStr">
        <is>
          <t>Présidente, Conseil canadien des relations industrielles</t>
        </is>
      </c>
      <c r="E419" t="inlineStr">
        <is>
          <t xml:space="preserve">Brazeau, Ginette </t>
        </is>
      </c>
      <c r="F419" t="inlineStr">
        <is>
          <t>ALRA Fall Planning Meeting</t>
        </is>
      </c>
      <c r="G419" t="inlineStr">
        <is>
          <t xml:space="preserve">Participer à une rencontre de planification pour l'Association of Labour Relations Agencies </t>
        </is>
      </c>
      <c r="H419" s="1" t="n">
        <v>43391</v>
      </c>
      <c r="I419" s="1" t="n">
        <v>43395</v>
      </c>
      <c r="J419" t="inlineStr">
        <is>
          <t>Toronto, Ontario</t>
        </is>
      </c>
      <c r="K419" t="inlineStr">
        <is>
          <t>Toronto, Ontario</t>
        </is>
      </c>
      <c r="P419" t="n">
        <v>942.59</v>
      </c>
      <c r="Q419" t="n">
        <v>143.7</v>
      </c>
      <c r="R419" t="n">
        <v>980.12</v>
      </c>
      <c r="S419" t="n">
        <v>366.7</v>
      </c>
      <c r="U419" t="n">
        <v>2433.11</v>
      </c>
      <c r="X419" t="inlineStr">
        <is>
          <t>atssc-scdata</t>
        </is>
      </c>
      <c r="Y419" t="inlineStr">
        <is>
          <t>Administrative Tribunals Support Service of Canada | Service canadien d'appui aux tribunaux administratifs</t>
        </is>
      </c>
    </row>
    <row r="420">
      <c r="A420" t="inlineStr">
        <is>
          <t>T-2018-Q3-006</t>
        </is>
      </c>
      <c r="B420" t="inlineStr">
        <is>
          <t>SLE</t>
        </is>
      </c>
      <c r="C420" t="inlineStr">
        <is>
          <t xml:space="preserve">Chairperson, Canada Industrial Relations Board </t>
        </is>
      </c>
      <c r="D420" t="inlineStr">
        <is>
          <t>Présidente, Conseil canadien des relations industrielles</t>
        </is>
      </c>
      <c r="E420" t="inlineStr">
        <is>
          <t xml:space="preserve">Brazeau, Ginette </t>
        </is>
      </c>
      <c r="F420" t="inlineStr">
        <is>
          <t>Preside over Case Management Meeting "32524-C"</t>
        </is>
      </c>
      <c r="G420" t="inlineStr">
        <is>
          <t>Présider la réunion de gestion de cas "32524-C"</t>
        </is>
      </c>
      <c r="H420" s="1" t="n">
        <v>43403</v>
      </c>
      <c r="I420" s="1" t="n">
        <v>43403</v>
      </c>
      <c r="J420" t="inlineStr">
        <is>
          <t>Montreal, Quebec</t>
        </is>
      </c>
      <c r="K420" t="inlineStr">
        <is>
          <t>Montréal, Québec</t>
        </is>
      </c>
      <c r="Q420" t="n">
        <v>209.78</v>
      </c>
      <c r="S420" t="n">
        <v>19.2</v>
      </c>
      <c r="U420" t="n">
        <v>228.98</v>
      </c>
      <c r="X420" t="inlineStr">
        <is>
          <t>atssc-scdata</t>
        </is>
      </c>
      <c r="Y420" t="inlineStr">
        <is>
          <t>Administrative Tribunals Support Service of Canada | Service canadien d'appui aux tribunaux administratifs</t>
        </is>
      </c>
    </row>
    <row r="421">
      <c r="A421" t="inlineStr">
        <is>
          <t>T-2018-Q3-008</t>
        </is>
      </c>
      <c r="B421" t="inlineStr">
        <is>
          <t>SLE</t>
        </is>
      </c>
      <c r="C421" t="inlineStr">
        <is>
          <t xml:space="preserve">Chairperson, Canada Industrial Relations Board </t>
        </is>
      </c>
      <c r="D421" t="inlineStr">
        <is>
          <t>Présidente, Conseil canadien des relations industrielles</t>
        </is>
      </c>
      <c r="E421" t="inlineStr">
        <is>
          <t xml:space="preserve">Brazeau, Ginette </t>
        </is>
      </c>
      <c r="F421" t="inlineStr">
        <is>
          <t>Presentation to Chinese Delegation</t>
        </is>
      </c>
      <c r="G421" t="inlineStr">
        <is>
          <t>Présentation à la délégation chinoise</t>
        </is>
      </c>
      <c r="H421" s="1" t="n">
        <v>43334</v>
      </c>
      <c r="I421" s="1" t="n">
        <v>43334</v>
      </c>
      <c r="J421" t="inlineStr">
        <is>
          <t>Montreal, Quebec</t>
        </is>
      </c>
      <c r="K421" t="inlineStr">
        <is>
          <t>Montréal, Québec</t>
        </is>
      </c>
      <c r="Q421" t="n">
        <v>209.16</v>
      </c>
      <c r="S421" t="n">
        <v>18.9</v>
      </c>
      <c r="U421" t="n">
        <v>228.06</v>
      </c>
      <c r="X421" t="inlineStr">
        <is>
          <t>atssc-scdata</t>
        </is>
      </c>
      <c r="Y421" t="inlineStr">
        <is>
          <t>Administrative Tribunals Support Service of Canada | Service canadien d'appui aux tribunaux administratifs</t>
        </is>
      </c>
    </row>
    <row r="422">
      <c r="A422" t="inlineStr">
        <is>
          <t>T-2018-Q3-009</t>
        </is>
      </c>
      <c r="B422" t="inlineStr">
        <is>
          <t>SLE</t>
        </is>
      </c>
      <c r="C422" t="inlineStr">
        <is>
          <t xml:space="preserve">Chairperson, Canada Industrial Relations Board </t>
        </is>
      </c>
      <c r="D422" t="inlineStr">
        <is>
          <t>Présidente, Conseil canadien des relations industrielles</t>
        </is>
      </c>
      <c r="E422" t="inlineStr">
        <is>
          <t xml:space="preserve">Brazeau, Ginette </t>
        </is>
      </c>
      <c r="F422" t="inlineStr">
        <is>
          <t>Hearing in Halifax</t>
        </is>
      </c>
      <c r="G422" t="inlineStr">
        <is>
          <t xml:space="preserve">Audience </t>
        </is>
      </c>
      <c r="H422" s="1" t="n">
        <v>43338</v>
      </c>
      <c r="I422" s="1" t="n">
        <v>43343</v>
      </c>
      <c r="J422" t="inlineStr">
        <is>
          <t>Halifax, Nova Scotia</t>
        </is>
      </c>
      <c r="K422" t="inlineStr">
        <is>
          <t>Halifax, Nouvelle-Écosse</t>
        </is>
      </c>
      <c r="P422" t="n">
        <v>764.16</v>
      </c>
      <c r="Q422" t="n">
        <v>112.98</v>
      </c>
      <c r="R422" t="n">
        <v>1070.97</v>
      </c>
      <c r="S422" t="n">
        <v>549.45</v>
      </c>
      <c r="U422" t="n">
        <v>2497.56</v>
      </c>
      <c r="X422" t="inlineStr">
        <is>
          <t>atssc-scdata</t>
        </is>
      </c>
      <c r="Y422" t="inlineStr">
        <is>
          <t>Administrative Tribunals Support Service of Canada | Service canadien d'appui aux tribunaux administratifs</t>
        </is>
      </c>
    </row>
    <row r="423">
      <c r="A423" t="inlineStr">
        <is>
          <t>T-2018-Q3-018</t>
        </is>
      </c>
      <c r="B423" t="inlineStr">
        <is>
          <t>SLE</t>
        </is>
      </c>
      <c r="C423" t="inlineStr">
        <is>
          <t xml:space="preserve">Acting Executive Director to the Secretariat to the Specific Claims Tribunal </t>
        </is>
      </c>
      <c r="D423" t="inlineStr">
        <is>
          <t>Directeur exécutif par intérim du Secrétariat du Tribunal des revendications particulières</t>
        </is>
      </c>
      <c r="E423" t="inlineStr">
        <is>
          <t>Mathieu, Michel</t>
        </is>
      </c>
      <c r="F423" t="inlineStr">
        <is>
          <t>Stakeholder Meetings</t>
        </is>
      </c>
      <c r="G423" t="inlineStr">
        <is>
          <t>Rencontre avec les principaux intervenants</t>
        </is>
      </c>
      <c r="H423" s="1" t="n">
        <v>43370</v>
      </c>
      <c r="I423" s="1" t="n">
        <v>43371</v>
      </c>
      <c r="J423" t="inlineStr">
        <is>
          <t>Gatineau, Quebec</t>
        </is>
      </c>
      <c r="K423" t="inlineStr">
        <is>
          <t>Gatineau, Québec</t>
        </is>
      </c>
      <c r="Q423" t="n">
        <v>52.68</v>
      </c>
      <c r="U423" t="n">
        <v>52.68</v>
      </c>
      <c r="X423" t="inlineStr">
        <is>
          <t>atssc-scdata</t>
        </is>
      </c>
      <c r="Y423" t="inlineStr">
        <is>
          <t>Administrative Tribunals Support Service of Canada | Service canadien d'appui aux tribunaux administratifs</t>
        </is>
      </c>
    </row>
    <row r="424">
      <c r="A424" t="inlineStr">
        <is>
          <t>T-2018-Q3-010</t>
        </is>
      </c>
      <c r="B424" t="inlineStr">
        <is>
          <t>SLE</t>
        </is>
      </c>
      <c r="C424" t="inlineStr">
        <is>
          <t>Chairperson, Federal Public Service Labour Relations and Employment Board Tribunal</t>
        </is>
      </c>
      <c r="D424" t="inlineStr">
        <is>
          <t>Présidente, Tribunal de la commission des relations de travail et de l’emploi dans le secteur public fédéral</t>
        </is>
      </c>
      <c r="E424" t="inlineStr">
        <is>
          <t>Ebbs, Catherine</t>
        </is>
      </c>
      <c r="F424" t="inlineStr">
        <is>
          <t xml:space="preserve">To attend the conference of the Association of Labour Relations Agencies </t>
        </is>
      </c>
      <c r="G424" t="inlineStr">
        <is>
          <t xml:space="preserve">Participer à la conférence de l'Association of Labour Relations Agencies </t>
        </is>
      </c>
      <c r="H424" s="1" t="n">
        <v>43302</v>
      </c>
      <c r="I424" s="1" t="n">
        <v>43305</v>
      </c>
      <c r="J424" t="inlineStr">
        <is>
          <t>Boston, Massachusetts</t>
        </is>
      </c>
      <c r="K424" t="inlineStr">
        <is>
          <t>Boston, Massachusetts</t>
        </is>
      </c>
      <c r="P424" t="n">
        <v>745.14</v>
      </c>
      <c r="Q424" t="n">
        <v>124.87</v>
      </c>
      <c r="R424" t="n">
        <v>1319.8</v>
      </c>
      <c r="S424" t="n">
        <v>354.14</v>
      </c>
      <c r="U424" t="n">
        <v>2543.95</v>
      </c>
      <c r="X424" t="inlineStr">
        <is>
          <t>atssc-scdata</t>
        </is>
      </c>
      <c r="Y424" t="inlineStr">
        <is>
          <t>Administrative Tribunals Support Service of Canada | Service canadien d'appui aux tribunaux administratifs</t>
        </is>
      </c>
    </row>
    <row r="425">
      <c r="A425" t="inlineStr">
        <is>
          <t>T-2018-Q3-011</t>
        </is>
      </c>
      <c r="B425" t="inlineStr">
        <is>
          <t>SLE</t>
        </is>
      </c>
      <c r="C425" t="inlineStr">
        <is>
          <t>Executive Director and General Counsel, Secretariat to the Canada Industrial Relations Board</t>
        </is>
      </c>
      <c r="D425" t="inlineStr">
        <is>
          <t>Directrice exécutive et avocate générale, Secrétariat du Conseil canadien des relations industrielles</t>
        </is>
      </c>
      <c r="E425" t="inlineStr">
        <is>
          <t xml:space="preserve">Guilbert, Sylvie </t>
        </is>
      </c>
      <c r="F425" t="inlineStr">
        <is>
          <t>Interviews for Industrial Relations Officers</t>
        </is>
      </c>
      <c r="G425" t="inlineStr">
        <is>
          <t>Entrevues pour agent des relations industrielles</t>
        </is>
      </c>
      <c r="H425" s="1" t="n">
        <v>43348</v>
      </c>
      <c r="I425" s="1" t="n">
        <v>43350</v>
      </c>
      <c r="J425" t="inlineStr">
        <is>
          <t>Montreal, Quebec</t>
        </is>
      </c>
      <c r="K425" t="inlineStr">
        <is>
          <t>Montréal, Québec</t>
        </is>
      </c>
      <c r="Q425" t="n">
        <v>291.28</v>
      </c>
      <c r="R425" t="n">
        <v>473.64</v>
      </c>
      <c r="S425" t="n">
        <v>292.85</v>
      </c>
      <c r="U425" t="n">
        <v>1057.77</v>
      </c>
      <c r="X425" t="inlineStr">
        <is>
          <t>atssc-scdata</t>
        </is>
      </c>
      <c r="Y425" t="inlineStr">
        <is>
          <t>Administrative Tribunals Support Service of Canada | Service canadien d'appui aux tribunaux administratifs</t>
        </is>
      </c>
    </row>
    <row r="426">
      <c r="A426" t="inlineStr">
        <is>
          <t>T-2018-Q3-012</t>
        </is>
      </c>
      <c r="B426" t="inlineStr">
        <is>
          <t>SLE</t>
        </is>
      </c>
      <c r="C426" t="inlineStr">
        <is>
          <t xml:space="preserve">Chairperson, Canadian Cultural Property Export Review Board </t>
        </is>
      </c>
      <c r="D426" t="inlineStr">
        <is>
          <t>Présidente, Commission canadienne d’examen des exportations de biens culturels</t>
        </is>
      </c>
      <c r="E426" t="inlineStr">
        <is>
          <t>Ingram, Sharilyn</t>
        </is>
      </c>
      <c r="F426" t="inlineStr">
        <is>
          <t>CCPERB Board Meeting</t>
        </is>
      </c>
      <c r="G426" t="inlineStr">
        <is>
          <t>Réunion du conseil d'administration de la CCEEBC</t>
        </is>
      </c>
      <c r="H426" s="1" t="n">
        <v>43354</v>
      </c>
      <c r="I426" s="1" t="n">
        <v>43358</v>
      </c>
      <c r="J426" t="inlineStr">
        <is>
          <t>Ottawa, Ontario</t>
        </is>
      </c>
      <c r="K426" t="inlineStr">
        <is>
          <t>Ottawa, Ontario</t>
        </is>
      </c>
      <c r="P426" t="n">
        <v>489.52</v>
      </c>
      <c r="Q426" t="n">
        <v>223.92</v>
      </c>
      <c r="R426" t="n">
        <v>578.1900000000001</v>
      </c>
      <c r="S426" t="n">
        <v>396.95</v>
      </c>
      <c r="U426" t="n">
        <v>1688.58</v>
      </c>
      <c r="X426" t="inlineStr">
        <is>
          <t>atssc-scdata</t>
        </is>
      </c>
      <c r="Y426" t="inlineStr">
        <is>
          <t>Administrative Tribunals Support Service of Canada | Service canadien d'appui aux tribunaux administratifs</t>
        </is>
      </c>
    </row>
    <row r="427">
      <c r="A427" t="inlineStr">
        <is>
          <t>T-2018-Q3-013</t>
        </is>
      </c>
      <c r="B427" t="inlineStr">
        <is>
          <t>SLE</t>
        </is>
      </c>
      <c r="C427" t="inlineStr">
        <is>
          <t xml:space="preserve">Chairperson, Canadian Cultural Property Export Review Board </t>
        </is>
      </c>
      <c r="D427" t="inlineStr">
        <is>
          <t>Présidente, Commission canadienne d’examen des exportations de biens culturels</t>
        </is>
      </c>
      <c r="E427" t="inlineStr">
        <is>
          <t>Ingram, Sharilyn</t>
        </is>
      </c>
      <c r="F427" t="inlineStr">
        <is>
          <t>Toronto Art Fair</t>
        </is>
      </c>
      <c r="G427" t="inlineStr">
        <is>
          <t>Toronto Art Fair</t>
        </is>
      </c>
      <c r="H427" s="1" t="n">
        <v>43398</v>
      </c>
      <c r="I427" s="1" t="n">
        <v>43399</v>
      </c>
      <c r="J427" t="inlineStr">
        <is>
          <t>Toronto, Ontario</t>
        </is>
      </c>
      <c r="K427" t="inlineStr">
        <is>
          <t>Toronto, Ontario</t>
        </is>
      </c>
      <c r="P427" t="n">
        <v>0</v>
      </c>
      <c r="Q427" t="n">
        <v>48.74</v>
      </c>
      <c r="R427" t="n">
        <v>233.86</v>
      </c>
      <c r="S427" t="n">
        <v>174.7</v>
      </c>
      <c r="U427" t="n">
        <v>457.3</v>
      </c>
      <c r="X427" t="inlineStr">
        <is>
          <t>atssc-scdata</t>
        </is>
      </c>
      <c r="Y427" t="inlineStr">
        <is>
          <t>Administrative Tribunals Support Service of Canada | Service canadien d'appui aux tribunaux administratifs</t>
        </is>
      </c>
    </row>
    <row r="428">
      <c r="A428" t="inlineStr">
        <is>
          <t>T-2018-Q3-014</t>
        </is>
      </c>
      <c r="B428" t="inlineStr">
        <is>
          <t>SLE</t>
        </is>
      </c>
      <c r="C428" t="inlineStr">
        <is>
          <t xml:space="preserve">Chairperson, Canadian Cultural Property Export Review Board </t>
        </is>
      </c>
      <c r="D428" t="inlineStr">
        <is>
          <t>Présidente, Commission canadienne d’examen des exportations de biens culturels</t>
        </is>
      </c>
      <c r="E428" t="inlineStr">
        <is>
          <t>Ingram, Sharilyn</t>
        </is>
      </c>
      <c r="F428" t="inlineStr">
        <is>
          <t>Toronto Art Fair</t>
        </is>
      </c>
      <c r="G428" t="inlineStr">
        <is>
          <t>Toronto Art Fair</t>
        </is>
      </c>
      <c r="H428" s="1" t="n">
        <v>43401</v>
      </c>
      <c r="I428" s="1" t="n">
        <v>43401</v>
      </c>
      <c r="J428" t="inlineStr">
        <is>
          <t>Toronto, Ontario</t>
        </is>
      </c>
      <c r="K428" t="inlineStr">
        <is>
          <t>Toronto, Ontario</t>
        </is>
      </c>
      <c r="P428" t="n">
        <v>0</v>
      </c>
      <c r="Q428" t="n">
        <v>125.28</v>
      </c>
      <c r="R428" t="n">
        <v>0</v>
      </c>
      <c r="S428" t="n">
        <v>69.84999999999999</v>
      </c>
      <c r="U428" t="n">
        <v>195.13</v>
      </c>
      <c r="X428" t="inlineStr">
        <is>
          <t>atssc-scdata</t>
        </is>
      </c>
      <c r="Y428" t="inlineStr">
        <is>
          <t>Administrative Tribunals Support Service of Canada | Service canadien d'appui aux tribunaux administratifs</t>
        </is>
      </c>
    </row>
    <row r="429">
      <c r="A429" t="inlineStr">
        <is>
          <t>T-2018-Q3-015</t>
        </is>
      </c>
      <c r="B429" t="inlineStr">
        <is>
          <t>SLE</t>
        </is>
      </c>
      <c r="C429" t="inlineStr">
        <is>
          <t xml:space="preserve">Chairperson, Canadian Cultural Property Export Review Board </t>
        </is>
      </c>
      <c r="D429" t="inlineStr">
        <is>
          <t>Présidente, Commission canadienne d’examen des exportations de biens culturels</t>
        </is>
      </c>
      <c r="E429" t="inlineStr">
        <is>
          <t>Ingram, Sharilyn</t>
        </is>
      </c>
      <c r="F429" t="inlineStr">
        <is>
          <t>Meeting with PCH Deputy Minister</t>
        </is>
      </c>
      <c r="G429" t="inlineStr">
        <is>
          <t>Rencontre avec le sous-ministre de PCH</t>
        </is>
      </c>
      <c r="H429" s="1" t="n">
        <v>43403</v>
      </c>
      <c r="I429" s="1" t="n">
        <v>43404</v>
      </c>
      <c r="J429" t="inlineStr">
        <is>
          <t>Gatineau, Quebec</t>
        </is>
      </c>
      <c r="K429" t="inlineStr">
        <is>
          <t>Gatineau, Québec</t>
        </is>
      </c>
      <c r="P429" t="n">
        <v>536.3</v>
      </c>
      <c r="Q429" t="n">
        <v>244.92</v>
      </c>
      <c r="R429" t="n">
        <v>201.12</v>
      </c>
      <c r="S429" t="n">
        <v>194.55</v>
      </c>
      <c r="U429" t="n">
        <v>1176.89</v>
      </c>
      <c r="X429" t="inlineStr">
        <is>
          <t>atssc-scdata</t>
        </is>
      </c>
      <c r="Y429" t="inlineStr">
        <is>
          <t>Administrative Tribunals Support Service of Canada | Service canadien d'appui aux tribunaux administratifs</t>
        </is>
      </c>
    </row>
    <row r="430">
      <c r="A430" t="inlineStr">
        <is>
          <t>T-2018-Q3-016</t>
        </is>
      </c>
      <c r="B430" t="inlineStr">
        <is>
          <t>SLE</t>
        </is>
      </c>
      <c r="C430" t="inlineStr">
        <is>
          <t xml:space="preserve">Chairperson, Canadian Cultural Property Export Review Board </t>
        </is>
      </c>
      <c r="D430" t="inlineStr">
        <is>
          <t>Présidente, Commission canadienne d’examen des exportations de biens culturels</t>
        </is>
      </c>
      <c r="E430" t="inlineStr">
        <is>
          <t>Ingram, Sharilyn</t>
        </is>
      </c>
      <c r="F430" t="inlineStr">
        <is>
          <t>Attend Certificate in Adjudication</t>
        </is>
      </c>
      <c r="G430" t="inlineStr">
        <is>
          <t>Assister à un certificat d'arbitrage</t>
        </is>
      </c>
      <c r="H430" s="1" t="n">
        <v>43331</v>
      </c>
      <c r="I430" s="1" t="n">
        <v>43337</v>
      </c>
      <c r="J430" t="inlineStr">
        <is>
          <t>Toronto, Ontario</t>
        </is>
      </c>
      <c r="K430" t="inlineStr">
        <is>
          <t>Toronto, Ontario</t>
        </is>
      </c>
      <c r="Q430" t="n">
        <v>70.42</v>
      </c>
      <c r="R430" t="n">
        <v>1016.55</v>
      </c>
      <c r="S430" t="n">
        <v>392.7</v>
      </c>
      <c r="U430" t="n">
        <v>1479.67</v>
      </c>
      <c r="X430" t="inlineStr">
        <is>
          <t>atssc-scdata</t>
        </is>
      </c>
      <c r="Y430" t="inlineStr">
        <is>
          <t>Administrative Tribunals Support Service of Canada | Service canadien d'appui aux tribunaux administratifs</t>
        </is>
      </c>
    </row>
    <row r="431">
      <c r="A431" t="inlineStr">
        <is>
          <t>T-2018-Q3-017</t>
        </is>
      </c>
      <c r="B431" t="inlineStr">
        <is>
          <t>SLE</t>
        </is>
      </c>
      <c r="C431" t="inlineStr">
        <is>
          <t xml:space="preserve">Chairperson, Canadian Cultural Property Export Review Board </t>
        </is>
      </c>
      <c r="D431" t="inlineStr">
        <is>
          <t>Présidente, Commission canadienne d’examen des exportations de biens culturels</t>
        </is>
      </c>
      <c r="E431" t="inlineStr">
        <is>
          <t>Ingram, Sharilyn</t>
        </is>
      </c>
      <c r="F431" t="inlineStr">
        <is>
          <t>Prep day meeting</t>
        </is>
      </c>
      <c r="G431" t="inlineStr">
        <is>
          <t>Réunion préparatoire</t>
        </is>
      </c>
      <c r="H431" s="1" t="n">
        <v>43341</v>
      </c>
      <c r="I431" s="1" t="n">
        <v>43342</v>
      </c>
      <c r="J431" t="inlineStr">
        <is>
          <t>Ottawa, Ontario</t>
        </is>
      </c>
      <c r="K431" t="inlineStr">
        <is>
          <t>Ottawa, Ontario</t>
        </is>
      </c>
      <c r="P431" t="n">
        <v>527.65</v>
      </c>
      <c r="Q431" t="n">
        <v>231.92</v>
      </c>
      <c r="R431" t="n">
        <v>153.52</v>
      </c>
      <c r="S431" t="n">
        <v>169.55</v>
      </c>
      <c r="U431" t="n">
        <v>1082.64</v>
      </c>
      <c r="X431" t="inlineStr">
        <is>
          <t>atssc-scdata</t>
        </is>
      </c>
      <c r="Y431" t="inlineStr">
        <is>
          <t>Administrative Tribunals Support Service of Canada | Service canadien d'appui aux tribunaux administratifs</t>
        </is>
      </c>
    </row>
    <row r="432">
      <c r="A432" t="inlineStr">
        <is>
          <t>T-2018-Q3-020</t>
        </is>
      </c>
      <c r="B432" t="inlineStr">
        <is>
          <t>SLE</t>
        </is>
      </c>
      <c r="C432" t="inlineStr">
        <is>
          <t xml:space="preserve">Chairperson, Canadian Human Rights Tribunal </t>
        </is>
      </c>
      <c r="D432" t="inlineStr">
        <is>
          <t xml:space="preserve">Président, Tribunal canadien des droits de la personne </t>
        </is>
      </c>
      <c r="E432" t="inlineStr">
        <is>
          <t>Thomas, David</t>
        </is>
      </c>
      <c r="F432" t="inlineStr">
        <is>
          <t>Mediation T2267/2218</t>
        </is>
      </c>
      <c r="G432" t="inlineStr">
        <is>
          <t>Médiation T2267/2218</t>
        </is>
      </c>
      <c r="H432" s="1" t="n">
        <v>43404</v>
      </c>
      <c r="I432" s="1" t="n">
        <v>76278</v>
      </c>
      <c r="J432" t="inlineStr">
        <is>
          <t>Hamilton, Ontario</t>
        </is>
      </c>
      <c r="K432" t="inlineStr">
        <is>
          <t>Hamilton, Ontario</t>
        </is>
      </c>
      <c r="Q432" t="n">
        <v>278.13</v>
      </c>
      <c r="R432" t="n">
        <v>429.63</v>
      </c>
      <c r="S432" t="n">
        <v>251.95</v>
      </c>
      <c r="U432" t="n">
        <v>959.71</v>
      </c>
      <c r="X432" t="inlineStr">
        <is>
          <t>atssc-scdata</t>
        </is>
      </c>
      <c r="Y432" t="inlineStr">
        <is>
          <t>Administrative Tribunals Support Service of Canada | Service canadien d'appui aux tribunaux administratifs</t>
        </is>
      </c>
    </row>
    <row r="433">
      <c r="A433" t="inlineStr">
        <is>
          <t>T-2018-Q3-021</t>
        </is>
      </c>
      <c r="B433" t="inlineStr">
        <is>
          <t>SLE</t>
        </is>
      </c>
      <c r="C433" t="inlineStr">
        <is>
          <t>Executive Director and General Counsel, Public Service Labour Relations and Employment Board Tribunal</t>
        </is>
      </c>
      <c r="D433" t="inlineStr">
        <is>
          <t>Directrice éxecutive et avocate générale, Tribunal de la commission des relations de travail et de l’emploi dans la fonction publique</t>
        </is>
      </c>
      <c r="E433" t="inlineStr">
        <is>
          <t>Adamson, Virginia</t>
        </is>
      </c>
      <c r="F433" t="inlineStr">
        <is>
          <t>To attend the annual meeting of Labour Board Chairs and Administrators</t>
        </is>
      </c>
      <c r="G433" t="inlineStr">
        <is>
          <t>Participer à la réunion annuelle des présidents et des administrateurs de Commission des relations de travail</t>
        </is>
      </c>
      <c r="H433" s="1" t="n">
        <v>43367</v>
      </c>
      <c r="I433" s="1" t="n">
        <v>43369</v>
      </c>
      <c r="J433" t="inlineStr">
        <is>
          <t>Montreal, Quebec</t>
        </is>
      </c>
      <c r="K433" t="inlineStr">
        <is>
          <t>Montréal, Québec</t>
        </is>
      </c>
      <c r="Q433" t="n">
        <v>133.4</v>
      </c>
      <c r="R433" t="n">
        <v>350.47</v>
      </c>
      <c r="S433" t="n">
        <v>119.25</v>
      </c>
      <c r="U433" t="n">
        <v>603.12</v>
      </c>
      <c r="X433" t="inlineStr">
        <is>
          <t>atssc-scdata</t>
        </is>
      </c>
      <c r="Y433" t="inlineStr">
        <is>
          <t>Administrative Tribunals Support Service of Canada | Service canadien d'appui aux tribunaux administratifs</t>
        </is>
      </c>
    </row>
    <row r="434">
      <c r="A434" t="inlineStr">
        <is>
          <t>T-2018-Q3-022</t>
        </is>
      </c>
      <c r="B434" t="inlineStr">
        <is>
          <t>SLE</t>
        </is>
      </c>
      <c r="C434" t="inlineStr">
        <is>
          <t>Executive Director and General Counsel, Public Service Labour Relations and Employment Board Tribunal</t>
        </is>
      </c>
      <c r="D434" t="inlineStr">
        <is>
          <t>Directrice éxecutive et avocate générale, Tribunal de la commission des relations de travail et de l’emploi dans la fonction publique</t>
        </is>
      </c>
      <c r="E434" t="inlineStr">
        <is>
          <t>Adamson, Virginia</t>
        </is>
      </c>
      <c r="F434" t="inlineStr">
        <is>
          <t xml:space="preserve">To attend a planning meeting for the Association of Labour Relations Agencies </t>
        </is>
      </c>
      <c r="G434" t="inlineStr">
        <is>
          <t xml:space="preserve">Participer à une rencontre de planification pour l'Association of Labour Relations Agencies </t>
        </is>
      </c>
      <c r="H434" s="1" t="n">
        <v>43392</v>
      </c>
      <c r="I434" s="1" t="n">
        <v>43394</v>
      </c>
      <c r="J434" t="inlineStr">
        <is>
          <t>Toronto, Ontario</t>
        </is>
      </c>
      <c r="K434" t="inlineStr">
        <is>
          <t>Toronto, Ontario</t>
        </is>
      </c>
      <c r="Q434" t="n">
        <v>525.29</v>
      </c>
      <c r="R434" t="n">
        <v>514.74</v>
      </c>
      <c r="S434" t="n">
        <v>192</v>
      </c>
      <c r="U434" t="n">
        <v>1232.03</v>
      </c>
      <c r="X434" t="inlineStr">
        <is>
          <t>atssc-scdata</t>
        </is>
      </c>
      <c r="Y434" t="inlineStr">
        <is>
          <t>Administrative Tribunals Support Service of Canada | Service canadien d'appui aux tribunaux administratifs</t>
        </is>
      </c>
    </row>
    <row r="435">
      <c r="A435" t="inlineStr">
        <is>
          <t>T-2018-Q3-023</t>
        </is>
      </c>
      <c r="B435" t="inlineStr">
        <is>
          <t>SLE</t>
        </is>
      </c>
      <c r="C435" t="inlineStr">
        <is>
          <t>Executive Director and General Counsel, Public Service Labour Relations and Employment Board Tribunal</t>
        </is>
      </c>
      <c r="D435" t="inlineStr">
        <is>
          <t>Directrice éxecutive et avocate générale, Tribunal de la commission des relations de travail et de l’emploi dans la fonction publique</t>
        </is>
      </c>
      <c r="E435" t="inlineStr">
        <is>
          <t>Adamson, Virginia</t>
        </is>
      </c>
      <c r="F435" t="inlineStr">
        <is>
          <t>To attend the 2018 Conference of Labour Board Chairs and Administrators</t>
        </is>
      </c>
      <c r="G435" t="inlineStr">
        <is>
          <t>Assister à la Conférence des présidents et des administrateurs des Commissions des relations de travail 2018</t>
        </is>
      </c>
      <c r="H435" s="1" t="n">
        <v>43302</v>
      </c>
      <c r="I435" s="1" t="n">
        <v>43305</v>
      </c>
      <c r="J435" t="inlineStr">
        <is>
          <t>Boston, Massachusetts</t>
        </is>
      </c>
      <c r="K435" t="inlineStr">
        <is>
          <t>Boston, Massachusetts</t>
        </is>
      </c>
      <c r="P435" t="n">
        <v>924.6900000000001</v>
      </c>
      <c r="Q435" t="n">
        <v>33</v>
      </c>
      <c r="R435" t="n">
        <v>1651.67</v>
      </c>
      <c r="S435" t="n">
        <v>491.38</v>
      </c>
      <c r="U435" t="n">
        <v>3100.74</v>
      </c>
      <c r="X435" t="inlineStr">
        <is>
          <t>atssc-scdata</t>
        </is>
      </c>
      <c r="Y435" t="inlineStr">
        <is>
          <t>Administrative Tribunals Support Service of Canada | Service canadien d'appui aux tribunaux administratifs</t>
        </is>
      </c>
    </row>
    <row r="436">
      <c r="A436" t="inlineStr">
        <is>
          <t>T-2018-Q3-024</t>
        </is>
      </c>
      <c r="B436" t="inlineStr">
        <is>
          <t>SLE</t>
        </is>
      </c>
      <c r="C436" t="inlineStr">
        <is>
          <t>Chairperson, Social Security Tribunal of Canada</t>
        </is>
      </c>
      <c r="D436" t="inlineStr">
        <is>
          <t>Président, Tribunal de la sécurité sociale du Canada</t>
        </is>
      </c>
      <c r="E436" t="inlineStr">
        <is>
          <t>Aterman, Paul</t>
        </is>
      </c>
      <c r="F436" t="inlineStr">
        <is>
          <t>Attend the Society of Ontario Adjucators and Regulators (SOAR) conference</t>
        </is>
      </c>
      <c r="G436" t="inlineStr">
        <is>
          <t>Assister à la conférence "Society of Ontario Adjucators and Regulators (SOAR)"</t>
        </is>
      </c>
      <c r="H436" s="1" t="n">
        <v>43404</v>
      </c>
      <c r="I436" s="1" t="n">
        <v>43405</v>
      </c>
      <c r="J436" t="inlineStr">
        <is>
          <t>Toronto, Ontario</t>
        </is>
      </c>
      <c r="K436" t="inlineStr">
        <is>
          <t>Toronto, Ontario</t>
        </is>
      </c>
      <c r="P436" t="n">
        <v>790.59</v>
      </c>
      <c r="Q436" t="n">
        <v>77.84999999999999</v>
      </c>
      <c r="R436" t="n">
        <v>205.66</v>
      </c>
      <c r="S436" t="n">
        <v>174.7</v>
      </c>
      <c r="T436" t="n">
        <v>77.84999999999999</v>
      </c>
      <c r="U436" t="n">
        <v>1326.65</v>
      </c>
      <c r="X436" t="inlineStr">
        <is>
          <t>atssc-scdata</t>
        </is>
      </c>
      <c r="Y436" t="inlineStr">
        <is>
          <t>Administrative Tribunals Support Service of Canada | Service canadien d'appui aux tribunaux administratifs</t>
        </is>
      </c>
    </row>
    <row r="437">
      <c r="A437" t="inlineStr">
        <is>
          <t>T-2018-Q3-025</t>
        </is>
      </c>
      <c r="B437" t="inlineStr">
        <is>
          <t>SLE</t>
        </is>
      </c>
      <c r="C437" t="inlineStr">
        <is>
          <t>Chairperson, Canadian International Trade Tribunal</t>
        </is>
      </c>
      <c r="D437" t="inlineStr">
        <is>
          <t>Président, Tribunal canadien du commerce extérieur</t>
        </is>
      </c>
      <c r="E437" t="inlineStr">
        <is>
          <t>Bédard, Jean</t>
        </is>
      </c>
      <c r="F437" t="inlineStr">
        <is>
          <t xml:space="preserve">Attend the World Custom Law Meeting </t>
        </is>
      </c>
      <c r="G437" t="inlineStr">
        <is>
          <t>Assister à la réunion "World Custom Law "</t>
        </is>
      </c>
      <c r="H437" s="1" t="n">
        <v>43353</v>
      </c>
      <c r="I437" s="1" t="n">
        <v>43359</v>
      </c>
      <c r="J437" t="inlineStr">
        <is>
          <t>Panama, Panama</t>
        </is>
      </c>
      <c r="K437" t="inlineStr">
        <is>
          <t>Panama, Panama</t>
        </is>
      </c>
      <c r="P437" t="n">
        <v>1976.33</v>
      </c>
      <c r="Q437" t="n">
        <v>512.27</v>
      </c>
      <c r="R437" t="n">
        <v>814.87</v>
      </c>
      <c r="S437" t="n">
        <v>547.96</v>
      </c>
      <c r="U437" t="n">
        <v>3851.43</v>
      </c>
      <c r="X437" t="inlineStr">
        <is>
          <t>atssc-scdata</t>
        </is>
      </c>
      <c r="Y437" t="inlineStr">
        <is>
          <t>Administrative Tribunals Support Service of Canada | Service canadien d'appui aux tribunaux administratifs</t>
        </is>
      </c>
    </row>
    <row r="438">
      <c r="A438" t="inlineStr">
        <is>
          <t>T-2018-Q3-026</t>
        </is>
      </c>
      <c r="B438" t="inlineStr">
        <is>
          <t>SLE</t>
        </is>
      </c>
      <c r="C438" t="inlineStr">
        <is>
          <t>Chairperson, Canadian International Trade Tribunal</t>
        </is>
      </c>
      <c r="D438" t="inlineStr">
        <is>
          <t>Président, Tribunal canadien du commerce extérieur</t>
        </is>
      </c>
      <c r="E438" t="inlineStr">
        <is>
          <t>Bédard, Jean</t>
        </is>
      </c>
      <c r="F438" t="inlineStr">
        <is>
          <t xml:space="preserve">Presentation to York University Students in Masters in Public and International Affairs </t>
        </is>
      </c>
      <c r="G438" t="inlineStr">
        <is>
          <t>Présentation aux étudiants de la Maîtrise en Affaires Publiques et Internationales de l'université York</t>
        </is>
      </c>
      <c r="H438" s="1" t="n">
        <v>43391</v>
      </c>
      <c r="I438" s="1" t="n">
        <v>43392</v>
      </c>
      <c r="J438" t="inlineStr">
        <is>
          <t>Toronto, Ontario</t>
        </is>
      </c>
      <c r="K438" t="inlineStr">
        <is>
          <t>Toronto, Ontario</t>
        </is>
      </c>
      <c r="P438" t="n">
        <v>240.13</v>
      </c>
      <c r="Q438" t="n">
        <v>94.34999999999999</v>
      </c>
      <c r="S438" t="n">
        <v>87.15000000000001</v>
      </c>
      <c r="U438" t="n">
        <v>421.63</v>
      </c>
      <c r="X438" t="inlineStr">
        <is>
          <t>atssc-scdata</t>
        </is>
      </c>
      <c r="Y438" t="inlineStr">
        <is>
          <t>Administrative Tribunals Support Service of Canada | Service canadien d'appui aux tribunaux administratifs</t>
        </is>
      </c>
    </row>
    <row r="439">
      <c r="A439" t="inlineStr">
        <is>
          <t>T-2018-Q3-027</t>
        </is>
      </c>
      <c r="B439" t="inlineStr">
        <is>
          <t>SLE</t>
        </is>
      </c>
      <c r="C439" t="inlineStr">
        <is>
          <t>Chairperson, Canadian International Trade Tribunal</t>
        </is>
      </c>
      <c r="D439" t="inlineStr">
        <is>
          <t>Président, Tribunal canadien du commerce extérieur</t>
        </is>
      </c>
      <c r="E439" t="inlineStr">
        <is>
          <t>Bédard, Jean</t>
        </is>
      </c>
      <c r="F439" t="inlineStr">
        <is>
          <t>IBA/Antitrust &amp; International Trade and Customs Laws Committees</t>
        </is>
      </c>
      <c r="G439" t="inlineStr">
        <is>
          <t>IBA/Antitrust &amp; International Trade and Customs Laws Committees</t>
        </is>
      </c>
      <c r="H439" s="1" t="n">
        <v>43378</v>
      </c>
      <c r="I439" s="1" t="n">
        <v>43382</v>
      </c>
      <c r="J439" t="inlineStr">
        <is>
          <t>Rome, Italy</t>
        </is>
      </c>
      <c r="K439" t="inlineStr">
        <is>
          <t>Rome, Italie</t>
        </is>
      </c>
      <c r="P439" t="n">
        <v>3869.14</v>
      </c>
      <c r="Q439" t="n">
        <v>239.16</v>
      </c>
      <c r="R439" t="n">
        <v>979.53</v>
      </c>
      <c r="S439" t="n">
        <v>111.33</v>
      </c>
      <c r="U439" t="n">
        <v>5199.16</v>
      </c>
      <c r="X439" t="inlineStr">
        <is>
          <t>atssc-scdata</t>
        </is>
      </c>
      <c r="Y439" t="inlineStr">
        <is>
          <t>Administrative Tribunals Support Service of Canada | Service canadien d'appui aux tribunaux administratifs</t>
        </is>
      </c>
    </row>
    <row r="440">
      <c r="A440" t="inlineStr">
        <is>
          <t>T-2018-Q3-028</t>
        </is>
      </c>
      <c r="B440" t="inlineStr">
        <is>
          <t>SLE</t>
        </is>
      </c>
      <c r="C440" t="inlineStr">
        <is>
          <t>Acting Director General, Corporate Services and Chief Financial Officer</t>
        </is>
      </c>
      <c r="D440" t="inlineStr">
        <is>
          <t>Directeur général, Services de gestion et dirigeant principal des finances par intérim</t>
        </is>
      </c>
      <c r="E440" t="inlineStr">
        <is>
          <t>Bucar, Christopher</t>
        </is>
      </c>
      <c r="F440" t="inlineStr">
        <is>
          <t>Next Gen DCFO Training Session</t>
        </is>
      </c>
      <c r="G440" t="inlineStr">
        <is>
          <t>Formation "Next Gen DCFO Training"</t>
        </is>
      </c>
      <c r="H440" s="1" t="n">
        <v>43389</v>
      </c>
      <c r="I440" s="1" t="n">
        <v>43390</v>
      </c>
      <c r="J440" t="inlineStr">
        <is>
          <t>Wakefield, Quebec</t>
        </is>
      </c>
      <c r="K440" t="inlineStr">
        <is>
          <t>Wakefield, Québec</t>
        </is>
      </c>
      <c r="Q440" t="n">
        <v>70.2</v>
      </c>
      <c r="R440" t="n">
        <v>154.7</v>
      </c>
      <c r="S440" t="n">
        <v>34.6</v>
      </c>
      <c r="U440" t="n">
        <v>259.5</v>
      </c>
      <c r="X440" t="inlineStr">
        <is>
          <t>atssc-scdata</t>
        </is>
      </c>
      <c r="Y440" t="inlineStr">
        <is>
          <t>Administrative Tribunals Support Service of Canada | Service canadien d'appui aux tribunaux administratifs</t>
        </is>
      </c>
    </row>
    <row r="441">
      <c r="A441" t="inlineStr">
        <is>
          <t>T-2018-Q3-029</t>
        </is>
      </c>
      <c r="B441" t="inlineStr">
        <is>
          <t>SLE</t>
        </is>
      </c>
      <c r="C441" t="inlineStr">
        <is>
          <t>Executive Director Canadian Cultural Property Export Review Board</t>
        </is>
      </c>
      <c r="D441" t="inlineStr">
        <is>
          <t>Directrice exécutive Commission canadienne d'examen des exportations de biens culturels</t>
        </is>
      </c>
      <c r="E441" t="inlineStr">
        <is>
          <t>Kim, Mijin</t>
        </is>
      </c>
      <c r="F441" t="inlineStr">
        <is>
          <t xml:space="preserve">Attend the CCPERB meeting </t>
        </is>
      </c>
      <c r="G441" t="inlineStr">
        <is>
          <t>Assister à la réunion de la CCEEBC</t>
        </is>
      </c>
      <c r="H441" s="1" t="n">
        <v>43355</v>
      </c>
      <c r="I441" s="1" t="n">
        <v>43357</v>
      </c>
      <c r="J441" t="inlineStr">
        <is>
          <t>Gatineau, Quebec</t>
        </is>
      </c>
      <c r="K441" t="inlineStr">
        <is>
          <t>Gatineau, Québec</t>
        </is>
      </c>
      <c r="Q441" t="n">
        <v>60</v>
      </c>
      <c r="U441" t="n">
        <v>60</v>
      </c>
      <c r="X441" t="inlineStr">
        <is>
          <t>atssc-scdata</t>
        </is>
      </c>
      <c r="Y441" t="inlineStr">
        <is>
          <t>Administrative Tribunals Support Service of Canada | Service canadien d'appui aux tribunaux administratifs</t>
        </is>
      </c>
    </row>
    <row r="442">
      <c r="A442" t="inlineStr">
        <is>
          <t>T-2018-Q3-030</t>
        </is>
      </c>
      <c r="B442" t="inlineStr">
        <is>
          <t>SLE</t>
        </is>
      </c>
      <c r="C442" t="inlineStr">
        <is>
          <t>Executive Director Canadian Cultural Property Export Review Board</t>
        </is>
      </c>
      <c r="D442" t="inlineStr">
        <is>
          <t>Directrice exécutive Commission canadienne d'examen des exportations de biens culturels</t>
        </is>
      </c>
      <c r="E442" t="inlineStr">
        <is>
          <t>Kim, Mijin</t>
        </is>
      </c>
      <c r="F442" t="inlineStr">
        <is>
          <t xml:space="preserve">Attend eleven meetings </t>
        </is>
      </c>
      <c r="G442" t="inlineStr">
        <is>
          <t>Assister à onze réunions</t>
        </is>
      </c>
      <c r="H442" s="1" t="n">
        <v>43361</v>
      </c>
      <c r="I442" s="1" t="n">
        <v>43393</v>
      </c>
      <c r="J442" t="inlineStr">
        <is>
          <t>Ottawa, Ontario</t>
        </is>
      </c>
      <c r="K442" t="inlineStr">
        <is>
          <t>Ottawa, Ontario</t>
        </is>
      </c>
      <c r="Q442" t="n">
        <v>114</v>
      </c>
      <c r="U442" t="n">
        <v>114</v>
      </c>
      <c r="X442" t="inlineStr">
        <is>
          <t>atssc-scdata</t>
        </is>
      </c>
      <c r="Y442" t="inlineStr">
        <is>
          <t>Administrative Tribunals Support Service of Canada | Service canadien d'appui aux tribunaux administratifs</t>
        </is>
      </c>
    </row>
    <row r="443">
      <c r="A443" t="inlineStr">
        <is>
          <t>T-2018-Q3-032</t>
        </is>
      </c>
      <c r="B443" t="inlineStr">
        <is>
          <t>SLE</t>
        </is>
      </c>
      <c r="C443" t="inlineStr">
        <is>
          <t>Executive Director Canadian Cultural Property Export Review Board</t>
        </is>
      </c>
      <c r="D443" t="inlineStr">
        <is>
          <t>Directrice exécutive Commission canadienne d'examen des exportations de biens culturels</t>
        </is>
      </c>
      <c r="E443" t="inlineStr">
        <is>
          <t>Kim, Mijin</t>
        </is>
      </c>
      <c r="F443" t="inlineStr">
        <is>
          <t xml:space="preserve">Attend a meeting </t>
        </is>
      </c>
      <c r="G443" t="inlineStr">
        <is>
          <t xml:space="preserve">Assister à une réunion </t>
        </is>
      </c>
      <c r="H443" s="1" t="n">
        <v>43403</v>
      </c>
      <c r="I443" s="1" t="n">
        <v>43403</v>
      </c>
      <c r="J443" t="inlineStr">
        <is>
          <t>Toronto, Ontario</t>
        </is>
      </c>
      <c r="K443" t="inlineStr">
        <is>
          <t>Toronto, Ontario</t>
        </is>
      </c>
      <c r="P443" t="n">
        <v>545.79</v>
      </c>
      <c r="Q443" t="n">
        <v>88.06</v>
      </c>
      <c r="R443" t="n">
        <v>233.86</v>
      </c>
      <c r="S443" t="n">
        <v>194.55</v>
      </c>
      <c r="U443" t="n">
        <v>1062.26</v>
      </c>
      <c r="X443" t="inlineStr">
        <is>
          <t>atssc-scdata</t>
        </is>
      </c>
      <c r="Y443" t="inlineStr">
        <is>
          <t>Administrative Tribunals Support Service of Canada | Service canadien d'appui aux tribunaux administratifs</t>
        </is>
      </c>
    </row>
    <row r="444">
      <c r="A444" t="inlineStr">
        <is>
          <t>T-2019-Q1-001</t>
        </is>
      </c>
      <c r="B444" t="inlineStr">
        <is>
          <t>SLE</t>
        </is>
      </c>
      <c r="C444" t="inlineStr">
        <is>
          <t xml:space="preserve">Executive Director and General Counsel, Public Service Labour Relations and Employment Board Tribunal     </t>
        </is>
      </c>
      <c r="D444" t="inlineStr">
        <is>
          <t>Directrice éxecutive et avocate générale, Tribunal de la commission des relations de travail et de l’emploi dans la fonction publique</t>
        </is>
      </c>
      <c r="E444" t="inlineStr">
        <is>
          <t>Adamson, Virginia</t>
        </is>
      </c>
      <c r="F444" t="inlineStr">
        <is>
          <t>ALRA's Second Planning Session</t>
        </is>
      </c>
      <c r="G444" t="inlineStr">
        <is>
          <t>Deuxième séance de planification pour ARLA</t>
        </is>
      </c>
      <c r="H444" s="1" t="n">
        <v>43532</v>
      </c>
      <c r="I444" s="1" t="n">
        <v>43534</v>
      </c>
      <c r="J444" t="inlineStr">
        <is>
          <t>Cincinnati, Ohio</t>
        </is>
      </c>
      <c r="K444" t="inlineStr">
        <is>
          <t>Cincinnati, Ohio</t>
        </is>
      </c>
      <c r="P444" t="n">
        <v>670.49</v>
      </c>
      <c r="Q444" t="n">
        <v>104.48</v>
      </c>
      <c r="R444" t="n">
        <v>459.83</v>
      </c>
      <c r="S444" t="n">
        <v>345.53</v>
      </c>
      <c r="T444" t="n">
        <v>0</v>
      </c>
      <c r="U444" t="n">
        <v>1580.33</v>
      </c>
      <c r="X444" t="inlineStr">
        <is>
          <t>atssc-scdata</t>
        </is>
      </c>
      <c r="Y444" t="inlineStr">
        <is>
          <t>Administrative Tribunals Support Service of Canada | Service canadien d'appui aux tribunaux administratifs</t>
        </is>
      </c>
    </row>
    <row r="445">
      <c r="A445" t="inlineStr">
        <is>
          <t>T-2019-Q1-002</t>
        </is>
      </c>
      <c r="B445" t="inlineStr">
        <is>
          <t>SLE</t>
        </is>
      </c>
      <c r="C445" t="inlineStr">
        <is>
          <t>Chairperson, Social Security Tribunal of Canada</t>
        </is>
      </c>
      <c r="D445" t="inlineStr">
        <is>
          <t>Président, Tribunal de la sécurité sociale du Canada</t>
        </is>
      </c>
      <c r="E445" t="inlineStr">
        <is>
          <t>Aterman, Paul</t>
        </is>
      </c>
      <c r="F445" t="inlineStr">
        <is>
          <t>Réunion régionale et session de formation pour les membres du GEC - Division générale</t>
        </is>
      </c>
      <c r="G445" t="inlineStr">
        <is>
          <t>Regional meeting and training session for the GIC Members - General Division</t>
        </is>
      </c>
      <c r="H445" s="1" t="n">
        <v>43522</v>
      </c>
      <c r="I445" s="1" t="n">
        <v>43524</v>
      </c>
      <c r="J445" t="inlineStr">
        <is>
          <t>Vancouver, BC</t>
        </is>
      </c>
      <c r="K445" t="inlineStr">
        <is>
          <t>Vancouver, BC</t>
        </is>
      </c>
      <c r="P445" t="n">
        <v>700.41</v>
      </c>
      <c r="Q445" t="n">
        <v>136.19</v>
      </c>
      <c r="R445" t="n">
        <v>418.27</v>
      </c>
      <c r="S445" t="n">
        <v>212.25</v>
      </c>
      <c r="T445" t="n">
        <v>0</v>
      </c>
      <c r="U445" t="n">
        <v>1467.12</v>
      </c>
      <c r="X445" t="inlineStr">
        <is>
          <t>atssc-scdata</t>
        </is>
      </c>
      <c r="Y445" t="inlineStr">
        <is>
          <t>Administrative Tribunals Support Service of Canada | Service canadien d'appui aux tribunaux administratifs</t>
        </is>
      </c>
    </row>
    <row r="446">
      <c r="A446" t="inlineStr">
        <is>
          <t>T-2019-Q1-003</t>
        </is>
      </c>
      <c r="B446" t="inlineStr">
        <is>
          <t>SLE</t>
        </is>
      </c>
      <c r="C446" t="inlineStr">
        <is>
          <t>Chairperson, Social Security Tribunal of Canada</t>
        </is>
      </c>
      <c r="D446" t="inlineStr">
        <is>
          <t>Président, Tribunal de la sécurité sociale du Canada</t>
        </is>
      </c>
      <c r="E446" t="inlineStr">
        <is>
          <t>Aterman, Paul</t>
        </is>
      </c>
      <c r="F446" t="inlineStr">
        <is>
          <t>Event on 'The Rule of Law: Is it at risk? The Role of Courts, Human Rights Commissions &amp; Administrative Bodies in Preserving the Rule of Law"</t>
        </is>
      </c>
      <c r="G446" t="inlineStr">
        <is>
          <t>Évènement sur "La primauté du droit: est-ce en danger? Le rôle des tribunaux, des commissions des droits de l'homme et des organization administratifs dans la préservation de l'état de droit"</t>
        </is>
      </c>
      <c r="H446" s="1" t="n">
        <v>43613</v>
      </c>
      <c r="I446" s="1" t="n">
        <v>43613</v>
      </c>
      <c r="J446" t="inlineStr">
        <is>
          <t>Montreal, Qc</t>
        </is>
      </c>
      <c r="K446" t="inlineStr">
        <is>
          <t>Montreal, QC</t>
        </is>
      </c>
      <c r="P446" t="n">
        <v>0</v>
      </c>
      <c r="Q446" t="n">
        <v>79.81</v>
      </c>
      <c r="R446" t="n">
        <v>0</v>
      </c>
      <c r="S446" t="n">
        <v>0</v>
      </c>
      <c r="T446" t="n">
        <v>0</v>
      </c>
      <c r="U446" t="n">
        <v>79.81</v>
      </c>
      <c r="X446" t="inlineStr">
        <is>
          <t>atssc-scdata</t>
        </is>
      </c>
      <c r="Y446" t="inlineStr">
        <is>
          <t>Administrative Tribunals Support Service of Canada | Service canadien d'appui aux tribunaux administratifs</t>
        </is>
      </c>
    </row>
    <row r="447">
      <c r="A447" t="inlineStr">
        <is>
          <t>T-2019-Q1-004</t>
        </is>
      </c>
      <c r="B447" t="inlineStr">
        <is>
          <t>SLE</t>
        </is>
      </c>
      <c r="C447" t="inlineStr">
        <is>
          <t xml:space="preserve">Chairperson, Canada Agricultural Review Tribunal           </t>
        </is>
      </c>
      <c r="D447" t="inlineStr">
        <is>
          <t xml:space="preserve"> Président, Commission de révision agricole du Canada</t>
        </is>
      </c>
      <c r="E447" t="inlineStr">
        <is>
          <t>Bélanger, Luc</t>
        </is>
      </c>
      <c r="F447" t="inlineStr">
        <is>
          <t>To attend a hearing for file Way Alta CART-1988</t>
        </is>
      </c>
      <c r="G447" t="inlineStr">
        <is>
          <t>Pour assister à une audience dans le dossier Way Alta CRAC-1988</t>
        </is>
      </c>
      <c r="H447" s="1" t="n">
        <v>43592</v>
      </c>
      <c r="I447" s="1" t="n">
        <v>43596</v>
      </c>
      <c r="J447" t="inlineStr">
        <is>
          <t>Calgary, AB</t>
        </is>
      </c>
      <c r="K447" t="inlineStr">
        <is>
          <t>Calgary, AB</t>
        </is>
      </c>
      <c r="P447" t="n">
        <v>931.49</v>
      </c>
      <c r="Q447" t="n">
        <v>209.12</v>
      </c>
      <c r="R447" t="n">
        <v>1062.08</v>
      </c>
      <c r="S447" t="n">
        <v>542.75</v>
      </c>
      <c r="T447" t="n">
        <v>0</v>
      </c>
      <c r="U447" t="n">
        <v>2745.44</v>
      </c>
      <c r="X447" t="inlineStr">
        <is>
          <t>atssc-scdata</t>
        </is>
      </c>
      <c r="Y447" t="inlineStr">
        <is>
          <t>Administrative Tribunals Support Service of Canada | Service canadien d'appui aux tribunaux administratifs</t>
        </is>
      </c>
    </row>
    <row r="448">
      <c r="A448" t="inlineStr">
        <is>
          <t>T-2019-Q1-005</t>
        </is>
      </c>
      <c r="B448" t="inlineStr">
        <is>
          <t>SLE</t>
        </is>
      </c>
      <c r="C448" t="inlineStr">
        <is>
          <t xml:space="preserve">Chairperson, Canada Agricultural Review Tribunal           </t>
        </is>
      </c>
      <c r="D448" t="inlineStr">
        <is>
          <t xml:space="preserve"> Président, Commission de révision agricole du Canada</t>
        </is>
      </c>
      <c r="E448" t="inlineStr">
        <is>
          <t>Bélanger, Luc</t>
        </is>
      </c>
      <c r="F448" t="inlineStr">
        <is>
          <t>For the hearing CART-1896 Transvol</t>
        </is>
      </c>
      <c r="G448" t="inlineStr">
        <is>
          <t>Pour l'audience du dossier CRAC-1896 Transvol</t>
        </is>
      </c>
      <c r="H448" s="1" t="n">
        <v>43559</v>
      </c>
      <c r="I448" s="1" t="n">
        <v>43561</v>
      </c>
      <c r="J448" t="inlineStr">
        <is>
          <t>Québec, Qc</t>
        </is>
      </c>
      <c r="K448" t="inlineStr">
        <is>
          <t>Québec, Qc</t>
        </is>
      </c>
      <c r="P448" t="n">
        <v>0</v>
      </c>
      <c r="Q448" t="n">
        <v>610.55</v>
      </c>
      <c r="R448" t="n">
        <v>330.84</v>
      </c>
      <c r="S448" t="n">
        <v>251.95</v>
      </c>
      <c r="T448" t="n">
        <v>0</v>
      </c>
      <c r="U448" t="n">
        <v>1193.34</v>
      </c>
      <c r="X448" t="inlineStr">
        <is>
          <t>atssc-scdata</t>
        </is>
      </c>
      <c r="Y448" t="inlineStr">
        <is>
          <t>Administrative Tribunals Support Service of Canada | Service canadien d'appui aux tribunaux administratifs</t>
        </is>
      </c>
    </row>
    <row r="449">
      <c r="A449" t="inlineStr">
        <is>
          <t>T-2019-Q1-006</t>
        </is>
      </c>
      <c r="B449" t="inlineStr">
        <is>
          <t>SLE</t>
        </is>
      </c>
      <c r="C449" t="inlineStr">
        <is>
          <t xml:space="preserve">Chairperson, Canada Agricultural Review Tribunal           </t>
        </is>
      </c>
      <c r="D449" t="inlineStr">
        <is>
          <t xml:space="preserve"> Président, Commission de révision agricole du Canada</t>
        </is>
      </c>
      <c r="E449" t="inlineStr">
        <is>
          <t>Bélanger, Luc</t>
        </is>
      </c>
      <c r="F449" t="inlineStr">
        <is>
          <t>Osgood Advanced Decision Writing training.</t>
        </is>
      </c>
      <c r="G449" t="inlineStr">
        <is>
          <t>Formation avancée en rédaction de décisions Osgood.</t>
        </is>
      </c>
      <c r="H449" s="1" t="n">
        <v>43579</v>
      </c>
      <c r="I449" s="1" t="n">
        <v>43582</v>
      </c>
      <c r="J449" t="inlineStr">
        <is>
          <t>Toronto, ON</t>
        </is>
      </c>
      <c r="K449" t="inlineStr">
        <is>
          <t>Toronto, ON</t>
        </is>
      </c>
      <c r="P449" t="n">
        <v>542.8</v>
      </c>
      <c r="Q449" t="n">
        <v>114.34</v>
      </c>
      <c r="R449" t="n">
        <v>701.58</v>
      </c>
      <c r="S449" t="n">
        <v>322.85</v>
      </c>
      <c r="T449" t="n">
        <v>96</v>
      </c>
      <c r="U449" t="n">
        <v>1777.57</v>
      </c>
      <c r="X449" t="inlineStr">
        <is>
          <t>atssc-scdata</t>
        </is>
      </c>
      <c r="Y449" t="inlineStr">
        <is>
          <t>Administrative Tribunals Support Service of Canada | Service canadien d'appui aux tribunaux administratifs</t>
        </is>
      </c>
    </row>
    <row r="450">
      <c r="A450" t="inlineStr">
        <is>
          <t>T-2019-Q1-008</t>
        </is>
      </c>
      <c r="B450" t="inlineStr">
        <is>
          <t>SLE</t>
        </is>
      </c>
      <c r="C450" t="inlineStr">
        <is>
          <t xml:space="preserve">Chairperson, Canada Industrial Relations Board </t>
        </is>
      </c>
      <c r="D450" t="inlineStr">
        <is>
          <t>Présidente, Conseil canadien des relations industrielles</t>
        </is>
      </c>
      <c r="E450" t="inlineStr">
        <is>
          <t xml:space="preserve">Brazeau, Ginette </t>
        </is>
      </c>
      <c r="F450" t="inlineStr">
        <is>
          <t>Presentation to the Canadian Bar Association.</t>
        </is>
      </c>
      <c r="G450" t="inlineStr">
        <is>
          <t>Présentation à l'Association du Barreau canadien.</t>
        </is>
      </c>
      <c r="H450" s="1" t="n">
        <v>43533</v>
      </c>
      <c r="I450" s="1" t="n">
        <v>43537</v>
      </c>
      <c r="J450" t="inlineStr">
        <is>
          <t>Quebec City, Qc</t>
        </is>
      </c>
      <c r="K450" t="inlineStr">
        <is>
          <t>Ville de Québec, Qc</t>
        </is>
      </c>
      <c r="P450" t="n">
        <v>0</v>
      </c>
      <c r="Q450" t="n">
        <v>472.63</v>
      </c>
      <c r="R450" t="n">
        <v>215.42</v>
      </c>
      <c r="S450" t="n">
        <v>124.7</v>
      </c>
      <c r="T450" t="n">
        <v>65</v>
      </c>
      <c r="U450" t="n">
        <v>877.75</v>
      </c>
      <c r="X450" t="inlineStr">
        <is>
          <t>atssc-scdata</t>
        </is>
      </c>
      <c r="Y450" t="inlineStr">
        <is>
          <t>Administrative Tribunals Support Service of Canada | Service canadien d'appui aux tribunaux administratifs</t>
        </is>
      </c>
    </row>
    <row r="451">
      <c r="A451" t="inlineStr">
        <is>
          <t>T-2019-Q1-009</t>
        </is>
      </c>
      <c r="B451" t="inlineStr">
        <is>
          <t>SLE</t>
        </is>
      </c>
      <c r="C451" t="inlineStr">
        <is>
          <t xml:space="preserve">Chairperson, Canada Industrial Relations Board </t>
        </is>
      </c>
      <c r="D451" t="inlineStr">
        <is>
          <t>Présidente, Conseil canadien des relations industrielles</t>
        </is>
      </c>
      <c r="E451" t="inlineStr">
        <is>
          <t xml:space="preserve">Brazeau, Ginette </t>
        </is>
      </c>
      <c r="F451" t="inlineStr">
        <is>
          <t>Hearing for file 32922-c</t>
        </is>
      </c>
      <c r="G451" t="inlineStr">
        <is>
          <t>Audience pour le dossier 32922-c</t>
        </is>
      </c>
      <c r="H451" s="1" t="n">
        <v>43548</v>
      </c>
      <c r="I451" s="1" t="n">
        <v>43551</v>
      </c>
      <c r="J451" t="inlineStr">
        <is>
          <t>Vancouver, BC</t>
        </is>
      </c>
      <c r="K451" t="inlineStr">
        <is>
          <t>Vancouver, BC</t>
        </is>
      </c>
      <c r="P451" t="n">
        <v>2231.91</v>
      </c>
      <c r="Q451" t="n">
        <v>96.83</v>
      </c>
      <c r="R451" t="n">
        <v>627.33</v>
      </c>
      <c r="S451" t="n">
        <v>339.5</v>
      </c>
      <c r="T451" t="n">
        <v>0</v>
      </c>
      <c r="U451" t="n">
        <v>3295.57</v>
      </c>
      <c r="X451" t="inlineStr">
        <is>
          <t>atssc-scdata</t>
        </is>
      </c>
      <c r="Y451" t="inlineStr">
        <is>
          <t>Administrative Tribunals Support Service of Canada | Service canadien d'appui aux tribunaux administratifs</t>
        </is>
      </c>
    </row>
    <row r="452">
      <c r="A452" t="inlineStr">
        <is>
          <t>T-2019-Q1-010</t>
        </is>
      </c>
      <c r="B452" t="inlineStr">
        <is>
          <t>SLE</t>
        </is>
      </c>
      <c r="C452" t="inlineStr">
        <is>
          <t xml:space="preserve">Chairperson, Canada Industrial Relations Board </t>
        </is>
      </c>
      <c r="D452" t="inlineStr">
        <is>
          <t>Présidente, Conseil canadien des relations industrielles</t>
        </is>
      </c>
      <c r="E452" t="inlineStr">
        <is>
          <t xml:space="preserve">Brazeau, Ginette </t>
        </is>
      </c>
      <c r="F452" t="inlineStr">
        <is>
          <t>Hearing: Minute 32011/ File 44440</t>
        </is>
      </c>
      <c r="G452" t="inlineStr">
        <is>
          <t>Audience: Minute 32011 dossier 44440</t>
        </is>
      </c>
      <c r="H452" s="1" t="n">
        <v>43564</v>
      </c>
      <c r="I452" s="1" t="n">
        <v>43565</v>
      </c>
      <c r="J452" t="inlineStr">
        <is>
          <t>Toronto, ON</t>
        </is>
      </c>
      <c r="K452" t="inlineStr">
        <is>
          <t>Toronto, ON</t>
        </is>
      </c>
      <c r="P452" t="n">
        <v>702.27</v>
      </c>
      <c r="Q452" t="n">
        <v>42.18</v>
      </c>
      <c r="R452" t="n">
        <v>186.86</v>
      </c>
      <c r="S452" t="n">
        <v>166.45</v>
      </c>
      <c r="T452" t="n">
        <v>48</v>
      </c>
      <c r="U452" t="n">
        <v>1145.76</v>
      </c>
      <c r="X452" t="inlineStr">
        <is>
          <t>atssc-scdata</t>
        </is>
      </c>
      <c r="Y452" t="inlineStr">
        <is>
          <t>Administrative Tribunals Support Service of Canada | Service canadien d'appui aux tribunaux administratifs</t>
        </is>
      </c>
    </row>
    <row r="453">
      <c r="A453" t="inlineStr">
        <is>
          <t>T-2019-Q1-011</t>
        </is>
      </c>
      <c r="B453" t="inlineStr">
        <is>
          <t>SLE</t>
        </is>
      </c>
      <c r="C453" t="inlineStr">
        <is>
          <t xml:space="preserve">Chairperson, Canada Industrial Relations Board </t>
        </is>
      </c>
      <c r="D453" t="inlineStr">
        <is>
          <t>Présidente, Conseil canadien des relations industrielles</t>
        </is>
      </c>
      <c r="E453" t="inlineStr">
        <is>
          <t xml:space="preserve">Brazeau, Ginette </t>
        </is>
      </c>
      <c r="F453" t="inlineStr">
        <is>
          <t>Hearing: Minute 44474, File 23922</t>
        </is>
      </c>
      <c r="G453" t="inlineStr">
        <is>
          <t>Audience: Minute 44474, dossier 23922</t>
        </is>
      </c>
      <c r="H453" s="1" t="n">
        <v>43555</v>
      </c>
      <c r="I453" s="1" t="n">
        <v>43559</v>
      </c>
      <c r="J453" t="inlineStr">
        <is>
          <t>Vancouver, BC</t>
        </is>
      </c>
      <c r="K453" t="inlineStr">
        <is>
          <t>Vancouver, BC</t>
        </is>
      </c>
      <c r="P453" t="n">
        <v>1969.38</v>
      </c>
      <c r="Q453" t="n">
        <v>97.41</v>
      </c>
      <c r="R453" t="n">
        <v>1108.96</v>
      </c>
      <c r="S453" t="n">
        <v>389.6</v>
      </c>
      <c r="T453" t="n">
        <v>0</v>
      </c>
      <c r="U453" t="n">
        <v>3565.35</v>
      </c>
      <c r="X453" t="inlineStr">
        <is>
          <t>atssc-scdata</t>
        </is>
      </c>
      <c r="Y453" t="inlineStr">
        <is>
          <t>Administrative Tribunals Support Service of Canada | Service canadien d'appui aux tribunaux administratifs</t>
        </is>
      </c>
    </row>
    <row r="454">
      <c r="A454" t="inlineStr">
        <is>
          <t>T-2019-Q1-012</t>
        </is>
      </c>
      <c r="B454" t="inlineStr">
        <is>
          <t>SLE</t>
        </is>
      </c>
      <c r="C454" t="inlineStr">
        <is>
          <t xml:space="preserve">Chairperson, Canada Industrial Relations Board </t>
        </is>
      </c>
      <c r="D454" t="inlineStr">
        <is>
          <t>Présidente, Conseil canadien des relations industrielles</t>
        </is>
      </c>
      <c r="E454" t="inlineStr">
        <is>
          <t xml:space="preserve">Brazeau, Ginette </t>
        </is>
      </c>
      <c r="F454" t="inlineStr">
        <is>
          <t>Management Meeting with the parties</t>
        </is>
      </c>
      <c r="G454" t="inlineStr">
        <is>
          <t>Réunion de gestion avec les parties</t>
        </is>
      </c>
      <c r="H454" s="1" t="n">
        <v>43567</v>
      </c>
      <c r="I454" s="1" t="n">
        <v>43567</v>
      </c>
      <c r="J454" t="inlineStr">
        <is>
          <t>Montréal, Qc</t>
        </is>
      </c>
      <c r="K454" t="inlineStr">
        <is>
          <t>Montréal, Qc</t>
        </is>
      </c>
      <c r="P454" t="n">
        <v>0</v>
      </c>
      <c r="Q454" t="n">
        <v>184.26</v>
      </c>
      <c r="R454" t="n">
        <v>0</v>
      </c>
      <c r="S454" t="n">
        <v>20.1</v>
      </c>
      <c r="T454" t="n">
        <v>0</v>
      </c>
      <c r="U454" t="n">
        <v>204.36</v>
      </c>
      <c r="X454" t="inlineStr">
        <is>
          <t>atssc-scdata</t>
        </is>
      </c>
      <c r="Y454" t="inlineStr">
        <is>
          <t>Administrative Tribunals Support Service of Canada | Service canadien d'appui aux tribunaux administratifs</t>
        </is>
      </c>
    </row>
    <row r="455">
      <c r="A455" t="inlineStr">
        <is>
          <t>T-2019-Q1-013</t>
        </is>
      </c>
      <c r="B455" t="inlineStr">
        <is>
          <t>SLE</t>
        </is>
      </c>
      <c r="C455" t="inlineStr">
        <is>
          <t xml:space="preserve">Chairperson, Canada Industrial Relations Board </t>
        </is>
      </c>
      <c r="D455" t="inlineStr">
        <is>
          <t>Présidente, Conseil canadien des relations industrielles</t>
        </is>
      </c>
      <c r="E455" t="inlineStr">
        <is>
          <t xml:space="preserve">Brazeau, Ginette </t>
        </is>
      </c>
      <c r="F455" t="inlineStr">
        <is>
          <t>LERA NW Chapter Conference</t>
        </is>
      </c>
      <c r="G455" t="inlineStr">
        <is>
          <t>Conférence du chapire LERA NW</t>
        </is>
      </c>
      <c r="H455" s="1" t="n">
        <v>43551</v>
      </c>
      <c r="I455" s="1" t="n">
        <v>43555</v>
      </c>
      <c r="J455" t="inlineStr">
        <is>
          <t>Vancouver, BC / Seattle, WA</t>
        </is>
      </c>
      <c r="K455" t="inlineStr">
        <is>
          <t>Vancouver, BC / Seattle, WA</t>
        </is>
      </c>
      <c r="P455" t="n">
        <v>2019.78</v>
      </c>
      <c r="Q455" t="n">
        <v>0</v>
      </c>
      <c r="R455" t="n">
        <v>607.65</v>
      </c>
      <c r="S455" t="n">
        <v>350.91</v>
      </c>
      <c r="T455" t="n">
        <v>0</v>
      </c>
      <c r="U455" t="n">
        <v>2978.34</v>
      </c>
      <c r="X455" t="inlineStr">
        <is>
          <t>atssc-scdata</t>
        </is>
      </c>
      <c r="Y455" t="inlineStr">
        <is>
          <t>Administrative Tribunals Support Service of Canada | Service canadien d'appui aux tribunaux administratifs</t>
        </is>
      </c>
    </row>
    <row r="456">
      <c r="A456" t="inlineStr">
        <is>
          <t>T-2019-Q1-014</t>
        </is>
      </c>
      <c r="B456" t="inlineStr">
        <is>
          <t>SLE</t>
        </is>
      </c>
      <c r="C456" t="inlineStr">
        <is>
          <t xml:space="preserve">Chairperson, Canada Industrial Relations Board </t>
        </is>
      </c>
      <c r="D456" t="inlineStr">
        <is>
          <t>Présidente, Conseil canadien des relations industrielles</t>
        </is>
      </c>
      <c r="E456" t="inlineStr">
        <is>
          <t xml:space="preserve">Brazeau, Ginette </t>
        </is>
      </c>
      <c r="F456" t="inlineStr">
        <is>
          <t>Keynote Speaker-Mercer Canada LERN</t>
        </is>
      </c>
      <c r="G456" t="inlineStr">
        <is>
          <t>Conférencier principal-Mercer Canada LERN</t>
        </is>
      </c>
      <c r="H456" s="1" t="n">
        <v>43575</v>
      </c>
      <c r="I456" s="1" t="n">
        <v>43585</v>
      </c>
      <c r="J456" t="inlineStr">
        <is>
          <t>Toronto, ON</t>
        </is>
      </c>
      <c r="K456" t="inlineStr">
        <is>
          <t>Toronto, ON</t>
        </is>
      </c>
      <c r="P456" t="n">
        <v>745.75</v>
      </c>
      <c r="Q456" t="n">
        <v>0</v>
      </c>
      <c r="R456" t="n">
        <v>224.87</v>
      </c>
      <c r="S456" t="n">
        <v>70.75</v>
      </c>
      <c r="T456" t="n">
        <v>24</v>
      </c>
      <c r="U456" t="n">
        <v>1065.37</v>
      </c>
      <c r="X456" t="inlineStr">
        <is>
          <t>atssc-scdata</t>
        </is>
      </c>
      <c r="Y456" t="inlineStr">
        <is>
          <t>Administrative Tribunals Support Service of Canada | Service canadien d'appui aux tribunaux administratifs</t>
        </is>
      </c>
    </row>
    <row r="457">
      <c r="A457" t="inlineStr">
        <is>
          <t>T-2019-Q1-015</t>
        </is>
      </c>
      <c r="B457" t="inlineStr">
        <is>
          <t>SLE</t>
        </is>
      </c>
      <c r="C457" t="inlineStr">
        <is>
          <t>CFO, Administrative Support Service of Canada</t>
        </is>
      </c>
      <c r="D457" t="inlineStr">
        <is>
          <t>CFO, Service canadien d’appui aux tribunaux administratifs</t>
        </is>
      </c>
      <c r="E457" t="inlineStr">
        <is>
          <t>Bucar, Christopher</t>
        </is>
      </c>
      <c r="F457" t="inlineStr">
        <is>
          <t>Workshop for the Next Generation DCFO program</t>
        </is>
      </c>
      <c r="G457" t="inlineStr">
        <is>
          <t>Atelier pour le programme DCFO de prochaine génération</t>
        </is>
      </c>
      <c r="H457" s="1" t="n">
        <v>43599</v>
      </c>
      <c r="I457" s="1" t="n">
        <v>43600</v>
      </c>
      <c r="J457" t="inlineStr">
        <is>
          <t>Montebello, Qc</t>
        </is>
      </c>
      <c r="K457" t="inlineStr">
        <is>
          <t>Montebello, QC</t>
        </is>
      </c>
      <c r="Q457" t="n">
        <v>93.5</v>
      </c>
      <c r="R457" t="n">
        <v>243.15</v>
      </c>
      <c r="S457" t="n">
        <v>34.6</v>
      </c>
      <c r="U457" t="n">
        <v>371.25</v>
      </c>
      <c r="X457" t="inlineStr">
        <is>
          <t>atssc-scdata</t>
        </is>
      </c>
      <c r="Y457" t="inlineStr">
        <is>
          <t>Administrative Tribunals Support Service of Canada | Service canadien d'appui aux tribunaux administratifs</t>
        </is>
      </c>
    </row>
    <row r="458">
      <c r="A458" t="inlineStr">
        <is>
          <t>T-2019-Q1-016</t>
        </is>
      </c>
      <c r="B458" t="inlineStr">
        <is>
          <t>SLE</t>
        </is>
      </c>
      <c r="C458" t="inlineStr">
        <is>
          <t>Acting Executive Director, Social Security Tribunal of Canada</t>
        </is>
      </c>
      <c r="D458" t="inlineStr">
        <is>
          <t>Directrice exécutive par intérim, Tribunal de la sécurité sociale du Canada</t>
        </is>
      </c>
      <c r="E458" t="inlineStr">
        <is>
          <t xml:space="preserve">Burnett, Gilian </t>
        </is>
      </c>
      <c r="F458" t="inlineStr">
        <is>
          <t>Training - Strategic Planning</t>
        </is>
      </c>
      <c r="G458" t="inlineStr">
        <is>
          <t>Formation - Planification stratégique</t>
        </is>
      </c>
      <c r="H458" s="1" t="n">
        <v>43507</v>
      </c>
      <c r="I458" s="1" t="n">
        <v>43509</v>
      </c>
      <c r="J458" t="inlineStr">
        <is>
          <t>Toronto, ON</t>
        </is>
      </c>
      <c r="K458" t="inlineStr">
        <is>
          <t>Toronto, ON</t>
        </is>
      </c>
      <c r="P458" t="n">
        <v>361.46</v>
      </c>
      <c r="Q458" t="n">
        <v>203.51</v>
      </c>
      <c r="R458" t="n">
        <v>560.58</v>
      </c>
      <c r="S458" t="n">
        <v>239.45</v>
      </c>
      <c r="T458" t="n">
        <v>3729</v>
      </c>
      <c r="U458" t="n">
        <v>5094</v>
      </c>
      <c r="X458" t="inlineStr">
        <is>
          <t>atssc-scdata</t>
        </is>
      </c>
      <c r="Y458" t="inlineStr">
        <is>
          <t>Administrative Tribunals Support Service of Canada | Service canadien d'appui aux tribunaux administratifs</t>
        </is>
      </c>
    </row>
    <row r="459">
      <c r="A459" t="inlineStr">
        <is>
          <t>T-2019-Q1-017</t>
        </is>
      </c>
      <c r="B459" t="inlineStr">
        <is>
          <t>SLE</t>
        </is>
      </c>
      <c r="C459" t="inlineStr">
        <is>
          <t xml:space="preserve">Director General and CIO Information Services and Solutions, and Director General, Secretariat to the Specific Claims Tribunal </t>
        </is>
      </c>
      <c r="D459" t="inlineStr">
        <is>
          <t>Directeur général, Services et solutions d’information et directeur général du Secrétariat du Tribunal des revendications particulières</t>
        </is>
      </c>
      <c r="E459" t="inlineStr">
        <is>
          <t>Campbell, Stuart</t>
        </is>
      </c>
      <c r="F459" t="inlineStr">
        <is>
          <t>Meeting with The Honourable Justice Paul Mayer, Member of the Specific Claims Tribunal Secretariat in Montreal and visit an ISST employee at the Secretariat of CIRB</t>
        </is>
      </c>
      <c r="G459" t="inlineStr">
        <is>
          <t>Rencontre avec l'honorable juge Paul Mayer, membre du secrétariat du Tribunal des revendications particulières à Montréal et visite d'un employé de l'ISST au secrétariat du CCRI</t>
        </is>
      </c>
      <c r="H459" s="1" t="n">
        <v>43521</v>
      </c>
      <c r="I459" s="1" t="n">
        <v>43522</v>
      </c>
      <c r="J459" t="inlineStr">
        <is>
          <t>Montréal, Qc</t>
        </is>
      </c>
      <c r="K459" t="inlineStr">
        <is>
          <t>Montréal, Qc</t>
        </is>
      </c>
      <c r="P459" t="n">
        <v>0</v>
      </c>
      <c r="Q459" t="n">
        <v>261.99</v>
      </c>
      <c r="R459" t="n">
        <v>0</v>
      </c>
      <c r="S459" t="n">
        <v>0</v>
      </c>
      <c r="T459" t="n">
        <v>0</v>
      </c>
      <c r="U459" t="n">
        <v>261.99</v>
      </c>
      <c r="X459" t="inlineStr">
        <is>
          <t>atssc-scdata</t>
        </is>
      </c>
      <c r="Y459" t="inlineStr">
        <is>
          <t>Administrative Tribunals Support Service of Canada | Service canadien d'appui aux tribunaux administratifs</t>
        </is>
      </c>
    </row>
    <row r="460">
      <c r="A460" t="inlineStr">
        <is>
          <t>T-2019-Q1-018</t>
        </is>
      </c>
      <c r="B460" t="inlineStr">
        <is>
          <t>SLE</t>
        </is>
      </c>
      <c r="C460" t="inlineStr">
        <is>
          <t>Chairperson, Federal Public Service Labour Relations and Employment Board Tribunal</t>
        </is>
      </c>
      <c r="D460" t="inlineStr">
        <is>
          <t>Présidente, Tribunal de la commission des relations de travail et de l’emploi dans le secteur public fédéral</t>
        </is>
      </c>
      <c r="E460" t="inlineStr">
        <is>
          <t>Ebbs, Catherine</t>
        </is>
      </c>
      <c r="F460" t="inlineStr">
        <is>
          <t>Hearing - Montreal</t>
        </is>
      </c>
      <c r="G460" t="inlineStr">
        <is>
          <t>Audience - Montreal</t>
        </is>
      </c>
      <c r="H460" s="1" t="n">
        <v>43550</v>
      </c>
      <c r="I460" s="1" t="n">
        <v>43551</v>
      </c>
      <c r="J460" t="inlineStr">
        <is>
          <t>Montreal, Qc</t>
        </is>
      </c>
      <c r="K460" t="inlineStr">
        <is>
          <t>Montreal, Qc</t>
        </is>
      </c>
      <c r="P460" t="n">
        <v>0</v>
      </c>
      <c r="Q460" t="n">
        <v>262.92</v>
      </c>
      <c r="R460" t="n">
        <v>304.62</v>
      </c>
      <c r="S460" t="n">
        <v>182.1</v>
      </c>
      <c r="T460" t="n">
        <v>0</v>
      </c>
      <c r="U460" t="n">
        <v>749.64</v>
      </c>
      <c r="X460" t="inlineStr">
        <is>
          <t>atssc-scdata</t>
        </is>
      </c>
      <c r="Y460" t="inlineStr">
        <is>
          <t>Administrative Tribunals Support Service of Canada | Service canadien d'appui aux tribunaux administratifs</t>
        </is>
      </c>
    </row>
    <row r="461">
      <c r="A461" t="inlineStr">
        <is>
          <t>T-2019-Q1-019</t>
        </is>
      </c>
      <c r="B461" t="inlineStr">
        <is>
          <t>SLE</t>
        </is>
      </c>
      <c r="C461" t="inlineStr">
        <is>
          <t>Executive Director and General Counsel, Secretariat to the Canadian International Trade Tribunal</t>
        </is>
      </c>
      <c r="D461" t="inlineStr">
        <is>
          <t>Directeur exécutif et avocat général, Secrétariat du Tribunal canadien du commerce extérieur</t>
        </is>
      </c>
      <c r="E461" t="inlineStr">
        <is>
          <t>Gallo, Greg</t>
        </is>
      </c>
      <c r="F461" t="inlineStr">
        <is>
          <t>World Trade Organization technical meeting in Geneva</t>
        </is>
      </c>
      <c r="G461" t="inlineStr">
        <is>
          <t>Réunion technique de l'Organisation mondiale du commerce à Genève</t>
        </is>
      </c>
      <c r="H461" s="1" t="n">
        <v>43585</v>
      </c>
      <c r="I461" s="1" t="n">
        <v>43589</v>
      </c>
      <c r="J461" t="inlineStr">
        <is>
          <t>Genève, Suisse</t>
        </is>
      </c>
      <c r="K461" t="inlineStr">
        <is>
          <t>Geneva, Switzerland</t>
        </is>
      </c>
      <c r="P461" t="n">
        <v>3107.15</v>
      </c>
      <c r="Q461" t="n">
        <v>69.16</v>
      </c>
      <c r="R461" t="n">
        <v>1043.89</v>
      </c>
      <c r="S461" t="n">
        <v>978.14</v>
      </c>
      <c r="T461" t="n">
        <v>0</v>
      </c>
      <c r="U461" t="n">
        <v>5198.34</v>
      </c>
      <c r="X461" t="inlineStr">
        <is>
          <t>atssc-scdata</t>
        </is>
      </c>
      <c r="Y461" t="inlineStr">
        <is>
          <t>Administrative Tribunals Support Service of Canada | Service canadien d'appui aux tribunaux administratifs</t>
        </is>
      </c>
    </row>
    <row r="462">
      <c r="A462" t="inlineStr">
        <is>
          <t>T-2019-Q1-020</t>
        </is>
      </c>
      <c r="B462" t="inlineStr">
        <is>
          <t>SLE</t>
        </is>
      </c>
      <c r="C462" t="inlineStr">
        <is>
          <t>Executive Director, Canadian Industrial Relations Board</t>
        </is>
      </c>
      <c r="D462" t="inlineStr">
        <is>
          <t>Directrice executive, Conseil canadien des relations industrielles</t>
        </is>
      </c>
      <c r="E462" t="inlineStr">
        <is>
          <t>Guilbert, Sylvie</t>
        </is>
      </c>
      <c r="F462" t="inlineStr">
        <is>
          <t>ALRA's Second Planning Session</t>
        </is>
      </c>
      <c r="G462" t="inlineStr">
        <is>
          <t>Deuxième séance de planification pour ARLA</t>
        </is>
      </c>
      <c r="H462" s="1" t="n">
        <v>43532</v>
      </c>
      <c r="I462" s="1" t="n">
        <v>43534</v>
      </c>
      <c r="J462" t="inlineStr">
        <is>
          <t>Cincinnati, Ohio</t>
        </is>
      </c>
      <c r="K462" t="inlineStr">
        <is>
          <t>Cincinnati, Ohio</t>
        </is>
      </c>
      <c r="P462" t="n">
        <v>670.4299999999999</v>
      </c>
      <c r="Q462" t="n">
        <v>110.65</v>
      </c>
      <c r="R462" t="n">
        <v>447.9</v>
      </c>
      <c r="S462" t="n">
        <v>323.87</v>
      </c>
      <c r="T462" t="n">
        <v>0</v>
      </c>
      <c r="U462" t="n">
        <v>1552.85</v>
      </c>
      <c r="X462" t="inlineStr">
        <is>
          <t>atssc-scdata</t>
        </is>
      </c>
      <c r="Y462" t="inlineStr">
        <is>
          <t>Administrative Tribunals Support Service of Canada | Service canadien d'appui aux tribunaux administratifs</t>
        </is>
      </c>
    </row>
    <row r="463">
      <c r="A463" t="inlineStr">
        <is>
          <t>T-2019-Q1-021</t>
        </is>
      </c>
      <c r="B463" t="inlineStr">
        <is>
          <t>SLE</t>
        </is>
      </c>
      <c r="C463" t="inlineStr">
        <is>
          <t>Executive Director, Canadian Industrial Relations Board</t>
        </is>
      </c>
      <c r="D463" t="inlineStr">
        <is>
          <t>Directrice executive, Conseil canadien des relations industrielles</t>
        </is>
      </c>
      <c r="E463" t="inlineStr">
        <is>
          <t>Guilbert, Sylvie</t>
        </is>
      </c>
      <c r="F463" t="inlineStr">
        <is>
          <t>Meeting with Ginette Brazeau, Registrar and Executives of the ON Labour Relations Board re C-44</t>
        </is>
      </c>
      <c r="G463" t="inlineStr">
        <is>
          <t>Réunion avec Ginette Brazeau, Registraire et cadres de la Commission des relations de travail de l'ON app. C-44</t>
        </is>
      </c>
      <c r="H463" s="1" t="n">
        <v>43565</v>
      </c>
      <c r="I463" s="1" t="n">
        <v>43565</v>
      </c>
      <c r="J463" t="inlineStr">
        <is>
          <t>Toronto, ON</t>
        </is>
      </c>
      <c r="K463" t="inlineStr">
        <is>
          <t>Toronto, ON</t>
        </is>
      </c>
      <c r="P463" t="n">
        <v>791.41</v>
      </c>
      <c r="Q463" t="n">
        <v>24</v>
      </c>
      <c r="R463" t="n">
        <v>0</v>
      </c>
      <c r="S463" t="n">
        <v>40.6</v>
      </c>
      <c r="T463" t="n">
        <v>0</v>
      </c>
      <c r="U463" t="n">
        <v>856.01</v>
      </c>
      <c r="X463" t="inlineStr">
        <is>
          <t>atssc-scdata</t>
        </is>
      </c>
      <c r="Y463" t="inlineStr">
        <is>
          <t>Administrative Tribunals Support Service of Canada | Service canadien d'appui aux tribunaux administratifs</t>
        </is>
      </c>
    </row>
    <row r="464">
      <c r="A464" t="inlineStr">
        <is>
          <t>T-2019-Q1-022</t>
        </is>
      </c>
      <c r="B464" t="inlineStr">
        <is>
          <t>SLE</t>
        </is>
      </c>
      <c r="C464" t="inlineStr">
        <is>
          <t xml:space="preserve">Chairperson, Canadian Cultural Property Export Review Board </t>
        </is>
      </c>
      <c r="D464" t="inlineStr">
        <is>
          <t>Présidente, Commission canadienne d’examen des exportations de biens culturels</t>
        </is>
      </c>
      <c r="E464" t="inlineStr">
        <is>
          <t>Ingram, Sharilyn</t>
        </is>
      </c>
      <c r="F464" t="inlineStr">
        <is>
          <t>To participate in a meeting at the Art Gallery of Ontario with the Director and Chief Curator.</t>
        </is>
      </c>
      <c r="G464" t="inlineStr">
        <is>
          <t>Participer à une réunion au Musée des beaux-arts de l'Ontario avec le directeur et le conservateur en chef.</t>
        </is>
      </c>
      <c r="H464" s="1" t="n">
        <v>43531</v>
      </c>
      <c r="I464" s="1" t="n">
        <v>43531</v>
      </c>
      <c r="J464" t="inlineStr">
        <is>
          <t>Toronto</t>
        </is>
      </c>
      <c r="K464" t="inlineStr">
        <is>
          <t>Toronto</t>
        </is>
      </c>
      <c r="P464" t="n">
        <v>0</v>
      </c>
      <c r="Q464" t="n">
        <v>62.78</v>
      </c>
      <c r="R464" t="n">
        <v>0</v>
      </c>
      <c r="S464" t="n">
        <v>19.85</v>
      </c>
      <c r="U464" t="n">
        <v>82.63</v>
      </c>
      <c r="X464" t="inlineStr">
        <is>
          <t>atssc-scdata</t>
        </is>
      </c>
      <c r="Y464" t="inlineStr">
        <is>
          <t>Administrative Tribunals Support Service of Canada | Service canadien d'appui aux tribunaux administratifs</t>
        </is>
      </c>
    </row>
    <row r="465">
      <c r="A465" t="inlineStr">
        <is>
          <t>T-2019-Q1-023</t>
        </is>
      </c>
      <c r="B465" t="inlineStr">
        <is>
          <t>SLE</t>
        </is>
      </c>
      <c r="C465" t="inlineStr">
        <is>
          <t xml:space="preserve">Chairperson, Canadian Cultural Property Export Review Board </t>
        </is>
      </c>
      <c r="D465" t="inlineStr">
        <is>
          <t>Présidente, Commission canadienne d’examen des exportations de biens culturels</t>
        </is>
      </c>
      <c r="E465" t="inlineStr">
        <is>
          <t>Ingram, Sharilyn</t>
        </is>
      </c>
      <c r="F465" t="inlineStr">
        <is>
          <t>To attend an Art and Law seminar.</t>
        </is>
      </c>
      <c r="G465" t="inlineStr">
        <is>
          <t>Participer à un séminaire d'art et de droit.</t>
        </is>
      </c>
      <c r="H465" s="1" t="n">
        <v>43529</v>
      </c>
      <c r="I465" s="1" t="n">
        <v>43529</v>
      </c>
      <c r="J465" t="inlineStr">
        <is>
          <t>Toronto</t>
        </is>
      </c>
      <c r="K465" t="inlineStr">
        <is>
          <t>Toronto</t>
        </is>
      </c>
      <c r="P465" t="n">
        <v>0</v>
      </c>
      <c r="Q465" t="n">
        <v>47.73</v>
      </c>
      <c r="R465" t="n">
        <v>0</v>
      </c>
      <c r="S465" t="n">
        <v>19.85</v>
      </c>
      <c r="T465" t="n">
        <v>0</v>
      </c>
      <c r="U465" t="n">
        <v>67.58</v>
      </c>
      <c r="X465" t="inlineStr">
        <is>
          <t>atssc-scdata</t>
        </is>
      </c>
      <c r="Y465" t="inlineStr">
        <is>
          <t>Administrative Tribunals Support Service of Canada | Service canadien d'appui aux tribunaux administratifs</t>
        </is>
      </c>
    </row>
    <row r="466">
      <c r="A466" t="inlineStr">
        <is>
          <t>T-2018-Q4-001</t>
        </is>
      </c>
      <c r="B466" t="inlineStr">
        <is>
          <t>SLE</t>
        </is>
      </c>
      <c r="C466" t="inlineStr">
        <is>
          <t xml:space="preserve">Chairperson, Canada Agricultural Review Tribunal           </t>
        </is>
      </c>
      <c r="D466" t="inlineStr">
        <is>
          <t xml:space="preserve"> Président, Commission de révision agricole du Canada</t>
        </is>
      </c>
      <c r="E466" t="inlineStr">
        <is>
          <t>Bélanger, Luc</t>
        </is>
      </c>
      <c r="F466" t="inlineStr">
        <is>
          <t>Mtl: Meeting with the Conseil de la justice adminitrative du Québec and KPMG</t>
        </is>
      </c>
      <c r="G466" t="inlineStr">
        <is>
          <t xml:space="preserve">Mtl: Rencontre avec le Conseil de la justice administrative du Québec et KPMG </t>
        </is>
      </c>
      <c r="H466" s="1" t="n">
        <v>43445</v>
      </c>
      <c r="I466" s="1" t="n">
        <v>43447</v>
      </c>
      <c r="J466" t="inlineStr">
        <is>
          <t>Montréal / Sherbrooke</t>
        </is>
      </c>
      <c r="K466" t="inlineStr">
        <is>
          <t>Montréal / Sherbrooke</t>
        </is>
      </c>
      <c r="Q466" t="n">
        <v>311.5</v>
      </c>
      <c r="R466" t="n">
        <v>426.02</v>
      </c>
      <c r="S466" t="n">
        <v>225.5</v>
      </c>
      <c r="U466" t="n">
        <v>963.02</v>
      </c>
      <c r="X466" t="inlineStr">
        <is>
          <t>atssc-scdata</t>
        </is>
      </c>
      <c r="Y466" t="inlineStr">
        <is>
          <t>Administrative Tribunals Support Service of Canada | Service canadien d'appui aux tribunaux administratifs</t>
        </is>
      </c>
    </row>
    <row r="467">
      <c r="A467" t="inlineStr">
        <is>
          <t>T-2018-Q4-002</t>
        </is>
      </c>
      <c r="B467" t="inlineStr">
        <is>
          <t>SLE</t>
        </is>
      </c>
      <c r="C467" t="inlineStr">
        <is>
          <t xml:space="preserve">Chairperson, Canada Agricultural Review Tribunal           </t>
        </is>
      </c>
      <c r="D467" t="inlineStr">
        <is>
          <t xml:space="preserve"> Président, Commission de révision agricole du Canada</t>
        </is>
      </c>
      <c r="E467" t="inlineStr">
        <is>
          <t>Bélanger, Luc</t>
        </is>
      </c>
      <c r="F467" t="inlineStr">
        <is>
          <t>Meeting with new CART member - Patricia Farnese</t>
        </is>
      </c>
      <c r="G467" t="inlineStr">
        <is>
          <t>Rencontre avec un nouveau membre de CART - Patricia Farnese</t>
        </is>
      </c>
      <c r="H467" s="1" t="n">
        <v>43453</v>
      </c>
      <c r="I467" s="1" t="n">
        <v>43455</v>
      </c>
      <c r="J467" t="inlineStr">
        <is>
          <t>Saskatoon</t>
        </is>
      </c>
      <c r="K467" t="inlineStr">
        <is>
          <t>Saskatoon</t>
        </is>
      </c>
      <c r="P467" t="n">
        <v>1384.38</v>
      </c>
      <c r="Q467" t="n">
        <v>175.9</v>
      </c>
      <c r="R467" t="n">
        <v>331.5</v>
      </c>
      <c r="S467" t="n">
        <v>292.85</v>
      </c>
      <c r="U467" t="n">
        <v>2184.63</v>
      </c>
      <c r="X467" t="inlineStr">
        <is>
          <t>atssc-scdata</t>
        </is>
      </c>
      <c r="Y467" t="inlineStr">
        <is>
          <t>Administrative Tribunals Support Service of Canada | Service canadien d'appui aux tribunaux administratifs</t>
        </is>
      </c>
    </row>
    <row r="468">
      <c r="A468" t="inlineStr">
        <is>
          <t>T-2018-Q4-003</t>
        </is>
      </c>
      <c r="B468" t="inlineStr">
        <is>
          <t>SLE</t>
        </is>
      </c>
      <c r="C468" t="inlineStr">
        <is>
          <t xml:space="preserve">Chairperson, Canada Agricultural Review Tribunal           </t>
        </is>
      </c>
      <c r="D468" t="inlineStr">
        <is>
          <t xml:space="preserve"> Président, Commission de révision agricole du Canada</t>
        </is>
      </c>
      <c r="E468" t="inlineStr">
        <is>
          <t>Bélanger, Luc</t>
        </is>
      </c>
      <c r="F468" t="inlineStr">
        <is>
          <t>Hearing for file CART-1924 Golden Ontario Inc.</t>
        </is>
      </c>
      <c r="G468" t="inlineStr">
        <is>
          <t xml:space="preserve">Audience dans le dossier CART-1924 Golden Ontario Inc. </t>
        </is>
      </c>
      <c r="H468" s="1" t="n">
        <v>43485</v>
      </c>
      <c r="I468" s="1" t="n">
        <v>43489</v>
      </c>
      <c r="J468" t="inlineStr">
        <is>
          <t>Toronto</t>
        </is>
      </c>
      <c r="K468" t="inlineStr">
        <is>
          <t>Toronto</t>
        </is>
      </c>
      <c r="Q468" t="n">
        <v>941.11</v>
      </c>
      <c r="R468" t="n">
        <v>537.88</v>
      </c>
      <c r="S468" t="n">
        <v>477.05</v>
      </c>
      <c r="U468" t="n">
        <v>1956.04</v>
      </c>
      <c r="X468" t="inlineStr">
        <is>
          <t>atssc-scdata</t>
        </is>
      </c>
      <c r="Y468" t="inlineStr">
        <is>
          <t>Administrative Tribunals Support Service of Canada | Service canadien d'appui aux tribunaux administratifs</t>
        </is>
      </c>
    </row>
    <row r="469">
      <c r="A469" t="inlineStr">
        <is>
          <t>T-2018-Q4-004</t>
        </is>
      </c>
      <c r="B469" t="inlineStr">
        <is>
          <t>SLE</t>
        </is>
      </c>
      <c r="C469" t="inlineStr">
        <is>
          <t xml:space="preserve">Chairperson, Canada Agricultural Review Tribunal           </t>
        </is>
      </c>
      <c r="D469" t="inlineStr">
        <is>
          <t xml:space="preserve"> Président, Commission de révision agricole du Canada</t>
        </is>
      </c>
      <c r="E469" t="inlineStr">
        <is>
          <t>Bélanger, Luc</t>
        </is>
      </c>
      <c r="F469" t="inlineStr">
        <is>
          <t>Hearing for the Fauteux case</t>
        </is>
      </c>
      <c r="G469" t="inlineStr">
        <is>
          <t>Audience pour le dossier Fauteux</t>
        </is>
      </c>
      <c r="H469" s="1" t="n">
        <v>43402</v>
      </c>
      <c r="I469" s="1" t="n">
        <v>43404</v>
      </c>
      <c r="J469" t="inlineStr">
        <is>
          <t>Sherbrooke</t>
        </is>
      </c>
      <c r="K469" t="inlineStr">
        <is>
          <t>Sherbrooke</t>
        </is>
      </c>
      <c r="Q469" t="n">
        <v>212.73</v>
      </c>
      <c r="R469" t="n">
        <v>402.24</v>
      </c>
      <c r="S469" t="n">
        <v>225.25</v>
      </c>
      <c r="U469" t="n">
        <v>840.22</v>
      </c>
      <c r="X469" t="inlineStr">
        <is>
          <t>atssc-scdata</t>
        </is>
      </c>
      <c r="Y469" t="inlineStr">
        <is>
          <t>Administrative Tribunals Support Service of Canada | Service canadien d'appui aux tribunaux administratifs</t>
        </is>
      </c>
    </row>
    <row r="470">
      <c r="A470" t="inlineStr">
        <is>
          <t>T-2018-Q4-005</t>
        </is>
      </c>
      <c r="B470" t="inlineStr">
        <is>
          <t>SLE</t>
        </is>
      </c>
      <c r="C470" t="inlineStr">
        <is>
          <t xml:space="preserve">Chairperson, Canada Industrial Relations Board </t>
        </is>
      </c>
      <c r="D470" t="inlineStr">
        <is>
          <t>Présidente, Conseil canadien des relations industrielles</t>
        </is>
      </c>
      <c r="E470" t="inlineStr">
        <is>
          <t xml:space="preserve">Brazeau, Ginette </t>
        </is>
      </c>
      <c r="F470" t="inlineStr">
        <is>
          <t>Hearing File #32869-C / 32870-C</t>
        </is>
      </c>
      <c r="G470" t="inlineStr">
        <is>
          <t>Dossier #32869-C / 32870-C</t>
        </is>
      </c>
      <c r="H470" s="1" t="n">
        <v>43481</v>
      </c>
      <c r="I470" s="1" t="n">
        <v>43485</v>
      </c>
      <c r="J470" t="inlineStr">
        <is>
          <t>Vancouver</t>
        </is>
      </c>
      <c r="K470" t="inlineStr">
        <is>
          <t>Vancouver</t>
        </is>
      </c>
      <c r="P470" t="n">
        <v>4433.93</v>
      </c>
      <c r="Q470" t="n">
        <v>155.4</v>
      </c>
      <c r="R470" t="n">
        <v>728.48</v>
      </c>
      <c r="S470" t="n">
        <v>249.4</v>
      </c>
      <c r="U470" t="n">
        <v>5567.21</v>
      </c>
      <c r="X470" t="inlineStr">
        <is>
          <t>atssc-scdata</t>
        </is>
      </c>
      <c r="Y470" t="inlineStr">
        <is>
          <t>Administrative Tribunals Support Service of Canada | Service canadien d'appui aux tribunaux administratifs</t>
        </is>
      </c>
    </row>
    <row r="471">
      <c r="A471" t="inlineStr">
        <is>
          <t>T-2018-Q4-006</t>
        </is>
      </c>
      <c r="B471" t="inlineStr">
        <is>
          <t>SLE</t>
        </is>
      </c>
      <c r="C471" t="inlineStr">
        <is>
          <t xml:space="preserve">Chairperson, Canada Industrial Relations Board </t>
        </is>
      </c>
      <c r="D471" t="inlineStr">
        <is>
          <t>Présidente, Conseil canadien des relations industrielles</t>
        </is>
      </c>
      <c r="E471" t="inlineStr">
        <is>
          <t xml:space="preserve">Brazeau, Ginette </t>
        </is>
      </c>
      <c r="F471" t="inlineStr">
        <is>
          <t>National Labour Arbitration Competition</t>
        </is>
      </c>
      <c r="G471" t="inlineStr">
        <is>
          <t>Concours national d'arbitrage du travail</t>
        </is>
      </c>
      <c r="H471" s="1" t="n">
        <v>43491</v>
      </c>
      <c r="I471" s="1" t="n">
        <v>43492</v>
      </c>
      <c r="J471" t="inlineStr">
        <is>
          <t>Toronto</t>
        </is>
      </c>
      <c r="K471" t="inlineStr">
        <is>
          <t>Toronto</t>
        </is>
      </c>
      <c r="P471" t="n">
        <v>387.68</v>
      </c>
      <c r="Q471" t="n">
        <v>62</v>
      </c>
      <c r="R471" t="n">
        <v>186.86</v>
      </c>
      <c r="S471" t="n">
        <v>54.45</v>
      </c>
      <c r="U471" t="n">
        <v>690.99</v>
      </c>
      <c r="X471" t="inlineStr">
        <is>
          <t>atssc-scdata</t>
        </is>
      </c>
      <c r="Y471" t="inlineStr">
        <is>
          <t>Administrative Tribunals Support Service of Canada | Service canadien d'appui aux tribunaux administratifs</t>
        </is>
      </c>
    </row>
    <row r="472">
      <c r="A472" t="inlineStr">
        <is>
          <t>T-2018-Q4-007</t>
        </is>
      </c>
      <c r="B472" t="inlineStr">
        <is>
          <t>SLE</t>
        </is>
      </c>
      <c r="C472" t="inlineStr">
        <is>
          <t>Chairperson, Federal Public Service Labour Relations and Employment Board Tribunal</t>
        </is>
      </c>
      <c r="D472" t="inlineStr">
        <is>
          <t>Présidente, Tribunal de la commission des relations de travail et de l’emploi dans le secteur public fédéral</t>
        </is>
      </c>
      <c r="E472" t="inlineStr">
        <is>
          <t>Ebbs, Catherine</t>
        </is>
      </c>
      <c r="F472" t="inlineStr">
        <is>
          <t>Annual Meeting of Labour Chairs</t>
        </is>
      </c>
      <c r="G472" t="inlineStr">
        <is>
          <t>Réunion annuelle des présidents</t>
        </is>
      </c>
      <c r="H472" s="1" t="n">
        <v>43367</v>
      </c>
      <c r="I472" s="1" t="n">
        <v>43369</v>
      </c>
      <c r="J472" t="inlineStr">
        <is>
          <t>Montréal</t>
        </is>
      </c>
      <c r="K472" t="inlineStr">
        <is>
          <t>Montreal</t>
        </is>
      </c>
      <c r="Q472" t="n">
        <v>172.72</v>
      </c>
      <c r="R472" t="n">
        <v>350.86</v>
      </c>
      <c r="S472" t="n">
        <v>100.05</v>
      </c>
      <c r="U472" t="n">
        <v>623.63</v>
      </c>
      <c r="X472" t="inlineStr">
        <is>
          <t>atssc-scdata</t>
        </is>
      </c>
      <c r="Y472" t="inlineStr">
        <is>
          <t>Administrative Tribunals Support Service of Canada | Service canadien d'appui aux tribunaux administratifs</t>
        </is>
      </c>
    </row>
    <row r="473">
      <c r="A473" t="inlineStr">
        <is>
          <t>T-2018-Q4-008</t>
        </is>
      </c>
      <c r="B473" t="inlineStr">
        <is>
          <t>SLE</t>
        </is>
      </c>
      <c r="C473" t="inlineStr">
        <is>
          <t>Chairperson, Federal Public Service Labour Relations and Employment Board Tribunal</t>
        </is>
      </c>
      <c r="D473" t="inlineStr">
        <is>
          <t>Présidente, Tribunal de la commission des relations de travail et de l’emploi dans le secteur public fédéral</t>
        </is>
      </c>
      <c r="E473" t="inlineStr">
        <is>
          <t>Ebbs, Catherine</t>
        </is>
      </c>
      <c r="F473" t="inlineStr">
        <is>
          <t>Hearing File #542-02-12&amp;13</t>
        </is>
      </c>
      <c r="G473" t="inlineStr">
        <is>
          <t>Dossier #542-02-12&amp;13</t>
        </is>
      </c>
      <c r="H473" s="1" t="n">
        <v>43422</v>
      </c>
      <c r="I473" s="1" t="n">
        <v>43425</v>
      </c>
      <c r="J473" t="inlineStr">
        <is>
          <t>Montréal</t>
        </is>
      </c>
      <c r="K473" t="inlineStr">
        <is>
          <t>Montreal</t>
        </is>
      </c>
      <c r="Q473" t="n">
        <v>194.64</v>
      </c>
      <c r="R473" t="n">
        <v>560.49</v>
      </c>
      <c r="S473" t="n">
        <v>328.75</v>
      </c>
      <c r="U473" t="n">
        <v>1083.88</v>
      </c>
      <c r="X473" t="inlineStr">
        <is>
          <t>atssc-scdata</t>
        </is>
      </c>
      <c r="Y473" t="inlineStr">
        <is>
          <t>Administrative Tribunals Support Service of Canada | Service canadien d'appui aux tribunaux administratifs</t>
        </is>
      </c>
    </row>
    <row r="474">
      <c r="A474" t="inlineStr">
        <is>
          <t>T-2018-Q4-009</t>
        </is>
      </c>
      <c r="B474" t="inlineStr">
        <is>
          <t>SLE</t>
        </is>
      </c>
      <c r="C474" t="inlineStr">
        <is>
          <t xml:space="preserve">Chairperson, Canadian Cultural Property Export Review Board </t>
        </is>
      </c>
      <c r="D474" t="inlineStr">
        <is>
          <t>Présidente, Commission canadienne d’examen des exportations de biens culturels</t>
        </is>
      </c>
      <c r="E474" t="inlineStr">
        <is>
          <t>Ingram, Sharilyn</t>
        </is>
      </c>
      <c r="F474" t="inlineStr">
        <is>
          <t>Prep Day Meeting /Chairperson's Forum</t>
        </is>
      </c>
      <c r="G474" t="inlineStr">
        <is>
          <t>Réunion préparatoire / Forum du président</t>
        </is>
      </c>
      <c r="H474" s="1" t="n">
        <v>43438</v>
      </c>
      <c r="I474" s="1" t="n">
        <v>43441</v>
      </c>
      <c r="J474" t="inlineStr">
        <is>
          <t>Ottawa</t>
        </is>
      </c>
      <c r="K474" t="inlineStr">
        <is>
          <t>Ottawa</t>
        </is>
      </c>
      <c r="Q474" t="n">
        <v>318.3</v>
      </c>
      <c r="R474" t="n">
        <v>385.46</v>
      </c>
      <c r="S474" t="n">
        <v>301.95</v>
      </c>
      <c r="U474" t="n">
        <v>1005.71</v>
      </c>
      <c r="X474" t="inlineStr">
        <is>
          <t>atssc-scdata</t>
        </is>
      </c>
      <c r="Y474" t="inlineStr">
        <is>
          <t>Administrative Tribunals Support Service of Canada | Service canadien d'appui aux tribunaux administratifs</t>
        </is>
      </c>
    </row>
    <row r="475">
      <c r="A475" t="inlineStr">
        <is>
          <t>T-2018-Q4-010</t>
        </is>
      </c>
      <c r="B475" t="inlineStr">
        <is>
          <t>SLE</t>
        </is>
      </c>
      <c r="C475" t="inlineStr">
        <is>
          <t xml:space="preserve">Chairperson, Canadian Cultural Property Export Review Board </t>
        </is>
      </c>
      <c r="D475" t="inlineStr">
        <is>
          <t>Présidente, Commission canadienne d’examen des exportations de biens culturels</t>
        </is>
      </c>
      <c r="E475" t="inlineStr">
        <is>
          <t>Ingram, Sharilyn</t>
        </is>
      </c>
      <c r="F475" t="inlineStr">
        <is>
          <t>CCPERB Board Meeting</t>
        </is>
      </c>
      <c r="G475" t="inlineStr">
        <is>
          <t>Réunion du conseil d'administration de la CCEEBC</t>
        </is>
      </c>
      <c r="H475" s="1" t="n">
        <v>43445</v>
      </c>
      <c r="I475" s="1" t="n">
        <v>43448</v>
      </c>
      <c r="J475" t="inlineStr">
        <is>
          <t>Ottawa</t>
        </is>
      </c>
      <c r="K475" t="inlineStr">
        <is>
          <t>Ottawa</t>
        </is>
      </c>
      <c r="P475" t="n">
        <v>499.11</v>
      </c>
      <c r="Q475" t="n">
        <v>242.92</v>
      </c>
      <c r="R475" t="n">
        <v>578.1900000000001</v>
      </c>
      <c r="S475" t="n">
        <v>409.35</v>
      </c>
      <c r="U475" t="n">
        <v>1729.57</v>
      </c>
      <c r="X475" t="inlineStr">
        <is>
          <t>atssc-scdata</t>
        </is>
      </c>
      <c r="Y475" t="inlineStr">
        <is>
          <t>Administrative Tribunals Support Service of Canada | Service canadien d'appui aux tribunaux administratifs</t>
        </is>
      </c>
    </row>
    <row r="476">
      <c r="A476" t="inlineStr">
        <is>
          <t>T-2018-Q4-011</t>
        </is>
      </c>
      <c r="B476" t="inlineStr">
        <is>
          <t>SLE</t>
        </is>
      </c>
      <c r="C476" t="inlineStr">
        <is>
          <t xml:space="preserve">Chairperson, Canadian Cultural Property Export Review Board </t>
        </is>
      </c>
      <c r="D476" t="inlineStr">
        <is>
          <t>Présidente, Commission canadienne d’examen des exportations de biens culturels</t>
        </is>
      </c>
      <c r="E476" t="inlineStr">
        <is>
          <t>Ingram, Sharilyn</t>
        </is>
      </c>
      <c r="F476" t="inlineStr">
        <is>
          <t>Meeting</t>
        </is>
      </c>
      <c r="G476" t="inlineStr">
        <is>
          <t xml:space="preserve">Réunion </t>
        </is>
      </c>
      <c r="H476" s="1" t="n">
        <v>43486</v>
      </c>
      <c r="I476" s="1" t="n">
        <v>43487</v>
      </c>
      <c r="J476" t="inlineStr">
        <is>
          <t>Ottawa</t>
        </is>
      </c>
      <c r="K476" t="inlineStr">
        <is>
          <t>Ottawa</t>
        </is>
      </c>
      <c r="P476" t="n">
        <v>558.05</v>
      </c>
      <c r="Q476" t="n">
        <v>230.14</v>
      </c>
      <c r="R476" t="n">
        <v>196.26</v>
      </c>
      <c r="S476" t="n">
        <v>174.7</v>
      </c>
      <c r="U476" t="n">
        <v>1159.15</v>
      </c>
      <c r="X476" t="inlineStr">
        <is>
          <t>atssc-scdata</t>
        </is>
      </c>
      <c r="Y476" t="inlineStr">
        <is>
          <t>Administrative Tribunals Support Service of Canada | Service canadien d'appui aux tribunaux administratifs</t>
        </is>
      </c>
    </row>
    <row r="477">
      <c r="A477" t="inlineStr">
        <is>
          <t>T-2018-Q4-012</t>
        </is>
      </c>
      <c r="B477" t="inlineStr">
        <is>
          <t>SLE</t>
        </is>
      </c>
      <c r="C477" t="inlineStr">
        <is>
          <t xml:space="preserve">Chairperson, Canadian Cultural Property Export Review Board </t>
        </is>
      </c>
      <c r="D477" t="inlineStr">
        <is>
          <t>Présidente, Commission canadienne d’examen des exportations de biens culturels</t>
        </is>
      </c>
      <c r="E477" t="inlineStr">
        <is>
          <t>Ingram, Sharilyn</t>
        </is>
      </c>
      <c r="F477" t="inlineStr">
        <is>
          <t>CCPERB Board Retreat</t>
        </is>
      </c>
      <c r="G477" t="inlineStr">
        <is>
          <t>Retraite du conseil de la CCEEBC</t>
        </is>
      </c>
      <c r="H477" s="1" t="n">
        <v>43497</v>
      </c>
      <c r="I477" s="1" t="n">
        <v>43500</v>
      </c>
      <c r="J477" t="inlineStr">
        <is>
          <t>Montréal</t>
        </is>
      </c>
      <c r="K477" t="inlineStr">
        <is>
          <t>Montreal</t>
        </is>
      </c>
      <c r="P477" t="n">
        <v>490.16</v>
      </c>
      <c r="Q477" t="n">
        <v>208.14</v>
      </c>
      <c r="R477" t="n">
        <v>530.45</v>
      </c>
      <c r="S477" t="n">
        <v>329.15</v>
      </c>
      <c r="U477" t="n">
        <v>1557.9</v>
      </c>
      <c r="X477" t="inlineStr">
        <is>
          <t>atssc-scdata</t>
        </is>
      </c>
      <c r="Y477" t="inlineStr">
        <is>
          <t>Administrative Tribunals Support Service of Canada | Service canadien d'appui aux tribunaux administratifs</t>
        </is>
      </c>
    </row>
    <row r="478">
      <c r="A478" t="inlineStr">
        <is>
          <t>T-2018-Q4-013</t>
        </is>
      </c>
      <c r="B478" t="inlineStr">
        <is>
          <t>SLE</t>
        </is>
      </c>
      <c r="C478" t="inlineStr">
        <is>
          <t xml:space="preserve">Chairperson, Canadian Human Rights Tribunal </t>
        </is>
      </c>
      <c r="D478" t="inlineStr">
        <is>
          <t xml:space="preserve">Président, Tribunal canadien des droits de la personne </t>
        </is>
      </c>
      <c r="E478" t="inlineStr">
        <is>
          <t>Thomas, David</t>
        </is>
      </c>
      <c r="F478" t="inlineStr">
        <is>
          <t>Mediation: T2280/3518</t>
        </is>
      </c>
      <c r="G478" t="inlineStr">
        <is>
          <t>Médiation: T2280/3518</t>
        </is>
      </c>
      <c r="H478" s="1" t="n">
        <v>43437</v>
      </c>
      <c r="I478" s="1" t="n">
        <v>43440</v>
      </c>
      <c r="J478" t="inlineStr">
        <is>
          <t>Vancouver</t>
        </is>
      </c>
      <c r="K478" t="inlineStr">
        <is>
          <t>Vancouver</t>
        </is>
      </c>
      <c r="P478" t="n">
        <v>858.61</v>
      </c>
      <c r="Q478" t="n">
        <v>264.98</v>
      </c>
      <c r="R478" t="n">
        <v>364.26</v>
      </c>
      <c r="S478" t="n">
        <v>322.3</v>
      </c>
      <c r="U478" t="n">
        <v>1810.15</v>
      </c>
      <c r="X478" t="inlineStr">
        <is>
          <t>atssc-scdata</t>
        </is>
      </c>
      <c r="Y478" t="inlineStr">
        <is>
          <t>Administrative Tribunals Support Service of Canada | Service canadien d'appui aux tribunaux administratifs</t>
        </is>
      </c>
    </row>
    <row r="479">
      <c r="A479" t="inlineStr">
        <is>
          <t>T-2018-Q4-014</t>
        </is>
      </c>
      <c r="B479" t="inlineStr">
        <is>
          <t>SLE</t>
        </is>
      </c>
      <c r="C479" t="inlineStr">
        <is>
          <t xml:space="preserve">Chairperson, Canadian Human Rights Tribunal </t>
        </is>
      </c>
      <c r="D479" t="inlineStr">
        <is>
          <t xml:space="preserve">Président, Tribunal canadien des droits de la personne </t>
        </is>
      </c>
      <c r="E479" t="inlineStr">
        <is>
          <t>Thomas, David</t>
        </is>
      </c>
      <c r="F479" t="inlineStr">
        <is>
          <t>Mediation: T2315/7018</t>
        </is>
      </c>
      <c r="G479" t="inlineStr">
        <is>
          <t>Médiation: T2315/7018</t>
        </is>
      </c>
      <c r="H479" s="1" t="n">
        <v>43446</v>
      </c>
      <c r="I479" s="1" t="n">
        <v>43448</v>
      </c>
      <c r="J479" t="inlineStr">
        <is>
          <t>Guelph</t>
        </is>
      </c>
      <c r="K479" t="inlineStr">
        <is>
          <t>Guelph</t>
        </is>
      </c>
      <c r="P479" t="n">
        <v>623.36</v>
      </c>
      <c r="Q479" t="n">
        <v>185.02</v>
      </c>
      <c r="R479" t="n">
        <v>320.92</v>
      </c>
      <c r="S479" t="n">
        <v>212.25</v>
      </c>
      <c r="U479" t="n">
        <v>1341.55</v>
      </c>
      <c r="X479" t="inlineStr">
        <is>
          <t>atssc-scdata</t>
        </is>
      </c>
      <c r="Y479" t="inlineStr">
        <is>
          <t>Administrative Tribunals Support Service of Canada | Service canadien d'appui aux tribunaux administratifs</t>
        </is>
      </c>
    </row>
    <row r="480">
      <c r="A480" t="inlineStr">
        <is>
          <t>T-2018-Q4-015</t>
        </is>
      </c>
      <c r="B480" t="inlineStr">
        <is>
          <t>SLE</t>
        </is>
      </c>
      <c r="C480" t="inlineStr">
        <is>
          <t xml:space="preserve">Chairperson, Canadian Human Rights Tribunal </t>
        </is>
      </c>
      <c r="D480" t="inlineStr">
        <is>
          <t xml:space="preserve">Président, Tribunal canadien des droits de la personne </t>
        </is>
      </c>
      <c r="E480" t="inlineStr">
        <is>
          <t>Thomas, David</t>
        </is>
      </c>
      <c r="F480" t="inlineStr">
        <is>
          <t>File : T2317/7218</t>
        </is>
      </c>
      <c r="G480" t="inlineStr">
        <is>
          <t>Dossier #T2317/7218</t>
        </is>
      </c>
      <c r="H480" s="1" t="n">
        <v>43493</v>
      </c>
      <c r="I480" s="1" t="n">
        <v>43495</v>
      </c>
      <c r="J480" t="inlineStr">
        <is>
          <t>Toronto</t>
        </is>
      </c>
      <c r="K480" t="inlineStr">
        <is>
          <t>Toronto</t>
        </is>
      </c>
      <c r="P480" t="n">
        <v>619.52</v>
      </c>
      <c r="Q480" t="n">
        <v>353.5</v>
      </c>
      <c r="R480" t="n">
        <v>444.22</v>
      </c>
      <c r="S480" t="n">
        <v>182.1</v>
      </c>
      <c r="U480" t="n">
        <v>1599.34</v>
      </c>
      <c r="X480" t="inlineStr">
        <is>
          <t>atssc-scdata</t>
        </is>
      </c>
      <c r="Y480" t="inlineStr">
        <is>
          <t>Administrative Tribunals Support Service of Canada | Service canadien d'appui aux tribunaux administratifs</t>
        </is>
      </c>
    </row>
    <row r="481">
      <c r="A481" t="inlineStr">
        <is>
          <t>T-2018-Q4-016</t>
        </is>
      </c>
      <c r="B481" t="inlineStr">
        <is>
          <t>SLE</t>
        </is>
      </c>
      <c r="C481" t="inlineStr">
        <is>
          <t xml:space="preserve">Chairperson, Canadian Human Rights Tribunal </t>
        </is>
      </c>
      <c r="D481" t="inlineStr">
        <is>
          <t xml:space="preserve">Président, Tribunal canadien des droits de la personne </t>
        </is>
      </c>
      <c r="E481" t="inlineStr">
        <is>
          <t>Thomas, David</t>
        </is>
      </c>
      <c r="F481" t="inlineStr">
        <is>
          <t>Hearing: T2314/6918</t>
        </is>
      </c>
      <c r="G481" t="inlineStr">
        <is>
          <t>Dossier #T2314/6918</t>
        </is>
      </c>
      <c r="H481" s="1" t="n">
        <v>43479</v>
      </c>
      <c r="I481" s="1" t="n">
        <v>43480</v>
      </c>
      <c r="J481" t="inlineStr">
        <is>
          <t>Winnipeg</t>
        </is>
      </c>
      <c r="K481" t="inlineStr">
        <is>
          <t>Winnipeg</t>
        </is>
      </c>
      <c r="P481" t="n">
        <v>0</v>
      </c>
      <c r="Q481" t="n">
        <v>88.90000000000001</v>
      </c>
      <c r="R481" t="n">
        <v>152.54</v>
      </c>
      <c r="S481" t="n">
        <v>194.55</v>
      </c>
      <c r="U481" t="n">
        <v>435.99</v>
      </c>
      <c r="X481" t="inlineStr">
        <is>
          <t>atssc-scdata</t>
        </is>
      </c>
      <c r="Y481" t="inlineStr">
        <is>
          <t>Administrative Tribunals Support Service of Canada | Service canadien d'appui aux tribunaux administratifs</t>
        </is>
      </c>
    </row>
    <row r="482">
      <c r="A482" t="inlineStr">
        <is>
          <t>T-2018-Q4-017</t>
        </is>
      </c>
      <c r="B482" t="inlineStr">
        <is>
          <t>SLE</t>
        </is>
      </c>
      <c r="C482" t="inlineStr">
        <is>
          <t xml:space="preserve">Chairperson, Canadian Human Rights Tribunal </t>
        </is>
      </c>
      <c r="D482" t="inlineStr">
        <is>
          <t xml:space="preserve">Président, Tribunal canadien des droits de la personne </t>
        </is>
      </c>
      <c r="E482" t="inlineStr">
        <is>
          <t>Thomas, David</t>
        </is>
      </c>
      <c r="F482" t="inlineStr">
        <is>
          <t>Hearing: T2312/6818</t>
        </is>
      </c>
      <c r="G482" t="inlineStr">
        <is>
          <t>Dossier #T2312/6818</t>
        </is>
      </c>
      <c r="H482" s="1" t="n">
        <v>43474</v>
      </c>
      <c r="I482" s="1" t="n">
        <v>43478</v>
      </c>
      <c r="J482" t="inlineStr">
        <is>
          <t>Vancouver</t>
        </is>
      </c>
      <c r="K482" t="inlineStr">
        <is>
          <t>Vancouver</t>
        </is>
      </c>
      <c r="P482" t="n">
        <v>1319.69</v>
      </c>
      <c r="Q482" t="n">
        <v>113.66</v>
      </c>
      <c r="R482" t="n">
        <v>520.66</v>
      </c>
      <c r="S482" t="n">
        <v>496.9</v>
      </c>
      <c r="U482" t="n">
        <v>2450.91</v>
      </c>
      <c r="X482" t="inlineStr">
        <is>
          <t>atssc-scdata</t>
        </is>
      </c>
      <c r="Y482" t="inlineStr">
        <is>
          <t>Administrative Tribunals Support Service of Canada | Service canadien d'appui aux tribunaux administratifs</t>
        </is>
      </c>
    </row>
    <row r="483">
      <c r="A483" t="inlineStr">
        <is>
          <t>T-2018-Q4-018</t>
        </is>
      </c>
      <c r="B483" t="inlineStr">
        <is>
          <t>SLE</t>
        </is>
      </c>
      <c r="C483" t="inlineStr">
        <is>
          <t xml:space="preserve">Chairperson, Canadian Human Rights Tribunal </t>
        </is>
      </c>
      <c r="D483" t="inlineStr">
        <is>
          <t xml:space="preserve">Président, Tribunal canadien des droits de la personne </t>
        </is>
      </c>
      <c r="E483" t="inlineStr">
        <is>
          <t>Thomas, David</t>
        </is>
      </c>
      <c r="F483" t="inlineStr">
        <is>
          <t>UN Forum on Business and Human Rights</t>
        </is>
      </c>
      <c r="G483" t="inlineStr">
        <is>
          <t>Forum des Nations Unies sur les entreprises et les droits de l'homme</t>
        </is>
      </c>
      <c r="H483" s="1" t="n">
        <v>43427</v>
      </c>
      <c r="I483" s="1" t="n">
        <v>43435</v>
      </c>
      <c r="J483" t="inlineStr">
        <is>
          <t>Genève</t>
        </is>
      </c>
      <c r="K483" t="inlineStr">
        <is>
          <t>Geneva</t>
        </is>
      </c>
      <c r="P483" t="n">
        <v>4163.04</v>
      </c>
      <c r="Q483" t="n">
        <v>162.06</v>
      </c>
      <c r="R483" t="n">
        <v>1832.87</v>
      </c>
      <c r="S483" t="n">
        <v>1195.96</v>
      </c>
      <c r="U483" t="n">
        <v>7353.93</v>
      </c>
      <c r="X483" t="inlineStr">
        <is>
          <t>atssc-scdata</t>
        </is>
      </c>
      <c r="Y483" t="inlineStr">
        <is>
          <t>Administrative Tribunals Support Service of Canada | Service canadien d'appui aux tribunaux administratifs</t>
        </is>
      </c>
    </row>
    <row r="484">
      <c r="A484" t="inlineStr">
        <is>
          <t>T-2018-Q4-019</t>
        </is>
      </c>
      <c r="B484" t="inlineStr">
        <is>
          <t>SLE</t>
        </is>
      </c>
      <c r="C484" t="inlineStr">
        <is>
          <t>Chairperson, Social Security Tribunal of Canada</t>
        </is>
      </c>
      <c r="D484" t="inlineStr">
        <is>
          <t>Président, Tribunal de la sécurité sociale du Canada</t>
        </is>
      </c>
      <c r="E484" t="inlineStr">
        <is>
          <t>Aterman, Paul</t>
        </is>
      </c>
      <c r="F484" t="inlineStr">
        <is>
          <t>General Division (GD) Ontario Members Regional Training Session</t>
        </is>
      </c>
      <c r="G484" t="inlineStr">
        <is>
          <t>Session de formation régionale pour les membres de la division générale (DG) de 
l’Ontario</t>
        </is>
      </c>
      <c r="H484" s="1" t="n">
        <v>43420</v>
      </c>
      <c r="I484" s="1" t="n">
        <v>43420</v>
      </c>
      <c r="J484" t="inlineStr">
        <is>
          <t>Toronto</t>
        </is>
      </c>
      <c r="K484" t="inlineStr">
        <is>
          <t>Toronto</t>
        </is>
      </c>
      <c r="P484" t="n">
        <v>735.73</v>
      </c>
      <c r="Q484" t="n">
        <v>95.31</v>
      </c>
      <c r="S484" t="n">
        <v>70.25</v>
      </c>
      <c r="U484" t="n">
        <v>901.29</v>
      </c>
      <c r="X484" t="inlineStr">
        <is>
          <t>atssc-scdata</t>
        </is>
      </c>
      <c r="Y484" t="inlineStr">
        <is>
          <t>Administrative Tribunals Support Service of Canada | Service canadien d'appui aux tribunaux administratifs</t>
        </is>
      </c>
    </row>
    <row r="485">
      <c r="A485" t="inlineStr">
        <is>
          <t>T-2018-Q4-020</t>
        </is>
      </c>
      <c r="B485" t="inlineStr">
        <is>
          <t>SLE</t>
        </is>
      </c>
      <c r="C485" t="inlineStr">
        <is>
          <t>Chairperson, Social Security Tribunal of Canada</t>
        </is>
      </c>
      <c r="D485" t="inlineStr">
        <is>
          <t>Président, Tribunal de la sécurité sociale du Canada</t>
        </is>
      </c>
      <c r="E485" t="inlineStr">
        <is>
          <t>Aterman, Paul</t>
        </is>
      </c>
      <c r="F485" t="inlineStr">
        <is>
          <t>General Division (GD) Québec Members Regional Training Session</t>
        </is>
      </c>
      <c r="G485" t="inlineStr">
        <is>
          <t>Session de formation régionale pour les membres de la division générale (DG) du Québec</t>
        </is>
      </c>
      <c r="H485" s="1" t="n">
        <v>43452</v>
      </c>
      <c r="I485" s="1" t="n">
        <v>43452</v>
      </c>
      <c r="J485" t="inlineStr">
        <is>
          <t>Montréal</t>
        </is>
      </c>
      <c r="K485" t="inlineStr">
        <is>
          <t>Montreal</t>
        </is>
      </c>
      <c r="Q485" t="n">
        <v>326.37</v>
      </c>
      <c r="S485" t="n">
        <v>50</v>
      </c>
      <c r="U485" t="n">
        <v>376.37</v>
      </c>
      <c r="X485" t="inlineStr">
        <is>
          <t>atssc-scdata</t>
        </is>
      </c>
      <c r="Y485" t="inlineStr">
        <is>
          <t>Administrative Tribunals Support Service of Canada | Service canadien d'appui aux tribunaux administratifs</t>
        </is>
      </c>
    </row>
    <row r="486">
      <c r="A486" t="inlineStr">
        <is>
          <t>T-2018-Q4-021</t>
        </is>
      </c>
      <c r="B486" t="inlineStr">
        <is>
          <t>SLE</t>
        </is>
      </c>
      <c r="C486" t="inlineStr">
        <is>
          <t>Chairperson, Social Security Tribunal of Canada</t>
        </is>
      </c>
      <c r="D486" t="inlineStr">
        <is>
          <t>Président, Tribunal de la sécurité sociale du Canada</t>
        </is>
      </c>
      <c r="E486" t="inlineStr">
        <is>
          <t>Aterman, Paul</t>
        </is>
      </c>
      <c r="F486" t="inlineStr">
        <is>
          <t xml:space="preserve">General Division (GD) Atlantic Members Regional Training Session </t>
        </is>
      </c>
      <c r="G486" t="inlineStr">
        <is>
          <t>Session de formation régionale pour les membres de la division générale (DG) de l'Atlantique</t>
        </is>
      </c>
      <c r="H486" s="1" t="n">
        <v>43479</v>
      </c>
      <c r="I486" s="1" t="n">
        <v>43480</v>
      </c>
      <c r="J486" t="inlineStr">
        <is>
          <t>Halifax</t>
        </is>
      </c>
      <c r="K486" t="inlineStr">
        <is>
          <t>Halifax</t>
        </is>
      </c>
      <c r="P486" t="n">
        <v>492.39</v>
      </c>
      <c r="Q486" t="n">
        <v>133.39</v>
      </c>
      <c r="R486" t="n">
        <v>151.32</v>
      </c>
      <c r="S486" t="n">
        <v>174.7</v>
      </c>
      <c r="U486" t="n">
        <v>951.8</v>
      </c>
      <c r="X486" t="inlineStr">
        <is>
          <t>atssc-scdata</t>
        </is>
      </c>
      <c r="Y486" t="inlineStr">
        <is>
          <t>Administrative Tribunals Support Service of Canada | Service canadien d'appui aux tribunaux administratifs</t>
        </is>
      </c>
    </row>
    <row r="487">
      <c r="A487" t="inlineStr">
        <is>
          <t>T-2018-Q4-022</t>
        </is>
      </c>
      <c r="B487" t="inlineStr">
        <is>
          <t>SLE</t>
        </is>
      </c>
      <c r="C487" t="inlineStr">
        <is>
          <t>Executive Director Canadian Cultural Property Export Review Board</t>
        </is>
      </c>
      <c r="D487" t="inlineStr">
        <is>
          <t>Directrice exécutive Commission canadienne d'examen des exportations de biens culturels</t>
        </is>
      </c>
      <c r="E487" t="inlineStr">
        <is>
          <t>Kim, Mijin</t>
        </is>
      </c>
      <c r="F487" t="inlineStr">
        <is>
          <t>Parking</t>
        </is>
      </c>
      <c r="G487" t="inlineStr">
        <is>
          <t>Stationnement</t>
        </is>
      </c>
      <c r="H487" s="1" t="n">
        <v>43411</v>
      </c>
      <c r="I487" s="1" t="n">
        <v>43446</v>
      </c>
      <c r="J487" t="inlineStr">
        <is>
          <t>Various</t>
        </is>
      </c>
      <c r="K487" t="inlineStr">
        <is>
          <t>Various</t>
        </is>
      </c>
      <c r="Q487" t="n">
        <v>99</v>
      </c>
      <c r="U487" t="n">
        <v>99</v>
      </c>
      <c r="X487" t="inlineStr">
        <is>
          <t>atssc-scdata</t>
        </is>
      </c>
      <c r="Y487" t="inlineStr">
        <is>
          <t>Administrative Tribunals Support Service of Canada | Service canadien d'appui aux tribunaux administratifs</t>
        </is>
      </c>
    </row>
    <row r="488">
      <c r="A488" t="inlineStr">
        <is>
          <t>T-2018-Q4-023</t>
        </is>
      </c>
      <c r="B488" t="inlineStr">
        <is>
          <t>SLE</t>
        </is>
      </c>
      <c r="C488" t="inlineStr">
        <is>
          <t>Executive Director Canadian Cultural Property Export Review Board</t>
        </is>
      </c>
      <c r="D488" t="inlineStr">
        <is>
          <t>Directrice exécutive Commission canadienne d'examen des exportations de biens culturels</t>
        </is>
      </c>
      <c r="E488" t="inlineStr">
        <is>
          <t>Kim, Mijin</t>
        </is>
      </c>
      <c r="F488" t="inlineStr">
        <is>
          <t>OLA Super Conference</t>
        </is>
      </c>
      <c r="G488" t="inlineStr">
        <is>
          <t>Super conférence OLA</t>
        </is>
      </c>
      <c r="H488" s="1" t="n">
        <v>43494</v>
      </c>
      <c r="I488" s="1" t="n">
        <v>43495</v>
      </c>
      <c r="J488" t="inlineStr">
        <is>
          <t>Toronto</t>
        </is>
      </c>
      <c r="K488" t="inlineStr">
        <is>
          <t>Toronto</t>
        </is>
      </c>
      <c r="P488" t="n">
        <v>827.0599999999999</v>
      </c>
      <c r="Q488" t="n">
        <v>136</v>
      </c>
      <c r="R488" t="n">
        <v>186.86</v>
      </c>
      <c r="S488" t="n">
        <v>124.7</v>
      </c>
      <c r="U488" t="n">
        <v>1274.62</v>
      </c>
      <c r="X488" t="inlineStr">
        <is>
          <t>atssc-scdata</t>
        </is>
      </c>
      <c r="Y488" t="inlineStr">
        <is>
          <t>Administrative Tribunals Support Service of Canada | Service canadien d'appui aux tribunaux administratifs</t>
        </is>
      </c>
    </row>
    <row r="489">
      <c r="A489" t="inlineStr">
        <is>
          <t>T-2018-Q4-024</t>
        </is>
      </c>
      <c r="B489" t="inlineStr">
        <is>
          <t>SLE</t>
        </is>
      </c>
      <c r="C489" t="inlineStr">
        <is>
          <t>Executive Director Canadian Cultural Property Export Review Board</t>
        </is>
      </c>
      <c r="D489" t="inlineStr">
        <is>
          <t>Directrice exécutive Commission canadienne d'examen des exportations de biens culturels</t>
        </is>
      </c>
      <c r="E489" t="inlineStr">
        <is>
          <t>Kim, Mijin</t>
        </is>
      </c>
      <c r="F489" t="inlineStr">
        <is>
          <t>CCPERB Board Retreat</t>
        </is>
      </c>
      <c r="G489" t="inlineStr">
        <is>
          <t>Retraite du conseil de la CCEEBC</t>
        </is>
      </c>
      <c r="H489" s="1" t="n">
        <v>43498</v>
      </c>
      <c r="I489" s="1" t="n">
        <v>43499</v>
      </c>
      <c r="J489" t="inlineStr">
        <is>
          <t>Montréal</t>
        </is>
      </c>
      <c r="K489" t="inlineStr">
        <is>
          <t>Montreal</t>
        </is>
      </c>
      <c r="Q489" t="n">
        <v>270.39</v>
      </c>
      <c r="R489" t="n">
        <v>321.7</v>
      </c>
      <c r="S489" t="n">
        <v>201.9</v>
      </c>
      <c r="U489" t="n">
        <v>793.99</v>
      </c>
      <c r="X489" t="inlineStr">
        <is>
          <t>atssc-scdata</t>
        </is>
      </c>
      <c r="Y489" t="inlineStr">
        <is>
          <t>Administrative Tribunals Support Service of Canada | Service canadien d'appui aux tribunaux administratifs</t>
        </is>
      </c>
    </row>
    <row r="490">
      <c r="A490" t="inlineStr">
        <is>
          <t>T-2018-Q4-025</t>
        </is>
      </c>
      <c r="B490" t="inlineStr">
        <is>
          <t>SLE</t>
        </is>
      </c>
      <c r="C490" t="inlineStr">
        <is>
          <t>Executive Director and General Counsel, Secretariat to the Canadian International Trade Tribunal</t>
        </is>
      </c>
      <c r="D490" t="inlineStr">
        <is>
          <t>Directeur exécutif et avocat général, Secrétariat du Tribunal canadien du commerce extérieur</t>
        </is>
      </c>
      <c r="E490" t="inlineStr">
        <is>
          <t>Covelli, Nick</t>
        </is>
      </c>
      <c r="F490" t="inlineStr">
        <is>
          <t>Australia Anti-Dumping Commission Technical Exchange</t>
        </is>
      </c>
      <c r="G490" t="inlineStr">
        <is>
          <t>Échange technique de la Commission antidumping de l'Australie</t>
        </is>
      </c>
      <c r="H490" s="1" t="n">
        <v>42940</v>
      </c>
      <c r="I490" s="1" t="n">
        <v>42972</v>
      </c>
      <c r="J490" t="inlineStr">
        <is>
          <t>Melbourne</t>
        </is>
      </c>
      <c r="K490" t="inlineStr">
        <is>
          <t>Melbourne</t>
        </is>
      </c>
      <c r="P490" t="n">
        <v>1755.1</v>
      </c>
      <c r="Q490" t="n">
        <v>300.01</v>
      </c>
      <c r="R490" t="n">
        <v>5238.95</v>
      </c>
      <c r="S490" t="n">
        <v>3547.45</v>
      </c>
      <c r="T490" t="n">
        <v>13.65</v>
      </c>
      <c r="U490" t="n">
        <v>10855.16</v>
      </c>
      <c r="X490" t="inlineStr">
        <is>
          <t>atssc-scdata</t>
        </is>
      </c>
      <c r="Y490" t="inlineStr">
        <is>
          <t>Administrative Tribunals Support Service of Canada | Service canadien d'appui aux tribunaux administratifs</t>
        </is>
      </c>
    </row>
    <row r="491">
      <c r="A491" t="inlineStr">
        <is>
          <t>T-2018-Q4-026</t>
        </is>
      </c>
      <c r="B491" t="inlineStr">
        <is>
          <t>SLE</t>
        </is>
      </c>
      <c r="C491" t="inlineStr">
        <is>
          <t>Chairperson, Transportation Appeal Tribunal of Canada</t>
        </is>
      </c>
      <c r="D491" t="inlineStr">
        <is>
          <t xml:space="preserve"> Président, Tribunal d'appel des transport du Canada</t>
        </is>
      </c>
      <c r="E491" t="inlineStr">
        <is>
          <t>Sullivan, Charles</t>
        </is>
      </c>
      <c r="F491" t="inlineStr">
        <is>
          <t>TATC Hearing O-4409-16</t>
        </is>
      </c>
      <c r="G491" t="inlineStr">
        <is>
          <t>TATC dossier #O-4409-16</t>
        </is>
      </c>
      <c r="H491" s="1" t="n">
        <v>43487</v>
      </c>
      <c r="I491" s="1" t="n">
        <v>43489</v>
      </c>
      <c r="J491" t="inlineStr">
        <is>
          <t>Barrie</t>
        </is>
      </c>
      <c r="K491" t="inlineStr">
        <is>
          <t>Barrie</t>
        </is>
      </c>
      <c r="Q491" t="n">
        <v>613.34</v>
      </c>
      <c r="R491" t="n">
        <v>260.9</v>
      </c>
      <c r="S491" t="n">
        <v>179.75</v>
      </c>
      <c r="U491" t="n">
        <v>1053.99</v>
      </c>
      <c r="X491" t="inlineStr">
        <is>
          <t>atssc-scdata</t>
        </is>
      </c>
      <c r="Y491" t="inlineStr">
        <is>
          <t>Administrative Tribunals Support Service of Canada | Service canadien d'appui aux tribunaux administratifs</t>
        </is>
      </c>
    </row>
    <row r="492">
      <c r="A492" t="inlineStr">
        <is>
          <t>T-2018-Q4-027</t>
        </is>
      </c>
      <c r="B492" t="inlineStr">
        <is>
          <t>SLE</t>
        </is>
      </c>
      <c r="C492" t="inlineStr">
        <is>
          <t>Chairperson, Transportation Appeal Tribunal of Canada</t>
        </is>
      </c>
      <c r="D492" t="inlineStr">
        <is>
          <t xml:space="preserve"> Président, Tribunal d'appel des transport du Canada</t>
        </is>
      </c>
      <c r="E492" t="inlineStr">
        <is>
          <t>Sullivan, Charles</t>
        </is>
      </c>
      <c r="F492" t="inlineStr">
        <is>
          <t>TATC Hearing O-4409-16</t>
        </is>
      </c>
      <c r="G492" t="inlineStr">
        <is>
          <t>TATC dossier #O-4409-16</t>
        </is>
      </c>
      <c r="H492" s="1" t="n">
        <v>43495</v>
      </c>
      <c r="I492" s="1" t="n">
        <v>43496</v>
      </c>
      <c r="J492" t="inlineStr">
        <is>
          <t>Toronto</t>
        </is>
      </c>
      <c r="K492" t="inlineStr">
        <is>
          <t>Toronto</t>
        </is>
      </c>
      <c r="Q492" t="n">
        <v>490.13</v>
      </c>
      <c r="R492" t="n">
        <v>186.86</v>
      </c>
      <c r="S492" t="n">
        <v>124.7</v>
      </c>
      <c r="U492" t="n">
        <v>801.6900000000001</v>
      </c>
      <c r="X492" t="inlineStr">
        <is>
          <t>atssc-scdata</t>
        </is>
      </c>
      <c r="Y492" t="inlineStr">
        <is>
          <t>Administrative Tribunals Support Service of Canada | Service canadien d'appui aux tribunaux administratifs</t>
        </is>
      </c>
    </row>
    <row r="493">
      <c r="A493" t="inlineStr">
        <is>
          <t>T-2018-Q4-028</t>
        </is>
      </c>
      <c r="B493" t="inlineStr">
        <is>
          <t>SLE</t>
        </is>
      </c>
      <c r="C493" t="inlineStr">
        <is>
          <t>Chairperson, Transportation Appeal Tribunal of Canada</t>
        </is>
      </c>
      <c r="D493" t="inlineStr">
        <is>
          <t xml:space="preserve"> Président, Tribunal d'appel des transport du Canada</t>
        </is>
      </c>
      <c r="E493" t="inlineStr">
        <is>
          <t>Sullivan, Charles</t>
        </is>
      </c>
      <c r="F493" t="inlineStr">
        <is>
          <t>ATAC: Canadian Aviation Conference &amp; Tradeshow</t>
        </is>
      </c>
      <c r="G493" t="inlineStr">
        <is>
          <t>ATAC: Conférence et salon professionnel de l'aviation canadienne</t>
        </is>
      </c>
      <c r="H493" s="1" t="n">
        <v>43416</v>
      </c>
      <c r="I493" s="1" t="n">
        <v>43420</v>
      </c>
      <c r="J493" t="inlineStr">
        <is>
          <t>Vancouver</t>
        </is>
      </c>
      <c r="K493" t="inlineStr">
        <is>
          <t>Vancouver</t>
        </is>
      </c>
      <c r="P493" t="n">
        <v>1626.11</v>
      </c>
      <c r="Q493" t="n">
        <v>203.8</v>
      </c>
      <c r="R493" t="n">
        <v>822.52</v>
      </c>
      <c r="S493" t="n">
        <v>377.05</v>
      </c>
      <c r="U493" t="n">
        <v>3029.48</v>
      </c>
      <c r="X493" t="inlineStr">
        <is>
          <t>atssc-scdata</t>
        </is>
      </c>
      <c r="Y493" t="inlineStr">
        <is>
          <t>Administrative Tribunals Support Service of Canada | Service canadien d'appui aux tribunaux administratifs</t>
        </is>
      </c>
    </row>
    <row r="494">
      <c r="A494" t="inlineStr">
        <is>
          <t>T-2019-Q1-024</t>
        </is>
      </c>
      <c r="B494" t="inlineStr">
        <is>
          <t>SLE</t>
        </is>
      </c>
      <c r="C494" t="inlineStr">
        <is>
          <t xml:space="preserve">Chairperson, Canadian Cultural Property Export Review Board </t>
        </is>
      </c>
      <c r="D494" t="inlineStr">
        <is>
          <t>Présidente, Commission canadienne d’examen des exportations de biens culturels</t>
        </is>
      </c>
      <c r="E494" t="inlineStr">
        <is>
          <t>Ingram, Sharilyn</t>
        </is>
      </c>
      <c r="F494" t="inlineStr">
        <is>
          <t>To attend the CCPERB Prep Day meeting</t>
        </is>
      </c>
      <c r="G494" t="inlineStr">
        <is>
          <t xml:space="preserve">Participer à la réunion préparatoire de la CCPERB </t>
        </is>
      </c>
      <c r="H494" s="1" t="n">
        <v>43534</v>
      </c>
      <c r="I494" s="1" t="n">
        <v>43535</v>
      </c>
      <c r="J494" t="inlineStr">
        <is>
          <t>Ottawa</t>
        </is>
      </c>
      <c r="K494" t="inlineStr">
        <is>
          <t>Ottawa</t>
        </is>
      </c>
      <c r="P494" t="n">
        <v>696.1</v>
      </c>
      <c r="Q494" t="n">
        <v>224.14</v>
      </c>
      <c r="R494" t="n">
        <v>175.1</v>
      </c>
      <c r="S494" t="n">
        <v>174.7</v>
      </c>
      <c r="T494" t="n">
        <v>0</v>
      </c>
      <c r="U494" t="n">
        <v>1270.04</v>
      </c>
      <c r="X494" t="inlineStr">
        <is>
          <t>atssc-scdata</t>
        </is>
      </c>
      <c r="Y494" t="inlineStr">
        <is>
          <t>Administrative Tribunals Support Service of Canada | Service canadien d'appui aux tribunaux administratifs</t>
        </is>
      </c>
    </row>
    <row r="495">
      <c r="A495" t="inlineStr">
        <is>
          <t>T-2019-Q1-025</t>
        </is>
      </c>
      <c r="B495" t="inlineStr">
        <is>
          <t>SLE</t>
        </is>
      </c>
      <c r="C495" t="inlineStr">
        <is>
          <t xml:space="preserve">Chairperson, Canadian Cultural Property Export Review Board </t>
        </is>
      </c>
      <c r="D495" t="inlineStr">
        <is>
          <t>Présidente, Commission canadienne d’examen des exportations de biens culturels</t>
        </is>
      </c>
      <c r="E495" t="inlineStr">
        <is>
          <t>Ingram, Sharilyn</t>
        </is>
      </c>
      <c r="F495" t="inlineStr">
        <is>
          <t>To do a presentation/ Consultation with Stakeholders</t>
        </is>
      </c>
      <c r="G495" t="inlineStr">
        <is>
          <t>Faire une présentation / consultation avec les intervenants</t>
        </is>
      </c>
      <c r="H495" s="1" t="n">
        <v>43551</v>
      </c>
      <c r="I495" s="1" t="n">
        <v>43553</v>
      </c>
      <c r="J495" t="inlineStr">
        <is>
          <t>Vancouver</t>
        </is>
      </c>
      <c r="K495" t="inlineStr">
        <is>
          <t>Vancouver</t>
        </is>
      </c>
      <c r="P495" t="n">
        <v>1215.15</v>
      </c>
      <c r="Q495" t="n">
        <v>199.64</v>
      </c>
      <c r="R495" t="n">
        <v>392.08</v>
      </c>
      <c r="S495" t="n">
        <v>301.95</v>
      </c>
      <c r="T495" t="n">
        <v>0</v>
      </c>
      <c r="U495" t="n">
        <v>2108.82</v>
      </c>
      <c r="X495" t="inlineStr">
        <is>
          <t>atssc-scdata</t>
        </is>
      </c>
      <c r="Y495" t="inlineStr">
        <is>
          <t>Administrative Tribunals Support Service of Canada | Service canadien d'appui aux tribunaux administratifs</t>
        </is>
      </c>
    </row>
    <row r="496">
      <c r="A496" t="inlineStr">
        <is>
          <t>T-2019-Q1-026</t>
        </is>
      </c>
      <c r="B496" t="inlineStr">
        <is>
          <t>SLE</t>
        </is>
      </c>
      <c r="C496" t="inlineStr">
        <is>
          <t xml:space="preserve">Chairperson, Canadian Cultural Property Export Review Board </t>
        </is>
      </c>
      <c r="D496" t="inlineStr">
        <is>
          <t>Présidente, Commission canadienne d’examen des exportations de biens culturels</t>
        </is>
      </c>
      <c r="E496" t="inlineStr">
        <is>
          <t>Ingram, Sharilyn</t>
        </is>
      </c>
      <c r="F496" t="inlineStr">
        <is>
          <t>To attend a meeting at CCPERB</t>
        </is>
      </c>
      <c r="G496" t="inlineStr">
        <is>
          <t>Assister à une réunion à la CCPERB</t>
        </is>
      </c>
      <c r="H496" s="1" t="n">
        <v>43542</v>
      </c>
      <c r="I496" s="1" t="n">
        <v>43546</v>
      </c>
      <c r="J496" t="inlineStr">
        <is>
          <t>Ottawa</t>
        </is>
      </c>
      <c r="K496" t="inlineStr">
        <is>
          <t>Ottawa</t>
        </is>
      </c>
      <c r="P496" t="n">
        <v>732.52</v>
      </c>
      <c r="Q496" t="n">
        <v>228.14</v>
      </c>
      <c r="R496" t="n">
        <v>785.04</v>
      </c>
      <c r="S496" t="n">
        <v>516.75</v>
      </c>
      <c r="T496" t="n">
        <v>0</v>
      </c>
      <c r="U496" t="n">
        <v>2262.45</v>
      </c>
      <c r="X496" t="inlineStr">
        <is>
          <t>atssc-scdata</t>
        </is>
      </c>
      <c r="Y496" t="inlineStr">
        <is>
          <t>Administrative Tribunals Support Service of Canada | Service canadien d'appui aux tribunaux administratifs</t>
        </is>
      </c>
    </row>
    <row r="497">
      <c r="A497" t="inlineStr">
        <is>
          <t>T-2019-Q1-027</t>
        </is>
      </c>
      <c r="B497" t="inlineStr">
        <is>
          <t>SLE</t>
        </is>
      </c>
      <c r="C497" t="inlineStr">
        <is>
          <t>Executive Director Canadian Cultural Property Export Review Board</t>
        </is>
      </c>
      <c r="D497" t="inlineStr">
        <is>
          <t>Directrice exécutive Commission canadienne d'examen des exportations de biens culturels</t>
        </is>
      </c>
      <c r="E497" t="inlineStr">
        <is>
          <t>Kim, Mijin</t>
        </is>
      </c>
      <c r="F497" t="inlineStr">
        <is>
          <t>To attend the Canadian Museum Association Conference</t>
        </is>
      </c>
      <c r="G497" t="inlineStr">
        <is>
          <t>Assister à la conférence de l'Association des musées canadiens</t>
        </is>
      </c>
      <c r="H497" s="1" t="n">
        <v>43570</v>
      </c>
      <c r="I497" s="1" t="n">
        <v>43572</v>
      </c>
      <c r="J497" t="inlineStr">
        <is>
          <t>Toronto</t>
        </is>
      </c>
      <c r="K497" t="inlineStr">
        <is>
          <t>Toronto</t>
        </is>
      </c>
      <c r="P497" t="n">
        <v>479.17</v>
      </c>
      <c r="Q497" t="n">
        <v>77.36</v>
      </c>
      <c r="R497" t="n">
        <v>373.72</v>
      </c>
      <c r="S497" t="n">
        <v>193.4</v>
      </c>
      <c r="T497" t="n">
        <v>57.5</v>
      </c>
      <c r="U497" t="n">
        <v>1181.15</v>
      </c>
      <c r="X497" t="inlineStr">
        <is>
          <t>atssc-scdata</t>
        </is>
      </c>
      <c r="Y497" t="inlineStr">
        <is>
          <t>Administrative Tribunals Support Service of Canada | Service canadien d'appui aux tribunaux administratifs</t>
        </is>
      </c>
    </row>
    <row r="498">
      <c r="A498" t="inlineStr">
        <is>
          <t>T-2019-Q1-028</t>
        </is>
      </c>
      <c r="B498" t="inlineStr">
        <is>
          <t>SLE</t>
        </is>
      </c>
      <c r="C498" t="inlineStr">
        <is>
          <t>Executive Director Canadian Cultural Property Export Review Board</t>
        </is>
      </c>
      <c r="D498" t="inlineStr">
        <is>
          <t>Directrice exécutive Commission canadienne d'examen des exportations de biens culturels</t>
        </is>
      </c>
      <c r="E498" t="inlineStr">
        <is>
          <t>Kim, Mijin</t>
        </is>
      </c>
      <c r="F498" t="inlineStr">
        <is>
          <t>To attend The Papler Art Fair</t>
        </is>
      </c>
      <c r="G498" t="inlineStr">
        <is>
          <t>Assister à la foire d'art de Papler</t>
        </is>
      </c>
      <c r="H498" s="1" t="n">
        <v>43583</v>
      </c>
      <c r="I498" s="1" t="n">
        <v>43583</v>
      </c>
      <c r="J498" t="inlineStr">
        <is>
          <t>Montréal</t>
        </is>
      </c>
      <c r="K498" t="inlineStr">
        <is>
          <t>Montréal</t>
        </is>
      </c>
      <c r="P498" t="n">
        <v>0</v>
      </c>
      <c r="Q498" t="n">
        <v>263.42</v>
      </c>
      <c r="R498" t="n">
        <v>0</v>
      </c>
      <c r="S498" t="n">
        <v>20.1</v>
      </c>
      <c r="T498" t="n">
        <v>28</v>
      </c>
      <c r="U498" t="n">
        <v>311.52</v>
      </c>
      <c r="X498" t="inlineStr">
        <is>
          <t>atssc-scdata</t>
        </is>
      </c>
      <c r="Y498" t="inlineStr">
        <is>
          <t>Administrative Tribunals Support Service of Canada | Service canadien d'appui aux tribunaux administratifs</t>
        </is>
      </c>
    </row>
    <row r="499">
      <c r="A499" t="inlineStr">
        <is>
          <t>T-2019-Q1-029</t>
        </is>
      </c>
      <c r="B499" t="inlineStr">
        <is>
          <t>SLE</t>
        </is>
      </c>
      <c r="C499" t="inlineStr">
        <is>
          <t>Executive Director Canadian Cultural Property Export Review Board</t>
        </is>
      </c>
      <c r="D499" t="inlineStr">
        <is>
          <t>Directrice exécutive Commission canadienne d'examen des exportations de biens culturels</t>
        </is>
      </c>
      <c r="E499" t="inlineStr">
        <is>
          <t>Kim, Mijin</t>
        </is>
      </c>
      <c r="F499" t="inlineStr">
        <is>
          <t>To do a presentation/ consultation with Stakeholders</t>
        </is>
      </c>
      <c r="G499" t="inlineStr">
        <is>
          <t>Faire une présentation / consultation avec les intervenants</t>
        </is>
      </c>
      <c r="H499" s="1" t="n">
        <v>43547</v>
      </c>
      <c r="I499" s="1" t="n">
        <v>43553</v>
      </c>
      <c r="J499" t="inlineStr">
        <is>
          <t>Vancouver</t>
        </is>
      </c>
      <c r="K499" t="inlineStr">
        <is>
          <t>Vancouver</t>
        </is>
      </c>
      <c r="P499" t="n">
        <v>852.97</v>
      </c>
      <c r="Q499" t="n">
        <v>212.3</v>
      </c>
      <c r="R499" t="n">
        <v>379.5</v>
      </c>
      <c r="S499" t="n">
        <v>322.2</v>
      </c>
      <c r="T499" t="n">
        <v>57.6</v>
      </c>
      <c r="U499" t="n">
        <v>1824.57</v>
      </c>
      <c r="X499" t="inlineStr">
        <is>
          <t>atssc-scdata</t>
        </is>
      </c>
      <c r="Y499" t="inlineStr">
        <is>
          <t>Administrative Tribunals Support Service of Canada | Service canadien d'appui aux tribunaux administratifs</t>
        </is>
      </c>
    </row>
    <row r="500">
      <c r="A500" t="inlineStr">
        <is>
          <t>T-2019-Q1-030</t>
        </is>
      </c>
      <c r="B500" t="inlineStr">
        <is>
          <t>SLE</t>
        </is>
      </c>
      <c r="C500" t="inlineStr">
        <is>
          <t>Executive Director Canadian Cultural Property Export Review Board</t>
        </is>
      </c>
      <c r="D500" t="inlineStr">
        <is>
          <t>Directrice exécutive Commission canadienne d'examen des exportations de biens culturels</t>
        </is>
      </c>
      <c r="E500" t="inlineStr">
        <is>
          <t>Kim, Mijin</t>
        </is>
      </c>
      <c r="F500" t="inlineStr">
        <is>
          <t>To attend CCPERB Board Retreat</t>
        </is>
      </c>
      <c r="G500" t="inlineStr">
        <is>
          <t>Assister à la retraite du conseil de la CCPERB</t>
        </is>
      </c>
      <c r="H500" s="1" t="n">
        <v>43497</v>
      </c>
      <c r="I500" s="1" t="n">
        <v>43499</v>
      </c>
      <c r="J500" t="inlineStr">
        <is>
          <t>Montréal</t>
        </is>
      </c>
      <c r="K500" t="inlineStr">
        <is>
          <t>Montréal</t>
        </is>
      </c>
      <c r="P500" t="n">
        <v>0</v>
      </c>
      <c r="Q500" t="n">
        <v>219.39</v>
      </c>
      <c r="R500" t="n">
        <v>321.7</v>
      </c>
      <c r="S500" t="n">
        <v>201.9</v>
      </c>
      <c r="T500" t="n">
        <v>51</v>
      </c>
      <c r="U500" t="n">
        <v>793.99</v>
      </c>
      <c r="X500" t="inlineStr">
        <is>
          <t>atssc-scdata</t>
        </is>
      </c>
      <c r="Y500" t="inlineStr">
        <is>
          <t>Administrative Tribunals Support Service of Canada | Service canadien d'appui aux tribunaux administratifs</t>
        </is>
      </c>
    </row>
    <row r="501">
      <c r="A501" t="inlineStr">
        <is>
          <t>T-2019-Q1-031</t>
        </is>
      </c>
      <c r="B501" t="inlineStr">
        <is>
          <t>SLE</t>
        </is>
      </c>
      <c r="C501" t="inlineStr">
        <is>
          <t>Chairperson, Transportation Appeal Tribunal of Canada</t>
        </is>
      </c>
      <c r="D501" t="inlineStr">
        <is>
          <t xml:space="preserve"> Président, Tribunal d'appel des transport du Canada</t>
        </is>
      </c>
      <c r="E501" t="inlineStr">
        <is>
          <t>Sullivan, Charles</t>
        </is>
      </c>
      <c r="F501" t="inlineStr">
        <is>
          <t>TATC Hearing H-0023-41</t>
        </is>
      </c>
      <c r="G501" t="inlineStr">
        <is>
          <t>TATC dossier: H-0023-41</t>
        </is>
      </c>
      <c r="H501" s="1" t="n">
        <v>43544</v>
      </c>
      <c r="I501" s="1" t="n">
        <v>43545</v>
      </c>
      <c r="J501" t="inlineStr">
        <is>
          <t>Montreal</t>
        </is>
      </c>
      <c r="K501" t="inlineStr">
        <is>
          <t>Montreal</t>
        </is>
      </c>
      <c r="P501" t="n">
        <v>0</v>
      </c>
      <c r="Q501" t="n">
        <v>337.45</v>
      </c>
      <c r="R501" t="n">
        <v>214.2</v>
      </c>
      <c r="S501" t="n">
        <v>124.7</v>
      </c>
      <c r="T501" t="n">
        <v>0</v>
      </c>
      <c r="U501" t="n">
        <v>676.35</v>
      </c>
      <c r="X501" t="inlineStr">
        <is>
          <t>atssc-scdata</t>
        </is>
      </c>
      <c r="Y501" t="inlineStr">
        <is>
          <t>Administrative Tribunals Support Service of Canada | Service canadien d'appui aux tribunaux administratifs</t>
        </is>
      </c>
    </row>
    <row r="502">
      <c r="A502" t="inlineStr">
        <is>
          <t>T-2019-Q1-032</t>
        </is>
      </c>
      <c r="B502" t="inlineStr">
        <is>
          <t>SLE</t>
        </is>
      </c>
      <c r="C502" t="inlineStr">
        <is>
          <t xml:space="preserve">Chairperson, Canadian Human Rights Tribunal </t>
        </is>
      </c>
      <c r="D502" t="inlineStr">
        <is>
          <t xml:space="preserve">Président, Tribunal canadien des droits de la personne </t>
        </is>
      </c>
      <c r="E502" t="inlineStr">
        <is>
          <t>Thomas, David</t>
        </is>
      </c>
      <c r="F502" t="inlineStr">
        <is>
          <t>Mediation: T2265/2018 Robin Lawrence V. Canadian National Railway Company</t>
        </is>
      </c>
      <c r="G502" t="inlineStr">
        <is>
          <t>Médiation: T2265 / 2018, Robin Lawrence V. Compagnie des chemins de fer nationaux du Canada</t>
        </is>
      </c>
      <c r="H502" s="1" t="n">
        <v>43572</v>
      </c>
      <c r="I502" s="1" t="n">
        <v>43579</v>
      </c>
      <c r="J502" t="inlineStr">
        <is>
          <t>Victoria</t>
        </is>
      </c>
      <c r="K502" t="inlineStr">
        <is>
          <t>Victoria</t>
        </is>
      </c>
      <c r="P502" t="n">
        <v>24.82</v>
      </c>
      <c r="Q502" t="n">
        <v>143.39</v>
      </c>
      <c r="R502" t="n">
        <v>316.34</v>
      </c>
      <c r="S502" t="n">
        <v>325.65</v>
      </c>
      <c r="T502" t="n">
        <v>0</v>
      </c>
      <c r="U502" t="n">
        <v>810.2</v>
      </c>
      <c r="X502" t="inlineStr">
        <is>
          <t>atssc-scdata</t>
        </is>
      </c>
      <c r="Y502" t="inlineStr">
        <is>
          <t>Administrative Tribunals Support Service of Canada | Service canadien d'appui aux tribunaux administratifs</t>
        </is>
      </c>
    </row>
    <row r="503">
      <c r="A503" t="inlineStr">
        <is>
          <t>T-2019-Q1-007</t>
        </is>
      </c>
      <c r="B503" t="inlineStr">
        <is>
          <t>SLE</t>
        </is>
      </c>
      <c r="C503" t="inlineStr">
        <is>
          <t xml:space="preserve">Chairperson, Canada Agricultural Review Tribunal           </t>
        </is>
      </c>
      <c r="D503" t="inlineStr">
        <is>
          <t xml:space="preserve"> Président, Commission de révision agricole du Canada</t>
        </is>
      </c>
      <c r="E503" t="inlineStr">
        <is>
          <t>Bélanger, Luc</t>
        </is>
      </c>
      <c r="F503" t="inlineStr">
        <is>
          <t>Attend various meetings on various dates</t>
        </is>
      </c>
      <c r="G503" t="inlineStr">
        <is>
          <t>Assister à divers rencontre à diverse dates</t>
        </is>
      </c>
      <c r="H503" s="1" t="n">
        <v>43556</v>
      </c>
      <c r="I503" s="1" t="n">
        <v>43615</v>
      </c>
      <c r="J503" t="inlineStr">
        <is>
          <t>Ottawa, ON</t>
        </is>
      </c>
      <c r="K503" t="inlineStr">
        <is>
          <t>Ottawa, ON</t>
        </is>
      </c>
      <c r="P503" t="n">
        <v>0</v>
      </c>
      <c r="Q503" t="n">
        <v>0</v>
      </c>
      <c r="R503" t="n">
        <v>0</v>
      </c>
      <c r="S503" t="n">
        <v>0</v>
      </c>
      <c r="T503" t="n">
        <v>950.25</v>
      </c>
      <c r="U503" t="n">
        <v>950.25</v>
      </c>
      <c r="V503" t="inlineStr">
        <is>
          <t>Parking fees reimbursed for  various dates</t>
        </is>
      </c>
      <c r="W503" t="inlineStr">
        <is>
          <t>Frais de stationnement remboursés pour différentes dates</t>
        </is>
      </c>
      <c r="X503" t="inlineStr">
        <is>
          <t>atssc-scdata</t>
        </is>
      </c>
      <c r="Y503" t="inlineStr">
        <is>
          <t>Administrative Tribunals Support Service of Canada | Service canadien d'appui aux tribunaux administratifs</t>
        </is>
      </c>
    </row>
    <row r="504">
      <c r="A504" t="inlineStr">
        <is>
          <t>T-2018-Q3-007</t>
        </is>
      </c>
      <c r="B504" t="inlineStr">
        <is>
          <t>SLE</t>
        </is>
      </c>
      <c r="C504" t="inlineStr">
        <is>
          <t xml:space="preserve">Chairperson, Canada Industrial Relations Board </t>
        </is>
      </c>
      <c r="D504" t="inlineStr">
        <is>
          <t>Présidente, Conseil canadien des relations industrielles</t>
        </is>
      </c>
      <c r="E504" t="inlineStr">
        <is>
          <t xml:space="preserve">Brazeau, Ginette </t>
        </is>
      </c>
      <c r="F504" t="inlineStr">
        <is>
          <t>Presentation before the Quebec section of the Canadian Bar Association</t>
        </is>
      </c>
      <c r="G504" t="inlineStr">
        <is>
          <t>Présentation devant la section québécoise de l'Association du Barreau canadien</t>
        </is>
      </c>
      <c r="H504" s="1" t="n">
        <v>43412</v>
      </c>
      <c r="I504" s="1" t="n">
        <v>43412</v>
      </c>
      <c r="J504" t="inlineStr">
        <is>
          <t>Montreal, Quebec</t>
        </is>
      </c>
      <c r="K504" t="inlineStr">
        <is>
          <t>Montréal, Québec</t>
        </is>
      </c>
      <c r="Q504" t="n">
        <v>268.2</v>
      </c>
      <c r="U504" t="n">
        <v>268.2</v>
      </c>
      <c r="X504" t="inlineStr">
        <is>
          <t>atssc-scdata</t>
        </is>
      </c>
      <c r="Y504" t="inlineStr">
        <is>
          <t>Administrative Tribunals Support Service of Canada | Service canadien d'appui aux tribunaux administratifs</t>
        </is>
      </c>
    </row>
    <row r="505">
      <c r="A505" t="inlineStr">
        <is>
          <t>T-2019-P3-0001</t>
        </is>
      </c>
      <c r="B505" t="inlineStr">
        <is>
          <t>SLE</t>
        </is>
      </c>
      <c r="C505" t="inlineStr">
        <is>
          <t>Chairperson</t>
        </is>
      </c>
      <c r="D505" t="inlineStr">
        <is>
          <t>Président</t>
        </is>
      </c>
      <c r="E505" t="inlineStr">
        <is>
          <t>Aterman, Paul</t>
        </is>
      </c>
      <c r="F505" t="inlineStr">
        <is>
          <t>CCAT Symposium</t>
        </is>
      </c>
      <c r="G505" t="inlineStr">
        <is>
          <t>Symposium du CTAC</t>
        </is>
      </c>
      <c r="H505" s="1" t="n">
        <v>43610</v>
      </c>
      <c r="I505" s="1" t="n">
        <v>43613</v>
      </c>
      <c r="J505" t="inlineStr">
        <is>
          <t>Montreal (Quebec) Canada</t>
        </is>
      </c>
      <c r="K505" t="inlineStr">
        <is>
          <t>Montréal (Québec) Canada</t>
        </is>
      </c>
      <c r="P505" t="n">
        <v>0</v>
      </c>
      <c r="Q505" t="n">
        <v>241.96</v>
      </c>
      <c r="R505" t="n">
        <v>464.1</v>
      </c>
      <c r="S505" t="n">
        <v>153.2</v>
      </c>
      <c r="T505" t="n">
        <v>-105</v>
      </c>
      <c r="U505" t="n">
        <v>754.26</v>
      </c>
      <c r="V505" t="inlineStr">
        <is>
          <t>Negative amount in Other expenses is due to Mr. Aterman reimbursing ATSSC</t>
        </is>
      </c>
      <c r="W505" t="inlineStr">
        <is>
          <t>Le montant négatif dans la colonne Autres dépenses est dû au fait que M. Aterman a remboursé SCDATA</t>
        </is>
      </c>
      <c r="X505" t="inlineStr">
        <is>
          <t>atssc-scdata</t>
        </is>
      </c>
      <c r="Y505" t="inlineStr">
        <is>
          <t>Administrative Tribunals Support Service of Canada | Service canadien d'appui aux tribunaux administratifs</t>
        </is>
      </c>
    </row>
    <row r="506">
      <c r="A506" t="inlineStr">
        <is>
          <t>T-2019-P3-0002</t>
        </is>
      </c>
      <c r="B506" t="inlineStr">
        <is>
          <t>SLE</t>
        </is>
      </c>
      <c r="C506" t="inlineStr">
        <is>
          <t>Chairperson</t>
        </is>
      </c>
      <c r="D506" t="inlineStr">
        <is>
          <t>Président</t>
        </is>
      </c>
      <c r="E506" t="inlineStr">
        <is>
          <t>Bélanger, Luc</t>
        </is>
      </c>
      <c r="F506" t="inlineStr">
        <is>
          <t xml:space="preserve">Attend a conference on edible cannabis and meeting with potential expert witness </t>
        </is>
      </c>
      <c r="G506" t="inlineStr">
        <is>
          <t>Assister à une conférence sur le cannabis comestible et rencontrer un témoin expert potentiel</t>
        </is>
      </c>
      <c r="H506" s="1" t="n">
        <v>43600</v>
      </c>
      <c r="I506" s="1" t="n">
        <v>43601</v>
      </c>
      <c r="J506" t="inlineStr">
        <is>
          <t>Vaudreil (Quebec) Canada</t>
        </is>
      </c>
      <c r="K506" t="inlineStr">
        <is>
          <t>Vaudreil (Québec) Canada</t>
        </is>
      </c>
      <c r="P506" t="n">
        <v>0</v>
      </c>
      <c r="Q506" t="n">
        <v>243.4</v>
      </c>
      <c r="R506" t="n">
        <v>308.21</v>
      </c>
      <c r="S506" t="n">
        <v>145.95</v>
      </c>
      <c r="T506" t="n">
        <v>0</v>
      </c>
      <c r="U506" t="n">
        <v>697.5599999999999</v>
      </c>
      <c r="X506" t="inlineStr">
        <is>
          <t>atssc-scdata</t>
        </is>
      </c>
      <c r="Y506" t="inlineStr">
        <is>
          <t>Administrative Tribunals Support Service of Canada | Service canadien d'appui aux tribunaux administratifs</t>
        </is>
      </c>
    </row>
    <row r="507">
      <c r="A507" t="inlineStr">
        <is>
          <t>T-2019-P3-0003</t>
        </is>
      </c>
      <c r="B507" t="inlineStr">
        <is>
          <t>SLE</t>
        </is>
      </c>
      <c r="C507" t="inlineStr">
        <is>
          <t>Chairperson</t>
        </is>
      </c>
      <c r="D507" t="inlineStr">
        <is>
          <t>Président</t>
        </is>
      </c>
      <c r="E507" t="inlineStr">
        <is>
          <t>Bélanger, Luc</t>
        </is>
      </c>
      <c r="F507" t="inlineStr">
        <is>
          <t>CCAT Symposium</t>
        </is>
      </c>
      <c r="G507" t="inlineStr">
        <is>
          <t>Symposium du CTAC</t>
        </is>
      </c>
      <c r="H507" s="1" t="n">
        <v>43611</v>
      </c>
      <c r="I507" s="1" t="n">
        <v>43614</v>
      </c>
      <c r="J507" t="inlineStr">
        <is>
          <t>Montreal (Quebec) Canada</t>
        </is>
      </c>
      <c r="K507" t="inlineStr">
        <is>
          <t>Montréal (Québec) Canada</t>
        </is>
      </c>
      <c r="P507" t="n">
        <v>0</v>
      </c>
      <c r="Q507" t="n">
        <v>155.9</v>
      </c>
      <c r="R507" t="n">
        <v>473.64</v>
      </c>
      <c r="S507" t="n">
        <v>173.3</v>
      </c>
      <c r="T507" t="n">
        <v>0</v>
      </c>
      <c r="U507" t="n">
        <v>802.84</v>
      </c>
      <c r="X507" t="inlineStr">
        <is>
          <t>atssc-scdata</t>
        </is>
      </c>
      <c r="Y507" t="inlineStr">
        <is>
          <t>Administrative Tribunals Support Service of Canada | Service canadien d'appui aux tribunaux administratifs</t>
        </is>
      </c>
    </row>
    <row r="508">
      <c r="A508" t="inlineStr">
        <is>
          <t>T-2019-P3-0004</t>
        </is>
      </c>
      <c r="B508" t="inlineStr">
        <is>
          <t>SLE</t>
        </is>
      </c>
      <c r="C508" t="inlineStr">
        <is>
          <t>Chairperson</t>
        </is>
      </c>
      <c r="D508" t="inlineStr">
        <is>
          <t>Président</t>
        </is>
      </c>
      <c r="E508" t="inlineStr">
        <is>
          <t>Bélanger, Luc</t>
        </is>
      </c>
      <c r="F508" t="inlineStr">
        <is>
          <t>Operational Meeting after CCAT Symposium</t>
        </is>
      </c>
      <c r="G508" t="inlineStr">
        <is>
          <t>Réunion opérationnelle après le symposium du CTAC</t>
        </is>
      </c>
      <c r="H508" s="1" t="n">
        <v>43613</v>
      </c>
      <c r="I508" s="1" t="n">
        <v>43614</v>
      </c>
      <c r="J508" t="inlineStr">
        <is>
          <t>Montreal (Quebec) Canada</t>
        </is>
      </c>
      <c r="K508" t="inlineStr">
        <is>
          <t>Montréal (Québec) Canada</t>
        </is>
      </c>
      <c r="P508" t="n">
        <v>0</v>
      </c>
      <c r="Q508" t="n">
        <v>26.5</v>
      </c>
      <c r="R508" t="n">
        <v>236.82</v>
      </c>
      <c r="S508" t="n">
        <v>108.55</v>
      </c>
      <c r="T508" t="n">
        <v>0</v>
      </c>
      <c r="U508" t="n">
        <v>371.87</v>
      </c>
      <c r="X508" t="inlineStr">
        <is>
          <t>atssc-scdata</t>
        </is>
      </c>
      <c r="Y508" t="inlineStr">
        <is>
          <t>Administrative Tribunals Support Service of Canada | Service canadien d'appui aux tribunaux administratifs</t>
        </is>
      </c>
    </row>
    <row r="509">
      <c r="A509" t="inlineStr">
        <is>
          <t>T-2019-P3-0005</t>
        </is>
      </c>
      <c r="B509" t="inlineStr">
        <is>
          <t>SLE</t>
        </is>
      </c>
      <c r="C509" t="inlineStr">
        <is>
          <t>Chairperson</t>
        </is>
      </c>
      <c r="D509" t="inlineStr">
        <is>
          <t>Président</t>
        </is>
      </c>
      <c r="E509" t="inlineStr">
        <is>
          <t>Brazeau, Ginette</t>
        </is>
      </c>
      <c r="F509" t="inlineStr">
        <is>
          <t>CCAT Symposium</t>
        </is>
      </c>
      <c r="G509" t="inlineStr">
        <is>
          <t>Symposium du CTAC</t>
        </is>
      </c>
      <c r="H509" s="1" t="n">
        <v>43610</v>
      </c>
      <c r="I509" s="1" t="n">
        <v>43612</v>
      </c>
      <c r="J509" t="inlineStr">
        <is>
          <t>Montreal (Quebec) Canada</t>
        </is>
      </c>
      <c r="K509" t="inlineStr">
        <is>
          <t>Montréal (Québec) Canada</t>
        </is>
      </c>
      <c r="P509" t="n">
        <v>0</v>
      </c>
      <c r="Q509" t="n">
        <v>206.53</v>
      </c>
      <c r="R509" t="n">
        <v>817.53</v>
      </c>
      <c r="S509" t="n">
        <v>170.5</v>
      </c>
      <c r="T509" t="n">
        <v>0</v>
      </c>
      <c r="U509" t="n">
        <v>1194.56</v>
      </c>
      <c r="X509" t="inlineStr">
        <is>
          <t>atssc-scdata</t>
        </is>
      </c>
      <c r="Y509" t="inlineStr">
        <is>
          <t>Administrative Tribunals Support Service of Canada | Service canadien d'appui aux tribunaux administratifs</t>
        </is>
      </c>
    </row>
    <row r="510">
      <c r="A510" t="inlineStr">
        <is>
          <t>T-2019-P3-0006</t>
        </is>
      </c>
      <c r="B510" t="inlineStr">
        <is>
          <t>SLE</t>
        </is>
      </c>
      <c r="C510" t="inlineStr">
        <is>
          <t>Chairperson</t>
        </is>
      </c>
      <c r="D510" t="inlineStr">
        <is>
          <t>Président</t>
        </is>
      </c>
      <c r="E510" t="inlineStr">
        <is>
          <t>Brazeau, Ginette</t>
        </is>
      </c>
      <c r="F510" t="inlineStr">
        <is>
          <t>2019 National Academy of Arbitrators (NAA) Annual Meeting</t>
        </is>
      </c>
      <c r="G510" t="inlineStr">
        <is>
          <t>Assemblée annuelle de la National Academy of Arbitrators (NAA) de 2019</t>
        </is>
      </c>
      <c r="H510" s="1" t="n">
        <v>43614</v>
      </c>
      <c r="I510" s="1" t="n">
        <v>43617</v>
      </c>
      <c r="J510" t="inlineStr">
        <is>
          <t>Philadelphia (PA) USA</t>
        </is>
      </c>
      <c r="K510" t="inlineStr">
        <is>
          <t>Philadelphia (PA) USA</t>
        </is>
      </c>
      <c r="P510" t="n">
        <v>813.27</v>
      </c>
      <c r="Q510" t="n">
        <v>89.22</v>
      </c>
      <c r="R510" t="n">
        <v>928.47</v>
      </c>
      <c r="S510" t="n">
        <v>282.45</v>
      </c>
      <c r="T510" t="n">
        <v>0</v>
      </c>
      <c r="U510" t="n">
        <v>2113.41</v>
      </c>
      <c r="X510" t="inlineStr">
        <is>
          <t>atssc-scdata</t>
        </is>
      </c>
      <c r="Y510" t="inlineStr">
        <is>
          <t>Administrative Tribunals Support Service of Canada | Service canadien d'appui aux tribunaux administratifs</t>
        </is>
      </c>
    </row>
    <row r="511">
      <c r="A511" t="inlineStr">
        <is>
          <t>T-2019-P3-0007</t>
        </is>
      </c>
      <c r="B511" t="inlineStr">
        <is>
          <t>SLE</t>
        </is>
      </c>
      <c r="C511" t="inlineStr">
        <is>
          <t>Chairperson</t>
        </is>
      </c>
      <c r="D511" t="inlineStr">
        <is>
          <t>Président</t>
        </is>
      </c>
      <c r="E511" t="inlineStr">
        <is>
          <t>Brazeau, Ginette</t>
        </is>
      </c>
      <c r="F511" t="inlineStr">
        <is>
          <t xml:space="preserve">Toronto Speak: CLCW Advisory Committee Meeting - What are the most Fundamental challenges Facing Canadian Workplace Law Today? </t>
        </is>
      </c>
      <c r="G511" t="inlineStr">
        <is>
          <t>Toronto Speak: Réunion du comité consultatif du CLCW - Quels sont les défis les plus fondamentaux auxquels le droit du travail canadien fait face aujourd'hui?</t>
        </is>
      </c>
      <c r="H511" s="1" t="n">
        <v>43633</v>
      </c>
      <c r="I511" s="1" t="n">
        <v>43634</v>
      </c>
      <c r="J511" t="inlineStr">
        <is>
          <t>Toronto (Ontario) Canada</t>
        </is>
      </c>
      <c r="K511" t="inlineStr">
        <is>
          <t>Toronto (Ontario) Canada</t>
        </is>
      </c>
      <c r="P511" t="n">
        <v>495.07</v>
      </c>
      <c r="Q511" t="n">
        <v>89.69</v>
      </c>
      <c r="R511" t="n">
        <v>233.86</v>
      </c>
      <c r="S511" t="n">
        <v>125.85</v>
      </c>
      <c r="T511" t="n">
        <v>0</v>
      </c>
      <c r="U511" t="n">
        <v>944.47</v>
      </c>
      <c r="X511" t="inlineStr">
        <is>
          <t>atssc-scdata</t>
        </is>
      </c>
      <c r="Y511" t="inlineStr">
        <is>
          <t>Administrative Tribunals Support Service of Canada | Service canadien d'appui aux tribunaux administratifs</t>
        </is>
      </c>
    </row>
    <row r="512">
      <c r="A512" t="inlineStr">
        <is>
          <t>T-2019-P3-0008</t>
        </is>
      </c>
      <c r="B512" t="inlineStr">
        <is>
          <t>SLE</t>
        </is>
      </c>
      <c r="C512" t="inlineStr">
        <is>
          <t>Chairperson</t>
        </is>
      </c>
      <c r="D512" t="inlineStr">
        <is>
          <t>Président</t>
        </is>
      </c>
      <c r="E512" t="inlineStr">
        <is>
          <t>Brazeau, Ginette</t>
        </is>
      </c>
      <c r="F512" t="inlineStr">
        <is>
          <t>Toronto - Cancelled trip 
The hearing was rescheduled at request of the parties</t>
        </is>
      </c>
      <c r="G512" t="inlineStr">
        <is>
          <t>Toronto - Voyage annullé
L'audience a été reportée suite à la demande des parties</t>
        </is>
      </c>
      <c r="H512" s="1" t="n">
        <v>43637</v>
      </c>
      <c r="I512" s="1" t="n">
        <v>43637</v>
      </c>
      <c r="J512" t="inlineStr">
        <is>
          <t>Toronto (Ontario) Canada</t>
        </is>
      </c>
      <c r="K512" t="inlineStr">
        <is>
          <t>Toronto (Ontario) Canada</t>
        </is>
      </c>
      <c r="P512" t="n">
        <v>560.0700000000001</v>
      </c>
      <c r="Q512" t="n">
        <v>0</v>
      </c>
      <c r="R512" t="n">
        <v>0</v>
      </c>
      <c r="S512" t="n">
        <v>0</v>
      </c>
      <c r="T512" t="n">
        <v>113</v>
      </c>
      <c r="U512" t="n">
        <v>673.0700000000001</v>
      </c>
      <c r="V512" t="inlineStr">
        <is>
          <t>Porter Credit available is $560.07 
Cancellation Fee is $113.00</t>
        </is>
      </c>
      <c r="W512" t="inlineStr">
        <is>
          <t>Crédit de 560,07$ de Porter est disponible
Les frais d'annulation sont de 113,00$</t>
        </is>
      </c>
      <c r="X512" t="inlineStr">
        <is>
          <t>atssc-scdata</t>
        </is>
      </c>
      <c r="Y512" t="inlineStr">
        <is>
          <t>Administrative Tribunals Support Service of Canada | Service canadien d'appui aux tribunaux administratifs</t>
        </is>
      </c>
    </row>
    <row r="513">
      <c r="A513" t="inlineStr">
        <is>
          <t>T-2019-P3-0009</t>
        </is>
      </c>
      <c r="B513" t="inlineStr">
        <is>
          <t>SLE</t>
        </is>
      </c>
      <c r="C513" t="inlineStr">
        <is>
          <t>Director General</t>
        </is>
      </c>
      <c r="D513" t="inlineStr">
        <is>
          <t>Directeur général</t>
        </is>
      </c>
      <c r="E513" t="inlineStr">
        <is>
          <t>Campbell, Stuart</t>
        </is>
      </c>
      <c r="F513" t="inlineStr">
        <is>
          <t>The Gartner IT Symposium</t>
        </is>
      </c>
      <c r="G513" t="inlineStr">
        <is>
          <t>Le symposium Gartner sur l'informatique</t>
        </is>
      </c>
      <c r="H513" s="1" t="n">
        <v>43618</v>
      </c>
      <c r="I513" s="1" t="n">
        <v>43622</v>
      </c>
      <c r="J513" t="inlineStr">
        <is>
          <t>Toronto (Ontario) Canada</t>
        </is>
      </c>
      <c r="K513" t="inlineStr">
        <is>
          <t>Toronto (Ontario) Canada</t>
        </is>
      </c>
      <c r="P513" t="n">
        <v>0</v>
      </c>
      <c r="Q513" t="n">
        <v>302.95</v>
      </c>
      <c r="R513" t="n">
        <v>1076.48</v>
      </c>
      <c r="S513" t="n">
        <v>279.05</v>
      </c>
      <c r="T513" t="n">
        <v>0</v>
      </c>
      <c r="U513" t="n">
        <v>1658.48</v>
      </c>
      <c r="X513" t="inlineStr">
        <is>
          <t>atssc-scdata</t>
        </is>
      </c>
      <c r="Y513" t="inlineStr">
        <is>
          <t>Administrative Tribunals Support Service of Canada | Service canadien d'appui aux tribunaux administratifs</t>
        </is>
      </c>
    </row>
    <row r="514">
      <c r="A514" t="inlineStr">
        <is>
          <t>T-2019-P3-0010</t>
        </is>
      </c>
      <c r="B514" t="inlineStr">
        <is>
          <t>SLE</t>
        </is>
      </c>
      <c r="C514" t="inlineStr">
        <is>
          <t>Deputy Chief Administrator</t>
        </is>
      </c>
      <c r="D514" t="inlineStr">
        <is>
          <t xml:space="preserve">Administrateur en chef adjoint </t>
        </is>
      </c>
      <c r="E514" t="inlineStr">
        <is>
          <t>Covelli, Nick</t>
        </is>
      </c>
      <c r="F514" t="inlineStr">
        <is>
          <t>CCAT Symposium</t>
        </is>
      </c>
      <c r="G514" t="inlineStr">
        <is>
          <t>Symposium du CTAC</t>
        </is>
      </c>
      <c r="H514" s="1" t="n">
        <v>43611</v>
      </c>
      <c r="I514" s="1" t="n">
        <v>43613</v>
      </c>
      <c r="J514" t="inlineStr">
        <is>
          <t>Montreal (Quebec) Canada</t>
        </is>
      </c>
      <c r="K514" t="inlineStr">
        <is>
          <t>Montréal (Québec) Canada</t>
        </is>
      </c>
      <c r="P514" t="n">
        <v>0</v>
      </c>
      <c r="Q514" t="n">
        <v>231.33</v>
      </c>
      <c r="R514" t="n">
        <v>817.53</v>
      </c>
      <c r="S514" t="n">
        <v>223.95</v>
      </c>
      <c r="T514" t="n">
        <v>0</v>
      </c>
      <c r="U514" t="n">
        <v>1272.81</v>
      </c>
      <c r="V514" t="inlineStr">
        <is>
          <t>Mr. Covelli was replacing Mrs. Catherine Ebbs</t>
        </is>
      </c>
      <c r="W514" t="inlineStr">
        <is>
          <t>M. Covelli remplaçait Mme Catherine Ebbs</t>
        </is>
      </c>
      <c r="X514" t="inlineStr">
        <is>
          <t>atssc-scdata</t>
        </is>
      </c>
      <c r="Y514" t="inlineStr">
        <is>
          <t>Administrative Tribunals Support Service of Canada | Service canadien d'appui aux tribunaux administratifs</t>
        </is>
      </c>
    </row>
    <row r="515">
      <c r="A515" t="inlineStr">
        <is>
          <t>T-2019-P3-0011</t>
        </is>
      </c>
      <c r="B515" t="inlineStr">
        <is>
          <t>SLE</t>
        </is>
      </c>
      <c r="C515" t="inlineStr">
        <is>
          <t>Executive Director</t>
        </is>
      </c>
      <c r="D515" t="inlineStr">
        <is>
          <t>Directrice éxecutive</t>
        </is>
      </c>
      <c r="E515" t="inlineStr">
        <is>
          <t>Kim, Mijin</t>
        </is>
      </c>
      <c r="F515" t="inlineStr">
        <is>
          <t>Event: Taking it to the People: 2019 Sumit on the Value of Galleries, Libraries, Archives and Museums</t>
        </is>
      </c>
      <c r="G515" t="inlineStr">
        <is>
          <t>Evénement: le rendre populaire: le bilan de 2019 sur la valeur des galeries, des bibliothèques, des archives et des musées</t>
        </is>
      </c>
      <c r="H515" s="1" t="n">
        <v>43597</v>
      </c>
      <c r="I515" s="1" t="n">
        <v>43598</v>
      </c>
      <c r="J515" t="inlineStr">
        <is>
          <t>Montreal (Quebec) Canada</t>
        </is>
      </c>
      <c r="K515" t="inlineStr">
        <is>
          <t>Montréal (Québec) Canada</t>
        </is>
      </c>
      <c r="P515" t="n">
        <v>0</v>
      </c>
      <c r="Q515" t="n">
        <v>253.27</v>
      </c>
      <c r="R515" t="n">
        <v>160.96</v>
      </c>
      <c r="S515" t="n">
        <v>85.25</v>
      </c>
      <c r="T515" t="n">
        <v>0</v>
      </c>
      <c r="U515" t="n">
        <v>499.48</v>
      </c>
      <c r="X515" t="inlineStr">
        <is>
          <t>atssc-scdata</t>
        </is>
      </c>
      <c r="Y515" t="inlineStr">
        <is>
          <t>Administrative Tribunals Support Service of Canada | Service canadien d'appui aux tribunaux administratifs</t>
        </is>
      </c>
    </row>
    <row r="516">
      <c r="A516" t="inlineStr">
        <is>
          <t>T-2019-P3-0012</t>
        </is>
      </c>
      <c r="B516" t="inlineStr">
        <is>
          <t>SLE</t>
        </is>
      </c>
      <c r="C516" t="inlineStr">
        <is>
          <t>Chairperson</t>
        </is>
      </c>
      <c r="D516" t="inlineStr">
        <is>
          <t>Président</t>
        </is>
      </c>
      <c r="E516" t="inlineStr">
        <is>
          <t>Thomas, David</t>
        </is>
      </c>
      <c r="F516" t="inlineStr">
        <is>
          <t>CCAT Symposium</t>
        </is>
      </c>
      <c r="G516" t="inlineStr">
        <is>
          <t>Symposium du CTAC</t>
        </is>
      </c>
      <c r="H516" s="1" t="n">
        <v>43611</v>
      </c>
      <c r="I516" s="1" t="n">
        <v>43613</v>
      </c>
      <c r="J516" t="inlineStr">
        <is>
          <t>Montreal (Quebec) Canada</t>
        </is>
      </c>
      <c r="K516" t="inlineStr">
        <is>
          <t>Montréal (Québec) Canada</t>
        </is>
      </c>
      <c r="P516" t="n">
        <v>0</v>
      </c>
      <c r="Q516" t="n">
        <v>190.85</v>
      </c>
      <c r="R516" t="n">
        <v>224.91</v>
      </c>
      <c r="S516" t="n">
        <v>55.1</v>
      </c>
      <c r="T516" t="n">
        <v>0</v>
      </c>
      <c r="U516" t="n">
        <v>470.86</v>
      </c>
      <c r="X516" t="inlineStr">
        <is>
          <t>atssc-scdata</t>
        </is>
      </c>
      <c r="Y516" t="inlineStr">
        <is>
          <t>Administrative Tribunals Support Service of Canada | Service canadien d'appui aux tribunaux administratifs</t>
        </is>
      </c>
    </row>
    <row r="517">
      <c r="A517" t="inlineStr">
        <is>
          <t>T-2019-P4-0001</t>
        </is>
      </c>
      <c r="B517" t="inlineStr">
        <is>
          <t>SLE</t>
        </is>
      </c>
      <c r="C517" t="inlineStr">
        <is>
          <t>Chairperson</t>
        </is>
      </c>
      <c r="D517" t="inlineStr">
        <is>
          <t>Président</t>
        </is>
      </c>
      <c r="E517" t="inlineStr">
        <is>
          <t>Bélanger, Luc</t>
        </is>
      </c>
      <c r="F517" t="inlineStr">
        <is>
          <t>Meeting for work</t>
        </is>
      </c>
      <c r="G517" t="inlineStr">
        <is>
          <t>Rencontre de travail</t>
        </is>
      </c>
      <c r="H517" s="1" t="n">
        <v>43633</v>
      </c>
      <c r="I517" s="1" t="n">
        <v>43637</v>
      </c>
      <c r="J517" t="inlineStr">
        <is>
          <t>Halifax, N.S. &amp; Quebec, Quebec, Canada</t>
        </is>
      </c>
      <c r="K517" t="inlineStr">
        <is>
          <t>Halifax, N.-É. &amp; Québec, Québec, Canada</t>
        </is>
      </c>
      <c r="P517" t="n">
        <v>1190.9</v>
      </c>
      <c r="Q517" t="n">
        <v>671.6900000000001</v>
      </c>
      <c r="R517" t="n">
        <v>917.0599999999999</v>
      </c>
      <c r="S517" t="n">
        <v>451.5</v>
      </c>
      <c r="T517" t="n">
        <v>0</v>
      </c>
      <c r="U517" t="n">
        <v>3231.15</v>
      </c>
      <c r="V517" t="inlineStr">
        <is>
          <t>The flight from Montreal to Quebec City had technical issues and had to return to Montreal - Car rental was arranged to attend the meeting. A credit of $25.00 will be issued by Air Canada</t>
        </is>
      </c>
      <c r="W517" t="inlineStr">
        <is>
          <t>Le vol Montréal-Québec posait des problèmes techniques et devait retourner à Montréal. Un service de location de voiture a été réservé pour assister à la réunion. Un crédit de 25.00$ sera émi par Air Canada</t>
        </is>
      </c>
      <c r="X517" t="inlineStr">
        <is>
          <t>atssc-scdata</t>
        </is>
      </c>
      <c r="Y517" t="inlineStr">
        <is>
          <t>Administrative Tribunals Support Service of Canada | Service canadien d'appui aux tribunaux administratifs</t>
        </is>
      </c>
    </row>
    <row r="518">
      <c r="A518" t="inlineStr">
        <is>
          <t>T-2019-P4-0002</t>
        </is>
      </c>
      <c r="B518" t="inlineStr">
        <is>
          <t>SLE</t>
        </is>
      </c>
      <c r="C518" t="inlineStr">
        <is>
          <t>Chairperson</t>
        </is>
      </c>
      <c r="D518" t="inlineStr">
        <is>
          <t>Président</t>
        </is>
      </c>
      <c r="E518" t="inlineStr">
        <is>
          <t>Bélanger, Luc</t>
        </is>
      </c>
      <c r="F518" t="inlineStr">
        <is>
          <t>Meeting with expert</t>
        </is>
      </c>
      <c r="G518" t="inlineStr">
        <is>
          <t>Rencontre avec un expert</t>
        </is>
      </c>
      <c r="H518" s="1" t="n">
        <v>43629</v>
      </c>
      <c r="I518" s="1" t="n">
        <v>43631</v>
      </c>
      <c r="J518" t="inlineStr">
        <is>
          <t>Toronto, Ontario, Canada</t>
        </is>
      </c>
      <c r="K518" t="inlineStr">
        <is>
          <t>Toronto, Ontario, Canada</t>
        </is>
      </c>
      <c r="Q518" t="n">
        <v>626.8200000000001</v>
      </c>
      <c r="R518" t="n">
        <v>467.72</v>
      </c>
      <c r="S518" t="n">
        <v>304.25</v>
      </c>
      <c r="T518" t="n">
        <v>0</v>
      </c>
      <c r="U518" t="n">
        <v>1398.79</v>
      </c>
      <c r="X518" t="inlineStr">
        <is>
          <t>atssc-scdata</t>
        </is>
      </c>
      <c r="Y518" t="inlineStr">
        <is>
          <t>Administrative Tribunals Support Service of Canada | Service canadien d'appui aux tribunaux administratifs</t>
        </is>
      </c>
    </row>
    <row r="519">
      <c r="A519" t="inlineStr">
        <is>
          <t>T-2019-P4-0003</t>
        </is>
      </c>
      <c r="B519" t="inlineStr">
        <is>
          <t>SLE</t>
        </is>
      </c>
      <c r="C519" t="inlineStr">
        <is>
          <t>Chairperson</t>
        </is>
      </c>
      <c r="D519" t="inlineStr">
        <is>
          <t>Président</t>
        </is>
      </c>
      <c r="E519" t="inlineStr">
        <is>
          <t>Brazeau, Ginette</t>
        </is>
      </c>
      <c r="F519" t="inlineStr">
        <is>
          <t>Case Management Meeting with parties</t>
        </is>
      </c>
      <c r="G519" t="inlineStr">
        <is>
          <t>Réunion de gestion de cas avec les parties</t>
        </is>
      </c>
      <c r="H519" s="1" t="n">
        <v>43658</v>
      </c>
      <c r="I519" s="1" t="n">
        <v>43658</v>
      </c>
      <c r="J519" t="inlineStr">
        <is>
          <t>Montreal, Quebec, Canada</t>
        </is>
      </c>
      <c r="K519" t="inlineStr">
        <is>
          <t>Montréal, Québec, Canada</t>
        </is>
      </c>
      <c r="P519" t="n">
        <v>0</v>
      </c>
      <c r="Q519" t="n">
        <v>186.96</v>
      </c>
      <c r="R519" t="n">
        <v>0</v>
      </c>
      <c r="S519" t="n">
        <v>20.1</v>
      </c>
      <c r="T519" t="n">
        <v>0</v>
      </c>
      <c r="U519" t="n">
        <v>207.06</v>
      </c>
      <c r="X519" t="inlineStr">
        <is>
          <t>atssc-scdata</t>
        </is>
      </c>
      <c r="Y519" t="inlineStr">
        <is>
          <t>Administrative Tribunals Support Service of Canada | Service canadien d'appui aux tribunaux administratifs</t>
        </is>
      </c>
    </row>
    <row r="520">
      <c r="A520" t="inlineStr">
        <is>
          <t>T-2019-P4-0004</t>
        </is>
      </c>
      <c r="B520" t="inlineStr">
        <is>
          <t>SLE</t>
        </is>
      </c>
      <c r="C520" t="inlineStr">
        <is>
          <t>Chairperson</t>
        </is>
      </c>
      <c r="D520" t="inlineStr">
        <is>
          <t>Président</t>
        </is>
      </c>
      <c r="E520" t="inlineStr">
        <is>
          <t>Brazeau, Ginette</t>
        </is>
      </c>
      <c r="F520" t="inlineStr">
        <is>
          <t>Vancouver - Cancelled trip
Hearing being cancelled at request of parties</t>
        </is>
      </c>
      <c r="G520" t="inlineStr">
        <is>
          <t>Vancouver - Voyage annulé
Audience annulée à la demande des parties</t>
        </is>
      </c>
      <c r="H520" s="1" t="n">
        <v>43675</v>
      </c>
      <c r="I520" s="1" t="n">
        <v>43679</v>
      </c>
      <c r="J520" t="inlineStr">
        <is>
          <t>Vancouver, Britsh Columbia, Canada</t>
        </is>
      </c>
      <c r="K520" t="inlineStr">
        <is>
          <t>Vancouver, Colombie-Britannique, Canada</t>
        </is>
      </c>
      <c r="P520" t="n">
        <v>2989.79</v>
      </c>
      <c r="Q520" t="n">
        <v>0</v>
      </c>
      <c r="R520" t="n">
        <v>0</v>
      </c>
      <c r="S520" t="n">
        <v>0</v>
      </c>
      <c r="T520" t="n">
        <v>0</v>
      </c>
      <c r="U520" t="n">
        <v>2989.79</v>
      </c>
      <c r="V520" t="inlineStr">
        <is>
          <t>Air Canada Credit available is $2,964.93
HRG STS service fee of $24.86</t>
        </is>
      </c>
      <c r="W520" t="inlineStr">
        <is>
          <t>Crédit de 2 964.93$ de Air Canada est disponible
Les frais de service de HRG SVP de 24.86$</t>
        </is>
      </c>
      <c r="X520" t="inlineStr">
        <is>
          <t>atssc-scdata</t>
        </is>
      </c>
      <c r="Y520" t="inlineStr">
        <is>
          <t>Administrative Tribunals Support Service of Canada | Service canadien d'appui aux tribunaux administratifs</t>
        </is>
      </c>
    </row>
    <row r="521">
      <c r="A521" t="inlineStr">
        <is>
          <t>T-2019-P4-0005</t>
        </is>
      </c>
      <c r="B521" t="inlineStr">
        <is>
          <t>SLE</t>
        </is>
      </c>
      <c r="C521" t="inlineStr">
        <is>
          <t>Chairperson</t>
        </is>
      </c>
      <c r="D521" t="inlineStr">
        <is>
          <t>Président</t>
        </is>
      </c>
      <c r="E521" t="inlineStr">
        <is>
          <t>Ebbs, Catherine</t>
        </is>
      </c>
      <c r="F521" t="inlineStr">
        <is>
          <t>Cincinnati - Association of Labor Relations Agencies (ALRA)
Cancellation</t>
        </is>
      </c>
      <c r="G521" t="inlineStr">
        <is>
          <t>Cincinnati - Association of Labor Relations Agencies (ALRA)
Annulation</t>
        </is>
      </c>
      <c r="H521" s="1" t="n">
        <v>43666</v>
      </c>
      <c r="I521" s="1" t="n">
        <v>43670</v>
      </c>
      <c r="J521" t="inlineStr">
        <is>
          <t>Cincinnati, Ohio, USA</t>
        </is>
      </c>
      <c r="K521" t="inlineStr">
        <is>
          <t>Cincinnati, Ohio, É-U.</t>
        </is>
      </c>
      <c r="P521" t="n">
        <v>1392.47</v>
      </c>
      <c r="Q521" t="n">
        <v>0</v>
      </c>
      <c r="R521" t="n">
        <v>0</v>
      </c>
      <c r="S521" t="n">
        <v>0</v>
      </c>
      <c r="T521" t="n">
        <v>0</v>
      </c>
      <c r="U521" t="n">
        <v>1392.47</v>
      </c>
      <c r="V521" t="inlineStr">
        <is>
          <t xml:space="preserve">Air Canada Credit of $1,367.61
HRG STS service Fee $24.86 </t>
        </is>
      </c>
      <c r="W521" t="inlineStr">
        <is>
          <t>Crédit de 1 367.61$ de Air Canada est disponible 
Frais de service HRG SVP de 24.86$</t>
        </is>
      </c>
      <c r="X521" t="inlineStr">
        <is>
          <t>atssc-scdata</t>
        </is>
      </c>
      <c r="Y521" t="inlineStr">
        <is>
          <t>Administrative Tribunals Support Service of Canada | Service canadien d'appui aux tribunaux administratifs</t>
        </is>
      </c>
    </row>
    <row r="522">
      <c r="A522" t="inlineStr">
        <is>
          <t>T-2019-P4-0006</t>
        </is>
      </c>
      <c r="B522" t="inlineStr">
        <is>
          <t>SLE</t>
        </is>
      </c>
      <c r="C522" t="inlineStr">
        <is>
          <t>Chairperson</t>
        </is>
      </c>
      <c r="D522" t="inlineStr">
        <is>
          <t>Président</t>
        </is>
      </c>
      <c r="E522" t="inlineStr">
        <is>
          <t>Ingram, Sharilyn</t>
        </is>
      </c>
      <c r="F522" t="inlineStr">
        <is>
          <t>To attend the prep day meeting and Canadian Art Museum Directors Organization (CAMDO) meeting</t>
        </is>
      </c>
      <c r="G522" t="inlineStr">
        <is>
          <t>Assister à la réunion préparatoire et à la réunion de l'organisationdes directeurs des musées d'art canadiens (ODMAC)</t>
        </is>
      </c>
      <c r="H522" s="1" t="n">
        <v>43625</v>
      </c>
      <c r="I522" s="1" t="n">
        <v>43627</v>
      </c>
      <c r="J522" t="inlineStr">
        <is>
          <t>Ottawa, Ontario, Canada</t>
        </is>
      </c>
      <c r="K522" t="inlineStr">
        <is>
          <t>Ottawa, Ontario, Canada</t>
        </is>
      </c>
      <c r="P522" t="n">
        <v>667.89</v>
      </c>
      <c r="Q522" t="n">
        <v>208.08</v>
      </c>
      <c r="R522" t="n">
        <v>392.52</v>
      </c>
      <c r="S522" t="n">
        <v>234.4</v>
      </c>
      <c r="T522" t="n">
        <v>0</v>
      </c>
      <c r="U522" t="n">
        <v>1502.89</v>
      </c>
      <c r="X522" t="inlineStr">
        <is>
          <t>atssc-scdata</t>
        </is>
      </c>
      <c r="Y522" t="inlineStr">
        <is>
          <t>Administrative Tribunals Support Service of Canada | Service canadien d'appui aux tribunaux administratifs</t>
        </is>
      </c>
    </row>
    <row r="523">
      <c r="A523" t="inlineStr">
        <is>
          <t>T-2019-P4-0007</t>
        </is>
      </c>
      <c r="B523" t="inlineStr">
        <is>
          <t>SLE</t>
        </is>
      </c>
      <c r="C523" t="inlineStr">
        <is>
          <t>Chairperson</t>
        </is>
      </c>
      <c r="D523" t="inlineStr">
        <is>
          <t>Président</t>
        </is>
      </c>
      <c r="E523" t="inlineStr">
        <is>
          <t>Ingram, Sharilyn</t>
        </is>
      </c>
      <c r="F523" t="inlineStr">
        <is>
          <t>To attend a meeting at Canadian Cultural Property Export Review Board (CCPERB)</t>
        </is>
      </c>
      <c r="G523" t="inlineStr">
        <is>
          <t>Assister à une réunion à la Commission canadienne d'examen des exportations de biens culturels (CCEEBC)</t>
        </is>
      </c>
      <c r="H523" s="1" t="n">
        <v>43632</v>
      </c>
      <c r="I523" s="1" t="n">
        <v>43637</v>
      </c>
      <c r="J523" t="inlineStr">
        <is>
          <t>Ottawa, Ontario, Canada</t>
        </is>
      </c>
      <c r="K523" t="inlineStr">
        <is>
          <t>Ottawa, Ontario, Canada</t>
        </is>
      </c>
      <c r="P523" t="n">
        <v>587.2</v>
      </c>
      <c r="Q523" t="n">
        <v>233.36</v>
      </c>
      <c r="R523" t="n">
        <v>981.3</v>
      </c>
      <c r="S523" t="n">
        <v>630.8</v>
      </c>
      <c r="T523" t="n">
        <v>0</v>
      </c>
      <c r="U523" t="n">
        <v>2432.66</v>
      </c>
      <c r="X523" t="inlineStr">
        <is>
          <t>atssc-scdata</t>
        </is>
      </c>
      <c r="Y523" t="inlineStr">
        <is>
          <t>Administrative Tribunals Support Service of Canada | Service canadien d'appui aux tribunaux administratifs</t>
        </is>
      </c>
    </row>
    <row r="524">
      <c r="A524" t="inlineStr">
        <is>
          <t>T-2019-P4-0008</t>
        </is>
      </c>
      <c r="B524" t="inlineStr">
        <is>
          <t>SLE</t>
        </is>
      </c>
      <c r="C524" t="inlineStr">
        <is>
          <t>Executive Director</t>
        </is>
      </c>
      <c r="D524" t="inlineStr">
        <is>
          <t>Directrice éxecutive</t>
        </is>
      </c>
      <c r="E524" t="inlineStr">
        <is>
          <t>Kim, Mijin</t>
        </is>
      </c>
      <c r="F524" t="inlineStr">
        <is>
          <t xml:space="preserve">To attend the Association of Canadian Archivists Conference </t>
        </is>
      </c>
      <c r="G524" t="inlineStr">
        <is>
          <t>Assister à la conférence de l'Association des archivistes canadiens</t>
        </is>
      </c>
      <c r="H524" s="1" t="n">
        <v>43621</v>
      </c>
      <c r="I524" s="1" t="n">
        <v>43622</v>
      </c>
      <c r="J524" t="inlineStr">
        <is>
          <t>Toronto, Ontario, Canada</t>
        </is>
      </c>
      <c r="K524" t="inlineStr">
        <is>
          <t>Toronto, Ontario, Canada</t>
        </is>
      </c>
      <c r="P524" t="n">
        <v>716.8200000000001</v>
      </c>
      <c r="Q524" t="n">
        <v>114.86</v>
      </c>
      <c r="R524" t="n">
        <v>199.78</v>
      </c>
      <c r="S524" t="n">
        <v>176.5</v>
      </c>
      <c r="T524" t="n">
        <v>0</v>
      </c>
      <c r="U524" t="n">
        <v>1207.96</v>
      </c>
      <c r="X524" t="inlineStr">
        <is>
          <t>atssc-scdata</t>
        </is>
      </c>
      <c r="Y524" t="inlineStr">
        <is>
          <t>Administrative Tribunals Support Service of Canada | Service canadien d'appui aux tribunaux administratifs</t>
        </is>
      </c>
    </row>
    <row r="525">
      <c r="A525" t="inlineStr">
        <is>
          <t>T-2019-P4-0009</t>
        </is>
      </c>
      <c r="B525" t="inlineStr">
        <is>
          <t>SLE</t>
        </is>
      </c>
      <c r="C525" t="inlineStr">
        <is>
          <t>Chairperson</t>
        </is>
      </c>
      <c r="D525" t="inlineStr">
        <is>
          <t>Président</t>
        </is>
      </c>
      <c r="E525" t="inlineStr">
        <is>
          <t>Sullivan, Charles</t>
        </is>
      </c>
      <c r="F525" t="inlineStr">
        <is>
          <t>TATC Hearing Q-4233-35</t>
        </is>
      </c>
      <c r="G525" t="inlineStr">
        <is>
          <t>TATC audiance: Q-4233-35</t>
        </is>
      </c>
      <c r="H525" s="1" t="n">
        <v>43612</v>
      </c>
      <c r="I525" s="1" t="n">
        <v>43614</v>
      </c>
      <c r="J525" t="inlineStr">
        <is>
          <t>Montreal, Quebec, Canada</t>
        </is>
      </c>
      <c r="K525" t="inlineStr">
        <is>
          <t>Montréal, Québec, Canada</t>
        </is>
      </c>
      <c r="P525" t="n">
        <v>0</v>
      </c>
      <c r="Q525" t="n">
        <v>354.79</v>
      </c>
      <c r="R525" t="n">
        <v>284.41</v>
      </c>
      <c r="S525" t="n">
        <v>176.5</v>
      </c>
      <c r="T525" t="n">
        <v>5.25</v>
      </c>
      <c r="U525" t="n">
        <v>820.95</v>
      </c>
      <c r="V525" t="inlineStr">
        <is>
          <t>HRG STS hotel booking fee of $5.25 in Other expenses</t>
        </is>
      </c>
      <c r="W525" t="inlineStr">
        <is>
          <t>Frais de réservation d’hôtel HRG SVP de 5,25 $ en Autres dépenses</t>
        </is>
      </c>
      <c r="X525" t="inlineStr">
        <is>
          <t>atssc-scdata</t>
        </is>
      </c>
      <c r="Y525" t="inlineStr">
        <is>
          <t>Administrative Tribunals Support Service of Canada | Service canadien d'appui aux tribunaux administratifs</t>
        </is>
      </c>
    </row>
    <row r="526">
      <c r="A526" t="inlineStr">
        <is>
          <t>T-2019-P5-001</t>
        </is>
      </c>
      <c r="B526" t="inlineStr">
        <is>
          <t>SLE</t>
        </is>
      </c>
      <c r="C526" t="inlineStr">
        <is>
          <t>Chairperson</t>
        </is>
      </c>
      <c r="D526" t="inlineStr">
        <is>
          <t>Présidente</t>
        </is>
      </c>
      <c r="E526" t="inlineStr">
        <is>
          <t>Brazeau, Ginette</t>
        </is>
      </c>
      <c r="F526" t="inlineStr">
        <is>
          <t>Attend the Association of Labor Relations Agencies (ALRA) Conference</t>
        </is>
      </c>
      <c r="G526" t="inlineStr">
        <is>
          <t>Assister à la Conférence Association of Labor Relations Agencies (ALRA)</t>
        </is>
      </c>
      <c r="H526" s="1" t="n">
        <v>43665</v>
      </c>
      <c r="I526" s="1" t="n">
        <v>43671</v>
      </c>
      <c r="J526" t="inlineStr">
        <is>
          <t>Cincinnati, Ohio, United States</t>
        </is>
      </c>
      <c r="K526" t="inlineStr">
        <is>
          <t>Cincinnati, Ohio, États-Unis</t>
        </is>
      </c>
      <c r="P526" t="n">
        <v>689.89</v>
      </c>
      <c r="Q526" t="n">
        <v>224.44</v>
      </c>
      <c r="R526" t="n">
        <v>1124.46</v>
      </c>
      <c r="S526" t="n">
        <v>491.01</v>
      </c>
      <c r="T526" t="n">
        <v>0</v>
      </c>
      <c r="U526" t="n">
        <v>2529.8</v>
      </c>
      <c r="X526" t="inlineStr">
        <is>
          <t>atssc-scdata</t>
        </is>
      </c>
      <c r="Y526" t="inlineStr">
        <is>
          <t>Administrative Tribunals Support Service of Canada | Service canadien d'appui aux tribunaux administratifs</t>
        </is>
      </c>
    </row>
    <row r="527">
      <c r="A527" t="inlineStr">
        <is>
          <t>T-2019-P5-002</t>
        </is>
      </c>
      <c r="B527" t="inlineStr">
        <is>
          <t>SLE</t>
        </is>
      </c>
      <c r="C527" t="inlineStr">
        <is>
          <t>Acting Executive Director</t>
        </is>
      </c>
      <c r="D527" t="inlineStr">
        <is>
          <t>Directeur executive par interim</t>
        </is>
      </c>
      <c r="E527" t="inlineStr">
        <is>
          <t>Tardif, Jean-Daniel</t>
        </is>
      </c>
      <c r="F527" t="inlineStr">
        <is>
          <t>Acting Executive Director travel to support sound internal organizational governance</t>
        </is>
      </c>
      <c r="G527" t="inlineStr">
        <is>
          <t>Directeur executif par interim - voyage à Ottawa pour appuyer une bonne gouvernance organisationnelle</t>
        </is>
      </c>
      <c r="H527" s="1" t="n">
        <v>43654</v>
      </c>
      <c r="I527" s="1" t="n">
        <v>43664</v>
      </c>
      <c r="J527" t="inlineStr">
        <is>
          <t>Ottawa, Ontario, Canada</t>
        </is>
      </c>
      <c r="K527" t="inlineStr">
        <is>
          <t>Ottawa, Ontario, Canada</t>
        </is>
      </c>
      <c r="P527" t="n">
        <v>0</v>
      </c>
      <c r="Q527" t="n">
        <v>498.5</v>
      </c>
      <c r="R527" t="n">
        <v>2056.6</v>
      </c>
      <c r="S527" t="n">
        <v>948.45</v>
      </c>
      <c r="T527" t="n">
        <v>0</v>
      </c>
      <c r="U527" t="n">
        <v>3503.55</v>
      </c>
      <c r="X527" t="inlineStr">
        <is>
          <t>atssc-scdata</t>
        </is>
      </c>
      <c r="Y527" t="inlineStr">
        <is>
          <t>Administrative Tribunals Support Service of Canada | Service canadien d'appui aux tribunaux administratifs</t>
        </is>
      </c>
    </row>
    <row r="528">
      <c r="A528" t="inlineStr">
        <is>
          <t>T-2019-P5-003</t>
        </is>
      </c>
      <c r="B528" t="inlineStr">
        <is>
          <t>SLE</t>
        </is>
      </c>
      <c r="C528" t="inlineStr">
        <is>
          <t>Acting Executive Director</t>
        </is>
      </c>
      <c r="D528" t="inlineStr">
        <is>
          <t>Directeur executive par interim</t>
        </is>
      </c>
      <c r="E528" t="inlineStr">
        <is>
          <t>Tardif, Jean-Daniel</t>
        </is>
      </c>
      <c r="F528" t="inlineStr">
        <is>
          <t>Attend the Association of Labor Relations Agencies (ALRA) Conference</t>
        </is>
      </c>
      <c r="G528" t="inlineStr">
        <is>
          <t>Assister à la Conférence Association of Labor Relations Agencies (ALRA)</t>
        </is>
      </c>
      <c r="H528" s="1" t="n">
        <v>43666</v>
      </c>
      <c r="I528" s="1" t="n">
        <v>43669</v>
      </c>
      <c r="J528" t="inlineStr">
        <is>
          <t>Cincinnati, Ohio, United States</t>
        </is>
      </c>
      <c r="K528" t="inlineStr">
        <is>
          <t>Cincinnati, Ohio, États-Unis</t>
        </is>
      </c>
      <c r="P528" t="n">
        <v>912.16</v>
      </c>
      <c r="Q528" t="n">
        <v>159.7</v>
      </c>
      <c r="R528" t="n">
        <v>893.26</v>
      </c>
      <c r="S528" t="n">
        <v>380.63</v>
      </c>
      <c r="T528" t="n">
        <v>0</v>
      </c>
      <c r="U528" t="n">
        <v>2345.75</v>
      </c>
      <c r="X528" t="inlineStr">
        <is>
          <t>atssc-scdata</t>
        </is>
      </c>
      <c r="Y528" t="inlineStr">
        <is>
          <t>Administrative Tribunals Support Service of Canada | Service canadien d'appui aux tribunaux administratifs</t>
        </is>
      </c>
    </row>
    <row r="529">
      <c r="A529" t="inlineStr">
        <is>
          <t>T-2019-P5-004</t>
        </is>
      </c>
      <c r="B529" t="inlineStr">
        <is>
          <t>SLE</t>
        </is>
      </c>
      <c r="C529" t="inlineStr">
        <is>
          <t>Acting Executive Director</t>
        </is>
      </c>
      <c r="D529" t="inlineStr">
        <is>
          <t>Directeur executive par interim</t>
        </is>
      </c>
      <c r="E529" t="inlineStr">
        <is>
          <t>Tardif, Jean-Daniel</t>
        </is>
      </c>
      <c r="F529" t="inlineStr">
        <is>
          <t>Acting Executive Director travel to support sound internal organizational governance</t>
        </is>
      </c>
      <c r="G529" t="inlineStr">
        <is>
          <t>Directeur executif par interim - voyage à Ottawa pour appuyer une bonne gouvernance organisationnelle</t>
        </is>
      </c>
      <c r="H529" s="1" t="n">
        <v>43674</v>
      </c>
      <c r="I529" s="1" t="n">
        <v>43679</v>
      </c>
      <c r="J529" t="inlineStr">
        <is>
          <t>Ottawa, Ontario, Canada</t>
        </is>
      </c>
      <c r="K529" t="inlineStr">
        <is>
          <t>Ottawa, Ontario, Canada</t>
        </is>
      </c>
      <c r="P529" t="n">
        <v>0</v>
      </c>
      <c r="Q529" t="n">
        <v>357.25</v>
      </c>
      <c r="R529" t="n">
        <v>1028.3</v>
      </c>
      <c r="S529" t="n">
        <v>457.55</v>
      </c>
      <c r="T529" t="n">
        <v>0</v>
      </c>
      <c r="U529" t="n">
        <v>1843.1</v>
      </c>
      <c r="X529" t="inlineStr">
        <is>
          <t>atssc-scdata</t>
        </is>
      </c>
      <c r="Y529" t="inlineStr">
        <is>
          <t>Administrative Tribunals Support Service of Canada | Service canadien d'appui aux tribunaux administratifs</t>
        </is>
      </c>
    </row>
    <row r="530">
      <c r="A530" t="inlineStr">
        <is>
          <t>T-2019-P5-005</t>
        </is>
      </c>
      <c r="B530" t="inlineStr">
        <is>
          <t>SLE</t>
        </is>
      </c>
      <c r="C530" t="inlineStr">
        <is>
          <t>Chairperson</t>
        </is>
      </c>
      <c r="D530" t="inlineStr">
        <is>
          <t>Président</t>
        </is>
      </c>
      <c r="E530" t="inlineStr">
        <is>
          <t>Thomas, David</t>
        </is>
      </c>
      <c r="F530" t="inlineStr">
        <is>
          <t>Attend Mediation : T2365/2419</t>
        </is>
      </c>
      <c r="G530" t="inlineStr">
        <is>
          <t>Assister à une médiation : T2365/2419</t>
        </is>
      </c>
      <c r="H530" s="1" t="n">
        <v>43662</v>
      </c>
      <c r="I530" s="1" t="n">
        <v>43674</v>
      </c>
      <c r="J530" t="inlineStr">
        <is>
          <t>Vancouver, British Columbia, Canada</t>
        </is>
      </c>
      <c r="K530" t="inlineStr">
        <is>
          <t>Vancouver, Colombie-Britannique, Canada</t>
        </is>
      </c>
      <c r="P530" t="n">
        <v>881.25</v>
      </c>
      <c r="Q530" t="n">
        <v>191.94</v>
      </c>
      <c r="R530" t="n">
        <v>150</v>
      </c>
      <c r="S530" t="n">
        <v>325.65</v>
      </c>
      <c r="T530" t="n">
        <v>0</v>
      </c>
      <c r="U530" t="n">
        <v>1548.84</v>
      </c>
      <c r="V530" t="inlineStr">
        <is>
          <t>Hearing held in Fort Nelson was cancelled  - Central Mountain Air full Credit of $914.81</t>
        </is>
      </c>
      <c r="W530" t="inlineStr">
        <is>
          <t xml:space="preserve">Audiance à Fort Nelson à été annulée - Crédit de 914.81$ de Central Mountain Air </t>
        </is>
      </c>
      <c r="X530" t="inlineStr">
        <is>
          <t>atssc-scdata</t>
        </is>
      </c>
      <c r="Y530" t="inlineStr">
        <is>
          <t>Administrative Tribunals Support Service of Canada | Service canadien d'appui aux tribunaux administratifs</t>
        </is>
      </c>
    </row>
    <row r="531">
      <c r="A531" t="inlineStr">
        <is>
          <t>T-2019-P5-006</t>
        </is>
      </c>
      <c r="B531" t="inlineStr">
        <is>
          <t>SLE</t>
        </is>
      </c>
      <c r="C531" t="inlineStr">
        <is>
          <t>Acting Executive Director</t>
        </is>
      </c>
      <c r="D531" t="inlineStr">
        <is>
          <t>Directrice executive par interim</t>
        </is>
      </c>
      <c r="E531" t="inlineStr">
        <is>
          <t>Zawadowsky, Natalie</t>
        </is>
      </c>
      <c r="F531" t="inlineStr">
        <is>
          <t>Acting Executive Director travel to support sound internal organizational governance</t>
        </is>
      </c>
      <c r="G531" t="inlineStr">
        <is>
          <t>Directrice executif par interim - voyage à Ottawa pour appuyer une bonne gouvernance organisationnelle</t>
        </is>
      </c>
      <c r="H531" s="1" t="n">
        <v>43683</v>
      </c>
      <c r="I531" s="1" t="n">
        <v>43686</v>
      </c>
      <c r="J531" t="inlineStr">
        <is>
          <t>Ottawa, Ontario, Canada</t>
        </is>
      </c>
      <c r="K531" t="inlineStr">
        <is>
          <t>Ottawa, Ontario, Canada</t>
        </is>
      </c>
      <c r="P531" t="n">
        <v>562.7</v>
      </c>
      <c r="Q531" t="n">
        <v>117.61</v>
      </c>
      <c r="R531" t="n">
        <v>533.04</v>
      </c>
      <c r="S531" t="n">
        <v>434.2</v>
      </c>
      <c r="T531" t="n">
        <v>0</v>
      </c>
      <c r="U531" t="n">
        <v>1647.55</v>
      </c>
      <c r="X531" t="inlineStr">
        <is>
          <t>atssc-scdata</t>
        </is>
      </c>
      <c r="Y531" t="inlineStr">
        <is>
          <t>Administrative Tribunals Support Service of Canada | Service canadien d'appui aux tribunaux administratifs</t>
        </is>
      </c>
    </row>
    <row r="532">
      <c r="A532" t="inlineStr">
        <is>
          <t>T-2019-P5-007</t>
        </is>
      </c>
      <c r="B532" t="inlineStr">
        <is>
          <t>SLE</t>
        </is>
      </c>
      <c r="C532" t="inlineStr">
        <is>
          <t>Acting Executive Director</t>
        </is>
      </c>
      <c r="D532" t="inlineStr">
        <is>
          <t>Directrice executive par interim</t>
        </is>
      </c>
      <c r="E532" t="inlineStr">
        <is>
          <t>Zawadowsky, Natalie</t>
        </is>
      </c>
      <c r="F532" t="inlineStr">
        <is>
          <t>Acting Executive Director travel to support sound internal organizational governance</t>
        </is>
      </c>
      <c r="G532" t="inlineStr">
        <is>
          <t>Directrice executif par interim - voyage à Ottawa pour appuyer une bonne gouvernance organisationnelle</t>
        </is>
      </c>
      <c r="H532" s="1" t="n">
        <v>43689</v>
      </c>
      <c r="I532" s="1" t="n">
        <v>43693</v>
      </c>
      <c r="J532" t="inlineStr">
        <is>
          <t>Ottawa, Ontario, Canada</t>
        </is>
      </c>
      <c r="K532" t="inlineStr">
        <is>
          <t>Ottawa, Ontario, Canada</t>
        </is>
      </c>
      <c r="P532" t="n">
        <v>810.3</v>
      </c>
      <c r="Q532" t="n">
        <v>118</v>
      </c>
      <c r="R532" t="n">
        <v>800.85</v>
      </c>
      <c r="S532" t="n">
        <v>492.1</v>
      </c>
      <c r="T532" t="n">
        <v>0</v>
      </c>
      <c r="U532" t="n">
        <v>2221.25</v>
      </c>
      <c r="X532" t="inlineStr">
        <is>
          <t>atssc-scdata</t>
        </is>
      </c>
      <c r="Y532" t="inlineStr">
        <is>
          <t>Administrative Tribunals Support Service of Canada | Service canadien d'appui aux tribunaux administratifs</t>
        </is>
      </c>
    </row>
    <row r="533">
      <c r="A533" t="inlineStr">
        <is>
          <t>T-2019-P5-008</t>
        </is>
      </c>
      <c r="B533" t="inlineStr">
        <is>
          <t>SLE</t>
        </is>
      </c>
      <c r="C533" t="inlineStr">
        <is>
          <t>Acting Executive Director</t>
        </is>
      </c>
      <c r="D533" t="inlineStr">
        <is>
          <t>Directrice executive par interim</t>
        </is>
      </c>
      <c r="E533" t="inlineStr">
        <is>
          <t>Zawadowsky, Natalie</t>
        </is>
      </c>
      <c r="F533" t="inlineStr">
        <is>
          <t>Acting Executive Director travel to support sound internal organizational governance</t>
        </is>
      </c>
      <c r="G533" t="inlineStr">
        <is>
          <t>Directrice executif par interim - voyage à Ottawa pour appuyer une bonne gouvernance organisationnelle</t>
        </is>
      </c>
      <c r="H533" s="1" t="n">
        <v>43696</v>
      </c>
      <c r="I533" s="1" t="n">
        <v>43698</v>
      </c>
      <c r="J533" t="inlineStr">
        <is>
          <t>Ottawa, Ontario, Canada</t>
        </is>
      </c>
      <c r="K533" t="inlineStr">
        <is>
          <t>Ottawa, Ontario, Canada</t>
        </is>
      </c>
      <c r="P533" t="n">
        <v>796.38</v>
      </c>
      <c r="Q533" t="n">
        <v>116.39</v>
      </c>
      <c r="R533" t="n">
        <v>451.28</v>
      </c>
      <c r="S533" t="n">
        <v>325.65</v>
      </c>
      <c r="T533" t="n">
        <v>0</v>
      </c>
      <c r="U533" t="n">
        <v>1689.7</v>
      </c>
      <c r="X533" t="inlineStr">
        <is>
          <t>atssc-scdata</t>
        </is>
      </c>
      <c r="Y533" t="inlineStr">
        <is>
          <t>Administrative Tribunals Support Service of Canada | Service canadien d'appui aux tribunaux administratifs</t>
        </is>
      </c>
    </row>
    <row r="534">
      <c r="A534" t="inlineStr">
        <is>
          <t>T-2019-P6-0001</t>
        </is>
      </c>
      <c r="B534" t="inlineStr">
        <is>
          <t>SLE</t>
        </is>
      </c>
      <c r="C534" t="inlineStr">
        <is>
          <t>Chairperson</t>
        </is>
      </c>
      <c r="D534" t="inlineStr">
        <is>
          <t>Président</t>
        </is>
      </c>
      <c r="E534" t="inlineStr">
        <is>
          <t xml:space="preserve">Sullivan, Charles </t>
        </is>
      </c>
      <c r="F534" t="inlineStr">
        <is>
          <t>65th AirLine Pilots Association (ALPA) Forum</t>
        </is>
      </c>
      <c r="G534" t="inlineStr">
        <is>
          <t>65e forum du 'Air Line Pilots Association (ALPA)</t>
        </is>
      </c>
      <c r="H534" s="1" t="n">
        <v>43724</v>
      </c>
      <c r="I534" s="1" t="n">
        <v>43727</v>
      </c>
      <c r="J534" t="inlineStr">
        <is>
          <t xml:space="preserve">Washington D.C., United States </t>
        </is>
      </c>
      <c r="K534" t="inlineStr">
        <is>
          <t>Washington D.C., États-Unis</t>
        </is>
      </c>
      <c r="P534" t="n">
        <v>768.58</v>
      </c>
      <c r="Q534" t="n">
        <v>168.81</v>
      </c>
      <c r="R534" t="n">
        <v>927.85</v>
      </c>
      <c r="S534" t="n">
        <v>343.94</v>
      </c>
      <c r="T534" t="n">
        <v>0</v>
      </c>
      <c r="U534" t="n">
        <v>2209.18</v>
      </c>
      <c r="X534" t="inlineStr">
        <is>
          <t>atssc-scdata</t>
        </is>
      </c>
      <c r="Y534" t="inlineStr">
        <is>
          <t>Administrative Tribunals Support Service of Canada | Service canadien d'appui aux tribunaux administratifs</t>
        </is>
      </c>
    </row>
    <row r="535">
      <c r="A535" t="inlineStr">
        <is>
          <t>T-2019-P6-0002</t>
        </is>
      </c>
      <c r="B535" t="inlineStr">
        <is>
          <t>SLE</t>
        </is>
      </c>
      <c r="C535" t="inlineStr">
        <is>
          <t>Chairperson</t>
        </is>
      </c>
      <c r="D535" t="inlineStr">
        <is>
          <t>Président</t>
        </is>
      </c>
      <c r="E535" t="inlineStr">
        <is>
          <t>Thomas, David</t>
        </is>
      </c>
      <c r="F535" t="inlineStr">
        <is>
          <t xml:space="preserve">Mediation : T2365/2419 </t>
        </is>
      </c>
      <c r="G535" t="inlineStr">
        <is>
          <t xml:space="preserve">Médiation : T2365/2419 </t>
        </is>
      </c>
      <c r="H535" s="1" t="n">
        <v>43697</v>
      </c>
      <c r="I535" s="1" t="n">
        <v>43699</v>
      </c>
      <c r="J535" t="inlineStr">
        <is>
          <t>Vancouver, Britsh Columbia, Canada</t>
        </is>
      </c>
      <c r="K535" t="inlineStr">
        <is>
          <t>Vancouver, Colombie-Britannique, Canada</t>
        </is>
      </c>
      <c r="P535" t="n">
        <v>1656.84</v>
      </c>
      <c r="Q535" t="n">
        <v>115.16</v>
      </c>
      <c r="R535" t="n">
        <v>445.44</v>
      </c>
      <c r="S535" t="n">
        <v>305.15</v>
      </c>
      <c r="T535" t="n">
        <v>0</v>
      </c>
      <c r="U535" t="n">
        <v>2522.59</v>
      </c>
      <c r="X535" t="inlineStr">
        <is>
          <t>atssc-scdata</t>
        </is>
      </c>
      <c r="Y535" t="inlineStr">
        <is>
          <t>Administrative Tribunals Support Service of Canada | Service canadien d'appui aux tribunaux administratifs</t>
        </is>
      </c>
    </row>
    <row r="536">
      <c r="A536" t="inlineStr">
        <is>
          <t>T-2019-P6-0003</t>
        </is>
      </c>
      <c r="B536" t="inlineStr">
        <is>
          <t>SLE</t>
        </is>
      </c>
      <c r="C536" t="inlineStr">
        <is>
          <t>Chairperson</t>
        </is>
      </c>
      <c r="D536" t="inlineStr">
        <is>
          <t>Président</t>
        </is>
      </c>
      <c r="E536" t="inlineStr">
        <is>
          <t>Thomas, David</t>
        </is>
      </c>
      <c r="F536" t="inlineStr">
        <is>
          <t>Mediation : T2377/3619</t>
        </is>
      </c>
      <c r="G536" t="inlineStr">
        <is>
          <t xml:space="preserve">Médiation : T2377/3619 </t>
        </is>
      </c>
      <c r="H536" s="1" t="n">
        <v>43719</v>
      </c>
      <c r="I536" s="1" t="n">
        <v>43721</v>
      </c>
      <c r="J536" t="inlineStr">
        <is>
          <t>Toronto, Ontario, Canada</t>
        </is>
      </c>
      <c r="K536" t="inlineStr">
        <is>
          <t>Toronto, Ontario, Canada</t>
        </is>
      </c>
      <c r="P536" t="n">
        <v>516.3200000000001</v>
      </c>
      <c r="Q536" t="n">
        <v>105.48</v>
      </c>
      <c r="R536" t="n">
        <v>467.72</v>
      </c>
      <c r="S536" t="n">
        <v>254.5</v>
      </c>
      <c r="T536" t="n">
        <v>0</v>
      </c>
      <c r="U536" t="n">
        <v>1344.02</v>
      </c>
      <c r="X536" t="inlineStr">
        <is>
          <t>atssc-scdata</t>
        </is>
      </c>
      <c r="Y536" t="inlineStr">
        <is>
          <t>Administrative Tribunals Support Service of Canada | Service canadien d'appui aux tribunaux administratifs</t>
        </is>
      </c>
    </row>
    <row r="537">
      <c r="A537" t="inlineStr">
        <is>
          <t>T-2019-P6-0004</t>
        </is>
      </c>
      <c r="B537" t="inlineStr">
        <is>
          <t>SLE</t>
        </is>
      </c>
      <c r="C537" t="inlineStr">
        <is>
          <t>Acting Executive Director</t>
        </is>
      </c>
      <c r="D537" t="inlineStr">
        <is>
          <t>Directrice executive par interim</t>
        </is>
      </c>
      <c r="E537" t="inlineStr">
        <is>
          <t>Zawadowsky, Natalie</t>
        </is>
      </c>
      <c r="F537" t="inlineStr">
        <is>
          <t>Acting Executive Director travel to support sound internal organizational governance</t>
        </is>
      </c>
      <c r="G537" t="inlineStr">
        <is>
          <t>Directrice executive par interim - voyage à Ottawa pour appuyer une bonne gouvernance organisationnelle</t>
        </is>
      </c>
      <c r="H537" s="1" t="n">
        <v>43704</v>
      </c>
      <c r="I537" s="1" t="n">
        <v>43707</v>
      </c>
      <c r="J537" t="inlineStr">
        <is>
          <t>Ottawa, Ontario, Canada</t>
        </is>
      </c>
      <c r="K537" t="inlineStr">
        <is>
          <t>Ottawa, Ontario, Canada</t>
        </is>
      </c>
      <c r="P537" t="n">
        <v>697.9299999999999</v>
      </c>
      <c r="Q537" t="n">
        <v>108.1</v>
      </c>
      <c r="R537" t="n">
        <v>543.62</v>
      </c>
      <c r="S537" t="n">
        <v>434.2</v>
      </c>
      <c r="T537" t="n">
        <v>0</v>
      </c>
      <c r="U537" t="n">
        <v>1783.85</v>
      </c>
      <c r="X537" t="inlineStr">
        <is>
          <t>atssc-scdata</t>
        </is>
      </c>
      <c r="Y537" t="inlineStr">
        <is>
          <t>Administrative Tribunals Support Service of Canada | Service canadien d'appui aux tribunaux administratifs</t>
        </is>
      </c>
    </row>
    <row r="538">
      <c r="A538" t="inlineStr">
        <is>
          <t>T-2019-P7-001</t>
        </is>
      </c>
      <c r="B538" t="inlineStr">
        <is>
          <t>SLE</t>
        </is>
      </c>
      <c r="C538" t="inlineStr">
        <is>
          <t>Executive Director and General Counsel, Federal Public Sector Labour Relations and Employment Board</t>
        </is>
      </c>
      <c r="D538" t="inlineStr">
        <is>
          <t>Directrice éxecutive et avocate générale, Commission des relations de travail et de l’emploi dans le secteur public fédéral</t>
        </is>
      </c>
      <c r="E538" t="inlineStr">
        <is>
          <t>Adamson, Virginia</t>
        </is>
      </c>
      <c r="F538" t="inlineStr">
        <is>
          <t>2019 Annual Meeting of Labour Board Chairs and Administrators</t>
        </is>
      </c>
      <c r="G538" t="inlineStr">
        <is>
          <t>Assemblée annuelle des présidents et administrateurs du conseil du travail de 2019</t>
        </is>
      </c>
      <c r="H538" s="1" t="n">
        <v>43731</v>
      </c>
      <c r="I538" s="1" t="n">
        <v>43734</v>
      </c>
      <c r="J538" t="inlineStr">
        <is>
          <t>St-John's Newfoundland, Canada</t>
        </is>
      </c>
      <c r="K538" t="inlineStr">
        <is>
          <t>St-John's Terre-Neuve, Canada</t>
        </is>
      </c>
      <c r="P538" t="n">
        <v>867.15</v>
      </c>
      <c r="Q538" t="n">
        <v>71.84999999999999</v>
      </c>
      <c r="R538" t="n">
        <v>378.42</v>
      </c>
      <c r="S538" t="n">
        <v>213.5</v>
      </c>
      <c r="T538" t="n">
        <v>0</v>
      </c>
      <c r="U538" t="n">
        <v>1530.92</v>
      </c>
      <c r="X538" t="inlineStr">
        <is>
          <t>atssc-scdata</t>
        </is>
      </c>
      <c r="Y538" t="inlineStr">
        <is>
          <t>Administrative Tribunals Support Service of Canada | Service canadien d'appui aux tribunaux administratifs</t>
        </is>
      </c>
    </row>
    <row r="539">
      <c r="A539" t="inlineStr">
        <is>
          <t>T-2019-P7-002</t>
        </is>
      </c>
      <c r="B539" t="inlineStr">
        <is>
          <t>SLE</t>
        </is>
      </c>
      <c r="C539" t="inlineStr">
        <is>
          <t>Chairperson, Canada Agricultural Review Tribunal of Canada</t>
        </is>
      </c>
      <c r="D539" t="inlineStr">
        <is>
          <t>Président, Commission de révision agricole du Canada</t>
        </is>
      </c>
      <c r="E539" t="inlineStr">
        <is>
          <t>Bélanger, Luc</t>
        </is>
      </c>
      <c r="F539" t="inlineStr">
        <is>
          <t>Work meeting with a member of the "Conseil des appellations réservées et des termes valorisants (CARTV)", the President of the Financial Markets Administrative Tribunal and a representative of McGill University</t>
        </is>
      </c>
      <c r="G539" t="inlineStr">
        <is>
          <t>Rencontre de travail avec un membre du Conseil des appellations réservées et des termes valorisants (CARTV), la présidente du Tribunal administratif des marchés financiers et un représantant de l'Université McGill</t>
        </is>
      </c>
      <c r="H539" s="1" t="n">
        <v>43719</v>
      </c>
      <c r="I539" s="1" t="n">
        <v>43721</v>
      </c>
      <c r="J539" t="inlineStr">
        <is>
          <t>Montreal, Qc, Canada</t>
        </is>
      </c>
      <c r="K539" t="inlineStr">
        <is>
          <t>Montréal, Québec, Canada</t>
        </is>
      </c>
      <c r="P539" t="n">
        <v>0</v>
      </c>
      <c r="Q539" t="n">
        <v>346.47</v>
      </c>
      <c r="R539" t="n">
        <v>473.64</v>
      </c>
      <c r="S539" t="n">
        <v>305.15</v>
      </c>
      <c r="T539" t="n">
        <v>0</v>
      </c>
      <c r="U539" t="n">
        <v>1125.26</v>
      </c>
      <c r="X539" t="inlineStr">
        <is>
          <t>atssc-scdata</t>
        </is>
      </c>
      <c r="Y539" t="inlineStr">
        <is>
          <t>Administrative Tribunals Support Service of Canada | Service canadien d'appui aux tribunaux administratifs</t>
        </is>
      </c>
    </row>
    <row r="540">
      <c r="A540" t="inlineStr">
        <is>
          <t>T-2019-P7-003</t>
        </is>
      </c>
      <c r="B540" t="inlineStr">
        <is>
          <t>SLE</t>
        </is>
      </c>
      <c r="C540" t="inlineStr">
        <is>
          <t>Chairperson, Canada Agricultural Review Tribunal of Canada</t>
        </is>
      </c>
      <c r="D540" t="inlineStr">
        <is>
          <t>Président, Commission de révision agricole du Canada</t>
        </is>
      </c>
      <c r="E540" t="inlineStr">
        <is>
          <t>Bélanger, Luc</t>
        </is>
      </c>
      <c r="F540" t="inlineStr">
        <is>
          <t>Meeting with members and meeting with the Vice-Dean of the Faculty of Law</t>
        </is>
      </c>
      <c r="G540" t="inlineStr">
        <is>
          <t>Rencontre de travail avec des membres et rencontre avec le Vice-doyen de la faculté de droit</t>
        </is>
      </c>
      <c r="H540" s="1" t="n">
        <v>43733</v>
      </c>
      <c r="I540" s="1" t="n">
        <v>43736</v>
      </c>
      <c r="J540" t="inlineStr">
        <is>
          <t>Quebec, Quebec, Canada</t>
        </is>
      </c>
      <c r="K540" t="inlineStr">
        <is>
          <t>Québec, Québec, Canada</t>
        </is>
      </c>
      <c r="P540" t="n">
        <v>0</v>
      </c>
      <c r="Q540" t="n">
        <v>648.4400000000001</v>
      </c>
      <c r="R540" t="n">
        <v>710.49</v>
      </c>
      <c r="S540" t="n">
        <v>383.55</v>
      </c>
      <c r="T540" t="n">
        <v>0</v>
      </c>
      <c r="U540" t="n">
        <v>1742.48</v>
      </c>
      <c r="X540" t="inlineStr">
        <is>
          <t>atssc-scdata</t>
        </is>
      </c>
      <c r="Y540" t="inlineStr">
        <is>
          <t>Administrative Tribunals Support Service of Canada | Service canadien d'appui aux tribunaux administratifs</t>
        </is>
      </c>
    </row>
    <row r="541">
      <c r="A541" t="inlineStr">
        <is>
          <t>T-2019-P7-004</t>
        </is>
      </c>
      <c r="B541" t="inlineStr">
        <is>
          <t>SLE</t>
        </is>
      </c>
      <c r="C541" t="inlineStr">
        <is>
          <t>Chairperson, Canada Agricultural Review Tribunal of Canada</t>
        </is>
      </c>
      <c r="D541" t="inlineStr">
        <is>
          <t>Président, Commission de révision agricole du Canada</t>
        </is>
      </c>
      <c r="E541" t="inlineStr">
        <is>
          <t>Bélanger, Luc</t>
        </is>
      </c>
      <c r="F541" t="inlineStr">
        <is>
          <t>Working meeting with a member of the Tribunal</t>
        </is>
      </c>
      <c r="G541" t="inlineStr">
        <is>
          <t>Rencontre de travail avec une membre de la Commission</t>
        </is>
      </c>
      <c r="H541" s="1" t="n">
        <v>43759</v>
      </c>
      <c r="I541" s="1" t="n">
        <v>43761</v>
      </c>
      <c r="J541" t="inlineStr">
        <is>
          <t>Saskatoon, Saskatchewan, Canada</t>
        </is>
      </c>
      <c r="K541" t="inlineStr">
        <is>
          <t>Saskatoon, Saskatchewan, Canada</t>
        </is>
      </c>
      <c r="P541" t="n">
        <v>945.3099999999999</v>
      </c>
      <c r="Q541" t="n">
        <v>155.03</v>
      </c>
      <c r="R541" t="n">
        <v>352.14</v>
      </c>
      <c r="S541" t="n">
        <v>325.65</v>
      </c>
      <c r="T541" t="n">
        <v>0</v>
      </c>
      <c r="U541" t="n">
        <v>1778.13</v>
      </c>
      <c r="X541" t="inlineStr">
        <is>
          <t>atssc-scdata</t>
        </is>
      </c>
      <c r="Y541" t="inlineStr">
        <is>
          <t>Administrative Tribunals Support Service of Canada | Service canadien d'appui aux tribunaux administratifs</t>
        </is>
      </c>
    </row>
    <row r="542">
      <c r="A542" t="inlineStr">
        <is>
          <t>T-2019-P7-005</t>
        </is>
      </c>
      <c r="B542" t="inlineStr">
        <is>
          <t>SLE</t>
        </is>
      </c>
      <c r="C542" t="inlineStr">
        <is>
          <t>Chairperson, Canada Industrial Relations Board</t>
        </is>
      </c>
      <c r="D542" t="inlineStr">
        <is>
          <t>Présidente, Conseil canadien des relations industrielles</t>
        </is>
      </c>
      <c r="E542" t="inlineStr">
        <is>
          <t>Brazeau, Ginette</t>
        </is>
      </c>
      <c r="F542" t="inlineStr">
        <is>
          <t xml:space="preserve">2019 International Forum of Labour and Employment Dispute Resolution Agencies </t>
        </is>
      </c>
      <c r="G542" t="inlineStr">
        <is>
          <t>Forum international des agences de résolution des conflits du travail et de l'emploi de 2019</t>
        </is>
      </c>
      <c r="H542" s="1" t="n">
        <v>43723</v>
      </c>
      <c r="I542" s="1" t="n">
        <v>43726</v>
      </c>
      <c r="J542" t="inlineStr">
        <is>
          <t>Qubec City, Quebec, Canada</t>
        </is>
      </c>
      <c r="K542" t="inlineStr">
        <is>
          <t>Québec, Québec, Canada</t>
        </is>
      </c>
      <c r="P542" t="n">
        <v>0</v>
      </c>
      <c r="Q542" t="n">
        <v>320.76</v>
      </c>
      <c r="R542" t="n">
        <v>1148.35</v>
      </c>
      <c r="S542" t="n">
        <v>51.9</v>
      </c>
      <c r="T542" t="n">
        <v>0</v>
      </c>
      <c r="U542" t="n">
        <v>1521.01</v>
      </c>
      <c r="X542" t="inlineStr">
        <is>
          <t>atssc-scdata</t>
        </is>
      </c>
      <c r="Y542" t="inlineStr">
        <is>
          <t>Administrative Tribunals Support Service of Canada | Service canadien d'appui aux tribunaux administratifs</t>
        </is>
      </c>
    </row>
    <row r="543">
      <c r="A543" t="inlineStr">
        <is>
          <t>T-2019-P7-006</t>
        </is>
      </c>
      <c r="B543" t="inlineStr">
        <is>
          <t>SLE</t>
        </is>
      </c>
      <c r="C543" t="inlineStr">
        <is>
          <t>Chairperson, Canada Industrial Relations Board</t>
        </is>
      </c>
      <c r="D543" t="inlineStr">
        <is>
          <t>Présidente, Conseil canadien des relations industrielles</t>
        </is>
      </c>
      <c r="E543" t="inlineStr">
        <is>
          <t>Brazeau, Ginette</t>
        </is>
      </c>
      <c r="F543" t="inlineStr">
        <is>
          <t>2019 Annual Meeting of Labour Board Chairs and Administrators</t>
        </is>
      </c>
      <c r="G543" t="inlineStr">
        <is>
          <t>Assemblée annuelle des présidents et administrateurs du conseil du travail de 2019</t>
        </is>
      </c>
      <c r="H543" s="1" t="n">
        <v>43732</v>
      </c>
      <c r="I543" s="1" t="n">
        <v>43734</v>
      </c>
      <c r="J543" t="inlineStr">
        <is>
          <t>St-John's Newfoundland, Canada</t>
        </is>
      </c>
      <c r="K543" t="inlineStr">
        <is>
          <t>St-John's Terre-Neuve, Canada</t>
        </is>
      </c>
      <c r="P543" t="n">
        <v>639</v>
      </c>
      <c r="Q543" t="n">
        <v>904.83</v>
      </c>
      <c r="R543" t="n">
        <v>539.62</v>
      </c>
      <c r="S543" t="n">
        <v>213.9</v>
      </c>
      <c r="T543" t="n">
        <v>0</v>
      </c>
      <c r="U543" t="n">
        <v>2297.35</v>
      </c>
      <c r="V543" t="inlineStr">
        <is>
          <t>A credit of $473.69 was used to book this trip
Un crédit de 473,69$ a été utilisé pour ce voyage</t>
        </is>
      </c>
      <c r="X543" t="inlineStr">
        <is>
          <t>atssc-scdata</t>
        </is>
      </c>
      <c r="Y543" t="inlineStr">
        <is>
          <t>Administrative Tribunals Support Service of Canada | Service canadien d'appui aux tribunaux administratifs</t>
        </is>
      </c>
    </row>
    <row r="544">
      <c r="A544" t="inlineStr">
        <is>
          <t>T-2019-P7-007</t>
        </is>
      </c>
      <c r="B544" t="inlineStr">
        <is>
          <t>SLE</t>
        </is>
      </c>
      <c r="C544" t="inlineStr">
        <is>
          <t>Chairperson, Canada Industrial Relations Board</t>
        </is>
      </c>
      <c r="D544" t="inlineStr">
        <is>
          <t>Présidente, Conseil canadien des relations industrielles</t>
        </is>
      </c>
      <c r="E544" t="inlineStr">
        <is>
          <t>Brazeau, Ginette</t>
        </is>
      </c>
      <c r="F544" t="inlineStr">
        <is>
          <t>Association of Labor Relations Agencies (ALRA) Meeting</t>
        </is>
      </c>
      <c r="G544" t="inlineStr">
        <is>
          <t>Rencontre de "Association of Labor Relations Agencies (ALRA)"</t>
        </is>
      </c>
      <c r="H544" s="1" t="n">
        <v>43756</v>
      </c>
      <c r="I544" s="1" t="n">
        <v>43761</v>
      </c>
      <c r="J544" t="inlineStr">
        <is>
          <t>New York, New York, United States</t>
        </is>
      </c>
      <c r="K544" t="inlineStr">
        <is>
          <t>New York, New York, États-Unis</t>
        </is>
      </c>
      <c r="P544" t="n">
        <v>476.72</v>
      </c>
      <c r="Q544" t="n">
        <v>122.1</v>
      </c>
      <c r="R544" t="n">
        <v>931.13</v>
      </c>
      <c r="S544" t="n">
        <v>222.26</v>
      </c>
      <c r="T544" t="n">
        <v>0</v>
      </c>
      <c r="U544" t="n">
        <v>1752.21</v>
      </c>
      <c r="X544" t="inlineStr">
        <is>
          <t>atssc-scdata</t>
        </is>
      </c>
      <c r="Y544" t="inlineStr">
        <is>
          <t>Administrative Tribunals Support Service of Canada | Service canadien d'appui aux tribunaux administratifs</t>
        </is>
      </c>
    </row>
    <row r="545">
      <c r="A545" t="inlineStr">
        <is>
          <t>T-2019-P7-008</t>
        </is>
      </c>
      <c r="B545" t="inlineStr">
        <is>
          <t>SLE</t>
        </is>
      </c>
      <c r="C545" t="inlineStr">
        <is>
          <t>Chairperson, Canadian Cultural Property Export Review Board</t>
        </is>
      </c>
      <c r="D545" t="inlineStr">
        <is>
          <t>Présidente, Commission canadienne d'examen des exportations de biens culturels</t>
        </is>
      </c>
      <c r="E545" t="inlineStr">
        <is>
          <t>Ingram, Sharilyn</t>
        </is>
      </c>
      <c r="F545" t="inlineStr">
        <is>
          <t>Attend the Triennial Conference of the International Council of Museums</t>
        </is>
      </c>
      <c r="G545" t="inlineStr">
        <is>
          <t>Participer à la conférence triennale du Conseil international des musées</t>
        </is>
      </c>
      <c r="H545" s="1" t="n">
        <v>43704</v>
      </c>
      <c r="I545" s="1" t="n">
        <v>43714</v>
      </c>
      <c r="J545" t="inlineStr">
        <is>
          <t>Kyoto, Japan</t>
        </is>
      </c>
      <c r="K545" t="inlineStr">
        <is>
          <t>Kyoto, Japon</t>
        </is>
      </c>
      <c r="P545" t="n">
        <v>2083.4</v>
      </c>
      <c r="Q545" t="n">
        <v>184.58</v>
      </c>
      <c r="R545" t="n">
        <v>1709.73</v>
      </c>
      <c r="S545" t="n">
        <v>1013.77</v>
      </c>
      <c r="T545" t="n">
        <v>540.71</v>
      </c>
      <c r="U545" t="n">
        <v>5532.19</v>
      </c>
      <c r="X545" t="inlineStr">
        <is>
          <t>atssc-scdata</t>
        </is>
      </c>
      <c r="Y545" t="inlineStr">
        <is>
          <t>Administrative Tribunals Support Service of Canada | Service canadien d'appui aux tribunaux administratifs</t>
        </is>
      </c>
    </row>
    <row r="546">
      <c r="A546" t="inlineStr">
        <is>
          <t>T-2019-P7-009</t>
        </is>
      </c>
      <c r="B546" t="inlineStr">
        <is>
          <t>SLE</t>
        </is>
      </c>
      <c r="C546" t="inlineStr">
        <is>
          <t>Chairperson, Canadian Cultural Property Export Review Board</t>
        </is>
      </c>
      <c r="D546" t="inlineStr">
        <is>
          <t>Présidente, Commission canadienne d'examen des exportations de biens culturels</t>
        </is>
      </c>
      <c r="E546" t="inlineStr">
        <is>
          <t>Ingram, Sharilyn</t>
        </is>
      </c>
      <c r="F546" t="inlineStr">
        <is>
          <t>Attend a meeting with Lawyers and Stakeholders</t>
        </is>
      </c>
      <c r="G546" t="inlineStr">
        <is>
          <t>Assister à une réunion avec des avocats et des intervenants</t>
        </is>
      </c>
      <c r="H546" s="1" t="n">
        <v>43726</v>
      </c>
      <c r="I546" s="1" t="n">
        <v>43727</v>
      </c>
      <c r="J546" t="inlineStr">
        <is>
          <t>Toronto, Ontario, Canada</t>
        </is>
      </c>
      <c r="K546" t="inlineStr">
        <is>
          <t>Toronto, Ontario, Canada</t>
        </is>
      </c>
      <c r="P546" t="n">
        <v>0</v>
      </c>
      <c r="Q546" t="n">
        <v>48.78</v>
      </c>
      <c r="R546" t="n">
        <v>233.86</v>
      </c>
      <c r="S546" t="n">
        <v>125.85</v>
      </c>
      <c r="T546" t="n">
        <v>0</v>
      </c>
      <c r="U546" t="n">
        <v>408.49</v>
      </c>
      <c r="X546" t="inlineStr">
        <is>
          <t>atssc-scdata</t>
        </is>
      </c>
      <c r="Y546" t="inlineStr">
        <is>
          <t>Administrative Tribunals Support Service of Canada | Service canadien d'appui aux tribunaux administratifs</t>
        </is>
      </c>
    </row>
    <row r="547">
      <c r="A547" t="inlineStr">
        <is>
          <t>T-2019-P7-010</t>
        </is>
      </c>
      <c r="B547" t="inlineStr">
        <is>
          <t>SLE</t>
        </is>
      </c>
      <c r="C547" t="inlineStr">
        <is>
          <t>Executive Director Canadian Cultural Property Export Review Board</t>
        </is>
      </c>
      <c r="D547" t="inlineStr">
        <is>
          <t>Directrice éxecutive Commission canadienne d'examen des exportations de biens culturels</t>
        </is>
      </c>
      <c r="E547" t="inlineStr">
        <is>
          <t>Kim, Mijin</t>
        </is>
      </c>
      <c r="F547" t="inlineStr">
        <is>
          <t>Attend a meeting with Lawyers and Stakeholders</t>
        </is>
      </c>
      <c r="G547" t="inlineStr">
        <is>
          <t>Assister à une réunion avec des avocats et des intervenants</t>
        </is>
      </c>
      <c r="H547" s="1" t="n">
        <v>43726</v>
      </c>
      <c r="I547" s="1" t="n">
        <v>43727</v>
      </c>
      <c r="J547" t="inlineStr">
        <is>
          <t>Toronto, Ontario, Canada</t>
        </is>
      </c>
      <c r="K547" t="inlineStr">
        <is>
          <t>Toronto, Ontario, Canada</t>
        </is>
      </c>
      <c r="P547" t="n">
        <v>658.15</v>
      </c>
      <c r="Q547" t="n">
        <v>76.59999999999999</v>
      </c>
      <c r="R547" t="n">
        <v>233.86</v>
      </c>
      <c r="S547" t="n">
        <v>125.85</v>
      </c>
      <c r="T547" t="n">
        <v>0</v>
      </c>
      <c r="U547" t="n">
        <v>1094.46</v>
      </c>
      <c r="X547" t="inlineStr">
        <is>
          <t>atssc-scdata</t>
        </is>
      </c>
      <c r="Y547" t="inlineStr">
        <is>
          <t>Administrative Tribunals Support Service of Canada | Service canadien d'appui aux tribunaux administratifs</t>
        </is>
      </c>
    </row>
    <row r="548">
      <c r="A548" t="inlineStr">
        <is>
          <t>T-2019-P7-011</t>
        </is>
      </c>
      <c r="B548" t="inlineStr">
        <is>
          <t>SLE</t>
        </is>
      </c>
      <c r="C548" t="inlineStr">
        <is>
          <t>Chairperson, Canadian Human Rights Tribunal</t>
        </is>
      </c>
      <c r="D548" t="inlineStr">
        <is>
          <t>Président, Tribunal canadien des droits de la personne</t>
        </is>
      </c>
      <c r="E548" t="inlineStr">
        <is>
          <t>Thomas, David</t>
        </is>
      </c>
      <c r="F548" t="inlineStr">
        <is>
          <t>Mediation</t>
        </is>
      </c>
      <c r="G548" t="inlineStr">
        <is>
          <t>Médiation</t>
        </is>
      </c>
      <c r="H548" s="1" t="n">
        <v>43717</v>
      </c>
      <c r="I548" s="1" t="n">
        <v>43719</v>
      </c>
      <c r="J548" t="inlineStr">
        <is>
          <t>Timmins, Ontario, Canada</t>
        </is>
      </c>
      <c r="K548" t="inlineStr">
        <is>
          <t>Timmins, Ontario, Canada</t>
        </is>
      </c>
      <c r="P548" t="n">
        <v>1070.73</v>
      </c>
      <c r="Q548" t="n">
        <v>168.17</v>
      </c>
      <c r="R548" t="n">
        <v>350.2</v>
      </c>
      <c r="S548" t="n">
        <v>234.4</v>
      </c>
      <c r="T548" t="n">
        <v>0</v>
      </c>
      <c r="U548" t="n">
        <v>1823.5</v>
      </c>
      <c r="X548" t="inlineStr">
        <is>
          <t>atssc-scdata</t>
        </is>
      </c>
      <c r="Y548" t="inlineStr">
        <is>
          <t>Administrative Tribunals Support Service of Canada | Service canadien d'appui aux tribunaux administratifs</t>
        </is>
      </c>
    </row>
    <row r="549">
      <c r="A549" t="inlineStr">
        <is>
          <t>T-2019-P7-012</t>
        </is>
      </c>
      <c r="B549" t="inlineStr">
        <is>
          <t>SLE</t>
        </is>
      </c>
      <c r="C549" t="inlineStr">
        <is>
          <t>Chairperson, Canadian Human Rights Tribunal</t>
        </is>
      </c>
      <c r="D549" t="inlineStr">
        <is>
          <t>Président, Tribunal canadien des droits de la personne</t>
        </is>
      </c>
      <c r="E549" t="inlineStr">
        <is>
          <t>Thomas, David</t>
        </is>
      </c>
      <c r="F549" t="inlineStr">
        <is>
          <t>Mediation</t>
        </is>
      </c>
      <c r="G549" t="inlineStr">
        <is>
          <t>Médiation</t>
        </is>
      </c>
      <c r="H549" s="1" t="n">
        <v>43729</v>
      </c>
      <c r="I549" s="1" t="n">
        <v>43731</v>
      </c>
      <c r="J549" t="inlineStr">
        <is>
          <t>Gander, Newfoundland, Canada</t>
        </is>
      </c>
      <c r="K549" t="inlineStr">
        <is>
          <t>Gander, Terre-Neuve, Canada</t>
        </is>
      </c>
      <c r="P549" t="n">
        <v>765.99</v>
      </c>
      <c r="Q549" t="n">
        <v>142.59</v>
      </c>
      <c r="R549" t="n">
        <v>253</v>
      </c>
      <c r="S549" t="n">
        <v>325.65</v>
      </c>
      <c r="T549" t="n">
        <v>0</v>
      </c>
      <c r="U549" t="n">
        <v>1487.23</v>
      </c>
      <c r="X549" t="inlineStr">
        <is>
          <t>atssc-scdata</t>
        </is>
      </c>
      <c r="Y549" t="inlineStr">
        <is>
          <t>Administrative Tribunals Support Service of Canada | Service canadien d'appui aux tribunaux administratifs</t>
        </is>
      </c>
    </row>
    <row r="550">
      <c r="A550" t="inlineStr">
        <is>
          <t>T2019-P8-0001</t>
        </is>
      </c>
      <c r="B550" t="inlineStr">
        <is>
          <t>SLE</t>
        </is>
      </c>
      <c r="C550" t="inlineStr">
        <is>
          <t>Chairperson, Social Security Tribunal of Canada</t>
        </is>
      </c>
      <c r="D550" t="inlineStr">
        <is>
          <t>Président, Tribunal de la sécurité sociale du Canada</t>
        </is>
      </c>
      <c r="E550" t="inlineStr">
        <is>
          <t>Aterman, Paul</t>
        </is>
      </c>
      <c r="F550" t="inlineStr">
        <is>
          <t>Training</t>
        </is>
      </c>
      <c r="G550" t="inlineStr">
        <is>
          <t>Formation</t>
        </is>
      </c>
      <c r="H550" s="1" t="n">
        <v>43766</v>
      </c>
      <c r="I550" s="1" t="n">
        <v>43767</v>
      </c>
      <c r="J550" t="inlineStr">
        <is>
          <t>Toronto, Ontario, Canada</t>
        </is>
      </c>
      <c r="K550" t="inlineStr">
        <is>
          <t>Toronto, Ontario, Canada</t>
        </is>
      </c>
      <c r="P550" t="n">
        <v>328.56</v>
      </c>
      <c r="Q550" t="n">
        <v>80.61</v>
      </c>
      <c r="R550" t="n">
        <v>222.11</v>
      </c>
      <c r="S550" t="n">
        <v>176.65</v>
      </c>
      <c r="T550" t="n">
        <v>0</v>
      </c>
      <c r="U550" t="n">
        <v>807.9299999999999</v>
      </c>
      <c r="X550" t="inlineStr">
        <is>
          <t>atssc-scdata</t>
        </is>
      </c>
      <c r="Y550" t="inlineStr">
        <is>
          <t>Administrative Tribunals Support Service of Canada | Service canadien d'appui aux tribunaux administratifs</t>
        </is>
      </c>
    </row>
    <row r="551">
      <c r="A551" t="inlineStr">
        <is>
          <t>T2019-P8-0002</t>
        </is>
      </c>
      <c r="B551" t="inlineStr">
        <is>
          <t>SLE</t>
        </is>
      </c>
      <c r="C551" t="inlineStr">
        <is>
          <t>Chairperson,  Social Security Tribunal of Canada</t>
        </is>
      </c>
      <c r="D551" t="inlineStr">
        <is>
          <t>Président, Tribunal de la sécurité sociale du Canada</t>
        </is>
      </c>
      <c r="E551" t="inlineStr">
        <is>
          <t>Aterman, Paul</t>
        </is>
      </c>
      <c r="F551" t="inlineStr">
        <is>
          <t>Training</t>
        </is>
      </c>
      <c r="G551" t="inlineStr">
        <is>
          <t>Formation</t>
        </is>
      </c>
      <c r="H551" s="1" t="n">
        <v>43773</v>
      </c>
      <c r="I551" s="1" t="n">
        <v>43776</v>
      </c>
      <c r="J551" t="inlineStr">
        <is>
          <t>Toronto, Ontario, Canada</t>
        </is>
      </c>
      <c r="K551" t="inlineStr">
        <is>
          <t>Toronto, Ontario, Canada</t>
        </is>
      </c>
      <c r="P551" t="n">
        <v>499.74</v>
      </c>
      <c r="Q551" t="n">
        <v>25.88</v>
      </c>
      <c r="R551" t="n">
        <v>652.23</v>
      </c>
      <c r="S551" t="n">
        <v>281.9</v>
      </c>
      <c r="T551" t="n">
        <v>0</v>
      </c>
      <c r="U551" t="n">
        <v>1459.75</v>
      </c>
      <c r="X551" t="inlineStr">
        <is>
          <t>atssc-scdata</t>
        </is>
      </c>
      <c r="Y551" t="inlineStr">
        <is>
          <t>Administrative Tribunals Support Service of Canada | Service canadien d'appui aux tribunaux administratifs</t>
        </is>
      </c>
    </row>
    <row r="552">
      <c r="A552" t="inlineStr">
        <is>
          <t>T2019-P8-0003</t>
        </is>
      </c>
      <c r="B552" t="inlineStr">
        <is>
          <t>SLE</t>
        </is>
      </c>
      <c r="C552" t="inlineStr">
        <is>
          <t>Chairperson, Canadian International Trade Tribunal</t>
        </is>
      </c>
      <c r="D552" t="inlineStr">
        <is>
          <t>Président, Tribunal canadien du commerce extérieur</t>
        </is>
      </c>
      <c r="E552" t="inlineStr">
        <is>
          <t xml:space="preserve">Bédard, Jean </t>
        </is>
      </c>
      <c r="F552" t="inlineStr">
        <is>
          <t>Georgetown 2019 International Trade Update</t>
        </is>
      </c>
      <c r="G552" t="inlineStr">
        <is>
          <t>Mise à jour du commerce international de Georgetown 2019</t>
        </is>
      </c>
      <c r="H552" s="1" t="n">
        <v>43531</v>
      </c>
      <c r="I552" s="1" t="n">
        <v>43532</v>
      </c>
      <c r="J552" t="inlineStr">
        <is>
          <t>Washington, District of Columbia, United States</t>
        </is>
      </c>
      <c r="K552" t="inlineStr">
        <is>
          <t>Washington, District de Columbia, États-Unis</t>
        </is>
      </c>
      <c r="P552" t="n">
        <v>689.74</v>
      </c>
      <c r="Q552" t="n">
        <v>112.03</v>
      </c>
      <c r="R552" t="n">
        <v>869.89</v>
      </c>
      <c r="S552" t="n">
        <v>382.84</v>
      </c>
      <c r="T552" t="n">
        <v>0</v>
      </c>
      <c r="U552" t="n">
        <v>2054.5</v>
      </c>
      <c r="X552" t="inlineStr">
        <is>
          <t>atssc-scdata</t>
        </is>
      </c>
      <c r="Y552" t="inlineStr">
        <is>
          <t>Administrative Tribunals Support Service of Canada | Service canadien d'appui aux tribunaux administratifs</t>
        </is>
      </c>
    </row>
    <row r="553">
      <c r="A553" t="inlineStr">
        <is>
          <t>T2019-P8-0004</t>
        </is>
      </c>
      <c r="B553" t="inlineStr">
        <is>
          <t>SLE</t>
        </is>
      </c>
      <c r="C553" t="inlineStr">
        <is>
          <t>Chairperson, Canadian International Trade Tribunal</t>
        </is>
      </c>
      <c r="D553" t="inlineStr">
        <is>
          <t>Président, Tribunal canadien du commerce extérieur</t>
        </is>
      </c>
      <c r="E553" t="inlineStr">
        <is>
          <t xml:space="preserve">Bédard, Jean </t>
        </is>
      </c>
      <c r="F553" t="inlineStr">
        <is>
          <t xml:space="preserve">Attend the annual Seoul International Trade Remedy Forum </t>
        </is>
      </c>
      <c r="G553" t="inlineStr">
        <is>
          <t>Participer au Forum annuel de Séoul sur les recours commerciaux</t>
        </is>
      </c>
      <c r="H553" s="1" t="n">
        <v>43598</v>
      </c>
      <c r="I553" s="1" t="n">
        <v>43603</v>
      </c>
      <c r="J553" t="inlineStr">
        <is>
          <t>Seoul, South Korea</t>
        </is>
      </c>
      <c r="K553" t="inlineStr">
        <is>
          <t>Séoul, Corée du Sud</t>
        </is>
      </c>
      <c r="P553" t="n">
        <v>5211.34</v>
      </c>
      <c r="Q553" t="n">
        <v>84.26000000000001</v>
      </c>
      <c r="R553" t="n">
        <v>1200.46</v>
      </c>
      <c r="S553" t="n">
        <v>686.15</v>
      </c>
      <c r="T553" t="n">
        <v>0</v>
      </c>
      <c r="U553" t="n">
        <v>7182.21</v>
      </c>
      <c r="X553" t="inlineStr">
        <is>
          <t>atssc-scdata</t>
        </is>
      </c>
      <c r="Y553" t="inlineStr">
        <is>
          <t>Administrative Tribunals Support Service of Canada | Service canadien d'appui aux tribunaux administratifs</t>
        </is>
      </c>
    </row>
    <row r="554">
      <c r="A554" t="inlineStr">
        <is>
          <t>T2019-P8-0005</t>
        </is>
      </c>
      <c r="B554" t="inlineStr">
        <is>
          <t>SLE</t>
        </is>
      </c>
      <c r="C554" t="inlineStr">
        <is>
          <t>Chairperson, Canadian International Trade Tribunal</t>
        </is>
      </c>
      <c r="D554" t="inlineStr">
        <is>
          <t>Président, Tribunal canadien du commerce extérieur</t>
        </is>
      </c>
      <c r="E554" t="inlineStr">
        <is>
          <t xml:space="preserve">Bédard, Jean </t>
        </is>
      </c>
      <c r="F554" t="inlineStr">
        <is>
          <t>CCAT Symposium</t>
        </is>
      </c>
      <c r="G554" t="inlineStr">
        <is>
          <t>Symposium du CTAC</t>
        </is>
      </c>
      <c r="H554" s="1" t="n">
        <v>43610</v>
      </c>
      <c r="I554" s="1" t="n">
        <v>43613</v>
      </c>
      <c r="J554" t="inlineStr">
        <is>
          <t>Montreal, Quebec, Canada</t>
        </is>
      </c>
      <c r="K554" t="inlineStr">
        <is>
          <t>Montréal, Québec, Canada</t>
        </is>
      </c>
      <c r="P554" t="n">
        <v>0</v>
      </c>
      <c r="Q554" t="n">
        <v>205.83</v>
      </c>
      <c r="R554" t="n">
        <v>696.15</v>
      </c>
      <c r="S554" t="n">
        <v>241.65</v>
      </c>
      <c r="T554" t="n">
        <v>0</v>
      </c>
      <c r="U554" t="n">
        <v>1143.63</v>
      </c>
      <c r="X554" t="inlineStr">
        <is>
          <t>atssc-scdata</t>
        </is>
      </c>
      <c r="Y554" t="inlineStr">
        <is>
          <t>Administrative Tribunals Support Service of Canada | Service canadien d'appui aux tribunaux administratifs</t>
        </is>
      </c>
    </row>
    <row r="555">
      <c r="A555" t="inlineStr">
        <is>
          <t>T2019-P8-0006</t>
        </is>
      </c>
      <c r="B555" t="inlineStr">
        <is>
          <t>SLE</t>
        </is>
      </c>
      <c r="C555" t="inlineStr">
        <is>
          <t>Chairperson, Canadian International Trade Tribunal</t>
        </is>
      </c>
      <c r="D555" t="inlineStr">
        <is>
          <t>Président, Tribunal canadien du commerce extérieur</t>
        </is>
      </c>
      <c r="E555" t="inlineStr">
        <is>
          <t xml:space="preserve">Bédard, Jean </t>
        </is>
      </c>
      <c r="F555" t="inlineStr">
        <is>
          <t>Attend the 'XV World Customs Law Meeting' conference</t>
        </is>
      </c>
      <c r="G555" t="inlineStr">
        <is>
          <t xml:space="preserve">Assister à la conférence "XV World Customs Law Meeting" </t>
        </is>
      </c>
      <c r="H555" s="1" t="n">
        <v>43717</v>
      </c>
      <c r="I555" s="1" t="n">
        <v>43722</v>
      </c>
      <c r="J555" t="inlineStr">
        <is>
          <t>Seville, Spain</t>
        </is>
      </c>
      <c r="K555" t="inlineStr">
        <is>
          <t>Séville, Espagne</t>
        </is>
      </c>
      <c r="P555" t="n">
        <v>5644.24</v>
      </c>
      <c r="Q555" t="n">
        <v>114.81</v>
      </c>
      <c r="R555" t="n">
        <v>759.41</v>
      </c>
      <c r="S555" t="n">
        <v>591.42</v>
      </c>
      <c r="T555" t="n">
        <v>0</v>
      </c>
      <c r="U555" t="n">
        <v>7109.88</v>
      </c>
      <c r="X555" t="inlineStr">
        <is>
          <t>atssc-scdata</t>
        </is>
      </c>
      <c r="Y555" t="inlineStr">
        <is>
          <t>Administrative Tribunals Support Service of Canada | Service canadien d'appui aux tribunaux administratifs</t>
        </is>
      </c>
    </row>
    <row r="556">
      <c r="A556" t="inlineStr">
        <is>
          <t>T2019-P8-0007</t>
        </is>
      </c>
      <c r="B556" t="inlineStr">
        <is>
          <t>SLE</t>
        </is>
      </c>
      <c r="C556" t="inlineStr">
        <is>
          <t>Chairperson, Public Service Labour Relations and Employment Board Tribunal</t>
        </is>
      </c>
      <c r="D556" t="inlineStr">
        <is>
          <t>Présidente, Tribunal de la commission des relations de travail et de l’emploi dans la fonction publique</t>
        </is>
      </c>
      <c r="E556" t="inlineStr">
        <is>
          <t xml:space="preserve">Ebbs, Catherine </t>
        </is>
      </c>
      <c r="F556" t="inlineStr">
        <is>
          <t>Hearing</t>
        </is>
      </c>
      <c r="G556" t="inlineStr">
        <is>
          <t>Audience</t>
        </is>
      </c>
      <c r="H556" s="1" t="n">
        <v>43760</v>
      </c>
      <c r="I556" s="1" t="n">
        <v>43762</v>
      </c>
      <c r="J556" t="inlineStr">
        <is>
          <t>Moncton, New Brunswick, Canada</t>
        </is>
      </c>
      <c r="K556" t="inlineStr">
        <is>
          <t>Moncton, Nouveau-Brunswick, Canada</t>
        </is>
      </c>
      <c r="P556" t="n">
        <v>764.66</v>
      </c>
      <c r="Q556" t="n">
        <v>64.48999999999999</v>
      </c>
      <c r="R556" t="n">
        <v>345.18</v>
      </c>
      <c r="S556" t="n">
        <v>285.45</v>
      </c>
      <c r="T556" t="n">
        <v>0</v>
      </c>
      <c r="U556" t="n">
        <v>1459.78</v>
      </c>
      <c r="X556" t="inlineStr">
        <is>
          <t>atssc-scdata</t>
        </is>
      </c>
      <c r="Y556" t="inlineStr">
        <is>
          <t>Administrative Tribunals Support Service of Canada | Service canadien d'appui aux tribunaux administratifs</t>
        </is>
      </c>
    </row>
    <row r="557">
      <c r="A557" t="inlineStr">
        <is>
          <t>T2019-P8-0008</t>
        </is>
      </c>
      <c r="B557" t="inlineStr">
        <is>
          <t>SLE</t>
        </is>
      </c>
      <c r="C557" t="inlineStr">
        <is>
          <t>Chairperson, Canadian Cultural Property Export Review Board</t>
        </is>
      </c>
      <c r="D557" t="inlineStr">
        <is>
          <t>Présidente, Commission canadienne d'examen des exportations de biens culturels</t>
        </is>
      </c>
      <c r="E557" t="inlineStr">
        <is>
          <t xml:space="preserve">Ingram, Sharilyn </t>
        </is>
      </c>
      <c r="F557" t="inlineStr">
        <is>
          <t>To attend the Sub-Committee meeting and Board meeting</t>
        </is>
      </c>
      <c r="G557" t="inlineStr">
        <is>
          <t>Participer à la réunion des sous-comités et la réunion des membres de la Commission</t>
        </is>
      </c>
      <c r="H557" s="1" t="n">
        <v>43717</v>
      </c>
      <c r="I557" s="1" t="n">
        <v>43721</v>
      </c>
      <c r="J557" t="inlineStr">
        <is>
          <t>Ottawa, Ontario, Canada</t>
        </is>
      </c>
      <c r="K557" t="inlineStr">
        <is>
          <t xml:space="preserve"> Ottawa, Ontario, Canada</t>
        </is>
      </c>
      <c r="P557" t="n">
        <v>452.28</v>
      </c>
      <c r="Q557" t="n">
        <v>247.36</v>
      </c>
      <c r="R557" t="n">
        <v>785.04</v>
      </c>
      <c r="S557" t="n">
        <v>502.15</v>
      </c>
      <c r="T557" t="n">
        <v>0</v>
      </c>
      <c r="U557" t="n">
        <v>1986.83</v>
      </c>
      <c r="X557" t="inlineStr">
        <is>
          <t>atssc-scdata</t>
        </is>
      </c>
      <c r="Y557" t="inlineStr">
        <is>
          <t>Administrative Tribunals Support Service of Canada | Service canadien d'appui aux tribunaux administratifs</t>
        </is>
      </c>
    </row>
    <row r="558">
      <c r="A558" t="inlineStr">
        <is>
          <t>T2019-P8-0009</t>
        </is>
      </c>
      <c r="B558" t="inlineStr">
        <is>
          <t>SLE</t>
        </is>
      </c>
      <c r="C558" t="inlineStr">
        <is>
          <t>Chairperson, Canadian Cultural Property Export Review Board</t>
        </is>
      </c>
      <c r="D558" t="inlineStr">
        <is>
          <t>Présidente, Commission canadienne d'examen des exportations de biens culturels</t>
        </is>
      </c>
      <c r="E558" t="inlineStr">
        <is>
          <t xml:space="preserve">Ingram, Sharilyn </t>
        </is>
      </c>
      <c r="F558" t="inlineStr">
        <is>
          <t>To attend meetings with ATSSC Chairs, Canadian Heritage and CCPERB Secretariat</t>
        </is>
      </c>
      <c r="G558" t="inlineStr">
        <is>
          <t>Participer à la réunion des Présidents du SCDATA, réunion avec Patrimoine canadien et réunion avec le Secrétariat de la CCEEBC</t>
        </is>
      </c>
      <c r="H558" s="1" t="n">
        <v>43754</v>
      </c>
      <c r="I558" s="1" t="n">
        <v>43756</v>
      </c>
      <c r="J558" t="inlineStr">
        <is>
          <t>Ottawa, Ontario, Canada</t>
        </is>
      </c>
      <c r="K558" t="inlineStr">
        <is>
          <t>Ottawa, Ontario, Canada</t>
        </is>
      </c>
      <c r="P558" t="n">
        <v>0</v>
      </c>
      <c r="Q558" t="n">
        <v>660.6</v>
      </c>
      <c r="R558" t="n">
        <v>392.52</v>
      </c>
      <c r="S558" t="n">
        <v>285.45</v>
      </c>
      <c r="T558" t="n">
        <v>0</v>
      </c>
      <c r="U558" t="n">
        <v>1338.57</v>
      </c>
      <c r="X558" t="inlineStr">
        <is>
          <t>atssc-scdata</t>
        </is>
      </c>
      <c r="Y558" t="inlineStr">
        <is>
          <t>Administrative Tribunals Support Service of Canada | Service canadien d'appui aux tribunaux administratifs</t>
        </is>
      </c>
    </row>
    <row r="559">
      <c r="A559" t="inlineStr">
        <is>
          <t>T2019-P8-0010</t>
        </is>
      </c>
      <c r="B559" t="inlineStr">
        <is>
          <t>SLE</t>
        </is>
      </c>
      <c r="C559" t="inlineStr">
        <is>
          <t>Chairperson, Canadian Cultural Property Export Review Board</t>
        </is>
      </c>
      <c r="D559" t="inlineStr">
        <is>
          <t>Présidente, Commission canadienne d'examen des exportations de biens culturels</t>
        </is>
      </c>
      <c r="E559" t="inlineStr">
        <is>
          <t xml:space="preserve">Ingram, Sharilyn </t>
        </is>
      </c>
      <c r="F559" t="inlineStr">
        <is>
          <t>Meetings with Toronto Laywers and the Toronto Art Fair</t>
        </is>
      </c>
      <c r="G559" t="inlineStr">
        <is>
          <t>Rencontres avec des avocats de Toronto et assister à 'Toronto Art Fair'</t>
        </is>
      </c>
      <c r="H559" s="1" t="n">
        <v>43762</v>
      </c>
      <c r="I559" s="1" t="n">
        <v>43763</v>
      </c>
      <c r="J559" t="inlineStr">
        <is>
          <t>Toronto, Ontario, Canada</t>
        </is>
      </c>
      <c r="K559" t="inlineStr">
        <is>
          <t>Toronto, Ontario, Canada</t>
        </is>
      </c>
      <c r="P559" t="n">
        <v>0</v>
      </c>
      <c r="Q559" t="n">
        <v>48.78</v>
      </c>
      <c r="R559" t="n">
        <v>233.86</v>
      </c>
      <c r="S559" t="n">
        <v>146.7</v>
      </c>
      <c r="T559" t="n">
        <v>0</v>
      </c>
      <c r="U559" t="n">
        <v>429.34</v>
      </c>
      <c r="X559" t="inlineStr">
        <is>
          <t>atssc-scdata</t>
        </is>
      </c>
      <c r="Y559" t="inlineStr">
        <is>
          <t>Administrative Tribunals Support Service of Canada | Service canadien d'appui aux tribunaux administratifs</t>
        </is>
      </c>
    </row>
    <row r="560">
      <c r="A560" t="inlineStr">
        <is>
          <t>T2019-P8-0011</t>
        </is>
      </c>
      <c r="B560" t="inlineStr">
        <is>
          <t>SLE</t>
        </is>
      </c>
      <c r="C560" t="inlineStr">
        <is>
          <t>Chairperson, Canadian Cultural Property Export Review Board</t>
        </is>
      </c>
      <c r="D560" t="inlineStr">
        <is>
          <t>Présidente, Commission canadienne d'examen des exportations de biens culturels</t>
        </is>
      </c>
      <c r="E560" t="inlineStr">
        <is>
          <t xml:space="preserve">Ingram, Sharilyn </t>
        </is>
      </c>
      <c r="F560" t="inlineStr">
        <is>
          <t>Attend the Board Retreat</t>
        </is>
      </c>
      <c r="G560" t="inlineStr">
        <is>
          <t>Assister à la retraite des Membres de la Commission</t>
        </is>
      </c>
      <c r="H560" s="1" t="n">
        <v>43772</v>
      </c>
      <c r="I560" s="1" t="n">
        <v>43774</v>
      </c>
      <c r="J560" t="inlineStr">
        <is>
          <t>Winnipeg, Manitoba, Canada</t>
        </is>
      </c>
      <c r="K560" t="inlineStr">
        <is>
          <t>Winnipeg, Manitoba, Canada</t>
        </is>
      </c>
      <c r="P560" t="n">
        <v>732.3200000000001</v>
      </c>
      <c r="Q560" t="n">
        <v>181.36</v>
      </c>
      <c r="R560" t="n">
        <v>316.58</v>
      </c>
      <c r="S560" t="n">
        <v>244.75</v>
      </c>
      <c r="T560" t="n">
        <v>0</v>
      </c>
      <c r="U560" t="n">
        <v>1475.01</v>
      </c>
      <c r="X560" t="inlineStr">
        <is>
          <t>atssc-scdata</t>
        </is>
      </c>
      <c r="Y560" t="inlineStr">
        <is>
          <t>Administrative Tribunals Support Service of Canada | Service canadien d'appui aux tribunaux administratifs</t>
        </is>
      </c>
    </row>
    <row r="561">
      <c r="A561" t="inlineStr">
        <is>
          <t>T2019-P8-0012</t>
        </is>
      </c>
      <c r="B561" t="inlineStr">
        <is>
          <t>SLE</t>
        </is>
      </c>
      <c r="C561" t="inlineStr">
        <is>
          <t xml:space="preserve"> Chairperson, Transportation Appeal Tribunal of Canada</t>
        </is>
      </c>
      <c r="D561" t="inlineStr">
        <is>
          <t xml:space="preserve"> Président, Tribunal d'appel des transport du Canada</t>
        </is>
      </c>
      <c r="E561" t="inlineStr">
        <is>
          <t xml:space="preserve">Sullivan, Charles </t>
        </is>
      </c>
      <c r="F561" t="inlineStr">
        <is>
          <t>Hearing</t>
        </is>
      </c>
      <c r="G561" t="inlineStr">
        <is>
          <t>Audience</t>
        </is>
      </c>
      <c r="H561" s="1" t="n">
        <v>43772</v>
      </c>
      <c r="I561" s="1" t="n">
        <v>43777</v>
      </c>
      <c r="J561" t="inlineStr">
        <is>
          <t>Toronto, Ontario, Canada</t>
        </is>
      </c>
      <c r="K561" t="inlineStr">
        <is>
          <t>Toronto, Ontario, Canada</t>
        </is>
      </c>
      <c r="P561" t="n">
        <v>0</v>
      </c>
      <c r="Q561" t="n">
        <v>557.73</v>
      </c>
      <c r="R561" t="n">
        <v>987.15</v>
      </c>
      <c r="S561" t="n">
        <v>540.7</v>
      </c>
      <c r="T561" t="n">
        <v>0</v>
      </c>
      <c r="U561" t="n">
        <v>2085.58</v>
      </c>
      <c r="X561" t="inlineStr">
        <is>
          <t>atssc-scdata</t>
        </is>
      </c>
      <c r="Y561" t="inlineStr">
        <is>
          <t>Administrative Tribunals Support Service of Canada | Service canadien d'appui aux tribunaux administratifs</t>
        </is>
      </c>
    </row>
    <row r="562">
      <c r="A562" t="inlineStr">
        <is>
          <t>T-2020-P9-0001</t>
        </is>
      </c>
      <c r="B562" t="inlineStr">
        <is>
          <t>SLE</t>
        </is>
      </c>
      <c r="C562" t="inlineStr">
        <is>
          <t>Chairperson</t>
        </is>
      </c>
      <c r="D562" t="inlineStr">
        <is>
          <t>Président</t>
        </is>
      </c>
      <c r="E562" t="inlineStr">
        <is>
          <t>Bélanger, Luc</t>
        </is>
      </c>
      <c r="F562" t="inlineStr">
        <is>
          <t xml:space="preserve">Hearing in Vancouver </t>
        </is>
      </c>
      <c r="G562" t="inlineStr">
        <is>
          <t>Audience à Vancouver</t>
        </is>
      </c>
      <c r="H562" s="1" t="n">
        <v>44182</v>
      </c>
      <c r="I562" s="1" t="n">
        <v>44185</v>
      </c>
      <c r="J562" t="inlineStr">
        <is>
          <t>Vancouver (British Columbia) Canada</t>
        </is>
      </c>
      <c r="K562" t="inlineStr">
        <is>
          <t>Vancouver (Colombie Britannique) Canada</t>
        </is>
      </c>
      <c r="P562" t="n">
        <v>1524.44</v>
      </c>
      <c r="Q562" t="n">
        <v>102.2</v>
      </c>
      <c r="R562" t="n">
        <v>454.71</v>
      </c>
      <c r="S562" t="n">
        <v>422.4</v>
      </c>
      <c r="U562" t="n">
        <v>2503.75</v>
      </c>
      <c r="X562" t="inlineStr">
        <is>
          <t>atssc-scdata</t>
        </is>
      </c>
      <c r="Y562" t="inlineStr">
        <is>
          <t>Administrative Tribunals Support Service of Canada | Service canadien d'appui aux tribunaux administratifs</t>
        </is>
      </c>
    </row>
    <row r="563">
      <c r="A563" t="inlineStr">
        <is>
          <t>T-2020-P9-0002</t>
        </is>
      </c>
      <c r="B563" t="inlineStr">
        <is>
          <t>SLE</t>
        </is>
      </c>
      <c r="C563" t="inlineStr">
        <is>
          <t>Chairperson, Canadian International Trade Tribunal</t>
        </is>
      </c>
      <c r="D563" t="inlineStr">
        <is>
          <t>Président, Tribunal canadien du commerce extérieur</t>
        </is>
      </c>
      <c r="E563" t="inlineStr">
        <is>
          <t>Bédard, Jean</t>
        </is>
      </c>
      <c r="F563" t="inlineStr">
        <is>
          <t>Meeting with the Head of Investigative Agencies - 
World Trade Organization</t>
        </is>
      </c>
      <c r="G563" t="inlineStr">
        <is>
          <t>Rencontre avec le chef des agences d'enquête -  World Trade Organization</t>
        </is>
      </c>
      <c r="H563" s="1" t="n">
        <v>43788</v>
      </c>
      <c r="I563" s="1" t="n">
        <v>43792</v>
      </c>
      <c r="J563" t="inlineStr">
        <is>
          <t>Geneva, Switzerland</t>
        </is>
      </c>
      <c r="K563" t="inlineStr">
        <is>
          <t>Genève, Suisse</t>
        </is>
      </c>
      <c r="P563" t="n">
        <v>0</v>
      </c>
      <c r="Q563" t="n">
        <v>161.9</v>
      </c>
      <c r="R563" t="n">
        <v>934.17</v>
      </c>
      <c r="S563" t="n">
        <v>961.51</v>
      </c>
      <c r="T563" t="n">
        <v>0</v>
      </c>
      <c r="U563" t="n">
        <v>2057.58</v>
      </c>
      <c r="V563" t="inlineStr">
        <is>
          <t>Travel For Washington and Geneva were booked at the same time. Air fare fees for Geneva are disclosed with the Washington Trip of Nov 18, 2019</t>
        </is>
      </c>
      <c r="W563" t="inlineStr">
        <is>
          <t>Les voyages pour Washington et Genève étaient réservés en même temps. Les frais de billet d'avion pour Genève sont divulgués avec le voyage à Washington du 18 novembre 2019</t>
        </is>
      </c>
      <c r="X563" t="inlineStr">
        <is>
          <t>atssc-scdata</t>
        </is>
      </c>
      <c r="Y563" t="inlineStr">
        <is>
          <t>Administrative Tribunals Support Service of Canada | Service canadien d'appui aux tribunaux administratifs</t>
        </is>
      </c>
    </row>
    <row r="564">
      <c r="A564" t="inlineStr">
        <is>
          <t>T-2020-P9-0003</t>
        </is>
      </c>
      <c r="B564" t="inlineStr">
        <is>
          <t>SLE</t>
        </is>
      </c>
      <c r="C564" t="inlineStr">
        <is>
          <t>Chairperson, Canada Agricultural Review Tribunal of Canada</t>
        </is>
      </c>
      <c r="D564" t="inlineStr">
        <is>
          <t>Président, Commission de révision agricole du Canada</t>
        </is>
      </c>
      <c r="E564" t="inlineStr">
        <is>
          <t>Bélanger, Luc</t>
        </is>
      </c>
      <c r="F564" t="inlineStr">
        <is>
          <t>Attend the Canadian Agri-Food Law Conference</t>
        </is>
      </c>
      <c r="G564" t="inlineStr">
        <is>
          <t>Assister à la conférence canadienne en droit de l'agroalimentaire</t>
        </is>
      </c>
      <c r="H564" s="1" t="n">
        <v>43775</v>
      </c>
      <c r="I564" s="1" t="n">
        <v>43778</v>
      </c>
      <c r="J564" t="inlineStr">
        <is>
          <t>Toronto, Ontario, Canada</t>
        </is>
      </c>
      <c r="K564" t="inlineStr">
        <is>
          <t>Toronto, Ontario, Canada</t>
        </is>
      </c>
      <c r="P564" t="n">
        <v>533.37</v>
      </c>
      <c r="Q564" t="n">
        <v>165.45</v>
      </c>
      <c r="R564" t="n">
        <v>701.58</v>
      </c>
      <c r="S564" t="n">
        <v>363.45</v>
      </c>
      <c r="T564" t="n">
        <v>0</v>
      </c>
      <c r="U564" t="n">
        <v>1763.85</v>
      </c>
      <c r="X564" t="inlineStr">
        <is>
          <t>atssc-scdata</t>
        </is>
      </c>
      <c r="Y564" t="inlineStr">
        <is>
          <t>Administrative Tribunals Support Service of Canada | Service canadien d'appui aux tribunaux administratifs</t>
        </is>
      </c>
    </row>
    <row r="565">
      <c r="A565" t="inlineStr">
        <is>
          <t>T-2020-P9-0004</t>
        </is>
      </c>
      <c r="B565" t="inlineStr">
        <is>
          <t>SLE</t>
        </is>
      </c>
      <c r="C565" t="inlineStr">
        <is>
          <t>Chairperson, Canada Agricultural Review Tribunal of Canada</t>
        </is>
      </c>
      <c r="D565" t="inlineStr">
        <is>
          <t>Président, Commission de révision agricole du Canada</t>
        </is>
      </c>
      <c r="E565" t="inlineStr">
        <is>
          <t>Bélanger, Luc</t>
        </is>
      </c>
      <c r="F565" t="inlineStr">
        <is>
          <t>Meeting on the Organic Products Act and meeting with a member of the Canada Agricultural Review Tribunal</t>
        </is>
      </c>
      <c r="G565" t="inlineStr">
        <is>
          <t>Rencontre sur les produits biologiques et recontre avec un membre de la Commission de révision agricole du Canada</t>
        </is>
      </c>
      <c r="H565" s="1" t="n">
        <v>43788</v>
      </c>
      <c r="I565" s="1" t="n">
        <v>43791</v>
      </c>
      <c r="J565" t="inlineStr">
        <is>
          <t>Montreal, Quebec, Canada</t>
        </is>
      </c>
      <c r="K565" t="inlineStr">
        <is>
          <t>Montréal, Québec, Canada</t>
        </is>
      </c>
      <c r="P565" t="n">
        <v>0</v>
      </c>
      <c r="Q565" t="n">
        <v>697.6799999999999</v>
      </c>
      <c r="R565" t="n">
        <v>479.59</v>
      </c>
      <c r="S565" t="n">
        <v>343.7</v>
      </c>
      <c r="T565" t="n">
        <v>0</v>
      </c>
      <c r="U565" t="n">
        <v>1520.97</v>
      </c>
      <c r="X565" t="inlineStr">
        <is>
          <t>atssc-scdata</t>
        </is>
      </c>
      <c r="Y565" t="inlineStr">
        <is>
          <t>Administrative Tribunals Support Service of Canada | Service canadien d'appui aux tribunaux administratifs</t>
        </is>
      </c>
    </row>
    <row r="566">
      <c r="A566" t="inlineStr">
        <is>
          <t>T-2020-P9-0005</t>
        </is>
      </c>
      <c r="B566" t="inlineStr">
        <is>
          <t>SLE</t>
        </is>
      </c>
      <c r="C566" t="inlineStr">
        <is>
          <t>Chairperson, Canada Agricultural Review Tribunal of Canada</t>
        </is>
      </c>
      <c r="D566" t="inlineStr">
        <is>
          <t>Président, Commission de révision agricole du Canada</t>
        </is>
      </c>
      <c r="E566" t="inlineStr">
        <is>
          <t>Bélanger, Luc</t>
        </is>
      </c>
      <c r="F566" t="inlineStr">
        <is>
          <t>Hearing</t>
        </is>
      </c>
      <c r="G566" t="inlineStr">
        <is>
          <t>Audience</t>
        </is>
      </c>
      <c r="H566" s="1" t="n">
        <v>43803</v>
      </c>
      <c r="I566" s="1" t="n">
        <v>43805</v>
      </c>
      <c r="J566" t="inlineStr">
        <is>
          <t>Toronto, Ontario, Canada</t>
        </is>
      </c>
      <c r="K566" t="inlineStr">
        <is>
          <t>Toronto, Ontario, Canada</t>
        </is>
      </c>
      <c r="P566" t="n">
        <v>623.5</v>
      </c>
      <c r="Q566" t="n">
        <v>164.34</v>
      </c>
      <c r="R566" t="n">
        <v>408.96</v>
      </c>
      <c r="S566" t="n">
        <v>275</v>
      </c>
      <c r="T566" t="n">
        <v>0</v>
      </c>
      <c r="U566" t="n">
        <v>1471.8</v>
      </c>
      <c r="X566" t="inlineStr">
        <is>
          <t>atssc-scdata</t>
        </is>
      </c>
      <c r="Y566" t="inlineStr">
        <is>
          <t>Administrative Tribunals Support Service of Canada | Service canadien d'appui aux tribunaux administratifs</t>
        </is>
      </c>
    </row>
    <row r="567">
      <c r="A567" t="inlineStr">
        <is>
          <t>T-2020-P9-0006</t>
        </is>
      </c>
      <c r="B567" t="inlineStr">
        <is>
          <t>SLE</t>
        </is>
      </c>
      <c r="C567" t="inlineStr">
        <is>
          <t>Chairperson, Canada Industrial Relations Board</t>
        </is>
      </c>
      <c r="D567" t="inlineStr">
        <is>
          <t>Président, Conseil canadien des relations industrielles</t>
        </is>
      </c>
      <c r="E567" t="inlineStr">
        <is>
          <t>Brazeau, Ginette</t>
        </is>
      </c>
      <c r="F567" t="inlineStr">
        <is>
          <t>Speak / Conseil Québecois Conference</t>
        </is>
      </c>
      <c r="G567" t="inlineStr">
        <is>
          <t>Speak / Conseil Québecois Conférence</t>
        </is>
      </c>
      <c r="H567" s="1" t="n">
        <v>43791</v>
      </c>
      <c r="I567" s="1" t="n">
        <v>43792</v>
      </c>
      <c r="J567" t="inlineStr">
        <is>
          <t>Quebec City, Quebec, Canada</t>
        </is>
      </c>
      <c r="K567" t="inlineStr">
        <is>
          <t>Ville de Québec, Québec, Canada</t>
        </is>
      </c>
      <c r="P567" t="n">
        <v>728.01</v>
      </c>
      <c r="Q567" t="n">
        <v>138.79</v>
      </c>
      <c r="R567" t="n">
        <v>201.12</v>
      </c>
      <c r="S567" t="n">
        <v>105.5</v>
      </c>
      <c r="T567" t="n">
        <v>0</v>
      </c>
      <c r="U567" t="n">
        <v>1173.42</v>
      </c>
      <c r="X567" t="inlineStr">
        <is>
          <t>atssc-scdata</t>
        </is>
      </c>
      <c r="Y567" t="inlineStr">
        <is>
          <t>Administrative Tribunals Support Service of Canada | Service canadien d'appui aux tribunaux administratifs</t>
        </is>
      </c>
    </row>
    <row r="568">
      <c r="A568" t="inlineStr">
        <is>
          <t>T-2020-P9-0007</t>
        </is>
      </c>
      <c r="B568" t="inlineStr">
        <is>
          <t>SLE</t>
        </is>
      </c>
      <c r="C568" t="inlineStr">
        <is>
          <t>Chairperson, Canada Industrial Relations Board</t>
        </is>
      </c>
      <c r="D568" t="inlineStr">
        <is>
          <t>Président, Conseil canadien des relations industrielles</t>
        </is>
      </c>
      <c r="E568" t="inlineStr">
        <is>
          <t>Brazeau, Ginette</t>
        </is>
      </c>
      <c r="F568" t="inlineStr">
        <is>
          <t>Hearing</t>
        </is>
      </c>
      <c r="G568" t="inlineStr">
        <is>
          <t>Audience</t>
        </is>
      </c>
      <c r="H568" s="1" t="n">
        <v>43795</v>
      </c>
      <c r="I568" s="1" t="n">
        <v>43796</v>
      </c>
      <c r="J568" t="inlineStr">
        <is>
          <t>Montreal, Quebec, Canada</t>
        </is>
      </c>
      <c r="K568" t="inlineStr">
        <is>
          <t>Montréal, Québec, Canada</t>
        </is>
      </c>
      <c r="P568" t="n">
        <v>0</v>
      </c>
      <c r="Q568" t="n">
        <v>267.85</v>
      </c>
      <c r="R568" t="n">
        <v>224.91</v>
      </c>
      <c r="S568" t="n">
        <v>126.1</v>
      </c>
      <c r="T568" t="n">
        <v>0</v>
      </c>
      <c r="U568" t="n">
        <v>618.86</v>
      </c>
      <c r="X568" t="inlineStr">
        <is>
          <t>atssc-scdata</t>
        </is>
      </c>
      <c r="Y568" t="inlineStr">
        <is>
          <t>Administrative Tribunals Support Service of Canada | Service canadien d'appui aux tribunaux administratifs</t>
        </is>
      </c>
    </row>
    <row r="569">
      <c r="A569" t="inlineStr">
        <is>
          <t>T-2020-P9-0008</t>
        </is>
      </c>
      <c r="B569" t="inlineStr">
        <is>
          <t>SLE</t>
        </is>
      </c>
      <c r="C569" t="inlineStr">
        <is>
          <t>Chairperson, Canada Industrial Relations Board</t>
        </is>
      </c>
      <c r="D569" t="inlineStr">
        <is>
          <t>Président, Conseil canadien des relations industrielles</t>
        </is>
      </c>
      <c r="E569" t="inlineStr">
        <is>
          <t>Brazeau, Ginette</t>
        </is>
      </c>
      <c r="F569" t="inlineStr">
        <is>
          <t>Pre-Mediation meeting</t>
        </is>
      </c>
      <c r="G569" t="inlineStr">
        <is>
          <t>Réunion de pré-médiation</t>
        </is>
      </c>
      <c r="H569" s="1" t="n">
        <v>43816</v>
      </c>
      <c r="I569" s="1" t="n">
        <v>43816</v>
      </c>
      <c r="J569" t="inlineStr">
        <is>
          <t>Montreal, Quebec, Canada</t>
        </is>
      </c>
      <c r="K569" t="inlineStr">
        <is>
          <t>Montréal, Québec, Canada</t>
        </is>
      </c>
      <c r="P569" t="n">
        <v>639.0700000000001</v>
      </c>
      <c r="Q569" t="n">
        <v>69.73999999999999</v>
      </c>
      <c r="R569" t="n">
        <v>0</v>
      </c>
      <c r="S569" t="n">
        <v>20.6</v>
      </c>
      <c r="T569" t="n">
        <v>0</v>
      </c>
      <c r="U569" t="n">
        <v>729.41</v>
      </c>
      <c r="X569" t="inlineStr">
        <is>
          <t>atssc-scdata</t>
        </is>
      </c>
      <c r="Y569" t="inlineStr">
        <is>
          <t>Administrative Tribunals Support Service of Canada | Service canadien d'appui aux tribunaux administratifs</t>
        </is>
      </c>
    </row>
    <row r="570">
      <c r="A570" t="inlineStr">
        <is>
          <t>T-2020-P9-0009</t>
        </is>
      </c>
      <c r="B570" t="inlineStr">
        <is>
          <t>SLE</t>
        </is>
      </c>
      <c r="C570" t="inlineStr">
        <is>
          <t xml:space="preserve"> Chairperson, Canadian Cultural Property Export Review Board</t>
        </is>
      </c>
      <c r="D570" t="inlineStr">
        <is>
          <t>Présidente, Commission canadienne d'examen des exportations de biens culturels</t>
        </is>
      </c>
      <c r="E570" t="inlineStr">
        <is>
          <t xml:space="preserve">Ingram, Sharilyn </t>
        </is>
      </c>
      <c r="F570" t="inlineStr">
        <is>
          <t>To attend meetings with LAC, PCH and ATSSC</t>
        </is>
      </c>
      <c r="G570" t="inlineStr">
        <is>
          <t>Participer à des réunions avec BAC, PCH et SCDATA</t>
        </is>
      </c>
      <c r="H570" s="1" t="n">
        <v>43796</v>
      </c>
      <c r="I570" s="1" t="n">
        <v>43798</v>
      </c>
      <c r="J570" t="inlineStr">
        <is>
          <t xml:space="preserve"> Ottawa, Ontario, Canada</t>
        </is>
      </c>
      <c r="K570" t="inlineStr">
        <is>
          <t>Ottawa, Ontario, Canada</t>
        </is>
      </c>
      <c r="P570" t="n">
        <v>639.0700000000001</v>
      </c>
      <c r="Q570" t="n">
        <v>232.36</v>
      </c>
      <c r="R570" t="n">
        <v>392.52</v>
      </c>
      <c r="S570" t="n">
        <v>285.45</v>
      </c>
      <c r="T570" t="n">
        <v>0</v>
      </c>
      <c r="U570" t="n">
        <v>1549.4</v>
      </c>
      <c r="X570" t="inlineStr">
        <is>
          <t>atssc-scdata</t>
        </is>
      </c>
      <c r="Y570" t="inlineStr">
        <is>
          <t>Administrative Tribunals Support Service of Canada | Service canadien d'appui aux tribunaux administratifs</t>
        </is>
      </c>
    </row>
    <row r="571">
      <c r="A571" t="inlineStr">
        <is>
          <t>T-2020-P9-0010</t>
        </is>
      </c>
      <c r="B571" t="inlineStr">
        <is>
          <t>SLE</t>
        </is>
      </c>
      <c r="C571" t="inlineStr">
        <is>
          <t>Chairperson, Canadian Human Rights Tribunal</t>
        </is>
      </c>
      <c r="D571" t="inlineStr">
        <is>
          <t>Président, Tribunal canadien des droits de la personne</t>
        </is>
      </c>
      <c r="E571" t="inlineStr">
        <is>
          <t>Thomas, David</t>
        </is>
      </c>
      <c r="F571" t="inlineStr">
        <is>
          <t>Mediation: T2382/4119</t>
        </is>
      </c>
      <c r="G571" t="inlineStr">
        <is>
          <t>Médiation : T2382/4119</t>
        </is>
      </c>
      <c r="H571" s="1" t="n">
        <v>43794</v>
      </c>
      <c r="I571" s="1" t="n">
        <v>43796</v>
      </c>
      <c r="J571" t="inlineStr">
        <is>
          <t>Edmonton, Alberta, Canada</t>
        </is>
      </c>
      <c r="K571" t="inlineStr">
        <is>
          <t>Edmonton, Alberta, Canada</t>
        </is>
      </c>
      <c r="P571" t="n">
        <v>946.12</v>
      </c>
      <c r="Q571" t="n">
        <v>169.8</v>
      </c>
      <c r="R571" t="n">
        <v>289.64</v>
      </c>
      <c r="S571" t="n">
        <v>306.05</v>
      </c>
      <c r="T571" t="n">
        <v>0</v>
      </c>
      <c r="U571" t="n">
        <v>1711.61</v>
      </c>
      <c r="X571" t="inlineStr">
        <is>
          <t>atssc-scdata</t>
        </is>
      </c>
      <c r="Y571" t="inlineStr">
        <is>
          <t>Administrative Tribunals Support Service of Canada | Service canadien d'appui aux tribunaux administratifs</t>
        </is>
      </c>
    </row>
    <row r="572">
      <c r="A572" t="inlineStr">
        <is>
          <t>T-2020-P9-0011</t>
        </is>
      </c>
      <c r="B572" t="inlineStr">
        <is>
          <t>SLE</t>
        </is>
      </c>
      <c r="C572" t="inlineStr">
        <is>
          <t>Chairperson, Canadian Human Rights Tribunal</t>
        </is>
      </c>
      <c r="D572" t="inlineStr">
        <is>
          <t>Président, Tribunal canadien des droits de la personne</t>
        </is>
      </c>
      <c r="E572" t="inlineStr">
        <is>
          <t>Thomas, David</t>
        </is>
      </c>
      <c r="F572" t="inlineStr">
        <is>
          <t>Mediation: T2416/7519 and T2408/6819</t>
        </is>
      </c>
      <c r="G572" t="inlineStr">
        <is>
          <t>Médiation : T2416/7519 et T2408/6819</t>
        </is>
      </c>
      <c r="H572" s="1" t="n">
        <v>43799</v>
      </c>
      <c r="I572" s="1" t="n">
        <v>43804</v>
      </c>
      <c r="J572" t="inlineStr">
        <is>
          <t>Vancouver, Britsh Columbia and Edmonton, Alberta, Canada</t>
        </is>
      </c>
      <c r="K572" t="inlineStr">
        <is>
          <t>Vancouver, Colombie-Britannique et Edmonton, Alberta, Canada</t>
        </is>
      </c>
      <c r="P572" t="n">
        <v>440.02</v>
      </c>
      <c r="Q572" t="n">
        <v>181.43</v>
      </c>
      <c r="R572" t="n">
        <v>663.3</v>
      </c>
      <c r="S572" t="n">
        <v>493.45</v>
      </c>
      <c r="T572" t="n">
        <v>0</v>
      </c>
      <c r="U572" t="n">
        <v>1778.2</v>
      </c>
      <c r="X572" t="inlineStr">
        <is>
          <t>atssc-scdata</t>
        </is>
      </c>
      <c r="Y572" t="inlineStr">
        <is>
          <t>Administrative Tribunals Support Service of Canada | Service canadien d'appui aux tribunaux administratifs</t>
        </is>
      </c>
    </row>
    <row r="573">
      <c r="A573" t="inlineStr">
        <is>
          <t>T-2020-P10-001</t>
        </is>
      </c>
      <c r="B573" t="inlineStr">
        <is>
          <t>SLE</t>
        </is>
      </c>
      <c r="C573" t="inlineStr">
        <is>
          <t>Chairperson, Canadian International Trade Tribunal</t>
        </is>
      </c>
      <c r="D573" t="inlineStr">
        <is>
          <t>Tribunal canadien du commerce extérieur</t>
        </is>
      </c>
      <c r="E573" t="inlineStr">
        <is>
          <t>Bédard, Jean</t>
        </is>
      </c>
      <c r="F573" t="inlineStr">
        <is>
          <t>Montreal, Quebec, Canada</t>
        </is>
      </c>
      <c r="G573" t="inlineStr">
        <is>
          <t>Montréal, Québec, Canada</t>
        </is>
      </c>
      <c r="H573" s="1" t="n">
        <v>43808</v>
      </c>
      <c r="I573" s="1" t="n">
        <v>43808</v>
      </c>
      <c r="J573" t="inlineStr">
        <is>
          <t>Montreal, Quebec, Canada</t>
        </is>
      </c>
      <c r="K573" t="inlineStr">
        <is>
          <t>Montréal, Québec, Canada</t>
        </is>
      </c>
      <c r="P573" t="n">
        <v>0</v>
      </c>
      <c r="Q573" t="n">
        <v>176.42</v>
      </c>
      <c r="R573" t="n">
        <v>0</v>
      </c>
      <c r="S573" t="n">
        <v>0</v>
      </c>
      <c r="T573" t="n">
        <v>0</v>
      </c>
      <c r="U573" t="n">
        <v>176.42</v>
      </c>
      <c r="X573" t="inlineStr">
        <is>
          <t>atssc-scdata</t>
        </is>
      </c>
      <c r="Y573" t="inlineStr">
        <is>
          <t>Administrative Tribunals Support Service of Canada | Service canadien d'appui aux tribunaux administratifs</t>
        </is>
      </c>
    </row>
    <row r="574">
      <c r="A574" t="inlineStr">
        <is>
          <t>T-2020-P10-002</t>
        </is>
      </c>
      <c r="B574" t="inlineStr">
        <is>
          <t>SLE</t>
        </is>
      </c>
      <c r="C574" t="inlineStr">
        <is>
          <t>Chairperson, Canadian Cultural Property Export Review Board</t>
        </is>
      </c>
      <c r="D574" t="inlineStr">
        <is>
          <t>Commission canadienne d'examen des exportations de biens culturels</t>
        </is>
      </c>
      <c r="E574" t="inlineStr">
        <is>
          <t>Ingram, Sharilyn</t>
        </is>
      </c>
      <c r="F574" t="inlineStr">
        <is>
          <t>Attend Board meeting</t>
        </is>
      </c>
      <c r="G574" t="inlineStr">
        <is>
          <t>Assister à la réunion des membres de la Commission</t>
        </is>
      </c>
      <c r="H574" s="1" t="n">
        <v>43809</v>
      </c>
      <c r="I574" s="1" t="n">
        <v>43812</v>
      </c>
      <c r="J574" t="inlineStr">
        <is>
          <t>Ottawa, Ontario, Canada</t>
        </is>
      </c>
      <c r="K574" t="inlineStr">
        <is>
          <t>Ottawa, Ontario, Canada</t>
        </is>
      </c>
      <c r="P574" t="n">
        <v>592.5700000000001</v>
      </c>
      <c r="Q574" t="n">
        <v>233.36</v>
      </c>
      <c r="R574" t="n">
        <v>588.78</v>
      </c>
      <c r="S574" t="n">
        <v>394.25</v>
      </c>
      <c r="T574" t="n">
        <v>0</v>
      </c>
      <c r="U574" t="n">
        <v>1808.96</v>
      </c>
      <c r="X574" t="inlineStr">
        <is>
          <t>atssc-scdata</t>
        </is>
      </c>
      <c r="Y574" t="inlineStr">
        <is>
          <t>Administrative Tribunals Support Service of Canada | Service canadien d'appui aux tribunaux administratifs</t>
        </is>
      </c>
    </row>
    <row r="575">
      <c r="A575" t="inlineStr">
        <is>
          <t>T-2020-P11-0001</t>
        </is>
      </c>
      <c r="B575" t="inlineStr">
        <is>
          <t>SLE</t>
        </is>
      </c>
      <c r="C575" t="inlineStr">
        <is>
          <t>Chairperson</t>
        </is>
      </c>
      <c r="D575" t="inlineStr">
        <is>
          <t>Président</t>
        </is>
      </c>
      <c r="E575" t="inlineStr">
        <is>
          <t xml:space="preserve">Aterman, Paul </t>
        </is>
      </c>
      <c r="F575" t="inlineStr">
        <is>
          <t xml:space="preserve">Training : Society of Ontario Adjudicators and Regulators (SOAR) Leadership Forum </t>
        </is>
      </c>
      <c r="G575" t="inlineStr">
        <is>
          <t>Formation: Forum de leadership de la "Society of Ontario Adjudicators and Regulators (SOAR)"</t>
        </is>
      </c>
      <c r="H575" s="1" t="n">
        <v>43873</v>
      </c>
      <c r="I575" s="1" t="n">
        <v>43874</v>
      </c>
      <c r="J575" t="inlineStr">
        <is>
          <t>Toronto, Ontario, Canada</t>
        </is>
      </c>
      <c r="K575" t="inlineStr">
        <is>
          <t>Toronto, Ontario, Canada</t>
        </is>
      </c>
      <c r="P575" t="n">
        <v>0</v>
      </c>
      <c r="Q575" t="n">
        <v>422.91</v>
      </c>
      <c r="R575" t="n">
        <v>189.34</v>
      </c>
      <c r="S575" t="n">
        <v>105.5</v>
      </c>
      <c r="T575" t="n">
        <v>0</v>
      </c>
      <c r="U575" t="n">
        <v>717.75</v>
      </c>
      <c r="X575" t="inlineStr">
        <is>
          <t>atssc-scdata</t>
        </is>
      </c>
      <c r="Y575" t="inlineStr">
        <is>
          <t>Administrative Tribunals Support Service of Canada | Service canadien d'appui aux tribunaux administratifs</t>
        </is>
      </c>
    </row>
    <row r="576">
      <c r="A576" t="inlineStr">
        <is>
          <t>T-2020-P11-0002</t>
        </is>
      </c>
      <c r="B576" t="inlineStr">
        <is>
          <t>SLE</t>
        </is>
      </c>
      <c r="C576" t="inlineStr">
        <is>
          <t>Chairperson</t>
        </is>
      </c>
      <c r="D576" t="inlineStr">
        <is>
          <t>Présidente</t>
        </is>
      </c>
      <c r="E576" t="inlineStr">
        <is>
          <t>Ginette Brazeau</t>
        </is>
      </c>
      <c r="F576" t="inlineStr">
        <is>
          <t>National Labour Arbitration Competition</t>
        </is>
      </c>
      <c r="G576" t="inlineStr">
        <is>
          <t>National Labour Arbitration Competition</t>
        </is>
      </c>
      <c r="H576" s="1" t="n">
        <v>43855</v>
      </c>
      <c r="I576" s="1" t="n">
        <v>43856</v>
      </c>
      <c r="J576" t="inlineStr">
        <is>
          <t>Toronto, Ontario, Canada</t>
        </is>
      </c>
      <c r="K576" t="inlineStr">
        <is>
          <t>Toronto, Ontario, Canada</t>
        </is>
      </c>
      <c r="P576" t="n">
        <v>542.6799999999999</v>
      </c>
      <c r="Q576" t="n">
        <v>111.76</v>
      </c>
      <c r="R576" t="n">
        <v>233.86</v>
      </c>
      <c r="S576" t="n">
        <v>34.6</v>
      </c>
      <c r="T576" t="n">
        <v>0</v>
      </c>
      <c r="U576" t="n">
        <v>922.9</v>
      </c>
      <c r="X576" t="inlineStr">
        <is>
          <t>atssc-scdata</t>
        </is>
      </c>
      <c r="Y576" t="inlineStr">
        <is>
          <t>Administrative Tribunals Support Service of Canada | Service canadien d'appui aux tribunaux administratifs</t>
        </is>
      </c>
    </row>
    <row r="577">
      <c r="A577" t="inlineStr">
        <is>
          <t>T-2020-P11-0003</t>
        </is>
      </c>
      <c r="B577" t="inlineStr">
        <is>
          <t>SLE</t>
        </is>
      </c>
      <c r="C577" t="inlineStr">
        <is>
          <t>Chairperson</t>
        </is>
      </c>
      <c r="D577" t="inlineStr">
        <is>
          <t>Présidente</t>
        </is>
      </c>
      <c r="E577" t="inlineStr">
        <is>
          <t>Ginette Brazeau</t>
        </is>
      </c>
      <c r="F577" t="inlineStr">
        <is>
          <t>Case Management</t>
        </is>
      </c>
      <c r="G577" t="inlineStr">
        <is>
          <t>Gestion de cas</t>
        </is>
      </c>
      <c r="H577" s="1" t="n">
        <v>43864</v>
      </c>
      <c r="I577" s="1" t="n">
        <v>43864</v>
      </c>
      <c r="J577" t="inlineStr">
        <is>
          <t>Montreal, Quebec, Canada</t>
        </is>
      </c>
      <c r="K577" t="inlineStr">
        <is>
          <t>Montréal, Québec, Canada</t>
        </is>
      </c>
      <c r="P577" t="n">
        <v>0</v>
      </c>
      <c r="Q577" t="n">
        <v>209.5</v>
      </c>
      <c r="R577" t="n">
        <v>0</v>
      </c>
      <c r="S577" t="n">
        <v>20.6</v>
      </c>
      <c r="T577" t="n">
        <v>0</v>
      </c>
      <c r="U577" t="n">
        <v>230.1</v>
      </c>
      <c r="X577" t="inlineStr">
        <is>
          <t>atssc-scdata</t>
        </is>
      </c>
      <c r="Y577" t="inlineStr">
        <is>
          <t>Administrative Tribunals Support Service of Canada | Service canadien d'appui aux tribunaux administratifs</t>
        </is>
      </c>
    </row>
    <row r="578">
      <c r="A578" t="inlineStr">
        <is>
          <t>T-2020-P11-0004</t>
        </is>
      </c>
      <c r="B578" t="inlineStr">
        <is>
          <t>SLE</t>
        </is>
      </c>
      <c r="C578" t="inlineStr">
        <is>
          <t>Chairperson</t>
        </is>
      </c>
      <c r="D578" t="inlineStr">
        <is>
          <t>Président</t>
        </is>
      </c>
      <c r="E578" t="inlineStr">
        <is>
          <t>David Thomas</t>
        </is>
      </c>
      <c r="F578" t="inlineStr">
        <is>
          <t>Mediation: T2421/8019</t>
        </is>
      </c>
      <c r="G578" t="inlineStr">
        <is>
          <t>Médiation: T2421/8019</t>
        </is>
      </c>
      <c r="H578" s="1" t="n">
        <v>43841</v>
      </c>
      <c r="I578" s="1" t="n">
        <v>43849</v>
      </c>
      <c r="J578" t="inlineStr">
        <is>
          <t>Vancouver, British Columbia, Canada</t>
        </is>
      </c>
      <c r="K578" t="inlineStr">
        <is>
          <t>Vancouver, Colombie-britannique, Canada</t>
        </is>
      </c>
      <c r="P578" t="n">
        <v>1159.06</v>
      </c>
      <c r="Q578" t="n">
        <v>219.74</v>
      </c>
      <c r="R578" t="n">
        <v>100</v>
      </c>
      <c r="S578" t="n">
        <v>326.4</v>
      </c>
      <c r="T578" t="n">
        <v>0</v>
      </c>
      <c r="U578" t="n">
        <v>1805.2</v>
      </c>
      <c r="X578" t="inlineStr">
        <is>
          <t>atssc-scdata</t>
        </is>
      </c>
      <c r="Y578" t="inlineStr">
        <is>
          <t>Administrative Tribunals Support Service of Canada | Service canadien d'appui aux tribunaux administratifs</t>
        </is>
      </c>
    </row>
    <row r="579">
      <c r="A579" t="inlineStr">
        <is>
          <t>T-2020-P11-0005</t>
        </is>
      </c>
      <c r="B579" t="inlineStr">
        <is>
          <t>SLE</t>
        </is>
      </c>
      <c r="C579" t="inlineStr">
        <is>
          <t>Chairperson</t>
        </is>
      </c>
      <c r="D579" t="inlineStr">
        <is>
          <t>Président</t>
        </is>
      </c>
      <c r="E579" t="inlineStr">
        <is>
          <t>David Thomas</t>
        </is>
      </c>
      <c r="F579" t="inlineStr">
        <is>
          <t>Mediation : T2398/5719 and T2422/8119</t>
        </is>
      </c>
      <c r="G579" t="inlineStr">
        <is>
          <t>Médiation:  T2398/5719 et T2422/8119</t>
        </is>
      </c>
      <c r="H579" s="1" t="n">
        <v>43872</v>
      </c>
      <c r="I579" s="1" t="n">
        <v>43875</v>
      </c>
      <c r="J579" t="inlineStr">
        <is>
          <t>Toronto / Mississauga, Ontario, Canada</t>
        </is>
      </c>
      <c r="K579" t="inlineStr">
        <is>
          <t>Toronto / Mississauga, Ontario, Canada</t>
        </is>
      </c>
      <c r="P579" t="n">
        <v>703.99</v>
      </c>
      <c r="Q579" t="n">
        <v>94.81999999999999</v>
      </c>
      <c r="R579" t="n">
        <v>642.8200000000001</v>
      </c>
      <c r="S579" t="n">
        <v>343.7</v>
      </c>
      <c r="T579" t="n">
        <v>0</v>
      </c>
      <c r="U579" t="n">
        <v>1785.33</v>
      </c>
      <c r="V579" t="inlineStr">
        <is>
          <t>A credit of $644.95 was used to book this travel.</t>
        </is>
      </c>
      <c r="W579" t="inlineStr">
        <is>
          <t>Un crédit de 644,95 $ a été utilisé pour réserver ce voyage.</t>
        </is>
      </c>
      <c r="X579" t="inlineStr">
        <is>
          <t>atssc-scdata</t>
        </is>
      </c>
      <c r="Y579" t="inlineStr">
        <is>
          <t>Administrative Tribunals Support Service of Canada | Service canadien d'appui aux tribunaux administratifs</t>
        </is>
      </c>
    </row>
    <row r="580">
      <c r="A580" t="inlineStr">
        <is>
          <t>T-2020-P12-0001</t>
        </is>
      </c>
      <c r="B580" t="inlineStr">
        <is>
          <t>SLE</t>
        </is>
      </c>
      <c r="C580" t="inlineStr">
        <is>
          <t>Chairperson</t>
        </is>
      </c>
      <c r="D580" t="inlineStr">
        <is>
          <t>Président</t>
        </is>
      </c>
      <c r="E580" t="inlineStr">
        <is>
          <t>Jean Bédard</t>
        </is>
      </c>
      <c r="F580" t="inlineStr">
        <is>
          <t>Conference: Attend the 2020 International Trade Update</t>
        </is>
      </c>
      <c r="G580" t="inlineStr">
        <is>
          <t>Conférence: La mise à jour du commerce international 2020</t>
        </is>
      </c>
      <c r="H580" s="1" t="n">
        <v>43894</v>
      </c>
      <c r="I580" s="1" t="n">
        <v>43896</v>
      </c>
      <c r="J580" t="inlineStr">
        <is>
          <t>Washington, District of Columbia, United States</t>
        </is>
      </c>
      <c r="K580" t="inlineStr">
        <is>
          <t>Washington, District de Columbia, États-Unis</t>
        </is>
      </c>
      <c r="P580" t="n">
        <v>1292.28</v>
      </c>
      <c r="Q580" t="n">
        <v>101.41</v>
      </c>
      <c r="R580" t="n">
        <v>837.21</v>
      </c>
      <c r="S580" t="n">
        <v>332.62</v>
      </c>
      <c r="T580" t="n">
        <v>0</v>
      </c>
      <c r="U580" t="n">
        <v>2563.52</v>
      </c>
      <c r="X580" t="inlineStr">
        <is>
          <t>atssc-scdata</t>
        </is>
      </c>
      <c r="Y580" t="inlineStr">
        <is>
          <t>Administrative Tribunals Support Service of Canada | Service canadien d'appui aux tribunaux administratifs</t>
        </is>
      </c>
    </row>
    <row r="581">
      <c r="A581" t="inlineStr">
        <is>
          <t>T-2020-P12-0002</t>
        </is>
      </c>
      <c r="B581" t="inlineStr">
        <is>
          <t>SLE</t>
        </is>
      </c>
      <c r="C581" t="inlineStr">
        <is>
          <t>Chairperson</t>
        </is>
      </c>
      <c r="D581" t="inlineStr">
        <is>
          <t>Présidente</t>
        </is>
      </c>
      <c r="E581" t="inlineStr">
        <is>
          <t>Ginette Brazeau</t>
        </is>
      </c>
      <c r="F581" t="inlineStr">
        <is>
          <t>Séance de planification de "Association of Labor Relations Agencies (ALRA)"</t>
        </is>
      </c>
      <c r="G581" t="inlineStr">
        <is>
          <t>Séance de planification de "Association of Labor Relations Agencies (ALRA)"</t>
        </is>
      </c>
      <c r="H581" s="1" t="n">
        <v>43888</v>
      </c>
      <c r="I581" s="1" t="n">
        <v>43891</v>
      </c>
      <c r="J581" t="inlineStr">
        <is>
          <t>Vancouver, British Columbia, Canada</t>
        </is>
      </c>
      <c r="K581" t="inlineStr">
        <is>
          <t>Vancouver, Colombie-britannique, Canada</t>
        </is>
      </c>
      <c r="P581" t="n">
        <v>1653.69</v>
      </c>
      <c r="Q581" t="n">
        <v>219.06</v>
      </c>
      <c r="R581" t="n">
        <v>581.61</v>
      </c>
      <c r="S581" t="n">
        <v>332.95</v>
      </c>
      <c r="T581" t="n">
        <v>0</v>
      </c>
      <c r="U581" t="n">
        <v>2787.31</v>
      </c>
      <c r="X581" t="inlineStr">
        <is>
          <t>atssc-scdata</t>
        </is>
      </c>
      <c r="Y581" t="inlineStr">
        <is>
          <t>Administrative Tribunals Support Service of Canada | Service canadien d'appui aux tribunaux administratifs</t>
        </is>
      </c>
    </row>
    <row r="582">
      <c r="A582" t="inlineStr">
        <is>
          <t>T-2020-P12-0003</t>
        </is>
      </c>
      <c r="B582" t="inlineStr">
        <is>
          <t>SLE</t>
        </is>
      </c>
      <c r="C582" t="inlineStr">
        <is>
          <t>Chairperson</t>
        </is>
      </c>
      <c r="D582" t="inlineStr">
        <is>
          <t>Présidente</t>
        </is>
      </c>
      <c r="E582" t="inlineStr">
        <is>
          <t>Ginette Brazeau</t>
        </is>
      </c>
      <c r="F582" t="inlineStr">
        <is>
          <t>Canada Labour Code Conference</t>
        </is>
      </c>
      <c r="G582" t="inlineStr">
        <is>
          <t>Conférence sur le Code canadien du travail</t>
        </is>
      </c>
      <c r="H582" s="1" t="n">
        <v>43893</v>
      </c>
      <c r="I582" s="1" t="n">
        <v>43893</v>
      </c>
      <c r="J582" t="inlineStr">
        <is>
          <t>Toronto, Ontario, Canada</t>
        </is>
      </c>
      <c r="K582" t="inlineStr">
        <is>
          <t>Toronto, Ontario, Canada</t>
        </is>
      </c>
      <c r="P582" t="n">
        <v>518.95</v>
      </c>
      <c r="Q582" t="n">
        <v>160.23</v>
      </c>
      <c r="R582" t="n">
        <v>0</v>
      </c>
      <c r="S582" t="n">
        <v>0</v>
      </c>
      <c r="T582" t="n">
        <v>0</v>
      </c>
      <c r="U582" t="n">
        <v>679.1799999999999</v>
      </c>
      <c r="X582" t="inlineStr">
        <is>
          <t>atssc-scdata</t>
        </is>
      </c>
      <c r="Y582" t="inlineStr">
        <is>
          <t>Administrative Tribunals Support Service of Canada | Service canadien d'appui aux tribunaux administratifs</t>
        </is>
      </c>
    </row>
    <row r="583">
      <c r="A583" t="inlineStr">
        <is>
          <t>T-2020-P12-0004</t>
        </is>
      </c>
      <c r="B583" t="inlineStr">
        <is>
          <t>SLE</t>
        </is>
      </c>
      <c r="C583" t="inlineStr">
        <is>
          <t>Chairperson</t>
        </is>
      </c>
      <c r="D583" t="inlineStr">
        <is>
          <t>Président</t>
        </is>
      </c>
      <c r="E583" t="inlineStr">
        <is>
          <t>David Thomas</t>
        </is>
      </c>
      <c r="F583" t="inlineStr">
        <is>
          <t>1. Mediation: T2414/7319
2. Guest speaker at University of Victoria - Faculty of Law</t>
        </is>
      </c>
      <c r="G583" t="inlineStr">
        <is>
          <t>1.Médiation: T2414/7319
2. Conférencier invité à  l'université de Victoria - Faculté de droit</t>
        </is>
      </c>
      <c r="H583" s="1" t="n">
        <v>43884</v>
      </c>
      <c r="I583" s="1" t="n">
        <v>43887</v>
      </c>
      <c r="J583" t="inlineStr">
        <is>
          <t>Duncan / Victoria, British Colombia, Canada</t>
        </is>
      </c>
      <c r="K583" t="inlineStr">
        <is>
          <t>Duncan / Victoria, Colombie-britannique, Canada</t>
        </is>
      </c>
      <c r="P583" t="n">
        <v>1081.26</v>
      </c>
      <c r="Q583" t="n">
        <v>337.5</v>
      </c>
      <c r="R583" t="n">
        <v>467.86</v>
      </c>
      <c r="S583" t="n">
        <v>435.2</v>
      </c>
      <c r="T583" t="n">
        <v>0</v>
      </c>
      <c r="U583" t="n">
        <v>2321.82</v>
      </c>
      <c r="X583" t="inlineStr">
        <is>
          <t>atssc-scdata</t>
        </is>
      </c>
      <c r="Y583" t="inlineStr">
        <is>
          <t>Administrative Tribunals Support Service of Canada | Service canadien d'appui aux tribunaux administratifs</t>
        </is>
      </c>
    </row>
    <row r="584">
      <c r="A584" t="inlineStr">
        <is>
          <t>T-2020-P12-0005</t>
        </is>
      </c>
      <c r="B584" t="inlineStr">
        <is>
          <t>SLE</t>
        </is>
      </c>
      <c r="C584" t="inlineStr">
        <is>
          <t>Chairperson</t>
        </is>
      </c>
      <c r="D584" t="inlineStr">
        <is>
          <t>Président</t>
        </is>
      </c>
      <c r="E584" t="inlineStr">
        <is>
          <t>David Thomas</t>
        </is>
      </c>
      <c r="F584" t="inlineStr">
        <is>
          <t>To give a presentation about CHRT to UQAM's Law Faculty</t>
        </is>
      </c>
      <c r="G584" t="inlineStr">
        <is>
          <t>Faire une présentation sur le TCDP à la Faculté de droit de l'UQAM</t>
        </is>
      </c>
      <c r="H584" s="1" t="n">
        <v>43900</v>
      </c>
      <c r="I584" s="1" t="n">
        <v>43900</v>
      </c>
      <c r="J584" t="inlineStr">
        <is>
          <t>Montreal, Quebec, Canada</t>
        </is>
      </c>
      <c r="K584" t="inlineStr">
        <is>
          <t>Montréal, Québec, Canada</t>
        </is>
      </c>
      <c r="P584" t="n">
        <v>0</v>
      </c>
      <c r="Q584" t="n">
        <v>0</v>
      </c>
      <c r="R584" t="n">
        <v>0</v>
      </c>
      <c r="S584" t="n">
        <v>71.15000000000001</v>
      </c>
      <c r="T584" t="n">
        <v>0</v>
      </c>
      <c r="U584" t="n">
        <v>71.15000000000001</v>
      </c>
      <c r="X584" t="inlineStr">
        <is>
          <t>atssc-scdata</t>
        </is>
      </c>
      <c r="Y584" t="inlineStr">
        <is>
          <t>Administrative Tribunals Support Service of Canada | Service canadien d'appui aux tribunaux administratifs</t>
        </is>
      </c>
    </row>
    <row r="585">
      <c r="A585" t="inlineStr">
        <is>
          <t>T-2020-P12-0006</t>
        </is>
      </c>
      <c r="B585" t="inlineStr">
        <is>
          <t>SLE</t>
        </is>
      </c>
      <c r="C585" t="inlineStr">
        <is>
          <t>Chairperson</t>
        </is>
      </c>
      <c r="D585" t="inlineStr">
        <is>
          <t>Président</t>
        </is>
      </c>
      <c r="E585" t="inlineStr">
        <is>
          <t>Luc Bélanger</t>
        </is>
      </c>
      <c r="F585" t="inlineStr">
        <is>
          <t>Preside over hearing 'Hishon Transport CART - 1963'</t>
        </is>
      </c>
      <c r="G585" t="inlineStr">
        <is>
          <t>'Présider l'audience 'Hishon Transport CART - 1963'</t>
        </is>
      </c>
      <c r="H585" s="1" t="n">
        <v>43872</v>
      </c>
      <c r="I585" s="1" t="n">
        <v>43875</v>
      </c>
      <c r="J585" t="inlineStr">
        <is>
          <t>Guelph, Ontario, Canada</t>
        </is>
      </c>
      <c r="K585" t="inlineStr">
        <is>
          <t>Guelph, Ontario, Canada</t>
        </is>
      </c>
      <c r="P585" t="n">
        <v>521.21</v>
      </c>
      <c r="Q585" t="n">
        <v>333.05</v>
      </c>
      <c r="R585" t="n">
        <v>501.72</v>
      </c>
      <c r="S585" t="n">
        <v>363.05</v>
      </c>
      <c r="T585" t="n">
        <v>0</v>
      </c>
      <c r="U585" t="n">
        <v>1719.03</v>
      </c>
      <c r="X585" t="inlineStr">
        <is>
          <t>atssc-scdata</t>
        </is>
      </c>
      <c r="Y585" t="inlineStr">
        <is>
          <t>Administrative Tribunals Support Service of Canada | Service canadien d'appui aux tribunaux administratifs</t>
        </is>
      </c>
    </row>
    <row r="586">
      <c r="A586" t="inlineStr">
        <is>
          <t>T-2020-P12-0007</t>
        </is>
      </c>
      <c r="B586" t="inlineStr">
        <is>
          <t>SLE</t>
        </is>
      </c>
      <c r="C586" t="inlineStr">
        <is>
          <t>Chairperson</t>
        </is>
      </c>
      <c r="D586" t="inlineStr">
        <is>
          <t>Président</t>
        </is>
      </c>
      <c r="E586" t="inlineStr">
        <is>
          <t>Luc Bélanger</t>
        </is>
      </c>
      <c r="F586" t="inlineStr">
        <is>
          <t>Preside over hearing 'Audience Luckhart Transport CART -1984'</t>
        </is>
      </c>
      <c r="G586" t="inlineStr">
        <is>
          <t>Présider l'audience 'Audience Luckhart Transport CART -1984'</t>
        </is>
      </c>
      <c r="H586" s="1" t="n">
        <v>43899</v>
      </c>
      <c r="I586" s="1" t="n">
        <v>43903</v>
      </c>
      <c r="J586" t="inlineStr">
        <is>
          <t>Waterloo, Ontario, Canada</t>
        </is>
      </c>
      <c r="K586" t="inlineStr">
        <is>
          <t>Waterloo, Ontario, Canada</t>
        </is>
      </c>
      <c r="P586" t="n">
        <v>443.24</v>
      </c>
      <c r="Q586" t="n">
        <v>369.44</v>
      </c>
      <c r="R586" t="n">
        <v>700.4</v>
      </c>
      <c r="S586" t="n">
        <v>473.1</v>
      </c>
      <c r="T586" t="n">
        <v>0</v>
      </c>
      <c r="U586" t="n">
        <v>1986.18</v>
      </c>
      <c r="X586" t="inlineStr">
        <is>
          <t>atssc-scdata</t>
        </is>
      </c>
      <c r="Y586" t="inlineStr">
        <is>
          <t>Administrative Tribunals Support Service of Canada | Service canadien d'appui aux tribunaux administratifs</t>
        </is>
      </c>
    </row>
    <row r="587">
      <c r="A587" t="inlineStr">
        <is>
          <t>T-2020-P12-0008</t>
        </is>
      </c>
      <c r="B587" t="inlineStr">
        <is>
          <t>SLE</t>
        </is>
      </c>
      <c r="C587" t="inlineStr">
        <is>
          <t>Chairperson</t>
        </is>
      </c>
      <c r="D587" t="inlineStr">
        <is>
          <t>Présidente</t>
        </is>
      </c>
      <c r="E587" t="inlineStr">
        <is>
          <t>Sharilyn Ingram</t>
        </is>
      </c>
      <c r="F587" t="inlineStr">
        <is>
          <t>To attend several meetings</t>
        </is>
      </c>
      <c r="G587" t="inlineStr">
        <is>
          <t>Assister à plusieurs réunions</t>
        </is>
      </c>
      <c r="H587" s="1" t="n">
        <v>43901</v>
      </c>
      <c r="I587" s="1" t="n">
        <v>43903</v>
      </c>
      <c r="J587" t="inlineStr">
        <is>
          <t>Ottawa, Ontario, Canada</t>
        </is>
      </c>
      <c r="K587" t="inlineStr">
        <is>
          <t>Ottawa, Ontario, Canada</t>
        </is>
      </c>
      <c r="P587" t="n">
        <v>701.39</v>
      </c>
      <c r="Q587" t="n">
        <v>247.58</v>
      </c>
      <c r="R587" t="n">
        <v>397.22</v>
      </c>
      <c r="S587" t="n">
        <v>306.05</v>
      </c>
      <c r="T587" t="n">
        <v>0</v>
      </c>
      <c r="U587" t="n">
        <v>1652.24</v>
      </c>
      <c r="X587" t="inlineStr">
        <is>
          <t>atssc-scdata</t>
        </is>
      </c>
      <c r="Y587" t="inlineStr">
        <is>
          <t>Administrative Tribunals Support Service of Canada | Service canadien d'appui aux tribunaux administratifs</t>
        </is>
      </c>
    </row>
    <row r="588">
      <c r="A588" t="inlineStr">
        <is>
          <t>T-2020-P12-0009</t>
        </is>
      </c>
      <c r="B588" t="inlineStr">
        <is>
          <t>SLE</t>
        </is>
      </c>
      <c r="C588" t="inlineStr">
        <is>
          <t>Chairperson</t>
        </is>
      </c>
      <c r="D588" t="inlineStr">
        <is>
          <t>Présidente</t>
        </is>
      </c>
      <c r="E588" t="inlineStr">
        <is>
          <t>Sharilyn Ingram</t>
        </is>
      </c>
      <c r="F588" t="inlineStr">
        <is>
          <t>Annulé - assister au Forum des présidents à Ottawa et assister à une réunion à Patrimoine canadien à Gatineau</t>
        </is>
      </c>
      <c r="G588" t="inlineStr">
        <is>
          <t>Cancelled - to attend Chairs Forum in Ottawa and attend meeting at Canadian Heritage in Gatineau</t>
        </is>
      </c>
      <c r="H588" s="1" t="n">
        <v>43887</v>
      </c>
      <c r="I588" s="1" t="n">
        <v>43887</v>
      </c>
      <c r="J588" t="inlineStr">
        <is>
          <t>Ottawa, Ontario, Canada</t>
        </is>
      </c>
      <c r="K588" t="inlineStr">
        <is>
          <t>Ottawa, Ontario, Canada</t>
        </is>
      </c>
      <c r="P588" t="n">
        <v>22.6</v>
      </c>
      <c r="Q588" t="n">
        <v>90.77</v>
      </c>
      <c r="R588" t="n">
        <v>0</v>
      </c>
      <c r="S588" t="n">
        <v>0</v>
      </c>
      <c r="T588" t="n">
        <v>15.14</v>
      </c>
      <c r="U588" t="n">
        <v>128.51</v>
      </c>
      <c r="V588" t="inlineStr">
        <is>
          <t>Air Canada credit available is $90.77
Cancellation fee is $15.14</t>
        </is>
      </c>
      <c r="W588" t="inlineStr">
        <is>
          <t>Crédit d'air Canada de 90.77$ est disponible
Les frais d'annulation sont de 15.14$</t>
        </is>
      </c>
      <c r="X588" t="inlineStr">
        <is>
          <t>atssc-scdata</t>
        </is>
      </c>
      <c r="Y588" t="inlineStr">
        <is>
          <t>Administrative Tribunals Support Service of Canada | Service canadien d'appui aux tribunaux administratifs</t>
        </is>
      </c>
    </row>
    <row r="589">
      <c r="A589" t="inlineStr">
        <is>
          <t>T-2020-P4-0001</t>
        </is>
      </c>
      <c r="B589" t="inlineStr">
        <is>
          <t>SLE</t>
        </is>
      </c>
      <c r="C589" t="inlineStr">
        <is>
          <t>Chairperson</t>
        </is>
      </c>
      <c r="D589" t="inlineStr">
        <is>
          <t>Président</t>
        </is>
      </c>
      <c r="E589" t="inlineStr">
        <is>
          <t>Bélanger, Luc</t>
        </is>
      </c>
      <c r="F589" t="inlineStr">
        <is>
          <t>Meeting to discuss the subject of the new food safety reform</t>
        </is>
      </c>
      <c r="G589" t="inlineStr">
        <is>
          <t>Rencontre pour aborder le sujet de la nouvelle réforme sur la salubrité des aliments</t>
        </is>
      </c>
      <c r="H589" s="1" t="n">
        <v>44025</v>
      </c>
      <c r="I589" s="1" t="n">
        <v>44028</v>
      </c>
      <c r="J589" t="inlineStr">
        <is>
          <t>Quebec, Quebec, Canada</t>
        </is>
      </c>
      <c r="K589" t="inlineStr">
        <is>
          <t>Québec, Québec, Canada</t>
        </is>
      </c>
      <c r="Q589" t="n">
        <v>541.87</v>
      </c>
      <c r="R589" t="n">
        <v>496.26</v>
      </c>
      <c r="S589" t="n">
        <v>414.85</v>
      </c>
      <c r="U589" t="n">
        <v>1452.98</v>
      </c>
      <c r="X589" t="inlineStr">
        <is>
          <t>atssc-scdata</t>
        </is>
      </c>
      <c r="Y589" t="inlineStr">
        <is>
          <t>Administrative Tribunals Support Service of Canada | Service canadien d'appui aux tribunaux administratifs</t>
        </is>
      </c>
    </row>
    <row r="590">
      <c r="A590" t="inlineStr">
        <is>
          <t>T-2020-P1-0001</t>
        </is>
      </c>
      <c r="B590" t="inlineStr">
        <is>
          <t>SLE</t>
        </is>
      </c>
      <c r="C590" t="inlineStr">
        <is>
          <t>Chairperson</t>
        </is>
      </c>
      <c r="D590" t="inlineStr">
        <is>
          <t>Président</t>
        </is>
      </c>
      <c r="E590" t="inlineStr">
        <is>
          <t>Bélanger, Luc</t>
        </is>
      </c>
      <c r="F590" t="inlineStr">
        <is>
          <t>Rencontre à l'université d'Ottawa</t>
        </is>
      </c>
      <c r="G590" t="inlineStr">
        <is>
          <t>Rencontre à l'université d'Ottawa</t>
        </is>
      </c>
      <c r="H590" s="1" t="n">
        <v>43944</v>
      </c>
      <c r="I590" s="1" t="n">
        <v>43944</v>
      </c>
      <c r="J590" t="inlineStr">
        <is>
          <t>Ottawa, Ontario, Canada</t>
        </is>
      </c>
      <c r="K590" t="inlineStr">
        <is>
          <t>Ottawa, Ontario, Canada</t>
        </is>
      </c>
      <c r="Q590" t="n">
        <v>3.6</v>
      </c>
      <c r="R590" t="n">
        <v>0</v>
      </c>
      <c r="S590" t="n">
        <v>0</v>
      </c>
      <c r="U590" t="n">
        <v>3.6</v>
      </c>
      <c r="X590" t="inlineStr">
        <is>
          <t>atssc-scdata</t>
        </is>
      </c>
      <c r="Y590" t="inlineStr">
        <is>
          <t>Administrative Tribunals Support Service of Canada | Service canadien d'appui aux tribunaux administratifs</t>
        </is>
      </c>
    </row>
    <row r="591">
      <c r="A591" t="inlineStr">
        <is>
          <t>T-2020-P7-0001</t>
        </is>
      </c>
      <c r="B591" t="inlineStr">
        <is>
          <t>SLE</t>
        </is>
      </c>
      <c r="C591" t="inlineStr">
        <is>
          <t>Chairperson</t>
        </is>
      </c>
      <c r="D591" t="inlineStr">
        <is>
          <t>Président</t>
        </is>
      </c>
      <c r="E591" t="inlineStr">
        <is>
          <t>Bélanger, Luc</t>
        </is>
      </c>
      <c r="F591" t="inlineStr">
        <is>
          <t>Meeting to prepare training material for the new food safety reform in Canada</t>
        </is>
      </c>
      <c r="G591" t="inlineStr">
        <is>
          <t>Rencontre pour préparer une formation sur la nouvelle réforme sur la salubrité des aliments au Canada</t>
        </is>
      </c>
      <c r="H591" s="1" t="n">
        <v>44095</v>
      </c>
      <c r="I591" s="1" t="n">
        <v>44098</v>
      </c>
      <c r="J591" t="inlineStr">
        <is>
          <t xml:space="preserve">Toronto, Ontario, Canada </t>
        </is>
      </c>
      <c r="K591" t="inlineStr">
        <is>
          <t>Toronto, Ontario, Canada</t>
        </is>
      </c>
      <c r="Q591" t="n">
        <v>628.37</v>
      </c>
      <c r="R591" t="n">
        <v>695.48</v>
      </c>
      <c r="S591" t="n">
        <v>440.4</v>
      </c>
      <c r="U591" t="n">
        <v>1764.25</v>
      </c>
      <c r="V591" t="inlineStr">
        <is>
          <t>Reimbursment proccessed in October</t>
        </is>
      </c>
      <c r="W591" t="inlineStr">
        <is>
          <t>Remboursement traité en octobre</t>
        </is>
      </c>
      <c r="X591" t="inlineStr">
        <is>
          <t>atssc-scdata</t>
        </is>
      </c>
      <c r="Y591" t="inlineStr">
        <is>
          <t>Administrative Tribunals Support Service of Canada | Service canadien d'appui aux tribunaux administratifs</t>
        </is>
      </c>
    </row>
    <row r="592">
      <c r="A592" t="inlineStr">
        <is>
          <t>T-2021-P7-0001</t>
        </is>
      </c>
      <c r="B592" t="inlineStr">
        <is>
          <t>SLE</t>
        </is>
      </c>
      <c r="C592" t="inlineStr">
        <is>
          <t>Chief Administrator, Deputy</t>
        </is>
      </c>
      <c r="D592" t="inlineStr">
        <is>
          <t>Administrateur en chef adjoint</t>
        </is>
      </c>
      <c r="E592" t="inlineStr">
        <is>
          <t>Covelli, Nick</t>
        </is>
      </c>
      <c r="F592" t="inlineStr">
        <is>
          <t>Senior public sector leadership training</t>
        </is>
      </c>
      <c r="G592" t="inlineStr">
        <is>
          <t>Formation en leadership de haut niveau dans le secteur public</t>
        </is>
      </c>
      <c r="H592" s="1" t="n">
        <v>44451</v>
      </c>
      <c r="I592" s="1" t="n">
        <v>44456</v>
      </c>
      <c r="J592" t="inlineStr">
        <is>
          <t>London (Ontario) Canada</t>
        </is>
      </c>
      <c r="K592" t="inlineStr">
        <is>
          <t>London (Ontario) Canada</t>
        </is>
      </c>
      <c r="Q592" t="n">
        <v>187.13</v>
      </c>
      <c r="R592" t="n">
        <v>154.52</v>
      </c>
      <c r="S592" t="n">
        <v>258.4</v>
      </c>
      <c r="U592" t="n">
        <v>600.05</v>
      </c>
      <c r="X592" t="inlineStr">
        <is>
          <t>atssc-scdata</t>
        </is>
      </c>
      <c r="Y592" t="inlineStr">
        <is>
          <t>Administrative Tribunals Support Service of Canada | Service canadien d'appui aux tribunaux administratifs</t>
        </is>
      </c>
    </row>
    <row r="593">
      <c r="A593" t="inlineStr">
        <is>
          <t>T-2021-P9-0001</t>
        </is>
      </c>
      <c r="B593" t="inlineStr">
        <is>
          <t>SLE</t>
        </is>
      </c>
      <c r="C593" t="inlineStr">
        <is>
          <t>Chairperson</t>
        </is>
      </c>
      <c r="D593" t="inlineStr">
        <is>
          <t>Président</t>
        </is>
      </c>
      <c r="E593" t="inlineStr">
        <is>
          <t>Bélanger, Luc</t>
        </is>
      </c>
      <c r="F593" t="inlineStr">
        <is>
          <t>Pour une audience</t>
        </is>
      </c>
      <c r="G593" t="inlineStr">
        <is>
          <t>For a hearing</t>
        </is>
      </c>
      <c r="H593" s="1" t="n">
        <v>44487</v>
      </c>
      <c r="I593" s="1" t="n">
        <v>44492</v>
      </c>
      <c r="J593" t="inlineStr">
        <is>
          <t>Hamilton (Ontario) Canada</t>
        </is>
      </c>
      <c r="K593" t="inlineStr">
        <is>
          <t>Hamilton (Ontario) Canada</t>
        </is>
      </c>
      <c r="Q593" t="n">
        <v>663.05</v>
      </c>
      <c r="R593" t="n">
        <v>864.15</v>
      </c>
      <c r="S593" t="n">
        <v>679.5</v>
      </c>
      <c r="U593" t="n">
        <v>2206.7</v>
      </c>
      <c r="X593" t="inlineStr">
        <is>
          <t>atssc-scdata</t>
        </is>
      </c>
      <c r="Y593" t="inlineStr">
        <is>
          <t>Administrative Tribunals Support Service of Canada | Service canadien d'appui aux tribunaux administratifs</t>
        </is>
      </c>
    </row>
    <row r="594">
      <c r="A594" t="inlineStr">
        <is>
          <t>T-2021-P9-0002</t>
        </is>
      </c>
      <c r="B594" t="inlineStr">
        <is>
          <t>SLE</t>
        </is>
      </c>
      <c r="C594" t="inlineStr">
        <is>
          <t>Chairperson</t>
        </is>
      </c>
      <c r="D594" t="inlineStr">
        <is>
          <t>Président</t>
        </is>
      </c>
      <c r="E594" t="inlineStr">
        <is>
          <t>Bélanger, Luc</t>
        </is>
      </c>
      <c r="F594" t="inlineStr">
        <is>
          <t>Série de rencontre</t>
        </is>
      </c>
      <c r="G594" t="inlineStr">
        <is>
          <t>Series of meetings</t>
        </is>
      </c>
      <c r="H594" s="1" t="n">
        <v>44500</v>
      </c>
      <c r="I594" s="1" t="n">
        <v>44505</v>
      </c>
      <c r="J594" t="inlineStr">
        <is>
          <t>Toronto (Ontario) Canada</t>
        </is>
      </c>
      <c r="K594" t="inlineStr">
        <is>
          <t>Toronto (Ontario) Canada</t>
        </is>
      </c>
      <c r="Q594" t="n">
        <v>694.6</v>
      </c>
      <c r="R594" t="n">
        <v>1122.3</v>
      </c>
      <c r="S594" t="n">
        <v>658.15</v>
      </c>
      <c r="U594" t="n">
        <v>2475.05</v>
      </c>
      <c r="X594" t="inlineStr">
        <is>
          <t>atssc-scdata</t>
        </is>
      </c>
      <c r="Y594" t="inlineStr">
        <is>
          <t>Administrative Tribunals Support Service of Canada | Service canadien d'appui aux tribunaux administratifs</t>
        </is>
      </c>
    </row>
    <row r="595">
      <c r="A595" t="inlineStr">
        <is>
          <t>T-2023-P1-0001</t>
        </is>
      </c>
      <c r="B595" t="inlineStr">
        <is>
          <t>SLE</t>
        </is>
      </c>
      <c r="C595" t="inlineStr">
        <is>
          <t>Chairperson</t>
        </is>
      </c>
      <c r="D595" t="inlineStr">
        <is>
          <t>Président</t>
        </is>
      </c>
      <c r="E595" t="inlineStr">
        <is>
          <t>Luc Bélanger</t>
        </is>
      </c>
      <c r="F595" t="inlineStr">
        <is>
          <t>For meetings with stakeholders</t>
        </is>
      </c>
      <c r="G595" t="inlineStr">
        <is>
          <t>Pour rencontres avec des intervenants</t>
        </is>
      </c>
      <c r="H595" s="1" t="n">
        <v>44656</v>
      </c>
      <c r="I595" s="1" t="n">
        <v>44659</v>
      </c>
      <c r="J595" t="inlineStr">
        <is>
          <t>Toronto, ON</t>
        </is>
      </c>
      <c r="K595" t="inlineStr">
        <is>
          <t>Toronto, ON</t>
        </is>
      </c>
      <c r="Q595" t="n">
        <v>662.63</v>
      </c>
      <c r="R595" t="n">
        <v>772.11</v>
      </c>
      <c r="S595" t="n">
        <v>364.55</v>
      </c>
      <c r="U595" t="n">
        <v>1799.29</v>
      </c>
      <c r="X595" t="inlineStr">
        <is>
          <t>atssc-scdata</t>
        </is>
      </c>
      <c r="Y595" t="inlineStr">
        <is>
          <t>Administrative Tribunals Support Service of Canada | Service canadien d'appui aux tribunaux administratifs</t>
        </is>
      </c>
    </row>
    <row r="596">
      <c r="A596" t="inlineStr">
        <is>
          <t>T-2023-P1-0002</t>
        </is>
      </c>
      <c r="B596" t="inlineStr">
        <is>
          <t>SLE</t>
        </is>
      </c>
      <c r="C596" t="inlineStr">
        <is>
          <t>Chairperson</t>
        </is>
      </c>
      <c r="D596" t="inlineStr">
        <is>
          <t>Président</t>
        </is>
      </c>
      <c r="E596" t="inlineStr">
        <is>
          <t>Luc Bélanger</t>
        </is>
      </c>
      <c r="F596" t="inlineStr">
        <is>
          <t>For meetings in Vancouver and hearing in Kelowna</t>
        </is>
      </c>
      <c r="G596" t="inlineStr">
        <is>
          <t>Pour rencontres à Vancouver et une audience à Kelowna</t>
        </is>
      </c>
      <c r="H596" s="1" t="n">
        <v>44628</v>
      </c>
      <c r="I596" s="1" t="n">
        <v>44633</v>
      </c>
      <c r="J596" t="inlineStr">
        <is>
          <t>Toronto, ON</t>
        </is>
      </c>
      <c r="K596" t="inlineStr">
        <is>
          <t>Toronto, ON</t>
        </is>
      </c>
      <c r="Q596" t="n">
        <v>372.78</v>
      </c>
      <c r="R596" t="n">
        <v>464.93</v>
      </c>
      <c r="S596" t="n">
        <v>453</v>
      </c>
      <c r="U596" t="n">
        <v>1290.71</v>
      </c>
      <c r="X596" t="inlineStr">
        <is>
          <t>atssc-scdata</t>
        </is>
      </c>
      <c r="Y596" t="inlineStr">
        <is>
          <t>Administrative Tribunals Support Service of Canada | Service canadien d'appui aux tribunaux administratifs</t>
        </is>
      </c>
    </row>
    <row r="597">
      <c r="A597" t="inlineStr">
        <is>
          <t>T-2023-P1-0003</t>
        </is>
      </c>
      <c r="B597" t="inlineStr">
        <is>
          <t>SLE</t>
        </is>
      </c>
      <c r="C597" t="inlineStr">
        <is>
          <t>Chairperson</t>
        </is>
      </c>
      <c r="D597" t="inlineStr">
        <is>
          <t>Président</t>
        </is>
      </c>
      <c r="E597" t="inlineStr">
        <is>
          <t>Luc Bélanger</t>
        </is>
      </c>
      <c r="F597" t="inlineStr">
        <is>
          <t>For a series of meetings</t>
        </is>
      </c>
      <c r="G597" t="inlineStr">
        <is>
          <t>Pour une série de rencontres</t>
        </is>
      </c>
      <c r="H597" s="1" t="n">
        <v>44528</v>
      </c>
      <c r="I597" s="1" t="n">
        <v>44533</v>
      </c>
      <c r="J597" t="inlineStr">
        <is>
          <t>Québec, QC</t>
        </is>
      </c>
      <c r="K597" t="inlineStr">
        <is>
          <t>Quebec, QC</t>
        </is>
      </c>
      <c r="Q597" t="n">
        <v>596.7</v>
      </c>
      <c r="R597" t="n">
        <v>793.33</v>
      </c>
      <c r="S597" t="n">
        <v>544.9</v>
      </c>
      <c r="U597" t="n">
        <v>1934.93</v>
      </c>
      <c r="X597" t="inlineStr">
        <is>
          <t>atssc-scdata</t>
        </is>
      </c>
      <c r="Y597" t="inlineStr">
        <is>
          <t>Administrative Tribunals Support Service of Canada | Service canadien d'appui aux tribunaux administratifs</t>
        </is>
      </c>
    </row>
    <row r="598">
      <c r="A598" t="inlineStr">
        <is>
          <t>T-2023-P1-0004</t>
        </is>
      </c>
      <c r="B598" t="inlineStr">
        <is>
          <t>SLE</t>
        </is>
      </c>
      <c r="C598" t="inlineStr">
        <is>
          <t>Chief Administrator, Deputy</t>
        </is>
      </c>
      <c r="D598" t="inlineStr">
        <is>
          <t>Administrateur en chef adjoint</t>
        </is>
      </c>
      <c r="E598" t="inlineStr">
        <is>
          <t>Nick Covelli</t>
        </is>
      </c>
      <c r="F598" t="inlineStr">
        <is>
          <t>Senior public sector leadership training</t>
        </is>
      </c>
      <c r="G598" t="inlineStr">
        <is>
          <t>Formation en leadership de haut niveau dans le secteur public</t>
        </is>
      </c>
      <c r="H598" s="1" t="n">
        <v>44657</v>
      </c>
      <c r="I598" s="1" t="n">
        <v>44661</v>
      </c>
      <c r="J598" t="inlineStr">
        <is>
          <t>London, On</t>
        </is>
      </c>
      <c r="K598" t="inlineStr">
        <is>
          <t>London, On</t>
        </is>
      </c>
      <c r="Q598" t="n">
        <v>198.18</v>
      </c>
      <c r="R598" t="n">
        <v>0</v>
      </c>
      <c r="S598" t="n">
        <v>73.25</v>
      </c>
      <c r="T598" t="n">
        <v>0</v>
      </c>
      <c r="U598" t="n">
        <v>271.43</v>
      </c>
      <c r="X598" t="inlineStr">
        <is>
          <t>atssc-scdata</t>
        </is>
      </c>
      <c r="Y598" t="inlineStr">
        <is>
          <t>Administrative Tribunals Support Service of Canada | Service canadien d'appui aux tribunaux administratifs</t>
        </is>
      </c>
    </row>
    <row r="599">
      <c r="A599" t="inlineStr">
        <is>
          <t>T-2022-P2-0001</t>
        </is>
      </c>
      <c r="B599" t="inlineStr">
        <is>
          <t>SLE</t>
        </is>
      </c>
      <c r="C599" t="inlineStr">
        <is>
          <t>Chairperson</t>
        </is>
      </c>
      <c r="D599" t="inlineStr">
        <is>
          <t>Présidente</t>
        </is>
      </c>
      <c r="E599" t="inlineStr">
        <is>
          <t>Brazeau, Ginette</t>
        </is>
      </c>
      <c r="F599" t="inlineStr">
        <is>
          <t>Attend National Academy of
Arbitrators Conference</t>
        </is>
      </c>
      <c r="G599" t="inlineStr">
        <is>
          <t>Participer à conférence pour
National Academy
of Arbitrators</t>
        </is>
      </c>
      <c r="H599" s="1" t="n">
        <v>44690</v>
      </c>
      <c r="I599" s="1" t="n">
        <v>44695</v>
      </c>
      <c r="J599" t="inlineStr">
        <is>
          <t>Toronto (Ontario) Canada</t>
        </is>
      </c>
      <c r="K599" t="inlineStr">
        <is>
          <t>Toronto (Ontario) Canada</t>
        </is>
      </c>
      <c r="Q599" t="n">
        <v>547.4</v>
      </c>
      <c r="R599" t="n">
        <v>701.58</v>
      </c>
      <c r="S599" t="n">
        <v>365.45</v>
      </c>
      <c r="U599" t="n">
        <v>1614.43</v>
      </c>
      <c r="X599" t="inlineStr">
        <is>
          <t>atssc-scdata</t>
        </is>
      </c>
      <c r="Y599" t="inlineStr">
        <is>
          <t>Administrative Tribunals Support Service of Canada | Service canadien d'appui aux tribunaux administratifs</t>
        </is>
      </c>
    </row>
    <row r="600">
      <c r="A600" t="inlineStr">
        <is>
          <t>T-2022-P2-0002</t>
        </is>
      </c>
      <c r="B600" t="inlineStr">
        <is>
          <t>SLE</t>
        </is>
      </c>
      <c r="C600" t="inlineStr">
        <is>
          <t>Chairperson</t>
        </is>
      </c>
      <c r="D600" t="inlineStr">
        <is>
          <t>Président</t>
        </is>
      </c>
      <c r="E600" t="inlineStr">
        <is>
          <t>Vermette, Patrick</t>
        </is>
      </c>
      <c r="F600" t="inlineStr">
        <is>
          <t>Hearing</t>
        </is>
      </c>
      <c r="G600" t="inlineStr">
        <is>
          <t>Audience</t>
        </is>
      </c>
      <c r="H600" s="1" t="n">
        <v>44689</v>
      </c>
      <c r="I600" s="1" t="n">
        <v>44694</v>
      </c>
      <c r="J600" t="inlineStr">
        <is>
          <t>Vancouver (British Columbia) Canda</t>
        </is>
      </c>
      <c r="K600" t="inlineStr">
        <is>
          <t>Vancouver (Colombie-Britannique) Canada</t>
        </is>
      </c>
      <c r="Q600" t="n">
        <v>566.03</v>
      </c>
      <c r="R600" t="n">
        <v>1489.65</v>
      </c>
      <c r="S600" t="n">
        <v>636.55</v>
      </c>
      <c r="U600" t="n">
        <v>2692.23</v>
      </c>
      <c r="X600" t="inlineStr">
        <is>
          <t>atssc-scdata</t>
        </is>
      </c>
      <c r="Y600" t="inlineStr">
        <is>
          <t>Administrative Tribunals Support Service of Canada | Service canadien d'appui aux tribunaux administratifs</t>
        </is>
      </c>
    </row>
    <row r="601">
      <c r="A601" t="inlineStr">
        <is>
          <t>T-2022-P3-0001</t>
        </is>
      </c>
      <c r="B601" t="inlineStr">
        <is>
          <t>SLE</t>
        </is>
      </c>
      <c r="C601" t="inlineStr">
        <is>
          <t>Chairperson</t>
        </is>
      </c>
      <c r="D601" t="inlineStr">
        <is>
          <t>Présidente</t>
        </is>
      </c>
      <c r="E601" t="inlineStr">
        <is>
          <t>Ingram, Sharilyn</t>
        </is>
      </c>
      <c r="F601" t="inlineStr">
        <is>
          <t>Attend a board meeting</t>
        </is>
      </c>
      <c r="G601" t="inlineStr">
        <is>
          <t>Assister à une réunion du conseil</t>
        </is>
      </c>
      <c r="H601" s="1" t="n">
        <v>44718</v>
      </c>
      <c r="I601" s="1" t="n">
        <v>44722</v>
      </c>
      <c r="J601" t="inlineStr">
        <is>
          <t>Ottawa (Ontario) Canada</t>
        </is>
      </c>
      <c r="K601" t="inlineStr">
        <is>
          <t>Ottawa (Ontario) Canada</t>
        </is>
      </c>
      <c r="P601" t="n">
        <v>877.16</v>
      </c>
      <c r="Q601" t="n">
        <v>298.42</v>
      </c>
      <c r="R601" t="n">
        <v>233.86</v>
      </c>
      <c r="S601" t="n">
        <v>556.85</v>
      </c>
      <c r="U601" t="n">
        <v>1966.29</v>
      </c>
      <c r="X601" t="inlineStr">
        <is>
          <t>atssc-scdata</t>
        </is>
      </c>
      <c r="Y601" t="inlineStr">
        <is>
          <t>Administrative Tribunals Support Service of Canada | Service canadien d'appui aux tribunaux administratifs</t>
        </is>
      </c>
    </row>
    <row r="602">
      <c r="A602" t="inlineStr">
        <is>
          <t>T-2022-P3-0003</t>
        </is>
      </c>
      <c r="B602" t="inlineStr">
        <is>
          <t>SLE</t>
        </is>
      </c>
      <c r="C602" t="inlineStr">
        <is>
          <t>Chairperson</t>
        </is>
      </c>
      <c r="D602" t="inlineStr">
        <is>
          <t>Président</t>
        </is>
      </c>
      <c r="E602" t="inlineStr">
        <is>
          <t>Vermette, Patrick</t>
        </is>
      </c>
      <c r="F602" t="inlineStr">
        <is>
          <t>Attend meetings</t>
        </is>
      </c>
      <c r="G602" t="inlineStr">
        <is>
          <t>Assisster à des rencontres</t>
        </is>
      </c>
      <c r="H602" s="1" t="n">
        <v>44727</v>
      </c>
      <c r="I602" s="1" t="n">
        <v>44729</v>
      </c>
      <c r="J602" t="inlineStr">
        <is>
          <t>Ottawa (Ontario) Canada</t>
        </is>
      </c>
      <c r="K602" t="inlineStr">
        <is>
          <t>Ottawa (Ontario) Canada</t>
        </is>
      </c>
      <c r="Q602" t="n">
        <v>218.5</v>
      </c>
      <c r="R602" t="n">
        <v>561.74</v>
      </c>
      <c r="S602" t="n">
        <v>248.8</v>
      </c>
      <c r="U602" t="n">
        <v>1029.04</v>
      </c>
      <c r="X602" t="inlineStr">
        <is>
          <t>atssc-scdata</t>
        </is>
      </c>
      <c r="Y602" t="inlineStr">
        <is>
          <t>Administrative Tribunals Support Service of Canada | Service canadien d'appui aux tribunaux administratifs</t>
        </is>
      </c>
    </row>
    <row r="603">
      <c r="A603" t="inlineStr">
        <is>
          <t>T-2022-P2-0004</t>
        </is>
      </c>
      <c r="B603" t="inlineStr">
        <is>
          <t>SLE</t>
        </is>
      </c>
      <c r="C603" t="inlineStr">
        <is>
          <t>Chairperson</t>
        </is>
      </c>
      <c r="D603" t="inlineStr">
        <is>
          <t>Président</t>
        </is>
      </c>
      <c r="E603" t="inlineStr">
        <is>
          <t>Bélanger, Luc</t>
        </is>
      </c>
      <c r="F603" t="inlineStr">
        <is>
          <t>Hearing</t>
        </is>
      </c>
      <c r="G603" t="inlineStr">
        <is>
          <t>Audience</t>
        </is>
      </c>
      <c r="H603" s="1" t="n">
        <v>44697</v>
      </c>
      <c r="I603" s="1" t="n">
        <v>44699</v>
      </c>
      <c r="J603" t="inlineStr">
        <is>
          <t>London (Ontario) Canada</t>
        </is>
      </c>
      <c r="K603" t="inlineStr">
        <is>
          <t>London (Ontario) Canada</t>
        </is>
      </c>
      <c r="P603" t="n">
        <v>861.12</v>
      </c>
      <c r="Q603" t="n">
        <v>81.09999999999999</v>
      </c>
      <c r="R603" t="n">
        <v>392.52</v>
      </c>
      <c r="S603" t="n">
        <v>270.95</v>
      </c>
      <c r="T603" t="n">
        <v>72</v>
      </c>
      <c r="U603" t="n">
        <v>1677.69</v>
      </c>
      <c r="X603" t="inlineStr">
        <is>
          <t>atssc-scdata</t>
        </is>
      </c>
      <c r="Y603" t="inlineStr">
        <is>
          <t>Administrative Tribunals Support Service of Canada | Service canadien d'appui aux tribunaux administratifs</t>
        </is>
      </c>
    </row>
    <row r="604">
      <c r="A604" t="inlineStr">
        <is>
          <t>T-2022-P2-0005</t>
        </is>
      </c>
      <c r="B604" t="inlineStr">
        <is>
          <t>SLE</t>
        </is>
      </c>
      <c r="C604" t="inlineStr">
        <is>
          <t>Chairperson</t>
        </is>
      </c>
      <c r="D604" t="inlineStr">
        <is>
          <t>Président</t>
        </is>
      </c>
      <c r="E604" t="inlineStr">
        <is>
          <t>Seppey, Frédéric</t>
        </is>
      </c>
      <c r="F604" t="inlineStr">
        <is>
          <t xml:space="preserve"> 43rd Annual International Trade Update</t>
        </is>
      </c>
      <c r="G604" t="inlineStr">
        <is>
          <t>43e mise à jour annuelle sur le commerce international</t>
        </is>
      </c>
      <c r="H604" s="1" t="n">
        <v>44703</v>
      </c>
      <c r="I604" s="1" t="n">
        <v>44707</v>
      </c>
      <c r="J604" t="inlineStr">
        <is>
          <t>Washington (District of Columbia) United States</t>
        </is>
      </c>
      <c r="K604" t="inlineStr">
        <is>
          <t>Washington, District de Columbia, États-Unis</t>
        </is>
      </c>
      <c r="P604" t="n">
        <v>666.63</v>
      </c>
      <c r="Q604" t="n">
        <v>133.22</v>
      </c>
      <c r="R604" t="n">
        <v>1166.02</v>
      </c>
      <c r="S604" t="n">
        <v>403.75</v>
      </c>
      <c r="T604" t="n">
        <v>45</v>
      </c>
      <c r="U604" t="n">
        <v>2414.62</v>
      </c>
      <c r="X604" t="inlineStr">
        <is>
          <t>atssc-scdata</t>
        </is>
      </c>
      <c r="Y604" t="inlineStr">
        <is>
          <t>Administrative Tribunals Support Service of Canada | Service canadien d'appui aux tribunaux administratifs</t>
        </is>
      </c>
    </row>
    <row r="605">
      <c r="A605" t="inlineStr">
        <is>
          <t>T-2022-P2-0006</t>
        </is>
      </c>
      <c r="B605" t="inlineStr">
        <is>
          <t>SLE</t>
        </is>
      </c>
      <c r="C605" t="inlineStr">
        <is>
          <t>Chairperson</t>
        </is>
      </c>
      <c r="D605" t="inlineStr">
        <is>
          <t>Président</t>
        </is>
      </c>
      <c r="E605" t="inlineStr">
        <is>
          <t>Bramwell, Edith</t>
        </is>
      </c>
      <c r="F605" t="inlineStr">
        <is>
          <t>Attend an annual meeting and conference</t>
        </is>
      </c>
      <c r="G605" t="inlineStr">
        <is>
          <t xml:space="preserve">Assister à une rencontre annuelle et une conférence </t>
        </is>
      </c>
      <c r="H605" s="1" t="n">
        <v>44690</v>
      </c>
      <c r="I605" s="1" t="n">
        <v>44692</v>
      </c>
      <c r="J605" t="inlineStr">
        <is>
          <t>Toronto (Ontario) Canada</t>
        </is>
      </c>
      <c r="K605" t="inlineStr">
        <is>
          <t>Toronto (Ontario) Canada</t>
        </is>
      </c>
      <c r="Q605" t="n">
        <v>379.62</v>
      </c>
      <c r="R605" t="n">
        <v>606.42</v>
      </c>
      <c r="S605" t="n">
        <v>204.5</v>
      </c>
      <c r="U605" t="n">
        <v>1190.54</v>
      </c>
      <c r="X605" t="inlineStr">
        <is>
          <t>atssc-scdata</t>
        </is>
      </c>
      <c r="Y605" t="inlineStr">
        <is>
          <t>Administrative Tribunals Support Service of Canada | Service canadien d'appui aux tribunaux administratifs</t>
        </is>
      </c>
    </row>
    <row r="606">
      <c r="A606" t="inlineStr">
        <is>
          <t>T-2022-P2-0007</t>
        </is>
      </c>
      <c r="B606" t="inlineStr">
        <is>
          <t>SLE</t>
        </is>
      </c>
      <c r="C606" t="inlineStr">
        <is>
          <t>Chairperson</t>
        </is>
      </c>
      <c r="D606" t="inlineStr">
        <is>
          <t>Président</t>
        </is>
      </c>
      <c r="E606" t="inlineStr">
        <is>
          <t>Bramwell, Edith</t>
        </is>
      </c>
      <c r="F606" t="inlineStr">
        <is>
          <t>Attend a conference</t>
        </is>
      </c>
      <c r="G606" t="inlineStr">
        <is>
          <t>Assister à une conférence</t>
        </is>
      </c>
      <c r="H606" s="1" t="n">
        <v>44693</v>
      </c>
      <c r="I606" s="1" t="n">
        <v>44694</v>
      </c>
      <c r="J606" t="inlineStr">
        <is>
          <t>Ottawa (Ontario) Canada</t>
        </is>
      </c>
      <c r="K606" t="inlineStr">
        <is>
          <t>Ottawa (Ontario) Canada</t>
        </is>
      </c>
      <c r="R606" t="n">
        <v>26</v>
      </c>
      <c r="S606" t="n">
        <v>0</v>
      </c>
      <c r="U606" t="n">
        <v>26</v>
      </c>
      <c r="X606" t="inlineStr">
        <is>
          <t>atssc-scdata</t>
        </is>
      </c>
      <c r="Y606" t="inlineStr">
        <is>
          <t>Administrative Tribunals Support Service of Canada | Service canadien d'appui aux tribunaux administratifs</t>
        </is>
      </c>
    </row>
    <row r="607">
      <c r="A607" t="inlineStr">
        <is>
          <t>T-2022-P3-0008</t>
        </is>
      </c>
      <c r="B607" t="inlineStr">
        <is>
          <t>SLE</t>
        </is>
      </c>
      <c r="C607" t="inlineStr">
        <is>
          <t>Chairperson</t>
        </is>
      </c>
      <c r="D607" t="inlineStr">
        <is>
          <t>Président</t>
        </is>
      </c>
      <c r="E607" t="inlineStr">
        <is>
          <t>Bramwell, Edith</t>
        </is>
      </c>
      <c r="F607" t="inlineStr">
        <is>
          <t>Attend a conference</t>
        </is>
      </c>
      <c r="G607" t="inlineStr">
        <is>
          <t>Assister à une conférence</t>
        </is>
      </c>
      <c r="H607" s="1" t="n">
        <v>44719</v>
      </c>
      <c r="I607" s="1" t="n">
        <v>44719</v>
      </c>
      <c r="J607" t="inlineStr">
        <is>
          <t>Ottawa (Ontario) Canada</t>
        </is>
      </c>
      <c r="K607" t="inlineStr">
        <is>
          <t>Ottawa (Ontario) Canada</t>
        </is>
      </c>
      <c r="R607" t="n">
        <v>41.27</v>
      </c>
      <c r="S607" t="n">
        <v>0</v>
      </c>
      <c r="U607" t="n">
        <v>41.27</v>
      </c>
      <c r="X607" t="inlineStr">
        <is>
          <t>atssc-scdata</t>
        </is>
      </c>
      <c r="Y607" t="inlineStr">
        <is>
          <t>Administrative Tribunals Support Service of Canada | Service canadien d'appui aux tribunaux administratifs</t>
        </is>
      </c>
    </row>
    <row r="608">
      <c r="A608" t="inlineStr">
        <is>
          <t>T-2023-P6-0001</t>
        </is>
      </c>
      <c r="B608" t="inlineStr">
        <is>
          <t>SLE</t>
        </is>
      </c>
      <c r="C608" t="inlineStr">
        <is>
          <t>Chairperson</t>
        </is>
      </c>
      <c r="D608" t="inlineStr">
        <is>
          <t>Présidente</t>
        </is>
      </c>
      <c r="E608" t="inlineStr">
        <is>
          <t>Brazeau, Ginette</t>
        </is>
      </c>
      <c r="F608" t="inlineStr">
        <is>
          <t>Hearing</t>
        </is>
      </c>
      <c r="G608" t="inlineStr">
        <is>
          <t>Audience</t>
        </is>
      </c>
      <c r="H608" s="1" t="n">
        <v>44818</v>
      </c>
      <c r="I608" s="1" t="n">
        <v>44821</v>
      </c>
      <c r="J608" t="inlineStr">
        <is>
          <t>Vancouver (British Columbia) Canada</t>
        </is>
      </c>
      <c r="K608" t="inlineStr">
        <is>
          <t>Vancouver (Colombie-Britannique) Canada</t>
        </is>
      </c>
      <c r="P608" t="n">
        <v>1724.61</v>
      </c>
      <c r="Q608" t="n">
        <v>205.74</v>
      </c>
      <c r="R608" t="n">
        <v>736.71</v>
      </c>
      <c r="S608" t="n">
        <v>418.95</v>
      </c>
      <c r="U608" t="n">
        <v>3086.01</v>
      </c>
      <c r="X608" t="inlineStr">
        <is>
          <t>atssc-scdata</t>
        </is>
      </c>
      <c r="Y608" t="inlineStr">
        <is>
          <t>Administrative Tribunals Support Service of Canada | Service canadien d'appui aux tribunaux administratifs</t>
        </is>
      </c>
    </row>
    <row r="609">
      <c r="A609" t="inlineStr">
        <is>
          <t>T-2023-P6-0002</t>
        </is>
      </c>
      <c r="B609" t="inlineStr">
        <is>
          <t>SLE</t>
        </is>
      </c>
      <c r="C609" t="inlineStr">
        <is>
          <t>Chairperson</t>
        </is>
      </c>
      <c r="D609" t="inlineStr">
        <is>
          <t>Président</t>
        </is>
      </c>
      <c r="E609" t="inlineStr">
        <is>
          <t>Vermette, Patrick</t>
        </is>
      </c>
      <c r="F609" t="inlineStr">
        <is>
          <t>Head office meeting</t>
        </is>
      </c>
      <c r="G609" t="inlineStr">
        <is>
          <t>Réunion du siège social</t>
        </is>
      </c>
      <c r="H609" s="1" t="n">
        <v>44827</v>
      </c>
      <c r="I609" s="1" t="n">
        <v>44827</v>
      </c>
      <c r="J609" t="inlineStr">
        <is>
          <t>Ottawa (Ontario) Canada</t>
        </is>
      </c>
      <c r="K609" t="inlineStr">
        <is>
          <t>Ottawa (Ontario) Canada</t>
        </is>
      </c>
      <c r="Q609" t="n">
        <v>235.5</v>
      </c>
      <c r="R609" t="n">
        <v>0</v>
      </c>
      <c r="S609" t="n">
        <v>0</v>
      </c>
      <c r="U609" t="n">
        <v>235.5</v>
      </c>
      <c r="X609" t="inlineStr">
        <is>
          <t>atssc-scdata</t>
        </is>
      </c>
      <c r="Y609" t="inlineStr">
        <is>
          <t>Administrative Tribunals Support Service of Canada | Service canadien d'appui aux tribunaux administratifs</t>
        </is>
      </c>
    </row>
    <row r="610">
      <c r="A610" t="inlineStr">
        <is>
          <t>T-2023-P7-0001</t>
        </is>
      </c>
      <c r="B610" t="inlineStr">
        <is>
          <t>SLE</t>
        </is>
      </c>
      <c r="C610" t="inlineStr">
        <is>
          <t>Chairperson</t>
        </is>
      </c>
      <c r="D610" t="inlineStr">
        <is>
          <t>Présidente</t>
        </is>
      </c>
      <c r="E610" t="inlineStr">
        <is>
          <t>Sharilyn J. Ingram</t>
        </is>
      </c>
      <c r="F610" t="inlineStr">
        <is>
          <t xml:space="preserve">Board meeting </t>
        </is>
      </c>
      <c r="G610" t="inlineStr">
        <is>
          <t>Réunion du Conseil</t>
        </is>
      </c>
      <c r="H610" s="1" t="n">
        <v>44811</v>
      </c>
      <c r="I610" s="1" t="n">
        <v>44813</v>
      </c>
      <c r="J610" t="inlineStr">
        <is>
          <t>Ottawa, ON, Canada</t>
        </is>
      </c>
      <c r="K610" t="inlineStr">
        <is>
          <t>Ottawa, ON, Canada</t>
        </is>
      </c>
      <c r="P610" t="n">
        <v>561.89</v>
      </c>
      <c r="Q610" t="n">
        <v>288.42</v>
      </c>
      <c r="R610" t="n">
        <v>666.33</v>
      </c>
      <c r="S610" t="n">
        <v>441.1</v>
      </c>
      <c r="U610" t="n">
        <v>1957.74</v>
      </c>
      <c r="X610" t="inlineStr">
        <is>
          <t>atssc-scdata</t>
        </is>
      </c>
      <c r="Y610" t="inlineStr">
        <is>
          <t>Administrative Tribunals Support Service of Canada | Service canadien d'appui aux tribunaux administratifs</t>
        </is>
      </c>
    </row>
    <row r="611">
      <c r="A611" t="inlineStr">
        <is>
          <t>T-2023-P8-0001</t>
        </is>
      </c>
      <c r="B611" t="inlineStr">
        <is>
          <t>SLE</t>
        </is>
      </c>
      <c r="C611" t="inlineStr">
        <is>
          <t>Chairperson</t>
        </is>
      </c>
      <c r="D611" t="inlineStr">
        <is>
          <t>Présidente</t>
        </is>
      </c>
      <c r="E611" t="inlineStr">
        <is>
          <t>Patrick Vermette</t>
        </is>
      </c>
      <c r="F611" t="inlineStr">
        <is>
          <t>Training of the new ViceChair</t>
        </is>
      </c>
      <c r="G611" t="inlineStr">
        <is>
          <t>Formation du nouveauvice-président</t>
        </is>
      </c>
      <c r="H611" s="1" t="n">
        <v>44864</v>
      </c>
      <c r="I611" s="1" t="n">
        <v>44869</v>
      </c>
      <c r="J611" t="inlineStr">
        <is>
          <t>Ottawa, ON, Canada</t>
        </is>
      </c>
      <c r="K611" t="inlineStr">
        <is>
          <t>Ottawa, ON, Canada</t>
        </is>
      </c>
      <c r="P611" t="n">
        <v>0</v>
      </c>
      <c r="Q611" t="n">
        <v>315.06</v>
      </c>
      <c r="R611" t="n">
        <v>1116.05</v>
      </c>
      <c r="S611" t="n">
        <v>616.05</v>
      </c>
      <c r="U611" t="n">
        <v>2047.16</v>
      </c>
      <c r="X611" t="inlineStr">
        <is>
          <t>atssc-scdata</t>
        </is>
      </c>
      <c r="Y611" t="inlineStr">
        <is>
          <t>Administrative Tribunals Support Service of Canada | Service canadien d'appui aux tribunaux administratifs</t>
        </is>
      </c>
    </row>
    <row r="612">
      <c r="A612" t="inlineStr">
        <is>
          <t>T-2023-P8-0002</t>
        </is>
      </c>
      <c r="B612" t="inlineStr">
        <is>
          <t>SLE</t>
        </is>
      </c>
      <c r="C612" t="inlineStr">
        <is>
          <t>Chairperson</t>
        </is>
      </c>
      <c r="D612" t="inlineStr">
        <is>
          <t>Présidente</t>
        </is>
      </c>
      <c r="E612" t="inlineStr">
        <is>
          <t>Luc Bélanger</t>
        </is>
      </c>
      <c r="F612" t="inlineStr">
        <is>
          <t>Meet with agri-food lawexperts and animal behavior</t>
        </is>
      </c>
      <c r="G612" t="inlineStr">
        <is>
          <t>Rencontrer les experts en droit agroalimentaire et en comportement animal.</t>
        </is>
      </c>
      <c r="H612" s="1" t="n">
        <v>44851</v>
      </c>
      <c r="I612" s="1" t="n">
        <v>44854</v>
      </c>
      <c r="J612" t="inlineStr">
        <is>
          <t>Toronto , ON, Canada</t>
        </is>
      </c>
      <c r="K612" t="inlineStr">
        <is>
          <t>Toronto , ON, Canada</t>
        </is>
      </c>
      <c r="P612" t="n">
        <v>0</v>
      </c>
      <c r="Q612" t="n">
        <v>828.71</v>
      </c>
      <c r="R612" t="n">
        <v>666.33</v>
      </c>
      <c r="S612" t="n">
        <v>456.2</v>
      </c>
      <c r="U612" t="n">
        <v>1951.24</v>
      </c>
      <c r="X612" t="inlineStr">
        <is>
          <t>atssc-scdata</t>
        </is>
      </c>
      <c r="Y612" t="inlineStr">
        <is>
          <t>Administrative Tribunals Support Service of Canada | Service canadien d'appui aux tribunaux administratifs</t>
        </is>
      </c>
    </row>
    <row r="613">
      <c r="A613" t="inlineStr">
        <is>
          <t>T-2023-P8-0003</t>
        </is>
      </c>
      <c r="B613" t="inlineStr">
        <is>
          <t>SLE</t>
        </is>
      </c>
      <c r="C613" t="inlineStr">
        <is>
          <t>Chairperson</t>
        </is>
      </c>
      <c r="D613" t="inlineStr">
        <is>
          <t>Présidente</t>
        </is>
      </c>
      <c r="E613" t="inlineStr">
        <is>
          <t>Frédéric Seppey</t>
        </is>
      </c>
      <c r="F613" t="inlineStr">
        <is>
          <t>2022 Seoul InternationalForum on Trade Remedies</t>
        </is>
      </c>
      <c r="G613" t="inlineStr">
        <is>
          <t>2022 Forum international de Séoulsur les recours commerciaux</t>
        </is>
      </c>
      <c r="H613" s="1" t="n">
        <v>44844</v>
      </c>
      <c r="I613" s="1" t="n">
        <v>44849</v>
      </c>
      <c r="J613" t="inlineStr">
        <is>
          <t>Seoul,South-Korea</t>
        </is>
      </c>
      <c r="K613" t="inlineStr">
        <is>
          <t>Seoul,Corée du Sud</t>
        </is>
      </c>
      <c r="P613" t="n">
        <v>4661.54</v>
      </c>
      <c r="Q613" t="n">
        <v>162.12</v>
      </c>
      <c r="R613" t="n">
        <v>580.3099999999999</v>
      </c>
      <c r="S613" t="n">
        <v>616.12</v>
      </c>
      <c r="T613" t="n">
        <v>34.31</v>
      </c>
      <c r="U613" t="n">
        <v>6054.4</v>
      </c>
      <c r="X613" t="inlineStr">
        <is>
          <t>atssc-scdata</t>
        </is>
      </c>
      <c r="Y613" t="inlineStr">
        <is>
          <t>Administrative Tribunals Support Service of Canada | Service canadien d'appui aux tribunaux administratifs</t>
        </is>
      </c>
    </row>
    <row r="614">
      <c r="A614" t="inlineStr">
        <is>
          <t>T-2023-P9-0001</t>
        </is>
      </c>
      <c r="B614" t="inlineStr">
        <is>
          <t>SLE</t>
        </is>
      </c>
      <c r="C614" t="inlineStr">
        <is>
          <t>Chairperson</t>
        </is>
      </c>
      <c r="D614" t="inlineStr">
        <is>
          <t>Présidente</t>
        </is>
      </c>
      <c r="E614" t="inlineStr">
        <is>
          <t>Edith Bramwell</t>
        </is>
      </c>
      <c r="F614" t="inlineStr">
        <is>
          <t>Bargaining in the BroaderPublic Sector Conference</t>
        </is>
      </c>
      <c r="G614" t="inlineStr">
        <is>
          <t>Conférence surla négociation dans lesecteur public</t>
        </is>
      </c>
      <c r="H614" s="1" t="n">
        <v>44887</v>
      </c>
      <c r="I614" s="1" t="n">
        <v>44890</v>
      </c>
      <c r="J614" t="inlineStr">
        <is>
          <t xml:space="preserve">Toronto (Ontario) Canada </t>
        </is>
      </c>
      <c r="K614" t="inlineStr">
        <is>
          <t xml:space="preserve">Toronto (Ontario) Canada </t>
        </is>
      </c>
      <c r="Q614" t="n">
        <v>305.5</v>
      </c>
      <c r="R614" t="n">
        <v>913.14</v>
      </c>
      <c r="S614" t="n">
        <v>386.7</v>
      </c>
      <c r="U614" t="n">
        <v>1605.34</v>
      </c>
      <c r="X614" t="inlineStr">
        <is>
          <t>atssc-scdata</t>
        </is>
      </c>
      <c r="Y614" t="inlineStr">
        <is>
          <t>Administrative Tribunals Support Service of Canada | Service canadien d'appui aux tribunaux administratifs</t>
        </is>
      </c>
    </row>
    <row r="615">
      <c r="A615" t="inlineStr">
        <is>
          <t>T-2023-P11-0001</t>
        </is>
      </c>
      <c r="B615" t="inlineStr">
        <is>
          <t>SLE</t>
        </is>
      </c>
      <c r="C615" t="inlineStr">
        <is>
          <t>Chairperson</t>
        </is>
      </c>
      <c r="D615" t="inlineStr">
        <is>
          <t>Présidente</t>
        </is>
      </c>
      <c r="E615" t="inlineStr">
        <is>
          <t>Ginette Brazeau</t>
        </is>
      </c>
      <c r="F615" t="inlineStr">
        <is>
          <t>The 25th Anniversary of theNational Labour ArbitrationCompetition</t>
        </is>
      </c>
      <c r="G615" t="inlineStr">
        <is>
          <t>Le 25e anniversaire de laCompétition nationaled'arbitrage du travail</t>
        </is>
      </c>
      <c r="H615" s="1" t="n">
        <v>44960</v>
      </c>
      <c r="I615" s="1" t="n">
        <v>44962</v>
      </c>
      <c r="J615" t="inlineStr">
        <is>
          <t xml:space="preserve">Toronto (Ontario) Canada </t>
        </is>
      </c>
      <c r="K615" t="inlineStr">
        <is>
          <t xml:space="preserve">Toronto (Ontario) Canada </t>
        </is>
      </c>
      <c r="Q615" t="n">
        <v>610.97</v>
      </c>
      <c r="R615" t="n">
        <v>498.28</v>
      </c>
      <c r="S615" t="n">
        <v>114</v>
      </c>
      <c r="U615" t="n">
        <v>1223.25</v>
      </c>
      <c r="X615" t="inlineStr">
        <is>
          <t>atssc-scdata</t>
        </is>
      </c>
      <c r="Y615" t="inlineStr">
        <is>
          <t>Administrative Tribunals Support Service of Canada | Service canadien d'appui aux tribunaux administratifs</t>
        </is>
      </c>
    </row>
    <row r="616">
      <c r="A616" t="inlineStr">
        <is>
          <t>T-2023-P11-0002</t>
        </is>
      </c>
      <c r="B616" t="inlineStr">
        <is>
          <t>SLE</t>
        </is>
      </c>
      <c r="C616" t="inlineStr">
        <is>
          <t>Chairperson</t>
        </is>
      </c>
      <c r="D616" t="inlineStr">
        <is>
          <t>Présidente</t>
        </is>
      </c>
      <c r="E616" t="inlineStr">
        <is>
          <t>Sharilyn J. Ingram</t>
        </is>
      </c>
      <c r="F616" t="inlineStr">
        <is>
          <t>Special meeting of theMembers to discuss possiblelegislative projects</t>
        </is>
      </c>
      <c r="G616" t="inlineStr">
        <is>
          <t>Réunion spéciale desmembres afin de discuterd'éventuels projetslégislatifs</t>
        </is>
      </c>
      <c r="H616" s="1" t="n">
        <v>44947</v>
      </c>
      <c r="I616" s="1" t="n">
        <v>44949</v>
      </c>
      <c r="J616" t="inlineStr">
        <is>
          <t>Victoria, BC,Canada</t>
        </is>
      </c>
      <c r="K616" t="inlineStr">
        <is>
          <t>Victoria, C-B,Canada</t>
        </is>
      </c>
      <c r="P616" t="n">
        <v>1462.36</v>
      </c>
      <c r="Q616" t="n">
        <v>214.42</v>
      </c>
      <c r="R616" t="n">
        <v>544.8</v>
      </c>
      <c r="S616" t="n">
        <v>456.2</v>
      </c>
      <c r="U616" t="n">
        <v>2677.78</v>
      </c>
      <c r="X616" t="inlineStr">
        <is>
          <t>atssc-scdata</t>
        </is>
      </c>
      <c r="Y616" t="inlineStr">
        <is>
          <t>Administrative Tribunals Support Service of Canada | Service canadien d'appui aux tribunaux administratifs</t>
        </is>
      </c>
    </row>
    <row r="617">
      <c r="A617" t="inlineStr">
        <is>
          <t>T-2023-P12-0001</t>
        </is>
      </c>
      <c r="B617" t="inlineStr">
        <is>
          <t>SLE</t>
        </is>
      </c>
      <c r="C617" t="inlineStr">
        <is>
          <t>Chairperson</t>
        </is>
      </c>
      <c r="D617" t="inlineStr">
        <is>
          <t>Présidente</t>
        </is>
      </c>
      <c r="E617" t="inlineStr">
        <is>
          <t>Jennifer Khurana</t>
        </is>
      </c>
      <c r="F617" t="inlineStr">
        <is>
          <t>Conference (Laskin mootCourt Competition)</t>
        </is>
      </c>
      <c r="G617" t="inlineStr">
        <is>
          <t>Conférence (Concours deplaidoirie Laskin)</t>
        </is>
      </c>
      <c r="H617" s="1" t="n">
        <v>44980</v>
      </c>
      <c r="I617" s="1" t="n">
        <v>44982</v>
      </c>
      <c r="J617" t="inlineStr">
        <is>
          <t>Halifax,N-S, Canada</t>
        </is>
      </c>
      <c r="K617" t="inlineStr">
        <is>
          <t>Halifax,N-É, Canada</t>
        </is>
      </c>
      <c r="P617" t="n">
        <v>872.3</v>
      </c>
      <c r="Q617" t="n">
        <v>198.27</v>
      </c>
      <c r="R617" t="n">
        <v>398.82</v>
      </c>
      <c r="S617" t="n">
        <v>210.7</v>
      </c>
      <c r="U617" t="n">
        <v>1680.09</v>
      </c>
      <c r="X617" t="inlineStr">
        <is>
          <t>atssc-scdata</t>
        </is>
      </c>
      <c r="Y617" t="inlineStr">
        <is>
          <t>Administrative Tribunals Support Service of Canada | Service canadien d'appui aux tribunaux administratifs</t>
        </is>
      </c>
    </row>
    <row r="618">
      <c r="A618" t="inlineStr">
        <is>
          <t>T-2023-P12-0002</t>
        </is>
      </c>
      <c r="B618" t="inlineStr">
        <is>
          <t>SLE</t>
        </is>
      </c>
      <c r="C618" t="inlineStr">
        <is>
          <t>Chairperson</t>
        </is>
      </c>
      <c r="D618" t="inlineStr">
        <is>
          <t>Présidente</t>
        </is>
      </c>
      <c r="E618" t="inlineStr">
        <is>
          <t>Sharilyn J. Ingram</t>
        </is>
      </c>
      <c r="F618" t="inlineStr">
        <is>
          <t>Board Members' meeting</t>
        </is>
      </c>
      <c r="G618" t="inlineStr">
        <is>
          <t>Réunion des membres duconseil</t>
        </is>
      </c>
      <c r="H618" s="1" t="n">
        <v>45004</v>
      </c>
      <c r="I618" s="1" t="n">
        <v>45009</v>
      </c>
      <c r="J618" t="inlineStr">
        <is>
          <t>Ottawa,Ontario,Canada</t>
        </is>
      </c>
      <c r="K618" t="inlineStr">
        <is>
          <t>Ottawa,Ontario,Canada</t>
        </is>
      </c>
      <c r="P618" t="n">
        <v>700.2</v>
      </c>
      <c r="Q618" t="n">
        <v>385.64</v>
      </c>
      <c r="R618" t="n">
        <v>1169.3</v>
      </c>
      <c r="S618" t="n">
        <v>672.65</v>
      </c>
      <c r="U618" t="n">
        <v>2927.79</v>
      </c>
      <c r="X618" t="inlineStr">
        <is>
          <t>atssc-scdata</t>
        </is>
      </c>
      <c r="Y618" t="inlineStr">
        <is>
          <t>Administrative Tribunals Support Service of Canada | Service canadien d'appui aux tribunaux administratifs</t>
        </is>
      </c>
    </row>
    <row r="619">
      <c r="A619" t="inlineStr">
        <is>
          <t>T-2024-P02-0001</t>
        </is>
      </c>
      <c r="B619" t="inlineStr">
        <is>
          <t>SLE</t>
        </is>
      </c>
      <c r="C619" t="inlineStr">
        <is>
          <t>Chairperson</t>
        </is>
      </c>
      <c r="D619" t="inlineStr">
        <is>
          <t>Présidente</t>
        </is>
      </c>
      <c r="E619" t="inlineStr">
        <is>
          <t>Ginette Brazeau</t>
        </is>
      </c>
      <c r="F619" t="inlineStr">
        <is>
          <t>2023 Annual Meeting &amp;Education Conference -National Academy ofArbitrators</t>
        </is>
      </c>
      <c r="G619" t="inlineStr">
        <is>
          <t>Assemblée annuelle et conférence éducative 2023 – Académie nationale des arbitres</t>
        </is>
      </c>
      <c r="H619" s="1" t="n">
        <v>45049</v>
      </c>
      <c r="I619" s="1" t="n">
        <v>45052</v>
      </c>
      <c r="J619" t="inlineStr">
        <is>
          <t>Denver,Colorado,USA</t>
        </is>
      </c>
      <c r="K619" t="inlineStr">
        <is>
          <t>Denver,Colorado,États-Unis</t>
        </is>
      </c>
      <c r="P619" t="n">
        <v>1244.63</v>
      </c>
      <c r="Q619" t="n">
        <v>261.05</v>
      </c>
      <c r="R619" t="n">
        <v>1104.2</v>
      </c>
      <c r="S619" t="n">
        <v>396.04</v>
      </c>
      <c r="U619" t="n">
        <v>3005.92</v>
      </c>
      <c r="X619" t="inlineStr">
        <is>
          <t>atssc-scdata</t>
        </is>
      </c>
      <c r="Y619" t="inlineStr">
        <is>
          <t>Administrative Tribunals Support Service of Canada | Service canadien d'appui aux tribunaux administratifs</t>
        </is>
      </c>
    </row>
    <row r="620">
      <c r="A620" t="inlineStr">
        <is>
          <t>T-2024-P03-0001</t>
        </is>
      </c>
      <c r="B620" t="inlineStr">
        <is>
          <t>SLE</t>
        </is>
      </c>
      <c r="C620" t="inlineStr">
        <is>
          <t>Chairperson</t>
        </is>
      </c>
      <c r="D620" t="inlineStr">
        <is>
          <t>Présidente</t>
        </is>
      </c>
      <c r="E620" t="inlineStr">
        <is>
          <t>Sharilyn J. Ingram</t>
        </is>
      </c>
      <c r="F620" t="inlineStr">
        <is>
          <t xml:space="preserve">Board Members' meeting </t>
        </is>
      </c>
      <c r="G620" t="inlineStr">
        <is>
          <t>Réunion des membres du conseil</t>
        </is>
      </c>
      <c r="H620" s="1" t="n">
        <v>45082</v>
      </c>
      <c r="I620" s="1" t="n">
        <v>45086</v>
      </c>
      <c r="J620" t="inlineStr">
        <is>
          <t>Ottawa (Ontario) Canada</t>
        </is>
      </c>
      <c r="K620" t="inlineStr">
        <is>
          <t>Ottawa (Ontario) Canada</t>
        </is>
      </c>
      <c r="Q620" t="n">
        <v>783.78</v>
      </c>
      <c r="R620" t="n">
        <v>935.4400000000001</v>
      </c>
      <c r="S620" t="n">
        <v>593.4</v>
      </c>
      <c r="U620" t="n">
        <v>2312.62</v>
      </c>
      <c r="X620" t="inlineStr">
        <is>
          <t>atssc-scdata</t>
        </is>
      </c>
      <c r="Y620" t="inlineStr">
        <is>
          <t>Administrative Tribunals Support Service of Canada | Service canadien d'appui aux tribunaux administratifs</t>
        </is>
      </c>
    </row>
    <row r="621">
      <c r="A621" t="inlineStr">
        <is>
          <t>T-2024-P04-0001</t>
        </is>
      </c>
      <c r="B621" t="inlineStr">
        <is>
          <t>SLE</t>
        </is>
      </c>
      <c r="C621" t="inlineStr">
        <is>
          <t>Chairperson</t>
        </is>
      </c>
      <c r="D621" t="inlineStr">
        <is>
          <t>Présidente</t>
        </is>
      </c>
      <c r="E621" t="inlineStr">
        <is>
          <t>Edith Bramwell</t>
        </is>
      </c>
      <c r="F621" t="inlineStr">
        <is>
          <t>Attend the 70th annual conference of the Association Labor Relations Agencies (ALRA)</t>
        </is>
      </c>
      <c r="G621" t="inlineStr">
        <is>
          <t>Assister à la 70e conférence annuelle de Association of Labor Relations Agencies (ALRA)</t>
        </is>
      </c>
      <c r="H621" s="1" t="n">
        <v>45121</v>
      </c>
      <c r="I621" s="1" t="n">
        <v>45126</v>
      </c>
      <c r="J621" t="inlineStr">
        <is>
          <t>Vancouver, BC, Canada</t>
        </is>
      </c>
      <c r="K621" t="inlineStr">
        <is>
          <t>Vancouver, C- B, Canada</t>
        </is>
      </c>
      <c r="P621" t="n">
        <v>3221.22</v>
      </c>
      <c r="Q621" t="n">
        <v>133.79</v>
      </c>
      <c r="R621" t="n">
        <v>1683.4</v>
      </c>
      <c r="S621" t="n">
        <v>409.6</v>
      </c>
      <c r="U621" t="n">
        <v>5448.01</v>
      </c>
      <c r="X621" t="inlineStr">
        <is>
          <t>atssc-scdata</t>
        </is>
      </c>
      <c r="Y621" t="inlineStr">
        <is>
          <t>Administrative Tribunals Support Service of Canada | Service canadien d'appui aux tribunaux administratifs</t>
        </is>
      </c>
    </row>
    <row r="622">
      <c r="A622" t="inlineStr">
        <is>
          <t>T-2024-P05-0001</t>
        </is>
      </c>
      <c r="B622" t="inlineStr">
        <is>
          <t>SLE</t>
        </is>
      </c>
      <c r="C622" t="inlineStr">
        <is>
          <t>Chairperson</t>
        </is>
      </c>
      <c r="D622" t="inlineStr">
        <is>
          <t>Présidente</t>
        </is>
      </c>
      <c r="E622" t="inlineStr">
        <is>
          <t>Ginette Brazeau</t>
        </is>
      </c>
      <c r="F622" t="inlineStr">
        <is>
          <t>Ministerial Referral regarding BritishColumbia ports in the labour disputebetween International Longshore andWarehouse Union Canada and BritishColumbia Maritime EmployeesAssociation</t>
        </is>
      </c>
      <c r="G622" t="inlineStr">
        <is>
          <t>Renvoi Ministériel concernant les ports de Colombie Britannique dans le conflit de travail entre International Longshore and Warehouse Union Canada et British Columbia Maritime Employees Association</t>
        </is>
      </c>
      <c r="H622" s="1" t="n">
        <v>45137</v>
      </c>
      <c r="I622" s="1" t="n">
        <v>45139</v>
      </c>
      <c r="J622" t="inlineStr">
        <is>
          <t>Vancouver, BC, Canada</t>
        </is>
      </c>
      <c r="K622" t="inlineStr">
        <is>
          <t>Vancouver, C- B, Canada</t>
        </is>
      </c>
      <c r="P622" t="n">
        <v>1828.88</v>
      </c>
      <c r="Q622" t="n">
        <v>181.96</v>
      </c>
      <c r="R622" t="n">
        <v>605.78</v>
      </c>
      <c r="S622" t="n">
        <v>311.6</v>
      </c>
      <c r="U622" t="n">
        <v>2928.22</v>
      </c>
      <c r="X622" t="inlineStr">
        <is>
          <t>atssc-scdata</t>
        </is>
      </c>
      <c r="Y622" t="inlineStr">
        <is>
          <t>Administrative Tribunals Support Service of Canada | Service canadien d'appui aux tribunaux administratifs</t>
        </is>
      </c>
    </row>
    <row r="623">
      <c r="A623" t="inlineStr">
        <is>
          <t>T-2024-P06-0001</t>
        </is>
      </c>
      <c r="B623" t="inlineStr">
        <is>
          <t>SLE</t>
        </is>
      </c>
      <c r="C623" t="inlineStr">
        <is>
          <t>Chairperson</t>
        </is>
      </c>
      <c r="D623" t="inlineStr">
        <is>
          <t>Président</t>
        </is>
      </c>
      <c r="E623" t="inlineStr">
        <is>
          <t>Gary Drouin</t>
        </is>
      </c>
      <c r="F623" t="inlineStr">
        <is>
          <t>Hearing</t>
        </is>
      </c>
      <c r="G623" t="inlineStr">
        <is>
          <t>Audience</t>
        </is>
      </c>
      <c r="H623" s="1" t="n">
        <v>45159</v>
      </c>
      <c r="I623" s="1" t="n">
        <v>45161</v>
      </c>
      <c r="J623" t="inlineStr">
        <is>
          <t xml:space="preserve">Quebec,QC, Canada </t>
        </is>
      </c>
      <c r="K623" t="inlineStr">
        <is>
          <t xml:space="preserve">Québec,QC, Canada </t>
        </is>
      </c>
      <c r="Q623" t="n">
        <v>580.6900000000001</v>
      </c>
      <c r="R623" t="n">
        <v>473.64</v>
      </c>
      <c r="S623" t="n">
        <v>288</v>
      </c>
      <c r="U623" t="n">
        <v>1342.33</v>
      </c>
      <c r="X623" t="inlineStr">
        <is>
          <t>atssc-scdata</t>
        </is>
      </c>
      <c r="Y623" t="inlineStr">
        <is>
          <t>Administrative Tribunals Support Service of Canada | Service canadien d'appui aux tribunaux administratifs</t>
        </is>
      </c>
    </row>
    <row r="624">
      <c r="A624" t="inlineStr">
        <is>
          <t>T-2024-P06-0002</t>
        </is>
      </c>
      <c r="B624" t="inlineStr">
        <is>
          <t>SLE</t>
        </is>
      </c>
      <c r="C624" t="inlineStr">
        <is>
          <t>Chairperson</t>
        </is>
      </c>
      <c r="D624" t="inlineStr">
        <is>
          <t>Présidente</t>
        </is>
      </c>
      <c r="E624" t="inlineStr">
        <is>
          <t>Jennifer Khurana</t>
        </is>
      </c>
      <c r="F624" t="inlineStr">
        <is>
          <t>Mediation</t>
        </is>
      </c>
      <c r="G624" t="inlineStr">
        <is>
          <t>Médiation</t>
        </is>
      </c>
      <c r="H624" s="1" t="n">
        <v>45173</v>
      </c>
      <c r="I624" s="1" t="n">
        <v>45176</v>
      </c>
      <c r="J624" t="inlineStr">
        <is>
          <t>Warkworth,ON, Canada</t>
        </is>
      </c>
      <c r="K624" t="inlineStr">
        <is>
          <t>Warkworth,ON, Canada</t>
        </is>
      </c>
      <c r="Q624" t="n">
        <v>168.06</v>
      </c>
      <c r="R624" t="n">
        <v>197.43</v>
      </c>
      <c r="S624" t="n">
        <v>257.8</v>
      </c>
      <c r="U624" t="n">
        <v>623.29</v>
      </c>
      <c r="X624" t="inlineStr">
        <is>
          <t>atssc-scdata</t>
        </is>
      </c>
      <c r="Y624" t="inlineStr">
        <is>
          <t>Administrative Tribunals Support Service of Canada | Service canadien d'appui aux tribunaux administratifs</t>
        </is>
      </c>
    </row>
    <row r="625">
      <c r="A625" t="inlineStr">
        <is>
          <t>T-2024-P07-0001</t>
        </is>
      </c>
      <c r="B625" t="inlineStr">
        <is>
          <t>SLE</t>
        </is>
      </c>
      <c r="C625" t="inlineStr">
        <is>
          <t>Chairperson</t>
        </is>
      </c>
      <c r="D625" t="inlineStr">
        <is>
          <t>Présidente</t>
        </is>
      </c>
      <c r="E625" t="inlineStr">
        <is>
          <t>Edith Bramwell</t>
        </is>
      </c>
      <c r="F625" t="inlineStr">
        <is>
          <t>Annual Labour Relations Board Chair Conference</t>
        </is>
      </c>
      <c r="G625" t="inlineStr">
        <is>
          <t>Conférence annuelle des présidents des commissions des relations du travail</t>
        </is>
      </c>
      <c r="H625" s="1" t="n">
        <v>45189</v>
      </c>
      <c r="I625" s="1" t="n">
        <v>45191</v>
      </c>
      <c r="J625" t="inlineStr">
        <is>
          <t>Charlottetown, PEI, Canada</t>
        </is>
      </c>
      <c r="K625" t="inlineStr">
        <is>
          <t>Charlottetown, Î.- P.-É. , Canada</t>
        </is>
      </c>
      <c r="P625" t="n">
        <v>1661.26</v>
      </c>
      <c r="Q625" t="n">
        <v>69.14</v>
      </c>
      <c r="R625" t="n">
        <v>515.2</v>
      </c>
      <c r="S625" t="n">
        <v>134.4</v>
      </c>
      <c r="T625" t="n">
        <v>0</v>
      </c>
      <c r="U625" t="n">
        <v>2380</v>
      </c>
      <c r="X625" t="inlineStr">
        <is>
          <t>atssc-scdata</t>
        </is>
      </c>
      <c r="Y625" t="inlineStr">
        <is>
          <t>Administrative Tribunals Support Service of Canada | Service canadien d'appui aux tribunaux administratifs</t>
        </is>
      </c>
    </row>
    <row r="626">
      <c r="A626" t="inlineStr">
        <is>
          <t>T-2024-P07-0002</t>
        </is>
      </c>
      <c r="B626" t="inlineStr">
        <is>
          <t>SLE</t>
        </is>
      </c>
      <c r="C626" t="inlineStr">
        <is>
          <t>Chairperson</t>
        </is>
      </c>
      <c r="D626" t="inlineStr">
        <is>
          <t>Présidente</t>
        </is>
      </c>
      <c r="E626" t="inlineStr">
        <is>
          <t>Ginette Brazeau</t>
        </is>
      </c>
      <c r="F626" t="inlineStr">
        <is>
          <t>Annual Labour Relations Board Chair Conference</t>
        </is>
      </c>
      <c r="G626" t="inlineStr">
        <is>
          <t>Conférence annuelle des présidents des commissions des relations du travail</t>
        </is>
      </c>
      <c r="H626" s="1" t="n">
        <v>45189</v>
      </c>
      <c r="I626" s="1" t="n">
        <v>45191</v>
      </c>
      <c r="J626" t="inlineStr">
        <is>
          <t>Charlottetown, PEI, Canada</t>
        </is>
      </c>
      <c r="K626" t="inlineStr">
        <is>
          <t>Charlottetown, Î.- P.-É. , Canada</t>
        </is>
      </c>
      <c r="P626" t="n">
        <v>1668.32</v>
      </c>
      <c r="Q626" t="n">
        <v>103.9</v>
      </c>
      <c r="R626" t="n">
        <v>515.2</v>
      </c>
      <c r="S626" t="n">
        <v>134.4</v>
      </c>
      <c r="T626" t="n">
        <v>0</v>
      </c>
      <c r="U626" t="n">
        <v>2421.82</v>
      </c>
      <c r="X626" t="inlineStr">
        <is>
          <t>atssc-scdata</t>
        </is>
      </c>
      <c r="Y626" t="inlineStr">
        <is>
          <t>Administrative Tribunals Support Service of Canada | Service canadien d'appui aux tribunaux administratifs</t>
        </is>
      </c>
    </row>
    <row r="627">
      <c r="A627" t="inlineStr">
        <is>
          <t>T-2024-P07-0003</t>
        </is>
      </c>
      <c r="B627" t="inlineStr">
        <is>
          <t>SLE</t>
        </is>
      </c>
      <c r="C627" t="inlineStr">
        <is>
          <t>Chairperson</t>
        </is>
      </c>
      <c r="D627" t="inlineStr">
        <is>
          <t>Président</t>
        </is>
      </c>
      <c r="E627" t="inlineStr">
        <is>
          <t>Frédéric Seppey</t>
        </is>
      </c>
      <c r="F627" t="inlineStr">
        <is>
          <t>Meeting of Heads of Trade Remedies Investigating Authorities, World Trade Organisation</t>
        </is>
      </c>
      <c r="G627" t="inlineStr">
        <is>
          <t>Réunion des chefs des autorités chargées des enquêtes en matière de recours commerciaux de l'Organisation mondiale du commerce</t>
        </is>
      </c>
      <c r="H627" s="1" t="n">
        <v>45044</v>
      </c>
      <c r="I627" s="1" t="n">
        <v>45055</v>
      </c>
      <c r="J627" t="inlineStr">
        <is>
          <t>Geneva, Switzerland</t>
        </is>
      </c>
      <c r="K627" t="inlineStr">
        <is>
          <t>Genève, Suisse</t>
        </is>
      </c>
      <c r="P627" t="n">
        <v>2928.28</v>
      </c>
      <c r="Q627" t="n">
        <v>193.46</v>
      </c>
      <c r="R627" t="n">
        <v>1793.11</v>
      </c>
      <c r="S627" t="n">
        <v>1592.8</v>
      </c>
      <c r="T627" t="n">
        <v>37.75</v>
      </c>
      <c r="U627" t="n">
        <v>6545.4</v>
      </c>
      <c r="X627" t="inlineStr">
        <is>
          <t>atssc-scdata</t>
        </is>
      </c>
      <c r="Y627" t="inlineStr">
        <is>
          <t>Administrative Tribunals Support Service of Canada | Service canadien d'appui aux tribunaux administratifs</t>
        </is>
      </c>
    </row>
    <row r="628">
      <c r="A628" t="inlineStr">
        <is>
          <t>T-2024-P08-0001</t>
        </is>
      </c>
      <c r="B628" t="inlineStr">
        <is>
          <t>SLE</t>
        </is>
      </c>
      <c r="C628" t="inlineStr">
        <is>
          <t>Chairperson</t>
        </is>
      </c>
      <c r="D628" t="inlineStr">
        <is>
          <t>Présidente</t>
        </is>
      </c>
      <c r="E628" t="inlineStr">
        <is>
          <t>Jennifer Khurana</t>
        </is>
      </c>
      <c r="F628" t="inlineStr">
        <is>
          <t>Mediation</t>
        </is>
      </c>
      <c r="G628" t="inlineStr">
        <is>
          <t>Médiation</t>
        </is>
      </c>
      <c r="H628" s="1" t="n">
        <v>45209</v>
      </c>
      <c r="I628" s="1" t="n">
        <v>45212</v>
      </c>
      <c r="J628" t="inlineStr">
        <is>
          <t xml:space="preserve">Mission,BC, Canada </t>
        </is>
      </c>
      <c r="K628" t="inlineStr">
        <is>
          <t xml:space="preserve">Mission,C-B, Canada </t>
        </is>
      </c>
      <c r="P628" t="n">
        <v>975.73</v>
      </c>
      <c r="Q628" t="n">
        <v>564.46</v>
      </c>
      <c r="R628" t="n">
        <v>406.78</v>
      </c>
      <c r="S628" t="n">
        <v>307.2</v>
      </c>
      <c r="U628" t="n">
        <v>2254.17</v>
      </c>
      <c r="X628" t="inlineStr">
        <is>
          <t>atssc-scdata</t>
        </is>
      </c>
      <c r="Y628" t="inlineStr">
        <is>
          <t>Administrative Tribunals Support Service of Canada | Service canadien d'appui aux tribunaux administratifs</t>
        </is>
      </c>
    </row>
    <row r="629">
      <c r="A629" t="inlineStr">
        <is>
          <t>T-2024-P08-0002</t>
        </is>
      </c>
      <c r="B629" t="inlineStr">
        <is>
          <t>SLE</t>
        </is>
      </c>
      <c r="C629" t="inlineStr">
        <is>
          <t>Chairperson</t>
        </is>
      </c>
      <c r="D629" t="inlineStr">
        <is>
          <t>Présidente</t>
        </is>
      </c>
      <c r="E629" t="inlineStr">
        <is>
          <t>Shirley Netten</t>
        </is>
      </c>
      <c r="F629" t="inlineStr">
        <is>
          <t>Attend SOAR's 35th Annual Conference - The Administrative Forest: Pathways to Justice</t>
        </is>
      </c>
      <c r="G629" t="inlineStr">
        <is>
          <t>Assister à la 35ème conférence annuelle de SOAR - La forêt administrative : Les voies de la justice</t>
        </is>
      </c>
      <c r="H629" s="1" t="n">
        <v>45231</v>
      </c>
      <c r="I629" s="1" t="n">
        <v>45233</v>
      </c>
      <c r="J629" t="inlineStr">
        <is>
          <t xml:space="preserve">Toronto,On, Canada </t>
        </is>
      </c>
      <c r="K629" t="inlineStr">
        <is>
          <t xml:space="preserve">Toronto,On, Canada </t>
        </is>
      </c>
      <c r="P629" t="n">
        <v>0</v>
      </c>
      <c r="Q629" t="n">
        <v>612.0599999999999</v>
      </c>
      <c r="R629" t="n">
        <v>467.15</v>
      </c>
      <c r="S629" t="n">
        <v>270.8</v>
      </c>
      <c r="U629" t="n">
        <v>1350.01</v>
      </c>
      <c r="X629" t="inlineStr">
        <is>
          <t>atssc-scdata</t>
        </is>
      </c>
      <c r="Y629" t="inlineStr">
        <is>
          <t>Administrative Tribunals Support Service of Canada | Service canadien d'appui aux tribunaux administratifs</t>
        </is>
      </c>
    </row>
    <row r="630">
      <c r="A630" t="inlineStr">
        <is>
          <t>T-2024-P08-0003</t>
        </is>
      </c>
      <c r="B630" t="inlineStr">
        <is>
          <t>SLE</t>
        </is>
      </c>
      <c r="C630" t="inlineStr">
        <is>
          <t>Chairperson</t>
        </is>
      </c>
      <c r="D630" t="inlineStr">
        <is>
          <t>Président</t>
        </is>
      </c>
      <c r="E630" t="inlineStr">
        <is>
          <t>Gary Drouin</t>
        </is>
      </c>
      <c r="F630" t="inlineStr">
        <is>
          <t>Attend the 67th Air Safety Forum (ASF)</t>
        </is>
      </c>
      <c r="G630" t="inlineStr">
        <is>
          <t xml:space="preserve">Assister au 67ème Forum sur la sécurité aérienne </t>
        </is>
      </c>
      <c r="H630" s="1" t="n">
        <v>45180</v>
      </c>
      <c r="I630" s="1" t="n">
        <v>45183</v>
      </c>
      <c r="J630" t="inlineStr">
        <is>
          <t xml:space="preserve">Chicago, Illinois, USA </t>
        </is>
      </c>
      <c r="K630" t="inlineStr">
        <is>
          <t xml:space="preserve">Chicago, Illinois, États-Unis </t>
        </is>
      </c>
      <c r="P630" t="n">
        <v>1781.82</v>
      </c>
      <c r="Q630" t="n">
        <v>410.46</v>
      </c>
      <c r="R630" t="n">
        <v>1617.5</v>
      </c>
      <c r="S630" t="n">
        <v>728.3200000000001</v>
      </c>
      <c r="T630" t="n">
        <v>74.58</v>
      </c>
      <c r="U630" t="n">
        <v>4612.68</v>
      </c>
      <c r="X630" t="inlineStr">
        <is>
          <t>atssc-scdata</t>
        </is>
      </c>
      <c r="Y630" t="inlineStr">
        <is>
          <t>Administrative Tribunals Support Service of Canada | Service canadien d'appui aux tribunaux administratifs</t>
        </is>
      </c>
    </row>
    <row r="631">
      <c r="A631" t="inlineStr">
        <is>
          <t>T-2024-P9-0001</t>
        </is>
      </c>
      <c r="B631" t="inlineStr">
        <is>
          <t>SLE</t>
        </is>
      </c>
      <c r="C631" t="inlineStr">
        <is>
          <t>Chairperson</t>
        </is>
      </c>
      <c r="D631" t="inlineStr">
        <is>
          <t>Président</t>
        </is>
      </c>
      <c r="E631" t="inlineStr">
        <is>
          <t>Gary Drouin</t>
        </is>
      </c>
      <c r="F631" t="inlineStr">
        <is>
          <t>Rail Symposium</t>
        </is>
      </c>
      <c r="G631" t="inlineStr">
        <is>
          <t>Symposium ferroviaire</t>
        </is>
      </c>
      <c r="H631" s="1" t="n">
        <v>45244</v>
      </c>
      <c r="I631" s="1" t="n">
        <v>45246</v>
      </c>
      <c r="J631" t="inlineStr">
        <is>
          <t>Montreal, QC, Canada</t>
        </is>
      </c>
      <c r="K631" t="inlineStr">
        <is>
          <t>Montréal, QC, Canada</t>
        </is>
      </c>
      <c r="Q631" t="n">
        <v>305.25</v>
      </c>
      <c r="R631" t="n">
        <v>687.84</v>
      </c>
      <c r="S631" t="n">
        <v>161.65</v>
      </c>
      <c r="U631" t="n">
        <v>1154.74</v>
      </c>
      <c r="X631" t="inlineStr">
        <is>
          <t>atssc-scdata</t>
        </is>
      </c>
      <c r="Y631" t="inlineStr">
        <is>
          <t>Administrative Tribunals Support Service of Canada | Service canadien d'appui aux tribunaux administratifs</t>
        </is>
      </c>
    </row>
    <row r="632">
      <c r="A632" t="inlineStr">
        <is>
          <t>T-2024-P9-0002</t>
        </is>
      </c>
      <c r="B632" t="inlineStr">
        <is>
          <t>SLE</t>
        </is>
      </c>
      <c r="C632" t="inlineStr">
        <is>
          <t>Chairperson, Federal Public Sector Labour Relations and Employment Board</t>
        </is>
      </c>
      <c r="D632" t="inlineStr">
        <is>
          <t>Présidente, Commission des relations de travail et de l'emploi dans le secteur public fédéral</t>
        </is>
      </c>
      <c r="E632" t="inlineStr">
        <is>
          <t>Bramwell, Edith</t>
        </is>
      </c>
      <c r="F632" t="inlineStr">
        <is>
          <t>Attend the Lancaster House conference in Toronto on bargaining In the broader public sector conference and labour arbitration and policy conference</t>
        </is>
      </c>
      <c r="G632" t="inlineStr">
        <is>
          <t>Assister à la conférence de Lancaster House à Toronto sur la négociation dans le secteur public élargi et la conférence sur l'arbitrage et la politique du travail</t>
        </is>
      </c>
      <c r="H632" s="1" t="n">
        <v>45263</v>
      </c>
      <c r="I632" s="1" t="n">
        <v>45266</v>
      </c>
      <c r="J632" t="inlineStr">
        <is>
          <t>Toronto, Ontario , Canada</t>
        </is>
      </c>
      <c r="K632" t="inlineStr">
        <is>
          <t>Toronto, Ontario, Canada</t>
        </is>
      </c>
      <c r="P632" t="n">
        <v>447.76</v>
      </c>
      <c r="Q632" t="n">
        <v>136.94</v>
      </c>
      <c r="R632" t="n">
        <v>916.3200000000001</v>
      </c>
      <c r="S632" t="n">
        <v>299.55</v>
      </c>
      <c r="U632" t="n">
        <v>1800.57</v>
      </c>
      <c r="X632" t="inlineStr">
        <is>
          <t>atssc-scdata</t>
        </is>
      </c>
      <c r="Y632" t="inlineStr">
        <is>
          <t>Administrative Tribunals Support Service of Canada | Service canadien d'appui aux tribunaux administratifs</t>
        </is>
      </c>
    </row>
    <row r="633">
      <c r="A633" t="inlineStr">
        <is>
          <t>T-2024-P12-0001</t>
        </is>
      </c>
      <c r="B633" t="inlineStr">
        <is>
          <t>SLE</t>
        </is>
      </c>
      <c r="C633" t="inlineStr">
        <is>
          <t>Chairperson</t>
        </is>
      </c>
      <c r="D633" t="inlineStr">
        <is>
          <t>Présidente</t>
        </is>
      </c>
      <c r="E633" t="inlineStr">
        <is>
          <t>Jennifer Khurana</t>
        </is>
      </c>
      <c r="F633" t="inlineStr">
        <is>
          <t>Conduct a hearing in Vancouver</t>
        </is>
      </c>
      <c r="G633" t="inlineStr">
        <is>
          <t>Tenir une audience à Vancouver</t>
        </is>
      </c>
      <c r="H633" s="1" t="n">
        <v>45377</v>
      </c>
      <c r="I633" s="1" t="n">
        <v>45380</v>
      </c>
      <c r="J633" t="inlineStr">
        <is>
          <t>Vancouver (British Columbia) Canada</t>
        </is>
      </c>
      <c r="K633" t="inlineStr">
        <is>
          <t>Vancouver (Colombie-Britannique) Canada</t>
        </is>
      </c>
      <c r="P633" t="n">
        <v>984.09</v>
      </c>
      <c r="Q633" t="n">
        <v>143.06</v>
      </c>
      <c r="R633" t="n">
        <v>684.21</v>
      </c>
      <c r="S633" t="n">
        <v>446.55</v>
      </c>
      <c r="U633" t="n">
        <v>2257.91</v>
      </c>
      <c r="X633" t="inlineStr">
        <is>
          <t>atssc-scdata</t>
        </is>
      </c>
      <c r="Y633" t="inlineStr">
        <is>
          <t>Administrative Tribunals Support Service of Canada | Service canadien d'appui aux tribunaux administratifs</t>
        </is>
      </c>
    </row>
    <row r="634">
      <c r="A634" t="inlineStr">
        <is>
          <t>T-2024-P12-0002</t>
        </is>
      </c>
      <c r="B634" t="inlineStr">
        <is>
          <t>SLE</t>
        </is>
      </c>
      <c r="C634" t="inlineStr">
        <is>
          <t>Chairperson</t>
        </is>
      </c>
      <c r="D634" t="inlineStr">
        <is>
          <t>Présidente</t>
        </is>
      </c>
      <c r="E634" t="inlineStr">
        <is>
          <t>Jennifer Khurana</t>
        </is>
      </c>
      <c r="F634" t="inlineStr">
        <is>
          <t>Laskin Moot court competition judge in Calgary</t>
        </is>
      </c>
      <c r="G634" t="inlineStr">
        <is>
          <t>Juge de concours de plaidoirie Laskin à Calgary</t>
        </is>
      </c>
      <c r="H634" s="1" t="n">
        <v>45350</v>
      </c>
      <c r="I634" s="1" t="n">
        <v>45353</v>
      </c>
      <c r="J634" t="inlineStr">
        <is>
          <t>Calgary (Alberta) Canada</t>
        </is>
      </c>
      <c r="K634" t="inlineStr">
        <is>
          <t>Calgary (Alberta) Canada</t>
        </is>
      </c>
      <c r="P634" t="n">
        <v>564.92</v>
      </c>
      <c r="Q634" t="n">
        <v>58.09</v>
      </c>
      <c r="R634" t="n">
        <v>875.6799999999999</v>
      </c>
      <c r="S634" t="n">
        <v>463.85</v>
      </c>
      <c r="U634" t="n">
        <v>1962.54</v>
      </c>
      <c r="X634" t="inlineStr">
        <is>
          <t>atssc-scdata</t>
        </is>
      </c>
      <c r="Y634" t="inlineStr">
        <is>
          <t>Administrative Tribunals Support Service of Canada | Service canadien d'appui aux tribunaux administratifs</t>
        </is>
      </c>
    </row>
    <row r="635">
      <c r="A635" t="inlineStr">
        <is>
          <t>T-2025-P1-0001</t>
        </is>
      </c>
      <c r="B635" t="inlineStr">
        <is>
          <t>SLE</t>
        </is>
      </c>
      <c r="C635" t="inlineStr">
        <is>
          <t>Chairperson, Canada Industrial Relations Board</t>
        </is>
      </c>
      <c r="D635" t="inlineStr">
        <is>
          <t>Présidente, Conseil canadien des relations industrielles</t>
        </is>
      </c>
      <c r="E635" t="inlineStr">
        <is>
          <t>Brazeau, Ginette</t>
        </is>
      </c>
      <c r="F635" t="inlineStr">
        <is>
          <t>Mediation in Toronto</t>
        </is>
      </c>
      <c r="G635" t="inlineStr">
        <is>
          <t>Médiation à Toronto</t>
        </is>
      </c>
      <c r="H635" s="1" t="n">
        <v>45401</v>
      </c>
      <c r="I635" s="1" t="n">
        <v>45401</v>
      </c>
      <c r="J635" t="inlineStr">
        <is>
          <t>Toronto, Ontario, Canada</t>
        </is>
      </c>
      <c r="K635" t="inlineStr">
        <is>
          <t>Toronto, Ontario, Canada</t>
        </is>
      </c>
      <c r="P635" t="n">
        <v>543.8099999999999</v>
      </c>
      <c r="Q635" t="n">
        <v>0</v>
      </c>
      <c r="R635" t="n">
        <v>0</v>
      </c>
      <c r="S635" t="n">
        <v>111.95</v>
      </c>
      <c r="T635" t="n">
        <v>100.1</v>
      </c>
      <c r="U635" t="n">
        <v>755.86</v>
      </c>
      <c r="X635" t="inlineStr">
        <is>
          <t>atssc-scdata</t>
        </is>
      </c>
      <c r="Y635" t="inlineStr">
        <is>
          <t>Administrative Tribunals Support Service of Canada | Service canadien d'appui aux tribunaux administratifs</t>
        </is>
      </c>
    </row>
    <row r="636">
      <c r="A636" t="inlineStr">
        <is>
          <t>T-2025-P2-001</t>
        </is>
      </c>
      <c r="B636" t="inlineStr">
        <is>
          <t>SLE</t>
        </is>
      </c>
      <c r="C636" t="inlineStr">
        <is>
          <t>Chairperson, Canadian Human Rights Tribunal</t>
        </is>
      </c>
      <c r="D636" t="inlineStr">
        <is>
          <t>Présidente, Tribunal Canadien des droits de la personne</t>
        </is>
      </c>
      <c r="E636" t="inlineStr">
        <is>
          <t>Khurana, Jennifer</t>
        </is>
      </c>
      <c r="F636" t="inlineStr">
        <is>
          <t>Conduct a hearing at Warkworth</t>
        </is>
      </c>
      <c r="G636" t="inlineStr">
        <is>
          <t>Tenir une audience à l'institution Warkworth</t>
        </is>
      </c>
      <c r="H636" s="1" t="n">
        <v>45405</v>
      </c>
      <c r="I636" s="1" t="n">
        <v>45408</v>
      </c>
      <c r="J636" t="inlineStr">
        <is>
          <t>Warkworth, Ontario, Canada</t>
        </is>
      </c>
      <c r="K636" t="inlineStr">
        <is>
          <t>Warkworth, Ontario, Canada</t>
        </is>
      </c>
      <c r="Q636" t="n">
        <v>279.25</v>
      </c>
      <c r="R636" t="n">
        <v>794.4400000000001</v>
      </c>
      <c r="S636" t="n">
        <v>596.15</v>
      </c>
      <c r="U636" t="n">
        <v>1669.84</v>
      </c>
      <c r="X636" t="inlineStr">
        <is>
          <t>atssc-scdata</t>
        </is>
      </c>
      <c r="Y636" t="inlineStr">
        <is>
          <t>Administrative Tribunals Support Service of Canada | Service canadien d'appui aux tribunaux administratifs</t>
        </is>
      </c>
    </row>
    <row r="637">
      <c r="A637" t="inlineStr">
        <is>
          <t>T-2025-P3-0001</t>
        </is>
      </c>
      <c r="B637" t="inlineStr">
        <is>
          <t>SLE</t>
        </is>
      </c>
      <c r="C637" t="inlineStr">
        <is>
          <t>Chairperson, Canada Industrial Relations Board</t>
        </is>
      </c>
      <c r="D637" t="inlineStr">
        <is>
          <t>Présidente, Conseil canadien des relations industrielles</t>
        </is>
      </c>
      <c r="E637" t="inlineStr">
        <is>
          <t>Brazeau, Ginette</t>
        </is>
      </c>
      <c r="F637" t="inlineStr">
        <is>
          <t>Attend an in-person mediation in Vancouver</t>
        </is>
      </c>
      <c r="G637" t="inlineStr">
        <is>
          <t>Assister à une médiation en personne à Vancouver</t>
        </is>
      </c>
      <c r="H637" s="1" t="n">
        <v>45434</v>
      </c>
      <c r="I637" s="1" t="n">
        <v>45437</v>
      </c>
      <c r="J637" t="inlineStr">
        <is>
          <t>Vancouver, British-Columbia, Canada</t>
        </is>
      </c>
      <c r="K637" t="inlineStr">
        <is>
          <t>Vancouver, Colombie-Britannique, Canada</t>
        </is>
      </c>
      <c r="P637" t="n">
        <v>855.13</v>
      </c>
      <c r="Q637" t="n">
        <v>180.58</v>
      </c>
      <c r="R637" t="n">
        <v>1426.38</v>
      </c>
      <c r="S637" t="n">
        <v>293.1</v>
      </c>
      <c r="U637" t="n">
        <v>2755.19</v>
      </c>
      <c r="X637" t="inlineStr">
        <is>
          <t>atssc-scdata</t>
        </is>
      </c>
      <c r="Y637" t="inlineStr">
        <is>
          <t>Administrative Tribunals Support Service of Canada | Service canadien d'appui aux tribunaux administratifs</t>
        </is>
      </c>
    </row>
    <row r="638">
      <c r="A638" t="inlineStr">
        <is>
          <t>T-2025-P5-0001</t>
        </is>
      </c>
      <c r="B638" t="inlineStr">
        <is>
          <t>SLE</t>
        </is>
      </c>
      <c r="C638" t="inlineStr">
        <is>
          <t>Chairperson, Canada Industrial Relations Board</t>
        </is>
      </c>
      <c r="D638" t="inlineStr">
        <is>
          <t>Présidente, Conseil canadien des relations industrielles</t>
        </is>
      </c>
      <c r="E638" t="inlineStr">
        <is>
          <t>Brazeau, Ginette</t>
        </is>
      </c>
      <c r="F638" t="inlineStr">
        <is>
          <t>Attend an in-person mediation in Vancouver</t>
        </is>
      </c>
      <c r="G638" t="inlineStr">
        <is>
          <t>Assister à une médiation en personne à Vancouver</t>
        </is>
      </c>
      <c r="H638" s="1" t="n">
        <v>45513</v>
      </c>
      <c r="I638" s="1" t="n">
        <v>45516</v>
      </c>
      <c r="J638" t="inlineStr">
        <is>
          <t>Vancouver, British Columbia, Canada</t>
        </is>
      </c>
      <c r="K638" t="inlineStr">
        <is>
          <t>Vancouver, Colombie-Britannique, Canada</t>
        </is>
      </c>
      <c r="P638" t="n">
        <v>1198.22</v>
      </c>
      <c r="Q638" t="n">
        <v>223.73</v>
      </c>
      <c r="R638" t="n">
        <v>1755</v>
      </c>
      <c r="S638" t="n">
        <v>455.15</v>
      </c>
      <c r="U638" t="n">
        <v>3632.1</v>
      </c>
      <c r="X638" t="inlineStr">
        <is>
          <t>atssc-scdata</t>
        </is>
      </c>
      <c r="Y638" t="inlineStr">
        <is>
          <t>Administrative Tribunals Support Service of Canada | Service canadien d'appui aux tribunaux administratifs</t>
        </is>
      </c>
    </row>
    <row r="639">
      <c r="A639" t="inlineStr">
        <is>
          <t>T-2025-P6-0001</t>
        </is>
      </c>
      <c r="B639" t="inlineStr">
        <is>
          <t>SLE</t>
        </is>
      </c>
      <c r="C639" t="inlineStr">
        <is>
          <t>Chairperson, Canada Industrial Relations Board</t>
        </is>
      </c>
      <c r="D639" t="inlineStr">
        <is>
          <t>Présidente, Conseil canadien des relations industrielles</t>
        </is>
      </c>
      <c r="E639" t="inlineStr">
        <is>
          <t>Brazeau, Ginette</t>
        </is>
      </c>
      <c r="F639" t="inlineStr">
        <is>
          <t>Attend the 2024 Annual Labour Board Chairs' Meeting in Winnipeg</t>
        </is>
      </c>
      <c r="G639" t="inlineStr">
        <is>
          <t>Assister à la réunion annuelle des présidents des conseils du travail de 2024 à Winnipeg</t>
        </is>
      </c>
      <c r="H639" s="1" t="n">
        <v>45553</v>
      </c>
      <c r="I639" s="1" t="n">
        <v>45555</v>
      </c>
      <c r="J639" t="inlineStr">
        <is>
          <t>Winnipeg, Manitoba, Canada</t>
        </is>
      </c>
      <c r="K639" t="inlineStr">
        <is>
          <t>Winnipeg, Manitoba, Canada</t>
        </is>
      </c>
      <c r="P639" t="n">
        <v>698.49</v>
      </c>
      <c r="Q639" t="n">
        <v>181.91</v>
      </c>
      <c r="R639" t="n">
        <v>642.42</v>
      </c>
      <c r="S639" t="n">
        <v>155.95</v>
      </c>
      <c r="U639" t="n">
        <v>1678.77</v>
      </c>
      <c r="X639" t="inlineStr">
        <is>
          <t>atssc-scdata</t>
        </is>
      </c>
      <c r="Y639" t="inlineStr">
        <is>
          <t>Administrative Tribunals Support Service of Canada | Service canadien d'appui aux tribunaux administratifs</t>
        </is>
      </c>
    </row>
    <row r="640">
      <c r="A640" t="inlineStr">
        <is>
          <t>T-2025-P7-0001</t>
        </is>
      </c>
      <c r="B640" t="inlineStr">
        <is>
          <t>SLE</t>
        </is>
      </c>
      <c r="C640" t="inlineStr">
        <is>
          <t>Chairperson, Federal Public Sector Labour Relations and Employment Board</t>
        </is>
      </c>
      <c r="D640" t="inlineStr">
        <is>
          <t>Présidente, Commission des relations de travail et de l'emploi dans le secteur public fédéral</t>
        </is>
      </c>
      <c r="E640" t="inlineStr">
        <is>
          <t>Bramwell, Edith</t>
        </is>
      </c>
      <c r="F640" t="inlineStr">
        <is>
          <t>Attend the ARLA Conference for Tribunal Agencies in North America</t>
        </is>
      </c>
      <c r="G640" t="inlineStr">
        <is>
          <t>Assister à la conférence de l'ARLA pour les agences de tribunal en Amérique du Nord</t>
        </is>
      </c>
      <c r="H640" s="1" t="n">
        <v>45499</v>
      </c>
      <c r="I640" s="1" t="n">
        <v>45504</v>
      </c>
      <c r="J640" t="inlineStr">
        <is>
          <t>Detroit, Michigan, United States</t>
        </is>
      </c>
      <c r="K640" t="inlineStr">
        <is>
          <t>Détroit, Michigan, États-Unis</t>
        </is>
      </c>
      <c r="P640" t="n">
        <v>1299.63</v>
      </c>
      <c r="Q640" t="n">
        <v>313.03</v>
      </c>
      <c r="R640" t="n">
        <v>1469.56</v>
      </c>
      <c r="S640" t="n">
        <v>591.61</v>
      </c>
      <c r="U640" t="n">
        <v>3673.83</v>
      </c>
      <c r="X640" t="inlineStr">
        <is>
          <t>atssc-scdata</t>
        </is>
      </c>
      <c r="Y640" t="inlineStr">
        <is>
          <t>Administrative Tribunals Support Service of Canada | Service canadien d'appui aux tribunaux administratifs</t>
        </is>
      </c>
    </row>
    <row r="641">
      <c r="A641" t="inlineStr">
        <is>
          <t>T-2025-P7-0002</t>
        </is>
      </c>
      <c r="B641" t="inlineStr">
        <is>
          <t>SLE</t>
        </is>
      </c>
      <c r="C641" t="inlineStr">
        <is>
          <t>Chairperson, Federal Public Sector Labour Relations and Employment Board</t>
        </is>
      </c>
      <c r="D641" t="inlineStr">
        <is>
          <t>Présidente, Commission des relations de travail et de l'emploi dans le secteur public fédéral</t>
        </is>
      </c>
      <c r="E641" t="inlineStr">
        <is>
          <t>Bramwell, Edith</t>
        </is>
      </c>
      <c r="F641" t="inlineStr">
        <is>
          <t>Attend the Annual Labour Board Chairs' Meeting in Winnipeg</t>
        </is>
      </c>
      <c r="G641" t="inlineStr">
        <is>
          <t>Assister à la réunion annuelle des présidents des conseils du travail à Winnipeg</t>
        </is>
      </c>
      <c r="H641" s="1" t="n">
        <v>45552</v>
      </c>
      <c r="I641" s="1" t="n">
        <v>45556</v>
      </c>
      <c r="J641" t="inlineStr">
        <is>
          <t>Winnipeg, Manitoba, Canada</t>
        </is>
      </c>
      <c r="K641" t="inlineStr">
        <is>
          <t>Winnipeg, Manitoba, Canada</t>
        </is>
      </c>
      <c r="P641" t="n">
        <v>512.37</v>
      </c>
      <c r="Q641" t="n">
        <v>93.84999999999999</v>
      </c>
      <c r="R641" t="n">
        <v>808.04</v>
      </c>
      <c r="S641" t="n">
        <v>372.25</v>
      </c>
      <c r="U641" t="n">
        <v>1786.51</v>
      </c>
      <c r="X641" t="inlineStr">
        <is>
          <t>atssc-scdata</t>
        </is>
      </c>
      <c r="Y641" t="inlineStr">
        <is>
          <t>Administrative Tribunals Support Service of Canada | Service canadien d'appui aux tribunaux administratifs</t>
        </is>
      </c>
    </row>
    <row r="642">
      <c r="A642" t="inlineStr">
        <is>
          <t>T-2025-P8-0001</t>
        </is>
      </c>
      <c r="B642" t="inlineStr">
        <is>
          <t>SLE</t>
        </is>
      </c>
      <c r="C642" t="inlineStr">
        <is>
          <t>Chairperson, Canadian Cultural Property Export Review Board</t>
        </is>
      </c>
      <c r="D642" t="inlineStr">
        <is>
          <t>Présidente, Commission canadienne d'examen des exportations de biens culturels</t>
        </is>
      </c>
      <c r="E642" t="inlineStr">
        <is>
          <t>Stober, Joanne</t>
        </is>
      </c>
      <c r="F642" t="inlineStr">
        <is>
          <t>Attend Art Toronto 2024 at the Toronto Metro Convention Center</t>
        </is>
      </c>
      <c r="G642" t="inlineStr">
        <is>
          <t>Assister à Art Toronto 2024 au Palais des congrès du Toronto métropolitain</t>
        </is>
      </c>
      <c r="H642" s="1" t="n">
        <v>45589</v>
      </c>
      <c r="I642" s="1" t="n">
        <v>45592</v>
      </c>
      <c r="J642" t="inlineStr">
        <is>
          <t>Toronto, Ontario, Canada</t>
        </is>
      </c>
      <c r="K642" t="inlineStr">
        <is>
          <t>Toronto, Ontario, Canada</t>
        </is>
      </c>
      <c r="P642" t="n">
        <v>532.0700000000001</v>
      </c>
      <c r="Q642" t="n">
        <v>134.37</v>
      </c>
      <c r="R642" t="n">
        <v>768.98</v>
      </c>
      <c r="S642" t="n">
        <v>387.75</v>
      </c>
      <c r="U642" t="n">
        <v>1823.17</v>
      </c>
      <c r="X642" t="inlineStr">
        <is>
          <t>atssc-scdata</t>
        </is>
      </c>
      <c r="Y642" t="inlineStr">
        <is>
          <t>Administrative Tribunals Support Service of Canada | Service canadien d'appui aux tribunaux administratifs</t>
        </is>
      </c>
    </row>
    <row r="643">
      <c r="A643" t="inlineStr">
        <is>
          <t>T-2025-P9-0001</t>
        </is>
      </c>
      <c r="B643" t="inlineStr">
        <is>
          <t>SLE</t>
        </is>
      </c>
      <c r="C643" t="inlineStr">
        <is>
          <t>Chairperson, Transportation Appeal Tribunal of Canada</t>
        </is>
      </c>
      <c r="D643" t="inlineStr">
        <is>
          <t>Président, Tribunal d'appel des transports du Canada</t>
        </is>
      </c>
      <c r="E643" t="inlineStr">
        <is>
          <t>Drouin, Gary</t>
        </is>
      </c>
      <c r="F643" t="inlineStr">
        <is>
          <t>Attend the Canadian Aviation Conference &amp; Tradeshow 2024</t>
        </is>
      </c>
      <c r="G643" t="inlineStr">
        <is>
          <t>Assister à la conférence et au salon commercial de l'aviation canadienne 2024</t>
        </is>
      </c>
      <c r="H643" s="1" t="n">
        <v>45599</v>
      </c>
      <c r="I643" s="1" t="n">
        <v>45604</v>
      </c>
      <c r="J643" t="inlineStr">
        <is>
          <t>Vancouver, British Columbia, Canada</t>
        </is>
      </c>
      <c r="K643" t="inlineStr">
        <is>
          <t>Vancouver, Colombie-Britannique, Canada</t>
        </is>
      </c>
      <c r="P643" t="n">
        <v>802.47</v>
      </c>
      <c r="Q643" t="n">
        <v>266.7</v>
      </c>
      <c r="R643" t="n">
        <v>1297.35</v>
      </c>
      <c r="S643" t="n">
        <v>608.8</v>
      </c>
      <c r="T643" t="n">
        <v>0</v>
      </c>
      <c r="U643" t="n">
        <v>2975.32</v>
      </c>
      <c r="X643" t="inlineStr">
        <is>
          <t>atssc-scdata</t>
        </is>
      </c>
      <c r="Y643" t="inlineStr">
        <is>
          <t>Administrative Tribunals Support Service of Canada | Service canadien d'appui aux tribunaux administratifs</t>
        </is>
      </c>
    </row>
    <row r="644">
      <c r="A644" t="inlineStr">
        <is>
          <t>T-2025-P9-0002</t>
        </is>
      </c>
      <c r="B644" t="inlineStr">
        <is>
          <t>SLE</t>
        </is>
      </c>
      <c r="C644" t="inlineStr">
        <is>
          <t>Chairperson, Transportation Appeal Tribunal of Canada</t>
        </is>
      </c>
      <c r="D644" t="inlineStr">
        <is>
          <t>Président, Tribunal d'appel des transports du Canada</t>
        </is>
      </c>
      <c r="E644" t="inlineStr">
        <is>
          <t>Drouin, Gary</t>
        </is>
      </c>
      <c r="F644" t="inlineStr">
        <is>
          <t>Attend the Railway Trends Conference</t>
        </is>
      </c>
      <c r="G644" t="inlineStr">
        <is>
          <t>Assister à la conférence sur les tendances ferroviaires</t>
        </is>
      </c>
      <c r="H644" s="1" t="n">
        <v>45609</v>
      </c>
      <c r="I644" s="1" t="n">
        <v>45612</v>
      </c>
      <c r="J644" t="inlineStr">
        <is>
          <t>New York, New York, United States</t>
        </is>
      </c>
      <c r="K644" t="inlineStr">
        <is>
          <t>New York, New York, États-Unis</t>
        </is>
      </c>
      <c r="P644" t="n">
        <v>0</v>
      </c>
      <c r="Q644" t="n">
        <v>896.4400000000001</v>
      </c>
      <c r="R644" t="n">
        <v>1666.75</v>
      </c>
      <c r="S644" t="n">
        <v>598.67</v>
      </c>
      <c r="T644" t="n">
        <v>0</v>
      </c>
      <c r="U644" t="n">
        <v>3161.86</v>
      </c>
      <c r="X644" t="inlineStr">
        <is>
          <t>atssc-scdata</t>
        </is>
      </c>
      <c r="Y644" t="inlineStr">
        <is>
          <t>Administrative Tribunals Support Service of Canada | Service canadien d'appui aux tribunaux administratifs</t>
        </is>
      </c>
    </row>
    <row r="645">
      <c r="A645" t="inlineStr">
        <is>
          <t>T-2025-P9-0003</t>
        </is>
      </c>
      <c r="B645" t="inlineStr">
        <is>
          <t>SLE</t>
        </is>
      </c>
      <c r="C645" t="inlineStr">
        <is>
          <t>Chairperson, Canada Industrial Relations Board</t>
        </is>
      </c>
      <c r="D645" t="inlineStr">
        <is>
          <t>Présidente, Conseil canadien des relations industrielles</t>
        </is>
      </c>
      <c r="E645" t="inlineStr">
        <is>
          <t>Brazeau, Ginette</t>
        </is>
      </c>
      <c r="F645" t="inlineStr">
        <is>
          <t>Speak and present an award at Bora Laskin Award ceremony</t>
        </is>
      </c>
      <c r="G645" t="inlineStr">
        <is>
          <t>Participer et présenter un prix à lacérémonie du prix Bora Laskin</t>
        </is>
      </c>
      <c r="H645" s="1" t="n">
        <v>45629</v>
      </c>
      <c r="I645" s="1" t="n">
        <v>45630</v>
      </c>
      <c r="J645" t="inlineStr">
        <is>
          <t>Toronto, Ontario, Canada</t>
        </is>
      </c>
      <c r="K645" t="inlineStr">
        <is>
          <t>Toronto, Ontario, Canada</t>
        </is>
      </c>
      <c r="P645" t="n">
        <v>561.52</v>
      </c>
      <c r="Q645" t="n">
        <v>173.45</v>
      </c>
      <c r="R645" t="n">
        <v>311.43</v>
      </c>
      <c r="S645" t="n">
        <v>116.55</v>
      </c>
      <c r="T645" t="n">
        <v>0</v>
      </c>
      <c r="U645" t="n">
        <v>1162.95</v>
      </c>
      <c r="X645" t="inlineStr">
        <is>
          <t>atssc-scdata</t>
        </is>
      </c>
      <c r="Y645" t="inlineStr">
        <is>
          <t>Administrative Tribunals Support Service of Canada | Service canadien d'appui aux tribunaux administratifs</t>
        </is>
      </c>
    </row>
    <row r="646">
      <c r="A646" t="inlineStr">
        <is>
          <t>T-2025-P10-0001</t>
        </is>
      </c>
      <c r="B646" t="inlineStr">
        <is>
          <t>SLE</t>
        </is>
      </c>
      <c r="C646" t="inlineStr">
        <is>
          <t>Chairperson, Social Security Tribunal of Canada</t>
        </is>
      </c>
      <c r="D646" t="inlineStr">
        <is>
          <t>Présidente, Tribunal de la sécurité sociale du Canada</t>
        </is>
      </c>
      <c r="E646" t="inlineStr">
        <is>
          <t>Netten, Shirley</t>
        </is>
      </c>
      <c r="F646" t="inlineStr">
        <is>
          <t>Attend the Society of Ontario Adjudicators and Regulators (SOAR) Annual Conference 2024</t>
        </is>
      </c>
      <c r="G646" t="inlineStr">
        <is>
          <t>Assistez à la conférence annuelle 2024 de la société des arbitres et régulateurs de l’Ontario (SOAR)</t>
        </is>
      </c>
      <c r="H646" s="1" t="n">
        <v>45609</v>
      </c>
      <c r="I646" s="1" t="n">
        <v>45611</v>
      </c>
      <c r="J646" t="inlineStr">
        <is>
          <t>Toronto, Ontario, Canada</t>
        </is>
      </c>
      <c r="K646" t="inlineStr">
        <is>
          <t>Toronto, Ontario, Canada</t>
        </is>
      </c>
      <c r="P646" t="n">
        <v>0</v>
      </c>
      <c r="Q646" t="n">
        <v>534.8200000000001</v>
      </c>
      <c r="R646" t="n">
        <v>100</v>
      </c>
      <c r="S646" t="n">
        <v>220.55</v>
      </c>
      <c r="T646" t="n">
        <v>0</v>
      </c>
      <c r="U646" t="n">
        <v>855.37</v>
      </c>
      <c r="X646" t="inlineStr">
        <is>
          <t>atssc-scdata</t>
        </is>
      </c>
      <c r="Y646" t="inlineStr">
        <is>
          <t>Administrative Tribunals Support Service of Canada | Service canadien d'appui aux tribunaux administratifs</t>
        </is>
      </c>
    </row>
    <row r="647">
      <c r="A647" t="inlineStr">
        <is>
          <t>T-2025-P12-0001</t>
        </is>
      </c>
      <c r="B647" t="inlineStr">
        <is>
          <t>SLE</t>
        </is>
      </c>
      <c r="C647" t="inlineStr">
        <is>
          <t>Chairperson, Canada Industrial Relations Board</t>
        </is>
      </c>
      <c r="D647" t="inlineStr">
        <is>
          <t>Présidente, Conseil canadien des relations industrielles</t>
        </is>
      </c>
      <c r="E647" t="inlineStr">
        <is>
          <t>Brazeau, Ginette</t>
        </is>
      </c>
      <c r="F647" t="inlineStr">
        <is>
          <t>Attend an in-person training</t>
        </is>
      </c>
      <c r="G647" t="inlineStr">
        <is>
          <t>Assister à une formation</t>
        </is>
      </c>
      <c r="H647" s="1" t="n">
        <v>45734</v>
      </c>
      <c r="I647" s="1" t="n">
        <v>45736</v>
      </c>
      <c r="J647" t="inlineStr">
        <is>
          <t>Montreal, Quebec, Canada</t>
        </is>
      </c>
      <c r="K647" t="inlineStr">
        <is>
          <t>Montréal, Québec, Canada</t>
        </is>
      </c>
      <c r="Q647" t="n">
        <v>270.98</v>
      </c>
      <c r="R647" t="n">
        <v>545.02</v>
      </c>
      <c r="S647" t="n">
        <v>218.65</v>
      </c>
      <c r="U647" t="n">
        <v>1034.65</v>
      </c>
      <c r="X647" t="inlineStr">
        <is>
          <t>atssc-scdata</t>
        </is>
      </c>
      <c r="Y647" t="inlineStr">
        <is>
          <t>Administrative Tribunals Support Service of Canada | Service canadien d'appui aux tribunaux administratifs</t>
        </is>
      </c>
    </row>
    <row r="648">
      <c r="A648" t="inlineStr">
        <is>
          <t>T-2025-P12-0002</t>
        </is>
      </c>
      <c r="B648" t="inlineStr">
        <is>
          <t>SLE</t>
        </is>
      </c>
      <c r="C648" t="inlineStr">
        <is>
          <t>Chairperson, Federal Public Sector Labour Relations and Employment Board</t>
        </is>
      </c>
      <c r="D648" t="inlineStr">
        <is>
          <t>Présidente, Commission des relations de travail et de l'emploi dans le secteur public fédéral</t>
        </is>
      </c>
      <c r="E648" t="inlineStr">
        <is>
          <t>Bramwell, Edith</t>
        </is>
      </c>
      <c r="F648" t="inlineStr">
        <is>
          <t>Attend an in-person hearing</t>
        </is>
      </c>
      <c r="G648" t="inlineStr">
        <is>
          <t>Assister à une audience</t>
        </is>
      </c>
      <c r="H648" s="1" t="n">
        <v>45712</v>
      </c>
      <c r="I648" s="1" t="n">
        <v>45717</v>
      </c>
      <c r="J648" t="inlineStr">
        <is>
          <t>Vancouver, British Columbia, Canada</t>
        </is>
      </c>
      <c r="K648" t="inlineStr">
        <is>
          <t>Vancouver, Colombie-Britannique, Canada</t>
        </is>
      </c>
      <c r="P648" t="n">
        <v>5546.24</v>
      </c>
      <c r="Q648" t="n">
        <v>184.19</v>
      </c>
      <c r="R648" t="n">
        <v>1381.8</v>
      </c>
      <c r="S648" t="n">
        <v>634.85</v>
      </c>
      <c r="U648" t="n">
        <v>7747.08</v>
      </c>
      <c r="X648" t="inlineStr">
        <is>
          <t>atssc-scdata</t>
        </is>
      </c>
      <c r="Y648" t="inlineStr">
        <is>
          <t>Administrative Tribunals Support Service of Canada | Service canadien d'appui aux tribunaux administratifs</t>
        </is>
      </c>
    </row>
    <row r="649">
      <c r="A649" t="inlineStr">
        <is>
          <t>T-2026-P1-0001</t>
        </is>
      </c>
      <c r="B649" t="inlineStr">
        <is>
          <t>SLE</t>
        </is>
      </c>
      <c r="C649" t="inlineStr">
        <is>
          <t>Chairperson, Canada Industrial Relations Board</t>
        </is>
      </c>
      <c r="D649" t="inlineStr">
        <is>
          <t>Présidente, Conseil canadien des relations industrielles</t>
        </is>
      </c>
      <c r="E649" t="inlineStr">
        <is>
          <t>Brazeau, Ginette</t>
        </is>
      </c>
      <c r="F649" t="inlineStr">
        <is>
          <t>Presenter at Administrative Law Conference</t>
        </is>
      </c>
      <c r="G649" t="inlineStr">
        <is>
          <t>Conférencier à la Conférence sur le droit administratif</t>
        </is>
      </c>
      <c r="H649" s="1" t="n">
        <v>45754</v>
      </c>
      <c r="I649" s="1" t="n">
        <v>45754</v>
      </c>
      <c r="J649" t="inlineStr">
        <is>
          <t>Montreal, Quebec, Canada</t>
        </is>
      </c>
      <c r="K649" t="inlineStr">
        <is>
          <t>Montréal, Québec, Canada</t>
        </is>
      </c>
      <c r="P649" t="n">
        <v>0</v>
      </c>
      <c r="Q649" t="n">
        <v>256.65</v>
      </c>
      <c r="R649" t="n">
        <v>0</v>
      </c>
      <c r="S649" t="n">
        <v>0</v>
      </c>
      <c r="T649" t="n">
        <v>0</v>
      </c>
      <c r="U649" t="n">
        <v>256.65</v>
      </c>
      <c r="X649" t="inlineStr">
        <is>
          <t>atssc-scdata</t>
        </is>
      </c>
      <c r="Y649" t="inlineStr">
        <is>
          <t>Administrative Tribunals Support Service of Canada | Service canadien d'appui aux tribunaux administratifs</t>
        </is>
      </c>
    </row>
    <row r="650">
      <c r="A650" t="inlineStr">
        <is>
          <t>T-2026-P1-0002</t>
        </is>
      </c>
      <c r="B650" t="inlineStr">
        <is>
          <t>SLE</t>
        </is>
      </c>
      <c r="C650" t="inlineStr">
        <is>
          <t>Chairperson, Federal Public Sector Labour Relations and Employment Board</t>
        </is>
      </c>
      <c r="D650" t="inlineStr">
        <is>
          <t>Présidente, Commission des relations de travail et de l'emploi dans le secteur public fédéral</t>
        </is>
      </c>
      <c r="E650" t="inlineStr">
        <is>
          <t>Bramwell, Edith</t>
        </is>
      </c>
      <c r="F650" t="inlineStr">
        <is>
          <t>Attend the Legal Ethics Forum</t>
        </is>
      </c>
      <c r="G650" t="inlineStr">
        <is>
          <t>Assister au Forum sur la déontologie juridique</t>
        </is>
      </c>
      <c r="H650" s="1" t="n">
        <v>45743</v>
      </c>
      <c r="I650" s="1" t="n">
        <v>45745</v>
      </c>
      <c r="J650" t="inlineStr">
        <is>
          <t>Toronto, Ontario, Canada</t>
        </is>
      </c>
      <c r="K650" t="inlineStr">
        <is>
          <t>Toronto, Ontario, Canada</t>
        </is>
      </c>
      <c r="P650" t="n">
        <v>561.52</v>
      </c>
      <c r="Q650" t="n">
        <v>118.28</v>
      </c>
      <c r="R650" t="n">
        <v>659.99</v>
      </c>
      <c r="S650" t="n">
        <v>248.5</v>
      </c>
      <c r="T650" t="n">
        <v>0</v>
      </c>
      <c r="U650" t="n">
        <v>1588.29</v>
      </c>
      <c r="X650" t="inlineStr">
        <is>
          <t>atssc-scdata</t>
        </is>
      </c>
      <c r="Y650" t="inlineStr">
        <is>
          <t>Administrative Tribunals Support Service of Canada | Service canadien d'appui aux tribunaux administratifs</t>
        </is>
      </c>
    </row>
    <row r="651">
      <c r="A651" t="inlineStr">
        <is>
          <t>T-2026-P1-0003</t>
        </is>
      </c>
      <c r="B651" t="inlineStr">
        <is>
          <t>SLE</t>
        </is>
      </c>
      <c r="C651" t="inlineStr">
        <is>
          <t>Chairperson, Federal Public Sector Labour Relations and Employment Board</t>
        </is>
      </c>
      <c r="D651" t="inlineStr">
        <is>
          <t>Présidente, Commission des relations de travail et de l'emploi dans le secteur public fédéral</t>
        </is>
      </c>
      <c r="E651" t="inlineStr">
        <is>
          <t>Bramwell, Edith</t>
        </is>
      </c>
      <c r="F651" t="inlineStr">
        <is>
          <t>Attend a hearing</t>
        </is>
      </c>
      <c r="G651" t="inlineStr">
        <is>
          <t>Assister à une audience</t>
        </is>
      </c>
      <c r="H651" s="1" t="n">
        <v>45733</v>
      </c>
      <c r="I651" s="1" t="n">
        <v>45738</v>
      </c>
      <c r="J651" t="inlineStr">
        <is>
          <t>Vancouver, British Columbia, Canada</t>
        </is>
      </c>
      <c r="K651" t="inlineStr">
        <is>
          <t>Vancouver, Colombie-Britannique, Canada</t>
        </is>
      </c>
      <c r="P651" t="n">
        <v>5313.34</v>
      </c>
      <c r="Q651" t="n">
        <v>197.01</v>
      </c>
      <c r="R651" t="n">
        <v>1200.75</v>
      </c>
      <c r="S651" t="n">
        <v>662.8</v>
      </c>
      <c r="T651" t="n">
        <v>0</v>
      </c>
      <c r="U651" t="n">
        <v>7373.9</v>
      </c>
      <c r="X651" t="inlineStr">
        <is>
          <t>atssc-scdata</t>
        </is>
      </c>
      <c r="Y651" t="inlineStr">
        <is>
          <t>Administrative Tribunals Support Service of Canada | Service canadien d'appui aux tribunaux administratifs</t>
        </is>
      </c>
    </row>
    <row r="652">
      <c r="A652" t="inlineStr">
        <is>
          <t>T-2026-P2-0001</t>
        </is>
      </c>
      <c r="B652" t="inlineStr">
        <is>
          <t>SLE</t>
        </is>
      </c>
      <c r="C652" t="inlineStr">
        <is>
          <t>Chairperson, Canada Agricultural Review Tribunal</t>
        </is>
      </c>
      <c r="D652" t="inlineStr">
        <is>
          <t>Présidente, Commission de révision agricole du Canada</t>
        </is>
      </c>
      <c r="E652" t="inlineStr">
        <is>
          <t>Crocco, Emily</t>
        </is>
      </c>
      <c r="F652" t="inlineStr">
        <is>
          <t>Attending a professional development session for the Canada Agricultural Review Board</t>
        </is>
      </c>
      <c r="G652" t="inlineStr">
        <is>
          <t>Participation à une session de développement professionnel pour la Commission de révision agricole du Canada</t>
        </is>
      </c>
      <c r="H652" s="1" t="n">
        <v>45781</v>
      </c>
      <c r="I652" s="1" t="n">
        <v>45782</v>
      </c>
      <c r="J652" t="inlineStr">
        <is>
          <t>Montreal, Quebec, Canada</t>
        </is>
      </c>
      <c r="K652" t="inlineStr">
        <is>
          <t>Montréal, Québec, Canada</t>
        </is>
      </c>
      <c r="P652" t="n">
        <v>0</v>
      </c>
      <c r="Q652" t="n">
        <v>693.47</v>
      </c>
      <c r="R652" t="n">
        <v>266.68</v>
      </c>
      <c r="S652" t="n">
        <v>148.1</v>
      </c>
      <c r="U652" t="n">
        <v>1108.25</v>
      </c>
      <c r="X652" t="inlineStr">
        <is>
          <t>atssc-scdata</t>
        </is>
      </c>
      <c r="Y652" t="inlineStr">
        <is>
          <t>Administrative Tribunals Support Service of Canada | Service canadien d'appui aux tribunaux administratifs</t>
        </is>
      </c>
    </row>
    <row r="653">
      <c r="A653" t="inlineStr">
        <is>
          <t>T-2026-P4-0001</t>
        </is>
      </c>
      <c r="B653" t="inlineStr">
        <is>
          <t>SLE</t>
        </is>
      </c>
      <c r="C653" t="inlineStr">
        <is>
          <t>Chairperson, Canada Industrial Relations Board</t>
        </is>
      </c>
      <c r="D653" t="inlineStr">
        <is>
          <t>Présidente, Conseil canadien des relations industrielles</t>
        </is>
      </c>
      <c r="E653" t="inlineStr">
        <is>
          <t>Tremblay, Maryse</t>
        </is>
      </c>
      <c r="F653" t="inlineStr">
        <is>
          <t>Attend the Conference of the Council of Canadian Administrative Tribunals</t>
        </is>
      </c>
      <c r="G653" t="inlineStr">
        <is>
          <t>Assister à la conférence du Conseil des tribunaux administratifs canadiens</t>
        </is>
      </c>
      <c r="H653" s="1" t="n">
        <v>45812</v>
      </c>
      <c r="I653" s="1" t="n">
        <v>45813</v>
      </c>
      <c r="J653" t="inlineStr">
        <is>
          <t>Ottawa, ON, Canada</t>
        </is>
      </c>
      <c r="K653" t="inlineStr">
        <is>
          <t>Ottawa, ON, Canada</t>
        </is>
      </c>
      <c r="P653" t="n">
        <v>0</v>
      </c>
      <c r="Q653" t="n">
        <v>40</v>
      </c>
      <c r="R653" t="n">
        <v>0</v>
      </c>
      <c r="S653" t="n">
        <v>0</v>
      </c>
      <c r="U653" t="n">
        <v>40</v>
      </c>
      <c r="X653" t="inlineStr">
        <is>
          <t>atssc-scdata</t>
        </is>
      </c>
      <c r="Y653" t="inlineStr">
        <is>
          <t>Administrative Tribunals Support Service of Canada | Service canadien d'appui aux tribunaux administratifs</t>
        </is>
      </c>
    </row>
    <row r="654">
      <c r="A654" t="inlineStr">
        <is>
          <t>T-2026-P6-0001</t>
        </is>
      </c>
      <c r="B654" t="inlineStr">
        <is>
          <t>SLE</t>
        </is>
      </c>
      <c r="C654" t="inlineStr">
        <is>
          <t>Président, Tribunal d'appel des transports du Canada</t>
        </is>
      </c>
      <c r="D654" t="inlineStr">
        <is>
          <t>Chairperson, Transportation Appeal Tribunal of Canada</t>
        </is>
      </c>
      <c r="E654" t="inlineStr">
        <is>
          <t>Gary Drouin</t>
        </is>
      </c>
      <c r="F654" t="inlineStr">
        <is>
          <t>Attended ALPA’s 69th Air Safety Forum</t>
        </is>
      </c>
      <c r="G654" t="inlineStr">
        <is>
          <t>Participation au 69ᵉ Forum sur la sécurité
aérienne de l’ALPA (Air Line Pilots
Association)</t>
        </is>
      </c>
      <c r="H654" s="1" t="n">
        <v>45907</v>
      </c>
      <c r="I654" s="1" t="n">
        <v>45912</v>
      </c>
      <c r="J654" t="inlineStr">
        <is>
          <t>Chicago, Illinois, États-Unis</t>
        </is>
      </c>
      <c r="K654" t="inlineStr">
        <is>
          <t>Chicago, Illinois, USA</t>
        </is>
      </c>
      <c r="P654" t="n">
        <v>868.87</v>
      </c>
      <c r="Q654" t="n">
        <v>341.27</v>
      </c>
      <c r="R654" t="n">
        <v>1658.78</v>
      </c>
      <c r="S654" t="n">
        <v>631.0599999999999</v>
      </c>
      <c r="U654" t="n">
        <v>3499.98</v>
      </c>
      <c r="X654" t="inlineStr">
        <is>
          <t>atssc-scdata</t>
        </is>
      </c>
      <c r="Y654" t="inlineStr">
        <is>
          <t>Administrative Tribunals Support Service of Canada | Service canadien d'appui aux tribunaux administratifs</t>
        </is>
      </c>
    </row>
    <row r="655">
      <c r="A655" t="inlineStr">
        <is>
          <t>T-2026-P6-0002</t>
        </is>
      </c>
      <c r="B655" t="inlineStr">
        <is>
          <t>SLE</t>
        </is>
      </c>
      <c r="C655" t="inlineStr">
        <is>
          <t>Présidente, Conseil canadien des relations industrielles</t>
        </is>
      </c>
      <c r="D655" t="inlineStr">
        <is>
          <t>Chairperson, Canada Industrial Relations Board</t>
        </is>
      </c>
      <c r="E655" t="inlineStr">
        <is>
          <t>Maryse Tremblay</t>
        </is>
      </c>
      <c r="F655" t="inlineStr">
        <is>
          <t>Attend in-person meetings with all Canadian labour boards, as well as with employees based in Vancouver</t>
        </is>
      </c>
      <c r="G655" t="inlineStr">
        <is>
          <t>Rencontre en personne avec tous les conseils des relations de travail du Canada, ainsi qu’avec les employés de Vancouver</t>
        </is>
      </c>
      <c r="H655" s="1" t="n">
        <v>45916</v>
      </c>
      <c r="I655" s="1" t="n">
        <v>45919</v>
      </c>
      <c r="J655" t="inlineStr">
        <is>
          <t>Vancouver, BC, Canada</t>
        </is>
      </c>
      <c r="K655" t="inlineStr">
        <is>
          <t>Vancouver, C-B, Canada</t>
        </is>
      </c>
      <c r="P655" t="n">
        <v>870.23</v>
      </c>
      <c r="Q655" t="n">
        <v>98.53</v>
      </c>
      <c r="R655" t="n">
        <v>1480.65</v>
      </c>
      <c r="S655" t="n">
        <v>523.2</v>
      </c>
      <c r="U655" t="n">
        <v>2972.61</v>
      </c>
      <c r="X655" t="inlineStr">
        <is>
          <t>atssc-scdata</t>
        </is>
      </c>
      <c r="Y655" t="inlineStr">
        <is>
          <t>Administrative Tribunals Support Service of Canada | Service canadien d'appui aux tribunaux administratifs</t>
        </is>
      </c>
    </row>
    <row r="656">
      <c r="A656" t="inlineStr">
        <is>
          <t>T-2026-P7-0001</t>
        </is>
      </c>
      <c r="B656" t="inlineStr">
        <is>
          <t>SLE</t>
        </is>
      </c>
      <c r="C656" t="inlineStr">
        <is>
          <t>Chairperson, Federal Public Sector Labour Relations and Employment Board</t>
        </is>
      </c>
      <c r="D656" t="inlineStr">
        <is>
          <t>Présidente, Commission des relations de travail et de l'emploi dans le secteur public fédéral</t>
        </is>
      </c>
      <c r="E656" t="inlineStr">
        <is>
          <t>Edith Bramwell</t>
        </is>
      </c>
      <c r="F656" t="inlineStr">
        <is>
          <t>Attend 2025 Annual Conference of Labour Board Chairs</t>
        </is>
      </c>
      <c r="G656" t="inlineStr">
        <is>
          <t>Assister à la Conférence annuelle 2025 des présidents des conseils du travail</t>
        </is>
      </c>
      <c r="H656" s="1" t="n">
        <v>45919</v>
      </c>
      <c r="I656" s="1" t="n">
        <v>45920</v>
      </c>
      <c r="J656" t="inlineStr">
        <is>
          <t>Vancouver, BC, Canada</t>
        </is>
      </c>
      <c r="K656" t="inlineStr">
        <is>
          <t>Vancouver, C-B, Canada</t>
        </is>
      </c>
      <c r="P656" t="n">
        <v>2810.63</v>
      </c>
      <c r="Q656" t="n">
        <v>167.73</v>
      </c>
      <c r="R656" t="n">
        <v>1842.37</v>
      </c>
      <c r="S656" t="n">
        <v>370.2</v>
      </c>
      <c r="U656" t="n">
        <v>5190.93</v>
      </c>
      <c r="X656" t="inlineStr">
        <is>
          <t>atssc-scdata</t>
        </is>
      </c>
      <c r="Y656" t="inlineStr">
        <is>
          <t>Administrative Tribunals Support Service of Canada | Service canadien d'appui aux tribunaux administratifs</t>
        </is>
      </c>
    </row>
    <row r="657">
      <c r="A657" t="inlineStr">
        <is>
          <t>T-2026-P7-0002</t>
        </is>
      </c>
      <c r="B657" t="inlineStr">
        <is>
          <t>SLE</t>
        </is>
      </c>
      <c r="C657" t="inlineStr">
        <is>
          <t>Chief Administrator, Administrative Tribunals Support Service of Canada</t>
        </is>
      </c>
      <c r="D657" t="inlineStr">
        <is>
          <t>Administrateur en chef, Service canadien d’appui aux tribunaux administratifs</t>
        </is>
      </c>
      <c r="E657" t="inlineStr">
        <is>
          <t>Orlando Da Silva</t>
        </is>
      </c>
      <c r="F657" t="inlineStr">
        <is>
          <t>Attend in-person meetings with all Canadian labour boards, as well as with employees based in Vancouver</t>
        </is>
      </c>
      <c r="G657" t="inlineStr">
        <is>
          <t>Rencontre en personne avec tous les conseils des relations de travail du Canada, ainsi qu’avec les employés de Vancouver</t>
        </is>
      </c>
      <c r="H657" s="1" t="n">
        <v>45910</v>
      </c>
      <c r="I657" s="1" t="n">
        <v>45914</v>
      </c>
      <c r="J657" t="inlineStr">
        <is>
          <t>Halifax, NS, Canada</t>
        </is>
      </c>
      <c r="K657" t="inlineStr">
        <is>
          <t>Halifax, N.-É., Canada</t>
        </is>
      </c>
      <c r="P657" t="n">
        <v>727.78</v>
      </c>
      <c r="Q657" t="n">
        <v>407.15</v>
      </c>
      <c r="R657" t="n">
        <v>919.41</v>
      </c>
      <c r="S657" t="n">
        <v>410.6</v>
      </c>
      <c r="U657" t="n">
        <v>2464.94</v>
      </c>
      <c r="X657" t="inlineStr">
        <is>
          <t>atssc-scdata</t>
        </is>
      </c>
      <c r="Y657" t="inlineStr">
        <is>
          <t>Administrative Tribunals Support Service of Canada | Service canadien d'appui aux tribunaux administratifs</t>
        </is>
      </c>
    </row>
    <row r="658">
      <c r="A658" t="inlineStr">
        <is>
          <t>T-2026-P8-0001</t>
        </is>
      </c>
      <c r="B658" t="inlineStr">
        <is>
          <t>SLE</t>
        </is>
      </c>
      <c r="C658" t="inlineStr">
        <is>
          <t>Chairperson, Canada Industrial Relations Board</t>
        </is>
      </c>
      <c r="D658" t="inlineStr">
        <is>
          <t>Présidente, Conseil canadien des relations industrielles</t>
        </is>
      </c>
      <c r="E658" t="inlineStr">
        <is>
          <t>Tremblay, Maryse</t>
        </is>
      </c>
      <c r="F658" t="inlineStr">
        <is>
          <t>Support training for the new Vice President’s assumption of duties</t>
        </is>
      </c>
      <c r="G658" t="inlineStr">
        <is>
          <t>Formation d’accompagnement à la prise de fonction du nouveau Vice-présiden</t>
        </is>
      </c>
      <c r="H658" s="1" t="n">
        <v>45952</v>
      </c>
      <c r="I658" s="1" t="n">
        <v>45952</v>
      </c>
      <c r="J658" t="inlineStr">
        <is>
          <t>Montreal, QC, Canada</t>
        </is>
      </c>
      <c r="K658" t="inlineStr">
        <is>
          <t>Montréal, QC, Canada</t>
        </is>
      </c>
      <c r="Q658" t="n">
        <v>23</v>
      </c>
      <c r="R658" t="n">
        <v>0</v>
      </c>
      <c r="S658" t="n">
        <v>0</v>
      </c>
      <c r="U658" t="n">
        <v>23</v>
      </c>
      <c r="X658" t="inlineStr">
        <is>
          <t>atssc-scdata</t>
        </is>
      </c>
      <c r="Y658" t="inlineStr">
        <is>
          <t>Administrative Tribunals Support Service of Canada | Service canadien d'appui aux tribunaux administratifs</t>
        </is>
      </c>
    </row>
    <row r="659">
      <c r="A659" t="inlineStr">
        <is>
          <t>T-2026-P8-0002</t>
        </is>
      </c>
      <c r="B659" t="inlineStr">
        <is>
          <t>SLE</t>
        </is>
      </c>
      <c r="C659" t="inlineStr">
        <is>
          <t>Chairperson, Canada Industrial Relations Board</t>
        </is>
      </c>
      <c r="D659" t="inlineStr">
        <is>
          <t>Présidente, Conseil canadien des relations industrielles</t>
        </is>
      </c>
      <c r="E659" t="inlineStr">
        <is>
          <t>Tremblay, Maryse</t>
        </is>
      </c>
      <c r="F659" t="inlineStr">
        <is>
          <t>Visit to the Montreal office</t>
        </is>
      </c>
      <c r="G659" t="inlineStr">
        <is>
          <t>Visite du bureau de Montréal</t>
        </is>
      </c>
      <c r="H659" s="1" t="n">
        <v>45881</v>
      </c>
      <c r="I659" s="1" t="n">
        <v>45881</v>
      </c>
      <c r="J659" t="inlineStr">
        <is>
          <t>Montreal, QC, Canada</t>
        </is>
      </c>
      <c r="K659" t="inlineStr">
        <is>
          <t>Montréal, QC, Canada</t>
        </is>
      </c>
      <c r="Q659" t="n">
        <v>23</v>
      </c>
      <c r="R659" t="n">
        <v>0</v>
      </c>
      <c r="S659" t="n">
        <v>0</v>
      </c>
      <c r="U659" t="n">
        <v>23</v>
      </c>
      <c r="X659" t="inlineStr">
        <is>
          <t>atssc-scdata</t>
        </is>
      </c>
      <c r="Y659" t="inlineStr">
        <is>
          <t>Administrative Tribunals Support Service of Canada | Service canadien d'appui aux tribunaux administratifs</t>
        </is>
      </c>
    </row>
    <row r="660">
      <c r="A660" t="inlineStr">
        <is>
          <t>T-2026-P8-0003</t>
        </is>
      </c>
      <c r="B660" t="inlineStr">
        <is>
          <t>SLE</t>
        </is>
      </c>
      <c r="C660" t="inlineStr">
        <is>
          <t>Chairperson, Canada Industrial Relations Board</t>
        </is>
      </c>
      <c r="D660" t="inlineStr">
        <is>
          <t>Présidente, Conseil canadien des relations industrielles</t>
        </is>
      </c>
      <c r="E660" t="inlineStr">
        <is>
          <t>Tremblay, Maryse</t>
        </is>
      </c>
      <c r="F660" t="inlineStr">
        <is>
          <t>Visit to the Montreal office</t>
        </is>
      </c>
      <c r="G660" t="inlineStr">
        <is>
          <t>Visite du bureau de Montréal</t>
        </is>
      </c>
      <c r="H660" s="1" t="n">
        <v>45862</v>
      </c>
      <c r="I660" s="1" t="n">
        <v>45862</v>
      </c>
      <c r="J660" t="inlineStr">
        <is>
          <t>Montreal, QC, Canada</t>
        </is>
      </c>
      <c r="K660" t="inlineStr">
        <is>
          <t>Montréal, QC, Canada</t>
        </is>
      </c>
      <c r="Q660" t="n">
        <v>26</v>
      </c>
      <c r="R660" t="n">
        <v>0</v>
      </c>
      <c r="S660" t="n">
        <v>0</v>
      </c>
      <c r="U660" t="n">
        <v>26</v>
      </c>
      <c r="X660" t="inlineStr">
        <is>
          <t>atssc-scdata</t>
        </is>
      </c>
      <c r="Y660" t="inlineStr">
        <is>
          <t>Administrative Tribunals Support Service of Canada | Service canadien d'appui aux tribunaux administratifs</t>
        </is>
      </c>
    </row>
    <row r="661">
      <c r="A661" t="inlineStr">
        <is>
          <t>T-2026-P9-0001</t>
        </is>
      </c>
      <c r="B661" t="inlineStr">
        <is>
          <t>SLE</t>
        </is>
      </c>
      <c r="C661" t="inlineStr">
        <is>
          <t>Chairperson, Transportation Appeal Tribunal of Canada</t>
        </is>
      </c>
      <c r="D661" t="inlineStr">
        <is>
          <t>Président, Tribunal d'appel des transports du Canada</t>
        </is>
      </c>
      <c r="E661" t="inlineStr">
        <is>
          <t>Gary Drouin</t>
        </is>
      </c>
      <c r="F661" t="inlineStr">
        <is>
          <t>Attend the Canadian Aviation Conference &amp; Tradeshow 2025</t>
        </is>
      </c>
      <c r="G661" t="inlineStr">
        <is>
          <t>Participation à la Conférence et au salon professionnel de l’aviation canadienne 2025</t>
        </is>
      </c>
      <c r="H661" s="1" t="n">
        <v>45978</v>
      </c>
      <c r="I661" s="1" t="n">
        <v>45981</v>
      </c>
      <c r="J661" t="inlineStr">
        <is>
          <t>Montreal, QC, Canada</t>
        </is>
      </c>
      <c r="K661" t="inlineStr">
        <is>
          <t>Montréal, QC, Canada</t>
        </is>
      </c>
      <c r="Q661" t="n">
        <v>393.4</v>
      </c>
      <c r="R661" t="n">
        <v>803.25</v>
      </c>
      <c r="S661" t="n">
        <v>339.7</v>
      </c>
      <c r="U661" t="n">
        <v>1536.35</v>
      </c>
      <c r="X661" t="inlineStr">
        <is>
          <t>atssc-scdata</t>
        </is>
      </c>
      <c r="Y661" t="inlineStr">
        <is>
          <t>Administrative Tribunals Support Service of Canada | Service canadien d'appui aux tribunaux administratifs</t>
        </is>
      </c>
    </row>
    <row r="662">
      <c r="A662" t="inlineStr">
        <is>
          <t>T-2026-P9-0002</t>
        </is>
      </c>
      <c r="B662" t="inlineStr">
        <is>
          <t>SLE</t>
        </is>
      </c>
      <c r="C662" t="inlineStr">
        <is>
          <t>Chairperson, Social Security Tribunal of Canada</t>
        </is>
      </c>
      <c r="D662" t="inlineStr">
        <is>
          <t>Présidente, Tribunal de la sécurité sociale du Canada</t>
        </is>
      </c>
      <c r="E662" t="inlineStr">
        <is>
          <t>Shirley Netten</t>
        </is>
      </c>
      <c r="F662" t="inlineStr">
        <is>
          <t>Attend the Society of Ontario Adjudicators and Regulators (SOAR) Annual Conference 2025</t>
        </is>
      </c>
      <c r="G662" t="inlineStr">
        <is>
          <t>Assisté à la conférence annuelle 2025 de la société des arbitres et régulateurs de l’Ontario (SOAR)</t>
        </is>
      </c>
      <c r="H662" s="1" t="n">
        <v>45973</v>
      </c>
      <c r="I662" s="1" t="n">
        <v>45975</v>
      </c>
      <c r="J662" t="inlineStr">
        <is>
          <t>Toronto, ON, Canada</t>
        </is>
      </c>
      <c r="K662" t="inlineStr">
        <is>
          <t>Toronto, ON, Canada</t>
        </is>
      </c>
      <c r="Q662" t="n">
        <v>511.52</v>
      </c>
      <c r="R662" t="n">
        <v>610.58</v>
      </c>
      <c r="S662" t="n">
        <v>232.05</v>
      </c>
      <c r="U662" t="n">
        <v>1354.15</v>
      </c>
      <c r="X662" t="inlineStr">
        <is>
          <t>atssc-scdata</t>
        </is>
      </c>
      <c r="Y662" t="inlineStr">
        <is>
          <t>Administrative Tribunals Support Service of Canada | Service canadien d'appui aux tribunaux administratifs</t>
        </is>
      </c>
    </row>
    <row r="663">
      <c r="A663" t="inlineStr">
        <is>
          <t>T-2026-P12-0001</t>
        </is>
      </c>
      <c r="B663" t="inlineStr">
        <is>
          <t>SLE</t>
        </is>
      </c>
      <c r="C663" t="inlineStr">
        <is>
          <t>Chairperson, Canadian Human Rights Tribunal</t>
        </is>
      </c>
      <c r="D663" t="inlineStr">
        <is>
          <t>Présidente, Tribunal canadien des droits de la personne</t>
        </is>
      </c>
      <c r="E663" t="inlineStr">
        <is>
          <t>Jennifer Khurana</t>
        </is>
      </c>
      <c r="F663" t="inlineStr">
        <is>
          <t>Attend the Laskin Moot Court Contest</t>
        </is>
      </c>
      <c r="G663" t="inlineStr">
        <is>
          <t>Participation au Concours de plaidoirie
Laskin</t>
        </is>
      </c>
      <c r="H663" s="1" t="n">
        <v>46079</v>
      </c>
      <c r="I663" s="1" t="n">
        <v>46081</v>
      </c>
      <c r="J663" t="inlineStr">
        <is>
          <t>Toronto, Ontario, Canada</t>
        </is>
      </c>
      <c r="K663" t="inlineStr">
        <is>
          <t>Toronto, Ontario, Canada</t>
        </is>
      </c>
      <c r="P663" t="n">
        <v>573.3200000000001</v>
      </c>
      <c r="Q663" t="n">
        <v>109.81</v>
      </c>
      <c r="R663" t="n">
        <v>684.16</v>
      </c>
      <c r="S663" t="n">
        <v>200.35</v>
      </c>
      <c r="U663" t="n">
        <v>1567.64</v>
      </c>
      <c r="X663" t="inlineStr">
        <is>
          <t>atssc-scdata</t>
        </is>
      </c>
      <c r="Y663" t="inlineStr">
        <is>
          <t>Administrative Tribunals Support Service of Canada | Service canadien d'appui aux tribunaux administratifs</t>
        </is>
      </c>
    </row>
    <row r="664">
      <c r="A664" t="inlineStr">
        <is>
          <t>T-2026-P12-0002</t>
        </is>
      </c>
      <c r="B664" t="inlineStr">
        <is>
          <t>SLE</t>
        </is>
      </c>
      <c r="C664" t="inlineStr">
        <is>
          <t>Chairperson, Canada Industrial Relations Board</t>
        </is>
      </c>
      <c r="D664" t="inlineStr">
        <is>
          <t>Présidente, Conseil canadien des relations industrielles</t>
        </is>
      </c>
      <c r="E664" t="inlineStr">
        <is>
          <t>Maryse Tremblay</t>
        </is>
      </c>
      <c r="F664" t="inlineStr">
        <is>
          <t>Case Management Meeting with Parties</t>
        </is>
      </c>
      <c r="G664" t="inlineStr">
        <is>
          <t>Réunion de gestion de cas avec les parties</t>
        </is>
      </c>
      <c r="H664" s="1" t="n">
        <v>46084</v>
      </c>
      <c r="I664" s="1" t="n">
        <v>46085</v>
      </c>
      <c r="J664" t="inlineStr">
        <is>
          <t>Toronto, Ontario, Canada</t>
        </is>
      </c>
      <c r="K664" t="inlineStr">
        <is>
          <t>Toronto, Ontario, Canada</t>
        </is>
      </c>
      <c r="P664" t="n">
        <v>701.76</v>
      </c>
      <c r="Q664" t="n">
        <v>166.15</v>
      </c>
      <c r="R664" t="n">
        <v>268.51</v>
      </c>
      <c r="S664" t="n">
        <v>273.4</v>
      </c>
      <c r="U664" t="n">
        <v>1409.82</v>
      </c>
      <c r="X664" t="inlineStr">
        <is>
          <t>atssc-scdata</t>
        </is>
      </c>
      <c r="Y664" t="inlineStr">
        <is>
          <t>Administrative Tribunals Support Service of Canada | Service canadien d'appui aux tribunaux administratifs</t>
        </is>
      </c>
    </row>
    <row r="665">
      <c r="A665" t="inlineStr">
        <is>
          <t>T-2027-P01-0001</t>
        </is>
      </c>
      <c r="B665" t="inlineStr">
        <is>
          <t>SLE</t>
        </is>
      </c>
      <c r="C665" t="inlineStr">
        <is>
          <t>Chairperson, Canadian Human Rights Tribunal</t>
        </is>
      </c>
      <c r="D665" t="inlineStr">
        <is>
          <t>Présidente, Tribunal canadien des droits de la personne</t>
        </is>
      </c>
      <c r="E665" t="inlineStr">
        <is>
          <t>Jennifer Khurana</t>
        </is>
      </c>
      <c r="F665" t="inlineStr">
        <is>
          <t>Participated as a speaker and panel chair at the
Strategic Conference on Administrative Law and
Disciplinary Law.</t>
        </is>
      </c>
      <c r="G665" t="inlineStr">
        <is>
          <t>Participation à titre de conférencière et
présidente d'un panel dans le cadre des
Journées stratégiques en droit administratif et
droit disciplinaire.</t>
        </is>
      </c>
      <c r="H665" s="1" t="n">
        <v>46131</v>
      </c>
      <c r="I665" s="1" t="n">
        <v>46132</v>
      </c>
      <c r="J665" t="inlineStr">
        <is>
          <t>Montreal, Quebec, Canada</t>
        </is>
      </c>
      <c r="K665" t="inlineStr">
        <is>
          <t>Montréal, Québec, Canada</t>
        </is>
      </c>
      <c r="Q665" t="n">
        <v>238.83</v>
      </c>
      <c r="R665" t="n">
        <v>294.16</v>
      </c>
      <c r="S665" t="n">
        <v>141.2</v>
      </c>
      <c r="U665" t="n">
        <v>674.1900000000001</v>
      </c>
      <c r="X665" t="inlineStr">
        <is>
          <t>atssc-scdata</t>
        </is>
      </c>
      <c r="Y665" t="inlineStr">
        <is>
          <t>Administrative Tribunals Support Service of Canada | Service canadien d'appui aux tribunaux administratifs</t>
        </is>
      </c>
    </row>
    <row r="666">
      <c r="A666" t="inlineStr">
        <is>
          <t>T-2027-P02-0001</t>
        </is>
      </c>
      <c r="B666" t="inlineStr">
        <is>
          <t>SLE</t>
        </is>
      </c>
      <c r="C666" t="inlineStr">
        <is>
          <t>Deputy Chief Administrator, Administrative Tribunal Support Service of Canada</t>
        </is>
      </c>
      <c r="D666" t="inlineStr">
        <is>
          <t>Administrateur en chef adjoint , Service canadien d’appui aux tribunaux administratifs</t>
        </is>
      </c>
      <c r="E666" t="inlineStr">
        <is>
          <t>Nick Covelli</t>
        </is>
      </c>
      <c r="F666" t="inlineStr">
        <is>
          <t>Attend the Senate Committee on National
Finance</t>
        </is>
      </c>
      <c r="G666" t="inlineStr">
        <is>
          <t>Assister à la réunion du comité sénatorial des finances nationales</t>
        </is>
      </c>
      <c r="H666" s="1" t="n">
        <v>46148</v>
      </c>
      <c r="I666" s="1" t="n">
        <v>46148</v>
      </c>
      <c r="J666" t="inlineStr">
        <is>
          <t>Ottawa, Ontario, Canada</t>
        </is>
      </c>
      <c r="K666" t="inlineStr">
        <is>
          <t>Ottawa, Ontario, Canada</t>
        </is>
      </c>
      <c r="Q666" t="n">
        <v>18</v>
      </c>
      <c r="R666" t="n">
        <v>0</v>
      </c>
      <c r="S666" t="n">
        <v>0</v>
      </c>
      <c r="T666" t="n">
        <v>0</v>
      </c>
      <c r="U666" t="n">
        <v>18</v>
      </c>
      <c r="X666" t="inlineStr">
        <is>
          <t>atssc-scdata</t>
        </is>
      </c>
      <c r="Y666" t="inlineStr">
        <is>
          <t>Administrative Tribunals Support Service of Canada | Service canadien d'appui aux tribunaux administratifs</t>
        </is>
      </c>
    </row>
    <row r="667">
      <c r="A667" t="inlineStr">
        <is>
          <t>T-2027-P03-0001</t>
        </is>
      </c>
      <c r="B667" t="inlineStr">
        <is>
          <t>SLE</t>
        </is>
      </c>
      <c r="C667" t="inlineStr">
        <is>
          <t>Chairperson, Canadian Human Rights Tribunal</t>
        </is>
      </c>
      <c r="D667" t="inlineStr">
        <is>
          <t>Présidente, Tribunal canadien des droits de la personne</t>
        </is>
      </c>
      <c r="E667" t="inlineStr">
        <is>
          <t>Jennifer Khurana</t>
        </is>
      </c>
      <c r="F667" t="inlineStr">
        <is>
          <t>Attendance at the Annual Update on Human Rights to review the latest substantive and procedural developments in human rights law</t>
        </is>
      </c>
      <c r="G667" t="inlineStr">
        <is>
          <t>Participation à la mise à jour annuelle sur les droits de la personne afin de passer en revue les récents développements de fond et de procédure en matière de droit des droits de la personne</t>
        </is>
      </c>
      <c r="H667" s="1" t="n">
        <v>46167</v>
      </c>
      <c r="I667" s="1" t="n">
        <v>46169</v>
      </c>
      <c r="J667" t="inlineStr">
        <is>
          <t>Toronto, Ontario, Canada</t>
        </is>
      </c>
      <c r="K667" t="inlineStr">
        <is>
          <t>Toronto, Ontario, Canada</t>
        </is>
      </c>
      <c r="Q667" t="n">
        <v>246.07</v>
      </c>
      <c r="R667" t="n">
        <v>355.55</v>
      </c>
      <c r="S667" t="n">
        <v>347.55</v>
      </c>
      <c r="T667" t="n">
        <v>0</v>
      </c>
      <c r="U667" t="n">
        <v>949.17</v>
      </c>
      <c r="X667" t="inlineStr">
        <is>
          <t>atssc-scdata</t>
        </is>
      </c>
      <c r="Y667" t="inlineStr">
        <is>
          <t>Administrative Tribunals Support Service of Canada | Service canadien d'appui aux tribunaux administratifs</t>
        </is>
      </c>
    </row>
    <row r="668">
      <c r="A668" t="inlineStr">
        <is>
          <t>T-2027-P03-0002</t>
        </is>
      </c>
      <c r="B668" t="inlineStr">
        <is>
          <t>SLE</t>
        </is>
      </c>
      <c r="C668" t="inlineStr">
        <is>
          <t>Chairperson, Yukon Public Service Labour Relations Board and Yukon Teachers Labour Relations Board</t>
        </is>
      </c>
      <c r="D668" t="inlineStr">
        <is>
          <t>Présidente, Commission des relations de travail dans la fonction publique du Yukon et Commission des relations de travail du personnel enseignant du Yukon</t>
        </is>
      </c>
      <c r="E668" t="inlineStr">
        <is>
          <t>Edith Bramwel</t>
        </is>
      </c>
      <c r="F668" t="inlineStr">
        <is>
          <t>Travel required to engage key stakeholders regarding the development and renewal of policies, programs, and regulations.</t>
        </is>
      </c>
      <c r="G668" t="inlineStr">
        <is>
          <t>Déplacement pour mobiliser les principaux intervenants dans le cadre de l'élaboration et du renouvellement des politiques, des programmes ou de la réglementation.</t>
        </is>
      </c>
      <c r="H668" s="1" t="n">
        <v>46153</v>
      </c>
      <c r="I668" s="1" t="n">
        <v>46157</v>
      </c>
      <c r="J668" t="inlineStr">
        <is>
          <t>Whitehorse, Yukon, Canada</t>
        </is>
      </c>
      <c r="K668" t="inlineStr">
        <is>
          <t>Whitehorse, Yukon, Canada</t>
        </is>
      </c>
      <c r="Q668" t="n">
        <v>0</v>
      </c>
      <c r="R668" t="n">
        <v>0</v>
      </c>
      <c r="S668" t="n">
        <v>0</v>
      </c>
      <c r="T668" t="n">
        <v>0</v>
      </c>
      <c r="U668" t="n">
        <v>0</v>
      </c>
      <c r="V668" t="inlineStr">
        <is>
          <t>The trip was fully reimbursed by the Yukon Government</t>
        </is>
      </c>
      <c r="W668" t="inlineStr">
        <is>
          <t>Le voyage a été entièrement remboursé par le gouvernement du Yukon.</t>
        </is>
      </c>
      <c r="X668" t="inlineStr">
        <is>
          <t>atssc-scdata</t>
        </is>
      </c>
      <c r="Y668" t="inlineStr">
        <is>
          <t>Administrative Tribunals Support Service of Canada | Service canadien d'appui aux tribunaux administratifs</t>
        </is>
      </c>
    </row>
    <row r="669">
      <c r="A669" t="inlineStr">
        <is>
          <t>T-2027-P04-0001</t>
        </is>
      </c>
      <c r="B669" t="inlineStr">
        <is>
          <t>SLE</t>
        </is>
      </c>
      <c r="C669" t="inlineStr">
        <is>
          <t>Chairperson, Federal Public Sector Labour Relations and Employment Board</t>
        </is>
      </c>
      <c r="D669" t="inlineStr">
        <is>
          <t>Présidente, Commission des relations de travail et de l'emploi dans le secteur public fédéral</t>
        </is>
      </c>
      <c r="E669" t="inlineStr">
        <is>
          <t>Edith Bramwel</t>
        </is>
      </c>
      <c r="F669" t="inlineStr">
        <is>
          <t>Attend an in-person mediation session regarding a labour relations matter with the Treasury Board of Canada Secretariat.</t>
        </is>
      </c>
      <c r="G669" t="inlineStr">
        <is>
          <t>Participer à une séance de médiation en présentiel dans le cadre d'un dossier de relations de travail avec le Secrétariat du Conseil du Trésor du Canada.</t>
        </is>
      </c>
      <c r="H669" s="1" t="n">
        <v>46200</v>
      </c>
      <c r="I669" s="1" t="n">
        <v>46203</v>
      </c>
      <c r="J669" t="inlineStr">
        <is>
          <t>London, Ontario, Canada</t>
        </is>
      </c>
      <c r="K669" t="inlineStr">
        <is>
          <t>London, Ontario, Canada</t>
        </is>
      </c>
      <c r="P669" t="n">
        <v>1232.06</v>
      </c>
      <c r="Q669" t="n">
        <v>179.77</v>
      </c>
      <c r="R669" t="n">
        <v>462.74</v>
      </c>
      <c r="S669" t="n">
        <v>409.25</v>
      </c>
      <c r="T669" t="n">
        <v>0</v>
      </c>
      <c r="U669" t="n">
        <v>2283.82</v>
      </c>
      <c r="X669" t="inlineStr">
        <is>
          <t>atssc-scdata</t>
        </is>
      </c>
      <c r="Y669" t="inlineStr">
        <is>
          <t>Administrative Tribunals Support Service of Canada | Service canadien d'appui aux tribunaux administratifs</t>
        </is>
      </c>
    </row>
    <row r="670">
      <c r="A670" t="inlineStr">
        <is>
          <t>T-2017-Q1-00003</t>
        </is>
      </c>
      <c r="B670" t="inlineStr">
        <is>
          <t>SLE</t>
        </is>
      </c>
      <c r="C670" t="inlineStr">
        <is>
          <t>Assistant Deputy Minister, Market and Services Industry</t>
        </is>
      </c>
      <c r="D670" t="inlineStr">
        <is>
          <t>Sous-ministre adjoint, Direction générale des services à l'industrie et aux marchés</t>
        </is>
      </c>
      <c r="E670" t="inlineStr">
        <is>
          <t>Fred Gorrell</t>
        </is>
      </c>
      <c r="F670" t="inlineStr">
        <is>
          <t>Ministerial mission to India and Vietnam to meet with Vietnamese and Indian counterparts to promote Canada as a partner of choice for the agri-food industry, and position Canada as a source of high quality and safe food products. The mission was part of the Government’s efforts to strengthen and expand Canada’s trade relationships in the Asia-Pacific region which, in turn, will help create well-paying jobs and foster long-term growth for farmers and Canadian families.</t>
        </is>
      </c>
      <c r="G670" t="inlineStr">
        <is>
          <t>Mission ministérielle en Inde et au Vietnam pour rencontrer ses homologues de ces pays, promouvoir le secteur agroalimentaire du Canada comme partenaire de choix et positionner le Canada comme fournisseur de produits alimentaires salubres de qualité supérieure. La  mission faisait partie des efforts déployés par le gouvernement pour renforcer et élargir les relations commerciales du Canada dans la région de l’Asie-Pacifique de façon à créer des emplois bien rémunérés et à favoriser la croissance à long terme des agriculteurs et des familles canadiennes</t>
        </is>
      </c>
      <c r="H670" s="1" t="n">
        <v>42790</v>
      </c>
      <c r="I670" s="1" t="n">
        <v>42806</v>
      </c>
      <c r="J670" t="inlineStr">
        <is>
          <t>Hanoi, VN &amp; New Delhi, IN</t>
        </is>
      </c>
      <c r="K670" t="inlineStr">
        <is>
          <t>Hanoi, VN &amp; New Delhi, IN</t>
        </is>
      </c>
      <c r="P670" t="n">
        <v>13555.46</v>
      </c>
      <c r="Q670" t="n">
        <v>150</v>
      </c>
      <c r="R670" t="n">
        <v>3451.37</v>
      </c>
      <c r="S670" t="n">
        <v>1946.63</v>
      </c>
      <c r="T670" t="n">
        <v>0</v>
      </c>
      <c r="U670" t="n">
        <v>19103.46</v>
      </c>
      <c r="V670" t="inlineStr">
        <is>
          <t>AJE564055</t>
        </is>
      </c>
      <c r="X670" t="inlineStr">
        <is>
          <t>aafc-aac</t>
        </is>
      </c>
      <c r="Y670" t="inlineStr">
        <is>
          <t>Agriculture and Agri-Food Canada | Agriculture et Agroalimentaire Canada</t>
        </is>
      </c>
    </row>
    <row r="671">
      <c r="A671" t="inlineStr">
        <is>
          <t>T-2017-Q1-00004</t>
        </is>
      </c>
      <c r="B671" t="inlineStr">
        <is>
          <t>SLE</t>
        </is>
      </c>
      <c r="C671" t="inlineStr">
        <is>
          <t>Assistant Deputy Minister, Market and Services Industry</t>
        </is>
      </c>
      <c r="D671" t="inlineStr">
        <is>
          <t>Sous-ministre adjoint, Direction générale des services à l'industrie et aux marchés</t>
        </is>
      </c>
      <c r="E671" t="inlineStr">
        <is>
          <t>Fred Gorrell</t>
        </is>
      </c>
      <c r="F671" t="inlineStr">
        <is>
          <t xml:space="preserve">Outreach to Winnipeg to meet with industry (Canadian International Grains Institute, Cargill, Canadian Grain Commission, Richard International Limited and Pulse Canada) in order to discuss and help advance current issues of interest related to market development and market access. A meeting with Mervin Traverse, Elder, Science and Technology Branch as well as Regional Office staff also took place. </t>
        </is>
      </c>
      <c r="G671" t="inlineStr">
        <is>
          <t xml:space="preserve">Rencontre avec des représentants de l’industrie (Institut international du Canada pour le grain, Cargill, Commission canadienne des grains, Richard International Limited et Pulse Canada) à Winnipeg pour discuter de dossiers d’actualité liés au développement des marchés et à l’accès aux marchés et faire avancer ces dossiers. Il y a eu également une réunion avec l’aîné Mervin Traverse, de la Direction générale des sciences et de la technologie, et le personnel du bureau régional. </t>
        </is>
      </c>
      <c r="H671" s="1" t="n">
        <v>42866</v>
      </c>
      <c r="I671" s="1" t="n">
        <v>42867</v>
      </c>
      <c r="J671" t="inlineStr">
        <is>
          <t>Winnipeg, Man.</t>
        </is>
      </c>
      <c r="K671" t="inlineStr">
        <is>
          <t>Winnipeg, Man.</t>
        </is>
      </c>
      <c r="P671" t="n">
        <v>1090.03</v>
      </c>
      <c r="Q671" t="n">
        <v>72.64</v>
      </c>
      <c r="R671" t="n">
        <v>147.81</v>
      </c>
      <c r="S671" t="n">
        <v>161.7</v>
      </c>
      <c r="T671" t="n">
        <v>0</v>
      </c>
      <c r="U671" t="n">
        <v>1472.18</v>
      </c>
      <c r="V671" t="inlineStr">
        <is>
          <t>AJE569104</t>
        </is>
      </c>
      <c r="X671" t="inlineStr">
        <is>
          <t>aafc-aac</t>
        </is>
      </c>
      <c r="Y671" t="inlineStr">
        <is>
          <t>Agriculture and Agri-Food Canada | Agriculture et Agroalimentaire Canada</t>
        </is>
      </c>
    </row>
    <row r="672">
      <c r="A672" t="inlineStr">
        <is>
          <t>T-2017-Q1-00005</t>
        </is>
      </c>
      <c r="B672" t="inlineStr">
        <is>
          <t>SLE</t>
        </is>
      </c>
      <c r="C672" t="inlineStr">
        <is>
          <t>Assistant Deputy Minister, Market and Services Industry</t>
        </is>
      </c>
      <c r="D672" t="inlineStr">
        <is>
          <t>Sous-ministre adjoint, Direction générale des services à l'industrie et aux marchés</t>
        </is>
      </c>
      <c r="E672" t="inlineStr">
        <is>
          <t>Fred Gorrell</t>
        </is>
      </c>
      <c r="F672" t="inlineStr">
        <is>
          <t>Travel to Prince Edward Island to join Minister MacAulay in meeting with the Honourable Christian Schmidt, German Federal Minister for Food and Agriculture, to discuss closer ties between Canada and Germany in agricultural research, reflect on cooperation on the international stage as well as the benefits of the the Canada-European Union Comprehensive Economic and Trade Agreement, which will give Canadian farmers, processors and exporters duty-free access to more than half a billion consumers across the European Union, the world’s largest import market for agriculture and agri-food.</t>
        </is>
      </c>
      <c r="G672" t="inlineStr">
        <is>
          <t>Voyage à l’Île-du-Prince-Édouard pour participer à une réunion avec le ministre MacAulay et l’honorable Christian Schmidt, ministre de l’Alimentation et de l’Agriculture de l’Allemagne. Les discussions ont porté sur le resserrement des liens entre le Canada et l’Allemagne dans le domaine de la recherche agricole, la coopération sur la scène internationale et les avantages de l’Accord économique et commercial global entre le Canada et l’Union européenne. L’Accord économique et comercial global permettra aux agriculteurs, aux transformateurs et aux exportateurs canadiens d’avoir accès en franchise de droits au marché de plus d’un demi-milliard de consommateurs de l’Union Européenne, le plus grand marché mondial d’importation de produits agricoles et agroalimentaires.</t>
        </is>
      </c>
      <c r="H672" s="1" t="n">
        <v>42875</v>
      </c>
      <c r="I672" s="1" t="n">
        <v>42877</v>
      </c>
      <c r="J672" t="inlineStr">
        <is>
          <t>Charlottetown, P.E.I.</t>
        </is>
      </c>
      <c r="K672" t="inlineStr">
        <is>
          <t>Charlottetown Î.-P.-É.</t>
        </is>
      </c>
      <c r="P672" t="n">
        <v>426.29</v>
      </c>
      <c r="Q672" t="n">
        <v>320.59</v>
      </c>
      <c r="R672" t="n">
        <v>200.18</v>
      </c>
      <c r="S672" t="n">
        <v>97.7</v>
      </c>
      <c r="T672" t="n">
        <v>0</v>
      </c>
      <c r="U672" t="n">
        <v>1044.76</v>
      </c>
      <c r="V672" t="inlineStr">
        <is>
          <t>AJE578667</t>
        </is>
      </c>
      <c r="X672" t="inlineStr">
        <is>
          <t>aafc-aac</t>
        </is>
      </c>
      <c r="Y672" t="inlineStr">
        <is>
          <t>Agriculture and Agri-Food Canada | Agriculture et Agroalimentaire Canada</t>
        </is>
      </c>
    </row>
    <row r="673">
      <c r="A673" t="inlineStr">
        <is>
          <t>T-2017-Q1-00006</t>
        </is>
      </c>
      <c r="B673" t="inlineStr">
        <is>
          <t>SLE</t>
        </is>
      </c>
      <c r="C673" t="inlineStr">
        <is>
          <t>Assistant Deputy Minister, Science and Technology Branch</t>
        </is>
      </c>
      <c r="D673" t="inlineStr">
        <is>
          <t>Sous-ministre adjoint, Direction générale des sciences et de la technologie</t>
        </is>
      </c>
      <c r="E673" t="inlineStr">
        <is>
          <t>Brian T. Gray</t>
        </is>
      </c>
      <c r="F673" t="inlineStr">
        <is>
          <t>Indigenous Network Circle and 
Outreach Meetings</t>
        </is>
      </c>
      <c r="G673" t="inlineStr">
        <is>
          <t>Réunions du Cercle de réseautage des employés 
autochtones et visite de sensibilitation</t>
        </is>
      </c>
      <c r="H673" s="1" t="n">
        <v>42815</v>
      </c>
      <c r="I673" s="1" t="n">
        <v>42818</v>
      </c>
      <c r="J673" t="inlineStr">
        <is>
          <t>Winnipeg, MB</t>
        </is>
      </c>
      <c r="K673" t="inlineStr">
        <is>
          <t>Winnipeg, MB</t>
        </is>
      </c>
      <c r="P673" t="n">
        <v>670.6900000000001</v>
      </c>
      <c r="Q673" t="n">
        <v>136.27</v>
      </c>
      <c r="R673" t="n">
        <v>461.19</v>
      </c>
      <c r="S673" t="n">
        <v>342.85</v>
      </c>
      <c r="U673" t="n">
        <v>1611</v>
      </c>
      <c r="V673" t="inlineStr">
        <is>
          <t>AJD929111</t>
        </is>
      </c>
      <c r="X673" t="inlineStr">
        <is>
          <t>aafc-aac</t>
        </is>
      </c>
      <c r="Y673" t="inlineStr">
        <is>
          <t>Agriculture and Agri-Food Canada | Agriculture et Agroalimentaire Canada</t>
        </is>
      </c>
    </row>
    <row r="674">
      <c r="A674" t="inlineStr">
        <is>
          <t>T-2017-Q1-00007</t>
        </is>
      </c>
      <c r="B674" t="inlineStr">
        <is>
          <t>SLE</t>
        </is>
      </c>
      <c r="C674" t="inlineStr">
        <is>
          <t>Assistant Deputy Minister, Science and Technology Branch</t>
        </is>
      </c>
      <c r="D674" t="inlineStr">
        <is>
          <t>Sous-ministre adjoint, Direction générale des sciences et de la technologie</t>
        </is>
      </c>
      <c r="E674" t="inlineStr">
        <is>
          <t>Brian T. Gray</t>
        </is>
      </c>
      <c r="F674" t="inlineStr">
        <is>
          <t xml:space="preserve">London Research Development Center Outreach Visit </t>
        </is>
      </c>
      <c r="G674" t="inlineStr">
        <is>
          <t xml:space="preserve">Visite de sensiblisation au Centre de Recherche et Dévelopment de London </t>
        </is>
      </c>
      <c r="H674" s="1" t="n">
        <v>42836</v>
      </c>
      <c r="I674" s="1" t="n">
        <v>42837</v>
      </c>
      <c r="J674" t="inlineStr">
        <is>
          <t>London, ON</t>
        </is>
      </c>
      <c r="K674" t="inlineStr">
        <is>
          <t>London, ON</t>
        </is>
      </c>
      <c r="P674" t="n">
        <v>507.55</v>
      </c>
      <c r="Q674" t="n">
        <v>83.18000000000001</v>
      </c>
      <c r="R674" t="n">
        <v>157.07</v>
      </c>
      <c r="S674" t="n">
        <v>115.75</v>
      </c>
      <c r="U674" t="n">
        <v>863.55</v>
      </c>
      <c r="V674" t="inlineStr">
        <is>
          <t>AJD908189</t>
        </is>
      </c>
      <c r="X674" t="inlineStr">
        <is>
          <t>aafc-aac</t>
        </is>
      </c>
      <c r="Y674" t="inlineStr">
        <is>
          <t>Agriculture and Agri-Food Canada | Agriculture et Agroalimentaire Canada</t>
        </is>
      </c>
    </row>
    <row r="675">
      <c r="A675" t="inlineStr">
        <is>
          <t>T-2017-Q1-00008</t>
        </is>
      </c>
      <c r="B675" t="inlineStr">
        <is>
          <t>SLE</t>
        </is>
      </c>
      <c r="C675" t="inlineStr">
        <is>
          <t>Assistant Deputy Minister, Science and Technology Branch</t>
        </is>
      </c>
      <c r="D675" t="inlineStr">
        <is>
          <t>Sous-ministre adjoint, Direction générale des sciences et de la technologie</t>
        </is>
      </c>
      <c r="E675" t="inlineStr">
        <is>
          <t>Brian T. Gray</t>
        </is>
      </c>
      <c r="F675" t="inlineStr">
        <is>
          <t>Next Policy Framework and 
Outreach Meetings</t>
        </is>
      </c>
      <c r="G675" t="inlineStr">
        <is>
          <t>Réunions du Prochain cadre stratégique 
et visite de sensibilitation</t>
        </is>
      </c>
      <c r="H675" s="1" t="n">
        <v>42843</v>
      </c>
      <c r="I675" s="1" t="n">
        <v>42845</v>
      </c>
      <c r="J675" t="inlineStr">
        <is>
          <t>Lethbridge &amp; 
Edmonton, AB</t>
        </is>
      </c>
      <c r="K675" t="inlineStr">
        <is>
          <t>Lethbridge &amp; 
Edmonton, AB</t>
        </is>
      </c>
      <c r="P675" t="n">
        <v>1075.86</v>
      </c>
      <c r="Q675" t="n">
        <v>334.55</v>
      </c>
      <c r="R675" t="n">
        <v>311.76</v>
      </c>
      <c r="S675" t="n">
        <v>214.2</v>
      </c>
      <c r="U675" t="n">
        <v>1936.37</v>
      </c>
      <c r="V675" t="inlineStr">
        <is>
          <t xml:space="preserve">AJD985468 </t>
        </is>
      </c>
      <c r="X675" t="inlineStr">
        <is>
          <t>aafc-aac</t>
        </is>
      </c>
      <c r="Y675" t="inlineStr">
        <is>
          <t>Agriculture and Agri-Food Canada | Agriculture et Agroalimentaire Canada</t>
        </is>
      </c>
    </row>
    <row r="676">
      <c r="A676" t="inlineStr">
        <is>
          <t>T-2017-Q1-00009</t>
        </is>
      </c>
      <c r="B676" t="inlineStr">
        <is>
          <t>SLE</t>
        </is>
      </c>
      <c r="C676" t="inlineStr">
        <is>
          <t>Assistant Deputy Minister, Science and Technology Branch</t>
        </is>
      </c>
      <c r="D676" t="inlineStr">
        <is>
          <t>Sous-ministre adjoint, Direction générale des sciences et de la technologie</t>
        </is>
      </c>
      <c r="E676" t="inlineStr">
        <is>
          <t>Brian T. Gray</t>
        </is>
      </c>
      <c r="F676" t="inlineStr">
        <is>
          <t>Fredericton and Charlottetown Research and Development Center
Outreach Visits</t>
        </is>
      </c>
      <c r="G676" t="inlineStr">
        <is>
          <t xml:space="preserve">Visite de sensiblisation aux Centre de Recherche et Dévelopment de Frédéricton et Charlottetown </t>
        </is>
      </c>
      <c r="H676" s="1" t="n">
        <v>42871</v>
      </c>
      <c r="I676" s="1" t="n">
        <v>42874</v>
      </c>
      <c r="J676" t="inlineStr">
        <is>
          <t>Fredericton, N.B. &amp; 
Charlottetown, P.E.I.</t>
        </is>
      </c>
      <c r="K676" t="inlineStr">
        <is>
          <t>Frédéricton, N.-B. &amp; 
Charlottetown, Î.-P.-É.</t>
        </is>
      </c>
      <c r="P676" t="n">
        <v>1045.92</v>
      </c>
      <c r="Q676" t="n">
        <v>174.43</v>
      </c>
      <c r="R676" t="n">
        <v>530.35</v>
      </c>
      <c r="S676" t="n">
        <v>312.65</v>
      </c>
      <c r="T676" t="n">
        <v>0</v>
      </c>
      <c r="U676" t="n">
        <v>2063.35</v>
      </c>
      <c r="V676" t="inlineStr">
        <is>
          <t>AJD935956</t>
        </is>
      </c>
      <c r="X676" t="inlineStr">
        <is>
          <t>aafc-aac</t>
        </is>
      </c>
      <c r="Y676" t="inlineStr">
        <is>
          <t>Agriculture and Agri-Food Canada | Agriculture et Agroalimentaire Canada</t>
        </is>
      </c>
    </row>
    <row r="677">
      <c r="A677" t="inlineStr">
        <is>
          <t>T-2017-Q1-00010</t>
        </is>
      </c>
      <c r="B677" t="inlineStr">
        <is>
          <t>SLE</t>
        </is>
      </c>
      <c r="C677" t="inlineStr">
        <is>
          <t>Chief Information Officer, Information Services Branch</t>
        </is>
      </c>
      <c r="D677" t="inlineStr">
        <is>
          <t>Dirigeant principal à l'information, Direction générale des systèmes d'information</t>
        </is>
      </c>
      <c r="E677" t="inlineStr">
        <is>
          <t>Michel Lessard</t>
        </is>
      </c>
      <c r="F677" t="inlineStr">
        <is>
          <t>Gartner 2017 Leadership Forum aux dirigeants principal de l'information</t>
        </is>
      </c>
      <c r="G677" t="inlineStr">
        <is>
          <t>Gartner 2017 Leadership Forum aux dirigeants principal de l'information</t>
        </is>
      </c>
      <c r="H677" s="1" t="n">
        <v>42790</v>
      </c>
      <c r="I677" s="1" t="n">
        <v>42795</v>
      </c>
      <c r="J677" t="inlineStr">
        <is>
          <t>Phoenix, AZ</t>
        </is>
      </c>
      <c r="K677" t="inlineStr">
        <is>
          <t>Phoenix, AZ</t>
        </is>
      </c>
      <c r="P677" t="n">
        <v>896.88</v>
      </c>
      <c r="Q677" t="n">
        <v>233.26</v>
      </c>
      <c r="R677" t="n">
        <v>1607.34</v>
      </c>
      <c r="S677" t="n">
        <v>457.95</v>
      </c>
      <c r="T677" t="n">
        <v>0</v>
      </c>
      <c r="U677" t="n">
        <v>3195.43</v>
      </c>
      <c r="V677" t="inlineStr">
        <is>
          <t>A017388</t>
        </is>
      </c>
      <c r="X677" t="inlineStr">
        <is>
          <t>aafc-aac</t>
        </is>
      </c>
      <c r="Y677" t="inlineStr">
        <is>
          <t>Agriculture and Agri-Food Canada | Agriculture et Agroalimentaire Canada</t>
        </is>
      </c>
    </row>
    <row r="678">
      <c r="A678" t="inlineStr">
        <is>
          <t>T-2017-Q1-00011</t>
        </is>
      </c>
      <c r="B678" t="inlineStr">
        <is>
          <t>SLE</t>
        </is>
      </c>
      <c r="C678" t="inlineStr">
        <is>
          <t>Chief Information Officer, Information Services Branch</t>
        </is>
      </c>
      <c r="D678" t="inlineStr">
        <is>
          <t>Dirigeant principal à l'information, Direction générale des systèmes d'information</t>
        </is>
      </c>
      <c r="E678" t="inlineStr">
        <is>
          <t>Michel Lessard</t>
        </is>
      </c>
      <c r="F678" t="inlineStr">
        <is>
          <t>Council of Chief Information Officers</t>
        </is>
      </c>
      <c r="G678" t="inlineStr">
        <is>
          <t>Conseil des officiers d'information en chef</t>
        </is>
      </c>
      <c r="H678" s="1" t="n">
        <v>42795</v>
      </c>
      <c r="I678" s="1" t="n">
        <v>42797</v>
      </c>
      <c r="J678" t="inlineStr">
        <is>
          <t>Calgary, Alta.</t>
        </is>
      </c>
      <c r="K678" t="inlineStr">
        <is>
          <t>Calgary, Alb.</t>
        </is>
      </c>
      <c r="P678" t="n">
        <v>662.04</v>
      </c>
      <c r="Q678" t="n">
        <v>77.8</v>
      </c>
      <c r="R678" t="n">
        <v>242.5</v>
      </c>
      <c r="S678" t="n">
        <v>114.7</v>
      </c>
      <c r="T678" t="n">
        <v>0</v>
      </c>
      <c r="U678" t="n">
        <v>1097.04</v>
      </c>
      <c r="V678" t="inlineStr">
        <is>
          <t>A017388</t>
        </is>
      </c>
      <c r="X678" t="inlineStr">
        <is>
          <t>aafc-aac</t>
        </is>
      </c>
      <c r="Y678" t="inlineStr">
        <is>
          <t>Agriculture and Agri-Food Canada | Agriculture et Agroalimentaire Canada</t>
        </is>
      </c>
    </row>
    <row r="679">
      <c r="A679" t="inlineStr">
        <is>
          <t>T-2017-Q1-00012</t>
        </is>
      </c>
      <c r="B679" t="inlineStr">
        <is>
          <t>SLE</t>
        </is>
      </c>
      <c r="C679" t="inlineStr">
        <is>
          <t>Chief Information Officer, Information Services Branch</t>
        </is>
      </c>
      <c r="D679" t="inlineStr">
        <is>
          <t>Dirigeant principal à l'information, Direction générale des systèmes d'information</t>
        </is>
      </c>
      <c r="E679" t="inlineStr">
        <is>
          <t>Michel Lessard</t>
        </is>
      </c>
      <c r="F679" t="inlineStr">
        <is>
          <t>Canadian Space Agency meeting</t>
        </is>
      </c>
      <c r="G679" t="inlineStr">
        <is>
          <t>Réunion de l'Agence spatiale canadienne</t>
        </is>
      </c>
      <c r="H679" s="1" t="n">
        <v>42803</v>
      </c>
      <c r="I679" s="1" t="n">
        <v>42803</v>
      </c>
      <c r="J679" t="inlineStr">
        <is>
          <t>Saint-Hubert, Que.</t>
        </is>
      </c>
      <c r="K679" t="inlineStr">
        <is>
          <t>Saint-Hubert, Qc</t>
        </is>
      </c>
      <c r="P679" t="n">
        <v>0</v>
      </c>
      <c r="Q679" t="n">
        <v>252.4</v>
      </c>
      <c r="R679" t="n">
        <v>0</v>
      </c>
      <c r="S679" t="n">
        <v>62.8</v>
      </c>
      <c r="T679" t="n">
        <v>0</v>
      </c>
      <c r="U679" t="n">
        <v>315.2</v>
      </c>
      <c r="V679" t="inlineStr">
        <is>
          <t>A017388</t>
        </is>
      </c>
      <c r="X679" t="inlineStr">
        <is>
          <t>aafc-aac</t>
        </is>
      </c>
      <c r="Y679" t="inlineStr">
        <is>
          <t>Agriculture and Agri-Food Canada | Agriculture et Agroalimentaire Canada</t>
        </is>
      </c>
    </row>
    <row r="680">
      <c r="A680" t="inlineStr">
        <is>
          <t>T-2017-Q1-00013</t>
        </is>
      </c>
      <c r="B680" t="inlineStr">
        <is>
          <t>SLE</t>
        </is>
      </c>
      <c r="C680" t="inlineStr">
        <is>
          <t xml:space="preserve">Assistant Deputy Minister, Programs Branch </t>
        </is>
      </c>
      <c r="D680" t="inlineStr">
        <is>
          <t xml:space="preserve">Sous-ministre adjointe,  Direction générale des programmes </t>
        </is>
      </c>
      <c r="E680" t="inlineStr">
        <is>
          <t xml:space="preserve">France Pégeot </t>
        </is>
      </c>
      <c r="F680" t="inlineStr">
        <is>
          <t xml:space="preserve">Regional Management Meeting </t>
        </is>
      </c>
      <c r="G680" t="inlineStr">
        <is>
          <t xml:space="preserve">Réunion de gestion régionale </t>
        </is>
      </c>
      <c r="H680" s="1" t="n">
        <v>42800</v>
      </c>
      <c r="I680" s="1" t="n">
        <v>42801</v>
      </c>
      <c r="J680" t="inlineStr">
        <is>
          <t>Sainte-Hyacinthe , Que.</t>
        </is>
      </c>
      <c r="K680" t="inlineStr">
        <is>
          <t>Sainte-Hyacinthe , Qc</t>
        </is>
      </c>
      <c r="P680" t="n">
        <v>0</v>
      </c>
      <c r="Q680" t="n">
        <v>280.68</v>
      </c>
      <c r="R680" t="n">
        <v>130.9</v>
      </c>
      <c r="S680" t="n">
        <v>159.95</v>
      </c>
      <c r="T680" t="n">
        <v>0</v>
      </c>
      <c r="U680" t="n">
        <v>571.53</v>
      </c>
      <c r="V680" t="inlineStr">
        <is>
          <t>AJF119164</t>
        </is>
      </c>
      <c r="X680" t="inlineStr">
        <is>
          <t>aafc-aac</t>
        </is>
      </c>
      <c r="Y680" t="inlineStr">
        <is>
          <t>Agriculture and Agri-Food Canada | Agriculture et Agroalimentaire Canada</t>
        </is>
      </c>
    </row>
    <row r="681">
      <c r="A681" t="inlineStr">
        <is>
          <t>T-2017-Q1-00014</t>
        </is>
      </c>
      <c r="B681" t="inlineStr">
        <is>
          <t>SLE</t>
        </is>
      </c>
      <c r="C681" t="inlineStr">
        <is>
          <t xml:space="preserve">Assistant Deputy Minister, Programs Branch </t>
        </is>
      </c>
      <c r="D681" t="inlineStr">
        <is>
          <t xml:space="preserve">Sous-ministre adjointe,  Direction générale des programmes </t>
        </is>
      </c>
      <c r="E681" t="inlineStr">
        <is>
          <t xml:space="preserve">France Pégeot </t>
        </is>
      </c>
      <c r="F681" t="inlineStr">
        <is>
          <t xml:space="preserve">Winnipeg Regional Meeting </t>
        </is>
      </c>
      <c r="G681" t="inlineStr">
        <is>
          <t xml:space="preserve">Réunion régionale à Winnipeg </t>
        </is>
      </c>
      <c r="H681" s="1" t="n">
        <v>42809</v>
      </c>
      <c r="I681" s="1" t="n">
        <v>42810</v>
      </c>
      <c r="J681" t="inlineStr">
        <is>
          <t>Winnipeg, Man.</t>
        </is>
      </c>
      <c r="K681" t="inlineStr">
        <is>
          <t>Winnipeg, Man.</t>
        </is>
      </c>
      <c r="P681" t="n">
        <v>738.66</v>
      </c>
      <c r="Q681" t="n">
        <v>83.62</v>
      </c>
      <c r="R681" t="n">
        <v>235.32</v>
      </c>
      <c r="S681" t="n">
        <v>159.95</v>
      </c>
      <c r="T681" t="n">
        <v>0</v>
      </c>
      <c r="U681" t="n">
        <v>1217.55</v>
      </c>
      <c r="V681" t="inlineStr">
        <is>
          <t>AJF196163</t>
        </is>
      </c>
      <c r="X681" t="inlineStr">
        <is>
          <t>aafc-aac</t>
        </is>
      </c>
      <c r="Y681" t="inlineStr">
        <is>
          <t>Agriculture and Agri-Food Canada | Agriculture et Agroalimentaire Canada</t>
        </is>
      </c>
    </row>
    <row r="682">
      <c r="A682" t="inlineStr">
        <is>
          <t>T-2017-Q2-00098</t>
        </is>
      </c>
      <c r="B682" t="inlineStr">
        <is>
          <t>MPSES</t>
        </is>
      </c>
      <c r="C682" t="inlineStr">
        <is>
          <t>Minister</t>
        </is>
      </c>
      <c r="D682" t="inlineStr">
        <is>
          <t>Ministre</t>
        </is>
      </c>
      <c r="E682" t="inlineStr">
        <is>
          <t>Lawrence MacAulay</t>
        </is>
      </c>
      <c r="F682" t="inlineStr">
        <is>
          <t>Bilateral meeting with AgroPur</t>
        </is>
      </c>
      <c r="G682" t="inlineStr">
        <is>
          <t>Rencontre bilatérale avec AgroPur</t>
        </is>
      </c>
      <c r="H682" s="1" t="n">
        <v>42975</v>
      </c>
      <c r="I682" s="1" t="n">
        <v>42976</v>
      </c>
      <c r="J682" t="inlineStr">
        <is>
          <t>Sussex, NB</t>
        </is>
      </c>
      <c r="K682" t="inlineStr">
        <is>
          <t>Sussex, NB</t>
        </is>
      </c>
      <c r="R682" t="n">
        <v>113.85</v>
      </c>
      <c r="S682" t="n">
        <v>98.59999999999999</v>
      </c>
      <c r="U682" t="n">
        <v>212.45</v>
      </c>
      <c r="V682" t="n">
        <v>1900071894</v>
      </c>
      <c r="X682" t="inlineStr">
        <is>
          <t>aafc-aac</t>
        </is>
      </c>
      <c r="Y682" t="inlineStr">
        <is>
          <t>Agriculture and Agri-Food Canada | Agriculture et Agroalimentaire Canada</t>
        </is>
      </c>
    </row>
    <row r="683">
      <c r="A683" t="inlineStr">
        <is>
          <t>T-2017-Q1-00015</t>
        </is>
      </c>
      <c r="B683" t="inlineStr">
        <is>
          <t>SLE</t>
        </is>
      </c>
      <c r="C683" t="inlineStr">
        <is>
          <t xml:space="preserve">Assistant Deputy Minister, Programs Branch </t>
        </is>
      </c>
      <c r="D683" t="inlineStr">
        <is>
          <t xml:space="preserve">Sous-ministre adjointe,  Direction générale des programmes </t>
        </is>
      </c>
      <c r="E683" t="inlineStr">
        <is>
          <t xml:space="preserve">France Pégeot </t>
        </is>
      </c>
      <c r="F683" t="inlineStr">
        <is>
          <t xml:space="preserve">Guelph Regional Meeting and Canada's Public Policy Forum Toronto </t>
        </is>
      </c>
      <c r="G683" t="inlineStr">
        <is>
          <t xml:space="preserve">Réunion régionale à Guelph et Forum des politiques publiques du Canada à Toronto </t>
        </is>
      </c>
      <c r="H683" s="1" t="n">
        <v>42843</v>
      </c>
      <c r="I683" s="1" t="n">
        <v>42846</v>
      </c>
      <c r="J683" t="inlineStr">
        <is>
          <t xml:space="preserve">Guelph, Ont. &amp; Toronto, Ont. </t>
        </is>
      </c>
      <c r="K683" t="inlineStr">
        <is>
          <t xml:space="preserve">Guelph, Ont. &amp; Toronto, Ont. </t>
        </is>
      </c>
      <c r="P683" t="n">
        <v>471.58</v>
      </c>
      <c r="Q683" t="n">
        <v>92.88</v>
      </c>
      <c r="R683" t="n">
        <v>539.6</v>
      </c>
      <c r="S683" t="n">
        <v>230.6</v>
      </c>
      <c r="T683" t="n">
        <v>768.4</v>
      </c>
      <c r="U683" t="n">
        <v>2103.06</v>
      </c>
      <c r="V683" t="inlineStr">
        <is>
          <t>AJF196997</t>
        </is>
      </c>
      <c r="X683" t="inlineStr">
        <is>
          <t>aafc-aac</t>
        </is>
      </c>
      <c r="Y683" t="inlineStr">
        <is>
          <t>Agriculture and Agri-Food Canada | Agriculture et Agroalimentaire Canada</t>
        </is>
      </c>
    </row>
    <row r="684">
      <c r="A684" t="inlineStr">
        <is>
          <t>T-2017-Q1-00016</t>
        </is>
      </c>
      <c r="B684" t="inlineStr">
        <is>
          <t>SLE</t>
        </is>
      </c>
      <c r="C684" t="inlineStr">
        <is>
          <t xml:space="preserve">Assistant Deputy Minister, Programs Branch </t>
        </is>
      </c>
      <c r="D684" t="inlineStr">
        <is>
          <t xml:space="preserve">Sous-ministre adjointe,  Direction générale des programmes </t>
        </is>
      </c>
      <c r="E684" t="inlineStr">
        <is>
          <t xml:space="preserve">France Pégeot </t>
        </is>
      </c>
      <c r="F684" t="inlineStr">
        <is>
          <t xml:space="preserve">Minister's Visit -for Montreal Outreach Meetings </t>
        </is>
      </c>
      <c r="G684" t="inlineStr">
        <is>
          <t xml:space="preserve">Visit du Ministre pour réunion de sensibilisation à Montréal </t>
        </is>
      </c>
      <c r="H684" s="1" t="n">
        <v>42866</v>
      </c>
      <c r="I684" s="1" t="n">
        <v>42867</v>
      </c>
      <c r="J684" t="inlineStr">
        <is>
          <t>Montreal, Que.</t>
        </is>
      </c>
      <c r="K684" t="inlineStr">
        <is>
          <t>Montréal, Qc</t>
        </is>
      </c>
      <c r="P684" t="n">
        <v>0</v>
      </c>
      <c r="Q684" t="n">
        <v>279.22</v>
      </c>
      <c r="R684" t="n">
        <v>224.91</v>
      </c>
      <c r="S684" t="n">
        <v>161.7</v>
      </c>
      <c r="T684" t="n">
        <v>0</v>
      </c>
      <c r="U684" t="n">
        <v>665.83</v>
      </c>
      <c r="V684" t="inlineStr">
        <is>
          <t>AJF181200</t>
        </is>
      </c>
      <c r="X684" t="inlineStr">
        <is>
          <t>aafc-aac</t>
        </is>
      </c>
      <c r="Y684" t="inlineStr">
        <is>
          <t>Agriculture and Agri-Food Canada | Agriculture et Agroalimentaire Canada</t>
        </is>
      </c>
    </row>
    <row r="685">
      <c r="A685" t="inlineStr">
        <is>
          <t>T-2017-Q1-00017</t>
        </is>
      </c>
      <c r="B685" t="inlineStr">
        <is>
          <t>SLE</t>
        </is>
      </c>
      <c r="C685" t="inlineStr">
        <is>
          <t xml:space="preserve">Assistant Deputy Minister, Programs Branch </t>
        </is>
      </c>
      <c r="D685" t="inlineStr">
        <is>
          <t xml:space="preserve">Sous-ministre adjointe,  Direction générale des programmes </t>
        </is>
      </c>
      <c r="E685" t="inlineStr">
        <is>
          <t xml:space="preserve">France Pégeot </t>
        </is>
      </c>
      <c r="F685" t="inlineStr">
        <is>
          <t xml:space="preserve">Montreal Leadership Session </t>
        </is>
      </c>
      <c r="G685" t="inlineStr">
        <is>
          <t xml:space="preserve">Séance de leadership à Montréal </t>
        </is>
      </c>
      <c r="H685" s="1" t="n">
        <v>42872</v>
      </c>
      <c r="I685" s="1" t="n">
        <v>42872</v>
      </c>
      <c r="J685" t="inlineStr">
        <is>
          <t>Montreal, Que.</t>
        </is>
      </c>
      <c r="K685" t="inlineStr">
        <is>
          <t>Montréal, Qc</t>
        </is>
      </c>
      <c r="P685" t="n">
        <v>0</v>
      </c>
      <c r="Q685" t="n">
        <v>242.33</v>
      </c>
      <c r="R685" t="n">
        <v>0</v>
      </c>
      <c r="S685" t="n">
        <v>64</v>
      </c>
      <c r="T685" t="n">
        <v>0</v>
      </c>
      <c r="U685" t="n">
        <v>306.33</v>
      </c>
      <c r="V685" t="inlineStr">
        <is>
          <t>AJF104013</t>
        </is>
      </c>
      <c r="X685" t="inlineStr">
        <is>
          <t>aafc-aac</t>
        </is>
      </c>
      <c r="Y685" t="inlineStr">
        <is>
          <t>Agriculture and Agri-Food Canada | Agriculture et Agroalimentaire Canada</t>
        </is>
      </c>
    </row>
    <row r="686">
      <c r="A686" t="inlineStr">
        <is>
          <t>T-2017-Q1-00018</t>
        </is>
      </c>
      <c r="B686" t="inlineStr">
        <is>
          <t>SLE</t>
        </is>
      </c>
      <c r="C686" t="inlineStr">
        <is>
          <t xml:space="preserve">Assistant Deputy Minister, Programs Branch </t>
        </is>
      </c>
      <c r="D686" t="inlineStr">
        <is>
          <t xml:space="preserve">Sous-ministre adjointe,  Direction générale des programmes </t>
        </is>
      </c>
      <c r="E686" t="inlineStr">
        <is>
          <t xml:space="preserve">France Pégeot </t>
        </is>
      </c>
      <c r="F686" t="inlineStr">
        <is>
          <t xml:space="preserve">First Nation Outreach Session </t>
        </is>
      </c>
      <c r="G686" t="inlineStr">
        <is>
          <t xml:space="preserve">Séance de sesibilisation des premières nations </t>
        </is>
      </c>
      <c r="H686" s="1" t="n">
        <v>42886</v>
      </c>
      <c r="I686" s="1" t="n">
        <v>42887</v>
      </c>
      <c r="J686" t="inlineStr">
        <is>
          <t>Vaudreuil, Que.</t>
        </is>
      </c>
      <c r="K686" t="inlineStr">
        <is>
          <t>Vaudreuil, Qc</t>
        </is>
      </c>
      <c r="P686" t="n">
        <v>0</v>
      </c>
      <c r="Q686" t="n">
        <v>180.38</v>
      </c>
      <c r="R686" t="n">
        <v>183.98</v>
      </c>
      <c r="S686" t="n">
        <v>126.5</v>
      </c>
      <c r="T686" t="n">
        <v>0</v>
      </c>
      <c r="U686" t="n">
        <v>490.86</v>
      </c>
      <c r="V686" t="inlineStr">
        <is>
          <t>AJF148284</t>
        </is>
      </c>
      <c r="X686" t="inlineStr">
        <is>
          <t>aafc-aac</t>
        </is>
      </c>
      <c r="Y686" t="inlineStr">
        <is>
          <t>Agriculture and Agri-Food Canada | Agriculture et Agroalimentaire Canada</t>
        </is>
      </c>
    </row>
    <row r="687">
      <c r="A687" t="inlineStr">
        <is>
          <t>T-2017-Q1-00019</t>
        </is>
      </c>
      <c r="B687" t="inlineStr">
        <is>
          <t>SLE</t>
        </is>
      </c>
      <c r="C687" t="inlineStr">
        <is>
          <t>Assistant Deputy Minister, Strategic Policy Branch</t>
        </is>
      </c>
      <c r="D687" t="inlineStr">
        <is>
          <t>Sous-ministre adjoint, Direction générale des politiques stratégiques</t>
        </is>
      </c>
      <c r="E687" t="inlineStr">
        <is>
          <t>Tom Rosser</t>
        </is>
      </c>
      <c r="F687" t="inlineStr">
        <is>
          <t>Seafood Expo North America in Boston, Massachusetts; and Food Policy Meetings in Guelph, Ontario To accompany the Minister to the Seafood Expo in Boston and to attend Food Policy Meetings in Guelph.</t>
        </is>
      </c>
      <c r="G687" t="inlineStr">
        <is>
          <t>Exposition de fruits de mer à Boston; Réunions sur la politique alimentaire à Guelph. Accompagner le ministre à l'exposition de fruits de mer à Boston et pour assister à des réunions sur la politique alimentaire à Guelph.</t>
        </is>
      </c>
      <c r="H687" s="1" t="n">
        <v>42811</v>
      </c>
      <c r="I687" s="1" t="n">
        <v>42814</v>
      </c>
      <c r="J687" t="inlineStr">
        <is>
          <t>Boston, MA &amp; Guelph, Ont.</t>
        </is>
      </c>
      <c r="K687" t="inlineStr">
        <is>
          <t>Boston, MA &amp;  Guelph, Ont.</t>
        </is>
      </c>
      <c r="P687" t="n">
        <v>809.66</v>
      </c>
      <c r="Q687" t="n">
        <v>255.32</v>
      </c>
      <c r="R687" t="n">
        <v>1597.84</v>
      </c>
      <c r="S687" t="n">
        <v>570.9299999999999</v>
      </c>
      <c r="T687" t="n">
        <v>0</v>
      </c>
      <c r="U687" t="n">
        <v>3233.75</v>
      </c>
      <c r="V687" t="inlineStr">
        <is>
          <t>AJE670087</t>
        </is>
      </c>
      <c r="X687" t="inlineStr">
        <is>
          <t>aafc-aac</t>
        </is>
      </c>
      <c r="Y687" t="inlineStr">
        <is>
          <t>Agriculture and Agri-Food Canada | Agriculture et Agroalimentaire Canada</t>
        </is>
      </c>
    </row>
    <row r="688">
      <c r="A688" t="inlineStr">
        <is>
          <t>T-2017-Q1-00020</t>
        </is>
      </c>
      <c r="B688" t="inlineStr">
        <is>
          <t>SLE</t>
        </is>
      </c>
      <c r="C688" t="inlineStr">
        <is>
          <t>Assistant Deputy Minister, Strategic Policy Branch</t>
        </is>
      </c>
      <c r="D688" t="inlineStr">
        <is>
          <t>Sous-ministre adjoint, Direction générale des politiques stratégiques</t>
        </is>
      </c>
      <c r="E688" t="inlineStr">
        <is>
          <t>Tom Rosser</t>
        </is>
      </c>
      <c r="F688" t="inlineStr">
        <is>
          <t>First Nation Engagement Session in Edmonton, Alberta; Public Policy Forum Event in Toronto, Ontario. To attend the First Nation Engagement Session in Edmonton; attend an event at the Public Policy Forum in Toronto.</t>
        </is>
      </c>
      <c r="G688" t="inlineStr">
        <is>
          <t>Une session d'engagement des Premières Nations à Ottawa; Événement du Forum des politiques publiques à Toronto. Pour assister dans une session d'engagement des Premières Nations à Edmonton; participer dans une événement du Forum des politiques publiques à Toronto.</t>
        </is>
      </c>
      <c r="H688" s="1" t="n">
        <v>42843</v>
      </c>
      <c r="I688" s="1" t="n">
        <v>42845</v>
      </c>
      <c r="J688" t="inlineStr">
        <is>
          <t>Edmonton, Alta. &amp; Toronto, Ont.</t>
        </is>
      </c>
      <c r="K688" t="inlineStr">
        <is>
          <t>Edmonton, Alb. &amp; Toronto, Ont.</t>
        </is>
      </c>
      <c r="P688" t="n">
        <v>2139.08</v>
      </c>
      <c r="Q688" t="n">
        <v>132</v>
      </c>
      <c r="R688" t="n">
        <v>456.34</v>
      </c>
      <c r="S688" t="n">
        <v>260.15</v>
      </c>
      <c r="T688" t="n">
        <v>113</v>
      </c>
      <c r="U688" t="n">
        <v>3100.57</v>
      </c>
      <c r="V688" t="inlineStr">
        <is>
          <t>AJE665044</t>
        </is>
      </c>
      <c r="X688" t="inlineStr">
        <is>
          <t>aafc-aac</t>
        </is>
      </c>
      <c r="Y688" t="inlineStr">
        <is>
          <t>Agriculture and Agri-Food Canada | Agriculture et Agroalimentaire Canada</t>
        </is>
      </c>
    </row>
    <row r="689">
      <c r="A689" t="inlineStr">
        <is>
          <t>T-2017-Q3-00076</t>
        </is>
      </c>
      <c r="B689" t="inlineStr">
        <is>
          <t>MPSES</t>
        </is>
      </c>
      <c r="C689" t="inlineStr">
        <is>
          <t>Deputy Minister</t>
        </is>
      </c>
      <c r="D689" t="inlineStr">
        <is>
          <t>Sous-Ministre</t>
        </is>
      </c>
      <c r="E689" t="inlineStr">
        <is>
          <t>Chris Forbes</t>
        </is>
      </c>
      <c r="F689" t="inlineStr">
        <is>
          <t>Agri-Food Economic Strategy Table meeting</t>
        </is>
      </c>
      <c r="G689" t="inlineStr">
        <is>
          <t>Table sur les stratégies économiques agroalimentaires</t>
        </is>
      </c>
      <c r="H689" s="1" t="n">
        <v>43031</v>
      </c>
      <c r="I689" s="1" t="n">
        <v>43032</v>
      </c>
      <c r="J689" t="inlineStr">
        <is>
          <t>Toronto, Ontario</t>
        </is>
      </c>
      <c r="K689" t="inlineStr">
        <is>
          <t>Toronto, Ontario</t>
        </is>
      </c>
      <c r="P689" t="n">
        <v>456.58</v>
      </c>
      <c r="Q689" t="n">
        <v>52.9</v>
      </c>
      <c r="R689" t="n">
        <v>247.47</v>
      </c>
      <c r="U689" t="n">
        <v>756.95</v>
      </c>
      <c r="X689" t="inlineStr">
        <is>
          <t>aafc-aac</t>
        </is>
      </c>
      <c r="Y689" t="inlineStr">
        <is>
          <t>Agriculture and Agri-Food Canada | Agriculture et Agroalimentaire Canada</t>
        </is>
      </c>
    </row>
    <row r="690">
      <c r="A690" t="inlineStr">
        <is>
          <t>T-2017-Q1-00021</t>
        </is>
      </c>
      <c r="B690" t="inlineStr">
        <is>
          <t>SLE</t>
        </is>
      </c>
      <c r="C690" t="inlineStr">
        <is>
          <t>Associate Assistant Deputy Minister, Science and Technology Branch</t>
        </is>
      </c>
      <c r="D690" t="inlineStr">
        <is>
          <t>Sous-ministre adjoint délégué, Direction générale des sciences et de la technologie</t>
        </is>
      </c>
      <c r="E690" t="inlineStr">
        <is>
          <t>Gilles Saindon</t>
        </is>
      </c>
      <c r="F690" t="inlineStr">
        <is>
          <t>Outreach at the Research and Development Center, All Staff meeting and meetings with industry</t>
        </is>
      </c>
      <c r="G690" t="inlineStr">
        <is>
          <t>Visite de sensibilisation au Centre de recherche et développement, réunions avec tous le personnel et réunions avec l'industrie</t>
        </is>
      </c>
      <c r="H690" s="1" t="n">
        <v>42801</v>
      </c>
      <c r="I690" s="1" t="n">
        <v>42804</v>
      </c>
      <c r="J690" t="inlineStr">
        <is>
          <t>Agassic, B.C.</t>
        </is>
      </c>
      <c r="K690" t="inlineStr">
        <is>
          <t>Agassiz, C.-B.</t>
        </is>
      </c>
      <c r="P690" t="n">
        <v>1046.55</v>
      </c>
      <c r="Q690" t="n">
        <v>284.14</v>
      </c>
      <c r="R690" t="n">
        <v>565.8</v>
      </c>
      <c r="S690" t="n">
        <v>274.6</v>
      </c>
      <c r="T690" t="n">
        <v>0</v>
      </c>
      <c r="U690" t="n">
        <v>2171.09</v>
      </c>
      <c r="V690" t="inlineStr">
        <is>
          <t>AJD957113</t>
        </is>
      </c>
      <c r="X690" t="inlineStr">
        <is>
          <t>aafc-aac</t>
        </is>
      </c>
      <c r="Y690" t="inlineStr">
        <is>
          <t>Agriculture and Agri-Food Canada | Agriculture et Agroalimentaire Canada</t>
        </is>
      </c>
    </row>
    <row r="691">
      <c r="A691" t="inlineStr">
        <is>
          <t>T-2017-Q1-00022</t>
        </is>
      </c>
      <c r="B691" t="inlineStr">
        <is>
          <t>SLE</t>
        </is>
      </c>
      <c r="C691" t="inlineStr">
        <is>
          <t>Associate Assistant Deputy Minister, Science and Technology Branch</t>
        </is>
      </c>
      <c r="D691" t="inlineStr">
        <is>
          <t>Sous-ministre adjoint délégué, Direction générale des sciences et de la technologie</t>
        </is>
      </c>
      <c r="E691" t="inlineStr">
        <is>
          <t>Gilles Saindon</t>
        </is>
      </c>
      <c r="F691" t="inlineStr">
        <is>
          <t>Attended the Canadian Global Corps Symposium and Staff Outreach at the Research Development Centre</t>
        </is>
      </c>
      <c r="G691" t="inlineStr">
        <is>
          <t>Assisté au Symposium canadien sur les cultures mondiales, visite de sensibilisation avec les employés au Centre de recherche et développement</t>
        </is>
      </c>
      <c r="H691" s="1" t="n">
        <v>42835</v>
      </c>
      <c r="I691" s="1" t="n">
        <v>42838</v>
      </c>
      <c r="J691" t="inlineStr">
        <is>
          <t>Calgary, Alta. &amp; Lacombe, Alta.</t>
        </is>
      </c>
      <c r="K691" t="inlineStr">
        <is>
          <t>Calgary, Alta. &amp; Lacombe, Alb.</t>
        </is>
      </c>
      <c r="P691" t="n">
        <v>822.73</v>
      </c>
      <c r="Q691" t="n">
        <v>248.34</v>
      </c>
      <c r="R691" t="n">
        <v>388.85</v>
      </c>
      <c r="S691" t="n">
        <v>115.9</v>
      </c>
      <c r="T691" t="n">
        <v>763.8</v>
      </c>
      <c r="U691" t="n">
        <v>2339.62</v>
      </c>
      <c r="V691" t="inlineStr">
        <is>
          <t>AJD951578</t>
        </is>
      </c>
      <c r="X691" t="inlineStr">
        <is>
          <t>aafc-aac</t>
        </is>
      </c>
      <c r="Y691" t="inlineStr">
        <is>
          <t>Agriculture and Agri-Food Canada | Agriculture et Agroalimentaire Canada</t>
        </is>
      </c>
    </row>
    <row r="692">
      <c r="A692" t="inlineStr">
        <is>
          <t>T-2017-Q1-00023</t>
        </is>
      </c>
      <c r="B692" t="inlineStr">
        <is>
          <t>SLE</t>
        </is>
      </c>
      <c r="C692" t="inlineStr">
        <is>
          <t>Associate Assistant Deputy Minister, Science and Technology Branch</t>
        </is>
      </c>
      <c r="D692" t="inlineStr">
        <is>
          <t>Sous-ministre adjoint délégué, Direction générale des sciences et de la technologie</t>
        </is>
      </c>
      <c r="E692" t="inlineStr">
        <is>
          <t>Gilles Saindon</t>
        </is>
      </c>
      <c r="F692" t="inlineStr">
        <is>
          <t>Outreach at the Research and Development Center, All Staff meeting and meetings with industry</t>
        </is>
      </c>
      <c r="G692" t="inlineStr">
        <is>
          <t>Visite de sensibilisation au Centre de recherche et développement, réunions avec tous le personnel et réunions avec l'industrie</t>
        </is>
      </c>
      <c r="H692" s="1" t="n">
        <v>42850</v>
      </c>
      <c r="I692" s="1" t="n">
        <v>42851</v>
      </c>
      <c r="J692" t="inlineStr">
        <is>
          <t>Sherbrooke, Que.</t>
        </is>
      </c>
      <c r="K692" t="inlineStr">
        <is>
          <t>Sherbrooke, Qc</t>
        </is>
      </c>
      <c r="P692" t="n">
        <v>0</v>
      </c>
      <c r="Q692" t="n">
        <v>174.55</v>
      </c>
      <c r="R692" t="n">
        <v>129.71</v>
      </c>
      <c r="S692" t="n">
        <v>196.9</v>
      </c>
      <c r="T692" t="n">
        <v>0</v>
      </c>
      <c r="U692" t="n">
        <v>501.16</v>
      </c>
      <c r="V692" t="inlineStr">
        <is>
          <t>AJD981856</t>
        </is>
      </c>
      <c r="X692" t="inlineStr">
        <is>
          <t>aafc-aac</t>
        </is>
      </c>
      <c r="Y692" t="inlineStr">
        <is>
          <t>Agriculture and Agri-Food Canada | Agriculture et Agroalimentaire Canada</t>
        </is>
      </c>
    </row>
    <row r="693">
      <c r="A693" t="inlineStr">
        <is>
          <t>T-2017-Q1-00024</t>
        </is>
      </c>
      <c r="B693" t="inlineStr">
        <is>
          <t>SLE</t>
        </is>
      </c>
      <c r="C693" t="inlineStr">
        <is>
          <t>Associate Assistant Deputy Minister, Science and Technology Branch</t>
        </is>
      </c>
      <c r="D693" t="inlineStr">
        <is>
          <t>Sous-ministre adjoint délégué, Direction générale des sciences et de la technologie</t>
        </is>
      </c>
      <c r="E693" t="inlineStr">
        <is>
          <t>Gilles Saindon</t>
        </is>
      </c>
      <c r="F693" t="inlineStr">
        <is>
          <t>Attended meetings with Canada High Commission, Department for Environment Food &amp; Rural Affairs, and Innovate-United Kingdom.  Also attended meeting International Wheat Yield Partnership and Wheat Initiative Institutions' Coordination Committee</t>
        </is>
      </c>
      <c r="G693" t="inlineStr">
        <is>
          <t>Rencontres avec le Haut–commissariat du Canada, le Département de l'Environnement, de l'alimentation et des affaires rurales ainsi que le Département de l'Innovation.  Assisté aux rencontres avec le Partenariat international sur le rendement du blé et Le comité de coordination des institutions sur l'Initiative du blé.</t>
        </is>
      </c>
      <c r="H693" s="1" t="n">
        <v>42869</v>
      </c>
      <c r="I693" s="1" t="n">
        <v>42875</v>
      </c>
      <c r="J693" t="inlineStr">
        <is>
          <t>London, UL &amp; Rothamsted, UK</t>
        </is>
      </c>
      <c r="K693" t="inlineStr">
        <is>
          <t>Londres, R.-U. &amp; Rothamsted, R.-U.</t>
        </is>
      </c>
      <c r="P693" t="n">
        <v>7560.54</v>
      </c>
      <c r="Q693" t="n">
        <v>385.92</v>
      </c>
      <c r="R693" t="n">
        <v>951.15</v>
      </c>
      <c r="S693" t="n">
        <v>733.66</v>
      </c>
      <c r="T693" t="n">
        <v>2.95</v>
      </c>
      <c r="U693" t="n">
        <v>9634.219999999999</v>
      </c>
      <c r="V693" t="inlineStr">
        <is>
          <t>AJD947210</t>
        </is>
      </c>
      <c r="X693" t="inlineStr">
        <is>
          <t>aafc-aac</t>
        </is>
      </c>
      <c r="Y693" t="inlineStr">
        <is>
          <t>Agriculture and Agri-Food Canada | Agriculture et Agroalimentaire Canada</t>
        </is>
      </c>
    </row>
    <row r="694">
      <c r="A694" t="inlineStr">
        <is>
          <t>T-2017-Q1-00026</t>
        </is>
      </c>
      <c r="B694" t="inlineStr">
        <is>
          <t>SLE</t>
        </is>
      </c>
      <c r="C694" t="inlineStr">
        <is>
          <t>Chief Agriculture Negotiator</t>
        </is>
      </c>
      <c r="D694" t="inlineStr">
        <is>
          <t>Négociateur en chef agricole</t>
        </is>
      </c>
      <c r="E694" t="inlineStr">
        <is>
          <t>Frédéric Seppey</t>
        </is>
      </c>
      <c r="F694" t="inlineStr">
        <is>
          <t>Co-Chairing the Workshop on Safety Assessments in situations of low level presence</t>
        </is>
      </c>
      <c r="G694" t="inlineStr">
        <is>
          <t xml:space="preserve">Co-présidence l'Atelier sur la gestion du risque en situation de présence en faible concentration </t>
        </is>
      </c>
      <c r="H694" s="1" t="n">
        <v>42806</v>
      </c>
      <c r="I694" s="1" t="n">
        <v>42810</v>
      </c>
      <c r="J694" t="inlineStr">
        <is>
          <t>Buenos Aires, AR</t>
        </is>
      </c>
      <c r="K694" t="inlineStr">
        <is>
          <t>Buenos Aires, AR</t>
        </is>
      </c>
      <c r="P694" t="n">
        <v>7535.65</v>
      </c>
      <c r="Q694" t="n">
        <v>100.64</v>
      </c>
      <c r="R694" t="n">
        <v>209.75</v>
      </c>
      <c r="S694" t="n">
        <v>389.97</v>
      </c>
      <c r="T694" t="n">
        <v>40.29</v>
      </c>
      <c r="U694" t="n">
        <v>8276.299999999999</v>
      </c>
      <c r="V694" t="inlineStr">
        <is>
          <t>AJE511857</t>
        </is>
      </c>
      <c r="X694" t="inlineStr">
        <is>
          <t>aafc-aac</t>
        </is>
      </c>
      <c r="Y694" t="inlineStr">
        <is>
          <t>Agriculture and Agri-Food Canada | Agriculture et Agroalimentaire Canada</t>
        </is>
      </c>
    </row>
    <row r="695">
      <c r="A695" t="inlineStr">
        <is>
          <t>T-2017-Q1-00027</t>
        </is>
      </c>
      <c r="B695" t="inlineStr">
        <is>
          <t>SLE</t>
        </is>
      </c>
      <c r="C695" t="inlineStr">
        <is>
          <t>Chief Agriculture Negotiator</t>
        </is>
      </c>
      <c r="D695" t="inlineStr">
        <is>
          <t>Négociateur en chef agricole</t>
        </is>
      </c>
      <c r="E695" t="inlineStr">
        <is>
          <t>Frédéric Seppey</t>
        </is>
      </c>
      <c r="F695" t="inlineStr">
        <is>
          <t>Speaking engagement at the Dairy Farmers of Ontario Spring Policy Conference</t>
        </is>
      </c>
      <c r="G695" t="inlineStr">
        <is>
          <t>Allocution parlant au Conférence printanière sur les politiques des Producteurs laitiers de l'Ontario</t>
        </is>
      </c>
      <c r="H695" s="1" t="n">
        <v>42816</v>
      </c>
      <c r="I695" s="1" t="n">
        <v>42816</v>
      </c>
      <c r="J695" t="inlineStr">
        <is>
          <t>Toronto, Ont.</t>
        </is>
      </c>
      <c r="K695" t="inlineStr">
        <is>
          <t>Toronto, Ont.</t>
        </is>
      </c>
      <c r="P695" t="n">
        <v>417.31</v>
      </c>
      <c r="Q695" t="n">
        <v>122.21</v>
      </c>
      <c r="R695" t="n">
        <v>0</v>
      </c>
      <c r="S695" t="n">
        <v>34.25</v>
      </c>
      <c r="T695" t="n">
        <v>0</v>
      </c>
      <c r="U695" t="n">
        <v>573.77</v>
      </c>
      <c r="V695" t="inlineStr">
        <is>
          <t>AJE586271</t>
        </is>
      </c>
      <c r="X695" t="inlineStr">
        <is>
          <t>aafc-aac</t>
        </is>
      </c>
      <c r="Y695" t="inlineStr">
        <is>
          <t>Agriculture and Agri-Food Canada | Agriculture et Agroalimentaire Canada</t>
        </is>
      </c>
    </row>
    <row r="696">
      <c r="A696" t="inlineStr">
        <is>
          <t>T-2017-Q1-00028</t>
        </is>
      </c>
      <c r="B696" t="inlineStr">
        <is>
          <t>SLE</t>
        </is>
      </c>
      <c r="C696" t="inlineStr">
        <is>
          <t>Chief Agriculture Negotiator</t>
        </is>
      </c>
      <c r="D696" t="inlineStr">
        <is>
          <t>Négociateur en chef agricole</t>
        </is>
      </c>
      <c r="E696" t="inlineStr">
        <is>
          <t>Frédéric Seppey</t>
        </is>
      </c>
      <c r="F696" t="inlineStr">
        <is>
          <t>Speaking engagement at the Grains Roundtable, Canadian Global Crops Symposium and visit to employees of Lethbridge's Research centre</t>
        </is>
      </c>
      <c r="G696" t="inlineStr">
        <is>
          <t>Allocution lors de la Table ronde sur les céréales, Symposium canadien des cultures mondiales et visite aux employés du centre de recherche de Lethbridge</t>
        </is>
      </c>
      <c r="H696" s="1" t="n">
        <v>42834</v>
      </c>
      <c r="I696" s="1" t="n">
        <v>42837</v>
      </c>
      <c r="J696" t="inlineStr">
        <is>
          <t>Calgary, Alta; Winnipeg, Man.</t>
        </is>
      </c>
      <c r="K696" t="inlineStr">
        <is>
          <t>Calgary, Alb.; Winnipeg, Man.</t>
        </is>
      </c>
      <c r="P696" t="n">
        <v>1078.14</v>
      </c>
      <c r="Q696" t="n">
        <v>272</v>
      </c>
      <c r="R696" t="n">
        <v>549.15</v>
      </c>
      <c r="S696" t="n">
        <v>307.15</v>
      </c>
      <c r="T696" t="n">
        <v>29.27</v>
      </c>
      <c r="U696" t="n">
        <v>2235.71</v>
      </c>
      <c r="V696" t="inlineStr">
        <is>
          <t>AJE542990</t>
        </is>
      </c>
      <c r="X696" t="inlineStr">
        <is>
          <t>aafc-aac</t>
        </is>
      </c>
      <c r="Y696" t="inlineStr">
        <is>
          <t>Agriculture and Agri-Food Canada | Agriculture et Agroalimentaire Canada</t>
        </is>
      </c>
    </row>
    <row r="697">
      <c r="A697" t="inlineStr">
        <is>
          <t>T-2017-Q1-00029</t>
        </is>
      </c>
      <c r="B697" t="inlineStr">
        <is>
          <t>SLE</t>
        </is>
      </c>
      <c r="C697" t="inlineStr">
        <is>
          <t>Chief Agriculture Negotiator</t>
        </is>
      </c>
      <c r="D697" t="inlineStr">
        <is>
          <t>Négociateur en chef agricole</t>
        </is>
      </c>
      <c r="E697" t="inlineStr">
        <is>
          <t>Frédéric Seppey</t>
        </is>
      </c>
      <c r="F697" t="inlineStr">
        <is>
          <t>Bilateral engagement with Mexican government officials and industry representatives</t>
        </is>
      </c>
      <c r="G697" t="inlineStr">
        <is>
          <t>Rencontre bilatéral avec les représentants du gouvernement et de l'industrie du Mexique</t>
        </is>
      </c>
      <c r="H697" s="1" t="n">
        <v>42851</v>
      </c>
      <c r="I697" s="1" t="n">
        <v>42853</v>
      </c>
      <c r="J697" t="inlineStr">
        <is>
          <t>Mexico, MX</t>
        </is>
      </c>
      <c r="K697" t="inlineStr">
        <is>
          <t>Mexique, MX</t>
        </is>
      </c>
      <c r="P697" t="n">
        <v>1581.08</v>
      </c>
      <c r="Q697" t="n">
        <v>140.1</v>
      </c>
      <c r="R697" t="n">
        <v>393.22</v>
      </c>
      <c r="S697" t="n">
        <v>174.78</v>
      </c>
      <c r="T697" t="n">
        <v>22.48</v>
      </c>
      <c r="U697" t="n">
        <v>2311.66</v>
      </c>
      <c r="V697" t="inlineStr">
        <is>
          <t>AJE510692</t>
        </is>
      </c>
      <c r="X697" t="inlineStr">
        <is>
          <t>aafc-aac</t>
        </is>
      </c>
      <c r="Y697" t="inlineStr">
        <is>
          <t>Agriculture and Agri-Food Canada | Agriculture et Agroalimentaire Canada</t>
        </is>
      </c>
    </row>
    <row r="698">
      <c r="A698" t="inlineStr">
        <is>
          <t>T-2017-Q1-00030</t>
        </is>
      </c>
      <c r="B698" t="inlineStr">
        <is>
          <t>SLE</t>
        </is>
      </c>
      <c r="C698" t="inlineStr">
        <is>
          <t>Chief Agriculture Negotiator</t>
        </is>
      </c>
      <c r="D698" t="inlineStr">
        <is>
          <t>Négociateur en chef agricole</t>
        </is>
      </c>
      <c r="E698" t="inlineStr">
        <is>
          <t>Frédéric Seppey</t>
        </is>
      </c>
      <c r="F698" t="inlineStr">
        <is>
          <t>Presentation to the Conseil des industriels du Québec and the Ontario Dairy Council</t>
        </is>
      </c>
      <c r="G698" t="inlineStr">
        <is>
          <t>Présentation au Conseil des industriels latiers du Québec et au Ontario Dairy Council</t>
        </is>
      </c>
      <c r="H698" s="1" t="n">
        <v>42864</v>
      </c>
      <c r="I698" s="1" t="n">
        <v>42865</v>
      </c>
      <c r="J698" t="inlineStr">
        <is>
          <t>Montreal, Que.</t>
        </is>
      </c>
      <c r="K698" t="inlineStr">
        <is>
          <t>Montréal, Qc</t>
        </is>
      </c>
      <c r="P698" t="n">
        <v>0</v>
      </c>
      <c r="Q698" t="n">
        <v>169.35</v>
      </c>
      <c r="R698" t="n">
        <v>167.8</v>
      </c>
      <c r="S698" t="n">
        <v>80.55</v>
      </c>
      <c r="T698" t="n">
        <v>0</v>
      </c>
      <c r="U698" t="n">
        <v>417.7</v>
      </c>
      <c r="V698" t="inlineStr">
        <is>
          <t>AJE500776</t>
        </is>
      </c>
      <c r="X698" t="inlineStr">
        <is>
          <t>aafc-aac</t>
        </is>
      </c>
      <c r="Y698" t="inlineStr">
        <is>
          <t>Agriculture and Agri-Food Canada | Agriculture et Agroalimentaire Canada</t>
        </is>
      </c>
    </row>
    <row r="699">
      <c r="A699" t="inlineStr">
        <is>
          <t>T-2017-Q1-00031</t>
        </is>
      </c>
      <c r="B699" t="inlineStr">
        <is>
          <t>SLE</t>
        </is>
      </c>
      <c r="C699" t="inlineStr">
        <is>
          <t>Chief Agriculture Negotiator</t>
        </is>
      </c>
      <c r="D699" t="inlineStr">
        <is>
          <t>Négociateur en chef agricole</t>
        </is>
      </c>
      <c r="E699" t="inlineStr">
        <is>
          <t>Frédéric Seppey</t>
        </is>
      </c>
      <c r="F699" t="inlineStr">
        <is>
          <t>G20 Agriculture Deputies Meeting</t>
        </is>
      </c>
      <c r="G699" t="inlineStr">
        <is>
          <t>Réunion des délégués auprès du G20</t>
        </is>
      </c>
      <c r="H699" s="1" t="n">
        <v>42866</v>
      </c>
      <c r="I699" s="1" t="n">
        <v>42872</v>
      </c>
      <c r="J699" t="inlineStr">
        <is>
          <t>Brussels, BE</t>
        </is>
      </c>
      <c r="K699" t="inlineStr">
        <is>
          <t>Bruxelles, BE</t>
        </is>
      </c>
      <c r="P699" t="n">
        <v>3160.76</v>
      </c>
      <c r="Q699" t="n">
        <v>392.68</v>
      </c>
      <c r="R699" t="n">
        <v>1014.44</v>
      </c>
      <c r="S699" t="n">
        <v>825.12</v>
      </c>
      <c r="T699" t="n">
        <v>90.12</v>
      </c>
      <c r="U699" t="n">
        <v>5483.12</v>
      </c>
      <c r="V699" t="inlineStr">
        <is>
          <t>AJE535873</t>
        </is>
      </c>
      <c r="X699" t="inlineStr">
        <is>
          <t>aafc-aac</t>
        </is>
      </c>
      <c r="Y699" t="inlineStr">
        <is>
          <t>Agriculture and Agri-Food Canada | Agriculture et Agroalimentaire Canada</t>
        </is>
      </c>
    </row>
    <row r="700">
      <c r="A700" t="inlineStr">
        <is>
          <t>T-2017-Q1-00032</t>
        </is>
      </c>
      <c r="B700" t="inlineStr">
        <is>
          <t>SLE</t>
        </is>
      </c>
      <c r="C700" t="inlineStr">
        <is>
          <t>Assistant Deputy Minister, Public Affairs Branch</t>
        </is>
      </c>
      <c r="D700" t="inlineStr">
        <is>
          <t xml:space="preserve">Sous-ministre adjointe, Direction générale des affaires publiques </t>
        </is>
      </c>
      <c r="E700" t="inlineStr">
        <is>
          <t>Jane Taylor</t>
        </is>
      </c>
      <c r="F700" t="inlineStr">
        <is>
          <t>Food Policy Canada Launch</t>
        </is>
      </c>
      <c r="G700" t="inlineStr">
        <is>
          <t>Lancement des consultations sur"Une politique alimentaire pour le Canada"</t>
        </is>
      </c>
      <c r="H700" s="1" t="n">
        <v>42883</v>
      </c>
      <c r="I700" s="1" t="n">
        <v>42884</v>
      </c>
      <c r="J700" t="inlineStr">
        <is>
          <t>Toronto, Ont.</t>
        </is>
      </c>
      <c r="K700" t="inlineStr">
        <is>
          <t>Toronto, Ont.</t>
        </is>
      </c>
      <c r="P700" t="n">
        <v>0</v>
      </c>
      <c r="Q700" t="n">
        <v>447.68</v>
      </c>
      <c r="R700" t="n">
        <v>230.84</v>
      </c>
      <c r="S700" t="n">
        <v>97.7</v>
      </c>
      <c r="T700" t="n">
        <v>0</v>
      </c>
      <c r="U700" t="n">
        <v>776.22</v>
      </c>
      <c r="V700" t="inlineStr">
        <is>
          <t>AJC139328</t>
        </is>
      </c>
      <c r="X700" t="inlineStr">
        <is>
          <t>aafc-aac</t>
        </is>
      </c>
      <c r="Y700" t="inlineStr">
        <is>
          <t>Agriculture and Agri-Food Canada | Agriculture et Agroalimentaire Canada</t>
        </is>
      </c>
    </row>
    <row r="701">
      <c r="A701" t="inlineStr">
        <is>
          <t>T-2017-Q1-00033</t>
        </is>
      </c>
      <c r="B701" t="inlineStr">
        <is>
          <t>SLE</t>
        </is>
      </c>
      <c r="C701" t="inlineStr">
        <is>
          <t>Assistant Deputy Minister, Public Affairs Branch</t>
        </is>
      </c>
      <c r="D701" t="inlineStr">
        <is>
          <t>Sous-ministre adjointe, Direction générale des affaires publiques</t>
        </is>
      </c>
      <c r="E701" t="inlineStr">
        <is>
          <t>Jane Taylor</t>
        </is>
      </c>
      <c r="F701" t="inlineStr">
        <is>
          <t>Canadian Eastern First Nations Outreach</t>
        </is>
      </c>
      <c r="G701" t="inlineStr">
        <is>
          <t>Séance de mobilisation des Premières nations de l'Est canadien</t>
        </is>
      </c>
      <c r="H701" s="1" t="n">
        <v>42887</v>
      </c>
      <c r="I701" s="1" t="n">
        <v>42887</v>
      </c>
      <c r="J701" t="inlineStr">
        <is>
          <t>Montreal, Que.</t>
        </is>
      </c>
      <c r="K701" t="inlineStr">
        <is>
          <t>Montréal, Qc</t>
        </is>
      </c>
      <c r="P701" t="n">
        <v>0</v>
      </c>
      <c r="Q701" t="n">
        <v>183.7</v>
      </c>
      <c r="R701" t="n">
        <v>0</v>
      </c>
      <c r="S701" t="n">
        <v>0</v>
      </c>
      <c r="T701" t="n">
        <v>0</v>
      </c>
      <c r="U701" t="n">
        <v>183.7</v>
      </c>
      <c r="V701" t="inlineStr">
        <is>
          <t>AJC108648</t>
        </is>
      </c>
      <c r="X701" t="inlineStr">
        <is>
          <t>aafc-aac</t>
        </is>
      </c>
      <c r="Y701" t="inlineStr">
        <is>
          <t>Agriculture and Agri-Food Canada | Agriculture et Agroalimentaire Canada</t>
        </is>
      </c>
    </row>
    <row r="702">
      <c r="A702" t="inlineStr">
        <is>
          <t>T-2017-Q1-00034</t>
        </is>
      </c>
      <c r="B702" t="inlineStr">
        <is>
          <t>MPSES</t>
        </is>
      </c>
      <c r="C702" t="inlineStr">
        <is>
          <t>Communications Advisor</t>
        </is>
      </c>
      <c r="D702" t="inlineStr">
        <is>
          <t>Conseiller en communications</t>
        </is>
      </c>
      <c r="E702" t="inlineStr">
        <is>
          <t>Oliver Anderson</t>
        </is>
      </c>
      <c r="F702" t="inlineStr">
        <is>
          <t>To accompany the Minister to Agricultural Greenhouse Gases Program Announcement</t>
        </is>
      </c>
      <c r="G702" t="inlineStr">
        <is>
          <t>Pour accompagner le ministre pour faire une annoncedu Programme des gaz à effet de serre agricole</t>
        </is>
      </c>
      <c r="H702" s="1" t="n">
        <v>42845</v>
      </c>
      <c r="I702" s="1" t="n">
        <v>42846</v>
      </c>
      <c r="J702" t="inlineStr">
        <is>
          <t>Edmonton, Alta.</t>
        </is>
      </c>
      <c r="K702" t="inlineStr">
        <is>
          <t>Edmonton, Alb.</t>
        </is>
      </c>
      <c r="P702" t="n">
        <v>1142.64</v>
      </c>
      <c r="Q702" t="n">
        <v>0</v>
      </c>
      <c r="R702" t="n">
        <v>189.73</v>
      </c>
      <c r="S702" t="n">
        <v>179.75</v>
      </c>
      <c r="T702" t="n">
        <v>0</v>
      </c>
      <c r="U702" t="n">
        <v>1512.12</v>
      </c>
      <c r="V702" t="n">
        <v>1900008869</v>
      </c>
      <c r="X702" t="inlineStr">
        <is>
          <t>aafc-aac</t>
        </is>
      </c>
      <c r="Y702" t="inlineStr">
        <is>
          <t>Agriculture and Agri-Food Canada | Agriculture et Agroalimentaire Canada</t>
        </is>
      </c>
    </row>
    <row r="703">
      <c r="A703" t="inlineStr">
        <is>
          <t>T-2017-Q1-00062</t>
        </is>
      </c>
      <c r="B703" t="inlineStr">
        <is>
          <t>MPSES</t>
        </is>
      </c>
      <c r="C703" t="inlineStr">
        <is>
          <t>Minister</t>
        </is>
      </c>
      <c r="D703" t="inlineStr">
        <is>
          <t>Ministre</t>
        </is>
      </c>
      <c r="E703" t="inlineStr">
        <is>
          <t>Lawrence MacAulay</t>
        </is>
      </c>
      <c r="F703" t="inlineStr">
        <is>
          <t>To launch the Government's Consultations on a Food Policy for Canada</t>
        </is>
      </c>
      <c r="G703" t="inlineStr">
        <is>
          <t>Pour lancer les consultations du gouvernement sur une politique alimentaire pour le Canada</t>
        </is>
      </c>
      <c r="H703" s="1" t="n">
        <v>42883</v>
      </c>
      <c r="I703" s="1" t="n">
        <v>42884</v>
      </c>
      <c r="J703" t="inlineStr">
        <is>
          <t>Toronto, Ont.</t>
        </is>
      </c>
      <c r="K703" t="inlineStr">
        <is>
          <t>Toronto, Ont.</t>
        </is>
      </c>
      <c r="P703" t="n">
        <v>967.42</v>
      </c>
      <c r="Q703" t="n">
        <v>0</v>
      </c>
      <c r="R703" t="n">
        <v>230.84</v>
      </c>
      <c r="S703" t="n">
        <v>69.8</v>
      </c>
      <c r="T703" t="n">
        <v>0</v>
      </c>
      <c r="U703" t="n">
        <v>1268.06</v>
      </c>
      <c r="V703" t="n">
        <v>1900020140</v>
      </c>
      <c r="X703" t="inlineStr">
        <is>
          <t>aafc-aac</t>
        </is>
      </c>
      <c r="Y703" t="inlineStr">
        <is>
          <t>Agriculture and Agri-Food Canada | Agriculture et Agroalimentaire Canada</t>
        </is>
      </c>
    </row>
    <row r="704">
      <c r="A704" t="inlineStr">
        <is>
          <t>T-2017-Q1-00035</t>
        </is>
      </c>
      <c r="B704" t="inlineStr">
        <is>
          <t>MPSES</t>
        </is>
      </c>
      <c r="C704" t="inlineStr">
        <is>
          <t>Director of Policy</t>
        </is>
      </c>
      <c r="D704" t="inlineStr">
        <is>
          <t>Directeur des politiques</t>
        </is>
      </c>
      <c r="E704" t="inlineStr">
        <is>
          <t>Maxime Dea</t>
        </is>
      </c>
      <c r="F704" t="inlineStr">
        <is>
          <t>To accompany the Minister to the Agriculture and Agrifood Canada Ministerial Mission to Vietnam and India</t>
        </is>
      </c>
      <c r="G704" t="inlineStr">
        <is>
          <t>Pour accompagner le ministre au Mission ministérielle d'Agriculture et Agroalimentaire Canada au Vietnam et en Inde</t>
        </is>
      </c>
      <c r="H704" s="1" t="n">
        <v>42790</v>
      </c>
      <c r="I704" s="1" t="n">
        <v>42805</v>
      </c>
      <c r="J704" t="inlineStr">
        <is>
          <t>Hanoi, VN &amp; New Delhi, IN</t>
        </is>
      </c>
      <c r="K704" t="inlineStr">
        <is>
          <t>Hanoi, VN et New Delhi, IN</t>
        </is>
      </c>
      <c r="P704" t="n">
        <v>12063.41</v>
      </c>
      <c r="Q704" t="n">
        <v>148.58</v>
      </c>
      <c r="R704" t="n">
        <v>3359.17</v>
      </c>
      <c r="S704" t="n">
        <v>2097.42</v>
      </c>
      <c r="T704" t="n">
        <v>0</v>
      </c>
      <c r="U704" t="n">
        <v>17668.58</v>
      </c>
      <c r="V704" t="n">
        <v>1900122688</v>
      </c>
      <c r="X704" t="inlineStr">
        <is>
          <t>aafc-aac</t>
        </is>
      </c>
      <c r="Y704" t="inlineStr">
        <is>
          <t>Agriculture and Agri-Food Canada | Agriculture et Agroalimentaire Canada</t>
        </is>
      </c>
    </row>
    <row r="705">
      <c r="A705" t="inlineStr">
        <is>
          <t>T-2017-Q1-00037</t>
        </is>
      </c>
      <c r="B705" t="inlineStr">
        <is>
          <t>MPSES</t>
        </is>
      </c>
      <c r="C705" t="inlineStr">
        <is>
          <t>Director of Communications</t>
        </is>
      </c>
      <c r="D705" t="inlineStr">
        <is>
          <t>Directeur des communications</t>
        </is>
      </c>
      <c r="E705" t="inlineStr">
        <is>
          <t>Guy Gallant</t>
        </is>
      </c>
      <c r="F705" t="inlineStr">
        <is>
          <t>To accompany the Minister at the Agriculture And Agrifood Canada Ministerial Mission to Vietnam and India</t>
        </is>
      </c>
      <c r="G705" t="inlineStr">
        <is>
          <t>Pour accompagner le ministre au Agriculture et agroalimentaire Canada  Mission ministérielle d'Agriculture et Agrioalimentaire Canada au Vietnam et en Inde</t>
        </is>
      </c>
      <c r="H705" s="1" t="n">
        <v>42790</v>
      </c>
      <c r="I705" s="1" t="n">
        <v>42805</v>
      </c>
      <c r="J705" t="inlineStr">
        <is>
          <t>Hanoi, VN &amp; New Delhi, IN</t>
        </is>
      </c>
      <c r="K705" t="inlineStr">
        <is>
          <t>Hanoi, VN &amp; New Delhi, IN</t>
        </is>
      </c>
      <c r="P705" t="n">
        <v>12063.41</v>
      </c>
      <c r="R705" t="n">
        <v>3428.08</v>
      </c>
      <c r="S705" t="n">
        <v>2107.56</v>
      </c>
      <c r="U705" t="n">
        <v>17599.05</v>
      </c>
      <c r="V705" t="n">
        <v>1900122683</v>
      </c>
      <c r="X705" t="inlineStr">
        <is>
          <t>aafc-aac</t>
        </is>
      </c>
      <c r="Y705" t="inlineStr">
        <is>
          <t>Agriculture and Agri-Food Canada | Agriculture et Agroalimentaire Canada</t>
        </is>
      </c>
    </row>
    <row r="706">
      <c r="A706" t="inlineStr">
        <is>
          <t>T-2017-Q1-00038</t>
        </is>
      </c>
      <c r="B706" t="inlineStr">
        <is>
          <t>MPSES</t>
        </is>
      </c>
      <c r="C706" t="inlineStr">
        <is>
          <t>Director of Communications</t>
        </is>
      </c>
      <c r="D706" t="inlineStr">
        <is>
          <t>Directeur des communications</t>
        </is>
      </c>
      <c r="E706" t="inlineStr">
        <is>
          <t>Guy Gallant</t>
        </is>
      </c>
      <c r="F706" t="inlineStr">
        <is>
          <t>To attend government meetings</t>
        </is>
      </c>
      <c r="G706" t="inlineStr">
        <is>
          <t>Assister aux réunions du gouvernement</t>
        </is>
      </c>
      <c r="H706" s="1" t="n">
        <v>42807</v>
      </c>
      <c r="I706" s="1" t="n">
        <v>42808</v>
      </c>
      <c r="J706" t="inlineStr">
        <is>
          <t>Halifax, N.S.</t>
        </is>
      </c>
      <c r="K706" t="inlineStr">
        <is>
          <t>Halifax, N.-É.</t>
        </is>
      </c>
      <c r="P706" t="n">
        <v>624.54</v>
      </c>
      <c r="Q706" t="n">
        <v>60.6</v>
      </c>
      <c r="R706" t="n">
        <v>139.59</v>
      </c>
      <c r="S706" t="n">
        <v>159.95</v>
      </c>
      <c r="U706" t="n">
        <v>984.6799999999999</v>
      </c>
      <c r="V706" t="n">
        <v>1900122690</v>
      </c>
      <c r="X706" t="inlineStr">
        <is>
          <t>aafc-aac</t>
        </is>
      </c>
      <c r="Y706" t="inlineStr">
        <is>
          <t>Agriculture and Agri-Food Canada | Agriculture et Agroalimentaire Canada</t>
        </is>
      </c>
    </row>
    <row r="707">
      <c r="A707" t="inlineStr">
        <is>
          <t>T-2017-Q1-00039</t>
        </is>
      </c>
      <c r="B707" t="inlineStr">
        <is>
          <t>MPSES</t>
        </is>
      </c>
      <c r="C707" t="inlineStr">
        <is>
          <t>Director of Communications</t>
        </is>
      </c>
      <c r="D707" t="inlineStr">
        <is>
          <t>Directeur des communications</t>
        </is>
      </c>
      <c r="E707" t="inlineStr">
        <is>
          <t>Guy Gallant</t>
        </is>
      </c>
      <c r="F707" t="inlineStr">
        <is>
          <t>To accompany the Minister to Saskatchewan Association of Rural Municipalities Convention. Meetings with Saskatchewan Minister of Agriculture and meetings with stakeholders</t>
        </is>
      </c>
      <c r="G707" t="inlineStr">
        <is>
          <t>Pour accompagner le ministre au Congrès de l'Association des municipalités rurales de Saskatchewan. Réunions avec le ministre de l'Agriculture de Saskatchewan et rencontres avec les parties prenantes</t>
        </is>
      </c>
      <c r="H707" s="1" t="n">
        <v>42809</v>
      </c>
      <c r="I707" s="1" t="n">
        <v>42811</v>
      </c>
      <c r="J707" t="inlineStr">
        <is>
          <t>Saskatoon, Sask.</t>
        </is>
      </c>
      <c r="K707" t="inlineStr">
        <is>
          <t>Saskatoon, Sask.</t>
        </is>
      </c>
      <c r="P707" t="n">
        <v>656.9299999999999</v>
      </c>
      <c r="R707" t="n">
        <v>164.29</v>
      </c>
      <c r="S707" t="n">
        <v>177.05</v>
      </c>
      <c r="U707" t="n">
        <v>998.27</v>
      </c>
      <c r="V707" t="n">
        <v>1900122691</v>
      </c>
      <c r="X707" t="inlineStr">
        <is>
          <t>aafc-aac</t>
        </is>
      </c>
      <c r="Y707" t="inlineStr">
        <is>
          <t>Agriculture and Agri-Food Canada | Agriculture et Agroalimentaire Canada</t>
        </is>
      </c>
    </row>
    <row r="708">
      <c r="A708" t="inlineStr">
        <is>
          <t>T-2017-Q1-00040</t>
        </is>
      </c>
      <c r="B708" t="inlineStr">
        <is>
          <t>MPSES</t>
        </is>
      </c>
      <c r="C708" t="inlineStr">
        <is>
          <t>Director of Communications</t>
        </is>
      </c>
      <c r="D708" t="inlineStr">
        <is>
          <t>Directeur des communications</t>
        </is>
      </c>
      <c r="E708" t="inlineStr">
        <is>
          <t>Guy Gallant</t>
        </is>
      </c>
      <c r="F708" t="inlineStr">
        <is>
          <t>To accompany the Minister to attend Seafood Expo North America, attend bilateral meetings with provincial and state legislators</t>
        </is>
      </c>
      <c r="G708" t="inlineStr">
        <is>
          <t>Pour accompagner le ministre à assister à Seafood Expo North America, assister à des réunions bilatérales avec les législateurs provinciaux et provinciaux</t>
        </is>
      </c>
      <c r="H708" s="1" t="n">
        <v>42811</v>
      </c>
      <c r="I708" s="1" t="n">
        <v>42815</v>
      </c>
      <c r="J708" t="inlineStr">
        <is>
          <t>Boston, MA</t>
        </is>
      </c>
      <c r="K708" t="inlineStr">
        <is>
          <t>Boston, MA</t>
        </is>
      </c>
      <c r="P708" t="n">
        <v>618.96</v>
      </c>
      <c r="R708" t="n">
        <v>1766.26</v>
      </c>
      <c r="S708" t="n">
        <v>457.53</v>
      </c>
      <c r="U708" t="n">
        <v>2842.75</v>
      </c>
      <c r="V708" t="n">
        <v>1900124737</v>
      </c>
      <c r="X708" t="inlineStr">
        <is>
          <t>aafc-aac</t>
        </is>
      </c>
      <c r="Y708" t="inlineStr">
        <is>
          <t>Agriculture and Agri-Food Canada | Agriculture et Agroalimentaire Canada</t>
        </is>
      </c>
    </row>
    <row r="709">
      <c r="A709" t="inlineStr">
        <is>
          <t>T-2017-Q1-00041</t>
        </is>
      </c>
      <c r="B709" t="inlineStr">
        <is>
          <t>MPSES</t>
        </is>
      </c>
      <c r="C709" t="inlineStr">
        <is>
          <t>Director of Communications</t>
        </is>
      </c>
      <c r="D709" t="inlineStr">
        <is>
          <t>Directeur des communications</t>
        </is>
      </c>
      <c r="E709" t="inlineStr">
        <is>
          <t>Guy Gallant</t>
        </is>
      </c>
      <c r="F709" t="inlineStr">
        <is>
          <t>To accompany the Minister to an announcement in Charlottetown to accompany the Minister to meetings with Canola Farmers, producers and processors in Regina.</t>
        </is>
      </c>
      <c r="G709" t="inlineStr">
        <is>
          <t>Pour accompagner le ministre à une annonce à Charlottetown pour accompagner le ministre à des réunions avec les cultivateurs, producteurs et transformateurs de canola à Regina.</t>
        </is>
      </c>
      <c r="H709" s="1" t="n">
        <v>42850</v>
      </c>
      <c r="I709" s="1" t="n">
        <v>42852</v>
      </c>
      <c r="J709" t="inlineStr">
        <is>
          <t>Charlottetown, P.E.I. &amp; Regina, Sask.</t>
        </is>
      </c>
      <c r="K709" t="inlineStr">
        <is>
          <t>Charlottetown, Î.-P.-É et Regina, Sask.</t>
        </is>
      </c>
      <c r="P709" t="n">
        <v>2873.63</v>
      </c>
      <c r="Q709" t="n">
        <v>97.95</v>
      </c>
      <c r="R709" t="n">
        <v>335.41</v>
      </c>
      <c r="S709" t="n">
        <v>295.35</v>
      </c>
      <c r="U709" t="n">
        <v>3602.34</v>
      </c>
      <c r="V709" t="n">
        <v>1900010015</v>
      </c>
      <c r="X709" t="inlineStr">
        <is>
          <t>aafc-aac</t>
        </is>
      </c>
      <c r="Y709" t="inlineStr">
        <is>
          <t>Agriculture and Agri-Food Canada | Agriculture et Agroalimentaire Canada</t>
        </is>
      </c>
    </row>
    <row r="710">
      <c r="A710" t="inlineStr">
        <is>
          <t>T-2017-Q3-00038</t>
        </is>
      </c>
      <c r="B710" t="inlineStr">
        <is>
          <t>SLE</t>
        </is>
      </c>
      <c r="C710" t="inlineStr">
        <is>
          <t>Assistant Deputy Minister, Public Affairs Branch</t>
        </is>
      </c>
      <c r="D710" t="inlineStr">
        <is>
          <t>Sous-ministre adjointe, Direction générale des affaires publiques</t>
        </is>
      </c>
      <c r="E710" t="inlineStr">
        <is>
          <t>Jane Taylor</t>
        </is>
      </c>
      <c r="F710" t="inlineStr">
        <is>
          <t>Oxford Program</t>
        </is>
      </c>
      <c r="G710" t="inlineStr">
        <is>
          <t xml:space="preserve">Programme Oxford  </t>
        </is>
      </c>
      <c r="H710" s="1" t="n">
        <v>43000</v>
      </c>
      <c r="I710" s="1" t="n">
        <v>43009</v>
      </c>
      <c r="J710" t="inlineStr">
        <is>
          <t>Oxford, England</t>
        </is>
      </c>
      <c r="K710" t="inlineStr">
        <is>
          <t>Oxford, Angleterre</t>
        </is>
      </c>
      <c r="P710" t="n">
        <v>1075.15</v>
      </c>
      <c r="Q710" t="n">
        <v>83.97</v>
      </c>
      <c r="S710" t="n">
        <v>806.74</v>
      </c>
      <c r="U710" t="n">
        <v>1965.86</v>
      </c>
      <c r="V710" t="inlineStr">
        <is>
          <t>ACJ103664</t>
        </is>
      </c>
      <c r="X710" t="inlineStr">
        <is>
          <t>aafc-aac</t>
        </is>
      </c>
      <c r="Y710" t="inlineStr">
        <is>
          <t>Agriculture and Agri-Food Canada | Agriculture et Agroalimentaire Canada</t>
        </is>
      </c>
    </row>
    <row r="711">
      <c r="A711" t="inlineStr">
        <is>
          <t>T-2017-Q1-00042</t>
        </is>
      </c>
      <c r="B711" t="inlineStr">
        <is>
          <t>MPSES</t>
        </is>
      </c>
      <c r="C711" t="inlineStr">
        <is>
          <t>Director of Communications</t>
        </is>
      </c>
      <c r="D711" t="inlineStr">
        <is>
          <t>Directeur des communications</t>
        </is>
      </c>
      <c r="E711" t="inlineStr">
        <is>
          <t>Guy Gallant</t>
        </is>
      </c>
      <c r="F711" t="inlineStr">
        <is>
          <t>To accompany the Minister for an announcement on behalf of the Government of Canada</t>
        </is>
      </c>
      <c r="G711" t="inlineStr">
        <is>
          <t>Pour accompagner le ministre pour une annonce au nom du gouvernement du Canada</t>
        </is>
      </c>
      <c r="H711" s="1" t="n">
        <v>42853</v>
      </c>
      <c r="I711" s="1" t="n">
        <v>42855</v>
      </c>
      <c r="J711" t="inlineStr">
        <is>
          <t>Charlottetown, P.E.I.</t>
        </is>
      </c>
      <c r="K711" t="inlineStr">
        <is>
          <t>Charlottetown, Î.-P.-É</t>
        </is>
      </c>
      <c r="P711" t="n">
        <v>1124.11</v>
      </c>
      <c r="Q711" t="n">
        <v>56.41</v>
      </c>
      <c r="S711" t="n">
        <v>295.35</v>
      </c>
      <c r="U711" t="n">
        <v>1475.87</v>
      </c>
      <c r="V711" t="n">
        <v>1900008862</v>
      </c>
      <c r="X711" t="inlineStr">
        <is>
          <t>aafc-aac</t>
        </is>
      </c>
      <c r="Y711" t="inlineStr">
        <is>
          <t>Agriculture and Agri-Food Canada | Agriculture et Agroalimentaire Canada</t>
        </is>
      </c>
    </row>
    <row r="712">
      <c r="A712" t="inlineStr">
        <is>
          <t>T-2017-Q1-00043</t>
        </is>
      </c>
      <c r="B712" t="inlineStr">
        <is>
          <t>MPSES</t>
        </is>
      </c>
      <c r="C712" t="inlineStr">
        <is>
          <t>Director of Communications</t>
        </is>
      </c>
      <c r="D712" t="inlineStr">
        <is>
          <t>Directeur des communications</t>
        </is>
      </c>
      <c r="E712" t="inlineStr">
        <is>
          <t>Guy Gallant</t>
        </is>
      </c>
      <c r="F712" t="inlineStr">
        <is>
          <t>To accompany the Minister to a bilateral meeting with Ontario Minister of Agriculture and to the opening and tour of Salon International de l'alimentation</t>
        </is>
      </c>
      <c r="G712" t="inlineStr">
        <is>
          <t>Pour accompagner le ministre à une réunion bilatérale avec le ministre de l'Agriculture de l'Ontario et à l'ouverture et à la tournée du Salon international de l'alimentation</t>
        </is>
      </c>
      <c r="H712" s="1" t="n">
        <v>42856</v>
      </c>
      <c r="I712" s="1" t="n">
        <v>42857</v>
      </c>
      <c r="J712" t="inlineStr">
        <is>
          <t>Toronto, Ont.</t>
        </is>
      </c>
      <c r="K712" t="inlineStr">
        <is>
          <t>Toronto, Ont.</t>
        </is>
      </c>
      <c r="P712" t="n">
        <v>794.67</v>
      </c>
      <c r="R712" t="n">
        <v>230.84</v>
      </c>
      <c r="S712" t="n">
        <v>115.75</v>
      </c>
      <c r="U712" t="n">
        <v>1141.26</v>
      </c>
      <c r="V712" t="n">
        <v>1900010014</v>
      </c>
      <c r="X712" t="inlineStr">
        <is>
          <t>aafc-aac</t>
        </is>
      </c>
      <c r="Y712" t="inlineStr">
        <is>
          <t>Agriculture and Agri-Food Canada | Agriculture et Agroalimentaire Canada</t>
        </is>
      </c>
    </row>
    <row r="713">
      <c r="A713" t="inlineStr">
        <is>
          <t>T-2017-Q1-00044</t>
        </is>
      </c>
      <c r="B713" t="inlineStr">
        <is>
          <t>MPSES</t>
        </is>
      </c>
      <c r="C713" t="inlineStr">
        <is>
          <t>Director of Communications</t>
        </is>
      </c>
      <c r="D713" t="inlineStr">
        <is>
          <t>Directeur des communications</t>
        </is>
      </c>
      <c r="E713" t="inlineStr">
        <is>
          <t>Guy Gallant</t>
        </is>
      </c>
      <c r="F713" t="inlineStr">
        <is>
          <t>To accompany the Minister for a government announcement and meetings with the Premier and stakeholder</t>
        </is>
      </c>
      <c r="G713" t="inlineStr">
        <is>
          <t>Pour accompagner le ministre pour une annonce du gouvernement et des rencontres avec le Premier ministre et les parties prenantes</t>
        </is>
      </c>
      <c r="H713" s="1" t="n">
        <v>42858</v>
      </c>
      <c r="I713" s="1" t="n">
        <v>42862</v>
      </c>
      <c r="J713" t="inlineStr">
        <is>
          <t>Charlottetown, P.E.I.</t>
        </is>
      </c>
      <c r="K713" t="inlineStr">
        <is>
          <t>Charlottetown, Î.-P.-É</t>
        </is>
      </c>
      <c r="P713" t="n">
        <v>890.0700000000001</v>
      </c>
      <c r="Q713" t="n">
        <v>280.86</v>
      </c>
      <c r="R713" t="n">
        <v>496.73</v>
      </c>
      <c r="S713" t="n">
        <v>330.7</v>
      </c>
      <c r="U713" t="n">
        <v>1998.36</v>
      </c>
      <c r="V713" t="n">
        <v>1900010016</v>
      </c>
      <c r="X713" t="inlineStr">
        <is>
          <t>aafc-aac</t>
        </is>
      </c>
      <c r="Y713" t="inlineStr">
        <is>
          <t>Agriculture and Agri-Food Canada | Agriculture et Agroalimentaire Canada</t>
        </is>
      </c>
    </row>
    <row r="714">
      <c r="A714" t="inlineStr">
        <is>
          <t>T-2017-Q1-00045</t>
        </is>
      </c>
      <c r="B714" t="inlineStr">
        <is>
          <t>MPSES</t>
        </is>
      </c>
      <c r="C714" t="inlineStr">
        <is>
          <t>Director of Communications</t>
        </is>
      </c>
      <c r="D714" t="inlineStr">
        <is>
          <t>Directeur des communications</t>
        </is>
      </c>
      <c r="E714" t="inlineStr">
        <is>
          <t>Guy Gallant</t>
        </is>
      </c>
      <c r="F714" t="inlineStr">
        <is>
          <t>To accompany the Minister to Quebec Outreach, attend a bilateral meeting with the Quebec Minister of Agriculture, Fisheries and Food, meeting with L'Union des producteurs Agricoles and an interview with la Terre de Chez-Nous</t>
        </is>
      </c>
      <c r="G714" t="inlineStr">
        <is>
          <t>Pour accompagner le ministre à Québec Outreach, participez à une réunion bilatérale avec le ministre de l'Agriculture, des Pêches et de l'Alimentation du Québec, rencontré l'Union des producteurs Agricoles et une entrevue avec la Terre de Chez-Nous</t>
        </is>
      </c>
      <c r="H714" s="1" t="n">
        <v>42866</v>
      </c>
      <c r="I714" s="1" t="n">
        <v>42868</v>
      </c>
      <c r="J714" t="inlineStr">
        <is>
          <t>Montreal, Que.</t>
        </is>
      </c>
      <c r="K714" t="inlineStr">
        <is>
          <t>Montréal, Qc</t>
        </is>
      </c>
      <c r="P714" t="n">
        <v>999.58</v>
      </c>
      <c r="Q714" t="n">
        <v>80</v>
      </c>
      <c r="R714" t="n">
        <v>224.91</v>
      </c>
      <c r="S714" t="n">
        <v>143.65</v>
      </c>
      <c r="U714" t="n">
        <v>1448.14</v>
      </c>
      <c r="V714" t="n">
        <v>1900012370</v>
      </c>
      <c r="X714" t="inlineStr">
        <is>
          <t>aafc-aac</t>
        </is>
      </c>
      <c r="Y714" t="inlineStr">
        <is>
          <t>Agriculture and Agri-Food Canada | Agriculture et Agroalimentaire Canada</t>
        </is>
      </c>
    </row>
    <row r="715">
      <c r="A715" t="inlineStr">
        <is>
          <t>T-2017-Q1-00046</t>
        </is>
      </c>
      <c r="B715" t="inlineStr">
        <is>
          <t>MPSES</t>
        </is>
      </c>
      <c r="C715" t="inlineStr">
        <is>
          <t>Director of Communications</t>
        </is>
      </c>
      <c r="D715" t="inlineStr">
        <is>
          <t>Directeur des communications</t>
        </is>
      </c>
      <c r="E715" t="inlineStr">
        <is>
          <t>Guy Gallant</t>
        </is>
      </c>
      <c r="F715" t="inlineStr">
        <is>
          <t>To support the Minister with visit from German Delegation to Prince Edward Island. Meeting with University of Prince Edward Island president May 22,23. To accompany the Minister on an Outreach to Alberta where he took part in Grain Industry round-table on Transportation, a roundtable with Beef SectorStakeholders and Local Media Interviews May 24 to May 26</t>
        </is>
      </c>
      <c r="G715" t="inlineStr">
        <is>
          <t>Appuyer le ministre avec la visite de la délégation allemande à l'Île-du-Prince-Édouard. Réunion avec le président de l'Université de l'Île du Prince-Édouard le 22, 23 mai. Pour accompagner le ministre sur une sensibilisation à l'Alberta où il a participé à la table ronde sur l'industrie des grains sur les transports, une table ronde avec les représentants du secteur du boeuf et les entrevues avec les médias locaux du 24 au 26 mai</t>
        </is>
      </c>
      <c r="H715" s="1" t="n">
        <v>42874</v>
      </c>
      <c r="I715" s="1" t="n">
        <v>42881</v>
      </c>
      <c r="J715" t="inlineStr">
        <is>
          <t>Charlottetown, P.E.I. &amp; Calgary Alta.</t>
        </is>
      </c>
      <c r="K715" t="inlineStr">
        <is>
          <t>Charlottetown, Î.-P.-É&amp; Calgary Alb.</t>
        </is>
      </c>
      <c r="P715" t="n">
        <v>1909.85</v>
      </c>
      <c r="Q715" t="n">
        <v>190.58</v>
      </c>
      <c r="R715" t="n">
        <v>1011.46</v>
      </c>
      <c r="S715" t="n">
        <v>555.5</v>
      </c>
      <c r="U715" t="n">
        <v>3667.39</v>
      </c>
      <c r="V715" t="n">
        <v>1000391041</v>
      </c>
      <c r="X715" t="inlineStr">
        <is>
          <t>aafc-aac</t>
        </is>
      </c>
      <c r="Y715" t="inlineStr">
        <is>
          <t>Agriculture and Agri-Food Canada | Agriculture et Agroalimentaire Canada</t>
        </is>
      </c>
    </row>
    <row r="716">
      <c r="A716" t="inlineStr">
        <is>
          <t>T-2017-Q1-00047</t>
        </is>
      </c>
      <c r="B716" t="inlineStr">
        <is>
          <t>MPSES</t>
        </is>
      </c>
      <c r="C716" t="inlineStr">
        <is>
          <t>Director of Communications</t>
        </is>
      </c>
      <c r="D716" t="inlineStr">
        <is>
          <t>Directeur des communications</t>
        </is>
      </c>
      <c r="E716" t="inlineStr">
        <is>
          <t>Guy Gallant</t>
        </is>
      </c>
      <c r="F716" t="inlineStr">
        <is>
          <t>To accompany the Minister to launch the Government's consultations on a Food Policy for Canada</t>
        </is>
      </c>
      <c r="G716" t="inlineStr">
        <is>
          <t>Pour accompagner le ministre pour lancer les consultations du gouvernement sur une politique alimentaire pour le Canada</t>
        </is>
      </c>
      <c r="H716" s="1" t="n">
        <v>42883</v>
      </c>
      <c r="I716" s="1" t="n">
        <v>42884</v>
      </c>
      <c r="J716" t="inlineStr">
        <is>
          <t>Toronto, Ont.</t>
        </is>
      </c>
      <c r="K716" t="inlineStr">
        <is>
          <t>Toronto, Ont.</t>
        </is>
      </c>
      <c r="P716" t="n">
        <v>551.72</v>
      </c>
      <c r="R716" t="n">
        <v>230.84</v>
      </c>
      <c r="S716" t="n">
        <v>115.75</v>
      </c>
      <c r="U716" t="n">
        <v>898.3099999999999</v>
      </c>
      <c r="V716" t="n">
        <v>1900021792</v>
      </c>
      <c r="X716" t="inlineStr">
        <is>
          <t>aafc-aac</t>
        </is>
      </c>
      <c r="Y716" t="inlineStr">
        <is>
          <t>Agriculture and Agri-Food Canada | Agriculture et Agroalimentaire Canada</t>
        </is>
      </c>
    </row>
    <row r="717">
      <c r="A717" t="inlineStr">
        <is>
          <t>T-2017-Q1-00048</t>
        </is>
      </c>
      <c r="B717" t="inlineStr">
        <is>
          <t>MPSES</t>
        </is>
      </c>
      <c r="C717" t="inlineStr">
        <is>
          <t>Policy Advisor</t>
        </is>
      </c>
      <c r="D717" t="inlineStr">
        <is>
          <t>Conseiller en politiques</t>
        </is>
      </c>
      <c r="E717" t="inlineStr">
        <is>
          <t>Abed Harb</t>
        </is>
      </c>
      <c r="F717" t="inlineStr">
        <is>
          <t>To accompany the Minister to Saskatchewan Association of Rural Municipalities Convention, meetings with Saskatchewan Minister of Agriculture and meetings with stakeholders</t>
        </is>
      </c>
      <c r="G717" t="inlineStr">
        <is>
          <t>Pour accompagner le ministre à la Convention de l'Association des municipalités rurales de la Saskatchewan, des réunions avec le ministre de l'Agriculture de la Saskatchewan et des réunions avec les intervenants</t>
        </is>
      </c>
      <c r="H717" s="1" t="n">
        <v>42809</v>
      </c>
      <c r="I717" s="1" t="n">
        <v>42811</v>
      </c>
      <c r="J717" t="inlineStr">
        <is>
          <t>Saskatoon, Sask.</t>
        </is>
      </c>
      <c r="K717" t="inlineStr">
        <is>
          <t>Saskatoon, Sask.</t>
        </is>
      </c>
      <c r="P717" t="n">
        <v>656.9299999999999</v>
      </c>
      <c r="Q717" t="n">
        <v>94.78</v>
      </c>
      <c r="R717" t="n">
        <v>152.25</v>
      </c>
      <c r="S717" t="n">
        <v>177.05</v>
      </c>
      <c r="U717" t="n">
        <v>1081.01</v>
      </c>
      <c r="V717" t="n">
        <v>1900123368</v>
      </c>
      <c r="X717" t="inlineStr">
        <is>
          <t>aafc-aac</t>
        </is>
      </c>
      <c r="Y717" t="inlineStr">
        <is>
          <t>Agriculture and Agri-Food Canada | Agriculture et Agroalimentaire Canada</t>
        </is>
      </c>
    </row>
    <row r="718">
      <c r="A718" t="inlineStr">
        <is>
          <t>T-2017-Q1-00049</t>
        </is>
      </c>
      <c r="B718" t="inlineStr">
        <is>
          <t>MPSES</t>
        </is>
      </c>
      <c r="C718" t="inlineStr">
        <is>
          <t>Policy Advisor</t>
        </is>
      </c>
      <c r="D718" t="inlineStr">
        <is>
          <t>Conseiller en politiques</t>
        </is>
      </c>
      <c r="E718" t="inlineStr">
        <is>
          <t>Abed Harb</t>
        </is>
      </c>
      <c r="F718" t="inlineStr">
        <is>
          <t>To accompany the Minister to meeting with Canola Farmers, producers and processors</t>
        </is>
      </c>
      <c r="G718" t="inlineStr">
        <is>
          <t>Pour accompagner le ministre à la rencontre des  cultivateurs, producteurs et transformateurs de canola</t>
        </is>
      </c>
      <c r="H718" s="1" t="n">
        <v>42851</v>
      </c>
      <c r="I718" s="1" t="n">
        <v>42853</v>
      </c>
      <c r="J718" t="inlineStr">
        <is>
          <t>Regina, Sask.</t>
        </is>
      </c>
      <c r="K718" t="inlineStr">
        <is>
          <t>Régina, Sask.</t>
        </is>
      </c>
      <c r="P718" t="n">
        <v>1376.89</v>
      </c>
      <c r="Q718" t="n">
        <v>100.04</v>
      </c>
      <c r="R718" t="n">
        <v>158.92</v>
      </c>
      <c r="S718" t="n">
        <v>179</v>
      </c>
      <c r="U718" t="n">
        <v>1814.85</v>
      </c>
      <c r="V718" t="n">
        <v>1900008867</v>
      </c>
      <c r="X718" t="inlineStr">
        <is>
          <t>aafc-aac</t>
        </is>
      </c>
      <c r="Y718" t="inlineStr">
        <is>
          <t>Agriculture and Agri-Food Canada | Agriculture et Agroalimentaire Canada</t>
        </is>
      </c>
    </row>
    <row r="719">
      <c r="A719" t="inlineStr">
        <is>
          <t>T-2017-Q1-00050</t>
        </is>
      </c>
      <c r="B719" t="inlineStr">
        <is>
          <t>MPSES</t>
        </is>
      </c>
      <c r="C719" t="inlineStr">
        <is>
          <t>Special Assistant</t>
        </is>
      </c>
      <c r="D719" t="inlineStr">
        <is>
          <t>Assistant Spécial</t>
        </is>
      </c>
      <c r="E719" t="inlineStr">
        <is>
          <t>Barry Hicken</t>
        </is>
      </c>
      <c r="F719" t="inlineStr">
        <is>
          <t>Accompany the Minister to meetings and briefings</t>
        </is>
      </c>
      <c r="G719" t="inlineStr">
        <is>
          <t>Accompagner le ministre aux réunions et aux séances d'information</t>
        </is>
      </c>
      <c r="H719" s="1" t="n">
        <v>42834</v>
      </c>
      <c r="I719" s="1" t="n">
        <v>42837</v>
      </c>
      <c r="J719" t="inlineStr">
        <is>
          <t>Ottawa, Ont.</t>
        </is>
      </c>
      <c r="K719" t="inlineStr">
        <is>
          <t>Ottawa, Ont.</t>
        </is>
      </c>
      <c r="P719" t="n">
        <v>958.23</v>
      </c>
      <c r="Q719" t="n">
        <v>152.88</v>
      </c>
      <c r="R719" t="n">
        <v>235.04</v>
      </c>
      <c r="S719" t="n">
        <v>277.45</v>
      </c>
      <c r="T719" t="n">
        <v>0</v>
      </c>
      <c r="U719" t="n">
        <v>1623.6</v>
      </c>
      <c r="V719" t="n">
        <v>1900001604</v>
      </c>
      <c r="X719" t="inlineStr">
        <is>
          <t>aafc-aac</t>
        </is>
      </c>
      <c r="Y719" t="inlineStr">
        <is>
          <t>Agriculture and Agri-Food Canada | Agriculture et Agroalimentaire Canada</t>
        </is>
      </c>
    </row>
    <row r="720">
      <c r="A720" t="inlineStr">
        <is>
          <t>T-2017-Q1-00052</t>
        </is>
      </c>
      <c r="B720" t="inlineStr">
        <is>
          <t>MPSES</t>
        </is>
      </c>
      <c r="C720" t="inlineStr">
        <is>
          <t>Deputy Minister</t>
        </is>
      </c>
      <c r="D720" t="inlineStr">
        <is>
          <t>Sous-Ministre</t>
        </is>
      </c>
      <c r="E720" t="inlineStr">
        <is>
          <t>Andrea Lyon</t>
        </is>
      </c>
      <c r="F720" t="inlineStr">
        <is>
          <t>Attend the Public Policy Forum Growth Summit in Toronto</t>
        </is>
      </c>
      <c r="G720" t="inlineStr">
        <is>
          <t>Participer au Sommet de la croissance du Forum des politiques publiques à Toronto</t>
        </is>
      </c>
      <c r="H720" s="1" t="n">
        <v>42845</v>
      </c>
      <c r="I720" s="1" t="n">
        <v>42846</v>
      </c>
      <c r="J720" t="inlineStr">
        <is>
          <t>Toronto, Ont.</t>
        </is>
      </c>
      <c r="K720" t="inlineStr">
        <is>
          <t>Toronto, Ont.</t>
        </is>
      </c>
      <c r="P720" t="n">
        <v>758.51</v>
      </c>
      <c r="Q720" t="n">
        <v>26</v>
      </c>
      <c r="R720" t="n">
        <v>268.21</v>
      </c>
      <c r="S720" t="n">
        <v>34.45</v>
      </c>
      <c r="T720" t="n">
        <v>0</v>
      </c>
      <c r="U720" t="n">
        <v>1087.17</v>
      </c>
      <c r="V720" t="inlineStr">
        <is>
          <t>AJG862877</t>
        </is>
      </c>
      <c r="X720" t="inlineStr">
        <is>
          <t>aafc-aac</t>
        </is>
      </c>
      <c r="Y720" t="inlineStr">
        <is>
          <t>Agriculture and Agri-Food Canada | Agriculture et Agroalimentaire Canada</t>
        </is>
      </c>
    </row>
    <row r="721">
      <c r="A721" t="inlineStr">
        <is>
          <t>T-2017-Q1-00053</t>
        </is>
      </c>
      <c r="B721" t="inlineStr">
        <is>
          <t>MPSES</t>
        </is>
      </c>
      <c r="C721" t="inlineStr">
        <is>
          <t>Deputy Minister</t>
        </is>
      </c>
      <c r="D721" t="inlineStr">
        <is>
          <t>Sous-Ministre</t>
        </is>
      </c>
      <c r="E721" t="inlineStr">
        <is>
          <t>Andrea Lyon</t>
        </is>
      </c>
      <c r="F721" t="inlineStr">
        <is>
          <t>To Attend Salon International de l'Alimentation  AgriFood Show in Toronto and to accompany the Minister for European Commissioner Hogan's visit</t>
        </is>
      </c>
      <c r="G721" t="inlineStr">
        <is>
          <t>Participer à Salon International de l'Alimentation AgriFood Show à Toronto et accompagner le ministre pour la visite du commissaire européen Hogan</t>
        </is>
      </c>
      <c r="H721" s="1" t="n">
        <v>42856</v>
      </c>
      <c r="I721" s="1" t="n">
        <v>42856</v>
      </c>
      <c r="J721" t="inlineStr">
        <is>
          <t>Toronto, Ont.</t>
        </is>
      </c>
      <c r="K721" t="inlineStr">
        <is>
          <t>Toronto, Ont.</t>
        </is>
      </c>
      <c r="P721" t="n">
        <v>814.5</v>
      </c>
      <c r="Q721" t="n">
        <v>74.09999999999999</v>
      </c>
      <c r="R721" t="n">
        <v>230.84</v>
      </c>
      <c r="S721" t="n">
        <v>97.7</v>
      </c>
      <c r="T721" t="n">
        <v>0</v>
      </c>
      <c r="U721" t="n">
        <v>1217.14</v>
      </c>
      <c r="V721" t="inlineStr">
        <is>
          <t>AJG829863</t>
        </is>
      </c>
      <c r="X721" t="inlineStr">
        <is>
          <t>aafc-aac</t>
        </is>
      </c>
      <c r="Y721" t="inlineStr">
        <is>
          <t>Agriculture and Agri-Food Canada | Agriculture et Agroalimentaire Canada</t>
        </is>
      </c>
    </row>
    <row r="722">
      <c r="A722" t="inlineStr">
        <is>
          <t>T-2017-Q1-00054</t>
        </is>
      </c>
      <c r="B722" t="inlineStr">
        <is>
          <t>MPSES</t>
        </is>
      </c>
      <c r="C722" t="inlineStr">
        <is>
          <t>Minister</t>
        </is>
      </c>
      <c r="D722" t="inlineStr">
        <is>
          <t>Ministre</t>
        </is>
      </c>
      <c r="E722" t="inlineStr">
        <is>
          <t>Lawrence MacAulay</t>
        </is>
      </c>
      <c r="F722" t="inlineStr">
        <is>
          <t>Agriculture and Agri-Food Canada ministerial Mission to Vietnam and India</t>
        </is>
      </c>
      <c r="G722" t="inlineStr">
        <is>
          <t>Mission ministérielle d'Agriculture et Agroalimentaire Canada  au Vietnam et en Inde</t>
        </is>
      </c>
      <c r="H722" s="1" t="n">
        <v>42790</v>
      </c>
      <c r="I722" s="1" t="n">
        <v>42806</v>
      </c>
      <c r="J722" t="inlineStr">
        <is>
          <t>Hanoi, VN &amp;  Mumbai, IN</t>
        </is>
      </c>
      <c r="K722" t="inlineStr">
        <is>
          <t>Hanoi, VN &amp;  Mumbai, IN</t>
        </is>
      </c>
      <c r="P722" t="n">
        <v>12333.45</v>
      </c>
      <c r="Q722" t="n">
        <v>25.97</v>
      </c>
      <c r="R722" t="n">
        <v>3359.17</v>
      </c>
      <c r="S722" t="n">
        <v>2141.81</v>
      </c>
      <c r="T722" t="n">
        <v>291.67</v>
      </c>
      <c r="U722" t="n">
        <v>18152.07</v>
      </c>
      <c r="V722" t="n">
        <v>1900123364</v>
      </c>
      <c r="X722" t="inlineStr">
        <is>
          <t>aafc-aac</t>
        </is>
      </c>
      <c r="Y722" t="inlineStr">
        <is>
          <t>Agriculture and Agri-Food Canada | Agriculture et Agroalimentaire Canada</t>
        </is>
      </c>
    </row>
    <row r="723">
      <c r="A723" t="inlineStr">
        <is>
          <t>T-2017-Q1-00055</t>
        </is>
      </c>
      <c r="B723" t="inlineStr">
        <is>
          <t>MPSES</t>
        </is>
      </c>
      <c r="C723" t="inlineStr">
        <is>
          <t>Minister</t>
        </is>
      </c>
      <c r="D723" t="inlineStr">
        <is>
          <t>Ministre</t>
        </is>
      </c>
      <c r="E723" t="inlineStr">
        <is>
          <t>Lawrence MacAulay</t>
        </is>
      </c>
      <c r="F723" t="inlineStr">
        <is>
          <t>To attend the Saskatchewan Association of Rural Municipalities Convention and for meetings with the Saskatchewan Minister of Agriculture and Stakeholders</t>
        </is>
      </c>
      <c r="G723" t="inlineStr">
        <is>
          <t>Assister à la Convention de l'Association des municipalités rurales de la Saskatchewan et à des réunions avec le ministre de l'Agriculture et des intervenants du Saskathewan</t>
        </is>
      </c>
      <c r="H723" s="1" t="n">
        <v>42809</v>
      </c>
      <c r="I723" s="1" t="n">
        <v>42811</v>
      </c>
      <c r="J723" t="inlineStr">
        <is>
          <t>Saskatoon, Sask.</t>
        </is>
      </c>
      <c r="K723" t="inlineStr">
        <is>
          <t>Saskatoon, Sask.</t>
        </is>
      </c>
      <c r="P723" t="n">
        <v>1237.9</v>
      </c>
      <c r="Q723" t="n">
        <v>25.97</v>
      </c>
      <c r="R723" t="n">
        <v>164.29</v>
      </c>
      <c r="S723" t="n">
        <v>177.25</v>
      </c>
      <c r="T723" t="n">
        <v>0</v>
      </c>
      <c r="U723" t="n">
        <v>1605.41</v>
      </c>
      <c r="V723" t="n">
        <v>1900123358</v>
      </c>
      <c r="X723" t="inlineStr">
        <is>
          <t>aafc-aac</t>
        </is>
      </c>
      <c r="Y723" t="inlineStr">
        <is>
          <t>Agriculture and Agri-Food Canada | Agriculture et Agroalimentaire Canada</t>
        </is>
      </c>
    </row>
    <row r="724">
      <c r="A724" t="inlineStr">
        <is>
          <t>T-2017-Q1-00056</t>
        </is>
      </c>
      <c r="B724" t="inlineStr">
        <is>
          <t>MPSES</t>
        </is>
      </c>
      <c r="C724" t="inlineStr">
        <is>
          <t>Minister</t>
        </is>
      </c>
      <c r="D724" t="inlineStr">
        <is>
          <t>Ministre</t>
        </is>
      </c>
      <c r="E724" t="inlineStr">
        <is>
          <t>Lawrence MacAulay</t>
        </is>
      </c>
      <c r="F724" t="inlineStr">
        <is>
          <t>To attend the Seafood Expo North America, bilateral meetings with provincial and state legislators and stakeholders, and deliver a keynote speech to the new England-Canada Business Council</t>
        </is>
      </c>
      <c r="G724" t="inlineStr">
        <is>
          <t>Pour assister à la Seafood Expo North America, des rencontres bilatérales avec les législateurs provinciaux, des états et les parties prenantes, ainsi que présenter un discours d'ouverture au nouveau Conseil des entreprises d'Angleterre-Canada</t>
        </is>
      </c>
      <c r="H724" s="1" t="n">
        <v>42811</v>
      </c>
      <c r="I724" s="1" t="n">
        <v>42815</v>
      </c>
      <c r="J724" t="inlineStr">
        <is>
          <t xml:space="preserve">Boston, MA </t>
        </is>
      </c>
      <c r="K724" t="inlineStr">
        <is>
          <t xml:space="preserve">Boston, MA </t>
        </is>
      </c>
      <c r="P724" t="n">
        <v>618.96</v>
      </c>
      <c r="Q724" t="n">
        <v>0</v>
      </c>
      <c r="R724" t="n">
        <v>1766.26</v>
      </c>
      <c r="S724" t="n">
        <v>457.53</v>
      </c>
      <c r="T724" t="n">
        <v>0</v>
      </c>
      <c r="U724" t="n">
        <v>2842.75</v>
      </c>
      <c r="V724" t="n">
        <v>1900123374</v>
      </c>
      <c r="X724" t="inlineStr">
        <is>
          <t>aafc-aac</t>
        </is>
      </c>
      <c r="Y724" t="inlineStr">
        <is>
          <t>Agriculture and Agri-Food Canada | Agriculture et Agroalimentaire Canada</t>
        </is>
      </c>
    </row>
    <row r="725">
      <c r="A725" t="inlineStr">
        <is>
          <t>T-2017-Q1-00057</t>
        </is>
      </c>
      <c r="B725" t="inlineStr">
        <is>
          <t>MPSES</t>
        </is>
      </c>
      <c r="C725" t="inlineStr">
        <is>
          <t>Minister</t>
        </is>
      </c>
      <c r="D725" t="inlineStr">
        <is>
          <t>Ministre</t>
        </is>
      </c>
      <c r="E725" t="inlineStr">
        <is>
          <t>Lawrence MacAulay</t>
        </is>
      </c>
      <c r="F725" t="inlineStr">
        <is>
          <t>Announcement of the Agricultural Greenhouse Gases Program and to Ottawa for briefings</t>
        </is>
      </c>
      <c r="G725" t="inlineStr">
        <is>
          <t>Annonce du Programme agricole de gaz à effet de serre  et à Ottawa pour des séances d'information</t>
        </is>
      </c>
      <c r="H725" s="1" t="n">
        <v>42845</v>
      </c>
      <c r="I725" s="1" t="n">
        <v>42850</v>
      </c>
      <c r="J725" t="inlineStr">
        <is>
          <t>Edmonton, Alta. &amp; Ottawa, Ont.</t>
        </is>
      </c>
      <c r="K725" t="inlineStr">
        <is>
          <t>Edmonton, Alb. &amp; Ottawa, Ont.</t>
        </is>
      </c>
      <c r="P725" t="n">
        <v>2042.68</v>
      </c>
      <c r="Q725" t="n">
        <v>494.04</v>
      </c>
      <c r="R725" t="n">
        <v>379.46</v>
      </c>
      <c r="S725" t="n">
        <v>213.45</v>
      </c>
      <c r="T725" t="n">
        <v>0</v>
      </c>
      <c r="U725" t="n">
        <v>3129.63</v>
      </c>
      <c r="V725" t="n">
        <v>1900008860</v>
      </c>
      <c r="X725" t="inlineStr">
        <is>
          <t>aafc-aac</t>
        </is>
      </c>
      <c r="Y725" t="inlineStr">
        <is>
          <t>Agriculture and Agri-Food Canada | Agriculture et Agroalimentaire Canada</t>
        </is>
      </c>
    </row>
    <row r="726">
      <c r="A726" t="inlineStr">
        <is>
          <t>T-2017-Q1-00058</t>
        </is>
      </c>
      <c r="B726" t="inlineStr">
        <is>
          <t>MPSES</t>
        </is>
      </c>
      <c r="C726" t="inlineStr">
        <is>
          <t>Minister</t>
        </is>
      </c>
      <c r="D726" t="inlineStr">
        <is>
          <t>Ministre</t>
        </is>
      </c>
      <c r="E726" t="inlineStr">
        <is>
          <t>Lawrence MacAulay</t>
        </is>
      </c>
      <c r="F726" t="inlineStr">
        <is>
          <t>Meetings with Canola farmers, producers and processors</t>
        </is>
      </c>
      <c r="G726" t="inlineStr">
        <is>
          <t>Réunions avec des agriculteurs, producteurs et transformateurs de canola</t>
        </is>
      </c>
      <c r="H726" s="1" t="n">
        <v>42851</v>
      </c>
      <c r="I726" s="1" t="n">
        <v>42853</v>
      </c>
      <c r="J726" t="inlineStr">
        <is>
          <t>Regina, Sask. &amp;    Toronto, Ont.</t>
        </is>
      </c>
      <c r="K726" t="inlineStr">
        <is>
          <t>Regina, Sask. &amp;    Toronto, Ont.</t>
        </is>
      </c>
      <c r="P726" t="n">
        <v>3351.62</v>
      </c>
      <c r="Q726" t="n">
        <v>52.47</v>
      </c>
      <c r="R726" t="n">
        <v>474.19</v>
      </c>
      <c r="S726" t="n">
        <v>232.25</v>
      </c>
      <c r="T726" t="n">
        <v>0</v>
      </c>
      <c r="U726" t="n">
        <v>4110.53</v>
      </c>
      <c r="V726" t="n">
        <v>1900009943</v>
      </c>
      <c r="X726" t="inlineStr">
        <is>
          <t>aafc-aac</t>
        </is>
      </c>
      <c r="Y726" t="inlineStr">
        <is>
          <t>Agriculture and Agri-Food Canada | Agriculture et Agroalimentaire Canada</t>
        </is>
      </c>
    </row>
    <row r="727">
      <c r="A727" t="inlineStr">
        <is>
          <t>T-2017-Q1-00059</t>
        </is>
      </c>
      <c r="B727" t="inlineStr">
        <is>
          <t>MPSES</t>
        </is>
      </c>
      <c r="C727" t="inlineStr">
        <is>
          <t>Minister</t>
        </is>
      </c>
      <c r="D727" t="inlineStr">
        <is>
          <t>Ministre</t>
        </is>
      </c>
      <c r="E727" t="inlineStr">
        <is>
          <t>Lawrence MacAulay</t>
        </is>
      </c>
      <c r="F727" t="inlineStr">
        <is>
          <t>Bilateral meeting with Ontario Minister of Agriculture and provide opening remarks and tour Salon International de l'Alimentation</t>
        </is>
      </c>
      <c r="G727" t="inlineStr">
        <is>
          <t>Rencontre bilatérale avec le ministre de l'Agriculture de l'Ontario et présentation de l'ouverture et visite du Salon International de l'Alimentation</t>
        </is>
      </c>
      <c r="H727" s="1" t="n">
        <v>42856</v>
      </c>
      <c r="I727" s="1" t="n">
        <v>42857</v>
      </c>
      <c r="J727" t="inlineStr">
        <is>
          <t>Toronto, Ont.</t>
        </is>
      </c>
      <c r="K727" t="inlineStr">
        <is>
          <t>Toronto, Ont.</t>
        </is>
      </c>
      <c r="P727" t="n">
        <v>1138.19</v>
      </c>
      <c r="Q727" t="n">
        <v>0</v>
      </c>
      <c r="R727" t="n">
        <v>230.84</v>
      </c>
      <c r="S727" t="n">
        <v>115.75</v>
      </c>
      <c r="T727" t="n">
        <v>0</v>
      </c>
      <c r="U727" t="n">
        <v>1484.78</v>
      </c>
      <c r="V727" t="n">
        <v>1900009858</v>
      </c>
      <c r="X727" t="inlineStr">
        <is>
          <t>aafc-aac</t>
        </is>
      </c>
      <c r="Y727" t="inlineStr">
        <is>
          <t>Agriculture and Agri-Food Canada | Agriculture et Agroalimentaire Canada</t>
        </is>
      </c>
    </row>
    <row r="728">
      <c r="A728" t="inlineStr">
        <is>
          <t>T-2017-Q1-00060</t>
        </is>
      </c>
      <c r="B728" t="inlineStr">
        <is>
          <t>MPSES</t>
        </is>
      </c>
      <c r="C728" t="inlineStr">
        <is>
          <t>Minister</t>
        </is>
      </c>
      <c r="D728" t="inlineStr">
        <is>
          <t>Ministre</t>
        </is>
      </c>
      <c r="E728" t="inlineStr">
        <is>
          <t>Lawrence MacAulay</t>
        </is>
      </c>
      <c r="F728" t="inlineStr">
        <is>
          <t>Quebec Outreach, to attend a bilateral meeting with the Quebec Minister of Agriculture, Fisheries and Food, a meeting with l'Union des producteurs agricoles, and a review with la Terre de Chez-Nous</t>
        </is>
      </c>
      <c r="G728" t="inlineStr">
        <is>
          <t>Réunion bilatérale avec le ministre de l'Agriculture, des Pêches et de l'Alimentation du Québec, et une réunion avec l'Union des producteurs agricoles et une revue avec la Terre de Chez-Nous</t>
        </is>
      </c>
      <c r="H728" s="1" t="n">
        <v>42866</v>
      </c>
      <c r="I728" s="1" t="n">
        <v>42867</v>
      </c>
      <c r="J728" t="inlineStr">
        <is>
          <t>Montreal, Que.</t>
        </is>
      </c>
      <c r="K728" t="inlineStr">
        <is>
          <t>Montréal, Qc</t>
        </is>
      </c>
      <c r="P728" t="n">
        <v>1058.9</v>
      </c>
      <c r="Q728" t="n">
        <v>26.23</v>
      </c>
      <c r="R728" t="n">
        <v>224.91</v>
      </c>
      <c r="S728" t="n">
        <v>143.65</v>
      </c>
      <c r="T728" t="n">
        <v>0</v>
      </c>
      <c r="U728" t="n">
        <v>1453.69</v>
      </c>
      <c r="V728" t="n">
        <v>1900013298</v>
      </c>
      <c r="X728" t="inlineStr">
        <is>
          <t>aafc-aac</t>
        </is>
      </c>
      <c r="Y728" t="inlineStr">
        <is>
          <t>Agriculture and Agri-Food Canada | Agriculture et Agroalimentaire Canada</t>
        </is>
      </c>
    </row>
    <row r="729">
      <c r="A729" t="inlineStr">
        <is>
          <t>T-2017-Q1-00061</t>
        </is>
      </c>
      <c r="B729" t="inlineStr">
        <is>
          <t>MPSES</t>
        </is>
      </c>
      <c r="C729" t="inlineStr">
        <is>
          <t>Minister</t>
        </is>
      </c>
      <c r="D729" t="inlineStr">
        <is>
          <t>Ministre</t>
        </is>
      </c>
      <c r="E729" t="inlineStr">
        <is>
          <t>Lawrence MacAulay</t>
        </is>
      </c>
      <c r="F729" t="inlineStr">
        <is>
          <t>Outreach to Alberta to take part in a Grain Industry Roundtable on Transportation, a roundtable with Beef sector Stakeholders and Local Media Interviews</t>
        </is>
      </c>
      <c r="G729" t="inlineStr">
        <is>
          <t>Communiquer à l'Alberta pour participer à une table ronde sur les transports du secteur des grains, une table ronde avec les intervenants du secteur du boeuf et les entrevues avec les médias locaux</t>
        </is>
      </c>
      <c r="H729" s="1" t="n">
        <v>42879</v>
      </c>
      <c r="I729" s="1" t="n">
        <v>42881</v>
      </c>
      <c r="J729" t="inlineStr">
        <is>
          <t>Calgary, Alta.</t>
        </is>
      </c>
      <c r="K729" t="inlineStr">
        <is>
          <t>Calgary, Alb.</t>
        </is>
      </c>
      <c r="P729" t="n">
        <v>1691.73</v>
      </c>
      <c r="Q729" t="n">
        <v>26.23</v>
      </c>
      <c r="R729" t="n">
        <v>446.44</v>
      </c>
      <c r="S729" t="n">
        <v>168.25</v>
      </c>
      <c r="T729" t="n">
        <v>0</v>
      </c>
      <c r="U729" t="n">
        <v>2332.65</v>
      </c>
      <c r="V729" t="n">
        <v>1900020080</v>
      </c>
      <c r="X729" t="inlineStr">
        <is>
          <t>aafc-aac</t>
        </is>
      </c>
      <c r="Y729" t="inlineStr">
        <is>
          <t>Agriculture and Agri-Food Canada | Agriculture et Agroalimentaire Canada</t>
        </is>
      </c>
    </row>
    <row r="730">
      <c r="A730" t="inlineStr">
        <is>
          <t>T-2017-Q1-00065</t>
        </is>
      </c>
      <c r="B730" t="inlineStr">
        <is>
          <t>MPSES</t>
        </is>
      </c>
      <c r="C730" t="inlineStr">
        <is>
          <t>Director of Parliamentary Affairs</t>
        </is>
      </c>
      <c r="D730" t="inlineStr">
        <is>
          <t>Directeur des affaires parlementaires</t>
        </is>
      </c>
      <c r="E730" t="inlineStr">
        <is>
          <t>Matthew Mann</t>
        </is>
      </c>
      <c r="F730" t="inlineStr">
        <is>
          <t>To accompany the Minister to attend Seafood Expo North America, attend bilateral meetings with provincial and state legislators &amp; deliver a keynote speech to the new England Canada Business Council</t>
        </is>
      </c>
      <c r="G730" t="inlineStr">
        <is>
          <t>Pour accompagner le ministre à assister à Seafood Expo North America, assister à des réunions bilatérales avec les législateurs provinciaux et des États et prononcer un discours d'ouverture au nouveau Conseil des entreprises d'Angleterre en Canada</t>
        </is>
      </c>
      <c r="H730" s="1" t="n">
        <v>42811</v>
      </c>
      <c r="I730" s="1" t="n">
        <v>42815</v>
      </c>
      <c r="J730" t="inlineStr">
        <is>
          <t>Boston, MA</t>
        </is>
      </c>
      <c r="K730" t="inlineStr">
        <is>
          <t>Boston, MA</t>
        </is>
      </c>
      <c r="P730" t="n">
        <v>618.96</v>
      </c>
      <c r="Q730" t="n">
        <v>66.81</v>
      </c>
      <c r="R730" t="n">
        <v>1766.26</v>
      </c>
      <c r="S730" t="n">
        <v>474.84</v>
      </c>
      <c r="U730" t="n">
        <v>2926.87</v>
      </c>
      <c r="V730" t="n">
        <v>1900123367</v>
      </c>
      <c r="X730" t="inlineStr">
        <is>
          <t>aafc-aac</t>
        </is>
      </c>
      <c r="Y730" t="inlineStr">
        <is>
          <t>Agriculture and Agri-Food Canada | Agriculture et Agroalimentaire Canada</t>
        </is>
      </c>
    </row>
    <row r="731">
      <c r="A731" t="inlineStr">
        <is>
          <t>T-2017-Q1-00066</t>
        </is>
      </c>
      <c r="B731" t="inlineStr">
        <is>
          <t>MPSES</t>
        </is>
      </c>
      <c r="C731" t="inlineStr">
        <is>
          <t>Director of Parliamentary Affairs</t>
        </is>
      </c>
      <c r="D731" t="inlineStr">
        <is>
          <t>Directeur des affaires parlementaires</t>
        </is>
      </c>
      <c r="E731" t="inlineStr">
        <is>
          <t>Matthew Mann</t>
        </is>
      </c>
      <c r="F731" t="inlineStr">
        <is>
          <t>To accompany the Minister for meetings with stakeholders and government announcements</t>
        </is>
      </c>
      <c r="G731" t="inlineStr">
        <is>
          <t>Pour accompagner le ministre pour les réunions avec les parties prenantes et les annonces gouvernementales</t>
        </is>
      </c>
      <c r="H731" s="1" t="n">
        <v>42821</v>
      </c>
      <c r="I731" s="1" t="n">
        <v>42823</v>
      </c>
      <c r="J731" t="inlineStr">
        <is>
          <t>Charlottetown, P.E.I.</t>
        </is>
      </c>
      <c r="K731" t="inlineStr">
        <is>
          <t>Charlottetown,  Î.-P.-É.</t>
        </is>
      </c>
      <c r="P731" t="n">
        <v>1132.94</v>
      </c>
      <c r="Q731" t="n">
        <v>114.59</v>
      </c>
      <c r="R731" t="n">
        <v>284.28</v>
      </c>
      <c r="S731" t="n">
        <v>274.3</v>
      </c>
      <c r="U731" t="n">
        <v>1806.11</v>
      </c>
      <c r="V731" t="n">
        <v>1900124735</v>
      </c>
      <c r="X731" t="inlineStr">
        <is>
          <t>aafc-aac</t>
        </is>
      </c>
      <c r="Y731" t="inlineStr">
        <is>
          <t>Agriculture and Agri-Food Canada | Agriculture et Agroalimentaire Canada</t>
        </is>
      </c>
    </row>
    <row r="732">
      <c r="A732" t="inlineStr">
        <is>
          <t>T-2017-Q1-00067</t>
        </is>
      </c>
      <c r="B732" t="inlineStr">
        <is>
          <t>MPSES</t>
        </is>
      </c>
      <c r="C732" t="inlineStr">
        <is>
          <t>Director of Parliamentary Affairs</t>
        </is>
      </c>
      <c r="D732" t="inlineStr">
        <is>
          <t>Directeur des affaires parlementaires</t>
        </is>
      </c>
      <c r="E732" t="inlineStr">
        <is>
          <t>Matthew Mann</t>
        </is>
      </c>
      <c r="F732" t="inlineStr">
        <is>
          <t>To accompany the Minister for a government announcement</t>
        </is>
      </c>
      <c r="G732" t="inlineStr">
        <is>
          <t>Pour accompagner le ministre pour une annonce gouvernementale</t>
        </is>
      </c>
      <c r="H732" s="1" t="n">
        <v>42859</v>
      </c>
      <c r="I732" s="1" t="n">
        <v>42860</v>
      </c>
      <c r="J732" t="inlineStr">
        <is>
          <t>Charlottetown, P.E.I.</t>
        </is>
      </c>
      <c r="K732" t="inlineStr">
        <is>
          <t>Charlottetown,  Î.-P.-É.</t>
        </is>
      </c>
      <c r="P732" t="n">
        <v>923.97</v>
      </c>
      <c r="Q732" t="n">
        <v>64.7</v>
      </c>
      <c r="R732" t="n">
        <v>143.75</v>
      </c>
      <c r="S732" t="n">
        <v>179.75</v>
      </c>
      <c r="U732" t="n">
        <v>1312.17</v>
      </c>
      <c r="V732" t="n">
        <v>1900017367</v>
      </c>
      <c r="X732" t="inlineStr">
        <is>
          <t>aafc-aac</t>
        </is>
      </c>
      <c r="Y732" t="inlineStr">
        <is>
          <t>Agriculture and Agri-Food Canada | Agriculture et Agroalimentaire Canada</t>
        </is>
      </c>
    </row>
    <row r="733">
      <c r="A733" t="inlineStr">
        <is>
          <t>T-2017-Q1-00068</t>
        </is>
      </c>
      <c r="B733" t="inlineStr">
        <is>
          <t>MPSES</t>
        </is>
      </c>
      <c r="C733" t="inlineStr">
        <is>
          <t>Chief of Staff</t>
        </is>
      </c>
      <c r="D733" t="inlineStr">
        <is>
          <t>Chef de cabinet</t>
        </is>
      </c>
      <c r="E733" t="inlineStr">
        <is>
          <t>Mary Jean McFall</t>
        </is>
      </c>
      <c r="F733" t="inlineStr">
        <is>
          <t>To attend the Growth Summit II, Agriculture and Digital Adoption Breakfast Session: Agri-Food Powerhouse at the Metro Toronto Convention Center and a bilateral meeting with counterpart from the Ontario Ministry of Agriculture, Food and Rural Affairs.</t>
        </is>
      </c>
      <c r="G733" t="inlineStr">
        <is>
          <t>Pour assister à la session du déjeuner de l'adoption de l'agriculture et de l'adoption numérique du Sommet de la Croissance II: une centrale électrique agroalimentaire au Centre des congrès du Toronto métropolitain et une réunion bilatérale avec un homologue du ministère de l'Agriculture, de l'Alimentation et des Affaires rurales de l'Ontario</t>
        </is>
      </c>
      <c r="H733" s="1" t="n">
        <v>42844</v>
      </c>
      <c r="I733" s="1" t="n">
        <v>42845</v>
      </c>
      <c r="J733" t="inlineStr">
        <is>
          <t>Toronto, Ont.</t>
        </is>
      </c>
      <c r="K733" t="inlineStr">
        <is>
          <t>Toronto, Ont.</t>
        </is>
      </c>
      <c r="P733" t="n">
        <v>609.35</v>
      </c>
      <c r="Q733" t="n">
        <v>108.83</v>
      </c>
      <c r="S733" t="n">
        <v>126.5</v>
      </c>
      <c r="T733" t="n">
        <v>45.2</v>
      </c>
      <c r="U733" t="n">
        <v>889.88</v>
      </c>
      <c r="V733" t="n">
        <v>1900008865</v>
      </c>
      <c r="X733" t="inlineStr">
        <is>
          <t>aafc-aac</t>
        </is>
      </c>
      <c r="Y733" t="inlineStr">
        <is>
          <t>Agriculture and Agri-Food Canada | Agriculture et Agroalimentaire Canada</t>
        </is>
      </c>
    </row>
    <row r="734">
      <c r="A734" t="inlineStr">
        <is>
          <t>T-2017-Q3-00077</t>
        </is>
      </c>
      <c r="B734" t="inlineStr">
        <is>
          <t>MPSES</t>
        </is>
      </c>
      <c r="C734" t="inlineStr">
        <is>
          <t>Communications Advisor</t>
        </is>
      </c>
      <c r="D734" t="inlineStr">
        <is>
          <t>Conseiller en communications</t>
        </is>
      </c>
      <c r="E734" t="inlineStr">
        <is>
          <t>Oliver Anderson</t>
        </is>
      </c>
      <c r="F734" t="inlineStr">
        <is>
          <t>To accompany the Minister outreach in Manitoba.</t>
        </is>
      </c>
      <c r="G734" t="inlineStr">
        <is>
          <t>Pour accompagner le Ministre à la sensibilisation au Manitoba.</t>
        </is>
      </c>
      <c r="H734" s="1" t="n">
        <v>43006</v>
      </c>
      <c r="I734" s="1" t="n">
        <v>43007</v>
      </c>
      <c r="J734" t="inlineStr">
        <is>
          <t>Winnipeg, Manitoba</t>
        </is>
      </c>
      <c r="K734" t="inlineStr">
        <is>
          <t>Winnipeg, Manitoba</t>
        </is>
      </c>
      <c r="P734" t="n">
        <v>864.85</v>
      </c>
      <c r="R734" t="n">
        <v>164.37</v>
      </c>
      <c r="S734" t="n">
        <v>161.7</v>
      </c>
      <c r="U734" t="n">
        <v>1190.92</v>
      </c>
      <c r="V734" t="n">
        <v>1900082943</v>
      </c>
      <c r="X734" t="inlineStr">
        <is>
          <t>aafc-aac</t>
        </is>
      </c>
      <c r="Y734" t="inlineStr">
        <is>
          <t>Agriculture and Agri-Food Canada | Agriculture et Agroalimentaire Canada</t>
        </is>
      </c>
    </row>
    <row r="735">
      <c r="A735" t="inlineStr">
        <is>
          <t>T-2017-Q1-00069</t>
        </is>
      </c>
      <c r="B735" t="inlineStr">
        <is>
          <t>MPSES</t>
        </is>
      </c>
      <c r="C735" t="inlineStr">
        <is>
          <t>Chief of Staff</t>
        </is>
      </c>
      <c r="D735" t="inlineStr">
        <is>
          <t>Chef de cabinet</t>
        </is>
      </c>
      <c r="E735" t="inlineStr">
        <is>
          <t>Mary Jean McFall</t>
        </is>
      </c>
      <c r="F735" t="inlineStr">
        <is>
          <t xml:space="preserve">To support the Minister with the visit from the German Delegation to Prince Edward Island </t>
        </is>
      </c>
      <c r="G735" t="inlineStr">
        <is>
          <t xml:space="preserve">Appuyer le ministre avec la visite de la délégation allemande à l'Île-du-Prince-Édouard </t>
        </is>
      </c>
      <c r="H735" s="1" t="n">
        <v>42876</v>
      </c>
      <c r="I735" s="1" t="n">
        <v>42878</v>
      </c>
      <c r="J735" t="inlineStr">
        <is>
          <t>Charlottetown, P.E.I.</t>
        </is>
      </c>
      <c r="K735" t="inlineStr">
        <is>
          <t>Charlottetown,  Î.-P.-É.</t>
        </is>
      </c>
      <c r="P735" t="n">
        <v>661.54</v>
      </c>
      <c r="Q735" t="n">
        <v>227.7</v>
      </c>
      <c r="R735" t="n">
        <v>329.3</v>
      </c>
      <c r="S735" t="n">
        <v>179.9</v>
      </c>
      <c r="U735" t="n">
        <v>1398.44</v>
      </c>
      <c r="V735" t="n">
        <v>1900017366</v>
      </c>
      <c r="X735" t="inlineStr">
        <is>
          <t>aafc-aac</t>
        </is>
      </c>
      <c r="Y735" t="inlineStr">
        <is>
          <t>Agriculture and Agri-Food Canada | Agriculture et Agroalimentaire Canada</t>
        </is>
      </c>
    </row>
    <row r="736">
      <c r="A736" t="inlineStr">
        <is>
          <t>T-2017-Q1-00071</t>
        </is>
      </c>
      <c r="B736" t="inlineStr">
        <is>
          <t>MPSES</t>
        </is>
      </c>
      <c r="C736" t="inlineStr">
        <is>
          <t>Policy Advisor</t>
        </is>
      </c>
      <c r="D736" t="inlineStr">
        <is>
          <t>Conseillère en politiques</t>
        </is>
      </c>
      <c r="E736" t="inlineStr">
        <is>
          <t>Alison Porter</t>
        </is>
      </c>
      <c r="F736" t="inlineStr">
        <is>
          <t>To accompany the Minister for meetings with stakeholders and government announcements</t>
        </is>
      </c>
      <c r="G736" t="inlineStr">
        <is>
          <t>Pour accompagner le ministre pour les réunions avec les parties prenantes et les annonces gouvernementales</t>
        </is>
      </c>
      <c r="H736" s="1" t="n">
        <v>42821</v>
      </c>
      <c r="I736" s="1" t="n">
        <v>42823</v>
      </c>
      <c r="J736" t="inlineStr">
        <is>
          <t>Charlottetown, P.E.I.</t>
        </is>
      </c>
      <c r="K736" t="inlineStr">
        <is>
          <t xml:space="preserve">Charlottetown,  Î.-P.-É. </t>
        </is>
      </c>
      <c r="P736" t="n">
        <v>1004.79</v>
      </c>
      <c r="Q736" t="n">
        <v>219.69</v>
      </c>
      <c r="R736" t="n">
        <v>284.28</v>
      </c>
      <c r="S736" t="n">
        <v>274.3</v>
      </c>
      <c r="U736" t="n">
        <v>1783.06</v>
      </c>
      <c r="V736" t="n">
        <v>1900125503</v>
      </c>
      <c r="X736" t="inlineStr">
        <is>
          <t>aafc-aac</t>
        </is>
      </c>
      <c r="Y736" t="inlineStr">
        <is>
          <t>Agriculture and Agri-Food Canada | Agriculture et Agroalimentaire Canada</t>
        </is>
      </c>
    </row>
    <row r="737">
      <c r="A737" t="inlineStr">
        <is>
          <t>T-2017-Q1-00072</t>
        </is>
      </c>
      <c r="B737" t="inlineStr">
        <is>
          <t>MPSES</t>
        </is>
      </c>
      <c r="C737" t="inlineStr">
        <is>
          <t>Policy Advisor</t>
        </is>
      </c>
      <c r="D737" t="inlineStr">
        <is>
          <t>Conseillère en politiques</t>
        </is>
      </c>
      <c r="E737" t="inlineStr">
        <is>
          <t>Alison Porter</t>
        </is>
      </c>
      <c r="F737" t="inlineStr">
        <is>
          <t>To accompany the Minister to a bilateral meeting with Ontario Minister of Agriculture and to the opening and tour of the Salon International de l'Alimentation</t>
        </is>
      </c>
      <c r="G737" t="inlineStr">
        <is>
          <t>Pour accompagner le ministre à une réunion bilatérale avec le ministre de l'Agriculture de l'Ontario et à l'ouverture et à la visite du Salon international de l'alimentation</t>
        </is>
      </c>
      <c r="H737" s="1" t="n">
        <v>42856</v>
      </c>
      <c r="I737" s="1" t="n">
        <v>42857</v>
      </c>
      <c r="J737" t="inlineStr">
        <is>
          <t>Toronto, Ont.</t>
        </is>
      </c>
      <c r="K737" t="inlineStr">
        <is>
          <t>Toronto, Ont.</t>
        </is>
      </c>
      <c r="P737" t="n">
        <v>794.67</v>
      </c>
      <c r="R737" t="n">
        <v>230.84</v>
      </c>
      <c r="S737" t="n">
        <v>115.75</v>
      </c>
      <c r="U737" t="n">
        <v>1141.26</v>
      </c>
      <c r="V737" t="n">
        <v>1900010013</v>
      </c>
      <c r="X737" t="inlineStr">
        <is>
          <t>aafc-aac</t>
        </is>
      </c>
      <c r="Y737" t="inlineStr">
        <is>
          <t>Agriculture and Agri-Food Canada | Agriculture et Agroalimentaire Canada</t>
        </is>
      </c>
    </row>
    <row r="738">
      <c r="A738" t="inlineStr">
        <is>
          <t>T-2017-Q1-00073</t>
        </is>
      </c>
      <c r="B738" t="inlineStr">
        <is>
          <t>MPSES</t>
        </is>
      </c>
      <c r="C738" t="inlineStr">
        <is>
          <t>Policy Advisor</t>
        </is>
      </c>
      <c r="D738" t="inlineStr">
        <is>
          <t>Conseillère en politiques</t>
        </is>
      </c>
      <c r="E738" t="inlineStr">
        <is>
          <t>Alison Porter</t>
        </is>
      </c>
      <c r="F738" t="inlineStr">
        <is>
          <t xml:space="preserve">To support the Minister with the visit from the German Delegation to Prince Edward Island </t>
        </is>
      </c>
      <c r="G738" t="inlineStr">
        <is>
          <t>Appuyer le ministre avec la visite de la délégation allemande à l'Île-du-Prince-Édouard</t>
        </is>
      </c>
      <c r="H738" s="1" t="n">
        <v>42876</v>
      </c>
      <c r="I738" s="1" t="n">
        <v>42878</v>
      </c>
      <c r="J738" t="inlineStr">
        <is>
          <t>Charlottetown, P.E.I.</t>
        </is>
      </c>
      <c r="K738" t="inlineStr">
        <is>
          <t>Charlottetown,  Î.-P.-É.</t>
        </is>
      </c>
      <c r="P738" t="n">
        <v>842.65</v>
      </c>
      <c r="R738" t="n">
        <v>329.3</v>
      </c>
      <c r="S738" t="n">
        <v>179.9</v>
      </c>
      <c r="U738" t="n">
        <v>1351.85</v>
      </c>
      <c r="V738" t="n">
        <v>1900019907</v>
      </c>
      <c r="X738" t="inlineStr">
        <is>
          <t>aafc-aac</t>
        </is>
      </c>
      <c r="Y738" t="inlineStr">
        <is>
          <t>Agriculture and Agri-Food Canada | Agriculture et Agroalimentaire Canada</t>
        </is>
      </c>
    </row>
    <row r="739">
      <c r="A739" t="inlineStr">
        <is>
          <t>T-2017-Q1-00074</t>
        </is>
      </c>
      <c r="B739" t="inlineStr">
        <is>
          <t>MPSES</t>
        </is>
      </c>
      <c r="C739" t="inlineStr">
        <is>
          <t>Parliamentary Secretary Assistant</t>
        </is>
      </c>
      <c r="D739" t="inlineStr">
        <is>
          <t>Adjoint du Secrétaire parlementaire</t>
        </is>
      </c>
      <c r="E739" t="inlineStr">
        <is>
          <t>Michel-Antoine Renaud</t>
        </is>
      </c>
      <c r="F739" t="inlineStr">
        <is>
          <t>To accompany the Minister to Quebec Outreach, attend a bilateral meeting with the Quebec Minister of Agriculture, Fisheries and Food, meeting with l'Union des producteurs agricoles and an interview with la Terre de Chez-Nous.</t>
        </is>
      </c>
      <c r="G739" t="inlineStr">
        <is>
          <t>Pour accompagner le ministre à la sensibilisation du Québec, participer à une réunion bilatérale avec le ministre de l'Agriculture, des Pêches et de l'Alimentation du Québec, rencontrer l'Union des producteurs agricoles et une entrevue avec la Terre de Chez-Nous.</t>
        </is>
      </c>
      <c r="H739" s="1" t="n">
        <v>42866</v>
      </c>
      <c r="I739" s="1" t="n">
        <v>42867</v>
      </c>
      <c r="J739" t="inlineStr">
        <is>
          <t>Montreal, Que.</t>
        </is>
      </c>
      <c r="K739" t="inlineStr">
        <is>
          <t>Montréal, Qc</t>
        </is>
      </c>
      <c r="P739" t="n">
        <v>935.2</v>
      </c>
      <c r="Q739" t="n">
        <v>43.9</v>
      </c>
      <c r="R739" t="n">
        <v>224.91</v>
      </c>
      <c r="S739" t="n">
        <v>143.65</v>
      </c>
      <c r="T739" t="n">
        <v>0</v>
      </c>
      <c r="U739" t="n">
        <v>1347.66</v>
      </c>
      <c r="V739" t="n">
        <v>1900010013</v>
      </c>
      <c r="X739" t="inlineStr">
        <is>
          <t>aafc-aac</t>
        </is>
      </c>
      <c r="Y739" t="inlineStr">
        <is>
          <t>Agriculture and Agri-Food Canada | Agriculture et Agroalimentaire Canada</t>
        </is>
      </c>
    </row>
    <row r="740">
      <c r="A740" t="inlineStr">
        <is>
          <t>T-2017-Q1-00075</t>
        </is>
      </c>
      <c r="B740" t="inlineStr">
        <is>
          <t>MPSES</t>
        </is>
      </c>
      <c r="C740" t="inlineStr">
        <is>
          <t>Parliamentary Secretary Assistant</t>
        </is>
      </c>
      <c r="D740" t="inlineStr">
        <is>
          <t>Adjoint du Secrétaire parlementaire</t>
        </is>
      </c>
      <c r="E740" t="inlineStr">
        <is>
          <t>Michel-Antoine Renaud</t>
        </is>
      </c>
      <c r="F740" t="inlineStr">
        <is>
          <t>To accompany the Parliamentary Secretary to an evening event with the Quebec horticultural industry</t>
        </is>
      </c>
      <c r="G740" t="inlineStr">
        <is>
          <t>Pour accompagner le secrétaire parlementaire d'un soirée avec l'industrie de l'horticulture québécoise</t>
        </is>
      </c>
      <c r="H740" s="1" t="n">
        <v>42873</v>
      </c>
      <c r="I740" s="1" t="n">
        <v>42874</v>
      </c>
      <c r="J740" t="inlineStr">
        <is>
          <t>Ottawa, Ont.</t>
        </is>
      </c>
      <c r="K740" t="inlineStr">
        <is>
          <t>Ottawa, Ont.</t>
        </is>
      </c>
      <c r="P740" t="n">
        <v>0</v>
      </c>
      <c r="Q740" t="n">
        <v>86.56999999999999</v>
      </c>
      <c r="R740" t="n">
        <v>0</v>
      </c>
      <c r="S740" t="n">
        <v>0</v>
      </c>
      <c r="T740" t="n">
        <v>0</v>
      </c>
      <c r="U740" t="n">
        <v>86.56999999999999</v>
      </c>
      <c r="V740" t="n">
        <v>1900017365</v>
      </c>
      <c r="X740" t="inlineStr">
        <is>
          <t>aafc-aac</t>
        </is>
      </c>
      <c r="Y740" t="inlineStr">
        <is>
          <t>Agriculture and Agri-Food Canada | Agriculture et Agroalimentaire Canada</t>
        </is>
      </c>
    </row>
    <row r="741">
      <c r="A741" t="inlineStr">
        <is>
          <t>T-2017-Q1-00076</t>
        </is>
      </c>
      <c r="B741" t="inlineStr">
        <is>
          <t>MPSES</t>
        </is>
      </c>
      <c r="C741" t="inlineStr">
        <is>
          <t>Associate Deputy Minister</t>
        </is>
      </c>
      <c r="D741" t="inlineStr">
        <is>
          <t>Sous-ministre déléguée</t>
        </is>
      </c>
      <c r="E741" t="inlineStr">
        <is>
          <t>Nada Semaan</t>
        </is>
      </c>
      <c r="F741" t="inlineStr">
        <is>
          <t>Associate Deputy Minister did Outreach in Guelph March 27, 2017 and attended Canada's Best Diversity Employers' 2017 Reception on March 28</t>
        </is>
      </c>
      <c r="G741" t="inlineStr">
        <is>
          <t>La sous-ministre déléguée s'est rendue à Guelph le 27 mars 2017 et a assisté à la réception des employeurs de la meilleure diversité au Canada en 2017 le 28 mars</t>
        </is>
      </c>
      <c r="H741" s="1" t="n">
        <v>42821</v>
      </c>
      <c r="I741" s="1" t="n">
        <v>42821</v>
      </c>
      <c r="J741" t="inlineStr">
        <is>
          <t>Guelph, Ont.</t>
        </is>
      </c>
      <c r="K741" t="inlineStr">
        <is>
          <t>Guelph, Ont.</t>
        </is>
      </c>
      <c r="P741" t="n">
        <v>366.97</v>
      </c>
      <c r="Q741" t="n">
        <v>240.5</v>
      </c>
      <c r="R741" t="n">
        <v>207.65</v>
      </c>
      <c r="S741" t="n">
        <v>114.4</v>
      </c>
      <c r="T741" t="n">
        <v>0</v>
      </c>
      <c r="U741" t="n">
        <v>929.52</v>
      </c>
      <c r="V741" t="inlineStr">
        <is>
          <t>AJG874759</t>
        </is>
      </c>
      <c r="X741" t="inlineStr">
        <is>
          <t>aafc-aac</t>
        </is>
      </c>
      <c r="Y741" t="inlineStr">
        <is>
          <t>Agriculture and Agri-Food Canada | Agriculture et Agroalimentaire Canada</t>
        </is>
      </c>
    </row>
    <row r="742">
      <c r="A742" t="inlineStr">
        <is>
          <t>T-2017-Q3-00005</t>
        </is>
      </c>
      <c r="B742" t="inlineStr">
        <is>
          <t>SLE</t>
        </is>
      </c>
      <c r="C742" t="inlineStr">
        <is>
          <t>Assistant Deputy Minister, Market and Industry Services Branch</t>
        </is>
      </c>
      <c r="D742" t="inlineStr">
        <is>
          <t>Sous-ministre adjoint, Direction générales des services à l'industrie et aux marchés</t>
        </is>
      </c>
      <c r="E742" t="inlineStr">
        <is>
          <t>Fred Gorrell</t>
        </is>
      </c>
      <c r="F742" t="inlineStr">
        <is>
          <t>To accompany the Minister to the 2017 National Association of State Department Agriculture Annual Meeting</t>
        </is>
      </c>
      <c r="G742" t="inlineStr">
        <is>
          <t>Accompagner le ministre à la réunion annuelle 2017 de la National Association of State Department Agriculture</t>
        </is>
      </c>
      <c r="H742" s="1" t="n">
        <v>42991</v>
      </c>
      <c r="I742" s="1" t="n">
        <v>42993</v>
      </c>
      <c r="J742" t="inlineStr">
        <is>
          <t>New Orleans, Louisiana</t>
        </is>
      </c>
      <c r="K742" t="inlineStr">
        <is>
          <t>Nouvelle-Orleans, Louisiane</t>
        </is>
      </c>
      <c r="P742" t="n">
        <v>1938.71</v>
      </c>
      <c r="Q742" t="n">
        <v>228.88</v>
      </c>
      <c r="R742" t="n">
        <v>549</v>
      </c>
      <c r="S742" t="n">
        <v>363.23</v>
      </c>
      <c r="T742" t="n">
        <v>334.44</v>
      </c>
      <c r="U742" t="n">
        <v>3414.26</v>
      </c>
      <c r="V742" t="inlineStr">
        <is>
          <t>AJE548612</t>
        </is>
      </c>
      <c r="X742" t="inlineStr">
        <is>
          <t>aafc-aac</t>
        </is>
      </c>
      <c r="Y742" t="inlineStr">
        <is>
          <t>Agriculture and Agri-Food Canada | Agriculture et Agroalimentaire Canada</t>
        </is>
      </c>
    </row>
    <row r="743">
      <c r="A743" t="inlineStr">
        <is>
          <t>T-2017-Q3-00006</t>
        </is>
      </c>
      <c r="B743" t="inlineStr">
        <is>
          <t>SLE</t>
        </is>
      </c>
      <c r="C743" t="inlineStr">
        <is>
          <t>Assistant Deputy Minister, Market and Industry Services Branch</t>
        </is>
      </c>
      <c r="D743" t="inlineStr">
        <is>
          <t>Sous-ministre adjoint, Direction générales des services à l'industrie et aux marchés</t>
        </is>
      </c>
      <c r="E743" t="inlineStr">
        <is>
          <t>Fred Gorrell</t>
        </is>
      </c>
      <c r="F743" t="inlineStr">
        <is>
          <t>To particiapte in the annual event organised by the Mexican Federation of Agriculture</t>
        </is>
      </c>
      <c r="G743" t="inlineStr">
        <is>
          <t>Participer à l'événement annuel organisé par la Fédération mexicaine de l'agriculture</t>
        </is>
      </c>
      <c r="H743" s="1" t="n">
        <v>42999</v>
      </c>
      <c r="I743" s="1" t="n">
        <v>43001</v>
      </c>
      <c r="J743" t="inlineStr">
        <is>
          <t>Puebla, Mexico</t>
        </is>
      </c>
      <c r="K743" t="inlineStr">
        <is>
          <t>Puebla, Mexique</t>
        </is>
      </c>
      <c r="P743" t="n">
        <v>992.7</v>
      </c>
      <c r="Q743" t="n">
        <v>0</v>
      </c>
      <c r="R743" t="n">
        <v>173.17</v>
      </c>
      <c r="S743" t="n">
        <v>0</v>
      </c>
      <c r="U743" t="n">
        <v>1165.87</v>
      </c>
      <c r="V743" t="inlineStr">
        <is>
          <t>AJE596153</t>
        </is>
      </c>
      <c r="X743" t="inlineStr">
        <is>
          <t>aafc-aac</t>
        </is>
      </c>
      <c r="Y743" t="inlineStr">
        <is>
          <t>Agriculture and Agri-Food Canada | Agriculture et Agroalimentaire Canada</t>
        </is>
      </c>
    </row>
    <row r="744">
      <c r="A744" t="inlineStr">
        <is>
          <t>T-2017-Q3-00007</t>
        </is>
      </c>
      <c r="B744" t="inlineStr">
        <is>
          <t>SLE</t>
        </is>
      </c>
      <c r="C744" t="inlineStr">
        <is>
          <t>Assistant Deputy Minister, Market and Industry Services Branch</t>
        </is>
      </c>
      <c r="D744" t="inlineStr">
        <is>
          <t>Sous-ministre adjoint, Direction générales des services à l'industrie et aux marchés</t>
        </is>
      </c>
      <c r="E744" t="inlineStr">
        <is>
          <t>Fred Gorrell</t>
        </is>
      </c>
      <c r="F744" t="inlineStr">
        <is>
          <t>To attend as a panelist at the Alibaba Gateway 2017 event.</t>
        </is>
      </c>
      <c r="G744" t="inlineStr">
        <is>
          <t>Participer en tant que panéliste à l'événement Alibaba Gateway 2017.</t>
        </is>
      </c>
      <c r="H744" s="1" t="n">
        <v>43002</v>
      </c>
      <c r="I744" s="1" t="n">
        <v>43003</v>
      </c>
      <c r="J744" t="inlineStr">
        <is>
          <t>Toronto, Ontario</t>
        </is>
      </c>
      <c r="K744" t="inlineStr">
        <is>
          <t>Toronto, Ontario</t>
        </is>
      </c>
      <c r="P744" t="n">
        <v>616.39</v>
      </c>
      <c r="Q744" t="n">
        <v>96.40000000000001</v>
      </c>
      <c r="R744" t="n">
        <v>304.69</v>
      </c>
      <c r="S744" t="n">
        <v>161.7</v>
      </c>
      <c r="U744" t="n">
        <v>1179.18</v>
      </c>
      <c r="V744" t="inlineStr">
        <is>
          <t>AJE539889</t>
        </is>
      </c>
      <c r="X744" t="inlineStr">
        <is>
          <t>aafc-aac</t>
        </is>
      </c>
      <c r="Y744" t="inlineStr">
        <is>
          <t>Agriculture and Agri-Food Canada | Agriculture et Agroalimentaire Canada</t>
        </is>
      </c>
    </row>
    <row r="745">
      <c r="A745" t="inlineStr">
        <is>
          <t>T-2017-Q3-00009</t>
        </is>
      </c>
      <c r="B745" t="inlineStr">
        <is>
          <t>SLE</t>
        </is>
      </c>
      <c r="C745" t="inlineStr">
        <is>
          <t>Assistant Deputy Minister, Market and Industry Services Branch</t>
        </is>
      </c>
      <c r="D745" t="inlineStr">
        <is>
          <t>Sous-ministre adjoint, Direction générales des services à l'industrie et aux marchés</t>
        </is>
      </c>
      <c r="E745" t="inlineStr">
        <is>
          <t>Fred Gorrell</t>
        </is>
      </c>
      <c r="F745" t="inlineStr">
        <is>
          <t>To support the Minister at the Tri-National Accord Denver, attend the Halal Workshop in Vancouver and speak at the University of British Columbia.</t>
        </is>
      </c>
      <c r="G745" t="inlineStr">
        <is>
          <t>Soutenir le ministre à l'Accord trinational Denver, participer à l'atelier Halal à Vancouver et présenter à l'Université de la Colombie-Britannique.</t>
        </is>
      </c>
      <c r="H745" s="1" t="n">
        <v>43025</v>
      </c>
      <c r="I745" s="1" t="n">
        <v>43028</v>
      </c>
      <c r="J745" t="inlineStr">
        <is>
          <t>Denver, Colorado, Vancouver, British Columbia</t>
        </is>
      </c>
      <c r="K745" t="inlineStr">
        <is>
          <t>Denver, Colorado, Vancouver, Colombie-Britannique</t>
        </is>
      </c>
      <c r="P745" t="n">
        <v>1662.36</v>
      </c>
      <c r="Q745" t="n">
        <v>300.8</v>
      </c>
      <c r="R745" t="n">
        <v>802.65</v>
      </c>
      <c r="S745" t="n">
        <v>211.42</v>
      </c>
      <c r="T745" t="n">
        <v>3</v>
      </c>
      <c r="U745" t="n">
        <v>2980.23</v>
      </c>
      <c r="V745" t="inlineStr">
        <is>
          <t>AJE524128</t>
        </is>
      </c>
      <c r="X745" t="inlineStr">
        <is>
          <t>aafc-aac</t>
        </is>
      </c>
      <c r="Y745" t="inlineStr">
        <is>
          <t>Agriculture and Agri-Food Canada | Agriculture et Agroalimentaire Canada</t>
        </is>
      </c>
    </row>
    <row r="746">
      <c r="A746" t="inlineStr">
        <is>
          <t>T-2017-Q3-00010</t>
        </is>
      </c>
      <c r="B746" t="inlineStr">
        <is>
          <t>SLE</t>
        </is>
      </c>
      <c r="C746" t="inlineStr">
        <is>
          <t>Assistant Deputy Minister, Market and Industry Services Branch</t>
        </is>
      </c>
      <c r="D746" t="inlineStr">
        <is>
          <t>Sous-ministre adjoint, Direction générales des services à l'industrie et aux marchés</t>
        </is>
      </c>
      <c r="E746" t="inlineStr">
        <is>
          <t>Fred Gorrell</t>
        </is>
      </c>
      <c r="F746" t="inlineStr">
        <is>
          <t>To support the Minister in China.</t>
        </is>
      </c>
      <c r="G746" t="inlineStr">
        <is>
          <t>Soutenir le Ministre en Chine.</t>
        </is>
      </c>
      <c r="H746" s="1" t="n">
        <v>43050</v>
      </c>
      <c r="I746" s="1" t="n">
        <v>43061</v>
      </c>
      <c r="J746" t="inlineStr">
        <is>
          <t>Shanghai, Guangzhou, Beijing, China</t>
        </is>
      </c>
      <c r="K746" t="inlineStr">
        <is>
          <t>Shanghai, Guangzhou, Pékin, Chine</t>
        </is>
      </c>
      <c r="P746" t="n">
        <v>6175.94</v>
      </c>
      <c r="Q746" t="n">
        <v>230.42</v>
      </c>
      <c r="R746" t="n">
        <v>2831.63</v>
      </c>
      <c r="S746" t="n">
        <v>1623.91</v>
      </c>
      <c r="T746" t="n">
        <v>29.23</v>
      </c>
      <c r="U746" t="n">
        <v>10891.13</v>
      </c>
      <c r="V746" t="inlineStr">
        <is>
          <t>AJE540592</t>
        </is>
      </c>
      <c r="X746" t="inlineStr">
        <is>
          <t>aafc-aac</t>
        </is>
      </c>
      <c r="Y746" t="inlineStr">
        <is>
          <t>Agriculture and Agri-Food Canada | Agriculture et Agroalimentaire Canada</t>
        </is>
      </c>
    </row>
    <row r="747">
      <c r="A747" t="inlineStr">
        <is>
          <t>T-2017-Q2-00047</t>
        </is>
      </c>
      <c r="B747" t="inlineStr">
        <is>
          <t>MPSES</t>
        </is>
      </c>
      <c r="C747" t="inlineStr">
        <is>
          <t>Parliamentary Secretary Assistant</t>
        </is>
      </c>
      <c r="D747" t="inlineStr">
        <is>
          <t>Adjoint du Secrétaire parlementaire</t>
        </is>
      </c>
      <c r="E747" t="inlineStr">
        <is>
          <t>Michel-Antoine Renaud</t>
        </is>
      </c>
      <c r="F747" t="inlineStr">
        <is>
          <t>To accompany the Parliamentary Secretary to an announcement at MacDonald College Campus of McGill University</t>
        </is>
      </c>
      <c r="G747" t="inlineStr">
        <is>
          <t>Pour accompagner le secrétaire parlementaire à une annonce au Campus MacDonald College de l'Université McGill</t>
        </is>
      </c>
      <c r="H747" s="1" t="n">
        <v>42897</v>
      </c>
      <c r="I747" s="1" t="n">
        <v>42898</v>
      </c>
      <c r="J747" t="inlineStr">
        <is>
          <t>Montréal, QC</t>
        </is>
      </c>
      <c r="K747" t="inlineStr">
        <is>
          <t>Montréal, QC</t>
        </is>
      </c>
      <c r="Q747" t="n">
        <v>83.83</v>
      </c>
      <c r="R747" t="n">
        <v>184.42</v>
      </c>
      <c r="S747" t="n">
        <v>97.7</v>
      </c>
      <c r="U747" t="n">
        <v>365.95</v>
      </c>
      <c r="V747" t="n">
        <v>1900030998</v>
      </c>
      <c r="X747" t="inlineStr">
        <is>
          <t>aafc-aac</t>
        </is>
      </c>
      <c r="Y747" t="inlineStr">
        <is>
          <t>Agriculture and Agri-Food Canada | Agriculture et Agroalimentaire Canada</t>
        </is>
      </c>
    </row>
    <row r="748">
      <c r="A748" t="inlineStr">
        <is>
          <t>T-2017-Q2-00053</t>
        </is>
      </c>
      <c r="B748" t="inlineStr">
        <is>
          <t>MPSES</t>
        </is>
      </c>
      <c r="C748" t="inlineStr">
        <is>
          <t>Parliamentary Secretary Assistant</t>
        </is>
      </c>
      <c r="D748" t="inlineStr">
        <is>
          <t>Adjoint du Secrétaire parlementaire</t>
        </is>
      </c>
      <c r="E748" t="inlineStr">
        <is>
          <t>Michel-Antoine Renaud</t>
        </is>
      </c>
      <c r="F748" t="inlineStr">
        <is>
          <t>To support the Parliamentary Secretary at the Regional Food and Policy consultations in Coaticook, St-Hyacinthe and Bonaventure Québec</t>
        </is>
      </c>
      <c r="G748" t="inlineStr">
        <is>
          <t>Appuyer le secrétaire parlementaire lors des consultations régionales sur les aliments et politiques à Coaticook, St-Hyacinthe et Bonaventure Québec</t>
        </is>
      </c>
      <c r="H748" s="1" t="n">
        <v>42962</v>
      </c>
      <c r="I748" s="1" t="n">
        <v>42965</v>
      </c>
      <c r="J748" t="inlineStr">
        <is>
          <t>Ste-Hyacinthe, QC, Campbelton and Edmunston, NB</t>
        </is>
      </c>
      <c r="K748" t="inlineStr">
        <is>
          <t>Ste-Hyacinthe, QC, Campbelton and Edmunston, NB</t>
        </is>
      </c>
      <c r="Q748" t="n">
        <v>319.83</v>
      </c>
      <c r="R748" t="n">
        <v>446.34</v>
      </c>
      <c r="S748" t="n">
        <v>261.2</v>
      </c>
      <c r="U748" t="n">
        <v>1027.37</v>
      </c>
      <c r="V748" t="n">
        <v>1900071892</v>
      </c>
      <c r="X748" t="inlineStr">
        <is>
          <t>aafc-aac</t>
        </is>
      </c>
      <c r="Y748" t="inlineStr">
        <is>
          <t>Agriculture and Agri-Food Canada | Agriculture et Agroalimentaire Canada</t>
        </is>
      </c>
    </row>
    <row r="749">
      <c r="A749" t="inlineStr">
        <is>
          <t>T-2017-Q3-00008</t>
        </is>
      </c>
      <c r="B749" t="inlineStr">
        <is>
          <t>SLE</t>
        </is>
      </c>
      <c r="C749" t="inlineStr">
        <is>
          <t>Assistant Deputy Minister, Market and Industry Services Branch</t>
        </is>
      </c>
      <c r="D749" t="inlineStr">
        <is>
          <t>Sous-ministre adjoint, Direction générales des services à l'industrie et aux marchés</t>
        </is>
      </c>
      <c r="E749" t="inlineStr">
        <is>
          <t>Fred Gorrell</t>
        </is>
      </c>
      <c r="F749" t="inlineStr">
        <is>
          <t>To attend and speak at the Agricultural Manufacturers of Canada  in Edmonton.</t>
        </is>
      </c>
      <c r="G749" t="inlineStr">
        <is>
          <t>Présenter à l'union des producteurs agricoles à Edmonton.</t>
        </is>
      </c>
      <c r="H749" s="1" t="n">
        <v>43005</v>
      </c>
      <c r="I749" s="1" t="n">
        <v>43006</v>
      </c>
      <c r="J749" t="inlineStr">
        <is>
          <t>Edmonton, Alberta</t>
        </is>
      </c>
      <c r="K749" t="inlineStr">
        <is>
          <t>Edmonton, Alberta</t>
        </is>
      </c>
      <c r="P749" t="n">
        <v>848.4299999999999</v>
      </c>
      <c r="Q749" t="n">
        <v>85.40000000000001</v>
      </c>
      <c r="R749" t="n">
        <v>200.96</v>
      </c>
      <c r="S749" t="n">
        <v>179</v>
      </c>
      <c r="U749" t="n">
        <v>1313.79</v>
      </c>
      <c r="V749" t="inlineStr">
        <is>
          <t>AJE501453</t>
        </is>
      </c>
      <c r="X749" t="inlineStr">
        <is>
          <t>aafc-aac</t>
        </is>
      </c>
      <c r="Y749" t="inlineStr">
        <is>
          <t>Agriculture and Agri-Food Canada | Agriculture et Agroalimentaire Canada</t>
        </is>
      </c>
    </row>
    <row r="750">
      <c r="A750" t="inlineStr">
        <is>
          <t>T-2017-Q3-00011</t>
        </is>
      </c>
      <c r="B750" t="inlineStr">
        <is>
          <t>SLE</t>
        </is>
      </c>
      <c r="C750" t="inlineStr">
        <is>
          <t>Assistant Deputy Minister, Science and Technology Branch</t>
        </is>
      </c>
      <c r="D750" t="inlineStr">
        <is>
          <t>Sous-ministre adjoint, Direction générale des sciences et de la technologie</t>
        </is>
      </c>
      <c r="E750" t="inlineStr">
        <is>
          <t>Brian Gray</t>
        </is>
      </c>
      <c r="F750" t="inlineStr">
        <is>
          <t>Ivey Business School - Senior Public Sector Leader Progam.</t>
        </is>
      </c>
      <c r="G750" t="inlineStr">
        <is>
          <t>Ivey Business School - Senior Public Sector Leader Progam.</t>
        </is>
      </c>
      <c r="H750" s="1" t="n">
        <v>42988</v>
      </c>
      <c r="I750" s="1" t="n">
        <v>42993</v>
      </c>
      <c r="J750" t="inlineStr">
        <is>
          <t>London, Ontario</t>
        </is>
      </c>
      <c r="K750" t="inlineStr">
        <is>
          <t>London, Ontario</t>
        </is>
      </c>
      <c r="P750" t="n">
        <v>494.32</v>
      </c>
      <c r="Q750" t="n">
        <v>204.43</v>
      </c>
      <c r="S750" t="n">
        <v>121.85</v>
      </c>
      <c r="U750" t="n">
        <v>820.6</v>
      </c>
      <c r="V750" t="inlineStr">
        <is>
          <t>AJD962499</t>
        </is>
      </c>
      <c r="X750" t="inlineStr">
        <is>
          <t>aafc-aac</t>
        </is>
      </c>
      <c r="Y750" t="inlineStr">
        <is>
          <t>Agriculture and Agri-Food Canada | Agriculture et Agroalimentaire Canada</t>
        </is>
      </c>
    </row>
    <row r="751">
      <c r="A751" t="inlineStr">
        <is>
          <t>T-2017-Q2-00033</t>
        </is>
      </c>
      <c r="B751" t="inlineStr">
        <is>
          <t>SLE</t>
        </is>
      </c>
      <c r="C751" t="inlineStr">
        <is>
          <t>Assistant Deputy Minister Programs Branch</t>
        </is>
      </c>
      <c r="D751" t="inlineStr">
        <is>
          <t>Sous-ministre adjointe de la Direction générale des programmes</t>
        </is>
      </c>
      <c r="E751" t="inlineStr">
        <is>
          <t xml:space="preserve">France Pégeot </t>
        </is>
      </c>
      <c r="F751" t="inlineStr">
        <is>
          <t xml:space="preserve">Winnipeg regional meeting </t>
        </is>
      </c>
      <c r="G751" t="inlineStr">
        <is>
          <t>Réunion régionale de Winnipeg</t>
        </is>
      </c>
      <c r="H751" s="1" t="n">
        <v>42892</v>
      </c>
      <c r="I751" s="1" t="n">
        <v>42893</v>
      </c>
      <c r="J751" t="inlineStr">
        <is>
          <t>Winnipeg, MB</t>
        </is>
      </c>
      <c r="K751" t="inlineStr">
        <is>
          <t>Winnipeg, MB</t>
        </is>
      </c>
      <c r="P751" t="n">
        <v>949.01</v>
      </c>
      <c r="Q751" t="n">
        <v>103.88</v>
      </c>
      <c r="R751" t="n">
        <v>140</v>
      </c>
      <c r="S751" t="n">
        <v>161.7</v>
      </c>
      <c r="U751" t="n">
        <v>1354.59</v>
      </c>
      <c r="V751" t="inlineStr">
        <is>
          <t>AJF172989</t>
        </is>
      </c>
      <c r="X751" t="inlineStr">
        <is>
          <t>aafc-aac</t>
        </is>
      </c>
      <c r="Y751" t="inlineStr">
        <is>
          <t>Agriculture and Agri-Food Canada | Agriculture et Agroalimentaire Canada</t>
        </is>
      </c>
    </row>
    <row r="752">
      <c r="A752" t="inlineStr">
        <is>
          <t>T-2017-Q2-00035</t>
        </is>
      </c>
      <c r="B752" t="inlineStr">
        <is>
          <t>SLE</t>
        </is>
      </c>
      <c r="C752" t="inlineStr">
        <is>
          <t>Assistant Deputy Minister Programs Branch</t>
        </is>
      </c>
      <c r="D752" t="inlineStr">
        <is>
          <t>Sous-ministre adjointe de la Direction générale des programmes</t>
        </is>
      </c>
      <c r="E752" t="inlineStr">
        <is>
          <t xml:space="preserve">France Pégeot </t>
        </is>
      </c>
      <c r="F752" t="inlineStr">
        <is>
          <t xml:space="preserve">Minister Outreach meeting in Guelph </t>
        </is>
      </c>
      <c r="G752" t="inlineStr">
        <is>
          <t>Réunion de sensibilisation du ministre à Guelph</t>
        </is>
      </c>
      <c r="H752" s="1" t="n">
        <v>42921</v>
      </c>
      <c r="I752" s="1" t="n">
        <v>42922</v>
      </c>
      <c r="J752" t="inlineStr">
        <is>
          <t>Guelph, ON</t>
        </is>
      </c>
      <c r="K752" t="inlineStr">
        <is>
          <t>Guelph, ON</t>
        </is>
      </c>
      <c r="P752" t="n">
        <v>452.06</v>
      </c>
      <c r="Q752" t="n">
        <v>31.88</v>
      </c>
      <c r="R752" t="n">
        <v>157.07</v>
      </c>
      <c r="S752" t="n">
        <v>115.75</v>
      </c>
      <c r="U752" t="n">
        <v>756.76</v>
      </c>
      <c r="V752" t="inlineStr">
        <is>
          <t>AJF147527</t>
        </is>
      </c>
      <c r="X752" t="inlineStr">
        <is>
          <t>aafc-aac</t>
        </is>
      </c>
      <c r="Y752" t="inlineStr">
        <is>
          <t>Agriculture and Agri-Food Canada | Agriculture et Agroalimentaire Canada</t>
        </is>
      </c>
    </row>
    <row r="753">
      <c r="A753" t="inlineStr">
        <is>
          <t>T-2017-Q2-00039</t>
        </is>
      </c>
      <c r="B753" t="inlineStr">
        <is>
          <t>MPSES</t>
        </is>
      </c>
      <c r="C753" t="inlineStr">
        <is>
          <t>Associate Deputy Minister</t>
        </is>
      </c>
      <c r="D753" t="inlineStr">
        <is>
          <t>Sous-ministre déléguée</t>
        </is>
      </c>
      <c r="E753" t="inlineStr">
        <is>
          <t>Nada Semaan</t>
        </is>
      </c>
      <c r="F753" t="inlineStr">
        <is>
          <t>Director Education Program (DEP)</t>
        </is>
      </c>
      <c r="G753" t="inlineStr">
        <is>
          <t>Programme d'educaion de directeur</t>
        </is>
      </c>
      <c r="H753" s="1" t="n">
        <v>42904</v>
      </c>
      <c r="I753" s="1" t="n">
        <v>42907</v>
      </c>
      <c r="J753" t="inlineStr">
        <is>
          <t>Toronto, ON</t>
        </is>
      </c>
      <c r="K753" t="inlineStr">
        <is>
          <t>Toronto, ON</t>
        </is>
      </c>
      <c r="P753" t="n">
        <v>285.07</v>
      </c>
      <c r="Q753" t="n">
        <v>40</v>
      </c>
      <c r="R753" t="n">
        <v>901.38</v>
      </c>
      <c r="S753" t="n">
        <v>312.65</v>
      </c>
      <c r="U753" t="n">
        <v>1539.1</v>
      </c>
      <c r="X753" t="inlineStr">
        <is>
          <t>aafc-aac</t>
        </is>
      </c>
      <c r="Y753" t="inlineStr">
        <is>
          <t>Agriculture and Agri-Food Canada | Agriculture et Agroalimentaire Canada</t>
        </is>
      </c>
    </row>
    <row r="754">
      <c r="A754" t="inlineStr">
        <is>
          <t>T-2017-Q2-00040</t>
        </is>
      </c>
      <c r="B754" t="inlineStr">
        <is>
          <t>MPSES</t>
        </is>
      </c>
      <c r="C754" t="inlineStr">
        <is>
          <t>Associate Deputy Minister</t>
        </is>
      </c>
      <c r="D754" t="inlineStr">
        <is>
          <t>Sous-ministre déléguée</t>
        </is>
      </c>
      <c r="E754" t="inlineStr">
        <is>
          <t>Nada Semaan</t>
        </is>
      </c>
      <c r="F754" t="inlineStr">
        <is>
          <t>Core Mandate - Meetings</t>
        </is>
      </c>
      <c r="G754" t="inlineStr">
        <is>
          <t>Mandat de base - Réunions</t>
        </is>
      </c>
      <c r="H754" s="1" t="n">
        <v>42928</v>
      </c>
      <c r="I754" s="1" t="n">
        <v>42930</v>
      </c>
      <c r="J754" t="inlineStr">
        <is>
          <t>Vancouver, BC and Edmonton, Calgary, AB</t>
        </is>
      </c>
      <c r="K754" t="inlineStr">
        <is>
          <t>Vancouver, CB et Edmonton, Calgary, AB</t>
        </is>
      </c>
      <c r="P754" t="n">
        <v>281.03</v>
      </c>
      <c r="Q754" t="n">
        <v>10</v>
      </c>
      <c r="R754" t="n">
        <v>1401.39</v>
      </c>
      <c r="S754" t="n">
        <v>428.4</v>
      </c>
      <c r="U754" t="n">
        <v>2120.82</v>
      </c>
      <c r="X754" t="inlineStr">
        <is>
          <t>aafc-aac</t>
        </is>
      </c>
      <c r="Y754" t="inlineStr">
        <is>
          <t>Agriculture and Agri-Food Canada | Agriculture et Agroalimentaire Canada</t>
        </is>
      </c>
    </row>
    <row r="755">
      <c r="A755" t="inlineStr">
        <is>
          <t>T-2017-Q2-00045</t>
        </is>
      </c>
      <c r="B755" t="inlineStr">
        <is>
          <t>MPSES</t>
        </is>
      </c>
      <c r="C755" t="inlineStr">
        <is>
          <t>Parliamentary Secretary Assistant</t>
        </is>
      </c>
      <c r="D755" t="inlineStr">
        <is>
          <t>Adjoint du Secrétaire parlementaire</t>
        </is>
      </c>
      <c r="E755" t="inlineStr">
        <is>
          <t>Michel-Antoine Renaud</t>
        </is>
      </c>
      <c r="F755" t="inlineStr">
        <is>
          <t>To accompany the Parliamentary Secretary to an announcement for Food Policy at Jean Talon Market</t>
        </is>
      </c>
      <c r="G755" t="inlineStr">
        <is>
          <t xml:space="preserve">
Pour accompagner le secrétaire parlementaire à une annonce pour la politique alimentaire à Jean Talon Market</t>
        </is>
      </c>
      <c r="H755" s="1" t="n">
        <v>42887</v>
      </c>
      <c r="I755" s="1" t="n">
        <v>42889</v>
      </c>
      <c r="J755" t="inlineStr">
        <is>
          <t>Montréal, Québec</t>
        </is>
      </c>
      <c r="K755" t="inlineStr">
        <is>
          <t>Montréal, Québec</t>
        </is>
      </c>
      <c r="Q755" t="n">
        <v>132.99</v>
      </c>
      <c r="R755" t="n">
        <v>296.32</v>
      </c>
      <c r="S755" t="n">
        <v>115.75</v>
      </c>
      <c r="U755" t="n">
        <v>545.0599999999999</v>
      </c>
      <c r="V755" t="n">
        <v>1900024143</v>
      </c>
      <c r="X755" t="inlineStr">
        <is>
          <t>aafc-aac</t>
        </is>
      </c>
      <c r="Y755" t="inlineStr">
        <is>
          <t>Agriculture and Agri-Food Canada | Agriculture et Agroalimentaire Canada</t>
        </is>
      </c>
    </row>
    <row r="756">
      <c r="A756" t="inlineStr">
        <is>
          <t>T-2017-Q2-00046</t>
        </is>
      </c>
      <c r="B756" t="inlineStr">
        <is>
          <t>MPSES</t>
        </is>
      </c>
      <c r="C756" t="inlineStr">
        <is>
          <t>Parliamentary Secretary Assistant</t>
        </is>
      </c>
      <c r="D756" t="inlineStr">
        <is>
          <t>Adjoint du Secrétaire parlementaire</t>
        </is>
      </c>
      <c r="E756" t="inlineStr">
        <is>
          <t>Michel-Antoine Renaud</t>
        </is>
      </c>
      <c r="F756" t="inlineStr">
        <is>
          <t>To accompany the Parliamentary Secretary to an announcement with the Pork Producers of Quebec City</t>
        </is>
      </c>
      <c r="G756" t="inlineStr">
        <is>
          <t>Pour accompagner le secrétaire parlementaire à une annonce avec les producteurs de porc de la ville de Québec</t>
        </is>
      </c>
      <c r="H756" s="1" t="n">
        <v>42894</v>
      </c>
      <c r="I756" s="1" t="n">
        <v>42894</v>
      </c>
      <c r="J756" t="inlineStr">
        <is>
          <t>Québec, QC</t>
        </is>
      </c>
      <c r="K756" t="inlineStr">
        <is>
          <t>Québec, QC</t>
        </is>
      </c>
      <c r="P756" t="n">
        <v>501.69</v>
      </c>
      <c r="Q756" t="n">
        <v>364.26</v>
      </c>
      <c r="S756" t="n">
        <v>81.3</v>
      </c>
      <c r="U756" t="n">
        <v>947.25</v>
      </c>
      <c r="V756" t="n">
        <v>1900030901</v>
      </c>
      <c r="X756" t="inlineStr">
        <is>
          <t>aafc-aac</t>
        </is>
      </c>
      <c r="Y756" t="inlineStr">
        <is>
          <t>Agriculture and Agri-Food Canada | Agriculture et Agroalimentaire Canada</t>
        </is>
      </c>
    </row>
    <row r="757">
      <c r="A757" t="inlineStr">
        <is>
          <t>T-2017-Q2-00066</t>
        </is>
      </c>
      <c r="B757" t="inlineStr">
        <is>
          <t>MPSES</t>
        </is>
      </c>
      <c r="C757" t="inlineStr">
        <is>
          <t>Policy Advisor</t>
        </is>
      </c>
      <c r="D757" t="inlineStr">
        <is>
          <t>Conseillère en politiques</t>
        </is>
      </c>
      <c r="E757" t="inlineStr">
        <is>
          <t>Sangeeta Lalli</t>
        </is>
      </c>
      <c r="F757" t="inlineStr">
        <is>
          <t>To accompany the Minister to announce the launch of the Atlantic Trade and Investment Strategy and participate in a roundtable with the agriculture Sector from Atlantic Canada.</t>
        </is>
      </c>
      <c r="G757" t="inlineStr">
        <is>
          <t>Pour accompagner le ministre pour annoncer le lancement de la Stratégie de commerce et d'investissement de l'Atlantique et participer à une table ronde avec le secteur de l'agriculture du Canada atlantique</t>
        </is>
      </c>
      <c r="H757" s="1" t="n">
        <v>42919</v>
      </c>
      <c r="I757" s="1" t="n">
        <v>42920</v>
      </c>
      <c r="J757" t="inlineStr">
        <is>
          <t>Saint-John, NB</t>
        </is>
      </c>
      <c r="K757" t="inlineStr">
        <is>
          <t>Saint-John, NB</t>
        </is>
      </c>
      <c r="P757" t="n">
        <v>951.11</v>
      </c>
      <c r="Q757" t="n">
        <v>473.62</v>
      </c>
      <c r="R757" t="n">
        <v>165.83</v>
      </c>
      <c r="S757" t="n">
        <v>196.15</v>
      </c>
      <c r="U757" t="n">
        <v>1786.71</v>
      </c>
      <c r="V757" t="n">
        <v>1900041905</v>
      </c>
      <c r="X757" t="inlineStr">
        <is>
          <t>aafc-aac</t>
        </is>
      </c>
      <c r="Y757" t="inlineStr">
        <is>
          <t>Agriculture and Agri-Food Canada | Agriculture et Agroalimentaire Canada</t>
        </is>
      </c>
    </row>
    <row r="758">
      <c r="A758" t="inlineStr">
        <is>
          <t>T-2017-Q2-00071</t>
        </is>
      </c>
      <c r="B758" t="inlineStr">
        <is>
          <t>MPSES</t>
        </is>
      </c>
      <c r="C758" t="inlineStr">
        <is>
          <t>Policy Advisor</t>
        </is>
      </c>
      <c r="D758" t="inlineStr">
        <is>
          <t>Conseillère en politiques</t>
        </is>
      </c>
      <c r="E758" t="inlineStr">
        <is>
          <t>Alison Porter</t>
        </is>
      </c>
      <c r="F758" t="inlineStr">
        <is>
          <t>To accompany the Minister to announce the launch of the Atlantic Trade and Investment Strategy and participate in a Roundtable with the Agriculture Sector from Atlantic canada</t>
        </is>
      </c>
      <c r="G758" t="inlineStr">
        <is>
          <t>Pour accompagner le ministre pour annoncer le lancement de la Stratégie de commerce et d'investissement de l'Atlantique et participer à une table ronde avec le secteur de l'agriculture du Canada atlantique</t>
        </is>
      </c>
      <c r="H758" s="1" t="n">
        <v>42919</v>
      </c>
      <c r="I758" s="1" t="n">
        <v>42920</v>
      </c>
      <c r="J758" t="inlineStr">
        <is>
          <t>St John, NB</t>
        </is>
      </c>
      <c r="K758" t="inlineStr">
        <is>
          <t>St John, NB</t>
        </is>
      </c>
      <c r="P758" t="n">
        <v>1074.28</v>
      </c>
      <c r="Q758" t="n">
        <v>30</v>
      </c>
      <c r="R758" t="n">
        <v>165.83</v>
      </c>
      <c r="S758" t="n">
        <v>97.7</v>
      </c>
      <c r="U758" t="n">
        <v>1367.81</v>
      </c>
      <c r="V758" t="n">
        <v>1900041902</v>
      </c>
      <c r="X758" t="inlineStr">
        <is>
          <t>aafc-aac</t>
        </is>
      </c>
      <c r="Y758" t="inlineStr">
        <is>
          <t>Agriculture and Agri-Food Canada | Agriculture et Agroalimentaire Canada</t>
        </is>
      </c>
    </row>
    <row r="759">
      <c r="A759" t="inlineStr">
        <is>
          <t>T-2017-Q3-00012</t>
        </is>
      </c>
      <c r="B759" t="inlineStr">
        <is>
          <t>SLE</t>
        </is>
      </c>
      <c r="C759" t="inlineStr">
        <is>
          <t>Assistant Deputy Minister, Science and Technology Branch</t>
        </is>
      </c>
      <c r="D759" t="inlineStr">
        <is>
          <t>Sous-ministre adjoint, Direction générale des sciences et de la technologie</t>
        </is>
      </c>
      <c r="E759" t="inlineStr">
        <is>
          <t>Brian Gray</t>
        </is>
      </c>
      <c r="F759" t="inlineStr">
        <is>
          <t>Saskatoon Research and Development Centre Outreach Visit.</t>
        </is>
      </c>
      <c r="G759" t="inlineStr">
        <is>
          <t>Visite de sensibilisation au Centre de recherche et de développement de Saskatoon.</t>
        </is>
      </c>
      <c r="H759" s="1" t="n">
        <v>42997</v>
      </c>
      <c r="I759" s="1" t="n">
        <v>43000</v>
      </c>
      <c r="J759" t="inlineStr">
        <is>
          <t>Saskatoon, Saskatchewan</t>
        </is>
      </c>
      <c r="K759" t="inlineStr">
        <is>
          <t>Saskatoon, Saskatchewan</t>
        </is>
      </c>
      <c r="P759" t="n">
        <v>757</v>
      </c>
      <c r="Q759" t="n">
        <v>137.53</v>
      </c>
      <c r="R759" t="n">
        <v>579.66</v>
      </c>
      <c r="S759" t="n">
        <v>312.65</v>
      </c>
      <c r="U759" t="n">
        <v>1786.84</v>
      </c>
      <c r="V759" t="inlineStr">
        <is>
          <t>AJD983641</t>
        </is>
      </c>
      <c r="X759" t="inlineStr">
        <is>
          <t>aafc-aac</t>
        </is>
      </c>
      <c r="Y759" t="inlineStr">
        <is>
          <t>Agriculture and Agri-Food Canada | Agriculture et Agroalimentaire Canada</t>
        </is>
      </c>
    </row>
    <row r="760">
      <c r="A760" t="inlineStr">
        <is>
          <t>T-2017-Q3-00013</t>
        </is>
      </c>
      <c r="B760" t="inlineStr">
        <is>
          <t>SLE</t>
        </is>
      </c>
      <c r="C760" t="inlineStr">
        <is>
          <t>Assistant Deputy Minister, Science and Technology Branch</t>
        </is>
      </c>
      <c r="D760" t="inlineStr">
        <is>
          <t>Sous-ministre adjoint, Direction générale des sciences et de la technologie</t>
        </is>
      </c>
      <c r="E760" t="inlineStr">
        <is>
          <t>Brian Gray</t>
        </is>
      </c>
      <c r="F760" t="inlineStr">
        <is>
          <t>Tetrapartite.</t>
        </is>
      </c>
      <c r="G760" t="inlineStr">
        <is>
          <t>Tétrapartite.</t>
        </is>
      </c>
      <c r="H760" s="1" t="n">
        <v>43022</v>
      </c>
      <c r="I760" s="1" t="n">
        <v>43027</v>
      </c>
      <c r="J760" t="inlineStr">
        <is>
          <t xml:space="preserve">Bedfordshire, United Kingdom </t>
        </is>
      </c>
      <c r="K760" t="inlineStr">
        <is>
          <t>Bedfordshire, Royaume-Uni</t>
        </is>
      </c>
      <c r="P760" t="n">
        <v>7467.44</v>
      </c>
      <c r="Q760" t="n">
        <v>189.96</v>
      </c>
      <c r="R760" t="n">
        <v>788.88</v>
      </c>
      <c r="S760" t="n">
        <v>345.45</v>
      </c>
      <c r="U760" t="n">
        <v>8791.73</v>
      </c>
      <c r="V760" t="inlineStr">
        <is>
          <t>AJD947146</t>
        </is>
      </c>
      <c r="X760" t="inlineStr">
        <is>
          <t>aafc-aac</t>
        </is>
      </c>
      <c r="Y760" t="inlineStr">
        <is>
          <t>Agriculture and Agri-Food Canada | Agriculture et Agroalimentaire Canada</t>
        </is>
      </c>
    </row>
    <row r="761">
      <c r="A761" t="inlineStr">
        <is>
          <t>T-2017-Q3-00014</t>
        </is>
      </c>
      <c r="B761" t="inlineStr">
        <is>
          <t>SLE</t>
        </is>
      </c>
      <c r="C761" t="inlineStr">
        <is>
          <t>Assistant Deputy Minister, Science and Technology Branch</t>
        </is>
      </c>
      <c r="D761" t="inlineStr">
        <is>
          <t>Sous-ministre adjoint, Direction générale des sciences et de la technologie</t>
        </is>
      </c>
      <c r="E761" t="inlineStr">
        <is>
          <t>Brian Gray</t>
        </is>
      </c>
      <c r="F761" t="inlineStr">
        <is>
          <t xml:space="preserve">Research and Development Centre Outreach Visits. </t>
        </is>
      </c>
      <c r="G761" t="inlineStr">
        <is>
          <t xml:space="preserve">Visite de sensibilisation aux Centre de recherche et de développement. </t>
        </is>
      </c>
      <c r="H761" s="1" t="n">
        <v>43038</v>
      </c>
      <c r="I761" s="1" t="n">
        <v>43040</v>
      </c>
      <c r="J761" t="inlineStr">
        <is>
          <t>St-Jean-sur-Richelieu, Sherbrooke, St-Hyacinthe, Quebec</t>
        </is>
      </c>
      <c r="K761" t="inlineStr">
        <is>
          <t>St-Jean-sur-Richelieu, Sherbrooke, St-Hyacinthe, Québec</t>
        </is>
      </c>
      <c r="Q761" t="n">
        <v>353.58</v>
      </c>
      <c r="R761" t="n">
        <v>298.69</v>
      </c>
      <c r="S761" t="n">
        <v>269.75</v>
      </c>
      <c r="U761" t="n">
        <v>922.02</v>
      </c>
      <c r="V761" t="inlineStr">
        <is>
          <t>AJD901804</t>
        </is>
      </c>
      <c r="X761" t="inlineStr">
        <is>
          <t>aafc-aac</t>
        </is>
      </c>
      <c r="Y761" t="inlineStr">
        <is>
          <t>Agriculture and Agri-Food Canada | Agriculture et Agroalimentaire Canada</t>
        </is>
      </c>
    </row>
    <row r="762">
      <c r="A762" t="inlineStr">
        <is>
          <t>T-2017-Q3-00015</t>
        </is>
      </c>
      <c r="B762" t="inlineStr">
        <is>
          <t>SLE</t>
        </is>
      </c>
      <c r="C762" t="inlineStr">
        <is>
          <t>Assistant Deputy Minister, Science and Technology Branch</t>
        </is>
      </c>
      <c r="D762" t="inlineStr">
        <is>
          <t>Sous-ministre adjoint, Direction générale des sciences et de la technologie</t>
        </is>
      </c>
      <c r="E762" t="inlineStr">
        <is>
          <t>Brian Gray</t>
        </is>
      </c>
      <c r="F762" t="inlineStr">
        <is>
          <t>G20 Germany 2017 - Meeting of Agricultural Chief Scientists.</t>
        </is>
      </c>
      <c r="G762" t="inlineStr">
        <is>
          <t>G20 Germany 2017 - Meeting of Agricultural Chief Scientists.</t>
        </is>
      </c>
      <c r="H762" s="1" t="n">
        <v>43050</v>
      </c>
      <c r="I762" s="1" t="n">
        <v>43055</v>
      </c>
      <c r="J762" t="inlineStr">
        <is>
          <t>Potsdam, Germany</t>
        </is>
      </c>
      <c r="K762" t="inlineStr">
        <is>
          <t>Potsdam, Allemagne</t>
        </is>
      </c>
      <c r="P762" t="n">
        <v>5937.1</v>
      </c>
      <c r="Q762" t="n">
        <v>280.39</v>
      </c>
      <c r="R762" t="n">
        <v>661.3200000000001</v>
      </c>
      <c r="S762" t="n">
        <v>461.83</v>
      </c>
      <c r="U762" t="n">
        <v>7340.64</v>
      </c>
      <c r="V762" t="inlineStr">
        <is>
          <t>AJD953141</t>
        </is>
      </c>
      <c r="X762" t="inlineStr">
        <is>
          <t>aafc-aac</t>
        </is>
      </c>
      <c r="Y762" t="inlineStr">
        <is>
          <t>Agriculture and Agri-Food Canada | Agriculture et Agroalimentaire Canada</t>
        </is>
      </c>
    </row>
    <row r="763">
      <c r="A763" t="inlineStr">
        <is>
          <t>T-2017-Q3-00016</t>
        </is>
      </c>
      <c r="B763" t="inlineStr">
        <is>
          <t>SLE</t>
        </is>
      </c>
      <c r="C763" t="inlineStr">
        <is>
          <t>Assistant Deputy Minister, Science and Technology Branch</t>
        </is>
      </c>
      <c r="D763" t="inlineStr">
        <is>
          <t>Sous-ministre adjoint, Direction générale des sciences et de la technologie</t>
        </is>
      </c>
      <c r="E763" t="inlineStr">
        <is>
          <t>Brian Gray</t>
        </is>
      </c>
      <c r="F763" t="inlineStr">
        <is>
          <t>Agassiz Research and Development Centre Outreach Visit.</t>
        </is>
      </c>
      <c r="G763" t="inlineStr">
        <is>
          <t>Visite de sensibilisation au Centre de recherche et de développement de Agassiz.</t>
        </is>
      </c>
      <c r="H763" s="1" t="n">
        <v>43067</v>
      </c>
      <c r="I763" s="1" t="n">
        <v>43070</v>
      </c>
      <c r="J763" t="inlineStr">
        <is>
          <t>Agassiz, British Columbia</t>
        </is>
      </c>
      <c r="K763" t="inlineStr">
        <is>
          <t>Agassiz, Colombie-Britannique</t>
        </is>
      </c>
      <c r="P763" t="n">
        <v>1265.91</v>
      </c>
      <c r="Q763" t="n">
        <v>316.61</v>
      </c>
      <c r="R763" t="n">
        <v>346.46</v>
      </c>
      <c r="S763" t="n">
        <v>287.05</v>
      </c>
      <c r="U763" t="n">
        <v>2216.03</v>
      </c>
      <c r="V763" t="inlineStr">
        <is>
          <t>AJD970109</t>
        </is>
      </c>
      <c r="X763" t="inlineStr">
        <is>
          <t>aafc-aac</t>
        </is>
      </c>
      <c r="Y763" t="inlineStr">
        <is>
          <t>Agriculture and Agri-Food Canada | Agriculture et Agroalimentaire Canada</t>
        </is>
      </c>
    </row>
    <row r="764">
      <c r="A764" t="inlineStr">
        <is>
          <t>T-2017-Q3-00017</t>
        </is>
      </c>
      <c r="B764" t="inlineStr">
        <is>
          <t>SLE</t>
        </is>
      </c>
      <c r="C764" t="inlineStr">
        <is>
          <t>Chief Information Officer</t>
        </is>
      </c>
      <c r="D764" t="inlineStr">
        <is>
          <t>Dirigeant principal de l'information</t>
        </is>
      </c>
      <c r="E764" t="inlineStr">
        <is>
          <t>Michel Lessard</t>
        </is>
      </c>
      <c r="F764" t="inlineStr">
        <is>
          <t>Gartner Symposium</t>
        </is>
      </c>
      <c r="G764" t="inlineStr">
        <is>
          <t>Symposium Gartner</t>
        </is>
      </c>
      <c r="H764" s="1" t="n">
        <v>43009</v>
      </c>
      <c r="I764" s="1" t="n">
        <v>43014</v>
      </c>
      <c r="J764" t="inlineStr">
        <is>
          <t>Orlando, Florida</t>
        </is>
      </c>
      <c r="K764" t="inlineStr">
        <is>
          <t>Orlando, Floride</t>
        </is>
      </c>
      <c r="P764" t="n">
        <v>1062.81</v>
      </c>
      <c r="Q764" t="n">
        <v>75.75</v>
      </c>
      <c r="R764" t="n">
        <v>2651.33</v>
      </c>
      <c r="S764" t="n">
        <v>381.1</v>
      </c>
      <c r="U764" t="n">
        <v>4170.99</v>
      </c>
      <c r="V764" t="inlineStr">
        <is>
          <t>AJE411610</t>
        </is>
      </c>
      <c r="X764" t="inlineStr">
        <is>
          <t>aafc-aac</t>
        </is>
      </c>
      <c r="Y764" t="inlineStr">
        <is>
          <t>Agriculture and Agri-Food Canada | Agriculture et Agroalimentaire Canada</t>
        </is>
      </c>
    </row>
    <row r="765">
      <c r="A765" t="inlineStr">
        <is>
          <t>T-2017-Q3-00021</t>
        </is>
      </c>
      <c r="B765" t="inlineStr">
        <is>
          <t>SLE</t>
        </is>
      </c>
      <c r="C765" t="inlineStr">
        <is>
          <t>Assistant Deputy Minister, Strategic Policy Branch</t>
        </is>
      </c>
      <c r="D765" t="inlineStr">
        <is>
          <t>Sous-ministre adjoint, Direction générale des politiques stratégiques</t>
        </is>
      </c>
      <c r="E765" t="inlineStr">
        <is>
          <t>Tom Rosser</t>
        </is>
      </c>
      <c r="F765" t="inlineStr">
        <is>
          <t>To attend Policy Food Engagement Sessions.</t>
        </is>
      </c>
      <c r="G765" t="inlineStr">
        <is>
          <t>Pour assister au séances d'engagement à propos d'une politique alimentaire.</t>
        </is>
      </c>
      <c r="H765" s="1" t="n">
        <v>42982</v>
      </c>
      <c r="I765" s="1" t="n">
        <v>42987</v>
      </c>
      <c r="J765" t="inlineStr">
        <is>
          <t>Vancouver, British Columbia, Winnipeg, Manitoba, Yellowknife, Northwest Territories</t>
        </is>
      </c>
      <c r="K765" t="inlineStr">
        <is>
          <t>Vancouver, Colombie-Britannique Winnipeg, Manitoba, Yellowknife, Territoires du Nord-Ouest</t>
        </is>
      </c>
      <c r="P765" t="n">
        <v>3896.79</v>
      </c>
      <c r="Q765" t="n">
        <v>264.61</v>
      </c>
      <c r="R765" t="n">
        <v>869.5599999999999</v>
      </c>
      <c r="S765" t="n">
        <v>625.6</v>
      </c>
      <c r="U765" t="n">
        <v>5656.56</v>
      </c>
      <c r="V765" t="inlineStr">
        <is>
          <t>AJE615347</t>
        </is>
      </c>
      <c r="X765" t="inlineStr">
        <is>
          <t>aafc-aac</t>
        </is>
      </c>
      <c r="Y765" t="inlineStr">
        <is>
          <t>Agriculture and Agri-Food Canada | Agriculture et Agroalimentaire Canada</t>
        </is>
      </c>
    </row>
    <row r="766">
      <c r="A766" t="inlineStr">
        <is>
          <t>T-2017-Q3-00023</t>
        </is>
      </c>
      <c r="B766" t="inlineStr">
        <is>
          <t>SLE</t>
        </is>
      </c>
      <c r="C766" t="inlineStr">
        <is>
          <t>Assistant Deputy Minister, Strategic Policy Branch</t>
        </is>
      </c>
      <c r="D766" t="inlineStr">
        <is>
          <t>Sous-ministre adjoint, Direction générale des politiques stratégiques</t>
        </is>
      </c>
      <c r="E766" t="inlineStr">
        <is>
          <t>Tom Rosser</t>
        </is>
      </c>
      <c r="F766" t="inlineStr">
        <is>
          <t>To attend the First Nations Agriculture Forum.</t>
        </is>
      </c>
      <c r="G766" t="inlineStr">
        <is>
          <t>Pour assister au Forum d'agriculture des Premières Nations.</t>
        </is>
      </c>
      <c r="H766" s="1" t="n">
        <v>43025</v>
      </c>
      <c r="I766" s="1" t="n">
        <v>43027</v>
      </c>
      <c r="J766" t="inlineStr">
        <is>
          <t>Kelowna, British Columbia</t>
        </is>
      </c>
      <c r="K766" t="inlineStr">
        <is>
          <t>Kelowna, Colombie-Britannique</t>
        </is>
      </c>
      <c r="P766" t="n">
        <v>3419.98</v>
      </c>
      <c r="Q766" t="n">
        <v>115.8</v>
      </c>
      <c r="R766" t="n">
        <v>424.38</v>
      </c>
      <c r="S766" t="n">
        <v>203.7</v>
      </c>
      <c r="U766" t="n">
        <v>4163.86</v>
      </c>
      <c r="V766" t="inlineStr">
        <is>
          <t>AJE615347</t>
        </is>
      </c>
      <c r="X766" t="inlineStr">
        <is>
          <t>aafc-aac</t>
        </is>
      </c>
      <c r="Y766" t="inlineStr">
        <is>
          <t>Agriculture and Agri-Food Canada | Agriculture et Agroalimentaire Canada</t>
        </is>
      </c>
    </row>
    <row r="767">
      <c r="A767" t="inlineStr">
        <is>
          <t>T-2017-Q3-00027</t>
        </is>
      </c>
      <c r="B767" t="inlineStr">
        <is>
          <t>SLE</t>
        </is>
      </c>
      <c r="C767" t="inlineStr">
        <is>
          <t>Associate Assistant Deputy Minister</t>
        </is>
      </c>
      <c r="D767" t="inlineStr">
        <is>
          <t>Sous-ministre adjoint délégué</t>
        </is>
      </c>
      <c r="E767" t="inlineStr">
        <is>
          <t>Gilles Saindon</t>
        </is>
      </c>
      <c r="F767" t="inlineStr">
        <is>
          <t>Outreach at the Research and Development Center, all staff meeting and meeting with Provincial Counterparts.</t>
        </is>
      </c>
      <c r="G767" t="inlineStr">
        <is>
          <t>Visite de sensibilisation au Centre de recherche et développement, réunions avec tous le personnel et réunions avec des collègues du gouvernment provincial.</t>
        </is>
      </c>
      <c r="H767" s="1" t="n">
        <v>43012</v>
      </c>
      <c r="I767" s="1" t="n">
        <v>43014</v>
      </c>
      <c r="J767" t="inlineStr">
        <is>
          <t>Regina, Saskatchewan</t>
        </is>
      </c>
      <c r="K767" t="inlineStr">
        <is>
          <t>Régina, Saskatchewan</t>
        </is>
      </c>
      <c r="P767" t="n">
        <v>786.29</v>
      </c>
      <c r="Q767" t="n">
        <v>172</v>
      </c>
      <c r="R767" t="n">
        <v>340.7</v>
      </c>
      <c r="S767" t="n">
        <v>241.5</v>
      </c>
      <c r="U767" t="n">
        <v>1540.49</v>
      </c>
      <c r="V767" t="inlineStr">
        <is>
          <t>AJD907498</t>
        </is>
      </c>
      <c r="X767" t="inlineStr">
        <is>
          <t>aafc-aac</t>
        </is>
      </c>
      <c r="Y767" t="inlineStr">
        <is>
          <t>Agriculture and Agri-Food Canada | Agriculture et Agroalimentaire Canada</t>
        </is>
      </c>
    </row>
    <row r="768">
      <c r="A768" t="inlineStr">
        <is>
          <t>T-2017-Q3-00045</t>
        </is>
      </c>
      <c r="B768" t="inlineStr">
        <is>
          <t>MPSES</t>
        </is>
      </c>
      <c r="C768" t="inlineStr">
        <is>
          <t>Parliamentary Secretary Assistant</t>
        </is>
      </c>
      <c r="D768" t="inlineStr">
        <is>
          <t>Adjoint du Secrétaire parlementaire</t>
        </is>
      </c>
      <c r="E768" t="inlineStr">
        <is>
          <t>Michel-Antoine Renaud</t>
        </is>
      </c>
      <c r="F768" t="inlineStr">
        <is>
          <t>To accompany the Parliamentary Secretary to an announcement for the Inauguration and visit of the new facilities at the University Laval Agronomy Station in Saint - Augustin. Announcement for Canadian Agricultural Adaptation. Meeting with the Quebec Cranberry Growers' Association, Visit a Cranberry Farm.</t>
        </is>
      </c>
      <c r="G768" t="inlineStr">
        <is>
          <t xml:space="preserve">Pour accompagner le secrétaire parlementaire à une annonce d'une Inauguration et la visite des nouvelles installations de la Station Agronomique à l'Université Laval Ó Saint - Augustin. Une annonce pour l'adaptation agricole Canadienne. Rencontre avec l'Association des Producteurs de Canneberges de Québec, Visite d'une Ferme de Canneberges. </t>
        </is>
      </c>
      <c r="H768" s="1" t="n">
        <v>43018</v>
      </c>
      <c r="I768" s="1" t="n">
        <v>43021</v>
      </c>
      <c r="J768" t="inlineStr">
        <is>
          <t>Trois-Rivières, Quebec</t>
        </is>
      </c>
      <c r="K768" t="inlineStr">
        <is>
          <t>Trois-Rivières, Québec</t>
        </is>
      </c>
      <c r="Q768" t="n">
        <v>274.98</v>
      </c>
      <c r="R768" t="n">
        <v>240.16</v>
      </c>
      <c r="S768" t="n">
        <v>203.3</v>
      </c>
      <c r="T768" t="n">
        <v>34.51</v>
      </c>
      <c r="U768" t="n">
        <v>752.95</v>
      </c>
      <c r="V768" t="n">
        <v>1900092520</v>
      </c>
      <c r="X768" t="inlineStr">
        <is>
          <t>aafc-aac</t>
        </is>
      </c>
      <c r="Y768" t="inlineStr">
        <is>
          <t>Agriculture and Agri-Food Canada | Agriculture et Agroalimentaire Canada</t>
        </is>
      </c>
    </row>
    <row r="769">
      <c r="A769" t="inlineStr">
        <is>
          <t>T-2017-Q3-00046</t>
        </is>
      </c>
      <c r="B769" t="inlineStr">
        <is>
          <t>MPSES</t>
        </is>
      </c>
      <c r="C769" t="inlineStr">
        <is>
          <t>Parliamentary Secretary Assistant</t>
        </is>
      </c>
      <c r="D769" t="inlineStr">
        <is>
          <t>Adjoint du Secrétaire parlementaire</t>
        </is>
      </c>
      <c r="E769" t="inlineStr">
        <is>
          <t>Michel-Antoine Renaud</t>
        </is>
      </c>
      <c r="F769" t="inlineStr">
        <is>
          <t>To accompany the Parliamentary Secretary  Gala Saturne - honoring outstanding women in agriculture &amp; Congrès de l'érable 2017 - North American Maple Syrup industry annual meeting in Lévis, Quebec.</t>
        </is>
      </c>
      <c r="G769" t="inlineStr">
        <is>
          <t>Pour accompagner le secrétaire parlementaire au Gala Saturne - honorer des femmes exceptionnelles en agriculture et Congrès de l'érable 2017 - Réunion annuelle de l'industrie du sirop d'érable Nord-Américain à Lévis, Québec.</t>
        </is>
      </c>
      <c r="H769" s="1" t="n">
        <v>43029</v>
      </c>
      <c r="I769" s="1" t="n">
        <v>43032</v>
      </c>
      <c r="J769" t="inlineStr">
        <is>
          <t>Lévis, Quebec</t>
        </is>
      </c>
      <c r="K769" t="inlineStr">
        <is>
          <t>Lévis, Québec</t>
        </is>
      </c>
      <c r="Q769" t="n">
        <v>249.56</v>
      </c>
      <c r="R769" t="n">
        <v>221.34</v>
      </c>
      <c r="S769" t="n">
        <v>288.85</v>
      </c>
      <c r="T769" t="n">
        <v>5.6</v>
      </c>
      <c r="U769" t="n">
        <v>765.35</v>
      </c>
      <c r="V769" t="n">
        <v>1900092523</v>
      </c>
      <c r="X769" t="inlineStr">
        <is>
          <t>aafc-aac</t>
        </is>
      </c>
      <c r="Y769" t="inlineStr">
        <is>
          <t>Agriculture and Agri-Food Canada | Agriculture et Agroalimentaire Canada</t>
        </is>
      </c>
    </row>
    <row r="770">
      <c r="A770" t="inlineStr">
        <is>
          <t>T-2017-Q3-00049</t>
        </is>
      </c>
      <c r="B770" t="inlineStr">
        <is>
          <t>MPSES</t>
        </is>
      </c>
      <c r="C770" t="inlineStr">
        <is>
          <t>Parliamentary Secretary</t>
        </is>
      </c>
      <c r="D770" t="inlineStr">
        <is>
          <t>Secrétaire parlementaire</t>
        </is>
      </c>
      <c r="E770" t="inlineStr">
        <is>
          <t>Jean-Claude Poissant</t>
        </is>
      </c>
      <c r="F770" t="inlineStr">
        <is>
          <t>To attend an announcement for the inauguration and visit of the new facilities at the University Laval Agronomy Station in Saint - Augustin. Announcement for Canadian Agricultural Adaptation. Meeting with the Quebec Cranberry Growers' Association, visit a Cranberry Farm.</t>
        </is>
      </c>
      <c r="G770" t="inlineStr">
        <is>
          <t xml:space="preserve">Participer à une annonce d'une Inauguration et la visite des nouvelles installations de la Station Agronomique à l'Université Laval à Saint - Augustin. Une annonce pour l'adaptation agricole Canadienne. Rencontre avec l'Association des Producteurs de Canneberges du Québec, Visite d'une Ferme de Canneberges. </t>
        </is>
      </c>
      <c r="H770" s="1" t="n">
        <v>43020</v>
      </c>
      <c r="I770" s="1" t="n">
        <v>43021</v>
      </c>
      <c r="J770" t="inlineStr">
        <is>
          <t>Trois-Rivières, Quebec</t>
        </is>
      </c>
      <c r="K770" t="inlineStr">
        <is>
          <t>Trois-Rivières, Québec</t>
        </is>
      </c>
      <c r="R770" t="n">
        <v>105.92</v>
      </c>
      <c r="S770" t="n">
        <v>119.75</v>
      </c>
      <c r="U770" t="n">
        <v>225.67</v>
      </c>
      <c r="V770" t="n">
        <v>1900092514</v>
      </c>
      <c r="X770" t="inlineStr">
        <is>
          <t>aafc-aac</t>
        </is>
      </c>
      <c r="Y770" t="inlineStr">
        <is>
          <t>Agriculture and Agri-Food Canada | Agriculture et Agroalimentaire Canada</t>
        </is>
      </c>
    </row>
    <row r="771">
      <c r="A771" t="inlineStr">
        <is>
          <t>T-2017-Q3-00050</t>
        </is>
      </c>
      <c r="B771" t="inlineStr">
        <is>
          <t>MPSES</t>
        </is>
      </c>
      <c r="C771" t="inlineStr">
        <is>
          <t>Parliamentary Secretary</t>
        </is>
      </c>
      <c r="D771" t="inlineStr">
        <is>
          <t>Secrétaire parlementaire</t>
        </is>
      </c>
      <c r="E771" t="inlineStr">
        <is>
          <t>Jean-Claude Poissant</t>
        </is>
      </c>
      <c r="F771" t="inlineStr">
        <is>
          <t>To attend the Gala Saturne - honoring outstanding women in agriculture &amp; Congrès de l'érabre 2017 - North American Maple Syrup industry annual meeting in Levis, Quebec.</t>
        </is>
      </c>
      <c r="G771" t="inlineStr">
        <is>
          <t>Assister au Gala Saturne - honorer des femmes exceptionnelles en agriculture et Congrès de l'érable 2017 - Réunion annuelle de l'industrie du du sirop d'érable Nord-Américain à Lévis, Québec</t>
        </is>
      </c>
      <c r="H771" s="1" t="n">
        <v>43029</v>
      </c>
      <c r="I771" s="1" t="n">
        <v>43031</v>
      </c>
      <c r="J771" t="inlineStr">
        <is>
          <t>Lévis, Quebec</t>
        </is>
      </c>
      <c r="K771" t="inlineStr">
        <is>
          <t>Lévis, Québec</t>
        </is>
      </c>
      <c r="R771" t="n">
        <v>221.34</v>
      </c>
      <c r="S771" t="n">
        <v>288.85</v>
      </c>
      <c r="U771" t="n">
        <v>510.19</v>
      </c>
      <c r="V771" t="n">
        <v>1900092517</v>
      </c>
      <c r="X771" t="inlineStr">
        <is>
          <t>aafc-aac</t>
        </is>
      </c>
      <c r="Y771" t="inlineStr">
        <is>
          <t>Agriculture and Agri-Food Canada | Agriculture et Agroalimentaire Canada</t>
        </is>
      </c>
    </row>
    <row r="772">
      <c r="A772" t="inlineStr">
        <is>
          <t>T-2017-Q3-00052</t>
        </is>
      </c>
      <c r="B772" t="inlineStr">
        <is>
          <t>MPSES</t>
        </is>
      </c>
      <c r="C772" t="inlineStr">
        <is>
          <t>Chief of Staff</t>
        </is>
      </c>
      <c r="D772" t="inlineStr">
        <is>
          <t>Chef de cabinet</t>
        </is>
      </c>
      <c r="E772" t="inlineStr">
        <is>
          <t>Mary Jean McFall</t>
        </is>
      </c>
      <c r="F772" t="inlineStr">
        <is>
          <t xml:space="preserve">To Accompany the Minister to the National Association of States Department of Agriculture Annual meeting in New Orleans, Louisiana. </t>
        </is>
      </c>
      <c r="G772" t="inlineStr">
        <is>
          <t>Accompagner le ministre à la réunion annuelle du ministère de l'Agriculture de la National Association of States à la Nouvelle-Orléans, en Louisiane.</t>
        </is>
      </c>
      <c r="H772" s="1" t="n">
        <v>42990</v>
      </c>
      <c r="I772" s="1" t="n">
        <v>42994</v>
      </c>
      <c r="J772" t="inlineStr">
        <is>
          <t>New Orleans, Louisiana</t>
        </is>
      </c>
      <c r="K772" t="inlineStr">
        <is>
          <t>Nouvelle-Orleans, Louisiane</t>
        </is>
      </c>
      <c r="P772" t="n">
        <v>2137</v>
      </c>
      <c r="Q772" t="n">
        <v>23</v>
      </c>
      <c r="R772" t="n">
        <v>982.37</v>
      </c>
      <c r="S772" t="n">
        <v>454.24</v>
      </c>
      <c r="T772" t="n">
        <v>335.2</v>
      </c>
      <c r="U772" t="n">
        <v>3931.81</v>
      </c>
      <c r="V772" t="n">
        <v>1900087373</v>
      </c>
      <c r="X772" t="inlineStr">
        <is>
          <t>aafc-aac</t>
        </is>
      </c>
      <c r="Y772" t="inlineStr">
        <is>
          <t>Agriculture and Agri-Food Canada | Agriculture et Agroalimentaire Canada</t>
        </is>
      </c>
    </row>
    <row r="773">
      <c r="A773" t="inlineStr">
        <is>
          <t>T-2017-Q3-00056</t>
        </is>
      </c>
      <c r="B773" t="inlineStr">
        <is>
          <t>MPSES</t>
        </is>
      </c>
      <c r="C773" t="inlineStr">
        <is>
          <t>Minister</t>
        </is>
      </c>
      <c r="D773" t="inlineStr">
        <is>
          <t>Ministre</t>
        </is>
      </c>
      <c r="E773" t="inlineStr">
        <is>
          <t>Lawrence MacAulay</t>
        </is>
      </c>
      <c r="F773" t="inlineStr">
        <is>
          <t>To attend the National Association of State Departments of Agriculture annual Meeting in New Orleans, Louisiana.</t>
        </is>
      </c>
      <c r="G773" t="inlineStr">
        <is>
          <t>Assister à l'assemblée annuelle de l'Association nationale des ministères de l'état de l'agriculture à la Nouvelle-Orléans, en Louisiane.</t>
        </is>
      </c>
      <c r="H773" s="1" t="n">
        <v>42990</v>
      </c>
      <c r="I773" s="1" t="n">
        <v>42994</v>
      </c>
      <c r="J773" t="inlineStr">
        <is>
          <t>New Orleans, Louisiana</t>
        </is>
      </c>
      <c r="K773" t="inlineStr">
        <is>
          <t>Nouvelle-Orleans, Louisiane</t>
        </is>
      </c>
      <c r="P773" t="n">
        <v>2886.35</v>
      </c>
      <c r="R773" t="n">
        <v>982.37</v>
      </c>
      <c r="S773" t="n">
        <v>437.09</v>
      </c>
      <c r="U773" t="n">
        <v>4305.81</v>
      </c>
      <c r="V773" t="n">
        <v>1900079988</v>
      </c>
      <c r="X773" t="inlineStr">
        <is>
          <t>aafc-aac</t>
        </is>
      </c>
      <c r="Y773" t="inlineStr">
        <is>
          <t>Agriculture and Agri-Food Canada | Agriculture et Agroalimentaire Canada</t>
        </is>
      </c>
    </row>
    <row r="774">
      <c r="A774" t="inlineStr">
        <is>
          <t>T-2018-Q1-00040</t>
        </is>
      </c>
      <c r="B774" t="inlineStr">
        <is>
          <t>SLE</t>
        </is>
      </c>
      <c r="C774" t="inlineStr">
        <is>
          <t>Deputy Minister</t>
        </is>
      </c>
      <c r="D774" t="inlineStr">
        <is>
          <t>Sous-Ministre</t>
        </is>
      </c>
      <c r="E774" t="inlineStr">
        <is>
          <t>Chris Forbes</t>
        </is>
      </c>
      <c r="F774" t="inlineStr">
        <is>
          <t xml:space="preserve">Deputy Minister’s mission to Brussels </t>
        </is>
      </c>
      <c r="G774" t="inlineStr">
        <is>
          <t>Mission du sous-ministre à Bruxelles</t>
        </is>
      </c>
      <c r="H774" s="1" t="n">
        <v>43211</v>
      </c>
      <c r="I774" s="1" t="n">
        <v>43215</v>
      </c>
      <c r="J774" t="inlineStr">
        <is>
          <t>Brussels, Belgium</t>
        </is>
      </c>
      <c r="K774" t="inlineStr">
        <is>
          <t>Bruxelles, Belgique</t>
        </is>
      </c>
      <c r="P774" t="n">
        <v>2106</v>
      </c>
      <c r="Q774" t="n">
        <v>0</v>
      </c>
      <c r="R774" t="n">
        <v>1647.16</v>
      </c>
      <c r="S774" t="n">
        <v>182.64</v>
      </c>
      <c r="T774" t="n">
        <v>0</v>
      </c>
      <c r="U774" t="n">
        <v>3935.8</v>
      </c>
      <c r="X774" t="inlineStr">
        <is>
          <t>aafc-aac</t>
        </is>
      </c>
      <c r="Y774" t="inlineStr">
        <is>
          <t>Agriculture and Agri-Food Canada | Agriculture et Agroalimentaire Canada</t>
        </is>
      </c>
    </row>
    <row r="775">
      <c r="A775" t="inlineStr">
        <is>
          <t>T-2017-Q3-00078</t>
        </is>
      </c>
      <c r="B775" t="inlineStr">
        <is>
          <t>MPSES</t>
        </is>
      </c>
      <c r="C775" t="inlineStr">
        <is>
          <t>Communications Advisor</t>
        </is>
      </c>
      <c r="D775" t="inlineStr">
        <is>
          <t>Conseiller en communications</t>
        </is>
      </c>
      <c r="E775" t="inlineStr">
        <is>
          <t>Oliver Anderson</t>
        </is>
      </c>
      <c r="F775" t="inlineStr">
        <is>
          <t>To accompany the Minister to The Royal Winter Fair.</t>
        </is>
      </c>
      <c r="G775" t="inlineStr">
        <is>
          <t>Accompagner le Ministre à la Foire Royal d'Hiver.</t>
        </is>
      </c>
      <c r="H775" s="1" t="n">
        <v>43041</v>
      </c>
      <c r="I775" s="1" t="n">
        <v>43044</v>
      </c>
      <c r="J775" t="inlineStr">
        <is>
          <t>Toronto, Ontario</t>
        </is>
      </c>
      <c r="K775" t="inlineStr">
        <is>
          <t>Toronto, Ontario</t>
        </is>
      </c>
      <c r="P775" t="n">
        <v>623.1900000000001</v>
      </c>
      <c r="R775" t="n">
        <v>174</v>
      </c>
      <c r="S775" t="n">
        <v>119.95</v>
      </c>
      <c r="U775" t="n">
        <v>917.14</v>
      </c>
      <c r="V775" t="n">
        <v>1900092864</v>
      </c>
      <c r="X775" t="inlineStr">
        <is>
          <t>aafc-aac</t>
        </is>
      </c>
      <c r="Y775" t="inlineStr">
        <is>
          <t>Agriculture and Agri-Food Canada | Agriculture et Agroalimentaire Canada</t>
        </is>
      </c>
    </row>
    <row r="776">
      <c r="A776" t="inlineStr">
        <is>
          <t>T-2017-Q3-00060</t>
        </is>
      </c>
      <c r="B776" t="inlineStr">
        <is>
          <t>MPSES</t>
        </is>
      </c>
      <c r="C776" t="inlineStr">
        <is>
          <t>Minister</t>
        </is>
      </c>
      <c r="D776" t="inlineStr">
        <is>
          <t>Ministre</t>
        </is>
      </c>
      <c r="E776" t="inlineStr">
        <is>
          <t>Lawrence MacAulay</t>
        </is>
      </c>
      <c r="F776" t="inlineStr">
        <is>
          <t>Travel for the Agriculture and Agri-Food  ministerial Mission to China.</t>
        </is>
      </c>
      <c r="G776" t="inlineStr">
        <is>
          <t>Voyage pour la mission ministérielle d'Agriculture et Agroalimentaire en Chine.</t>
        </is>
      </c>
      <c r="H776" s="1" t="n">
        <v>43049</v>
      </c>
      <c r="I776" s="1" t="n">
        <v>43061</v>
      </c>
      <c r="J776" t="inlineStr">
        <is>
          <t>Beijing,China</t>
        </is>
      </c>
      <c r="K776" t="inlineStr">
        <is>
          <t>Pékin,Chine</t>
        </is>
      </c>
      <c r="P776" t="n">
        <v>6909.34</v>
      </c>
      <c r="R776" t="n">
        <v>3039.93</v>
      </c>
      <c r="S776" t="n">
        <v>1741.06</v>
      </c>
      <c r="U776" t="n">
        <v>11690.33</v>
      </c>
      <c r="V776" t="n">
        <v>1900099643</v>
      </c>
      <c r="X776" t="inlineStr">
        <is>
          <t>aafc-aac</t>
        </is>
      </c>
      <c r="Y776" t="inlineStr">
        <is>
          <t>Agriculture and Agri-Food Canada | Agriculture et Agroalimentaire Canada</t>
        </is>
      </c>
    </row>
    <row r="777">
      <c r="A777" t="inlineStr">
        <is>
          <t>T-2017-Q3-00064</t>
        </is>
      </c>
      <c r="B777" t="inlineStr">
        <is>
          <t>MPSES</t>
        </is>
      </c>
      <c r="C777" t="inlineStr">
        <is>
          <t>Director of Communications</t>
        </is>
      </c>
      <c r="D777" t="inlineStr">
        <is>
          <t>Directeur des communications</t>
        </is>
      </c>
      <c r="E777" t="inlineStr">
        <is>
          <t>Guy Gallant</t>
        </is>
      </c>
      <c r="F777" t="inlineStr">
        <is>
          <t>To accompany the Minister to the National Association of State Departments of Agriculture Annual Meeting in New Orleans.</t>
        </is>
      </c>
      <c r="G777" t="inlineStr">
        <is>
          <t>Pour accompagner le ministre à l'assemblée annuelle de l'Association nationale des ministères de l'agriculture à la Nouvelle-Orléans.</t>
        </is>
      </c>
      <c r="H777" s="1" t="n">
        <v>42991</v>
      </c>
      <c r="I777" s="1" t="n">
        <v>42994</v>
      </c>
      <c r="J777" t="inlineStr">
        <is>
          <t>New Orleans, Louisiana</t>
        </is>
      </c>
      <c r="K777" t="inlineStr">
        <is>
          <t>Nouvelle-Orleans, Louisiane</t>
        </is>
      </c>
      <c r="P777" t="n">
        <v>1211.5</v>
      </c>
      <c r="R777" t="n">
        <v>863.72</v>
      </c>
      <c r="S777" t="n">
        <v>437.09</v>
      </c>
      <c r="T777" t="n">
        <v>335.2</v>
      </c>
      <c r="U777" t="n">
        <v>2847.51</v>
      </c>
      <c r="V777" t="n">
        <v>1900079995</v>
      </c>
      <c r="X777" t="inlineStr">
        <is>
          <t>aafc-aac</t>
        </is>
      </c>
      <c r="Y777" t="inlineStr">
        <is>
          <t>Agriculture and Agri-Food Canada | Agriculture et Agroalimentaire Canada</t>
        </is>
      </c>
    </row>
    <row r="778">
      <c r="A778" t="inlineStr">
        <is>
          <t>T-2017-Q3-00066</t>
        </is>
      </c>
      <c r="B778" t="inlineStr">
        <is>
          <t>MPSES</t>
        </is>
      </c>
      <c r="C778" t="inlineStr">
        <is>
          <t>Director of Communications</t>
        </is>
      </c>
      <c r="D778" t="inlineStr">
        <is>
          <t>Directeur des communications</t>
        </is>
      </c>
      <c r="E778" t="inlineStr">
        <is>
          <t>Guy Gallant</t>
        </is>
      </c>
      <c r="F778" t="inlineStr">
        <is>
          <t>Passport's pictures.</t>
        </is>
      </c>
      <c r="G778" t="inlineStr">
        <is>
          <t>Photos de passeport.</t>
        </is>
      </c>
      <c r="H778" s="1" t="n">
        <v>43024</v>
      </c>
      <c r="I778" s="1" t="n">
        <v>43024</v>
      </c>
      <c r="T778" t="n">
        <v>76.84</v>
      </c>
      <c r="U778" t="n">
        <v>76.84</v>
      </c>
      <c r="V778" t="n">
        <v>1900090560</v>
      </c>
      <c r="X778" t="inlineStr">
        <is>
          <t>aafc-aac</t>
        </is>
      </c>
      <c r="Y778" t="inlineStr">
        <is>
          <t>Agriculture and Agri-Food Canada | Agriculture et Agroalimentaire Canada</t>
        </is>
      </c>
    </row>
    <row r="779">
      <c r="A779" t="inlineStr">
        <is>
          <t>T-2017-Q3-00068</t>
        </is>
      </c>
      <c r="B779" t="inlineStr">
        <is>
          <t>MPSES</t>
        </is>
      </c>
      <c r="C779" t="inlineStr">
        <is>
          <t>Director of Communications</t>
        </is>
      </c>
      <c r="D779" t="inlineStr">
        <is>
          <t>Directeur des communications</t>
        </is>
      </c>
      <c r="E779" t="inlineStr">
        <is>
          <t>Guy Gallant</t>
        </is>
      </c>
      <c r="F779" t="inlineStr">
        <is>
          <t>Travel for the Agriculture and Agri-Food Canada Ministerial Mission to China.</t>
        </is>
      </c>
      <c r="G779" t="inlineStr">
        <is>
          <t>Voyage pour la mission ministérielle d'Agriculture et Agrioalimentaire Canada en Chine.</t>
        </is>
      </c>
      <c r="H779" s="1" t="n">
        <v>43049</v>
      </c>
      <c r="I779" s="1" t="n">
        <v>43062</v>
      </c>
      <c r="J779" t="inlineStr">
        <is>
          <t>Beijing, China</t>
        </is>
      </c>
      <c r="K779" t="inlineStr">
        <is>
          <t>Pékin, Chine</t>
        </is>
      </c>
      <c r="P779" t="n">
        <v>6909.34</v>
      </c>
      <c r="R779" t="n">
        <v>2962.94</v>
      </c>
      <c r="S779" t="n">
        <v>1741.06</v>
      </c>
      <c r="U779" t="n">
        <v>11613.34</v>
      </c>
      <c r="V779" t="n">
        <v>1900100731</v>
      </c>
      <c r="X779" t="inlineStr">
        <is>
          <t>aafc-aac</t>
        </is>
      </c>
      <c r="Y779" t="inlineStr">
        <is>
          <t>Agriculture and Agri-Food Canada | Agriculture et Agroalimentaire Canada</t>
        </is>
      </c>
    </row>
    <row r="780">
      <c r="A780" t="inlineStr">
        <is>
          <t>T-2018-Q2-00001</t>
        </is>
      </c>
      <c r="B780" t="inlineStr">
        <is>
          <t>MPSES</t>
        </is>
      </c>
      <c r="C780" t="inlineStr">
        <is>
          <t>Minister</t>
        </is>
      </c>
      <c r="D780" t="inlineStr">
        <is>
          <t>Ministre</t>
        </is>
      </c>
      <c r="E780" t="inlineStr">
        <is>
          <t>Lawrence MacAulay</t>
        </is>
      </c>
      <c r="F780" t="inlineStr">
        <is>
          <t>For the Quebec, New Brunswick, and Nova Scotia outreaches</t>
        </is>
      </c>
      <c r="G780" t="inlineStr">
        <is>
          <t>Pour le Québec, le Nouveau-Brunswick et la Nouvelle-Écosse</t>
        </is>
      </c>
      <c r="H780" s="1" t="n">
        <v>43276</v>
      </c>
      <c r="I780" s="1" t="n">
        <v>43280</v>
      </c>
      <c r="J780" t="inlineStr">
        <is>
          <t>Sherbrooke Quebec, Montreal Quebec, Fredericton New Brunswick, Halifax Nova Scotia</t>
        </is>
      </c>
      <c r="K780" t="inlineStr">
        <is>
          <t>Sherbrooke Québec, Montréal Québec, Fredericton Nouveau-Brunswick, Halifax Nouvelle-Écosse</t>
        </is>
      </c>
      <c r="P780" t="n">
        <v>1710.28</v>
      </c>
      <c r="Q780" t="n">
        <v>119.69</v>
      </c>
      <c r="R780" t="n">
        <v>620.79</v>
      </c>
      <c r="S780" t="n">
        <v>366.1</v>
      </c>
      <c r="T780" t="n">
        <v>0</v>
      </c>
      <c r="U780" t="n">
        <v>2816.86</v>
      </c>
      <c r="X780" t="inlineStr">
        <is>
          <t>aafc-aac</t>
        </is>
      </c>
      <c r="Y780" t="inlineStr">
        <is>
          <t>Agriculture and Agri-Food Canada | Agriculture et Agroalimentaire Canada</t>
        </is>
      </c>
    </row>
    <row r="781">
      <c r="A781" t="inlineStr">
        <is>
          <t>T-2018-Q2-00002</t>
        </is>
      </c>
      <c r="B781" t="inlineStr">
        <is>
          <t>MPSES</t>
        </is>
      </c>
      <c r="C781" t="inlineStr">
        <is>
          <t>Minister</t>
        </is>
      </c>
      <c r="D781" t="inlineStr">
        <is>
          <t>Ministre</t>
        </is>
      </c>
      <c r="E781" t="inlineStr">
        <is>
          <t>Lawrence MacAulay</t>
        </is>
      </c>
      <c r="F781" t="inlineStr">
        <is>
          <t>Ontario outreach announcements in St. Ann's, Simcoe, Scotland area, St. Catharines, and Niagara on the Lake, Ontario</t>
        </is>
      </c>
      <c r="G781" t="inlineStr">
        <is>
          <t>Annonces de sensibilisation de l'Ontario dans la région de St. Ann's, Simcoe, en Écosse, à St. Catharines et à Niagara-on-the-Lake, en Ontario</t>
        </is>
      </c>
      <c r="H781" s="1" t="n">
        <v>43283</v>
      </c>
      <c r="I781" s="1" t="n">
        <v>43285</v>
      </c>
      <c r="J781" t="inlineStr">
        <is>
          <t>St. Ann's, Simcoe, Scotland area, St. Catharines, and Niagara on the Lake, Ontario</t>
        </is>
      </c>
      <c r="K781" t="inlineStr">
        <is>
          <t>Région de St. Ann 's, Simcoe, Écosse, St. Catharines et Niagara-on-the-Lake, Ontario</t>
        </is>
      </c>
      <c r="P781" t="n">
        <v>1629.2</v>
      </c>
      <c r="Q781" t="n">
        <v>50.78</v>
      </c>
      <c r="R781" t="n">
        <v>449.34</v>
      </c>
      <c r="S781" t="n">
        <v>225.5</v>
      </c>
      <c r="T781" t="n">
        <v>0</v>
      </c>
      <c r="U781" t="n">
        <v>2354.82</v>
      </c>
      <c r="X781" t="inlineStr">
        <is>
          <t>aafc-aac</t>
        </is>
      </c>
      <c r="Y781" t="inlineStr">
        <is>
          <t>Agriculture and Agri-Food Canada | Agriculture et Agroalimentaire Canada</t>
        </is>
      </c>
    </row>
    <row r="782">
      <c r="A782" t="inlineStr">
        <is>
          <t>T-2017-Q3-00047</t>
        </is>
      </c>
      <c r="B782" t="inlineStr">
        <is>
          <t>MPSES</t>
        </is>
      </c>
      <c r="C782" t="inlineStr">
        <is>
          <t>Director of Policy</t>
        </is>
      </c>
      <c r="D782" t="inlineStr">
        <is>
          <t>Directrice de la politique</t>
        </is>
      </c>
      <c r="E782" t="inlineStr">
        <is>
          <t>Alison Porter</t>
        </is>
      </c>
      <c r="F782" t="inlineStr">
        <is>
          <t>To support the Minister on the Northwest Territories outreach.</t>
        </is>
      </c>
      <c r="G782" t="inlineStr">
        <is>
          <t>Appuyer le Ministre sur la portée des Territoires du Nord-Ouest.</t>
        </is>
      </c>
      <c r="H782" s="1" t="n">
        <v>42985</v>
      </c>
      <c r="I782" s="1" t="n">
        <v>42987</v>
      </c>
      <c r="J782" t="inlineStr">
        <is>
          <t>Yellowknife, Northwest Territories</t>
        </is>
      </c>
      <c r="K782" t="inlineStr">
        <is>
          <t>Yellowknife, Territoires du Nord-Ouest</t>
        </is>
      </c>
      <c r="P782" t="n">
        <v>1942.87</v>
      </c>
      <c r="Q782" t="n">
        <v>63.18</v>
      </c>
      <c r="R782" t="n">
        <v>166.95</v>
      </c>
      <c r="S782" t="n">
        <v>196.15</v>
      </c>
      <c r="U782" t="n">
        <v>2369.15</v>
      </c>
      <c r="V782" t="n">
        <v>1900082846</v>
      </c>
      <c r="X782" t="inlineStr">
        <is>
          <t>aafc-aac</t>
        </is>
      </c>
      <c r="Y782" t="inlineStr">
        <is>
          <t>Agriculture and Agri-Food Canada | Agriculture et Agroalimentaire Canada</t>
        </is>
      </c>
    </row>
    <row r="783">
      <c r="A783" t="inlineStr">
        <is>
          <t>T-2017-Q3-00054</t>
        </is>
      </c>
      <c r="B783" t="inlineStr">
        <is>
          <t>MPSES</t>
        </is>
      </c>
      <c r="C783" t="inlineStr">
        <is>
          <t>Minister</t>
        </is>
      </c>
      <c r="D783" t="inlineStr">
        <is>
          <t>Ministre</t>
        </is>
      </c>
      <c r="E783" t="inlineStr">
        <is>
          <t>Lawrence MacAulay</t>
        </is>
      </c>
      <c r="F783" t="inlineStr">
        <is>
          <t>Food Policy for Canada - Regional Consultations in Vancouver and in Yellowknife. Tour of University of British Columbia Farm.</t>
        </is>
      </c>
      <c r="G783" t="inlineStr">
        <is>
          <t>Politique alimentaire pour le Canada - Consultations régionales à Vancouver et à Yellowknife. Visite de la ferme de l'Université de la Colombie-Britannique.</t>
        </is>
      </c>
      <c r="H783" s="1" t="n">
        <v>42982</v>
      </c>
      <c r="I783" s="1" t="n">
        <v>42987</v>
      </c>
      <c r="J783" t="inlineStr">
        <is>
          <t>Vancouver, British Columbia; Yellowknife, Northwest Territories; Edmonton, Alberta</t>
        </is>
      </c>
      <c r="K783" t="inlineStr">
        <is>
          <t>Vancouver, Colombie-Britannique; Yellowknife, Territoires du Nord-Ouest; Edmonton, Alberta</t>
        </is>
      </c>
      <c r="P783" t="n">
        <v>3677.98</v>
      </c>
      <c r="Q783" t="n">
        <v>25.97</v>
      </c>
      <c r="R783" t="n">
        <v>556.84</v>
      </c>
      <c r="S783" t="n">
        <v>313.55</v>
      </c>
      <c r="U783" t="n">
        <v>4574.34</v>
      </c>
      <c r="V783" t="n">
        <v>1900083451</v>
      </c>
      <c r="X783" t="inlineStr">
        <is>
          <t>aafc-aac</t>
        </is>
      </c>
      <c r="Y783" t="inlineStr">
        <is>
          <t>Agriculture and Agri-Food Canada | Agriculture et Agroalimentaire Canada</t>
        </is>
      </c>
    </row>
    <row r="784">
      <c r="A784" t="inlineStr">
        <is>
          <t>T-2017-Q2-00002</t>
        </is>
      </c>
      <c r="B784" t="inlineStr">
        <is>
          <t>SLE</t>
        </is>
      </c>
      <c r="C784" t="inlineStr">
        <is>
          <t>Assistant Deputy Minister Corporate Management Branch</t>
        </is>
      </c>
      <c r="D784" t="inlineStr">
        <is>
          <t>Sous-ministre adjoint Direction générale de la gestion intégrée</t>
        </is>
      </c>
      <c r="E784" t="inlineStr">
        <is>
          <t>Pierre Corriveau</t>
        </is>
      </c>
      <c r="F784" t="inlineStr">
        <is>
          <t>National Public Service Week and Awards Ceremony 2017. Staff Meeting</t>
        </is>
      </c>
      <c r="G784" t="inlineStr">
        <is>
          <t>Semaine Nationale de la Fonction publique et cérémonie de remise de prix. Réunion du personel.</t>
        </is>
      </c>
      <c r="H784" s="1" t="n">
        <v>42900</v>
      </c>
      <c r="I784" s="1" t="n">
        <v>42903</v>
      </c>
      <c r="J784" t="inlineStr">
        <is>
          <t>Regina and Swift Current, Saskatchewan</t>
        </is>
      </c>
      <c r="K784" t="inlineStr">
        <is>
          <t>Régina et Swift Current, Saskatchewan</t>
        </is>
      </c>
      <c r="P784" t="n">
        <v>769.16</v>
      </c>
      <c r="Q784" t="n">
        <v>82.3</v>
      </c>
      <c r="R784" t="n">
        <v>408.11</v>
      </c>
      <c r="S784" t="n">
        <v>307.15</v>
      </c>
      <c r="U784" t="n">
        <v>1566.72</v>
      </c>
      <c r="V784" t="inlineStr">
        <is>
          <t>AJD365196</t>
        </is>
      </c>
      <c r="X784" t="inlineStr">
        <is>
          <t>aafc-aac</t>
        </is>
      </c>
      <c r="Y784" t="inlineStr">
        <is>
          <t>Agriculture and Agri-Food Canada | Agriculture et Agroalimentaire Canada</t>
        </is>
      </c>
    </row>
    <row r="785">
      <c r="A785" t="inlineStr">
        <is>
          <t>T-2017-Q2-00003</t>
        </is>
      </c>
      <c r="B785" t="inlineStr">
        <is>
          <t>SLE</t>
        </is>
      </c>
      <c r="C785" t="inlineStr">
        <is>
          <t>Assistant Deputy Minister Science and Technology Branch</t>
        </is>
      </c>
      <c r="D785" t="inlineStr">
        <is>
          <t>Sous-ministre adjoint Direction générale des sciences et de la technologie</t>
        </is>
      </c>
      <c r="E785" t="inlineStr">
        <is>
          <t>Brian Gray</t>
        </is>
      </c>
      <c r="F785" t="inlineStr">
        <is>
          <t>Outreach visit Brandon and Morden Research and Development Center</t>
        </is>
      </c>
      <c r="G785" t="inlineStr">
        <is>
          <t>Visite de sensibilisation au Centre de recherche et de développement de Brandon et Morden</t>
        </is>
      </c>
      <c r="H785" s="1" t="n">
        <v>42893</v>
      </c>
      <c r="I785" s="1" t="n">
        <v>42895</v>
      </c>
      <c r="J785" t="inlineStr">
        <is>
          <t xml:space="preserve">Brandon and Morden, MB </t>
        </is>
      </c>
      <c r="K785" t="inlineStr">
        <is>
          <t xml:space="preserve"> Brandon et Morden, MB</t>
        </is>
      </c>
      <c r="P785" t="n">
        <v>666.73</v>
      </c>
      <c r="Q785" t="n">
        <v>105.63</v>
      </c>
      <c r="R785" t="n">
        <v>227.73</v>
      </c>
      <c r="S785" t="n">
        <v>179.9</v>
      </c>
      <c r="U785" t="n">
        <v>1179.99</v>
      </c>
      <c r="V785" t="inlineStr">
        <is>
          <t>AJD976591</t>
        </is>
      </c>
      <c r="X785" t="inlineStr">
        <is>
          <t>aafc-aac</t>
        </is>
      </c>
      <c r="Y785" t="inlineStr">
        <is>
          <t>Agriculture and Agri-Food Canada | Agriculture et Agroalimentaire Canada</t>
        </is>
      </c>
    </row>
    <row r="786">
      <c r="A786" t="inlineStr">
        <is>
          <t>T-2017-Q2-00004</t>
        </is>
      </c>
      <c r="B786" t="inlineStr">
        <is>
          <t>SLE</t>
        </is>
      </c>
      <c r="C786" t="inlineStr">
        <is>
          <t>Assistant Deputy Minister Science and Technology Branch</t>
        </is>
      </c>
      <c r="D786" t="inlineStr">
        <is>
          <t>Sous-ministre adjoint Direction générale des sciences et de la technologie</t>
        </is>
      </c>
      <c r="E786" t="inlineStr">
        <is>
          <t>Brian Gray</t>
        </is>
      </c>
      <c r="F786" t="inlineStr">
        <is>
          <t>Outreach visit Guelph and Vineland Research and Development Center</t>
        </is>
      </c>
      <c r="G786" t="inlineStr">
        <is>
          <t>Visite de sensibilisation au Centre de recherche et de développement de Guelph et Vineland</t>
        </is>
      </c>
      <c r="H786" s="1" t="n">
        <v>42898</v>
      </c>
      <c r="I786" s="1" t="n">
        <v>42902</v>
      </c>
      <c r="J786" t="inlineStr">
        <is>
          <t>Guelph and Vineland, ON</t>
        </is>
      </c>
      <c r="K786" t="inlineStr">
        <is>
          <t>Guelph et Vineland, ON</t>
        </is>
      </c>
      <c r="P786" t="n">
        <v>408.55</v>
      </c>
      <c r="Q786" t="n">
        <v>318.72</v>
      </c>
      <c r="R786" t="n">
        <v>610.76</v>
      </c>
      <c r="S786" t="n">
        <v>358.75</v>
      </c>
      <c r="U786" t="n">
        <v>1696.78</v>
      </c>
      <c r="V786" t="inlineStr">
        <is>
          <t>AJD986650</t>
        </is>
      </c>
      <c r="X786" t="inlineStr">
        <is>
          <t>aafc-aac</t>
        </is>
      </c>
      <c r="Y786" t="inlineStr">
        <is>
          <t>Agriculture and Agri-Food Canada | Agriculture et Agroalimentaire Canada</t>
        </is>
      </c>
    </row>
    <row r="787">
      <c r="A787" t="inlineStr">
        <is>
          <t>T-2017-Q2-00005</t>
        </is>
      </c>
      <c r="B787" t="inlineStr">
        <is>
          <t>SLE</t>
        </is>
      </c>
      <c r="C787" t="inlineStr">
        <is>
          <t>Assistant Deputy Minister Science and Technology Branch</t>
        </is>
      </c>
      <c r="D787" t="inlineStr">
        <is>
          <t>Sous-ministre adjoint Direction générale des sciences et de la technologie</t>
        </is>
      </c>
      <c r="E787" t="inlineStr">
        <is>
          <t>Brian Gray</t>
        </is>
      </c>
      <c r="F787" t="inlineStr">
        <is>
          <t>Outreach visit Harrow Research and Development Center and  presentation at Soy Canada event</t>
        </is>
      </c>
      <c r="G787" t="inlineStr">
        <is>
          <t>Visite de sensibilisation au Centre de recherche et de développement de Harrow et présentation à l'évènement de Soy Canada</t>
        </is>
      </c>
      <c r="H787" s="1" t="n">
        <v>42905</v>
      </c>
      <c r="I787" s="1" t="n">
        <v>42907</v>
      </c>
      <c r="J787" t="inlineStr">
        <is>
          <t>Harrow, ON</t>
        </is>
      </c>
      <c r="K787" t="inlineStr">
        <is>
          <t>Harrow, ON</t>
        </is>
      </c>
      <c r="P787" t="n">
        <v>803.62</v>
      </c>
      <c r="Q787" t="n">
        <v>254.3</v>
      </c>
      <c r="R787" t="n">
        <v>240</v>
      </c>
      <c r="S787" t="n">
        <v>179.9</v>
      </c>
      <c r="U787" t="n">
        <v>1477.82</v>
      </c>
      <c r="V787" t="inlineStr">
        <is>
          <t>AJD928339</t>
        </is>
      </c>
      <c r="X787" t="inlineStr">
        <is>
          <t>aafc-aac</t>
        </is>
      </c>
      <c r="Y787" t="inlineStr">
        <is>
          <t>Agriculture and Agri-Food Canada | Agriculture et Agroalimentaire Canada</t>
        </is>
      </c>
    </row>
    <row r="788">
      <c r="A788" t="inlineStr">
        <is>
          <t>T-2017-Q2-00017</t>
        </is>
      </c>
      <c r="B788" t="inlineStr">
        <is>
          <t>SLE</t>
        </is>
      </c>
      <c r="C788" t="inlineStr">
        <is>
          <t>Assistant Deputy Minister Strategic Policy Branch</t>
        </is>
      </c>
      <c r="D788" t="inlineStr">
        <is>
          <t>Sous ministre adjoint des Politiques stratégiques</t>
        </is>
      </c>
      <c r="E788" t="inlineStr">
        <is>
          <t>Tom Rosser</t>
        </is>
      </c>
      <c r="F788" t="inlineStr">
        <is>
          <t>To attend a meeting of the Atlantic Growth Summit</t>
        </is>
      </c>
      <c r="G788" t="inlineStr">
        <is>
          <t>Pour assister à une réunion au Sommet de la croissance pour l'Atlantique</t>
        </is>
      </c>
      <c r="H788" s="1" t="n">
        <v>42914</v>
      </c>
      <c r="I788" s="1" t="n">
        <v>42916</v>
      </c>
      <c r="J788" t="inlineStr">
        <is>
          <t>Charlottetown, PEI</t>
        </is>
      </c>
      <c r="K788" t="inlineStr">
        <is>
          <t>Charlottetown, L’Î-P-É</t>
        </is>
      </c>
      <c r="P788" t="n">
        <v>1020.76</v>
      </c>
      <c r="Q788" t="n">
        <v>196.31</v>
      </c>
      <c r="R788" t="n">
        <v>329.3</v>
      </c>
      <c r="S788" t="n">
        <v>278.2</v>
      </c>
      <c r="U788" t="n">
        <v>1824.57</v>
      </c>
      <c r="V788" t="inlineStr">
        <is>
          <t>AJE680566</t>
        </is>
      </c>
      <c r="X788" t="inlineStr">
        <is>
          <t>aafc-aac</t>
        </is>
      </c>
      <c r="Y788" t="inlineStr">
        <is>
          <t>Agriculture and Agri-Food Canada | Agriculture et Agroalimentaire Canada</t>
        </is>
      </c>
    </row>
    <row r="789">
      <c r="A789" t="inlineStr">
        <is>
          <t>T-2017-Q2-00006</t>
        </is>
      </c>
      <c r="B789" t="inlineStr">
        <is>
          <t>SLE</t>
        </is>
      </c>
      <c r="C789" t="inlineStr">
        <is>
          <t>Assistant Deputy Minister Science and Technology Branch</t>
        </is>
      </c>
      <c r="D789" t="inlineStr">
        <is>
          <t>Sous-ministre adjoint Direction générale des sciences et de la technologie</t>
        </is>
      </c>
      <c r="E789" t="inlineStr">
        <is>
          <t>Brian Gray</t>
        </is>
      </c>
      <c r="F789" t="inlineStr">
        <is>
          <t>Outreach visit St-John's Research and Development Center</t>
        </is>
      </c>
      <c r="G789" t="inlineStr">
        <is>
          <t>Visite de sensibilisation au Centre de recherche et de développement de St-John's</t>
        </is>
      </c>
      <c r="H789" s="1" t="n">
        <v>42927</v>
      </c>
      <c r="I789" s="1" t="n">
        <v>42929</v>
      </c>
      <c r="J789" t="inlineStr">
        <is>
          <t>St-John's, NFLD</t>
        </is>
      </c>
      <c r="K789" t="inlineStr">
        <is>
          <t>St-John's, TN</t>
        </is>
      </c>
      <c r="P789" t="n">
        <v>716.26</v>
      </c>
      <c r="Q789" t="n">
        <v>194.37</v>
      </c>
      <c r="R789" t="n">
        <v>416.5</v>
      </c>
      <c r="S789" t="n">
        <v>232.25</v>
      </c>
      <c r="U789" t="n">
        <v>1559.38</v>
      </c>
      <c r="V789" t="inlineStr">
        <is>
          <t>AJD927948</t>
        </is>
      </c>
      <c r="X789" t="inlineStr">
        <is>
          <t>aafc-aac</t>
        </is>
      </c>
      <c r="Y789" t="inlineStr">
        <is>
          <t>Agriculture and Agri-Food Canada | Agriculture et Agroalimentaire Canada</t>
        </is>
      </c>
    </row>
    <row r="790">
      <c r="A790" t="inlineStr">
        <is>
          <t>T-2017-Q3-00018</t>
        </is>
      </c>
      <c r="B790" t="inlineStr">
        <is>
          <t>SLE</t>
        </is>
      </c>
      <c r="C790" t="inlineStr">
        <is>
          <t>Assistant Deputy Minister, Programs Branch</t>
        </is>
      </c>
      <c r="D790" t="inlineStr">
        <is>
          <t xml:space="preserve">Sous-ministre adjointe, Direction générale des programmes </t>
        </is>
      </c>
      <c r="E790" t="inlineStr">
        <is>
          <t>France Pégeot</t>
        </is>
      </c>
      <c r="F790" t="inlineStr">
        <is>
          <t xml:space="preserve">Montreal  Regional Meeting. </t>
        </is>
      </c>
      <c r="G790" t="inlineStr">
        <is>
          <t>Montréal réunion régionale.</t>
        </is>
      </c>
      <c r="H790" s="1" t="n">
        <v>43012</v>
      </c>
      <c r="I790" s="1" t="n">
        <v>43013</v>
      </c>
      <c r="J790" t="inlineStr">
        <is>
          <t>Montreal, Quebec</t>
        </is>
      </c>
      <c r="K790" t="inlineStr">
        <is>
          <t>Montréal, Québec</t>
        </is>
      </c>
      <c r="Q790" t="n">
        <v>303.17</v>
      </c>
      <c r="R790" t="n">
        <v>236.82</v>
      </c>
      <c r="S790" t="n">
        <v>167.3</v>
      </c>
      <c r="U790" t="n">
        <v>707.29</v>
      </c>
      <c r="X790" t="inlineStr">
        <is>
          <t>aafc-aac</t>
        </is>
      </c>
      <c r="Y790" t="inlineStr">
        <is>
          <t>Agriculture and Agri-Food Canada | Agriculture et Agroalimentaire Canada</t>
        </is>
      </c>
    </row>
    <row r="791">
      <c r="A791" t="inlineStr">
        <is>
          <t>T-2017-Q2-00007</t>
        </is>
      </c>
      <c r="B791" t="inlineStr">
        <is>
          <t>SLE</t>
        </is>
      </c>
      <c r="C791" t="inlineStr">
        <is>
          <t>Assistant Deputy Minister Science and Technology Branch</t>
        </is>
      </c>
      <c r="D791" t="inlineStr">
        <is>
          <t>Sous-ministre adjoint Direction générale des sciences et de la technologie</t>
        </is>
      </c>
      <c r="E791" t="inlineStr">
        <is>
          <t>Brian Gray</t>
        </is>
      </c>
      <c r="F791" t="inlineStr">
        <is>
          <t>Outreach visit Lacombe Research and Development Center</t>
        </is>
      </c>
      <c r="G791" t="inlineStr">
        <is>
          <t>Visite de sensibilisation au Centre de receherche de Lacombe</t>
        </is>
      </c>
      <c r="H791" s="1" t="n">
        <v>42956</v>
      </c>
      <c r="I791" s="1" t="n">
        <v>42958</v>
      </c>
      <c r="J791" t="inlineStr">
        <is>
          <t>Lacombe, BC</t>
        </is>
      </c>
      <c r="K791" t="inlineStr">
        <is>
          <t>Lacombe, CB</t>
        </is>
      </c>
      <c r="P791" t="n">
        <v>959.85</v>
      </c>
      <c r="Q791" t="n">
        <v>197.81</v>
      </c>
      <c r="R791" t="n">
        <v>316.08</v>
      </c>
      <c r="S791" t="n">
        <v>179.9</v>
      </c>
      <c r="U791" t="n">
        <v>1653.64</v>
      </c>
      <c r="V791" t="inlineStr">
        <is>
          <t>AJD972596</t>
        </is>
      </c>
      <c r="X791" t="inlineStr">
        <is>
          <t>aafc-aac</t>
        </is>
      </c>
      <c r="Y791" t="inlineStr">
        <is>
          <t>Agriculture and Agri-Food Canada | Agriculture et Agroalimentaire Canada</t>
        </is>
      </c>
    </row>
    <row r="792">
      <c r="A792" t="inlineStr">
        <is>
          <t>T-2017-Q2-00008</t>
        </is>
      </c>
      <c r="B792" t="inlineStr">
        <is>
          <t>SLE</t>
        </is>
      </c>
      <c r="C792" t="inlineStr">
        <is>
          <t>Assistant Deputy Minister Science and Technology Branch</t>
        </is>
      </c>
      <c r="D792" t="inlineStr">
        <is>
          <t>Sous-ministre adjoint Direction générale des sciences et de la technologie</t>
        </is>
      </c>
      <c r="E792" t="inlineStr">
        <is>
          <t>Brian Gray</t>
        </is>
      </c>
      <c r="F792" t="inlineStr">
        <is>
          <t xml:space="preserve">Canadian Beef Industry Conference </t>
        </is>
      </c>
      <c r="G792" t="inlineStr">
        <is>
          <t xml:space="preserve">Conférence de l'insdutrie de boeuf canadien </t>
        </is>
      </c>
      <c r="H792" s="1" t="n">
        <v>42961</v>
      </c>
      <c r="I792" s="1" t="n">
        <v>42964</v>
      </c>
      <c r="J792" t="inlineStr">
        <is>
          <t>Calgary, AB</t>
        </is>
      </c>
      <c r="K792" t="inlineStr">
        <is>
          <t>Calgary, AB</t>
        </is>
      </c>
      <c r="T792" t="n">
        <v>131.25</v>
      </c>
      <c r="U792" t="n">
        <v>131.25</v>
      </c>
      <c r="V792" t="inlineStr">
        <is>
          <t>AJD956647</t>
        </is>
      </c>
      <c r="X792" t="inlineStr">
        <is>
          <t>aafc-aac</t>
        </is>
      </c>
      <c r="Y792" t="inlineStr">
        <is>
          <t>Agriculture and Agri-Food Canada | Agriculture et Agroalimentaire Canada</t>
        </is>
      </c>
    </row>
    <row r="793">
      <c r="A793" t="inlineStr">
        <is>
          <t>T-2017-Q2-00009</t>
        </is>
      </c>
      <c r="B793" t="inlineStr">
        <is>
          <t>SLE</t>
        </is>
      </c>
      <c r="C793" t="inlineStr">
        <is>
          <t>Assistant Deputy Minister Science and Technology Branch</t>
        </is>
      </c>
      <c r="D793" t="inlineStr">
        <is>
          <t>Sous-ministre adjoint Direction générale des sciences et de la technologie</t>
        </is>
      </c>
      <c r="E793" t="inlineStr">
        <is>
          <t>Brian Gray</t>
        </is>
      </c>
      <c r="F793" t="inlineStr">
        <is>
          <t xml:space="preserve">Summit on Canadian Soil Health 2017 </t>
        </is>
      </c>
      <c r="G793" t="inlineStr">
        <is>
          <t xml:space="preserve">Sommet sur la santé de sol canadien 2017 </t>
        </is>
      </c>
      <c r="H793" s="1" t="n">
        <v>42969</v>
      </c>
      <c r="I793" s="1" t="n">
        <v>42971</v>
      </c>
      <c r="J793" t="inlineStr">
        <is>
          <t>Guelph, ON</t>
        </is>
      </c>
      <c r="K793" t="inlineStr">
        <is>
          <t>Guelph, ON</t>
        </is>
      </c>
      <c r="P793" t="n">
        <v>418.16</v>
      </c>
      <c r="Q793" t="n">
        <v>183.45</v>
      </c>
      <c r="R793" t="n">
        <v>314.14</v>
      </c>
      <c r="S793" t="n">
        <v>133.05</v>
      </c>
      <c r="U793" t="n">
        <v>1048.8</v>
      </c>
      <c r="V793" t="inlineStr">
        <is>
          <t>AJD938546</t>
        </is>
      </c>
      <c r="X793" t="inlineStr">
        <is>
          <t>aafc-aac</t>
        </is>
      </c>
      <c r="Y793" t="inlineStr">
        <is>
          <t>Agriculture and Agri-Food Canada | Agriculture et Agroalimentaire Canada</t>
        </is>
      </c>
    </row>
    <row r="794">
      <c r="A794" t="inlineStr">
        <is>
          <t>T-2017-Q2-00042</t>
        </is>
      </c>
      <c r="B794" t="inlineStr">
        <is>
          <t>MPSES</t>
        </is>
      </c>
      <c r="C794" t="inlineStr">
        <is>
          <t>Deputy Minister</t>
        </is>
      </c>
      <c r="D794" t="inlineStr">
        <is>
          <t>Sous-ministre</t>
        </is>
      </c>
      <c r="E794" t="inlineStr">
        <is>
          <t>Chris Forbes</t>
        </is>
      </c>
      <c r="F794" t="inlineStr">
        <is>
          <t>Federal Provincial and Territorial Annual Agricultural Minister's meeting</t>
        </is>
      </c>
      <c r="G794" t="inlineStr">
        <is>
          <t>Réunion annuelle des ministres fédérale, provinciale et territoriale de l'Agriculture.</t>
        </is>
      </c>
      <c r="H794" s="1" t="n">
        <v>42934</v>
      </c>
      <c r="I794" s="1" t="n">
        <v>42937</v>
      </c>
      <c r="J794" t="inlineStr">
        <is>
          <t>St-John's, NL</t>
        </is>
      </c>
      <c r="K794" t="inlineStr">
        <is>
          <t>St-John's, TN</t>
        </is>
      </c>
      <c r="P794" t="n">
        <v>1282.18</v>
      </c>
      <c r="Q794" t="n">
        <v>35.25</v>
      </c>
      <c r="R794" t="n">
        <v>900.83</v>
      </c>
      <c r="S794" t="n">
        <v>127.1</v>
      </c>
      <c r="T794" t="n">
        <v>350</v>
      </c>
      <c r="U794" t="n">
        <v>2695.36</v>
      </c>
      <c r="X794" t="inlineStr">
        <is>
          <t>aafc-aac</t>
        </is>
      </c>
      <c r="Y794" t="inlineStr">
        <is>
          <t>Agriculture and Agri-Food Canada | Agriculture et Agroalimentaire Canada</t>
        </is>
      </c>
    </row>
    <row r="795">
      <c r="A795" t="inlineStr">
        <is>
          <t>T-2017-Q2-00010</t>
        </is>
      </c>
      <c r="B795" t="inlineStr">
        <is>
          <t>SLE</t>
        </is>
      </c>
      <c r="C795" t="inlineStr">
        <is>
          <t>Associate Assistant Deputy Minister Science and Technology Branch</t>
        </is>
      </c>
      <c r="D795" t="inlineStr">
        <is>
          <t>Sous-ministre adjoint délégué Sciences et technologie</t>
        </is>
      </c>
      <c r="E795" t="inlineStr">
        <is>
          <t>Gilles Saindon</t>
        </is>
      </c>
      <c r="F795" t="inlineStr">
        <is>
          <t>Outreach at the Research and Development Center. All Staff meeting and meetings with industry.</t>
        </is>
      </c>
      <c r="G795" t="inlineStr">
        <is>
          <t>Visite de sensibilisation au Centre de recherche et développement.  Réunions avec tous le personnel et réunions avec l'industrie.</t>
        </is>
      </c>
      <c r="H795" s="1" t="n">
        <v>42886</v>
      </c>
      <c r="I795" s="1" t="n">
        <v>42888</v>
      </c>
      <c r="J795" t="inlineStr">
        <is>
          <t>St John's, NL</t>
        </is>
      </c>
      <c r="K795" t="inlineStr">
        <is>
          <t>St John, TN</t>
        </is>
      </c>
      <c r="P795" t="n">
        <v>779.5</v>
      </c>
      <c r="Q795" t="n">
        <v>69</v>
      </c>
      <c r="R795" t="n">
        <v>416.5</v>
      </c>
      <c r="S795" t="n">
        <v>249.4</v>
      </c>
      <c r="U795" t="n">
        <v>1514.4</v>
      </c>
      <c r="V795" t="inlineStr">
        <is>
          <t>AJD9921203</t>
        </is>
      </c>
      <c r="X795" t="inlineStr">
        <is>
          <t>aafc-aac</t>
        </is>
      </c>
      <c r="Y795" t="inlineStr">
        <is>
          <t>Agriculture and Agri-Food Canada | Agriculture et Agroalimentaire Canada</t>
        </is>
      </c>
    </row>
    <row r="796">
      <c r="A796" t="inlineStr">
        <is>
          <t>T-2017-Q2-00011</t>
        </is>
      </c>
      <c r="B796" t="inlineStr">
        <is>
          <t>SLE</t>
        </is>
      </c>
      <c r="C796" t="inlineStr">
        <is>
          <t>Associate Assistant Deputy Minister Science and Technology Branch</t>
        </is>
      </c>
      <c r="D796" t="inlineStr">
        <is>
          <t>Sous-ministre adjoint délégué Sciences et technologie</t>
        </is>
      </c>
      <c r="E796" t="inlineStr">
        <is>
          <t>Gilles Saindon</t>
        </is>
      </c>
      <c r="F796" t="inlineStr">
        <is>
          <t>Branch Executive Committee meeting and all staff meeting.</t>
        </is>
      </c>
      <c r="G796" t="inlineStr">
        <is>
          <t>Réunion du Comité exécutif de la direction générale et rencontre de tout le personnel.</t>
        </is>
      </c>
      <c r="H796" s="1" t="n">
        <v>42898</v>
      </c>
      <c r="I796" s="1" t="n">
        <v>42900</v>
      </c>
      <c r="J796" t="inlineStr">
        <is>
          <t>Guelph, ON</t>
        </is>
      </c>
      <c r="K796" t="inlineStr">
        <is>
          <t>Guelph, ON</t>
        </is>
      </c>
      <c r="P796" t="n">
        <v>429.68</v>
      </c>
      <c r="Q796" t="n">
        <v>81.05</v>
      </c>
      <c r="R796" t="n">
        <v>361.6</v>
      </c>
      <c r="S796" t="n">
        <v>207.8</v>
      </c>
      <c r="U796" t="n">
        <v>1080.13</v>
      </c>
      <c r="V796" t="inlineStr">
        <is>
          <t>AJD996153</t>
        </is>
      </c>
      <c r="X796" t="inlineStr">
        <is>
          <t>aafc-aac</t>
        </is>
      </c>
      <c r="Y796" t="inlineStr">
        <is>
          <t>Agriculture and Agri-Food Canada | Agriculture et Agroalimentaire Canada</t>
        </is>
      </c>
    </row>
    <row r="797">
      <c r="A797" t="inlineStr">
        <is>
          <t>T-2017-Q2-00012</t>
        </is>
      </c>
      <c r="B797" t="inlineStr">
        <is>
          <t>SLE</t>
        </is>
      </c>
      <c r="C797" t="inlineStr">
        <is>
          <t>Associate Assistant Deputy Minister Science and Technology Branch</t>
        </is>
      </c>
      <c r="D797" t="inlineStr">
        <is>
          <t>Sous-ministre adjoint délégué Sciences et technologie</t>
        </is>
      </c>
      <c r="E797" t="inlineStr">
        <is>
          <t>Gilles Saindon</t>
        </is>
      </c>
      <c r="F797" t="inlineStr">
        <is>
          <t>Meeting with Genome Quebec. Outreach at the Research and Development Center. All Staff meeting and meetings with industry.</t>
        </is>
      </c>
      <c r="G797" t="inlineStr">
        <is>
          <t>Rencontre avec Génome Québec. Visite de sensibilisation au Centre de recherche et développement. Réunions avec tous le personnel et réunions avec l'industrie.</t>
        </is>
      </c>
      <c r="H797" s="1" t="n">
        <v>42941</v>
      </c>
      <c r="I797" s="1" t="n">
        <v>42944</v>
      </c>
      <c r="J797" t="inlineStr">
        <is>
          <t>Montreal, St-Jean-sur-Richelieu St-Hyacinthe, QC</t>
        </is>
      </c>
      <c r="K797" t="inlineStr">
        <is>
          <t>Montreal, St-Jean-sur-Richelieu St-Hyacinthe, QC</t>
        </is>
      </c>
      <c r="P797" t="n">
        <v>0</v>
      </c>
      <c r="Q797" t="n">
        <v>132.19</v>
      </c>
      <c r="R797" t="n">
        <v>266.56</v>
      </c>
      <c r="S797" t="n">
        <v>225.85</v>
      </c>
      <c r="U797" t="n">
        <v>624.6</v>
      </c>
      <c r="V797" t="inlineStr">
        <is>
          <t>AJD966680</t>
        </is>
      </c>
      <c r="X797" t="inlineStr">
        <is>
          <t>aafc-aac</t>
        </is>
      </c>
      <c r="Y797" t="inlineStr">
        <is>
          <t>Agriculture and Agri-Food Canada | Agriculture et Agroalimentaire Canada</t>
        </is>
      </c>
    </row>
    <row r="798">
      <c r="A798" t="inlineStr">
        <is>
          <t>T-2017-Q2-00013</t>
        </is>
      </c>
      <c r="B798" t="inlineStr">
        <is>
          <t>SLE</t>
        </is>
      </c>
      <c r="C798" t="inlineStr">
        <is>
          <t>Associate Assistant Deputy Minister Science and Technology Branch</t>
        </is>
      </c>
      <c r="D798" t="inlineStr">
        <is>
          <t>Sous-ministre adjoint délégué Sciences et technologie</t>
        </is>
      </c>
      <c r="E798" t="inlineStr">
        <is>
          <t>Gilles Saindon</t>
        </is>
      </c>
      <c r="F798" t="inlineStr">
        <is>
          <t>Outreach at the Research and Development Center, All Staff meeting and meetings with industry</t>
        </is>
      </c>
      <c r="G798" t="inlineStr">
        <is>
          <t>Visite de sensibilisation au Centre de recherche et développement, réunions avec tous le personnel et réunions avec l'industrie</t>
        </is>
      </c>
      <c r="H798" s="1" t="n">
        <v>42949</v>
      </c>
      <c r="I798" s="1" t="n">
        <v>42951</v>
      </c>
      <c r="J798" t="inlineStr">
        <is>
          <t>Charlottetown, PEI</t>
        </is>
      </c>
      <c r="K798" t="inlineStr">
        <is>
          <t>Charlottetown, L’Î-P-É</t>
        </is>
      </c>
      <c r="P798" t="n">
        <v>674.34</v>
      </c>
      <c r="Q798" t="n">
        <v>169.2</v>
      </c>
      <c r="R798" t="n">
        <v>424.06</v>
      </c>
      <c r="S798" t="n">
        <v>243.9</v>
      </c>
      <c r="U798" t="n">
        <v>1511.5</v>
      </c>
      <c r="V798" t="inlineStr">
        <is>
          <t>AJD959719</t>
        </is>
      </c>
      <c r="X798" t="inlineStr">
        <is>
          <t>aafc-aac</t>
        </is>
      </c>
      <c r="Y798" t="inlineStr">
        <is>
          <t>Agriculture and Agri-Food Canada | Agriculture et Agroalimentaire Canada</t>
        </is>
      </c>
    </row>
    <row r="799">
      <c r="A799" t="inlineStr">
        <is>
          <t>T-2017-Q2-00014</t>
        </is>
      </c>
      <c r="B799" t="inlineStr">
        <is>
          <t>SLE</t>
        </is>
      </c>
      <c r="C799" t="inlineStr">
        <is>
          <t>Associate Assistant Deputy Minister</t>
        </is>
      </c>
      <c r="D799" t="inlineStr">
        <is>
          <t>Sous-ministre adjoint délégué</t>
        </is>
      </c>
      <c r="E799" t="inlineStr">
        <is>
          <t>Gilles Saindon</t>
        </is>
      </c>
      <c r="F799" t="inlineStr">
        <is>
          <t>Outreach at the Research and Development Center. All Staff meeting and meetings with industry.</t>
        </is>
      </c>
      <c r="G799" t="inlineStr">
        <is>
          <t>Visite de sensibilisation au Centre de recherche et développement. Réunions avec tous le personnel et réunions avec l'industrie.</t>
        </is>
      </c>
      <c r="H799" s="1" t="n">
        <v>42969</v>
      </c>
      <c r="I799" s="1" t="n">
        <v>42971</v>
      </c>
      <c r="J799" t="inlineStr">
        <is>
          <t>Fredericton, NB</t>
        </is>
      </c>
      <c r="K799" t="inlineStr">
        <is>
          <t>Fredericton, NB</t>
        </is>
      </c>
      <c r="P799" t="n">
        <v>615.45</v>
      </c>
      <c r="Q799" t="n">
        <v>183</v>
      </c>
      <c r="R799" t="n">
        <v>365.7</v>
      </c>
      <c r="S799" t="n">
        <v>260.15</v>
      </c>
      <c r="U799" t="n">
        <v>1424.3</v>
      </c>
      <c r="V799" t="inlineStr">
        <is>
          <t>AJD980516</t>
        </is>
      </c>
      <c r="X799" t="inlineStr">
        <is>
          <t>aafc-aac</t>
        </is>
      </c>
      <c r="Y799" t="inlineStr">
        <is>
          <t>Agriculture and Agri-Food Canada | Agriculture et Agroalimentaire Canada</t>
        </is>
      </c>
    </row>
    <row r="800">
      <c r="A800" t="inlineStr">
        <is>
          <t>T-2017-Q2-00016</t>
        </is>
      </c>
      <c r="B800" t="inlineStr">
        <is>
          <t>SLE</t>
        </is>
      </c>
      <c r="C800" t="inlineStr">
        <is>
          <t>Assistant Deputy Minister Strategic Policy Branch</t>
        </is>
      </c>
      <c r="D800" t="inlineStr">
        <is>
          <t>Sous ministre adjoint des Politiques stratégiques</t>
        </is>
      </c>
      <c r="E800" t="inlineStr">
        <is>
          <t>Tom Rosser</t>
        </is>
      </c>
      <c r="F800" t="inlineStr">
        <is>
          <t>To attend a meeting of the Crop Logistics Working Group</t>
        </is>
      </c>
      <c r="G800" t="inlineStr">
        <is>
          <t>Pour assister à une réunion du groupe de travail sur la logistique du transport des récoltes.</t>
        </is>
      </c>
      <c r="H800" s="1" t="n">
        <v>42904</v>
      </c>
      <c r="I800" s="1" t="n">
        <v>42906</v>
      </c>
      <c r="J800" t="inlineStr">
        <is>
          <t>Winnipeg, MB</t>
        </is>
      </c>
      <c r="K800" t="inlineStr">
        <is>
          <t>Winnipeg, MB</t>
        </is>
      </c>
      <c r="P800" t="n">
        <v>930.98</v>
      </c>
      <c r="Q800" t="n">
        <v>80</v>
      </c>
      <c r="R800" t="n">
        <v>328.74</v>
      </c>
      <c r="S800" t="n">
        <v>260.15</v>
      </c>
      <c r="U800" t="n">
        <v>1599.87</v>
      </c>
      <c r="V800" t="inlineStr">
        <is>
          <t>AJE643423</t>
        </is>
      </c>
      <c r="X800" t="inlineStr">
        <is>
          <t>aafc-aac</t>
        </is>
      </c>
      <c r="Y800" t="inlineStr">
        <is>
          <t>Agriculture and Agri-Food Canada | Agriculture et Agroalimentaire Canada</t>
        </is>
      </c>
    </row>
    <row r="801">
      <c r="A801" t="inlineStr">
        <is>
          <t>T-2017-Q2-00018</t>
        </is>
      </c>
      <c r="B801" t="inlineStr">
        <is>
          <t>SLE</t>
        </is>
      </c>
      <c r="C801" t="inlineStr">
        <is>
          <t>Assistant Deputy Minister Strategic Policy Branch</t>
        </is>
      </c>
      <c r="D801" t="inlineStr">
        <is>
          <t>Sous ministre adjoint des Politiques stratégiques</t>
        </is>
      </c>
      <c r="E801" t="inlineStr">
        <is>
          <t>Tom Rosser</t>
        </is>
      </c>
      <c r="F801" t="inlineStr">
        <is>
          <t>To attend meetings on Trade and Transportation Infrastructure.</t>
        </is>
      </c>
      <c r="G801" t="inlineStr">
        <is>
          <t>Pour assister aux réunions sur le commerce et l'infrastructure de transport.</t>
        </is>
      </c>
      <c r="H801" s="1" t="n">
        <v>42920</v>
      </c>
      <c r="I801" s="1" t="n">
        <v>42924</v>
      </c>
      <c r="J801" t="inlineStr">
        <is>
          <t>Vancouver, BC</t>
        </is>
      </c>
      <c r="K801" t="inlineStr">
        <is>
          <t>Vancouver, CB</t>
        </is>
      </c>
      <c r="P801" t="n">
        <v>1206.38</v>
      </c>
      <c r="Q801" t="n">
        <v>107</v>
      </c>
      <c r="R801" t="n">
        <v>701.46</v>
      </c>
      <c r="S801" t="n">
        <v>375.9</v>
      </c>
      <c r="U801" t="n">
        <v>2390.74</v>
      </c>
      <c r="V801" t="inlineStr">
        <is>
          <t>AJE630257</t>
        </is>
      </c>
      <c r="X801" t="inlineStr">
        <is>
          <t>aafc-aac</t>
        </is>
      </c>
      <c r="Y801" t="inlineStr">
        <is>
          <t>Agriculture and Agri-Food Canada | Agriculture et Agroalimentaire Canada</t>
        </is>
      </c>
    </row>
    <row r="802">
      <c r="A802" t="inlineStr">
        <is>
          <t>T-2017-Q2-00019</t>
        </is>
      </c>
      <c r="B802" t="inlineStr">
        <is>
          <t>SLE</t>
        </is>
      </c>
      <c r="C802" t="inlineStr">
        <is>
          <t>Assistant Deputy Minister Strategic Policy Branch</t>
        </is>
      </c>
      <c r="D802" t="inlineStr">
        <is>
          <t>Sous ministre adjoint des Politiques stratégiques</t>
        </is>
      </c>
      <c r="E802" t="inlineStr">
        <is>
          <t>Tom Rosser</t>
        </is>
      </c>
      <c r="F802" t="inlineStr">
        <is>
          <t>To attend the Annual Conference of Federal, Provincial and Territorial Ministers and Deputy Ministers of Agriculture.</t>
        </is>
      </c>
      <c r="G802" t="inlineStr">
        <is>
          <t>Pour assister à la Conférence annuelle des ministres et sous-ministres fédéraux, provinciaux et territoriaux de l’Agriculture.</t>
        </is>
      </c>
      <c r="H802" s="1" t="n">
        <v>42934</v>
      </c>
      <c r="I802" s="1" t="n">
        <v>42937</v>
      </c>
      <c r="J802" t="inlineStr">
        <is>
          <t>St. John's, NFLD</t>
        </is>
      </c>
      <c r="K802" t="inlineStr">
        <is>
          <t>St. Jean, TN</t>
        </is>
      </c>
      <c r="P802" t="n">
        <v>2039.22</v>
      </c>
      <c r="R802" t="n">
        <v>888.9299999999999</v>
      </c>
      <c r="S802" t="n">
        <v>249.4</v>
      </c>
      <c r="T802" t="n">
        <v>350</v>
      </c>
      <c r="U802" t="n">
        <v>3527.55</v>
      </c>
      <c r="V802" t="inlineStr">
        <is>
          <t>AJE636082</t>
        </is>
      </c>
      <c r="X802" t="inlineStr">
        <is>
          <t>aafc-aac</t>
        </is>
      </c>
      <c r="Y802" t="inlineStr">
        <is>
          <t>Agriculture and Agri-Food Canada | Agriculture et Agroalimentaire Canada</t>
        </is>
      </c>
    </row>
    <row r="803">
      <c r="A803" t="inlineStr">
        <is>
          <t>T-2017-Q2-00020</t>
        </is>
      </c>
      <c r="B803" t="inlineStr">
        <is>
          <t>SLE</t>
        </is>
      </c>
      <c r="C803" t="inlineStr">
        <is>
          <t>Assistant Deputy Minister Strategic Policy Branch</t>
        </is>
      </c>
      <c r="D803" t="inlineStr">
        <is>
          <t>Sous ministre adjoint des Politiques stratégiques</t>
        </is>
      </c>
      <c r="E803" t="inlineStr">
        <is>
          <t>Tom Rosser</t>
        </is>
      </c>
      <c r="F803" t="inlineStr">
        <is>
          <t>To attend the Bio World Congress on Industrial Biotechnology.</t>
        </is>
      </c>
      <c r="G803" t="inlineStr">
        <is>
          <t>Pour assister à le Congrès mondial BIO sur la biotechnologie industrielle.</t>
        </is>
      </c>
      <c r="H803" s="1" t="n">
        <v>42939</v>
      </c>
      <c r="I803" s="1" t="n">
        <v>42941</v>
      </c>
      <c r="J803" t="inlineStr">
        <is>
          <t>Montréal, Québec</t>
        </is>
      </c>
      <c r="K803" t="inlineStr">
        <is>
          <t>Montréal, Québec</t>
        </is>
      </c>
      <c r="Q803" t="n">
        <v>275.38</v>
      </c>
      <c r="R803" t="n">
        <v>545.02</v>
      </c>
      <c r="S803" t="n">
        <v>168.25</v>
      </c>
      <c r="T803" t="n">
        <v>1065</v>
      </c>
      <c r="U803" t="n">
        <v>2053.65</v>
      </c>
      <c r="V803" t="inlineStr">
        <is>
          <t>AJE671630</t>
        </is>
      </c>
      <c r="X803" t="inlineStr">
        <is>
          <t>aafc-aac</t>
        </is>
      </c>
      <c r="Y803" t="inlineStr">
        <is>
          <t>Agriculture and Agri-Food Canada | Agriculture et Agroalimentaire Canada</t>
        </is>
      </c>
    </row>
    <row r="804">
      <c r="A804" t="inlineStr">
        <is>
          <t>T-2017-Q2-00021</t>
        </is>
      </c>
      <c r="B804" t="inlineStr">
        <is>
          <t>SLE</t>
        </is>
      </c>
      <c r="C804" t="inlineStr">
        <is>
          <t>Asistant Deputy Minister Market and and Industry Services branch</t>
        </is>
      </c>
      <c r="D804" t="inlineStr">
        <is>
          <t>Sous-minstre adjoint Services à l'industrie et aux marchés</t>
        </is>
      </c>
      <c r="E804" t="inlineStr">
        <is>
          <t>Fred Gorrell</t>
        </is>
      </c>
      <c r="F804" t="inlineStr">
        <is>
          <t>To accompany the Minister to Kazakhstan</t>
        </is>
      </c>
      <c r="G804" t="inlineStr">
        <is>
          <t>Pour accompagner le ministre de Kazakhstan</t>
        </is>
      </c>
      <c r="H804" s="1" t="n">
        <v>42905</v>
      </c>
      <c r="I804" s="1" t="n">
        <v>42912</v>
      </c>
      <c r="J804" t="inlineStr">
        <is>
          <t>Astana, Kazakhstan</t>
        </is>
      </c>
      <c r="K804" t="inlineStr">
        <is>
          <t>Astana, Kazakhstan</t>
        </is>
      </c>
      <c r="P804" t="n">
        <v>9557.34</v>
      </c>
      <c r="Q804" t="n">
        <v>235.52</v>
      </c>
      <c r="R804" t="n">
        <v>1451.99</v>
      </c>
      <c r="S804" t="n">
        <v>467.23</v>
      </c>
      <c r="U804" t="n">
        <v>11712.08</v>
      </c>
      <c r="V804" t="inlineStr">
        <is>
          <t>AJE550210</t>
        </is>
      </c>
      <c r="X804" t="inlineStr">
        <is>
          <t>aafc-aac</t>
        </is>
      </c>
      <c r="Y804" t="inlineStr">
        <is>
          <t>Agriculture and Agri-Food Canada | Agriculture et Agroalimentaire Canada</t>
        </is>
      </c>
    </row>
    <row r="805">
      <c r="A805" t="inlineStr">
        <is>
          <t>T-2017-Q2-00022</t>
        </is>
      </c>
      <c r="B805" t="inlineStr">
        <is>
          <t>SLE</t>
        </is>
      </c>
      <c r="C805" t="inlineStr">
        <is>
          <t>Asistant Deputy Minister Market and and Industry Services branch</t>
        </is>
      </c>
      <c r="D805" t="inlineStr">
        <is>
          <t>Sous-minstre adjoint Services à l'industrie et aux marchés</t>
        </is>
      </c>
      <c r="E805" t="inlineStr">
        <is>
          <t>Fred Gorrell</t>
        </is>
      </c>
      <c r="F805" t="inlineStr">
        <is>
          <t>To attend the Maritime Beef Summit</t>
        </is>
      </c>
      <c r="G805" t="inlineStr">
        <is>
          <t>Pour assister au sommet de boeuf des maritimes</t>
        </is>
      </c>
      <c r="H805" s="1" t="n">
        <v>42926</v>
      </c>
      <c r="I805" s="1" t="n">
        <v>42928</v>
      </c>
      <c r="J805" t="inlineStr">
        <is>
          <t>Moncton, NB</t>
        </is>
      </c>
      <c r="K805" t="inlineStr">
        <is>
          <t>Moncton, NB</t>
        </is>
      </c>
      <c r="P805" t="n">
        <v>631</v>
      </c>
      <c r="Q805" t="n">
        <v>85.40000000000001</v>
      </c>
      <c r="R805" t="n">
        <v>549.6799999999999</v>
      </c>
      <c r="S805" t="n">
        <v>150.2</v>
      </c>
      <c r="U805" t="n">
        <v>1416.28</v>
      </c>
      <c r="V805" t="inlineStr">
        <is>
          <t>AJE503864</t>
        </is>
      </c>
      <c r="X805" t="inlineStr">
        <is>
          <t>aafc-aac</t>
        </is>
      </c>
      <c r="Y805" t="inlineStr">
        <is>
          <t>Agriculture and Agri-Food Canada | Agriculture et Agroalimentaire Canada</t>
        </is>
      </c>
    </row>
    <row r="806">
      <c r="A806" t="inlineStr">
        <is>
          <t>T-2017-Q2-00023</t>
        </is>
      </c>
      <c r="B806" t="inlineStr">
        <is>
          <t>SLE</t>
        </is>
      </c>
      <c r="C806" t="inlineStr">
        <is>
          <t>Asistant Deputy Minister Market and and Industry Services branch</t>
        </is>
      </c>
      <c r="D806" t="inlineStr">
        <is>
          <t>Sous-minstre adjoint Services à l'industrie et aux marchés</t>
        </is>
      </c>
      <c r="E806" t="inlineStr">
        <is>
          <t>Fred Gorrell</t>
        </is>
      </c>
      <c r="F806" t="inlineStr">
        <is>
          <t>To attend the Federal Provincial Trade Meetings</t>
        </is>
      </c>
      <c r="G806" t="inlineStr">
        <is>
          <t>Participer à une rencontre de commerce du fédérale, provinciale et territoriale</t>
        </is>
      </c>
      <c r="H806" s="1" t="n">
        <v>42934</v>
      </c>
      <c r="I806" s="1" t="n">
        <v>42942</v>
      </c>
      <c r="J806" t="inlineStr">
        <is>
          <t>St John's, NFLD</t>
        </is>
      </c>
      <c r="K806" t="inlineStr">
        <is>
          <t>St John's TN</t>
        </is>
      </c>
      <c r="P806" t="n">
        <v>736.13</v>
      </c>
      <c r="Q806" t="n">
        <v>73.64</v>
      </c>
      <c r="R806" t="n">
        <v>888.9299999999999</v>
      </c>
      <c r="S806" t="n">
        <v>243.15</v>
      </c>
      <c r="T806" t="n">
        <v>350</v>
      </c>
      <c r="U806" t="n">
        <v>2291.85</v>
      </c>
      <c r="V806" t="inlineStr">
        <is>
          <t>AJE586166</t>
        </is>
      </c>
      <c r="X806" t="inlineStr">
        <is>
          <t>aafc-aac</t>
        </is>
      </c>
      <c r="Y806" t="inlineStr">
        <is>
          <t>Agriculture and Agri-Food Canada | Agriculture et Agroalimentaire Canada</t>
        </is>
      </c>
    </row>
    <row r="807">
      <c r="A807" t="inlineStr">
        <is>
          <t>T-2017-Q2-00024</t>
        </is>
      </c>
      <c r="B807" t="inlineStr">
        <is>
          <t>SLE</t>
        </is>
      </c>
      <c r="C807" t="inlineStr">
        <is>
          <t>Asistant Deputy Minister Market and and Industry Services branch</t>
        </is>
      </c>
      <c r="D807" t="inlineStr">
        <is>
          <t>Sous-minstre adjoint Services à l'industrie et aux marchés</t>
        </is>
      </c>
      <c r="E807" t="inlineStr">
        <is>
          <t>Fred Gorrell</t>
        </is>
      </c>
      <c r="F807" t="inlineStr">
        <is>
          <t>To accompany the Parliamentary Secretary to Iowa Agriculture Summit</t>
        </is>
      </c>
      <c r="G807" t="inlineStr">
        <is>
          <t>Pour accompagner le secrétaire parlementaire au sommet agricole de Iowa</t>
        </is>
      </c>
      <c r="H807" s="1" t="n">
        <v>42951</v>
      </c>
      <c r="I807" s="1" t="n">
        <v>42952</v>
      </c>
      <c r="J807" t="inlineStr">
        <is>
          <t>Des Moines, IO</t>
        </is>
      </c>
      <c r="K807" t="inlineStr">
        <is>
          <t>Des Moines, IO</t>
        </is>
      </c>
      <c r="P807" t="n">
        <v>1006.74</v>
      </c>
      <c r="Q807" t="n">
        <v>97.36</v>
      </c>
      <c r="R807" t="n">
        <v>265.88</v>
      </c>
      <c r="S807" t="n">
        <v>155.25</v>
      </c>
      <c r="T807" t="n">
        <v>3.79</v>
      </c>
      <c r="U807" t="n">
        <v>1529.02</v>
      </c>
      <c r="V807" t="inlineStr">
        <is>
          <t>AJE548612</t>
        </is>
      </c>
      <c r="X807" t="inlineStr">
        <is>
          <t>aafc-aac</t>
        </is>
      </c>
      <c r="Y807" t="inlineStr">
        <is>
          <t>Agriculture and Agri-Food Canada | Agriculture et Agroalimentaire Canada</t>
        </is>
      </c>
    </row>
    <row r="808">
      <c r="A808" t="inlineStr">
        <is>
          <t>T-2017-Q2-00025</t>
        </is>
      </c>
      <c r="B808" t="inlineStr">
        <is>
          <t>SLE</t>
        </is>
      </c>
      <c r="C808" t="inlineStr">
        <is>
          <t>Chief Agriculture Negotiator</t>
        </is>
      </c>
      <c r="D808" t="inlineStr">
        <is>
          <t>Négociateur en chef agricole</t>
        </is>
      </c>
      <c r="E808" t="inlineStr">
        <is>
          <t>Frédéric Seppey</t>
        </is>
      </c>
      <c r="F808" t="inlineStr">
        <is>
          <t>Continuous executive training, Leadership Decision Making course (Kennedy School of Government, Cambridge, MA).</t>
        </is>
      </c>
      <c r="G808" t="inlineStr">
        <is>
          <t>Formation continue des cadres - Cours sur la prise de décision exécutive (Kennedy School of Government, Cambridge, MA).</t>
        </is>
      </c>
      <c r="H808" s="1" t="n">
        <v>42904</v>
      </c>
      <c r="I808" s="1" t="n">
        <v>42909</v>
      </c>
      <c r="J808" t="inlineStr">
        <is>
          <t>Boston, MA</t>
        </is>
      </c>
      <c r="K808" t="inlineStr">
        <is>
          <t>Boston, MA</t>
        </is>
      </c>
      <c r="P808" t="n">
        <v>552.59</v>
      </c>
      <c r="Q808" t="n">
        <v>234.46</v>
      </c>
      <c r="S808" t="n">
        <v>313.6</v>
      </c>
      <c r="U808" t="n">
        <v>1100.65</v>
      </c>
      <c r="V808" t="inlineStr">
        <is>
          <t>AJE538086</t>
        </is>
      </c>
      <c r="X808" t="inlineStr">
        <is>
          <t>aafc-aac</t>
        </is>
      </c>
      <c r="Y808" t="inlineStr">
        <is>
          <t>Agriculture and Agri-Food Canada | Agriculture et Agroalimentaire Canada</t>
        </is>
      </c>
    </row>
    <row r="809">
      <c r="A809" t="inlineStr">
        <is>
          <t>T-2017-Q2-00026</t>
        </is>
      </c>
      <c r="B809" t="inlineStr">
        <is>
          <t>SLE</t>
        </is>
      </c>
      <c r="C809" t="inlineStr">
        <is>
          <t>Chief Agriculture Negotiator</t>
        </is>
      </c>
      <c r="D809" t="inlineStr">
        <is>
          <t>Négociateur en chef agricole</t>
        </is>
      </c>
      <c r="E809" t="inlineStr">
        <is>
          <t>Frédéric Seppey</t>
        </is>
      </c>
      <c r="F809" t="inlineStr">
        <is>
          <t>Annual Federal, Provinicial and Territorial meeting of Ministers responsible for Agriculture.</t>
        </is>
      </c>
      <c r="G809" t="inlineStr">
        <is>
          <t>Rencontre annuelle fédérale, provinciale, territoriale des ministres responsables de l'agriculture.</t>
        </is>
      </c>
      <c r="H809" s="1" t="n">
        <v>42935</v>
      </c>
      <c r="I809" s="1" t="n">
        <v>42937</v>
      </c>
      <c r="J809" t="inlineStr">
        <is>
          <t>St. John's NL</t>
        </is>
      </c>
      <c r="K809" t="inlineStr">
        <is>
          <t>St. John's,TN</t>
        </is>
      </c>
      <c r="P809" t="n">
        <v>1482.89</v>
      </c>
      <c r="Q809" t="n">
        <v>26</v>
      </c>
      <c r="R809" t="n">
        <v>888.9299999999999</v>
      </c>
      <c r="S809" t="n">
        <v>133.05</v>
      </c>
      <c r="T809" t="n">
        <v>350</v>
      </c>
      <c r="U809" t="n">
        <v>2880.87</v>
      </c>
      <c r="V809" t="inlineStr">
        <is>
          <t>AJE598722</t>
        </is>
      </c>
      <c r="X809" t="inlineStr">
        <is>
          <t>aafc-aac</t>
        </is>
      </c>
      <c r="Y809" t="inlineStr">
        <is>
          <t>Agriculture and Agri-Food Canada | Agriculture et Agroalimentaire Canada</t>
        </is>
      </c>
    </row>
    <row r="810">
      <c r="A810" t="inlineStr">
        <is>
          <t>T-2017-Q2-00027</t>
        </is>
      </c>
      <c r="B810" t="inlineStr">
        <is>
          <t>SLE</t>
        </is>
      </c>
      <c r="C810" t="inlineStr">
        <is>
          <t>Chief Agriculture Negotiator</t>
        </is>
      </c>
      <c r="D810" t="inlineStr">
        <is>
          <t>Négociateur en chef agricole</t>
        </is>
      </c>
      <c r="E810" t="inlineStr">
        <is>
          <t>Frédéric Seppey</t>
        </is>
      </c>
      <c r="F810" t="inlineStr">
        <is>
          <t>Speaking engagement, Dairy Farmers of Canada Annual General Meeting.</t>
        </is>
      </c>
      <c r="G810" t="inlineStr">
        <is>
          <t>Conférencier invité, Assemblée annuelle des Producteurs de lait du Canada.</t>
        </is>
      </c>
      <c r="H810" s="1" t="n">
        <v>42933</v>
      </c>
      <c r="I810" s="1" t="n">
        <v>42934</v>
      </c>
      <c r="J810" t="inlineStr">
        <is>
          <t>Edmonton, AB</t>
        </is>
      </c>
      <c r="K810" t="inlineStr">
        <is>
          <t>Edmonton, AB</t>
        </is>
      </c>
      <c r="P810" t="n">
        <v>946.34</v>
      </c>
      <c r="Q810" t="n">
        <v>179.26</v>
      </c>
      <c r="R810" t="n">
        <v>125.35</v>
      </c>
      <c r="S810" t="n">
        <v>161.7</v>
      </c>
      <c r="T810" t="n">
        <v>13.6</v>
      </c>
      <c r="U810" t="n">
        <v>1426.25</v>
      </c>
      <c r="V810" t="inlineStr">
        <is>
          <t>AJE533317</t>
        </is>
      </c>
      <c r="X810" t="inlineStr">
        <is>
          <t>aafc-aac</t>
        </is>
      </c>
      <c r="Y810" t="inlineStr">
        <is>
          <t>Agriculture and Agri-Food Canada | Agriculture et Agroalimentaire Canada</t>
        </is>
      </c>
    </row>
    <row r="811">
      <c r="A811" t="inlineStr">
        <is>
          <t>T-2017-Q2-00028</t>
        </is>
      </c>
      <c r="B811" t="inlineStr">
        <is>
          <t>SLE</t>
        </is>
      </c>
      <c r="C811" t="inlineStr">
        <is>
          <t>Chief Agriculture Negotiator</t>
        </is>
      </c>
      <c r="D811" t="inlineStr">
        <is>
          <t>Négociateur en chef agricole</t>
        </is>
      </c>
      <c r="E811" t="inlineStr">
        <is>
          <t>Frédéric Seppey</t>
        </is>
      </c>
      <c r="F811" t="inlineStr">
        <is>
          <t>Support to Minister of Agriculture and Agri-Food at the Pacific NorthWest Economic Region 27th Annual Summit.</t>
        </is>
      </c>
      <c r="G811" t="inlineStr">
        <is>
          <t>Appui au Ministre de l'Agriculture et de l'agroalimentaire - 27ième sommet annuel du Pacifique du nord ouest de la region économique.</t>
        </is>
      </c>
      <c r="H811" s="1" t="n">
        <v>42939</v>
      </c>
      <c r="I811" s="1" t="n">
        <v>42941</v>
      </c>
      <c r="J811" t="inlineStr">
        <is>
          <t>Portland, OR</t>
        </is>
      </c>
      <c r="K811" t="inlineStr">
        <is>
          <t>Portland, OR</t>
        </is>
      </c>
      <c r="P811" t="n">
        <v>1662.88</v>
      </c>
      <c r="Q811" t="n">
        <v>242.61</v>
      </c>
      <c r="R811" t="n">
        <v>574.1799999999999</v>
      </c>
      <c r="S811" t="n">
        <v>276.44</v>
      </c>
      <c r="U811" t="n">
        <v>2756.11</v>
      </c>
      <c r="V811" t="inlineStr">
        <is>
          <t>AJE598919</t>
        </is>
      </c>
      <c r="X811" t="inlineStr">
        <is>
          <t>aafc-aac</t>
        </is>
      </c>
      <c r="Y811" t="inlineStr">
        <is>
          <t>Agriculture and Agri-Food Canada | Agriculture et Agroalimentaire Canada</t>
        </is>
      </c>
    </row>
    <row r="812">
      <c r="A812" t="inlineStr">
        <is>
          <t>T-2017-Q2-00029</t>
        </is>
      </c>
      <c r="B812" t="inlineStr">
        <is>
          <t>SLE</t>
        </is>
      </c>
      <c r="C812" t="inlineStr">
        <is>
          <t>Chief Agriculture Negotiator</t>
        </is>
      </c>
      <c r="D812" t="inlineStr">
        <is>
          <t>Négociateur en chef agricole</t>
        </is>
      </c>
      <c r="E812" t="inlineStr">
        <is>
          <t>Frédéric Seppey</t>
        </is>
      </c>
      <c r="F812" t="inlineStr">
        <is>
          <t>Head of the Delegation to the 40th conference of the United Nations Food and Agriculture Organization.</t>
        </is>
      </c>
      <c r="G812" t="inlineStr">
        <is>
          <t>Chef de la délégation canadienne à la 40e conférence de l'Organisation des Nations-Unies pour l'alimentation et l'agriculture.</t>
        </is>
      </c>
      <c r="H812" s="1" t="n">
        <v>42898</v>
      </c>
      <c r="I812" s="1" t="n">
        <v>42902</v>
      </c>
      <c r="J812" t="inlineStr">
        <is>
          <t>Rome, IT</t>
        </is>
      </c>
      <c r="K812" t="inlineStr">
        <is>
          <t>Rome, IT</t>
        </is>
      </c>
      <c r="P812" t="n">
        <v>2046.2</v>
      </c>
      <c r="Q812" t="n">
        <v>167.08</v>
      </c>
      <c r="R812" t="n">
        <v>1074.16</v>
      </c>
      <c r="S812" t="n">
        <v>536.5599999999999</v>
      </c>
      <c r="U812" t="n">
        <v>3824</v>
      </c>
      <c r="V812" t="inlineStr">
        <is>
          <t>AJE537085</t>
        </is>
      </c>
      <c r="X812" t="inlineStr">
        <is>
          <t>aafc-aac</t>
        </is>
      </c>
      <c r="Y812" t="inlineStr">
        <is>
          <t>Agriculture and Agri-Food Canada | Agriculture et Agroalimentaire Canada</t>
        </is>
      </c>
    </row>
    <row r="813">
      <c r="A813" t="inlineStr">
        <is>
          <t>T-2017-Q2-00030</t>
        </is>
      </c>
      <c r="B813" t="inlineStr">
        <is>
          <t>SLE</t>
        </is>
      </c>
      <c r="C813" t="inlineStr">
        <is>
          <t>Chief Agriculture Negotiator</t>
        </is>
      </c>
      <c r="D813" t="inlineStr">
        <is>
          <t>Négociateur en chef agricole</t>
        </is>
      </c>
      <c r="E813" t="inlineStr">
        <is>
          <t>Frédéric Seppey</t>
        </is>
      </c>
      <c r="F813" t="inlineStr">
        <is>
          <t>Chairing of the 5th Global Low-Level Presence Initiative.</t>
        </is>
      </c>
      <c r="G813" t="inlineStr">
        <is>
          <t>Présidene de la 5ieme rencontre de l'initiative globale sur la présence en faible valeur.</t>
        </is>
      </c>
      <c r="H813" s="1" t="n">
        <v>42918</v>
      </c>
      <c r="I813" s="1" t="n">
        <v>42922</v>
      </c>
      <c r="J813" t="inlineStr">
        <is>
          <t>Rome, IT</t>
        </is>
      </c>
      <c r="K813" t="inlineStr">
        <is>
          <t>Rome, IT</t>
        </is>
      </c>
      <c r="P813" t="n">
        <v>2949.99</v>
      </c>
      <c r="Q813" t="n">
        <v>254.55</v>
      </c>
      <c r="R813" t="n">
        <v>734.67</v>
      </c>
      <c r="S813" t="n">
        <v>660</v>
      </c>
      <c r="U813" t="n">
        <v>4599.21</v>
      </c>
      <c r="V813" t="inlineStr">
        <is>
          <t>AJE559383</t>
        </is>
      </c>
      <c r="X813" t="inlineStr">
        <is>
          <t>aafc-aac</t>
        </is>
      </c>
      <c r="Y813" t="inlineStr">
        <is>
          <t>Agriculture and Agri-Food Canada | Agriculture et Agroalimentaire Canada</t>
        </is>
      </c>
    </row>
    <row r="814">
      <c r="A814" t="inlineStr">
        <is>
          <t>T-2017-Q2-00031</t>
        </is>
      </c>
      <c r="B814" t="inlineStr">
        <is>
          <t>SLE</t>
        </is>
      </c>
      <c r="C814" t="inlineStr">
        <is>
          <t>Assistant Deputy Minister Public Affairs Branch</t>
        </is>
      </c>
      <c r="D814" t="inlineStr">
        <is>
          <t>Sous-ministre adjointe Direction générale des affaires publiques</t>
        </is>
      </c>
      <c r="E814" t="inlineStr">
        <is>
          <t>Jane Taylor</t>
        </is>
      </c>
      <c r="F814" t="inlineStr">
        <is>
          <t>Attend Annual Conference of  Federal, provincialand territorial Ministers and Deputy Minister's of Agricultrure and Agri-Food Canada.</t>
        </is>
      </c>
      <c r="G814" t="inlineStr">
        <is>
          <t>Participer à la Conférence annuelle fédérale, provinciale et territoriale des ministres et sous-ministres d'Agriculture et Agroalimentaire Canada.</t>
        </is>
      </c>
      <c r="H814" s="1" t="n">
        <v>42934</v>
      </c>
      <c r="I814" s="1" t="n">
        <v>42937</v>
      </c>
      <c r="J814" t="inlineStr">
        <is>
          <t>St.John's, NL</t>
        </is>
      </c>
      <c r="K814" t="inlineStr">
        <is>
          <t>St. John's, TN</t>
        </is>
      </c>
      <c r="P814" t="n">
        <v>847.34</v>
      </c>
      <c r="Q814" t="n">
        <v>37.1</v>
      </c>
      <c r="R814" t="n">
        <v>888.9299999999999</v>
      </c>
      <c r="S814" t="n">
        <v>214.35</v>
      </c>
      <c r="T814" t="n">
        <v>350</v>
      </c>
      <c r="U814" t="n">
        <v>2337.72</v>
      </c>
      <c r="V814" t="inlineStr">
        <is>
          <t>Flights to Halifax, NS included
AJC199981</t>
        </is>
      </c>
      <c r="W814" t="inlineStr">
        <is>
          <t>Incluant les vols pour</t>
        </is>
      </c>
      <c r="X814" t="inlineStr">
        <is>
          <t>aafc-aac</t>
        </is>
      </c>
      <c r="Y814" t="inlineStr">
        <is>
          <t>Agriculture and Agri-Food Canada | Agriculture et Agroalimentaire Canada</t>
        </is>
      </c>
    </row>
    <row r="815">
      <c r="A815" t="inlineStr">
        <is>
          <t>T-2017-Q2-00032</t>
        </is>
      </c>
      <c r="B815" t="inlineStr">
        <is>
          <t>SLE</t>
        </is>
      </c>
      <c r="C815" t="inlineStr">
        <is>
          <t>Assistant Deputy Minister Public Affairs Branch</t>
        </is>
      </c>
      <c r="D815" t="inlineStr">
        <is>
          <t>Sous-ministre adjointe Direction générale des affaires publiques</t>
        </is>
      </c>
      <c r="E815" t="inlineStr">
        <is>
          <t>Jane Taylor</t>
        </is>
      </c>
      <c r="F815" t="inlineStr">
        <is>
          <t>Regional Outreach</t>
        </is>
      </c>
      <c r="G815" t="inlineStr">
        <is>
          <t>Visite de sensibilisation</t>
        </is>
      </c>
      <c r="H815" s="1" t="n">
        <v>42939</v>
      </c>
      <c r="I815" s="1" t="n">
        <v>42940</v>
      </c>
      <c r="J815" t="inlineStr">
        <is>
          <t>Halifax, NS</t>
        </is>
      </c>
      <c r="K815" t="inlineStr">
        <is>
          <t>Halifax, N-É</t>
        </is>
      </c>
      <c r="P815" t="n">
        <v>647.5</v>
      </c>
      <c r="Q815" t="n">
        <v>93.48</v>
      </c>
      <c r="R815" t="n">
        <v>112.12</v>
      </c>
      <c r="S815" t="n">
        <v>161.7</v>
      </c>
      <c r="U815" t="n">
        <v>1014.8</v>
      </c>
      <c r="V815" t="inlineStr">
        <is>
          <t>Flights claimed on  previous trip (St.Johns)
ACJ101008</t>
        </is>
      </c>
      <c r="W815" t="inlineStr">
        <is>
          <t>Vols réclamés sous voyage précédent St.Johns, TN</t>
        </is>
      </c>
      <c r="X815" t="inlineStr">
        <is>
          <t>aafc-aac</t>
        </is>
      </c>
      <c r="Y815" t="inlineStr">
        <is>
          <t>Agriculture and Agri-Food Canada | Agriculture et Agroalimentaire Canada</t>
        </is>
      </c>
    </row>
    <row r="816">
      <c r="A816" t="inlineStr">
        <is>
          <t>T-2017-Q2-00034</t>
        </is>
      </c>
      <c r="B816" t="inlineStr">
        <is>
          <t>SLE</t>
        </is>
      </c>
      <c r="C816" t="inlineStr">
        <is>
          <t>Assistant Deputy Minister Programs Branch</t>
        </is>
      </c>
      <c r="D816" t="inlineStr">
        <is>
          <t>Sous-ministre adjointe de la Direction générale des programmes</t>
        </is>
      </c>
      <c r="E816" t="inlineStr">
        <is>
          <t xml:space="preserve">France Pégeot </t>
        </is>
      </c>
      <c r="F816" t="inlineStr">
        <is>
          <t xml:space="preserve">Meeting with Quebec provincial government </t>
        </is>
      </c>
      <c r="G816" t="inlineStr">
        <is>
          <t>Réunion avec le gouvernement provincial du Québec</t>
        </is>
      </c>
      <c r="H816" s="1" t="n">
        <v>42919</v>
      </c>
      <c r="I816" s="1" t="n">
        <v>42919</v>
      </c>
      <c r="J816" t="inlineStr">
        <is>
          <t xml:space="preserve">Québec, Québec </t>
        </is>
      </c>
      <c r="K816" t="inlineStr">
        <is>
          <t xml:space="preserve">Québec, Québec </t>
        </is>
      </c>
      <c r="P816" t="n">
        <v>437.23</v>
      </c>
      <c r="Q816" t="n">
        <v>67</v>
      </c>
      <c r="R816" t="n">
        <v>0</v>
      </c>
      <c r="S816" t="n">
        <v>81.15000000000001</v>
      </c>
      <c r="U816" t="n">
        <v>585.38</v>
      </c>
      <c r="V816" t="inlineStr">
        <is>
          <t>AJF126037</t>
        </is>
      </c>
      <c r="X816" t="inlineStr">
        <is>
          <t>aafc-aac</t>
        </is>
      </c>
      <c r="Y816" t="inlineStr">
        <is>
          <t>Agriculture and Agri-Food Canada | Agriculture et Agroalimentaire Canada</t>
        </is>
      </c>
    </row>
    <row r="817">
      <c r="A817" t="inlineStr">
        <is>
          <t>T-2017-Q2-00036</t>
        </is>
      </c>
      <c r="B817" t="inlineStr">
        <is>
          <t>SLE</t>
        </is>
      </c>
      <c r="C817" t="inlineStr">
        <is>
          <t>Assistant Deputy Minister Programs Branch</t>
        </is>
      </c>
      <c r="D817" t="inlineStr">
        <is>
          <t>Sous-ministre adjointe de la Direction générale des programmes</t>
        </is>
      </c>
      <c r="E817" t="inlineStr">
        <is>
          <t xml:space="preserve">France Pégeot </t>
        </is>
      </c>
      <c r="F817" t="inlineStr">
        <is>
          <t xml:space="preserve"> Minister's federal, provincial and territorial meeting.  Regina First Nations session.</t>
        </is>
      </c>
      <c r="G817" t="inlineStr">
        <is>
          <t>Réunion fédérale, provinviale et territoriale du ministre.  Sessions des Premières nations à Régina.</t>
        </is>
      </c>
      <c r="H817" s="1" t="n">
        <v>42934</v>
      </c>
      <c r="I817" s="1" t="n">
        <v>42940</v>
      </c>
      <c r="J817" t="inlineStr">
        <is>
          <t xml:space="preserve">Saint John's, NFLD and Regina, SK </t>
        </is>
      </c>
      <c r="K817" t="inlineStr">
        <is>
          <t xml:space="preserve">Saint John's, TN et Regina, SK </t>
        </is>
      </c>
      <c r="P817" t="n">
        <v>3187.1</v>
      </c>
      <c r="Q817" t="n">
        <v>73</v>
      </c>
      <c r="R817" t="n">
        <v>1047.85</v>
      </c>
      <c r="S817" t="n">
        <v>387.7</v>
      </c>
      <c r="T817" t="n">
        <v>350</v>
      </c>
      <c r="U817" t="n">
        <v>5045.65</v>
      </c>
      <c r="V817" t="inlineStr">
        <is>
          <t>Personal Expenses from Jul. 21 4:00 pm  to Jul. 23 flights to Regina. Increased cost for airfare in order to meet the Deputy Minister`s request to change flights and last minute addition of the Regina travel portion. 
AJF172395</t>
        </is>
      </c>
      <c r="W817" t="inlineStr">
        <is>
          <t>Dépenses personnelles du 21 juillet 16h00 au 23 juillet, vol à Régina. Augmentation du coût du transport aérien afin de répondre à la demande du sous-ministre de modifier les vols et l'ajout de dernière minute de la partie de voyage à Regina</t>
        </is>
      </c>
      <c r="X817" t="inlineStr">
        <is>
          <t>aafc-aac</t>
        </is>
      </c>
      <c r="Y817" t="inlineStr">
        <is>
          <t>Agriculture and Agri-Food Canada | Agriculture et Agroalimentaire Canada</t>
        </is>
      </c>
    </row>
    <row r="818">
      <c r="A818" t="inlineStr">
        <is>
          <t>T-2017-Q2-00037</t>
        </is>
      </c>
      <c r="B818" t="inlineStr">
        <is>
          <t>SLE</t>
        </is>
      </c>
      <c r="C818" t="inlineStr">
        <is>
          <t>Assistant Deputy Minister Programs Branch</t>
        </is>
      </c>
      <c r="D818" t="inlineStr">
        <is>
          <t>Sous-ministre adjointe de la Direction générale des programmes</t>
        </is>
      </c>
      <c r="E818" t="inlineStr">
        <is>
          <t xml:space="preserve">France Pégeot </t>
        </is>
      </c>
      <c r="F818" t="inlineStr">
        <is>
          <t xml:space="preserve">2017 Canadian Field Crop Research Alliance Annual Meeting </t>
        </is>
      </c>
      <c r="G818" t="inlineStr">
        <is>
          <t>Réunion annuelle de l'Alliance de recherche sur les cultures commerciales du Canada 2017</t>
        </is>
      </c>
      <c r="H818" s="1" t="n">
        <v>42942</v>
      </c>
      <c r="I818" s="1" t="n">
        <v>42946</v>
      </c>
      <c r="J818" t="inlineStr">
        <is>
          <t xml:space="preserve">Québec, Québec </t>
        </is>
      </c>
      <c r="K818" t="inlineStr">
        <is>
          <t xml:space="preserve">Québec, Québec </t>
        </is>
      </c>
      <c r="P818" t="n">
        <v>788.85</v>
      </c>
      <c r="Q818" t="n">
        <v>112.48</v>
      </c>
      <c r="S818" t="n">
        <v>211.7</v>
      </c>
      <c r="U818" t="n">
        <v>1113.03</v>
      </c>
      <c r="V818" t="inlineStr">
        <is>
          <t>Personal Expenses from Jul. 28 4:00 pm  to Jul. 30, return flight. One night Private Accommodation linked with Meals and Incidentals. 
AJF171018</t>
        </is>
      </c>
      <c r="W818" t="inlineStr">
        <is>
          <t xml:space="preserve">Dépenses personnelles du 28 juillet 16h00 au 30 juillet, vol de retour. Une nuit d'hébergement privé lié aux repas et aux frais accessoires. </t>
        </is>
      </c>
      <c r="X818" t="inlineStr">
        <is>
          <t>aafc-aac</t>
        </is>
      </c>
      <c r="Y818" t="inlineStr">
        <is>
          <t>Agriculture and Agri-Food Canada | Agriculture et Agroalimentaire Canada</t>
        </is>
      </c>
    </row>
    <row r="819">
      <c r="A819" t="inlineStr">
        <is>
          <t>T-2017-Q2-00038</t>
        </is>
      </c>
      <c r="B819" t="inlineStr">
        <is>
          <t>SLE</t>
        </is>
      </c>
      <c r="C819" t="inlineStr">
        <is>
          <t>Assistant Deputy Minister Programs Branch</t>
        </is>
      </c>
      <c r="D819" t="inlineStr">
        <is>
          <t>Sous-ministre adjointe de la Direction générale des programmes</t>
        </is>
      </c>
      <c r="E819" t="inlineStr">
        <is>
          <t xml:space="preserve">France Pégeot </t>
        </is>
      </c>
      <c r="F819" t="inlineStr">
        <is>
          <t>Saskatchewan Pasture Outreach</t>
        </is>
      </c>
      <c r="G819" t="inlineStr">
        <is>
          <t xml:space="preserve">Sensibilisation des pâturages de la Saskatchewan </t>
        </is>
      </c>
      <c r="H819" s="1" t="n">
        <v>42947</v>
      </c>
      <c r="I819" s="1" t="n">
        <v>42954</v>
      </c>
      <c r="J819" t="inlineStr">
        <is>
          <t>Saskatoon,  Maple Creek and  Regina, SK</t>
        </is>
      </c>
      <c r="K819" t="inlineStr">
        <is>
          <t>Saskatoon,  Maple Creek and  Regina, SK</t>
        </is>
      </c>
      <c r="P819" t="n">
        <v>938.16</v>
      </c>
      <c r="Q819" t="n">
        <v>62</v>
      </c>
      <c r="R819" t="n">
        <v>464.87</v>
      </c>
      <c r="S819" t="n">
        <v>376.65</v>
      </c>
      <c r="U819" t="n">
        <v>1841.68</v>
      </c>
      <c r="V819" t="inlineStr">
        <is>
          <t>Personal Expenses from Aug. 03 1:00 pm to Aug. 07, return flight
AJF168860</t>
        </is>
      </c>
      <c r="W819" t="inlineStr">
        <is>
          <t>Dépenses personnelles du 03 août 13h00 au 07 août, vol de retour</t>
        </is>
      </c>
      <c r="X819" t="inlineStr">
        <is>
          <t>aafc-aac</t>
        </is>
      </c>
      <c r="Y819" t="inlineStr">
        <is>
          <t>Agriculture and Agri-Food Canada | Agriculture et Agroalimentaire Canada</t>
        </is>
      </c>
    </row>
    <row r="820">
      <c r="A820" t="inlineStr">
        <is>
          <t>T-2017-Q2-00041</t>
        </is>
      </c>
      <c r="B820" t="inlineStr">
        <is>
          <t>MPSES</t>
        </is>
      </c>
      <c r="C820" t="inlineStr">
        <is>
          <t>Deputy Minister</t>
        </is>
      </c>
      <c r="D820" t="inlineStr">
        <is>
          <t>Sous-ministre</t>
        </is>
      </c>
      <c r="E820" t="inlineStr">
        <is>
          <t>Chris Forbes</t>
        </is>
      </c>
      <c r="F820" t="inlineStr">
        <is>
          <t>Meeting with the Honourable Minister MacAulay and United States Department of Agriculture</t>
        </is>
      </c>
      <c r="G820" t="inlineStr">
        <is>
          <t>Rencontre avec l'honorable ministre MacAulay et le ministère de l'Agriculture des États-Unis.</t>
        </is>
      </c>
      <c r="H820" s="1" t="n">
        <v>42890</v>
      </c>
      <c r="I820" s="1" t="n">
        <v>42891</v>
      </c>
      <c r="J820" t="inlineStr">
        <is>
          <t>Toronto, ON</t>
        </is>
      </c>
      <c r="K820" t="inlineStr">
        <is>
          <t>Toronto, ON</t>
        </is>
      </c>
      <c r="P820" t="n">
        <v>609.4299999999999</v>
      </c>
      <c r="Q820" t="n">
        <v>26</v>
      </c>
      <c r="R820" t="n">
        <v>288.85</v>
      </c>
      <c r="S820" t="n">
        <v>80.40000000000001</v>
      </c>
      <c r="U820" t="n">
        <v>1004.68</v>
      </c>
      <c r="X820" t="inlineStr">
        <is>
          <t>aafc-aac</t>
        </is>
      </c>
      <c r="Y820" t="inlineStr">
        <is>
          <t>Agriculture and Agri-Food Canada | Agriculture et Agroalimentaire Canada</t>
        </is>
      </c>
    </row>
    <row r="821">
      <c r="A821" t="inlineStr">
        <is>
          <t>T-2017-Q4-00039</t>
        </is>
      </c>
      <c r="B821" t="inlineStr">
        <is>
          <t>MPSES</t>
        </is>
      </c>
      <c r="C821" t="inlineStr">
        <is>
          <t>Director of Communications</t>
        </is>
      </c>
      <c r="D821" t="inlineStr">
        <is>
          <t>Directeur des communications</t>
        </is>
      </c>
      <c r="E821" t="inlineStr">
        <is>
          <t>Guy Gallant</t>
        </is>
      </c>
      <c r="F821" t="inlineStr">
        <is>
          <t>To support the Minister at the Alimentaria Food Show in Mexico City</t>
        </is>
      </c>
      <c r="G821" t="inlineStr">
        <is>
          <t>Soutenir le ministre au salon de l'alimentation Alimentaria à Mexico</t>
        </is>
      </c>
      <c r="H821" s="1" t="n">
        <v>43075</v>
      </c>
      <c r="I821" s="1" t="n">
        <v>43078</v>
      </c>
      <c r="J821" t="inlineStr">
        <is>
          <t>Mexico, Mexico</t>
        </is>
      </c>
      <c r="K821" t="inlineStr">
        <is>
          <t>Mexico, Mexique</t>
        </is>
      </c>
      <c r="P821" t="n">
        <v>1815.5</v>
      </c>
      <c r="R821" t="n">
        <v>929.47</v>
      </c>
      <c r="S821" t="n">
        <v>480.25</v>
      </c>
      <c r="U821" t="n">
        <v>3225.22</v>
      </c>
      <c r="V821" t="n">
        <v>1900103175</v>
      </c>
      <c r="X821" t="inlineStr">
        <is>
          <t>aafc-aac</t>
        </is>
      </c>
      <c r="Y821" t="inlineStr">
        <is>
          <t>Agriculture and Agri-Food Canada | Agriculture et Agroalimentaire Canada</t>
        </is>
      </c>
    </row>
    <row r="822">
      <c r="A822" t="inlineStr">
        <is>
          <t>T-2017-Q2-00044</t>
        </is>
      </c>
      <c r="B822" t="inlineStr">
        <is>
          <t>MPSES</t>
        </is>
      </c>
      <c r="C822" t="inlineStr">
        <is>
          <t>Deputy Minister</t>
        </is>
      </c>
      <c r="D822" t="inlineStr">
        <is>
          <t>Sous-ministre</t>
        </is>
      </c>
      <c r="E822" t="inlineStr">
        <is>
          <t>Chris Forbes</t>
        </is>
      </c>
      <c r="F822" t="inlineStr">
        <is>
          <t>Meeting with Minister and the Canadian Food Inspection Agency President.</t>
        </is>
      </c>
      <c r="G822" t="inlineStr">
        <is>
          <t>Rencontre avec le ministre et le président de l'Agence Canadienne d'Inspection des Aliments.</t>
        </is>
      </c>
      <c r="H822" s="1" t="n">
        <v>42977</v>
      </c>
      <c r="I822" s="1" t="n">
        <v>42979</v>
      </c>
      <c r="J822" t="inlineStr">
        <is>
          <t>Charlottetown, PEI</t>
        </is>
      </c>
      <c r="K822" t="inlineStr">
        <is>
          <t>Charlottetown, L’Î-P-É</t>
        </is>
      </c>
      <c r="P822" t="n">
        <v>808.63</v>
      </c>
      <c r="Q822" t="n">
        <v>17</v>
      </c>
      <c r="R822" t="n">
        <v>471.44</v>
      </c>
      <c r="S822" t="n">
        <v>82.05</v>
      </c>
      <c r="U822" t="n">
        <v>1379.12</v>
      </c>
      <c r="X822" t="inlineStr">
        <is>
          <t>aafc-aac</t>
        </is>
      </c>
      <c r="Y822" t="inlineStr">
        <is>
          <t>Agriculture and Agri-Food Canada | Agriculture et Agroalimentaire Canada</t>
        </is>
      </c>
    </row>
    <row r="823">
      <c r="A823" t="inlineStr">
        <is>
          <t>T-2017-Q2-00043</t>
        </is>
      </c>
      <c r="B823" t="inlineStr">
        <is>
          <t>MPSES</t>
        </is>
      </c>
      <c r="C823" t="inlineStr">
        <is>
          <t>Deputy Minister</t>
        </is>
      </c>
      <c r="D823" t="inlineStr">
        <is>
          <t>Sous-ministre</t>
        </is>
      </c>
      <c r="E823" t="inlineStr">
        <is>
          <t>Chris Forbes</t>
        </is>
      </c>
      <c r="F823" t="inlineStr">
        <is>
          <t>Pan-Prairie Agri-Food Stategy Session</t>
        </is>
      </c>
      <c r="G823" t="inlineStr">
        <is>
          <t>Séance de culture agroalimentaire Pan-Prairie.</t>
        </is>
      </c>
      <c r="H823" s="1" t="n">
        <v>42974</v>
      </c>
      <c r="I823" s="1" t="n">
        <v>42976</v>
      </c>
      <c r="J823" t="inlineStr">
        <is>
          <t>Saskatoon, SK</t>
        </is>
      </c>
      <c r="K823" t="inlineStr">
        <is>
          <t>Saskatchewan, SK</t>
        </is>
      </c>
      <c r="P823" t="n">
        <v>750.1799999999999</v>
      </c>
      <c r="Q823" t="n">
        <v>97.09</v>
      </c>
      <c r="R823" t="n">
        <v>354.42</v>
      </c>
      <c r="S823" t="n">
        <v>115.6</v>
      </c>
      <c r="U823" t="n">
        <v>1317.29</v>
      </c>
      <c r="X823" t="inlineStr">
        <is>
          <t>aafc-aac</t>
        </is>
      </c>
      <c r="Y823" t="inlineStr">
        <is>
          <t>Agriculture and Agri-Food Canada | Agriculture et Agroalimentaire Canada</t>
        </is>
      </c>
    </row>
    <row r="824">
      <c r="A824" t="inlineStr">
        <is>
          <t>T-2017-Q2-00048</t>
        </is>
      </c>
      <c r="B824" t="inlineStr">
        <is>
          <t>MPSES</t>
        </is>
      </c>
      <c r="C824" t="inlineStr">
        <is>
          <t>Parliamentary Secretary Assistant</t>
        </is>
      </c>
      <c r="D824" t="inlineStr">
        <is>
          <t>Adjoint du Secrétaire parlementaire</t>
        </is>
      </c>
      <c r="E824" t="inlineStr">
        <is>
          <t>Michel-Antoine Renaud</t>
        </is>
      </c>
      <c r="F824" t="inlineStr">
        <is>
          <t>To accompany the Parliamentary Secretary to the Inauguration of the 50th Agriculture Fair of Expo Rive-Nord</t>
        </is>
      </c>
      <c r="G824" t="inlineStr">
        <is>
          <t>Pour accompagner le secrétaire parlementaire de l'inauguration de la 50ème Foire de l'agriculture de l'Expo Rive-Nord</t>
        </is>
      </c>
      <c r="H824" s="1" t="n">
        <v>42915</v>
      </c>
      <c r="I824" s="1" t="n">
        <v>42915</v>
      </c>
      <c r="J824" t="inlineStr">
        <is>
          <t>Ottawa, ON</t>
        </is>
      </c>
      <c r="K824" t="inlineStr">
        <is>
          <t>Ottawa, ON</t>
        </is>
      </c>
      <c r="Q824" t="n">
        <v>222</v>
      </c>
      <c r="S824" t="n">
        <v>64</v>
      </c>
      <c r="U824" t="n">
        <v>286</v>
      </c>
      <c r="V824" t="n">
        <v>1900033689</v>
      </c>
      <c r="X824" t="inlineStr">
        <is>
          <t>aafc-aac</t>
        </is>
      </c>
      <c r="Y824" t="inlineStr">
        <is>
          <t>Agriculture and Agri-Food Canada | Agriculture et Agroalimentaire Canada</t>
        </is>
      </c>
    </row>
    <row r="825">
      <c r="A825" t="inlineStr">
        <is>
          <t>T-2017-Q2-00049</t>
        </is>
      </c>
      <c r="B825" t="inlineStr">
        <is>
          <t>MPSES</t>
        </is>
      </c>
      <c r="C825" t="inlineStr">
        <is>
          <t>Parliamentary Secretary Assistant</t>
        </is>
      </c>
      <c r="D825" t="inlineStr">
        <is>
          <t>Adjoint du Secrétaire parlementaire</t>
        </is>
      </c>
      <c r="E825" t="inlineStr">
        <is>
          <t>Michel-Antoine Renaud</t>
        </is>
      </c>
      <c r="F825" t="inlineStr">
        <is>
          <t>To accompany the Parliamentary Secretary to the Annual General Meeting for the Dairy Farmers of Canada</t>
        </is>
      </c>
      <c r="G825" t="inlineStr">
        <is>
          <t>Pour accompagner le secrétaire parlementaire de l'assemblée générale annuelle pour les laiteries du Canada</t>
        </is>
      </c>
      <c r="H825" s="1" t="n">
        <v>42935</v>
      </c>
      <c r="I825" s="1" t="n">
        <v>42937</v>
      </c>
      <c r="J825" t="inlineStr">
        <is>
          <t>Edmonton, AB</t>
        </is>
      </c>
      <c r="K825" t="inlineStr">
        <is>
          <t>Edmonton, AB</t>
        </is>
      </c>
      <c r="P825" t="n">
        <v>996.8</v>
      </c>
      <c r="Q825" t="n">
        <v>128.04</v>
      </c>
      <c r="R825" t="n">
        <v>424.38</v>
      </c>
      <c r="S825" t="n">
        <v>203.45</v>
      </c>
      <c r="T825" t="n">
        <v>28.25</v>
      </c>
      <c r="U825" t="n">
        <v>1780.92</v>
      </c>
      <c r="V825" t="n">
        <v>1900048088</v>
      </c>
      <c r="X825" t="inlineStr">
        <is>
          <t>aafc-aac</t>
        </is>
      </c>
      <c r="Y825" t="inlineStr">
        <is>
          <t>Agriculture and Agri-Food Canada | Agriculture et Agroalimentaire Canada</t>
        </is>
      </c>
    </row>
    <row r="826">
      <c r="A826" t="inlineStr">
        <is>
          <t>T-2017-Q2-00050</t>
        </is>
      </c>
      <c r="B826" t="inlineStr">
        <is>
          <t>MPSES</t>
        </is>
      </c>
      <c r="C826" t="inlineStr">
        <is>
          <t>Parliamentary Secretary Assistant</t>
        </is>
      </c>
      <c r="D826" t="inlineStr">
        <is>
          <t>Adjoint du Secrétaire parlementaire</t>
        </is>
      </c>
      <c r="E826" t="inlineStr">
        <is>
          <t>Michel-Antoine Renaud</t>
        </is>
      </c>
      <c r="F826" t="inlineStr">
        <is>
          <t>To support the Parliamentary Secretary at a meeting and attend a speaking engagement/dinner at L'Exposition agricole et alimentaire de Sainte-Hyacinthe</t>
        </is>
      </c>
      <c r="G826" t="inlineStr">
        <is>
          <t>Aider le secrétaire parlementaire lors d'une réunion et assister à un entretien / dîner à L'Exposition agricole et alimentaire de Sainte-Hyacinthe</t>
        </is>
      </c>
      <c r="H826" s="1" t="n">
        <v>42949</v>
      </c>
      <c r="I826" s="1" t="n">
        <v>42950</v>
      </c>
      <c r="J826" t="inlineStr">
        <is>
          <t>Sainte-Hyacinthe, QC</t>
        </is>
      </c>
      <c r="K826" t="inlineStr">
        <is>
          <t>Sainte-Hyacinthe, QC</t>
        </is>
      </c>
      <c r="Q826" t="n">
        <v>119.08</v>
      </c>
      <c r="S826" t="n">
        <v>35.2</v>
      </c>
      <c r="U826" t="n">
        <v>154.28</v>
      </c>
      <c r="V826" t="n">
        <v>1900061506</v>
      </c>
      <c r="X826" t="inlineStr">
        <is>
          <t>aafc-aac</t>
        </is>
      </c>
      <c r="Y826" t="inlineStr">
        <is>
          <t>Agriculture and Agri-Food Canada | Agriculture et Agroalimentaire Canada</t>
        </is>
      </c>
    </row>
    <row r="827">
      <c r="A827" t="inlineStr">
        <is>
          <t>T-2017-Q2-00051</t>
        </is>
      </c>
      <c r="B827" t="inlineStr">
        <is>
          <t>MPSES</t>
        </is>
      </c>
      <c r="C827" t="inlineStr">
        <is>
          <t>Parliamentary Secretary Assistant</t>
        </is>
      </c>
      <c r="D827" t="inlineStr">
        <is>
          <t>Adjoint du Secrétaire parlementaire</t>
        </is>
      </c>
      <c r="E827" t="inlineStr">
        <is>
          <t>Michel-Antoine Renaud</t>
        </is>
      </c>
      <c r="F827" t="inlineStr">
        <is>
          <t>To support the Parliamentary Secretary at the IOWA Summit</t>
        </is>
      </c>
      <c r="G827" t="inlineStr">
        <is>
          <t>Appuyer le secrétaire parlementaire au Sommet de l'IOWA</t>
        </is>
      </c>
      <c r="H827" s="1" t="n">
        <v>42951</v>
      </c>
      <c r="I827" s="1" t="n">
        <v>42952</v>
      </c>
      <c r="J827" t="inlineStr">
        <is>
          <t>Detroit, USA</t>
        </is>
      </c>
      <c r="K827" t="inlineStr">
        <is>
          <t>Detroit, ÉU</t>
        </is>
      </c>
      <c r="P827" t="n">
        <v>961.96</v>
      </c>
      <c r="Q827" t="n">
        <v>89.33</v>
      </c>
      <c r="R827" t="n">
        <v>253.37</v>
      </c>
      <c r="S827" t="n">
        <v>204.36</v>
      </c>
      <c r="U827" t="n">
        <v>1509.02</v>
      </c>
      <c r="V827" t="n">
        <v>1900061512</v>
      </c>
      <c r="X827" t="inlineStr">
        <is>
          <t>aafc-aac</t>
        </is>
      </c>
      <c r="Y827" t="inlineStr">
        <is>
          <t>Agriculture and Agri-Food Canada | Agriculture et Agroalimentaire Canada</t>
        </is>
      </c>
    </row>
    <row r="828">
      <c r="A828" t="inlineStr">
        <is>
          <t>T-2017-Q2-00052</t>
        </is>
      </c>
      <c r="B828" t="inlineStr">
        <is>
          <t>MPSES</t>
        </is>
      </c>
      <c r="C828" t="inlineStr">
        <is>
          <t>Parliamentary Secretary Assistant</t>
        </is>
      </c>
      <c r="D828" t="inlineStr">
        <is>
          <t>Adjoint du Secrétaire parlementaire</t>
        </is>
      </c>
      <c r="E828" t="inlineStr">
        <is>
          <t>Michel-Antoine Renaud</t>
        </is>
      </c>
      <c r="F828" t="inlineStr">
        <is>
          <t>To accompany the Parliamentary Secretary to l'Exposition Agricole et Alimentaire de Ste-Hyacinthe</t>
        </is>
      </c>
      <c r="G828" t="inlineStr">
        <is>
          <t>Pour accompagner le secrétaire parlementaire de l'Exposition Agricole et Alimentaire de Ste-Hyacinthe</t>
        </is>
      </c>
      <c r="H828" s="1" t="n">
        <v>42944</v>
      </c>
      <c r="I828" s="1" t="n">
        <v>42944</v>
      </c>
      <c r="J828" t="inlineStr">
        <is>
          <t>Sainte-Hyacinthe, QC</t>
        </is>
      </c>
      <c r="K828" t="inlineStr">
        <is>
          <t>Sainte-Hyacinthe, QC</t>
        </is>
      </c>
      <c r="Q828" t="n">
        <v>93.97</v>
      </c>
      <c r="S828" t="n">
        <v>64</v>
      </c>
      <c r="U828" t="n">
        <v>157.97</v>
      </c>
      <c r="V828" t="n">
        <v>1900051500</v>
      </c>
      <c r="X828" t="inlineStr">
        <is>
          <t>aafc-aac</t>
        </is>
      </c>
      <c r="Y828" t="inlineStr">
        <is>
          <t>Agriculture and Agri-Food Canada | Agriculture et Agroalimentaire Canada</t>
        </is>
      </c>
    </row>
    <row r="829">
      <c r="A829" t="inlineStr">
        <is>
          <t>T-2017-Q2-00054</t>
        </is>
      </c>
      <c r="B829" t="inlineStr">
        <is>
          <t>MPSES</t>
        </is>
      </c>
      <c r="C829" t="inlineStr">
        <is>
          <t>Parliamentary Secretary</t>
        </is>
      </c>
      <c r="D829" t="inlineStr">
        <is>
          <t>Secrétaire parlementaire</t>
        </is>
      </c>
      <c r="E829" t="inlineStr">
        <is>
          <t>Jean-Claude Poissant</t>
        </is>
      </c>
      <c r="F829" t="inlineStr">
        <is>
          <t>To attend an announcement with the Pork Producers of Quebec City</t>
        </is>
      </c>
      <c r="G829" t="inlineStr">
        <is>
          <t>Participer à une annonce avec les producteurs de porc de la ville de Québec</t>
        </is>
      </c>
      <c r="H829" s="1" t="n">
        <v>42894</v>
      </c>
      <c r="I829" s="1" t="n">
        <v>42894</v>
      </c>
      <c r="J829" t="inlineStr">
        <is>
          <t>Québec, QC</t>
        </is>
      </c>
      <c r="K829" t="inlineStr">
        <is>
          <t>Québec, QC</t>
        </is>
      </c>
      <c r="P829" t="n">
        <v>561.48</v>
      </c>
      <c r="Q829" t="n">
        <v>35</v>
      </c>
      <c r="S829" t="n">
        <v>81.3</v>
      </c>
      <c r="U829" t="n">
        <v>677.78</v>
      </c>
      <c r="V829" t="n">
        <v>1900031003</v>
      </c>
      <c r="X829" t="inlineStr">
        <is>
          <t>aafc-aac</t>
        </is>
      </c>
      <c r="Y829" t="inlineStr">
        <is>
          <t>Agriculture and Agri-Food Canada | Agriculture et Agroalimentaire Canada</t>
        </is>
      </c>
    </row>
    <row r="830">
      <c r="A830" t="inlineStr">
        <is>
          <t>T-2017-Q2-00055</t>
        </is>
      </c>
      <c r="B830" t="inlineStr">
        <is>
          <t>MPSES</t>
        </is>
      </c>
      <c r="C830" t="inlineStr">
        <is>
          <t>Parliamentary Secretary</t>
        </is>
      </c>
      <c r="D830" t="inlineStr">
        <is>
          <t>Secrétaire parlementaire</t>
        </is>
      </c>
      <c r="E830" t="inlineStr">
        <is>
          <t>Jean-Claude Poissant</t>
        </is>
      </c>
      <c r="F830" t="inlineStr">
        <is>
          <t>To attend the Annual Meeting for the Dairy Farmers of Canada</t>
        </is>
      </c>
      <c r="G830" t="inlineStr">
        <is>
          <t>Pour assister à la réunion annuelle pour les laiteries du Canada</t>
        </is>
      </c>
      <c r="H830" s="1" t="n">
        <v>42935</v>
      </c>
      <c r="I830" s="1" t="n">
        <v>42937</v>
      </c>
      <c r="J830" t="inlineStr">
        <is>
          <t>Edmonton, AB</t>
        </is>
      </c>
      <c r="K830" t="inlineStr">
        <is>
          <t>Edmonton, AB</t>
        </is>
      </c>
      <c r="P830" t="n">
        <v>1435.45</v>
      </c>
      <c r="R830" t="n">
        <v>424.38</v>
      </c>
      <c r="S830" t="n">
        <v>203.45</v>
      </c>
      <c r="U830" t="n">
        <v>2063.28</v>
      </c>
      <c r="V830" t="n">
        <v>1900051304</v>
      </c>
      <c r="X830" t="inlineStr">
        <is>
          <t>aafc-aac</t>
        </is>
      </c>
      <c r="Y830" t="inlineStr">
        <is>
          <t>Agriculture and Agri-Food Canada | Agriculture et Agroalimentaire Canada</t>
        </is>
      </c>
    </row>
    <row r="831">
      <c r="A831" t="inlineStr">
        <is>
          <t>T-2017-Q2-00056</t>
        </is>
      </c>
      <c r="B831" t="inlineStr">
        <is>
          <t>MPSES</t>
        </is>
      </c>
      <c r="C831" t="inlineStr">
        <is>
          <t>Parliamentary Secretary</t>
        </is>
      </c>
      <c r="D831" t="inlineStr">
        <is>
          <t>Secrétaire parlementaire</t>
        </is>
      </c>
      <c r="E831" t="inlineStr">
        <is>
          <t>Jean-Claude Poissant</t>
        </is>
      </c>
      <c r="F831" t="inlineStr">
        <is>
          <t>To attend l'Exposition agricole et alimentaire de Sainte Hyacinthe</t>
        </is>
      </c>
      <c r="G831" t="inlineStr">
        <is>
          <t>Pour assister à l'Exposition agricole et alimentaire de Sainte Hyacinthe</t>
        </is>
      </c>
      <c r="H831" s="1" t="n">
        <v>42944</v>
      </c>
      <c r="I831" s="1" t="n">
        <v>42944</v>
      </c>
      <c r="J831" t="inlineStr">
        <is>
          <t xml:space="preserve">Sainte-Hyacinthe, QC </t>
        </is>
      </c>
      <c r="K831" t="inlineStr">
        <is>
          <t xml:space="preserve">Sainte-Hyacinthe, QC </t>
        </is>
      </c>
      <c r="Q831" t="n">
        <v>70.7</v>
      </c>
      <c r="S831" t="n">
        <v>45.95</v>
      </c>
      <c r="U831" t="n">
        <v>116.65</v>
      </c>
      <c r="V831" t="n">
        <v>1900061507</v>
      </c>
      <c r="X831" t="inlineStr">
        <is>
          <t>aafc-aac</t>
        </is>
      </c>
      <c r="Y831" t="inlineStr">
        <is>
          <t>Agriculture and Agri-Food Canada | Agriculture et Agroalimentaire Canada</t>
        </is>
      </c>
    </row>
    <row r="832">
      <c r="A832" t="inlineStr">
        <is>
          <t>T-2017-Q2-00057</t>
        </is>
      </c>
      <c r="B832" t="inlineStr">
        <is>
          <t>MPSES</t>
        </is>
      </c>
      <c r="C832" t="inlineStr">
        <is>
          <t>Parliamentary Secretary</t>
        </is>
      </c>
      <c r="D832" t="inlineStr">
        <is>
          <t>Secrétaire parlementaire</t>
        </is>
      </c>
      <c r="E832" t="inlineStr">
        <is>
          <t>Jean-Claude Poissant</t>
        </is>
      </c>
      <c r="F832" t="inlineStr">
        <is>
          <t>To attend the 2017 IOWA Summit</t>
        </is>
      </c>
      <c r="G832" t="inlineStr">
        <is>
          <t>Assister au Sommet 2017 IOWA</t>
        </is>
      </c>
      <c r="H832" s="1" t="n">
        <v>42951</v>
      </c>
      <c r="I832" s="1" t="n">
        <v>42952</v>
      </c>
      <c r="J832" t="inlineStr">
        <is>
          <t>Detroit, USA</t>
        </is>
      </c>
      <c r="K832" t="inlineStr">
        <is>
          <t>Detroit, É.-U.</t>
        </is>
      </c>
      <c r="P832" t="n">
        <v>866.01</v>
      </c>
      <c r="R832" t="n">
        <v>253.37</v>
      </c>
      <c r="S832" t="n">
        <v>204.36</v>
      </c>
      <c r="U832" t="n">
        <v>1323.74</v>
      </c>
      <c r="V832" t="n">
        <v>1900062798</v>
      </c>
      <c r="X832" t="inlineStr">
        <is>
          <t>aafc-aac</t>
        </is>
      </c>
      <c r="Y832" t="inlineStr">
        <is>
          <t>Agriculture and Agri-Food Canada | Agriculture et Agroalimentaire Canada</t>
        </is>
      </c>
    </row>
    <row r="833">
      <c r="A833" t="inlineStr">
        <is>
          <t>T-2017-Q2-00058</t>
        </is>
      </c>
      <c r="B833" t="inlineStr">
        <is>
          <t>MPSES</t>
        </is>
      </c>
      <c r="C833" t="inlineStr">
        <is>
          <t>Parliamentary Secretary</t>
        </is>
      </c>
      <c r="D833" t="inlineStr">
        <is>
          <t>Secrétaire parlementaire</t>
        </is>
      </c>
      <c r="E833" t="inlineStr">
        <is>
          <t>Jean-Claude Poissant</t>
        </is>
      </c>
      <c r="F833" t="inlineStr">
        <is>
          <t>To attend the Regional Food consultation in Quebec</t>
        </is>
      </c>
      <c r="G833" t="inlineStr">
        <is>
          <t>Pour assister à la consultation régionale sur les aliments au Québec</t>
        </is>
      </c>
      <c r="H833" s="1" t="n">
        <v>42962</v>
      </c>
      <c r="I833" s="1" t="n">
        <v>42962</v>
      </c>
      <c r="J833" t="inlineStr">
        <is>
          <t>Ste-Hyacinthe, QC</t>
        </is>
      </c>
      <c r="K833" t="inlineStr">
        <is>
          <t>Ste-Hyacinthe, QC</t>
        </is>
      </c>
      <c r="R833" t="n">
        <v>153.52</v>
      </c>
      <c r="S833" t="n">
        <v>81.3</v>
      </c>
      <c r="U833" t="n">
        <v>234.82</v>
      </c>
      <c r="V833" t="n">
        <v>1900073247</v>
      </c>
      <c r="X833" t="inlineStr">
        <is>
          <t>aafc-aac</t>
        </is>
      </c>
      <c r="Y833" t="inlineStr">
        <is>
          <t>Agriculture and Agri-Food Canada | Agriculture et Agroalimentaire Canada</t>
        </is>
      </c>
    </row>
    <row r="834">
      <c r="A834" t="inlineStr">
        <is>
          <t>T-2017-Q2-00060</t>
        </is>
      </c>
      <c r="B834" t="inlineStr">
        <is>
          <t>MPSES</t>
        </is>
      </c>
      <c r="C834" t="inlineStr">
        <is>
          <t>Legislative Assistant, Policy Advisor</t>
        </is>
      </c>
      <c r="D834" t="inlineStr">
        <is>
          <t>Adjoint législatif et Conseiller en politiques</t>
        </is>
      </c>
      <c r="E834" t="inlineStr">
        <is>
          <t>Wallace McLean</t>
        </is>
      </c>
      <c r="F834" t="inlineStr">
        <is>
          <t>To accompany the Minister to announce the launch of the Atlantic Trade and Investment Strategy and participate in a Roundtable with the Agriculture Sector from Atlantic Canada</t>
        </is>
      </c>
      <c r="G834" t="inlineStr">
        <is>
          <t>Pour accompagner le ministre pour annoncer le lancement de la stratégie  d'investissement de commerce de l'atlantique et participer à une table ronde avec le secteur de l'agriculture du Canada atlantique</t>
        </is>
      </c>
      <c r="H834" s="1" t="n">
        <v>42919</v>
      </c>
      <c r="I834" s="1" t="n">
        <v>42921</v>
      </c>
      <c r="J834" t="inlineStr">
        <is>
          <t>St John, NB</t>
        </is>
      </c>
      <c r="K834" t="inlineStr">
        <is>
          <t>St John, NB</t>
        </is>
      </c>
      <c r="P834" t="n">
        <v>951.11</v>
      </c>
      <c r="Q834" t="n">
        <v>86.15000000000001</v>
      </c>
      <c r="R834" t="n">
        <v>165.83</v>
      </c>
      <c r="S834" t="n">
        <v>196.15</v>
      </c>
      <c r="U834" t="n">
        <v>1399.24</v>
      </c>
      <c r="V834" t="n">
        <v>1900041901</v>
      </c>
      <c r="X834" t="inlineStr">
        <is>
          <t>aafc-aac</t>
        </is>
      </c>
      <c r="Y834" t="inlineStr">
        <is>
          <t>Agriculture and Agri-Food Canada | Agriculture et Agroalimentaire Canada</t>
        </is>
      </c>
    </row>
    <row r="835">
      <c r="A835" t="inlineStr">
        <is>
          <t>T-2017-Q2-00061</t>
        </is>
      </c>
      <c r="B835" t="inlineStr">
        <is>
          <t>MPSES</t>
        </is>
      </c>
      <c r="C835" t="inlineStr">
        <is>
          <t>Legislative Assistant, Policy Advisor</t>
        </is>
      </c>
      <c r="D835" t="inlineStr">
        <is>
          <t>Adjoint législatif et Conseiller en politiques</t>
        </is>
      </c>
      <c r="E835" t="inlineStr">
        <is>
          <t>Wallace McLean</t>
        </is>
      </c>
      <c r="F835" t="inlineStr">
        <is>
          <t>To accompany the Minister to the Atlantic Growth Strategy - July 2017 Leadership Committee</t>
        </is>
      </c>
      <c r="G835" t="inlineStr">
        <is>
          <t>Pour accompagner le ministre à la Stratégie de croissance de l'Atlantique - Comité de leadership de juillet 2017</t>
        </is>
      </c>
      <c r="H835" s="1" t="n">
        <v>42925</v>
      </c>
      <c r="I835" s="1" t="n">
        <v>42928</v>
      </c>
      <c r="J835" t="inlineStr">
        <is>
          <t>Steady Brook, NL</t>
        </is>
      </c>
      <c r="K835" t="inlineStr">
        <is>
          <t>Steady Brook, TN</t>
        </is>
      </c>
      <c r="P835" t="n">
        <v>828.21</v>
      </c>
      <c r="Q835" t="n">
        <v>88.25</v>
      </c>
      <c r="R835" t="n">
        <v>397.61</v>
      </c>
      <c r="S835" t="n">
        <v>232.4</v>
      </c>
      <c r="U835" t="n">
        <v>1546.47</v>
      </c>
      <c r="V835" t="n">
        <v>1900048087</v>
      </c>
      <c r="X835" t="inlineStr">
        <is>
          <t>aafc-aac</t>
        </is>
      </c>
      <c r="Y835" t="inlineStr">
        <is>
          <t>Agriculture and Agri-Food Canada | Agriculture et Agroalimentaire Canada</t>
        </is>
      </c>
    </row>
    <row r="836">
      <c r="A836" t="inlineStr">
        <is>
          <t>T-2017-Q2-00062</t>
        </is>
      </c>
      <c r="B836" t="inlineStr">
        <is>
          <t>MPSES</t>
        </is>
      </c>
      <c r="C836" t="inlineStr">
        <is>
          <t>Legislative Assistant, Policy Advisor</t>
        </is>
      </c>
      <c r="D836" t="inlineStr">
        <is>
          <t>Adjoint législatif et Conseiller en politiques</t>
        </is>
      </c>
      <c r="E836" t="inlineStr">
        <is>
          <t>Wallace McLean</t>
        </is>
      </c>
      <c r="F836" t="inlineStr">
        <is>
          <t>To accompany the Minister to Saint John for New Brunswick Outreach</t>
        </is>
      </c>
      <c r="G836" t="inlineStr">
        <is>
          <t>Pour accompagner le ministre à Saint John pour la sensibilisation du Nouveau-Brunswick</t>
        </is>
      </c>
      <c r="H836" s="1" t="n">
        <v>42971</v>
      </c>
      <c r="I836" s="1" t="n">
        <v>42973</v>
      </c>
      <c r="J836" t="inlineStr">
        <is>
          <t>Saint John, NB</t>
        </is>
      </c>
      <c r="K836" t="inlineStr">
        <is>
          <t>Saint John, NB</t>
        </is>
      </c>
      <c r="P836" t="n">
        <v>687.16</v>
      </c>
      <c r="Q836" t="n">
        <v>165.03</v>
      </c>
      <c r="R836" t="n">
        <v>284.28</v>
      </c>
      <c r="S836" t="n">
        <v>242.1</v>
      </c>
      <c r="U836" t="n">
        <v>1378.57</v>
      </c>
      <c r="V836" t="n">
        <v>1900071891</v>
      </c>
      <c r="X836" t="inlineStr">
        <is>
          <t>aafc-aac</t>
        </is>
      </c>
      <c r="Y836" t="inlineStr">
        <is>
          <t>Agriculture and Agri-Food Canada | Agriculture et Agroalimentaire Canada</t>
        </is>
      </c>
    </row>
    <row r="837">
      <c r="A837" t="inlineStr">
        <is>
          <t>T-2017-Q2-00063</t>
        </is>
      </c>
      <c r="B837" t="inlineStr">
        <is>
          <t>MPSES</t>
        </is>
      </c>
      <c r="C837" t="inlineStr">
        <is>
          <t>Director of Parliamentary Affairs</t>
        </is>
      </c>
      <c r="D837" t="inlineStr">
        <is>
          <t>Directeur des affaires parlementaires</t>
        </is>
      </c>
      <c r="E837" t="inlineStr">
        <is>
          <t>Matthew Mann</t>
        </is>
      </c>
      <c r="F837" t="inlineStr">
        <is>
          <t>To support the Minister at the Annual Conference of Federal, Provincial and Territorial Ministers and Deputy Ministers of Agriculture in Newfoundland and Labrador</t>
        </is>
      </c>
      <c r="G837" t="inlineStr">
        <is>
          <t>Appuyer le ministre à la Conférence annuelle des ministres fédéraux, provinciaux et territoriaux et des sous-ministres de l'agriculture à Terre-Neuve-et-Labrador</t>
        </is>
      </c>
      <c r="H837" s="1" t="n">
        <v>42934</v>
      </c>
      <c r="I837" s="1" t="n">
        <v>42937</v>
      </c>
      <c r="J837" t="inlineStr">
        <is>
          <t>St John's, NL</t>
        </is>
      </c>
      <c r="K837" t="inlineStr">
        <is>
          <t>St John's, TN</t>
        </is>
      </c>
      <c r="P837" t="n">
        <v>828.27</v>
      </c>
      <c r="Q837" t="n">
        <v>17.77</v>
      </c>
      <c r="R837" t="n">
        <v>888.9299999999999</v>
      </c>
      <c r="S837" t="n">
        <v>249.55</v>
      </c>
      <c r="T837" t="n">
        <v>350</v>
      </c>
      <c r="U837" t="n">
        <v>2334.52</v>
      </c>
      <c r="V837" t="n">
        <v>1900051303</v>
      </c>
      <c r="X837" t="inlineStr">
        <is>
          <t>aafc-aac</t>
        </is>
      </c>
      <c r="Y837" t="inlineStr">
        <is>
          <t>Agriculture and Agri-Food Canada | Agriculture et Agroalimentaire Canada</t>
        </is>
      </c>
    </row>
    <row r="838">
      <c r="A838" t="inlineStr">
        <is>
          <t>T-2017-Q2-00064</t>
        </is>
      </c>
      <c r="B838" t="inlineStr">
        <is>
          <t>MPSES</t>
        </is>
      </c>
      <c r="C838" t="inlineStr">
        <is>
          <t>Director of Parliamentary Affairs</t>
        </is>
      </c>
      <c r="D838" t="inlineStr">
        <is>
          <t>Directeur des affaires parlementaires</t>
        </is>
      </c>
      <c r="E838" t="inlineStr">
        <is>
          <t>Matthew Mann</t>
        </is>
      </c>
      <c r="F838" t="inlineStr">
        <is>
          <t>To support the Minister on a Pacific Northwest Region Outreach to Portland, Oregon and Sun Valley, Boise, Idaho</t>
        </is>
      </c>
      <c r="G838" t="inlineStr">
        <is>
          <t>Appuyer le ministre sur une région du Nord-Ouest du Pacifique à portée de porte à Portland, Oregon et Sun Valley, Boise, Idaho</t>
        </is>
      </c>
      <c r="H838" s="1" t="n">
        <v>42939</v>
      </c>
      <c r="I838" s="1" t="n">
        <v>42946</v>
      </c>
      <c r="J838" t="inlineStr">
        <is>
          <t>Portland, Oregon and Sun Valley, Boise, Idaho</t>
        </is>
      </c>
      <c r="K838" t="inlineStr">
        <is>
          <t>Portland, Oregon and Sun Valley, Boise, Idaho</t>
        </is>
      </c>
      <c r="P838" t="n">
        <v>1957.59</v>
      </c>
      <c r="Q838" t="n">
        <v>17.77</v>
      </c>
      <c r="R838" t="n">
        <v>1776.3</v>
      </c>
      <c r="S838" t="n">
        <v>669.84</v>
      </c>
      <c r="U838" t="n">
        <v>4421.5</v>
      </c>
      <c r="V838" t="n">
        <v>1900062797</v>
      </c>
      <c r="X838" t="inlineStr">
        <is>
          <t>aafc-aac</t>
        </is>
      </c>
      <c r="Y838" t="inlineStr">
        <is>
          <t>Agriculture and Agri-Food Canada | Agriculture et Agroalimentaire Canada</t>
        </is>
      </c>
    </row>
    <row r="839">
      <c r="A839" t="inlineStr">
        <is>
          <t>T-2017-Q2-00067</t>
        </is>
      </c>
      <c r="B839" t="inlineStr">
        <is>
          <t>MPSES</t>
        </is>
      </c>
      <c r="C839" t="inlineStr">
        <is>
          <t>Policy Advisor</t>
        </is>
      </c>
      <c r="D839" t="inlineStr">
        <is>
          <t>Conseillère en politiques</t>
        </is>
      </c>
      <c r="E839" t="inlineStr">
        <is>
          <t>Sangeeta Lalli</t>
        </is>
      </c>
      <c r="F839" t="inlineStr">
        <is>
          <t>To accompany the Minister to Outreach in SW Ontario including Guelph, Waterloo, Kitchener including Elora Research Barn Announcement with Minister Leal, market visit, Conestoga meat packers tour</t>
        </is>
      </c>
      <c r="G839" t="inlineStr">
        <is>
          <t>Pour accompagner le ministre à une visite de sensibilisation dans le sud-ouest de l'Ontario,  Guelph, Waterloo, Kitchener,  grange de recherche Elora. Accompagner le ministre Leal lors d'une announce, visite du marché ainsi une tournée de comptoirs de viande Conestega.</t>
        </is>
      </c>
      <c r="H839" s="1" t="n">
        <v>42921</v>
      </c>
      <c r="I839" s="1" t="n">
        <v>42923</v>
      </c>
      <c r="J839" t="inlineStr">
        <is>
          <t>Guelph, Waterloo, Kitchener, ON</t>
        </is>
      </c>
      <c r="K839" t="inlineStr">
        <is>
          <t>Guelph, Waterloo, Kitchener, ON</t>
        </is>
      </c>
      <c r="P839" t="n">
        <v>563.02</v>
      </c>
      <c r="Q839" t="n">
        <v>33.13</v>
      </c>
      <c r="R839" t="n">
        <v>275.72</v>
      </c>
      <c r="S839" t="n">
        <v>214.2</v>
      </c>
      <c r="U839" t="n">
        <v>1086.07</v>
      </c>
      <c r="V839" t="n">
        <v>1900041900</v>
      </c>
      <c r="X839" t="inlineStr">
        <is>
          <t>aafc-aac</t>
        </is>
      </c>
      <c r="Y839" t="inlineStr">
        <is>
          <t>Agriculture and Agri-Food Canada | Agriculture et Agroalimentaire Canada</t>
        </is>
      </c>
    </row>
    <row r="840">
      <c r="A840" t="inlineStr">
        <is>
          <t>T-2017-Q2-00065</t>
        </is>
      </c>
      <c r="B840" t="inlineStr">
        <is>
          <t>MPSES</t>
        </is>
      </c>
      <c r="C840" t="inlineStr">
        <is>
          <t>Policy Advisor</t>
        </is>
      </c>
      <c r="D840" t="inlineStr">
        <is>
          <t>Conseillère en politiques</t>
        </is>
      </c>
      <c r="E840" t="inlineStr">
        <is>
          <t>Sangeeta Lalli</t>
        </is>
      </c>
      <c r="F840" t="inlineStr">
        <is>
          <t>To accompany the Minister for announcement on behalf of government</t>
        </is>
      </c>
      <c r="G840" t="inlineStr">
        <is>
          <t>Pour accompagner le ministre pour l'annonce au nom du gouvernement</t>
        </is>
      </c>
      <c r="H840" s="1" t="n">
        <v>42894</v>
      </c>
      <c r="I840" s="1" t="n">
        <v>42896</v>
      </c>
      <c r="J840" t="inlineStr">
        <is>
          <t>Charlottetown, PEI</t>
        </is>
      </c>
      <c r="K840" t="inlineStr">
        <is>
          <t>Charlottetown, L’Î-P-É</t>
        </is>
      </c>
      <c r="P840" t="n">
        <v>1038.02</v>
      </c>
      <c r="Q840" t="n">
        <v>135.1</v>
      </c>
      <c r="R840" t="n">
        <v>403.16</v>
      </c>
      <c r="S840" t="n">
        <v>160.95</v>
      </c>
      <c r="U840" t="n">
        <v>1737.23</v>
      </c>
      <c r="V840" t="n">
        <v>1900031001</v>
      </c>
      <c r="X840" t="inlineStr">
        <is>
          <t>aafc-aac</t>
        </is>
      </c>
      <c r="Y840" t="inlineStr">
        <is>
          <t>Agriculture and Agri-Food Canada | Agriculture et Agroalimentaire Canada</t>
        </is>
      </c>
    </row>
    <row r="841">
      <c r="A841" t="inlineStr">
        <is>
          <t>T-2017-Q3-00019</t>
        </is>
      </c>
      <c r="B841" t="inlineStr">
        <is>
          <t>SLE</t>
        </is>
      </c>
      <c r="C841" t="inlineStr">
        <is>
          <t>Assistant Deputy Minister, Programs Branch</t>
        </is>
      </c>
      <c r="D841" t="inlineStr">
        <is>
          <t xml:space="preserve">Sous-ministre adjointe, Direction générale des programmes </t>
        </is>
      </c>
      <c r="E841" t="inlineStr">
        <is>
          <t>France Pégeot</t>
        </is>
      </c>
      <c r="F841" t="inlineStr">
        <is>
          <t>Winnipeg Regional Meeting.</t>
        </is>
      </c>
      <c r="G841" t="inlineStr">
        <is>
          <t>Winnipeg réunion régionale.</t>
        </is>
      </c>
      <c r="H841" s="1" t="n">
        <v>43038</v>
      </c>
      <c r="I841" s="1" t="n">
        <v>43040</v>
      </c>
      <c r="J841" t="inlineStr">
        <is>
          <t>Winnipeg, Manitoba</t>
        </is>
      </c>
      <c r="K841" t="inlineStr">
        <is>
          <t>Winnipeg, Manitoba</t>
        </is>
      </c>
      <c r="P841" t="n">
        <v>394.11</v>
      </c>
      <c r="Q841" t="n">
        <v>95</v>
      </c>
      <c r="R841" t="n">
        <v>211.67</v>
      </c>
      <c r="S841" t="n">
        <v>184.6</v>
      </c>
      <c r="U841" t="n">
        <v>885.38</v>
      </c>
      <c r="V841" t="inlineStr">
        <is>
          <t>AJF192182</t>
        </is>
      </c>
      <c r="X841" t="inlineStr">
        <is>
          <t>aafc-aac</t>
        </is>
      </c>
      <c r="Y841" t="inlineStr">
        <is>
          <t>Agriculture and Agri-Food Canada | Agriculture et Agroalimentaire Canada</t>
        </is>
      </c>
    </row>
    <row r="842">
      <c r="A842" t="inlineStr">
        <is>
          <t>T-2017-Q3-00020</t>
        </is>
      </c>
      <c r="B842" t="inlineStr">
        <is>
          <t>SLE</t>
        </is>
      </c>
      <c r="C842" t="inlineStr">
        <is>
          <t>Assistant Deputy Minister, Programs Branch</t>
        </is>
      </c>
      <c r="D842" t="inlineStr">
        <is>
          <t xml:space="preserve">Sous-ministre adjointe, Direction générale des programmes </t>
        </is>
      </c>
      <c r="E842" t="inlineStr">
        <is>
          <t>France Pégeot</t>
        </is>
      </c>
      <c r="F842" t="inlineStr">
        <is>
          <t>Regina Regional Meeting, Minister's announcement for the Canadian Agricultural Partnership, and the Canadian Western Agribition.</t>
        </is>
      </c>
      <c r="G842" t="inlineStr">
        <is>
          <t>Régina réunion régionale, annonce du Ministre pour le Partenariat agricole du Canada, et pour l'Exposition agricole canadien de l'ouest.</t>
        </is>
      </c>
      <c r="H842" s="1" t="n">
        <v>43061</v>
      </c>
      <c r="I842" s="1" t="n">
        <v>43063</v>
      </c>
      <c r="J842" t="inlineStr">
        <is>
          <t>Regina, Saskatchewan</t>
        </is>
      </c>
      <c r="K842" t="inlineStr">
        <is>
          <t>Régina, Saskatchewan</t>
        </is>
      </c>
      <c r="P842" t="n">
        <v>1640.62</v>
      </c>
      <c r="Q842" t="n">
        <v>79</v>
      </c>
      <c r="R842" t="n">
        <v>340.7</v>
      </c>
      <c r="S842" t="n">
        <v>288.85</v>
      </c>
      <c r="U842" t="n">
        <v>2349.17</v>
      </c>
      <c r="V842" t="inlineStr">
        <is>
          <t>AJF142526</t>
        </is>
      </c>
      <c r="X842" t="inlineStr">
        <is>
          <t>aafc-aac</t>
        </is>
      </c>
      <c r="Y842" t="inlineStr">
        <is>
          <t>Agriculture and Agri-Food Canada | Agriculture et Agroalimentaire Canada</t>
        </is>
      </c>
    </row>
    <row r="843">
      <c r="A843" t="inlineStr">
        <is>
          <t>T-2017-Q2-00068</t>
        </is>
      </c>
      <c r="B843" t="inlineStr">
        <is>
          <t>MPSES</t>
        </is>
      </c>
      <c r="C843" t="inlineStr">
        <is>
          <t>Policy Advisor</t>
        </is>
      </c>
      <c r="D843" t="inlineStr">
        <is>
          <t>Conseillère en politiques</t>
        </is>
      </c>
      <c r="E843" t="inlineStr">
        <is>
          <t>Sangeeta Lalli</t>
        </is>
      </c>
      <c r="F843" t="inlineStr">
        <is>
          <t>To accompany the Minister to bi-lateral with BC Agriculture Minister and an announcement at the University of Manitoba, bilateral with Manitoba Agriculture Minister</t>
        </is>
      </c>
      <c r="G843" t="inlineStr">
        <is>
          <t>Pour accompagner le ministre à titre bilatéral avec le ministre de l'Agriculture de la C.-B. et une annonce à l'Université du Manitoba, en collaboration avec le ministre de l'Agriculture du Manitoba</t>
        </is>
      </c>
      <c r="H843" s="1" t="n">
        <v>42961</v>
      </c>
      <c r="I843" s="1" t="n">
        <v>42964</v>
      </c>
      <c r="J843" t="inlineStr">
        <is>
          <t>Vancouver, BC and Winnipeg, MB</t>
        </is>
      </c>
      <c r="K843" t="inlineStr">
        <is>
          <t>Vancouver, CB et Winnipeg, MB</t>
        </is>
      </c>
      <c r="P843" t="n">
        <v>1733.67</v>
      </c>
      <c r="Q843" t="n">
        <v>92.56999999999999</v>
      </c>
      <c r="R843" t="n">
        <v>713.41</v>
      </c>
      <c r="S843" t="n">
        <v>312.65</v>
      </c>
      <c r="U843" t="n">
        <v>2852.3</v>
      </c>
      <c r="V843" t="n">
        <v>1900068338</v>
      </c>
      <c r="X843" t="inlineStr">
        <is>
          <t>aafc-aac</t>
        </is>
      </c>
      <c r="Y843" t="inlineStr">
        <is>
          <t>Agriculture and Agri-Food Canada | Agriculture et Agroalimentaire Canada</t>
        </is>
      </c>
    </row>
    <row r="844">
      <c r="A844" t="inlineStr">
        <is>
          <t>T-2017-Q2-00069</t>
        </is>
      </c>
      <c r="B844" t="inlineStr">
        <is>
          <t>MPSES</t>
        </is>
      </c>
      <c r="C844" t="inlineStr">
        <is>
          <t>Policy Advisor</t>
        </is>
      </c>
      <c r="D844" t="inlineStr">
        <is>
          <t>Conseiller en politiques</t>
        </is>
      </c>
      <c r="E844" t="inlineStr">
        <is>
          <t>Abed Harb</t>
        </is>
      </c>
      <c r="F844" t="inlineStr">
        <is>
          <t>To accompany the Minister to the Calgary Stampede</t>
        </is>
      </c>
      <c r="G844" t="inlineStr">
        <is>
          <t>Pour accompagner le ministre au Stampede de Calgary</t>
        </is>
      </c>
      <c r="H844" s="1" t="n">
        <v>42928</v>
      </c>
      <c r="I844" s="1" t="n">
        <v>42934</v>
      </c>
      <c r="J844" t="inlineStr">
        <is>
          <t>Calgary, AB</t>
        </is>
      </c>
      <c r="K844" t="inlineStr">
        <is>
          <t>Calgary, AB</t>
        </is>
      </c>
      <c r="P844" t="n">
        <v>732.25</v>
      </c>
      <c r="Q844" t="n">
        <v>92.58</v>
      </c>
      <c r="R844" t="n">
        <v>446.83</v>
      </c>
      <c r="S844" t="n">
        <v>167.35</v>
      </c>
      <c r="T844" t="n">
        <v>26</v>
      </c>
      <c r="U844" t="n">
        <v>1465.01</v>
      </c>
      <c r="V844" t="n">
        <v>1900048092</v>
      </c>
      <c r="X844" t="inlineStr">
        <is>
          <t>aafc-aac</t>
        </is>
      </c>
      <c r="Y844" t="inlineStr">
        <is>
          <t>Agriculture and Agri-Food Canada | Agriculture et Agroalimentaire Canada</t>
        </is>
      </c>
    </row>
    <row r="845">
      <c r="A845" t="inlineStr">
        <is>
          <t>T-2017-Q2-00070</t>
        </is>
      </c>
      <c r="B845" t="inlineStr">
        <is>
          <t>MPSES</t>
        </is>
      </c>
      <c r="C845" t="inlineStr">
        <is>
          <t>Policy Advisor</t>
        </is>
      </c>
      <c r="D845" t="inlineStr">
        <is>
          <t>Conseiller en politiques</t>
        </is>
      </c>
      <c r="E845" t="inlineStr">
        <is>
          <t>Abed Harb</t>
        </is>
      </c>
      <c r="F845" t="inlineStr">
        <is>
          <t>To accompany the Minister to an announcement at the University of Manitoba and a bilateral with Manitoba Agriculture Minister</t>
        </is>
      </c>
      <c r="G845" t="inlineStr">
        <is>
          <t>Pour accompagner le ministre à une annonce à l'Université du Manitoba et un rencontre bilatéral avec le ministre de l'Agriculture du Manitoba</t>
        </is>
      </c>
      <c r="H845" s="1" t="n">
        <v>42963</v>
      </c>
      <c r="I845" s="1" t="n">
        <v>42964</v>
      </c>
      <c r="J845" t="inlineStr">
        <is>
          <t>Winnipeg, MB</t>
        </is>
      </c>
      <c r="K845" t="inlineStr">
        <is>
          <t>Winnipeg, MB</t>
        </is>
      </c>
      <c r="P845" t="n">
        <v>1009.43</v>
      </c>
      <c r="Q845" t="n">
        <v>71.73</v>
      </c>
      <c r="R845" t="n">
        <v>164.37</v>
      </c>
      <c r="S845" t="n">
        <v>86.95</v>
      </c>
      <c r="U845" t="n">
        <v>1332.48</v>
      </c>
      <c r="V845" t="n">
        <v>1900068339</v>
      </c>
      <c r="X845" t="inlineStr">
        <is>
          <t>aafc-aac</t>
        </is>
      </c>
      <c r="Y845" t="inlineStr">
        <is>
          <t>Agriculture and Agri-Food Canada | Agriculture et Agroalimentaire Canada</t>
        </is>
      </c>
    </row>
    <row r="846">
      <c r="A846" t="inlineStr">
        <is>
          <t>T-2017-Q2-00072</t>
        </is>
      </c>
      <c r="B846" t="inlineStr">
        <is>
          <t>MPSES</t>
        </is>
      </c>
      <c r="C846" t="inlineStr">
        <is>
          <t>Policy Advisor</t>
        </is>
      </c>
      <c r="D846" t="inlineStr">
        <is>
          <t>Conseillère en politiques</t>
        </is>
      </c>
      <c r="E846" t="inlineStr">
        <is>
          <t>Alison Porter</t>
        </is>
      </c>
      <c r="F846" t="inlineStr">
        <is>
          <t>To brief the Minister on the MPT call and the Canadian Agricultural Partnership</t>
        </is>
      </c>
      <c r="G846" t="inlineStr">
        <is>
          <t>Pour informer le ministre sur l'appel du MPT et le Partenariat agricole canadien</t>
        </is>
      </c>
      <c r="H846" s="1" t="n">
        <v>42928</v>
      </c>
      <c r="I846" s="1" t="n">
        <v>42929</v>
      </c>
      <c r="J846" t="inlineStr">
        <is>
          <t>Calgary, AB</t>
        </is>
      </c>
      <c r="K846" t="inlineStr">
        <is>
          <t>Calgary, AB</t>
        </is>
      </c>
      <c r="P846" t="n">
        <v>1257.83</v>
      </c>
      <c r="Q846" t="n">
        <v>92.3</v>
      </c>
      <c r="S846" t="n">
        <v>115.75</v>
      </c>
      <c r="U846" t="n">
        <v>1465.88</v>
      </c>
      <c r="V846" t="n">
        <v>1900061501</v>
      </c>
      <c r="X846" t="inlineStr">
        <is>
          <t>aafc-aac</t>
        </is>
      </c>
      <c r="Y846" t="inlineStr">
        <is>
          <t>Agriculture and Agri-Food Canada | Agriculture et Agroalimentaire Canada</t>
        </is>
      </c>
    </row>
    <row r="847">
      <c r="A847" t="inlineStr">
        <is>
          <t>T-2017-Q2-00073</t>
        </is>
      </c>
      <c r="B847" t="inlineStr">
        <is>
          <t>MPSES</t>
        </is>
      </c>
      <c r="C847" t="inlineStr">
        <is>
          <t>Policy Advisor</t>
        </is>
      </c>
      <c r="D847" t="inlineStr">
        <is>
          <t>Conseillère en politiques</t>
        </is>
      </c>
      <c r="E847" t="inlineStr">
        <is>
          <t>Alison Porter</t>
        </is>
      </c>
      <c r="F847" t="inlineStr">
        <is>
          <t>To brief the Minister on the Regional Food Policy Consultation in Charlottetown and to attend with him</t>
        </is>
      </c>
      <c r="G847" t="inlineStr">
        <is>
          <t>Informer le ministre de la Consultation régionale sur les politiques alimentaires à Charlottetown et y assister</t>
        </is>
      </c>
      <c r="H847" s="1" t="n">
        <v>42955</v>
      </c>
      <c r="I847" s="1" t="n">
        <v>42957</v>
      </c>
      <c r="J847" t="inlineStr">
        <is>
          <t>Charlottetown, PEI</t>
        </is>
      </c>
      <c r="K847" t="inlineStr">
        <is>
          <t>Charlottetown, l’Î.-P.-É</t>
        </is>
      </c>
      <c r="P847" t="n">
        <v>1473.98</v>
      </c>
      <c r="Q847" t="n">
        <v>90.53</v>
      </c>
      <c r="R847" t="n">
        <v>254.87</v>
      </c>
      <c r="S847" t="n">
        <v>179.75</v>
      </c>
      <c r="U847" t="n">
        <v>1999.13</v>
      </c>
      <c r="V847" t="n">
        <v>1900061502</v>
      </c>
      <c r="X847" t="inlineStr">
        <is>
          <t>aafc-aac</t>
        </is>
      </c>
      <c r="Y847" t="inlineStr">
        <is>
          <t>Agriculture and Agri-Food Canada | Agriculture et Agroalimentaire Canada</t>
        </is>
      </c>
    </row>
    <row r="848">
      <c r="A848" t="inlineStr">
        <is>
          <t>T-2017-Q3-00028</t>
        </is>
      </c>
      <c r="B848" t="inlineStr">
        <is>
          <t>SLE</t>
        </is>
      </c>
      <c r="C848" t="inlineStr">
        <is>
          <t>Associate Assistant Deputy Minister</t>
        </is>
      </c>
      <c r="D848" t="inlineStr">
        <is>
          <t>Sous-ministre adjoint délégué</t>
        </is>
      </c>
      <c r="E848" t="inlineStr">
        <is>
          <t>Gilles Saindon</t>
        </is>
      </c>
      <c r="F848" t="inlineStr">
        <is>
          <t>To attend the inauguration of the Research Farm.</t>
        </is>
      </c>
      <c r="G848" t="inlineStr">
        <is>
          <t>Assister à la cérémonie d'ouverture de la ferme de recherche</t>
        </is>
      </c>
      <c r="H848" s="1" t="n">
        <v>43019</v>
      </c>
      <c r="I848" s="1" t="n">
        <v>43020</v>
      </c>
      <c r="J848" t="inlineStr">
        <is>
          <t>St-Augustin-de-Desmaures, Quebec</t>
        </is>
      </c>
      <c r="K848" t="inlineStr">
        <is>
          <t>St-Augustin-de-Desmaures, Québec</t>
        </is>
      </c>
      <c r="Q848" t="n">
        <v>501.72</v>
      </c>
      <c r="R848" t="n">
        <v>148.76</v>
      </c>
      <c r="S848" t="n">
        <v>186.2</v>
      </c>
      <c r="U848" t="n">
        <v>836.6799999999999</v>
      </c>
      <c r="V848" t="inlineStr">
        <is>
          <t>AJD959709</t>
        </is>
      </c>
      <c r="X848" t="inlineStr">
        <is>
          <t>aafc-aac</t>
        </is>
      </c>
      <c r="Y848" t="inlineStr">
        <is>
          <t>Agriculture and Agri-Food Canada | Agriculture et Agroalimentaire Canada</t>
        </is>
      </c>
    </row>
    <row r="849">
      <c r="A849" t="inlineStr">
        <is>
          <t>T-2017-Q2-00075</t>
        </is>
      </c>
      <c r="B849" t="inlineStr">
        <is>
          <t>MPSES</t>
        </is>
      </c>
      <c r="C849" t="inlineStr">
        <is>
          <t>Director of Communications</t>
        </is>
      </c>
      <c r="D849" t="inlineStr">
        <is>
          <t>Directeur des communications</t>
        </is>
      </c>
      <c r="E849" t="inlineStr">
        <is>
          <t>Guy Gallant</t>
        </is>
      </c>
      <c r="F849" t="inlineStr">
        <is>
          <t>To accompany the Minister to Savannah, Georgia for the Trilateral Agriculture Ministers meeting with the United States Secretary of Agriculture and the Mexican Secretary of Agriculture.</t>
        </is>
      </c>
      <c r="G849" t="inlineStr">
        <is>
          <t>Pour accompagner le ministre à Savannah, en Géorgie, pour les ministres trilatéraux de l'agriculture réunis avec le secrétaire américain à l'agriculture et le secrétaire mexicain à l'agriculture.</t>
        </is>
      </c>
      <c r="H849" s="1" t="n">
        <v>42905</v>
      </c>
      <c r="I849" s="1" t="n">
        <v>42908</v>
      </c>
      <c r="J849" t="inlineStr">
        <is>
          <t>Savannah, USA</t>
        </is>
      </c>
      <c r="K849" t="inlineStr">
        <is>
          <t>Savannah, É.-U.</t>
        </is>
      </c>
      <c r="P849" t="n">
        <v>1072.9</v>
      </c>
      <c r="R849" t="n">
        <v>546.78</v>
      </c>
      <c r="S849" t="n">
        <v>338.65</v>
      </c>
      <c r="U849" t="n">
        <v>1958.33</v>
      </c>
      <c r="V849" t="n">
        <v>1900033691</v>
      </c>
      <c r="X849" t="inlineStr">
        <is>
          <t>aafc-aac</t>
        </is>
      </c>
      <c r="Y849" t="inlineStr">
        <is>
          <t>Agriculture and Agri-Food Canada | Agriculture et Agroalimentaire Canada</t>
        </is>
      </c>
    </row>
    <row r="850">
      <c r="A850" t="inlineStr">
        <is>
          <t>T-2017-Q2-00076</t>
        </is>
      </c>
      <c r="B850" t="inlineStr">
        <is>
          <t>MPSES</t>
        </is>
      </c>
      <c r="C850" t="inlineStr">
        <is>
          <t>Director of Communications</t>
        </is>
      </c>
      <c r="D850" t="inlineStr">
        <is>
          <t>Directeur des communications</t>
        </is>
      </c>
      <c r="E850" t="inlineStr">
        <is>
          <t>Guy Gallant</t>
        </is>
      </c>
      <c r="F850" t="inlineStr">
        <is>
          <t>To accompany the Minister for announcements, meeting with provincial government stakeholders, agriculture outreach, and events with the Minister of Environment and Prime Minister.</t>
        </is>
      </c>
      <c r="G850" t="inlineStr">
        <is>
          <t>Pour accompagner le ministre lors des annonces, rencontrer les intervenants du gouvernement provincial, visite de sensibilisation à l'agriculture et les événements avec le ministre de l'environnement et le Premier ministre.</t>
        </is>
      </c>
      <c r="H850" s="1" t="n">
        <v>42911</v>
      </c>
      <c r="I850" s="1" t="n">
        <v>42915</v>
      </c>
      <c r="J850" t="inlineStr">
        <is>
          <t>Charlottetown, PEI</t>
        </is>
      </c>
      <c r="K850" t="inlineStr">
        <is>
          <t>Charlottetown, L’Î-P-É</t>
        </is>
      </c>
      <c r="P850" t="n">
        <v>1254.98</v>
      </c>
      <c r="Q850" t="n">
        <v>222.4</v>
      </c>
      <c r="R850" t="n">
        <v>990.24</v>
      </c>
      <c r="S850" t="n">
        <v>388.45</v>
      </c>
      <c r="U850" t="n">
        <v>2856.07</v>
      </c>
      <c r="V850" t="n">
        <v>1900041851</v>
      </c>
      <c r="X850" t="inlineStr">
        <is>
          <t>aafc-aac</t>
        </is>
      </c>
      <c r="Y850" t="inlineStr">
        <is>
          <t>Agriculture and Agri-Food Canada | Agriculture et Agroalimentaire Canada</t>
        </is>
      </c>
    </row>
    <row r="851">
      <c r="A851" t="inlineStr">
        <is>
          <t>T-2017-Q2-00077</t>
        </is>
      </c>
      <c r="B851" t="inlineStr">
        <is>
          <t>MPSES</t>
        </is>
      </c>
      <c r="C851" t="inlineStr">
        <is>
          <t>Director of Communications</t>
        </is>
      </c>
      <c r="D851" t="inlineStr">
        <is>
          <t>Directeur des communications</t>
        </is>
      </c>
      <c r="E851" t="inlineStr">
        <is>
          <t>Guy Gallant</t>
        </is>
      </c>
      <c r="F851" t="inlineStr">
        <is>
          <t>To accompany the Minister for a bilateral meeting with the United States Secretary of Agriculture.</t>
        </is>
      </c>
      <c r="G851" t="inlineStr">
        <is>
          <t>Pour accompagner le ministre à une réunion bilatéral auprès du Secrétaire d'agriculture des États-Unis.</t>
        </is>
      </c>
      <c r="H851" s="1" t="n">
        <v>42890</v>
      </c>
      <c r="I851" s="1" t="n">
        <v>42891</v>
      </c>
      <c r="J851" t="inlineStr">
        <is>
          <t>Toronto, ON</t>
        </is>
      </c>
      <c r="K851" t="inlineStr">
        <is>
          <t>Toronto, ON</t>
        </is>
      </c>
      <c r="P851" t="n">
        <v>553.84</v>
      </c>
      <c r="R851" t="n">
        <v>288.85</v>
      </c>
      <c r="S851" t="n">
        <v>115.75</v>
      </c>
      <c r="U851" t="n">
        <v>958.4400000000001</v>
      </c>
      <c r="V851" t="n">
        <v>1900024137</v>
      </c>
      <c r="X851" t="inlineStr">
        <is>
          <t>aafc-aac</t>
        </is>
      </c>
      <c r="Y851" t="inlineStr">
        <is>
          <t>Agriculture and Agri-Food Canada | Agriculture et Agroalimentaire Canada</t>
        </is>
      </c>
    </row>
    <row r="852">
      <c r="A852" t="inlineStr">
        <is>
          <t>T-2017-Q2-00078</t>
        </is>
      </c>
      <c r="B852" t="inlineStr">
        <is>
          <t>MPSES</t>
        </is>
      </c>
      <c r="C852" t="inlineStr">
        <is>
          <t>Director of Communications</t>
        </is>
      </c>
      <c r="D852" t="inlineStr">
        <is>
          <t>Directeur des communications</t>
        </is>
      </c>
      <c r="E852" t="inlineStr">
        <is>
          <t>Guy Gallant</t>
        </is>
      </c>
      <c r="F852" t="inlineStr">
        <is>
          <t>To accompany the Minister to the Atlantic Growth Strategy - July 2017 Leadership Committee and the Calgary Stampede</t>
        </is>
      </c>
      <c r="G852" t="inlineStr">
        <is>
          <t>Pour accompagner le ministre à la Stratégie de croissance de l'Atlantique - Comité de leadership de juillet 2017 et Stampede de Calgary</t>
        </is>
      </c>
      <c r="H852" s="1" t="n">
        <v>42926</v>
      </c>
      <c r="I852" s="1" t="n">
        <v>42933</v>
      </c>
      <c r="J852" t="inlineStr">
        <is>
          <t>Steady Brooke, NL and Calgary, AB</t>
        </is>
      </c>
      <c r="K852" t="inlineStr">
        <is>
          <t>Steady Brooke, TN et Calgary, AB</t>
        </is>
      </c>
      <c r="P852" t="n">
        <v>1899.28</v>
      </c>
      <c r="Q852" t="n">
        <v>134.66</v>
      </c>
      <c r="R852" t="n">
        <v>684.59</v>
      </c>
      <c r="S852" t="n">
        <v>283.1</v>
      </c>
      <c r="U852" t="n">
        <v>3001.63</v>
      </c>
      <c r="V852" t="n">
        <v>1900048091</v>
      </c>
      <c r="X852" t="inlineStr">
        <is>
          <t>aafc-aac</t>
        </is>
      </c>
      <c r="Y852" t="inlineStr">
        <is>
          <t>Agriculture and Agri-Food Canada | Agriculture et Agroalimentaire Canada</t>
        </is>
      </c>
    </row>
    <row r="853">
      <c r="A853" t="inlineStr">
        <is>
          <t>T-2017-Q2-00079</t>
        </is>
      </c>
      <c r="B853" t="inlineStr">
        <is>
          <t>MPSES</t>
        </is>
      </c>
      <c r="C853" t="inlineStr">
        <is>
          <t>Director of Communications</t>
        </is>
      </c>
      <c r="D853" t="inlineStr">
        <is>
          <t>Directeur des communications</t>
        </is>
      </c>
      <c r="E853" t="inlineStr">
        <is>
          <t>Guy Gallant</t>
        </is>
      </c>
      <c r="F853" t="inlineStr">
        <is>
          <t>To support the Minister at the annual conference of federal, provincial and territorial Ministers and Deputy Ministers of Agriculture in Newfoundland and Labrador.</t>
        </is>
      </c>
      <c r="G853" t="inlineStr">
        <is>
          <t>Appuyer le ministre à la Conférence annuelle des ministres fédéral, provinciaux et territoriaux et des sous-ministres de l'agriculture à Terre-Neuve-et-Labrador</t>
        </is>
      </c>
      <c r="H853" s="1" t="n">
        <v>42934</v>
      </c>
      <c r="I853" s="1" t="n">
        <v>42937</v>
      </c>
      <c r="J853" t="inlineStr">
        <is>
          <t>St John's NL</t>
        </is>
      </c>
      <c r="K853" t="inlineStr">
        <is>
          <t>St John's, TN et L</t>
        </is>
      </c>
      <c r="P853" t="n">
        <v>828.27</v>
      </c>
      <c r="R853" t="n">
        <v>888.9299999999999</v>
      </c>
      <c r="S853" t="n">
        <v>249.55</v>
      </c>
      <c r="T853" t="n">
        <v>350</v>
      </c>
      <c r="U853" t="n">
        <v>2316.75</v>
      </c>
      <c r="V853" t="n">
        <v>1900048090</v>
      </c>
      <c r="X853" t="inlineStr">
        <is>
          <t>aafc-aac</t>
        </is>
      </c>
      <c r="Y853" t="inlineStr">
        <is>
          <t>Agriculture and Agri-Food Canada | Agriculture et Agroalimentaire Canada</t>
        </is>
      </c>
    </row>
    <row r="854">
      <c r="A854" t="inlineStr">
        <is>
          <t>T-2017-Q2-00080</t>
        </is>
      </c>
      <c r="B854" t="inlineStr">
        <is>
          <t>MPSES</t>
        </is>
      </c>
      <c r="C854" t="inlineStr">
        <is>
          <t>Director of Communications</t>
        </is>
      </c>
      <c r="D854" t="inlineStr">
        <is>
          <t>Directeur des communications</t>
        </is>
      </c>
      <c r="E854" t="inlineStr">
        <is>
          <t>Guy Gallant</t>
        </is>
      </c>
      <c r="F854" t="inlineStr">
        <is>
          <t>To support the Minister on a Pacific Northwest Region outreach to Portland, Oregon and Sun Valley, Boise, Idaho.</t>
        </is>
      </c>
      <c r="G854" t="inlineStr">
        <is>
          <t>Appuyer le ministre sur une région du Nord-Ouest du Pacifique à portée de porte à Portland, Oregon et Sun Valley, Boise, Idaho.</t>
        </is>
      </c>
      <c r="H854" s="1" t="n">
        <v>42939</v>
      </c>
      <c r="I854" s="1" t="n">
        <v>42946</v>
      </c>
      <c r="J854" t="inlineStr">
        <is>
          <t>Portland, Oregon and Sun Valley, Boise, Idaho</t>
        </is>
      </c>
      <c r="K854" t="inlineStr">
        <is>
          <t>Portland, Oregon and Sun Valley, Boise, Idaho</t>
        </is>
      </c>
      <c r="P854" t="n">
        <v>1957.59</v>
      </c>
      <c r="R854" t="n">
        <v>1776.3</v>
      </c>
      <c r="S854" t="n">
        <v>669.84</v>
      </c>
      <c r="U854" t="n">
        <v>4403.73</v>
      </c>
      <c r="V854" t="n">
        <v>1900061500</v>
      </c>
      <c r="X854" t="inlineStr">
        <is>
          <t>aafc-aac</t>
        </is>
      </c>
      <c r="Y854" t="inlineStr">
        <is>
          <t>Agriculture and Agri-Food Canada | Agriculture et Agroalimentaire Canada</t>
        </is>
      </c>
    </row>
    <row r="855">
      <c r="A855" t="inlineStr">
        <is>
          <t>T-2017-Q2-00081</t>
        </is>
      </c>
      <c r="B855" t="inlineStr">
        <is>
          <t>MPSES</t>
        </is>
      </c>
      <c r="C855" t="inlineStr">
        <is>
          <t>Director of Communications</t>
        </is>
      </c>
      <c r="D855" t="inlineStr">
        <is>
          <t>Directeur des communications</t>
        </is>
      </c>
      <c r="E855" t="inlineStr">
        <is>
          <t>Guy Gallant</t>
        </is>
      </c>
      <c r="F855" t="inlineStr">
        <is>
          <t>To accompany the Minister to announcement, stakeholder meetings and Agriculture Canada Announcement with PEI Agriculture Federation as Research Farm.</t>
        </is>
      </c>
      <c r="G855" t="inlineStr">
        <is>
          <t>Pour accompagner le ministre à l'annonce, les réunions des parties prenantes et l'annonce d'Agriculture Canada avec la Fédération de l'agriculture de l'Î.-P.-É. Comme ferme de recherche.</t>
        </is>
      </c>
      <c r="H855" s="1" t="n">
        <v>42947</v>
      </c>
      <c r="I855" s="1" t="n">
        <v>42955</v>
      </c>
      <c r="J855" t="inlineStr">
        <is>
          <t>Charlottetown, PEI</t>
        </is>
      </c>
      <c r="K855" t="inlineStr">
        <is>
          <t>Charlottetown, L’Î-P-É</t>
        </is>
      </c>
      <c r="P855" t="n">
        <v>1210.52</v>
      </c>
      <c r="R855" t="n">
        <v>967.74</v>
      </c>
      <c r="S855" t="n">
        <v>525.95</v>
      </c>
      <c r="U855" t="n">
        <v>2704.21</v>
      </c>
      <c r="V855" t="n">
        <v>1900062799</v>
      </c>
      <c r="X855" t="inlineStr">
        <is>
          <t>aafc-aac</t>
        </is>
      </c>
      <c r="Y855" t="inlineStr">
        <is>
          <t>Agriculture and Agri-Food Canada | Agriculture et Agroalimentaire Canada</t>
        </is>
      </c>
    </row>
    <row r="856">
      <c r="A856" t="inlineStr">
        <is>
          <t>T-2017-Q2-00083</t>
        </is>
      </c>
      <c r="B856" t="inlineStr">
        <is>
          <t>MPSES</t>
        </is>
      </c>
      <c r="C856" t="inlineStr">
        <is>
          <t>Director of Communications</t>
        </is>
      </c>
      <c r="D856" t="inlineStr">
        <is>
          <t>Directeur des communications</t>
        </is>
      </c>
      <c r="E856" t="inlineStr">
        <is>
          <t>Guy Gallant</t>
        </is>
      </c>
      <c r="F856" t="inlineStr">
        <is>
          <t>To accompany the Minister for Government announcements, meetings with Stakeholders and events with the Minister.</t>
        </is>
      </c>
      <c r="G856" t="inlineStr">
        <is>
          <t>Pour accompagner le ministre des annonces du gouvernement, des rencontres avec les parties prenantes et les événements avec le ministre.</t>
        </is>
      </c>
      <c r="H856" s="1" t="n">
        <v>42976</v>
      </c>
      <c r="I856" s="1" t="n">
        <v>42979</v>
      </c>
      <c r="J856" t="inlineStr">
        <is>
          <t>Charlottetown, PEI</t>
        </is>
      </c>
      <c r="K856" t="inlineStr">
        <is>
          <t>Charlottetown, L’Î-P-É</t>
        </is>
      </c>
      <c r="Q856" t="n">
        <v>195.33</v>
      </c>
      <c r="R856" t="n">
        <v>837.45</v>
      </c>
      <c r="S856" t="n">
        <v>232.25</v>
      </c>
      <c r="U856" t="n">
        <v>1265.03</v>
      </c>
      <c r="V856" t="n">
        <v>1900073275</v>
      </c>
      <c r="X856" t="inlineStr">
        <is>
          <t>aafc-aac</t>
        </is>
      </c>
      <c r="Y856" t="inlineStr">
        <is>
          <t>Agriculture and Agri-Food Canada | Agriculture et Agroalimentaire Canada</t>
        </is>
      </c>
    </row>
    <row r="857">
      <c r="A857" t="inlineStr">
        <is>
          <t>T-2017-Q2-00084</t>
        </is>
      </c>
      <c r="B857" t="inlineStr">
        <is>
          <t>MPSES</t>
        </is>
      </c>
      <c r="C857" t="inlineStr">
        <is>
          <t>Director of Communications</t>
        </is>
      </c>
      <c r="D857" t="inlineStr">
        <is>
          <t>Directeur des communications</t>
        </is>
      </c>
      <c r="E857" t="inlineStr">
        <is>
          <t>Guy Gallant</t>
        </is>
      </c>
      <c r="F857" t="inlineStr">
        <is>
          <t>To accompany the Minister to the conference of the New England Governors and eastern canadian premiers meeting.</t>
        </is>
      </c>
      <c r="G857" t="inlineStr">
        <is>
          <t>Pour accompagner le ministre à la conférence des gouverneurs de la Nouvelle-Angleterre et à la réunion des premiers ministres de l'Est du Canada.</t>
        </is>
      </c>
      <c r="H857" s="1" t="n">
        <v>42973</v>
      </c>
      <c r="I857" s="1" t="n">
        <v>42975</v>
      </c>
      <c r="J857" t="inlineStr">
        <is>
          <t>St Peters, NS</t>
        </is>
      </c>
      <c r="K857" t="inlineStr">
        <is>
          <t>St Peters, NÉ</t>
        </is>
      </c>
      <c r="Q857" t="n">
        <v>153.93</v>
      </c>
      <c r="R857" t="n">
        <v>287.5</v>
      </c>
      <c r="S857" t="n">
        <v>196.9</v>
      </c>
      <c r="U857" t="n">
        <v>638.33</v>
      </c>
      <c r="V857" t="n">
        <v>1900073386</v>
      </c>
      <c r="X857" t="inlineStr">
        <is>
          <t>aafc-aac</t>
        </is>
      </c>
      <c r="Y857" t="inlineStr">
        <is>
          <t>Agriculture and Agri-Food Canada | Agriculture et Agroalimentaire Canada</t>
        </is>
      </c>
    </row>
    <row r="858">
      <c r="A858" t="inlineStr">
        <is>
          <t>T-2017-Q2-00085</t>
        </is>
      </c>
      <c r="B858" t="inlineStr">
        <is>
          <t>MPSES</t>
        </is>
      </c>
      <c r="C858" t="inlineStr">
        <is>
          <t>Director of Communications</t>
        </is>
      </c>
      <c r="D858" t="inlineStr">
        <is>
          <t>Directeur des communications</t>
        </is>
      </c>
      <c r="E858" t="inlineStr">
        <is>
          <t>Guy Gallant</t>
        </is>
      </c>
      <c r="F858" t="inlineStr">
        <is>
          <t>To accompany the Minister to bilateral meeting with AgroPur.</t>
        </is>
      </c>
      <c r="G858" t="inlineStr">
        <is>
          <t>Pour accompagner le ministre à une réunion bilatérale avec AgroPur.</t>
        </is>
      </c>
      <c r="H858" s="1" t="n">
        <v>42975</v>
      </c>
      <c r="I858" s="1" t="n">
        <v>42976</v>
      </c>
      <c r="J858" t="inlineStr">
        <is>
          <t>Sussex, NB</t>
        </is>
      </c>
      <c r="K858" t="inlineStr">
        <is>
          <t>Sussex, NB</t>
        </is>
      </c>
      <c r="Q858" t="n">
        <v>153.93</v>
      </c>
      <c r="R858" t="n">
        <v>113.85</v>
      </c>
      <c r="S858" t="n">
        <v>81.3</v>
      </c>
      <c r="T858" t="n">
        <v>7.59</v>
      </c>
      <c r="U858" t="n">
        <v>356.67</v>
      </c>
      <c r="V858" t="n">
        <v>1900073422</v>
      </c>
      <c r="X858" t="inlineStr">
        <is>
          <t>aafc-aac</t>
        </is>
      </c>
      <c r="Y858" t="inlineStr">
        <is>
          <t>Agriculture and Agri-Food Canada | Agriculture et Agroalimentaire Canada</t>
        </is>
      </c>
    </row>
    <row r="859">
      <c r="A859" t="inlineStr">
        <is>
          <t>T-2017-Q2-00086</t>
        </is>
      </c>
      <c r="B859" t="inlineStr">
        <is>
          <t>MPSES</t>
        </is>
      </c>
      <c r="C859" t="inlineStr">
        <is>
          <t>Communications Advisor</t>
        </is>
      </c>
      <c r="D859" t="inlineStr">
        <is>
          <t>Conseiller en communications</t>
        </is>
      </c>
      <c r="E859" t="inlineStr">
        <is>
          <t>Oliver Anderson</t>
        </is>
      </c>
      <c r="F859" t="inlineStr">
        <is>
          <t>To accompany the Minister to an outreach in south western Ontario Guelph, Waterloo, Kitchener and Elora Research Barn Announcement with Minister Leal, market visit, Conestoga meat packers tour</t>
        </is>
      </c>
      <c r="G859" t="inlineStr">
        <is>
          <t>Pour accompagner le ministre à une visite de sensibilisation dans le sud-ouest de l'Ontario,  Guelph, Waterloo, Kitchener,  grange de recherche Elora. Accompagner le ministre Leal lors d'une announce, visite du marché ainsi une tournée de comptoirs de viande Conestega.</t>
        </is>
      </c>
      <c r="H859" s="1" t="n">
        <v>42921</v>
      </c>
      <c r="I859" s="1" t="n">
        <v>42923</v>
      </c>
      <c r="J859" t="inlineStr">
        <is>
          <t>Guelph, ON</t>
        </is>
      </c>
      <c r="K859" t="inlineStr">
        <is>
          <t>Guelph, ON</t>
        </is>
      </c>
      <c r="P859" t="n">
        <v>563.02</v>
      </c>
      <c r="Q859" t="n">
        <v>35.67</v>
      </c>
      <c r="R859" t="n">
        <v>275.72</v>
      </c>
      <c r="S859" t="n">
        <v>214.2</v>
      </c>
      <c r="U859" t="n">
        <v>1088.61</v>
      </c>
      <c r="V859" t="n">
        <v>1900047653</v>
      </c>
      <c r="X859" t="inlineStr">
        <is>
          <t>aafc-aac</t>
        </is>
      </c>
      <c r="Y859" t="inlineStr">
        <is>
          <t>Agriculture and Agri-Food Canada | Agriculture et Agroalimentaire Canada</t>
        </is>
      </c>
    </row>
    <row r="860">
      <c r="A860" t="inlineStr">
        <is>
          <t>T-2017-Q2-00082</t>
        </is>
      </c>
      <c r="B860" t="inlineStr">
        <is>
          <t>MPSES</t>
        </is>
      </c>
      <c r="C860" t="inlineStr">
        <is>
          <t>Director of Communications</t>
        </is>
      </c>
      <c r="D860" t="inlineStr">
        <is>
          <t>Directeur des communications</t>
        </is>
      </c>
      <c r="E860" t="inlineStr">
        <is>
          <t>Guy Gallant</t>
        </is>
      </c>
      <c r="F860" t="inlineStr">
        <is>
          <t>To accompany the Minister to Saint John for New Brunswick Outreach.</t>
        </is>
      </c>
      <c r="G860" t="inlineStr">
        <is>
          <t>Pour accompagner le ministre à Saint John pour la sensibilisation du Nouveau-Brunswick.</t>
        </is>
      </c>
      <c r="H860" s="1" t="n">
        <v>42971</v>
      </c>
      <c r="I860" s="1" t="n">
        <v>42973</v>
      </c>
      <c r="J860" t="inlineStr">
        <is>
          <t>Saint John, NB</t>
        </is>
      </c>
      <c r="K860" t="inlineStr">
        <is>
          <t>Saint John, NB</t>
        </is>
      </c>
      <c r="Q860" t="n">
        <v>218.77</v>
      </c>
      <c r="R860" t="n">
        <v>284.28</v>
      </c>
      <c r="S860" t="n">
        <v>242.1</v>
      </c>
      <c r="U860" t="n">
        <v>745.15</v>
      </c>
      <c r="V860" t="n">
        <v>1900073328</v>
      </c>
      <c r="X860" t="inlineStr">
        <is>
          <t>aafc-aac</t>
        </is>
      </c>
      <c r="Y860" t="inlineStr">
        <is>
          <t>Agriculture and Agri-Food Canada | Agriculture et Agroalimentaire Canada</t>
        </is>
      </c>
    </row>
    <row r="861">
      <c r="A861" t="inlineStr">
        <is>
          <t>T-2017-Q2-00087</t>
        </is>
      </c>
      <c r="B861" t="inlineStr">
        <is>
          <t>MPSES</t>
        </is>
      </c>
      <c r="C861" t="inlineStr">
        <is>
          <t>Chief of Staff</t>
        </is>
      </c>
      <c r="D861" t="inlineStr">
        <is>
          <t>Chef de cabinet</t>
        </is>
      </c>
      <c r="E861" t="inlineStr">
        <is>
          <t>Mary Jean McFall</t>
        </is>
      </c>
      <c r="F861" t="inlineStr">
        <is>
          <t>To accompany the Minister for a Bilateral Meeting with the United states Secretary of Agriculture</t>
        </is>
      </c>
      <c r="G861" t="inlineStr">
        <is>
          <t>Pour accompagner le ministre pour une réunion bilatérale avec le secrétaire d'agriculture des États-Unis</t>
        </is>
      </c>
      <c r="H861" s="1" t="n">
        <v>42890</v>
      </c>
      <c r="I861" s="1" t="n">
        <v>42891</v>
      </c>
      <c r="J861" t="inlineStr">
        <is>
          <t>Toronto, ON</t>
        </is>
      </c>
      <c r="K861" t="inlineStr">
        <is>
          <t>Toronto, ON</t>
        </is>
      </c>
      <c r="P861" t="n">
        <v>835.35</v>
      </c>
      <c r="Q861" t="n">
        <v>35.43</v>
      </c>
      <c r="R861" t="n">
        <v>288.85</v>
      </c>
      <c r="S861" t="n">
        <v>115.75</v>
      </c>
      <c r="U861" t="n">
        <v>1275.38</v>
      </c>
      <c r="V861" t="n">
        <v>1900023444</v>
      </c>
      <c r="X861" t="inlineStr">
        <is>
          <t>aafc-aac</t>
        </is>
      </c>
      <c r="Y861" t="inlineStr">
        <is>
          <t>Agriculture and Agri-Food Canada | Agriculture et Agroalimentaire Canada</t>
        </is>
      </c>
    </row>
    <row r="862">
      <c r="A862" t="inlineStr">
        <is>
          <t>T-2017-Q3-00026</t>
        </is>
      </c>
      <c r="B862" t="inlineStr">
        <is>
          <t>SLE</t>
        </is>
      </c>
      <c r="C862" t="inlineStr">
        <is>
          <t>Associate Assistant Deputy Minister</t>
        </is>
      </c>
      <c r="D862" t="inlineStr">
        <is>
          <t>Sous-ministre adjoint délégué</t>
        </is>
      </c>
      <c r="E862" t="inlineStr">
        <is>
          <t>Gilles Saindon</t>
        </is>
      </c>
      <c r="F862" t="inlineStr">
        <is>
          <t>To attend bilat with Universty of Laval Officials and visit Research Farms.</t>
        </is>
      </c>
      <c r="G862" t="inlineStr">
        <is>
          <t>Participer à une rencontre bilatérale avec des représentants de l'Université Laval et visité les fermes de recherche.</t>
        </is>
      </c>
      <c r="H862" s="1" t="n">
        <v>43006</v>
      </c>
      <c r="I862" s="1" t="n">
        <v>43008</v>
      </c>
      <c r="J862" t="inlineStr">
        <is>
          <t>Quebec City, Quebec</t>
        </is>
      </c>
      <c r="K862" t="inlineStr">
        <is>
          <t>Québec, Québec</t>
        </is>
      </c>
      <c r="P862" t="n">
        <v>754.14</v>
      </c>
      <c r="Q862" t="n">
        <v>156.74</v>
      </c>
      <c r="R862" t="n">
        <v>366.52</v>
      </c>
      <c r="S862" t="n">
        <v>168.25</v>
      </c>
      <c r="U862" t="n">
        <v>1445.65</v>
      </c>
      <c r="V862" t="inlineStr">
        <is>
          <t>AJD929254</t>
        </is>
      </c>
      <c r="X862" t="inlineStr">
        <is>
          <t>aafc-aac</t>
        </is>
      </c>
      <c r="Y862" t="inlineStr">
        <is>
          <t>Agriculture and Agri-Food Canada | Agriculture et Agroalimentaire Canada</t>
        </is>
      </c>
    </row>
    <row r="863">
      <c r="A863" t="inlineStr">
        <is>
          <t>T-2017-Q2-00088</t>
        </is>
      </c>
      <c r="B863" t="inlineStr">
        <is>
          <t>MPSES</t>
        </is>
      </c>
      <c r="C863" t="inlineStr">
        <is>
          <t>Chief of Staff</t>
        </is>
      </c>
      <c r="D863" t="inlineStr">
        <is>
          <t>Chef de cabinet</t>
        </is>
      </c>
      <c r="E863" t="inlineStr">
        <is>
          <t>Mary Jean McFall</t>
        </is>
      </c>
      <c r="F863" t="inlineStr">
        <is>
          <t>To accompany the Minister to Savannah, Georgia for the Trilateral Agriculture Ministers meeting with the U.S. Secretary of Agriculture and the Mexican Secretary of Agriculture</t>
        </is>
      </c>
      <c r="G863" t="inlineStr">
        <is>
          <t>Pour accompagner le ministre à Savannah, en Géorgie, pour les ministres trilatéraux de l'agriculture réunis avec le secrétaire américain à l'agriculture et le secrétaire mexicain à l'agriculture</t>
        </is>
      </c>
      <c r="H863" s="1" t="n">
        <v>42905</v>
      </c>
      <c r="I863" s="1" t="n">
        <v>42908</v>
      </c>
      <c r="J863" t="inlineStr">
        <is>
          <t>Savannah, USA</t>
        </is>
      </c>
      <c r="K863" t="inlineStr">
        <is>
          <t>Savannah, É-U</t>
        </is>
      </c>
      <c r="P863" t="n">
        <v>1072.9</v>
      </c>
      <c r="Q863" t="n">
        <v>72.15000000000001</v>
      </c>
      <c r="R863" t="n">
        <v>546.78</v>
      </c>
      <c r="S863" t="n">
        <v>338.66</v>
      </c>
      <c r="U863" t="n">
        <v>2030.49</v>
      </c>
      <c r="V863" t="n">
        <v>1900033943</v>
      </c>
      <c r="X863" t="inlineStr">
        <is>
          <t>aafc-aac</t>
        </is>
      </c>
      <c r="Y863" t="inlineStr">
        <is>
          <t>Agriculture and Agri-Food Canada | Agriculture et Agroalimentaire Canada</t>
        </is>
      </c>
    </row>
    <row r="864">
      <c r="A864" t="inlineStr">
        <is>
          <t>T-2017-Q2-00089</t>
        </is>
      </c>
      <c r="B864" t="inlineStr">
        <is>
          <t>MPSES</t>
        </is>
      </c>
      <c r="C864" t="inlineStr">
        <is>
          <t>Chief of Staff</t>
        </is>
      </c>
      <c r="D864" t="inlineStr">
        <is>
          <t>Chef de cabinet</t>
        </is>
      </c>
      <c r="E864" t="inlineStr">
        <is>
          <t>Mary Jean McFall</t>
        </is>
      </c>
      <c r="F864" t="inlineStr">
        <is>
          <t>To support the Minister at the annual Conference of Federal, Provincial and Territorial Ministers and  Deputy Ministers of Agriculture in Newfoundland and Labrador</t>
        </is>
      </c>
      <c r="G864" t="inlineStr">
        <is>
          <t>Aider le ministre à la Conférence annuelle des ministres fédéraux, provinciaux et territoriaux et des sous-ministres de l'agriculture de Terre-Neuve-et-Labrador</t>
        </is>
      </c>
      <c r="H864" s="1" t="n">
        <v>42934</v>
      </c>
      <c r="I864" s="1" t="n">
        <v>42937</v>
      </c>
      <c r="J864" t="inlineStr">
        <is>
          <t>St John's, NFLD</t>
        </is>
      </c>
      <c r="K864" t="inlineStr">
        <is>
          <t>St John's, TN</t>
        </is>
      </c>
      <c r="P864" t="n">
        <v>828.27</v>
      </c>
      <c r="Q864" t="n">
        <v>73.44</v>
      </c>
      <c r="R864" t="n">
        <v>888.9299999999999</v>
      </c>
      <c r="S864" t="n">
        <v>249.55</v>
      </c>
      <c r="T864" t="n">
        <v>350</v>
      </c>
      <c r="U864" t="n">
        <v>2390.19</v>
      </c>
      <c r="V864" t="n">
        <v>1900048096</v>
      </c>
      <c r="X864" t="inlineStr">
        <is>
          <t>aafc-aac</t>
        </is>
      </c>
      <c r="Y864" t="inlineStr">
        <is>
          <t>Agriculture and Agri-Food Canada | Agriculture et Agroalimentaire Canada</t>
        </is>
      </c>
    </row>
    <row r="865">
      <c r="A865" t="inlineStr">
        <is>
          <t>T-2017-Q2-00090</t>
        </is>
      </c>
      <c r="B865" t="inlineStr">
        <is>
          <t>MPSES</t>
        </is>
      </c>
      <c r="C865" t="inlineStr">
        <is>
          <t>Chief of Staff</t>
        </is>
      </c>
      <c r="D865" t="inlineStr">
        <is>
          <t>Chef de cabinet</t>
        </is>
      </c>
      <c r="E865" t="inlineStr">
        <is>
          <t>Mary Jean McFall</t>
        </is>
      </c>
      <c r="F865" t="inlineStr">
        <is>
          <t>To support the Minister with  meetings in Prince Edward Island</t>
        </is>
      </c>
      <c r="G865" t="inlineStr">
        <is>
          <t xml:space="preserve">Supporter le ministre aux reunions à L’Île-du-Prince-Édouard </t>
        </is>
      </c>
      <c r="H865" s="1" t="n">
        <v>42977</v>
      </c>
      <c r="I865" s="1" t="n">
        <v>42979</v>
      </c>
      <c r="J865" t="inlineStr">
        <is>
          <t>Charlottetown, PEI</t>
        </is>
      </c>
      <c r="K865" t="inlineStr">
        <is>
          <t>Charlottetown, l’Î.-P.-É</t>
        </is>
      </c>
      <c r="P865" t="n">
        <v>664.15</v>
      </c>
      <c r="Q865" t="n">
        <v>193.63</v>
      </c>
      <c r="R865" t="n">
        <v>471.44</v>
      </c>
      <c r="S865" t="n">
        <v>133.95</v>
      </c>
      <c r="U865" t="n">
        <v>1463.17</v>
      </c>
      <c r="V865" t="n">
        <v>1900073061</v>
      </c>
      <c r="X865" t="inlineStr">
        <is>
          <t>aafc-aac</t>
        </is>
      </c>
      <c r="Y865" t="inlineStr">
        <is>
          <t>Agriculture and Agri-Food Canada | Agriculture et Agroalimentaire Canada</t>
        </is>
      </c>
    </row>
    <row r="866">
      <c r="A866" t="inlineStr">
        <is>
          <t>T-2017-Q2-00091</t>
        </is>
      </c>
      <c r="B866" t="inlineStr">
        <is>
          <t>MPSES</t>
        </is>
      </c>
      <c r="C866" t="inlineStr">
        <is>
          <t>Minister</t>
        </is>
      </c>
      <c r="D866" t="inlineStr">
        <is>
          <t>Ministre</t>
        </is>
      </c>
      <c r="E866" t="inlineStr">
        <is>
          <t>Lawrence MacAulay</t>
        </is>
      </c>
      <c r="F866" t="inlineStr">
        <is>
          <t>Bilateral meeting with the United States Secretary of Agriculture.</t>
        </is>
      </c>
      <c r="G866" t="inlineStr">
        <is>
          <t>Réunion bilatérale avec le secrétaire d'agriculture des États-Unis.</t>
        </is>
      </c>
      <c r="H866" s="1" t="n">
        <v>42890</v>
      </c>
      <c r="I866" s="1" t="n">
        <v>42891</v>
      </c>
      <c r="J866" t="inlineStr">
        <is>
          <t>Toronto, ON</t>
        </is>
      </c>
      <c r="K866" t="inlineStr">
        <is>
          <t>Toronto, ON</t>
        </is>
      </c>
      <c r="P866" t="n">
        <v>970.87</v>
      </c>
      <c r="Q866" t="n">
        <v>26.23</v>
      </c>
      <c r="R866" t="n">
        <v>288.85</v>
      </c>
      <c r="S866" t="n">
        <v>115.75</v>
      </c>
      <c r="U866" t="n">
        <v>1401.7</v>
      </c>
      <c r="V866" t="n">
        <v>1900025351</v>
      </c>
      <c r="X866" t="inlineStr">
        <is>
          <t>aafc-aac</t>
        </is>
      </c>
      <c r="Y866" t="inlineStr">
        <is>
          <t>Agriculture and Agri-Food Canada | Agriculture et Agroalimentaire Canada</t>
        </is>
      </c>
    </row>
    <row r="867">
      <c r="A867" t="inlineStr">
        <is>
          <t>T-2017-Q2-00092</t>
        </is>
      </c>
      <c r="B867" t="inlineStr">
        <is>
          <t>MPSES</t>
        </is>
      </c>
      <c r="C867" t="inlineStr">
        <is>
          <t>Minister</t>
        </is>
      </c>
      <c r="D867" t="inlineStr">
        <is>
          <t>Ministre</t>
        </is>
      </c>
      <c r="E867" t="inlineStr">
        <is>
          <t>Lawrence MacAulay</t>
        </is>
      </c>
      <c r="F867" t="inlineStr">
        <is>
          <t>Travel to Savannah, Georgia for the Trilateral Agriculture Ministers meeting with the U. S. Secretary of Agriculture and the Mexican Secretary of Agriculture.</t>
        </is>
      </c>
      <c r="G867" t="inlineStr">
        <is>
          <t>Voyage à Savannah, en Géorgie, pour assister à des réunions trilatérale des ministres de l'agriculture avec le secrétaire de l'agriculture de les États Unis et le secrétaire mexicain de l'agriculture.</t>
        </is>
      </c>
      <c r="H867" s="1" t="n">
        <v>42905</v>
      </c>
      <c r="I867" s="1" t="n">
        <v>42908</v>
      </c>
      <c r="J867" t="inlineStr">
        <is>
          <t>Savannah, USA</t>
        </is>
      </c>
      <c r="K867" t="inlineStr">
        <is>
          <t>Savannah, É.-U.</t>
        </is>
      </c>
      <c r="P867" t="n">
        <v>1239.85</v>
      </c>
      <c r="R867" t="n">
        <v>546.78</v>
      </c>
      <c r="S867" t="n">
        <v>315.92</v>
      </c>
      <c r="U867" t="n">
        <v>2102.55</v>
      </c>
      <c r="V867" t="n">
        <v>1900033945</v>
      </c>
      <c r="X867" t="inlineStr">
        <is>
          <t>aafc-aac</t>
        </is>
      </c>
      <c r="Y867" t="inlineStr">
        <is>
          <t>Agriculture and Agri-Food Canada | Agriculture et Agroalimentaire Canada</t>
        </is>
      </c>
    </row>
    <row r="868">
      <c r="A868" t="inlineStr">
        <is>
          <t>T-2017-Q3-00036</t>
        </is>
      </c>
      <c r="B868" t="inlineStr">
        <is>
          <t>SLE</t>
        </is>
      </c>
      <c r="C868" t="inlineStr">
        <is>
          <t>Chief Agriculture Negotiator</t>
        </is>
      </c>
      <c r="D868" t="inlineStr">
        <is>
          <t>Négociateur en chef pour l'agriculture</t>
        </is>
      </c>
      <c r="E868" t="inlineStr">
        <is>
          <t>Frédéric Seppey</t>
        </is>
      </c>
      <c r="F868" t="inlineStr">
        <is>
          <t>North American Trade Agreement Negotiations</t>
        </is>
      </c>
      <c r="G868" t="inlineStr">
        <is>
          <t>Négociations Accord de libre-échange nord-américain</t>
        </is>
      </c>
      <c r="H868" s="1" t="n">
        <v>43057</v>
      </c>
      <c r="I868" s="1" t="n">
        <v>43061</v>
      </c>
      <c r="J868" t="inlineStr">
        <is>
          <t>Mexico City Mexico</t>
        </is>
      </c>
      <c r="K868" t="inlineStr">
        <is>
          <t>Mexico City, Mexique</t>
        </is>
      </c>
      <c r="P868" t="n">
        <v>1009.08</v>
      </c>
      <c r="Q868" t="n">
        <v>142.33</v>
      </c>
      <c r="R868" t="n">
        <v>927.26</v>
      </c>
      <c r="S868" t="n">
        <v>291.53</v>
      </c>
      <c r="T868" t="n">
        <v>11.3</v>
      </c>
      <c r="U868" t="n">
        <v>2381.5</v>
      </c>
      <c r="V868" t="inlineStr">
        <is>
          <t>AJE585226</t>
        </is>
      </c>
      <c r="X868" t="inlineStr">
        <is>
          <t>aafc-aac</t>
        </is>
      </c>
      <c r="Y868" t="inlineStr">
        <is>
          <t>Agriculture and Agri-Food Canada | Agriculture et Agroalimentaire Canada</t>
        </is>
      </c>
    </row>
    <row r="869">
      <c r="A869" t="inlineStr">
        <is>
          <t>T-2017-Q2-00093</t>
        </is>
      </c>
      <c r="B869" t="inlineStr">
        <is>
          <t>MPSES</t>
        </is>
      </c>
      <c r="C869" t="inlineStr">
        <is>
          <t>Minister</t>
        </is>
      </c>
      <c r="D869" t="inlineStr">
        <is>
          <t>Ministre</t>
        </is>
      </c>
      <c r="E869" t="inlineStr">
        <is>
          <t>Lawrence MacAulay</t>
        </is>
      </c>
      <c r="F869" t="inlineStr">
        <is>
          <t>Announce the launch of the Atlantic Trade and Investment Strategy and participate in a Roundtable with the Agriculture Sector from Atlantic Canada.</t>
        </is>
      </c>
      <c r="G869" t="inlineStr">
        <is>
          <t>Annoncez le lancement de la stratégie d'investissment de commerce atlantique et participez à une table ronde avec le secteur de l'agriculture du Canada atlantique.</t>
        </is>
      </c>
      <c r="H869" s="1" t="n">
        <v>42920</v>
      </c>
      <c r="I869" s="1" t="n">
        <v>42920</v>
      </c>
      <c r="J869" t="inlineStr">
        <is>
          <t>Saint-John, NB</t>
        </is>
      </c>
      <c r="K869" t="inlineStr">
        <is>
          <t>Saint-John, NB</t>
        </is>
      </c>
      <c r="P869" t="n">
        <v>1048.12</v>
      </c>
      <c r="R869" t="n">
        <v>165.83</v>
      </c>
      <c r="S869" t="n">
        <v>143.65</v>
      </c>
      <c r="U869" t="n">
        <v>1357.6</v>
      </c>
      <c r="V869" t="n">
        <v>1900036286</v>
      </c>
      <c r="X869" t="inlineStr">
        <is>
          <t>aafc-aac</t>
        </is>
      </c>
      <c r="Y869" t="inlineStr">
        <is>
          <t>Agriculture and Agri-Food Canada | Agriculture et Agroalimentaire Canada</t>
        </is>
      </c>
    </row>
    <row r="870">
      <c r="A870" t="inlineStr">
        <is>
          <t>T-2017-Q2-00094</t>
        </is>
      </c>
      <c r="B870" t="inlineStr">
        <is>
          <t>MPSES</t>
        </is>
      </c>
      <c r="C870" t="inlineStr">
        <is>
          <t>Minister</t>
        </is>
      </c>
      <c r="D870" t="inlineStr">
        <is>
          <t>Ministre</t>
        </is>
      </c>
      <c r="E870" t="inlineStr">
        <is>
          <t>Lawrence MacAulay</t>
        </is>
      </c>
      <c r="F870" t="inlineStr">
        <is>
          <t>Outreach to South West Ontario including Guelph, Waterloo and Kitchener. Announcement at the Elora Research Barn with the Ontario Minister of Agriculture, St. Jacob's Market visit and Conestega meat pakers tour.</t>
        </is>
      </c>
      <c r="G870" t="inlineStr">
        <is>
          <t>Visite de sensibilisation au sud ouest de l'Ontario, Guelph, Waterloo et Kitchener. Annonce à la grange de recherche Elora avec le ministre de l'Agriculture de l'Ontario, la visite du marché de St. Jacob's et la tournée de comptoirs de viande Conestega.</t>
        </is>
      </c>
      <c r="H870" s="1" t="n">
        <v>42921</v>
      </c>
      <c r="I870" s="1" t="n">
        <v>42923</v>
      </c>
      <c r="J870" t="inlineStr">
        <is>
          <t>Guelph &amp; Toronto, ON</t>
        </is>
      </c>
      <c r="K870" t="inlineStr">
        <is>
          <t>Guelph et Toronto, ON</t>
        </is>
      </c>
      <c r="P870" t="n">
        <v>1261.36</v>
      </c>
      <c r="Q870" t="n">
        <v>25.97</v>
      </c>
      <c r="R870" t="n">
        <v>275.72</v>
      </c>
      <c r="S870" t="n">
        <v>214.2</v>
      </c>
      <c r="U870" t="n">
        <v>1777.25</v>
      </c>
      <c r="V870" t="n">
        <v>1900048019</v>
      </c>
      <c r="X870" t="inlineStr">
        <is>
          <t>aafc-aac</t>
        </is>
      </c>
      <c r="Y870" t="inlineStr">
        <is>
          <t>Agriculture and Agri-Food Canada | Agriculture et Agroalimentaire Canada</t>
        </is>
      </c>
    </row>
    <row r="871">
      <c r="A871" t="inlineStr">
        <is>
          <t>T-2017-Q2-00095</t>
        </is>
      </c>
      <c r="B871" t="inlineStr">
        <is>
          <t>MPSES</t>
        </is>
      </c>
      <c r="C871" t="inlineStr">
        <is>
          <t>Minister</t>
        </is>
      </c>
      <c r="D871" t="inlineStr">
        <is>
          <t>Ministre</t>
        </is>
      </c>
      <c r="E871" t="inlineStr">
        <is>
          <t>Lawrence MacAulay</t>
        </is>
      </c>
      <c r="F871" t="inlineStr">
        <is>
          <t>To attend Briefings in Ottawa and St. John's, Newfoundland for the Annual Conference of Federal, Provincial and Territorial Ministers and Deputy Ministers od Agriculture</t>
        </is>
      </c>
      <c r="G871" t="inlineStr">
        <is>
          <t>Assister aux séances d'information à Ottawa et à St. John's, à Terre-Neuve, pour la Conférence annuelle des ministres et sous-ministres fédéraux, provinciaux et territoriaux de l'agriculture</t>
        </is>
      </c>
      <c r="H871" s="1" t="n">
        <v>42932</v>
      </c>
      <c r="I871" s="1" t="n">
        <v>42937</v>
      </c>
      <c r="J871" t="inlineStr">
        <is>
          <t>St-John's, NL</t>
        </is>
      </c>
      <c r="K871" t="inlineStr">
        <is>
          <t>St-John's, TN</t>
        </is>
      </c>
      <c r="P871" t="n">
        <v>1547.79</v>
      </c>
      <c r="Q871" t="n">
        <v>51.94</v>
      </c>
      <c r="R871" t="n">
        <v>888.9299999999999</v>
      </c>
      <c r="S871" t="n">
        <v>295.5</v>
      </c>
      <c r="T871" t="n">
        <v>350</v>
      </c>
      <c r="U871" t="n">
        <v>3134.16</v>
      </c>
      <c r="V871" t="n">
        <v>1900048027</v>
      </c>
      <c r="X871" t="inlineStr">
        <is>
          <t>aafc-aac</t>
        </is>
      </c>
      <c r="Y871" t="inlineStr">
        <is>
          <t>Agriculture and Agri-Food Canada | Agriculture et Agroalimentaire Canada</t>
        </is>
      </c>
    </row>
    <row r="872">
      <c r="A872" t="inlineStr">
        <is>
          <t>T-2017-Q2-00096</t>
        </is>
      </c>
      <c r="B872" t="inlineStr">
        <is>
          <t>MPSES</t>
        </is>
      </c>
      <c r="C872" t="inlineStr">
        <is>
          <t>Minister</t>
        </is>
      </c>
      <c r="D872" t="inlineStr">
        <is>
          <t>Ministre</t>
        </is>
      </c>
      <c r="E872" t="inlineStr">
        <is>
          <t>Lawrence MacAulay</t>
        </is>
      </c>
      <c r="F872" t="inlineStr">
        <is>
          <t>To attend the Atlantic Growth Strategy - July 2017 Leadership Committee in Steady Brook, Newfoundland and the Calgary Stampede</t>
        </is>
      </c>
      <c r="G872" t="inlineStr">
        <is>
          <t>Pour assister à la Stratégie de croissance de l'atlantique - Comité de leadership de juillet 2017 à Steady Brook, à Terre-Neuve et au Stampede de Calgary</t>
        </is>
      </c>
      <c r="H872" s="1" t="n">
        <v>42926</v>
      </c>
      <c r="I872" s="1" t="n">
        <v>42930</v>
      </c>
      <c r="J872" t="inlineStr">
        <is>
          <t>Steady Brooke, NL,  Toronto, ON and Calgary, AB</t>
        </is>
      </c>
      <c r="K872" t="inlineStr">
        <is>
          <t>Steady Brooke,  TN, Toronto, ON et Calgary, ON</t>
        </is>
      </c>
      <c r="P872" t="n">
        <v>2922.45</v>
      </c>
      <c r="Q872" t="n">
        <v>51.94</v>
      </c>
      <c r="R872" t="n">
        <v>888.62</v>
      </c>
      <c r="S872" t="n">
        <v>220</v>
      </c>
      <c r="U872" t="n">
        <v>4083.01</v>
      </c>
      <c r="V872" t="n">
        <v>1900048021</v>
      </c>
      <c r="X872" t="inlineStr">
        <is>
          <t>aafc-aac</t>
        </is>
      </c>
      <c r="Y872" t="inlineStr">
        <is>
          <t>Agriculture and Agri-Food Canada | Agriculture et Agroalimentaire Canada</t>
        </is>
      </c>
    </row>
    <row r="873">
      <c r="A873" t="inlineStr">
        <is>
          <t>T-2017-Q2-00097</t>
        </is>
      </c>
      <c r="B873" t="inlineStr">
        <is>
          <t>MPSES</t>
        </is>
      </c>
      <c r="C873" t="inlineStr">
        <is>
          <t>Minister</t>
        </is>
      </c>
      <c r="D873" t="inlineStr">
        <is>
          <t>Ministre</t>
        </is>
      </c>
      <c r="E873" t="inlineStr">
        <is>
          <t>Lawrence MacAulay</t>
        </is>
      </c>
      <c r="F873" t="inlineStr">
        <is>
          <t>Travel to Portland, Oregon and Sun Valley, Boise, Idaho for a Pacific Northwest Region Outreach</t>
        </is>
      </c>
      <c r="G873" t="inlineStr">
        <is>
          <t>Voyage à Portland, Oregon et Sun Valley, Boise, Idaho pour une région du Pacifique Nord-Ouest</t>
        </is>
      </c>
      <c r="H873" s="1" t="n">
        <v>42939</v>
      </c>
      <c r="I873" s="1" t="n">
        <v>42945</v>
      </c>
      <c r="J873" t="inlineStr">
        <is>
          <t>Portland, Oregon and Sun Valley, Boise, Idaho</t>
        </is>
      </c>
      <c r="K873" t="inlineStr">
        <is>
          <t>Portland, Oregon et  Sun Valley, Boise, Idaho</t>
        </is>
      </c>
      <c r="P873" t="n">
        <v>2987.73</v>
      </c>
      <c r="Q873" t="n">
        <v>90</v>
      </c>
      <c r="R873" t="n">
        <v>1776.3</v>
      </c>
      <c r="S873" t="n">
        <v>648.4</v>
      </c>
      <c r="U873" t="n">
        <v>5502.43</v>
      </c>
      <c r="V873" t="n">
        <v>1900061613</v>
      </c>
      <c r="X873" t="inlineStr">
        <is>
          <t>aafc-aac</t>
        </is>
      </c>
      <c r="Y873" t="inlineStr">
        <is>
          <t>Agriculture and Agri-Food Canada | Agriculture et Agroalimentaire Canada</t>
        </is>
      </c>
    </row>
    <row r="874">
      <c r="A874" t="inlineStr">
        <is>
          <t>T-2017-Q3-00002</t>
        </is>
      </c>
      <c r="B874" t="inlineStr">
        <is>
          <t>SLE</t>
        </is>
      </c>
      <c r="C874" t="inlineStr">
        <is>
          <t>Assistant Deputy Minister, Corporate Management Branch</t>
        </is>
      </c>
      <c r="D874" t="inlineStr">
        <is>
          <t>Sous-ministre Adjoint, Direction générale de la gestion intégrée</t>
        </is>
      </c>
      <c r="E874" t="inlineStr">
        <is>
          <t>Pierre Corriveau</t>
        </is>
      </c>
      <c r="F874" t="inlineStr">
        <is>
          <t>29th Annual International Colloquium on Financial Management for National Governments and Staff Meeting.</t>
        </is>
      </c>
      <c r="G874" t="inlineStr">
        <is>
          <t>29e Colloque international annuel sur la gestion financière dans les gouvernements nationaux et réunion du personnel.</t>
        </is>
      </c>
      <c r="H874" s="1" t="n">
        <v>42995</v>
      </c>
      <c r="I874" s="1" t="n">
        <v>42998</v>
      </c>
      <c r="J874" t="inlineStr">
        <is>
          <t>Halifax, Nova Scotia, Kentville, Nova Scotia</t>
        </is>
      </c>
      <c r="K874" t="inlineStr">
        <is>
          <t>Halifax, Nouvelle-Écosse, Kentville, Nouvelle-Écosse</t>
        </is>
      </c>
      <c r="P874" t="n">
        <v>355.6</v>
      </c>
      <c r="Q874" t="n">
        <v>104.05</v>
      </c>
      <c r="R874" t="n">
        <v>700.29</v>
      </c>
      <c r="S874" t="n">
        <v>271.05</v>
      </c>
      <c r="U874" t="n">
        <v>1430.99</v>
      </c>
      <c r="V874" t="inlineStr">
        <is>
          <t>AJD350379</t>
        </is>
      </c>
      <c r="X874" t="inlineStr">
        <is>
          <t>aafc-aac</t>
        </is>
      </c>
      <c r="Y874" t="inlineStr">
        <is>
          <t>Agriculture and Agri-Food Canada | Agriculture et Agroalimentaire Canada</t>
        </is>
      </c>
    </row>
    <row r="875">
      <c r="A875" t="inlineStr">
        <is>
          <t>T-2017-Q3-00037</t>
        </is>
      </c>
      <c r="B875" t="inlineStr">
        <is>
          <t>SLE</t>
        </is>
      </c>
      <c r="C875" t="inlineStr">
        <is>
          <t>Chief Agriculture Negotiator</t>
        </is>
      </c>
      <c r="D875" t="inlineStr">
        <is>
          <t>Négociateur en chef pour l'agriculture</t>
        </is>
      </c>
      <c r="E875" t="inlineStr">
        <is>
          <t>Frédéric Seppey</t>
        </is>
      </c>
      <c r="F875" t="inlineStr">
        <is>
          <t>North American Trade Agreement Negotiations</t>
        </is>
      </c>
      <c r="G875" t="inlineStr">
        <is>
          <t>Négociations Accord de libre-échange nord-américain</t>
        </is>
      </c>
      <c r="H875" s="1" t="n">
        <v>42978</v>
      </c>
      <c r="I875" s="1" t="n">
        <v>42984</v>
      </c>
      <c r="J875" t="inlineStr">
        <is>
          <t>Mexico City Mexico</t>
        </is>
      </c>
      <c r="K875" t="inlineStr">
        <is>
          <t>Mexico City, Mexique</t>
        </is>
      </c>
      <c r="P875" t="n">
        <v>1706.96</v>
      </c>
      <c r="Q875" t="n">
        <v>150.13</v>
      </c>
      <c r="R875" t="n">
        <v>1814.32</v>
      </c>
      <c r="S875" t="n">
        <v>514.29</v>
      </c>
      <c r="T875" t="n">
        <v>21.37</v>
      </c>
      <c r="U875" t="n">
        <v>4207.07</v>
      </c>
      <c r="V875" t="inlineStr">
        <is>
          <t>AJE542283</t>
        </is>
      </c>
      <c r="X875" t="inlineStr">
        <is>
          <t>aafc-aac</t>
        </is>
      </c>
      <c r="Y875" t="inlineStr">
        <is>
          <t>Agriculture and Agri-Food Canada | Agriculture et Agroalimentaire Canada</t>
        </is>
      </c>
    </row>
    <row r="876">
      <c r="A876" t="inlineStr">
        <is>
          <t>T-2017-Q2-00099</t>
        </is>
      </c>
      <c r="B876" t="inlineStr">
        <is>
          <t>MPSES</t>
        </is>
      </c>
      <c r="C876" t="inlineStr">
        <is>
          <t>Minister</t>
        </is>
      </c>
      <c r="D876" t="inlineStr">
        <is>
          <t>Ministre</t>
        </is>
      </c>
      <c r="E876" t="inlineStr">
        <is>
          <t>Lawrence MacAulay</t>
        </is>
      </c>
      <c r="F876" t="inlineStr">
        <is>
          <t>To British Columbia for a bilateral meeting with the British Columbia Agriculture Minister and CFIA announcement and to Manitoba for a bilateral meeting with the Manitoba Agriculture Minister and AAFC announcement at the University of Manitoba</t>
        </is>
      </c>
      <c r="G876" t="inlineStr">
        <is>
          <t>À la Colombie-Britannique pour une réunion bilatérale avec le ministre de l'Agriculture de la Colombie-Britannique et l'annonce de l'ACIA et au Manitoba pour une réunion bilatérale avec le ministre de l'Agriculture du Manitoba et l'annonce d'AAC à l'Unive</t>
        </is>
      </c>
      <c r="H876" s="1" t="n">
        <v>42960</v>
      </c>
      <c r="I876" s="1" t="n">
        <v>42964</v>
      </c>
      <c r="J876" t="inlineStr">
        <is>
          <t>Vancouver, BC and Winnipeg, MB</t>
        </is>
      </c>
      <c r="K876" t="inlineStr">
        <is>
          <t>Vancouver, CB et Winnipeg, MB</t>
        </is>
      </c>
      <c r="P876" t="n">
        <v>3046.5</v>
      </c>
      <c r="Q876" t="n">
        <v>25.97</v>
      </c>
      <c r="R876" t="n">
        <v>713.41</v>
      </c>
      <c r="S876" t="n">
        <v>248.65</v>
      </c>
      <c r="U876" t="n">
        <v>4034.53</v>
      </c>
      <c r="V876" t="n">
        <v>1900075874</v>
      </c>
      <c r="X876" t="inlineStr">
        <is>
          <t>aafc-aac</t>
        </is>
      </c>
      <c r="Y876" t="inlineStr">
        <is>
          <t>Agriculture and Agri-Food Canada | Agriculture et Agroalimentaire Canada</t>
        </is>
      </c>
    </row>
    <row r="877">
      <c r="A877" t="inlineStr">
        <is>
          <t>T-2017-Q2-00100</t>
        </is>
      </c>
      <c r="B877" t="inlineStr">
        <is>
          <t>MPSES</t>
        </is>
      </c>
      <c r="C877" t="inlineStr">
        <is>
          <t>Minister</t>
        </is>
      </c>
      <c r="D877" t="inlineStr">
        <is>
          <t>Ministre</t>
        </is>
      </c>
      <c r="E877" t="inlineStr">
        <is>
          <t>Lawrence MacAulay</t>
        </is>
      </c>
      <c r="F877" t="inlineStr">
        <is>
          <t>To participate in a New Brunswick Outreach</t>
        </is>
      </c>
      <c r="G877" t="inlineStr">
        <is>
          <t>Participer à une visitede sensibilisation à Nouveau-Brunswick</t>
        </is>
      </c>
      <c r="H877" s="1" t="n">
        <v>42972</v>
      </c>
      <c r="I877" s="1" t="n">
        <v>42973</v>
      </c>
      <c r="J877" t="inlineStr">
        <is>
          <t>Saint John, NB</t>
        </is>
      </c>
      <c r="K877" t="inlineStr">
        <is>
          <t>Saint John, NB</t>
        </is>
      </c>
      <c r="P877" t="n">
        <v>424.82</v>
      </c>
      <c r="R877" t="n">
        <v>165.83</v>
      </c>
      <c r="S877" t="n">
        <v>132.9</v>
      </c>
      <c r="U877" t="n">
        <v>723.55</v>
      </c>
      <c r="V877" t="n">
        <v>1900075872</v>
      </c>
      <c r="X877" t="inlineStr">
        <is>
          <t>aafc-aac</t>
        </is>
      </c>
      <c r="Y877" t="inlineStr">
        <is>
          <t>Agriculture and Agri-Food Canada | Agriculture et Agroalimentaire Canada</t>
        </is>
      </c>
    </row>
    <row r="878">
      <c r="A878" t="inlineStr">
        <is>
          <t>T-2017-Q3-00003</t>
        </is>
      </c>
      <c r="B878" t="inlineStr">
        <is>
          <t>SLE</t>
        </is>
      </c>
      <c r="C878" t="inlineStr">
        <is>
          <t>Assistant Deputy Minister, Corporate Management Branch</t>
        </is>
      </c>
      <c r="D878" t="inlineStr">
        <is>
          <t>Sous-ministre Adjoint, Direction générale de la gestion intégrée</t>
        </is>
      </c>
      <c r="E878" t="inlineStr">
        <is>
          <t>Pierre Corriveau</t>
        </is>
      </c>
      <c r="F878" t="inlineStr">
        <is>
          <t>Departmental Audit Committee and Staff Meeting.</t>
        </is>
      </c>
      <c r="G878" t="inlineStr">
        <is>
          <t>Comité de vérification ministériel et réunion du personnel.</t>
        </is>
      </c>
      <c r="H878" s="1" t="n">
        <v>43004</v>
      </c>
      <c r="I878" s="1" t="n">
        <v>43006</v>
      </c>
      <c r="J878" t="inlineStr">
        <is>
          <t>Guelph, Ontario   London, Ontario</t>
        </is>
      </c>
      <c r="K878" t="inlineStr">
        <is>
          <t>Guelph, Ontario   London, Ontario</t>
        </is>
      </c>
      <c r="P878" t="n">
        <v>436.07</v>
      </c>
      <c r="Q878" t="n">
        <v>246.42</v>
      </c>
      <c r="R878" t="n">
        <v>281.37</v>
      </c>
      <c r="S878" t="n">
        <v>242.1</v>
      </c>
      <c r="U878" t="n">
        <v>1205.96</v>
      </c>
      <c r="V878" t="inlineStr">
        <is>
          <t>AJD391735</t>
        </is>
      </c>
      <c r="X878" t="inlineStr">
        <is>
          <t>aafc-aac</t>
        </is>
      </c>
      <c r="Y878" t="inlineStr">
        <is>
          <t>Agriculture and Agri-Food Canada | Agriculture et Agroalimentaire Canada</t>
        </is>
      </c>
    </row>
    <row r="879">
      <c r="A879" t="inlineStr">
        <is>
          <t>T-2017-Q3-00004</t>
        </is>
      </c>
      <c r="B879" t="inlineStr">
        <is>
          <t>SLE</t>
        </is>
      </c>
      <c r="C879" t="inlineStr">
        <is>
          <t>Assistant Deputy Minister, Corporate Management Branch</t>
        </is>
      </c>
      <c r="D879" t="inlineStr">
        <is>
          <t>Sous-ministre Adjoint, Direction générale de la gestion intégrée</t>
        </is>
      </c>
      <c r="E879" t="inlineStr">
        <is>
          <t>Pierre Corriveau</t>
        </is>
      </c>
      <c r="F879" t="inlineStr">
        <is>
          <t>Staff Meeting and New Infrastructure Visit.</t>
        </is>
      </c>
      <c r="G879" t="inlineStr">
        <is>
          <t>Réunion du personnel et visite de nouvelle infrastructure.</t>
        </is>
      </c>
      <c r="H879" s="1" t="n">
        <v>43021</v>
      </c>
      <c r="I879" s="1" t="n">
        <v>43021</v>
      </c>
      <c r="J879" t="inlineStr">
        <is>
          <t>Québec City, Quebec            Saint-Augustin, Quebec</t>
        </is>
      </c>
      <c r="K879" t="inlineStr">
        <is>
          <t>Québec, Québec  St-Augustin, Québec</t>
        </is>
      </c>
      <c r="P879" t="n">
        <v>387.6</v>
      </c>
      <c r="U879" t="n">
        <v>387.6</v>
      </c>
      <c r="V879" t="inlineStr">
        <is>
          <t>AJD396641</t>
        </is>
      </c>
      <c r="X879" t="inlineStr">
        <is>
          <t>aafc-aac</t>
        </is>
      </c>
      <c r="Y879" t="inlineStr">
        <is>
          <t>Agriculture and Agri-Food Canada | Agriculture et Agroalimentaire Canada</t>
        </is>
      </c>
    </row>
    <row r="880">
      <c r="A880" t="inlineStr">
        <is>
          <t>T-2017-Q3-00022</t>
        </is>
      </c>
      <c r="B880" t="inlineStr">
        <is>
          <t>SLE</t>
        </is>
      </c>
      <c r="C880" t="inlineStr">
        <is>
          <t>Assistant Deputy Minister, Strategic Policy Branch</t>
        </is>
      </c>
      <c r="D880" t="inlineStr">
        <is>
          <t>Sous-ministre adjoint, Direction générale des politiques stratégiques</t>
        </is>
      </c>
      <c r="E880" t="inlineStr">
        <is>
          <t>Tom Rosser</t>
        </is>
      </c>
      <c r="F880" t="inlineStr">
        <is>
          <t>To attend the Quebec Dairy Sector Conference.</t>
        </is>
      </c>
      <c r="G880" t="inlineStr">
        <is>
          <t>Pour assister à la conférence du Secteur laitier du Québec</t>
        </is>
      </c>
      <c r="H880" s="1" t="n">
        <v>43021</v>
      </c>
      <c r="I880" s="1" t="n">
        <v>43022</v>
      </c>
      <c r="J880" t="inlineStr">
        <is>
          <t>Quebec City, Quebec</t>
        </is>
      </c>
      <c r="K880" t="inlineStr">
        <is>
          <t>Québec, Québec</t>
        </is>
      </c>
      <c r="P880" t="n">
        <v>1244.31</v>
      </c>
      <c r="Q880" t="n">
        <v>160</v>
      </c>
      <c r="S880" t="n">
        <v>148.4</v>
      </c>
      <c r="U880" t="n">
        <v>1552.71</v>
      </c>
      <c r="V880" t="inlineStr">
        <is>
          <t>AJE615347</t>
        </is>
      </c>
      <c r="X880" t="inlineStr">
        <is>
          <t>aafc-aac</t>
        </is>
      </c>
      <c r="Y880" t="inlineStr">
        <is>
          <t>Agriculture and Agri-Food Canada | Agriculture et Agroalimentaire Canada</t>
        </is>
      </c>
    </row>
    <row r="881">
      <c r="A881" t="inlineStr">
        <is>
          <t>T-2017-Q3-00024</t>
        </is>
      </c>
      <c r="B881" t="inlineStr">
        <is>
          <t>SLE</t>
        </is>
      </c>
      <c r="C881" t="inlineStr">
        <is>
          <t>Assistant Deputy Minister, Strategic Policy Branch</t>
        </is>
      </c>
      <c r="D881" t="inlineStr">
        <is>
          <t>Sous-ministre adjoint, Direction générale des politiques stratégiques</t>
        </is>
      </c>
      <c r="E881" t="inlineStr">
        <is>
          <t>Tom Rosser</t>
        </is>
      </c>
      <c r="F881" t="inlineStr">
        <is>
          <t>To attend an Ontario Regional Management meeting.</t>
        </is>
      </c>
      <c r="G881" t="inlineStr">
        <is>
          <t>Pour assister à une réunion de gestion au bureau régional de l'Ontario.</t>
        </is>
      </c>
      <c r="H881" s="1" t="n">
        <v>43055</v>
      </c>
      <c r="I881" s="1" t="n">
        <v>43056</v>
      </c>
      <c r="J881" t="inlineStr">
        <is>
          <t>Guelph, Ontario</t>
        </is>
      </c>
      <c r="K881" t="inlineStr">
        <is>
          <t>Guelph, Ontario</t>
        </is>
      </c>
      <c r="P881" t="n">
        <v>1150.68</v>
      </c>
      <c r="Q881" t="n">
        <v>126.87</v>
      </c>
      <c r="R881" t="n">
        <v>172.89</v>
      </c>
      <c r="S881" t="n">
        <v>167.3</v>
      </c>
      <c r="U881" t="n">
        <v>1617.74</v>
      </c>
      <c r="V881" t="inlineStr">
        <is>
          <t>AJE652704</t>
        </is>
      </c>
      <c r="X881" t="inlineStr">
        <is>
          <t>aafc-aac</t>
        </is>
      </c>
      <c r="Y881" t="inlineStr">
        <is>
          <t>Agriculture and Agri-Food Canada | Agriculture et Agroalimentaire Canada</t>
        </is>
      </c>
    </row>
    <row r="882">
      <c r="A882" t="inlineStr">
        <is>
          <t>T-2017-Q3-00025</t>
        </is>
      </c>
      <c r="B882" t="inlineStr">
        <is>
          <t>SLE</t>
        </is>
      </c>
      <c r="C882" t="inlineStr">
        <is>
          <t>Associate Assistant Deputy Minister</t>
        </is>
      </c>
      <c r="D882" t="inlineStr">
        <is>
          <t>Sous-ministre adjoint délégué</t>
        </is>
      </c>
      <c r="E882" t="inlineStr">
        <is>
          <t>Gilles Saindon</t>
        </is>
      </c>
      <c r="F882" t="inlineStr">
        <is>
          <t>Outreach at the Research and Development Center, all staff meeting and meetings with industry.</t>
        </is>
      </c>
      <c r="G882" t="inlineStr">
        <is>
          <t>Visite de sensibilisation au centre de recherche et développement, réunions avec tous le personnel et réunions avec l'industrie.</t>
        </is>
      </c>
      <c r="H882" s="1" t="n">
        <v>42997</v>
      </c>
      <c r="I882" s="1" t="n">
        <v>43000</v>
      </c>
      <c r="J882" t="inlineStr">
        <is>
          <t>Saskatoon, Saskatchewan</t>
        </is>
      </c>
      <c r="K882" t="inlineStr">
        <is>
          <t>Saskatoon, Saskatchewan</t>
        </is>
      </c>
      <c r="P882" t="n">
        <v>752.48</v>
      </c>
      <c r="Q882" t="n">
        <v>163</v>
      </c>
      <c r="R882" t="n">
        <v>579.66</v>
      </c>
      <c r="S882" t="n">
        <v>358.6</v>
      </c>
      <c r="T882" t="n">
        <v>0</v>
      </c>
      <c r="U882" t="n">
        <v>1853.74</v>
      </c>
      <c r="V882" t="inlineStr">
        <is>
          <t>AJD969335</t>
        </is>
      </c>
      <c r="X882" t="inlineStr">
        <is>
          <t>aafc-aac</t>
        </is>
      </c>
      <c r="Y882" t="inlineStr">
        <is>
          <t>Agriculture and Agri-Food Canada | Agriculture et Agroalimentaire Canada</t>
        </is>
      </c>
    </row>
    <row r="883">
      <c r="A883" t="inlineStr">
        <is>
          <t>T-2017-Q3-00029</t>
        </is>
      </c>
      <c r="B883" t="inlineStr">
        <is>
          <t>SLE</t>
        </is>
      </c>
      <c r="C883" t="inlineStr">
        <is>
          <t>Associate Assistant Deputy Minister</t>
        </is>
      </c>
      <c r="D883" t="inlineStr">
        <is>
          <t>Sous-ministre adjoint délégué</t>
        </is>
      </c>
      <c r="E883" t="inlineStr">
        <is>
          <t>Gilles Saindon</t>
        </is>
      </c>
      <c r="F883" t="inlineStr">
        <is>
          <t xml:space="preserve">Chair the Cooperative Program in Agricultural Research and Technology for the Northern Region Board of Directos meetings and Outreach at the Research and Development Center, meeting with all staff. </t>
        </is>
      </c>
      <c r="G883" t="inlineStr">
        <is>
          <t xml:space="preserve">Présider la rencondre du Conseil d'administration du Programme de coopération en recherche et technologie agricoles pour la région du Nord et visite de sensibilisation au Centre de recherche et développement, réunion avec tous le personnel. </t>
        </is>
      </c>
      <c r="H883" s="1" t="n">
        <v>43038</v>
      </c>
      <c r="I883" s="1" t="n">
        <v>43041</v>
      </c>
      <c r="J883" t="inlineStr">
        <is>
          <t>London, Ontario</t>
        </is>
      </c>
      <c r="K883" t="inlineStr">
        <is>
          <t>London, Ontario</t>
        </is>
      </c>
      <c r="P883" t="n">
        <v>643.5700000000001</v>
      </c>
      <c r="Q883" t="n">
        <v>311.26</v>
      </c>
      <c r="R883" t="n">
        <v>471.21</v>
      </c>
      <c r="S883" t="n">
        <v>287.45</v>
      </c>
      <c r="U883" t="n">
        <v>1713.49</v>
      </c>
      <c r="V883" t="inlineStr">
        <is>
          <t>AJD956092</t>
        </is>
      </c>
      <c r="X883" t="inlineStr">
        <is>
          <t>aafc-aac</t>
        </is>
      </c>
      <c r="Y883" t="inlineStr">
        <is>
          <t>Agriculture and Agri-Food Canada | Agriculture et Agroalimentaire Canada</t>
        </is>
      </c>
    </row>
    <row r="884">
      <c r="A884" t="inlineStr">
        <is>
          <t>T-2017-Q3-00030</t>
        </is>
      </c>
      <c r="B884" t="inlineStr">
        <is>
          <t>SLE</t>
        </is>
      </c>
      <c r="C884" t="inlineStr">
        <is>
          <t>Associate Assistant Deputy Minister</t>
        </is>
      </c>
      <c r="D884" t="inlineStr">
        <is>
          <t>Sous-ministre adjoint délégué</t>
        </is>
      </c>
      <c r="E884" t="inlineStr">
        <is>
          <t>Gilles Saindon</t>
        </is>
      </c>
      <c r="F884" t="inlineStr">
        <is>
          <t>To attend the Wheat Initiative International Coordination Committee and the Wheat Initiative Scientifc Board Committee meetings</t>
        </is>
      </c>
      <c r="G884" t="inlineStr">
        <is>
          <t>Participer aux rencontres du Comité international de coordination de l'Initiative sur le blé et du Comité scientifique du Conseil de l'Initiative sur le blé.</t>
        </is>
      </c>
      <c r="H884" s="1" t="n">
        <v>43052</v>
      </c>
      <c r="I884" s="1" t="n">
        <v>43058</v>
      </c>
      <c r="J884" t="inlineStr">
        <is>
          <t>Bologna, Italy</t>
        </is>
      </c>
      <c r="K884" t="inlineStr">
        <is>
          <t>Bologne, Italie</t>
        </is>
      </c>
      <c r="P884" t="n">
        <v>5817.76</v>
      </c>
      <c r="Q884" t="n">
        <v>197.01</v>
      </c>
      <c r="R884" t="n">
        <v>516.29</v>
      </c>
      <c r="S884" t="n">
        <v>585.01</v>
      </c>
      <c r="T884" t="n">
        <v>2.95</v>
      </c>
      <c r="U884" t="n">
        <v>7119.02</v>
      </c>
      <c r="V884" t="inlineStr">
        <is>
          <t>AJD954705</t>
        </is>
      </c>
      <c r="X884" t="inlineStr">
        <is>
          <t>aafc-aac</t>
        </is>
      </c>
      <c r="Y884" t="inlineStr">
        <is>
          <t>Agriculture and Agri-Food Canada | Agriculture et Agroalimentaire Canada</t>
        </is>
      </c>
    </row>
    <row r="885">
      <c r="A885" t="inlineStr">
        <is>
          <t>T-2017-Q3-00031</t>
        </is>
      </c>
      <c r="B885" t="inlineStr">
        <is>
          <t>SLE</t>
        </is>
      </c>
      <c r="C885" t="inlineStr">
        <is>
          <t>Associate Assistant Deputy Minister</t>
        </is>
      </c>
      <c r="D885" t="inlineStr">
        <is>
          <t>Sous-ministre adjoint délégué</t>
        </is>
      </c>
      <c r="E885" t="inlineStr">
        <is>
          <t>Gilles Saindon</t>
        </is>
      </c>
      <c r="F885" t="inlineStr">
        <is>
          <t>To attend different meetings with the President of National Institute of Agricultural Research, with the Canada Mission representatives, his counterpart at European Union, attend International Bioeconomy Forum and the Organisation for Economic Co-operation and Development - Co-operative Research Program.</t>
        </is>
      </c>
      <c r="G885" t="inlineStr">
        <is>
          <t xml:space="preserve">Assister à différentes rencontres, avec le Président de l'Institut National recherche agronomique, avec les représentants de Mission Canada, ainsi que son homologue à l'Union européenne, participer au Forum international de Bioéconomie et l'Organisation de Coopération et de Développement Économiques - Programme de recherche en collaboration. </t>
        </is>
      </c>
      <c r="H885" s="1" t="n">
        <v>43064</v>
      </c>
      <c r="I885" s="1" t="n">
        <v>43071</v>
      </c>
      <c r="J885" t="inlineStr">
        <is>
          <t>Brussels, Belgium</t>
        </is>
      </c>
      <c r="K885" t="inlineStr">
        <is>
          <t>Bruxelles, Belgique</t>
        </is>
      </c>
      <c r="P885" t="n">
        <v>4143.24</v>
      </c>
      <c r="Q885" t="n">
        <v>957.5599999999999</v>
      </c>
      <c r="R885" t="n">
        <v>1726.02</v>
      </c>
      <c r="S885" t="n">
        <v>1431.29</v>
      </c>
      <c r="T885" t="n">
        <v>2.95</v>
      </c>
      <c r="U885" t="n">
        <v>8261.059999999999</v>
      </c>
      <c r="V885" t="inlineStr">
        <is>
          <t>AJD975574</t>
        </is>
      </c>
      <c r="X885" t="inlineStr">
        <is>
          <t>aafc-aac</t>
        </is>
      </c>
      <c r="Y885" t="inlineStr">
        <is>
          <t>Agriculture and Agri-Food Canada | Agriculture et Agroalimentaire Canada</t>
        </is>
      </c>
    </row>
    <row r="886">
      <c r="A886" t="inlineStr">
        <is>
          <t>T-2017-Q3-00032</t>
        </is>
      </c>
      <c r="B886" t="inlineStr">
        <is>
          <t>SLE</t>
        </is>
      </c>
      <c r="C886" t="inlineStr">
        <is>
          <t>Director General, Office of Audit and Evaluation</t>
        </is>
      </c>
      <c r="D886" t="inlineStr">
        <is>
          <t>Directrice générale, Bureau de la Vérification et de l'évaluation</t>
        </is>
      </c>
      <c r="E886" t="inlineStr">
        <is>
          <t>Kimberly Saunders</t>
        </is>
      </c>
      <c r="F886" t="inlineStr">
        <is>
          <t>To attend the Institute of Internal Auditors Conference.</t>
        </is>
      </c>
      <c r="G886" t="inlineStr">
        <is>
          <t>Participer à la conférence de l'Institute of Internal Auditors.</t>
        </is>
      </c>
      <c r="H886" s="1" t="n">
        <v>43001</v>
      </c>
      <c r="I886" s="1" t="n">
        <v>43004</v>
      </c>
      <c r="J886" t="inlineStr">
        <is>
          <t>Edmonton, Alberta</t>
        </is>
      </c>
      <c r="K886" t="inlineStr">
        <is>
          <t>Edmonton, Alberta</t>
        </is>
      </c>
      <c r="P886" t="n">
        <v>609.21</v>
      </c>
      <c r="Q886" t="n">
        <v>125.39</v>
      </c>
      <c r="R886" t="n">
        <v>569.1900000000001</v>
      </c>
      <c r="S886" t="n">
        <v>179</v>
      </c>
      <c r="U886" t="n">
        <v>1482.79</v>
      </c>
      <c r="V886" t="inlineStr">
        <is>
          <t>AJE810389</t>
        </is>
      </c>
      <c r="X886" t="inlineStr">
        <is>
          <t>aafc-aac</t>
        </is>
      </c>
      <c r="Y886" t="inlineStr">
        <is>
          <t>Agriculture and Agri-Food Canada | Agriculture et Agroalimentaire Canada</t>
        </is>
      </c>
    </row>
    <row r="887">
      <c r="A887" t="inlineStr">
        <is>
          <t>T-2017-Q3-00033</t>
        </is>
      </c>
      <c r="B887" t="inlineStr">
        <is>
          <t>SLE</t>
        </is>
      </c>
      <c r="C887" t="inlineStr">
        <is>
          <t>Director General, Office of Audit and Evaluation</t>
        </is>
      </c>
      <c r="D887" t="inlineStr">
        <is>
          <t>Directrice générale, Bureau de la Vérification et de l'évaluation</t>
        </is>
      </c>
      <c r="E887" t="inlineStr">
        <is>
          <t>Kimberly Saunders</t>
        </is>
      </c>
      <c r="F887" t="inlineStr">
        <is>
          <t>Departmental Audit Committee.</t>
        </is>
      </c>
      <c r="G887" t="inlineStr">
        <is>
          <t>Comité ministériel de vérification</t>
        </is>
      </c>
      <c r="H887" s="1" t="n">
        <v>43005</v>
      </c>
      <c r="I887" s="1" t="n">
        <v>43006</v>
      </c>
      <c r="J887" t="inlineStr">
        <is>
          <t>Guelph, Ontario</t>
        </is>
      </c>
      <c r="K887" t="inlineStr">
        <is>
          <t>Guelph, Ontario</t>
        </is>
      </c>
      <c r="P887" t="n">
        <v>238.96</v>
      </c>
      <c r="Q887" t="n">
        <v>235.44</v>
      </c>
      <c r="R887" t="n">
        <v>248.6</v>
      </c>
      <c r="S887" t="n">
        <v>97.84999999999999</v>
      </c>
      <c r="U887" t="n">
        <v>820.85</v>
      </c>
      <c r="V887" t="inlineStr">
        <is>
          <t>AJE808168</t>
        </is>
      </c>
      <c r="X887" t="inlineStr">
        <is>
          <t>aafc-aac</t>
        </is>
      </c>
      <c r="Y887" t="inlineStr">
        <is>
          <t>Agriculture and Agri-Food Canada | Agriculture et Agroalimentaire Canada</t>
        </is>
      </c>
    </row>
    <row r="888">
      <c r="A888" t="inlineStr">
        <is>
          <t>T-2017-Q3-00034</t>
        </is>
      </c>
      <c r="B888" t="inlineStr">
        <is>
          <t>SLE</t>
        </is>
      </c>
      <c r="C888" t="inlineStr">
        <is>
          <t>Director General, Office of Audit and Evaluation</t>
        </is>
      </c>
      <c r="D888" t="inlineStr">
        <is>
          <t>Directrice générale, Bureau de la Vérification et de l'évaluation</t>
        </is>
      </c>
      <c r="E888" t="inlineStr">
        <is>
          <t>Kimberly Saunders</t>
        </is>
      </c>
      <c r="F888" t="inlineStr">
        <is>
          <t>To attend a training session at Queen's University.</t>
        </is>
      </c>
      <c r="G888" t="inlineStr">
        <is>
          <t>Participer à une session de formation à l'Université Queens.</t>
        </is>
      </c>
      <c r="H888" s="1" t="n">
        <v>43066</v>
      </c>
      <c r="I888" s="1" t="n">
        <v>43070</v>
      </c>
      <c r="J888" t="inlineStr">
        <is>
          <t>Kingston, Ontario</t>
        </is>
      </c>
      <c r="K888" t="inlineStr">
        <is>
          <t>Kingston, Ontario</t>
        </is>
      </c>
      <c r="P888" t="n">
        <v>0</v>
      </c>
      <c r="Q888" t="n">
        <v>146</v>
      </c>
      <c r="R888" t="n">
        <v>0</v>
      </c>
      <c r="S888" t="n">
        <v>103.8</v>
      </c>
      <c r="T888" t="n">
        <v>0</v>
      </c>
      <c r="U888" t="n">
        <v>249.8</v>
      </c>
      <c r="V888" t="inlineStr">
        <is>
          <t>AJE886357</t>
        </is>
      </c>
      <c r="X888" t="inlineStr">
        <is>
          <t>aafc-aac</t>
        </is>
      </c>
      <c r="Y888" t="inlineStr">
        <is>
          <t>Agriculture and Agri-Food Canada | Agriculture et Agroalimentaire Canada</t>
        </is>
      </c>
    </row>
    <row r="889">
      <c r="A889" t="inlineStr">
        <is>
          <t>T-2017-Q3-00035</t>
        </is>
      </c>
      <c r="B889" t="inlineStr">
        <is>
          <t>SLE</t>
        </is>
      </c>
      <c r="C889" t="inlineStr">
        <is>
          <t>Chief Agriculture Negotiator</t>
        </is>
      </c>
      <c r="D889" t="inlineStr">
        <is>
          <t>Négociateur en chef pour l'agriculture</t>
        </is>
      </c>
      <c r="E889" t="inlineStr">
        <is>
          <t>Frédéric Seppey</t>
        </is>
      </c>
      <c r="F889" t="inlineStr">
        <is>
          <t>North American Trade Agreement Negotiations</t>
        </is>
      </c>
      <c r="G889" t="inlineStr">
        <is>
          <t>Négociations Accord de libre-échange nord-américain</t>
        </is>
      </c>
      <c r="H889" s="1" t="n">
        <v>43020</v>
      </c>
      <c r="I889" s="1" t="n">
        <v>43024</v>
      </c>
      <c r="J889" t="inlineStr">
        <is>
          <t>Washington, DC</t>
        </is>
      </c>
      <c r="K889" t="inlineStr">
        <is>
          <t>Washington, DC</t>
        </is>
      </c>
      <c r="P889" t="n">
        <v>1516.44</v>
      </c>
      <c r="Q889" t="n">
        <v>359.47</v>
      </c>
      <c r="R889" t="n">
        <v>1807.75</v>
      </c>
      <c r="S889" t="n">
        <v>494.1</v>
      </c>
      <c r="T889" t="n">
        <v>388.74</v>
      </c>
      <c r="U889" t="n">
        <v>4566.5</v>
      </c>
      <c r="V889" t="inlineStr">
        <is>
          <t>AJE538499</t>
        </is>
      </c>
      <c r="X889" t="inlineStr">
        <is>
          <t>aafc-aac</t>
        </is>
      </c>
      <c r="Y889" t="inlineStr">
        <is>
          <t>Agriculture and Agri-Food Canada | Agriculture et Agroalimentaire Canada</t>
        </is>
      </c>
    </row>
    <row r="890">
      <c r="A890" t="inlineStr">
        <is>
          <t>T-2017-Q3-00040</t>
        </is>
      </c>
      <c r="B890" t="inlineStr">
        <is>
          <t>MPSES</t>
        </is>
      </c>
      <c r="C890" t="inlineStr">
        <is>
          <t>Associate Deputy Minister</t>
        </is>
      </c>
      <c r="D890" t="inlineStr">
        <is>
          <t>Sous-ministre déléguée</t>
        </is>
      </c>
      <c r="E890" t="inlineStr">
        <is>
          <t>Nada Semaan</t>
        </is>
      </c>
      <c r="F890" t="inlineStr">
        <is>
          <t>Quebec Outreach Conseil de la Transformation Alimentaire du Québec Annual General meetings and Staff visits.</t>
        </is>
      </c>
      <c r="G890" t="inlineStr">
        <is>
          <t>Rencontres générales du Québec Conseil de la Transformation Alimentaire du Québec  et visites du personnel.</t>
        </is>
      </c>
      <c r="H890" s="1" t="n">
        <v>42998</v>
      </c>
      <c r="I890" s="1" t="n">
        <v>42999</v>
      </c>
      <c r="J890" t="inlineStr">
        <is>
          <t>Quebec City, Quebec</t>
        </is>
      </c>
      <c r="K890" t="inlineStr">
        <is>
          <t>Québec, Québec</t>
        </is>
      </c>
      <c r="Q890" t="n">
        <v>126.06</v>
      </c>
      <c r="R890" t="n">
        <v>308.21</v>
      </c>
      <c r="S890" t="n">
        <v>178.85</v>
      </c>
      <c r="U890" t="n">
        <v>613.12</v>
      </c>
      <c r="V890" t="inlineStr">
        <is>
          <t>AJG872518</t>
        </is>
      </c>
      <c r="X890" t="inlineStr">
        <is>
          <t>aafc-aac</t>
        </is>
      </c>
      <c r="Y890" t="inlineStr">
        <is>
          <t>Agriculture and Agri-Food Canada | Agriculture et Agroalimentaire Canada</t>
        </is>
      </c>
    </row>
    <row r="891">
      <c r="A891" t="inlineStr">
        <is>
          <t>T-2017-Q3-00041</t>
        </is>
      </c>
      <c r="B891" t="inlineStr">
        <is>
          <t>MPSES</t>
        </is>
      </c>
      <c r="C891" t="inlineStr">
        <is>
          <t>Associate Deputy Minister</t>
        </is>
      </c>
      <c r="D891" t="inlineStr">
        <is>
          <t>Sous-ministre déléguée</t>
        </is>
      </c>
      <c r="E891" t="inlineStr">
        <is>
          <t>Nada Semaan</t>
        </is>
      </c>
      <c r="F891" t="inlineStr">
        <is>
          <t>Associate Deputy Minister 's Ontario outreach visit.</t>
        </is>
      </c>
      <c r="G891" t="inlineStr">
        <is>
          <t>Visite de sensibilisation des sous-ministres adjoints en Ontario.</t>
        </is>
      </c>
      <c r="H891" s="1" t="n">
        <v>43010</v>
      </c>
      <c r="I891" s="1" t="n">
        <v>43012</v>
      </c>
      <c r="J891" t="inlineStr">
        <is>
          <t>London, Ontario</t>
        </is>
      </c>
      <c r="K891" t="inlineStr">
        <is>
          <t>London, Ontario</t>
        </is>
      </c>
      <c r="P891" t="n">
        <v>516.6900000000001</v>
      </c>
      <c r="Q891" t="n">
        <v>11.66</v>
      </c>
      <c r="R891" t="n">
        <v>174.02</v>
      </c>
      <c r="S891" t="n">
        <v>205.3</v>
      </c>
      <c r="U891" t="n">
        <v>907.67</v>
      </c>
      <c r="V891" t="inlineStr">
        <is>
          <t>AJG847729</t>
        </is>
      </c>
      <c r="X891" t="inlineStr">
        <is>
          <t>aafc-aac</t>
        </is>
      </c>
      <c r="Y891" t="inlineStr">
        <is>
          <t>Agriculture and Agri-Food Canada | Agriculture et Agroalimentaire Canada</t>
        </is>
      </c>
    </row>
    <row r="892">
      <c r="A892" t="inlineStr">
        <is>
          <t>T-2017-Q3-00042</t>
        </is>
      </c>
      <c r="B892" t="inlineStr">
        <is>
          <t>MPSES</t>
        </is>
      </c>
      <c r="C892" t="inlineStr">
        <is>
          <t>Associate Deputy Minister</t>
        </is>
      </c>
      <c r="D892" t="inlineStr">
        <is>
          <t>Sous-ministre déléguée</t>
        </is>
      </c>
      <c r="E892" t="inlineStr">
        <is>
          <t>Nada Semaan</t>
        </is>
      </c>
      <c r="F892" t="inlineStr">
        <is>
          <t>Associate Deputy Minister attends at Director Education Program Course.</t>
        </is>
      </c>
      <c r="G892" t="inlineStr">
        <is>
          <t>La sous-ministre déléguée assiste à un cours du programme de formation des administrateurs.</t>
        </is>
      </c>
      <c r="H892" s="1" t="n">
        <v>43020</v>
      </c>
      <c r="I892" s="1" t="n">
        <v>43023</v>
      </c>
      <c r="J892" t="inlineStr">
        <is>
          <t>Toronto, Ontario</t>
        </is>
      </c>
      <c r="K892" t="inlineStr">
        <is>
          <t>Toronto, Ontario</t>
        </is>
      </c>
      <c r="P892" t="n">
        <v>345.92</v>
      </c>
      <c r="Q892" t="n">
        <v>11.66</v>
      </c>
      <c r="R892" t="n">
        <v>1040.55</v>
      </c>
      <c r="S892" t="n">
        <v>193.95</v>
      </c>
      <c r="U892" t="n">
        <v>1592.08</v>
      </c>
      <c r="V892" t="inlineStr">
        <is>
          <t>AJG852293</t>
        </is>
      </c>
      <c r="X892" t="inlineStr">
        <is>
          <t>aafc-aac</t>
        </is>
      </c>
      <c r="Y892" t="inlineStr">
        <is>
          <t>Agriculture and Agri-Food Canada | Agriculture et Agroalimentaire Canada</t>
        </is>
      </c>
    </row>
    <row r="893">
      <c r="A893" t="inlineStr">
        <is>
          <t>T-2017-Q3-00043</t>
        </is>
      </c>
      <c r="B893" t="inlineStr">
        <is>
          <t>MPSES</t>
        </is>
      </c>
      <c r="C893" t="inlineStr">
        <is>
          <t>Associate Deputy Minister</t>
        </is>
      </c>
      <c r="D893" t="inlineStr">
        <is>
          <t>Sous-ministre déléguée</t>
        </is>
      </c>
      <c r="E893" t="inlineStr">
        <is>
          <t>Nada Semaan</t>
        </is>
      </c>
      <c r="F893" t="inlineStr">
        <is>
          <t>China Mission to Support Minister in opening new market.</t>
        </is>
      </c>
      <c r="G893" t="inlineStr">
        <is>
          <t>Mission en Chine pour soutenir le Ministre dans l'ouverture de nouveaux marchés.</t>
        </is>
      </c>
      <c r="H893" s="1" t="n">
        <v>43049</v>
      </c>
      <c r="I893" s="1" t="n">
        <v>43061</v>
      </c>
      <c r="J893" t="inlineStr">
        <is>
          <t>Beijing, China</t>
        </is>
      </c>
      <c r="K893" t="inlineStr">
        <is>
          <t>Pékin, Chine</t>
        </is>
      </c>
      <c r="P893" t="n">
        <v>8524.860000000001</v>
      </c>
      <c r="Q893" t="n">
        <v>11.66</v>
      </c>
      <c r="R893" t="n">
        <v>3087.42</v>
      </c>
      <c r="S893" t="n">
        <v>1030.03</v>
      </c>
      <c r="T893" t="n">
        <v>20.33</v>
      </c>
      <c r="U893" t="n">
        <v>12674.3</v>
      </c>
      <c r="V893" t="inlineStr">
        <is>
          <t>AJG853527</t>
        </is>
      </c>
      <c r="X893" t="inlineStr">
        <is>
          <t>aafc-aac</t>
        </is>
      </c>
      <c r="Y893" t="inlineStr">
        <is>
          <t>Agriculture and Agri-Food Canada | Agriculture et Agroalimentaire Canada</t>
        </is>
      </c>
    </row>
    <row r="894">
      <c r="A894" t="inlineStr">
        <is>
          <t>T-2017-Q3-00044</t>
        </is>
      </c>
      <c r="B894" t="inlineStr">
        <is>
          <t>MPSES</t>
        </is>
      </c>
      <c r="C894" t="inlineStr">
        <is>
          <t>Parliamentary Secretary Assistant</t>
        </is>
      </c>
      <c r="D894" t="inlineStr">
        <is>
          <t>Adjoint du Secrétaire parlementaire</t>
        </is>
      </c>
      <c r="E894" t="inlineStr">
        <is>
          <t>Michel-Antoine Renaud</t>
        </is>
      </c>
      <c r="F894" t="inlineStr">
        <is>
          <t>To accompany the Parliamentary Secretary to Meeting with dairy farmers of Québec-Montérégie-Est-Ouest, Meeting with sheep milk producers and sheep cheese and to visit the MacDonald Campus of U McGill.</t>
        </is>
      </c>
      <c r="G894" t="inlineStr">
        <is>
          <t>Pour accompagner le secrétaire parlementaire à la rencontre des éleveurs laitiers du Québec-Montérégie-Est-Ouest, rencontrer des producteurs de lait de brebis et visiter le campus MacDonald de U McGill.</t>
        </is>
      </c>
      <c r="H894" s="1" t="n">
        <v>42992</v>
      </c>
      <c r="I894" s="1" t="n">
        <v>42992</v>
      </c>
      <c r="J894" t="inlineStr">
        <is>
          <t>Montreal, Quebec</t>
        </is>
      </c>
      <c r="K894" t="inlineStr">
        <is>
          <t>Montréal, Québec</t>
        </is>
      </c>
      <c r="Q894" t="n">
        <v>85.78</v>
      </c>
      <c r="S894" t="n">
        <v>35.2</v>
      </c>
      <c r="U894" t="n">
        <v>120.98</v>
      </c>
      <c r="V894" t="n">
        <v>1900079805</v>
      </c>
      <c r="X894" t="inlineStr">
        <is>
          <t>aafc-aac</t>
        </is>
      </c>
      <c r="Y894" t="inlineStr">
        <is>
          <t>Agriculture and Agri-Food Canada | Agriculture et Agroalimentaire Canada</t>
        </is>
      </c>
    </row>
    <row r="895">
      <c r="A895" t="inlineStr">
        <is>
          <t>T-2017-Q3-00048</t>
        </is>
      </c>
      <c r="B895" t="inlineStr">
        <is>
          <t>MPSES</t>
        </is>
      </c>
      <c r="C895" t="inlineStr">
        <is>
          <t>Director of Policy</t>
        </is>
      </c>
      <c r="D895" t="inlineStr">
        <is>
          <t>Directrice de la politique</t>
        </is>
      </c>
      <c r="E895" t="inlineStr">
        <is>
          <t>Alison Porter</t>
        </is>
      </c>
      <c r="F895" t="inlineStr">
        <is>
          <t>Travel for the Agriculture and Agri-Food Canada Ministerial Mission to China.</t>
        </is>
      </c>
      <c r="G895" t="inlineStr">
        <is>
          <t>Voyage pour la mission ministérielle d'Agriculture et Agrioalimentaire Canada en Chine.</t>
        </is>
      </c>
      <c r="H895" s="1" t="n">
        <v>43049</v>
      </c>
      <c r="I895" s="1" t="n">
        <v>43062</v>
      </c>
      <c r="J895" t="inlineStr">
        <is>
          <t>Beijing, China</t>
        </is>
      </c>
      <c r="K895" t="inlineStr">
        <is>
          <t>Pékin, Chine</t>
        </is>
      </c>
      <c r="P895" t="n">
        <v>6909.34</v>
      </c>
      <c r="R895" t="n">
        <v>2962.94</v>
      </c>
      <c r="S895" t="n">
        <v>1741.06</v>
      </c>
      <c r="U895" t="n">
        <v>11613.34</v>
      </c>
      <c r="V895" t="n">
        <v>1900099839</v>
      </c>
      <c r="X895" t="inlineStr">
        <is>
          <t>aafc-aac</t>
        </is>
      </c>
      <c r="Y895" t="inlineStr">
        <is>
          <t>Agriculture and Agri-Food Canada | Agriculture et Agroalimentaire Canada</t>
        </is>
      </c>
    </row>
    <row r="896">
      <c r="A896" t="inlineStr">
        <is>
          <t>T-2017-Q3-00051</t>
        </is>
      </c>
      <c r="B896" t="inlineStr">
        <is>
          <t>MPSES</t>
        </is>
      </c>
      <c r="C896" t="inlineStr">
        <is>
          <t>Chief of Staff</t>
        </is>
      </c>
      <c r="D896" t="inlineStr">
        <is>
          <t>Chef de cabinet</t>
        </is>
      </c>
      <c r="E896" t="inlineStr">
        <is>
          <t>Mary Jean McFall</t>
        </is>
      </c>
      <c r="F896" t="inlineStr">
        <is>
          <t>To accompany the Minister to the Cabinet Retreat in St. John's, Newfoundland.</t>
        </is>
      </c>
      <c r="G896" t="inlineStr">
        <is>
          <t>Pour accompagner le ministre à la retraite du Cabinet à St. John's, Terre-Neuve.</t>
        </is>
      </c>
      <c r="H896" s="1" t="n">
        <v>42989</v>
      </c>
      <c r="I896" s="1" t="n">
        <v>42990</v>
      </c>
      <c r="J896" t="inlineStr">
        <is>
          <t>St. John's, Newfoundland and Labrador</t>
        </is>
      </c>
      <c r="K896" t="inlineStr">
        <is>
          <t>St. John's, Terre-Neuve-et-Labrador</t>
        </is>
      </c>
      <c r="P896" t="n">
        <v>257.78</v>
      </c>
      <c r="Q896" t="n">
        <v>184.08</v>
      </c>
      <c r="R896" t="n">
        <v>208.25</v>
      </c>
      <c r="S896" t="n">
        <v>115.75</v>
      </c>
      <c r="U896" t="n">
        <v>765.86</v>
      </c>
      <c r="V896" t="n">
        <v>1900079992</v>
      </c>
      <c r="X896" t="inlineStr">
        <is>
          <t>aafc-aac</t>
        </is>
      </c>
      <c r="Y896" t="inlineStr">
        <is>
          <t>Agriculture and Agri-Food Canada | Agriculture et Agroalimentaire Canada</t>
        </is>
      </c>
    </row>
    <row r="897">
      <c r="A897" t="inlineStr">
        <is>
          <t>T-2017-Q3-00053</t>
        </is>
      </c>
      <c r="B897" t="inlineStr">
        <is>
          <t>MPSES</t>
        </is>
      </c>
      <c r="C897" t="inlineStr">
        <is>
          <t>Director of Parliamentary Affairs</t>
        </is>
      </c>
      <c r="D897" t="inlineStr">
        <is>
          <t>Directeur des affaires parlementaires</t>
        </is>
      </c>
      <c r="E897" t="inlineStr">
        <is>
          <t>Matthew Mann</t>
        </is>
      </c>
      <c r="F897" t="inlineStr">
        <is>
          <t>To support the Minister at the Agriculture and Agri-Food Canada Ministerial Mission to Germany, Belgium and Italy.</t>
        </is>
      </c>
      <c r="G897" t="inlineStr">
        <is>
          <t>Soutenir le ministre à la mission ministérielle d'Agriculture et Agrolimentaire Canada en Allemagne, en Belgique et en Italie.</t>
        </is>
      </c>
      <c r="H897" s="1" t="n">
        <v>43013</v>
      </c>
      <c r="I897" s="1" t="n">
        <v>43025</v>
      </c>
      <c r="J897" t="inlineStr">
        <is>
          <t>Dusseldorf, Germany; Cologne, Germany; Brussels, Belgium; Bologna, Italy</t>
        </is>
      </c>
      <c r="K897" t="inlineStr">
        <is>
          <t>Dusseldorf, Allemagne; Cologne, Allemagne; Bruxelles, Belgique; Bologne, Italie</t>
        </is>
      </c>
      <c r="P897" t="n">
        <v>1835.19</v>
      </c>
      <c r="Q897" t="n">
        <v>453.12</v>
      </c>
      <c r="R897" t="n">
        <v>3741.44</v>
      </c>
      <c r="S897" t="n">
        <v>1507.56</v>
      </c>
      <c r="U897" t="n">
        <v>7537.31</v>
      </c>
      <c r="V897" t="n">
        <v>1900090572</v>
      </c>
      <c r="X897" t="inlineStr">
        <is>
          <t>aafc-aac</t>
        </is>
      </c>
      <c r="Y897" t="inlineStr">
        <is>
          <t>Agriculture and Agri-Food Canada | Agriculture et Agroalimentaire Canada</t>
        </is>
      </c>
    </row>
    <row r="898">
      <c r="A898" t="inlineStr">
        <is>
          <t>T-2017-Q3-00055</t>
        </is>
      </c>
      <c r="B898" t="inlineStr">
        <is>
          <t>MPSES</t>
        </is>
      </c>
      <c r="C898" t="inlineStr">
        <is>
          <t>Minister</t>
        </is>
      </c>
      <c r="D898" t="inlineStr">
        <is>
          <t>Ministre</t>
        </is>
      </c>
      <c r="E898" t="inlineStr">
        <is>
          <t>Lawrence MacAulay</t>
        </is>
      </c>
      <c r="F898" t="inlineStr">
        <is>
          <t>To attend the Cabinet retreat in St. John's, Newfoundland.</t>
        </is>
      </c>
      <c r="G898" t="inlineStr">
        <is>
          <t>Pour assister à la retraite du Cabinet à St. John's, Terre-Neuve.</t>
        </is>
      </c>
      <c r="H898" s="1" t="n">
        <v>42987</v>
      </c>
      <c r="I898" s="1" t="n">
        <v>42990</v>
      </c>
      <c r="J898" t="inlineStr">
        <is>
          <t>St. John's, Newfoundland and Labrador</t>
        </is>
      </c>
      <c r="K898" t="inlineStr">
        <is>
          <t>St. John's, Terre-Neuve-et-Labrador</t>
        </is>
      </c>
      <c r="P898" t="n">
        <v>462.77</v>
      </c>
      <c r="R898" t="n">
        <v>208.25</v>
      </c>
      <c r="S898" t="n">
        <v>115.75</v>
      </c>
      <c r="U898" t="n">
        <v>786.77</v>
      </c>
      <c r="V898" t="n">
        <v>1900079989</v>
      </c>
      <c r="X898" t="inlineStr">
        <is>
          <t>aafc-aac</t>
        </is>
      </c>
      <c r="Y898" t="inlineStr">
        <is>
          <t>Agriculture and Agri-Food Canada | Agriculture et Agroalimentaire Canada</t>
        </is>
      </c>
    </row>
    <row r="899">
      <c r="A899" t="inlineStr">
        <is>
          <t>T-2017-Q3-00058</t>
        </is>
      </c>
      <c r="B899" t="inlineStr">
        <is>
          <t>MPSES</t>
        </is>
      </c>
      <c r="C899" t="inlineStr">
        <is>
          <t>Minister</t>
        </is>
      </c>
      <c r="D899" t="inlineStr">
        <is>
          <t>Ministre</t>
        </is>
      </c>
      <c r="E899" t="inlineStr">
        <is>
          <t>Lawrence MacAulay</t>
        </is>
      </c>
      <c r="F899" t="inlineStr">
        <is>
          <t>For an Outreach to Manitoba.</t>
        </is>
      </c>
      <c r="G899" t="inlineStr">
        <is>
          <t>Pour une sensibilisation au Manitoba.</t>
        </is>
      </c>
      <c r="H899" s="1" t="n">
        <v>43006</v>
      </c>
      <c r="I899" s="1" t="n">
        <v>43007</v>
      </c>
      <c r="J899" t="inlineStr">
        <is>
          <t>Winnipeg, Manitoba</t>
        </is>
      </c>
      <c r="K899" t="inlineStr">
        <is>
          <t>Winnipeg, Manitoba</t>
        </is>
      </c>
      <c r="P899" t="n">
        <v>1595.65</v>
      </c>
      <c r="R899" t="n">
        <v>164.37</v>
      </c>
      <c r="S899" t="n">
        <v>161.7</v>
      </c>
      <c r="U899" t="n">
        <v>1921.72</v>
      </c>
      <c r="V899" t="n">
        <v>1900083453</v>
      </c>
      <c r="X899" t="inlineStr">
        <is>
          <t>aafc-aac</t>
        </is>
      </c>
      <c r="Y899" t="inlineStr">
        <is>
          <t>Agriculture and Agri-Food Canada | Agriculture et Agroalimentaire Canada</t>
        </is>
      </c>
    </row>
    <row r="900">
      <c r="A900" t="inlineStr">
        <is>
          <t>T-2017-Q3-00059</t>
        </is>
      </c>
      <c r="B900" t="inlineStr">
        <is>
          <t>MPSES</t>
        </is>
      </c>
      <c r="C900" t="inlineStr">
        <is>
          <t>Minister</t>
        </is>
      </c>
      <c r="D900" t="inlineStr">
        <is>
          <t>Ministre</t>
        </is>
      </c>
      <c r="E900" t="inlineStr">
        <is>
          <t>Lawrence MacAulay</t>
        </is>
      </c>
      <c r="F900" t="inlineStr">
        <is>
          <t>Agriculture and Agri-Food Canada MINISTERIAL MISSION to Germany, Belgium and Italy.</t>
        </is>
      </c>
      <c r="G900" t="inlineStr">
        <is>
          <t>MISSION MINISTERIELLE D'Agriculture et Agroalimentaire en Allemagne, Belgique et Italie.</t>
        </is>
      </c>
      <c r="H900" s="1" t="n">
        <v>43015</v>
      </c>
      <c r="I900" s="1" t="n">
        <v>43025</v>
      </c>
      <c r="J900" t="inlineStr">
        <is>
          <t>Dusseldorf, Germany; Cologne, Germany; Brussels, Belgium; Bologna, Italy</t>
        </is>
      </c>
      <c r="K900" t="inlineStr">
        <is>
          <t>Dusseldorf, Allemagne; Cologne, Allemagne; Bruxelles, Belgique; Bologne, Italie</t>
        </is>
      </c>
      <c r="P900" t="n">
        <v>8487.99</v>
      </c>
      <c r="Q900" t="n">
        <v>423.6</v>
      </c>
      <c r="R900" t="n">
        <v>3741.44</v>
      </c>
      <c r="S900" t="n">
        <v>1341.15</v>
      </c>
      <c r="U900" t="n">
        <v>13994.18</v>
      </c>
      <c r="V900" t="n">
        <v>1900090594</v>
      </c>
      <c r="X900" t="inlineStr">
        <is>
          <t>aafc-aac</t>
        </is>
      </c>
      <c r="Y900" t="inlineStr">
        <is>
          <t>Agriculture and Agri-Food Canada | Agriculture et Agroalimentaire Canada</t>
        </is>
      </c>
    </row>
    <row r="901">
      <c r="A901" t="inlineStr">
        <is>
          <t>T-2017-Q3-00061</t>
        </is>
      </c>
      <c r="B901" t="inlineStr">
        <is>
          <t>MPSES</t>
        </is>
      </c>
      <c r="C901" t="inlineStr">
        <is>
          <t>Minister</t>
        </is>
      </c>
      <c r="D901" t="inlineStr">
        <is>
          <t>Ministre</t>
        </is>
      </c>
      <c r="E901" t="inlineStr">
        <is>
          <t>Lawrence MacAulay</t>
        </is>
      </c>
      <c r="F901" t="inlineStr">
        <is>
          <t>To attend the Royal Agriculture Winter Fair.</t>
        </is>
      </c>
      <c r="G901" t="inlineStr">
        <is>
          <t>Participer à la foire d'hiver de l'Agriculture royale.</t>
        </is>
      </c>
      <c r="H901" s="1" t="n">
        <v>43041</v>
      </c>
      <c r="I901" s="1" t="n">
        <v>43044</v>
      </c>
      <c r="J901" t="inlineStr">
        <is>
          <t>Toronto, Ontario</t>
        </is>
      </c>
      <c r="K901" t="inlineStr">
        <is>
          <t>Toronto, Ontario</t>
        </is>
      </c>
      <c r="P901" t="n">
        <v>1260.23</v>
      </c>
      <c r="Q901" t="n">
        <v>25.97</v>
      </c>
      <c r="R901" t="n">
        <v>174</v>
      </c>
      <c r="S901" t="n">
        <v>167.3</v>
      </c>
      <c r="U901" t="n">
        <v>1627.5</v>
      </c>
      <c r="V901" t="n">
        <v>1900095875</v>
      </c>
      <c r="X901" t="inlineStr">
        <is>
          <t>aafc-aac</t>
        </is>
      </c>
      <c r="Y901" t="inlineStr">
        <is>
          <t>Agriculture and Agri-Food Canada | Agriculture et Agroalimentaire Canada</t>
        </is>
      </c>
    </row>
    <row r="902">
      <c r="A902" t="inlineStr">
        <is>
          <t>T-2017-Q3-00062</t>
        </is>
      </c>
      <c r="B902" t="inlineStr">
        <is>
          <t>MPSES</t>
        </is>
      </c>
      <c r="C902" t="inlineStr">
        <is>
          <t>Minister</t>
        </is>
      </c>
      <c r="D902" t="inlineStr">
        <is>
          <t>Ministre</t>
        </is>
      </c>
      <c r="E902" t="inlineStr">
        <is>
          <t>Lawrence MacAulay</t>
        </is>
      </c>
      <c r="F902" t="inlineStr">
        <is>
          <t>To attend the Canadian Western Agribition and to make an announcement.</t>
        </is>
      </c>
      <c r="G902" t="inlineStr">
        <is>
          <t>Participer à la Canadian Western Agribition et faire une annonce.</t>
        </is>
      </c>
      <c r="H902" s="1" t="n">
        <v>43062</v>
      </c>
      <c r="I902" s="1" t="n">
        <v>43064</v>
      </c>
      <c r="J902" t="inlineStr">
        <is>
          <t>Regina, Saskatchewan</t>
        </is>
      </c>
      <c r="K902" t="inlineStr">
        <is>
          <t>Régina, Saskatchewan</t>
        </is>
      </c>
      <c r="P902" t="n">
        <v>1601.04</v>
      </c>
      <c r="Q902" t="n">
        <v>25.97</v>
      </c>
      <c r="R902" t="n">
        <v>154.34</v>
      </c>
      <c r="S902" t="n">
        <v>89.90000000000001</v>
      </c>
      <c r="U902" t="n">
        <v>1871.25</v>
      </c>
      <c r="V902" t="n">
        <v>1900099645</v>
      </c>
      <c r="X902" t="inlineStr">
        <is>
          <t>aafc-aac</t>
        </is>
      </c>
      <c r="Y902" t="inlineStr">
        <is>
          <t>Agriculture and Agri-Food Canada | Agriculture et Agroalimentaire Canada</t>
        </is>
      </c>
    </row>
    <row r="903">
      <c r="A903" t="inlineStr">
        <is>
          <t>T-2017-Q3-00065</t>
        </is>
      </c>
      <c r="B903" t="inlineStr">
        <is>
          <t>MPSES</t>
        </is>
      </c>
      <c r="C903" t="inlineStr">
        <is>
          <t>Director of Communications</t>
        </is>
      </c>
      <c r="D903" t="inlineStr">
        <is>
          <t>Directeur des communications</t>
        </is>
      </c>
      <c r="E903" t="inlineStr">
        <is>
          <t>Guy Gallant</t>
        </is>
      </c>
      <c r="F903" t="inlineStr">
        <is>
          <t>To support the Minister at the Agriculture and Agri-Food Canada Ministerial Mission to Germany, Belgium and Italy.</t>
        </is>
      </c>
      <c r="G903" t="inlineStr">
        <is>
          <t>Soutenir le ministre à la mission ministérielle d'Agriculture et Agrioalimentaire Canada en Allemagne, en Belgique et en Italie.</t>
        </is>
      </c>
      <c r="H903" s="1" t="n">
        <v>43013</v>
      </c>
      <c r="I903" s="1" t="n">
        <v>43025</v>
      </c>
      <c r="J903" t="inlineStr">
        <is>
          <t>Dusseldorf, Germany; Cologne, Germany; Brussels, Belgium; Bologna, Italy</t>
        </is>
      </c>
      <c r="K903" t="inlineStr">
        <is>
          <t>Dusseldorf, Allemagne; Cologne, Allemagne; Brussels, Belgique; Bologne, Italie</t>
        </is>
      </c>
      <c r="P903" t="n">
        <v>1835.19</v>
      </c>
      <c r="Q903" t="n">
        <v>423.6</v>
      </c>
      <c r="R903" t="n">
        <v>3741.44</v>
      </c>
      <c r="S903" t="n">
        <v>1507.56</v>
      </c>
      <c r="U903" t="n">
        <v>7507.79</v>
      </c>
      <c r="V903" t="n">
        <v>1900090595</v>
      </c>
      <c r="X903" t="inlineStr">
        <is>
          <t>aafc-aac</t>
        </is>
      </c>
      <c r="Y903" t="inlineStr">
        <is>
          <t>Agriculture and Agri-Food Canada | Agriculture et Agroalimentaire Canada</t>
        </is>
      </c>
    </row>
    <row r="904">
      <c r="A904" t="inlineStr">
        <is>
          <t>T-2017-Q3-00067</t>
        </is>
      </c>
      <c r="B904" t="inlineStr">
        <is>
          <t>MPSES</t>
        </is>
      </c>
      <c r="C904" t="inlineStr">
        <is>
          <t>Director of Communications</t>
        </is>
      </c>
      <c r="D904" t="inlineStr">
        <is>
          <t>Directeur des communications</t>
        </is>
      </c>
      <c r="E904" t="inlineStr">
        <is>
          <t>Guy Gallant</t>
        </is>
      </c>
      <c r="F904" t="inlineStr">
        <is>
          <t xml:space="preserve">To support the Minister for government announcement. </t>
        </is>
      </c>
      <c r="G904" t="inlineStr">
        <is>
          <t>Soutenir le Ministre à l'annonce du Gouvernement.</t>
        </is>
      </c>
      <c r="H904" s="1" t="n">
        <v>43027</v>
      </c>
      <c r="I904" s="1" t="n">
        <v>43028</v>
      </c>
      <c r="J904" t="inlineStr">
        <is>
          <t>Charlottetown, Prince Edward Island</t>
        </is>
      </c>
      <c r="K904" t="inlineStr">
        <is>
          <t>Charlottetown, Île-du-Prince-Edouard</t>
        </is>
      </c>
      <c r="P904" t="n">
        <v>394.92</v>
      </c>
      <c r="Q904" t="n">
        <v>32.86</v>
      </c>
      <c r="R904" t="n">
        <v>188.34</v>
      </c>
      <c r="S904" t="n">
        <v>36.2</v>
      </c>
      <c r="U904" t="n">
        <v>652.3200000000001</v>
      </c>
      <c r="V904" t="n">
        <v>1900092534</v>
      </c>
      <c r="X904" t="inlineStr">
        <is>
          <t>aafc-aac</t>
        </is>
      </c>
      <c r="Y904" t="inlineStr">
        <is>
          <t>Agriculture and Agri-Food Canada | Agriculture et Agroalimentaire Canada</t>
        </is>
      </c>
    </row>
    <row r="905">
      <c r="A905" t="inlineStr">
        <is>
          <t>T-2017-Q3-00069</t>
        </is>
      </c>
      <c r="B905" t="inlineStr">
        <is>
          <t>MPSES</t>
        </is>
      </c>
      <c r="C905" t="inlineStr">
        <is>
          <t>Director of Communications</t>
        </is>
      </c>
      <c r="D905" t="inlineStr">
        <is>
          <t>Directeur des communications</t>
        </is>
      </c>
      <c r="E905" t="inlineStr">
        <is>
          <t>Guy Gallant</t>
        </is>
      </c>
      <c r="F905" t="inlineStr">
        <is>
          <t>To support the Minister at the Canadian Western Agribition and at an announcement.</t>
        </is>
      </c>
      <c r="G905" t="inlineStr">
        <is>
          <t>Soutenir le ministre à la Canadian Western Agribition et lors d'une annonce.</t>
        </is>
      </c>
      <c r="H905" s="1" t="n">
        <v>43062</v>
      </c>
      <c r="I905" s="1" t="n">
        <v>43063</v>
      </c>
      <c r="J905" t="inlineStr">
        <is>
          <t xml:space="preserve">Regina, Saskatchewan </t>
        </is>
      </c>
      <c r="K905" t="inlineStr">
        <is>
          <t>Régina, Saskatchewan</t>
        </is>
      </c>
      <c r="P905" t="n">
        <v>1063.1</v>
      </c>
      <c r="R905" t="n">
        <v>154.34</v>
      </c>
      <c r="S905" t="n">
        <v>119.95</v>
      </c>
      <c r="U905" t="n">
        <v>1337.39</v>
      </c>
      <c r="V905" t="n">
        <v>1900098687</v>
      </c>
      <c r="X905" t="inlineStr">
        <is>
          <t>aafc-aac</t>
        </is>
      </c>
      <c r="Y905" t="inlineStr">
        <is>
          <t>Agriculture and Agri-Food Canada | Agriculture et Agroalimentaire Canada</t>
        </is>
      </c>
    </row>
    <row r="906">
      <c r="A906" t="inlineStr">
        <is>
          <t>T-2017-Q3-00070</t>
        </is>
      </c>
      <c r="B906" t="inlineStr">
        <is>
          <t>MPSES</t>
        </is>
      </c>
      <c r="C906" t="inlineStr">
        <is>
          <t>Policy Advisor</t>
        </is>
      </c>
      <c r="D906" t="inlineStr">
        <is>
          <t>Conseillère en politiques</t>
        </is>
      </c>
      <c r="E906" t="inlineStr">
        <is>
          <t>Sangeeta Lalli</t>
        </is>
      </c>
      <c r="F906" t="inlineStr">
        <is>
          <t>To accompany the Minister to outreach in British Columbia.</t>
        </is>
      </c>
      <c r="G906" t="inlineStr">
        <is>
          <t>Pour accompagner le ministre à la sensibilisation en Colombie-Britannique.</t>
        </is>
      </c>
      <c r="H906" s="1" t="n">
        <v>42982</v>
      </c>
      <c r="I906" s="1" t="n">
        <v>42986</v>
      </c>
      <c r="J906" t="inlineStr">
        <is>
          <t>Vancouver, British Columbia Kelowna, British Columbia</t>
        </is>
      </c>
      <c r="K906" t="inlineStr">
        <is>
          <t>Vancouver, Colombie-Britannique Kelowna, Colombie-Britannique</t>
        </is>
      </c>
      <c r="P906" t="n">
        <v>1669.7</v>
      </c>
      <c r="Q906" t="n">
        <v>75.12</v>
      </c>
      <c r="R906" t="n">
        <v>523.83</v>
      </c>
      <c r="S906" t="n">
        <v>324.3</v>
      </c>
      <c r="U906" t="n">
        <v>2592.95</v>
      </c>
      <c r="V906" t="n">
        <v>1900079807</v>
      </c>
      <c r="X906" t="inlineStr">
        <is>
          <t>aafc-aac</t>
        </is>
      </c>
      <c r="Y906" t="inlineStr">
        <is>
          <t>Agriculture and Agri-Food Canada | Agriculture et Agroalimentaire Canada</t>
        </is>
      </c>
    </row>
    <row r="907">
      <c r="A907" t="inlineStr">
        <is>
          <t>T-2017-Q3-00071</t>
        </is>
      </c>
      <c r="B907" t="inlineStr">
        <is>
          <t>MPSES</t>
        </is>
      </c>
      <c r="C907" t="inlineStr">
        <is>
          <t>Policy Advisor</t>
        </is>
      </c>
      <c r="D907" t="inlineStr">
        <is>
          <t>Conseillère en politiques</t>
        </is>
      </c>
      <c r="E907" t="inlineStr">
        <is>
          <t>Sangeeta Lalli</t>
        </is>
      </c>
      <c r="F907" t="inlineStr">
        <is>
          <t>To accompany the Minister to Meetings and announcements.</t>
        </is>
      </c>
      <c r="G907" t="inlineStr">
        <is>
          <t>Pour accompagner le ministre aux réunions et aux annonces.</t>
        </is>
      </c>
      <c r="H907" s="1" t="n">
        <v>42999</v>
      </c>
      <c r="I907" s="1" t="n">
        <v>43001</v>
      </c>
      <c r="J907" t="inlineStr">
        <is>
          <t>Charlottetown, Prince Edward Island</t>
        </is>
      </c>
      <c r="K907" t="inlineStr">
        <is>
          <t>Charlottetown, Île-Du-Prince-Edouard</t>
        </is>
      </c>
      <c r="P907" t="n">
        <v>930.04</v>
      </c>
      <c r="Q907" t="n">
        <v>247.1</v>
      </c>
      <c r="R907" t="n">
        <v>287.5</v>
      </c>
      <c r="S907" t="n">
        <v>133.95</v>
      </c>
      <c r="U907" t="n">
        <v>1598.59</v>
      </c>
      <c r="V907" t="n">
        <v>1900083454</v>
      </c>
      <c r="X907" t="inlineStr">
        <is>
          <t>aafc-aac</t>
        </is>
      </c>
      <c r="Y907" t="inlineStr">
        <is>
          <t>Agriculture and Agri-Food Canada | Agriculture et Agroalimentaire Canada</t>
        </is>
      </c>
    </row>
    <row r="908">
      <c r="A908" t="inlineStr">
        <is>
          <t>T-2017-Q3-00072</t>
        </is>
      </c>
      <c r="B908" t="inlineStr">
        <is>
          <t>MPSES</t>
        </is>
      </c>
      <c r="C908" t="inlineStr">
        <is>
          <t>Policy Advisor</t>
        </is>
      </c>
      <c r="D908" t="inlineStr">
        <is>
          <t>Conseiller en politiques</t>
        </is>
      </c>
      <c r="E908" t="inlineStr">
        <is>
          <t>Dan Lussier</t>
        </is>
      </c>
      <c r="F908" t="inlineStr">
        <is>
          <t>To accompany the Minister to outreach in Manitoba.</t>
        </is>
      </c>
      <c r="G908" t="inlineStr">
        <is>
          <t>Pour accompagner le ministre à la sensibilisation au Manitoba.</t>
        </is>
      </c>
      <c r="H908" s="1" t="n">
        <v>43006</v>
      </c>
      <c r="I908" s="1" t="n">
        <v>43007</v>
      </c>
      <c r="J908" t="inlineStr">
        <is>
          <t>Winnipeg, Manitoba</t>
        </is>
      </c>
      <c r="K908" t="inlineStr">
        <is>
          <t>Winnipeg, Manitoba</t>
        </is>
      </c>
      <c r="P908" t="n">
        <v>1024.32</v>
      </c>
      <c r="Q908" t="n">
        <v>32.67</v>
      </c>
      <c r="R908" t="n">
        <v>164.37</v>
      </c>
      <c r="S908" t="n">
        <v>161.7</v>
      </c>
      <c r="U908" t="n">
        <v>1383.06</v>
      </c>
      <c r="V908" t="n">
        <v>1900083455</v>
      </c>
      <c r="X908" t="inlineStr">
        <is>
          <t>aafc-aac</t>
        </is>
      </c>
      <c r="Y908" t="inlineStr">
        <is>
          <t>Agriculture and Agri-Food Canada | Agriculture et Agroalimentaire Canada</t>
        </is>
      </c>
    </row>
    <row r="909">
      <c r="A909" t="inlineStr">
        <is>
          <t>T-2017-Q3-00073</t>
        </is>
      </c>
      <c r="B909" t="inlineStr">
        <is>
          <t>MPSES</t>
        </is>
      </c>
      <c r="C909" t="inlineStr">
        <is>
          <t>Deputy Minister</t>
        </is>
      </c>
      <c r="D909" t="inlineStr">
        <is>
          <t>Sous-Ministre</t>
        </is>
      </c>
      <c r="E909" t="inlineStr">
        <is>
          <t>Chris Forbes</t>
        </is>
      </c>
      <c r="F909" t="inlineStr">
        <is>
          <t>Deputy Minister's Outreach to Vineland Research Center and Deputy Minister attending the Departmental Audit Committee.</t>
        </is>
      </c>
      <c r="G909" t="inlineStr">
        <is>
          <t>Centre de sensibilisation de sous-ministre au Centre de recherche de Vineland et sous-ministre assistant au comité ministériel d'audit.</t>
        </is>
      </c>
      <c r="H909" s="1" t="n">
        <v>43004</v>
      </c>
      <c r="I909" s="1" t="n">
        <v>43006</v>
      </c>
      <c r="J909" t="inlineStr">
        <is>
          <t>Toronto, Ontario, Guelph, Ontario</t>
        </is>
      </c>
      <c r="K909" t="inlineStr">
        <is>
          <t>Toronto, Ontario, Guelph, Ontario</t>
        </is>
      </c>
      <c r="P909" t="n">
        <v>408.55</v>
      </c>
      <c r="Q909" t="n">
        <v>117.77</v>
      </c>
      <c r="R909" t="n">
        <v>124.3</v>
      </c>
      <c r="S909" t="n">
        <v>64</v>
      </c>
      <c r="U909" t="n">
        <v>714.62</v>
      </c>
      <c r="X909" t="inlineStr">
        <is>
          <t>aafc-aac</t>
        </is>
      </c>
      <c r="Y909" t="inlineStr">
        <is>
          <t>Agriculture and Agri-Food Canada | Agriculture et Agroalimentaire Canada</t>
        </is>
      </c>
    </row>
    <row r="910">
      <c r="A910" t="inlineStr">
        <is>
          <t>T-2017-Q3-00074</t>
        </is>
      </c>
      <c r="B910" t="inlineStr">
        <is>
          <t>MPSES</t>
        </is>
      </c>
      <c r="C910" t="inlineStr">
        <is>
          <t>Deputy Minister</t>
        </is>
      </c>
      <c r="D910" t="inlineStr">
        <is>
          <t>Sous-Ministre</t>
        </is>
      </c>
      <c r="E910" t="inlineStr">
        <is>
          <t>Chris Forbes</t>
        </is>
      </c>
      <c r="F910" t="inlineStr">
        <is>
          <t>European ministerial mission.</t>
        </is>
      </c>
      <c r="G910" t="inlineStr">
        <is>
          <t>Mission ministérielle européenne.</t>
        </is>
      </c>
      <c r="H910" s="1" t="n">
        <v>43017</v>
      </c>
      <c r="I910" s="1" t="n">
        <v>43025</v>
      </c>
      <c r="J910" t="inlineStr">
        <is>
          <t>Bologna, Italy</t>
        </is>
      </c>
      <c r="K910" t="inlineStr">
        <is>
          <t>Bologne, Italie</t>
        </is>
      </c>
      <c r="P910" t="n">
        <v>7196.26</v>
      </c>
      <c r="Q910" t="n">
        <v>380.95</v>
      </c>
      <c r="R910" t="n">
        <v>2404.37</v>
      </c>
      <c r="S910" t="n">
        <v>463.76</v>
      </c>
      <c r="U910" t="n">
        <v>10445.34</v>
      </c>
      <c r="X910" t="inlineStr">
        <is>
          <t>aafc-aac</t>
        </is>
      </c>
      <c r="Y910" t="inlineStr">
        <is>
          <t>Agriculture and Agri-Food Canada | Agriculture et Agroalimentaire Canada</t>
        </is>
      </c>
    </row>
    <row r="911">
      <c r="A911" t="inlineStr">
        <is>
          <t>T-2017-Q3-00075</t>
        </is>
      </c>
      <c r="B911" t="inlineStr">
        <is>
          <t>MPSES</t>
        </is>
      </c>
      <c r="C911" t="inlineStr">
        <is>
          <t>Deputy Minister</t>
        </is>
      </c>
      <c r="D911" t="inlineStr">
        <is>
          <t>Sous-Ministre</t>
        </is>
      </c>
      <c r="E911" t="inlineStr">
        <is>
          <t>Chris Forbes</t>
        </is>
      </c>
      <c r="F911" t="inlineStr">
        <is>
          <t>Alberta and British-Columbia outreach.</t>
        </is>
      </c>
      <c r="G911" t="inlineStr">
        <is>
          <t>Alberta et la Colombie-Britannique.</t>
        </is>
      </c>
      <c r="H911" s="1" t="n">
        <v>43046</v>
      </c>
      <c r="I911" s="1" t="n">
        <v>43050</v>
      </c>
      <c r="J911" t="inlineStr">
        <is>
          <t>Vancouver, British Columbia</t>
        </is>
      </c>
      <c r="K911" t="inlineStr">
        <is>
          <t xml:space="preserve">Vancouver Colombie-Britannique </t>
        </is>
      </c>
      <c r="P911" t="n">
        <v>1149.72</v>
      </c>
      <c r="R911" t="n">
        <v>612.9400000000001</v>
      </c>
      <c r="S911" t="n">
        <v>189.6</v>
      </c>
      <c r="U911" t="n">
        <v>1952.26</v>
      </c>
      <c r="X911" t="inlineStr">
        <is>
          <t>aafc-aac</t>
        </is>
      </c>
      <c r="Y911" t="inlineStr">
        <is>
          <t>Agriculture and Agri-Food Canada | Agriculture et Agroalimentaire Canada</t>
        </is>
      </c>
    </row>
    <row r="912">
      <c r="A912" t="inlineStr">
        <is>
          <t>T-2017-Q4-00001</t>
        </is>
      </c>
      <c r="B912" t="inlineStr">
        <is>
          <t>SLE</t>
        </is>
      </c>
      <c r="C912" t="inlineStr">
        <is>
          <t>Assistant deputy minister, Science and Technology Branch</t>
        </is>
      </c>
      <c r="D912" t="inlineStr">
        <is>
          <t>Sous-ministre adjoint, Direction Générale des sciences et de la technologie</t>
        </is>
      </c>
      <c r="E912" t="inlineStr">
        <is>
          <t>Brian T. Gray</t>
        </is>
      </c>
      <c r="F912" t="inlineStr">
        <is>
          <t>Participate at the Consultative Committee on Agriculture.</t>
        </is>
      </c>
      <c r="G912" t="inlineStr">
        <is>
          <t>Participer au Comité consultatif de l'agriculture.</t>
        </is>
      </c>
      <c r="H912" s="1" t="n">
        <v>43071</v>
      </c>
      <c r="I912" s="1" t="n">
        <v>43076</v>
      </c>
      <c r="J912" t="inlineStr">
        <is>
          <t>Brasilia, Brazil</t>
        </is>
      </c>
      <c r="K912" t="inlineStr">
        <is>
          <t>Brasilia, Brésil</t>
        </is>
      </c>
      <c r="P912" t="n">
        <v>4439.22</v>
      </c>
      <c r="Q912" t="n">
        <v>152.18</v>
      </c>
      <c r="R912" t="n">
        <v>398.81</v>
      </c>
      <c r="S912" t="n">
        <v>581.72</v>
      </c>
      <c r="T912" t="n">
        <v>11.3</v>
      </c>
      <c r="U912" t="n">
        <v>5583.23</v>
      </c>
      <c r="V912" t="inlineStr">
        <is>
          <t>AJD980247</t>
        </is>
      </c>
      <c r="X912" t="inlineStr">
        <is>
          <t>aafc-aac</t>
        </is>
      </c>
      <c r="Y912" t="inlineStr">
        <is>
          <t>Agriculture and Agri-Food Canada | Agriculture et Agroalimentaire Canada</t>
        </is>
      </c>
    </row>
    <row r="913">
      <c r="A913" t="inlineStr">
        <is>
          <t>T-2017-Q4-00002</t>
        </is>
      </c>
      <c r="B913" t="inlineStr">
        <is>
          <t>SLE</t>
        </is>
      </c>
      <c r="C913" t="inlineStr">
        <is>
          <t>Assistant deputy minister, Science and Technology Branch</t>
        </is>
      </c>
      <c r="D913" t="inlineStr">
        <is>
          <t>Sous-ministre adjoint, Direction Générale des sciences et de la technologie</t>
        </is>
      </c>
      <c r="E913" t="inlineStr">
        <is>
          <t>Brian T. Gray</t>
        </is>
      </c>
      <c r="F913" t="inlineStr">
        <is>
          <t>Participate at the international meeting of Reseachers, Stakeholders and Decision-Makers.</t>
        </is>
      </c>
      <c r="G913" t="inlineStr">
        <is>
          <t>Participer aux réunions internationales des décideurs, des parties prenantes et des décideurs.</t>
        </is>
      </c>
      <c r="H913" s="1" t="n">
        <v>43080</v>
      </c>
      <c r="I913" s="1" t="n">
        <v>43082</v>
      </c>
      <c r="J913" t="inlineStr">
        <is>
          <t>Quebec, Quebec</t>
        </is>
      </c>
      <c r="K913" t="inlineStr">
        <is>
          <t>Québec, Québec</t>
        </is>
      </c>
      <c r="P913" t="n">
        <v>587.4400000000001</v>
      </c>
      <c r="Q913" t="n">
        <v>99.27</v>
      </c>
      <c r="R913" t="n">
        <v>354.64</v>
      </c>
      <c r="S913" t="n">
        <v>156.35</v>
      </c>
      <c r="U913" t="n">
        <v>1197.7</v>
      </c>
      <c r="V913" t="inlineStr">
        <is>
          <t>AJD989690</t>
        </is>
      </c>
      <c r="X913" t="inlineStr">
        <is>
          <t>aafc-aac</t>
        </is>
      </c>
      <c r="Y913" t="inlineStr">
        <is>
          <t>Agriculture and Agri-Food Canada | Agriculture et Agroalimentaire Canada</t>
        </is>
      </c>
    </row>
    <row r="914">
      <c r="A914" t="inlineStr">
        <is>
          <t>T-2017-Q4-00003</t>
        </is>
      </c>
      <c r="B914" t="inlineStr">
        <is>
          <t>SLE</t>
        </is>
      </c>
      <c r="C914" t="inlineStr">
        <is>
          <t>Assistant deputy minister, Science and Technology Branch</t>
        </is>
      </c>
      <c r="D914" t="inlineStr">
        <is>
          <t>Sous-ministre adjoint, Direction Générale des sciences et de la technologie</t>
        </is>
      </c>
      <c r="E914" t="inlineStr">
        <is>
          <t>Brian T. Gray</t>
        </is>
      </c>
      <c r="F914" t="inlineStr">
        <is>
          <t>Outreach to the Reasearch and Developpement Centre, All-Staff meeting and meeting with Provincial Counterparts.</t>
        </is>
      </c>
      <c r="G914" t="inlineStr">
        <is>
          <t xml:space="preserve">Visite de sencibilisation au Centre de recherche et de developpement, réunions avec tout le personnel et réunions avec des collegues du governement provincial. </t>
        </is>
      </c>
      <c r="H914" s="1" t="n">
        <v>43109</v>
      </c>
      <c r="I914" s="1" t="n">
        <v>43112</v>
      </c>
      <c r="J914" t="inlineStr">
        <is>
          <t>Lethbridge, Alberta,  Calgary, Alberta</t>
        </is>
      </c>
      <c r="K914" t="inlineStr">
        <is>
          <t>Lethbridge, Alberta, Calgary, Alberta</t>
        </is>
      </c>
      <c r="P914" t="n">
        <v>1158.67</v>
      </c>
      <c r="Q914" t="n">
        <v>204.49</v>
      </c>
      <c r="R914" t="n">
        <v>490.26</v>
      </c>
      <c r="S914" t="n">
        <v>287.05</v>
      </c>
      <c r="U914" t="n">
        <v>2140.47</v>
      </c>
      <c r="V914" t="inlineStr">
        <is>
          <t>AJD923685</t>
        </is>
      </c>
      <c r="X914" t="inlineStr">
        <is>
          <t>aafc-aac</t>
        </is>
      </c>
      <c r="Y914" t="inlineStr">
        <is>
          <t>Agriculture and Agri-Food Canada | Agriculture et Agroalimentaire Canada</t>
        </is>
      </c>
    </row>
    <row r="915">
      <c r="A915" t="inlineStr">
        <is>
          <t>T-2017-Q4-00004</t>
        </is>
      </c>
      <c r="B915" t="inlineStr">
        <is>
          <t>SLE</t>
        </is>
      </c>
      <c r="C915" t="inlineStr">
        <is>
          <t>Assistant deputy minister, Science and Technology Branch</t>
        </is>
      </c>
      <c r="D915" t="inlineStr">
        <is>
          <t>Sous-ministre adjoint, Direction Générale des sciences et de la technologie</t>
        </is>
      </c>
      <c r="E915" t="inlineStr">
        <is>
          <t>Brian T. Gray</t>
        </is>
      </c>
      <c r="F915" t="inlineStr">
        <is>
          <t>Outreach to the Reasearch and Developpement Centre, All-Staff meeting and meeting with Provincial Counterparts.</t>
        </is>
      </c>
      <c r="G915" t="inlineStr">
        <is>
          <t xml:space="preserve">Visite de sencibilisation au Centre de recherche et de developpement, réunions avec tout le personnel et réunions avec des collegues du governement provincial. </t>
        </is>
      </c>
      <c r="H915" s="1" t="n">
        <v>43123</v>
      </c>
      <c r="I915" s="1" t="n">
        <v>43125</v>
      </c>
      <c r="J915" t="inlineStr">
        <is>
          <t>Harrow, Ontario</t>
        </is>
      </c>
      <c r="K915" t="inlineStr">
        <is>
          <t>Harrow, Ontario</t>
        </is>
      </c>
      <c r="P915" t="n">
        <v>673.76</v>
      </c>
      <c r="Q915" t="n">
        <v>226.44</v>
      </c>
      <c r="R915" t="n">
        <v>303.06</v>
      </c>
      <c r="S915" t="n">
        <v>241.5</v>
      </c>
      <c r="U915" t="n">
        <v>1444.76</v>
      </c>
      <c r="V915" t="inlineStr">
        <is>
          <t>AJD933420</t>
        </is>
      </c>
      <c r="X915" t="inlineStr">
        <is>
          <t>aafc-aac</t>
        </is>
      </c>
      <c r="Y915" t="inlineStr">
        <is>
          <t>Agriculture and Agri-Food Canada | Agriculture et Agroalimentaire Canada</t>
        </is>
      </c>
    </row>
    <row r="916">
      <c r="A916" t="inlineStr">
        <is>
          <t>T-2017-Q4-00005</t>
        </is>
      </c>
      <c r="B916" t="inlineStr">
        <is>
          <t>SLE</t>
        </is>
      </c>
      <c r="C916" t="inlineStr">
        <is>
          <t>Assistant deputy minister, Science and Technology Branch</t>
        </is>
      </c>
      <c r="D916" t="inlineStr">
        <is>
          <t>Sous-ministre adjoint, Direction Générale des sciences et de la technologie</t>
        </is>
      </c>
      <c r="E916" t="inlineStr">
        <is>
          <t>Brian T. Gray</t>
        </is>
      </c>
      <c r="F916" t="inlineStr">
        <is>
          <t>Participate at the the International workshop on National Institute of Agricultural Research Meta Programmes.</t>
        </is>
      </c>
      <c r="G916" t="inlineStr">
        <is>
          <t>Participer à l'atelier international sur les métaprogrammes de l'Institut National recherche agronomique.</t>
        </is>
      </c>
      <c r="H916" s="1" t="n">
        <v>43130</v>
      </c>
      <c r="I916" s="1" t="n">
        <v>43134</v>
      </c>
      <c r="J916" t="inlineStr">
        <is>
          <t>Versaille, France</t>
        </is>
      </c>
      <c r="K916" t="inlineStr">
        <is>
          <t>Versaille, France</t>
        </is>
      </c>
      <c r="P916" t="n">
        <v>7131.98</v>
      </c>
      <c r="Q916" t="n">
        <v>140.22</v>
      </c>
      <c r="S916" t="n">
        <v>440.16</v>
      </c>
      <c r="U916" t="n">
        <v>7712.36</v>
      </c>
      <c r="V916" t="inlineStr">
        <is>
          <t>AJD911441</t>
        </is>
      </c>
      <c r="X916" t="inlineStr">
        <is>
          <t>aafc-aac</t>
        </is>
      </c>
      <c r="Y916" t="inlineStr">
        <is>
          <t>Agriculture and Agri-Food Canada | Agriculture et Agroalimentaire Canada</t>
        </is>
      </c>
    </row>
    <row r="917">
      <c r="A917" t="inlineStr">
        <is>
          <t>T-2017-Q4-00006</t>
        </is>
      </c>
      <c r="B917" t="inlineStr">
        <is>
          <t>SLE</t>
        </is>
      </c>
      <c r="C917" t="inlineStr">
        <is>
          <t>Assistant deputy minister, Science and Technology Branch</t>
        </is>
      </c>
      <c r="D917" t="inlineStr">
        <is>
          <t>Sous-ministre adjoint, Direction Générale des sciences et de la technologie</t>
        </is>
      </c>
      <c r="E917" t="inlineStr">
        <is>
          <t>Brian T. Gray</t>
        </is>
      </c>
      <c r="F917" t="inlineStr">
        <is>
          <t>To participate to the ArcticNet Board meeting.</t>
        </is>
      </c>
      <c r="G917" t="inlineStr">
        <is>
          <t>Participer à la réunion du conseil d'ArcticNet.</t>
        </is>
      </c>
      <c r="H917" s="1" t="n">
        <v>43144</v>
      </c>
      <c r="I917" s="1" t="n">
        <v>43145</v>
      </c>
      <c r="J917" t="inlineStr">
        <is>
          <t>Montreal, Quebec</t>
        </is>
      </c>
      <c r="K917" t="inlineStr">
        <is>
          <t>Montréal, Québec</t>
        </is>
      </c>
      <c r="P917" t="n">
        <v>392.25</v>
      </c>
      <c r="Q917" t="n">
        <v>414.32</v>
      </c>
      <c r="S917" t="n">
        <v>34.6</v>
      </c>
      <c r="U917" t="n">
        <v>841.17</v>
      </c>
      <c r="V917" t="inlineStr">
        <is>
          <t>AJD926312</t>
        </is>
      </c>
      <c r="X917" t="inlineStr">
        <is>
          <t>aafc-aac</t>
        </is>
      </c>
      <c r="Y917" t="inlineStr">
        <is>
          <t>Agriculture and Agri-Food Canada | Agriculture et Agroalimentaire Canada</t>
        </is>
      </c>
    </row>
    <row r="918">
      <c r="A918" t="inlineStr">
        <is>
          <t>T-2017-Q4-00007</t>
        </is>
      </c>
      <c r="B918" t="inlineStr">
        <is>
          <t>SLE</t>
        </is>
      </c>
      <c r="C918" t="inlineStr">
        <is>
          <t>Assistant deputy minister, Science and Technology Branch</t>
        </is>
      </c>
      <c r="D918" t="inlineStr">
        <is>
          <t>Sous-ministre adjoint, Direction Générale des sciences et de la technologie</t>
        </is>
      </c>
      <c r="E918" t="inlineStr">
        <is>
          <t>Brian T. Gray</t>
        </is>
      </c>
      <c r="F918" t="inlineStr">
        <is>
          <t>Outreach to the Reasearch and Developpement Centre, All-Staff meeting and meeting with Provincial Counterparts.</t>
        </is>
      </c>
      <c r="G918" t="inlineStr">
        <is>
          <t xml:space="preserve">Visite de sencibilisation au Centre de recherche et de developpement, réunions avec tout le personnel et réunions avec des collegues du governement provincial. </t>
        </is>
      </c>
      <c r="H918" s="1" t="n">
        <v>43158</v>
      </c>
      <c r="I918" s="1" t="n">
        <v>43161</v>
      </c>
      <c r="J918" t="inlineStr">
        <is>
          <t>Guelph, Ontario</t>
        </is>
      </c>
      <c r="K918" t="inlineStr">
        <is>
          <t>Guelph, Ontario</t>
        </is>
      </c>
      <c r="P918" t="n">
        <v>639.64</v>
      </c>
      <c r="Q918" t="n">
        <v>244.39</v>
      </c>
      <c r="R918" t="n">
        <v>459.14</v>
      </c>
      <c r="S918" t="n">
        <v>268.15</v>
      </c>
      <c r="U918" t="n">
        <v>1611.32</v>
      </c>
      <c r="V918" t="inlineStr">
        <is>
          <t>AJD981681</t>
        </is>
      </c>
      <c r="X918" t="inlineStr">
        <is>
          <t>aafc-aac</t>
        </is>
      </c>
      <c r="Y918" t="inlineStr">
        <is>
          <t>Agriculture and Agri-Food Canada | Agriculture et Agroalimentaire Canada</t>
        </is>
      </c>
    </row>
    <row r="919">
      <c r="A919" t="inlineStr">
        <is>
          <t>T-2017-Q4-00008</t>
        </is>
      </c>
      <c r="B919" t="inlineStr">
        <is>
          <t>SLE</t>
        </is>
      </c>
      <c r="C919" t="inlineStr">
        <is>
          <t>Assistant Deputy Minister, International Affairs Branch</t>
        </is>
      </c>
      <c r="D919" t="inlineStr">
        <is>
          <t>Sous-ministre adjoint, Direction Générale des Affaires Internationales</t>
        </is>
      </c>
      <c r="E919" t="inlineStr">
        <is>
          <t>Fred Gorrell</t>
        </is>
      </c>
      <c r="F919" t="inlineStr">
        <is>
          <t>Accompany Minister to Alimentaria Trade Show in Mexico</t>
        </is>
      </c>
      <c r="G919" t="inlineStr">
        <is>
          <t>Accompagner le ministre à la foire alimentaire Alimentaria au Mexique</t>
        </is>
      </c>
      <c r="H919" s="1" t="n">
        <v>43075</v>
      </c>
      <c r="I919" s="1" t="n">
        <v>43078</v>
      </c>
      <c r="J919" t="inlineStr">
        <is>
          <t>Mexico City, Mexico</t>
        </is>
      </c>
      <c r="K919" t="inlineStr">
        <is>
          <t>Mexico, Mexique</t>
        </is>
      </c>
      <c r="P919" t="n">
        <v>1642.78</v>
      </c>
      <c r="Q919" t="n">
        <v>148.38</v>
      </c>
      <c r="R919" t="n">
        <v>638.45</v>
      </c>
      <c r="S919" t="n">
        <v>415.05</v>
      </c>
      <c r="T919" t="n">
        <v>2.7</v>
      </c>
      <c r="U919" t="n">
        <v>2847.36</v>
      </c>
      <c r="V919" t="inlineStr">
        <is>
          <t>AJE584856</t>
        </is>
      </c>
      <c r="X919" t="inlineStr">
        <is>
          <t>aafc-aac</t>
        </is>
      </c>
      <c r="Y919" t="inlineStr">
        <is>
          <t>Agriculture and Agri-Food Canada | Agriculture et Agroalimentaire Canada</t>
        </is>
      </c>
    </row>
    <row r="920">
      <c r="A920" t="inlineStr">
        <is>
          <t>T-2017-Q4-00009</t>
        </is>
      </c>
      <c r="B920" t="inlineStr">
        <is>
          <t>SLE</t>
        </is>
      </c>
      <c r="C920" t="inlineStr">
        <is>
          <t>Assistant Deputy Minister, International Affairs Branch</t>
        </is>
      </c>
      <c r="D920" t="inlineStr">
        <is>
          <t>Sous-ministre adjoint, Direction Générale des Affaires Internationales</t>
        </is>
      </c>
      <c r="E920" t="inlineStr">
        <is>
          <t>Fred Gorrell</t>
        </is>
      </c>
      <c r="F920" t="inlineStr">
        <is>
          <t>To accompany the United Arab Emirates Minister to a Hallal Workshop &amp; attend a University Human Ressources Recruitment Event</t>
        </is>
      </c>
      <c r="G920" t="inlineStr">
        <is>
          <t>Accompagner le ministre des Emirates Arabes Unis à un atelier Hallal et assister à un évènement de recrutement d'Université</t>
        </is>
      </c>
      <c r="H920" s="1" t="n">
        <v>43079</v>
      </c>
      <c r="I920" s="1" t="n">
        <v>43081</v>
      </c>
      <c r="J920" t="inlineStr">
        <is>
          <t>Vancouver, British Columbia</t>
        </is>
      </c>
      <c r="K920" t="inlineStr">
        <is>
          <t>Vancouver, Colombie- Britannique</t>
        </is>
      </c>
      <c r="P920" t="n">
        <v>551.99</v>
      </c>
      <c r="Q920" t="n">
        <v>135.4</v>
      </c>
      <c r="R920" t="n">
        <v>308.6</v>
      </c>
      <c r="S920" t="n">
        <v>175.25</v>
      </c>
      <c r="U920" t="n">
        <v>1171.24</v>
      </c>
      <c r="V920" t="inlineStr">
        <is>
          <t>AJE588556</t>
        </is>
      </c>
      <c r="X920" t="inlineStr">
        <is>
          <t>aafc-aac</t>
        </is>
      </c>
      <c r="Y920" t="inlineStr">
        <is>
          <t>Agriculture and Agri-Food Canada | Agriculture et Agroalimentaire Canada</t>
        </is>
      </c>
    </row>
    <row r="921">
      <c r="A921" t="inlineStr">
        <is>
          <t>T-2017-Q4-00010</t>
        </is>
      </c>
      <c r="B921" t="inlineStr">
        <is>
          <t>SLE</t>
        </is>
      </c>
      <c r="C921" t="inlineStr">
        <is>
          <t>Assistant Deputy Minister, International Affairs Branch</t>
        </is>
      </c>
      <c r="D921" t="inlineStr">
        <is>
          <t>Sous-ministre adjoint, Direction Générale des Affaires Internationales</t>
        </is>
      </c>
      <c r="E921" t="inlineStr">
        <is>
          <t>Fred Gorrell</t>
        </is>
      </c>
      <c r="F921" t="inlineStr">
        <is>
          <t>Attended the Manitoba Beef Producers' annual general meeting</t>
        </is>
      </c>
      <c r="G921" t="inlineStr">
        <is>
          <t>Assister à la réunion annuelle générale des producteurs de bœuf du Manitoba</t>
        </is>
      </c>
      <c r="H921" s="1" t="n">
        <v>43138</v>
      </c>
      <c r="I921" s="1" t="n">
        <v>43140</v>
      </c>
      <c r="J921" t="inlineStr">
        <is>
          <t>Brandon, Manitoba</t>
        </is>
      </c>
      <c r="K921" t="inlineStr">
        <is>
          <t>Brandon, Manitoba</t>
        </is>
      </c>
      <c r="P921" t="n">
        <v>1096.51</v>
      </c>
      <c r="Q921" t="n">
        <v>163.57</v>
      </c>
      <c r="R921" t="n">
        <v>156.82</v>
      </c>
      <c r="S921" t="n">
        <v>186.2</v>
      </c>
      <c r="U921" t="n">
        <v>1603.1</v>
      </c>
      <c r="V921" t="inlineStr">
        <is>
          <t>AJE591472</t>
        </is>
      </c>
      <c r="X921" t="inlineStr">
        <is>
          <t>aafc-aac</t>
        </is>
      </c>
      <c r="Y921" t="inlineStr">
        <is>
          <t>Agriculture and Agri-Food Canada | Agriculture et Agroalimentaire Canada</t>
        </is>
      </c>
    </row>
    <row r="922">
      <c r="A922" t="inlineStr">
        <is>
          <t>T-2017-Q4-00011</t>
        </is>
      </c>
      <c r="B922" t="inlineStr">
        <is>
          <t>SLE</t>
        </is>
      </c>
      <c r="C922" t="inlineStr">
        <is>
          <t xml:space="preserve">Assitant Deputy Minister, Market and Industry Service Branch </t>
        </is>
      </c>
      <c r="D922" t="inlineStr">
        <is>
          <t>Sous-ministre adjoint, Direction générale des services à l'industrie et aux marchés</t>
        </is>
      </c>
      <c r="E922" t="inlineStr">
        <is>
          <t>Frédéric Seppey</t>
        </is>
      </c>
      <c r="F922" t="inlineStr">
        <is>
          <t>World Trade Organizations ministerial Conference</t>
        </is>
      </c>
      <c r="G922" t="inlineStr">
        <is>
          <t>Organisation Mondiale du commerce conférence ministérielle</t>
        </is>
      </c>
      <c r="H922" s="1" t="n">
        <v>43076</v>
      </c>
      <c r="I922" s="1" t="n">
        <v>43085</v>
      </c>
      <c r="J922" t="inlineStr">
        <is>
          <t xml:space="preserve">Buenos Aires, Argentina </t>
        </is>
      </c>
      <c r="K922" t="inlineStr">
        <is>
          <t>Buenos Aires, Argentine</t>
        </is>
      </c>
      <c r="P922" t="n">
        <v>11914.04</v>
      </c>
      <c r="Q922" t="n">
        <v>156.38</v>
      </c>
      <c r="R922" t="n">
        <v>1746.23</v>
      </c>
      <c r="S922" t="n">
        <v>912.83</v>
      </c>
      <c r="T922" t="n">
        <v>19.84</v>
      </c>
      <c r="U922" t="n">
        <v>14749.32</v>
      </c>
      <c r="V922" t="inlineStr">
        <is>
          <t>AJE574869</t>
        </is>
      </c>
      <c r="X922" t="inlineStr">
        <is>
          <t>aafc-aac</t>
        </is>
      </c>
      <c r="Y922" t="inlineStr">
        <is>
          <t>Agriculture and Agri-Food Canada | Agriculture et Agroalimentaire Canada</t>
        </is>
      </c>
    </row>
    <row r="923">
      <c r="A923" t="inlineStr">
        <is>
          <t>T-2017-Q4-00012</t>
        </is>
      </c>
      <c r="B923" t="inlineStr">
        <is>
          <t>SLE</t>
        </is>
      </c>
      <c r="C923" t="inlineStr">
        <is>
          <t xml:space="preserve">Assistant Deputy Minister, Market and Industry Service Branch </t>
        </is>
      </c>
      <c r="D923" t="inlineStr">
        <is>
          <t>Sous-ministre adjoint, Direction générale des services à l'industrie et aux marchés</t>
        </is>
      </c>
      <c r="E923" t="inlineStr">
        <is>
          <t>Frédéric Seppey</t>
        </is>
      </c>
      <c r="F923" t="inlineStr">
        <is>
          <t>Ministerial Briefing and meetings with staff</t>
        </is>
      </c>
      <c r="G923" t="inlineStr">
        <is>
          <t xml:space="preserve">Sessions d`information ministérielles et rencontres avec le personnel </t>
        </is>
      </c>
      <c r="H923" s="1" t="n">
        <v>43108</v>
      </c>
      <c r="I923" s="1" t="n">
        <v>43110</v>
      </c>
      <c r="J923" t="inlineStr">
        <is>
          <t xml:space="preserve">Charlottetown, Prince edward Island </t>
        </is>
      </c>
      <c r="K923" t="inlineStr">
        <is>
          <t>Charlottetown, Île-du-Prince-Édouard</t>
        </is>
      </c>
      <c r="P923" t="n">
        <v>700.62</v>
      </c>
      <c r="Q923" t="n">
        <v>70</v>
      </c>
      <c r="R923" t="n">
        <v>424.06</v>
      </c>
      <c r="S923" t="n">
        <v>212.85</v>
      </c>
      <c r="U923" t="n">
        <v>1407.53</v>
      </c>
      <c r="V923" t="inlineStr">
        <is>
          <t>AJE562819</t>
        </is>
      </c>
      <c r="X923" t="inlineStr">
        <is>
          <t>aafc-aac</t>
        </is>
      </c>
      <c r="Y923" t="inlineStr">
        <is>
          <t>Agriculture and Agri-Food Canada | Agriculture et Agroalimentaire Canada</t>
        </is>
      </c>
    </row>
    <row r="924">
      <c r="A924" t="inlineStr">
        <is>
          <t>T-2017-Q4-00013</t>
        </is>
      </c>
      <c r="B924" t="inlineStr">
        <is>
          <t>SLE</t>
        </is>
      </c>
      <c r="C924" t="inlineStr">
        <is>
          <t xml:space="preserve">Assistant Deputy Minister, Market and Industry Service Branch </t>
        </is>
      </c>
      <c r="D924" t="inlineStr">
        <is>
          <t>Sous-ministre adjoint, Direction générale des services à l'industrie et aux marchés</t>
        </is>
      </c>
      <c r="E924" t="inlineStr">
        <is>
          <t>Frédéric Seppey</t>
        </is>
      </c>
      <c r="F924" t="inlineStr">
        <is>
          <t>North American Free Trade Agreement  negotiations</t>
        </is>
      </c>
      <c r="G924" t="inlineStr">
        <is>
          <t>Négociations L'Accord de libre-échange nord-américain</t>
        </is>
      </c>
      <c r="H924" s="1" t="n">
        <v>43119</v>
      </c>
      <c r="I924" s="1" t="n">
        <v>43123</v>
      </c>
      <c r="J924" t="inlineStr">
        <is>
          <t>Montreal, Quebec</t>
        </is>
      </c>
      <c r="K924" t="inlineStr">
        <is>
          <t xml:space="preserve">Montréal, Québec </t>
        </is>
      </c>
      <c r="Q924" t="n">
        <v>328.04</v>
      </c>
      <c r="R924" t="n">
        <v>946.0599999999999</v>
      </c>
      <c r="S924" t="n">
        <v>435.65</v>
      </c>
      <c r="U924" t="n">
        <v>1709.75</v>
      </c>
      <c r="V924" t="inlineStr">
        <is>
          <t>AJE576805</t>
        </is>
      </c>
      <c r="X924" t="inlineStr">
        <is>
          <t>aafc-aac</t>
        </is>
      </c>
      <c r="Y924" t="inlineStr">
        <is>
          <t>Agriculture and Agri-Food Canada | Agriculture et Agroalimentaire Canada</t>
        </is>
      </c>
    </row>
    <row r="925">
      <c r="A925" t="inlineStr">
        <is>
          <t>T-2017-Q4-00014</t>
        </is>
      </c>
      <c r="B925" t="inlineStr">
        <is>
          <t>SLE</t>
        </is>
      </c>
      <c r="C925" t="inlineStr">
        <is>
          <t xml:space="preserve">Assistant Deputy Minister, Market and Industry Service Branch </t>
        </is>
      </c>
      <c r="D925" t="inlineStr">
        <is>
          <t>Sous-ministre adjoint, Direction générale des services à l'industrie et aux marchés</t>
        </is>
      </c>
      <c r="E925" t="inlineStr">
        <is>
          <t>Frédéric Seppey</t>
        </is>
      </c>
      <c r="F925" t="inlineStr">
        <is>
          <t>Trade Consultations with industry</t>
        </is>
      </c>
      <c r="G925" t="inlineStr">
        <is>
          <t xml:space="preserve">Consultation sur le commerce international avec l`industrie </t>
        </is>
      </c>
      <c r="H925" s="1" t="n">
        <v>43125</v>
      </c>
      <c r="I925" s="1" t="n">
        <v>43125</v>
      </c>
      <c r="J925" t="inlineStr">
        <is>
          <t>Montreal, Quebec</t>
        </is>
      </c>
      <c r="K925" t="inlineStr">
        <is>
          <t xml:space="preserve">Montréal, Québec </t>
        </is>
      </c>
      <c r="Q925" t="n">
        <v>267.48</v>
      </c>
      <c r="S925" t="n">
        <v>66.25</v>
      </c>
      <c r="U925" t="n">
        <v>333.73</v>
      </c>
      <c r="V925" t="inlineStr">
        <is>
          <t>AJE561675</t>
        </is>
      </c>
      <c r="X925" t="inlineStr">
        <is>
          <t>aafc-aac</t>
        </is>
      </c>
      <c r="Y925" t="inlineStr">
        <is>
          <t>Agriculture and Agri-Food Canada | Agriculture et Agroalimentaire Canada</t>
        </is>
      </c>
    </row>
    <row r="926">
      <c r="A926" t="inlineStr">
        <is>
          <t>T-2017-Q4-00015</t>
        </is>
      </c>
      <c r="B926" t="inlineStr">
        <is>
          <t>SLE</t>
        </is>
      </c>
      <c r="C926" t="inlineStr">
        <is>
          <t xml:space="preserve">Assistant Deputy Minister, Market and Industry Service Branch </t>
        </is>
      </c>
      <c r="D926" t="inlineStr">
        <is>
          <t>Sous-ministre adjoint, Direction générale des services à l'industrie et aux marchés</t>
        </is>
      </c>
      <c r="E926" t="inlineStr">
        <is>
          <t>Frédéric Seppey</t>
        </is>
      </c>
      <c r="F926" t="inlineStr">
        <is>
          <t>Meetings with Pulse industry and Staff</t>
        </is>
      </c>
      <c r="G926" t="inlineStr">
        <is>
          <t xml:space="preserve">Rencontre avec l`industrie des léguminieuses et le personnel </t>
        </is>
      </c>
      <c r="H926" s="1" t="n">
        <v>43135</v>
      </c>
      <c r="I926" s="1" t="n">
        <v>43136</v>
      </c>
      <c r="J926" t="inlineStr">
        <is>
          <t>Regina, Saskatchewan</t>
        </is>
      </c>
      <c r="K926" t="inlineStr">
        <is>
          <t>Regina Saskatchewan</t>
        </is>
      </c>
      <c r="P926" t="n">
        <v>1153.41</v>
      </c>
      <c r="Q926" t="n">
        <v>95</v>
      </c>
      <c r="R926" t="n">
        <v>280.42</v>
      </c>
      <c r="S926" t="n">
        <v>101.05</v>
      </c>
      <c r="U926" t="n">
        <v>1629.88</v>
      </c>
      <c r="V926" t="inlineStr">
        <is>
          <t>AJD994893</t>
        </is>
      </c>
      <c r="X926" t="inlineStr">
        <is>
          <t>aafc-aac</t>
        </is>
      </c>
      <c r="Y926" t="inlineStr">
        <is>
          <t>Agriculture and Agri-Food Canada | Agriculture et Agroalimentaire Canada</t>
        </is>
      </c>
    </row>
    <row r="927">
      <c r="A927" t="inlineStr">
        <is>
          <t>T-2017-Q4-00016</t>
        </is>
      </c>
      <c r="B927" t="inlineStr">
        <is>
          <t>SLE</t>
        </is>
      </c>
      <c r="C927" t="inlineStr">
        <is>
          <t xml:space="preserve">Assistant Deputy Minister, Market and Industry Service Branch </t>
        </is>
      </c>
      <c r="D927" t="inlineStr">
        <is>
          <t>Sous-ministre adjoint, Direction générale des services à l'industrie et aux marchés</t>
        </is>
      </c>
      <c r="E927" t="inlineStr">
        <is>
          <t>Frédéric Seppey</t>
        </is>
      </c>
      <c r="F927" t="inlineStr">
        <is>
          <t>Meetings with Ontario Dairy and conceil des industriels laitiers Du Quebec and industry groups and Staff</t>
        </is>
      </c>
      <c r="G927" t="inlineStr">
        <is>
          <t>Rencontre avec l`Ontario Dairy Council,  et rencontres avec les employés et le conseil des Industriels latiers du Québec</t>
        </is>
      </c>
      <c r="H927" s="1" t="n">
        <v>43139</v>
      </c>
      <c r="I927" s="1" t="n">
        <v>43140</v>
      </c>
      <c r="J927" t="inlineStr">
        <is>
          <t xml:space="preserve">Toronto, Ontario </t>
        </is>
      </c>
      <c r="K927" t="inlineStr">
        <is>
          <t xml:space="preserve">Toronto, Ontario </t>
        </is>
      </c>
      <c r="P927" t="n">
        <v>664.04</v>
      </c>
      <c r="Q927" t="n">
        <v>125.13</v>
      </c>
      <c r="R927" t="n">
        <v>245.35</v>
      </c>
      <c r="S927" t="n">
        <v>167.3</v>
      </c>
      <c r="U927" t="n">
        <v>1201.82</v>
      </c>
      <c r="V927" t="inlineStr">
        <is>
          <t>AJE552327</t>
        </is>
      </c>
      <c r="X927" t="inlineStr">
        <is>
          <t>aafc-aac</t>
        </is>
      </c>
      <c r="Y927" t="inlineStr">
        <is>
          <t>Agriculture and Agri-Food Canada | Agriculture et Agroalimentaire Canada</t>
        </is>
      </c>
    </row>
    <row r="928">
      <c r="A928" t="inlineStr">
        <is>
          <t>T-2017-Q4-00017</t>
        </is>
      </c>
      <c r="B928" t="inlineStr">
        <is>
          <t>SLE</t>
        </is>
      </c>
      <c r="C928" t="inlineStr">
        <is>
          <t xml:space="preserve">Assistant Deputy Minister, Market and Industry Service Branch </t>
        </is>
      </c>
      <c r="D928" t="inlineStr">
        <is>
          <t>Sous-ministre adjoint, Direction générale des services à l'industrie et aux marchés</t>
        </is>
      </c>
      <c r="E928" t="inlineStr">
        <is>
          <t>Frédéric Seppey</t>
        </is>
      </c>
      <c r="F928" t="inlineStr">
        <is>
          <t>Federal Provincial territorial Agriculture Deputy Minister` Retreat</t>
        </is>
      </c>
      <c r="G928" t="inlineStr">
        <is>
          <t xml:space="preserve">Retraite des sous-Ministres fédéral provinciaux-territoriaux de l`agriculture </t>
        </is>
      </c>
      <c r="H928" s="1" t="n">
        <v>43152</v>
      </c>
      <c r="I928" s="1" t="n">
        <v>43153</v>
      </c>
      <c r="J928" t="inlineStr">
        <is>
          <t xml:space="preserve">Toronto, Ontario </t>
        </is>
      </c>
      <c r="K928" t="inlineStr">
        <is>
          <t xml:space="preserve">Toronto, Ontario </t>
        </is>
      </c>
      <c r="P928" t="n">
        <v>562.23</v>
      </c>
      <c r="Q928" t="n">
        <v>82.86</v>
      </c>
      <c r="R928" t="n">
        <v>145.77</v>
      </c>
      <c r="S928" t="n">
        <v>186.2</v>
      </c>
      <c r="U928" t="n">
        <v>977.0599999999999</v>
      </c>
      <c r="V928" t="inlineStr">
        <is>
          <t>AJE566404</t>
        </is>
      </c>
      <c r="X928" t="inlineStr">
        <is>
          <t>aafc-aac</t>
        </is>
      </c>
      <c r="Y928" t="inlineStr">
        <is>
          <t>Agriculture and Agri-Food Canada | Agriculture et Agroalimentaire Canada</t>
        </is>
      </c>
    </row>
    <row r="929">
      <c r="A929" t="inlineStr">
        <is>
          <t>T-2017-Q4-00018</t>
        </is>
      </c>
      <c r="B929" t="inlineStr">
        <is>
          <t>SLE</t>
        </is>
      </c>
      <c r="C929" t="inlineStr">
        <is>
          <t xml:space="preserve">Assistant Deputy Ministe, Market  and Industry Service Branch </t>
        </is>
      </c>
      <c r="D929" t="inlineStr">
        <is>
          <t>Sous-ministre adjoint, Direction générale des services à l'industrie et aux marchés</t>
        </is>
      </c>
      <c r="E929" t="inlineStr">
        <is>
          <t>Frédéric Seppey</t>
        </is>
      </c>
      <c r="F929" t="inlineStr">
        <is>
          <t>North American Free Trade Agreement  negotiations</t>
        </is>
      </c>
      <c r="G929" t="inlineStr">
        <is>
          <t>Négociations L'Accord de libre-échange nord-américain</t>
        </is>
      </c>
      <c r="H929" s="1" t="n">
        <v>43154</v>
      </c>
      <c r="I929" s="1" t="n">
        <v>43159</v>
      </c>
      <c r="J929" t="inlineStr">
        <is>
          <t>Mexico city, Mexico</t>
        </is>
      </c>
      <c r="K929" t="inlineStr">
        <is>
          <t>Mexico, Mexique</t>
        </is>
      </c>
      <c r="P929" t="n">
        <v>1212.68</v>
      </c>
      <c r="Q929" t="n">
        <v>96.29000000000001</v>
      </c>
      <c r="R929" t="n">
        <v>931.5599999999999</v>
      </c>
      <c r="S929" t="n">
        <v>429.35</v>
      </c>
      <c r="T929" t="n">
        <v>4.5</v>
      </c>
      <c r="U929" t="n">
        <v>2674.38</v>
      </c>
      <c r="V929" t="inlineStr">
        <is>
          <t>AJE547467</t>
        </is>
      </c>
      <c r="X929" t="inlineStr">
        <is>
          <t>aafc-aac</t>
        </is>
      </c>
      <c r="Y929" t="inlineStr">
        <is>
          <t>Agriculture and Agri-Food Canada | Agriculture et Agroalimentaire Canada</t>
        </is>
      </c>
    </row>
    <row r="930">
      <c r="A930" t="inlineStr">
        <is>
          <t>T-2017-Q4-00019</t>
        </is>
      </c>
      <c r="B930" t="inlineStr">
        <is>
          <t>SLE</t>
        </is>
      </c>
      <c r="C930" t="inlineStr">
        <is>
          <t>Associate Assistant Deputy Minister, Science and Technology Branch</t>
        </is>
      </c>
      <c r="D930" t="inlineStr">
        <is>
          <t>Sous-ministre adjoint délégué, Direction générale des sciences et technologie</t>
        </is>
      </c>
      <c r="E930" t="inlineStr">
        <is>
          <t>Gilles Saindon</t>
        </is>
      </c>
      <c r="F930" t="inlineStr">
        <is>
          <t xml:space="preserve">To attend Farm Tech on January 30 and 31, 2018, and meet with Industries </t>
        </is>
      </c>
      <c r="G930" t="inlineStr">
        <is>
          <t>Pour assister à Farm Tech, les 30 et 31 janvier 2018 et rencontrer les gens de l'industrie</t>
        </is>
      </c>
      <c r="H930" s="1" t="n">
        <v>43129</v>
      </c>
      <c r="I930" s="1" t="n">
        <v>43132</v>
      </c>
      <c r="J930" t="inlineStr">
        <is>
          <t>Edmonton, Alberta</t>
        </is>
      </c>
      <c r="K930" t="inlineStr">
        <is>
          <t>Edmonton, Alberta</t>
        </is>
      </c>
      <c r="P930" t="n">
        <v>1106.41</v>
      </c>
      <c r="Q930" t="n">
        <v>157.55</v>
      </c>
      <c r="R930" t="n">
        <v>602.88</v>
      </c>
      <c r="S930" t="n">
        <v>201.9</v>
      </c>
      <c r="U930" t="n">
        <v>2068.74</v>
      </c>
      <c r="V930" t="inlineStr">
        <is>
          <t>AJD964703</t>
        </is>
      </c>
      <c r="W930" t="inlineStr">
        <is>
          <t>AJD964703</t>
        </is>
      </c>
      <c r="X930" t="inlineStr">
        <is>
          <t>aafc-aac</t>
        </is>
      </c>
      <c r="Y930" t="inlineStr">
        <is>
          <t>Agriculture and Agri-Food Canada | Agriculture et Agroalimentaire Canada</t>
        </is>
      </c>
    </row>
    <row r="931">
      <c r="A931" t="inlineStr">
        <is>
          <t>T-2017-Q4-00037</t>
        </is>
      </c>
      <c r="B931" t="inlineStr">
        <is>
          <t>SLE</t>
        </is>
      </c>
      <c r="C931" t="inlineStr">
        <is>
          <t>Deputy Minister</t>
        </is>
      </c>
      <c r="D931" t="inlineStr">
        <is>
          <t>Sous-Ministre</t>
        </is>
      </c>
      <c r="E931" t="inlineStr">
        <is>
          <t>Chris Forbes</t>
        </is>
      </c>
      <c r="F931" t="inlineStr">
        <is>
          <t>Federal - Provincial - Territorial meeting</t>
        </is>
      </c>
      <c r="G931" t="inlineStr">
        <is>
          <t>Réunion fédérale-provinciale-territoriale</t>
        </is>
      </c>
      <c r="H931" s="1" t="n">
        <v>43152</v>
      </c>
      <c r="I931" s="1" t="n">
        <v>43154</v>
      </c>
      <c r="J931" t="inlineStr">
        <is>
          <t>Toronto, Ontario</t>
        </is>
      </c>
      <c r="K931" t="inlineStr">
        <is>
          <t>Toronto, Ontario</t>
        </is>
      </c>
      <c r="P931" t="n">
        <v>413.1</v>
      </c>
      <c r="R931" t="n">
        <v>145.77</v>
      </c>
      <c r="S931" t="n">
        <v>17.3</v>
      </c>
      <c r="U931" t="n">
        <v>576.17</v>
      </c>
      <c r="V931" t="inlineStr">
        <is>
          <t>AJG802461</t>
        </is>
      </c>
      <c r="X931" t="inlineStr">
        <is>
          <t>aafc-aac</t>
        </is>
      </c>
      <c r="Y931" t="inlineStr">
        <is>
          <t>Agriculture and Agri-Food Canada | Agriculture et Agroalimentaire Canada</t>
        </is>
      </c>
    </row>
    <row r="932">
      <c r="A932" t="inlineStr">
        <is>
          <t>T-2017-Q4-00020</t>
        </is>
      </c>
      <c r="B932" t="inlineStr">
        <is>
          <t>SLE</t>
        </is>
      </c>
      <c r="C932" t="inlineStr">
        <is>
          <t>Assistant Deputy Minister, Programs Branch</t>
        </is>
      </c>
      <c r="D932" t="inlineStr">
        <is>
          <t xml:space="preserve">Sous-ministre adjointe, Direction Générale des Programmes </t>
        </is>
      </c>
      <c r="E932" t="inlineStr">
        <is>
          <t>Jane Taylor</t>
        </is>
      </c>
      <c r="F932" t="inlineStr">
        <is>
          <t xml:space="preserve">Requested to attend Canada's Best Diversity Employer Event to receive the award on behalf of the department. </t>
        </is>
      </c>
      <c r="G932" t="inlineStr">
        <is>
          <t xml:space="preserve">Demandé d`assister l'évènement des meilleurs employeurs en matière de diversité au Canada pour recevoir le prix au nom du ministère. </t>
        </is>
      </c>
      <c r="H932" s="1" t="n">
        <v>42795</v>
      </c>
      <c r="I932" s="1" t="n">
        <v>42796</v>
      </c>
      <c r="J932" t="inlineStr">
        <is>
          <t>Toronto, Ontario</t>
        </is>
      </c>
      <c r="K932" t="inlineStr">
        <is>
          <t xml:space="preserve">Toronto, Ontario </t>
        </is>
      </c>
      <c r="Q932" t="n">
        <v>739.77</v>
      </c>
      <c r="R932" t="n">
        <v>300.46</v>
      </c>
      <c r="S932" t="n">
        <v>148.4</v>
      </c>
      <c r="U932" t="n">
        <v>1188.63</v>
      </c>
      <c r="V932" t="inlineStr">
        <is>
          <t>AJC176949</t>
        </is>
      </c>
      <c r="X932" t="inlineStr">
        <is>
          <t>aafc-aac</t>
        </is>
      </c>
      <c r="Y932" t="inlineStr">
        <is>
          <t>Agriculture and Agri-Food Canada | Agriculture et Agroalimentaire Canada</t>
        </is>
      </c>
    </row>
    <row r="933">
      <c r="A933" t="inlineStr">
        <is>
          <t>T-2017-Q4-00022</t>
        </is>
      </c>
      <c r="B933" t="inlineStr">
        <is>
          <t>SLE</t>
        </is>
      </c>
      <c r="C933" t="inlineStr">
        <is>
          <t>Chief Information Officer</t>
        </is>
      </c>
      <c r="D933" t="inlineStr">
        <is>
          <t>Dirigeant principal de l'information</t>
        </is>
      </c>
      <c r="E933" t="inlineStr">
        <is>
          <t>Michel Lessard</t>
        </is>
      </c>
      <c r="F933" t="inlineStr">
        <is>
          <t>Chief Information Strategy Council Meeting</t>
        </is>
      </c>
      <c r="G933" t="inlineStr">
        <is>
          <t>Réunion des stratégies des dirigeants principaux de l'information</t>
        </is>
      </c>
      <c r="H933" s="1" t="n">
        <v>43074</v>
      </c>
      <c r="I933" s="1" t="n">
        <v>43074</v>
      </c>
      <c r="J933" t="inlineStr">
        <is>
          <t>Toronto, Ontario</t>
        </is>
      </c>
      <c r="K933" t="inlineStr">
        <is>
          <t>Toronto, Ontario</t>
        </is>
      </c>
      <c r="P933" t="n">
        <v>373.01</v>
      </c>
      <c r="Q933" t="n">
        <v>123</v>
      </c>
      <c r="U933" t="n">
        <v>496.01</v>
      </c>
      <c r="V933" t="inlineStr">
        <is>
          <t>AJE473360</t>
        </is>
      </c>
      <c r="X933" t="inlineStr">
        <is>
          <t>aafc-aac</t>
        </is>
      </c>
      <c r="Y933" t="inlineStr">
        <is>
          <t>Agriculture and Agri-Food Canada | Agriculture et Agroalimentaire Canada</t>
        </is>
      </c>
    </row>
    <row r="934">
      <c r="A934" t="inlineStr">
        <is>
          <t>T-2017-Q4-00023</t>
        </is>
      </c>
      <c r="B934" t="inlineStr">
        <is>
          <t>SLE</t>
        </is>
      </c>
      <c r="C934" t="inlineStr">
        <is>
          <t>Chief Information Officer</t>
        </is>
      </c>
      <c r="D934" t="inlineStr">
        <is>
          <t>Dirigeant principal de l'information</t>
        </is>
      </c>
      <c r="E934" t="inlineStr">
        <is>
          <t>Michel Lessard</t>
        </is>
      </c>
      <c r="F934" t="inlineStr">
        <is>
          <t>Chief Information visit to Moncton and Charlottetown</t>
        </is>
      </c>
      <c r="G934" t="inlineStr">
        <is>
          <t>Visite à Moncton et Charlottetown du dirigeant principal de l'information</t>
        </is>
      </c>
      <c r="H934" s="1" t="n">
        <v>43080</v>
      </c>
      <c r="I934" s="1" t="n">
        <v>43082</v>
      </c>
      <c r="J934" t="inlineStr">
        <is>
          <t>Moncton, New Brunswick, Charlottetown, Prince Edward Island</t>
        </is>
      </c>
      <c r="K934" t="inlineStr">
        <is>
          <t>Moncton, Nouveau-Brunswick, Charlottetown, Île-du-Prince-Édouard</t>
        </is>
      </c>
      <c r="P934" t="n">
        <v>654</v>
      </c>
      <c r="Q934" t="n">
        <v>74</v>
      </c>
      <c r="R934" t="n">
        <v>272.33</v>
      </c>
      <c r="S934" t="n">
        <v>241.5</v>
      </c>
      <c r="U934" t="n">
        <v>1241.83</v>
      </c>
      <c r="V934" t="inlineStr">
        <is>
          <t>AJE461593</t>
        </is>
      </c>
      <c r="X934" t="inlineStr">
        <is>
          <t>aafc-aac</t>
        </is>
      </c>
      <c r="Y934" t="inlineStr">
        <is>
          <t>Agriculture and Agri-Food Canada | Agriculture et Agroalimentaire Canada</t>
        </is>
      </c>
    </row>
    <row r="935">
      <c r="A935" t="inlineStr">
        <is>
          <t>T-2017-Q4-00024</t>
        </is>
      </c>
      <c r="B935" t="inlineStr">
        <is>
          <t>SLE</t>
        </is>
      </c>
      <c r="C935" t="inlineStr">
        <is>
          <t>Chief Information Officer</t>
        </is>
      </c>
      <c r="D935" t="inlineStr">
        <is>
          <t>Dirigeant principal de l'information</t>
        </is>
      </c>
      <c r="E935" t="inlineStr">
        <is>
          <t>Michel Lessard</t>
        </is>
      </c>
      <c r="F935" t="inlineStr">
        <is>
          <t>Chief Information Officers Council</t>
        </is>
      </c>
      <c r="G935" t="inlineStr">
        <is>
          <t>Conseil des dirigeants principaux de l'information</t>
        </is>
      </c>
      <c r="H935" s="1" t="n">
        <v>43134</v>
      </c>
      <c r="I935" s="1" t="n">
        <v>43142</v>
      </c>
      <c r="J935" t="inlineStr">
        <is>
          <t>Palo Alto, California</t>
        </is>
      </c>
      <c r="K935" t="inlineStr">
        <is>
          <t>Palo Alto, Californie</t>
        </is>
      </c>
      <c r="P935" t="n">
        <v>743</v>
      </c>
      <c r="Q935" t="n">
        <v>151.29</v>
      </c>
      <c r="R935" t="n">
        <v>1307.77</v>
      </c>
      <c r="S935" t="n">
        <v>312.01</v>
      </c>
      <c r="U935" t="n">
        <v>2514.07</v>
      </c>
      <c r="V935" t="inlineStr">
        <is>
          <t>AJE489764</t>
        </is>
      </c>
      <c r="X935" t="inlineStr">
        <is>
          <t>aafc-aac</t>
        </is>
      </c>
      <c r="Y935" t="inlineStr">
        <is>
          <t>Agriculture and Agri-Food Canada | Agriculture et Agroalimentaire Canada</t>
        </is>
      </c>
    </row>
    <row r="936">
      <c r="A936" t="inlineStr">
        <is>
          <t>T-2017-Q4-00026</t>
        </is>
      </c>
      <c r="B936" t="inlineStr">
        <is>
          <t>SLE</t>
        </is>
      </c>
      <c r="C936" t="inlineStr">
        <is>
          <t>Assistant deputy minister, Corporate Management Branch</t>
        </is>
      </c>
      <c r="D936" t="inlineStr">
        <is>
          <t>Sous-ministre adjoint, Direction Générale de la gestion intégrée</t>
        </is>
      </c>
      <c r="E936" t="inlineStr">
        <is>
          <t>Pierre Corriveau</t>
        </is>
      </c>
      <c r="F936" t="inlineStr">
        <is>
          <t>Managers Community Meeting</t>
        </is>
      </c>
      <c r="G936" t="inlineStr">
        <is>
          <t>Réunion du comité de la communauté des gestionnaires</t>
        </is>
      </c>
      <c r="H936" s="1" t="n">
        <v>43146</v>
      </c>
      <c r="I936" s="1" t="n">
        <v>43147</v>
      </c>
      <c r="J936" t="inlineStr">
        <is>
          <t>Montreal, Quebec</t>
        </is>
      </c>
      <c r="K936" t="inlineStr">
        <is>
          <t>Montréal, Québec</t>
        </is>
      </c>
      <c r="Q936" t="n">
        <v>170.68</v>
      </c>
      <c r="R936" t="n">
        <v>168.98</v>
      </c>
      <c r="S936" t="n">
        <v>148.2</v>
      </c>
      <c r="U936" t="n">
        <v>487.86</v>
      </c>
      <c r="V936" t="inlineStr">
        <is>
          <t>AJD321773</t>
        </is>
      </c>
      <c r="X936" t="inlineStr">
        <is>
          <t>aafc-aac</t>
        </is>
      </c>
      <c r="Y936" t="inlineStr">
        <is>
          <t>Agriculture and Agri-Food Canada | Agriculture et Agroalimentaire Canada</t>
        </is>
      </c>
    </row>
    <row r="937">
      <c r="A937" t="inlineStr">
        <is>
          <t>T-2017-Q4-00028</t>
        </is>
      </c>
      <c r="B937" t="inlineStr">
        <is>
          <t>SLE</t>
        </is>
      </c>
      <c r="C937" t="inlineStr">
        <is>
          <t>Assistant Deputy Minister, Strategic Policy Branch</t>
        </is>
      </c>
      <c r="D937" t="inlineStr">
        <is>
          <t>Sous-ministre adjoint - Direction générale des politiques stratégiques</t>
        </is>
      </c>
      <c r="E937" t="inlineStr">
        <is>
          <t>Tom Rosser</t>
        </is>
      </c>
      <c r="F937" t="inlineStr">
        <is>
          <t>To attend a meeting of the Conference Board of Canada.</t>
        </is>
      </c>
      <c r="G937" t="inlineStr">
        <is>
          <t>Participer à une réunion de Le Conference Board du Canada.</t>
        </is>
      </c>
      <c r="H937" s="1" t="n">
        <v>43073</v>
      </c>
      <c r="I937" s="1" t="n">
        <v>43076</v>
      </c>
      <c r="J937" t="inlineStr">
        <is>
          <t>Calgary, Alberta</t>
        </is>
      </c>
      <c r="K937" t="inlineStr">
        <is>
          <t>Calgary, Alberta</t>
        </is>
      </c>
      <c r="P937" t="n">
        <v>1297.83</v>
      </c>
      <c r="Q937" t="n">
        <v>172</v>
      </c>
      <c r="R937" t="n">
        <v>334.56</v>
      </c>
      <c r="S937" t="n">
        <v>268.35</v>
      </c>
      <c r="U937" t="n">
        <v>2072.74</v>
      </c>
      <c r="V937" t="inlineStr">
        <is>
          <t>AJE616464</t>
        </is>
      </c>
      <c r="X937" t="inlineStr">
        <is>
          <t>aafc-aac</t>
        </is>
      </c>
      <c r="Y937" t="inlineStr">
        <is>
          <t>Agriculture and Agri-Food Canada | Agriculture et Agroalimentaire Canada</t>
        </is>
      </c>
    </row>
    <row r="938">
      <c r="A938" t="inlineStr">
        <is>
          <t>T-2017-Q4-00029</t>
        </is>
      </c>
      <c r="B938" t="inlineStr">
        <is>
          <t>SLE</t>
        </is>
      </c>
      <c r="C938" t="inlineStr">
        <is>
          <t>Assistant Deputy Minister, Strategic Policy Branch</t>
        </is>
      </c>
      <c r="D938" t="inlineStr">
        <is>
          <t>Sous-ministre adjoint - Direction générale des politiques stratégiques</t>
        </is>
      </c>
      <c r="E938" t="inlineStr">
        <is>
          <t>Tom Rosser</t>
        </is>
      </c>
      <c r="F938" t="inlineStr">
        <is>
          <t>To attend a conference of The Institute of Public Administration of Canada.</t>
        </is>
      </c>
      <c r="G938" t="inlineStr">
        <is>
          <t>Participer à une conférence de L'Institut d'administration publique du Canada.</t>
        </is>
      </c>
      <c r="H938" s="1" t="n">
        <v>43135</v>
      </c>
      <c r="I938" s="1" t="n">
        <v>43136</v>
      </c>
      <c r="J938" t="inlineStr">
        <is>
          <t>Toronto, Ontario</t>
        </is>
      </c>
      <c r="K938" t="inlineStr">
        <is>
          <t>Toronto, Ontario</t>
        </is>
      </c>
      <c r="P938" t="n">
        <v>621.22</v>
      </c>
      <c r="Q938" t="n">
        <v>169.35</v>
      </c>
      <c r="R938" t="n">
        <v>156.6</v>
      </c>
      <c r="S938" t="n">
        <v>148.4</v>
      </c>
      <c r="U938" t="n">
        <v>1095.57</v>
      </c>
      <c r="V938" t="inlineStr">
        <is>
          <t>AJE615794</t>
        </is>
      </c>
      <c r="X938" t="inlineStr">
        <is>
          <t>aafc-aac</t>
        </is>
      </c>
      <c r="Y938" t="inlineStr">
        <is>
          <t>Agriculture and Agri-Food Canada | Agriculture et Agroalimentaire Canada</t>
        </is>
      </c>
    </row>
    <row r="939">
      <c r="A939" t="inlineStr">
        <is>
          <t>T-2017-Q4-00030</t>
        </is>
      </c>
      <c r="B939" t="inlineStr">
        <is>
          <t>SLE</t>
        </is>
      </c>
      <c r="C939" t="inlineStr">
        <is>
          <t>Assistant Deputy Minister, Strategic Policy Branch</t>
        </is>
      </c>
      <c r="D939" t="inlineStr">
        <is>
          <t>Sous-ministre adjoint - Direction générale des politiques stratégiques</t>
        </is>
      </c>
      <c r="E939" t="inlineStr">
        <is>
          <t>Tom Rosser</t>
        </is>
      </c>
      <c r="F939" t="inlineStr">
        <is>
          <t>To attend a meeting of the Crop Logistics Working Group.</t>
        </is>
      </c>
      <c r="G939" t="inlineStr">
        <is>
          <t>Participer à une réunion du Groupe de travail sur la logistique du transport des récoltes.</t>
        </is>
      </c>
      <c r="H939" s="1" t="n">
        <v>43137</v>
      </c>
      <c r="I939" s="1" t="n">
        <v>43139</v>
      </c>
      <c r="J939" t="inlineStr">
        <is>
          <t>Winnipeg, Manitoba</t>
        </is>
      </c>
      <c r="K939" t="inlineStr">
        <is>
          <t>Winnipeg, Manitoba</t>
        </is>
      </c>
      <c r="P939" t="n">
        <v>860.13</v>
      </c>
      <c r="Q939" t="n">
        <v>105</v>
      </c>
      <c r="R939" t="n">
        <v>137.93</v>
      </c>
      <c r="S939" t="n">
        <v>165.7</v>
      </c>
      <c r="U939" t="n">
        <v>1268.76</v>
      </c>
      <c r="V939" t="inlineStr">
        <is>
          <t>AJE606609</t>
        </is>
      </c>
      <c r="X939" t="inlineStr">
        <is>
          <t>aafc-aac</t>
        </is>
      </c>
      <c r="Y939" t="inlineStr">
        <is>
          <t>Agriculture and Agri-Food Canada | Agriculture et Agroalimentaire Canada</t>
        </is>
      </c>
    </row>
    <row r="940">
      <c r="A940" t="inlineStr">
        <is>
          <t>T-2017-Q4-00031</t>
        </is>
      </c>
      <c r="B940" t="inlineStr">
        <is>
          <t>SLE</t>
        </is>
      </c>
      <c r="C940" t="inlineStr">
        <is>
          <t>Assistant Deputy Minister, Strategic Policy Branch</t>
        </is>
      </c>
      <c r="D940" t="inlineStr">
        <is>
          <t>Sous-ministre adjoint - Direction générale des politiques stratégiques</t>
        </is>
      </c>
      <c r="E940" t="inlineStr">
        <is>
          <t>Tom Rosser</t>
        </is>
      </c>
      <c r="F940" t="inlineStr">
        <is>
          <t>To attend a meeting of Federal, Provincial and Territorial Deputy Ministers as well as attending a Regional meeting.</t>
        </is>
      </c>
      <c r="G940" t="inlineStr">
        <is>
          <t>Participer à une rencontre fédérale, provinciale et territoriale des sous-ministres et aussi participer à une réunion régionale.</t>
        </is>
      </c>
      <c r="H940" s="1" t="n">
        <v>43152</v>
      </c>
      <c r="I940" s="1" t="n">
        <v>43154</v>
      </c>
      <c r="J940" t="inlineStr">
        <is>
          <t>Toronto, Ontario, London, Ontario</t>
        </is>
      </c>
      <c r="K940" t="inlineStr">
        <is>
          <t>Toronto, Ontario, London, Ontario</t>
        </is>
      </c>
      <c r="P940" t="n">
        <v>950.4299999999999</v>
      </c>
      <c r="Q940" t="n">
        <v>145</v>
      </c>
      <c r="R940" t="n">
        <v>308.49</v>
      </c>
      <c r="S940" t="n">
        <v>269.95</v>
      </c>
      <c r="U940" t="n">
        <v>1673.87</v>
      </c>
      <c r="V940" t="inlineStr">
        <is>
          <t>AJE603604</t>
        </is>
      </c>
      <c r="X940" t="inlineStr">
        <is>
          <t>aafc-aac</t>
        </is>
      </c>
      <c r="Y940" t="inlineStr">
        <is>
          <t>Agriculture and Agri-Food Canada | Agriculture et Agroalimentaire Canada</t>
        </is>
      </c>
    </row>
    <row r="941">
      <c r="A941" t="inlineStr">
        <is>
          <t>T-2017-Q4-00033</t>
        </is>
      </c>
      <c r="B941" t="inlineStr">
        <is>
          <t>SLE</t>
        </is>
      </c>
      <c r="C941" t="inlineStr">
        <is>
          <t>Deputy Minister</t>
        </is>
      </c>
      <c r="D941" t="inlineStr">
        <is>
          <t>Sous-Ministre</t>
        </is>
      </c>
      <c r="E941" t="inlineStr">
        <is>
          <t>Chris Forbes</t>
        </is>
      </c>
      <c r="F941" t="inlineStr">
        <is>
          <t>Economic Strategy Table</t>
        </is>
      </c>
      <c r="G941" t="inlineStr">
        <is>
          <t>Table de Stratégie Economique</t>
        </is>
      </c>
      <c r="H941" s="1" t="n">
        <v>43080</v>
      </c>
      <c r="I941" s="1" t="n">
        <v>43081</v>
      </c>
      <c r="J941" t="inlineStr">
        <is>
          <t>Toronto, Ontario</t>
        </is>
      </c>
      <c r="K941" t="inlineStr">
        <is>
          <t>Toronto, Ontario</t>
        </is>
      </c>
      <c r="P941" t="n">
        <v>641.52</v>
      </c>
      <c r="R941" t="n">
        <v>265.65</v>
      </c>
      <c r="S941" t="n">
        <v>83.75</v>
      </c>
      <c r="U941" t="n">
        <v>990.92</v>
      </c>
      <c r="V941" t="inlineStr">
        <is>
          <t>AJG888875</t>
        </is>
      </c>
      <c r="X941" t="inlineStr">
        <is>
          <t>aafc-aac</t>
        </is>
      </c>
      <c r="Y941" t="inlineStr">
        <is>
          <t>Agriculture and Agri-Food Canada | Agriculture et Agroalimentaire Canada</t>
        </is>
      </c>
    </row>
    <row r="942">
      <c r="A942" t="inlineStr">
        <is>
          <t>T-2017-Q4-00034</t>
        </is>
      </c>
      <c r="B942" t="inlineStr">
        <is>
          <t>SLE</t>
        </is>
      </c>
      <c r="C942" t="inlineStr">
        <is>
          <t>Deputy Minister</t>
        </is>
      </c>
      <c r="D942" t="inlineStr">
        <is>
          <t>Sous-Ministre</t>
        </is>
      </c>
      <c r="E942" t="inlineStr">
        <is>
          <t>Chris Forbes</t>
        </is>
      </c>
      <c r="F942" t="inlineStr">
        <is>
          <t>Federal, provincial and territorial call in Prince Edward Island and Nova Scotia Outreach</t>
        </is>
      </c>
      <c r="G942" t="inlineStr">
        <is>
          <t>Appel fédéral, provincial et territorial à l'Île-du-Prince-Édouard et visite de sensibilisation en Nouvelle-Écosse</t>
        </is>
      </c>
      <c r="H942" s="1" t="n">
        <v>43108</v>
      </c>
      <c r="I942" s="1" t="n">
        <v>43110</v>
      </c>
      <c r="J942" t="inlineStr">
        <is>
          <t>Charlottetown, Prince Edward Island and Halifax, Nova Scotia</t>
        </is>
      </c>
      <c r="K942" t="inlineStr">
        <is>
          <t>Charlottetown, Île-du-Prince-Édouard et Halifax, Nouvelle-Écosse</t>
        </is>
      </c>
      <c r="P942" t="n">
        <v>1145.89</v>
      </c>
      <c r="Q942" t="n">
        <v>132.88</v>
      </c>
      <c r="R942" t="n">
        <v>315.97</v>
      </c>
      <c r="S942" t="n">
        <v>198.95</v>
      </c>
      <c r="U942" t="n">
        <v>1793.69</v>
      </c>
      <c r="V942" t="inlineStr">
        <is>
          <t>AJG857747</t>
        </is>
      </c>
      <c r="X942" t="inlineStr">
        <is>
          <t>aafc-aac</t>
        </is>
      </c>
      <c r="Y942" t="inlineStr">
        <is>
          <t>Agriculture and Agri-Food Canada | Agriculture et Agroalimentaire Canada</t>
        </is>
      </c>
    </row>
    <row r="943">
      <c r="A943" t="inlineStr">
        <is>
          <t>T-2017-Q4-00035</t>
        </is>
      </c>
      <c r="B943" t="inlineStr">
        <is>
          <t>SLE</t>
        </is>
      </c>
      <c r="C943" t="inlineStr">
        <is>
          <t>Deputy Minister</t>
        </is>
      </c>
      <c r="D943" t="inlineStr">
        <is>
          <t>Sous-Ministre</t>
        </is>
      </c>
      <c r="E943" t="inlineStr">
        <is>
          <t>Chris Forbes</t>
        </is>
      </c>
      <c r="F943" t="inlineStr">
        <is>
          <t>Agri-Food Economic Strategy Table Meeting</t>
        </is>
      </c>
      <c r="G943" t="inlineStr">
        <is>
          <t>Réunion, Tables sectorielles de stratégies économiques - Table sur l'agroalimentaire</t>
        </is>
      </c>
      <c r="H943" s="1" t="n">
        <v>43117</v>
      </c>
      <c r="I943" s="1" t="n">
        <v>43118</v>
      </c>
      <c r="J943" t="inlineStr">
        <is>
          <t>Toronto, Ontario</t>
        </is>
      </c>
      <c r="K943" t="inlineStr">
        <is>
          <t>Toronto, Ontario</t>
        </is>
      </c>
      <c r="P943" t="n">
        <v>379.74</v>
      </c>
      <c r="Q943" t="n">
        <v>35.06</v>
      </c>
      <c r="R943" t="n">
        <v>196.62</v>
      </c>
      <c r="S943" t="n">
        <v>81.95</v>
      </c>
      <c r="U943" t="n">
        <v>693.37</v>
      </c>
      <c r="V943" t="inlineStr">
        <is>
          <t>AJG831732</t>
        </is>
      </c>
      <c r="X943" t="inlineStr">
        <is>
          <t>aafc-aac</t>
        </is>
      </c>
      <c r="Y943" t="inlineStr">
        <is>
          <t>Agriculture and Agri-Food Canada | Agriculture et Agroalimentaire Canada</t>
        </is>
      </c>
    </row>
    <row r="944">
      <c r="A944" t="inlineStr">
        <is>
          <t>T-2017-Q4-00036</t>
        </is>
      </c>
      <c r="B944" t="inlineStr">
        <is>
          <t>SLE</t>
        </is>
      </c>
      <c r="C944" t="inlineStr">
        <is>
          <t>Deputy Minister</t>
        </is>
      </c>
      <c r="D944" t="inlineStr">
        <is>
          <t>Sous-Ministre</t>
        </is>
      </c>
      <c r="E944" t="inlineStr">
        <is>
          <t>Chris Forbes</t>
        </is>
      </c>
      <c r="F944" t="inlineStr">
        <is>
          <t>Deputy Minister Outreach to Winnipeg and Brandon</t>
        </is>
      </c>
      <c r="G944" t="inlineStr">
        <is>
          <t>Visite de sensibilisation du Sous-Ministre à Winnipeg et Brandon</t>
        </is>
      </c>
      <c r="H944" s="1" t="n">
        <v>43144</v>
      </c>
      <c r="I944" s="1" t="n">
        <v>43147</v>
      </c>
      <c r="J944" t="inlineStr">
        <is>
          <t>Winnipeg, Manitoba</t>
        </is>
      </c>
      <c r="K944" t="inlineStr">
        <is>
          <t>Winnipeg, Manitoba</t>
        </is>
      </c>
      <c r="P944" t="n">
        <v>528.25</v>
      </c>
      <c r="Q944" t="n">
        <v>35.06</v>
      </c>
      <c r="R944" t="n">
        <v>337.99</v>
      </c>
      <c r="S944" t="n">
        <v>252.65</v>
      </c>
      <c r="U944" t="n">
        <v>1153.95</v>
      </c>
      <c r="V944" t="inlineStr">
        <is>
          <t>AJG866980</t>
        </is>
      </c>
      <c r="X944" t="inlineStr">
        <is>
          <t>aafc-aac</t>
        </is>
      </c>
      <c r="Y944" t="inlineStr">
        <is>
          <t>Agriculture and Agri-Food Canada | Agriculture et Agroalimentaire Canada</t>
        </is>
      </c>
    </row>
    <row r="945">
      <c r="A945" t="inlineStr">
        <is>
          <t>T-2018-Q2-00003</t>
        </is>
      </c>
      <c r="B945" t="inlineStr">
        <is>
          <t>MPSES</t>
        </is>
      </c>
      <c r="C945" t="inlineStr">
        <is>
          <t>Minister</t>
        </is>
      </c>
      <c r="D945" t="inlineStr">
        <is>
          <t>Ministre</t>
        </is>
      </c>
      <c r="E945" t="inlineStr">
        <is>
          <t>Lawrence MacAulay</t>
        </is>
      </c>
      <c r="F945" t="inlineStr">
        <is>
          <t>Western Outreach: Calgary Stampede and Federal Provincial Territorial Conference</t>
        </is>
      </c>
      <c r="G945" t="inlineStr">
        <is>
          <t>Sensibilisation à l’Ouest: Calgary Stampede et Conférence fédérale provinciale et territoriale</t>
        </is>
      </c>
      <c r="H945" s="1" t="n">
        <v>43291</v>
      </c>
      <c r="I945" s="1" t="n">
        <v>43301</v>
      </c>
      <c r="J945" t="inlineStr">
        <is>
          <t xml:space="preserve">Calgary Alberta, Saskatoon Saskatchewan, Victoria British Columbia, Vancouver British Columbia, </t>
        </is>
      </c>
      <c r="K945" t="inlineStr">
        <is>
          <t>Calgary Alberta, Saskatoon Saskatchewan, Victoria Colombie-Britannique, Vancouver Colombie-Britannique,</t>
        </is>
      </c>
      <c r="P945" t="n">
        <v>2508.36</v>
      </c>
      <c r="Q945" t="n">
        <v>0</v>
      </c>
      <c r="R945" t="n">
        <v>3870.19</v>
      </c>
      <c r="S945" t="n">
        <v>894.2</v>
      </c>
      <c r="T945" t="n">
        <v>375</v>
      </c>
      <c r="U945" t="n">
        <v>7647.75</v>
      </c>
      <c r="V945" t="inlineStr">
        <is>
          <t>Other expenses: Federal Provincial Territorial Conference fees</t>
        </is>
      </c>
      <c r="W945" t="inlineStr">
        <is>
          <t>Autres dépenses: frais de la conférence fédérale provinciale et territoriale</t>
        </is>
      </c>
      <c r="X945" t="inlineStr">
        <is>
          <t>aafc-aac</t>
        </is>
      </c>
      <c r="Y945" t="inlineStr">
        <is>
          <t>Agriculture and Agri-Food Canada | Agriculture et Agroalimentaire Canada</t>
        </is>
      </c>
    </row>
    <row r="946">
      <c r="A946" t="inlineStr">
        <is>
          <t>T-2017-Q4-00041</t>
        </is>
      </c>
      <c r="B946" t="inlineStr">
        <is>
          <t>MPSES</t>
        </is>
      </c>
      <c r="C946" t="inlineStr">
        <is>
          <t>Director of Communications</t>
        </is>
      </c>
      <c r="D946" t="inlineStr">
        <is>
          <t>Directeur des communications</t>
        </is>
      </c>
      <c r="E946" t="inlineStr">
        <is>
          <t>Guy Gallant</t>
        </is>
      </c>
      <c r="F946" t="inlineStr">
        <is>
          <t>To support the Minister for Government announcements and the Atlantic Growth Strategy</t>
        </is>
      </c>
      <c r="G946" t="inlineStr">
        <is>
          <t>Soutenir les annonces du ministre des Gouvernements et de la Stratégie de croissance de l'Atlantique</t>
        </is>
      </c>
      <c r="H946" s="1" t="n">
        <v>43118</v>
      </c>
      <c r="I946" s="1" t="n">
        <v>43126</v>
      </c>
      <c r="J946" t="inlineStr">
        <is>
          <t>Halifax, Nova Scotia</t>
        </is>
      </c>
      <c r="K946" t="inlineStr">
        <is>
          <t>Halifax,  Nouvelle-Écosse</t>
        </is>
      </c>
      <c r="P946" t="n">
        <v>975.1900000000001</v>
      </c>
      <c r="Q946" t="n">
        <v>690.2</v>
      </c>
      <c r="R946" t="n">
        <v>655.92</v>
      </c>
      <c r="S946" t="n">
        <v>513.25</v>
      </c>
      <c r="U946" t="n">
        <v>2834.56</v>
      </c>
      <c r="V946" t="n">
        <v>1900114886</v>
      </c>
      <c r="X946" t="inlineStr">
        <is>
          <t>aafc-aac</t>
        </is>
      </c>
      <c r="Y946" t="inlineStr">
        <is>
          <t>Agriculture and Agri-Food Canada | Agriculture et Agroalimentaire Canada</t>
        </is>
      </c>
    </row>
    <row r="947">
      <c r="A947" t="inlineStr">
        <is>
          <t>T-2017-Q4-00042</t>
        </is>
      </c>
      <c r="B947" t="inlineStr">
        <is>
          <t>MPSES</t>
        </is>
      </c>
      <c r="C947" t="inlineStr">
        <is>
          <t>Director of Communications</t>
        </is>
      </c>
      <c r="D947" t="inlineStr">
        <is>
          <t>Directeur des communications</t>
        </is>
      </c>
      <c r="E947" t="inlineStr">
        <is>
          <t>Guy Gallant</t>
        </is>
      </c>
      <c r="F947" t="inlineStr">
        <is>
          <t>To support the Minister at the Atlantic Growth Strategy Leadership Committee Meeting in Moncton and the Ministerial Mission in Sacramento, California</t>
        </is>
      </c>
      <c r="G947" t="inlineStr">
        <is>
          <t>Soutenir le ministre à la réunion du Comité de direction de la Stratégie de croissance de l'Atlantique à Moncton et à la mission ministérielle à Sacramento, en Californie</t>
        </is>
      </c>
      <c r="H947" s="1" t="n">
        <v>43150</v>
      </c>
      <c r="I947" s="1" t="n">
        <v>43153</v>
      </c>
      <c r="J947" t="inlineStr">
        <is>
          <t>Sacramento, California</t>
        </is>
      </c>
      <c r="K947" t="inlineStr">
        <is>
          <t>Sacramento, Californie</t>
        </is>
      </c>
      <c r="P947" t="n">
        <v>1339.1</v>
      </c>
      <c r="R947" t="n">
        <v>810.96</v>
      </c>
      <c r="S947" t="n">
        <v>458.91</v>
      </c>
      <c r="U947" t="n">
        <v>2608.97</v>
      </c>
      <c r="V947" t="n">
        <v>1900116898</v>
      </c>
      <c r="X947" t="inlineStr">
        <is>
          <t>aafc-aac</t>
        </is>
      </c>
      <c r="Y947" t="inlineStr">
        <is>
          <t>Agriculture and Agri-Food Canada | Agriculture et Agroalimentaire Canada</t>
        </is>
      </c>
    </row>
    <row r="948">
      <c r="A948" t="inlineStr">
        <is>
          <t>T-2017-Q4-00044</t>
        </is>
      </c>
      <c r="B948" t="inlineStr">
        <is>
          <t>MPSES</t>
        </is>
      </c>
      <c r="C948" t="inlineStr">
        <is>
          <t>Minister</t>
        </is>
      </c>
      <c r="D948" t="inlineStr">
        <is>
          <t>Ministre</t>
        </is>
      </c>
      <c r="E948" t="inlineStr">
        <is>
          <t>Lawrence MacAulay</t>
        </is>
      </c>
      <c r="F948" t="inlineStr">
        <is>
          <t>To attend the Alimentaria Food Show in Mexico City</t>
        </is>
      </c>
      <c r="G948" t="inlineStr">
        <is>
          <t>Participer au Alimentaria Food Show à Mexico</t>
        </is>
      </c>
      <c r="H948" s="1" t="n">
        <v>43075</v>
      </c>
      <c r="I948" s="1" t="n">
        <v>43078</v>
      </c>
      <c r="J948" t="inlineStr">
        <is>
          <t>Mexico City, Mexico</t>
        </is>
      </c>
      <c r="K948" t="inlineStr">
        <is>
          <t>Mexico, Mexique</t>
        </is>
      </c>
      <c r="P948" t="n">
        <v>2231.2</v>
      </c>
      <c r="R948" t="n">
        <v>812.17</v>
      </c>
      <c r="S948" t="n">
        <v>432.5</v>
      </c>
      <c r="U948" t="n">
        <v>3475.87</v>
      </c>
      <c r="V948" t="n">
        <v>1900102945</v>
      </c>
      <c r="X948" t="inlineStr">
        <is>
          <t>aafc-aac</t>
        </is>
      </c>
      <c r="Y948" t="inlineStr">
        <is>
          <t>Agriculture and Agri-Food Canada | Agriculture et Agroalimentaire Canada</t>
        </is>
      </c>
    </row>
    <row r="949">
      <c r="A949" t="inlineStr">
        <is>
          <t>T-2017-Q4-00045</t>
        </is>
      </c>
      <c r="B949" t="inlineStr">
        <is>
          <t>MPSES</t>
        </is>
      </c>
      <c r="C949" t="inlineStr">
        <is>
          <t>Minister</t>
        </is>
      </c>
      <c r="D949" t="inlineStr">
        <is>
          <t>Ministre</t>
        </is>
      </c>
      <c r="E949" t="inlineStr">
        <is>
          <t>Lawrence MacAulay</t>
        </is>
      </c>
      <c r="F949" t="inlineStr">
        <is>
          <t>To attend the American Farm Bureau Federal Annual Convention in Nashville, Tennessee</t>
        </is>
      </c>
      <c r="G949" t="inlineStr">
        <is>
          <t>Assister à la convention annuelle fédérale de l'American Farm Bureau à Nashville, Tennessee</t>
        </is>
      </c>
      <c r="H949" s="1" t="n">
        <v>43103</v>
      </c>
      <c r="I949" s="1" t="n">
        <v>43108</v>
      </c>
      <c r="J949" t="inlineStr">
        <is>
          <t>Nashville, Tennessee</t>
        </is>
      </c>
      <c r="K949" t="inlineStr">
        <is>
          <t>Nashville, Tennessee</t>
        </is>
      </c>
      <c r="P949" t="n">
        <v>3117.85</v>
      </c>
      <c r="Q949" t="n">
        <v>47</v>
      </c>
      <c r="R949" t="n">
        <v>1261.58</v>
      </c>
      <c r="S949" t="n">
        <v>485.3</v>
      </c>
      <c r="U949" t="n">
        <v>4911.73</v>
      </c>
      <c r="V949" t="n">
        <v>1900114885</v>
      </c>
      <c r="X949" t="inlineStr">
        <is>
          <t>aafc-aac</t>
        </is>
      </c>
      <c r="Y949" t="inlineStr">
        <is>
          <t>Agriculture and Agri-Food Canada | Agriculture et Agroalimentaire Canada</t>
        </is>
      </c>
    </row>
    <row r="950">
      <c r="A950" t="inlineStr">
        <is>
          <t>T-2017-Q4-00046</t>
        </is>
      </c>
      <c r="B950" t="inlineStr">
        <is>
          <t>MPSES</t>
        </is>
      </c>
      <c r="C950" t="inlineStr">
        <is>
          <t>Minister</t>
        </is>
      </c>
      <c r="D950" t="inlineStr">
        <is>
          <t>Ministre</t>
        </is>
      </c>
      <c r="E950" t="inlineStr">
        <is>
          <t>Lawrence MacAulay</t>
        </is>
      </c>
      <c r="F950" t="inlineStr">
        <is>
          <t>To attend the Cabinet Retreat in London, Ontario</t>
        </is>
      </c>
      <c r="G950" t="inlineStr">
        <is>
          <t>Pour assister à la retraite du Cabinet à London, Ontario</t>
        </is>
      </c>
      <c r="H950" s="1" t="n">
        <v>43109</v>
      </c>
      <c r="I950" s="1" t="n">
        <v>43112</v>
      </c>
      <c r="J950" t="inlineStr">
        <is>
          <t>London, Ontario</t>
        </is>
      </c>
      <c r="K950" t="inlineStr">
        <is>
          <t>London, Ontario</t>
        </is>
      </c>
      <c r="P950" t="n">
        <v>913.98</v>
      </c>
      <c r="R950" t="n">
        <v>312.74</v>
      </c>
      <c r="S950" t="n">
        <v>203.7</v>
      </c>
      <c r="U950" t="n">
        <v>1430.42</v>
      </c>
      <c r="V950" t="n">
        <v>1900111299</v>
      </c>
      <c r="X950" t="inlineStr">
        <is>
          <t>aafc-aac</t>
        </is>
      </c>
      <c r="Y950" t="inlineStr">
        <is>
          <t>Agriculture and Agri-Food Canada | Agriculture et Agroalimentaire Canada</t>
        </is>
      </c>
    </row>
    <row r="951">
      <c r="A951" t="inlineStr">
        <is>
          <t>T-2017-Q4-00047</t>
        </is>
      </c>
      <c r="B951" t="inlineStr">
        <is>
          <t>MPSES</t>
        </is>
      </c>
      <c r="C951" t="inlineStr">
        <is>
          <t>Minister</t>
        </is>
      </c>
      <c r="D951" t="inlineStr">
        <is>
          <t>Ministre</t>
        </is>
      </c>
      <c r="E951" t="inlineStr">
        <is>
          <t>Lawrence MacAulay</t>
        </is>
      </c>
      <c r="F951" t="inlineStr">
        <is>
          <t>For a Southwest Ontario Outreach which included an Organics Announcement in Guelph and a roundtable with Stakeholder Producer Groups in Kitchener</t>
        </is>
      </c>
      <c r="G951" t="inlineStr">
        <is>
          <t>Pour une campagne de sensibilisation dans le Sud-Ouest de l'Ontario qui comprenait une annonce sur les produits biologiques à Guelph et une table ronde avec des groupes de producteurs intéressés à Kitchener</t>
        </is>
      </c>
      <c r="H951" s="1" t="n">
        <v>43125</v>
      </c>
      <c r="I951" s="1" t="n">
        <v>43126</v>
      </c>
      <c r="J951" t="inlineStr">
        <is>
          <t>Guelph, Ontario</t>
        </is>
      </c>
      <c r="K951" t="inlineStr">
        <is>
          <t>Guelph, Ontario</t>
        </is>
      </c>
      <c r="P951" t="n">
        <v>1173.98</v>
      </c>
      <c r="Q951" t="n">
        <v>26.77</v>
      </c>
      <c r="R951" t="n">
        <v>157.07</v>
      </c>
      <c r="S951" t="n">
        <v>119.95</v>
      </c>
      <c r="U951" t="n">
        <v>1477.77</v>
      </c>
      <c r="V951" t="n">
        <v>1900114131</v>
      </c>
      <c r="X951" t="inlineStr">
        <is>
          <t>aafc-aac</t>
        </is>
      </c>
      <c r="Y951" t="inlineStr">
        <is>
          <t>Agriculture and Agri-Food Canada | Agriculture et Agroalimentaire Canada</t>
        </is>
      </c>
    </row>
    <row r="952">
      <c r="A952" t="inlineStr">
        <is>
          <t>T-2017-Q4-00048</t>
        </is>
      </c>
      <c r="B952" t="inlineStr">
        <is>
          <t>MPSES</t>
        </is>
      </c>
      <c r="C952" t="inlineStr">
        <is>
          <t>Minister</t>
        </is>
      </c>
      <c r="D952" t="inlineStr">
        <is>
          <t>Ministre</t>
        </is>
      </c>
      <c r="E952" t="inlineStr">
        <is>
          <t>Lawrence MacAulay</t>
        </is>
      </c>
      <c r="F952" t="inlineStr">
        <is>
          <t>Saskatchewan Outreach; Media Interviews, participate in Pulse Roundtable and Announcements at 2018 Winter Regional Pulse Meeting</t>
        </is>
      </c>
      <c r="G952" t="inlineStr">
        <is>
          <t>Sensibilisation de la Saskatchewan; Entrevues avec les médias, participation à la table ronde Pulse et annonces à la réunion régionale d'hiver de 2018</t>
        </is>
      </c>
      <c r="H952" s="1" t="n">
        <v>43135</v>
      </c>
      <c r="I952" s="1" t="n">
        <v>43136</v>
      </c>
      <c r="J952" t="inlineStr">
        <is>
          <t xml:space="preserve">Regina,  Saskatchewan </t>
        </is>
      </c>
      <c r="K952" t="inlineStr">
        <is>
          <t xml:space="preserve">Regina,  Saskatchewan </t>
        </is>
      </c>
      <c r="P952" t="n">
        <v>1909</v>
      </c>
      <c r="R952" t="n">
        <v>158.92</v>
      </c>
      <c r="S952" t="n">
        <v>119.95</v>
      </c>
      <c r="U952" t="n">
        <v>2187.87</v>
      </c>
      <c r="V952" t="n">
        <v>1900114130</v>
      </c>
      <c r="X952" t="inlineStr">
        <is>
          <t>aafc-aac</t>
        </is>
      </c>
      <c r="Y952" t="inlineStr">
        <is>
          <t>Agriculture and Agri-Food Canada | Agriculture et Agroalimentaire Canada</t>
        </is>
      </c>
    </row>
    <row r="953">
      <c r="A953" t="inlineStr">
        <is>
          <t>T-2017-Q4-00049</t>
        </is>
      </c>
      <c r="B953" t="inlineStr">
        <is>
          <t>MPSES</t>
        </is>
      </c>
      <c r="C953" t="inlineStr">
        <is>
          <t>Minister</t>
        </is>
      </c>
      <c r="D953" t="inlineStr">
        <is>
          <t>Ministre</t>
        </is>
      </c>
      <c r="E953" t="inlineStr">
        <is>
          <t>Lawrence MacAulay</t>
        </is>
      </c>
      <c r="F953" t="inlineStr">
        <is>
          <t>To attend the Atlantic Growth Strategy Leadership Committee Meeting in Moncton and the Ministerial Mission to Sacramento, California</t>
        </is>
      </c>
      <c r="G953" t="inlineStr">
        <is>
          <t>Assister à la réunion du Comité de leadership de la Stratégie de croissance de l'Atlantique à Moncton et à la mission ministérielle à Sacramento, en Californie</t>
        </is>
      </c>
      <c r="H953" s="1" t="n">
        <v>43150</v>
      </c>
      <c r="I953" s="1" t="n">
        <v>43154</v>
      </c>
      <c r="J953" t="inlineStr">
        <is>
          <t>Moncton, New Brunswick and Sacramento, California</t>
        </is>
      </c>
      <c r="K953" t="inlineStr">
        <is>
          <t>Moncton, Nouveau-Brunswick et Sacramento, Californie</t>
        </is>
      </c>
      <c r="P953" t="n">
        <v>1982.18</v>
      </c>
      <c r="Q953" t="n">
        <v>169.15</v>
      </c>
      <c r="R953" t="n">
        <v>1145.15</v>
      </c>
      <c r="S953" t="n">
        <v>576.3099999999999</v>
      </c>
      <c r="U953" t="n">
        <v>3872.79</v>
      </c>
      <c r="V953" t="n">
        <v>1900116916</v>
      </c>
      <c r="X953" t="inlineStr">
        <is>
          <t>aafc-aac</t>
        </is>
      </c>
      <c r="Y953" t="inlineStr">
        <is>
          <t>Agriculture and Agri-Food Canada | Agriculture et Agroalimentaire Canada</t>
        </is>
      </c>
    </row>
    <row r="954">
      <c r="A954" t="inlineStr">
        <is>
          <t>T-2017-Q4-00050</t>
        </is>
      </c>
      <c r="B954" t="inlineStr">
        <is>
          <t>MPSES</t>
        </is>
      </c>
      <c r="C954" t="inlineStr">
        <is>
          <t>Chief of Staff</t>
        </is>
      </c>
      <c r="D954" t="inlineStr">
        <is>
          <t>Chef de cabinet</t>
        </is>
      </c>
      <c r="E954" t="inlineStr">
        <is>
          <t>Mary Jean McFall</t>
        </is>
      </c>
      <c r="F954" t="inlineStr">
        <is>
          <t>To support the Minister at the Alimentaria Food  Show in Mexico City</t>
        </is>
      </c>
      <c r="G954" t="inlineStr">
        <is>
          <t>Soutenir le ministre au salon de l'alimentation Alimentaria à Mexico</t>
        </is>
      </c>
      <c r="H954" s="1" t="n">
        <v>43075</v>
      </c>
      <c r="I954" s="1" t="n">
        <v>43078</v>
      </c>
      <c r="J954" t="inlineStr">
        <is>
          <t>Mexico, Mexico</t>
        </is>
      </c>
      <c r="K954" t="inlineStr">
        <is>
          <t>Mexico, Mexique</t>
        </is>
      </c>
      <c r="P954" t="n">
        <v>1815.5</v>
      </c>
      <c r="R954" t="n">
        <v>929.47</v>
      </c>
      <c r="S954" t="n">
        <v>480.25</v>
      </c>
      <c r="U954" t="n">
        <v>3225.22</v>
      </c>
      <c r="V954" t="n">
        <v>1900103177</v>
      </c>
      <c r="X954" t="inlineStr">
        <is>
          <t>aafc-aac</t>
        </is>
      </c>
      <c r="Y954" t="inlineStr">
        <is>
          <t>Agriculture and Agri-Food Canada | Agriculture et Agroalimentaire Canada</t>
        </is>
      </c>
    </row>
    <row r="955">
      <c r="A955" t="inlineStr">
        <is>
          <t>T-2017-Q4-00051</t>
        </is>
      </c>
      <c r="B955" t="inlineStr">
        <is>
          <t>MPSES</t>
        </is>
      </c>
      <c r="C955" t="inlineStr">
        <is>
          <t>Chief of Staff</t>
        </is>
      </c>
      <c r="D955" t="inlineStr">
        <is>
          <t>Chef de cabinet</t>
        </is>
      </c>
      <c r="E955" t="inlineStr">
        <is>
          <t>Mary Jean McFall</t>
        </is>
      </c>
      <c r="F955" t="inlineStr">
        <is>
          <t>To support the Minister for the Federal/Provincial/Territorial call with Ministers in Charlottetown and in London to support the Minister at the Cabinet Retreat</t>
        </is>
      </c>
      <c r="G955" t="inlineStr">
        <is>
          <t>Appuyer le ministre dans le cadre de l'appel fédéral / provincial / territorial avec les ministres à Charlottetown et à London pour appuyer le ministre lors de la retraite du Cabinet</t>
        </is>
      </c>
      <c r="H955" s="1" t="n">
        <v>43108</v>
      </c>
      <c r="I955" s="1" t="n">
        <v>43113</v>
      </c>
      <c r="J955" t="inlineStr">
        <is>
          <t>Charlottetown, Prince Edward Island; Halifax, Nova Scotia et London, Ontario</t>
        </is>
      </c>
      <c r="K955" t="inlineStr">
        <is>
          <t>Charlottetown, Île-du-Prince-Édouard; Halifax, Nouvelle-Écosse et London, Ontario</t>
        </is>
      </c>
      <c r="P955" t="n">
        <v>1666.09</v>
      </c>
      <c r="Q955" t="n">
        <v>123.46</v>
      </c>
      <c r="R955" t="n">
        <v>628.71</v>
      </c>
      <c r="S955" t="n">
        <v>473.65</v>
      </c>
      <c r="U955" t="n">
        <v>2891.91</v>
      </c>
      <c r="V955" t="n">
        <v>1900116307</v>
      </c>
      <c r="X955" t="inlineStr">
        <is>
          <t>aafc-aac</t>
        </is>
      </c>
      <c r="Y955" t="inlineStr">
        <is>
          <t>Agriculture and Agri-Food Canada | Agriculture et Agroalimentaire Canada</t>
        </is>
      </c>
    </row>
    <row r="956">
      <c r="A956" t="inlineStr">
        <is>
          <t>T-2017-Q4-00052</t>
        </is>
      </c>
      <c r="B956" t="inlineStr">
        <is>
          <t>MPSES</t>
        </is>
      </c>
      <c r="C956" t="inlineStr">
        <is>
          <t>Chief of Staff</t>
        </is>
      </c>
      <c r="D956" t="inlineStr">
        <is>
          <t>Chef de cabinet</t>
        </is>
      </c>
      <c r="E956" t="inlineStr">
        <is>
          <t>Mary Jean McFall</t>
        </is>
      </c>
      <c r="F956" t="inlineStr">
        <is>
          <t>To accompany the Minister on Ministerial Mission to Sacramento, California</t>
        </is>
      </c>
      <c r="G956" t="inlineStr">
        <is>
          <t>Accompagner le ministre à une mission ministérielle à Sacramento, en Californie</t>
        </is>
      </c>
      <c r="H956" s="1" t="n">
        <v>43151</v>
      </c>
      <c r="I956" s="1" t="n">
        <v>43154</v>
      </c>
      <c r="J956" t="inlineStr">
        <is>
          <t>Sacramento, California</t>
        </is>
      </c>
      <c r="K956" t="inlineStr">
        <is>
          <t>Sacramento, Californie</t>
        </is>
      </c>
      <c r="P956" t="n">
        <v>1401.89</v>
      </c>
      <c r="Q956" t="n">
        <v>50.17</v>
      </c>
      <c r="R956" t="n">
        <v>1002.55</v>
      </c>
      <c r="S956" t="n">
        <v>390.11</v>
      </c>
      <c r="U956" t="n">
        <v>2844.72</v>
      </c>
      <c r="V956" t="n">
        <v>1900116915</v>
      </c>
      <c r="X956" t="inlineStr">
        <is>
          <t>aafc-aac</t>
        </is>
      </c>
      <c r="Y956" t="inlineStr">
        <is>
          <t>Agriculture and Agri-Food Canada | Agriculture et Agroalimentaire Canada</t>
        </is>
      </c>
    </row>
    <row r="957">
      <c r="A957" t="inlineStr">
        <is>
          <t>T-2017-Q4-00053</t>
        </is>
      </c>
      <c r="B957" t="inlineStr">
        <is>
          <t>MPSES</t>
        </is>
      </c>
      <c r="C957" t="inlineStr">
        <is>
          <t>Director of Parliamentary Affairs</t>
        </is>
      </c>
      <c r="D957" t="inlineStr">
        <is>
          <t>Directeur des affaires parlementaires</t>
        </is>
      </c>
      <c r="E957" t="inlineStr">
        <is>
          <t>Matthew Mann</t>
        </is>
      </c>
      <c r="F957" t="inlineStr">
        <is>
          <t>To accompany the Minister to the American Farm Bureau Federation Annual Convention Nashville</t>
        </is>
      </c>
      <c r="G957" t="inlineStr">
        <is>
          <t>Accompagner le ministre à la convention annuelle de l'American Farm Bureau Federation à Nashville</t>
        </is>
      </c>
      <c r="H957" s="1" t="n">
        <v>43104</v>
      </c>
      <c r="I957" s="1" t="n">
        <v>43110</v>
      </c>
      <c r="J957" t="inlineStr">
        <is>
          <t>Nashville, Tennessee</t>
        </is>
      </c>
      <c r="K957" t="inlineStr">
        <is>
          <t>Nashville, Tennessee</t>
        </is>
      </c>
      <c r="P957" t="n">
        <v>489.6</v>
      </c>
      <c r="Q957" t="n">
        <v>87.06999999999999</v>
      </c>
      <c r="R957" t="n">
        <v>1096.93</v>
      </c>
      <c r="S957" t="n">
        <v>485.3</v>
      </c>
      <c r="U957" t="n">
        <v>2158.9</v>
      </c>
      <c r="V957" t="n">
        <v>1900111966</v>
      </c>
      <c r="X957" t="inlineStr">
        <is>
          <t>aafc-aac</t>
        </is>
      </c>
      <c r="Y957" t="inlineStr">
        <is>
          <t>Agriculture and Agri-Food Canada | Agriculture et Agroalimentaire Canada</t>
        </is>
      </c>
    </row>
    <row r="958">
      <c r="A958" t="inlineStr">
        <is>
          <t>T-2017-Q4-00054</t>
        </is>
      </c>
      <c r="B958" t="inlineStr">
        <is>
          <t>MPSES</t>
        </is>
      </c>
      <c r="C958" t="inlineStr">
        <is>
          <t>Parliamentary Secretary Assistant</t>
        </is>
      </c>
      <c r="D958" t="inlineStr">
        <is>
          <t>Adjoint du Secrétaire parlementaire</t>
        </is>
      </c>
      <c r="E958" t="inlineStr">
        <is>
          <t>Michel-Antoine Renaud</t>
        </is>
      </c>
      <c r="F958" t="inlineStr">
        <is>
          <t>To accompany the Parliamentary Secretary to a greenhouse visit and Fierte Agricole in Drummondville</t>
        </is>
      </c>
      <c r="G958" t="inlineStr">
        <is>
          <t>Accompagner le secrétaire parlementaire à une visite à effet de serre et le Fierte Agricole à Drummondville</t>
        </is>
      </c>
      <c r="H958" s="1" t="n">
        <v>43145</v>
      </c>
      <c r="I958" s="1" t="n">
        <v>43145</v>
      </c>
      <c r="J958" t="inlineStr">
        <is>
          <t>Drummondville, Quebec</t>
        </is>
      </c>
      <c r="K958" t="inlineStr">
        <is>
          <t>Drummondville, Québec</t>
        </is>
      </c>
      <c r="Q958" t="n">
        <v>92.09999999999999</v>
      </c>
      <c r="S958" t="n">
        <v>66.45</v>
      </c>
      <c r="U958" t="n">
        <v>158.55</v>
      </c>
      <c r="V958" t="n">
        <v>1900116894</v>
      </c>
      <c r="X958" t="inlineStr">
        <is>
          <t>aafc-aac</t>
        </is>
      </c>
      <c r="Y958" t="inlineStr">
        <is>
          <t>Agriculture and Agri-Food Canada | Agriculture et Agroalimentaire Canada</t>
        </is>
      </c>
    </row>
    <row r="959">
      <c r="A959" t="inlineStr">
        <is>
          <t>T-2017-Q4-00055</t>
        </is>
      </c>
      <c r="B959" t="inlineStr">
        <is>
          <t>MPSES</t>
        </is>
      </c>
      <c r="C959" t="inlineStr">
        <is>
          <t>Parliamentary Secretary Assistant</t>
        </is>
      </c>
      <c r="D959" t="inlineStr">
        <is>
          <t>Adjoint du Secrétaire parlementaire</t>
        </is>
      </c>
      <c r="E959" t="inlineStr">
        <is>
          <t>Michel-Antoine Renaud</t>
        </is>
      </c>
      <c r="F959" t="inlineStr">
        <is>
          <t>To accompany the Parliamentary Secretary to the annual general meeting of La Coop Fédérée</t>
        </is>
      </c>
      <c r="G959" t="inlineStr">
        <is>
          <t>Accompagner le secrétaire parlementaire à l'assemblée générale annuelle de la Coop fédérée</t>
        </is>
      </c>
      <c r="H959" s="1" t="n">
        <v>43152</v>
      </c>
      <c r="I959" s="1" t="n">
        <v>43153</v>
      </c>
      <c r="J959" t="inlineStr">
        <is>
          <t>Montreal, Quebec</t>
        </is>
      </c>
      <c r="K959" t="inlineStr">
        <is>
          <t>Montréal, Québec</t>
        </is>
      </c>
      <c r="Q959" t="n">
        <v>212.92</v>
      </c>
      <c r="R959" t="n">
        <v>196.35</v>
      </c>
      <c r="S959" t="n">
        <v>205.3</v>
      </c>
      <c r="U959" t="n">
        <v>614.5700000000001</v>
      </c>
      <c r="X959" t="inlineStr">
        <is>
          <t>aafc-aac</t>
        </is>
      </c>
      <c r="Y959" t="inlineStr">
        <is>
          <t>Agriculture and Agri-Food Canada | Agriculture et Agroalimentaire Canada</t>
        </is>
      </c>
    </row>
    <row r="960">
      <c r="A960" t="inlineStr">
        <is>
          <t>T-2017-Q4-00057</t>
        </is>
      </c>
      <c r="B960" t="inlineStr">
        <is>
          <t>MPSES</t>
        </is>
      </c>
      <c r="C960" t="inlineStr">
        <is>
          <t>Communications Advisor</t>
        </is>
      </c>
      <c r="D960" t="inlineStr">
        <is>
          <t>Conseiller en communications</t>
        </is>
      </c>
      <c r="E960" t="inlineStr">
        <is>
          <t>Oliver Anderson</t>
        </is>
      </c>
      <c r="F960" t="inlineStr">
        <is>
          <t>To accompany the Minister at the Ontario Outreach - Organics announcement and round-table</t>
        </is>
      </c>
      <c r="G960" t="inlineStr">
        <is>
          <t>Accompagner le ministre à la campagne de sensibilisation de l'Ontario - Produits biologiques et table ronde</t>
        </is>
      </c>
      <c r="H960" s="1" t="n">
        <v>43125</v>
      </c>
      <c r="I960" s="1" t="n">
        <v>43126</v>
      </c>
      <c r="J960" t="inlineStr">
        <is>
          <t>Guelph, Ontario</t>
        </is>
      </c>
      <c r="K960" t="inlineStr">
        <is>
          <t>Guelph, Ontario</t>
        </is>
      </c>
      <c r="P960" t="n">
        <v>621.49</v>
      </c>
      <c r="Q960" t="n">
        <v>34.16</v>
      </c>
      <c r="R960" t="n">
        <v>157.07</v>
      </c>
      <c r="S960" t="n">
        <v>119.95</v>
      </c>
      <c r="U960" t="n">
        <v>932.67</v>
      </c>
      <c r="V960" t="n">
        <v>1900116311</v>
      </c>
      <c r="X960" t="inlineStr">
        <is>
          <t>aafc-aac</t>
        </is>
      </c>
      <c r="Y960" t="inlineStr">
        <is>
          <t>Agriculture and Agri-Food Canada | Agriculture et Agroalimentaire Canada</t>
        </is>
      </c>
    </row>
    <row r="961">
      <c r="A961" t="inlineStr">
        <is>
          <t>T-2017-Q4-00058</t>
        </is>
      </c>
      <c r="B961" t="inlineStr">
        <is>
          <t>MPSES</t>
        </is>
      </c>
      <c r="C961" t="inlineStr">
        <is>
          <t>Legislative Assistant, Policy Advisor</t>
        </is>
      </c>
      <c r="D961" t="inlineStr">
        <is>
          <t>Adjoint législatif et Conseiller en politiques</t>
        </is>
      </c>
      <c r="E961" t="inlineStr">
        <is>
          <t>Wallace McLean</t>
        </is>
      </c>
      <c r="F961" t="inlineStr">
        <is>
          <t>To attend the Atlantic Growth Strategy Meeting</t>
        </is>
      </c>
      <c r="G961" t="inlineStr">
        <is>
          <t>Participer à la réunion sur la stratégie de croissance de l'Atlantique</t>
        </is>
      </c>
      <c r="H961" s="1" t="n">
        <v>43126</v>
      </c>
      <c r="I961" s="1" t="n">
        <v>43126</v>
      </c>
      <c r="J961" t="inlineStr">
        <is>
          <t>Halifax, Nova Scotia</t>
        </is>
      </c>
      <c r="K961" t="inlineStr">
        <is>
          <t xml:space="preserve">Halifax,  Nouvelle-Écosse </t>
        </is>
      </c>
      <c r="P961" t="n">
        <v>881.11</v>
      </c>
      <c r="Q961" t="n">
        <v>117.45</v>
      </c>
      <c r="S961" t="n">
        <v>85.34999999999999</v>
      </c>
      <c r="U961" t="n">
        <v>1083.91</v>
      </c>
      <c r="V961" t="n">
        <v>1900114133</v>
      </c>
      <c r="X961" t="inlineStr">
        <is>
          <t>aafc-aac</t>
        </is>
      </c>
      <c r="Y961" t="inlineStr">
        <is>
          <t>Agriculture and Agri-Food Canada | Agriculture et Agroalimentaire Canada</t>
        </is>
      </c>
    </row>
    <row r="962">
      <c r="A962" t="inlineStr">
        <is>
          <t>T-2017-Q4-00059</t>
        </is>
      </c>
      <c r="B962" t="inlineStr">
        <is>
          <t>MPSES</t>
        </is>
      </c>
      <c r="C962" t="inlineStr">
        <is>
          <t>Policy Advisor</t>
        </is>
      </c>
      <c r="D962" t="inlineStr">
        <is>
          <t>Conseillère en politiques</t>
        </is>
      </c>
      <c r="E962" t="inlineStr">
        <is>
          <t>Alison Porter</t>
        </is>
      </c>
      <c r="F962" t="inlineStr">
        <is>
          <t>Roundtable on Comprehensive and Progressive Agreement for Trans-Pacific Partnership with Agriculture Stakeholders</t>
        </is>
      </c>
      <c r="G962" t="inlineStr">
        <is>
          <t>Table ronde sur l'Accord de Partenariat transpacifique global et progressiste avec les intervenants du secteur agricole</t>
        </is>
      </c>
      <c r="H962" s="1" t="n">
        <v>43125</v>
      </c>
      <c r="I962" s="1" t="n">
        <v>43125</v>
      </c>
      <c r="J962" t="inlineStr">
        <is>
          <t>Montreal, Quebec</t>
        </is>
      </c>
      <c r="K962" t="inlineStr">
        <is>
          <t>Montréal, Québec</t>
        </is>
      </c>
      <c r="Q962" t="n">
        <v>121.69</v>
      </c>
      <c r="S962" t="n">
        <v>36.2</v>
      </c>
      <c r="U962" t="n">
        <v>157.89</v>
      </c>
      <c r="V962" t="n">
        <v>1900114135</v>
      </c>
      <c r="X962" t="inlineStr">
        <is>
          <t>aafc-aac</t>
        </is>
      </c>
      <c r="Y962" t="inlineStr">
        <is>
          <t>Agriculture and Agri-Food Canada | Agriculture et Agroalimentaire Canada</t>
        </is>
      </c>
    </row>
    <row r="963">
      <c r="A963" t="inlineStr">
        <is>
          <t>T-2017-Q4-00060</t>
        </is>
      </c>
      <c r="B963" t="inlineStr">
        <is>
          <t>SLE</t>
        </is>
      </c>
      <c r="C963" t="inlineStr">
        <is>
          <t>Associate Deputy Minister</t>
        </is>
      </c>
      <c r="D963" t="inlineStr">
        <is>
          <t>Sous-ministre déléguée</t>
        </is>
      </c>
      <c r="E963" t="inlineStr">
        <is>
          <t>Nada Semaan</t>
        </is>
      </c>
      <c r="F963" t="inlineStr">
        <is>
          <t>Director Education Program Course (Module III ) (DEP)</t>
        </is>
      </c>
      <c r="G963" t="inlineStr">
        <is>
          <t xml:space="preserve">Directeur du programme de formation (Module III) (DEP) </t>
        </is>
      </c>
      <c r="H963" s="1" t="n">
        <v>43072</v>
      </c>
      <c r="I963" s="1" t="n">
        <v>43075</v>
      </c>
      <c r="J963" t="inlineStr">
        <is>
          <t>Toronto, Ontario</t>
        </is>
      </c>
      <c r="K963" t="inlineStr">
        <is>
          <t>Toronto, Ontario</t>
        </is>
      </c>
      <c r="P963" t="n">
        <v>446.63</v>
      </c>
      <c r="Q963" t="n">
        <v>23.32</v>
      </c>
      <c r="R963" t="n">
        <v>901.38</v>
      </c>
      <c r="S963" t="n">
        <v>241.3</v>
      </c>
      <c r="U963" t="n">
        <v>1612.63</v>
      </c>
      <c r="X963" t="inlineStr">
        <is>
          <t>aafc-aac</t>
        </is>
      </c>
      <c r="Y963" t="inlineStr">
        <is>
          <t>Agriculture and Agri-Food Canada | Agriculture et Agroalimentaire Canada</t>
        </is>
      </c>
    </row>
    <row r="964">
      <c r="A964" t="inlineStr">
        <is>
          <t>T-2017-Q4-00061</t>
        </is>
      </c>
      <c r="B964" t="inlineStr">
        <is>
          <t>SLE</t>
        </is>
      </c>
      <c r="C964" t="inlineStr">
        <is>
          <t>Associate Deputy Minister</t>
        </is>
      </c>
      <c r="D964" t="inlineStr">
        <is>
          <t>Sous-ministre déléguée</t>
        </is>
      </c>
      <c r="E964" t="inlineStr">
        <is>
          <t>Nada Semaan</t>
        </is>
      </c>
      <c r="F964" t="inlineStr">
        <is>
          <t>Director Education Program Course (DEP)</t>
        </is>
      </c>
      <c r="G964" t="inlineStr">
        <is>
          <t xml:space="preserve">Directeur du programme de formation (DEP) </t>
        </is>
      </c>
      <c r="H964" s="1" t="n">
        <v>43139</v>
      </c>
      <c r="I964" s="1" t="n">
        <v>43142</v>
      </c>
      <c r="J964" t="inlineStr">
        <is>
          <t>Toronto, Ontario</t>
        </is>
      </c>
      <c r="K964" t="inlineStr">
        <is>
          <t>Toronto, Ontario</t>
        </is>
      </c>
      <c r="P964" t="n">
        <v>274.56</v>
      </c>
      <c r="Q964" t="n">
        <v>61</v>
      </c>
      <c r="R964" t="n">
        <v>901.38</v>
      </c>
      <c r="S964" t="n">
        <v>182.8</v>
      </c>
      <c r="U964" t="n">
        <v>1419.74</v>
      </c>
      <c r="X964" t="inlineStr">
        <is>
          <t>aafc-aac</t>
        </is>
      </c>
      <c r="Y964" t="inlineStr">
        <is>
          <t>Agriculture and Agri-Food Canada | Agriculture et Agroalimentaire Canada</t>
        </is>
      </c>
    </row>
    <row r="965">
      <c r="A965" t="inlineStr">
        <is>
          <t>T-2017-Q4-00040</t>
        </is>
      </c>
      <c r="B965" t="inlineStr">
        <is>
          <t>MPSES</t>
        </is>
      </c>
      <c r="C965" t="inlineStr">
        <is>
          <t>Director of Communications</t>
        </is>
      </c>
      <c r="D965" t="inlineStr">
        <is>
          <t>Directeur des communications</t>
        </is>
      </c>
      <c r="E965" t="inlineStr">
        <is>
          <t>Guy Gallant</t>
        </is>
      </c>
      <c r="F965" t="inlineStr">
        <is>
          <t>To accompany the Minister to the American Farm Bureau Federation Annual Convention in Nashville, Tenessee</t>
        </is>
      </c>
      <c r="G965" t="inlineStr">
        <is>
          <t>Accompagner le ministre à la convention annuelle de la Fédération américaine du Bureau de l'Agriculture à Nashville, Tennessee</t>
        </is>
      </c>
      <c r="H965" s="1" t="n">
        <v>43104</v>
      </c>
      <c r="I965" s="1" t="n">
        <v>43109</v>
      </c>
      <c r="J965" t="inlineStr">
        <is>
          <t>Nashville, Tennessee</t>
        </is>
      </c>
      <c r="K965" t="inlineStr">
        <is>
          <t>Nashville, Tennessee</t>
        </is>
      </c>
      <c r="P965" t="n">
        <v>531.6</v>
      </c>
      <c r="Q965" t="n">
        <v>74.45</v>
      </c>
      <c r="R965" t="n">
        <v>1096.93</v>
      </c>
      <c r="S965" t="n">
        <v>485.3</v>
      </c>
      <c r="U965" t="n">
        <v>2188.28</v>
      </c>
      <c r="V965" t="n">
        <v>1900111970</v>
      </c>
      <c r="X965" t="inlineStr">
        <is>
          <t>aafc-aac</t>
        </is>
      </c>
      <c r="Y965" t="inlineStr">
        <is>
          <t>Agriculture and Agri-Food Canada | Agriculture et Agroalimentaire Canada</t>
        </is>
      </c>
    </row>
    <row r="966">
      <c r="A966" t="inlineStr">
        <is>
          <t>T-2018-Q1-00002</t>
        </is>
      </c>
      <c r="B966" t="inlineStr">
        <is>
          <t>MPSES</t>
        </is>
      </c>
      <c r="C966" t="inlineStr">
        <is>
          <t>Minister</t>
        </is>
      </c>
      <c r="D966" t="inlineStr">
        <is>
          <t>Ministre</t>
        </is>
      </c>
      <c r="E966" t="inlineStr">
        <is>
          <t>Lawrence MacAulay</t>
        </is>
      </c>
      <c r="F966" t="inlineStr">
        <is>
          <t>Ministerial Mission to Boston Seafood Expo North America</t>
        </is>
      </c>
      <c r="G966" t="inlineStr">
        <is>
          <t>Mission ministérielle au Boston Seafood Expo North America</t>
        </is>
      </c>
      <c r="H966" s="1" t="n">
        <v>43170</v>
      </c>
      <c r="I966" s="1" t="n">
        <v>43171</v>
      </c>
      <c r="J966" t="inlineStr">
        <is>
          <t>Boston, Massachusetts</t>
        </is>
      </c>
      <c r="K966" t="inlineStr">
        <is>
          <t>Boston, Massachusetts</t>
        </is>
      </c>
      <c r="P966" t="n">
        <v>804.23</v>
      </c>
      <c r="Q966" t="n">
        <v>0</v>
      </c>
      <c r="R966" t="n">
        <v>293.14</v>
      </c>
      <c r="S966" t="n">
        <v>215.33</v>
      </c>
      <c r="T966" t="n">
        <v>0</v>
      </c>
      <c r="U966" t="n">
        <v>1312.7</v>
      </c>
      <c r="V966" t="n">
        <v>1900121268</v>
      </c>
      <c r="X966" t="inlineStr">
        <is>
          <t>aafc-aac</t>
        </is>
      </c>
      <c r="Y966" t="inlineStr">
        <is>
          <t>Agriculture and Agri-Food Canada | Agriculture et Agroalimentaire Canada</t>
        </is>
      </c>
    </row>
    <row r="967">
      <c r="A967" t="inlineStr">
        <is>
          <t>T-2017-Q3-00057</t>
        </is>
      </c>
      <c r="B967" t="inlineStr">
        <is>
          <t>MPSES</t>
        </is>
      </c>
      <c r="C967" t="inlineStr">
        <is>
          <t>Minister</t>
        </is>
      </c>
      <c r="D967" t="inlineStr">
        <is>
          <t>Ministre</t>
        </is>
      </c>
      <c r="E967" t="inlineStr">
        <is>
          <t>Lawrence MacAulay</t>
        </is>
      </c>
      <c r="F967" t="inlineStr">
        <is>
          <t>Swearing-in of the new Commissioner of the Northwest Territories</t>
        </is>
      </c>
      <c r="G967" t="inlineStr">
        <is>
          <t>Assermentation du nouveau commissaire des Territoires du Nord-Ouest</t>
        </is>
      </c>
      <c r="H967" s="1" t="n">
        <v>42995</v>
      </c>
      <c r="I967" s="1" t="n">
        <v>42997</v>
      </c>
      <c r="J967" t="inlineStr">
        <is>
          <t>Yellowknife, Northwest Territories</t>
        </is>
      </c>
      <c r="K967" t="inlineStr">
        <is>
          <t>Yellowknife, Territoires du Nord-Ouest</t>
        </is>
      </c>
      <c r="P967" t="n">
        <v>3442.73</v>
      </c>
      <c r="R967" t="n">
        <v>323.01</v>
      </c>
      <c r="S967" t="n">
        <v>216.55</v>
      </c>
      <c r="U967" t="n">
        <v>3982.29</v>
      </c>
      <c r="V967" t="n">
        <v>1900079991</v>
      </c>
      <c r="X967" t="inlineStr">
        <is>
          <t>aafc-aac</t>
        </is>
      </c>
      <c r="Y967" t="inlineStr">
        <is>
          <t>Agriculture and Agri-Food Canada | Agriculture et Agroalimentaire Canada</t>
        </is>
      </c>
    </row>
    <row r="968">
      <c r="A968" t="inlineStr">
        <is>
          <t>T-2017-Q3-00063</t>
        </is>
      </c>
      <c r="B968" t="inlineStr">
        <is>
          <t>MPSES</t>
        </is>
      </c>
      <c r="C968" t="inlineStr">
        <is>
          <t>Director of Communications</t>
        </is>
      </c>
      <c r="D968" t="inlineStr">
        <is>
          <t>Directeur des communications</t>
        </is>
      </c>
      <c r="E968" t="inlineStr">
        <is>
          <t>Guy Gallant</t>
        </is>
      </c>
      <c r="F968" t="inlineStr">
        <is>
          <t>To accompany the Minister to the swearing-in of the new Commissioner of the Northwest Territories</t>
        </is>
      </c>
      <c r="G968" t="inlineStr">
        <is>
          <t>Pour accompagner le ministre à l'assermentation du nouveau commissaire des Territoires du Nord-Ouest</t>
        </is>
      </c>
      <c r="H968" s="1" t="n">
        <v>42995</v>
      </c>
      <c r="I968" s="1" t="n">
        <v>42997</v>
      </c>
      <c r="J968" t="inlineStr">
        <is>
          <t>Yellowknife, Northwest Territories</t>
        </is>
      </c>
      <c r="K968" t="inlineStr">
        <is>
          <t>Yellowknife, Territoires du Nord-Ouest</t>
        </is>
      </c>
      <c r="P968" t="n">
        <v>3332.48</v>
      </c>
      <c r="Q968" t="n">
        <v>105.57</v>
      </c>
      <c r="R968" t="n">
        <v>323.01</v>
      </c>
      <c r="S968" t="n">
        <v>243.15</v>
      </c>
      <c r="U968" t="n">
        <v>4004.21</v>
      </c>
      <c r="V968" t="n">
        <v>1900079994</v>
      </c>
      <c r="X968" t="inlineStr">
        <is>
          <t>aafc-aac</t>
        </is>
      </c>
      <c r="Y968" t="inlineStr">
        <is>
          <t>Agriculture and Agri-Food Canada | Agriculture et Agroalimentaire Canada</t>
        </is>
      </c>
    </row>
    <row r="969">
      <c r="A969" t="inlineStr">
        <is>
          <t>T-2017-Q1-00077</t>
        </is>
      </c>
      <c r="B969" t="inlineStr">
        <is>
          <t>MPSES</t>
        </is>
      </c>
      <c r="C969" t="inlineStr">
        <is>
          <t>Policy Advisor</t>
        </is>
      </c>
      <c r="D969" t="inlineStr">
        <is>
          <t>Conseillère en politiques</t>
        </is>
      </c>
      <c r="E969" t="inlineStr">
        <is>
          <t>Alison Porter</t>
        </is>
      </c>
      <c r="F969" t="inlineStr">
        <is>
          <t>To accompany the Minister to launch the Government's Consultation on a Food Policy for Canada</t>
        </is>
      </c>
      <c r="G969" t="inlineStr">
        <is>
          <t xml:space="preserve">Pour accompagner le ministre pour lancer la Consultation du gouvernement sur une politique alimentaire pour le Canada </t>
        </is>
      </c>
      <c r="H969" s="1" t="n">
        <v>42883</v>
      </c>
      <c r="I969" s="1" t="n">
        <v>42884</v>
      </c>
      <c r="J969" t="inlineStr">
        <is>
          <t>Toronto, Ontario</t>
        </is>
      </c>
      <c r="K969" t="inlineStr">
        <is>
          <t>Toronto, Ontario</t>
        </is>
      </c>
      <c r="P969" t="n">
        <v>551.72</v>
      </c>
      <c r="R969" t="n">
        <v>230.84</v>
      </c>
      <c r="S969" t="n">
        <v>115.75</v>
      </c>
      <c r="U969" t="n">
        <v>898.3099999999999</v>
      </c>
      <c r="V969" t="n">
        <v>1900019907</v>
      </c>
      <c r="X969" t="inlineStr">
        <is>
          <t>aafc-aac</t>
        </is>
      </c>
      <c r="Y969" t="inlineStr">
        <is>
          <t>Agriculture and Agri-Food Canada | Agriculture et Agroalimentaire Canada</t>
        </is>
      </c>
    </row>
    <row r="970">
      <c r="A970" t="inlineStr">
        <is>
          <t>T-2017-Q1-00078</t>
        </is>
      </c>
      <c r="B970" t="inlineStr">
        <is>
          <t>MPSES</t>
        </is>
      </c>
      <c r="C970" t="inlineStr">
        <is>
          <t>Policy Advisor</t>
        </is>
      </c>
      <c r="D970" t="inlineStr">
        <is>
          <t>Conseillère en politiques</t>
        </is>
      </c>
      <c r="E970" t="inlineStr">
        <is>
          <t>Abed Harb</t>
        </is>
      </c>
      <c r="F970" t="inlineStr">
        <is>
          <t>To accompany the Minister on an outreach to Alberta where he took part in a Grain Industry Roundtable on Transportation, a round-table with Beef sector Stakeholders and local media Interviews</t>
        </is>
      </c>
      <c r="G970" t="inlineStr">
        <is>
          <t>Pour accompagner le ministre lors d'une conférence auprès de l'Alberta, il a participé à une table ronde sur les transports du secteur des grains, une table ronde avec les intervenants du secteur du boeuf et les entrevues avec les médias locaux</t>
        </is>
      </c>
      <c r="H970" s="1" t="n">
        <v>42879</v>
      </c>
      <c r="I970" s="1" t="n">
        <v>42887</v>
      </c>
      <c r="J970" t="inlineStr">
        <is>
          <t>Calgary, Alberta</t>
        </is>
      </c>
      <c r="K970" t="inlineStr">
        <is>
          <t>Calgary, Alberta</t>
        </is>
      </c>
      <c r="P970" t="n">
        <v>1556.23</v>
      </c>
      <c r="Q970" t="n">
        <v>73.31999999999999</v>
      </c>
      <c r="R970" t="n">
        <v>446.44</v>
      </c>
      <c r="S970" t="n">
        <v>161.7</v>
      </c>
      <c r="U970" t="n">
        <v>2237.69</v>
      </c>
      <c r="V970" t="n">
        <v>1900019969</v>
      </c>
      <c r="X970" t="inlineStr">
        <is>
          <t>aafc-aac</t>
        </is>
      </c>
      <c r="Y970" t="inlineStr">
        <is>
          <t>Agriculture and Agri-Food Canada | Agriculture et Agroalimentaire Canada</t>
        </is>
      </c>
    </row>
    <row r="971">
      <c r="A971" t="inlineStr">
        <is>
          <t>T-2018-Q2-00004</t>
        </is>
      </c>
      <c r="B971" t="inlineStr">
        <is>
          <t>MPSES</t>
        </is>
      </c>
      <c r="C971" t="inlineStr">
        <is>
          <t>Minister</t>
        </is>
      </c>
      <c r="D971" t="inlineStr">
        <is>
          <t>Ministre</t>
        </is>
      </c>
      <c r="E971" t="inlineStr">
        <is>
          <t>Lawrence MacAulay</t>
        </is>
      </c>
      <c r="F971" t="inlineStr">
        <is>
          <t>To attend G20 Agriculture Ministerial Meetings and outreach to Latin America</t>
        </is>
      </c>
      <c r="G971" t="inlineStr">
        <is>
          <t>Assister aux réunions ministérielles sur l'agriculture du G20 et à la sensibilisation en Amérique latine</t>
        </is>
      </c>
      <c r="H971" s="1" t="n">
        <v>43306</v>
      </c>
      <c r="I971" s="1" t="n">
        <v>43316</v>
      </c>
      <c r="J971" t="inlineStr">
        <is>
          <t>Buenos Aires Argentina, and Santiago Chile</t>
        </is>
      </c>
      <c r="K971" t="inlineStr">
        <is>
          <t>Buenos Aires Argentine et Santiago Chili</t>
        </is>
      </c>
      <c r="P971" t="n">
        <v>6280.57</v>
      </c>
      <c r="Q971" t="n">
        <v>25.39</v>
      </c>
      <c r="R971" t="n">
        <v>2536.03</v>
      </c>
      <c r="S971" t="n">
        <v>758.78</v>
      </c>
      <c r="T971" t="n">
        <v>0</v>
      </c>
      <c r="U971" t="n">
        <v>9600.77</v>
      </c>
      <c r="X971" t="inlineStr">
        <is>
          <t>aafc-aac</t>
        </is>
      </c>
      <c r="Y971" t="inlineStr">
        <is>
          <t>Agriculture and Agri-Food Canada | Agriculture et Agroalimentaire Canada</t>
        </is>
      </c>
    </row>
    <row r="972">
      <c r="A972" t="inlineStr">
        <is>
          <t>T-2018-Q2-00005</t>
        </is>
      </c>
      <c r="B972" t="inlineStr">
        <is>
          <t>MPSES</t>
        </is>
      </c>
      <c r="C972" t="inlineStr">
        <is>
          <t>Minister</t>
        </is>
      </c>
      <c r="D972" t="inlineStr">
        <is>
          <t>Ministre</t>
        </is>
      </c>
      <c r="E972" t="inlineStr">
        <is>
          <t>Lawrence MacAulay</t>
        </is>
      </c>
      <c r="F972" t="inlineStr">
        <is>
          <t>Attend the Cabinet retreat and for announcements</t>
        </is>
      </c>
      <c r="G972" t="inlineStr">
        <is>
          <t>Assister à la retraite du Cabinet et aux annonces</t>
        </is>
      </c>
      <c r="H972" s="1" t="n">
        <v>43333</v>
      </c>
      <c r="I972" s="1" t="n">
        <v>43337</v>
      </c>
      <c r="J972" t="inlineStr">
        <is>
          <t>Vancouver and Nanaimo, British Columbia</t>
        </is>
      </c>
      <c r="K972" t="inlineStr">
        <is>
          <t>Vancouver et Nanaimo, Colombie-Britannique</t>
        </is>
      </c>
      <c r="P972" t="n">
        <v>2609.99</v>
      </c>
      <c r="Q972" t="n">
        <v>212.85</v>
      </c>
      <c r="R972" t="n">
        <v>727.01</v>
      </c>
      <c r="S972" t="n">
        <v>414.75</v>
      </c>
      <c r="T972" t="n">
        <v>0</v>
      </c>
      <c r="U972" t="n">
        <v>3964.6</v>
      </c>
      <c r="X972" t="inlineStr">
        <is>
          <t>aafc-aac</t>
        </is>
      </c>
      <c r="Y972" t="inlineStr">
        <is>
          <t>Agriculture and Agri-Food Canada | Agriculture et Agroalimentaire Canada</t>
        </is>
      </c>
    </row>
    <row r="973">
      <c r="A973" t="inlineStr">
        <is>
          <t>T-2018-Q2-00006</t>
        </is>
      </c>
      <c r="B973" t="inlineStr">
        <is>
          <t>MPSES</t>
        </is>
      </c>
      <c r="C973" t="inlineStr">
        <is>
          <t>Chief of Staff</t>
        </is>
      </c>
      <c r="D973" t="inlineStr">
        <is>
          <t>Chef de cabinet</t>
        </is>
      </c>
      <c r="E973" t="inlineStr">
        <is>
          <t>Mary Jean McFall</t>
        </is>
      </c>
      <c r="F973" t="inlineStr">
        <is>
          <t>To support the Minister with the official visit of the United States Secretary of Agriculture</t>
        </is>
      </c>
      <c r="G973" t="inlineStr">
        <is>
          <t>Soutenir le ministre lors de la visite officielle du secrétaire américain à l'agriculture</t>
        </is>
      </c>
      <c r="H973" s="1" t="n">
        <v>43264</v>
      </c>
      <c r="I973" s="1" t="n">
        <v>43267</v>
      </c>
      <c r="J973" t="inlineStr">
        <is>
          <t>Charlottetown, Prince Edward Island</t>
        </is>
      </c>
      <c r="K973" t="inlineStr">
        <is>
          <t>Charlottetown, Île-du-Prince-Édouard</t>
        </is>
      </c>
      <c r="P973" t="n">
        <v>817.67</v>
      </c>
      <c r="Q973" t="n">
        <v>300.51</v>
      </c>
      <c r="R973" t="n">
        <v>557.75</v>
      </c>
      <c r="S973" t="n">
        <v>243.05</v>
      </c>
      <c r="T973" t="n">
        <v>0</v>
      </c>
      <c r="U973" t="n">
        <v>1918.98</v>
      </c>
      <c r="X973" t="inlineStr">
        <is>
          <t>aafc-aac</t>
        </is>
      </c>
      <c r="Y973" t="inlineStr">
        <is>
          <t>Agriculture and Agri-Food Canada | Agriculture et Agroalimentaire Canada</t>
        </is>
      </c>
    </row>
    <row r="974">
      <c r="A974" t="inlineStr">
        <is>
          <t>T-2018-Q1-00041</t>
        </is>
      </c>
      <c r="B974" t="inlineStr">
        <is>
          <t>SLE</t>
        </is>
      </c>
      <c r="C974" t="inlineStr">
        <is>
          <t>Deputy Minister</t>
        </is>
      </c>
      <c r="D974" t="inlineStr">
        <is>
          <t>Sous-Ministre</t>
        </is>
      </c>
      <c r="E974" t="inlineStr">
        <is>
          <t>Chris Forbes</t>
        </is>
      </c>
      <c r="F974" t="inlineStr">
        <is>
          <t xml:space="preserve">Agri-Food Economic Strategy Table meeting </t>
        </is>
      </c>
      <c r="G974" t="inlineStr">
        <is>
          <t xml:space="preserve"> Tables sectorielles de stratégies économiques - Table sur l'agroalimentaire</t>
        </is>
      </c>
      <c r="H974" s="1" t="n">
        <v>43222</v>
      </c>
      <c r="I974" s="1" t="n">
        <v>43223</v>
      </c>
      <c r="J974" t="inlineStr">
        <is>
          <t>Toronto, Ontario</t>
        </is>
      </c>
      <c r="K974" t="inlineStr">
        <is>
          <t>Toronto, Onatrio</t>
        </is>
      </c>
      <c r="P974" t="n">
        <v>924.5700000000001</v>
      </c>
      <c r="Q974" t="n">
        <v>0</v>
      </c>
      <c r="R974" t="n">
        <v>186.86</v>
      </c>
      <c r="S974" t="n">
        <v>48.15</v>
      </c>
      <c r="T974" t="n">
        <v>0</v>
      </c>
      <c r="U974" t="n">
        <v>1159.58</v>
      </c>
      <c r="X974" t="inlineStr">
        <is>
          <t>aafc-aac</t>
        </is>
      </c>
      <c r="Y974" t="inlineStr">
        <is>
          <t>Agriculture and Agri-Food Canada | Agriculture et Agroalimentaire Canada</t>
        </is>
      </c>
    </row>
    <row r="975">
      <c r="A975" t="inlineStr">
        <is>
          <t>T-2018-Q1-00042</t>
        </is>
      </c>
      <c r="B975" t="inlineStr">
        <is>
          <t>SLE</t>
        </is>
      </c>
      <c r="C975" t="inlineStr">
        <is>
          <t>Deputy Minister</t>
        </is>
      </c>
      <c r="D975" t="inlineStr">
        <is>
          <t>Sous-Ministre</t>
        </is>
      </c>
      <c r="E975" t="inlineStr">
        <is>
          <t>Chris Forbes</t>
        </is>
      </c>
      <c r="F975" t="inlineStr">
        <is>
          <t>Travel for the  Ministerial Mission to China</t>
        </is>
      </c>
      <c r="G975" t="inlineStr">
        <is>
          <t>Voyage pour la mission ministérielle en Chine</t>
        </is>
      </c>
      <c r="H975" s="1" t="n">
        <v>43232</v>
      </c>
      <c r="I975" s="1" t="n">
        <v>43239</v>
      </c>
      <c r="J975" t="inlineStr">
        <is>
          <t>Shanghai &amp; Hangzhou, China</t>
        </is>
      </c>
      <c r="K975" t="inlineStr">
        <is>
          <t>Shanghai et Hangzhou, Chine</t>
        </is>
      </c>
      <c r="P975" t="n">
        <v>8947.540000000001</v>
      </c>
      <c r="Q975" t="n">
        <v>0</v>
      </c>
      <c r="R975" t="n">
        <v>1505.74</v>
      </c>
      <c r="S975" t="n">
        <v>564.98</v>
      </c>
      <c r="T975" t="n">
        <v>0</v>
      </c>
      <c r="U975" t="n">
        <v>11018.26</v>
      </c>
      <c r="X975" t="inlineStr">
        <is>
          <t>aafc-aac</t>
        </is>
      </c>
      <c r="Y975" t="inlineStr">
        <is>
          <t>Agriculture and Agri-Food Canada | Agriculture et Agroalimentaire Canada</t>
        </is>
      </c>
    </row>
    <row r="976">
      <c r="A976" t="inlineStr">
        <is>
          <t>T-2018-Q1-00043</t>
        </is>
      </c>
      <c r="B976" t="inlineStr">
        <is>
          <t>SLE</t>
        </is>
      </c>
      <c r="C976" t="inlineStr">
        <is>
          <t>Deputy Minister</t>
        </is>
      </c>
      <c r="D976" t="inlineStr">
        <is>
          <t>Sous-Ministre</t>
        </is>
      </c>
      <c r="E976" t="inlineStr">
        <is>
          <t>Chris Forbes</t>
        </is>
      </c>
      <c r="F976" t="inlineStr">
        <is>
          <t>Federal/Provincial/Territorial Deputy Ministers’ meeting.</t>
        </is>
      </c>
      <c r="G976" t="inlineStr">
        <is>
          <t>Rencontre fédérale-provinciale-territoriale des sous-ministres.</t>
        </is>
      </c>
      <c r="H976" s="1" t="n">
        <v>43243</v>
      </c>
      <c r="I976" s="1" t="n">
        <v>43244</v>
      </c>
      <c r="J976" t="inlineStr">
        <is>
          <t>Montreal, Quebec</t>
        </is>
      </c>
      <c r="K976" t="inlineStr">
        <is>
          <t>Montréal, Québec</t>
        </is>
      </c>
      <c r="P976" t="n">
        <v>0</v>
      </c>
      <c r="Q976" t="n">
        <v>188.71</v>
      </c>
      <c r="R976" t="n">
        <v>236.82</v>
      </c>
      <c r="S976" t="n">
        <v>67.59999999999999</v>
      </c>
      <c r="T976" t="n">
        <v>0</v>
      </c>
      <c r="U976" t="n">
        <v>493.13</v>
      </c>
      <c r="X976" t="inlineStr">
        <is>
          <t>aafc-aac</t>
        </is>
      </c>
      <c r="Y976" t="inlineStr">
        <is>
          <t>Agriculture and Agri-Food Canada | Agriculture et Agroalimentaire Canada</t>
        </is>
      </c>
    </row>
    <row r="977">
      <c r="A977" t="inlineStr">
        <is>
          <t>T-2018-Q1-00045</t>
        </is>
      </c>
      <c r="B977" t="inlineStr">
        <is>
          <t>SLE</t>
        </is>
      </c>
      <c r="C977" t="inlineStr">
        <is>
          <t>Assistant deputy minister,Corporate Management Branch</t>
        </is>
      </c>
      <c r="D977" t="inlineStr">
        <is>
          <t>Sous-ministre adjoint, Direction Générale de la gestion intégrée</t>
        </is>
      </c>
      <c r="E977" t="inlineStr">
        <is>
          <t>Pierre Corriveau</t>
        </is>
      </c>
      <c r="F977" t="inlineStr">
        <is>
          <t>Keynote Speaker at Canada School of Public Service event and Staff meetings</t>
        </is>
      </c>
      <c r="G977" t="inlineStr">
        <is>
          <t>conférencier d'honneur pour évenement de l'ecole de la fonction publique et réunion d'employés</t>
        </is>
      </c>
      <c r="H977" s="1" t="n">
        <v>43172</v>
      </c>
      <c r="I977" s="1" t="n">
        <v>43178</v>
      </c>
      <c r="J977" t="inlineStr">
        <is>
          <t xml:space="preserve">Vancouver, British Columbia  Agassiz, British Columbia    </t>
        </is>
      </c>
      <c r="K977" t="inlineStr">
        <is>
          <t xml:space="preserve">Vancouver, Colombie Britanique  Agassiz, Colombie Britanique </t>
        </is>
      </c>
      <c r="P977" t="n">
        <v>1011.49</v>
      </c>
      <c r="Q977" t="n">
        <v>188.25</v>
      </c>
      <c r="R977" t="n">
        <v>507.7</v>
      </c>
      <c r="S977" t="n">
        <v>372.6</v>
      </c>
      <c r="U977" t="n">
        <v>2080.04</v>
      </c>
      <c r="V977" t="inlineStr">
        <is>
          <t>AJD339579   AJD329480</t>
        </is>
      </c>
      <c r="X977" t="inlineStr">
        <is>
          <t>aafc-aac</t>
        </is>
      </c>
      <c r="Y977" t="inlineStr">
        <is>
          <t>Agriculture and Agri-Food Canada | Agriculture et Agroalimentaire Canada</t>
        </is>
      </c>
    </row>
    <row r="978">
      <c r="A978" t="inlineStr">
        <is>
          <t>T-2018-Q1-00046</t>
        </is>
      </c>
      <c r="B978" t="inlineStr">
        <is>
          <t>SLE</t>
        </is>
      </c>
      <c r="C978" t="inlineStr">
        <is>
          <t>Assistant deputy minister,Corporate Management Branch</t>
        </is>
      </c>
      <c r="D978" t="inlineStr">
        <is>
          <t>Sous-ministre adjoint, Direction Générale de la gestion intégrée</t>
        </is>
      </c>
      <c r="E978" t="inlineStr">
        <is>
          <t>Pierre Corriveau</t>
        </is>
      </c>
      <c r="F978" t="inlineStr">
        <is>
          <t>Quebec Regional Management Committee Meeting and Staff meeting</t>
        </is>
      </c>
      <c r="G978" t="inlineStr">
        <is>
          <t>Réunion du Comité de gestion de la région du Quebec et réunion d'employés</t>
        </is>
      </c>
      <c r="H978" s="1" t="n">
        <v>43228</v>
      </c>
      <c r="I978" s="1" t="n">
        <v>43229</v>
      </c>
      <c r="J978" t="inlineStr">
        <is>
          <t>St-Hyacinthe, Quebec</t>
        </is>
      </c>
      <c r="K978" t="inlineStr">
        <is>
          <t>St-Hyacinthe, Quebec</t>
        </is>
      </c>
      <c r="Q978" t="n">
        <v>346.72</v>
      </c>
      <c r="R978" t="n">
        <v>164.93</v>
      </c>
      <c r="S978" t="n">
        <v>169.55</v>
      </c>
      <c r="U978" t="n">
        <v>681.2</v>
      </c>
      <c r="V978" t="inlineStr">
        <is>
          <t>AJD343126</t>
        </is>
      </c>
      <c r="X978" t="inlineStr">
        <is>
          <t>aafc-aac</t>
        </is>
      </c>
      <c r="Y978" t="inlineStr">
        <is>
          <t>Agriculture and Agri-Food Canada | Agriculture et Agroalimentaire Canada</t>
        </is>
      </c>
    </row>
    <row r="979">
      <c r="A979" t="inlineStr">
        <is>
          <t>T-2018-Q1-00047</t>
        </is>
      </c>
      <c r="B979" t="inlineStr">
        <is>
          <t>SLE</t>
        </is>
      </c>
      <c r="C979" t="inlineStr">
        <is>
          <t>Assistant deputy minister, Strategic Policy Branch</t>
        </is>
      </c>
      <c r="D979" t="inlineStr">
        <is>
          <t>Sous-ministre adjoint, Direction générale des politiques stratégiques</t>
        </is>
      </c>
      <c r="E979" t="inlineStr">
        <is>
          <t>Tom Rosser</t>
        </is>
      </c>
      <c r="F979" t="inlineStr">
        <is>
          <t>Accompany the Minister at the Boston Seafood Show.</t>
        </is>
      </c>
      <c r="G979" t="inlineStr">
        <is>
          <t>Pour accompagner le ministre au Boston Seafood Show.</t>
        </is>
      </c>
      <c r="H979" s="1" t="n">
        <v>43170</v>
      </c>
      <c r="I979" s="1" t="n">
        <v>43171</v>
      </c>
      <c r="J979" t="inlineStr">
        <is>
          <t>Boston, Massachusetts</t>
        </is>
      </c>
      <c r="K979" t="inlineStr">
        <is>
          <t>Boston, Massachusetts</t>
        </is>
      </c>
      <c r="P979" t="n">
        <v>1432.61</v>
      </c>
      <c r="Q979" t="n">
        <v>115.71</v>
      </c>
      <c r="R979" t="n">
        <v>447.56</v>
      </c>
      <c r="S979" t="n">
        <v>232.07</v>
      </c>
      <c r="U979" t="n">
        <v>2227.95</v>
      </c>
      <c r="V979" t="inlineStr">
        <is>
          <t>AJE611473</t>
        </is>
      </c>
      <c r="X979" t="inlineStr">
        <is>
          <t>aafc-aac</t>
        </is>
      </c>
      <c r="Y979" t="inlineStr">
        <is>
          <t>Agriculture and Agri-Food Canada | Agriculture et Agroalimentaire Canada</t>
        </is>
      </c>
    </row>
    <row r="980">
      <c r="A980" t="inlineStr">
        <is>
          <t>T-2018-Q1-00062</t>
        </is>
      </c>
      <c r="B980" t="inlineStr">
        <is>
          <t>SLE</t>
        </is>
      </c>
      <c r="C980" t="inlineStr">
        <is>
          <t>Assistant deputy minister, Information Systems Branch</t>
        </is>
      </c>
      <c r="D980" t="inlineStr">
        <is>
          <t>Sous-ministre adjoint, Direction Générale</t>
        </is>
      </c>
      <c r="E980" t="inlineStr">
        <is>
          <t>Michel Lessard</t>
        </is>
      </c>
      <c r="F980" t="inlineStr">
        <is>
          <t>2018 Council of Chief Information Officers</t>
        </is>
      </c>
      <c r="G980" t="inlineStr">
        <is>
          <t>conseil des directeurs de l'information 2018</t>
        </is>
      </c>
      <c r="H980" s="1" t="n">
        <v>43214</v>
      </c>
      <c r="I980" s="1" t="n">
        <v>43216</v>
      </c>
      <c r="J980" t="inlineStr">
        <is>
          <t>Toronto, Ontario</t>
        </is>
      </c>
      <c r="K980" t="inlineStr">
        <is>
          <t>Toronto, Ontario</t>
        </is>
      </c>
      <c r="P980" t="n">
        <v>345.68</v>
      </c>
      <c r="Q980" t="n">
        <v>46.77</v>
      </c>
      <c r="R980" t="n">
        <v>514.74</v>
      </c>
      <c r="S980" t="n">
        <v>51.9</v>
      </c>
      <c r="U980" t="n">
        <v>959.09</v>
      </c>
      <c r="V980" t="inlineStr">
        <is>
          <t>AJE422975</t>
        </is>
      </c>
      <c r="X980" t="inlineStr">
        <is>
          <t>aafc-aac</t>
        </is>
      </c>
      <c r="Y980" t="inlineStr">
        <is>
          <t>Agriculture and Agri-Food Canada | Agriculture et Agroalimentaire Canada</t>
        </is>
      </c>
    </row>
    <row r="981">
      <c r="A981" t="inlineStr">
        <is>
          <t>T-2018-Q2-00007</t>
        </is>
      </c>
      <c r="B981" t="inlineStr">
        <is>
          <t>MPSES</t>
        </is>
      </c>
      <c r="C981" t="inlineStr">
        <is>
          <t>Chief of Staff</t>
        </is>
      </c>
      <c r="D981" t="inlineStr">
        <is>
          <t>Chef de cabinet</t>
        </is>
      </c>
      <c r="E981" t="inlineStr">
        <is>
          <t>Vincent MacNeil</t>
        </is>
      </c>
      <c r="F981" t="inlineStr">
        <is>
          <t>To support and attend briefings with the Minister</t>
        </is>
      </c>
      <c r="G981" t="inlineStr">
        <is>
          <t>Soutenir et assister à des séances d'information avec le ministre</t>
        </is>
      </c>
      <c r="H981" s="1" t="n">
        <v>43328</v>
      </c>
      <c r="I981" s="1" t="n">
        <v>43329</v>
      </c>
      <c r="J981" t="inlineStr">
        <is>
          <t>Charlottetown, Prince Edward Island</t>
        </is>
      </c>
      <c r="K981" t="inlineStr">
        <is>
          <t>Charlottetown, Île-du-Prince-Édouard</t>
        </is>
      </c>
      <c r="P981" t="n">
        <v>1376.47</v>
      </c>
      <c r="Q981" t="n">
        <v>78.78</v>
      </c>
      <c r="R981" t="n">
        <v>155.25</v>
      </c>
      <c r="S981" t="n">
        <v>208.2</v>
      </c>
      <c r="T981" t="n">
        <v>0</v>
      </c>
      <c r="U981" t="n">
        <v>1818.7</v>
      </c>
      <c r="X981" t="inlineStr">
        <is>
          <t>aafc-aac</t>
        </is>
      </c>
      <c r="Y981" t="inlineStr">
        <is>
          <t>Agriculture and Agri-Food Canada | Agriculture et Agroalimentaire Canada</t>
        </is>
      </c>
    </row>
    <row r="982">
      <c r="A982" t="inlineStr">
        <is>
          <t>T-2018-Q2-00008</t>
        </is>
      </c>
      <c r="B982" t="inlineStr">
        <is>
          <t>MPSES</t>
        </is>
      </c>
      <c r="C982" t="inlineStr">
        <is>
          <t>Chief of Staff</t>
        </is>
      </c>
      <c r="D982" t="inlineStr">
        <is>
          <t>Chef de cabinet</t>
        </is>
      </c>
      <c r="E982" t="inlineStr">
        <is>
          <t>Vincent MacNeil</t>
        </is>
      </c>
      <c r="F982" t="inlineStr">
        <is>
          <t>To accompany the Minister to the Cabinet retreat and for announcements</t>
        </is>
      </c>
      <c r="G982" t="inlineStr">
        <is>
          <t>Accompagner le ministre à la retraite du Cabinet et aux annonces</t>
        </is>
      </c>
      <c r="H982" s="1" t="n">
        <v>43333</v>
      </c>
      <c r="I982" s="1" t="n">
        <v>43337</v>
      </c>
      <c r="J982" t="inlineStr">
        <is>
          <t>Vancouver and Nanaimo, British Columbia</t>
        </is>
      </c>
      <c r="K982" t="inlineStr">
        <is>
          <t>Vancouver et Nanaimo, Colombie-Britannique</t>
        </is>
      </c>
      <c r="P982" t="n">
        <v>2089.93</v>
      </c>
      <c r="Q982" t="n">
        <v>40.58</v>
      </c>
      <c r="R982" t="n">
        <v>504.9</v>
      </c>
      <c r="S982" t="n">
        <v>378</v>
      </c>
      <c r="T982" t="n">
        <v>0</v>
      </c>
      <c r="U982" t="n">
        <v>3013.41</v>
      </c>
      <c r="X982" t="inlineStr">
        <is>
          <t>aafc-aac</t>
        </is>
      </c>
      <c r="Y982" t="inlineStr">
        <is>
          <t>Agriculture and Agri-Food Canada | Agriculture et Agroalimentaire Canada</t>
        </is>
      </c>
    </row>
    <row r="983">
      <c r="A983" t="inlineStr">
        <is>
          <t>T-2018-Q2-00009</t>
        </is>
      </c>
      <c r="B983" t="inlineStr">
        <is>
          <t>MPSES</t>
        </is>
      </c>
      <c r="C983" t="inlineStr">
        <is>
          <t>Communications Advisor</t>
        </is>
      </c>
      <c r="D983" t="inlineStr">
        <is>
          <t>Conseiller en communications</t>
        </is>
      </c>
      <c r="E983" t="inlineStr">
        <is>
          <t>Oliver Anderson</t>
        </is>
      </c>
      <c r="F983" t="inlineStr">
        <is>
          <t>To support the Minister for Government announcements</t>
        </is>
      </c>
      <c r="G983" t="inlineStr">
        <is>
          <t>Soutenir le ministre pour les annonces du gouvernement</t>
        </is>
      </c>
      <c r="H983" s="1" t="n">
        <v>43259</v>
      </c>
      <c r="I983" s="1" t="n">
        <v>43259</v>
      </c>
      <c r="J983" t="inlineStr">
        <is>
          <t>Charlottetown, Prince Edward Island</t>
        </is>
      </c>
      <c r="K983" t="inlineStr">
        <is>
          <t>Charlottetown, Île-du-Prince-Édouard</t>
        </is>
      </c>
      <c r="P983" t="n">
        <v>1326.17</v>
      </c>
      <c r="Q983" t="n">
        <v>80.05</v>
      </c>
      <c r="R983" t="n">
        <v>0</v>
      </c>
      <c r="S983" t="n">
        <v>86.8</v>
      </c>
      <c r="T983" t="n">
        <v>0</v>
      </c>
      <c r="U983" t="n">
        <v>1493.02</v>
      </c>
      <c r="X983" t="inlineStr">
        <is>
          <t>aafc-aac</t>
        </is>
      </c>
      <c r="Y983" t="inlineStr">
        <is>
          <t>Agriculture and Agri-Food Canada | Agriculture et Agroalimentaire Canada</t>
        </is>
      </c>
    </row>
    <row r="984">
      <c r="A984" t="inlineStr">
        <is>
          <t>T-2018-Q2-00010</t>
        </is>
      </c>
      <c r="B984" t="inlineStr">
        <is>
          <t>MPSES</t>
        </is>
      </c>
      <c r="C984" t="inlineStr">
        <is>
          <t>Communications Advisor</t>
        </is>
      </c>
      <c r="D984" t="inlineStr">
        <is>
          <t>Conseiller en communications</t>
        </is>
      </c>
      <c r="E984" t="inlineStr">
        <is>
          <t>Oliver Anderson</t>
        </is>
      </c>
      <c r="F984" t="inlineStr">
        <is>
          <t>To support the Minister for Government announcements</t>
        </is>
      </c>
      <c r="G984" t="inlineStr">
        <is>
          <t>Soutenir le ministre pour les annonces du gouvernement</t>
        </is>
      </c>
      <c r="H984" s="1" t="n">
        <v>43335</v>
      </c>
      <c r="I984" s="1" t="n">
        <v>43336</v>
      </c>
      <c r="J984" t="inlineStr">
        <is>
          <t>Vernon, British Columbia</t>
        </is>
      </c>
      <c r="K984" t="inlineStr">
        <is>
          <t>Vernon, Colombie-Britannique</t>
        </is>
      </c>
      <c r="P984" t="n">
        <v>1697.47</v>
      </c>
      <c r="Q984" t="n">
        <v>49.16</v>
      </c>
      <c r="R984" t="n">
        <v>139.2</v>
      </c>
      <c r="S984" t="n">
        <v>208.2</v>
      </c>
      <c r="T984" t="n">
        <v>0</v>
      </c>
      <c r="U984" t="n">
        <v>2094.03</v>
      </c>
      <c r="X984" t="inlineStr">
        <is>
          <t>aafc-aac</t>
        </is>
      </c>
      <c r="Y984" t="inlineStr">
        <is>
          <t>Agriculture and Agri-Food Canada | Agriculture et Agroalimentaire Canada</t>
        </is>
      </c>
    </row>
    <row r="985">
      <c r="A985" t="inlineStr">
        <is>
          <t>T-2018-Q2-00011</t>
        </is>
      </c>
      <c r="B985" t="inlineStr">
        <is>
          <t>MPSES</t>
        </is>
      </c>
      <c r="C985" t="inlineStr">
        <is>
          <t>Communications Advisor</t>
        </is>
      </c>
      <c r="D985" t="inlineStr">
        <is>
          <t>Conseiller en communications</t>
        </is>
      </c>
      <c r="E985" t="inlineStr">
        <is>
          <t>Oliver Anderson</t>
        </is>
      </c>
      <c r="F985" t="inlineStr">
        <is>
          <t>To accompany the Minister to the Youth Elite Farmer Gala and Expo Champs</t>
        </is>
      </c>
      <c r="G985" t="inlineStr">
        <is>
          <t>Accompagner le ministre au Gala des Jeunes Élites et à l'Expo Champs</t>
        </is>
      </c>
      <c r="H985" s="1" t="n">
        <v>43339</v>
      </c>
      <c r="I985" s="1" t="n">
        <v>43340</v>
      </c>
      <c r="J985" t="inlineStr">
        <is>
          <t>Bromont, Quebec</t>
        </is>
      </c>
      <c r="K985" t="inlineStr">
        <is>
          <t>Bromont, Québec</t>
        </is>
      </c>
      <c r="P985" t="n">
        <v>0</v>
      </c>
      <c r="Q985" t="n">
        <v>296.16</v>
      </c>
      <c r="R985" t="n">
        <v>135.66</v>
      </c>
      <c r="S985" t="n">
        <v>84.65000000000001</v>
      </c>
      <c r="T985" t="n">
        <v>0</v>
      </c>
      <c r="U985" t="n">
        <v>516.47</v>
      </c>
      <c r="X985" t="inlineStr">
        <is>
          <t>aafc-aac</t>
        </is>
      </c>
      <c r="Y985" t="inlineStr">
        <is>
          <t>Agriculture and Agri-Food Canada | Agriculture et Agroalimentaire Canada</t>
        </is>
      </c>
    </row>
    <row r="986">
      <c r="A986" t="inlineStr">
        <is>
          <t>T-2018-Q2-00012</t>
        </is>
      </c>
      <c r="B986" t="inlineStr">
        <is>
          <t>MPSES</t>
        </is>
      </c>
      <c r="C986" t="inlineStr">
        <is>
          <t>Communications Advisor</t>
        </is>
      </c>
      <c r="D986" t="inlineStr">
        <is>
          <t>Conseiller en communications</t>
        </is>
      </c>
      <c r="E986" t="inlineStr">
        <is>
          <t>Oliver Anderson</t>
        </is>
      </c>
      <c r="F986" t="inlineStr">
        <is>
          <t>To support the Minister for Government announcements</t>
        </is>
      </c>
      <c r="G986" t="inlineStr">
        <is>
          <t>Soutenir le ministre pour les annonces du gouvernement</t>
        </is>
      </c>
      <c r="H986" s="1" t="n">
        <v>43340</v>
      </c>
      <c r="I986" s="1" t="n">
        <v>43342</v>
      </c>
      <c r="J986" t="inlineStr">
        <is>
          <t>Charlottetown, Prince Edward Island</t>
        </is>
      </c>
      <c r="K986" t="inlineStr">
        <is>
          <t>Charlottetown, Île-du-Prince-Édouard</t>
        </is>
      </c>
      <c r="P986" t="n">
        <v>1162.24</v>
      </c>
      <c r="Q986" t="n">
        <v>206.75</v>
      </c>
      <c r="R986" t="n">
        <v>361.06</v>
      </c>
      <c r="S986" t="n">
        <v>186.6</v>
      </c>
      <c r="U986" t="n">
        <v>1916.65</v>
      </c>
      <c r="X986" t="inlineStr">
        <is>
          <t>aafc-aac</t>
        </is>
      </c>
      <c r="Y986" t="inlineStr">
        <is>
          <t>Agriculture and Agri-Food Canada | Agriculture et Agroalimentaire Canada</t>
        </is>
      </c>
    </row>
    <row r="987">
      <c r="A987" t="inlineStr">
        <is>
          <t>T-2018-Q2-00013</t>
        </is>
      </c>
      <c r="B987" t="inlineStr">
        <is>
          <t>MPSES</t>
        </is>
      </c>
      <c r="C987" t="inlineStr">
        <is>
          <t>Director of Communications</t>
        </is>
      </c>
      <c r="D987" t="inlineStr">
        <is>
          <t>Directeur des communications</t>
        </is>
      </c>
      <c r="E987" t="inlineStr">
        <is>
          <t>Guy Gallant</t>
        </is>
      </c>
      <c r="F987" t="inlineStr">
        <is>
          <t>To support the Minister with the official visit of the United States Secretary of Agriculture</t>
        </is>
      </c>
      <c r="G987" t="inlineStr">
        <is>
          <t>Soutenir le ministre lors de la visite officielle du secrétaire américain à l'agriculture</t>
        </is>
      </c>
      <c r="H987" s="1" t="n">
        <v>43265</v>
      </c>
      <c r="I987" s="1" t="n">
        <v>43267</v>
      </c>
      <c r="J987" t="inlineStr">
        <is>
          <t>Charlottetown, Prince Edward Island</t>
        </is>
      </c>
      <c r="K987" t="inlineStr">
        <is>
          <t>Charlottetown, Île-du-Prince-Édouard</t>
        </is>
      </c>
      <c r="P987" t="n">
        <v>595.53</v>
      </c>
      <c r="Q987" t="n">
        <v>0</v>
      </c>
      <c r="R987" t="n">
        <v>414</v>
      </c>
      <c r="S987" t="n">
        <v>158.15</v>
      </c>
      <c r="T987" t="n">
        <v>0</v>
      </c>
      <c r="U987" t="n">
        <v>1167.68</v>
      </c>
      <c r="X987" t="inlineStr">
        <is>
          <t>aafc-aac</t>
        </is>
      </c>
      <c r="Y987" t="inlineStr">
        <is>
          <t>Agriculture and Agri-Food Canada | Agriculture et Agroalimentaire Canada</t>
        </is>
      </c>
    </row>
    <row r="988">
      <c r="A988" t="inlineStr">
        <is>
          <t>T-2018-Q2-00014</t>
        </is>
      </c>
      <c r="B988" t="inlineStr">
        <is>
          <t>MPSES</t>
        </is>
      </c>
      <c r="C988" t="inlineStr">
        <is>
          <t>Director of Communications</t>
        </is>
      </c>
      <c r="D988" t="inlineStr">
        <is>
          <t>Directeur des communications</t>
        </is>
      </c>
      <c r="E988" t="inlineStr">
        <is>
          <t>Guy Gallant</t>
        </is>
      </c>
      <c r="F988" t="inlineStr">
        <is>
          <t>To accompany the Minister on an Ontario outreach - announcements in St. Anne's, Simcoe, Scotland area, St. Catherines, and Niagara on the Lake</t>
        </is>
      </c>
      <c r="G988" t="inlineStr">
        <is>
          <t>Accompagner le ministre lors d'une campagne de sensibilisation en Ontario - annonces à St. Anne's, à Simcoe, en Écosse, à St. Catharines et à Niagara-on-the-Lake</t>
        </is>
      </c>
      <c r="H988" s="1" t="n">
        <v>43283</v>
      </c>
      <c r="I988" s="1" t="n">
        <v>43285</v>
      </c>
      <c r="J988" t="inlineStr">
        <is>
          <t>Niagara Falls, Ontario</t>
        </is>
      </c>
      <c r="K988" t="inlineStr">
        <is>
          <t>Niagara Falls, Ontario</t>
        </is>
      </c>
      <c r="P988" t="n">
        <v>364.14</v>
      </c>
      <c r="Q988" t="n">
        <v>32.03</v>
      </c>
      <c r="R988" t="n">
        <v>528.64</v>
      </c>
      <c r="S988" t="n">
        <v>225.5</v>
      </c>
      <c r="T988" t="n">
        <v>0</v>
      </c>
      <c r="U988" t="n">
        <v>1150.31</v>
      </c>
      <c r="X988" t="inlineStr">
        <is>
          <t>aafc-aac</t>
        </is>
      </c>
      <c r="Y988" t="inlineStr">
        <is>
          <t>Agriculture and Agri-Food Canada | Agriculture et Agroalimentaire Canada</t>
        </is>
      </c>
    </row>
    <row r="989">
      <c r="A989" t="inlineStr">
        <is>
          <t>T-2018-Q2-00015</t>
        </is>
      </c>
      <c r="B989" t="inlineStr">
        <is>
          <t>MPSES</t>
        </is>
      </c>
      <c r="C989" t="inlineStr">
        <is>
          <t>Director of Communications</t>
        </is>
      </c>
      <c r="D989" t="inlineStr">
        <is>
          <t>Directeur des communications</t>
        </is>
      </c>
      <c r="E989" t="inlineStr">
        <is>
          <t>Guy Gallant</t>
        </is>
      </c>
      <c r="F989" t="inlineStr">
        <is>
          <t>To accompany the Minister for announcements and stakeholder meetings, the Atlantic Growth Strategy meetings, and Western outreach</t>
        </is>
      </c>
      <c r="G989" t="inlineStr">
        <is>
          <t>Accompagner le ministre pour les annonces et les réunions des intervenants, les réunions sur la stratégie de croissance de l'Atlantique et les activités de sensibilisation à l'Ouest.</t>
        </is>
      </c>
      <c r="H989" s="1" t="n">
        <v>43286</v>
      </c>
      <c r="I989" s="1" t="n">
        <v>43294</v>
      </c>
      <c r="J989" t="inlineStr">
        <is>
          <t>Charlottetown, Prince Edward Island; Calgary, Alberta; Saskatoon, Saskatchewan</t>
        </is>
      </c>
      <c r="K989" t="inlineStr">
        <is>
          <t>Charlottetown, Île-du-Prince-Édouard; Calgary, Alberta; Saskatoon, Saskatchewan</t>
        </is>
      </c>
      <c r="P989" t="n">
        <v>1562.21</v>
      </c>
      <c r="Q989" t="n">
        <v>81.87</v>
      </c>
      <c r="R989" t="n">
        <v>1245.69</v>
      </c>
      <c r="S989" t="n">
        <v>470.45</v>
      </c>
      <c r="T989" t="n">
        <v>0</v>
      </c>
      <c r="U989" t="n">
        <v>3360.22</v>
      </c>
      <c r="X989" t="inlineStr">
        <is>
          <t>aafc-aac</t>
        </is>
      </c>
      <c r="Y989" t="inlineStr">
        <is>
          <t>Agriculture and Agri-Food Canada | Agriculture et Agroalimentaire Canada</t>
        </is>
      </c>
    </row>
    <row r="990">
      <c r="A990" t="inlineStr">
        <is>
          <t>T-2018-Q2-00016</t>
        </is>
      </c>
      <c r="B990" t="inlineStr">
        <is>
          <t>MPSES</t>
        </is>
      </c>
      <c r="C990" t="inlineStr">
        <is>
          <t>Director of Communications</t>
        </is>
      </c>
      <c r="D990" t="inlineStr">
        <is>
          <t>Directeur des communications</t>
        </is>
      </c>
      <c r="E990" t="inlineStr">
        <is>
          <t>Guy Gallant</t>
        </is>
      </c>
      <c r="F990" t="inlineStr">
        <is>
          <t>To support the Minister for a British Columbia outreach and at the Federal Provincial Territorial Conference in Vancouver, British Columbia</t>
        </is>
      </c>
      <c r="G990" t="inlineStr">
        <is>
          <t>Soutenir le ministre lors d'une campagne de sensibilisation en Colombie-Britannique et à la conférence fédérale provinciale et territoriale à Vancouver, en Colombie-Britannique</t>
        </is>
      </c>
      <c r="H990" s="1" t="n">
        <v>43297</v>
      </c>
      <c r="I990" s="1" t="n">
        <v>43301</v>
      </c>
      <c r="J990" t="inlineStr">
        <is>
          <t>Vancouver, British Columbia</t>
        </is>
      </c>
      <c r="K990" t="inlineStr">
        <is>
          <t>Vancouver, Colombie-Britannique</t>
        </is>
      </c>
      <c r="P990" t="n">
        <v>1010.99</v>
      </c>
      <c r="Q990" t="n">
        <v>62.62</v>
      </c>
      <c r="R990" t="n">
        <v>1440.57</v>
      </c>
      <c r="S990" t="n">
        <v>308.25</v>
      </c>
      <c r="T990" t="n">
        <v>375</v>
      </c>
      <c r="U990" t="n">
        <v>3197.43</v>
      </c>
      <c r="V990" t="inlineStr">
        <is>
          <t>Other expenses: Federal Provincial Territorial Conference fees</t>
        </is>
      </c>
      <c r="W990" t="inlineStr">
        <is>
          <t>Autres dépenses: frais de la conférence fédérale provinciale et territoriale</t>
        </is>
      </c>
      <c r="X990" t="inlineStr">
        <is>
          <t>aafc-aac</t>
        </is>
      </c>
      <c r="Y990" t="inlineStr">
        <is>
          <t>Agriculture and Agri-Food Canada | Agriculture et Agroalimentaire Canada</t>
        </is>
      </c>
    </row>
    <row r="991">
      <c r="A991" t="inlineStr">
        <is>
          <t>T-2018-Q2-00017</t>
        </is>
      </c>
      <c r="B991" t="inlineStr">
        <is>
          <t>MPSES</t>
        </is>
      </c>
      <c r="C991" t="inlineStr">
        <is>
          <t>Director of Communications</t>
        </is>
      </c>
      <c r="D991" t="inlineStr">
        <is>
          <t>Directeur des communications</t>
        </is>
      </c>
      <c r="E991" t="inlineStr">
        <is>
          <t>Guy Gallant</t>
        </is>
      </c>
      <c r="F991" t="inlineStr">
        <is>
          <t>To attend G20 Agriculture Ministerial Meetings and outreach to Latin America</t>
        </is>
      </c>
      <c r="G991" t="inlineStr">
        <is>
          <t>Assister aux réunions ministérielles sur l'agriculture du G20 et à la sensibilisation en Amérique latine</t>
        </is>
      </c>
      <c r="H991" s="1" t="n">
        <v>43306</v>
      </c>
      <c r="I991" s="1" t="n">
        <v>43316</v>
      </c>
      <c r="J991" t="inlineStr">
        <is>
          <t>Buenos Aires, Argentina and Santiago, Chile</t>
        </is>
      </c>
      <c r="K991" t="inlineStr">
        <is>
          <t>Buenos Aires, Argentine et Santiago, Chili</t>
        </is>
      </c>
      <c r="P991" t="n">
        <v>5410.56</v>
      </c>
      <c r="Q991" t="n">
        <v>0</v>
      </c>
      <c r="R991" t="n">
        <v>2598.43</v>
      </c>
      <c r="S991" t="n">
        <v>824.73</v>
      </c>
      <c r="T991" t="n">
        <v>0</v>
      </c>
      <c r="U991" t="n">
        <v>8833.719999999999</v>
      </c>
      <c r="X991" t="inlineStr">
        <is>
          <t>aafc-aac</t>
        </is>
      </c>
      <c r="Y991" t="inlineStr">
        <is>
          <t>Agriculture and Agri-Food Canada | Agriculture et Agroalimentaire Canada</t>
        </is>
      </c>
    </row>
    <row r="992">
      <c r="A992" t="inlineStr">
        <is>
          <t>T-2018-Q2-00018</t>
        </is>
      </c>
      <c r="B992" t="inlineStr">
        <is>
          <t>MPSES</t>
        </is>
      </c>
      <c r="C992" t="inlineStr">
        <is>
          <t>Director of Policy</t>
        </is>
      </c>
      <c r="D992" t="inlineStr">
        <is>
          <t>Directrice de la politique</t>
        </is>
      </c>
      <c r="E992" t="inlineStr">
        <is>
          <t>Alison Porter</t>
        </is>
      </c>
      <c r="F992" t="inlineStr">
        <is>
          <t>To support the Minister with the official visit of the United States Secretary of Agriculture</t>
        </is>
      </c>
      <c r="G992" t="inlineStr">
        <is>
          <t>Soutenir le ministre lors de la visite officielle du secrétaire américain à l'agriculture</t>
        </is>
      </c>
      <c r="H992" s="1" t="n">
        <v>43265</v>
      </c>
      <c r="I992" s="1" t="n">
        <v>43267</v>
      </c>
      <c r="J992" t="inlineStr">
        <is>
          <t>Charlottetown, Prince Edward Island</t>
        </is>
      </c>
      <c r="K992" t="inlineStr">
        <is>
          <t>Charlottetown, Île-du-Prince-Édouard</t>
        </is>
      </c>
      <c r="P992" t="n">
        <v>752.13</v>
      </c>
      <c r="Q992" t="n">
        <v>228.97</v>
      </c>
      <c r="R992" t="n">
        <v>0</v>
      </c>
      <c r="S992" t="n">
        <v>158.15</v>
      </c>
      <c r="T992" t="n">
        <v>0</v>
      </c>
      <c r="U992" t="n">
        <v>1139.25</v>
      </c>
      <c r="X992" t="inlineStr">
        <is>
          <t>aafc-aac</t>
        </is>
      </c>
      <c r="Y992" t="inlineStr">
        <is>
          <t>Agriculture and Agri-Food Canada | Agriculture et Agroalimentaire Canada</t>
        </is>
      </c>
    </row>
    <row r="993">
      <c r="A993" t="inlineStr">
        <is>
          <t>T-2018-Q2-00019</t>
        </is>
      </c>
      <c r="B993" t="inlineStr">
        <is>
          <t>MPSES</t>
        </is>
      </c>
      <c r="C993" t="inlineStr">
        <is>
          <t>Director of Policy</t>
        </is>
      </c>
      <c r="D993" t="inlineStr">
        <is>
          <t>Directrice de la politique</t>
        </is>
      </c>
      <c r="E993" t="inlineStr">
        <is>
          <t>Alison Porter</t>
        </is>
      </c>
      <c r="F993" t="inlineStr">
        <is>
          <t>To accompany the Minister and the Parliamentary Secretary to the Quebec outreach</t>
        </is>
      </c>
      <c r="G993" t="inlineStr">
        <is>
          <t>Accompagner le ministre et le secrétaire parlementaire à la sensibilisation du Québec</t>
        </is>
      </c>
      <c r="H993" s="1" t="n">
        <v>43276</v>
      </c>
      <c r="I993" s="1" t="n">
        <v>43278</v>
      </c>
      <c r="J993" t="inlineStr">
        <is>
          <t>Sherbrooke and Montreal, Quebec</t>
        </is>
      </c>
      <c r="K993" t="inlineStr">
        <is>
          <t>Sherbrooke et Montréal, Québec</t>
        </is>
      </c>
      <c r="P993" t="n">
        <v>0</v>
      </c>
      <c r="Q993" t="n">
        <v>54.22</v>
      </c>
      <c r="R993" t="n">
        <v>437.94</v>
      </c>
      <c r="S993" t="n">
        <v>196.55</v>
      </c>
      <c r="T993" t="n">
        <v>0</v>
      </c>
      <c r="U993" t="n">
        <v>688.71</v>
      </c>
      <c r="X993" t="inlineStr">
        <is>
          <t>aafc-aac</t>
        </is>
      </c>
      <c r="Y993" t="inlineStr">
        <is>
          <t>Agriculture and Agri-Food Canada | Agriculture et Agroalimentaire Canada</t>
        </is>
      </c>
    </row>
    <row r="994">
      <c r="A994" t="inlineStr">
        <is>
          <t>T-2018-Q2-00020</t>
        </is>
      </c>
      <c r="B994" t="inlineStr">
        <is>
          <t>MPSES</t>
        </is>
      </c>
      <c r="C994" t="inlineStr">
        <is>
          <t>Director of Policy</t>
        </is>
      </c>
      <c r="D994" t="inlineStr">
        <is>
          <t>Directrice de la politique</t>
        </is>
      </c>
      <c r="E994" t="inlineStr">
        <is>
          <t>Alison Porter</t>
        </is>
      </c>
      <c r="F994" t="inlineStr">
        <is>
          <t>To support the Minister for a British Columbia outreach at the Federal-Provincial-Territorial Conference in Vancouver, British Columbia</t>
        </is>
      </c>
      <c r="G994" t="inlineStr">
        <is>
          <t>Soutenir le ministre pour une action de sensibilisation en Colombie-Britannique à la conférence fédérale-provinciale-territoriale à Vancouver, en Colombie-Britannique</t>
        </is>
      </c>
      <c r="H994" s="1" t="n">
        <v>43297</v>
      </c>
      <c r="I994" s="1" t="n">
        <v>43302</v>
      </c>
      <c r="J994" t="inlineStr">
        <is>
          <t>Vancouver, British Columbia</t>
        </is>
      </c>
      <c r="K994" t="inlineStr">
        <is>
          <t>Vancouver, Colombie-Britannique</t>
        </is>
      </c>
      <c r="P994" t="n">
        <v>750.6</v>
      </c>
      <c r="Q994" t="n">
        <v>29.36</v>
      </c>
      <c r="R994" t="n">
        <v>1440.57</v>
      </c>
      <c r="S994" t="n">
        <v>395.05</v>
      </c>
      <c r="T994" t="n">
        <v>375</v>
      </c>
      <c r="U994" t="n">
        <v>2990.58</v>
      </c>
      <c r="V994" t="inlineStr">
        <is>
          <t>Other expenses: Federal Provincial Territorial Conference fees</t>
        </is>
      </c>
      <c r="W994" t="inlineStr">
        <is>
          <t>Autres dépenses: frais de la conférence fédérale provinciale et territoriale</t>
        </is>
      </c>
      <c r="X994" t="inlineStr">
        <is>
          <t>aafc-aac</t>
        </is>
      </c>
      <c r="Y994" t="inlineStr">
        <is>
          <t>Agriculture and Agri-Food Canada | Agriculture et Agroalimentaire Canada</t>
        </is>
      </c>
    </row>
    <row r="995">
      <c r="A995" t="inlineStr">
        <is>
          <t>T-2018-Q2-00021</t>
        </is>
      </c>
      <c r="B995" t="inlineStr">
        <is>
          <t>MPSES</t>
        </is>
      </c>
      <c r="C995" t="inlineStr">
        <is>
          <t>Director of Policy</t>
        </is>
      </c>
      <c r="D995" t="inlineStr">
        <is>
          <t>Directrice de la politique</t>
        </is>
      </c>
      <c r="E995" t="inlineStr">
        <is>
          <t>Alison Porter</t>
        </is>
      </c>
      <c r="F995" t="inlineStr">
        <is>
          <t>To attend G20 Agriculture Ministerial Meetings, and Latin America outreach</t>
        </is>
      </c>
      <c r="G995" t="inlineStr">
        <is>
          <t>Assister aux réunions ministérielles sur l'agriculture du G20 et à la sensibilisation à l'Amérique latine</t>
        </is>
      </c>
      <c r="H995" s="1" t="n">
        <v>43306</v>
      </c>
      <c r="I995" s="1" t="n">
        <v>43315</v>
      </c>
      <c r="J995" t="inlineStr">
        <is>
          <t>Buenos Aires, Argentina and Santiago, Chile</t>
        </is>
      </c>
      <c r="K995" t="inlineStr">
        <is>
          <t>Buenos Aires, Argentine et Santiago, Chili</t>
        </is>
      </c>
      <c r="P995" t="n">
        <v>5637.97</v>
      </c>
      <c r="Q995" t="n">
        <v>0</v>
      </c>
      <c r="R995" t="n">
        <v>2291.11</v>
      </c>
      <c r="S995" t="n">
        <v>796.88</v>
      </c>
      <c r="T995" t="n">
        <v>0</v>
      </c>
      <c r="U995" t="n">
        <v>8725.959999999999</v>
      </c>
      <c r="X995" t="inlineStr">
        <is>
          <t>aafc-aac</t>
        </is>
      </c>
      <c r="Y995" t="inlineStr">
        <is>
          <t>Agriculture and Agri-Food Canada | Agriculture et Agroalimentaire Canada</t>
        </is>
      </c>
    </row>
    <row r="996">
      <c r="A996" t="inlineStr">
        <is>
          <t>T-2018-Q2-00022</t>
        </is>
      </c>
      <c r="B996" t="inlineStr">
        <is>
          <t>MPSES</t>
        </is>
      </c>
      <c r="C996" t="inlineStr">
        <is>
          <t>Director of Policy</t>
        </is>
      </c>
      <c r="D996" t="inlineStr">
        <is>
          <t>Directrice de la politique</t>
        </is>
      </c>
      <c r="E996" t="inlineStr">
        <is>
          <t>Alison Porter</t>
        </is>
      </c>
      <c r="F996" t="inlineStr">
        <is>
          <t>To support and attend briefings with the Minister</t>
        </is>
      </c>
      <c r="G996" t="inlineStr">
        <is>
          <t>Soutenir et assister à des séances d'information avec le ministre</t>
        </is>
      </c>
      <c r="H996" s="1" t="n">
        <v>43328</v>
      </c>
      <c r="I996" s="1" t="n">
        <v>43329</v>
      </c>
      <c r="J996" t="inlineStr">
        <is>
          <t>Charlottetown, Prince Edward Island</t>
        </is>
      </c>
      <c r="K996" t="inlineStr">
        <is>
          <t>Charlottetown, Île-du-Prince-Édouard</t>
        </is>
      </c>
      <c r="P996" t="n">
        <v>1236.17</v>
      </c>
      <c r="Q996" t="n">
        <v>144.14</v>
      </c>
      <c r="R996" t="n">
        <v>155.25</v>
      </c>
      <c r="S996" t="n">
        <v>208.2</v>
      </c>
      <c r="T996" t="n">
        <v>0</v>
      </c>
      <c r="U996" t="n">
        <v>1743.76</v>
      </c>
      <c r="X996" t="inlineStr">
        <is>
          <t>aafc-aac</t>
        </is>
      </c>
      <c r="Y996" t="inlineStr">
        <is>
          <t>Agriculture and Agri-Food Canada | Agriculture et Agroalimentaire Canada</t>
        </is>
      </c>
    </row>
    <row r="997">
      <c r="A997" t="inlineStr">
        <is>
          <t>T-2018-Q2-00023</t>
        </is>
      </c>
      <c r="B997" t="inlineStr">
        <is>
          <t>MPSES</t>
        </is>
      </c>
      <c r="C997" t="inlineStr">
        <is>
          <t>Policy Advisor</t>
        </is>
      </c>
      <c r="D997" t="inlineStr">
        <is>
          <t>Conseiller en politiques</t>
        </is>
      </c>
      <c r="E997" t="inlineStr">
        <is>
          <t>Dan Lussier</t>
        </is>
      </c>
      <c r="F997" t="inlineStr">
        <is>
          <t>To accompany the Minister to Calgary, Alberta and Saskatoon, Saskatchewan outreach</t>
        </is>
      </c>
      <c r="G997" t="inlineStr">
        <is>
          <t>Accompagner le ministre à Calgary, en Alberta et à Saskatoon, en Saskatchewan</t>
        </is>
      </c>
      <c r="H997" s="1" t="n">
        <v>43291</v>
      </c>
      <c r="I997" s="1" t="n">
        <v>43294</v>
      </c>
      <c r="J997" t="inlineStr">
        <is>
          <t>Calgary, Alberta and Saskatoon, Saskatchewan</t>
        </is>
      </c>
      <c r="K997" t="inlineStr">
        <is>
          <t>Calgary, Alberta et Saskatoon, Saskatchewan</t>
        </is>
      </c>
      <c r="P997" t="n">
        <v>914.52</v>
      </c>
      <c r="Q997" t="n">
        <v>30.01</v>
      </c>
      <c r="R997" t="n">
        <v>1106.6</v>
      </c>
      <c r="S997" t="n">
        <v>290.95</v>
      </c>
      <c r="T997" t="n">
        <v>0</v>
      </c>
      <c r="U997" t="n">
        <v>2342.08</v>
      </c>
      <c r="X997" t="inlineStr">
        <is>
          <t>aafc-aac</t>
        </is>
      </c>
      <c r="Y997" t="inlineStr">
        <is>
          <t>Agriculture and Agri-Food Canada | Agriculture et Agroalimentaire Canada</t>
        </is>
      </c>
    </row>
    <row r="998">
      <c r="A998" t="inlineStr">
        <is>
          <t>T-2018-Q2-00025</t>
        </is>
      </c>
      <c r="B998" t="inlineStr">
        <is>
          <t>MPSES</t>
        </is>
      </c>
      <c r="C998" t="inlineStr">
        <is>
          <t>Director of Parliamentary Affairs</t>
        </is>
      </c>
      <c r="D998" t="inlineStr">
        <is>
          <t>Directeur des affaires parlementaires</t>
        </is>
      </c>
      <c r="E998" t="inlineStr">
        <is>
          <t>Matthew Mann</t>
        </is>
      </c>
      <c r="F998" t="inlineStr">
        <is>
          <t>To support the Minister with the official visit of the United States Secretary of Agriculture</t>
        </is>
      </c>
      <c r="G998" t="inlineStr">
        <is>
          <t>Soutenir le ministre lors de la visite officielle du secrétaire américain à l'agriculture</t>
        </is>
      </c>
      <c r="H998" s="1" t="n">
        <v>43265</v>
      </c>
      <c r="I998" s="1" t="n">
        <v>43267</v>
      </c>
      <c r="J998" t="inlineStr">
        <is>
          <t>Charlottetown, Prince Edward Island</t>
        </is>
      </c>
      <c r="K998" t="inlineStr">
        <is>
          <t>Charlottetown, Île-du-Prince-Édouard</t>
        </is>
      </c>
      <c r="P998" t="n">
        <v>898.75</v>
      </c>
      <c r="Q998" t="n">
        <v>18.54</v>
      </c>
      <c r="R998" t="n">
        <v>0</v>
      </c>
      <c r="S998" t="n">
        <v>158.15</v>
      </c>
      <c r="T998" t="n">
        <v>0</v>
      </c>
      <c r="U998" t="n">
        <v>1075.44</v>
      </c>
      <c r="X998" t="inlineStr">
        <is>
          <t>aafc-aac</t>
        </is>
      </c>
      <c r="Y998" t="inlineStr">
        <is>
          <t>Agriculture and Agri-Food Canada | Agriculture et Agroalimentaire Canada</t>
        </is>
      </c>
    </row>
    <row r="999">
      <c r="A999" t="inlineStr">
        <is>
          <t>T-2018-Q2-00026</t>
        </is>
      </c>
      <c r="B999" t="inlineStr">
        <is>
          <t>MPSES</t>
        </is>
      </c>
      <c r="C999" t="inlineStr">
        <is>
          <t>Director of Parliamentary Affairs</t>
        </is>
      </c>
      <c r="D999" t="inlineStr">
        <is>
          <t>Directeur des affaires parlementaires</t>
        </is>
      </c>
      <c r="E999" t="inlineStr">
        <is>
          <t>Matthew Mann</t>
        </is>
      </c>
      <c r="F999" t="inlineStr">
        <is>
          <t>To accompany the Minister for government announcements</t>
        </is>
      </c>
      <c r="G999" t="inlineStr">
        <is>
          <t>Accompagner le ministre pour les annonces du gouvernement</t>
        </is>
      </c>
      <c r="H999" s="1" t="n">
        <v>43272</v>
      </c>
      <c r="I999" s="1" t="n">
        <v>43273</v>
      </c>
      <c r="J999" t="inlineStr">
        <is>
          <t>Charlottetown, Prince Edward Island</t>
        </is>
      </c>
      <c r="K999" t="inlineStr">
        <is>
          <t>Charlottetown, Île-du-Prince-Édouard</t>
        </is>
      </c>
      <c r="P999" t="n">
        <v>1002.99</v>
      </c>
      <c r="Q999" t="n">
        <v>123.45</v>
      </c>
      <c r="R999" t="n">
        <v>247.56</v>
      </c>
      <c r="S999" t="n">
        <v>169.55</v>
      </c>
      <c r="T999" t="n">
        <v>0</v>
      </c>
      <c r="U999" t="n">
        <v>1543.55</v>
      </c>
      <c r="X999" t="inlineStr">
        <is>
          <t>aafc-aac</t>
        </is>
      </c>
      <c r="Y999" t="inlineStr">
        <is>
          <t>Agriculture and Agri-Food Canada | Agriculture et Agroalimentaire Canada</t>
        </is>
      </c>
    </row>
    <row r="1000">
      <c r="A1000" t="inlineStr">
        <is>
          <t>T-2018-Q2-00027</t>
        </is>
      </c>
      <c r="B1000" t="inlineStr">
        <is>
          <t>MPSES</t>
        </is>
      </c>
      <c r="C1000" t="inlineStr">
        <is>
          <t>Director of Parliamentary Affairs</t>
        </is>
      </c>
      <c r="D1000" t="inlineStr">
        <is>
          <t>Directeur des affaires parlementaires</t>
        </is>
      </c>
      <c r="E1000" t="inlineStr">
        <is>
          <t>Matthew Mann</t>
        </is>
      </c>
      <c r="F1000" t="inlineStr">
        <is>
          <t>To support the Minister on the New Brunswick and Nova Scotia outreach</t>
        </is>
      </c>
      <c r="G1000" t="inlineStr">
        <is>
          <t>Soutenir le ministre dans le cadre des activités de sensibilisation au Nouveau-Brunswick et en Nouvelle-Écosse</t>
        </is>
      </c>
      <c r="H1000" s="1" t="n">
        <v>43278</v>
      </c>
      <c r="I1000" s="1" t="n">
        <v>43280</v>
      </c>
      <c r="J1000" t="inlineStr">
        <is>
          <t>Fredericton, New Brunswick and Halifax, Nova Scotia</t>
        </is>
      </c>
      <c r="K1000" t="inlineStr">
        <is>
          <t>Fredericton, Nouveau-Brunswick et Halifax, Nouvelle-Écosse</t>
        </is>
      </c>
      <c r="P1000" t="n">
        <v>1272.28</v>
      </c>
      <c r="Q1000" t="n">
        <v>47.27</v>
      </c>
      <c r="R1000" t="n">
        <v>381.09</v>
      </c>
      <c r="S1000" t="n">
        <v>225.5</v>
      </c>
      <c r="T1000" t="n">
        <v>0</v>
      </c>
      <c r="U1000" t="n">
        <v>1926.14</v>
      </c>
      <c r="X1000" t="inlineStr">
        <is>
          <t>aafc-aac</t>
        </is>
      </c>
      <c r="Y1000" t="inlineStr">
        <is>
          <t>Agriculture and Agri-Food Canada | Agriculture et Agroalimentaire Canada</t>
        </is>
      </c>
    </row>
    <row r="1001">
      <c r="A1001" t="inlineStr">
        <is>
          <t>T-2018-Q2-00064</t>
        </is>
      </c>
      <c r="B1001" t="inlineStr">
        <is>
          <t>SLE</t>
        </is>
      </c>
      <c r="C1001" t="inlineStr">
        <is>
          <t>Chief Information Officer</t>
        </is>
      </c>
      <c r="D1001" t="inlineStr">
        <is>
          <t>Dirigeant principal à l'information</t>
        </is>
      </c>
      <c r="E1001" t="inlineStr">
        <is>
          <t>Michel Lessard</t>
        </is>
      </c>
      <c r="F1001" t="inlineStr">
        <is>
          <t>Chief Information Officer Strategy Council Meeting</t>
        </is>
      </c>
      <c r="G1001" t="inlineStr">
        <is>
          <t>Réunion du conseil stratégique dirigeant principal à l'information</t>
        </is>
      </c>
      <c r="H1001" s="1" t="n">
        <v>43327</v>
      </c>
      <c r="I1001" s="1" t="n">
        <v>43327</v>
      </c>
      <c r="J1001" t="inlineStr">
        <is>
          <t>Toronto, Ontario</t>
        </is>
      </c>
      <c r="K1001" t="inlineStr">
        <is>
          <t>Toronto, Ontario</t>
        </is>
      </c>
      <c r="P1001" t="n">
        <v>335.15</v>
      </c>
      <c r="Q1001" t="n">
        <v>43.8</v>
      </c>
      <c r="S1001" t="n">
        <v>48.15</v>
      </c>
      <c r="U1001" t="n">
        <v>427.1</v>
      </c>
      <c r="X1001" t="inlineStr">
        <is>
          <t>aafc-aac</t>
        </is>
      </c>
      <c r="Y1001" t="inlineStr">
        <is>
          <t>Agriculture and Agri-Food Canada | Agriculture et Agroalimentaire Canada</t>
        </is>
      </c>
    </row>
    <row r="1002">
      <c r="A1002" t="inlineStr">
        <is>
          <t>T-2018-Q2-00028</t>
        </is>
      </c>
      <c r="B1002" t="inlineStr">
        <is>
          <t>MPSES</t>
        </is>
      </c>
      <c r="C1002" t="inlineStr">
        <is>
          <t>Director of Parliamentary Affairs</t>
        </is>
      </c>
      <c r="D1002" t="inlineStr">
        <is>
          <t>Directeur des affaires parlementaires</t>
        </is>
      </c>
      <c r="E1002" t="inlineStr">
        <is>
          <t>Matthew Mann</t>
        </is>
      </c>
      <c r="F1002" t="inlineStr">
        <is>
          <t>To support the Minister for a British Columbia outreach and at the Federal Provincial Territorial Conference in Vancouver, British Columbia</t>
        </is>
      </c>
      <c r="G1002" t="inlineStr">
        <is>
          <t>Soutenir le ministre lors d'une campagne de sensibilisation en Colombie-Britannique et à la conférence fédérale provinciale et territoriale à Vancouver, en Colombie-Britannique</t>
        </is>
      </c>
      <c r="H1002" s="1" t="n">
        <v>43297</v>
      </c>
      <c r="I1002" s="1" t="n">
        <v>43301</v>
      </c>
      <c r="J1002" t="inlineStr">
        <is>
          <t>Vancouver, British Columbia</t>
        </is>
      </c>
      <c r="K1002" t="inlineStr">
        <is>
          <t>Vancouver, Colombie-Britannique</t>
        </is>
      </c>
      <c r="P1002" t="n">
        <v>837.34</v>
      </c>
      <c r="Q1002" t="n">
        <v>18.54</v>
      </c>
      <c r="R1002" t="n">
        <v>1440.57</v>
      </c>
      <c r="S1002" t="n">
        <v>308.25</v>
      </c>
      <c r="T1002" t="n">
        <v>375</v>
      </c>
      <c r="U1002" t="n">
        <v>2979.7</v>
      </c>
      <c r="V1002" t="inlineStr">
        <is>
          <t>Other expenses: Federal Provincial Territorial Conference fees</t>
        </is>
      </c>
      <c r="W1002" t="inlineStr">
        <is>
          <t>Autres dépenses: frais de la conférence fédérale provinciale et territoriale</t>
        </is>
      </c>
      <c r="X1002" t="inlineStr">
        <is>
          <t>aafc-aac</t>
        </is>
      </c>
      <c r="Y1002" t="inlineStr">
        <is>
          <t>Agriculture and Agri-Food Canada | Agriculture et Agroalimentaire Canada</t>
        </is>
      </c>
    </row>
    <row r="1003">
      <c r="A1003" t="inlineStr">
        <is>
          <t>T-2018-Q2-00029</t>
        </is>
      </c>
      <c r="B1003" t="inlineStr">
        <is>
          <t>MPSES</t>
        </is>
      </c>
      <c r="C1003" t="inlineStr">
        <is>
          <t>Director of Parliamentary Affairs</t>
        </is>
      </c>
      <c r="D1003" t="inlineStr">
        <is>
          <t>Directeur des affaires parlementaires</t>
        </is>
      </c>
      <c r="E1003" t="inlineStr">
        <is>
          <t>Matthew Mann</t>
        </is>
      </c>
      <c r="F1003" t="inlineStr">
        <is>
          <t>To support the Minister for government announcements and attend briefings with the Minister</t>
        </is>
      </c>
      <c r="G1003" t="inlineStr">
        <is>
          <t>Appuyer le ministre pour les annonces gouvernementales et assister à des séances d'information avec le ministre</t>
        </is>
      </c>
      <c r="H1003" s="1" t="n">
        <v>43327</v>
      </c>
      <c r="I1003" s="1" t="n">
        <v>43329</v>
      </c>
      <c r="J1003" t="inlineStr">
        <is>
          <t>Charlottetown, Prince Edward Island</t>
        </is>
      </c>
      <c r="K1003" t="inlineStr">
        <is>
          <t>Charlottetown, Île-du-Prince-Édouard</t>
        </is>
      </c>
      <c r="P1003" t="n">
        <v>1133.15</v>
      </c>
      <c r="Q1003" t="n">
        <v>157.2</v>
      </c>
      <c r="R1003" t="n">
        <v>310.5</v>
      </c>
      <c r="S1003" t="n">
        <v>273.65</v>
      </c>
      <c r="T1003" t="n">
        <v>0</v>
      </c>
      <c r="U1003" t="n">
        <v>1874.5</v>
      </c>
      <c r="X1003" t="inlineStr">
        <is>
          <t>aafc-aac</t>
        </is>
      </c>
      <c r="Y1003" t="inlineStr">
        <is>
          <t>Agriculture and Agri-Food Canada | Agriculture et Agroalimentaire Canada</t>
        </is>
      </c>
    </row>
    <row r="1004">
      <c r="A1004" t="inlineStr">
        <is>
          <t>T-2018-Q2-00030</t>
        </is>
      </c>
      <c r="B1004" t="inlineStr">
        <is>
          <t>MPSES</t>
        </is>
      </c>
      <c r="C1004" t="inlineStr">
        <is>
          <t>Legislative Assistant, Policy Advisor</t>
        </is>
      </c>
      <c r="D1004" t="inlineStr">
        <is>
          <t>Adjoint législatif et Conseiller en politiques</t>
        </is>
      </c>
      <c r="E1004" t="inlineStr">
        <is>
          <t>Wallace McLean</t>
        </is>
      </c>
      <c r="F1004" t="inlineStr">
        <is>
          <t>To support the Minister on the New Brunswick and Nova Scotia outreach</t>
        </is>
      </c>
      <c r="G1004" t="inlineStr">
        <is>
          <t>Soutenir le ministre dans le cadre des activités de sensibilisation au Nouveau-Brunswick et en Nouvelle-Écosse</t>
        </is>
      </c>
      <c r="H1004" s="1" t="n">
        <v>43278</v>
      </c>
      <c r="I1004" s="1" t="n">
        <v>43280</v>
      </c>
      <c r="J1004" t="inlineStr">
        <is>
          <t>Fredericton, New Brunswick and Halifax, Nova Scotia</t>
        </is>
      </c>
      <c r="K1004" t="inlineStr">
        <is>
          <t>Fredericton, Nouveau-Brunswick et Halifax, Nouvelle-Écosse</t>
        </is>
      </c>
      <c r="P1004" t="n">
        <v>1184.64</v>
      </c>
      <c r="Q1004" t="n">
        <v>47.67</v>
      </c>
      <c r="R1004" t="n">
        <v>381.09</v>
      </c>
      <c r="S1004" t="n">
        <v>225.5</v>
      </c>
      <c r="T1004" t="n">
        <v>0</v>
      </c>
      <c r="U1004" t="n">
        <v>1838.9</v>
      </c>
      <c r="X1004" t="inlineStr">
        <is>
          <t>aafc-aac</t>
        </is>
      </c>
      <c r="Y1004" t="inlineStr">
        <is>
          <t>Agriculture and Agri-Food Canada | Agriculture et Agroalimentaire Canada</t>
        </is>
      </c>
    </row>
    <row r="1005">
      <c r="A1005" t="inlineStr">
        <is>
          <t>T-2018-Q2-00031</t>
        </is>
      </c>
      <c r="B1005" t="inlineStr">
        <is>
          <t>MPSES</t>
        </is>
      </c>
      <c r="C1005" t="inlineStr">
        <is>
          <t>Legislative Assistant, Policy Advisor</t>
        </is>
      </c>
      <c r="D1005" t="inlineStr">
        <is>
          <t>Adjoint législatif et Conseiller en politiques</t>
        </is>
      </c>
      <c r="E1005" t="inlineStr">
        <is>
          <t>Wallace McLean</t>
        </is>
      </c>
      <c r="F1005" t="inlineStr">
        <is>
          <t>To accompany the Minister for announcements and the Atlantic Growth Strategy Meetings</t>
        </is>
      </c>
      <c r="G1005" t="inlineStr">
        <is>
          <t>Accompagner le ministre aux annonces et aux réunions sur la stratégie de croissance de l'Atlantique</t>
        </is>
      </c>
      <c r="H1005" s="1" t="n">
        <v>43289</v>
      </c>
      <c r="I1005" s="1" t="n">
        <v>43291</v>
      </c>
      <c r="J1005" t="inlineStr">
        <is>
          <t>Summerside, Prince Edward Island</t>
        </is>
      </c>
      <c r="K1005" t="inlineStr">
        <is>
          <t>Summerside, Île-du-Prince-Édouard</t>
        </is>
      </c>
      <c r="P1005" t="n">
        <v>1037.74</v>
      </c>
      <c r="Q1005" t="n">
        <v>92.20999999999999</v>
      </c>
      <c r="R1005" t="n">
        <v>355.34</v>
      </c>
      <c r="S1005" t="n">
        <v>225.5</v>
      </c>
      <c r="T1005" t="n">
        <v>0</v>
      </c>
      <c r="U1005" t="n">
        <v>1710.79</v>
      </c>
      <c r="X1005" t="inlineStr">
        <is>
          <t>aafc-aac</t>
        </is>
      </c>
      <c r="Y1005" t="inlineStr">
        <is>
          <t>Agriculture and Agri-Food Canada | Agriculture et Agroalimentaire Canada</t>
        </is>
      </c>
    </row>
    <row r="1006">
      <c r="A1006" t="inlineStr">
        <is>
          <t>T-2018-Q2-00032</t>
        </is>
      </c>
      <c r="B1006" t="inlineStr">
        <is>
          <t>MPSES</t>
        </is>
      </c>
      <c r="C1006" t="inlineStr">
        <is>
          <t>Student</t>
        </is>
      </c>
      <c r="D1006" t="inlineStr">
        <is>
          <t>Etudiant</t>
        </is>
      </c>
      <c r="E1006" t="inlineStr">
        <is>
          <t>Nicholas McRoberts</t>
        </is>
      </c>
      <c r="F1006" t="inlineStr">
        <is>
          <t>To accompany the Minister for announcements and the Atlantic Growth Strategy Meetings</t>
        </is>
      </c>
      <c r="G1006" t="inlineStr">
        <is>
          <t>Accompagner le ministre aux annonces et aux réunions sur la stratégie de croissance de l'Atlantique</t>
        </is>
      </c>
      <c r="H1006" s="1" t="n">
        <v>43286</v>
      </c>
      <c r="I1006" s="1" t="n">
        <v>43291</v>
      </c>
      <c r="J1006" t="inlineStr">
        <is>
          <t>Charlottetown, Prince Edward Island</t>
        </is>
      </c>
      <c r="K1006" t="inlineStr">
        <is>
          <t>Charlottetown, Île-du-Prince-Édouard</t>
        </is>
      </c>
      <c r="P1006" t="n">
        <v>764.5599999999999</v>
      </c>
      <c r="Q1006" t="n">
        <v>0</v>
      </c>
      <c r="R1006" t="n">
        <v>0</v>
      </c>
      <c r="S1006" t="n">
        <v>318.2</v>
      </c>
      <c r="T1006" t="n">
        <v>0</v>
      </c>
      <c r="U1006" t="n">
        <v>1082.76</v>
      </c>
      <c r="X1006" t="inlineStr">
        <is>
          <t>aafc-aac</t>
        </is>
      </c>
      <c r="Y1006" t="inlineStr">
        <is>
          <t>Agriculture and Agri-Food Canada | Agriculture et Agroalimentaire Canada</t>
        </is>
      </c>
    </row>
    <row r="1007">
      <c r="A1007" t="inlineStr">
        <is>
          <t>T-2018-Q2-00033</t>
        </is>
      </c>
      <c r="B1007" t="inlineStr">
        <is>
          <t>MPSES</t>
        </is>
      </c>
      <c r="C1007" t="inlineStr">
        <is>
          <t>Student</t>
        </is>
      </c>
      <c r="D1007" t="inlineStr">
        <is>
          <t>Etudiant</t>
        </is>
      </c>
      <c r="E1007" t="inlineStr">
        <is>
          <t>Nicholas McRoberts</t>
        </is>
      </c>
      <c r="F1007" t="inlineStr">
        <is>
          <t>To support the Minister for Government annoucements</t>
        </is>
      </c>
      <c r="G1007" t="inlineStr">
        <is>
          <t>Soutenir le ministre pour les annonces du gouvernement</t>
        </is>
      </c>
      <c r="H1007" s="1" t="n">
        <v>43340</v>
      </c>
      <c r="I1007" s="1" t="n">
        <v>43342</v>
      </c>
      <c r="J1007" t="inlineStr">
        <is>
          <t>Charlottetown, Prince Edward Island</t>
        </is>
      </c>
      <c r="K1007" t="inlineStr">
        <is>
          <t>Charlottetown, Île-du-Prince-Édouard</t>
        </is>
      </c>
      <c r="P1007" t="n">
        <v>762.3</v>
      </c>
      <c r="Q1007" t="n">
        <v>0</v>
      </c>
      <c r="R1007" t="n">
        <v>0</v>
      </c>
      <c r="S1007" t="n">
        <v>121.15</v>
      </c>
      <c r="T1007" t="n">
        <v>0</v>
      </c>
      <c r="U1007" t="n">
        <v>883.45</v>
      </c>
      <c r="X1007" t="inlineStr">
        <is>
          <t>aafc-aac</t>
        </is>
      </c>
      <c r="Y1007" t="inlineStr">
        <is>
          <t>Agriculture and Agri-Food Canada | Agriculture et Agroalimentaire Canada</t>
        </is>
      </c>
    </row>
    <row r="1008">
      <c r="A1008" t="inlineStr">
        <is>
          <t>T-2018-Q2-00034</t>
        </is>
      </c>
      <c r="B1008" t="inlineStr">
        <is>
          <t>MPSES</t>
        </is>
      </c>
      <c r="C1008" t="inlineStr">
        <is>
          <t>Parliamentary Secretary</t>
        </is>
      </c>
      <c r="D1008" t="inlineStr">
        <is>
          <t>Secrétaire parlementaire</t>
        </is>
      </c>
      <c r="E1008" t="inlineStr">
        <is>
          <t>Jean-Claude Poissant</t>
        </is>
      </c>
      <c r="F1008" t="inlineStr">
        <is>
          <t>To attend Fierte Agricole meeting about mental health in Agriculture</t>
        </is>
      </c>
      <c r="G1008" t="inlineStr">
        <is>
          <t>Assister à la réunion Fierte Agricole sur la santé mentale en agriculture</t>
        </is>
      </c>
      <c r="H1008" s="1" t="n">
        <v>43280</v>
      </c>
      <c r="I1008" s="1" t="n">
        <v>43280</v>
      </c>
      <c r="J1008" t="inlineStr">
        <is>
          <t>Bonaventure, Quebec</t>
        </is>
      </c>
      <c r="K1008" t="inlineStr">
        <is>
          <t>Bonaventure, Québec</t>
        </is>
      </c>
      <c r="P1008" t="n">
        <v>1641.34</v>
      </c>
      <c r="Q1008" t="n">
        <v>0</v>
      </c>
      <c r="R1008" t="n">
        <v>0</v>
      </c>
      <c r="S1008" t="n">
        <v>86.8</v>
      </c>
      <c r="T1008" t="n">
        <v>0</v>
      </c>
      <c r="U1008" t="n">
        <v>1728.14</v>
      </c>
      <c r="X1008" t="inlineStr">
        <is>
          <t>aafc-aac</t>
        </is>
      </c>
      <c r="Y1008" t="inlineStr">
        <is>
          <t>Agriculture and Agri-Food Canada | Agriculture et Agroalimentaire Canada</t>
        </is>
      </c>
    </row>
    <row r="1009">
      <c r="A1009" t="inlineStr">
        <is>
          <t>T-2018-Q2-00035</t>
        </is>
      </c>
      <c r="B1009" t="inlineStr">
        <is>
          <t>MPSES</t>
        </is>
      </c>
      <c r="C1009" t="inlineStr">
        <is>
          <t>Parliamentary Secretary</t>
        </is>
      </c>
      <c r="D1009" t="inlineStr">
        <is>
          <t>Secrétaire parlementaire</t>
        </is>
      </c>
      <c r="E1009" t="inlineStr">
        <is>
          <t>Jean-Claude Poissant</t>
        </is>
      </c>
      <c r="F1009" t="inlineStr">
        <is>
          <t>To attend the Canadian Horticultural Council - The Voice of the Canadian fruit and vegetable growers</t>
        </is>
      </c>
      <c r="G1009" t="inlineStr">
        <is>
          <t>Assister au Conseil canadien de l'horticulture - La voix des producteurs canadiens de fruits et légumes</t>
        </is>
      </c>
      <c r="H1009" s="1" t="n">
        <v>43285</v>
      </c>
      <c r="I1009" s="1" t="n">
        <v>43286</v>
      </c>
      <c r="J1009" t="inlineStr">
        <is>
          <t>Quebec, Quebec</t>
        </is>
      </c>
      <c r="K1009" t="inlineStr">
        <is>
          <t>Québec, Québec</t>
        </is>
      </c>
      <c r="P1009" t="n">
        <v>0</v>
      </c>
      <c r="Q1009" t="n">
        <v>0</v>
      </c>
      <c r="R1009" t="n">
        <v>213.01</v>
      </c>
      <c r="S1009" t="n">
        <v>130.9</v>
      </c>
      <c r="T1009" t="n">
        <v>0</v>
      </c>
      <c r="U1009" t="n">
        <v>343.91</v>
      </c>
      <c r="X1009" t="inlineStr">
        <is>
          <t>aafc-aac</t>
        </is>
      </c>
      <c r="Y1009" t="inlineStr">
        <is>
          <t>Agriculture and Agri-Food Canada | Agriculture et Agroalimentaire Canada</t>
        </is>
      </c>
    </row>
    <row r="1010">
      <c r="A1010" t="inlineStr">
        <is>
          <t>T-2018-Q2-00036</t>
        </is>
      </c>
      <c r="B1010" t="inlineStr">
        <is>
          <t>MPSES</t>
        </is>
      </c>
      <c r="C1010" t="inlineStr">
        <is>
          <t>Parliamentary Secretary Assistant</t>
        </is>
      </c>
      <c r="D1010" t="inlineStr">
        <is>
          <t>Adjoint du Secrétaire parlementaire</t>
        </is>
      </c>
      <c r="E1010" t="inlineStr">
        <is>
          <t>Michel-Antoine Renaud</t>
        </is>
      </c>
      <c r="F1010" t="inlineStr">
        <is>
          <t>To accompany the Parliamentary Secretary to the Ormstown Fair for a speech</t>
        </is>
      </c>
      <c r="G1010" t="inlineStr">
        <is>
          <t>Accompagner le secrétaire parlementaire à la foire d'Ormstown pour un discours</t>
        </is>
      </c>
      <c r="H1010" s="1" t="n">
        <v>43258</v>
      </c>
      <c r="I1010" s="1" t="n">
        <v>43258</v>
      </c>
      <c r="J1010" t="inlineStr">
        <is>
          <t>Ormstown, Quebec</t>
        </is>
      </c>
      <c r="K1010" t="inlineStr">
        <is>
          <t>Ormstown, Québec</t>
        </is>
      </c>
      <c r="P1010" t="n">
        <v>0</v>
      </c>
      <c r="Q1010" t="n">
        <v>75.67</v>
      </c>
      <c r="R1010" t="n">
        <v>0</v>
      </c>
      <c r="S1010" t="n">
        <v>0</v>
      </c>
      <c r="T1010" t="n">
        <v>0</v>
      </c>
      <c r="U1010" t="n">
        <v>75.67</v>
      </c>
      <c r="X1010" t="inlineStr">
        <is>
          <t>aafc-aac</t>
        </is>
      </c>
      <c r="Y1010" t="inlineStr">
        <is>
          <t>Agriculture and Agri-Food Canada | Agriculture et Agroalimentaire Canada</t>
        </is>
      </c>
    </row>
    <row r="1011">
      <c r="A1011" t="inlineStr">
        <is>
          <t>T-2018-Q2-00037</t>
        </is>
      </c>
      <c r="B1011" t="inlineStr">
        <is>
          <t>MPSES</t>
        </is>
      </c>
      <c r="C1011" t="inlineStr">
        <is>
          <t>Parliamentary Secretary Assistant</t>
        </is>
      </c>
      <c r="D1011" t="inlineStr">
        <is>
          <t>Adjoint du Secrétaire parlementaire</t>
        </is>
      </c>
      <c r="E1011" t="inlineStr">
        <is>
          <t>Michel-Antoine Renaud</t>
        </is>
      </c>
      <c r="F1011" t="inlineStr">
        <is>
          <t>To accompany the Minister and the Parliamentary Secretary on Quebec outreach</t>
        </is>
      </c>
      <c r="G1011" t="inlineStr">
        <is>
          <t>Accompagner le ministre et le secrétaire parlementaire sur la sensibilisation du Québec</t>
        </is>
      </c>
      <c r="H1011" s="1" t="n">
        <v>43276</v>
      </c>
      <c r="I1011" s="1" t="n">
        <v>43278</v>
      </c>
      <c r="J1011" t="inlineStr">
        <is>
          <t>Sherbrooke and Montreal, Quebec</t>
        </is>
      </c>
      <c r="K1011" t="inlineStr">
        <is>
          <t>Sherbrooke et Montréal, Québec</t>
        </is>
      </c>
      <c r="P1011" t="n">
        <v>0</v>
      </c>
      <c r="Q1011" t="n">
        <v>265.95</v>
      </c>
      <c r="R1011" t="n">
        <v>437.94</v>
      </c>
      <c r="S1011" t="n">
        <v>196.55</v>
      </c>
      <c r="T1011" t="n">
        <v>0</v>
      </c>
      <c r="U1011" t="n">
        <v>900.4400000000001</v>
      </c>
      <c r="X1011" t="inlineStr">
        <is>
          <t>aafc-aac</t>
        </is>
      </c>
      <c r="Y1011" t="inlineStr">
        <is>
          <t>Agriculture and Agri-Food Canada | Agriculture et Agroalimentaire Canada</t>
        </is>
      </c>
    </row>
    <row r="1012">
      <c r="A1012" t="inlineStr">
        <is>
          <t>T-2018-Q2-00038</t>
        </is>
      </c>
      <c r="B1012" t="inlineStr">
        <is>
          <t>MPSES</t>
        </is>
      </c>
      <c r="C1012" t="inlineStr">
        <is>
          <t>Parliamentary Secretary Assistant</t>
        </is>
      </c>
      <c r="D1012" t="inlineStr">
        <is>
          <t>Adjoint du Secrétaire parlementaire</t>
        </is>
      </c>
      <c r="E1012" t="inlineStr">
        <is>
          <t>Michel-Antoine Renaud</t>
        </is>
      </c>
      <c r="F1012" t="inlineStr">
        <is>
          <t>To accompany Parliamentary Secretary to the Canadian Horticultural Council - The voice of the Canadian fruit and vegetable growers</t>
        </is>
      </c>
      <c r="G1012" t="inlineStr">
        <is>
          <t>Accompagner le secrétaire parlementaire du Conseil canadien de l'horticulture - La voix des producteurs canadiens de fruits et légumes</t>
        </is>
      </c>
      <c r="H1012" s="1" t="n">
        <v>43285</v>
      </c>
      <c r="I1012" s="1" t="n">
        <v>43286</v>
      </c>
      <c r="J1012" t="inlineStr">
        <is>
          <t>Quebec, Quebec</t>
        </is>
      </c>
      <c r="K1012" t="inlineStr">
        <is>
          <t>Québec, Québec</t>
        </is>
      </c>
      <c r="P1012" t="n">
        <v>0</v>
      </c>
      <c r="Q1012" t="n">
        <v>170.24</v>
      </c>
      <c r="R1012" t="n">
        <v>213.01</v>
      </c>
      <c r="S1012" t="n">
        <v>130.9</v>
      </c>
      <c r="T1012" t="n">
        <v>0</v>
      </c>
      <c r="U1012" t="n">
        <v>514.15</v>
      </c>
      <c r="X1012" t="inlineStr">
        <is>
          <t>aafc-aac</t>
        </is>
      </c>
      <c r="Y1012" t="inlineStr">
        <is>
          <t>Agriculture and Agri-Food Canada | Agriculture et Agroalimentaire Canada</t>
        </is>
      </c>
    </row>
    <row r="1013">
      <c r="A1013" t="inlineStr">
        <is>
          <t>T-2018-Q2-00039</t>
        </is>
      </c>
      <c r="B1013" t="inlineStr">
        <is>
          <t>MPSES</t>
        </is>
      </c>
      <c r="C1013" t="inlineStr">
        <is>
          <t>Parliamentary Secretary Assistant</t>
        </is>
      </c>
      <c r="D1013" t="inlineStr">
        <is>
          <t>Adjoint du Secrétaire parlementaire</t>
        </is>
      </c>
      <c r="E1013" t="inlineStr">
        <is>
          <t>Michel-Antoine Renaud</t>
        </is>
      </c>
      <c r="F1013" t="inlineStr">
        <is>
          <t>To accompany Parliamentary Secretary to the Dairy Farmers of Canada annual general meeting in Quebec</t>
        </is>
      </c>
      <c r="G1013" t="inlineStr">
        <is>
          <t>Accompagner le secrétaire parlementaire à l'assemblée générale annuelle des Producteurs laitiers du Canada à Québec</t>
        </is>
      </c>
      <c r="H1013" s="1" t="n">
        <v>43297</v>
      </c>
      <c r="I1013" s="1" t="n">
        <v>43298</v>
      </c>
      <c r="J1013" t="inlineStr">
        <is>
          <t>Quebec, Quebec</t>
        </is>
      </c>
      <c r="K1013" t="inlineStr">
        <is>
          <t>Québec, Québec</t>
        </is>
      </c>
      <c r="P1013" t="n">
        <v>0</v>
      </c>
      <c r="Q1013" t="n">
        <v>221.52</v>
      </c>
      <c r="R1013" t="n">
        <v>175.58</v>
      </c>
      <c r="S1013" t="n">
        <v>121.4</v>
      </c>
      <c r="T1013" t="n">
        <v>0</v>
      </c>
      <c r="U1013" t="n">
        <v>518.5</v>
      </c>
      <c r="X1013" t="inlineStr">
        <is>
          <t>aafc-aac</t>
        </is>
      </c>
      <c r="Y1013" t="inlineStr">
        <is>
          <t>Agriculture and Agri-Food Canada | Agriculture et Agroalimentaire Canada</t>
        </is>
      </c>
    </row>
    <row r="1014">
      <c r="A1014" t="inlineStr">
        <is>
          <t>T-2018-Q2-00040</t>
        </is>
      </c>
      <c r="B1014" t="inlineStr">
        <is>
          <t>MPSES</t>
        </is>
      </c>
      <c r="C1014" t="inlineStr">
        <is>
          <t>Parliamentary Secretary Assistant</t>
        </is>
      </c>
      <c r="D1014" t="inlineStr">
        <is>
          <t>Adjoint du Secrétaire parlementaire</t>
        </is>
      </c>
      <c r="E1014" t="inlineStr">
        <is>
          <t>Michel-Antoine Renaud</t>
        </is>
      </c>
      <c r="F1014" t="inlineStr">
        <is>
          <t>To accompany the Minister and the Parliamentary Secretary to the Youth Elite Farmer Gala and EXPO Champs</t>
        </is>
      </c>
      <c r="G1014" t="inlineStr">
        <is>
          <t>Accompagner le ministre et le secrétaire parlementaire du Gala de la jeunesse et de l'EXPO</t>
        </is>
      </c>
      <c r="H1014" s="1" t="n">
        <v>43339</v>
      </c>
      <c r="I1014" s="1" t="n">
        <v>43341</v>
      </c>
      <c r="J1014" t="inlineStr">
        <is>
          <t>Bromont, Quebec</t>
        </is>
      </c>
      <c r="K1014" t="inlineStr">
        <is>
          <t>Bromont, Québec</t>
        </is>
      </c>
      <c r="P1014" t="n">
        <v>0</v>
      </c>
      <c r="Q1014" t="n">
        <v>156.44</v>
      </c>
      <c r="R1014" t="n">
        <v>271.32</v>
      </c>
      <c r="S1014" t="n">
        <v>157.9</v>
      </c>
      <c r="T1014" t="n">
        <v>0</v>
      </c>
      <c r="U1014" t="n">
        <v>585.66</v>
      </c>
      <c r="X1014" t="inlineStr">
        <is>
          <t>aafc-aac</t>
        </is>
      </c>
      <c r="Y1014" t="inlineStr">
        <is>
          <t>Agriculture and Agri-Food Canada | Agriculture et Agroalimentaire Canada</t>
        </is>
      </c>
    </row>
    <row r="1015">
      <c r="A1015" t="inlineStr">
        <is>
          <t>T-2018-Q1-00012</t>
        </is>
      </c>
      <c r="B1015" t="inlineStr">
        <is>
          <t>MPSES</t>
        </is>
      </c>
      <c r="C1015" t="inlineStr">
        <is>
          <t>Chief of Staff</t>
        </is>
      </c>
      <c r="D1015" t="inlineStr">
        <is>
          <t>Chef de cabinet</t>
        </is>
      </c>
      <c r="E1015" t="inlineStr">
        <is>
          <t>Mary Jean McFall</t>
        </is>
      </c>
      <c r="F1015" t="inlineStr">
        <is>
          <t>Travel for the Ministerial Mission to China</t>
        </is>
      </c>
      <c r="G1015" t="inlineStr">
        <is>
          <t>Voyage pour la mission ministérielle en Chine</t>
        </is>
      </c>
      <c r="H1015" s="1" t="n">
        <v>43231</v>
      </c>
      <c r="I1015" s="1" t="n">
        <v>43239</v>
      </c>
      <c r="J1015" t="inlineStr">
        <is>
          <t>Shanghai &amp; Hangzhou, China</t>
        </is>
      </c>
      <c r="K1015" t="inlineStr">
        <is>
          <t>Shanghai et Hangzhou, Chine</t>
        </is>
      </c>
      <c r="P1015" t="n">
        <v>8309.18</v>
      </c>
      <c r="Q1015" t="n">
        <v>36.35</v>
      </c>
      <c r="R1015" t="n">
        <v>2045.04</v>
      </c>
      <c r="S1015" t="n">
        <v>1270.47</v>
      </c>
      <c r="T1015" t="n">
        <v>0</v>
      </c>
      <c r="U1015" t="n">
        <v>11661.04</v>
      </c>
      <c r="V1015" t="n">
        <v>1900016116</v>
      </c>
      <c r="X1015" t="inlineStr">
        <is>
          <t>aafc-aac</t>
        </is>
      </c>
      <c r="Y1015" t="inlineStr">
        <is>
          <t>Agriculture and Agri-Food Canada | Agriculture et Agroalimentaire Canada</t>
        </is>
      </c>
    </row>
    <row r="1016">
      <c r="A1016" t="inlineStr">
        <is>
          <t>T-2018-Q2-00041</t>
        </is>
      </c>
      <c r="B1016" t="inlineStr">
        <is>
          <t>SLE</t>
        </is>
      </c>
      <c r="C1016" t="inlineStr">
        <is>
          <t>Deputy Minister</t>
        </is>
      </c>
      <c r="D1016" t="inlineStr">
        <is>
          <t>Sous-Ministre</t>
        </is>
      </c>
      <c r="E1016" t="inlineStr">
        <is>
          <t>Chris Forbes</t>
        </is>
      </c>
      <c r="F1016" t="inlineStr">
        <is>
          <t>Co-chair and attend an Agri-Food Economic Strategy Table</t>
        </is>
      </c>
      <c r="G1016" t="inlineStr">
        <is>
          <t>Coprésider et assister à une table de stratégie économique agroalimentaire</t>
        </is>
      </c>
      <c r="H1016" s="1" t="n">
        <v>43255</v>
      </c>
      <c r="I1016" s="1" t="n">
        <v>43256</v>
      </c>
      <c r="J1016" t="inlineStr">
        <is>
          <t>Toronto, Ontario</t>
        </is>
      </c>
      <c r="K1016" t="inlineStr">
        <is>
          <t>Toronto, Ontario</t>
        </is>
      </c>
      <c r="P1016" t="n">
        <v>545.59</v>
      </c>
      <c r="Q1016" t="n">
        <v>0</v>
      </c>
      <c r="R1016" t="n">
        <v>304.38</v>
      </c>
      <c r="S1016" t="n">
        <v>19.45</v>
      </c>
      <c r="T1016" t="n">
        <v>0</v>
      </c>
      <c r="U1016" t="n">
        <v>869.42</v>
      </c>
      <c r="X1016" t="inlineStr">
        <is>
          <t>aafc-aac</t>
        </is>
      </c>
      <c r="Y1016" t="inlineStr">
        <is>
          <t>Agriculture and Agri-Food Canada | Agriculture et Agroalimentaire Canada</t>
        </is>
      </c>
    </row>
    <row r="1017">
      <c r="A1017" t="inlineStr">
        <is>
          <t>T-2018-Q2-00042</t>
        </is>
      </c>
      <c r="B1017" t="inlineStr">
        <is>
          <t>SLE</t>
        </is>
      </c>
      <c r="C1017" t="inlineStr">
        <is>
          <t>Deputy Minister</t>
        </is>
      </c>
      <c r="D1017" t="inlineStr">
        <is>
          <t>Sous-Ministre</t>
        </is>
      </c>
      <c r="E1017" t="inlineStr">
        <is>
          <t>Chris Forbes</t>
        </is>
      </c>
      <c r="F1017" t="inlineStr">
        <is>
          <t>Outreach to Winnipeg, Manitoba and speaking engagement at the Canola Council Board meeting in Winnipeg, Manitoba</t>
        </is>
      </c>
      <c r="G1017" t="inlineStr">
        <is>
          <t>Sensibilisation à Winnipeg (Manitoba) et participation à la réunion du conseil du conseil du canola à Winnipeg (Manitoba)</t>
        </is>
      </c>
      <c r="H1017" s="1" t="n">
        <v>43269</v>
      </c>
      <c r="I1017" s="1" t="n">
        <v>43270</v>
      </c>
      <c r="J1017" t="inlineStr">
        <is>
          <t>Winnipeg, Manitoba</t>
        </is>
      </c>
      <c r="K1017" t="inlineStr">
        <is>
          <t>Winnipeg, Manitoba</t>
        </is>
      </c>
      <c r="P1017" t="n">
        <v>543.28</v>
      </c>
      <c r="Q1017" t="n">
        <v>0</v>
      </c>
      <c r="R1017" t="n">
        <v>199.84</v>
      </c>
      <c r="S1017" t="n">
        <v>134.95</v>
      </c>
      <c r="T1017" t="n">
        <v>0</v>
      </c>
      <c r="U1017" t="n">
        <v>878.0700000000001</v>
      </c>
      <c r="X1017" t="inlineStr">
        <is>
          <t>aafc-aac</t>
        </is>
      </c>
      <c r="Y1017" t="inlineStr">
        <is>
          <t>Agriculture and Agri-Food Canada | Agriculture et Agroalimentaire Canada</t>
        </is>
      </c>
    </row>
    <row r="1018">
      <c r="A1018" t="inlineStr">
        <is>
          <t>T-2018-Q2-00043</t>
        </is>
      </c>
      <c r="B1018" t="inlineStr">
        <is>
          <t>SLE</t>
        </is>
      </c>
      <c r="C1018" t="inlineStr">
        <is>
          <t>Deputy Minister</t>
        </is>
      </c>
      <c r="D1018" t="inlineStr">
        <is>
          <t>Sous-Ministre</t>
        </is>
      </c>
      <c r="E1018" t="inlineStr">
        <is>
          <t>Chris Forbes</t>
        </is>
      </c>
      <c r="F1018" t="inlineStr">
        <is>
          <t>Outreach to Regina, Saskatchewan and speaking engagement at the Pulse and Special Crops Convention in Regina, Saskatchewan</t>
        </is>
      </c>
      <c r="G1018" t="inlineStr">
        <is>
          <t>Sensibilisation à Regina (Saskatchewan) et participation à la Convention sur les légumineuses et les cultures spéciales à Regina, en Saskatchewan</t>
        </is>
      </c>
      <c r="H1018" s="1" t="n">
        <v>43291</v>
      </c>
      <c r="I1018" s="1" t="n">
        <v>43294</v>
      </c>
      <c r="J1018" t="inlineStr">
        <is>
          <t>Regina, Saskatchewan</t>
        </is>
      </c>
      <c r="K1018" t="inlineStr">
        <is>
          <t>Regina, Saskatchewan</t>
        </is>
      </c>
      <c r="P1018" t="n">
        <v>867.65</v>
      </c>
      <c r="Q1018" t="n">
        <v>43</v>
      </c>
      <c r="R1018" t="n">
        <v>170.35</v>
      </c>
      <c r="S1018" t="n">
        <v>106</v>
      </c>
      <c r="T1018" t="n">
        <v>0</v>
      </c>
      <c r="U1018" t="n">
        <v>1187</v>
      </c>
      <c r="X1018" t="inlineStr">
        <is>
          <t>aafc-aac</t>
        </is>
      </c>
      <c r="Y1018" t="inlineStr">
        <is>
          <t>Agriculture and Agri-Food Canada | Agriculture et Agroalimentaire Canada</t>
        </is>
      </c>
    </row>
    <row r="1019">
      <c r="A1019" t="inlineStr">
        <is>
          <t>T-2018-Q2-00044</t>
        </is>
      </c>
      <c r="B1019" t="inlineStr">
        <is>
          <t>SLE</t>
        </is>
      </c>
      <c r="C1019" t="inlineStr">
        <is>
          <t>Deputy Minister</t>
        </is>
      </c>
      <c r="D1019" t="inlineStr">
        <is>
          <t>Sous-Ministre</t>
        </is>
      </c>
      <c r="E1019" t="inlineStr">
        <is>
          <t>Chris Forbes</t>
        </is>
      </c>
      <c r="F1019" t="inlineStr">
        <is>
          <t>Outreach to Vancouver, British Columbia and attend the 2018 annual conference of Federal Provincial Territorial Ministers and Deputy Ministers of Agriculture in Vancouver, British Columbia</t>
        </is>
      </c>
      <c r="G1019" t="inlineStr">
        <is>
          <t>Sensibilisation à Vancouver (Colombie-Britannique) et participation à la conférence annuelle des ministres provinciaux et territoriaux fédéraux et des sous-ministres de l'Agriculture de 2018 à Vancouver (Colombie-Britannique)</t>
        </is>
      </c>
      <c r="H1019" s="1" t="n">
        <v>43296</v>
      </c>
      <c r="I1019" s="1" t="n">
        <v>43302</v>
      </c>
      <c r="J1019" t="inlineStr">
        <is>
          <t>Vancouver, British Columbia</t>
        </is>
      </c>
      <c r="K1019" t="inlineStr">
        <is>
          <t>Vancouver, Colombie-Britannique</t>
        </is>
      </c>
      <c r="P1019" t="n">
        <v>830.24</v>
      </c>
      <c r="Q1019" t="n">
        <v>34.5</v>
      </c>
      <c r="R1019" t="n">
        <v>1897.65</v>
      </c>
      <c r="S1019" t="n">
        <v>347.2</v>
      </c>
      <c r="T1019" t="n">
        <v>375</v>
      </c>
      <c r="U1019" t="n">
        <v>3484.59</v>
      </c>
      <c r="X1019" t="inlineStr">
        <is>
          <t>aafc-aac</t>
        </is>
      </c>
      <c r="Y1019" t="inlineStr">
        <is>
          <t>Agriculture and Agri-Food Canada | Agriculture et Agroalimentaire Canada</t>
        </is>
      </c>
    </row>
    <row r="1020">
      <c r="A1020" t="inlineStr">
        <is>
          <t>T-2018-Q2-00045</t>
        </is>
      </c>
      <c r="B1020" t="inlineStr">
        <is>
          <t>SLE</t>
        </is>
      </c>
      <c r="C1020" t="inlineStr">
        <is>
          <t>Deputy Minister</t>
        </is>
      </c>
      <c r="D1020" t="inlineStr">
        <is>
          <t>Sous-Ministre</t>
        </is>
      </c>
      <c r="E1020" t="inlineStr">
        <is>
          <t>Chris Forbes</t>
        </is>
      </c>
      <c r="F1020" t="inlineStr">
        <is>
          <t>Outreach to Calgary, Alberta on July 26 and to Agassiz, British Columbia on July 27 as well as attending and speaking at the Canadian Agriculture Economics Association Workshop in Vancouver, British Columbia on July 28 and 29.</t>
        </is>
      </c>
      <c r="G1020" t="inlineStr">
        <is>
          <t>Sensibilisation à Calgary, en Alberta, le 26 juillet et à Agassiz, en Colombie-Britannique, le 27 juillet, ainsi qu’à l’atelier de l’Association canadienne d’économie agricole à Vancouver, en Colombie-Britannique, les 28 et 29 juillet.</t>
        </is>
      </c>
      <c r="H1020" s="1" t="n">
        <v>43306</v>
      </c>
      <c r="I1020" s="1" t="n">
        <v>43311</v>
      </c>
      <c r="J1020" t="inlineStr">
        <is>
          <t>Calgary, Alberta, Agassiz and Vancouver, British Columbia</t>
        </is>
      </c>
      <c r="K1020" t="inlineStr">
        <is>
          <t>Calgary, Alberta, Agassiz et Vancouver, Colombie-Britannique</t>
        </is>
      </c>
      <c r="P1020" t="n">
        <v>1353.73</v>
      </c>
      <c r="Q1020" t="n">
        <v>154.22</v>
      </c>
      <c r="R1020" t="n">
        <v>914.5</v>
      </c>
      <c r="S1020" t="n">
        <v>328</v>
      </c>
      <c r="T1020" t="n">
        <v>0</v>
      </c>
      <c r="U1020" t="n">
        <v>2750.45</v>
      </c>
      <c r="X1020" t="inlineStr">
        <is>
          <t>aafc-aac</t>
        </is>
      </c>
      <c r="Y1020" t="inlineStr">
        <is>
          <t>Agriculture and Agri-Food Canada | Agriculture et Agroalimentaire Canada</t>
        </is>
      </c>
    </row>
    <row r="1021">
      <c r="A1021" t="inlineStr">
        <is>
          <t>T-2018-Q2-00046</t>
        </is>
      </c>
      <c r="B1021" t="inlineStr">
        <is>
          <t>SLE</t>
        </is>
      </c>
      <c r="C1021" t="inlineStr">
        <is>
          <t>Deputy Minister</t>
        </is>
      </c>
      <c r="D1021" t="inlineStr">
        <is>
          <t>Sous-Ministre</t>
        </is>
      </c>
      <c r="E1021" t="inlineStr">
        <is>
          <t>Chris Forbes</t>
        </is>
      </c>
      <c r="F1021" t="inlineStr">
        <is>
          <t>Trilateral meeting with the Minister and Canadian Food Inspection Agency President</t>
        </is>
      </c>
      <c r="G1021" t="inlineStr">
        <is>
          <t>Réunion trilatérale avec le ministre et le président de l'Agence canadienne d'inspection des aliments</t>
        </is>
      </c>
      <c r="H1021" s="1" t="n">
        <v>43328</v>
      </c>
      <c r="I1021" s="1" t="n">
        <v>43329</v>
      </c>
      <c r="J1021" t="inlineStr">
        <is>
          <t>Charlottetown, Prince Edward Island</t>
        </is>
      </c>
      <c r="K1021" t="inlineStr">
        <is>
          <t>Charlottetown, Île-du-Prince-Édouard</t>
        </is>
      </c>
      <c r="P1021" t="n">
        <v>1322.01</v>
      </c>
      <c r="Q1021" t="n">
        <v>130.81</v>
      </c>
      <c r="R1021" t="n">
        <v>322</v>
      </c>
      <c r="S1021" t="n">
        <v>0</v>
      </c>
      <c r="T1021" t="n">
        <v>0</v>
      </c>
      <c r="U1021" t="n">
        <v>1774.82</v>
      </c>
      <c r="X1021" t="inlineStr">
        <is>
          <t>aafc-aac</t>
        </is>
      </c>
      <c r="Y1021" t="inlineStr">
        <is>
          <t>Agriculture and Agri-Food Canada | Agriculture et Agroalimentaire Canada</t>
        </is>
      </c>
    </row>
    <row r="1022">
      <c r="A1022" t="inlineStr">
        <is>
          <t>T-2018-Q2-00052</t>
        </is>
      </c>
      <c r="B1022" t="inlineStr">
        <is>
          <t>SLE</t>
        </is>
      </c>
      <c r="C1022" t="inlineStr">
        <is>
          <t>Assistant deputy minister, Science and Technology Branch</t>
        </is>
      </c>
      <c r="D1022" t="inlineStr">
        <is>
          <t>Sous-ministre adjoint, Direction Générale des sciences et de la technologie</t>
        </is>
      </c>
      <c r="E1022" t="inlineStr">
        <is>
          <t>Brian Gray</t>
        </is>
      </c>
      <c r="F1022" t="inlineStr">
        <is>
          <t>ArcticNet Board Meeting</t>
        </is>
      </c>
      <c r="G1022" t="inlineStr">
        <is>
          <t>Réunion scientifique Annuelle 2018 ArcticNet</t>
        </is>
      </c>
      <c r="H1022" s="1" t="n">
        <v>43286</v>
      </c>
      <c r="I1022" s="1" t="n">
        <v>43287</v>
      </c>
      <c r="J1022" t="inlineStr">
        <is>
          <t>Quebec City, Quebec</t>
        </is>
      </c>
      <c r="K1022" t="inlineStr">
        <is>
          <t>Ville de Québec, Québec</t>
        </is>
      </c>
      <c r="P1022" t="n">
        <v>557.04</v>
      </c>
      <c r="Q1022" t="n">
        <v>85.86</v>
      </c>
      <c r="S1022" t="n">
        <v>34.6</v>
      </c>
      <c r="U1022" t="n">
        <v>677.5</v>
      </c>
      <c r="X1022" t="inlineStr">
        <is>
          <t>aafc-aac</t>
        </is>
      </c>
      <c r="Y1022" t="inlineStr">
        <is>
          <t>Agriculture and Agri-Food Canada | Agriculture et Agroalimentaire Canada</t>
        </is>
      </c>
    </row>
    <row r="1023">
      <c r="A1023" t="inlineStr">
        <is>
          <t>T-2018-Q2-00047</t>
        </is>
      </c>
      <c r="B1023" t="inlineStr">
        <is>
          <t>SLE</t>
        </is>
      </c>
      <c r="C1023" t="inlineStr">
        <is>
          <t>Assistant Deputy Minister, Corporate Management Branch</t>
        </is>
      </c>
      <c r="D1023" t="inlineStr">
        <is>
          <t>Sous-ministre adjoint, direction générale de la gestion intégrée</t>
        </is>
      </c>
      <c r="E1023" t="inlineStr">
        <is>
          <t>Pierre Corriveau</t>
        </is>
      </c>
      <c r="F1023" t="inlineStr">
        <is>
          <t>Staff meeting (Fredericton, Moncton)     PSPC Pay Centre Visit organized by Public Services and Procurement Canada (Miramichi)</t>
        </is>
      </c>
      <c r="G1023" t="inlineStr">
        <is>
          <t xml:space="preserve">Réunion du personnel (Frédericton, Moncton)     Visite au centre de paye organisé par Services publics et approvisionnement Canada </t>
        </is>
      </c>
      <c r="H1023" s="1" t="n">
        <v>43275</v>
      </c>
      <c r="I1023" s="1" t="n">
        <v>43278</v>
      </c>
      <c r="J1023" t="inlineStr">
        <is>
          <t>Fredericton, New-Brunswick, Moncton, New-Brunswick  Miramichi, New-Brunswick</t>
        </is>
      </c>
      <c r="K1023" t="inlineStr">
        <is>
          <t>Fredericton, Nouveau-Brunswick   Moncton, Nouveau-Brunswick   Miramichi, Nouveau-Brunswick</t>
        </is>
      </c>
      <c r="P1023" t="n">
        <v>514.11</v>
      </c>
      <c r="Q1023" t="n">
        <v>90.51000000000001</v>
      </c>
      <c r="R1023" t="n">
        <v>519.8</v>
      </c>
      <c r="S1023" t="n">
        <v>271.75</v>
      </c>
      <c r="U1023" t="n">
        <v>1396.17</v>
      </c>
      <c r="X1023" t="inlineStr">
        <is>
          <t>aafc-aac</t>
        </is>
      </c>
      <c r="Y1023" t="inlineStr">
        <is>
          <t>Agriculture and Agri-Food Canada | Agriculture et Agroalimentaire Canada</t>
        </is>
      </c>
    </row>
    <row r="1024">
      <c r="A1024" t="inlineStr">
        <is>
          <t>T-2018-Q2-00048</t>
        </is>
      </c>
      <c r="B1024" t="inlineStr">
        <is>
          <t>SLE</t>
        </is>
      </c>
      <c r="C1024" t="inlineStr">
        <is>
          <t>Assistant Deputy Minister, Corporate Management Branch</t>
        </is>
      </c>
      <c r="D1024" t="inlineStr">
        <is>
          <t>Sous-ministre adjoint, direction générale de la gestion intégrée</t>
        </is>
      </c>
      <c r="E1024" t="inlineStr">
        <is>
          <t>Pierre Corriveau</t>
        </is>
      </c>
      <c r="F1024" t="inlineStr">
        <is>
          <t>Staff Meetings (Regina, Indian Head and Swift Current)</t>
        </is>
      </c>
      <c r="G1024" t="inlineStr">
        <is>
          <t>Réunion du personnel (Regina, Indian Head, Swift Current)</t>
        </is>
      </c>
      <c r="H1024" s="1" t="n">
        <v>43331</v>
      </c>
      <c r="I1024" s="1" t="n">
        <v>43335</v>
      </c>
      <c r="J1024" t="inlineStr">
        <is>
          <t>Regina, Saskatchewan   Indian Head, Saskatchewan   Swift Current, Saskatchewan</t>
        </is>
      </c>
      <c r="K1024" t="inlineStr">
        <is>
          <t>Régina, Saskatchewan   Indian Head, Saskatchewan   Swift Current, Saskatchewan</t>
        </is>
      </c>
      <c r="P1024" t="n">
        <v>834.9299999999999</v>
      </c>
      <c r="Q1024" t="n">
        <v>62.4</v>
      </c>
      <c r="R1024" t="n">
        <v>525.92</v>
      </c>
      <c r="S1024" t="n">
        <v>355.9</v>
      </c>
      <c r="U1024" t="n">
        <v>1779.15</v>
      </c>
      <c r="X1024" t="inlineStr">
        <is>
          <t>aafc-aac</t>
        </is>
      </c>
      <c r="Y1024" t="inlineStr">
        <is>
          <t>Agriculture and Agri-Food Canada | Agriculture et Agroalimentaire Canada</t>
        </is>
      </c>
    </row>
    <row r="1025">
      <c r="A1025" t="inlineStr">
        <is>
          <t>T-2018-Q2-00049</t>
        </is>
      </c>
      <c r="B1025" t="inlineStr">
        <is>
          <t>SLE</t>
        </is>
      </c>
      <c r="C1025" t="inlineStr">
        <is>
          <t>Assistant deputy minister, Science and Technology Branch</t>
        </is>
      </c>
      <c r="D1025" t="inlineStr">
        <is>
          <t>Sous-ministre adjoint, Direction Générale des sciences et de la technologie</t>
        </is>
      </c>
      <c r="E1025" t="inlineStr">
        <is>
          <t>Brian Gray</t>
        </is>
      </c>
      <c r="F1025" t="inlineStr">
        <is>
          <t>Outreach to the Reasearch and Developpement Centre, All-Staff meeting and meeting with Provincial Counterparts.</t>
        </is>
      </c>
      <c r="G1025" t="inlineStr">
        <is>
          <t>Visite de sencibilisation au Centre de recherche et de developpement, réunions avec tout le personnel et réunions avec des collegues du governement provincial.</t>
        </is>
      </c>
      <c r="H1025" s="1" t="n">
        <v>43263</v>
      </c>
      <c r="I1025" s="1" t="n">
        <v>43266</v>
      </c>
      <c r="J1025" t="inlineStr">
        <is>
          <t>Lacombe, Alberta</t>
        </is>
      </c>
      <c r="K1025" t="inlineStr">
        <is>
          <t>Lacombe, Alberta</t>
        </is>
      </c>
      <c r="P1025" t="n">
        <v>3095.12</v>
      </c>
      <c r="Q1025" t="n">
        <v>295.67</v>
      </c>
      <c r="R1025" t="n">
        <v>535.74</v>
      </c>
      <c r="S1025" t="n">
        <v>329.35</v>
      </c>
      <c r="U1025" t="n">
        <v>4255.88</v>
      </c>
      <c r="V1025" t="inlineStr">
        <is>
          <t>Cancelled flight due to an error on Air Canada's part. Brian had to reschedule his flight to the next day which is why flight costs are so high. Credit applied for August 21-23 trip.</t>
        </is>
      </c>
      <c r="W1025" t="inlineStr">
        <is>
          <t>Vol annulé en raison d'une erreur de la part d'Air Canada. Brian a dû reporter son vol au lendemain, ce qui explique pourquoi les coûts de vol sont si élevés. Crédit appliqué pour le voyage du 21 au 23 août.</t>
        </is>
      </c>
      <c r="X1025" t="inlineStr">
        <is>
          <t>aafc-aac</t>
        </is>
      </c>
      <c r="Y1025" t="inlineStr">
        <is>
          <t>Agriculture and Agri-Food Canada | Agriculture et Agroalimentaire Canada</t>
        </is>
      </c>
    </row>
    <row r="1026">
      <c r="A1026" t="inlineStr">
        <is>
          <t>T-2018-Q2-00050</t>
        </is>
      </c>
      <c r="B1026" t="inlineStr">
        <is>
          <t>SLE</t>
        </is>
      </c>
      <c r="C1026" t="inlineStr">
        <is>
          <t>Assistant deputy minister, Science and Technology Branch</t>
        </is>
      </c>
      <c r="D1026" t="inlineStr">
        <is>
          <t>Sous-ministre adjoint, Direction Générale des sciences et de la technologie</t>
        </is>
      </c>
      <c r="E1026" t="inlineStr">
        <is>
          <t>Brian Gray</t>
        </is>
      </c>
      <c r="F1026" t="inlineStr">
        <is>
          <t>Outreach to the Reasearch and Developpement Centre, All-Staff meeting and meeting with Provincial Counterparts / Meeting in Washington with Dr. Jacobs-Young to discuss Joint Report</t>
        </is>
      </c>
      <c r="G1026" t="inlineStr">
        <is>
          <t xml:space="preserve">Visite de sencibilisation au Centre de recherche et de developpement, réunions avec tout le personnel et réunions avec des collegues du governement provincial / Rencontre à Washington avec Dr. Jacobs-Young </t>
        </is>
      </c>
      <c r="H1026" s="1" t="n">
        <v>43269</v>
      </c>
      <c r="I1026" s="1" t="n">
        <v>43271</v>
      </c>
      <c r="J1026" t="inlineStr">
        <is>
          <t>Washington, DC / London, Ontario</t>
        </is>
      </c>
      <c r="K1026" t="inlineStr">
        <is>
          <t>Washington, DC / London, Ontario</t>
        </is>
      </c>
      <c r="P1026" t="n">
        <v>1095.06</v>
      </c>
      <c r="Q1026" t="n">
        <v>240.53</v>
      </c>
      <c r="R1026" t="n">
        <v>586.87</v>
      </c>
      <c r="S1026" t="n">
        <v>280.71</v>
      </c>
      <c r="U1026" t="n">
        <v>2203.17</v>
      </c>
      <c r="X1026" t="inlineStr">
        <is>
          <t>aafc-aac</t>
        </is>
      </c>
      <c r="Y1026" t="inlineStr">
        <is>
          <t>Agriculture and Agri-Food Canada | Agriculture et Agroalimentaire Canada</t>
        </is>
      </c>
    </row>
    <row r="1027">
      <c r="A1027" t="inlineStr">
        <is>
          <t>T-2018-Q2-00051</t>
        </is>
      </c>
      <c r="B1027" t="inlineStr">
        <is>
          <t>SLE</t>
        </is>
      </c>
      <c r="C1027" t="inlineStr">
        <is>
          <t>Assistant deputy minister, Science and Technology Branch</t>
        </is>
      </c>
      <c r="D1027" t="inlineStr">
        <is>
          <t>Sous-ministre adjoint, Direction Générale des sciences et de la technologie</t>
        </is>
      </c>
      <c r="E1027" t="inlineStr">
        <is>
          <t>Brian Gray</t>
        </is>
      </c>
      <c r="F1027" t="inlineStr">
        <is>
          <t>Outreach to the Reasearch and Developpement Centre, All-Staff meeting and meeting with Provincial Counterparts. / Branch Executive Committee Meeting</t>
        </is>
      </c>
      <c r="G1027" t="inlineStr">
        <is>
          <t>Visite de sencibilisation au Centre de recherche et de developpement, réunions avec tout le personnel et réunions avec des collegues du governement provincial.  / Comité exécutif de la direction générale</t>
        </is>
      </c>
      <c r="H1027" s="1" t="n">
        <v>43276</v>
      </c>
      <c r="I1027" s="1" t="n">
        <v>43278</v>
      </c>
      <c r="J1027" t="inlineStr">
        <is>
          <t>Charlottetown, prince Edward Island</t>
        </is>
      </c>
      <c r="K1027" t="inlineStr">
        <is>
          <t>Charlottetown, 
Île-du-Prince-Édouard</t>
        </is>
      </c>
      <c r="P1027" t="n">
        <v>708.2</v>
      </c>
      <c r="Q1027" t="n">
        <v>109.02</v>
      </c>
      <c r="R1027" t="n">
        <v>495.12</v>
      </c>
      <c r="S1027" t="n">
        <v>225.25</v>
      </c>
      <c r="U1027" t="n">
        <v>1537.59</v>
      </c>
      <c r="X1027" t="inlineStr">
        <is>
          <t>aafc-aac</t>
        </is>
      </c>
      <c r="Y1027" t="inlineStr">
        <is>
          <t>Agriculture and Agri-Food Canada | Agriculture et Agroalimentaire Canada</t>
        </is>
      </c>
    </row>
    <row r="1028">
      <c r="A1028" t="inlineStr">
        <is>
          <t>T-2018-Q2-00053</t>
        </is>
      </c>
      <c r="B1028" t="inlineStr">
        <is>
          <t>SLE</t>
        </is>
      </c>
      <c r="C1028" t="inlineStr">
        <is>
          <t>Assistant deputy minister, Science and Technology Branch</t>
        </is>
      </c>
      <c r="D1028" t="inlineStr">
        <is>
          <t>Sous-ministre adjoint, Direction Générale des sciences et de la technologie</t>
        </is>
      </c>
      <c r="E1028" t="inlineStr">
        <is>
          <t>Brian Gray</t>
        </is>
      </c>
      <c r="F1028" t="inlineStr">
        <is>
          <t>Outreach to the Reasearch and Developpement Centre, All-Staff meeting and meeting with Provincial Counterparts. / Branch Executive Committee Meeting</t>
        </is>
      </c>
      <c r="G1028" t="inlineStr">
        <is>
          <t xml:space="preserve">Visite de sencibilisation au Centre de recherche et de developpement, réunions avec tout le personnel et réunions avec des collegues du governement provincial. </t>
        </is>
      </c>
      <c r="H1028" s="1" t="n">
        <v>43291</v>
      </c>
      <c r="I1028" s="1" t="n">
        <v>43294</v>
      </c>
      <c r="J1028" t="inlineStr">
        <is>
          <t>Morden, Manitoba</t>
        </is>
      </c>
      <c r="K1028" t="inlineStr">
        <is>
          <t>Morden, Manitoba</t>
        </is>
      </c>
      <c r="P1028" t="n">
        <v>777.98</v>
      </c>
      <c r="Q1028" t="n">
        <v>130.68</v>
      </c>
      <c r="R1028" t="n">
        <v>547.83</v>
      </c>
      <c r="S1028" t="n">
        <v>262</v>
      </c>
      <c r="U1028" t="n">
        <v>1718.49</v>
      </c>
      <c r="X1028" t="inlineStr">
        <is>
          <t>aafc-aac</t>
        </is>
      </c>
      <c r="Y1028" t="inlineStr">
        <is>
          <t>Agriculture and Agri-Food Canada | Agriculture et Agroalimentaire Canada</t>
        </is>
      </c>
    </row>
    <row r="1029">
      <c r="A1029" t="inlineStr">
        <is>
          <t>T-2018-Q2-00054</t>
        </is>
      </c>
      <c r="B1029" t="inlineStr">
        <is>
          <t>SLE</t>
        </is>
      </c>
      <c r="C1029" t="inlineStr">
        <is>
          <t>Assistant deputy minister, Science and Technology Branch</t>
        </is>
      </c>
      <c r="D1029" t="inlineStr">
        <is>
          <t>Sous-ministre adjoint, Direction Générale des sciences et de la technologie</t>
        </is>
      </c>
      <c r="E1029" t="inlineStr">
        <is>
          <t>Brian Gray</t>
        </is>
      </c>
      <c r="F1029" t="inlineStr">
        <is>
          <t>Outreach to the Reasearch and Developpement Centre, All-Staff meeting and meeting with Provincial Counterparts. / Branch Executive Committee Meeting</t>
        </is>
      </c>
      <c r="G1029" t="inlineStr">
        <is>
          <t xml:space="preserve">Visite de sencibilisation au Centre de recherche et de developpement, réunions avec tout le personnel et réunions avec des collegues du governement provincial. </t>
        </is>
      </c>
      <c r="H1029" s="1" t="n">
        <v>43299</v>
      </c>
      <c r="I1029" s="1" t="n">
        <v>43301</v>
      </c>
      <c r="J1029" t="inlineStr">
        <is>
          <t>Fredericton, New Brunswick</t>
        </is>
      </c>
      <c r="K1029" t="inlineStr">
        <is>
          <t>Fredericton, Nouveau-Brunswick</t>
        </is>
      </c>
      <c r="P1029" t="n">
        <v>336.29</v>
      </c>
      <c r="Q1029" t="n">
        <v>136.46</v>
      </c>
      <c r="R1029" t="n">
        <v>400.2</v>
      </c>
      <c r="S1029" t="n">
        <v>292.85</v>
      </c>
      <c r="U1029" t="n">
        <v>1165.8</v>
      </c>
      <c r="X1029" t="inlineStr">
        <is>
          <t>aafc-aac</t>
        </is>
      </c>
      <c r="Y1029" t="inlineStr">
        <is>
          <t>Agriculture and Agri-Food Canada | Agriculture et Agroalimentaire Canada</t>
        </is>
      </c>
    </row>
    <row r="1030">
      <c r="A1030" t="inlineStr">
        <is>
          <t>T-2018-Q2-00055</t>
        </is>
      </c>
      <c r="B1030" t="inlineStr">
        <is>
          <t>SLE</t>
        </is>
      </c>
      <c r="C1030" t="inlineStr">
        <is>
          <t>Assistant deputy minister, Science and Technology Branch</t>
        </is>
      </c>
      <c r="D1030" t="inlineStr">
        <is>
          <t>Sous-ministre adjoint, Direction Générale des sciences et de la technologie</t>
        </is>
      </c>
      <c r="E1030" t="inlineStr">
        <is>
          <t>Brian Gray</t>
        </is>
      </c>
      <c r="F1030" t="inlineStr">
        <is>
          <t>Outreach to the Reasearch and Developpement Centre, All-Staff meeting and meeting with Provincial Counterparts. / Branch Executive Committee Meeting</t>
        </is>
      </c>
      <c r="G1030" t="inlineStr">
        <is>
          <t xml:space="preserve">Visite de sencibilisation au Centre de recherche et de developpement, réunions avec tout le personnel et réunions avec des collegues du governement provincial. </t>
        </is>
      </c>
      <c r="H1030" s="1" t="n">
        <v>43305</v>
      </c>
      <c r="I1030" s="1" t="n">
        <v>43307</v>
      </c>
      <c r="J1030" t="inlineStr">
        <is>
          <t>St-John's, Newfoundland</t>
        </is>
      </c>
      <c r="K1030" t="inlineStr">
        <is>
          <t>St-John's, Terre-Neuve</t>
        </is>
      </c>
      <c r="P1030" t="n">
        <v>764</v>
      </c>
      <c r="Q1030" t="n">
        <v>109.36</v>
      </c>
      <c r="R1030" t="n">
        <v>440.3</v>
      </c>
      <c r="S1030" t="n">
        <v>244.7</v>
      </c>
      <c r="U1030" t="n">
        <v>1558.36</v>
      </c>
      <c r="X1030" t="inlineStr">
        <is>
          <t>aafc-aac</t>
        </is>
      </c>
      <c r="Y1030" t="inlineStr">
        <is>
          <t>Agriculture and Agri-Food Canada | Agriculture et Agroalimentaire Canada</t>
        </is>
      </c>
    </row>
    <row r="1031">
      <c r="A1031" t="inlineStr">
        <is>
          <t>T-2018-Q2-00056</t>
        </is>
      </c>
      <c r="B1031" t="inlineStr">
        <is>
          <t>SLE</t>
        </is>
      </c>
      <c r="C1031" t="inlineStr">
        <is>
          <t>Assistant deputy minister, Science and Technology Branch</t>
        </is>
      </c>
      <c r="D1031" t="inlineStr">
        <is>
          <t>Sous-ministre adjoint, Direction Générale des sciences et de la technologie</t>
        </is>
      </c>
      <c r="E1031" t="inlineStr">
        <is>
          <t>Brian Gray</t>
        </is>
      </c>
      <c r="F1031" t="inlineStr">
        <is>
          <t>Outreach to the Reasearch and Developpement Centre, All-Staff meeting and meeting with Provincial Counterparts.</t>
        </is>
      </c>
      <c r="G1031" t="inlineStr">
        <is>
          <t xml:space="preserve">Visite de sencibilisation au Centre de recherche et de developpement, réunions avec tout le personnel et réunions avec des collegues du governement provincial. </t>
        </is>
      </c>
      <c r="H1031" s="1" t="n">
        <v>43326</v>
      </c>
      <c r="I1031" s="1" t="n">
        <v>43329</v>
      </c>
      <c r="J1031" t="inlineStr">
        <is>
          <t>Saskatoon, Saskatchewan</t>
        </is>
      </c>
      <c r="K1031" t="inlineStr">
        <is>
          <t>Saskatoon, Saskatchewan</t>
        </is>
      </c>
      <c r="P1031" t="n">
        <v>788.55</v>
      </c>
      <c r="Q1031" t="n">
        <v>184.69</v>
      </c>
      <c r="R1031" t="n">
        <v>475.86</v>
      </c>
      <c r="S1031" t="n">
        <v>329.35</v>
      </c>
      <c r="U1031" t="n">
        <v>1778.45</v>
      </c>
      <c r="X1031" t="inlineStr">
        <is>
          <t>aafc-aac</t>
        </is>
      </c>
      <c r="Y1031" t="inlineStr">
        <is>
          <t>Agriculture and Agri-Food Canada | Agriculture et Agroalimentaire Canada</t>
        </is>
      </c>
    </row>
    <row r="1032">
      <c r="A1032" t="inlineStr">
        <is>
          <t>T-2018-Q1-00001</t>
        </is>
      </c>
      <c r="B1032" t="inlineStr">
        <is>
          <t>MPSES</t>
        </is>
      </c>
      <c r="C1032" t="inlineStr">
        <is>
          <t>Minister</t>
        </is>
      </c>
      <c r="D1032" t="inlineStr">
        <is>
          <t>Ministre</t>
        </is>
      </c>
      <c r="E1032" t="inlineStr">
        <is>
          <t>Lawrence MacAulay</t>
        </is>
      </c>
      <c r="F1032" t="inlineStr">
        <is>
          <t>Ministerial Mission to Japan and South Korea</t>
        </is>
      </c>
      <c r="G1032" t="inlineStr">
        <is>
          <t>Mission ministérielle au Japon et en Corée du Sud</t>
        </is>
      </c>
      <c r="H1032" s="1" t="n">
        <v>43160</v>
      </c>
      <c r="I1032" s="1" t="n">
        <v>43169</v>
      </c>
      <c r="J1032" t="inlineStr">
        <is>
          <t>Tokyo Japan, Seoul South Korea</t>
        </is>
      </c>
      <c r="K1032" t="inlineStr">
        <is>
          <t>Tokyo, Japon, Séoul, Corée du Sud</t>
        </is>
      </c>
      <c r="P1032" t="n">
        <v>7553.19</v>
      </c>
      <c r="Q1032" t="n">
        <v>0</v>
      </c>
      <c r="R1032" t="n">
        <v>2380.12</v>
      </c>
      <c r="S1032" t="n">
        <v>1774.01</v>
      </c>
      <c r="T1032" t="n">
        <v>0</v>
      </c>
      <c r="U1032" t="n">
        <v>11707.32</v>
      </c>
      <c r="V1032" t="n">
        <v>1900120308</v>
      </c>
      <c r="X1032" t="inlineStr">
        <is>
          <t>aafc-aac</t>
        </is>
      </c>
      <c r="Y1032" t="inlineStr">
        <is>
          <t>Agriculture and Agri-Food Canada | Agriculture et Agroalimentaire Canada</t>
        </is>
      </c>
    </row>
    <row r="1033">
      <c r="A1033" t="inlineStr">
        <is>
          <t>T-2018-Q1-00003</t>
        </is>
      </c>
      <c r="B1033" t="inlineStr">
        <is>
          <t>MPSES</t>
        </is>
      </c>
      <c r="C1033" t="inlineStr">
        <is>
          <t>Minister</t>
        </is>
      </c>
      <c r="D1033" t="inlineStr">
        <is>
          <t>Ministre</t>
        </is>
      </c>
      <c r="E1033" t="inlineStr">
        <is>
          <t>Lawrence MacAulay</t>
        </is>
      </c>
      <c r="F1033" t="inlineStr">
        <is>
          <t>Montreal Outreach - Various meetings and events</t>
        </is>
      </c>
      <c r="G1033" t="inlineStr">
        <is>
          <t>Visite de sensibilisation à Montréal - diverses réunions et événements</t>
        </is>
      </c>
      <c r="H1033" s="1" t="n">
        <v>43174</v>
      </c>
      <c r="I1033" s="1" t="n">
        <v>43175</v>
      </c>
      <c r="J1033" t="inlineStr">
        <is>
          <t>Montreal, Quebec</t>
        </is>
      </c>
      <c r="K1033" t="inlineStr">
        <is>
          <t>Montréal, Québec</t>
        </is>
      </c>
      <c r="P1033" t="n">
        <v>803.6</v>
      </c>
      <c r="Q1033" t="n">
        <v>53.53</v>
      </c>
      <c r="R1033" t="n">
        <v>189.22</v>
      </c>
      <c r="S1033" t="n">
        <v>148.4</v>
      </c>
      <c r="T1033" t="n">
        <v>0</v>
      </c>
      <c r="U1033" t="n">
        <v>1194.75</v>
      </c>
      <c r="V1033" t="n">
        <v>1900121047</v>
      </c>
      <c r="X1033" t="inlineStr">
        <is>
          <t>aafc-aac</t>
        </is>
      </c>
      <c r="Y1033" t="inlineStr">
        <is>
          <t>Agriculture and Agri-Food Canada | Agriculture et Agroalimentaire Canada</t>
        </is>
      </c>
    </row>
    <row r="1034">
      <c r="A1034" t="inlineStr">
        <is>
          <t>T-2018-Q1-00004</t>
        </is>
      </c>
      <c r="B1034" t="inlineStr">
        <is>
          <t>MPSES</t>
        </is>
      </c>
      <c r="C1034" t="inlineStr">
        <is>
          <t>Minister</t>
        </is>
      </c>
      <c r="D1034" t="inlineStr">
        <is>
          <t>Ministre</t>
        </is>
      </c>
      <c r="E1034" t="inlineStr">
        <is>
          <t>Lawrence MacAulay</t>
        </is>
      </c>
      <c r="F1034" t="inlineStr">
        <is>
          <t>To participate in the installation of Mr. Thomas Molloy as 22nd Lieutenant Governor of Saskatchewan, and a meeting with Saskatchewan's Minister of Agriculture</t>
        </is>
      </c>
      <c r="G1034" t="inlineStr">
        <is>
          <t>Participer à l'installation de M. Thomas Molloy à titre de 22e lieutenant-gouverneur de la Saskatchewan et à une réunion avec le ministre d'Agriculture de la Saskatchewan</t>
        </is>
      </c>
      <c r="H1034" s="1" t="n">
        <v>43179</v>
      </c>
      <c r="I1034" s="1" t="n">
        <v>43180</v>
      </c>
      <c r="J1034" t="inlineStr">
        <is>
          <t>Regina, Saskatchewan</t>
        </is>
      </c>
      <c r="K1034" t="inlineStr">
        <is>
          <t>Regina, Saskatchewan</t>
        </is>
      </c>
      <c r="P1034" t="n">
        <v>1563.39</v>
      </c>
      <c r="Q1034" t="n">
        <v>0</v>
      </c>
      <c r="R1034" t="n">
        <v>193.21</v>
      </c>
      <c r="S1034" t="n">
        <v>72.59999999999999</v>
      </c>
      <c r="T1034" t="n">
        <v>0</v>
      </c>
      <c r="U1034" t="n">
        <v>1829.2</v>
      </c>
      <c r="V1034" t="n">
        <v>1900121049</v>
      </c>
      <c r="X1034" t="inlineStr">
        <is>
          <t>aafc-aac</t>
        </is>
      </c>
      <c r="Y1034" t="inlineStr">
        <is>
          <t>Agriculture and Agri-Food Canada | Agriculture et Agroalimentaire Canada</t>
        </is>
      </c>
    </row>
    <row r="1035">
      <c r="A1035" t="inlineStr">
        <is>
          <t>T-2018-Q1-00005</t>
        </is>
      </c>
      <c r="B1035" t="inlineStr">
        <is>
          <t>MPSES</t>
        </is>
      </c>
      <c r="C1035" t="inlineStr">
        <is>
          <t>Minister</t>
        </is>
      </c>
      <c r="D1035" t="inlineStr">
        <is>
          <t>Ministre</t>
        </is>
      </c>
      <c r="E1035" t="inlineStr">
        <is>
          <t>Lawrence MacAulay</t>
        </is>
      </c>
      <c r="F1035" t="inlineStr">
        <is>
          <t>Ministerial outreach to Alberta</t>
        </is>
      </c>
      <c r="G1035" t="inlineStr">
        <is>
          <t>Visite de sensibilisation ministérielle à Alberta</t>
        </is>
      </c>
      <c r="H1035" s="1" t="n">
        <v>43183</v>
      </c>
      <c r="I1035" s="1" t="n">
        <v>43186</v>
      </c>
      <c r="J1035" t="inlineStr">
        <is>
          <t>Calgary, Alberta</t>
        </is>
      </c>
      <c r="K1035" t="inlineStr">
        <is>
          <t>Calgary, Alberta</t>
        </is>
      </c>
      <c r="P1035" t="n">
        <v>1261.36</v>
      </c>
      <c r="Q1035" t="n">
        <v>0</v>
      </c>
      <c r="R1035" t="n">
        <v>515.3099999999999</v>
      </c>
      <c r="S1035" t="n">
        <v>192.75</v>
      </c>
      <c r="T1035" t="n">
        <v>0</v>
      </c>
      <c r="U1035" t="n">
        <v>1969.42</v>
      </c>
      <c r="V1035" t="n">
        <v>1900122237</v>
      </c>
      <c r="X1035" t="inlineStr">
        <is>
          <t>aafc-aac</t>
        </is>
      </c>
      <c r="Y1035" t="inlineStr">
        <is>
          <t>Agriculture and Agri-Food Canada | Agriculture et Agroalimentaire Canada</t>
        </is>
      </c>
    </row>
    <row r="1036">
      <c r="A1036" t="inlineStr">
        <is>
          <t>T-2018-Q1-00006</t>
        </is>
      </c>
      <c r="B1036" t="inlineStr">
        <is>
          <t>MPSES</t>
        </is>
      </c>
      <c r="C1036" t="inlineStr">
        <is>
          <t>Minister</t>
        </is>
      </c>
      <c r="D1036" t="inlineStr">
        <is>
          <t>Ministre</t>
        </is>
      </c>
      <c r="E1036" t="inlineStr">
        <is>
          <t>Lawrence MacAulay</t>
        </is>
      </c>
      <c r="F1036" t="inlineStr">
        <is>
          <t>For Ministerial Western Outreach</t>
        </is>
      </c>
      <c r="G1036" t="inlineStr">
        <is>
          <t>Campagne de sensibilisation ministérielle de l'Ouest</t>
        </is>
      </c>
      <c r="H1036" s="1" t="n">
        <v>43192</v>
      </c>
      <c r="I1036" s="1" t="n">
        <v>43195</v>
      </c>
      <c r="J1036" t="inlineStr">
        <is>
          <t>Victoria British Columbia, Kelowna British Columbia, Winnipeg Manitoba</t>
        </is>
      </c>
      <c r="K1036" t="inlineStr">
        <is>
          <t>Victoria Colombie-Britannique, Kelowna Colombie-Britannique, Winnipeg Manitoba</t>
        </is>
      </c>
      <c r="P1036" t="n">
        <v>3190.97</v>
      </c>
      <c r="Q1036" t="n">
        <v>24.9</v>
      </c>
      <c r="R1036" t="n">
        <v>549.73</v>
      </c>
      <c r="S1036" t="n">
        <v>310.4</v>
      </c>
      <c r="T1036" t="n">
        <v>0</v>
      </c>
      <c r="U1036" t="n">
        <v>4076</v>
      </c>
      <c r="V1036" t="n">
        <v>1900002020</v>
      </c>
      <c r="X1036" t="inlineStr">
        <is>
          <t>aafc-aac</t>
        </is>
      </c>
      <c r="Y1036" t="inlineStr">
        <is>
          <t>Agriculture and Agri-Food Canada | Agriculture et Agroalimentaire Canada</t>
        </is>
      </c>
    </row>
    <row r="1037">
      <c r="A1037" t="inlineStr">
        <is>
          <t>T-2018-Q1-00007</t>
        </is>
      </c>
      <c r="B1037" t="inlineStr">
        <is>
          <t>MPSES</t>
        </is>
      </c>
      <c r="C1037" t="inlineStr">
        <is>
          <t>Minister</t>
        </is>
      </c>
      <c r="D1037" t="inlineStr">
        <is>
          <t>Ministre</t>
        </is>
      </c>
      <c r="E1037" t="inlineStr">
        <is>
          <t>Lawrence MacAulay</t>
        </is>
      </c>
      <c r="F1037" t="inlineStr">
        <is>
          <t>Travel for the Ministerial Mission to China</t>
        </is>
      </c>
      <c r="G1037" t="inlineStr">
        <is>
          <t>Voyage pour la mission ministérielle en Chine</t>
        </is>
      </c>
      <c r="H1037" s="1" t="n">
        <v>43231</v>
      </c>
      <c r="I1037" s="1" t="n">
        <v>43239</v>
      </c>
      <c r="J1037" t="inlineStr">
        <is>
          <t>Shanghai &amp; Hangzhou, China</t>
        </is>
      </c>
      <c r="K1037" t="inlineStr">
        <is>
          <t>Shanghai et Hangzhou, Chine</t>
        </is>
      </c>
      <c r="P1037" t="n">
        <v>8311.440000000001</v>
      </c>
      <c r="Q1037" t="n">
        <v>0</v>
      </c>
      <c r="R1037" t="n">
        <v>2045.04</v>
      </c>
      <c r="S1037" t="n">
        <v>1270.47</v>
      </c>
      <c r="U1037" t="n">
        <v>11626.95</v>
      </c>
      <c r="V1037" t="n">
        <v>1900016111</v>
      </c>
      <c r="X1037" t="inlineStr">
        <is>
          <t>aafc-aac</t>
        </is>
      </c>
      <c r="Y1037" t="inlineStr">
        <is>
          <t>Agriculture and Agri-Food Canada | Agriculture et Agroalimentaire Canada</t>
        </is>
      </c>
    </row>
    <row r="1038">
      <c r="A1038" t="inlineStr">
        <is>
          <t>T-2018-Q1-00008</t>
        </is>
      </c>
      <c r="B1038" t="inlineStr">
        <is>
          <t>MPSES</t>
        </is>
      </c>
      <c r="C1038" t="inlineStr">
        <is>
          <t>Minister</t>
        </is>
      </c>
      <c r="D1038" t="inlineStr">
        <is>
          <t>Ministre</t>
        </is>
      </c>
      <c r="E1038" t="inlineStr">
        <is>
          <t>Lawrence MacAulay</t>
        </is>
      </c>
      <c r="F1038" t="inlineStr">
        <is>
          <t>To formally announce that Bill C-49, the Transportation Modernization Act had received Royal Assent (Winnipeg, Manitoba), and to Toronto to speak at the Arrell Global Food Innovation Awards.</t>
        </is>
      </c>
      <c r="G1038" t="inlineStr">
        <is>
          <t>Pour annoncer officiellement la sanction royale du projet de loi C-49, la Loi sur la modernisation des transports (Winnipeg, Manitoba), et ensuite à Toronto pour prendre la parole aux Arrell Global Food Innovation Awards.</t>
        </is>
      </c>
      <c r="H1038" s="1" t="n">
        <v>43243</v>
      </c>
      <c r="I1038" s="1" t="n">
        <v>43245</v>
      </c>
      <c r="J1038" t="inlineStr">
        <is>
          <t>Winnipeg Manitoba, and Toronto Onatrio</t>
        </is>
      </c>
      <c r="K1038" t="inlineStr">
        <is>
          <t>Winnipeg Manitoba et Toronto Onatrio</t>
        </is>
      </c>
      <c r="P1038" t="n">
        <v>1696.65</v>
      </c>
      <c r="Q1038" t="n">
        <v>24.9</v>
      </c>
      <c r="R1038" t="n">
        <v>201.03</v>
      </c>
      <c r="S1038" t="n">
        <v>121.4</v>
      </c>
      <c r="T1038" t="n">
        <v>0</v>
      </c>
      <c r="U1038" t="n">
        <v>2043.98</v>
      </c>
      <c r="V1038" t="n">
        <v>1900017667</v>
      </c>
      <c r="X1038" t="inlineStr">
        <is>
          <t>aafc-aac</t>
        </is>
      </c>
      <c r="Y1038" t="inlineStr">
        <is>
          <t>Agriculture and Agri-Food Canada | Agriculture et Agroalimentaire Canada</t>
        </is>
      </c>
    </row>
    <row r="1039">
      <c r="A1039" t="inlineStr">
        <is>
          <t>T-2018-Q1-00009</t>
        </is>
      </c>
      <c r="B1039" t="inlineStr">
        <is>
          <t>MPSES</t>
        </is>
      </c>
      <c r="C1039" t="inlineStr">
        <is>
          <t>Minister</t>
        </is>
      </c>
      <c r="D1039" t="inlineStr">
        <is>
          <t>Ministre</t>
        </is>
      </c>
      <c r="E1039" t="inlineStr">
        <is>
          <t>Lawrence MacAulay</t>
        </is>
      </c>
      <c r="F1039" t="inlineStr">
        <is>
          <t>To attend and speak at the World Meat Congress in Dallas, Texas</t>
        </is>
      </c>
      <c r="G1039" t="inlineStr">
        <is>
          <t>Participer et parler au World Meat Congress à Dallas, Texas</t>
        </is>
      </c>
      <c r="H1039" s="1" t="n">
        <v>43250</v>
      </c>
      <c r="I1039" s="1" t="n">
        <v>43253</v>
      </c>
      <c r="J1039" t="inlineStr">
        <is>
          <t>Dallas, Texas</t>
        </is>
      </c>
      <c r="K1039" t="inlineStr">
        <is>
          <t>Dallas, Texas</t>
        </is>
      </c>
      <c r="P1039" t="n">
        <v>1844.3</v>
      </c>
      <c r="Q1039" t="n">
        <v>24.9</v>
      </c>
      <c r="R1039" t="n">
        <v>462.2</v>
      </c>
      <c r="S1039" t="n">
        <v>199.5</v>
      </c>
      <c r="T1039" t="n">
        <v>0</v>
      </c>
      <c r="U1039" t="n">
        <v>2530.9</v>
      </c>
      <c r="V1039" t="n">
        <v>1900017960</v>
      </c>
      <c r="X1039" t="inlineStr">
        <is>
          <t>aafc-aac</t>
        </is>
      </c>
      <c r="Y1039" t="inlineStr">
        <is>
          <t>Agriculture and Agri-Food Canada | Agriculture et Agroalimentaire Canada</t>
        </is>
      </c>
    </row>
    <row r="1040">
      <c r="A1040" t="inlineStr">
        <is>
          <t>T-2018-Q1-00010</t>
        </is>
      </c>
      <c r="B1040" t="inlineStr">
        <is>
          <t>MPSES</t>
        </is>
      </c>
      <c r="C1040" t="inlineStr">
        <is>
          <t>Chief of Staff</t>
        </is>
      </c>
      <c r="D1040" t="inlineStr">
        <is>
          <t>Chef de cabinet</t>
        </is>
      </c>
      <c r="E1040" t="inlineStr">
        <is>
          <t>Mary Jean McFall</t>
        </is>
      </c>
      <c r="F1040" t="inlineStr">
        <is>
          <t xml:space="preserve">To brief the Minister for a Cabinet Committee Call </t>
        </is>
      </c>
      <c r="G1040" t="inlineStr">
        <is>
          <t>Breffage au ministre d'un appel du Comité du Cabinet</t>
        </is>
      </c>
      <c r="H1040" s="1" t="n">
        <v>43172</v>
      </c>
      <c r="I1040" s="1" t="n">
        <v>43173</v>
      </c>
      <c r="J1040" t="inlineStr">
        <is>
          <t>Charlottetown, Prince Edward Island</t>
        </is>
      </c>
      <c r="K1040" t="inlineStr">
        <is>
          <t>Charlottetown, Île-du-Prince-Édouard</t>
        </is>
      </c>
      <c r="P1040" t="n">
        <v>1086.61</v>
      </c>
      <c r="Q1040" t="n">
        <v>139.7</v>
      </c>
      <c r="R1040" t="n">
        <v>115</v>
      </c>
      <c r="S1040" t="n">
        <v>157.95</v>
      </c>
      <c r="T1040" t="n">
        <v>0</v>
      </c>
      <c r="U1040" t="n">
        <v>1499.26</v>
      </c>
      <c r="V1040" t="n">
        <v>1900120746</v>
      </c>
      <c r="X1040" t="inlineStr">
        <is>
          <t>aafc-aac</t>
        </is>
      </c>
      <c r="Y1040" t="inlineStr">
        <is>
          <t>Agriculture and Agri-Food Canada | Agriculture et Agroalimentaire Canada</t>
        </is>
      </c>
    </row>
    <row r="1041">
      <c r="A1041" t="inlineStr">
        <is>
          <t>T-2018-Q1-00011</t>
        </is>
      </c>
      <c r="B1041" t="inlineStr">
        <is>
          <t>MPSES</t>
        </is>
      </c>
      <c r="C1041" t="inlineStr">
        <is>
          <t>Chief of Staff</t>
        </is>
      </c>
      <c r="D1041" t="inlineStr">
        <is>
          <t>Chef de cabinet</t>
        </is>
      </c>
      <c r="E1041" t="inlineStr">
        <is>
          <t>Mary Jean McFall</t>
        </is>
      </c>
      <c r="F1041" t="inlineStr">
        <is>
          <t>Support Minister in the  Ministerial Outreach in Alberta</t>
        </is>
      </c>
      <c r="G1041" t="inlineStr">
        <is>
          <t>Appuyer le ministre lors de la visite de sensibilisation ministérielle en Alberta</t>
        </is>
      </c>
      <c r="H1041" s="1" t="n">
        <v>43183</v>
      </c>
      <c r="I1041" s="1" t="n">
        <v>43186</v>
      </c>
      <c r="J1041" t="inlineStr">
        <is>
          <t>Calgary, Alberta</t>
        </is>
      </c>
      <c r="K1041" t="inlineStr">
        <is>
          <t>Calgary, Alberta</t>
        </is>
      </c>
      <c r="P1041" t="n">
        <v>1173.36</v>
      </c>
      <c r="Q1041" t="n">
        <v>76.76000000000001</v>
      </c>
      <c r="R1041" t="n">
        <v>515.3099999999999</v>
      </c>
      <c r="S1041" t="n">
        <v>259</v>
      </c>
      <c r="T1041" t="n">
        <v>131.25</v>
      </c>
      <c r="U1041" t="n">
        <v>2155.68</v>
      </c>
      <c r="V1041" t="n">
        <v>1900122241</v>
      </c>
      <c r="X1041" t="inlineStr">
        <is>
          <t>aafc-aac</t>
        </is>
      </c>
      <c r="Y1041" t="inlineStr">
        <is>
          <t>Agriculture and Agri-Food Canada | Agriculture et Agroalimentaire Canada</t>
        </is>
      </c>
    </row>
    <row r="1042">
      <c r="A1042" t="inlineStr">
        <is>
          <t>T-2018-Q1-00013</t>
        </is>
      </c>
      <c r="B1042" t="inlineStr">
        <is>
          <t>MPSES</t>
        </is>
      </c>
      <c r="C1042" t="inlineStr">
        <is>
          <t>Communications Advisor</t>
        </is>
      </c>
      <c r="D1042" t="inlineStr">
        <is>
          <t>Conseiller en communications</t>
        </is>
      </c>
      <c r="E1042" t="inlineStr">
        <is>
          <t>Oliver Anderson</t>
        </is>
      </c>
      <c r="F1042" t="inlineStr">
        <is>
          <t>To accompany the Minister at the Western Outreach</t>
        </is>
      </c>
      <c r="G1042" t="inlineStr">
        <is>
          <t>Accompagner le ministre à la campagne de sensibilisation de l'Ouest</t>
        </is>
      </c>
      <c r="H1042" s="1" t="n">
        <v>43192</v>
      </c>
      <c r="I1042" s="1" t="n">
        <v>43195</v>
      </c>
      <c r="J1042" t="inlineStr">
        <is>
          <t>Victoria, British Columbia, Kelowna, British Columbia,  Winnipeg, Manitoba</t>
        </is>
      </c>
      <c r="K1042" t="inlineStr">
        <is>
          <t>Victoria Colombie-Britannique, Kelowna Colombie-Britannique, Winnipeg Manitoba</t>
        </is>
      </c>
      <c r="P1042" t="n">
        <v>2448.85</v>
      </c>
      <c r="Q1042" t="n">
        <v>39.85</v>
      </c>
      <c r="R1042" t="n">
        <v>479.44</v>
      </c>
      <c r="S1042" t="n">
        <v>397.2</v>
      </c>
      <c r="U1042" t="n">
        <v>3365.34</v>
      </c>
      <c r="V1042" t="n">
        <v>1900001665</v>
      </c>
      <c r="X1042" t="inlineStr">
        <is>
          <t>aafc-aac</t>
        </is>
      </c>
      <c r="Y1042" t="inlineStr">
        <is>
          <t>Agriculture and Agri-Food Canada | Agriculture et Agroalimentaire Canada</t>
        </is>
      </c>
    </row>
    <row r="1043">
      <c r="A1043" t="inlineStr">
        <is>
          <t>T-2018-Q1-00014</t>
        </is>
      </c>
      <c r="B1043" t="inlineStr">
        <is>
          <t>MPSES</t>
        </is>
      </c>
      <c r="C1043" t="inlineStr">
        <is>
          <t>Director of Communications</t>
        </is>
      </c>
      <c r="D1043" t="inlineStr">
        <is>
          <t>Directeur des communications</t>
        </is>
      </c>
      <c r="E1043" t="inlineStr">
        <is>
          <t>Guy Gallant</t>
        </is>
      </c>
      <c r="F1043" t="inlineStr">
        <is>
          <t>To accompany the Minister on the Ministerial Mission to Japan and South Korea.</t>
        </is>
      </c>
      <c r="G1043" t="inlineStr">
        <is>
          <t>Accompagner le ministre à la mission ministérielle au Japon et en Corée du Sud.</t>
        </is>
      </c>
      <c r="H1043" s="1" t="n">
        <v>43160</v>
      </c>
      <c r="I1043" s="1" t="n">
        <v>43169</v>
      </c>
      <c r="J1043" t="inlineStr">
        <is>
          <t>Tokyo, Japan, Seoul South, Korea</t>
        </is>
      </c>
      <c r="K1043" t="inlineStr">
        <is>
          <t>Tokyo, Japon, Séoul, Corée du Sud</t>
        </is>
      </c>
      <c r="P1043" t="n">
        <v>7553.19</v>
      </c>
      <c r="Q1043" t="n">
        <v>0</v>
      </c>
      <c r="R1043" t="n">
        <v>2380.12</v>
      </c>
      <c r="S1043" t="n">
        <v>1838.59</v>
      </c>
      <c r="T1043" t="n">
        <v>0</v>
      </c>
      <c r="U1043" t="n">
        <v>11771.9</v>
      </c>
      <c r="V1043" t="n">
        <v>1900120314</v>
      </c>
      <c r="X1043" t="inlineStr">
        <is>
          <t>aafc-aac</t>
        </is>
      </c>
      <c r="Y1043" t="inlineStr">
        <is>
          <t>Agriculture and Agri-Food Canada | Agriculture et Agroalimentaire Canada</t>
        </is>
      </c>
    </row>
    <row r="1044">
      <c r="A1044" t="inlineStr">
        <is>
          <t>T-2018-Q1-00015</t>
        </is>
      </c>
      <c r="B1044" t="inlineStr">
        <is>
          <t>MPSES</t>
        </is>
      </c>
      <c r="C1044" t="inlineStr">
        <is>
          <t>Director of Communications</t>
        </is>
      </c>
      <c r="D1044" t="inlineStr">
        <is>
          <t>Directeur des communications</t>
        </is>
      </c>
      <c r="E1044" t="inlineStr">
        <is>
          <t>Guy Gallant</t>
        </is>
      </c>
      <c r="F1044" t="inlineStr">
        <is>
          <t>To accompany the Minister to the Ministerial Mission to Boston Seafood Expo North America</t>
        </is>
      </c>
      <c r="G1044" t="inlineStr">
        <is>
          <t>Accompagner le ministre à la mission ministérielle au Boston Seafood Expo North America</t>
        </is>
      </c>
      <c r="H1044" s="1" t="n">
        <v>43170</v>
      </c>
      <c r="I1044" s="1" t="n">
        <v>43172</v>
      </c>
      <c r="J1044" t="inlineStr">
        <is>
          <t>Boston, Massachusetts</t>
        </is>
      </c>
      <c r="K1044" t="inlineStr">
        <is>
          <t>Boston, Massachusetts</t>
        </is>
      </c>
      <c r="P1044" t="n">
        <v>785.4400000000001</v>
      </c>
      <c r="Q1044" t="n">
        <v>28.07</v>
      </c>
      <c r="R1044" t="n">
        <v>586.27</v>
      </c>
      <c r="S1044" t="n">
        <v>215.33</v>
      </c>
      <c r="T1044" t="n">
        <v>0</v>
      </c>
      <c r="U1044" t="n">
        <v>1615.11</v>
      </c>
      <c r="V1044" t="n">
        <v>1900121472</v>
      </c>
      <c r="X1044" t="inlineStr">
        <is>
          <t>aafc-aac</t>
        </is>
      </c>
      <c r="Y1044" t="inlineStr">
        <is>
          <t>Agriculture and Agri-Food Canada | Agriculture et Agroalimentaire Canada</t>
        </is>
      </c>
    </row>
    <row r="1045">
      <c r="A1045" t="inlineStr">
        <is>
          <t>T-2018-Q1-00016</t>
        </is>
      </c>
      <c r="B1045" t="inlineStr">
        <is>
          <t>MPSES</t>
        </is>
      </c>
      <c r="C1045" t="inlineStr">
        <is>
          <t>Director of Communications</t>
        </is>
      </c>
      <c r="D1045" t="inlineStr">
        <is>
          <t>Directeur des communications</t>
        </is>
      </c>
      <c r="E1045" t="inlineStr">
        <is>
          <t>Guy Gallant</t>
        </is>
      </c>
      <c r="F1045" t="inlineStr">
        <is>
          <t>To accompany the Minister to Montreal Outreach</t>
        </is>
      </c>
      <c r="G1045" t="inlineStr">
        <is>
          <t>Accompagner le ministre à la visite de sensibilisation à Montréal</t>
        </is>
      </c>
      <c r="H1045" s="1" t="n">
        <v>43174</v>
      </c>
      <c r="I1045" s="1" t="n">
        <v>43175</v>
      </c>
      <c r="J1045" t="inlineStr">
        <is>
          <t>Montreal, Quebec</t>
        </is>
      </c>
      <c r="K1045" t="inlineStr">
        <is>
          <t>Montréal, Québec</t>
        </is>
      </c>
      <c r="P1045" t="n">
        <v>0</v>
      </c>
      <c r="Q1045" t="n">
        <v>193.23</v>
      </c>
      <c r="R1045" t="n">
        <v>189.22</v>
      </c>
      <c r="S1045" t="n">
        <v>148.4</v>
      </c>
      <c r="T1045" t="n">
        <v>0</v>
      </c>
      <c r="U1045" t="n">
        <v>530.85</v>
      </c>
      <c r="V1045" t="n">
        <v>1900121470</v>
      </c>
      <c r="X1045" t="inlineStr">
        <is>
          <t>aafc-aac</t>
        </is>
      </c>
      <c r="Y1045" t="inlineStr">
        <is>
          <t>Agriculture and Agri-Food Canada | Agriculture et Agroalimentaire Canada</t>
        </is>
      </c>
    </row>
    <row r="1046">
      <c r="A1046" t="inlineStr">
        <is>
          <t>T-2018-Q1-00017</t>
        </is>
      </c>
      <c r="B1046" t="inlineStr">
        <is>
          <t>MPSES</t>
        </is>
      </c>
      <c r="C1046" t="inlineStr">
        <is>
          <t>Director of Communications</t>
        </is>
      </c>
      <c r="D1046" t="inlineStr">
        <is>
          <t>Directeur des communications</t>
        </is>
      </c>
      <c r="E1046" t="inlineStr">
        <is>
          <t>Guy Gallant</t>
        </is>
      </c>
      <c r="F1046" t="inlineStr">
        <is>
          <t>Support the Minister in the Ministerial Outreach to Alberta</t>
        </is>
      </c>
      <c r="G1046" t="inlineStr">
        <is>
          <t>Soutenir le ministre à la visite de sensibilisation ministérielle en Alberta</t>
        </is>
      </c>
      <c r="H1046" s="1" t="n">
        <v>43184</v>
      </c>
      <c r="I1046" s="1" t="n">
        <v>43186</v>
      </c>
      <c r="J1046" t="inlineStr">
        <is>
          <t>Calgary, Alberta</t>
        </is>
      </c>
      <c r="K1046" t="inlineStr">
        <is>
          <t>Calgary, Alberta</t>
        </is>
      </c>
      <c r="P1046" t="n">
        <v>415.09</v>
      </c>
      <c r="Q1046" t="n">
        <v>0</v>
      </c>
      <c r="R1046" t="n">
        <v>343.54</v>
      </c>
      <c r="S1046" t="n">
        <v>175.25</v>
      </c>
      <c r="T1046" t="n">
        <v>131.25</v>
      </c>
      <c r="U1046" t="n">
        <v>1065.13</v>
      </c>
      <c r="V1046" t="n">
        <v>1900122125</v>
      </c>
      <c r="X1046" t="inlineStr">
        <is>
          <t>aafc-aac</t>
        </is>
      </c>
      <c r="Y1046" t="inlineStr">
        <is>
          <t>Agriculture and Agri-Food Canada | Agriculture et Agroalimentaire Canada</t>
        </is>
      </c>
    </row>
    <row r="1047">
      <c r="A1047" t="inlineStr">
        <is>
          <t>T-2018-Q1-00018</t>
        </is>
      </c>
      <c r="B1047" t="inlineStr">
        <is>
          <t>MPSES</t>
        </is>
      </c>
      <c r="C1047" t="inlineStr">
        <is>
          <t>Director of Communications</t>
        </is>
      </c>
      <c r="D1047" t="inlineStr">
        <is>
          <t>Directeur des communications</t>
        </is>
      </c>
      <c r="E1047" t="inlineStr">
        <is>
          <t>Guy Gallant</t>
        </is>
      </c>
      <c r="F1047" t="inlineStr">
        <is>
          <t>To accompany the Minister to briefings and meetings</t>
        </is>
      </c>
      <c r="G1047" t="inlineStr">
        <is>
          <t>Accompagner le ministre aux breffages et aux réunions</t>
        </is>
      </c>
      <c r="H1047" s="1" t="n">
        <v>43198</v>
      </c>
      <c r="I1047" s="1" t="n">
        <v>43202</v>
      </c>
      <c r="J1047" t="inlineStr">
        <is>
          <t>Charlottetown, Prince Edward Island</t>
        </is>
      </c>
      <c r="K1047" t="inlineStr">
        <is>
          <t>Charlottetown, Île-du-Prince-Édouard</t>
        </is>
      </c>
      <c r="P1047" t="n">
        <v>839.55</v>
      </c>
      <c r="Q1047" t="n">
        <v>243.37</v>
      </c>
      <c r="R1047" t="n">
        <v>493.95</v>
      </c>
      <c r="S1047" t="n">
        <v>300.65</v>
      </c>
      <c r="T1047" t="n">
        <v>0</v>
      </c>
      <c r="U1047" t="n">
        <v>1877.52</v>
      </c>
      <c r="V1047" t="n">
        <v>1900002032</v>
      </c>
      <c r="X1047" t="inlineStr">
        <is>
          <t>aafc-aac</t>
        </is>
      </c>
      <c r="Y1047" t="inlineStr">
        <is>
          <t>Agriculture and Agri-Food Canada | Agriculture et Agroalimentaire Canada</t>
        </is>
      </c>
    </row>
    <row r="1048">
      <c r="A1048" t="inlineStr">
        <is>
          <t>T-2018-Q1-00019</t>
        </is>
      </c>
      <c r="B1048" t="inlineStr">
        <is>
          <t>MPSES</t>
        </is>
      </c>
      <c r="C1048" t="inlineStr">
        <is>
          <t>Director of Communications</t>
        </is>
      </c>
      <c r="D1048" t="inlineStr">
        <is>
          <t>Directeur des communications</t>
        </is>
      </c>
      <c r="E1048" t="inlineStr">
        <is>
          <t>Guy Gallant</t>
        </is>
      </c>
      <c r="F1048" t="inlineStr">
        <is>
          <t>Travel for the Ministerial Mission to China</t>
        </is>
      </c>
      <c r="G1048" t="inlineStr">
        <is>
          <t>Voyage pour la mission ministérielle en Chine</t>
        </is>
      </c>
      <c r="H1048" s="1" t="n">
        <v>43231</v>
      </c>
      <c r="I1048" s="1" t="n">
        <v>43239</v>
      </c>
      <c r="J1048" t="inlineStr">
        <is>
          <t>Shanghai &amp; Hangzhou, China</t>
        </is>
      </c>
      <c r="K1048" t="inlineStr">
        <is>
          <t>Shanghai et Hangzhou, Chine</t>
        </is>
      </c>
      <c r="P1048" t="n">
        <v>8309.18</v>
      </c>
      <c r="Q1048" t="n">
        <v>29.48</v>
      </c>
      <c r="R1048" t="n">
        <v>2045.04</v>
      </c>
      <c r="S1048" t="n">
        <v>1270.47</v>
      </c>
      <c r="T1048" t="n">
        <v>0</v>
      </c>
      <c r="U1048" t="n">
        <v>11654.17</v>
      </c>
      <c r="V1048" t="n">
        <v>1900016118</v>
      </c>
      <c r="X1048" t="inlineStr">
        <is>
          <t>aafc-aac</t>
        </is>
      </c>
      <c r="Y1048" t="inlineStr">
        <is>
          <t>Agriculture and Agri-Food Canada | Agriculture et Agroalimentaire Canada</t>
        </is>
      </c>
    </row>
    <row r="1049">
      <c r="A1049" t="inlineStr">
        <is>
          <t>T-2018-Q1-00026</t>
        </is>
      </c>
      <c r="B1049" t="inlineStr">
        <is>
          <t>MPSES</t>
        </is>
      </c>
      <c r="C1049" t="inlineStr">
        <is>
          <t>Director of Parliamentary Affairs</t>
        </is>
      </c>
      <c r="D1049" t="inlineStr">
        <is>
          <t>Directeur des affaires parlementaires</t>
        </is>
      </c>
      <c r="E1049" t="inlineStr">
        <is>
          <t>Matthew Mann</t>
        </is>
      </c>
      <c r="F1049" t="inlineStr">
        <is>
          <t>To support the Minister at the World Meat Congress in Dallas, Texas</t>
        </is>
      </c>
      <c r="G1049" t="inlineStr">
        <is>
          <t>Soutenir le ministre au Congrès mondial de la viande à Dallas, au Texas</t>
        </is>
      </c>
      <c r="H1049" s="1" t="n">
        <v>43250</v>
      </c>
      <c r="I1049" s="1" t="n">
        <v>43253</v>
      </c>
      <c r="J1049" t="inlineStr">
        <is>
          <t>Dallas, Texas</t>
        </is>
      </c>
      <c r="K1049" t="inlineStr">
        <is>
          <t>Dallas, Texas</t>
        </is>
      </c>
      <c r="P1049" t="n">
        <v>1462.9</v>
      </c>
      <c r="Q1049" t="n">
        <v>17.77</v>
      </c>
      <c r="R1049" t="n">
        <v>714.8099999999999</v>
      </c>
      <c r="S1049" t="n">
        <v>357.48</v>
      </c>
      <c r="U1049" t="n">
        <v>2552.96</v>
      </c>
      <c r="V1049" t="n">
        <v>1900020023</v>
      </c>
      <c r="X1049" t="inlineStr">
        <is>
          <t>aafc-aac</t>
        </is>
      </c>
      <c r="Y1049" t="inlineStr">
        <is>
          <t>Agriculture and Agri-Food Canada | Agriculture et Agroalimentaire Canada</t>
        </is>
      </c>
    </row>
    <row r="1050">
      <c r="A1050" t="inlineStr">
        <is>
          <t>T-2018-Q1-00020</t>
        </is>
      </c>
      <c r="B1050" t="inlineStr">
        <is>
          <t>MPSES</t>
        </is>
      </c>
      <c r="C1050" t="inlineStr">
        <is>
          <t>Director of Communications</t>
        </is>
      </c>
      <c r="D1050" t="inlineStr">
        <is>
          <t>Directeur des communications</t>
        </is>
      </c>
      <c r="E1050" t="inlineStr">
        <is>
          <t>Guy Gallant</t>
        </is>
      </c>
      <c r="F1050" t="inlineStr">
        <is>
          <t>To support the Minister in the announcement of Bill C-49, the Transportation Modernization Act had received Royal Assent</t>
        </is>
      </c>
      <c r="G1050" t="inlineStr">
        <is>
          <t>Pour appuyer le ministre dans l'annonce du projet de loi C-49, la Loi sur la modernisation des transports qui a reçu la sanction royale</t>
        </is>
      </c>
      <c r="H1050" s="1" t="n">
        <v>43243</v>
      </c>
      <c r="I1050" s="1" t="n">
        <v>43245</v>
      </c>
      <c r="J1050" t="inlineStr">
        <is>
          <t>Winnipeg, Manitoba, Toronto, Ontario, Charlottetown, Prince Edward Island</t>
        </is>
      </c>
      <c r="K1050" t="inlineStr">
        <is>
          <t>Winnipeg, Manitoba Toronto, Ontario, Charlottetown, Île-du-Prince-Edouard</t>
        </is>
      </c>
      <c r="P1050" t="n">
        <v>2162.73</v>
      </c>
      <c r="Q1050" t="n">
        <v>0</v>
      </c>
      <c r="R1050" t="n">
        <v>353.83</v>
      </c>
      <c r="S1050" t="n">
        <v>273.65</v>
      </c>
      <c r="T1050" t="n">
        <v>0</v>
      </c>
      <c r="U1050" t="n">
        <v>2790.21</v>
      </c>
      <c r="V1050" t="n">
        <v>1900017806</v>
      </c>
      <c r="X1050" t="inlineStr">
        <is>
          <t>aafc-aac</t>
        </is>
      </c>
      <c r="Y1050" t="inlineStr">
        <is>
          <t>Agriculture and Agri-Food Canada | Agriculture et Agroalimentaire Canada</t>
        </is>
      </c>
    </row>
    <row r="1051">
      <c r="A1051" t="inlineStr">
        <is>
          <t>T-2018-Q1-00021</t>
        </is>
      </c>
      <c r="B1051" t="inlineStr">
        <is>
          <t>MPSES</t>
        </is>
      </c>
      <c r="C1051" t="inlineStr">
        <is>
          <t>Director of Communications</t>
        </is>
      </c>
      <c r="D1051" t="inlineStr">
        <is>
          <t>Directeur des communications</t>
        </is>
      </c>
      <c r="E1051" t="inlineStr">
        <is>
          <t>Guy Gallant</t>
        </is>
      </c>
      <c r="F1051" t="inlineStr">
        <is>
          <t>To support the Minister at the World Meat Congress in Dallas, Texas</t>
        </is>
      </c>
      <c r="G1051" t="inlineStr">
        <is>
          <t>Soutenir le ministre au Congrès mondial de la viande à Dallas, au Texas</t>
        </is>
      </c>
      <c r="H1051" s="1" t="n">
        <v>43250</v>
      </c>
      <c r="I1051" s="1" t="n">
        <v>43253</v>
      </c>
      <c r="J1051" t="inlineStr">
        <is>
          <t>Dallas, Texas</t>
        </is>
      </c>
      <c r="K1051" t="inlineStr">
        <is>
          <t>Dallas, Texas</t>
        </is>
      </c>
      <c r="P1051" t="n">
        <v>1327.31</v>
      </c>
      <c r="Q1051" t="n">
        <v>31.94</v>
      </c>
      <c r="R1051" t="n">
        <v>693.3</v>
      </c>
      <c r="S1051" t="n">
        <v>357.48</v>
      </c>
      <c r="T1051" t="n">
        <v>0</v>
      </c>
      <c r="U1051" t="n">
        <v>2410.03</v>
      </c>
      <c r="V1051" t="n">
        <v>1900018086</v>
      </c>
      <c r="X1051" t="inlineStr">
        <is>
          <t>aafc-aac</t>
        </is>
      </c>
      <c r="Y1051" t="inlineStr">
        <is>
          <t>Agriculture and Agri-Food Canada | Agriculture et Agroalimentaire Canada</t>
        </is>
      </c>
    </row>
    <row r="1052">
      <c r="A1052" t="inlineStr">
        <is>
          <t>T-2018-Q1-00022</t>
        </is>
      </c>
      <c r="B1052" t="inlineStr">
        <is>
          <t>MPSES</t>
        </is>
      </c>
      <c r="C1052" t="inlineStr">
        <is>
          <t>Policy Advisor</t>
        </is>
      </c>
      <c r="D1052" t="inlineStr">
        <is>
          <t>Conseiller en politiques</t>
        </is>
      </c>
      <c r="E1052" t="inlineStr">
        <is>
          <t>Abed Harb</t>
        </is>
      </c>
      <c r="F1052" t="inlineStr">
        <is>
          <t>To accompany the Minnister for the Installation of Mr. W. Thomas Malloy as the 22nd Lieutenant Governor of Saskatchewan, and a meeting with Saskatchewan's Minister of Agriculture</t>
        </is>
      </c>
      <c r="G1052" t="inlineStr">
        <is>
          <t>Accompagner le ministre à l'installation de MW Thomas Malloy à titre de 22e lieutenant-gouverneur de la Saskatchewan et à une réunion avec le ministre d'Agriculture de la Saskatchewan</t>
        </is>
      </c>
      <c r="H1052" s="1" t="n">
        <v>43179</v>
      </c>
      <c r="I1052" s="1" t="n">
        <v>43180</v>
      </c>
      <c r="J1052" t="inlineStr">
        <is>
          <t>Regina, Saskatchewan</t>
        </is>
      </c>
      <c r="K1052" t="inlineStr">
        <is>
          <t>Regina, Saskatchewan</t>
        </is>
      </c>
      <c r="P1052" t="n">
        <v>1402.93</v>
      </c>
      <c r="Q1052" t="n">
        <v>64.43000000000001</v>
      </c>
      <c r="R1052" t="n">
        <v>193.21</v>
      </c>
      <c r="S1052" t="n">
        <v>119.95</v>
      </c>
      <c r="T1052" t="n">
        <v>0</v>
      </c>
      <c r="U1052" t="n">
        <v>1780.52</v>
      </c>
      <c r="V1052" t="n">
        <v>1900121469</v>
      </c>
      <c r="X1052" t="inlineStr">
        <is>
          <t>aafc-aac</t>
        </is>
      </c>
      <c r="Y1052" t="inlineStr">
        <is>
          <t>Agriculture and Agri-Food Canada | Agriculture et Agroalimentaire Canada</t>
        </is>
      </c>
    </row>
    <row r="1053">
      <c r="A1053" t="inlineStr">
        <is>
          <t>T-2018-Q1-00023</t>
        </is>
      </c>
      <c r="B1053" t="inlineStr">
        <is>
          <t>MPSES</t>
        </is>
      </c>
      <c r="C1053" t="inlineStr">
        <is>
          <t>Policy Advisor</t>
        </is>
      </c>
      <c r="D1053" t="inlineStr">
        <is>
          <t>Conseiller en politiques</t>
        </is>
      </c>
      <c r="E1053" t="inlineStr">
        <is>
          <t>Abed Harb</t>
        </is>
      </c>
      <c r="F1053" t="inlineStr">
        <is>
          <t>To support the Minister in the announcement of Bill C-49, the Transportation Modernization Act had received Royal Assent</t>
        </is>
      </c>
      <c r="G1053" t="inlineStr">
        <is>
          <t>Pour appuyer le ministre dans l'annonce du projet de loi C-49, la Loi sur la modernisation des transports qui a reçu la sanction royale</t>
        </is>
      </c>
      <c r="H1053" s="1" t="n">
        <v>43243</v>
      </c>
      <c r="I1053" s="1" t="n">
        <v>43244</v>
      </c>
      <c r="J1053" t="inlineStr">
        <is>
          <t>Winnipeg, Manitoba</t>
        </is>
      </c>
      <c r="K1053" t="inlineStr">
        <is>
          <t>Winnipeg (Manitoba)</t>
        </is>
      </c>
      <c r="P1053" t="n">
        <v>1168.96</v>
      </c>
      <c r="Q1053" t="n">
        <v>67.73999999999999</v>
      </c>
      <c r="R1053" t="n">
        <v>201.03</v>
      </c>
      <c r="S1053" t="n">
        <v>169.55</v>
      </c>
      <c r="T1053" t="n">
        <v>0</v>
      </c>
      <c r="U1053" t="n">
        <v>1607.28</v>
      </c>
      <c r="V1053" t="n">
        <v>1900017620</v>
      </c>
      <c r="X1053" t="inlineStr">
        <is>
          <t>aafc-aac</t>
        </is>
      </c>
      <c r="Y1053" t="inlineStr">
        <is>
          <t>Agriculture and Agri-Food Canada | Agriculture et Agroalimentaire Canada</t>
        </is>
      </c>
    </row>
    <row r="1054">
      <c r="A1054" t="inlineStr">
        <is>
          <t>T-2018-Q1-00024</t>
        </is>
      </c>
      <c r="B1054" t="inlineStr">
        <is>
          <t>MPSES</t>
        </is>
      </c>
      <c r="C1054" t="inlineStr">
        <is>
          <t>Policy Advisor</t>
        </is>
      </c>
      <c r="D1054" t="inlineStr">
        <is>
          <t>Conseiller en politiques</t>
        </is>
      </c>
      <c r="E1054" t="inlineStr">
        <is>
          <t>Dan Lussier</t>
        </is>
      </c>
      <c r="F1054" t="inlineStr">
        <is>
          <t>To accompany the Minister at the Western Outreach</t>
        </is>
      </c>
      <c r="G1054" t="inlineStr">
        <is>
          <t>Accompagner le ministre à la campagne de sensibilisation de l'Ouest</t>
        </is>
      </c>
      <c r="H1054" s="1" t="n">
        <v>43192</v>
      </c>
      <c r="I1054" s="1" t="n">
        <v>43197</v>
      </c>
      <c r="J1054" t="inlineStr">
        <is>
          <t>Victoria British Columbia, Kelowna British Columbia, Winnipeg Manitoba</t>
        </is>
      </c>
      <c r="K1054" t="inlineStr">
        <is>
          <t>Victoria Colombie-Britannique, Kelowna Colombie-Britannique, Winnipeg Manitoba</t>
        </is>
      </c>
      <c r="P1054" t="n">
        <v>2524.56</v>
      </c>
      <c r="Q1054" t="n">
        <v>192.94</v>
      </c>
      <c r="R1054" t="n">
        <v>479.44</v>
      </c>
      <c r="S1054" t="n">
        <v>397.2</v>
      </c>
      <c r="T1054" t="n">
        <v>0</v>
      </c>
      <c r="U1054" t="n">
        <v>3594.14</v>
      </c>
      <c r="V1054" t="n">
        <v>1900001664</v>
      </c>
      <c r="X1054" t="inlineStr">
        <is>
          <t>aafc-aac</t>
        </is>
      </c>
      <c r="Y1054" t="inlineStr">
        <is>
          <t>Agriculture and Agri-Food Canada | Agriculture et Agroalimentaire Canada</t>
        </is>
      </c>
    </row>
    <row r="1055">
      <c r="A1055" t="inlineStr">
        <is>
          <t>T-2018-Q1-00025</t>
        </is>
      </c>
      <c r="B1055" t="inlineStr">
        <is>
          <t>MPSES</t>
        </is>
      </c>
      <c r="C1055" t="inlineStr">
        <is>
          <t>Director of Parliamentary Affairs</t>
        </is>
      </c>
      <c r="D1055" t="inlineStr">
        <is>
          <t>Directeur des affaires parlementaires</t>
        </is>
      </c>
      <c r="E1055" t="inlineStr">
        <is>
          <t>Matthew Mann</t>
        </is>
      </c>
      <c r="F1055" t="inlineStr">
        <is>
          <t>To accompany the Minister to the Ministerial Mission to Boston Seafood Expo North America</t>
        </is>
      </c>
      <c r="G1055" t="inlineStr">
        <is>
          <t>Accompagner le ministre à la mission ministérielle  au Boston Seafood Expo North America</t>
        </is>
      </c>
      <c r="H1055" s="1" t="n">
        <v>43170</v>
      </c>
      <c r="I1055" s="1" t="n">
        <v>43171</v>
      </c>
      <c r="J1055" t="inlineStr">
        <is>
          <t>Boston, Massachusetts</t>
        </is>
      </c>
      <c r="K1055" t="inlineStr">
        <is>
          <t>Boston, Massachusetts</t>
        </is>
      </c>
      <c r="P1055" t="n">
        <v>785.4400000000001</v>
      </c>
      <c r="Q1055" t="n">
        <v>20</v>
      </c>
      <c r="R1055" t="n">
        <v>421.85</v>
      </c>
      <c r="S1055" t="n">
        <v>215.33</v>
      </c>
      <c r="U1055" t="n">
        <v>1442.62</v>
      </c>
      <c r="V1055" t="n">
        <v>1900121476</v>
      </c>
      <c r="X1055" t="inlineStr">
        <is>
          <t>aafc-aac</t>
        </is>
      </c>
      <c r="Y1055" t="inlineStr">
        <is>
          <t>Agriculture and Agri-Food Canada | Agriculture et Agroalimentaire Canada</t>
        </is>
      </c>
    </row>
    <row r="1056">
      <c r="A1056" t="inlineStr">
        <is>
          <t>T-2018-Q1-00028</t>
        </is>
      </c>
      <c r="B1056" t="inlineStr">
        <is>
          <t>MPSES</t>
        </is>
      </c>
      <c r="C1056" t="inlineStr">
        <is>
          <t>Director of Policy</t>
        </is>
      </c>
      <c r="D1056" t="inlineStr">
        <is>
          <t>Directrice de la politique</t>
        </is>
      </c>
      <c r="E1056" t="inlineStr">
        <is>
          <t>Alison Porter</t>
        </is>
      </c>
      <c r="F1056" t="inlineStr">
        <is>
          <t>To accompany the Minister on the Ministerial Mission to Japan and South Korea</t>
        </is>
      </c>
      <c r="G1056" t="inlineStr">
        <is>
          <t>Accompagner le ministre à la mission ministérielle au Japon et en Corée du Sud</t>
        </is>
      </c>
      <c r="H1056" s="1" t="n">
        <v>43160</v>
      </c>
      <c r="I1056" s="1" t="n">
        <v>43169</v>
      </c>
      <c r="J1056" t="inlineStr">
        <is>
          <t>Tokyo, Japan, Seoul, South Korea</t>
        </is>
      </c>
      <c r="K1056" t="inlineStr">
        <is>
          <t>Tokyo, Japon, Séoul, Corée du Sud</t>
        </is>
      </c>
      <c r="P1056" t="n">
        <v>7553.19</v>
      </c>
      <c r="Q1056" t="n">
        <v>34.21</v>
      </c>
      <c r="R1056" t="n">
        <v>2380.12</v>
      </c>
      <c r="S1056" t="n">
        <v>1774.01</v>
      </c>
      <c r="T1056" t="n">
        <v>0</v>
      </c>
      <c r="U1056" t="n">
        <v>11741.53</v>
      </c>
      <c r="V1056" t="n">
        <v>1900120170</v>
      </c>
      <c r="X1056" t="inlineStr">
        <is>
          <t>aafc-aac</t>
        </is>
      </c>
      <c r="Y1056" t="inlineStr">
        <is>
          <t>Agriculture and Agri-Food Canada | Agriculture et Agroalimentaire Canada</t>
        </is>
      </c>
    </row>
    <row r="1057">
      <c r="A1057" t="inlineStr">
        <is>
          <t>T-2018-Q1-00029</t>
        </is>
      </c>
      <c r="B1057" t="inlineStr">
        <is>
          <t>MPSES</t>
        </is>
      </c>
      <c r="C1057" t="inlineStr">
        <is>
          <t>Director of Policy</t>
        </is>
      </c>
      <c r="D1057" t="inlineStr">
        <is>
          <t>Directrice de la politique</t>
        </is>
      </c>
      <c r="E1057" t="inlineStr">
        <is>
          <t>Alison Porter</t>
        </is>
      </c>
      <c r="F1057" t="inlineStr">
        <is>
          <t>Support the Minister in the Ministerial Outreach to Alberta</t>
        </is>
      </c>
      <c r="G1057" t="inlineStr">
        <is>
          <t>Soutenir le ministre à la visite de sensibilisation ministérielle en Alberta</t>
        </is>
      </c>
      <c r="H1057" s="1" t="n">
        <v>43183</v>
      </c>
      <c r="I1057" s="1" t="n">
        <v>43186</v>
      </c>
      <c r="J1057" t="inlineStr">
        <is>
          <t>Calgary, Alberta</t>
        </is>
      </c>
      <c r="K1057" t="inlineStr">
        <is>
          <t>Calgary, Alberta</t>
        </is>
      </c>
      <c r="P1057" t="n">
        <v>1169.36</v>
      </c>
      <c r="Q1057" t="n">
        <v>0</v>
      </c>
      <c r="R1057" t="n">
        <v>515.3099999999999</v>
      </c>
      <c r="S1057" t="n">
        <v>259</v>
      </c>
      <c r="T1057" t="n">
        <v>131.25</v>
      </c>
      <c r="U1057" t="n">
        <v>2074.92</v>
      </c>
      <c r="V1057" t="n">
        <v>1900122120</v>
      </c>
      <c r="X1057" t="inlineStr">
        <is>
          <t>aafc-aac</t>
        </is>
      </c>
      <c r="Y1057" t="inlineStr">
        <is>
          <t>Agriculture and Agri-Food Canada | Agriculture et Agroalimentaire Canada</t>
        </is>
      </c>
    </row>
    <row r="1058">
      <c r="A1058" t="inlineStr">
        <is>
          <t>T-2018-Q1-00030</t>
        </is>
      </c>
      <c r="B1058" t="inlineStr">
        <is>
          <t>MPSES</t>
        </is>
      </c>
      <c r="C1058" t="inlineStr">
        <is>
          <t>Director of Policy</t>
        </is>
      </c>
      <c r="D1058" t="inlineStr">
        <is>
          <t>Directrice de la politique</t>
        </is>
      </c>
      <c r="E1058" t="inlineStr">
        <is>
          <t>Alison Porter</t>
        </is>
      </c>
      <c r="F1058" t="inlineStr">
        <is>
          <t>To accompany the Minister to briefings and meetings</t>
        </is>
      </c>
      <c r="G1058" t="inlineStr">
        <is>
          <t>Accompagner le ministre aux breffages et aux réunions</t>
        </is>
      </c>
      <c r="H1058" s="1" t="n">
        <v>43200</v>
      </c>
      <c r="I1058" s="1" t="n">
        <v>43201</v>
      </c>
      <c r="J1058" t="inlineStr">
        <is>
          <t>Charlottetown, Prince Edward Island</t>
        </is>
      </c>
      <c r="K1058" t="inlineStr">
        <is>
          <t>Charlottetown, Île-du-Prince-Édouard</t>
        </is>
      </c>
      <c r="P1058" t="n">
        <v>973.61</v>
      </c>
      <c r="Q1058" t="n">
        <v>0</v>
      </c>
      <c r="R1058" t="n">
        <v>164.65</v>
      </c>
      <c r="S1058" t="n">
        <v>111.9</v>
      </c>
      <c r="U1058" t="n">
        <v>1250.16</v>
      </c>
      <c r="V1058" t="n">
        <v>1900002033</v>
      </c>
      <c r="X1058" t="inlineStr">
        <is>
          <t>aafc-aac</t>
        </is>
      </c>
      <c r="Y1058" t="inlineStr">
        <is>
          <t>Agriculture and Agri-Food Canada | Agriculture et Agroalimentaire Canada</t>
        </is>
      </c>
    </row>
    <row r="1059">
      <c r="A1059" t="inlineStr">
        <is>
          <t>T-2018-Q1-00031</t>
        </is>
      </c>
      <c r="B1059" t="inlineStr">
        <is>
          <t>MPSES</t>
        </is>
      </c>
      <c r="C1059" t="inlineStr">
        <is>
          <t>Parliamentary Secretary Assistant</t>
        </is>
      </c>
      <c r="D1059" t="inlineStr">
        <is>
          <t>Adjoint du Secrétaire parlementaire</t>
        </is>
      </c>
      <c r="E1059" t="inlineStr">
        <is>
          <t>Michel-Antoine Renaud</t>
        </is>
      </c>
      <c r="F1059" t="inlineStr">
        <is>
          <t>To accompany the Minister on a Montreal outreach</t>
        </is>
      </c>
      <c r="G1059" t="inlineStr">
        <is>
          <t>Accompagner le ministre lors de la visite de sensibilisation à Montréal</t>
        </is>
      </c>
      <c r="H1059" s="1" t="n">
        <v>43174</v>
      </c>
      <c r="I1059" s="1" t="n">
        <v>43175</v>
      </c>
      <c r="J1059" t="inlineStr">
        <is>
          <t>Montreal, Quebec</t>
        </is>
      </c>
      <c r="K1059" t="inlineStr">
        <is>
          <t>Montréal, Québec</t>
        </is>
      </c>
      <c r="P1059" t="n">
        <v>0</v>
      </c>
      <c r="Q1059" t="n">
        <v>193.23</v>
      </c>
      <c r="R1059" t="n">
        <v>189.22</v>
      </c>
      <c r="S1059" t="n">
        <v>148.4</v>
      </c>
      <c r="T1059" t="n">
        <v>0</v>
      </c>
      <c r="U1059" t="n">
        <v>530.85</v>
      </c>
      <c r="V1059" t="n">
        <v>1900120877</v>
      </c>
      <c r="X1059" t="inlineStr">
        <is>
          <t>aafc-aac</t>
        </is>
      </c>
      <c r="Y1059" t="inlineStr">
        <is>
          <t>Agriculture and Agri-Food Canada | Agriculture et Agroalimentaire Canada</t>
        </is>
      </c>
    </row>
    <row r="1060">
      <c r="A1060" t="inlineStr">
        <is>
          <t>T-2018-Q1-00032</t>
        </is>
      </c>
      <c r="B1060" t="inlineStr">
        <is>
          <t>MPSES</t>
        </is>
      </c>
      <c r="C1060" t="inlineStr">
        <is>
          <t>Parliamentary Secretary Assistant</t>
        </is>
      </c>
      <c r="D1060" t="inlineStr">
        <is>
          <t>Adjoint du Secrétaire parlementaire</t>
        </is>
      </c>
      <c r="E1060" t="inlineStr">
        <is>
          <t>Michel-Antoine Renaud</t>
        </is>
      </c>
      <c r="F1060" t="inlineStr">
        <is>
          <t>Investment announcement at Fromagerie Bergeron and speech at the Annual General Meeting of Potato Growers of Quebec</t>
        </is>
      </c>
      <c r="G1060" t="inlineStr">
        <is>
          <t>Annonce d'investissement à la Fromagerie Bergeron  et une allocution à l'assemblée générale annuelle des Producteurs de pommes de terre du Québec</t>
        </is>
      </c>
      <c r="H1060" s="1" t="n">
        <v>43187</v>
      </c>
      <c r="I1060" s="1" t="n">
        <v>43188</v>
      </c>
      <c r="J1060" t="inlineStr">
        <is>
          <t>Quebec, Quebec</t>
        </is>
      </c>
      <c r="K1060" t="inlineStr">
        <is>
          <t>Québec, Québec</t>
        </is>
      </c>
      <c r="P1060" t="n">
        <v>0</v>
      </c>
      <c r="Q1060" t="n">
        <v>212.65</v>
      </c>
      <c r="R1060" t="n">
        <v>126.14</v>
      </c>
      <c r="S1060" t="n">
        <v>148.4</v>
      </c>
      <c r="T1060" t="n">
        <v>0</v>
      </c>
      <c r="U1060" t="n">
        <v>487.19</v>
      </c>
      <c r="V1060" t="n">
        <v>1900122279</v>
      </c>
      <c r="X1060" t="inlineStr">
        <is>
          <t>aafc-aac</t>
        </is>
      </c>
      <c r="Y1060" t="inlineStr">
        <is>
          <t>Agriculture and Agri-Food Canada | Agriculture et Agroalimentaire Canada</t>
        </is>
      </c>
    </row>
    <row r="1061">
      <c r="A1061" t="inlineStr">
        <is>
          <t>T-2018-Q1-00048</t>
        </is>
      </c>
      <c r="B1061" t="inlineStr">
        <is>
          <t>SLE</t>
        </is>
      </c>
      <c r="C1061" t="inlineStr">
        <is>
          <t>Assistant deputy minister, Strategic Policy Branch</t>
        </is>
      </c>
      <c r="D1061" t="inlineStr">
        <is>
          <t>Sous-ministre adjoint, Direction générale des politiques stratégiques</t>
        </is>
      </c>
      <c r="E1061" t="inlineStr">
        <is>
          <t>Tom Rosser</t>
        </is>
      </c>
      <c r="F1061" t="inlineStr">
        <is>
          <t>To participate in a "Food Security Symposium".</t>
        </is>
      </c>
      <c r="G1061" t="inlineStr">
        <is>
          <t>Pour participer à la "Symposium sur la sécurité alimentaire".</t>
        </is>
      </c>
      <c r="H1061" s="1" t="n">
        <v>43186</v>
      </c>
      <c r="I1061" s="1" t="n">
        <v>43187</v>
      </c>
      <c r="J1061" t="inlineStr">
        <is>
          <t>Toronto, Ontario</t>
        </is>
      </c>
      <c r="K1061" t="inlineStr">
        <is>
          <t>Toronto, Ontario</t>
        </is>
      </c>
      <c r="P1061" t="n">
        <v>615.6799999999999</v>
      </c>
      <c r="Q1061" t="n">
        <v>164</v>
      </c>
      <c r="R1061" t="n">
        <v>230.85</v>
      </c>
      <c r="S1061" t="n">
        <v>148.4</v>
      </c>
      <c r="U1061" t="n">
        <v>1158.93</v>
      </c>
      <c r="V1061" t="inlineStr">
        <is>
          <t>AJE682200</t>
        </is>
      </c>
      <c r="X1061" t="inlineStr">
        <is>
          <t>aafc-aac</t>
        </is>
      </c>
      <c r="Y1061" t="inlineStr">
        <is>
          <t>Agriculture and Agri-Food Canada | Agriculture et Agroalimentaire Canada</t>
        </is>
      </c>
    </row>
    <row r="1062">
      <c r="A1062" t="inlineStr">
        <is>
          <t>T-2018-Q1-00033</t>
        </is>
      </c>
      <c r="B1062" t="inlineStr">
        <is>
          <t>MPSES</t>
        </is>
      </c>
      <c r="C1062" t="inlineStr">
        <is>
          <t>Parliamentary Secretary Assistant</t>
        </is>
      </c>
      <c r="D1062" t="inlineStr">
        <is>
          <t>Adjoint du Secrétaire parlementaire</t>
        </is>
      </c>
      <c r="E1062" t="inlineStr">
        <is>
          <t>Michel-Antoine Renaud</t>
        </is>
      </c>
      <c r="F1062" t="inlineStr">
        <is>
          <t>Agri-Innovation announcement at Patates Dolbec's potato packaging facility, Speech at the annual general meeting for Les producteurs de lait du Québec, Speech at the annual general meeting for la Fédération des producteurs d'oeufs du Québec</t>
        </is>
      </c>
      <c r="G1062" t="inlineStr">
        <is>
          <t>Annonce Agri-Innovation à l'entreprise Patates Dolbec, discours à l'assemblée générale annuelle des Producteurs de lait du Québec, discours à l'assemblée générale annuelle de la Fédération des producteurs d'oeufs du Québec</t>
        </is>
      </c>
      <c r="H1062" s="1" t="n">
        <v>43200</v>
      </c>
      <c r="I1062" s="1" t="n">
        <v>43202</v>
      </c>
      <c r="J1062" t="inlineStr">
        <is>
          <t>Quebec City, Delson, Saint-Ubalde, Quebec</t>
        </is>
      </c>
      <c r="K1062" t="inlineStr">
        <is>
          <t>Québec, Delson, Saint-Ubalde, Québec</t>
        </is>
      </c>
      <c r="P1062" t="n">
        <v>0</v>
      </c>
      <c r="Q1062" t="n">
        <v>269.97</v>
      </c>
      <c r="R1062" t="n">
        <v>127.45</v>
      </c>
      <c r="S1062" t="n">
        <v>92.7</v>
      </c>
      <c r="T1062" t="n">
        <v>0</v>
      </c>
      <c r="U1062" t="n">
        <v>490.12</v>
      </c>
      <c r="V1062" t="n">
        <v>1900004506</v>
      </c>
      <c r="X1062" t="inlineStr">
        <is>
          <t>aafc-aac</t>
        </is>
      </c>
      <c r="Y1062" t="inlineStr">
        <is>
          <t>Agriculture and Agri-Food Canada | Agriculture et Agroalimentaire Canada</t>
        </is>
      </c>
    </row>
    <row r="1063">
      <c r="A1063" t="inlineStr">
        <is>
          <t>T-2018-Q1-00034</t>
        </is>
      </c>
      <c r="B1063" t="inlineStr">
        <is>
          <t>MPSES</t>
        </is>
      </c>
      <c r="C1063" t="inlineStr">
        <is>
          <t>Parliamentary Secretary Assistant</t>
        </is>
      </c>
      <c r="D1063" t="inlineStr">
        <is>
          <t>Adjoint du Secrétaire parlementaire</t>
        </is>
      </c>
      <c r="E1063" t="inlineStr">
        <is>
          <t>Michel-Antoine Renaud</t>
        </is>
      </c>
      <c r="F1063" t="inlineStr">
        <is>
          <t>To attend SIAL in Montreal, Palais des Congrés de Montreal</t>
        </is>
      </c>
      <c r="G1063" t="inlineStr">
        <is>
          <t>To attend SIAL in Montreal, Palais des Congrés de Montreal</t>
        </is>
      </c>
      <c r="H1063" s="1" t="n">
        <v>43222</v>
      </c>
      <c r="I1063" s="1" t="n">
        <v>43222</v>
      </c>
      <c r="J1063" t="inlineStr">
        <is>
          <t>Montreal, Quebec</t>
        </is>
      </c>
      <c r="K1063" t="inlineStr">
        <is>
          <t>Montréal, Québec</t>
        </is>
      </c>
      <c r="P1063" t="n">
        <v>0</v>
      </c>
      <c r="Q1063" t="n">
        <v>128.15</v>
      </c>
      <c r="R1063" t="n">
        <v>0</v>
      </c>
      <c r="S1063" t="n">
        <v>67.34999999999999</v>
      </c>
      <c r="T1063" t="n">
        <v>0</v>
      </c>
      <c r="U1063" t="n">
        <v>195.5</v>
      </c>
      <c r="V1063" t="n">
        <v>1900009336</v>
      </c>
      <c r="X1063" t="inlineStr">
        <is>
          <t>aafc-aac</t>
        </is>
      </c>
      <c r="Y1063" t="inlineStr">
        <is>
          <t>Agriculture and Agri-Food Canada | Agriculture et Agroalimentaire Canada</t>
        </is>
      </c>
    </row>
    <row r="1064">
      <c r="A1064" t="inlineStr">
        <is>
          <t>T-2018-Q1-00035</t>
        </is>
      </c>
      <c r="B1064" t="inlineStr">
        <is>
          <t>MPSES</t>
        </is>
      </c>
      <c r="C1064" t="inlineStr">
        <is>
          <t>Parliamentary Secretary</t>
        </is>
      </c>
      <c r="D1064" t="inlineStr">
        <is>
          <t>Secrétaire parlementaire</t>
        </is>
      </c>
      <c r="E1064" t="inlineStr">
        <is>
          <t>Jean-Claude Poissant</t>
        </is>
      </c>
      <c r="F1064" t="inlineStr">
        <is>
          <t>Agri-Innovation announcement at Patates Dolbec's potato packaging facility, Speech at the annual general meeting for Les producteurs de lait du Québec, Speech at the annual general meeting for la Fédération des producteurs d'oeufs du Québec</t>
        </is>
      </c>
      <c r="G1064" t="inlineStr">
        <is>
          <t>Annonce Agri-Innovation à l'entreprise Patates Dolbec, discours à l'assemblée générale annuelle des Producteurs de lait du Québec, discours à l'assemblée générale annuelle de la Fédération des producteurs d'oeufs du Québec</t>
        </is>
      </c>
      <c r="H1064" s="1" t="n">
        <v>43201</v>
      </c>
      <c r="I1064" s="1" t="n">
        <v>43202</v>
      </c>
      <c r="J1064" t="inlineStr">
        <is>
          <t>Quebec City, Delson, Saint-Ubalde, Quebec</t>
        </is>
      </c>
      <c r="K1064" t="inlineStr">
        <is>
          <t>Québec, Delson, Saint-Ubalde, Québec</t>
        </is>
      </c>
      <c r="P1064" t="n">
        <v>0</v>
      </c>
      <c r="Q1064" t="n">
        <v>335.97</v>
      </c>
      <c r="R1064" t="n">
        <v>148.87</v>
      </c>
      <c r="S1064" t="n">
        <v>73.25</v>
      </c>
      <c r="T1064" t="n">
        <v>0</v>
      </c>
      <c r="U1064" t="n">
        <v>558.09</v>
      </c>
      <c r="V1064" t="n">
        <v>1900004508</v>
      </c>
      <c r="X1064" t="inlineStr">
        <is>
          <t>aafc-aac</t>
        </is>
      </c>
      <c r="Y1064" t="inlineStr">
        <is>
          <t>Agriculture and Agri-Food Canada | Agriculture et Agroalimentaire Canada</t>
        </is>
      </c>
    </row>
    <row r="1065">
      <c r="A1065" t="inlineStr">
        <is>
          <t>T-2018-Q1-00037</t>
        </is>
      </c>
      <c r="B1065" t="inlineStr">
        <is>
          <t>SLE</t>
        </is>
      </c>
      <c r="C1065" t="inlineStr">
        <is>
          <t>Deputy Minister</t>
        </is>
      </c>
      <c r="D1065" t="inlineStr">
        <is>
          <t>Sous-Ministre</t>
        </is>
      </c>
      <c r="E1065" t="inlineStr">
        <is>
          <t>Chris Forbes</t>
        </is>
      </c>
      <c r="F1065" t="inlineStr">
        <is>
          <t>All Chairs Economic Strategy Tables meeting on March 5 and Agri-Food Economic Strategy Table meeting on March 6</t>
        </is>
      </c>
      <c r="G1065" t="inlineStr">
        <is>
          <t>Réunion (5 mars)  des présidents de tables aux Tables sectorielles de stratégies économiques et réunion (6 mars) des tables sectorielles de stratégies économiques - Table sur l'agroalimentaire</t>
        </is>
      </c>
      <c r="H1065" s="1" t="n">
        <v>43164</v>
      </c>
      <c r="I1065" s="1" t="n">
        <v>43165</v>
      </c>
      <c r="J1065" t="inlineStr">
        <is>
          <t>Toronto, Ontario</t>
        </is>
      </c>
      <c r="K1065" t="inlineStr">
        <is>
          <t>Toronto, Onatrio</t>
        </is>
      </c>
      <c r="P1065" t="n">
        <v>758.24</v>
      </c>
      <c r="Q1065" t="n">
        <v>0</v>
      </c>
      <c r="R1065" t="n">
        <v>196.62</v>
      </c>
      <c r="S1065" t="n">
        <v>112</v>
      </c>
      <c r="T1065" t="n">
        <v>0</v>
      </c>
      <c r="U1065" t="n">
        <v>1066.86</v>
      </c>
      <c r="X1065" t="inlineStr">
        <is>
          <t>aafc-aac</t>
        </is>
      </c>
      <c r="Y1065" t="inlineStr">
        <is>
          <t>Agriculture and Agri-Food Canada | Agriculture et Agroalimentaire Canada</t>
        </is>
      </c>
    </row>
    <row r="1066">
      <c r="A1066" t="inlineStr">
        <is>
          <t>T-2018-Q1-00038</t>
        </is>
      </c>
      <c r="B1066" t="inlineStr">
        <is>
          <t>SLE</t>
        </is>
      </c>
      <c r="C1066" t="inlineStr">
        <is>
          <t>Deputy Minister</t>
        </is>
      </c>
      <c r="D1066" t="inlineStr">
        <is>
          <t>Sous-Ministre</t>
        </is>
      </c>
      <c r="E1066" t="inlineStr">
        <is>
          <t>Chris Forbes</t>
        </is>
      </c>
      <c r="F1066" t="inlineStr">
        <is>
          <t>Meeting with University of New Brunswick as Deputy Minister University Champion and outreach to Fredericton</t>
        </is>
      </c>
      <c r="G1066" t="inlineStr">
        <is>
          <t>Rencontre avec l'Université du Nouveau-Brunswick à titre de sous-ministre champion des relations universitaires et une visite de sensibilisation à Fredericton</t>
        </is>
      </c>
      <c r="H1066" s="1" t="n">
        <v>43184</v>
      </c>
      <c r="I1066" s="1" t="n">
        <v>43186</v>
      </c>
      <c r="J1066" t="inlineStr">
        <is>
          <t>Fredericton, New Brunswick</t>
        </is>
      </c>
      <c r="K1066" t="inlineStr">
        <is>
          <t>Fredericton, Nouveau-Brunswick</t>
        </is>
      </c>
      <c r="P1066" t="n">
        <v>583.9</v>
      </c>
      <c r="Q1066" t="n">
        <v>61.17</v>
      </c>
      <c r="R1066" t="n">
        <v>342.7</v>
      </c>
      <c r="S1066" t="n">
        <v>91.7</v>
      </c>
      <c r="T1066" t="n">
        <v>0</v>
      </c>
      <c r="U1066" t="n">
        <v>1079.47</v>
      </c>
      <c r="X1066" t="inlineStr">
        <is>
          <t>aafc-aac</t>
        </is>
      </c>
      <c r="Y1066" t="inlineStr">
        <is>
          <t>Agriculture and Agri-Food Canada | Agriculture et Agroalimentaire Canada</t>
        </is>
      </c>
    </row>
    <row r="1067">
      <c r="A1067" t="inlineStr">
        <is>
          <t>T-2018-Q1-00039</t>
        </is>
      </c>
      <c r="B1067" t="inlineStr">
        <is>
          <t>SLE</t>
        </is>
      </c>
      <c r="C1067" t="inlineStr">
        <is>
          <t>Deputy Minister</t>
        </is>
      </c>
      <c r="D1067" t="inlineStr">
        <is>
          <t>Sous-Ministre</t>
        </is>
      </c>
      <c r="E1067" t="inlineStr">
        <is>
          <t>Chris Forbes</t>
        </is>
      </c>
      <c r="F1067" t="inlineStr">
        <is>
          <t xml:space="preserve">Economic Strategy Tables Interactive Workshop </t>
        </is>
      </c>
      <c r="G1067" t="inlineStr">
        <is>
          <t>Tables sectorielles de stratégies économiques - Atelier interactif</t>
        </is>
      </c>
      <c r="H1067" s="1" t="n">
        <v>43201</v>
      </c>
      <c r="I1067" s="1" t="n">
        <v>43203</v>
      </c>
      <c r="J1067" t="inlineStr">
        <is>
          <t>Toronto, Ontario</t>
        </is>
      </c>
      <c r="K1067" t="inlineStr">
        <is>
          <t>Toronto, Onatrio</t>
        </is>
      </c>
      <c r="P1067" t="n">
        <v>404.59</v>
      </c>
      <c r="Q1067" t="n">
        <v>15</v>
      </c>
      <c r="R1067" t="n">
        <v>702.76</v>
      </c>
      <c r="S1067" t="n">
        <v>38.65</v>
      </c>
      <c r="T1067" t="n">
        <v>0</v>
      </c>
      <c r="U1067" t="n">
        <v>1161</v>
      </c>
      <c r="X1067" t="inlineStr">
        <is>
          <t>aafc-aac</t>
        </is>
      </c>
      <c r="Y1067" t="inlineStr">
        <is>
          <t>Agriculture and Agri-Food Canada | Agriculture et Agroalimentaire Canada</t>
        </is>
      </c>
    </row>
    <row r="1068">
      <c r="A1068" t="inlineStr">
        <is>
          <t>T-2018-Q1-00049</t>
        </is>
      </c>
      <c r="B1068" t="inlineStr">
        <is>
          <t>SLE</t>
        </is>
      </c>
      <c r="C1068" t="inlineStr">
        <is>
          <t>Assistant deputy minister, Strategic Policy Branch</t>
        </is>
      </c>
      <c r="D1068" t="inlineStr">
        <is>
          <t>Sous-ministre adjoint, Direction générale des politiques stratégiques</t>
        </is>
      </c>
      <c r="E1068" t="inlineStr">
        <is>
          <t>Tom Rosser</t>
        </is>
      </c>
      <c r="F1068" t="inlineStr">
        <is>
          <t>To make participate in a Food Summit in Guelph; and to attend a Federal, Provincial, Territorial meeting of Deputy Ministers in Montreal.</t>
        </is>
      </c>
      <c r="G1068" t="inlineStr">
        <is>
          <t>Participer au "Food Summit" à Guelph; et participer à une rencontre fédérale, provinciale et territoriale des sous-ministres.</t>
        </is>
      </c>
      <c r="H1068" s="1" t="n">
        <v>43242</v>
      </c>
      <c r="I1068" s="1" t="n">
        <v>43244</v>
      </c>
      <c r="J1068" t="inlineStr">
        <is>
          <t>Guelph, Ontario and Montreal, Quebec</t>
        </is>
      </c>
      <c r="K1068" t="inlineStr">
        <is>
          <t>Guelph, Ontario and Montréal, Quebec</t>
        </is>
      </c>
      <c r="P1068" t="n">
        <v>938.41</v>
      </c>
      <c r="Q1068" t="n">
        <v>241.59</v>
      </c>
      <c r="R1068" t="n">
        <v>236.82</v>
      </c>
      <c r="S1068" t="n">
        <v>235.25</v>
      </c>
      <c r="U1068" t="n">
        <v>1652.07</v>
      </c>
      <c r="V1068" t="inlineStr">
        <is>
          <t>AJE679891</t>
        </is>
      </c>
      <c r="X1068" t="inlineStr">
        <is>
          <t>aafc-aac</t>
        </is>
      </c>
      <c r="Y1068" t="inlineStr">
        <is>
          <t>Agriculture and Agri-Food Canada | Agriculture et Agroalimentaire Canada</t>
        </is>
      </c>
    </row>
    <row r="1069">
      <c r="A1069" t="inlineStr">
        <is>
          <t>T-2018-Q1-00050</t>
        </is>
      </c>
      <c r="B1069" t="inlineStr">
        <is>
          <t>SLE</t>
        </is>
      </c>
      <c r="C1069" t="inlineStr">
        <is>
          <t>Associate Assistant Deputy Minister, Science and Technology Branch</t>
        </is>
      </c>
      <c r="D1069" t="inlineStr">
        <is>
          <t>Sous-minitre adjoint délégué, Direction générale des sciences et de la technologie</t>
        </is>
      </c>
      <c r="E1069" t="inlineStr">
        <is>
          <t xml:space="preserve">Gilles Saindon </t>
        </is>
      </c>
      <c r="F1069" t="inlineStr">
        <is>
          <t xml:space="preserve">To attend Plant Science thought Leaders meeting </t>
        </is>
      </c>
      <c r="G1069" t="inlineStr">
        <is>
          <t>Pour assister à la rencontre des Chefs de file en science végétale</t>
        </is>
      </c>
      <c r="H1069" s="1" t="n">
        <v>43229</v>
      </c>
      <c r="I1069" s="1" t="n">
        <v>43229</v>
      </c>
      <c r="J1069" t="inlineStr">
        <is>
          <t>Guelph, Ontario</t>
        </is>
      </c>
      <c r="K1069" t="inlineStr">
        <is>
          <t>Guelph, Ontario</t>
        </is>
      </c>
      <c r="P1069" t="n">
        <v>581.4400000000001</v>
      </c>
      <c r="Q1069" t="n">
        <v>202</v>
      </c>
      <c r="S1069" t="n">
        <v>67.59999999999999</v>
      </c>
      <c r="U1069" t="n">
        <v>851.04</v>
      </c>
      <c r="V1069" t="inlineStr">
        <is>
          <t>AJD941941</t>
        </is>
      </c>
      <c r="X1069" t="inlineStr">
        <is>
          <t>aafc-aac</t>
        </is>
      </c>
      <c r="Y1069" t="inlineStr">
        <is>
          <t>Agriculture and Agri-Food Canada | Agriculture et Agroalimentaire Canada</t>
        </is>
      </c>
    </row>
    <row r="1070">
      <c r="A1070" t="inlineStr">
        <is>
          <t>T-2018-Q1-00051</t>
        </is>
      </c>
      <c r="B1070" t="inlineStr">
        <is>
          <t>SLE</t>
        </is>
      </c>
      <c r="C1070" t="inlineStr">
        <is>
          <t>Assistant Deputy Minister, Market and Industry Service Branch</t>
        </is>
      </c>
      <c r="D1070" t="inlineStr">
        <is>
          <t>Sous-ministre adjoint, Direction Générale</t>
        </is>
      </c>
      <c r="E1070" t="inlineStr">
        <is>
          <t>Frédéric Seppey</t>
        </is>
      </c>
      <c r="F1070" t="inlineStr">
        <is>
          <t xml:space="preserve">Accompanied the Minister to meetings in Montreal </t>
        </is>
      </c>
      <c r="G1070" t="inlineStr">
        <is>
          <t xml:space="preserve">Accompagné le ministre à des réunions </t>
        </is>
      </c>
      <c r="H1070" s="1" t="n">
        <v>43174</v>
      </c>
      <c r="I1070" s="1" t="n">
        <v>43175</v>
      </c>
      <c r="J1070" t="inlineStr">
        <is>
          <t>Montreal, Quebec</t>
        </is>
      </c>
      <c r="K1070" t="inlineStr">
        <is>
          <t>Montréal, Québec</t>
        </is>
      </c>
      <c r="Q1070" t="n">
        <v>279.23</v>
      </c>
      <c r="R1070" t="n">
        <v>266.56</v>
      </c>
      <c r="S1070" t="n">
        <v>101.05</v>
      </c>
      <c r="U1070" t="n">
        <v>646.84</v>
      </c>
      <c r="V1070" t="inlineStr">
        <is>
          <t>AJE513399</t>
        </is>
      </c>
      <c r="X1070" t="inlineStr">
        <is>
          <t>aafc-aac</t>
        </is>
      </c>
      <c r="Y1070" t="inlineStr">
        <is>
          <t>Agriculture and Agri-Food Canada | Agriculture et Agroalimentaire Canada</t>
        </is>
      </c>
    </row>
    <row r="1071">
      <c r="A1071" t="inlineStr">
        <is>
          <t>T-2018-Q1-00052</t>
        </is>
      </c>
      <c r="B1071" t="inlineStr">
        <is>
          <t>SLE</t>
        </is>
      </c>
      <c r="C1071" t="inlineStr">
        <is>
          <t xml:space="preserve">Assitant Deputy Minister, Market and Industry Service Branch </t>
        </is>
      </c>
      <c r="D1071" t="inlineStr">
        <is>
          <t>Sous-ministre adjoint, Direction générale des services à l'industrie et aux marchés</t>
        </is>
      </c>
      <c r="E1071" t="inlineStr">
        <is>
          <t>Frédéric Seppey</t>
        </is>
      </c>
      <c r="F1071" t="inlineStr">
        <is>
          <t>North American Free Trade Agreement  negotiations</t>
        </is>
      </c>
      <c r="G1071" t="inlineStr">
        <is>
          <t>Négociations sur L'Accord de libre-échange nord-américain</t>
        </is>
      </c>
      <c r="H1071" s="1" t="n">
        <v>43181</v>
      </c>
      <c r="I1071" s="1" t="n">
        <v>43183</v>
      </c>
      <c r="J1071" t="inlineStr">
        <is>
          <t xml:space="preserve">Washington, United States </t>
        </is>
      </c>
      <c r="K1071" t="inlineStr">
        <is>
          <t>Washington, États-Unis</t>
        </is>
      </c>
      <c r="P1071" t="n">
        <v>3074.94</v>
      </c>
      <c r="Q1071" t="n">
        <v>110.64</v>
      </c>
      <c r="R1071" t="n">
        <v>746.78</v>
      </c>
      <c r="S1071" t="n">
        <v>191.21</v>
      </c>
      <c r="U1071" t="n">
        <v>4123.57</v>
      </c>
      <c r="V1071" t="inlineStr">
        <is>
          <t>AJE589404</t>
        </is>
      </c>
      <c r="X1071" t="inlineStr">
        <is>
          <t>aafc-aac</t>
        </is>
      </c>
      <c r="Y1071" t="inlineStr">
        <is>
          <t>Agriculture and Agri-Food Canada | Agriculture et Agroalimentaire Canada</t>
        </is>
      </c>
    </row>
    <row r="1072">
      <c r="A1072" t="inlineStr">
        <is>
          <t>T-2018-Q1-00053</t>
        </is>
      </c>
      <c r="B1072" t="inlineStr">
        <is>
          <t>SLE</t>
        </is>
      </c>
      <c r="C1072" t="inlineStr">
        <is>
          <t xml:space="preserve">Assistant Deputy Minister, Market and Industry Service Branch </t>
        </is>
      </c>
      <c r="D1072" t="inlineStr">
        <is>
          <t>Sous-ministre adjoint, Direction générale des services à l'industrie et aux marchés</t>
        </is>
      </c>
      <c r="E1072" t="inlineStr">
        <is>
          <t>Frédéric Seppey</t>
        </is>
      </c>
      <c r="F1072" t="inlineStr">
        <is>
          <t>Regional Staff meetings</t>
        </is>
      </c>
      <c r="G1072" t="inlineStr">
        <is>
          <t>Réunions avec le  personnel régional</t>
        </is>
      </c>
      <c r="H1072" s="1" t="n">
        <v>43194</v>
      </c>
      <c r="I1072" s="1" t="n">
        <v>43194</v>
      </c>
      <c r="J1072" t="inlineStr">
        <is>
          <t>Montreal, Quebec</t>
        </is>
      </c>
      <c r="K1072" t="inlineStr">
        <is>
          <t>Montréal, Québec</t>
        </is>
      </c>
      <c r="Q1072" t="n">
        <v>304.64</v>
      </c>
      <c r="S1072" t="n">
        <v>19.2</v>
      </c>
      <c r="U1072" t="n">
        <v>323.84</v>
      </c>
      <c r="V1072" t="inlineStr">
        <is>
          <t>AJE521017</t>
        </is>
      </c>
      <c r="X1072" t="inlineStr">
        <is>
          <t>aafc-aac</t>
        </is>
      </c>
      <c r="Y1072" t="inlineStr">
        <is>
          <t>Agriculture and Agri-Food Canada | Agriculture et Agroalimentaire Canada</t>
        </is>
      </c>
    </row>
    <row r="1073">
      <c r="A1073" t="inlineStr">
        <is>
          <t>T-2018-Q1-00054</t>
        </is>
      </c>
      <c r="B1073" t="inlineStr">
        <is>
          <t>SLE</t>
        </is>
      </c>
      <c r="C1073" t="inlineStr">
        <is>
          <t xml:space="preserve">Assistant Deputy Minister, Market and Industry Service Branch </t>
        </is>
      </c>
      <c r="D1073" t="inlineStr">
        <is>
          <t>Sous-ministre adjoint, Direction générale des services à l'industrie et aux marchés</t>
        </is>
      </c>
      <c r="E1073" t="inlineStr">
        <is>
          <t>Frédéric Seppey</t>
        </is>
      </c>
      <c r="F1073" t="inlineStr">
        <is>
          <t>Accompanied the minister with departmental and stakeholder meetings; regional staff meetings</t>
        </is>
      </c>
      <c r="G1073" t="inlineStr">
        <is>
          <t>Accompagné le ministre à des réunions sectorielles; rencontres avec le personnel régional</t>
        </is>
      </c>
      <c r="H1073" s="1" t="n">
        <v>43198</v>
      </c>
      <c r="I1073" s="1" t="n">
        <v>43200</v>
      </c>
      <c r="J1073" t="inlineStr">
        <is>
          <t>Charlottetown, Prince Edward Island And Nova Scotia</t>
        </is>
      </c>
      <c r="K1073" t="inlineStr">
        <is>
          <t>Charlottetown, Île-du-Prince-Édouard, et Novelle-Ecosse</t>
        </is>
      </c>
      <c r="P1073" t="n">
        <v>658.24</v>
      </c>
      <c r="Q1073" t="n">
        <v>208.23</v>
      </c>
      <c r="R1073" t="n">
        <v>233.45</v>
      </c>
      <c r="S1073" t="n">
        <v>273.65</v>
      </c>
      <c r="U1073" t="n">
        <v>1373.57</v>
      </c>
      <c r="V1073" t="inlineStr">
        <is>
          <t>AJE558288</t>
        </is>
      </c>
      <c r="X1073" t="inlineStr">
        <is>
          <t>aafc-aac</t>
        </is>
      </c>
      <c r="Y1073" t="inlineStr">
        <is>
          <t>Agriculture and Agri-Food Canada | Agriculture et Agroalimentaire Canada</t>
        </is>
      </c>
    </row>
    <row r="1074">
      <c r="A1074" t="inlineStr">
        <is>
          <t>T-2018-Q1-00055</t>
        </is>
      </c>
      <c r="B1074" t="inlineStr">
        <is>
          <t>SLE</t>
        </is>
      </c>
      <c r="C1074" t="inlineStr">
        <is>
          <t xml:space="preserve">Assistant Deputy Minister, Market and Industry Service Branch </t>
        </is>
      </c>
      <c r="D1074" t="inlineStr">
        <is>
          <t>Sous-ministre adjoint, Direction générale des services à l'industrie et aux marchés</t>
        </is>
      </c>
      <c r="E1074" t="inlineStr">
        <is>
          <t>Frédéric Seppey</t>
        </is>
      </c>
      <c r="F1074" t="inlineStr">
        <is>
          <t>North American Free Trade Agreement  negotiations</t>
        </is>
      </c>
      <c r="G1074" t="inlineStr">
        <is>
          <t>Négociations sur L'Accord de libre-échange nord-américain</t>
        </is>
      </c>
      <c r="H1074" s="1" t="n">
        <v>43227</v>
      </c>
      <c r="I1074" s="1" t="n">
        <v>43230</v>
      </c>
      <c r="J1074" t="inlineStr">
        <is>
          <t xml:space="preserve">Washington, United States </t>
        </is>
      </c>
      <c r="K1074" t="inlineStr">
        <is>
          <t>Washington, États-Unis</t>
        </is>
      </c>
      <c r="P1074" t="n">
        <v>351.05</v>
      </c>
      <c r="Q1074" t="n">
        <v>106.08</v>
      </c>
      <c r="R1074" t="n">
        <v>1555.83</v>
      </c>
      <c r="S1074" t="n">
        <v>344.28</v>
      </c>
      <c r="T1074" t="n">
        <v>4.95</v>
      </c>
      <c r="U1074" t="n">
        <v>2362.19</v>
      </c>
      <c r="V1074" t="inlineStr">
        <is>
          <t>AJE564324</t>
        </is>
      </c>
      <c r="X1074" t="inlineStr">
        <is>
          <t>aafc-aac</t>
        </is>
      </c>
      <c r="Y1074" t="inlineStr">
        <is>
          <t>Agriculture and Agri-Food Canada | Agriculture et Agroalimentaire Canada</t>
        </is>
      </c>
    </row>
    <row r="1075">
      <c r="A1075" t="inlineStr">
        <is>
          <t>T-2018-Q1-00056</t>
        </is>
      </c>
      <c r="B1075" t="inlineStr">
        <is>
          <t>SLE</t>
        </is>
      </c>
      <c r="C1075" t="inlineStr">
        <is>
          <t xml:space="preserve">Assistant Deputy Minister, Market and Industry Service Branch </t>
        </is>
      </c>
      <c r="D1075" t="inlineStr">
        <is>
          <t>Sous-ministre adjoint, Direction générale des services à l'industrie et aux marchés</t>
        </is>
      </c>
      <c r="E1075" t="inlineStr">
        <is>
          <t>Frédéric Seppey</t>
        </is>
      </c>
      <c r="F1075" t="inlineStr">
        <is>
          <t xml:space="preserve"> Outreach and North American Free Trade Agreement  negotiations</t>
        </is>
      </c>
      <c r="G1075" t="inlineStr">
        <is>
          <t>Rencontres avec des intervenants et le personnel en Colombie-Britannique et Négociations sur L'Accord de libre-échange nord-américain</t>
        </is>
      </c>
      <c r="H1075" s="1" t="n">
        <v>43211</v>
      </c>
      <c r="I1075" s="1" t="n">
        <v>43217</v>
      </c>
      <c r="J1075" t="inlineStr">
        <is>
          <t>Vancouver, British Columbia  and Washington, United States</t>
        </is>
      </c>
      <c r="K1075" t="inlineStr">
        <is>
          <t>Vancouver, Colombie-Britannique</t>
        </is>
      </c>
      <c r="P1075" t="n">
        <v>5137.77</v>
      </c>
      <c r="Q1075" t="n">
        <v>453.74</v>
      </c>
      <c r="R1075" t="n">
        <v>938.1900000000001</v>
      </c>
      <c r="S1075" t="n">
        <v>736.45</v>
      </c>
      <c r="T1075" t="n">
        <v>14.51</v>
      </c>
      <c r="U1075" t="n">
        <v>7280.66</v>
      </c>
      <c r="V1075" t="inlineStr">
        <is>
          <t>AJE531427</t>
        </is>
      </c>
      <c r="X1075" t="inlineStr">
        <is>
          <t>aafc-aac</t>
        </is>
      </c>
      <c r="Y1075" t="inlineStr">
        <is>
          <t>Agriculture and Agri-Food Canada | Agriculture et Agroalimentaire Canada</t>
        </is>
      </c>
    </row>
    <row r="1076">
      <c r="A1076" t="inlineStr">
        <is>
          <t>T-2018-Q1-00057</t>
        </is>
      </c>
      <c r="B1076" t="inlineStr">
        <is>
          <t>SLE</t>
        </is>
      </c>
      <c r="C1076" t="inlineStr">
        <is>
          <t xml:space="preserve">Assistant Deputy Minister, Market and Industry Service Branch </t>
        </is>
      </c>
      <c r="D1076" t="inlineStr">
        <is>
          <t>Sous-ministre adjoint, Direction générale des services à l'industrie et aux marchés</t>
        </is>
      </c>
      <c r="E1076" t="inlineStr">
        <is>
          <t>Frédéric Seppey</t>
        </is>
      </c>
      <c r="F1076" t="inlineStr">
        <is>
          <t xml:space="preserve">Meeting of Federal/Provincial/Territorial Minister and Deputy Ministers of Agriculture </t>
        </is>
      </c>
      <c r="G1076" t="inlineStr">
        <is>
          <t xml:space="preserve">Rencontre fédérale/provinciale/territoriale des sous-ministres de l'agriculture </t>
        </is>
      </c>
      <c r="H1076" s="1" t="n">
        <v>43242</v>
      </c>
      <c r="I1076" s="1" t="n">
        <v>43244</v>
      </c>
      <c r="J1076" t="inlineStr">
        <is>
          <t>Montreal, Quebec</t>
        </is>
      </c>
      <c r="K1076" t="inlineStr">
        <is>
          <t>Montréal, Québec</t>
        </is>
      </c>
      <c r="Q1076" t="n">
        <v>292.77</v>
      </c>
      <c r="R1076" t="n">
        <v>473.64</v>
      </c>
      <c r="S1076" t="n">
        <v>138.45</v>
      </c>
      <c r="U1076" t="n">
        <v>904.86</v>
      </c>
      <c r="V1076" t="inlineStr">
        <is>
          <t>AJE554611</t>
        </is>
      </c>
      <c r="X1076" t="inlineStr">
        <is>
          <t>aafc-aac</t>
        </is>
      </c>
      <c r="Y1076" t="inlineStr">
        <is>
          <t>Agriculture and Agri-Food Canada | Agriculture et Agroalimentaire Canada</t>
        </is>
      </c>
    </row>
    <row r="1077">
      <c r="A1077" t="inlineStr">
        <is>
          <t>T-2018-Q1-00058</t>
        </is>
      </c>
      <c r="B1077" t="inlineStr">
        <is>
          <t>SLE</t>
        </is>
      </c>
      <c r="C1077" t="inlineStr">
        <is>
          <t xml:space="preserve">Assistant Deputy Minister, Market and Industry Service Branch </t>
        </is>
      </c>
      <c r="D1077" t="inlineStr">
        <is>
          <t>Sous-ministre adjoint, Direction générale des services à l'industrie et aux marchés</t>
        </is>
      </c>
      <c r="E1077" t="inlineStr">
        <is>
          <t>Frédéric Seppey</t>
        </is>
      </c>
      <c r="F1077" t="inlineStr">
        <is>
          <t xml:space="preserve">Regional staff and stakeholder meetings </t>
        </is>
      </c>
      <c r="G1077" t="inlineStr">
        <is>
          <t xml:space="preserve">Réunions personnel régional et intervenants </t>
        </is>
      </c>
      <c r="H1077" s="1" t="n">
        <v>43247</v>
      </c>
      <c r="I1077" s="1" t="n">
        <v>43250</v>
      </c>
      <c r="J1077" t="inlineStr">
        <is>
          <t xml:space="preserve">Edmonton, Alberta And Toronto, Ontario </t>
        </is>
      </c>
      <c r="K1077" t="inlineStr">
        <is>
          <t>Edmonton, Alberta et Toronto, Ontario</t>
        </is>
      </c>
      <c r="P1077" t="n">
        <v>673.45</v>
      </c>
      <c r="Q1077" t="n">
        <v>240.7</v>
      </c>
      <c r="R1077" t="n">
        <v>541.77</v>
      </c>
      <c r="S1077" t="n">
        <v>377.75</v>
      </c>
      <c r="T1077" t="n">
        <v>13.6</v>
      </c>
      <c r="U1077" t="n">
        <v>1847.27</v>
      </c>
      <c r="V1077" t="inlineStr">
        <is>
          <t>AJE513399</t>
        </is>
      </c>
      <c r="X1077" t="inlineStr">
        <is>
          <t>aafc-aac</t>
        </is>
      </c>
      <c r="Y1077" t="inlineStr">
        <is>
          <t>Agriculture and Agri-Food Canada | Agriculture et Agroalimentaire Canada</t>
        </is>
      </c>
    </row>
    <row r="1078">
      <c r="A1078" t="inlineStr">
        <is>
          <t>T-2018-Q1-00059</t>
        </is>
      </c>
      <c r="B1078" t="inlineStr">
        <is>
          <t>SLE</t>
        </is>
      </c>
      <c r="C1078" t="inlineStr">
        <is>
          <t>Assistant deputy minister, Programs Branch</t>
        </is>
      </c>
      <c r="D1078" t="inlineStr">
        <is>
          <t xml:space="preserve">Sous-ministre adjointe, Direction Générale des programmes </t>
        </is>
      </c>
      <c r="E1078" t="inlineStr">
        <is>
          <t>Jane Taylor</t>
        </is>
      </c>
      <c r="F1078" t="inlineStr">
        <is>
          <t xml:space="preserve">Winnipeg Regional Meeting </t>
        </is>
      </c>
      <c r="G1078" t="inlineStr">
        <is>
          <t>Réunion regionale à Winnipeg</t>
        </is>
      </c>
      <c r="H1078" s="1" t="n">
        <v>43166</v>
      </c>
      <c r="I1078" s="1" t="n">
        <v>43168</v>
      </c>
      <c r="J1078" t="inlineStr">
        <is>
          <t xml:space="preserve">Winnipeg, Manitoba </t>
        </is>
      </c>
      <c r="K1078" t="inlineStr">
        <is>
          <t xml:space="preserve">Winnipeg, Manitoba </t>
        </is>
      </c>
      <c r="P1078" t="n">
        <v>567.8</v>
      </c>
      <c r="Q1078" t="n">
        <v>127</v>
      </c>
      <c r="R1078" t="n">
        <v>423.34</v>
      </c>
      <c r="S1078" t="n">
        <v>217.95</v>
      </c>
      <c r="U1078" t="n">
        <v>1336.09</v>
      </c>
      <c r="V1078" t="inlineStr">
        <is>
          <t>AJC171248</t>
        </is>
      </c>
      <c r="X1078" t="inlineStr">
        <is>
          <t>aafc-aac</t>
        </is>
      </c>
      <c r="Y1078" t="inlineStr">
        <is>
          <t>Agriculture and Agri-Food Canada | Agriculture et Agroalimentaire Canada</t>
        </is>
      </c>
    </row>
    <row r="1079">
      <c r="A1079" t="inlineStr">
        <is>
          <t>T-2018-Q1-00060</t>
        </is>
      </c>
      <c r="B1079" t="inlineStr">
        <is>
          <t>SLE</t>
        </is>
      </c>
      <c r="C1079" t="inlineStr">
        <is>
          <t>Assistant deputy minister, Programs Branch</t>
        </is>
      </c>
      <c r="D1079" t="inlineStr">
        <is>
          <t xml:space="preserve">Sous-ministre adjointe, Direction Générale des programmes </t>
        </is>
      </c>
      <c r="E1079" t="inlineStr">
        <is>
          <t>Jane Taylor</t>
        </is>
      </c>
      <c r="F1079" t="inlineStr">
        <is>
          <t xml:space="preserve">Deputy Minister`s Federal/ Provincial and Trerritorial Meeting </t>
        </is>
      </c>
      <c r="G1079" t="inlineStr">
        <is>
          <t>Réunion fédérale-provinciale-territoriale du sous-ministre</t>
        </is>
      </c>
      <c r="H1079" s="1" t="n">
        <v>43243</v>
      </c>
      <c r="I1079" s="1" t="n">
        <v>43244</v>
      </c>
      <c r="J1079" t="inlineStr">
        <is>
          <t>Montreal, Quebec</t>
        </is>
      </c>
      <c r="K1079" t="inlineStr">
        <is>
          <t>Montréal, Québec</t>
        </is>
      </c>
      <c r="P1079" t="n">
        <v>0</v>
      </c>
      <c r="Q1079" t="n">
        <v>325.72</v>
      </c>
      <c r="R1079" t="n">
        <v>224.91</v>
      </c>
      <c r="S1079" t="n">
        <v>102.2</v>
      </c>
      <c r="U1079" t="n">
        <v>652.83</v>
      </c>
      <c r="V1079" t="inlineStr">
        <is>
          <t>AJC188439</t>
        </is>
      </c>
      <c r="X1079" t="inlineStr">
        <is>
          <t>aafc-aac</t>
        </is>
      </c>
      <c r="Y1079" t="inlineStr">
        <is>
          <t>Agriculture and Agri-Food Canada | Agriculture et Agroalimentaire Canada</t>
        </is>
      </c>
    </row>
    <row r="1080">
      <c r="A1080" t="inlineStr">
        <is>
          <t>T-2018-Q1-00063</t>
        </is>
      </c>
      <c r="B1080" t="inlineStr">
        <is>
          <t>SLE</t>
        </is>
      </c>
      <c r="C1080" t="inlineStr">
        <is>
          <t>Assistant deputy minister, Inforamtion Systems Branch</t>
        </is>
      </c>
      <c r="D1080" t="inlineStr">
        <is>
          <t>sous-ministre adjoint, Direction Générale des systèmes d'information</t>
        </is>
      </c>
      <c r="E1080" t="inlineStr">
        <is>
          <t>Michel Lessard</t>
        </is>
      </c>
      <c r="F1080" t="inlineStr">
        <is>
          <t>Ontario Trade &amp; Investment Centre</t>
        </is>
      </c>
      <c r="G1080" t="inlineStr">
        <is>
          <t>Centre de commerce et d'investissement de l'Ontario</t>
        </is>
      </c>
      <c r="H1080" s="1" t="n">
        <v>43208</v>
      </c>
      <c r="I1080" s="1" t="n">
        <v>43208</v>
      </c>
      <c r="J1080" t="inlineStr">
        <is>
          <t>Toronto, Ontario</t>
        </is>
      </c>
      <c r="K1080" t="inlineStr">
        <is>
          <t>Toronto, Ontario</t>
        </is>
      </c>
      <c r="P1080" t="n">
        <v>336.71</v>
      </c>
      <c r="Q1080" t="n">
        <v>82</v>
      </c>
      <c r="R1080" t="n">
        <v>0</v>
      </c>
      <c r="S1080" t="n">
        <v>36.75</v>
      </c>
      <c r="U1080" t="n">
        <v>455.46</v>
      </c>
      <c r="V1080" t="inlineStr">
        <is>
          <t>AJE475846</t>
        </is>
      </c>
      <c r="X1080" t="inlineStr">
        <is>
          <t>aafc-aac</t>
        </is>
      </c>
      <c r="Y1080" t="inlineStr">
        <is>
          <t>Agriculture and Agri-Food Canada | Agriculture et Agroalimentaire Canada</t>
        </is>
      </c>
    </row>
    <row r="1081">
      <c r="A1081" t="inlineStr">
        <is>
          <t>T-2018-Q1-00064</t>
        </is>
      </c>
      <c r="B1081" t="inlineStr">
        <is>
          <t>SLE</t>
        </is>
      </c>
      <c r="C1081" t="inlineStr">
        <is>
          <t>Assistant deputy minister, Information Systems Branch</t>
        </is>
      </c>
      <c r="D1081" t="inlineStr">
        <is>
          <t>sous-ministre adjoint, Direction Générale des systèmes d'informaton</t>
        </is>
      </c>
      <c r="E1081" t="inlineStr">
        <is>
          <t>Michel Lessard</t>
        </is>
      </c>
      <c r="F1081" t="inlineStr">
        <is>
          <t>2018 Annual Executive Retreat</t>
        </is>
      </c>
      <c r="G1081" t="inlineStr">
        <is>
          <t>retraite annuelle d'administration 2018</t>
        </is>
      </c>
      <c r="H1081" s="1" t="n">
        <v>43194</v>
      </c>
      <c r="I1081" s="1" t="n">
        <v>43195</v>
      </c>
      <c r="J1081" t="inlineStr">
        <is>
          <t>Washington</t>
        </is>
      </c>
      <c r="K1081" t="inlineStr">
        <is>
          <t>Washington</t>
        </is>
      </c>
      <c r="P1081" t="n">
        <v>774.9400000000001</v>
      </c>
      <c r="Q1081" t="n">
        <v>102.72</v>
      </c>
      <c r="R1081" t="n">
        <v>379.09</v>
      </c>
      <c r="S1081" t="n">
        <v>149.06</v>
      </c>
      <c r="U1081" t="n">
        <v>1405.81</v>
      </c>
      <c r="V1081" t="inlineStr">
        <is>
          <t>AJE444623</t>
        </is>
      </c>
      <c r="X1081" t="inlineStr">
        <is>
          <t>aafc-aac</t>
        </is>
      </c>
      <c r="Y1081" t="inlineStr">
        <is>
          <t>Agriculture and Agri-Food Canada | Agriculture et Agroalimentaire Canada</t>
        </is>
      </c>
    </row>
    <row r="1082">
      <c r="A1082" t="inlineStr">
        <is>
          <t>T-2018-Q1-00070</t>
        </is>
      </c>
      <c r="B1082" t="inlineStr">
        <is>
          <t>SLE</t>
        </is>
      </c>
      <c r="C1082" t="inlineStr">
        <is>
          <t>Assistant Deputy Minister, International Affairs Branch</t>
        </is>
      </c>
      <c r="D1082" t="inlineStr">
        <is>
          <t>Sous-minister adjoint, direction générale des affaires internationales</t>
        </is>
      </c>
      <c r="E1082" t="inlineStr">
        <is>
          <t>Fred Gorrell</t>
        </is>
      </c>
      <c r="F1082" t="inlineStr">
        <is>
          <t>Minister Mission in Japan - Corée du sud</t>
        </is>
      </c>
      <c r="G1082" t="inlineStr">
        <is>
          <t>Japon et Seoul mission de ministre</t>
        </is>
      </c>
      <c r="H1082" s="1" t="n">
        <v>43161</v>
      </c>
      <c r="I1082" s="1" t="n">
        <v>43169</v>
      </c>
      <c r="J1082" t="inlineStr">
        <is>
          <t>Tokyo, Japan
Seoul, South Korea</t>
        </is>
      </c>
      <c r="K1082" t="inlineStr">
        <is>
          <t>Tokyo, Japon
Seoul, Korée du Nord</t>
        </is>
      </c>
      <c r="P1082" t="n">
        <v>4965.88</v>
      </c>
      <c r="Q1082" t="n">
        <v>211.5</v>
      </c>
      <c r="R1082" t="n">
        <v>2285.8</v>
      </c>
      <c r="S1082" t="n">
        <v>1500.12</v>
      </c>
      <c r="T1082" t="n">
        <v>0</v>
      </c>
      <c r="U1082" t="n">
        <v>8963.299999999999</v>
      </c>
      <c r="V1082" t="inlineStr">
        <is>
          <t>AJE537287</t>
        </is>
      </c>
      <c r="X1082" t="inlineStr">
        <is>
          <t>aafc-aac</t>
        </is>
      </c>
      <c r="Y1082" t="inlineStr">
        <is>
          <t>Agriculture and Agri-Food Canada | Agriculture et Agroalimentaire Canada</t>
        </is>
      </c>
    </row>
    <row r="1083">
      <c r="A1083" t="inlineStr">
        <is>
          <t>T-2018-Q1-00071</t>
        </is>
      </c>
      <c r="B1083" t="inlineStr">
        <is>
          <t>SLE</t>
        </is>
      </c>
      <c r="C1083" t="inlineStr">
        <is>
          <t>Assistant deputy minister, Public Affairs Branch</t>
        </is>
      </c>
      <c r="D1083" t="inlineStr">
        <is>
          <t>Sous-ministre adjoint, Direction Générale des affaires publiques</t>
        </is>
      </c>
      <c r="E1083" t="inlineStr">
        <is>
          <t>Steven Jurgutis</t>
        </is>
      </c>
      <c r="F1083" t="inlineStr">
        <is>
          <t>Steven Jurgutis travelled to Berlin &amp; London for a European Study tour which is part of the Certificate Program in Public Sector Leadership and Governance course he is a part of.</t>
        </is>
      </c>
      <c r="G1083" t="inlineStr">
        <is>
          <t>Steven Jurgutis a voyagé à Berlin et Londres pour une étude européenne fesant partie du Programme de certificat en leadership du secteur public et gouvernance.</t>
        </is>
      </c>
      <c r="H1083" s="1" t="n">
        <v>43197</v>
      </c>
      <c r="I1083" s="1" t="n">
        <v>43207</v>
      </c>
      <c r="J1083" t="inlineStr">
        <is>
          <t>Berlin, Germany London, England</t>
        </is>
      </c>
      <c r="K1083" t="inlineStr">
        <is>
          <t>Berlin, Allemagne  Londres, Angleterre</t>
        </is>
      </c>
      <c r="P1083" t="n">
        <v>5069.78</v>
      </c>
      <c r="Q1083" t="n">
        <v>146.94</v>
      </c>
      <c r="R1083" t="n">
        <v>3062.68</v>
      </c>
      <c r="S1083" t="n">
        <v>1650.95</v>
      </c>
      <c r="T1083" t="n">
        <v>0</v>
      </c>
      <c r="U1083" t="n">
        <v>9930.35</v>
      </c>
      <c r="V1083" t="inlineStr">
        <is>
          <t>AJC169140</t>
        </is>
      </c>
      <c r="X1083" t="inlineStr">
        <is>
          <t>aafc-aac</t>
        </is>
      </c>
      <c r="Y1083" t="inlineStr">
        <is>
          <t>Agriculture and Agri-Food Canada | Agriculture et Agroalimentaire Canada</t>
        </is>
      </c>
    </row>
    <row r="1084">
      <c r="A1084" t="inlineStr">
        <is>
          <t>T-2018-Q2-00057</t>
        </is>
      </c>
      <c r="B1084" t="inlineStr">
        <is>
          <t>SLE</t>
        </is>
      </c>
      <c r="C1084" t="inlineStr">
        <is>
          <t>Assistant deputy minister, Science and Technology Branch</t>
        </is>
      </c>
      <c r="D1084" t="inlineStr">
        <is>
          <t>Sous-ministre adjoint, Direction Générale des sciences et de la technologie</t>
        </is>
      </c>
      <c r="E1084" t="inlineStr">
        <is>
          <t>Brian Gray</t>
        </is>
      </c>
      <c r="F1084" t="inlineStr">
        <is>
          <t>Outreach to the Reasearch and Developpement Centre, All-Staff meeting and meeting with Provincial Counterparts.</t>
        </is>
      </c>
      <c r="G1084" t="inlineStr">
        <is>
          <t xml:space="preserve">Visite de sencibilisation au Centre de recherche et de developpement, réunions avec tout le personnel et réunions avec des collegues du governement provincial. </t>
        </is>
      </c>
      <c r="H1084" s="1" t="n">
        <v>43333</v>
      </c>
      <c r="I1084" s="1" t="n">
        <v>43335</v>
      </c>
      <c r="J1084" t="inlineStr">
        <is>
          <t>St-Augustin, Quebec</t>
        </is>
      </c>
      <c r="K1084" t="inlineStr">
        <is>
          <t>St-Augustin, Québec</t>
        </is>
      </c>
      <c r="P1084" t="n">
        <v>219.3</v>
      </c>
      <c r="Q1084" t="n">
        <v>137.11</v>
      </c>
      <c r="R1084" t="n">
        <v>245.14</v>
      </c>
      <c r="S1084" t="n">
        <v>225.5</v>
      </c>
      <c r="U1084" t="n">
        <v>827.05</v>
      </c>
      <c r="V1084" t="inlineStr">
        <is>
          <t>Credit applied from June 12th mistake by Air Canada.</t>
        </is>
      </c>
      <c r="W1084" t="inlineStr">
        <is>
          <t>Crédit appliqué à partir de l'erreur du 12 juin par Air Canada.</t>
        </is>
      </c>
      <c r="X1084" t="inlineStr">
        <is>
          <t>aafc-aac</t>
        </is>
      </c>
      <c r="Y1084" t="inlineStr">
        <is>
          <t>Agriculture and Agri-Food Canada | Agriculture et Agroalimentaire Canada</t>
        </is>
      </c>
    </row>
    <row r="1085">
      <c r="A1085" t="inlineStr">
        <is>
          <t>T-2018-Q2-00058</t>
        </is>
      </c>
      <c r="B1085" t="inlineStr">
        <is>
          <t>SLE</t>
        </is>
      </c>
      <c r="C1085" t="inlineStr">
        <is>
          <t>Associate Assistant Deputy Ministerm, Science and Technology Branch</t>
        </is>
      </c>
      <c r="D1085" t="inlineStr">
        <is>
          <t>Sous-ministre adjoint délégué, Direction générale des sciences et de la technologie</t>
        </is>
      </c>
      <c r="E1085" t="inlineStr">
        <is>
          <t>Gilles Saindon</t>
        </is>
      </c>
      <c r="F1085" t="inlineStr">
        <is>
          <t>To attend the Gold Harvest Award</t>
        </is>
      </c>
      <c r="G1085" t="inlineStr">
        <is>
          <t>Pour assister à la remise des prix Moissons d'Or</t>
        </is>
      </c>
      <c r="H1085" s="1" t="n">
        <v>43263</v>
      </c>
      <c r="I1085" s="1" t="n">
        <v>43264</v>
      </c>
      <c r="J1085" t="inlineStr">
        <is>
          <t>Sherbrooke, Quebec</t>
        </is>
      </c>
      <c r="K1085" t="inlineStr">
        <is>
          <t>Sherbrooke, Québec</t>
        </is>
      </c>
      <c r="Q1085" t="n">
        <v>133.35</v>
      </c>
      <c r="S1085" t="n">
        <v>121.4</v>
      </c>
      <c r="U1085" t="n">
        <v>254.75</v>
      </c>
      <c r="X1085" t="inlineStr">
        <is>
          <t>aafc-aac</t>
        </is>
      </c>
      <c r="Y1085" t="inlineStr">
        <is>
          <t>Agriculture and Agri-Food Canada | Agriculture et Agroalimentaire Canada</t>
        </is>
      </c>
    </row>
    <row r="1086">
      <c r="A1086" t="inlineStr">
        <is>
          <t>T-2018-Q2-00059</t>
        </is>
      </c>
      <c r="B1086" t="inlineStr">
        <is>
          <t>SLE</t>
        </is>
      </c>
      <c r="C1086" t="inlineStr">
        <is>
          <t>Associate Assistant Deputy Ministerm, Science and Technology Branch</t>
        </is>
      </c>
      <c r="D1086" t="inlineStr">
        <is>
          <t>Sous-ministre adjoint délégué, Direction générale des sciences et de la technologie</t>
        </is>
      </c>
      <c r="E1086" t="inlineStr">
        <is>
          <t>Gilles Saindon</t>
        </is>
      </c>
      <c r="F1086" t="inlineStr">
        <is>
          <t>To attend the Branch Executive Committee face to face, meetings with the industry, and meeting with all staff at the Research and Development Center</t>
        </is>
      </c>
      <c r="G1086" t="inlineStr">
        <is>
          <t>Pour assister à la rencontre du Comité exécutif de la direction générale en personne, des rencontres avec l'industrie et une rencontre avec tout le personnel au Centre de recherche et développement</t>
        </is>
      </c>
      <c r="H1086" s="1" t="n">
        <v>43275</v>
      </c>
      <c r="I1086" s="1" t="n">
        <v>43278</v>
      </c>
      <c r="J1086" t="inlineStr">
        <is>
          <t>Charlottetown, Prince-Edward-Island</t>
        </is>
      </c>
      <c r="K1086" t="inlineStr">
        <is>
          <t>Charlottetown, Ile-du-Prince-Edouard</t>
        </is>
      </c>
      <c r="P1086" t="n">
        <v>546.47</v>
      </c>
      <c r="Q1086" t="n">
        <v>148</v>
      </c>
      <c r="R1086" t="n">
        <v>742.6799999999999</v>
      </c>
      <c r="S1086" t="n">
        <v>319.4</v>
      </c>
      <c r="U1086" t="n">
        <v>1756.55</v>
      </c>
      <c r="X1086" t="inlineStr">
        <is>
          <t>aafc-aac</t>
        </is>
      </c>
      <c r="Y1086" t="inlineStr">
        <is>
          <t>Agriculture and Agri-Food Canada | Agriculture et Agroalimentaire Canada</t>
        </is>
      </c>
    </row>
    <row r="1087">
      <c r="A1087" t="inlineStr">
        <is>
          <t>T-2018-Q2-00060</t>
        </is>
      </c>
      <c r="B1087" t="inlineStr">
        <is>
          <t>SLE</t>
        </is>
      </c>
      <c r="C1087" t="inlineStr">
        <is>
          <t>Associate Assistant Deputy Ministerm, Science and Technology Branch</t>
        </is>
      </c>
      <c r="D1087" t="inlineStr">
        <is>
          <t>Sous-ministre adjoint délégué, Direction générale des sciences et de la technologie</t>
        </is>
      </c>
      <c r="E1087" t="inlineStr">
        <is>
          <t>Gilles Saindon</t>
        </is>
      </c>
      <c r="F1087" t="inlineStr">
        <is>
          <t>To attend the Wheat Initiative International Coordination Committee and the Wheat Initiative Scientifc Board Committee meetings  and meetings with German counterparts</t>
        </is>
      </c>
      <c r="G1087" t="inlineStr">
        <is>
          <t>Participer aux rencontres du Comité international de coordination de l'Initiative sur le blé etdu Comité scientifique du Conseil de l'Initiative sur le blé et des rencontres avec des homologues allemands</t>
        </is>
      </c>
      <c r="H1087" s="1" t="n">
        <v>43282</v>
      </c>
      <c r="I1087" s="1" t="n">
        <v>43287</v>
      </c>
      <c r="J1087" t="inlineStr">
        <is>
          <t>Berlin, Germany</t>
        </is>
      </c>
      <c r="K1087" t="inlineStr">
        <is>
          <t>Berlin, Allemagne</t>
        </is>
      </c>
      <c r="P1087" t="n">
        <v>6495.18</v>
      </c>
      <c r="Q1087" t="n">
        <v>245.1</v>
      </c>
      <c r="R1087" t="n">
        <v>494.07</v>
      </c>
      <c r="S1087" t="n">
        <v>676.45</v>
      </c>
      <c r="T1087" t="n">
        <v>2.95</v>
      </c>
      <c r="U1087" t="n">
        <v>7913.75</v>
      </c>
      <c r="X1087" t="inlineStr">
        <is>
          <t>aafc-aac</t>
        </is>
      </c>
      <c r="Y1087" t="inlineStr">
        <is>
          <t>Agriculture and Agri-Food Canada | Agriculture et Agroalimentaire Canada</t>
        </is>
      </c>
    </row>
    <row r="1088">
      <c r="A1088" t="inlineStr">
        <is>
          <t>T-2018-Q2-00061</t>
        </is>
      </c>
      <c r="B1088" t="inlineStr">
        <is>
          <t>SLE</t>
        </is>
      </c>
      <c r="C1088" t="inlineStr">
        <is>
          <t>Associate Assistant Deputy Ministerm, Science and Technology Branch</t>
        </is>
      </c>
      <c r="D1088" t="inlineStr">
        <is>
          <t>Sous-ministre adjoint délégué, Direction générale des sciences et de la technologie</t>
        </is>
      </c>
      <c r="E1088" t="inlineStr">
        <is>
          <t>Gilles Saindon</t>
        </is>
      </c>
      <c r="F1088" t="inlineStr">
        <is>
          <t>Outreach at the Research and Development Center, all staff meetings and attend 2018 Indian Head Crop Management Field Day</t>
        </is>
      </c>
      <c r="G1088" t="inlineStr">
        <is>
          <t xml:space="preserve">Visite de sensibilisation au Centre de recherche et développement, réunions avec tous le personnel et assister à la journée annuelle d'Indian Head sur la gestion des cultures </t>
        </is>
      </c>
      <c r="H1088" s="1" t="n">
        <v>43297</v>
      </c>
      <c r="I1088" s="1" t="n">
        <v>43300</v>
      </c>
      <c r="J1088" t="inlineStr">
        <is>
          <t>Regina, Indian Head and Swift Current, Saskatchewan</t>
        </is>
      </c>
      <c r="K1088" t="inlineStr">
        <is>
          <t>Regina, Indian Head et Swift Current, Saskatchewan</t>
        </is>
      </c>
      <c r="P1088" t="n">
        <v>889.87</v>
      </c>
      <c r="Q1088" t="n">
        <v>142</v>
      </c>
      <c r="R1088" t="n">
        <v>420.29</v>
      </c>
      <c r="S1088" t="n">
        <v>319.4</v>
      </c>
      <c r="U1088" t="n">
        <v>1771.56</v>
      </c>
      <c r="X1088" t="inlineStr">
        <is>
          <t>aafc-aac</t>
        </is>
      </c>
      <c r="Y1088" t="inlineStr">
        <is>
          <t>Agriculture and Agri-Food Canada | Agriculture et Agroalimentaire Canada</t>
        </is>
      </c>
    </row>
    <row r="1089">
      <c r="A1089" t="inlineStr">
        <is>
          <t>T-2018-Q2-00062</t>
        </is>
      </c>
      <c r="B1089" t="inlineStr">
        <is>
          <t>SLE</t>
        </is>
      </c>
      <c r="C1089" t="inlineStr">
        <is>
          <t>Associate Assistant Deputy Ministerm, Science and Technology Branch</t>
        </is>
      </c>
      <c r="D1089" t="inlineStr">
        <is>
          <t>Sous-ministre adjoint délégué, Direction générale des sciences et de la technologie</t>
        </is>
      </c>
      <c r="E1089" t="inlineStr">
        <is>
          <t>Gilles Saindon</t>
        </is>
      </c>
      <c r="F1089" t="inlineStr">
        <is>
          <t>Outreach at the Research and Development Center, all staff meeting</t>
        </is>
      </c>
      <c r="G1089" t="inlineStr">
        <is>
          <t xml:space="preserve">Visite de sensibilisation au Centre de recherche et développement, réunion avec tous le personnel </t>
        </is>
      </c>
      <c r="H1089" s="1" t="n">
        <v>43305</v>
      </c>
      <c r="I1089" s="1" t="n">
        <v>43307</v>
      </c>
      <c r="J1089" t="inlineStr">
        <is>
          <t>Harrow, Ontario</t>
        </is>
      </c>
      <c r="K1089" t="inlineStr">
        <is>
          <t>Harrow, Ontario</t>
        </is>
      </c>
      <c r="P1089" t="n">
        <v>640.89</v>
      </c>
      <c r="Q1089" t="n">
        <v>160.5</v>
      </c>
      <c r="R1089" t="n">
        <v>343.74</v>
      </c>
      <c r="S1089" t="n">
        <v>273.65</v>
      </c>
      <c r="U1089" t="n">
        <v>1418.78</v>
      </c>
      <c r="X1089" t="inlineStr">
        <is>
          <t>aafc-aac</t>
        </is>
      </c>
      <c r="Y1089" t="inlineStr">
        <is>
          <t>Agriculture and Agri-Food Canada | Agriculture et Agroalimentaire Canada</t>
        </is>
      </c>
    </row>
    <row r="1090">
      <c r="A1090" t="inlineStr">
        <is>
          <t>T-2018-Q2-00063</t>
        </is>
      </c>
      <c r="B1090" t="inlineStr">
        <is>
          <t>SLE</t>
        </is>
      </c>
      <c r="C1090" t="inlineStr">
        <is>
          <t>Associate Assistant Deputy Ministerm, Science and Technology Branch</t>
        </is>
      </c>
      <c r="D1090" t="inlineStr">
        <is>
          <t>Sous-ministre adjoint délégué, Direction générale des sciences et de la technologie</t>
        </is>
      </c>
      <c r="E1090" t="inlineStr">
        <is>
          <t>Gilles Saindon</t>
        </is>
      </c>
      <c r="F1090" t="inlineStr">
        <is>
          <t>Outreach at the Research and Development Center, all staff meeting</t>
        </is>
      </c>
      <c r="G1090" t="inlineStr">
        <is>
          <t xml:space="preserve">Visite de sensibilisation au Centre de recherche et développement, réunion avec tous le personnel </t>
        </is>
      </c>
      <c r="H1090" s="1" t="n">
        <v>43326</v>
      </c>
      <c r="I1090" s="1" t="n">
        <v>43329</v>
      </c>
      <c r="J1090" t="inlineStr">
        <is>
          <t>Summerland, British Columbia</t>
        </is>
      </c>
      <c r="K1090" t="inlineStr">
        <is>
          <t>Summerland, Colombie-Britanique</t>
        </is>
      </c>
      <c r="P1090" t="n">
        <v>916.71</v>
      </c>
      <c r="Q1090" t="n">
        <v>128.5</v>
      </c>
      <c r="R1090" t="n">
        <v>569.25</v>
      </c>
      <c r="S1090" t="n">
        <v>377.75</v>
      </c>
      <c r="U1090" t="n">
        <v>1992.21</v>
      </c>
      <c r="X1090" t="inlineStr">
        <is>
          <t>aafc-aac</t>
        </is>
      </c>
      <c r="Y1090" t="inlineStr">
        <is>
          <t>Agriculture and Agri-Food Canada | Agriculture et Agroalimentaire Canada</t>
        </is>
      </c>
    </row>
    <row r="1091">
      <c r="A1091" t="inlineStr">
        <is>
          <t>T-2018-Q2-00065</t>
        </is>
      </c>
      <c r="B1091" t="inlineStr">
        <is>
          <t>SLE</t>
        </is>
      </c>
      <c r="C1091" t="inlineStr">
        <is>
          <t>Assistant Deputy Minister, Strategic Policy Branch</t>
        </is>
      </c>
      <c r="D1091" t="inlineStr">
        <is>
          <t>Sous-Ministre Adjoint, Direction Générale des politiques stratégiques</t>
        </is>
      </c>
      <c r="E1091" t="inlineStr">
        <is>
          <t>Tom Rosser</t>
        </is>
      </c>
      <c r="F1091" t="inlineStr">
        <is>
          <t>To attend a Regional Management Meeting with AAFC staff held in Windsor, Ontario.</t>
        </is>
      </c>
      <c r="G1091" t="inlineStr">
        <is>
          <t>Pour assister à une réunion de gestion régionale avec le personnel d'AAC tenue à Windsor, Ontario.</t>
        </is>
      </c>
      <c r="H1091" s="1" t="n">
        <v>43272</v>
      </c>
      <c r="I1091" s="1" t="n">
        <v>43273</v>
      </c>
      <c r="J1091" t="inlineStr">
        <is>
          <t>Harrow, Ontario</t>
        </is>
      </c>
      <c r="K1091" t="inlineStr">
        <is>
          <t>Harrow, Ontario</t>
        </is>
      </c>
      <c r="P1091" t="n">
        <v>1352.28</v>
      </c>
      <c r="Q1091" t="n">
        <v>189.82</v>
      </c>
      <c r="R1091" t="n">
        <v>146.64</v>
      </c>
      <c r="S1091" t="n">
        <v>169.55</v>
      </c>
      <c r="U1091" t="n">
        <v>1858.29</v>
      </c>
      <c r="X1091" t="inlineStr">
        <is>
          <t>aafc-aac</t>
        </is>
      </c>
      <c r="Y1091" t="inlineStr">
        <is>
          <t>Agriculture and Agri-Food Canada | Agriculture et Agroalimentaire Canada</t>
        </is>
      </c>
    </row>
    <row r="1092">
      <c r="A1092" t="inlineStr">
        <is>
          <t>T-2018-Q3-00020</t>
        </is>
      </c>
      <c r="B1092" t="inlineStr">
        <is>
          <t>MPSES</t>
        </is>
      </c>
      <c r="C1092" t="inlineStr">
        <is>
          <t>Communications Advisor</t>
        </is>
      </c>
      <c r="D1092" t="inlineStr">
        <is>
          <t>Conseiller en communications</t>
        </is>
      </c>
      <c r="E1092" t="inlineStr">
        <is>
          <t>Oliver Anderson</t>
        </is>
      </c>
      <c r="F1092" t="inlineStr">
        <is>
          <t>To accompany the Minister for announcements and meetings</t>
        </is>
      </c>
      <c r="G1092" t="inlineStr">
        <is>
          <t>Pour accompagner le ministre pour les annonces et les réunions</t>
        </is>
      </c>
      <c r="H1092" s="1" t="n">
        <v>43346</v>
      </c>
      <c r="I1092" s="1" t="n">
        <v>43347</v>
      </c>
      <c r="J1092" t="inlineStr">
        <is>
          <t>Winnipeg, Manitoba</t>
        </is>
      </c>
      <c r="K1092" t="inlineStr">
        <is>
          <t>Winnipeg, Manitoba</t>
        </is>
      </c>
      <c r="P1092" t="n">
        <v>1017.54</v>
      </c>
      <c r="Q1092" t="n">
        <v>34.17</v>
      </c>
      <c r="R1092" t="n">
        <v>201.03</v>
      </c>
      <c r="S1092" t="n">
        <v>169.55</v>
      </c>
      <c r="T1092" t="n">
        <v>0</v>
      </c>
      <c r="U1092" t="n">
        <v>1422.29</v>
      </c>
      <c r="X1092" t="inlineStr">
        <is>
          <t>aafc-aac</t>
        </is>
      </c>
      <c r="Y1092" t="inlineStr">
        <is>
          <t>Agriculture and Agri-Food Canada | Agriculture et Agroalimentaire Canada</t>
        </is>
      </c>
    </row>
    <row r="1093">
      <c r="A1093" t="inlineStr">
        <is>
          <t>T-2018-Q2-00066</t>
        </is>
      </c>
      <c r="B1093" t="inlineStr">
        <is>
          <t>SLE</t>
        </is>
      </c>
      <c r="C1093" t="inlineStr">
        <is>
          <t xml:space="preserve"> Assistant Deputy Minister, Strategic Policy Branch</t>
        </is>
      </c>
      <c r="D1093" t="inlineStr">
        <is>
          <t>Sous-Ministre Adjoint, Direction Générale des politiques stratégiques</t>
        </is>
      </c>
      <c r="E1093" t="inlineStr">
        <is>
          <t>Tom Rosser</t>
        </is>
      </c>
      <c r="F1093" t="inlineStr">
        <is>
          <t>To participate in a McCain Foods Workshop  Panel.</t>
        </is>
      </c>
      <c r="G1093" t="inlineStr">
        <is>
          <t>Participer à un atelier avec McCain Foods.</t>
        </is>
      </c>
      <c r="H1093" s="1" t="n">
        <v>43275</v>
      </c>
      <c r="I1093" s="1" t="n">
        <v>43276</v>
      </c>
      <c r="J1093" t="inlineStr">
        <is>
          <t>Toronto, Ontario</t>
        </is>
      </c>
      <c r="K1093" t="inlineStr">
        <is>
          <t>Toronto, Ontario</t>
        </is>
      </c>
      <c r="P1093" t="n">
        <v>957.96</v>
      </c>
      <c r="Q1093" t="n">
        <v>104.7</v>
      </c>
      <c r="R1093" t="n">
        <v>421.9</v>
      </c>
      <c r="S1093" t="n">
        <v>121.4</v>
      </c>
      <c r="U1093" t="n">
        <v>1605.96</v>
      </c>
      <c r="X1093" t="inlineStr">
        <is>
          <t>aafc-aac</t>
        </is>
      </c>
      <c r="Y1093" t="inlineStr">
        <is>
          <t>Agriculture and Agri-Food Canada | Agriculture et Agroalimentaire Canada</t>
        </is>
      </c>
    </row>
    <row r="1094">
      <c r="A1094" t="inlineStr">
        <is>
          <t>T-2018-Q2-00067</t>
        </is>
      </c>
      <c r="B1094" t="inlineStr">
        <is>
          <t>SLE</t>
        </is>
      </c>
      <c r="C1094" t="inlineStr">
        <is>
          <t xml:space="preserve"> Assistant Deputy Minister, Strategic Policy Branch</t>
        </is>
      </c>
      <c r="D1094" t="inlineStr">
        <is>
          <t>Sous-Ministre Adjoint, Direction Générale des politiques stratégiques</t>
        </is>
      </c>
      <c r="E1094" t="inlineStr">
        <is>
          <t>Tom Rosser</t>
        </is>
      </c>
      <c r="F1094" t="inlineStr">
        <is>
          <t>To attend the Federal/Provincial/Territorial Annual Conference of Deputy Ministers and Ministers of Agriculture.</t>
        </is>
      </c>
      <c r="G1094" t="inlineStr">
        <is>
          <t>Participer au conférence annuelle fédérale, provinciale et territoriale des sous-ministres et ministres d'agriculture.</t>
        </is>
      </c>
      <c r="H1094" s="1" t="n">
        <v>43298</v>
      </c>
      <c r="I1094" s="1" t="n">
        <v>43302</v>
      </c>
      <c r="J1094" t="inlineStr">
        <is>
          <t>Vancouver, British Columbia</t>
        </is>
      </c>
      <c r="K1094" t="inlineStr">
        <is>
          <t>Vancouver, Colombie-Britannique</t>
        </is>
      </c>
      <c r="P1094" t="n">
        <v>2824.81</v>
      </c>
      <c r="Q1094" t="n">
        <v>80</v>
      </c>
      <c r="R1094" t="n">
        <v>983.49</v>
      </c>
      <c r="S1094" t="n">
        <v>327.7</v>
      </c>
      <c r="T1094" t="n">
        <v>375</v>
      </c>
      <c r="U1094" t="n">
        <v>4591</v>
      </c>
      <c r="X1094" t="inlineStr">
        <is>
          <t>aafc-aac</t>
        </is>
      </c>
      <c r="Y1094" t="inlineStr">
        <is>
          <t>Agriculture and Agri-Food Canada | Agriculture et Agroalimentaire Canada</t>
        </is>
      </c>
    </row>
    <row r="1095">
      <c r="A1095" t="inlineStr">
        <is>
          <t>T-2018-Q2-00068</t>
        </is>
      </c>
      <c r="B1095" t="inlineStr">
        <is>
          <t>SLE</t>
        </is>
      </c>
      <c r="C1095" t="inlineStr">
        <is>
          <t xml:space="preserve"> Assistant Deputy Minister, Strategic Policy Branch</t>
        </is>
      </c>
      <c r="D1095" t="inlineStr">
        <is>
          <t>Sous-Ministre Adjoint, Direction Générale des politiques stratégiques</t>
        </is>
      </c>
      <c r="E1095" t="inlineStr">
        <is>
          <t>Tom Rosser</t>
        </is>
      </c>
      <c r="F1095" t="inlineStr">
        <is>
          <t>To attend the International Conference of Agricultural Economists (ICAE).</t>
        </is>
      </c>
      <c r="G1095" t="inlineStr">
        <is>
          <t>Pour assister à la conférence internationale des économistes agricoles.</t>
        </is>
      </c>
      <c r="H1095" s="1" t="n">
        <v>43312</v>
      </c>
      <c r="I1095" s="1" t="n">
        <v>43315</v>
      </c>
      <c r="J1095" t="inlineStr">
        <is>
          <t>Vancouver, British Columbia</t>
        </is>
      </c>
      <c r="K1095" t="inlineStr">
        <is>
          <t>Vancouver, Colombie-Britannique</t>
        </is>
      </c>
      <c r="P1095" t="n">
        <v>2124.12</v>
      </c>
      <c r="Q1095" t="n">
        <v>165</v>
      </c>
      <c r="R1095" t="n">
        <v>702.66</v>
      </c>
      <c r="S1095" t="n">
        <v>262</v>
      </c>
      <c r="T1095" t="n">
        <v>1121.06</v>
      </c>
      <c r="U1095" t="n">
        <v>4374.84</v>
      </c>
      <c r="X1095" t="inlineStr">
        <is>
          <t>aafc-aac</t>
        </is>
      </c>
      <c r="Y1095" t="inlineStr">
        <is>
          <t>Agriculture and Agri-Food Canada | Agriculture et Agroalimentaire Canada</t>
        </is>
      </c>
    </row>
    <row r="1096">
      <c r="A1096" t="inlineStr">
        <is>
          <t>T-2018-Q2-00069</t>
        </is>
      </c>
      <c r="B1096" t="inlineStr">
        <is>
          <t>SLE</t>
        </is>
      </c>
      <c r="C1096" t="inlineStr">
        <is>
          <t>Assistant Deputy Minister, International Affairs Branch</t>
        </is>
      </c>
      <c r="D1096" t="inlineStr">
        <is>
          <t xml:space="preserve">Sous-ministre adjoint,Direction générale des affaires internationales </t>
        </is>
      </c>
      <c r="E1096" t="inlineStr">
        <is>
          <t>Frederick Gorrell</t>
        </is>
      </c>
      <c r="F1096" t="inlineStr">
        <is>
          <t>US Secretary of Agriculture Sonny Perdue Visit with Minister MacAuley</t>
        </is>
      </c>
      <c r="G1096" t="inlineStr">
        <is>
          <t>Réunion avec sécrétaire des états-unis de l'agriculture Sonny Perdu et ministre MacAulay</t>
        </is>
      </c>
      <c r="H1096" s="1" t="n">
        <v>43264</v>
      </c>
      <c r="I1096" s="1" t="n">
        <v>43267</v>
      </c>
      <c r="J1096" t="inlineStr">
        <is>
          <t>Charlottetown, Prince Edward Island &amp; Dartmouth, Nova Scotia</t>
        </is>
      </c>
      <c r="K1096" t="inlineStr">
        <is>
          <t>‎Charlottetown, Île-du-Prince-Édouard et Dartmouth, Nouvelle--Écosse</t>
        </is>
      </c>
      <c r="P1096" t="n">
        <v>945.3200000000001</v>
      </c>
      <c r="Q1096" t="n">
        <v>129.32</v>
      </c>
      <c r="R1096" t="n">
        <v>713.71</v>
      </c>
      <c r="S1096" t="n">
        <v>310.4</v>
      </c>
      <c r="U1096" t="n">
        <v>2098.75</v>
      </c>
      <c r="X1096" t="inlineStr">
        <is>
          <t>aafc-aac</t>
        </is>
      </c>
      <c r="Y1096" t="inlineStr">
        <is>
          <t>Agriculture and Agri-Food Canada | Agriculture et Agroalimentaire Canada</t>
        </is>
      </c>
    </row>
    <row r="1097">
      <c r="A1097" t="inlineStr">
        <is>
          <t>T-2018-Q2-00070</t>
        </is>
      </c>
      <c r="B1097" t="inlineStr">
        <is>
          <t>SLE</t>
        </is>
      </c>
      <c r="C1097" t="inlineStr">
        <is>
          <t>Assistant Deputy Minister, International Affairs Branch</t>
        </is>
      </c>
      <c r="D1097" t="inlineStr">
        <is>
          <t xml:space="preserve">Sous-ministre adjoint,Direction générale des affaires internationales </t>
        </is>
      </c>
      <c r="E1097" t="inlineStr">
        <is>
          <t>Frederick Gorrell</t>
        </is>
      </c>
      <c r="F1097" t="inlineStr">
        <is>
          <t>Atlantic Regional Management Committee</t>
        </is>
      </c>
      <c r="G1097" t="inlineStr">
        <is>
          <t>Comité régional de gestion atlantique</t>
        </is>
      </c>
      <c r="H1097" s="1" t="n">
        <v>43269</v>
      </c>
      <c r="I1097" s="1" t="n">
        <v>43270</v>
      </c>
      <c r="J1097" t="inlineStr">
        <is>
          <t>Halifax, Nova Scotia</t>
        </is>
      </c>
      <c r="K1097" t="inlineStr">
        <is>
          <t xml:space="preserve">
Halifax,
Nouvelle-Écosse</t>
        </is>
      </c>
      <c r="P1097" t="n">
        <v>412.51</v>
      </c>
      <c r="Q1097" t="n">
        <v>157.82</v>
      </c>
      <c r="R1097" t="n">
        <v>192.37</v>
      </c>
      <c r="S1097" t="n">
        <v>169.55</v>
      </c>
      <c r="U1097" t="n">
        <v>932.25</v>
      </c>
      <c r="X1097" t="inlineStr">
        <is>
          <t>aafc-aac</t>
        </is>
      </c>
      <c r="Y1097" t="inlineStr">
        <is>
          <t>Agriculture and Agri-Food Canada | Agriculture et Agroalimentaire Canada</t>
        </is>
      </c>
    </row>
    <row r="1098">
      <c r="A1098" t="inlineStr">
        <is>
          <t>T-2018-Q2-00071</t>
        </is>
      </c>
      <c r="B1098" t="inlineStr">
        <is>
          <t>SLE</t>
        </is>
      </c>
      <c r="C1098" t="inlineStr">
        <is>
          <t>Assistant Deputy Minister, International Affairs Branch</t>
        </is>
      </c>
      <c r="D1098" t="inlineStr">
        <is>
          <t xml:space="preserve">Sous-ministre adjoint,Direction générale des affaires internationales </t>
        </is>
      </c>
      <c r="E1098" t="inlineStr">
        <is>
          <t>Frederick Gorrell</t>
        </is>
      </c>
      <c r="F1098" t="inlineStr">
        <is>
          <t>To attend G20 Agriculture Ministerial Meetings and outreach to Latin America</t>
        </is>
      </c>
      <c r="G1098" t="inlineStr">
        <is>
          <t>Assister aux réunions ministérielles sur l'agriculture du G20 et à la sensibilisation en Amérique latine</t>
        </is>
      </c>
      <c r="H1098" s="1" t="n">
        <v>43306</v>
      </c>
      <c r="I1098" s="1" t="n">
        <v>43312</v>
      </c>
      <c r="J1098" t="inlineStr">
        <is>
          <t>Buenos Aires, Argentina and Santiago, Chile</t>
        </is>
      </c>
      <c r="K1098" t="inlineStr">
        <is>
          <t>Buenos Aires, Argentine,  et Santiago, Chile</t>
        </is>
      </c>
      <c r="P1098" t="n">
        <v>5528.58</v>
      </c>
      <c r="Q1098" t="n">
        <v>262.84</v>
      </c>
      <c r="R1098" t="n">
        <v>2599.06</v>
      </c>
      <c r="S1098" t="n">
        <v>718.76</v>
      </c>
      <c r="U1098" t="n">
        <v>9109.24</v>
      </c>
      <c r="X1098" t="inlineStr">
        <is>
          <t>aafc-aac</t>
        </is>
      </c>
      <c r="Y1098" t="inlineStr">
        <is>
          <t>Agriculture and Agri-Food Canada | Agriculture et Agroalimentaire Canada</t>
        </is>
      </c>
    </row>
    <row r="1099">
      <c r="A1099" t="inlineStr">
        <is>
          <t>T-2018-Q2-00072</t>
        </is>
      </c>
      <c r="B1099" t="inlineStr">
        <is>
          <t>SLE</t>
        </is>
      </c>
      <c r="C1099" t="inlineStr">
        <is>
          <t>Assistant Deputy Minister, Market and Industry Service Branch</t>
        </is>
      </c>
      <c r="D1099" t="inlineStr">
        <is>
          <t>Sous Ministre Adjoint,Direction générale des services à l'industrie et aux marchés</t>
        </is>
      </c>
      <c r="E1099" t="inlineStr">
        <is>
          <t>Frédéric Seppey</t>
        </is>
      </c>
      <c r="F1099" t="inlineStr">
        <is>
          <t>Speaking Engement at the Canadian Poultry and Egg Processors council</t>
        </is>
      </c>
      <c r="G1099" t="inlineStr">
        <is>
          <t>Engagement de parole au congrès du Conseil canadien des transformateurs d'oeufs et de volailles</t>
        </is>
      </c>
      <c r="H1099" s="1" t="n">
        <v>43255</v>
      </c>
      <c r="I1099" s="1" t="n">
        <v>43255</v>
      </c>
      <c r="J1099" t="inlineStr">
        <is>
          <t>Montreal , Quebec</t>
        </is>
      </c>
      <c r="K1099" t="inlineStr">
        <is>
          <t>Montréal, Québec</t>
        </is>
      </c>
      <c r="Q1099" t="n">
        <v>268.66</v>
      </c>
      <c r="U1099" t="n">
        <v>268.66</v>
      </c>
      <c r="X1099" t="inlineStr">
        <is>
          <t>aafc-aac</t>
        </is>
      </c>
      <c r="Y1099" t="inlineStr">
        <is>
          <t>Agriculture and Agri-Food Canada | Agriculture et Agroalimentaire Canada</t>
        </is>
      </c>
    </row>
    <row r="1100">
      <c r="A1100" t="inlineStr">
        <is>
          <t>T-2018-Q2-00073</t>
        </is>
      </c>
      <c r="B1100" t="inlineStr">
        <is>
          <t>SLE</t>
        </is>
      </c>
      <c r="C1100" t="inlineStr">
        <is>
          <t>Assistant Deputy Minister,Market and Industry Service Branch</t>
        </is>
      </c>
      <c r="D1100" t="inlineStr">
        <is>
          <t>Sous Ministre Adjoint,Direction générale des services à l'industrie et aux marchés</t>
        </is>
      </c>
      <c r="E1100" t="inlineStr">
        <is>
          <t xml:space="preserve">Frédéric Seppey </t>
        </is>
      </c>
      <c r="F1100" t="inlineStr">
        <is>
          <t>Regional outreach</t>
        </is>
      </c>
      <c r="G1100" t="inlineStr">
        <is>
          <t>Visite de sensibilisation régional</t>
        </is>
      </c>
      <c r="H1100" s="1" t="n">
        <v>43262</v>
      </c>
      <c r="I1100" s="1" t="n">
        <v>43265</v>
      </c>
      <c r="J1100" t="inlineStr">
        <is>
          <t>Regina, Saskatchewan, Winnipeg , Manitoba</t>
        </is>
      </c>
      <c r="K1100" t="inlineStr">
        <is>
          <t>Regina, Saskatchewan, Winnipeg , Manitoba</t>
        </is>
      </c>
      <c r="P1100" t="n">
        <v>1307.21</v>
      </c>
      <c r="Q1100" t="n">
        <v>110.66</v>
      </c>
      <c r="R1100" t="n">
        <v>624.6</v>
      </c>
      <c r="S1100" t="n">
        <v>319.4</v>
      </c>
      <c r="T1100" t="n">
        <v>14.63</v>
      </c>
      <c r="U1100" t="n">
        <v>2376.5</v>
      </c>
      <c r="X1100" t="inlineStr">
        <is>
          <t>aafc-aac</t>
        </is>
      </c>
      <c r="Y1100" t="inlineStr">
        <is>
          <t>Agriculture and Agri-Food Canada | Agriculture et Agroalimentaire Canada</t>
        </is>
      </c>
    </row>
    <row r="1101">
      <c r="A1101" t="inlineStr">
        <is>
          <t>T-2018-Q2-00074</t>
        </is>
      </c>
      <c r="B1101" t="inlineStr">
        <is>
          <t>SLE</t>
        </is>
      </c>
      <c r="C1101" t="inlineStr">
        <is>
          <t>Assistant Deputy Minister,Market and Industry Service Branch</t>
        </is>
      </c>
      <c r="D1101" t="inlineStr">
        <is>
          <t>Sous Ministre Adjoint,Direction générale des services à l'industrie et aux marchés</t>
        </is>
      </c>
      <c r="E1101" t="inlineStr">
        <is>
          <t xml:space="preserve">Frédéric Seppey </t>
        </is>
      </c>
      <c r="F1101" t="inlineStr">
        <is>
          <t xml:space="preserve">Federal, Provincial and Territorial conference </t>
        </is>
      </c>
      <c r="G1101" t="inlineStr">
        <is>
          <t>Conférence Fédéreau des Ministres, provinciaux et territoriaux</t>
        </is>
      </c>
      <c r="H1101" s="1" t="n">
        <v>43299</v>
      </c>
      <c r="I1101" s="1" t="n">
        <v>43302</v>
      </c>
      <c r="J1101" t="inlineStr">
        <is>
          <t>Vancouver British Columbia</t>
        </is>
      </c>
      <c r="K1101" t="inlineStr">
        <is>
          <t>Vancouver, Colombie britannique</t>
        </is>
      </c>
      <c r="P1101" t="n">
        <v>967.09</v>
      </c>
      <c r="Q1101" t="n">
        <v>131.2</v>
      </c>
      <c r="R1101" t="n">
        <v>655.66</v>
      </c>
      <c r="S1101" t="n">
        <v>262.25</v>
      </c>
      <c r="T1101" t="n">
        <v>404.14</v>
      </c>
      <c r="U1101" t="n">
        <v>2420.34</v>
      </c>
      <c r="X1101" t="inlineStr">
        <is>
          <t>aafc-aac</t>
        </is>
      </c>
      <c r="Y1101" t="inlineStr">
        <is>
          <t>Agriculture and Agri-Food Canada | Agriculture et Agroalimentaire Canada</t>
        </is>
      </c>
    </row>
    <row r="1102">
      <c r="A1102" t="inlineStr">
        <is>
          <t>T-2018-Q2-00075</t>
        </is>
      </c>
      <c r="B1102" t="inlineStr">
        <is>
          <t>SLE</t>
        </is>
      </c>
      <c r="C1102" t="inlineStr">
        <is>
          <t>Assistant Deputy Minister,Market and Industry Service Branch</t>
        </is>
      </c>
      <c r="D1102" t="inlineStr">
        <is>
          <t>Sous Ministre Adjoint,Direction générale des services à l'industrie et aux marchés</t>
        </is>
      </c>
      <c r="E1102" t="inlineStr">
        <is>
          <t>Frédéric Seppey</t>
        </is>
      </c>
      <c r="F1102" t="inlineStr">
        <is>
          <t>North American Free Trade Agreement Negotiations</t>
        </is>
      </c>
      <c r="G1102" t="inlineStr">
        <is>
          <t xml:space="preserve">Négociations de l’Accord de libre-échange nord-américain </t>
        </is>
      </c>
      <c r="H1102" s="1" t="n">
        <v>43341</v>
      </c>
      <c r="I1102" s="1" t="n">
        <v>43344</v>
      </c>
      <c r="J1102" t="inlineStr">
        <is>
          <t>Washington, United States</t>
        </is>
      </c>
      <c r="K1102" t="inlineStr">
        <is>
          <t>Washington, États-Unis</t>
        </is>
      </c>
      <c r="P1102" t="n">
        <v>1248.79</v>
      </c>
      <c r="Q1102" t="n">
        <v>470.56</v>
      </c>
      <c r="R1102" t="n">
        <v>748.0599999999999</v>
      </c>
      <c r="S1102" t="n">
        <v>605.38</v>
      </c>
      <c r="T1102" t="n">
        <v>4.57</v>
      </c>
      <c r="U1102" t="n">
        <v>3077.36</v>
      </c>
      <c r="X1102" t="inlineStr">
        <is>
          <t>aafc-aac</t>
        </is>
      </c>
      <c r="Y1102" t="inlineStr">
        <is>
          <t>Agriculture and Agri-Food Canada | Agriculture et Agroalimentaire Canada</t>
        </is>
      </c>
    </row>
    <row r="1103">
      <c r="A1103" t="inlineStr">
        <is>
          <t>T-2018-Q2-00076</t>
        </is>
      </c>
      <c r="B1103" t="inlineStr">
        <is>
          <t>SLE</t>
        </is>
      </c>
      <c r="C1103" t="inlineStr">
        <is>
          <t>Acting Assistant Deputy Minister, Public Affairs Branch</t>
        </is>
      </c>
      <c r="D1103" t="inlineStr">
        <is>
          <t>Sous-Ministre adjoint par intérim, Direction générale des affaires publiques</t>
        </is>
      </c>
      <c r="E1103" t="inlineStr">
        <is>
          <t>Steven Jurgutis</t>
        </is>
      </c>
      <c r="F1103" t="inlineStr">
        <is>
          <t xml:space="preserve">Federal, Provincial and Territorial conference </t>
        </is>
      </c>
      <c r="G1103" t="inlineStr">
        <is>
          <t>Conférence Fédéreau des Ministres, provinciaux et territoriaux</t>
        </is>
      </c>
      <c r="H1103" s="1" t="n">
        <v>43298</v>
      </c>
      <c r="I1103" s="1" t="n">
        <v>43302</v>
      </c>
      <c r="J1103" t="inlineStr">
        <is>
          <t>Vancouver, British-Columbia</t>
        </is>
      </c>
      <c r="K1103" t="inlineStr">
        <is>
          <t>Vancouver, Colombie-Britannique</t>
        </is>
      </c>
      <c r="P1103" t="n">
        <v>829.23</v>
      </c>
      <c r="Q1103" t="n">
        <v>159.75</v>
      </c>
      <c r="R1103" t="n">
        <v>983.49</v>
      </c>
      <c r="S1103" t="n">
        <v>204.15</v>
      </c>
      <c r="T1103" t="n">
        <v>375</v>
      </c>
      <c r="U1103" t="n">
        <v>2551.62</v>
      </c>
      <c r="X1103" t="inlineStr">
        <is>
          <t>aafc-aac</t>
        </is>
      </c>
      <c r="Y1103" t="inlineStr">
        <is>
          <t>Agriculture and Agri-Food Canada | Agriculture et Agroalimentaire Canada</t>
        </is>
      </c>
    </row>
    <row r="1104">
      <c r="A1104" t="inlineStr">
        <is>
          <t>T-2018-Q2-00077</t>
        </is>
      </c>
      <c r="B1104" t="inlineStr">
        <is>
          <t>SLE</t>
        </is>
      </c>
      <c r="C1104" t="inlineStr">
        <is>
          <t xml:space="preserve">Assistant Deputy Minister, Programs Branch </t>
        </is>
      </c>
      <c r="D1104" t="inlineStr">
        <is>
          <t xml:space="preserve">Sous Ministre Adjointe, direction générale des programmes </t>
        </is>
      </c>
      <c r="E1104" t="inlineStr">
        <is>
          <t xml:space="preserve">Jane Taylor </t>
        </is>
      </c>
      <c r="F1104" t="inlineStr">
        <is>
          <t xml:space="preserve">Winnipeg Regional Visit </t>
        </is>
      </c>
      <c r="G1104" t="inlineStr">
        <is>
          <t xml:space="preserve">Visite régionale à Winnipeg </t>
        </is>
      </c>
      <c r="H1104" s="1" t="n">
        <v>42891</v>
      </c>
      <c r="I1104" s="1" t="n">
        <v>42893</v>
      </c>
      <c r="J1104" t="inlineStr">
        <is>
          <t xml:space="preserve">Winnipeg, Manitoba </t>
        </is>
      </c>
      <c r="K1104" t="inlineStr">
        <is>
          <t>Winnipeg, Manitoba</t>
        </is>
      </c>
      <c r="P1104" t="n">
        <v>910.64</v>
      </c>
      <c r="Q1104" t="n">
        <v>71</v>
      </c>
      <c r="R1104" t="n">
        <v>188.02</v>
      </c>
      <c r="S1104" t="n">
        <v>169.55</v>
      </c>
      <c r="T1104" t="n">
        <v>0</v>
      </c>
      <c r="U1104" t="n">
        <v>1339.21</v>
      </c>
      <c r="X1104" t="inlineStr">
        <is>
          <t>aafc-aac</t>
        </is>
      </c>
      <c r="Y1104" t="inlineStr">
        <is>
          <t>Agriculture and Agri-Food Canada | Agriculture et Agroalimentaire Canada</t>
        </is>
      </c>
    </row>
    <row r="1105">
      <c r="A1105" t="inlineStr">
        <is>
          <t>T-2018-Q2-00078</t>
        </is>
      </c>
      <c r="B1105" t="inlineStr">
        <is>
          <t>SLE</t>
        </is>
      </c>
      <c r="C1105" t="inlineStr">
        <is>
          <t xml:space="preserve">Assistant Deputy Minister, Programs Branch </t>
        </is>
      </c>
      <c r="D1105" t="inlineStr">
        <is>
          <t xml:space="preserve">Sous Ministre Adjointe, direction générale des programmes </t>
        </is>
      </c>
      <c r="E1105" t="inlineStr">
        <is>
          <t xml:space="preserve">Jane Taylor </t>
        </is>
      </c>
      <c r="F1105" t="inlineStr">
        <is>
          <t xml:space="preserve">Minister's  Federal/ Provincial and Territorial (FPT) Meeting </t>
        </is>
      </c>
      <c r="G1105" t="inlineStr">
        <is>
          <t xml:space="preserve">Réunion fédérale-provinciale et territoriale (FPT) du Ministre </t>
        </is>
      </c>
      <c r="H1105" s="1" t="n">
        <v>42933</v>
      </c>
      <c r="I1105" s="1" t="n">
        <v>42936</v>
      </c>
      <c r="J1105" t="inlineStr">
        <is>
          <t xml:space="preserve">Vancouver, British-Columbia </t>
        </is>
      </c>
      <c r="K1105" t="inlineStr">
        <is>
          <t xml:space="preserve">Vancouver, Colombie-Britannique </t>
        </is>
      </c>
      <c r="P1105" t="n">
        <v>928.02</v>
      </c>
      <c r="Q1105" t="n">
        <v>84.04000000000001</v>
      </c>
      <c r="R1105" t="n">
        <v>983.49</v>
      </c>
      <c r="S1105" t="n">
        <v>252.3</v>
      </c>
      <c r="T1105" t="n">
        <v>375</v>
      </c>
      <c r="U1105" t="n">
        <v>2622.85</v>
      </c>
      <c r="X1105" t="inlineStr">
        <is>
          <t>aafc-aac</t>
        </is>
      </c>
      <c r="Y1105" t="inlineStr">
        <is>
          <t>Agriculture and Agri-Food Canada | Agriculture et Agroalimentaire Canada</t>
        </is>
      </c>
    </row>
    <row r="1106">
      <c r="A1106" t="inlineStr">
        <is>
          <t>T-2018-Q3-00007</t>
        </is>
      </c>
      <c r="B1106" t="inlineStr">
        <is>
          <t>MPSES</t>
        </is>
      </c>
      <c r="C1106" t="inlineStr">
        <is>
          <t>Director of Policy</t>
        </is>
      </c>
      <c r="D1106" t="inlineStr">
        <is>
          <t>Directrice de la politique</t>
        </is>
      </c>
      <c r="E1106" t="inlineStr">
        <is>
          <t>Alison Porter</t>
        </is>
      </c>
      <c r="F1106" t="inlineStr">
        <is>
          <t>To accompany the Minister on the Ministerial Mission to China</t>
        </is>
      </c>
      <c r="G1106" t="inlineStr">
        <is>
          <t>Pour accompagner le ministre à la mission ministérielle en Chine.</t>
        </is>
      </c>
      <c r="H1106" s="1" t="n">
        <v>43406</v>
      </c>
      <c r="I1106" s="1" t="n">
        <v>43419</v>
      </c>
      <c r="J1106" t="inlineStr">
        <is>
          <t>Shanghai, China; Qingdao, China; Beijing, China</t>
        </is>
      </c>
      <c r="K1106" t="inlineStr">
        <is>
          <t>Shanghai, Chine; Qingdao, Chine; Beijing, Chine</t>
        </is>
      </c>
      <c r="P1106" t="n">
        <v>7089.58</v>
      </c>
      <c r="Q1106" t="n">
        <v>28.98</v>
      </c>
      <c r="R1106" t="n">
        <v>3662.46</v>
      </c>
      <c r="S1106" t="n">
        <v>1993.16</v>
      </c>
      <c r="T1106" t="n">
        <v>0</v>
      </c>
      <c r="U1106" t="n">
        <v>12774.18</v>
      </c>
      <c r="X1106" t="inlineStr">
        <is>
          <t>aafc-aac</t>
        </is>
      </c>
      <c r="Y1106" t="inlineStr">
        <is>
          <t>Agriculture and Agri-Food Canada | Agriculture et Agroalimentaire Canada</t>
        </is>
      </c>
    </row>
    <row r="1107">
      <c r="A1107" t="inlineStr">
        <is>
          <t>T-2018-Q3-00008</t>
        </is>
      </c>
      <c r="B1107" t="inlineStr">
        <is>
          <t>MPSES</t>
        </is>
      </c>
      <c r="C1107" t="inlineStr">
        <is>
          <t>Special Assistant</t>
        </is>
      </c>
      <c r="D1107" t="inlineStr">
        <is>
          <t>Assistant spécial</t>
        </is>
      </c>
      <c r="E1107" t="inlineStr">
        <is>
          <t>George Summers-Lubar</t>
        </is>
      </c>
      <c r="F1107" t="inlineStr">
        <is>
          <t>To accompany the Minister for announcements and meetings during the Ontario Outreach</t>
        </is>
      </c>
      <c r="G1107" t="inlineStr">
        <is>
          <t>Pour accompagner le ministre pour les annonces et les réunions lors de la campagne de sensibilisation en Ontario</t>
        </is>
      </c>
      <c r="H1107" s="1" t="n">
        <v>43430</v>
      </c>
      <c r="I1107" s="1" t="n">
        <v>43431</v>
      </c>
      <c r="J1107" t="inlineStr">
        <is>
          <t>London, Ontario</t>
        </is>
      </c>
      <c r="K1107" t="inlineStr">
        <is>
          <t>London, Ontario</t>
        </is>
      </c>
      <c r="P1107" t="n">
        <v>651.16</v>
      </c>
      <c r="Q1107" t="n">
        <v>32.94</v>
      </c>
      <c r="R1107" t="n">
        <v>128.1</v>
      </c>
      <c r="S1107" t="n">
        <v>164.8</v>
      </c>
      <c r="T1107" t="n">
        <v>0</v>
      </c>
      <c r="U1107" t="n">
        <v>977</v>
      </c>
      <c r="X1107" t="inlineStr">
        <is>
          <t>aafc-aac</t>
        </is>
      </c>
      <c r="Y1107" t="inlineStr">
        <is>
          <t>Agriculture and Agri-Food Canada | Agriculture et Agroalimentaire Canada</t>
        </is>
      </c>
    </row>
    <row r="1108">
      <c r="A1108" t="inlineStr">
        <is>
          <t>T-2018-Q3-00009</t>
        </is>
      </c>
      <c r="B1108" t="inlineStr">
        <is>
          <t>MPSES</t>
        </is>
      </c>
      <c r="C1108" t="inlineStr">
        <is>
          <t>Director of Communications</t>
        </is>
      </c>
      <c r="D1108" t="inlineStr">
        <is>
          <t>Directrice des communications</t>
        </is>
      </c>
      <c r="E1108" t="inlineStr">
        <is>
          <t>Katie Hawkins</t>
        </is>
      </c>
      <c r="F1108" t="inlineStr">
        <is>
          <t>To accompany the Minister to an announcement, a round-table with stakeholders and to various meetings</t>
        </is>
      </c>
      <c r="G1108" t="inlineStr">
        <is>
          <t>Pour accompagner le ministre à l'annonce, la table ronde avec les parties pertinantes et divers réunions</t>
        </is>
      </c>
      <c r="H1108" s="1" t="n">
        <v>43354</v>
      </c>
      <c r="I1108" s="1" t="n">
        <v>43356</v>
      </c>
      <c r="J1108" t="inlineStr">
        <is>
          <t>Saskatoon, Saskatchewan</t>
        </is>
      </c>
      <c r="K1108" t="inlineStr">
        <is>
          <t>Saskatoon, Saskatchewan</t>
        </is>
      </c>
      <c r="P1108" t="n">
        <v>1230.07</v>
      </c>
      <c r="Q1108" t="n">
        <v>50.61</v>
      </c>
      <c r="R1108" t="n">
        <v>329.28</v>
      </c>
      <c r="S1108" t="n">
        <v>312.3</v>
      </c>
      <c r="T1108" t="n">
        <v>0</v>
      </c>
      <c r="U1108" t="n">
        <v>1922.26</v>
      </c>
      <c r="X1108" t="inlineStr">
        <is>
          <t>aafc-aac</t>
        </is>
      </c>
      <c r="Y1108" t="inlineStr">
        <is>
          <t>Agriculture and Agri-Food Canada | Agriculture et Agroalimentaire Canada</t>
        </is>
      </c>
    </row>
    <row r="1109">
      <c r="A1109" t="inlineStr">
        <is>
          <t>T-2018-Q3-00010</t>
        </is>
      </c>
      <c r="B1109" t="inlineStr">
        <is>
          <t>MPSES</t>
        </is>
      </c>
      <c r="C1109" t="inlineStr">
        <is>
          <t>Director of Communications</t>
        </is>
      </c>
      <c r="D1109" t="inlineStr">
        <is>
          <t>Directrice des communications</t>
        </is>
      </c>
      <c r="E1109" t="inlineStr">
        <is>
          <t>Katie Hawkins</t>
        </is>
      </c>
      <c r="F1109" t="inlineStr">
        <is>
          <t>To accompany the Minister to the Ontario Outreach</t>
        </is>
      </c>
      <c r="G1109" t="inlineStr">
        <is>
          <t>Pour accompagner le ministre  lors de la campagne de sensibilisation en Ontario</t>
        </is>
      </c>
      <c r="H1109" s="1" t="n">
        <v>43362</v>
      </c>
      <c r="I1109" s="1" t="n">
        <v>43364</v>
      </c>
      <c r="J1109" t="inlineStr">
        <is>
          <t>Chatham, Ontario</t>
        </is>
      </c>
      <c r="K1109" t="inlineStr">
        <is>
          <t>Chatham, Ontario</t>
        </is>
      </c>
      <c r="P1109" t="n">
        <v>1070.39</v>
      </c>
      <c r="Q1109" t="n">
        <v>96.90000000000001</v>
      </c>
      <c r="R1109" t="n">
        <v>293.78</v>
      </c>
      <c r="S1109" t="n">
        <v>234.75</v>
      </c>
      <c r="T1109" t="n">
        <v>0</v>
      </c>
      <c r="U1109" t="n">
        <v>1695.82</v>
      </c>
      <c r="X1109" t="inlineStr">
        <is>
          <t>aafc-aac</t>
        </is>
      </c>
      <c r="Y1109" t="inlineStr">
        <is>
          <t>Agriculture and Agri-Food Canada | Agriculture et Agroalimentaire Canada</t>
        </is>
      </c>
    </row>
    <row r="1110">
      <c r="A1110" t="inlineStr">
        <is>
          <t>T-2018-Q3-00011</t>
        </is>
      </c>
      <c r="B1110" t="inlineStr">
        <is>
          <t>MPSES</t>
        </is>
      </c>
      <c r="C1110" t="inlineStr">
        <is>
          <t>Director of Parliamentary Affairs</t>
        </is>
      </c>
      <c r="D1110" t="inlineStr">
        <is>
          <t>Directeur des affaires parlementaires</t>
        </is>
      </c>
      <c r="E1110" t="inlineStr">
        <is>
          <t>Matthew Mann</t>
        </is>
      </c>
      <c r="F1110" t="inlineStr">
        <is>
          <t>To accompany the minister to high-level meetings with European Union Commissioners and representatives of the European Union members states; and trade promotion activities</t>
        </is>
      </c>
      <c r="G1110" t="inlineStr">
        <is>
          <t xml:space="preserve">Pour accompagner le ministre aux réunions de haut niveau avec les commissaires de l'Union européenne et les représentants d'États membres de l'Union européenne; et des activités de promotion commerciale </t>
        </is>
      </c>
      <c r="H1110" s="1" t="n">
        <v>43378</v>
      </c>
      <c r="I1110" s="1" t="n">
        <v>43385</v>
      </c>
      <c r="J1110" t="inlineStr">
        <is>
          <t>Madrid, Spain; Brussels, Belgium; Rome, Italy</t>
        </is>
      </c>
      <c r="K1110" t="inlineStr">
        <is>
          <t>Madrid, Espagne; Bruxelles, Belgique; Rome, Italie</t>
        </is>
      </c>
      <c r="P1110" t="n">
        <v>6546.64</v>
      </c>
      <c r="Q1110" t="n">
        <v>192.57</v>
      </c>
      <c r="R1110" t="n">
        <v>2088.83</v>
      </c>
      <c r="S1110" t="n">
        <v>996.45</v>
      </c>
      <c r="T1110" t="n">
        <v>0</v>
      </c>
      <c r="U1110" t="n">
        <v>9824.49</v>
      </c>
      <c r="X1110" t="inlineStr">
        <is>
          <t>aafc-aac</t>
        </is>
      </c>
      <c r="Y1110" t="inlineStr">
        <is>
          <t>Agriculture and Agri-Food Canada | Agriculture et Agroalimentaire Canada</t>
        </is>
      </c>
    </row>
    <row r="1111">
      <c r="A1111" t="inlineStr">
        <is>
          <t>T-2018-Q3-00012</t>
        </is>
      </c>
      <c r="B1111" t="inlineStr">
        <is>
          <t>MPSES</t>
        </is>
      </c>
      <c r="C1111" t="inlineStr">
        <is>
          <t>Parliamentary Secretary Assistant</t>
        </is>
      </c>
      <c r="D1111" t="inlineStr">
        <is>
          <t>Adjoint du Secrétaire parlementaire</t>
        </is>
      </c>
      <c r="E1111" t="inlineStr">
        <is>
          <t>Michel-Antoine Renaud</t>
        </is>
      </c>
      <c r="F1111" t="inlineStr">
        <is>
          <t>To accompany the Parliamentary Secretary to a meeting with the Prime Minister, the Union des producteurs agricoles and Dairy Farmers of Canada</t>
        </is>
      </c>
      <c r="G1111" t="inlineStr">
        <is>
          <t>Pour accompagner le Secrétaire parlementaire à une réunion avec le Premier ministre, l’Union des producteurs agricoles et les Producteurs de lait du Canada</t>
        </is>
      </c>
      <c r="H1111" s="1" t="n">
        <v>43376</v>
      </c>
      <c r="I1111" s="1" t="n">
        <v>43377</v>
      </c>
      <c r="J1111" t="inlineStr">
        <is>
          <t>Montreal, Quebec</t>
        </is>
      </c>
      <c r="K1111" t="inlineStr">
        <is>
          <t>Montréal, Québec</t>
        </is>
      </c>
      <c r="P1111" t="n">
        <v>0</v>
      </c>
      <c r="Q1111" t="n">
        <v>236.34</v>
      </c>
      <c r="R1111" t="n">
        <v>192.06</v>
      </c>
      <c r="S1111" t="n">
        <v>107.4</v>
      </c>
      <c r="T1111" t="n">
        <v>0</v>
      </c>
      <c r="U1111" t="n">
        <v>535.8</v>
      </c>
      <c r="X1111" t="inlineStr">
        <is>
          <t>aafc-aac</t>
        </is>
      </c>
      <c r="Y1111" t="inlineStr">
        <is>
          <t>Agriculture and Agri-Food Canada | Agriculture et Agroalimentaire Canada</t>
        </is>
      </c>
    </row>
    <row r="1112">
      <c r="A1112" t="inlineStr">
        <is>
          <t>T-2018-Q3-00019</t>
        </is>
      </c>
      <c r="B1112" t="inlineStr">
        <is>
          <t>MPSES</t>
        </is>
      </c>
      <c r="C1112" t="inlineStr">
        <is>
          <t>Student</t>
        </is>
      </c>
      <c r="D1112" t="inlineStr">
        <is>
          <t>Étudiant</t>
        </is>
      </c>
      <c r="E1112" t="inlineStr">
        <is>
          <t>Nick McRoberts</t>
        </is>
      </c>
      <c r="F1112" t="inlineStr">
        <is>
          <t>To accompany the Minister for announcements and meetings</t>
        </is>
      </c>
      <c r="G1112" t="inlineStr">
        <is>
          <t>Pour accompagner le ministre pour les annonces et les réunions</t>
        </is>
      </c>
      <c r="H1112" s="1" t="n">
        <v>43433</v>
      </c>
      <c r="I1112" s="1" t="n">
        <v>43436</v>
      </c>
      <c r="J1112" t="inlineStr">
        <is>
          <t>Charlottetown, Prince Edward Island</t>
        </is>
      </c>
      <c r="K1112" t="inlineStr">
        <is>
          <t>Charottetown, Île-du-Prince-Édouard</t>
        </is>
      </c>
      <c r="P1112" t="n">
        <v>889.99</v>
      </c>
      <c r="Q1112" t="n">
        <v>0</v>
      </c>
      <c r="R1112" t="n">
        <v>0</v>
      </c>
      <c r="S1112" t="n">
        <v>174.7</v>
      </c>
      <c r="T1112" t="n">
        <v>0</v>
      </c>
      <c r="U1112" t="n">
        <v>1064.69</v>
      </c>
      <c r="X1112" t="inlineStr">
        <is>
          <t>aafc-aac</t>
        </is>
      </c>
      <c r="Y1112" t="inlineStr">
        <is>
          <t>Agriculture and Agri-Food Canada | Agriculture et Agroalimentaire Canada</t>
        </is>
      </c>
    </row>
    <row r="1113">
      <c r="A1113" t="inlineStr">
        <is>
          <t>T-2018-Q3-00013</t>
        </is>
      </c>
      <c r="B1113" t="inlineStr">
        <is>
          <t>MPSES</t>
        </is>
      </c>
      <c r="C1113" t="inlineStr">
        <is>
          <t>Parliamentary Secretary Assistant</t>
        </is>
      </c>
      <c r="D1113" t="inlineStr">
        <is>
          <t>Adjoint du Secrétaire parlementaire</t>
        </is>
      </c>
      <c r="E1113" t="inlineStr">
        <is>
          <t>Michel-Antoine Renaud</t>
        </is>
      </c>
      <c r="F1113" t="inlineStr">
        <is>
          <t>To accompany the Parliamentary Secretary to an announcement and reception of the Organic Cluster at the Victoriaville College</t>
        </is>
      </c>
      <c r="G1113" t="inlineStr">
        <is>
          <t>Pour accompagner le Secrétaire parlementaire à une annonce et réception de les groupes du secteur organique au Cégep de Victoriaville</t>
        </is>
      </c>
      <c r="H1113" s="1" t="n">
        <v>43384</v>
      </c>
      <c r="I1113" s="1" t="n">
        <v>43384</v>
      </c>
      <c r="J1113" t="inlineStr">
        <is>
          <t>Victoriaville, Quebec</t>
        </is>
      </c>
      <c r="K1113" t="inlineStr">
        <is>
          <t>Victoriaville, Québec</t>
        </is>
      </c>
      <c r="P1113" t="n">
        <v>0</v>
      </c>
      <c r="Q1113" t="n">
        <v>425.63</v>
      </c>
      <c r="R1113" t="n">
        <v>0</v>
      </c>
      <c r="S1113" t="n">
        <v>19.85</v>
      </c>
      <c r="T1113" t="n">
        <v>0</v>
      </c>
      <c r="U1113" t="n">
        <v>445.48</v>
      </c>
      <c r="X1113" t="inlineStr">
        <is>
          <t>aafc-aac</t>
        </is>
      </c>
      <c r="Y1113" t="inlineStr">
        <is>
          <t>Agriculture and Agri-Food Canada | Agriculture et Agroalimentaire Canada</t>
        </is>
      </c>
    </row>
    <row r="1114">
      <c r="A1114" t="inlineStr">
        <is>
          <t>T-2018-Q3-00014</t>
        </is>
      </c>
      <c r="B1114" t="inlineStr">
        <is>
          <t>MPSES</t>
        </is>
      </c>
      <c r="C1114" t="inlineStr">
        <is>
          <t>Parliamentary Secretary Assistant</t>
        </is>
      </c>
      <c r="D1114" t="inlineStr">
        <is>
          <t>Adjoint du Secrétaire parlementaire</t>
        </is>
      </c>
      <c r="E1114" t="inlineStr">
        <is>
          <t>Michel-Antoine Renaud</t>
        </is>
      </c>
      <c r="F1114" t="inlineStr">
        <is>
          <t>To accompany the Parliamentary Secretary to visit the Chinese Minister of Agriculture in Montreal. To visit the Olymel plant in Saint-Esprit, Quebec and Prograin in Saint-Cesaire, Quebec</t>
        </is>
      </c>
      <c r="G1114" t="inlineStr">
        <is>
          <t>Pour accompagner le Secrétaire parlementaire à visiter le ministre chinois de l'Agriculture à Montréal et visiter l’installation Olymel à Saint-Esprit, Québec et Prograin à Saint-Césaire, Québec</t>
        </is>
      </c>
      <c r="H1114" s="1" t="n">
        <v>43388</v>
      </c>
      <c r="I1114" s="1" t="n">
        <v>43389</v>
      </c>
      <c r="J1114" t="inlineStr">
        <is>
          <t>Montreal, Quebec; Saint-Esprit, Quebec; Saint-Cesaire, Quebec</t>
        </is>
      </c>
      <c r="K1114" t="inlineStr">
        <is>
          <t>Montréal, Québec; Saint-Esprit, Québec; Saint-Césaire, Québec</t>
        </is>
      </c>
      <c r="P1114" t="n">
        <v>0</v>
      </c>
      <c r="Q1114" t="n">
        <v>340.52</v>
      </c>
      <c r="R1114" t="n">
        <v>172.55</v>
      </c>
      <c r="S1114" t="n">
        <v>107.4</v>
      </c>
      <c r="T1114" t="n">
        <v>0</v>
      </c>
      <c r="U1114" t="n">
        <v>620.47</v>
      </c>
      <c r="X1114" t="inlineStr">
        <is>
          <t>aafc-aac</t>
        </is>
      </c>
      <c r="Y1114" t="inlineStr">
        <is>
          <t>Agriculture and Agri-Food Canada | Agriculture et Agroalimentaire Canada</t>
        </is>
      </c>
    </row>
    <row r="1115">
      <c r="A1115" t="inlineStr">
        <is>
          <t>T-2018-Q3-00015</t>
        </is>
      </c>
      <c r="B1115" t="inlineStr">
        <is>
          <t>MPSES</t>
        </is>
      </c>
      <c r="C1115" t="inlineStr">
        <is>
          <t>Parliamentary Secretary Assistant</t>
        </is>
      </c>
      <c r="D1115" t="inlineStr">
        <is>
          <t>Adjoint du Secrétaire parlementaire</t>
        </is>
      </c>
      <c r="E1115" t="inlineStr">
        <is>
          <t>Michel-Antoine Renaud</t>
        </is>
      </c>
      <c r="F1115" t="inlineStr">
        <is>
          <t>To accompany the Parliamentary Secretary to the Food Secure – Reset the Table assembly</t>
        </is>
      </c>
      <c r="G1115" t="inlineStr">
        <is>
          <t>Pour accompagner le Secrétaire parlementaire à l’assemblée Tablée des idées du Réseau pour une alimentation durable</t>
        </is>
      </c>
      <c r="H1115" s="1" t="n">
        <v>43406</v>
      </c>
      <c r="I1115" s="1" t="n">
        <v>43407</v>
      </c>
      <c r="J1115" t="inlineStr">
        <is>
          <t>Montreal, Quebec</t>
        </is>
      </c>
      <c r="K1115" t="inlineStr">
        <is>
          <t>Montréal, Québec</t>
        </is>
      </c>
      <c r="P1115" t="n">
        <v>0</v>
      </c>
      <c r="Q1115" t="n">
        <v>93.33</v>
      </c>
      <c r="R1115" t="n">
        <v>0</v>
      </c>
      <c r="S1115" t="n">
        <v>69.84999999999999</v>
      </c>
      <c r="T1115" t="n">
        <v>0</v>
      </c>
      <c r="U1115" t="n">
        <v>163.18</v>
      </c>
      <c r="X1115" t="inlineStr">
        <is>
          <t>aafc-aac</t>
        </is>
      </c>
      <c r="Y1115" t="inlineStr">
        <is>
          <t>Agriculture and Agri-Food Canada | Agriculture et Agroalimentaire Canada</t>
        </is>
      </c>
    </row>
    <row r="1116">
      <c r="A1116" t="inlineStr">
        <is>
          <t>T-2018-Q3-00016</t>
        </is>
      </c>
      <c r="B1116" t="inlineStr">
        <is>
          <t>MPSES</t>
        </is>
      </c>
      <c r="C1116" t="inlineStr">
        <is>
          <t>Parliamentary Secretary Assistant</t>
        </is>
      </c>
      <c r="D1116" t="inlineStr">
        <is>
          <t>Adjoint du Secrétaire parlementaire</t>
        </is>
      </c>
      <c r="E1116" t="inlineStr">
        <is>
          <t>Michel-Antoine Renaud</t>
        </is>
      </c>
      <c r="F1116" t="inlineStr">
        <is>
          <t>To accompany the Parliamentary Secretary to dairy meetings and Dairy Farm Investment Program announcements</t>
        </is>
      </c>
      <c r="G1116" t="inlineStr">
        <is>
          <t>Pour accompagner le Secrétaire parlementaire à des réunions de laiterie et des annonces du Programme d'investissement pour fermes laitières</t>
        </is>
      </c>
      <c r="H1116" s="1" t="n">
        <v>43415</v>
      </c>
      <c r="I1116" s="1" t="n">
        <v>43417</v>
      </c>
      <c r="J1116" t="inlineStr">
        <is>
          <t>Brome-Missisquoi, Quebec</t>
        </is>
      </c>
      <c r="K1116" t="inlineStr">
        <is>
          <t>Brome-Missisquoi, Québec</t>
        </is>
      </c>
      <c r="P1116" t="n">
        <v>0</v>
      </c>
      <c r="Q1116" t="n">
        <v>171.41</v>
      </c>
      <c r="R1116" t="n">
        <v>0</v>
      </c>
      <c r="S1116" t="n">
        <v>90.09999999999999</v>
      </c>
      <c r="U1116" t="n">
        <v>261.51</v>
      </c>
      <c r="X1116" t="inlineStr">
        <is>
          <t>aafc-aac</t>
        </is>
      </c>
      <c r="Y1116" t="inlineStr">
        <is>
          <t>Agriculture and Agri-Food Canada | Agriculture et Agroalimentaire Canada</t>
        </is>
      </c>
    </row>
    <row r="1117">
      <c r="A1117" t="inlineStr">
        <is>
          <t>T-2018-Q3-00017</t>
        </is>
      </c>
      <c r="B1117" t="inlineStr">
        <is>
          <t>MPSES</t>
        </is>
      </c>
      <c r="C1117" t="inlineStr">
        <is>
          <t>Parliamentary Secretary Assistant</t>
        </is>
      </c>
      <c r="D1117" t="inlineStr">
        <is>
          <t>Adjoint du Secrétaire parlementaire</t>
        </is>
      </c>
      <c r="E1117" t="inlineStr">
        <is>
          <t>Michel-Antoine Renaud</t>
        </is>
      </c>
      <c r="F1117" t="inlineStr">
        <is>
          <t>To accompany the Parliamentary Secretary to Expo-FIHOQ in Drummondville for Ornamental Horticulture Cluster announcements</t>
        </is>
      </c>
      <c r="G1117" t="inlineStr">
        <is>
          <t>Pour accompagner le Secrétaire parlementaire à l'Expo-FIHOQ à Drummondville pour des annonces pour les groupes du secteur de l'horticulture ornementale</t>
        </is>
      </c>
      <c r="H1117" s="1" t="n">
        <v>43419</v>
      </c>
      <c r="I1117" s="1" t="n">
        <v>43420</v>
      </c>
      <c r="J1117" t="inlineStr">
        <is>
          <t>Drummondville, Quebec</t>
        </is>
      </c>
      <c r="K1117" t="inlineStr">
        <is>
          <t>Drummondville, Québec</t>
        </is>
      </c>
      <c r="P1117" t="n">
        <v>0</v>
      </c>
      <c r="Q1117" t="n">
        <v>141.95</v>
      </c>
      <c r="R1117" t="n">
        <v>118.99</v>
      </c>
      <c r="S1117" t="n">
        <v>117.3</v>
      </c>
      <c r="T1117" t="n">
        <v>0</v>
      </c>
      <c r="U1117" t="n">
        <v>378.24</v>
      </c>
      <c r="X1117" t="inlineStr">
        <is>
          <t>aafc-aac</t>
        </is>
      </c>
      <c r="Y1117" t="inlineStr">
        <is>
          <t>Agriculture and Agri-Food Canada | Agriculture et Agroalimentaire Canada</t>
        </is>
      </c>
    </row>
    <row r="1118">
      <c r="A1118" t="inlineStr">
        <is>
          <t>T-2018-Q3-00018</t>
        </is>
      </c>
      <c r="B1118" t="inlineStr">
        <is>
          <t>MPSES</t>
        </is>
      </c>
      <c r="C1118" t="inlineStr">
        <is>
          <t>Student</t>
        </is>
      </c>
      <c r="D1118" t="inlineStr">
        <is>
          <t>Étudiant</t>
        </is>
      </c>
      <c r="E1118" t="inlineStr">
        <is>
          <t>Nick McRoberts</t>
        </is>
      </c>
      <c r="F1118" t="inlineStr">
        <is>
          <t>To support the Minister for announcements and meetings</t>
        </is>
      </c>
      <c r="G1118" t="inlineStr">
        <is>
          <t>Pour soutenir le ministre pour les annonces et les réunions</t>
        </is>
      </c>
      <c r="H1118" s="1" t="n">
        <v>43377</v>
      </c>
      <c r="I1118" s="1" t="n">
        <v>43378</v>
      </c>
      <c r="J1118" t="inlineStr">
        <is>
          <t>Charlottetown, Prince Edward Island</t>
        </is>
      </c>
      <c r="K1118" t="inlineStr">
        <is>
          <t>Charottetown, Île-du-Prince-Édouard</t>
        </is>
      </c>
      <c r="P1118" t="n">
        <v>1012.03</v>
      </c>
      <c r="Q1118" t="n">
        <v>0</v>
      </c>
      <c r="R1118" t="n">
        <v>0</v>
      </c>
      <c r="S1118" t="n">
        <v>124.7</v>
      </c>
      <c r="T1118" t="n">
        <v>0</v>
      </c>
      <c r="U1118" t="n">
        <v>1136.73</v>
      </c>
      <c r="X1118" t="inlineStr">
        <is>
          <t>aafc-aac</t>
        </is>
      </c>
      <c r="Y1118" t="inlineStr">
        <is>
          <t>Agriculture and Agri-Food Canada | Agriculture et Agroalimentaire Canada</t>
        </is>
      </c>
    </row>
    <row r="1119">
      <c r="A1119" t="inlineStr">
        <is>
          <t>T-2018-Q3-00035</t>
        </is>
      </c>
      <c r="B1119" t="inlineStr">
        <is>
          <t>MPSES</t>
        </is>
      </c>
      <c r="C1119" t="inlineStr">
        <is>
          <t>Minister</t>
        </is>
      </c>
      <c r="D1119" t="inlineStr">
        <is>
          <t>Ministre</t>
        </is>
      </c>
      <c r="E1119" t="inlineStr">
        <is>
          <t>Lawrence MacAulay</t>
        </is>
      </c>
      <c r="F1119" t="inlineStr">
        <is>
          <t>To attend the Ministerial Mission to China</t>
        </is>
      </c>
      <c r="G1119" t="inlineStr">
        <is>
          <t>Assister à la mission ministérielle en Chine</t>
        </is>
      </c>
      <c r="H1119" s="1" t="n">
        <v>43406</v>
      </c>
      <c r="I1119" s="1" t="n">
        <v>43419</v>
      </c>
      <c r="J1119" t="inlineStr">
        <is>
          <t>Shanghai, China; Qingdao, China; Beijing, China</t>
        </is>
      </c>
      <c r="K1119" t="inlineStr">
        <is>
          <t>Shanghai, Chine; Qingdao, Chine; Beijing, Chine</t>
        </is>
      </c>
      <c r="P1119" t="n">
        <v>12693.6</v>
      </c>
      <c r="Q1119" t="n">
        <v>0</v>
      </c>
      <c r="R1119" t="n">
        <v>3662.46</v>
      </c>
      <c r="S1119" t="n">
        <v>1797.26</v>
      </c>
      <c r="U1119" t="n">
        <v>18153.32</v>
      </c>
      <c r="X1119" t="inlineStr">
        <is>
          <t>aafc-aac</t>
        </is>
      </c>
      <c r="Y1119" t="inlineStr">
        <is>
          <t>Agriculture and Agri-Food Canada | Agriculture et Agroalimentaire Canada</t>
        </is>
      </c>
    </row>
    <row r="1120">
      <c r="A1120" t="inlineStr">
        <is>
          <t>T-2018-Q3-00021</t>
        </is>
      </c>
      <c r="B1120" t="inlineStr">
        <is>
          <t>MPSES</t>
        </is>
      </c>
      <c r="C1120" t="inlineStr">
        <is>
          <t>Communications Advisor</t>
        </is>
      </c>
      <c r="D1120" t="inlineStr">
        <is>
          <t>Conseiller en communications</t>
        </is>
      </c>
      <c r="E1120" t="inlineStr">
        <is>
          <t>Oliver Anderson</t>
        </is>
      </c>
      <c r="F1120" t="inlineStr">
        <is>
          <t>To accompany the Minister to an announcement, a round-table with stakeholders and to various meetings</t>
        </is>
      </c>
      <c r="G1120" t="inlineStr">
        <is>
          <t>Pour accompagner le ministre à l'annonce, la table ronde avec les parties pertinentes et divers réunions</t>
        </is>
      </c>
      <c r="H1120" s="1" t="n">
        <v>43354</v>
      </c>
      <c r="I1120" s="1" t="n">
        <v>43356</v>
      </c>
      <c r="J1120" t="inlineStr">
        <is>
          <t>Saskatoon, Saskatchewan</t>
        </is>
      </c>
      <c r="K1120" t="inlineStr">
        <is>
          <t>Saskatoon, Saskatchewan</t>
        </is>
      </c>
      <c r="P1120" t="n">
        <v>1054.92</v>
      </c>
      <c r="Q1120" t="n">
        <v>69.68000000000001</v>
      </c>
      <c r="R1120" t="n">
        <v>331.56</v>
      </c>
      <c r="S1120" t="n">
        <v>244.7</v>
      </c>
      <c r="T1120" t="n">
        <v>0</v>
      </c>
      <c r="U1120" t="n">
        <v>1700.86</v>
      </c>
      <c r="X1120" t="inlineStr">
        <is>
          <t>aafc-aac</t>
        </is>
      </c>
      <c r="Y1120" t="inlineStr">
        <is>
          <t>Agriculture and Agri-Food Canada | Agriculture et Agroalimentaire Canada</t>
        </is>
      </c>
    </row>
    <row r="1121">
      <c r="A1121" t="inlineStr">
        <is>
          <t>T-2018-Q3-00022</t>
        </is>
      </c>
      <c r="B1121" t="inlineStr">
        <is>
          <t>MPSES</t>
        </is>
      </c>
      <c r="C1121" t="inlineStr">
        <is>
          <t>Communications Advisor</t>
        </is>
      </c>
      <c r="D1121" t="inlineStr">
        <is>
          <t>Conseiller en communications</t>
        </is>
      </c>
      <c r="E1121" t="inlineStr">
        <is>
          <t>Oliver Anderson</t>
        </is>
      </c>
      <c r="F1121" t="inlineStr">
        <is>
          <t>To accompany the Minister to the Ontario Outreach</t>
        </is>
      </c>
      <c r="G1121" t="inlineStr">
        <is>
          <t>Pour accompagner le ministre  lors de la campagne de sensibilisation en Ontario</t>
        </is>
      </c>
      <c r="H1121" s="1" t="n">
        <v>43362</v>
      </c>
      <c r="I1121" s="1" t="n">
        <v>43364</v>
      </c>
      <c r="J1121" t="inlineStr">
        <is>
          <t>Chatham, Ontario</t>
        </is>
      </c>
      <c r="K1121" t="inlineStr">
        <is>
          <t>Chatham, Ontario</t>
        </is>
      </c>
      <c r="P1121" t="n">
        <v>1039.88</v>
      </c>
      <c r="Q1121" t="n">
        <v>33.41</v>
      </c>
      <c r="R1121" t="n">
        <v>293.78</v>
      </c>
      <c r="S1121" t="n">
        <v>234.75</v>
      </c>
      <c r="T1121" t="n">
        <v>0</v>
      </c>
      <c r="U1121" t="n">
        <v>1601.82</v>
      </c>
      <c r="X1121" t="inlineStr">
        <is>
          <t>aafc-aac</t>
        </is>
      </c>
      <c r="Y1121" t="inlineStr">
        <is>
          <t>Agriculture and Agri-Food Canada | Agriculture et Agroalimentaire Canada</t>
        </is>
      </c>
    </row>
    <row r="1122">
      <c r="A1122" t="inlineStr">
        <is>
          <t>T-2018-Q3-00023</t>
        </is>
      </c>
      <c r="B1122" t="inlineStr">
        <is>
          <t>MPSES</t>
        </is>
      </c>
      <c r="C1122" t="inlineStr">
        <is>
          <t>Communications Advisor</t>
        </is>
      </c>
      <c r="D1122" t="inlineStr">
        <is>
          <t>Conseiller en communications</t>
        </is>
      </c>
      <c r="E1122" t="inlineStr">
        <is>
          <t>Oliver Anderson</t>
        </is>
      </c>
      <c r="F1122" t="inlineStr">
        <is>
          <t>To accompany the Minister for announcements and meetings</t>
        </is>
      </c>
      <c r="G1122" t="inlineStr">
        <is>
          <t>Pour accompagner le ministre pour les annonces et les réunions</t>
        </is>
      </c>
      <c r="H1122" s="1" t="n">
        <v>43377</v>
      </c>
      <c r="I1122" s="1" t="n">
        <v>43378</v>
      </c>
      <c r="J1122" t="inlineStr">
        <is>
          <t>Charlottetown, Prince Edward Island</t>
        </is>
      </c>
      <c r="K1122" t="inlineStr">
        <is>
          <t>Charottetown, Île-du-Prince-Édouard</t>
        </is>
      </c>
      <c r="P1122" t="n">
        <v>929.54</v>
      </c>
      <c r="Q1122" t="n">
        <v>107.93</v>
      </c>
      <c r="R1122" t="n">
        <v>164.65</v>
      </c>
      <c r="S1122" t="n">
        <v>124.7</v>
      </c>
      <c r="T1122" t="n">
        <v>0</v>
      </c>
      <c r="U1122" t="n">
        <v>1326.82</v>
      </c>
      <c r="X1122" t="inlineStr">
        <is>
          <t>aafc-aac</t>
        </is>
      </c>
      <c r="Y1122" t="inlineStr">
        <is>
          <t>Agriculture and Agri-Food Canada | Agriculture et Agroalimentaire Canada</t>
        </is>
      </c>
    </row>
    <row r="1123">
      <c r="A1123" t="inlineStr">
        <is>
          <t>T-2018-Q3-00024</t>
        </is>
      </c>
      <c r="B1123" t="inlineStr">
        <is>
          <t>MPSES</t>
        </is>
      </c>
      <c r="C1123" t="inlineStr">
        <is>
          <t>Communications Advisor</t>
        </is>
      </c>
      <c r="D1123" t="inlineStr">
        <is>
          <t>Conseiller en communications</t>
        </is>
      </c>
      <c r="E1123" t="inlineStr">
        <is>
          <t>Oliver Anderson</t>
        </is>
      </c>
      <c r="F1123" t="inlineStr">
        <is>
          <t>To accompany the Minister for announcements and meetings during the Ontario Outreach</t>
        </is>
      </c>
      <c r="G1123" t="inlineStr">
        <is>
          <t>Pour accompagner le ministre pour les annonces et les réunions lors de la campagne de sensibilisation en Ontario</t>
        </is>
      </c>
      <c r="H1123" s="1" t="n">
        <v>43430</v>
      </c>
      <c r="I1123" s="1" t="n">
        <v>43431</v>
      </c>
      <c r="J1123" t="inlineStr">
        <is>
          <t>London, Ontario</t>
        </is>
      </c>
      <c r="K1123" t="inlineStr">
        <is>
          <t>London, Ontario</t>
        </is>
      </c>
      <c r="P1123" t="n">
        <v>651.16</v>
      </c>
      <c r="Q1123" t="n">
        <v>24.02</v>
      </c>
      <c r="R1123" t="n">
        <v>128.1</v>
      </c>
      <c r="S1123" t="n">
        <v>164.8</v>
      </c>
      <c r="T1123" t="n">
        <v>0</v>
      </c>
      <c r="U1123" t="n">
        <v>968.08</v>
      </c>
      <c r="X1123" t="inlineStr">
        <is>
          <t>aafc-aac</t>
        </is>
      </c>
      <c r="Y1123" t="inlineStr">
        <is>
          <t>Agriculture and Agri-Food Canada | Agriculture et Agroalimentaire Canada</t>
        </is>
      </c>
    </row>
    <row r="1124">
      <c r="A1124" t="inlineStr">
        <is>
          <t>T-2018-Q3-00025</t>
        </is>
      </c>
      <c r="B1124" t="inlineStr">
        <is>
          <t>MPSES</t>
        </is>
      </c>
      <c r="C1124" t="inlineStr">
        <is>
          <t>Communications Advisor</t>
        </is>
      </c>
      <c r="D1124" t="inlineStr">
        <is>
          <t>Conseiller en communications</t>
        </is>
      </c>
      <c r="E1124" t="inlineStr">
        <is>
          <t>Oliver Anderson</t>
        </is>
      </c>
      <c r="F1124" t="inlineStr">
        <is>
          <t>To accompany the Minister for announcements and meetings</t>
        </is>
      </c>
      <c r="G1124" t="inlineStr">
        <is>
          <t>Pour accompagner le ministre pour les annonces et les réunions</t>
        </is>
      </c>
      <c r="H1124" s="1" t="n">
        <v>43433</v>
      </c>
      <c r="I1124" s="1" t="n">
        <v>43434</v>
      </c>
      <c r="J1124" t="inlineStr">
        <is>
          <t>Charlottetown, Prince Edward Island</t>
        </is>
      </c>
      <c r="K1124" t="inlineStr">
        <is>
          <t>Charottetown, Île-du-Prince-Édouard</t>
        </is>
      </c>
      <c r="P1124" t="n">
        <v>892.25</v>
      </c>
      <c r="Q1124" t="n">
        <v>283.38</v>
      </c>
      <c r="R1124" t="n">
        <v>181.23</v>
      </c>
      <c r="S1124" t="n">
        <v>174.7</v>
      </c>
      <c r="T1124" t="n">
        <v>0</v>
      </c>
      <c r="U1124" t="n">
        <v>1531.56</v>
      </c>
      <c r="X1124" t="inlineStr">
        <is>
          <t>aafc-aac</t>
        </is>
      </c>
      <c r="Y1124" t="inlineStr">
        <is>
          <t>Agriculture and Agri-Food Canada | Agriculture et Agroalimentaire Canada</t>
        </is>
      </c>
    </row>
    <row r="1125">
      <c r="A1125" t="inlineStr">
        <is>
          <t>T-2018-Q3-00026</t>
        </is>
      </c>
      <c r="B1125" t="inlineStr">
        <is>
          <t>MPSES</t>
        </is>
      </c>
      <c r="C1125" t="inlineStr">
        <is>
          <t>Chief of Staff</t>
        </is>
      </c>
      <c r="D1125" t="inlineStr">
        <is>
          <t>Chef de cabinet</t>
        </is>
      </c>
      <c r="E1125" t="inlineStr">
        <is>
          <t>Vincent MacNeil</t>
        </is>
      </c>
      <c r="F1125" t="inlineStr">
        <is>
          <t>To accompany the Minister for announcements and meetings</t>
        </is>
      </c>
      <c r="G1125" t="inlineStr">
        <is>
          <t>Pour accompagner le ministre pour les annonces et les réunions</t>
        </is>
      </c>
      <c r="H1125" s="1" t="n">
        <v>43346</v>
      </c>
      <c r="I1125" s="1" t="n">
        <v>43347</v>
      </c>
      <c r="J1125" t="inlineStr">
        <is>
          <t>Winnipeg, Manitoba</t>
        </is>
      </c>
      <c r="K1125" t="inlineStr">
        <is>
          <t>Winnipeg, Mantiboa</t>
        </is>
      </c>
      <c r="P1125" t="n">
        <v>1175.74</v>
      </c>
      <c r="Q1125" t="n">
        <v>22.08</v>
      </c>
      <c r="R1125" t="n">
        <v>201.03</v>
      </c>
      <c r="S1125" t="n">
        <v>169.55</v>
      </c>
      <c r="T1125" t="n">
        <v>0</v>
      </c>
      <c r="U1125" t="n">
        <v>1568.4</v>
      </c>
      <c r="X1125" t="inlineStr">
        <is>
          <t>aafc-aac</t>
        </is>
      </c>
      <c r="Y1125" t="inlineStr">
        <is>
          <t>Agriculture and Agri-Food Canada | Agriculture et Agroalimentaire Canada</t>
        </is>
      </c>
    </row>
    <row r="1126">
      <c r="A1126" t="inlineStr">
        <is>
          <t>T-2018-Q3-00027</t>
        </is>
      </c>
      <c r="B1126" t="inlineStr">
        <is>
          <t>MPSES</t>
        </is>
      </c>
      <c r="C1126" t="inlineStr">
        <is>
          <t>Chief of Staff</t>
        </is>
      </c>
      <c r="D1126" t="inlineStr">
        <is>
          <t>Chef de cabinet</t>
        </is>
      </c>
      <c r="E1126" t="inlineStr">
        <is>
          <t>Vincent MacNeil</t>
        </is>
      </c>
      <c r="F1126" t="inlineStr">
        <is>
          <t>To accompany the Minister to an announcement, a round-table with stakeholders and to various meetings</t>
        </is>
      </c>
      <c r="G1126" t="inlineStr">
        <is>
          <t>Pour accompagner le ministre à l'annonce, la table ronde avec les parties pertinentes et divers réunions</t>
        </is>
      </c>
      <c r="H1126" s="1" t="n">
        <v>43354</v>
      </c>
      <c r="I1126" s="1" t="n">
        <v>43356</v>
      </c>
      <c r="J1126" t="inlineStr">
        <is>
          <t>Saskatoon, Saskatchewan</t>
        </is>
      </c>
      <c r="K1126" t="inlineStr">
        <is>
          <t>Saskatoon, Saskatchewan</t>
        </is>
      </c>
      <c r="P1126" t="n">
        <v>1470.67</v>
      </c>
      <c r="Q1126" t="n">
        <v>65.54000000000001</v>
      </c>
      <c r="R1126" t="n">
        <v>329.28</v>
      </c>
      <c r="S1126" t="n">
        <v>264.15</v>
      </c>
      <c r="T1126" t="n">
        <v>0</v>
      </c>
      <c r="U1126" t="n">
        <v>2129.64</v>
      </c>
      <c r="X1126" t="inlineStr">
        <is>
          <t>aafc-aac</t>
        </is>
      </c>
      <c r="Y1126" t="inlineStr">
        <is>
          <t>Agriculture and Agri-Food Canada | Agriculture et Agroalimentaire Canada</t>
        </is>
      </c>
    </row>
    <row r="1127">
      <c r="A1127" t="inlineStr">
        <is>
          <t>T-2018-Q3-00036</t>
        </is>
      </c>
      <c r="B1127" t="inlineStr">
        <is>
          <t>MPSES</t>
        </is>
      </c>
      <c r="C1127" t="inlineStr">
        <is>
          <t>Minister</t>
        </is>
      </c>
      <c r="D1127" t="inlineStr">
        <is>
          <t>Ministre</t>
        </is>
      </c>
      <c r="E1127" t="inlineStr">
        <is>
          <t>Lawrence MacAulay</t>
        </is>
      </c>
      <c r="F1127" t="inlineStr">
        <is>
          <t>To attend various tours and an announcement during the Ontario Outreach</t>
        </is>
      </c>
      <c r="G1127" t="inlineStr">
        <is>
          <t>Pour assister à divers visites et une annonce lors de la campagne de sensibilisation en Ontario</t>
        </is>
      </c>
      <c r="H1127" s="1" t="n">
        <v>43430</v>
      </c>
      <c r="I1127" s="1" t="n">
        <v>43431</v>
      </c>
      <c r="J1127" t="inlineStr">
        <is>
          <t>London, Ontario</t>
        </is>
      </c>
      <c r="K1127" t="inlineStr">
        <is>
          <t>London, Ontario</t>
        </is>
      </c>
      <c r="P1127" t="n">
        <v>1035.7</v>
      </c>
      <c r="Q1127" t="n">
        <v>0</v>
      </c>
      <c r="R1127" t="n">
        <v>134.41</v>
      </c>
      <c r="S1127" t="n">
        <v>144.55</v>
      </c>
      <c r="T1127" t="n">
        <v>0</v>
      </c>
      <c r="U1127" t="n">
        <v>1314.66</v>
      </c>
      <c r="X1127" t="inlineStr">
        <is>
          <t>aafc-aac</t>
        </is>
      </c>
      <c r="Y1127" t="inlineStr">
        <is>
          <t>Agriculture and Agri-Food Canada | Agriculture et Agroalimentaire Canada</t>
        </is>
      </c>
    </row>
    <row r="1128">
      <c r="A1128" t="inlineStr">
        <is>
          <t>T-2018-Q3-00028</t>
        </is>
      </c>
      <c r="B1128" t="inlineStr">
        <is>
          <t>MPSES</t>
        </is>
      </c>
      <c r="C1128" t="inlineStr">
        <is>
          <t>Chief of Staff</t>
        </is>
      </c>
      <c r="D1128" t="inlineStr">
        <is>
          <t>Chef de cabinet</t>
        </is>
      </c>
      <c r="E1128" t="inlineStr">
        <is>
          <t>Vincent MacNeil</t>
        </is>
      </c>
      <c r="F1128" t="inlineStr">
        <is>
          <t>To accompany the Minister to high-level meetings with European Union Commissioners and representatives of the European Union members states; and trade promotion activities</t>
        </is>
      </c>
      <c r="G1128" t="inlineStr">
        <is>
          <t xml:space="preserve">Pour accompagner le ministre aux réunions de haut niveau avec les commissaires de l'Union européenne et les représentants d'États membres de l'Union européenne; et des activités de promotion commerciale </t>
        </is>
      </c>
      <c r="H1128" s="1" t="n">
        <v>43378</v>
      </c>
      <c r="I1128" s="1" t="n">
        <v>43385</v>
      </c>
      <c r="J1128" t="inlineStr">
        <is>
          <t>Madrid, Spain; Brussels, Belgium; Rome, Italy</t>
        </is>
      </c>
      <c r="K1128" t="inlineStr">
        <is>
          <t>Madrid, Espagne; Bruxelles, Belgique; Rome, Italie</t>
        </is>
      </c>
      <c r="P1128" t="n">
        <v>6546.64</v>
      </c>
      <c r="Q1128" t="n">
        <v>190.61</v>
      </c>
      <c r="R1128" t="n">
        <v>2067.67</v>
      </c>
      <c r="S1128" t="n">
        <v>996.45</v>
      </c>
      <c r="T1128" t="n">
        <v>0</v>
      </c>
      <c r="U1128" t="n">
        <v>9801.370000000001</v>
      </c>
      <c r="X1128" t="inlineStr">
        <is>
          <t>aafc-aac</t>
        </is>
      </c>
      <c r="Y1128" t="inlineStr">
        <is>
          <t>Agriculture and Agri-Food Canada | Agriculture et Agroalimentaire Canada</t>
        </is>
      </c>
    </row>
    <row r="1129">
      <c r="A1129" t="inlineStr">
        <is>
          <t>T-2018-Q3-00029</t>
        </is>
      </c>
      <c r="B1129" t="inlineStr">
        <is>
          <t>MPSES</t>
        </is>
      </c>
      <c r="C1129" t="inlineStr">
        <is>
          <t>Chief of Staff</t>
        </is>
      </c>
      <c r="D1129" t="inlineStr">
        <is>
          <t>Chef de cabinet</t>
        </is>
      </c>
      <c r="E1129" t="inlineStr">
        <is>
          <t>Vincent MacNeil</t>
        </is>
      </c>
      <c r="F1129" t="inlineStr">
        <is>
          <t>To support and attend various meetings with the Minister</t>
        </is>
      </c>
      <c r="G1129" t="inlineStr">
        <is>
          <t>Pour assister et soutenir le ministre  à divers réunions</t>
        </is>
      </c>
      <c r="H1129" s="1" t="n">
        <v>43392</v>
      </c>
      <c r="I1129" s="1" t="n">
        <v>43394</v>
      </c>
      <c r="J1129" t="inlineStr">
        <is>
          <t>Charlottetown, Prince Edward Island</t>
        </is>
      </c>
      <c r="K1129" t="inlineStr">
        <is>
          <t>Charottetown, Île-du-Prince-Édouard</t>
        </is>
      </c>
      <c r="P1129" t="n">
        <v>1066.27</v>
      </c>
      <c r="S1129" t="n">
        <v>107.4</v>
      </c>
      <c r="T1129" t="n">
        <v>0</v>
      </c>
      <c r="U1129" t="n">
        <v>1173.67</v>
      </c>
      <c r="X1129" t="inlineStr">
        <is>
          <t>aafc-aac</t>
        </is>
      </c>
      <c r="Y1129" t="inlineStr">
        <is>
          <t>Agriculture and Agri-Food Canada | Agriculture et Agroalimentaire Canada</t>
        </is>
      </c>
    </row>
    <row r="1130">
      <c r="A1130" t="inlineStr">
        <is>
          <t>T-2018-Q3-00030</t>
        </is>
      </c>
      <c r="B1130" t="inlineStr">
        <is>
          <t>MPSES</t>
        </is>
      </c>
      <c r="C1130" t="inlineStr">
        <is>
          <t>Chief of Staff</t>
        </is>
      </c>
      <c r="D1130" t="inlineStr">
        <is>
          <t>Chef de cabinet</t>
        </is>
      </c>
      <c r="E1130" t="inlineStr">
        <is>
          <t>Vincent MacNeil</t>
        </is>
      </c>
      <c r="F1130" t="inlineStr">
        <is>
          <t>To accompany the Minister on the Ministerial Mission to China</t>
        </is>
      </c>
      <c r="G1130" t="inlineStr">
        <is>
          <t>Pour accompagner le ministre à la mission ministérielle en Chine.</t>
        </is>
      </c>
      <c r="H1130" s="1" t="n">
        <v>43406</v>
      </c>
      <c r="I1130" s="1" t="n">
        <v>43419</v>
      </c>
      <c r="J1130" t="inlineStr">
        <is>
          <t>Shanghai, China; Qingdao, China; Beijing, China</t>
        </is>
      </c>
      <c r="K1130" t="inlineStr">
        <is>
          <t>Shanghai, Chine; Qingdao, Chine; Beijing, Chine</t>
        </is>
      </c>
      <c r="P1130" t="n">
        <v>7089.58</v>
      </c>
      <c r="Q1130" t="n">
        <v>82.09</v>
      </c>
      <c r="R1130" t="n">
        <v>3751.56</v>
      </c>
      <c r="S1130" t="n">
        <v>1993.16</v>
      </c>
      <c r="T1130" t="n">
        <v>0</v>
      </c>
      <c r="U1130" t="n">
        <v>12916.39</v>
      </c>
      <c r="X1130" t="inlineStr">
        <is>
          <t>aafc-aac</t>
        </is>
      </c>
      <c r="Y1130" t="inlineStr">
        <is>
          <t>Agriculture and Agri-Food Canada | Agriculture et Agroalimentaire Canada</t>
        </is>
      </c>
    </row>
    <row r="1131">
      <c r="A1131" t="inlineStr">
        <is>
          <t>T-2018-Q3-00031</t>
        </is>
      </c>
      <c r="B1131" t="inlineStr">
        <is>
          <t>MPSES</t>
        </is>
      </c>
      <c r="C1131" t="inlineStr">
        <is>
          <t>Chief of Staff</t>
        </is>
      </c>
      <c r="D1131" t="inlineStr">
        <is>
          <t>Chef de cabinet</t>
        </is>
      </c>
      <c r="E1131" t="inlineStr">
        <is>
          <t>Vincent MacNeil</t>
        </is>
      </c>
      <c r="F1131" t="inlineStr">
        <is>
          <t xml:space="preserve">To attend meetings on the Minister's behalf with Stakeholders </t>
        </is>
      </c>
      <c r="G1131" t="inlineStr">
        <is>
          <t>Pour assister à des réunions avec les intervenants au nom du ministre</t>
        </is>
      </c>
      <c r="H1131" s="1" t="n">
        <v>43429</v>
      </c>
      <c r="I1131" s="1" t="n">
        <v>43430</v>
      </c>
      <c r="J1131" t="inlineStr">
        <is>
          <t>Charlottetown, Prince Edward Island</t>
        </is>
      </c>
      <c r="K1131" t="inlineStr">
        <is>
          <t>Charottetown, Île-du-Prince-Édouard</t>
        </is>
      </c>
      <c r="P1131" t="n">
        <v>1264.92</v>
      </c>
      <c r="Q1131" t="n">
        <v>99.84999999999999</v>
      </c>
      <c r="R1131" t="n">
        <v>0</v>
      </c>
      <c r="S1131" t="n">
        <v>214.8</v>
      </c>
      <c r="T1131" t="n">
        <v>0</v>
      </c>
      <c r="U1131" t="n">
        <v>1579.57</v>
      </c>
      <c r="X1131" t="inlineStr">
        <is>
          <t>aafc-aac</t>
        </is>
      </c>
      <c r="Y1131" t="inlineStr">
        <is>
          <t>Agriculture and Agri-Food Canada | Agriculture et Agroalimentaire Canada</t>
        </is>
      </c>
    </row>
    <row r="1132">
      <c r="A1132" t="inlineStr">
        <is>
          <t>T-2018-Q3-00032</t>
        </is>
      </c>
      <c r="B1132" t="inlineStr">
        <is>
          <t>MPSES</t>
        </is>
      </c>
      <c r="C1132" t="inlineStr">
        <is>
          <t>Minister</t>
        </is>
      </c>
      <c r="D1132" t="inlineStr">
        <is>
          <t>Ministre</t>
        </is>
      </c>
      <c r="E1132" t="inlineStr">
        <is>
          <t>Lawrence MacAulay</t>
        </is>
      </c>
      <c r="F1132" t="inlineStr">
        <is>
          <t>For announcements and meetings</t>
        </is>
      </c>
      <c r="G1132" t="inlineStr">
        <is>
          <t>Pour les annonces et les réunions</t>
        </is>
      </c>
      <c r="H1132" s="1" t="n">
        <v>43346</v>
      </c>
      <c r="I1132" s="1" t="n">
        <v>43347</v>
      </c>
      <c r="J1132" t="inlineStr">
        <is>
          <t>Winnipeg, Manitoba</t>
        </is>
      </c>
      <c r="K1132" t="inlineStr">
        <is>
          <t>Winnipeg, Manitoba</t>
        </is>
      </c>
      <c r="P1132" t="n">
        <v>1097.77</v>
      </c>
      <c r="Q1132" t="n">
        <v>0</v>
      </c>
      <c r="R1132" t="n">
        <v>201.03</v>
      </c>
      <c r="S1132" t="n">
        <v>169.55</v>
      </c>
      <c r="T1132" t="n">
        <v>0</v>
      </c>
      <c r="U1132" t="n">
        <v>1468.35</v>
      </c>
      <c r="X1132" t="inlineStr">
        <is>
          <t>aafc-aac</t>
        </is>
      </c>
      <c r="Y1132" t="inlineStr">
        <is>
          <t>Agriculture and Agri-Food Canada | Agriculture et Agroalimentaire Canada</t>
        </is>
      </c>
    </row>
    <row r="1133">
      <c r="A1133" t="inlineStr">
        <is>
          <t>T-2018-Q3-00033</t>
        </is>
      </c>
      <c r="B1133" t="inlineStr">
        <is>
          <t>MPSES</t>
        </is>
      </c>
      <c r="C1133" t="inlineStr">
        <is>
          <t>Minister</t>
        </is>
      </c>
      <c r="D1133" t="inlineStr">
        <is>
          <t>Ministre</t>
        </is>
      </c>
      <c r="E1133" t="inlineStr">
        <is>
          <t>Lawrence MacAulay</t>
        </is>
      </c>
      <c r="F1133" t="inlineStr">
        <is>
          <t>Ontario Outreach, attend the International Plowing Match, various farm tours and an announcement</t>
        </is>
      </c>
      <c r="G1133" t="inlineStr">
        <is>
          <t>Campagne de sensibilisation en Ontario, assister au championnat international de labour, divers visites de fermes et une annonce</t>
        </is>
      </c>
      <c r="H1133" s="1" t="n">
        <v>43362</v>
      </c>
      <c r="I1133" s="1" t="n">
        <v>43364</v>
      </c>
      <c r="J1133" t="inlineStr">
        <is>
          <t>Chatham, Ontario</t>
        </is>
      </c>
      <c r="K1133" t="inlineStr">
        <is>
          <t>Chatham, Ontario</t>
        </is>
      </c>
      <c r="P1133" t="n">
        <v>1293</v>
      </c>
      <c r="Q1133" t="n">
        <v>24.77</v>
      </c>
      <c r="R1133" t="n">
        <v>293.78</v>
      </c>
      <c r="S1133" t="n">
        <v>234.75</v>
      </c>
      <c r="T1133" t="n">
        <v>0</v>
      </c>
      <c r="U1133" t="n">
        <v>1846.3</v>
      </c>
      <c r="X1133" t="inlineStr">
        <is>
          <t>aafc-aac</t>
        </is>
      </c>
      <c r="Y1133" t="inlineStr">
        <is>
          <t>Agriculture and Agri-Food Canada | Agriculture et Agroalimentaire Canada</t>
        </is>
      </c>
    </row>
    <row r="1134">
      <c r="A1134" t="inlineStr">
        <is>
          <t>T-2018-Q3-00034</t>
        </is>
      </c>
      <c r="B1134" t="inlineStr">
        <is>
          <t>MPSES</t>
        </is>
      </c>
      <c r="C1134" t="inlineStr">
        <is>
          <t>Minister</t>
        </is>
      </c>
      <c r="D1134" t="inlineStr">
        <is>
          <t>Ministre</t>
        </is>
      </c>
      <c r="E1134" t="inlineStr">
        <is>
          <t>Lawrence MacAulay</t>
        </is>
      </c>
      <c r="F1134" t="inlineStr">
        <is>
          <t>To attend high-level meetings with European Union Commissioners and representatives of European members states; and trade promotion activities</t>
        </is>
      </c>
      <c r="G1134" t="inlineStr">
        <is>
          <t xml:space="preserve">Assister aux réunions de haut niveau avec les commissaires de l'Union européenne et les représentants d'États membres de l'Union européenne; et des activités de promotion commerciale </t>
        </is>
      </c>
      <c r="H1134" s="1" t="n">
        <v>43379</v>
      </c>
      <c r="I1134" s="1" t="n">
        <v>43385</v>
      </c>
      <c r="J1134" t="inlineStr">
        <is>
          <t>Madrid, Spain; Brussels, Belgium; Rome, Italy</t>
        </is>
      </c>
      <c r="K1134" t="inlineStr">
        <is>
          <t>Madrid, Espagne; Bruxelles, Belgique; Rome, Italie</t>
        </is>
      </c>
      <c r="P1134" t="n">
        <v>10750.44</v>
      </c>
      <c r="Q1134" t="n">
        <v>147.62</v>
      </c>
      <c r="R1134" t="n">
        <v>2032.57</v>
      </c>
      <c r="S1134" t="n">
        <v>996.45</v>
      </c>
      <c r="T1134" t="n">
        <v>0</v>
      </c>
      <c r="U1134" t="n">
        <v>13927.08</v>
      </c>
      <c r="X1134" t="inlineStr">
        <is>
          <t>aafc-aac</t>
        </is>
      </c>
      <c r="Y1134" t="inlineStr">
        <is>
          <t>Agriculture and Agri-Food Canada | Agriculture et Agroalimentaire Canada</t>
        </is>
      </c>
    </row>
    <row r="1135">
      <c r="A1135" t="inlineStr">
        <is>
          <t>T-2018-Q3-00037</t>
        </is>
      </c>
      <c r="B1135" t="inlineStr">
        <is>
          <t>SLE</t>
        </is>
      </c>
      <c r="C1135" t="inlineStr">
        <is>
          <t>Associate Deputy Minister</t>
        </is>
      </c>
      <c r="D1135" t="inlineStr">
        <is>
          <t>Sous-ministre déléguée</t>
        </is>
      </c>
      <c r="E1135" t="inlineStr">
        <is>
          <t>Annette Gibbons</t>
        </is>
      </c>
      <c r="F1135" t="inlineStr">
        <is>
          <t>To attend key Stakeholder engagement meetings</t>
        </is>
      </c>
      <c r="G1135" t="inlineStr">
        <is>
          <t>Pour assiter à des réunions d'engement avec des intervenants clés</t>
        </is>
      </c>
      <c r="H1135" s="1" t="n">
        <v>43432</v>
      </c>
      <c r="I1135" s="1" t="n">
        <v>43432</v>
      </c>
      <c r="J1135" t="inlineStr">
        <is>
          <t>Montreal, Quebec</t>
        </is>
      </c>
      <c r="K1135" t="inlineStr">
        <is>
          <t>Montréal, Québec</t>
        </is>
      </c>
      <c r="Q1135" t="n">
        <v>160.06</v>
      </c>
      <c r="R1135" t="n">
        <v>0</v>
      </c>
      <c r="S1135" t="n">
        <v>40.1</v>
      </c>
      <c r="T1135" t="n">
        <v>0</v>
      </c>
      <c r="U1135" t="n">
        <v>200.16</v>
      </c>
      <c r="X1135" t="inlineStr">
        <is>
          <t>aafc-aac</t>
        </is>
      </c>
      <c r="Y1135" t="inlineStr">
        <is>
          <t>Agriculture and Agri-Food Canada | Agriculture et Agroalimentaire Canada</t>
        </is>
      </c>
    </row>
    <row r="1136">
      <c r="A1136" t="inlineStr">
        <is>
          <t>T-2018-Q3-00038</t>
        </is>
      </c>
      <c r="B1136" t="inlineStr">
        <is>
          <t>SLE</t>
        </is>
      </c>
      <c r="C1136" t="inlineStr">
        <is>
          <t>Deputy Minister</t>
        </is>
      </c>
      <c r="D1136" t="inlineStr">
        <is>
          <t>Sous-Ministre</t>
        </is>
      </c>
      <c r="E1136" t="inlineStr">
        <is>
          <t>Chris Forbes</t>
        </is>
      </c>
      <c r="F1136" t="inlineStr">
        <is>
          <t>To attend meetings during Quebec Outreach</t>
        </is>
      </c>
      <c r="G1136" t="inlineStr">
        <is>
          <t>Pour assister à des réunions durant la campagne de sensibilisation au Québec</t>
        </is>
      </c>
      <c r="H1136" s="1" t="n">
        <v>43364</v>
      </c>
      <c r="I1136" s="1" t="n">
        <v>43364</v>
      </c>
      <c r="J1136" t="inlineStr">
        <is>
          <t>Montreal, Quebec</t>
        </is>
      </c>
      <c r="K1136" t="inlineStr">
        <is>
          <t>Montréal, Québec</t>
        </is>
      </c>
      <c r="P1136" t="n">
        <v>0</v>
      </c>
      <c r="Q1136" t="n">
        <v>180.58</v>
      </c>
      <c r="R1136" t="n">
        <v>0</v>
      </c>
      <c r="S1136" t="n">
        <v>0</v>
      </c>
      <c r="T1136" t="n">
        <v>0</v>
      </c>
      <c r="U1136" t="n">
        <v>180.58</v>
      </c>
      <c r="X1136" t="inlineStr">
        <is>
          <t>aafc-aac</t>
        </is>
      </c>
      <c r="Y1136" t="inlineStr">
        <is>
          <t>Agriculture and Agri-Food Canada | Agriculture et Agroalimentaire Canada</t>
        </is>
      </c>
    </row>
    <row r="1137">
      <c r="A1137" t="inlineStr">
        <is>
          <t>T-2018-Q3-00039</t>
        </is>
      </c>
      <c r="B1137" t="inlineStr">
        <is>
          <t>SLE</t>
        </is>
      </c>
      <c r="C1137" t="inlineStr">
        <is>
          <t>Deputy Minister</t>
        </is>
      </c>
      <c r="D1137" t="inlineStr">
        <is>
          <t>Sous-Ministre</t>
        </is>
      </c>
      <c r="E1137" t="inlineStr">
        <is>
          <t>Chris Forbes</t>
        </is>
      </c>
      <c r="F1137" t="inlineStr">
        <is>
          <t>To attend key Stakeholder engagement meetings</t>
        </is>
      </c>
      <c r="G1137" t="inlineStr">
        <is>
          <t>Pour assister à des réunions d'engagement avec des intervenants clés</t>
        </is>
      </c>
      <c r="H1137" s="1" t="n">
        <v>43375</v>
      </c>
      <c r="I1137" s="1" t="n">
        <v>43377</v>
      </c>
      <c r="J1137" t="inlineStr">
        <is>
          <t>Winnipeg, Manitoba</t>
        </is>
      </c>
      <c r="K1137" t="inlineStr">
        <is>
          <t>Winnipeg, Manitoba</t>
        </is>
      </c>
      <c r="P1137" t="n">
        <v>606.62</v>
      </c>
      <c r="Q1137" t="n">
        <v>46.49</v>
      </c>
      <c r="R1137" t="n">
        <v>399.68</v>
      </c>
      <c r="S1137" t="n">
        <v>140.5</v>
      </c>
      <c r="T1137" t="n">
        <v>0</v>
      </c>
      <c r="U1137" t="n">
        <v>1193.29</v>
      </c>
      <c r="X1137" t="inlineStr">
        <is>
          <t>aafc-aac</t>
        </is>
      </c>
      <c r="Y1137" t="inlineStr">
        <is>
          <t>Agriculture and Agri-Food Canada | Agriculture et Agroalimentaire Canada</t>
        </is>
      </c>
    </row>
    <row r="1138">
      <c r="A1138" t="inlineStr">
        <is>
          <t>T-2018-Q3-00040</t>
        </is>
      </c>
      <c r="B1138" t="inlineStr">
        <is>
          <t>SLE</t>
        </is>
      </c>
      <c r="C1138" t="inlineStr">
        <is>
          <t>Deputy Minister</t>
        </is>
      </c>
      <c r="D1138" t="inlineStr">
        <is>
          <t>Sous-Ministre</t>
        </is>
      </c>
      <c r="E1138" t="inlineStr">
        <is>
          <t>Chris Forbes</t>
        </is>
      </c>
      <c r="F1138" t="inlineStr">
        <is>
          <t>To accompany the Minister to high-level meetings with European Union Commissioners and representatives of the European Union members states; and trade promotion activities</t>
        </is>
      </c>
      <c r="G1138" t="inlineStr">
        <is>
          <t xml:space="preserve">Pour accompagner le ministre aux réunions de haut niveau avec les commissaires de l'Union européenne et les représentants d'États membres de l'Union européenne; et des activités de promotion commerciale </t>
        </is>
      </c>
      <c r="H1138" s="1" t="n">
        <v>43379</v>
      </c>
      <c r="I1138" s="1" t="n">
        <v>43385</v>
      </c>
      <c r="J1138" t="inlineStr">
        <is>
          <t>Madrid, Spain; Brussels, Belgium; Rome, Italy</t>
        </is>
      </c>
      <c r="K1138" t="inlineStr">
        <is>
          <t>Madrid, Espagne; Bruxelles, Belgique; Rome, Italie</t>
        </is>
      </c>
      <c r="P1138" t="n">
        <v>11467.24</v>
      </c>
      <c r="Q1138" t="n">
        <v>229.25</v>
      </c>
      <c r="R1138" t="n">
        <v>2026.06</v>
      </c>
      <c r="S1138" t="n">
        <v>630.29</v>
      </c>
      <c r="T1138" t="n">
        <v>0</v>
      </c>
      <c r="U1138" t="n">
        <v>14352.84</v>
      </c>
      <c r="X1138" t="inlineStr">
        <is>
          <t>aafc-aac</t>
        </is>
      </c>
      <c r="Y1138" t="inlineStr">
        <is>
          <t>Agriculture and Agri-Food Canada | Agriculture et Agroalimentaire Canada</t>
        </is>
      </c>
    </row>
    <row r="1139">
      <c r="A1139" t="inlineStr">
        <is>
          <t>T-2018-Q3-00041</t>
        </is>
      </c>
      <c r="B1139" t="inlineStr">
        <is>
          <t>SLE</t>
        </is>
      </c>
      <c r="C1139" t="inlineStr">
        <is>
          <t>Deputy Minister</t>
        </is>
      </c>
      <c r="D1139" t="inlineStr">
        <is>
          <t>Sous-Ministre</t>
        </is>
      </c>
      <c r="E1139" t="inlineStr">
        <is>
          <t>Chris Forbes</t>
        </is>
      </c>
      <c r="F1139" t="inlineStr">
        <is>
          <t>To accompany the Minister on the Ministerial Mission to China</t>
        </is>
      </c>
      <c r="G1139" t="inlineStr">
        <is>
          <t>Pour accompagner le ministre à la mission ministérielle en Chine</t>
        </is>
      </c>
      <c r="H1139" s="1" t="n">
        <v>43415</v>
      </c>
      <c r="I1139" s="1" t="n">
        <v>43420</v>
      </c>
      <c r="J1139" t="inlineStr">
        <is>
          <t>Shanghai, China; Beijing, China</t>
        </is>
      </c>
      <c r="K1139" t="inlineStr">
        <is>
          <t>Shanghai, Chine; Beijing, Chine</t>
        </is>
      </c>
      <c r="P1139" t="n">
        <v>5945.52</v>
      </c>
      <c r="Q1139" t="n">
        <v>0</v>
      </c>
      <c r="R1139" t="n">
        <v>1511.78</v>
      </c>
      <c r="S1139" t="n">
        <v>277.55</v>
      </c>
      <c r="T1139" t="n">
        <v>0</v>
      </c>
      <c r="U1139" t="n">
        <v>7734.85</v>
      </c>
      <c r="X1139" t="inlineStr">
        <is>
          <t>aafc-aac</t>
        </is>
      </c>
      <c r="Y1139" t="inlineStr">
        <is>
          <t>Agriculture and Agri-Food Canada | Agriculture et Agroalimentaire Canada</t>
        </is>
      </c>
    </row>
    <row r="1140">
      <c r="A1140" t="inlineStr">
        <is>
          <t>T-2018-Q3-00042</t>
        </is>
      </c>
      <c r="B1140" t="inlineStr">
        <is>
          <t>SLE</t>
        </is>
      </c>
      <c r="C1140" t="inlineStr">
        <is>
          <t>Associate Assistant Deputy Minister, Science and Techonologie Branch</t>
        </is>
      </c>
      <c r="D1140" t="inlineStr">
        <is>
          <t>Sous-ministre adjoint délégué, Direction générale des sciences et de la technologie</t>
        </is>
      </c>
      <c r="E1140" t="inlineStr">
        <is>
          <t>Gilles Saindon</t>
        </is>
      </c>
      <c r="F1140" t="inlineStr">
        <is>
          <t>Outreach at the Research and Development Center, all staff meetings and meet with industry</t>
        </is>
      </c>
      <c r="G1140" t="inlineStr">
        <is>
          <t xml:space="preserve">Visite de sensibilisation au Centre de recherche et développement, réunions avec tous le personnel et rencontres avec l'industrie </t>
        </is>
      </c>
      <c r="H1140" s="1" t="n">
        <v>43354</v>
      </c>
      <c r="I1140" s="1" t="n">
        <v>43356</v>
      </c>
      <c r="J1140" t="inlineStr">
        <is>
          <t>Kentville, Nova Scotia</t>
        </is>
      </c>
      <c r="K1140" t="inlineStr">
        <is>
          <t>Kentville, Nouvelle-Écosse</t>
        </is>
      </c>
      <c r="P1140" t="n">
        <v>469.79</v>
      </c>
      <c r="Q1140" t="n">
        <v>257.25</v>
      </c>
      <c r="R1140" t="n">
        <v>329.13</v>
      </c>
      <c r="S1140" t="n">
        <v>234.75</v>
      </c>
      <c r="U1140" t="n">
        <v>1290.92</v>
      </c>
      <c r="X1140" t="inlineStr">
        <is>
          <t>aafc-aac</t>
        </is>
      </c>
      <c r="Y1140" t="inlineStr">
        <is>
          <t>Agriculture and Agri-Food Canada | Agriculture et Agroalimentaire Canada</t>
        </is>
      </c>
    </row>
    <row r="1141">
      <c r="A1141" t="inlineStr">
        <is>
          <t>T-2018-Q3-00043</t>
        </is>
      </c>
      <c r="B1141" t="inlineStr">
        <is>
          <t>SLE</t>
        </is>
      </c>
      <c r="C1141" t="inlineStr">
        <is>
          <t>Associate Assistant Deputy Minister, Science and Techonologie Branch</t>
        </is>
      </c>
      <c r="D1141" t="inlineStr">
        <is>
          <t>Sous-ministre adjoint délégué, Direction générale des sciences et de la technologie</t>
        </is>
      </c>
      <c r="E1141" t="inlineStr">
        <is>
          <t>Gilles Saindon</t>
        </is>
      </c>
      <c r="F1141" t="inlineStr">
        <is>
          <t>Branch Executive Committee Face to Face meeting and outreach at the Research and Development Center, all staff meeting</t>
        </is>
      </c>
      <c r="G1141" t="inlineStr">
        <is>
          <t xml:space="preserve">Réunion du Comité exécutif en personne et visite de sensibilisation au Centre de recherche et développement, réunions avec tous le personnel </t>
        </is>
      </c>
      <c r="H1141" s="1" t="n">
        <v>43361</v>
      </c>
      <c r="I1141" s="1" t="n">
        <v>43363</v>
      </c>
      <c r="J1141" t="inlineStr">
        <is>
          <t>Brandon, Manitoba</t>
        </is>
      </c>
      <c r="K1141" t="inlineStr">
        <is>
          <t>Brandon, Manitoba</t>
        </is>
      </c>
      <c r="P1141" t="n">
        <v>615.26</v>
      </c>
      <c r="Q1141" t="n">
        <v>203.49</v>
      </c>
      <c r="R1141" t="n">
        <v>221</v>
      </c>
      <c r="S1141" t="n">
        <v>234.75</v>
      </c>
      <c r="U1141" t="n">
        <v>1274.5</v>
      </c>
      <c r="X1141" t="inlineStr">
        <is>
          <t>aafc-aac</t>
        </is>
      </c>
      <c r="Y1141" t="inlineStr">
        <is>
          <t>Agriculture and Agri-Food Canada | Agriculture et Agroalimentaire Canada</t>
        </is>
      </c>
    </row>
    <row r="1142">
      <c r="A1142" t="inlineStr">
        <is>
          <t>T-2018-Q3-00044</t>
        </is>
      </c>
      <c r="B1142" t="inlineStr">
        <is>
          <t>SLE</t>
        </is>
      </c>
      <c r="C1142" t="inlineStr">
        <is>
          <t>Associate Assistant Deputy Minister, Science and Techonologie Branch</t>
        </is>
      </c>
      <c r="D1142" t="inlineStr">
        <is>
          <t>Sous-ministre adjoint délégué, Direction générale des sciences et de la technologie</t>
        </is>
      </c>
      <c r="E1142" t="inlineStr">
        <is>
          <t>Gilles Saindon</t>
        </is>
      </c>
      <c r="F1142" t="inlineStr">
        <is>
          <t>Outreach at the Research and Development Center, all staff meetings and meet with industry</t>
        </is>
      </c>
      <c r="G1142" t="inlineStr">
        <is>
          <t xml:space="preserve">Visite de sensibilisation au Centre de recherche et développement, réunions avec tous le personnel et rencontres avec l'industrie </t>
        </is>
      </c>
      <c r="H1142" s="1" t="n">
        <v>43368</v>
      </c>
      <c r="I1142" s="1" t="n">
        <v>43371</v>
      </c>
      <c r="J1142" t="inlineStr">
        <is>
          <t>Lethbridge and Calgary, Alberta</t>
        </is>
      </c>
      <c r="K1142" t="inlineStr">
        <is>
          <t>Lethbridge et Calgary, Alberta</t>
        </is>
      </c>
      <c r="P1142" t="n">
        <v>1339.66</v>
      </c>
      <c r="Q1142" t="n">
        <v>94</v>
      </c>
      <c r="R1142" t="n">
        <v>494.7</v>
      </c>
      <c r="S1142" t="n">
        <v>309.9</v>
      </c>
      <c r="U1142" t="n">
        <v>2238.26</v>
      </c>
      <c r="X1142" t="inlineStr">
        <is>
          <t>aafc-aac</t>
        </is>
      </c>
      <c r="Y1142" t="inlineStr">
        <is>
          <t>Agriculture and Agri-Food Canada | Agriculture et Agroalimentaire Canada</t>
        </is>
      </c>
    </row>
    <row r="1143">
      <c r="A1143" t="inlineStr">
        <is>
          <t>T-2018-Q3-00045</t>
        </is>
      </c>
      <c r="B1143" t="inlineStr">
        <is>
          <t>SLE</t>
        </is>
      </c>
      <c r="C1143" t="inlineStr">
        <is>
          <t>Associate Assistant Deputy Minister, Science and Techonologie Branch</t>
        </is>
      </c>
      <c r="D1143" t="inlineStr">
        <is>
          <t>Sous-ministre adjoint délégué, Direction générale des sciences et de la technologie</t>
        </is>
      </c>
      <c r="E1143" t="inlineStr">
        <is>
          <t>Gilles Saindon</t>
        </is>
      </c>
      <c r="F1143" t="inlineStr">
        <is>
          <t xml:space="preserve">Attend  the Cooperative Program in Agricultural Research and Technology for the Northern Region (PROCINORTE) Board of Directos meetings </t>
        </is>
      </c>
      <c r="G1143" t="inlineStr">
        <is>
          <t>Assister à la rencondre du Conseil d'administration du Programme de coopération en recherche et technologie agricoles pour la région du Nord (PROCINORTE)</t>
        </is>
      </c>
      <c r="H1143" s="1" t="n">
        <v>43397</v>
      </c>
      <c r="I1143" s="1" t="n">
        <v>43399</v>
      </c>
      <c r="J1143" t="inlineStr">
        <is>
          <t>Las Cruces, New Mexico</t>
        </is>
      </c>
      <c r="K1143" t="inlineStr">
        <is>
          <t>Las Cruces, Nouveau Mexique</t>
        </is>
      </c>
      <c r="P1143" t="n">
        <v>2082.81</v>
      </c>
      <c r="Q1143" t="n">
        <v>75</v>
      </c>
      <c r="R1143" t="n">
        <v>286.82</v>
      </c>
      <c r="S1143" t="n">
        <v>248.53</v>
      </c>
      <c r="U1143" t="n">
        <v>2693.16</v>
      </c>
      <c r="X1143" t="inlineStr">
        <is>
          <t>aafc-aac</t>
        </is>
      </c>
      <c r="Y1143" t="inlineStr">
        <is>
          <t>Agriculture and Agri-Food Canada | Agriculture et Agroalimentaire Canada</t>
        </is>
      </c>
    </row>
    <row r="1144">
      <c r="A1144" t="inlineStr">
        <is>
          <t>T-2018-Q3-00046</t>
        </is>
      </c>
      <c r="B1144" t="inlineStr">
        <is>
          <t>SLE</t>
        </is>
      </c>
      <c r="C1144" t="inlineStr">
        <is>
          <t>Associate Assistant Deputy Minister, Science and Techonologie Branch</t>
        </is>
      </c>
      <c r="D1144" t="inlineStr">
        <is>
          <t>Sous-ministre adjoint délégué, Direction générale des sciences et de la technologie</t>
        </is>
      </c>
      <c r="E1144" t="inlineStr">
        <is>
          <t>Gilles Saindon</t>
        </is>
      </c>
      <c r="F1144" t="inlineStr">
        <is>
          <t>Attend the Canada-China Joint Committee as the Co-Chair, to visit the Oil Crops Research Institute of Chnese Academy  of Agricultural Sciences.  Attend the 25th China Yangling Agricultural Hi-tech Fair (CAF).</t>
        </is>
      </c>
      <c r="G1144" t="inlineStr">
        <is>
          <t>Assister en tant que Co-président du Comité conjoint Canada-Chine, visiter l'Institut de recherche sur les cultures oléagineuses de l'Académie des sciences de l'agriculture de Chine. Assistez à la 25e Foire agricole de haute technologie de Yangling (FAC).</t>
        </is>
      </c>
      <c r="H1144" s="1" t="n">
        <v>43400</v>
      </c>
      <c r="I1144" s="1" t="n">
        <v>43411</v>
      </c>
      <c r="J1144" t="inlineStr">
        <is>
          <t>Beijing, Wuhan, Xi'An - China</t>
        </is>
      </c>
      <c r="K1144" t="inlineStr">
        <is>
          <t>Beijing, Wuhan, Xi'An - Chine</t>
        </is>
      </c>
      <c r="P1144" t="n">
        <v>8607.83</v>
      </c>
      <c r="Q1144" t="n">
        <v>68</v>
      </c>
      <c r="R1144" t="n">
        <v>2139.38</v>
      </c>
      <c r="S1144" t="n">
        <v>896.78</v>
      </c>
      <c r="T1144" t="n">
        <v>36.84</v>
      </c>
      <c r="U1144" t="n">
        <v>11748.83</v>
      </c>
      <c r="X1144" t="inlineStr">
        <is>
          <t>aafc-aac</t>
        </is>
      </c>
      <c r="Y1144" t="inlineStr">
        <is>
          <t>Agriculture and Agri-Food Canada | Agriculture et Agroalimentaire Canada</t>
        </is>
      </c>
    </row>
    <row r="1145">
      <c r="A1145" t="inlineStr">
        <is>
          <t>T-2018-Q3-00047</t>
        </is>
      </c>
      <c r="B1145" t="inlineStr">
        <is>
          <t>SLE</t>
        </is>
      </c>
      <c r="C1145" t="inlineStr">
        <is>
          <t>Associate Assistant Deputy Minister, Science and Techonologie Branch</t>
        </is>
      </c>
      <c r="D1145" t="inlineStr">
        <is>
          <t>Sous-ministre adjoint délégué, Direction générale des sciences et de la technologie</t>
        </is>
      </c>
      <c r="E1145" t="inlineStr">
        <is>
          <t>Gilles Saindon</t>
        </is>
      </c>
      <c r="F1145" t="inlineStr">
        <is>
          <t>To attend different meetings with representatives of the European Union, and the Organisation for Economic Co-operation and Development - Co-operative Research Program</t>
        </is>
      </c>
      <c r="G1145" t="inlineStr">
        <is>
          <t xml:space="preserve">Assister à différentes rencontres, avec différents représentants de l'Union Européenne et l'Organisation de Coopération et de Développement Économiques - Programme de recherche en collaboration </t>
        </is>
      </c>
      <c r="H1145" s="1" t="n">
        <v>43430</v>
      </c>
      <c r="I1145" s="1" t="n">
        <v>43435</v>
      </c>
      <c r="J1145" t="inlineStr">
        <is>
          <t>Brussel, Belgium and Paris, France</t>
        </is>
      </c>
      <c r="K1145" t="inlineStr">
        <is>
          <t>Bruxelles, Belgique et Paris, France</t>
        </is>
      </c>
      <c r="P1145" t="n">
        <v>8909.879999999999</v>
      </c>
      <c r="Q1145" t="n">
        <v>428.19</v>
      </c>
      <c r="R1145" t="n">
        <v>1526.76</v>
      </c>
      <c r="S1145" t="n">
        <v>1102.6</v>
      </c>
      <c r="T1145" t="n">
        <v>2.95</v>
      </c>
      <c r="U1145" t="n">
        <v>11970.38</v>
      </c>
      <c r="X1145" t="inlineStr">
        <is>
          <t>aafc-aac</t>
        </is>
      </c>
      <c r="Y1145" t="inlineStr">
        <is>
          <t>Agriculture and Agri-Food Canada | Agriculture et Agroalimentaire Canada</t>
        </is>
      </c>
    </row>
    <row r="1146">
      <c r="A1146" t="inlineStr">
        <is>
          <t>T-2018-Q3-00068</t>
        </is>
      </c>
      <c r="B1146" t="inlineStr">
        <is>
          <t>SLE</t>
        </is>
      </c>
      <c r="C1146" t="inlineStr">
        <is>
          <t>Assistant Deputy Minister
International Affairs Branch</t>
        </is>
      </c>
      <c r="D1146" t="inlineStr">
        <is>
          <t>Sous-ministre adjoint, Direction générale des affaires internationales</t>
        </is>
      </c>
      <c r="E1146" t="inlineStr">
        <is>
          <t>Fred Gorrell</t>
        </is>
      </c>
      <c r="F1146" t="inlineStr">
        <is>
          <t xml:space="preserve">Meeting with Mexican Secretary </t>
        </is>
      </c>
      <c r="G1146" t="inlineStr">
        <is>
          <t>Réunion avec secrétaire du Mexique</t>
        </is>
      </c>
      <c r="H1146" s="1" t="n">
        <v>43395</v>
      </c>
      <c r="I1146" s="1" t="n">
        <v>43396</v>
      </c>
      <c r="J1146" t="inlineStr">
        <is>
          <t>Toronto, Ontario</t>
        </is>
      </c>
      <c r="K1146" t="inlineStr">
        <is>
          <t>Toronto, Ontario</t>
        </is>
      </c>
      <c r="P1146" t="n">
        <v>789.3099999999999</v>
      </c>
      <c r="Q1146" t="n">
        <v>0</v>
      </c>
      <c r="R1146" t="n">
        <v>171.76</v>
      </c>
      <c r="S1146" t="n">
        <v>104.85</v>
      </c>
      <c r="T1146" t="n">
        <v>0</v>
      </c>
      <c r="U1146" t="n">
        <v>1065.92</v>
      </c>
      <c r="X1146" t="inlineStr">
        <is>
          <t>aafc-aac</t>
        </is>
      </c>
      <c r="Y1146" t="inlineStr">
        <is>
          <t>Agriculture and Agri-Food Canada | Agriculture et Agroalimentaire Canada</t>
        </is>
      </c>
    </row>
    <row r="1147">
      <c r="A1147" t="inlineStr">
        <is>
          <t>T-2018-Q3-00048</t>
        </is>
      </c>
      <c r="B1147" t="inlineStr">
        <is>
          <t>SLE</t>
        </is>
      </c>
      <c r="C1147" t="inlineStr">
        <is>
          <t>Assistant Deputy Minister, Corporate Management Branch</t>
        </is>
      </c>
      <c r="D1147" t="inlineStr">
        <is>
          <t>Sous-ministre adjointe, direction générale de la gestion intégrée</t>
        </is>
      </c>
      <c r="E1147" t="inlineStr">
        <is>
          <t>Christine Walker</t>
        </is>
      </c>
      <c r="F1147" t="inlineStr">
        <is>
          <t>Departmental Audit Committee site visit</t>
        </is>
      </c>
      <c r="G1147" t="inlineStr">
        <is>
          <t xml:space="preserve">visite de site du Comité ministériel de vérification </t>
        </is>
      </c>
      <c r="H1147" s="1" t="n">
        <v>43346</v>
      </c>
      <c r="I1147" s="1" t="n">
        <v>43348</v>
      </c>
      <c r="J1147" t="inlineStr">
        <is>
          <t>Halifax, Nova Scotia, Kentville, Nova Scotia</t>
        </is>
      </c>
      <c r="K1147" t="inlineStr">
        <is>
          <t>Halifax, Nouvelle-Écosse, Kentville, Nouvelle-Écosse</t>
        </is>
      </c>
      <c r="P1147" t="n">
        <v>260.04</v>
      </c>
      <c r="Q1147" t="n">
        <v>182.66</v>
      </c>
      <c r="R1147" t="n">
        <v>339.8</v>
      </c>
      <c r="S1147" t="n">
        <v>262</v>
      </c>
      <c r="U1147" t="n">
        <v>1044.5</v>
      </c>
      <c r="X1147" t="inlineStr">
        <is>
          <t>aafc-aac</t>
        </is>
      </c>
      <c r="Y1147" t="inlineStr">
        <is>
          <t>Agriculture and Agri-Food Canada | Agriculture et Agroalimentaire Canada</t>
        </is>
      </c>
    </row>
    <row r="1148">
      <c r="A1148" t="inlineStr">
        <is>
          <t>T-2018-Q3-00049</t>
        </is>
      </c>
      <c r="B1148" t="inlineStr">
        <is>
          <t>SLE</t>
        </is>
      </c>
      <c r="C1148" t="inlineStr">
        <is>
          <t>Assistant Deputy Minister, Corporate Management Branch</t>
        </is>
      </c>
      <c r="D1148" t="inlineStr">
        <is>
          <t>Sous-ministre adjoint, direction générale de la gestion intégrée</t>
        </is>
      </c>
      <c r="E1148" t="inlineStr">
        <is>
          <t>Pierre Corriveau</t>
        </is>
      </c>
      <c r="F1148" t="inlineStr">
        <is>
          <t>Departmental Audit Committee site visit</t>
        </is>
      </c>
      <c r="G1148" t="inlineStr">
        <is>
          <t xml:space="preserve">visite de site du Comité ministériel de vérification </t>
        </is>
      </c>
      <c r="H1148" s="1" t="n">
        <v>43346</v>
      </c>
      <c r="I1148" s="1" t="n">
        <v>43348</v>
      </c>
      <c r="J1148" t="inlineStr">
        <is>
          <t>Halifax, Nova Scotia, Kentville, Nova Scotia</t>
        </is>
      </c>
      <c r="K1148" t="inlineStr">
        <is>
          <t>Halifax, Nouvelle-Écosse, Kentville, Nouvelle-Écosse</t>
        </is>
      </c>
      <c r="P1148" t="n">
        <v>492</v>
      </c>
      <c r="Q1148" t="n">
        <v>218.48</v>
      </c>
      <c r="R1148" t="n">
        <v>339.8</v>
      </c>
      <c r="S1148" t="n">
        <v>238.06</v>
      </c>
      <c r="U1148" t="n">
        <v>1288.34</v>
      </c>
      <c r="X1148" t="inlineStr">
        <is>
          <t>aafc-aac</t>
        </is>
      </c>
      <c r="Y1148" t="inlineStr">
        <is>
          <t>Agriculture and Agri-Food Canada | Agriculture et Agroalimentaire Canada</t>
        </is>
      </c>
    </row>
    <row r="1149">
      <c r="A1149" t="inlineStr">
        <is>
          <t>T-2018-Q3-00050</t>
        </is>
      </c>
      <c r="B1149" t="inlineStr">
        <is>
          <t>SLE</t>
        </is>
      </c>
      <c r="C1149" t="inlineStr">
        <is>
          <t>Acting Assistant Deputy Minister, Public Affairs branch</t>
        </is>
      </c>
      <c r="D1149" t="inlineStr">
        <is>
          <t>Sous-ministre adjoint par intérim, Direction générale des affaires publiques</t>
        </is>
      </c>
      <c r="E1149" t="inlineStr">
        <is>
          <t>Steven Jurgutis</t>
        </is>
      </c>
      <c r="F1149" t="inlineStr">
        <is>
          <t>Steve participated in a Study Tour in Washington and New York City as part of his program "Certificate Program in Public Sector Leadership and Governance</t>
        </is>
      </c>
      <c r="G1149" t="inlineStr">
        <is>
          <t>Steve a participé à une visite d'étude à Washington et New York qui fait partie de son "Programme de certificat en leadership du secteur public et gouvernance"</t>
        </is>
      </c>
      <c r="H1149" s="1" t="n">
        <v>43429</v>
      </c>
      <c r="I1149" s="1" t="n">
        <v>43435</v>
      </c>
      <c r="J1149" t="inlineStr">
        <is>
          <t>Washington, DC &amp; New York City, New York</t>
        </is>
      </c>
      <c r="K1149" t="inlineStr">
        <is>
          <t>Washington et New York, New York</t>
        </is>
      </c>
      <c r="P1149" t="n">
        <v>1497.71</v>
      </c>
      <c r="Q1149" t="n">
        <v>134.44</v>
      </c>
      <c r="R1149" t="n">
        <v>1973.45</v>
      </c>
      <c r="S1149" t="n">
        <v>728.45</v>
      </c>
      <c r="U1149" t="n">
        <v>4334.05</v>
      </c>
      <c r="X1149" t="inlineStr">
        <is>
          <t>aafc-aac</t>
        </is>
      </c>
      <c r="Y1149" t="inlineStr">
        <is>
          <t>Agriculture and Agri-Food Canada | Agriculture et Agroalimentaire Canada</t>
        </is>
      </c>
    </row>
    <row r="1150">
      <c r="A1150" t="inlineStr">
        <is>
          <t>T-2018-Q3-00051</t>
        </is>
      </c>
      <c r="B1150" t="inlineStr">
        <is>
          <t>SLE</t>
        </is>
      </c>
      <c r="C1150" t="inlineStr">
        <is>
          <t>Assistant Deputy Minister, Market and Industry Service Branch</t>
        </is>
      </c>
      <c r="D1150" t="inlineStr">
        <is>
          <t>Sous-ministre adjoint, Direction générale des services à l'industrie et aux marchés</t>
        </is>
      </c>
      <c r="E1150" t="inlineStr">
        <is>
          <t>Frédéric Seppey</t>
        </is>
      </c>
      <c r="F1150" t="inlineStr">
        <is>
          <t>Travel required for the North American Free Trade Agreement negotiations in Washington</t>
        </is>
      </c>
      <c r="G1150" t="inlineStr">
        <is>
          <t xml:space="preserve">Voyage pour les négociations de l’Accord de libre-échange Nord-Américain à Washington. </t>
        </is>
      </c>
      <c r="H1150" s="1" t="n">
        <v>43347</v>
      </c>
      <c r="I1150" s="1" t="n">
        <v>43351</v>
      </c>
      <c r="J1150" t="inlineStr">
        <is>
          <t>Washington, United States</t>
        </is>
      </c>
      <c r="K1150" t="inlineStr">
        <is>
          <t>Washington, États-Unis</t>
        </is>
      </c>
      <c r="P1150" t="n">
        <v>1721.69</v>
      </c>
      <c r="Q1150" t="n">
        <v>206.94</v>
      </c>
      <c r="R1150" t="n">
        <v>797.34</v>
      </c>
      <c r="S1150" t="n">
        <v>553.78</v>
      </c>
      <c r="U1150" t="n">
        <v>3279.75</v>
      </c>
      <c r="X1150" t="inlineStr">
        <is>
          <t>aafc-aac</t>
        </is>
      </c>
      <c r="Y1150" t="inlineStr">
        <is>
          <t>Agriculture and Agri-Food Canada | Agriculture et Agroalimentaire Canada</t>
        </is>
      </c>
    </row>
    <row r="1151">
      <c r="A1151" t="inlineStr">
        <is>
          <t>T-2018-Q3-00052</t>
        </is>
      </c>
      <c r="B1151" t="inlineStr">
        <is>
          <t>SLE</t>
        </is>
      </c>
      <c r="C1151" t="inlineStr">
        <is>
          <t>Assistant Deputy Minister, Market and Industry Service Branch</t>
        </is>
      </c>
      <c r="D1151" t="inlineStr">
        <is>
          <t>Sous-ministre adjoint, Direction générale des services à l'industrie et aux marchés</t>
        </is>
      </c>
      <c r="E1151" t="inlineStr">
        <is>
          <t>Frédéric Seppey</t>
        </is>
      </c>
      <c r="F1151" t="inlineStr">
        <is>
          <t>Meetings with Brazilian Government in Brasilia and chairing the 6th Global Low Level Presence Initiative  meetings in Natal, Brazil</t>
        </is>
      </c>
      <c r="G1151" t="inlineStr">
        <is>
          <t xml:space="preserve">Rencontre avec le Government Brésil à Brasilia et présidence de la 6ème initiative mondiale de la présence en faible concentration à Natal, Brésil. </t>
        </is>
      </c>
      <c r="H1151" s="1" t="n">
        <v>43366</v>
      </c>
      <c r="I1151" s="1" t="n">
        <v>43372</v>
      </c>
      <c r="J1151" t="inlineStr">
        <is>
          <t>Brasilia, Brazil and Natal, Brazil</t>
        </is>
      </c>
      <c r="K1151" t="inlineStr">
        <is>
          <t>Brasilia, Brésil et Natal, Brésil</t>
        </is>
      </c>
      <c r="P1151" t="n">
        <v>10004.58</v>
      </c>
      <c r="Q1151" t="n">
        <v>132.23</v>
      </c>
      <c r="R1151" t="n">
        <v>238.43</v>
      </c>
      <c r="S1151" t="n">
        <v>687.87</v>
      </c>
      <c r="T1151" t="n">
        <v>4.5</v>
      </c>
      <c r="U1151" t="n">
        <v>11067.61</v>
      </c>
      <c r="X1151" t="inlineStr">
        <is>
          <t>aafc-aac</t>
        </is>
      </c>
      <c r="Y1151" t="inlineStr">
        <is>
          <t>Agriculture and Agri-Food Canada | Agriculture et Agroalimentaire Canada</t>
        </is>
      </c>
    </row>
    <row r="1152">
      <c r="A1152" t="inlineStr">
        <is>
          <t>T-2018-Q3-00059</t>
        </is>
      </c>
      <c r="B1152" t="inlineStr">
        <is>
          <t>SLE</t>
        </is>
      </c>
      <c r="C1152" t="inlineStr">
        <is>
          <t>Assistant Deputy Minister, Strategic Policy Branch</t>
        </is>
      </c>
      <c r="D1152" t="inlineStr">
        <is>
          <t>Sous-ministre adjoint, Direction générale des politiques stratégiques</t>
        </is>
      </c>
      <c r="E1152" t="inlineStr">
        <is>
          <t>Tom Rosser</t>
        </is>
      </c>
      <c r="F1152" t="inlineStr">
        <is>
          <t>Meeting with Staff in Winnipeg and a Tour of HyLife in Neepawa, Manitoba.</t>
        </is>
      </c>
      <c r="G1152" t="inlineStr">
        <is>
          <t>Rencontre avec le personnel de Winnipeg et une tour de HyLife à Neepawa, Manitoba.</t>
        </is>
      </c>
      <c r="H1152" s="1" t="n">
        <v>43387</v>
      </c>
      <c r="I1152" s="1" t="n">
        <v>43389</v>
      </c>
      <c r="J1152" t="inlineStr">
        <is>
          <t>Winnipeg, Manitoba</t>
        </is>
      </c>
      <c r="K1152" t="inlineStr">
        <is>
          <t>Winnipeg, Manitoba</t>
        </is>
      </c>
      <c r="P1152" t="n">
        <v>1488.3</v>
      </c>
      <c r="Q1152" t="n">
        <v>105</v>
      </c>
      <c r="R1152" t="n">
        <v>345.01</v>
      </c>
      <c r="S1152" t="n">
        <v>262.25</v>
      </c>
      <c r="U1152" t="n">
        <v>2200.56</v>
      </c>
      <c r="X1152" t="inlineStr">
        <is>
          <t>aafc-aac</t>
        </is>
      </c>
      <c r="Y1152" t="inlineStr">
        <is>
          <t>Agriculture and Agri-Food Canada | Agriculture et Agroalimentaire Canada</t>
        </is>
      </c>
    </row>
    <row r="1153">
      <c r="A1153" t="inlineStr">
        <is>
          <t>T-2018-Q3-00060</t>
        </is>
      </c>
      <c r="B1153" t="inlineStr">
        <is>
          <t>SLE</t>
        </is>
      </c>
      <c r="C1153" t="inlineStr">
        <is>
          <t>Assistant Deputy Minister, Strategic Policy Branch</t>
        </is>
      </c>
      <c r="D1153" t="inlineStr">
        <is>
          <t>Sous-ministre adjoint, Direction générale des politiques stratégiques</t>
        </is>
      </c>
      <c r="E1153" t="inlineStr">
        <is>
          <t>Tom Rosser</t>
        </is>
      </c>
      <c r="F1153" t="inlineStr">
        <is>
          <t>Invited Panelist on the Food Secure Canada's Assembly.</t>
        </is>
      </c>
      <c r="G1153" t="inlineStr">
        <is>
          <t>Invité conferencier sur la sécurité alimentaire de l'assemblée du Canada.</t>
        </is>
      </c>
      <c r="H1153" s="1" t="n">
        <v>43406</v>
      </c>
      <c r="I1153" s="1" t="n">
        <v>43407</v>
      </c>
      <c r="J1153" t="inlineStr">
        <is>
          <t>Montreal, Quebec</t>
        </is>
      </c>
      <c r="K1153" t="inlineStr">
        <is>
          <t>Montréal, Québec</t>
        </is>
      </c>
      <c r="Q1153" t="n">
        <v>372.44</v>
      </c>
      <c r="R1153" t="n">
        <v>182.45</v>
      </c>
      <c r="S1153" t="n">
        <v>174.7</v>
      </c>
      <c r="U1153" t="n">
        <v>729.59</v>
      </c>
      <c r="X1153" t="inlineStr">
        <is>
          <t>aafc-aac</t>
        </is>
      </c>
      <c r="Y1153" t="inlineStr">
        <is>
          <t>Agriculture and Agri-Food Canada | Agriculture et Agroalimentaire Canada</t>
        </is>
      </c>
    </row>
    <row r="1154">
      <c r="A1154" t="inlineStr">
        <is>
          <t>T-2018-Q3-00053</t>
        </is>
      </c>
      <c r="B1154" t="inlineStr">
        <is>
          <t>SLE</t>
        </is>
      </c>
      <c r="C1154" t="inlineStr">
        <is>
          <t>Assistant Deputy Minister, Market and Industry Service Branch</t>
        </is>
      </c>
      <c r="D1154" t="inlineStr">
        <is>
          <t>Sous-ministre adjoint, Direction générale des services à l'industrie et aux marchés</t>
        </is>
      </c>
      <c r="E1154" t="inlineStr">
        <is>
          <t>Frédéric Seppey</t>
        </is>
      </c>
      <c r="F1154" t="inlineStr">
        <is>
          <t>Speaker at the World Grain Conference on trade and negotiations in Winnipeg and a briefing to dairy sector representatives in Toronto</t>
        </is>
      </c>
      <c r="G1154" t="inlineStr">
        <is>
          <t xml:space="preserve">Discours sur le commerce et les négociations à la conférence World Grain Conference ainsi qu’une rencontre avec des représentants du secteur laitier à Toronto. </t>
        </is>
      </c>
      <c r="H1154" s="1" t="n">
        <v>43416</v>
      </c>
      <c r="I1154" s="1" t="n">
        <v>43419</v>
      </c>
      <c r="J1154" t="inlineStr">
        <is>
          <t>Winnipeg, Manitoba and Toronto, Ontario</t>
        </is>
      </c>
      <c r="K1154" t="inlineStr">
        <is>
          <t>Winnipeg, Manitoba et Toronto, Ontario</t>
        </is>
      </c>
      <c r="P1154" t="n">
        <v>1285.92</v>
      </c>
      <c r="Q1154" t="n">
        <v>130.01</v>
      </c>
      <c r="R1154" t="n">
        <v>787.21</v>
      </c>
      <c r="S1154" t="n">
        <v>319.65</v>
      </c>
      <c r="T1154" t="n">
        <v>7.86</v>
      </c>
      <c r="U1154" t="n">
        <v>2530.65</v>
      </c>
      <c r="X1154" t="inlineStr">
        <is>
          <t>aafc-aac</t>
        </is>
      </c>
      <c r="Y1154" t="inlineStr">
        <is>
          <t>Agriculture and Agri-Food Canada | Agriculture et Agroalimentaire Canada</t>
        </is>
      </c>
    </row>
    <row r="1155">
      <c r="A1155" t="inlineStr">
        <is>
          <t>T-2018-Q3-00054</t>
        </is>
      </c>
      <c r="B1155" t="inlineStr">
        <is>
          <t>SLE</t>
        </is>
      </c>
      <c r="C1155" t="inlineStr">
        <is>
          <t>Assistant Deputy Minister, Market and Industry Service Branch</t>
        </is>
      </c>
      <c r="D1155" t="inlineStr">
        <is>
          <t>Sous-ministre adjoint, Direction générale des services à l'industrie et aux marchés</t>
        </is>
      </c>
      <c r="E1155" t="inlineStr">
        <is>
          <t>Frédéric Seppey</t>
        </is>
      </c>
      <c r="F1155" t="inlineStr">
        <is>
          <t>Chair of Panel for the Food and Agriculture Organization of the United Nations Symposium on Agriculture Innovation in Rome, Italy</t>
        </is>
      </c>
      <c r="G1155" t="inlineStr">
        <is>
          <t xml:space="preserve">Présidence d'un panel au symposium international sur l’innovation agricole à l’organisation des Nations Unies pour l’alimentation et l’agriculture, Rome, Italie. </t>
        </is>
      </c>
      <c r="H1155" s="1" t="n">
        <v>43424</v>
      </c>
      <c r="I1155" s="1" t="n">
        <v>43427</v>
      </c>
      <c r="J1155" t="inlineStr">
        <is>
          <t>Rome, Italy</t>
        </is>
      </c>
      <c r="K1155" t="inlineStr">
        <is>
          <t>Rome, Italie</t>
        </is>
      </c>
      <c r="P1155" t="n">
        <v>8993.67</v>
      </c>
      <c r="Q1155" t="n">
        <v>271.64</v>
      </c>
      <c r="R1155" t="n">
        <v>476.91</v>
      </c>
      <c r="S1155" t="n">
        <v>598.9400000000001</v>
      </c>
      <c r="T1155" t="n">
        <v>2.72</v>
      </c>
      <c r="U1155" t="n">
        <v>10343.88</v>
      </c>
      <c r="X1155" t="inlineStr">
        <is>
          <t>aafc-aac</t>
        </is>
      </c>
      <c r="Y1155" t="inlineStr">
        <is>
          <t>Agriculture and Agri-Food Canada | Agriculture et Agroalimentaire Canada</t>
        </is>
      </c>
    </row>
    <row r="1156">
      <c r="A1156" t="inlineStr">
        <is>
          <t>T-2018-Q3-00055</t>
        </is>
      </c>
      <c r="B1156" t="inlineStr">
        <is>
          <t>SLE</t>
        </is>
      </c>
      <c r="C1156" t="inlineStr">
        <is>
          <t>Assistant Deputy Minister, Programs Branch</t>
        </is>
      </c>
      <c r="D1156" t="inlineStr">
        <is>
          <t>Sous-ministre adjointe, Direction générale des programmes</t>
        </is>
      </c>
      <c r="E1156" t="inlineStr">
        <is>
          <t>Jane Taylor</t>
        </is>
      </c>
      <c r="F1156" t="inlineStr">
        <is>
          <t>Operational Activities - Meetings</t>
        </is>
      </c>
      <c r="G1156" t="inlineStr">
        <is>
          <t>Activités opérationnelles - Réunions</t>
        </is>
      </c>
      <c r="H1156" s="1" t="n">
        <v>43361</v>
      </c>
      <c r="I1156" s="1" t="n">
        <v>43364</v>
      </c>
      <c r="J1156" t="inlineStr">
        <is>
          <t>Whitehorse, Yukon</t>
        </is>
      </c>
      <c r="K1156" t="inlineStr">
        <is>
          <t>Whitehorse, Yukon</t>
        </is>
      </c>
      <c r="P1156" t="n">
        <v>2016.83</v>
      </c>
      <c r="Q1156" t="n">
        <v>45</v>
      </c>
      <c r="R1156" t="n">
        <v>537.6</v>
      </c>
      <c r="S1156" t="n">
        <v>342.7</v>
      </c>
      <c r="U1156" t="n">
        <v>2942.13</v>
      </c>
      <c r="X1156" t="inlineStr">
        <is>
          <t>aafc-aac</t>
        </is>
      </c>
      <c r="Y1156" t="inlineStr">
        <is>
          <t>Agriculture and Agri-Food Canada | Agriculture et Agroalimentaire Canada</t>
        </is>
      </c>
    </row>
    <row r="1157">
      <c r="A1157" t="inlineStr">
        <is>
          <t>T-2018-Q3-00056</t>
        </is>
      </c>
      <c r="B1157" t="inlineStr">
        <is>
          <t>SLE</t>
        </is>
      </c>
      <c r="C1157" t="inlineStr">
        <is>
          <t>Assistant Deputy Minister, Strategic Policy Branch</t>
        </is>
      </c>
      <c r="D1157" t="inlineStr">
        <is>
          <t>Sous-ministre adjoint, Direction générale des politiques stratégiques</t>
        </is>
      </c>
      <c r="E1157" t="inlineStr">
        <is>
          <t>Tom Rosser</t>
        </is>
      </c>
      <c r="F1157" t="inlineStr">
        <is>
          <t>To participate in a Climate Agriculture Summit.</t>
        </is>
      </c>
      <c r="G1157" t="inlineStr">
        <is>
          <t>Participer à un sommet de l'agriculture climatique.</t>
        </is>
      </c>
      <c r="H1157" s="1" t="n">
        <v>43353</v>
      </c>
      <c r="I1157" s="1" t="n">
        <v>43355</v>
      </c>
      <c r="J1157" t="inlineStr">
        <is>
          <t>Petaluma, California</t>
        </is>
      </c>
      <c r="K1157" t="inlineStr">
        <is>
          <t>Petaluma, Californie</t>
        </is>
      </c>
      <c r="P1157" t="n">
        <v>3569.16</v>
      </c>
      <c r="Q1157" t="n">
        <v>646.29</v>
      </c>
      <c r="R1157" t="n">
        <v>682.45</v>
      </c>
      <c r="S1157" t="n">
        <v>287.47</v>
      </c>
      <c r="U1157" t="n">
        <v>5185.37</v>
      </c>
      <c r="X1157" t="inlineStr">
        <is>
          <t>aafc-aac</t>
        </is>
      </c>
      <c r="Y1157" t="inlineStr">
        <is>
          <t>Agriculture and Agri-Food Canada | Agriculture et Agroalimentaire Canada</t>
        </is>
      </c>
    </row>
    <row r="1158">
      <c r="A1158" t="inlineStr">
        <is>
          <t>T-2018-Q3-00057</t>
        </is>
      </c>
      <c r="B1158" t="inlineStr">
        <is>
          <t>SLE</t>
        </is>
      </c>
      <c r="C1158" t="inlineStr">
        <is>
          <t>Assistant Deputy Minister, Strategic Policy Branch</t>
        </is>
      </c>
      <c r="D1158" t="inlineStr">
        <is>
          <t>Sous-ministre adjoint, Direction générale des politiques stratégiques</t>
        </is>
      </c>
      <c r="E1158" t="inlineStr">
        <is>
          <t>Tom Rosser</t>
        </is>
      </c>
      <c r="F1158" t="inlineStr">
        <is>
          <t>To participate in a Grain Transportation Roundtable.</t>
        </is>
      </c>
      <c r="G1158" t="inlineStr">
        <is>
          <t>Participer à une table ronde de transport du grain.</t>
        </is>
      </c>
      <c r="H1158" s="1" t="n">
        <v>43355</v>
      </c>
      <c r="I1158" s="1" t="n">
        <v>43356</v>
      </c>
      <c r="J1158" t="inlineStr">
        <is>
          <t>Saskatoon, Saskatchewan</t>
        </is>
      </c>
      <c r="K1158" t="inlineStr">
        <is>
          <t>Saskatoon, Saskatchewan</t>
        </is>
      </c>
      <c r="P1158" t="n">
        <v>1945.51</v>
      </c>
      <c r="Q1158" t="n">
        <v>65</v>
      </c>
      <c r="R1158" t="n">
        <v>164.44</v>
      </c>
      <c r="S1158" t="n">
        <v>104.1</v>
      </c>
      <c r="U1158" t="n">
        <v>2279.05</v>
      </c>
      <c r="X1158" t="inlineStr">
        <is>
          <t>aafc-aac</t>
        </is>
      </c>
      <c r="Y1158" t="inlineStr">
        <is>
          <t>Agriculture and Agri-Food Canada | Agriculture et Agroalimentaire Canada</t>
        </is>
      </c>
    </row>
    <row r="1159">
      <c r="A1159" t="inlineStr">
        <is>
          <t>T-2018-Q3-00058</t>
        </is>
      </c>
      <c r="B1159" t="inlineStr">
        <is>
          <t>SLE</t>
        </is>
      </c>
      <c r="C1159" t="inlineStr">
        <is>
          <t>Assistant Deputy Minister, Strategic Policy Branch</t>
        </is>
      </c>
      <c r="D1159" t="inlineStr">
        <is>
          <t>Sous-ministre adjoint, Direction générale des politiques stratégiques</t>
        </is>
      </c>
      <c r="E1159" t="inlineStr">
        <is>
          <t>Tom Rosser</t>
        </is>
      </c>
      <c r="F1159" t="inlineStr">
        <is>
          <t>To participate in a meeting of Federal, Provincial and Territorial Assistant Deputy Ministers.</t>
        </is>
      </c>
      <c r="G1159" t="inlineStr">
        <is>
          <t>Participer à une réunion fédérale, provinciale et territoriale des sous-ministres adjoints.</t>
        </is>
      </c>
      <c r="H1159" s="1" t="n">
        <v>43382</v>
      </c>
      <c r="I1159" s="1" t="n">
        <v>43384</v>
      </c>
      <c r="J1159" t="inlineStr">
        <is>
          <t>Toronto, Ontario</t>
        </is>
      </c>
      <c r="K1159" t="inlineStr">
        <is>
          <t>Toronto, Ontario</t>
        </is>
      </c>
      <c r="P1159" t="n">
        <v>615.6799999999999</v>
      </c>
      <c r="Q1159" t="n">
        <v>80</v>
      </c>
      <c r="R1159" t="n">
        <v>317.3</v>
      </c>
      <c r="S1159" t="n">
        <v>212.45</v>
      </c>
      <c r="U1159" t="n">
        <v>1225.43</v>
      </c>
      <c r="X1159" t="inlineStr">
        <is>
          <t>aafc-aac</t>
        </is>
      </c>
      <c r="Y1159" t="inlineStr">
        <is>
          <t>Agriculture and Agri-Food Canada | Agriculture et Agroalimentaire Canada</t>
        </is>
      </c>
    </row>
    <row r="1160">
      <c r="A1160" t="inlineStr">
        <is>
          <t>T-2018-Q3-00067</t>
        </is>
      </c>
      <c r="B1160" t="inlineStr">
        <is>
          <t>SLE</t>
        </is>
      </c>
      <c r="C1160" t="inlineStr">
        <is>
          <t>Chief Information Officer</t>
        </is>
      </c>
      <c r="D1160" t="inlineStr">
        <is>
          <t>Dirigeant principal de l'information</t>
        </is>
      </c>
      <c r="E1160" t="inlineStr">
        <is>
          <t>Michel Lessard</t>
        </is>
      </c>
      <c r="F1160" t="inlineStr">
        <is>
          <t xml:space="preserve">Outreach visit </t>
        </is>
      </c>
      <c r="G1160" t="inlineStr">
        <is>
          <t>Visite de sensibilisation</t>
        </is>
      </c>
      <c r="H1160" s="1" t="n">
        <v>43417</v>
      </c>
      <c r="I1160" s="1" t="n">
        <v>43420</v>
      </c>
      <c r="J1160" t="inlineStr">
        <is>
          <t>Guelph and London, Ontario</t>
        </is>
      </c>
      <c r="K1160" t="inlineStr">
        <is>
          <t>Guelph et London, Ontario</t>
        </is>
      </c>
      <c r="P1160" t="n">
        <v>561.38</v>
      </c>
      <c r="Q1160" t="n">
        <v>345.3</v>
      </c>
      <c r="R1160" t="n">
        <v>564.42</v>
      </c>
      <c r="S1160" t="n">
        <v>242.4</v>
      </c>
      <c r="U1160" t="n">
        <v>1713.5</v>
      </c>
      <c r="X1160" t="inlineStr">
        <is>
          <t>aafc-aac</t>
        </is>
      </c>
      <c r="Y1160" t="inlineStr">
        <is>
          <t>Agriculture and Agri-Food Canada | Agriculture et Agroalimentaire Canada</t>
        </is>
      </c>
    </row>
    <row r="1161">
      <c r="A1161" t="inlineStr">
        <is>
          <t>T-2018-Q3-00061</t>
        </is>
      </c>
      <c r="B1161" t="inlineStr">
        <is>
          <t>SLE</t>
        </is>
      </c>
      <c r="C1161" t="inlineStr">
        <is>
          <t>Assistant Deputy Minister, Strategic Policy Branch</t>
        </is>
      </c>
      <c r="D1161" t="inlineStr">
        <is>
          <t>Sous-ministre adjoint, Direction générale des politiques stratégiques</t>
        </is>
      </c>
      <c r="E1161" t="inlineStr">
        <is>
          <t>Tom Rosser</t>
        </is>
      </c>
      <c r="F1161" t="inlineStr">
        <is>
          <t>To participate in a conference on zero waste.</t>
        </is>
      </c>
      <c r="G1161" t="inlineStr">
        <is>
          <t>Participer à une conférence sur le zéro déchet.</t>
        </is>
      </c>
      <c r="H1161" s="1" t="n">
        <v>43411</v>
      </c>
      <c r="I1161" s="1" t="n">
        <v>43413</v>
      </c>
      <c r="J1161" t="inlineStr">
        <is>
          <t>Vancouver, British-Columbia</t>
        </is>
      </c>
      <c r="K1161" t="inlineStr">
        <is>
          <t xml:space="preserve">Vancouver, Colombie-Britanique </t>
        </is>
      </c>
      <c r="P1161" t="n">
        <v>2760.09</v>
      </c>
      <c r="Q1161" t="n">
        <v>125</v>
      </c>
      <c r="R1161" t="n">
        <v>467.66</v>
      </c>
      <c r="S1161" t="n">
        <v>232.1</v>
      </c>
      <c r="U1161" t="n">
        <v>3584.85</v>
      </c>
      <c r="X1161" t="inlineStr">
        <is>
          <t>aafc-aac</t>
        </is>
      </c>
      <c r="Y1161" t="inlineStr">
        <is>
          <t>Agriculture and Agri-Food Canada | Agriculture et Agroalimentaire Canada</t>
        </is>
      </c>
    </row>
    <row r="1162">
      <c r="A1162" t="inlineStr">
        <is>
          <t>T-2018-Q3-00062</t>
        </is>
      </c>
      <c r="B1162" t="inlineStr">
        <is>
          <t>SLE</t>
        </is>
      </c>
      <c r="C1162" t="inlineStr">
        <is>
          <t>Assistant deputy minister, Science and Technology Branch</t>
        </is>
      </c>
      <c r="D1162" t="inlineStr">
        <is>
          <t>Sous-ministre adjoint, Direction Générale des sciences et de la technologie</t>
        </is>
      </c>
      <c r="E1162" t="inlineStr">
        <is>
          <t>Brian Gray</t>
        </is>
      </c>
      <c r="F1162" t="inlineStr">
        <is>
          <t>Outreach to the Reasearch and Developpement Centre, All-Staff meeting and meeting with Provincial Counterparts.</t>
        </is>
      </c>
      <c r="G1162" t="inlineStr">
        <is>
          <t xml:space="preserve">Visite de sencibilisation au Centre de recherche et de developpement, réunions avec tout le personnel et réunions avec des collegues du governement provincial. </t>
        </is>
      </c>
      <c r="H1162" s="1" t="n">
        <v>43361</v>
      </c>
      <c r="I1162" s="1" t="n">
        <v>43364</v>
      </c>
      <c r="J1162" t="inlineStr">
        <is>
          <t>Brandon, Manitoba</t>
        </is>
      </c>
      <c r="K1162" t="inlineStr">
        <is>
          <t>Brandon, Manitoba</t>
        </is>
      </c>
      <c r="P1162" t="n">
        <v>306.74</v>
      </c>
      <c r="Q1162" t="n">
        <v>334.54</v>
      </c>
      <c r="R1162" t="n">
        <v>364.08</v>
      </c>
      <c r="S1162" t="n">
        <v>358.05</v>
      </c>
      <c r="U1162" t="n">
        <v>1363.41</v>
      </c>
      <c r="X1162" t="inlineStr">
        <is>
          <t>aafc-aac</t>
        </is>
      </c>
      <c r="Y1162" t="inlineStr">
        <is>
          <t>Agriculture and Agri-Food Canada | Agriculture et Agroalimentaire Canada</t>
        </is>
      </c>
    </row>
    <row r="1163">
      <c r="A1163" t="inlineStr">
        <is>
          <t>T-2018-Q3-00063</t>
        </is>
      </c>
      <c r="B1163" t="inlineStr">
        <is>
          <t>SLE</t>
        </is>
      </c>
      <c r="C1163" t="inlineStr">
        <is>
          <t>Assistant deputy minister, Science and Technology Branch</t>
        </is>
      </c>
      <c r="D1163" t="inlineStr">
        <is>
          <t>Sous-ministre adjoint, Direction Générale des sciences et de la technologie</t>
        </is>
      </c>
      <c r="E1163" t="inlineStr">
        <is>
          <t>Brian Gray</t>
        </is>
      </c>
      <c r="F1163" t="inlineStr">
        <is>
          <t>Outreach to the Reasearch and Developpement Centre, All-Staff meeting and meeting with Provincial Counterparts.</t>
        </is>
      </c>
      <c r="G1163" t="inlineStr">
        <is>
          <t>Visite de sencibilisation au Centre de recherche et de developpement, réunions avec tout le personnel.</t>
        </is>
      </c>
      <c r="H1163" s="1" t="n">
        <v>43389</v>
      </c>
      <c r="I1163" s="1" t="n">
        <v>43391</v>
      </c>
      <c r="J1163" t="inlineStr">
        <is>
          <t>Agassiz, British-Columbia</t>
        </is>
      </c>
      <c r="K1163" t="inlineStr">
        <is>
          <t>Agassiz, Colombie-Britannique</t>
        </is>
      </c>
      <c r="P1163" t="n">
        <v>1395.14</v>
      </c>
      <c r="Q1163" t="n">
        <v>366.16</v>
      </c>
      <c r="R1163" t="n">
        <v>324.59</v>
      </c>
      <c r="S1163" t="n">
        <v>251.95</v>
      </c>
      <c r="U1163" t="n">
        <v>2337.34</v>
      </c>
      <c r="X1163" t="inlineStr">
        <is>
          <t>aafc-aac</t>
        </is>
      </c>
      <c r="Y1163" t="inlineStr">
        <is>
          <t>Agriculture and Agri-Food Canada | Agriculture et Agroalimentaire Canada</t>
        </is>
      </c>
    </row>
    <row r="1164">
      <c r="A1164" t="inlineStr">
        <is>
          <t>T-2018-Q3-00064</t>
        </is>
      </c>
      <c r="B1164" t="inlineStr">
        <is>
          <t>SLE</t>
        </is>
      </c>
      <c r="C1164" t="inlineStr">
        <is>
          <t>Assistant deputy minister, Science and Technology Branch</t>
        </is>
      </c>
      <c r="D1164" t="inlineStr">
        <is>
          <t>Sous-ministre adjoint, Direction Générale des sciences et de la technologie</t>
        </is>
      </c>
      <c r="E1164" t="inlineStr">
        <is>
          <t>Brian Gray</t>
        </is>
      </c>
      <c r="F1164" t="inlineStr">
        <is>
          <t>National Forum on Earth Observation from Space</t>
        </is>
      </c>
      <c r="G1164" t="inlineStr">
        <is>
          <t>Forum national sur l'observation de la Terre depuis l'espace</t>
        </is>
      </c>
      <c r="H1164" s="1" t="n">
        <v>43423</v>
      </c>
      <c r="I1164" s="1" t="n">
        <v>43424</v>
      </c>
      <c r="J1164" t="inlineStr">
        <is>
          <t>Montreal, Quebec</t>
        </is>
      </c>
      <c r="K1164" t="inlineStr">
        <is>
          <t>Montréal, Québec</t>
        </is>
      </c>
      <c r="Q1164" t="n">
        <v>309.72</v>
      </c>
      <c r="R1164" t="n">
        <v>177.31</v>
      </c>
      <c r="S1164" t="n">
        <v>74.7</v>
      </c>
      <c r="U1164" t="n">
        <v>561.73</v>
      </c>
      <c r="X1164" t="inlineStr">
        <is>
          <t>aafc-aac</t>
        </is>
      </c>
      <c r="Y1164" t="inlineStr">
        <is>
          <t>Agriculture and Agri-Food Canada | Agriculture et Agroalimentaire Canada</t>
        </is>
      </c>
    </row>
    <row r="1165">
      <c r="A1165" t="inlineStr">
        <is>
          <t>T-2018-Q3-00065</t>
        </is>
      </c>
      <c r="B1165" t="inlineStr">
        <is>
          <t>SLE</t>
        </is>
      </c>
      <c r="C1165" t="inlineStr">
        <is>
          <t>Chief Information Officer</t>
        </is>
      </c>
      <c r="D1165" t="inlineStr">
        <is>
          <t>Dirigeant principal de l'information</t>
        </is>
      </c>
      <c r="E1165" t="inlineStr">
        <is>
          <t>Michel Lessard</t>
        </is>
      </c>
      <c r="F1165" t="inlineStr">
        <is>
          <t xml:space="preserve">Outreach visit </t>
        </is>
      </c>
      <c r="G1165" t="inlineStr">
        <is>
          <t>Visite de sensibilisation</t>
        </is>
      </c>
      <c r="H1165" s="1" t="n">
        <v>43367</v>
      </c>
      <c r="I1165" s="1" t="n">
        <v>43370</v>
      </c>
      <c r="J1165" t="inlineStr">
        <is>
          <t>St-Jean-sur-Richelieu, St-Hyacinthe, Sherbrooke and Quebec, Quebec</t>
        </is>
      </c>
      <c r="K1165" t="inlineStr">
        <is>
          <t>St-Jean-sur-Richelieu, St-Hyacinthe, Sherbrooke et Québec, Québec</t>
        </is>
      </c>
      <c r="P1165" t="n">
        <v>0</v>
      </c>
      <c r="Q1165" t="n">
        <v>394.5</v>
      </c>
      <c r="R1165" t="n">
        <v>510.51</v>
      </c>
      <c r="S1165" t="n">
        <v>273.15</v>
      </c>
      <c r="U1165" t="n">
        <v>1178.16</v>
      </c>
      <c r="X1165" t="inlineStr">
        <is>
          <t>aafc-aac</t>
        </is>
      </c>
      <c r="Y1165" t="inlineStr">
        <is>
          <t>Agriculture and Agri-Food Canada | Agriculture et Agroalimentaire Canada</t>
        </is>
      </c>
    </row>
    <row r="1166">
      <c r="A1166" t="inlineStr">
        <is>
          <t>T-2018-Q3-00066</t>
        </is>
      </c>
      <c r="B1166" t="inlineStr">
        <is>
          <t>SLE</t>
        </is>
      </c>
      <c r="C1166" t="inlineStr">
        <is>
          <t>Chief Information Officer</t>
        </is>
      </c>
      <c r="D1166" t="inlineStr">
        <is>
          <t>Dirigeant principal de l'information</t>
        </is>
      </c>
      <c r="E1166" t="inlineStr">
        <is>
          <t>Michel Lessard</t>
        </is>
      </c>
      <c r="F1166" t="inlineStr">
        <is>
          <t>Gartner Symposium/Itxpo</t>
        </is>
      </c>
      <c r="G1166" t="inlineStr">
        <is>
          <t>Gartner Symposium/Itxpo</t>
        </is>
      </c>
      <c r="H1166" s="1" t="n">
        <v>43386</v>
      </c>
      <c r="I1166" s="1" t="n">
        <v>43392</v>
      </c>
      <c r="J1166" t="inlineStr">
        <is>
          <t>Orlando, Florida</t>
        </is>
      </c>
      <c r="K1166" t="inlineStr">
        <is>
          <t>Orlando, Floride</t>
        </is>
      </c>
      <c r="P1166" t="n">
        <v>832.02</v>
      </c>
      <c r="Q1166" t="n">
        <v>123.95</v>
      </c>
      <c r="R1166" t="n">
        <v>2911</v>
      </c>
      <c r="S1166" t="n">
        <v>363.01</v>
      </c>
      <c r="U1166" t="n">
        <v>4229.98</v>
      </c>
      <c r="X1166" t="inlineStr">
        <is>
          <t>aafc-aac</t>
        </is>
      </c>
      <c r="Y1166" t="inlineStr">
        <is>
          <t>Agriculture and Agri-Food Canada | Agriculture et Agroalimentaire Canada</t>
        </is>
      </c>
    </row>
    <row r="1167">
      <c r="A1167" t="inlineStr">
        <is>
          <t>T-2018-Q3-00069</t>
        </is>
      </c>
      <c r="B1167" t="inlineStr">
        <is>
          <t>SLE</t>
        </is>
      </c>
      <c r="C1167" t="inlineStr">
        <is>
          <t>Assistant Deputy Minister
International Affairs Branch</t>
        </is>
      </c>
      <c r="D1167" t="inlineStr">
        <is>
          <t>Sous-ministre adjoint, Direction générale des affaires internationales</t>
        </is>
      </c>
      <c r="E1167" t="inlineStr">
        <is>
          <t>Fred Gorrell</t>
        </is>
      </c>
      <c r="F1167" t="inlineStr">
        <is>
          <t>Potato Outreach</t>
        </is>
      </c>
      <c r="G1167" t="inlineStr">
        <is>
          <t>Sensibilisation de la pomme de terre</t>
        </is>
      </c>
      <c r="H1167" s="1" t="n">
        <v>43417</v>
      </c>
      <c r="I1167" s="1" t="n">
        <v>43418</v>
      </c>
      <c r="J1167" t="inlineStr">
        <is>
          <t>Edmonton, Alebrta Vancouver, British-Columbia</t>
        </is>
      </c>
      <c r="K1167" t="inlineStr">
        <is>
          <t>Edmonton, Alberta Vancouver, Colombie-Britannique</t>
        </is>
      </c>
      <c r="P1167" t="n">
        <v>934.65</v>
      </c>
      <c r="Q1167" t="n">
        <v>103</v>
      </c>
      <c r="R1167" t="n">
        <v>181.87</v>
      </c>
      <c r="S1167" t="n">
        <v>174.7</v>
      </c>
      <c r="T1167" t="n">
        <v>0</v>
      </c>
      <c r="U1167" t="n">
        <v>1394.22</v>
      </c>
      <c r="X1167" t="inlineStr">
        <is>
          <t>aafc-aac</t>
        </is>
      </c>
      <c r="Y1167" t="inlineStr">
        <is>
          <t>Agriculture and Agri-Food Canada | Agriculture et Agroalimentaire Canada</t>
        </is>
      </c>
    </row>
    <row r="1168">
      <c r="A1168" t="inlineStr">
        <is>
          <t>T-2018-Q3-00070</t>
        </is>
      </c>
      <c r="B1168" t="inlineStr">
        <is>
          <t>SLE</t>
        </is>
      </c>
      <c r="C1168" t="inlineStr">
        <is>
          <t>Director General, Office of Audit and Evaluation</t>
        </is>
      </c>
      <c r="D1168" t="inlineStr">
        <is>
          <t>Directrice générale, Bureau de la vérification et de l’évaluation</t>
        </is>
      </c>
      <c r="E1168" t="inlineStr">
        <is>
          <t>Kimberly Saunders</t>
        </is>
      </c>
      <c r="F1168" t="inlineStr">
        <is>
          <t>Departmental Audit Committee site visit</t>
        </is>
      </c>
      <c r="G1168" t="inlineStr">
        <is>
          <t>Comité ministériel de vérification visite sur le terrain</t>
        </is>
      </c>
      <c r="H1168" s="1" t="n">
        <v>43346</v>
      </c>
      <c r="I1168" s="1" t="n">
        <v>43346</v>
      </c>
      <c r="J1168" t="inlineStr">
        <is>
          <t>Halifax and Kentville, Nova Scotia</t>
        </is>
      </c>
      <c r="K1168" t="inlineStr">
        <is>
          <t>Halifax et Kentville, Nouvelle-Écosse</t>
        </is>
      </c>
      <c r="P1168" t="n">
        <v>502.85</v>
      </c>
      <c r="R1168" t="n">
        <v>339.8</v>
      </c>
      <c r="S1168" t="n">
        <v>206.3</v>
      </c>
      <c r="U1168" t="n">
        <v>1048.95</v>
      </c>
      <c r="X1168" t="inlineStr">
        <is>
          <t>aafc-aac</t>
        </is>
      </c>
      <c r="Y1168" t="inlineStr">
        <is>
          <t>Agriculture and Agri-Food Canada | Agriculture et Agroalimentaire Canada</t>
        </is>
      </c>
    </row>
    <row r="1169">
      <c r="A1169" t="inlineStr">
        <is>
          <t>T-2018-Q3-00071</t>
        </is>
      </c>
      <c r="B1169" t="inlineStr">
        <is>
          <t>SLE</t>
        </is>
      </c>
      <c r="C1169" t="inlineStr">
        <is>
          <t>Director General, Office of Audit and Evaluation</t>
        </is>
      </c>
      <c r="D1169" t="inlineStr">
        <is>
          <t>Directrice générale, Bureau de la vérification et de l’évaluation</t>
        </is>
      </c>
      <c r="E1169" t="inlineStr">
        <is>
          <t>Kimberly Saunders</t>
        </is>
      </c>
      <c r="F1169" t="inlineStr">
        <is>
          <t>Internal Institute of Auditors Conference</t>
        </is>
      </c>
      <c r="G1169" t="inlineStr">
        <is>
          <t>Conférence de l'institut des vérificateurs internes</t>
        </is>
      </c>
      <c r="H1169" s="1" t="n">
        <v>43373</v>
      </c>
      <c r="I1169" s="1" t="n">
        <v>43376</v>
      </c>
      <c r="J1169" t="inlineStr">
        <is>
          <t>Montreal, Quebec</t>
        </is>
      </c>
      <c r="K1169" t="inlineStr">
        <is>
          <t>Montréal, Québec</t>
        </is>
      </c>
      <c r="Q1169" t="n">
        <v>317.19</v>
      </c>
      <c r="R1169" t="n">
        <v>710.46</v>
      </c>
      <c r="S1169" t="n">
        <v>240.15</v>
      </c>
      <c r="T1169" t="n">
        <v>1890</v>
      </c>
      <c r="U1169" t="n">
        <v>3157.8</v>
      </c>
      <c r="X1169" t="inlineStr">
        <is>
          <t>aafc-aac</t>
        </is>
      </c>
      <c r="Y1169" t="inlineStr">
        <is>
          <t>Agriculture and Agri-Food Canada | Agriculture et Agroalimentaire Canada</t>
        </is>
      </c>
    </row>
    <row r="1170">
      <c r="A1170" t="inlineStr">
        <is>
          <t>T-2018-Q4-00001</t>
        </is>
      </c>
      <c r="B1170" t="inlineStr">
        <is>
          <t>MPSES</t>
        </is>
      </c>
      <c r="C1170" t="inlineStr">
        <is>
          <t>Minister</t>
        </is>
      </c>
      <c r="D1170" t="inlineStr">
        <is>
          <t>Ministre</t>
        </is>
      </c>
      <c r="E1170" t="inlineStr">
        <is>
          <t>Lawrence MacAulay</t>
        </is>
      </c>
      <c r="F1170" t="inlineStr">
        <is>
          <t>To attend the CropSphere Conference and attend stakeholder meetings with Saskatchewan Wheat Commission and Canadian Wheat Research Coalition. To attend the Cabinet Retreat in Sherbrooke and to attend meetings with stakeholders and the provincial Minister of Agriculture.</t>
        </is>
      </c>
      <c r="G1170" t="inlineStr">
        <is>
          <t>Pour assister à la conférence CropSphere et assister à des réunions avec la Commission du blé de Saskatchewan et la Coalition canadienne pour la recherche sur le blé. Pour assister à la retraite du Conseil des ministres à Sherbrooke et pour assister à des réunions avec des intervenants clés et le ministre de l’Agriculture provincial</t>
        </is>
      </c>
      <c r="H1170" s="1" t="n">
        <v>43479</v>
      </c>
      <c r="I1170" s="1" t="n">
        <v>43483</v>
      </c>
      <c r="J1170" t="inlineStr">
        <is>
          <t>Saskatoon, Saskatchewan; Sherbrooke, Quebec</t>
        </is>
      </c>
      <c r="K1170" t="inlineStr">
        <is>
          <t>Saskatoon, Saskatchewan; Sherbrooke, Québec</t>
        </is>
      </c>
      <c r="P1170" t="n">
        <v>2512.25</v>
      </c>
      <c r="Q1170" t="n">
        <v>25.01</v>
      </c>
      <c r="R1170" t="n">
        <v>485.47</v>
      </c>
      <c r="S1170" t="n">
        <v>276.65</v>
      </c>
      <c r="T1170" t="n">
        <v>0</v>
      </c>
      <c r="U1170" t="n">
        <v>3299.38</v>
      </c>
      <c r="X1170" t="inlineStr">
        <is>
          <t>aafc-aac</t>
        </is>
      </c>
      <c r="Y1170" t="inlineStr">
        <is>
          <t>Agriculture and Agri-Food Canada | Agriculture et Agroalimentaire Canada</t>
        </is>
      </c>
    </row>
    <row r="1171">
      <c r="A1171" t="inlineStr">
        <is>
          <t>T-2018-Q4-00002</t>
        </is>
      </c>
      <c r="B1171" t="inlineStr">
        <is>
          <t>MPSES</t>
        </is>
      </c>
      <c r="C1171" t="inlineStr">
        <is>
          <t>Minister</t>
        </is>
      </c>
      <c r="D1171" t="inlineStr">
        <is>
          <t>Ministre</t>
        </is>
      </c>
      <c r="E1171" t="inlineStr">
        <is>
          <t>Lawrence MacAulay</t>
        </is>
      </c>
      <c r="F1171" t="inlineStr">
        <is>
          <t>To attend an outreach in Montreal</t>
        </is>
      </c>
      <c r="G1171" t="inlineStr">
        <is>
          <t>Pour assister à une campagne de sensibilisation à Montréal</t>
        </is>
      </c>
      <c r="H1171" s="1" t="n">
        <v>43506</v>
      </c>
      <c r="I1171" s="1" t="n">
        <v>43507</v>
      </c>
      <c r="J1171" t="inlineStr">
        <is>
          <t>Montreal, Quebec</t>
        </is>
      </c>
      <c r="K1171" t="inlineStr">
        <is>
          <t>Montréal, Québec</t>
        </is>
      </c>
      <c r="P1171" t="n">
        <v>536.33</v>
      </c>
      <c r="Q1171" t="n">
        <v>0</v>
      </c>
      <c r="R1171" t="n">
        <v>196.35</v>
      </c>
      <c r="S1171" t="n">
        <v>124.7</v>
      </c>
      <c r="T1171" t="n">
        <v>0</v>
      </c>
      <c r="U1171" t="n">
        <v>857.38</v>
      </c>
      <c r="X1171" t="inlineStr">
        <is>
          <t>aafc-aac</t>
        </is>
      </c>
      <c r="Y1171" t="inlineStr">
        <is>
          <t>Agriculture and Agri-Food Canada | Agriculture et Agroalimentaire Canada</t>
        </is>
      </c>
    </row>
    <row r="1172">
      <c r="A1172" t="inlineStr">
        <is>
          <t>T-2018-Q4-00003</t>
        </is>
      </c>
      <c r="B1172" t="inlineStr">
        <is>
          <t>MPSES</t>
        </is>
      </c>
      <c r="C1172" t="inlineStr">
        <is>
          <t>Minister</t>
        </is>
      </c>
      <c r="D1172" t="inlineStr">
        <is>
          <t>Ministre</t>
        </is>
      </c>
      <c r="E1172" t="inlineStr">
        <is>
          <t>Lawrence MacAulay</t>
        </is>
      </c>
      <c r="F1172" t="inlineStr">
        <is>
          <t>To attend government announcements</t>
        </is>
      </c>
      <c r="G1172" t="inlineStr">
        <is>
          <t>Pour assister à des annonces gouvernementales</t>
        </is>
      </c>
      <c r="H1172" s="1" t="n">
        <v>43510</v>
      </c>
      <c r="I1172" s="1" t="n">
        <v>43510</v>
      </c>
      <c r="J1172" t="inlineStr">
        <is>
          <t>Halifax, Nova Scotia</t>
        </is>
      </c>
      <c r="K1172" t="inlineStr">
        <is>
          <t>Halifax, Nouvelle-Écosse</t>
        </is>
      </c>
      <c r="P1172" t="n">
        <v>483.78</v>
      </c>
      <c r="Q1172" t="n">
        <v>0</v>
      </c>
      <c r="R1172" t="n">
        <v>0</v>
      </c>
      <c r="S1172" t="n">
        <v>69.84999999999999</v>
      </c>
      <c r="T1172" t="n">
        <v>0</v>
      </c>
      <c r="U1172" t="n">
        <v>553.63</v>
      </c>
      <c r="X1172" t="inlineStr">
        <is>
          <t>aafc-aac</t>
        </is>
      </c>
      <c r="Y1172" t="inlineStr">
        <is>
          <t>Agriculture and Agri-Food Canada | Agriculture et Agroalimentaire Canada</t>
        </is>
      </c>
    </row>
    <row r="1173">
      <c r="A1173" t="inlineStr">
        <is>
          <t>T-2018-Q4-00004</t>
        </is>
      </c>
      <c r="B1173" t="inlineStr">
        <is>
          <t>MPSES</t>
        </is>
      </c>
      <c r="C1173" t="inlineStr">
        <is>
          <t>Minister</t>
        </is>
      </c>
      <c r="D1173" t="inlineStr">
        <is>
          <t>Ministre</t>
        </is>
      </c>
      <c r="E1173" t="inlineStr">
        <is>
          <t>Lawrence MacAulay</t>
        </is>
      </c>
      <c r="F1173" t="inlineStr">
        <is>
          <t>To attend the Ministerial Mission in Washington</t>
        </is>
      </c>
      <c r="G1173" t="inlineStr">
        <is>
          <t>Pour assister à la mission ministérielle à Washington</t>
        </is>
      </c>
      <c r="H1173" s="1" t="n">
        <v>43515</v>
      </c>
      <c r="I1173" s="1" t="n">
        <v>43518</v>
      </c>
      <c r="J1173" t="inlineStr">
        <is>
          <t>Washington, District of Columbia</t>
        </is>
      </c>
      <c r="K1173" t="inlineStr">
        <is>
          <t>Washington, district de Columbia</t>
        </is>
      </c>
      <c r="P1173" t="n">
        <v>1569.25</v>
      </c>
      <c r="Q1173" t="n">
        <v>0</v>
      </c>
      <c r="R1173" t="n">
        <v>884.21</v>
      </c>
      <c r="S1173" t="n">
        <v>426.43</v>
      </c>
      <c r="T1173" t="n">
        <v>0</v>
      </c>
      <c r="U1173" t="n">
        <v>2879.89</v>
      </c>
      <c r="X1173" t="inlineStr">
        <is>
          <t>aafc-aac</t>
        </is>
      </c>
      <c r="Y1173" t="inlineStr">
        <is>
          <t>Agriculture and Agri-Food Canada | Agriculture et Agroalimentaire Canada</t>
        </is>
      </c>
    </row>
    <row r="1174">
      <c r="A1174" t="inlineStr">
        <is>
          <t>T-2018-Q4-00005</t>
        </is>
      </c>
      <c r="B1174" t="inlineStr">
        <is>
          <t>MPSES</t>
        </is>
      </c>
      <c r="C1174" t="inlineStr">
        <is>
          <t>Minister</t>
        </is>
      </c>
      <c r="D1174" t="inlineStr">
        <is>
          <t>Ministre</t>
        </is>
      </c>
      <c r="E1174" t="inlineStr">
        <is>
          <t>Lawrence MacAulay</t>
        </is>
      </c>
      <c r="F1174" t="inlineStr">
        <is>
          <t>To attend an outreach in Halifax and the Agriculture Growth Summit</t>
        </is>
      </c>
      <c r="G1174" t="inlineStr">
        <is>
          <t>Pour assister à une campagne de sensibilisation à Halifax et au Agriculture Growth Summit</t>
        </is>
      </c>
      <c r="H1174" s="1" t="n">
        <v>43524</v>
      </c>
      <c r="I1174" s="1" t="n">
        <v>43524</v>
      </c>
      <c r="J1174" t="inlineStr">
        <is>
          <t>Halifax, Nova Scotia</t>
        </is>
      </c>
      <c r="K1174" t="inlineStr">
        <is>
          <t>Halifax, Nouvelle-Écosse</t>
        </is>
      </c>
      <c r="P1174" t="n">
        <v>1027.78</v>
      </c>
      <c r="Q1174" t="n">
        <v>0</v>
      </c>
      <c r="R1174" t="n">
        <v>0</v>
      </c>
      <c r="S1174" t="n">
        <v>69.84999999999999</v>
      </c>
      <c r="T1174" t="n">
        <v>0</v>
      </c>
      <c r="U1174" t="n">
        <v>1097.63</v>
      </c>
      <c r="X1174" t="inlineStr">
        <is>
          <t>aafc-aac</t>
        </is>
      </c>
      <c r="Y1174" t="inlineStr">
        <is>
          <t>Agriculture and Agri-Food Canada | Agriculture et Agroalimentaire Canada</t>
        </is>
      </c>
    </row>
    <row r="1175">
      <c r="A1175" t="inlineStr">
        <is>
          <t>T-2018-Q4-00006</t>
        </is>
      </c>
      <c r="B1175" t="inlineStr">
        <is>
          <t>MPSES</t>
        </is>
      </c>
      <c r="C1175" t="inlineStr">
        <is>
          <t>Chief of Staff</t>
        </is>
      </c>
      <c r="D1175" t="inlineStr">
        <is>
          <t>Chef de cabinet</t>
        </is>
      </c>
      <c r="E1175" t="inlineStr">
        <is>
          <t>Vincent MacNeil</t>
        </is>
      </c>
      <c r="F1175" t="inlineStr">
        <is>
          <t>To attend meetings with stakeholders and a briefing/succession planning meeting</t>
        </is>
      </c>
      <c r="G1175" t="inlineStr">
        <is>
          <t>Pour assister à des réunions avec des intervenants clés et à une réunion de planification de succession</t>
        </is>
      </c>
      <c r="H1175" s="1" t="n">
        <v>43441</v>
      </c>
      <c r="I1175" s="1" t="n">
        <v>43442</v>
      </c>
      <c r="J1175" t="inlineStr">
        <is>
          <t>Calgary, Alberta</t>
        </is>
      </c>
      <c r="K1175" t="inlineStr">
        <is>
          <t>Calgary, Alberta</t>
        </is>
      </c>
      <c r="P1175" t="n">
        <v>1533.03</v>
      </c>
      <c r="Q1175" t="n">
        <v>160.18</v>
      </c>
      <c r="R1175" t="n">
        <v>133.6</v>
      </c>
      <c r="S1175" t="n">
        <v>144.95</v>
      </c>
      <c r="T1175" t="n">
        <v>0</v>
      </c>
      <c r="U1175" t="n">
        <v>1971.76</v>
      </c>
      <c r="X1175" t="inlineStr">
        <is>
          <t>aafc-aac</t>
        </is>
      </c>
      <c r="Y1175" t="inlineStr">
        <is>
          <t>Agriculture and Agri-Food Canada | Agriculture et Agroalimentaire Canada</t>
        </is>
      </c>
    </row>
    <row r="1176">
      <c r="A1176" t="inlineStr">
        <is>
          <t>T-2018-Q4-00007</t>
        </is>
      </c>
      <c r="B1176" t="inlineStr">
        <is>
          <t>MPSES</t>
        </is>
      </c>
      <c r="C1176" t="inlineStr">
        <is>
          <t>Chief of Staff</t>
        </is>
      </c>
      <c r="D1176" t="inlineStr">
        <is>
          <t>Chef de cabinet</t>
        </is>
      </c>
      <c r="E1176" t="inlineStr">
        <is>
          <t>Vincent MacNeil</t>
        </is>
      </c>
      <c r="F1176" t="inlineStr">
        <is>
          <t>To attend various meetings on behalf of the Minister</t>
        </is>
      </c>
      <c r="G1176" t="inlineStr">
        <is>
          <t>Pour assister à diverses réunions au nom du ministre</t>
        </is>
      </c>
      <c r="H1176" s="1" t="n">
        <v>43445</v>
      </c>
      <c r="I1176" s="1" t="n">
        <v>43446</v>
      </c>
      <c r="J1176" t="inlineStr">
        <is>
          <t>Toronto, Ontario</t>
        </is>
      </c>
      <c r="K1176" t="inlineStr">
        <is>
          <t>Toronto, Ontario</t>
        </is>
      </c>
      <c r="P1176" t="n">
        <v>733.65</v>
      </c>
      <c r="Q1176" t="n">
        <v>213.57</v>
      </c>
      <c r="R1176" t="n">
        <v>210.36</v>
      </c>
      <c r="S1176" t="n">
        <v>144.95</v>
      </c>
      <c r="T1176" t="n">
        <v>0</v>
      </c>
      <c r="U1176" t="n">
        <v>1302.53</v>
      </c>
      <c r="X1176" t="inlineStr">
        <is>
          <t>aafc-aac</t>
        </is>
      </c>
      <c r="Y1176" t="inlineStr">
        <is>
          <t>Agriculture and Agri-Food Canada | Agriculture et Agroalimentaire Canada</t>
        </is>
      </c>
    </row>
    <row r="1177">
      <c r="A1177" t="inlineStr">
        <is>
          <t>T-2018-Q4-00008</t>
        </is>
      </c>
      <c r="B1177" t="inlineStr">
        <is>
          <t>MPSES</t>
        </is>
      </c>
      <c r="C1177" t="inlineStr">
        <is>
          <t>Chief of Staff</t>
        </is>
      </c>
      <c r="D1177" t="inlineStr">
        <is>
          <t>Chef de cabinet</t>
        </is>
      </c>
      <c r="E1177" t="inlineStr">
        <is>
          <t>Vincent MacNeil</t>
        </is>
      </c>
      <c r="F1177" t="inlineStr">
        <is>
          <t>To support and attend various meetings with the Minister</t>
        </is>
      </c>
      <c r="G1177" t="inlineStr">
        <is>
          <t>Pour assister et soutenir le ministre à diverses réunions</t>
        </is>
      </c>
      <c r="H1177" s="1" t="n">
        <v>43447</v>
      </c>
      <c r="I1177" s="1" t="n">
        <v>43448</v>
      </c>
      <c r="J1177" t="inlineStr">
        <is>
          <t>Charlottetown, Prince Edward Island</t>
        </is>
      </c>
      <c r="K1177" t="inlineStr">
        <is>
          <t>Charlottetown, Île-du-Prince-Édouard</t>
        </is>
      </c>
      <c r="P1177" t="n">
        <v>1534.99</v>
      </c>
      <c r="Q1177" t="n">
        <v>41.39</v>
      </c>
      <c r="R1177" t="n">
        <v>0</v>
      </c>
      <c r="S1177" t="n">
        <v>124.7</v>
      </c>
      <c r="T1177" t="n">
        <v>0</v>
      </c>
      <c r="U1177" t="n">
        <v>1701.08</v>
      </c>
      <c r="X1177" t="inlineStr">
        <is>
          <t>aafc-aac</t>
        </is>
      </c>
      <c r="Y1177" t="inlineStr">
        <is>
          <t>Agriculture and Agri-Food Canada | Agriculture et Agroalimentaire Canada</t>
        </is>
      </c>
    </row>
    <row r="1178">
      <c r="A1178" t="inlineStr">
        <is>
          <t>T-2018-Q4-00009</t>
        </is>
      </c>
      <c r="B1178" t="inlineStr">
        <is>
          <t>MPSES</t>
        </is>
      </c>
      <c r="C1178" t="inlineStr">
        <is>
          <t>Chief of Staff</t>
        </is>
      </c>
      <c r="D1178" t="inlineStr">
        <is>
          <t>Chef de cabinet</t>
        </is>
      </c>
      <c r="E1178" t="inlineStr">
        <is>
          <t>Vincent MacNeil</t>
        </is>
      </c>
      <c r="F1178" t="inlineStr">
        <is>
          <t>To meet with provincial officials and to accompany the minister to meetings</t>
        </is>
      </c>
      <c r="G1178" t="inlineStr">
        <is>
          <t>Pour assister à des rencontres avec des agents provinciaux et accompagner le ministre à des réunions</t>
        </is>
      </c>
      <c r="H1178" s="1" t="n">
        <v>43452</v>
      </c>
      <c r="I1178" s="1" t="n">
        <v>43453</v>
      </c>
      <c r="J1178" t="inlineStr">
        <is>
          <t>Halifax, Nova Scotia</t>
        </is>
      </c>
      <c r="K1178" t="inlineStr">
        <is>
          <t xml:space="preserve">Halifax, Nouvelle-Écosse </t>
        </is>
      </c>
      <c r="P1178" t="n">
        <v>695.79</v>
      </c>
      <c r="Q1178" t="n">
        <v>230.94</v>
      </c>
      <c r="R1178" t="n">
        <v>143.11</v>
      </c>
      <c r="S1178" t="n">
        <v>147.5</v>
      </c>
      <c r="T1178" t="n">
        <v>0</v>
      </c>
      <c r="U1178" t="n">
        <v>1217.34</v>
      </c>
      <c r="X1178" t="inlineStr">
        <is>
          <t>aafc-aac</t>
        </is>
      </c>
      <c r="Y1178" t="inlineStr">
        <is>
          <t>Agriculture and Agri-Food Canada | Agriculture et Agroalimentaire Canada</t>
        </is>
      </c>
    </row>
    <row r="1179">
      <c r="A1179" t="inlineStr">
        <is>
          <t>T-2018-Q4-00010</t>
        </is>
      </c>
      <c r="B1179" t="inlineStr">
        <is>
          <t>MPSES</t>
        </is>
      </c>
      <c r="C1179" t="inlineStr">
        <is>
          <t>Senior Communications and Policy Advisor</t>
        </is>
      </c>
      <c r="D1179" t="inlineStr">
        <is>
          <t xml:space="preserve">Conseiller principal en communications et politiques </t>
        </is>
      </c>
      <c r="E1179" t="inlineStr">
        <is>
          <t>Oliver Anderson</t>
        </is>
      </c>
      <c r="F1179" t="inlineStr">
        <is>
          <t>To accompany the Minister for announcements, stakeholder meetings and to brief the Minister for year-end interviews</t>
        </is>
      </c>
      <c r="G1179" t="inlineStr">
        <is>
          <t>Pour accompagner le ministre à des annonces, des réunions avec des intervenants clés et pour informer le ministre dans le cadre des entrevues de fin d’année</t>
        </is>
      </c>
      <c r="H1179" s="1" t="n">
        <v>43440</v>
      </c>
      <c r="I1179" s="1" t="n">
        <v>43442</v>
      </c>
      <c r="J1179" t="inlineStr">
        <is>
          <t>Charlottetown, Prince Edward Island</t>
        </is>
      </c>
      <c r="K1179" t="inlineStr">
        <is>
          <t>Charlottetown, Île-du-Prince-Édouard</t>
        </is>
      </c>
      <c r="P1179" t="n">
        <v>1527.31</v>
      </c>
      <c r="Q1179" t="n">
        <v>0</v>
      </c>
      <c r="R1179" t="n">
        <v>362.46</v>
      </c>
      <c r="S1179" t="n">
        <v>212.25</v>
      </c>
      <c r="T1179" t="n">
        <v>0</v>
      </c>
      <c r="U1179" t="n">
        <v>2102.02</v>
      </c>
      <c r="X1179" t="inlineStr">
        <is>
          <t>aafc-aac</t>
        </is>
      </c>
      <c r="Y1179" t="inlineStr">
        <is>
          <t>Agriculture and Agri-Food Canada | Agriculture et Agroalimentaire Canada</t>
        </is>
      </c>
    </row>
    <row r="1180">
      <c r="A1180" t="inlineStr">
        <is>
          <t>T-2018-Q4-00011</t>
        </is>
      </c>
      <c r="B1180" t="inlineStr">
        <is>
          <t>MPSES</t>
        </is>
      </c>
      <c r="C1180" t="inlineStr">
        <is>
          <t>Senior Communications and Policy Advisor</t>
        </is>
      </c>
      <c r="D1180" t="inlineStr">
        <is>
          <t xml:space="preserve">Conseiller principal en communications et politiques </t>
        </is>
      </c>
      <c r="E1180" t="inlineStr">
        <is>
          <t>Oliver Anderson</t>
        </is>
      </c>
      <c r="F1180" t="inlineStr">
        <is>
          <t>To make an announcement on a new innovation program on behalf of Minister Bains</t>
        </is>
      </c>
      <c r="G1180" t="inlineStr">
        <is>
          <t>Pour faire une annonce sur un nouveau programme d’innovation au nom du ministre Bains</t>
        </is>
      </c>
      <c r="H1180" s="1" t="n">
        <v>43448</v>
      </c>
      <c r="I1180" s="1" t="n">
        <v>43448</v>
      </c>
      <c r="J1180" t="inlineStr">
        <is>
          <t>Montreal, Quebec</t>
        </is>
      </c>
      <c r="K1180" t="inlineStr">
        <is>
          <t>Montréal, Québec</t>
        </is>
      </c>
      <c r="P1180" t="n">
        <v>0</v>
      </c>
      <c r="Q1180" t="n">
        <v>92.23999999999999</v>
      </c>
      <c r="R1180" t="n">
        <v>0</v>
      </c>
      <c r="S1180" t="n">
        <v>40.1</v>
      </c>
      <c r="T1180" t="n">
        <v>0</v>
      </c>
      <c r="U1180" t="n">
        <v>132.34</v>
      </c>
      <c r="X1180" t="inlineStr">
        <is>
          <t>aafc-aac</t>
        </is>
      </c>
      <c r="Y1180" t="inlineStr">
        <is>
          <t>Agriculture and Agri-Food Canada | Agriculture et Agroalimentaire Canada</t>
        </is>
      </c>
    </row>
    <row r="1181">
      <c r="A1181" t="inlineStr">
        <is>
          <t>T-2018-Q4-00012</t>
        </is>
      </c>
      <c r="B1181" t="inlineStr">
        <is>
          <t>MPSES</t>
        </is>
      </c>
      <c r="C1181" t="inlineStr">
        <is>
          <t>Senior Communications and Policy Advisor</t>
        </is>
      </c>
      <c r="D1181" t="inlineStr">
        <is>
          <t xml:space="preserve">Conseiller principal en communications et politiques </t>
        </is>
      </c>
      <c r="E1181" t="inlineStr">
        <is>
          <t>Oliver Anderson</t>
        </is>
      </c>
      <c r="F1181" t="inlineStr">
        <is>
          <t>To accompany the Minister at the CropSphere Conference and attend stakeholder meetings with Saskatchewan Wheat Commission and Canadian Wheat Research Coalition</t>
        </is>
      </c>
      <c r="G1181" t="inlineStr">
        <is>
          <t>Pour accompagner le ministre à la conférence CropSphere et assister à des réunions avec la Commission du blé de Saskatchewan et la Coalition canadienne pour la recherche sur le blé</t>
        </is>
      </c>
      <c r="H1181" s="1" t="n">
        <v>43479</v>
      </c>
      <c r="I1181" s="1" t="n">
        <v>43480</v>
      </c>
      <c r="J1181" t="inlineStr">
        <is>
          <t>Saskatoon, Saskatchewan</t>
        </is>
      </c>
      <c r="K1181" t="inlineStr">
        <is>
          <t>Saskatoon, Saskatchewan</t>
        </is>
      </c>
      <c r="P1181" t="n">
        <v>1475.01</v>
      </c>
      <c r="Q1181" t="n">
        <v>59.7</v>
      </c>
      <c r="R1181" t="n">
        <v>176.07</v>
      </c>
      <c r="S1181" t="n">
        <v>124.7</v>
      </c>
      <c r="T1181" t="n">
        <v>0</v>
      </c>
      <c r="U1181" t="n">
        <v>1835.48</v>
      </c>
      <c r="X1181" t="inlineStr">
        <is>
          <t>aafc-aac</t>
        </is>
      </c>
      <c r="Y1181" t="inlineStr">
        <is>
          <t>Agriculture and Agri-Food Canada | Agriculture et Agroalimentaire Canada</t>
        </is>
      </c>
    </row>
    <row r="1182">
      <c r="A1182" t="inlineStr">
        <is>
          <t>T-2018-Q4-00013</t>
        </is>
      </c>
      <c r="B1182" t="inlineStr">
        <is>
          <t>MPSES</t>
        </is>
      </c>
      <c r="C1182" t="inlineStr">
        <is>
          <t>Senior Communications and Policy Advisor</t>
        </is>
      </c>
      <c r="D1182" t="inlineStr">
        <is>
          <t xml:space="preserve">Conseiller principal en communications et politiques </t>
        </is>
      </c>
      <c r="E1182" t="inlineStr">
        <is>
          <t>Oliver Anderson</t>
        </is>
      </c>
      <c r="F1182" t="inlineStr">
        <is>
          <t>To accompany the Minister to the Cabinet Retreat in Sherbrooke and to attend meetings with stakeholders and the provincial Minister of Agriculture</t>
        </is>
      </c>
      <c r="G1182" t="inlineStr">
        <is>
          <t>Pour accompagner le ministre à la retraite du Conseil des ministres à Sherbrooke et pour assister à des réunions avec des intervenants clés et le ministre de l’Agriculture provincial</t>
        </is>
      </c>
      <c r="H1182" s="1" t="n">
        <v>43481</v>
      </c>
      <c r="I1182" s="1" t="n">
        <v>43483</v>
      </c>
      <c r="J1182" t="inlineStr">
        <is>
          <t>Sherbrooke, Quebec</t>
        </is>
      </c>
      <c r="K1182" t="inlineStr">
        <is>
          <t>Sherbrooke, Québec</t>
        </is>
      </c>
      <c r="P1182" t="n">
        <v>0</v>
      </c>
      <c r="Q1182" t="n">
        <v>207.34</v>
      </c>
      <c r="R1182" t="n">
        <v>285.48</v>
      </c>
      <c r="S1182" t="n">
        <v>251.95</v>
      </c>
      <c r="T1182" t="n">
        <v>0</v>
      </c>
      <c r="U1182" t="n">
        <v>744.77</v>
      </c>
      <c r="X1182" t="inlineStr">
        <is>
          <t>aafc-aac</t>
        </is>
      </c>
      <c r="Y1182" t="inlineStr">
        <is>
          <t>Agriculture and Agri-Food Canada | Agriculture et Agroalimentaire Canada</t>
        </is>
      </c>
    </row>
    <row r="1183">
      <c r="A1183" t="inlineStr">
        <is>
          <t>T-2018-Q4-00014</t>
        </is>
      </c>
      <c r="B1183" t="inlineStr">
        <is>
          <t>MPSES</t>
        </is>
      </c>
      <c r="C1183" t="inlineStr">
        <is>
          <t>Senior Communications and Policy Advisor</t>
        </is>
      </c>
      <c r="D1183" t="inlineStr">
        <is>
          <t xml:space="preserve">Conseiller principal en communications et politiques </t>
        </is>
      </c>
      <c r="E1183" t="inlineStr">
        <is>
          <t>Oliver Anderson</t>
        </is>
      </c>
      <c r="F1183" t="inlineStr">
        <is>
          <t>To accompany the Minister and Parliamentary Secretary to an outreach in Montreal</t>
        </is>
      </c>
      <c r="G1183" t="inlineStr">
        <is>
          <t>Pour accompagner le ministre et le secrétaire parlementaire à une campagne de sensibilisation à Montréal</t>
        </is>
      </c>
      <c r="H1183" s="1" t="n">
        <v>43506</v>
      </c>
      <c r="I1183" s="1" t="n">
        <v>43507</v>
      </c>
      <c r="J1183" t="inlineStr">
        <is>
          <t>Montreal, Quebec</t>
        </is>
      </c>
      <c r="K1183" t="inlineStr">
        <is>
          <t>Montréal, Québec</t>
        </is>
      </c>
      <c r="S1183" t="n">
        <v>124.7</v>
      </c>
      <c r="T1183" t="n">
        <v>0</v>
      </c>
      <c r="U1183" t="n">
        <v>124.7</v>
      </c>
      <c r="X1183" t="inlineStr">
        <is>
          <t>aafc-aac</t>
        </is>
      </c>
      <c r="Y1183" t="inlineStr">
        <is>
          <t>Agriculture and Agri-Food Canada | Agriculture et Agroalimentaire Canada</t>
        </is>
      </c>
    </row>
    <row r="1184">
      <c r="A1184" t="inlineStr">
        <is>
          <t>T-2018-Q4-00015</t>
        </is>
      </c>
      <c r="B1184" t="inlineStr">
        <is>
          <t>MPSES</t>
        </is>
      </c>
      <c r="C1184" t="inlineStr">
        <is>
          <t>Senior Communications and Policy Advisor</t>
        </is>
      </c>
      <c r="D1184" t="inlineStr">
        <is>
          <t xml:space="preserve">Conseiller principal en communications et politiques </t>
        </is>
      </c>
      <c r="E1184" t="inlineStr">
        <is>
          <t>Oliver Anderson</t>
        </is>
      </c>
      <c r="F1184" t="inlineStr">
        <is>
          <t>To accompany the Minister to an outreach in Burlington</t>
        </is>
      </c>
      <c r="G1184" t="inlineStr">
        <is>
          <t>Pour accompagner le ministre à une campagne de sensibilisation à Burlington</t>
        </is>
      </c>
      <c r="H1184" s="1" t="n">
        <v>43508</v>
      </c>
      <c r="I1184" s="1" t="n">
        <v>43508</v>
      </c>
      <c r="J1184" t="inlineStr">
        <is>
          <t>Burlington, Ontario</t>
        </is>
      </c>
      <c r="K1184" t="inlineStr">
        <is>
          <t>Burlington, Ontario</t>
        </is>
      </c>
      <c r="P1184" t="n">
        <v>0</v>
      </c>
      <c r="Q1184" t="n">
        <v>0</v>
      </c>
      <c r="R1184" t="n">
        <v>145.72</v>
      </c>
      <c r="S1184" t="n">
        <v>0</v>
      </c>
      <c r="T1184" t="n">
        <v>0</v>
      </c>
      <c r="U1184" t="n">
        <v>145.72</v>
      </c>
      <c r="X1184" t="inlineStr">
        <is>
          <t>aafc-aac</t>
        </is>
      </c>
      <c r="Y1184" t="inlineStr">
        <is>
          <t>Agriculture and Agri-Food Canada | Agriculture et Agroalimentaire Canada</t>
        </is>
      </c>
    </row>
    <row r="1185">
      <c r="A1185" t="inlineStr">
        <is>
          <t>T-2018-Q4-00016</t>
        </is>
      </c>
      <c r="B1185" t="inlineStr">
        <is>
          <t>MPSES</t>
        </is>
      </c>
      <c r="C1185" t="inlineStr">
        <is>
          <t>Senior Communications and Policy Advisor</t>
        </is>
      </c>
      <c r="D1185" t="inlineStr">
        <is>
          <t xml:space="preserve">Conseiller principal en communications et politiques </t>
        </is>
      </c>
      <c r="E1185" t="inlineStr">
        <is>
          <t>Oliver Anderson</t>
        </is>
      </c>
      <c r="F1185" t="inlineStr">
        <is>
          <t>To accompany the Minister for government announcements</t>
        </is>
      </c>
      <c r="G1185" t="inlineStr">
        <is>
          <t>Pour accompagner le ministre pour des annonces gouvernementales</t>
        </is>
      </c>
      <c r="H1185" s="1" t="n">
        <v>43508</v>
      </c>
      <c r="I1185" s="1" t="n">
        <v>43512</v>
      </c>
      <c r="J1185" t="inlineStr">
        <is>
          <t>Charlottetown, Prince Edward Island</t>
        </is>
      </c>
      <c r="K1185" t="inlineStr">
        <is>
          <t>Charlottetown, Île-du-Prince-Édouard</t>
        </is>
      </c>
      <c r="P1185" t="n">
        <v>1892.41</v>
      </c>
      <c r="Q1185" t="n">
        <v>234.12</v>
      </c>
      <c r="R1185" t="n">
        <v>395.62</v>
      </c>
      <c r="S1185" t="n">
        <v>232.1</v>
      </c>
      <c r="T1185" t="n">
        <v>0</v>
      </c>
      <c r="U1185" t="n">
        <v>2754.25</v>
      </c>
      <c r="X1185" t="inlineStr">
        <is>
          <t>aafc-aac</t>
        </is>
      </c>
      <c r="Y1185" t="inlineStr">
        <is>
          <t>Agriculture and Agri-Food Canada | Agriculture et Agroalimentaire Canada</t>
        </is>
      </c>
    </row>
    <row r="1186">
      <c r="A1186" t="inlineStr">
        <is>
          <t>T-2018-Q4-00017</t>
        </is>
      </c>
      <c r="B1186" t="inlineStr">
        <is>
          <t>MPSES</t>
        </is>
      </c>
      <c r="C1186" t="inlineStr">
        <is>
          <t>Special Assistant</t>
        </is>
      </c>
      <c r="D1186" t="inlineStr">
        <is>
          <t>Assistant spécial</t>
        </is>
      </c>
      <c r="E1186" t="inlineStr">
        <is>
          <t>Jean-Sébastien Comeau</t>
        </is>
      </c>
      <c r="F1186" t="inlineStr">
        <is>
          <t>To accompany the Parliamentary Secretary for a speech at the Union des producteurs agricoles Congress</t>
        </is>
      </c>
      <c r="G1186" t="inlineStr">
        <is>
          <t>Pour accompagner le secrétaire parlementaire pour prononcer un discours au Congrès de l'Union des producteurs agricoles</t>
        </is>
      </c>
      <c r="H1186" s="1" t="n">
        <v>43438</v>
      </c>
      <c r="I1186" s="1" t="n">
        <v>43439</v>
      </c>
      <c r="J1186" t="inlineStr">
        <is>
          <t>Quebec City, Quebec</t>
        </is>
      </c>
      <c r="K1186" t="inlineStr">
        <is>
          <t>Québec, Québec</t>
        </is>
      </c>
      <c r="P1186" t="n">
        <v>953.92</v>
      </c>
      <c r="Q1186" t="n">
        <v>0</v>
      </c>
      <c r="R1186" t="n">
        <v>208.26</v>
      </c>
      <c r="S1186" t="n">
        <v>174.7</v>
      </c>
      <c r="T1186" t="n">
        <v>0</v>
      </c>
      <c r="U1186" t="n">
        <v>1336.88</v>
      </c>
      <c r="X1186" t="inlineStr">
        <is>
          <t>aafc-aac</t>
        </is>
      </c>
      <c r="Y1186" t="inlineStr">
        <is>
          <t>Agriculture and Agri-Food Canada | Agriculture et Agroalimentaire Canada</t>
        </is>
      </c>
    </row>
    <row r="1187">
      <c r="A1187" t="inlineStr">
        <is>
          <t>T-2018-Q4-00018</t>
        </is>
      </c>
      <c r="B1187" t="inlineStr">
        <is>
          <t>MPSES</t>
        </is>
      </c>
      <c r="C1187" t="inlineStr">
        <is>
          <t>Special Assistant</t>
        </is>
      </c>
      <c r="D1187" t="inlineStr">
        <is>
          <t>Assistant spécial</t>
        </is>
      </c>
      <c r="E1187" t="inlineStr">
        <is>
          <t>Jean-Sébastien Comeau</t>
        </is>
      </c>
      <c r="F1187" t="inlineStr">
        <is>
          <t>To accompany the Parliamentary Secretary to an announcement in St-Benoit-du-Lac with Minister Bibeau.  To accompany the Minister and Parliamentary Secretary to a meeting with the Union des Producteurs Agricoles and ministerial bilateral meeting with Minister Lamontagne in Sherbrooke</t>
        </is>
      </c>
      <c r="G1187" t="inlineStr">
        <is>
          <t>Pour accompagner le secrétaire parlementaire pour faire une annonce à St-Benoît-du-Lac avec le ministre Bibeau. Pour accompagner le ministre et le secrétaire parlementaire à une réunion avec l’Union des producteurs agricoles et une réunion bilatérale avec le ministre Lamontagne à Sherbrooke</t>
        </is>
      </c>
      <c r="H1187" s="1" t="n">
        <v>43480</v>
      </c>
      <c r="I1187" s="1" t="n">
        <v>43482</v>
      </c>
      <c r="J1187" t="inlineStr">
        <is>
          <t>St-Benoit-du-Lac, Quebec; Sherbrooke, Quebec</t>
        </is>
      </c>
      <c r="K1187" t="inlineStr">
        <is>
          <t>St-Benoît-du-Lac, Québec; Sherbrooke, Québec</t>
        </is>
      </c>
      <c r="P1187" t="n">
        <v>0</v>
      </c>
      <c r="Q1187" t="n">
        <v>274.99</v>
      </c>
      <c r="R1187" t="n">
        <v>0</v>
      </c>
      <c r="S1187" t="n">
        <v>194.55</v>
      </c>
      <c r="T1187" t="n">
        <v>0</v>
      </c>
      <c r="U1187" t="n">
        <v>469.54</v>
      </c>
      <c r="X1187" t="inlineStr">
        <is>
          <t>aafc-aac</t>
        </is>
      </c>
      <c r="Y1187" t="inlineStr">
        <is>
          <t>Agriculture and Agri-Food Canada | Agriculture et Agroalimentaire Canada</t>
        </is>
      </c>
    </row>
    <row r="1188">
      <c r="A1188" t="inlineStr">
        <is>
          <t>T-2018-Q4-00046</t>
        </is>
      </c>
      <c r="B1188" t="inlineStr">
        <is>
          <t>SLE</t>
        </is>
      </c>
      <c r="C1188" t="inlineStr">
        <is>
          <t>Corporate Secretary</t>
        </is>
      </c>
      <c r="D1188" t="inlineStr">
        <is>
          <t>Secrétaire générale</t>
        </is>
      </c>
      <c r="E1188" t="inlineStr">
        <is>
          <t>Lisa Foss</t>
        </is>
      </c>
      <c r="F1188" t="inlineStr">
        <is>
          <t>To attend operational activity meetings</t>
        </is>
      </c>
      <c r="G1188" t="inlineStr">
        <is>
          <t>Pour assister à des réunions des activités opérationnelles</t>
        </is>
      </c>
      <c r="H1188" s="1" t="n">
        <v>43488</v>
      </c>
      <c r="I1188" s="1" t="n">
        <v>43490</v>
      </c>
      <c r="J1188" t="inlineStr">
        <is>
          <t>Winnipeg, Manitoba</t>
        </is>
      </c>
      <c r="K1188" t="inlineStr">
        <is>
          <t>Winnipeg, Manitoba</t>
        </is>
      </c>
      <c r="P1188" t="n">
        <v>565.54</v>
      </c>
      <c r="Q1188" t="n">
        <v>82</v>
      </c>
      <c r="R1188" t="n">
        <v>352.38</v>
      </c>
      <c r="S1188" t="n">
        <v>177.65</v>
      </c>
      <c r="T1188" t="n">
        <v>0</v>
      </c>
      <c r="U1188" t="n">
        <v>1177.57</v>
      </c>
      <c r="X1188" t="inlineStr">
        <is>
          <t>aafc-aac</t>
        </is>
      </c>
      <c r="Y1188" t="inlineStr">
        <is>
          <t>Agriculture and Agri-Food Canada | Agriculture et Agroalimentaire Canada</t>
        </is>
      </c>
    </row>
    <row r="1189">
      <c r="A1189" t="inlineStr">
        <is>
          <t>T-2018-Q4-00019</t>
        </is>
      </c>
      <c r="B1189" t="inlineStr">
        <is>
          <t>MPSES</t>
        </is>
      </c>
      <c r="C1189" t="inlineStr">
        <is>
          <t>Special Assistant</t>
        </is>
      </c>
      <c r="D1189" t="inlineStr">
        <is>
          <t>Assistant spécial</t>
        </is>
      </c>
      <c r="E1189" t="inlineStr">
        <is>
          <t>Jean-Sébastien Comeau</t>
        </is>
      </c>
      <c r="F1189" t="inlineStr">
        <is>
          <t>To accompany the Minister and Parliamentary Secretary to an outreach in Montreal.</t>
        </is>
      </c>
      <c r="G1189" t="inlineStr">
        <is>
          <t>Pour accompagner le ministre et le secrétaire parlementaire à une campagne de sensibilisation à Montréal</t>
        </is>
      </c>
      <c r="H1189" s="1" t="n">
        <v>43506</v>
      </c>
      <c r="I1189" s="1" t="n">
        <v>43508</v>
      </c>
      <c r="J1189" t="inlineStr">
        <is>
          <t>Montreal, Quebec</t>
        </is>
      </c>
      <c r="K1189" t="inlineStr">
        <is>
          <t>Montréal, Québec</t>
        </is>
      </c>
      <c r="P1189" t="n">
        <v>0</v>
      </c>
      <c r="Q1189" t="n">
        <v>217.81</v>
      </c>
      <c r="R1189" t="n">
        <v>0</v>
      </c>
      <c r="S1189" t="n">
        <v>124.7</v>
      </c>
      <c r="T1189" t="n">
        <v>0</v>
      </c>
      <c r="U1189" t="n">
        <v>342.51</v>
      </c>
      <c r="X1189" t="inlineStr">
        <is>
          <t>aafc-aac</t>
        </is>
      </c>
      <c r="Y1189" t="inlineStr">
        <is>
          <t>Agriculture and Agri-Food Canada | Agriculture et Agroalimentaire Canada</t>
        </is>
      </c>
    </row>
    <row r="1190">
      <c r="A1190" t="inlineStr">
        <is>
          <t>T-2018-Q4-00020</t>
        </is>
      </c>
      <c r="B1190" t="inlineStr">
        <is>
          <t>MPSES</t>
        </is>
      </c>
      <c r="C1190" t="inlineStr">
        <is>
          <t>Special Assistant</t>
        </is>
      </c>
      <c r="D1190" t="inlineStr">
        <is>
          <t>Assistant spécial</t>
        </is>
      </c>
      <c r="E1190" t="inlineStr">
        <is>
          <t>Jean-Sébastien Comeau</t>
        </is>
      </c>
      <c r="F1190" t="inlineStr">
        <is>
          <t>To attend an outreach in Halifax and the Agriculture Growth Summit</t>
        </is>
      </c>
      <c r="G1190" t="inlineStr">
        <is>
          <t>Pour assister à une campagne de sensibilisation à Halifax et au Agriculture Growth Summit</t>
        </is>
      </c>
      <c r="H1190" s="1" t="n">
        <v>43524</v>
      </c>
      <c r="I1190" s="1" t="n">
        <v>43525</v>
      </c>
      <c r="J1190" t="inlineStr">
        <is>
          <t>Halifax, Nova Scotia</t>
        </is>
      </c>
      <c r="K1190" t="inlineStr">
        <is>
          <t>Halifax, Nouvelle-Écosse</t>
        </is>
      </c>
      <c r="P1190" t="n">
        <v>724.1799999999999</v>
      </c>
      <c r="Q1190" t="n">
        <v>67.84999999999999</v>
      </c>
      <c r="R1190" t="n">
        <v>174.78</v>
      </c>
      <c r="S1190" t="n">
        <v>154.45</v>
      </c>
      <c r="T1190" t="n">
        <v>0</v>
      </c>
      <c r="U1190" t="n">
        <v>1121.26</v>
      </c>
      <c r="X1190" t="inlineStr">
        <is>
          <t>aafc-aac</t>
        </is>
      </c>
      <c r="Y1190" t="inlineStr">
        <is>
          <t>Agriculture and Agri-Food Canada | Agriculture et Agroalimentaire Canada</t>
        </is>
      </c>
    </row>
    <row r="1191">
      <c r="A1191" t="inlineStr">
        <is>
          <t>T-2018-Q4-00021</t>
        </is>
      </c>
      <c r="B1191" t="inlineStr">
        <is>
          <t>MPSES</t>
        </is>
      </c>
      <c r="C1191" t="inlineStr">
        <is>
          <t>Chief of Staff</t>
        </is>
      </c>
      <c r="D1191" t="inlineStr">
        <is>
          <t>Chef de cabinet</t>
        </is>
      </c>
      <c r="E1191" t="inlineStr">
        <is>
          <t>Guy Gallant</t>
        </is>
      </c>
      <c r="F1191" t="inlineStr">
        <is>
          <t>To accompany the Minister to the Cabinet Retreat in Sherbrooke</t>
        </is>
      </c>
      <c r="G1191" t="inlineStr">
        <is>
          <t xml:space="preserve">Pour accompagner le ministre à la retraite du Conseil des ministres à Sherbrooke </t>
        </is>
      </c>
      <c r="H1191" s="1" t="n">
        <v>43482</v>
      </c>
      <c r="I1191" s="1" t="n">
        <v>43483</v>
      </c>
      <c r="J1191" t="inlineStr">
        <is>
          <t>Sherbrooke, Quebec</t>
        </is>
      </c>
      <c r="K1191" t="inlineStr">
        <is>
          <t>Sherbrooke, Québec</t>
        </is>
      </c>
      <c r="P1191" t="n">
        <v>0</v>
      </c>
      <c r="Q1191" t="n">
        <v>0</v>
      </c>
      <c r="R1191" t="n">
        <v>154.7</v>
      </c>
      <c r="S1191" t="n">
        <v>164.8</v>
      </c>
      <c r="T1191" t="n">
        <v>0</v>
      </c>
      <c r="U1191" t="n">
        <v>319.5</v>
      </c>
      <c r="V1191" t="inlineStr">
        <is>
          <t>as per TBS, AAFC to pay even though he wasn't an AAFC staff at the time</t>
        </is>
      </c>
      <c r="X1191" t="inlineStr">
        <is>
          <t>aafc-aac</t>
        </is>
      </c>
      <c r="Y1191" t="inlineStr">
        <is>
          <t>Agriculture and Agri-Food Canada | Agriculture et Agroalimentaire Canada</t>
        </is>
      </c>
    </row>
    <row r="1192">
      <c r="A1192" t="inlineStr">
        <is>
          <t>T-2018-Q4-00022</t>
        </is>
      </c>
      <c r="B1192" t="inlineStr">
        <is>
          <t>MPSES</t>
        </is>
      </c>
      <c r="C1192" t="inlineStr">
        <is>
          <t>Chief of Staff</t>
        </is>
      </c>
      <c r="D1192" t="inlineStr">
        <is>
          <t>Chef de cabinet</t>
        </is>
      </c>
      <c r="E1192" t="inlineStr">
        <is>
          <t>Guy Gallant</t>
        </is>
      </c>
      <c r="F1192" t="inlineStr">
        <is>
          <t>To accompany the Minister to the Ministerial Mission in Washington</t>
        </is>
      </c>
      <c r="G1192" t="inlineStr">
        <is>
          <t>Pour accompagner le ministre lors de la mission ministérielle à Washington</t>
        </is>
      </c>
      <c r="H1192" s="1" t="n">
        <v>43515</v>
      </c>
      <c r="I1192" s="1" t="n">
        <v>43518</v>
      </c>
      <c r="J1192" t="inlineStr">
        <is>
          <t>Washington, District of Columbia</t>
        </is>
      </c>
      <c r="K1192" t="inlineStr">
        <is>
          <t>Washington, district de Columbia</t>
        </is>
      </c>
      <c r="P1192" t="n">
        <v>1201.63</v>
      </c>
      <c r="Q1192" t="n">
        <v>6.32</v>
      </c>
      <c r="R1192" t="n">
        <v>578.7</v>
      </c>
      <c r="S1192" t="n">
        <v>346.79</v>
      </c>
      <c r="T1192" t="n">
        <v>0</v>
      </c>
      <c r="U1192" t="n">
        <v>2133.44</v>
      </c>
      <c r="X1192" t="inlineStr">
        <is>
          <t>aafc-aac</t>
        </is>
      </c>
      <c r="Y1192" t="inlineStr">
        <is>
          <t>Agriculture and Agri-Food Canada | Agriculture et Agroalimentaire Canada</t>
        </is>
      </c>
    </row>
    <row r="1193">
      <c r="A1193" t="inlineStr">
        <is>
          <t>T-2018-Q4-00023</t>
        </is>
      </c>
      <c r="B1193" t="inlineStr">
        <is>
          <t>MPSES</t>
        </is>
      </c>
      <c r="C1193" t="inlineStr">
        <is>
          <t>Chief of Staff</t>
        </is>
      </c>
      <c r="D1193" t="inlineStr">
        <is>
          <t>Chef de cabinet</t>
        </is>
      </c>
      <c r="E1193" t="inlineStr">
        <is>
          <t>Guy Gallant</t>
        </is>
      </c>
      <c r="F1193" t="inlineStr">
        <is>
          <t>To accompany the Minister to an outreach in Halifax and the Agriculture Growth Summit</t>
        </is>
      </c>
      <c r="G1193" t="inlineStr">
        <is>
          <t>Pour accompagner le ministre à une campagne de sensibilisation à Halifax et au Agriculture Growth Summit</t>
        </is>
      </c>
      <c r="H1193" s="1" t="n">
        <v>43524</v>
      </c>
      <c r="I1193" s="1" t="n">
        <v>43525</v>
      </c>
      <c r="J1193" t="inlineStr">
        <is>
          <t>Halifax, Nova Scotia</t>
        </is>
      </c>
      <c r="K1193" t="inlineStr">
        <is>
          <t>Halifax, Nouvelle-Écosse</t>
        </is>
      </c>
      <c r="P1193" t="n">
        <v>1027.78</v>
      </c>
      <c r="Q1193" t="n">
        <v>0</v>
      </c>
      <c r="R1193" t="n">
        <v>0</v>
      </c>
      <c r="S1193" t="n">
        <v>87.15000000000001</v>
      </c>
      <c r="T1193" t="n">
        <v>0</v>
      </c>
      <c r="U1193" t="n">
        <v>1114.93</v>
      </c>
      <c r="X1193" t="inlineStr">
        <is>
          <t>aafc-aac</t>
        </is>
      </c>
      <c r="Y1193" t="inlineStr">
        <is>
          <t>Agriculture and Agri-Food Canada | Agriculture et Agroalimentaire Canada</t>
        </is>
      </c>
    </row>
    <row r="1194">
      <c r="A1194" t="inlineStr">
        <is>
          <t>T-2018-Q4-00024</t>
        </is>
      </c>
      <c r="B1194" t="inlineStr">
        <is>
          <t>MPSES</t>
        </is>
      </c>
      <c r="C1194" t="inlineStr">
        <is>
          <t>Director of Parliamentary Affairs</t>
        </is>
      </c>
      <c r="D1194" t="inlineStr">
        <is>
          <t>Directeur des affaires parlementaires</t>
        </is>
      </c>
      <c r="E1194" t="inlineStr">
        <is>
          <t>Matthew Mann</t>
        </is>
      </c>
      <c r="F1194" t="inlineStr">
        <is>
          <t>To accompany the Minister for announcements, stakeholder meetings and to brief the minister for year-end interviews</t>
        </is>
      </c>
      <c r="G1194" t="inlineStr">
        <is>
          <t>Pour accompagner le ministre à des annonces, des réunions avec des intervenants clés et pour informer le ministre dans le cadre des entrevues de fin d’année</t>
        </is>
      </c>
      <c r="H1194" s="1" t="n">
        <v>43440</v>
      </c>
      <c r="I1194" s="1" t="n">
        <v>43442</v>
      </c>
      <c r="J1194" t="inlineStr">
        <is>
          <t>Charlottetown, Prince Edward Island</t>
        </is>
      </c>
      <c r="K1194" t="inlineStr">
        <is>
          <t>Charlottetown, Île-du-Prince-Édouard</t>
        </is>
      </c>
      <c r="P1194" t="n">
        <v>1485.5</v>
      </c>
      <c r="Q1194" t="n">
        <v>190.6</v>
      </c>
      <c r="R1194" t="n">
        <v>362.46</v>
      </c>
      <c r="S1194" t="n">
        <v>212.25</v>
      </c>
      <c r="T1194" t="n">
        <v>0</v>
      </c>
      <c r="U1194" t="n">
        <v>2250.81</v>
      </c>
      <c r="X1194" t="inlineStr">
        <is>
          <t>aafc-aac</t>
        </is>
      </c>
      <c r="Y1194" t="inlineStr">
        <is>
          <t>Agriculture and Agri-Food Canada | Agriculture et Agroalimentaire Canada</t>
        </is>
      </c>
    </row>
    <row r="1195">
      <c r="A1195" t="inlineStr">
        <is>
          <t>T-2018-Q4-00025</t>
        </is>
      </c>
      <c r="B1195" t="inlineStr">
        <is>
          <t>MPSES</t>
        </is>
      </c>
      <c r="C1195" t="inlineStr">
        <is>
          <t>Director of Parliamentary Affairs</t>
        </is>
      </c>
      <c r="D1195" t="inlineStr">
        <is>
          <t>Directeur des affaires parlementaires</t>
        </is>
      </c>
      <c r="E1195" t="inlineStr">
        <is>
          <t>Matthew Mann</t>
        </is>
      </c>
      <c r="F1195" t="inlineStr">
        <is>
          <t>To accompany the Minister to the Cabinet Retreat in Sherbrooke and to attend meetings with stakeholders and the provincial Minister of Agriculture</t>
        </is>
      </c>
      <c r="G1195" t="inlineStr">
        <is>
          <t>Pour accompagner le ministre à la retraite du Conseil des ministres à Sherbrooke et pour assister à des réunions avec des intervenants clés et le ministre de l’Agriculture provincial</t>
        </is>
      </c>
      <c r="H1195" s="1" t="n">
        <v>43482</v>
      </c>
      <c r="I1195" s="1" t="n">
        <v>43483</v>
      </c>
      <c r="J1195" t="inlineStr">
        <is>
          <t>Sherbrooke, Quebec</t>
        </is>
      </c>
      <c r="K1195" t="inlineStr">
        <is>
          <t>Sherbrooke, Québec</t>
        </is>
      </c>
      <c r="P1195" t="n">
        <v>0</v>
      </c>
      <c r="Q1195" t="n">
        <v>0</v>
      </c>
      <c r="R1195" t="n">
        <v>118.94</v>
      </c>
      <c r="S1195" t="n">
        <v>251.95</v>
      </c>
      <c r="T1195" t="n">
        <v>0</v>
      </c>
      <c r="U1195" t="n">
        <v>370.89</v>
      </c>
      <c r="X1195" t="inlineStr">
        <is>
          <t>aafc-aac</t>
        </is>
      </c>
      <c r="Y1195" t="inlineStr">
        <is>
          <t>Agriculture and Agri-Food Canada | Agriculture et Agroalimentaire Canada</t>
        </is>
      </c>
    </row>
    <row r="1196">
      <c r="A1196" t="inlineStr">
        <is>
          <t>T-2018-Q4-00026</t>
        </is>
      </c>
      <c r="B1196" t="inlineStr">
        <is>
          <t>MPSES</t>
        </is>
      </c>
      <c r="C1196" t="inlineStr">
        <is>
          <t>Director of Parliamentary Affairs</t>
        </is>
      </c>
      <c r="D1196" t="inlineStr">
        <is>
          <t>Directeur des affaires parlementaires</t>
        </is>
      </c>
      <c r="E1196" t="inlineStr">
        <is>
          <t>Matthew Mann</t>
        </is>
      </c>
      <c r="F1196" t="inlineStr">
        <is>
          <t>To accompany the Minister for government announcements and attend meetings</t>
        </is>
      </c>
      <c r="G1196" t="inlineStr">
        <is>
          <t xml:space="preserve">Pour accompagner le ministre pour des annonces gouvernementales et assister à des réunions </t>
        </is>
      </c>
      <c r="H1196" s="1" t="n">
        <v>43489</v>
      </c>
      <c r="I1196" s="1" t="n">
        <v>43491</v>
      </c>
      <c r="J1196" t="inlineStr">
        <is>
          <t>Charlottetown, Prince Edward Island</t>
        </is>
      </c>
      <c r="K1196" t="inlineStr">
        <is>
          <t>Charlottetown, Île-du-Prince-Édouard</t>
        </is>
      </c>
      <c r="P1196" t="n">
        <v>868.52</v>
      </c>
      <c r="Q1196" t="n">
        <v>132.64</v>
      </c>
      <c r="R1196" t="n">
        <v>336.4</v>
      </c>
      <c r="S1196" t="n">
        <v>251.95</v>
      </c>
      <c r="T1196" t="n">
        <v>0</v>
      </c>
      <c r="U1196" t="n">
        <v>1589.51</v>
      </c>
      <c r="X1196" t="inlineStr">
        <is>
          <t>aafc-aac</t>
        </is>
      </c>
      <c r="Y1196" t="inlineStr">
        <is>
          <t>Agriculture and Agri-Food Canada | Agriculture et Agroalimentaire Canada</t>
        </is>
      </c>
    </row>
    <row r="1197">
      <c r="A1197" t="inlineStr">
        <is>
          <t>T-2018-Q4-00028</t>
        </is>
      </c>
      <c r="B1197" t="inlineStr">
        <is>
          <t>MPSES</t>
        </is>
      </c>
      <c r="C1197" t="inlineStr">
        <is>
          <t>Director of Policy</t>
        </is>
      </c>
      <c r="D1197" t="inlineStr">
        <is>
          <t>Directrice de la politique</t>
        </is>
      </c>
      <c r="E1197" t="inlineStr">
        <is>
          <t>Alison Porter</t>
        </is>
      </c>
      <c r="F1197" t="inlineStr">
        <is>
          <t>To accompany the Minister to the Ministerial Mission in Washington</t>
        </is>
      </c>
      <c r="G1197" t="inlineStr">
        <is>
          <t>Pour accompagner le ministre à la mission ministérielle à Washington</t>
        </is>
      </c>
      <c r="H1197" s="1" t="n">
        <v>43515</v>
      </c>
      <c r="I1197" s="1" t="n">
        <v>43518</v>
      </c>
      <c r="J1197" t="inlineStr">
        <is>
          <t>Washington, District of Columbia</t>
        </is>
      </c>
      <c r="K1197" t="inlineStr">
        <is>
          <t>Washington, district de Columbia</t>
        </is>
      </c>
      <c r="P1197" t="n">
        <v>1474.33</v>
      </c>
      <c r="Q1197" t="n">
        <v>56.16</v>
      </c>
      <c r="R1197" t="n">
        <v>823.54</v>
      </c>
      <c r="S1197" t="n">
        <v>492.4</v>
      </c>
      <c r="T1197" t="n">
        <v>0</v>
      </c>
      <c r="U1197" t="n">
        <v>2846.43</v>
      </c>
      <c r="X1197" t="inlineStr">
        <is>
          <t>aafc-aac</t>
        </is>
      </c>
      <c r="Y1197" t="inlineStr">
        <is>
          <t>Agriculture and Agri-Food Canada | Agriculture et Agroalimentaire Canada</t>
        </is>
      </c>
    </row>
    <row r="1198">
      <c r="A1198" t="inlineStr">
        <is>
          <t>T-2018-Q4-00029</t>
        </is>
      </c>
      <c r="B1198" t="inlineStr">
        <is>
          <t>MPSES</t>
        </is>
      </c>
      <c r="C1198" t="inlineStr">
        <is>
          <t>Parliamentary Secretary Assistant</t>
        </is>
      </c>
      <c r="D1198" t="inlineStr">
        <is>
          <t>Adjoint du secrétaire parlementaire</t>
        </is>
      </c>
      <c r="E1198" t="inlineStr">
        <is>
          <t>Michel-Antoine Renaud</t>
        </is>
      </c>
      <c r="F1198" t="inlineStr">
        <is>
          <t>To accompany the Parliamentary Secretary for a speech at the Congrès de l'Union des producteurs agricoles</t>
        </is>
      </c>
      <c r="G1198" t="inlineStr">
        <is>
          <t>Pour accompagner le secrétaire parlementaire pour prononcer un discours au Congrès de l'Union des producteurs agricoles</t>
        </is>
      </c>
      <c r="H1198" s="1" t="n">
        <v>43438</v>
      </c>
      <c r="I1198" s="1" t="n">
        <v>43439</v>
      </c>
      <c r="J1198" t="inlineStr">
        <is>
          <t>Quebec City, Quebec</t>
        </is>
      </c>
      <c r="K1198" t="inlineStr">
        <is>
          <t>Québec, Québec</t>
        </is>
      </c>
      <c r="P1198" t="n">
        <v>1152.8</v>
      </c>
      <c r="Q1198" t="n">
        <v>133.77</v>
      </c>
      <c r="R1198" t="n">
        <v>208.26</v>
      </c>
      <c r="S1198" t="n">
        <v>174.7</v>
      </c>
      <c r="T1198" t="n">
        <v>18.11</v>
      </c>
      <c r="U1198" t="n">
        <v>1687.64</v>
      </c>
      <c r="V1198" t="inlineStr">
        <is>
          <t>Other expense was for printing documents at the hotel.</t>
        </is>
      </c>
      <c r="W1198" t="inlineStr">
        <is>
          <t>Frais divers étaient pour les coûts d'impression de documents à l'hôtel.</t>
        </is>
      </c>
      <c r="X1198" t="inlineStr">
        <is>
          <t>aafc-aac</t>
        </is>
      </c>
      <c r="Y1198" t="inlineStr">
        <is>
          <t>Agriculture and Agri-Food Canada | Agriculture et Agroalimentaire Canada</t>
        </is>
      </c>
    </row>
    <row r="1199">
      <c r="A1199" t="inlineStr">
        <is>
          <t>T-2018-Q4-00030</t>
        </is>
      </c>
      <c r="B1199" t="inlineStr">
        <is>
          <t>MPSES</t>
        </is>
      </c>
      <c r="C1199" t="inlineStr">
        <is>
          <t>Parliamentary Secretary Assistant</t>
        </is>
      </c>
      <c r="D1199" t="inlineStr">
        <is>
          <t>Adjoint du secrétaire parlementaire</t>
        </is>
      </c>
      <c r="E1199" t="inlineStr">
        <is>
          <t>Michel-Antoine Renaud</t>
        </is>
      </c>
      <c r="F1199" t="inlineStr">
        <is>
          <t>To accompany the Parliamentary Secretary for an announcement and attendance to The Pork Show</t>
        </is>
      </c>
      <c r="G1199" t="inlineStr">
        <is>
          <t>Pour accompagner le secrétaire parlementaire pour faire une annonce au Porc Show</t>
        </is>
      </c>
      <c r="H1199" s="1" t="n">
        <v>43446</v>
      </c>
      <c r="I1199" s="1" t="n">
        <v>43446</v>
      </c>
      <c r="J1199" t="inlineStr">
        <is>
          <t>Quebec City, Quebec</t>
        </is>
      </c>
      <c r="K1199" t="inlineStr">
        <is>
          <t>Québec, Québec</t>
        </is>
      </c>
      <c r="P1199" t="n">
        <v>773.89</v>
      </c>
      <c r="Q1199" t="n">
        <v>170.38</v>
      </c>
      <c r="R1199" t="n">
        <v>0</v>
      </c>
      <c r="S1199" t="n">
        <v>20.25</v>
      </c>
      <c r="T1199" t="n">
        <v>0</v>
      </c>
      <c r="U1199" t="n">
        <v>964.52</v>
      </c>
      <c r="X1199" t="inlineStr">
        <is>
          <t>aafc-aac</t>
        </is>
      </c>
      <c r="Y1199" t="inlineStr">
        <is>
          <t>Agriculture and Agri-Food Canada | Agriculture et Agroalimentaire Canada</t>
        </is>
      </c>
    </row>
    <row r="1200">
      <c r="A1200" t="inlineStr">
        <is>
          <t>T-2018-Q4-00031</t>
        </is>
      </c>
      <c r="B1200" t="inlineStr">
        <is>
          <t>MPSES</t>
        </is>
      </c>
      <c r="C1200" t="inlineStr">
        <is>
          <t>Parliamentary Secretary</t>
        </is>
      </c>
      <c r="D1200" t="inlineStr">
        <is>
          <t>Secrétaire parlementaire</t>
        </is>
      </c>
      <c r="E1200" t="inlineStr">
        <is>
          <t>Jean-Claude Poissant</t>
        </is>
      </c>
      <c r="F1200" t="inlineStr">
        <is>
          <t xml:space="preserve">To attend a speech at the Congrès de l'Union des producteurs agricoles </t>
        </is>
      </c>
      <c r="G1200" t="inlineStr">
        <is>
          <t>Pour assister à un discours au Congrès de l' Union des producteurs agricoles</t>
        </is>
      </c>
      <c r="H1200" s="1" t="n">
        <v>43438</v>
      </c>
      <c r="I1200" s="1" t="n">
        <v>43439</v>
      </c>
      <c r="J1200" t="inlineStr">
        <is>
          <t>Quebec City, Quebec</t>
        </is>
      </c>
      <c r="K1200" t="inlineStr">
        <is>
          <t>Québec, Québec</t>
        </is>
      </c>
      <c r="P1200" t="n">
        <v>1289.53</v>
      </c>
      <c r="Q1200" t="n">
        <v>0</v>
      </c>
      <c r="R1200" t="n">
        <v>208.26</v>
      </c>
      <c r="S1200" t="n">
        <v>174.7</v>
      </c>
      <c r="T1200" t="n">
        <v>0</v>
      </c>
      <c r="U1200" t="n">
        <v>1672.49</v>
      </c>
      <c r="X1200" t="inlineStr">
        <is>
          <t>aafc-aac</t>
        </is>
      </c>
      <c r="Y1200" t="inlineStr">
        <is>
          <t>Agriculture and Agri-Food Canada | Agriculture et Agroalimentaire Canada</t>
        </is>
      </c>
    </row>
    <row r="1201">
      <c r="A1201" t="inlineStr">
        <is>
          <t>T-2018-Q4-00032</t>
        </is>
      </c>
      <c r="B1201" t="inlineStr">
        <is>
          <t>MPSES</t>
        </is>
      </c>
      <c r="C1201" t="inlineStr">
        <is>
          <t>Parliamentary Secretary</t>
        </is>
      </c>
      <c r="D1201" t="inlineStr">
        <is>
          <t>Secrétaire parlementaire</t>
        </is>
      </c>
      <c r="E1201" t="inlineStr">
        <is>
          <t>Jean-Claude Poissant</t>
        </is>
      </c>
      <c r="F1201" t="inlineStr">
        <is>
          <t>To attend and make an announcement at The Pork Show</t>
        </is>
      </c>
      <c r="G1201" t="inlineStr">
        <is>
          <t>Pour assister et faire une annonce au Porc Show</t>
        </is>
      </c>
      <c r="H1201" s="1" t="n">
        <v>43446</v>
      </c>
      <c r="I1201" s="1" t="n">
        <v>43446</v>
      </c>
      <c r="J1201" t="inlineStr">
        <is>
          <t>Quebec City, Quebec</t>
        </is>
      </c>
      <c r="K1201" t="inlineStr">
        <is>
          <t>Québec, Québec</t>
        </is>
      </c>
      <c r="P1201" t="n">
        <v>773.89</v>
      </c>
      <c r="Q1201" t="n">
        <v>0</v>
      </c>
      <c r="R1201" t="n">
        <v>0</v>
      </c>
      <c r="S1201" t="n">
        <v>20.25</v>
      </c>
      <c r="T1201" t="n">
        <v>0</v>
      </c>
      <c r="U1201" t="n">
        <v>794.14</v>
      </c>
      <c r="X1201" t="inlineStr">
        <is>
          <t>aafc-aac</t>
        </is>
      </c>
      <c r="Y1201" t="inlineStr">
        <is>
          <t>Agriculture and Agri-Food Canada | Agriculture et Agroalimentaire Canada</t>
        </is>
      </c>
    </row>
    <row r="1202">
      <c r="A1202" t="inlineStr">
        <is>
          <t>T-2018-Q4-00038</t>
        </is>
      </c>
      <c r="B1202" t="inlineStr">
        <is>
          <t>MPSES</t>
        </is>
      </c>
      <c r="C1202" t="inlineStr">
        <is>
          <t>Director of Communications</t>
        </is>
      </c>
      <c r="D1202" t="inlineStr">
        <is>
          <t>Directrice des communications</t>
        </is>
      </c>
      <c r="E1202" t="inlineStr">
        <is>
          <t>Katie Hawkins</t>
        </is>
      </c>
      <c r="F1202" t="inlineStr">
        <is>
          <t>To accompany the Minister at the CropSphere Conference and attend stakeholder meetings with Saskatchewan Wheat Commission and Canadian Wheat Research Coalition</t>
        </is>
      </c>
      <c r="G1202" t="inlineStr">
        <is>
          <t>Pour accompagner le ministre à la conférence CropSphere et assister à des réunions avec la Commission du blé de Saskatchewan et la Coalition canadienne pour la recherche sur le blé</t>
        </is>
      </c>
      <c r="H1202" s="1" t="n">
        <v>43479</v>
      </c>
      <c r="I1202" s="1" t="n">
        <v>43480</v>
      </c>
      <c r="J1202" t="inlineStr">
        <is>
          <t>Saskatoon, Saskatchewan</t>
        </is>
      </c>
      <c r="K1202" t="inlineStr">
        <is>
          <t>Saskatoon, Saskatchewan</t>
        </is>
      </c>
      <c r="P1202" t="n">
        <v>1443.51</v>
      </c>
      <c r="Q1202" t="n">
        <v>85.40000000000001</v>
      </c>
      <c r="R1202" t="n">
        <v>176.07</v>
      </c>
      <c r="S1202" t="n">
        <v>124.7</v>
      </c>
      <c r="T1202" t="n">
        <v>0</v>
      </c>
      <c r="U1202" t="n">
        <v>1829.68</v>
      </c>
      <c r="X1202" t="inlineStr">
        <is>
          <t>aafc-aac</t>
        </is>
      </c>
      <c r="Y1202" t="inlineStr">
        <is>
          <t>Agriculture and Agri-Food Canada | Agriculture et Agroalimentaire Canada</t>
        </is>
      </c>
    </row>
    <row r="1203">
      <c r="A1203" t="inlineStr">
        <is>
          <t>T-2018-Q4-00039</t>
        </is>
      </c>
      <c r="B1203" t="inlineStr">
        <is>
          <t>SLE</t>
        </is>
      </c>
      <c r="C1203" t="inlineStr">
        <is>
          <t>Deputy Minister</t>
        </is>
      </c>
      <c r="D1203" t="inlineStr">
        <is>
          <t>Sous-ministre</t>
        </is>
      </c>
      <c r="E1203" t="inlineStr">
        <is>
          <t>Chris Forbes</t>
        </is>
      </c>
      <c r="F1203" t="inlineStr">
        <is>
          <t>To attend key stakeholder engagement meetings</t>
        </is>
      </c>
      <c r="G1203" t="inlineStr">
        <is>
          <t>Pour assister à des réunions d'engagement avec des intervenants clés</t>
        </is>
      </c>
      <c r="H1203" s="1" t="n">
        <v>43437</v>
      </c>
      <c r="I1203" s="1" t="n">
        <v>43440</v>
      </c>
      <c r="J1203" t="inlineStr">
        <is>
          <t>Lethbridge, Alberta; Calgary, Alberta</t>
        </is>
      </c>
      <c r="K1203" t="inlineStr">
        <is>
          <t>Lethbridge, Alberta; Calgary, Alberta</t>
        </is>
      </c>
      <c r="P1203" t="n">
        <v>881.3200000000001</v>
      </c>
      <c r="Q1203" t="n">
        <v>35</v>
      </c>
      <c r="R1203" t="n">
        <v>299.59</v>
      </c>
      <c r="S1203" t="n">
        <v>69.84999999999999</v>
      </c>
      <c r="T1203" t="n">
        <v>0</v>
      </c>
      <c r="U1203" t="n">
        <v>1285.76</v>
      </c>
      <c r="X1203" t="inlineStr">
        <is>
          <t>aafc-aac</t>
        </is>
      </c>
      <c r="Y1203" t="inlineStr">
        <is>
          <t>Agriculture and Agri-Food Canada | Agriculture et Agroalimentaire Canada</t>
        </is>
      </c>
    </row>
    <row r="1204">
      <c r="A1204" t="inlineStr">
        <is>
          <t>T-2018-Q4-00040</t>
        </is>
      </c>
      <c r="B1204" t="inlineStr">
        <is>
          <t>SLE</t>
        </is>
      </c>
      <c r="C1204" t="inlineStr">
        <is>
          <t>Deputy Minister</t>
        </is>
      </c>
      <c r="D1204" t="inlineStr">
        <is>
          <t>Sous-ministre</t>
        </is>
      </c>
      <c r="E1204" t="inlineStr">
        <is>
          <t>Chris Forbes</t>
        </is>
      </c>
      <c r="F1204" t="inlineStr">
        <is>
          <t>To attend the Federal-Provincial-Territorial Meeting of Deputy Ministers of Agriculture</t>
        </is>
      </c>
      <c r="G1204" t="inlineStr">
        <is>
          <t>Pour assister à la réunion fédérale, provinciale et territoriale des sous-ministres de l'Agriculture</t>
        </is>
      </c>
      <c r="H1204" s="1" t="n">
        <v>43486</v>
      </c>
      <c r="I1204" s="1" t="n">
        <v>43489</v>
      </c>
      <c r="J1204" t="inlineStr">
        <is>
          <t>Toronto, Ontario</t>
        </is>
      </c>
      <c r="K1204" t="inlineStr">
        <is>
          <t>Toronto, Ontario</t>
        </is>
      </c>
      <c r="P1204" t="n">
        <v>425.66</v>
      </c>
      <c r="Q1204" t="n">
        <v>0</v>
      </c>
      <c r="R1204" t="n">
        <v>151.6</v>
      </c>
      <c r="S1204" t="n">
        <v>69.84999999999999</v>
      </c>
      <c r="T1204" t="n">
        <v>0</v>
      </c>
      <c r="U1204" t="n">
        <v>647.11</v>
      </c>
      <c r="X1204" t="inlineStr">
        <is>
          <t>aafc-aac</t>
        </is>
      </c>
      <c r="Y1204" t="inlineStr">
        <is>
          <t>Agriculture and Agri-Food Canada | Agriculture et Agroalimentaire Canada</t>
        </is>
      </c>
    </row>
    <row r="1205">
      <c r="A1205" t="inlineStr">
        <is>
          <t>T-2018-Q4-00041</t>
        </is>
      </c>
      <c r="B1205" t="inlineStr">
        <is>
          <t>SLE</t>
        </is>
      </c>
      <c r="C1205" t="inlineStr">
        <is>
          <t>Deputy Minister</t>
        </is>
      </c>
      <c r="D1205" t="inlineStr">
        <is>
          <t>Sous-ministre</t>
        </is>
      </c>
      <c r="E1205" t="inlineStr">
        <is>
          <t>Chris Forbes</t>
        </is>
      </c>
      <c r="F1205" t="inlineStr">
        <is>
          <t>To attend operational activity meetings</t>
        </is>
      </c>
      <c r="G1205" t="inlineStr">
        <is>
          <t>Pour assister à des réunions des activités opérationnelles</t>
        </is>
      </c>
      <c r="H1205" s="1" t="n">
        <v>43500</v>
      </c>
      <c r="I1205" s="1" t="n">
        <v>43501</v>
      </c>
      <c r="J1205" t="inlineStr">
        <is>
          <t>Vancouver, British Columbia</t>
        </is>
      </c>
      <c r="K1205" t="inlineStr">
        <is>
          <t>Vancouver, Colombie-Britannique</t>
        </is>
      </c>
      <c r="P1205" t="n">
        <v>528.3</v>
      </c>
      <c r="Q1205" t="n">
        <v>38.05</v>
      </c>
      <c r="R1205" t="n">
        <v>233.83</v>
      </c>
      <c r="S1205" t="n">
        <v>90.09999999999999</v>
      </c>
      <c r="T1205" t="n">
        <v>0</v>
      </c>
      <c r="U1205" t="n">
        <v>890.28</v>
      </c>
      <c r="X1205" t="inlineStr">
        <is>
          <t>aafc-aac</t>
        </is>
      </c>
      <c r="Y1205" t="inlineStr">
        <is>
          <t>Agriculture and Agri-Food Canada | Agriculture et Agroalimentaire Canada</t>
        </is>
      </c>
    </row>
    <row r="1206">
      <c r="A1206" t="inlineStr">
        <is>
          <t>T-2018-Q4-00042</t>
        </is>
      </c>
      <c r="B1206" t="inlineStr">
        <is>
          <t>SLE</t>
        </is>
      </c>
      <c r="C1206" t="inlineStr">
        <is>
          <t>Deputy Minister</t>
        </is>
      </c>
      <c r="D1206" t="inlineStr">
        <is>
          <t>Sous-ministre</t>
        </is>
      </c>
      <c r="E1206" t="inlineStr">
        <is>
          <t>Chris Forbes</t>
        </is>
      </c>
      <c r="F1206" t="inlineStr">
        <is>
          <t>To attend key stakeholder engagement meetings</t>
        </is>
      </c>
      <c r="G1206" t="inlineStr">
        <is>
          <t>Pour assister à des réunions d'engagement avec des intervenants clés</t>
        </is>
      </c>
      <c r="H1206" s="1" t="n">
        <v>43520</v>
      </c>
      <c r="I1206" s="1" t="n">
        <v>43528</v>
      </c>
      <c r="J1206" t="inlineStr">
        <is>
          <t xml:space="preserve">Hong Kong; Ho Chi Minh City, Vietnam; Hanoi, Vietnam </t>
        </is>
      </c>
      <c r="K1206" t="inlineStr">
        <is>
          <t>Hong Kong; Hô-Chi-Minh-Ville, Vietnam; Hanoï, Vietnam</t>
        </is>
      </c>
      <c r="P1206" t="n">
        <v>5145.12</v>
      </c>
      <c r="Q1206" t="n">
        <v>0</v>
      </c>
      <c r="R1206" t="n">
        <v>1756.43</v>
      </c>
      <c r="S1206" t="n">
        <v>105.35</v>
      </c>
      <c r="T1206" t="n">
        <v>0</v>
      </c>
      <c r="U1206" t="n">
        <v>7006.9</v>
      </c>
      <c r="X1206" t="inlineStr">
        <is>
          <t>aafc-aac</t>
        </is>
      </c>
      <c r="Y1206" t="inlineStr">
        <is>
          <t>Agriculture and Agri-Food Canada | Agriculture et Agroalimentaire Canada</t>
        </is>
      </c>
    </row>
    <row r="1207">
      <c r="A1207" t="inlineStr">
        <is>
          <t>T-2018-Q4-00043</t>
        </is>
      </c>
      <c r="B1207" t="inlineStr">
        <is>
          <t>SLE</t>
        </is>
      </c>
      <c r="C1207" t="inlineStr">
        <is>
          <t>Associate Deputy Minister</t>
        </is>
      </c>
      <c r="D1207" t="inlineStr">
        <is>
          <t>Sous-ministre déléguée</t>
        </is>
      </c>
      <c r="E1207" t="inlineStr">
        <is>
          <t>Annette Gibbons</t>
        </is>
      </c>
      <c r="F1207" t="inlineStr">
        <is>
          <t>To attend operational activity meetings</t>
        </is>
      </c>
      <c r="G1207" t="inlineStr">
        <is>
          <t>Pour assister à des réunions des activités opérationnelles</t>
        </is>
      </c>
      <c r="H1207" s="1" t="n">
        <v>43479</v>
      </c>
      <c r="I1207" s="1" t="n">
        <v>43479</v>
      </c>
      <c r="J1207" t="inlineStr">
        <is>
          <t>Montreal, Quebec</t>
        </is>
      </c>
      <c r="K1207" t="inlineStr">
        <is>
          <t>Montréal, Québec</t>
        </is>
      </c>
      <c r="P1207" t="n">
        <v>0</v>
      </c>
      <c r="Q1207" t="n">
        <v>65.3</v>
      </c>
      <c r="R1207" t="n">
        <v>0</v>
      </c>
      <c r="S1207" t="n">
        <v>0</v>
      </c>
      <c r="T1207" t="n">
        <v>0</v>
      </c>
      <c r="U1207" t="n">
        <v>65.3</v>
      </c>
      <c r="X1207" t="inlineStr">
        <is>
          <t>aafc-aac</t>
        </is>
      </c>
      <c r="Y1207" t="inlineStr">
        <is>
          <t>Agriculture and Agri-Food Canada | Agriculture et Agroalimentaire Canada</t>
        </is>
      </c>
    </row>
    <row r="1208">
      <c r="A1208" t="inlineStr">
        <is>
          <t>T-2018-Q4-00044</t>
        </is>
      </c>
      <c r="B1208" t="inlineStr">
        <is>
          <t>SLE</t>
        </is>
      </c>
      <c r="C1208" t="inlineStr">
        <is>
          <t>Associate Deputy Minister</t>
        </is>
      </c>
      <c r="D1208" t="inlineStr">
        <is>
          <t>Sous-ministre déléguée</t>
        </is>
      </c>
      <c r="E1208" t="inlineStr">
        <is>
          <t>Annette Gibbons</t>
        </is>
      </c>
      <c r="F1208" t="inlineStr">
        <is>
          <t>To attend the Federal-Provincial-Territorial Meeting of Deputy Ministers of Agriculture</t>
        </is>
      </c>
      <c r="G1208" t="inlineStr">
        <is>
          <t>Pour assister à la réunion fédérale, provinciale et territoriale des sous-ministres de l'Agriculture</t>
        </is>
      </c>
      <c r="H1208" s="1" t="n">
        <v>43487</v>
      </c>
      <c r="I1208" s="1" t="n">
        <v>43488</v>
      </c>
      <c r="J1208" t="inlineStr">
        <is>
          <t>Toronto, Ontario</t>
        </is>
      </c>
      <c r="K1208" t="inlineStr">
        <is>
          <t>Toronto, Ontario</t>
        </is>
      </c>
      <c r="P1208" t="n">
        <v>388.38</v>
      </c>
      <c r="Q1208" t="n">
        <v>23</v>
      </c>
      <c r="R1208" t="n">
        <v>151.6</v>
      </c>
      <c r="S1208" t="n">
        <v>0</v>
      </c>
      <c r="T1208" t="n">
        <v>0</v>
      </c>
      <c r="U1208" t="n">
        <v>562.98</v>
      </c>
      <c r="X1208" t="inlineStr">
        <is>
          <t>aafc-aac</t>
        </is>
      </c>
      <c r="Y1208" t="inlineStr">
        <is>
          <t>Agriculture and Agri-Food Canada | Agriculture et Agroalimentaire Canada</t>
        </is>
      </c>
    </row>
    <row r="1209">
      <c r="A1209" t="inlineStr">
        <is>
          <t>T-2018-Q4-00045</t>
        </is>
      </c>
      <c r="B1209" t="inlineStr">
        <is>
          <t>SLE</t>
        </is>
      </c>
      <c r="C1209" t="inlineStr">
        <is>
          <t>Associate Deputy Minister</t>
        </is>
      </c>
      <c r="D1209" t="inlineStr">
        <is>
          <t>Sous-ministre déléguée</t>
        </is>
      </c>
      <c r="E1209" t="inlineStr">
        <is>
          <t>Annette Gibbons</t>
        </is>
      </c>
      <c r="F1209" t="inlineStr">
        <is>
          <t>To accompany the Minister to the Ministerial Mission in Washington</t>
        </is>
      </c>
      <c r="G1209" t="inlineStr">
        <is>
          <t>Pour accompagner le ministre lors de la mission ministérielle à Washington</t>
        </is>
      </c>
      <c r="H1209" s="1" t="n">
        <v>43515</v>
      </c>
      <c r="I1209" s="1" t="n">
        <v>43518</v>
      </c>
      <c r="J1209" t="inlineStr">
        <is>
          <t>Washington, District of Columbia</t>
        </is>
      </c>
      <c r="K1209" t="inlineStr">
        <is>
          <t>Washington, district de Columbia</t>
        </is>
      </c>
      <c r="P1209" t="n">
        <v>3807.96</v>
      </c>
      <c r="Q1209" t="n">
        <v>116.92</v>
      </c>
      <c r="R1209" t="n">
        <v>738</v>
      </c>
      <c r="S1209" t="n">
        <v>357.82</v>
      </c>
      <c r="T1209" t="n">
        <v>0</v>
      </c>
      <c r="U1209" t="n">
        <v>5020.7</v>
      </c>
      <c r="V1209" t="inlineStr">
        <is>
          <t>Airfare cost high due to snowstorm and flight cancellations - we are expecting a refund</t>
        </is>
      </c>
      <c r="X1209" t="inlineStr">
        <is>
          <t>aafc-aac</t>
        </is>
      </c>
      <c r="Y1209" t="inlineStr">
        <is>
          <t>Agriculture and Agri-Food Canada | Agriculture et Agroalimentaire Canada</t>
        </is>
      </c>
    </row>
    <row r="1210">
      <c r="A1210" t="inlineStr">
        <is>
          <t>T-2018-Q4-00047</t>
        </is>
      </c>
      <c r="B1210" t="inlineStr">
        <is>
          <t>SLE</t>
        </is>
      </c>
      <c r="C1210" t="inlineStr">
        <is>
          <t>Assistant Deputy Minister, Corporate Management Branch</t>
        </is>
      </c>
      <c r="D1210" t="inlineStr">
        <is>
          <t>Sous-ministre adjointe, Direction Générale de la gestion intégrée</t>
        </is>
      </c>
      <c r="E1210" t="inlineStr">
        <is>
          <t>Christine Walker</t>
        </is>
      </c>
      <c r="F1210" t="inlineStr">
        <is>
          <t>Staff outreach/Site visit</t>
        </is>
      </c>
      <c r="G1210" t="inlineStr">
        <is>
          <t>Réunion avec des employés et visite des emplacements</t>
        </is>
      </c>
      <c r="H1210" s="1" t="n">
        <v>43436</v>
      </c>
      <c r="I1210" s="1" t="n">
        <v>43440</v>
      </c>
      <c r="J1210" t="inlineStr">
        <is>
          <t xml:space="preserve">Regina, Saskatchewan; Saskatoon, Saskatchewan       </t>
        </is>
      </c>
      <c r="K1210" t="inlineStr">
        <is>
          <t xml:space="preserve">Regina, Saskatchewan; Saskatoon, Saskatchewan       </t>
        </is>
      </c>
      <c r="P1210" t="n">
        <v>1328.04</v>
      </c>
      <c r="Q1210" t="n">
        <v>75.2</v>
      </c>
      <c r="R1210" t="n">
        <v>701.53</v>
      </c>
      <c r="S1210" t="n">
        <v>516.75</v>
      </c>
      <c r="U1210" t="n">
        <v>2621.52</v>
      </c>
      <c r="X1210" t="inlineStr">
        <is>
          <t>aafc-aac</t>
        </is>
      </c>
      <c r="Y1210" t="inlineStr">
        <is>
          <t>Agriculture and Agri-Food Canada | Agriculture et Agroalimentaire Canada</t>
        </is>
      </c>
    </row>
    <row r="1211">
      <c r="A1211" t="inlineStr">
        <is>
          <t>T-2018-Q4-00048</t>
        </is>
      </c>
      <c r="B1211" t="inlineStr">
        <is>
          <t>SLE</t>
        </is>
      </c>
      <c r="C1211" t="inlineStr">
        <is>
          <t>Assistant Deputy Minister, Corporate Management Branch</t>
        </is>
      </c>
      <c r="D1211" t="inlineStr">
        <is>
          <t>Sous-ministre adjointe, Direction Générale de la gestion intégrée</t>
        </is>
      </c>
      <c r="E1211" t="inlineStr">
        <is>
          <t>Christine Walker</t>
        </is>
      </c>
      <c r="F1211" t="inlineStr">
        <is>
          <t>Staff outreach/Site visit</t>
        </is>
      </c>
      <c r="G1211" t="inlineStr">
        <is>
          <t>Réunion avec des employés et visite des emplacements</t>
        </is>
      </c>
      <c r="H1211" s="1" t="n">
        <v>43516</v>
      </c>
      <c r="I1211" s="1" t="n">
        <v>43518</v>
      </c>
      <c r="J1211" t="inlineStr">
        <is>
          <t>Guelph, Ontario;           Vineland, Ontario</t>
        </is>
      </c>
      <c r="K1211" t="inlineStr">
        <is>
          <t>Guelph, Ontario;              Vineland, Ontario</t>
        </is>
      </c>
      <c r="P1211" t="n">
        <v>0</v>
      </c>
      <c r="Q1211" t="n">
        <v>641.25</v>
      </c>
      <c r="R1211" t="n">
        <v>357.08</v>
      </c>
      <c r="S1211" t="n">
        <v>262.25</v>
      </c>
      <c r="U1211" t="n">
        <v>1260.58</v>
      </c>
      <c r="X1211" t="inlineStr">
        <is>
          <t>aafc-aac</t>
        </is>
      </c>
      <c r="Y1211" t="inlineStr">
        <is>
          <t>Agriculture and Agri-Food Canada | Agriculture et Agroalimentaire Canada</t>
        </is>
      </c>
    </row>
    <row r="1212">
      <c r="A1212" t="inlineStr">
        <is>
          <t>T-2018-Q4-00049</t>
        </is>
      </c>
      <c r="B1212" t="inlineStr">
        <is>
          <t>SLE</t>
        </is>
      </c>
      <c r="C1212" t="inlineStr">
        <is>
          <t>Assistant Deputy Minister, Strategic Policy Branch</t>
        </is>
      </c>
      <c r="D1212" t="inlineStr">
        <is>
          <t>Sous-ministre adjoint, Direction générale des politiques stratégiques</t>
        </is>
      </c>
      <c r="E1212" t="inlineStr">
        <is>
          <t>Tom Rosser</t>
        </is>
      </c>
      <c r="F1212" t="inlineStr">
        <is>
          <t>To attend a Value Creation session</t>
        </is>
      </c>
      <c r="G1212" t="inlineStr">
        <is>
          <t>Pour assister à une séance de la création de valeur</t>
        </is>
      </c>
      <c r="H1212" s="1" t="n">
        <v>43437</v>
      </c>
      <c r="I1212" s="1" t="n">
        <v>43439</v>
      </c>
      <c r="J1212" t="inlineStr">
        <is>
          <t>Saskatoon, Saskatchewan</t>
        </is>
      </c>
      <c r="K1212" t="inlineStr">
        <is>
          <t>Saskatoon, Saskatchewan</t>
        </is>
      </c>
      <c r="P1212" t="n">
        <v>1671.99</v>
      </c>
      <c r="Q1212" t="n">
        <v>80</v>
      </c>
      <c r="R1212" t="n">
        <v>158.92</v>
      </c>
      <c r="S1212" t="n">
        <v>192</v>
      </c>
      <c r="T1212" t="n">
        <v>0</v>
      </c>
      <c r="U1212" t="n">
        <v>2102.91</v>
      </c>
      <c r="X1212" t="inlineStr">
        <is>
          <t>aafc-aac</t>
        </is>
      </c>
      <c r="Y1212" t="inlineStr">
        <is>
          <t>Agriculture and Agri-Food Canada | Agriculture et Agroalimentaire Canada</t>
        </is>
      </c>
    </row>
    <row r="1213">
      <c r="A1213" t="inlineStr">
        <is>
          <t>T-2018-Q4-00050</t>
        </is>
      </c>
      <c r="B1213" t="inlineStr">
        <is>
          <t>SLE</t>
        </is>
      </c>
      <c r="C1213" t="inlineStr">
        <is>
          <t>Assistant Deputy Minister, Strategic Policy Branch</t>
        </is>
      </c>
      <c r="D1213" t="inlineStr">
        <is>
          <t>Sous-ministre adjoint, Direction générale des politiques stratégiques</t>
        </is>
      </c>
      <c r="E1213" t="inlineStr">
        <is>
          <t>Tom Rosser</t>
        </is>
      </c>
      <c r="F1213" t="inlineStr">
        <is>
          <t>To attend a Federal/Provincial/Territorial meeting of Assistant Deputy Ministers</t>
        </is>
      </c>
      <c r="G1213" t="inlineStr">
        <is>
          <t>Participer à une rencontre fédérale, provinciale et territoriale des sous-ministres adjoints</t>
        </is>
      </c>
      <c r="H1213" s="1" t="n">
        <v>43444</v>
      </c>
      <c r="I1213" s="1" t="n">
        <v>43446</v>
      </c>
      <c r="J1213" t="inlineStr">
        <is>
          <t>Montreal, Quebec</t>
        </is>
      </c>
      <c r="K1213" t="inlineStr">
        <is>
          <t>Montréal, Québec</t>
        </is>
      </c>
      <c r="Q1213" t="n">
        <v>370.35</v>
      </c>
      <c r="R1213" t="n">
        <v>378.44</v>
      </c>
      <c r="S1213" t="n">
        <v>162.25</v>
      </c>
      <c r="T1213" t="n">
        <v>0</v>
      </c>
      <c r="U1213" t="n">
        <v>911.04</v>
      </c>
      <c r="X1213" t="inlineStr">
        <is>
          <t>aafc-aac</t>
        </is>
      </c>
      <c r="Y1213" t="inlineStr">
        <is>
          <t>Agriculture and Agri-Food Canada | Agriculture et Agroalimentaire Canada</t>
        </is>
      </c>
    </row>
    <row r="1214">
      <c r="A1214" t="inlineStr">
        <is>
          <t>T-2018-Q4-00051</t>
        </is>
      </c>
      <c r="B1214" t="inlineStr">
        <is>
          <t>SLE</t>
        </is>
      </c>
      <c r="C1214" t="inlineStr">
        <is>
          <t>Assistant Deputy Minister, Strategic Policy Branch</t>
        </is>
      </c>
      <c r="D1214" t="inlineStr">
        <is>
          <t>Sous-ministre adjoint,  Direction générale des politiques stratégiques</t>
        </is>
      </c>
      <c r="E1214" t="inlineStr">
        <is>
          <t>Tom Rosser</t>
        </is>
      </c>
      <c r="F1214" t="inlineStr">
        <is>
          <t>To attend a meeting of Federal-Provincial- Territorial Deputy Ministers</t>
        </is>
      </c>
      <c r="G1214" t="inlineStr">
        <is>
          <t>Participer à une rencontre fédérale, provinciale et territoriale des sous-ministres</t>
        </is>
      </c>
      <c r="H1214" s="1" t="n">
        <v>43486</v>
      </c>
      <c r="I1214" s="1" t="n">
        <v>43488</v>
      </c>
      <c r="J1214" t="inlineStr">
        <is>
          <t>Toronto, Ontario</t>
        </is>
      </c>
      <c r="K1214" t="inlineStr">
        <is>
          <t>Toronto, Ontario</t>
        </is>
      </c>
      <c r="P1214" t="n">
        <v>640.3099999999999</v>
      </c>
      <c r="Q1214" t="n">
        <v>151</v>
      </c>
      <c r="R1214" t="n">
        <v>151.6</v>
      </c>
      <c r="S1214" t="n">
        <v>124.7</v>
      </c>
      <c r="T1214" t="n">
        <v>0</v>
      </c>
      <c r="U1214" t="n">
        <v>1067.61</v>
      </c>
      <c r="X1214" t="inlineStr">
        <is>
          <t>aafc-aac</t>
        </is>
      </c>
      <c r="Y1214" t="inlineStr">
        <is>
          <t>Agriculture and Agri-Food Canada | Agriculture et Agroalimentaire Canada</t>
        </is>
      </c>
    </row>
    <row r="1215">
      <c r="A1215" t="inlineStr">
        <is>
          <t>T-2018-Q4-00052</t>
        </is>
      </c>
      <c r="B1215" t="inlineStr">
        <is>
          <t>SLE</t>
        </is>
      </c>
      <c r="C1215" t="inlineStr">
        <is>
          <t>Assistant Deputy Minister, Strategic Policy Branch</t>
        </is>
      </c>
      <c r="D1215" t="inlineStr">
        <is>
          <t>Sous-ministre adjoint,  Direction générale des politiques stratégiques</t>
        </is>
      </c>
      <c r="E1215" t="inlineStr">
        <is>
          <t>Tom Rosser</t>
        </is>
      </c>
      <c r="F1215" t="inlineStr">
        <is>
          <t>To attend a board meeting of Quebec and Ontario Dairies</t>
        </is>
      </c>
      <c r="G1215" t="inlineStr">
        <is>
          <t>Assister à une réunion du conseil de laiteries du Québec et de l'Ontario</t>
        </is>
      </c>
      <c r="H1215" s="1" t="n">
        <v>43496</v>
      </c>
      <c r="I1215" s="1" t="n">
        <v>43496</v>
      </c>
      <c r="J1215" t="inlineStr">
        <is>
          <t>Montreal, Quebec</t>
        </is>
      </c>
      <c r="K1215" t="inlineStr">
        <is>
          <t>Montréal, Québec</t>
        </is>
      </c>
      <c r="Q1215" t="n">
        <v>248.34</v>
      </c>
      <c r="S1215" t="n">
        <v>69.84999999999999</v>
      </c>
      <c r="T1215" t="n">
        <v>0</v>
      </c>
      <c r="U1215" t="n">
        <v>318.19</v>
      </c>
      <c r="X1215" t="inlineStr">
        <is>
          <t>aafc-aac</t>
        </is>
      </c>
      <c r="Y1215" t="inlineStr">
        <is>
          <t>Agriculture and Agri-Food Canada | Agriculture et Agroalimentaire Canada</t>
        </is>
      </c>
    </row>
    <row r="1216">
      <c r="A1216" t="inlineStr">
        <is>
          <t>T-2018-Q4-00053</t>
        </is>
      </c>
      <c r="B1216" t="inlineStr">
        <is>
          <t>SLE</t>
        </is>
      </c>
      <c r="C1216" t="inlineStr">
        <is>
          <t>Associate Assistant Deputy Minister, Science and Technology Branch</t>
        </is>
      </c>
      <c r="D1216" t="inlineStr">
        <is>
          <t>Sous-ministre adjoint délégué, Direction générale des sciences et de la technologie</t>
        </is>
      </c>
      <c r="E1216" t="inlineStr">
        <is>
          <t>Gilles Saindon</t>
        </is>
      </c>
      <c r="F1216" t="inlineStr">
        <is>
          <t>Attend the session of How Washington Works part of Executive Leadership Development Program</t>
        </is>
      </c>
      <c r="G1216" t="inlineStr">
        <is>
          <t>Assister à la session Washington et ses rouages, qui fait partie du Programme de développement en leadership pour cadres</t>
        </is>
      </c>
      <c r="H1216" s="1" t="n">
        <v>43506</v>
      </c>
      <c r="I1216" s="1" t="n">
        <v>43510</v>
      </c>
      <c r="J1216" t="inlineStr">
        <is>
          <t>Washington, District of Columbia</t>
        </is>
      </c>
      <c r="K1216" t="inlineStr">
        <is>
          <t>Washington, district de Columbia</t>
        </is>
      </c>
      <c r="P1216" t="n">
        <v>1299.62</v>
      </c>
      <c r="Q1216" t="n">
        <v>207.88</v>
      </c>
      <c r="R1216" t="n">
        <v>1463.04</v>
      </c>
      <c r="S1216" t="n">
        <v>284.61</v>
      </c>
      <c r="U1216" t="n">
        <v>3255.15</v>
      </c>
      <c r="X1216" t="inlineStr">
        <is>
          <t>aafc-aac</t>
        </is>
      </c>
      <c r="Y1216" t="inlineStr">
        <is>
          <t>Agriculture and Agri-Food Canada | Agriculture et Agroalimentaire Canada</t>
        </is>
      </c>
    </row>
    <row r="1217">
      <c r="A1217" t="inlineStr">
        <is>
          <t>T-2018-Q4-00054</t>
        </is>
      </c>
      <c r="B1217" t="inlineStr">
        <is>
          <t>SLE</t>
        </is>
      </c>
      <c r="C1217" t="inlineStr">
        <is>
          <t>Associate Assistant Deputy Minister, Science and Technology Branch</t>
        </is>
      </c>
      <c r="D1217" t="inlineStr">
        <is>
          <t>Sous-ministre adjoint délégué, Direction générale des sciences et de la technologie</t>
        </is>
      </c>
      <c r="E1217" t="inlineStr">
        <is>
          <t>Gilles Saindon</t>
        </is>
      </c>
      <c r="F1217" t="inlineStr">
        <is>
          <t>Outreach at the Research and Development Center, all staff meetings and meet with industry</t>
        </is>
      </c>
      <c r="G1217" t="inlineStr">
        <is>
          <t xml:space="preserve">Visite de sensibilisation au Centre de recherche et développement, réunions avec tout le personnel et rencontres avec l'industrie </t>
        </is>
      </c>
      <c r="H1217" s="1" t="n">
        <v>43521</v>
      </c>
      <c r="I1217" s="1" t="n">
        <v>43523</v>
      </c>
      <c r="J1217" t="inlineStr">
        <is>
          <t>Agassiz, British-Columbia</t>
        </is>
      </c>
      <c r="K1217" t="inlineStr">
        <is>
          <t xml:space="preserve">Agassiz, Colombie-Britannique </t>
        </is>
      </c>
      <c r="P1217" t="n">
        <v>869.91</v>
      </c>
      <c r="Q1217" t="n">
        <v>218.58</v>
      </c>
      <c r="R1217" t="n">
        <v>464.69</v>
      </c>
      <c r="S1217" t="n">
        <v>272.2</v>
      </c>
      <c r="U1217" t="n">
        <v>1825.38</v>
      </c>
      <c r="X1217" t="inlineStr">
        <is>
          <t>aafc-aac</t>
        </is>
      </c>
      <c r="Y1217" t="inlineStr">
        <is>
          <t>Agriculture and Agri-Food Canada | Agriculture et Agroalimentaire Canada</t>
        </is>
      </c>
    </row>
    <row r="1218">
      <c r="A1218" t="inlineStr">
        <is>
          <t>T-2018-Q4-00055</t>
        </is>
      </c>
      <c r="B1218" t="inlineStr">
        <is>
          <t>SLE</t>
        </is>
      </c>
      <c r="C1218" t="inlineStr">
        <is>
          <t>Assistant Deputy Minister, Programs Branch</t>
        </is>
      </c>
      <c r="D1218" t="inlineStr">
        <is>
          <t>Sous-ministre ajointe, Direction générale des programmes</t>
        </is>
      </c>
      <c r="E1218" t="inlineStr">
        <is>
          <t>Jane Taylor</t>
        </is>
      </c>
      <c r="F1218" t="inlineStr">
        <is>
          <t>Federal-Provincial-Territorial Meetings</t>
        </is>
      </c>
      <c r="G1218" t="inlineStr">
        <is>
          <t>Réunions fédérales,  provinciales et territoriales</t>
        </is>
      </c>
      <c r="H1218" s="1" t="n">
        <v>43487</v>
      </c>
      <c r="I1218" s="1" t="n">
        <v>43488</v>
      </c>
      <c r="J1218" t="inlineStr">
        <is>
          <t>Toronto, Ontario</t>
        </is>
      </c>
      <c r="K1218" t="inlineStr">
        <is>
          <t>Toronto, Ontario</t>
        </is>
      </c>
      <c r="P1218" t="n">
        <v>277.98</v>
      </c>
      <c r="Q1218" t="n">
        <v>80</v>
      </c>
      <c r="R1218" t="n">
        <v>151.6</v>
      </c>
      <c r="S1218" t="n">
        <v>54.85</v>
      </c>
      <c r="T1218" t="n">
        <v>0</v>
      </c>
      <c r="U1218" t="n">
        <v>564.4299999999999</v>
      </c>
      <c r="X1218" t="inlineStr">
        <is>
          <t>aafc-aac</t>
        </is>
      </c>
      <c r="Y1218" t="inlineStr">
        <is>
          <t>Agriculture and Agri-Food Canada | Agriculture et Agroalimentaire Canada</t>
        </is>
      </c>
    </row>
    <row r="1219">
      <c r="A1219" t="inlineStr">
        <is>
          <t>T-2018-Q4-00056</t>
        </is>
      </c>
      <c r="B1219" t="inlineStr">
        <is>
          <t>SLE</t>
        </is>
      </c>
      <c r="C1219" t="inlineStr">
        <is>
          <t>Director General, Office of Audit and Evaluation</t>
        </is>
      </c>
      <c r="D1219" t="inlineStr">
        <is>
          <t>Directrice Générale, Bureau de la vérification et de l'évaluation</t>
        </is>
      </c>
      <c r="E1219" t="inlineStr">
        <is>
          <t>Kimberly Saunders</t>
        </is>
      </c>
      <c r="F1219" t="inlineStr">
        <is>
          <t>Canada's Best Diversity Employers Awards Reception</t>
        </is>
      </c>
      <c r="G1219" t="inlineStr">
        <is>
          <t>Remise de prix du meilleur employeur canadien pour la diversité</t>
        </is>
      </c>
      <c r="H1219" s="1" t="n">
        <v>43525</v>
      </c>
      <c r="I1219" s="1" t="n">
        <v>43525</v>
      </c>
      <c r="J1219" t="inlineStr">
        <is>
          <t>Toronto, Ontario</t>
        </is>
      </c>
      <c r="K1219" t="inlineStr">
        <is>
          <t>Toronto, Ontario</t>
        </is>
      </c>
      <c r="P1219" t="n">
        <v>0</v>
      </c>
      <c r="Q1219" t="n">
        <v>385.44</v>
      </c>
      <c r="R1219" t="n">
        <v>0</v>
      </c>
      <c r="S1219" t="n">
        <v>0</v>
      </c>
      <c r="T1219" t="n">
        <v>0</v>
      </c>
      <c r="U1219" t="n">
        <v>385.44</v>
      </c>
      <c r="X1219" t="inlineStr">
        <is>
          <t>aafc-aac</t>
        </is>
      </c>
      <c r="Y1219" t="inlineStr">
        <is>
          <t>Agriculture and Agri-Food Canada | Agriculture et Agroalimentaire Canada</t>
        </is>
      </c>
    </row>
    <row r="1220">
      <c r="A1220" t="inlineStr">
        <is>
          <t>T-2018-Q4-00057</t>
        </is>
      </c>
      <c r="B1220" t="inlineStr">
        <is>
          <t>SLE</t>
        </is>
      </c>
      <c r="C1220" t="inlineStr">
        <is>
          <t>Chief Information Officer</t>
        </is>
      </c>
      <c r="D1220" t="inlineStr">
        <is>
          <t>Dirigeant principal de l'information</t>
        </is>
      </c>
      <c r="E1220" t="inlineStr">
        <is>
          <t>Michel Lessard</t>
        </is>
      </c>
      <c r="F1220" t="inlineStr">
        <is>
          <t>Chief Information Officer Strategy Council Meeting</t>
        </is>
      </c>
      <c r="G1220" t="inlineStr">
        <is>
          <t>Réunion du Conseil stratégique des dirigeants principaux de l'information</t>
        </is>
      </c>
      <c r="H1220" s="1" t="n">
        <v>43516</v>
      </c>
      <c r="I1220" s="1" t="n">
        <v>43516</v>
      </c>
      <c r="J1220" t="inlineStr">
        <is>
          <t>Toronto, Ontario</t>
        </is>
      </c>
      <c r="K1220" t="inlineStr">
        <is>
          <t>Toronto, Ontario</t>
        </is>
      </c>
      <c r="P1220" t="n">
        <v>549.87</v>
      </c>
      <c r="Q1220" t="n">
        <v>29.7</v>
      </c>
      <c r="R1220" t="n">
        <v>0</v>
      </c>
      <c r="S1220" t="n">
        <v>0</v>
      </c>
      <c r="T1220" t="n">
        <v>0</v>
      </c>
      <c r="U1220" t="n">
        <v>579.97</v>
      </c>
      <c r="X1220" t="inlineStr">
        <is>
          <t>aafc-aac</t>
        </is>
      </c>
      <c r="Y1220" t="inlineStr">
        <is>
          <t>Agriculture and Agri-Food Canada | Agriculture et Agroalimentaire Canada</t>
        </is>
      </c>
    </row>
    <row r="1221">
      <c r="A1221" t="inlineStr">
        <is>
          <t>T-2018-Q4-00058</t>
        </is>
      </c>
      <c r="B1221" t="inlineStr">
        <is>
          <t>SLE</t>
        </is>
      </c>
      <c r="C1221" t="inlineStr">
        <is>
          <t>Chief Information Officer</t>
        </is>
      </c>
      <c r="D1221" t="inlineStr">
        <is>
          <t>Dirigeant principal de l'information</t>
        </is>
      </c>
      <c r="E1221" t="inlineStr">
        <is>
          <t>Michel Lessard</t>
        </is>
      </c>
      <c r="F1221" t="inlineStr">
        <is>
          <t>Chief Information Officer Strategy Council Meeting</t>
        </is>
      </c>
      <c r="G1221" t="inlineStr">
        <is>
          <t>Réunion du Conseil stratégique des dirigeants principaux de l'information</t>
        </is>
      </c>
      <c r="H1221" s="1" t="n">
        <v>43521</v>
      </c>
      <c r="I1221" s="1" t="n">
        <v>43525</v>
      </c>
      <c r="J1221" t="inlineStr">
        <is>
          <t>Vancouver, Agassiz, Burnaby and Summerland, British Columbia</t>
        </is>
      </c>
      <c r="K1221" t="inlineStr">
        <is>
          <t>Vancouver, Agassiz, Burnaby et Summerland, Colombie-Britannique</t>
        </is>
      </c>
      <c r="P1221" t="n">
        <v>1882.45</v>
      </c>
      <c r="Q1221" t="n">
        <v>470.05</v>
      </c>
      <c r="R1221" t="n">
        <v>760.7</v>
      </c>
      <c r="S1221" t="n">
        <v>356.8</v>
      </c>
      <c r="T1221" t="n">
        <v>0</v>
      </c>
      <c r="U1221" t="n">
        <v>3470</v>
      </c>
      <c r="X1221" t="inlineStr">
        <is>
          <t>aafc-aac</t>
        </is>
      </c>
      <c r="Y1221" t="inlineStr">
        <is>
          <t>Agriculture and Agri-Food Canada | Agriculture et Agroalimentaire Canada</t>
        </is>
      </c>
    </row>
    <row r="1222">
      <c r="A1222" t="inlineStr">
        <is>
          <t>T-2018-Q4-00059</t>
        </is>
      </c>
      <c r="B1222" t="inlineStr">
        <is>
          <t>SLE</t>
        </is>
      </c>
      <c r="C1222" t="inlineStr">
        <is>
          <t>Assistant Deputy Minister, Science and Technology Branch</t>
        </is>
      </c>
      <c r="D1222" t="inlineStr">
        <is>
          <t>Sous-ministre adjoint, Direction Générale des sciences et de la technologie</t>
        </is>
      </c>
      <c r="E1222" t="inlineStr">
        <is>
          <t>Brian Gray</t>
        </is>
      </c>
      <c r="F1222" t="inlineStr">
        <is>
          <t>Meet with senior officials of the New Zealand government and Indigenous Science Mission</t>
        </is>
      </c>
      <c r="G1222" t="inlineStr">
        <is>
          <t>Rencontrer les hauts fonctionnaires du gouvernement néo-zélandais et Mission scientifique autochtone</t>
        </is>
      </c>
      <c r="H1222" s="1" t="n">
        <v>43431</v>
      </c>
      <c r="I1222" s="1" t="n">
        <v>43442</v>
      </c>
      <c r="J1222" t="inlineStr">
        <is>
          <t>Hamilton, New Zealand</t>
        </is>
      </c>
      <c r="K1222" t="inlineStr">
        <is>
          <t>Hamilton, Nouvelle-Zélande</t>
        </is>
      </c>
      <c r="P1222" t="n">
        <v>11709.48</v>
      </c>
      <c r="Q1222" t="n">
        <v>242.44</v>
      </c>
      <c r="R1222" t="n">
        <v>1826.65</v>
      </c>
      <c r="S1222" t="n">
        <v>1581.01</v>
      </c>
      <c r="T1222" t="n">
        <v>0</v>
      </c>
      <c r="U1222" t="n">
        <v>15359.58</v>
      </c>
      <c r="X1222" t="inlineStr">
        <is>
          <t>aafc-aac</t>
        </is>
      </c>
      <c r="Y1222" t="inlineStr">
        <is>
          <t>Agriculture and Agri-Food Canada | Agriculture et Agroalimentaire Canada</t>
        </is>
      </c>
    </row>
    <row r="1223">
      <c r="A1223" t="inlineStr">
        <is>
          <t>T-2018-Q4-00060</t>
        </is>
      </c>
      <c r="B1223" t="inlineStr">
        <is>
          <t>SLE</t>
        </is>
      </c>
      <c r="C1223" t="inlineStr">
        <is>
          <t>Assistant Deputy Minister, Science and Technology Branch</t>
        </is>
      </c>
      <c r="D1223" t="inlineStr">
        <is>
          <t>Sous-ministre adjoint, Direction Générale des sciences et de la technologie</t>
        </is>
      </c>
      <c r="E1223" t="inlineStr">
        <is>
          <t>Brian Gray</t>
        </is>
      </c>
      <c r="F1223" t="inlineStr">
        <is>
          <t xml:space="preserve">Agricultural Chief Scientists Collaboration </t>
        </is>
      </c>
      <c r="G1223" t="inlineStr">
        <is>
          <t>Collaboration des scientifiques en chef en agriculture</t>
        </is>
      </c>
      <c r="H1223" s="1" t="n">
        <v>43444</v>
      </c>
      <c r="I1223" s="1" t="n">
        <v>43447</v>
      </c>
      <c r="J1223" t="inlineStr">
        <is>
          <t>Washington DC, United States</t>
        </is>
      </c>
      <c r="K1223" t="inlineStr">
        <is>
          <t>Washington DC, États-Unis</t>
        </is>
      </c>
      <c r="P1223" t="n">
        <v>1865.36</v>
      </c>
      <c r="Q1223" t="n">
        <v>128.49</v>
      </c>
      <c r="R1223" t="n">
        <v>994.39</v>
      </c>
      <c r="S1223" t="n">
        <v>394.7</v>
      </c>
      <c r="T1223" t="n">
        <v>0</v>
      </c>
      <c r="U1223" t="n">
        <v>3382.94</v>
      </c>
      <c r="X1223" t="inlineStr">
        <is>
          <t>aafc-aac</t>
        </is>
      </c>
      <c r="Y1223" t="inlineStr">
        <is>
          <t>Agriculture and Agri-Food Canada | Agriculture et Agroalimentaire Canada</t>
        </is>
      </c>
    </row>
    <row r="1224">
      <c r="A1224" t="inlineStr">
        <is>
          <t>T-2018-Q4-00061</t>
        </is>
      </c>
      <c r="B1224" t="inlineStr">
        <is>
          <t>SLE</t>
        </is>
      </c>
      <c r="C1224" t="inlineStr">
        <is>
          <t>Assistant Deputy Minister, Science and Technology Branch</t>
        </is>
      </c>
      <c r="D1224" t="inlineStr">
        <is>
          <t>Sous-ministre adjoint, Direction Générale des sciences et de la technologie</t>
        </is>
      </c>
      <c r="E1224" t="inlineStr">
        <is>
          <t>Brian Gray</t>
        </is>
      </c>
      <c r="F1224" t="inlineStr">
        <is>
          <t xml:space="preserve">Vision and planning exercises </t>
        </is>
      </c>
      <c r="G1224" t="inlineStr">
        <is>
          <t>Exercices de planification et de vision</t>
        </is>
      </c>
      <c r="H1224" s="1" t="n">
        <v>43451</v>
      </c>
      <c r="I1224" s="1" t="n">
        <v>43453</v>
      </c>
      <c r="J1224" t="inlineStr">
        <is>
          <t>Winnipeg, Manitoba</t>
        </is>
      </c>
      <c r="K1224" t="inlineStr">
        <is>
          <t>Winnipeg, Manitoba</t>
        </is>
      </c>
      <c r="P1224" t="n">
        <v>679.67</v>
      </c>
      <c r="Q1224" t="n">
        <v>110.89</v>
      </c>
      <c r="R1224" t="n">
        <v>312.18</v>
      </c>
      <c r="S1224" t="n">
        <v>171.75</v>
      </c>
      <c r="T1224" t="n">
        <v>0</v>
      </c>
      <c r="U1224" t="n">
        <v>1274.49</v>
      </c>
      <c r="X1224" t="inlineStr">
        <is>
          <t>aafc-aac</t>
        </is>
      </c>
      <c r="Y1224" t="inlineStr">
        <is>
          <t>Agriculture and Agri-Food Canada | Agriculture et Agroalimentaire Canada</t>
        </is>
      </c>
    </row>
    <row r="1225">
      <c r="A1225" t="inlineStr">
        <is>
          <t>T-2018-Q4-00062</t>
        </is>
      </c>
      <c r="B1225" t="inlineStr">
        <is>
          <t>SLE</t>
        </is>
      </c>
      <c r="C1225" t="inlineStr">
        <is>
          <t>Assistant Deputy Minister, Science and Technology Branch</t>
        </is>
      </c>
      <c r="D1225" t="inlineStr">
        <is>
          <t>Sous-ministre adjoint, Direction Générale des sciences et de la technologie</t>
        </is>
      </c>
      <c r="E1225" t="inlineStr">
        <is>
          <t>Brian Gray</t>
        </is>
      </c>
      <c r="F1225" t="inlineStr">
        <is>
          <t>ArcticNet Board of Directors Meeting</t>
        </is>
      </c>
      <c r="G1225" t="inlineStr">
        <is>
          <t>Réunion du Conseil d'administration d'ArcticNet</t>
        </is>
      </c>
      <c r="H1225" s="1" t="n">
        <v>43494</v>
      </c>
      <c r="I1225" s="1" t="n">
        <v>43495</v>
      </c>
      <c r="J1225" t="inlineStr">
        <is>
          <t>Montreal, Quebec</t>
        </is>
      </c>
      <c r="K1225" t="inlineStr">
        <is>
          <t>Montréal, Québec</t>
        </is>
      </c>
      <c r="P1225" t="n">
        <v>0</v>
      </c>
      <c r="Q1225" t="n">
        <v>263.7</v>
      </c>
      <c r="R1225" t="n">
        <v>0</v>
      </c>
      <c r="S1225" t="n">
        <v>84.59999999999999</v>
      </c>
      <c r="T1225" t="n">
        <v>0</v>
      </c>
      <c r="U1225" t="n">
        <v>348.3</v>
      </c>
      <c r="X1225" t="inlineStr">
        <is>
          <t>aafc-aac</t>
        </is>
      </c>
      <c r="Y1225" t="inlineStr">
        <is>
          <t>Agriculture and Agri-Food Canada | Agriculture et Agroalimentaire Canada</t>
        </is>
      </c>
    </row>
    <row r="1226">
      <c r="A1226" t="inlineStr">
        <is>
          <t>T-2018-Q4-00063</t>
        </is>
      </c>
      <c r="B1226" t="inlineStr">
        <is>
          <t>SLE</t>
        </is>
      </c>
      <c r="C1226" t="inlineStr">
        <is>
          <t>Assistant Deputy Minister, Science and Technology Branch</t>
        </is>
      </c>
      <c r="D1226" t="inlineStr">
        <is>
          <t>Sous-ministre adjoint, Direction Générale des sciences et de la technologie</t>
        </is>
      </c>
      <c r="E1226" t="inlineStr">
        <is>
          <t>Brian Gray</t>
        </is>
      </c>
      <c r="F1226" t="inlineStr">
        <is>
          <t>Outreach to Swift Current and Regina</t>
        </is>
      </c>
      <c r="G1226" t="inlineStr">
        <is>
          <t>Visite de sensibilisation de Swift Current et Régina</t>
        </is>
      </c>
      <c r="H1226" s="1" t="n">
        <v>43516</v>
      </c>
      <c r="I1226" s="1" t="n">
        <v>43518</v>
      </c>
      <c r="J1226" t="inlineStr">
        <is>
          <t>Swift Current and Regina, Saskatchewan</t>
        </is>
      </c>
      <c r="K1226" t="inlineStr">
        <is>
          <t>Swift Current et Régina, Saskatchewan</t>
        </is>
      </c>
      <c r="P1226" t="n">
        <v>895.36</v>
      </c>
      <c r="Q1226" t="n">
        <v>172.5</v>
      </c>
      <c r="R1226" t="n">
        <v>280.06</v>
      </c>
      <c r="S1226" t="n">
        <v>211.85</v>
      </c>
      <c r="T1226" t="n">
        <v>0</v>
      </c>
      <c r="U1226" t="n">
        <v>1559.77</v>
      </c>
      <c r="X1226" t="inlineStr">
        <is>
          <t>aafc-aac</t>
        </is>
      </c>
      <c r="Y1226" t="inlineStr">
        <is>
          <t>Agriculture and Agri-Food Canada | Agriculture et Agroalimentaire Canada</t>
        </is>
      </c>
    </row>
    <row r="1227">
      <c r="A1227" t="inlineStr">
        <is>
          <t>T-2018-Q4-00064</t>
        </is>
      </c>
      <c r="B1227" t="inlineStr">
        <is>
          <t>SLE</t>
        </is>
      </c>
      <c r="C1227" t="inlineStr">
        <is>
          <t>Assistant Deputy Minister, International Affairs Branch</t>
        </is>
      </c>
      <c r="D1227" t="inlineStr">
        <is>
          <t>Sous-ministre adjoint, Direction générale des affaires internationales</t>
        </is>
      </c>
      <c r="E1227" t="inlineStr">
        <is>
          <t>Fred Gorrell</t>
        </is>
      </c>
      <c r="F1227" t="inlineStr">
        <is>
          <t>Trade mission to Germany and Turkey</t>
        </is>
      </c>
      <c r="G1227" t="inlineStr">
        <is>
          <t>Missions commerciales en Allemagne et en Turquie</t>
        </is>
      </c>
      <c r="H1227" s="1" t="n">
        <v>43481</v>
      </c>
      <c r="I1227" s="1" t="n">
        <v>43489</v>
      </c>
      <c r="J1227" t="inlineStr">
        <is>
          <t>Berlin, Germany; Ankara, Turkey</t>
        </is>
      </c>
      <c r="K1227" t="inlineStr">
        <is>
          <t>Berlin, Allemagne; Ankara, Turquie</t>
        </is>
      </c>
      <c r="P1227" t="n">
        <v>7671.18</v>
      </c>
      <c r="Q1227" t="n">
        <v>142.86</v>
      </c>
      <c r="R1227" t="n">
        <v>1005.86</v>
      </c>
      <c r="S1227" t="n">
        <v>896.64</v>
      </c>
      <c r="T1227" t="n">
        <v>0</v>
      </c>
      <c r="U1227" t="n">
        <v>9716.540000000001</v>
      </c>
      <c r="X1227" t="inlineStr">
        <is>
          <t>aafc-aac</t>
        </is>
      </c>
      <c r="Y1227" t="inlineStr">
        <is>
          <t>Agriculture and Agri-Food Canada | Agriculture et Agroalimentaire Canada</t>
        </is>
      </c>
    </row>
    <row r="1228">
      <c r="A1228" t="inlineStr">
        <is>
          <t>T-2018-Q4-00065</t>
        </is>
      </c>
      <c r="B1228" t="inlineStr">
        <is>
          <t>SLE</t>
        </is>
      </c>
      <c r="C1228" t="inlineStr">
        <is>
          <t>Assistant Deputy Minister, International Affairs Branch</t>
        </is>
      </c>
      <c r="D1228" t="inlineStr">
        <is>
          <t>Sous-ministre adjoint, Direction générale des affaires internationales</t>
        </is>
      </c>
      <c r="E1228" t="inlineStr">
        <is>
          <t>Fred Gorrell</t>
        </is>
      </c>
      <c r="F1228" t="inlineStr">
        <is>
          <t>Canada Pork International Conference</t>
        </is>
      </c>
      <c r="G1228" t="inlineStr">
        <is>
          <t>Conférence de Canada Porc International</t>
        </is>
      </c>
      <c r="H1228" s="1" t="n">
        <v>43517</v>
      </c>
      <c r="I1228" s="1" t="n">
        <v>43517</v>
      </c>
      <c r="J1228" t="inlineStr">
        <is>
          <t>Toronto, Ontario</t>
        </is>
      </c>
      <c r="K1228" t="inlineStr">
        <is>
          <t>Toronto, Ontario</t>
        </is>
      </c>
      <c r="P1228" t="n">
        <v>702.83</v>
      </c>
      <c r="Q1228" t="n">
        <v>90.47</v>
      </c>
      <c r="R1228" t="n">
        <v>0</v>
      </c>
      <c r="S1228" t="n">
        <v>40.1</v>
      </c>
      <c r="T1228" t="n">
        <v>24</v>
      </c>
      <c r="U1228" t="n">
        <v>857.4</v>
      </c>
      <c r="X1228" t="inlineStr">
        <is>
          <t>aafc-aac</t>
        </is>
      </c>
      <c r="Y1228" t="inlineStr">
        <is>
          <t>Agriculture and Agri-Food Canada | Agriculture et Agroalimentaire Canada</t>
        </is>
      </c>
    </row>
    <row r="1229">
      <c r="A1229" t="inlineStr">
        <is>
          <t>T-2018-Q4-00066</t>
        </is>
      </c>
      <c r="B1229" t="inlineStr">
        <is>
          <t>SLE</t>
        </is>
      </c>
      <c r="C1229" t="inlineStr">
        <is>
          <t>Assistant Deputy Minister, Market and Industry Services Branch</t>
        </is>
      </c>
      <c r="D1229" t="inlineStr">
        <is>
          <t>Sous-ministre adjoint, Direction générale des services à l'industrie et aux marchés</t>
        </is>
      </c>
      <c r="E1229" t="inlineStr">
        <is>
          <t>Frédéric Seppey</t>
        </is>
      </c>
      <c r="F1229" t="inlineStr">
        <is>
          <t>Meeting in Montreal - dairy sector</t>
        </is>
      </c>
      <c r="G1229" t="inlineStr">
        <is>
          <t>Rencontre à Montréal - secteur laitier</t>
        </is>
      </c>
      <c r="H1229" s="1" t="n">
        <v>43438</v>
      </c>
      <c r="I1229" s="1" t="n">
        <v>43438</v>
      </c>
      <c r="J1229" t="inlineStr">
        <is>
          <t>Montreal, Quebec</t>
        </is>
      </c>
      <c r="K1229" t="inlineStr">
        <is>
          <t xml:space="preserve">Montréal, Québec </t>
        </is>
      </c>
      <c r="P1229" t="n">
        <v>0</v>
      </c>
      <c r="Q1229" t="n">
        <v>262.77</v>
      </c>
      <c r="R1229" t="n">
        <v>0</v>
      </c>
      <c r="S1229" t="n">
        <v>20.25</v>
      </c>
      <c r="T1229" t="n">
        <v>5.65</v>
      </c>
      <c r="U1229" t="n">
        <v>288.67</v>
      </c>
      <c r="X1229" t="inlineStr">
        <is>
          <t>aafc-aac</t>
        </is>
      </c>
      <c r="Y1229" t="inlineStr">
        <is>
          <t>Agriculture and Agri-Food Canada | Agriculture et Agroalimentaire Canada</t>
        </is>
      </c>
    </row>
    <row r="1230">
      <c r="A1230" t="inlineStr">
        <is>
          <t>T-2018-Q4-00067</t>
        </is>
      </c>
      <c r="B1230" t="inlineStr">
        <is>
          <t>SLE</t>
        </is>
      </c>
      <c r="C1230" t="inlineStr">
        <is>
          <t>Assistant Deputy Minister, Market and Industry Services Branch</t>
        </is>
      </c>
      <c r="D1230" t="inlineStr">
        <is>
          <t>Sous-ministre adjoint, Direction générale des services à l'industrie et aux marchés</t>
        </is>
      </c>
      <c r="E1230" t="inlineStr">
        <is>
          <t>Frédéric Seppey</t>
        </is>
      </c>
      <c r="F1230" t="inlineStr">
        <is>
          <t>Assistant Deputy Minister Federal-Provincial-Territorial Meeting December 11 in Montreal and the Toronto Global Forum on December 12 in Toronto</t>
        </is>
      </c>
      <c r="G1230" t="inlineStr">
        <is>
          <t>Rencontre fédérale, provinciale et territoriale des sous-ministres adjoints le 11 décembre à Montréal et le Toronto Global Forum le 12 décembre à Toronto</t>
        </is>
      </c>
      <c r="H1230" s="1" t="n">
        <v>43445</v>
      </c>
      <c r="I1230" s="1" t="n">
        <v>43446</v>
      </c>
      <c r="J1230" t="inlineStr">
        <is>
          <t>Montreal, Quebec;  Toronto, Ontario</t>
        </is>
      </c>
      <c r="K1230" t="inlineStr">
        <is>
          <t>Montréal, Québec; Toronto, Ontario</t>
        </is>
      </c>
      <c r="P1230" t="n">
        <v>484.01</v>
      </c>
      <c r="Q1230" t="n">
        <v>316.96</v>
      </c>
      <c r="R1230" t="n">
        <v>233.86</v>
      </c>
      <c r="S1230" t="n">
        <v>134.6</v>
      </c>
      <c r="T1230" t="n">
        <v>0</v>
      </c>
      <c r="U1230" t="n">
        <v>1169.43</v>
      </c>
      <c r="X1230" t="inlineStr">
        <is>
          <t>aafc-aac</t>
        </is>
      </c>
      <c r="Y1230" t="inlineStr">
        <is>
          <t>Agriculture and Agri-Food Canada | Agriculture et Agroalimentaire Canada</t>
        </is>
      </c>
    </row>
    <row r="1231">
      <c r="A1231" t="inlineStr">
        <is>
          <t>T-2018-Q4-00068</t>
        </is>
      </c>
      <c r="B1231" t="inlineStr">
        <is>
          <t>SLE</t>
        </is>
      </c>
      <c r="C1231" t="inlineStr">
        <is>
          <t>Assistant Deputy Minister, Market and Industry Services Branch</t>
        </is>
      </c>
      <c r="D1231" t="inlineStr">
        <is>
          <t>Sous-ministre adjoint, Direction générale des services à l'industrie et aux marchés</t>
        </is>
      </c>
      <c r="E1231" t="inlineStr">
        <is>
          <t>Frédéric Seppey</t>
        </is>
      </c>
      <c r="F1231" t="inlineStr">
        <is>
          <t>Deputy Ministers Federal- Provincial-Territorial Policy Retreat in Toronto and visit to Guelph regional office</t>
        </is>
      </c>
      <c r="G1231" t="inlineStr">
        <is>
          <t>Séance de réflexion fédérale, provinciale et territoriale des sous-ministres à Toronto et la visite du bureau régional de Guelph</t>
        </is>
      </c>
      <c r="H1231" s="1" t="n">
        <v>43486</v>
      </c>
      <c r="I1231" s="1" t="n">
        <v>43488</v>
      </c>
      <c r="J1231" t="inlineStr">
        <is>
          <t>Toronto, Ontario</t>
        </is>
      </c>
      <c r="K1231" t="inlineStr">
        <is>
          <t>Toronto, Ontario</t>
        </is>
      </c>
      <c r="P1231" t="n">
        <v>561.89</v>
      </c>
      <c r="Q1231" t="n">
        <v>168.71</v>
      </c>
      <c r="R1231" t="n">
        <v>331.27</v>
      </c>
      <c r="S1231" t="n">
        <v>282.1</v>
      </c>
      <c r="T1231" t="n">
        <v>0</v>
      </c>
      <c r="U1231" t="n">
        <v>1343.97</v>
      </c>
      <c r="X1231" t="inlineStr">
        <is>
          <t>aafc-aac</t>
        </is>
      </c>
      <c r="Y1231" t="inlineStr">
        <is>
          <t>Agriculture and Agri-Food Canada | Agriculture et Agroalimentaire Canada</t>
        </is>
      </c>
    </row>
    <row r="1232">
      <c r="A1232" t="inlineStr">
        <is>
          <t>T-2018-Q4-00069</t>
        </is>
      </c>
      <c r="B1232" t="inlineStr">
        <is>
          <t>SLE</t>
        </is>
      </c>
      <c r="C1232" t="inlineStr">
        <is>
          <t>Acting Assistant Deputy Minister, Public Affairs Branch</t>
        </is>
      </c>
      <c r="D1232" t="inlineStr">
        <is>
          <t>Sous-ministre adjoint par intérim, Direction générale des affaires publiques</t>
        </is>
      </c>
      <c r="E1232" t="inlineStr">
        <is>
          <t>Steven Jurgutis</t>
        </is>
      </c>
      <c r="F1232" t="inlineStr">
        <is>
          <t>To attend Agriculture Days and visit sites in Manitoba</t>
        </is>
      </c>
      <c r="G1232" t="inlineStr">
        <is>
          <t>Pour assister aux journées d'agriculture et visiter des lieux de travail au Manitoba</t>
        </is>
      </c>
      <c r="H1232" s="1" t="n">
        <v>43486</v>
      </c>
      <c r="I1232" s="1" t="n">
        <v>43489</v>
      </c>
      <c r="J1232" t="inlineStr">
        <is>
          <t>Winnipeg, Manitoba</t>
        </is>
      </c>
      <c r="K1232" t="inlineStr">
        <is>
          <t>Winnipeg, Manitoba</t>
        </is>
      </c>
      <c r="P1232" t="n">
        <v>603.96</v>
      </c>
      <c r="Q1232" t="n">
        <v>35.33</v>
      </c>
      <c r="R1232" t="n">
        <v>521.36</v>
      </c>
      <c r="S1232" t="n">
        <v>368.85</v>
      </c>
      <c r="T1232" t="n">
        <v>0</v>
      </c>
      <c r="U1232" t="n">
        <v>1529.5</v>
      </c>
      <c r="X1232" t="inlineStr">
        <is>
          <t>aafc-aac</t>
        </is>
      </c>
      <c r="Y1232" t="inlineStr">
        <is>
          <t>Agriculture and Agri-Food Canada | Agriculture et Agroalimentaire Canada</t>
        </is>
      </c>
    </row>
    <row r="1233">
      <c r="A1233" t="inlineStr">
        <is>
          <t>T-2019-Q1-00001</t>
        </is>
      </c>
      <c r="B1233" t="inlineStr">
        <is>
          <t>MPSES</t>
        </is>
      </c>
      <c r="C1233" t="inlineStr">
        <is>
          <t>Driver</t>
        </is>
      </c>
      <c r="D1233" t="inlineStr">
        <is>
          <t>Chauffeur</t>
        </is>
      </c>
      <c r="E1233" t="inlineStr">
        <is>
          <t>Michel Gendreau</t>
        </is>
      </c>
      <c r="F1233" t="inlineStr">
        <is>
          <t>To drive the Minister to Sherbrooke</t>
        </is>
      </c>
      <c r="G1233" t="inlineStr">
        <is>
          <t>Pour conduire la Ministre à Sherbrooke</t>
        </is>
      </c>
      <c r="H1233" s="1" t="n">
        <v>43602</v>
      </c>
      <c r="I1233" s="1" t="n">
        <v>43602</v>
      </c>
      <c r="J1233" t="inlineStr">
        <is>
          <t>Sherbrooke, Quebec</t>
        </is>
      </c>
      <c r="K1233" t="inlineStr">
        <is>
          <t>Sherbrooke (Québec)</t>
        </is>
      </c>
      <c r="P1233" t="n">
        <v>0</v>
      </c>
      <c r="Q1233" t="n">
        <v>6.2</v>
      </c>
      <c r="R1233" t="n">
        <v>0</v>
      </c>
      <c r="S1233" t="n">
        <v>50.65</v>
      </c>
      <c r="T1233" t="n">
        <v>0</v>
      </c>
      <c r="U1233" t="n">
        <v>56.85</v>
      </c>
      <c r="X1233" t="inlineStr">
        <is>
          <t>aafc-aac</t>
        </is>
      </c>
      <c r="Y1233" t="inlineStr">
        <is>
          <t>Agriculture and Agri-Food Canada | Agriculture et Agroalimentaire Canada</t>
        </is>
      </c>
    </row>
    <row r="1234">
      <c r="A1234" t="inlineStr">
        <is>
          <t>T-2019-Q1-00002</t>
        </is>
      </c>
      <c r="B1234" t="inlineStr">
        <is>
          <t>MPSES</t>
        </is>
      </c>
      <c r="C1234" t="inlineStr">
        <is>
          <t>Driver</t>
        </is>
      </c>
      <c r="D1234" t="inlineStr">
        <is>
          <t>Chauffeur</t>
        </is>
      </c>
      <c r="E1234" t="inlineStr">
        <is>
          <t>Michel Gendreau</t>
        </is>
      </c>
      <c r="F1234" t="inlineStr">
        <is>
          <t>To drive the Minister to Sherbrooke</t>
        </is>
      </c>
      <c r="G1234" t="inlineStr">
        <is>
          <t>Pour conduire la Ministre à Sherbrooke</t>
        </is>
      </c>
      <c r="H1234" s="1" t="n">
        <v>43608</v>
      </c>
      <c r="I1234" s="1" t="n">
        <v>43609</v>
      </c>
      <c r="J1234" t="inlineStr">
        <is>
          <t>Sherbrooke, Quebec</t>
        </is>
      </c>
      <c r="K1234" t="inlineStr">
        <is>
          <t>Sherbrooke (Québec)</t>
        </is>
      </c>
      <c r="P1234" t="n">
        <v>0</v>
      </c>
      <c r="Q1234" t="n">
        <v>6.2</v>
      </c>
      <c r="R1234" t="n">
        <v>146.95</v>
      </c>
      <c r="S1234" t="n">
        <v>105.75</v>
      </c>
      <c r="T1234" t="n">
        <v>0</v>
      </c>
      <c r="U1234" t="n">
        <v>258.9</v>
      </c>
      <c r="X1234" t="inlineStr">
        <is>
          <t>aafc-aac</t>
        </is>
      </c>
      <c r="Y1234" t="inlineStr">
        <is>
          <t>Agriculture and Agri-Food Canada | Agriculture et Agroalimentaire Canada</t>
        </is>
      </c>
    </row>
    <row r="1235">
      <c r="A1235" t="inlineStr">
        <is>
          <t>T-2019-Q1-00003</t>
        </is>
      </c>
      <c r="B1235" t="inlineStr">
        <is>
          <t>MPSES</t>
        </is>
      </c>
      <c r="C1235" t="inlineStr">
        <is>
          <t>Driver</t>
        </is>
      </c>
      <c r="D1235" t="inlineStr">
        <is>
          <t>Chauffeur</t>
        </is>
      </c>
      <c r="E1235" t="inlineStr">
        <is>
          <t>Michel Gendreau</t>
        </is>
      </c>
      <c r="F1235" t="inlineStr">
        <is>
          <t>To pick up the Minister from Sherbrooke and drive her to Ottawa</t>
        </is>
      </c>
      <c r="G1235" t="inlineStr">
        <is>
          <t>Pour aller chercher la Ministre à Sherbrooke et la conduire à Ottawa</t>
        </is>
      </c>
      <c r="H1235" s="1" t="n">
        <v>43611</v>
      </c>
      <c r="I1235" s="1" t="n">
        <v>43612</v>
      </c>
      <c r="J1235" t="inlineStr">
        <is>
          <t>Sherbrooke, Quebec</t>
        </is>
      </c>
      <c r="K1235" t="inlineStr">
        <is>
          <t>Sherbrooke (Québec)</t>
        </is>
      </c>
      <c r="P1235" t="n">
        <v>0</v>
      </c>
      <c r="Q1235" t="n">
        <v>6.2</v>
      </c>
      <c r="R1235" t="n">
        <v>141.3</v>
      </c>
      <c r="S1235" t="n">
        <v>105.75</v>
      </c>
      <c r="T1235" t="n">
        <v>0</v>
      </c>
      <c r="U1235" t="n">
        <v>253.25</v>
      </c>
      <c r="X1235" t="inlineStr">
        <is>
          <t>aafc-aac</t>
        </is>
      </c>
      <c r="Y1235" t="inlineStr">
        <is>
          <t>Agriculture and Agri-Food Canada | Agriculture et Agroalimentaire Canada</t>
        </is>
      </c>
    </row>
    <row r="1236">
      <c r="A1236" t="inlineStr">
        <is>
          <t>T-2019-Q1-00004</t>
        </is>
      </c>
      <c r="B1236" t="inlineStr">
        <is>
          <t>MPSES</t>
        </is>
      </c>
      <c r="C1236" t="inlineStr">
        <is>
          <t>Driver</t>
        </is>
      </c>
      <c r="D1236" t="inlineStr">
        <is>
          <t>Chauffeur</t>
        </is>
      </c>
      <c r="E1236" t="inlineStr">
        <is>
          <t>Michel Gendreau</t>
        </is>
      </c>
      <c r="F1236" t="inlineStr">
        <is>
          <t>To pick up the Minister from Sherbrooke and drive her to Ottawa</t>
        </is>
      </c>
      <c r="G1236" t="inlineStr">
        <is>
          <t>Pour aller chercher la Ministre à Sherbrooke et la conduire à Ottawa</t>
        </is>
      </c>
      <c r="H1236" s="1" t="n">
        <v>43615</v>
      </c>
      <c r="I1236" s="1" t="n">
        <v>43616</v>
      </c>
      <c r="J1236" t="inlineStr">
        <is>
          <t>Sherbrooke, Quebec</t>
        </is>
      </c>
      <c r="K1236" t="inlineStr">
        <is>
          <t>Sherbrooke (Québec)</t>
        </is>
      </c>
      <c r="P1236" t="n">
        <v>0</v>
      </c>
      <c r="Q1236" t="n">
        <v>34.1</v>
      </c>
      <c r="R1236" t="n">
        <v>176.12</v>
      </c>
      <c r="S1236" t="n">
        <v>176.5</v>
      </c>
      <c r="T1236" t="n">
        <v>0</v>
      </c>
      <c r="U1236" t="n">
        <v>386.72</v>
      </c>
      <c r="X1236" t="inlineStr">
        <is>
          <t>aafc-aac</t>
        </is>
      </c>
      <c r="Y1236" t="inlineStr">
        <is>
          <t>Agriculture and Agri-Food Canada | Agriculture et Agroalimentaire Canada</t>
        </is>
      </c>
    </row>
    <row r="1237">
      <c r="A1237" t="inlineStr">
        <is>
          <t>T-2019-Q1-00005</t>
        </is>
      </c>
      <c r="B1237" t="inlineStr">
        <is>
          <t>MPSES</t>
        </is>
      </c>
      <c r="C1237" t="inlineStr">
        <is>
          <t>Senior Policy Advisor</t>
        </is>
      </c>
      <c r="D1237" t="inlineStr">
        <is>
          <t>Conseiller principal des politiques</t>
        </is>
      </c>
      <c r="E1237" t="inlineStr">
        <is>
          <t>Michel-Antoine Renaud</t>
        </is>
      </c>
      <c r="F1237" t="inlineStr">
        <is>
          <t>To accompany the Parliamentary Secretary to the Annual General Meeting of Au coeur des familles agricole</t>
        </is>
      </c>
      <c r="G1237" t="inlineStr">
        <is>
          <t>Pour accompagner le secrétaire parlementaire à l'assemblée générale d'Au coeur des familles agricoles</t>
        </is>
      </c>
      <c r="H1237" s="1" t="n">
        <v>43531</v>
      </c>
      <c r="I1237" s="1" t="n">
        <v>43532</v>
      </c>
      <c r="J1237" t="inlineStr">
        <is>
          <t>St-Hyacinthe, Quebec</t>
        </is>
      </c>
      <c r="K1237" t="inlineStr">
        <is>
          <t>St-Hyacinthe (Québec)</t>
        </is>
      </c>
      <c r="P1237" t="n">
        <v>0</v>
      </c>
      <c r="Q1237" t="n">
        <v>125.89</v>
      </c>
      <c r="R1237" t="n">
        <v>0</v>
      </c>
      <c r="S1237" t="n">
        <v>40.1</v>
      </c>
      <c r="T1237" t="n">
        <v>0</v>
      </c>
      <c r="U1237" t="n">
        <v>165.99</v>
      </c>
      <c r="X1237" t="inlineStr">
        <is>
          <t>aafc-aac</t>
        </is>
      </c>
      <c r="Y1237" t="inlineStr">
        <is>
          <t>Agriculture and Agri-Food Canada | Agriculture et Agroalimentaire Canada</t>
        </is>
      </c>
    </row>
    <row r="1238">
      <c r="A1238" t="inlineStr">
        <is>
          <t>T-2019-Q1-00006</t>
        </is>
      </c>
      <c r="B1238" t="inlineStr">
        <is>
          <t>MPSES</t>
        </is>
      </c>
      <c r="C1238" t="inlineStr">
        <is>
          <t>Senior Policy Advisor</t>
        </is>
      </c>
      <c r="D1238" t="inlineStr">
        <is>
          <t>Conseiller principal des politiques</t>
        </is>
      </c>
      <c r="E1238" t="inlineStr">
        <is>
          <t>Michel-Antoine Renaud</t>
        </is>
      </c>
      <c r="F1238" t="inlineStr">
        <is>
          <t>To accompany the Minster to the Quebec Outreach</t>
        </is>
      </c>
      <c r="G1238" t="inlineStr">
        <is>
          <t>Pour accompagner la Ministre à la campagne de sensibilisation au Québec</t>
        </is>
      </c>
      <c r="H1238" s="1" t="n">
        <v>43539</v>
      </c>
      <c r="I1238" s="1" t="n">
        <v>43540</v>
      </c>
      <c r="J1238" t="inlineStr">
        <is>
          <t>St-Hyacinthe, Quebec</t>
        </is>
      </c>
      <c r="K1238" t="inlineStr">
        <is>
          <t>St-Hyacinthe (Québec)</t>
        </is>
      </c>
      <c r="P1238" t="n">
        <v>0</v>
      </c>
      <c r="Q1238" t="n">
        <v>121.25</v>
      </c>
      <c r="R1238" t="n">
        <v>0</v>
      </c>
      <c r="S1238" t="n">
        <v>69.84999999999999</v>
      </c>
      <c r="T1238" t="n">
        <v>0</v>
      </c>
      <c r="U1238" t="n">
        <v>191.1</v>
      </c>
      <c r="X1238" t="inlineStr">
        <is>
          <t>aafc-aac</t>
        </is>
      </c>
      <c r="Y1238" t="inlineStr">
        <is>
          <t>Agriculture and Agri-Food Canada | Agriculture et Agroalimentaire Canada</t>
        </is>
      </c>
    </row>
    <row r="1239">
      <c r="A1239" t="inlineStr">
        <is>
          <t>T-2019-Q1-00007</t>
        </is>
      </c>
      <c r="B1239" t="inlineStr">
        <is>
          <t>MPSES</t>
        </is>
      </c>
      <c r="C1239" t="inlineStr">
        <is>
          <t>Senior Policy Advisor</t>
        </is>
      </c>
      <c r="D1239" t="inlineStr">
        <is>
          <t>Conseiller principal des politiques</t>
        </is>
      </c>
      <c r="E1239" t="inlineStr">
        <is>
          <t>Michel-Antoine Renaud</t>
        </is>
      </c>
      <c r="F1239" t="inlineStr">
        <is>
          <t>To accompany the Minister to the Quebec outreach</t>
        </is>
      </c>
      <c r="G1239" t="inlineStr">
        <is>
          <t>Pour accompagner la Ministre à la campagne de sensibilisation au Québec</t>
        </is>
      </c>
      <c r="H1239" s="1" t="n">
        <v>43543</v>
      </c>
      <c r="I1239" s="1" t="n">
        <v>43547</v>
      </c>
      <c r="J1239" t="inlineStr">
        <is>
          <t>Sherbrooke, Quebec; Plessisville, Quebec; Quebec City, Quebec</t>
        </is>
      </c>
      <c r="K1239" t="inlineStr">
        <is>
          <t>Sherbrooke (Québec); Plessisville (Québec); Québec (Québec)</t>
        </is>
      </c>
      <c r="P1239" t="n">
        <v>0</v>
      </c>
      <c r="Q1239" t="n">
        <v>245.64</v>
      </c>
      <c r="R1239" t="n">
        <v>230.88</v>
      </c>
      <c r="S1239" t="n">
        <v>191.6</v>
      </c>
      <c r="T1239" t="n">
        <v>0</v>
      </c>
      <c r="U1239" t="n">
        <v>668.12</v>
      </c>
      <c r="X1239" t="inlineStr">
        <is>
          <t>aafc-aac</t>
        </is>
      </c>
      <c r="Y1239" t="inlineStr">
        <is>
          <t>Agriculture and Agri-Food Canada | Agriculture et Agroalimentaire Canada</t>
        </is>
      </c>
    </row>
    <row r="1240">
      <c r="A1240" t="inlineStr">
        <is>
          <t>T-2019-Q1-00008</t>
        </is>
      </c>
      <c r="B1240" t="inlineStr">
        <is>
          <t>MPSES</t>
        </is>
      </c>
      <c r="C1240" t="inlineStr">
        <is>
          <t>Senior Policy Advisor</t>
        </is>
      </c>
      <c r="D1240" t="inlineStr">
        <is>
          <t>Conseiller principal des politiques</t>
        </is>
      </c>
      <c r="E1240" t="inlineStr">
        <is>
          <t>Michel-Antoine Renaud</t>
        </is>
      </c>
      <c r="F1240" t="inlineStr">
        <is>
          <t>To accompany the Minister for announcements in Drummondville and the Grain Farmers of Quebec Conference</t>
        </is>
      </c>
      <c r="G1240" t="inlineStr">
        <is>
          <t>Pour accompagner la Ministre pour des annonces à Drummondville et à la conférence des Producteurs de grains du Québec</t>
        </is>
      </c>
      <c r="H1240" s="1" t="n">
        <v>43551</v>
      </c>
      <c r="I1240" s="1" t="n">
        <v>43553</v>
      </c>
      <c r="J1240" t="inlineStr">
        <is>
          <t>Drummondville, Quebec</t>
        </is>
      </c>
      <c r="K1240" t="inlineStr">
        <is>
          <t>Drummondville (Québec)</t>
        </is>
      </c>
      <c r="P1240" t="n">
        <v>0</v>
      </c>
      <c r="Q1240" t="n">
        <v>148.44</v>
      </c>
      <c r="R1240" t="n">
        <v>0</v>
      </c>
      <c r="S1240" t="n">
        <v>90.09999999999999</v>
      </c>
      <c r="T1240" t="n">
        <v>0</v>
      </c>
      <c r="U1240" t="n">
        <v>238.54</v>
      </c>
      <c r="X1240" t="inlineStr">
        <is>
          <t>aafc-aac</t>
        </is>
      </c>
      <c r="Y1240" t="inlineStr">
        <is>
          <t>Agriculture and Agri-Food Canada | Agriculture et Agroalimentaire Canada</t>
        </is>
      </c>
    </row>
    <row r="1241">
      <c r="A1241" t="inlineStr">
        <is>
          <t>T-2019-Q1-00009</t>
        </is>
      </c>
      <c r="B1241" t="inlineStr">
        <is>
          <t>MPSES</t>
        </is>
      </c>
      <c r="C1241" t="inlineStr">
        <is>
          <t>Senior Policy Advisor</t>
        </is>
      </c>
      <c r="D1241" t="inlineStr">
        <is>
          <t>Conseiller principal des politiques</t>
        </is>
      </c>
      <c r="E1241" t="inlineStr">
        <is>
          <t>Michel-Antoine Renaud</t>
        </is>
      </c>
      <c r="F1241" t="inlineStr">
        <is>
          <t>To accompany the Parliamentary Secretary for the announcement for Soil Protection in Sherrington</t>
        </is>
      </c>
      <c r="G1241" t="inlineStr">
        <is>
          <t>Pour accompagner le secrétaire parlementaire à l'annonce relative à la protection des sols à Sherrington</t>
        </is>
      </c>
      <c r="H1241" s="1" t="n">
        <v>43578</v>
      </c>
      <c r="I1241" s="1" t="n">
        <v>43579</v>
      </c>
      <c r="J1241" t="inlineStr">
        <is>
          <t>Sherrington, Quebec</t>
        </is>
      </c>
      <c r="K1241" t="inlineStr">
        <is>
          <t>Sherrington (Québec)</t>
        </is>
      </c>
      <c r="P1241" t="n">
        <v>0</v>
      </c>
      <c r="Q1241" t="n">
        <v>101.06</v>
      </c>
      <c r="R1241" t="n">
        <v>0</v>
      </c>
      <c r="S1241" t="n">
        <v>91.25</v>
      </c>
      <c r="T1241" t="n">
        <v>0</v>
      </c>
      <c r="U1241" t="n">
        <v>192.31</v>
      </c>
      <c r="X1241" t="inlineStr">
        <is>
          <t>aafc-aac</t>
        </is>
      </c>
      <c r="Y1241" t="inlineStr">
        <is>
          <t>Agriculture and Agri-Food Canada | Agriculture et Agroalimentaire Canada</t>
        </is>
      </c>
    </row>
    <row r="1242">
      <c r="A1242" t="inlineStr">
        <is>
          <t>T-2019-Q1-00010</t>
        </is>
      </c>
      <c r="B1242" t="inlineStr">
        <is>
          <t>MPSES</t>
        </is>
      </c>
      <c r="C1242" t="inlineStr">
        <is>
          <t>Senior Policy Advisor</t>
        </is>
      </c>
      <c r="D1242" t="inlineStr">
        <is>
          <t>Conseiller principal des politiques</t>
        </is>
      </c>
      <c r="E1242" t="inlineStr">
        <is>
          <t>Michel-Antoine Renaud</t>
        </is>
      </c>
      <c r="F1242" t="inlineStr">
        <is>
          <t>To accompany the Minister for Poultry meetings and a meeting with the Fédération de la relève agricole du Québec</t>
        </is>
      </c>
      <c r="G1242" t="inlineStr">
        <is>
          <t>Pour accompagner la Ministre à réunions sur la volaille et à une réunion avec la Fédération de la relève agricole du Québec</t>
        </is>
      </c>
      <c r="H1242" s="1" t="n">
        <v>43608</v>
      </c>
      <c r="I1242" s="1" t="n">
        <v>43609</v>
      </c>
      <c r="J1242" t="inlineStr">
        <is>
          <t>Sherbrooke, Quebec; St-Hyacythe, Quebec</t>
        </is>
      </c>
      <c r="K1242" t="inlineStr">
        <is>
          <t>Sherbrooke (Québec); St­Hyacinthe (Québec)</t>
        </is>
      </c>
      <c r="P1242" t="n">
        <v>0</v>
      </c>
      <c r="Q1242" t="n">
        <v>0</v>
      </c>
      <c r="R1242" t="n">
        <v>133.86</v>
      </c>
      <c r="S1242" t="n">
        <v>156</v>
      </c>
      <c r="T1242" t="n">
        <v>0</v>
      </c>
      <c r="U1242" t="n">
        <v>289.86</v>
      </c>
      <c r="X1242" t="inlineStr">
        <is>
          <t>aafc-aac</t>
        </is>
      </c>
      <c r="Y1242" t="inlineStr">
        <is>
          <t>Agriculture and Agri-Food Canada | Agriculture et Agroalimentaire Canada</t>
        </is>
      </c>
    </row>
    <row r="1243">
      <c r="A1243" t="inlineStr">
        <is>
          <t>T-2019-Q1-00011</t>
        </is>
      </c>
      <c r="B1243" t="inlineStr">
        <is>
          <t>MPSES</t>
        </is>
      </c>
      <c r="C1243" t="inlineStr">
        <is>
          <t>Senior Policy Advisor</t>
        </is>
      </c>
      <c r="D1243" t="inlineStr">
        <is>
          <t>Conseiller principal des politiques</t>
        </is>
      </c>
      <c r="E1243" t="inlineStr">
        <is>
          <t>Michel-Antoine Renaud</t>
        </is>
      </c>
      <c r="F1243" t="inlineStr">
        <is>
          <t>To accompany the Minister for an event in Montreal</t>
        </is>
      </c>
      <c r="G1243" t="inlineStr">
        <is>
          <t>Pour accompagner la Ministre à une activité à Montréal</t>
        </is>
      </c>
      <c r="H1243" s="1" t="n">
        <v>43615</v>
      </c>
      <c r="I1243" s="1" t="n">
        <v>43616</v>
      </c>
      <c r="J1243" t="inlineStr">
        <is>
          <t>Montreal, Quebec</t>
        </is>
      </c>
      <c r="K1243" t="inlineStr">
        <is>
          <t>Montréal (Québec)</t>
        </is>
      </c>
      <c r="P1243" t="n">
        <v>0</v>
      </c>
      <c r="Q1243" t="n">
        <v>0</v>
      </c>
      <c r="R1243" t="n">
        <v>176.12</v>
      </c>
      <c r="S1243" t="n">
        <v>156</v>
      </c>
      <c r="T1243" t="n">
        <v>0</v>
      </c>
      <c r="U1243" t="n">
        <v>332.12</v>
      </c>
      <c r="X1243" t="inlineStr">
        <is>
          <t>aafc-aac</t>
        </is>
      </c>
      <c r="Y1243" t="inlineStr">
        <is>
          <t>Agriculture and Agri-Food Canada | Agriculture et Agroalimentaire Canada</t>
        </is>
      </c>
    </row>
    <row r="1244">
      <c r="A1244" t="inlineStr">
        <is>
          <t>T-2019-Q1-00012</t>
        </is>
      </c>
      <c r="B1244" t="inlineStr">
        <is>
          <t>MPSES</t>
        </is>
      </c>
      <c r="C1244" t="inlineStr">
        <is>
          <t>Senior Communications  and Policy Advisor</t>
        </is>
      </c>
      <c r="D1244" t="inlineStr">
        <is>
          <t xml:space="preserve">Conseiller principal en communications et politiques </t>
        </is>
      </c>
      <c r="E1244" t="inlineStr">
        <is>
          <t>Oliver Anderson</t>
        </is>
      </c>
      <c r="F1244" t="inlineStr">
        <is>
          <t>To accompany the Minister for government announcements</t>
        </is>
      </c>
      <c r="G1244" t="inlineStr">
        <is>
          <t>Pour accompagner la Ministre pour des annonces du gouvernement</t>
        </is>
      </c>
      <c r="H1244" s="1" t="n">
        <v>43531</v>
      </c>
      <c r="I1244" s="1" t="n">
        <v>43531</v>
      </c>
      <c r="J1244" t="inlineStr">
        <is>
          <t>Montreal, Quebec</t>
        </is>
      </c>
      <c r="K1244" t="inlineStr">
        <is>
          <t>Montréal (Québec)</t>
        </is>
      </c>
      <c r="P1244" t="n">
        <v>0</v>
      </c>
      <c r="Q1244" t="n">
        <v>161.55</v>
      </c>
      <c r="R1244" t="n">
        <v>0</v>
      </c>
      <c r="S1244" t="n">
        <v>40.1</v>
      </c>
      <c r="T1244" t="n">
        <v>0</v>
      </c>
      <c r="U1244" t="n">
        <v>201.65</v>
      </c>
      <c r="X1244" t="inlineStr">
        <is>
          <t>aafc-aac</t>
        </is>
      </c>
      <c r="Y1244" t="inlineStr">
        <is>
          <t>Agriculture and Agri-Food Canada | Agriculture et Agroalimentaire Canada</t>
        </is>
      </c>
    </row>
    <row r="1245">
      <c r="A1245" t="inlineStr">
        <is>
          <t>T-2019-Q1-00013</t>
        </is>
      </c>
      <c r="B1245" t="inlineStr">
        <is>
          <t>MPSES</t>
        </is>
      </c>
      <c r="C1245" t="inlineStr">
        <is>
          <t>Senior Communications  and Policy Advisor</t>
        </is>
      </c>
      <c r="D1245" t="inlineStr">
        <is>
          <t xml:space="preserve">Conseiller principal en communications et politiques </t>
        </is>
      </c>
      <c r="E1245" t="inlineStr">
        <is>
          <t>Oliver Anderson</t>
        </is>
      </c>
      <c r="F1245" t="inlineStr">
        <is>
          <t>To accompany the Minister on a Western Outreach</t>
        </is>
      </c>
      <c r="G1245" t="inlineStr">
        <is>
          <t>Pour accompagner la Ministre à une campagne de sensibilisation dans les provinces de l'Ouest</t>
        </is>
      </c>
      <c r="H1245" s="1" t="n">
        <v>43533</v>
      </c>
      <c r="I1245" s="1" t="n">
        <v>43538</v>
      </c>
      <c r="J1245" t="inlineStr">
        <is>
          <t>Vancouver, British Columbia; Kelowna, British Columbia; Calgary Alberta; Winnipeg, Manitoba</t>
        </is>
      </c>
      <c r="K1245" t="inlineStr">
        <is>
          <t>Vancouver (Colombie-Britannique); Kelowna (Colombie-Britannique); Calgary (Alberta); Winnipeg (Manitoba)</t>
        </is>
      </c>
      <c r="P1245" t="n">
        <v>1834.98</v>
      </c>
      <c r="Q1245" t="n">
        <v>55.04</v>
      </c>
      <c r="R1245" t="n">
        <v>387.79</v>
      </c>
      <c r="S1245" t="n">
        <v>339.5</v>
      </c>
      <c r="T1245" t="n">
        <v>0</v>
      </c>
      <c r="U1245" t="n">
        <v>2617.31</v>
      </c>
      <c r="X1245" t="inlineStr">
        <is>
          <t>aafc-aac</t>
        </is>
      </c>
      <c r="Y1245" t="inlineStr">
        <is>
          <t>Agriculture and Agri-Food Canada | Agriculture et Agroalimentaire Canada</t>
        </is>
      </c>
    </row>
    <row r="1246">
      <c r="A1246" t="inlineStr">
        <is>
          <t>T-2019-Q1-00014</t>
        </is>
      </c>
      <c r="B1246" t="inlineStr">
        <is>
          <t>MPSES</t>
        </is>
      </c>
      <c r="C1246" t="inlineStr">
        <is>
          <t>Senior Communications  and Policy Advisor</t>
        </is>
      </c>
      <c r="D1246" t="inlineStr">
        <is>
          <t xml:space="preserve">Conseiller principal en communications et politiques </t>
        </is>
      </c>
      <c r="E1246" t="inlineStr">
        <is>
          <t>Oliver Anderson</t>
        </is>
      </c>
      <c r="F1246" t="inlineStr">
        <is>
          <t>To accompany the Minister to meet with local farmers and to visit a seniors home</t>
        </is>
      </c>
      <c r="G1246" t="inlineStr">
        <is>
          <t>Pour accompagner la Ministre pour des rencontres avec des agriculteurs locaux et la visite d'une résidence pour personnes âgées</t>
        </is>
      </c>
      <c r="H1246" s="1" t="n">
        <v>43548</v>
      </c>
      <c r="I1246" s="1" t="n">
        <v>43549</v>
      </c>
      <c r="J1246" t="inlineStr">
        <is>
          <t>Napanee, Ontario</t>
        </is>
      </c>
      <c r="K1246" t="inlineStr">
        <is>
          <t>Napanee (Ontario)</t>
        </is>
      </c>
      <c r="P1246" t="n">
        <v>0</v>
      </c>
      <c r="Q1246" t="n">
        <v>132.21</v>
      </c>
      <c r="R1246" t="n">
        <v>187.58</v>
      </c>
      <c r="S1246" t="n">
        <v>124.7</v>
      </c>
      <c r="T1246" t="n">
        <v>0</v>
      </c>
      <c r="U1246" t="n">
        <v>444.49</v>
      </c>
      <c r="X1246" t="inlineStr">
        <is>
          <t>aafc-aac</t>
        </is>
      </c>
      <c r="Y1246" t="inlineStr">
        <is>
          <t>Agriculture and Agri-Food Canada | Agriculture et Agroalimentaire Canada</t>
        </is>
      </c>
    </row>
    <row r="1247">
      <c r="A1247" t="inlineStr">
        <is>
          <t>T-2019-Q1-00015</t>
        </is>
      </c>
      <c r="B1247" t="inlineStr">
        <is>
          <t>MPSES</t>
        </is>
      </c>
      <c r="C1247" t="inlineStr">
        <is>
          <t>Senior Communications  and Policy Advisor</t>
        </is>
      </c>
      <c r="D1247" t="inlineStr">
        <is>
          <t xml:space="preserve">Conseiller principal en communications et politiques </t>
        </is>
      </c>
      <c r="E1247" t="inlineStr">
        <is>
          <t>Oliver Anderson</t>
        </is>
      </c>
      <c r="F1247" t="inlineStr">
        <is>
          <t>To accompany the Minister for a dairy announcement</t>
        </is>
      </c>
      <c r="G1247" t="inlineStr">
        <is>
          <t>Pour accompagner la Ministre pour une annonce visant l'industrie laitière</t>
        </is>
      </c>
      <c r="H1247" s="1" t="n">
        <v>43584</v>
      </c>
      <c r="I1247" s="1" t="n">
        <v>43584</v>
      </c>
      <c r="J1247" t="inlineStr">
        <is>
          <t>St-Albert, Ontario</t>
        </is>
      </c>
      <c r="K1247" t="inlineStr">
        <is>
          <t>St-Albert (Ontario)</t>
        </is>
      </c>
      <c r="P1247" t="n">
        <v>0</v>
      </c>
      <c r="Q1247" t="n">
        <v>59.95</v>
      </c>
      <c r="R1247" t="n">
        <v>0</v>
      </c>
      <c r="S1247" t="n">
        <v>0</v>
      </c>
      <c r="T1247" t="n">
        <v>0</v>
      </c>
      <c r="U1247" t="n">
        <v>59.95</v>
      </c>
      <c r="X1247" t="inlineStr">
        <is>
          <t>aafc-aac</t>
        </is>
      </c>
      <c r="Y1247" t="inlineStr">
        <is>
          <t>Agriculture and Agri-Food Canada | Agriculture et Agroalimentaire Canada</t>
        </is>
      </c>
    </row>
    <row r="1248">
      <c r="A1248" t="inlineStr">
        <is>
          <t>T-2019-Q1-00016</t>
        </is>
      </c>
      <c r="B1248" t="inlineStr">
        <is>
          <t>MPSES</t>
        </is>
      </c>
      <c r="C1248" t="inlineStr">
        <is>
          <t>Director of Parliamentary Affairs</t>
        </is>
      </c>
      <c r="D1248" t="inlineStr">
        <is>
          <t>Directeur des affaires parlementaires</t>
        </is>
      </c>
      <c r="E1248" t="inlineStr">
        <is>
          <t>Russell Milon</t>
        </is>
      </c>
      <c r="F1248" t="inlineStr">
        <is>
          <t>To accompany the Minster to the Ontario Outreach</t>
        </is>
      </c>
      <c r="G1248" t="inlineStr">
        <is>
          <t>Pour accompagner la Ministre à la campagne de sensibilisation en Ontario</t>
        </is>
      </c>
      <c r="H1248" s="1" t="n">
        <v>43579</v>
      </c>
      <c r="I1248" s="1" t="n">
        <v>43583</v>
      </c>
      <c r="J1248" t="inlineStr">
        <is>
          <t>Burlington, Ontario; Vaughan, Ontario</t>
        </is>
      </c>
      <c r="K1248" t="inlineStr">
        <is>
          <t>Burlington (Ontario); Vaughan (Ontario)</t>
        </is>
      </c>
      <c r="P1248" t="n">
        <v>979.99</v>
      </c>
      <c r="Q1248" t="n">
        <v>212.45</v>
      </c>
      <c r="R1248" t="n">
        <v>349.58</v>
      </c>
      <c r="S1248" t="n">
        <v>244.05</v>
      </c>
      <c r="T1248" t="n">
        <v>0</v>
      </c>
      <c r="U1248" t="n">
        <v>1786.07</v>
      </c>
      <c r="X1248" t="inlineStr">
        <is>
          <t>aafc-aac</t>
        </is>
      </c>
      <c r="Y1248" t="inlineStr">
        <is>
          <t>Agriculture and Agri-Food Canada | Agriculture et Agroalimentaire Canada</t>
        </is>
      </c>
    </row>
    <row r="1249">
      <c r="A1249" t="inlineStr">
        <is>
          <t>T-2019-Q1-00017</t>
        </is>
      </c>
      <c r="B1249" t="inlineStr">
        <is>
          <t>MPSES</t>
        </is>
      </c>
      <c r="C1249" t="inlineStr">
        <is>
          <t>Parliamentary Secretary</t>
        </is>
      </c>
      <c r="D1249" t="inlineStr">
        <is>
          <t>Secrétaire parlementaire</t>
        </is>
      </c>
      <c r="E1249" t="inlineStr">
        <is>
          <t>Jean-Claude Poissant</t>
        </is>
      </c>
      <c r="F1249" t="inlineStr">
        <is>
          <t>To make an announcement at the Annual Meeting of the Éleveurs de volailles du Québec and to attend the Annual Meeting of the Producteurs laitiers du Québec</t>
        </is>
      </c>
      <c r="G1249" t="inlineStr">
        <is>
          <t>Pour une annonce à l'assemblée annuelle des Éleveurs de volailles du Québec et pour participer à l'assemblée annuelle des Producteurs laitiers du Québec</t>
        </is>
      </c>
      <c r="H1249" s="1" t="n">
        <v>43572</v>
      </c>
      <c r="I1249" s="1" t="n">
        <v>43573</v>
      </c>
      <c r="J1249" t="inlineStr">
        <is>
          <t>Quebec City, Quebec</t>
        </is>
      </c>
      <c r="K1249" t="inlineStr">
        <is>
          <t>Québec (Québec)</t>
        </is>
      </c>
      <c r="P1249" t="n">
        <v>0</v>
      </c>
      <c r="Q1249" t="n">
        <v>299.74</v>
      </c>
      <c r="R1249" t="n">
        <v>186.67</v>
      </c>
      <c r="S1249" t="n">
        <v>217.1</v>
      </c>
      <c r="T1249" t="n">
        <v>0</v>
      </c>
      <c r="U1249" t="n">
        <v>703.51</v>
      </c>
      <c r="X1249" t="inlineStr">
        <is>
          <t>aafc-aac</t>
        </is>
      </c>
      <c r="Y1249" t="inlineStr">
        <is>
          <t>Agriculture and Agri-Food Canada | Agriculture et Agroalimentaire Canada</t>
        </is>
      </c>
    </row>
    <row r="1250">
      <c r="A1250" t="inlineStr">
        <is>
          <t>T-2019-Q1-00018</t>
        </is>
      </c>
      <c r="B1250" t="inlineStr">
        <is>
          <t>MPSES</t>
        </is>
      </c>
      <c r="C1250" t="inlineStr">
        <is>
          <t>Parliamentary Secretary</t>
        </is>
      </c>
      <c r="D1250" t="inlineStr">
        <is>
          <t>Secrétaire parlementaire</t>
        </is>
      </c>
      <c r="E1250" t="inlineStr">
        <is>
          <t>Jean-Claude Poissant</t>
        </is>
      </c>
      <c r="F1250" t="inlineStr">
        <is>
          <t>To attend SIAL (Salon International de l'alimentation)</t>
        </is>
      </c>
      <c r="G1250" t="inlineStr">
        <is>
          <t>Pour assister au Salon international de l'alimentation (SIAL)</t>
        </is>
      </c>
      <c r="H1250" s="1" t="n">
        <v>43585</v>
      </c>
      <c r="I1250" s="1" t="n">
        <v>43585</v>
      </c>
      <c r="J1250" t="inlineStr">
        <is>
          <t>Toronto, Ontario</t>
        </is>
      </c>
      <c r="K1250" t="inlineStr">
        <is>
          <t>Toronto (Ontario)</t>
        </is>
      </c>
      <c r="P1250" t="n">
        <v>764.71</v>
      </c>
      <c r="Q1250" t="n">
        <v>0</v>
      </c>
      <c r="R1250" t="n">
        <v>0</v>
      </c>
      <c r="S1250" t="n">
        <v>70.75</v>
      </c>
      <c r="T1250" t="n">
        <v>0</v>
      </c>
      <c r="U1250" t="n">
        <v>835.46</v>
      </c>
      <c r="X1250" t="inlineStr">
        <is>
          <t>aafc-aac</t>
        </is>
      </c>
      <c r="Y1250" t="inlineStr">
        <is>
          <t>Agriculture and Agri-Food Canada | Agriculture et Agroalimentaire Canada</t>
        </is>
      </c>
    </row>
    <row r="1251">
      <c r="A1251" t="inlineStr">
        <is>
          <t>T-2019-Q1-00019</t>
        </is>
      </c>
      <c r="B1251" t="inlineStr">
        <is>
          <t>MPSES</t>
        </is>
      </c>
      <c r="C1251" t="inlineStr">
        <is>
          <t>Parliamentary Secretary</t>
        </is>
      </c>
      <c r="D1251" t="inlineStr">
        <is>
          <t>Secrétaire parlementaire</t>
        </is>
      </c>
      <c r="E1251" t="inlineStr">
        <is>
          <t>Jean-Claude Poissant</t>
        </is>
      </c>
      <c r="F1251" t="inlineStr">
        <is>
          <t>To attend a meeting with the Producteurs et Productrices acéricoles du Québec; announcements for small businesses and promotion of exportations in Saint-Damier-de-Buckland; visit La Fromagerie Les Rivières</t>
        </is>
      </c>
      <c r="G1251" t="inlineStr">
        <is>
          <t>Pour se réunir avec les Producteurs et productrices acéricoles du Québec; faire des annonces pour les petites entreprises; faire la promotion des exportations à Saint­Damien­de­Buckland; visiter la Fromagerie Les Rivières.</t>
        </is>
      </c>
      <c r="H1251" s="1" t="n">
        <v>43614</v>
      </c>
      <c r="I1251" s="1" t="n">
        <v>43614</v>
      </c>
      <c r="J1251" t="inlineStr">
        <is>
          <t>Quebec City, Quebec</t>
        </is>
      </c>
      <c r="K1251" t="inlineStr">
        <is>
          <t>Québec (Québec)</t>
        </is>
      </c>
      <c r="P1251" t="n">
        <v>1162.61</v>
      </c>
      <c r="Q1251" t="n">
        <v>24</v>
      </c>
      <c r="R1251" t="n">
        <v>0</v>
      </c>
      <c r="S1251" t="n">
        <v>91.25</v>
      </c>
      <c r="T1251" t="n">
        <v>0</v>
      </c>
      <c r="U1251" t="n">
        <v>1277.86</v>
      </c>
      <c r="X1251" t="inlineStr">
        <is>
          <t>aafc-aac</t>
        </is>
      </c>
      <c r="Y1251" t="inlineStr">
        <is>
          <t>Agriculture and Agri-Food Canada | Agriculture et Agroalimentaire Canada</t>
        </is>
      </c>
    </row>
    <row r="1252">
      <c r="A1252" t="inlineStr">
        <is>
          <t>T-2019-Q1-00020</t>
        </is>
      </c>
      <c r="B1252" t="inlineStr">
        <is>
          <t>SLE</t>
        </is>
      </c>
      <c r="C1252" t="inlineStr">
        <is>
          <t>Associate Deputy Minister</t>
        </is>
      </c>
      <c r="D1252" t="inlineStr">
        <is>
          <t>Sous-ministre déléguée</t>
        </is>
      </c>
      <c r="E1252" t="inlineStr">
        <is>
          <t>Annette Gibbons</t>
        </is>
      </c>
      <c r="F1252" t="inlineStr">
        <is>
          <t>Meeting with Stakeholders and staff in Alberta</t>
        </is>
      </c>
      <c r="G1252" t="inlineStr">
        <is>
          <t>Pour tenir des réunions avec le personnel et des intervenants en Alberta</t>
        </is>
      </c>
      <c r="H1252" s="1" t="n">
        <v>43536</v>
      </c>
      <c r="I1252" s="1" t="n">
        <v>43542</v>
      </c>
      <c r="J1252" t="inlineStr">
        <is>
          <t>Edmonton, Alberta; Red Deer, Aberta</t>
        </is>
      </c>
      <c r="K1252" t="inlineStr">
        <is>
          <t>Edmonton (Alberta); Red Deer (Alberta)</t>
        </is>
      </c>
      <c r="P1252" t="n">
        <v>944.85</v>
      </c>
      <c r="Q1252" t="n">
        <v>63</v>
      </c>
      <c r="R1252" t="n">
        <v>314.96</v>
      </c>
      <c r="S1252" t="n">
        <v>282.1</v>
      </c>
      <c r="T1252" t="n">
        <v>0</v>
      </c>
      <c r="U1252" t="n">
        <v>1604.91</v>
      </c>
      <c r="X1252" t="inlineStr">
        <is>
          <t>aafc-aac</t>
        </is>
      </c>
      <c r="Y1252" t="inlineStr">
        <is>
          <t>Agriculture and Agri-Food Canada | Agriculture et Agroalimentaire Canada</t>
        </is>
      </c>
    </row>
    <row r="1253">
      <c r="A1253" t="inlineStr">
        <is>
          <t>T-2019-Q1-00021</t>
        </is>
      </c>
      <c r="B1253" t="inlineStr">
        <is>
          <t>SLE</t>
        </is>
      </c>
      <c r="C1253" t="inlineStr">
        <is>
          <t>Associate Deputy Minister</t>
        </is>
      </c>
      <c r="D1253" t="inlineStr">
        <is>
          <t>Sous-ministre déléguée</t>
        </is>
      </c>
      <c r="E1253" t="inlineStr">
        <is>
          <t>Annette Gibbons</t>
        </is>
      </c>
      <c r="F1253" t="inlineStr">
        <is>
          <t>To attend an Ontario Outreach</t>
        </is>
      </c>
      <c r="G1253" t="inlineStr">
        <is>
          <t>Pour participer à une campagne de sensibilisation en Ontario</t>
        </is>
      </c>
      <c r="H1253" s="1" t="n">
        <v>43558</v>
      </c>
      <c r="I1253" s="1" t="n">
        <v>43561</v>
      </c>
      <c r="J1253" t="inlineStr">
        <is>
          <t>Brantford, Ontario; Burlington, Ontario</t>
        </is>
      </c>
      <c r="K1253" t="inlineStr">
        <is>
          <t>Brantford (Ontario); Burlington (Ontario)</t>
        </is>
      </c>
      <c r="P1253" t="n">
        <v>423.92</v>
      </c>
      <c r="Q1253" t="n">
        <v>43.02</v>
      </c>
      <c r="R1253" t="n">
        <v>277.56</v>
      </c>
      <c r="S1253" t="n">
        <v>244.05</v>
      </c>
      <c r="T1253" t="n">
        <v>0</v>
      </c>
      <c r="U1253" t="n">
        <v>988.55</v>
      </c>
      <c r="X1253" t="inlineStr">
        <is>
          <t>aafc-aac</t>
        </is>
      </c>
      <c r="Y1253" t="inlineStr">
        <is>
          <t>Agriculture and Agri-Food Canada | Agriculture et Agroalimentaire Canada</t>
        </is>
      </c>
    </row>
    <row r="1254">
      <c r="A1254" t="inlineStr">
        <is>
          <t>T-2019-Q1-00022</t>
        </is>
      </c>
      <c r="B1254" t="inlineStr">
        <is>
          <t>SLE</t>
        </is>
      </c>
      <c r="C1254" t="inlineStr">
        <is>
          <t>Associate Deputy Minister</t>
        </is>
      </c>
      <c r="D1254" t="inlineStr">
        <is>
          <t>Sous-ministre déléguée</t>
        </is>
      </c>
      <c r="E1254" t="inlineStr">
        <is>
          <t>Annette Gibbons</t>
        </is>
      </c>
      <c r="F1254" t="inlineStr">
        <is>
          <t>To attend a meeting with the Minister in Montreal</t>
        </is>
      </c>
      <c r="G1254" t="inlineStr">
        <is>
          <t>Pour participer à une réunion avec la Ministre à Montréal</t>
        </is>
      </c>
      <c r="H1254" s="1" t="n">
        <v>43577</v>
      </c>
      <c r="I1254" s="1" t="n">
        <v>43577</v>
      </c>
      <c r="J1254" t="inlineStr">
        <is>
          <t>Montreal, Quebec</t>
        </is>
      </c>
      <c r="K1254" t="inlineStr">
        <is>
          <t>Montréal (Québec)</t>
        </is>
      </c>
      <c r="P1254" t="n">
        <v>0</v>
      </c>
      <c r="Q1254" t="n">
        <v>148.48</v>
      </c>
      <c r="S1254" t="n">
        <v>20.1</v>
      </c>
      <c r="T1254" t="n">
        <v>0</v>
      </c>
      <c r="U1254" t="n">
        <v>168.58</v>
      </c>
      <c r="X1254" t="inlineStr">
        <is>
          <t>aafc-aac</t>
        </is>
      </c>
      <c r="Y1254" t="inlineStr">
        <is>
          <t>Agriculture and Agri-Food Canada | Agriculture et Agroalimentaire Canada</t>
        </is>
      </c>
    </row>
    <row r="1255">
      <c r="A1255" t="inlineStr">
        <is>
          <t>T-2019-Q1-00023</t>
        </is>
      </c>
      <c r="B1255" t="inlineStr">
        <is>
          <t>SLE</t>
        </is>
      </c>
      <c r="C1255" t="inlineStr">
        <is>
          <t>Associate Deputy Minister</t>
        </is>
      </c>
      <c r="D1255" t="inlineStr">
        <is>
          <t>Sous-ministre déléguée</t>
        </is>
      </c>
      <c r="E1255" t="inlineStr">
        <is>
          <t>Annette Gibbons</t>
        </is>
      </c>
      <c r="F1255" t="inlineStr">
        <is>
          <t>To accompany the Minister to the G20 Niigata Agriculture Ministers' Meeting</t>
        </is>
      </c>
      <c r="G1255" t="inlineStr">
        <is>
          <t>Pour accompagner la Ministre à la réunion des ministres de l'Agriculture du G20 à Niigata, au Japon</t>
        </is>
      </c>
      <c r="H1255" s="1" t="n">
        <v>43594</v>
      </c>
      <c r="I1255" s="1" t="n">
        <v>43599</v>
      </c>
      <c r="J1255" t="inlineStr">
        <is>
          <t>Niigata, Japan; Tokyo, Japan</t>
        </is>
      </c>
      <c r="K1255" t="inlineStr">
        <is>
          <t>Niigata (Japon); Tokyo (Japon)</t>
        </is>
      </c>
      <c r="P1255" t="n">
        <v>5333.48</v>
      </c>
      <c r="Q1255" t="n">
        <v>41.2</v>
      </c>
      <c r="R1255" t="n">
        <v>918.83</v>
      </c>
      <c r="S1255" t="n">
        <v>386.28</v>
      </c>
      <c r="T1255" t="n">
        <v>0</v>
      </c>
      <c r="U1255" t="n">
        <v>6679.79</v>
      </c>
      <c r="X1255" t="inlineStr">
        <is>
          <t>aafc-aac</t>
        </is>
      </c>
      <c r="Y1255" t="inlineStr">
        <is>
          <t>Agriculture and Agri-Food Canada | Agriculture et Agroalimentaire Canada</t>
        </is>
      </c>
    </row>
    <row r="1256">
      <c r="A1256" t="inlineStr">
        <is>
          <t>T-2019-Q1-00024</t>
        </is>
      </c>
      <c r="B1256" t="inlineStr">
        <is>
          <t>SLE</t>
        </is>
      </c>
      <c r="C1256" t="inlineStr">
        <is>
          <t>Deputy Minister</t>
        </is>
      </c>
      <c r="D1256" t="inlineStr">
        <is>
          <t>Sous-ministre</t>
        </is>
      </c>
      <c r="E1256" t="inlineStr">
        <is>
          <t>Chris Forbes</t>
        </is>
      </c>
      <c r="F1256" t="inlineStr">
        <is>
          <t>To attend the Conference Board of Canada Canadian Food and Drink Summit 2019</t>
        </is>
      </c>
      <c r="G1256" t="inlineStr">
        <is>
          <t>Pour assister au Sommet canadien de 2019 sur l'alimentation et les boissons du Conference Board of Canada</t>
        </is>
      </c>
      <c r="H1256" s="1" t="n">
        <v>43551</v>
      </c>
      <c r="I1256" s="1" t="n">
        <v>43553</v>
      </c>
      <c r="J1256" t="inlineStr">
        <is>
          <t>Toronto, Ontario</t>
        </is>
      </c>
      <c r="K1256" t="inlineStr">
        <is>
          <t>Toronto (Ontario)</t>
        </is>
      </c>
      <c r="P1256" t="n">
        <v>449.85</v>
      </c>
      <c r="Q1256" t="n">
        <v>0</v>
      </c>
      <c r="R1256" t="n">
        <v>420.72</v>
      </c>
      <c r="S1256" t="n">
        <v>140.1</v>
      </c>
      <c r="T1256" t="n">
        <v>0</v>
      </c>
      <c r="U1256" t="n">
        <v>1010.67</v>
      </c>
      <c r="X1256" t="inlineStr">
        <is>
          <t>aafc-aac</t>
        </is>
      </c>
      <c r="Y1256" t="inlineStr">
        <is>
          <t>Agriculture and Agri-Food Canada | Agriculture et Agroalimentaire Canada</t>
        </is>
      </c>
    </row>
    <row r="1257">
      <c r="A1257" t="inlineStr">
        <is>
          <t>T-2019-Q1-00025</t>
        </is>
      </c>
      <c r="B1257" t="inlineStr">
        <is>
          <t>SLE</t>
        </is>
      </c>
      <c r="C1257" t="inlineStr">
        <is>
          <t>Deputy Minister</t>
        </is>
      </c>
      <c r="D1257" t="inlineStr">
        <is>
          <t>Sous-ministre</t>
        </is>
      </c>
      <c r="E1257" t="inlineStr">
        <is>
          <t>Chris Forbes</t>
        </is>
      </c>
      <c r="F1257" t="inlineStr">
        <is>
          <t>To attend the Public Policy Forum Testimonial Dinner and Awards</t>
        </is>
      </c>
      <c r="G1257" t="inlineStr">
        <is>
          <t>Pour participer au banquet et à la remise de Prix d’honneur 2019 du Forum des politiques publiques</t>
        </is>
      </c>
      <c r="H1257" s="1" t="n">
        <v>43566</v>
      </c>
      <c r="I1257" s="1" t="n">
        <v>43567</v>
      </c>
      <c r="J1257" t="inlineStr">
        <is>
          <t>Toronto, Ontario</t>
        </is>
      </c>
      <c r="K1257" t="inlineStr">
        <is>
          <t>Toronto (Ontario)</t>
        </is>
      </c>
      <c r="P1257" t="n">
        <v>574.63</v>
      </c>
      <c r="Q1257" t="n">
        <v>0</v>
      </c>
      <c r="R1257" t="n">
        <v>280.87</v>
      </c>
      <c r="S1257" t="n">
        <v>20.5</v>
      </c>
      <c r="T1257" t="n">
        <v>0</v>
      </c>
      <c r="U1257" t="n">
        <v>876</v>
      </c>
      <c r="X1257" t="inlineStr">
        <is>
          <t>aafc-aac</t>
        </is>
      </c>
      <c r="Y1257" t="inlineStr">
        <is>
          <t>Agriculture and Agri-Food Canada | Agriculture et Agroalimentaire Canada</t>
        </is>
      </c>
    </row>
    <row r="1258">
      <c r="A1258" t="inlineStr">
        <is>
          <t>T-2019-Q1-00026</t>
        </is>
      </c>
      <c r="B1258" t="inlineStr">
        <is>
          <t>SLE</t>
        </is>
      </c>
      <c r="C1258" t="inlineStr">
        <is>
          <t>Deputy Minister</t>
        </is>
      </c>
      <c r="D1258" t="inlineStr">
        <is>
          <t>Sous-ministre</t>
        </is>
      </c>
      <c r="E1258" t="inlineStr">
        <is>
          <t>Chris Forbes</t>
        </is>
      </c>
      <c r="F1258" t="inlineStr">
        <is>
          <t>To attend and chair a Canola Working Group meeting</t>
        </is>
      </c>
      <c r="G1258" t="inlineStr">
        <is>
          <t>Pour participer à une réunion du groupe de travail sur le canola et la présider</t>
        </is>
      </c>
      <c r="H1258" s="1" t="n">
        <v>43573</v>
      </c>
      <c r="I1258" s="1" t="n">
        <v>43573</v>
      </c>
      <c r="J1258" t="inlineStr">
        <is>
          <t>Winnipeg, Manitoba</t>
        </is>
      </c>
      <c r="K1258" t="inlineStr">
        <is>
          <t>Winnipeg (Manitoba)</t>
        </is>
      </c>
      <c r="P1258" t="n">
        <v>1723.06</v>
      </c>
      <c r="Q1258" t="n">
        <v>0</v>
      </c>
      <c r="R1258" t="n">
        <v>0</v>
      </c>
      <c r="S1258" t="n">
        <v>20.1</v>
      </c>
      <c r="T1258" t="n">
        <v>0</v>
      </c>
      <c r="U1258" t="n">
        <v>1743.16</v>
      </c>
      <c r="X1258" t="inlineStr">
        <is>
          <t>aafc-aac</t>
        </is>
      </c>
      <c r="Y1258" t="inlineStr">
        <is>
          <t>Agriculture and Agri-Food Canada | Agriculture et Agroalimentaire Canada</t>
        </is>
      </c>
    </row>
    <row r="1259">
      <c r="A1259" t="inlineStr">
        <is>
          <t>T-2019-Q1-00027</t>
        </is>
      </c>
      <c r="B1259" t="inlineStr">
        <is>
          <t>SLE</t>
        </is>
      </c>
      <c r="C1259" t="inlineStr">
        <is>
          <t>Deputy Minister</t>
        </is>
      </c>
      <c r="D1259" t="inlineStr">
        <is>
          <t>Sous-ministre</t>
        </is>
      </c>
      <c r="E1259" t="inlineStr">
        <is>
          <t>Chris Forbes</t>
        </is>
      </c>
      <c r="F1259" t="inlineStr">
        <is>
          <t>To attend a meeting with the Minister in Montreal</t>
        </is>
      </c>
      <c r="G1259" t="inlineStr">
        <is>
          <t>Pour participer à une réunion avec la Ministre à Montréal</t>
        </is>
      </c>
      <c r="H1259" s="1" t="n">
        <v>43577</v>
      </c>
      <c r="I1259" s="1" t="n">
        <v>43577</v>
      </c>
      <c r="J1259" t="inlineStr">
        <is>
          <t>Montreal, Quebec</t>
        </is>
      </c>
      <c r="K1259" t="inlineStr">
        <is>
          <t>Montréal (Québec)</t>
        </is>
      </c>
      <c r="P1259" t="n">
        <v>0</v>
      </c>
      <c r="Q1259" t="n">
        <v>177.13</v>
      </c>
      <c r="R1259" t="n">
        <v>0</v>
      </c>
      <c r="S1259" t="n">
        <v>20.1</v>
      </c>
      <c r="T1259" t="n">
        <v>0</v>
      </c>
      <c r="U1259" t="n">
        <v>197.23</v>
      </c>
      <c r="X1259" t="inlineStr">
        <is>
          <t>aafc-aac</t>
        </is>
      </c>
      <c r="Y1259" t="inlineStr">
        <is>
          <t>Agriculture and Agri-Food Canada | Agriculture et Agroalimentaire Canada</t>
        </is>
      </c>
    </row>
    <row r="1260">
      <c r="A1260" t="inlineStr">
        <is>
          <t>T-2019-Q1-00028</t>
        </is>
      </c>
      <c r="B1260" t="inlineStr">
        <is>
          <t>SLE</t>
        </is>
      </c>
      <c r="C1260" t="inlineStr">
        <is>
          <t>Deputy Minister</t>
        </is>
      </c>
      <c r="D1260" t="inlineStr">
        <is>
          <t>Sous-ministre</t>
        </is>
      </c>
      <c r="E1260" t="inlineStr">
        <is>
          <t>Chris Forbes</t>
        </is>
      </c>
      <c r="F1260" t="inlineStr">
        <is>
          <t>To attend and chair a Canola Working Group meeting</t>
        </is>
      </c>
      <c r="G1260" t="inlineStr">
        <is>
          <t>Pour participer à une réunion du groupe de travail sur le canola et la présider</t>
        </is>
      </c>
      <c r="H1260" s="1" t="n">
        <v>43586</v>
      </c>
      <c r="I1260" s="1" t="n">
        <v>43587</v>
      </c>
      <c r="J1260" t="inlineStr">
        <is>
          <t>Calgary, Alberta</t>
        </is>
      </c>
      <c r="K1260" t="inlineStr">
        <is>
          <t>Calgary (Alberta)</t>
        </is>
      </c>
      <c r="P1260" t="n">
        <v>3253.53</v>
      </c>
      <c r="Q1260" t="n">
        <v>35.43</v>
      </c>
      <c r="R1260" t="n">
        <v>245.87</v>
      </c>
      <c r="S1260" t="n">
        <v>71.15000000000001</v>
      </c>
      <c r="T1260" t="n">
        <v>0</v>
      </c>
      <c r="U1260" t="n">
        <v>3605.98</v>
      </c>
      <c r="X1260" t="inlineStr">
        <is>
          <t>aafc-aac</t>
        </is>
      </c>
      <c r="Y1260" t="inlineStr">
        <is>
          <t>Agriculture and Agri-Food Canada | Agriculture et Agroalimentaire Canada</t>
        </is>
      </c>
    </row>
    <row r="1261">
      <c r="A1261" t="inlineStr">
        <is>
          <t>T-2019-Q1-00031</t>
        </is>
      </c>
      <c r="B1261" t="inlineStr">
        <is>
          <t>SLE</t>
        </is>
      </c>
      <c r="C1261" t="inlineStr">
        <is>
          <t>Assistant deputy minister, Science and Technology Branch</t>
        </is>
      </c>
      <c r="D1261" t="inlineStr">
        <is>
          <t>Sous-ministre adjoint, Direction générale des sciences et de la technologie</t>
        </is>
      </c>
      <c r="E1261" t="inlineStr">
        <is>
          <t>Brian T. Gray</t>
        </is>
      </c>
      <c r="F1261" t="inlineStr">
        <is>
          <t>Indigenous Network Circle Face to Face</t>
        </is>
      </c>
      <c r="G1261" t="inlineStr">
        <is>
          <t>Réunion en personne du Cercle de réseautage des employés autochtones</t>
        </is>
      </c>
      <c r="H1261" s="1" t="n">
        <v>43528</v>
      </c>
      <c r="I1261" s="1" t="n">
        <v>43531</v>
      </c>
      <c r="J1261" t="inlineStr">
        <is>
          <t>Winnipeg, Manitoba</t>
        </is>
      </c>
      <c r="K1261" t="inlineStr">
        <is>
          <t>Winnipeg (Manitoba)</t>
        </is>
      </c>
      <c r="P1261" t="n">
        <v>675.15</v>
      </c>
      <c r="Q1261" t="n">
        <v>136.77</v>
      </c>
      <c r="R1261" t="n">
        <v>478.92</v>
      </c>
      <c r="S1261" t="n">
        <v>239.05</v>
      </c>
      <c r="T1261" t="n">
        <v>0</v>
      </c>
      <c r="U1261" t="n">
        <v>1529.89</v>
      </c>
      <c r="X1261" t="inlineStr">
        <is>
          <t>aafc-aac</t>
        </is>
      </c>
      <c r="Y1261" t="inlineStr">
        <is>
          <t>Agriculture and Agri-Food Canada | Agriculture et Agroalimentaire Canada</t>
        </is>
      </c>
    </row>
    <row r="1262">
      <c r="A1262" t="inlineStr">
        <is>
          <t>T-2019-Q1-00032</t>
        </is>
      </c>
      <c r="B1262" t="inlineStr">
        <is>
          <t>SLE</t>
        </is>
      </c>
      <c r="C1262" t="inlineStr">
        <is>
          <t>Assistant deputy minister, Science and Technology Branch</t>
        </is>
      </c>
      <c r="D1262" t="inlineStr">
        <is>
          <t>Sous-ministre adjoint, Direction générale des sciences et de la technologie</t>
        </is>
      </c>
      <c r="E1262" t="inlineStr">
        <is>
          <t>Brian T. Gray</t>
        </is>
      </c>
      <c r="F1262" t="inlineStr">
        <is>
          <t>To attend Tetrapartite Annual Meeting 2019</t>
        </is>
      </c>
      <c r="G1262" t="inlineStr">
        <is>
          <t>Participer à la rencontre annuelle tétrapartite de 2019</t>
        </is>
      </c>
      <c r="H1262" s="1" t="n">
        <v>43534</v>
      </c>
      <c r="I1262" s="1" t="n">
        <v>43538</v>
      </c>
      <c r="J1262" t="inlineStr">
        <is>
          <t>Lodi, California</t>
        </is>
      </c>
      <c r="K1262" t="inlineStr">
        <is>
          <t>Lodi (Californie)</t>
        </is>
      </c>
      <c r="P1262" t="n">
        <v>1412.11</v>
      </c>
      <c r="Q1262" t="n">
        <v>158.19</v>
      </c>
      <c r="R1262" t="n">
        <v>1192.22</v>
      </c>
      <c r="S1262" t="n">
        <v>278.2</v>
      </c>
      <c r="T1262" t="n">
        <v>0</v>
      </c>
      <c r="U1262" t="n">
        <v>3040.72</v>
      </c>
      <c r="X1262" t="inlineStr">
        <is>
          <t>aafc-aac</t>
        </is>
      </c>
      <c r="Y1262" t="inlineStr">
        <is>
          <t>Agriculture and Agri-Food Canada | Agriculture et Agroalimentaire Canada</t>
        </is>
      </c>
    </row>
    <row r="1263">
      <c r="A1263" t="inlineStr">
        <is>
          <t>T-2019-Q1-00033</t>
        </is>
      </c>
      <c r="B1263" t="inlineStr">
        <is>
          <t>SLE</t>
        </is>
      </c>
      <c r="C1263" t="inlineStr">
        <is>
          <t>Assistant deputy minister, Science and Technology Branch</t>
        </is>
      </c>
      <c r="D1263" t="inlineStr">
        <is>
          <t>Sous-ministre adjoint, Direction générale des sciences et de la technologie</t>
        </is>
      </c>
      <c r="E1263" t="inlineStr">
        <is>
          <t>Brian T. Gray</t>
        </is>
      </c>
      <c r="F1263" t="inlineStr">
        <is>
          <t>Outreach to the Reasearch and Developpement Centre, All-Staff meeting and meeting with Provincial Counterparts.</t>
        </is>
      </c>
      <c r="G1263" t="inlineStr">
        <is>
          <t>Visite de sensibilisation au Centre de recherche et de développement, réunion avec tout le personnel et réunions avec des homologues provinciaux</t>
        </is>
      </c>
      <c r="H1263" s="1" t="n">
        <v>43550</v>
      </c>
      <c r="I1263" s="1" t="n">
        <v>43553</v>
      </c>
      <c r="J1263" t="inlineStr">
        <is>
          <t>Lethbridge, Alberta</t>
        </is>
      </c>
      <c r="K1263" t="inlineStr">
        <is>
          <t>Lethbridge (Alberta)</t>
        </is>
      </c>
      <c r="P1263" t="n">
        <v>920.62</v>
      </c>
      <c r="Q1263" t="n">
        <v>139.68</v>
      </c>
      <c r="R1263" t="n">
        <v>620.76</v>
      </c>
      <c r="S1263" t="n">
        <v>339.5</v>
      </c>
      <c r="T1263" t="n">
        <v>0</v>
      </c>
      <c r="U1263" t="n">
        <v>2020.56</v>
      </c>
      <c r="X1263" t="inlineStr">
        <is>
          <t>aafc-aac</t>
        </is>
      </c>
      <c r="Y1263" t="inlineStr">
        <is>
          <t>Agriculture and Agri-Food Canada | Agriculture et Agroalimentaire Canada</t>
        </is>
      </c>
    </row>
    <row r="1264">
      <c r="A1264" t="inlineStr">
        <is>
          <t>T-2019-Q1-00034</t>
        </is>
      </c>
      <c r="B1264" t="inlineStr">
        <is>
          <t>SLE</t>
        </is>
      </c>
      <c r="C1264" t="inlineStr">
        <is>
          <t>Assistant deputy minister, Science and Technology Branch</t>
        </is>
      </c>
      <c r="D1264" t="inlineStr">
        <is>
          <t>Sous-ministre adjoint, Direction générale des sciences et de la technologie</t>
        </is>
      </c>
      <c r="E1264" t="inlineStr">
        <is>
          <t>Brian T. Gray</t>
        </is>
      </c>
      <c r="F1264" t="inlineStr">
        <is>
          <t>Outreach to the Reasearch and Developpement Centre, All-Staff meeting and meeting with Provincial Counterparts.</t>
        </is>
      </c>
      <c r="G1264" t="inlineStr">
        <is>
          <t>Visite de sensibilisation au Centre de recherche et de développement, réunion avec tout le personnel et réunions avec des homologues provinciaux</t>
        </is>
      </c>
      <c r="H1264" s="1" t="n">
        <v>43564</v>
      </c>
      <c r="I1264" s="1" t="n">
        <v>43566</v>
      </c>
      <c r="J1264" t="inlineStr">
        <is>
          <t>Brandon / Winnipeg, Manitoba</t>
        </is>
      </c>
      <c r="K1264" t="inlineStr">
        <is>
          <t>Brandon/ Winnipeg (Manitoba)</t>
        </is>
      </c>
      <c r="P1264" t="n">
        <v>551.98</v>
      </c>
      <c r="Q1264" t="n">
        <v>108.85</v>
      </c>
      <c r="R1264" t="n">
        <v>270.14</v>
      </c>
      <c r="S1264" t="n">
        <v>264.15</v>
      </c>
      <c r="T1264" t="n">
        <v>0</v>
      </c>
      <c r="U1264" t="n">
        <v>1195.12</v>
      </c>
      <c r="X1264" t="inlineStr">
        <is>
          <t>aafc-aac</t>
        </is>
      </c>
      <c r="Y1264" t="inlineStr">
        <is>
          <t>Agriculture and Agri-Food Canada | Agriculture et Agroalimentaire Canada</t>
        </is>
      </c>
    </row>
    <row r="1265">
      <c r="A1265" t="inlineStr">
        <is>
          <t>T-2019-Q1-00035</t>
        </is>
      </c>
      <c r="B1265" t="inlineStr">
        <is>
          <t>SLE</t>
        </is>
      </c>
      <c r="C1265" t="inlineStr">
        <is>
          <t>Assistant deputy minister, Science and Technology Branch</t>
        </is>
      </c>
      <c r="D1265" t="inlineStr">
        <is>
          <t>Sous-ministre adjoint, Direction générale des sciences et de la technologie</t>
        </is>
      </c>
      <c r="E1265" t="inlineStr">
        <is>
          <t>Brian T. Gray</t>
        </is>
      </c>
      <c r="F1265" t="inlineStr">
        <is>
          <t>To accompany the Minister to the G20 Niigata Agriculture Ministers' Meeting</t>
        </is>
      </c>
      <c r="G1265" t="inlineStr">
        <is>
          <t>Pour accompagner la Ministre à la réunion des ministres de l'Agriculture du G20 à Niigata, au Japon</t>
        </is>
      </c>
      <c r="H1265" s="1" t="n">
        <v>43577</v>
      </c>
      <c r="I1265" s="1" t="n">
        <v>43581</v>
      </c>
      <c r="J1265" t="inlineStr">
        <is>
          <t>Tokyo, Japan</t>
        </is>
      </c>
      <c r="K1265" t="inlineStr">
        <is>
          <t>Tokyo (Japon)</t>
        </is>
      </c>
      <c r="P1265" t="n">
        <v>6195.1</v>
      </c>
      <c r="Q1265" t="n">
        <v>213.64</v>
      </c>
      <c r="R1265" t="n">
        <v>628.8099999999999</v>
      </c>
      <c r="S1265" t="n">
        <v>253.6</v>
      </c>
      <c r="T1265" t="n">
        <v>0</v>
      </c>
      <c r="U1265" t="n">
        <v>7291.15</v>
      </c>
      <c r="X1265" t="inlineStr">
        <is>
          <t>aafc-aac</t>
        </is>
      </c>
      <c r="Y1265" t="inlineStr">
        <is>
          <t>Agriculture and Agri-Food Canada | Agriculture et Agroalimentaire Canada</t>
        </is>
      </c>
    </row>
    <row r="1266">
      <c r="A1266" t="inlineStr">
        <is>
          <t>T-2019-Q1-00036</t>
        </is>
      </c>
      <c r="B1266" t="inlineStr">
        <is>
          <t>SLE</t>
        </is>
      </c>
      <c r="C1266" t="inlineStr">
        <is>
          <t>Assistant deputy minister, Science and Technology Branch</t>
        </is>
      </c>
      <c r="D1266" t="inlineStr">
        <is>
          <t>Sous-ministre adjoint, Direction générale des sciences et de la technologie</t>
        </is>
      </c>
      <c r="E1266" t="inlineStr">
        <is>
          <t>Brian T. Gray</t>
        </is>
      </c>
      <c r="F1266" t="inlineStr">
        <is>
          <t>Branch Executive Committee Face to Face and Outreach to the Reasearch and Developpement Centre, All-Staff meeting and meeting with Provincial Counterparts.</t>
        </is>
      </c>
      <c r="G1266" t="inlineStr">
        <is>
          <t>Réunion en personne du Comité des cadres de la direction générale, visite de sensibilisation au Centre de recherche et de développement, réunion avec tout le personnel et réunion avec des homologues provinciaux</t>
        </is>
      </c>
      <c r="H1266" s="1" t="n">
        <v>43593</v>
      </c>
      <c r="I1266" s="1" t="n">
        <v>43595</v>
      </c>
      <c r="J1266" t="inlineStr">
        <is>
          <t>Harrow, Ontario</t>
        </is>
      </c>
      <c r="K1266" t="inlineStr">
        <is>
          <t>Harrow (Ontario)</t>
        </is>
      </c>
      <c r="P1266" t="n">
        <v>572.2</v>
      </c>
      <c r="Q1266" t="n">
        <v>178.86</v>
      </c>
      <c r="R1266" t="n">
        <v>201.14</v>
      </c>
      <c r="S1266" t="n">
        <v>254.5</v>
      </c>
      <c r="T1266" t="n">
        <v>0</v>
      </c>
      <c r="U1266" t="n">
        <v>1206.7</v>
      </c>
      <c r="X1266" t="inlineStr">
        <is>
          <t>aafc-aac</t>
        </is>
      </c>
      <c r="Y1266" t="inlineStr">
        <is>
          <t>Agriculture and Agri-Food Canada | Agriculture et Agroalimentaire Canada</t>
        </is>
      </c>
    </row>
    <row r="1267">
      <c r="A1267" t="inlineStr">
        <is>
          <t>T-2019-Q1-00037</t>
        </is>
      </c>
      <c r="B1267" t="inlineStr">
        <is>
          <t>SLE</t>
        </is>
      </c>
      <c r="C1267" t="inlineStr">
        <is>
          <t>Assistant deputy minister, Science and Technology Branch</t>
        </is>
      </c>
      <c r="D1267" t="inlineStr">
        <is>
          <t>Sous-ministre adjoint, Direction générale des sciences et de la technologie</t>
        </is>
      </c>
      <c r="E1267" t="inlineStr">
        <is>
          <t>Brian T. Gray</t>
        </is>
      </c>
      <c r="F1267" t="inlineStr">
        <is>
          <t>Outreach to the Reasearch and Developpement Centre, All-Staff meeting and meeting with Provincial Counterparts.</t>
        </is>
      </c>
      <c r="G1267" t="inlineStr">
        <is>
          <t>Visite de sensibilisation au Centre de recherche et de développement, réunion avec tout le personnel et réunion avec des homologues provinciaux</t>
        </is>
      </c>
      <c r="H1267" s="1" t="n">
        <v>43599</v>
      </c>
      <c r="I1267" s="1" t="n">
        <v>43601</v>
      </c>
      <c r="J1267" t="inlineStr">
        <is>
          <t>Summerland, British Columbia</t>
        </is>
      </c>
      <c r="K1267" t="inlineStr">
        <is>
          <t>Summerland (Colombie-Britannique)</t>
        </is>
      </c>
      <c r="P1267" t="n">
        <v>1712.21</v>
      </c>
      <c r="Q1267" t="n">
        <v>588.58</v>
      </c>
      <c r="R1267" t="n">
        <v>533.0599999999999</v>
      </c>
      <c r="S1267" t="n">
        <v>363.05</v>
      </c>
      <c r="T1267" t="n">
        <v>0</v>
      </c>
      <c r="U1267" t="n">
        <v>3196.9</v>
      </c>
      <c r="X1267" t="inlineStr">
        <is>
          <t>aafc-aac</t>
        </is>
      </c>
      <c r="Y1267" t="inlineStr">
        <is>
          <t>Agriculture and Agri-Food Canada | Agriculture et Agroalimentaire Canada</t>
        </is>
      </c>
    </row>
    <row r="1268">
      <c r="A1268" t="inlineStr">
        <is>
          <t>T-2019-Q1-00039</t>
        </is>
      </c>
      <c r="B1268" t="inlineStr">
        <is>
          <t>SLE</t>
        </is>
      </c>
      <c r="C1268" t="inlineStr">
        <is>
          <t>Assistant Deputy Minister, International Affairs Branch</t>
        </is>
      </c>
      <c r="D1268" t="inlineStr">
        <is>
          <t>Sous-ministre adjoint, Direction générale des affaires internationales</t>
        </is>
      </c>
      <c r="E1268" t="inlineStr">
        <is>
          <t>Fred Gorrell</t>
        </is>
      </c>
      <c r="F1268" t="inlineStr">
        <is>
          <t>To attend the National Association of Self-service and Department Stores Mexico Expo</t>
        </is>
      </c>
      <c r="G1268" t="inlineStr">
        <is>
          <t>Participer à l'expo pour l'association nationale des magasins libre­service et des grands magasins du Mexique</t>
        </is>
      </c>
      <c r="H1268" s="1" t="n">
        <v>43527</v>
      </c>
      <c r="I1268" s="1" t="n">
        <v>43531</v>
      </c>
      <c r="J1268" t="inlineStr">
        <is>
          <t>Guadalajara, Mexico</t>
        </is>
      </c>
      <c r="K1268" t="inlineStr">
        <is>
          <t>Guadalajara (Mexique)</t>
        </is>
      </c>
      <c r="P1268" t="n">
        <v>1955.96</v>
      </c>
      <c r="Q1268" t="n">
        <v>183.56</v>
      </c>
      <c r="R1268" t="n">
        <v>924.98</v>
      </c>
      <c r="S1268" t="n">
        <v>413.3</v>
      </c>
      <c r="T1268" t="n">
        <v>0</v>
      </c>
      <c r="U1268" t="n">
        <v>3477.8</v>
      </c>
      <c r="X1268" t="inlineStr">
        <is>
          <t>aafc-aac</t>
        </is>
      </c>
      <c r="Y1268" t="inlineStr">
        <is>
          <t>Agriculture and Agri-Food Canada | Agriculture et Agroalimentaire Canada</t>
        </is>
      </c>
    </row>
    <row r="1269">
      <c r="A1269" t="inlineStr">
        <is>
          <t>T-2019-Q1-00040</t>
        </is>
      </c>
      <c r="B1269" t="inlineStr">
        <is>
          <t>SLE</t>
        </is>
      </c>
      <c r="C1269" t="inlineStr">
        <is>
          <t>Assistant Deputy Minister, International Affairs Branch</t>
        </is>
      </c>
      <c r="D1269" t="inlineStr">
        <is>
          <t>Sous-ministre adjoint, Direction générale des affaires internationales</t>
        </is>
      </c>
      <c r="E1269" t="inlineStr">
        <is>
          <t>Fred Gorrell</t>
        </is>
      </c>
      <c r="F1269" t="inlineStr">
        <is>
          <t>To attend outreach with  Minister Carr</t>
        </is>
      </c>
      <c r="G1269" t="inlineStr">
        <is>
          <t>Participer à des activités de sensibilisation avec le ministre Carr</t>
        </is>
      </c>
      <c r="H1269" s="1" t="n">
        <v>43551</v>
      </c>
      <c r="I1269" s="1" t="n">
        <v>43553</v>
      </c>
      <c r="J1269" t="inlineStr">
        <is>
          <t>Winnipeg, Manitoba</t>
        </is>
      </c>
      <c r="K1269" t="inlineStr">
        <is>
          <t>Winnipeg (Manitoba)</t>
        </is>
      </c>
      <c r="P1269" t="n">
        <v>2055.22</v>
      </c>
      <c r="Q1269" t="n">
        <v>138.47</v>
      </c>
      <c r="R1269" t="n">
        <v>293.26</v>
      </c>
      <c r="S1269" t="n">
        <v>162.25</v>
      </c>
      <c r="T1269" t="n">
        <v>0</v>
      </c>
      <c r="U1269" t="n">
        <v>2649.2</v>
      </c>
      <c r="X1269" t="inlineStr">
        <is>
          <t>aafc-aac</t>
        </is>
      </c>
      <c r="Y1269" t="inlineStr">
        <is>
          <t>Agriculture and Agri-Food Canada | Agriculture et Agroalimentaire Canada</t>
        </is>
      </c>
    </row>
    <row r="1270">
      <c r="A1270" t="inlineStr">
        <is>
          <t>T-2019-Q1-00041</t>
        </is>
      </c>
      <c r="B1270" t="inlineStr">
        <is>
          <t>SLE</t>
        </is>
      </c>
      <c r="C1270" t="inlineStr">
        <is>
          <t>Assistant Deputy Minister, International Affairs Branch</t>
        </is>
      </c>
      <c r="D1270" t="inlineStr">
        <is>
          <t>Sous-ministre adjoint, Direction générale des affaires internationales</t>
        </is>
      </c>
      <c r="E1270" t="inlineStr">
        <is>
          <t>Fred Gorrell</t>
        </is>
      </c>
      <c r="F1270" t="inlineStr">
        <is>
          <t>To attend Outreach in Saskatoon</t>
        </is>
      </c>
      <c r="G1270" t="inlineStr">
        <is>
          <t>Participer à des activités de sensibilisation à Saskatoon</t>
        </is>
      </c>
      <c r="H1270" s="1" t="n">
        <v>43581</v>
      </c>
      <c r="I1270" s="1" t="n">
        <v>43583</v>
      </c>
      <c r="J1270" t="inlineStr">
        <is>
          <t>Saskatoon, Saskatchewan</t>
        </is>
      </c>
      <c r="K1270" t="inlineStr">
        <is>
          <t>Saskatoon (Saskatchewan)</t>
        </is>
      </c>
      <c r="P1270" t="n">
        <v>1603.79</v>
      </c>
      <c r="Q1270" t="n">
        <v>151.55</v>
      </c>
      <c r="R1270" t="n">
        <v>317.84</v>
      </c>
      <c r="S1270" t="n">
        <v>183.75</v>
      </c>
      <c r="T1270" t="n">
        <v>0</v>
      </c>
      <c r="U1270" t="n">
        <v>2256.93</v>
      </c>
      <c r="X1270" t="inlineStr">
        <is>
          <t>aafc-aac</t>
        </is>
      </c>
      <c r="Y1270" t="inlineStr">
        <is>
          <t>Agriculture and Agri-Food Canada | Agriculture et Agroalimentaire Canada</t>
        </is>
      </c>
    </row>
    <row r="1271">
      <c r="A1271" t="inlineStr">
        <is>
          <t>T-2019-Q1-00042</t>
        </is>
      </c>
      <c r="B1271" t="inlineStr">
        <is>
          <t>SLE</t>
        </is>
      </c>
      <c r="C1271" t="inlineStr">
        <is>
          <t>Assistant Deputy Minister, International Affairs Branch</t>
        </is>
      </c>
      <c r="D1271" t="inlineStr">
        <is>
          <t>Sous-ministre adjoint, Direction générale des affaires internationales</t>
        </is>
      </c>
      <c r="E1271" t="inlineStr">
        <is>
          <t>Fred Gorrell</t>
        </is>
      </c>
      <c r="F1271" t="inlineStr">
        <is>
          <t>To attend Outreach in Washington</t>
        </is>
      </c>
      <c r="G1271" t="inlineStr">
        <is>
          <t>Participer à des activités de sensibilisation à Washington</t>
        </is>
      </c>
      <c r="H1271" s="1" t="n">
        <v>43598</v>
      </c>
      <c r="I1271" s="1" t="n">
        <v>43600</v>
      </c>
      <c r="J1271" t="inlineStr">
        <is>
          <t>Washington, District of Columbia</t>
        </is>
      </c>
      <c r="K1271" t="inlineStr">
        <is>
          <t>Washington D.C.</t>
        </is>
      </c>
      <c r="P1271" t="n">
        <v>1153.58</v>
      </c>
      <c r="Q1271" t="n">
        <v>165.13</v>
      </c>
      <c r="R1271" t="n">
        <v>535.25</v>
      </c>
      <c r="S1271" t="n">
        <v>333.03</v>
      </c>
      <c r="T1271" t="n">
        <v>0</v>
      </c>
      <c r="U1271" t="n">
        <v>2186.99</v>
      </c>
      <c r="X1271" t="inlineStr">
        <is>
          <t>aafc-aac</t>
        </is>
      </c>
      <c r="Y1271" t="inlineStr">
        <is>
          <t>Agriculture and Agri-Food Canada | Agriculture et Agroalimentaire Canada</t>
        </is>
      </c>
    </row>
    <row r="1272">
      <c r="A1272" t="inlineStr">
        <is>
          <t>T-2019-Q1-00043</t>
        </is>
      </c>
      <c r="B1272" t="inlineStr">
        <is>
          <t>SLE</t>
        </is>
      </c>
      <c r="C1272" t="inlineStr">
        <is>
          <t>Assistant Deputy Minister, International Affairs Branch</t>
        </is>
      </c>
      <c r="D1272" t="inlineStr">
        <is>
          <t>Sous-ministre adjoint, Direction générale des affaires internationales</t>
        </is>
      </c>
      <c r="E1272" t="inlineStr">
        <is>
          <t>Fred Gorrell</t>
        </is>
      </c>
      <c r="F1272" t="inlineStr">
        <is>
          <t>To attend Outreach in Washington</t>
        </is>
      </c>
      <c r="G1272" t="inlineStr">
        <is>
          <t>Participer à des activités de sensibilisation à Washington</t>
        </is>
      </c>
      <c r="H1272" s="1" t="n">
        <v>43605</v>
      </c>
      <c r="I1272" s="1" t="n">
        <v>43607</v>
      </c>
      <c r="J1272" t="inlineStr">
        <is>
          <t>Washington, District of Columbia</t>
        </is>
      </c>
      <c r="K1272" t="inlineStr">
        <is>
          <t>Washington D.C.</t>
        </is>
      </c>
      <c r="P1272" t="n">
        <v>980.71</v>
      </c>
      <c r="Q1272" t="n">
        <v>124.46</v>
      </c>
      <c r="R1272" t="n">
        <v>537.33</v>
      </c>
      <c r="S1272" t="n">
        <v>377.59</v>
      </c>
      <c r="T1272" t="n">
        <v>0</v>
      </c>
      <c r="U1272" t="n">
        <v>2020.09</v>
      </c>
      <c r="X1272" t="inlineStr">
        <is>
          <t>aafc-aac</t>
        </is>
      </c>
      <c r="Y1272" t="inlineStr">
        <is>
          <t>Agriculture and Agri-Food Canada | Agriculture et Agroalimentaire Canada</t>
        </is>
      </c>
    </row>
    <row r="1273">
      <c r="A1273" t="inlineStr">
        <is>
          <t>T-2019-Q1-00044</t>
        </is>
      </c>
      <c r="B1273" t="inlineStr">
        <is>
          <t>SLE</t>
        </is>
      </c>
      <c r="C1273" t="inlineStr">
        <is>
          <t>Assistant Deputy Minister, Market and Industry Services Branch</t>
        </is>
      </c>
      <c r="D1273" t="inlineStr">
        <is>
          <t>Sous-ministre adjoint, Direction générale des services à l'industrie et aux marchés</t>
        </is>
      </c>
      <c r="E1273" t="inlineStr">
        <is>
          <t>Frédéric Seppey</t>
        </is>
      </c>
      <c r="F1273" t="inlineStr">
        <is>
          <t xml:space="preserve">To attend 7th Annual Canadian Food &amp; Drink Summit </t>
        </is>
      </c>
      <c r="G1273" t="inlineStr">
        <is>
          <t>Participer au 7e sommet canadien annuel sur l'alimentation et les boissons</t>
        </is>
      </c>
      <c r="H1273" s="1" t="n">
        <v>43551</v>
      </c>
      <c r="I1273" s="1" t="n">
        <v>43552</v>
      </c>
      <c r="J1273" t="inlineStr">
        <is>
          <t>Toronto, Ontario</t>
        </is>
      </c>
      <c r="K1273" t="inlineStr">
        <is>
          <t>Toronto (Ontario)</t>
        </is>
      </c>
      <c r="P1273" t="n">
        <v>347.7</v>
      </c>
      <c r="Q1273" t="n">
        <v>37.12</v>
      </c>
      <c r="R1273" t="n">
        <v>233.86</v>
      </c>
      <c r="S1273" t="n">
        <v>84.59999999999999</v>
      </c>
      <c r="T1273" t="n">
        <v>0</v>
      </c>
      <c r="U1273" t="n">
        <v>703.28</v>
      </c>
      <c r="X1273" t="inlineStr">
        <is>
          <t>aafc-aac</t>
        </is>
      </c>
      <c r="Y1273" t="inlineStr">
        <is>
          <t>Agriculture and Agri-Food Canada | Agriculture et Agroalimentaire Canada</t>
        </is>
      </c>
    </row>
    <row r="1274">
      <c r="A1274" t="inlineStr">
        <is>
          <t>T-2019-Q1-00045</t>
        </is>
      </c>
      <c r="B1274" t="inlineStr">
        <is>
          <t>SLE</t>
        </is>
      </c>
      <c r="C1274" t="inlineStr">
        <is>
          <t>Assistant Deputy Minister, Market and Industry Services Branch</t>
        </is>
      </c>
      <c r="D1274" t="inlineStr">
        <is>
          <t>Sous-ministre adjoint, Direction générale des services à l'industrie et aux marchés</t>
        </is>
      </c>
      <c r="E1274" t="inlineStr">
        <is>
          <t>Frédéric Seppey</t>
        </is>
      </c>
      <c r="F1274" t="inlineStr">
        <is>
          <t>To accompany the Minister to meet with Canola Stakeholders</t>
        </is>
      </c>
      <c r="G1274" t="inlineStr">
        <is>
          <t>Accompagner la ministre lors de réunions avec des intervenants de l'industrie du canola</t>
        </is>
      </c>
      <c r="H1274" s="1" t="n">
        <v>43552</v>
      </c>
      <c r="I1274" s="1" t="n">
        <v>43553</v>
      </c>
      <c r="J1274" t="inlineStr">
        <is>
          <t>Saskatoon, Saskatchewan</t>
        </is>
      </c>
      <c r="K1274" t="inlineStr">
        <is>
          <t>Saskatoon (Saskatchewan)</t>
        </is>
      </c>
      <c r="P1274" t="n">
        <v>1060.02</v>
      </c>
      <c r="Q1274" t="n">
        <v>93.92</v>
      </c>
      <c r="R1274" t="n">
        <v>176.07</v>
      </c>
      <c r="S1274" t="n">
        <v>174.7</v>
      </c>
      <c r="T1274" t="n">
        <v>14.63</v>
      </c>
      <c r="U1274" t="n">
        <v>1519.34</v>
      </c>
      <c r="X1274" t="inlineStr">
        <is>
          <t>aafc-aac</t>
        </is>
      </c>
      <c r="Y1274" t="inlineStr">
        <is>
          <t>Agriculture and Agri-Food Canada | Agriculture et Agroalimentaire Canada</t>
        </is>
      </c>
    </row>
    <row r="1275">
      <c r="A1275" t="inlineStr">
        <is>
          <t>T-2019-Q1-00046</t>
        </is>
      </c>
      <c r="B1275" t="inlineStr">
        <is>
          <t>SLE</t>
        </is>
      </c>
      <c r="C1275" t="inlineStr">
        <is>
          <t>Assistant Deputy Minister, Market and Industry Services Branch</t>
        </is>
      </c>
      <c r="D1275" t="inlineStr">
        <is>
          <t>Sous-ministre adjoint, Direction générale des services à l'industrie et aux marchés</t>
        </is>
      </c>
      <c r="E1275" t="inlineStr">
        <is>
          <t>Frédéric Seppey</t>
        </is>
      </c>
      <c r="F1275" t="inlineStr">
        <is>
          <t>To attend International Forum on Food Safety and Trade; and meetings with the World Trade Organization and Food and Agriculture Organization of the United Nations</t>
        </is>
      </c>
      <c r="G1275" t="inlineStr">
        <is>
          <t>Participer au Forum international sur la salubrité des aliments et le commerce; réunions avec l'Organisation mondiale du commerce et l'Organisation des Nations Unies pour l'alimentation et l'agriculture</t>
        </is>
      </c>
      <c r="H1275" s="1" t="n">
        <v>43574</v>
      </c>
      <c r="I1275" s="1" t="n">
        <v>43580</v>
      </c>
      <c r="J1275" t="inlineStr">
        <is>
          <t>Geneva, Switzerland</t>
        </is>
      </c>
      <c r="K1275" t="inlineStr">
        <is>
          <t>Genève (Suisse)</t>
        </is>
      </c>
      <c r="P1275" t="n">
        <v>1935.6</v>
      </c>
      <c r="Q1275" t="n">
        <v>60.97</v>
      </c>
      <c r="R1275" t="n">
        <v>771.17</v>
      </c>
      <c r="S1275" t="n">
        <v>973.4</v>
      </c>
      <c r="T1275" t="n">
        <v>4.5</v>
      </c>
      <c r="U1275" t="n">
        <v>3745.64</v>
      </c>
      <c r="X1275" t="inlineStr">
        <is>
          <t>aafc-aac</t>
        </is>
      </c>
      <c r="Y1275" t="inlineStr">
        <is>
          <t>Agriculture and Agri-Food Canada | Agriculture et Agroalimentaire Canada</t>
        </is>
      </c>
    </row>
    <row r="1276">
      <c r="A1276" t="inlineStr">
        <is>
          <t>T-2019-Q1-00047</t>
        </is>
      </c>
      <c r="B1276" t="inlineStr">
        <is>
          <t>SLE</t>
        </is>
      </c>
      <c r="C1276" t="inlineStr">
        <is>
          <t>Assistant Deputy Minister, Market and Industry Services Branch</t>
        </is>
      </c>
      <c r="D1276" t="inlineStr">
        <is>
          <t>Sous-ministre adjoint, Direction générale des services à l'industrie et aux marchés</t>
        </is>
      </c>
      <c r="E1276" t="inlineStr">
        <is>
          <t>Frédéric Seppey</t>
        </is>
      </c>
      <c r="F1276" t="inlineStr">
        <is>
          <t>To attend the 87th General Session of the World organization for animal health</t>
        </is>
      </c>
      <c r="G1276" t="inlineStr">
        <is>
          <t>Participer au 87e session générale de l'Organisation mondiale de la santé animale</t>
        </is>
      </c>
      <c r="H1276" s="1" t="n">
        <v>43609</v>
      </c>
      <c r="I1276" s="1" t="n">
        <v>43614</v>
      </c>
      <c r="J1276" t="inlineStr">
        <is>
          <t>Paris, France</t>
        </is>
      </c>
      <c r="K1276" t="inlineStr">
        <is>
          <t>Paris (France)</t>
        </is>
      </c>
      <c r="P1276" t="n">
        <v>5116.1</v>
      </c>
      <c r="Q1276" t="n">
        <v>223.54</v>
      </c>
      <c r="R1276" t="n">
        <v>1420.6</v>
      </c>
      <c r="S1276" t="n">
        <v>1286.95</v>
      </c>
      <c r="T1276" t="n">
        <v>0</v>
      </c>
      <c r="U1276" t="n">
        <v>8047.19</v>
      </c>
      <c r="X1276" t="inlineStr">
        <is>
          <t>aafc-aac</t>
        </is>
      </c>
      <c r="Y1276" t="inlineStr">
        <is>
          <t>Agriculture and Agri-Food Canada | Agriculture et Agroalimentaire Canada</t>
        </is>
      </c>
    </row>
    <row r="1277">
      <c r="A1277" t="inlineStr">
        <is>
          <t>T-2019-Q1-00048</t>
        </is>
      </c>
      <c r="B1277" t="inlineStr">
        <is>
          <t>SLE</t>
        </is>
      </c>
      <c r="C1277" t="inlineStr">
        <is>
          <t>Assistant Deputy Minister, Market and Industry Services Branch</t>
        </is>
      </c>
      <c r="D1277" t="inlineStr">
        <is>
          <t>Sous-ministre adjoint, Direction générale des services à l'industrie et aux marchés</t>
        </is>
      </c>
      <c r="E1277" t="inlineStr">
        <is>
          <t>Frédéric Seppey</t>
        </is>
      </c>
      <c r="F1277" t="inlineStr">
        <is>
          <t xml:space="preserve">To attend 12th Plant Protein Ingredients Summit North-America 2019 </t>
        </is>
      </c>
      <c r="G1277" t="inlineStr">
        <is>
          <t>Participer au 12e sommet sur les ingrédients de protéines végétales (Amérique du Nord) 2019</t>
        </is>
      </c>
      <c r="H1277" s="1" t="n">
        <v>43616</v>
      </c>
      <c r="I1277" s="1" t="n">
        <v>43617</v>
      </c>
      <c r="J1277" t="inlineStr">
        <is>
          <t>Saskatoon, Saskatchewan</t>
        </is>
      </c>
      <c r="K1277" t="inlineStr">
        <is>
          <t>Saskatoon (Saskatchewan)</t>
        </is>
      </c>
      <c r="P1277" t="n">
        <v>622.01</v>
      </c>
      <c r="Q1277" t="n">
        <v>109.96</v>
      </c>
      <c r="R1277" t="n">
        <v>340.7</v>
      </c>
      <c r="S1277" t="n">
        <v>207.05</v>
      </c>
      <c r="T1277" t="n">
        <v>1500.59</v>
      </c>
      <c r="U1277" t="n">
        <v>2780.31</v>
      </c>
      <c r="X1277" t="inlineStr">
        <is>
          <t>aafc-aac</t>
        </is>
      </c>
      <c r="Y1277" t="inlineStr">
        <is>
          <t>Agriculture and Agri-Food Canada | Agriculture et Agroalimentaire Canada</t>
        </is>
      </c>
    </row>
    <row r="1278">
      <c r="A1278" t="inlineStr">
        <is>
          <t>T-2019-Q1-00049</t>
        </is>
      </c>
      <c r="B1278" t="inlineStr">
        <is>
          <t>SLE</t>
        </is>
      </c>
      <c r="C1278" t="inlineStr">
        <is>
          <t>Associate Assistant Deputy Mininister, Science and Technology Branch</t>
        </is>
      </c>
      <c r="D1278" t="inlineStr">
        <is>
          <t>Sous-ministre adjoint délégué, Direction générale des sciences et de la technologie</t>
        </is>
      </c>
      <c r="E1278" t="inlineStr">
        <is>
          <t>Gilles Saindon</t>
        </is>
      </c>
      <c r="F1278" t="inlineStr">
        <is>
          <t>To attend the 4th session  of Executive Leadership Development Program</t>
        </is>
      </c>
      <c r="G1278" t="inlineStr">
        <is>
          <t>Participer à la 4e séance du Programme de perfectionnement du leadership des cadres</t>
        </is>
      </c>
      <c r="H1278" s="1" t="n">
        <v>43556</v>
      </c>
      <c r="I1278" s="1" t="n">
        <v>43558</v>
      </c>
      <c r="J1278" t="inlineStr">
        <is>
          <t>Waterloo, Ontario</t>
        </is>
      </c>
      <c r="K1278" t="inlineStr">
        <is>
          <t>Waterloo (Ontario)</t>
        </is>
      </c>
      <c r="P1278" t="n">
        <v>666.25</v>
      </c>
      <c r="Q1278" t="n">
        <v>72</v>
      </c>
      <c r="R1278" t="n">
        <v>381.94</v>
      </c>
      <c r="S1278" t="n">
        <v>265.35</v>
      </c>
      <c r="T1278" t="n">
        <v>0</v>
      </c>
      <c r="U1278" t="n">
        <v>1385.54</v>
      </c>
      <c r="X1278" t="inlineStr">
        <is>
          <t>aafc-aac</t>
        </is>
      </c>
      <c r="Y1278" t="inlineStr">
        <is>
          <t>Agriculture and Agri-Food Canada | Agriculture et Agroalimentaire Canada</t>
        </is>
      </c>
    </row>
    <row r="1279">
      <c r="A1279" t="inlineStr">
        <is>
          <t>T-2019-Q1-00050</t>
        </is>
      </c>
      <c r="B1279" t="inlineStr">
        <is>
          <t>SLE</t>
        </is>
      </c>
      <c r="C1279" t="inlineStr">
        <is>
          <t>Associate Assistant Deputy Mininister, Science and Technology Branch</t>
        </is>
      </c>
      <c r="D1279" t="inlineStr">
        <is>
          <t>Sous-ministre adjoint délégué, Direction générale des sciences et de la technologie</t>
        </is>
      </c>
      <c r="E1279" t="inlineStr">
        <is>
          <t>Gilles Saindon</t>
        </is>
      </c>
      <c r="F1279" t="inlineStr">
        <is>
          <t>Outreach at the Research and Development Center, all staff meetings and meet with industry</t>
        </is>
      </c>
      <c r="G1279" t="inlineStr">
        <is>
          <t>Sensibilisation au Centre de recherche et développement, réunions avec tous le personnel et rencontre avec l'industrie</t>
        </is>
      </c>
      <c r="H1279" s="1" t="n">
        <v>43565</v>
      </c>
      <c r="I1279" s="1" t="n">
        <v>43566</v>
      </c>
      <c r="J1279" t="inlineStr">
        <is>
          <t>London, Ontario</t>
        </is>
      </c>
      <c r="K1279" t="inlineStr">
        <is>
          <t>London (Ontario)</t>
        </is>
      </c>
      <c r="P1279" t="n">
        <v>531.38</v>
      </c>
      <c r="Q1279" t="n">
        <v>48</v>
      </c>
      <c r="R1279" t="n">
        <v>175.1</v>
      </c>
      <c r="S1279" t="n">
        <v>196.6</v>
      </c>
      <c r="T1279" t="n">
        <v>0</v>
      </c>
      <c r="U1279" t="n">
        <v>951.08</v>
      </c>
      <c r="X1279" t="inlineStr">
        <is>
          <t>aafc-aac</t>
        </is>
      </c>
      <c r="Y1279" t="inlineStr">
        <is>
          <t>Agriculture and Agri-Food Canada | Agriculture et Agroalimentaire Canada</t>
        </is>
      </c>
    </row>
    <row r="1280">
      <c r="A1280" t="inlineStr">
        <is>
          <t>T-2019-Q1-00051</t>
        </is>
      </c>
      <c r="B1280" t="inlineStr">
        <is>
          <t>SLE</t>
        </is>
      </c>
      <c r="C1280" t="inlineStr">
        <is>
          <t>Associate Assistant Deputy Mininister, Science and Technology Branch</t>
        </is>
      </c>
      <c r="D1280" t="inlineStr">
        <is>
          <t>Sous-ministre adjoint délégué, Direction générale des sciences et de la technologie</t>
        </is>
      </c>
      <c r="E1280" t="inlineStr">
        <is>
          <t>Gilles Saindon</t>
        </is>
      </c>
      <c r="F1280" t="inlineStr">
        <is>
          <t>Outreach at the Research and Development Center, all staff meetings and meet with industry</t>
        </is>
      </c>
      <c r="G1280" t="inlineStr">
        <is>
          <t>Sensibilisation au Centre de recherche et développement, réunions avec tous le personnel et rencontre avec l'industrie</t>
        </is>
      </c>
      <c r="H1280" s="1" t="n">
        <v>43593</v>
      </c>
      <c r="I1280" s="1" t="n">
        <v>43595</v>
      </c>
      <c r="J1280" t="inlineStr">
        <is>
          <t>Harrow, Ontario</t>
        </is>
      </c>
      <c r="K1280" t="inlineStr">
        <is>
          <t>Harrow (Ontario)</t>
        </is>
      </c>
      <c r="P1280" t="n">
        <v>567.9</v>
      </c>
      <c r="Q1280" t="n">
        <v>72</v>
      </c>
      <c r="R1280" t="n">
        <v>201.14</v>
      </c>
      <c r="S1280" t="n">
        <v>285.05</v>
      </c>
      <c r="T1280" t="n">
        <v>0</v>
      </c>
      <c r="U1280" t="n">
        <v>1126.09</v>
      </c>
      <c r="X1280" t="inlineStr">
        <is>
          <t>aafc-aac</t>
        </is>
      </c>
      <c r="Y1280" t="inlineStr">
        <is>
          <t>Agriculture and Agri-Food Canada | Agriculture et Agroalimentaire Canada</t>
        </is>
      </c>
    </row>
    <row r="1281">
      <c r="A1281" t="inlineStr">
        <is>
          <t>T-2019-Q1-00052</t>
        </is>
      </c>
      <c r="B1281" t="inlineStr">
        <is>
          <t>SLE</t>
        </is>
      </c>
      <c r="C1281" t="inlineStr">
        <is>
          <t>Associate Assistant Deputy Mininister, Science and Technology Branch</t>
        </is>
      </c>
      <c r="D1281" t="inlineStr">
        <is>
          <t>Sous-ministre adjoint délégué, Direction générale des sciences et de la technologie</t>
        </is>
      </c>
      <c r="E1281" t="inlineStr">
        <is>
          <t>Gilles Saindon</t>
        </is>
      </c>
      <c r="F1281" t="inlineStr">
        <is>
          <t>Attend the plenary session of the International Bioeconomy Forum</t>
        </is>
      </c>
      <c r="G1281" t="inlineStr">
        <is>
          <t>Participer à la séance plénière du Forum international sur la bioéconomie</t>
        </is>
      </c>
      <c r="H1281" s="1" t="n">
        <v>43610</v>
      </c>
      <c r="I1281" s="1" t="n">
        <v>43614</v>
      </c>
      <c r="J1281" t="inlineStr">
        <is>
          <t>Vancouver, British-Columbia</t>
        </is>
      </c>
      <c r="K1281" t="inlineStr">
        <is>
          <t>Vancouver (Colombie-Britannique)</t>
        </is>
      </c>
      <c r="P1281" t="n">
        <v>873.3</v>
      </c>
      <c r="Q1281" t="n">
        <v>229</v>
      </c>
      <c r="R1281" t="n">
        <v>583.08</v>
      </c>
      <c r="S1281" t="n">
        <v>319.65</v>
      </c>
      <c r="T1281" t="n">
        <v>0</v>
      </c>
      <c r="U1281" t="n">
        <v>2005.03</v>
      </c>
      <c r="X1281" t="inlineStr">
        <is>
          <t>aafc-aac</t>
        </is>
      </c>
      <c r="Y1281" t="inlineStr">
        <is>
          <t>Agriculture and Agri-Food Canada | Agriculture et Agroalimentaire Canada</t>
        </is>
      </c>
    </row>
    <row r="1282">
      <c r="A1282" t="inlineStr">
        <is>
          <t>T-2019-Q1-00053</t>
        </is>
      </c>
      <c r="B1282" t="inlineStr">
        <is>
          <t>SLE</t>
        </is>
      </c>
      <c r="C1282" t="inlineStr">
        <is>
          <t>Assistant Deputy Minister, Programs Branch</t>
        </is>
      </c>
      <c r="D1282" t="inlineStr">
        <is>
          <t xml:space="preserve">Sous-ministre ajointe, Direction générale des programmes </t>
        </is>
      </c>
      <c r="E1282" t="inlineStr">
        <is>
          <t>Jane Taylor</t>
        </is>
      </c>
      <c r="F1282" t="inlineStr">
        <is>
          <t xml:space="preserve">To meet with Farm Income Programs Directorate  </t>
        </is>
      </c>
      <c r="G1282" t="inlineStr">
        <is>
          <t>Mobilisation de la Direction des programmes du revenu agricole</t>
        </is>
      </c>
      <c r="H1282" s="1" t="n">
        <v>43563</v>
      </c>
      <c r="I1282" s="1" t="n">
        <v>43565</v>
      </c>
      <c r="J1282" t="inlineStr">
        <is>
          <t>Winnipeg, Manitoba</t>
        </is>
      </c>
      <c r="K1282" t="inlineStr">
        <is>
          <t>Winnipeg (Manitoba)</t>
        </is>
      </c>
      <c r="P1282" t="n">
        <v>466.1</v>
      </c>
      <c r="Q1282" t="n">
        <v>87</v>
      </c>
      <c r="R1282" t="n">
        <v>470.64</v>
      </c>
      <c r="S1282" t="n">
        <v>285.05</v>
      </c>
      <c r="U1282" t="n">
        <v>1328.15</v>
      </c>
      <c r="X1282" t="inlineStr">
        <is>
          <t>aafc-aac</t>
        </is>
      </c>
      <c r="Y1282" t="inlineStr">
        <is>
          <t>Agriculture and Agri-Food Canada | Agriculture et Agroalimentaire Canada</t>
        </is>
      </c>
    </row>
    <row r="1283">
      <c r="A1283" t="inlineStr">
        <is>
          <t>T-2019-Q1-00055</t>
        </is>
      </c>
      <c r="B1283" t="inlineStr">
        <is>
          <t>SLE</t>
        </is>
      </c>
      <c r="C1283" t="inlineStr">
        <is>
          <t>Assistant Deputy Minister, Public Affairs Branch</t>
        </is>
      </c>
      <c r="D1283" t="inlineStr">
        <is>
          <t>Sous-ministre adjointe, Direction générale des affaires publiques</t>
        </is>
      </c>
      <c r="E1283" t="inlineStr">
        <is>
          <t>Mary Dila</t>
        </is>
      </c>
      <c r="F1283" t="inlineStr">
        <is>
          <t>To accompany the Associate Deputy Minister to a meeting with stakeholders and staff in Alberta</t>
        </is>
      </c>
      <c r="G1283" t="inlineStr">
        <is>
          <t>Pour accompagner la sous­ministre déléguée à une réunion avec des intervenants et le personnel en Alberta</t>
        </is>
      </c>
      <c r="H1283" s="1" t="n">
        <v>43536</v>
      </c>
      <c r="I1283" s="1" t="n">
        <v>43539</v>
      </c>
      <c r="J1283" t="inlineStr">
        <is>
          <t>Edmonton, Alberta</t>
        </is>
      </c>
      <c r="K1283" t="inlineStr">
        <is>
          <t>Edmonton (Alberta)</t>
        </is>
      </c>
      <c r="P1283" t="n">
        <v>2076.15</v>
      </c>
      <c r="Q1283" t="n">
        <v>60</v>
      </c>
      <c r="R1283" t="n">
        <v>750.5</v>
      </c>
      <c r="S1283" t="n">
        <v>269.65</v>
      </c>
      <c r="U1283" t="n">
        <v>3156.3</v>
      </c>
      <c r="X1283" t="inlineStr">
        <is>
          <t>aafc-aac</t>
        </is>
      </c>
      <c r="Y1283" t="inlineStr">
        <is>
          <t>Agriculture and Agri-Food Canada | Agriculture et Agroalimentaire Canada</t>
        </is>
      </c>
    </row>
    <row r="1284">
      <c r="A1284" t="inlineStr">
        <is>
          <t>T-2019-Q1-00056</t>
        </is>
      </c>
      <c r="B1284" t="inlineStr">
        <is>
          <t>SLE</t>
        </is>
      </c>
      <c r="C1284" t="inlineStr">
        <is>
          <t>Assistant Deputy Minister, Public Affairs Branch</t>
        </is>
      </c>
      <c r="D1284" t="inlineStr">
        <is>
          <t>Sous-ministre adjointe, Direction générale des affaires publiques</t>
        </is>
      </c>
      <c r="E1284" t="inlineStr">
        <is>
          <t>Mary Dila</t>
        </is>
      </c>
      <c r="F1284" t="inlineStr">
        <is>
          <t>Outreach to regional staff</t>
        </is>
      </c>
      <c r="G1284" t="inlineStr">
        <is>
          <t>Sensibilisation des employés régionaux</t>
        </is>
      </c>
      <c r="H1284" s="1" t="n">
        <v>43570</v>
      </c>
      <c r="I1284" s="1" t="n">
        <v>43572</v>
      </c>
      <c r="J1284" t="inlineStr">
        <is>
          <t>Guelph, Ontario</t>
        </is>
      </c>
      <c r="K1284" t="inlineStr">
        <is>
          <t>Guelph (Ontario)</t>
        </is>
      </c>
      <c r="P1284" t="n">
        <v>346.05</v>
      </c>
      <c r="Q1284" t="n">
        <v>428.21</v>
      </c>
      <c r="R1284" t="n">
        <v>0</v>
      </c>
      <c r="S1284" t="n">
        <v>146.35</v>
      </c>
      <c r="U1284" t="n">
        <v>920.61</v>
      </c>
      <c r="X1284" t="inlineStr">
        <is>
          <t>aafc-aac</t>
        </is>
      </c>
      <c r="Y1284" t="inlineStr">
        <is>
          <t>Agriculture and Agri-Food Canada | Agriculture et Agroalimentaire Canada</t>
        </is>
      </c>
    </row>
    <row r="1285">
      <c r="A1285" t="inlineStr">
        <is>
          <t>T-2019-Q1-00057</t>
        </is>
      </c>
      <c r="B1285" t="inlineStr">
        <is>
          <t>SLE</t>
        </is>
      </c>
      <c r="C1285" t="inlineStr">
        <is>
          <t>Assistant Deputy Minister, Public Affairs Branch</t>
        </is>
      </c>
      <c r="D1285" t="inlineStr">
        <is>
          <t>Sous-ministre adjointe, Direction générale des affaires publiques</t>
        </is>
      </c>
      <c r="E1285" t="inlineStr">
        <is>
          <t>Mary Dila</t>
        </is>
      </c>
      <c r="F1285" t="inlineStr">
        <is>
          <t xml:space="preserve">To attend Food Sector Symposium </t>
        </is>
      </c>
      <c r="G1285" t="inlineStr">
        <is>
          <t>Participer au Symposium de l'industrie de l'alimentation</t>
        </is>
      </c>
      <c r="H1285" s="1" t="n">
        <v>43581</v>
      </c>
      <c r="I1285" s="1" t="n">
        <v>43581</v>
      </c>
      <c r="J1285" t="inlineStr">
        <is>
          <t>Toronto, Ontario</t>
        </is>
      </c>
      <c r="K1285" t="inlineStr">
        <is>
          <t>Toronto (Ontario)</t>
        </is>
      </c>
      <c r="P1285" t="n">
        <v>646.23</v>
      </c>
      <c r="Q1285" t="n">
        <v>47.2</v>
      </c>
      <c r="R1285" t="n">
        <v>0</v>
      </c>
      <c r="S1285" t="n">
        <v>91.25</v>
      </c>
      <c r="T1285" t="n">
        <v>0</v>
      </c>
      <c r="U1285" t="n">
        <v>784.6799999999999</v>
      </c>
      <c r="X1285" t="inlineStr">
        <is>
          <t>aafc-aac</t>
        </is>
      </c>
      <c r="Y1285" t="inlineStr">
        <is>
          <t>Agriculture and Agri-Food Canada | Agriculture et Agroalimentaire Canada</t>
        </is>
      </c>
    </row>
    <row r="1286">
      <c r="A1286" t="inlineStr">
        <is>
          <t>T-2019-Q1-00058</t>
        </is>
      </c>
      <c r="B1286" t="inlineStr">
        <is>
          <t>SLE</t>
        </is>
      </c>
      <c r="C1286" t="inlineStr">
        <is>
          <t>Assistant Deputy Minister, Public Affairs Branch</t>
        </is>
      </c>
      <c r="D1286" t="inlineStr">
        <is>
          <t>Sous-ministre adjointe, Direction générale des affaires publiques</t>
        </is>
      </c>
      <c r="E1286" t="inlineStr">
        <is>
          <t>Mary Dila</t>
        </is>
      </c>
      <c r="F1286" t="inlineStr">
        <is>
          <t>To participate in Strategy Program training</t>
        </is>
      </c>
      <c r="G1286" t="inlineStr">
        <is>
          <t>Participer au programme de formation en stratégie</t>
        </is>
      </c>
      <c r="H1286" s="1" t="n">
        <v>43612</v>
      </c>
      <c r="I1286" s="1" t="n">
        <v>43616</v>
      </c>
      <c r="J1286" t="inlineStr">
        <is>
          <t>Kingston, Ontario</t>
        </is>
      </c>
      <c r="K1286" t="inlineStr">
        <is>
          <t>Kingston (Ontario)</t>
        </is>
      </c>
      <c r="Q1286" t="n">
        <v>279.47</v>
      </c>
      <c r="R1286" t="n">
        <v>0</v>
      </c>
      <c r="S1286" t="n">
        <v>127.1</v>
      </c>
      <c r="U1286" t="n">
        <v>406.57</v>
      </c>
      <c r="X1286" t="inlineStr">
        <is>
          <t>aafc-aac</t>
        </is>
      </c>
      <c r="Y1286" t="inlineStr">
        <is>
          <t>Agriculture and Agri-Food Canada | Agriculture et Agroalimentaire Canada</t>
        </is>
      </c>
    </row>
    <row r="1287">
      <c r="A1287" t="inlineStr">
        <is>
          <t>T-2019-Q1-00059</t>
        </is>
      </c>
      <c r="B1287" t="inlineStr">
        <is>
          <t>SLE</t>
        </is>
      </c>
      <c r="C1287" t="inlineStr">
        <is>
          <t>Chief Information Officer, Information Systems Branch</t>
        </is>
      </c>
      <c r="D1287" t="inlineStr">
        <is>
          <t>Dirigeant principal de l'information, Direction générale des systèmes d'information</t>
        </is>
      </c>
      <c r="E1287" t="inlineStr">
        <is>
          <t>Michel Lessard</t>
        </is>
      </c>
      <c r="F1287" t="inlineStr">
        <is>
          <t xml:space="preserve">To attend 2019 Annual Executive Symposium </t>
        </is>
      </c>
      <c r="G1287" t="inlineStr">
        <is>
          <t>Participer au symposium annuelle des cadres 2019</t>
        </is>
      </c>
      <c r="H1287" s="1" t="n">
        <v>43565</v>
      </c>
      <c r="I1287" s="1" t="n">
        <v>43566</v>
      </c>
      <c r="J1287" t="inlineStr">
        <is>
          <t>Washington, District of Columbia</t>
        </is>
      </c>
      <c r="K1287" t="inlineStr">
        <is>
          <t>Washington D.C.</t>
        </is>
      </c>
      <c r="P1287" t="n">
        <v>728.12</v>
      </c>
      <c r="Q1287" t="n">
        <v>163.87</v>
      </c>
      <c r="R1287" t="n">
        <v>363.27</v>
      </c>
      <c r="S1287" t="n">
        <v>159.13</v>
      </c>
      <c r="U1287" t="n">
        <v>1414.39</v>
      </c>
      <c r="X1287" t="inlineStr">
        <is>
          <t>aafc-aac</t>
        </is>
      </c>
      <c r="Y1287" t="inlineStr">
        <is>
          <t>Agriculture and Agri-Food Canada | Agriculture et Agroalimentaire Canada</t>
        </is>
      </c>
    </row>
    <row r="1288">
      <c r="A1288" t="inlineStr">
        <is>
          <t>T-2019-Q1-00061</t>
        </is>
      </c>
      <c r="B1288" t="inlineStr">
        <is>
          <t>SLE</t>
        </is>
      </c>
      <c r="C1288" t="inlineStr">
        <is>
          <t>Assistant Deputy Minister, Strategic Policy Branch</t>
        </is>
      </c>
      <c r="D1288" t="inlineStr">
        <is>
          <t>Sous-ministre adjoint, Direction générale des politiques stratégiques</t>
        </is>
      </c>
      <c r="E1288" t="inlineStr">
        <is>
          <t>Tom Rosser</t>
        </is>
      </c>
      <c r="F1288" t="inlineStr">
        <is>
          <t>To attend a meeting of the Grains Roundtable.</t>
        </is>
      </c>
      <c r="G1288" t="inlineStr">
        <is>
          <t>Participer à une réunion de la Table ronde sur l'industrie des grains</t>
        </is>
      </c>
      <c r="H1288" s="1" t="n">
        <v>43531</v>
      </c>
      <c r="I1288" s="1" t="n">
        <v>43532</v>
      </c>
      <c r="J1288" t="inlineStr">
        <is>
          <t>Montreal, Quebec</t>
        </is>
      </c>
      <c r="K1288" t="inlineStr">
        <is>
          <t>Montréal (Québec)</t>
        </is>
      </c>
      <c r="P1288" t="n">
        <v>0</v>
      </c>
      <c r="Q1288" t="n">
        <v>471.02</v>
      </c>
      <c r="R1288" t="n">
        <v>224.91</v>
      </c>
      <c r="S1288" t="n">
        <v>54.85</v>
      </c>
      <c r="U1288" t="n">
        <v>750.78</v>
      </c>
      <c r="X1288" t="inlineStr">
        <is>
          <t>aafc-aac</t>
        </is>
      </c>
      <c r="Y1288" t="inlineStr">
        <is>
          <t>Agriculture and Agri-Food Canada | Agriculture et Agroalimentaire Canada</t>
        </is>
      </c>
    </row>
    <row r="1289">
      <c r="A1289" t="inlineStr">
        <is>
          <t>T-2019-Q1-00062</t>
        </is>
      </c>
      <c r="B1289" t="inlineStr">
        <is>
          <t>SLE</t>
        </is>
      </c>
      <c r="C1289" t="inlineStr">
        <is>
          <t>Assistant Deputy Minister, Strategic Policy Branch</t>
        </is>
      </c>
      <c r="D1289" t="inlineStr">
        <is>
          <t>Sous-ministre adjoint, Direction générale des politiques stratégiques</t>
        </is>
      </c>
      <c r="E1289" t="inlineStr">
        <is>
          <t>Tom Rosser</t>
        </is>
      </c>
      <c r="F1289" t="inlineStr">
        <is>
          <t>To attend a meeting of the Crop Logistics Working Group.</t>
        </is>
      </c>
      <c r="G1289" t="inlineStr">
        <is>
          <t>Participer à une réunion du Groupe de travail sur la logistique du transport des récoltes</t>
        </is>
      </c>
      <c r="H1289" s="1" t="n">
        <v>43552</v>
      </c>
      <c r="I1289" s="1" t="n">
        <v>43554</v>
      </c>
      <c r="J1289" t="inlineStr">
        <is>
          <t>Winnipeg, Manitoba</t>
        </is>
      </c>
      <c r="K1289" t="inlineStr">
        <is>
          <t>Winnipeg (Manitoba)</t>
        </is>
      </c>
      <c r="P1289" t="n">
        <v>1758.82</v>
      </c>
      <c r="Q1289" t="n">
        <v>98</v>
      </c>
      <c r="R1289" t="n">
        <v>147.81</v>
      </c>
      <c r="S1289" t="n">
        <v>154.85</v>
      </c>
      <c r="U1289" t="n">
        <v>2159.48</v>
      </c>
      <c r="X1289" t="inlineStr">
        <is>
          <t>aafc-aac</t>
        </is>
      </c>
      <c r="Y1289" t="inlineStr">
        <is>
          <t>Agriculture and Agri-Food Canada | Agriculture et Agroalimentaire Canada</t>
        </is>
      </c>
    </row>
    <row r="1290">
      <c r="A1290" t="inlineStr">
        <is>
          <t>T-2019-Q1-00063</t>
        </is>
      </c>
      <c r="B1290" t="inlineStr">
        <is>
          <t>SLE</t>
        </is>
      </c>
      <c r="C1290" t="inlineStr">
        <is>
          <t>Assistant Deputy Minister, Strategic Policy Branch</t>
        </is>
      </c>
      <c r="D1290" t="inlineStr">
        <is>
          <t>Sous-ministre adjoint, Direction générale des politiques stratégiques</t>
        </is>
      </c>
      <c r="E1290" t="inlineStr">
        <is>
          <t>Tom Rosser</t>
        </is>
      </c>
      <c r="F1290" t="inlineStr">
        <is>
          <t>To attend a Industry Stakeholder Event.</t>
        </is>
      </c>
      <c r="G1290" t="inlineStr">
        <is>
          <t>Participer à une activité d'industry destinée aux intervenants</t>
        </is>
      </c>
      <c r="H1290" s="1" t="n">
        <v>43549</v>
      </c>
      <c r="I1290" s="1" t="n">
        <v>43550</v>
      </c>
      <c r="J1290" t="inlineStr">
        <is>
          <t>Toronto, Ontario</t>
        </is>
      </c>
      <c r="K1290" t="inlineStr">
        <is>
          <t>Toronto (Ontario)</t>
        </is>
      </c>
      <c r="P1290" t="n">
        <v>606.41</v>
      </c>
      <c r="Q1290" t="n">
        <v>104.7</v>
      </c>
      <c r="R1290" t="n">
        <v>269.12</v>
      </c>
      <c r="S1290" t="n">
        <v>124.7</v>
      </c>
      <c r="U1290" t="n">
        <v>1104.93</v>
      </c>
      <c r="X1290" t="inlineStr">
        <is>
          <t>aafc-aac</t>
        </is>
      </c>
      <c r="Y1290" t="inlineStr">
        <is>
          <t>Agriculture and Agri-Food Canada | Agriculture et Agroalimentaire Canada</t>
        </is>
      </c>
    </row>
    <row r="1291">
      <c r="A1291" t="inlineStr">
        <is>
          <t>T-2019-Q1-00064</t>
        </is>
      </c>
      <c r="B1291" t="inlineStr">
        <is>
          <t>SLE</t>
        </is>
      </c>
      <c r="C1291" t="inlineStr">
        <is>
          <t>Assistant Deputy Minister, Strategic Policy Branch</t>
        </is>
      </c>
      <c r="D1291" t="inlineStr">
        <is>
          <t>Sous-ministre adjoint, Direction générale des politiques stratégiques</t>
        </is>
      </c>
      <c r="E1291" t="inlineStr">
        <is>
          <t>Tom Rosser</t>
        </is>
      </c>
      <c r="F1291" t="inlineStr">
        <is>
          <t>To attend a Food Security Symposium.</t>
        </is>
      </c>
      <c r="G1291" t="inlineStr">
        <is>
          <t>Participer à un symposium sur la sécurité alimentaire</t>
        </is>
      </c>
      <c r="H1291" s="1" t="n">
        <v>43580</v>
      </c>
      <c r="I1291" s="1" t="n">
        <v>43581</v>
      </c>
      <c r="J1291" t="inlineStr">
        <is>
          <t>Toronto, Ontario</t>
        </is>
      </c>
      <c r="K1291" t="inlineStr">
        <is>
          <t>Toronto (Ontario)</t>
        </is>
      </c>
      <c r="P1291" t="n">
        <v>774.5</v>
      </c>
      <c r="Q1291" t="n">
        <v>175</v>
      </c>
      <c r="R1291" t="n">
        <v>280.87</v>
      </c>
      <c r="S1291" t="n">
        <v>105.75</v>
      </c>
      <c r="T1291" t="n">
        <v>15.37</v>
      </c>
      <c r="U1291" t="n">
        <v>1351.49</v>
      </c>
      <c r="X1291" t="inlineStr">
        <is>
          <t>aafc-aac</t>
        </is>
      </c>
      <c r="Y1291" t="inlineStr">
        <is>
          <t>Agriculture and Agri-Food Canada | Agriculture et Agroalimentaire Canada</t>
        </is>
      </c>
    </row>
    <row r="1292">
      <c r="A1292" t="inlineStr">
        <is>
          <t>T-2019-Q1-00065</t>
        </is>
      </c>
      <c r="B1292" t="inlineStr">
        <is>
          <t>SLE</t>
        </is>
      </c>
      <c r="C1292" t="inlineStr">
        <is>
          <t>Assistant Deputy Minister, Strategic Policy Branch</t>
        </is>
      </c>
      <c r="D1292" t="inlineStr">
        <is>
          <t>Sous-ministre adjoint, Direction générale des politiques stratégiques</t>
        </is>
      </c>
      <c r="E1292" t="inlineStr">
        <is>
          <t>Tom Rosser</t>
        </is>
      </c>
      <c r="F1292" t="inlineStr">
        <is>
          <t>To attend a Briefing with the Minister.</t>
        </is>
      </c>
      <c r="G1292" t="inlineStr">
        <is>
          <t>Participer à une séance d'information avec la Ministre</t>
        </is>
      </c>
      <c r="H1292" s="1" t="n">
        <v>43576</v>
      </c>
      <c r="I1292" s="1" t="n">
        <v>43577</v>
      </c>
      <c r="J1292" t="inlineStr">
        <is>
          <t>Montreal, Quebec</t>
        </is>
      </c>
      <c r="K1292" t="inlineStr">
        <is>
          <t>Montréal (Québec)</t>
        </is>
      </c>
      <c r="P1292" t="n">
        <v>443.55</v>
      </c>
      <c r="Q1292" t="n">
        <v>359.13</v>
      </c>
      <c r="R1292" t="n">
        <v>201.28</v>
      </c>
      <c r="S1292" t="n">
        <v>176.5</v>
      </c>
      <c r="U1292" t="n">
        <v>1180.46</v>
      </c>
      <c r="X1292" t="inlineStr">
        <is>
          <t>aafc-aac</t>
        </is>
      </c>
      <c r="Y1292" t="inlineStr">
        <is>
          <t>Agriculture and Agri-Food Canada | Agriculture et Agroalimentaire Canada</t>
        </is>
      </c>
    </row>
    <row r="1293">
      <c r="A1293" t="inlineStr">
        <is>
          <t>T-2019-Q1-00066</t>
        </is>
      </c>
      <c r="B1293" t="inlineStr">
        <is>
          <t>SLE</t>
        </is>
      </c>
      <c r="C1293" t="inlineStr">
        <is>
          <t>Assistant Deputy Minister, Strategic Policy Branch</t>
        </is>
      </c>
      <c r="D1293" t="inlineStr">
        <is>
          <t>Sous-ministre adjoint, Direction générale des politiques stratégiques</t>
        </is>
      </c>
      <c r="E1293" t="inlineStr">
        <is>
          <t>Tom Rosser</t>
        </is>
      </c>
      <c r="F1293" t="inlineStr">
        <is>
          <t>To attend the Organisation for Economic Co-operation and Development  meetings in Paris.</t>
        </is>
      </c>
      <c r="G1293" t="inlineStr">
        <is>
          <t>Participer aux réunions de l’Organisation de coopération et de développement économiques à Paris</t>
        </is>
      </c>
      <c r="H1293" s="1" t="n">
        <v>43596</v>
      </c>
      <c r="I1293" s="1" t="n">
        <v>43601</v>
      </c>
      <c r="J1293" t="inlineStr">
        <is>
          <t>Paris, France</t>
        </is>
      </c>
      <c r="K1293" t="inlineStr">
        <is>
          <t>Paris (France)</t>
        </is>
      </c>
      <c r="P1293" t="n">
        <v>5879.34</v>
      </c>
      <c r="Q1293" t="n">
        <v>233.43</v>
      </c>
      <c r="R1293" t="n">
        <v>1082.37</v>
      </c>
      <c r="S1293" t="n">
        <v>1350.05</v>
      </c>
      <c r="U1293" t="n">
        <v>8545.190000000001</v>
      </c>
      <c r="X1293" t="inlineStr">
        <is>
          <t>aafc-aac</t>
        </is>
      </c>
      <c r="Y1293" t="inlineStr">
        <is>
          <t>Agriculture and Agri-Food Canada | Agriculture et Agroalimentaire Canada</t>
        </is>
      </c>
    </row>
    <row r="1294">
      <c r="A1294" t="inlineStr">
        <is>
          <t>T-2018-Q1-00065</t>
        </is>
      </c>
      <c r="B1294" t="inlineStr">
        <is>
          <t>SLE</t>
        </is>
      </c>
      <c r="C1294" t="inlineStr">
        <is>
          <t>Assistant deputy minister, Science and Technology Branch</t>
        </is>
      </c>
      <c r="D1294" t="inlineStr">
        <is>
          <t>Sous-ministre adjoint, Direction Générale des sciences et de la technologie</t>
        </is>
      </c>
      <c r="E1294" t="inlineStr">
        <is>
          <t>Brian T. Gray</t>
        </is>
      </c>
      <c r="F1294" t="inlineStr">
        <is>
          <t>Outreach to the Reasearch and Developpement Centre, All-Staff meeting and meeting with Provincial Counterparts.</t>
        </is>
      </c>
      <c r="G1294" t="inlineStr">
        <is>
          <t xml:space="preserve">Visite de sensibilisation au Centre de recherche et de développement, réunions avec tout le personnel et réunions avec des collègues du gouvernement provincial. </t>
        </is>
      </c>
      <c r="H1294" s="1" t="n">
        <v>43166</v>
      </c>
      <c r="I1294" s="1" t="n">
        <v>43168</v>
      </c>
      <c r="J1294" t="inlineStr">
        <is>
          <t>Manitoba, Winnipeg, Canada</t>
        </is>
      </c>
      <c r="K1294" t="inlineStr">
        <is>
          <t>Manitoba, Winnipeg, Canada</t>
        </is>
      </c>
      <c r="P1294" t="n">
        <v>824.26</v>
      </c>
      <c r="Q1294" t="n">
        <v>136.28</v>
      </c>
      <c r="R1294" t="n">
        <v>312.18</v>
      </c>
      <c r="S1294" t="n">
        <v>203.5</v>
      </c>
      <c r="T1294" t="n">
        <v>0</v>
      </c>
      <c r="U1294" t="n">
        <v>1476.22</v>
      </c>
      <c r="V1294" t="inlineStr">
        <is>
          <t>AJD997784</t>
        </is>
      </c>
      <c r="W1294" t="inlineStr">
        <is>
          <t>AJD997784</t>
        </is>
      </c>
      <c r="X1294" t="inlineStr">
        <is>
          <t>aafc-aac</t>
        </is>
      </c>
      <c r="Y1294" t="inlineStr">
        <is>
          <t>Agriculture and Agri-Food Canada | Agriculture et Agroalimentaire Canada</t>
        </is>
      </c>
    </row>
    <row r="1295">
      <c r="A1295" t="inlineStr">
        <is>
          <t>T-2018-Q1-00066</t>
        </is>
      </c>
      <c r="B1295" t="inlineStr">
        <is>
          <t>SLE</t>
        </is>
      </c>
      <c r="C1295" t="inlineStr">
        <is>
          <t>Assistant deputy minister, Science and Technology Branch</t>
        </is>
      </c>
      <c r="D1295" t="inlineStr">
        <is>
          <t>Sous-ministre adjoint, Direction Générale des sciences et de la technologie</t>
        </is>
      </c>
      <c r="E1295" t="inlineStr">
        <is>
          <t>Brian T. Gray</t>
        </is>
      </c>
      <c r="F1295" t="inlineStr">
        <is>
          <t>Outreach to the Reasearch and Developpement Centre, All-Staff meeting and meeting with Provincial Counterparts.</t>
        </is>
      </c>
      <c r="G1295" t="inlineStr">
        <is>
          <t xml:space="preserve">Visite de sensibilisation au Centre de recherche et de développement, réunions avec tout le personnel et réunions avec des collègues du gouvernement provincial. </t>
        </is>
      </c>
      <c r="H1295" s="1" t="n">
        <v>43173</v>
      </c>
      <c r="I1295" s="1" t="n">
        <v>43175</v>
      </c>
      <c r="J1295" t="inlineStr">
        <is>
          <t>Kentville, Nova-Scotia, Canada</t>
        </is>
      </c>
      <c r="K1295" t="inlineStr">
        <is>
          <t>Kentville, Nouvelle-Ecosse, Canada</t>
        </is>
      </c>
      <c r="P1295" t="n">
        <v>734.33</v>
      </c>
      <c r="Q1295" t="n">
        <v>328.19</v>
      </c>
      <c r="R1295" t="n">
        <v>313.43</v>
      </c>
      <c r="S1295" t="n">
        <v>203.3</v>
      </c>
      <c r="T1295" t="n">
        <v>0</v>
      </c>
      <c r="U1295" t="n">
        <v>1579.25</v>
      </c>
      <c r="V1295" t="inlineStr">
        <is>
          <t>AJD960327</t>
        </is>
      </c>
      <c r="W1295" t="inlineStr">
        <is>
          <t>AJD960327</t>
        </is>
      </c>
      <c r="X1295" t="inlineStr">
        <is>
          <t>aafc-aac</t>
        </is>
      </c>
      <c r="Y1295" t="inlineStr">
        <is>
          <t>Agriculture and Agri-Food Canada | Agriculture et Agroalimentaire Canada</t>
        </is>
      </c>
    </row>
    <row r="1296">
      <c r="A1296" t="inlineStr">
        <is>
          <t>T-2018-Q1-00067</t>
        </is>
      </c>
      <c r="B1296" t="inlineStr">
        <is>
          <t>SLE</t>
        </is>
      </c>
      <c r="C1296" t="inlineStr">
        <is>
          <t>Assistant deputy minister, Science and Technology Branch</t>
        </is>
      </c>
      <c r="D1296" t="inlineStr">
        <is>
          <t>Sous-ministre adjoint, Direction Générale des sciences et de la technologie</t>
        </is>
      </c>
      <c r="E1296" t="inlineStr">
        <is>
          <t>Brian T. Gray</t>
        </is>
      </c>
      <c r="F1296" t="inlineStr">
        <is>
          <t>Outreach to the Reasearch and Developpement Centre, All-Staff meeting and meeting with Provincial Counterparts.</t>
        </is>
      </c>
      <c r="G1296" t="inlineStr">
        <is>
          <t xml:space="preserve">Visite de sensibilisation au Centre de recherche et de développement, réunions avec tout le personnel et réunions avec des collègues du gouvernement provincial. </t>
        </is>
      </c>
      <c r="H1296" s="1" t="n">
        <v>43185</v>
      </c>
      <c r="I1296" s="1" t="n">
        <v>43188</v>
      </c>
      <c r="J1296" t="inlineStr">
        <is>
          <t>Summerland, British-Columbia, Canada</t>
        </is>
      </c>
      <c r="K1296" t="inlineStr">
        <is>
          <t>Summerland, Colombie-Britannique, Canada</t>
        </is>
      </c>
      <c r="P1296" t="n">
        <v>1375.3</v>
      </c>
      <c r="Q1296" t="n">
        <v>481.65</v>
      </c>
      <c r="R1296" t="n">
        <v>329.67</v>
      </c>
      <c r="S1296" t="n">
        <v>325.25</v>
      </c>
      <c r="T1296" t="n">
        <v>0</v>
      </c>
      <c r="U1296" t="n">
        <v>2511.87</v>
      </c>
      <c r="V1296" t="inlineStr">
        <is>
          <t>AJD935708</t>
        </is>
      </c>
      <c r="W1296" t="inlineStr">
        <is>
          <t>AJD935708</t>
        </is>
      </c>
      <c r="X1296" t="inlineStr">
        <is>
          <t>aafc-aac</t>
        </is>
      </c>
      <c r="Y1296" t="inlineStr">
        <is>
          <t>Agriculture and Agri-Food Canada | Agriculture et Agroalimentaire Canada</t>
        </is>
      </c>
    </row>
    <row r="1297">
      <c r="A1297" t="inlineStr">
        <is>
          <t>T-2018-Q1-00068</t>
        </is>
      </c>
      <c r="B1297" t="inlineStr">
        <is>
          <t>SLE</t>
        </is>
      </c>
      <c r="C1297" t="inlineStr">
        <is>
          <t>Assistant deputy minister, Science and Technology Branch</t>
        </is>
      </c>
      <c r="D1297" t="inlineStr">
        <is>
          <t>Sous-ministre adjoint, Direction Générale des sciences et de la technologie</t>
        </is>
      </c>
      <c r="E1297" t="inlineStr">
        <is>
          <t>Brian T. Gray</t>
        </is>
      </c>
      <c r="F1297" t="inlineStr">
        <is>
          <t>Ivey Business School at Western University - Senior Public Sector Program Module 2</t>
        </is>
      </c>
      <c r="G1297" t="inlineStr">
        <is>
          <t>Ecole d'entreprise Ivey à l'Université Western - Programme du secteur public senior Module 2</t>
        </is>
      </c>
      <c r="H1297" s="1" t="n">
        <v>43194</v>
      </c>
      <c r="I1297" s="1" t="n">
        <v>43196</v>
      </c>
      <c r="J1297" t="inlineStr">
        <is>
          <t>London, Ontario. Canada</t>
        </is>
      </c>
      <c r="K1297" t="inlineStr">
        <is>
          <t>London, Ontario, Canada</t>
        </is>
      </c>
      <c r="P1297" t="n">
        <v>483.92</v>
      </c>
      <c r="Q1297" t="n">
        <v>138.63</v>
      </c>
      <c r="R1297" t="n">
        <v>0</v>
      </c>
      <c r="S1297" t="n">
        <v>71.09999999999999</v>
      </c>
      <c r="T1297" t="n">
        <v>0</v>
      </c>
      <c r="U1297" t="n">
        <v>693.65</v>
      </c>
      <c r="V1297" t="inlineStr">
        <is>
          <t>AJD924629</t>
        </is>
      </c>
      <c r="W1297" t="inlineStr">
        <is>
          <t>AJD924629</t>
        </is>
      </c>
      <c r="X1297" t="inlineStr">
        <is>
          <t>aafc-aac</t>
        </is>
      </c>
      <c r="Y1297" t="inlineStr">
        <is>
          <t>Agriculture and Agri-Food Canada | Agriculture et Agroalimentaire Canada</t>
        </is>
      </c>
    </row>
    <row r="1298">
      <c r="A1298" t="inlineStr">
        <is>
          <t>T-2018-Q1-00069</t>
        </is>
      </c>
      <c r="B1298" t="inlineStr">
        <is>
          <t>SLE</t>
        </is>
      </c>
      <c r="C1298" t="inlineStr">
        <is>
          <t>Assistant deputy minister, Science and Technology Branch</t>
        </is>
      </c>
      <c r="D1298" t="inlineStr">
        <is>
          <t>Sous-ministre adjoint, Direction Générale des sciences et de la technologie</t>
        </is>
      </c>
      <c r="E1298" t="inlineStr">
        <is>
          <t>Brian T. Gray</t>
        </is>
      </c>
      <c r="F1298" t="inlineStr">
        <is>
          <t>Meeting pf Agricultural Chief Scientists of G20 States</t>
        </is>
      </c>
      <c r="G1298" t="inlineStr">
        <is>
          <t>Réunion des scientifiques en chef agricoles des États du G20</t>
        </is>
      </c>
      <c r="H1298" s="1" t="n">
        <v>43245</v>
      </c>
      <c r="I1298" s="1" t="n">
        <v>43252</v>
      </c>
      <c r="J1298" t="inlineStr">
        <is>
          <t>San Salvador de Jujuy, Argentina</t>
        </is>
      </c>
      <c r="K1298" t="inlineStr">
        <is>
          <t>San Salvador de Jujuy, Argentine</t>
        </is>
      </c>
      <c r="P1298" t="n">
        <v>6875</v>
      </c>
      <c r="Q1298" t="n">
        <v>286.14</v>
      </c>
      <c r="R1298" t="n">
        <v>638.58</v>
      </c>
      <c r="S1298" t="n">
        <v>722.48</v>
      </c>
      <c r="T1298" t="n">
        <v>0</v>
      </c>
      <c r="U1298" t="n">
        <v>8522.200000000001</v>
      </c>
      <c r="V1298" t="inlineStr">
        <is>
          <t>AJD932368</t>
        </is>
      </c>
      <c r="W1298" t="inlineStr">
        <is>
          <t>AJD932368</t>
        </is>
      </c>
      <c r="X1298" t="inlineStr">
        <is>
          <t>aafc-aac</t>
        </is>
      </c>
      <c r="Y1298" t="inlineStr">
        <is>
          <t>Agriculture and Agri-Food Canada | Agriculture et Agroalimentaire Canada</t>
        </is>
      </c>
    </row>
    <row r="1299">
      <c r="A1299" t="inlineStr">
        <is>
          <t>T-2019-P3-0001</t>
        </is>
      </c>
      <c r="B1299" t="inlineStr">
        <is>
          <t>MPSES</t>
        </is>
      </c>
      <c r="C1299" t="inlineStr">
        <is>
          <t>Press Secretary</t>
        </is>
      </c>
      <c r="D1299" t="inlineStr">
        <is>
          <t>Attachée de Presse</t>
        </is>
      </c>
      <c r="E1299" t="inlineStr">
        <is>
          <t>Justine Lesage</t>
        </is>
      </c>
      <c r="F1299" t="inlineStr">
        <is>
          <t xml:space="preserve">To accompany the Minister to the announcement of the Youth Employment and Skills Program </t>
        </is>
      </c>
      <c r="G1299" t="inlineStr">
        <is>
          <t>Pour accompagner la Ministre à l'annonce du Programme d'emploi et de compétences des jeunes</t>
        </is>
      </c>
      <c r="H1299" s="1" t="n">
        <v>43619</v>
      </c>
      <c r="I1299" s="1" t="n">
        <v>43619</v>
      </c>
      <c r="J1299" t="inlineStr">
        <is>
          <t>Beauharnois (Quebec) Canada</t>
        </is>
      </c>
      <c r="K1299" t="inlineStr">
        <is>
          <t>Beauharnois (Québec) Canada</t>
        </is>
      </c>
      <c r="P1299" t="n">
        <v>0</v>
      </c>
      <c r="Q1299" t="n">
        <v>134.4</v>
      </c>
      <c r="R1299" t="n">
        <v>0</v>
      </c>
      <c r="S1299" t="n">
        <v>20.5</v>
      </c>
      <c r="T1299" t="n">
        <v>0</v>
      </c>
      <c r="U1299" t="n">
        <v>154.9</v>
      </c>
      <c r="X1299" t="inlineStr">
        <is>
          <t>aafc-aac</t>
        </is>
      </c>
      <c r="Y1299" t="inlineStr">
        <is>
          <t>Agriculture and Agri-Food Canada | Agriculture et Agroalimentaire Canada</t>
        </is>
      </c>
    </row>
    <row r="1300">
      <c r="A1300" t="inlineStr">
        <is>
          <t>T-2019-P3-0002</t>
        </is>
      </c>
      <c r="B1300" t="inlineStr">
        <is>
          <t>MPSES</t>
        </is>
      </c>
      <c r="C1300" t="inlineStr">
        <is>
          <t>Press Secretary</t>
        </is>
      </c>
      <c r="D1300" t="inlineStr">
        <is>
          <t>Attachée de Presse</t>
        </is>
      </c>
      <c r="E1300" t="inlineStr">
        <is>
          <t>Justine Lesage</t>
        </is>
      </c>
      <c r="F1300" t="inlineStr">
        <is>
          <t xml:space="preserve">To accompany the Minister for an investment announcement in organic trade  </t>
        </is>
      </c>
      <c r="G1300" t="inlineStr">
        <is>
          <t>Pour accompagner la Ministre une annonce d'investissement dans la commerce biologique</t>
        </is>
      </c>
      <c r="H1300" s="1" t="n">
        <v>43630</v>
      </c>
      <c r="I1300" s="1" t="n">
        <v>43630</v>
      </c>
      <c r="J1300" t="inlineStr">
        <is>
          <t>Sherbrooke (Quebec) Canada</t>
        </is>
      </c>
      <c r="K1300" t="inlineStr">
        <is>
          <t>Sherbrooke (Québec) Canada</t>
        </is>
      </c>
      <c r="P1300" t="n">
        <v>0</v>
      </c>
      <c r="Q1300" t="n">
        <v>217.98</v>
      </c>
      <c r="R1300" t="n">
        <v>0</v>
      </c>
      <c r="S1300" t="n">
        <v>20.1</v>
      </c>
      <c r="T1300" t="n">
        <v>0</v>
      </c>
      <c r="U1300" t="n">
        <v>238.08</v>
      </c>
      <c r="X1300" t="inlineStr">
        <is>
          <t>aafc-aac</t>
        </is>
      </c>
      <c r="Y1300" t="inlineStr">
        <is>
          <t>Agriculture and Agri-Food Canada | Agriculture et Agroalimentaire Canada</t>
        </is>
      </c>
    </row>
    <row r="1301">
      <c r="A1301" t="inlineStr">
        <is>
          <t>T-2019-P3-0003</t>
        </is>
      </c>
      <c r="B1301" t="inlineStr">
        <is>
          <t>MPSES</t>
        </is>
      </c>
      <c r="C1301" t="inlineStr">
        <is>
          <t>Driver</t>
        </is>
      </c>
      <c r="D1301" t="inlineStr">
        <is>
          <t>Conducteur</t>
        </is>
      </c>
      <c r="E1301" t="inlineStr">
        <is>
          <t>Michel Gendreau</t>
        </is>
      </c>
      <c r="F1301" t="inlineStr">
        <is>
          <t>To pick up the Minister from Sherbrooke and drive her to Ottawa</t>
        </is>
      </c>
      <c r="G1301" t="inlineStr">
        <is>
          <t>Pour aller chercher la Ministre à Sherbrooke et la conduire à Ottawa</t>
        </is>
      </c>
      <c r="H1301" s="1" t="n">
        <v>43618</v>
      </c>
      <c r="I1301" s="1" t="n">
        <v>43619</v>
      </c>
      <c r="J1301" t="inlineStr">
        <is>
          <t>Sherbrooke (Quebec) Canada</t>
        </is>
      </c>
      <c r="K1301" t="inlineStr">
        <is>
          <t>Sherbrooke (Québec) Canada</t>
        </is>
      </c>
      <c r="P1301" t="n">
        <v>0</v>
      </c>
      <c r="Q1301" t="n">
        <v>6.2</v>
      </c>
      <c r="R1301" t="n">
        <v>141.3</v>
      </c>
      <c r="S1301" t="n">
        <v>105.75</v>
      </c>
      <c r="T1301" t="n">
        <v>0</v>
      </c>
      <c r="U1301" t="n">
        <v>253.25</v>
      </c>
      <c r="X1301" t="inlineStr">
        <is>
          <t>aafc-aac</t>
        </is>
      </c>
      <c r="Y1301" t="inlineStr">
        <is>
          <t>Agriculture and Agri-Food Canada | Agriculture et Agroalimentaire Canada</t>
        </is>
      </c>
    </row>
    <row r="1302">
      <c r="A1302" t="inlineStr">
        <is>
          <t>T-2019-P3-0004</t>
        </is>
      </c>
      <c r="B1302" t="inlineStr">
        <is>
          <t>MPSES</t>
        </is>
      </c>
      <c r="C1302" t="inlineStr">
        <is>
          <t>Driver</t>
        </is>
      </c>
      <c r="D1302" t="inlineStr">
        <is>
          <t>Conducteur</t>
        </is>
      </c>
      <c r="E1302" t="inlineStr">
        <is>
          <t>Michel Gendreau</t>
        </is>
      </c>
      <c r="F1302" t="inlineStr">
        <is>
          <t>To drive the Minister to Sherbrooke</t>
        </is>
      </c>
      <c r="G1302" t="inlineStr">
        <is>
          <t>Pour reconduire la Ministre à Sherbrooke</t>
        </is>
      </c>
      <c r="H1302" s="1" t="n">
        <v>43623</v>
      </c>
      <c r="I1302" s="1" t="n">
        <v>43623</v>
      </c>
      <c r="J1302" t="inlineStr">
        <is>
          <t>Sherbrooke (Quebec) Canada</t>
        </is>
      </c>
      <c r="K1302" t="inlineStr">
        <is>
          <t>Sherbrooke (Québec) Canada</t>
        </is>
      </c>
      <c r="P1302" t="n">
        <v>0</v>
      </c>
      <c r="Q1302" t="n">
        <v>6.2</v>
      </c>
      <c r="R1302" t="n">
        <v>0</v>
      </c>
      <c r="S1302" t="n">
        <v>50.65</v>
      </c>
      <c r="T1302" t="n">
        <v>0</v>
      </c>
      <c r="U1302" t="n">
        <v>56.85</v>
      </c>
      <c r="X1302" t="inlineStr">
        <is>
          <t>aafc-aac</t>
        </is>
      </c>
      <c r="Y1302" t="inlineStr">
        <is>
          <t>Agriculture and Agri-Food Canada | Agriculture et Agroalimentaire Canada</t>
        </is>
      </c>
    </row>
    <row r="1303">
      <c r="A1303" t="inlineStr">
        <is>
          <t>T-2019-P3-0005</t>
        </is>
      </c>
      <c r="B1303" t="inlineStr">
        <is>
          <t>MPSES</t>
        </is>
      </c>
      <c r="C1303" t="inlineStr">
        <is>
          <t>Driver</t>
        </is>
      </c>
      <c r="D1303" t="inlineStr">
        <is>
          <t>Conducteur</t>
        </is>
      </c>
      <c r="E1303" t="inlineStr">
        <is>
          <t>Michel Gendreau</t>
        </is>
      </c>
      <c r="F1303" t="inlineStr">
        <is>
          <t>To pick up the Minister from Sherbrooke and drive her to Ottawa</t>
        </is>
      </c>
      <c r="G1303" t="inlineStr">
        <is>
          <t>Pour aller chercher la Ministre à Sherbrooke et la conduire à Ottawa</t>
        </is>
      </c>
      <c r="H1303" s="1" t="n">
        <v>43625</v>
      </c>
      <c r="I1303" s="1" t="n">
        <v>43626</v>
      </c>
      <c r="J1303" t="inlineStr">
        <is>
          <t>Sherbrooke (Quebec) Canada</t>
        </is>
      </c>
      <c r="K1303" t="inlineStr">
        <is>
          <t>Sherbrooke (Québec) Canada</t>
        </is>
      </c>
      <c r="P1303" t="n">
        <v>0</v>
      </c>
      <c r="Q1303" t="n">
        <v>6.2</v>
      </c>
      <c r="R1303" t="n">
        <v>160.64</v>
      </c>
      <c r="S1303" t="n">
        <v>105.75</v>
      </c>
      <c r="T1303" t="n">
        <v>0</v>
      </c>
      <c r="U1303" t="n">
        <v>272.59</v>
      </c>
      <c r="X1303" t="inlineStr">
        <is>
          <t>aafc-aac</t>
        </is>
      </c>
      <c r="Y1303" t="inlineStr">
        <is>
          <t>Agriculture and Agri-Food Canada | Agriculture et Agroalimentaire Canada</t>
        </is>
      </c>
    </row>
    <row r="1304">
      <c r="A1304" t="inlineStr">
        <is>
          <t>T-2019-P3-0006</t>
        </is>
      </c>
      <c r="B1304" t="inlineStr">
        <is>
          <t>MPSES</t>
        </is>
      </c>
      <c r="C1304" t="inlineStr">
        <is>
          <t>Driver</t>
        </is>
      </c>
      <c r="D1304" t="inlineStr">
        <is>
          <t>Conducteur</t>
        </is>
      </c>
      <c r="E1304" t="inlineStr">
        <is>
          <t>Michel Gendreau</t>
        </is>
      </c>
      <c r="F1304" t="inlineStr">
        <is>
          <t xml:space="preserve">To drive the Minister to Sherbrooke and to make announcements </t>
        </is>
      </c>
      <c r="G1304" t="inlineStr">
        <is>
          <t>Pour reconduire la Ministre à Sherbrooke et pour faire des annonces</t>
        </is>
      </c>
      <c r="H1304" s="1" t="n">
        <v>43629</v>
      </c>
      <c r="I1304" s="1" t="n">
        <v>43630</v>
      </c>
      <c r="J1304" t="inlineStr">
        <is>
          <t>Sherbrooke (Quebec) Canada</t>
        </is>
      </c>
      <c r="K1304" t="inlineStr">
        <is>
          <t>Sherbrooke (Québec) Canada</t>
        </is>
      </c>
      <c r="P1304" t="n">
        <v>0</v>
      </c>
      <c r="Q1304" t="n">
        <v>6.2</v>
      </c>
      <c r="R1304" t="n">
        <v>141.3</v>
      </c>
      <c r="S1304" t="n">
        <v>125.85</v>
      </c>
      <c r="T1304" t="n">
        <v>0</v>
      </c>
      <c r="U1304" t="n">
        <v>273.35</v>
      </c>
      <c r="X1304" t="inlineStr">
        <is>
          <t>aafc-aac</t>
        </is>
      </c>
      <c r="Y1304" t="inlineStr">
        <is>
          <t>Agriculture and Agri-Food Canada | Agriculture et Agroalimentaire Canada</t>
        </is>
      </c>
    </row>
    <row r="1305">
      <c r="A1305" t="inlineStr">
        <is>
          <t>T-2019-P3-0007</t>
        </is>
      </c>
      <c r="B1305" t="inlineStr">
        <is>
          <t>MPSES</t>
        </is>
      </c>
      <c r="C1305" t="inlineStr">
        <is>
          <t>Driver</t>
        </is>
      </c>
      <c r="D1305" t="inlineStr">
        <is>
          <t>Conducteur</t>
        </is>
      </c>
      <c r="E1305" t="inlineStr">
        <is>
          <t>Michel Gendreau</t>
        </is>
      </c>
      <c r="F1305" t="inlineStr">
        <is>
          <t>To pick up the Minister from Sherbrooke and drive her to Ottawa</t>
        </is>
      </c>
      <c r="G1305" t="inlineStr">
        <is>
          <t>Pour aller chercher la Ministre à Sherbrooke et la conduire à Ottawa</t>
        </is>
      </c>
      <c r="H1305" s="1" t="n">
        <v>43632</v>
      </c>
      <c r="I1305" s="1" t="n">
        <v>43633</v>
      </c>
      <c r="J1305" t="inlineStr">
        <is>
          <t>Sherbrooke (Quebec) Canada</t>
        </is>
      </c>
      <c r="K1305" t="inlineStr">
        <is>
          <t>Sherbrooke (Québec) Canada</t>
        </is>
      </c>
      <c r="P1305" t="n">
        <v>0</v>
      </c>
      <c r="Q1305" t="n">
        <v>3.1</v>
      </c>
      <c r="R1305" t="n">
        <v>141.3</v>
      </c>
      <c r="S1305" t="n">
        <v>105.75</v>
      </c>
      <c r="T1305" t="n">
        <v>0</v>
      </c>
      <c r="U1305" t="n">
        <v>250.15</v>
      </c>
      <c r="X1305" t="inlineStr">
        <is>
          <t>aafc-aac</t>
        </is>
      </c>
      <c r="Y1305" t="inlineStr">
        <is>
          <t>Agriculture and Agri-Food Canada | Agriculture et Agroalimentaire Canada</t>
        </is>
      </c>
    </row>
    <row r="1306">
      <c r="A1306" t="inlineStr">
        <is>
          <t>T-2019-P3-0008</t>
        </is>
      </c>
      <c r="B1306" t="inlineStr">
        <is>
          <t>MPSES</t>
        </is>
      </c>
      <c r="C1306" t="inlineStr">
        <is>
          <t>Senior Communications and Policy Advisor</t>
        </is>
      </c>
      <c r="D1306" t="inlineStr">
        <is>
          <t>Conseiller principal en communications et politiques</t>
        </is>
      </c>
      <c r="E1306" t="inlineStr">
        <is>
          <t>Oliver Anderson</t>
        </is>
      </c>
      <c r="F1306" t="inlineStr">
        <is>
          <t>To accompany the Minister to the launch the Food Policy for Canada</t>
        </is>
      </c>
      <c r="G1306" t="inlineStr">
        <is>
          <t xml:space="preserve">Pour accompagner la Ministre au lancement de la Politique alimentaire pour le Canada </t>
        </is>
      </c>
      <c r="H1306" s="1" t="n">
        <v>43633</v>
      </c>
      <c r="I1306" s="1" t="n">
        <v>43633</v>
      </c>
      <c r="J1306" t="inlineStr">
        <is>
          <t>Montreal (Quebec) Canada</t>
        </is>
      </c>
      <c r="K1306" t="inlineStr">
        <is>
          <t>Montréal (Québec) Canada</t>
        </is>
      </c>
      <c r="P1306" t="n">
        <v>0</v>
      </c>
      <c r="Q1306" t="n">
        <v>140.09</v>
      </c>
      <c r="R1306" t="n">
        <v>0</v>
      </c>
      <c r="S1306" t="n">
        <v>20.5</v>
      </c>
      <c r="T1306" t="n">
        <v>0</v>
      </c>
      <c r="U1306" t="n">
        <v>160.59</v>
      </c>
      <c r="X1306" t="inlineStr">
        <is>
          <t>aafc-aac</t>
        </is>
      </c>
      <c r="Y1306" t="inlineStr">
        <is>
          <t>Agriculture and Agri-Food Canada | Agriculture et Agroalimentaire Canada</t>
        </is>
      </c>
    </row>
    <row r="1307">
      <c r="A1307" t="inlineStr">
        <is>
          <t>T-2019-P3-0009</t>
        </is>
      </c>
      <c r="B1307" t="inlineStr">
        <is>
          <t>SLE</t>
        </is>
      </c>
      <c r="C1307" t="inlineStr">
        <is>
          <t>Associate Deputy Minister</t>
        </is>
      </c>
      <c r="D1307" t="inlineStr">
        <is>
          <t>Sous-ministre déléguée</t>
        </is>
      </c>
      <c r="E1307" t="inlineStr">
        <is>
          <t>Annette Gibbons</t>
        </is>
      </c>
      <c r="F1307" t="inlineStr">
        <is>
          <t>To attend the Conference of Montreal and chair the Food Processing Industry Roundtable</t>
        </is>
      </c>
      <c r="G1307" t="inlineStr">
        <is>
          <t xml:space="preserve"> Pour assister à la Conférence de Montréal et pour présider à la Table ronde de l'industrie de la transformation des aliments </t>
        </is>
      </c>
      <c r="H1307" s="1" t="n">
        <v>43626</v>
      </c>
      <c r="I1307" s="1" t="n">
        <v>43628</v>
      </c>
      <c r="J1307" t="inlineStr">
        <is>
          <t>Montreal (Quebec) Canada</t>
        </is>
      </c>
      <c r="K1307" t="inlineStr">
        <is>
          <t>Montréal (Québec) Canada</t>
        </is>
      </c>
      <c r="P1307" t="n">
        <v>0</v>
      </c>
      <c r="Q1307" t="n">
        <v>220.47</v>
      </c>
      <c r="R1307" t="n">
        <v>414.13</v>
      </c>
      <c r="S1307" t="n">
        <v>176.5</v>
      </c>
      <c r="T1307" t="n">
        <v>0</v>
      </c>
      <c r="U1307" t="n">
        <v>811.1</v>
      </c>
      <c r="X1307" t="inlineStr">
        <is>
          <t>aafc-aac</t>
        </is>
      </c>
      <c r="Y1307" t="inlineStr">
        <is>
          <t>Agriculture and Agri-Food Canada | Agriculture et Agroalimentaire Canada</t>
        </is>
      </c>
    </row>
    <row r="1308">
      <c r="A1308" t="inlineStr">
        <is>
          <t>T-2019-P3-0010</t>
        </is>
      </c>
      <c r="B1308" t="inlineStr">
        <is>
          <t>SLE</t>
        </is>
      </c>
      <c r="C1308" t="inlineStr">
        <is>
          <t>Deputy Minister</t>
        </is>
      </c>
      <c r="D1308" t="inlineStr">
        <is>
          <t>Sous-ministre</t>
        </is>
      </c>
      <c r="E1308" t="inlineStr">
        <is>
          <t>Chris Forbes</t>
        </is>
      </c>
      <c r="F1308" t="inlineStr">
        <is>
          <t>To attend the Plant Protein Ingredients Summit</t>
        </is>
      </c>
      <c r="G1308" t="inlineStr">
        <is>
          <t>Pour assister au sommet des ingrédients de protéine végétale</t>
        </is>
      </c>
      <c r="H1308" s="1" t="n">
        <v>43615</v>
      </c>
      <c r="I1308" s="1" t="n">
        <v>43618</v>
      </c>
      <c r="J1308" t="inlineStr">
        <is>
          <t>Saskatoon (Saskatchewan) Canada</t>
        </is>
      </c>
      <c r="K1308" t="inlineStr">
        <is>
          <t>Saskatoon (Saskatchewan) Canada</t>
        </is>
      </c>
      <c r="P1308" t="n">
        <v>2961.69</v>
      </c>
      <c r="Q1308" t="n">
        <v>60.82</v>
      </c>
      <c r="R1308" t="n">
        <v>365.86</v>
      </c>
      <c r="S1308" t="n">
        <v>318.4</v>
      </c>
      <c r="T1308" t="n">
        <v>0</v>
      </c>
      <c r="U1308" t="n">
        <v>3706.77</v>
      </c>
      <c r="V1308" t="inlineStr">
        <is>
          <t>Due to an error in booking, a refund will follow shortly.</t>
        </is>
      </c>
      <c r="W1308" t="inlineStr">
        <is>
          <t>En raison d'une erreur de réservation, un remboursement sera effectué sous peu.</t>
        </is>
      </c>
      <c r="X1308" t="inlineStr">
        <is>
          <t>aafc-aac</t>
        </is>
      </c>
      <c r="Y1308" t="inlineStr">
        <is>
          <t>Agriculture and Agri-Food Canada | Agriculture et Agroalimentaire Canada</t>
        </is>
      </c>
    </row>
    <row r="1309">
      <c r="A1309" t="inlineStr">
        <is>
          <t>T-2019-P3-0011</t>
        </is>
      </c>
      <c r="B1309" t="inlineStr">
        <is>
          <t>SLE</t>
        </is>
      </c>
      <c r="C1309" t="inlineStr">
        <is>
          <t>Deputy Minister</t>
        </is>
      </c>
      <c r="D1309" t="inlineStr">
        <is>
          <t>Sous-ministre</t>
        </is>
      </c>
      <c r="E1309" t="inlineStr">
        <is>
          <t>Chris Forbes</t>
        </is>
      </c>
      <c r="F1309" t="inlineStr">
        <is>
          <t xml:space="preserve">To attend the Conference of Montreal </t>
        </is>
      </c>
      <c r="G1309" t="inlineStr">
        <is>
          <t xml:space="preserve">Pour assister à la Conférence de Montréal </t>
        </is>
      </c>
      <c r="H1309" s="1" t="n">
        <v>43626</v>
      </c>
      <c r="I1309" s="1" t="n">
        <v>43627</v>
      </c>
      <c r="J1309" t="inlineStr">
        <is>
          <t>Montreal (Quebec) Canada</t>
        </is>
      </c>
      <c r="K1309" t="inlineStr">
        <is>
          <t>Montréal (Québec) Canada</t>
        </is>
      </c>
      <c r="P1309" t="n">
        <v>0</v>
      </c>
      <c r="Q1309" t="n">
        <v>193.23</v>
      </c>
      <c r="R1309" t="n">
        <v>232.05</v>
      </c>
      <c r="S1309" t="n">
        <v>50.65</v>
      </c>
      <c r="T1309" t="n">
        <v>0</v>
      </c>
      <c r="U1309" t="n">
        <v>475.93</v>
      </c>
      <c r="X1309" t="inlineStr">
        <is>
          <t>aafc-aac</t>
        </is>
      </c>
      <c r="Y1309" t="inlineStr">
        <is>
          <t>Agriculture and Agri-Food Canada | Agriculture et Agroalimentaire Canada</t>
        </is>
      </c>
    </row>
    <row r="1310">
      <c r="A1310" t="inlineStr">
        <is>
          <t>T-2019-P3-0012</t>
        </is>
      </c>
      <c r="B1310" t="inlineStr">
        <is>
          <t>SLE</t>
        </is>
      </c>
      <c r="C1310" t="inlineStr">
        <is>
          <t>Assistant Deputy Minister, Science and Technology Branch</t>
        </is>
      </c>
      <c r="D1310" t="inlineStr">
        <is>
          <t>Sous-ministre adjoint, Direction générale des sciences et de la technologie</t>
        </is>
      </c>
      <c r="E1310" t="inlineStr">
        <is>
          <t xml:space="preserve">Brian Gray </t>
        </is>
      </c>
      <c r="F1310" t="inlineStr">
        <is>
          <t>Outreach to the Research and Development Centre, All-Staff meeting and meeting with Provincial Counterparts.</t>
        </is>
      </c>
      <c r="G1310" t="inlineStr">
        <is>
          <t xml:space="preserve">Visite de sensibilisation au Centre de recherche et de développement, réunions avec tout le personnel et réunions avec des collègues du gouvernement provincial. </t>
        </is>
      </c>
      <c r="H1310" s="1" t="n">
        <v>43626</v>
      </c>
      <c r="I1310" s="1" t="n">
        <v>43627</v>
      </c>
      <c r="J1310" t="inlineStr">
        <is>
          <t>Saskatoon (Saskatchewan) Canada</t>
        </is>
      </c>
      <c r="K1310" t="inlineStr">
        <is>
          <t>Saskatoon (Saskatchewan) Canada</t>
        </is>
      </c>
      <c r="P1310" t="n">
        <v>817.5700000000001</v>
      </c>
      <c r="Q1310" t="n">
        <v>73.3</v>
      </c>
      <c r="R1310" t="n">
        <v>170.35</v>
      </c>
      <c r="S1310" t="n">
        <v>145.95</v>
      </c>
      <c r="T1310" t="n">
        <v>0</v>
      </c>
      <c r="U1310" t="n">
        <v>1207.17</v>
      </c>
      <c r="X1310" t="inlineStr">
        <is>
          <t>aafc-aac</t>
        </is>
      </c>
      <c r="Y1310" t="inlineStr">
        <is>
          <t>Agriculture and Agri-Food Canada | Agriculture et Agroalimentaire Canada</t>
        </is>
      </c>
    </row>
    <row r="1311">
      <c r="A1311" t="inlineStr">
        <is>
          <t>T-2019-P3-0013</t>
        </is>
      </c>
      <c r="B1311" t="inlineStr">
        <is>
          <t>SLE</t>
        </is>
      </c>
      <c r="C1311" t="inlineStr">
        <is>
          <t>Chief Information Officer, Information Systems Branch</t>
        </is>
      </c>
      <c r="D1311" t="inlineStr">
        <is>
          <t>Dirigeant principal de l'information, Direction générale des systèmes information</t>
        </is>
      </c>
      <c r="E1311" t="inlineStr">
        <is>
          <t>Michel Lessard</t>
        </is>
      </c>
      <c r="F1311" t="inlineStr">
        <is>
          <t>2019 Gartner IT Symposium/Xpo</t>
        </is>
      </c>
      <c r="G1311" t="inlineStr">
        <is>
          <t>Symposium Gartner sur l'information/Xpo 2019</t>
        </is>
      </c>
      <c r="H1311" s="1" t="n">
        <v>43618</v>
      </c>
      <c r="I1311" s="1" t="n">
        <v>43622</v>
      </c>
      <c r="J1311" t="inlineStr">
        <is>
          <t>Toronto (Ontario) Canada</t>
        </is>
      </c>
      <c r="K1311" t="inlineStr">
        <is>
          <t>Toronto (Ontario) Canada</t>
        </is>
      </c>
      <c r="P1311" t="n">
        <v>338.88</v>
      </c>
      <c r="Q1311" t="n">
        <v>71.18000000000001</v>
      </c>
      <c r="R1311" t="n">
        <v>1311.52</v>
      </c>
      <c r="S1311" t="n">
        <v>228.4</v>
      </c>
      <c r="T1311" t="n">
        <v>0</v>
      </c>
      <c r="U1311" t="n">
        <v>1949.98</v>
      </c>
      <c r="X1311" t="inlineStr">
        <is>
          <t>aafc-aac</t>
        </is>
      </c>
      <c r="Y1311" t="inlineStr">
        <is>
          <t>Agriculture and Agri-Food Canada | Agriculture et Agroalimentaire Canada</t>
        </is>
      </c>
    </row>
    <row r="1312">
      <c r="A1312" t="inlineStr">
        <is>
          <t>T-2019-P4-0001</t>
        </is>
      </c>
      <c r="B1312" t="inlineStr">
        <is>
          <t>MPSES</t>
        </is>
      </c>
      <c r="C1312" t="inlineStr">
        <is>
          <t>Driver</t>
        </is>
      </c>
      <c r="D1312" t="inlineStr">
        <is>
          <t>Conducteur</t>
        </is>
      </c>
      <c r="E1312" t="inlineStr">
        <is>
          <t>Michel Gendreau</t>
        </is>
      </c>
      <c r="F1312" t="inlineStr">
        <is>
          <t>To bring documents to the Minister</t>
        </is>
      </c>
      <c r="G1312" t="inlineStr">
        <is>
          <t>Apporter des documents à la ministre</t>
        </is>
      </c>
      <c r="H1312" s="1" t="n">
        <v>43641</v>
      </c>
      <c r="I1312" s="1" t="n">
        <v>43641</v>
      </c>
      <c r="J1312" t="inlineStr">
        <is>
          <t>Sherbrooke (Quebec) Canada</t>
        </is>
      </c>
      <c r="K1312" t="inlineStr">
        <is>
          <t>Sherbrooke (Québec) Canada</t>
        </is>
      </c>
      <c r="P1312" t="n">
        <v>0</v>
      </c>
      <c r="Q1312" t="n">
        <v>6.2</v>
      </c>
      <c r="R1312" t="n">
        <v>0</v>
      </c>
      <c r="S1312" t="n">
        <v>20.1</v>
      </c>
      <c r="T1312" t="n">
        <v>0</v>
      </c>
      <c r="U1312" t="n">
        <v>26.3</v>
      </c>
      <c r="X1312" t="inlineStr">
        <is>
          <t>aafc-aac</t>
        </is>
      </c>
      <c r="Y1312" t="inlineStr">
        <is>
          <t>Agriculture and Agri-Food Canada | Agriculture et Agroalimentaire Canada</t>
        </is>
      </c>
    </row>
    <row r="1313">
      <c r="A1313" t="inlineStr">
        <is>
          <t>T-2019-P4-0002</t>
        </is>
      </c>
      <c r="B1313" t="inlineStr">
        <is>
          <t>MPSES</t>
        </is>
      </c>
      <c r="C1313" t="inlineStr">
        <is>
          <t>Senior Policy Advisor</t>
        </is>
      </c>
      <c r="D1313" t="inlineStr">
        <is>
          <t>Conseiller principal des politiques</t>
        </is>
      </c>
      <c r="E1313" t="inlineStr">
        <is>
          <t>Michel-Antoine Renaud</t>
        </is>
      </c>
      <c r="F1313" t="inlineStr">
        <is>
          <t xml:space="preserve">To accompany the Minister for an investment announcement in organic trade  </t>
        </is>
      </c>
      <c r="G1313" t="inlineStr">
        <is>
          <t>Accompagner la ministre pour une annonce d'investissement dans le commerce des produits biologiques</t>
        </is>
      </c>
      <c r="H1313" s="1" t="n">
        <v>43630</v>
      </c>
      <c r="I1313" s="1" t="n">
        <v>43630</v>
      </c>
      <c r="J1313" t="inlineStr">
        <is>
          <t>Sherbrooke (Quebec) Canada</t>
        </is>
      </c>
      <c r="K1313" t="inlineStr">
        <is>
          <t>Sherbrooke (Québec) Canada</t>
        </is>
      </c>
      <c r="P1313" t="n">
        <v>0</v>
      </c>
      <c r="Q1313" t="n">
        <v>0</v>
      </c>
      <c r="R1313" t="n">
        <v>160.52</v>
      </c>
      <c r="S1313" t="n">
        <v>105.35</v>
      </c>
      <c r="T1313" t="n">
        <v>0</v>
      </c>
      <c r="U1313" t="n">
        <v>265.87</v>
      </c>
      <c r="X1313" t="inlineStr">
        <is>
          <t>aafc-aac</t>
        </is>
      </c>
      <c r="Y1313" t="inlineStr">
        <is>
          <t>Agriculture and Agri-Food Canada | Agriculture et Agroalimentaire Canada</t>
        </is>
      </c>
    </row>
    <row r="1314">
      <c r="A1314" t="inlineStr">
        <is>
          <t>T-2019-P4-0003</t>
        </is>
      </c>
      <c r="B1314" t="inlineStr">
        <is>
          <t>MPSES</t>
        </is>
      </c>
      <c r="C1314" t="inlineStr">
        <is>
          <t>Senior Policy Advisor</t>
        </is>
      </c>
      <c r="D1314" t="inlineStr">
        <is>
          <t>Conseiller principal des politiques</t>
        </is>
      </c>
      <c r="E1314" t="inlineStr">
        <is>
          <t>Michel-Antoine Renaud</t>
        </is>
      </c>
      <c r="F1314" t="inlineStr">
        <is>
          <t>To accompany the Minister for a meeting with pork and beef producers at the Sherbrooke Research and Development Centre</t>
        </is>
      </c>
      <c r="G1314" t="inlineStr">
        <is>
          <t>Accompagner la ministre à une rencontre avec des producteurs de porc et de bœuf au Centre de recherche et de développement de Sherbrooke</t>
        </is>
      </c>
      <c r="H1314" s="1" t="n">
        <v>43648</v>
      </c>
      <c r="I1314" s="1" t="n">
        <v>43648</v>
      </c>
      <c r="J1314" t="inlineStr">
        <is>
          <t>Sherbrooke (Quebec) Canada</t>
        </is>
      </c>
      <c r="K1314" t="inlineStr">
        <is>
          <t>Sherbrooke (Québec) Canada</t>
        </is>
      </c>
      <c r="P1314" t="n">
        <v>0</v>
      </c>
      <c r="Q1314" t="n">
        <v>118.07</v>
      </c>
      <c r="R1314" t="n">
        <v>0</v>
      </c>
      <c r="S1314" t="n">
        <v>70.75</v>
      </c>
      <c r="T1314" t="n">
        <v>0</v>
      </c>
      <c r="U1314" t="n">
        <v>188.82</v>
      </c>
      <c r="X1314" t="inlineStr">
        <is>
          <t>aafc-aac</t>
        </is>
      </c>
      <c r="Y1314" t="inlineStr">
        <is>
          <t>Agriculture and Agri-Food Canada | Agriculture et Agroalimentaire Canada</t>
        </is>
      </c>
    </row>
    <row r="1315">
      <c r="A1315" t="inlineStr">
        <is>
          <t>T-2019-P4-0004</t>
        </is>
      </c>
      <c r="B1315" t="inlineStr">
        <is>
          <t>SLE</t>
        </is>
      </c>
      <c r="C1315" t="inlineStr">
        <is>
          <t>Associate Deputy Minister</t>
        </is>
      </c>
      <c r="D1315" t="inlineStr">
        <is>
          <t>Sous-ministre déléguée</t>
        </is>
      </c>
      <c r="E1315" t="inlineStr">
        <is>
          <t>Annette Gibbons</t>
        </is>
      </c>
      <c r="F1315" t="inlineStr">
        <is>
          <t>To attend the British Columbia Outreach</t>
        </is>
      </c>
      <c r="G1315" t="inlineStr">
        <is>
          <t xml:space="preserve">Participer à la visite en Colombie-Britannique </t>
        </is>
      </c>
      <c r="H1315" s="1" t="n">
        <v>43653</v>
      </c>
      <c r="I1315" s="1" t="n">
        <v>43656</v>
      </c>
      <c r="J1315" t="inlineStr">
        <is>
          <t>Kelowna (British Columbia);Vancouver (British Columbia); Whistler (British Columbia) Canada</t>
        </is>
      </c>
      <c r="K1315" t="inlineStr">
        <is>
          <t>Kelowna (Colombie-Britannique);Vancouver (Colombie-Britannique); Whistler (Colombie-Britannique) Canada</t>
        </is>
      </c>
      <c r="P1315" t="n">
        <v>1841.56</v>
      </c>
      <c r="Q1315" t="n">
        <v>179.02</v>
      </c>
      <c r="R1315" t="n">
        <v>865.1900000000001</v>
      </c>
      <c r="S1315" t="n">
        <v>243.6</v>
      </c>
      <c r="T1315" t="n">
        <v>0</v>
      </c>
      <c r="U1315" t="n">
        <v>3129.37</v>
      </c>
      <c r="X1315" t="inlineStr">
        <is>
          <t>aafc-aac</t>
        </is>
      </c>
      <c r="Y1315" t="inlineStr">
        <is>
          <t>Agriculture and Agri-Food Canada | Agriculture et Agroalimentaire Canada</t>
        </is>
      </c>
    </row>
    <row r="1316">
      <c r="A1316" t="inlineStr">
        <is>
          <t>T-2019-P4-0005</t>
        </is>
      </c>
      <c r="B1316" t="inlineStr">
        <is>
          <t>SLE</t>
        </is>
      </c>
      <c r="C1316" t="inlineStr">
        <is>
          <t>Assistant Deputy Minister, Science and Technology Branch</t>
        </is>
      </c>
      <c r="D1316" t="inlineStr">
        <is>
          <t>Sous-ministre adjoint, Direction générale des sciences et de la technologie</t>
        </is>
      </c>
      <c r="E1316" t="inlineStr">
        <is>
          <t xml:space="preserve">Brian Gray </t>
        </is>
      </c>
      <c r="F1316" t="inlineStr">
        <is>
          <t>Outreach to the Reasearch and Development Centre, All-Staff meeting and meeting with Provincial Counterparts.</t>
        </is>
      </c>
      <c r="G1316" t="inlineStr">
        <is>
          <t xml:space="preserve">Visite au Centre de recherche et de développement, réunion du personnel et réunion avec des homologues du gouvernement provincial. </t>
        </is>
      </c>
      <c r="H1316" s="1" t="n">
        <v>43641</v>
      </c>
      <c r="I1316" s="1" t="n">
        <v>43643</v>
      </c>
      <c r="J1316" t="inlineStr">
        <is>
          <t xml:space="preserve">Saskatoon (Saskatchewan) Canada </t>
        </is>
      </c>
      <c r="K1316" t="inlineStr">
        <is>
          <t xml:space="preserve">Saskatoon (Saskatchewan) Canada </t>
        </is>
      </c>
      <c r="P1316" t="n">
        <v>1517.08</v>
      </c>
      <c r="Q1316" t="n">
        <v>133.4</v>
      </c>
      <c r="R1316" t="n">
        <v>340.7</v>
      </c>
      <c r="S1316" t="n">
        <v>285.45</v>
      </c>
      <c r="T1316" t="n">
        <v>0</v>
      </c>
      <c r="U1316" t="n">
        <v>2276.63</v>
      </c>
      <c r="X1316" t="inlineStr">
        <is>
          <t>aafc-aac</t>
        </is>
      </c>
      <c r="Y1316" t="inlineStr">
        <is>
          <t>Agriculture and Agri-Food Canada | Agriculture et Agroalimentaire Canada</t>
        </is>
      </c>
    </row>
    <row r="1317">
      <c r="A1317" t="inlineStr">
        <is>
          <t>T-2019-P4-0006</t>
        </is>
      </c>
      <c r="B1317" t="inlineStr">
        <is>
          <t>SLE</t>
        </is>
      </c>
      <c r="C1317" t="inlineStr">
        <is>
          <t>Assistant Deputy Minister, Science and Technology Branch</t>
        </is>
      </c>
      <c r="D1317" t="inlineStr">
        <is>
          <t>Sous-ministre adjoint, Direction générale des sciences et de la technologie</t>
        </is>
      </c>
      <c r="E1317" t="inlineStr">
        <is>
          <t xml:space="preserve">Brian Gray </t>
        </is>
      </c>
      <c r="F1317" t="inlineStr">
        <is>
          <t>Outreach to the Reasearch and Development Centre, All-Staff meeting and meeting with Provincial Counterparts.</t>
        </is>
      </c>
      <c r="G1317" t="inlineStr">
        <is>
          <t>Visite au Centre de recherche et de développement, réunion du personnel et réunion avec des homologues du gouvernement provincial.</t>
        </is>
      </c>
      <c r="H1317" s="1" t="n">
        <v>43663</v>
      </c>
      <c r="I1317" s="1" t="n">
        <v>43665</v>
      </c>
      <c r="J1317" t="inlineStr">
        <is>
          <t>Kentville and Truro (Nova Scotia) Canada</t>
        </is>
      </c>
      <c r="K1317" t="inlineStr">
        <is>
          <t>Kentville et Truro (Nouvelle-Écosse) Canada</t>
        </is>
      </c>
      <c r="P1317" t="n">
        <v>447.19</v>
      </c>
      <c r="Q1317" t="n">
        <v>245.87</v>
      </c>
      <c r="R1317" t="n">
        <v>460.16</v>
      </c>
      <c r="S1317" t="n">
        <v>305.15</v>
      </c>
      <c r="T1317" t="n">
        <v>0</v>
      </c>
      <c r="U1317" t="n">
        <v>1458.37</v>
      </c>
      <c r="X1317" t="inlineStr">
        <is>
          <t>aafc-aac</t>
        </is>
      </c>
      <c r="Y1317" t="inlineStr">
        <is>
          <t>Agriculture and Agri-Food Canada | Agriculture et Agroalimentaire Canada</t>
        </is>
      </c>
    </row>
    <row r="1318">
      <c r="A1318" t="inlineStr">
        <is>
          <t>T-2019-P4-0007</t>
        </is>
      </c>
      <c r="B1318" t="inlineStr">
        <is>
          <t>SLE</t>
        </is>
      </c>
      <c r="C1318" t="inlineStr">
        <is>
          <t>Assistant Deputy Minister, Corporate Management Branch</t>
        </is>
      </c>
      <c r="D1318" t="inlineStr">
        <is>
          <t>Sous-ministre adjoint, Direction générale de la gestion intégrée</t>
        </is>
      </c>
      <c r="E1318" t="inlineStr">
        <is>
          <t>Christine Walker</t>
        </is>
      </c>
      <c r="F1318" t="inlineStr">
        <is>
          <t xml:space="preserve">
National Public Service Week and Awards Ceremony 2019, staff Meeting</t>
        </is>
      </c>
      <c r="G1318" t="inlineStr">
        <is>
          <t>Semaine nationale de la fonction publique et cérémonie de remise des prix de 2019, réunion du personnel</t>
        </is>
      </c>
      <c r="H1318" s="1" t="n">
        <v>43624</v>
      </c>
      <c r="I1318" s="1" t="n">
        <v>43627</v>
      </c>
      <c r="J1318" t="inlineStr">
        <is>
          <t>Swift Current (Saskatchewan) Canada; Regina (Saskatchewan) Canada</t>
        </is>
      </c>
      <c r="K1318" t="inlineStr">
        <is>
          <t>Swift Current (Saskatchewan) Canada; Regina (Saskatchewan) Canada</t>
        </is>
      </c>
      <c r="P1318" t="n">
        <v>1071.3</v>
      </c>
      <c r="Q1318" t="n">
        <v>168.2</v>
      </c>
      <c r="R1318" t="n">
        <v>317.84</v>
      </c>
      <c r="S1318" t="n">
        <v>322.45</v>
      </c>
      <c r="T1318" t="n">
        <v>0</v>
      </c>
      <c r="U1318" t="n">
        <v>1879.79</v>
      </c>
      <c r="X1318" t="inlineStr">
        <is>
          <t>aafc-aac</t>
        </is>
      </c>
      <c r="Y1318" t="inlineStr">
        <is>
          <t>Agriculture and Agri-Food Canada | Agriculture et Agroalimentaire Canada</t>
        </is>
      </c>
    </row>
    <row r="1319">
      <c r="A1319" t="inlineStr">
        <is>
          <t>T-2019-P4-0008</t>
        </is>
      </c>
      <c r="B1319" t="inlineStr">
        <is>
          <t>SLE</t>
        </is>
      </c>
      <c r="C1319" t="inlineStr">
        <is>
          <t>Assistant Deputy Minister, Market and Industry Services Branch</t>
        </is>
      </c>
      <c r="D1319" t="inlineStr">
        <is>
          <t>Sous-ministre adjoint, Direction générale des services à l'industrie et aux marchés</t>
        </is>
      </c>
      <c r="E1319" t="inlineStr">
        <is>
          <t>Frédéric Seppey</t>
        </is>
      </c>
      <c r="F1319" t="inlineStr">
        <is>
          <t>To attend the Conference de Montreal, visit regional staff and attend meetings</t>
        </is>
      </c>
      <c r="G1319" t="inlineStr">
        <is>
          <t>Participer à la Conférence de Montréal, rencontrer des employés de la région et participer à des réunions</t>
        </is>
      </c>
      <c r="H1319" s="1" t="n">
        <v>43626</v>
      </c>
      <c r="I1319" s="1" t="n">
        <v>43629</v>
      </c>
      <c r="J1319" t="inlineStr">
        <is>
          <t>Montreal (Quebec) Canada</t>
        </is>
      </c>
      <c r="K1319" t="inlineStr">
        <is>
          <t>Montréal (Québec) Canada</t>
        </is>
      </c>
      <c r="Q1319" t="n">
        <v>324.28</v>
      </c>
      <c r="R1319" t="n">
        <v>1053.18</v>
      </c>
      <c r="S1319" t="n">
        <v>281.85</v>
      </c>
      <c r="U1319" t="n">
        <v>1659.31</v>
      </c>
      <c r="X1319" t="inlineStr">
        <is>
          <t>aafc-aac</t>
        </is>
      </c>
      <c r="Y1319" t="inlineStr">
        <is>
          <t>Agriculture and Agri-Food Canada | Agriculture et Agroalimentaire Canada</t>
        </is>
      </c>
    </row>
    <row r="1320">
      <c r="A1320" t="inlineStr">
        <is>
          <t>T-2019-P4-0009</t>
        </is>
      </c>
      <c r="B1320" t="inlineStr">
        <is>
          <t>SLE</t>
        </is>
      </c>
      <c r="C1320" t="inlineStr">
        <is>
          <t>Associate Assistant Deputy Mininister, Science and Technology Branch</t>
        </is>
      </c>
      <c r="D1320" t="inlineStr">
        <is>
          <t>Sous-ministre adjoint délégué, Direction générale des sciences et de la technologie</t>
        </is>
      </c>
      <c r="E1320" t="inlineStr">
        <is>
          <t>Gilles Saindon</t>
        </is>
      </c>
      <c r="F1320" t="inlineStr">
        <is>
          <t>Outreach to Quebec Research and Development Centre &amp; Normandin Farm</t>
        </is>
      </c>
      <c r="G1320" t="inlineStr">
        <is>
          <t>Visite au Centre de recherche et de développement de Québec et à la Ferme Normandin</t>
        </is>
      </c>
      <c r="H1320" s="1" t="n">
        <v>43633</v>
      </c>
      <c r="I1320" s="1" t="n">
        <v>43636</v>
      </c>
      <c r="J1320" t="inlineStr">
        <is>
          <t>Quebec (Quebec) Canada</t>
        </is>
      </c>
      <c r="K1320" t="inlineStr">
        <is>
          <t>Québec (Québec) Canada</t>
        </is>
      </c>
      <c r="P1320" t="n">
        <v>620.21</v>
      </c>
      <c r="Q1320" t="n">
        <v>126</v>
      </c>
      <c r="R1320" t="n">
        <v>537.52</v>
      </c>
      <c r="S1320" t="n">
        <v>393.6</v>
      </c>
      <c r="T1320" t="n">
        <v>0</v>
      </c>
      <c r="U1320" t="n">
        <v>1677.33</v>
      </c>
      <c r="X1320" t="inlineStr">
        <is>
          <t>aafc-aac</t>
        </is>
      </c>
      <c r="Y1320" t="inlineStr">
        <is>
          <t>Agriculture and Agri-Food Canada | Agriculture et Agroalimentaire Canada</t>
        </is>
      </c>
    </row>
    <row r="1321">
      <c r="A1321" t="inlineStr">
        <is>
          <t>T-2019-P4-0010</t>
        </is>
      </c>
      <c r="B1321" t="inlineStr">
        <is>
          <t>SLE</t>
        </is>
      </c>
      <c r="C1321" t="inlineStr">
        <is>
          <t>Associate Assistant Deputy Mininister, Science and Technology Branch</t>
        </is>
      </c>
      <c r="D1321" t="inlineStr">
        <is>
          <t>Sous-ministre adjoint délégué, Direction générale des sciences et de la technologie</t>
        </is>
      </c>
      <c r="E1321" t="inlineStr">
        <is>
          <t>Gilles Saindon</t>
        </is>
      </c>
      <c r="F1321" t="inlineStr">
        <is>
          <t>Outreach to Guelph Research and Development Centre &amp; Vineland</t>
        </is>
      </c>
      <c r="G1321" t="inlineStr">
        <is>
          <t>Visite au Centre de recherche et de développement de Guelph et à Vineland</t>
        </is>
      </c>
      <c r="H1321" s="1" t="n">
        <v>43641</v>
      </c>
      <c r="I1321" s="1" t="n">
        <v>43643</v>
      </c>
      <c r="J1321" t="inlineStr">
        <is>
          <t>Guelph and Vineland (Ontario) Canada</t>
        </is>
      </c>
      <c r="K1321" t="inlineStr">
        <is>
          <t>Guelph et Vineland (Ontario) Canada</t>
        </is>
      </c>
      <c r="P1321" t="n">
        <v>650.99</v>
      </c>
      <c r="Q1321" t="n">
        <v>220</v>
      </c>
      <c r="R1321" t="n">
        <v>332.22</v>
      </c>
      <c r="S1321" t="n">
        <v>244.85</v>
      </c>
      <c r="T1321" t="n">
        <v>0</v>
      </c>
      <c r="U1321" t="n">
        <v>1448.06</v>
      </c>
      <c r="X1321" t="inlineStr">
        <is>
          <t>aafc-aac</t>
        </is>
      </c>
      <c r="Y1321" t="inlineStr">
        <is>
          <t>Agriculture and Agri-Food Canada | Agriculture et Agroalimentaire Canada</t>
        </is>
      </c>
    </row>
    <row r="1322">
      <c r="A1322" t="inlineStr">
        <is>
          <t>T-2019-P4-0011</t>
        </is>
      </c>
      <c r="B1322" t="inlineStr">
        <is>
          <t>SLE</t>
        </is>
      </c>
      <c r="C1322" t="inlineStr">
        <is>
          <t>Associate Assistant Deputy Mininister, Science and Technology Branch</t>
        </is>
      </c>
      <c r="D1322" t="inlineStr">
        <is>
          <t>Sous-ministre adjoint délégué, Direction générale des sciences et de la technologie</t>
        </is>
      </c>
      <c r="E1322" t="inlineStr">
        <is>
          <t>Gilles Saindon</t>
        </is>
      </c>
      <c r="F1322" t="inlineStr">
        <is>
          <t>Executive Leadership Development Program - Block 6</t>
        </is>
      </c>
      <c r="G1322" t="inlineStr">
        <is>
          <t>Programme de développement du leadership pour les cadres supérieurs - Bloc 6</t>
        </is>
      </c>
      <c r="H1322" s="1" t="n">
        <v>43655</v>
      </c>
      <c r="I1322" s="1" t="n">
        <v>43658</v>
      </c>
      <c r="J1322" t="inlineStr">
        <is>
          <t>Iqaluit (Nunavut) Canada</t>
        </is>
      </c>
      <c r="K1322" t="inlineStr">
        <is>
          <t>Iqaluit (Nunavut) Canada</t>
        </is>
      </c>
      <c r="P1322" t="n">
        <v>1165.31</v>
      </c>
      <c r="Q1322" t="n">
        <v>186</v>
      </c>
      <c r="R1322" t="n">
        <v>708.75</v>
      </c>
      <c r="S1322" t="n">
        <v>569.95</v>
      </c>
      <c r="T1322" t="n">
        <v>0</v>
      </c>
      <c r="U1322" t="n">
        <v>2630.01</v>
      </c>
      <c r="X1322" t="inlineStr">
        <is>
          <t>aafc-aac</t>
        </is>
      </c>
      <c r="Y1322" t="inlineStr">
        <is>
          <t>Agriculture and Agri-Food Canada | Agriculture et Agroalimentaire Canada</t>
        </is>
      </c>
    </row>
    <row r="1323">
      <c r="A1323" t="inlineStr">
        <is>
          <t>T-2019-P4-0012</t>
        </is>
      </c>
      <c r="B1323" t="inlineStr">
        <is>
          <t>SLE</t>
        </is>
      </c>
      <c r="C1323" t="inlineStr">
        <is>
          <t>Assistant Deputy Minister, Public Affairs Branch</t>
        </is>
      </c>
      <c r="D1323" t="inlineStr">
        <is>
          <t>Sous-ministre adjoint, Direction générale des affaires publiques</t>
        </is>
      </c>
      <c r="E1323" t="inlineStr">
        <is>
          <t>Mary Dila</t>
        </is>
      </c>
      <c r="F1323" t="inlineStr">
        <is>
          <t>To attend the Annual Conference of Federal-Provincial-Territorial Ministers and Deputy Ministers of Agriculture</t>
        </is>
      </c>
      <c r="G1323" t="inlineStr">
        <is>
          <t>Assister à la Conférence annuelle des ministres et des sous-ministres fédéraux, provinciaux et territoriaux de l’Agriculture</t>
        </is>
      </c>
      <c r="H1323" s="1" t="n">
        <v>43662</v>
      </c>
      <c r="I1323" s="1" t="n">
        <v>43665</v>
      </c>
      <c r="J1323" t="inlineStr">
        <is>
          <t>Quebec (Quebec) Canada</t>
        </is>
      </c>
      <c r="K1323" t="inlineStr">
        <is>
          <t>Québec (Québec) Canada</t>
        </is>
      </c>
      <c r="P1323" t="n">
        <v>318.98</v>
      </c>
      <c r="Q1323" t="n">
        <v>0</v>
      </c>
      <c r="R1323" t="n">
        <v>996.03</v>
      </c>
      <c r="S1323" t="n">
        <v>241.25</v>
      </c>
      <c r="T1323" t="n">
        <v>375</v>
      </c>
      <c r="U1323" t="n">
        <v>1931.26</v>
      </c>
      <c r="V1323" t="inlineStr">
        <is>
          <t>Airfare credit was used to partially pay for the flight.  Other expenses are conference fees.</t>
        </is>
      </c>
      <c r="W1323" t="inlineStr">
        <is>
          <t>Un crédit de billet d'avion a été utilisé pour payer une partie du vol.  Les autres dépenses sont les frais d'inscriptions à la conférence.</t>
        </is>
      </c>
      <c r="X1323" t="inlineStr">
        <is>
          <t>aafc-aac</t>
        </is>
      </c>
      <c r="Y1323" t="inlineStr">
        <is>
          <t>Agriculture and Agri-Food Canada | Agriculture et Agroalimentaire Canada</t>
        </is>
      </c>
    </row>
    <row r="1324">
      <c r="A1324" t="inlineStr">
        <is>
          <t>T-2019-P4-0013</t>
        </is>
      </c>
      <c r="B1324" t="inlineStr">
        <is>
          <t>SLE</t>
        </is>
      </c>
      <c r="C1324" t="inlineStr">
        <is>
          <t>Chief Information Officer, Information Systems Branch</t>
        </is>
      </c>
      <c r="D1324" t="inlineStr">
        <is>
          <t>Dirigeant principal de l'information, Direction générale des systèmes information</t>
        </is>
      </c>
      <c r="E1324" t="inlineStr">
        <is>
          <t>Michel Lessard</t>
        </is>
      </c>
      <c r="F1324" t="inlineStr">
        <is>
          <t>Outreach to the Reasearch and Development Centre, All-Staff meeting and meeting with Provincial Counterparts.</t>
        </is>
      </c>
      <c r="G1324" t="inlineStr">
        <is>
          <t>Visite au Centre de recherche et de développement, réunion du personnel et réunion avec des homologues du gouvernement provincial.</t>
        </is>
      </c>
      <c r="H1324" s="1" t="n">
        <v>43633</v>
      </c>
      <c r="I1324" s="1" t="n">
        <v>43635</v>
      </c>
      <c r="J1324" t="inlineStr">
        <is>
          <t>Fredericton and Moncton (New Brunswick) Canada</t>
        </is>
      </c>
      <c r="K1324" t="inlineStr">
        <is>
          <t>Fredericton et Moncton (Nouveau-Brunswick) Canada</t>
        </is>
      </c>
      <c r="P1324" t="n">
        <v>508.15</v>
      </c>
      <c r="Q1324" t="n">
        <v>296.6</v>
      </c>
      <c r="R1324" t="n">
        <v>353.5</v>
      </c>
      <c r="S1324" t="n">
        <v>193.4</v>
      </c>
      <c r="U1324" t="n">
        <v>1351.65</v>
      </c>
      <c r="X1324" t="inlineStr">
        <is>
          <t>aafc-aac</t>
        </is>
      </c>
      <c r="Y1324" t="inlineStr">
        <is>
          <t>Agriculture and Agri-Food Canada | Agriculture et Agroalimentaire Canada</t>
        </is>
      </c>
    </row>
    <row r="1325">
      <c r="A1325" t="inlineStr">
        <is>
          <t>T-2019-P4-0014</t>
        </is>
      </c>
      <c r="B1325" t="inlineStr">
        <is>
          <t>SLE</t>
        </is>
      </c>
      <c r="C1325" t="inlineStr">
        <is>
          <t>Assistant Deputy Minister, Strategic Policy Branch</t>
        </is>
      </c>
      <c r="D1325" t="inlineStr">
        <is>
          <t>Sous-ministre adjoint, Direction générale des politiques stratégiques</t>
        </is>
      </c>
      <c r="E1325" t="inlineStr">
        <is>
          <t>Tom Rosser</t>
        </is>
      </c>
      <c r="F1325" t="inlineStr">
        <is>
          <t>Launch of the Food Policy</t>
        </is>
      </c>
      <c r="G1325" t="inlineStr">
        <is>
          <t>Lancement de la Politique alimentaire</t>
        </is>
      </c>
      <c r="H1325" s="1" t="n">
        <v>43632</v>
      </c>
      <c r="I1325" s="1" t="n">
        <v>43633</v>
      </c>
      <c r="J1325" t="inlineStr">
        <is>
          <t>Montreal (Quebec) Canada</t>
        </is>
      </c>
      <c r="K1325" t="inlineStr">
        <is>
          <t>Montréal (Québec) Canada</t>
        </is>
      </c>
      <c r="Q1325" t="n">
        <v>342.65</v>
      </c>
      <c r="R1325" t="n">
        <v>183.26</v>
      </c>
      <c r="S1325" t="n">
        <v>125.85</v>
      </c>
      <c r="U1325" t="n">
        <v>651.76</v>
      </c>
      <c r="X1325" t="inlineStr">
        <is>
          <t>aafc-aac</t>
        </is>
      </c>
      <c r="Y1325" t="inlineStr">
        <is>
          <t>Agriculture and Agri-Food Canada | Agriculture et Agroalimentaire Canada</t>
        </is>
      </c>
    </row>
    <row r="1326">
      <c r="A1326" t="inlineStr">
        <is>
          <t>T-2019-P4-0015</t>
        </is>
      </c>
      <c r="B1326" t="inlineStr">
        <is>
          <t>SLE</t>
        </is>
      </c>
      <c r="C1326" t="inlineStr">
        <is>
          <t>Assistant Deputy Minister, Strategic Policy Branch</t>
        </is>
      </c>
      <c r="D1326" t="inlineStr">
        <is>
          <t>Sous-ministre adjoint, Direction générale des politiques stratégiques</t>
        </is>
      </c>
      <c r="E1326" t="inlineStr">
        <is>
          <t>Tom Rosser</t>
        </is>
      </c>
      <c r="F1326" t="inlineStr">
        <is>
          <t>Meeting with staff located in Winnipeg</t>
        </is>
      </c>
      <c r="G1326" t="inlineStr">
        <is>
          <t>Rencontrer le personnel situé à Winnipeg</t>
        </is>
      </c>
      <c r="H1326" s="1" t="n">
        <v>43643</v>
      </c>
      <c r="I1326" s="1" t="n">
        <v>43644</v>
      </c>
      <c r="J1326" t="inlineStr">
        <is>
          <t>Winnipeg (Manitoba) Canada</t>
        </is>
      </c>
      <c r="K1326" t="inlineStr">
        <is>
          <t>Winnipeg (Manitoba) Canada</t>
        </is>
      </c>
      <c r="P1326" t="n">
        <v>1117.83</v>
      </c>
      <c r="Q1326" t="n">
        <v>135</v>
      </c>
      <c r="R1326" t="n">
        <v>147.81</v>
      </c>
      <c r="S1326" t="n">
        <v>176.5</v>
      </c>
      <c r="U1326" t="n">
        <v>1577.14</v>
      </c>
      <c r="X1326" t="inlineStr">
        <is>
          <t>aafc-aac</t>
        </is>
      </c>
      <c r="Y1326" t="inlineStr">
        <is>
          <t>Agriculture and Agri-Food Canada | Agriculture et Agroalimentaire Canada</t>
        </is>
      </c>
    </row>
    <row r="1327">
      <c r="A1327" t="inlineStr">
        <is>
          <t>T-2019-P5-0001</t>
        </is>
      </c>
      <c r="B1327" t="inlineStr">
        <is>
          <t>MPSES</t>
        </is>
      </c>
      <c r="C1327" t="inlineStr">
        <is>
          <t xml:space="preserve">Minister </t>
        </is>
      </c>
      <c r="D1327" t="inlineStr">
        <is>
          <t>Ministre</t>
        </is>
      </c>
      <c r="E1327" t="inlineStr">
        <is>
          <t>Marie-Claude Bibeau</t>
        </is>
      </c>
      <c r="F1327" t="inlineStr">
        <is>
          <t>To attend the Western Outreach</t>
        </is>
      </c>
      <c r="G1327" t="inlineStr">
        <is>
          <t xml:space="preserve">Pour assister à une campagne de sensibilisation dans les provinces de l'Ouest </t>
        </is>
      </c>
      <c r="H1327" s="1" t="n">
        <v>43649</v>
      </c>
      <c r="I1327" s="1" t="n">
        <v>43662</v>
      </c>
      <c r="J1327" t="inlineStr">
        <is>
          <t>Vancouver (British Columbia) Canada; Victoria (British Columbia) Canada; Whitehorse (Yukon) Canada; Calgary (Alberta) Canada; Edmonton (Alberta) Canada; Saskatoon (Saskatchewan) Canada</t>
        </is>
      </c>
      <c r="K1327" t="inlineStr">
        <is>
          <t>Vancouver (Colombie-Britannique) Canada; Victoria (Colombie-Britannique) Canada; Whitehorse (Yukon) Canada; Calgary (Alberta) Canada; Edmonton (Alberta) Canada; Saskatoon (Saskatchewan) Canada</t>
        </is>
      </c>
      <c r="P1327" t="n">
        <v>3913.46</v>
      </c>
      <c r="Q1327" t="n">
        <v>320.7</v>
      </c>
      <c r="R1327" t="n">
        <v>2375.51</v>
      </c>
      <c r="S1327" t="n">
        <v>1067.45</v>
      </c>
      <c r="T1327" t="n">
        <v>0</v>
      </c>
      <c r="U1327" t="n">
        <v>7677.12</v>
      </c>
      <c r="V1327" t="inlineStr">
        <is>
          <t>Airfare credit anticipated which will be applied to future travel</t>
        </is>
      </c>
      <c r="W1327" t="inlineStr">
        <is>
          <t>Crédit de billet d'avion prévu qui sera appliqué aux voyages futurs</t>
        </is>
      </c>
      <c r="X1327" t="inlineStr">
        <is>
          <t>aafc-aac</t>
        </is>
      </c>
      <c r="Y1327" t="inlineStr">
        <is>
          <t>Agriculture and Agri-Food Canada | Agriculture et Agroalimentaire Canada</t>
        </is>
      </c>
    </row>
    <row r="1328">
      <c r="A1328" t="inlineStr">
        <is>
          <t>T-2019-P5-0002</t>
        </is>
      </c>
      <c r="B1328" t="inlineStr">
        <is>
          <t>MPSES</t>
        </is>
      </c>
      <c r="C1328" t="inlineStr">
        <is>
          <t xml:space="preserve">Minister </t>
        </is>
      </c>
      <c r="D1328" t="inlineStr">
        <is>
          <t>Ministre</t>
        </is>
      </c>
      <c r="E1328" t="inlineStr">
        <is>
          <t>Marie-Claude Bibeau</t>
        </is>
      </c>
      <c r="F1328" t="inlineStr">
        <is>
          <t>To attend the Annual Conference of Federal-Provincial-Territorial Ministers and Deputy Ministers of Agriculture</t>
        </is>
      </c>
      <c r="G1328" t="inlineStr">
        <is>
          <t>Participer à la Conférence annuelle des ministres et des sous-ministres fédéraux, provinciaux et territoriaux de l’Agriculture</t>
        </is>
      </c>
      <c r="H1328" s="1" t="n">
        <v>43662</v>
      </c>
      <c r="I1328" s="1" t="n">
        <v>43665</v>
      </c>
      <c r="J1328" t="inlineStr">
        <is>
          <t>Quebec (Quebec) Canada</t>
        </is>
      </c>
      <c r="K1328" t="inlineStr">
        <is>
          <t>Québec (Québec) Canada</t>
        </is>
      </c>
      <c r="P1328" t="n">
        <v>0</v>
      </c>
      <c r="Q1328" t="n">
        <v>0</v>
      </c>
      <c r="R1328" t="n">
        <v>996.03</v>
      </c>
      <c r="S1328" t="n">
        <v>173.3</v>
      </c>
      <c r="T1328" t="n">
        <v>375</v>
      </c>
      <c r="U1328" t="n">
        <v>1544.32</v>
      </c>
      <c r="V1328" t="inlineStr">
        <is>
          <t>Other expenses: Conference fee</t>
        </is>
      </c>
      <c r="W1328" t="inlineStr">
        <is>
          <t>Autres dépenses: Frais d'inscription à la  conférence</t>
        </is>
      </c>
      <c r="X1328" t="inlineStr">
        <is>
          <t>aafc-aac</t>
        </is>
      </c>
      <c r="Y1328" t="inlineStr">
        <is>
          <t>Agriculture and Agri-Food Canada | Agriculture et Agroalimentaire Canada</t>
        </is>
      </c>
    </row>
    <row r="1329">
      <c r="A1329" t="inlineStr">
        <is>
          <t>T-2019-P5-0003</t>
        </is>
      </c>
      <c r="B1329" t="inlineStr">
        <is>
          <t>MPSES</t>
        </is>
      </c>
      <c r="C1329" t="inlineStr">
        <is>
          <t xml:space="preserve">Minister </t>
        </is>
      </c>
      <c r="D1329" t="inlineStr">
        <is>
          <t>Ministre</t>
        </is>
      </c>
      <c r="E1329" t="inlineStr">
        <is>
          <t>Marie-Claude Bibeau</t>
        </is>
      </c>
      <c r="F1329" t="inlineStr">
        <is>
          <t>To attend the Ontario Outreach and make AgriMarketing and Dairy Processing Investment Fund announcements</t>
        </is>
      </c>
      <c r="G1329" t="inlineStr">
        <is>
          <t xml:space="preserve">Pour assister à la campagne de sensibilisation en Ontario et faire des annonces pour Agrimarketing et les Fonds d'investissement dans la transformation des produits laitiers </t>
        </is>
      </c>
      <c r="H1329" s="1" t="n">
        <v>43669</v>
      </c>
      <c r="I1329" s="1" t="n">
        <v>43671</v>
      </c>
      <c r="J1329" t="inlineStr">
        <is>
          <t>London (Ontario) Canada; Guelph (Ontario) Canada</t>
        </is>
      </c>
      <c r="K1329" t="inlineStr">
        <is>
          <t>London (Ontario) Canada; Guelph (Ontario) Canada</t>
        </is>
      </c>
      <c r="P1329" t="n">
        <v>879.0599999999999</v>
      </c>
      <c r="Q1329" t="n">
        <v>0</v>
      </c>
      <c r="R1329" t="n">
        <v>316.13</v>
      </c>
      <c r="S1329" t="n">
        <v>234.8</v>
      </c>
      <c r="T1329" t="n">
        <v>0</v>
      </c>
      <c r="U1329" t="n">
        <v>1429.99</v>
      </c>
      <c r="X1329" t="inlineStr">
        <is>
          <t>aafc-aac</t>
        </is>
      </c>
      <c r="Y1329" t="inlineStr">
        <is>
          <t>Agriculture and Agri-Food Canada | Agriculture et Agroalimentaire Canada</t>
        </is>
      </c>
    </row>
    <row r="1330">
      <c r="A1330" t="inlineStr">
        <is>
          <t>T-2019-P5-0004</t>
        </is>
      </c>
      <c r="B1330" t="inlineStr">
        <is>
          <t>MPSES</t>
        </is>
      </c>
      <c r="C1330" t="inlineStr">
        <is>
          <t xml:space="preserve">Minister </t>
        </is>
      </c>
      <c r="D1330" t="inlineStr">
        <is>
          <t>Ministre</t>
        </is>
      </c>
      <c r="E1330" t="inlineStr">
        <is>
          <t>Marie-Claude Bibeau</t>
        </is>
      </c>
      <c r="F1330" t="inlineStr">
        <is>
          <t>To attend the Atlantic Outreach</t>
        </is>
      </c>
      <c r="G1330" t="inlineStr">
        <is>
          <t>Pour assister à une campagne de sensibilisation dans les provinces de l'Atlantique</t>
        </is>
      </c>
      <c r="H1330" s="1" t="n">
        <v>43688</v>
      </c>
      <c r="I1330" s="1" t="n">
        <v>43691</v>
      </c>
      <c r="J1330" t="inlineStr">
        <is>
          <t>Wolfville (Nova Scotia) Canada; Halifax (Nova Scotia) Canada; Port Hood (Nova Scotia) Canada</t>
        </is>
      </c>
      <c r="K1330" t="inlineStr">
        <is>
          <t>Wolfville (Nouvelle-Écosse) Canada; Halifax (Nouvelle-Écosse) Canada; Port Hood (Nouvelle-Écosse) Canada</t>
        </is>
      </c>
      <c r="P1330" t="n">
        <v>1087.31</v>
      </c>
      <c r="Q1330" t="n">
        <v>0</v>
      </c>
      <c r="R1330" t="n">
        <v>596.37</v>
      </c>
      <c r="S1330" t="n">
        <v>281.45</v>
      </c>
      <c r="T1330" t="n">
        <v>0</v>
      </c>
      <c r="U1330" t="n">
        <v>1965.13</v>
      </c>
      <c r="X1330" t="inlineStr">
        <is>
          <t>aafc-aac</t>
        </is>
      </c>
      <c r="Y1330" t="inlineStr">
        <is>
          <t>Agriculture and Agri-Food Canada | Agriculture et Agroalimentaire Canada</t>
        </is>
      </c>
    </row>
    <row r="1331">
      <c r="A1331" t="inlineStr">
        <is>
          <t>T-2019-P5-0005</t>
        </is>
      </c>
      <c r="B1331" t="inlineStr">
        <is>
          <t>MPSES</t>
        </is>
      </c>
      <c r="C1331" t="inlineStr">
        <is>
          <t>Chief of Staff</t>
        </is>
      </c>
      <c r="D1331" t="inlineStr">
        <is>
          <t>Chef de cabinet</t>
        </is>
      </c>
      <c r="E1331" t="inlineStr">
        <is>
          <t>Alison Porter</t>
        </is>
      </c>
      <c r="F1331" t="inlineStr">
        <is>
          <t>To accompany the Minister for an announcement at the Dairy Farmers of Canada Annual General ; To accompany the Minister to the Annual Conference of Federal-Provincial-Territorial Ministers and Deputy Ministers of Agriculture</t>
        </is>
      </c>
      <c r="G1331" t="inlineStr">
        <is>
          <t>Accompagner la Ministre pour une annonce à l'assemblée générale annuelle des Producteurs laitiers du Canada; Pour accompagner la Ministre à la Conférence annuelle des ministres et des sous-ministres fédéraux, provinciaux et territoriaux de l’Agriculture</t>
        </is>
      </c>
      <c r="H1331" s="1" t="n">
        <v>43663</v>
      </c>
      <c r="I1331" s="1" t="n">
        <v>43665</v>
      </c>
      <c r="J1331" t="inlineStr">
        <is>
          <t>Saskatoon (Saskatchewan) Canada; Quebec (Quebec) Canada</t>
        </is>
      </c>
      <c r="K1331" t="inlineStr">
        <is>
          <t>Saskatoon (Saskatchewan) Canada; Québec (Québec) Canada</t>
        </is>
      </c>
      <c r="P1331" t="n">
        <v>1908.43</v>
      </c>
      <c r="Q1331" t="n">
        <v>508.7</v>
      </c>
      <c r="R1331" t="n">
        <v>1134.17</v>
      </c>
      <c r="S1331" t="n">
        <v>349.8</v>
      </c>
      <c r="T1331" t="n">
        <v>375</v>
      </c>
      <c r="U1331" t="n">
        <v>4276.1</v>
      </c>
      <c r="V1331" t="inlineStr">
        <is>
          <t xml:space="preserve">Other expenses: Conference fee </t>
        </is>
      </c>
      <c r="W1331" t="inlineStr">
        <is>
          <t>Autres dépenses: Frais d'inscription à la  conférence</t>
        </is>
      </c>
      <c r="X1331" t="inlineStr">
        <is>
          <t>aafc-aac</t>
        </is>
      </c>
      <c r="Y1331" t="inlineStr">
        <is>
          <t>Agriculture and Agri-Food Canada | Agriculture et Agroalimentaire Canada</t>
        </is>
      </c>
    </row>
    <row r="1332">
      <c r="A1332" t="inlineStr">
        <is>
          <t>T-2019-P5-0006</t>
        </is>
      </c>
      <c r="B1332" t="inlineStr">
        <is>
          <t>MPSES</t>
        </is>
      </c>
      <c r="C1332" t="inlineStr">
        <is>
          <t>Director of Policy</t>
        </is>
      </c>
      <c r="D1332" t="inlineStr">
        <is>
          <t>Directeur des politiques</t>
        </is>
      </c>
      <c r="E1332" t="inlineStr">
        <is>
          <t>Dan Lussier</t>
        </is>
      </c>
      <c r="F1332" t="inlineStr">
        <is>
          <t>To accompany the Minister to the Annual Conference of Federal-Provincial-Territorial Ministers and Deputy Ministers of Agriculture</t>
        </is>
      </c>
      <c r="G1332" t="inlineStr">
        <is>
          <t>Accompagner la Ministre à la Conférence annuelle des ministres et des sous-ministres fédéraux, provinciaux et territoriaux de l’Agriculture</t>
        </is>
      </c>
      <c r="H1332" s="1" t="n">
        <v>43662</v>
      </c>
      <c r="I1332" s="1" t="n">
        <v>43665</v>
      </c>
      <c r="J1332" t="inlineStr">
        <is>
          <t>Quebec (Quebec) Canada</t>
        </is>
      </c>
      <c r="K1332" t="inlineStr">
        <is>
          <t>Québec (Québec) Canada</t>
        </is>
      </c>
      <c r="P1332" t="n">
        <v>0</v>
      </c>
      <c r="Q1332" t="n">
        <v>441.92</v>
      </c>
      <c r="R1332" t="n">
        <v>960.33</v>
      </c>
      <c r="S1332" t="n">
        <v>261.35</v>
      </c>
      <c r="T1332" t="n">
        <v>375</v>
      </c>
      <c r="U1332" t="n">
        <v>2038.6</v>
      </c>
      <c r="V1332" t="inlineStr">
        <is>
          <t xml:space="preserve">Other expenses: Conference fee </t>
        </is>
      </c>
      <c r="W1332" t="inlineStr">
        <is>
          <t>Autres dépenses: Frais d'inscription à la  conférence</t>
        </is>
      </c>
      <c r="X1332" t="inlineStr">
        <is>
          <t>aafc-aac</t>
        </is>
      </c>
      <c r="Y1332" t="inlineStr">
        <is>
          <t>Agriculture and Agri-Food Canada | Agriculture et Agroalimentaire Canada</t>
        </is>
      </c>
    </row>
    <row r="1333">
      <c r="A1333" t="inlineStr">
        <is>
          <t>T-2019-P5-0007</t>
        </is>
      </c>
      <c r="B1333" t="inlineStr">
        <is>
          <t>MPSES</t>
        </is>
      </c>
      <c r="C1333" t="inlineStr">
        <is>
          <t>Director of Policy</t>
        </is>
      </c>
      <c r="D1333" t="inlineStr">
        <is>
          <t>Directeur des politiques</t>
        </is>
      </c>
      <c r="E1333" t="inlineStr">
        <is>
          <t>Dan Lussier</t>
        </is>
      </c>
      <c r="F1333" t="inlineStr">
        <is>
          <t>To accompany the Minister for a roundtable with Stakeholders</t>
        </is>
      </c>
      <c r="G1333" t="inlineStr">
        <is>
          <t>Accompagner la Ministre à une table ronde avec des intervenants clés</t>
        </is>
      </c>
      <c r="H1333" s="1" t="n">
        <v>43699</v>
      </c>
      <c r="I1333" s="1" t="n">
        <v>43699</v>
      </c>
      <c r="J1333" t="inlineStr">
        <is>
          <t>Montreal (Quebec) Canada</t>
        </is>
      </c>
      <c r="K1333" t="inlineStr">
        <is>
          <t>Montréal (Québec) Canada</t>
        </is>
      </c>
      <c r="P1333" t="n">
        <v>0</v>
      </c>
      <c r="Q1333" t="n">
        <v>250.28</v>
      </c>
      <c r="R1333" t="n">
        <v>0</v>
      </c>
      <c r="S1333" t="n">
        <v>71.15000000000001</v>
      </c>
      <c r="T1333" t="n">
        <v>0</v>
      </c>
      <c r="U1333" t="n">
        <v>321.43</v>
      </c>
      <c r="X1333" t="inlineStr">
        <is>
          <t>aafc-aac</t>
        </is>
      </c>
      <c r="Y1333" t="inlineStr">
        <is>
          <t>Agriculture and Agri-Food Canada | Agriculture et Agroalimentaire Canada</t>
        </is>
      </c>
    </row>
    <row r="1334">
      <c r="A1334" t="inlineStr">
        <is>
          <t>T-2019-P5-0008</t>
        </is>
      </c>
      <c r="B1334" t="inlineStr">
        <is>
          <t>MPSES</t>
        </is>
      </c>
      <c r="C1334" t="inlineStr">
        <is>
          <t>Special Assistant</t>
        </is>
      </c>
      <c r="D1334" t="inlineStr">
        <is>
          <t>Assistant Spécial</t>
        </is>
      </c>
      <c r="E1334" t="inlineStr">
        <is>
          <t>Jean-Sébastien Comeau</t>
        </is>
      </c>
      <c r="F1334" t="inlineStr">
        <is>
          <t>To accompany the Parliamentary Secretary to the Saint-Hyacinthe Expo Agricole</t>
        </is>
      </c>
      <c r="G1334" t="inlineStr">
        <is>
          <t>Accompagner le Secrétaire parlementaire à l'Expo agricole de Saint-Hyacinthe</t>
        </is>
      </c>
      <c r="H1334" s="1" t="n">
        <v>43669</v>
      </c>
      <c r="I1334" s="1" t="n">
        <v>43669</v>
      </c>
      <c r="J1334" t="inlineStr">
        <is>
          <t>Saint-Hyacinthe (Quebec) Canada</t>
        </is>
      </c>
      <c r="K1334" t="inlineStr">
        <is>
          <t>Saint-Hyacinthe (Québec) Canada</t>
        </is>
      </c>
      <c r="P1334" t="n">
        <v>0</v>
      </c>
      <c r="Q1334" t="n">
        <v>103.77</v>
      </c>
      <c r="R1334" t="n">
        <v>0</v>
      </c>
      <c r="S1334" t="n">
        <v>40.6</v>
      </c>
      <c r="T1334" t="n">
        <v>0</v>
      </c>
      <c r="U1334" t="n">
        <v>144.37</v>
      </c>
      <c r="X1334" t="inlineStr">
        <is>
          <t>aafc-aac</t>
        </is>
      </c>
      <c r="Y1334" t="inlineStr">
        <is>
          <t>Agriculture and Agri-Food Canada | Agriculture et Agroalimentaire Canada</t>
        </is>
      </c>
    </row>
    <row r="1335">
      <c r="A1335" t="inlineStr">
        <is>
          <t>T-2019-P5-0009</t>
        </is>
      </c>
      <c r="B1335" t="inlineStr">
        <is>
          <t>MPSES</t>
        </is>
      </c>
      <c r="C1335" t="inlineStr">
        <is>
          <t>Special Assistant</t>
        </is>
      </c>
      <c r="D1335" t="inlineStr">
        <is>
          <t>Assistant Spécial</t>
        </is>
      </c>
      <c r="E1335" t="inlineStr">
        <is>
          <t>Jean-Sébastien Comeau</t>
        </is>
      </c>
      <c r="F1335" t="inlineStr">
        <is>
          <t>To accompany the Minister on an Atlantic Outreach</t>
        </is>
      </c>
      <c r="G1335" t="inlineStr">
        <is>
          <t>Accompagner la Ministre à une campagne de sensibilisation dans les provinces Atlantique</t>
        </is>
      </c>
      <c r="H1335" s="1" t="n">
        <v>43688</v>
      </c>
      <c r="I1335" s="1" t="n">
        <v>43691</v>
      </c>
      <c r="J1335" t="inlineStr">
        <is>
          <t>Wolfville (Nova Scotia) Canada; Halifax (Nova Scotia) Canada; Port Hood (Nova Scotia) Canada</t>
        </is>
      </c>
      <c r="K1335" t="inlineStr">
        <is>
          <t>Wolfville (Nouvelle-Écosse) Canada; Halifax (Nouvelle-Écosse) Canada; Port Hood (Nouvelle-Écosse) Canada</t>
        </is>
      </c>
      <c r="P1335" t="n">
        <v>1100.28</v>
      </c>
      <c r="Q1335" t="n">
        <v>120.83</v>
      </c>
      <c r="R1335" t="n">
        <v>521.16</v>
      </c>
      <c r="S1335" t="n">
        <v>332.1</v>
      </c>
      <c r="T1335" t="n">
        <v>0</v>
      </c>
      <c r="U1335" t="n">
        <v>2074.37</v>
      </c>
      <c r="X1335" t="inlineStr">
        <is>
          <t>aafc-aac</t>
        </is>
      </c>
      <c r="Y1335" t="inlineStr">
        <is>
          <t>Agriculture and Agri-Food Canada | Agriculture et Agroalimentaire Canada</t>
        </is>
      </c>
    </row>
    <row r="1336">
      <c r="A1336" t="inlineStr">
        <is>
          <t>T-2019-P5-0010</t>
        </is>
      </c>
      <c r="B1336" t="inlineStr">
        <is>
          <t>MPSES</t>
        </is>
      </c>
      <c r="C1336" t="inlineStr">
        <is>
          <t>Special Assistant</t>
        </is>
      </c>
      <c r="D1336" t="inlineStr">
        <is>
          <t>Assistant Spécial</t>
        </is>
      </c>
      <c r="E1336" t="inlineStr">
        <is>
          <t>Jean-Sébastien Comeau</t>
        </is>
      </c>
      <c r="F1336" t="inlineStr">
        <is>
          <t>To accompany the Parliamentary Secretary for an announcement at the Mirabel Agri-Food Research Center (CRAM)</t>
        </is>
      </c>
      <c r="G1336" t="inlineStr">
        <is>
          <t>Accompagner le Secrétaire parlementaire pour une annonce au Centre de recherche agroalimentaire de Mirabel (CRAM)</t>
        </is>
      </c>
      <c r="H1336" s="1" t="n">
        <v>43693</v>
      </c>
      <c r="I1336" s="1" t="n">
        <v>43693</v>
      </c>
      <c r="J1336" t="inlineStr">
        <is>
          <t>Mirabel (Quebec) Canada</t>
        </is>
      </c>
      <c r="K1336" t="inlineStr">
        <is>
          <t>Mirabel (Québec) Canada</t>
        </is>
      </c>
      <c r="P1336" t="n">
        <v>0</v>
      </c>
      <c r="Q1336" t="n">
        <v>61.68</v>
      </c>
      <c r="R1336" t="n">
        <v>0</v>
      </c>
      <c r="S1336" t="n">
        <v>20.1</v>
      </c>
      <c r="T1336" t="n">
        <v>0</v>
      </c>
      <c r="U1336" t="n">
        <v>81.78</v>
      </c>
      <c r="X1336" t="inlineStr">
        <is>
          <t>aafc-aac</t>
        </is>
      </c>
      <c r="Y1336" t="inlineStr">
        <is>
          <t>Agriculture and Agri-Food Canada | Agriculture et Agroalimentaire Canada</t>
        </is>
      </c>
    </row>
    <row r="1337">
      <c r="A1337" t="inlineStr">
        <is>
          <t>T-2019-P5-0011</t>
        </is>
      </c>
      <c r="B1337" t="inlineStr">
        <is>
          <t>MPSES</t>
        </is>
      </c>
      <c r="C1337" t="inlineStr">
        <is>
          <t>Special Assistant</t>
        </is>
      </c>
      <c r="D1337" t="inlineStr">
        <is>
          <t>Assistant Spécial</t>
        </is>
      </c>
      <c r="E1337" t="inlineStr">
        <is>
          <t>Jean-Sébastien Comeau</t>
        </is>
      </c>
      <c r="F1337" t="inlineStr">
        <is>
          <t xml:space="preserve">To accompany the Parliamentary Secretary for an announcement regarding the Dairy Processing Investment Fund </t>
        </is>
      </c>
      <c r="G1337" t="inlineStr">
        <is>
          <t xml:space="preserve">Accompagner le Secrétaire parlementaire pour une annonce concernant le Fonds d’investissement dans la transformation des produits laitiers </t>
        </is>
      </c>
      <c r="H1337" s="1" t="n">
        <v>43697</v>
      </c>
      <c r="I1337" s="1" t="n">
        <v>43697</v>
      </c>
      <c r="J1337" t="inlineStr">
        <is>
          <t>Saint-Jean-de-Matha (Quebec) Canada</t>
        </is>
      </c>
      <c r="K1337" t="inlineStr">
        <is>
          <t>Saint-Jean-de-Matha (Québec) Canada</t>
        </is>
      </c>
      <c r="P1337" t="n">
        <v>0</v>
      </c>
      <c r="Q1337" t="n">
        <v>75.84999999999999</v>
      </c>
      <c r="R1337" t="n">
        <v>0</v>
      </c>
      <c r="S1337" t="n">
        <v>20.1</v>
      </c>
      <c r="T1337" t="n">
        <v>0</v>
      </c>
      <c r="U1337" t="n">
        <v>95.95</v>
      </c>
      <c r="X1337" t="inlineStr">
        <is>
          <t>aafc-aac</t>
        </is>
      </c>
      <c r="Y1337" t="inlineStr">
        <is>
          <t>Agriculture and Agri-Food Canada | Agriculture et Agroalimentaire Canada</t>
        </is>
      </c>
    </row>
    <row r="1338">
      <c r="A1338" t="inlineStr">
        <is>
          <t>T-2019-P5-0012</t>
        </is>
      </c>
      <c r="B1338" t="inlineStr">
        <is>
          <t>MPSES</t>
        </is>
      </c>
      <c r="C1338" t="inlineStr">
        <is>
          <t>Press Secretary</t>
        </is>
      </c>
      <c r="D1338" t="inlineStr">
        <is>
          <t>Attachée de Presse</t>
        </is>
      </c>
      <c r="E1338" t="inlineStr">
        <is>
          <t>Justine Lesage</t>
        </is>
      </c>
      <c r="F1338" t="inlineStr">
        <is>
          <t>To accompany the Minister to the Annual Conference of Federal-Provincial-Territorial Ministers and Deputy Ministers of Agriculture</t>
        </is>
      </c>
      <c r="G1338" t="inlineStr">
        <is>
          <t>Accompagner la Ministre à la Conférence annuelle des ministres et des sous-ministres fédéraux, provinciaux et territoriaux de l’Agriculture</t>
        </is>
      </c>
      <c r="H1338" s="1" t="n">
        <v>43664</v>
      </c>
      <c r="I1338" s="1" t="n">
        <v>43665</v>
      </c>
      <c r="J1338" t="inlineStr">
        <is>
          <t>Quebec (Quebec) Canada</t>
        </is>
      </c>
      <c r="K1338" t="inlineStr">
        <is>
          <t>Québec (Québec) Canada</t>
        </is>
      </c>
      <c r="P1338" t="n">
        <v>0</v>
      </c>
      <c r="Q1338" t="n">
        <v>173.59</v>
      </c>
      <c r="R1338" t="n">
        <v>224.91</v>
      </c>
      <c r="S1338" t="n">
        <v>85.25</v>
      </c>
      <c r="T1338" t="n">
        <v>0</v>
      </c>
      <c r="U1338" t="n">
        <v>483.75</v>
      </c>
      <c r="X1338" t="inlineStr">
        <is>
          <t>aafc-aac</t>
        </is>
      </c>
      <c r="Y1338" t="inlineStr">
        <is>
          <t>Agriculture and Agri-Food Canada | Agriculture et Agroalimentaire Canada</t>
        </is>
      </c>
    </row>
    <row r="1339">
      <c r="A1339" t="inlineStr">
        <is>
          <t>T-2019-P5-0013</t>
        </is>
      </c>
      <c r="B1339" t="inlineStr">
        <is>
          <t>MPSES</t>
        </is>
      </c>
      <c r="C1339" t="inlineStr">
        <is>
          <t>Press Secretary</t>
        </is>
      </c>
      <c r="D1339" t="inlineStr">
        <is>
          <t>Attachée de Presse</t>
        </is>
      </c>
      <c r="E1339" t="inlineStr">
        <is>
          <t>Justine Lesage</t>
        </is>
      </c>
      <c r="F1339" t="inlineStr">
        <is>
          <t>To accompany the Minister on a Western Outreach</t>
        </is>
      </c>
      <c r="G1339" t="inlineStr">
        <is>
          <t xml:space="preserve">Accompagner la Ministre à une campagne de sensibilisation dans les provinces de l'Ouest </t>
        </is>
      </c>
      <c r="H1339" s="1" t="n">
        <v>43649</v>
      </c>
      <c r="I1339" s="1" t="n">
        <v>43658</v>
      </c>
      <c r="J1339" t="inlineStr">
        <is>
          <t>Vancouver (British Columbia) Canada; Victoria (British Columbia) Canada; Whitehorse (Yukon) Canada; Calgary (Alberta) Canada; Edmonton (Alberta) Canada; Saskatoon (Saskatchewan) Canada</t>
        </is>
      </c>
      <c r="K1339" t="inlineStr">
        <is>
          <t>Vancouver (Colombie-Britannique) Canada; Victoria (Colombie-Britannique) Canada; Whitehorse (Yukon) Canada; Calgary (Alberta) Canada; Edmonton (Alberta) Canada; Saskatoon (Saskatchewan) Canada</t>
        </is>
      </c>
      <c r="P1339" t="n">
        <v>2607.82</v>
      </c>
      <c r="Q1339" t="n">
        <v>166.11</v>
      </c>
      <c r="R1339" t="n">
        <v>2025.41</v>
      </c>
      <c r="S1339" t="n">
        <v>953</v>
      </c>
      <c r="T1339" t="n">
        <v>0</v>
      </c>
      <c r="U1339" t="n">
        <v>5752.34</v>
      </c>
      <c r="X1339" t="inlineStr">
        <is>
          <t>aafc-aac</t>
        </is>
      </c>
      <c r="Y1339" t="inlineStr">
        <is>
          <t>Agriculture and Agri-Food Canada | Agriculture et Agroalimentaire Canada</t>
        </is>
      </c>
    </row>
    <row r="1340">
      <c r="A1340" t="inlineStr">
        <is>
          <t>T-2019-P5-0014</t>
        </is>
      </c>
      <c r="B1340" t="inlineStr">
        <is>
          <t>MPSES</t>
        </is>
      </c>
      <c r="C1340" t="inlineStr">
        <is>
          <t>Director of Communications</t>
        </is>
      </c>
      <c r="D1340" t="inlineStr">
        <is>
          <t>Directrice des communications</t>
        </is>
      </c>
      <c r="E1340" t="inlineStr">
        <is>
          <t>Katie Hawkins</t>
        </is>
      </c>
      <c r="F1340" t="inlineStr">
        <is>
          <t>To accompany the Minister on an Atlantic Outreach</t>
        </is>
      </c>
      <c r="G1340" t="inlineStr">
        <is>
          <t>Accompagner la Ministre à une campagne de sensibilisation dans les provinces de l'Atlantique</t>
        </is>
      </c>
      <c r="H1340" s="1" t="n">
        <v>43688</v>
      </c>
      <c r="I1340" s="1" t="n">
        <v>43691</v>
      </c>
      <c r="J1340" t="inlineStr">
        <is>
          <t>Wolfville (Nova Scotia) Canada; Halifax (Nova Scotia) Canada; Port Hood (Nova Scotia) Canada</t>
        </is>
      </c>
      <c r="K1340" t="inlineStr">
        <is>
          <t>Wolfville (Nouvelle-Écosse) Canada; Halifax (Nouvelle-Écosse) Canada; Port Hood (Nouvelle-Écosse) Canada</t>
        </is>
      </c>
      <c r="P1340" t="n">
        <v>888.58</v>
      </c>
      <c r="Q1340" t="n">
        <v>241.06</v>
      </c>
      <c r="R1340" t="n">
        <v>574.17</v>
      </c>
      <c r="S1340" t="n">
        <v>332.1</v>
      </c>
      <c r="T1340" t="n">
        <v>0</v>
      </c>
      <c r="U1340" t="n">
        <v>2035.91</v>
      </c>
      <c r="X1340" t="inlineStr">
        <is>
          <t>aafc-aac</t>
        </is>
      </c>
      <c r="Y1340" t="inlineStr">
        <is>
          <t>Agriculture and Agri-Food Canada | Agriculture et Agroalimentaire Canada</t>
        </is>
      </c>
    </row>
    <row r="1341">
      <c r="A1341" t="inlineStr">
        <is>
          <t>T-2019-P5-0015</t>
        </is>
      </c>
      <c r="B1341" t="inlineStr">
        <is>
          <t>MPSES</t>
        </is>
      </c>
      <c r="C1341" t="inlineStr">
        <is>
          <t>Driver</t>
        </is>
      </c>
      <c r="D1341" t="inlineStr">
        <is>
          <t>Conducteur</t>
        </is>
      </c>
      <c r="E1341" t="inlineStr">
        <is>
          <t>Michel Gendreau</t>
        </is>
      </c>
      <c r="F1341" t="inlineStr">
        <is>
          <t>To drive the Minister from the Annual Conference of Federal-Provincial-Territorial Ministers and Deputy Ministers of Agriculture Conference to her riding</t>
        </is>
      </c>
      <c r="G1341" t="inlineStr">
        <is>
          <t>Pour conduire la Ministre de la Conférence annuelle des ministres et des sous-ministres fédéraux, provinciaux et territoriaux de l’Agriculture à sa circonscription</t>
        </is>
      </c>
      <c r="H1341" s="1" t="n">
        <v>43665</v>
      </c>
      <c r="I1341" s="1" t="n">
        <v>43665</v>
      </c>
      <c r="J1341" t="inlineStr">
        <is>
          <t>Quebec (Quebec) Canada; Sherbrooke (Quebec) Canada</t>
        </is>
      </c>
      <c r="K1341" t="inlineStr">
        <is>
          <t>Québec (Québec) Canada; Sherbrooke (Québec) Canada</t>
        </is>
      </c>
      <c r="P1341" t="n">
        <v>0</v>
      </c>
      <c r="Q1341" t="n">
        <v>3.1</v>
      </c>
      <c r="R1341" t="n">
        <v>0</v>
      </c>
      <c r="S1341" t="n">
        <v>70.75</v>
      </c>
      <c r="T1341" t="n">
        <v>0</v>
      </c>
      <c r="U1341" t="n">
        <v>73.84999999999999</v>
      </c>
      <c r="X1341" t="inlineStr">
        <is>
          <t>aafc-aac</t>
        </is>
      </c>
      <c r="Y1341" t="inlineStr">
        <is>
          <t>Agriculture and Agri-Food Canada | Agriculture et Agroalimentaire Canada</t>
        </is>
      </c>
    </row>
    <row r="1342">
      <c r="A1342" t="inlineStr">
        <is>
          <t>T-2019-P5-0016</t>
        </is>
      </c>
      <c r="B1342" t="inlineStr">
        <is>
          <t>MPSES</t>
        </is>
      </c>
      <c r="C1342" t="inlineStr">
        <is>
          <t>Driver</t>
        </is>
      </c>
      <c r="D1342" t="inlineStr">
        <is>
          <t>Conducteur</t>
        </is>
      </c>
      <c r="E1342" t="inlineStr">
        <is>
          <t>Michel Gendreau</t>
        </is>
      </c>
      <c r="F1342" t="inlineStr">
        <is>
          <t>To drive the Minister to announcements near her riding</t>
        </is>
      </c>
      <c r="G1342" t="inlineStr">
        <is>
          <t>Pour conduire la Ministre à des annonces près de sa circonscription</t>
        </is>
      </c>
      <c r="H1342" s="1" t="n">
        <v>43668</v>
      </c>
      <c r="I1342" s="1" t="n">
        <v>43669</v>
      </c>
      <c r="J1342" t="inlineStr">
        <is>
          <t>Sherbrooke (Quebec) Canada</t>
        </is>
      </c>
      <c r="K1342" t="inlineStr">
        <is>
          <t>Sherbrooke (Québec) Canada</t>
        </is>
      </c>
      <c r="P1342" t="n">
        <v>0</v>
      </c>
      <c r="Q1342" t="n">
        <v>3.1</v>
      </c>
      <c r="R1342" t="n">
        <v>152.6</v>
      </c>
      <c r="S1342" t="n">
        <v>105.75</v>
      </c>
      <c r="T1342" t="n">
        <v>0</v>
      </c>
      <c r="U1342" t="n">
        <v>261.45</v>
      </c>
      <c r="X1342" t="inlineStr">
        <is>
          <t>aafc-aac</t>
        </is>
      </c>
      <c r="Y1342" t="inlineStr">
        <is>
          <t>Agriculture and Agri-Food Canada | Agriculture et Agroalimentaire Canada</t>
        </is>
      </c>
    </row>
    <row r="1343">
      <c r="A1343" t="inlineStr">
        <is>
          <t>T-2019-P5-0017</t>
        </is>
      </c>
      <c r="B1343" t="inlineStr">
        <is>
          <t>MPSES</t>
        </is>
      </c>
      <c r="C1343" t="inlineStr">
        <is>
          <t>Driver</t>
        </is>
      </c>
      <c r="D1343" t="inlineStr">
        <is>
          <t>Conducteur</t>
        </is>
      </c>
      <c r="E1343" t="inlineStr">
        <is>
          <t>Michel Gendreau</t>
        </is>
      </c>
      <c r="F1343" t="inlineStr">
        <is>
          <t>To pick up the Minister from the Montreal airport to attend announcements then return to her riding</t>
        </is>
      </c>
      <c r="G1343" t="inlineStr">
        <is>
          <t>Pour conduire la Ministre de l'aéroport de Montréal pour assister à des annonces et retourner à sa conscription</t>
        </is>
      </c>
      <c r="H1343" s="1" t="n">
        <v>43671</v>
      </c>
      <c r="I1343" s="1" t="n">
        <v>43671</v>
      </c>
      <c r="J1343" t="inlineStr">
        <is>
          <t>Montreal (Quebec) Canada; Sherbrooke (Quebec) Canada</t>
        </is>
      </c>
      <c r="K1343" t="inlineStr">
        <is>
          <t>Montréal (Québec) Canada; Sherbrooke (Québec) Canada</t>
        </is>
      </c>
      <c r="P1343" t="n">
        <v>0</v>
      </c>
      <c r="Q1343" t="n">
        <v>3.1</v>
      </c>
      <c r="R1343" t="n">
        <v>0</v>
      </c>
      <c r="S1343" t="n">
        <v>70.75</v>
      </c>
      <c r="T1343" t="n">
        <v>0</v>
      </c>
      <c r="U1343" t="n">
        <v>73.84999999999999</v>
      </c>
      <c r="X1343" t="inlineStr">
        <is>
          <t>aafc-aac</t>
        </is>
      </c>
      <c r="Y1343" t="inlineStr">
        <is>
          <t>Agriculture and Agri-Food Canada | Agriculture et Agroalimentaire Canada</t>
        </is>
      </c>
    </row>
    <row r="1344">
      <c r="A1344" t="inlineStr">
        <is>
          <t>T-2019-P5-0018</t>
        </is>
      </c>
      <c r="B1344" t="inlineStr">
        <is>
          <t>MPSES</t>
        </is>
      </c>
      <c r="C1344" t="inlineStr">
        <is>
          <t>Driver</t>
        </is>
      </c>
      <c r="D1344" t="inlineStr">
        <is>
          <t>Conducteur</t>
        </is>
      </c>
      <c r="E1344" t="inlineStr">
        <is>
          <t>Michel Gendreau</t>
        </is>
      </c>
      <c r="F1344" t="inlineStr">
        <is>
          <t>To drive the Minister to announcements near her riding</t>
        </is>
      </c>
      <c r="G1344" t="inlineStr">
        <is>
          <t>Pour conduire la Ministre à des annonces près de sa circonscription</t>
        </is>
      </c>
      <c r="H1344" s="1" t="n">
        <v>43678</v>
      </c>
      <c r="I1344" s="1" t="n">
        <v>43678</v>
      </c>
      <c r="J1344" t="inlineStr">
        <is>
          <t>Sherbrooke (Quebec) Canada</t>
        </is>
      </c>
      <c r="K1344" t="inlineStr">
        <is>
          <t>Sherbrooke (Québec) Canada</t>
        </is>
      </c>
      <c r="P1344" t="n">
        <v>0</v>
      </c>
      <c r="Q1344" t="n">
        <v>6.2</v>
      </c>
      <c r="R1344" t="n">
        <v>0</v>
      </c>
      <c r="S1344" t="n">
        <v>40.6</v>
      </c>
      <c r="T1344" t="n">
        <v>0</v>
      </c>
      <c r="U1344" t="n">
        <v>46.8</v>
      </c>
      <c r="X1344" t="inlineStr">
        <is>
          <t>aafc-aac</t>
        </is>
      </c>
      <c r="Y1344" t="inlineStr">
        <is>
          <t>Agriculture and Agri-Food Canada | Agriculture et Agroalimentaire Canada</t>
        </is>
      </c>
    </row>
    <row r="1345">
      <c r="A1345" t="inlineStr">
        <is>
          <t>T-2019-P5-0019</t>
        </is>
      </c>
      <c r="B1345" t="inlineStr">
        <is>
          <t>MPSES</t>
        </is>
      </c>
      <c r="C1345" t="inlineStr">
        <is>
          <t>Driver</t>
        </is>
      </c>
      <c r="D1345" t="inlineStr">
        <is>
          <t>Conducteur</t>
        </is>
      </c>
      <c r="E1345" t="inlineStr">
        <is>
          <t>Michel Gendreau</t>
        </is>
      </c>
      <c r="F1345" t="inlineStr">
        <is>
          <t>To drive the Minister from her riding to the Montreal airport</t>
        </is>
      </c>
      <c r="G1345" t="inlineStr">
        <is>
          <t>Pour conduire la Ministre de sa circonscription à l'aéroport de Montréal</t>
        </is>
      </c>
      <c r="H1345" s="1" t="n">
        <v>43688</v>
      </c>
      <c r="I1345" s="1" t="n">
        <v>43688</v>
      </c>
      <c r="J1345" t="inlineStr">
        <is>
          <t xml:space="preserve"> Sherbrooke (Quebec) Canada; Montreal (Quebec) Canada</t>
        </is>
      </c>
      <c r="K1345" t="inlineStr">
        <is>
          <t xml:space="preserve"> Sherbrooke (Québec) Canada; Montréal (Québec) Canada</t>
        </is>
      </c>
      <c r="P1345" t="n">
        <v>0</v>
      </c>
      <c r="Q1345" t="n">
        <v>3.1</v>
      </c>
      <c r="R1345" t="n">
        <v>0</v>
      </c>
      <c r="S1345" t="n">
        <v>70.75</v>
      </c>
      <c r="T1345" t="n">
        <v>0</v>
      </c>
      <c r="U1345" t="n">
        <v>73.84999999999999</v>
      </c>
      <c r="X1345" t="inlineStr">
        <is>
          <t>aafc-aac</t>
        </is>
      </c>
      <c r="Y1345" t="inlineStr">
        <is>
          <t>Agriculture and Agri-Food Canada | Agriculture et Agroalimentaire Canada</t>
        </is>
      </c>
    </row>
    <row r="1346">
      <c r="A1346" t="inlineStr">
        <is>
          <t>T-2019-P5-0020</t>
        </is>
      </c>
      <c r="B1346" t="inlineStr">
        <is>
          <t>MPSES</t>
        </is>
      </c>
      <c r="C1346" t="inlineStr">
        <is>
          <t>Driver</t>
        </is>
      </c>
      <c r="D1346" t="inlineStr">
        <is>
          <t>Conducteur</t>
        </is>
      </c>
      <c r="E1346" t="inlineStr">
        <is>
          <t>Michel Gendreau</t>
        </is>
      </c>
      <c r="F1346" t="inlineStr">
        <is>
          <t>To drive the Minister from her riding to Lac St-Jean for announcements</t>
        </is>
      </c>
      <c r="G1346" t="inlineStr">
        <is>
          <t>Pour conduire la Ministre de sa circonscription pour des annonces au Lac St-Jean</t>
        </is>
      </c>
      <c r="H1346" s="1" t="n">
        <v>43697</v>
      </c>
      <c r="I1346" s="1" t="n">
        <v>43699</v>
      </c>
      <c r="J1346" t="inlineStr">
        <is>
          <t>Sherbrooke (Quebec) Canada; Lac St-Jean (Quebec) Canada</t>
        </is>
      </c>
      <c r="K1346" t="inlineStr">
        <is>
          <t>Sherbrooke (Québec) Canada; Lac St-Jean (Québec) Canada</t>
        </is>
      </c>
      <c r="P1346" t="n">
        <v>0</v>
      </c>
      <c r="Q1346" t="n">
        <v>6.2</v>
      </c>
      <c r="R1346" t="n">
        <v>326.05</v>
      </c>
      <c r="S1346" t="n">
        <v>285.05</v>
      </c>
      <c r="T1346" t="n">
        <v>0</v>
      </c>
      <c r="U1346" t="n">
        <v>617.3</v>
      </c>
      <c r="X1346" t="inlineStr">
        <is>
          <t>aafc-aac</t>
        </is>
      </c>
      <c r="Y1346" t="inlineStr">
        <is>
          <t>Agriculture and Agri-Food Canada | Agriculture et Agroalimentaire Canada</t>
        </is>
      </c>
    </row>
    <row r="1347">
      <c r="A1347" t="inlineStr">
        <is>
          <t>T-2019-P5-0021</t>
        </is>
      </c>
      <c r="B1347" t="inlineStr">
        <is>
          <t>MPSES</t>
        </is>
      </c>
      <c r="C1347" t="inlineStr">
        <is>
          <t>Driver</t>
        </is>
      </c>
      <c r="D1347" t="inlineStr">
        <is>
          <t>Conducteur</t>
        </is>
      </c>
      <c r="E1347" t="inlineStr">
        <is>
          <t>Michel Gendreau</t>
        </is>
      </c>
      <c r="F1347" t="inlineStr">
        <is>
          <t>To drive the Minister from her riding to the Montreal airport</t>
        </is>
      </c>
      <c r="G1347" t="inlineStr">
        <is>
          <t>Pour conduire la Ministre de sa circonscription à l'aéroport de Montréal</t>
        </is>
      </c>
      <c r="H1347" s="1" t="n">
        <v>43702</v>
      </c>
      <c r="I1347" s="1" t="n">
        <v>43702</v>
      </c>
      <c r="J1347" t="inlineStr">
        <is>
          <t xml:space="preserve"> Sherbrooke (Quebec) Canada; Montreal (Quebec) Canada</t>
        </is>
      </c>
      <c r="K1347" t="inlineStr">
        <is>
          <t xml:space="preserve"> Sherbrooke (Québec) Canada; Montréal (Québec) Canada</t>
        </is>
      </c>
      <c r="P1347" t="n">
        <v>0</v>
      </c>
      <c r="Q1347" t="n">
        <v>3.1</v>
      </c>
      <c r="R1347" t="n">
        <v>0</v>
      </c>
      <c r="S1347" t="n">
        <v>50.65</v>
      </c>
      <c r="T1347" t="n">
        <v>0</v>
      </c>
      <c r="U1347" t="n">
        <v>53.75</v>
      </c>
      <c r="X1347" t="inlineStr">
        <is>
          <t>aafc-aac</t>
        </is>
      </c>
      <c r="Y1347" t="inlineStr">
        <is>
          <t>Agriculture and Agri-Food Canada | Agriculture et Agroalimentaire Canada</t>
        </is>
      </c>
    </row>
    <row r="1348">
      <c r="A1348" t="inlineStr">
        <is>
          <t>T-2019-P5-0022</t>
        </is>
      </c>
      <c r="B1348" t="inlineStr">
        <is>
          <t>MPSES</t>
        </is>
      </c>
      <c r="C1348" t="inlineStr">
        <is>
          <t>Senior Policy Advisor</t>
        </is>
      </c>
      <c r="D1348" t="inlineStr">
        <is>
          <t>Conseiller principal des politiques</t>
        </is>
      </c>
      <c r="E1348" t="inlineStr">
        <is>
          <t>Michel-Antoine Renaud</t>
        </is>
      </c>
      <c r="F1348" t="inlineStr">
        <is>
          <t>To accompany the Parliamentary Secretary for an announcement at the Deschambault Animal Science Research Centre</t>
        </is>
      </c>
      <c r="G1348" t="inlineStr">
        <is>
          <t xml:space="preserve">Accompagner le Secrétaire parlementaire pour une annonce au Centre de recherche en sciences animales de Deschambault </t>
        </is>
      </c>
      <c r="H1348" s="1" t="n">
        <v>43684</v>
      </c>
      <c r="I1348" s="1" t="n">
        <v>43684</v>
      </c>
      <c r="J1348" t="inlineStr">
        <is>
          <t>Deschambault (Quebec) Canada</t>
        </is>
      </c>
      <c r="K1348" t="inlineStr">
        <is>
          <t>Deschambault (Québec) Canada</t>
        </is>
      </c>
      <c r="P1348" t="n">
        <v>0</v>
      </c>
      <c r="Q1348" t="n">
        <v>134.38</v>
      </c>
      <c r="R1348" t="n">
        <v>0</v>
      </c>
      <c r="S1348" t="n">
        <v>91.25</v>
      </c>
      <c r="T1348" t="n">
        <v>0</v>
      </c>
      <c r="U1348" t="n">
        <v>225.63</v>
      </c>
      <c r="X1348" t="inlineStr">
        <is>
          <t>aafc-aac</t>
        </is>
      </c>
      <c r="Y1348" t="inlineStr">
        <is>
          <t>Agriculture and Agri-Food Canada | Agriculture et Agroalimentaire Canada</t>
        </is>
      </c>
    </row>
    <row r="1349">
      <c r="A1349" t="inlineStr">
        <is>
          <t>T-2019-P5-0023</t>
        </is>
      </c>
      <c r="B1349" t="inlineStr">
        <is>
          <t>MPSES</t>
        </is>
      </c>
      <c r="C1349" t="inlineStr">
        <is>
          <t>Senior Communications and Policy Advisor</t>
        </is>
      </c>
      <c r="D1349" t="inlineStr">
        <is>
          <t>Conseiller principal en communications et politiques</t>
        </is>
      </c>
      <c r="E1349" t="inlineStr">
        <is>
          <t>Oliver Anderson</t>
        </is>
      </c>
      <c r="F1349" t="inlineStr">
        <is>
          <t>To accompany the Minister on a Western Outreach</t>
        </is>
      </c>
      <c r="G1349" t="inlineStr">
        <is>
          <t xml:space="preserve">Accompagner la Ministre à une campagne de sensibilisation dans les provinces de l'Ouest </t>
        </is>
      </c>
      <c r="H1349" s="1" t="n">
        <v>43649</v>
      </c>
      <c r="I1349" s="1" t="n">
        <v>43662</v>
      </c>
      <c r="J1349" t="inlineStr">
        <is>
          <t>Vancouver (British Columbia) Canada; Victoria (British Columbia) Canada; Whitehorse (Yukon) Canada; Calgary (Alberta) Canada; Edmonton (Alberta) Canada; Saskatoon (Saskatchewan) Canada</t>
        </is>
      </c>
      <c r="K1349" t="inlineStr">
        <is>
          <t>Vancouver (Colombie-Britannique) Canada; Victoria (Colombie-Britannique) Canada; Whitehorse (Yukon) Canada; Calgary (Alberta) Canada; Edmonton (Alberta) Canada; Saskatoon (Saskatchewan) Canada</t>
        </is>
      </c>
      <c r="P1349" t="n">
        <v>3830.81</v>
      </c>
      <c r="Q1349" t="n">
        <v>485.15</v>
      </c>
      <c r="R1349" t="n">
        <v>2749.36</v>
      </c>
      <c r="S1349" t="n">
        <v>1233.9</v>
      </c>
      <c r="T1349" t="n">
        <v>0</v>
      </c>
      <c r="U1349" t="n">
        <v>8299.219999999999</v>
      </c>
      <c r="X1349" t="inlineStr">
        <is>
          <t>aafc-aac</t>
        </is>
      </c>
      <c r="Y1349" t="inlineStr">
        <is>
          <t>Agriculture and Agri-Food Canada | Agriculture et Agroalimentaire Canada</t>
        </is>
      </c>
    </row>
    <row r="1350">
      <c r="A1350" t="inlineStr">
        <is>
          <t>T-2019-P5-0024</t>
        </is>
      </c>
      <c r="B1350" t="inlineStr">
        <is>
          <t>MPSES</t>
        </is>
      </c>
      <c r="C1350" t="inlineStr">
        <is>
          <t>Senior Communications and Policy Advisor</t>
        </is>
      </c>
      <c r="D1350" t="inlineStr">
        <is>
          <t>Conseiller principal en communications et politiques</t>
        </is>
      </c>
      <c r="E1350" t="inlineStr">
        <is>
          <t>Oliver Anderson</t>
        </is>
      </c>
      <c r="F1350" t="inlineStr">
        <is>
          <t>To accompany the Minister on an Ontario Outreach</t>
        </is>
      </c>
      <c r="G1350" t="inlineStr">
        <is>
          <t>Accompagner la Ministre à la campagne de sensibilisation en Ontario</t>
        </is>
      </c>
      <c r="H1350" s="1" t="n">
        <v>43669</v>
      </c>
      <c r="I1350" s="1" t="n">
        <v>43671</v>
      </c>
      <c r="J1350" t="inlineStr">
        <is>
          <t>London (Ontario) Canada; Guelph (Ontario) Canada</t>
        </is>
      </c>
      <c r="K1350" t="inlineStr">
        <is>
          <t>London (Ontario) Canada; Guelph (Ontario) Canada</t>
        </is>
      </c>
      <c r="P1350" t="n">
        <v>856.8200000000001</v>
      </c>
      <c r="Q1350" t="n">
        <v>48.42</v>
      </c>
      <c r="R1350" t="n">
        <v>316.13</v>
      </c>
      <c r="S1350" t="n">
        <v>234.8</v>
      </c>
      <c r="T1350" t="n">
        <v>0</v>
      </c>
      <c r="U1350" t="n">
        <v>1456.17</v>
      </c>
      <c r="X1350" t="inlineStr">
        <is>
          <t>aafc-aac</t>
        </is>
      </c>
      <c r="Y1350" t="inlineStr">
        <is>
          <t>Agriculture and Agri-Food Canada | Agriculture et Agroalimentaire Canada</t>
        </is>
      </c>
    </row>
    <row r="1351">
      <c r="A1351" t="inlineStr">
        <is>
          <t>T-2019-P5-0025</t>
        </is>
      </c>
      <c r="B1351" t="inlineStr">
        <is>
          <t>MPSES</t>
        </is>
      </c>
      <c r="C1351" t="inlineStr">
        <is>
          <t>Policy Advisor</t>
        </is>
      </c>
      <c r="D1351" t="inlineStr">
        <is>
          <t>Conseillère en politiques</t>
        </is>
      </c>
      <c r="E1351" t="inlineStr">
        <is>
          <t>Pearson Croney-Clark</t>
        </is>
      </c>
      <c r="F1351" t="inlineStr">
        <is>
          <t>To accompany the Minister for an Ontario Outreach</t>
        </is>
      </c>
      <c r="G1351" t="inlineStr">
        <is>
          <t>Accompagner la Ministre pour une campagne de sensibilisation en Ontario</t>
        </is>
      </c>
      <c r="H1351" s="1" t="n">
        <v>43669</v>
      </c>
      <c r="I1351" s="1" t="n">
        <v>43671</v>
      </c>
      <c r="J1351" t="inlineStr">
        <is>
          <t>London (Ontario) Canada; Guelph (Ontario) Canada</t>
        </is>
      </c>
      <c r="K1351" t="inlineStr">
        <is>
          <t>London (Ontario) Canada; Guelph (Ontario) Canada</t>
        </is>
      </c>
      <c r="P1351" t="n">
        <v>959.65</v>
      </c>
      <c r="Q1351" t="n">
        <v>0</v>
      </c>
      <c r="R1351" t="n">
        <v>316.13</v>
      </c>
      <c r="S1351" t="n">
        <v>234.8</v>
      </c>
      <c r="T1351" t="n">
        <v>0</v>
      </c>
      <c r="U1351" t="n">
        <v>1510.58</v>
      </c>
      <c r="X1351" t="inlineStr">
        <is>
          <t>aafc-aac</t>
        </is>
      </c>
      <c r="Y1351" t="inlineStr">
        <is>
          <t>Agriculture and Agri-Food Canada | Agriculture et Agroalimentaire Canada</t>
        </is>
      </c>
    </row>
    <row r="1352">
      <c r="A1352" t="inlineStr">
        <is>
          <t>T-2019-P5-0026</t>
        </is>
      </c>
      <c r="B1352" t="inlineStr">
        <is>
          <t>SLE</t>
        </is>
      </c>
      <c r="C1352" t="inlineStr">
        <is>
          <t>Associate Deputy Minister</t>
        </is>
      </c>
      <c r="D1352" t="inlineStr">
        <is>
          <t>Sous-ministre déléguée</t>
        </is>
      </c>
      <c r="E1352" t="inlineStr">
        <is>
          <t>Annette Gibbons</t>
        </is>
      </c>
      <c r="F1352" t="inlineStr">
        <is>
          <t>To attend the Annual Conference of Federal-Provincial-Territorial Ministers and Deputy Ministers of Agriculture</t>
        </is>
      </c>
      <c r="G1352" t="inlineStr">
        <is>
          <t>Participer à la Conférence annuelle des ministres et des sous-ministres fédéraux, provinciaux et territoriaux de l’Agriculture</t>
        </is>
      </c>
      <c r="H1352" s="1" t="n">
        <v>43662</v>
      </c>
      <c r="I1352" s="1" t="n">
        <v>43665</v>
      </c>
      <c r="J1352" t="inlineStr">
        <is>
          <t>Quebec (Quebec) Canada</t>
        </is>
      </c>
      <c r="K1352" t="inlineStr">
        <is>
          <t>Québec (Québec) Canada</t>
        </is>
      </c>
      <c r="P1352" t="n">
        <v>571.22</v>
      </c>
      <c r="Q1352" t="n">
        <v>84.12</v>
      </c>
      <c r="R1352" t="n">
        <v>960.33</v>
      </c>
      <c r="S1352" t="n">
        <v>85.25</v>
      </c>
      <c r="T1352" t="n">
        <v>375</v>
      </c>
      <c r="U1352" t="n">
        <v>2075.92</v>
      </c>
      <c r="V1352" t="inlineStr">
        <is>
          <t>Other expenses: Conference fee</t>
        </is>
      </c>
      <c r="W1352" t="inlineStr">
        <is>
          <t>Autres dépenses: Frais d'inscription à la  conférence</t>
        </is>
      </c>
      <c r="X1352" t="inlineStr">
        <is>
          <t>aafc-aac</t>
        </is>
      </c>
      <c r="Y1352" t="inlineStr">
        <is>
          <t>Agriculture and Agri-Food Canada | Agriculture et Agroalimentaire Canada</t>
        </is>
      </c>
    </row>
    <row r="1353">
      <c r="A1353" t="inlineStr">
        <is>
          <t>T-2019-P5-0027</t>
        </is>
      </c>
      <c r="B1353" t="inlineStr">
        <is>
          <t>SLE</t>
        </is>
      </c>
      <c r="C1353" t="inlineStr">
        <is>
          <t>Associate Deputy Minister</t>
        </is>
      </c>
      <c r="D1353" t="inlineStr">
        <is>
          <t>Sous-ministre déléguée</t>
        </is>
      </c>
      <c r="E1353" t="inlineStr">
        <is>
          <t>Annette Gibbons</t>
        </is>
      </c>
      <c r="F1353" t="inlineStr">
        <is>
          <t>To attend the Alberta Outreach</t>
        </is>
      </c>
      <c r="G1353" t="inlineStr">
        <is>
          <t>Pour assister à la campagne de sensibilisation en Alberta</t>
        </is>
      </c>
      <c r="H1353" s="1" t="n">
        <v>43689</v>
      </c>
      <c r="I1353" s="1" t="n">
        <v>43692</v>
      </c>
      <c r="J1353" t="inlineStr">
        <is>
          <t>Calgary (Alberta) Canada; Lethbridge (Alberta) Canada</t>
        </is>
      </c>
      <c r="K1353" t="inlineStr">
        <is>
          <t>Calgary (Alberta) Canada; Lethbridge (Alberta) Canada</t>
        </is>
      </c>
      <c r="P1353" t="n">
        <v>1123.61</v>
      </c>
      <c r="Q1353" t="n">
        <v>37.35</v>
      </c>
      <c r="R1353" t="n">
        <v>379.46</v>
      </c>
      <c r="S1353" t="n">
        <v>253.25</v>
      </c>
      <c r="T1353" t="n">
        <v>157.5</v>
      </c>
      <c r="U1353" t="n">
        <v>1951.17</v>
      </c>
      <c r="V1353" t="inlineStr">
        <is>
          <t>Other expenses: Conference fee</t>
        </is>
      </c>
      <c r="W1353" t="inlineStr">
        <is>
          <t>Autres dépenses: Frais d'inscription à la  conférence</t>
        </is>
      </c>
      <c r="X1353" t="inlineStr">
        <is>
          <t>aafc-aac</t>
        </is>
      </c>
      <c r="Y1353" t="inlineStr">
        <is>
          <t>Agriculture and Agri-Food Canada | Agriculture et Agroalimentaire Canada</t>
        </is>
      </c>
    </row>
    <row r="1354">
      <c r="A1354" t="inlineStr">
        <is>
          <t>T-2019-P5-0028</t>
        </is>
      </c>
      <c r="B1354" t="inlineStr">
        <is>
          <t>SLE</t>
        </is>
      </c>
      <c r="C1354" t="inlineStr">
        <is>
          <t>Deputy Minister</t>
        </is>
      </c>
      <c r="D1354" t="inlineStr">
        <is>
          <t>Sous-ministre</t>
        </is>
      </c>
      <c r="E1354" t="inlineStr">
        <is>
          <t>Chris Forbes</t>
        </is>
      </c>
      <c r="F1354" t="inlineStr">
        <is>
          <t>To attend the announcement on Food Waste and the Outreach in Saskatchewan and Swift Current</t>
        </is>
      </c>
      <c r="G1354" t="inlineStr">
        <is>
          <t>Pour assister à l'annonce en vue de réduire le gaspillage alimentaire ainsi que la campagne de sensibilisation au Saskatchewan et Swift Current</t>
        </is>
      </c>
      <c r="H1354" s="1" t="n">
        <v>43649</v>
      </c>
      <c r="I1354" s="1" t="n">
        <v>43656</v>
      </c>
      <c r="J1354" t="inlineStr">
        <is>
          <t>Vancouver (British Columbia) Canada; Saskatoon (Saskatchewan) Canada; Swift Current (Saskatchewan) Canada</t>
        </is>
      </c>
      <c r="K1354" t="inlineStr">
        <is>
          <t>Vancouver (Columbie-Britannique) Canada; Saskatoon (Saskatchewan) Canada; Swift Current (Saskatchewan) Canada</t>
        </is>
      </c>
      <c r="P1354" t="n">
        <v>2599.62</v>
      </c>
      <c r="Q1354" t="n">
        <v>126.86</v>
      </c>
      <c r="R1354" t="n">
        <v>1276.77</v>
      </c>
      <c r="S1354" t="n">
        <v>283.4</v>
      </c>
      <c r="T1354" t="n">
        <v>0</v>
      </c>
      <c r="U1354" t="n">
        <v>4286.65</v>
      </c>
      <c r="X1354" t="inlineStr">
        <is>
          <t>aafc-aac</t>
        </is>
      </c>
      <c r="Y1354" t="inlineStr">
        <is>
          <t>Agriculture and Agri-Food Canada | Agriculture et Agroalimentaire Canada</t>
        </is>
      </c>
    </row>
    <row r="1355">
      <c r="A1355" t="inlineStr">
        <is>
          <t>T-2019-P5-0029</t>
        </is>
      </c>
      <c r="B1355" t="inlineStr">
        <is>
          <t>SLE</t>
        </is>
      </c>
      <c r="C1355" t="inlineStr">
        <is>
          <t>Deputy Minister</t>
        </is>
      </c>
      <c r="D1355" t="inlineStr">
        <is>
          <t>Sous-ministre</t>
        </is>
      </c>
      <c r="E1355" t="inlineStr">
        <is>
          <t>Chris Forbes</t>
        </is>
      </c>
      <c r="F1355" t="inlineStr">
        <is>
          <t>To attend the Annual Conference of Federal-Provincial-Territorial Ministers and Deputy Ministers of Agriculture</t>
        </is>
      </c>
      <c r="G1355" t="inlineStr">
        <is>
          <t>Participer à la Conférence annuelle des ministres et des sous-ministres fédéraux, provinciaux et territoriaux de l’Agriculture</t>
        </is>
      </c>
      <c r="H1355" s="1" t="n">
        <v>43662</v>
      </c>
      <c r="I1355" s="1" t="n">
        <v>43665</v>
      </c>
      <c r="J1355" t="inlineStr">
        <is>
          <t>Quebec (Quebec) Canada</t>
        </is>
      </c>
      <c r="K1355" t="inlineStr">
        <is>
          <t>Québec (Québec) Canada</t>
        </is>
      </c>
      <c r="P1355" t="n">
        <v>723.8099999999999</v>
      </c>
      <c r="Q1355" t="n">
        <v>36</v>
      </c>
      <c r="R1355" t="n">
        <v>960.33</v>
      </c>
      <c r="S1355" t="n">
        <v>91.25</v>
      </c>
      <c r="T1355" t="n">
        <v>375</v>
      </c>
      <c r="U1355" t="n">
        <v>2186.39</v>
      </c>
      <c r="V1355" t="inlineStr">
        <is>
          <t>Other expenses: Conference fee</t>
        </is>
      </c>
      <c r="W1355" t="inlineStr">
        <is>
          <t>Autres dépenses: Frais d'inscription à la  conférence</t>
        </is>
      </c>
      <c r="X1355" t="inlineStr">
        <is>
          <t>aafc-aac</t>
        </is>
      </c>
      <c r="Y1355" t="inlineStr">
        <is>
          <t>Agriculture and Agri-Food Canada | Agriculture et Agroalimentaire Canada</t>
        </is>
      </c>
    </row>
    <row r="1356">
      <c r="A1356" t="inlineStr">
        <is>
          <t>T-2019-P5-0030</t>
        </is>
      </c>
      <c r="B1356" t="inlineStr">
        <is>
          <t>SLE</t>
        </is>
      </c>
      <c r="C1356" t="inlineStr">
        <is>
          <t>Assistant Deputy Minister, Corporate Management Branch</t>
        </is>
      </c>
      <c r="D1356" t="inlineStr">
        <is>
          <t>Sous-ministre adjoint, Direction générale de la gestion intégrée</t>
        </is>
      </c>
      <c r="E1356" t="inlineStr">
        <is>
          <t>Christine Walker</t>
        </is>
      </c>
      <c r="F1356" t="inlineStr">
        <is>
          <t>Site visit and staff meetings</t>
        </is>
      </c>
      <c r="G1356" t="inlineStr">
        <is>
          <t>Visite de l'infrastructure et réunions de personnel</t>
        </is>
      </c>
      <c r="H1356" s="1" t="n">
        <v>43652</v>
      </c>
      <c r="I1356" s="1" t="n">
        <v>43660</v>
      </c>
      <c r="J1356" t="inlineStr">
        <is>
          <t>Calgary (Alberta) Canada; Lethbridge (Alberta) Canada; Beaverlodge (Alberta) Canada; Lacombe (Alberta) Canada</t>
        </is>
      </c>
      <c r="K1356" t="inlineStr">
        <is>
          <t>Calgary (Alberta) Canada; Lethbridge (Alberta) Canada; Beaverlodge (Alberta) Canada; Lacombe (Alberta) Canada</t>
        </is>
      </c>
      <c r="P1356" t="n">
        <v>1246.34</v>
      </c>
      <c r="Q1356" t="n">
        <v>1000.13</v>
      </c>
      <c r="R1356" t="n">
        <v>849.09</v>
      </c>
      <c r="S1356" t="n">
        <v>709.2</v>
      </c>
      <c r="T1356" t="n">
        <v>0</v>
      </c>
      <c r="U1356" t="n">
        <v>3804.76</v>
      </c>
      <c r="X1356" t="inlineStr">
        <is>
          <t>aafc-aac</t>
        </is>
      </c>
      <c r="Y1356" t="inlineStr">
        <is>
          <t>Agriculture and Agri-Food Canada | Agriculture et Agroalimentaire Canada</t>
        </is>
      </c>
    </row>
    <row r="1357">
      <c r="A1357" t="inlineStr">
        <is>
          <t>T-2019-P5-0031</t>
        </is>
      </c>
      <c r="B1357" t="inlineStr">
        <is>
          <t>SLE</t>
        </is>
      </c>
      <c r="C1357" t="inlineStr">
        <is>
          <t>Assistant Deputy Minister, International Affairs Branch</t>
        </is>
      </c>
      <c r="D1357" t="inlineStr">
        <is>
          <t>Sous-ministre adjoint, Direction générale des affaires internationales</t>
        </is>
      </c>
      <c r="E1357" t="inlineStr">
        <is>
          <t>Fred Gorrell</t>
        </is>
      </c>
      <c r="F1357" t="inlineStr">
        <is>
          <t>Domestic outreach and meeting with industry</t>
        </is>
      </c>
      <c r="G1357" t="inlineStr">
        <is>
          <t>Des activités de sensibilisation nationales et réunion avec l’industrie</t>
        </is>
      </c>
      <c r="H1357" s="1" t="n">
        <v>43667</v>
      </c>
      <c r="I1357" s="1" t="n">
        <v>43670</v>
      </c>
      <c r="J1357" t="inlineStr">
        <is>
          <t>St. John 's (Newfoundland) Canada;
Winnipeg (Manitoba) Canada</t>
        </is>
      </c>
      <c r="K1357" t="inlineStr">
        <is>
          <t>St. John's (Terre-Neuve) Canada;
Winnipeg (Manitoba) Canada</t>
        </is>
      </c>
      <c r="P1357" t="n">
        <v>2098.01</v>
      </c>
      <c r="Q1357" t="n">
        <v>187.9</v>
      </c>
      <c r="R1357" t="n">
        <v>509.87</v>
      </c>
      <c r="S1357" t="n">
        <v>322.45</v>
      </c>
      <c r="T1357" t="n">
        <v>0</v>
      </c>
      <c r="U1357" t="n">
        <v>3118.23</v>
      </c>
      <c r="X1357" t="inlineStr">
        <is>
          <t>aafc-aac</t>
        </is>
      </c>
      <c r="Y1357" t="inlineStr">
        <is>
          <t>Agriculture and Agri-Food Canada | Agriculture et Agroalimentaire Canada</t>
        </is>
      </c>
    </row>
    <row r="1358">
      <c r="A1358" t="inlineStr">
        <is>
          <t>T-2019-P5-0032</t>
        </is>
      </c>
      <c r="B1358" t="inlineStr">
        <is>
          <t>SLE</t>
        </is>
      </c>
      <c r="C1358" t="inlineStr">
        <is>
          <t>Assistant Deputy Minister, Market and Industry Services Branch</t>
        </is>
      </c>
      <c r="D1358" t="inlineStr">
        <is>
          <t>Sous-ministre adjoint, Direction générale des services à l'industrie et aux marchés</t>
        </is>
      </c>
      <c r="E1358" t="inlineStr">
        <is>
          <t>Frédéric Seppey</t>
        </is>
      </c>
      <c r="F1358" t="inlineStr">
        <is>
          <t>Attend the strategic management retreat of the regional operations directorate at the Guelph regional office.</t>
        </is>
      </c>
      <c r="G1358" t="inlineStr">
        <is>
          <t>Participation à la retraite stratégique de gestion de la Direction des opérations régionales au bureau régional de Guelph.</t>
        </is>
      </c>
      <c r="H1358" s="1" t="n">
        <v>43621</v>
      </c>
      <c r="I1358" s="1" t="n">
        <v>43622</v>
      </c>
      <c r="J1358" t="inlineStr">
        <is>
          <t>Guelph (Ontario) Canada</t>
        </is>
      </c>
      <c r="K1358" t="inlineStr">
        <is>
          <t>Guelph (Ontario) Canada</t>
        </is>
      </c>
      <c r="P1358" t="n">
        <v>456.18</v>
      </c>
      <c r="Q1358" t="n">
        <v>315.18</v>
      </c>
      <c r="R1358" t="n">
        <v>166.11</v>
      </c>
      <c r="S1358" t="n">
        <v>166.45</v>
      </c>
      <c r="T1358" t="n">
        <v>0</v>
      </c>
      <c r="U1358" t="n">
        <v>1103.92</v>
      </c>
      <c r="X1358" t="inlineStr">
        <is>
          <t>aafc-aac</t>
        </is>
      </c>
      <c r="Y1358" t="inlineStr">
        <is>
          <t>Agriculture and Agri-Food Canada | Agriculture et Agroalimentaire Canada</t>
        </is>
      </c>
    </row>
    <row r="1359">
      <c r="A1359" t="inlineStr">
        <is>
          <t>T-2019-P5-0033</t>
        </is>
      </c>
      <c r="B1359" t="inlineStr">
        <is>
          <t>SLE</t>
        </is>
      </c>
      <c r="C1359" t="inlineStr">
        <is>
          <t>Assistant Deputy Minister, Market and Industry Services Branch</t>
        </is>
      </c>
      <c r="D1359" t="inlineStr">
        <is>
          <t>Sous-ministre adjoint, Direction générale des services à l'industrie et aux marchés</t>
        </is>
      </c>
      <c r="E1359" t="inlineStr">
        <is>
          <t>Frédéric Seppey</t>
        </is>
      </c>
      <c r="F1359" t="inlineStr">
        <is>
          <t>From June 21 to 25, participate at the Food and Agriculture Organization Conference in Rome as Head of Delegation for Canada (replacing the Minister). In Geneva, participate as speaker  to the World Trade Organization Symposium on June 27 and 28.</t>
        </is>
      </c>
      <c r="G1359" t="inlineStr">
        <is>
          <t>Du 21 au 25 juin, participation à la conférence de l'Organisation (des Nations-Unis) pour l'alimentation et l'agriculture à Rome en tant que chef de délégation pour le Canada (en remplacement de la Ministre). A Genève, participation (en tant que conférencier) au Symposium de l'Organisation mondiale du commerce les 27 et 28 juin.</t>
        </is>
      </c>
      <c r="H1359" s="1" t="n">
        <v>43637</v>
      </c>
      <c r="I1359" s="1" t="n">
        <v>43645</v>
      </c>
      <c r="J1359" t="inlineStr">
        <is>
          <t>Rome (Italy); Geneva (Switzerland)</t>
        </is>
      </c>
      <c r="K1359" t="inlineStr">
        <is>
          <t>Rome (Italie); Genève (Suisse)</t>
        </is>
      </c>
      <c r="P1359" t="n">
        <v>6179.14</v>
      </c>
      <c r="Q1359" t="n">
        <v>501.05</v>
      </c>
      <c r="R1359" t="n">
        <v>2094.62</v>
      </c>
      <c r="S1359" t="n">
        <v>1940.71</v>
      </c>
      <c r="T1359" t="n">
        <v>9</v>
      </c>
      <c r="U1359" t="n">
        <v>10724.52</v>
      </c>
      <c r="X1359" t="inlineStr">
        <is>
          <t>aafc-aac</t>
        </is>
      </c>
      <c r="Y1359" t="inlineStr">
        <is>
          <t>Agriculture and Agri-Food Canada | Agriculture et Agroalimentaire Canada</t>
        </is>
      </c>
    </row>
    <row r="1360">
      <c r="A1360" t="inlineStr">
        <is>
          <t>T-2019-P5-0034</t>
        </is>
      </c>
      <c r="B1360" t="inlineStr">
        <is>
          <t>SLE</t>
        </is>
      </c>
      <c r="C1360" t="inlineStr">
        <is>
          <t>Assistant Deputy Minister, Market and Industry Services Branch</t>
        </is>
      </c>
      <c r="D1360" t="inlineStr">
        <is>
          <t>Sous-ministre adjoint, Direction générale des services à l'industrie et aux marchés</t>
        </is>
      </c>
      <c r="E1360" t="inlineStr">
        <is>
          <t>Frédéric Seppey</t>
        </is>
      </c>
      <c r="F1360" t="inlineStr">
        <is>
          <t>Attend the Canadian Horticultural Council - Board Summer business Tour as lead Assistant Deputy Minister for horticulture in Agriculture and Agri-Food Canada.</t>
        </is>
      </c>
      <c r="G1360" t="inlineStr">
        <is>
          <t>Participation à la visite d'entreprises estivale du conseil d'administration du Conseil canadien de l'horticulture en tant que sous-ministre adjoint responsable de l'horticulture au sein d'Agriculture et Agroalimentaire Canada.</t>
        </is>
      </c>
      <c r="H1360" s="1" t="n">
        <v>43654</v>
      </c>
      <c r="I1360" s="1" t="n">
        <v>43655</v>
      </c>
      <c r="J1360" t="inlineStr">
        <is>
          <t>Toronto (Ontario) Canada</t>
        </is>
      </c>
      <c r="K1360" t="inlineStr">
        <is>
          <t>Toronto (Ontario) Canada</t>
        </is>
      </c>
      <c r="P1360" t="n">
        <v>590.14</v>
      </c>
      <c r="Q1360" t="n">
        <v>89.56</v>
      </c>
      <c r="R1360" t="n">
        <v>182.16</v>
      </c>
      <c r="S1360" t="n">
        <v>85.25</v>
      </c>
      <c r="T1360" t="n">
        <v>0</v>
      </c>
      <c r="U1360" t="n">
        <v>947.11</v>
      </c>
      <c r="X1360" t="inlineStr">
        <is>
          <t>aafc-aac</t>
        </is>
      </c>
      <c r="Y1360" t="inlineStr">
        <is>
          <t>Agriculture and Agri-Food Canada | Agriculture et Agroalimentaire Canada</t>
        </is>
      </c>
    </row>
    <row r="1361">
      <c r="A1361" t="inlineStr">
        <is>
          <t>T-2019-P5-0035</t>
        </is>
      </c>
      <c r="B1361" t="inlineStr">
        <is>
          <t>SLE</t>
        </is>
      </c>
      <c r="C1361" t="inlineStr">
        <is>
          <t>Associate Assistant Deputy Mininister, Science and Technology Branch</t>
        </is>
      </c>
      <c r="D1361" t="inlineStr">
        <is>
          <t>Sous-ministre adjoint délégué, Direction générale des sciences et de la technologie</t>
        </is>
      </c>
      <c r="E1361" t="inlineStr">
        <is>
          <t>Gilles Saindon</t>
        </is>
      </c>
      <c r="F1361" t="inlineStr">
        <is>
          <t>Outreach to the Fredericton Research and Development Centre, all-staff meeting &amp; meeting with provincial counterparts.</t>
        </is>
      </c>
      <c r="G1361" t="inlineStr">
        <is>
          <t xml:space="preserve">Visite au Centre de recherche et de développement de Fredericton, réunion du personnel et réunion avec des homologues du gouvernement provincial. </t>
        </is>
      </c>
      <c r="H1361" s="1" t="n">
        <v>43662</v>
      </c>
      <c r="I1361" s="1" t="n">
        <v>43665</v>
      </c>
      <c r="J1361" t="inlineStr">
        <is>
          <t>Fredericton (New Brunswick) Canada</t>
        </is>
      </c>
      <c r="K1361" t="inlineStr">
        <is>
          <t>Fredericton (Nouveau-Brunswick) Canada</t>
        </is>
      </c>
      <c r="P1361" t="n">
        <v>588.38</v>
      </c>
      <c r="Q1361" t="n">
        <v>290.93</v>
      </c>
      <c r="R1361" t="n">
        <v>503.7</v>
      </c>
      <c r="S1361" t="n">
        <v>322.85</v>
      </c>
      <c r="T1361" t="n">
        <v>0</v>
      </c>
      <c r="U1361" t="n">
        <v>1705.86</v>
      </c>
      <c r="X1361" t="inlineStr">
        <is>
          <t>aafc-aac</t>
        </is>
      </c>
      <c r="Y1361" t="inlineStr">
        <is>
          <t>Agriculture and Agri-Food Canada | Agriculture et Agroalimentaire Canada</t>
        </is>
      </c>
    </row>
    <row r="1362">
      <c r="A1362" t="inlineStr">
        <is>
          <t>T-2019-P5-0036</t>
        </is>
      </c>
      <c r="B1362" t="inlineStr">
        <is>
          <t>SLE</t>
        </is>
      </c>
      <c r="C1362" t="inlineStr">
        <is>
          <t>Associate Assistant Deputy Mininister, Science and Technology Branch</t>
        </is>
      </c>
      <c r="D1362" t="inlineStr">
        <is>
          <t>Sous-ministre adjoint délégué, Direction générale des sciences et de la technologie</t>
        </is>
      </c>
      <c r="E1362" t="inlineStr">
        <is>
          <t>Gilles Saindon</t>
        </is>
      </c>
      <c r="F1362" t="inlineStr">
        <is>
          <t>Outreach to the Saskatoon Research and Development Centre, local management meeting &amp; meeting with Provincial Counterparts.  Participate at the Meeting of the Institutions' Coordination Committee (ICC) for the Wheat Initiative.</t>
        </is>
      </c>
      <c r="G1362" t="inlineStr">
        <is>
          <t>Visite  au Centre de recherche et de développement de  Saskatoon, réunion du personnel de gestion et réunions avec des homologues du gouvernement provincial.  Participation à la réunion "Institutions' Coordination Committee (ICC) for the Wheat Initiative".</t>
        </is>
      </c>
      <c r="H1362" s="1" t="n">
        <v>43671</v>
      </c>
      <c r="I1362" s="1" t="n">
        <v>43674</v>
      </c>
      <c r="J1362" t="inlineStr">
        <is>
          <t>Saskatoon (Saskatchewan) Canada</t>
        </is>
      </c>
      <c r="K1362" t="inlineStr">
        <is>
          <t>Saskatoon (Saskatchewan) Canada</t>
        </is>
      </c>
      <c r="P1362" t="n">
        <v>906.9299999999999</v>
      </c>
      <c r="Q1362" t="n">
        <v>150</v>
      </c>
      <c r="R1362" t="n">
        <v>497.34</v>
      </c>
      <c r="S1362" t="n">
        <v>383.55</v>
      </c>
      <c r="T1362" t="n">
        <v>0</v>
      </c>
      <c r="U1362" t="n">
        <v>1937.82</v>
      </c>
      <c r="X1362" t="inlineStr">
        <is>
          <t>aafc-aac</t>
        </is>
      </c>
      <c r="Y1362" t="inlineStr">
        <is>
          <t>Agriculture and Agri-Food Canada | Agriculture et Agroalimentaire Canada</t>
        </is>
      </c>
    </row>
    <row r="1363">
      <c r="A1363" t="inlineStr">
        <is>
          <t>T-2019-P5-0037</t>
        </is>
      </c>
      <c r="B1363" t="inlineStr">
        <is>
          <t>SLE</t>
        </is>
      </c>
      <c r="C1363" t="inlineStr">
        <is>
          <t>Associate Assistant Deputy Mininister, Science and Technology Branch</t>
        </is>
      </c>
      <c r="D1363" t="inlineStr">
        <is>
          <t>Sous-ministre adjoint délégué, Direction générale des sciences et de la technologie</t>
        </is>
      </c>
      <c r="E1363" t="inlineStr">
        <is>
          <t>Gilles Saindon</t>
        </is>
      </c>
      <c r="F1363" t="inlineStr">
        <is>
          <t>Outreach to Winnipeg and Morden Research and Development Centres, all-staff meeting &amp; meeting with provincial counterparts.</t>
        </is>
      </c>
      <c r="G1363" t="inlineStr">
        <is>
          <t xml:space="preserve">Visite au Centres de recherche et de développement de Winnipeg et Morden, réunion du personnel et réunion avec des homologues du gouvernement provincial. </t>
        </is>
      </c>
      <c r="H1363" s="1" t="n">
        <v>43690</v>
      </c>
      <c r="I1363" s="1" t="n">
        <v>43692</v>
      </c>
      <c r="J1363" t="inlineStr">
        <is>
          <t>Winnipeg (Manitoba) Canada; Morden (Manitoba) Canada</t>
        </is>
      </c>
      <c r="K1363" t="inlineStr">
        <is>
          <t>Winnipeg (Manitoba) Canada; Morden (Manitoba) Canada</t>
        </is>
      </c>
      <c r="P1363" t="n">
        <v>705.66</v>
      </c>
      <c r="Q1363" t="n">
        <v>72</v>
      </c>
      <c r="R1363" t="n">
        <v>255.36</v>
      </c>
      <c r="S1363" t="n">
        <v>305.15</v>
      </c>
      <c r="T1363" t="n">
        <v>0</v>
      </c>
      <c r="U1363" t="n">
        <v>1338.17</v>
      </c>
      <c r="X1363" t="inlineStr">
        <is>
          <t>aafc-aac</t>
        </is>
      </c>
      <c r="Y1363" t="inlineStr">
        <is>
          <t>Agriculture and Agri-Food Canada | Agriculture et Agroalimentaire Canada</t>
        </is>
      </c>
    </row>
    <row r="1364">
      <c r="A1364" t="inlineStr">
        <is>
          <t>T-2019-P5-0038</t>
        </is>
      </c>
      <c r="B1364" t="inlineStr">
        <is>
          <t>SLE</t>
        </is>
      </c>
      <c r="C1364" t="inlineStr">
        <is>
          <t>Associate Assistant Deputy Mininister, Science and Technology Branch</t>
        </is>
      </c>
      <c r="D1364" t="inlineStr">
        <is>
          <t>Sous-ministre adjoint délégué, Direction générale des sciences et de la technologie</t>
        </is>
      </c>
      <c r="E1364" t="inlineStr">
        <is>
          <t>Gilles Saindon</t>
        </is>
      </c>
      <c r="F1364" t="inlineStr">
        <is>
          <t>Outreach to St. John's Research and Development Centre, local management meeting &amp; meeting with provincial counterparts.</t>
        </is>
      </c>
      <c r="G1364" t="inlineStr">
        <is>
          <t>Visite au Centre de recherche et de développement de St. John's, réunion du personnel de gestion et réunion avec des homologues du gouvernement provincial.</t>
        </is>
      </c>
      <c r="H1364" s="1" t="n">
        <v>43697</v>
      </c>
      <c r="I1364" s="1" t="n">
        <v>43699</v>
      </c>
      <c r="J1364" t="inlineStr">
        <is>
          <t>St. John's (Newfoundland) Canada</t>
        </is>
      </c>
      <c r="K1364" t="inlineStr">
        <is>
          <t>St. John's (Terre-Neuve) Canada</t>
        </is>
      </c>
      <c r="P1364" t="n">
        <v>1166.74</v>
      </c>
      <c r="Q1364" t="n">
        <v>136</v>
      </c>
      <c r="R1364" t="n">
        <v>354.62</v>
      </c>
      <c r="S1364" t="n">
        <v>305.15</v>
      </c>
      <c r="T1364" t="n">
        <v>0</v>
      </c>
      <c r="U1364" t="n">
        <v>1962.51</v>
      </c>
      <c r="X1364" t="inlineStr">
        <is>
          <t>aafc-aac</t>
        </is>
      </c>
      <c r="Y1364" t="inlineStr">
        <is>
          <t>Agriculture and Agri-Food Canada | Agriculture et Agroalimentaire Canada</t>
        </is>
      </c>
    </row>
    <row r="1365">
      <c r="A1365" t="inlineStr">
        <is>
          <t>T-2019-P5-0039</t>
        </is>
      </c>
      <c r="B1365" t="inlineStr">
        <is>
          <t>SLE</t>
        </is>
      </c>
      <c r="C1365" t="inlineStr">
        <is>
          <t>Assistant Deputy Minister, Programs Branch</t>
        </is>
      </c>
      <c r="D1365" t="inlineStr">
        <is>
          <t>Sous-ministre adjoint, Direction générale des programmes</t>
        </is>
      </c>
      <c r="E1365" t="inlineStr">
        <is>
          <t>Jane Taylor</t>
        </is>
      </c>
      <c r="F1365" t="inlineStr">
        <is>
          <t>Attend Annual Conference of Federal-Provincial-Territorial Ministers and Deputy Ministers of Agriculture.</t>
        </is>
      </c>
      <c r="G1365" t="inlineStr">
        <is>
          <t>Participer à la Conférence annuelle des ministres et des sous-ministres fédéraux, provinciaux et territoriaux de l’Agriculture</t>
        </is>
      </c>
      <c r="H1365" s="1" t="n">
        <v>43662</v>
      </c>
      <c r="I1365" s="1" t="n">
        <v>43665</v>
      </c>
      <c r="J1365" t="inlineStr">
        <is>
          <t>Quebec (Quebec) Canada</t>
        </is>
      </c>
      <c r="K1365" t="inlineStr">
        <is>
          <t>Québec (Québec) Canada</t>
        </is>
      </c>
      <c r="P1365" t="n">
        <v>695.5599999999999</v>
      </c>
      <c r="Q1365" t="n">
        <v>43</v>
      </c>
      <c r="R1365" t="n">
        <v>960.33</v>
      </c>
      <c r="S1365" t="n">
        <v>211.1</v>
      </c>
      <c r="T1365" t="n">
        <v>375</v>
      </c>
      <c r="U1365" t="n">
        <v>2284.99</v>
      </c>
      <c r="V1365" t="inlineStr">
        <is>
          <t>Other expenses: Conference fee</t>
        </is>
      </c>
      <c r="W1365" t="inlineStr">
        <is>
          <t>Autres dépenses: Frais d'inscription à la  conférence</t>
        </is>
      </c>
      <c r="X1365" t="inlineStr">
        <is>
          <t>aafc-aac</t>
        </is>
      </c>
      <c r="Y1365" t="inlineStr">
        <is>
          <t>Agriculture and Agri-Food Canada | Agriculture et Agroalimentaire Canada</t>
        </is>
      </c>
    </row>
    <row r="1366">
      <c r="A1366" t="inlineStr">
        <is>
          <t>T-2019-P5-0040</t>
        </is>
      </c>
      <c r="B1366" t="inlineStr">
        <is>
          <t>SLE</t>
        </is>
      </c>
      <c r="C1366" t="inlineStr">
        <is>
          <t>Assistant Deputy Minister, Strategic Policy Branch</t>
        </is>
      </c>
      <c r="D1366" t="inlineStr">
        <is>
          <t>Sous-ministre adjoint, Direction générale des politiques stratégiques</t>
        </is>
      </c>
      <c r="E1366" t="inlineStr">
        <is>
          <t>Tom Rosser</t>
        </is>
      </c>
      <c r="F1366" t="inlineStr">
        <is>
          <t>Attend the Canadian Horticultural Council Conference</t>
        </is>
      </c>
      <c r="G1366" t="inlineStr">
        <is>
          <t>Assister à la conférence du Conseil canadien de l'horticulture.</t>
        </is>
      </c>
      <c r="H1366" s="1" t="n">
        <v>43654</v>
      </c>
      <c r="I1366" s="1" t="n">
        <v>43655</v>
      </c>
      <c r="J1366" t="inlineStr">
        <is>
          <t>Toronto (Ontario) Canada</t>
        </is>
      </c>
      <c r="K1366" t="inlineStr">
        <is>
          <t>Toronto (Ontario) Canada</t>
        </is>
      </c>
      <c r="P1366" t="n">
        <v>707.89</v>
      </c>
      <c r="Q1366" t="n">
        <v>80</v>
      </c>
      <c r="R1366" t="n">
        <v>175.1</v>
      </c>
      <c r="S1366" t="n">
        <v>145.95</v>
      </c>
      <c r="T1366" t="n">
        <v>0</v>
      </c>
      <c r="U1366" t="n">
        <v>1108.94</v>
      </c>
      <c r="X1366" t="inlineStr">
        <is>
          <t>aafc-aac</t>
        </is>
      </c>
      <c r="Y1366" t="inlineStr">
        <is>
          <t>Agriculture and Agri-Food Canada | Agriculture et Agroalimentaire Canada</t>
        </is>
      </c>
    </row>
    <row r="1367">
      <c r="A1367" t="inlineStr">
        <is>
          <t>T-2019-P5-0041</t>
        </is>
      </c>
      <c r="B1367" t="inlineStr">
        <is>
          <t>SLE</t>
        </is>
      </c>
      <c r="C1367" t="inlineStr">
        <is>
          <t>Assistant Deputy Minister, Strategic Policy Branch</t>
        </is>
      </c>
      <c r="D1367" t="inlineStr">
        <is>
          <t>Sous-ministre adjoint, Direction générale des politiques stratégiques</t>
        </is>
      </c>
      <c r="E1367" t="inlineStr">
        <is>
          <t>Tom Rosser</t>
        </is>
      </c>
      <c r="F1367" t="inlineStr">
        <is>
          <t>Attend Annual Conference of Federal-Provincial-Territorial Ministers and Deputy Ministers of Agriculture.</t>
        </is>
      </c>
      <c r="G1367" t="inlineStr">
        <is>
          <t>Participer à la Conférence annuelle des ministres et des sous-ministres fédéraux, provinciaux et territoriaux de l’Agriculture</t>
        </is>
      </c>
      <c r="H1367" s="1" t="n">
        <v>43662</v>
      </c>
      <c r="I1367" s="1" t="n">
        <v>43665</v>
      </c>
      <c r="J1367" t="inlineStr">
        <is>
          <t>Quebec (Quebec) Canada</t>
        </is>
      </c>
      <c r="K1367" t="inlineStr">
        <is>
          <t>Québec (Québec) Canada</t>
        </is>
      </c>
      <c r="P1367" t="n">
        <v>1083.66</v>
      </c>
      <c r="Q1367" t="n">
        <v>165</v>
      </c>
      <c r="R1367" t="n">
        <v>960.33</v>
      </c>
      <c r="S1367" t="n">
        <v>251.3</v>
      </c>
      <c r="T1367" t="n">
        <v>425</v>
      </c>
      <c r="U1367" t="n">
        <v>2885.29</v>
      </c>
      <c r="V1367" t="inlineStr">
        <is>
          <t>Other expenses: Conference fee</t>
        </is>
      </c>
      <c r="W1367" t="inlineStr">
        <is>
          <t>Autres dépenses: Frais d'inscription à la  conférence</t>
        </is>
      </c>
      <c r="X1367" t="inlineStr">
        <is>
          <t>aafc-aac</t>
        </is>
      </c>
      <c r="Y1367" t="inlineStr">
        <is>
          <t>Agriculture and Agri-Food Canada | Agriculture et Agroalimentaire Canada</t>
        </is>
      </c>
    </row>
    <row r="1368">
      <c r="A1368" t="inlineStr">
        <is>
          <t>T-2019-P5-0042</t>
        </is>
      </c>
      <c r="B1368" t="inlineStr">
        <is>
          <t>SLE</t>
        </is>
      </c>
      <c r="C1368" t="inlineStr">
        <is>
          <t>Assistant Deputy Minister, Strategic Policy Branch</t>
        </is>
      </c>
      <c r="D1368" t="inlineStr">
        <is>
          <t>Sous-ministre adjoint, Direction générale des politiques stratégiques</t>
        </is>
      </c>
      <c r="E1368" t="inlineStr">
        <is>
          <t>Tom Rosser</t>
        </is>
      </c>
      <c r="F1368" t="inlineStr">
        <is>
          <t>Attend a meeting of the Ontario Dairy Council.</t>
        </is>
      </c>
      <c r="G1368" t="inlineStr">
        <is>
          <t>Assister à une réunion du Ontario Dairy Council.</t>
        </is>
      </c>
      <c r="H1368" s="1" t="n">
        <v>43618</v>
      </c>
      <c r="I1368" s="1" t="n">
        <v>43619</v>
      </c>
      <c r="J1368" t="inlineStr">
        <is>
          <t>Niagara Falls (Ontario) Canada</t>
        </is>
      </c>
      <c r="K1368" t="inlineStr">
        <is>
          <t>Niagara Falls (Ontario) Canada</t>
        </is>
      </c>
      <c r="P1368" t="n">
        <v>903.83</v>
      </c>
      <c r="Q1368" t="n">
        <v>197.79</v>
      </c>
      <c r="R1368" t="n">
        <v>190.27</v>
      </c>
      <c r="S1368" t="n">
        <v>156.4</v>
      </c>
      <c r="T1368" t="n">
        <v>0</v>
      </c>
      <c r="U1368" t="n">
        <v>1448.29</v>
      </c>
      <c r="X1368" t="inlineStr">
        <is>
          <t>aafc-aac</t>
        </is>
      </c>
      <c r="Y1368" t="inlineStr">
        <is>
          <t>Agriculture and Agri-Food Canada | Agriculture et Agroalimentaire Canada</t>
        </is>
      </c>
    </row>
    <row r="1369">
      <c r="A1369" t="inlineStr">
        <is>
          <t>T-2019-P6-0001</t>
        </is>
      </c>
      <c r="B1369" t="inlineStr">
        <is>
          <t>MPSES</t>
        </is>
      </c>
      <c r="C1369" t="inlineStr">
        <is>
          <t xml:space="preserve">Minister </t>
        </is>
      </c>
      <c r="D1369" t="inlineStr">
        <is>
          <t>Ministre</t>
        </is>
      </c>
      <c r="E1369" t="inlineStr">
        <is>
          <t>Marie-Claude Bibeau</t>
        </is>
      </c>
      <c r="F1369" t="inlineStr">
        <is>
          <t>Make announcements in Lac-Saint-Jean; attend a roundtable with stakeholders in Montreal; make an announcement in Saint-Pie</t>
        </is>
      </c>
      <c r="G1369" t="inlineStr">
        <is>
          <t>Faire des annonces au Lac-Saint-Jean; assister à une table ronde avec des intervenants clés à Montréal; faire une annonce à Saint-Pie</t>
        </is>
      </c>
      <c r="H1369" s="1" t="n">
        <v>43698</v>
      </c>
      <c r="I1369" s="1" t="n">
        <v>43699</v>
      </c>
      <c r="J1369" t="inlineStr">
        <is>
          <t>Lac-Saint-Jean (Quebec) Canada; Montreal (Quebec) Canada; Saint-Pie (Quebec) Canada</t>
        </is>
      </c>
      <c r="K1369" t="inlineStr">
        <is>
          <t>Lac-Saint-Jean (Québec) Canada; Montréal (Québec) Canada; Saint-Pie (Québec) Canada</t>
        </is>
      </c>
      <c r="P1369" t="n">
        <v>0</v>
      </c>
      <c r="Q1369" t="n">
        <v>0</v>
      </c>
      <c r="R1369" t="n">
        <v>147.56</v>
      </c>
      <c r="S1369" t="n">
        <v>146.35</v>
      </c>
      <c r="T1369" t="n">
        <v>0</v>
      </c>
      <c r="U1369" t="n">
        <v>293.91</v>
      </c>
      <c r="X1369" t="inlineStr">
        <is>
          <t>aafc-aac</t>
        </is>
      </c>
      <c r="Y1369" t="inlineStr">
        <is>
          <t>Agriculture and Agri-Food Canada | Agriculture et Agroalimentaire Canada</t>
        </is>
      </c>
    </row>
    <row r="1370">
      <c r="A1370" t="inlineStr">
        <is>
          <t>T-2019-P6-0002</t>
        </is>
      </c>
      <c r="B1370" t="inlineStr">
        <is>
          <t>MPSES</t>
        </is>
      </c>
      <c r="C1370" t="inlineStr">
        <is>
          <t xml:space="preserve">Minister </t>
        </is>
      </c>
      <c r="D1370" t="inlineStr">
        <is>
          <t>Ministre</t>
        </is>
      </c>
      <c r="E1370" t="inlineStr">
        <is>
          <t>Marie-Claude Bibeau</t>
        </is>
      </c>
      <c r="F1370" t="inlineStr">
        <is>
          <t>Make announcements in Rouyn-Noranda; attend Canada’s Outstanding Young Farmers Gala</t>
        </is>
      </c>
      <c r="G1370" t="inlineStr">
        <is>
          <t>Faire des annonces à Rouyn-Noranda; assister au Gala des Jeunes agriculteurs d’élite du Canada</t>
        </is>
      </c>
      <c r="H1370" s="1" t="n">
        <v>43702</v>
      </c>
      <c r="I1370" s="1" t="n">
        <v>43704</v>
      </c>
      <c r="J1370" t="inlineStr">
        <is>
          <t>Rouyn-Noranda (Quebec) Canada; Montreal (Quebec) Canada</t>
        </is>
      </c>
      <c r="K1370" t="inlineStr">
        <is>
          <t>Rouyn-Noranda (Québec) Canada; Montréal (Québec) Canada</t>
        </is>
      </c>
      <c r="P1370" t="n">
        <v>1334.74</v>
      </c>
      <c r="Q1370" t="n">
        <v>0</v>
      </c>
      <c r="R1370" t="n">
        <v>381.4</v>
      </c>
      <c r="S1370" t="n">
        <v>166.45</v>
      </c>
      <c r="T1370" t="n">
        <v>0</v>
      </c>
      <c r="U1370" t="n">
        <v>1882.59</v>
      </c>
      <c r="V1370" t="inlineStr">
        <is>
          <t xml:space="preserve">Air Canada flight was cancelled. A refund will be issued at a later date. </t>
        </is>
      </c>
      <c r="W1370" t="inlineStr">
        <is>
          <t>Le vol d'Air Canada a été annulé. Un remboursement suivra à une date ultérieure.</t>
        </is>
      </c>
      <c r="X1370" t="inlineStr">
        <is>
          <t>aafc-aac</t>
        </is>
      </c>
      <c r="Y1370" t="inlineStr">
        <is>
          <t>Agriculture and Agri-Food Canada | Agriculture et Agroalimentaire Canada</t>
        </is>
      </c>
    </row>
    <row r="1371">
      <c r="A1371" t="inlineStr">
        <is>
          <t>T-2019-P6-0003</t>
        </is>
      </c>
      <c r="B1371" t="inlineStr">
        <is>
          <t>MPSES</t>
        </is>
      </c>
      <c r="C1371" t="inlineStr">
        <is>
          <t>Press Secretary</t>
        </is>
      </c>
      <c r="D1371" t="inlineStr">
        <is>
          <t>Attachée de Presse</t>
        </is>
      </c>
      <c r="E1371" t="inlineStr">
        <is>
          <t>Justine Lesage</t>
        </is>
      </c>
      <c r="F1371" t="inlineStr">
        <is>
          <t>Accompany the Minister for announcements in Lac-Saint-Jean; accompany the Minister to a roundtable with stakeholders in Montreal; accompany the Minister for an announcement in Saint-Pie</t>
        </is>
      </c>
      <c r="G1371" t="inlineStr">
        <is>
          <t>Accompagner la ministre à des annonces au Lac-Saint-Jean; accompagner la ministre à une table ronde avec des intervenants clés à Montréal; accompagner la ministre à une annonce à Saint-Pie</t>
        </is>
      </c>
      <c r="H1371" s="1" t="n">
        <v>43698</v>
      </c>
      <c r="I1371" s="1" t="n">
        <v>43699</v>
      </c>
      <c r="J1371" t="inlineStr">
        <is>
          <t>Lac-Saint-Jean (Quebec) Canada; Montreal (Quebec) Canada; Saint-Pie (Quebec) Canada</t>
        </is>
      </c>
      <c r="K1371" t="inlineStr">
        <is>
          <t>Lac-Saint-Jean (Québec) Canada; Montréal (Québec) Canada; Saint-Pie (Québec) Canada</t>
        </is>
      </c>
      <c r="P1371" t="n">
        <v>0</v>
      </c>
      <c r="Q1371" t="n">
        <v>284.2</v>
      </c>
      <c r="R1371" t="n">
        <v>111.85</v>
      </c>
      <c r="S1371" t="n">
        <v>146.35</v>
      </c>
      <c r="T1371" t="n">
        <v>0</v>
      </c>
      <c r="U1371" t="n">
        <v>542.4</v>
      </c>
      <c r="X1371" t="inlineStr">
        <is>
          <t>aafc-aac</t>
        </is>
      </c>
      <c r="Y1371" t="inlineStr">
        <is>
          <t>Agriculture and Agri-Food Canada | Agriculture et Agroalimentaire Canada</t>
        </is>
      </c>
    </row>
    <row r="1372">
      <c r="A1372" t="inlineStr">
        <is>
          <t>T-2019-P6-0004</t>
        </is>
      </c>
      <c r="B1372" t="inlineStr">
        <is>
          <t>MPSES</t>
        </is>
      </c>
      <c r="C1372" t="inlineStr">
        <is>
          <t>Press Secretary</t>
        </is>
      </c>
      <c r="D1372" t="inlineStr">
        <is>
          <t>Attachée de Presse</t>
        </is>
      </c>
      <c r="E1372" t="inlineStr">
        <is>
          <t>Justine Lesage</t>
        </is>
      </c>
      <c r="F1372" t="inlineStr">
        <is>
          <t>Accompany the Minister for announcements in Rouyn-Noranda; accompany the Minister to Canada’s Outstanding Young Farmers Gala; accompany the Minister for an announcement in Bedford and Saint-Paul-d'Abbotsford</t>
        </is>
      </c>
      <c r="G1372" t="inlineStr">
        <is>
          <t>Accompagner la ministre à des annonces à Rouyn-Noranda; accompagner la ministre au Gala des Jeunes agriculteurs d’élite du Canada; accompagner la ministre à une annonce à Bedford et à Saint-Paul-d'Abbotsford</t>
        </is>
      </c>
      <c r="H1372" s="1" t="n">
        <v>43702</v>
      </c>
      <c r="I1372" s="1" t="n">
        <v>43705</v>
      </c>
      <c r="J1372" t="inlineStr">
        <is>
          <t>Rouyn-Noranda (Quebec) Canada; Montreal (Quebec) Canada; Bedford (Quebec) Canada; Saint-Paul-d'Abbotsford (Quebec) Canada</t>
        </is>
      </c>
      <c r="K1372" t="inlineStr">
        <is>
          <t>Rouyn-Noranda (Québec) Canada; Montréal (Québec) Canada; Bedford (Québec) Canada; Saint-Paul-d'Abbotsford (Québec) Canada</t>
        </is>
      </c>
      <c r="P1372" t="n">
        <v>1300.25</v>
      </c>
      <c r="Q1372" t="n">
        <v>89.76000000000001</v>
      </c>
      <c r="R1372" t="n">
        <v>281.37</v>
      </c>
      <c r="S1372" t="n">
        <v>204.25</v>
      </c>
      <c r="T1372" t="n">
        <v>0</v>
      </c>
      <c r="U1372" t="n">
        <v>1875.63</v>
      </c>
      <c r="V1372" t="inlineStr">
        <is>
          <t xml:space="preserve">Air Canada flight was cancelled. A refund will be issued at a later date. </t>
        </is>
      </c>
      <c r="W1372" t="inlineStr">
        <is>
          <t>Le vol d'Air Canada a été annulé.  Un remboursement suivra à une date ultérieure.</t>
        </is>
      </c>
      <c r="X1372" t="inlineStr">
        <is>
          <t>aafc-aac</t>
        </is>
      </c>
      <c r="Y1372" t="inlineStr">
        <is>
          <t>Agriculture and Agri-Food Canada | Agriculture et Agroalimentaire Canada</t>
        </is>
      </c>
    </row>
    <row r="1373">
      <c r="A1373" t="inlineStr">
        <is>
          <t>T-2019-P6-0005</t>
        </is>
      </c>
      <c r="B1373" t="inlineStr">
        <is>
          <t>MPSES</t>
        </is>
      </c>
      <c r="C1373" t="inlineStr">
        <is>
          <t>Driver</t>
        </is>
      </c>
      <c r="D1373" t="inlineStr">
        <is>
          <t>Conducteur</t>
        </is>
      </c>
      <c r="E1373" t="inlineStr">
        <is>
          <t>Michel Gendreau</t>
        </is>
      </c>
      <c r="F1373" t="inlineStr">
        <is>
          <t>Drive the Minister for announcements in Saint-Hyacinthe, Bedford, Saint-Paul-D'Abbotsford and Sherbooke</t>
        </is>
      </c>
      <c r="G1373" t="inlineStr">
        <is>
          <t>Conduire la ministre à des annonces à Saint-Hyacinthe, Bedford, Saint-Paul-d'Abbotsford et Sherbrooke</t>
        </is>
      </c>
      <c r="H1373" s="1" t="n">
        <v>43704</v>
      </c>
      <c r="I1373" s="1" t="n">
        <v>43706</v>
      </c>
      <c r="J1373" t="inlineStr">
        <is>
          <t>Saint-Hyacinthe (Quebec) Canada; Bedford (Quebec) Canada; Saint-Paul-D'Abbotsford (Quebec) Canada; Sherbooke (Quebec) Canada</t>
        </is>
      </c>
      <c r="K1373" t="inlineStr">
        <is>
          <t>Saint-Hyacinthe (Québec) Canada; Bedford (Québec) Canada; Saint-Paul-D'Abbotsford (Québec) Canada; Sherbooke (Québec) Canada</t>
        </is>
      </c>
      <c r="P1373" t="n">
        <v>0</v>
      </c>
      <c r="Q1373" t="n">
        <v>3.1</v>
      </c>
      <c r="R1373" t="n">
        <v>327.82</v>
      </c>
      <c r="S1373" t="n">
        <v>325.65</v>
      </c>
      <c r="T1373" t="n">
        <v>0</v>
      </c>
      <c r="U1373" t="n">
        <v>656.5700000000001</v>
      </c>
      <c r="X1373" t="inlineStr">
        <is>
          <t>aafc-aac</t>
        </is>
      </c>
      <c r="Y1373" t="inlineStr">
        <is>
          <t>Agriculture and Agri-Food Canada | Agriculture et Agroalimentaire Canada</t>
        </is>
      </c>
    </row>
    <row r="1374">
      <c r="A1374" t="inlineStr">
        <is>
          <t>T-2019-P6-0006</t>
        </is>
      </c>
      <c r="B1374" t="inlineStr">
        <is>
          <t>MPSES</t>
        </is>
      </c>
      <c r="C1374" t="inlineStr">
        <is>
          <t>Driver</t>
        </is>
      </c>
      <c r="D1374" t="inlineStr">
        <is>
          <t>Conducteur</t>
        </is>
      </c>
      <c r="E1374" t="inlineStr">
        <is>
          <t>Michel Gendreau</t>
        </is>
      </c>
      <c r="F1374" t="inlineStr">
        <is>
          <t>Drive documents to the Minister from Ottawa to her riding</t>
        </is>
      </c>
      <c r="G1374" t="inlineStr">
        <is>
          <t>Aller porter des documents à la ministre (d'Ottawa à sa circonscription)</t>
        </is>
      </c>
      <c r="H1374" s="1" t="n">
        <v>43712</v>
      </c>
      <c r="I1374" s="1" t="n">
        <v>43712</v>
      </c>
      <c r="J1374" t="inlineStr">
        <is>
          <t>Sherbrooke (Quebec) Canada</t>
        </is>
      </c>
      <c r="K1374" t="inlineStr">
        <is>
          <t>Sherbrooke (Québec) Canada</t>
        </is>
      </c>
      <c r="P1374" t="n">
        <v>0</v>
      </c>
      <c r="Q1374" t="n">
        <v>10</v>
      </c>
      <c r="R1374" t="n">
        <v>0</v>
      </c>
      <c r="S1374" t="n">
        <v>50.65</v>
      </c>
      <c r="T1374" t="n">
        <v>0</v>
      </c>
      <c r="U1374" t="n">
        <v>60.65</v>
      </c>
      <c r="X1374" t="inlineStr">
        <is>
          <t>aafc-aac</t>
        </is>
      </c>
      <c r="Y1374" t="inlineStr">
        <is>
          <t>Agriculture and Agri-Food Canada | Agriculture et Agroalimentaire Canada</t>
        </is>
      </c>
    </row>
    <row r="1375">
      <c r="A1375" t="inlineStr">
        <is>
          <t>T-2019-P6-0007</t>
        </is>
      </c>
      <c r="B1375" t="inlineStr">
        <is>
          <t>MPSES</t>
        </is>
      </c>
      <c r="C1375" t="inlineStr">
        <is>
          <t>Senior Policy Advisor</t>
        </is>
      </c>
      <c r="D1375" t="inlineStr">
        <is>
          <t>Conseiller principal des politiques</t>
        </is>
      </c>
      <c r="E1375" t="inlineStr">
        <is>
          <t>Michel-Antoine Renaud</t>
        </is>
      </c>
      <c r="F1375" t="inlineStr">
        <is>
          <t>Accompany the Parliamentary Secretary for an announcement in Repentigny; accompany the Minister and the Parliamentary Secretary for an announcement in Compton</t>
        </is>
      </c>
      <c r="G1375" t="inlineStr">
        <is>
          <t>Accompagner le secrétaire parlementaire à une annonce à Repentigny; accompagner la ministre et le secrétaire parlementaire à une annonce à Compton</t>
        </is>
      </c>
      <c r="H1375" s="1" t="n">
        <v>43691</v>
      </c>
      <c r="I1375" s="1" t="n">
        <v>43693</v>
      </c>
      <c r="J1375" t="inlineStr">
        <is>
          <t>Repentigny (Quebec) Canada; Compton (Quebec) Canada</t>
        </is>
      </c>
      <c r="K1375" t="inlineStr">
        <is>
          <t>Repentigny (Québec) Canada; Compton (Québec) Canada</t>
        </is>
      </c>
      <c r="P1375" t="n">
        <v>0</v>
      </c>
      <c r="Q1375" t="n">
        <v>194.99</v>
      </c>
      <c r="R1375" t="n">
        <v>408.19</v>
      </c>
      <c r="S1375" t="n">
        <v>264.15</v>
      </c>
      <c r="T1375" t="n">
        <v>0</v>
      </c>
      <c r="U1375" t="n">
        <v>867.33</v>
      </c>
      <c r="X1375" t="inlineStr">
        <is>
          <t>aafc-aac</t>
        </is>
      </c>
      <c r="Y1375" t="inlineStr">
        <is>
          <t>Agriculture and Agri-Food Canada | Agriculture et Agroalimentaire Canada</t>
        </is>
      </c>
    </row>
    <row r="1376">
      <c r="A1376" t="inlineStr">
        <is>
          <t>T-2019-P6-0008</t>
        </is>
      </c>
      <c r="B1376" t="inlineStr">
        <is>
          <t>MPSES</t>
        </is>
      </c>
      <c r="C1376" t="inlineStr">
        <is>
          <t>Senior Policy Advisor</t>
        </is>
      </c>
      <c r="D1376" t="inlineStr">
        <is>
          <t>Conseiller principal des politiques</t>
        </is>
      </c>
      <c r="E1376" t="inlineStr">
        <is>
          <t>Michel-Antoine Renaud</t>
        </is>
      </c>
      <c r="F1376" t="inlineStr">
        <is>
          <t>Accompany the Minister for announcements in Lac-Saint-Jean; accompany the Minister to a roundtable with stakeholders in Montreal; accompany the Minister for an announcement in Saint-Pie</t>
        </is>
      </c>
      <c r="G1376" t="inlineStr">
        <is>
          <t>Accompagner la ministre à des annonces au Lac-Saint-Jean; accompagner la ministre à une table ronde avec des intervenants clés à Montréal; accompagner la ministre à une annonce à Saint-Pie</t>
        </is>
      </c>
      <c r="H1376" s="1" t="n">
        <v>43697</v>
      </c>
      <c r="I1376" s="1" t="n">
        <v>43700</v>
      </c>
      <c r="J1376" t="inlineStr">
        <is>
          <t>Lac-Saint-Jean (Quebec) Canada; Montreal (Quebec) Canada; Saint-Pie (Quebec) Canada</t>
        </is>
      </c>
      <c r="K1376" t="inlineStr">
        <is>
          <t>Lac-Saint-Jean (Québec) Canada; Montréal (Québec) Canada; Saint-Pie (Québec) Canada</t>
        </is>
      </c>
      <c r="P1376" t="n">
        <v>0</v>
      </c>
      <c r="Q1376" t="n">
        <v>0</v>
      </c>
      <c r="R1376" t="n">
        <v>470.13</v>
      </c>
      <c r="S1376" t="n">
        <v>302.75</v>
      </c>
      <c r="T1376" t="n">
        <v>0</v>
      </c>
      <c r="U1376" t="n">
        <v>772.88</v>
      </c>
      <c r="X1376" t="inlineStr">
        <is>
          <t>aafc-aac</t>
        </is>
      </c>
      <c r="Y1376" t="inlineStr">
        <is>
          <t>Agriculture and Agri-Food Canada | Agriculture et Agroalimentaire Canada</t>
        </is>
      </c>
    </row>
    <row r="1377">
      <c r="A1377" t="inlineStr">
        <is>
          <t>T-2019-P6-0009</t>
        </is>
      </c>
      <c r="B1377" t="inlineStr">
        <is>
          <t>MPSES</t>
        </is>
      </c>
      <c r="C1377" t="inlineStr">
        <is>
          <t>Senior Policy Advisor</t>
        </is>
      </c>
      <c r="D1377" t="inlineStr">
        <is>
          <t>Conseiller principal des politiques</t>
        </is>
      </c>
      <c r="E1377" t="inlineStr">
        <is>
          <t>Michel-Antoine Renaud</t>
        </is>
      </c>
      <c r="F1377" t="inlineStr">
        <is>
          <t>To accompany the Minister for announcements in Rouyn-Noranda; to accompany the Minister to Canada’s Outstanding Young Farmers Gala; to accompany the Minister for an announcement in Bedford and Saint-Paul-d'Abbotsford</t>
        </is>
      </c>
      <c r="G1377" t="inlineStr">
        <is>
          <t>Accompagner la ministre à des annonces à Rouyn-Noranda; accompagner la ministre au Gala des Jeunes agriculteurs d’élite du Canada; accompagner la ministre à une annonce à Bedford et à Saint-Paul-d'Abbotsford</t>
        </is>
      </c>
      <c r="H1377" s="1" t="n">
        <v>43702</v>
      </c>
      <c r="I1377" s="1" t="n">
        <v>43705</v>
      </c>
      <c r="J1377" t="inlineStr">
        <is>
          <t>Rouyn-Noranda (Quebec) Canada; Montreal (Quebec) Canada; Bedford (Quebec) Canada; Saint-Paul-d'Abbotsford (Quebec) Canada</t>
        </is>
      </c>
      <c r="K1377" t="inlineStr">
        <is>
          <t>Rouyn-Noranda (Québec) Canada; Montréal (Québec) Canada; Bedford (Québec) Canada; Saint-Paul-d'Abbotsford (Québec) Canada</t>
        </is>
      </c>
      <c r="P1377" t="n">
        <v>1231.26</v>
      </c>
      <c r="Q1377" t="n">
        <v>313.57</v>
      </c>
      <c r="R1377" t="n">
        <v>518.1900000000001</v>
      </c>
      <c r="S1377" t="n">
        <v>292.3</v>
      </c>
      <c r="T1377" t="n">
        <v>0</v>
      </c>
      <c r="U1377" t="n">
        <v>2355.32</v>
      </c>
      <c r="V1377" t="inlineStr">
        <is>
          <t xml:space="preserve">Air Canada flight was cancelled. A refund will be issued at a later date. </t>
        </is>
      </c>
      <c r="W1377" t="inlineStr">
        <is>
          <t>Le vol d'Air Canada a été annulé.  Un remboursement suivra à une date ultérieure.</t>
        </is>
      </c>
      <c r="X1377" t="inlineStr">
        <is>
          <t>aafc-aac</t>
        </is>
      </c>
      <c r="Y1377" t="inlineStr">
        <is>
          <t>Agriculture and Agri-Food Canada | Agriculture et Agroalimentaire Canada</t>
        </is>
      </c>
    </row>
    <row r="1378">
      <c r="A1378" t="inlineStr">
        <is>
          <t>T-2019-P6-0010</t>
        </is>
      </c>
      <c r="B1378" t="inlineStr">
        <is>
          <t>SLE</t>
        </is>
      </c>
      <c r="C1378" t="inlineStr">
        <is>
          <t>Associate Deputy Minister</t>
        </is>
      </c>
      <c r="D1378" t="inlineStr">
        <is>
          <t>Sous-ministre déléguée</t>
        </is>
      </c>
      <c r="E1378" t="inlineStr">
        <is>
          <t>Annette Gibbons</t>
        </is>
      </c>
      <c r="F1378" t="inlineStr">
        <is>
          <t>Attend an outreach in Newfoundland</t>
        </is>
      </c>
      <c r="G1378" t="inlineStr">
        <is>
          <t>Participer à une visite à Terre-Neuve</t>
        </is>
      </c>
      <c r="H1378" s="1" t="n">
        <v>43697</v>
      </c>
      <c r="I1378" s="1" t="n">
        <v>43703</v>
      </c>
      <c r="J1378" t="inlineStr">
        <is>
          <t>St. John's (Newfoundland) Canada</t>
        </is>
      </c>
      <c r="K1378" t="inlineStr">
        <is>
          <t>St. John's (Terre-Neuve) Canada</t>
        </is>
      </c>
      <c r="P1378" t="n">
        <v>957.3200000000001</v>
      </c>
      <c r="Q1378" t="n">
        <v>53</v>
      </c>
      <c r="R1378" t="n">
        <v>531.9299999999999</v>
      </c>
      <c r="S1378" t="n">
        <v>223.1</v>
      </c>
      <c r="T1378" t="n">
        <v>0</v>
      </c>
      <c r="U1378" t="n">
        <v>1765.35</v>
      </c>
      <c r="X1378" t="inlineStr">
        <is>
          <t>aafc-aac</t>
        </is>
      </c>
      <c r="Y1378" t="inlineStr">
        <is>
          <t>Agriculture and Agri-Food Canada | Agriculture et Agroalimentaire Canada</t>
        </is>
      </c>
    </row>
    <row r="1379">
      <c r="A1379" t="inlineStr">
        <is>
          <t>T-2019-P6-0011</t>
        </is>
      </c>
      <c r="B1379" t="inlineStr">
        <is>
          <t>SLE</t>
        </is>
      </c>
      <c r="C1379" t="inlineStr">
        <is>
          <t>Deputy Minister</t>
        </is>
      </c>
      <c r="D1379" t="inlineStr">
        <is>
          <t>Sous-ministre</t>
        </is>
      </c>
      <c r="E1379" t="inlineStr">
        <is>
          <t>Chris Forbes</t>
        </is>
      </c>
      <c r="F1379" t="inlineStr">
        <is>
          <t>Attend an outreach in Nova Scotia</t>
        </is>
      </c>
      <c r="G1379" t="inlineStr">
        <is>
          <t>Participer à une visite en Nouvelle-Écosse</t>
        </is>
      </c>
      <c r="H1379" s="1" t="n">
        <v>43704</v>
      </c>
      <c r="I1379" s="1" t="n">
        <v>43706</v>
      </c>
      <c r="J1379" t="inlineStr">
        <is>
          <t>Halifax (Nova Scotia) Canada; Greenwich (Nova Scotia) Canada</t>
        </is>
      </c>
      <c r="K1379" t="inlineStr">
        <is>
          <t>Halifax (Nouvelle-Écosse) Canada; Greenwich (Nouvelle-Écosse) Canada</t>
        </is>
      </c>
      <c r="P1379" t="n">
        <v>597.48</v>
      </c>
      <c r="Q1379" t="n">
        <v>73.59999999999999</v>
      </c>
      <c r="R1379" t="n">
        <v>376.03</v>
      </c>
      <c r="S1379" t="n">
        <v>250.45</v>
      </c>
      <c r="T1379" t="n">
        <v>0</v>
      </c>
      <c r="U1379" t="n">
        <v>1297.56</v>
      </c>
      <c r="X1379" t="inlineStr">
        <is>
          <t>aafc-aac</t>
        </is>
      </c>
      <c r="Y1379" t="inlineStr">
        <is>
          <t>Agriculture and Agri-Food Canada | Agriculture et Agroalimentaire Canada</t>
        </is>
      </c>
    </row>
    <row r="1380">
      <c r="A1380" t="inlineStr">
        <is>
          <t>T-2019-P6-0012</t>
        </is>
      </c>
      <c r="B1380" t="inlineStr">
        <is>
          <t>SLE</t>
        </is>
      </c>
      <c r="C1380" t="inlineStr">
        <is>
          <t>Assistant Deputy Minister, Science and Technology Branch</t>
        </is>
      </c>
      <c r="D1380" t="inlineStr">
        <is>
          <t>Sous-ministre adjoint, Direction générale des sciences et de la technologie</t>
        </is>
      </c>
      <c r="E1380" t="inlineStr">
        <is>
          <t xml:space="preserve">Brian Gray </t>
        </is>
      </c>
      <c r="F1380" t="inlineStr">
        <is>
          <t>Outreach to the Research and Development Centre, All-Staff meeting and meeting with Provincial Counterparts.</t>
        </is>
      </c>
      <c r="G1380" t="inlineStr">
        <is>
          <t>Visite au Centre de recherche et de développement, réunion du personnel et réunions avec des homologues du gouvernement provincial.</t>
        </is>
      </c>
      <c r="H1380" s="1" t="n">
        <v>43696</v>
      </c>
      <c r="I1380" s="1" t="n">
        <v>43697</v>
      </c>
      <c r="J1380" t="inlineStr">
        <is>
          <t>St. Jean-sur-Richelieu (Quebec) Canada; Frelighsburg (Quebec) Canada</t>
        </is>
      </c>
      <c r="K1380" t="inlineStr">
        <is>
          <t>St. Jean-sur-Richelieu (Québec) Canada; Frelighsburg (Québec) Canada</t>
        </is>
      </c>
      <c r="P1380" t="n">
        <v>0</v>
      </c>
      <c r="Q1380" t="n">
        <v>0</v>
      </c>
      <c r="R1380" t="n">
        <v>148.76</v>
      </c>
      <c r="S1380" t="n">
        <v>105.35</v>
      </c>
      <c r="T1380" t="n">
        <v>0</v>
      </c>
      <c r="U1380" t="n">
        <v>254.11</v>
      </c>
      <c r="X1380" t="inlineStr">
        <is>
          <t>aafc-aac</t>
        </is>
      </c>
      <c r="Y1380" t="inlineStr">
        <is>
          <t>Agriculture and Agri-Food Canada | Agriculture et Agroalimentaire Canada</t>
        </is>
      </c>
    </row>
    <row r="1381">
      <c r="A1381" t="inlineStr">
        <is>
          <t>T-2019-P6-0013</t>
        </is>
      </c>
      <c r="B1381" t="inlineStr">
        <is>
          <t>SLE</t>
        </is>
      </c>
      <c r="C1381" t="inlineStr">
        <is>
          <t>Assistant Deputy Minister, Science and Technology Branch</t>
        </is>
      </c>
      <c r="D1381" t="inlineStr">
        <is>
          <t>Sous-ministre adjoint, Direction générale des sciences et de la technologie</t>
        </is>
      </c>
      <c r="E1381" t="inlineStr">
        <is>
          <t xml:space="preserve">Brian Gray </t>
        </is>
      </c>
      <c r="F1381" t="inlineStr">
        <is>
          <t>Outreach to the Research and Development Centre, All-Staff meeting and meeting with Provincial Counterparts.</t>
        </is>
      </c>
      <c r="G1381" t="inlineStr">
        <is>
          <t>Visite au Centre de recherche et de développement, réunion du personnel et réunions avec des homologues du gouvernement provincial.</t>
        </is>
      </c>
      <c r="H1381" s="1" t="n">
        <v>43724</v>
      </c>
      <c r="I1381" s="1" t="n">
        <v>43727</v>
      </c>
      <c r="J1381" t="inlineStr">
        <is>
          <t>St. John's (Newfoundland) Canada</t>
        </is>
      </c>
      <c r="K1381" t="inlineStr">
        <is>
          <t>St. John's (Terre-Neuve) Canada</t>
        </is>
      </c>
      <c r="P1381" t="n">
        <v>779.55</v>
      </c>
      <c r="Q1381" t="n">
        <v>134.75</v>
      </c>
      <c r="R1381" t="n">
        <v>639.03</v>
      </c>
      <c r="S1381" t="n">
        <v>363.05</v>
      </c>
      <c r="T1381" t="n">
        <v>0</v>
      </c>
      <c r="U1381" t="n">
        <v>1916.38</v>
      </c>
      <c r="X1381" t="inlineStr">
        <is>
          <t>aafc-aac</t>
        </is>
      </c>
      <c r="Y1381" t="inlineStr">
        <is>
          <t>Agriculture and Agri-Food Canada | Agriculture et Agroalimentaire Canada</t>
        </is>
      </c>
    </row>
    <row r="1382">
      <c r="A1382" t="inlineStr">
        <is>
          <t>T-2019-P6-0014</t>
        </is>
      </c>
      <c r="B1382" t="inlineStr">
        <is>
          <t>SLE</t>
        </is>
      </c>
      <c r="C1382" t="inlineStr">
        <is>
          <t>Assistant Deputy Minister, Market and Industry Services Branch</t>
        </is>
      </c>
      <c r="D1382" t="inlineStr">
        <is>
          <t>Sous-ministre adjoint, Direction générale des services à l'industrie et aux marchés</t>
        </is>
      </c>
      <c r="E1382" t="inlineStr">
        <is>
          <t>Frédéric Seppey</t>
        </is>
      </c>
      <c r="F1382" t="inlineStr">
        <is>
          <t>Attended (as supporting official) the Annual Conference of Federal-Provincial-Territorial  Ministers and Deputy Ministers of Agriculture.</t>
        </is>
      </c>
      <c r="G1382" t="inlineStr">
        <is>
          <t>Assisté (en tant que fonctionnaire de soutien) à la Conférence annuelle des ministres et des sous-ministres fédéraux, provinciaux et territoriaux de l'Agriculture.</t>
        </is>
      </c>
      <c r="H1382" s="1" t="n">
        <v>43662</v>
      </c>
      <c r="I1382" s="1" t="n">
        <v>43665</v>
      </c>
      <c r="J1382" t="inlineStr">
        <is>
          <t xml:space="preserve">Quebec (Quebec) Canada </t>
        </is>
      </c>
      <c r="K1382" t="inlineStr">
        <is>
          <t>Québec (Québec) Canada</t>
        </is>
      </c>
      <c r="P1382" t="n">
        <v>1309.42</v>
      </c>
      <c r="Q1382" t="n">
        <v>197.86</v>
      </c>
      <c r="R1382" t="n">
        <v>960.33</v>
      </c>
      <c r="S1382" t="n">
        <v>271.8</v>
      </c>
      <c r="T1382" t="n">
        <v>375</v>
      </c>
      <c r="U1382" t="n">
        <v>3114.41</v>
      </c>
      <c r="V1382" t="inlineStr">
        <is>
          <t>Other expenses: Conference fee</t>
        </is>
      </c>
      <c r="W1382" t="inlineStr">
        <is>
          <t>Autres dépenses: frais d'inscription à la  Conférence</t>
        </is>
      </c>
      <c r="X1382" t="inlineStr">
        <is>
          <t>aafc-aac</t>
        </is>
      </c>
      <c r="Y1382" t="inlineStr">
        <is>
          <t>Agriculture and Agri-Food Canada | Agriculture et Agroalimentaire Canada</t>
        </is>
      </c>
    </row>
    <row r="1383">
      <c r="A1383" t="inlineStr">
        <is>
          <t>T-2019-P6-0015</t>
        </is>
      </c>
      <c r="B1383" t="inlineStr">
        <is>
          <t>SLE</t>
        </is>
      </c>
      <c r="C1383" t="inlineStr">
        <is>
          <t>Assistant Deputy Minister, Market and Industry Services Branch</t>
        </is>
      </c>
      <c r="D1383" t="inlineStr">
        <is>
          <t>Sous-ministre adjoint, Direction générale des services à l'industrie et aux marchés</t>
        </is>
      </c>
      <c r="E1383" t="inlineStr">
        <is>
          <t>Frédéric Seppey</t>
        </is>
      </c>
      <c r="F1383" t="inlineStr">
        <is>
          <t>Attended the Extended Branch Executive Committee meeting.</t>
        </is>
      </c>
      <c r="G1383" t="inlineStr">
        <is>
          <t>Assisté à la réunion du comité de gestion élargi de la Direction générale.</t>
        </is>
      </c>
      <c r="H1383" s="1" t="n">
        <v>43704</v>
      </c>
      <c r="I1383" s="1" t="n">
        <v>43706</v>
      </c>
      <c r="J1383" t="inlineStr">
        <is>
          <t>Kentville (Nova Scotia) Canada</t>
        </is>
      </c>
      <c r="K1383" t="inlineStr">
        <is>
          <t>Kentville (Nouvelle-Écosse) Canada</t>
        </is>
      </c>
      <c r="P1383" t="n">
        <v>610.6900000000001</v>
      </c>
      <c r="Q1383" t="n">
        <v>290.06</v>
      </c>
      <c r="R1383" t="n">
        <v>285.2</v>
      </c>
      <c r="S1383" t="n">
        <v>285.05</v>
      </c>
      <c r="T1383" t="n">
        <v>0</v>
      </c>
      <c r="U1383" t="n">
        <v>1471</v>
      </c>
      <c r="X1383" t="inlineStr">
        <is>
          <t>aafc-aac</t>
        </is>
      </c>
      <c r="Y1383" t="inlineStr">
        <is>
          <t>Agriculture and Agri-Food Canada | Agriculture et Agroalimentaire Canada</t>
        </is>
      </c>
    </row>
    <row r="1384">
      <c r="A1384" t="inlineStr">
        <is>
          <t>T-2019-P6-0016</t>
        </is>
      </c>
      <c r="B1384" t="inlineStr">
        <is>
          <t>SLE</t>
        </is>
      </c>
      <c r="C1384" t="inlineStr">
        <is>
          <t>Associate Assistant Deputy Minister, Science and Technology Branch</t>
        </is>
      </c>
      <c r="D1384" t="inlineStr">
        <is>
          <t>Sous-ministre adjoint délégué, Direction générale des sciences et de la technologie</t>
        </is>
      </c>
      <c r="E1384" t="inlineStr">
        <is>
          <t>Gilles Saindon</t>
        </is>
      </c>
      <c r="F1384" t="inlineStr">
        <is>
          <t>Outreach to Charlottetown Research and Development Centre and Harrington Farm, All-Staff meeting &amp; meeting with Provincial Counterparts.</t>
        </is>
      </c>
      <c r="G1384" t="inlineStr">
        <is>
          <t xml:space="preserve">Visite au Centre de recherche et de développement de Charlottetown et à la Ferme Harrington, réunion du personnel et réunions avec des homologues du gouvernement provincial. </t>
        </is>
      </c>
      <c r="H1384" s="1" t="n">
        <v>43712</v>
      </c>
      <c r="I1384" s="1" t="n">
        <v>43714</v>
      </c>
      <c r="J1384" t="inlineStr">
        <is>
          <t>Charlottetown (Prince Edward Island) Canada</t>
        </is>
      </c>
      <c r="K1384" t="inlineStr">
        <is>
          <t>Charlottetown (Île-du-Prince-Édouard) Canada</t>
        </is>
      </c>
      <c r="P1384" t="n">
        <v>641.83</v>
      </c>
      <c r="Q1384" t="n">
        <v>92</v>
      </c>
      <c r="R1384" t="n">
        <v>495.12</v>
      </c>
      <c r="S1384" t="n">
        <v>234</v>
      </c>
      <c r="T1384" t="n">
        <v>0</v>
      </c>
      <c r="U1384" t="n">
        <v>1462.95</v>
      </c>
      <c r="X1384" t="inlineStr">
        <is>
          <t>aafc-aac</t>
        </is>
      </c>
      <c r="Y1384" t="inlineStr">
        <is>
          <t>Agriculture and Agri-Food Canada | Agriculture et Agroalimentaire Canada</t>
        </is>
      </c>
    </row>
    <row r="1385">
      <c r="A1385" t="inlineStr">
        <is>
          <t>T-2019-P6-0017</t>
        </is>
      </c>
      <c r="B1385" t="inlineStr">
        <is>
          <t>SLE</t>
        </is>
      </c>
      <c r="C1385" t="inlineStr">
        <is>
          <t>Associate Assistant Deputy Minister, Science and Technology Branch</t>
        </is>
      </c>
      <c r="D1385" t="inlineStr">
        <is>
          <t>Sous-ministre adjoint délégué, Direction générale des sciences et de la technologie</t>
        </is>
      </c>
      <c r="E1385" t="inlineStr">
        <is>
          <t>Gilles Saindon</t>
        </is>
      </c>
      <c r="F1385" t="inlineStr">
        <is>
          <t>Branch Executive Committee Face to Face and Outreach to the St. John's Research and Development Centre, All-Staff meeting and meeting with Provincial Counterparts.</t>
        </is>
      </c>
      <c r="G1385" t="inlineStr">
        <is>
          <t xml:space="preserve">Rencontre en personne du Comité exécutif de la Direction générale et visite au Centre de recherche et de développement de St. John's, réunion du personnel et réunions avec des homologues du gouvernement provincial. </t>
        </is>
      </c>
      <c r="H1385" s="1" t="n">
        <v>43724</v>
      </c>
      <c r="I1385" s="1" t="n">
        <v>43726</v>
      </c>
      <c r="J1385" t="inlineStr">
        <is>
          <t>St. John's (Newfoundland) Canada</t>
        </is>
      </c>
      <c r="K1385" t="inlineStr">
        <is>
          <t>St. John's (Terre-Neuve) Canada</t>
        </is>
      </c>
      <c r="P1385" t="n">
        <v>906</v>
      </c>
      <c r="Q1385" t="n">
        <v>72</v>
      </c>
      <c r="R1385" t="n">
        <v>426.02</v>
      </c>
      <c r="S1385" t="n">
        <v>305.15</v>
      </c>
      <c r="T1385" t="n">
        <v>0</v>
      </c>
      <c r="U1385" t="n">
        <v>1709.17</v>
      </c>
      <c r="X1385" t="inlineStr">
        <is>
          <t>aafc-aac</t>
        </is>
      </c>
      <c r="Y1385" t="inlineStr">
        <is>
          <t>Agriculture and Agri-Food Canada | Agriculture et Agroalimentaire Canada</t>
        </is>
      </c>
    </row>
    <row r="1386">
      <c r="A1386" t="inlineStr">
        <is>
          <t>T-2019-P7-0001</t>
        </is>
      </c>
      <c r="B1386" t="inlineStr">
        <is>
          <t>SLE</t>
        </is>
      </c>
      <c r="C1386" t="inlineStr">
        <is>
          <t>Associate Deputy Minister</t>
        </is>
      </c>
      <c r="D1386" t="inlineStr">
        <is>
          <t>Sous-ministre déléguée</t>
        </is>
      </c>
      <c r="E1386" t="inlineStr">
        <is>
          <t>Annette Gibbons</t>
        </is>
      </c>
      <c r="F1386" t="inlineStr">
        <is>
          <t>Attend an outreach in Regina and attend a Departmental Audit Committee meeting</t>
        </is>
      </c>
      <c r="G1386" t="inlineStr">
        <is>
          <t>Participer à une activité de sensibilisation à Regina et assister à une réunion du comité ministériel de vérification</t>
        </is>
      </c>
      <c r="H1386" s="1" t="n">
        <v>43740</v>
      </c>
      <c r="I1386" s="1" t="n">
        <v>43742</v>
      </c>
      <c r="J1386" t="inlineStr">
        <is>
          <t>Regina (Saskatchewan) Canada;
Saskatoon (Saskatchewan) Canada</t>
        </is>
      </c>
      <c r="K1386" t="inlineStr">
        <is>
          <t>Régina (Saskatchewan) Canada;
Saskatoon (Saskatchewan) Canada</t>
        </is>
      </c>
      <c r="P1386" t="n">
        <v>871.36</v>
      </c>
      <c r="Q1386" t="n">
        <v>72</v>
      </c>
      <c r="R1386" t="n">
        <v>326.98</v>
      </c>
      <c r="S1386" t="n">
        <v>253.9</v>
      </c>
      <c r="T1386" t="n">
        <v>0</v>
      </c>
      <c r="U1386" t="n">
        <v>1524.24</v>
      </c>
      <c r="X1386" t="inlineStr">
        <is>
          <t>aafc-aac</t>
        </is>
      </c>
      <c r="Y1386" t="inlineStr">
        <is>
          <t>Agriculture and Agri-Food Canada | Agriculture et Agroalimentaire Canada</t>
        </is>
      </c>
    </row>
    <row r="1387">
      <c r="A1387" t="inlineStr">
        <is>
          <t>T-2019-P7-0002</t>
        </is>
      </c>
      <c r="B1387" t="inlineStr">
        <is>
          <t>SLE</t>
        </is>
      </c>
      <c r="C1387" t="inlineStr">
        <is>
          <t>Deputy Minister</t>
        </is>
      </c>
      <c r="D1387" t="inlineStr">
        <is>
          <t>Sous-ministre</t>
        </is>
      </c>
      <c r="E1387" t="inlineStr">
        <is>
          <t>Chris Forbes</t>
        </is>
      </c>
      <c r="F1387" t="inlineStr">
        <is>
          <t>Attended the International Economic Policy Council meeting and roundtable luncheon</t>
        </is>
      </c>
      <c r="G1387" t="inlineStr">
        <is>
          <t>Participer à une réunion au Conseil de la politique économique internationale et à une table ronde</t>
        </is>
      </c>
      <c r="H1387" s="1" t="n">
        <v>43732</v>
      </c>
      <c r="I1387" s="1" t="n">
        <v>43733</v>
      </c>
      <c r="J1387" t="inlineStr">
        <is>
          <t>Toronto (Ontario) Canada</t>
        </is>
      </c>
      <c r="K1387" t="inlineStr">
        <is>
          <t>Toronto (Ontario) Canada</t>
        </is>
      </c>
      <c r="P1387" t="n">
        <v>560.71</v>
      </c>
      <c r="Q1387" t="n">
        <v>0</v>
      </c>
      <c r="R1387" t="n">
        <v>217.41</v>
      </c>
      <c r="S1387" t="n">
        <v>20.1</v>
      </c>
      <c r="T1387" t="n">
        <v>0</v>
      </c>
      <c r="U1387" t="n">
        <v>798.22</v>
      </c>
      <c r="X1387" t="inlineStr">
        <is>
          <t>aafc-aac</t>
        </is>
      </c>
      <c r="Y1387" t="inlineStr">
        <is>
          <t>Agriculture and Agri-Food Canada | Agriculture et Agroalimentaire Canada</t>
        </is>
      </c>
    </row>
    <row r="1388">
      <c r="A1388" t="inlineStr">
        <is>
          <t>T-2019-P7-0003</t>
        </is>
      </c>
      <c r="B1388" t="inlineStr">
        <is>
          <t>SLE</t>
        </is>
      </c>
      <c r="C1388" t="inlineStr">
        <is>
          <t>Deputy Minister</t>
        </is>
      </c>
      <c r="D1388" t="inlineStr">
        <is>
          <t>Sous-ministre</t>
        </is>
      </c>
      <c r="E1388" t="inlineStr">
        <is>
          <t>Chris Forbes</t>
        </is>
      </c>
      <c r="F1388" t="inlineStr">
        <is>
          <t>Attended the 65th convocation and attend an outreach at the Fredericton Research Development Centre</t>
        </is>
      </c>
      <c r="G1388" t="inlineStr">
        <is>
          <t>Participer à la 65e collation des grades et à une activité de sensibilisation au Centre de recherche et de développement de Fredericton</t>
        </is>
      </c>
      <c r="H1388" s="1" t="n">
        <v>43755</v>
      </c>
      <c r="I1388" s="1" t="n">
        <v>43756</v>
      </c>
      <c r="J1388" t="inlineStr">
        <is>
          <t>Fredericton (New Brunswick) Canada</t>
        </is>
      </c>
      <c r="K1388" t="inlineStr">
        <is>
          <t>Fredericton (Nouveau Brunswick) Canada</t>
        </is>
      </c>
      <c r="P1388" t="n">
        <v>469.42</v>
      </c>
      <c r="Q1388" t="n">
        <v>0</v>
      </c>
      <c r="R1388" t="n">
        <v>195.12</v>
      </c>
      <c r="S1388" t="n">
        <v>70.90000000000001</v>
      </c>
      <c r="T1388" t="n">
        <v>0</v>
      </c>
      <c r="U1388" t="n">
        <v>735.4400000000001</v>
      </c>
      <c r="X1388" t="inlineStr">
        <is>
          <t>aafc-aac</t>
        </is>
      </c>
      <c r="Y1388" t="inlineStr">
        <is>
          <t>Agriculture and Agri-Food Canada | Agriculture et Agroalimentaire Canada</t>
        </is>
      </c>
    </row>
    <row r="1389">
      <c r="A1389" t="inlineStr">
        <is>
          <t>T-2019-P7-0004</t>
        </is>
      </c>
      <c r="B1389" t="inlineStr">
        <is>
          <t>SLE</t>
        </is>
      </c>
      <c r="C1389" t="inlineStr">
        <is>
          <t>Assistant Deputy Minister, Science and Technology Branch</t>
        </is>
      </c>
      <c r="D1389" t="inlineStr">
        <is>
          <t>Sous-ministre adjoint, Direction générale des sciences et de la technologie</t>
        </is>
      </c>
      <c r="E1389" t="inlineStr">
        <is>
          <t xml:space="preserve">Brian Gray </t>
        </is>
      </c>
      <c r="F1389" t="inlineStr">
        <is>
          <t>Outreach to the Research and Development Centre, All-Staff meeting and meeting with Provincial Counterparts.</t>
        </is>
      </c>
      <c r="G1389" t="inlineStr">
        <is>
          <t>Activité de sensibilisation au Centre de recherche et de développement, réunion de l'ensemble du personnel et réunion avec les homologues provinciaux.</t>
        </is>
      </c>
      <c r="H1389" s="1" t="n">
        <v>43754</v>
      </c>
      <c r="I1389" s="1" t="n">
        <v>43756</v>
      </c>
      <c r="J1389" t="inlineStr">
        <is>
          <t>Guelph (Ontario) Canada; London (Ontario) Canada</t>
        </is>
      </c>
      <c r="K1389" t="inlineStr">
        <is>
          <t>Guelph (Ontario) Canada; London (Ontario) Canada</t>
        </is>
      </c>
      <c r="P1389" t="n">
        <v>428.55</v>
      </c>
      <c r="Q1389" t="n">
        <v>413.68</v>
      </c>
      <c r="R1389" t="n">
        <v>198.61</v>
      </c>
      <c r="S1389" t="n">
        <v>184.35</v>
      </c>
      <c r="T1389" t="n">
        <v>0</v>
      </c>
      <c r="U1389" t="n">
        <v>1225.19</v>
      </c>
      <c r="X1389" t="inlineStr">
        <is>
          <t>aafc-aac</t>
        </is>
      </c>
      <c r="Y1389" t="inlineStr">
        <is>
          <t>Agriculture and Agri-Food Canada | Agriculture et Agroalimentaire Canada</t>
        </is>
      </c>
    </row>
    <row r="1390">
      <c r="A1390" t="inlineStr">
        <is>
          <t>T-2019-P7-0005</t>
        </is>
      </c>
      <c r="B1390" t="inlineStr">
        <is>
          <t>SLE</t>
        </is>
      </c>
      <c r="C1390" t="inlineStr">
        <is>
          <t>Assistant Deputy Minister, International Affairs Branch</t>
        </is>
      </c>
      <c r="D1390" t="inlineStr">
        <is>
          <t>Sous-ministre adjoint, Direction générale des affaires internationales</t>
        </is>
      </c>
      <c r="E1390" t="inlineStr">
        <is>
          <t>Fred Gorrell</t>
        </is>
      </c>
      <c r="F1390" t="inlineStr">
        <is>
          <t>Speaker at the Canadian Livestock Genetics Association  Annual General Meeting</t>
        </is>
      </c>
      <c r="G1390" t="inlineStr">
        <is>
          <t>Conférencier à l'assemblée générale annuelle de l’industrie du bétail et de la génétique</t>
        </is>
      </c>
      <c r="H1390" s="1" t="n">
        <v>43754</v>
      </c>
      <c r="I1390" s="1" t="n">
        <v>43755</v>
      </c>
      <c r="J1390" t="inlineStr">
        <is>
          <t>Guelph (Ontario) Canada</t>
        </is>
      </c>
      <c r="K1390" t="inlineStr">
        <is>
          <t>Guelph (Ontario) Canada</t>
        </is>
      </c>
      <c r="P1390" t="n">
        <v>627.21</v>
      </c>
      <c r="Q1390" t="n">
        <v>176.44</v>
      </c>
      <c r="R1390" t="n">
        <v>134.47</v>
      </c>
      <c r="S1390" t="n">
        <v>139</v>
      </c>
      <c r="T1390" t="n">
        <v>0</v>
      </c>
      <c r="U1390" t="n">
        <v>1077.12</v>
      </c>
      <c r="V1390" t="inlineStr">
        <is>
          <t>Michael Hill, Executive Director of the Canadian Livestock Genetics Association requested M. Gorrell to speak.</t>
        </is>
      </c>
      <c r="W1390" t="inlineStr">
        <is>
          <t>Michael Hill, directeur général de l'Association canadienne de l'industrie du bétail et de la génétique a demandé M. Gorrell à faire une allocution.</t>
        </is>
      </c>
      <c r="X1390" t="inlineStr">
        <is>
          <t>aafc-aac</t>
        </is>
      </c>
      <c r="Y1390" t="inlineStr">
        <is>
          <t>Agriculture and Agri-Food Canada | Agriculture et Agroalimentaire Canada</t>
        </is>
      </c>
    </row>
    <row r="1391">
      <c r="A1391" t="inlineStr">
        <is>
          <t>T-2019-P7-0006</t>
        </is>
      </c>
      <c r="B1391" t="inlineStr">
        <is>
          <t>SLE</t>
        </is>
      </c>
      <c r="C1391" t="inlineStr">
        <is>
          <t>Assistant Deputy Minister, Market and Industry Services Branch</t>
        </is>
      </c>
      <c r="D1391" t="inlineStr">
        <is>
          <t>Sous-ministre adjoint, Direction générale des services à l'industrie et aux marchés</t>
        </is>
      </c>
      <c r="E1391" t="inlineStr">
        <is>
          <t>Frédéric Seppey</t>
        </is>
      </c>
      <c r="F1391" t="inlineStr">
        <is>
          <t>Attended the North American European Union Agricultural Conference as a keynote speaker in Copenhagen, Denmark. Also attended meetings with Danish agriculture officials.</t>
        </is>
      </c>
      <c r="G1391" t="inlineStr">
        <is>
          <t>Participer à la Conférence agricole de l'Amérique du Nord et de l'Union européenne en tant que conférencier principal à Copenhague, au Danemark, et assister à des réunions avec des représentants du secteur agricole danois.</t>
        </is>
      </c>
      <c r="H1391" s="1" t="n">
        <v>43725</v>
      </c>
      <c r="I1391" s="1" t="n">
        <v>43729</v>
      </c>
      <c r="J1391" t="inlineStr">
        <is>
          <t>Copenhagen (Denmark) Europe</t>
        </is>
      </c>
      <c r="K1391" t="inlineStr">
        <is>
          <t>Copenhagen (Danemark) Europe</t>
        </is>
      </c>
      <c r="P1391" t="n">
        <v>2843.48</v>
      </c>
      <c r="Q1391" t="n">
        <v>142.06</v>
      </c>
      <c r="R1391" t="n">
        <v>453.47</v>
      </c>
      <c r="S1391" t="n">
        <v>713.46</v>
      </c>
      <c r="T1391" t="n">
        <v>8.5</v>
      </c>
      <c r="U1391" t="n">
        <v>4160.97</v>
      </c>
      <c r="X1391" t="inlineStr">
        <is>
          <t>aafc-aac</t>
        </is>
      </c>
      <c r="Y1391" t="inlineStr">
        <is>
          <t>Agriculture and Agri-Food Canada | Agriculture et Agroalimentaire Canada</t>
        </is>
      </c>
    </row>
    <row r="1392">
      <c r="A1392" t="inlineStr">
        <is>
          <t>T-2019-P7-0007</t>
        </is>
      </c>
      <c r="B1392" t="inlineStr">
        <is>
          <t>SLE</t>
        </is>
      </c>
      <c r="C1392" t="inlineStr">
        <is>
          <t>Assistant Deputy Minister, Market and Industry Services Branch</t>
        </is>
      </c>
      <c r="D1392" t="inlineStr">
        <is>
          <t>Sous-ministre adjoint, Direction générale des services à l'industrie et aux marchés</t>
        </is>
      </c>
      <c r="E1392" t="inlineStr">
        <is>
          <t>Frédéric Seppey</t>
        </is>
      </c>
      <c r="F1392" t="inlineStr">
        <is>
          <t>Attended the Quebec Regional Management Committee meeting.</t>
        </is>
      </c>
      <c r="G1392" t="inlineStr">
        <is>
          <t>Assister à la réunion du Comité de gestion régional du Québec</t>
        </is>
      </c>
      <c r="H1392" s="1" t="n">
        <v>43735</v>
      </c>
      <c r="I1392" s="1" t="n">
        <v>43735</v>
      </c>
      <c r="J1392" t="inlineStr">
        <is>
          <t>Montreal (Quebec) Canada</t>
        </is>
      </c>
      <c r="K1392" t="inlineStr">
        <is>
          <t>Montréal (Québec) Canada</t>
        </is>
      </c>
      <c r="P1392" t="n">
        <v>0</v>
      </c>
      <c r="Q1392" t="n">
        <v>178.15</v>
      </c>
      <c r="R1392" t="n">
        <v>0</v>
      </c>
      <c r="S1392" t="n">
        <v>91.25</v>
      </c>
      <c r="T1392" t="n">
        <v>0</v>
      </c>
      <c r="U1392" t="n">
        <v>269.4</v>
      </c>
      <c r="X1392" t="inlineStr">
        <is>
          <t>aafc-aac</t>
        </is>
      </c>
      <c r="Y1392" t="inlineStr">
        <is>
          <t>Agriculture and Agri-Food Canada | Agriculture et Agroalimentaire Canada</t>
        </is>
      </c>
    </row>
    <row r="1393">
      <c r="A1393" t="inlineStr">
        <is>
          <t>T-2019-P7-0008</t>
        </is>
      </c>
      <c r="B1393" t="inlineStr">
        <is>
          <t>SLE</t>
        </is>
      </c>
      <c r="C1393" t="inlineStr">
        <is>
          <t>Associate Assistant Deputy Minister, Science and Technology Branch</t>
        </is>
      </c>
      <c r="D1393" t="inlineStr">
        <is>
          <t>Sous-ministre adjoint délégué, Direction générale des sciences et de la technologie</t>
        </is>
      </c>
      <c r="E1393" t="inlineStr">
        <is>
          <t>Gilles Saindon</t>
        </is>
      </c>
      <c r="F1393" t="inlineStr">
        <is>
          <t>Branch Executive Committee Face to Face and Outreach to the Lacombe Research and Development Centre, All-Staff meeting and meeting with Provincial Counterparts.</t>
        </is>
      </c>
      <c r="G1393" t="inlineStr">
        <is>
          <t xml:space="preserve">Assister à la réunion en personne du Comité exécutif de la Direction générale et visiter le Centre de recherche et de développement deLacombe. Assister à la  réunion de tout le personnel et à une réunions avec les homologues provinciaux. </t>
        </is>
      </c>
      <c r="H1393" s="1" t="n">
        <v>43719</v>
      </c>
      <c r="I1393" s="1" t="n">
        <v>43721</v>
      </c>
      <c r="J1393" t="inlineStr">
        <is>
          <t>Lacombe (Alberta) Canada</t>
        </is>
      </c>
      <c r="K1393" t="inlineStr">
        <is>
          <t>Lacombe (Alberta) Canada</t>
        </is>
      </c>
      <c r="P1393" t="n">
        <v>779.21</v>
      </c>
      <c r="Q1393" t="n">
        <v>72</v>
      </c>
      <c r="R1393" t="n">
        <v>276.86</v>
      </c>
      <c r="S1393" t="n">
        <v>284.65</v>
      </c>
      <c r="T1393" t="n">
        <v>0</v>
      </c>
      <c r="U1393" t="n">
        <v>1412.72</v>
      </c>
      <c r="X1393" t="inlineStr">
        <is>
          <t>aafc-aac</t>
        </is>
      </c>
      <c r="Y1393" t="inlineStr">
        <is>
          <t>Agriculture and Agri-Food Canada | Agriculture et Agroalimentaire Canada</t>
        </is>
      </c>
    </row>
    <row r="1394">
      <c r="A1394" t="inlineStr">
        <is>
          <t>T-2019-P7-0009</t>
        </is>
      </c>
      <c r="B1394" t="inlineStr">
        <is>
          <t>SLE</t>
        </is>
      </c>
      <c r="C1394" t="inlineStr">
        <is>
          <t>Associate Assistant Deputy Minister, Science and Technology Branch</t>
        </is>
      </c>
      <c r="D1394" t="inlineStr">
        <is>
          <t>Sous-ministre adjoint délégué, Direction générale des sciences et de la technologie</t>
        </is>
      </c>
      <c r="E1394" t="inlineStr">
        <is>
          <t>Gilles Saindon</t>
        </is>
      </c>
      <c r="F1394" t="inlineStr">
        <is>
          <t>Branch Executive Committee Face to Face and Outreach to the St-Hyacinthe Research and Development Centre, the Sherbrooke Research and Development Centre, All-Staff meeting and meeting with Provincial Counterparts.</t>
        </is>
      </c>
      <c r="G1394" t="inlineStr">
        <is>
          <t xml:space="preserve">Assister à la réunion en personne du Comité exécutif de la Direction générale et visiter le Centre de recherche et de développement de St-Hyacinthe et le Centre de recherche et de développement de Sherbrooke.  Assister à la  réunion de tout le personnel et à une réunions avec les homologues provinciaux.  </t>
        </is>
      </c>
      <c r="H1394" s="1" t="n">
        <v>43746</v>
      </c>
      <c r="I1394" s="1" t="n">
        <v>43749</v>
      </c>
      <c r="J1394" t="inlineStr">
        <is>
          <t>St-Hyacinthe (Quebec) Canada;
Sherbrooke (Quebec) Canada</t>
        </is>
      </c>
      <c r="K1394" t="inlineStr">
        <is>
          <t>St-Hyacinthe (Québec) Canada;
Sherbrooke (Québec) Canada</t>
        </is>
      </c>
      <c r="P1394" t="n">
        <v>0</v>
      </c>
      <c r="Q1394" t="n">
        <v>188.28</v>
      </c>
      <c r="R1394" t="n">
        <v>333.21</v>
      </c>
      <c r="S1394" t="n">
        <v>244.75</v>
      </c>
      <c r="T1394" t="n">
        <v>0</v>
      </c>
      <c r="U1394" t="n">
        <v>766.24</v>
      </c>
      <c r="X1394" t="inlineStr">
        <is>
          <t>aafc-aac</t>
        </is>
      </c>
      <c r="Y1394" t="inlineStr">
        <is>
          <t>Agriculture and Agri-Food Canada | Agriculture et Agroalimentaire Canada</t>
        </is>
      </c>
    </row>
    <row r="1395">
      <c r="A1395" t="inlineStr">
        <is>
          <t>T-2019-P7-0010</t>
        </is>
      </c>
      <c r="B1395" t="inlineStr">
        <is>
          <t>SLE</t>
        </is>
      </c>
      <c r="C1395" t="inlineStr">
        <is>
          <t>Director General, Office of Audit and Evaluation</t>
        </is>
      </c>
      <c r="D1395" t="inlineStr">
        <is>
          <t>Directrice générale, Bureau de la vérification et de l'évaluation</t>
        </is>
      </c>
      <c r="E1395" t="inlineStr">
        <is>
          <t>Kimberly Saunders</t>
        </is>
      </c>
      <c r="F1395" t="inlineStr">
        <is>
          <t>Attend Institute of Internal Auditors Conference</t>
        </is>
      </c>
      <c r="G1395" t="inlineStr">
        <is>
          <t>Participer à la conférence de l'Institut des vérificateurs internes</t>
        </is>
      </c>
      <c r="H1395" s="1" t="n">
        <v>43721</v>
      </c>
      <c r="I1395" s="1" t="n">
        <v>43726</v>
      </c>
      <c r="J1395" t="inlineStr">
        <is>
          <t>Toronto (Ontario) Canada</t>
        </is>
      </c>
      <c r="K1395" t="inlineStr">
        <is>
          <t>Toronto (Ontario) Canada</t>
        </is>
      </c>
      <c r="P1395" t="n">
        <v>0</v>
      </c>
      <c r="Q1395" t="n">
        <v>261.15</v>
      </c>
      <c r="R1395" t="n">
        <v>652.23</v>
      </c>
      <c r="S1395" t="n">
        <v>211.1</v>
      </c>
      <c r="T1395" t="n">
        <v>2310.85</v>
      </c>
      <c r="U1395" t="n">
        <v>3435.33</v>
      </c>
      <c r="V1395" t="inlineStr">
        <is>
          <t>Other expenses: Conference fee</t>
        </is>
      </c>
      <c r="W1395" t="inlineStr">
        <is>
          <t>Autres dépenses: frais d'inscription à la  conférence</t>
        </is>
      </c>
      <c r="X1395" t="inlineStr">
        <is>
          <t>aafc-aac</t>
        </is>
      </c>
      <c r="Y1395" t="inlineStr">
        <is>
          <t>Agriculture and Agri-Food Canada | Agriculture et Agroalimentaire Canada</t>
        </is>
      </c>
    </row>
    <row r="1396">
      <c r="A1396" t="inlineStr">
        <is>
          <t>T-2019-P7-0011</t>
        </is>
      </c>
      <c r="B1396" t="inlineStr">
        <is>
          <t>SLE</t>
        </is>
      </c>
      <c r="C1396" t="inlineStr">
        <is>
          <t>Director General, Office of Audit and Evaluation</t>
        </is>
      </c>
      <c r="D1396" t="inlineStr">
        <is>
          <t>Directrice générale, Bureau de la vérification et de l'évaluation</t>
        </is>
      </c>
      <c r="E1396" t="inlineStr">
        <is>
          <t>Kimberly Saunders</t>
        </is>
      </c>
      <c r="F1396" t="inlineStr">
        <is>
          <t>Participate in the Departmental Audit Committee Meeting and Site Visit</t>
        </is>
      </c>
      <c r="G1396" t="inlineStr">
        <is>
          <t>Particper à la réunion du Comité ministériel de vérification et à une visite de site.</t>
        </is>
      </c>
      <c r="H1396" s="1" t="n">
        <v>43740</v>
      </c>
      <c r="I1396" s="1" t="n">
        <v>43742</v>
      </c>
      <c r="J1396" t="inlineStr">
        <is>
          <t>Saskatoon (Saskatchewan) Canada</t>
        </is>
      </c>
      <c r="K1396" t="inlineStr">
        <is>
          <t>Saskatoon (Saskatchewan) Canada</t>
        </is>
      </c>
      <c r="P1396" t="n">
        <v>927.63</v>
      </c>
      <c r="Q1396" t="n">
        <v>80</v>
      </c>
      <c r="R1396" t="n">
        <v>326.98</v>
      </c>
      <c r="S1396" t="n">
        <v>326.4</v>
      </c>
      <c r="T1396" t="n">
        <v>0</v>
      </c>
      <c r="U1396" t="n">
        <v>1661.01</v>
      </c>
      <c r="X1396" t="inlineStr">
        <is>
          <t>aafc-aac</t>
        </is>
      </c>
      <c r="Y1396" t="inlineStr">
        <is>
          <t>Agriculture and Agri-Food Canada | Agriculture et Agroalimentaire Canada</t>
        </is>
      </c>
    </row>
    <row r="1397">
      <c r="A1397" t="inlineStr">
        <is>
          <t>T-2019-P7-0012</t>
        </is>
      </c>
      <c r="B1397" t="inlineStr">
        <is>
          <t>SLE</t>
        </is>
      </c>
      <c r="C1397" t="inlineStr">
        <is>
          <t>Chief Information Officer, Information Systems Branch</t>
        </is>
      </c>
      <c r="D1397" t="inlineStr">
        <is>
          <t>Dirigeant principal de l'information, Direction générale des systèmes d'information</t>
        </is>
      </c>
      <c r="E1397" t="inlineStr">
        <is>
          <t>Michel Lessard</t>
        </is>
      </c>
      <c r="F1397" t="inlineStr">
        <is>
          <t>Attended the Canarie Summit 2019</t>
        </is>
      </c>
      <c r="G1397" t="inlineStr">
        <is>
          <t>Assister au Sommet Canarie 2019</t>
        </is>
      </c>
      <c r="H1397" s="1" t="n">
        <v>43738</v>
      </c>
      <c r="I1397" s="1" t="n">
        <v>43740</v>
      </c>
      <c r="J1397" t="inlineStr">
        <is>
          <t>Montreal (Quebec) Canada</t>
        </is>
      </c>
      <c r="K1397" t="inlineStr">
        <is>
          <t>Montréal (Québec) Canada</t>
        </is>
      </c>
      <c r="P1397" t="n">
        <v>0</v>
      </c>
      <c r="Q1397" t="n">
        <v>271.16</v>
      </c>
      <c r="R1397" t="n">
        <v>568.8200000000001</v>
      </c>
      <c r="S1397" t="n">
        <v>51.9</v>
      </c>
      <c r="T1397" t="n">
        <v>516.24</v>
      </c>
      <c r="U1397" t="n">
        <v>1408.12</v>
      </c>
      <c r="V1397" t="inlineStr">
        <is>
          <t>Other expenses: Conference fee</t>
        </is>
      </c>
      <c r="W1397" t="inlineStr">
        <is>
          <t>Autres dépenses: frais d'inscription à la  Conférence</t>
        </is>
      </c>
      <c r="X1397" t="inlineStr">
        <is>
          <t>aafc-aac</t>
        </is>
      </c>
      <c r="Y1397" t="inlineStr">
        <is>
          <t>Agriculture and Agri-Food Canada | Agriculture et Agroalimentaire Canada</t>
        </is>
      </c>
    </row>
    <row r="1398">
      <c r="A1398" t="inlineStr">
        <is>
          <t>T-2019-P7-0013</t>
        </is>
      </c>
      <c r="B1398" t="inlineStr">
        <is>
          <t>SLE</t>
        </is>
      </c>
      <c r="C1398" t="inlineStr">
        <is>
          <t>Chief Information Officer, Information Systems Branch</t>
        </is>
      </c>
      <c r="D1398" t="inlineStr">
        <is>
          <t>Dirigeant principal de l'information, Direction générale des systèmes d'information</t>
        </is>
      </c>
      <c r="E1398" t="inlineStr">
        <is>
          <t>Michel Lessard</t>
        </is>
      </c>
      <c r="F1398" t="inlineStr">
        <is>
          <t>To visit regional staff and attend meetings and to participate a conference of Chief Information Officer Strategy</t>
        </is>
      </c>
      <c r="G1398" t="inlineStr">
        <is>
          <t>Rendre visite aux employés de la région et participer à des réunions et à une conférence sur la stratégie du dirigeant principal de l'information</t>
        </is>
      </c>
      <c r="H1398" s="1" t="n">
        <v>43731</v>
      </c>
      <c r="I1398" s="1" t="n">
        <v>43735</v>
      </c>
      <c r="J1398" t="inlineStr">
        <is>
          <t>Winnipeg (Manitoba) Canada</t>
        </is>
      </c>
      <c r="K1398" t="inlineStr">
        <is>
          <t>Winnipeg (Manitoba) Canada</t>
        </is>
      </c>
      <c r="P1398" t="n">
        <v>719.47</v>
      </c>
      <c r="Q1398" t="n">
        <v>411.77</v>
      </c>
      <c r="R1398" t="n">
        <v>581.5599999999999</v>
      </c>
      <c r="S1398" t="n">
        <v>298.75</v>
      </c>
      <c r="U1398" t="n">
        <v>2011.55</v>
      </c>
      <c r="X1398" t="inlineStr">
        <is>
          <t>aafc-aac</t>
        </is>
      </c>
      <c r="Y1398" t="inlineStr">
        <is>
          <t>Agriculture and Agri-Food Canada | Agriculture et Agroalimentaire Canada</t>
        </is>
      </c>
    </row>
    <row r="1399">
      <c r="A1399" t="inlineStr">
        <is>
          <t>T-2019-P7-0014</t>
        </is>
      </c>
      <c r="B1399" t="inlineStr">
        <is>
          <t>SLE</t>
        </is>
      </c>
      <c r="C1399" t="inlineStr">
        <is>
          <t>Assistant Deputy Minister, Programs Branch</t>
        </is>
      </c>
      <c r="D1399" t="inlineStr">
        <is>
          <t>Sous-ministre adjoint, Direction générale des programmes</t>
        </is>
      </c>
      <c r="E1399" t="inlineStr">
        <is>
          <t>Paul Samson</t>
        </is>
      </c>
      <c r="F1399" t="inlineStr">
        <is>
          <t>Visiting Farm Income Programs Directorate</t>
        </is>
      </c>
      <c r="G1399" t="inlineStr">
        <is>
          <t>Visiter  la Direction des programmes du revenu agricole</t>
        </is>
      </c>
      <c r="H1399" s="1" t="n">
        <v>43721</v>
      </c>
      <c r="I1399" s="1" t="n">
        <v>43721</v>
      </c>
      <c r="J1399" t="inlineStr">
        <is>
          <t>Winnipeg (Manitoba) Canada</t>
        </is>
      </c>
      <c r="K1399" t="inlineStr">
        <is>
          <t>Winnipeg (Manitoba) Canada</t>
        </is>
      </c>
      <c r="P1399" t="n">
        <v>817.14</v>
      </c>
      <c r="Q1399" t="n">
        <v>97.72</v>
      </c>
      <c r="R1399" t="n">
        <v>0</v>
      </c>
      <c r="S1399" t="n">
        <v>20.1</v>
      </c>
      <c r="T1399" t="n">
        <v>0</v>
      </c>
      <c r="U1399" t="n">
        <v>934.96</v>
      </c>
      <c r="V1399" t="inlineStr">
        <is>
          <t xml:space="preserve">Airfare credit was used to partially pay for the flight.  </t>
        </is>
      </c>
      <c r="W1399" t="inlineStr">
        <is>
          <t xml:space="preserve">Un crédit de billet d'avion a été utilisé pour payer une partie du vol.  </t>
        </is>
      </c>
      <c r="X1399" t="inlineStr">
        <is>
          <t>aafc-aac</t>
        </is>
      </c>
      <c r="Y1399" t="inlineStr">
        <is>
          <t>Agriculture and Agri-Food Canada | Agriculture et Agroalimentaire Canada</t>
        </is>
      </c>
    </row>
    <row r="1400">
      <c r="A1400" t="inlineStr">
        <is>
          <t>T-2019-P7-0015</t>
        </is>
      </c>
      <c r="B1400" t="inlineStr">
        <is>
          <t>SLE</t>
        </is>
      </c>
      <c r="C1400" t="inlineStr">
        <is>
          <t>Assistant Deputy Minister, Strategic Policy Branch</t>
        </is>
      </c>
      <c r="D1400" t="inlineStr">
        <is>
          <t>Sous-ministre adjoint, Direction générale des politiques stratégiques</t>
        </is>
      </c>
      <c r="E1400" t="inlineStr">
        <is>
          <t>Tom Rosser</t>
        </is>
      </c>
      <c r="F1400" t="inlineStr">
        <is>
          <t>Attend a Food for Health Policy Workshop.</t>
        </is>
      </c>
      <c r="G1400" t="inlineStr">
        <is>
          <t>Participer  à un atelier stratégique sur la santé par l'alimentation</t>
        </is>
      </c>
      <c r="H1400" s="1" t="n">
        <v>43713</v>
      </c>
      <c r="I1400" s="1" t="n">
        <v>43714</v>
      </c>
      <c r="J1400" t="inlineStr">
        <is>
          <t>Montreal (Quebec) Canada</t>
        </is>
      </c>
      <c r="K1400" t="inlineStr">
        <is>
          <t>Montréal (Québec) Canada</t>
        </is>
      </c>
      <c r="Q1400" t="n">
        <v>379.48</v>
      </c>
      <c r="R1400" t="n">
        <v>332.01</v>
      </c>
      <c r="S1400" t="n">
        <v>54.7</v>
      </c>
      <c r="U1400" t="n">
        <v>766.1900000000001</v>
      </c>
      <c r="X1400" t="inlineStr">
        <is>
          <t>aafc-aac</t>
        </is>
      </c>
      <c r="Y1400" t="inlineStr">
        <is>
          <t>Agriculture and Agri-Food Canada | Agriculture et Agroalimentaire Canada</t>
        </is>
      </c>
    </row>
    <row r="1401">
      <c r="A1401" t="inlineStr">
        <is>
          <t>T-2019-P7-0016</t>
        </is>
      </c>
      <c r="B1401" t="inlineStr">
        <is>
          <t>SLE</t>
        </is>
      </c>
      <c r="C1401" t="inlineStr">
        <is>
          <t>Assistant Deputy Minister, Strategic Policy Branch</t>
        </is>
      </c>
      <c r="D1401" t="inlineStr">
        <is>
          <t>Sous-ministre adjoint, Direction générale des politiques stratégiques</t>
        </is>
      </c>
      <c r="E1401" t="inlineStr">
        <is>
          <t>Tom Rosser</t>
        </is>
      </c>
      <c r="F1401" t="inlineStr">
        <is>
          <t>Participated in the Fall 2019 Grain Monitoring Program.</t>
        </is>
      </c>
      <c r="G1401" t="inlineStr">
        <is>
          <t>Participer au programme de surveillance des grains de l'automne 2019.</t>
        </is>
      </c>
      <c r="H1401" s="1" t="n">
        <v>43730</v>
      </c>
      <c r="I1401" s="1" t="n">
        <v>43734</v>
      </c>
      <c r="J1401" t="inlineStr">
        <is>
          <t>Vancouver (British Columbia) Canada; Prince Rupert (British Columbia) Canada</t>
        </is>
      </c>
      <c r="K1401" t="inlineStr">
        <is>
          <t>Vancouver (Colombie-Britannique) Canada; Prince Rupert (Colombie-Britannique) Canada</t>
        </is>
      </c>
      <c r="P1401" t="n">
        <v>106.5</v>
      </c>
      <c r="Q1401" t="n">
        <v>142.95</v>
      </c>
      <c r="R1401" t="n">
        <v>800.77</v>
      </c>
      <c r="S1401" t="n">
        <v>502.15</v>
      </c>
      <c r="U1401" t="n">
        <v>1552.37</v>
      </c>
      <c r="V1401" t="inlineStr">
        <is>
          <t xml:space="preserve">Airfare credit was used to pay for the flight.  </t>
        </is>
      </c>
      <c r="W1401" t="inlineStr">
        <is>
          <t xml:space="preserve">Un crédit de billet d'avion a été utilisé pour payer le vol.  </t>
        </is>
      </c>
      <c r="X1401" t="inlineStr">
        <is>
          <t>aafc-aac</t>
        </is>
      </c>
      <c r="Y1401" t="inlineStr">
        <is>
          <t>Agriculture and Agri-Food Canada | Agriculture et Agroalimentaire Canada</t>
        </is>
      </c>
    </row>
    <row r="1402">
      <c r="A1402" t="inlineStr">
        <is>
          <t>T-2019-P7-0017</t>
        </is>
      </c>
      <c r="B1402" t="inlineStr">
        <is>
          <t>SLE</t>
        </is>
      </c>
      <c r="C1402" t="inlineStr">
        <is>
          <t>Assistant Deputy Minister, Strategic Policy Branch</t>
        </is>
      </c>
      <c r="D1402" t="inlineStr">
        <is>
          <t>Sous-ministre adjoint, Direction générale des politiques stratégiques</t>
        </is>
      </c>
      <c r="E1402" t="inlineStr">
        <is>
          <t>Tom Rosser</t>
        </is>
      </c>
      <c r="F1402" t="inlineStr">
        <is>
          <t>Meeting with staff located in Winnipeg. Attend a meeting with the Canadian Grain Commission.</t>
        </is>
      </c>
      <c r="G1402" t="inlineStr">
        <is>
          <t>Rencontrer les employés de Winnipeg. Participer à une réunion avec la Commission canadienne des grains.</t>
        </is>
      </c>
      <c r="H1402" s="1" t="n">
        <v>43747</v>
      </c>
      <c r="I1402" s="1" t="n">
        <v>43749</v>
      </c>
      <c r="J1402" t="inlineStr">
        <is>
          <t>Winnipeg (Manitoba) Canada</t>
        </is>
      </c>
      <c r="K1402" t="inlineStr">
        <is>
          <t>Winnipeg (Manitoba) Canada</t>
        </is>
      </c>
      <c r="P1402" t="n">
        <v>1617.69</v>
      </c>
      <c r="Q1402" t="n">
        <v>144.65</v>
      </c>
      <c r="R1402" t="n">
        <v>146.56</v>
      </c>
      <c r="S1402" t="n">
        <v>176.65</v>
      </c>
      <c r="U1402" t="n">
        <v>2085.55</v>
      </c>
      <c r="X1402" t="inlineStr">
        <is>
          <t>aafc-aac</t>
        </is>
      </c>
      <c r="Y1402" t="inlineStr">
        <is>
          <t>Agriculture and Agri-Food Canada | Agriculture et Agroalimentaire Canada</t>
        </is>
      </c>
    </row>
    <row r="1403">
      <c r="A1403" t="inlineStr">
        <is>
          <t>T-2019-P8-0001</t>
        </is>
      </c>
      <c r="B1403" t="inlineStr">
        <is>
          <t>MPSES</t>
        </is>
      </c>
      <c r="C1403" t="inlineStr">
        <is>
          <t>Driver</t>
        </is>
      </c>
      <c r="D1403" t="inlineStr">
        <is>
          <t>Chauffeur</t>
        </is>
      </c>
      <c r="E1403" t="inlineStr">
        <is>
          <t>Michel Gendreau</t>
        </is>
      </c>
      <c r="F1403" t="inlineStr">
        <is>
          <t>Drive the Minister to her riding from Ottawa</t>
        </is>
      </c>
      <c r="G1403" t="inlineStr">
        <is>
          <t>Conduire la ministre d'Ottawa à sa circonscription.</t>
        </is>
      </c>
      <c r="H1403" s="1" t="n">
        <v>43775</v>
      </c>
      <c r="I1403" s="1" t="n">
        <v>43777</v>
      </c>
      <c r="J1403" t="inlineStr">
        <is>
          <t>Sherbrooke (Quebec) Canada</t>
        </is>
      </c>
      <c r="K1403" t="inlineStr">
        <is>
          <t>Sherbrooke (Québec) Canada</t>
        </is>
      </c>
      <c r="P1403" t="n">
        <v>0</v>
      </c>
      <c r="Q1403" t="n">
        <v>12.4</v>
      </c>
      <c r="R1403" t="n">
        <v>149.22</v>
      </c>
      <c r="S1403" t="n">
        <v>105.5</v>
      </c>
      <c r="T1403" t="n">
        <v>0</v>
      </c>
      <c r="U1403" t="n">
        <v>267.12</v>
      </c>
      <c r="X1403" t="inlineStr">
        <is>
          <t>aafc-aac</t>
        </is>
      </c>
      <c r="Y1403" t="inlineStr">
        <is>
          <t>Agriculture and Agri-Food Canada | Agriculture et Agroalimentaire Canada</t>
        </is>
      </c>
    </row>
    <row r="1404">
      <c r="A1404" t="inlineStr">
        <is>
          <t>T-2019-P8-0002</t>
        </is>
      </c>
      <c r="B1404" t="inlineStr">
        <is>
          <t>MPSES</t>
        </is>
      </c>
      <c r="C1404" t="inlineStr">
        <is>
          <t>Driver</t>
        </is>
      </c>
      <c r="D1404" t="inlineStr">
        <is>
          <t>Chauffeur</t>
        </is>
      </c>
      <c r="E1404" t="inlineStr">
        <is>
          <t>Michel Gendreau</t>
        </is>
      </c>
      <c r="F1404" t="inlineStr">
        <is>
          <t>Pick up the Minister from her riding  to bring to Ottawa and return in the evening</t>
        </is>
      </c>
      <c r="G1404" t="inlineStr">
        <is>
          <t>Conduire la ministre de sa circonscription à Ottawa et la reconduire en soirée.</t>
        </is>
      </c>
      <c r="H1404" s="1" t="n">
        <v>43781</v>
      </c>
      <c r="I1404" s="1" t="n">
        <v>43782</v>
      </c>
      <c r="J1404" t="inlineStr">
        <is>
          <t>Sherbrooke (Quebec) Canada; 
Ottawa (Ontario) Canada</t>
        </is>
      </c>
      <c r="K1404" t="inlineStr">
        <is>
          <t>Sherbrooke (Québec) Canada; 
Ottawa (Ontario) Canada</t>
        </is>
      </c>
      <c r="P1404" t="n">
        <v>0</v>
      </c>
      <c r="Q1404" t="n">
        <v>12.4</v>
      </c>
      <c r="R1404" t="n">
        <v>135.65</v>
      </c>
      <c r="S1404" t="n">
        <v>176.65</v>
      </c>
      <c r="T1404" t="n">
        <v>0</v>
      </c>
      <c r="U1404" t="n">
        <v>324.7</v>
      </c>
      <c r="X1404" t="inlineStr">
        <is>
          <t>aafc-aac</t>
        </is>
      </c>
      <c r="Y1404" t="inlineStr">
        <is>
          <t>Agriculture and Agri-Food Canada | Agriculture et Agroalimentaire Canada</t>
        </is>
      </c>
    </row>
    <row r="1405">
      <c r="A1405" t="inlineStr">
        <is>
          <t>T-2019-P8-0003</t>
        </is>
      </c>
      <c r="B1405" t="inlineStr">
        <is>
          <t>SLE</t>
        </is>
      </c>
      <c r="C1405" t="inlineStr">
        <is>
          <t>Associate Deputy Minister</t>
        </is>
      </c>
      <c r="D1405" t="inlineStr">
        <is>
          <t>Sous-ministre déléguée</t>
        </is>
      </c>
      <c r="E1405" t="inlineStr">
        <is>
          <t>Annette Gibbons</t>
        </is>
      </c>
      <c r="F1405" t="inlineStr">
        <is>
          <t>Attend meetings of Tri-National Conference and attend Outreach</t>
        </is>
      </c>
      <c r="G1405" t="inlineStr">
        <is>
          <t>Assister aux réunions de la conférence trinationale et à une campagne de sensibilisation.</t>
        </is>
      </c>
      <c r="H1405" s="1" t="n">
        <v>43781</v>
      </c>
      <c r="I1405" s="1" t="n">
        <v>43783</v>
      </c>
      <c r="J1405" t="inlineStr">
        <is>
          <t>Winnipeg (Manitoba) Canada</t>
        </is>
      </c>
      <c r="K1405" t="inlineStr">
        <is>
          <t>Winnipeg (Manitoba) Canada</t>
        </is>
      </c>
      <c r="P1405" t="n">
        <v>989.46</v>
      </c>
      <c r="Q1405" t="n">
        <v>52.46</v>
      </c>
      <c r="R1405" t="n">
        <v>302.5</v>
      </c>
      <c r="S1405" t="n">
        <v>162.65</v>
      </c>
      <c r="T1405" t="n">
        <v>450</v>
      </c>
      <c r="U1405" t="n">
        <v>1957.07</v>
      </c>
      <c r="V1405" t="inlineStr">
        <is>
          <t>Other expenses: Conference fee</t>
        </is>
      </c>
      <c r="W1405" t="inlineStr">
        <is>
          <t>Autres dépenses : frais d'inscription à la conférence</t>
        </is>
      </c>
      <c r="X1405" t="inlineStr">
        <is>
          <t>aafc-aac</t>
        </is>
      </c>
      <c r="Y1405" t="inlineStr">
        <is>
          <t>Agriculture and Agri-Food Canada | Agriculture et Agroalimentaire Canada</t>
        </is>
      </c>
    </row>
    <row r="1406">
      <c r="A1406" t="inlineStr">
        <is>
          <t>T-2019-P8-0004</t>
        </is>
      </c>
      <c r="B1406" t="inlineStr">
        <is>
          <t>SLE</t>
        </is>
      </c>
      <c r="C1406" t="inlineStr">
        <is>
          <t>Deputy Minister</t>
        </is>
      </c>
      <c r="D1406" t="inlineStr">
        <is>
          <t>Sous-ministre</t>
        </is>
      </c>
      <c r="E1406" t="inlineStr">
        <is>
          <t>Chris Forbes</t>
        </is>
      </c>
      <c r="F1406" t="inlineStr">
        <is>
          <t>Attend the Ivey Academy’s Senior Public Sector Leaders Program. Attend an outreach at the Harrow Research and Development Centre.</t>
        </is>
      </c>
      <c r="G1406" t="inlineStr">
        <is>
          <t>Participer au programme de l'Ivey Academy à l'intention des hauts dirigeants du secteur public. Visiter le Centre de recherche et de développement de Harrow.</t>
        </is>
      </c>
      <c r="H1406" s="1" t="n">
        <v>43719</v>
      </c>
      <c r="I1406" s="1" t="n">
        <v>43720</v>
      </c>
      <c r="J1406" t="inlineStr">
        <is>
          <t>Toronto (Ontario) Canada;
Harrow (Ontario) Canada;
Windsor (Ontario) Canada</t>
        </is>
      </c>
      <c r="K1406" t="inlineStr">
        <is>
          <t>Toronto (Ontario) Canada;
Harrow (Ontario) Canada;
Windsor (Ontario) Canada</t>
        </is>
      </c>
      <c r="P1406" t="n">
        <v>1125.92</v>
      </c>
      <c r="Q1406" t="n">
        <v>137.98</v>
      </c>
      <c r="R1406" t="n">
        <v>0</v>
      </c>
      <c r="S1406" t="n">
        <v>40.6</v>
      </c>
      <c r="T1406" t="n">
        <v>0</v>
      </c>
      <c r="U1406" t="n">
        <v>1304.5</v>
      </c>
      <c r="V1406" t="inlineStr">
        <is>
          <t>Lodging was provided free of charge by the Ivey Leadership Centre who organized the event</t>
        </is>
      </c>
      <c r="W1406" t="inlineStr">
        <is>
          <t>L'hébergement a été fourni gratuitement par l'Ivey Leadership Centre qui a organisé l'événement.</t>
        </is>
      </c>
      <c r="X1406" t="inlineStr">
        <is>
          <t>aafc-aac</t>
        </is>
      </c>
      <c r="Y1406" t="inlineStr">
        <is>
          <t>Agriculture and Agri-Food Canada | Agriculture et Agroalimentaire Canada</t>
        </is>
      </c>
    </row>
    <row r="1407">
      <c r="A1407" t="inlineStr">
        <is>
          <t>T-2019-P8-0005</t>
        </is>
      </c>
      <c r="B1407" t="inlineStr">
        <is>
          <t>SLE</t>
        </is>
      </c>
      <c r="C1407" t="inlineStr">
        <is>
          <t>Deputy Minister</t>
        </is>
      </c>
      <c r="D1407" t="inlineStr">
        <is>
          <t>Sous-ministre</t>
        </is>
      </c>
      <c r="E1407" t="inlineStr">
        <is>
          <t>Chris Forbes</t>
        </is>
      </c>
      <c r="F1407" t="inlineStr">
        <is>
          <t>Participate in the Canadian Ditchley Biennial Conference on the topic of Food Security in the 21st Century.</t>
        </is>
      </c>
      <c r="G1407" t="inlineStr">
        <is>
          <t>Participer à la conférence biennale canadienne Ditchley sur le thème de la sécurité alimentaire au 21e siècle.</t>
        </is>
      </c>
      <c r="H1407" s="1" t="n">
        <v>43769</v>
      </c>
      <c r="I1407" s="1" t="n">
        <v>43772</v>
      </c>
      <c r="J1407" t="inlineStr">
        <is>
          <t>Toronto (Ontario) Canada</t>
        </is>
      </c>
      <c r="K1407" t="inlineStr">
        <is>
          <t>Toronto (Ontario) Canada</t>
        </is>
      </c>
      <c r="P1407" t="n">
        <v>639.0700000000001</v>
      </c>
      <c r="Q1407" t="n">
        <v>0</v>
      </c>
      <c r="R1407" t="n">
        <v>186.86</v>
      </c>
      <c r="S1407" t="n">
        <v>50.55</v>
      </c>
      <c r="T1407" t="n">
        <v>0</v>
      </c>
      <c r="U1407" t="n">
        <v>876.48</v>
      </c>
      <c r="X1407" t="inlineStr">
        <is>
          <t>aafc-aac</t>
        </is>
      </c>
      <c r="Y1407" t="inlineStr">
        <is>
          <t>Agriculture and Agri-Food Canada | Agriculture et Agroalimentaire Canada</t>
        </is>
      </c>
    </row>
    <row r="1408">
      <c r="A1408" t="inlineStr">
        <is>
          <t>T-2019-P8-0006</t>
        </is>
      </c>
      <c r="B1408" t="inlineStr">
        <is>
          <t>SLE</t>
        </is>
      </c>
      <c r="C1408" t="inlineStr">
        <is>
          <t>Workplace Well-Being Ombudsperson</t>
        </is>
      </c>
      <c r="D1408" t="inlineStr">
        <is>
          <t>Ombudsman du mieux-être en milieu de travail</t>
        </is>
      </c>
      <c r="E1408" t="inlineStr">
        <is>
          <t>Jane Taylor</t>
        </is>
      </c>
      <c r="F1408" t="inlineStr">
        <is>
          <t>Training for the Certificate for Ombuds</t>
        </is>
      </c>
      <c r="G1408" t="inlineStr">
        <is>
          <t>Suivre la formation liée au certificat à l'intention des ombudsmans.</t>
        </is>
      </c>
      <c r="H1408" s="1" t="n">
        <v>43730</v>
      </c>
      <c r="I1408" s="1" t="n">
        <v>43735</v>
      </c>
      <c r="J1408" t="inlineStr">
        <is>
          <t>Toronto (Ontario) Canada</t>
        </is>
      </c>
      <c r="K1408" t="inlineStr">
        <is>
          <t>Toronto (Ontario) Canada</t>
        </is>
      </c>
      <c r="P1408" t="n">
        <v>0</v>
      </c>
      <c r="Q1408" t="n">
        <v>237.73</v>
      </c>
      <c r="R1408" t="n">
        <v>1110.55</v>
      </c>
      <c r="S1408" t="n">
        <v>408.9</v>
      </c>
      <c r="T1408" t="n">
        <v>0</v>
      </c>
      <c r="U1408" t="n">
        <v>1757.18</v>
      </c>
      <c r="X1408" t="inlineStr">
        <is>
          <t>aafc-aac</t>
        </is>
      </c>
      <c r="Y1408" t="inlineStr">
        <is>
          <t>Agriculture and Agri-Food Canada | Agriculture et Agroalimentaire Canada</t>
        </is>
      </c>
    </row>
    <row r="1409">
      <c r="A1409" t="inlineStr">
        <is>
          <t>T-2019-P8-0007</t>
        </is>
      </c>
      <c r="B1409" t="inlineStr">
        <is>
          <t>SLE</t>
        </is>
      </c>
      <c r="C1409" t="inlineStr">
        <is>
          <t>Workplace Well-Being Ombudsperson</t>
        </is>
      </c>
      <c r="D1409" t="inlineStr">
        <is>
          <t>Ombudsman du mieux-être en milieu de travail</t>
        </is>
      </c>
      <c r="E1409" t="inlineStr">
        <is>
          <t>Jane Taylor</t>
        </is>
      </c>
      <c r="F1409" t="inlineStr">
        <is>
          <t xml:space="preserve">Outreach to St. Johns and Nova Scotia </t>
        </is>
      </c>
      <c r="G1409" t="inlineStr">
        <is>
          <t>Visiter les centres de St. John's et de Halifax.</t>
        </is>
      </c>
      <c r="H1409" s="1" t="n">
        <v>43753</v>
      </c>
      <c r="I1409" s="1" t="n">
        <v>43756</v>
      </c>
      <c r="J1409" t="inlineStr">
        <is>
          <t>St. John's (Newfoundland) Canada; Halifax (Nova Scotia) Canada</t>
        </is>
      </c>
      <c r="K1409" t="inlineStr">
        <is>
          <t>St. John's (Terre-Neuve) Canada; Halifax (Nouvelle-Écosse) Canada</t>
        </is>
      </c>
      <c r="P1409" t="n">
        <v>1394.86</v>
      </c>
      <c r="Q1409" t="n">
        <v>409.04</v>
      </c>
      <c r="R1409" t="n">
        <v>541.47</v>
      </c>
      <c r="S1409" t="n">
        <v>364.3</v>
      </c>
      <c r="T1409" t="n">
        <v>0</v>
      </c>
      <c r="U1409" t="n">
        <v>2709.67</v>
      </c>
      <c r="X1409" t="inlineStr">
        <is>
          <t>aafc-aac</t>
        </is>
      </c>
      <c r="Y1409" t="inlineStr">
        <is>
          <t>Agriculture and Agri-Food Canada | Agriculture et Agroalimentaire Canada</t>
        </is>
      </c>
    </row>
    <row r="1410">
      <c r="A1410" t="inlineStr">
        <is>
          <t>T-2019-P8-0008</t>
        </is>
      </c>
      <c r="B1410" t="inlineStr">
        <is>
          <t>SLE</t>
        </is>
      </c>
      <c r="C1410" t="inlineStr">
        <is>
          <t>Workplace Well-Being Ombudsperson</t>
        </is>
      </c>
      <c r="D1410" t="inlineStr">
        <is>
          <t>Ombudsman du mieux-être en milieu de travail</t>
        </is>
      </c>
      <c r="E1410" t="inlineStr">
        <is>
          <t>Jane Taylor</t>
        </is>
      </c>
      <c r="F1410" t="inlineStr">
        <is>
          <t xml:space="preserve">Outreach Morden and Winnipeg </t>
        </is>
      </c>
      <c r="G1410" t="inlineStr">
        <is>
          <t>Visiter les centres de Morden et de Winnipeg.</t>
        </is>
      </c>
      <c r="H1410" s="1" t="n">
        <v>43767</v>
      </c>
      <c r="I1410" s="1" t="n">
        <v>43769</v>
      </c>
      <c r="J1410" t="inlineStr">
        <is>
          <t>Morden (Manitoba) Canada; Winnipeg (Manitoba) Canada</t>
        </is>
      </c>
      <c r="K1410" t="inlineStr">
        <is>
          <t>Morden (Manitoba) Canada; Winnipeg (Manitoba) Canada</t>
        </is>
      </c>
      <c r="P1410" t="n">
        <v>804.09</v>
      </c>
      <c r="Q1410" t="n">
        <v>434.62</v>
      </c>
      <c r="R1410" t="n">
        <v>272.2</v>
      </c>
      <c r="S1410" t="n">
        <v>326.4</v>
      </c>
      <c r="T1410" t="n">
        <v>0</v>
      </c>
      <c r="U1410" t="n">
        <v>1837.31</v>
      </c>
      <c r="X1410" t="inlineStr">
        <is>
          <t>aafc-aac</t>
        </is>
      </c>
      <c r="Y1410" t="inlineStr">
        <is>
          <t>Agriculture and Agri-Food Canada | Agriculture et Agroalimentaire Canada</t>
        </is>
      </c>
    </row>
    <row r="1411">
      <c r="A1411" t="inlineStr">
        <is>
          <t>T-2019-P8-0009</t>
        </is>
      </c>
      <c r="B1411" t="inlineStr">
        <is>
          <t>SLE</t>
        </is>
      </c>
      <c r="C1411" t="inlineStr">
        <is>
          <t>Assistant Deputy Minister, Corporate Management Branch</t>
        </is>
      </c>
      <c r="D1411" t="inlineStr">
        <is>
          <t>Sous-ministre adjoint, Direction générale de la gestion intégrée</t>
        </is>
      </c>
      <c r="E1411" t="inlineStr">
        <is>
          <t>Christine Walker</t>
        </is>
      </c>
      <c r="F1411" t="inlineStr">
        <is>
          <t>Attend 31st Annual International Colloquium on Financial Management for National Governments and outreach at St John's Research and Development Centre</t>
        </is>
      </c>
      <c r="G1411" t="inlineStr">
        <is>
          <t>Participer au 31e Colloque international sur la gestion financière des gouvernements nationaux. Visiter le Centre de recherche et de développement de St. John's.</t>
        </is>
      </c>
      <c r="H1411" s="1" t="n">
        <v>43725</v>
      </c>
      <c r="I1411" s="1" t="n">
        <v>43729</v>
      </c>
      <c r="J1411" t="inlineStr">
        <is>
          <t>St. John's (Newfoundland) Canada</t>
        </is>
      </c>
      <c r="K1411" t="inlineStr">
        <is>
          <t>St. John's (Terre-Neuve) Canada</t>
        </is>
      </c>
      <c r="P1411" t="n">
        <v>1131.51</v>
      </c>
      <c r="Q1411" t="n">
        <v>184.62</v>
      </c>
      <c r="R1411" t="n">
        <v>875.84</v>
      </c>
      <c r="S1411" t="n">
        <v>441.05</v>
      </c>
      <c r="T1411" t="n">
        <v>0</v>
      </c>
      <c r="U1411" t="n">
        <v>2633.02</v>
      </c>
      <c r="X1411" t="inlineStr">
        <is>
          <t>aafc-aac</t>
        </is>
      </c>
      <c r="Y1411" t="inlineStr">
        <is>
          <t>Agriculture and Agri-Food Canada | Agriculture et Agroalimentaire Canada</t>
        </is>
      </c>
    </row>
    <row r="1412">
      <c r="A1412" t="inlineStr">
        <is>
          <t>T-2019-P8-0010</t>
        </is>
      </c>
      <c r="B1412" t="inlineStr">
        <is>
          <t>SLE</t>
        </is>
      </c>
      <c r="C1412" t="inlineStr">
        <is>
          <t>Assistant Deputy Minister, Market and Industry Services Branch</t>
        </is>
      </c>
      <c r="D1412" t="inlineStr">
        <is>
          <t>Sous-ministre adjoint, Direction générale des services à l'industrie et aux marchés</t>
        </is>
      </c>
      <c r="E1412" t="inlineStr">
        <is>
          <t>Frédéric Seppey</t>
        </is>
      </c>
      <c r="F1412" t="inlineStr">
        <is>
          <t>Attend a Quebec Departmental Regional Office strategic planning session</t>
        </is>
      </c>
      <c r="G1412" t="inlineStr">
        <is>
          <t>Participer à une séance de planification stratégique du Bureau régional ministériel du Québec.</t>
        </is>
      </c>
      <c r="H1412" s="1" t="n">
        <v>43747</v>
      </c>
      <c r="I1412" s="1" t="n">
        <v>43748</v>
      </c>
      <c r="J1412" t="inlineStr">
        <is>
          <t>Montreal (Quebec) Canada</t>
        </is>
      </c>
      <c r="K1412" t="inlineStr">
        <is>
          <t>Montréal (Québec) Canada</t>
        </is>
      </c>
      <c r="P1412" t="n">
        <v>0</v>
      </c>
      <c r="Q1412" t="n">
        <v>197.15</v>
      </c>
      <c r="R1412" t="n">
        <v>185.64</v>
      </c>
      <c r="S1412" t="n">
        <v>129.15</v>
      </c>
      <c r="T1412" t="n">
        <v>0</v>
      </c>
      <c r="U1412" t="n">
        <v>511.94</v>
      </c>
      <c r="X1412" t="inlineStr">
        <is>
          <t>aafc-aac</t>
        </is>
      </c>
      <c r="Y1412" t="inlineStr">
        <is>
          <t>Agriculture and Agri-Food Canada | Agriculture et Agroalimentaire Canada</t>
        </is>
      </c>
    </row>
    <row r="1413">
      <c r="A1413" t="inlineStr">
        <is>
          <t>T-2019-P8-0011</t>
        </is>
      </c>
      <c r="B1413" t="inlineStr">
        <is>
          <t>SLE</t>
        </is>
      </c>
      <c r="C1413" t="inlineStr">
        <is>
          <t>Assistant Deputy Minister, Market and Industry Services Branch</t>
        </is>
      </c>
      <c r="D1413" t="inlineStr">
        <is>
          <t>Sous-ministre adjoint, Direction générale des services à l'industrie et aux marchés</t>
        </is>
      </c>
      <c r="E1413" t="inlineStr">
        <is>
          <t>Frédéric Seppey</t>
        </is>
      </c>
      <c r="F1413" t="inlineStr">
        <is>
          <t>Attend a Policy Fellowship training program at the University of Guelph and meet with industry stakeholders.</t>
        </is>
      </c>
      <c r="G1413" t="inlineStr">
        <is>
          <t>Participer à un programme de bourses pour l'élaboration de politiques à l'Université de Guelph et assister à des rencontres avec des intervenants clés de l'industrie.</t>
        </is>
      </c>
      <c r="H1413" s="1" t="n">
        <v>43752</v>
      </c>
      <c r="I1413" s="1" t="n">
        <v>43756</v>
      </c>
      <c r="J1413" t="inlineStr">
        <is>
          <t>Guelph (Ontario) Canada</t>
        </is>
      </c>
      <c r="K1413" t="inlineStr">
        <is>
          <t>Guelph (Ontario) Canada</t>
        </is>
      </c>
      <c r="P1413" t="n">
        <v>398.4</v>
      </c>
      <c r="Q1413" t="n">
        <v>263.42</v>
      </c>
      <c r="R1413" t="n">
        <v>664.4400000000001</v>
      </c>
      <c r="S1413" t="n">
        <v>431.9</v>
      </c>
      <c r="T1413" t="n">
        <v>0</v>
      </c>
      <c r="U1413" t="n">
        <v>1758.16</v>
      </c>
      <c r="V1413" t="inlineStr">
        <is>
          <t xml:space="preserve">Airfare credit was used. </t>
        </is>
      </c>
      <c r="W1413" t="inlineStr">
        <is>
          <t>Un crédit de billet d’avion a été utilisé.</t>
        </is>
      </c>
      <c r="X1413" t="inlineStr">
        <is>
          <t>aafc-aac</t>
        </is>
      </c>
      <c r="Y1413" t="inlineStr">
        <is>
          <t>Agriculture and Agri-Food Canada | Agriculture et Agroalimentaire Canada</t>
        </is>
      </c>
    </row>
    <row r="1414">
      <c r="A1414" t="inlineStr">
        <is>
          <t>T-2019-P8-0012</t>
        </is>
      </c>
      <c r="B1414" t="inlineStr">
        <is>
          <t>SLE</t>
        </is>
      </c>
      <c r="C1414" t="inlineStr">
        <is>
          <t>Assistant Deputy Minister, Market and Industry Services Branch</t>
        </is>
      </c>
      <c r="D1414" t="inlineStr">
        <is>
          <t>Sous-ministre adjoint, Direction générale des services à l'industrie et aux marchés</t>
        </is>
      </c>
      <c r="E1414" t="inlineStr">
        <is>
          <t>Frédéric Seppey</t>
        </is>
      </c>
      <c r="F1414" t="inlineStr">
        <is>
          <t xml:space="preserve">Attend a Northwest Regional Departmental office strategic planning session and meet with industry stakeholders. </t>
        </is>
      </c>
      <c r="G1414" t="inlineStr">
        <is>
          <t xml:space="preserve">Participer à la réunion de planification stratégique du Bureau régional du Nord-Ouest et assister à des rencontres avec des intervenants clés de l’industrie. </t>
        </is>
      </c>
      <c r="H1414" s="1" t="n">
        <v>43762</v>
      </c>
      <c r="I1414" s="1" t="n">
        <v>43766</v>
      </c>
      <c r="J1414" t="inlineStr">
        <is>
          <t>Vancouver (British Columbia) Canada</t>
        </is>
      </c>
      <c r="K1414" t="inlineStr">
        <is>
          <t>Vancouver (Colombie-Britannique) Canada</t>
        </is>
      </c>
      <c r="P1414" t="n">
        <v>445.36</v>
      </c>
      <c r="Q1414" t="n">
        <v>128.94</v>
      </c>
      <c r="R1414" t="n">
        <v>354.9</v>
      </c>
      <c r="S1414" t="n">
        <v>206.85</v>
      </c>
      <c r="T1414" t="n">
        <v>14.63</v>
      </c>
      <c r="U1414" t="n">
        <v>1150.68</v>
      </c>
      <c r="X1414" t="inlineStr">
        <is>
          <t>aafc-aac</t>
        </is>
      </c>
      <c r="Y1414" t="inlineStr">
        <is>
          <t>Agriculture and Agri-Food Canada | Agriculture et Agroalimentaire Canada</t>
        </is>
      </c>
    </row>
    <row r="1415">
      <c r="A1415" t="inlineStr">
        <is>
          <t>T-2019-P8-0013</t>
        </is>
      </c>
      <c r="B1415" t="inlineStr">
        <is>
          <t>SLE</t>
        </is>
      </c>
      <c r="C1415" t="inlineStr">
        <is>
          <t>Assistant Deputy Minister, Market and Industry Services Branch</t>
        </is>
      </c>
      <c r="D1415" t="inlineStr">
        <is>
          <t>Sous-ministre adjoint, Direction générale des services à l'industrie et aux marchés</t>
        </is>
      </c>
      <c r="E1415" t="inlineStr">
        <is>
          <t>Frédéric Seppey</t>
        </is>
      </c>
      <c r="F1415" t="inlineStr">
        <is>
          <t xml:space="preserve">Attend the Inter-American Institute for Cooperation on Agriculture Ministerial Meeting as the head of delegation. </t>
        </is>
      </c>
      <c r="G1415" t="inlineStr">
        <is>
          <t xml:space="preserve">Participer à la réunion de l'Institut interaméricain de coopération sur l'agriculture en tant que chef de délégation. </t>
        </is>
      </c>
      <c r="H1415" s="1" t="n">
        <v>43766</v>
      </c>
      <c r="I1415" s="1" t="n">
        <v>43770</v>
      </c>
      <c r="J1415" t="inlineStr">
        <is>
          <t>San José, Costa Rica</t>
        </is>
      </c>
      <c r="K1415" t="inlineStr">
        <is>
          <t>San José, Costa Rica</t>
        </is>
      </c>
      <c r="P1415" t="n">
        <v>1301.61</v>
      </c>
      <c r="Q1415" t="n">
        <v>60.96</v>
      </c>
      <c r="R1415" t="n">
        <v>417.96</v>
      </c>
      <c r="S1415" t="n">
        <v>464.6</v>
      </c>
      <c r="T1415" t="n">
        <v>9.220000000000001</v>
      </c>
      <c r="U1415" t="n">
        <v>2254.35</v>
      </c>
      <c r="X1415" t="inlineStr">
        <is>
          <t>aafc-aac</t>
        </is>
      </c>
      <c r="Y1415" t="inlineStr">
        <is>
          <t>Agriculture and Agri-Food Canada | Agriculture et Agroalimentaire Canada</t>
        </is>
      </c>
    </row>
    <row r="1416">
      <c r="A1416" t="inlineStr">
        <is>
          <t>T-2019-P8-0014</t>
        </is>
      </c>
      <c r="B1416" t="inlineStr">
        <is>
          <t>SLE</t>
        </is>
      </c>
      <c r="C1416" t="inlineStr">
        <is>
          <t>Assistant Deputy Minister, Market and Industry Services Branch</t>
        </is>
      </c>
      <c r="D1416" t="inlineStr">
        <is>
          <t>Sous-ministre adjoint, Direction générale des services à l'industrie et aux marchés</t>
        </is>
      </c>
      <c r="E1416" t="inlineStr">
        <is>
          <t>Frédéric Seppey</t>
        </is>
      </c>
      <c r="F1416" t="inlineStr">
        <is>
          <t>Attended Atlantic Regional Office Annual Staff Meeting in Fredericton</t>
        </is>
      </c>
      <c r="G1416" t="inlineStr">
        <is>
          <t>Participer à l’assemblée annuelle du personnel du Bureau régional de l’Atlantique à Fredericton.</t>
        </is>
      </c>
      <c r="H1416" s="1" t="n">
        <v>43775</v>
      </c>
      <c r="I1416" s="1" t="n">
        <v>43776</v>
      </c>
      <c r="J1416" t="inlineStr">
        <is>
          <t>Fredericton (New Brunswick) Canada</t>
        </is>
      </c>
      <c r="K1416" t="inlineStr">
        <is>
          <t>Fredericton (Nouveau-Brunswick) Canada</t>
        </is>
      </c>
      <c r="P1416" t="n">
        <v>557.87</v>
      </c>
      <c r="Q1416" t="n">
        <v>59.02</v>
      </c>
      <c r="R1416" t="n">
        <v>171.4</v>
      </c>
      <c r="S1416" t="n">
        <v>126.1</v>
      </c>
      <c r="T1416" t="n">
        <v>9.609999999999999</v>
      </c>
      <c r="U1416" t="n">
        <v>924</v>
      </c>
      <c r="X1416" t="inlineStr">
        <is>
          <t>aafc-aac</t>
        </is>
      </c>
      <c r="Y1416" t="inlineStr">
        <is>
          <t>Agriculture and Agri-Food Canada | Agriculture et Agroalimentaire Canada</t>
        </is>
      </c>
    </row>
    <row r="1417">
      <c r="A1417" t="inlineStr">
        <is>
          <t>T-2019-P8-0015</t>
        </is>
      </c>
      <c r="B1417" t="inlineStr">
        <is>
          <t>SLE</t>
        </is>
      </c>
      <c r="C1417" t="inlineStr">
        <is>
          <t>Assistant Deputy Minister, Public Affairs Branch</t>
        </is>
      </c>
      <c r="D1417" t="inlineStr">
        <is>
          <t>Sous-ministre adjoint, Direction générale des affaires publiques</t>
        </is>
      </c>
      <c r="E1417" t="inlineStr">
        <is>
          <t>Mary Dila</t>
        </is>
      </c>
      <c r="F1417" t="inlineStr">
        <is>
          <t>Attend an outreach at the Research Centre, All Staff Meeting and attend the Canadian Farm Writers Federation Conference</t>
        </is>
      </c>
      <c r="G1417" t="inlineStr">
        <is>
          <t>Visiter le Centre de recherche, assister à la réunion de tout le personnel et participer à la conférence du Canadian Farm Writers Federation.</t>
        </is>
      </c>
      <c r="H1417" s="1" t="n">
        <v>43729</v>
      </c>
      <c r="I1417" s="1" t="n">
        <v>43740</v>
      </c>
      <c r="J1417" t="inlineStr">
        <is>
          <t>Vancover (British Columbia) Canada; New Westminster (British Columbia) Canada</t>
        </is>
      </c>
      <c r="K1417" t="inlineStr">
        <is>
          <t>Vancouver (Colombie-Britannique) Canada; New Westminster (Colombie-Britannique) Canada</t>
        </is>
      </c>
      <c r="P1417" t="n">
        <v>1216.82</v>
      </c>
      <c r="Q1417" t="n">
        <v>140.76</v>
      </c>
      <c r="R1417" t="n">
        <v>1626.44</v>
      </c>
      <c r="S1417" t="n">
        <v>658.65</v>
      </c>
      <c r="T1417" t="n">
        <v>275</v>
      </c>
      <c r="U1417" t="n">
        <v>3917.67</v>
      </c>
      <c r="V1417" t="inlineStr">
        <is>
          <t>Other expenses: Conference fee</t>
        </is>
      </c>
      <c r="W1417" t="inlineStr">
        <is>
          <t>Autres dépenses : frais d'inscription à la  conférence</t>
        </is>
      </c>
      <c r="X1417" t="inlineStr">
        <is>
          <t>aafc-aac</t>
        </is>
      </c>
      <c r="Y1417" t="inlineStr">
        <is>
          <t>Agriculture and Agri-Food Canada | Agriculture et Agroalimentaire Canada</t>
        </is>
      </c>
    </row>
    <row r="1418">
      <c r="A1418" t="inlineStr">
        <is>
          <t>T-2019-P8-0016</t>
        </is>
      </c>
      <c r="B1418" t="inlineStr">
        <is>
          <t>SLE</t>
        </is>
      </c>
      <c r="C1418" t="inlineStr">
        <is>
          <t>Chief Information Officer, Information Systems Branch</t>
        </is>
      </c>
      <c r="D1418" t="inlineStr">
        <is>
          <t>Dirigeant principal de l'information, Direction générale des systèmes d'information</t>
        </is>
      </c>
      <c r="E1418" t="inlineStr">
        <is>
          <t>Michel Lessard</t>
        </is>
      </c>
      <c r="F1418" t="inlineStr">
        <is>
          <t>To attend Gartner Symposium/Itxpo to create information and technology operating models that are agile, responsive and innovative.</t>
        </is>
      </c>
      <c r="G1418" t="inlineStr">
        <is>
          <t>Assister au Symposium Gartner/Itxpo pour créer des modèles d'exploitation de l'information et de la technologie agiles, réactifs et innovants.</t>
        </is>
      </c>
      <c r="H1418" s="1" t="n">
        <v>43757</v>
      </c>
      <c r="I1418" s="1" t="n">
        <v>43768</v>
      </c>
      <c r="J1418" t="inlineStr">
        <is>
          <t>Orlando (Florida) United States</t>
        </is>
      </c>
      <c r="K1418" t="inlineStr">
        <is>
          <t>Orlando (Floride) États-Unis</t>
        </is>
      </c>
      <c r="P1418" t="n">
        <v>854.96</v>
      </c>
      <c r="Q1418" t="n">
        <v>63.13</v>
      </c>
      <c r="R1418" t="n">
        <v>2739.6</v>
      </c>
      <c r="S1418" t="n">
        <v>481.5</v>
      </c>
      <c r="T1418" t="n">
        <v>0</v>
      </c>
      <c r="U1418" t="n">
        <v>4139.19</v>
      </c>
      <c r="X1418" t="inlineStr">
        <is>
          <t>aafc-aac</t>
        </is>
      </c>
      <c r="Y1418" t="inlineStr">
        <is>
          <t>Agriculture and Agri-Food Canada | Agriculture et Agroalimentaire Canada</t>
        </is>
      </c>
    </row>
    <row r="1419">
      <c r="A1419" t="inlineStr">
        <is>
          <t>T-2019-P8-0017</t>
        </is>
      </c>
      <c r="B1419" t="inlineStr">
        <is>
          <t>SLE</t>
        </is>
      </c>
      <c r="C1419" t="inlineStr">
        <is>
          <t>Assistant Deputy Minister, Strategic Policy Branch</t>
        </is>
      </c>
      <c r="D1419" t="inlineStr">
        <is>
          <t>Sous-ministre adjoint, Direction générale des politiques stratégiques</t>
        </is>
      </c>
      <c r="E1419" t="inlineStr">
        <is>
          <t>Tom Rosser</t>
        </is>
      </c>
      <c r="F1419" t="inlineStr">
        <is>
          <t>Attend a Zero Waste Conference</t>
        </is>
      </c>
      <c r="G1419" t="inlineStr">
        <is>
          <t>Participer à une conférence zéro déchet.</t>
        </is>
      </c>
      <c r="H1419" s="1" t="n">
        <v>43767</v>
      </c>
      <c r="I1419" s="1" t="n">
        <v>43768</v>
      </c>
      <c r="J1419" t="inlineStr">
        <is>
          <t>Vancouver (British Columbia) Canada</t>
        </is>
      </c>
      <c r="K1419" t="inlineStr">
        <is>
          <t>Vancouver (Colombie-Britannique) Canada</t>
        </is>
      </c>
      <c r="P1419" t="n">
        <v>1457.51</v>
      </c>
      <c r="Q1419" t="n">
        <v>105.9</v>
      </c>
      <c r="R1419" t="n">
        <v>386.58</v>
      </c>
      <c r="S1419" t="n">
        <v>156.05</v>
      </c>
      <c r="T1419" t="n">
        <v>0</v>
      </c>
      <c r="U1419" t="n">
        <v>2106.04</v>
      </c>
      <c r="X1419" t="inlineStr">
        <is>
          <t>aafc-aac</t>
        </is>
      </c>
      <c r="Y1419" t="inlineStr">
        <is>
          <t>Agriculture and Agri-Food Canada | Agriculture et Agroalimentaire Canada</t>
        </is>
      </c>
    </row>
    <row r="1420">
      <c r="A1420" t="inlineStr">
        <is>
          <t>T-2019-P8-0018</t>
        </is>
      </c>
      <c r="B1420" t="inlineStr">
        <is>
          <t>SLE</t>
        </is>
      </c>
      <c r="C1420" t="inlineStr">
        <is>
          <t>Assistant Deputy Minister, Strategic Policy Branch</t>
        </is>
      </c>
      <c r="D1420" t="inlineStr">
        <is>
          <t>Sous-ministre adjoint, Direction générale des politiques stratégiques</t>
        </is>
      </c>
      <c r="E1420" t="inlineStr">
        <is>
          <t>Tom Rosser</t>
        </is>
      </c>
      <c r="F1420" t="inlineStr">
        <is>
          <t>Attend a Canadian Food Law and Policy Conference.</t>
        </is>
      </c>
      <c r="G1420" t="inlineStr">
        <is>
          <t>Participer à une conférence canadienne sur le droit et les politiques alimentaires.</t>
        </is>
      </c>
      <c r="H1420" s="1" t="n">
        <v>43776</v>
      </c>
      <c r="I1420" s="1" t="n">
        <v>43777</v>
      </c>
      <c r="J1420" t="inlineStr">
        <is>
          <t>Toronto (Ontario) Canada</t>
        </is>
      </c>
      <c r="K1420" t="inlineStr">
        <is>
          <t>Toronto (Ontario) Canada</t>
        </is>
      </c>
      <c r="P1420" t="n">
        <v>753.71</v>
      </c>
      <c r="Q1420" t="n">
        <v>154.7</v>
      </c>
      <c r="R1420" t="n">
        <v>280.87</v>
      </c>
      <c r="S1420" t="n">
        <v>105.75</v>
      </c>
      <c r="T1420" t="n">
        <v>0</v>
      </c>
      <c r="U1420" t="n">
        <v>1295.03</v>
      </c>
      <c r="X1420" t="inlineStr">
        <is>
          <t>aafc-aac</t>
        </is>
      </c>
      <c r="Y1420" t="inlineStr">
        <is>
          <t>Agriculture and Agri-Food Canada | Agriculture et Agroalimentaire Canada</t>
        </is>
      </c>
    </row>
    <row r="1421">
      <c r="A1421" t="inlineStr">
        <is>
          <t>T-2019-P9-0001</t>
        </is>
      </c>
      <c r="B1421" t="inlineStr">
        <is>
          <t>MPSES</t>
        </is>
      </c>
      <c r="C1421" t="inlineStr">
        <is>
          <t xml:space="preserve">Minister </t>
        </is>
      </c>
      <c r="D1421" t="inlineStr">
        <is>
          <t>Ministre</t>
        </is>
      </c>
      <c r="E1421" t="inlineStr">
        <is>
          <t>Marie-Claude Bibeau</t>
        </is>
      </c>
      <c r="F1421" t="inlineStr">
        <is>
          <t>Speak at the Congrès de l'Union des producteurs agricoles and meet with the Minister of Agriculture, Fisheries and Food</t>
        </is>
      </c>
      <c r="G1421" t="inlineStr">
        <is>
          <t xml:space="preserve">
Discours au Congrès de l'Union des producteurs agricoles et rencontre avec le ministre de l'Agriculture, des Pêcheries et de l'Alimentation</t>
        </is>
      </c>
      <c r="H1421" s="1" t="n">
        <v>43802</v>
      </c>
      <c r="I1421" s="1" t="n">
        <v>43802</v>
      </c>
      <c r="J1421" t="inlineStr">
        <is>
          <t>Quebec (Quebec) Canada</t>
        </is>
      </c>
      <c r="K1421" t="inlineStr">
        <is>
          <t>Québec (Québec) Canada</t>
        </is>
      </c>
      <c r="P1421" t="n">
        <v>970.51</v>
      </c>
      <c r="Q1421" t="n">
        <v>0</v>
      </c>
      <c r="R1421" t="n">
        <v>0</v>
      </c>
      <c r="S1421" t="n">
        <v>91.5</v>
      </c>
      <c r="T1421" t="n">
        <v>0</v>
      </c>
      <c r="U1421" t="n">
        <v>1062.01</v>
      </c>
      <c r="X1421" t="inlineStr">
        <is>
          <t>aafc-aac</t>
        </is>
      </c>
      <c r="Y1421" t="inlineStr">
        <is>
          <t>Agriculture and Agri-Food Canada | Agriculture et Agroalimentaire Canada</t>
        </is>
      </c>
    </row>
    <row r="1422">
      <c r="A1422" t="inlineStr">
        <is>
          <t>T-2019-P9-0002</t>
        </is>
      </c>
      <c r="B1422" t="inlineStr">
        <is>
          <t>MPSES</t>
        </is>
      </c>
      <c r="C1422" t="inlineStr">
        <is>
          <t xml:space="preserve">Minister </t>
        </is>
      </c>
      <c r="D1422" t="inlineStr">
        <is>
          <t>Ministre</t>
        </is>
      </c>
      <c r="E1422" t="inlineStr">
        <is>
          <t>Marie-Claude Bibeau</t>
        </is>
      </c>
      <c r="F1422" t="inlineStr">
        <is>
          <t>Attend the Canadian Western Agribition</t>
        </is>
      </c>
      <c r="G1422" t="inlineStr">
        <is>
          <t>Participer à la Canadian Western Agribition</t>
        </is>
      </c>
      <c r="H1422" s="1" t="n">
        <v>43793</v>
      </c>
      <c r="I1422" s="1" t="n">
        <v>43794</v>
      </c>
      <c r="J1422" t="inlineStr">
        <is>
          <t>Regina (Saskatchewan) Canada</t>
        </is>
      </c>
      <c r="K1422" t="inlineStr">
        <is>
          <t>Regina (Saskatchewan) Canada</t>
        </is>
      </c>
      <c r="P1422" t="n">
        <v>1661.58</v>
      </c>
      <c r="Q1422" t="n">
        <v>0</v>
      </c>
      <c r="R1422" t="n">
        <v>196.65</v>
      </c>
      <c r="S1422" t="n">
        <v>156.05</v>
      </c>
      <c r="T1422" t="n">
        <v>0</v>
      </c>
      <c r="U1422" t="n">
        <v>2014.28</v>
      </c>
      <c r="X1422" t="inlineStr">
        <is>
          <t>aafc-aac</t>
        </is>
      </c>
      <c r="Y1422" t="inlineStr">
        <is>
          <t>Agriculture and Agri-Food Canada | Agriculture et Agroalimentaire Canada</t>
        </is>
      </c>
    </row>
    <row r="1423">
      <c r="A1423" t="inlineStr">
        <is>
          <t>T-2019-P9-0003</t>
        </is>
      </c>
      <c r="B1423" t="inlineStr">
        <is>
          <t>MPSES</t>
        </is>
      </c>
      <c r="C1423" t="inlineStr">
        <is>
          <t>Chief of Staff</t>
        </is>
      </c>
      <c r="D1423" t="inlineStr">
        <is>
          <t>Chef de cabinet</t>
        </is>
      </c>
      <c r="E1423" t="inlineStr">
        <is>
          <t>Alison Porter</t>
        </is>
      </c>
      <c r="F1423" t="inlineStr">
        <is>
          <t>Accompany the Minister for the Canadian Western Agribition</t>
        </is>
      </c>
      <c r="G1423" t="inlineStr">
        <is>
          <t>Accompagner la ministre lors de la Canadian Western Agribition</t>
        </is>
      </c>
      <c r="H1423" s="1" t="n">
        <v>43793</v>
      </c>
      <c r="I1423" s="1" t="n">
        <v>43794</v>
      </c>
      <c r="J1423" t="inlineStr">
        <is>
          <t>Regina (Saskatchewan) Canada</t>
        </is>
      </c>
      <c r="K1423" t="inlineStr">
        <is>
          <t>Regina (Saskatchewan) Canada</t>
        </is>
      </c>
      <c r="P1423" t="n">
        <v>1534.46</v>
      </c>
      <c r="Q1423" t="n">
        <v>48.49</v>
      </c>
      <c r="R1423" t="n">
        <v>196.65</v>
      </c>
      <c r="S1423" t="n">
        <v>156.05</v>
      </c>
      <c r="T1423" t="n">
        <v>0</v>
      </c>
      <c r="U1423" t="n">
        <v>1935.65</v>
      </c>
      <c r="X1423" t="inlineStr">
        <is>
          <t>aafc-aac</t>
        </is>
      </c>
      <c r="Y1423" t="inlineStr">
        <is>
          <t>Agriculture and Agri-Food Canada | Agriculture et Agroalimentaire Canada</t>
        </is>
      </c>
    </row>
    <row r="1424">
      <c r="A1424" t="inlineStr">
        <is>
          <t>T-2019-P9-0004</t>
        </is>
      </c>
      <c r="B1424" t="inlineStr">
        <is>
          <t>MPSES</t>
        </is>
      </c>
      <c r="C1424" t="inlineStr">
        <is>
          <t>Driver</t>
        </is>
      </c>
      <c r="D1424" t="inlineStr">
        <is>
          <t>Chauffeur</t>
        </is>
      </c>
      <c r="E1424" t="inlineStr">
        <is>
          <t>Michel Gendreau</t>
        </is>
      </c>
      <c r="F1424" t="inlineStr">
        <is>
          <t>Drive the Minister to her riding from Ottawa</t>
        </is>
      </c>
      <c r="G1424" t="inlineStr">
        <is>
          <t>Conduire la ministre d'Ottawa à sa circonscription</t>
        </is>
      </c>
      <c r="H1424" s="1" t="n">
        <v>43791</v>
      </c>
      <c r="I1424" s="1" t="n">
        <v>43791</v>
      </c>
      <c r="J1424" t="inlineStr">
        <is>
          <t>Sherbrooke (Quebec) Canada</t>
        </is>
      </c>
      <c r="K1424" t="inlineStr">
        <is>
          <t>Sherbrooke (Québec) Canada</t>
        </is>
      </c>
      <c r="P1424" t="n">
        <v>0</v>
      </c>
      <c r="Q1424" t="n">
        <v>6.2</v>
      </c>
      <c r="R1424" t="n">
        <v>0</v>
      </c>
      <c r="S1424" t="n">
        <v>50.55</v>
      </c>
      <c r="T1424" t="n">
        <v>0</v>
      </c>
      <c r="U1424" t="n">
        <v>56.75</v>
      </c>
      <c r="X1424" t="inlineStr">
        <is>
          <t>aafc-aac</t>
        </is>
      </c>
      <c r="Y1424" t="inlineStr">
        <is>
          <t>Agriculture and Agri-Food Canada | Agriculture et Agroalimentaire Canada</t>
        </is>
      </c>
    </row>
    <row r="1425">
      <c r="A1425" t="inlineStr">
        <is>
          <t>T-2019-P9-0005</t>
        </is>
      </c>
      <c r="B1425" t="inlineStr">
        <is>
          <t>MPSES</t>
        </is>
      </c>
      <c r="C1425" t="inlineStr">
        <is>
          <t>Driver</t>
        </is>
      </c>
      <c r="D1425" t="inlineStr">
        <is>
          <t>Chauffeur</t>
        </is>
      </c>
      <c r="E1425" t="inlineStr">
        <is>
          <t>Michel Gendreau</t>
        </is>
      </c>
      <c r="F1425" t="inlineStr">
        <is>
          <t>Drive the Minister from her riding to the Montreal airport for her flight to Regina</t>
        </is>
      </c>
      <c r="G1425" t="inlineStr">
        <is>
          <t>Conduire la ministre de sa circonscription à l'aéroport de Montréal pour son vol vers Regina</t>
        </is>
      </c>
      <c r="H1425" s="1" t="n">
        <v>43793</v>
      </c>
      <c r="I1425" s="1" t="n">
        <v>43793</v>
      </c>
      <c r="J1425" t="inlineStr">
        <is>
          <t>Montreal (Quebec) Canada</t>
        </is>
      </c>
      <c r="K1425" t="inlineStr">
        <is>
          <t>Montréal (Québec) Canada</t>
        </is>
      </c>
      <c r="P1425" t="n">
        <v>0</v>
      </c>
      <c r="Q1425" t="n">
        <v>6.2</v>
      </c>
      <c r="R1425" t="n">
        <v>0</v>
      </c>
      <c r="S1425" t="n">
        <v>50.55</v>
      </c>
      <c r="T1425" t="n">
        <v>0</v>
      </c>
      <c r="U1425" t="n">
        <v>56.75</v>
      </c>
      <c r="X1425" t="inlineStr">
        <is>
          <t>aafc-aac</t>
        </is>
      </c>
      <c r="Y1425" t="inlineStr">
        <is>
          <t>Agriculture and Agri-Food Canada | Agriculture et Agroalimentaire Canada</t>
        </is>
      </c>
    </row>
    <row r="1426">
      <c r="A1426" t="inlineStr">
        <is>
          <t>T-2019-P9-0006</t>
        </is>
      </c>
      <c r="B1426" t="inlineStr">
        <is>
          <t>MPSES</t>
        </is>
      </c>
      <c r="C1426" t="inlineStr">
        <is>
          <t>Driver</t>
        </is>
      </c>
      <c r="D1426" t="inlineStr">
        <is>
          <t>Chauffeur</t>
        </is>
      </c>
      <c r="E1426" t="inlineStr">
        <is>
          <t>Michel Gendreau</t>
        </is>
      </c>
      <c r="F1426" t="inlineStr">
        <is>
          <t>Drive the Minister to her riding from Ottawa</t>
        </is>
      </c>
      <c r="G1426" t="inlineStr">
        <is>
          <t>Conduire la ministre d'Ottawa à sa circonscription</t>
        </is>
      </c>
      <c r="H1426" s="1" t="n">
        <v>43798</v>
      </c>
      <c r="I1426" s="1" t="n">
        <v>43798</v>
      </c>
      <c r="J1426" t="inlineStr">
        <is>
          <t>Sherbrooke (Quebec) Canada</t>
        </is>
      </c>
      <c r="K1426" t="inlineStr">
        <is>
          <t>Sherbrooke (Québec) Canada</t>
        </is>
      </c>
      <c r="P1426" t="n">
        <v>0</v>
      </c>
      <c r="Q1426" t="n">
        <v>6.2</v>
      </c>
      <c r="R1426" t="n">
        <v>0</v>
      </c>
      <c r="S1426" t="n">
        <v>50.55</v>
      </c>
      <c r="T1426" t="n">
        <v>0</v>
      </c>
      <c r="U1426" t="n">
        <v>56.75</v>
      </c>
      <c r="X1426" t="inlineStr">
        <is>
          <t>aafc-aac</t>
        </is>
      </c>
      <c r="Y1426" t="inlineStr">
        <is>
          <t>Agriculture and Agri-Food Canada | Agriculture et Agroalimentaire Canada</t>
        </is>
      </c>
    </row>
    <row r="1427">
      <c r="A1427" t="inlineStr">
        <is>
          <t>T-2019-P9-0007</t>
        </is>
      </c>
      <c r="B1427" t="inlineStr">
        <is>
          <t>MPSES</t>
        </is>
      </c>
      <c r="C1427" t="inlineStr">
        <is>
          <t>Driver</t>
        </is>
      </c>
      <c r="D1427" t="inlineStr">
        <is>
          <t>Chauffeur</t>
        </is>
      </c>
      <c r="E1427" t="inlineStr">
        <is>
          <t>Michel Gendreau</t>
        </is>
      </c>
      <c r="F1427" t="inlineStr">
        <is>
          <t>Drive the Minister from her riding to Ottawa</t>
        </is>
      </c>
      <c r="G1427" t="inlineStr">
        <is>
          <t>Conduire la ministre de sa circonscription à Ottawa</t>
        </is>
      </c>
      <c r="H1427" s="1" t="n">
        <v>43800</v>
      </c>
      <c r="I1427" s="1" t="n">
        <v>43801</v>
      </c>
      <c r="J1427" t="inlineStr">
        <is>
          <t>Ottawa (Ontario) Canada</t>
        </is>
      </c>
      <c r="K1427" t="inlineStr">
        <is>
          <t>Ottawa (Ontario) Canada</t>
        </is>
      </c>
      <c r="P1427" t="n">
        <v>0</v>
      </c>
      <c r="Q1427" t="n">
        <v>6.2</v>
      </c>
      <c r="R1427" t="n">
        <v>140.17</v>
      </c>
      <c r="S1427" t="n">
        <v>105.5</v>
      </c>
      <c r="T1427" t="n">
        <v>0</v>
      </c>
      <c r="U1427" t="n">
        <v>251.87</v>
      </c>
      <c r="X1427" t="inlineStr">
        <is>
          <t>aafc-aac</t>
        </is>
      </c>
      <c r="Y1427" t="inlineStr">
        <is>
          <t>Agriculture and Agri-Food Canada | Agriculture et Agroalimentaire Canada</t>
        </is>
      </c>
    </row>
    <row r="1428">
      <c r="A1428" t="inlineStr">
        <is>
          <t>T-2019-P9-0008</t>
        </is>
      </c>
      <c r="B1428" t="inlineStr">
        <is>
          <t>MPSES</t>
        </is>
      </c>
      <c r="C1428" t="inlineStr">
        <is>
          <t>Driver</t>
        </is>
      </c>
      <c r="D1428" t="inlineStr">
        <is>
          <t>Chauffeur</t>
        </is>
      </c>
      <c r="E1428" t="inlineStr">
        <is>
          <t>Michel Gendreau</t>
        </is>
      </c>
      <c r="F1428" t="inlineStr">
        <is>
          <t>Drive the Minister to her riding from Ottawa</t>
        </is>
      </c>
      <c r="G1428" t="inlineStr">
        <is>
          <t>Conduire la ministre d'Ottawa à sa circonscription</t>
        </is>
      </c>
      <c r="H1428" s="1" t="n">
        <v>43805</v>
      </c>
      <c r="I1428" s="1" t="n">
        <v>43805</v>
      </c>
      <c r="J1428" t="inlineStr">
        <is>
          <t>Sherbrooke (Quebec) Canada</t>
        </is>
      </c>
      <c r="K1428" t="inlineStr">
        <is>
          <t>Sherbrooke (Québec) Canada</t>
        </is>
      </c>
      <c r="P1428" t="n">
        <v>0</v>
      </c>
      <c r="Q1428" t="n">
        <v>6.2</v>
      </c>
      <c r="R1428" t="n">
        <v>0</v>
      </c>
      <c r="S1428" t="n">
        <v>50.55</v>
      </c>
      <c r="T1428" t="n">
        <v>0</v>
      </c>
      <c r="U1428" t="n">
        <v>56.75</v>
      </c>
      <c r="X1428" t="inlineStr">
        <is>
          <t>aafc-aac</t>
        </is>
      </c>
      <c r="Y1428" t="inlineStr">
        <is>
          <t>Agriculture and Agri-Food Canada | Agriculture et Agroalimentaire Canada</t>
        </is>
      </c>
    </row>
    <row r="1429">
      <c r="A1429" t="inlineStr">
        <is>
          <t>T-2019-P9-0009</t>
        </is>
      </c>
      <c r="B1429" t="inlineStr">
        <is>
          <t>MPSES</t>
        </is>
      </c>
      <c r="C1429" t="inlineStr">
        <is>
          <t>Driver</t>
        </is>
      </c>
      <c r="D1429" t="inlineStr">
        <is>
          <t>Chauffeur</t>
        </is>
      </c>
      <c r="E1429" t="inlineStr">
        <is>
          <t>Michel Gendreau</t>
        </is>
      </c>
      <c r="F1429" t="inlineStr">
        <is>
          <t>Drive the Minister from her riding to Ottawa</t>
        </is>
      </c>
      <c r="G1429" t="inlineStr">
        <is>
          <t>Conduire la ministre de sa circonscription à Ottawa</t>
        </is>
      </c>
      <c r="H1429" s="1" t="n">
        <v>43807</v>
      </c>
      <c r="I1429" s="1" t="n">
        <v>43808</v>
      </c>
      <c r="J1429" t="inlineStr">
        <is>
          <t>Ottawa (Ontario) Canada</t>
        </is>
      </c>
      <c r="K1429" t="inlineStr">
        <is>
          <t>Ottawa (Ontario) Canada</t>
        </is>
      </c>
      <c r="P1429" t="n">
        <v>0</v>
      </c>
      <c r="Q1429" t="n">
        <v>6.2</v>
      </c>
      <c r="R1429" t="n">
        <v>137.9</v>
      </c>
      <c r="S1429" t="n">
        <v>105.5</v>
      </c>
      <c r="T1429" t="n">
        <v>0</v>
      </c>
      <c r="U1429" t="n">
        <v>249.6</v>
      </c>
      <c r="X1429" t="inlineStr">
        <is>
          <t>aafc-aac</t>
        </is>
      </c>
      <c r="Y1429" t="inlineStr">
        <is>
          <t>Agriculture and Agri-Food Canada | Agriculture et Agroalimentaire Canada</t>
        </is>
      </c>
    </row>
    <row r="1430">
      <c r="A1430" t="inlineStr">
        <is>
          <t>T-2019-P9-0010</t>
        </is>
      </c>
      <c r="B1430" t="inlineStr">
        <is>
          <t>MPSES</t>
        </is>
      </c>
      <c r="C1430" t="inlineStr">
        <is>
          <t>Driver</t>
        </is>
      </c>
      <c r="D1430" t="inlineStr">
        <is>
          <t>Chauffeur</t>
        </is>
      </c>
      <c r="E1430" t="inlineStr">
        <is>
          <t>Michel Gendreau</t>
        </is>
      </c>
      <c r="F1430" t="inlineStr">
        <is>
          <t>Drive the Minister to her riding from Ottawa</t>
        </is>
      </c>
      <c r="G1430" t="inlineStr">
        <is>
          <t>Conduire la ministre d'Ottawa à sa circonscription</t>
        </is>
      </c>
      <c r="H1430" s="1" t="n">
        <v>43812</v>
      </c>
      <c r="I1430" s="1" t="n">
        <v>43812</v>
      </c>
      <c r="J1430" t="inlineStr">
        <is>
          <t>Sherbrooke (Quebec) Canada</t>
        </is>
      </c>
      <c r="K1430" t="inlineStr">
        <is>
          <t>Sherbrooke (Québec) Canada</t>
        </is>
      </c>
      <c r="P1430" t="n">
        <v>0</v>
      </c>
      <c r="Q1430" t="n">
        <v>6.2</v>
      </c>
      <c r="R1430" t="n">
        <v>0</v>
      </c>
      <c r="S1430" t="n">
        <v>50.55</v>
      </c>
      <c r="T1430" t="n">
        <v>0</v>
      </c>
      <c r="U1430" t="n">
        <v>56.75</v>
      </c>
      <c r="X1430" t="inlineStr">
        <is>
          <t>aafc-aac</t>
        </is>
      </c>
      <c r="Y1430" t="inlineStr">
        <is>
          <t>Agriculture and Agri-Food Canada | Agriculture et Agroalimentaire Canada</t>
        </is>
      </c>
    </row>
    <row r="1431">
      <c r="A1431" t="inlineStr">
        <is>
          <t>T-2019-P9-0011</t>
        </is>
      </c>
      <c r="B1431" t="inlineStr">
        <is>
          <t>MPSES</t>
        </is>
      </c>
      <c r="C1431" t="inlineStr">
        <is>
          <t>Driver</t>
        </is>
      </c>
      <c r="D1431" t="inlineStr">
        <is>
          <t>Chauffeur</t>
        </is>
      </c>
      <c r="E1431" t="inlineStr">
        <is>
          <t>Michel Gendreau</t>
        </is>
      </c>
      <c r="F1431" t="inlineStr">
        <is>
          <t>Drive the Minister from her riding to Ottawa</t>
        </is>
      </c>
      <c r="G1431" t="inlineStr">
        <is>
          <t>Conduire la ministre de sa circonscription à Ottawa</t>
        </is>
      </c>
      <c r="H1431" s="1" t="n">
        <v>43814</v>
      </c>
      <c r="I1431" s="1" t="n">
        <v>43815</v>
      </c>
      <c r="J1431" t="inlineStr">
        <is>
          <t>Ottawa (Ontario) Canada</t>
        </is>
      </c>
      <c r="K1431" t="inlineStr">
        <is>
          <t>Ottawa (Ontario) Canada</t>
        </is>
      </c>
      <c r="P1431" t="n">
        <v>0</v>
      </c>
      <c r="Q1431" t="n">
        <v>6.2</v>
      </c>
      <c r="R1431" t="n">
        <v>135.65</v>
      </c>
      <c r="S1431" t="n">
        <v>105.5</v>
      </c>
      <c r="T1431" t="n">
        <v>0</v>
      </c>
      <c r="U1431" t="n">
        <v>247.35</v>
      </c>
      <c r="X1431" t="inlineStr">
        <is>
          <t>aafc-aac</t>
        </is>
      </c>
      <c r="Y1431" t="inlineStr">
        <is>
          <t>Agriculture and Agri-Food Canada | Agriculture et Agroalimentaire Canada</t>
        </is>
      </c>
    </row>
    <row r="1432">
      <c r="A1432" t="inlineStr">
        <is>
          <t>T-2019-P9-0012</t>
        </is>
      </c>
      <c r="B1432" t="inlineStr">
        <is>
          <t>MPSES</t>
        </is>
      </c>
      <c r="C1432" t="inlineStr">
        <is>
          <t>Driver</t>
        </is>
      </c>
      <c r="D1432" t="inlineStr">
        <is>
          <t>Chauffeur</t>
        </is>
      </c>
      <c r="E1432" t="inlineStr">
        <is>
          <t>Michel Gendreau</t>
        </is>
      </c>
      <c r="F1432" t="inlineStr">
        <is>
          <t>Drive the Minister to her riding from Ottawa</t>
        </is>
      </c>
      <c r="G1432" t="inlineStr">
        <is>
          <t>Conduire la ministre d'Ottawa à sa circonscription</t>
        </is>
      </c>
      <c r="H1432" s="1" t="n">
        <v>43817</v>
      </c>
      <c r="I1432" s="1" t="n">
        <v>43817</v>
      </c>
      <c r="J1432" t="inlineStr">
        <is>
          <t>Sherbrooke (Quebec) Canada</t>
        </is>
      </c>
      <c r="K1432" t="inlineStr">
        <is>
          <t>Sherbrooke (Québec) Canada</t>
        </is>
      </c>
      <c r="P1432" t="n">
        <v>0</v>
      </c>
      <c r="Q1432" t="n">
        <v>6.2</v>
      </c>
      <c r="R1432" t="n">
        <v>0</v>
      </c>
      <c r="S1432" t="n">
        <v>50.55</v>
      </c>
      <c r="T1432" t="n">
        <v>0</v>
      </c>
      <c r="U1432" t="n">
        <v>56.75</v>
      </c>
      <c r="X1432" t="inlineStr">
        <is>
          <t>aafc-aac</t>
        </is>
      </c>
      <c r="Y1432" t="inlineStr">
        <is>
          <t>Agriculture and Agri-Food Canada | Agriculture et Agroalimentaire Canada</t>
        </is>
      </c>
    </row>
    <row r="1433">
      <c r="A1433" t="inlineStr">
        <is>
          <t>T-2019-P9-0013</t>
        </is>
      </c>
      <c r="B1433" t="inlineStr">
        <is>
          <t>SLE</t>
        </is>
      </c>
      <c r="C1433" t="inlineStr">
        <is>
          <t>Deputy Minister</t>
        </is>
      </c>
      <c r="D1433" t="inlineStr">
        <is>
          <t>Sous-ministre</t>
        </is>
      </c>
      <c r="E1433" t="inlineStr">
        <is>
          <t>Chris Forbes</t>
        </is>
      </c>
      <c r="F1433" t="inlineStr">
        <is>
          <t xml:space="preserve">To advance canadian trade interests with key countries in the European Union </t>
        </is>
      </c>
      <c r="G1433" t="inlineStr">
        <is>
          <t>Afin de progresser les intérêts commerciaux du Canada avec les pays clés de l'Union européenne</t>
        </is>
      </c>
      <c r="H1433" s="1" t="n">
        <v>43743</v>
      </c>
      <c r="I1433" s="1" t="n">
        <v>43749</v>
      </c>
      <c r="J1433" t="inlineStr">
        <is>
          <t xml:space="preserve">Berlin (Germany)
Brussels (Belgium) 
Madrid (Spain) </t>
        </is>
      </c>
      <c r="K1433" t="inlineStr">
        <is>
          <t>Berlin (Allemagne)
Bruxelles (Belgique)
Madrid (Espagne)</t>
        </is>
      </c>
      <c r="P1433" t="n">
        <v>2964.82</v>
      </c>
      <c r="Q1433" t="n">
        <v>0</v>
      </c>
      <c r="R1433" t="n">
        <v>1827.61</v>
      </c>
      <c r="S1433" t="n">
        <v>451.11</v>
      </c>
      <c r="T1433" t="n">
        <v>0</v>
      </c>
      <c r="U1433" t="n">
        <v>5243.54</v>
      </c>
      <c r="X1433" t="inlineStr">
        <is>
          <t>aafc-aac</t>
        </is>
      </c>
      <c r="Y1433" t="inlineStr">
        <is>
          <t>Agriculture and Agri-Food Canada | Agriculture et Agroalimentaire Canada</t>
        </is>
      </c>
    </row>
    <row r="1434">
      <c r="A1434" t="inlineStr">
        <is>
          <t>T-2019-P9-0014</t>
        </is>
      </c>
      <c r="B1434" t="inlineStr">
        <is>
          <t>SLE</t>
        </is>
      </c>
      <c r="C1434" t="inlineStr">
        <is>
          <t>Deputy Minister</t>
        </is>
      </c>
      <c r="D1434" t="inlineStr">
        <is>
          <t>Sous-ministre</t>
        </is>
      </c>
      <c r="E1434" t="inlineStr">
        <is>
          <t>Chris Forbes</t>
        </is>
      </c>
      <c r="F1434" t="inlineStr">
        <is>
          <t>Attended Canadian Western Agribition to meet with crop and livestock sector stakeholders to discuss current program and policy issues</t>
        </is>
      </c>
      <c r="G1434" t="inlineStr">
        <is>
          <t xml:space="preserve">
Participer au Canadian Western Agribition afin de rencontrer des intervenants du secteur des cultures et du bétail pour discuter des enjeux actuels du programme et des politiques</t>
        </is>
      </c>
      <c r="H1434" s="1" t="n">
        <v>43793</v>
      </c>
      <c r="I1434" s="1" t="n">
        <v>43794</v>
      </c>
      <c r="J1434" t="inlineStr">
        <is>
          <t>Regina (Saskatchewan) Canada</t>
        </is>
      </c>
      <c r="K1434" t="inlineStr">
        <is>
          <t>Regina (Saskatchewan) Canada</t>
        </is>
      </c>
      <c r="P1434" t="n">
        <v>1392.42</v>
      </c>
      <c r="Q1434" t="n">
        <v>60.27</v>
      </c>
      <c r="R1434" t="n">
        <v>196.65</v>
      </c>
      <c r="S1434" t="n">
        <v>50.55</v>
      </c>
      <c r="T1434" t="n">
        <v>0</v>
      </c>
      <c r="U1434" t="n">
        <v>1699.89</v>
      </c>
      <c r="X1434" t="inlineStr">
        <is>
          <t>aafc-aac</t>
        </is>
      </c>
      <c r="Y1434" t="inlineStr">
        <is>
          <t>Agriculture and Agri-Food Canada | Agriculture et Agroalimentaire Canada</t>
        </is>
      </c>
    </row>
    <row r="1435">
      <c r="A1435" t="inlineStr">
        <is>
          <t>T-2019-P9-0015</t>
        </is>
      </c>
      <c r="B1435" t="inlineStr">
        <is>
          <t>SLE</t>
        </is>
      </c>
      <c r="C1435" t="inlineStr">
        <is>
          <t>Deputy Minister</t>
        </is>
      </c>
      <c r="D1435" t="inlineStr">
        <is>
          <t>Sous-ministre</t>
        </is>
      </c>
      <c r="E1435" t="inlineStr">
        <is>
          <t>Chris Forbes</t>
        </is>
      </c>
      <c r="F1435" t="inlineStr">
        <is>
          <t>Attended a Board of Director's meeting</t>
        </is>
      </c>
      <c r="G1435" t="inlineStr">
        <is>
          <t>Participer à une réunion du conseil de direction</t>
        </is>
      </c>
      <c r="H1435" s="1" t="n">
        <v>43807</v>
      </c>
      <c r="I1435" s="1" t="n">
        <v>43810</v>
      </c>
      <c r="J1435" t="inlineStr">
        <is>
          <t>Saskatoon (Saskatchewan) Canada</t>
        </is>
      </c>
      <c r="K1435" t="inlineStr">
        <is>
          <t>Saskatoon (Saskatchewan) Canada</t>
        </is>
      </c>
      <c r="P1435" t="n">
        <v>1087.73</v>
      </c>
      <c r="Q1435" t="n">
        <v>36.17</v>
      </c>
      <c r="R1435" t="n">
        <v>365.86</v>
      </c>
      <c r="S1435" t="n">
        <v>70.90000000000001</v>
      </c>
      <c r="T1435" t="n">
        <v>0</v>
      </c>
      <c r="U1435" t="n">
        <v>1560.66</v>
      </c>
      <c r="X1435" t="inlineStr">
        <is>
          <t>aafc-aac</t>
        </is>
      </c>
      <c r="Y1435" t="inlineStr">
        <is>
          <t>Agriculture and Agri-Food Canada | Agriculture et Agroalimentaire Canada</t>
        </is>
      </c>
    </row>
    <row r="1436">
      <c r="A1436" t="inlineStr">
        <is>
          <t>T-2019-P9-0016</t>
        </is>
      </c>
      <c r="B1436" t="inlineStr">
        <is>
          <t>SLE</t>
        </is>
      </c>
      <c r="C1436" t="inlineStr">
        <is>
          <t>Workplace Well-Being Ombudsperson</t>
        </is>
      </c>
      <c r="D1436" t="inlineStr">
        <is>
          <t>Ombudsman du mieux-être en milieu de travail</t>
        </is>
      </c>
      <c r="E1436" t="inlineStr">
        <is>
          <t>Jane Taylor</t>
        </is>
      </c>
      <c r="F1436" t="inlineStr">
        <is>
          <t>Outreach to Guelph and Vineland</t>
        </is>
      </c>
      <c r="G1436" t="inlineStr">
        <is>
          <t>Visite de sensibilisation à Guelph et à Vineland</t>
        </is>
      </c>
      <c r="H1436" s="1" t="n">
        <v>43796</v>
      </c>
      <c r="I1436" s="1" t="n">
        <v>43798</v>
      </c>
      <c r="J1436" t="inlineStr">
        <is>
          <t xml:space="preserve">Guelph (Ontario) Canada; Vineland (Ontario) Canada </t>
        </is>
      </c>
      <c r="K1436" t="inlineStr">
        <is>
          <t xml:space="preserve">Guelph (Ontario) Canada; Vineland (Ontario) Canada </t>
        </is>
      </c>
      <c r="P1436" t="n">
        <v>639.0700000000001</v>
      </c>
      <c r="Q1436" t="n">
        <v>382.2</v>
      </c>
      <c r="R1436" t="n">
        <v>307.3</v>
      </c>
      <c r="S1436" t="n">
        <v>275.85</v>
      </c>
      <c r="U1436" t="n">
        <v>1604.42</v>
      </c>
      <c r="X1436" t="inlineStr">
        <is>
          <t>aafc-aac</t>
        </is>
      </c>
      <c r="Y1436" t="inlineStr">
        <is>
          <t>Agriculture and Agri-Food Canada | Agriculture et Agroalimentaire Canada</t>
        </is>
      </c>
    </row>
    <row r="1437">
      <c r="A1437" t="inlineStr">
        <is>
          <t>T-2019-P9-0017</t>
        </is>
      </c>
      <c r="B1437" t="inlineStr">
        <is>
          <t>SLE</t>
        </is>
      </c>
      <c r="C1437" t="inlineStr">
        <is>
          <t>Assistant Deputy Minister, Science and Technology Branch</t>
        </is>
      </c>
      <c r="D1437" t="inlineStr">
        <is>
          <t>Sous-ministre adjoint, Direction générale des sciences et de la technologie</t>
        </is>
      </c>
      <c r="E1437" t="inlineStr">
        <is>
          <t xml:space="preserve">Brian Gray </t>
        </is>
      </c>
      <c r="F1437" t="inlineStr">
        <is>
          <t>Outreach to the Research and Development Centre, All-Staff meeting and meeting with Provincial Counterparts</t>
        </is>
      </c>
      <c r="G1437" t="inlineStr">
        <is>
          <t>Visite au Centre de recherche et de développement, réunion de l'ensemble du personnel et réunion avec les homologues provinciaux</t>
        </is>
      </c>
      <c r="H1437" s="1" t="n">
        <v>43787</v>
      </c>
      <c r="I1437" s="1" t="n">
        <v>43791</v>
      </c>
      <c r="J1437" t="inlineStr">
        <is>
          <t>Regina (Saskachewan) Canada</t>
        </is>
      </c>
      <c r="K1437" t="inlineStr">
        <is>
          <t>Regina (Saskachewan) Canada</t>
        </is>
      </c>
      <c r="P1437" t="n">
        <v>1742.27</v>
      </c>
      <c r="Q1437" t="n">
        <v>399.94</v>
      </c>
      <c r="R1437" t="n">
        <v>569.17</v>
      </c>
      <c r="S1437" t="n">
        <v>411.8</v>
      </c>
      <c r="U1437" t="n">
        <v>3123.18</v>
      </c>
      <c r="X1437" t="inlineStr">
        <is>
          <t>aafc-aac</t>
        </is>
      </c>
      <c r="Y1437" t="inlineStr">
        <is>
          <t>Agriculture and Agri-Food Canada | Agriculture et Agroalimentaire Canada</t>
        </is>
      </c>
    </row>
    <row r="1438">
      <c r="A1438" t="inlineStr">
        <is>
          <t>T-2019-P9-0018</t>
        </is>
      </c>
      <c r="B1438" t="inlineStr">
        <is>
          <t>SLE</t>
        </is>
      </c>
      <c r="C1438" t="inlineStr">
        <is>
          <t>Assistant Deputy Minister, Science and Technology Branch</t>
        </is>
      </c>
      <c r="D1438" t="inlineStr">
        <is>
          <t>Sous-ministre adjoint, Direction générale des sciences et de la technologie</t>
        </is>
      </c>
      <c r="E1438" t="inlineStr">
        <is>
          <t xml:space="preserve">Brian Gray </t>
        </is>
      </c>
      <c r="F1438" t="inlineStr">
        <is>
          <t>Outreach to the Research and Development Centre, All-Staff meeting and meeting with Provincial Counterparts</t>
        </is>
      </c>
      <c r="G1438" t="inlineStr">
        <is>
          <t>Visite au Centre de recherche et de développement, réunion de l'ensemble du personnel et réunion avec les homologues provinciaux</t>
        </is>
      </c>
      <c r="H1438" s="1" t="n">
        <v>43800</v>
      </c>
      <c r="I1438" s="1" t="n">
        <v>43803</v>
      </c>
      <c r="J1438" t="inlineStr">
        <is>
          <t xml:space="preserve">Halifax (Nova Scotia) Canada </t>
        </is>
      </c>
      <c r="K1438" t="inlineStr">
        <is>
          <t xml:space="preserve">Halifax (Nouvelle-Écosse) Canada </t>
        </is>
      </c>
      <c r="P1438" t="n">
        <v>600.76</v>
      </c>
      <c r="Q1438" t="n">
        <v>240.82</v>
      </c>
      <c r="R1438" t="n">
        <v>503.22</v>
      </c>
      <c r="S1438" t="n">
        <v>302.5</v>
      </c>
      <c r="U1438" t="n">
        <v>1647.3</v>
      </c>
      <c r="X1438" t="inlineStr">
        <is>
          <t>aafc-aac</t>
        </is>
      </c>
      <c r="Y1438" t="inlineStr">
        <is>
          <t>Agriculture and Agri-Food Canada | Agriculture et Agroalimentaire Canada</t>
        </is>
      </c>
    </row>
    <row r="1439">
      <c r="A1439" t="inlineStr">
        <is>
          <t>T-2019-P9-0019</t>
        </is>
      </c>
      <c r="B1439" t="inlineStr">
        <is>
          <t>SLE</t>
        </is>
      </c>
      <c r="C1439" t="inlineStr">
        <is>
          <t>Assistant Deputy Minister, Market and Industry Services Branch</t>
        </is>
      </c>
      <c r="D1439" t="inlineStr">
        <is>
          <t>Sous-ministre adjoint, Direction générale des services à l'industrie et aux marchés</t>
        </is>
      </c>
      <c r="E1439" t="inlineStr">
        <is>
          <t>Frédéric Seppey</t>
        </is>
      </c>
      <c r="F1439" t="inlineStr">
        <is>
          <t xml:space="preserve">Spoke at the GrowCanada conference and attended corporate and industry meetings </t>
        </is>
      </c>
      <c r="G1439" t="inlineStr">
        <is>
          <t>Discours à la conférence GrowCanada et rencontres avec des entreprises et l’industrie</t>
        </is>
      </c>
      <c r="H1439" s="1" t="n">
        <v>43802</v>
      </c>
      <c r="I1439" s="1" t="n">
        <v>43805</v>
      </c>
      <c r="J1439" t="inlineStr">
        <is>
          <t>Calgary (Alberta) Canada</t>
        </is>
      </c>
      <c r="K1439" t="inlineStr">
        <is>
          <t>Calgary (Alberta) Canada</t>
        </is>
      </c>
      <c r="P1439" t="n">
        <v>641.65</v>
      </c>
      <c r="Q1439" t="n">
        <v>116.9</v>
      </c>
      <c r="R1439" t="n">
        <v>467.85</v>
      </c>
      <c r="S1439" t="n">
        <v>244.75</v>
      </c>
      <c r="T1439" t="n">
        <v>14.63</v>
      </c>
      <c r="U1439" t="n">
        <v>1485.78</v>
      </c>
      <c r="V1439" t="inlineStr">
        <is>
          <t>An additional night was spent in a hotel due  to major flight delays</t>
        </is>
      </c>
      <c r="W1439" t="inlineStr">
        <is>
          <t>Une nuit supplémentaire dans un hôtel en raison d'importants retards de vol</t>
        </is>
      </c>
      <c r="X1439" t="inlineStr">
        <is>
          <t>aafc-aac</t>
        </is>
      </c>
      <c r="Y1439" t="inlineStr">
        <is>
          <t>Agriculture and Agri-Food Canada | Agriculture et Agroalimentaire Canada</t>
        </is>
      </c>
    </row>
    <row r="1440">
      <c r="A1440" t="inlineStr">
        <is>
          <t>T-2019-P9-0020</t>
        </is>
      </c>
      <c r="B1440" t="inlineStr">
        <is>
          <t>SLE</t>
        </is>
      </c>
      <c r="C1440" t="inlineStr">
        <is>
          <t>Associate Assistant Deputy Minister, Science and Technology Branch</t>
        </is>
      </c>
      <c r="D1440" t="inlineStr">
        <is>
          <t>Sous-ministre adjoint délégué, Direction générale des sciences et de la technologie</t>
        </is>
      </c>
      <c r="E1440" t="inlineStr">
        <is>
          <t>Gilles Saindon</t>
        </is>
      </c>
      <c r="F1440" t="inlineStr">
        <is>
          <t>Attend  the Cooperative Program in Agricultural Research and Technology for the Northern Region (PROCINORTE) Board of Directos meetings</t>
        </is>
      </c>
      <c r="G1440" t="inlineStr">
        <is>
          <t>Assister à la rencontre du conseil d'administration du Programme de coopération en recherche et technologie agricoles pour la région du Nord (PROCINORTE)</t>
        </is>
      </c>
      <c r="H1440" s="1" t="n">
        <v>43780</v>
      </c>
      <c r="I1440" s="1" t="n">
        <v>43783</v>
      </c>
      <c r="J1440" t="inlineStr">
        <is>
          <t>San Jose, Costa Rica</t>
        </is>
      </c>
      <c r="K1440" t="inlineStr">
        <is>
          <t>San Jose, Costa Rica</t>
        </is>
      </c>
      <c r="P1440" t="n">
        <v>1688.38</v>
      </c>
      <c r="Q1440" t="n">
        <v>73</v>
      </c>
      <c r="R1440" t="n">
        <v>615.72</v>
      </c>
      <c r="S1440" t="n">
        <v>336.72</v>
      </c>
      <c r="T1440" t="n">
        <v>3.75</v>
      </c>
      <c r="U1440" t="n">
        <v>2717.57</v>
      </c>
      <c r="X1440" t="inlineStr">
        <is>
          <t>aafc-aac</t>
        </is>
      </c>
      <c r="Y1440" t="inlineStr">
        <is>
          <t>Agriculture and Agri-Food Canada | Agriculture et Agroalimentaire Canada</t>
        </is>
      </c>
    </row>
    <row r="1441">
      <c r="A1441" t="inlineStr">
        <is>
          <t>T-2019-P9-0021</t>
        </is>
      </c>
      <c r="B1441" t="inlineStr">
        <is>
          <t>SLE</t>
        </is>
      </c>
      <c r="C1441" t="inlineStr">
        <is>
          <t>Associate Assistant Deputy Minister, Science and Technology Branch</t>
        </is>
      </c>
      <c r="D1441" t="inlineStr">
        <is>
          <t>Sous-ministre adjoint délégué, Direction générale des sciences et de la technologie</t>
        </is>
      </c>
      <c r="E1441" t="inlineStr">
        <is>
          <t>Gilles Saindon</t>
        </is>
      </c>
      <c r="F1441" t="inlineStr">
        <is>
          <t>To attend different meetings with representatives of the Centre for Agriculture and Bioscience International (CABI), the European Union, the Institut national de la recherche agronomique (INRA), and the Organisation for Economic Co-operation and Development (OECD) - Co-operative Research Program</t>
        </is>
      </c>
      <c r="G1441" t="inlineStr">
        <is>
          <t xml:space="preserve">Assister à différentes rencontres avec des représentants du Centre pour l’agriculture et les sciences biologiques internationales (CABI), de l'Union européenne, de l'Institut national de la recherche agronomique (INRA) et de l'Organisation de coopération et de développement économiques (OCDE) - Programme de recherche en collaboration </t>
        </is>
      </c>
      <c r="H1441" s="1" t="n">
        <v>43799</v>
      </c>
      <c r="I1441" s="1" t="n">
        <v>43806</v>
      </c>
      <c r="J1441" t="inlineStr">
        <is>
          <t>London, England;
Paris, France;
Brussels, Belgium</t>
        </is>
      </c>
      <c r="K1441" t="inlineStr">
        <is>
          <t>Londres, Angleterre;
Paris, France;
Bruxelles, Belgique</t>
        </is>
      </c>
      <c r="P1441" t="n">
        <v>3987.38</v>
      </c>
      <c r="Q1441" t="n">
        <v>784.4400000000001</v>
      </c>
      <c r="R1441" t="n">
        <v>1406.35</v>
      </c>
      <c r="S1441" t="n">
        <v>1386.94</v>
      </c>
      <c r="T1441" t="n">
        <v>8.85</v>
      </c>
      <c r="U1441" t="n">
        <v>7573.96</v>
      </c>
      <c r="X1441" t="inlineStr">
        <is>
          <t>aafc-aac</t>
        </is>
      </c>
      <c r="Y1441" t="inlineStr">
        <is>
          <t>Agriculture and Agri-Food Canada | Agriculture et Agroalimentaire Canada</t>
        </is>
      </c>
    </row>
    <row r="1442">
      <c r="A1442" t="inlineStr">
        <is>
          <t>T-2019-P10-0001</t>
        </is>
      </c>
      <c r="B1442" t="inlineStr">
        <is>
          <t>MPSES</t>
        </is>
      </c>
      <c r="C1442" t="inlineStr">
        <is>
          <t>Acting Driver</t>
        </is>
      </c>
      <c r="D1442" t="inlineStr">
        <is>
          <t>Chauffeur par intérim</t>
        </is>
      </c>
      <c r="E1442" t="inlineStr">
        <is>
          <t>Emile McKay</t>
        </is>
      </c>
      <c r="F1442" t="inlineStr">
        <is>
          <t>Drive the Minister from her riding to an outreach meeting in St-Hyacinthe and then to Ottawa</t>
        </is>
      </c>
      <c r="G1442" t="inlineStr">
        <is>
          <t>Conduire la ministre de sa circonscription à une campagne de sensibilisation à St-Hyacinthe puis à Ottawa</t>
        </is>
      </c>
      <c r="H1442" s="1" t="n">
        <v>43844</v>
      </c>
      <c r="I1442" s="1" t="n">
        <v>43844</v>
      </c>
      <c r="J1442" t="inlineStr">
        <is>
          <t>Sherbrooke (Quebec) Canada;
St-Hyacinthe (Quebec) Canada</t>
        </is>
      </c>
      <c r="K1442" t="inlineStr">
        <is>
          <t>Sherbrooke (Québec) Canada;
St-Hyacinthe (Québec) Canada</t>
        </is>
      </c>
      <c r="P1442" t="n">
        <v>0</v>
      </c>
      <c r="Q1442" t="n">
        <v>52.71</v>
      </c>
      <c r="R1442" t="n">
        <v>0</v>
      </c>
      <c r="S1442" t="n">
        <v>0</v>
      </c>
      <c r="T1442" t="n">
        <v>0</v>
      </c>
      <c r="U1442" t="n">
        <v>52.71</v>
      </c>
      <c r="V1442" t="inlineStr">
        <is>
          <t>The regular driver for the Minister was on vacation and Emile replaced him for the day.</t>
        </is>
      </c>
      <c r="W1442" t="inlineStr">
        <is>
          <t>Le chauffeur habituel du ministre était en vacances et Émile l'a remplacé pour la journée.</t>
        </is>
      </c>
      <c r="X1442" t="inlineStr">
        <is>
          <t>aafc-aac</t>
        </is>
      </c>
      <c r="Y1442" t="inlineStr">
        <is>
          <t>Agriculture and Agri-Food Canada | Agriculture et Agroalimentaire Canada</t>
        </is>
      </c>
    </row>
    <row r="1443">
      <c r="A1443" t="inlineStr">
        <is>
          <t>T-2019-P10-0002</t>
        </is>
      </c>
      <c r="B1443" t="inlineStr">
        <is>
          <t>MPSES</t>
        </is>
      </c>
      <c r="C1443" t="inlineStr">
        <is>
          <t>Director of Parliamentary Affairs</t>
        </is>
      </c>
      <c r="D1443" t="inlineStr">
        <is>
          <t>Directeur des affaires parlementaires</t>
        </is>
      </c>
      <c r="E1443" t="inlineStr">
        <is>
          <t>Michel-Antoine Renaud</t>
        </is>
      </c>
      <c r="F1443" t="inlineStr">
        <is>
          <t>Accompany the Minister to the Congrés de l'Union des producteurs agricoles and a bilat with the Minister of Agiculture, Fisheries and Food</t>
        </is>
      </c>
      <c r="G1443" t="inlineStr">
        <is>
          <t xml:space="preserve">
Accompagner la ministre aux Congrès de l'Union des producteurs agricoles et un bilatéral avec le ministre de l'Agriculture, des Pêcheries et de l'Alimentation</t>
        </is>
      </c>
      <c r="H1443" s="1" t="n">
        <v>43802</v>
      </c>
      <c r="I1443" s="1" t="n">
        <v>43802</v>
      </c>
      <c r="J1443" t="inlineStr">
        <is>
          <t>Quebec (Quebec) Canada</t>
        </is>
      </c>
      <c r="K1443" t="inlineStr">
        <is>
          <t>Québec (Québec) Canada</t>
        </is>
      </c>
      <c r="P1443" t="n">
        <v>970.51</v>
      </c>
      <c r="Q1443" t="n">
        <v>76.53</v>
      </c>
      <c r="R1443" t="n">
        <v>0</v>
      </c>
      <c r="S1443" t="n">
        <v>91.5</v>
      </c>
      <c r="T1443" t="n">
        <v>0</v>
      </c>
      <c r="U1443" t="n">
        <v>1138.54</v>
      </c>
      <c r="X1443" t="inlineStr">
        <is>
          <t>aafc-aac</t>
        </is>
      </c>
      <c r="Y1443" t="inlineStr">
        <is>
          <t>Agriculture and Agri-Food Canada | Agriculture et Agroalimentaire Canada</t>
        </is>
      </c>
    </row>
    <row r="1444">
      <c r="A1444" t="inlineStr">
        <is>
          <t>T-2019-P10-0003</t>
        </is>
      </c>
      <c r="B1444" t="inlineStr">
        <is>
          <t>SLE</t>
        </is>
      </c>
      <c r="C1444" t="inlineStr">
        <is>
          <t>Associate Deputy Minister</t>
        </is>
      </c>
      <c r="D1444" t="inlineStr">
        <is>
          <t>Sous-ministre déléguée</t>
        </is>
      </c>
      <c r="E1444" t="inlineStr">
        <is>
          <t xml:space="preserve"> Annette Gibbons</t>
        </is>
      </c>
      <c r="F1444" t="inlineStr">
        <is>
          <t>Briefing meeting with the Minister</t>
        </is>
      </c>
      <c r="G1444" t="inlineStr">
        <is>
          <t>Séance d'information avec la ministre</t>
        </is>
      </c>
      <c r="H1444" s="1" t="n">
        <v>43839</v>
      </c>
      <c r="I1444" s="1" t="n">
        <v>43840</v>
      </c>
      <c r="J1444" t="inlineStr">
        <is>
          <t>Montreal (Quebec) Canada;
Sherbrooke (Quebec) Canada</t>
        </is>
      </c>
      <c r="K1444" t="inlineStr">
        <is>
          <t>Montréal (Québec) Canada;
Sherbrooke (Québec) Canada</t>
        </is>
      </c>
      <c r="P1444" t="n">
        <v>0</v>
      </c>
      <c r="Q1444" t="n">
        <v>88.29000000000001</v>
      </c>
      <c r="R1444" t="n">
        <v>228.48</v>
      </c>
      <c r="S1444" t="n">
        <v>20.35</v>
      </c>
      <c r="T1444" t="n">
        <v>0</v>
      </c>
      <c r="U1444" t="n">
        <v>337.12</v>
      </c>
      <c r="X1444" t="inlineStr">
        <is>
          <t>aafc-aac</t>
        </is>
      </c>
      <c r="Y1444" t="inlineStr">
        <is>
          <t>Agriculture and Agri-Food Canada | Agriculture et Agroalimentaire Canada</t>
        </is>
      </c>
    </row>
    <row r="1445">
      <c r="A1445" t="inlineStr">
        <is>
          <t>T-2019-P10-0004</t>
        </is>
      </c>
      <c r="B1445" t="inlineStr">
        <is>
          <t>SLE</t>
        </is>
      </c>
      <c r="C1445" t="inlineStr">
        <is>
          <t>Deputy Minister</t>
        </is>
      </c>
      <c r="D1445" t="inlineStr">
        <is>
          <t>Sous-ministre</t>
        </is>
      </c>
      <c r="E1445" t="inlineStr">
        <is>
          <t>Chris Forbes</t>
        </is>
      </c>
      <c r="F1445" t="inlineStr">
        <is>
          <t>Briefing meeting with the Minister</t>
        </is>
      </c>
      <c r="G1445" t="inlineStr">
        <is>
          <t>Séance d'information avec la ministre</t>
        </is>
      </c>
      <c r="H1445" s="1" t="n">
        <v>43839</v>
      </c>
      <c r="I1445" s="1" t="n">
        <v>43840</v>
      </c>
      <c r="J1445" t="inlineStr">
        <is>
          <t>Montreal (Quebec) Canada;
Sherbrooke (Quebec) Canada</t>
        </is>
      </c>
      <c r="K1445" t="inlineStr">
        <is>
          <t>Montréal (Québec) Canada;
Sherbrooke (Québec) Canada</t>
        </is>
      </c>
      <c r="P1445" t="n">
        <v>0</v>
      </c>
      <c r="Q1445" t="n">
        <v>37</v>
      </c>
      <c r="R1445" t="n">
        <v>228.48</v>
      </c>
      <c r="S1445" t="n">
        <v>20.35</v>
      </c>
      <c r="T1445" t="n">
        <v>0</v>
      </c>
      <c r="U1445" t="n">
        <v>285.83</v>
      </c>
      <c r="X1445" t="inlineStr">
        <is>
          <t>aafc-aac</t>
        </is>
      </c>
      <c r="Y1445" t="inlineStr">
        <is>
          <t>Agriculture and Agri-Food Canada | Agriculture et Agroalimentaire Canada</t>
        </is>
      </c>
    </row>
    <row r="1446">
      <c r="A1446" t="inlineStr">
        <is>
          <t>T-2019-P10-0005</t>
        </is>
      </c>
      <c r="B1446" t="inlineStr">
        <is>
          <t>SLE</t>
        </is>
      </c>
      <c r="C1446" t="inlineStr">
        <is>
          <t>Workplace Well-Being Ombudsperson</t>
        </is>
      </c>
      <c r="D1446" t="inlineStr">
        <is>
          <t>Ombudsman du mieux-être en milieu de travail</t>
        </is>
      </c>
      <c r="E1446" t="inlineStr">
        <is>
          <t>Jane Taylor</t>
        </is>
      </c>
      <c r="F1446" t="inlineStr">
        <is>
          <t>Visiting the Farm Income Programs Directorate</t>
        </is>
      </c>
      <c r="G1446" t="inlineStr">
        <is>
          <t>Visite avec la direction des programmes du revenu agricole</t>
        </is>
      </c>
      <c r="H1446" s="1" t="n">
        <v>43809</v>
      </c>
      <c r="I1446" s="1" t="n">
        <v>43811</v>
      </c>
      <c r="J1446" t="inlineStr">
        <is>
          <t>Winnipeg (Manitoba) Canada</t>
        </is>
      </c>
      <c r="K1446" t="inlineStr">
        <is>
          <t>Winnipeg (Manitoba) Canada</t>
        </is>
      </c>
      <c r="P1446" t="n">
        <v>1005.34</v>
      </c>
      <c r="Q1446" t="n">
        <v>104</v>
      </c>
      <c r="R1446" t="n">
        <v>325.96</v>
      </c>
      <c r="S1446" t="n">
        <v>234.9</v>
      </c>
      <c r="T1446" t="n">
        <v>0</v>
      </c>
      <c r="U1446" t="n">
        <v>1670.2</v>
      </c>
      <c r="X1446" t="inlineStr">
        <is>
          <t>aafc-aac</t>
        </is>
      </c>
      <c r="Y1446" t="inlineStr">
        <is>
          <t>Agriculture and Agri-Food Canada | Agriculture et Agroalimentaire Canada</t>
        </is>
      </c>
    </row>
    <row r="1447">
      <c r="A1447" t="inlineStr">
        <is>
          <t>T-2019-P10-0006</t>
        </is>
      </c>
      <c r="B1447" t="inlineStr">
        <is>
          <t>SLE</t>
        </is>
      </c>
      <c r="C1447" t="inlineStr">
        <is>
          <t>Workplace Well-Being Ombudsperson</t>
        </is>
      </c>
      <c r="D1447" t="inlineStr">
        <is>
          <t>Ombudsman du mieux-être en milieu de travail</t>
        </is>
      </c>
      <c r="E1447" t="inlineStr">
        <is>
          <t>Jane Taylor</t>
        </is>
      </c>
      <c r="F1447" t="inlineStr">
        <is>
          <t>Outreach to Guelph and Vineland</t>
        </is>
      </c>
      <c r="G1447" t="inlineStr">
        <is>
          <t>Visite de sensibilisation à Guelph et à Vineland</t>
        </is>
      </c>
      <c r="H1447" s="1" t="n">
        <v>43796</v>
      </c>
      <c r="I1447" s="1" t="n">
        <v>43798</v>
      </c>
      <c r="J1447" t="inlineStr">
        <is>
          <t xml:space="preserve">Guelph (Ontario) Canada; Vineland (Ontario) Canada </t>
        </is>
      </c>
      <c r="K1447" t="inlineStr">
        <is>
          <t xml:space="preserve">Guelph (Ontario) Canada; Vineland (Ontario) Canada </t>
        </is>
      </c>
      <c r="P1447" t="n">
        <v>0</v>
      </c>
      <c r="Q1447" t="n">
        <v>36.19</v>
      </c>
      <c r="R1447" t="n">
        <v>0</v>
      </c>
      <c r="S1447" t="n">
        <v>0</v>
      </c>
      <c r="T1447" t="n">
        <v>0</v>
      </c>
      <c r="U1447" t="n">
        <v>36.19</v>
      </c>
      <c r="V1447" t="inlineStr">
        <is>
          <t>Additional reimbursement related to T-2019-P9-0016</t>
        </is>
      </c>
      <c r="W1447" t="inlineStr">
        <is>
          <t>Remboursement supplémentaire lié auT-2019-P9-0016</t>
        </is>
      </c>
      <c r="X1447" t="inlineStr">
        <is>
          <t>aafc-aac</t>
        </is>
      </c>
      <c r="Y1447" t="inlineStr">
        <is>
          <t>Agriculture and Agri-Food Canada | Agriculture et Agroalimentaire Canada</t>
        </is>
      </c>
    </row>
    <row r="1448">
      <c r="A1448" t="inlineStr">
        <is>
          <t>T-2019-P10-0007</t>
        </is>
      </c>
      <c r="B1448" t="inlineStr">
        <is>
          <t>SLE</t>
        </is>
      </c>
      <c r="C1448" t="inlineStr">
        <is>
          <t>Assistant Deputy Minister, International Affairs Branch</t>
        </is>
      </c>
      <c r="D1448" t="inlineStr">
        <is>
          <t>Sous-ministre adjoint, Direction générale des affaires internationales</t>
        </is>
      </c>
      <c r="E1448" t="inlineStr">
        <is>
          <t>Fred Gorrell</t>
        </is>
      </c>
      <c r="F1448" t="inlineStr">
        <is>
          <t>Attended the Tri-National Agriculture Accord</t>
        </is>
      </c>
      <c r="G1448" t="inlineStr">
        <is>
          <t>Participer à l'Accord trinational sur l'agriculture</t>
        </is>
      </c>
      <c r="H1448" s="1" t="n">
        <v>43781</v>
      </c>
      <c r="I1448" s="1" t="n">
        <v>43783</v>
      </c>
      <c r="J1448" t="inlineStr">
        <is>
          <t>Winnipeg (Manitoba) Canada</t>
        </is>
      </c>
      <c r="K1448" t="inlineStr">
        <is>
          <t>Winnipeg (Manitoba) Canada</t>
        </is>
      </c>
      <c r="P1448" t="n">
        <v>1442.37</v>
      </c>
      <c r="Q1448" t="n">
        <v>152.91</v>
      </c>
      <c r="R1448" t="n">
        <v>379.9</v>
      </c>
      <c r="S1448" t="n">
        <v>51.9</v>
      </c>
      <c r="T1448" t="n">
        <v>0</v>
      </c>
      <c r="U1448" t="n">
        <v>2027.08</v>
      </c>
      <c r="X1448" t="inlineStr">
        <is>
          <t>aafc-aac</t>
        </is>
      </c>
      <c r="Y1448" t="inlineStr">
        <is>
          <t>Agriculture and Agri-Food Canada | Agriculture et Agroalimentaire Canada</t>
        </is>
      </c>
    </row>
    <row r="1449">
      <c r="A1449" t="inlineStr">
        <is>
          <t>T-2019-P10-0008</t>
        </is>
      </c>
      <c r="B1449" t="inlineStr">
        <is>
          <t>SLE</t>
        </is>
      </c>
      <c r="C1449" t="inlineStr">
        <is>
          <t>Assistant Deputy Minister, International Affairs Branch</t>
        </is>
      </c>
      <c r="D1449" t="inlineStr">
        <is>
          <t>Sous-ministre adjoint, Direction générale des affaires internationales</t>
        </is>
      </c>
      <c r="E1449" t="inlineStr">
        <is>
          <t>Fred Gorrell</t>
        </is>
      </c>
      <c r="F1449" t="inlineStr">
        <is>
          <t>Attended the Canola Meeting</t>
        </is>
      </c>
      <c r="G1449" t="inlineStr">
        <is>
          <t>Participer à la réunion sur le canola</t>
        </is>
      </c>
      <c r="H1449" s="1" t="n">
        <v>43794</v>
      </c>
      <c r="I1449" s="1" t="n">
        <v>43795</v>
      </c>
      <c r="J1449" t="inlineStr">
        <is>
          <t>Winnipeg (Manitoba) Canada</t>
        </is>
      </c>
      <c r="K1449" t="inlineStr">
        <is>
          <t>Winnipeg (Manitoba) Canada</t>
        </is>
      </c>
      <c r="P1449" t="n">
        <v>799.9</v>
      </c>
      <c r="Q1449" t="n">
        <v>127.91</v>
      </c>
      <c r="R1449" t="n">
        <v>228.23</v>
      </c>
      <c r="S1449" t="n">
        <v>75.55</v>
      </c>
      <c r="T1449" t="n">
        <v>0</v>
      </c>
      <c r="U1449" t="n">
        <v>1231.59</v>
      </c>
      <c r="X1449" t="inlineStr">
        <is>
          <t>aafc-aac</t>
        </is>
      </c>
      <c r="Y1449" t="inlineStr">
        <is>
          <t>Agriculture and Agri-Food Canada | Agriculture et Agroalimentaire Canada</t>
        </is>
      </c>
    </row>
    <row r="1450">
      <c r="A1450" t="inlineStr">
        <is>
          <t>T-2019-P10-0009</t>
        </is>
      </c>
      <c r="B1450" t="inlineStr">
        <is>
          <t>SLE</t>
        </is>
      </c>
      <c r="C1450" t="inlineStr">
        <is>
          <t>Assistant Deputy Minister, International Affairs Branch</t>
        </is>
      </c>
      <c r="D1450" t="inlineStr">
        <is>
          <t>Sous-ministre adjoint, Direction générale des affaires internationales</t>
        </is>
      </c>
      <c r="E1450" t="inlineStr">
        <is>
          <t>Fred Gorrell</t>
        </is>
      </c>
      <c r="F1450" t="inlineStr">
        <is>
          <t>Attended the Prairie Oat Growers Association Annual Meeting</t>
        </is>
      </c>
      <c r="G1450" t="inlineStr">
        <is>
          <t>Participer à la réunion Annuelle du Prairie Oat Growers Association</t>
        </is>
      </c>
      <c r="H1450" s="1" t="n">
        <v>43803</v>
      </c>
      <c r="I1450" s="1" t="n">
        <v>43804</v>
      </c>
      <c r="J1450" t="inlineStr">
        <is>
          <t>Winnipeg (Manitoba) Canada</t>
        </is>
      </c>
      <c r="K1450" t="inlineStr">
        <is>
          <t>Winnipeg (Manitoba) Canada</t>
        </is>
      </c>
      <c r="P1450" t="n">
        <v>719.22</v>
      </c>
      <c r="Q1450" t="n">
        <v>106.91</v>
      </c>
      <c r="R1450" t="n">
        <v>162.98</v>
      </c>
      <c r="S1450" t="n">
        <v>126.1</v>
      </c>
      <c r="T1450" t="n">
        <v>0</v>
      </c>
      <c r="U1450" t="n">
        <v>1115.21</v>
      </c>
      <c r="X1450" t="inlineStr">
        <is>
          <t>aafc-aac</t>
        </is>
      </c>
      <c r="Y1450" t="inlineStr">
        <is>
          <t>Agriculture and Agri-Food Canada | Agriculture et Agroalimentaire Canada</t>
        </is>
      </c>
    </row>
    <row r="1451">
      <c r="A1451" t="inlineStr">
        <is>
          <t>T-2019-P10-0010</t>
        </is>
      </c>
      <c r="B1451" t="inlineStr">
        <is>
          <t>SLE</t>
        </is>
      </c>
      <c r="C1451" t="inlineStr">
        <is>
          <t>Chief Information Officer, Information Systems Branch</t>
        </is>
      </c>
      <c r="D1451" t="inlineStr">
        <is>
          <t>Dirigeant principal de l'information, Direction générale des systèmes d'information</t>
        </is>
      </c>
      <c r="E1451" t="inlineStr">
        <is>
          <t>Michel Lessard</t>
        </is>
      </c>
      <c r="F1451" t="inlineStr">
        <is>
          <t xml:space="preserve">Attended  regular meetings with the Government of Canada Chief Information Officer and his council.  </t>
        </is>
      </c>
      <c r="G1451" t="inlineStr">
        <is>
          <t xml:space="preserve">Participer à des réunions régulières avec le dirigeant principal du gouvernement du Canada et son conseil.  </t>
        </is>
      </c>
      <c r="H1451" s="1" t="n">
        <v>43838</v>
      </c>
      <c r="I1451" s="1" t="n">
        <v>43838</v>
      </c>
      <c r="J1451" t="inlineStr">
        <is>
          <t>Toronto (Ontario) Canada</t>
        </is>
      </c>
      <c r="K1451" t="inlineStr">
        <is>
          <t>Toronto (Ontario) Canada</t>
        </is>
      </c>
      <c r="P1451" t="n">
        <v>597.59</v>
      </c>
      <c r="Q1451" t="n">
        <v>50.4</v>
      </c>
      <c r="R1451" t="n">
        <v>0</v>
      </c>
      <c r="S1451" t="n">
        <v>0</v>
      </c>
      <c r="T1451" t="n">
        <v>0</v>
      </c>
      <c r="U1451" t="n">
        <v>647.99</v>
      </c>
      <c r="X1451" t="inlineStr">
        <is>
          <t>aafc-aac</t>
        </is>
      </c>
      <c r="Y1451" t="inlineStr">
        <is>
          <t>Agriculture and Agri-Food Canada | Agriculture et Agroalimentaire Canada</t>
        </is>
      </c>
    </row>
    <row r="1452">
      <c r="A1452" t="inlineStr">
        <is>
          <t>T-2019-P10-0011</t>
        </is>
      </c>
      <c r="B1452" t="inlineStr">
        <is>
          <t>SLE</t>
        </is>
      </c>
      <c r="C1452" t="inlineStr">
        <is>
          <t>Assistant Deputy Minister, Programs Branch</t>
        </is>
      </c>
      <c r="D1452" t="inlineStr">
        <is>
          <t>Sous-ministre adjoint, Direction générale des programmes</t>
        </is>
      </c>
      <c r="E1452" t="inlineStr">
        <is>
          <t>Paul Samson</t>
        </is>
      </c>
      <c r="F1452" t="inlineStr">
        <is>
          <t>Visiting the Farm Income Programs Directorate</t>
        </is>
      </c>
      <c r="G1452" t="inlineStr">
        <is>
          <t>Visite avec la direction des programmes du revenu agricole</t>
        </is>
      </c>
      <c r="H1452" s="1" t="n">
        <v>43809</v>
      </c>
      <c r="I1452" s="1" t="n">
        <v>43810</v>
      </c>
      <c r="J1452" t="inlineStr">
        <is>
          <t>Winnipeg (Manitoba) Canada</t>
        </is>
      </c>
      <c r="K1452" t="inlineStr">
        <is>
          <t>Winnipeg (Manitoba) Canada</t>
        </is>
      </c>
      <c r="P1452" t="n">
        <v>804.09</v>
      </c>
      <c r="Q1452" t="n">
        <v>112.67</v>
      </c>
      <c r="R1452" t="n">
        <v>209.88</v>
      </c>
      <c r="S1452" t="n">
        <v>105.5</v>
      </c>
      <c r="T1452" t="n">
        <v>0</v>
      </c>
      <c r="U1452" t="n">
        <v>1232.14</v>
      </c>
      <c r="X1452" t="inlineStr">
        <is>
          <t>aafc-aac</t>
        </is>
      </c>
      <c r="Y1452" t="inlineStr">
        <is>
          <t>Agriculture and Agri-Food Canada | Agriculture et Agroalimentaire Canada</t>
        </is>
      </c>
    </row>
    <row r="1453">
      <c r="A1453" t="inlineStr">
        <is>
          <t>T-2019-P10-0012</t>
        </is>
      </c>
      <c r="B1453" t="inlineStr">
        <is>
          <t>SLE</t>
        </is>
      </c>
      <c r="C1453" t="inlineStr">
        <is>
          <t>Assistant Deputy Minister, Strategic Policy Branch</t>
        </is>
      </c>
      <c r="D1453" t="inlineStr">
        <is>
          <t>Sous-ministre adjoint, Direction générale des politiques stratégiques</t>
        </is>
      </c>
      <c r="E1453" t="inlineStr">
        <is>
          <t>Tom Rosser</t>
        </is>
      </c>
      <c r="F1453" t="inlineStr">
        <is>
          <t>Briefing meeting with the Minister in her Riding.</t>
        </is>
      </c>
      <c r="G1453" t="inlineStr">
        <is>
          <t>Séance d'information avec la ministre</t>
        </is>
      </c>
      <c r="H1453" s="1" t="n">
        <v>43839</v>
      </c>
      <c r="I1453" s="1" t="n">
        <v>43840</v>
      </c>
      <c r="J1453" t="inlineStr">
        <is>
          <t>Montreal (Quebec) Canada; Sherbrooke (Quebec) Canada</t>
        </is>
      </c>
      <c r="K1453" t="inlineStr">
        <is>
          <t>Montréal  (Québec) Canada;  Sherbrooke (Québec) Canada</t>
        </is>
      </c>
      <c r="P1453" t="n">
        <v>0</v>
      </c>
      <c r="Q1453" t="n">
        <v>77.62</v>
      </c>
      <c r="R1453" t="n">
        <v>228.48</v>
      </c>
      <c r="S1453" t="n">
        <v>105.5</v>
      </c>
      <c r="T1453" t="n">
        <v>0</v>
      </c>
      <c r="U1453" t="n">
        <v>411.6</v>
      </c>
      <c r="X1453" t="inlineStr">
        <is>
          <t>aafc-aac</t>
        </is>
      </c>
      <c r="Y1453" t="inlineStr">
        <is>
          <t>Agriculture and Agri-Food Canada | Agriculture et Agroalimentaire Canada</t>
        </is>
      </c>
    </row>
    <row r="1454">
      <c r="A1454" t="inlineStr">
        <is>
          <t>T-2019-P10-0013</t>
        </is>
      </c>
      <c r="B1454" t="inlineStr">
        <is>
          <t>SLE</t>
        </is>
      </c>
      <c r="C1454" t="inlineStr">
        <is>
          <t>Assistant Deputy Minister, Strategic Policy Branch</t>
        </is>
      </c>
      <c r="D1454" t="inlineStr">
        <is>
          <t>Sous-ministre adjoint, Direction générale des politiques stratégiques</t>
        </is>
      </c>
      <c r="E1454" t="inlineStr">
        <is>
          <t>Tom Rosser</t>
        </is>
      </c>
      <c r="F1454" t="inlineStr">
        <is>
          <t>Attend a Regional Management Meeting in Guelph and the Arrell Food Summit in Toronto.</t>
        </is>
      </c>
      <c r="G1454" t="inlineStr">
        <is>
          <t xml:space="preserve">Assister à une réunion de gestion régionale à Guelph  et le sommet des aliments Arrell à Toronto </t>
        </is>
      </c>
      <c r="H1454" s="1" t="n">
        <v>43800</v>
      </c>
      <c r="I1454" s="1" t="n">
        <v>43803</v>
      </c>
      <c r="J1454" t="inlineStr">
        <is>
          <t>Guelph (Ontario);Toronto (Ontario) Canada</t>
        </is>
      </c>
      <c r="K1454" t="inlineStr">
        <is>
          <t>Guelph (Ontario) Canada; Toronto (Ontario) Canada</t>
        </is>
      </c>
      <c r="P1454" t="n">
        <v>106.5</v>
      </c>
      <c r="Q1454" t="n">
        <v>193.55</v>
      </c>
      <c r="R1454" t="n">
        <v>482.24</v>
      </c>
      <c r="S1454" t="n">
        <v>252.2</v>
      </c>
      <c r="T1454" t="n">
        <v>0</v>
      </c>
      <c r="U1454" t="n">
        <v>1034.49</v>
      </c>
      <c r="X1454" t="inlineStr">
        <is>
          <t>aafc-aac</t>
        </is>
      </c>
      <c r="Y1454" t="inlineStr">
        <is>
          <t>Agriculture and Agri-Food Canada | Agriculture et Agroalimentaire Canada</t>
        </is>
      </c>
    </row>
    <row r="1455">
      <c r="A1455" t="inlineStr">
        <is>
          <t>T-2019-P11-0001</t>
        </is>
      </c>
      <c r="B1455" t="inlineStr">
        <is>
          <t>MPSES</t>
        </is>
      </c>
      <c r="C1455" t="inlineStr">
        <is>
          <t>Chief of Staff</t>
        </is>
      </c>
      <c r="D1455" t="inlineStr">
        <is>
          <t>Chef de cabinet</t>
        </is>
      </c>
      <c r="E1455" t="inlineStr">
        <is>
          <t>Alison Porter</t>
        </is>
      </c>
      <c r="F1455" t="inlineStr">
        <is>
          <t>Accompanied the Minister at the Cabinet Retreat</t>
        </is>
      </c>
      <c r="G1455" t="inlineStr">
        <is>
          <t xml:space="preserve">
Accompagner la ministre à la retraite du Cabinet</t>
        </is>
      </c>
      <c r="H1455" s="1" t="n">
        <v>43848</v>
      </c>
      <c r="I1455" s="1" t="n">
        <v>43851</v>
      </c>
      <c r="J1455" t="inlineStr">
        <is>
          <t>Winnipeg (Manitoba) Canada</t>
        </is>
      </c>
      <c r="K1455" t="inlineStr">
        <is>
          <t>Winnipeg (Manitoba) Canada</t>
        </is>
      </c>
      <c r="P1455" t="n">
        <v>952.04</v>
      </c>
      <c r="Q1455" t="n">
        <v>29.56</v>
      </c>
      <c r="R1455" t="n">
        <v>562.8</v>
      </c>
      <c r="S1455" t="n">
        <v>192.6</v>
      </c>
      <c r="T1455" t="n">
        <v>0</v>
      </c>
      <c r="U1455" t="n">
        <v>1737</v>
      </c>
      <c r="X1455" t="inlineStr">
        <is>
          <t>aafc-aac</t>
        </is>
      </c>
      <c r="Y1455" t="inlineStr">
        <is>
          <t>Agriculture and Agri-Food Canada | Agriculture et Agroalimentaire Canada</t>
        </is>
      </c>
    </row>
    <row r="1456">
      <c r="A1456" t="inlineStr">
        <is>
          <t>T-2019-P11-0002</t>
        </is>
      </c>
      <c r="B1456" t="inlineStr">
        <is>
          <t>MPSES</t>
        </is>
      </c>
      <c r="C1456" t="inlineStr">
        <is>
          <t>Chief of Staff</t>
        </is>
      </c>
      <c r="D1456" t="inlineStr">
        <is>
          <t>Chef de cabinet</t>
        </is>
      </c>
      <c r="E1456" t="inlineStr">
        <is>
          <t>Alison Porter</t>
        </is>
      </c>
      <c r="F1456" t="inlineStr">
        <is>
          <t>Attended a meeting and a strategic planning session with the Minister</t>
        </is>
      </c>
      <c r="G1456" t="inlineStr">
        <is>
          <t>Participer à une réunion et à une séance de planification stratégique avec la ministre</t>
        </is>
      </c>
      <c r="H1456" s="1" t="n">
        <v>43839</v>
      </c>
      <c r="I1456" s="1" t="n">
        <v>43840</v>
      </c>
      <c r="J1456" t="inlineStr">
        <is>
          <t>Sherbrooke (Quebec) Canada</t>
        </is>
      </c>
      <c r="K1456" t="inlineStr">
        <is>
          <t>Sherbrooke (Québec) Canada</t>
        </is>
      </c>
      <c r="P1456" t="n">
        <v>0</v>
      </c>
      <c r="Q1456" t="n">
        <v>0</v>
      </c>
      <c r="R1456" t="n">
        <v>141.59</v>
      </c>
      <c r="S1456" t="n">
        <v>101.1</v>
      </c>
      <c r="T1456" t="n">
        <v>0</v>
      </c>
      <c r="U1456" t="n">
        <v>242.69</v>
      </c>
      <c r="X1456" t="inlineStr">
        <is>
          <t>aafc-aac</t>
        </is>
      </c>
      <c r="Y1456" t="inlineStr">
        <is>
          <t>Agriculture and Agri-Food Canada | Agriculture et Agroalimentaire Canada</t>
        </is>
      </c>
    </row>
    <row r="1457">
      <c r="A1457" t="inlineStr">
        <is>
          <t>T-2019-P11-0003</t>
        </is>
      </c>
      <c r="B1457" t="inlineStr">
        <is>
          <t>MPSES</t>
        </is>
      </c>
      <c r="C1457" t="inlineStr">
        <is>
          <t>Special Assistant, Legislative Affairs</t>
        </is>
      </c>
      <c r="D1457" t="inlineStr">
        <is>
          <t>Adjoint spécial, Affaires Législatives</t>
        </is>
      </c>
      <c r="E1457" t="inlineStr">
        <is>
          <t xml:space="preserve">Jonathan Poirier </t>
        </is>
      </c>
      <c r="F1457" t="inlineStr">
        <is>
          <t>Accompanied the Minister to various meetings with stakeholders</t>
        </is>
      </c>
      <c r="G1457" t="inlineStr">
        <is>
          <t>Accompagner la ministre à diverses réunions avec des intervenants</t>
        </is>
      </c>
      <c r="H1457" s="1" t="n">
        <v>43861</v>
      </c>
      <c r="I1457" s="1" t="n">
        <v>43861</v>
      </c>
      <c r="J1457" t="inlineStr">
        <is>
          <t>Sherbrooke (Quebec) Canada;
Racine (Quebec) Canada</t>
        </is>
      </c>
      <c r="K1457" t="inlineStr">
        <is>
          <t>Sherbrooke (Québec) Canada;
Racine (Québec) Canada</t>
        </is>
      </c>
      <c r="P1457" t="n">
        <v>0</v>
      </c>
      <c r="Q1457" t="n">
        <v>0</v>
      </c>
      <c r="R1457" t="n">
        <v>0</v>
      </c>
      <c r="S1457" t="n">
        <v>40.95</v>
      </c>
      <c r="T1457" t="n">
        <v>0</v>
      </c>
      <c r="U1457" t="n">
        <v>40.95</v>
      </c>
      <c r="X1457" t="inlineStr">
        <is>
          <t>aafc-aac</t>
        </is>
      </c>
      <c r="Y1457" t="inlineStr">
        <is>
          <t>Agriculture and Agri-Food Canada | Agriculture et Agroalimentaire Canada</t>
        </is>
      </c>
    </row>
    <row r="1458">
      <c r="A1458" t="inlineStr">
        <is>
          <t>T-2019-P11-0004</t>
        </is>
      </c>
      <c r="B1458" t="inlineStr">
        <is>
          <t>MPSES</t>
        </is>
      </c>
      <c r="C1458" t="inlineStr">
        <is>
          <t>Driver</t>
        </is>
      </c>
      <c r="D1458" t="inlineStr">
        <is>
          <t>Chauffeur</t>
        </is>
      </c>
      <c r="E1458" t="inlineStr">
        <is>
          <t>Michel Gendreau</t>
        </is>
      </c>
      <c r="F1458" t="inlineStr">
        <is>
          <t>Drove the Minister to her riding from Ottawa and to Montreal Airport for a flight to Winnipeg</t>
        </is>
      </c>
      <c r="G1458" t="inlineStr">
        <is>
          <t>Conduire la ministre d'Ottawa à sa circonscription et à l'aéroport de Montréal pour un vol vers Winnipeg</t>
        </is>
      </c>
      <c r="H1458" s="1" t="n">
        <v>43847</v>
      </c>
      <c r="I1458" s="1" t="n">
        <v>43848</v>
      </c>
      <c r="J1458" t="inlineStr">
        <is>
          <t>Sherbrooke (Quebec) Canada;
Montreal (Quebec) Canada</t>
        </is>
      </c>
      <c r="K1458" t="inlineStr">
        <is>
          <t>Sherbrooke (Québec) Canada;
Montréal (Québec) Canada</t>
        </is>
      </c>
      <c r="P1458" t="n">
        <v>0</v>
      </c>
      <c r="Q1458" t="n">
        <v>3.1</v>
      </c>
      <c r="R1458" t="n">
        <v>136.33</v>
      </c>
      <c r="S1458" t="n">
        <v>70.90000000000001</v>
      </c>
      <c r="T1458" t="n">
        <v>0</v>
      </c>
      <c r="U1458" t="n">
        <v>210.33</v>
      </c>
      <c r="X1458" t="inlineStr">
        <is>
          <t>aafc-aac</t>
        </is>
      </c>
      <c r="Y1458" t="inlineStr">
        <is>
          <t>Agriculture and Agri-Food Canada | Agriculture et Agroalimentaire Canada</t>
        </is>
      </c>
    </row>
    <row r="1459">
      <c r="A1459" t="inlineStr">
        <is>
          <t>T-2019-P11-0005</t>
        </is>
      </c>
      <c r="B1459" t="inlineStr">
        <is>
          <t>MPSES</t>
        </is>
      </c>
      <c r="C1459" t="inlineStr">
        <is>
          <t>Driver</t>
        </is>
      </c>
      <c r="D1459" t="inlineStr">
        <is>
          <t>Chauffeur</t>
        </is>
      </c>
      <c r="E1459" t="inlineStr">
        <is>
          <t>Michel Gendreau</t>
        </is>
      </c>
      <c r="F1459" t="inlineStr">
        <is>
          <t>Drove the Minister to her riding from Ottawa</t>
        </is>
      </c>
      <c r="G1459" t="inlineStr">
        <is>
          <t xml:space="preserve">Conduire la ministre d'Ottawa à sa circonscription </t>
        </is>
      </c>
      <c r="H1459" s="1" t="n">
        <v>43854</v>
      </c>
      <c r="I1459" s="1" t="n">
        <v>43854</v>
      </c>
      <c r="J1459" t="inlineStr">
        <is>
          <t>Sherbrooke (Quebec) Canada</t>
        </is>
      </c>
      <c r="K1459" t="inlineStr">
        <is>
          <t>Sherbrooke (Québec) Canada</t>
        </is>
      </c>
      <c r="P1459" t="n">
        <v>0</v>
      </c>
      <c r="Q1459" t="n">
        <v>6.2</v>
      </c>
      <c r="R1459" t="n">
        <v>0</v>
      </c>
      <c r="S1459" t="n">
        <v>50.55</v>
      </c>
      <c r="T1459" t="n">
        <v>0</v>
      </c>
      <c r="U1459" t="n">
        <v>56.75</v>
      </c>
      <c r="X1459" t="inlineStr">
        <is>
          <t>aafc-aac</t>
        </is>
      </c>
      <c r="Y1459" t="inlineStr">
        <is>
          <t>Agriculture and Agri-Food Canada | Agriculture et Agroalimentaire Canada</t>
        </is>
      </c>
    </row>
    <row r="1460">
      <c r="A1460" t="inlineStr">
        <is>
          <t>T-2019-P11-0006</t>
        </is>
      </c>
      <c r="B1460" t="inlineStr">
        <is>
          <t>MPSES</t>
        </is>
      </c>
      <c r="C1460" t="inlineStr">
        <is>
          <t>Driver</t>
        </is>
      </c>
      <c r="D1460" t="inlineStr">
        <is>
          <t>Chauffeur</t>
        </is>
      </c>
      <c r="E1460" t="inlineStr">
        <is>
          <t>Michel Gendreau</t>
        </is>
      </c>
      <c r="F1460" t="inlineStr">
        <is>
          <t>Drove the Minister from her riding to Ottawa</t>
        </is>
      </c>
      <c r="G1460" t="inlineStr">
        <is>
          <t>Conduire la ministre de sa circonscription à Ottawa</t>
        </is>
      </c>
      <c r="H1460" s="1" t="n">
        <v>43856</v>
      </c>
      <c r="I1460" s="1" t="n">
        <v>43857</v>
      </c>
      <c r="J1460" t="inlineStr">
        <is>
          <t>Sherbrooke (Quebec) Canada</t>
        </is>
      </c>
      <c r="K1460" t="inlineStr">
        <is>
          <t>Sherbrooke (Québec) Canada</t>
        </is>
      </c>
      <c r="P1460" t="n">
        <v>0</v>
      </c>
      <c r="Q1460" t="n">
        <v>6.2</v>
      </c>
      <c r="R1460" t="n">
        <v>135.65</v>
      </c>
      <c r="S1460" t="n">
        <v>70.90000000000001</v>
      </c>
      <c r="T1460" t="n">
        <v>0</v>
      </c>
      <c r="U1460" t="n">
        <v>212.75</v>
      </c>
      <c r="X1460" t="inlineStr">
        <is>
          <t>aafc-aac</t>
        </is>
      </c>
      <c r="Y1460" t="inlineStr">
        <is>
          <t>Agriculture and Agri-Food Canada | Agriculture et Agroalimentaire Canada</t>
        </is>
      </c>
    </row>
    <row r="1461">
      <c r="A1461" t="inlineStr">
        <is>
          <t>T-2019-P11-0007</t>
        </is>
      </c>
      <c r="B1461" t="inlineStr">
        <is>
          <t>MPSES</t>
        </is>
      </c>
      <c r="C1461" t="inlineStr">
        <is>
          <t>Driver</t>
        </is>
      </c>
      <c r="D1461" t="inlineStr">
        <is>
          <t>Chauffeur</t>
        </is>
      </c>
      <c r="E1461" t="inlineStr">
        <is>
          <t>Michel Gendreau</t>
        </is>
      </c>
      <c r="F1461" t="inlineStr">
        <is>
          <t>Drove the Minister from her riding to Ottawa</t>
        </is>
      </c>
      <c r="G1461" t="inlineStr">
        <is>
          <t>Conduire la ministre de sa circonscription à Ottawa</t>
        </is>
      </c>
      <c r="H1461" s="1" t="n">
        <v>43863</v>
      </c>
      <c r="I1461" s="1" t="n">
        <v>43864</v>
      </c>
      <c r="J1461" t="inlineStr">
        <is>
          <t>Sherbrooke (Quebec) Canada</t>
        </is>
      </c>
      <c r="K1461" t="inlineStr">
        <is>
          <t>Sherbrooke (Québec) Canada</t>
        </is>
      </c>
      <c r="P1461" t="n">
        <v>0</v>
      </c>
      <c r="Q1461" t="n">
        <v>3.2</v>
      </c>
      <c r="R1461" t="n">
        <v>135.65</v>
      </c>
      <c r="S1461" t="n">
        <v>70.90000000000001</v>
      </c>
      <c r="T1461" t="n">
        <v>0</v>
      </c>
      <c r="U1461" t="n">
        <v>209.75</v>
      </c>
      <c r="X1461" t="inlineStr">
        <is>
          <t>aafc-aac</t>
        </is>
      </c>
      <c r="Y1461" t="inlineStr">
        <is>
          <t>Agriculture and Agri-Food Canada | Agriculture et Agroalimentaire Canada</t>
        </is>
      </c>
    </row>
    <row r="1462">
      <c r="A1462" t="inlineStr">
        <is>
          <t>T-2019-P11-0008</t>
        </is>
      </c>
      <c r="B1462" t="inlineStr">
        <is>
          <t>MPSES</t>
        </is>
      </c>
      <c r="C1462" t="inlineStr">
        <is>
          <t>Driver</t>
        </is>
      </c>
      <c r="D1462" t="inlineStr">
        <is>
          <t>Chauffeur</t>
        </is>
      </c>
      <c r="E1462" t="inlineStr">
        <is>
          <t>Michel Gendreau</t>
        </is>
      </c>
      <c r="F1462" t="inlineStr">
        <is>
          <t>Drove the Minister to her riding from Ottawa</t>
        </is>
      </c>
      <c r="G1462" t="inlineStr">
        <is>
          <t xml:space="preserve">Conduire la ministre d'Ottawa à sa circonscription </t>
        </is>
      </c>
      <c r="H1462" s="1" t="n">
        <v>43868</v>
      </c>
      <c r="I1462" s="1" t="n">
        <v>43869</v>
      </c>
      <c r="J1462" t="inlineStr">
        <is>
          <t>Sherbrooke (Quebec) Canada</t>
        </is>
      </c>
      <c r="K1462" t="inlineStr">
        <is>
          <t>Sherbrooke (Québec) Canada</t>
        </is>
      </c>
      <c r="P1462" t="n">
        <v>0</v>
      </c>
      <c r="Q1462" t="n">
        <v>6.4</v>
      </c>
      <c r="R1462" t="n">
        <v>123.75</v>
      </c>
      <c r="S1462" t="n">
        <v>70.90000000000001</v>
      </c>
      <c r="T1462" t="n">
        <v>0</v>
      </c>
      <c r="U1462" t="n">
        <v>201.05</v>
      </c>
      <c r="X1462" t="inlineStr">
        <is>
          <t>aafc-aac</t>
        </is>
      </c>
      <c r="Y1462" t="inlineStr">
        <is>
          <t>Agriculture and Agri-Food Canada | Agriculture et Agroalimentaire Canada</t>
        </is>
      </c>
    </row>
    <row r="1463">
      <c r="A1463" t="inlineStr">
        <is>
          <t>T-2019-P11-0009</t>
        </is>
      </c>
      <c r="B1463" t="inlineStr">
        <is>
          <t>MPSES</t>
        </is>
      </c>
      <c r="C1463" t="inlineStr">
        <is>
          <t>Driver</t>
        </is>
      </c>
      <c r="D1463" t="inlineStr">
        <is>
          <t>Chauffeur</t>
        </is>
      </c>
      <c r="E1463" t="inlineStr">
        <is>
          <t>Michel Gendreau</t>
        </is>
      </c>
      <c r="F1463" t="inlineStr">
        <is>
          <t>Drove the Minister from her riding to Ottawa</t>
        </is>
      </c>
      <c r="G1463" t="inlineStr">
        <is>
          <t>Conduire la ministre de sa circonscription à Ottawa</t>
        </is>
      </c>
      <c r="H1463" s="1" t="n">
        <v>43871</v>
      </c>
      <c r="I1463" s="1" t="n">
        <v>43872</v>
      </c>
      <c r="J1463" t="inlineStr">
        <is>
          <t>Sherbrooke (Quebec) Canada</t>
        </is>
      </c>
      <c r="K1463" t="inlineStr">
        <is>
          <t>Sherbrooke (Québec) Canada</t>
        </is>
      </c>
      <c r="P1463" t="n">
        <v>0</v>
      </c>
      <c r="Q1463" t="n">
        <v>6.4</v>
      </c>
      <c r="R1463" t="n">
        <v>140.17</v>
      </c>
      <c r="S1463" t="n">
        <v>70.90000000000001</v>
      </c>
      <c r="T1463" t="n">
        <v>0</v>
      </c>
      <c r="U1463" t="n">
        <v>217.47</v>
      </c>
      <c r="X1463" t="inlineStr">
        <is>
          <t>aafc-aac</t>
        </is>
      </c>
      <c r="Y1463" t="inlineStr">
        <is>
          <t>Agriculture and Agri-Food Canada | Agriculture et Agroalimentaire Canada</t>
        </is>
      </c>
    </row>
    <row r="1464">
      <c r="A1464" t="inlineStr">
        <is>
          <t>T-2019-P11-0010</t>
        </is>
      </c>
      <c r="B1464" t="inlineStr">
        <is>
          <t>MPSES</t>
        </is>
      </c>
      <c r="C1464" t="inlineStr">
        <is>
          <t>Parliamentary Secretary</t>
        </is>
      </c>
      <c r="D1464" t="inlineStr">
        <is>
          <t>Secrétaire Parlementaire</t>
        </is>
      </c>
      <c r="E1464" t="inlineStr">
        <is>
          <t>Neil Ellis</t>
        </is>
      </c>
      <c r="F1464" t="inlineStr">
        <is>
          <t>Attended the Chicken Farmers of Canada Annual General Meeting</t>
        </is>
      </c>
      <c r="G1464" t="inlineStr">
        <is>
          <t>Participer à l'Assemblée générale annuelle des Producteurs de poulet du Canada</t>
        </is>
      </c>
      <c r="H1464" s="1" t="n">
        <v>43844</v>
      </c>
      <c r="I1464" s="1" t="n">
        <v>43846</v>
      </c>
      <c r="J1464" t="inlineStr">
        <is>
          <t>Toronto (Ontario) Canada</t>
        </is>
      </c>
      <c r="K1464" t="inlineStr">
        <is>
          <t>Toronto (Ontario) Canada</t>
        </is>
      </c>
      <c r="P1464" t="n">
        <v>0</v>
      </c>
      <c r="Q1464" t="n">
        <v>20</v>
      </c>
      <c r="R1464" t="n">
        <v>210.36</v>
      </c>
      <c r="S1464" t="n">
        <v>101.1</v>
      </c>
      <c r="T1464" t="n">
        <v>0</v>
      </c>
      <c r="U1464" t="n">
        <v>331.46</v>
      </c>
      <c r="X1464" t="inlineStr">
        <is>
          <t>aafc-aac</t>
        </is>
      </c>
      <c r="Y1464" t="inlineStr">
        <is>
          <t>Agriculture and Agri-Food Canada | Agriculture et Agroalimentaire Canada</t>
        </is>
      </c>
    </row>
    <row r="1465">
      <c r="A1465" t="inlineStr">
        <is>
          <t>T-2019-P11-0011</t>
        </is>
      </c>
      <c r="B1465" t="inlineStr">
        <is>
          <t>MPSES</t>
        </is>
      </c>
      <c r="C1465" t="inlineStr">
        <is>
          <t>Parliamentary Secretary Assistant</t>
        </is>
      </c>
      <c r="D1465" t="inlineStr">
        <is>
          <t>Adjoint du Secrétaire Parlementaire</t>
        </is>
      </c>
      <c r="E1465" t="inlineStr">
        <is>
          <t>Jean-Sébastien Comeau</t>
        </is>
      </c>
      <c r="F1465" t="inlineStr">
        <is>
          <t>Accompanied the Parliamentary Secretary to the Chicken Farmers of Canada Annual General Meeting</t>
        </is>
      </c>
      <c r="G1465" t="inlineStr">
        <is>
          <t>Accompagner le secrétaire parlementaire à l'Assemblée générale annuelle des Producteurs de poulet du Canada</t>
        </is>
      </c>
      <c r="H1465" s="1" t="n">
        <v>43845</v>
      </c>
      <c r="I1465" s="1" t="n">
        <v>43846</v>
      </c>
      <c r="J1465" t="inlineStr">
        <is>
          <t>Toronto (Ontario) Canada</t>
        </is>
      </c>
      <c r="K1465" t="inlineStr">
        <is>
          <t>Toronto (Ontario) Canada</t>
        </is>
      </c>
      <c r="P1465" t="n">
        <v>0</v>
      </c>
      <c r="Q1465" t="n">
        <v>274.57</v>
      </c>
      <c r="R1465" t="n">
        <v>210.36</v>
      </c>
      <c r="S1465" t="n">
        <v>71.15000000000001</v>
      </c>
      <c r="T1465" t="n">
        <v>0</v>
      </c>
      <c r="U1465" t="n">
        <v>556.08</v>
      </c>
      <c r="X1465" t="inlineStr">
        <is>
          <t>aafc-aac</t>
        </is>
      </c>
      <c r="Y1465" t="inlineStr">
        <is>
          <t>Agriculture and Agri-Food Canada | Agriculture et Agroalimentaire Canada</t>
        </is>
      </c>
    </row>
    <row r="1466">
      <c r="A1466" t="inlineStr">
        <is>
          <t>T-2019-P11-0012</t>
        </is>
      </c>
      <c r="B1466" t="inlineStr">
        <is>
          <t>SLE</t>
        </is>
      </c>
      <c r="C1466" t="inlineStr">
        <is>
          <t>Deputy Minister</t>
        </is>
      </c>
      <c r="D1466" t="inlineStr">
        <is>
          <t>Sous-ministre</t>
        </is>
      </c>
      <c r="E1466" t="inlineStr">
        <is>
          <t>Chris Forbes</t>
        </is>
      </c>
      <c r="F1466" t="inlineStr">
        <is>
          <t>Attended an outreach and various meetings with stakeholders</t>
        </is>
      </c>
      <c r="G1466" t="inlineStr">
        <is>
          <t xml:space="preserve">
Participer à une visite de sensibilisation et à diverses réunions avec des intervenants</t>
        </is>
      </c>
      <c r="H1466" s="1" t="n">
        <v>43853</v>
      </c>
      <c r="I1466" s="1" t="n">
        <v>43854</v>
      </c>
      <c r="J1466" t="inlineStr">
        <is>
          <t>Toronto (Ontario) Canada</t>
        </is>
      </c>
      <c r="K1466" t="inlineStr">
        <is>
          <t>Toronto (Ontario) Canada</t>
        </is>
      </c>
      <c r="P1466" t="n">
        <v>975.74</v>
      </c>
      <c r="Q1466" t="n">
        <v>48</v>
      </c>
      <c r="R1466" t="n">
        <v>0</v>
      </c>
      <c r="S1466" t="n">
        <v>20.35</v>
      </c>
      <c r="T1466" t="n">
        <v>0</v>
      </c>
      <c r="U1466" t="n">
        <v>1044.09</v>
      </c>
      <c r="X1466" t="inlineStr">
        <is>
          <t>aafc-aac</t>
        </is>
      </c>
      <c r="Y1466" t="inlineStr">
        <is>
          <t>Agriculture and Agri-Food Canada | Agriculture et Agroalimentaire Canada</t>
        </is>
      </c>
    </row>
    <row r="1467">
      <c r="A1467" t="inlineStr">
        <is>
          <t>T-2019-P11-0013</t>
        </is>
      </c>
      <c r="B1467" t="inlineStr">
        <is>
          <t>SLE</t>
        </is>
      </c>
      <c r="C1467" t="inlineStr">
        <is>
          <t>Deputy Minister</t>
        </is>
      </c>
      <c r="D1467" t="inlineStr">
        <is>
          <t>Sous-ministre</t>
        </is>
      </c>
      <c r="E1467" t="inlineStr">
        <is>
          <t>Chris Forbes</t>
        </is>
      </c>
      <c r="F1467" t="inlineStr">
        <is>
          <t>Participated as a speaker at the Global Forum for Food and Agriculture 2020 international conference on the Minister's behalf</t>
        </is>
      </c>
      <c r="G1467" t="inlineStr">
        <is>
          <t>Participer à titre de conférencier à la conférence internationale du Forum mondial sur l'alimentation et l'agriculture 2020 au nom de la ministre</t>
        </is>
      </c>
      <c r="H1467" s="1" t="n">
        <v>43845</v>
      </c>
      <c r="I1467" s="1" t="n">
        <v>43849</v>
      </c>
      <c r="J1467" t="inlineStr">
        <is>
          <t xml:space="preserve">Berlin, Germany </t>
        </is>
      </c>
      <c r="K1467" t="inlineStr">
        <is>
          <t>Berlin, Allemagne</t>
        </is>
      </c>
      <c r="P1467" t="n">
        <v>2192.14</v>
      </c>
      <c r="Q1467" t="n">
        <v>92.42</v>
      </c>
      <c r="R1467" t="n">
        <v>0</v>
      </c>
      <c r="S1467" t="n">
        <v>361.23</v>
      </c>
      <c r="T1467" t="n">
        <v>0</v>
      </c>
      <c r="U1467" t="n">
        <v>2645.79</v>
      </c>
      <c r="X1467" t="inlineStr">
        <is>
          <t>aafc-aac</t>
        </is>
      </c>
      <c r="Y1467" t="inlineStr">
        <is>
          <t>Agriculture and Agri-Food Canada | Agriculture et Agroalimentaire Canada</t>
        </is>
      </c>
    </row>
    <row r="1468">
      <c r="A1468" t="inlineStr">
        <is>
          <t>T-2019-P11-0014</t>
        </is>
      </c>
      <c r="B1468" t="inlineStr">
        <is>
          <t>SLE</t>
        </is>
      </c>
      <c r="C1468" t="inlineStr">
        <is>
          <t>Assistant Deputy Minister, International Affairs Branch</t>
        </is>
      </c>
      <c r="D1468" t="inlineStr">
        <is>
          <t>Sous-ministre adjoint, Direction générale des affaires internationales</t>
        </is>
      </c>
      <c r="E1468" t="inlineStr">
        <is>
          <t>Fred Gorrell</t>
        </is>
      </c>
      <c r="F1468" t="inlineStr">
        <is>
          <t>Attended the Canola Meeting</t>
        </is>
      </c>
      <c r="G1468" t="inlineStr">
        <is>
          <t>Participer à la réunion sur le canola</t>
        </is>
      </c>
      <c r="H1468" s="1" t="n">
        <v>43866</v>
      </c>
      <c r="I1468" s="1" t="n">
        <v>43867</v>
      </c>
      <c r="J1468" t="inlineStr">
        <is>
          <t>Winnipeg (Manitoba) Canada</t>
        </is>
      </c>
      <c r="K1468" t="inlineStr">
        <is>
          <t>Winnipeg (Manitoba) Canada</t>
        </is>
      </c>
      <c r="P1468" t="n">
        <v>853.89</v>
      </c>
      <c r="Q1468" t="n">
        <v>106.6</v>
      </c>
      <c r="R1468" t="n">
        <v>162.98</v>
      </c>
      <c r="S1468" t="n">
        <v>37.9</v>
      </c>
      <c r="T1468" t="n">
        <v>0</v>
      </c>
      <c r="U1468" t="n">
        <v>1161.37</v>
      </c>
      <c r="X1468" t="inlineStr">
        <is>
          <t>aafc-aac</t>
        </is>
      </c>
      <c r="Y1468" t="inlineStr">
        <is>
          <t>Agriculture and Agri-Food Canada | Agriculture et Agroalimentaire Canada</t>
        </is>
      </c>
    </row>
    <row r="1469">
      <c r="A1469" t="inlineStr">
        <is>
          <t>T-2019-P11-0015</t>
        </is>
      </c>
      <c r="B1469" t="inlineStr">
        <is>
          <t>SLE</t>
        </is>
      </c>
      <c r="C1469" t="inlineStr">
        <is>
          <t>Assistant Deputy Minister, Market and Industry Services Branch</t>
        </is>
      </c>
      <c r="D1469" t="inlineStr">
        <is>
          <t>Sous-ministre adjoint, Direction générale des services à l'industrie et aux marchés</t>
        </is>
      </c>
      <c r="E1469" t="inlineStr">
        <is>
          <t>Frédéric Seppey</t>
        </is>
      </c>
      <c r="F1469" t="inlineStr">
        <is>
          <t>Attended the Annual Staff Meeting</t>
        </is>
      </c>
      <c r="G1469" t="inlineStr">
        <is>
          <t>Participer à la réunion annuelle du personnel du Bureau</t>
        </is>
      </c>
      <c r="H1469" s="1" t="n">
        <v>43817</v>
      </c>
      <c r="I1469" s="1" t="n">
        <v>43817</v>
      </c>
      <c r="J1469" t="inlineStr">
        <is>
          <t>Guelph (Ontario) Canada</t>
        </is>
      </c>
      <c r="K1469" t="inlineStr">
        <is>
          <t>Guelph (Ontario) Canada</t>
        </is>
      </c>
      <c r="P1469" t="n">
        <v>316.68</v>
      </c>
      <c r="Q1469" t="n">
        <v>112.22</v>
      </c>
      <c r="R1469" t="n">
        <v>0</v>
      </c>
      <c r="S1469" t="n">
        <v>91.5</v>
      </c>
      <c r="T1469" t="n">
        <v>0</v>
      </c>
      <c r="U1469" t="n">
        <v>520.4</v>
      </c>
      <c r="X1469" t="inlineStr">
        <is>
          <t>aafc-aac</t>
        </is>
      </c>
      <c r="Y1469" t="inlineStr">
        <is>
          <t>Agriculture and Agri-Food Canada | Agriculture et Agroalimentaire Canada</t>
        </is>
      </c>
    </row>
    <row r="1470">
      <c r="A1470" t="inlineStr">
        <is>
          <t>T-2019-P11-0016</t>
        </is>
      </c>
      <c r="B1470" t="inlineStr">
        <is>
          <t>SLE</t>
        </is>
      </c>
      <c r="C1470" t="inlineStr">
        <is>
          <t>Assistant Deputy Minister, Market and Industry Services Branch</t>
        </is>
      </c>
      <c r="D1470" t="inlineStr">
        <is>
          <t>Sous-ministre adjoint, Direction générale des services à l'industrie et aux marchés</t>
        </is>
      </c>
      <c r="E1470" t="inlineStr">
        <is>
          <t>Frédéric Seppey</t>
        </is>
      </c>
      <c r="F1470" t="inlineStr">
        <is>
          <t>Spoke at the International Dairy Foods Association Dairy Forum</t>
        </is>
      </c>
      <c r="G1470" t="inlineStr">
        <is>
          <t>A prononcé une allocation  au forum laitier de l'International Dairy Foods Association</t>
        </is>
      </c>
      <c r="H1470" s="1" t="n">
        <v>43856</v>
      </c>
      <c r="I1470" s="1" t="n">
        <v>43859</v>
      </c>
      <c r="J1470" t="inlineStr">
        <is>
          <t>Scottsdale (Arizona) United States</t>
        </is>
      </c>
      <c r="K1470" t="inlineStr">
        <is>
          <t xml:space="preserve">Scottsdale (Arizona) États-Unis </t>
        </is>
      </c>
      <c r="P1470" t="n">
        <v>765.1</v>
      </c>
      <c r="Q1470" t="n">
        <v>320.55</v>
      </c>
      <c r="R1470" t="n">
        <v>453.36</v>
      </c>
      <c r="S1470" t="n">
        <v>357.8</v>
      </c>
      <c r="T1470" t="n">
        <v>7.85</v>
      </c>
      <c r="U1470" t="n">
        <v>1904.66</v>
      </c>
      <c r="X1470" t="inlineStr">
        <is>
          <t>aafc-aac</t>
        </is>
      </c>
      <c r="Y1470" t="inlineStr">
        <is>
          <t>Agriculture and Agri-Food Canada | Agriculture et Agroalimentaire Canada</t>
        </is>
      </c>
    </row>
    <row r="1471">
      <c r="A1471" t="inlineStr">
        <is>
          <t>T-2019-P11-0017</t>
        </is>
      </c>
      <c r="B1471" t="inlineStr">
        <is>
          <t>SLE</t>
        </is>
      </c>
      <c r="C1471" t="inlineStr">
        <is>
          <t>Assistant Deputy Minister, Science and Technology Branch</t>
        </is>
      </c>
      <c r="D1471" t="inlineStr">
        <is>
          <t>Sous-ministre adjoint, Direction générale des sciences et de la technologie</t>
        </is>
      </c>
      <c r="E1471" t="inlineStr">
        <is>
          <t>Gilles Saindon</t>
        </is>
      </c>
      <c r="F1471" t="inlineStr">
        <is>
          <t>Participated in meetings with the United States Department of Agriculture</t>
        </is>
      </c>
      <c r="G1471" t="inlineStr">
        <is>
          <t>Participer à des réunion avec le Ministère de l'agriculture des États-Unis</t>
        </is>
      </c>
      <c r="H1471" s="1" t="n">
        <v>43867</v>
      </c>
      <c r="I1471" s="1" t="n">
        <v>43869</v>
      </c>
      <c r="J1471" t="inlineStr">
        <is>
          <t>Washington (District of Columbia) United States</t>
        </is>
      </c>
      <c r="K1471" t="inlineStr">
        <is>
          <t>Washington (District of Columbia) États-Unis</t>
        </is>
      </c>
      <c r="P1471" t="n">
        <v>923.62</v>
      </c>
      <c r="Q1471" t="n">
        <v>53</v>
      </c>
      <c r="R1471" t="n">
        <v>373.69</v>
      </c>
      <c r="S1471" t="n">
        <v>289.85</v>
      </c>
      <c r="T1471" t="n">
        <v>0</v>
      </c>
      <c r="U1471" t="n">
        <v>1640.16</v>
      </c>
      <c r="X1471" t="inlineStr">
        <is>
          <t>aafc-aac</t>
        </is>
      </c>
      <c r="Y1471" t="inlineStr">
        <is>
          <t>Agriculture and Agri-Food Canada | Agriculture et Agroalimentaire Canada</t>
        </is>
      </c>
    </row>
    <row r="1472">
      <c r="A1472" t="inlineStr">
        <is>
          <t>T-2019-P11-0018</t>
        </is>
      </c>
      <c r="B1472" t="inlineStr">
        <is>
          <t>SLE</t>
        </is>
      </c>
      <c r="C1472" t="inlineStr">
        <is>
          <t>Assistant Deputy Minister, Programs Branch</t>
        </is>
      </c>
      <c r="D1472" t="inlineStr">
        <is>
          <t>Sous-ministre adjoint, Direction générale des programmes</t>
        </is>
      </c>
      <c r="E1472" t="inlineStr">
        <is>
          <t>Paul Samson</t>
        </is>
      </c>
      <c r="F1472" t="inlineStr">
        <is>
          <t>Federal, Provincial and Territorial Deputy Ministers of Agriculture Policy Retreat</t>
        </is>
      </c>
      <c r="G1472" t="inlineStr">
        <is>
          <t>Séance de réflexion stratégique des sous-ministres fédéraux, provinciaux et territoriaux de l'Agriculture</t>
        </is>
      </c>
      <c r="H1472" s="1" t="n">
        <v>43872</v>
      </c>
      <c r="I1472" s="1" t="n">
        <v>43873</v>
      </c>
      <c r="J1472" t="inlineStr">
        <is>
          <t>Toronto (Ontario) Canada</t>
        </is>
      </c>
      <c r="K1472" t="inlineStr">
        <is>
          <t>Toronto (Ontario) Canada</t>
        </is>
      </c>
      <c r="P1472" t="n">
        <v>610.26</v>
      </c>
      <c r="Q1472" t="n">
        <v>64.95</v>
      </c>
      <c r="R1472" t="n">
        <v>163.35</v>
      </c>
      <c r="S1472" t="n">
        <v>88.2</v>
      </c>
      <c r="T1472" t="n">
        <v>0</v>
      </c>
      <c r="U1472" t="n">
        <v>926.76</v>
      </c>
      <c r="X1472" t="inlineStr">
        <is>
          <t>aafc-aac</t>
        </is>
      </c>
      <c r="Y1472" t="inlineStr">
        <is>
          <t>Agriculture and Agri-Food Canada | Agriculture et Agroalimentaire Canada</t>
        </is>
      </c>
    </row>
    <row r="1473">
      <c r="A1473" t="inlineStr">
        <is>
          <t>T-2019-P12-0001</t>
        </is>
      </c>
      <c r="B1473" t="inlineStr">
        <is>
          <t>MPSES</t>
        </is>
      </c>
      <c r="C1473" t="inlineStr">
        <is>
          <t xml:space="preserve">Minister </t>
        </is>
      </c>
      <c r="D1473" t="inlineStr">
        <is>
          <t>Ministre</t>
        </is>
      </c>
      <c r="E1473" t="inlineStr">
        <is>
          <t>Marie-Claude Bibeau</t>
        </is>
      </c>
      <c r="F1473" t="inlineStr">
        <is>
          <t>Attended an outreach and various meetings with stakeholders.</t>
        </is>
      </c>
      <c r="G1473" t="inlineStr">
        <is>
          <t xml:space="preserve">
Participer à une activité de sensibilisation et à diverses réunions avec des intervenants.</t>
        </is>
      </c>
      <c r="H1473" s="1" t="n">
        <v>43893</v>
      </c>
      <c r="I1473" s="1" t="n">
        <v>43897</v>
      </c>
      <c r="J1473" t="inlineStr">
        <is>
          <t>Halifax (Nova Scotia) Canada;
Truro (Nova Scotia)  Canada;
Charlottetown (Prince Edward Island) Canada</t>
        </is>
      </c>
      <c r="K1473" t="inlineStr">
        <is>
          <t>Halifax (Nouvelle-Écosse) Canada;
Truro (Nouvelle-Écosse) Canada; Charlottetown (Île-du-Prince-Édouard) Canada</t>
        </is>
      </c>
      <c r="P1473" t="n">
        <v>1606.53</v>
      </c>
      <c r="Q1473" t="n">
        <v>0</v>
      </c>
      <c r="R1473" t="n">
        <v>738.13</v>
      </c>
      <c r="S1473" t="n">
        <v>294.85</v>
      </c>
      <c r="T1473" t="n">
        <v>0</v>
      </c>
      <c r="U1473" t="n">
        <v>2639.51</v>
      </c>
      <c r="X1473" t="inlineStr">
        <is>
          <t>aafc-aac</t>
        </is>
      </c>
      <c r="Y1473" t="inlineStr">
        <is>
          <t>Agriculture and Agri-Food Canada | Agriculture et Agroalimentaire Canada</t>
        </is>
      </c>
    </row>
    <row r="1474">
      <c r="A1474" t="inlineStr">
        <is>
          <t>T-2019-P12-0002</t>
        </is>
      </c>
      <c r="B1474" t="inlineStr">
        <is>
          <t>MPSES</t>
        </is>
      </c>
      <c r="C1474" t="inlineStr">
        <is>
          <t xml:space="preserve">Minister </t>
        </is>
      </c>
      <c r="D1474" t="inlineStr">
        <is>
          <t>Ministre</t>
        </is>
      </c>
      <c r="E1474" t="inlineStr">
        <is>
          <t>Marie-Claude Bibeau</t>
        </is>
      </c>
      <c r="F1474" t="inlineStr">
        <is>
          <t>Attended the Cabinet Retreat.</t>
        </is>
      </c>
      <c r="G1474" t="inlineStr">
        <is>
          <t xml:space="preserve">
Participer à la séance de réflexion du Cabinet.</t>
        </is>
      </c>
      <c r="H1474" s="1" t="n">
        <v>43848</v>
      </c>
      <c r="I1474" s="1" t="n">
        <v>43851</v>
      </c>
      <c r="J1474" t="inlineStr">
        <is>
          <t>Winnipeg (Manitoba) Canada</t>
        </is>
      </c>
      <c r="K1474" t="inlineStr">
        <is>
          <t>Winnipeg (Manitoba) Canada</t>
        </is>
      </c>
      <c r="P1474" t="n">
        <v>975.0700000000001</v>
      </c>
      <c r="Q1474" t="n">
        <v>0</v>
      </c>
      <c r="R1474" t="n">
        <v>562.8</v>
      </c>
      <c r="S1474" t="n">
        <v>192.6</v>
      </c>
      <c r="T1474" t="n">
        <v>0</v>
      </c>
      <c r="U1474" t="n">
        <v>1730.47</v>
      </c>
      <c r="X1474" t="inlineStr">
        <is>
          <t>aafc-aac</t>
        </is>
      </c>
      <c r="Y1474" t="inlineStr">
        <is>
          <t>Agriculture and Agri-Food Canada | Agriculture et Agroalimentaire Canada</t>
        </is>
      </c>
    </row>
    <row r="1475">
      <c r="A1475" t="inlineStr">
        <is>
          <t>T-2019-P12-0003</t>
        </is>
      </c>
      <c r="B1475" t="inlineStr">
        <is>
          <t>MPSES</t>
        </is>
      </c>
      <c r="C1475" t="inlineStr">
        <is>
          <t xml:space="preserve">Minister </t>
        </is>
      </c>
      <c r="D1475" t="inlineStr">
        <is>
          <t>Ministre</t>
        </is>
      </c>
      <c r="E1475" t="inlineStr">
        <is>
          <t>Marie-Claude Bibeau</t>
        </is>
      </c>
      <c r="F1475" t="inlineStr">
        <is>
          <t>Attended Crop Connect and meet with various stakeholders.</t>
        </is>
      </c>
      <c r="G1475" t="inlineStr">
        <is>
          <t>Participer à CropConnect et rencontrer divers intervenants.</t>
        </is>
      </c>
      <c r="H1475" s="1" t="n">
        <v>43872</v>
      </c>
      <c r="I1475" s="1" t="n">
        <v>43875</v>
      </c>
      <c r="J1475" t="inlineStr">
        <is>
          <t>Winnipeg (Manitoba) Canada</t>
        </is>
      </c>
      <c r="K1475" t="inlineStr">
        <is>
          <t>Winnipeg (Manitoba) Canada</t>
        </is>
      </c>
      <c r="P1475" t="n">
        <v>1076.28</v>
      </c>
      <c r="Q1475" t="n">
        <v>22.43</v>
      </c>
      <c r="R1475" t="n">
        <v>488.94</v>
      </c>
      <c r="S1475" t="n">
        <v>253.9</v>
      </c>
      <c r="T1475" t="n">
        <v>0</v>
      </c>
      <c r="U1475" t="n">
        <v>1841.55</v>
      </c>
      <c r="X1475" t="inlineStr">
        <is>
          <t>aafc-aac</t>
        </is>
      </c>
      <c r="Y1475" t="inlineStr">
        <is>
          <t>Agriculture and Agri-Food Canada | Agriculture et Agroalimentaire Canada</t>
        </is>
      </c>
    </row>
    <row r="1476">
      <c r="A1476" t="inlineStr">
        <is>
          <t>T-2019-P12-0004</t>
        </is>
      </c>
      <c r="B1476" t="inlineStr">
        <is>
          <t>MPSES</t>
        </is>
      </c>
      <c r="C1476" t="inlineStr">
        <is>
          <t xml:space="preserve">Minister </t>
        </is>
      </c>
      <c r="D1476" t="inlineStr">
        <is>
          <t>Ministre</t>
        </is>
      </c>
      <c r="E1476" t="inlineStr">
        <is>
          <t>Marie-Claude Bibeau</t>
        </is>
      </c>
      <c r="F1476" t="inlineStr">
        <is>
          <t>Attended the United States Department of Agriculture's Agricultural Outlook Forum.</t>
        </is>
      </c>
      <c r="G1476" t="inlineStr">
        <is>
          <t>Participer au forum sur les perspectives agricoles du département de l'Agriculture des États-Unis.</t>
        </is>
      </c>
      <c r="H1476" s="1" t="n">
        <v>43881</v>
      </c>
      <c r="I1476" s="1" t="n">
        <v>43882</v>
      </c>
      <c r="J1476" t="inlineStr">
        <is>
          <t>Washington (District of Columbia) United States</t>
        </is>
      </c>
      <c r="K1476" t="inlineStr">
        <is>
          <t>Washington (district de Columbia) États-Unis</t>
        </is>
      </c>
      <c r="P1476" t="n">
        <v>1426.16</v>
      </c>
      <c r="Q1476" t="n">
        <v>0</v>
      </c>
      <c r="R1476" t="n">
        <v>275.56</v>
      </c>
      <c r="S1476" t="n">
        <v>93.76000000000001</v>
      </c>
      <c r="T1476" t="n">
        <v>0</v>
      </c>
      <c r="U1476" t="n">
        <v>1795.48</v>
      </c>
      <c r="X1476" t="inlineStr">
        <is>
          <t>aafc-aac</t>
        </is>
      </c>
      <c r="Y1476" t="inlineStr">
        <is>
          <t>Agriculture and Agri-Food Canada | Agriculture et Agroalimentaire Canada</t>
        </is>
      </c>
    </row>
    <row r="1477">
      <c r="A1477" t="inlineStr">
        <is>
          <t>T-2019-P12-0005</t>
        </is>
      </c>
      <c r="B1477" t="inlineStr">
        <is>
          <t>MPSES</t>
        </is>
      </c>
      <c r="C1477" t="inlineStr">
        <is>
          <t>Senior Advisor</t>
        </is>
      </c>
      <c r="D1477" t="inlineStr">
        <is>
          <t xml:space="preserve">Conseiller principal </t>
        </is>
      </c>
      <c r="E1477" t="inlineStr">
        <is>
          <t xml:space="preserve">Abed Harb </t>
        </is>
      </c>
      <c r="F1477" t="inlineStr">
        <is>
          <t>Accompanied the Minister to Crop Connect and to meet with various stakeholders.</t>
        </is>
      </c>
      <c r="G1477" t="inlineStr">
        <is>
          <t>Accompagner la ministre à CropConnect et rencontrer divers intervenants.</t>
        </is>
      </c>
      <c r="H1477" s="1" t="n">
        <v>43872</v>
      </c>
      <c r="I1477" s="1" t="n">
        <v>43875</v>
      </c>
      <c r="J1477" t="inlineStr">
        <is>
          <t>Winnipeg (Manitoba) Canada</t>
        </is>
      </c>
      <c r="K1477" t="inlineStr">
        <is>
          <t>Winnipeg (Manitoba) Canada</t>
        </is>
      </c>
      <c r="P1477" t="n">
        <v>870.4</v>
      </c>
      <c r="Q1477" t="n">
        <v>88.28</v>
      </c>
      <c r="R1477" t="n">
        <v>559.29</v>
      </c>
      <c r="S1477" t="n">
        <v>253.9</v>
      </c>
      <c r="T1477" t="n">
        <v>0</v>
      </c>
      <c r="U1477" t="n">
        <v>1771.87</v>
      </c>
      <c r="X1477" t="inlineStr">
        <is>
          <t>aafc-aac</t>
        </is>
      </c>
      <c r="Y1477" t="inlineStr">
        <is>
          <t>Agriculture and Agri-Food Canada | Agriculture et Agroalimentaire Canada</t>
        </is>
      </c>
    </row>
    <row r="1478">
      <c r="A1478" t="inlineStr">
        <is>
          <t>T-2019-P12-0006</t>
        </is>
      </c>
      <c r="B1478" t="inlineStr">
        <is>
          <t>MPSES</t>
        </is>
      </c>
      <c r="C1478" t="inlineStr">
        <is>
          <t>Chief of Staff</t>
        </is>
      </c>
      <c r="D1478" t="inlineStr">
        <is>
          <t>Chef de cabinet</t>
        </is>
      </c>
      <c r="E1478" t="inlineStr">
        <is>
          <t>Alison Porter</t>
        </is>
      </c>
      <c r="F1478" t="inlineStr">
        <is>
          <t>Accompanied the Minister to the United States Department of Agriculture's Agricultural Outlook Forum.</t>
        </is>
      </c>
      <c r="G1478" t="inlineStr">
        <is>
          <t>Accompagner la ministre au forum sur les perspectives agricoles du département de l'Agriculture des États-Unis.</t>
        </is>
      </c>
      <c r="H1478" s="1" t="n">
        <v>43881</v>
      </c>
      <c r="I1478" s="1" t="n">
        <v>43883</v>
      </c>
      <c r="J1478" t="inlineStr">
        <is>
          <t>Washington (District of Columbia) United States</t>
        </is>
      </c>
      <c r="K1478" t="inlineStr">
        <is>
          <t>Washington (district de Columbia) États-Unis</t>
        </is>
      </c>
      <c r="P1478" t="n">
        <v>1463.76</v>
      </c>
      <c r="Q1478" t="n">
        <v>28.62</v>
      </c>
      <c r="R1478" t="n">
        <v>275.56</v>
      </c>
      <c r="S1478" t="n">
        <v>93.76000000000001</v>
      </c>
      <c r="T1478" t="n">
        <v>0</v>
      </c>
      <c r="U1478" t="n">
        <v>1861.7</v>
      </c>
      <c r="X1478" t="inlineStr">
        <is>
          <t>aafc-aac</t>
        </is>
      </c>
      <c r="Y1478" t="inlineStr">
        <is>
          <t>Agriculture and Agri-Food Canada | Agriculture et Agroalimentaire Canada</t>
        </is>
      </c>
    </row>
    <row r="1479">
      <c r="A1479" t="inlineStr">
        <is>
          <t>T-2019-P12-0007</t>
        </is>
      </c>
      <c r="B1479" t="inlineStr">
        <is>
          <t>MPSES</t>
        </is>
      </c>
      <c r="C1479" t="inlineStr">
        <is>
          <t>Operations Manager</t>
        </is>
      </c>
      <c r="D1479" t="inlineStr">
        <is>
          <t>Gestionnaire des opérations</t>
        </is>
      </c>
      <c r="E1479" t="inlineStr">
        <is>
          <t xml:space="preserve">Daniel Turner </t>
        </is>
      </c>
      <c r="F1479" t="inlineStr">
        <is>
          <t>Accompanied the Minister to outreach meetings.</t>
        </is>
      </c>
      <c r="G1479" t="inlineStr">
        <is>
          <t xml:space="preserve">
Accompagner la ministre aux réunions de sensibilisation.</t>
        </is>
      </c>
      <c r="H1479" s="1" t="n">
        <v>43875</v>
      </c>
      <c r="I1479" s="1" t="n">
        <v>43875</v>
      </c>
      <c r="J1479" t="inlineStr">
        <is>
          <t>Quebec (Quebec) Canada</t>
        </is>
      </c>
      <c r="K1479" t="inlineStr">
        <is>
          <t>Québec (Québec) Canada</t>
        </is>
      </c>
      <c r="P1479" t="n">
        <v>0</v>
      </c>
      <c r="Q1479" t="n">
        <v>0</v>
      </c>
      <c r="R1479" t="n">
        <v>0</v>
      </c>
      <c r="S1479" t="n">
        <v>71.15000000000001</v>
      </c>
      <c r="T1479" t="n">
        <v>0</v>
      </c>
      <c r="U1479" t="n">
        <v>71.15000000000001</v>
      </c>
      <c r="X1479" t="inlineStr">
        <is>
          <t>aafc-aac</t>
        </is>
      </c>
      <c r="Y1479" t="inlineStr">
        <is>
          <t>Agriculture and Agri-Food Canada | Agriculture et Agroalimentaire Canada</t>
        </is>
      </c>
    </row>
    <row r="1480">
      <c r="A1480" t="inlineStr">
        <is>
          <t>T-2019-P12-0008</t>
        </is>
      </c>
      <c r="B1480" t="inlineStr">
        <is>
          <t>MPSES</t>
        </is>
      </c>
      <c r="C1480" t="inlineStr">
        <is>
          <t>Operations Manager</t>
        </is>
      </c>
      <c r="D1480" t="inlineStr">
        <is>
          <t>Gestionnaire des opérations</t>
        </is>
      </c>
      <c r="E1480" t="inlineStr">
        <is>
          <t xml:space="preserve">Daniel Turner </t>
        </is>
      </c>
      <c r="F1480" t="inlineStr">
        <is>
          <t>Accompanied the Minister to a communications briefing.</t>
        </is>
      </c>
      <c r="G1480" t="inlineStr">
        <is>
          <t>Accompagner la ministre à une séance d'information sur les communications.</t>
        </is>
      </c>
      <c r="H1480" s="1" t="n">
        <v>43878</v>
      </c>
      <c r="I1480" s="1" t="n">
        <v>43878</v>
      </c>
      <c r="J1480" t="inlineStr">
        <is>
          <t>Sherbrooke (Quebec) Canada</t>
        </is>
      </c>
      <c r="K1480" t="inlineStr">
        <is>
          <t>Sherbrooke (Québec) Canada</t>
        </is>
      </c>
      <c r="P1480" t="n">
        <v>0</v>
      </c>
      <c r="Q1480" t="n">
        <v>0</v>
      </c>
      <c r="R1480" t="n">
        <v>0</v>
      </c>
      <c r="S1480" t="n">
        <v>50.55</v>
      </c>
      <c r="T1480" t="n">
        <v>0</v>
      </c>
      <c r="U1480" t="n">
        <v>50.55</v>
      </c>
      <c r="X1480" t="inlineStr">
        <is>
          <t>aafc-aac</t>
        </is>
      </c>
      <c r="Y1480" t="inlineStr">
        <is>
          <t>Agriculture and Agri-Food Canada | Agriculture et Agroalimentaire Canada</t>
        </is>
      </c>
    </row>
    <row r="1481">
      <c r="A1481" t="inlineStr">
        <is>
          <t>T-2019-P12-0009</t>
        </is>
      </c>
      <c r="B1481" t="inlineStr">
        <is>
          <t>MPSES</t>
        </is>
      </c>
      <c r="C1481" t="inlineStr">
        <is>
          <t>Press Secretary</t>
        </is>
      </c>
      <c r="D1481" t="inlineStr">
        <is>
          <t>Attaché de Presse</t>
        </is>
      </c>
      <c r="E1481" t="inlineStr">
        <is>
          <t>Jean-Sébastien Comeau</t>
        </is>
      </c>
      <c r="F1481" t="inlineStr">
        <is>
          <t>Accompanied the Minister to a communications briefing.</t>
        </is>
      </c>
      <c r="G1481" t="inlineStr">
        <is>
          <t>Accompagner la ministre à une séance d'information sur les communications.</t>
        </is>
      </c>
      <c r="H1481" s="1" t="n">
        <v>43878</v>
      </c>
      <c r="I1481" s="1" t="n">
        <v>43878</v>
      </c>
      <c r="J1481" t="inlineStr">
        <is>
          <t>Sherbrooke (Quebec) Canada</t>
        </is>
      </c>
      <c r="K1481" t="inlineStr">
        <is>
          <t>Sherbrooke (Québec) Canada</t>
        </is>
      </c>
      <c r="P1481" t="n">
        <v>0</v>
      </c>
      <c r="Q1481" t="n">
        <v>217.71</v>
      </c>
      <c r="R1481" t="n">
        <v>0</v>
      </c>
      <c r="S1481" t="n">
        <v>70.90000000000001</v>
      </c>
      <c r="T1481" t="n">
        <v>0</v>
      </c>
      <c r="U1481" t="n">
        <v>288.61</v>
      </c>
      <c r="X1481" t="inlineStr">
        <is>
          <t>aafc-aac</t>
        </is>
      </c>
      <c r="Y1481" t="inlineStr">
        <is>
          <t>Agriculture and Agri-Food Canada | Agriculture et Agroalimentaire Canada</t>
        </is>
      </c>
    </row>
    <row r="1482">
      <c r="A1482" t="inlineStr">
        <is>
          <t>T-2019-P12-0010</t>
        </is>
      </c>
      <c r="B1482" t="inlineStr">
        <is>
          <t>MPSES</t>
        </is>
      </c>
      <c r="C1482" t="inlineStr">
        <is>
          <t>Press Secretary</t>
        </is>
      </c>
      <c r="D1482" t="inlineStr">
        <is>
          <t>Attaché de presse</t>
        </is>
      </c>
      <c r="E1482" t="inlineStr">
        <is>
          <t>Jean-Sébastien Comeau</t>
        </is>
      </c>
      <c r="F1482" t="inlineStr">
        <is>
          <t>Accompanied the Minister to an outreach and various meetings with stakeholders.</t>
        </is>
      </c>
      <c r="G1482" t="inlineStr">
        <is>
          <t xml:space="preserve">
Accompagner la ministre à une activité de sensibilisation et à diverses réunions avec des intervenants.</t>
        </is>
      </c>
      <c r="H1482" s="1" t="n">
        <v>43894</v>
      </c>
      <c r="I1482" s="1" t="n">
        <v>43897</v>
      </c>
      <c r="J1482" t="inlineStr">
        <is>
          <t>Halifax (Nova Scotia) Canada;
Truro (Nova Scotia)  Canada;
Charlottetown (Prince Edward Island) Canada</t>
        </is>
      </c>
      <c r="K1482" t="inlineStr">
        <is>
          <t>Halifax (Nouvelle-Écosse) Canada;
Truro (Nouvelle-Écosse) Canada; Charlottetown (Île-du-Prince-Édouard) Canada</t>
        </is>
      </c>
      <c r="P1482" t="n">
        <v>1267.97</v>
      </c>
      <c r="Q1482" t="n">
        <v>75.81</v>
      </c>
      <c r="R1482" t="n">
        <v>610.6799999999999</v>
      </c>
      <c r="S1482" t="n">
        <v>244.3</v>
      </c>
      <c r="T1482" t="n">
        <v>0</v>
      </c>
      <c r="U1482" t="n">
        <v>2198.76</v>
      </c>
      <c r="X1482" t="inlineStr">
        <is>
          <t>aafc-aac</t>
        </is>
      </c>
      <c r="Y1482" t="inlineStr">
        <is>
          <t>Agriculture and Agri-Food Canada | Agriculture et Agroalimentaire Canada</t>
        </is>
      </c>
    </row>
    <row r="1483">
      <c r="A1483" t="inlineStr">
        <is>
          <t>T-2019-P12-0011</t>
        </is>
      </c>
      <c r="B1483" t="inlineStr">
        <is>
          <t>MPSES</t>
        </is>
      </c>
      <c r="C1483" t="inlineStr">
        <is>
          <t>Director of Policy</t>
        </is>
      </c>
      <c r="D1483" t="inlineStr">
        <is>
          <t>Directeur des politiques</t>
        </is>
      </c>
      <c r="E1483" t="inlineStr">
        <is>
          <t>Jérémy Gauthier</t>
        </is>
      </c>
      <c r="F1483" t="inlineStr">
        <is>
          <t>Attended a meeting and a strategic planning session with the Minister and Chief of Staff.</t>
        </is>
      </c>
      <c r="G1483" t="inlineStr">
        <is>
          <t>Assister à une réunion et à une séance de planification stratégique avec la ministre 
et la chef de cabinet.</t>
        </is>
      </c>
      <c r="H1483" s="1" t="n">
        <v>43839</v>
      </c>
      <c r="I1483" s="1" t="n">
        <v>43840</v>
      </c>
      <c r="J1483" t="inlineStr">
        <is>
          <t>Sherbrooke (Quebec) Canada</t>
        </is>
      </c>
      <c r="K1483" t="inlineStr">
        <is>
          <t>Sherbrooke (Québec) Canada</t>
        </is>
      </c>
      <c r="P1483" t="n">
        <v>0</v>
      </c>
      <c r="Q1483" t="n">
        <v>54</v>
      </c>
      <c r="R1483" t="n">
        <v>141.59</v>
      </c>
      <c r="S1483" t="n">
        <v>101.1</v>
      </c>
      <c r="T1483" t="n">
        <v>0</v>
      </c>
      <c r="U1483" t="n">
        <v>296.69</v>
      </c>
      <c r="X1483" t="inlineStr">
        <is>
          <t>aafc-aac</t>
        </is>
      </c>
      <c r="Y1483" t="inlineStr">
        <is>
          <t>Agriculture and Agri-Food Canada | Agriculture et Agroalimentaire Canada</t>
        </is>
      </c>
    </row>
    <row r="1484">
      <c r="A1484" t="inlineStr">
        <is>
          <t>T-2019-P12-0012</t>
        </is>
      </c>
      <c r="B1484" t="inlineStr">
        <is>
          <t>MPSES</t>
        </is>
      </c>
      <c r="C1484" t="inlineStr">
        <is>
          <t>Director of Policy</t>
        </is>
      </c>
      <c r="D1484" t="inlineStr">
        <is>
          <t>Directeur des politiques</t>
        </is>
      </c>
      <c r="E1484" t="inlineStr">
        <is>
          <t>Jérémy Gauthier</t>
        </is>
      </c>
      <c r="F1484" t="inlineStr">
        <is>
          <t>Accompanied the Minister to the United States Department of Agriculture's Agricultural Outlook Forum.</t>
        </is>
      </c>
      <c r="G1484" t="inlineStr">
        <is>
          <t>Accompagner la ministre au forum sur les perspectives agricoles du département de l'Agriculture des États-Unis.</t>
        </is>
      </c>
      <c r="H1484" s="1" t="n">
        <v>43881</v>
      </c>
      <c r="I1484" s="1" t="n">
        <v>43882</v>
      </c>
      <c r="J1484" t="inlineStr">
        <is>
          <t>Washington (District of Columbia) United States</t>
        </is>
      </c>
      <c r="K1484" t="inlineStr">
        <is>
          <t>Washington (district de Columbia) États-Unis</t>
        </is>
      </c>
      <c r="P1484" t="n">
        <v>1532.64</v>
      </c>
      <c r="Q1484" t="n">
        <v>37.64</v>
      </c>
      <c r="R1484" t="n">
        <v>275.56</v>
      </c>
      <c r="S1484" t="n">
        <v>93.76000000000001</v>
      </c>
      <c r="T1484" t="n">
        <v>18.16</v>
      </c>
      <c r="U1484" t="n">
        <v>1957.76</v>
      </c>
      <c r="X1484" t="inlineStr">
        <is>
          <t>aafc-aac</t>
        </is>
      </c>
      <c r="Y1484" t="inlineStr">
        <is>
          <t>Agriculture and Agri-Food Canada | Agriculture et Agroalimentaire Canada</t>
        </is>
      </c>
    </row>
    <row r="1485">
      <c r="A1485" t="inlineStr">
        <is>
          <t>T-2019-P12-0013</t>
        </is>
      </c>
      <c r="B1485" t="inlineStr">
        <is>
          <t>MPSES</t>
        </is>
      </c>
      <c r="C1485" t="inlineStr">
        <is>
          <t>Driver</t>
        </is>
      </c>
      <c r="D1485" t="inlineStr">
        <is>
          <t>Chauffeur</t>
        </is>
      </c>
      <c r="E1485" t="inlineStr">
        <is>
          <t>Michel Gendreau</t>
        </is>
      </c>
      <c r="F1485" t="inlineStr">
        <is>
          <t>Drove the Minister to her riding from Ottawa.</t>
        </is>
      </c>
      <c r="G1485" t="inlineStr">
        <is>
          <t>Conduire la ministre d'Ottawa jusqu'à sa circonscription.</t>
        </is>
      </c>
      <c r="H1485" s="1" t="n">
        <v>43860</v>
      </c>
      <c r="I1485" s="1" t="n">
        <v>43860</v>
      </c>
      <c r="J1485" t="inlineStr">
        <is>
          <t>Sherbrooke (Quebec) Canada</t>
        </is>
      </c>
      <c r="K1485" t="inlineStr">
        <is>
          <t>Sherbrooke (Québec) Canada</t>
        </is>
      </c>
      <c r="P1485" t="n">
        <v>0</v>
      </c>
      <c r="Q1485" t="n">
        <v>6.2</v>
      </c>
      <c r="R1485" t="n">
        <v>0</v>
      </c>
      <c r="S1485" t="n">
        <v>50.55</v>
      </c>
      <c r="T1485" t="n">
        <v>0</v>
      </c>
      <c r="U1485" t="n">
        <v>56.75</v>
      </c>
      <c r="X1485" t="inlineStr">
        <is>
          <t>aafc-aac</t>
        </is>
      </c>
      <c r="Y1485" t="inlineStr">
        <is>
          <t>Agriculture and Agri-Food Canada | Agriculture et Agroalimentaire Canada</t>
        </is>
      </c>
    </row>
    <row r="1486">
      <c r="A1486" t="inlineStr">
        <is>
          <t>T-2019-P12-0014</t>
        </is>
      </c>
      <c r="B1486" t="inlineStr">
        <is>
          <t>MPSES</t>
        </is>
      </c>
      <c r="C1486" t="inlineStr">
        <is>
          <t>Driver</t>
        </is>
      </c>
      <c r="D1486" t="inlineStr">
        <is>
          <t>Chauffeur</t>
        </is>
      </c>
      <c r="E1486" t="inlineStr">
        <is>
          <t>Michel Gendreau</t>
        </is>
      </c>
      <c r="F1486" t="inlineStr">
        <is>
          <t>Drove the Minister to her riding from Ottawa.</t>
        </is>
      </c>
      <c r="G1486" t="inlineStr">
        <is>
          <t>Conduire la ministre d'Ottawa jusqu'à sa circonscription.</t>
        </is>
      </c>
      <c r="H1486" s="1" t="n">
        <v>43875</v>
      </c>
      <c r="I1486" s="1" t="n">
        <v>43875</v>
      </c>
      <c r="J1486" t="inlineStr">
        <is>
          <t>Sherbrooke (Quebec) Canada</t>
        </is>
      </c>
      <c r="K1486" t="inlineStr">
        <is>
          <t>Sherbrooke (Québec) Canada</t>
        </is>
      </c>
      <c r="P1486" t="n">
        <v>0</v>
      </c>
      <c r="Q1486" t="n">
        <v>6.4</v>
      </c>
      <c r="R1486" t="n">
        <v>0</v>
      </c>
      <c r="S1486" t="n">
        <v>91.5</v>
      </c>
      <c r="T1486" t="n">
        <v>0</v>
      </c>
      <c r="U1486" t="n">
        <v>97.90000000000001</v>
      </c>
      <c r="X1486" t="inlineStr">
        <is>
          <t>aafc-aac</t>
        </is>
      </c>
      <c r="Y1486" t="inlineStr">
        <is>
          <t>Agriculture and Agri-Food Canada | Agriculture et Agroalimentaire Canada</t>
        </is>
      </c>
    </row>
    <row r="1487">
      <c r="A1487" t="inlineStr">
        <is>
          <t>T-2019-P12-0015</t>
        </is>
      </c>
      <c r="B1487" t="inlineStr">
        <is>
          <t>MPSES</t>
        </is>
      </c>
      <c r="C1487" t="inlineStr">
        <is>
          <t>Driver</t>
        </is>
      </c>
      <c r="D1487" t="inlineStr">
        <is>
          <t>Chauffeur</t>
        </is>
      </c>
      <c r="E1487" t="inlineStr">
        <is>
          <t>Michel Gendreau</t>
        </is>
      </c>
      <c r="F1487" t="inlineStr">
        <is>
          <t>Drove the Minister to her riding from Ottawa.</t>
        </is>
      </c>
      <c r="G1487" t="inlineStr">
        <is>
          <t>Conduire la ministre d'Ottawa jusqu'à sa circonscription.</t>
        </is>
      </c>
      <c r="H1487" s="1" t="n">
        <v>43878</v>
      </c>
      <c r="I1487" s="1" t="n">
        <v>43879</v>
      </c>
      <c r="J1487" t="inlineStr">
        <is>
          <t>Sherbrooke (Quebec) Canada</t>
        </is>
      </c>
      <c r="K1487" t="inlineStr">
        <is>
          <t>Sherbrooke (Québec) Canada</t>
        </is>
      </c>
      <c r="P1487" t="n">
        <v>0</v>
      </c>
      <c r="Q1487" t="n">
        <v>6.4</v>
      </c>
      <c r="R1487" t="n">
        <v>140.17</v>
      </c>
      <c r="S1487" t="n">
        <v>91.5</v>
      </c>
      <c r="T1487" t="n">
        <v>0</v>
      </c>
      <c r="U1487" t="n">
        <v>238.07</v>
      </c>
      <c r="X1487" t="inlineStr">
        <is>
          <t>aafc-aac</t>
        </is>
      </c>
      <c r="Y1487" t="inlineStr">
        <is>
          <t>Agriculture and Agri-Food Canada | Agriculture et Agroalimentaire Canada</t>
        </is>
      </c>
    </row>
    <row r="1488">
      <c r="A1488" t="inlineStr">
        <is>
          <t>T-2019-P12-0016</t>
        </is>
      </c>
      <c r="B1488" t="inlineStr">
        <is>
          <t>MPSES</t>
        </is>
      </c>
      <c r="C1488" t="inlineStr">
        <is>
          <t>Driver</t>
        </is>
      </c>
      <c r="D1488" t="inlineStr">
        <is>
          <t>Chauffeur</t>
        </is>
      </c>
      <c r="E1488" t="inlineStr">
        <is>
          <t>Michel Gendreau</t>
        </is>
      </c>
      <c r="F1488" t="inlineStr">
        <is>
          <t>Drove the Minister to her riding from Ottawa.</t>
        </is>
      </c>
      <c r="G1488" t="inlineStr">
        <is>
          <t>Conduire la ministre d'Ottawa jusqu'à sa circonscription.</t>
        </is>
      </c>
      <c r="H1488" s="1" t="n">
        <v>43889</v>
      </c>
      <c r="I1488" s="1" t="n">
        <v>43889</v>
      </c>
      <c r="J1488" t="inlineStr">
        <is>
          <t>Sherbrooke (Quebec) Canada</t>
        </is>
      </c>
      <c r="K1488" t="inlineStr">
        <is>
          <t>Sherbrooke (Québec) Canada</t>
        </is>
      </c>
      <c r="P1488" t="n">
        <v>0</v>
      </c>
      <c r="Q1488" t="n">
        <v>6.4</v>
      </c>
      <c r="R1488" t="n">
        <v>0</v>
      </c>
      <c r="S1488" t="n">
        <v>40.95</v>
      </c>
      <c r="T1488" t="n">
        <v>0</v>
      </c>
      <c r="U1488" t="n">
        <v>47.35</v>
      </c>
      <c r="X1488" t="inlineStr">
        <is>
          <t>aafc-aac</t>
        </is>
      </c>
      <c r="Y1488" t="inlineStr">
        <is>
          <t>Agriculture and Agri-Food Canada | Agriculture et Agroalimentaire Canada</t>
        </is>
      </c>
    </row>
    <row r="1489">
      <c r="A1489" t="inlineStr">
        <is>
          <t>T-2019-P12-0017</t>
        </is>
      </c>
      <c r="B1489" t="inlineStr">
        <is>
          <t>MPSES</t>
        </is>
      </c>
      <c r="C1489" t="inlineStr">
        <is>
          <t>Driver</t>
        </is>
      </c>
      <c r="D1489" t="inlineStr">
        <is>
          <t>Chauffeur</t>
        </is>
      </c>
      <c r="E1489" t="inlineStr">
        <is>
          <t>Michel Gendreau</t>
        </is>
      </c>
      <c r="F1489" t="inlineStr">
        <is>
          <t>Drove the Minister from her riding to Montreal Airport for a flight to Halifax.</t>
        </is>
      </c>
      <c r="G1489" t="inlineStr">
        <is>
          <t>Conduire la ministre de sa circonscription jusqu'à l'aéroport de Montréal pour un vol vers Halifax.</t>
        </is>
      </c>
      <c r="H1489" s="1" t="n">
        <v>43893</v>
      </c>
      <c r="I1489" s="1" t="n">
        <v>43893</v>
      </c>
      <c r="J1489" t="inlineStr">
        <is>
          <t>Sherbrooke (Quebec) Canada</t>
        </is>
      </c>
      <c r="K1489" t="inlineStr">
        <is>
          <t>Sherbrooke (Québec) Canada</t>
        </is>
      </c>
      <c r="P1489" t="n">
        <v>0</v>
      </c>
      <c r="Q1489" t="n">
        <v>3.2</v>
      </c>
      <c r="R1489" t="n">
        <v>0</v>
      </c>
      <c r="S1489" t="n">
        <v>50.55</v>
      </c>
      <c r="T1489" t="n">
        <v>0</v>
      </c>
      <c r="U1489" t="n">
        <v>53.75</v>
      </c>
      <c r="X1489" t="inlineStr">
        <is>
          <t>aafc-aac</t>
        </is>
      </c>
      <c r="Y1489" t="inlineStr">
        <is>
          <t>Agriculture and Agri-Food Canada | Agriculture et Agroalimentaire Canada</t>
        </is>
      </c>
    </row>
    <row r="1490">
      <c r="A1490" t="inlineStr">
        <is>
          <t>T-2019-P12-0018</t>
        </is>
      </c>
      <c r="B1490" t="inlineStr">
        <is>
          <t>MPSES</t>
        </is>
      </c>
      <c r="C1490" t="inlineStr">
        <is>
          <t>Driver</t>
        </is>
      </c>
      <c r="D1490" t="inlineStr">
        <is>
          <t>Chauffeur</t>
        </is>
      </c>
      <c r="E1490" t="inlineStr">
        <is>
          <t>Michel Gendreau</t>
        </is>
      </c>
      <c r="F1490" t="inlineStr">
        <is>
          <t>Drove the Minister to her riding from Montreal airport.</t>
        </is>
      </c>
      <c r="G1490" t="inlineStr">
        <is>
          <t>Conduire la ministre de l'aéroport de Montréal jusqu'à sa circonscription.</t>
        </is>
      </c>
      <c r="H1490" s="1" t="n">
        <v>43897</v>
      </c>
      <c r="I1490" s="1" t="n">
        <v>43897</v>
      </c>
      <c r="J1490" t="inlineStr">
        <is>
          <t>Sherbrooke (Quebec) Canada</t>
        </is>
      </c>
      <c r="K1490" t="inlineStr">
        <is>
          <t>Sherbrooke (Québec) Canada</t>
        </is>
      </c>
      <c r="P1490" t="n">
        <v>0</v>
      </c>
      <c r="Q1490" t="n">
        <v>3.2</v>
      </c>
      <c r="R1490" t="n">
        <v>0</v>
      </c>
      <c r="S1490" t="n">
        <v>50.55</v>
      </c>
      <c r="T1490" t="n">
        <v>0</v>
      </c>
      <c r="U1490" t="n">
        <v>53.75</v>
      </c>
      <c r="X1490" t="inlineStr">
        <is>
          <t>aafc-aac</t>
        </is>
      </c>
      <c r="Y1490" t="inlineStr">
        <is>
          <t>Agriculture and Agri-Food Canada | Agriculture et Agroalimentaire Canada</t>
        </is>
      </c>
    </row>
    <row r="1491">
      <c r="A1491" t="inlineStr">
        <is>
          <t>T-2019-P12-0019</t>
        </is>
      </c>
      <c r="B1491" t="inlineStr">
        <is>
          <t>MPSES</t>
        </is>
      </c>
      <c r="C1491" t="inlineStr">
        <is>
          <t>Driver</t>
        </is>
      </c>
      <c r="D1491" t="inlineStr">
        <is>
          <t>Chauffeur</t>
        </is>
      </c>
      <c r="E1491" t="inlineStr">
        <is>
          <t>Michel Gendreau</t>
        </is>
      </c>
      <c r="F1491" t="inlineStr">
        <is>
          <t>Drove the Minister from her riding to Ottawa.</t>
        </is>
      </c>
      <c r="G1491" t="inlineStr">
        <is>
          <t>Conduire la Ministre de sa circonscription jusqu'à Ottawa.</t>
        </is>
      </c>
      <c r="H1491" s="1" t="n">
        <v>43898</v>
      </c>
      <c r="I1491" s="1" t="n">
        <v>43899</v>
      </c>
      <c r="J1491" t="inlineStr">
        <is>
          <t>Sherbrooke (Quebec) Canada</t>
        </is>
      </c>
      <c r="K1491" t="inlineStr">
        <is>
          <t>Sherbrooke (Québec) Canada</t>
        </is>
      </c>
      <c r="P1491" t="n">
        <v>0</v>
      </c>
      <c r="Q1491" t="n">
        <v>6.4</v>
      </c>
      <c r="R1491" t="n">
        <v>135.65</v>
      </c>
      <c r="S1491" t="n">
        <v>70.90000000000001</v>
      </c>
      <c r="T1491" t="n">
        <v>0</v>
      </c>
      <c r="U1491" t="n">
        <v>212.95</v>
      </c>
      <c r="X1491" t="inlineStr">
        <is>
          <t>aafc-aac</t>
        </is>
      </c>
      <c r="Y1491" t="inlineStr">
        <is>
          <t>Agriculture and Agri-Food Canada | Agriculture et Agroalimentaire Canada</t>
        </is>
      </c>
    </row>
    <row r="1492">
      <c r="A1492" t="inlineStr">
        <is>
          <t>T-2019-P12-0020</t>
        </is>
      </c>
      <c r="B1492" t="inlineStr">
        <is>
          <t>MPSES</t>
        </is>
      </c>
      <c r="C1492" t="inlineStr">
        <is>
          <t>Driver</t>
        </is>
      </c>
      <c r="D1492" t="inlineStr">
        <is>
          <t>Chauffeur</t>
        </is>
      </c>
      <c r="E1492" t="inlineStr">
        <is>
          <t>Michel Gendreau</t>
        </is>
      </c>
      <c r="F1492" t="inlineStr">
        <is>
          <t>Drove the Minister to her riding from Ottawa and back.</t>
        </is>
      </c>
      <c r="G1492" t="inlineStr">
        <is>
          <t>Conduire la ministre aller-retour entre Ottawa et sa circonscription.</t>
        </is>
      </c>
      <c r="H1492" s="1" t="n">
        <v>43882</v>
      </c>
      <c r="I1492" s="1" t="n">
        <v>43885</v>
      </c>
      <c r="J1492" t="inlineStr">
        <is>
          <t>Sherbrooke (Quebec) Canada</t>
        </is>
      </c>
      <c r="K1492" t="inlineStr">
        <is>
          <t>Sherbrooke (Québec) Canada</t>
        </is>
      </c>
      <c r="P1492" t="n">
        <v>0</v>
      </c>
      <c r="Q1492" t="n">
        <v>3.2</v>
      </c>
      <c r="R1492" t="n">
        <v>472.51</v>
      </c>
      <c r="S1492" t="n">
        <v>162.65</v>
      </c>
      <c r="T1492" t="n">
        <v>0</v>
      </c>
      <c r="U1492" t="n">
        <v>638.36</v>
      </c>
      <c r="X1492" t="inlineStr">
        <is>
          <t>aafc-aac</t>
        </is>
      </c>
      <c r="Y1492" t="inlineStr">
        <is>
          <t>Agriculture and Agri-Food Canada | Agriculture et Agroalimentaire Canada</t>
        </is>
      </c>
    </row>
    <row r="1493">
      <c r="A1493" t="inlineStr">
        <is>
          <t>T-2019-P12-0021</t>
        </is>
      </c>
      <c r="B1493" t="inlineStr">
        <is>
          <t>MPSES</t>
        </is>
      </c>
      <c r="C1493" t="inlineStr">
        <is>
          <t>Social Media Manager</t>
        </is>
      </c>
      <c r="D1493" t="inlineStr">
        <is>
          <t>Gestionnaire des média sociaux</t>
        </is>
      </c>
      <c r="E1493" t="inlineStr">
        <is>
          <t>Mona Sebbane</t>
        </is>
      </c>
      <c r="F1493" t="inlineStr">
        <is>
          <t>Accompanied the Minister to a communications briefing.</t>
        </is>
      </c>
      <c r="G1493" t="inlineStr">
        <is>
          <t>Accompagner la ministre à une séance d'information sur les communications.</t>
        </is>
      </c>
      <c r="H1493" s="1" t="n">
        <v>43878</v>
      </c>
      <c r="I1493" s="1" t="n">
        <v>43878</v>
      </c>
      <c r="J1493" t="inlineStr">
        <is>
          <t>Sherbrooke (Quebec) Canada</t>
        </is>
      </c>
      <c r="K1493" t="inlineStr">
        <is>
          <t>Sherbrooke (Québec) Canada</t>
        </is>
      </c>
      <c r="P1493" t="n">
        <v>0</v>
      </c>
      <c r="Q1493" t="n">
        <v>0</v>
      </c>
      <c r="R1493" t="n">
        <v>0</v>
      </c>
      <c r="S1493" t="n">
        <v>50.55</v>
      </c>
      <c r="T1493" t="n">
        <v>0</v>
      </c>
      <c r="U1493" t="n">
        <v>50.55</v>
      </c>
      <c r="X1493" t="inlineStr">
        <is>
          <t>aafc-aac</t>
        </is>
      </c>
      <c r="Y1493" t="inlineStr">
        <is>
          <t>Agriculture and Agri-Food Canada | Agriculture et Agroalimentaire Canada</t>
        </is>
      </c>
    </row>
    <row r="1494">
      <c r="A1494" t="inlineStr">
        <is>
          <t>T-2019-P12-0022</t>
        </is>
      </c>
      <c r="B1494" t="inlineStr">
        <is>
          <t>MPSES</t>
        </is>
      </c>
      <c r="C1494" t="inlineStr">
        <is>
          <t>Director of Communications</t>
        </is>
      </c>
      <c r="D1494" t="inlineStr">
        <is>
          <t>Directrice des communications</t>
        </is>
      </c>
      <c r="E1494" t="inlineStr">
        <is>
          <t>Oliver Anderson</t>
        </is>
      </c>
      <c r="F1494" t="inlineStr">
        <is>
          <t>Accompanied the Minister to Crop Connect and to meet with various stakeholders.</t>
        </is>
      </c>
      <c r="G1494" t="inlineStr">
        <is>
          <t>Accompagner la ministre à CropConnect et rencontrer divers intervenants.</t>
        </is>
      </c>
      <c r="H1494" s="1" t="n">
        <v>43872</v>
      </c>
      <c r="I1494" s="1" t="n">
        <v>43875</v>
      </c>
      <c r="J1494" t="inlineStr">
        <is>
          <t>Winnipeg (Manitoba) Canada</t>
        </is>
      </c>
      <c r="K1494" t="inlineStr">
        <is>
          <t>Winnipeg (Manitoba) Canada</t>
        </is>
      </c>
      <c r="P1494" t="n">
        <v>890.08</v>
      </c>
      <c r="Q1494" t="n">
        <v>0</v>
      </c>
      <c r="R1494" t="n">
        <v>488.94</v>
      </c>
      <c r="S1494" t="n">
        <v>253.9</v>
      </c>
      <c r="T1494" t="n">
        <v>0</v>
      </c>
      <c r="U1494" t="n">
        <v>1632.92</v>
      </c>
      <c r="X1494" t="inlineStr">
        <is>
          <t>aafc-aac</t>
        </is>
      </c>
      <c r="Y1494" t="inlineStr">
        <is>
          <t>Agriculture and Agri-Food Canada | Agriculture et Agroalimentaire Canada</t>
        </is>
      </c>
    </row>
    <row r="1495">
      <c r="A1495" t="inlineStr">
        <is>
          <t>T-2019-P12-0023</t>
        </is>
      </c>
      <c r="B1495" t="inlineStr">
        <is>
          <t>MPSES</t>
        </is>
      </c>
      <c r="C1495" t="inlineStr">
        <is>
          <t>Director of Communications</t>
        </is>
      </c>
      <c r="D1495" t="inlineStr">
        <is>
          <t>Directrice des communications</t>
        </is>
      </c>
      <c r="E1495" t="inlineStr">
        <is>
          <t>Oliver Anderson</t>
        </is>
      </c>
      <c r="F1495" t="inlineStr">
        <is>
          <t>Accompanied the Minister to a communications briefing.</t>
        </is>
      </c>
      <c r="G1495" t="inlineStr">
        <is>
          <t>Accompagner la ministre à une séance d'information sur les communications.</t>
        </is>
      </c>
      <c r="H1495" s="1" t="n">
        <v>43878</v>
      </c>
      <c r="I1495" s="1" t="n">
        <v>43878</v>
      </c>
      <c r="J1495" t="inlineStr">
        <is>
          <t>Sherbrooke (Quebec) Canada</t>
        </is>
      </c>
      <c r="K1495" t="inlineStr">
        <is>
          <t>Sherbrooke (Québec) Canada</t>
        </is>
      </c>
      <c r="P1495" t="n">
        <v>0</v>
      </c>
      <c r="Q1495" t="n">
        <v>0</v>
      </c>
      <c r="R1495" t="n">
        <v>0</v>
      </c>
      <c r="S1495" t="n">
        <v>50.55</v>
      </c>
      <c r="T1495" t="n">
        <v>0</v>
      </c>
      <c r="U1495" t="n">
        <v>50.55</v>
      </c>
      <c r="X1495" t="inlineStr">
        <is>
          <t>aafc-aac</t>
        </is>
      </c>
      <c r="Y1495" t="inlineStr">
        <is>
          <t>Agriculture and Agri-Food Canada | Agriculture et Agroalimentaire Canada</t>
        </is>
      </c>
    </row>
    <row r="1496">
      <c r="A1496" t="inlineStr">
        <is>
          <t>T-2019-P12-0024</t>
        </is>
      </c>
      <c r="B1496" t="inlineStr">
        <is>
          <t>MPSES</t>
        </is>
      </c>
      <c r="C1496" t="inlineStr">
        <is>
          <t>Policy Advisor</t>
        </is>
      </c>
      <c r="D1496" t="inlineStr">
        <is>
          <t>Conseillère en politiques</t>
        </is>
      </c>
      <c r="E1496" t="inlineStr">
        <is>
          <t>Pearson Croney-Clark</t>
        </is>
      </c>
      <c r="F1496" t="inlineStr">
        <is>
          <t>Accompanied the Minister to an outreach and various meetings with stakeholders.</t>
        </is>
      </c>
      <c r="G1496" t="inlineStr">
        <is>
          <t xml:space="preserve">
Accompagner la ministre à une activité de sensibilisation et à diverses réunions avec des intervenants.</t>
        </is>
      </c>
      <c r="H1496" s="1" t="n">
        <v>43894</v>
      </c>
      <c r="I1496" s="1" t="n">
        <v>43897</v>
      </c>
      <c r="J1496" t="inlineStr">
        <is>
          <t>Halifax (Nova Scotia) Canada;
Truro (Nova Scotia)  Canada;
Charlottetown (Prince Edward Island) Canada</t>
        </is>
      </c>
      <c r="K1496" t="inlineStr">
        <is>
          <t>Halifax (Nouvelle-Écosse) Canada;
Truro (Nouvelle-Écosse) Canada; Charlottetown (Île-du-Prince-Édouard) Canada</t>
        </is>
      </c>
      <c r="P1496" t="n">
        <v>1307.52</v>
      </c>
      <c r="Q1496" t="n">
        <v>20.57</v>
      </c>
      <c r="R1496" t="n">
        <v>610.6799999999999</v>
      </c>
      <c r="S1496" t="n">
        <v>244.3</v>
      </c>
      <c r="T1496" t="n">
        <v>0</v>
      </c>
      <c r="U1496" t="n">
        <v>2183.07</v>
      </c>
      <c r="X1496" t="inlineStr">
        <is>
          <t>aafc-aac</t>
        </is>
      </c>
      <c r="Y1496" t="inlineStr">
        <is>
          <t>Agriculture and Agri-Food Canada | Agriculture et Agroalimentaire Canada</t>
        </is>
      </c>
    </row>
    <row r="1497">
      <c r="A1497" t="inlineStr">
        <is>
          <t>T-2019-P12-0025</t>
        </is>
      </c>
      <c r="B1497" t="inlineStr">
        <is>
          <t>SLE</t>
        </is>
      </c>
      <c r="C1497" t="inlineStr">
        <is>
          <t>Deputy Minister</t>
        </is>
      </c>
      <c r="D1497" t="inlineStr">
        <is>
          <t>Sous-ministre</t>
        </is>
      </c>
      <c r="E1497" t="inlineStr">
        <is>
          <t>Chris Forbes</t>
        </is>
      </c>
      <c r="F1497" t="inlineStr">
        <is>
          <t>Attended an outreach and various meetings with stakeholders.</t>
        </is>
      </c>
      <c r="G1497" t="inlineStr">
        <is>
          <t xml:space="preserve">
Participer à une activité de sensibilisation et à diverses réunions avec des intervenants.</t>
        </is>
      </c>
      <c r="H1497" s="1" t="n">
        <v>43866</v>
      </c>
      <c r="I1497" s="1" t="n">
        <v>43869</v>
      </c>
      <c r="J1497" t="inlineStr">
        <is>
          <t>Edmonton (Alberta) Canada</t>
        </is>
      </c>
      <c r="K1497" t="inlineStr">
        <is>
          <t>Edmonton (Alberta) Canada</t>
        </is>
      </c>
      <c r="P1497" t="n">
        <v>1345.64</v>
      </c>
      <c r="Q1497" t="n">
        <v>90.08</v>
      </c>
      <c r="R1497" t="n">
        <v>446.84</v>
      </c>
      <c r="S1497" t="n">
        <v>141.8</v>
      </c>
      <c r="T1497" t="n">
        <v>0</v>
      </c>
      <c r="U1497" t="n">
        <v>2024.36</v>
      </c>
      <c r="X1497" t="inlineStr">
        <is>
          <t>aafc-aac</t>
        </is>
      </c>
      <c r="Y1497" t="inlineStr">
        <is>
          <t>Agriculture and Agri-Food Canada | Agriculture et Agroalimentaire Canada</t>
        </is>
      </c>
    </row>
    <row r="1498">
      <c r="A1498" t="inlineStr">
        <is>
          <t>T-2019-P12-0026</t>
        </is>
      </c>
      <c r="B1498" t="inlineStr">
        <is>
          <t>SLE</t>
        </is>
      </c>
      <c r="C1498" t="inlineStr">
        <is>
          <t>Deputy Minister</t>
        </is>
      </c>
      <c r="D1498" t="inlineStr">
        <is>
          <t>Sous-ministre</t>
        </is>
      </c>
      <c r="E1498" t="inlineStr">
        <is>
          <t>Chris Forbes</t>
        </is>
      </c>
      <c r="F1498" t="inlineStr">
        <is>
          <t>Attended the Federal, Provincial and Territorial Deputy Ministers of Agriculture Policy Retreat.</t>
        </is>
      </c>
      <c r="G1498" t="inlineStr">
        <is>
          <t>Participer à la séance de réflexion stratégique des sous-ministres fédéraux, provinciaux et territoriaux de l'Agriculture.</t>
        </is>
      </c>
      <c r="H1498" s="1" t="n">
        <v>43872</v>
      </c>
      <c r="I1498" s="1" t="n">
        <v>43873</v>
      </c>
      <c r="J1498" t="inlineStr">
        <is>
          <t>Toronto (Ontario) Canada</t>
        </is>
      </c>
      <c r="K1498" t="inlineStr">
        <is>
          <t>Toronto (Ontario) Canada</t>
        </is>
      </c>
      <c r="P1498" t="n">
        <v>407.08</v>
      </c>
      <c r="Q1498" t="n">
        <v>57.81</v>
      </c>
      <c r="R1498" t="n">
        <v>163.35</v>
      </c>
      <c r="S1498" t="n">
        <v>0</v>
      </c>
      <c r="T1498" t="n">
        <v>0</v>
      </c>
      <c r="U1498" t="n">
        <v>628.24</v>
      </c>
      <c r="X1498" t="inlineStr">
        <is>
          <t>aafc-aac</t>
        </is>
      </c>
      <c r="Y1498" t="inlineStr">
        <is>
          <t>Agriculture and Agri-Food Canada | Agriculture et Agroalimentaire Canada</t>
        </is>
      </c>
    </row>
    <row r="1499">
      <c r="A1499" t="inlineStr">
        <is>
          <t>T-2019-P12-0027</t>
        </is>
      </c>
      <c r="B1499" t="inlineStr">
        <is>
          <t>SLE</t>
        </is>
      </c>
      <c r="C1499" t="inlineStr">
        <is>
          <t>Workplace Well-Being Ombudsperson</t>
        </is>
      </c>
      <c r="D1499" t="inlineStr">
        <is>
          <t>Ombudsman du mieux-être en milieu de travail</t>
        </is>
      </c>
      <c r="E1499" t="inlineStr">
        <is>
          <t>Jane Taylor</t>
        </is>
      </c>
      <c r="F1499" t="inlineStr">
        <is>
          <t>Outreach visit</t>
        </is>
      </c>
      <c r="G1499" t="inlineStr">
        <is>
          <t>Visite de sensibilisation</t>
        </is>
      </c>
      <c r="H1499" s="1" t="n">
        <v>43872</v>
      </c>
      <c r="I1499" s="1" t="n">
        <v>43883</v>
      </c>
      <c r="J1499" t="inlineStr">
        <is>
          <t>Lethbridge (Alberta) Canada; Lacombe (Alberta) Canada</t>
        </is>
      </c>
      <c r="K1499" t="inlineStr">
        <is>
          <t>Lethbridge (Alberta) Canada; Lacombe (Alberta) Canada</t>
        </is>
      </c>
      <c r="P1499" t="n">
        <v>829.5599999999999</v>
      </c>
      <c r="Q1499" t="n">
        <v>636.23</v>
      </c>
      <c r="R1499" t="n">
        <v>509.88</v>
      </c>
      <c r="S1499" t="n">
        <v>412.05</v>
      </c>
      <c r="T1499" t="n">
        <v>0</v>
      </c>
      <c r="U1499" t="n">
        <v>2387.72</v>
      </c>
      <c r="X1499" t="inlineStr">
        <is>
          <t>aafc-aac</t>
        </is>
      </c>
      <c r="Y1499" t="inlineStr">
        <is>
          <t>Agriculture and Agri-Food Canada | Agriculture et Agroalimentaire Canada</t>
        </is>
      </c>
    </row>
    <row r="1500">
      <c r="A1500" t="inlineStr">
        <is>
          <t>T-2019-P12-0028</t>
        </is>
      </c>
      <c r="B1500" t="inlineStr">
        <is>
          <t>SLE</t>
        </is>
      </c>
      <c r="C1500" t="inlineStr">
        <is>
          <t>Workplace Well-Being Ombudsperson</t>
        </is>
      </c>
      <c r="D1500" t="inlineStr">
        <is>
          <t>Ombudsman du mieux-être en milieu de travail</t>
        </is>
      </c>
      <c r="E1500" t="inlineStr">
        <is>
          <t>Jane Taylor</t>
        </is>
      </c>
      <c r="F1500" t="inlineStr">
        <is>
          <t>Outreach visit</t>
        </is>
      </c>
      <c r="G1500" t="inlineStr">
        <is>
          <t>Visite de sensibilisation</t>
        </is>
      </c>
      <c r="H1500" s="1" t="n">
        <v>43796</v>
      </c>
      <c r="I1500" s="1" t="n">
        <v>43798</v>
      </c>
      <c r="J1500" t="inlineStr">
        <is>
          <t xml:space="preserve">Guelph (Ontario) Canada; Vineland (Ontario) Canada </t>
        </is>
      </c>
      <c r="K1500" t="inlineStr">
        <is>
          <t xml:space="preserve">Guelph (Ontario) Canada; Vineland (Ontario) Canada </t>
        </is>
      </c>
      <c r="P1500" t="n">
        <v>0</v>
      </c>
      <c r="Q1500" t="n">
        <v>42.27</v>
      </c>
      <c r="R1500" t="n">
        <v>0</v>
      </c>
      <c r="S1500" t="n">
        <v>0</v>
      </c>
      <c r="T1500" t="n">
        <v>0</v>
      </c>
      <c r="U1500" t="n">
        <v>42.27</v>
      </c>
      <c r="V1500" t="inlineStr">
        <is>
          <t>Toll fee related to T-2019-P9-0016</t>
        </is>
      </c>
      <c r="W1500" t="inlineStr">
        <is>
          <t>Péage lié  au T-2019-P9-0016</t>
        </is>
      </c>
      <c r="X1500" t="inlineStr">
        <is>
          <t>aafc-aac</t>
        </is>
      </c>
      <c r="Y1500" t="inlineStr">
        <is>
          <t>Agriculture and Agri-Food Canada | Agriculture et Agroalimentaire Canada</t>
        </is>
      </c>
    </row>
    <row r="1501">
      <c r="A1501" t="inlineStr">
        <is>
          <t>T-2019-P12-0029</t>
        </is>
      </c>
      <c r="B1501" t="inlineStr">
        <is>
          <t>SLE</t>
        </is>
      </c>
      <c r="C1501" t="inlineStr">
        <is>
          <t>Assistant Deputy Minister, International Affairs Branch</t>
        </is>
      </c>
      <c r="D1501" t="inlineStr">
        <is>
          <t>Sous-ministre adjoint, Direction générale des affaires internationales</t>
        </is>
      </c>
      <c r="E1501" t="inlineStr">
        <is>
          <t>Fred Gorrell</t>
        </is>
      </c>
      <c r="F1501" t="inlineStr">
        <is>
          <t>Met with industry and regulatory agencies in Indonesia and participated in Soy-Canada outreach in Malaysia. On his return to Canada, stopped in Vancouver to deliver a presentation at the Canadian Crop Convention.</t>
        </is>
      </c>
      <c r="G1501" t="inlineStr">
        <is>
          <t>Rencontre avec l'industrie et les organismes de réglementation en Indonésie et participation à l'activité de sensibilisation de Soy Canada en Malaisie. Au retour au Canada, arrêt à Vancouver pour faire une présentation à la Canadian Crops Convention.</t>
        </is>
      </c>
      <c r="H1501" s="1" t="n">
        <v>43883</v>
      </c>
      <c r="I1501" s="1" t="n">
        <v>43895</v>
      </c>
      <c r="J1501" t="inlineStr">
        <is>
          <t>Jakarta, Indonesisa; Kuala Lumpur, Malaysia; Vancouver (British Columbia) Canada</t>
        </is>
      </c>
      <c r="K1501" t="inlineStr">
        <is>
          <t>Jakarta, Indonésie; Kuala Lumpur, Malaisie; Vancouver (Colombie-Britannique) Canada</t>
        </is>
      </c>
      <c r="P1501" t="n">
        <v>12740.32</v>
      </c>
      <c r="Q1501" t="n">
        <v>296.04</v>
      </c>
      <c r="R1501" t="n">
        <v>2721.46</v>
      </c>
      <c r="S1501" t="n">
        <v>1276.91</v>
      </c>
      <c r="T1501" t="n">
        <v>0</v>
      </c>
      <c r="U1501" t="n">
        <v>17034.73</v>
      </c>
      <c r="X1501" t="inlineStr">
        <is>
          <t>aafc-aac</t>
        </is>
      </c>
      <c r="Y1501" t="inlineStr">
        <is>
          <t>Agriculture and Agri-Food Canada | Agriculture et Agroalimentaire Canada</t>
        </is>
      </c>
    </row>
    <row r="1502">
      <c r="A1502" t="inlineStr">
        <is>
          <t>T-2019-P12-0030</t>
        </is>
      </c>
      <c r="B1502" t="inlineStr">
        <is>
          <t>SLE</t>
        </is>
      </c>
      <c r="C1502" t="inlineStr">
        <is>
          <t>Assistant Deputy Minister, Market and Industry Services Branch</t>
        </is>
      </c>
      <c r="D1502" t="inlineStr">
        <is>
          <t>Sous-ministre adjoint, Direction générale des services à l'industrie et aux marchés</t>
        </is>
      </c>
      <c r="E1502" t="inlineStr">
        <is>
          <t>Frédéric Seppey</t>
        </is>
      </c>
      <c r="F1502" t="inlineStr">
        <is>
          <t>Attended the Federal, Provincial and Territorial Deputy Ministers of Agriculture Policy Retreat.</t>
        </is>
      </c>
      <c r="G1502" t="inlineStr">
        <is>
          <t>Participer à la séance de réflexion stratégique des sous-ministres fédéraux, provinciaux et territoriaux de l'Agriculture.</t>
        </is>
      </c>
      <c r="H1502" s="1" t="n">
        <v>43872</v>
      </c>
      <c r="I1502" s="1" t="n">
        <v>43873</v>
      </c>
      <c r="J1502" t="inlineStr">
        <is>
          <t>Toronto (Ontario) Canada</t>
        </is>
      </c>
      <c r="K1502" t="inlineStr">
        <is>
          <t>Toronto (Ontario) Canada</t>
        </is>
      </c>
      <c r="P1502" t="n">
        <v>760.21</v>
      </c>
      <c r="Q1502" t="n">
        <v>105.76</v>
      </c>
      <c r="R1502" t="n">
        <v>139.85</v>
      </c>
      <c r="S1502" t="n">
        <v>105.5</v>
      </c>
      <c r="T1502" t="n">
        <v>0</v>
      </c>
      <c r="U1502" t="n">
        <v>1111.32</v>
      </c>
      <c r="X1502" t="inlineStr">
        <is>
          <t>aafc-aac</t>
        </is>
      </c>
      <c r="Y1502" t="inlineStr">
        <is>
          <t>Agriculture and Agri-Food Canada | Agriculture et Agroalimentaire Canada</t>
        </is>
      </c>
    </row>
    <row r="1503">
      <c r="A1503" t="inlineStr">
        <is>
          <t>T-2019-P12-0031</t>
        </is>
      </c>
      <c r="B1503" t="inlineStr">
        <is>
          <t>SLE</t>
        </is>
      </c>
      <c r="C1503" t="inlineStr">
        <is>
          <t>Assistant Deputy Minister, Market and Industry Services Branch</t>
        </is>
      </c>
      <c r="D1503" t="inlineStr">
        <is>
          <t>Sous-ministre adjoint, Direction générale des services à l'industrie et aux marchés</t>
        </is>
      </c>
      <c r="E1503" t="inlineStr">
        <is>
          <t>Frédéric Seppey</t>
        </is>
      </c>
      <c r="F1503" t="inlineStr">
        <is>
          <t>Attended a study tour as part of the curriculum of the Executive Leadership Development Program. Also supported the Minister during her visit to Washington.</t>
        </is>
      </c>
      <c r="G1503" t="inlineStr">
        <is>
          <t>Participer à une visite pédagogique dans le cadre du Programme de développement en leadership pour les cadres supérieurs. Appuyer aussi la ministre lors de sa visite à Washington.</t>
        </is>
      </c>
      <c r="H1503" s="1" t="n">
        <v>43878</v>
      </c>
      <c r="I1503" s="1" t="n">
        <v>43883</v>
      </c>
      <c r="J1503" t="inlineStr">
        <is>
          <t>Washington (District of Columbia) United States</t>
        </is>
      </c>
      <c r="K1503" t="inlineStr">
        <is>
          <t>Washington (district de Columbia) États-Unis</t>
        </is>
      </c>
      <c r="P1503" t="n">
        <v>1222.64</v>
      </c>
      <c r="Q1503" t="n">
        <v>185.96</v>
      </c>
      <c r="R1503" t="n">
        <v>1403.16</v>
      </c>
      <c r="S1503" t="n">
        <v>387.95</v>
      </c>
      <c r="T1503" t="n">
        <v>0</v>
      </c>
      <c r="U1503" t="n">
        <v>3199.71</v>
      </c>
      <c r="X1503" t="inlineStr">
        <is>
          <t>aafc-aac</t>
        </is>
      </c>
      <c r="Y1503" t="inlineStr">
        <is>
          <t>Agriculture and Agri-Food Canada | Agriculture et Agroalimentaire Canada</t>
        </is>
      </c>
    </row>
    <row r="1504">
      <c r="A1504" t="inlineStr">
        <is>
          <t>T-2019-P12-0032</t>
        </is>
      </c>
      <c r="B1504" t="inlineStr">
        <is>
          <t>SLE</t>
        </is>
      </c>
      <c r="C1504" t="inlineStr">
        <is>
          <t>Assistant Deputy Minister, Science and Technology Branch</t>
        </is>
      </c>
      <c r="D1504" t="inlineStr">
        <is>
          <t>Sous-ministre adjoint, Direction générale des sciences et de la technologie</t>
        </is>
      </c>
      <c r="E1504" t="inlineStr">
        <is>
          <t>Gilles Saindon</t>
        </is>
      </c>
      <c r="F1504" t="inlineStr">
        <is>
          <t>Attended the ninth Meeting of the G20 Agricultural Chief Scientists.</t>
        </is>
      </c>
      <c r="G1504" t="inlineStr">
        <is>
          <t>Participer à la neuvième réunion des scientifiques en chef de l'agriculture du G20 .</t>
        </is>
      </c>
      <c r="H1504" s="1" t="n">
        <v>43875</v>
      </c>
      <c r="I1504" s="1" t="n">
        <v>43881</v>
      </c>
      <c r="J1504" t="inlineStr">
        <is>
          <t>Al Khobar, Saudi Arabia</t>
        </is>
      </c>
      <c r="K1504" t="inlineStr">
        <is>
          <t>Al Khobar, Arabie saoudite</t>
        </is>
      </c>
      <c r="P1504" t="n">
        <v>3282.92</v>
      </c>
      <c r="Q1504" t="n">
        <v>149.25</v>
      </c>
      <c r="R1504" t="n">
        <v>934.5700000000001</v>
      </c>
      <c r="S1504" t="n">
        <v>666.51</v>
      </c>
      <c r="T1504" t="n">
        <v>0</v>
      </c>
      <c r="U1504" t="n">
        <v>5033.25</v>
      </c>
      <c r="X1504" t="inlineStr">
        <is>
          <t>aafc-aac</t>
        </is>
      </c>
      <c r="Y1504" t="inlineStr">
        <is>
          <t>Agriculture and Agri-Food Canada | Agriculture et Agroalimentaire Canada</t>
        </is>
      </c>
    </row>
    <row r="1505">
      <c r="A1505" t="inlineStr">
        <is>
          <t>T-2019-P12-0033</t>
        </is>
      </c>
      <c r="B1505" t="inlineStr">
        <is>
          <t>SLE</t>
        </is>
      </c>
      <c r="C1505" t="inlineStr">
        <is>
          <t>Acting Associate Assistant Deputy Minister, Science and Technology Branch</t>
        </is>
      </c>
      <c r="D1505" t="inlineStr">
        <is>
          <t>Sous-ministre adjoint délégué par intérim, Direction générale des sciences et de la technologie</t>
        </is>
      </c>
      <c r="E1505" t="inlineStr">
        <is>
          <t>Liz Foster</t>
        </is>
      </c>
      <c r="F1505" t="inlineStr">
        <is>
          <t>Outreach to the Research and Development Centre, All-Staff meeting and meeting with Provincial Counterparts.</t>
        </is>
      </c>
      <c r="G1505" t="inlineStr">
        <is>
          <t>Visite au Centre de recherche et de développement, réunion de l'ensemble du personnel et réunion avec les homologues provinciaux.</t>
        </is>
      </c>
      <c r="H1505" s="1" t="n">
        <v>43900</v>
      </c>
      <c r="I1505" s="1" t="n">
        <v>43903</v>
      </c>
      <c r="J1505" t="inlineStr">
        <is>
          <t>Agassiz (British Columbia) Canada; Vancouver (British Columbia) Canada</t>
        </is>
      </c>
      <c r="K1505" t="inlineStr">
        <is>
          <t>Agassiz (Colombie-Britannique) Canada; Vancouver (Colombie-Britannique) Canada</t>
        </is>
      </c>
      <c r="P1505" t="n">
        <v>1669.6</v>
      </c>
      <c r="Q1505" t="n">
        <v>125.34</v>
      </c>
      <c r="R1505" t="n">
        <v>545.16</v>
      </c>
      <c r="S1505" t="n">
        <v>343.7</v>
      </c>
      <c r="U1505" t="n">
        <v>2683.8</v>
      </c>
      <c r="X1505" t="inlineStr">
        <is>
          <t>aafc-aac</t>
        </is>
      </c>
      <c r="Y1505" t="inlineStr">
        <is>
          <t>Agriculture and Agri-Food Canada | Agriculture et Agroalimentaire Canada</t>
        </is>
      </c>
    </row>
    <row r="1506">
      <c r="A1506" t="inlineStr">
        <is>
          <t>T-2019-P12-0034</t>
        </is>
      </c>
      <c r="B1506" t="inlineStr">
        <is>
          <t>SLE</t>
        </is>
      </c>
      <c r="C1506" t="inlineStr">
        <is>
          <t>Assistant Deputy Minister, Public Affairs Branch</t>
        </is>
      </c>
      <c r="D1506" t="inlineStr">
        <is>
          <t>Sous-ministre adjoint, Direction générale des affaires publiques</t>
        </is>
      </c>
      <c r="E1506" t="inlineStr">
        <is>
          <t>Mary Dila</t>
        </is>
      </c>
      <c r="F1506" t="inlineStr">
        <is>
          <t>Attended meeting with Communications Community Office and outreach visit</t>
        </is>
      </c>
      <c r="G1506" t="inlineStr">
        <is>
          <t>Réunion avec le Bureau de la collectivité des communications et visite de sensibilisation</t>
        </is>
      </c>
      <c r="H1506" s="1" t="n">
        <v>43874</v>
      </c>
      <c r="I1506" s="1" t="n">
        <v>43875</v>
      </c>
      <c r="J1506" t="inlineStr">
        <is>
          <t>Montreal (Quebec) Canada</t>
        </is>
      </c>
      <c r="K1506" t="inlineStr">
        <is>
          <t>Montréal (Québec) Canada</t>
        </is>
      </c>
      <c r="P1506" t="n">
        <v>0</v>
      </c>
      <c r="Q1506" t="n">
        <v>163.06</v>
      </c>
      <c r="R1506" t="n">
        <v>220.15</v>
      </c>
      <c r="S1506" t="n">
        <v>217.6</v>
      </c>
      <c r="T1506" t="n">
        <v>0</v>
      </c>
      <c r="U1506" t="n">
        <v>600.8099999999999</v>
      </c>
      <c r="X1506" t="inlineStr">
        <is>
          <t>aafc-aac</t>
        </is>
      </c>
      <c r="Y1506" t="inlineStr">
        <is>
          <t>Agriculture and Agri-Food Canada | Agriculture et Agroalimentaire Canada</t>
        </is>
      </c>
    </row>
    <row r="1507">
      <c r="A1507" t="inlineStr">
        <is>
          <t>T-2019-P12-0035</t>
        </is>
      </c>
      <c r="B1507" t="inlineStr">
        <is>
          <t>SLE</t>
        </is>
      </c>
      <c r="C1507" t="inlineStr">
        <is>
          <t>Chief Information Officer, Information Systems Branch</t>
        </is>
      </c>
      <c r="D1507" t="inlineStr">
        <is>
          <t>Dirigeant principal de l'information, Direction générale des systèmes d'information</t>
        </is>
      </c>
      <c r="E1507" t="inlineStr">
        <is>
          <t>Michel Lessard</t>
        </is>
      </c>
      <c r="F1507" t="inlineStr">
        <is>
          <t xml:space="preserve">Attended meetings with the Government of Canada Chief Information Officer and his council.  </t>
        </is>
      </c>
      <c r="G1507" t="inlineStr">
        <is>
          <t xml:space="preserve">Participer aux réunions avec le dirigeant principal de l'information du gouvernement du Canada et son conseil.  </t>
        </is>
      </c>
      <c r="H1507" s="1" t="n">
        <v>43864</v>
      </c>
      <c r="I1507" s="1" t="n">
        <v>43867</v>
      </c>
      <c r="J1507" t="inlineStr">
        <is>
          <t>Toronto (Ontario) Canada</t>
        </is>
      </c>
      <c r="K1507" t="inlineStr">
        <is>
          <t>Toronto (Ontario) Canada</t>
        </is>
      </c>
      <c r="P1507" t="n">
        <v>546.45</v>
      </c>
      <c r="Q1507" t="n">
        <v>268.02</v>
      </c>
      <c r="R1507" t="n">
        <v>567.22</v>
      </c>
      <c r="S1507" t="n">
        <v>156.4</v>
      </c>
      <c r="U1507" t="n">
        <v>1538.09</v>
      </c>
      <c r="X1507" t="inlineStr">
        <is>
          <t>aafc-aac</t>
        </is>
      </c>
      <c r="Y1507" t="inlineStr">
        <is>
          <t>Agriculture and Agri-Food Canada | Agriculture et Agroalimentaire Canada</t>
        </is>
      </c>
    </row>
    <row r="1508">
      <c r="A1508" t="inlineStr">
        <is>
          <t>T-2019-P12-0036</t>
        </is>
      </c>
      <c r="B1508" t="inlineStr">
        <is>
          <t>SLE</t>
        </is>
      </c>
      <c r="C1508" t="inlineStr">
        <is>
          <t>Assistant Deputy Minister, Strategic Policy Branch</t>
        </is>
      </c>
      <c r="D1508" t="inlineStr">
        <is>
          <t>Sous-ministre adjoint, Direction générale des politiques stratégiques</t>
        </is>
      </c>
      <c r="E1508" t="inlineStr">
        <is>
          <t>Tom Rosser</t>
        </is>
      </c>
      <c r="F1508" t="inlineStr">
        <is>
          <t>Attended the Federal, Provincial and Territorial Deputy Ministers of Agriculture Policy Retreat.</t>
        </is>
      </c>
      <c r="G1508" t="inlineStr">
        <is>
          <t>Participer à la séance de réflexion stratégique des sous-ministres fédéraux, provinciaux et territoriaux de l'Agriculture.</t>
        </is>
      </c>
      <c r="H1508" s="1" t="n">
        <v>43872</v>
      </c>
      <c r="I1508" s="1" t="n">
        <v>43873</v>
      </c>
      <c r="J1508" t="inlineStr">
        <is>
          <t>Toronto (Ontario) Canada</t>
        </is>
      </c>
      <c r="K1508" t="inlineStr">
        <is>
          <t>Toronto (Ontario) Canada</t>
        </is>
      </c>
      <c r="P1508" t="n">
        <v>856.4299999999999</v>
      </c>
      <c r="Q1508" t="n">
        <v>85</v>
      </c>
      <c r="R1508" t="n">
        <v>163.35</v>
      </c>
      <c r="S1508" t="n">
        <v>105.5</v>
      </c>
      <c r="T1508" t="n">
        <v>0</v>
      </c>
      <c r="U1508" t="n">
        <v>1210.28</v>
      </c>
      <c r="X1508" t="inlineStr">
        <is>
          <t>aafc-aac</t>
        </is>
      </c>
      <c r="Y1508" t="inlineStr">
        <is>
          <t>Agriculture and Agri-Food Canada | Agriculture et Agroalimentaire Canada</t>
        </is>
      </c>
    </row>
    <row r="1509">
      <c r="A1509" t="inlineStr">
        <is>
          <t>T-2019-P12-0037</t>
        </is>
      </c>
      <c r="B1509" t="inlineStr">
        <is>
          <t>SLE</t>
        </is>
      </c>
      <c r="C1509" t="inlineStr">
        <is>
          <t>Assistant Deputy Minister, Strategic Policy Branch</t>
        </is>
      </c>
      <c r="D1509" t="inlineStr">
        <is>
          <t>Sous-ministre adjoint, Direction générale des politiques stratégiques</t>
        </is>
      </c>
      <c r="E1509" t="inlineStr">
        <is>
          <t>Tom Rosser</t>
        </is>
      </c>
      <c r="F1509" t="inlineStr">
        <is>
          <t>Attended a meeting of the Crop Logistics Working Group.</t>
        </is>
      </c>
      <c r="G1509" t="inlineStr">
        <is>
          <t>Participer à une réunion du Groupe de travail sur la logistique du transport des récoltes.</t>
        </is>
      </c>
      <c r="H1509" s="1" t="n">
        <v>43884</v>
      </c>
      <c r="I1509" s="1" t="n">
        <v>43886</v>
      </c>
      <c r="J1509" t="inlineStr">
        <is>
          <t>Winnipeg (Manitoba) Canada</t>
        </is>
      </c>
      <c r="K1509" t="inlineStr">
        <is>
          <t>Winnipeg (Manitoba) Canada</t>
        </is>
      </c>
      <c r="P1509" t="n">
        <v>1608.65</v>
      </c>
      <c r="Q1509" t="n">
        <v>153</v>
      </c>
      <c r="R1509" t="n">
        <v>279.06</v>
      </c>
      <c r="S1509" t="n">
        <v>264.85</v>
      </c>
      <c r="T1509" t="n">
        <v>0</v>
      </c>
      <c r="U1509" t="n">
        <v>2305.56</v>
      </c>
      <c r="X1509" t="inlineStr">
        <is>
          <t>aafc-aac</t>
        </is>
      </c>
      <c r="Y1509" t="inlineStr">
        <is>
          <t>Agriculture and Agri-Food Canada | Agriculture et Agroalimentaire Canada</t>
        </is>
      </c>
    </row>
    <row r="1510">
      <c r="A1510" t="inlineStr">
        <is>
          <t>T-2020-P1-0001</t>
        </is>
      </c>
      <c r="B1510" t="inlineStr">
        <is>
          <t>MPSES</t>
        </is>
      </c>
      <c r="C1510" t="inlineStr">
        <is>
          <t>Driver</t>
        </is>
      </c>
      <c r="D1510" t="inlineStr">
        <is>
          <t>Chauffeur</t>
        </is>
      </c>
      <c r="E1510" t="inlineStr">
        <is>
          <t>Michel Gendreau</t>
        </is>
      </c>
      <c r="F1510" t="inlineStr">
        <is>
          <t>Drove the Minister to her riding from Ottawa</t>
        </is>
      </c>
      <c r="G1510" t="inlineStr">
        <is>
          <t>Conduire la ministre d'Ottawa jusqu'à sa circonscription.</t>
        </is>
      </c>
      <c r="H1510" s="1" t="n">
        <v>43902</v>
      </c>
      <c r="I1510" s="1" t="n">
        <v>43902</v>
      </c>
      <c r="J1510" t="inlineStr">
        <is>
          <t>Sherbrooke (Quebec) Canada</t>
        </is>
      </c>
      <c r="K1510" t="inlineStr">
        <is>
          <t>Sherbrooke (Québec) Canada</t>
        </is>
      </c>
      <c r="P1510" t="n">
        <v>0</v>
      </c>
      <c r="Q1510" t="n">
        <v>6.4</v>
      </c>
      <c r="R1510" t="n">
        <v>0</v>
      </c>
      <c r="S1510" t="n">
        <v>50.55</v>
      </c>
      <c r="T1510" t="n">
        <v>0</v>
      </c>
      <c r="U1510" t="n">
        <v>56.95</v>
      </c>
      <c r="X1510" t="inlineStr">
        <is>
          <t>aafc-aac</t>
        </is>
      </c>
      <c r="Y1510" t="inlineStr">
        <is>
          <t>Agriculture and Agri-Food Canada | Agriculture et Agroalimentaire Canada</t>
        </is>
      </c>
    </row>
    <row r="1511">
      <c r="A1511" t="inlineStr">
        <is>
          <t>T-2020-P1-0002</t>
        </is>
      </c>
      <c r="B1511" t="inlineStr">
        <is>
          <t>MPSES</t>
        </is>
      </c>
      <c r="C1511" t="inlineStr">
        <is>
          <t>Driver</t>
        </is>
      </c>
      <c r="D1511" t="inlineStr">
        <is>
          <t>Chauffeur</t>
        </is>
      </c>
      <c r="E1511" t="inlineStr">
        <is>
          <t>Michel Gendreau</t>
        </is>
      </c>
      <c r="F1511" t="inlineStr">
        <is>
          <t>Drove the Minister from her riding to Ottawa</t>
        </is>
      </c>
      <c r="G1511" t="inlineStr">
        <is>
          <t>Conduire la Ministre de sa circonscription jusqu'à Ottawa.</t>
        </is>
      </c>
      <c r="H1511" s="1" t="n">
        <v>43908</v>
      </c>
      <c r="I1511" s="1" t="n">
        <v>43908</v>
      </c>
      <c r="J1511" t="inlineStr">
        <is>
          <t>Sherbrooke (Quebec) Canada</t>
        </is>
      </c>
      <c r="K1511" t="inlineStr">
        <is>
          <t>Sherbrooke (Québec) Canada</t>
        </is>
      </c>
      <c r="P1511" t="n">
        <v>0</v>
      </c>
      <c r="Q1511" t="n">
        <v>6.4</v>
      </c>
      <c r="R1511" t="n">
        <v>0</v>
      </c>
      <c r="S1511" t="n">
        <v>71.15000000000001</v>
      </c>
      <c r="T1511" t="n">
        <v>0</v>
      </c>
      <c r="U1511" t="n">
        <v>77.55</v>
      </c>
      <c r="X1511" t="inlineStr">
        <is>
          <t>aafc-aac</t>
        </is>
      </c>
      <c r="Y1511" t="inlineStr">
        <is>
          <t>Agriculture and Agri-Food Canada | Agriculture et Agroalimentaire Canada</t>
        </is>
      </c>
    </row>
    <row r="1512">
      <c r="A1512" t="inlineStr">
        <is>
          <t>T-2020-P1-0003</t>
        </is>
      </c>
      <c r="B1512" t="inlineStr">
        <is>
          <t>MPSES</t>
        </is>
      </c>
      <c r="C1512" t="inlineStr">
        <is>
          <t>Driver</t>
        </is>
      </c>
      <c r="D1512" t="inlineStr">
        <is>
          <t>Chauffeur</t>
        </is>
      </c>
      <c r="E1512" t="inlineStr">
        <is>
          <t>Michel Gendreau</t>
        </is>
      </c>
      <c r="F1512" t="inlineStr">
        <is>
          <t>Drove the Minister from her riding to Ottawa</t>
        </is>
      </c>
      <c r="G1512" t="inlineStr">
        <is>
          <t>Conduire la Ministre de sa circonscription jusqu'à Ottawa.</t>
        </is>
      </c>
      <c r="H1512" s="1" t="n">
        <v>43910</v>
      </c>
      <c r="I1512" s="1" t="n">
        <v>43910</v>
      </c>
      <c r="J1512" t="inlineStr">
        <is>
          <t>Sherbrooke (Quebec) Canada</t>
        </is>
      </c>
      <c r="K1512" t="inlineStr">
        <is>
          <t>Sherbrooke (Québec) Canada</t>
        </is>
      </c>
      <c r="P1512" t="n">
        <v>0</v>
      </c>
      <c r="Q1512" t="n">
        <v>6.4</v>
      </c>
      <c r="R1512" t="n">
        <v>0</v>
      </c>
      <c r="S1512" t="n">
        <v>20.35</v>
      </c>
      <c r="T1512" t="n">
        <v>0</v>
      </c>
      <c r="U1512" t="n">
        <v>26.75</v>
      </c>
      <c r="X1512" t="inlineStr">
        <is>
          <t>aafc-aac</t>
        </is>
      </c>
      <c r="Y1512" t="inlineStr">
        <is>
          <t>Agriculture and Agri-Food Canada | Agriculture et Agroalimentaire Canada</t>
        </is>
      </c>
    </row>
    <row r="1513">
      <c r="A1513" t="inlineStr">
        <is>
          <t>T-2020-P1-0004</t>
        </is>
      </c>
      <c r="B1513" t="inlineStr">
        <is>
          <t>MPSES</t>
        </is>
      </c>
      <c r="C1513" t="inlineStr">
        <is>
          <t>Driver</t>
        </is>
      </c>
      <c r="D1513" t="inlineStr">
        <is>
          <t>Chauffeur</t>
        </is>
      </c>
      <c r="E1513" t="inlineStr">
        <is>
          <t>Michel Gendreau</t>
        </is>
      </c>
      <c r="F1513" t="inlineStr">
        <is>
          <t>Drove the Minister to her riding from Ottawa</t>
        </is>
      </c>
      <c r="G1513" t="inlineStr">
        <is>
          <t>Conduire la ministre d'Ottawa jusqu'à sa circonscription.</t>
        </is>
      </c>
      <c r="H1513" s="1" t="n">
        <v>43913</v>
      </c>
      <c r="I1513" s="1" t="n">
        <v>43913</v>
      </c>
      <c r="J1513" t="inlineStr">
        <is>
          <t>Sherbrooke (Quebec) Canada</t>
        </is>
      </c>
      <c r="K1513" t="inlineStr">
        <is>
          <t>Sherbrooke (Québec) Canada</t>
        </is>
      </c>
      <c r="P1513" t="n">
        <v>0</v>
      </c>
      <c r="Q1513" t="n">
        <v>6.4</v>
      </c>
      <c r="R1513" t="n">
        <v>0</v>
      </c>
      <c r="S1513" t="n">
        <v>50.55</v>
      </c>
      <c r="T1513" t="n">
        <v>0</v>
      </c>
      <c r="U1513" t="n">
        <v>56.95</v>
      </c>
      <c r="X1513" t="inlineStr">
        <is>
          <t>aafc-aac</t>
        </is>
      </c>
      <c r="Y1513" t="inlineStr">
        <is>
          <t>Agriculture and Agri-Food Canada | Agriculture et Agroalimentaire Canada</t>
        </is>
      </c>
    </row>
    <row r="1514">
      <c r="A1514" t="inlineStr">
        <is>
          <t>T-2020-P1-0005</t>
        </is>
      </c>
      <c r="B1514" t="inlineStr">
        <is>
          <t>SLE</t>
        </is>
      </c>
      <c r="C1514" t="inlineStr">
        <is>
          <t>Assistant Deputy Minister, Corporate Management Branch</t>
        </is>
      </c>
      <c r="D1514" t="inlineStr">
        <is>
          <t>Sous-ministre adjoint, Direction générale de la gestion intégrée</t>
        </is>
      </c>
      <c r="E1514" t="inlineStr">
        <is>
          <t>Christine Walker</t>
        </is>
      </c>
      <c r="F1514" t="inlineStr">
        <is>
          <t>Attended the Diversity Award ceremony.</t>
        </is>
      </c>
      <c r="G1514" t="inlineStr">
        <is>
          <t>Participer à ceremonie de remise de prix.</t>
        </is>
      </c>
      <c r="H1514" s="1" t="n">
        <v>43895</v>
      </c>
      <c r="I1514" s="1" t="n">
        <v>43896</v>
      </c>
      <c r="J1514" t="inlineStr">
        <is>
          <t>Toronto (Ontario) Canada</t>
        </is>
      </c>
      <c r="K1514" t="inlineStr">
        <is>
          <t>Toronto (Ontario) Canada</t>
        </is>
      </c>
      <c r="P1514" t="n">
        <v>958.83</v>
      </c>
      <c r="Q1514" t="n">
        <v>123.34</v>
      </c>
      <c r="R1514" t="n">
        <v>234.46</v>
      </c>
      <c r="S1514" t="n">
        <v>88.2</v>
      </c>
      <c r="T1514" t="n">
        <v>0</v>
      </c>
      <c r="U1514" t="n">
        <v>1404.83</v>
      </c>
      <c r="X1514" t="inlineStr">
        <is>
          <t>aafc-aac</t>
        </is>
      </c>
      <c r="Y1514" t="inlineStr">
        <is>
          <t>Agriculture and Agri-Food Canada | Agriculture et Agroalimentaire Canada</t>
        </is>
      </c>
    </row>
    <row r="1515">
      <c r="A1515" t="inlineStr">
        <is>
          <t>T-2020-P1-0006</t>
        </is>
      </c>
      <c r="B1515" t="inlineStr">
        <is>
          <t>SLE</t>
        </is>
      </c>
      <c r="C1515" t="inlineStr">
        <is>
          <t>Assistant Deputy Minister, Strategic Policy Branch</t>
        </is>
      </c>
      <c r="D1515" t="inlineStr">
        <is>
          <t>Sous-ministre adjoint, Direction générale des politiques stratégiques</t>
        </is>
      </c>
      <c r="E1515" t="inlineStr">
        <is>
          <t>Tom Rosser</t>
        </is>
      </c>
      <c r="F1515" t="inlineStr">
        <is>
          <t>Attended a Cereals Roundtable Meeting.</t>
        </is>
      </c>
      <c r="G1515" t="inlineStr">
        <is>
          <t>Participer à une réunion de la Table Ronde des Céréales.</t>
        </is>
      </c>
      <c r="H1515" s="1" t="n">
        <v>43895</v>
      </c>
      <c r="I1515" s="1" t="n">
        <v>43897</v>
      </c>
      <c r="J1515" t="inlineStr">
        <is>
          <t>Vancouver (British Columbia) Canada</t>
        </is>
      </c>
      <c r="K1515" t="inlineStr">
        <is>
          <t>Vancouver (Colombie-Britannique) Canada</t>
        </is>
      </c>
      <c r="P1515" t="n">
        <v>2691.43</v>
      </c>
      <c r="Q1515" t="n">
        <v>120</v>
      </c>
      <c r="R1515" t="n">
        <v>282</v>
      </c>
      <c r="S1515" t="n">
        <v>173.35</v>
      </c>
      <c r="T1515" t="n">
        <v>0</v>
      </c>
      <c r="U1515" t="n">
        <v>3266.78</v>
      </c>
      <c r="X1515" t="inlineStr">
        <is>
          <t>aafc-aac</t>
        </is>
      </c>
      <c r="Y1515" t="inlineStr">
        <is>
          <t>Agriculture and Agri-Food Canada | Agriculture et Agroalimentaire Canada</t>
        </is>
      </c>
    </row>
    <row r="1516">
      <c r="A1516" t="inlineStr">
        <is>
          <t>T-2019-Q1-00067</t>
        </is>
      </c>
      <c r="B1516" t="inlineStr">
        <is>
          <t>MPSES</t>
        </is>
      </c>
      <c r="C1516" t="inlineStr">
        <is>
          <t>Minister</t>
        </is>
      </c>
      <c r="D1516" t="inlineStr">
        <is>
          <t>Ministre</t>
        </is>
      </c>
      <c r="E1516" t="inlineStr">
        <is>
          <t>Marie-Claude Bibeau</t>
        </is>
      </c>
      <c r="F1516" t="inlineStr">
        <is>
          <t xml:space="preserve">To attend a Western Outreach </t>
        </is>
      </c>
      <c r="G1516" t="inlineStr">
        <is>
          <t>Pour participer à une campagne de sensibilisation dans les provinces de l'Ouest</t>
        </is>
      </c>
      <c r="H1516" s="1" t="n">
        <v>43534</v>
      </c>
      <c r="I1516" s="1" t="n">
        <v>43537</v>
      </c>
      <c r="J1516" t="inlineStr">
        <is>
          <t>Vancouver, British Columbia; Kelowna, British Columbia; Calgary Alberta; Winnipeg, Manitoba</t>
        </is>
      </c>
      <c r="K1516" t="inlineStr">
        <is>
          <t>Vancouver (Colombie-Britannique); Kelowna (Colombie-Britannique); Calgary (Alberta); Winnipeg (Manitoba)</t>
        </is>
      </c>
      <c r="P1516" t="n">
        <v>2648.21</v>
      </c>
      <c r="Q1516" t="n">
        <v>339.7</v>
      </c>
      <c r="R1516" t="n">
        <v>387.79</v>
      </c>
      <c r="S1516" t="n">
        <v>319.25</v>
      </c>
      <c r="T1516" t="n">
        <v>0</v>
      </c>
      <c r="U1516" t="n">
        <v>3694.95</v>
      </c>
      <c r="X1516" t="inlineStr">
        <is>
          <t>aafc-aac</t>
        </is>
      </c>
      <c r="Y1516" t="inlineStr">
        <is>
          <t>Agriculture and Agri-Food Canada | Agriculture et Agroalimentaire Canada</t>
        </is>
      </c>
    </row>
    <row r="1517">
      <c r="A1517" t="inlineStr">
        <is>
          <t>T-2019-Q1-00068</t>
        </is>
      </c>
      <c r="B1517" t="inlineStr">
        <is>
          <t>MPSES</t>
        </is>
      </c>
      <c r="C1517" t="inlineStr">
        <is>
          <t>Minister</t>
        </is>
      </c>
      <c r="D1517" t="inlineStr">
        <is>
          <t>Ministre</t>
        </is>
      </c>
      <c r="E1517" t="inlineStr">
        <is>
          <t>Marie-Claude Bibeau</t>
        </is>
      </c>
      <c r="F1517" t="inlineStr">
        <is>
          <t>To attend an Outreach in Quebec; announcement on drought; visit of the Agriculture and Agri-Food Research Station and Canadian Food Inspection Agency laboratory in St-Hyacinthe</t>
        </is>
      </c>
      <c r="G1517" t="inlineStr">
        <is>
          <t>Pour participer à une campagne de sensibilisation au Québec; annonce sur la sécheresse; visite du centre de recherche d'Agriculture et Agroalimentaire Canada et du laboratoire de l'Agence canadienne d'inspection des aliments à St­Hyacinthe</t>
        </is>
      </c>
      <c r="H1517" s="1" t="n">
        <v>43539</v>
      </c>
      <c r="I1517" s="1" t="n">
        <v>43539</v>
      </c>
      <c r="J1517" t="inlineStr">
        <is>
          <t>St-Hyacinthe, Quebec</t>
        </is>
      </c>
      <c r="K1517" t="inlineStr">
        <is>
          <t>St-Hyacinthe (Québec)</t>
        </is>
      </c>
      <c r="P1517" t="n">
        <v>0</v>
      </c>
      <c r="Q1517" t="n">
        <v>334.13</v>
      </c>
      <c r="R1517" t="n">
        <v>0</v>
      </c>
      <c r="S1517" t="n">
        <v>19.85</v>
      </c>
      <c r="T1517" t="n">
        <v>0</v>
      </c>
      <c r="U1517" t="n">
        <v>353.98</v>
      </c>
      <c r="X1517" t="inlineStr">
        <is>
          <t>aafc-aac</t>
        </is>
      </c>
      <c r="Y1517" t="inlineStr">
        <is>
          <t>Agriculture and Agri-Food Canada | Agriculture et Agroalimentaire Canada</t>
        </is>
      </c>
    </row>
    <row r="1518">
      <c r="A1518" t="inlineStr">
        <is>
          <t>T-2019-Q1-00069</t>
        </is>
      </c>
      <c r="B1518" t="inlineStr">
        <is>
          <t>MPSES</t>
        </is>
      </c>
      <c r="C1518" t="inlineStr">
        <is>
          <t>Minister</t>
        </is>
      </c>
      <c r="D1518" t="inlineStr">
        <is>
          <t>Ministre</t>
        </is>
      </c>
      <c r="E1518" t="inlineStr">
        <is>
          <t>Marie-Claude Bibeau</t>
        </is>
      </c>
      <c r="F1518" t="inlineStr">
        <is>
          <t>To meet local farmers and visit a seniors home</t>
        </is>
      </c>
      <c r="G1518" t="inlineStr">
        <is>
          <t>Pour rencontrer des agriculteurs locaux et visiter une résidence pour personnes âgées</t>
        </is>
      </c>
      <c r="H1518" s="1" t="n">
        <v>43548</v>
      </c>
      <c r="I1518" s="1" t="n">
        <v>43549</v>
      </c>
      <c r="J1518" t="inlineStr">
        <is>
          <t>Napanee, Ontario</t>
        </is>
      </c>
      <c r="K1518" t="inlineStr">
        <is>
          <t>Napanee (Ontario)</t>
        </is>
      </c>
      <c r="P1518" t="n">
        <v>0</v>
      </c>
      <c r="Q1518" t="n">
        <v>0</v>
      </c>
      <c r="R1518" t="n">
        <v>187.58</v>
      </c>
      <c r="S1518" t="n">
        <v>144.55</v>
      </c>
      <c r="T1518" t="n">
        <v>0</v>
      </c>
      <c r="U1518" t="n">
        <v>332.13</v>
      </c>
      <c r="X1518" t="inlineStr">
        <is>
          <t>aafc-aac</t>
        </is>
      </c>
      <c r="Y1518" t="inlineStr">
        <is>
          <t>Agriculture and Agri-Food Canada | Agriculture et Agroalimentaire Canada</t>
        </is>
      </c>
    </row>
    <row r="1519">
      <c r="A1519" t="inlineStr">
        <is>
          <t>T-2019-Q1-00070</t>
        </is>
      </c>
      <c r="B1519" t="inlineStr">
        <is>
          <t>MPSES</t>
        </is>
      </c>
      <c r="C1519" t="inlineStr">
        <is>
          <t>Minister</t>
        </is>
      </c>
      <c r="D1519" t="inlineStr">
        <is>
          <t>Ministre</t>
        </is>
      </c>
      <c r="E1519" t="inlineStr">
        <is>
          <t>Marie-Claude Bibeau</t>
        </is>
      </c>
      <c r="F1519" t="inlineStr">
        <is>
          <t>To meet with Canola Stakeholders</t>
        </is>
      </c>
      <c r="G1519" t="inlineStr">
        <is>
          <t>Pour se réunir avec des intervenants de l'industrie du canola</t>
        </is>
      </c>
      <c r="H1519" s="1" t="n">
        <v>43552</v>
      </c>
      <c r="I1519" s="1" t="n">
        <v>43554</v>
      </c>
      <c r="J1519" t="inlineStr">
        <is>
          <t>Saskatoon, Saskatchewan</t>
        </is>
      </c>
      <c r="K1519" t="inlineStr">
        <is>
          <t>Saskatoon (Saskatchewan)</t>
        </is>
      </c>
      <c r="P1519" t="n">
        <v>1840.91</v>
      </c>
      <c r="Q1519" t="n">
        <v>268.53</v>
      </c>
      <c r="R1519" t="n">
        <v>352.14</v>
      </c>
      <c r="S1519" t="n">
        <v>163.65</v>
      </c>
      <c r="T1519" t="n">
        <v>0</v>
      </c>
      <c r="U1519" t="n">
        <v>2625.23</v>
      </c>
      <c r="X1519" t="inlineStr">
        <is>
          <t>aafc-aac</t>
        </is>
      </c>
      <c r="Y1519" t="inlineStr">
        <is>
          <t>Agriculture and Agri-Food Canada | Agriculture et Agroalimentaire Canada</t>
        </is>
      </c>
    </row>
    <row r="1520">
      <c r="A1520" t="inlineStr">
        <is>
          <t>T-2019-Q1-00071</t>
        </is>
      </c>
      <c r="B1520" t="inlineStr">
        <is>
          <t>MPSES</t>
        </is>
      </c>
      <c r="C1520" t="inlineStr">
        <is>
          <t>Minister</t>
        </is>
      </c>
      <c r="D1520" t="inlineStr">
        <is>
          <t>Ministre</t>
        </is>
      </c>
      <c r="E1520" t="inlineStr">
        <is>
          <t>Marie-Claude Bibeau</t>
        </is>
      </c>
      <c r="F1520" t="inlineStr">
        <is>
          <t>To attend an Outreach in New Brunswick and Ontario</t>
        </is>
      </c>
      <c r="G1520" t="inlineStr">
        <is>
          <t>Pour participer à une campagne de sensibilisation au Nouveau­Brunswick et en Ontario</t>
        </is>
      </c>
      <c r="H1520" s="1" t="n">
        <v>43577</v>
      </c>
      <c r="I1520" s="1" t="n">
        <v>43581</v>
      </c>
      <c r="J1520" t="inlineStr">
        <is>
          <t>Miramichi, New Brunswick; Fredericton, New Brunswick; Burlington, Ontario; Vaughan, Ontario</t>
        </is>
      </c>
      <c r="K1520" t="inlineStr">
        <is>
          <t>Miramichi (Nouveau-Brunswick); Fredericton (Nouveau-Brunswick); Burlington (Ontario); Vaughan (Ontario)</t>
        </is>
      </c>
      <c r="P1520" t="n">
        <v>1143.02</v>
      </c>
      <c r="Q1520" t="n">
        <v>0</v>
      </c>
      <c r="R1520" t="n">
        <v>663.99</v>
      </c>
      <c r="S1520" t="n">
        <v>441.85</v>
      </c>
      <c r="T1520" t="n">
        <v>0</v>
      </c>
      <c r="U1520" t="n">
        <v>2248.86</v>
      </c>
      <c r="X1520" t="inlineStr">
        <is>
          <t>aafc-aac</t>
        </is>
      </c>
      <c r="Y1520" t="inlineStr">
        <is>
          <t>Agriculture and Agri-Food Canada | Agriculture et Agroalimentaire Canada</t>
        </is>
      </c>
    </row>
    <row r="1521">
      <c r="A1521" t="inlineStr">
        <is>
          <t>T-2019-Q1-00072</t>
        </is>
      </c>
      <c r="B1521" t="inlineStr">
        <is>
          <t>MPSES</t>
        </is>
      </c>
      <c r="C1521" t="inlineStr">
        <is>
          <t>Minister</t>
        </is>
      </c>
      <c r="D1521" t="inlineStr">
        <is>
          <t>Ministre</t>
        </is>
      </c>
      <c r="E1521" t="inlineStr">
        <is>
          <t>Marie-Claude Bibeau</t>
        </is>
      </c>
      <c r="F1521" t="inlineStr">
        <is>
          <t>To attend the G20 Niigata Agricultural Ministers' meeting in Japan, followed by an outreach</t>
        </is>
      </c>
      <c r="G1521" t="inlineStr">
        <is>
          <t>Pour participer à la réunion des ministres de l'Agriculture du G20 à Niigata, au Japon, puis à une campagne de sensibilisation</t>
        </is>
      </c>
      <c r="H1521" s="1" t="n">
        <v>43594</v>
      </c>
      <c r="I1521" s="1" t="n">
        <v>43599</v>
      </c>
      <c r="J1521" t="inlineStr">
        <is>
          <t>Niigata, Japan; Tokyo, Japan</t>
        </is>
      </c>
      <c r="K1521" t="inlineStr">
        <is>
          <t>Niigata (Japon); Tokyo (Japon)</t>
        </is>
      </c>
      <c r="P1521" t="n">
        <v>7161.52</v>
      </c>
      <c r="Q1521" t="n">
        <v>0</v>
      </c>
      <c r="R1521" t="n">
        <v>371.54</v>
      </c>
      <c r="S1521" t="n">
        <v>735.5</v>
      </c>
      <c r="T1521" t="n">
        <v>0</v>
      </c>
      <c r="U1521" t="n">
        <v>8268.559999999999</v>
      </c>
      <c r="X1521" t="inlineStr">
        <is>
          <t>aafc-aac</t>
        </is>
      </c>
      <c r="Y1521" t="inlineStr">
        <is>
          <t>Agriculture and Agri-Food Canada | Agriculture et Agroalimentaire Canada</t>
        </is>
      </c>
    </row>
    <row r="1522">
      <c r="A1522" t="inlineStr">
        <is>
          <t>T-2019-Q1-00073</t>
        </is>
      </c>
      <c r="B1522" t="inlineStr">
        <is>
          <t>MPSES</t>
        </is>
      </c>
      <c r="C1522" t="inlineStr">
        <is>
          <t>Minister</t>
        </is>
      </c>
      <c r="D1522" t="inlineStr">
        <is>
          <t>Ministre</t>
        </is>
      </c>
      <c r="E1522" t="inlineStr">
        <is>
          <t>Marie-Claude Bibeau</t>
        </is>
      </c>
      <c r="F1522" t="inlineStr">
        <is>
          <t>To make an announcement in Montreal and attend an event in Drummondville</t>
        </is>
      </c>
      <c r="G1522" t="inlineStr">
        <is>
          <t>Pour faire une annonce à Montréal et participer à une activité à Drummondville</t>
        </is>
      </c>
      <c r="H1522" s="1" t="n">
        <v>43615</v>
      </c>
      <c r="I1522" s="1" t="n">
        <v>43616</v>
      </c>
      <c r="J1522" t="inlineStr">
        <is>
          <t>Montreal, Quebec; Drummondville, Quebec</t>
        </is>
      </c>
      <c r="K1522" t="inlineStr">
        <is>
          <t>Montréal (Québec); Drummondville (Québec)</t>
        </is>
      </c>
      <c r="P1522" t="n">
        <v>0</v>
      </c>
      <c r="Q1522" t="n">
        <v>0</v>
      </c>
      <c r="R1522" t="n">
        <v>185.64</v>
      </c>
      <c r="S1522" t="n">
        <v>156</v>
      </c>
      <c r="T1522" t="n">
        <v>0</v>
      </c>
      <c r="U1522" t="n">
        <v>341.64</v>
      </c>
      <c r="X1522" t="inlineStr">
        <is>
          <t>aafc-aac</t>
        </is>
      </c>
      <c r="Y1522" t="inlineStr">
        <is>
          <t>Agriculture and Agri-Food Canada | Agriculture et Agroalimentaire Canada</t>
        </is>
      </c>
    </row>
    <row r="1523">
      <c r="A1523" t="inlineStr">
        <is>
          <t>T-2019-Q1-00074</t>
        </is>
      </c>
      <c r="B1523" t="inlineStr">
        <is>
          <t>MPSES</t>
        </is>
      </c>
      <c r="C1523" t="inlineStr">
        <is>
          <t>Chief of Staff</t>
        </is>
      </c>
      <c r="D1523" t="inlineStr">
        <is>
          <t>Chef de cabinet</t>
        </is>
      </c>
      <c r="E1523" t="inlineStr">
        <is>
          <t>Alison Porter</t>
        </is>
      </c>
      <c r="F1523" t="inlineStr">
        <is>
          <t>To accompany the Minister to meet with Canola Stakeholders</t>
        </is>
      </c>
      <c r="G1523" t="inlineStr">
        <is>
          <t>Pour accompagner la Ministre à des réunions avec des intervenants de l'industrie du canola</t>
        </is>
      </c>
      <c r="H1523" s="1" t="n">
        <v>43552</v>
      </c>
      <c r="I1523" s="1" t="n">
        <v>43554</v>
      </c>
      <c r="J1523" t="inlineStr">
        <is>
          <t>Saskatoon, Saskatchewan</t>
        </is>
      </c>
      <c r="K1523" t="inlineStr">
        <is>
          <t>Saskatoon (Saskatchewan)</t>
        </is>
      </c>
      <c r="P1523" t="n">
        <v>1224.95</v>
      </c>
      <c r="Q1523" t="n">
        <v>0</v>
      </c>
      <c r="R1523" t="n">
        <v>352.14</v>
      </c>
      <c r="S1523" t="n">
        <v>163.65</v>
      </c>
      <c r="T1523" t="n">
        <v>0</v>
      </c>
      <c r="U1523" t="n">
        <v>1740.74</v>
      </c>
      <c r="X1523" t="inlineStr">
        <is>
          <t>aafc-aac</t>
        </is>
      </c>
      <c r="Y1523" t="inlineStr">
        <is>
          <t>Agriculture and Agri-Food Canada | Agriculture et Agroalimentaire Canada</t>
        </is>
      </c>
    </row>
    <row r="1524">
      <c r="A1524" t="inlineStr">
        <is>
          <t>T-2019-Q1-00075</t>
        </is>
      </c>
      <c r="B1524" t="inlineStr">
        <is>
          <t>MPSES</t>
        </is>
      </c>
      <c r="C1524" t="inlineStr">
        <is>
          <t>Chief of Staff</t>
        </is>
      </c>
      <c r="D1524" t="inlineStr">
        <is>
          <t>Chef de cabinet</t>
        </is>
      </c>
      <c r="E1524" t="inlineStr">
        <is>
          <t>Alison Porter</t>
        </is>
      </c>
      <c r="F1524" t="inlineStr">
        <is>
          <t>To accompany the Minister to the G20 Niigata Agriculture Ministers' meeting</t>
        </is>
      </c>
      <c r="G1524" t="inlineStr">
        <is>
          <t>Pour accompagner la Ministre à la réunion des ministres de l'Agriculture du G20 à Niigata, au Japon</t>
        </is>
      </c>
      <c r="H1524" s="1" t="n">
        <v>43594</v>
      </c>
      <c r="I1524" s="1" t="n">
        <v>43599</v>
      </c>
      <c r="J1524" t="inlineStr">
        <is>
          <t>Niigata, Japan; Tokyo, Japan</t>
        </is>
      </c>
      <c r="K1524" t="inlineStr">
        <is>
          <t>Niigata (Japon); Tokyo (Japon)</t>
        </is>
      </c>
      <c r="P1524" t="n">
        <v>7161.52</v>
      </c>
      <c r="Q1524" t="n">
        <v>57.24</v>
      </c>
      <c r="R1524" t="n">
        <v>371.54</v>
      </c>
      <c r="S1524" t="n">
        <v>781.5</v>
      </c>
      <c r="T1524" t="n">
        <v>0</v>
      </c>
      <c r="U1524" t="n">
        <v>8371.799999999999</v>
      </c>
      <c r="V1524" t="inlineStr">
        <is>
          <t>First hotel stay was paid by the organizers</t>
        </is>
      </c>
      <c r="W1524" t="inlineStr">
        <is>
          <t>Le premier séjour à l'hôtel a été payé par les organisateurs</t>
        </is>
      </c>
      <c r="X1524" t="inlineStr">
        <is>
          <t>aafc-aac</t>
        </is>
      </c>
      <c r="Y1524" t="inlineStr">
        <is>
          <t>Agriculture and Agri-Food Canada | Agriculture et Agroalimentaire Canada</t>
        </is>
      </c>
    </row>
    <row r="1525">
      <c r="A1525" t="inlineStr">
        <is>
          <t>T-2019-Q1-00076</t>
        </is>
      </c>
      <c r="B1525" t="inlineStr">
        <is>
          <t>MPSES</t>
        </is>
      </c>
      <c r="C1525" t="inlineStr">
        <is>
          <t>Director of Policy</t>
        </is>
      </c>
      <c r="D1525" t="inlineStr">
        <is>
          <t>Directeur de la politique</t>
        </is>
      </c>
      <c r="E1525" t="inlineStr">
        <is>
          <t>Daniel Lussier</t>
        </is>
      </c>
      <c r="F1525" t="inlineStr">
        <is>
          <t>To accompany the Minister to a meeting in Montreal</t>
        </is>
      </c>
      <c r="G1525" t="inlineStr">
        <is>
          <t>Pour accompagner la Ministre à une réunion à Montréal</t>
        </is>
      </c>
      <c r="H1525" s="1" t="n">
        <v>43577</v>
      </c>
      <c r="I1525" s="1" t="n">
        <v>43577</v>
      </c>
      <c r="J1525" t="inlineStr">
        <is>
          <t>Montreal, Quebec</t>
        </is>
      </c>
      <c r="K1525" t="inlineStr">
        <is>
          <t>Montréal (Québec)</t>
        </is>
      </c>
      <c r="P1525" t="n">
        <v>0</v>
      </c>
      <c r="Q1525" t="n">
        <v>238.02</v>
      </c>
      <c r="R1525" t="n">
        <v>0</v>
      </c>
      <c r="S1525" t="n">
        <v>40.6</v>
      </c>
      <c r="T1525" t="n">
        <v>0</v>
      </c>
      <c r="U1525" t="n">
        <v>278.62</v>
      </c>
      <c r="X1525" t="inlineStr">
        <is>
          <t>aafc-aac</t>
        </is>
      </c>
      <c r="Y1525" t="inlineStr">
        <is>
          <t>Agriculture and Agri-Food Canada | Agriculture et Agroalimentaire Canada</t>
        </is>
      </c>
    </row>
    <row r="1526">
      <c r="A1526" t="inlineStr">
        <is>
          <t>T-2019-Q1-00077</t>
        </is>
      </c>
      <c r="B1526" t="inlineStr">
        <is>
          <t>MPSES</t>
        </is>
      </c>
      <c r="C1526" t="inlineStr">
        <is>
          <t>Special Assistant</t>
        </is>
      </c>
      <c r="D1526" t="inlineStr">
        <is>
          <t>Assistant spécial</t>
        </is>
      </c>
      <c r="E1526" t="inlineStr">
        <is>
          <t>Jean-Sébastien Comeau</t>
        </is>
      </c>
      <c r="F1526" t="inlineStr">
        <is>
          <t>To accompany the Parliamentary Secretary to the Annual General Meeting of the Producteurs de Volailles du Québec and the  Annual General Meeting of the Producteurs laitiers du Québec</t>
        </is>
      </c>
      <c r="G1526" t="inlineStr">
        <is>
          <t>Pour accompagner le secrétaire parlementaire à l'assemblée générale annuelle des Éleveurs de volailles du Québec et à l'assemblée générale annuelle des Producteurs laitiers du Québec</t>
        </is>
      </c>
      <c r="H1526" s="1" t="n">
        <v>43572</v>
      </c>
      <c r="I1526" s="1" t="n">
        <v>43575</v>
      </c>
      <c r="J1526" t="inlineStr">
        <is>
          <t>Quebec City, Quebec</t>
        </is>
      </c>
      <c r="K1526" t="inlineStr">
        <is>
          <t>Québec (Québec)</t>
        </is>
      </c>
      <c r="P1526" t="n">
        <v>0</v>
      </c>
      <c r="Q1526" t="n">
        <v>289.75</v>
      </c>
      <c r="R1526" t="n">
        <v>195.16</v>
      </c>
      <c r="S1526" t="n">
        <v>217.1</v>
      </c>
      <c r="T1526" t="n">
        <v>0</v>
      </c>
      <c r="U1526" t="n">
        <v>702.01</v>
      </c>
      <c r="X1526" t="inlineStr">
        <is>
          <t>aafc-aac</t>
        </is>
      </c>
      <c r="Y1526" t="inlineStr">
        <is>
          <t>Agriculture and Agri-Food Canada | Agriculture et Agroalimentaire Canada</t>
        </is>
      </c>
    </row>
    <row r="1527">
      <c r="A1527" t="inlineStr">
        <is>
          <t>T-2019-Q1-00078</t>
        </is>
      </c>
      <c r="B1527" t="inlineStr">
        <is>
          <t>MPSES</t>
        </is>
      </c>
      <c r="C1527" t="inlineStr">
        <is>
          <t>Special Assistant</t>
        </is>
      </c>
      <c r="D1527" t="inlineStr">
        <is>
          <t>Assistant spécial</t>
        </is>
      </c>
      <c r="E1527" t="inlineStr">
        <is>
          <t>Jean-Sébastien Comeau</t>
        </is>
      </c>
      <c r="F1527" t="inlineStr">
        <is>
          <t>To accompany the Minister to the New Brunswick Outreach</t>
        </is>
      </c>
      <c r="G1527" t="inlineStr">
        <is>
          <t>Pour accompagner la Ministre à la campagne de sensibilisation au Nouveau­Brunswick</t>
        </is>
      </c>
      <c r="H1527" s="1" t="n">
        <v>43577</v>
      </c>
      <c r="I1527" s="1" t="n">
        <v>43579</v>
      </c>
      <c r="J1527" t="inlineStr">
        <is>
          <t>Miramichi, New Brunswick; Fredericton, New Brunswick</t>
        </is>
      </c>
      <c r="K1527" t="inlineStr">
        <is>
          <t>Miramichi (Nouveau-Brunswick); Fredericton (Nouveau-Brunswick)</t>
        </is>
      </c>
      <c r="P1527" t="n">
        <v>799.96</v>
      </c>
      <c r="Q1527" t="n">
        <v>140.33</v>
      </c>
      <c r="R1527" t="n">
        <v>314.41</v>
      </c>
      <c r="S1527" t="n">
        <v>285.05</v>
      </c>
      <c r="T1527" t="n">
        <v>0</v>
      </c>
      <c r="U1527" t="n">
        <v>1539.75</v>
      </c>
      <c r="X1527" t="inlineStr">
        <is>
          <t>aafc-aac</t>
        </is>
      </c>
      <c r="Y1527" t="inlineStr">
        <is>
          <t>Agriculture and Agri-Food Canada | Agriculture et Agroalimentaire Canada</t>
        </is>
      </c>
    </row>
    <row r="1528">
      <c r="A1528" t="inlineStr">
        <is>
          <t>T-2019-Q1-00079</t>
        </is>
      </c>
      <c r="B1528" t="inlineStr">
        <is>
          <t>MPSES</t>
        </is>
      </c>
      <c r="C1528" t="inlineStr">
        <is>
          <t>Special Assistant</t>
        </is>
      </c>
      <c r="D1528" t="inlineStr">
        <is>
          <t>Assistant spécial</t>
        </is>
      </c>
      <c r="E1528" t="inlineStr">
        <is>
          <t>Jean-Sébastien Comeau</t>
        </is>
      </c>
      <c r="F1528" t="inlineStr">
        <is>
          <t>To accompany the Parliamentary Secretary to SIAL (Salon International de l'alimentation)</t>
        </is>
      </c>
      <c r="G1528" t="inlineStr">
        <is>
          <t>Pour accompagner le secrétaire parlementaire au Salon international de l'alimentation (SIAL)</t>
        </is>
      </c>
      <c r="H1528" s="1" t="n">
        <v>43585</v>
      </c>
      <c r="I1528" s="1" t="n">
        <v>43585</v>
      </c>
      <c r="J1528" t="inlineStr">
        <is>
          <t>Toronto, Ontario</t>
        </is>
      </c>
      <c r="K1528" t="inlineStr">
        <is>
          <t>Toronto (Ontario)</t>
        </is>
      </c>
      <c r="P1528" t="n">
        <v>764.71</v>
      </c>
      <c r="Q1528" t="n">
        <v>0</v>
      </c>
      <c r="R1528" t="n">
        <v>0</v>
      </c>
      <c r="S1528" t="n">
        <v>70.75</v>
      </c>
      <c r="T1528" t="n">
        <v>0</v>
      </c>
      <c r="U1528" t="n">
        <v>835.46</v>
      </c>
      <c r="X1528" t="inlineStr">
        <is>
          <t>aafc-aac</t>
        </is>
      </c>
      <c r="Y1528" t="inlineStr">
        <is>
          <t>Agriculture and Agri-Food Canada | Agriculture et Agroalimentaire Canada</t>
        </is>
      </c>
    </row>
    <row r="1529">
      <c r="A1529" t="inlineStr">
        <is>
          <t>T-2019-Q1-00080</t>
        </is>
      </c>
      <c r="B1529" t="inlineStr">
        <is>
          <t>MPSES</t>
        </is>
      </c>
      <c r="C1529" t="inlineStr">
        <is>
          <t>Special Assistant</t>
        </is>
      </c>
      <c r="D1529" t="inlineStr">
        <is>
          <t>Assistant spécial</t>
        </is>
      </c>
      <c r="E1529" t="inlineStr">
        <is>
          <t>Jean-Sébastien Comeau</t>
        </is>
      </c>
      <c r="F1529" t="inlineStr">
        <is>
          <t>To accompany the Parliamentary Secretary to the Rendez-vous Plaisirs Maraîchers event</t>
        </is>
      </c>
      <c r="G1529" t="inlineStr">
        <is>
          <t>Pour accompagner le secrétaire parlementaire aux Rendez-vous plaisirs maraîchers</t>
        </is>
      </c>
      <c r="H1529" s="1" t="n">
        <v>43601</v>
      </c>
      <c r="I1529" s="1" t="n">
        <v>43602</v>
      </c>
      <c r="J1529" t="inlineStr">
        <is>
          <t>Vaudreuil, Quebec</t>
        </is>
      </c>
      <c r="K1529" t="inlineStr">
        <is>
          <t>Vaudreuil (Québec)</t>
        </is>
      </c>
      <c r="P1529" t="n">
        <v>0</v>
      </c>
      <c r="Q1529" t="n">
        <v>73.67</v>
      </c>
      <c r="R1529" t="n">
        <v>0</v>
      </c>
      <c r="S1529" t="n">
        <v>0</v>
      </c>
      <c r="T1529" t="n">
        <v>0</v>
      </c>
      <c r="U1529" t="n">
        <v>73.67</v>
      </c>
      <c r="X1529" t="inlineStr">
        <is>
          <t>aafc-aac</t>
        </is>
      </c>
      <c r="Y1529" t="inlineStr">
        <is>
          <t>Agriculture and Agri-Food Canada | Agriculture et Agroalimentaire Canada</t>
        </is>
      </c>
    </row>
    <row r="1530">
      <c r="A1530" t="inlineStr">
        <is>
          <t>T-2019-Q1-00081</t>
        </is>
      </c>
      <c r="B1530" t="inlineStr">
        <is>
          <t>MPSES</t>
        </is>
      </c>
      <c r="C1530" t="inlineStr">
        <is>
          <t>Special Assistant</t>
        </is>
      </c>
      <c r="D1530" t="inlineStr">
        <is>
          <t>Assistant spécial</t>
        </is>
      </c>
      <c r="E1530" t="inlineStr">
        <is>
          <t>Jean-Sébastien Comeau</t>
        </is>
      </c>
      <c r="F1530" t="inlineStr">
        <is>
          <t>To accompany the Parliamentary Secretary to meet with the Producteurs et Productrices acéricoles du Québec</t>
        </is>
      </c>
      <c r="G1530" t="inlineStr">
        <is>
          <t>Pour accompagner le secrétaire parlementaire lors de rencontres avec les Producteurs et productrices acéricoles du Québec</t>
        </is>
      </c>
      <c r="H1530" s="1" t="n">
        <v>43614</v>
      </c>
      <c r="I1530" s="1" t="n">
        <v>43614</v>
      </c>
      <c r="J1530" t="inlineStr">
        <is>
          <t>Quebec City, Quebec</t>
        </is>
      </c>
      <c r="K1530" t="inlineStr">
        <is>
          <t>Québec (Québec)</t>
        </is>
      </c>
      <c r="P1530" t="n">
        <v>958.08</v>
      </c>
      <c r="Q1530" t="n">
        <v>87.23999999999999</v>
      </c>
      <c r="R1530" t="n">
        <v>0</v>
      </c>
      <c r="S1530" t="n">
        <v>91.25</v>
      </c>
      <c r="T1530" t="n">
        <v>0</v>
      </c>
      <c r="U1530" t="n">
        <v>1136.57</v>
      </c>
      <c r="X1530" t="inlineStr">
        <is>
          <t>aafc-aac</t>
        </is>
      </c>
      <c r="Y1530" t="inlineStr">
        <is>
          <t>Agriculture and Agri-Food Canada | Agriculture et Agroalimentaire Canada</t>
        </is>
      </c>
    </row>
    <row r="1531">
      <c r="A1531" t="inlineStr">
        <is>
          <t>T-2019-Q1-00082</t>
        </is>
      </c>
      <c r="B1531" t="inlineStr">
        <is>
          <t>MPSES</t>
        </is>
      </c>
      <c r="C1531" t="inlineStr">
        <is>
          <t>Press Secretary</t>
        </is>
      </c>
      <c r="D1531" t="inlineStr">
        <is>
          <t>Attachée de presse</t>
        </is>
      </c>
      <c r="E1531" t="inlineStr">
        <is>
          <t>Justine Lesage</t>
        </is>
      </c>
      <c r="F1531" t="inlineStr">
        <is>
          <t>To accompany the Minister on a Western Outreach.</t>
        </is>
      </c>
      <c r="G1531" t="inlineStr">
        <is>
          <t>Pour accompagner la Ministre à une campagne de sensibilisation dans les provinces de l'ouest.</t>
        </is>
      </c>
      <c r="H1531" s="1" t="n">
        <v>43534</v>
      </c>
      <c r="I1531" s="1" t="n">
        <v>43537</v>
      </c>
      <c r="J1531" t="inlineStr">
        <is>
          <t>Vancouver, British Columbia; Kelowna, British Columbia; Calgary Alberta; Winnipeg, Manitoba</t>
        </is>
      </c>
      <c r="K1531" t="inlineStr">
        <is>
          <t>Vancouver, Colombie-Britannique; Kelowna, (Colombie-Britannique), Calgary; (Alberta); Winnipeg, (Manitoba)</t>
        </is>
      </c>
      <c r="P1531" t="n">
        <v>2815.63</v>
      </c>
      <c r="Q1531" t="n">
        <v>124</v>
      </c>
      <c r="R1531" t="n">
        <v>387.79</v>
      </c>
      <c r="S1531" t="n">
        <v>319.25</v>
      </c>
      <c r="T1531" t="n">
        <v>0</v>
      </c>
      <c r="U1531" t="n">
        <v>3646.67</v>
      </c>
      <c r="X1531" t="inlineStr">
        <is>
          <t>aafc-aac</t>
        </is>
      </c>
      <c r="Y1531" t="inlineStr">
        <is>
          <t>Agriculture and Agri-Food Canada | Agriculture et Agroalimentaire Canada</t>
        </is>
      </c>
    </row>
    <row r="1532">
      <c r="A1532" t="inlineStr">
        <is>
          <t>T-2019-Q1-00083</t>
        </is>
      </c>
      <c r="B1532" t="inlineStr">
        <is>
          <t>MPSES</t>
        </is>
      </c>
      <c r="C1532" t="inlineStr">
        <is>
          <t>Press Secretary</t>
        </is>
      </c>
      <c r="D1532" t="inlineStr">
        <is>
          <t>Attachée de presse</t>
        </is>
      </c>
      <c r="E1532" t="inlineStr">
        <is>
          <t>Justine Lesage</t>
        </is>
      </c>
      <c r="F1532" t="inlineStr">
        <is>
          <t>To accompany the Minister for announcements in Drummondville and the Grain Farmers Conference</t>
        </is>
      </c>
      <c r="G1532" t="inlineStr">
        <is>
          <t>Pour accompagner la Ministre pour des annonces à Drummondville et à la conférence des Producteurs de grains du Québec</t>
        </is>
      </c>
      <c r="H1532" s="1" t="n">
        <v>43550</v>
      </c>
      <c r="I1532" s="1" t="n">
        <v>43552</v>
      </c>
      <c r="J1532" t="inlineStr">
        <is>
          <t>Drummondville, Quebec</t>
        </is>
      </c>
      <c r="K1532" t="inlineStr">
        <is>
          <t>Drummondville (Québec)</t>
        </is>
      </c>
      <c r="P1532" t="n">
        <v>0</v>
      </c>
      <c r="Q1532" t="n">
        <v>260.93</v>
      </c>
      <c r="R1532" t="n">
        <v>271.3</v>
      </c>
      <c r="S1532" t="n">
        <v>283.5</v>
      </c>
      <c r="T1532" t="n">
        <v>0</v>
      </c>
      <c r="U1532" t="n">
        <v>815.73</v>
      </c>
      <c r="X1532" t="inlineStr">
        <is>
          <t>aafc-aac</t>
        </is>
      </c>
      <c r="Y1532" t="inlineStr">
        <is>
          <t>Agriculture and Agri-Food Canada | Agriculture et Agroalimentaire Canada</t>
        </is>
      </c>
    </row>
    <row r="1533">
      <c r="A1533" t="inlineStr">
        <is>
          <t>T-2019-Q1-00084</t>
        </is>
      </c>
      <c r="B1533" t="inlineStr">
        <is>
          <t>MPSES</t>
        </is>
      </c>
      <c r="C1533" t="inlineStr">
        <is>
          <t>Press Secretary</t>
        </is>
      </c>
      <c r="D1533" t="inlineStr">
        <is>
          <t>Attachée de presse</t>
        </is>
      </c>
      <c r="E1533" t="inlineStr">
        <is>
          <t>Justine Lesage</t>
        </is>
      </c>
      <c r="F1533" t="inlineStr">
        <is>
          <t>To accompany the Minister to meet with Canola Stakeholders</t>
        </is>
      </c>
      <c r="G1533" t="inlineStr">
        <is>
          <t>Pour accompagner la Ministre à des réunions avec des intervenants de l'industrie du canola</t>
        </is>
      </c>
      <c r="H1533" s="1" t="n">
        <v>43552</v>
      </c>
      <c r="I1533" s="1" t="n">
        <v>43554</v>
      </c>
      <c r="J1533" t="inlineStr">
        <is>
          <t>Saskatoon, Saskatchewan</t>
        </is>
      </c>
      <c r="K1533" t="inlineStr">
        <is>
          <t>Saskatoon (Saskatchewan)</t>
        </is>
      </c>
      <c r="P1533" t="n">
        <v>1840.91</v>
      </c>
      <c r="Q1533" t="n">
        <v>27.3</v>
      </c>
      <c r="R1533" t="n">
        <v>352.14</v>
      </c>
      <c r="S1533" t="n">
        <v>163.65</v>
      </c>
      <c r="T1533" t="n">
        <v>0</v>
      </c>
      <c r="U1533" t="n">
        <v>2384</v>
      </c>
      <c r="V1533" t="inlineStr">
        <is>
          <t>This travel was entered in 2 transactions - Mileage missed on the fist one added with doc. # 19000146399</t>
        </is>
      </c>
      <c r="W1533" t="inlineStr">
        <is>
          <t>Ce déplacement a été consigné en deux transactions financières. Le kilométrage oublié dans la première transaction a été ajouté au moyen du document 19000146399.</t>
        </is>
      </c>
      <c r="X1533" t="inlineStr">
        <is>
          <t>aafc-aac</t>
        </is>
      </c>
      <c r="Y1533" t="inlineStr">
        <is>
          <t>Agriculture and Agri-Food Canada | Agriculture et Agroalimentaire Canada</t>
        </is>
      </c>
    </row>
    <row r="1534">
      <c r="A1534" t="inlineStr">
        <is>
          <t>T-2019-Q1-00085</t>
        </is>
      </c>
      <c r="B1534" t="inlineStr">
        <is>
          <t>MPSES</t>
        </is>
      </c>
      <c r="C1534" t="inlineStr">
        <is>
          <t>Press Secretary</t>
        </is>
      </c>
      <c r="D1534" t="inlineStr">
        <is>
          <t>Attachée de presse</t>
        </is>
      </c>
      <c r="E1534" t="inlineStr">
        <is>
          <t>Justine Lesage</t>
        </is>
      </c>
      <c r="F1534" t="inlineStr">
        <is>
          <t xml:space="preserve">To accompany the Minister for an announcement at the Conseil des industriels laitiers du Québec’s annual general meeting </t>
        </is>
      </c>
      <c r="G1534" t="inlineStr">
        <is>
          <t>Pour accompagner la Ministre pour une annonce à l'Assemblée général annuel du Conseil des industriels laitiers du Québec</t>
        </is>
      </c>
      <c r="H1534" s="1" t="n">
        <v>43558</v>
      </c>
      <c r="I1534" s="1" t="n">
        <v>43558</v>
      </c>
      <c r="J1534" t="inlineStr">
        <is>
          <t>Montreal, Quebec</t>
        </is>
      </c>
      <c r="K1534" t="inlineStr">
        <is>
          <t>Montréal, (Québec)</t>
        </is>
      </c>
      <c r="P1534" t="n">
        <v>0</v>
      </c>
      <c r="Q1534" t="n">
        <v>270.01</v>
      </c>
      <c r="R1534" t="n">
        <v>0</v>
      </c>
      <c r="S1534" t="n">
        <v>20.1</v>
      </c>
      <c r="T1534" t="n">
        <v>0</v>
      </c>
      <c r="U1534" t="n">
        <v>290.11</v>
      </c>
      <c r="X1534" t="inlineStr">
        <is>
          <t>aafc-aac</t>
        </is>
      </c>
      <c r="Y1534" t="inlineStr">
        <is>
          <t>Agriculture and Agri-Food Canada | Agriculture et Agroalimentaire Canada</t>
        </is>
      </c>
    </row>
    <row r="1535">
      <c r="A1535" t="inlineStr">
        <is>
          <t>T-2019-Q1-00086</t>
        </is>
      </c>
      <c r="B1535" t="inlineStr">
        <is>
          <t>MPSES</t>
        </is>
      </c>
      <c r="C1535" t="inlineStr">
        <is>
          <t>Press Secretary</t>
        </is>
      </c>
      <c r="D1535" t="inlineStr">
        <is>
          <t>Attachée de presse</t>
        </is>
      </c>
      <c r="E1535" t="inlineStr">
        <is>
          <t>Justine Lesage</t>
        </is>
      </c>
      <c r="F1535" t="inlineStr">
        <is>
          <t>To accompany the Minister to the New Brunswick and Ontario Outreach</t>
        </is>
      </c>
      <c r="G1535" t="inlineStr">
        <is>
          <t>Pour accompagner la Ministre aux campagnes de sensibilisation au Nouveau­Brunswick et en Ontario</t>
        </is>
      </c>
      <c r="H1535" s="1" t="n">
        <v>43577</v>
      </c>
      <c r="I1535" s="1" t="n">
        <v>43581</v>
      </c>
      <c r="J1535" t="inlineStr">
        <is>
          <t>Miramichi, New Brunswick; Fredericton, New Brunswick; Burlington, Ontario; Vaughan, Ontario</t>
        </is>
      </c>
      <c r="K1535" t="inlineStr">
        <is>
          <t>Miramichi (Nouveau-Brunswick); Fredericton (Nouveau-Brunswick); Burlington (Ontario); Vaughan (Ontario)</t>
        </is>
      </c>
      <c r="P1535" t="n">
        <v>1067.12</v>
      </c>
      <c r="Q1535" t="n">
        <v>66.15000000000001</v>
      </c>
      <c r="R1535" t="n">
        <v>663.99</v>
      </c>
      <c r="S1535" t="n">
        <v>441.85</v>
      </c>
      <c r="T1535" t="n">
        <v>0</v>
      </c>
      <c r="U1535" t="n">
        <v>2239.11</v>
      </c>
      <c r="X1535" t="inlineStr">
        <is>
          <t>aafc-aac</t>
        </is>
      </c>
      <c r="Y1535" t="inlineStr">
        <is>
          <t>Agriculture and Agri-Food Canada | Agriculture et Agroalimentaire Canada</t>
        </is>
      </c>
    </row>
    <row r="1536">
      <c r="A1536" t="inlineStr">
        <is>
          <t>T-2019-Q1-00087</t>
        </is>
      </c>
      <c r="B1536" t="inlineStr">
        <is>
          <t>MPSES</t>
        </is>
      </c>
      <c r="C1536" t="inlineStr">
        <is>
          <t>Press Secretary</t>
        </is>
      </c>
      <c r="D1536" t="inlineStr">
        <is>
          <t>Attachée de presse</t>
        </is>
      </c>
      <c r="E1536" t="inlineStr">
        <is>
          <t>Justine Lesage</t>
        </is>
      </c>
      <c r="F1536" t="inlineStr">
        <is>
          <t>To accompany the Minister to the G20 Niigata Agriculture Ministers' Meeting</t>
        </is>
      </c>
      <c r="G1536" t="inlineStr">
        <is>
          <t>Pour accompagner la Ministre à la réunion des ministres de l'Agriculture du G20 à Niigata, au Japon</t>
        </is>
      </c>
      <c r="H1536" s="1" t="n">
        <v>43594</v>
      </c>
      <c r="I1536" s="1" t="n">
        <v>43599</v>
      </c>
      <c r="J1536" t="inlineStr">
        <is>
          <t>Niigata, Japan; Tokyo, Japan</t>
        </is>
      </c>
      <c r="K1536" t="inlineStr">
        <is>
          <t>Niigata (Japon); Tokyo (Japon)</t>
        </is>
      </c>
      <c r="P1536" t="n">
        <v>7161.52</v>
      </c>
      <c r="Q1536" t="n">
        <v>0</v>
      </c>
      <c r="R1536" t="n">
        <v>930.1</v>
      </c>
      <c r="S1536" t="n">
        <v>1100.75</v>
      </c>
      <c r="T1536" t="n">
        <v>0</v>
      </c>
      <c r="U1536" t="n">
        <v>9192.370000000001</v>
      </c>
      <c r="X1536" t="inlineStr">
        <is>
          <t>aafc-aac</t>
        </is>
      </c>
      <c r="Y1536" t="inlineStr">
        <is>
          <t>Agriculture and Agri-Food Canada | Agriculture et Agroalimentaire Canada</t>
        </is>
      </c>
    </row>
    <row r="1537">
      <c r="A1537" t="inlineStr">
        <is>
          <t>T-2019-Q1-00088</t>
        </is>
      </c>
      <c r="B1537" t="inlineStr">
        <is>
          <t>MPSES</t>
        </is>
      </c>
      <c r="C1537" t="inlineStr">
        <is>
          <t>Press Secretary</t>
        </is>
      </c>
      <c r="D1537" t="inlineStr">
        <is>
          <t>Attachée de presse</t>
        </is>
      </c>
      <c r="E1537" t="inlineStr">
        <is>
          <t>Justine Lesage</t>
        </is>
      </c>
      <c r="F1537" t="inlineStr">
        <is>
          <t>To accompany the Minister for an announcement and meeting with To accompany the Minister for Poultry meetings and a meeting with the Fédération de la relève agricole du Québec</t>
        </is>
      </c>
      <c r="G1537" t="inlineStr">
        <is>
          <t>Pour accompagner la Ministre pour une annonce et une rencontre avec la Fédération de la relève agricole du Québec</t>
        </is>
      </c>
      <c r="H1537" s="1" t="n">
        <v>43609</v>
      </c>
      <c r="I1537" s="1" t="n">
        <v>43609</v>
      </c>
      <c r="J1537" t="inlineStr">
        <is>
          <t>St-Hyacinthe, Quebec</t>
        </is>
      </c>
      <c r="K1537" t="inlineStr">
        <is>
          <t>St-Hyacinthe, (Québec)</t>
        </is>
      </c>
      <c r="P1537" t="n">
        <v>0</v>
      </c>
      <c r="Q1537" t="n">
        <v>117.5</v>
      </c>
      <c r="R1537" t="n">
        <v>0</v>
      </c>
      <c r="S1537" t="n">
        <v>40.6</v>
      </c>
      <c r="T1537" t="n">
        <v>0</v>
      </c>
      <c r="U1537" t="n">
        <v>158.1</v>
      </c>
      <c r="X1537" t="inlineStr">
        <is>
          <t>aafc-aac</t>
        </is>
      </c>
      <c r="Y1537" t="inlineStr">
        <is>
          <t>Agriculture and Agri-Food Canada | Agriculture et Agroalimentaire Canada</t>
        </is>
      </c>
    </row>
    <row r="1538">
      <c r="A1538" t="inlineStr">
        <is>
          <t>T-2019-Q1-00089</t>
        </is>
      </c>
      <c r="B1538" t="inlineStr">
        <is>
          <t>MPSES</t>
        </is>
      </c>
      <c r="C1538" t="inlineStr">
        <is>
          <t>Press Secretary</t>
        </is>
      </c>
      <c r="D1538" t="inlineStr">
        <is>
          <t>Attachée de presse</t>
        </is>
      </c>
      <c r="E1538" t="inlineStr">
        <is>
          <t>Justine Lesage</t>
        </is>
      </c>
      <c r="F1538" t="inlineStr">
        <is>
          <t>To accompany the Minister to the Forum SAM 2019 and the annual meeting of the Politique bioalimentation partners</t>
        </is>
      </c>
      <c r="G1538" t="inlineStr">
        <is>
          <t xml:space="preserve">Pour accompagner la Ministre au Forum SAM 2019 et à la rencontre annuelle des partenaires de Politique bioalimentaire </t>
        </is>
      </c>
      <c r="H1538" s="1" t="n">
        <v>43616</v>
      </c>
      <c r="I1538" s="1" t="n">
        <v>43616</v>
      </c>
      <c r="J1538" t="inlineStr">
        <is>
          <t>St-Hyacinthe, Quebec; Drummondville, Quebec</t>
        </is>
      </c>
      <c r="K1538" t="inlineStr">
        <is>
          <t>St-Hyacinthe, (Québec); Drummondville, (Québec)</t>
        </is>
      </c>
      <c r="P1538" t="n">
        <v>0</v>
      </c>
      <c r="Q1538" t="n">
        <v>154.82</v>
      </c>
      <c r="R1538" t="n">
        <v>0</v>
      </c>
      <c r="S1538" t="n">
        <v>20.1</v>
      </c>
      <c r="T1538" t="n">
        <v>0</v>
      </c>
      <c r="U1538" t="n">
        <v>174.92</v>
      </c>
      <c r="X1538" t="inlineStr">
        <is>
          <t>aafc-aac</t>
        </is>
      </c>
      <c r="Y1538" t="inlineStr">
        <is>
          <t>Agriculture and Agri-Food Canada | Agriculture et Agroalimentaire Canada</t>
        </is>
      </c>
    </row>
    <row r="1539">
      <c r="A1539" t="inlineStr">
        <is>
          <t>T-2019-Q1-00090</t>
        </is>
      </c>
      <c r="B1539" t="inlineStr">
        <is>
          <t>MPSES</t>
        </is>
      </c>
      <c r="C1539" t="inlineStr">
        <is>
          <t>Director of Parliamentary Affairs</t>
        </is>
      </c>
      <c r="D1539" t="inlineStr">
        <is>
          <t>Directeur des affaires parlementaires</t>
        </is>
      </c>
      <c r="E1539" t="inlineStr">
        <is>
          <t>Matthew Mann</t>
        </is>
      </c>
      <c r="F1539" t="inlineStr">
        <is>
          <t>Cancelled</t>
        </is>
      </c>
      <c r="G1539" t="inlineStr">
        <is>
          <t>Annulé</t>
        </is>
      </c>
      <c r="H1539" s="1" t="n">
        <v>43527</v>
      </c>
      <c r="I1539" s="1" t="n">
        <v>43527</v>
      </c>
      <c r="J1539" t="inlineStr">
        <is>
          <t>Charlottetown, Prince Edward Island</t>
        </is>
      </c>
      <c r="K1539" t="inlineStr">
        <is>
          <t>Charlottetown (Île-du-Prince-Édouard)</t>
        </is>
      </c>
      <c r="R1539" t="n">
        <v>192.05</v>
      </c>
      <c r="U1539" t="n">
        <v>192.05</v>
      </c>
      <c r="V1539" t="inlineStr">
        <is>
          <t>No Show Fee - Travel booked before the change in Minister's</t>
        </is>
      </c>
      <c r="W1539" t="inlineStr">
        <is>
          <t>Frais de défection encourus.  Voyage réservé avant le changement de ministre.</t>
        </is>
      </c>
      <c r="X1539" t="inlineStr">
        <is>
          <t>aafc-aac</t>
        </is>
      </c>
      <c r="Y1539" t="inlineStr">
        <is>
          <t>Agriculture and Agri-Food Canada | Agriculture et Agroalimentaire Canada</t>
        </is>
      </c>
    </row>
    <row r="1540">
      <c r="A1540" t="inlineStr">
        <is>
          <t>T-2019-Q1-00091</t>
        </is>
      </c>
      <c r="B1540" t="inlineStr">
        <is>
          <t>MPSES</t>
        </is>
      </c>
      <c r="C1540" t="inlineStr">
        <is>
          <t>Driver</t>
        </is>
      </c>
      <c r="D1540" t="inlineStr">
        <is>
          <t>Chauffeur</t>
        </is>
      </c>
      <c r="E1540" t="inlineStr">
        <is>
          <t>Michel Gendreau</t>
        </is>
      </c>
      <c r="F1540" t="inlineStr">
        <is>
          <t>To pick up the Minister from Sherbrooke and drive her to Ottawa</t>
        </is>
      </c>
      <c r="G1540" t="inlineStr">
        <is>
          <t>Pour aller chercher la Ministre à Sherbrooke et la conduire à Ottawa</t>
        </is>
      </c>
      <c r="H1540" s="1" t="n">
        <v>43527</v>
      </c>
      <c r="I1540" s="1" t="n">
        <v>43528</v>
      </c>
      <c r="J1540" t="inlineStr">
        <is>
          <t>Sherbrooke, Quebec</t>
        </is>
      </c>
      <c r="K1540" t="inlineStr">
        <is>
          <t>Sherbrooke (Québec)</t>
        </is>
      </c>
      <c r="P1540" t="n">
        <v>0</v>
      </c>
      <c r="Q1540" t="n">
        <v>6.2</v>
      </c>
      <c r="R1540" t="n">
        <v>141.3</v>
      </c>
      <c r="S1540" t="n">
        <v>67.3</v>
      </c>
      <c r="T1540" t="n">
        <v>0</v>
      </c>
      <c r="U1540" t="n">
        <v>214.8</v>
      </c>
      <c r="X1540" t="inlineStr">
        <is>
          <t>aafc-aac</t>
        </is>
      </c>
      <c r="Y1540" t="inlineStr">
        <is>
          <t>Agriculture and Agri-Food Canada | Agriculture et Agroalimentaire Canada</t>
        </is>
      </c>
    </row>
    <row r="1541">
      <c r="A1541" t="inlineStr">
        <is>
          <t>T-2019-Q1-00092</t>
        </is>
      </c>
      <c r="B1541" t="inlineStr">
        <is>
          <t>MPSES</t>
        </is>
      </c>
      <c r="C1541" t="inlineStr">
        <is>
          <t>Driver</t>
        </is>
      </c>
      <c r="D1541" t="inlineStr">
        <is>
          <t>Chauffeur</t>
        </is>
      </c>
      <c r="E1541" t="inlineStr">
        <is>
          <t>Michel Gendreau</t>
        </is>
      </c>
      <c r="F1541" t="inlineStr">
        <is>
          <t>To drive the Minister to Sherbrooke</t>
        </is>
      </c>
      <c r="G1541" t="inlineStr">
        <is>
          <t>Pour conduire la Ministre à Sherbrooke</t>
        </is>
      </c>
      <c r="H1541" s="1" t="n">
        <v>43531</v>
      </c>
      <c r="I1541" s="1" t="n">
        <v>43531</v>
      </c>
      <c r="J1541" t="inlineStr">
        <is>
          <t>Sherbrooke, Quebec</t>
        </is>
      </c>
      <c r="K1541" t="inlineStr">
        <is>
          <t>Sherbrooke (Québec)</t>
        </is>
      </c>
      <c r="P1541" t="n">
        <v>0</v>
      </c>
      <c r="Q1541" t="n">
        <v>6.2</v>
      </c>
      <c r="R1541" t="n">
        <v>0</v>
      </c>
      <c r="S1541" t="n">
        <v>50</v>
      </c>
      <c r="T1541" t="n">
        <v>0</v>
      </c>
      <c r="U1541" t="n">
        <v>56.2</v>
      </c>
      <c r="X1541" t="inlineStr">
        <is>
          <t>aafc-aac</t>
        </is>
      </c>
      <c r="Y1541" t="inlineStr">
        <is>
          <t>Agriculture and Agri-Food Canada | Agriculture et Agroalimentaire Canada</t>
        </is>
      </c>
    </row>
    <row r="1542">
      <c r="A1542" t="inlineStr">
        <is>
          <t>T-2019-Q1-00093</t>
        </is>
      </c>
      <c r="B1542" t="inlineStr">
        <is>
          <t>MPSES</t>
        </is>
      </c>
      <c r="C1542" t="inlineStr">
        <is>
          <t>Driver</t>
        </is>
      </c>
      <c r="D1542" t="inlineStr">
        <is>
          <t>Chauffeur</t>
        </is>
      </c>
      <c r="E1542" t="inlineStr">
        <is>
          <t>Michel Gendreau</t>
        </is>
      </c>
      <c r="F1542" t="inlineStr">
        <is>
          <t>To pick up the Minister from Sherbrooke and drive her to Ottawa</t>
        </is>
      </c>
      <c r="G1542" t="inlineStr">
        <is>
          <t>Pour aller chercher la Ministre à Sherbrooke et la conduire à Ottawa</t>
        </is>
      </c>
      <c r="H1542" s="1" t="n">
        <v>43541</v>
      </c>
      <c r="I1542" s="1" t="n">
        <v>43543</v>
      </c>
      <c r="J1542" t="inlineStr">
        <is>
          <t>Sherbrooke, Quebec</t>
        </is>
      </c>
      <c r="K1542" t="inlineStr">
        <is>
          <t>Sherbrooke (Québec)</t>
        </is>
      </c>
      <c r="P1542" t="n">
        <v>0</v>
      </c>
      <c r="Q1542" t="n">
        <v>12.4</v>
      </c>
      <c r="R1542" t="n">
        <v>135.65</v>
      </c>
      <c r="S1542" t="n">
        <v>67.3</v>
      </c>
      <c r="T1542" t="n">
        <v>0</v>
      </c>
      <c r="U1542" t="n">
        <v>215.35</v>
      </c>
      <c r="X1542" t="inlineStr">
        <is>
          <t>aafc-aac</t>
        </is>
      </c>
      <c r="Y1542" t="inlineStr">
        <is>
          <t>Agriculture and Agri-Food Canada | Agriculture et Agroalimentaire Canada</t>
        </is>
      </c>
    </row>
    <row r="1543">
      <c r="A1543" t="inlineStr">
        <is>
          <t>T-2019-Q1-00094</t>
        </is>
      </c>
      <c r="B1543" t="inlineStr">
        <is>
          <t>MPSES</t>
        </is>
      </c>
      <c r="C1543" t="inlineStr">
        <is>
          <t>Driver</t>
        </is>
      </c>
      <c r="D1543" t="inlineStr">
        <is>
          <t>Chauffeur</t>
        </is>
      </c>
      <c r="E1543" t="inlineStr">
        <is>
          <t>Michel Gendreau</t>
        </is>
      </c>
      <c r="F1543" t="inlineStr">
        <is>
          <t>To pick up the Minister from Sherbrooke and drive her to Napanee to meet with local farmers and visit a seniors home</t>
        </is>
      </c>
      <c r="G1543" t="inlineStr">
        <is>
          <t>Pour aller chercher la Ministre à Sherbooke et la conduire à Napanee afin qu'elle rencontre des agriculteurs locaux et visite une résidence pour personnes âgées</t>
        </is>
      </c>
      <c r="H1543" s="1" t="n">
        <v>43548</v>
      </c>
      <c r="I1543" s="1" t="n">
        <v>43549</v>
      </c>
      <c r="J1543" t="inlineStr">
        <is>
          <t>Napanee, Ontario</t>
        </is>
      </c>
      <c r="K1543" t="inlineStr">
        <is>
          <t>Napanee (Ontario)</t>
        </is>
      </c>
      <c r="P1543" t="n">
        <v>0</v>
      </c>
      <c r="Q1543" t="n">
        <v>6.2</v>
      </c>
      <c r="R1543" t="n">
        <v>187.58</v>
      </c>
      <c r="S1543" t="n">
        <v>144.55</v>
      </c>
      <c r="T1543" t="n">
        <v>0</v>
      </c>
      <c r="U1543" t="n">
        <v>338.33</v>
      </c>
      <c r="X1543" t="inlineStr">
        <is>
          <t>aafc-aac</t>
        </is>
      </c>
      <c r="Y1543" t="inlineStr">
        <is>
          <t>Agriculture and Agri-Food Canada | Agriculture et Agroalimentaire Canada</t>
        </is>
      </c>
    </row>
    <row r="1544">
      <c r="A1544" t="inlineStr">
        <is>
          <t>T-2019-Q1-00095</t>
        </is>
      </c>
      <c r="B1544" t="inlineStr">
        <is>
          <t>MPSES</t>
        </is>
      </c>
      <c r="C1544" t="inlineStr">
        <is>
          <t>Driver</t>
        </is>
      </c>
      <c r="D1544" t="inlineStr">
        <is>
          <t>Chauffeur</t>
        </is>
      </c>
      <c r="E1544" t="inlineStr">
        <is>
          <t>Michel Gendreau</t>
        </is>
      </c>
      <c r="F1544" t="inlineStr">
        <is>
          <t xml:space="preserve">To drive the Minister to attend announcements in Sherbrooke and Drummondville, visit senior homes and the Grain Farmers Conference. </t>
        </is>
      </c>
      <c r="G1544" t="inlineStr">
        <is>
          <t>Pour conduire la Ministre pour des annonces à Sherbrooke et à Drummondville, visiter une résidence pour personnes âgées et participer à la conférence des Producteurs de grains du Québec</t>
        </is>
      </c>
      <c r="H1544" s="1" t="n">
        <v>43550</v>
      </c>
      <c r="I1544" s="1" t="n">
        <v>43552</v>
      </c>
      <c r="J1544" t="inlineStr">
        <is>
          <t>Sherbrooke, Quebec; Drummondville, Quebec</t>
        </is>
      </c>
      <c r="K1544" t="inlineStr">
        <is>
          <t>Sherbrooke (Québec); Drummondville (Québec)</t>
        </is>
      </c>
      <c r="P1544" t="n">
        <v>0</v>
      </c>
      <c r="Q1544" t="n">
        <v>0</v>
      </c>
      <c r="R1544" t="n">
        <v>271.3</v>
      </c>
      <c r="S1544" t="n">
        <v>322.2</v>
      </c>
      <c r="T1544" t="n">
        <v>0</v>
      </c>
      <c r="U1544" t="n">
        <v>593.5</v>
      </c>
      <c r="X1544" t="inlineStr">
        <is>
          <t>aafc-aac</t>
        </is>
      </c>
      <c r="Y1544" t="inlineStr">
        <is>
          <t>Agriculture and Agri-Food Canada | Agriculture et Agroalimentaire Canada</t>
        </is>
      </c>
    </row>
    <row r="1545">
      <c r="A1545" t="inlineStr">
        <is>
          <t>T-2019-Q1-00096</t>
        </is>
      </c>
      <c r="B1545" t="inlineStr">
        <is>
          <t>MPSES</t>
        </is>
      </c>
      <c r="C1545" t="inlineStr">
        <is>
          <t>Driver</t>
        </is>
      </c>
      <c r="D1545" t="inlineStr">
        <is>
          <t>Chauffeur</t>
        </is>
      </c>
      <c r="E1545" t="inlineStr">
        <is>
          <t>Michel Gendreau</t>
        </is>
      </c>
      <c r="F1545" t="inlineStr">
        <is>
          <t>To pick up the Minister from Sherbrooke and drive her to Ottawa</t>
        </is>
      </c>
      <c r="G1545" t="inlineStr">
        <is>
          <t>Pour aller chercher la Ministre à Sherbrooke et la conduire à Ottawa</t>
        </is>
      </c>
      <c r="H1545" s="1" t="n">
        <v>43555</v>
      </c>
      <c r="I1545" s="1" t="n">
        <v>43556</v>
      </c>
      <c r="J1545" t="inlineStr">
        <is>
          <t>Sherbrooke, Quebec</t>
        </is>
      </c>
      <c r="K1545" t="inlineStr">
        <is>
          <t>Sherbrooke (Québec)</t>
        </is>
      </c>
      <c r="P1545" t="n">
        <v>0</v>
      </c>
      <c r="Q1545" t="n">
        <v>6.2</v>
      </c>
      <c r="R1545" t="n">
        <v>141.3</v>
      </c>
      <c r="S1545" t="n">
        <v>67.95</v>
      </c>
      <c r="T1545" t="n">
        <v>0</v>
      </c>
      <c r="U1545" t="n">
        <v>215.45</v>
      </c>
      <c r="X1545" t="inlineStr">
        <is>
          <t>aafc-aac</t>
        </is>
      </c>
      <c r="Y1545" t="inlineStr">
        <is>
          <t>Agriculture and Agri-Food Canada | Agriculture et Agroalimentaire Canada</t>
        </is>
      </c>
    </row>
    <row r="1546">
      <c r="A1546" t="inlineStr">
        <is>
          <t>T-2019-Q1-00097</t>
        </is>
      </c>
      <c r="B1546" t="inlineStr">
        <is>
          <t>MPSES</t>
        </is>
      </c>
      <c r="C1546" t="inlineStr">
        <is>
          <t>Driver</t>
        </is>
      </c>
      <c r="D1546" t="inlineStr">
        <is>
          <t>Chauffeur</t>
        </is>
      </c>
      <c r="E1546" t="inlineStr">
        <is>
          <t>Michel Gendreau</t>
        </is>
      </c>
      <c r="F1546" t="inlineStr">
        <is>
          <t>To pick up the Minister from Montreal and drive her to Ottawa</t>
        </is>
      </c>
      <c r="G1546" t="inlineStr">
        <is>
          <t>Pour aller chercher la Ministre à Montréal et la conduire à Ottawa</t>
        </is>
      </c>
      <c r="H1546" s="1" t="n">
        <v>43558</v>
      </c>
      <c r="I1546" s="1" t="n">
        <v>43558</v>
      </c>
      <c r="J1546" t="inlineStr">
        <is>
          <t>Montreal, Quebec</t>
        </is>
      </c>
      <c r="K1546" t="inlineStr">
        <is>
          <t>Montréal (Québec)</t>
        </is>
      </c>
      <c r="P1546" t="n">
        <v>0</v>
      </c>
      <c r="Q1546" t="n">
        <v>3.1</v>
      </c>
      <c r="R1546" t="n">
        <v>0</v>
      </c>
      <c r="S1546" t="n">
        <v>50.65</v>
      </c>
      <c r="T1546" t="n">
        <v>0</v>
      </c>
      <c r="U1546" t="n">
        <v>53.75</v>
      </c>
      <c r="X1546" t="inlineStr">
        <is>
          <t>aafc-aac</t>
        </is>
      </c>
      <c r="Y1546" t="inlineStr">
        <is>
          <t>Agriculture and Agri-Food Canada | Agriculture et Agroalimentaire Canada</t>
        </is>
      </c>
    </row>
    <row r="1547">
      <c r="A1547" t="inlineStr">
        <is>
          <t>T-2019-Q1-00098</t>
        </is>
      </c>
      <c r="B1547" t="inlineStr">
        <is>
          <t>MPSES</t>
        </is>
      </c>
      <c r="C1547" t="inlineStr">
        <is>
          <t>Driver</t>
        </is>
      </c>
      <c r="D1547" t="inlineStr">
        <is>
          <t>Chauffeur</t>
        </is>
      </c>
      <c r="E1547" t="inlineStr">
        <is>
          <t>Michel Gendreau</t>
        </is>
      </c>
      <c r="F1547" t="inlineStr">
        <is>
          <t>To drive the Minister to Sherbrooke</t>
        </is>
      </c>
      <c r="G1547" t="inlineStr">
        <is>
          <t>Pour conduire la Ministre à Sherbrooke</t>
        </is>
      </c>
      <c r="H1547" s="1" t="n">
        <v>43560</v>
      </c>
      <c r="I1547" s="1" t="n">
        <v>43560</v>
      </c>
      <c r="J1547" t="inlineStr">
        <is>
          <t>Sherbrooke, Quebec</t>
        </is>
      </c>
      <c r="K1547" t="inlineStr">
        <is>
          <t>Sherbrooke (Québec)</t>
        </is>
      </c>
      <c r="P1547" t="n">
        <v>0</v>
      </c>
      <c r="Q1547" t="n">
        <v>6.2</v>
      </c>
      <c r="R1547" t="n">
        <v>0</v>
      </c>
      <c r="S1547" t="n">
        <v>50.65</v>
      </c>
      <c r="T1547" t="n">
        <v>0</v>
      </c>
      <c r="U1547" t="n">
        <v>56.85</v>
      </c>
      <c r="X1547" t="inlineStr">
        <is>
          <t>aafc-aac</t>
        </is>
      </c>
      <c r="Y1547" t="inlineStr">
        <is>
          <t>Agriculture and Agri-Food Canada | Agriculture et Agroalimentaire Canada</t>
        </is>
      </c>
    </row>
    <row r="1548">
      <c r="A1548" t="inlineStr">
        <is>
          <t>T-2019-Q1-00099</t>
        </is>
      </c>
      <c r="B1548" t="inlineStr">
        <is>
          <t>MPSES</t>
        </is>
      </c>
      <c r="C1548" t="inlineStr">
        <is>
          <t>Driver</t>
        </is>
      </c>
      <c r="D1548" t="inlineStr">
        <is>
          <t>Chauffeur</t>
        </is>
      </c>
      <c r="E1548" t="inlineStr">
        <is>
          <t>Michel Gendreau</t>
        </is>
      </c>
      <c r="F1548" t="inlineStr">
        <is>
          <t>To pick up the Minister from Sherbrooke and drive her to Ottawa</t>
        </is>
      </c>
      <c r="G1548" t="inlineStr">
        <is>
          <t>Pour aller chercher la Ministre à Sherbrooke et la conduire à Ottawa</t>
        </is>
      </c>
      <c r="H1548" s="1" t="n">
        <v>43562</v>
      </c>
      <c r="I1548" s="1" t="n">
        <v>43563</v>
      </c>
      <c r="J1548" t="inlineStr">
        <is>
          <t>Sherbrooke, Quebec</t>
        </is>
      </c>
      <c r="K1548" t="inlineStr">
        <is>
          <t>Sherbrooke (Québec)</t>
        </is>
      </c>
      <c r="P1548" t="n">
        <v>0</v>
      </c>
      <c r="Q1548" t="n">
        <v>6.2</v>
      </c>
      <c r="R1548" t="n">
        <v>152.6</v>
      </c>
      <c r="S1548" t="n">
        <v>67.95</v>
      </c>
      <c r="T1548" t="n">
        <v>0</v>
      </c>
      <c r="U1548" t="n">
        <v>226.75</v>
      </c>
      <c r="X1548" t="inlineStr">
        <is>
          <t>aafc-aac</t>
        </is>
      </c>
      <c r="Y1548" t="inlineStr">
        <is>
          <t>Agriculture and Agri-Food Canada | Agriculture et Agroalimentaire Canada</t>
        </is>
      </c>
    </row>
    <row r="1549">
      <c r="A1549" t="inlineStr">
        <is>
          <t>T-2019-Q1-00100</t>
        </is>
      </c>
      <c r="B1549" t="inlineStr">
        <is>
          <t>MPSES</t>
        </is>
      </c>
      <c r="C1549" t="inlineStr">
        <is>
          <t>Driver</t>
        </is>
      </c>
      <c r="D1549" t="inlineStr">
        <is>
          <t>Chauffeur</t>
        </is>
      </c>
      <c r="E1549" t="inlineStr">
        <is>
          <t>Michel Gendreau</t>
        </is>
      </c>
      <c r="F1549" t="inlineStr">
        <is>
          <t>To drive the Minister to Sherbrooke</t>
        </is>
      </c>
      <c r="G1549" t="inlineStr">
        <is>
          <t>Pour conduire la Ministre à Sherbrooke</t>
        </is>
      </c>
      <c r="H1549" s="1" t="n">
        <v>43566</v>
      </c>
      <c r="I1549" s="1" t="n">
        <v>43566</v>
      </c>
      <c r="J1549" t="inlineStr">
        <is>
          <t>Sherbrooke, Quebec</t>
        </is>
      </c>
      <c r="K1549" t="inlineStr">
        <is>
          <t>Sherbrooke (Québec)</t>
        </is>
      </c>
      <c r="P1549" t="n">
        <v>0</v>
      </c>
      <c r="Q1549" t="n">
        <v>6.2</v>
      </c>
      <c r="R1549" t="n">
        <v>0</v>
      </c>
      <c r="S1549" t="n">
        <v>50.65</v>
      </c>
      <c r="T1549" t="n">
        <v>0</v>
      </c>
      <c r="U1549" t="n">
        <v>56.85</v>
      </c>
      <c r="X1549" t="inlineStr">
        <is>
          <t>aafc-aac</t>
        </is>
      </c>
      <c r="Y1549" t="inlineStr">
        <is>
          <t>Agriculture and Agri-Food Canada | Agriculture et Agroalimentaire Canada</t>
        </is>
      </c>
    </row>
    <row r="1550">
      <c r="A1550" t="inlineStr">
        <is>
          <t>T-2019-Q1-00101</t>
        </is>
      </c>
      <c r="B1550" t="inlineStr">
        <is>
          <t>MPSES</t>
        </is>
      </c>
      <c r="C1550" t="inlineStr">
        <is>
          <t>Driver</t>
        </is>
      </c>
      <c r="D1550" t="inlineStr">
        <is>
          <t>Chauffeur</t>
        </is>
      </c>
      <c r="E1550" t="inlineStr">
        <is>
          <t>Michel Gendreau</t>
        </is>
      </c>
      <c r="F1550" t="inlineStr">
        <is>
          <t>To pick up the Minister from Sherbrooke and drive her to Ottawa</t>
        </is>
      </c>
      <c r="G1550" t="inlineStr">
        <is>
          <t>Pour aller chercher la Ministre à Sherbrooke et la conduire à Ottawa</t>
        </is>
      </c>
      <c r="H1550" s="1" t="n">
        <v>43583</v>
      </c>
      <c r="I1550" s="1" t="n">
        <v>43584</v>
      </c>
      <c r="J1550" t="inlineStr">
        <is>
          <t>Sherbrooke, Quebec</t>
        </is>
      </c>
      <c r="K1550" t="inlineStr">
        <is>
          <t>Sherbrooke (Québec)</t>
        </is>
      </c>
      <c r="P1550" t="n">
        <v>0</v>
      </c>
      <c r="Q1550" t="n">
        <v>0</v>
      </c>
      <c r="R1550" t="n">
        <v>141.3</v>
      </c>
      <c r="S1550" t="n">
        <v>67.95</v>
      </c>
      <c r="T1550" t="n">
        <v>0</v>
      </c>
      <c r="U1550" t="n">
        <v>209.25</v>
      </c>
      <c r="X1550" t="inlineStr">
        <is>
          <t>aafc-aac</t>
        </is>
      </c>
      <c r="Y1550" t="inlineStr">
        <is>
          <t>Agriculture and Agri-Food Canada | Agriculture et Agroalimentaire Canada</t>
        </is>
      </c>
    </row>
    <row r="1551">
      <c r="A1551" t="inlineStr">
        <is>
          <t>T-2019-Q1-00102</t>
        </is>
      </c>
      <c r="B1551" t="inlineStr">
        <is>
          <t>MPSES</t>
        </is>
      </c>
      <c r="C1551" t="inlineStr">
        <is>
          <t>Driver</t>
        </is>
      </c>
      <c r="D1551" t="inlineStr">
        <is>
          <t>Chauffeur</t>
        </is>
      </c>
      <c r="E1551" t="inlineStr">
        <is>
          <t>Michel Gendreau</t>
        </is>
      </c>
      <c r="F1551" t="inlineStr">
        <is>
          <t>To pick up the Minister from Sherbrooke and drive her to Ottawa</t>
        </is>
      </c>
      <c r="G1551" t="inlineStr">
        <is>
          <t>Pour aller chercher la Ministre à Sherbrooke et la conduire à Ottawa</t>
        </is>
      </c>
      <c r="H1551" s="1" t="n">
        <v>43590</v>
      </c>
      <c r="I1551" s="1" t="n">
        <v>43591</v>
      </c>
      <c r="J1551" t="inlineStr">
        <is>
          <t>Sherbrooke, Quebec</t>
        </is>
      </c>
      <c r="K1551" t="inlineStr">
        <is>
          <t>Sherbrooke (Québec)</t>
        </is>
      </c>
      <c r="P1551" t="n">
        <v>0</v>
      </c>
      <c r="Q1551" t="n">
        <v>6.2</v>
      </c>
      <c r="R1551" t="n">
        <v>141.3</v>
      </c>
      <c r="S1551" t="n">
        <v>88.45</v>
      </c>
      <c r="T1551" t="n">
        <v>0</v>
      </c>
      <c r="U1551" t="n">
        <v>235.95</v>
      </c>
      <c r="X1551" t="inlineStr">
        <is>
          <t>aafc-aac</t>
        </is>
      </c>
      <c r="Y1551" t="inlineStr">
        <is>
          <t>Agriculture and Agri-Food Canada | Agriculture et Agroalimentaire Canada</t>
        </is>
      </c>
    </row>
    <row r="1552">
      <c r="A1552" t="inlineStr">
        <is>
          <t>T-2020-P3-0001</t>
        </is>
      </c>
      <c r="B1552" t="inlineStr">
        <is>
          <t>MPSES</t>
        </is>
      </c>
      <c r="C1552" t="inlineStr">
        <is>
          <t>Driver</t>
        </is>
      </c>
      <c r="D1552" t="inlineStr">
        <is>
          <t>Chauffeur</t>
        </is>
      </c>
      <c r="E1552" t="inlineStr">
        <is>
          <t>Michel Gendreau</t>
        </is>
      </c>
      <c r="F1552" t="inlineStr">
        <is>
          <t>Drive the Minister from her riding to Ottawa</t>
        </is>
      </c>
      <c r="G1552" t="inlineStr">
        <is>
          <t>Conduire la Ministre de sa circonscription à Ottawa</t>
        </is>
      </c>
      <c r="H1552" s="1" t="n">
        <v>43949</v>
      </c>
      <c r="I1552" s="1" t="n">
        <v>43949</v>
      </c>
      <c r="J1552" t="inlineStr">
        <is>
          <t>Sherbrooke (Quebec) Canada</t>
        </is>
      </c>
      <c r="K1552" t="inlineStr">
        <is>
          <t>Sherbrooke (Québec) Canada</t>
        </is>
      </c>
      <c r="P1552" t="n">
        <v>0</v>
      </c>
      <c r="Q1552" t="n">
        <v>0</v>
      </c>
      <c r="R1552" t="n">
        <v>0</v>
      </c>
      <c r="S1552" t="n">
        <v>51.25</v>
      </c>
      <c r="T1552" t="n">
        <v>0</v>
      </c>
      <c r="U1552" t="n">
        <v>51.25</v>
      </c>
      <c r="X1552" t="inlineStr">
        <is>
          <t>aafc-aac</t>
        </is>
      </c>
      <c r="Y1552" t="inlineStr">
        <is>
          <t>Agriculture and Agri-Food Canada | Agriculture et Agroalimentaire Canada</t>
        </is>
      </c>
    </row>
    <row r="1553">
      <c r="A1553" t="inlineStr">
        <is>
          <t>T-2020-P3-0002</t>
        </is>
      </c>
      <c r="B1553" t="inlineStr">
        <is>
          <t>MPSES</t>
        </is>
      </c>
      <c r="C1553" t="inlineStr">
        <is>
          <t>Driver</t>
        </is>
      </c>
      <c r="D1553" t="inlineStr">
        <is>
          <t>Chauffeur</t>
        </is>
      </c>
      <c r="E1553" t="inlineStr">
        <is>
          <t>Michel Gendreau</t>
        </is>
      </c>
      <c r="F1553" t="inlineStr">
        <is>
          <t>Drive the Minister to her riding from Ottawa</t>
        </is>
      </c>
      <c r="G1553" t="inlineStr">
        <is>
          <t>Conduire la ministre d'Ottawa jusqu'à sa circonscription.</t>
        </is>
      </c>
      <c r="H1553" s="1" t="n">
        <v>43958</v>
      </c>
      <c r="I1553" s="1" t="n">
        <v>43958</v>
      </c>
      <c r="J1553" t="inlineStr">
        <is>
          <t>Sherbrooke (Quebec) Canada</t>
        </is>
      </c>
      <c r="K1553" t="inlineStr">
        <is>
          <t>Sherbrooke (Québec) Canada</t>
        </is>
      </c>
      <c r="P1553" t="n">
        <v>0</v>
      </c>
      <c r="Q1553" t="n">
        <v>0</v>
      </c>
      <c r="R1553" t="n">
        <v>0</v>
      </c>
      <c r="S1553" t="n">
        <v>20.9</v>
      </c>
      <c r="T1553" t="n">
        <v>0</v>
      </c>
      <c r="U1553" t="n">
        <v>20.9</v>
      </c>
      <c r="X1553" t="inlineStr">
        <is>
          <t>aafc-aac</t>
        </is>
      </c>
      <c r="Y1553" t="inlineStr">
        <is>
          <t>Agriculture and Agri-Food Canada | Agriculture et Agroalimentaire Canada</t>
        </is>
      </c>
    </row>
    <row r="1554">
      <c r="A1554" t="inlineStr">
        <is>
          <t>T-2020-P3-0003</t>
        </is>
      </c>
      <c r="B1554" t="inlineStr">
        <is>
          <t>MPSES</t>
        </is>
      </c>
      <c r="C1554" t="inlineStr">
        <is>
          <t>Driver</t>
        </is>
      </c>
      <c r="D1554" t="inlineStr">
        <is>
          <t>Chauffeur</t>
        </is>
      </c>
      <c r="E1554" t="inlineStr">
        <is>
          <t>Michel Gendreau</t>
        </is>
      </c>
      <c r="F1554" t="inlineStr">
        <is>
          <t>Drive the Minister to her riding from Ottawa</t>
        </is>
      </c>
      <c r="G1554" t="inlineStr">
        <is>
          <t>Conduire la ministre d'Ottawa jusqu'à sa circonscription.</t>
        </is>
      </c>
      <c r="H1554" s="1" t="n">
        <v>43952</v>
      </c>
      <c r="I1554" s="1" t="n">
        <v>43952</v>
      </c>
      <c r="J1554" t="inlineStr">
        <is>
          <t>Sherbrooke (Quebec) Canada</t>
        </is>
      </c>
      <c r="K1554" t="inlineStr">
        <is>
          <t>Sherbrooke (Québec) Canada</t>
        </is>
      </c>
      <c r="P1554" t="n">
        <v>0</v>
      </c>
      <c r="Q1554" t="n">
        <v>0</v>
      </c>
      <c r="R1554" t="n">
        <v>0</v>
      </c>
      <c r="S1554" t="n">
        <v>51.25</v>
      </c>
      <c r="T1554" t="n">
        <v>0</v>
      </c>
      <c r="U1554" t="n">
        <v>51.25</v>
      </c>
      <c r="X1554" t="inlineStr">
        <is>
          <t>aafc-aac</t>
        </is>
      </c>
      <c r="Y1554" t="inlineStr">
        <is>
          <t>Agriculture and Agri-Food Canada | Agriculture et Agroalimentaire Canada</t>
        </is>
      </c>
    </row>
    <row r="1555">
      <c r="A1555" t="inlineStr">
        <is>
          <t>T-2020-P3-0004</t>
        </is>
      </c>
      <c r="B1555" t="inlineStr">
        <is>
          <t>MPSES</t>
        </is>
      </c>
      <c r="C1555" t="inlineStr">
        <is>
          <t>Driver</t>
        </is>
      </c>
      <c r="D1555" t="inlineStr">
        <is>
          <t>Chauffeur</t>
        </is>
      </c>
      <c r="E1555" t="inlineStr">
        <is>
          <t>Michel Gendreau</t>
        </is>
      </c>
      <c r="F1555" t="inlineStr">
        <is>
          <t>Drive the Minister from her riding to Ottawa</t>
        </is>
      </c>
      <c r="G1555" t="inlineStr">
        <is>
          <t>Conduire la Ministre de sa circonscription à Ottawa</t>
        </is>
      </c>
      <c r="H1555" s="1" t="n">
        <v>43955</v>
      </c>
      <c r="I1555" s="1" t="n">
        <v>43955</v>
      </c>
      <c r="J1555" t="inlineStr">
        <is>
          <t>Sherbrooke (Quebec) Canada</t>
        </is>
      </c>
      <c r="K1555" t="inlineStr">
        <is>
          <t>Sherbrooke (Québec) Canada</t>
        </is>
      </c>
      <c r="P1555" t="n">
        <v>0</v>
      </c>
      <c r="Q1555" t="n">
        <v>0</v>
      </c>
      <c r="R1555" t="n">
        <v>0</v>
      </c>
      <c r="S1555" t="n">
        <v>51.25</v>
      </c>
      <c r="T1555" t="n">
        <v>0</v>
      </c>
      <c r="U1555" t="n">
        <v>51.25</v>
      </c>
      <c r="X1555" t="inlineStr">
        <is>
          <t>aafc-aac</t>
        </is>
      </c>
      <c r="Y1555" t="inlineStr">
        <is>
          <t>Agriculture and Agri-Food Canada | Agriculture et Agroalimentaire Canada</t>
        </is>
      </c>
    </row>
    <row r="1556">
      <c r="A1556" t="inlineStr">
        <is>
          <t>T-2020-P4-0001</t>
        </is>
      </c>
      <c r="B1556" t="inlineStr">
        <is>
          <t>MPSES</t>
        </is>
      </c>
      <c r="C1556" t="inlineStr">
        <is>
          <t>Press Secretary</t>
        </is>
      </c>
      <c r="D1556" t="inlineStr">
        <is>
          <t>Attaché de Presse</t>
        </is>
      </c>
      <c r="E1556" t="inlineStr">
        <is>
          <t>Jean-Sébastien Comeau</t>
        </is>
      </c>
      <c r="F1556" t="inlineStr">
        <is>
          <t>Joined the Minister in Sherbrooke and accompanied her to meetings in Quebec City.</t>
        </is>
      </c>
      <c r="G1556" t="inlineStr">
        <is>
          <t>Rejoindre la ministre à Sherbrooke et l'accompagner aux rencontres à Québec.</t>
        </is>
      </c>
      <c r="H1556" s="1" t="n">
        <v>44021</v>
      </c>
      <c r="I1556" s="1" t="n">
        <v>44022</v>
      </c>
      <c r="J1556" t="inlineStr">
        <is>
          <t>Sherbrooke (Quebec) Canada;
Quebec (Quebec) Canada</t>
        </is>
      </c>
      <c r="K1556" t="inlineStr">
        <is>
          <t>Sherbrooke (Québec) Canada;
Québec (Québec) Canada</t>
        </is>
      </c>
      <c r="P1556" t="n">
        <v>0</v>
      </c>
      <c r="Q1556" t="n">
        <v>0</v>
      </c>
      <c r="R1556" t="n">
        <v>124.93</v>
      </c>
      <c r="S1556" t="n">
        <v>144.05</v>
      </c>
      <c r="U1556" t="n">
        <v>268.98</v>
      </c>
      <c r="X1556" t="inlineStr">
        <is>
          <t>aafc-aac</t>
        </is>
      </c>
      <c r="Y1556" t="inlineStr">
        <is>
          <t>Agriculture and Agri-Food Canada | Agriculture et Agroalimentaire Canada</t>
        </is>
      </c>
    </row>
    <row r="1557">
      <c r="A1557" t="inlineStr">
        <is>
          <t>T-2020-P4-0002</t>
        </is>
      </c>
      <c r="B1557" t="inlineStr">
        <is>
          <t>MPSES</t>
        </is>
      </c>
      <c r="C1557" t="inlineStr">
        <is>
          <t>Driver</t>
        </is>
      </c>
      <c r="D1557" t="inlineStr">
        <is>
          <t>Chauffeur</t>
        </is>
      </c>
      <c r="E1557" t="inlineStr">
        <is>
          <t>Michel Gendreau</t>
        </is>
      </c>
      <c r="F1557" t="inlineStr">
        <is>
          <t>Drove the Minister from her riding to Ottawa.</t>
        </is>
      </c>
      <c r="G1557" t="inlineStr">
        <is>
          <t>Conduire la ministre de sa circonscription à Ottawa.</t>
        </is>
      </c>
      <c r="H1557" s="1" t="n">
        <v>43963</v>
      </c>
      <c r="I1557" s="1" t="n">
        <v>43963</v>
      </c>
      <c r="J1557" t="inlineStr">
        <is>
          <t>Sherbrooke (Quebec) Canada</t>
        </is>
      </c>
      <c r="K1557" t="inlineStr">
        <is>
          <t>Sherbrooke (Québec) Canada</t>
        </is>
      </c>
      <c r="P1557" t="n">
        <v>0</v>
      </c>
      <c r="Q1557" t="n">
        <v>0</v>
      </c>
      <c r="R1557" t="n">
        <v>0</v>
      </c>
      <c r="S1557" t="n">
        <v>51.25</v>
      </c>
      <c r="U1557" t="n">
        <v>51.25</v>
      </c>
      <c r="X1557" t="inlineStr">
        <is>
          <t>aafc-aac</t>
        </is>
      </c>
      <c r="Y1557" t="inlineStr">
        <is>
          <t>Agriculture and Agri-Food Canada | Agriculture et Agroalimentaire Canada</t>
        </is>
      </c>
    </row>
    <row r="1558">
      <c r="A1558" t="inlineStr">
        <is>
          <t>T-2020-P4-0003</t>
        </is>
      </c>
      <c r="B1558" t="inlineStr">
        <is>
          <t>MPSES</t>
        </is>
      </c>
      <c r="C1558" t="inlineStr">
        <is>
          <t>Driver</t>
        </is>
      </c>
      <c r="D1558" t="inlineStr">
        <is>
          <t>Chauffeur</t>
        </is>
      </c>
      <c r="E1558" t="inlineStr">
        <is>
          <t>Michel Gendreau</t>
        </is>
      </c>
      <c r="F1558" t="inlineStr">
        <is>
          <t>Drove the Minister to her riding from Ottawa.</t>
        </is>
      </c>
      <c r="G1558" t="inlineStr">
        <is>
          <t>Conduire la ministre d'Ottawa à sa circonscription.</t>
        </is>
      </c>
      <c r="H1558" s="1" t="n">
        <v>43966</v>
      </c>
      <c r="I1558" s="1" t="n">
        <v>43966</v>
      </c>
      <c r="J1558" t="inlineStr">
        <is>
          <t>Sherbrooke (Quebec) Canada</t>
        </is>
      </c>
      <c r="K1558" t="inlineStr">
        <is>
          <t>Sherbrooke (Québec) Canada</t>
        </is>
      </c>
      <c r="P1558" t="n">
        <v>0</v>
      </c>
      <c r="Q1558" t="n">
        <v>0</v>
      </c>
      <c r="R1558" t="n">
        <v>0</v>
      </c>
      <c r="S1558" t="n">
        <v>51.25</v>
      </c>
      <c r="U1558" t="n">
        <v>51.25</v>
      </c>
      <c r="X1558" t="inlineStr">
        <is>
          <t>aafc-aac</t>
        </is>
      </c>
      <c r="Y1558" t="inlineStr">
        <is>
          <t>Agriculture and Agri-Food Canada | Agriculture et Agroalimentaire Canada</t>
        </is>
      </c>
    </row>
    <row r="1559">
      <c r="A1559" t="inlineStr">
        <is>
          <t>T-2020-P4-0004</t>
        </is>
      </c>
      <c r="B1559" t="inlineStr">
        <is>
          <t>MPSES</t>
        </is>
      </c>
      <c r="C1559" t="inlineStr">
        <is>
          <t>Driver</t>
        </is>
      </c>
      <c r="D1559" t="inlineStr">
        <is>
          <t>Chauffeur</t>
        </is>
      </c>
      <c r="E1559" t="inlineStr">
        <is>
          <t>Michel Gendreau</t>
        </is>
      </c>
      <c r="F1559" t="inlineStr">
        <is>
          <t>Drove the Minister from her riding to Ottawa.</t>
        </is>
      </c>
      <c r="G1559" t="inlineStr">
        <is>
          <t>Conduire la ministre de sa circonscription à Ottawa.</t>
        </is>
      </c>
      <c r="H1559" s="1" t="n">
        <v>43970</v>
      </c>
      <c r="I1559" s="1" t="n">
        <v>43970</v>
      </c>
      <c r="J1559" t="inlineStr">
        <is>
          <t>Sherbrooke (Quebec) Canada</t>
        </is>
      </c>
      <c r="K1559" t="inlineStr">
        <is>
          <t>Sherbrooke (Québec) Canada</t>
        </is>
      </c>
      <c r="P1559" t="n">
        <v>0</v>
      </c>
      <c r="Q1559" t="n">
        <v>0</v>
      </c>
      <c r="R1559" t="n">
        <v>0</v>
      </c>
      <c r="S1559" t="n">
        <v>51.25</v>
      </c>
      <c r="U1559" t="n">
        <v>51.25</v>
      </c>
      <c r="X1559" t="inlineStr">
        <is>
          <t>aafc-aac</t>
        </is>
      </c>
      <c r="Y1559" t="inlineStr">
        <is>
          <t>Agriculture and Agri-Food Canada | Agriculture et Agroalimentaire Canada</t>
        </is>
      </c>
    </row>
    <row r="1560">
      <c r="A1560" t="inlineStr">
        <is>
          <t>T-2020-P4-0005</t>
        </is>
      </c>
      <c r="B1560" t="inlineStr">
        <is>
          <t>MPSES</t>
        </is>
      </c>
      <c r="C1560" t="inlineStr">
        <is>
          <t>Driver</t>
        </is>
      </c>
      <c r="D1560" t="inlineStr">
        <is>
          <t>Chauffeur</t>
        </is>
      </c>
      <c r="E1560" t="inlineStr">
        <is>
          <t>Michel Gendreau</t>
        </is>
      </c>
      <c r="F1560" t="inlineStr">
        <is>
          <t>Drove the Minister to her riding from Ottawa.</t>
        </is>
      </c>
      <c r="G1560" t="inlineStr">
        <is>
          <t>Conduire la ministre d'Ottawa à sa circonscription.</t>
        </is>
      </c>
      <c r="H1560" s="1" t="n">
        <v>43973</v>
      </c>
      <c r="I1560" s="1" t="n">
        <v>43973</v>
      </c>
      <c r="J1560" t="inlineStr">
        <is>
          <t>Sherbrooke (Quebec) Canada</t>
        </is>
      </c>
      <c r="K1560" t="inlineStr">
        <is>
          <t>Sherbrooke (Québec) Canada</t>
        </is>
      </c>
      <c r="P1560" t="n">
        <v>0</v>
      </c>
      <c r="Q1560" t="n">
        <v>0</v>
      </c>
      <c r="R1560" t="n">
        <v>0</v>
      </c>
      <c r="S1560" t="n">
        <v>51.25</v>
      </c>
      <c r="U1560" t="n">
        <v>51.25</v>
      </c>
      <c r="X1560" t="inlineStr">
        <is>
          <t>aafc-aac</t>
        </is>
      </c>
      <c r="Y1560" t="inlineStr">
        <is>
          <t>Agriculture and Agri-Food Canada | Agriculture et Agroalimentaire Canada</t>
        </is>
      </c>
    </row>
    <row r="1561">
      <c r="A1561" t="inlineStr">
        <is>
          <t>T-2020-P4-0006</t>
        </is>
      </c>
      <c r="B1561" t="inlineStr">
        <is>
          <t>SLE</t>
        </is>
      </c>
      <c r="C1561" t="inlineStr">
        <is>
          <t>Special Advisor</t>
        </is>
      </c>
      <c r="D1561" t="inlineStr">
        <is>
          <t>Conseiller Spécial</t>
        </is>
      </c>
      <c r="E1561" t="inlineStr">
        <is>
          <t xml:space="preserve">Brian Gray </t>
        </is>
      </c>
      <c r="F1561" t="inlineStr">
        <is>
          <t>Attended the face to face gathering for Indigenous Network Circle.</t>
        </is>
      </c>
      <c r="G1561" t="inlineStr">
        <is>
          <t>Participer au rassemblement face à face pour le cercle de réseautage des employés autochtones.</t>
        </is>
      </c>
      <c r="H1561" s="1" t="n">
        <v>43899</v>
      </c>
      <c r="I1561" s="1" t="n">
        <v>43901</v>
      </c>
      <c r="J1561" t="inlineStr">
        <is>
          <t>Wendake (Quebec) Canada</t>
        </is>
      </c>
      <c r="K1561" t="inlineStr">
        <is>
          <t>Wendake (Québec) Canada</t>
        </is>
      </c>
      <c r="P1561" t="n">
        <v>0</v>
      </c>
      <c r="Q1561" t="n">
        <v>337.87</v>
      </c>
      <c r="R1561" t="n">
        <v>0</v>
      </c>
      <c r="S1561" t="n">
        <v>0</v>
      </c>
      <c r="U1561" t="n">
        <v>337.87</v>
      </c>
      <c r="X1561" t="inlineStr">
        <is>
          <t>aafc-aac</t>
        </is>
      </c>
      <c r="Y1561" t="inlineStr">
        <is>
          <t>Agriculture and Agri-Food Canada | Agriculture et Agroalimentaire Canada</t>
        </is>
      </c>
    </row>
    <row r="1562">
      <c r="A1562" t="inlineStr">
        <is>
          <t>T-2020-P5-0001</t>
        </is>
      </c>
      <c r="B1562" t="inlineStr">
        <is>
          <t>MPSES</t>
        </is>
      </c>
      <c r="C1562" t="inlineStr">
        <is>
          <t>Press Secretary</t>
        </is>
      </c>
      <c r="D1562" t="inlineStr">
        <is>
          <t>Attaché de presse</t>
        </is>
      </c>
      <c r="E1562" t="inlineStr">
        <is>
          <t>Jean-Sébastien Comeau</t>
        </is>
      </c>
      <c r="F1562" t="inlineStr">
        <is>
          <t>Attended Quebec Outreach meetings with the Minister.</t>
        </is>
      </c>
      <c r="G1562" t="inlineStr">
        <is>
          <t>Participer à une campagne de sensibilisation au Québec avec la Ministre.</t>
        </is>
      </c>
      <c r="H1562" s="1" t="n">
        <v>44056</v>
      </c>
      <c r="I1562" s="1" t="n">
        <v>44056</v>
      </c>
      <c r="J1562" t="inlineStr">
        <is>
          <t>Saint-Hyacinthe (Quebec) Canada; Saint-Patrice-de-Sherrington (Quebec) Canada;  Napierville (Quebec) Canada</t>
        </is>
      </c>
      <c r="K1562" t="inlineStr">
        <is>
          <t>Saint-Hyacinthe (Québec) Canada; Saint-Patrice-de-Sherrington (Québec) Canada;  Napierville (Québec) Canada</t>
        </is>
      </c>
      <c r="P1562" t="n">
        <v>0</v>
      </c>
      <c r="Q1562" t="n">
        <v>0</v>
      </c>
      <c r="R1562" t="n">
        <v>0</v>
      </c>
      <c r="S1562" t="n">
        <v>92.8</v>
      </c>
      <c r="T1562" t="n">
        <v>0</v>
      </c>
      <c r="U1562" t="n">
        <v>92.8</v>
      </c>
      <c r="X1562" t="inlineStr">
        <is>
          <t>aafc-aac</t>
        </is>
      </c>
      <c r="Y1562" t="inlineStr">
        <is>
          <t>Agriculture and Agri-Food Canada | Agriculture et Agroalimentaire Canada</t>
        </is>
      </c>
    </row>
    <row r="1563">
      <c r="A1563" t="inlineStr">
        <is>
          <t>T-2020-P6-0001</t>
        </is>
      </c>
      <c r="B1563" t="inlineStr">
        <is>
          <t>MPSES</t>
        </is>
      </c>
      <c r="C1563" t="inlineStr">
        <is>
          <t>Operations Manager</t>
        </is>
      </c>
      <c r="D1563" t="inlineStr">
        <is>
          <t>Gestionnaire des opérations</t>
        </is>
      </c>
      <c r="E1563" t="inlineStr">
        <is>
          <t xml:space="preserve">Daniel Turner </t>
        </is>
      </c>
      <c r="F1563" t="inlineStr">
        <is>
          <t>Attended Quebec Outreach meetings with the Minister.</t>
        </is>
      </c>
      <c r="G1563" t="inlineStr">
        <is>
          <t>Participer à des réunions de sensibilisation au Québec avec la Ministre.</t>
        </is>
      </c>
      <c r="H1563" s="1" t="n">
        <v>44055</v>
      </c>
      <c r="I1563" s="1" t="n">
        <v>44057</v>
      </c>
      <c r="J1563" t="inlineStr">
        <is>
          <t>Saint-Hyacinthe (Quebec) Canada; Saint-Patrice-de-Sherrington (Quebec) Canada;  Napierville (Quebec) Canada</t>
        </is>
      </c>
      <c r="K1563" t="inlineStr">
        <is>
          <t>Saint-Hyacinthe (Québec) Canada; Saint-Patrice-de-Sherrington (Québec) Canada;  Napierville (Québec) Canada</t>
        </is>
      </c>
      <c r="P1563" t="n">
        <v>0</v>
      </c>
      <c r="Q1563" t="n">
        <v>223.79</v>
      </c>
      <c r="R1563" t="n">
        <v>0</v>
      </c>
      <c r="S1563" t="n">
        <v>92.8</v>
      </c>
      <c r="T1563" t="n">
        <v>0</v>
      </c>
      <c r="U1563" t="n">
        <v>316.59</v>
      </c>
      <c r="X1563" t="inlineStr">
        <is>
          <t>aafc-aac</t>
        </is>
      </c>
      <c r="Y1563" t="inlineStr">
        <is>
          <t>Agriculture and Agri-Food Canada | Agriculture et Agroalimentaire Canada</t>
        </is>
      </c>
    </row>
    <row r="1564">
      <c r="A1564" t="inlineStr">
        <is>
          <t>T-2020-P6-0002</t>
        </is>
      </c>
      <c r="B1564" t="inlineStr">
        <is>
          <t>MPSES</t>
        </is>
      </c>
      <c r="C1564" t="inlineStr">
        <is>
          <t>Driver</t>
        </is>
      </c>
      <c r="D1564" t="inlineStr">
        <is>
          <t>Chauffeur</t>
        </is>
      </c>
      <c r="E1564" t="inlineStr">
        <is>
          <t>Michel Gendreau</t>
        </is>
      </c>
      <c r="F1564" t="inlineStr">
        <is>
          <t>Drove the Minister from her riding to Ottawa.</t>
        </is>
      </c>
      <c r="G1564" t="inlineStr">
        <is>
          <t>Conduire la ministre de sa circonscription à Ottawa.</t>
        </is>
      </c>
      <c r="H1564" s="1" t="n">
        <v>43975</v>
      </c>
      <c r="I1564" s="1" t="n">
        <v>43976</v>
      </c>
      <c r="J1564" t="inlineStr">
        <is>
          <t>Sherbrooke (Quebec) Canada</t>
        </is>
      </c>
      <c r="K1564" t="inlineStr">
        <is>
          <t>Sherbrooke (Québec) Canada</t>
        </is>
      </c>
      <c r="P1564" t="n">
        <v>0</v>
      </c>
      <c r="Q1564" t="n">
        <v>3.2</v>
      </c>
      <c r="R1564" t="n">
        <v>123.75</v>
      </c>
      <c r="S1564" t="n">
        <v>71.90000000000001</v>
      </c>
      <c r="T1564" t="n">
        <v>0</v>
      </c>
      <c r="U1564" t="n">
        <v>198.85</v>
      </c>
      <c r="X1564" t="inlineStr">
        <is>
          <t>aafc-aac</t>
        </is>
      </c>
      <c r="Y1564" t="inlineStr">
        <is>
          <t>Agriculture and Agri-Food Canada | Agriculture et Agroalimentaire Canada</t>
        </is>
      </c>
    </row>
    <row r="1565">
      <c r="A1565" t="inlineStr">
        <is>
          <t>T-2020-P6-0003</t>
        </is>
      </c>
      <c r="B1565" t="inlineStr">
        <is>
          <t>MPSES</t>
        </is>
      </c>
      <c r="C1565" t="inlineStr">
        <is>
          <t>Driver</t>
        </is>
      </c>
      <c r="D1565" t="inlineStr">
        <is>
          <t>Chauffeur</t>
        </is>
      </c>
      <c r="E1565" t="inlineStr">
        <is>
          <t>Michel Gendreau</t>
        </is>
      </c>
      <c r="F1565" t="inlineStr">
        <is>
          <t>Drove the Minister to her riding from Ottawa.</t>
        </is>
      </c>
      <c r="G1565" t="inlineStr">
        <is>
          <t>Conduire la ministre d'Ottawa à sa circonscription.</t>
        </is>
      </c>
      <c r="H1565" s="1" t="n">
        <v>43979</v>
      </c>
      <c r="I1565" s="1" t="n">
        <v>43979</v>
      </c>
      <c r="J1565" t="inlineStr">
        <is>
          <t>Sherbrooke (Quebec) Canada</t>
        </is>
      </c>
      <c r="K1565" t="inlineStr">
        <is>
          <t>Sherbrooke (Québec) Canada</t>
        </is>
      </c>
      <c r="P1565" t="n">
        <v>0</v>
      </c>
      <c r="Q1565" t="n">
        <v>6.4</v>
      </c>
      <c r="R1565" t="n">
        <v>0</v>
      </c>
      <c r="S1565" t="n">
        <v>51.25</v>
      </c>
      <c r="T1565" t="n">
        <v>0</v>
      </c>
      <c r="U1565" t="n">
        <v>57.65</v>
      </c>
      <c r="X1565" t="inlineStr">
        <is>
          <t>aafc-aac</t>
        </is>
      </c>
      <c r="Y1565" t="inlineStr">
        <is>
          <t>Agriculture and Agri-Food Canada | Agriculture et Agroalimentaire Canada</t>
        </is>
      </c>
    </row>
    <row r="1566">
      <c r="A1566" t="inlineStr">
        <is>
          <t>T-2020-P6-0004</t>
        </is>
      </c>
      <c r="B1566" t="inlineStr">
        <is>
          <t>MPSES</t>
        </is>
      </c>
      <c r="C1566" t="inlineStr">
        <is>
          <t>Driver</t>
        </is>
      </c>
      <c r="D1566" t="inlineStr">
        <is>
          <t>Chauffeur</t>
        </is>
      </c>
      <c r="E1566" t="inlineStr">
        <is>
          <t>Michel Gendreau</t>
        </is>
      </c>
      <c r="F1566" t="inlineStr">
        <is>
          <t>Drove the Minister from her riding to Ottawa.</t>
        </is>
      </c>
      <c r="G1566" t="inlineStr">
        <is>
          <t>Conduire la ministre de sa circonscription à Ottawa.</t>
        </is>
      </c>
      <c r="H1566" s="1" t="n">
        <v>43984</v>
      </c>
      <c r="I1566" s="1" t="n">
        <v>43984</v>
      </c>
      <c r="J1566" t="inlineStr">
        <is>
          <t>Sherbrooke (Quebec) Canada</t>
        </is>
      </c>
      <c r="K1566" t="inlineStr">
        <is>
          <t>Sherbrooke (Québec) Canada</t>
        </is>
      </c>
      <c r="P1566" t="n">
        <v>0</v>
      </c>
      <c r="Q1566" t="n">
        <v>6.4</v>
      </c>
      <c r="R1566" t="n">
        <v>0</v>
      </c>
      <c r="S1566" t="n">
        <v>51.25</v>
      </c>
      <c r="T1566" t="n">
        <v>0</v>
      </c>
      <c r="U1566" t="n">
        <v>57.65</v>
      </c>
      <c r="X1566" t="inlineStr">
        <is>
          <t>aafc-aac</t>
        </is>
      </c>
      <c r="Y1566" t="inlineStr">
        <is>
          <t>Agriculture and Agri-Food Canada | Agriculture et Agroalimentaire Canada</t>
        </is>
      </c>
    </row>
    <row r="1567">
      <c r="A1567" t="inlineStr">
        <is>
          <t>T-2020-P6-0005</t>
        </is>
      </c>
      <c r="B1567" t="inlineStr">
        <is>
          <t>MPSES</t>
        </is>
      </c>
      <c r="C1567" t="inlineStr">
        <is>
          <t>Driver</t>
        </is>
      </c>
      <c r="D1567" t="inlineStr">
        <is>
          <t>Chauffeur</t>
        </is>
      </c>
      <c r="E1567" t="inlineStr">
        <is>
          <t>Michel Gendreau</t>
        </is>
      </c>
      <c r="F1567" t="inlineStr">
        <is>
          <t>Drove the Minister to her riding from Ottawa.</t>
        </is>
      </c>
      <c r="G1567" t="inlineStr">
        <is>
          <t>Conduire la ministre d'Ottawa à sa circonscription.</t>
        </is>
      </c>
      <c r="H1567" s="1" t="n">
        <v>43986</v>
      </c>
      <c r="I1567" s="1" t="n">
        <v>43986</v>
      </c>
      <c r="J1567" t="inlineStr">
        <is>
          <t>Sherbrooke (Quebec) Canada</t>
        </is>
      </c>
      <c r="K1567" t="inlineStr">
        <is>
          <t>Sherbrooke (Québec) Canada</t>
        </is>
      </c>
      <c r="P1567" t="n">
        <v>0</v>
      </c>
      <c r="Q1567" t="n">
        <v>6.4</v>
      </c>
      <c r="R1567" t="n">
        <v>0</v>
      </c>
      <c r="S1567" t="n">
        <v>51.25</v>
      </c>
      <c r="T1567" t="n">
        <v>0</v>
      </c>
      <c r="U1567" t="n">
        <v>57.65</v>
      </c>
      <c r="X1567" t="inlineStr">
        <is>
          <t>aafc-aac</t>
        </is>
      </c>
      <c r="Y1567" t="inlineStr">
        <is>
          <t>Agriculture and Agri-Food Canada | Agriculture et Agroalimentaire Canada</t>
        </is>
      </c>
    </row>
    <row r="1568">
      <c r="A1568" t="inlineStr">
        <is>
          <t>T-2020-P6-0006</t>
        </is>
      </c>
      <c r="B1568" t="inlineStr">
        <is>
          <t>MPSES</t>
        </is>
      </c>
      <c r="C1568" t="inlineStr">
        <is>
          <t>Driver</t>
        </is>
      </c>
      <c r="D1568" t="inlineStr">
        <is>
          <t>Chauffeur</t>
        </is>
      </c>
      <c r="E1568" t="inlineStr">
        <is>
          <t>Michel Gendreau</t>
        </is>
      </c>
      <c r="F1568" t="inlineStr">
        <is>
          <t>Drove the Minister from her riding to Ottawa.</t>
        </is>
      </c>
      <c r="G1568" t="inlineStr">
        <is>
          <t>Conduire la ministre de sa circonscription à Ottawa.</t>
        </is>
      </c>
      <c r="H1568" s="1" t="n">
        <v>43991</v>
      </c>
      <c r="I1568" s="1" t="n">
        <v>43991</v>
      </c>
      <c r="J1568" t="inlineStr">
        <is>
          <t>Sherbrooke (Quebec) Canada</t>
        </is>
      </c>
      <c r="K1568" t="inlineStr">
        <is>
          <t>Sherbrooke (Québec) Canada</t>
        </is>
      </c>
      <c r="P1568" t="n">
        <v>0</v>
      </c>
      <c r="Q1568" t="n">
        <v>6.4</v>
      </c>
      <c r="R1568" t="n">
        <v>0</v>
      </c>
      <c r="S1568" t="n">
        <v>51.25</v>
      </c>
      <c r="T1568" t="n">
        <v>0</v>
      </c>
      <c r="U1568" t="n">
        <v>57.65</v>
      </c>
      <c r="X1568" t="inlineStr">
        <is>
          <t>aafc-aac</t>
        </is>
      </c>
      <c r="Y1568" t="inlineStr">
        <is>
          <t>Agriculture and Agri-Food Canada | Agriculture et Agroalimentaire Canada</t>
        </is>
      </c>
    </row>
    <row r="1569">
      <c r="A1569" t="inlineStr">
        <is>
          <t>T-2020-P6-0007</t>
        </is>
      </c>
      <c r="B1569" t="inlineStr">
        <is>
          <t>MPSES</t>
        </is>
      </c>
      <c r="C1569" t="inlineStr">
        <is>
          <t>Driver</t>
        </is>
      </c>
      <c r="D1569" t="inlineStr">
        <is>
          <t>Chauffeur</t>
        </is>
      </c>
      <c r="E1569" t="inlineStr">
        <is>
          <t>Michel Gendreau</t>
        </is>
      </c>
      <c r="F1569" t="inlineStr">
        <is>
          <t>Drove the Minister to her riding from Ottawa.</t>
        </is>
      </c>
      <c r="G1569" t="inlineStr">
        <is>
          <t>Conduire la ministre d'Ottawa à sa circonscription.</t>
        </is>
      </c>
      <c r="H1569" s="1" t="n">
        <v>44000</v>
      </c>
      <c r="I1569" s="1" t="n">
        <v>44000</v>
      </c>
      <c r="J1569" t="inlineStr">
        <is>
          <t>Sherbrooke (Quebec) Canada</t>
        </is>
      </c>
      <c r="K1569" t="inlineStr">
        <is>
          <t>Sherbrooke (Québec) Canada</t>
        </is>
      </c>
      <c r="P1569" t="n">
        <v>0</v>
      </c>
      <c r="Q1569" t="n">
        <v>6.4</v>
      </c>
      <c r="R1569" t="n">
        <v>0</v>
      </c>
      <c r="S1569" t="n">
        <v>51.25</v>
      </c>
      <c r="T1569" t="n">
        <v>0</v>
      </c>
      <c r="U1569" t="n">
        <v>57.65</v>
      </c>
      <c r="X1569" t="inlineStr">
        <is>
          <t>aafc-aac</t>
        </is>
      </c>
      <c r="Y1569" t="inlineStr">
        <is>
          <t>Agriculture and Agri-Food Canada | Agriculture et Agroalimentaire Canada</t>
        </is>
      </c>
    </row>
    <row r="1570">
      <c r="A1570" t="inlineStr">
        <is>
          <t>T-2020-P6-0008</t>
        </is>
      </c>
      <c r="B1570" t="inlineStr">
        <is>
          <t>MPSES</t>
        </is>
      </c>
      <c r="C1570" t="inlineStr">
        <is>
          <t>Driver</t>
        </is>
      </c>
      <c r="D1570" t="inlineStr">
        <is>
          <t>Chauffeur</t>
        </is>
      </c>
      <c r="E1570" t="inlineStr">
        <is>
          <t>Michel Gendreau</t>
        </is>
      </c>
      <c r="F1570" t="inlineStr">
        <is>
          <t>Drove the Minister from her riding to Quebec City for announcements.</t>
        </is>
      </c>
      <c r="G1570" t="inlineStr">
        <is>
          <t>Conduire la ministre de sa circonscription à la ville de Québec pour des annonces.</t>
        </is>
      </c>
      <c r="H1570" s="1" t="n">
        <v>44021</v>
      </c>
      <c r="I1570" s="1" t="n">
        <v>44022</v>
      </c>
      <c r="J1570" t="inlineStr">
        <is>
          <t>Sherbrooke (Quebec) Canada;
Quebec (Quebec) Canada</t>
        </is>
      </c>
      <c r="K1570" t="inlineStr">
        <is>
          <t>Sherbrooke (Québec) Canada;
Québec (Québec) Canada</t>
        </is>
      </c>
      <c r="P1570" t="n">
        <v>0</v>
      </c>
      <c r="Q1570" t="n">
        <v>6.4</v>
      </c>
      <c r="R1570" t="n">
        <v>147.56</v>
      </c>
      <c r="S1570" t="n">
        <v>144.05</v>
      </c>
      <c r="T1570" t="n">
        <v>0</v>
      </c>
      <c r="U1570" t="n">
        <v>298.01</v>
      </c>
      <c r="X1570" t="inlineStr">
        <is>
          <t>aafc-aac</t>
        </is>
      </c>
      <c r="Y1570" t="inlineStr">
        <is>
          <t>Agriculture and Agri-Food Canada | Agriculture et Agroalimentaire Canada</t>
        </is>
      </c>
    </row>
    <row r="1571">
      <c r="A1571" t="inlineStr">
        <is>
          <t>T-2020-P7-0001</t>
        </is>
      </c>
      <c r="B1571" t="inlineStr">
        <is>
          <t>MPSES</t>
        </is>
      </c>
      <c r="C1571" t="inlineStr">
        <is>
          <t xml:space="preserve">Minister </t>
        </is>
      </c>
      <c r="D1571" t="inlineStr">
        <is>
          <t>Ministre</t>
        </is>
      </c>
      <c r="E1571" t="inlineStr">
        <is>
          <t>Marie-Claude Bibeau</t>
        </is>
      </c>
      <c r="F1571" t="inlineStr">
        <is>
          <t xml:space="preserve">Attend a tour of businesses in the agricultural and agri-food sector.      </t>
        </is>
      </c>
      <c r="G1571" t="inlineStr">
        <is>
          <t>Visiter des entreprises du secteur agricole et agroalimentaire.</t>
        </is>
      </c>
      <c r="H1571" s="1" t="n">
        <v>44064</v>
      </c>
      <c r="I1571" s="1" t="n">
        <v>44067</v>
      </c>
      <c r="J1571" t="inlineStr">
        <is>
          <t>Îles de la Madeleine (Quebec) Canada</t>
        </is>
      </c>
      <c r="K1571" t="inlineStr">
        <is>
          <t>Îles-de-la-Madeleine (Québec) Canada</t>
        </is>
      </c>
      <c r="P1571" t="n">
        <v>0</v>
      </c>
      <c r="Q1571" t="n">
        <v>0</v>
      </c>
      <c r="R1571" t="n">
        <v>569.13</v>
      </c>
      <c r="S1571" t="n">
        <v>144.05</v>
      </c>
      <c r="T1571" t="n">
        <v>0</v>
      </c>
      <c r="U1571" t="n">
        <v>713.1799999999999</v>
      </c>
      <c r="X1571" t="inlineStr">
        <is>
          <t>aafc-aac</t>
        </is>
      </c>
      <c r="Y1571" t="inlineStr">
        <is>
          <t>Agriculture and Agri-Food Canada | Agriculture et Agroalimentaire Canada</t>
        </is>
      </c>
    </row>
    <row r="1572">
      <c r="A1572" t="inlineStr">
        <is>
          <t>T-2020-P7-0002</t>
        </is>
      </c>
      <c r="B1572" t="inlineStr">
        <is>
          <t>MPSES</t>
        </is>
      </c>
      <c r="C1572" t="inlineStr">
        <is>
          <t>Operations Manager</t>
        </is>
      </c>
      <c r="D1572" t="inlineStr">
        <is>
          <t>Gestionnaire des opérations</t>
        </is>
      </c>
      <c r="E1572" t="inlineStr">
        <is>
          <t xml:space="preserve">Daniel Turner </t>
        </is>
      </c>
      <c r="F1572" t="inlineStr">
        <is>
          <t>Accompanied the Minister to meetings with Exceldor Cooperative.</t>
        </is>
      </c>
      <c r="G1572" t="inlineStr">
        <is>
          <t xml:space="preserve">
Accompagner la ministre aux réunions avec la coopérative Exceldor.</t>
        </is>
      </c>
      <c r="H1572" s="1" t="n">
        <v>44077</v>
      </c>
      <c r="I1572" s="1" t="n">
        <v>44078</v>
      </c>
      <c r="J1572" t="inlineStr">
        <is>
          <t>Saint-Bruno-de-Montarville (Quebec) Canada</t>
        </is>
      </c>
      <c r="K1572" t="inlineStr">
        <is>
          <t>Saint-Bruno-de-Montarville (Québec) Canada</t>
        </is>
      </c>
      <c r="P1572" t="n">
        <v>0</v>
      </c>
      <c r="Q1572" t="n">
        <v>267.07</v>
      </c>
      <c r="R1572" t="n">
        <v>0</v>
      </c>
      <c r="S1572" t="n">
        <v>20.9</v>
      </c>
      <c r="T1572" t="n">
        <v>0</v>
      </c>
      <c r="U1572" t="n">
        <v>287.97</v>
      </c>
      <c r="X1572" t="inlineStr">
        <is>
          <t>aafc-aac</t>
        </is>
      </c>
      <c r="Y1572" t="inlineStr">
        <is>
          <t>Agriculture and Agri-Food Canada | Agriculture et Agroalimentaire Canada</t>
        </is>
      </c>
    </row>
    <row r="1573">
      <c r="A1573" t="inlineStr">
        <is>
          <t>T-2020-P7-0003</t>
        </is>
      </c>
      <c r="B1573" t="inlineStr">
        <is>
          <t>MPSES</t>
        </is>
      </c>
      <c r="C1573" t="inlineStr">
        <is>
          <t>Press Secretary</t>
        </is>
      </c>
      <c r="D1573" t="inlineStr">
        <is>
          <t>Attaché de presse</t>
        </is>
      </c>
      <c r="E1573" t="inlineStr">
        <is>
          <t>Jean-Sébastien Comeau</t>
        </is>
      </c>
      <c r="F1573" t="inlineStr">
        <is>
          <t>Accompanied the Minister to meetings with Exceldor Cooperative.</t>
        </is>
      </c>
      <c r="G1573" t="inlineStr">
        <is>
          <t xml:space="preserve">
Accompagner la ministre aux réunions avec la coopérative Exceldor.</t>
        </is>
      </c>
      <c r="H1573" s="1" t="n">
        <v>44078</v>
      </c>
      <c r="I1573" s="1" t="n">
        <v>44078</v>
      </c>
      <c r="J1573" t="inlineStr">
        <is>
          <t>Saint-Bruno-de-Montarville (Quebec) Canada</t>
        </is>
      </c>
      <c r="K1573" t="inlineStr">
        <is>
          <t>Saint-Bruno-de-Montarville (Québec) Canada</t>
        </is>
      </c>
      <c r="P1573" t="n">
        <v>0</v>
      </c>
      <c r="Q1573" t="n">
        <v>3.2</v>
      </c>
      <c r="R1573" t="n">
        <v>0</v>
      </c>
      <c r="S1573" t="n">
        <v>20.9</v>
      </c>
      <c r="T1573" t="n">
        <v>0</v>
      </c>
      <c r="U1573" t="n">
        <v>24.1</v>
      </c>
      <c r="X1573" t="inlineStr">
        <is>
          <t>aafc-aac</t>
        </is>
      </c>
      <c r="Y1573" t="inlineStr">
        <is>
          <t>Agriculture and Agri-Food Canada | Agriculture et Agroalimentaire Canada</t>
        </is>
      </c>
    </row>
    <row r="1574">
      <c r="A1574" t="inlineStr">
        <is>
          <t>T-2020-P7-0004</t>
        </is>
      </c>
      <c r="B1574" t="inlineStr">
        <is>
          <t>MPSES</t>
        </is>
      </c>
      <c r="C1574" t="inlineStr">
        <is>
          <t>Driver</t>
        </is>
      </c>
      <c r="D1574" t="inlineStr">
        <is>
          <t>Chauffeur</t>
        </is>
      </c>
      <c r="E1574" t="inlineStr">
        <is>
          <t>Michel Gendreau</t>
        </is>
      </c>
      <c r="F1574" t="inlineStr">
        <is>
          <t>Drove the Minister to outreach meetings in Quebec.</t>
        </is>
      </c>
      <c r="G1574" t="inlineStr">
        <is>
          <t xml:space="preserve">
Conduire la Ministre à des réunions de sensibilisation au Québec.</t>
        </is>
      </c>
      <c r="H1574" s="1" t="n">
        <v>44055</v>
      </c>
      <c r="I1574" s="1" t="n">
        <v>44056</v>
      </c>
      <c r="J1574" t="inlineStr">
        <is>
          <t>Saint-Hyacinthe (Quebec) Canada; Saint-Patrice-de-Sherrington (Quebec) Canada;  Napierville (Quebec) Canada</t>
        </is>
      </c>
      <c r="K1574" t="inlineStr">
        <is>
          <t>Saint-Hyacinthe (Québec) Canada; Saint-Patrice-de-Sherrington (Québec) Canada;  Napierville (Québec) Canada</t>
        </is>
      </c>
      <c r="P1574" t="n">
        <v>0</v>
      </c>
      <c r="Q1574" t="n">
        <v>6.4</v>
      </c>
      <c r="R1574" t="n">
        <v>147.56</v>
      </c>
      <c r="S1574" t="n">
        <v>144.05</v>
      </c>
      <c r="T1574" t="n">
        <v>0</v>
      </c>
      <c r="U1574" t="n">
        <v>298.01</v>
      </c>
      <c r="X1574" t="inlineStr">
        <is>
          <t>aafc-aac</t>
        </is>
      </c>
      <c r="Y1574" t="inlineStr">
        <is>
          <t>Agriculture and Agri-Food Canada | Agriculture et Agroalimentaire Canada</t>
        </is>
      </c>
    </row>
    <row r="1575">
      <c r="A1575" t="inlineStr">
        <is>
          <t>T-2020-P7-0005</t>
        </is>
      </c>
      <c r="B1575" t="inlineStr">
        <is>
          <t>MPSES</t>
        </is>
      </c>
      <c r="C1575" t="inlineStr">
        <is>
          <t>Driver</t>
        </is>
      </c>
      <c r="D1575" t="inlineStr">
        <is>
          <t>Chauffeur</t>
        </is>
      </c>
      <c r="E1575" t="inlineStr">
        <is>
          <t>Michel Gendreau</t>
        </is>
      </c>
      <c r="F1575" t="inlineStr">
        <is>
          <t>Drove the Minister to meetings in Montreal from Ottawa and return.</t>
        </is>
      </c>
      <c r="G1575" t="inlineStr">
        <is>
          <t>Conduire la Ministre à des réunions à Montréal depuis Ottawa et revenir.</t>
        </is>
      </c>
      <c r="H1575" s="1" t="n">
        <v>44077</v>
      </c>
      <c r="I1575" s="1" t="n">
        <v>44078</v>
      </c>
      <c r="J1575" t="inlineStr">
        <is>
          <t>Montreal (Quebec) Canada;
Sherbrooke (Quebec) Canada</t>
        </is>
      </c>
      <c r="K1575" t="inlineStr">
        <is>
          <t>Montréal (Québec) Canada;
Sherbrooke (Québec) Canada</t>
        </is>
      </c>
      <c r="P1575" t="n">
        <v>0</v>
      </c>
      <c r="Q1575" t="n">
        <v>3.2</v>
      </c>
      <c r="R1575" t="n">
        <v>123.75</v>
      </c>
      <c r="S1575" t="n">
        <v>144.05</v>
      </c>
      <c r="T1575" t="n">
        <v>0</v>
      </c>
      <c r="U1575" t="n">
        <v>271</v>
      </c>
      <c r="X1575" t="inlineStr">
        <is>
          <t>aafc-aac</t>
        </is>
      </c>
      <c r="Y1575" t="inlineStr">
        <is>
          <t>Agriculture and Agri-Food Canada | Agriculture et Agroalimentaire Canada</t>
        </is>
      </c>
    </row>
    <row r="1576">
      <c r="A1576" t="inlineStr">
        <is>
          <t>T-2020-P7-0006</t>
        </is>
      </c>
      <c r="B1576" t="inlineStr">
        <is>
          <t>MPSES</t>
        </is>
      </c>
      <c r="C1576" t="inlineStr">
        <is>
          <t>Driver</t>
        </is>
      </c>
      <c r="D1576" t="inlineStr">
        <is>
          <t>Chauffeur</t>
        </is>
      </c>
      <c r="E1576" t="inlineStr">
        <is>
          <t>Michel Gendreau</t>
        </is>
      </c>
      <c r="F1576" t="inlineStr">
        <is>
          <t>Drove the Minister from her riding to Ottawa.</t>
        </is>
      </c>
      <c r="G1576" t="inlineStr">
        <is>
          <t>Conduire la Ministre de sa circonscription à Ottawa.</t>
        </is>
      </c>
      <c r="H1576" s="1" t="n">
        <v>44082</v>
      </c>
      <c r="I1576" s="1" t="n">
        <v>44082</v>
      </c>
      <c r="J1576" t="inlineStr">
        <is>
          <t>Sherbrooke (Quebec) Canada</t>
        </is>
      </c>
      <c r="K1576" t="inlineStr">
        <is>
          <t>Sherbrooke (Québec) Canada</t>
        </is>
      </c>
      <c r="P1576" t="n">
        <v>0</v>
      </c>
      <c r="Q1576" t="n">
        <v>6.4</v>
      </c>
      <c r="R1576" t="n">
        <v>0</v>
      </c>
      <c r="S1576" t="n">
        <v>51.25</v>
      </c>
      <c r="T1576" t="n">
        <v>0</v>
      </c>
      <c r="U1576" t="n">
        <v>57.65</v>
      </c>
      <c r="X1576" t="inlineStr">
        <is>
          <t>aafc-aac</t>
        </is>
      </c>
      <c r="Y1576" t="inlineStr">
        <is>
          <t>Agriculture and Agri-Food Canada | Agriculture et Agroalimentaire Canada</t>
        </is>
      </c>
    </row>
    <row r="1577">
      <c r="A1577" t="inlineStr">
        <is>
          <t>T-2020-P7-0007</t>
        </is>
      </c>
      <c r="B1577" t="inlineStr">
        <is>
          <t>MPSES</t>
        </is>
      </c>
      <c r="C1577" t="inlineStr">
        <is>
          <t>Driver</t>
        </is>
      </c>
      <c r="D1577" t="inlineStr">
        <is>
          <t>Chauffeur</t>
        </is>
      </c>
      <c r="E1577" t="inlineStr">
        <is>
          <t>Michel Gendreau</t>
        </is>
      </c>
      <c r="F1577" t="inlineStr">
        <is>
          <t>Drove the Minister to her riding from Ottawa.</t>
        </is>
      </c>
      <c r="G1577" t="inlineStr">
        <is>
          <t>Conduire la Ministre d'Ottawa à sa circonscription.</t>
        </is>
      </c>
      <c r="H1577" s="1" t="n">
        <v>44084</v>
      </c>
      <c r="I1577" s="1" t="n">
        <v>44084</v>
      </c>
      <c r="J1577" t="inlineStr">
        <is>
          <t>Sherbrooke (Quebec) Canada</t>
        </is>
      </c>
      <c r="K1577" t="inlineStr">
        <is>
          <t>Sherbrooke (Québec) Canada</t>
        </is>
      </c>
      <c r="P1577" t="n">
        <v>0</v>
      </c>
      <c r="Q1577" t="n">
        <v>6.4</v>
      </c>
      <c r="R1577" t="n">
        <v>0</v>
      </c>
      <c r="S1577" t="n">
        <v>51.25</v>
      </c>
      <c r="T1577" t="n">
        <v>0</v>
      </c>
      <c r="U1577" t="n">
        <v>57.65</v>
      </c>
      <c r="X1577" t="inlineStr">
        <is>
          <t>aafc-aac</t>
        </is>
      </c>
      <c r="Y1577" t="inlineStr">
        <is>
          <t>Agriculture and Agri-Food Canada | Agriculture et Agroalimentaire Canada</t>
        </is>
      </c>
    </row>
    <row r="1578">
      <c r="A1578" t="inlineStr">
        <is>
          <t>T-2020-P7-0008</t>
        </is>
      </c>
      <c r="B1578" t="inlineStr">
        <is>
          <t>MPSES</t>
        </is>
      </c>
      <c r="C1578" t="inlineStr">
        <is>
          <t>Driver</t>
        </is>
      </c>
      <c r="D1578" t="inlineStr">
        <is>
          <t>Chauffeur</t>
        </is>
      </c>
      <c r="E1578" t="inlineStr">
        <is>
          <t>Michel Gendreau</t>
        </is>
      </c>
      <c r="F1578" t="inlineStr">
        <is>
          <t>Drove the Minister from her riding to Ottawa.</t>
        </is>
      </c>
      <c r="G1578" t="inlineStr">
        <is>
          <t>Conduire la Ministre de sa circonscription à Ottawa.</t>
        </is>
      </c>
      <c r="H1578" s="1" t="n">
        <v>44087</v>
      </c>
      <c r="I1578" s="1" t="n">
        <v>44087</v>
      </c>
      <c r="J1578" t="inlineStr">
        <is>
          <t>Sherbrooke (Quebec) Canada</t>
        </is>
      </c>
      <c r="K1578" t="inlineStr">
        <is>
          <t>Sherbrooke (Québec) Canada</t>
        </is>
      </c>
      <c r="P1578" t="n">
        <v>0</v>
      </c>
      <c r="Q1578" t="n">
        <v>6.4</v>
      </c>
      <c r="R1578" t="n">
        <v>0</v>
      </c>
      <c r="S1578" t="n">
        <v>20.9</v>
      </c>
      <c r="T1578" t="n">
        <v>0</v>
      </c>
      <c r="U1578" t="n">
        <v>27.3</v>
      </c>
      <c r="X1578" t="inlineStr">
        <is>
          <t>aafc-aac</t>
        </is>
      </c>
      <c r="Y1578" t="inlineStr">
        <is>
          <t>Agriculture and Agri-Food Canada | Agriculture et Agroalimentaire Canada</t>
        </is>
      </c>
    </row>
    <row r="1579">
      <c r="A1579" t="inlineStr">
        <is>
          <t>T-2020-P7-0009</t>
        </is>
      </c>
      <c r="B1579" t="inlineStr">
        <is>
          <t>MPSES</t>
        </is>
      </c>
      <c r="C1579" t="inlineStr">
        <is>
          <t>Driver</t>
        </is>
      </c>
      <c r="D1579" t="inlineStr">
        <is>
          <t>Chauffeur</t>
        </is>
      </c>
      <c r="E1579" t="inlineStr">
        <is>
          <t>Michel Gendreau</t>
        </is>
      </c>
      <c r="F1579" t="inlineStr">
        <is>
          <t>Drove the Minister to her riding from Ottawa.</t>
        </is>
      </c>
      <c r="G1579" t="inlineStr">
        <is>
          <t>Conduire la Ministre d'Ottawa à sa circonscription.</t>
        </is>
      </c>
      <c r="H1579" s="1" t="n">
        <v>44090</v>
      </c>
      <c r="I1579" s="1" t="n">
        <v>44090</v>
      </c>
      <c r="J1579" t="inlineStr">
        <is>
          <t>Sherbrooke (Quebec) Canada</t>
        </is>
      </c>
      <c r="K1579" t="inlineStr">
        <is>
          <t>Sherbrooke (Québec) Canada</t>
        </is>
      </c>
      <c r="P1579" t="n">
        <v>0</v>
      </c>
      <c r="Q1579" t="n">
        <v>6.4</v>
      </c>
      <c r="R1579" t="n">
        <v>0</v>
      </c>
      <c r="S1579" t="n">
        <v>51.25</v>
      </c>
      <c r="T1579" t="n">
        <v>0</v>
      </c>
      <c r="U1579" t="n">
        <v>57.65</v>
      </c>
      <c r="X1579" t="inlineStr">
        <is>
          <t>aafc-aac</t>
        </is>
      </c>
      <c r="Y1579" t="inlineStr">
        <is>
          <t>Agriculture and Agri-Food Canada | Agriculture et Agroalimentaire Canada</t>
        </is>
      </c>
    </row>
    <row r="1580">
      <c r="A1580" t="inlineStr">
        <is>
          <t>T-2020-P7-0010</t>
        </is>
      </c>
      <c r="B1580" t="inlineStr">
        <is>
          <t>MPSES</t>
        </is>
      </c>
      <c r="C1580" t="inlineStr">
        <is>
          <t>Parliamentary Secretary</t>
        </is>
      </c>
      <c r="D1580" t="inlineStr">
        <is>
          <t>Secrétaire parlementaire</t>
        </is>
      </c>
      <c r="E1580" t="inlineStr">
        <is>
          <t>Neil Ellis</t>
        </is>
      </c>
      <c r="F1580" t="inlineStr">
        <is>
          <t>To attend an announcement.</t>
        </is>
      </c>
      <c r="G1580" t="inlineStr">
        <is>
          <t xml:space="preserve">
Assister à une annonce.</t>
        </is>
      </c>
      <c r="H1580" s="1" t="n">
        <v>44069</v>
      </c>
      <c r="I1580" s="1" t="n">
        <v>44070</v>
      </c>
      <c r="J1580" t="inlineStr">
        <is>
          <t>Simcoe (Ontario) Canada</t>
        </is>
      </c>
      <c r="K1580" t="inlineStr">
        <is>
          <t>Simcoe (Ontario) Canada</t>
        </is>
      </c>
      <c r="P1580" t="n">
        <v>0</v>
      </c>
      <c r="Q1580" t="n">
        <v>0</v>
      </c>
      <c r="R1580" t="n">
        <v>174.57</v>
      </c>
      <c r="S1580" t="n">
        <v>144.05</v>
      </c>
      <c r="T1580" t="n">
        <v>0</v>
      </c>
      <c r="U1580" t="n">
        <v>318.62</v>
      </c>
      <c r="X1580" t="inlineStr">
        <is>
          <t>aafc-aac</t>
        </is>
      </c>
      <c r="Y1580" t="inlineStr">
        <is>
          <t>Agriculture and Agri-Food Canada | Agriculture et Agroalimentaire Canada</t>
        </is>
      </c>
    </row>
    <row r="1581">
      <c r="A1581" t="inlineStr">
        <is>
          <t>T-2020-P7-0011</t>
        </is>
      </c>
      <c r="B1581" t="inlineStr">
        <is>
          <t>MPSES</t>
        </is>
      </c>
      <c r="C1581" t="inlineStr">
        <is>
          <t>Parliamentary Secretary Assistant</t>
        </is>
      </c>
      <c r="D1581" t="inlineStr">
        <is>
          <t>Adjoint au secrétaire parlementaire</t>
        </is>
      </c>
      <c r="E1581" t="inlineStr">
        <is>
          <t>Osman Naqvin</t>
        </is>
      </c>
      <c r="F1581" t="inlineStr">
        <is>
          <t>Accompanied the Parliamentary Secretary for an announcement.</t>
        </is>
      </c>
      <c r="G1581" t="inlineStr">
        <is>
          <t xml:space="preserve">
Accompagner le Secrétaire parlementaire pour assister à une annonce.</t>
        </is>
      </c>
      <c r="H1581" s="1" t="n">
        <v>44069</v>
      </c>
      <c r="I1581" s="1" t="n">
        <v>44071</v>
      </c>
      <c r="J1581" t="inlineStr">
        <is>
          <t>Simcoe (Ontario) Canada</t>
        </is>
      </c>
      <c r="K1581" t="inlineStr">
        <is>
          <t>Simcoe (Ontario) Canada</t>
        </is>
      </c>
      <c r="P1581" t="n">
        <v>0</v>
      </c>
      <c r="Q1581" t="n">
        <v>215.97</v>
      </c>
      <c r="R1581" t="n">
        <v>161.86</v>
      </c>
      <c r="S1581" t="n">
        <v>164.95</v>
      </c>
      <c r="T1581" t="n">
        <v>0</v>
      </c>
      <c r="U1581" t="n">
        <v>542.78</v>
      </c>
      <c r="X1581" t="inlineStr">
        <is>
          <t>aafc-aac</t>
        </is>
      </c>
      <c r="Y1581" t="inlineStr">
        <is>
          <t>Agriculture and Agri-Food Canada | Agriculture et Agroalimentaire Canada</t>
        </is>
      </c>
    </row>
    <row r="1582">
      <c r="A1582" t="inlineStr">
        <is>
          <t>T-2020-P8-0001</t>
        </is>
      </c>
      <c r="B1582" t="inlineStr">
        <is>
          <t>MPSES</t>
        </is>
      </c>
      <c r="C1582" t="inlineStr">
        <is>
          <t xml:space="preserve">Senior Policy Advisor </t>
        </is>
      </c>
      <c r="D1582" t="inlineStr">
        <is>
          <t>Conseiller principal en politiques</t>
        </is>
      </c>
      <c r="E1582" t="inlineStr">
        <is>
          <t>Sandenga Yeba</t>
        </is>
      </c>
      <c r="F1582" t="inlineStr">
        <is>
          <t>Attended Quebec Outreach meetings with the Minister.</t>
        </is>
      </c>
      <c r="G1582" t="inlineStr">
        <is>
          <t>Participer à des réunions de sensibilisation au Québec avec la ministre.</t>
        </is>
      </c>
      <c r="H1582" s="1" t="n">
        <v>44056</v>
      </c>
      <c r="I1582" s="1" t="n">
        <v>44056</v>
      </c>
      <c r="J1582" t="inlineStr">
        <is>
          <t>Saint-Hyacinthe (Quebec) Canada; Saint-Patrice-de-Sherrington (Quebec) Canada;  Napierville (Quebec) Canada</t>
        </is>
      </c>
      <c r="K1582" t="inlineStr">
        <is>
          <t>Saint-Hyacinthe (Québec) Canada; Saint-Patrice-de-Sherrington (Québec) Canada;  Napierville (Québec) Canada</t>
        </is>
      </c>
      <c r="P1582" t="n">
        <v>0</v>
      </c>
      <c r="Q1582" t="n">
        <v>111.69</v>
      </c>
      <c r="R1582" t="n">
        <v>0</v>
      </c>
      <c r="S1582" t="n">
        <v>92.8</v>
      </c>
      <c r="T1582" t="n">
        <v>0</v>
      </c>
      <c r="U1582" t="n">
        <v>204.49</v>
      </c>
      <c r="X1582" t="inlineStr">
        <is>
          <t>aafc-aac</t>
        </is>
      </c>
      <c r="Y1582" t="inlineStr">
        <is>
          <t>Agriculture and Agri-Food Canada | Agriculture et Agroalimentaire Canada</t>
        </is>
      </c>
    </row>
    <row r="1583">
      <c r="A1583" t="inlineStr">
        <is>
          <t>T-2020-P8-0002</t>
        </is>
      </c>
      <c r="B1583" t="inlineStr">
        <is>
          <t>MPSES</t>
        </is>
      </c>
      <c r="C1583" t="inlineStr">
        <is>
          <t xml:space="preserve">Senior Policy Advisor </t>
        </is>
      </c>
      <c r="D1583" t="inlineStr">
        <is>
          <t>Conseiller principal en politiques</t>
        </is>
      </c>
      <c r="E1583" t="inlineStr">
        <is>
          <t>Sandenga Yeba</t>
        </is>
      </c>
      <c r="F1583" t="inlineStr">
        <is>
          <t>Accompanied the Minister to meetings in Montreal.</t>
        </is>
      </c>
      <c r="G1583" t="inlineStr">
        <is>
          <t xml:space="preserve">
Accompagner la ministre aux réunions a Montréal. </t>
        </is>
      </c>
      <c r="H1583" s="1" t="n">
        <v>44078</v>
      </c>
      <c r="I1583" s="1" t="n">
        <v>44078</v>
      </c>
      <c r="J1583" t="inlineStr">
        <is>
          <t>Montreal (Quebec) Canada</t>
        </is>
      </c>
      <c r="K1583" t="inlineStr">
        <is>
          <t>Montréal (Québec) Canada</t>
        </is>
      </c>
      <c r="P1583" t="n">
        <v>0</v>
      </c>
      <c r="Q1583" t="n">
        <v>33.15</v>
      </c>
      <c r="R1583" t="n">
        <v>0</v>
      </c>
      <c r="S1583" t="n">
        <v>20.9</v>
      </c>
      <c r="T1583" t="n">
        <v>0</v>
      </c>
      <c r="U1583" t="n">
        <v>54.05</v>
      </c>
      <c r="X1583" t="inlineStr">
        <is>
          <t>aafc-aac</t>
        </is>
      </c>
      <c r="Y1583" t="inlineStr">
        <is>
          <t>Agriculture and Agri-Food Canada | Agriculture et Agroalimentaire Canada</t>
        </is>
      </c>
    </row>
    <row r="1584">
      <c r="A1584" t="inlineStr">
        <is>
          <t>T-2020-P8-0003</t>
        </is>
      </c>
      <c r="B1584" t="inlineStr">
        <is>
          <t>MPSES</t>
        </is>
      </c>
      <c r="C1584" t="inlineStr">
        <is>
          <t>Parliamentary Secretary Assistant</t>
        </is>
      </c>
      <c r="D1584" t="inlineStr">
        <is>
          <t>Adjoint au secrétaire parlementaire</t>
        </is>
      </c>
      <c r="E1584" t="inlineStr">
        <is>
          <t>Osman Naqvin</t>
        </is>
      </c>
      <c r="F1584" t="inlineStr">
        <is>
          <t>Accompanied the Parliamentary Secretary for meetings.</t>
        </is>
      </c>
      <c r="G1584" t="inlineStr">
        <is>
          <t xml:space="preserve">
Accompagner le secrétaire parlementaire pour des réunion</t>
        </is>
      </c>
      <c r="H1584" s="1" t="n">
        <v>44091</v>
      </c>
      <c r="I1584" s="1" t="n">
        <v>44092</v>
      </c>
      <c r="J1584" t="inlineStr">
        <is>
          <t>Vankleek Hill (Ontario) Canada</t>
        </is>
      </c>
      <c r="K1584" t="inlineStr">
        <is>
          <t>Vankleek Hill (Ontario) Canada</t>
        </is>
      </c>
      <c r="P1584" t="n">
        <v>0</v>
      </c>
      <c r="Q1584" t="n">
        <v>89.92</v>
      </c>
      <c r="R1584" t="n">
        <v>0</v>
      </c>
      <c r="S1584" t="n">
        <v>0</v>
      </c>
      <c r="T1584" t="n">
        <v>0</v>
      </c>
      <c r="U1584" t="n">
        <v>89.92</v>
      </c>
      <c r="X1584" t="inlineStr">
        <is>
          <t>aafc-aac</t>
        </is>
      </c>
      <c r="Y1584" t="inlineStr">
        <is>
          <t>Agriculture and Agri-Food Canada | Agriculture et Agroalimentaire Canada</t>
        </is>
      </c>
    </row>
    <row r="1585">
      <c r="A1585" t="inlineStr">
        <is>
          <t>T-2020-P9-0001</t>
        </is>
      </c>
      <c r="B1585" t="inlineStr">
        <is>
          <t>MPSES</t>
        </is>
      </c>
      <c r="C1585" t="inlineStr">
        <is>
          <t>Driver</t>
        </is>
      </c>
      <c r="D1585" t="inlineStr">
        <is>
          <t>Chauffeur</t>
        </is>
      </c>
      <c r="E1585" t="inlineStr">
        <is>
          <t>Michel Gendreau</t>
        </is>
      </c>
      <c r="F1585" t="inlineStr">
        <is>
          <t>Drove the Minister from her riding to Ottawa.</t>
        </is>
      </c>
      <c r="G1585" t="inlineStr">
        <is>
          <t>Conduire la Ministre de sa circonscription à Ottawa.</t>
        </is>
      </c>
      <c r="H1585" s="1" t="n">
        <v>44122</v>
      </c>
      <c r="I1585" s="1" t="n">
        <v>44123</v>
      </c>
      <c r="J1585" t="inlineStr">
        <is>
          <t>Sherbrooke (Quebec) Canada</t>
        </is>
      </c>
      <c r="K1585" t="inlineStr">
        <is>
          <t>Sherbrooke (Québec) Canada</t>
        </is>
      </c>
      <c r="P1585" t="n">
        <v>0</v>
      </c>
      <c r="Q1585" t="n">
        <v>6.4</v>
      </c>
      <c r="R1585" t="n">
        <v>123.75</v>
      </c>
      <c r="S1585" t="n">
        <v>72.45</v>
      </c>
      <c r="T1585" t="n">
        <v>0</v>
      </c>
      <c r="U1585" t="n">
        <v>202.6</v>
      </c>
      <c r="X1585" t="inlineStr">
        <is>
          <t>aafc-aac</t>
        </is>
      </c>
      <c r="Y1585" t="inlineStr">
        <is>
          <t>Agriculture and Agri-Food Canada | Agriculture et Agroalimentaire Canada</t>
        </is>
      </c>
    </row>
    <row r="1586">
      <c r="A1586" t="inlineStr">
        <is>
          <t>T-2020-P9-0002</t>
        </is>
      </c>
      <c r="B1586" t="inlineStr">
        <is>
          <t>MPSES</t>
        </is>
      </c>
      <c r="C1586" t="inlineStr">
        <is>
          <t>Driver</t>
        </is>
      </c>
      <c r="D1586" t="inlineStr">
        <is>
          <t>Chauffeur</t>
        </is>
      </c>
      <c r="E1586" t="inlineStr">
        <is>
          <t>Michel Gendreau</t>
        </is>
      </c>
      <c r="F1586" t="inlineStr">
        <is>
          <t>Drove the Minister to her riding from Ottawa.</t>
        </is>
      </c>
      <c r="G1586" t="inlineStr">
        <is>
          <t>Conduire la Ministre d'Ottawa à sa circonscription.</t>
        </is>
      </c>
      <c r="H1586" s="1" t="n">
        <v>44127</v>
      </c>
      <c r="I1586" s="1" t="n">
        <v>44127</v>
      </c>
      <c r="J1586" t="inlineStr">
        <is>
          <t>Sherbrooke (Quebec) Canada</t>
        </is>
      </c>
      <c r="K1586" t="inlineStr">
        <is>
          <t>Sherbrooke (Québec) Canada</t>
        </is>
      </c>
      <c r="P1586" t="n">
        <v>0</v>
      </c>
      <c r="Q1586" t="n">
        <v>6.4</v>
      </c>
      <c r="R1586" t="n">
        <v>0</v>
      </c>
      <c r="S1586" t="n">
        <v>51.65</v>
      </c>
      <c r="T1586" t="n">
        <v>0</v>
      </c>
      <c r="U1586" t="n">
        <v>58.05</v>
      </c>
      <c r="X1586" t="inlineStr">
        <is>
          <t>aafc-aac</t>
        </is>
      </c>
      <c r="Y1586" t="inlineStr">
        <is>
          <t>Agriculture and Agri-Food Canada | Agriculture et Agroalimentaire Canada</t>
        </is>
      </c>
    </row>
    <row r="1587">
      <c r="A1587" t="inlineStr">
        <is>
          <t>T-2020-P9-0003</t>
        </is>
      </c>
      <c r="B1587" t="inlineStr">
        <is>
          <t>MPSES</t>
        </is>
      </c>
      <c r="C1587" t="inlineStr">
        <is>
          <t>Driver</t>
        </is>
      </c>
      <c r="D1587" t="inlineStr">
        <is>
          <t>Chauffeur</t>
        </is>
      </c>
      <c r="E1587" t="inlineStr">
        <is>
          <t>Michel Gendreau</t>
        </is>
      </c>
      <c r="F1587" t="inlineStr">
        <is>
          <t>Drove the Minister from her riding to Ottawa.</t>
        </is>
      </c>
      <c r="G1587" t="inlineStr">
        <is>
          <t>Conduire la Ministre de sa circonscription à Ottawa.</t>
        </is>
      </c>
      <c r="H1587" s="1" t="n">
        <v>44129</v>
      </c>
      <c r="I1587" s="1" t="n">
        <v>44130</v>
      </c>
      <c r="J1587" t="inlineStr">
        <is>
          <t>Sherbrooke (Quebec) Canada</t>
        </is>
      </c>
      <c r="K1587" t="inlineStr">
        <is>
          <t>Sherbrooke (Québec) Canada</t>
        </is>
      </c>
      <c r="P1587" t="n">
        <v>0</v>
      </c>
      <c r="Q1587" t="n">
        <v>6.4</v>
      </c>
      <c r="R1587" t="n">
        <v>123.75</v>
      </c>
      <c r="S1587" t="n">
        <v>72.45</v>
      </c>
      <c r="T1587" t="n">
        <v>0</v>
      </c>
      <c r="U1587" t="n">
        <v>202.6</v>
      </c>
      <c r="X1587" t="inlineStr">
        <is>
          <t>aafc-aac</t>
        </is>
      </c>
      <c r="Y1587" t="inlineStr">
        <is>
          <t>Agriculture and Agri-Food Canada | Agriculture et Agroalimentaire Canada</t>
        </is>
      </c>
    </row>
    <row r="1588">
      <c r="A1588" t="inlineStr">
        <is>
          <t>T-2020-P9-0004</t>
        </is>
      </c>
      <c r="B1588" t="inlineStr">
        <is>
          <t>MPSES</t>
        </is>
      </c>
      <c r="C1588" t="inlineStr">
        <is>
          <t>Driver</t>
        </is>
      </c>
      <c r="D1588" t="inlineStr">
        <is>
          <t>Chauffeur</t>
        </is>
      </c>
      <c r="E1588" t="inlineStr">
        <is>
          <t>Michel Gendreau</t>
        </is>
      </c>
      <c r="F1588" t="inlineStr">
        <is>
          <t>Drove the Minister to her riding from Ottawa.</t>
        </is>
      </c>
      <c r="G1588" t="inlineStr">
        <is>
          <t>Conduire la Ministre d'Ottawa à sa circonscription.</t>
        </is>
      </c>
      <c r="H1588" s="1" t="n">
        <v>44134</v>
      </c>
      <c r="I1588" s="1" t="n">
        <v>44134</v>
      </c>
      <c r="J1588" t="inlineStr">
        <is>
          <t>Sherbrooke (Quebec) Canada</t>
        </is>
      </c>
      <c r="K1588" t="inlineStr">
        <is>
          <t>Sherbrooke (Québec) Canada</t>
        </is>
      </c>
      <c r="P1588" t="n">
        <v>0</v>
      </c>
      <c r="Q1588" t="n">
        <v>6.4</v>
      </c>
      <c r="R1588" t="n">
        <v>0</v>
      </c>
      <c r="S1588" t="n">
        <v>51.65</v>
      </c>
      <c r="T1588" t="n">
        <v>0</v>
      </c>
      <c r="U1588" t="n">
        <v>58.05</v>
      </c>
      <c r="X1588" t="inlineStr">
        <is>
          <t>aafc-aac</t>
        </is>
      </c>
      <c r="Y1588" t="inlineStr">
        <is>
          <t>Agriculture and Agri-Food Canada | Agriculture et Agroalimentaire Canada</t>
        </is>
      </c>
    </row>
    <row r="1589">
      <c r="A1589" t="inlineStr">
        <is>
          <t>T-2020-P10-0001</t>
        </is>
      </c>
      <c r="B1589" t="inlineStr">
        <is>
          <t>MPSES</t>
        </is>
      </c>
      <c r="C1589" t="inlineStr">
        <is>
          <t>Driver</t>
        </is>
      </c>
      <c r="D1589" t="inlineStr">
        <is>
          <t>Chauffeur</t>
        </is>
      </c>
      <c r="E1589" t="inlineStr">
        <is>
          <t>Michel Gendreau</t>
        </is>
      </c>
      <c r="F1589" t="inlineStr">
        <is>
          <t>Drove the Minister from her riding to Ottawa.</t>
        </is>
      </c>
      <c r="G1589" t="inlineStr">
        <is>
          <t>Conduire la Ministre de sa circonscription à Ottawa.</t>
        </is>
      </c>
      <c r="H1589" s="1" t="n">
        <v>44157</v>
      </c>
      <c r="I1589" s="1" t="n">
        <v>44157</v>
      </c>
      <c r="J1589" t="inlineStr">
        <is>
          <t>Sherbrooke (Quebec) Canada</t>
        </is>
      </c>
      <c r="K1589" t="inlineStr">
        <is>
          <t>Sherbrooke (Québec) Canada</t>
        </is>
      </c>
      <c r="P1589" t="n">
        <v>0</v>
      </c>
      <c r="Q1589" t="n">
        <v>6.4</v>
      </c>
      <c r="R1589" t="n">
        <v>0</v>
      </c>
      <c r="S1589" t="n">
        <v>51.65</v>
      </c>
      <c r="T1589" t="n">
        <v>0</v>
      </c>
      <c r="U1589" t="n">
        <v>58.05</v>
      </c>
      <c r="X1589" t="inlineStr">
        <is>
          <t>aafc-aac</t>
        </is>
      </c>
      <c r="Y1589" t="inlineStr">
        <is>
          <t>Agriculture and Agri-Food Canada | Agriculture et Agroalimentaire Canada</t>
        </is>
      </c>
    </row>
    <row r="1590">
      <c r="A1590" t="inlineStr">
        <is>
          <t>T-2020-P11-0001</t>
        </is>
      </c>
      <c r="B1590" t="inlineStr">
        <is>
          <t>MPSES</t>
        </is>
      </c>
      <c r="C1590" t="inlineStr">
        <is>
          <t>Driver</t>
        </is>
      </c>
      <c r="D1590" t="inlineStr">
        <is>
          <t>Chauffeur</t>
        </is>
      </c>
      <c r="E1590" t="inlineStr">
        <is>
          <t>Michel Gendreau</t>
        </is>
      </c>
      <c r="F1590" t="inlineStr">
        <is>
          <t>Drove the Minister to her riding from Ottawa.</t>
        </is>
      </c>
      <c r="G1590" t="inlineStr">
        <is>
          <t>Conduire la Ministre d'Ottawa à sa circonscription.</t>
        </is>
      </c>
      <c r="H1590" s="1" t="n">
        <v>44162</v>
      </c>
      <c r="I1590" s="1" t="n">
        <v>44162</v>
      </c>
      <c r="J1590" t="inlineStr">
        <is>
          <t>Sherbrooke (Quebec) Canada</t>
        </is>
      </c>
      <c r="K1590" t="inlineStr">
        <is>
          <t>Sherbrooke (Québec) Canada</t>
        </is>
      </c>
      <c r="P1590" t="n">
        <v>0</v>
      </c>
      <c r="Q1590" t="n">
        <v>6.4</v>
      </c>
      <c r="R1590" t="n">
        <v>0</v>
      </c>
      <c r="S1590" t="n">
        <v>51.65</v>
      </c>
      <c r="T1590" t="n">
        <v>0</v>
      </c>
      <c r="U1590" t="n">
        <v>58.05</v>
      </c>
      <c r="X1590" t="inlineStr">
        <is>
          <t>aafc-aac</t>
        </is>
      </c>
      <c r="Y1590" t="inlineStr">
        <is>
          <t>Agriculture and Agri-Food Canada | Agriculture et Agroalimentaire Canada</t>
        </is>
      </c>
    </row>
    <row r="1591">
      <c r="A1591" t="inlineStr">
        <is>
          <t>T-2020-P11-0002</t>
        </is>
      </c>
      <c r="B1591" t="inlineStr">
        <is>
          <t>MPSES</t>
        </is>
      </c>
      <c r="C1591" t="inlineStr">
        <is>
          <t>Driver</t>
        </is>
      </c>
      <c r="D1591" t="inlineStr">
        <is>
          <t>Chauffeur</t>
        </is>
      </c>
      <c r="E1591" t="inlineStr">
        <is>
          <t>Michel Gendreau</t>
        </is>
      </c>
      <c r="F1591" t="inlineStr">
        <is>
          <t>Drove the Minister from her riding to Ottawa.</t>
        </is>
      </c>
      <c r="G1591" t="inlineStr">
        <is>
          <t>Conduire la Ministre de sa circonscription à Ottawa.</t>
        </is>
      </c>
      <c r="H1591" s="1" t="n">
        <v>44171</v>
      </c>
      <c r="I1591" s="1" t="n">
        <v>44172</v>
      </c>
      <c r="J1591" t="inlineStr">
        <is>
          <t>Sherbrooke (Quebec) Canada</t>
        </is>
      </c>
      <c r="K1591" t="inlineStr">
        <is>
          <t>Sherbrooke (Québec) Canada</t>
        </is>
      </c>
      <c r="P1591" t="n">
        <v>0</v>
      </c>
      <c r="Q1591" t="n">
        <v>6.4</v>
      </c>
      <c r="R1591" t="n">
        <v>123.73</v>
      </c>
      <c r="S1591" t="n">
        <v>72.45</v>
      </c>
      <c r="T1591" t="n">
        <v>0</v>
      </c>
      <c r="U1591" t="n">
        <v>202.58</v>
      </c>
      <c r="X1591" t="inlineStr">
        <is>
          <t>aafc-aac</t>
        </is>
      </c>
      <c r="Y1591" t="inlineStr">
        <is>
          <t>Agriculture and Agri-Food Canada | Agriculture et Agroalimentaire Canada</t>
        </is>
      </c>
    </row>
    <row r="1592">
      <c r="A1592" t="inlineStr">
        <is>
          <t>T-2020-P11-0003</t>
        </is>
      </c>
      <c r="B1592" t="inlineStr">
        <is>
          <t>MPSES</t>
        </is>
      </c>
      <c r="C1592" t="inlineStr">
        <is>
          <t>Driver</t>
        </is>
      </c>
      <c r="D1592" t="inlineStr">
        <is>
          <t>Chauffeur</t>
        </is>
      </c>
      <c r="E1592" t="inlineStr">
        <is>
          <t>Michel Gendreau</t>
        </is>
      </c>
      <c r="F1592" t="inlineStr">
        <is>
          <t>Drove the Minister to her riding from Ottawa.</t>
        </is>
      </c>
      <c r="G1592" t="inlineStr">
        <is>
          <t>Conduire la Ministre d'Ottawa à sa circonscription.</t>
        </is>
      </c>
      <c r="H1592" s="1" t="n">
        <v>44176</v>
      </c>
      <c r="I1592" s="1" t="n">
        <v>44176</v>
      </c>
      <c r="J1592" t="inlineStr">
        <is>
          <t>Sherbrooke (Quebec) Canada</t>
        </is>
      </c>
      <c r="K1592" t="inlineStr">
        <is>
          <t>Sherbrooke (Québec) Canada</t>
        </is>
      </c>
      <c r="P1592" t="n">
        <v>0</v>
      </c>
      <c r="Q1592" t="n">
        <v>6.4</v>
      </c>
      <c r="R1592" t="n">
        <v>0</v>
      </c>
      <c r="S1592" t="n">
        <v>51.65</v>
      </c>
      <c r="T1592" t="n">
        <v>0</v>
      </c>
      <c r="U1592" t="n">
        <v>58.05</v>
      </c>
      <c r="X1592" t="inlineStr">
        <is>
          <t>aafc-aac</t>
        </is>
      </c>
      <c r="Y1592" t="inlineStr">
        <is>
          <t>Agriculture and Agri-Food Canada | Agriculture et Agroalimentaire Canada</t>
        </is>
      </c>
    </row>
    <row r="1593">
      <c r="A1593" t="inlineStr">
        <is>
          <t>T-2020-P12-0001</t>
        </is>
      </c>
      <c r="B1593" t="inlineStr">
        <is>
          <t>MPSES</t>
        </is>
      </c>
      <c r="C1593" t="inlineStr">
        <is>
          <t>Driver</t>
        </is>
      </c>
      <c r="D1593" t="inlineStr">
        <is>
          <t>Chauffeur</t>
        </is>
      </c>
      <c r="E1593" t="inlineStr">
        <is>
          <t>Michel Gendreau</t>
        </is>
      </c>
      <c r="F1593" t="inlineStr">
        <is>
          <t>Delivered secret documents to the Minister.</t>
        </is>
      </c>
      <c r="G1593" t="inlineStr">
        <is>
          <t>Livraison de documents secrets à la Ministre.</t>
        </is>
      </c>
      <c r="H1593" s="1" t="n">
        <v>44231</v>
      </c>
      <c r="I1593" s="1" t="n">
        <v>44231</v>
      </c>
      <c r="J1593" t="inlineStr">
        <is>
          <t>Sherbrooke (Quebec) Canada</t>
        </is>
      </c>
      <c r="K1593" t="inlineStr">
        <is>
          <t>Sherbrooke (Québec) Canada</t>
        </is>
      </c>
      <c r="P1593" t="n">
        <v>0</v>
      </c>
      <c r="Q1593" t="n">
        <v>6.4</v>
      </c>
      <c r="R1593" t="n">
        <v>0</v>
      </c>
      <c r="S1593" t="n">
        <v>21.05</v>
      </c>
      <c r="T1593" t="n">
        <v>0</v>
      </c>
      <c r="U1593" t="n">
        <v>27.45</v>
      </c>
      <c r="X1593" t="inlineStr">
        <is>
          <t>aafc-aac</t>
        </is>
      </c>
      <c r="Y1593" t="inlineStr">
        <is>
          <t>Agriculture and Agri-Food Canada | Agriculture et Agroalimentaire Canada</t>
        </is>
      </c>
    </row>
    <row r="1594">
      <c r="A1594" t="inlineStr">
        <is>
          <t>T-2020-P12-0002</t>
        </is>
      </c>
      <c r="B1594" t="inlineStr">
        <is>
          <t>MPSES</t>
        </is>
      </c>
      <c r="C1594" t="inlineStr">
        <is>
          <t>Driver</t>
        </is>
      </c>
      <c r="D1594" t="inlineStr">
        <is>
          <t>Chauffeur</t>
        </is>
      </c>
      <c r="E1594" t="inlineStr">
        <is>
          <t>Michel Gendreau</t>
        </is>
      </c>
      <c r="F1594" t="inlineStr">
        <is>
          <t>Delivered secret documents to the Minister.</t>
        </is>
      </c>
      <c r="G1594" t="inlineStr">
        <is>
          <t>Livraison de documents secrets à la Ministre.</t>
        </is>
      </c>
      <c r="H1594" s="1" t="n">
        <v>44237</v>
      </c>
      <c r="I1594" s="1" t="n">
        <v>44237</v>
      </c>
      <c r="J1594" t="inlineStr">
        <is>
          <t>Sherbrooke (Quebec) Canada</t>
        </is>
      </c>
      <c r="K1594" t="inlineStr">
        <is>
          <t>Sherbrooke (Québec) Canada</t>
        </is>
      </c>
      <c r="P1594" t="n">
        <v>0</v>
      </c>
      <c r="Q1594" t="n">
        <v>6.4</v>
      </c>
      <c r="R1594" t="n">
        <v>0</v>
      </c>
      <c r="S1594" t="n">
        <v>21.05</v>
      </c>
      <c r="T1594" t="n">
        <v>0</v>
      </c>
      <c r="U1594" t="n">
        <v>27.45</v>
      </c>
      <c r="X1594" t="inlineStr">
        <is>
          <t>aafc-aac</t>
        </is>
      </c>
      <c r="Y1594" t="inlineStr">
        <is>
          <t>Agriculture and Agri-Food Canada | Agriculture et Agroalimentaire Canada</t>
        </is>
      </c>
    </row>
    <row r="1595">
      <c r="A1595" t="inlineStr">
        <is>
          <t>T-2020-P12-0003</t>
        </is>
      </c>
      <c r="B1595" t="inlineStr">
        <is>
          <t>MPSES</t>
        </is>
      </c>
      <c r="C1595" t="inlineStr">
        <is>
          <t>Driver</t>
        </is>
      </c>
      <c r="D1595" t="inlineStr">
        <is>
          <t>Chauffeur</t>
        </is>
      </c>
      <c r="E1595" t="inlineStr">
        <is>
          <t>Michel Gendreau</t>
        </is>
      </c>
      <c r="F1595" t="inlineStr">
        <is>
          <t>Delivered secret documents to the Minister.</t>
        </is>
      </c>
      <c r="G1595" t="inlineStr">
        <is>
          <t>Livraison de documents secrets à la Ministre.</t>
        </is>
      </c>
      <c r="H1595" s="1" t="n">
        <v>44244</v>
      </c>
      <c r="I1595" s="1" t="n">
        <v>44244</v>
      </c>
      <c r="J1595" t="inlineStr">
        <is>
          <t>Sherbrooke (Quebec) Canada</t>
        </is>
      </c>
      <c r="K1595" t="inlineStr">
        <is>
          <t>Sherbrooke (Québec) Canada</t>
        </is>
      </c>
      <c r="P1595" t="n">
        <v>0</v>
      </c>
      <c r="Q1595" t="n">
        <v>6.4</v>
      </c>
      <c r="R1595" t="n">
        <v>0</v>
      </c>
      <c r="S1595" t="n">
        <v>21.05</v>
      </c>
      <c r="T1595" t="n">
        <v>0</v>
      </c>
      <c r="U1595" t="n">
        <v>27.45</v>
      </c>
      <c r="X1595" t="inlineStr">
        <is>
          <t>aafc-aac</t>
        </is>
      </c>
      <c r="Y1595" t="inlineStr">
        <is>
          <t>Agriculture and Agri-Food Canada | Agriculture et Agroalimentaire Canada</t>
        </is>
      </c>
    </row>
    <row r="1596">
      <c r="A1596" t="inlineStr">
        <is>
          <t>T-2021-P01-0001</t>
        </is>
      </c>
      <c r="B1596" t="inlineStr">
        <is>
          <t>MPSES</t>
        </is>
      </c>
      <c r="C1596" t="inlineStr">
        <is>
          <t>Driver</t>
        </is>
      </c>
      <c r="D1596" t="inlineStr">
        <is>
          <t>Chauffeur</t>
        </is>
      </c>
      <c r="E1596" t="inlineStr">
        <is>
          <t>Michel Gendreau</t>
        </is>
      </c>
      <c r="F1596" t="inlineStr">
        <is>
          <t>Delivered secret documents to the Minister.</t>
        </is>
      </c>
      <c r="G1596" t="inlineStr">
        <is>
          <t>Livraison de documents secrets à la Ministre.</t>
        </is>
      </c>
      <c r="H1596" s="1" t="n">
        <v>44252</v>
      </c>
      <c r="I1596" s="1" t="n">
        <v>44252</v>
      </c>
      <c r="J1596" t="inlineStr">
        <is>
          <t>Sherbrooke (Quebec) Canada</t>
        </is>
      </c>
      <c r="K1596" t="inlineStr">
        <is>
          <t>Sherbrooke (Québec) Canada</t>
        </is>
      </c>
      <c r="P1596" t="n">
        <v>0</v>
      </c>
      <c r="Q1596" t="n">
        <v>6.4</v>
      </c>
      <c r="R1596" t="n">
        <v>0</v>
      </c>
      <c r="S1596" t="n">
        <v>21.05</v>
      </c>
      <c r="T1596" t="n">
        <v>0</v>
      </c>
      <c r="U1596" t="n">
        <v>27.45</v>
      </c>
      <c r="X1596" t="inlineStr">
        <is>
          <t>aafc-aac</t>
        </is>
      </c>
      <c r="Y1596" t="inlineStr">
        <is>
          <t>Agriculture and Agri-Food Canada | Agriculture et Agroalimentaire Canada</t>
        </is>
      </c>
    </row>
    <row r="1597">
      <c r="A1597" t="inlineStr">
        <is>
          <t>T-2021-P01-0002</t>
        </is>
      </c>
      <c r="B1597" t="inlineStr">
        <is>
          <t>MPSES</t>
        </is>
      </c>
      <c r="C1597" t="inlineStr">
        <is>
          <t>Driver</t>
        </is>
      </c>
      <c r="D1597" t="inlineStr">
        <is>
          <t>Chauffeur</t>
        </is>
      </c>
      <c r="E1597" t="inlineStr">
        <is>
          <t>Michel Gendreau</t>
        </is>
      </c>
      <c r="F1597" t="inlineStr">
        <is>
          <t>Delivered secret documents to the Minister.</t>
        </is>
      </c>
      <c r="G1597" t="inlineStr">
        <is>
          <t>Livraison de documents secrets à la Ministre.</t>
        </is>
      </c>
      <c r="H1597" s="1" t="n">
        <v>44262</v>
      </c>
      <c r="I1597" s="1" t="n">
        <v>44262</v>
      </c>
      <c r="J1597" t="inlineStr">
        <is>
          <t>Sherbrooke (Quebec) Canada</t>
        </is>
      </c>
      <c r="K1597" t="inlineStr">
        <is>
          <t>Sherbrooke (Québec) Canada</t>
        </is>
      </c>
      <c r="P1597" t="n">
        <v>0</v>
      </c>
      <c r="Q1597" t="n">
        <v>4.8</v>
      </c>
      <c r="R1597" t="n">
        <v>0</v>
      </c>
      <c r="S1597" t="n">
        <v>21.05</v>
      </c>
      <c r="T1597" t="n">
        <v>0</v>
      </c>
      <c r="U1597" t="n">
        <v>25.85</v>
      </c>
      <c r="X1597" t="inlineStr">
        <is>
          <t>aafc-aac</t>
        </is>
      </c>
      <c r="Y1597" t="inlineStr">
        <is>
          <t>Agriculture and Agri-Food Canada | Agriculture et Agroalimentaire Canada</t>
        </is>
      </c>
    </row>
    <row r="1598">
      <c r="A1598" t="inlineStr">
        <is>
          <t>T-2021-P01-0003</t>
        </is>
      </c>
      <c r="B1598" t="inlineStr">
        <is>
          <t>MPSES</t>
        </is>
      </c>
      <c r="C1598" t="inlineStr">
        <is>
          <t>Driver</t>
        </is>
      </c>
      <c r="D1598" t="inlineStr">
        <is>
          <t>Chauffeur</t>
        </is>
      </c>
      <c r="E1598" t="inlineStr">
        <is>
          <t>Michel Gendreau</t>
        </is>
      </c>
      <c r="F1598" t="inlineStr">
        <is>
          <t>Delivered secret documents to the Minister.</t>
        </is>
      </c>
      <c r="G1598" t="inlineStr">
        <is>
          <t>Livraison de documents secrets à la Ministre.</t>
        </is>
      </c>
      <c r="H1598" s="1" t="n">
        <v>44273</v>
      </c>
      <c r="I1598" s="1" t="n">
        <v>44273</v>
      </c>
      <c r="J1598" t="inlineStr">
        <is>
          <t>Sherbrooke (Quebec) Canada</t>
        </is>
      </c>
      <c r="K1598" t="inlineStr">
        <is>
          <t>Sherbrooke (Québec) Canada</t>
        </is>
      </c>
      <c r="P1598" t="n">
        <v>0</v>
      </c>
      <c r="Q1598" t="n">
        <v>4.8</v>
      </c>
      <c r="R1598" t="n">
        <v>0</v>
      </c>
      <c r="S1598" t="n">
        <v>21.05</v>
      </c>
      <c r="T1598" t="n">
        <v>0</v>
      </c>
      <c r="U1598" t="n">
        <v>25.85</v>
      </c>
      <c r="X1598" t="inlineStr">
        <is>
          <t>aafc-aac</t>
        </is>
      </c>
      <c r="Y1598" t="inlineStr">
        <is>
          <t>Agriculture and Agri-Food Canada | Agriculture et Agroalimentaire Canada</t>
        </is>
      </c>
    </row>
    <row r="1599">
      <c r="A1599" t="inlineStr">
        <is>
          <t>T-2021-P01-0004</t>
        </is>
      </c>
      <c r="B1599" t="inlineStr">
        <is>
          <t>MPSES</t>
        </is>
      </c>
      <c r="C1599" t="inlineStr">
        <is>
          <t>Driver</t>
        </is>
      </c>
      <c r="D1599" t="inlineStr">
        <is>
          <t>Chauffeur</t>
        </is>
      </c>
      <c r="E1599" t="inlineStr">
        <is>
          <t>Michel Gendreau</t>
        </is>
      </c>
      <c r="F1599" t="inlineStr">
        <is>
          <t>Delivered secret documents to the Minister.</t>
        </is>
      </c>
      <c r="G1599" t="inlineStr">
        <is>
          <t>Livraison de documents secrets à la Ministre.</t>
        </is>
      </c>
      <c r="H1599" s="1" t="n">
        <v>44280</v>
      </c>
      <c r="I1599" s="1" t="n">
        <v>44280</v>
      </c>
      <c r="J1599" t="inlineStr">
        <is>
          <t>Sherbrooke (Quebec) Canada</t>
        </is>
      </c>
      <c r="K1599" t="inlineStr">
        <is>
          <t>Sherbrooke (Québec) Canada</t>
        </is>
      </c>
      <c r="P1599" t="n">
        <v>0</v>
      </c>
      <c r="Q1599" t="n">
        <v>4.8</v>
      </c>
      <c r="R1599" t="n">
        <v>0</v>
      </c>
      <c r="S1599" t="n">
        <v>21.05</v>
      </c>
      <c r="T1599" t="n">
        <v>0</v>
      </c>
      <c r="U1599" t="n">
        <v>25.85</v>
      </c>
      <c r="X1599" t="inlineStr">
        <is>
          <t>aafc-aac</t>
        </is>
      </c>
      <c r="Y1599" t="inlineStr">
        <is>
          <t>Agriculture and Agri-Food Canada | Agriculture et Agroalimentaire Canada</t>
        </is>
      </c>
    </row>
    <row r="1600">
      <c r="A1600" t="inlineStr">
        <is>
          <t>T-2021-P03-0001</t>
        </is>
      </c>
      <c r="B1600" t="inlineStr">
        <is>
          <t>MPSES</t>
        </is>
      </c>
      <c r="C1600" t="inlineStr">
        <is>
          <t>Driver</t>
        </is>
      </c>
      <c r="D1600" t="inlineStr">
        <is>
          <t>Chauffeur</t>
        </is>
      </c>
      <c r="E1600" t="inlineStr">
        <is>
          <t>Michel Gendreau</t>
        </is>
      </c>
      <c r="F1600" t="inlineStr">
        <is>
          <t>Deliver secure documents to the Minister.</t>
        </is>
      </c>
      <c r="G1600" t="inlineStr">
        <is>
          <t>Livrer des documents sécurisés à la Ministre.</t>
        </is>
      </c>
      <c r="H1600" s="1" t="n">
        <v>44315</v>
      </c>
      <c r="I1600" s="1" t="n">
        <v>44315</v>
      </c>
      <c r="J1600" t="inlineStr">
        <is>
          <t>Sherbrooke (Quebec) Canada</t>
        </is>
      </c>
      <c r="K1600" t="inlineStr">
        <is>
          <t>Sherbrooke (Québec) Canada</t>
        </is>
      </c>
      <c r="P1600" t="n">
        <v>0</v>
      </c>
      <c r="Q1600" t="n">
        <v>2.4</v>
      </c>
      <c r="R1600" t="n">
        <v>0</v>
      </c>
      <c r="S1600" t="n">
        <v>21.35</v>
      </c>
      <c r="T1600" t="n">
        <v>0</v>
      </c>
      <c r="U1600" t="n">
        <v>23.75</v>
      </c>
      <c r="X1600" t="inlineStr">
        <is>
          <t>aafc-aac</t>
        </is>
      </c>
      <c r="Y1600" t="inlineStr">
        <is>
          <t>Agriculture and Agri-Food Canada | Agriculture et Agroalimentaire Canada</t>
        </is>
      </c>
    </row>
    <row r="1601">
      <c r="A1601" t="inlineStr">
        <is>
          <t>T-2021-P03-0002</t>
        </is>
      </c>
      <c r="B1601" t="inlineStr">
        <is>
          <t>MPSES</t>
        </is>
      </c>
      <c r="C1601" t="inlineStr">
        <is>
          <t>Driver</t>
        </is>
      </c>
      <c r="D1601" t="inlineStr">
        <is>
          <t>Chauffeur</t>
        </is>
      </c>
      <c r="E1601" t="inlineStr">
        <is>
          <t>Michel Gendreau</t>
        </is>
      </c>
      <c r="F1601" t="inlineStr">
        <is>
          <t>Deliver secure documents to the Minister.</t>
        </is>
      </c>
      <c r="G1601" t="inlineStr">
        <is>
          <t>Livrer des documents sécurisés à la Ministre.</t>
        </is>
      </c>
      <c r="H1601" s="1" t="n">
        <v>44330</v>
      </c>
      <c r="I1601" s="1" t="n">
        <v>44330</v>
      </c>
      <c r="J1601" t="inlineStr">
        <is>
          <t>Sherbrooke (Quebec) Canada</t>
        </is>
      </c>
      <c r="K1601" t="inlineStr">
        <is>
          <t>Sherbrooke (Québec) Canada</t>
        </is>
      </c>
      <c r="P1601" t="n">
        <v>0</v>
      </c>
      <c r="Q1601" t="n">
        <v>4.8</v>
      </c>
      <c r="R1601" t="n">
        <v>0</v>
      </c>
      <c r="S1601" t="n">
        <v>21.35</v>
      </c>
      <c r="T1601" t="n">
        <v>0</v>
      </c>
      <c r="U1601" t="n">
        <v>26.15</v>
      </c>
      <c r="X1601" t="inlineStr">
        <is>
          <t>aafc-aac</t>
        </is>
      </c>
      <c r="Y1601" t="inlineStr">
        <is>
          <t>Agriculture and Agri-Food Canada | Agriculture et Agroalimentaire Canada</t>
        </is>
      </c>
    </row>
    <row r="1602">
      <c r="A1602" t="inlineStr">
        <is>
          <t>T-2021-P03-0003</t>
        </is>
      </c>
      <c r="B1602" t="inlineStr">
        <is>
          <t>MPSES</t>
        </is>
      </c>
      <c r="C1602" t="inlineStr">
        <is>
          <t>Driver</t>
        </is>
      </c>
      <c r="D1602" t="inlineStr">
        <is>
          <t>Chauffeur</t>
        </is>
      </c>
      <c r="E1602" t="inlineStr">
        <is>
          <t>Michel Gendreau</t>
        </is>
      </c>
      <c r="F1602" t="inlineStr">
        <is>
          <t>Deliver secure documents to the Minister and drive the Minister to Ministerial announcement in St-Hyacinthe.</t>
        </is>
      </c>
      <c r="G1602" t="inlineStr">
        <is>
          <t>Livrer des documents sécurisés à la  Ministre et conduire la Ministre à l'annonce ministérielle à St-Hyacinthe.</t>
        </is>
      </c>
      <c r="H1602" s="1" t="n">
        <v>44350</v>
      </c>
      <c r="I1602" s="1" t="n">
        <v>44351</v>
      </c>
      <c r="J1602" t="inlineStr">
        <is>
          <t>Sherbrooke (Quebec) Canada
St-Hyacinthe (Quebec) Canada</t>
        </is>
      </c>
      <c r="K1602" t="inlineStr">
        <is>
          <t>Sherbrooke (Québec) Canada
St-Hyacinthe (Québec) Canada</t>
        </is>
      </c>
      <c r="P1602" t="n">
        <v>0</v>
      </c>
      <c r="Q1602" t="n">
        <v>0</v>
      </c>
      <c r="R1602" t="n">
        <v>123.75</v>
      </c>
      <c r="S1602" t="n">
        <v>94.84999999999999</v>
      </c>
      <c r="T1602" t="n">
        <v>0</v>
      </c>
      <c r="U1602" t="n">
        <v>218.6</v>
      </c>
      <c r="X1602" t="inlineStr">
        <is>
          <t>aafc-aac</t>
        </is>
      </c>
      <c r="Y1602" t="inlineStr">
        <is>
          <t>Agriculture and Agri-Food Canada | Agriculture et Agroalimentaire Canada</t>
        </is>
      </c>
    </row>
    <row r="1603">
      <c r="A1603" t="inlineStr">
        <is>
          <t>T-2021-P03-0004</t>
        </is>
      </c>
      <c r="B1603" t="inlineStr">
        <is>
          <t>MPSES</t>
        </is>
      </c>
      <c r="C1603" t="inlineStr">
        <is>
          <t>Driver</t>
        </is>
      </c>
      <c r="D1603" t="inlineStr">
        <is>
          <t>Chauffeur</t>
        </is>
      </c>
      <c r="E1603" t="inlineStr">
        <is>
          <t>Michel Gendreau</t>
        </is>
      </c>
      <c r="F1603" t="inlineStr">
        <is>
          <t>Deliver secure documents to the Minister and drive the Minister to Ministerial announcement in Montérégie.</t>
        </is>
      </c>
      <c r="G1603" t="inlineStr">
        <is>
          <t>Livrer des documents sécurisés à la  Ministre et conduire la Ministre à l'annonce ministérielle à Montérégie.</t>
        </is>
      </c>
      <c r="H1603" s="1" t="n">
        <v>44361</v>
      </c>
      <c r="I1603" s="1" t="n">
        <v>44361</v>
      </c>
      <c r="J1603" t="inlineStr">
        <is>
          <t>Sherbrooke (Quebec) Canada
Montérégie (Quebec) Canada</t>
        </is>
      </c>
      <c r="K1603" t="inlineStr">
        <is>
          <t>Sherbrooke (Québec) Canada
Montérégie (Québec) Canada</t>
        </is>
      </c>
      <c r="P1603" t="n">
        <v>0</v>
      </c>
      <c r="Q1603" t="n">
        <v>4.8</v>
      </c>
      <c r="R1603" t="n">
        <v>0</v>
      </c>
      <c r="S1603" t="n">
        <v>94.84999999999999</v>
      </c>
      <c r="T1603" t="n">
        <v>0</v>
      </c>
      <c r="U1603" t="n">
        <v>99.65000000000001</v>
      </c>
      <c r="X1603" t="inlineStr">
        <is>
          <t>aafc-aac</t>
        </is>
      </c>
      <c r="Y1603" t="inlineStr">
        <is>
          <t>Agriculture and Agri-Food Canada | Agriculture et Agroalimentaire Canada</t>
        </is>
      </c>
    </row>
    <row r="1604">
      <c r="A1604" t="inlineStr">
        <is>
          <t>T-2021-P04-0001</t>
        </is>
      </c>
      <c r="B1604" t="inlineStr">
        <is>
          <t>SLE</t>
        </is>
      </c>
      <c r="C1604" t="inlineStr">
        <is>
          <t>Assistant Deputy Minister, Corporate Management Branch</t>
        </is>
      </c>
      <c r="D1604" t="inlineStr">
        <is>
          <t>Sous-ministre adjointe, Direction générale de la gestion intégrée</t>
        </is>
      </c>
      <c r="E1604" t="inlineStr">
        <is>
          <t>Marie-Claude Guérard</t>
        </is>
      </c>
      <c r="F1604" t="inlineStr">
        <is>
          <t>To visit the National Headquarters Complex for the Agriculture Portfolio (NHCAP) and meet with fellow Assistant Deputy Ministers, her direct reports and the Deputy Minister.</t>
        </is>
      </c>
      <c r="G1604" t="inlineStr">
        <is>
          <t>Visiter le complexe de l’Administration centrale pour le portefeuille de l’agriculture (CACPA) afin de rencontrer les sous-ministres adjoints, ses subalternes directs ainsi que le sous-ministre.</t>
        </is>
      </c>
      <c r="H1604" s="1" t="n">
        <v>44368</v>
      </c>
      <c r="I1604" s="1" t="n">
        <v>44369</v>
      </c>
      <c r="J1604" t="inlineStr">
        <is>
          <t>Ottawa (Ontario) Canada</t>
        </is>
      </c>
      <c r="K1604" t="inlineStr">
        <is>
          <t>Ottawa (Ontario) Canada</t>
        </is>
      </c>
      <c r="P1604" t="n">
        <v>0</v>
      </c>
      <c r="Q1604" t="n">
        <v>309</v>
      </c>
      <c r="R1604" t="n">
        <v>151.6</v>
      </c>
      <c r="S1604" t="n">
        <v>150.8</v>
      </c>
      <c r="T1604" t="n">
        <v>0</v>
      </c>
      <c r="U1604" t="n">
        <v>611.4</v>
      </c>
      <c r="X1604" t="inlineStr">
        <is>
          <t>aafc-aac</t>
        </is>
      </c>
      <c r="Y1604" t="inlineStr">
        <is>
          <t>Agriculture and Agri-Food Canada | Agriculture et Agroalimentaire Canada</t>
        </is>
      </c>
    </row>
    <row r="1605">
      <c r="A1605" t="inlineStr">
        <is>
          <t>T-2021-P05-0001</t>
        </is>
      </c>
      <c r="B1605" t="inlineStr">
        <is>
          <t>MPSES</t>
        </is>
      </c>
      <c r="C1605" t="inlineStr">
        <is>
          <t xml:space="preserve">Minister </t>
        </is>
      </c>
      <c r="D1605" t="inlineStr">
        <is>
          <t>Ministre</t>
        </is>
      </c>
      <c r="E1605" t="inlineStr">
        <is>
          <t>Marie-Claude Bibeau</t>
        </is>
      </c>
      <c r="F1605" t="inlineStr">
        <is>
          <t>Attend an Outreach in Montebelo, Laval and Saint-Hyacinthe.</t>
        </is>
      </c>
      <c r="G1605" t="inlineStr">
        <is>
          <t>Participer à une campagne de sensibilisation à Montebelo, à Laval et à Saint-Hyacinthe.</t>
        </is>
      </c>
      <c r="H1605" s="1" t="n">
        <v>44406</v>
      </c>
      <c r="I1605" s="1" t="n">
        <v>44407</v>
      </c>
      <c r="J1605" t="inlineStr">
        <is>
          <t>Montebello (Quebec) Canada; Laval(Quebec) Canada; Saint-Hyacinthe (Quebec) Canada</t>
        </is>
      </c>
      <c r="K1605" t="inlineStr">
        <is>
          <t>Montébello (Québec) Canada; Laval (Québec) Canada; Saint-Hyacinthe (Québec) Canada</t>
        </is>
      </c>
      <c r="P1605" t="n">
        <v>0</v>
      </c>
      <c r="Q1605" t="n">
        <v>0</v>
      </c>
      <c r="R1605" t="n">
        <v>190.4</v>
      </c>
      <c r="S1605" t="n">
        <v>137.3</v>
      </c>
      <c r="T1605" t="n">
        <v>0</v>
      </c>
      <c r="U1605" t="n">
        <v>327.7</v>
      </c>
      <c r="X1605" t="inlineStr">
        <is>
          <t>aafc-aac</t>
        </is>
      </c>
      <c r="Y1605" t="inlineStr">
        <is>
          <t>Agriculture and Agri-Food Canada | Agriculture et Agroalimentaire Canada</t>
        </is>
      </c>
    </row>
    <row r="1606">
      <c r="A1606" t="inlineStr">
        <is>
          <t>T-2021-P05-0002</t>
        </is>
      </c>
      <c r="B1606" t="inlineStr">
        <is>
          <t>MPSES</t>
        </is>
      </c>
      <c r="C1606" t="inlineStr">
        <is>
          <t xml:space="preserve">Minister </t>
        </is>
      </c>
      <c r="D1606" t="inlineStr">
        <is>
          <t>Ministre</t>
        </is>
      </c>
      <c r="E1606" t="inlineStr">
        <is>
          <t>Marie-Claude Bibeau</t>
        </is>
      </c>
      <c r="F1606" t="inlineStr">
        <is>
          <t>Attend an Outreach in Lac-Saint-Jean, Hebertville, Saint-Felicien and Normandin.</t>
        </is>
      </c>
      <c r="G1606" t="inlineStr">
        <is>
          <t>Participer à une campagne de sensibilisation à Lac-Saint-Jean, à Hébertville, à Saint-Félicien et à Normandin.</t>
        </is>
      </c>
      <c r="H1606" s="1" t="n">
        <v>44384</v>
      </c>
      <c r="I1606" s="1" t="n">
        <v>44386</v>
      </c>
      <c r="J1606" t="inlineStr">
        <is>
          <t>Lac-Saint-Jean (Quebec) Canada; Hebertville (Quebec) Canada; Saint-Felicien (Quebec) Canada; Normandin (Quebec) Canada</t>
        </is>
      </c>
      <c r="K1606" t="inlineStr">
        <is>
          <t>Lac-Saint-Jean (Québec) Canada; Hebertville (Québec) Canada; Saint-Félicien (Québec) Canada; Normandin (Québec) Canada</t>
        </is>
      </c>
      <c r="P1606" t="n">
        <v>0</v>
      </c>
      <c r="Q1606" t="n">
        <v>0</v>
      </c>
      <c r="R1606" t="n">
        <v>403.01</v>
      </c>
      <c r="S1606" t="n">
        <v>263.45</v>
      </c>
      <c r="T1606" t="n">
        <v>0</v>
      </c>
      <c r="U1606" t="n">
        <v>666.46</v>
      </c>
      <c r="X1606" t="inlineStr">
        <is>
          <t>aafc-aac</t>
        </is>
      </c>
      <c r="Y1606" t="inlineStr">
        <is>
          <t>Agriculture and Agri-Food Canada | Agriculture et Agroalimentaire Canada</t>
        </is>
      </c>
    </row>
    <row r="1607">
      <c r="A1607" t="inlineStr">
        <is>
          <t>T-2021-P05-0003</t>
        </is>
      </c>
      <c r="B1607" t="inlineStr">
        <is>
          <t>MPSES</t>
        </is>
      </c>
      <c r="C1607" t="inlineStr">
        <is>
          <t xml:space="preserve">Minister </t>
        </is>
      </c>
      <c r="D1607" t="inlineStr">
        <is>
          <t>Ministre</t>
        </is>
      </c>
      <c r="E1607" t="inlineStr">
        <is>
          <t>Marie-Claude Bibeau</t>
        </is>
      </c>
      <c r="F1607" t="inlineStr">
        <is>
          <t>Attend an Outreach in Winnipeg.</t>
        </is>
      </c>
      <c r="G1607" t="inlineStr">
        <is>
          <t>Participer à une campagne de sensibilisation à Winnipeg.</t>
        </is>
      </c>
      <c r="H1607" s="1" t="n">
        <v>44398</v>
      </c>
      <c r="I1607" s="1" t="n">
        <v>44400</v>
      </c>
      <c r="J1607" t="inlineStr">
        <is>
          <t>Winnipeg (Manitoba) Canada</t>
        </is>
      </c>
      <c r="K1607" t="inlineStr">
        <is>
          <t>Winnipeg (Manitoba) Canada</t>
        </is>
      </c>
      <c r="P1607" t="n">
        <v>1475.73</v>
      </c>
      <c r="Q1607" t="n">
        <v>0</v>
      </c>
      <c r="R1607" t="n">
        <v>325.96</v>
      </c>
      <c r="S1607" t="n">
        <v>189.7</v>
      </c>
      <c r="T1607" t="n">
        <v>0</v>
      </c>
      <c r="U1607" t="n">
        <v>1991.39</v>
      </c>
      <c r="X1607" t="inlineStr">
        <is>
          <t>aafc-aac</t>
        </is>
      </c>
      <c r="Y1607" t="inlineStr">
        <is>
          <t>Agriculture and Agri-Food Canada | Agriculture et Agroalimentaire Canada</t>
        </is>
      </c>
    </row>
    <row r="1608">
      <c r="A1608" t="inlineStr">
        <is>
          <t>T-2021-P05-0004</t>
        </is>
      </c>
      <c r="B1608" t="inlineStr">
        <is>
          <t>MPSES</t>
        </is>
      </c>
      <c r="C1608" t="inlineStr">
        <is>
          <t>Chief of Staff</t>
        </is>
      </c>
      <c r="D1608" t="inlineStr">
        <is>
          <t>Chef de cabinet</t>
        </is>
      </c>
      <c r="E1608" t="inlineStr">
        <is>
          <t>Alison Porter</t>
        </is>
      </c>
      <c r="F1608" t="inlineStr">
        <is>
          <t>Accompany the Minister to an Outreach in Warwick.</t>
        </is>
      </c>
      <c r="G1608" t="inlineStr">
        <is>
          <t xml:space="preserve">
Accompagner la ministre à une campagne de sensibilisation à Warwick.</t>
        </is>
      </c>
      <c r="H1608" s="1" t="n">
        <v>44390</v>
      </c>
      <c r="I1608" s="1" t="n">
        <v>44390</v>
      </c>
      <c r="J1608" t="inlineStr">
        <is>
          <t>Warwick (Quebec) Canada</t>
        </is>
      </c>
      <c r="K1608" t="inlineStr">
        <is>
          <t>Warwick (Québec) Canada</t>
        </is>
      </c>
      <c r="P1608" t="n">
        <v>0</v>
      </c>
      <c r="Q1608" t="n">
        <v>43.6</v>
      </c>
      <c r="R1608" t="n">
        <v>0</v>
      </c>
      <c r="S1608" t="n">
        <v>0</v>
      </c>
      <c r="T1608" t="n">
        <v>0</v>
      </c>
      <c r="U1608" t="n">
        <v>43.6</v>
      </c>
      <c r="X1608" t="inlineStr">
        <is>
          <t>aafc-aac</t>
        </is>
      </c>
      <c r="Y1608" t="inlineStr">
        <is>
          <t>Agriculture and Agri-Food Canada | Agriculture et Agroalimentaire Canada</t>
        </is>
      </c>
    </row>
    <row r="1609">
      <c r="A1609" t="inlineStr">
        <is>
          <t>T-2021-P05-0005</t>
        </is>
      </c>
      <c r="B1609" t="inlineStr">
        <is>
          <t>MPSES</t>
        </is>
      </c>
      <c r="C1609" t="inlineStr">
        <is>
          <t>Operations Manager</t>
        </is>
      </c>
      <c r="D1609" t="inlineStr">
        <is>
          <t>Gestionnaire des opérations</t>
        </is>
      </c>
      <c r="E1609" t="inlineStr">
        <is>
          <t>Benjamin Hooker</t>
        </is>
      </c>
      <c r="F1609" t="inlineStr">
        <is>
          <t>Accompany the Minister to an Outreach in Montreal.</t>
        </is>
      </c>
      <c r="G1609" t="inlineStr">
        <is>
          <t xml:space="preserve">
Accompagner la ministre à une campagne de sensibilisation à Montréal.</t>
        </is>
      </c>
      <c r="H1609" s="1" t="n">
        <v>44389</v>
      </c>
      <c r="I1609" s="1" t="n">
        <v>44389</v>
      </c>
      <c r="J1609" t="inlineStr">
        <is>
          <t>Montreal (Quebec) Canada</t>
        </is>
      </c>
      <c r="K1609" t="inlineStr">
        <is>
          <t>Montréal (Québec) Canada</t>
        </is>
      </c>
      <c r="P1609" t="n">
        <v>0</v>
      </c>
      <c r="Q1609" t="n">
        <v>93.52</v>
      </c>
      <c r="R1609" t="n">
        <v>0</v>
      </c>
      <c r="S1609" t="n">
        <v>94.84999999999999</v>
      </c>
      <c r="T1609" t="n">
        <v>0</v>
      </c>
      <c r="U1609" t="n">
        <v>188.37</v>
      </c>
      <c r="X1609" t="inlineStr">
        <is>
          <t>aafc-aac</t>
        </is>
      </c>
      <c r="Y1609" t="inlineStr">
        <is>
          <t>Agriculture and Agri-Food Canada | Agriculture et Agroalimentaire Canada</t>
        </is>
      </c>
    </row>
    <row r="1610">
      <c r="A1610" t="inlineStr">
        <is>
          <t>T-2021-P05-0006</t>
        </is>
      </c>
      <c r="B1610" t="inlineStr">
        <is>
          <t>MPSES</t>
        </is>
      </c>
      <c r="C1610" t="inlineStr">
        <is>
          <t>Driver</t>
        </is>
      </c>
      <c r="D1610" t="inlineStr">
        <is>
          <t>Chauffeur</t>
        </is>
      </c>
      <c r="E1610" t="inlineStr">
        <is>
          <t>Michel Gendreau</t>
        </is>
      </c>
      <c r="F1610" t="inlineStr">
        <is>
          <t>Accompany the Minister to an Outreach in Quebec.</t>
        </is>
      </c>
      <c r="G1610" t="inlineStr">
        <is>
          <t xml:space="preserve">
Accompagner la ministre à une campagne de sensibilisation au Québec.</t>
        </is>
      </c>
      <c r="H1610" s="1" t="n">
        <v>44382</v>
      </c>
      <c r="I1610" s="1" t="n">
        <v>44386</v>
      </c>
      <c r="J1610" t="inlineStr">
        <is>
          <t>Quebec (Quebec) Canada
Lac-Saint-Jean (Quebec) Canada
Heberville (Quebec) Canada
Saint-Felicien (Quebec) Canada
Normandin (Quebec) Canada</t>
        </is>
      </c>
      <c r="K1610" t="inlineStr">
        <is>
          <t>Québec (Québec) Canada
Lac-Saint-Jean (Québec) Canada
Héberville (Québec) Canada
Saint-Félicien (Québec) Canada
Normandin (Québec) Canada</t>
        </is>
      </c>
      <c r="P1610" t="n">
        <v>0</v>
      </c>
      <c r="Q1610" t="n">
        <v>29.99</v>
      </c>
      <c r="R1610" t="n">
        <v>591.41</v>
      </c>
      <c r="S1610" t="n">
        <v>431.8</v>
      </c>
      <c r="T1610" t="n">
        <v>0</v>
      </c>
      <c r="U1610" t="n">
        <v>1053.2</v>
      </c>
      <c r="X1610" t="inlineStr">
        <is>
          <t>aafc-aac</t>
        </is>
      </c>
      <c r="Y1610" t="inlineStr">
        <is>
          <t>Agriculture and Agri-Food Canada | Agriculture et Agroalimentaire Canada</t>
        </is>
      </c>
    </row>
    <row r="1611">
      <c r="A1611" t="inlineStr">
        <is>
          <t>T-2021-P05-0007</t>
        </is>
      </c>
      <c r="B1611" t="inlineStr">
        <is>
          <t>MPSES</t>
        </is>
      </c>
      <c r="C1611" t="inlineStr">
        <is>
          <t>Driver</t>
        </is>
      </c>
      <c r="D1611" t="inlineStr">
        <is>
          <t>Chauffeur</t>
        </is>
      </c>
      <c r="E1611" t="inlineStr">
        <is>
          <t>Michel Gendreau</t>
        </is>
      </c>
      <c r="F1611" t="inlineStr">
        <is>
          <t>Accompany the Minister to an Outreach in Montreal and Warwick.</t>
        </is>
      </c>
      <c r="G1611" t="inlineStr">
        <is>
          <t xml:space="preserve">
Accompagner la ministre à une campagne de sensibilisation à Montréal et Warwick.</t>
        </is>
      </c>
      <c r="H1611" s="1" t="n">
        <v>44388</v>
      </c>
      <c r="I1611" s="1" t="n">
        <v>44390</v>
      </c>
      <c r="J1611" t="inlineStr">
        <is>
          <t>Montreal (Quebec) Canada
Warwick (Quebec) Canada</t>
        </is>
      </c>
      <c r="K1611" t="inlineStr">
        <is>
          <t>Montréal (Québec) Canada
Warwick (Québec) Canada</t>
        </is>
      </c>
      <c r="P1611" t="n">
        <v>0</v>
      </c>
      <c r="Q1611" t="n">
        <v>4.8</v>
      </c>
      <c r="R1611" t="n">
        <v>247.5</v>
      </c>
      <c r="S1611" t="n">
        <v>242.1</v>
      </c>
      <c r="T1611" t="n">
        <v>0</v>
      </c>
      <c r="U1611" t="n">
        <v>494.4</v>
      </c>
      <c r="X1611" t="inlineStr">
        <is>
          <t>aafc-aac</t>
        </is>
      </c>
      <c r="Y1611" t="inlineStr">
        <is>
          <t>Agriculture and Agri-Food Canada | Agriculture et Agroalimentaire Canada</t>
        </is>
      </c>
    </row>
    <row r="1612">
      <c r="A1612" t="inlineStr">
        <is>
          <t>T-2021-P05-0008</t>
        </is>
      </c>
      <c r="B1612" t="inlineStr">
        <is>
          <t>MPSES</t>
        </is>
      </c>
      <c r="C1612" t="inlineStr">
        <is>
          <t>Driver</t>
        </is>
      </c>
      <c r="D1612" t="inlineStr">
        <is>
          <t>Chauffeur</t>
        </is>
      </c>
      <c r="E1612" t="inlineStr">
        <is>
          <t>Michel Gendreau</t>
        </is>
      </c>
      <c r="F1612" t="inlineStr">
        <is>
          <t>Drove the Minister to the Eastern Townships for a tour and to Vaudreuil-Dorion for an annoucement and tour.</t>
        </is>
      </c>
      <c r="G1612" t="inlineStr">
        <is>
          <t>Conduire la ministre en Estrie pour une tournée et à Vaudreuil-Dorion pour une annonce et une tournée.</t>
        </is>
      </c>
      <c r="H1612" s="1" t="n">
        <v>44396</v>
      </c>
      <c r="I1612" s="1" t="n">
        <v>44398</v>
      </c>
      <c r="J1612" t="inlineStr">
        <is>
          <t>Sherbrooke (Quebec) Canada
Vaudreuil-Dorion (Quebec) Canada</t>
        </is>
      </c>
      <c r="K1612" t="inlineStr">
        <is>
          <t>Sherbrooke (Québec) Canada
Vaudreuil-Dorion (Québec) Canada</t>
        </is>
      </c>
      <c r="P1612" t="n">
        <v>0</v>
      </c>
      <c r="Q1612" t="n">
        <v>2.4</v>
      </c>
      <c r="R1612" t="n">
        <v>333.08</v>
      </c>
      <c r="S1612" t="n">
        <v>242.1</v>
      </c>
      <c r="T1612" t="n">
        <v>0</v>
      </c>
      <c r="U1612" t="n">
        <v>577.58</v>
      </c>
      <c r="X1612" t="inlineStr">
        <is>
          <t>aafc-aac</t>
        </is>
      </c>
      <c r="Y1612" t="inlineStr">
        <is>
          <t>Agriculture and Agri-Food Canada | Agriculture et Agroalimentaire Canada</t>
        </is>
      </c>
    </row>
    <row r="1613">
      <c r="A1613" t="inlineStr">
        <is>
          <t>T-2021-P05-0009</t>
        </is>
      </c>
      <c r="B1613" t="inlineStr">
        <is>
          <t>MPSES</t>
        </is>
      </c>
      <c r="C1613" t="inlineStr">
        <is>
          <t>Driver</t>
        </is>
      </c>
      <c r="D1613" t="inlineStr">
        <is>
          <t>Chauffeur</t>
        </is>
      </c>
      <c r="E1613" t="inlineStr">
        <is>
          <t>Michel Gendreau</t>
        </is>
      </c>
      <c r="F1613" t="inlineStr">
        <is>
          <t>Drove the Minister to Embrun and Russell area for farm visits and roundtables.</t>
        </is>
      </c>
      <c r="G1613" t="inlineStr">
        <is>
          <t>Conduire la ministre à la région d'Embrun et Russell pour des visites de fermes et des tables rondes.</t>
        </is>
      </c>
      <c r="H1613" s="1" t="n">
        <v>44404</v>
      </c>
      <c r="I1613" s="1" t="n">
        <v>44404</v>
      </c>
      <c r="J1613" t="inlineStr">
        <is>
          <t>Embrun (Ontario) Canada
Russell (Ontario) Canada</t>
        </is>
      </c>
      <c r="K1613" t="inlineStr">
        <is>
          <t>Embrun (Ontario) Canada
Russell (Ontario) Canada</t>
        </is>
      </c>
      <c r="P1613" t="n">
        <v>0</v>
      </c>
      <c r="Q1613" t="n">
        <v>4.8</v>
      </c>
      <c r="R1613" t="n">
        <v>0</v>
      </c>
      <c r="S1613" t="n">
        <v>94.84999999999999</v>
      </c>
      <c r="T1613" t="n">
        <v>0</v>
      </c>
      <c r="U1613" t="n">
        <v>99.65000000000001</v>
      </c>
      <c r="X1613" t="inlineStr">
        <is>
          <t>aafc-aac</t>
        </is>
      </c>
      <c r="Y1613" t="inlineStr">
        <is>
          <t>Agriculture and Agri-Food Canada | Agriculture et Agroalimentaire Canada</t>
        </is>
      </c>
    </row>
    <row r="1614">
      <c r="A1614" t="inlineStr">
        <is>
          <t>T-2021-P05-0010</t>
        </is>
      </c>
      <c r="B1614" t="inlineStr">
        <is>
          <t>MPSES</t>
        </is>
      </c>
      <c r="C1614" t="inlineStr">
        <is>
          <t>Driver</t>
        </is>
      </c>
      <c r="D1614" t="inlineStr">
        <is>
          <t>Chauffeur</t>
        </is>
      </c>
      <c r="E1614" t="inlineStr">
        <is>
          <t>Michel Gendreau</t>
        </is>
      </c>
      <c r="F1614" t="inlineStr">
        <is>
          <t>Accompany the Minister to an Outreach in Montreal and surrounding areas.</t>
        </is>
      </c>
      <c r="G1614" t="inlineStr">
        <is>
          <t xml:space="preserve">
Accompagner la ministre à une campagne de sensibilisation à Montréal et ses environs.</t>
        </is>
      </c>
      <c r="H1614" s="1" t="n">
        <v>44406</v>
      </c>
      <c r="I1614" s="1" t="n">
        <v>44407</v>
      </c>
      <c r="J1614" t="inlineStr">
        <is>
          <t>Montreal (Quebec) Canada
Laval (Quebec) Canada
Montebello (Quebec) Canada
Saint-Hyacinthe (Quebec) Canada</t>
        </is>
      </c>
      <c r="K1614" t="inlineStr">
        <is>
          <t>Montréal (Québec) Canada
Laval (Québec) Canada
Montébello (Québec) Canada
Saint-Hyacinthe (Québec) Canada</t>
        </is>
      </c>
      <c r="P1614" t="n">
        <v>0</v>
      </c>
      <c r="Q1614" t="n">
        <v>35.74</v>
      </c>
      <c r="R1614" t="n">
        <v>190.4</v>
      </c>
      <c r="S1614" t="n">
        <v>168.6</v>
      </c>
      <c r="T1614" t="n">
        <v>0</v>
      </c>
      <c r="U1614" t="n">
        <v>394.74</v>
      </c>
      <c r="X1614" t="inlineStr">
        <is>
          <t>aafc-aac</t>
        </is>
      </c>
      <c r="Y1614" t="inlineStr">
        <is>
          <t>Agriculture and Agri-Food Canada | Agriculture et Agroalimentaire Canada</t>
        </is>
      </c>
    </row>
    <row r="1615">
      <c r="A1615" t="inlineStr">
        <is>
          <t>T-2021-P05-0011</t>
        </is>
      </c>
      <c r="B1615" t="inlineStr">
        <is>
          <t>MPSES</t>
        </is>
      </c>
      <c r="C1615" t="inlineStr">
        <is>
          <t>Social Media Manager</t>
        </is>
      </c>
      <c r="D1615" t="inlineStr">
        <is>
          <t>Gestionnaire des média sociaux</t>
        </is>
      </c>
      <c r="E1615" t="inlineStr">
        <is>
          <t>Mona Sebbane</t>
        </is>
      </c>
      <c r="F1615" t="inlineStr">
        <is>
          <t>Accompany the Minister to an Outreach in Quebec.</t>
        </is>
      </c>
      <c r="G1615" t="inlineStr">
        <is>
          <t xml:space="preserve">
Accompagner la ministre à une campagne de sensibilisation à Québec.</t>
        </is>
      </c>
      <c r="H1615" s="1" t="n">
        <v>44384</v>
      </c>
      <c r="I1615" s="1" t="n">
        <v>44386</v>
      </c>
      <c r="J1615" t="inlineStr">
        <is>
          <t>Quebec (Quebec) Canada</t>
        </is>
      </c>
      <c r="K1615" t="inlineStr">
        <is>
          <t>Québec (Québec) Canada</t>
        </is>
      </c>
      <c r="P1615" t="n">
        <v>0</v>
      </c>
      <c r="Q1615" t="n">
        <v>0</v>
      </c>
      <c r="R1615" t="n">
        <v>178.1</v>
      </c>
      <c r="S1615" t="n">
        <v>168.85</v>
      </c>
      <c r="T1615" t="n">
        <v>0</v>
      </c>
      <c r="U1615" t="n">
        <v>346.95</v>
      </c>
      <c r="X1615" t="inlineStr">
        <is>
          <t>aafc-aac</t>
        </is>
      </c>
      <c r="Y1615" t="inlineStr">
        <is>
          <t>Agriculture and Agri-Food Canada | Agriculture et Agroalimentaire Canada</t>
        </is>
      </c>
    </row>
    <row r="1616">
      <c r="A1616" t="inlineStr">
        <is>
          <t>T-2021-P05-0012</t>
        </is>
      </c>
      <c r="B1616" t="inlineStr">
        <is>
          <t>MPSES</t>
        </is>
      </c>
      <c r="C1616" t="inlineStr">
        <is>
          <t>Director of Communications</t>
        </is>
      </c>
      <c r="D1616" t="inlineStr">
        <is>
          <t>Directeur des communications</t>
        </is>
      </c>
      <c r="E1616" t="inlineStr">
        <is>
          <t>Oliver Anderson</t>
        </is>
      </c>
      <c r="F1616" t="inlineStr">
        <is>
          <t>Accompany the Minister to an Outreach in Manitoba.</t>
        </is>
      </c>
      <c r="G1616" t="inlineStr">
        <is>
          <t xml:space="preserve">
Accompagner la ministre à une campagne de sensibilisation au Manitoba.</t>
        </is>
      </c>
      <c r="H1616" s="1" t="n">
        <v>44398</v>
      </c>
      <c r="I1616" s="1" t="n">
        <v>44400</v>
      </c>
      <c r="J1616" t="inlineStr">
        <is>
          <t>Winnipeg (Manitoba) Canada</t>
        </is>
      </c>
      <c r="K1616" t="inlineStr">
        <is>
          <t>Winnipeg (Manitoba) Canada</t>
        </is>
      </c>
      <c r="P1616" t="n">
        <v>834.86</v>
      </c>
      <c r="Q1616" t="n">
        <v>240.06</v>
      </c>
      <c r="R1616" t="n">
        <v>325.96</v>
      </c>
      <c r="S1616" t="n">
        <v>242.1</v>
      </c>
      <c r="T1616" t="n">
        <v>0</v>
      </c>
      <c r="U1616" t="n">
        <v>1642.98</v>
      </c>
      <c r="X1616" t="inlineStr">
        <is>
          <t>aafc-aac</t>
        </is>
      </c>
      <c r="Y1616" t="inlineStr">
        <is>
          <t>Agriculture and Agri-Food Canada | Agriculture et Agroalimentaire Canada</t>
        </is>
      </c>
    </row>
    <row r="1617">
      <c r="A1617" t="inlineStr">
        <is>
          <t>T-2021-P05-0013</t>
        </is>
      </c>
      <c r="B1617" t="inlineStr">
        <is>
          <t>MPSES</t>
        </is>
      </c>
      <c r="C1617" t="inlineStr">
        <is>
          <t>Senior Policy Advisor</t>
        </is>
      </c>
      <c r="D1617" t="inlineStr">
        <is>
          <t>Conseiller principal en politiques</t>
        </is>
      </c>
      <c r="E1617" t="inlineStr">
        <is>
          <t>Sandenga Yeba</t>
        </is>
      </c>
      <c r="F1617" t="inlineStr">
        <is>
          <t>Accompany the Minister to an Outreach in Quebec.</t>
        </is>
      </c>
      <c r="G1617" t="inlineStr">
        <is>
          <t xml:space="preserve">
Accompagner la ministre à une campagne de sensibilisation au Québec.</t>
        </is>
      </c>
      <c r="H1617" s="1" t="n">
        <v>44351</v>
      </c>
      <c r="I1617" s="1" t="n">
        <v>44351</v>
      </c>
      <c r="J1617" t="inlineStr">
        <is>
          <t>Saint-Pie de Bagot(Quebec) Canada</t>
        </is>
      </c>
      <c r="K1617" t="inlineStr">
        <is>
          <t>Saint-Pie de Bagot (Québec) Canada</t>
        </is>
      </c>
      <c r="P1617" t="n">
        <v>0</v>
      </c>
      <c r="Q1617" t="n">
        <v>74.94</v>
      </c>
      <c r="R1617" t="n">
        <v>0</v>
      </c>
      <c r="S1617" t="n">
        <v>21.35</v>
      </c>
      <c r="T1617" t="n">
        <v>0</v>
      </c>
      <c r="U1617" t="n">
        <v>96.29000000000001</v>
      </c>
      <c r="X1617" t="inlineStr">
        <is>
          <t>aafc-aac</t>
        </is>
      </c>
      <c r="Y1617" t="inlineStr">
        <is>
          <t>Agriculture and Agri-Food Canada | Agriculture et Agroalimentaire Canada</t>
        </is>
      </c>
    </row>
    <row r="1618">
      <c r="A1618" t="inlineStr">
        <is>
          <t>T-2021-P05-0014</t>
        </is>
      </c>
      <c r="B1618" t="inlineStr">
        <is>
          <t>MPSES</t>
        </is>
      </c>
      <c r="C1618" t="inlineStr">
        <is>
          <t>Senior Policy Advisor</t>
        </is>
      </c>
      <c r="D1618" t="inlineStr">
        <is>
          <t>Conseiller principal en politiques</t>
        </is>
      </c>
      <c r="E1618" t="inlineStr">
        <is>
          <t>Sandenga Yeba</t>
        </is>
      </c>
      <c r="F1618" t="inlineStr">
        <is>
          <t>Accompany the Minister to an Outreach in Quebec.</t>
        </is>
      </c>
      <c r="G1618" t="inlineStr">
        <is>
          <t xml:space="preserve">
Accompagner la ministre à une campagne de sensibilisation au Québec.</t>
        </is>
      </c>
      <c r="H1618" s="1" t="n">
        <v>44382</v>
      </c>
      <c r="I1618" s="1" t="n">
        <v>44386</v>
      </c>
      <c r="J1618" t="inlineStr">
        <is>
          <t>Quebec (Quebec) Canada
Lac-Saint-Jean (Quebec) Canada
Heberville (Quebec) Canada
Saint-Felicien (Quebec) Canada
Normandin (Quebec) Canada</t>
        </is>
      </c>
      <c r="K1618" t="inlineStr">
        <is>
          <t>Québec (Québec) Canada
Lac-Saint-Jean (Québec) Canada
Héberville (Québec) Canada
Saint-Félicien (Québec) Canada
Normandin (Québec) Canada</t>
        </is>
      </c>
      <c r="P1618" t="n">
        <v>0</v>
      </c>
      <c r="Q1618" t="n">
        <v>0</v>
      </c>
      <c r="R1618" t="n">
        <v>581.79</v>
      </c>
      <c r="S1618" t="n">
        <v>431.8</v>
      </c>
      <c r="T1618" t="n">
        <v>0</v>
      </c>
      <c r="U1618" t="n">
        <v>1013.59</v>
      </c>
      <c r="X1618" t="inlineStr">
        <is>
          <t>aafc-aac</t>
        </is>
      </c>
      <c r="Y1618" t="inlineStr">
        <is>
          <t>Agriculture and Agri-Food Canada | Agriculture et Agroalimentaire Canada</t>
        </is>
      </c>
    </row>
    <row r="1619">
      <c r="A1619" t="inlineStr">
        <is>
          <t>T-2021-P05-0015</t>
        </is>
      </c>
      <c r="B1619" t="inlineStr">
        <is>
          <t>MPSES</t>
        </is>
      </c>
      <c r="C1619" t="inlineStr">
        <is>
          <t>Parliamentary Secretary Assistant &amp; Regional Advisor</t>
        </is>
      </c>
      <c r="D1619" t="inlineStr">
        <is>
          <t>Adjoint au Secrétaire Parlementaire et conseiller régional</t>
        </is>
      </c>
      <c r="E1619" t="inlineStr">
        <is>
          <t>Osman Naqvi</t>
        </is>
      </c>
      <c r="F1619" t="inlineStr">
        <is>
          <t>Accompany the Parliamentary Secretary to an announcement and tour in the Niagara Region</t>
        </is>
      </c>
      <c r="G1619" t="inlineStr">
        <is>
          <t xml:space="preserve">
Accompagner le secrétaire parlementaire à une annonce et à une tournée dans la région du Niagara</t>
        </is>
      </c>
      <c r="H1619" s="1" t="n">
        <v>44383</v>
      </c>
      <c r="I1619" s="1" t="n">
        <v>44385</v>
      </c>
      <c r="J1619" t="inlineStr">
        <is>
          <t>Niagara (Ontario) Canada</t>
        </is>
      </c>
      <c r="K1619" t="inlineStr">
        <is>
          <t>Niagara (Ontario) Canada</t>
        </is>
      </c>
      <c r="P1619" t="n">
        <v>0</v>
      </c>
      <c r="Q1619" t="n">
        <v>285.63</v>
      </c>
      <c r="R1619" t="n">
        <v>163.84</v>
      </c>
      <c r="S1619" t="n">
        <v>168.6</v>
      </c>
      <c r="T1619" t="n">
        <v>0</v>
      </c>
      <c r="U1619" t="n">
        <v>618.0700000000001</v>
      </c>
      <c r="X1619" t="inlineStr">
        <is>
          <t>aafc-aac</t>
        </is>
      </c>
      <c r="Y1619" t="inlineStr">
        <is>
          <t>Agriculture and Agri-Food Canada | Agriculture et Agroalimentaire Canada</t>
        </is>
      </c>
    </row>
    <row r="1620">
      <c r="A1620" t="inlineStr">
        <is>
          <t>T-2021-P05-0016</t>
        </is>
      </c>
      <c r="B1620" t="inlineStr">
        <is>
          <t>SLE</t>
        </is>
      </c>
      <c r="C1620" t="inlineStr">
        <is>
          <t>Assistant Deputy Minister, Corporate Management Branch</t>
        </is>
      </c>
      <c r="D1620" t="inlineStr">
        <is>
          <t>Sous-ministre adjointe, Direction générale de la gestion intégrée</t>
        </is>
      </c>
      <c r="E1620" t="inlineStr">
        <is>
          <t>Marie-Claude Guérard</t>
        </is>
      </c>
      <c r="F1620" t="inlineStr">
        <is>
          <t>Visit the National Headquarters Complex for the Agriculture Portfolio (NHCAP) and meet with fellow Assistant Deputy Ministers, her direct reports, the Deputy Minister, a few Directors and Deputy Directors.</t>
        </is>
      </c>
      <c r="G1620" t="inlineStr">
        <is>
          <t>Visiter le complexe de l’administration centrale du portefeuille de l’agriculture (CACPA) afin de rencontrer les autres sous-ministres adjoints, ses subalternes directs, le sous-ministre ainsi que certains directeurs et directeurs adjoints.</t>
        </is>
      </c>
      <c r="H1620" s="1" t="n">
        <v>44389</v>
      </c>
      <c r="I1620" s="1" t="n">
        <v>44390</v>
      </c>
      <c r="J1620" t="inlineStr">
        <is>
          <t>Ottawa (Ontario) Canada</t>
        </is>
      </c>
      <c r="K1620" t="inlineStr">
        <is>
          <t>Ottawa (Ontario) Canada</t>
        </is>
      </c>
      <c r="P1620" t="n">
        <v>0</v>
      </c>
      <c r="Q1620" t="n">
        <v>327.5</v>
      </c>
      <c r="R1620" t="n">
        <v>233.86</v>
      </c>
      <c r="S1620" t="n">
        <v>150.8</v>
      </c>
      <c r="T1620" t="n">
        <v>0</v>
      </c>
      <c r="U1620" t="n">
        <v>712.16</v>
      </c>
      <c r="X1620" t="inlineStr">
        <is>
          <t>aafc-aac</t>
        </is>
      </c>
      <c r="Y1620" t="inlineStr">
        <is>
          <t>Agriculture and Agri-Food Canada | Agriculture et Agroalimentaire Canada</t>
        </is>
      </c>
    </row>
    <row r="1621">
      <c r="A1621" t="inlineStr">
        <is>
          <t>T-2021-P7-0001</t>
        </is>
      </c>
      <c r="B1621" t="inlineStr">
        <is>
          <t>MPSES</t>
        </is>
      </c>
      <c r="C1621" t="inlineStr">
        <is>
          <t>Operations Manager</t>
        </is>
      </c>
      <c r="D1621" t="inlineStr">
        <is>
          <t>Gestionnaire des opérations</t>
        </is>
      </c>
      <c r="E1621" t="inlineStr">
        <is>
          <t>Benjamin Hooker</t>
        </is>
      </c>
      <c r="F1621" t="inlineStr">
        <is>
          <t>Accompanied the Minister to an Outreach.</t>
        </is>
      </c>
      <c r="G1621" t="inlineStr">
        <is>
          <t xml:space="preserve">
Accompagner la ministre à une campagne de sensibilisation.</t>
        </is>
      </c>
      <c r="H1621" s="1" t="n">
        <v>44396</v>
      </c>
      <c r="I1621" s="1" t="n">
        <v>44396</v>
      </c>
      <c r="J1621" t="inlineStr">
        <is>
          <t>Vaudreuil-Dorion (Quebec) Canada</t>
        </is>
      </c>
      <c r="K1621" t="inlineStr">
        <is>
          <t>Vaudreuil-Dorion (Québec) Canada</t>
        </is>
      </c>
      <c r="P1621" t="n">
        <v>0</v>
      </c>
      <c r="Q1621" t="n">
        <v>212.55</v>
      </c>
      <c r="R1621" t="n">
        <v>0</v>
      </c>
      <c r="S1621" t="n">
        <v>94.84999999999999</v>
      </c>
      <c r="T1621" t="n">
        <v>0</v>
      </c>
      <c r="U1621" t="n">
        <v>307.4</v>
      </c>
      <c r="X1621" t="inlineStr">
        <is>
          <t>aafc-aac</t>
        </is>
      </c>
      <c r="Y1621" t="inlineStr">
        <is>
          <t>Agriculture and Agri-Food Canada | Agriculture et Agroalimentaire Canada</t>
        </is>
      </c>
    </row>
    <row r="1622">
      <c r="A1622" t="inlineStr">
        <is>
          <t>T-2021-P7-0002</t>
        </is>
      </c>
      <c r="B1622" t="inlineStr">
        <is>
          <t>MPSES</t>
        </is>
      </c>
      <c r="C1622" t="inlineStr">
        <is>
          <t>Parliamentary Secretary</t>
        </is>
      </c>
      <c r="D1622" t="inlineStr">
        <is>
          <t>Secrétaire parlementaire</t>
        </is>
      </c>
      <c r="E1622" t="inlineStr">
        <is>
          <t>Neil Ellis</t>
        </is>
      </c>
      <c r="F1622" t="inlineStr">
        <is>
          <t>Attended an announcement and tour in the Niagara Region.</t>
        </is>
      </c>
      <c r="G1622" t="inlineStr">
        <is>
          <t>Participer à une annonce et à une tournée dans la région de Niagara.</t>
        </is>
      </c>
      <c r="H1622" s="1" t="n">
        <v>44383</v>
      </c>
      <c r="I1622" s="1" t="n">
        <v>44384</v>
      </c>
      <c r="J1622" t="inlineStr">
        <is>
          <t>Niagara (Ontario) Canada</t>
        </is>
      </c>
      <c r="K1622" t="inlineStr">
        <is>
          <t>Niagara (Ontario) Canada</t>
        </is>
      </c>
      <c r="P1622" t="n">
        <v>0</v>
      </c>
      <c r="Q1622" t="n">
        <v>0</v>
      </c>
      <c r="R1622" t="n">
        <v>175.14</v>
      </c>
      <c r="S1622" t="n">
        <v>168.6</v>
      </c>
      <c r="T1622" t="n">
        <v>0</v>
      </c>
      <c r="U1622" t="n">
        <v>343.74</v>
      </c>
      <c r="X1622" t="inlineStr">
        <is>
          <t>aafc-aac</t>
        </is>
      </c>
      <c r="Y1622" t="inlineStr">
        <is>
          <t>Agriculture and Agri-Food Canada | Agriculture et Agroalimentaire Canada</t>
        </is>
      </c>
    </row>
    <row r="1623">
      <c r="A1623" t="inlineStr">
        <is>
          <t>T-2021-P7-0003</t>
        </is>
      </c>
      <c r="B1623" t="inlineStr">
        <is>
          <t>MPSES</t>
        </is>
      </c>
      <c r="C1623" t="inlineStr">
        <is>
          <t>Parliamentary Secretary Assistant &amp; Regional Advisor</t>
        </is>
      </c>
      <c r="D1623" t="inlineStr">
        <is>
          <t>Adjoint au Secrétaire Parlementaire et conseiller régional</t>
        </is>
      </c>
      <c r="E1623" t="inlineStr">
        <is>
          <t>Osman Naqvi</t>
        </is>
      </c>
      <c r="F1623" t="inlineStr">
        <is>
          <t>Accompanied the Parliamentary Secretary to an announcement.</t>
        </is>
      </c>
      <c r="G1623" t="inlineStr">
        <is>
          <t>Accompagner le secrétaire parlementaire à une annonce.</t>
        </is>
      </c>
      <c r="H1623" s="1" t="n">
        <v>44407</v>
      </c>
      <c r="I1623" s="1" t="n">
        <v>44407</v>
      </c>
      <c r="J1623" t="inlineStr">
        <is>
          <t>Belleville (Ontario) Canada</t>
        </is>
      </c>
      <c r="K1623" t="inlineStr">
        <is>
          <t>Belleville (Ontario) Canada</t>
        </is>
      </c>
      <c r="P1623" t="n">
        <v>0</v>
      </c>
      <c r="Q1623" t="n">
        <v>266.78</v>
      </c>
      <c r="R1623" t="n">
        <v>0</v>
      </c>
      <c r="S1623" t="n">
        <v>94.84999999999999</v>
      </c>
      <c r="T1623" t="n">
        <v>0</v>
      </c>
      <c r="U1623" t="n">
        <v>361.63</v>
      </c>
      <c r="X1623" t="inlineStr">
        <is>
          <t>aafc-aac</t>
        </is>
      </c>
      <c r="Y1623" t="inlineStr">
        <is>
          <t>Agriculture and Agri-Food Canada | Agriculture et Agroalimentaire Canada</t>
        </is>
      </c>
    </row>
    <row r="1624">
      <c r="A1624" t="inlineStr">
        <is>
          <t>T-2021-P7-0004</t>
        </is>
      </c>
      <c r="B1624" t="inlineStr">
        <is>
          <t>SLE</t>
        </is>
      </c>
      <c r="C1624" t="inlineStr">
        <is>
          <t>Assistant Deputy Minister, Corporate Management Branch</t>
        </is>
      </c>
      <c r="D1624" t="inlineStr">
        <is>
          <t>Sous-ministre adjointe, Direction générale de la gestion intégrée</t>
        </is>
      </c>
      <c r="E1624" t="inlineStr">
        <is>
          <t>Marie-Claude Guérard</t>
        </is>
      </c>
      <c r="F1624" t="inlineStr">
        <is>
          <t>Visited the National Headquarters Complex for the Agriculture Portfolio (NHCAP) to meet with her direct reports.</t>
        </is>
      </c>
      <c r="G1624" t="inlineStr">
        <is>
          <t>Visiter le complexe de l’Administration centrale pour le portefeuille de l’agriculture (CACPA) afin de rencontrer ses subalternes directs.</t>
        </is>
      </c>
      <c r="H1624" s="1" t="n">
        <v>44459</v>
      </c>
      <c r="I1624" s="1" t="n">
        <v>44460</v>
      </c>
      <c r="J1624" t="inlineStr">
        <is>
          <t>Ottawa (Ontario) Canada</t>
        </is>
      </c>
      <c r="K1624" t="inlineStr">
        <is>
          <t>Ottawa (Ontario) Canada</t>
        </is>
      </c>
      <c r="P1624" t="n">
        <v>0</v>
      </c>
      <c r="Q1624" t="n">
        <v>354.99</v>
      </c>
      <c r="R1624" t="n">
        <v>257.37</v>
      </c>
      <c r="S1624" t="n">
        <v>150.8</v>
      </c>
      <c r="T1624" t="n">
        <v>0</v>
      </c>
      <c r="U1624" t="n">
        <v>763.16</v>
      </c>
      <c r="X1624" t="inlineStr">
        <is>
          <t>aafc-aac</t>
        </is>
      </c>
      <c r="Y1624" t="inlineStr">
        <is>
          <t>Agriculture and Agri-Food Canada | Agriculture et Agroalimentaire Canada</t>
        </is>
      </c>
    </row>
    <row r="1625">
      <c r="A1625" t="inlineStr">
        <is>
          <t>T-2021-P7-0005</t>
        </is>
      </c>
      <c r="B1625" t="inlineStr">
        <is>
          <t>SLE</t>
        </is>
      </c>
      <c r="C1625" t="inlineStr">
        <is>
          <t>Assistant Deputy Minister, Programs Branch</t>
        </is>
      </c>
      <c r="D1625" t="inlineStr">
        <is>
          <t>Sous-ministre adjoint, Direction générale des programmes</t>
        </is>
      </c>
      <c r="E1625" t="inlineStr">
        <is>
          <t>Paul Samson</t>
        </is>
      </c>
      <c r="F1625" t="inlineStr">
        <is>
          <t>Attended the "Senior Public Sector Leader Program" training.</t>
        </is>
      </c>
      <c r="G1625" t="inlineStr">
        <is>
          <t>Participer à la formation pour le programme "Senior Public Sector Leader Program".</t>
        </is>
      </c>
      <c r="H1625" s="1" t="n">
        <v>44451</v>
      </c>
      <c r="I1625" s="1" t="n">
        <v>44456</v>
      </c>
      <c r="J1625" t="inlineStr">
        <is>
          <t>London (Ontario) Canada</t>
        </is>
      </c>
      <c r="K1625" t="inlineStr">
        <is>
          <t>London (Ontario) Canada</t>
        </is>
      </c>
      <c r="P1625" t="n">
        <v>674.58</v>
      </c>
      <c r="Q1625" t="n">
        <v>88.08</v>
      </c>
      <c r="R1625" t="n">
        <v>0</v>
      </c>
      <c r="S1625" t="n">
        <v>34.6</v>
      </c>
      <c r="T1625" t="n">
        <v>0</v>
      </c>
      <c r="U1625" t="n">
        <v>797.26</v>
      </c>
      <c r="X1625" t="inlineStr">
        <is>
          <t>aafc-aac</t>
        </is>
      </c>
      <c r="Y1625" t="inlineStr">
        <is>
          <t>Agriculture and Agri-Food Canada | Agriculture et Agroalimentaire Canada</t>
        </is>
      </c>
    </row>
    <row r="1626">
      <c r="A1626" t="inlineStr">
        <is>
          <t>T-2021-P7-0006</t>
        </is>
      </c>
      <c r="B1626" t="inlineStr">
        <is>
          <t>SLE</t>
        </is>
      </c>
      <c r="C1626" t="inlineStr">
        <is>
          <t>Assistant Deputy Minister, Programs Branch</t>
        </is>
      </c>
      <c r="D1626" t="inlineStr">
        <is>
          <t>Sous-ministre adjoint, Direction générale des programmes</t>
        </is>
      </c>
      <c r="E1626" t="inlineStr">
        <is>
          <t>Paul Samson</t>
        </is>
      </c>
      <c r="F1626" t="inlineStr">
        <is>
          <t>Attended a meeting with the Canola Council of Canada.</t>
        </is>
      </c>
      <c r="G1626" t="inlineStr">
        <is>
          <t>Participer à une réunion avec le Conseil canadien du canola.</t>
        </is>
      </c>
      <c r="H1626" s="1" t="n">
        <v>44475</v>
      </c>
      <c r="I1626" s="1" t="n">
        <v>44475</v>
      </c>
      <c r="J1626" t="inlineStr">
        <is>
          <t>Ottawa (Ontario) Canada</t>
        </is>
      </c>
      <c r="K1626" t="inlineStr">
        <is>
          <t>Ottawa (Ontario) Canada</t>
        </is>
      </c>
      <c r="P1626" t="n">
        <v>0</v>
      </c>
      <c r="Q1626" t="n">
        <v>17.27</v>
      </c>
      <c r="R1626" t="n">
        <v>0</v>
      </c>
      <c r="S1626" t="n">
        <v>0</v>
      </c>
      <c r="T1626" t="n">
        <v>0</v>
      </c>
      <c r="U1626" t="n">
        <v>17.27</v>
      </c>
      <c r="X1626" t="inlineStr">
        <is>
          <t>aafc-aac</t>
        </is>
      </c>
      <c r="Y1626" t="inlineStr">
        <is>
          <t>Agriculture and Agri-Food Canada | Agriculture et Agroalimentaire Canada</t>
        </is>
      </c>
    </row>
    <row r="1627">
      <c r="A1627" t="inlineStr">
        <is>
          <t>T-2021-P8-0001</t>
        </is>
      </c>
      <c r="B1627" t="inlineStr">
        <is>
          <t>MPSES</t>
        </is>
      </c>
      <c r="C1627" t="inlineStr">
        <is>
          <t>Operations Manager</t>
        </is>
      </c>
      <c r="D1627" t="inlineStr">
        <is>
          <t>Gestionnaire des opérations</t>
        </is>
      </c>
      <c r="E1627" t="inlineStr">
        <is>
          <t>Benjamin Hooker</t>
        </is>
      </c>
      <c r="F1627" t="inlineStr">
        <is>
          <t>Accompanied the Minister to an announcement and farm tour.</t>
        </is>
      </c>
      <c r="G1627" t="inlineStr">
        <is>
          <t xml:space="preserve">
Accompagner la ministre à une annonce et visite de la ferme.</t>
        </is>
      </c>
      <c r="H1627" s="1" t="n">
        <v>44398</v>
      </c>
      <c r="I1627" s="1" t="n">
        <v>44398</v>
      </c>
      <c r="J1627" t="inlineStr">
        <is>
          <t>Vaudreuil-Dorion (Quebec) Canada</t>
        </is>
      </c>
      <c r="K1627" t="inlineStr">
        <is>
          <t>Vaudreuil-Dorion (Québec) Canada</t>
        </is>
      </c>
      <c r="P1627" t="n">
        <v>0</v>
      </c>
      <c r="Q1627" t="n">
        <v>66.81999999999999</v>
      </c>
      <c r="R1627" t="n">
        <v>0</v>
      </c>
      <c r="S1627" t="n">
        <v>21.35</v>
      </c>
      <c r="T1627" t="n">
        <v>0</v>
      </c>
      <c r="U1627" t="n">
        <v>88.17</v>
      </c>
      <c r="X1627" t="inlineStr">
        <is>
          <t>aafc-aac</t>
        </is>
      </c>
      <c r="Y1627" t="inlineStr">
        <is>
          <t>Agriculture and Agri-Food Canada | Agriculture et Agroalimentaire Canada</t>
        </is>
      </c>
    </row>
    <row r="1628">
      <c r="A1628" t="inlineStr">
        <is>
          <t>T-2021-P8-0002</t>
        </is>
      </c>
      <c r="B1628" t="inlineStr">
        <is>
          <t>MPSES</t>
        </is>
      </c>
      <c r="C1628" t="inlineStr">
        <is>
          <t>Driver</t>
        </is>
      </c>
      <c r="D1628" t="inlineStr">
        <is>
          <t>Chauffeur</t>
        </is>
      </c>
      <c r="E1628" t="inlineStr">
        <is>
          <t>Michel Gendreau</t>
        </is>
      </c>
      <c r="F1628" t="inlineStr">
        <is>
          <t>Drove the Minister from her riding to Ottawa and return.</t>
        </is>
      </c>
      <c r="G1628" t="inlineStr">
        <is>
          <t>Conduire la Ministre de sa circonscription à Ottawa et revenir.</t>
        </is>
      </c>
      <c r="H1628" s="1" t="n">
        <v>44491</v>
      </c>
      <c r="I1628" s="1" t="n">
        <v>44491</v>
      </c>
      <c r="J1628" t="inlineStr">
        <is>
          <t>Sherbrooke (Quebec) Canada</t>
        </is>
      </c>
      <c r="K1628" t="inlineStr">
        <is>
          <t>Sherbrooke (Québec) Canada</t>
        </is>
      </c>
      <c r="P1628" t="n">
        <v>0</v>
      </c>
      <c r="Q1628" t="n">
        <v>4.8</v>
      </c>
      <c r="R1628" t="n">
        <v>0</v>
      </c>
      <c r="S1628" t="n">
        <v>21.6</v>
      </c>
      <c r="T1628" t="n">
        <v>0</v>
      </c>
      <c r="U1628" t="n">
        <v>26.4</v>
      </c>
      <c r="X1628" t="inlineStr">
        <is>
          <t>aafc-aac</t>
        </is>
      </c>
      <c r="Y1628" t="inlineStr">
        <is>
          <t>Agriculture and Agri-Food Canada | Agriculture et Agroalimentaire Canada</t>
        </is>
      </c>
    </row>
    <row r="1629">
      <c r="A1629" t="inlineStr">
        <is>
          <t>T-2021-P8-0003</t>
        </is>
      </c>
      <c r="B1629" t="inlineStr">
        <is>
          <t>MPSES</t>
        </is>
      </c>
      <c r="C1629" t="inlineStr">
        <is>
          <t>Driver</t>
        </is>
      </c>
      <c r="D1629" t="inlineStr">
        <is>
          <t>Chauffeur</t>
        </is>
      </c>
      <c r="E1629" t="inlineStr">
        <is>
          <t>Michel Gendreau</t>
        </is>
      </c>
      <c r="F1629" t="inlineStr">
        <is>
          <t>Drove the Minister to her riding from Ottawa.</t>
        </is>
      </c>
      <c r="G1629" t="inlineStr">
        <is>
          <t>Conduire la Ministre d'Ottawa à sa circonscription.</t>
        </is>
      </c>
      <c r="H1629" s="1" t="n">
        <v>44492</v>
      </c>
      <c r="I1629" s="1" t="n">
        <v>44492</v>
      </c>
      <c r="J1629" t="inlineStr">
        <is>
          <t>Sherbrooke (Quebec) Canada</t>
        </is>
      </c>
      <c r="K1629" t="inlineStr">
        <is>
          <t>Sherbrooke (Québec) Canada</t>
        </is>
      </c>
      <c r="P1629" t="n">
        <v>0</v>
      </c>
      <c r="Q1629" t="n">
        <v>4.8</v>
      </c>
      <c r="R1629" t="n">
        <v>0</v>
      </c>
      <c r="S1629" t="n">
        <v>21.6</v>
      </c>
      <c r="T1629" t="n">
        <v>0</v>
      </c>
      <c r="U1629" t="n">
        <v>26.4</v>
      </c>
      <c r="X1629" t="inlineStr">
        <is>
          <t>aafc-aac</t>
        </is>
      </c>
      <c r="Y1629" t="inlineStr">
        <is>
          <t>Agriculture and Agri-Food Canada | Agriculture et Agroalimentaire Canada</t>
        </is>
      </c>
    </row>
    <row r="1630">
      <c r="A1630" t="inlineStr">
        <is>
          <t>T-2021-P8-0004</t>
        </is>
      </c>
      <c r="B1630" t="inlineStr">
        <is>
          <t>MPSES</t>
        </is>
      </c>
      <c r="C1630" t="inlineStr">
        <is>
          <t>Driver</t>
        </is>
      </c>
      <c r="D1630" t="inlineStr">
        <is>
          <t>Chauffeur</t>
        </is>
      </c>
      <c r="E1630" t="inlineStr">
        <is>
          <t>Michel Gendreau</t>
        </is>
      </c>
      <c r="F1630" t="inlineStr">
        <is>
          <t>Drove the Minister to her riding from Ottawa.</t>
        </is>
      </c>
      <c r="G1630" t="inlineStr">
        <is>
          <t>Conduire la Ministre d'Ottawa à sa circonscription .</t>
        </is>
      </c>
      <c r="H1630" s="1" t="n">
        <v>44498</v>
      </c>
      <c r="I1630" s="1" t="n">
        <v>44498</v>
      </c>
      <c r="J1630" t="inlineStr">
        <is>
          <t>Sherbrooke (Quebec) Canada</t>
        </is>
      </c>
      <c r="K1630" t="inlineStr">
        <is>
          <t>Sherbrooke (Québec) Canada</t>
        </is>
      </c>
      <c r="P1630" t="n">
        <v>0</v>
      </c>
      <c r="Q1630" t="n">
        <v>4.8</v>
      </c>
      <c r="R1630" t="n">
        <v>0</v>
      </c>
      <c r="S1630" t="n">
        <v>53</v>
      </c>
      <c r="T1630" t="n">
        <v>0</v>
      </c>
      <c r="U1630" t="n">
        <v>57.8</v>
      </c>
      <c r="X1630" t="inlineStr">
        <is>
          <t>aafc-aac</t>
        </is>
      </c>
      <c r="Y1630" t="inlineStr">
        <is>
          <t>Agriculture and Agri-Food Canada | Agriculture et Agroalimentaire Canada</t>
        </is>
      </c>
    </row>
    <row r="1631">
      <c r="A1631" t="inlineStr">
        <is>
          <t>T-2021-P8-0005</t>
        </is>
      </c>
      <c r="B1631" t="inlineStr">
        <is>
          <t>MPSES</t>
        </is>
      </c>
      <c r="C1631" t="inlineStr">
        <is>
          <t>Driver</t>
        </is>
      </c>
      <c r="D1631" t="inlineStr">
        <is>
          <t>Chauffeur</t>
        </is>
      </c>
      <c r="E1631" t="inlineStr">
        <is>
          <t>Michel Gendreau</t>
        </is>
      </c>
      <c r="F1631" t="inlineStr">
        <is>
          <t>Drove the Minister from her riding to Ottawa and return.</t>
        </is>
      </c>
      <c r="G1631" t="inlineStr">
        <is>
          <t>Conduire la Ministre de sa circonscription à Ottawa et revenir.</t>
        </is>
      </c>
      <c r="H1631" s="1" t="n">
        <v>44501</v>
      </c>
      <c r="I1631" s="1" t="n">
        <v>44502</v>
      </c>
      <c r="J1631" t="inlineStr">
        <is>
          <t>Sherbrooke (Quebec) Canada</t>
        </is>
      </c>
      <c r="K1631" t="inlineStr">
        <is>
          <t>Sherbrooke (Québec) Canada</t>
        </is>
      </c>
      <c r="P1631" t="n">
        <v>0</v>
      </c>
      <c r="Q1631" t="n">
        <v>4.8</v>
      </c>
      <c r="R1631" t="n">
        <v>123.75</v>
      </c>
      <c r="S1631" t="n">
        <v>74.34999999999999</v>
      </c>
      <c r="T1631" t="n">
        <v>0</v>
      </c>
      <c r="U1631" t="n">
        <v>202.9</v>
      </c>
      <c r="X1631" t="inlineStr">
        <is>
          <t>aafc-aac</t>
        </is>
      </c>
      <c r="Y1631" t="inlineStr">
        <is>
          <t>Agriculture and Agri-Food Canada | Agriculture et Agroalimentaire Canada</t>
        </is>
      </c>
    </row>
    <row r="1632">
      <c r="A1632" t="inlineStr">
        <is>
          <t>T-2021-P8-0006</t>
        </is>
      </c>
      <c r="B1632" t="inlineStr">
        <is>
          <t>MPSES</t>
        </is>
      </c>
      <c r="C1632" t="inlineStr">
        <is>
          <t>Driver</t>
        </is>
      </c>
      <c r="D1632" t="inlineStr">
        <is>
          <t>Chauffeur</t>
        </is>
      </c>
      <c r="E1632" t="inlineStr">
        <is>
          <t>Michel Gendreau</t>
        </is>
      </c>
      <c r="F1632" t="inlineStr">
        <is>
          <t>Drove the Minister to her riding from Ottawa.</t>
        </is>
      </c>
      <c r="G1632" t="inlineStr">
        <is>
          <t>Conduire la Ministre d'Ottawa à sa circonscription.</t>
        </is>
      </c>
      <c r="H1632" s="1" t="n">
        <v>44505</v>
      </c>
      <c r="I1632" s="1" t="n">
        <v>44505</v>
      </c>
      <c r="J1632" t="inlineStr">
        <is>
          <t>Sherbrooke (Quebec) Canada</t>
        </is>
      </c>
      <c r="K1632" t="inlineStr">
        <is>
          <t>Sherbrooke (Québec) Canada</t>
        </is>
      </c>
      <c r="P1632" t="n">
        <v>0</v>
      </c>
      <c r="Q1632" t="n">
        <v>4.8</v>
      </c>
      <c r="R1632" t="n">
        <v>0</v>
      </c>
      <c r="S1632" t="n">
        <v>53</v>
      </c>
      <c r="T1632" t="n">
        <v>0</v>
      </c>
      <c r="U1632" t="n">
        <v>57.8</v>
      </c>
      <c r="X1632" t="inlineStr">
        <is>
          <t>aafc-aac</t>
        </is>
      </c>
      <c r="Y1632" t="inlineStr">
        <is>
          <t>Agriculture and Agri-Food Canada | Agriculture et Agroalimentaire Canada</t>
        </is>
      </c>
    </row>
    <row r="1633">
      <c r="A1633" t="inlineStr">
        <is>
          <t>T-2021-P8-0007</t>
        </is>
      </c>
      <c r="B1633" t="inlineStr">
        <is>
          <t>MPSES</t>
        </is>
      </c>
      <c r="C1633" t="inlineStr">
        <is>
          <t>Driver</t>
        </is>
      </c>
      <c r="D1633" t="inlineStr">
        <is>
          <t>Chauffeur</t>
        </is>
      </c>
      <c r="E1633" t="inlineStr">
        <is>
          <t>Michel Gendreau</t>
        </is>
      </c>
      <c r="F1633" t="inlineStr">
        <is>
          <t>Drove the Minister from her riding to the Montréal airport.</t>
        </is>
      </c>
      <c r="G1633" t="inlineStr">
        <is>
          <t>Conduire la Ministre de sa circonscription à l'aéroport de Montréal.</t>
        </is>
      </c>
      <c r="H1633" s="1" t="n">
        <v>44507</v>
      </c>
      <c r="I1633" s="1" t="n">
        <v>44507</v>
      </c>
      <c r="J1633" t="inlineStr">
        <is>
          <t>Sherbrooke (Quebec) Canada; Montréal (Quebec) Canada</t>
        </is>
      </c>
      <c r="K1633" t="inlineStr">
        <is>
          <t>Sherbrooke (Québec) Canada; Montréal (Québec) Canada</t>
        </is>
      </c>
      <c r="P1633" t="n">
        <v>0</v>
      </c>
      <c r="Q1633" t="n">
        <v>2.4</v>
      </c>
      <c r="R1633" t="n">
        <v>0</v>
      </c>
      <c r="S1633" t="n">
        <v>74.59999999999999</v>
      </c>
      <c r="T1633" t="n">
        <v>0</v>
      </c>
      <c r="U1633" t="n">
        <v>77</v>
      </c>
      <c r="X1633" t="inlineStr">
        <is>
          <t>aafc-aac</t>
        </is>
      </c>
      <c r="Y1633" t="inlineStr">
        <is>
          <t>Agriculture and Agri-Food Canada | Agriculture et Agroalimentaire Canada</t>
        </is>
      </c>
    </row>
    <row r="1634">
      <c r="A1634" t="inlineStr">
        <is>
          <t>T-2021-P8-0008</t>
        </is>
      </c>
      <c r="B1634" t="inlineStr">
        <is>
          <t>MPSES</t>
        </is>
      </c>
      <c r="C1634" t="inlineStr">
        <is>
          <t xml:space="preserve">Senior Policy Advisor </t>
        </is>
      </c>
      <c r="D1634" t="inlineStr">
        <is>
          <t>Conseiller principal en politiques</t>
        </is>
      </c>
      <c r="E1634" t="inlineStr">
        <is>
          <t>Sandenga Yeba</t>
        </is>
      </c>
      <c r="F1634" t="inlineStr">
        <is>
          <t>Accompanied the Minister for an interview.</t>
        </is>
      </c>
      <c r="G1634" t="inlineStr">
        <is>
          <t xml:space="preserve">
Accompagner la ministre pour un entretien.</t>
        </is>
      </c>
      <c r="H1634" s="1" t="n">
        <v>44510</v>
      </c>
      <c r="I1634" s="1" t="n">
        <v>44510</v>
      </c>
      <c r="J1634" t="inlineStr">
        <is>
          <t>Dorval (Quebec) Canada</t>
        </is>
      </c>
      <c r="K1634" t="inlineStr">
        <is>
          <t>Dorval (Québec) Canada</t>
        </is>
      </c>
      <c r="P1634" t="n">
        <v>0</v>
      </c>
      <c r="Q1634" t="n">
        <v>19.36</v>
      </c>
      <c r="R1634" t="n">
        <v>0</v>
      </c>
      <c r="S1634" t="n">
        <v>0</v>
      </c>
      <c r="T1634" t="n">
        <v>0</v>
      </c>
      <c r="U1634" t="n">
        <v>19.36</v>
      </c>
      <c r="X1634" t="inlineStr">
        <is>
          <t>aafc-aac</t>
        </is>
      </c>
      <c r="Y1634" t="inlineStr">
        <is>
          <t>Agriculture and Agri-Food Canada | Agriculture et Agroalimentaire Canada</t>
        </is>
      </c>
    </row>
    <row r="1635">
      <c r="A1635" t="inlineStr">
        <is>
          <t>T-2021-P8-0009</t>
        </is>
      </c>
      <c r="B1635" t="inlineStr">
        <is>
          <t>SLE</t>
        </is>
      </c>
      <c r="C1635" t="inlineStr">
        <is>
          <t>Deputy Minister</t>
        </is>
      </c>
      <c r="D1635" t="inlineStr">
        <is>
          <t>Sous-Ministre</t>
        </is>
      </c>
      <c r="E1635" t="inlineStr">
        <is>
          <t>Forbes, Chris</t>
        </is>
      </c>
      <c r="F1635" t="inlineStr">
        <is>
          <t>Attended the Federal, Provincial, and Territorial Ministers of Agriculture conference.</t>
        </is>
      </c>
      <c r="G1635" t="inlineStr">
        <is>
          <t>Participer à la conférence des ministres fédérale, provinciaux et territoriaux de l'Agriculture.</t>
        </is>
      </c>
      <c r="H1635" s="1" t="n">
        <v>44507</v>
      </c>
      <c r="I1635" s="1" t="n">
        <v>44510</v>
      </c>
      <c r="J1635" t="inlineStr">
        <is>
          <t>Guelph (Ontario) Canada</t>
        </is>
      </c>
      <c r="K1635" t="inlineStr">
        <is>
          <t>Guelph (Ontario) Canada</t>
        </is>
      </c>
      <c r="P1635" t="n">
        <v>686.15</v>
      </c>
      <c r="R1635" t="n">
        <v>404.54</v>
      </c>
      <c r="S1635" t="n">
        <v>53</v>
      </c>
      <c r="T1635" t="n">
        <v>0</v>
      </c>
      <c r="U1635" t="n">
        <v>1143.69</v>
      </c>
      <c r="X1635" t="inlineStr">
        <is>
          <t>aafc-aac</t>
        </is>
      </c>
      <c r="Y1635" t="inlineStr">
        <is>
          <t>Agriculture and Agri-Food Canada | Agriculture et Agroalimentaire Canada</t>
        </is>
      </c>
    </row>
    <row r="1636">
      <c r="A1636" t="inlineStr">
        <is>
          <t>T-2021-P8-0010</t>
        </is>
      </c>
      <c r="B1636" t="inlineStr">
        <is>
          <t>SLE</t>
        </is>
      </c>
      <c r="C1636" t="inlineStr">
        <is>
          <t xml:space="preserve">ADM, Public Affairs Branch </t>
        </is>
      </c>
      <c r="D1636" t="inlineStr">
        <is>
          <t xml:space="preserve">Sous-Ministre Adjointe, Direction generale des affaires publiques </t>
        </is>
      </c>
      <c r="E1636" t="inlineStr">
        <is>
          <t>Mary Dila</t>
        </is>
      </c>
      <c r="F1636" t="inlineStr">
        <is>
          <t>Attended the Federal, Provincial, and Territorial Ministers of Agriculture conference.</t>
        </is>
      </c>
      <c r="G1636" t="inlineStr">
        <is>
          <t>Participer à la conférence des ministres fédérale, provinciaux et territoriaux de l'Agriculture.</t>
        </is>
      </c>
      <c r="H1636" s="1" t="n">
        <v>44507</v>
      </c>
      <c r="I1636" s="1" t="n">
        <v>44510</v>
      </c>
      <c r="J1636" t="inlineStr">
        <is>
          <t xml:space="preserve">Guelph (Ontario) Canada </t>
        </is>
      </c>
      <c r="K1636" t="inlineStr">
        <is>
          <t xml:space="preserve">Guelph (Ontario) Canada </t>
        </is>
      </c>
      <c r="P1636" t="n">
        <v>767.91</v>
      </c>
      <c r="Q1636" t="n">
        <v>225.92</v>
      </c>
      <c r="R1636" t="n">
        <v>635.0599999999999</v>
      </c>
      <c r="S1636" t="n">
        <v>214.1</v>
      </c>
      <c r="T1636" t="n">
        <v>0</v>
      </c>
      <c r="U1636" t="n">
        <v>1842.99</v>
      </c>
      <c r="X1636" t="inlineStr">
        <is>
          <t>aafc-aac</t>
        </is>
      </c>
      <c r="Y1636" t="inlineStr">
        <is>
          <t>Agriculture and Agri-Food Canada | Agriculture et Agroalimentaire Canada</t>
        </is>
      </c>
    </row>
    <row r="1637">
      <c r="A1637" t="inlineStr">
        <is>
          <t>T-2021-P8-0011</t>
        </is>
      </c>
      <c r="B1637" t="inlineStr">
        <is>
          <t>SLE</t>
        </is>
      </c>
      <c r="C1637" t="inlineStr">
        <is>
          <t>Assistant Deputy Minister in Programs Branch</t>
        </is>
      </c>
      <c r="D1637" t="inlineStr">
        <is>
          <t>Sous-ministre adjoint, Direction Générale des programmes</t>
        </is>
      </c>
      <c r="E1637" t="inlineStr">
        <is>
          <t>Paul Samson</t>
        </is>
      </c>
      <c r="F1637" t="inlineStr">
        <is>
          <t>Attended a Terramera meeting.</t>
        </is>
      </c>
      <c r="G1637" t="inlineStr">
        <is>
          <t>Participer à une réunion de Terramera.</t>
        </is>
      </c>
      <c r="H1637" s="1" t="n">
        <v>44496</v>
      </c>
      <c r="I1637" s="1" t="n">
        <v>44496</v>
      </c>
      <c r="J1637" t="inlineStr">
        <is>
          <t>Ottawa (Ontario) Canada</t>
        </is>
      </c>
      <c r="K1637" t="inlineStr">
        <is>
          <t>Ottawa (Ontario) Canada</t>
        </is>
      </c>
      <c r="P1637" t="n">
        <v>0</v>
      </c>
      <c r="Q1637" t="n">
        <v>16</v>
      </c>
      <c r="R1637" t="n">
        <v>0</v>
      </c>
      <c r="S1637" t="n">
        <v>0</v>
      </c>
      <c r="T1637" t="n">
        <v>0</v>
      </c>
      <c r="U1637" t="n">
        <v>16</v>
      </c>
      <c r="X1637" t="inlineStr">
        <is>
          <t>aafc-aac</t>
        </is>
      </c>
      <c r="Y1637" t="inlineStr">
        <is>
          <t>Agriculture and Agri-Food Canada | Agriculture et Agroalimentaire Canada</t>
        </is>
      </c>
    </row>
    <row r="1638">
      <c r="A1638" t="inlineStr">
        <is>
          <t>T-2021-P8-0012</t>
        </is>
      </c>
      <c r="B1638" t="inlineStr">
        <is>
          <t>SLE</t>
        </is>
      </c>
      <c r="C1638" t="inlineStr">
        <is>
          <t>Assistant Deputy Minister in Programs Branch</t>
        </is>
      </c>
      <c r="D1638" t="inlineStr">
        <is>
          <t>Sous-ministre adjoint, Direction Générale des programmes</t>
        </is>
      </c>
      <c r="E1638" t="inlineStr">
        <is>
          <t>Paul Samson</t>
        </is>
      </c>
      <c r="F1638" t="inlineStr">
        <is>
          <t>Attended the Federal, Provincial, and Territorial Ministers of Agriculture conference.</t>
        </is>
      </c>
      <c r="G1638" t="inlineStr">
        <is>
          <t>Participer à la conférence des ministres fédérale, provinciaux et territoriaux de l'Agriculture.</t>
        </is>
      </c>
      <c r="H1638" s="1" t="n">
        <v>44507</v>
      </c>
      <c r="I1638" s="1" t="n">
        <v>44510</v>
      </c>
      <c r="J1638" t="inlineStr">
        <is>
          <t>Guelph (Ontario) Canada</t>
        </is>
      </c>
      <c r="K1638" t="inlineStr">
        <is>
          <t>Guelph (Ontario) Canada</t>
        </is>
      </c>
      <c r="P1638" t="n">
        <v>889.99</v>
      </c>
      <c r="Q1638" t="n">
        <v>70.45999999999999</v>
      </c>
      <c r="R1638" t="n">
        <v>606.8099999999999</v>
      </c>
      <c r="S1638" t="n">
        <v>87.59999999999999</v>
      </c>
      <c r="T1638" t="n">
        <v>0</v>
      </c>
      <c r="U1638" t="n">
        <v>1654.86</v>
      </c>
      <c r="X1638" t="inlineStr">
        <is>
          <t>aafc-aac</t>
        </is>
      </c>
      <c r="Y1638" t="inlineStr">
        <is>
          <t>Agriculture and Agri-Food Canada | Agriculture et Agroalimentaire Canada</t>
        </is>
      </c>
    </row>
    <row r="1639">
      <c r="A1639" t="inlineStr">
        <is>
          <t>T-2021-P9-0001</t>
        </is>
      </c>
      <c r="B1639" t="inlineStr">
        <is>
          <t>MPSES</t>
        </is>
      </c>
      <c r="C1639" t="inlineStr">
        <is>
          <t>Minister</t>
        </is>
      </c>
      <c r="D1639" t="inlineStr">
        <is>
          <t>Ministre</t>
        </is>
      </c>
      <c r="E1639" t="inlineStr">
        <is>
          <t>Marie-Claude Bibeau</t>
        </is>
      </c>
      <c r="F1639" t="inlineStr">
        <is>
          <t xml:space="preserve">Attended the Federal, Provincial, Territorial Minister's of Agriculture Meeting </t>
        </is>
      </c>
      <c r="G1639" t="inlineStr">
        <is>
          <t>Participer à la réunion des ministres fédérale, provinciaux et territoriaux de l'agriculture</t>
        </is>
      </c>
      <c r="H1639" s="1" t="n">
        <v>44507</v>
      </c>
      <c r="I1639" s="1" t="n">
        <v>44510</v>
      </c>
      <c r="J1639" t="inlineStr">
        <is>
          <t>Guelph (Ontario); Canada</t>
        </is>
      </c>
      <c r="K1639" t="inlineStr">
        <is>
          <t>Guelph (Ontario); Canada</t>
        </is>
      </c>
      <c r="P1639" t="n">
        <v>926.7</v>
      </c>
      <c r="Q1639" t="n">
        <v>0</v>
      </c>
      <c r="R1639" t="n">
        <v>567.26</v>
      </c>
      <c r="S1639" t="n">
        <v>159</v>
      </c>
      <c r="T1639" t="n">
        <v>375</v>
      </c>
      <c r="U1639" t="n">
        <v>2027.96</v>
      </c>
      <c r="X1639" t="inlineStr">
        <is>
          <t>aafc-aac</t>
        </is>
      </c>
      <c r="Y1639" t="inlineStr">
        <is>
          <t>Agriculture and Agri-Food Canada | Agriculture et Agroalimentaire Canada</t>
        </is>
      </c>
    </row>
    <row r="1640">
      <c r="A1640" t="inlineStr">
        <is>
          <t>T-2021-P9-0002</t>
        </is>
      </c>
      <c r="B1640" t="inlineStr">
        <is>
          <t>MPSES</t>
        </is>
      </c>
      <c r="C1640" t="inlineStr">
        <is>
          <t>Minister</t>
        </is>
      </c>
      <c r="D1640" t="inlineStr">
        <is>
          <t>Ministre</t>
        </is>
      </c>
      <c r="E1640" t="inlineStr">
        <is>
          <t>Marie-Claude Bibeau</t>
        </is>
      </c>
      <c r="F1640" t="inlineStr">
        <is>
          <t>To attend a Western Outreach</t>
        </is>
      </c>
      <c r="G1640" t="inlineStr">
        <is>
          <t>Pour assister à une campagne de sensibilisation dans les provinces de l'ouest</t>
        </is>
      </c>
      <c r="H1640" s="1" t="n">
        <v>44517</v>
      </c>
      <c r="I1640" s="1" t="n">
        <v>44519</v>
      </c>
      <c r="J1640" t="inlineStr">
        <is>
          <t xml:space="preserve">Saskatoon (Saskatchewan) Canada, Calgary (Alberta) Canada; Winnipeg (Manitoba) Canada </t>
        </is>
      </c>
      <c r="K1640" t="inlineStr">
        <is>
          <t xml:space="preserve">Saskatoon (Saskatchewan) Canada, Calgary (Alberta) Canada; Winnipeg (Manitoba) Canada </t>
        </is>
      </c>
      <c r="P1640" t="n">
        <v>2295.78</v>
      </c>
      <c r="Q1640" t="n">
        <v>0</v>
      </c>
      <c r="R1640" t="n">
        <v>362.48</v>
      </c>
      <c r="S1640" t="n">
        <v>213.5</v>
      </c>
      <c r="T1640" t="n">
        <v>0</v>
      </c>
      <c r="U1640" t="n">
        <v>2871.76</v>
      </c>
      <c r="X1640" t="inlineStr">
        <is>
          <t>aafc-aac</t>
        </is>
      </c>
      <c r="Y1640" t="inlineStr">
        <is>
          <t>Agriculture and Agri-Food Canada | Agriculture et Agroalimentaire Canada</t>
        </is>
      </c>
    </row>
    <row r="1641">
      <c r="A1641" t="inlineStr">
        <is>
          <t>T-2021-P9-0003</t>
        </is>
      </c>
      <c r="B1641" t="inlineStr">
        <is>
          <t>MPSES</t>
        </is>
      </c>
      <c r="C1641" t="inlineStr">
        <is>
          <t>Director of Policy</t>
        </is>
      </c>
      <c r="D1641" t="inlineStr">
        <is>
          <t>Directeur des politiques</t>
        </is>
      </c>
      <c r="E1641" t="inlineStr">
        <is>
          <t>Jérémy Gauthier</t>
        </is>
      </c>
      <c r="F1641" t="inlineStr">
        <is>
          <t xml:space="preserve">To accompany the Minister to the Federal, Provincial, Territorial Minister's of Agriculture Meeting </t>
        </is>
      </c>
      <c r="G1641" t="inlineStr">
        <is>
          <t>Pour accompagner la ministre à la réunion des ministres fédérale, provinciaux et territoriaux de l'agriculture</t>
        </is>
      </c>
      <c r="H1641" s="1" t="n">
        <v>44507</v>
      </c>
      <c r="I1641" s="1" t="n">
        <v>44510</v>
      </c>
      <c r="J1641" t="inlineStr">
        <is>
          <t>Guelph (Ontario); Canada</t>
        </is>
      </c>
      <c r="K1641" t="inlineStr">
        <is>
          <t>Guelph (Ontario); Canada</t>
        </is>
      </c>
      <c r="P1641" t="n">
        <v>1022.47</v>
      </c>
      <c r="Q1641" t="n">
        <v>0</v>
      </c>
      <c r="R1641" t="n">
        <v>539.01</v>
      </c>
      <c r="S1641" t="n">
        <v>53</v>
      </c>
      <c r="T1641" t="n">
        <v>150</v>
      </c>
      <c r="U1641" t="n">
        <v>1764.48</v>
      </c>
      <c r="X1641" t="inlineStr">
        <is>
          <t>aafc-aac</t>
        </is>
      </c>
      <c r="Y1641" t="inlineStr">
        <is>
          <t>Agriculture and Agri-Food Canada | Agriculture et Agroalimentaire Canada</t>
        </is>
      </c>
    </row>
    <row r="1642">
      <c r="A1642" t="inlineStr">
        <is>
          <t>T-2021-P9-0004</t>
        </is>
      </c>
      <c r="B1642" t="inlineStr">
        <is>
          <t>MPSES</t>
        </is>
      </c>
      <c r="C1642" t="inlineStr">
        <is>
          <t>Driver</t>
        </is>
      </c>
      <c r="D1642" t="inlineStr">
        <is>
          <t>Chauffeur</t>
        </is>
      </c>
      <c r="E1642" t="inlineStr">
        <is>
          <t>Michel Gendreau</t>
        </is>
      </c>
      <c r="F1642" t="inlineStr">
        <is>
          <t xml:space="preserve">Drive the Minister from her riding to Ottawa </t>
        </is>
      </c>
      <c r="G1642" t="inlineStr">
        <is>
          <t>Conduire la Ministre de à sa circonscription à Ottawa</t>
        </is>
      </c>
      <c r="H1642" s="1" t="n">
        <v>44515</v>
      </c>
      <c r="I1642" s="1" t="n">
        <v>44515</v>
      </c>
      <c r="J1642" t="inlineStr">
        <is>
          <t>Sherbrooke (Quebec) Canada</t>
        </is>
      </c>
      <c r="K1642" t="inlineStr">
        <is>
          <t>Sherbrooke (Québec) Canada</t>
        </is>
      </c>
      <c r="P1642" t="n">
        <v>0</v>
      </c>
      <c r="Q1642" t="n">
        <v>4.8</v>
      </c>
      <c r="R1642" t="n">
        <v>0</v>
      </c>
      <c r="S1642" t="n">
        <v>53</v>
      </c>
      <c r="T1642" t="n">
        <v>0</v>
      </c>
      <c r="U1642" t="n">
        <v>57.8</v>
      </c>
      <c r="X1642" t="inlineStr">
        <is>
          <t>aafc-aac</t>
        </is>
      </c>
      <c r="Y1642" t="inlineStr">
        <is>
          <t>Agriculture and Agri-Food Canada | Agriculture et Agroalimentaire Canada</t>
        </is>
      </c>
    </row>
    <row r="1643">
      <c r="A1643" t="inlineStr">
        <is>
          <t>T-2021-P9-0005</t>
        </is>
      </c>
      <c r="B1643" t="inlineStr">
        <is>
          <t>MPSES</t>
        </is>
      </c>
      <c r="C1643" t="inlineStr">
        <is>
          <t>Driver</t>
        </is>
      </c>
      <c r="D1643" t="inlineStr">
        <is>
          <t>Chauffeur</t>
        </is>
      </c>
      <c r="E1643" t="inlineStr">
        <is>
          <t>Michel Gendreau</t>
        </is>
      </c>
      <c r="F1643" t="inlineStr">
        <is>
          <t xml:space="preserve">Drive the Minister from the Montreal airport to her riding </t>
        </is>
      </c>
      <c r="G1643" t="inlineStr">
        <is>
          <t xml:space="preserve">Conduire la Ministre de l'aéroport de Montréal à sa circonscription </t>
        </is>
      </c>
      <c r="H1643" s="1" t="n">
        <v>44519</v>
      </c>
      <c r="I1643" s="1" t="n">
        <v>44519</v>
      </c>
      <c r="J1643" t="inlineStr">
        <is>
          <t>Montreal (Quebec) Canada; Sherbrooke (Quebec) Canada</t>
        </is>
      </c>
      <c r="K1643" t="inlineStr">
        <is>
          <t>Montréal (Québec) Canada; Sherbrooke (Québec) Canada</t>
        </is>
      </c>
      <c r="P1643" t="n">
        <v>0</v>
      </c>
      <c r="Q1643" t="n">
        <v>2.4</v>
      </c>
      <c r="R1643" t="n">
        <v>0</v>
      </c>
      <c r="S1643" t="n">
        <v>53</v>
      </c>
      <c r="T1643" t="n">
        <v>0</v>
      </c>
      <c r="U1643" t="n">
        <v>55.4</v>
      </c>
      <c r="X1643" t="inlineStr">
        <is>
          <t>aafc-aac</t>
        </is>
      </c>
      <c r="Y1643" t="inlineStr">
        <is>
          <t>Agriculture and Agri-Food Canada | Agriculture et Agroalimentaire Canada</t>
        </is>
      </c>
    </row>
    <row r="1644">
      <c r="A1644" t="inlineStr">
        <is>
          <t>T-2021-P9-0006</t>
        </is>
      </c>
      <c r="B1644" t="inlineStr">
        <is>
          <t>MPSES</t>
        </is>
      </c>
      <c r="C1644" t="inlineStr">
        <is>
          <t>Driver</t>
        </is>
      </c>
      <c r="D1644" t="inlineStr">
        <is>
          <t>Chauffeur</t>
        </is>
      </c>
      <c r="E1644" t="inlineStr">
        <is>
          <t>Michel Gendreau</t>
        </is>
      </c>
      <c r="F1644" t="inlineStr">
        <is>
          <t xml:space="preserve">Drive the Minister from her riding to Ottawa </t>
        </is>
      </c>
      <c r="G1644" t="inlineStr">
        <is>
          <t>Conduire la Ministre de à sa circonscription à Ottawa</t>
        </is>
      </c>
      <c r="H1644" s="1" t="n">
        <v>44521</v>
      </c>
      <c r="I1644" s="1" t="n">
        <v>44522</v>
      </c>
      <c r="J1644" t="inlineStr">
        <is>
          <t>Sherbrooke (Quebec) Canada</t>
        </is>
      </c>
      <c r="K1644" t="inlineStr">
        <is>
          <t>Sherbrooke (Québec) Canada</t>
        </is>
      </c>
      <c r="P1644" t="n">
        <v>0</v>
      </c>
      <c r="Q1644" t="n">
        <v>4.8</v>
      </c>
      <c r="R1644" t="n">
        <v>123.75</v>
      </c>
      <c r="S1644" t="n">
        <v>74.34999999999999</v>
      </c>
      <c r="T1644" t="n">
        <v>0</v>
      </c>
      <c r="U1644" t="n">
        <v>202.9</v>
      </c>
      <c r="X1644" t="inlineStr">
        <is>
          <t>aafc-aac</t>
        </is>
      </c>
      <c r="Y1644" t="inlineStr">
        <is>
          <t>Agriculture and Agri-Food Canada | Agriculture et Agroalimentaire Canada</t>
        </is>
      </c>
    </row>
    <row r="1645">
      <c r="A1645" t="inlineStr">
        <is>
          <t>T-2021-P9-0007</t>
        </is>
      </c>
      <c r="B1645" t="inlineStr">
        <is>
          <t>MPSES</t>
        </is>
      </c>
      <c r="C1645" t="inlineStr">
        <is>
          <t>Driver</t>
        </is>
      </c>
      <c r="D1645" t="inlineStr">
        <is>
          <t>Chauffeur</t>
        </is>
      </c>
      <c r="E1645" t="inlineStr">
        <is>
          <t>Michel Gendreau</t>
        </is>
      </c>
      <c r="F1645" t="inlineStr">
        <is>
          <t>Drive the Minister from Ottawa to her riding</t>
        </is>
      </c>
      <c r="G1645" t="inlineStr">
        <is>
          <t>Conduire la Ministre d'Ottawa à sa circonscription</t>
        </is>
      </c>
      <c r="H1645" s="1" t="n">
        <v>44526</v>
      </c>
      <c r="I1645" s="1" t="n">
        <v>44526</v>
      </c>
      <c r="J1645" t="inlineStr">
        <is>
          <t>Sherbrooke (Quebec) Canada</t>
        </is>
      </c>
      <c r="K1645" t="inlineStr">
        <is>
          <t>Sherbrooke (Québec) Canada</t>
        </is>
      </c>
      <c r="P1645" t="n">
        <v>0</v>
      </c>
      <c r="Q1645" t="n">
        <v>4.8</v>
      </c>
      <c r="R1645" t="n">
        <v>0</v>
      </c>
      <c r="S1645" t="n">
        <v>53</v>
      </c>
      <c r="T1645" t="n">
        <v>0</v>
      </c>
      <c r="U1645" t="n">
        <v>57.8</v>
      </c>
      <c r="X1645" t="inlineStr">
        <is>
          <t>aafc-aac</t>
        </is>
      </c>
      <c r="Y1645" t="inlineStr">
        <is>
          <t>Agriculture and Agri-Food Canada | Agriculture et Agroalimentaire Canada</t>
        </is>
      </c>
    </row>
    <row r="1646">
      <c r="A1646" t="inlineStr">
        <is>
          <t>T-2021-P9-0008</t>
        </is>
      </c>
      <c r="B1646" t="inlineStr">
        <is>
          <t>MPSES</t>
        </is>
      </c>
      <c r="C1646" t="inlineStr">
        <is>
          <t>Driver</t>
        </is>
      </c>
      <c r="D1646" t="inlineStr">
        <is>
          <t>Chauffeur</t>
        </is>
      </c>
      <c r="E1646" t="inlineStr">
        <is>
          <t>Michel Gendreau</t>
        </is>
      </c>
      <c r="F1646" t="inlineStr">
        <is>
          <t xml:space="preserve">Drive the Minister from her riding to  the Union of agricultural producers Conference </t>
        </is>
      </c>
      <c r="G1646" t="inlineStr">
        <is>
          <t xml:space="preserve">
Conduire la Ministre de sa circonscription à la conférence de l'Union des producteurs agricoles</t>
        </is>
      </c>
      <c r="H1646" s="1" t="n">
        <v>44531</v>
      </c>
      <c r="I1646" s="1" t="n">
        <v>44532</v>
      </c>
      <c r="J1646" t="inlineStr">
        <is>
          <t>Sherbrooke (Quebec) Canada; Quebec City (Quebec) Canada</t>
        </is>
      </c>
      <c r="K1646" t="inlineStr">
        <is>
          <t>Sherbrooke (Québec) Canada; Québec (Québec) Canada</t>
        </is>
      </c>
      <c r="P1646" t="n">
        <v>0</v>
      </c>
      <c r="Q1646" t="n">
        <v>4.8</v>
      </c>
      <c r="R1646" t="n">
        <v>123.75</v>
      </c>
      <c r="S1646" t="n">
        <v>148.95</v>
      </c>
      <c r="T1646" t="n">
        <v>0</v>
      </c>
      <c r="U1646" t="n">
        <v>277.5</v>
      </c>
      <c r="X1646" t="inlineStr">
        <is>
          <t>aafc-aac</t>
        </is>
      </c>
      <c r="Y1646" t="inlineStr">
        <is>
          <t>Agriculture and Agri-Food Canada | Agriculture et Agroalimentaire Canada</t>
        </is>
      </c>
    </row>
    <row r="1647">
      <c r="A1647" t="inlineStr">
        <is>
          <t>T-2021-P9-0009</t>
        </is>
      </c>
      <c r="B1647" t="inlineStr">
        <is>
          <t>MPSES</t>
        </is>
      </c>
      <c r="C1647" t="inlineStr">
        <is>
          <t>Driver</t>
        </is>
      </c>
      <c r="D1647" t="inlineStr">
        <is>
          <t>Chauffeur</t>
        </is>
      </c>
      <c r="E1647" t="inlineStr">
        <is>
          <t>Michel Gendreau</t>
        </is>
      </c>
      <c r="F1647" t="inlineStr">
        <is>
          <t xml:space="preserve">Drive the Minister from her riding to Ottawa </t>
        </is>
      </c>
      <c r="G1647" t="inlineStr">
        <is>
          <t>Conduire la Ministre de à sa circonscription à Ottawa</t>
        </is>
      </c>
      <c r="H1647" s="1" t="n">
        <v>44535</v>
      </c>
      <c r="I1647" s="1" t="n">
        <v>44536</v>
      </c>
      <c r="J1647" t="inlineStr">
        <is>
          <t>Sherbrooke (Quebec) Canada</t>
        </is>
      </c>
      <c r="K1647" t="inlineStr">
        <is>
          <t>Sherbrooke (Québec) Canada</t>
        </is>
      </c>
      <c r="P1647" t="n">
        <v>0</v>
      </c>
      <c r="Q1647" t="n">
        <v>4.8</v>
      </c>
      <c r="R1647" t="n">
        <v>123.75</v>
      </c>
      <c r="S1647" t="n">
        <v>73.25</v>
      </c>
      <c r="T1647" t="n">
        <v>0</v>
      </c>
      <c r="U1647" t="n">
        <v>201.8</v>
      </c>
      <c r="X1647" t="inlineStr">
        <is>
          <t>aafc-aac</t>
        </is>
      </c>
      <c r="Y1647" t="inlineStr">
        <is>
          <t>Agriculture and Agri-Food Canada | Agriculture et Agroalimentaire Canada</t>
        </is>
      </c>
    </row>
    <row r="1648">
      <c r="A1648" t="inlineStr">
        <is>
          <t>T-2021-P9-0010</t>
        </is>
      </c>
      <c r="B1648" t="inlineStr">
        <is>
          <t>MPSES</t>
        </is>
      </c>
      <c r="C1648" t="inlineStr">
        <is>
          <t>Director of Communications</t>
        </is>
      </c>
      <c r="D1648" t="inlineStr">
        <is>
          <t>Directeur des communications</t>
        </is>
      </c>
      <c r="E1648" t="inlineStr">
        <is>
          <t>Oliver Anderson</t>
        </is>
      </c>
      <c r="F1648" t="inlineStr">
        <is>
          <t xml:space="preserve">To accompany the Minister to the Federal, Provincial, Territorial Minister's of Agriculture Meeting </t>
        </is>
      </c>
      <c r="G1648" t="inlineStr">
        <is>
          <t>Pour accompagner la ministre à la réunion des ministres fédérale, provinciaux et territoriaux de l'agriculture</t>
        </is>
      </c>
      <c r="H1648" s="1" t="n">
        <v>44507</v>
      </c>
      <c r="I1648" s="1" t="n">
        <v>44510</v>
      </c>
      <c r="J1648" t="inlineStr">
        <is>
          <t>Guelph (Ontario); Canada</t>
        </is>
      </c>
      <c r="K1648" t="inlineStr">
        <is>
          <t>Guelph (Ontario); Canada</t>
        </is>
      </c>
      <c r="P1648" t="n">
        <v>1022.47</v>
      </c>
      <c r="Q1648" t="n">
        <v>103.9</v>
      </c>
      <c r="R1648" t="n">
        <v>539.01</v>
      </c>
      <c r="S1648" t="n">
        <v>53</v>
      </c>
      <c r="T1648" t="n">
        <v>150</v>
      </c>
      <c r="U1648" t="n">
        <v>1868.38</v>
      </c>
      <c r="X1648" t="inlineStr">
        <is>
          <t>aafc-aac</t>
        </is>
      </c>
      <c r="Y1648" t="inlineStr">
        <is>
          <t>Agriculture and Agri-Food Canada | Agriculture et Agroalimentaire Canada</t>
        </is>
      </c>
    </row>
    <row r="1649">
      <c r="A1649" t="inlineStr">
        <is>
          <t>T-2021-P9-0011</t>
        </is>
      </c>
      <c r="B1649" t="inlineStr">
        <is>
          <t>MPSES</t>
        </is>
      </c>
      <c r="C1649" t="inlineStr">
        <is>
          <t>Director of Communications</t>
        </is>
      </c>
      <c r="D1649" t="inlineStr">
        <is>
          <t>Directeur des communications</t>
        </is>
      </c>
      <c r="E1649" t="inlineStr">
        <is>
          <t>Oliver Anderson</t>
        </is>
      </c>
      <c r="F1649" t="inlineStr">
        <is>
          <t>To accompany the Minister on a Western Outreach</t>
        </is>
      </c>
      <c r="G1649" t="inlineStr">
        <is>
          <t>Pour accompagner la ministre à une campagne de sensibilisation dans les provinces de l'ouest</t>
        </is>
      </c>
      <c r="H1649" s="1" t="n">
        <v>44517</v>
      </c>
      <c r="I1649" s="1" t="n">
        <v>44519</v>
      </c>
      <c r="J1649" t="inlineStr">
        <is>
          <t xml:space="preserve">Saskatoon (Saskatchewan) Canada, Calgary (Alberta) Canada; Winnipeg (Manitoba) Canada </t>
        </is>
      </c>
      <c r="K1649" t="inlineStr">
        <is>
          <t xml:space="preserve">Saskatoon (Saskatchewan) Canada, Calgary (Alberta) Canada; Winnipeg (Manitoba) Canada </t>
        </is>
      </c>
      <c r="P1649" t="n">
        <v>2454.97</v>
      </c>
      <c r="Q1649" t="n">
        <v>273.22</v>
      </c>
      <c r="R1649" t="n">
        <v>362.48</v>
      </c>
      <c r="S1649" t="n">
        <v>266.5</v>
      </c>
      <c r="T1649" t="n">
        <v>0</v>
      </c>
      <c r="U1649" t="n">
        <v>3357.17</v>
      </c>
      <c r="X1649" t="inlineStr">
        <is>
          <t>aafc-aac</t>
        </is>
      </c>
      <c r="Y1649" t="inlineStr">
        <is>
          <t>Agriculture and Agri-Food Canada | Agriculture et Agroalimentaire Canada</t>
        </is>
      </c>
    </row>
    <row r="1650">
      <c r="A1650" t="inlineStr">
        <is>
          <t>T-2021-P9-0012</t>
        </is>
      </c>
      <c r="B1650" t="inlineStr">
        <is>
          <t>MPSES</t>
        </is>
      </c>
      <c r="C1650" t="inlineStr">
        <is>
          <t>Senior Policy Advisor</t>
        </is>
      </c>
      <c r="D1650" t="inlineStr">
        <is>
          <t>Conseiller principal en politiques</t>
        </is>
      </c>
      <c r="E1650" t="inlineStr">
        <is>
          <t>Sandenga Yeba</t>
        </is>
      </c>
      <c r="F1650" t="inlineStr">
        <is>
          <t xml:space="preserve">To accompany the Minister to the Union of agricultural producers Conference </t>
        </is>
      </c>
      <c r="G1650" t="inlineStr">
        <is>
          <t>Pour accompagner la ministre à la conférence de l'Union des producteurs agricoles</t>
        </is>
      </c>
      <c r="H1650" s="1" t="n">
        <v>44532</v>
      </c>
      <c r="I1650" s="1" t="n">
        <v>44532</v>
      </c>
      <c r="J1650" t="inlineStr">
        <is>
          <t>Quebec City (Quebec) Canada</t>
        </is>
      </c>
      <c r="K1650" t="inlineStr">
        <is>
          <t>Québec (Québec) Canada</t>
        </is>
      </c>
      <c r="P1650" t="n">
        <v>0</v>
      </c>
      <c r="Q1650" t="n">
        <v>278.44</v>
      </c>
      <c r="R1650" t="n">
        <v>0</v>
      </c>
      <c r="S1650" t="n">
        <v>95.95</v>
      </c>
      <c r="T1650" t="n">
        <v>0</v>
      </c>
      <c r="U1650" t="n">
        <v>374.39</v>
      </c>
      <c r="X1650" t="inlineStr">
        <is>
          <t>aafc-aac</t>
        </is>
      </c>
      <c r="Y1650" t="inlineStr">
        <is>
          <t>Agriculture and Agri-Food Canada | Agriculture et Agroalimentaire Canada</t>
        </is>
      </c>
    </row>
    <row r="1651">
      <c r="A1651" t="inlineStr">
        <is>
          <t>T-2021-P9-0013</t>
        </is>
      </c>
      <c r="B1651" t="inlineStr">
        <is>
          <t>SLE</t>
        </is>
      </c>
      <c r="C1651" t="inlineStr">
        <is>
          <t>Assistant Deputy Minister, Corporate Management Branch</t>
        </is>
      </c>
      <c r="D1651" t="inlineStr">
        <is>
          <t>Sous-ministre adjointe, Direction générale de la gestion intégrée</t>
        </is>
      </c>
      <c r="E1651" t="inlineStr">
        <is>
          <t>Marie-Claude Guérard</t>
        </is>
      </c>
      <c r="F1651" t="inlineStr">
        <is>
          <t>First face to face meeting with Minister Bibeau in Ottawa following the final cabinet selection following the federal election.</t>
        </is>
      </c>
      <c r="G1651" t="inlineStr">
        <is>
          <t>Premier face à face avec la Ministre Bibeau après la séléction finale du nouveau cabinet après l'éléction fédérale.</t>
        </is>
      </c>
      <c r="H1651" s="1" t="n">
        <v>44497</v>
      </c>
      <c r="I1651" s="1" t="n">
        <v>44498</v>
      </c>
      <c r="J1651" t="inlineStr">
        <is>
          <t>Ottawa (Ontario) Canada</t>
        </is>
      </c>
      <c r="K1651" t="inlineStr">
        <is>
          <t>Ottawa (Ontario) Canada</t>
        </is>
      </c>
      <c r="P1651" t="n">
        <v>0</v>
      </c>
      <c r="Q1651" t="n">
        <v>312.06</v>
      </c>
      <c r="R1651" t="n">
        <v>233.86</v>
      </c>
      <c r="S1651" t="n">
        <v>130.55</v>
      </c>
      <c r="U1651" t="n">
        <v>676.47</v>
      </c>
      <c r="X1651" t="inlineStr">
        <is>
          <t>aafc-aac</t>
        </is>
      </c>
      <c r="Y1651" t="inlineStr">
        <is>
          <t>Agriculture and Agri-Food Canada | Agriculture et Agroalimentaire Canada</t>
        </is>
      </c>
    </row>
    <row r="1652">
      <c r="A1652" t="inlineStr">
        <is>
          <t>T-2021-P9-0014</t>
        </is>
      </c>
      <c r="B1652" t="inlineStr">
        <is>
          <t>SLE</t>
        </is>
      </c>
      <c r="C1652" t="inlineStr">
        <is>
          <t>Assistant Deputy Minister, Corporate Management Branch</t>
        </is>
      </c>
      <c r="D1652" t="inlineStr">
        <is>
          <t>Sous-ministre adjointe, Direction générale de la gestion intégrée</t>
        </is>
      </c>
      <c r="E1652" t="inlineStr">
        <is>
          <t>Marie-Claude Guérard</t>
        </is>
      </c>
      <c r="F1652" t="inlineStr">
        <is>
          <t>Second meeting with minister Bibeau , a continuation of the meeting on October 29th. The meeting location was at the National Headquarters Complex for the Agriculture Portfolio.</t>
        </is>
      </c>
      <c r="G1652" t="inlineStr">
        <is>
          <t xml:space="preserve">
Deuxième rencontre avec la ministre Bibeau, une continuation de la rencontre du 29 octobre. La rencontre a eu lieu au Complexe de l'administration centrale du portefeuille de l'agriculture.</t>
        </is>
      </c>
      <c r="H1652" s="1" t="n">
        <v>44502</v>
      </c>
      <c r="I1652" s="1" t="n">
        <v>44502</v>
      </c>
      <c r="J1652" t="inlineStr">
        <is>
          <t>Ottawa (Ontario) Canada</t>
        </is>
      </c>
      <c r="K1652" t="inlineStr">
        <is>
          <t>Ottawa (Ontario) Canada</t>
        </is>
      </c>
      <c r="P1652" t="n">
        <v>0</v>
      </c>
      <c r="Q1652" t="n">
        <v>371.34</v>
      </c>
      <c r="R1652" t="n">
        <v>0</v>
      </c>
      <c r="S1652" t="n">
        <v>21.6</v>
      </c>
      <c r="U1652" t="n">
        <v>392.94</v>
      </c>
      <c r="X1652" t="inlineStr">
        <is>
          <t>aafc-aac</t>
        </is>
      </c>
      <c r="Y1652" t="inlineStr">
        <is>
          <t>Agriculture and Agri-Food Canada | Agriculture et Agroalimentaire Canada</t>
        </is>
      </c>
    </row>
    <row r="1653">
      <c r="A1653" t="inlineStr">
        <is>
          <t>T-2021-P9-0015</t>
        </is>
      </c>
      <c r="B1653" t="inlineStr">
        <is>
          <t>SLE</t>
        </is>
      </c>
      <c r="C1653" t="inlineStr">
        <is>
          <t>Assistant Deputy Minister, Corporate Management Branch</t>
        </is>
      </c>
      <c r="D1653" t="inlineStr">
        <is>
          <t>Sous-ministre adjointe, Direction générale de la gestion intégrée</t>
        </is>
      </c>
      <c r="E1653" t="inlineStr">
        <is>
          <t>Marie-Claude Guérard</t>
        </is>
      </c>
      <c r="F1653" t="inlineStr">
        <is>
          <t>In-person meeting with the Deputy Minister as well as 2 other direct reports at the National Headquarters Complex for the Agriculture Portfolio.</t>
        </is>
      </c>
      <c r="G1653" t="inlineStr">
        <is>
          <t>Rencontre en personne avec le sous-ministre ainsi que 2 autres subordonnés au Complexe de l'administration centrale du portefeuille de l'agriculture.</t>
        </is>
      </c>
      <c r="H1653" s="1" t="n">
        <v>44516</v>
      </c>
      <c r="I1653" s="1" t="n">
        <v>44517</v>
      </c>
      <c r="J1653" t="inlineStr">
        <is>
          <t>Ottawa (Ontario) Canada</t>
        </is>
      </c>
      <c r="K1653" t="inlineStr">
        <is>
          <t>Ottawa (Ontario) Canada</t>
        </is>
      </c>
      <c r="P1653" t="n">
        <v>0</v>
      </c>
      <c r="Q1653" t="n">
        <v>311.87</v>
      </c>
      <c r="R1653" t="n">
        <v>233.86</v>
      </c>
      <c r="S1653" t="n">
        <v>152.15</v>
      </c>
      <c r="U1653" t="n">
        <v>697.88</v>
      </c>
      <c r="X1653" t="inlineStr">
        <is>
          <t>aafc-aac</t>
        </is>
      </c>
      <c r="Y1653" t="inlineStr">
        <is>
          <t>Agriculture and Agri-Food Canada | Agriculture et Agroalimentaire Canada</t>
        </is>
      </c>
    </row>
    <row r="1654">
      <c r="A1654" t="inlineStr">
        <is>
          <t>T-2021-P9-0016</t>
        </is>
      </c>
      <c r="B1654" t="inlineStr">
        <is>
          <t>SLE</t>
        </is>
      </c>
      <c r="C1654" t="inlineStr">
        <is>
          <t>Assistant Deputy Minister, Strategic Policy Branch</t>
        </is>
      </c>
      <c r="D1654" t="inlineStr">
        <is>
          <t>Sous-Ministre adjointe, Direction générale des politiques stratégiques</t>
        </is>
      </c>
      <c r="E1654" t="inlineStr">
        <is>
          <t>Natasha Kim</t>
        </is>
      </c>
      <c r="F1654" t="inlineStr">
        <is>
          <t>Attended the Federal, Provincial, and Territorial Ministers of Agriculture conference.</t>
        </is>
      </c>
      <c r="G1654" t="inlineStr">
        <is>
          <t>Participer à la conférence des ministres fédérale, provinciaux et territoriaux de l'Agriculture.</t>
        </is>
      </c>
      <c r="H1654" s="1" t="n">
        <v>44507</v>
      </c>
      <c r="I1654" s="1" t="n">
        <v>44510</v>
      </c>
      <c r="J1654" t="inlineStr">
        <is>
          <t>Guelph (Ontario) Canada</t>
        </is>
      </c>
      <c r="K1654" t="inlineStr">
        <is>
          <t>Guelph (Ontario) Canada</t>
        </is>
      </c>
      <c r="P1654" t="n">
        <v>911.23</v>
      </c>
      <c r="Q1654" t="n">
        <v>43.45</v>
      </c>
      <c r="R1654" t="n">
        <v>606.8099999999999</v>
      </c>
      <c r="S1654" t="n">
        <v>122.2</v>
      </c>
      <c r="U1654" t="n">
        <v>1683.69</v>
      </c>
      <c r="X1654" t="inlineStr">
        <is>
          <t>aafc-aac</t>
        </is>
      </c>
      <c r="Y1654" t="inlineStr">
        <is>
          <t>Agriculture and Agri-Food Canada | Agriculture et Agroalimentaire Canada</t>
        </is>
      </c>
    </row>
    <row r="1655">
      <c r="A1655" t="inlineStr">
        <is>
          <t>T-2021-P9-0017</t>
        </is>
      </c>
      <c r="B1655" t="inlineStr">
        <is>
          <t>SLE</t>
        </is>
      </c>
      <c r="C1655" t="inlineStr">
        <is>
          <t>Assistant Deputy Minister, Market and Industry Services Branch</t>
        </is>
      </c>
      <c r="D1655" t="inlineStr">
        <is>
          <t>Sous-ministre adjoint, Direction générale des services à l'industrie et aux marchés</t>
        </is>
      </c>
      <c r="E1655" t="inlineStr">
        <is>
          <t>Tom Rosser</t>
        </is>
      </c>
      <c r="F1655" t="inlineStr">
        <is>
          <t>Attend the Toronto Global Forum 2021 Conference as a guest speaker.</t>
        </is>
      </c>
      <c r="G1655" t="inlineStr">
        <is>
          <t>Participer à la conférence du Toronto Global Forum 2021 en tant que conférencier invité.</t>
        </is>
      </c>
      <c r="H1655" s="1" t="n">
        <v>44509</v>
      </c>
      <c r="I1655" s="1" t="n">
        <v>44510</v>
      </c>
      <c r="J1655" t="inlineStr">
        <is>
          <t>Toronto (Ontario) Canada</t>
        </is>
      </c>
      <c r="K1655" t="inlineStr">
        <is>
          <t>Toronto (Ontario) Canada</t>
        </is>
      </c>
      <c r="P1655" t="n">
        <v>895.47</v>
      </c>
      <c r="Q1655" t="n">
        <v>124.7</v>
      </c>
      <c r="R1655" t="n">
        <v>233.86</v>
      </c>
      <c r="S1655" t="n">
        <v>130.55</v>
      </c>
      <c r="U1655" t="n">
        <v>1384.58</v>
      </c>
      <c r="X1655" t="inlineStr">
        <is>
          <t>aafc-aac</t>
        </is>
      </c>
      <c r="Y1655" t="inlineStr">
        <is>
          <t>Agriculture and Agri-Food Canada | Agriculture et Agroalimentaire Canada</t>
        </is>
      </c>
    </row>
    <row r="1656">
      <c r="A1656" t="inlineStr">
        <is>
          <t>T-2022-P01-0001</t>
        </is>
      </c>
      <c r="B1656" t="inlineStr">
        <is>
          <t>MPSES</t>
        </is>
      </c>
      <c r="C1656" t="inlineStr">
        <is>
          <t>Minister</t>
        </is>
      </c>
      <c r="D1656" t="inlineStr">
        <is>
          <t>Ministre</t>
        </is>
      </c>
      <c r="E1656" t="inlineStr">
        <is>
          <t>Marie-Claude Bibeau</t>
        </is>
      </c>
      <c r="F1656" t="inlineStr">
        <is>
          <t>To attend an outreach in Charlottetown.</t>
        </is>
      </c>
      <c r="G1656" t="inlineStr">
        <is>
          <t>Pour assister à une campagne de sensibilisation à Charlottetown.</t>
        </is>
      </c>
      <c r="H1656" s="1" t="n">
        <v>44645</v>
      </c>
      <c r="I1656" s="1" t="n">
        <v>44647</v>
      </c>
      <c r="J1656" t="inlineStr">
        <is>
          <t>Charlottetown (Prince Edward Island) Canada</t>
        </is>
      </c>
      <c r="K1656" t="inlineStr">
        <is>
          <t>Charlottetown (Île-du-Prince-Édouard) Canada</t>
        </is>
      </c>
      <c r="P1656" t="n">
        <v>1299.27</v>
      </c>
      <c r="Q1656" t="n">
        <v>0</v>
      </c>
      <c r="R1656" t="n">
        <v>514.08</v>
      </c>
      <c r="S1656" t="n">
        <v>191.9</v>
      </c>
      <c r="T1656" t="n">
        <v>0</v>
      </c>
      <c r="U1656" t="n">
        <v>2005.25</v>
      </c>
      <c r="X1656" t="inlineStr">
        <is>
          <t>aafc-aac</t>
        </is>
      </c>
      <c r="Y1656" t="inlineStr">
        <is>
          <t>Agriculture and Agri-Food Canada | Agriculture et Agroalimentaire Canada</t>
        </is>
      </c>
    </row>
    <row r="1657">
      <c r="A1657" t="inlineStr">
        <is>
          <t>T-2022-P01-0002</t>
        </is>
      </c>
      <c r="B1657" t="inlineStr">
        <is>
          <t>MPSES</t>
        </is>
      </c>
      <c r="C1657" t="inlineStr">
        <is>
          <t>Press Secretary</t>
        </is>
      </c>
      <c r="D1657" t="inlineStr">
        <is>
          <t>Attachée de presse</t>
        </is>
      </c>
      <c r="E1657" t="inlineStr">
        <is>
          <t>Marianne Dandurand</t>
        </is>
      </c>
      <c r="F1657" t="inlineStr">
        <is>
          <t>To accompany the Minister on an outreach in Charlottetown.</t>
        </is>
      </c>
      <c r="G1657" t="inlineStr">
        <is>
          <t>Pour accompagner la ministre à une campagne de sensibilisation à Charlottetown.</t>
        </is>
      </c>
      <c r="H1657" s="1" t="n">
        <v>44645</v>
      </c>
      <c r="I1657" s="1" t="n">
        <v>44647</v>
      </c>
      <c r="J1657" t="inlineStr">
        <is>
          <t>Charlottetown (Prince Edward Island) Canada</t>
        </is>
      </c>
      <c r="K1657" t="inlineStr">
        <is>
          <t>Charlottetown (Île-du-Prince-Édouard) Canada</t>
        </is>
      </c>
      <c r="P1657" t="n">
        <v>1299.27</v>
      </c>
      <c r="Q1657" t="n">
        <v>0</v>
      </c>
      <c r="R1657" t="n">
        <v>542.5</v>
      </c>
      <c r="S1657" t="n">
        <v>170.55</v>
      </c>
      <c r="T1657" t="n">
        <v>0</v>
      </c>
      <c r="U1657" t="n">
        <v>2012.32</v>
      </c>
      <c r="X1657" t="inlineStr">
        <is>
          <t>aafc-aac</t>
        </is>
      </c>
      <c r="Y1657" t="inlineStr">
        <is>
          <t>Agriculture and Agri-Food Canada | Agriculture et Agroalimentaire Canada</t>
        </is>
      </c>
    </row>
    <row r="1658">
      <c r="A1658" t="inlineStr">
        <is>
          <t>T-2022-P01-0003</t>
        </is>
      </c>
      <c r="B1658" t="inlineStr">
        <is>
          <t>MPSES</t>
        </is>
      </c>
      <c r="C1658" t="inlineStr">
        <is>
          <t>Director of Policy</t>
        </is>
      </c>
      <c r="D1658" t="inlineStr">
        <is>
          <t>Directeur des politiques</t>
        </is>
      </c>
      <c r="E1658" t="inlineStr">
        <is>
          <t>Jérémy Gauthier</t>
        </is>
      </c>
      <c r="F1658" t="inlineStr">
        <is>
          <t>To accompany the Minister on an outreach in Charlottetown.</t>
        </is>
      </c>
      <c r="G1658" t="inlineStr">
        <is>
          <t>Pour accompagner la ministre à une campagne de sensibilisation à Charlottetown.</t>
        </is>
      </c>
      <c r="H1658" s="1" t="n">
        <v>44645</v>
      </c>
      <c r="I1658" s="1" t="n">
        <v>44647</v>
      </c>
      <c r="J1658" t="inlineStr">
        <is>
          <t>Charlottetown (Prince Edward Island) Canada</t>
        </is>
      </c>
      <c r="K1658" t="inlineStr">
        <is>
          <t>Charlottetown (Île-du-Prince-Édouard) Canada</t>
        </is>
      </c>
      <c r="P1658" t="n">
        <v>1205.68</v>
      </c>
      <c r="Q1658" t="n">
        <v>43.2</v>
      </c>
      <c r="R1658" t="n">
        <v>589.88</v>
      </c>
      <c r="S1658" t="n">
        <v>53</v>
      </c>
      <c r="T1658" t="n">
        <v>0</v>
      </c>
      <c r="U1658" t="n">
        <v>1891.76</v>
      </c>
      <c r="X1658" t="inlineStr">
        <is>
          <t>aafc-aac</t>
        </is>
      </c>
      <c r="Y1658" t="inlineStr">
        <is>
          <t>Agriculture and Agri-Food Canada | Agriculture et Agroalimentaire Canada</t>
        </is>
      </c>
    </row>
    <row r="1659">
      <c r="A1659" t="inlineStr">
        <is>
          <t>T-2022-P01-0004</t>
        </is>
      </c>
      <c r="B1659" t="inlineStr">
        <is>
          <t>MPSES</t>
        </is>
      </c>
      <c r="C1659" t="inlineStr">
        <is>
          <t>Driver</t>
        </is>
      </c>
      <c r="D1659" t="inlineStr">
        <is>
          <t>Chauffeur</t>
        </is>
      </c>
      <c r="E1659" t="inlineStr">
        <is>
          <t>Michel Gendreau</t>
        </is>
      </c>
      <c r="F1659" t="inlineStr">
        <is>
          <t xml:space="preserve">Drive the Minister from her riding to Ottawa </t>
        </is>
      </c>
      <c r="G1659" t="inlineStr">
        <is>
          <t>Conduire la Ministre de sa circonscription à Ottawa</t>
        </is>
      </c>
      <c r="H1659" s="1" t="n">
        <v>44614</v>
      </c>
      <c r="I1659" s="1" t="n">
        <v>44614</v>
      </c>
      <c r="J1659" t="inlineStr">
        <is>
          <t>Sherbrooke (Quebec) Canada</t>
        </is>
      </c>
      <c r="K1659" t="inlineStr">
        <is>
          <t>Sherbrooke (Québec) Canada</t>
        </is>
      </c>
      <c r="P1659" t="n">
        <v>0</v>
      </c>
      <c r="Q1659" t="n">
        <v>6</v>
      </c>
      <c r="R1659" t="n">
        <v>0</v>
      </c>
      <c r="S1659" t="n">
        <v>53</v>
      </c>
      <c r="T1659" t="n">
        <v>0</v>
      </c>
      <c r="U1659" t="n">
        <v>59</v>
      </c>
      <c r="X1659" t="inlineStr">
        <is>
          <t>aafc-aac</t>
        </is>
      </c>
      <c r="Y1659" t="inlineStr">
        <is>
          <t>Agriculture and Agri-Food Canada | Agriculture et Agroalimentaire Canada</t>
        </is>
      </c>
    </row>
    <row r="1660">
      <c r="A1660" t="inlineStr">
        <is>
          <t>T-2022-P01-0005</t>
        </is>
      </c>
      <c r="B1660" t="inlineStr">
        <is>
          <t>MPSES</t>
        </is>
      </c>
      <c r="C1660" t="inlineStr">
        <is>
          <t>Driver</t>
        </is>
      </c>
      <c r="D1660" t="inlineStr">
        <is>
          <t>Chauffeur</t>
        </is>
      </c>
      <c r="E1660" t="inlineStr">
        <is>
          <t>Michel Gendreau</t>
        </is>
      </c>
      <c r="F1660" t="inlineStr">
        <is>
          <t>Drive the Minister for a Quebec Outreach</t>
        </is>
      </c>
      <c r="G1660" t="inlineStr">
        <is>
          <t xml:space="preserve">Conduire la Ministre pour une campagne de sensibilisation au Québec </t>
        </is>
      </c>
      <c r="H1660" s="1" t="n">
        <v>44615</v>
      </c>
      <c r="I1660" s="1" t="n">
        <v>44615</v>
      </c>
      <c r="J1660" t="inlineStr">
        <is>
          <t>Sherbrooke (Quebec) Canada</t>
        </is>
      </c>
      <c r="K1660" t="inlineStr">
        <is>
          <t>Sherbrooke (Québec) Canada</t>
        </is>
      </c>
      <c r="P1660" t="n">
        <v>0</v>
      </c>
      <c r="Q1660" t="n">
        <v>48.97</v>
      </c>
      <c r="R1660" t="n">
        <v>0</v>
      </c>
      <c r="S1660" t="n">
        <v>74.59999999999999</v>
      </c>
      <c r="T1660" t="n">
        <v>0</v>
      </c>
      <c r="U1660" t="n">
        <v>123.57</v>
      </c>
      <c r="X1660" t="inlineStr">
        <is>
          <t>aafc-aac</t>
        </is>
      </c>
      <c r="Y1660" t="inlineStr">
        <is>
          <t>Agriculture and Agri-Food Canada | Agriculture et Agroalimentaire Canada</t>
        </is>
      </c>
    </row>
    <row r="1661">
      <c r="A1661" t="inlineStr">
        <is>
          <t>T-2022-P01-0006</t>
        </is>
      </c>
      <c r="B1661" t="inlineStr">
        <is>
          <t>MPSES</t>
        </is>
      </c>
      <c r="C1661" t="inlineStr">
        <is>
          <t>Driver</t>
        </is>
      </c>
      <c r="D1661" t="inlineStr">
        <is>
          <t>Chauffeur</t>
        </is>
      </c>
      <c r="E1661" t="inlineStr">
        <is>
          <t>Michel Gendreau</t>
        </is>
      </c>
      <c r="F1661" t="inlineStr">
        <is>
          <t>Drive the Minister from Ottawa back to her riding</t>
        </is>
      </c>
      <c r="G1661" t="inlineStr">
        <is>
          <t>Conduire la Ministre d'Ottawa à sa circonscription</t>
        </is>
      </c>
      <c r="H1661" s="1" t="n">
        <v>44642</v>
      </c>
      <c r="I1661" s="1" t="n">
        <v>44642</v>
      </c>
      <c r="J1661" t="inlineStr">
        <is>
          <t>Sherbrooke (Quebec) Canada</t>
        </is>
      </c>
      <c r="K1661" t="inlineStr">
        <is>
          <t>Sherbrooke (Québec) Canada</t>
        </is>
      </c>
      <c r="P1661" t="n">
        <v>0</v>
      </c>
      <c r="Q1661" t="n">
        <v>6</v>
      </c>
      <c r="R1661" t="n">
        <v>0</v>
      </c>
      <c r="S1661" t="n">
        <v>53</v>
      </c>
      <c r="T1661" t="n">
        <v>0</v>
      </c>
      <c r="U1661" t="n">
        <v>59</v>
      </c>
      <c r="X1661" t="inlineStr">
        <is>
          <t>aafc-aac</t>
        </is>
      </c>
      <c r="Y1661" t="inlineStr">
        <is>
          <t>Agriculture and Agri-Food Canada | Agriculture et Agroalimentaire Canada</t>
        </is>
      </c>
    </row>
    <row r="1662">
      <c r="A1662" t="inlineStr">
        <is>
          <t>T-2022-P01-0007</t>
        </is>
      </c>
      <c r="B1662" t="inlineStr">
        <is>
          <t>MPSES</t>
        </is>
      </c>
      <c r="C1662" t="inlineStr">
        <is>
          <t>Driver</t>
        </is>
      </c>
      <c r="D1662" t="inlineStr">
        <is>
          <t>Chauffeur</t>
        </is>
      </c>
      <c r="E1662" t="inlineStr">
        <is>
          <t>Michel Gendreau</t>
        </is>
      </c>
      <c r="F1662" t="inlineStr">
        <is>
          <t>Drive the Minister for an Outreach in Drummondville then to the Montréal Airport</t>
        </is>
      </c>
      <c r="G1662" t="inlineStr">
        <is>
          <t>Conduire la Ministre à une campagne de sensibilisation à Drummondville puis à l'aéroport de Montréal</t>
        </is>
      </c>
      <c r="H1662" s="1" t="n">
        <v>44645</v>
      </c>
      <c r="I1662" s="1" t="n">
        <v>44645</v>
      </c>
      <c r="J1662" t="inlineStr">
        <is>
          <t>Sherbrooke (Quebec) Canada; Drummondville (Quebec) Canada; Montréal (Quebec) Canada</t>
        </is>
      </c>
      <c r="K1662" t="inlineStr">
        <is>
          <t>Sherbrooke (Québec) Canada; Drummondville (Québec) Canada; Montréal (Québec) Canada</t>
        </is>
      </c>
      <c r="P1662" t="n">
        <v>0</v>
      </c>
      <c r="Q1662" t="n">
        <v>0</v>
      </c>
      <c r="R1662" t="n">
        <v>0</v>
      </c>
      <c r="S1662" t="n">
        <v>74.59999999999999</v>
      </c>
      <c r="T1662" t="n">
        <v>0</v>
      </c>
      <c r="U1662" t="n">
        <v>74.59999999999999</v>
      </c>
      <c r="X1662" t="inlineStr">
        <is>
          <t>aafc-aac</t>
        </is>
      </c>
      <c r="Y1662" t="inlineStr">
        <is>
          <t>Agriculture and Agri-Food Canada | Agriculture et Agroalimentaire Canada</t>
        </is>
      </c>
    </row>
    <row r="1663">
      <c r="A1663" t="inlineStr">
        <is>
          <t>T-2022-P01-0008</t>
        </is>
      </c>
      <c r="B1663" t="inlineStr">
        <is>
          <t>MPSES</t>
        </is>
      </c>
      <c r="C1663" t="inlineStr">
        <is>
          <t>Driver</t>
        </is>
      </c>
      <c r="D1663" t="inlineStr">
        <is>
          <t>Chauffeur</t>
        </is>
      </c>
      <c r="E1663" t="inlineStr">
        <is>
          <t>Michel Gendreau</t>
        </is>
      </c>
      <c r="F1663" t="inlineStr">
        <is>
          <t>Drive the Minister from Ottawa back to her riding</t>
        </is>
      </c>
      <c r="G1663" t="inlineStr">
        <is>
          <t>Conduire la Ministre d'Ottawa à sa circonscription</t>
        </is>
      </c>
      <c r="H1663" s="1" t="n">
        <v>44651</v>
      </c>
      <c r="I1663" s="1" t="n">
        <v>44652</v>
      </c>
      <c r="J1663" t="inlineStr">
        <is>
          <t>Sherbrooke (Quebec) Canada</t>
        </is>
      </c>
      <c r="K1663" t="inlineStr">
        <is>
          <t>Sherbrooke (Québec) Canada</t>
        </is>
      </c>
      <c r="P1663" t="n">
        <v>0</v>
      </c>
      <c r="Q1663" t="n">
        <v>6</v>
      </c>
      <c r="R1663" t="n">
        <v>121.38</v>
      </c>
      <c r="S1663" t="n">
        <v>151.45</v>
      </c>
      <c r="T1663" t="n">
        <v>0</v>
      </c>
      <c r="U1663" t="n">
        <v>278.83</v>
      </c>
      <c r="X1663" t="inlineStr">
        <is>
          <t>aafc-aac</t>
        </is>
      </c>
      <c r="Y1663" t="inlineStr">
        <is>
          <t>Agriculture and Agri-Food Canada | Agriculture et Agroalimentaire Canada</t>
        </is>
      </c>
    </row>
    <row r="1664">
      <c r="A1664" t="inlineStr">
        <is>
          <t>T-2022-P01-0009</t>
        </is>
      </c>
      <c r="B1664" t="inlineStr">
        <is>
          <t>MPSES</t>
        </is>
      </c>
      <c r="C1664" t="inlineStr">
        <is>
          <t>Driver</t>
        </is>
      </c>
      <c r="D1664" t="inlineStr">
        <is>
          <t>Chauffeur</t>
        </is>
      </c>
      <c r="E1664" t="inlineStr">
        <is>
          <t>Michel Gendreau</t>
        </is>
      </c>
      <c r="F1664" t="inlineStr">
        <is>
          <t xml:space="preserve">Drive the Minister from her riding to Ottawa </t>
        </is>
      </c>
      <c r="G1664" t="inlineStr">
        <is>
          <t>Conduire la Ministre de sa circonscription à Ottawa</t>
        </is>
      </c>
      <c r="H1664" s="1" t="n">
        <v>44654</v>
      </c>
      <c r="I1664" s="1" t="n">
        <v>44655</v>
      </c>
      <c r="J1664" t="inlineStr">
        <is>
          <t>Sherbrooke (Quebec) Canada</t>
        </is>
      </c>
      <c r="K1664" t="inlineStr">
        <is>
          <t>Sherbrooke (Québec) Canada</t>
        </is>
      </c>
      <c r="P1664" t="n">
        <v>0</v>
      </c>
      <c r="Q1664" t="n">
        <v>6</v>
      </c>
      <c r="R1664" t="n">
        <v>121.38</v>
      </c>
      <c r="S1664" t="n">
        <v>76.3</v>
      </c>
      <c r="T1664" t="n">
        <v>0</v>
      </c>
      <c r="U1664" t="n">
        <v>203.68</v>
      </c>
      <c r="X1664" t="inlineStr">
        <is>
          <t>aafc-aac</t>
        </is>
      </c>
      <c r="Y1664" t="inlineStr">
        <is>
          <t>Agriculture and Agri-Food Canada | Agriculture et Agroalimentaire Canada</t>
        </is>
      </c>
    </row>
    <row r="1665">
      <c r="A1665" t="inlineStr">
        <is>
          <t>T-2022-P01-0010</t>
        </is>
      </c>
      <c r="B1665" t="inlineStr">
        <is>
          <t>MPSES</t>
        </is>
      </c>
      <c r="C1665" t="inlineStr">
        <is>
          <t>Driver</t>
        </is>
      </c>
      <c r="D1665" t="inlineStr">
        <is>
          <t>Chauffeur</t>
        </is>
      </c>
      <c r="E1665" t="inlineStr">
        <is>
          <t>Michel Gendreau</t>
        </is>
      </c>
      <c r="F1665" t="inlineStr">
        <is>
          <t>Drive the Minister from Ottawa back to her riding</t>
        </is>
      </c>
      <c r="G1665" t="inlineStr">
        <is>
          <t>Conduire la Ministre d'Ottawa à sa circonscription</t>
        </is>
      </c>
      <c r="H1665" s="1" t="n">
        <v>44659</v>
      </c>
      <c r="I1665" s="1" t="n">
        <v>44659</v>
      </c>
      <c r="J1665" t="inlineStr">
        <is>
          <t>Sherbrooke (Quebec) Canada</t>
        </is>
      </c>
      <c r="K1665" t="inlineStr">
        <is>
          <t>Sherbrooke (Québec) Canada</t>
        </is>
      </c>
      <c r="P1665" t="n">
        <v>0</v>
      </c>
      <c r="Q1665" t="n">
        <v>6</v>
      </c>
      <c r="R1665" t="n">
        <v>0</v>
      </c>
      <c r="S1665" t="n">
        <v>54.4</v>
      </c>
      <c r="T1665" t="n">
        <v>0</v>
      </c>
      <c r="U1665" t="n">
        <v>60.4</v>
      </c>
      <c r="X1665" t="inlineStr">
        <is>
          <t>aafc-aac</t>
        </is>
      </c>
      <c r="Y1665" t="inlineStr">
        <is>
          <t>Agriculture and Agri-Food Canada | Agriculture et Agroalimentaire Canada</t>
        </is>
      </c>
    </row>
    <row r="1666">
      <c r="A1666" t="inlineStr">
        <is>
          <t>T-2022-P01-0011</t>
        </is>
      </c>
      <c r="B1666" t="inlineStr">
        <is>
          <t>MPSES</t>
        </is>
      </c>
      <c r="C1666" t="inlineStr">
        <is>
          <t>Policy Advisor</t>
        </is>
      </c>
      <c r="D1666" t="inlineStr">
        <is>
          <t>Conseillère en politiques</t>
        </is>
      </c>
      <c r="E1666" t="inlineStr">
        <is>
          <t>Christine Harvey</t>
        </is>
      </c>
      <c r="F1666" t="inlineStr">
        <is>
          <t>To accompany the Minister to a Press Conference in St-Hyacinthe</t>
        </is>
      </c>
      <c r="G1666" t="inlineStr">
        <is>
          <t>Pour accompagner la ministre à une conférence de presse à St-Hyacinthe</t>
        </is>
      </c>
      <c r="H1666" s="1" t="n">
        <v>44652</v>
      </c>
      <c r="I1666" s="1" t="n">
        <v>44652</v>
      </c>
      <c r="J1666" t="inlineStr">
        <is>
          <t>St-Hyacinthe (Quebec) Canada</t>
        </is>
      </c>
      <c r="K1666" t="inlineStr">
        <is>
          <t>St-Hyacinthe (Québec) Canada</t>
        </is>
      </c>
      <c r="P1666" t="n">
        <v>0</v>
      </c>
      <c r="Q1666" t="n">
        <v>66.09999999999999</v>
      </c>
      <c r="R1666" t="n">
        <v>0</v>
      </c>
      <c r="S1666" t="n">
        <v>22.15</v>
      </c>
      <c r="T1666" t="n">
        <v>0</v>
      </c>
      <c r="U1666" t="n">
        <v>88.25</v>
      </c>
      <c r="X1666" t="inlineStr">
        <is>
          <t>aafc-aac</t>
        </is>
      </c>
      <c r="Y1666" t="inlineStr">
        <is>
          <t>Agriculture and Agri-Food Canada | Agriculture et Agroalimentaire Canada</t>
        </is>
      </c>
    </row>
    <row r="1667">
      <c r="A1667" t="inlineStr">
        <is>
          <t>T-2022-P01-0012</t>
        </is>
      </c>
      <c r="B1667" t="inlineStr">
        <is>
          <t>MPSES</t>
        </is>
      </c>
      <c r="C1667" t="inlineStr">
        <is>
          <t>Policy Advisor</t>
        </is>
      </c>
      <c r="D1667" t="inlineStr">
        <is>
          <t>Conseillère en politiques</t>
        </is>
      </c>
      <c r="E1667" t="inlineStr">
        <is>
          <t>Christine Harvey</t>
        </is>
      </c>
      <c r="F1667" t="inlineStr">
        <is>
          <t>To accompany the Minister to the Dairy Farmers of Quebec's Annual General Meeting</t>
        </is>
      </c>
      <c r="G1667" t="inlineStr">
        <is>
          <t>Pour accompagner la ministre à l'Assemblée générale annuelle des Producteurs de lait du Québec</t>
        </is>
      </c>
      <c r="H1667" s="1" t="n">
        <v>44665</v>
      </c>
      <c r="I1667" s="1" t="n">
        <v>44665</v>
      </c>
      <c r="J1667" t="inlineStr">
        <is>
          <t>St-Hyacinthe (Quebec) Canada</t>
        </is>
      </c>
      <c r="K1667" t="inlineStr">
        <is>
          <t>St-Hyacinthe (Québec) Canada</t>
        </is>
      </c>
      <c r="P1667" t="n">
        <v>0</v>
      </c>
      <c r="Q1667" t="n">
        <v>57.5</v>
      </c>
      <c r="R1667" t="n">
        <v>0</v>
      </c>
      <c r="S1667" t="n">
        <v>0</v>
      </c>
      <c r="T1667" t="n">
        <v>0</v>
      </c>
      <c r="U1667" t="n">
        <v>57.5</v>
      </c>
      <c r="X1667" t="inlineStr">
        <is>
          <t>aafc-aac</t>
        </is>
      </c>
      <c r="Y1667" t="inlineStr">
        <is>
          <t>Agriculture and Agri-Food Canada | Agriculture et Agroalimentaire Canada</t>
        </is>
      </c>
    </row>
    <row r="1668">
      <c r="A1668" t="inlineStr">
        <is>
          <t>T-2022-P01-0013</t>
        </is>
      </c>
      <c r="B1668" t="inlineStr">
        <is>
          <t>MPSES</t>
        </is>
      </c>
      <c r="C1668" t="inlineStr">
        <is>
          <t>Parliamentary Secretary Assistant</t>
        </is>
      </c>
      <c r="D1668" t="inlineStr">
        <is>
          <t>Secrétaire parlementaire adjoint</t>
        </is>
      </c>
      <c r="E1668" t="inlineStr">
        <is>
          <t>Patrick Mangan</t>
        </is>
      </c>
      <c r="F1668" t="inlineStr">
        <is>
          <t>To accompany the Parliamentary Secretary for meetings with agricultural stakeholders in Guelph</t>
        </is>
      </c>
      <c r="G1668" t="inlineStr">
        <is>
          <t>Accompagner le secrétaire parlementaire lors de rencontres avec des intervenants du secteur agricole à Guelph.</t>
        </is>
      </c>
      <c r="H1668" s="1" t="n">
        <v>44663</v>
      </c>
      <c r="I1668" s="1" t="n">
        <v>44663</v>
      </c>
      <c r="J1668" t="inlineStr">
        <is>
          <t>Guelph (Ontario) Canada</t>
        </is>
      </c>
      <c r="K1668" t="inlineStr">
        <is>
          <t>Guelph (Ontario) Canada</t>
        </is>
      </c>
      <c r="P1668" t="n">
        <v>1092.92</v>
      </c>
      <c r="Q1668" t="n">
        <v>29.99</v>
      </c>
      <c r="R1668" t="n">
        <v>0</v>
      </c>
      <c r="S1668" t="n">
        <v>0</v>
      </c>
      <c r="T1668" t="n">
        <v>0</v>
      </c>
      <c r="U1668" t="n">
        <v>1122.91</v>
      </c>
      <c r="X1668" t="inlineStr">
        <is>
          <t>aafc-aac</t>
        </is>
      </c>
      <c r="Y1668" t="inlineStr">
        <is>
          <t>Agriculture and Agri-Food Canada | Agriculture et Agroalimentaire Canada</t>
        </is>
      </c>
    </row>
    <row r="1669">
      <c r="A1669" t="inlineStr">
        <is>
          <t>T-2022-P01-0014</t>
        </is>
      </c>
      <c r="B1669" t="inlineStr">
        <is>
          <t>SLE</t>
        </is>
      </c>
      <c r="C1669" t="inlineStr">
        <is>
          <t>Deputy Minister</t>
        </is>
      </c>
      <c r="D1669" t="inlineStr">
        <is>
          <t>Sous-ministre</t>
        </is>
      </c>
      <c r="E1669" t="inlineStr">
        <is>
          <t>Chris Forbes</t>
        </is>
      </c>
      <c r="F1669" t="inlineStr">
        <is>
          <t>To attend the Meetings of Federal, Provincial and Territorial Ministers of Agriculture</t>
        </is>
      </c>
      <c r="G1669" t="inlineStr">
        <is>
          <t>Pour assister aux réunions des ministres de l'agriculture des gouvernements fédéral, provinciaux et territoriaux</t>
        </is>
      </c>
      <c r="H1669" s="1" t="n">
        <v>44657</v>
      </c>
      <c r="I1669" s="1" t="n">
        <v>44659</v>
      </c>
      <c r="J1669" t="inlineStr">
        <is>
          <t>Toronto (Ontario) Canada</t>
        </is>
      </c>
      <c r="K1669" t="inlineStr">
        <is>
          <t>Toronto (Ontario) Canada</t>
        </is>
      </c>
      <c r="P1669" t="n">
        <v>835.35</v>
      </c>
      <c r="Q1669" t="n">
        <v>61.87</v>
      </c>
      <c r="R1669" t="n">
        <v>373.72</v>
      </c>
      <c r="S1669" t="n">
        <v>120.35</v>
      </c>
      <c r="T1669" t="n">
        <v>0</v>
      </c>
      <c r="U1669" t="n">
        <v>1391.29</v>
      </c>
      <c r="X1669" t="inlineStr">
        <is>
          <t>aafc-aac</t>
        </is>
      </c>
      <c r="Y1669" t="inlineStr">
        <is>
          <t>Agriculture and Agri-Food Canada | Agriculture et Agroalimentaire Canada</t>
        </is>
      </c>
    </row>
    <row r="1670">
      <c r="A1670" t="inlineStr">
        <is>
          <t>T-2022-P01-0015</t>
        </is>
      </c>
      <c r="B1670" t="inlineStr">
        <is>
          <t>SLE</t>
        </is>
      </c>
      <c r="C1670" t="inlineStr">
        <is>
          <t>Associate Deputy Minister</t>
        </is>
      </c>
      <c r="D1670" t="inlineStr">
        <is>
          <t>Sous-ministre délégué</t>
        </is>
      </c>
      <c r="E1670" t="inlineStr">
        <is>
          <t>Paul Samson</t>
        </is>
      </c>
      <c r="F1670" t="inlineStr">
        <is>
          <t>Attend a course at the Ivey Academy at the Ivey Business school in London, Ontario</t>
        </is>
      </c>
      <c r="G1670" t="inlineStr">
        <is>
          <t>Suivre un cours à l'Ivey Academy de l'École de commerce Ivey à London, Ontario.</t>
        </is>
      </c>
      <c r="H1670" s="1" t="n">
        <v>44657</v>
      </c>
      <c r="I1670" s="1" t="n">
        <v>44659</v>
      </c>
      <c r="J1670" t="inlineStr">
        <is>
          <t>London, Ontario</t>
        </is>
      </c>
      <c r="K1670" t="inlineStr">
        <is>
          <t>Londres, Ontario</t>
        </is>
      </c>
      <c r="P1670" t="n">
        <v>302.21</v>
      </c>
      <c r="Q1670" t="n">
        <v>308.37</v>
      </c>
      <c r="R1670" t="n">
        <v>0</v>
      </c>
      <c r="S1670" t="n">
        <v>51.9</v>
      </c>
      <c r="T1670" t="n">
        <v>0</v>
      </c>
      <c r="U1670" t="n">
        <v>662.48</v>
      </c>
      <c r="X1670" t="inlineStr">
        <is>
          <t>aafc-aac</t>
        </is>
      </c>
      <c r="Y1670" t="inlineStr">
        <is>
          <t>Agriculture and Agri-Food Canada | Agriculture et Agroalimentaire Canada</t>
        </is>
      </c>
    </row>
    <row r="1671">
      <c r="A1671" t="inlineStr">
        <is>
          <t>T-2022-P01-0016</t>
        </is>
      </c>
      <c r="B1671" t="inlineStr">
        <is>
          <t>SLE</t>
        </is>
      </c>
      <c r="C1671" t="inlineStr">
        <is>
          <t>Assistant Deputy Minister, International Affairs Branch</t>
        </is>
      </c>
      <c r="D1671" t="inlineStr">
        <is>
          <t>Sous-ministre adjointe, Direction générale des affaires internationales</t>
        </is>
      </c>
      <c r="E1671" t="inlineStr">
        <is>
          <t>Kathleen Donohue</t>
        </is>
      </c>
      <c r="F1671" t="inlineStr">
        <is>
          <t xml:space="preserve">AAFC senior officials to travel to the U.S. to meet with U.S. counterparts in-person in Washington DC, to establish a positive relationship and to discuss areas of current and potential collaboration, including agri-environmental initiatives. Delegates will also meet with industry associations </t>
        </is>
      </c>
      <c r="G1671" t="inlineStr">
        <is>
          <t xml:space="preserve">Les hauts fonctionnaires d’AAC se rendront aux États-Unis pour rencontrer leurs homologues américains en personne à Washington, afin d’établir une relation positive et de discuter des domaines de collaboration actuels et potentiels, y compris les initiatives agroenvironnementales. Les délégués rencontreront également des associations de l’industrie </t>
        </is>
      </c>
      <c r="H1671" s="1" t="n">
        <v>44539</v>
      </c>
      <c r="I1671" s="1" t="n">
        <v>44540</v>
      </c>
      <c r="J1671" t="inlineStr">
        <is>
          <t>Washington, DC, United States of America</t>
        </is>
      </c>
      <c r="K1671" t="inlineStr">
        <is>
          <t>Washington, DC, États-Unis d’Amérique</t>
        </is>
      </c>
      <c r="P1671" t="n">
        <v>1075.4</v>
      </c>
      <c r="Q1671" t="n">
        <v>71.23</v>
      </c>
      <c r="R1671" t="n">
        <v>274.76</v>
      </c>
      <c r="S1671" t="n">
        <v>262.12</v>
      </c>
      <c r="T1671" t="n">
        <v>90.40000000000001</v>
      </c>
      <c r="U1671" t="n">
        <v>1773.91</v>
      </c>
      <c r="X1671" t="inlineStr">
        <is>
          <t>aafc-aac</t>
        </is>
      </c>
      <c r="Y1671" t="inlineStr">
        <is>
          <t>Agriculture and Agri-Food Canada | Agriculture et Agroalimentaire Canada</t>
        </is>
      </c>
    </row>
    <row r="1672">
      <c r="A1672" t="inlineStr">
        <is>
          <t>T-2022-P01-0017</t>
        </is>
      </c>
      <c r="B1672" t="inlineStr">
        <is>
          <t>SLE</t>
        </is>
      </c>
      <c r="C1672" t="inlineStr">
        <is>
          <t>Assistant Deputy Minister, International Affairs Branch</t>
        </is>
      </c>
      <c r="D1672" t="inlineStr">
        <is>
          <t>Sous-ministre adjointe, Direction générale des affaires internationales</t>
        </is>
      </c>
      <c r="E1672" t="inlineStr">
        <is>
          <t>Kathleen Donohue</t>
        </is>
      </c>
      <c r="F1672" t="inlineStr">
        <is>
          <t>AAFC senior officials to travel to the U.S. to accompany the Minister to meet with U.S. counterparts in-person in Washington DC, to establish a positive relationship and to discuss market access issues, including potatoes. Delegates will also meet with industry associations</t>
        </is>
      </c>
      <c r="G1672" t="inlineStr">
        <is>
          <t>Des hauts fonctionnaires d’AAC se rendront aux États-Unis pour accompagner le ministre afin de rencontrer ses homologues américains en personne à Washington, afin d’établir une relation positive et de discuter des questions d’accès aux marchés, y compris les pommes de terre. Les délégués rencontreront également des associations de l’industrie</t>
        </is>
      </c>
      <c r="H1672" s="1" t="n">
        <v>44587</v>
      </c>
      <c r="I1672" s="1" t="n">
        <v>44589</v>
      </c>
      <c r="J1672" t="inlineStr">
        <is>
          <t>Washington, DC, United States of America</t>
        </is>
      </c>
      <c r="K1672" t="inlineStr">
        <is>
          <t>Washington, DC, États-Unis d’Amérique</t>
        </is>
      </c>
      <c r="P1672" t="n">
        <v>1105.86</v>
      </c>
      <c r="Q1672" t="n">
        <v>0</v>
      </c>
      <c r="R1672" t="n">
        <v>552.03</v>
      </c>
      <c r="S1672" t="n">
        <v>377.4</v>
      </c>
      <c r="T1672" t="n">
        <v>66.67</v>
      </c>
      <c r="U1672" t="n">
        <v>2101.96</v>
      </c>
      <c r="X1672" t="inlineStr">
        <is>
          <t>aafc-aac</t>
        </is>
      </c>
      <c r="Y1672" t="inlineStr">
        <is>
          <t>Agriculture and Agri-Food Canada | Agriculture et Agroalimentaire Canada</t>
        </is>
      </c>
    </row>
    <row r="1673">
      <c r="A1673" t="inlineStr">
        <is>
          <t>T-2022-P01-0018</t>
        </is>
      </c>
      <c r="B1673" t="inlineStr">
        <is>
          <t>SLE</t>
        </is>
      </c>
      <c r="C1673" t="inlineStr">
        <is>
          <t>Assistant Deputy Minister, Corporate Management Branch</t>
        </is>
      </c>
      <c r="D1673" t="inlineStr">
        <is>
          <t>Sous-ministre adjointe, Direction générale de la gestion intégrée</t>
        </is>
      </c>
      <c r="E1673" t="inlineStr">
        <is>
          <t>Marie-Claude Guérard</t>
        </is>
      </c>
      <c r="F1673" t="inlineStr">
        <is>
          <t>Visit to Ottawa for operational meetings</t>
        </is>
      </c>
      <c r="G1673" t="inlineStr">
        <is>
          <t>Visite à Ottawa pour des réunions opérationnelles</t>
        </is>
      </c>
      <c r="H1673" s="1" t="n">
        <v>44650</v>
      </c>
      <c r="I1673" s="1" t="n">
        <v>44651</v>
      </c>
      <c r="J1673" t="inlineStr">
        <is>
          <t>Ottawa (Ontario) Canada</t>
        </is>
      </c>
      <c r="K1673" t="inlineStr">
        <is>
          <t>Ottawa (Ontario) Canada</t>
        </is>
      </c>
      <c r="P1673" t="n">
        <v>0</v>
      </c>
      <c r="Q1673" t="n">
        <v>343.3</v>
      </c>
      <c r="R1673" t="n">
        <v>199.78</v>
      </c>
      <c r="S1673" t="n">
        <v>226.5</v>
      </c>
      <c r="T1673" t="n">
        <v>0</v>
      </c>
      <c r="U1673" t="n">
        <v>769.58</v>
      </c>
      <c r="X1673" t="inlineStr">
        <is>
          <t>aafc-aac</t>
        </is>
      </c>
      <c r="Y1673" t="inlineStr">
        <is>
          <t>Agriculture and Agri-Food Canada | Agriculture et Agroalimentaire Canada</t>
        </is>
      </c>
    </row>
    <row r="1674">
      <c r="A1674" t="inlineStr">
        <is>
          <t>T-2022-P01-0019</t>
        </is>
      </c>
      <c r="B1674" t="inlineStr">
        <is>
          <t>SLE</t>
        </is>
      </c>
      <c r="C1674" t="inlineStr">
        <is>
          <t>Assistant Deputy Minister, Strategic Policy Branch</t>
        </is>
      </c>
      <c r="D1674" t="inlineStr">
        <is>
          <t>Sous-ministre adjointe, Direction générale des politiques stratégiques</t>
        </is>
      </c>
      <c r="E1674" t="inlineStr">
        <is>
          <t>Natasha Kim</t>
        </is>
      </c>
      <c r="F1674" t="inlineStr">
        <is>
          <t>Travelled with the deputy minister to attend the Federal, Provincial and Territorial Deputy Ministers meeting in Toronto from April 6th to 8th</t>
        </is>
      </c>
      <c r="G1674" t="inlineStr">
        <is>
          <t>Voyager avec le sous-ministre pour assister à la réunion des sous-ministres fédéral, provinciaux et territoriaux à Toronto du 6 au 8 avril.</t>
        </is>
      </c>
      <c r="H1674" s="1" t="n">
        <v>44657</v>
      </c>
      <c r="I1674" s="1" t="n">
        <v>44659</v>
      </c>
      <c r="J1674" t="inlineStr">
        <is>
          <t>Toronto (Ontario) Canada</t>
        </is>
      </c>
      <c r="K1674" t="inlineStr">
        <is>
          <t>Toronto (Ontario) Canada</t>
        </is>
      </c>
      <c r="P1674" t="n">
        <v>717.83</v>
      </c>
      <c r="Q1674" t="n">
        <v>98.40000000000001</v>
      </c>
      <c r="R1674" t="n">
        <v>373.72</v>
      </c>
      <c r="S1674" t="n">
        <v>248.8</v>
      </c>
      <c r="T1674" t="n">
        <v>0</v>
      </c>
      <c r="U1674" t="n">
        <v>1438.75</v>
      </c>
      <c r="X1674" t="inlineStr">
        <is>
          <t>aafc-aac</t>
        </is>
      </c>
      <c r="Y1674" t="inlineStr">
        <is>
          <t>Agriculture and Agri-Food Canada | Agriculture et Agroalimentaire Canada</t>
        </is>
      </c>
    </row>
    <row r="1675">
      <c r="A1675" t="inlineStr">
        <is>
          <t>T-2022-P01-0020</t>
        </is>
      </c>
      <c r="B1675" t="inlineStr">
        <is>
          <t>SLE</t>
        </is>
      </c>
      <c r="C1675" t="inlineStr">
        <is>
          <t>Assistant Deputy Minister, Programs Branch</t>
        </is>
      </c>
      <c r="D1675" t="inlineStr">
        <is>
          <t>Sous-ministre adjointe, Direction générale des programmes</t>
        </is>
      </c>
      <c r="E1675" t="inlineStr">
        <is>
          <t>Liz Foster</t>
        </is>
      </c>
      <c r="F1675" t="inlineStr">
        <is>
          <t>Federal, Provincial and Territorial Deputy Minister of Agriculture Hybrid Meeting</t>
        </is>
      </c>
      <c r="G1675" t="inlineStr">
        <is>
          <t>Réunion hybride du sous-ministre fédéral, provincial et territorial de l’Agriculture</t>
        </is>
      </c>
      <c r="H1675" s="1" t="n">
        <v>44657</v>
      </c>
      <c r="I1675" s="1" t="n">
        <v>44659</v>
      </c>
      <c r="J1675" t="inlineStr">
        <is>
          <t>Toronto (Ontario) Canada</t>
        </is>
      </c>
      <c r="K1675" t="inlineStr">
        <is>
          <t>Toronto (Ontario) Canada</t>
        </is>
      </c>
      <c r="P1675" t="n">
        <v>772.0700000000001</v>
      </c>
      <c r="Q1675" t="n">
        <v>75.59999999999999</v>
      </c>
      <c r="R1675" t="n">
        <v>373.72</v>
      </c>
      <c r="S1675" t="n">
        <v>172.25</v>
      </c>
      <c r="T1675" t="n">
        <v>0</v>
      </c>
      <c r="U1675" t="n">
        <v>1393.64</v>
      </c>
      <c r="X1675" t="inlineStr">
        <is>
          <t>aafc-aac</t>
        </is>
      </c>
      <c r="Y1675" t="inlineStr">
        <is>
          <t>Agriculture and Agri-Food Canada | Agriculture et Agroalimentaire Canada</t>
        </is>
      </c>
    </row>
    <row r="1676">
      <c r="A1676" t="inlineStr">
        <is>
          <t>T-2022-P01-0021</t>
        </is>
      </c>
      <c r="B1676" t="inlineStr">
        <is>
          <t>SLE</t>
        </is>
      </c>
      <c r="C1676" t="inlineStr">
        <is>
          <t>Assistant Deputy Minister, Market and Industry Services Branch</t>
        </is>
      </c>
      <c r="D1676" t="inlineStr">
        <is>
          <t>Sous-ministre adjoint, Direction générale des services à l'industrie et aux marchés</t>
        </is>
      </c>
      <c r="E1676" t="inlineStr">
        <is>
          <t>Tom Rosser</t>
        </is>
      </c>
      <c r="F1676" t="inlineStr">
        <is>
          <t xml:space="preserve">Tom Rosser parked downtown during a meeting with the Association of Canadian Port Authorities on April 7, 2022. </t>
        </is>
      </c>
      <c r="G1676" t="inlineStr">
        <is>
          <t>Tom Rosser s'est stationné au centre-ville lors d’une réunion avec l’Association des administrations portuaires canadiennes le 7 avril 2022.</t>
        </is>
      </c>
      <c r="H1676" s="1" t="n">
        <v>44658</v>
      </c>
      <c r="I1676" s="1" t="n">
        <v>44658</v>
      </c>
      <c r="J1676" t="inlineStr">
        <is>
          <t>Ottawa (Ontario) Canada</t>
        </is>
      </c>
      <c r="K1676" t="inlineStr">
        <is>
          <t>Ottawa (Ontario) Canada</t>
        </is>
      </c>
      <c r="P1676" t="n">
        <v>0</v>
      </c>
      <c r="Q1676" t="n">
        <v>12</v>
      </c>
      <c r="R1676" t="n">
        <v>0</v>
      </c>
      <c r="S1676" t="n">
        <v>0</v>
      </c>
      <c r="T1676" t="n">
        <v>0</v>
      </c>
      <c r="U1676" t="n">
        <v>12</v>
      </c>
      <c r="X1676" t="inlineStr">
        <is>
          <t>aafc-aac</t>
        </is>
      </c>
      <c r="Y1676" t="inlineStr">
        <is>
          <t>Agriculture and Agri-Food Canada | Agriculture et Agroalimentaire Canada</t>
        </is>
      </c>
    </row>
    <row r="1677">
      <c r="A1677" t="inlineStr">
        <is>
          <t>T-2022-P02-0001</t>
        </is>
      </c>
      <c r="B1677" t="inlineStr">
        <is>
          <t>MPSES</t>
        </is>
      </c>
      <c r="C1677" t="inlineStr">
        <is>
          <t>Parliamentary Secretary</t>
        </is>
      </c>
      <c r="D1677" t="inlineStr">
        <is>
          <t>Secrétaire parlementaire</t>
        </is>
      </c>
      <c r="E1677" t="inlineStr">
        <is>
          <t>Francis Drouin</t>
        </is>
      </c>
      <c r="F1677" t="inlineStr">
        <is>
          <t>To meet with agricultural stakeholders in Guelph</t>
        </is>
      </c>
      <c r="G1677" t="inlineStr">
        <is>
          <t>Pour rencontrer des intervenants du secteur agricole à Guelph</t>
        </is>
      </c>
      <c r="H1677" s="1" t="n">
        <v>44662</v>
      </c>
      <c r="I1677" s="1" t="n">
        <v>44663</v>
      </c>
      <c r="J1677" t="inlineStr">
        <is>
          <t>Guelph (Ontario) Canada</t>
        </is>
      </c>
      <c r="K1677" t="inlineStr">
        <is>
          <t>Guelph (Ontario) Canada</t>
        </is>
      </c>
      <c r="P1677" t="n">
        <v>619.15</v>
      </c>
      <c r="Q1677" t="n">
        <v>100.88</v>
      </c>
      <c r="R1677" t="n">
        <v>231.51</v>
      </c>
      <c r="S1677" t="n">
        <v>0</v>
      </c>
      <c r="T1677" t="n">
        <v>0</v>
      </c>
      <c r="U1677" t="n">
        <v>951.54</v>
      </c>
      <c r="V1677" t="inlineStr">
        <is>
          <t>No conference fees; meals were provided</t>
        </is>
      </c>
      <c r="W1677" t="inlineStr">
        <is>
          <t>Pas de frais de conférence; les repas étaient inclus</t>
        </is>
      </c>
      <c r="X1677" t="inlineStr">
        <is>
          <t>aafc-aac</t>
        </is>
      </c>
      <c r="Y1677" t="inlineStr">
        <is>
          <t>Agriculture and Agri-Food Canada | Agriculture et Agroalimentaire Canada</t>
        </is>
      </c>
    </row>
    <row r="1678">
      <c r="A1678" t="inlineStr">
        <is>
          <t>T-2022-P02-0002</t>
        </is>
      </c>
      <c r="B1678" t="inlineStr">
        <is>
          <t>SLE</t>
        </is>
      </c>
      <c r="C1678" t="inlineStr">
        <is>
          <t>Deputy Minister</t>
        </is>
      </c>
      <c r="D1678" t="inlineStr">
        <is>
          <t>Sous-ministre</t>
        </is>
      </c>
      <c r="E1678" t="inlineStr">
        <is>
          <t>Chris Forbes</t>
        </is>
      </c>
      <c r="F1678" t="inlineStr">
        <is>
          <t xml:space="preserve"> To attend the G7 Conference in Germany</t>
        </is>
      </c>
      <c r="G1678" t="inlineStr">
        <is>
          <t>Pour assister à la conférence G7 en Allemagne</t>
        </is>
      </c>
      <c r="H1678" s="1" t="n">
        <v>44691</v>
      </c>
      <c r="I1678" s="1" t="n">
        <v>44696</v>
      </c>
      <c r="J1678" t="inlineStr">
        <is>
          <t>Brussels, Belgium; Stuttgart, Germany</t>
        </is>
      </c>
      <c r="K1678" t="inlineStr">
        <is>
          <t>Bruxelles, Belgique; Stuttgart, Allemagne</t>
        </is>
      </c>
      <c r="P1678" t="n">
        <v>5085.03</v>
      </c>
      <c r="Q1678" t="n">
        <v>90.18000000000001</v>
      </c>
      <c r="R1678" t="n">
        <v>662.45</v>
      </c>
      <c r="S1678" t="n">
        <v>193.25</v>
      </c>
      <c r="T1678" t="n">
        <v>0</v>
      </c>
      <c r="U1678" t="n">
        <v>6030.91</v>
      </c>
      <c r="V1678" t="inlineStr">
        <is>
          <t>No conference fees</t>
        </is>
      </c>
      <c r="W1678" t="inlineStr">
        <is>
          <t>Pas de frais de conférence</t>
        </is>
      </c>
      <c r="X1678" t="inlineStr">
        <is>
          <t>aafc-aac</t>
        </is>
      </c>
      <c r="Y1678" t="inlineStr">
        <is>
          <t>Agriculture and Agri-Food Canada | Agriculture et Agroalimentaire Canada</t>
        </is>
      </c>
    </row>
    <row r="1679">
      <c r="A1679" t="inlineStr">
        <is>
          <t>T-2022-P02-0003</t>
        </is>
      </c>
      <c r="B1679" t="inlineStr">
        <is>
          <t>SLE</t>
        </is>
      </c>
      <c r="C1679" t="inlineStr">
        <is>
          <t>Assistant Deputy Minister, Corporate Management Branch</t>
        </is>
      </c>
      <c r="D1679" t="inlineStr">
        <is>
          <t>Sous-ministre adjointe, Direction générale de la gestion intégrée</t>
        </is>
      </c>
      <c r="E1679" t="inlineStr">
        <is>
          <t>Marie-Claude Guérard</t>
        </is>
      </c>
      <c r="F1679" t="inlineStr">
        <is>
          <t>Site Visit</t>
        </is>
      </c>
      <c r="G1679" t="inlineStr">
        <is>
          <t>Visite de site</t>
        </is>
      </c>
      <c r="H1679" s="1" t="n">
        <v>44679</v>
      </c>
      <c r="I1679" s="1" t="n">
        <v>44680</v>
      </c>
      <c r="J1679" t="inlineStr">
        <is>
          <t>Sherbrooke (Quebec) Canada</t>
        </is>
      </c>
      <c r="K1679" t="inlineStr">
        <is>
          <t>Sherbrooke (Québec) Canada</t>
        </is>
      </c>
      <c r="P1679" t="n">
        <v>0</v>
      </c>
      <c r="Q1679" t="n">
        <v>252.91</v>
      </c>
      <c r="R1679" t="n">
        <v>0</v>
      </c>
      <c r="S1679" t="n">
        <v>98.45</v>
      </c>
      <c r="T1679" t="n">
        <v>0</v>
      </c>
      <c r="U1679" t="n">
        <v>351.36</v>
      </c>
      <c r="X1679" t="inlineStr">
        <is>
          <t>aafc-aac</t>
        </is>
      </c>
      <c r="Y1679" t="inlineStr">
        <is>
          <t>Agriculture and Agri-Food Canada | Agriculture et Agroalimentaire Canada</t>
        </is>
      </c>
    </row>
    <row r="1680">
      <c r="A1680" t="inlineStr">
        <is>
          <t>T-2022-P02-0004</t>
        </is>
      </c>
      <c r="B1680" t="inlineStr">
        <is>
          <t>SLE</t>
        </is>
      </c>
      <c r="C1680" t="inlineStr">
        <is>
          <t>Assistant Deputy Minister, Market and Industry Services Branch</t>
        </is>
      </c>
      <c r="D1680" t="inlineStr">
        <is>
          <t>Sous-ministre adjoint, Direction générale des services à l'industrie et aux marchés</t>
        </is>
      </c>
      <c r="E1680" t="inlineStr">
        <is>
          <t>Tom Rosser</t>
        </is>
      </c>
      <c r="F1680" t="inlineStr">
        <is>
          <t>Participate in regional outreach and visit the AAFC regional office and research center.</t>
        </is>
      </c>
      <c r="G1680" t="inlineStr">
        <is>
          <t>Participer à la sensibilisation régionale et visiter le bureau régional et le centre de recherche d’AAC.</t>
        </is>
      </c>
      <c r="H1680" s="1" t="n">
        <v>44622</v>
      </c>
      <c r="I1680" s="1" t="n">
        <v>44624</v>
      </c>
      <c r="J1680" t="inlineStr">
        <is>
          <t xml:space="preserve">Charlottetown (Prince Edward Island) Canada </t>
        </is>
      </c>
      <c r="K1680" t="inlineStr">
        <is>
          <t>Charlottetown (Île du Prince Édouard) Canada</t>
        </is>
      </c>
      <c r="P1680" t="n">
        <v>986.8</v>
      </c>
      <c r="Q1680" t="n">
        <v>105</v>
      </c>
      <c r="R1680" t="n">
        <v>432.85</v>
      </c>
      <c r="S1680" t="n">
        <v>296.8</v>
      </c>
      <c r="T1680" t="n">
        <v>0</v>
      </c>
      <c r="U1680" t="n">
        <v>1821.45</v>
      </c>
      <c r="X1680" t="inlineStr">
        <is>
          <t>aafc-aac</t>
        </is>
      </c>
      <c r="Y1680" t="inlineStr">
        <is>
          <t>Agriculture and Agri-Food Canada | Agriculture et Agroalimentaire Canada</t>
        </is>
      </c>
    </row>
    <row r="1681">
      <c r="A1681" t="inlineStr">
        <is>
          <t>T-2022-P02-0005</t>
        </is>
      </c>
      <c r="B1681" t="inlineStr">
        <is>
          <t>SLE</t>
        </is>
      </c>
      <c r="C1681" t="inlineStr">
        <is>
          <t>Assistant Deputy Minister, Market and Industry Services Branch</t>
        </is>
      </c>
      <c r="D1681" t="inlineStr">
        <is>
          <t>Sous-ministre adjoint, Direction générale des services à l'industrie et aux marchés</t>
        </is>
      </c>
      <c r="E1681" t="inlineStr">
        <is>
          <t>Tom Rosser</t>
        </is>
      </c>
      <c r="F1681" t="inlineStr">
        <is>
          <t xml:space="preserve">Participate in the SIAL event in Montréal, QC, April 19-20, 2022. </t>
        </is>
      </c>
      <c r="G1681" t="inlineStr">
        <is>
          <t>Participer à l’événement SIAL à Montréal, QC, du 19 au 20 avril 2022.</t>
        </is>
      </c>
      <c r="H1681" s="1" t="n">
        <v>44670</v>
      </c>
      <c r="I1681" s="1" t="n">
        <v>44671</v>
      </c>
      <c r="J1681" t="inlineStr">
        <is>
          <t>Montréal (Quebec) Canada</t>
        </is>
      </c>
      <c r="K1681" t="inlineStr">
        <is>
          <t>Montréal (Québec) Canada</t>
        </is>
      </c>
      <c r="P1681" t="n">
        <v>0</v>
      </c>
      <c r="Q1681" t="n">
        <v>173.89</v>
      </c>
      <c r="R1681" t="n">
        <v>292.74</v>
      </c>
      <c r="S1681" t="n">
        <v>133.05</v>
      </c>
      <c r="T1681" t="n">
        <v>0</v>
      </c>
      <c r="U1681" t="n">
        <v>599.6799999999999</v>
      </c>
      <c r="X1681" t="inlineStr">
        <is>
          <t>aafc-aac</t>
        </is>
      </c>
      <c r="Y1681" t="inlineStr">
        <is>
          <t>Agriculture and Agri-Food Canada | Agriculture et Agroalimentaire Canada</t>
        </is>
      </c>
    </row>
    <row r="1682">
      <c r="A1682" t="inlineStr">
        <is>
          <t>T-2022-P02-0006</t>
        </is>
      </c>
      <c r="B1682" t="inlineStr">
        <is>
          <t>SLE</t>
        </is>
      </c>
      <c r="C1682" t="inlineStr">
        <is>
          <t>Assistant Deputy Minister, Market and Industry Services Branch</t>
        </is>
      </c>
      <c r="D1682" t="inlineStr">
        <is>
          <t>Sous-ministre adjoint, Direction générale des services à l'industrie et aux marchés</t>
        </is>
      </c>
      <c r="E1682" t="inlineStr">
        <is>
          <t>Tom Rosser</t>
        </is>
      </c>
      <c r="F1682" t="inlineStr">
        <is>
          <t xml:space="preserve">Attend a formal announcement by Canada Royal Milk (CRM). The welcome event took place on April 24, 2022 in the evening and the announcement took place on April 25, 2022. </t>
        </is>
      </c>
      <c r="G1682" t="inlineStr">
        <is>
          <t>Participer à une annonce officielle du Lait royal du Canada. L’événement de bienvenue a eu lieu le 24 avril 2022 en soirée et l’annonce a eu lieu le 25 avril 2022.</t>
        </is>
      </c>
      <c r="H1682" s="1" t="n">
        <v>44675</v>
      </c>
      <c r="I1682" s="1" t="n">
        <v>44676</v>
      </c>
      <c r="J1682" t="inlineStr">
        <is>
          <t xml:space="preserve">Kingston (Ontario) Canada </t>
        </is>
      </c>
      <c r="K1682" t="inlineStr">
        <is>
          <t xml:space="preserve">Kingston (Ontario) Canada </t>
        </is>
      </c>
      <c r="P1682" t="n">
        <v>0</v>
      </c>
      <c r="Q1682" t="n">
        <v>228.28</v>
      </c>
      <c r="R1682" t="n">
        <v>0</v>
      </c>
      <c r="S1682" t="n">
        <v>0</v>
      </c>
      <c r="T1682" t="n">
        <v>0</v>
      </c>
      <c r="U1682" t="n">
        <v>228.28</v>
      </c>
      <c r="X1682" t="inlineStr">
        <is>
          <t>aafc-aac</t>
        </is>
      </c>
      <c r="Y1682" t="inlineStr">
        <is>
          <t>Agriculture and Agri-Food Canada | Agriculture et Agroalimentaire Canada</t>
        </is>
      </c>
    </row>
    <row r="1683">
      <c r="A1683" t="inlineStr">
        <is>
          <t>T-2021-P10-0001</t>
        </is>
      </c>
      <c r="B1683" t="inlineStr">
        <is>
          <t>MPSES</t>
        </is>
      </c>
      <c r="C1683" t="inlineStr">
        <is>
          <t>Driver</t>
        </is>
      </c>
      <c r="D1683" t="inlineStr">
        <is>
          <t>Chauffeur</t>
        </is>
      </c>
      <c r="E1683" t="inlineStr">
        <is>
          <t>Michel Gendreau</t>
        </is>
      </c>
      <c r="F1683" t="inlineStr">
        <is>
          <t xml:space="preserve">Drive the Minister from the airport to her riding to Ottawa </t>
        </is>
      </c>
      <c r="G1683" t="inlineStr">
        <is>
          <t>Conduire la Ministre de l'aéroport à sa circonscription à Ottawa</t>
        </is>
      </c>
      <c r="H1683" s="1" t="n">
        <v>44541</v>
      </c>
      <c r="I1683" s="1" t="n">
        <v>44543</v>
      </c>
      <c r="J1683" t="inlineStr">
        <is>
          <t>Sherbrooke (Quebec) Canada</t>
        </is>
      </c>
      <c r="K1683" t="inlineStr">
        <is>
          <t>Sherbrooke (Québec) Canada</t>
        </is>
      </c>
      <c r="P1683" t="n">
        <v>0</v>
      </c>
      <c r="Q1683" t="n">
        <v>2.4</v>
      </c>
      <c r="R1683" t="n">
        <v>247.5</v>
      </c>
      <c r="S1683" t="n">
        <v>170.3</v>
      </c>
      <c r="T1683" t="n">
        <v>0</v>
      </c>
      <c r="U1683" t="n">
        <v>420.2</v>
      </c>
      <c r="X1683" t="inlineStr">
        <is>
          <t>aafc-aac</t>
        </is>
      </c>
      <c r="Y1683" t="inlineStr">
        <is>
          <t>Agriculture and Agri-Food Canada | Agriculture et Agroalimentaire Canada</t>
        </is>
      </c>
    </row>
    <row r="1684">
      <c r="A1684" t="inlineStr">
        <is>
          <t>T-2021-P10-0002</t>
        </is>
      </c>
      <c r="B1684" t="inlineStr">
        <is>
          <t>MPSES</t>
        </is>
      </c>
      <c r="C1684" t="inlineStr">
        <is>
          <t>Driver</t>
        </is>
      </c>
      <c r="D1684" t="inlineStr">
        <is>
          <t>Chauffeur</t>
        </is>
      </c>
      <c r="E1684" t="inlineStr">
        <is>
          <t>Michel Gendreau</t>
        </is>
      </c>
      <c r="F1684" t="inlineStr">
        <is>
          <t>Drive the Minister from Ottawa to her riding</t>
        </is>
      </c>
      <c r="G1684" t="inlineStr">
        <is>
          <t>Conduire la Ministre d'Ottawa à sa circonscription</t>
        </is>
      </c>
      <c r="H1684" s="1" t="n">
        <v>44546</v>
      </c>
      <c r="I1684" s="1" t="n">
        <v>44547</v>
      </c>
      <c r="J1684" t="inlineStr">
        <is>
          <t>Sherbrooke (Quebec) Canada</t>
        </is>
      </c>
      <c r="K1684" t="inlineStr">
        <is>
          <t>Sherbrooke (Québec) Canada</t>
        </is>
      </c>
      <c r="P1684" t="n">
        <v>0</v>
      </c>
      <c r="Q1684" t="n">
        <v>61.8</v>
      </c>
      <c r="R1684" t="n">
        <v>0</v>
      </c>
      <c r="S1684" t="n">
        <v>0</v>
      </c>
      <c r="T1684" t="n">
        <v>0</v>
      </c>
      <c r="U1684" t="n">
        <v>61.8</v>
      </c>
      <c r="X1684" t="inlineStr">
        <is>
          <t>aafc-aac</t>
        </is>
      </c>
      <c r="Y1684" t="inlineStr">
        <is>
          <t>Agriculture and Agri-Food Canada | Agriculture et Agroalimentaire Canada</t>
        </is>
      </c>
    </row>
    <row r="1685">
      <c r="A1685" t="inlineStr">
        <is>
          <t>T-2021-P10-0003</t>
        </is>
      </c>
      <c r="B1685" t="inlineStr">
        <is>
          <t>SLE</t>
        </is>
      </c>
      <c r="C1685" t="inlineStr">
        <is>
          <t>Deputy Minister</t>
        </is>
      </c>
      <c r="D1685" t="inlineStr">
        <is>
          <t>Sous-Ministre</t>
        </is>
      </c>
      <c r="E1685" t="inlineStr">
        <is>
          <t>Chris Forbes</t>
        </is>
      </c>
      <c r="F1685" t="inlineStr">
        <is>
          <t>To meet with senior-level Government Officials, Industry representatives and non-governmental stakeholders to establish positive relationships and to discuss area of current and potential collaboration.</t>
        </is>
      </c>
      <c r="G1685" t="inlineStr">
        <is>
          <t>Pour rencontrer des hauts fonctionnaires, des représentants de l'industrie et des parties prenantes non gouvernementales afin d'établir des relations positives et de discuter des domaines de collaboration actuels et potentiels.</t>
        </is>
      </c>
      <c r="H1685" s="1" t="n">
        <v>44539</v>
      </c>
      <c r="I1685" s="1" t="n">
        <v>44540</v>
      </c>
      <c r="J1685" t="inlineStr">
        <is>
          <t>Washinton (District of Columbia) United States of America</t>
        </is>
      </c>
      <c r="K1685" t="inlineStr">
        <is>
          <t>Washington (district de Columbia) États-Unis d'Amérique</t>
        </is>
      </c>
      <c r="P1685" t="n">
        <v>1092.83</v>
      </c>
      <c r="Q1685" t="n">
        <v>30</v>
      </c>
      <c r="R1685" t="n">
        <v>274.76</v>
      </c>
      <c r="S1685" t="n">
        <v>94.52</v>
      </c>
      <c r="T1685" t="n">
        <v>90.40000000000001</v>
      </c>
      <c r="U1685" t="n">
        <v>1582.51</v>
      </c>
      <c r="X1685" t="inlineStr">
        <is>
          <t>aafc-aac</t>
        </is>
      </c>
      <c r="Y1685" t="inlineStr">
        <is>
          <t>Agriculture and Agri-Food Canada | Agriculture et Agroalimentaire Canada</t>
        </is>
      </c>
    </row>
    <row r="1686">
      <c r="A1686" t="inlineStr">
        <is>
          <t>T-2021-P11-0001</t>
        </is>
      </c>
      <c r="B1686" t="inlineStr">
        <is>
          <t>MPSES</t>
        </is>
      </c>
      <c r="C1686" t="inlineStr">
        <is>
          <t>Minister</t>
        </is>
      </c>
      <c r="D1686" t="inlineStr">
        <is>
          <t>Ministre</t>
        </is>
      </c>
      <c r="E1686" t="inlineStr">
        <is>
          <t>Marie-Claude Bibeau</t>
        </is>
      </c>
      <c r="F1686" t="inlineStr">
        <is>
          <t>To attend an outreach in Vancouver</t>
        </is>
      </c>
      <c r="G1686" t="inlineStr">
        <is>
          <t>Pour assister à une campagne de sensibilisation à Vancouver</t>
        </is>
      </c>
      <c r="H1686" s="1" t="n">
        <v>44539</v>
      </c>
      <c r="I1686" s="1" t="n">
        <v>44541</v>
      </c>
      <c r="J1686" t="inlineStr">
        <is>
          <t>Vancouver (British Columbia) Canada</t>
        </is>
      </c>
      <c r="K1686" t="inlineStr">
        <is>
          <t>Vancouver (Colombie-Britannique) Canada</t>
        </is>
      </c>
      <c r="P1686" t="n">
        <v>3452.58</v>
      </c>
      <c r="Q1686" t="n">
        <v>0</v>
      </c>
      <c r="R1686" t="n">
        <v>368.88</v>
      </c>
      <c r="S1686" t="n">
        <v>117.3</v>
      </c>
      <c r="T1686" t="n">
        <v>0</v>
      </c>
      <c r="U1686" t="n">
        <v>3938.76</v>
      </c>
      <c r="X1686" t="inlineStr">
        <is>
          <t>aafc-aac</t>
        </is>
      </c>
      <c r="Y1686" t="inlineStr">
        <is>
          <t>Agriculture and Agri-Food Canada | Agriculture et Agroalimentaire Canada</t>
        </is>
      </c>
    </row>
    <row r="1687">
      <c r="A1687" t="inlineStr">
        <is>
          <t>T-2021-P11-0002</t>
        </is>
      </c>
      <c r="B1687" t="inlineStr">
        <is>
          <t>MPSES</t>
        </is>
      </c>
      <c r="C1687" t="inlineStr">
        <is>
          <t>Press Secretary</t>
        </is>
      </c>
      <c r="D1687" t="inlineStr">
        <is>
          <t>Attachée de presse</t>
        </is>
      </c>
      <c r="E1687" t="inlineStr">
        <is>
          <t>Marianne Dandurand</t>
        </is>
      </c>
      <c r="F1687" t="inlineStr">
        <is>
          <t xml:space="preserve">To accompany the Minister to the Union of agricultural producers conference </t>
        </is>
      </c>
      <c r="G1687" t="inlineStr">
        <is>
          <t>Pour accompagner la ministre à la conférence de l'Union des producteurs agricoles</t>
        </is>
      </c>
      <c r="H1687" s="1" t="n">
        <v>44532</v>
      </c>
      <c r="I1687" s="1" t="n">
        <v>44532</v>
      </c>
      <c r="J1687" t="inlineStr">
        <is>
          <t>Québec (Quebec) Canada</t>
        </is>
      </c>
      <c r="K1687" t="inlineStr">
        <is>
          <t>Québec (Québec) Canada</t>
        </is>
      </c>
      <c r="P1687" t="n">
        <v>0</v>
      </c>
      <c r="Q1687" t="n">
        <v>0</v>
      </c>
      <c r="R1687" t="n">
        <v>0</v>
      </c>
      <c r="S1687" t="n">
        <v>95.95</v>
      </c>
      <c r="T1687" t="n">
        <v>0</v>
      </c>
      <c r="U1687" t="n">
        <v>95.95</v>
      </c>
      <c r="X1687" t="inlineStr">
        <is>
          <t>aafc-aac</t>
        </is>
      </c>
      <c r="Y1687" t="inlineStr">
        <is>
          <t>Agriculture and Agri-Food Canada | Agriculture et Agroalimentaire Canada</t>
        </is>
      </c>
    </row>
    <row r="1688">
      <c r="A1688" t="inlineStr">
        <is>
          <t>T-2021-P11-0003</t>
        </is>
      </c>
      <c r="B1688" t="inlineStr">
        <is>
          <t>MPSES</t>
        </is>
      </c>
      <c r="C1688" t="inlineStr">
        <is>
          <t>Driver</t>
        </is>
      </c>
      <c r="D1688" t="inlineStr">
        <is>
          <t>Chauffeur</t>
        </is>
      </c>
      <c r="E1688" t="inlineStr">
        <is>
          <t>Michel Gendreau</t>
        </is>
      </c>
      <c r="F1688" t="inlineStr">
        <is>
          <t xml:space="preserve">Drive to the Minister's riding to deliver secure Cabinet documents </t>
        </is>
      </c>
      <c r="G1688" t="inlineStr">
        <is>
          <t xml:space="preserve">Se rendre dans la circonscription de la Ministre pour lui remettre les documents du Cabinet sécurisés. </t>
        </is>
      </c>
      <c r="H1688" s="1" t="n">
        <v>44585</v>
      </c>
      <c r="I1688" s="1" t="n">
        <v>44585</v>
      </c>
      <c r="J1688" t="inlineStr">
        <is>
          <t>Sherbrooke (Quebec) Canada</t>
        </is>
      </c>
      <c r="K1688" t="inlineStr">
        <is>
          <t>Sherbrooke (Québec) Canada</t>
        </is>
      </c>
      <c r="P1688" t="n">
        <v>0</v>
      </c>
      <c r="Q1688" t="n">
        <v>4.8</v>
      </c>
      <c r="R1688" t="n">
        <v>0</v>
      </c>
      <c r="S1688" t="n">
        <v>42.95</v>
      </c>
      <c r="T1688" t="n">
        <v>0</v>
      </c>
      <c r="U1688" t="n">
        <v>47.75</v>
      </c>
      <c r="X1688" t="inlineStr">
        <is>
          <t>aafc-aac</t>
        </is>
      </c>
      <c r="Y1688" t="inlineStr">
        <is>
          <t>Agriculture and Agri-Food Canada | Agriculture et Agroalimentaire Canada</t>
        </is>
      </c>
    </row>
    <row r="1689">
      <c r="A1689" t="inlineStr">
        <is>
          <t>T-2021-P11-0004</t>
        </is>
      </c>
      <c r="B1689" t="inlineStr">
        <is>
          <t>MPSES</t>
        </is>
      </c>
      <c r="C1689" t="inlineStr">
        <is>
          <t>Driver</t>
        </is>
      </c>
      <c r="D1689" t="inlineStr">
        <is>
          <t>Chauffeur</t>
        </is>
      </c>
      <c r="E1689" t="inlineStr">
        <is>
          <t>Michel Gendreau</t>
        </is>
      </c>
      <c r="F1689" t="inlineStr">
        <is>
          <t xml:space="preserve">Drive the Minister from her riding to the Montréal airport </t>
        </is>
      </c>
      <c r="G1689" t="inlineStr">
        <is>
          <t>Conduire la Ministre de sa circonscription à l'aéroport de Montréal</t>
        </is>
      </c>
      <c r="H1689" s="1" t="n">
        <v>44587</v>
      </c>
      <c r="I1689" s="1" t="n">
        <v>44587</v>
      </c>
      <c r="J1689" t="inlineStr">
        <is>
          <t>Sherbrooke (Quebec) Canada; Montréal (Quebec) Canada</t>
        </is>
      </c>
      <c r="K1689" t="inlineStr">
        <is>
          <t>Sherbrooke (Québec) Canada; Montréal (Québec) Canada</t>
        </is>
      </c>
      <c r="P1689" t="n">
        <v>0</v>
      </c>
      <c r="Q1689" t="n">
        <v>2.4</v>
      </c>
      <c r="R1689" t="n">
        <v>0</v>
      </c>
      <c r="S1689" t="n">
        <v>74.59999999999999</v>
      </c>
      <c r="T1689" t="n">
        <v>0</v>
      </c>
      <c r="U1689" t="n">
        <v>77</v>
      </c>
      <c r="X1689" t="inlineStr">
        <is>
          <t>aafc-aac</t>
        </is>
      </c>
      <c r="Y1689" t="inlineStr">
        <is>
          <t>Agriculture and Agri-Food Canada | Agriculture et Agroalimentaire Canada</t>
        </is>
      </c>
    </row>
    <row r="1690">
      <c r="A1690" t="inlineStr">
        <is>
          <t>T-2021-P11-0005</t>
        </is>
      </c>
      <c r="B1690" t="inlineStr">
        <is>
          <t>MPSES</t>
        </is>
      </c>
      <c r="C1690" t="inlineStr">
        <is>
          <t>Driver</t>
        </is>
      </c>
      <c r="D1690" t="inlineStr">
        <is>
          <t>Chauffeur</t>
        </is>
      </c>
      <c r="E1690" t="inlineStr">
        <is>
          <t>Michel Gendreau</t>
        </is>
      </c>
      <c r="F1690" t="inlineStr">
        <is>
          <t xml:space="preserve">Drive the Minister from the Montréal airport to her riding </t>
        </is>
      </c>
      <c r="G1690" t="inlineStr">
        <is>
          <t xml:space="preserve">Conduire la Ministre de l'aéroport de Montréal à sa circonscription </t>
        </is>
      </c>
      <c r="H1690" s="1" t="n">
        <v>44589</v>
      </c>
      <c r="I1690" s="1" t="n">
        <v>44589</v>
      </c>
      <c r="J1690" t="inlineStr">
        <is>
          <t>Montréal (Quebec) Canada; Sherbrooke (Quebec) Canada</t>
        </is>
      </c>
      <c r="K1690" t="inlineStr">
        <is>
          <t>Montréal (Québec) Canada; Sherbrooke (Québec) Canada</t>
        </is>
      </c>
      <c r="P1690" t="n">
        <v>0</v>
      </c>
      <c r="Q1690" t="n">
        <v>2.4</v>
      </c>
      <c r="R1690" t="n">
        <v>0</v>
      </c>
      <c r="S1690" t="n">
        <v>74.59999999999999</v>
      </c>
      <c r="T1690" t="n">
        <v>0</v>
      </c>
      <c r="U1690" t="n">
        <v>77</v>
      </c>
      <c r="X1690" t="inlineStr">
        <is>
          <t>aafc-aac</t>
        </is>
      </c>
      <c r="Y1690" t="inlineStr">
        <is>
          <t>Agriculture and Agri-Food Canada | Agriculture et Agroalimentaire Canada</t>
        </is>
      </c>
    </row>
    <row r="1691">
      <c r="A1691" t="inlineStr">
        <is>
          <t>T-2021-P11-0006</t>
        </is>
      </c>
      <c r="B1691" t="inlineStr">
        <is>
          <t>MPSES</t>
        </is>
      </c>
      <c r="C1691" t="inlineStr">
        <is>
          <t>Driver</t>
        </is>
      </c>
      <c r="D1691" t="inlineStr">
        <is>
          <t>Chauffeur</t>
        </is>
      </c>
      <c r="E1691" t="inlineStr">
        <is>
          <t>Michel Gendreau</t>
        </is>
      </c>
      <c r="F1691" t="inlineStr">
        <is>
          <t xml:space="preserve">Drive the Minister from her riding to Ottawa </t>
        </is>
      </c>
      <c r="G1691" t="inlineStr">
        <is>
          <t>Conduire la Ministre de sa circonscription à Ottawa</t>
        </is>
      </c>
      <c r="H1691" s="1" t="n">
        <v>44598</v>
      </c>
      <c r="I1691" s="1" t="n">
        <v>44599</v>
      </c>
      <c r="J1691" t="inlineStr">
        <is>
          <t>Sherbrooke (Quebec) Canada</t>
        </is>
      </c>
      <c r="K1691" t="inlineStr">
        <is>
          <t>Sherbrooke (Québec) Canada</t>
        </is>
      </c>
      <c r="P1691" t="n">
        <v>0</v>
      </c>
      <c r="Q1691" t="n">
        <v>6</v>
      </c>
      <c r="R1691" t="n">
        <v>123.75</v>
      </c>
      <c r="S1691" t="n">
        <v>74.34999999999999</v>
      </c>
      <c r="T1691" t="n">
        <v>0</v>
      </c>
      <c r="U1691" t="n">
        <v>204.1</v>
      </c>
      <c r="X1691" t="inlineStr">
        <is>
          <t>aafc-aac</t>
        </is>
      </c>
      <c r="Y1691" t="inlineStr">
        <is>
          <t>Agriculture and Agri-Food Canada | Agriculture et Agroalimentaire Canada</t>
        </is>
      </c>
    </row>
    <row r="1692">
      <c r="A1692" t="inlineStr">
        <is>
          <t>T-2021-P11-0007</t>
        </is>
      </c>
      <c r="B1692" t="inlineStr">
        <is>
          <t>MPSES</t>
        </is>
      </c>
      <c r="C1692" t="inlineStr">
        <is>
          <t>Driver</t>
        </is>
      </c>
      <c r="D1692" t="inlineStr">
        <is>
          <t>Chauffeur</t>
        </is>
      </c>
      <c r="E1692" t="inlineStr">
        <is>
          <t>Michel Gendreau</t>
        </is>
      </c>
      <c r="F1692" t="inlineStr">
        <is>
          <t>Drive the Minister from Ottawa to her riding</t>
        </is>
      </c>
      <c r="G1692" t="inlineStr">
        <is>
          <t>Conduire la Ministre d'Ottawa à sa circonscription</t>
        </is>
      </c>
      <c r="H1692" s="1" t="n">
        <v>44603</v>
      </c>
      <c r="I1692" s="1" t="n">
        <v>44603</v>
      </c>
      <c r="J1692" t="inlineStr">
        <is>
          <t>Sherbrooke (Quebec) Canada</t>
        </is>
      </c>
      <c r="K1692" t="inlineStr">
        <is>
          <t>Sherbrooke (Québec) Canada</t>
        </is>
      </c>
      <c r="P1692" t="n">
        <v>0</v>
      </c>
      <c r="Q1692" t="n">
        <v>6</v>
      </c>
      <c r="R1692" t="n">
        <v>0</v>
      </c>
      <c r="S1692" t="n">
        <v>53</v>
      </c>
      <c r="T1692" t="n">
        <v>0</v>
      </c>
      <c r="U1692" t="n">
        <v>59</v>
      </c>
      <c r="X1692" t="inlineStr">
        <is>
          <t>aafc-aac</t>
        </is>
      </c>
      <c r="Y1692" t="inlineStr">
        <is>
          <t>Agriculture and Agri-Food Canada | Agriculture et Agroalimentaire Canada</t>
        </is>
      </c>
    </row>
    <row r="1693">
      <c r="A1693" t="inlineStr">
        <is>
          <t>T-2021-P11-0008</t>
        </is>
      </c>
      <c r="B1693" t="inlineStr">
        <is>
          <t>MPSES</t>
        </is>
      </c>
      <c r="C1693" t="inlineStr">
        <is>
          <t>Director of Communications</t>
        </is>
      </c>
      <c r="D1693" t="inlineStr">
        <is>
          <t>Directeur des communications</t>
        </is>
      </c>
      <c r="E1693" t="inlineStr">
        <is>
          <t>Oliver Anderson</t>
        </is>
      </c>
      <c r="F1693" t="inlineStr">
        <is>
          <t>To accompany the Minister for an outreach in Vancouver</t>
        </is>
      </c>
      <c r="G1693" t="inlineStr">
        <is>
          <t>Pour accompagner la ministre à une campagne de sensibilisation à Vancouver</t>
        </is>
      </c>
      <c r="H1693" s="1" t="n">
        <v>44539</v>
      </c>
      <c r="I1693" s="1" t="n">
        <v>44541</v>
      </c>
      <c r="J1693" t="inlineStr">
        <is>
          <t>Vancouver (British Columbia) Canada</t>
        </is>
      </c>
      <c r="K1693" t="inlineStr">
        <is>
          <t>Vancouver (Colombie-Britannique) Canada</t>
        </is>
      </c>
      <c r="P1693" t="n">
        <v>2950.49</v>
      </c>
      <c r="Q1693" t="n">
        <v>40.77</v>
      </c>
      <c r="R1693" t="n">
        <v>426.88</v>
      </c>
      <c r="S1693" t="n">
        <v>117.3</v>
      </c>
      <c r="T1693" t="n">
        <v>0</v>
      </c>
      <c r="U1693" t="n">
        <v>3535.44</v>
      </c>
      <c r="X1693" t="inlineStr">
        <is>
          <t>aafc-aac</t>
        </is>
      </c>
      <c r="Y1693" t="inlineStr">
        <is>
          <t>Agriculture and Agri-Food Canada | Agriculture et Agroalimentaire Canada</t>
        </is>
      </c>
    </row>
    <row r="1694">
      <c r="A1694" t="inlineStr">
        <is>
          <t>T-2021-P11-0009</t>
        </is>
      </c>
      <c r="B1694" t="inlineStr">
        <is>
          <t>MPSES</t>
        </is>
      </c>
      <c r="C1694" t="inlineStr">
        <is>
          <t>Senior Policy Advisor</t>
        </is>
      </c>
      <c r="D1694" t="inlineStr">
        <is>
          <t>Conseiller principal en politiques</t>
        </is>
      </c>
      <c r="E1694" t="inlineStr">
        <is>
          <t>Sandenga Yeba</t>
        </is>
      </c>
      <c r="F1694" t="inlineStr">
        <is>
          <t>To accompany the Minister for an outreach in Vancouver</t>
        </is>
      </c>
      <c r="G1694" t="inlineStr">
        <is>
          <t>Pour accompagner la ministre à une campagne de sensibilisation à Vancouver</t>
        </is>
      </c>
      <c r="H1694" s="1" t="n">
        <v>44539</v>
      </c>
      <c r="I1694" s="1" t="n">
        <v>44541</v>
      </c>
      <c r="J1694" t="inlineStr">
        <is>
          <t>Vancouver (British Columbia) Canada</t>
        </is>
      </c>
      <c r="K1694" t="inlineStr">
        <is>
          <t>Vancouver (Colombie-Britannique) Canada</t>
        </is>
      </c>
      <c r="P1694" t="n">
        <v>1206.27</v>
      </c>
      <c r="Q1694" t="n">
        <v>159.77</v>
      </c>
      <c r="R1694" t="n">
        <v>426.88</v>
      </c>
      <c r="S1694" t="n">
        <v>117.3</v>
      </c>
      <c r="T1694" t="n">
        <v>0</v>
      </c>
      <c r="U1694" t="n">
        <v>1910.22</v>
      </c>
      <c r="X1694" t="inlineStr">
        <is>
          <t>aafc-aac</t>
        </is>
      </c>
      <c r="Y1694" t="inlineStr">
        <is>
          <t>Agriculture and Agri-Food Canada | Agriculture et Agroalimentaire Canada</t>
        </is>
      </c>
    </row>
    <row r="1695">
      <c r="A1695" t="inlineStr">
        <is>
          <t>T-2021-P11-0010</t>
        </is>
      </c>
      <c r="B1695" t="inlineStr">
        <is>
          <t>SLE</t>
        </is>
      </c>
      <c r="C1695" t="inlineStr">
        <is>
          <t>Assistant Deputy Minister, Corporate Management Branch</t>
        </is>
      </c>
      <c r="D1695" t="inlineStr">
        <is>
          <t>Sous-ministre adjointe, Direction générale de la gestion intégrée</t>
        </is>
      </c>
      <c r="E1695" t="inlineStr">
        <is>
          <t>Marie-Claude Guérard</t>
        </is>
      </c>
      <c r="F1695" t="inlineStr">
        <is>
          <t>Monthly in-person bilateral meeting with Deputy Minister and scheduled site visit to the Ottawa Hospital as well as Neatby Research Center.</t>
        </is>
      </c>
      <c r="G1695" t="inlineStr">
        <is>
          <t>Rencontre mensuelle en personne avec le sous-ministre incluant une visite de l'hôpital d'Ottawa ainsi que le centre de recherche Neatby.</t>
        </is>
      </c>
      <c r="H1695" s="1" t="n">
        <v>44544</v>
      </c>
      <c r="I1695" s="1" t="n">
        <v>44546</v>
      </c>
      <c r="J1695" t="inlineStr">
        <is>
          <t>Ottawa (Ontario) Canada</t>
        </is>
      </c>
      <c r="K1695" t="inlineStr">
        <is>
          <t>Ottawa (Ontario) Canada</t>
        </is>
      </c>
      <c r="P1695" t="n">
        <v>0</v>
      </c>
      <c r="Q1695" t="n">
        <v>423.26</v>
      </c>
      <c r="R1695" t="n">
        <v>467.72</v>
      </c>
      <c r="S1695" t="n">
        <v>265.4</v>
      </c>
      <c r="T1695" t="n">
        <v>0</v>
      </c>
      <c r="U1695" t="n">
        <v>1156.38</v>
      </c>
      <c r="X1695" t="inlineStr">
        <is>
          <t>aafc-aac</t>
        </is>
      </c>
      <c r="Y1695" t="inlineStr">
        <is>
          <t>Agriculture and Agri-Food Canada | Agriculture et Agroalimentaire Canada</t>
        </is>
      </c>
    </row>
    <row r="1696">
      <c r="A1696" t="inlineStr">
        <is>
          <t>T-2021-P12-0001</t>
        </is>
      </c>
      <c r="B1696" t="inlineStr">
        <is>
          <t>MPSES</t>
        </is>
      </c>
      <c r="C1696" t="inlineStr">
        <is>
          <t>Minister</t>
        </is>
      </c>
      <c r="D1696" t="inlineStr">
        <is>
          <t>Ministre</t>
        </is>
      </c>
      <c r="E1696" t="inlineStr">
        <is>
          <t>Marie-Claude Bibeau</t>
        </is>
      </c>
      <c r="F1696" t="inlineStr">
        <is>
          <t>Meet with Secretary Tom Vilsack and United States Department of Agriculture officials.</t>
        </is>
      </c>
      <c r="G1696" t="inlineStr">
        <is>
          <t>Rencontrer le secrétaire d'État Tom Vilsack et les responsables du ministère de l'Agriculture des États-Unis.</t>
        </is>
      </c>
      <c r="H1696" s="1" t="n">
        <v>44587</v>
      </c>
      <c r="I1696" s="1" t="n">
        <v>44589</v>
      </c>
      <c r="J1696" t="inlineStr">
        <is>
          <t>Washington (District of Columbia) United States of America</t>
        </is>
      </c>
      <c r="K1696" t="inlineStr">
        <is>
          <t>Washington (District de Columbia) États-Unis</t>
        </is>
      </c>
      <c r="P1696" t="n">
        <v>1053.89</v>
      </c>
      <c r="Q1696" t="n">
        <v>0</v>
      </c>
      <c r="R1696" t="n">
        <v>552.03</v>
      </c>
      <c r="S1696" t="n">
        <v>283.52</v>
      </c>
      <c r="T1696" t="n">
        <v>288</v>
      </c>
      <c r="U1696" t="n">
        <v>2177.44</v>
      </c>
      <c r="V1696" t="inlineStr">
        <is>
          <t>Other expences for mandatory Covid testing</t>
        </is>
      </c>
      <c r="W1696" t="inlineStr">
        <is>
          <t>Autres dépenses pour les tests Covid obligatoires</t>
        </is>
      </c>
      <c r="X1696" t="inlineStr">
        <is>
          <t>aafc-aac</t>
        </is>
      </c>
      <c r="Y1696" t="inlineStr">
        <is>
          <t>Agriculture and Agri-Food Canada | Agriculture et Agroalimentaire Canada</t>
        </is>
      </c>
    </row>
    <row r="1697">
      <c r="A1697" t="inlineStr">
        <is>
          <t>T-2021-P12-0002</t>
        </is>
      </c>
      <c r="B1697" t="inlineStr">
        <is>
          <t>MPSES</t>
        </is>
      </c>
      <c r="C1697" t="inlineStr">
        <is>
          <t>Director of Policy</t>
        </is>
      </c>
      <c r="D1697" t="inlineStr">
        <is>
          <t>Directeur des politiques</t>
        </is>
      </c>
      <c r="E1697" t="inlineStr">
        <is>
          <t>Jérémy Gauthier</t>
        </is>
      </c>
      <c r="F1697" t="inlineStr">
        <is>
          <t>To accompany the Minister to meet with Secretary Tom Vilsack and United States Department of Agriculture officials.</t>
        </is>
      </c>
      <c r="G1697" t="inlineStr">
        <is>
          <t>Pour accompagner la Ministre pour rencontrer le secrétaire d'État Tom Vilsack et les responsables du ministère de l'Agriculture des États-Unis.</t>
        </is>
      </c>
      <c r="H1697" s="1" t="n">
        <v>44587</v>
      </c>
      <c r="I1697" s="1" t="n">
        <v>44589</v>
      </c>
      <c r="J1697" t="inlineStr">
        <is>
          <t>Washington (District of Columbia) United States of America</t>
        </is>
      </c>
      <c r="K1697" t="inlineStr">
        <is>
          <t>Washington (District de Columbia) États-Unis</t>
        </is>
      </c>
      <c r="P1697" t="n">
        <v>1059.67</v>
      </c>
      <c r="Q1697" t="n">
        <v>391.94</v>
      </c>
      <c r="R1697" t="n">
        <v>552.03</v>
      </c>
      <c r="S1697" t="n">
        <v>305.12</v>
      </c>
      <c r="T1697" t="n">
        <v>179.67</v>
      </c>
      <c r="U1697" t="n">
        <v>2488.43</v>
      </c>
      <c r="V1697" t="inlineStr">
        <is>
          <t>Other expences for mandatory Covid testing</t>
        </is>
      </c>
      <c r="W1697" t="inlineStr">
        <is>
          <t>Autres dépenses pour les tests Covid obligatoires</t>
        </is>
      </c>
      <c r="X1697" t="inlineStr">
        <is>
          <t>aafc-aac</t>
        </is>
      </c>
      <c r="Y1697" t="inlineStr">
        <is>
          <t>Agriculture and Agri-Food Canada | Agriculture et Agroalimentaire Canada</t>
        </is>
      </c>
    </row>
    <row r="1698">
      <c r="A1698" t="inlineStr">
        <is>
          <t>T-2021-P12-0003</t>
        </is>
      </c>
      <c r="B1698" t="inlineStr">
        <is>
          <t>MPSES</t>
        </is>
      </c>
      <c r="C1698" t="inlineStr">
        <is>
          <t>Driver</t>
        </is>
      </c>
      <c r="D1698" t="inlineStr">
        <is>
          <t>Chauffeur</t>
        </is>
      </c>
      <c r="E1698" t="inlineStr">
        <is>
          <t>Michel Gendreau</t>
        </is>
      </c>
      <c r="F1698" t="inlineStr">
        <is>
          <t>Drive the Minister from her riding to Ottawa then back to Sherbrooke</t>
        </is>
      </c>
      <c r="G1698" t="inlineStr">
        <is>
          <t>Conduire la Ministre de sa circonscription à Ottawa et de retour à Sherbrooke</t>
        </is>
      </c>
      <c r="H1698" s="1" t="n">
        <v>44621</v>
      </c>
      <c r="I1698" s="1" t="n">
        <v>44623</v>
      </c>
      <c r="J1698" t="inlineStr">
        <is>
          <t>Sherbrooke (Quebec) Canada</t>
        </is>
      </c>
      <c r="K1698" t="inlineStr">
        <is>
          <t>Sherbrooke (Québec) Canada</t>
        </is>
      </c>
      <c r="P1698" t="n">
        <v>0</v>
      </c>
      <c r="Q1698" t="n">
        <v>264.69</v>
      </c>
      <c r="R1698" t="n">
        <v>123.75</v>
      </c>
      <c r="S1698" t="n">
        <v>127.35</v>
      </c>
      <c r="T1698" t="n">
        <v>0</v>
      </c>
      <c r="U1698" t="n">
        <v>515.79</v>
      </c>
      <c r="X1698" t="inlineStr">
        <is>
          <t>aafc-aac</t>
        </is>
      </c>
      <c r="Y1698" t="inlineStr">
        <is>
          <t>Agriculture and Agri-Food Canada | Agriculture et Agroalimentaire Canada</t>
        </is>
      </c>
    </row>
    <row r="1699">
      <c r="A1699" t="inlineStr">
        <is>
          <t>T-2021-P12-0004</t>
        </is>
      </c>
      <c r="B1699" t="inlineStr">
        <is>
          <t>MPSES</t>
        </is>
      </c>
      <c r="C1699" t="inlineStr">
        <is>
          <t>Driver</t>
        </is>
      </c>
      <c r="D1699" t="inlineStr">
        <is>
          <t>Chauffeur</t>
        </is>
      </c>
      <c r="E1699" t="inlineStr">
        <is>
          <t>Michel Gendreau</t>
        </is>
      </c>
      <c r="F1699" t="inlineStr">
        <is>
          <t xml:space="preserve">Drive the Minister from her riding to Ottawa </t>
        </is>
      </c>
      <c r="G1699" t="inlineStr">
        <is>
          <t>Conduire la Ministre de sa circonscription à Ottawa</t>
        </is>
      </c>
      <c r="H1699" s="1" t="n">
        <v>44640</v>
      </c>
      <c r="I1699" s="1" t="n">
        <v>44641</v>
      </c>
      <c r="J1699" t="inlineStr">
        <is>
          <t>Sherbrooke (Quebec) Canada</t>
        </is>
      </c>
      <c r="K1699" t="inlineStr">
        <is>
          <t>Sherbrooke (Québec) Canada</t>
        </is>
      </c>
      <c r="P1699" t="n">
        <v>0</v>
      </c>
      <c r="Q1699" t="n">
        <v>6</v>
      </c>
      <c r="R1699" t="n">
        <v>121.38</v>
      </c>
      <c r="S1699" t="n">
        <v>74.34999999999999</v>
      </c>
      <c r="T1699" t="n">
        <v>0</v>
      </c>
      <c r="U1699" t="n">
        <v>201.73</v>
      </c>
      <c r="X1699" t="inlineStr">
        <is>
          <t>aafc-aac</t>
        </is>
      </c>
      <c r="Y1699" t="inlineStr">
        <is>
          <t>Agriculture and Agri-Food Canada | Agriculture et Agroalimentaire Canada</t>
        </is>
      </c>
    </row>
    <row r="1700">
      <c r="A1700" t="inlineStr">
        <is>
          <t>T-2021-P12-0005</t>
        </is>
      </c>
      <c r="B1700" t="inlineStr">
        <is>
          <t>MPSES</t>
        </is>
      </c>
      <c r="C1700" t="inlineStr">
        <is>
          <t>Director of Communications</t>
        </is>
      </c>
      <c r="D1700" t="inlineStr">
        <is>
          <t>Directeur des communications</t>
        </is>
      </c>
      <c r="E1700" t="inlineStr">
        <is>
          <t>Allison St-Jean</t>
        </is>
      </c>
      <c r="F1700" t="inlineStr">
        <is>
          <t>To accompany the Minister to meet with Secretary Tom Vilsack and United States Department of Agriculture officials.</t>
        </is>
      </c>
      <c r="G1700" t="inlineStr">
        <is>
          <t>Pour accompagner la Ministre pour rencontrer le secrétaire d'État Tom Vilsack et les responsables du ministère de l'Agriculture des États-Unis.</t>
        </is>
      </c>
      <c r="H1700" s="1" t="n">
        <v>44587</v>
      </c>
      <c r="I1700" s="1" t="n">
        <v>44589</v>
      </c>
      <c r="J1700" t="inlineStr">
        <is>
          <t>Washington (District of Columbia) United States of America</t>
        </is>
      </c>
      <c r="K1700" t="inlineStr">
        <is>
          <t>Washington (District de Columbia) États-Unis</t>
        </is>
      </c>
      <c r="P1700" t="n">
        <v>1059.67</v>
      </c>
      <c r="Q1700" t="n">
        <v>0</v>
      </c>
      <c r="R1700" t="n">
        <v>552.03</v>
      </c>
      <c r="S1700" t="n">
        <v>332.55</v>
      </c>
      <c r="T1700" t="n">
        <v>359.34</v>
      </c>
      <c r="U1700" t="n">
        <v>2303.59</v>
      </c>
      <c r="V1700" t="inlineStr">
        <is>
          <t>Other expences for mandatory Covid testing</t>
        </is>
      </c>
      <c r="W1700" t="inlineStr">
        <is>
          <t>Autres dépenses pour les tests Covid obligatoires</t>
        </is>
      </c>
      <c r="X1700" t="inlineStr">
        <is>
          <t>aafc-aac</t>
        </is>
      </c>
      <c r="Y1700" t="inlineStr">
        <is>
          <t>Agriculture and Agri-Food Canada | Agriculture et Agroalimentaire Canada</t>
        </is>
      </c>
    </row>
    <row r="1701">
      <c r="A1701" t="inlineStr">
        <is>
          <t>T-2021-P12-0006</t>
        </is>
      </c>
      <c r="B1701" t="inlineStr">
        <is>
          <t>SLE</t>
        </is>
      </c>
      <c r="C1701" t="inlineStr">
        <is>
          <t>Federal Co-Chair</t>
        </is>
      </c>
      <c r="D1701" t="inlineStr">
        <is>
          <t>Coprésident fédéral</t>
        </is>
      </c>
      <c r="E1701" t="inlineStr">
        <is>
          <t>Fred Gorrell</t>
        </is>
      </c>
      <c r="F1701" t="inlineStr">
        <is>
          <t>To accompany the Minister on an Outreach in Charlottetown</t>
        </is>
      </c>
      <c r="G1701" t="inlineStr">
        <is>
          <t>Pour accompagner la Ministre à une campagne de sensibilisation à Charlottetown</t>
        </is>
      </c>
      <c r="H1701" s="1" t="n">
        <v>44645</v>
      </c>
      <c r="I1701" s="1" t="n">
        <v>44647</v>
      </c>
      <c r="J1701" t="inlineStr">
        <is>
          <t>Charlottetown (Prince Edward Island) Canada</t>
        </is>
      </c>
      <c r="K1701" t="inlineStr">
        <is>
          <t>Charlottetown (Île-du-Prince-Édouard) Canada</t>
        </is>
      </c>
      <c r="P1701" t="n">
        <v>1134.66</v>
      </c>
      <c r="Q1701" t="n">
        <v>85.38</v>
      </c>
      <c r="R1701" t="n">
        <v>424.06</v>
      </c>
      <c r="S1701" t="n">
        <v>0</v>
      </c>
      <c r="T1701" t="n">
        <v>0</v>
      </c>
      <c r="U1701" t="n">
        <v>1644.1</v>
      </c>
      <c r="X1701" t="inlineStr">
        <is>
          <t>aafc-aac</t>
        </is>
      </c>
      <c r="Y1701" t="inlineStr">
        <is>
          <t>Agriculture and Agri-Food Canada | Agriculture et Agroalimentaire Canada</t>
        </is>
      </c>
    </row>
    <row r="1702">
      <c r="A1702" t="inlineStr">
        <is>
          <t>T-2021-P12-0007</t>
        </is>
      </c>
      <c r="B1702" t="inlineStr">
        <is>
          <t>SLE</t>
        </is>
      </c>
      <c r="C1702" t="inlineStr">
        <is>
          <t>Deputy Minister</t>
        </is>
      </c>
      <c r="D1702" t="inlineStr">
        <is>
          <t>Sous-ministre</t>
        </is>
      </c>
      <c r="E1702" t="inlineStr">
        <is>
          <t>Chris Forbes</t>
        </is>
      </c>
      <c r="F1702" t="inlineStr">
        <is>
          <t>Attend an Outreach in the Sumas Prairie Region</t>
        </is>
      </c>
      <c r="G1702" t="inlineStr">
        <is>
          <t>Assister à une campagne de sensibilisation dans la région de Sumas Prairie</t>
        </is>
      </c>
      <c r="H1702" s="1" t="n">
        <v>44630</v>
      </c>
      <c r="I1702" s="1" t="n">
        <v>44631</v>
      </c>
      <c r="J1702" t="inlineStr">
        <is>
          <t>Vancouver (British Columbia) Canada</t>
        </is>
      </c>
      <c r="K1702" t="inlineStr">
        <is>
          <t>Vancouver (Colombie Britannique) Canada</t>
        </is>
      </c>
      <c r="P1702" t="n">
        <v>0</v>
      </c>
      <c r="Q1702" t="n">
        <v>35.43</v>
      </c>
      <c r="R1702" t="n">
        <v>201.25</v>
      </c>
      <c r="S1702" t="n">
        <v>166.25</v>
      </c>
      <c r="T1702" t="n">
        <v>0</v>
      </c>
      <c r="U1702" t="n">
        <v>402.93</v>
      </c>
      <c r="X1702" t="inlineStr">
        <is>
          <t>aafc-aac</t>
        </is>
      </c>
      <c r="Y1702" t="inlineStr">
        <is>
          <t>Agriculture and Agri-Food Canada | Agriculture et Agroalimentaire Canada</t>
        </is>
      </c>
    </row>
    <row r="1703">
      <c r="A1703" t="inlineStr">
        <is>
          <t>T-2021-P12-0008</t>
        </is>
      </c>
      <c r="B1703" t="inlineStr">
        <is>
          <t>SLE</t>
        </is>
      </c>
      <c r="C1703" t="inlineStr">
        <is>
          <t>Associate Deputy Minister</t>
        </is>
      </c>
      <c r="D1703" t="inlineStr">
        <is>
          <t>Sous-ministre délégué</t>
        </is>
      </c>
      <c r="E1703" t="inlineStr">
        <is>
          <t>Paul Samson</t>
        </is>
      </c>
      <c r="F1703" t="inlineStr">
        <is>
          <t>To attend an in-person meeting with the Minister</t>
        </is>
      </c>
      <c r="G1703" t="inlineStr">
        <is>
          <t>Pour assister à une réunion en personne avec la Ministre</t>
        </is>
      </c>
      <c r="H1703" s="1" t="n">
        <v>44630</v>
      </c>
      <c r="I1703" s="1" t="n">
        <v>44630</v>
      </c>
      <c r="J1703" t="inlineStr">
        <is>
          <t>Ottawa (Ontario) Canada</t>
        </is>
      </c>
      <c r="K1703" t="inlineStr">
        <is>
          <t>Ottawa (Ontario) Canada</t>
        </is>
      </c>
      <c r="P1703" t="n">
        <v>0</v>
      </c>
      <c r="Q1703" t="n">
        <v>25.75</v>
      </c>
      <c r="R1703" t="n">
        <v>0</v>
      </c>
      <c r="S1703" t="n">
        <v>0</v>
      </c>
      <c r="T1703" t="n">
        <v>0</v>
      </c>
      <c r="U1703" t="n">
        <v>25.75</v>
      </c>
      <c r="X1703" t="inlineStr">
        <is>
          <t>aafc-aac</t>
        </is>
      </c>
      <c r="Y1703" t="inlineStr">
        <is>
          <t>Agriculture and Agri-Food Canada | Agriculture et Agroalimentaire Canada</t>
        </is>
      </c>
    </row>
    <row r="1704">
      <c r="A1704" t="inlineStr">
        <is>
          <t>T-2021-P12-0009</t>
        </is>
      </c>
      <c r="B1704" t="inlineStr">
        <is>
          <t>SLE</t>
        </is>
      </c>
      <c r="C1704" t="inlineStr">
        <is>
          <t>Associate Deputy Minister</t>
        </is>
      </c>
      <c r="D1704" t="inlineStr">
        <is>
          <t>Sous-ministre délégué</t>
        </is>
      </c>
      <c r="E1704" t="inlineStr">
        <is>
          <t>Paul Samson</t>
        </is>
      </c>
      <c r="F1704" t="inlineStr">
        <is>
          <t>To retrieve his Parliamentary Pass and to attend an in-person meeting with the Minister</t>
        </is>
      </c>
      <c r="G1704" t="inlineStr">
        <is>
          <t>Pour récupérer sa passe parlementaire et assister à une réunion en personne avec la Ministre</t>
        </is>
      </c>
      <c r="H1704" s="1" t="n">
        <v>44642</v>
      </c>
      <c r="I1704" s="1" t="n">
        <v>44642</v>
      </c>
      <c r="J1704" t="inlineStr">
        <is>
          <t>Ottawa (Ontario) Canada</t>
        </is>
      </c>
      <c r="K1704" t="inlineStr">
        <is>
          <t>Ottawa (Ontario) Canada</t>
        </is>
      </c>
      <c r="P1704" t="n">
        <v>0</v>
      </c>
      <c r="Q1704" t="n">
        <v>12.5</v>
      </c>
      <c r="R1704" t="n">
        <v>0</v>
      </c>
      <c r="S1704" t="n">
        <v>0</v>
      </c>
      <c r="T1704" t="n">
        <v>0</v>
      </c>
      <c r="U1704" t="n">
        <v>12.5</v>
      </c>
      <c r="X1704" t="inlineStr">
        <is>
          <t>aafc-aac</t>
        </is>
      </c>
      <c r="Y1704" t="inlineStr">
        <is>
          <t>Agriculture and Agri-Food Canada | Agriculture et Agroalimentaire Canada</t>
        </is>
      </c>
    </row>
    <row r="1705">
      <c r="A1705" t="inlineStr">
        <is>
          <t>T-2021-P12-0010</t>
        </is>
      </c>
      <c r="B1705" t="inlineStr">
        <is>
          <t>SLE</t>
        </is>
      </c>
      <c r="C1705" t="inlineStr">
        <is>
          <t>Assistant Deputy Minister, Corporate Management Branch</t>
        </is>
      </c>
      <c r="D1705" t="inlineStr">
        <is>
          <t>Sous-ministre adjointe, Direction générale de la gestion intégrée</t>
        </is>
      </c>
      <c r="E1705" t="inlineStr">
        <is>
          <t>Marie-Claude Guérard</t>
        </is>
      </c>
      <c r="F1705" t="inlineStr">
        <is>
          <t>Site visit to Sainte-Foy Research Center and in-person bilat with Director General Crista-Lynn Ferguson.</t>
        </is>
      </c>
      <c r="G1705" t="inlineStr">
        <is>
          <t>Visite du scentre de recherche de Sainte-Foy ainsi que balt en personne avec la Directrice General Crista-Lynn Ferguson.</t>
        </is>
      </c>
      <c r="H1705" s="1" t="n">
        <v>44539</v>
      </c>
      <c r="I1705" s="1" t="n">
        <v>44540</v>
      </c>
      <c r="J1705" t="inlineStr">
        <is>
          <t>Sainte-Foy (Quebec) Canada</t>
        </is>
      </c>
      <c r="K1705" t="inlineStr">
        <is>
          <t>Sainte-Foy (Quebec) Canada</t>
        </is>
      </c>
      <c r="P1705" t="n">
        <v>0</v>
      </c>
      <c r="Q1705" t="n">
        <v>337.33</v>
      </c>
      <c r="R1705" t="n">
        <v>189.22</v>
      </c>
      <c r="S1705" t="n">
        <v>60.25</v>
      </c>
      <c r="T1705" t="n">
        <v>0</v>
      </c>
      <c r="U1705" t="n">
        <v>586.8</v>
      </c>
      <c r="X1705" t="inlineStr">
        <is>
          <t>aafc-aac</t>
        </is>
      </c>
      <c r="Y1705" t="inlineStr">
        <is>
          <t>Agriculture and Agri-Food Canada | Agriculture et Agroalimentaire Canada</t>
        </is>
      </c>
    </row>
    <row r="1706">
      <c r="A1706" t="inlineStr">
        <is>
          <t>T-2021-P12-0011</t>
        </is>
      </c>
      <c r="B1706" t="inlineStr">
        <is>
          <t>SLE</t>
        </is>
      </c>
      <c r="C1706" t="inlineStr">
        <is>
          <t>Assistant Deputy Minister, Corporate Management Branch</t>
        </is>
      </c>
      <c r="D1706" t="inlineStr">
        <is>
          <t>Sous-ministre adjointe, Direction générale de la gestion intégrée</t>
        </is>
      </c>
      <c r="E1706" t="inlineStr">
        <is>
          <t>Marie-Claude Guérard</t>
        </is>
      </c>
      <c r="F1706" t="inlineStr">
        <is>
          <t>In-person bilateral with the Deputy Minister and in-person preparation meeting for Public Accounts Appearance.</t>
        </is>
      </c>
      <c r="G1706" t="inlineStr">
        <is>
          <t>Bilatérale en personne avec le Député Ministre ainsi qu'une réunion en personne de préparation  pour la présentation pour les Affaires Publiques.</t>
        </is>
      </c>
      <c r="H1706" s="1" t="n">
        <v>44620</v>
      </c>
      <c r="I1706" s="1" t="n">
        <v>44622</v>
      </c>
      <c r="J1706" t="inlineStr">
        <is>
          <t>Ottawa (Ontario) Canada</t>
        </is>
      </c>
      <c r="K1706" t="inlineStr">
        <is>
          <t>Ottawa (Ontario) Canada</t>
        </is>
      </c>
      <c r="P1706" t="n">
        <v>0</v>
      </c>
      <c r="Q1706" t="n">
        <v>79.09999999999999</v>
      </c>
      <c r="R1706" t="n">
        <v>514.74</v>
      </c>
      <c r="S1706" t="n">
        <v>190.8</v>
      </c>
      <c r="T1706" t="n">
        <v>9.039999999999999</v>
      </c>
      <c r="U1706" t="n">
        <v>793.6799999999999</v>
      </c>
      <c r="X1706" t="inlineStr">
        <is>
          <t>aafc-aac</t>
        </is>
      </c>
      <c r="Y1706" t="inlineStr">
        <is>
          <t>Agriculture and Agri-Food Canada | Agriculture et Agroalimentaire Canada</t>
        </is>
      </c>
    </row>
    <row r="1707">
      <c r="A1707" t="inlineStr">
        <is>
          <t>T-2022-P3-0001</t>
        </is>
      </c>
      <c r="B1707" t="inlineStr">
        <is>
          <t>MPSES</t>
        </is>
      </c>
      <c r="C1707" t="inlineStr">
        <is>
          <t>Minister</t>
        </is>
      </c>
      <c r="D1707" t="inlineStr">
        <is>
          <t>Ministre</t>
        </is>
      </c>
      <c r="E1707" t="inlineStr">
        <is>
          <t>Marie-Claude Bibeau</t>
        </is>
      </c>
      <c r="F1707" t="inlineStr">
        <is>
          <t>To attend the G7 summit in Germany</t>
        </is>
      </c>
      <c r="G1707" t="inlineStr">
        <is>
          <t>Pour assister au sommet du G7 en Allemagne</t>
        </is>
      </c>
      <c r="H1707" s="1" t="n">
        <v>44692</v>
      </c>
      <c r="I1707" s="1" t="n">
        <v>44696</v>
      </c>
      <c r="J1707" t="inlineStr">
        <is>
          <t>Stuttgart, Germany</t>
        </is>
      </c>
      <c r="K1707" t="inlineStr">
        <is>
          <t>Stuttgart, Allemagne</t>
        </is>
      </c>
      <c r="P1707" t="n">
        <v>13401.75</v>
      </c>
      <c r="Q1707" t="n">
        <v>0</v>
      </c>
      <c r="R1707" t="n">
        <v>269.3</v>
      </c>
      <c r="S1707" t="n">
        <v>199.01</v>
      </c>
      <c r="T1707" t="n">
        <v>0</v>
      </c>
      <c r="U1707" t="n">
        <v>13870.06</v>
      </c>
      <c r="V1707" t="inlineStr">
        <is>
          <t>No Conference Fees</t>
        </is>
      </c>
      <c r="W1707" t="inlineStr">
        <is>
          <t>Pas de frais de conférence</t>
        </is>
      </c>
      <c r="X1707" t="inlineStr">
        <is>
          <t>aafc-aac</t>
        </is>
      </c>
      <c r="Y1707" t="inlineStr">
        <is>
          <t>Agriculture and Agri-Food Canada | Agriculture et Agroalimentaire Canada</t>
        </is>
      </c>
    </row>
    <row r="1708">
      <c r="A1708" t="inlineStr">
        <is>
          <t>T-2022-P3-0002</t>
        </is>
      </c>
      <c r="B1708" t="inlineStr">
        <is>
          <t>MPSES</t>
        </is>
      </c>
      <c r="C1708" t="inlineStr">
        <is>
          <t>Minister</t>
        </is>
      </c>
      <c r="D1708" t="inlineStr">
        <is>
          <t>Ministre</t>
        </is>
      </c>
      <c r="E1708" t="inlineStr">
        <is>
          <t>Marie-Claude Bibeau</t>
        </is>
      </c>
      <c r="F1708" t="inlineStr">
        <is>
          <t>To meet with the Chief Executive Officer of BHP and make an announcement</t>
        </is>
      </c>
      <c r="G1708" t="inlineStr">
        <is>
          <t>Pour recontrer le directeur général de BHP et faire une annonce</t>
        </is>
      </c>
      <c r="H1708" s="1" t="n">
        <v>44723</v>
      </c>
      <c r="I1708" s="1" t="n">
        <v>44725</v>
      </c>
      <c r="J1708" t="inlineStr">
        <is>
          <t>Saskatoon (Saskatchewan) Canada</t>
        </is>
      </c>
      <c r="K1708" t="inlineStr">
        <is>
          <t>Saskatoon (Saskatchewan) Canada</t>
        </is>
      </c>
      <c r="P1708" t="n">
        <v>2808.02</v>
      </c>
      <c r="Q1708" t="n">
        <v>0</v>
      </c>
      <c r="R1708" t="n">
        <v>193.22</v>
      </c>
      <c r="S1708" t="n">
        <v>98.7</v>
      </c>
      <c r="T1708" t="n">
        <v>0</v>
      </c>
      <c r="U1708" t="n">
        <v>3099.94</v>
      </c>
      <c r="V1708" t="inlineStr">
        <is>
          <t>No Conference Fees</t>
        </is>
      </c>
      <c r="W1708" t="inlineStr">
        <is>
          <t>Pas de frais de conférence</t>
        </is>
      </c>
      <c r="X1708" t="inlineStr">
        <is>
          <t>aafc-aac</t>
        </is>
      </c>
      <c r="Y1708" t="inlineStr">
        <is>
          <t>Agriculture and Agri-Food Canada | Agriculture et Agroalimentaire Canada</t>
        </is>
      </c>
    </row>
    <row r="1709">
      <c r="A1709" t="inlineStr">
        <is>
          <t>T-2022-P3-0003</t>
        </is>
      </c>
      <c r="B1709" t="inlineStr">
        <is>
          <t>MPSES</t>
        </is>
      </c>
      <c r="C1709" t="inlineStr">
        <is>
          <t>Senior Advisor</t>
        </is>
      </c>
      <c r="D1709" t="inlineStr">
        <is>
          <t xml:space="preserve">Conseiller principal </t>
        </is>
      </c>
      <c r="E1709" t="inlineStr">
        <is>
          <t xml:space="preserve">Abed Harb </t>
        </is>
      </c>
      <c r="F1709" t="inlineStr">
        <is>
          <t>To accompany the Minister on a Western Outreach</t>
        </is>
      </c>
      <c r="G1709" t="inlineStr">
        <is>
          <t>Pour accompagner la ministre pour une campagne de sensibilisation dans les provinces de l'ouest</t>
        </is>
      </c>
      <c r="H1709" s="1" t="n">
        <v>44704</v>
      </c>
      <c r="I1709" s="1" t="n">
        <v>44707</v>
      </c>
      <c r="J1709" t="inlineStr">
        <is>
          <t>Vancouver (British Columbia) Canada; Regina (Saskatchewan) Canada</t>
        </is>
      </c>
      <c r="K1709" t="inlineStr">
        <is>
          <t>Vancouver (Colombie-Britannique) Canada; Régina (Saskatchewan) Canada</t>
        </is>
      </c>
      <c r="P1709" t="n">
        <v>1549.6</v>
      </c>
      <c r="Q1709" t="n">
        <v>57.31</v>
      </c>
      <c r="R1709" t="n">
        <v>593.21</v>
      </c>
      <c r="S1709" t="n">
        <v>240.95</v>
      </c>
      <c r="T1709" t="n">
        <v>0</v>
      </c>
      <c r="U1709" t="n">
        <v>2441.07</v>
      </c>
      <c r="V1709" t="inlineStr">
        <is>
          <t>No conference fee</t>
        </is>
      </c>
      <c r="W1709" t="inlineStr">
        <is>
          <t>Pas de frais d'enregistrement</t>
        </is>
      </c>
      <c r="X1709" t="inlineStr">
        <is>
          <t>aafc-aac</t>
        </is>
      </c>
      <c r="Y1709" t="inlineStr">
        <is>
          <t>Agriculture and Agri-Food Canada | Agriculture et Agroalimentaire Canada</t>
        </is>
      </c>
    </row>
    <row r="1710">
      <c r="A1710" t="inlineStr">
        <is>
          <t>T-2022-P3-0004</t>
        </is>
      </c>
      <c r="B1710" t="inlineStr">
        <is>
          <t>MPSES</t>
        </is>
      </c>
      <c r="C1710" t="inlineStr">
        <is>
          <t>Senior Advisor</t>
        </is>
      </c>
      <c r="D1710" t="inlineStr">
        <is>
          <t xml:space="preserve">Conseiller principal </t>
        </is>
      </c>
      <c r="E1710" t="inlineStr">
        <is>
          <t xml:space="preserve">Abed Harb </t>
        </is>
      </c>
      <c r="F1710" t="inlineStr">
        <is>
          <t>To meet with the Chief Executive Officer of BHP and make an announcement</t>
        </is>
      </c>
      <c r="G1710" t="inlineStr">
        <is>
          <t>Pour rencontrer le directeur général de BHP et faire une annonce</t>
        </is>
      </c>
      <c r="H1710" s="1" t="n">
        <v>44724</v>
      </c>
      <c r="I1710" s="1" t="n">
        <v>44725</v>
      </c>
      <c r="J1710" t="inlineStr">
        <is>
          <t>Saskatoon (Saskatchewan) Canada</t>
        </is>
      </c>
      <c r="K1710" t="inlineStr">
        <is>
          <t>Saskatoon (Saskatchewan) Canada</t>
        </is>
      </c>
      <c r="P1710" t="n">
        <v>866.3</v>
      </c>
      <c r="Q1710" t="n">
        <v>25.3</v>
      </c>
      <c r="R1710" t="n">
        <v>181.78</v>
      </c>
      <c r="S1710" t="n">
        <v>98.45</v>
      </c>
      <c r="T1710" t="n">
        <v>0</v>
      </c>
      <c r="U1710" t="n">
        <v>1171.83</v>
      </c>
      <c r="V1710" t="inlineStr">
        <is>
          <t>No conference fee</t>
        </is>
      </c>
      <c r="W1710" t="inlineStr">
        <is>
          <t>Pas de frais d'enregistrement</t>
        </is>
      </c>
      <c r="X1710" t="inlineStr">
        <is>
          <t>aafc-aac</t>
        </is>
      </c>
      <c r="Y1710" t="inlineStr">
        <is>
          <t>Agriculture and Agri-Food Canada | Agriculture et Agroalimentaire Canada</t>
        </is>
      </c>
    </row>
    <row r="1711">
      <c r="A1711" t="inlineStr">
        <is>
          <t>T-2022-P3-0005</t>
        </is>
      </c>
      <c r="B1711" t="inlineStr">
        <is>
          <t>MPSES</t>
        </is>
      </c>
      <c r="C1711" t="inlineStr">
        <is>
          <t>Press Secretary</t>
        </is>
      </c>
      <c r="D1711" t="inlineStr">
        <is>
          <t>Attachée de presse</t>
        </is>
      </c>
      <c r="E1711" t="inlineStr">
        <is>
          <t>Marianne Dandurand</t>
        </is>
      </c>
      <c r="F1711" t="inlineStr">
        <is>
          <t>To accompany the Minister to Ferme Roflamme for a visit and announcement</t>
        </is>
      </c>
      <c r="G1711" t="inlineStr">
        <is>
          <t>Pour accompagner la ministre à la Ferme Roflamme pour une visite et faire une annonce</t>
        </is>
      </c>
      <c r="H1711" s="1" t="n">
        <v>44652</v>
      </c>
      <c r="I1711" s="1" t="n">
        <v>44652</v>
      </c>
      <c r="J1711" t="inlineStr">
        <is>
          <t>Saint-Hyacinthe (Quebec) Canada</t>
        </is>
      </c>
      <c r="K1711" t="inlineStr">
        <is>
          <t>Saint-Hyacinthe (Québec) Canada</t>
        </is>
      </c>
      <c r="P1711" t="n">
        <v>0</v>
      </c>
      <c r="Q1711" t="n">
        <v>0</v>
      </c>
      <c r="R1711" t="n">
        <v>0</v>
      </c>
      <c r="S1711" t="n">
        <v>22.15</v>
      </c>
      <c r="T1711" t="n">
        <v>0</v>
      </c>
      <c r="U1711" t="n">
        <v>22.15</v>
      </c>
      <c r="V1711" t="inlineStr">
        <is>
          <t>No Conference Fees</t>
        </is>
      </c>
      <c r="W1711" t="inlineStr">
        <is>
          <t>Pas de frais de conférence</t>
        </is>
      </c>
      <c r="X1711" t="inlineStr">
        <is>
          <t>aafc-aac</t>
        </is>
      </c>
      <c r="Y1711" t="inlineStr">
        <is>
          <t>Agriculture and Agri-Food Canada | Agriculture et Agroalimentaire Canada</t>
        </is>
      </c>
    </row>
    <row r="1712">
      <c r="A1712" t="inlineStr">
        <is>
          <t>T-2022-P3-0006</t>
        </is>
      </c>
      <c r="B1712" t="inlineStr">
        <is>
          <t>MPSES</t>
        </is>
      </c>
      <c r="C1712" t="inlineStr">
        <is>
          <t>Press Secretary</t>
        </is>
      </c>
      <c r="D1712" t="inlineStr">
        <is>
          <t>Attachée de presse</t>
        </is>
      </c>
      <c r="E1712" t="inlineStr">
        <is>
          <t>Marianne Dandurand</t>
        </is>
      </c>
      <c r="F1712" t="inlineStr">
        <is>
          <t>To accompany the Minister to the Producteurs de lait du Québec's Annual General Meeting</t>
        </is>
      </c>
      <c r="G1712" t="inlineStr">
        <is>
          <t>Pour accompagner la ministre à l'Assemblée générale annuelle des Producteurs de lait du Québec</t>
        </is>
      </c>
      <c r="H1712" s="1" t="n">
        <v>44665</v>
      </c>
      <c r="I1712" s="1" t="n">
        <v>44665</v>
      </c>
      <c r="J1712" t="inlineStr">
        <is>
          <t>Saint-Hyacinthe (Quebec) Canada</t>
        </is>
      </c>
      <c r="K1712" t="inlineStr">
        <is>
          <t>Saint-Hyacinthe (Québec) Canada</t>
        </is>
      </c>
      <c r="P1712" t="n">
        <v>0</v>
      </c>
      <c r="Q1712" t="n">
        <v>0</v>
      </c>
      <c r="R1712" t="n">
        <v>0</v>
      </c>
      <c r="S1712" t="n">
        <v>22.15</v>
      </c>
      <c r="T1712" t="n">
        <v>0</v>
      </c>
      <c r="U1712" t="n">
        <v>22.15</v>
      </c>
      <c r="V1712" t="inlineStr">
        <is>
          <t>No Conference Fees</t>
        </is>
      </c>
      <c r="W1712" t="inlineStr">
        <is>
          <t>Pas de frais de conférence</t>
        </is>
      </c>
      <c r="X1712" t="inlineStr">
        <is>
          <t>aafc-aac</t>
        </is>
      </c>
      <c r="Y1712" t="inlineStr">
        <is>
          <t>Agriculture and Agri-Food Canada | Agriculture et Agroalimentaire Canada</t>
        </is>
      </c>
    </row>
    <row r="1713">
      <c r="A1713" t="inlineStr">
        <is>
          <t>T-2022-P3-0007</t>
        </is>
      </c>
      <c r="B1713" t="inlineStr">
        <is>
          <t>MPSES</t>
        </is>
      </c>
      <c r="C1713" t="inlineStr">
        <is>
          <t>Press Secretary</t>
        </is>
      </c>
      <c r="D1713" t="inlineStr">
        <is>
          <t>Attachée de presse</t>
        </is>
      </c>
      <c r="E1713" t="inlineStr">
        <is>
          <t>Marianne Dandurand</t>
        </is>
      </c>
      <c r="F1713" t="inlineStr">
        <is>
          <t>To accompany the Minister to the Ormstown Fair</t>
        </is>
      </c>
      <c r="G1713" t="inlineStr">
        <is>
          <t>Pour accompagner la ministre à l'expo Ormstown</t>
        </is>
      </c>
      <c r="H1713" s="1" t="n">
        <v>44722</v>
      </c>
      <c r="I1713" s="1" t="n">
        <v>44722</v>
      </c>
      <c r="J1713" t="inlineStr">
        <is>
          <t>Ormstown (Quebec) Canada</t>
        </is>
      </c>
      <c r="K1713" t="inlineStr">
        <is>
          <t>Ormstown (Québec) Canada</t>
        </is>
      </c>
      <c r="P1713" t="n">
        <v>0</v>
      </c>
      <c r="Q1713" t="n">
        <v>0</v>
      </c>
      <c r="R1713" t="n">
        <v>0</v>
      </c>
      <c r="S1713" t="n">
        <v>22.15</v>
      </c>
      <c r="T1713" t="n">
        <v>0</v>
      </c>
      <c r="U1713" t="n">
        <v>22.15</v>
      </c>
      <c r="V1713" t="inlineStr">
        <is>
          <t>No Conference Fees</t>
        </is>
      </c>
      <c r="W1713" t="inlineStr">
        <is>
          <t>Pas de frais de conférence</t>
        </is>
      </c>
      <c r="X1713" t="inlineStr">
        <is>
          <t>aafc-aac</t>
        </is>
      </c>
      <c r="Y1713" t="inlineStr">
        <is>
          <t>Agriculture and Agri-Food Canada | Agriculture et Agroalimentaire Canada</t>
        </is>
      </c>
    </row>
    <row r="1714">
      <c r="A1714" t="inlineStr">
        <is>
          <t>T-2022-P3-0008</t>
        </is>
      </c>
      <c r="B1714" t="inlineStr">
        <is>
          <t>MPSES</t>
        </is>
      </c>
      <c r="C1714" t="inlineStr">
        <is>
          <t>Press Secretary</t>
        </is>
      </c>
      <c r="D1714" t="inlineStr">
        <is>
          <t>Attachée de presse</t>
        </is>
      </c>
      <c r="E1714" t="inlineStr">
        <is>
          <t>Marianne Dandurand</t>
        </is>
      </c>
      <c r="F1714" t="inlineStr">
        <is>
          <t>To meet with the Chief Executive Officer of BHP and make an announcement</t>
        </is>
      </c>
      <c r="G1714" t="inlineStr">
        <is>
          <t>Pour rencontrer le directeur général de BHP et faire une annonce</t>
        </is>
      </c>
      <c r="H1714" s="1" t="n">
        <v>44723</v>
      </c>
      <c r="I1714" s="1" t="n">
        <v>44725</v>
      </c>
      <c r="J1714" t="inlineStr">
        <is>
          <t>Saskatoon (Saskatchewan) Canada</t>
        </is>
      </c>
      <c r="K1714" t="inlineStr">
        <is>
          <t>Saskatoon (Saskatchewan) Canada</t>
        </is>
      </c>
      <c r="P1714" t="n">
        <v>1788.19</v>
      </c>
      <c r="Q1714" t="n">
        <v>153.34</v>
      </c>
      <c r="R1714" t="n">
        <v>363.56</v>
      </c>
      <c r="S1714" t="n">
        <v>295.35</v>
      </c>
      <c r="T1714" t="n">
        <v>0</v>
      </c>
      <c r="U1714" t="n">
        <v>2600.44</v>
      </c>
      <c r="V1714" t="inlineStr">
        <is>
          <t>No Conference Fees</t>
        </is>
      </c>
      <c r="W1714" t="inlineStr">
        <is>
          <t>Pas de frais de conférence</t>
        </is>
      </c>
      <c r="X1714" t="inlineStr">
        <is>
          <t>aafc-aac</t>
        </is>
      </c>
      <c r="Y1714" t="inlineStr">
        <is>
          <t>Agriculture and Agri-Food Canada | Agriculture et Agroalimentaire Canada</t>
        </is>
      </c>
    </row>
    <row r="1715">
      <c r="A1715" t="inlineStr">
        <is>
          <t>T-2022-P3-0009</t>
        </is>
      </c>
      <c r="B1715" t="inlineStr">
        <is>
          <t>MPSES</t>
        </is>
      </c>
      <c r="C1715" t="inlineStr">
        <is>
          <t>Director of Policy</t>
        </is>
      </c>
      <c r="D1715" t="inlineStr">
        <is>
          <t>Directeur des politiques</t>
        </is>
      </c>
      <c r="E1715" t="inlineStr">
        <is>
          <t>Jérémy Gauthier</t>
        </is>
      </c>
      <c r="F1715" t="inlineStr">
        <is>
          <t>To accompany the Minister to the G7 summit in Germany</t>
        </is>
      </c>
      <c r="G1715" t="inlineStr">
        <is>
          <t>Pour accompagner la ministre au sommet du G7 en Allemagne</t>
        </is>
      </c>
      <c r="H1715" s="1" t="n">
        <v>44692</v>
      </c>
      <c r="I1715" s="1" t="n">
        <v>44696</v>
      </c>
      <c r="J1715" t="inlineStr">
        <is>
          <t>Stuttgart, Germany</t>
        </is>
      </c>
      <c r="K1715" t="inlineStr">
        <is>
          <t>Stuttgart, Allemagne</t>
        </is>
      </c>
      <c r="P1715" t="n">
        <v>4706.36</v>
      </c>
      <c r="Q1715" t="n">
        <v>46.1</v>
      </c>
      <c r="R1715" t="n">
        <v>673.25</v>
      </c>
      <c r="S1715" t="n">
        <v>199.01</v>
      </c>
      <c r="T1715" t="n">
        <v>0</v>
      </c>
      <c r="U1715" t="n">
        <v>5624.72</v>
      </c>
      <c r="V1715" t="inlineStr">
        <is>
          <t>No Conference Fees</t>
        </is>
      </c>
      <c r="W1715" t="inlineStr">
        <is>
          <t>Pas de frais de conférence</t>
        </is>
      </c>
      <c r="X1715" t="inlineStr">
        <is>
          <t>aafc-aac</t>
        </is>
      </c>
      <c r="Y1715" t="inlineStr">
        <is>
          <t>Agriculture and Agri-Food Canada | Agriculture et Agroalimentaire Canada</t>
        </is>
      </c>
    </row>
    <row r="1716">
      <c r="A1716" t="inlineStr">
        <is>
          <t>T-2022-P3-0010</t>
        </is>
      </c>
      <c r="B1716" t="inlineStr">
        <is>
          <t>MPSES</t>
        </is>
      </c>
      <c r="C1716" t="inlineStr">
        <is>
          <t>Driver</t>
        </is>
      </c>
      <c r="D1716" t="inlineStr">
        <is>
          <t>Chauffeur</t>
        </is>
      </c>
      <c r="E1716" t="inlineStr">
        <is>
          <t>Michel Gendreau</t>
        </is>
      </c>
      <c r="F1716" t="inlineStr">
        <is>
          <t>Drive the Minister from Ottawa back to her riding</t>
        </is>
      </c>
      <c r="G1716" t="inlineStr">
        <is>
          <t>Conduire la Ministre d'Ottawa à sa circonscription</t>
        </is>
      </c>
      <c r="H1716" s="1" t="n">
        <v>44686</v>
      </c>
      <c r="I1716" s="1" t="n">
        <v>44686</v>
      </c>
      <c r="J1716" t="inlineStr">
        <is>
          <t>Sherbrooke (Quebec) Canada</t>
        </is>
      </c>
      <c r="K1716" t="inlineStr">
        <is>
          <t>Sherbrooke (Québec) Canada</t>
        </is>
      </c>
      <c r="P1716" t="n">
        <v>0</v>
      </c>
      <c r="Q1716" t="n">
        <v>6</v>
      </c>
      <c r="R1716" t="n">
        <v>0</v>
      </c>
      <c r="S1716" t="n">
        <v>54.4</v>
      </c>
      <c r="T1716" t="n">
        <v>0</v>
      </c>
      <c r="U1716" t="n">
        <v>60.4</v>
      </c>
      <c r="V1716" t="inlineStr">
        <is>
          <t>No conference fee</t>
        </is>
      </c>
      <c r="W1716" t="inlineStr">
        <is>
          <t>Pas de frais d'enregistrement</t>
        </is>
      </c>
      <c r="X1716" t="inlineStr">
        <is>
          <t>aafc-aac</t>
        </is>
      </c>
      <c r="Y1716" t="inlineStr">
        <is>
          <t>Agriculture and Agri-Food Canada | Agriculture et Agroalimentaire Canada</t>
        </is>
      </c>
    </row>
    <row r="1717">
      <c r="A1717" t="inlineStr">
        <is>
          <t>T-2022-P3-0011</t>
        </is>
      </c>
      <c r="B1717" t="inlineStr">
        <is>
          <t>MPSES</t>
        </is>
      </c>
      <c r="C1717" t="inlineStr">
        <is>
          <t>Driver</t>
        </is>
      </c>
      <c r="D1717" t="inlineStr">
        <is>
          <t>Chauffeur</t>
        </is>
      </c>
      <c r="E1717" t="inlineStr">
        <is>
          <t>Michel Gendreau</t>
        </is>
      </c>
      <c r="F1717" t="inlineStr">
        <is>
          <t xml:space="preserve">Drive the Minister from her riding to Ottawa </t>
        </is>
      </c>
      <c r="G1717" t="inlineStr">
        <is>
          <t>Conduire la Ministre de sa circonscription à Ottawa</t>
        </is>
      </c>
      <c r="H1717" s="1" t="n">
        <v>44689</v>
      </c>
      <c r="I1717" s="1" t="n">
        <v>44690</v>
      </c>
      <c r="J1717" t="inlineStr">
        <is>
          <t>Sherbrooke (Quebec) Canada</t>
        </is>
      </c>
      <c r="K1717" t="inlineStr">
        <is>
          <t>Sherbrooke (Québec) Canada</t>
        </is>
      </c>
      <c r="P1717" t="n">
        <v>0</v>
      </c>
      <c r="Q1717" t="n">
        <v>6</v>
      </c>
      <c r="R1717" t="n">
        <v>121.38</v>
      </c>
      <c r="S1717" t="n">
        <v>76.3</v>
      </c>
      <c r="T1717" t="n">
        <v>0</v>
      </c>
      <c r="U1717" t="n">
        <v>203.68</v>
      </c>
      <c r="V1717" t="inlineStr">
        <is>
          <t>No conference fee</t>
        </is>
      </c>
      <c r="W1717" t="inlineStr">
        <is>
          <t>Pas de frais d'enregistrement</t>
        </is>
      </c>
      <c r="X1717" t="inlineStr">
        <is>
          <t>aafc-aac</t>
        </is>
      </c>
      <c r="Y1717" t="inlineStr">
        <is>
          <t>Agriculture and Agri-Food Canada | Agriculture et Agroalimentaire Canada</t>
        </is>
      </c>
    </row>
    <row r="1718">
      <c r="A1718" t="inlineStr">
        <is>
          <t>T-2022-P3-0012</t>
        </is>
      </c>
      <c r="B1718" t="inlineStr">
        <is>
          <t>MPSES</t>
        </is>
      </c>
      <c r="C1718" t="inlineStr">
        <is>
          <t>Driver</t>
        </is>
      </c>
      <c r="D1718" t="inlineStr">
        <is>
          <t>Chauffeur</t>
        </is>
      </c>
      <c r="E1718" t="inlineStr">
        <is>
          <t>Michel Gendreau</t>
        </is>
      </c>
      <c r="F1718" t="inlineStr">
        <is>
          <t>Drive the Minister from Ottawa back to her riding</t>
        </is>
      </c>
      <c r="G1718" t="inlineStr">
        <is>
          <t>Conduire la Ministre d'Ottawa à sa circonscription</t>
        </is>
      </c>
      <c r="H1718" s="1" t="n">
        <v>44701</v>
      </c>
      <c r="I1718" s="1" t="n">
        <v>44701</v>
      </c>
      <c r="J1718" t="inlineStr">
        <is>
          <t>Sherbrooke (Quebec) Canada</t>
        </is>
      </c>
      <c r="K1718" t="inlineStr">
        <is>
          <t>Sherbrooke (Québec) Canada</t>
        </is>
      </c>
      <c r="P1718" t="n">
        <v>0</v>
      </c>
      <c r="Q1718" t="n">
        <v>6</v>
      </c>
      <c r="R1718" t="n">
        <v>0</v>
      </c>
      <c r="S1718" t="n">
        <v>54.4</v>
      </c>
      <c r="T1718" t="n">
        <v>0</v>
      </c>
      <c r="U1718" t="n">
        <v>60.4</v>
      </c>
      <c r="V1718" t="inlineStr">
        <is>
          <t>No conference fee</t>
        </is>
      </c>
      <c r="W1718" t="inlineStr">
        <is>
          <t>Pas de frais d'enregistrement</t>
        </is>
      </c>
      <c r="X1718" t="inlineStr">
        <is>
          <t>aafc-aac</t>
        </is>
      </c>
      <c r="Y1718" t="inlineStr">
        <is>
          <t>Agriculture and Agri-Food Canada | Agriculture et Agroalimentaire Canada</t>
        </is>
      </c>
    </row>
    <row r="1719">
      <c r="A1719" t="inlineStr">
        <is>
          <t>T-2022-P3-0013</t>
        </is>
      </c>
      <c r="B1719" t="inlineStr">
        <is>
          <t>MPSES</t>
        </is>
      </c>
      <c r="C1719" t="inlineStr">
        <is>
          <t>Driver</t>
        </is>
      </c>
      <c r="D1719" t="inlineStr">
        <is>
          <t>Chauffeur</t>
        </is>
      </c>
      <c r="E1719" t="inlineStr">
        <is>
          <t>Michel Gendreau</t>
        </is>
      </c>
      <c r="F1719" t="inlineStr">
        <is>
          <t>Drive the Minister from her riding to the Montréal Airport</t>
        </is>
      </c>
      <c r="G1719" t="inlineStr">
        <is>
          <t xml:space="preserve">Conduire la Ministre de sa circonscription à l'aéroport de Montréal </t>
        </is>
      </c>
      <c r="H1719" s="1" t="n">
        <v>44704</v>
      </c>
      <c r="I1719" s="1" t="n">
        <v>44704</v>
      </c>
      <c r="J1719" t="inlineStr">
        <is>
          <t>Sherbrooke (Quebec) Canada; Montréal (Quebec) Canada</t>
        </is>
      </c>
      <c r="K1719" t="inlineStr">
        <is>
          <t>Sherbrooke (Québec) Canada; Montréal (Québec) Canada</t>
        </is>
      </c>
      <c r="P1719" t="n">
        <v>0</v>
      </c>
      <c r="Q1719" t="n">
        <v>3</v>
      </c>
      <c r="R1719" t="n">
        <v>0</v>
      </c>
      <c r="S1719" t="n">
        <v>54.4</v>
      </c>
      <c r="T1719" t="n">
        <v>0</v>
      </c>
      <c r="U1719" t="n">
        <v>57.4</v>
      </c>
      <c r="V1719" t="inlineStr">
        <is>
          <t>No conference fee</t>
        </is>
      </c>
      <c r="W1719" t="inlineStr">
        <is>
          <t>Pas de frais d'enregistrement</t>
        </is>
      </c>
      <c r="X1719" t="inlineStr">
        <is>
          <t>aafc-aac</t>
        </is>
      </c>
      <c r="Y1719" t="inlineStr">
        <is>
          <t>Agriculture and Agri-Food Canada | Agriculture et Agroalimentaire Canada</t>
        </is>
      </c>
    </row>
    <row r="1720">
      <c r="A1720" t="inlineStr">
        <is>
          <t>T-2022-P3-0014</t>
        </is>
      </c>
      <c r="B1720" t="inlineStr">
        <is>
          <t>MPSES</t>
        </is>
      </c>
      <c r="C1720" t="inlineStr">
        <is>
          <t>Driver</t>
        </is>
      </c>
      <c r="D1720" t="inlineStr">
        <is>
          <t>Chauffeur</t>
        </is>
      </c>
      <c r="E1720" t="inlineStr">
        <is>
          <t>Michel Gendreau</t>
        </is>
      </c>
      <c r="F1720" t="inlineStr">
        <is>
          <t>Drive the Minister from the Montréal Airport back to her riding</t>
        </is>
      </c>
      <c r="G1720" t="inlineStr">
        <is>
          <t>Conduire la Ministre de l'aéroport de Montréal à sa circonscription</t>
        </is>
      </c>
      <c r="H1720" s="1" t="n">
        <v>44708</v>
      </c>
      <c r="I1720" s="1" t="n">
        <v>44708</v>
      </c>
      <c r="J1720" t="inlineStr">
        <is>
          <t>Montréal (Quebec) Canada; Sherbrooke (Quebec) Canada</t>
        </is>
      </c>
      <c r="K1720" t="inlineStr">
        <is>
          <t>Montréal (Québec) Canada; Sherbrooke (Québec) Canada</t>
        </is>
      </c>
      <c r="P1720" t="n">
        <v>0</v>
      </c>
      <c r="Q1720" t="n">
        <v>48</v>
      </c>
      <c r="R1720" t="n">
        <v>0</v>
      </c>
      <c r="S1720" t="n">
        <v>0</v>
      </c>
      <c r="T1720" t="n">
        <v>0</v>
      </c>
      <c r="U1720" t="n">
        <v>48</v>
      </c>
      <c r="V1720" t="inlineStr">
        <is>
          <t>No conference fee</t>
        </is>
      </c>
      <c r="W1720" t="inlineStr">
        <is>
          <t>Pas de frais d'enregistrement</t>
        </is>
      </c>
      <c r="X1720" t="inlineStr">
        <is>
          <t>aafc-aac</t>
        </is>
      </c>
      <c r="Y1720" t="inlineStr">
        <is>
          <t>Agriculture and Agri-Food Canada | Agriculture et Agroalimentaire Canada</t>
        </is>
      </c>
    </row>
    <row r="1721">
      <c r="A1721" t="inlineStr">
        <is>
          <t>T-2022-P3-0015</t>
        </is>
      </c>
      <c r="B1721" t="inlineStr">
        <is>
          <t>MPSES</t>
        </is>
      </c>
      <c r="C1721" t="inlineStr">
        <is>
          <t>Driver</t>
        </is>
      </c>
      <c r="D1721" t="inlineStr">
        <is>
          <t>Chauffeur</t>
        </is>
      </c>
      <c r="E1721" t="inlineStr">
        <is>
          <t>Michel Gendreau</t>
        </is>
      </c>
      <c r="F1721" t="inlineStr">
        <is>
          <t xml:space="preserve">Drive the Minister from her riding to Ottawa </t>
        </is>
      </c>
      <c r="G1721" t="inlineStr">
        <is>
          <t>Conduire la Ministre de sa circonscription à Ottawa</t>
        </is>
      </c>
      <c r="H1721" s="1" t="n">
        <v>44711</v>
      </c>
      <c r="I1721" s="1" t="n">
        <v>44712</v>
      </c>
      <c r="J1721" t="inlineStr">
        <is>
          <t>Sherbrooke (Quebec) Canada</t>
        </is>
      </c>
      <c r="K1721" t="inlineStr">
        <is>
          <t>Sherbrooke (Québec) Canada</t>
        </is>
      </c>
      <c r="P1721" t="n">
        <v>0</v>
      </c>
      <c r="Q1721" t="n">
        <v>6</v>
      </c>
      <c r="R1721" t="n">
        <v>121.38</v>
      </c>
      <c r="S1721" t="n">
        <v>76.3</v>
      </c>
      <c r="T1721" t="n">
        <v>0</v>
      </c>
      <c r="U1721" t="n">
        <v>203.68</v>
      </c>
      <c r="V1721" t="inlineStr">
        <is>
          <t>No conference fee</t>
        </is>
      </c>
      <c r="W1721" t="inlineStr">
        <is>
          <t>Pas de frais d'enregistrement</t>
        </is>
      </c>
      <c r="X1721" t="inlineStr">
        <is>
          <t>aafc-aac</t>
        </is>
      </c>
      <c r="Y1721" t="inlineStr">
        <is>
          <t>Agriculture and Agri-Food Canada | Agriculture et Agroalimentaire Canada</t>
        </is>
      </c>
    </row>
    <row r="1722">
      <c r="A1722" t="inlineStr">
        <is>
          <t>T-2022-P3-0016</t>
        </is>
      </c>
      <c r="B1722" t="inlineStr">
        <is>
          <t>MPSES</t>
        </is>
      </c>
      <c r="C1722" t="inlineStr">
        <is>
          <t>Driver</t>
        </is>
      </c>
      <c r="D1722" t="inlineStr">
        <is>
          <t>Chauffeur</t>
        </is>
      </c>
      <c r="E1722" t="inlineStr">
        <is>
          <t>Michel Gendreau</t>
        </is>
      </c>
      <c r="F1722" t="inlineStr">
        <is>
          <t>Drive the Minister from Ottawa back to her riding</t>
        </is>
      </c>
      <c r="G1722" t="inlineStr">
        <is>
          <t>Conduire la Ministre d'Ottawa à sa circonscription</t>
        </is>
      </c>
      <c r="H1722" s="1" t="n">
        <v>44715</v>
      </c>
      <c r="I1722" s="1" t="n">
        <v>44715</v>
      </c>
      <c r="J1722" t="inlineStr">
        <is>
          <t>Sherbrooke (Quebec) Canada</t>
        </is>
      </c>
      <c r="K1722" t="inlineStr">
        <is>
          <t>Sherbrooke (Québec) Canada</t>
        </is>
      </c>
      <c r="P1722" t="n">
        <v>0</v>
      </c>
      <c r="Q1722" t="n">
        <v>6</v>
      </c>
      <c r="R1722" t="n">
        <v>0</v>
      </c>
      <c r="S1722" t="n">
        <v>54.4</v>
      </c>
      <c r="T1722" t="n">
        <v>0</v>
      </c>
      <c r="U1722" t="n">
        <v>60.4</v>
      </c>
      <c r="V1722" t="inlineStr">
        <is>
          <t>No conference fee</t>
        </is>
      </c>
      <c r="W1722" t="inlineStr">
        <is>
          <t>Pas de frais d'enregistrement</t>
        </is>
      </c>
      <c r="X1722" t="inlineStr">
        <is>
          <t>aafc-aac</t>
        </is>
      </c>
      <c r="Y1722" t="inlineStr">
        <is>
          <t>Agriculture and Agri-Food Canada | Agriculture et Agroalimentaire Canada</t>
        </is>
      </c>
    </row>
    <row r="1723">
      <c r="A1723" t="inlineStr">
        <is>
          <t>T-2022-P3-0017</t>
        </is>
      </c>
      <c r="B1723" t="inlineStr">
        <is>
          <t>MPSES</t>
        </is>
      </c>
      <c r="C1723" t="inlineStr">
        <is>
          <t>Driver</t>
        </is>
      </c>
      <c r="D1723" t="inlineStr">
        <is>
          <t>Chauffeur</t>
        </is>
      </c>
      <c r="E1723" t="inlineStr">
        <is>
          <t>Michel Gendreau</t>
        </is>
      </c>
      <c r="F1723" t="inlineStr">
        <is>
          <t xml:space="preserve">Drive the Minister from her riding to Ottawa </t>
        </is>
      </c>
      <c r="G1723" t="inlineStr">
        <is>
          <t>Conduire la Ministre de sa circonscription à Ottawa</t>
        </is>
      </c>
      <c r="H1723" s="1" t="n">
        <v>44718</v>
      </c>
      <c r="I1723" s="1" t="n">
        <v>44719</v>
      </c>
      <c r="J1723" t="inlineStr">
        <is>
          <t>Sherbrooke (Quebec) Canada</t>
        </is>
      </c>
      <c r="K1723" t="inlineStr">
        <is>
          <t>Sherbrooke (Québec) Canada</t>
        </is>
      </c>
      <c r="P1723" t="n">
        <v>0</v>
      </c>
      <c r="Q1723" t="n">
        <v>6</v>
      </c>
      <c r="R1723" t="n">
        <v>192.13</v>
      </c>
      <c r="S1723" t="n">
        <v>76.3</v>
      </c>
      <c r="T1723" t="n">
        <v>0</v>
      </c>
      <c r="U1723" t="n">
        <v>274.43</v>
      </c>
      <c r="V1723" t="inlineStr">
        <is>
          <t>No conference fee</t>
        </is>
      </c>
      <c r="W1723" t="inlineStr">
        <is>
          <t>Pas de frais d'enregistrement</t>
        </is>
      </c>
      <c r="X1723" t="inlineStr">
        <is>
          <t>aafc-aac</t>
        </is>
      </c>
      <c r="Y1723" t="inlineStr">
        <is>
          <t>Agriculture and Agri-Food Canada | Agriculture et Agroalimentaire Canada</t>
        </is>
      </c>
    </row>
    <row r="1724">
      <c r="A1724" t="inlineStr">
        <is>
          <t>T-2022-P3-0018</t>
        </is>
      </c>
      <c r="B1724" t="inlineStr">
        <is>
          <t>MPSES</t>
        </is>
      </c>
      <c r="C1724" t="inlineStr">
        <is>
          <t>Driver</t>
        </is>
      </c>
      <c r="D1724" t="inlineStr">
        <is>
          <t>Chauffeur</t>
        </is>
      </c>
      <c r="E1724" t="inlineStr">
        <is>
          <t>Michel Gendreau</t>
        </is>
      </c>
      <c r="F1724" t="inlineStr">
        <is>
          <t>Drive the Minister from her riding to the Montréal Airport</t>
        </is>
      </c>
      <c r="G1724" t="inlineStr">
        <is>
          <t xml:space="preserve">Conduire la Ministre de sa circonscription à l'aéroport de Montréal </t>
        </is>
      </c>
      <c r="H1724" s="1" t="n">
        <v>44724</v>
      </c>
      <c r="I1724" s="1" t="n">
        <v>44724</v>
      </c>
      <c r="J1724" t="inlineStr">
        <is>
          <t>Sherbrooke (Quebec) Canada; Montréal (Quebec) Canada</t>
        </is>
      </c>
      <c r="K1724" t="inlineStr">
        <is>
          <t>Sherbrooke (Québec) Canada; Montréal (Québec) Canada</t>
        </is>
      </c>
      <c r="P1724" t="n">
        <v>0</v>
      </c>
      <c r="Q1724" t="n">
        <v>3</v>
      </c>
      <c r="R1724" t="n">
        <v>0</v>
      </c>
      <c r="S1724" t="n">
        <v>76.3</v>
      </c>
      <c r="T1724" t="n">
        <v>0</v>
      </c>
      <c r="U1724" t="n">
        <v>79.3</v>
      </c>
      <c r="V1724" t="inlineStr">
        <is>
          <t>No conference fee</t>
        </is>
      </c>
      <c r="W1724" t="inlineStr">
        <is>
          <t>Pas de frais d'enregistrement</t>
        </is>
      </c>
      <c r="X1724" t="inlineStr">
        <is>
          <t>aafc-aac</t>
        </is>
      </c>
      <c r="Y1724" t="inlineStr">
        <is>
          <t>Agriculture and Agri-Food Canada | Agriculture et Agroalimentaire Canada</t>
        </is>
      </c>
    </row>
    <row r="1725">
      <c r="A1725" t="inlineStr">
        <is>
          <t>T-2022-P3-0019</t>
        </is>
      </c>
      <c r="B1725" t="inlineStr">
        <is>
          <t>MPSES</t>
        </is>
      </c>
      <c r="C1725" t="inlineStr">
        <is>
          <t>Driver</t>
        </is>
      </c>
      <c r="D1725" t="inlineStr">
        <is>
          <t>Chauffeur</t>
        </is>
      </c>
      <c r="E1725" t="inlineStr">
        <is>
          <t>Michel Gendreau</t>
        </is>
      </c>
      <c r="F1725" t="inlineStr">
        <is>
          <t>Drive the Minister from Ottawa back to her riding</t>
        </is>
      </c>
      <c r="G1725" t="inlineStr">
        <is>
          <t>Conduire la Ministre d'Ottawa à sa circonscription</t>
        </is>
      </c>
      <c r="H1725" s="1" t="n">
        <v>44727</v>
      </c>
      <c r="I1725" s="1" t="n">
        <v>44727</v>
      </c>
      <c r="J1725" t="inlineStr">
        <is>
          <t>Sherbrooke (Quebec) Canada</t>
        </is>
      </c>
      <c r="K1725" t="inlineStr">
        <is>
          <t>Sherbrooke (Québec) Canada</t>
        </is>
      </c>
      <c r="P1725" t="n">
        <v>0</v>
      </c>
      <c r="Q1725" t="n">
        <v>6</v>
      </c>
      <c r="R1725" t="n">
        <v>0</v>
      </c>
      <c r="S1725" t="n">
        <v>22.15</v>
      </c>
      <c r="T1725" t="n">
        <v>0</v>
      </c>
      <c r="U1725" t="n">
        <v>28.15</v>
      </c>
      <c r="V1725" t="inlineStr">
        <is>
          <t>No conference fee</t>
        </is>
      </c>
      <c r="W1725" t="inlineStr">
        <is>
          <t>Pas de frais d'enregistrement</t>
        </is>
      </c>
      <c r="X1725" t="inlineStr">
        <is>
          <t>aafc-aac</t>
        </is>
      </c>
      <c r="Y1725" t="inlineStr">
        <is>
          <t>Agriculture and Agri-Food Canada | Agriculture et Agroalimentaire Canada</t>
        </is>
      </c>
    </row>
    <row r="1726">
      <c r="A1726" t="inlineStr">
        <is>
          <t>T-2022-P3-0020</t>
        </is>
      </c>
      <c r="B1726" t="inlineStr">
        <is>
          <t>MPSES</t>
        </is>
      </c>
      <c r="C1726" t="inlineStr">
        <is>
          <t>Driver</t>
        </is>
      </c>
      <c r="D1726" t="inlineStr">
        <is>
          <t>Chauffeur</t>
        </is>
      </c>
      <c r="E1726" t="inlineStr">
        <is>
          <t>Michel Gendreau</t>
        </is>
      </c>
      <c r="F1726" t="inlineStr">
        <is>
          <t xml:space="preserve">Drive the Minister from her riding to Ottawa </t>
        </is>
      </c>
      <c r="G1726" t="inlineStr">
        <is>
          <t>Conduire la Ministre de sa circonscription à Ottawa</t>
        </is>
      </c>
      <c r="H1726" s="1" t="n">
        <v>44731</v>
      </c>
      <c r="I1726" s="1" t="n">
        <v>44732</v>
      </c>
      <c r="J1726" t="inlineStr">
        <is>
          <t>Sherbrooke (Quebec) Canada</t>
        </is>
      </c>
      <c r="K1726" t="inlineStr">
        <is>
          <t>Sherbrooke (Québec) Canada</t>
        </is>
      </c>
      <c r="P1726" t="n">
        <v>0</v>
      </c>
      <c r="Q1726" t="n">
        <v>6</v>
      </c>
      <c r="R1726" t="n">
        <v>121.38</v>
      </c>
      <c r="S1726" t="n">
        <v>76.3</v>
      </c>
      <c r="T1726" t="n">
        <v>0</v>
      </c>
      <c r="U1726" t="n">
        <v>203.68</v>
      </c>
      <c r="V1726" t="inlineStr">
        <is>
          <t>No conference fee</t>
        </is>
      </c>
      <c r="W1726" t="inlineStr">
        <is>
          <t>Pas de frais d'enregistrement</t>
        </is>
      </c>
      <c r="X1726" t="inlineStr">
        <is>
          <t>aafc-aac</t>
        </is>
      </c>
      <c r="Y1726" t="inlineStr">
        <is>
          <t>Agriculture and Agri-Food Canada | Agriculture et Agroalimentaire Canada</t>
        </is>
      </c>
    </row>
    <row r="1727">
      <c r="A1727" t="inlineStr">
        <is>
          <t>T-2022-P3-0021</t>
        </is>
      </c>
      <c r="B1727" t="inlineStr">
        <is>
          <t>MPSES</t>
        </is>
      </c>
      <c r="C1727" t="inlineStr">
        <is>
          <t>Director of Communications</t>
        </is>
      </c>
      <c r="D1727" t="inlineStr">
        <is>
          <t>Directrice des communications</t>
        </is>
      </c>
      <c r="E1727" t="inlineStr">
        <is>
          <t>Allison St-Jean</t>
        </is>
      </c>
      <c r="F1727" t="inlineStr">
        <is>
          <t>To accompany the Minister to the G7 summit in Germany</t>
        </is>
      </c>
      <c r="G1727" t="inlineStr">
        <is>
          <t>Pour accompagner la ministre au sommet du G7 en Allemagne</t>
        </is>
      </c>
      <c r="H1727" s="1" t="n">
        <v>44692</v>
      </c>
      <c r="I1727" s="1" t="n">
        <v>44696</v>
      </c>
      <c r="J1727" t="inlineStr">
        <is>
          <t>Stuttgart, Germany</t>
        </is>
      </c>
      <c r="K1727" t="inlineStr">
        <is>
          <t>Stuttgart, Allemagne</t>
        </is>
      </c>
      <c r="P1727" t="n">
        <v>4706.36</v>
      </c>
      <c r="Q1727" t="n">
        <v>0</v>
      </c>
      <c r="R1727" t="n">
        <v>673.25</v>
      </c>
      <c r="S1727" t="n">
        <v>199.01</v>
      </c>
      <c r="T1727" t="n">
        <v>0</v>
      </c>
      <c r="U1727" t="n">
        <v>5578.62</v>
      </c>
      <c r="V1727" t="inlineStr">
        <is>
          <t>No Conference Fees</t>
        </is>
      </c>
      <c r="W1727" t="inlineStr">
        <is>
          <t>Pas de frais de conférence</t>
        </is>
      </c>
      <c r="X1727" t="inlineStr">
        <is>
          <t>aafc-aac</t>
        </is>
      </c>
      <c r="Y1727" t="inlineStr">
        <is>
          <t>Agriculture and Agri-Food Canada | Agriculture et Agroalimentaire Canada</t>
        </is>
      </c>
    </row>
    <row r="1728">
      <c r="A1728" t="inlineStr">
        <is>
          <t>T-2022-P3-0022</t>
        </is>
      </c>
      <c r="B1728" t="inlineStr">
        <is>
          <t>SLE</t>
        </is>
      </c>
      <c r="C1728" t="inlineStr">
        <is>
          <t>Associate Deputy Minister</t>
        </is>
      </c>
      <c r="D1728" t="inlineStr">
        <is>
          <t>Sous-ministre délégué</t>
        </is>
      </c>
      <c r="E1728" t="inlineStr">
        <is>
          <t>Paul Samson</t>
        </is>
      </c>
      <c r="F1728" t="inlineStr">
        <is>
          <t>To attend the AGRI appearance on Parliament Hill</t>
        </is>
      </c>
      <c r="G1728" t="inlineStr">
        <is>
          <t>Pour assister à la comparution d'AGRI sur la Colline du Parlement</t>
        </is>
      </c>
      <c r="H1728" s="1" t="n">
        <v>44700</v>
      </c>
      <c r="I1728" s="1" t="n">
        <v>44700</v>
      </c>
      <c r="J1728" t="inlineStr">
        <is>
          <t>Ottawa (Ontario) Canada</t>
        </is>
      </c>
      <c r="K1728" t="inlineStr">
        <is>
          <t>Ottawa (Ontario) Canada</t>
        </is>
      </c>
      <c r="P1728" t="n">
        <v>0</v>
      </c>
      <c r="Q1728" t="n">
        <v>26.31</v>
      </c>
      <c r="R1728" t="n">
        <v>0</v>
      </c>
      <c r="S1728" t="n">
        <v>0</v>
      </c>
      <c r="T1728" t="n">
        <v>0</v>
      </c>
      <c r="U1728" t="n">
        <v>26.31</v>
      </c>
      <c r="V1728" t="inlineStr">
        <is>
          <t>No conference fee</t>
        </is>
      </c>
      <c r="W1728" t="inlineStr">
        <is>
          <t>Pas de frais d'enregistrement</t>
        </is>
      </c>
      <c r="X1728" t="inlineStr">
        <is>
          <t>aafc-aac</t>
        </is>
      </c>
      <c r="Y1728" t="inlineStr">
        <is>
          <t>Agriculture and Agri-Food Canada | Agriculture et Agroalimentaire Canada</t>
        </is>
      </c>
    </row>
    <row r="1729">
      <c r="A1729" t="inlineStr">
        <is>
          <t>T-2022-P3-0023</t>
        </is>
      </c>
      <c r="B1729" t="inlineStr">
        <is>
          <t>SLE</t>
        </is>
      </c>
      <c r="C1729" t="inlineStr">
        <is>
          <t>Assistant Deputy Minister, Corporate Management Branch</t>
        </is>
      </c>
      <c r="D1729" t="inlineStr">
        <is>
          <t>Sous-ministre adjointe, Direction générale de la gestion intégrée</t>
        </is>
      </c>
      <c r="E1729" t="inlineStr">
        <is>
          <t>Marie-Claude Guérard</t>
        </is>
      </c>
      <c r="F1729" t="inlineStr">
        <is>
          <t>Standing Committee on Agriculture and Agri-Food</t>
        </is>
      </c>
      <c r="G1729" t="inlineStr">
        <is>
          <t>Comité permanent de l’agriculture et de l’agroalimentaire</t>
        </is>
      </c>
      <c r="H1729" s="1" t="n">
        <v>44699</v>
      </c>
      <c r="I1729" s="1" t="n">
        <v>44700</v>
      </c>
      <c r="J1729" t="inlineStr">
        <is>
          <t>Ottawa (Ontario) Canada</t>
        </is>
      </c>
      <c r="K1729" t="inlineStr">
        <is>
          <t>Ottawa (Ontario) Canada</t>
        </is>
      </c>
      <c r="P1729" t="n">
        <v>0</v>
      </c>
      <c r="Q1729" t="n">
        <v>361.88</v>
      </c>
      <c r="R1729" t="n">
        <v>233.86</v>
      </c>
      <c r="S1729" t="n">
        <v>231.5</v>
      </c>
      <c r="T1729" t="n">
        <v>0</v>
      </c>
      <c r="U1729" t="n">
        <v>827.24</v>
      </c>
      <c r="X1729" t="inlineStr">
        <is>
          <t>aafc-aac</t>
        </is>
      </c>
      <c r="Y1729" t="inlineStr">
        <is>
          <t>Agriculture and Agri-Food Canada | Agriculture et Agroalimentaire Canada</t>
        </is>
      </c>
    </row>
    <row r="1730">
      <c r="A1730" t="inlineStr">
        <is>
          <t>T-2022-P3-0024</t>
        </is>
      </c>
      <c r="B1730" t="inlineStr">
        <is>
          <t>SLE</t>
        </is>
      </c>
      <c r="C1730" t="inlineStr">
        <is>
          <t>Assistant Deputy Minister, Corporate Management Branch</t>
        </is>
      </c>
      <c r="D1730" t="inlineStr">
        <is>
          <t>Sous-ministre adjointe, Direction générale de la gestion intégrée</t>
        </is>
      </c>
      <c r="E1730" t="inlineStr">
        <is>
          <t>Marie-Claude Guérard</t>
        </is>
      </c>
      <c r="F1730" t="inlineStr">
        <is>
          <t>In-person security briefing</t>
        </is>
      </c>
      <c r="G1730" t="inlineStr">
        <is>
          <t>Briefing de sécurité en personne</t>
        </is>
      </c>
      <c r="H1730" s="1" t="n">
        <v>44707</v>
      </c>
      <c r="I1730" s="1" t="n">
        <v>44708</v>
      </c>
      <c r="J1730" t="inlineStr">
        <is>
          <t>Ottawa (Ontario) Canada</t>
        </is>
      </c>
      <c r="K1730" t="inlineStr">
        <is>
          <t>Ottawa (Ontario) Canada</t>
        </is>
      </c>
      <c r="P1730" t="n">
        <v>0</v>
      </c>
      <c r="Q1730" t="n">
        <v>332.34</v>
      </c>
      <c r="R1730" t="n">
        <v>233.86</v>
      </c>
      <c r="S1730" t="n">
        <v>159.8</v>
      </c>
      <c r="T1730" t="n">
        <v>0</v>
      </c>
      <c r="U1730" t="n">
        <v>726</v>
      </c>
      <c r="X1730" t="inlineStr">
        <is>
          <t>aafc-aac</t>
        </is>
      </c>
      <c r="Y1730" t="inlineStr">
        <is>
          <t>Agriculture and Agri-Food Canada | Agriculture et Agroalimentaire Canada</t>
        </is>
      </c>
    </row>
    <row r="1731">
      <c r="A1731" t="inlineStr">
        <is>
          <t>T-2022-P3-0025</t>
        </is>
      </c>
      <c r="B1731" t="inlineStr">
        <is>
          <t>SLE</t>
        </is>
      </c>
      <c r="C1731" t="inlineStr">
        <is>
          <t>Assistant Deputy Minister, Corporate Management Branch</t>
        </is>
      </c>
      <c r="D1731" t="inlineStr">
        <is>
          <t>Sous-ministre adjointe, Direction générale de la gestion intégrée</t>
        </is>
      </c>
      <c r="E1731" t="inlineStr">
        <is>
          <t>Marie-Claude Guérard</t>
        </is>
      </c>
      <c r="F1731" t="inlineStr">
        <is>
          <t>Site visit and meetings</t>
        </is>
      </c>
      <c r="G1731" t="inlineStr">
        <is>
          <t>Visite de site et reunions</t>
        </is>
      </c>
      <c r="H1731" s="1" t="n">
        <v>44720</v>
      </c>
      <c r="I1731" s="1" t="n">
        <v>44722</v>
      </c>
      <c r="J1731" t="inlineStr">
        <is>
          <t>Ottawa (Ontario) Canada</t>
        </is>
      </c>
      <c r="K1731" t="inlineStr">
        <is>
          <t>Ottawa (Ontario) Canada</t>
        </is>
      </c>
      <c r="P1731" t="n">
        <v>0</v>
      </c>
      <c r="Q1731" t="n">
        <v>400.56</v>
      </c>
      <c r="R1731" t="n">
        <v>467.72</v>
      </c>
      <c r="S1731" t="n">
        <v>347.25</v>
      </c>
      <c r="T1731" t="n">
        <v>0</v>
      </c>
      <c r="U1731" t="n">
        <v>1215.53</v>
      </c>
      <c r="X1731" t="inlineStr">
        <is>
          <t>aafc-aac</t>
        </is>
      </c>
      <c r="Y1731" t="inlineStr">
        <is>
          <t>Agriculture and Agri-Food Canada | Agriculture et Agroalimentaire Canada</t>
        </is>
      </c>
    </row>
    <row r="1732">
      <c r="A1732" t="inlineStr">
        <is>
          <t>T-2022-P3-0026</t>
        </is>
      </c>
      <c r="B1732" t="inlineStr">
        <is>
          <t>SLE</t>
        </is>
      </c>
      <c r="C1732" t="inlineStr">
        <is>
          <t xml:space="preserve">Assistant Deputy Minister, Public Affairs Branch </t>
        </is>
      </c>
      <c r="D1732" t="inlineStr">
        <is>
          <t xml:space="preserve">Sous-ministre adjointe, Direction générale des affaires publiques </t>
        </is>
      </c>
      <c r="E1732" t="inlineStr">
        <is>
          <t>Mary Dila</t>
        </is>
      </c>
      <c r="F1732" t="inlineStr">
        <is>
          <t xml:space="preserve">Attend ADM ELDP </t>
        </is>
      </c>
      <c r="G1732" t="inlineStr">
        <is>
          <t>Participer au PDLCS SMA</t>
        </is>
      </c>
      <c r="H1732" s="1" t="n">
        <v>44713</v>
      </c>
      <c r="I1732" s="1" t="n">
        <v>44716</v>
      </c>
      <c r="J1732" t="inlineStr">
        <is>
          <t>Washington (D.C.) United States</t>
        </is>
      </c>
      <c r="K1732" t="inlineStr">
        <is>
          <t>Washington (D.C.) États-Unis</t>
        </is>
      </c>
      <c r="P1732" t="n">
        <v>1232.06</v>
      </c>
      <c r="Q1732" t="n">
        <v>117.02</v>
      </c>
      <c r="R1732" t="n">
        <v>1157.19</v>
      </c>
      <c r="S1732" t="n">
        <v>571.26</v>
      </c>
      <c r="T1732" t="n">
        <v>200</v>
      </c>
      <c r="U1732" t="n">
        <v>3277.53</v>
      </c>
      <c r="X1732" t="inlineStr">
        <is>
          <t>aafc-aac</t>
        </is>
      </c>
      <c r="Y1732" t="inlineStr">
        <is>
          <t>Agriculture and Agri-Food Canada | Agriculture et Agroalimentaire Canada</t>
        </is>
      </c>
    </row>
    <row r="1733">
      <c r="A1733" t="inlineStr">
        <is>
          <t>T-2022-P3-0027</t>
        </is>
      </c>
      <c r="B1733" t="inlineStr">
        <is>
          <t>SLE</t>
        </is>
      </c>
      <c r="C1733" t="inlineStr">
        <is>
          <t>Assistant Deputy Minister, Programs Branch</t>
        </is>
      </c>
      <c r="D1733" t="inlineStr">
        <is>
          <t>Sous-ministre adjointe, Direction générale des programmes</t>
        </is>
      </c>
      <c r="E1733" t="inlineStr">
        <is>
          <t>Liz Foster</t>
        </is>
      </c>
      <c r="F1733" t="inlineStr">
        <is>
          <t xml:space="preserve">Attend ADM ELDP </t>
        </is>
      </c>
      <c r="G1733" t="inlineStr">
        <is>
          <t>Participer au PDLCS SMA</t>
        </is>
      </c>
      <c r="H1733" s="1" t="n">
        <v>44713</v>
      </c>
      <c r="I1733" s="1" t="n">
        <v>44716</v>
      </c>
      <c r="J1733" t="inlineStr">
        <is>
          <t>Washington (D.C.) United States</t>
        </is>
      </c>
      <c r="K1733" t="inlineStr">
        <is>
          <t>Washington (D.C.) États-Unis</t>
        </is>
      </c>
      <c r="P1733" t="n">
        <v>848.17</v>
      </c>
      <c r="Q1733" t="n">
        <v>124.58</v>
      </c>
      <c r="R1733" t="n">
        <v>1119.17</v>
      </c>
      <c r="S1733" t="n">
        <v>478.06</v>
      </c>
      <c r="T1733" t="n">
        <v>40</v>
      </c>
      <c r="U1733" t="n">
        <v>2609.98</v>
      </c>
      <c r="X1733" t="inlineStr">
        <is>
          <t>aafc-aac</t>
        </is>
      </c>
      <c r="Y1733" t="inlineStr">
        <is>
          <t>Agriculture and Agri-Food Canada | Agriculture et Agroalimentaire Canada</t>
        </is>
      </c>
    </row>
    <row r="1734">
      <c r="A1734" t="inlineStr">
        <is>
          <t>T-2022-P3-0028</t>
        </is>
      </c>
      <c r="B1734" t="inlineStr">
        <is>
          <t>SLE</t>
        </is>
      </c>
      <c r="C1734" t="inlineStr">
        <is>
          <t>Assistant Deputy Minister, Market and Industry Services Branch</t>
        </is>
      </c>
      <c r="D1734" t="inlineStr">
        <is>
          <t>Sous-ministre adjoint, Direction générale des services à l'industrie et aux marchés</t>
        </is>
      </c>
      <c r="E1734" t="inlineStr">
        <is>
          <t>Tom Rosser</t>
        </is>
      </c>
      <c r="F1734" t="inlineStr">
        <is>
          <t xml:space="preserve">Participate in regional outreach </t>
        </is>
      </c>
      <c r="G1734" t="inlineStr">
        <is>
          <t>Participer à la sensibilisation régionale.</t>
        </is>
      </c>
      <c r="H1734" s="1" t="n">
        <v>44698</v>
      </c>
      <c r="I1734" s="1" t="n">
        <v>44699</v>
      </c>
      <c r="J1734" t="inlineStr">
        <is>
          <t>Vancouver (British Columbia) Canada</t>
        </is>
      </c>
      <c r="K1734" t="inlineStr">
        <is>
          <t>Vancouver (Colombie-Britannique) Canada</t>
        </is>
      </c>
      <c r="P1734" t="n">
        <v>0</v>
      </c>
      <c r="Q1734" t="n">
        <v>143</v>
      </c>
      <c r="R1734" t="n">
        <v>351.33</v>
      </c>
      <c r="S1734" t="n">
        <v>61.35</v>
      </c>
      <c r="T1734" t="n">
        <v>0</v>
      </c>
      <c r="U1734" t="n">
        <v>555.6799999999999</v>
      </c>
      <c r="X1734" t="inlineStr">
        <is>
          <t>aafc-aac</t>
        </is>
      </c>
      <c r="Y1734" t="inlineStr">
        <is>
          <t>Agriculture and Agri-Food Canada | Agriculture et Agroalimentaire Canada</t>
        </is>
      </c>
    </row>
    <row r="1735">
      <c r="A1735" t="inlineStr">
        <is>
          <t>T-2022-P4-0001</t>
        </is>
      </c>
      <c r="B1735" t="inlineStr">
        <is>
          <t>MPSES</t>
        </is>
      </c>
      <c r="C1735" t="inlineStr">
        <is>
          <t>Minister</t>
        </is>
      </c>
      <c r="D1735" t="inlineStr">
        <is>
          <t>Ministre</t>
        </is>
      </c>
      <c r="E1735" t="inlineStr">
        <is>
          <t>Marie-Claude Bibeau</t>
        </is>
      </c>
      <c r="F1735" t="inlineStr">
        <is>
          <t>To attend an outreach in Regina, Saskatoon and Vancouver</t>
        </is>
      </c>
      <c r="G1735" t="inlineStr">
        <is>
          <t>Pour assister à une campagne de sensibilisation à Regina, Saskatoon et Vancouver</t>
        </is>
      </c>
      <c r="H1735" s="1" t="n">
        <v>44704</v>
      </c>
      <c r="I1735" s="1" t="n">
        <v>44707</v>
      </c>
      <c r="J1735" t="inlineStr">
        <is>
          <t>Regina (Saskatchewan) Canada
Saskatoon (Saskatchewan) Canada
Vancouver (British Columbia) Canada</t>
        </is>
      </c>
      <c r="K1735" t="inlineStr">
        <is>
          <t>Régina (Saskatchewan) Canada
Saskatoon (Saskatchewan) Canada
Vancouver (Colombie-Britannique) Canada</t>
        </is>
      </c>
      <c r="P1735" t="n">
        <v>1928.58</v>
      </c>
      <c r="Q1735" t="n">
        <v>0</v>
      </c>
      <c r="R1735" t="n">
        <v>613.21</v>
      </c>
      <c r="S1735" t="n">
        <v>327.6</v>
      </c>
      <c r="T1735" t="n">
        <v>0</v>
      </c>
      <c r="U1735" t="n">
        <v>2869.39</v>
      </c>
      <c r="V1735" t="inlineStr">
        <is>
          <t>No Conference Fees</t>
        </is>
      </c>
      <c r="W1735" t="inlineStr">
        <is>
          <t>Pas de frais de conférence</t>
        </is>
      </c>
      <c r="X1735" t="inlineStr">
        <is>
          <t>aafc-aac</t>
        </is>
      </c>
      <c r="Y1735" t="inlineStr">
        <is>
          <t>Agriculture and Agri-Food Canada | Agriculture et Agroalimentaire Canada</t>
        </is>
      </c>
    </row>
    <row r="1736">
      <c r="A1736" t="inlineStr">
        <is>
          <t>T-2022-P4-0002</t>
        </is>
      </c>
      <c r="B1736" t="inlineStr">
        <is>
          <t>MPSES</t>
        </is>
      </c>
      <c r="C1736" t="inlineStr">
        <is>
          <t>Minister</t>
        </is>
      </c>
      <c r="D1736" t="inlineStr">
        <is>
          <t>Ministre</t>
        </is>
      </c>
      <c r="E1736" t="inlineStr">
        <is>
          <t>Marie-Claude Bibeau</t>
        </is>
      </c>
      <c r="F1736" t="inlineStr">
        <is>
          <t>To attend the Quebec Summer Tour</t>
        </is>
      </c>
      <c r="G1736" t="inlineStr">
        <is>
          <t>Pour assister à la tournée estivale du Québec</t>
        </is>
      </c>
      <c r="H1736" s="1" t="n">
        <v>44739</v>
      </c>
      <c r="I1736" s="1" t="n">
        <v>44740</v>
      </c>
      <c r="J1736" t="inlineStr">
        <is>
          <t>Quebec (Quebec) Canada</t>
        </is>
      </c>
      <c r="K1736" t="inlineStr">
        <is>
          <t>Québec (Québec) Canada</t>
        </is>
      </c>
      <c r="P1736" t="n">
        <v>0</v>
      </c>
      <c r="Q1736" t="n">
        <v>0</v>
      </c>
      <c r="R1736" t="n">
        <v>213.13</v>
      </c>
      <c r="S1736" t="n">
        <v>120.6</v>
      </c>
      <c r="T1736" t="n">
        <v>0</v>
      </c>
      <c r="U1736" t="n">
        <v>333.73</v>
      </c>
      <c r="V1736" t="inlineStr">
        <is>
          <t>No Conference Fees</t>
        </is>
      </c>
      <c r="W1736" t="inlineStr">
        <is>
          <t>Pas de frais de conférence</t>
        </is>
      </c>
      <c r="X1736" t="inlineStr">
        <is>
          <t>aafc-aac</t>
        </is>
      </c>
      <c r="Y1736" t="inlineStr">
        <is>
          <t>Agriculture and Agri-Food Canada | Agriculture et Agroalimentaire Canada</t>
        </is>
      </c>
    </row>
    <row r="1737">
      <c r="A1737" t="inlineStr">
        <is>
          <t>T-2022-P4-0003</t>
        </is>
      </c>
      <c r="B1737" t="inlineStr">
        <is>
          <t>MPSES</t>
        </is>
      </c>
      <c r="C1737" t="inlineStr">
        <is>
          <t>Senior Advisor</t>
        </is>
      </c>
      <c r="D1737" t="inlineStr">
        <is>
          <t xml:space="preserve">Conseiller principal </t>
        </is>
      </c>
      <c r="E1737" t="inlineStr">
        <is>
          <t xml:space="preserve">Abed Harb </t>
        </is>
      </c>
      <c r="F1737" t="inlineStr">
        <is>
          <t>To accompany the Minister at the Calgary Stampede</t>
        </is>
      </c>
      <c r="G1737" t="inlineStr">
        <is>
          <t>Pour accompagner la ministre au Stampede de Calgary</t>
        </is>
      </c>
      <c r="H1737" s="1" t="n">
        <v>44754</v>
      </c>
      <c r="I1737" s="1" t="n">
        <v>44754</v>
      </c>
      <c r="J1737" t="inlineStr">
        <is>
          <t>Calgary (Alberta) Canada</t>
        </is>
      </c>
      <c r="K1737" t="inlineStr">
        <is>
          <t>Calgary (Alberta) Canada</t>
        </is>
      </c>
      <c r="P1737" t="n">
        <v>0</v>
      </c>
      <c r="Q1737" t="n">
        <v>0</v>
      </c>
      <c r="R1737" t="n">
        <v>246.46</v>
      </c>
      <c r="S1737" t="n">
        <v>0</v>
      </c>
      <c r="T1737" t="n">
        <v>0</v>
      </c>
      <c r="U1737" t="n">
        <v>246.46</v>
      </c>
      <c r="V1737" t="inlineStr">
        <is>
          <t>No conference fee.</t>
        </is>
      </c>
      <c r="W1737" t="inlineStr">
        <is>
          <t>Pas de frais d'enregistrement</t>
        </is>
      </c>
      <c r="X1737" t="inlineStr">
        <is>
          <t>aafc-aac</t>
        </is>
      </c>
      <c r="Y1737" t="inlineStr">
        <is>
          <t>Agriculture and Agri-Food Canada | Agriculture et Agroalimentaire Canada</t>
        </is>
      </c>
    </row>
    <row r="1738">
      <c r="A1738" t="inlineStr">
        <is>
          <t>T-2022-P4-0004</t>
        </is>
      </c>
      <c r="B1738" t="inlineStr">
        <is>
          <t>MPSES</t>
        </is>
      </c>
      <c r="C1738" t="inlineStr">
        <is>
          <t>Press Secretary</t>
        </is>
      </c>
      <c r="D1738" t="inlineStr">
        <is>
          <t>Attachée de presse</t>
        </is>
      </c>
      <c r="E1738" t="inlineStr">
        <is>
          <t>Marianne Dandurand</t>
        </is>
      </c>
      <c r="F1738" t="inlineStr">
        <is>
          <t>To accompany the Minister on an outreach in Regina, Saskatoon and Vancouver</t>
        </is>
      </c>
      <c r="G1738" t="inlineStr">
        <is>
          <t>Accompagner la ministre lors d'une campagne de sensibilisation à Regina, Saskatoon et Vancouver</t>
        </is>
      </c>
      <c r="H1738" s="1" t="n">
        <v>44704</v>
      </c>
      <c r="I1738" s="1" t="n">
        <v>44707</v>
      </c>
      <c r="J1738" t="inlineStr">
        <is>
          <t>Regina (Saskatchewan) Canada
Saskatoon (Saskatchewan) Canada
Vancouver (British Columbia) Canada</t>
        </is>
      </c>
      <c r="K1738" t="inlineStr">
        <is>
          <t>Regina (Saskatchewan) Canada
Saskatoon (Saskatchewan) Canada
Vancouver (Colombie-Britannique) Canada</t>
        </is>
      </c>
      <c r="P1738" t="n">
        <v>1762.83</v>
      </c>
      <c r="Q1738" t="n">
        <v>33.4</v>
      </c>
      <c r="R1738" t="n">
        <v>613.21</v>
      </c>
      <c r="S1738" t="n">
        <v>349.75</v>
      </c>
      <c r="T1738" t="n">
        <v>0</v>
      </c>
      <c r="U1738" t="n">
        <v>2759.19</v>
      </c>
      <c r="V1738" t="inlineStr">
        <is>
          <t>No Conference Fees</t>
        </is>
      </c>
      <c r="W1738" t="inlineStr">
        <is>
          <t>Pas de frais de conférence</t>
        </is>
      </c>
      <c r="X1738" t="inlineStr">
        <is>
          <t>aafc-aac</t>
        </is>
      </c>
      <c r="Y1738" t="inlineStr">
        <is>
          <t>Agriculture and Agri-Food Canada | Agriculture et Agroalimentaire Canada</t>
        </is>
      </c>
    </row>
    <row r="1739">
      <c r="A1739" t="inlineStr">
        <is>
          <t>T-2022-P4-0005</t>
        </is>
      </c>
      <c r="B1739" t="inlineStr">
        <is>
          <t>MPSES</t>
        </is>
      </c>
      <c r="C1739" t="inlineStr">
        <is>
          <t>Press Secretary</t>
        </is>
      </c>
      <c r="D1739" t="inlineStr">
        <is>
          <t>Attachée de presse</t>
        </is>
      </c>
      <c r="E1739" t="inlineStr">
        <is>
          <t>Marianne Dandurand</t>
        </is>
      </c>
      <c r="F1739" t="inlineStr">
        <is>
          <t>To accompany the Minister for the Quebec Summer Tour</t>
        </is>
      </c>
      <c r="G1739" t="inlineStr">
        <is>
          <t>Pour accompagner la ministre pour la tournée estivale du Québec</t>
        </is>
      </c>
      <c r="H1739" s="1" t="n">
        <v>44739</v>
      </c>
      <c r="I1739" s="1" t="n">
        <v>44740</v>
      </c>
      <c r="J1739" t="inlineStr">
        <is>
          <t>Quebec (Quebec) Canada</t>
        </is>
      </c>
      <c r="K1739" t="inlineStr">
        <is>
          <t>Québec (Québec) Canada</t>
        </is>
      </c>
      <c r="P1739" t="n">
        <v>0</v>
      </c>
      <c r="Q1739" t="n">
        <v>0</v>
      </c>
      <c r="R1739" t="n">
        <v>202.41</v>
      </c>
      <c r="S1739" t="n">
        <v>196.9</v>
      </c>
      <c r="T1739" t="n">
        <v>0</v>
      </c>
      <c r="U1739" t="n">
        <v>399.31</v>
      </c>
      <c r="V1739" t="inlineStr">
        <is>
          <t>No Conference Fees</t>
        </is>
      </c>
      <c r="W1739" t="inlineStr">
        <is>
          <t>Pas de frais de conférence</t>
        </is>
      </c>
      <c r="X1739" t="inlineStr">
        <is>
          <t>aafc-aac</t>
        </is>
      </c>
      <c r="Y1739" t="inlineStr">
        <is>
          <t>Agriculture and Agri-Food Canada | Agriculture et Agroalimentaire Canada</t>
        </is>
      </c>
    </row>
    <row r="1740">
      <c r="A1740" t="inlineStr">
        <is>
          <t>T-2022-P4-0006</t>
        </is>
      </c>
      <c r="B1740" t="inlineStr">
        <is>
          <t>MPSES</t>
        </is>
      </c>
      <c r="C1740" t="inlineStr">
        <is>
          <t>Press Secretary</t>
        </is>
      </c>
      <c r="D1740" t="inlineStr">
        <is>
          <t>Attachée de presse</t>
        </is>
      </c>
      <c r="E1740" t="inlineStr">
        <is>
          <t>Marianne Dandurand</t>
        </is>
      </c>
      <c r="F1740" t="inlineStr">
        <is>
          <t>To accompany the Minister to a wine announcement and visit</t>
        </is>
      </c>
      <c r="G1740" t="inlineStr">
        <is>
          <t>Accompagner la Ministre à une annonce vinicole et visiter</t>
        </is>
      </c>
      <c r="H1740" s="1" t="n">
        <v>44741</v>
      </c>
      <c r="I1740" s="1" t="n">
        <v>44741</v>
      </c>
      <c r="J1740" t="inlineStr">
        <is>
          <t>Sherbrooke (Quebec) Canada</t>
        </is>
      </c>
      <c r="K1740" t="inlineStr">
        <is>
          <t>Sherbrooke (Québec) Canada</t>
        </is>
      </c>
      <c r="P1740" t="n">
        <v>0</v>
      </c>
      <c r="Q1740" t="n">
        <v>0</v>
      </c>
      <c r="R1740" t="n">
        <v>0</v>
      </c>
      <c r="S1740" t="n">
        <v>22.15</v>
      </c>
      <c r="T1740" t="n">
        <v>0</v>
      </c>
      <c r="U1740" t="n">
        <v>22.15</v>
      </c>
      <c r="V1740" t="inlineStr">
        <is>
          <t>No Conference Fees</t>
        </is>
      </c>
      <c r="W1740" t="inlineStr">
        <is>
          <t>Pas de frais de conférence</t>
        </is>
      </c>
      <c r="X1740" t="inlineStr">
        <is>
          <t>aafc-aac</t>
        </is>
      </c>
      <c r="Y1740" t="inlineStr">
        <is>
          <t>Agriculture and Agri-Food Canada | Agriculture et Agroalimentaire Canada</t>
        </is>
      </c>
    </row>
    <row r="1741">
      <c r="A1741" t="inlineStr">
        <is>
          <t>T-2022-P4-0007</t>
        </is>
      </c>
      <c r="B1741" t="inlineStr">
        <is>
          <t>MPSES</t>
        </is>
      </c>
      <c r="C1741" t="inlineStr">
        <is>
          <t>Press Secretary</t>
        </is>
      </c>
      <c r="D1741" t="inlineStr">
        <is>
          <t>Attachée de presse</t>
        </is>
      </c>
      <c r="E1741" t="inlineStr">
        <is>
          <t>Marianne Dandurand</t>
        </is>
      </c>
      <c r="F1741" t="inlineStr">
        <is>
          <t>To accompany the Minister to a roundtable with women farmers and a visit to Living Labs</t>
        </is>
      </c>
      <c r="G1741" t="inlineStr">
        <is>
          <t>Accompagner la Ministre à une table ronde avec des agricultrices et une visite aux Living Labs</t>
        </is>
      </c>
      <c r="H1741" s="1" t="n">
        <v>44754</v>
      </c>
      <c r="I1741" s="1" t="n">
        <v>44754</v>
      </c>
      <c r="J1741" t="inlineStr">
        <is>
          <t>Saint-Léonard-d'Aston (Quebec) Canada
Baie-du-Febvre (Quebec) Canada
Drummondville (Quebec) Canada</t>
        </is>
      </c>
      <c r="K1741" t="inlineStr">
        <is>
          <t>Saint-Léonard-d'Aston (Québec) Canada
Baie-du-Febvre (Québec) Canada
Drummondville (Quebec) Canada</t>
        </is>
      </c>
      <c r="P1741" t="n">
        <v>0</v>
      </c>
      <c r="Q1741" t="n">
        <v>0</v>
      </c>
      <c r="R1741" t="n">
        <v>0</v>
      </c>
      <c r="S1741" t="n">
        <v>22.15</v>
      </c>
      <c r="T1741" t="n">
        <v>0</v>
      </c>
      <c r="U1741" t="n">
        <v>22.15</v>
      </c>
      <c r="V1741" t="inlineStr">
        <is>
          <t>No Conference Fees</t>
        </is>
      </c>
      <c r="W1741" t="inlineStr">
        <is>
          <t>Pas de frais de conférence</t>
        </is>
      </c>
      <c r="X1741" t="inlineStr">
        <is>
          <t>aafc-aac</t>
        </is>
      </c>
      <c r="Y1741" t="inlineStr">
        <is>
          <t>Agriculture and Agri-Food Canada | Agriculture et Agroalimentaire Canada</t>
        </is>
      </c>
    </row>
    <row r="1742">
      <c r="A1742" t="inlineStr">
        <is>
          <t>T-2022-P4-0008</t>
        </is>
      </c>
      <c r="B1742" t="inlineStr">
        <is>
          <t>MPSES</t>
        </is>
      </c>
      <c r="C1742" t="inlineStr">
        <is>
          <t>Driver</t>
        </is>
      </c>
      <c r="D1742" t="inlineStr">
        <is>
          <t>Chauffeur</t>
        </is>
      </c>
      <c r="E1742" t="inlineStr">
        <is>
          <t>Michel Gendreau</t>
        </is>
      </c>
      <c r="F1742" t="inlineStr">
        <is>
          <t>Drive the Minister from Ottawa back to her riding</t>
        </is>
      </c>
      <c r="G1742" t="inlineStr">
        <is>
          <t>Conduire la Ministre d'Ottawa à sa circonscription</t>
        </is>
      </c>
      <c r="H1742" s="1" t="n">
        <v>44722</v>
      </c>
      <c r="I1742" s="1" t="n">
        <v>44722</v>
      </c>
      <c r="J1742" t="inlineStr">
        <is>
          <t>Sherbrooke (Quebec) Canada</t>
        </is>
      </c>
      <c r="K1742" t="inlineStr">
        <is>
          <t>Sherbrooke (Québec) Canada</t>
        </is>
      </c>
      <c r="P1742" t="n">
        <v>0</v>
      </c>
      <c r="Q1742" t="n">
        <v>6</v>
      </c>
      <c r="R1742" t="n">
        <v>0</v>
      </c>
      <c r="S1742" t="n">
        <v>54.4</v>
      </c>
      <c r="T1742" t="n">
        <v>0</v>
      </c>
      <c r="U1742" t="n">
        <v>60.4</v>
      </c>
      <c r="V1742" t="inlineStr">
        <is>
          <t>No conference fee</t>
        </is>
      </c>
      <c r="W1742" t="inlineStr">
        <is>
          <t>Pas de frais d'enregistrement</t>
        </is>
      </c>
      <c r="X1742" t="inlineStr">
        <is>
          <t>aafc-aac</t>
        </is>
      </c>
      <c r="Y1742" t="inlineStr">
        <is>
          <t>Agriculture and Agri-Food Canada | Agriculture et Agroalimentaire Canada</t>
        </is>
      </c>
    </row>
    <row r="1743">
      <c r="A1743" t="inlineStr">
        <is>
          <t>T-2022-P4-0009</t>
        </is>
      </c>
      <c r="B1743" t="inlineStr">
        <is>
          <t>MPSES</t>
        </is>
      </c>
      <c r="C1743" t="inlineStr">
        <is>
          <t>Driver</t>
        </is>
      </c>
      <c r="D1743" t="inlineStr">
        <is>
          <t>Chauffeur</t>
        </is>
      </c>
      <c r="E1743" t="inlineStr">
        <is>
          <t>Michel Gendreau</t>
        </is>
      </c>
      <c r="F1743" t="inlineStr">
        <is>
          <t>Drive the Minister from Ottawa back to her riding</t>
        </is>
      </c>
      <c r="G1743" t="inlineStr">
        <is>
          <t>Conduire la Ministre d'Ottawa à sa circonscription</t>
        </is>
      </c>
      <c r="H1743" s="1" t="n">
        <v>44735</v>
      </c>
      <c r="I1743" s="1" t="n">
        <v>44735</v>
      </c>
      <c r="J1743" t="inlineStr">
        <is>
          <t>Sherbrooke (Quebec) Canada</t>
        </is>
      </c>
      <c r="K1743" t="inlineStr">
        <is>
          <t>Sherbrooke (Québec) Canada</t>
        </is>
      </c>
      <c r="P1743" t="n">
        <v>0</v>
      </c>
      <c r="Q1743" t="n">
        <v>6</v>
      </c>
      <c r="R1743" t="n">
        <v>0</v>
      </c>
      <c r="S1743" t="n">
        <v>54.4</v>
      </c>
      <c r="T1743" t="n">
        <v>0</v>
      </c>
      <c r="U1743" t="n">
        <v>60.4</v>
      </c>
      <c r="V1743" t="inlineStr">
        <is>
          <t>No conference fee</t>
        </is>
      </c>
      <c r="W1743" t="inlineStr">
        <is>
          <t>Pas de frais d'enregistrement</t>
        </is>
      </c>
      <c r="X1743" t="inlineStr">
        <is>
          <t>aafc-aac</t>
        </is>
      </c>
      <c r="Y1743" t="inlineStr">
        <is>
          <t>Agriculture and Agri-Food Canada | Agriculture et Agroalimentaire Canada</t>
        </is>
      </c>
    </row>
    <row r="1744">
      <c r="A1744" t="inlineStr">
        <is>
          <t>T-2022-P4-0010</t>
        </is>
      </c>
      <c r="B1744" t="inlineStr">
        <is>
          <t>MPSES</t>
        </is>
      </c>
      <c r="C1744" t="inlineStr">
        <is>
          <t>Driver</t>
        </is>
      </c>
      <c r="D1744" t="inlineStr">
        <is>
          <t>Chauffeur</t>
        </is>
      </c>
      <c r="E1744" t="inlineStr">
        <is>
          <t>Michel Gendreau</t>
        </is>
      </c>
      <c r="F1744" t="inlineStr">
        <is>
          <t>To accompany the Minister for the Quebec Summer Tour</t>
        </is>
      </c>
      <c r="G1744" t="inlineStr">
        <is>
          <t>Pour accompagner la ministre pour la tournée estivale du Québec</t>
        </is>
      </c>
      <c r="H1744" s="1" t="n">
        <v>44738</v>
      </c>
      <c r="I1744" s="1" t="n">
        <v>44740</v>
      </c>
      <c r="J1744" t="inlineStr">
        <is>
          <t>Quebec (Quebec) Canada</t>
        </is>
      </c>
      <c r="K1744" t="inlineStr">
        <is>
          <t>Québec (Québec) Canada</t>
        </is>
      </c>
      <c r="P1744" t="n">
        <v>0</v>
      </c>
      <c r="Q1744" t="n">
        <v>6</v>
      </c>
      <c r="R1744" t="n">
        <v>323.79</v>
      </c>
      <c r="S1744" t="n">
        <v>251.3</v>
      </c>
      <c r="T1744" t="n">
        <v>0</v>
      </c>
      <c r="U1744" t="n">
        <v>581.09</v>
      </c>
      <c r="V1744" t="inlineStr">
        <is>
          <t>No conference fee</t>
        </is>
      </c>
      <c r="W1744" t="inlineStr">
        <is>
          <t>Pas de frais d'enregistrement</t>
        </is>
      </c>
      <c r="X1744" t="inlineStr">
        <is>
          <t>aafc-aac</t>
        </is>
      </c>
      <c r="Y1744" t="inlineStr">
        <is>
          <t>Agriculture and Agri-Food Canada | Agriculture et Agroalimentaire Canada</t>
        </is>
      </c>
    </row>
    <row r="1745">
      <c r="A1745" t="inlineStr">
        <is>
          <t>T-2022-P4-0011</t>
        </is>
      </c>
      <c r="B1745" t="inlineStr">
        <is>
          <t>MPSES</t>
        </is>
      </c>
      <c r="C1745" t="inlineStr">
        <is>
          <t>Policy Advisor</t>
        </is>
      </c>
      <c r="D1745" t="inlineStr">
        <is>
          <t>Conseillère en politiques</t>
        </is>
      </c>
      <c r="E1745" t="inlineStr">
        <is>
          <t>Christine Harvey</t>
        </is>
      </c>
      <c r="F1745" t="inlineStr">
        <is>
          <t>To accompany the Minister to a wine announcement and visit</t>
        </is>
      </c>
      <c r="G1745" t="inlineStr">
        <is>
          <t>Accompagner la Ministre à une annonce vinicole et visiter</t>
        </is>
      </c>
      <c r="H1745" s="1" t="n">
        <v>44739</v>
      </c>
      <c r="I1745" s="1" t="n">
        <v>44740</v>
      </c>
      <c r="J1745" t="inlineStr">
        <is>
          <t>Quebec (Quebec) Canada</t>
        </is>
      </c>
      <c r="K1745" t="inlineStr">
        <is>
          <t>Québec (Québec) Canada</t>
        </is>
      </c>
      <c r="P1745" t="n">
        <v>0</v>
      </c>
      <c r="Q1745" t="n">
        <v>0</v>
      </c>
      <c r="R1745" t="n">
        <v>202.41</v>
      </c>
      <c r="S1745" t="n">
        <v>120.6</v>
      </c>
      <c r="T1745" t="n">
        <v>0</v>
      </c>
      <c r="U1745" t="n">
        <v>323.01</v>
      </c>
      <c r="V1745" t="inlineStr">
        <is>
          <t>No Conference Fees</t>
        </is>
      </c>
      <c r="W1745" t="inlineStr">
        <is>
          <t>Pas de frais de conférence</t>
        </is>
      </c>
      <c r="X1745" t="inlineStr">
        <is>
          <t>aafc-aac</t>
        </is>
      </c>
      <c r="Y1745" t="inlineStr">
        <is>
          <t>Agriculture and Agri-Food Canada | Agriculture et Agroalimentaire Canada</t>
        </is>
      </c>
    </row>
    <row r="1746">
      <c r="A1746" t="inlineStr">
        <is>
          <t>T-2022-P4-0012</t>
        </is>
      </c>
      <c r="B1746" t="inlineStr">
        <is>
          <t>MPSES</t>
        </is>
      </c>
      <c r="C1746" t="inlineStr">
        <is>
          <t>Policy Advisor</t>
        </is>
      </c>
      <c r="D1746" t="inlineStr">
        <is>
          <t>Conseillère en politiques</t>
        </is>
      </c>
      <c r="E1746" t="inlineStr">
        <is>
          <t>Christine Harvey</t>
        </is>
      </c>
      <c r="F1746" t="inlineStr">
        <is>
          <t>To accompany the Minister to a roundtable with women farmers and a visit to Living Labs</t>
        </is>
      </c>
      <c r="G1746" t="inlineStr">
        <is>
          <t>Accompagner la Ministre à une table ronde avec des agricultrices et une visite aux Living Labs</t>
        </is>
      </c>
      <c r="H1746" s="1" t="n">
        <v>44754</v>
      </c>
      <c r="I1746" s="1" t="n">
        <v>44754</v>
      </c>
      <c r="J1746" t="inlineStr">
        <is>
          <t>Saint-Léonard-d'Aston (Quebec) CanadaBaie-du-Febvre (Quebec) CanadaDrummondville (Quebec) Canada</t>
        </is>
      </c>
      <c r="K1746" t="inlineStr">
        <is>
          <t>Saint-Léonard-d'Aston (Québec) CanadaBaie-du-Febvre (Québec) CanadaDrummondville (Quebec) Canada</t>
        </is>
      </c>
      <c r="P1746" t="n">
        <v>0</v>
      </c>
      <c r="Q1746" t="n">
        <v>113.68</v>
      </c>
      <c r="R1746" t="n">
        <v>0</v>
      </c>
      <c r="S1746" t="n">
        <v>22.15</v>
      </c>
      <c r="T1746" t="n">
        <v>0</v>
      </c>
      <c r="U1746" t="n">
        <v>135.83</v>
      </c>
      <c r="V1746" t="inlineStr">
        <is>
          <t>No Conference Fees</t>
        </is>
      </c>
      <c r="W1746" t="inlineStr">
        <is>
          <t>Pas de frais de conférence</t>
        </is>
      </c>
      <c r="X1746" t="inlineStr">
        <is>
          <t>aafc-aac</t>
        </is>
      </c>
      <c r="Y1746" t="inlineStr">
        <is>
          <t>Agriculture and Agri-Food Canada | Agriculture et Agroalimentaire Canada</t>
        </is>
      </c>
    </row>
    <row r="1747">
      <c r="A1747" t="inlineStr">
        <is>
          <t>T-2022-P4-0013</t>
        </is>
      </c>
      <c r="B1747" t="inlineStr">
        <is>
          <t>SLE</t>
        </is>
      </c>
      <c r="C1747" t="inlineStr">
        <is>
          <t>Associate Deputy Minister</t>
        </is>
      </c>
      <c r="D1747" t="inlineStr">
        <is>
          <t>Sous-ministre délégué</t>
        </is>
      </c>
      <c r="E1747" t="inlineStr">
        <is>
          <t>Paul Samson</t>
        </is>
      </c>
      <c r="F1747" t="inlineStr">
        <is>
          <t>To accompany the Minister on an outreach in Calgary</t>
        </is>
      </c>
      <c r="G1747" t="inlineStr">
        <is>
          <t>Accompagner la ministre lors d'une campagne de sensibilisation à Calgary</t>
        </is>
      </c>
      <c r="H1747" s="1" t="n">
        <v>44754</v>
      </c>
      <c r="I1747" s="1" t="n">
        <v>44757</v>
      </c>
      <c r="J1747" t="inlineStr">
        <is>
          <t>Calgary (Alberta) Canada</t>
        </is>
      </c>
      <c r="K1747" t="inlineStr">
        <is>
          <t>Calgary (Alberta) Canada</t>
        </is>
      </c>
      <c r="P1747" t="n">
        <v>1926.17</v>
      </c>
      <c r="Q1747" t="n">
        <v>186.99</v>
      </c>
      <c r="R1747" t="n">
        <v>1159.91</v>
      </c>
      <c r="S1747" t="n">
        <v>288.25</v>
      </c>
      <c r="T1747" t="n">
        <v>0</v>
      </c>
      <c r="U1747" t="n">
        <v>3561.32</v>
      </c>
      <c r="V1747" t="inlineStr">
        <is>
          <t>No conference fee</t>
        </is>
      </c>
      <c r="W1747" t="inlineStr">
        <is>
          <t>Pas de frais de conférence</t>
        </is>
      </c>
      <c r="X1747" t="inlineStr">
        <is>
          <t>aafc-aac</t>
        </is>
      </c>
      <c r="Y1747" t="inlineStr">
        <is>
          <t>Agriculture and Agri-Food Canada | Agriculture et Agroalimentaire Canada</t>
        </is>
      </c>
    </row>
    <row r="1748">
      <c r="A1748" t="inlineStr">
        <is>
          <t>T-2022-P4-0014</t>
        </is>
      </c>
      <c r="B1748" t="inlineStr">
        <is>
          <t>SLE</t>
        </is>
      </c>
      <c r="C1748" t="inlineStr">
        <is>
          <t>Assistant Deputy Minister, Science and Technology Branch</t>
        </is>
      </c>
      <c r="D1748" t="inlineStr">
        <is>
          <t>Sous-ministre adjoint, Direction générale des sciences et de la technologie</t>
        </is>
      </c>
      <c r="E1748" t="inlineStr">
        <is>
          <t>Gilles Saindon</t>
        </is>
      </c>
      <c r="F1748" t="inlineStr">
        <is>
          <t>To attend the G20 Agricultural Chief Scientists (MACS) Meeting</t>
        </is>
      </c>
      <c r="G1748" t="inlineStr">
        <is>
          <t>Participer à la réunion des scientifiques en chef de l'agriculture du G20 (MACS)</t>
        </is>
      </c>
      <c r="H1748" s="1" t="n">
        <v>44744</v>
      </c>
      <c r="I1748" s="1" t="n">
        <v>44751</v>
      </c>
      <c r="J1748" t="inlineStr">
        <is>
          <t>Bali, Indonesia</t>
        </is>
      </c>
      <c r="K1748" t="inlineStr">
        <is>
          <t>Bali, Indonésie</t>
        </is>
      </c>
      <c r="P1748" t="n">
        <v>13221.84</v>
      </c>
      <c r="Q1748" t="n">
        <v>174</v>
      </c>
      <c r="R1748" t="n">
        <v>809.53</v>
      </c>
      <c r="S1748" t="n">
        <v>527.4400000000001</v>
      </c>
      <c r="T1748" t="n">
        <v>646.66</v>
      </c>
      <c r="U1748" t="n">
        <v>15379.47</v>
      </c>
      <c r="X1748" t="inlineStr">
        <is>
          <t>aafc-aac</t>
        </is>
      </c>
      <c r="Y1748" t="inlineStr">
        <is>
          <t>Agriculture and Agri-Food Canada | Agriculture et Agroalimentaire Canada</t>
        </is>
      </c>
    </row>
    <row r="1749">
      <c r="A1749" t="inlineStr">
        <is>
          <t>T-2022-P4-0015</t>
        </is>
      </c>
      <c r="B1749" t="inlineStr">
        <is>
          <t>SLE</t>
        </is>
      </c>
      <c r="C1749" t="inlineStr">
        <is>
          <t>Associate Assistant Deputy Minister, Science and Technology Branch</t>
        </is>
      </c>
      <c r="D1749" t="inlineStr">
        <is>
          <t>Sous-ministre adjoint délégué, Direction générale des sciences et de la technologie</t>
        </is>
      </c>
      <c r="E1749" t="inlineStr">
        <is>
          <t>Andrew Goldstein</t>
        </is>
      </c>
      <c r="F1749" t="inlineStr">
        <is>
          <t xml:space="preserve">Meeting of the Deans Council - Agriculture, Food &amp; Veterinary Medicine
</t>
        </is>
      </c>
      <c r="G1749" t="inlineStr">
        <is>
          <t>Réunion du Conseils des Doyens - Agriculture, Alimentation et Médecine Vétérinaire</t>
        </is>
      </c>
      <c r="H1749" s="1" t="n">
        <v>44685</v>
      </c>
      <c r="I1749" s="1" t="n">
        <v>44685</v>
      </c>
      <c r="J1749" t="inlineStr">
        <is>
          <t>Ottawa (Ontario) Canada</t>
        </is>
      </c>
      <c r="K1749" t="inlineStr">
        <is>
          <t>Ottawa (Ontario) Canada</t>
        </is>
      </c>
      <c r="P1749" t="n">
        <v>0</v>
      </c>
      <c r="Q1749" t="n">
        <v>20</v>
      </c>
      <c r="R1749" t="n">
        <v>0</v>
      </c>
      <c r="S1749" t="n">
        <v>0</v>
      </c>
      <c r="T1749" t="n">
        <v>0</v>
      </c>
      <c r="U1749" t="n">
        <v>20</v>
      </c>
      <c r="X1749" t="inlineStr">
        <is>
          <t>aafc-aac</t>
        </is>
      </c>
      <c r="Y1749" t="inlineStr">
        <is>
          <t>Agriculture and Agri-Food Canada | Agriculture et Agroalimentaire Canada</t>
        </is>
      </c>
    </row>
    <row r="1750">
      <c r="A1750" t="inlineStr">
        <is>
          <t>T-2022-P4-0016</t>
        </is>
      </c>
      <c r="B1750" t="inlineStr">
        <is>
          <t>SLE</t>
        </is>
      </c>
      <c r="C1750" t="inlineStr">
        <is>
          <t xml:space="preserve">Assistant Deputy Minister, Public Affairs Branch </t>
        </is>
      </c>
      <c r="D1750" t="inlineStr">
        <is>
          <t xml:space="preserve">Sous-ministre adjointe, Direction générale des affaires publiques </t>
        </is>
      </c>
      <c r="E1750" t="inlineStr">
        <is>
          <t>Mary Dila</t>
        </is>
      </c>
      <c r="F1750" t="inlineStr">
        <is>
          <t>To attend a ministerial briefing</t>
        </is>
      </c>
      <c r="G1750" t="inlineStr">
        <is>
          <t>Participer à un breffage ministériel</t>
        </is>
      </c>
      <c r="H1750" s="1" t="n">
        <v>44746</v>
      </c>
      <c r="I1750" s="1" t="n">
        <v>44747</v>
      </c>
      <c r="J1750" t="inlineStr">
        <is>
          <t xml:space="preserve">Sherbrooke (Quebec) Canada  </t>
        </is>
      </c>
      <c r="K1750" t="inlineStr">
        <is>
          <t xml:space="preserve">Sherbrooke (Québec) Canada  </t>
        </is>
      </c>
      <c r="P1750" t="n">
        <v>0</v>
      </c>
      <c r="Q1750" t="n">
        <v>367.96</v>
      </c>
      <c r="R1750" t="n">
        <v>292.66</v>
      </c>
      <c r="S1750" t="n">
        <v>177.1</v>
      </c>
      <c r="T1750" t="n">
        <v>0</v>
      </c>
      <c r="U1750" t="n">
        <v>837.72</v>
      </c>
      <c r="X1750" t="inlineStr">
        <is>
          <t>aafc-aac</t>
        </is>
      </c>
      <c r="Y1750" t="inlineStr">
        <is>
          <t>Agriculture and Agri-Food Canada | Agriculture et Agroalimentaire Canada</t>
        </is>
      </c>
    </row>
    <row r="1751">
      <c r="A1751" t="inlineStr">
        <is>
          <t>T-2022-P4-0017</t>
        </is>
      </c>
      <c r="B1751" t="inlineStr">
        <is>
          <t>SLE</t>
        </is>
      </c>
      <c r="C1751" t="inlineStr">
        <is>
          <t xml:space="preserve">Assistant Deputy Minister, Public Affairs Branch </t>
        </is>
      </c>
      <c r="D1751" t="inlineStr">
        <is>
          <t xml:space="preserve">Sous-ministre adjointe, Direction générale des affaires publiques </t>
        </is>
      </c>
      <c r="E1751" t="inlineStr">
        <is>
          <t>Mary Dila</t>
        </is>
      </c>
      <c r="F1751" t="inlineStr">
        <is>
          <t>To attend federal, provincial and territorial deputy ministers meeting</t>
        </is>
      </c>
      <c r="G1751" t="inlineStr">
        <is>
          <t xml:space="preserve">Assister à la réunion des sous-ministres fédérale, provinciaux et territoriaux </t>
        </is>
      </c>
      <c r="H1751" s="1" t="n">
        <v>44748</v>
      </c>
      <c r="I1751" s="1" t="n">
        <v>44749</v>
      </c>
      <c r="J1751" t="inlineStr">
        <is>
          <t xml:space="preserve">Toronto (Ontario) Canada </t>
        </is>
      </c>
      <c r="K1751" t="inlineStr">
        <is>
          <t xml:space="preserve">Toronto, (Ontario) Canada </t>
        </is>
      </c>
      <c r="P1751" t="n">
        <v>538.16</v>
      </c>
      <c r="Q1751" t="n">
        <v>0</v>
      </c>
      <c r="R1751" t="n">
        <v>151.6</v>
      </c>
      <c r="S1751" t="n">
        <v>133.05</v>
      </c>
      <c r="T1751" t="n">
        <v>0</v>
      </c>
      <c r="U1751" t="n">
        <v>822.8099999999999</v>
      </c>
      <c r="X1751" t="inlineStr">
        <is>
          <t>aafc-aac</t>
        </is>
      </c>
      <c r="Y1751" t="inlineStr">
        <is>
          <t>Agriculture and Agri-Food Canada | Agriculture et Agroalimentaire Canada</t>
        </is>
      </c>
    </row>
    <row r="1752">
      <c r="A1752" t="inlineStr">
        <is>
          <t>T-2022-P4-0018</t>
        </is>
      </c>
      <c r="B1752" t="inlineStr">
        <is>
          <t>SLE</t>
        </is>
      </c>
      <c r="C1752" t="inlineStr">
        <is>
          <t xml:space="preserve">Assistant Deputy Minister, Public Affairs Branch </t>
        </is>
      </c>
      <c r="D1752" t="inlineStr">
        <is>
          <t xml:space="preserve">Sous-ministre adjointe, Direction générale des affaires publiques </t>
        </is>
      </c>
      <c r="E1752" t="inlineStr">
        <is>
          <t>Mary Dila</t>
        </is>
      </c>
      <c r="F1752" t="inlineStr">
        <is>
          <t>To attend federal, provincial and territorial ministers meeting in Saskatoon</t>
        </is>
      </c>
      <c r="G1752" t="inlineStr">
        <is>
          <t>Assister à la réunion des ministres fédérale, provinciaux et territoriaux à Saskatoon</t>
        </is>
      </c>
      <c r="H1752" s="1" t="n">
        <v>44761</v>
      </c>
      <c r="I1752" s="1" t="n">
        <v>44764</v>
      </c>
      <c r="J1752" t="inlineStr">
        <is>
          <t xml:space="preserve">Saskatoon (Saskatchewan) Canada </t>
        </is>
      </c>
      <c r="K1752" t="inlineStr">
        <is>
          <t xml:space="preserve">Saskatoon (Saskatchewan) Canada </t>
        </is>
      </c>
      <c r="P1752" t="n">
        <v>1708.87</v>
      </c>
      <c r="Q1752" t="n">
        <v>76.34</v>
      </c>
      <c r="R1752" t="n">
        <v>531.63</v>
      </c>
      <c r="S1752" t="n">
        <v>239.6</v>
      </c>
      <c r="T1752" t="n">
        <v>0</v>
      </c>
      <c r="U1752" t="n">
        <v>2556.44</v>
      </c>
      <c r="X1752" t="inlineStr">
        <is>
          <t>aafc-aac</t>
        </is>
      </c>
      <c r="Y1752" t="inlineStr">
        <is>
          <t>Agriculture and Agri-Food Canada | Agriculture et Agroalimentaire Canada</t>
        </is>
      </c>
    </row>
    <row r="1753">
      <c r="A1753" t="inlineStr">
        <is>
          <t>T-2022-P4-0019</t>
        </is>
      </c>
      <c r="B1753" t="inlineStr">
        <is>
          <t>SLE</t>
        </is>
      </c>
      <c r="C1753" t="inlineStr">
        <is>
          <t>Assistant Deputy Minister, Strategic Policy Branch</t>
        </is>
      </c>
      <c r="D1753" t="inlineStr">
        <is>
          <t>Sous-ministre adjointe, Direction générale des politiques stratégiques</t>
        </is>
      </c>
      <c r="E1753" t="inlineStr">
        <is>
          <t>Natasha Kim</t>
        </is>
      </c>
      <c r="F1753" t="inlineStr">
        <is>
          <t>To attend a ministerial briefing</t>
        </is>
      </c>
      <c r="G1753" t="inlineStr">
        <is>
          <t>Participer à un breffage ministériel</t>
        </is>
      </c>
      <c r="H1753" s="1" t="n">
        <v>44745</v>
      </c>
      <c r="I1753" s="1" t="n">
        <v>44746</v>
      </c>
      <c r="J1753" t="inlineStr">
        <is>
          <t>Sherbrooke (Quebec) Canada</t>
        </is>
      </c>
      <c r="K1753" t="inlineStr">
        <is>
          <t>Sherbrooke (Québec) Canada</t>
        </is>
      </c>
      <c r="P1753" t="n">
        <v>0</v>
      </c>
      <c r="Q1753" t="n">
        <v>444.28</v>
      </c>
      <c r="R1753" t="n">
        <v>180.88</v>
      </c>
      <c r="S1753" t="n">
        <v>165.3</v>
      </c>
      <c r="T1753" t="n">
        <v>0</v>
      </c>
      <c r="U1753" t="n">
        <v>790.46</v>
      </c>
      <c r="X1753" t="inlineStr">
        <is>
          <t>aafc-aac</t>
        </is>
      </c>
      <c r="Y1753" t="inlineStr">
        <is>
          <t>Agriculture and Agri-Food Canada | Agriculture et Agroalimentaire Canada</t>
        </is>
      </c>
    </row>
    <row r="1754">
      <c r="A1754" t="inlineStr">
        <is>
          <t>T-2022-P4-0020</t>
        </is>
      </c>
      <c r="B1754" t="inlineStr">
        <is>
          <t>SLE</t>
        </is>
      </c>
      <c r="C1754" t="inlineStr">
        <is>
          <t>Assistant Deputy Minister, Strategic Policy Branch</t>
        </is>
      </c>
      <c r="D1754" t="inlineStr">
        <is>
          <t>Sous-ministre adjointe, Direction générale des politiques stratégiques</t>
        </is>
      </c>
      <c r="E1754" t="inlineStr">
        <is>
          <t>Natasha Kim</t>
        </is>
      </c>
      <c r="F1754" t="inlineStr">
        <is>
          <t>To attend federal, provincial and territorial deputy ministers meeting</t>
        </is>
      </c>
      <c r="G1754" t="inlineStr">
        <is>
          <t xml:space="preserve">Assister à la réunion des sous-ministres fédérale, provinciaux et territoriaux </t>
        </is>
      </c>
      <c r="H1754" s="1" t="n">
        <v>44748</v>
      </c>
      <c r="I1754" s="1" t="n">
        <v>44749</v>
      </c>
      <c r="J1754" t="inlineStr">
        <is>
          <t>Toronto (Ontario) Canada</t>
        </is>
      </c>
      <c r="K1754" t="inlineStr">
        <is>
          <t>Toronto (Ontario) Canada</t>
        </is>
      </c>
      <c r="P1754" t="n">
        <v>676.02</v>
      </c>
      <c r="Q1754" t="n">
        <v>93.59999999999999</v>
      </c>
      <c r="R1754" t="n">
        <v>152</v>
      </c>
      <c r="S1754" t="n">
        <v>165.3</v>
      </c>
      <c r="T1754" t="n">
        <v>0</v>
      </c>
      <c r="U1754" t="n">
        <v>1086.92</v>
      </c>
      <c r="X1754" t="inlineStr">
        <is>
          <t>aafc-aac</t>
        </is>
      </c>
      <c r="Y1754" t="inlineStr">
        <is>
          <t>Agriculture and Agri-Food Canada | Agriculture et Agroalimentaire Canada</t>
        </is>
      </c>
    </row>
    <row r="1755">
      <c r="A1755" t="inlineStr">
        <is>
          <t>T-2022-P4-0021</t>
        </is>
      </c>
      <c r="B1755" t="inlineStr">
        <is>
          <t>SLE</t>
        </is>
      </c>
      <c r="C1755" t="inlineStr">
        <is>
          <t>Assistant Deputy Minister, Market and Industry Services Branch</t>
        </is>
      </c>
      <c r="D1755" t="inlineStr">
        <is>
          <t>Sous-ministre adjoint, Direction générale des services à l'industrie et aux marchés</t>
        </is>
      </c>
      <c r="E1755" t="inlineStr">
        <is>
          <t>Tom Rosser</t>
        </is>
      </c>
      <c r="F1755" t="inlineStr">
        <is>
          <t xml:space="preserve">Attend a ministerial briefing </t>
        </is>
      </c>
      <c r="G1755" t="inlineStr">
        <is>
          <t>Participer à un breffage ministériel</t>
        </is>
      </c>
      <c r="H1755" s="1" t="n">
        <v>44746</v>
      </c>
      <c r="I1755" s="1" t="n">
        <v>44746</v>
      </c>
      <c r="J1755" t="inlineStr">
        <is>
          <t>Sherbrooke (Quebec) Canada</t>
        </is>
      </c>
      <c r="K1755" t="inlineStr">
        <is>
          <t>Sherbrooke (Québec) Canada</t>
        </is>
      </c>
      <c r="P1755" t="n">
        <v>0</v>
      </c>
      <c r="Q1755" t="n">
        <v>400.8</v>
      </c>
      <c r="R1755" t="n">
        <v>0</v>
      </c>
      <c r="S1755" t="n">
        <v>0</v>
      </c>
      <c r="T1755" t="n">
        <v>0</v>
      </c>
      <c r="U1755" t="n">
        <v>400.8</v>
      </c>
      <c r="X1755" t="inlineStr">
        <is>
          <t>aafc-aac</t>
        </is>
      </c>
      <c r="Y1755" t="inlineStr">
        <is>
          <t>Agriculture and Agri-Food Canada | Agriculture et Agroalimentaire Canada</t>
        </is>
      </c>
    </row>
    <row r="1756">
      <c r="A1756" t="inlineStr">
        <is>
          <t>T-2022-P4-0022</t>
        </is>
      </c>
      <c r="B1756" t="inlineStr">
        <is>
          <t>SLE</t>
        </is>
      </c>
      <c r="C1756" t="inlineStr">
        <is>
          <t>Chief Information Officer, Information Systems Branch</t>
        </is>
      </c>
      <c r="D1756" t="inlineStr">
        <is>
          <t>Dirigeante principale de l'information, Direction générale des systèmes information</t>
        </is>
      </c>
      <c r="E1756" t="inlineStr">
        <is>
          <t>Vidya ShankarNarayan</t>
        </is>
      </c>
      <c r="F1756" t="inlineStr">
        <is>
          <t>AAFC Site Visits</t>
        </is>
      </c>
      <c r="G1756" t="inlineStr">
        <is>
          <t>Visites des sites d'AAC</t>
        </is>
      </c>
      <c r="H1756" s="1" t="n">
        <v>44731</v>
      </c>
      <c r="I1756" s="1" t="n">
        <v>44735</v>
      </c>
      <c r="J1756" t="inlineStr">
        <is>
          <t>Halifax (NS) Canada and Charlottetown (PEI) Canada</t>
        </is>
      </c>
      <c r="K1756" t="inlineStr">
        <is>
          <t>Halifax (N-E) Canada et Charlottetown (IPE) Canada</t>
        </is>
      </c>
      <c r="P1756" t="n">
        <v>708.67</v>
      </c>
      <c r="Q1756" t="n">
        <v>686.39</v>
      </c>
      <c r="R1756" t="n">
        <v>1065.86</v>
      </c>
      <c r="S1756" t="n">
        <v>534.7</v>
      </c>
      <c r="T1756" t="n">
        <v>0</v>
      </c>
      <c r="U1756" t="n">
        <v>2995.62</v>
      </c>
      <c r="X1756" t="inlineStr">
        <is>
          <t>aafc-aac</t>
        </is>
      </c>
      <c r="Y1756" t="inlineStr">
        <is>
          <t>Agriculture and Agri-Food Canada | Agriculture et Agroalimentaire Canada</t>
        </is>
      </c>
    </row>
    <row r="1757">
      <c r="A1757" t="inlineStr">
        <is>
          <t>T-2022-P5-0001</t>
        </is>
      </c>
      <c r="B1757" t="inlineStr">
        <is>
          <t>MPSES</t>
        </is>
      </c>
      <c r="C1757" t="inlineStr">
        <is>
          <t>Minister</t>
        </is>
      </c>
      <c r="D1757" t="inlineStr">
        <is>
          <t>Ministre</t>
        </is>
      </c>
      <c r="E1757" t="inlineStr">
        <is>
          <t>Marie-Claude Bibeau</t>
        </is>
      </c>
      <c r="F1757" t="inlineStr">
        <is>
          <t>To visit the Calgary Stampede.</t>
        </is>
      </c>
      <c r="G1757" t="inlineStr">
        <is>
          <t>Pour visiter le Stampede de Calgary.</t>
        </is>
      </c>
      <c r="H1757" s="1" t="n">
        <v>44754</v>
      </c>
      <c r="I1757" s="1" t="n">
        <v>44757</v>
      </c>
      <c r="J1757" t="inlineStr">
        <is>
          <t>Calgary (Alberta) Canada</t>
        </is>
      </c>
      <c r="K1757" t="inlineStr">
        <is>
          <t>Calgary (Alberta) Canada</t>
        </is>
      </c>
      <c r="P1757" t="n">
        <v>1326.64</v>
      </c>
      <c r="Q1757" t="n">
        <v>0</v>
      </c>
      <c r="R1757" t="n">
        <v>770.1900000000001</v>
      </c>
      <c r="S1757" t="n">
        <v>229.65</v>
      </c>
      <c r="T1757" t="n">
        <v>0</v>
      </c>
      <c r="U1757" t="n">
        <v>2326.48</v>
      </c>
      <c r="V1757" t="inlineStr">
        <is>
          <t>No Conference Fees</t>
        </is>
      </c>
      <c r="W1757" t="inlineStr">
        <is>
          <t>Pas de frais de conférence</t>
        </is>
      </c>
      <c r="X1757" t="inlineStr">
        <is>
          <t>aafc-aac</t>
        </is>
      </c>
      <c r="Y1757" t="inlineStr">
        <is>
          <t>Agriculture and Agri-Food Canada | Agriculture et Agroalimentaire Canada</t>
        </is>
      </c>
    </row>
    <row r="1758">
      <c r="A1758" t="inlineStr">
        <is>
          <t>T-2022-P5-0002</t>
        </is>
      </c>
      <c r="B1758" t="inlineStr">
        <is>
          <t>MPSES</t>
        </is>
      </c>
      <c r="C1758" t="inlineStr">
        <is>
          <t>Minister</t>
        </is>
      </c>
      <c r="D1758" t="inlineStr">
        <is>
          <t>Ministre</t>
        </is>
      </c>
      <c r="E1758" t="inlineStr">
        <is>
          <t>Marie-Claude Bibeau</t>
        </is>
      </c>
      <c r="F1758" t="inlineStr">
        <is>
          <t>To attend an Outreach in Manitoba and attend the meetings of Federal, Provincial and Territorial Ministers of Agriculture.</t>
        </is>
      </c>
      <c r="G1758" t="inlineStr">
        <is>
          <t>Pour assister à une campagne de sensibilisation au Manitoba et pour assister aux réunions des ministres de l'agriculture des gouvernements fédéral, provinciaux et territoriaux.</t>
        </is>
      </c>
      <c r="H1758" s="1" t="n">
        <v>44759</v>
      </c>
      <c r="I1758" s="1" t="n">
        <v>44764</v>
      </c>
      <c r="J1758" t="inlineStr">
        <is>
          <t>Calgary (Alberta) Canada; Winnipeg (Manitoba) Canada; Saskatoon (Saskatchewan) Candada</t>
        </is>
      </c>
      <c r="K1758" t="inlineStr">
        <is>
          <t>Calgary (Alberta) Canada; Winnipeg (Manitoba) Canada; Saskatoon (Saskatchewan) Candada</t>
        </is>
      </c>
      <c r="P1758" t="n">
        <v>3030.29</v>
      </c>
      <c r="Q1758" t="n">
        <v>23.39</v>
      </c>
      <c r="R1758" t="n">
        <v>904.78</v>
      </c>
      <c r="S1758" t="n">
        <v>273.45</v>
      </c>
      <c r="T1758" t="n">
        <v>0</v>
      </c>
      <c r="U1758" t="n">
        <v>4231.91</v>
      </c>
      <c r="V1758" t="inlineStr">
        <is>
          <t>No Conference Fees</t>
        </is>
      </c>
      <c r="W1758" t="inlineStr">
        <is>
          <t>Pas de frais de conférence</t>
        </is>
      </c>
      <c r="X1758" t="inlineStr">
        <is>
          <t>aafc-aac</t>
        </is>
      </c>
      <c r="Y1758" t="inlineStr">
        <is>
          <t>Agriculture and Agri-Food Canada | Agriculture et Agroalimentaire Canada</t>
        </is>
      </c>
    </row>
    <row r="1759">
      <c r="A1759" t="inlineStr">
        <is>
          <t>T-2022-P5-0003</t>
        </is>
      </c>
      <c r="B1759" t="inlineStr">
        <is>
          <t>MPSES</t>
        </is>
      </c>
      <c r="C1759" t="inlineStr">
        <is>
          <t>Senior Advisor</t>
        </is>
      </c>
      <c r="D1759" t="inlineStr">
        <is>
          <t xml:space="preserve">Conseiller principal </t>
        </is>
      </c>
      <c r="E1759" t="inlineStr">
        <is>
          <t xml:space="preserve">Abed Harb </t>
        </is>
      </c>
      <c r="F1759" t="inlineStr">
        <is>
          <t>To accompany the Minister to meet with AAFC Officials and visit research centre</t>
        </is>
      </c>
      <c r="G1759" t="inlineStr">
        <is>
          <t>Pour accompagner la ministre à une rencontre avec les représentants d'AAC et visiter le centre de recherche</t>
        </is>
      </c>
      <c r="H1759" s="1" t="n">
        <v>44746</v>
      </c>
      <c r="I1759" s="1" t="n">
        <v>44749</v>
      </c>
      <c r="J1759" t="inlineStr">
        <is>
          <t>Calgary (Alberta) Canada</t>
        </is>
      </c>
      <c r="K1759" t="inlineStr">
        <is>
          <t>Calgary (Alberta) Canada</t>
        </is>
      </c>
      <c r="P1759" t="n">
        <v>916.79</v>
      </c>
      <c r="Q1759" t="n">
        <v>201.26</v>
      </c>
      <c r="R1759" t="n">
        <v>261.78</v>
      </c>
      <c r="S1759" t="n">
        <v>185.35</v>
      </c>
      <c r="T1759" t="n">
        <v>0</v>
      </c>
      <c r="U1759" t="n">
        <v>1565.18</v>
      </c>
      <c r="V1759" t="inlineStr">
        <is>
          <t>No conference fee.</t>
        </is>
      </c>
      <c r="W1759" t="inlineStr">
        <is>
          <t>Pas de frais d'enregistrement</t>
        </is>
      </c>
      <c r="X1759" t="inlineStr">
        <is>
          <t>aafc-aac</t>
        </is>
      </c>
      <c r="Y1759" t="inlineStr">
        <is>
          <t>Agriculture and Agri-Food Canada | Agriculture et Agroalimentaire Canada</t>
        </is>
      </c>
    </row>
    <row r="1760">
      <c r="A1760" t="inlineStr">
        <is>
          <t>T-2022-P5-0004</t>
        </is>
      </c>
      <c r="B1760" t="inlineStr">
        <is>
          <t>MPSES</t>
        </is>
      </c>
      <c r="C1760" t="inlineStr">
        <is>
          <t>Director of Policy</t>
        </is>
      </c>
      <c r="D1760" t="inlineStr">
        <is>
          <t>Directeur des politiques</t>
        </is>
      </c>
      <c r="E1760" t="inlineStr">
        <is>
          <t>Jérémy Gauthier</t>
        </is>
      </c>
      <c r="F1760" t="inlineStr">
        <is>
          <t>To accompany the Minister to the meetings of Federal, Provincial and Territorial Ministers of Agriculture</t>
        </is>
      </c>
      <c r="G1760" t="inlineStr">
        <is>
          <t>Pour accompagner la ministre aux réunions des ministres de l'agriculture des gouvernements fédéral, provinciaux et territoriaux</t>
        </is>
      </c>
      <c r="H1760" s="1" t="n">
        <v>44761</v>
      </c>
      <c r="I1760" s="1" t="n">
        <v>44764</v>
      </c>
      <c r="J1760" t="inlineStr">
        <is>
          <t>Saskatoon (Sasckatchewan) Canada</t>
        </is>
      </c>
      <c r="K1760" t="inlineStr">
        <is>
          <t>Saskatoon (Sasckatchewan) Canada</t>
        </is>
      </c>
      <c r="P1760" t="n">
        <v>1509.12</v>
      </c>
      <c r="Q1760" t="n">
        <v>0</v>
      </c>
      <c r="R1760" t="n">
        <v>531.63</v>
      </c>
      <c r="S1760" t="n">
        <v>207.5</v>
      </c>
      <c r="T1760" t="n">
        <v>0</v>
      </c>
      <c r="U1760" t="n">
        <v>2248.25</v>
      </c>
      <c r="V1760" t="inlineStr">
        <is>
          <t>No Conference Fees</t>
        </is>
      </c>
      <c r="W1760" t="inlineStr">
        <is>
          <t>Pas de frais de conférence</t>
        </is>
      </c>
      <c r="X1760" t="inlineStr">
        <is>
          <t>aafc-aac</t>
        </is>
      </c>
      <c r="Y1760" t="inlineStr">
        <is>
          <t>Agriculture and Agri-Food Canada | Agriculture et Agroalimentaire Canada</t>
        </is>
      </c>
    </row>
    <row r="1761">
      <c r="A1761" t="inlineStr">
        <is>
          <t>T-2022-P5-0005</t>
        </is>
      </c>
      <c r="B1761" t="inlineStr">
        <is>
          <t>MPSES</t>
        </is>
      </c>
      <c r="C1761" t="inlineStr">
        <is>
          <t>Driver</t>
        </is>
      </c>
      <c r="D1761" t="inlineStr">
        <is>
          <t>Chauffeur</t>
        </is>
      </c>
      <c r="E1761" t="inlineStr">
        <is>
          <t>Michel Gendreau</t>
        </is>
      </c>
      <c r="F1761" t="inlineStr">
        <is>
          <t>Drive the Minister from her riding to the Montréal Airport.</t>
        </is>
      </c>
      <c r="G1761" t="inlineStr">
        <is>
          <t>Conduire la Ministre de sa circonscription à l'aéroport de Montréal.</t>
        </is>
      </c>
      <c r="H1761" s="1" t="n">
        <v>44783</v>
      </c>
      <c r="I1761" s="1" t="n">
        <v>44783</v>
      </c>
      <c r="J1761" t="inlineStr">
        <is>
          <t>Sherbrooke (Quebec) Canada; Montréal (Quebec) Canada</t>
        </is>
      </c>
      <c r="K1761" t="inlineStr">
        <is>
          <t>Sherbrooke (Québec) Canada; Montréal (Québec) Canada</t>
        </is>
      </c>
      <c r="P1761" t="n">
        <v>0</v>
      </c>
      <c r="Q1761" t="n">
        <v>3</v>
      </c>
      <c r="R1761" t="n">
        <v>0</v>
      </c>
      <c r="S1761" t="n">
        <v>22.15</v>
      </c>
      <c r="T1761" t="n">
        <v>0</v>
      </c>
      <c r="U1761" t="n">
        <v>25.15</v>
      </c>
      <c r="V1761" t="inlineStr">
        <is>
          <t>No conference fee</t>
        </is>
      </c>
      <c r="W1761" t="inlineStr">
        <is>
          <t>Pas de frais d'enregistrement</t>
        </is>
      </c>
      <c r="X1761" t="inlineStr">
        <is>
          <t>aafc-aac</t>
        </is>
      </c>
      <c r="Y1761" t="inlineStr">
        <is>
          <t>Agriculture and Agri-Food Canada | Agriculture et Agroalimentaire Canada</t>
        </is>
      </c>
    </row>
    <row r="1762">
      <c r="A1762" t="inlineStr">
        <is>
          <t>T-2022-P5-0006</t>
        </is>
      </c>
      <c r="B1762" t="inlineStr">
        <is>
          <t>MPSES</t>
        </is>
      </c>
      <c r="C1762" t="inlineStr">
        <is>
          <t>Driver</t>
        </is>
      </c>
      <c r="D1762" t="inlineStr">
        <is>
          <t>Chauffeur</t>
        </is>
      </c>
      <c r="E1762" t="inlineStr">
        <is>
          <t>Michel Gendreau</t>
        </is>
      </c>
      <c r="F1762" t="inlineStr">
        <is>
          <t>Drive the Minister from her riding to the Montreal Airport.</t>
        </is>
      </c>
      <c r="G1762" t="inlineStr">
        <is>
          <t>Conduire la Ministre de sa circonscription à l'aéroport de Montréal.</t>
        </is>
      </c>
      <c r="H1762" s="1" t="n">
        <v>44754</v>
      </c>
      <c r="I1762" s="1" t="n">
        <v>44754</v>
      </c>
      <c r="J1762" t="inlineStr">
        <is>
          <t>Sherbrooke (Quebec) Canada; Montréal (Quebec) Canada</t>
        </is>
      </c>
      <c r="K1762" t="inlineStr">
        <is>
          <t>Sherbrooke (Québec) Canada; Montréal (Québec) Canada</t>
        </is>
      </c>
      <c r="P1762" t="n">
        <v>0</v>
      </c>
      <c r="Q1762" t="n">
        <v>3</v>
      </c>
      <c r="R1762" t="n">
        <v>0</v>
      </c>
      <c r="S1762" t="n">
        <v>76.55</v>
      </c>
      <c r="T1762" t="n">
        <v>0</v>
      </c>
      <c r="U1762" t="n">
        <v>79.55</v>
      </c>
      <c r="V1762" t="inlineStr">
        <is>
          <t>No conference fee</t>
        </is>
      </c>
      <c r="W1762" t="inlineStr">
        <is>
          <t>Pas de frais d'enregistrement</t>
        </is>
      </c>
      <c r="X1762" t="inlineStr">
        <is>
          <t>aafc-aac</t>
        </is>
      </c>
      <c r="Y1762" t="inlineStr">
        <is>
          <t>Agriculture and Agri-Food Canada | Agriculture et Agroalimentaire Canada</t>
        </is>
      </c>
    </row>
    <row r="1763">
      <c r="A1763" t="inlineStr">
        <is>
          <t>T-2022-P5-0007</t>
        </is>
      </c>
      <c r="B1763" t="inlineStr">
        <is>
          <t>MPSES</t>
        </is>
      </c>
      <c r="C1763" t="inlineStr">
        <is>
          <t>Driver</t>
        </is>
      </c>
      <c r="D1763" t="inlineStr">
        <is>
          <t>Chauffeur</t>
        </is>
      </c>
      <c r="E1763" t="inlineStr">
        <is>
          <t>Michel Gendreau</t>
        </is>
      </c>
      <c r="F1763" t="inlineStr">
        <is>
          <t>Drive the Minister from her riding to the Montréal Airport.</t>
        </is>
      </c>
      <c r="G1763" t="inlineStr">
        <is>
          <t>Conduire la Ministre de sa circonscription à l'aéroport de Montréal.</t>
        </is>
      </c>
      <c r="H1763" s="1" t="n">
        <v>44759</v>
      </c>
      <c r="I1763" s="1" t="n">
        <v>44759</v>
      </c>
      <c r="J1763" t="inlineStr">
        <is>
          <t>Sherbrooke (Quebec) Canada; Montréal (Quebec) Canada</t>
        </is>
      </c>
      <c r="K1763" t="inlineStr">
        <is>
          <t>Sherbrooke (Québec) Canada; Montréal (Québec) Canada</t>
        </is>
      </c>
      <c r="P1763" t="n">
        <v>0</v>
      </c>
      <c r="Q1763" t="n">
        <v>3</v>
      </c>
      <c r="R1763" t="n">
        <v>0</v>
      </c>
      <c r="S1763" t="n">
        <v>54.4</v>
      </c>
      <c r="T1763" t="n">
        <v>0</v>
      </c>
      <c r="U1763" t="n">
        <v>57.4</v>
      </c>
      <c r="V1763" t="inlineStr">
        <is>
          <t>No conference fee</t>
        </is>
      </c>
      <c r="W1763" t="inlineStr">
        <is>
          <t>Pas de frais d'enregistrement</t>
        </is>
      </c>
      <c r="X1763" t="inlineStr">
        <is>
          <t>aafc-aac</t>
        </is>
      </c>
      <c r="Y1763" t="inlineStr">
        <is>
          <t>Agriculture and Agri-Food Canada | Agriculture et Agroalimentaire Canada</t>
        </is>
      </c>
    </row>
    <row r="1764">
      <c r="A1764" t="inlineStr">
        <is>
          <t>T-2022-P5-0008</t>
        </is>
      </c>
      <c r="B1764" t="inlineStr">
        <is>
          <t>MPSES</t>
        </is>
      </c>
      <c r="C1764" t="inlineStr">
        <is>
          <t>Social Media Manager</t>
        </is>
      </c>
      <c r="D1764" t="inlineStr">
        <is>
          <t>Directeur des médias sociaux</t>
        </is>
      </c>
      <c r="E1764" t="inlineStr">
        <is>
          <t>Malek-Michel Jamali</t>
        </is>
      </c>
      <c r="F1764" t="inlineStr">
        <is>
          <t>To accompany the Minister to visit AAFC's research center in Sherbrooke.</t>
        </is>
      </c>
      <c r="G1764" t="inlineStr">
        <is>
          <t>Pour accompagner la ministre pour visiter le centre de recherche d'AAC à Sherbrooke</t>
        </is>
      </c>
      <c r="H1764" s="1" t="n">
        <v>44746</v>
      </c>
      <c r="I1764" s="1" t="n">
        <v>44748</v>
      </c>
      <c r="J1764" t="inlineStr">
        <is>
          <t>Sherbrooke (Quebec) Canada</t>
        </is>
      </c>
      <c r="K1764" t="inlineStr">
        <is>
          <t>Sherbrooke (Québec) Canada</t>
        </is>
      </c>
      <c r="P1764" t="n">
        <v>0</v>
      </c>
      <c r="Q1764" t="n">
        <v>0</v>
      </c>
      <c r="R1764" t="n">
        <v>261.78</v>
      </c>
      <c r="S1764" t="n">
        <v>0</v>
      </c>
      <c r="T1764" t="n">
        <v>0</v>
      </c>
      <c r="U1764" t="n">
        <v>261.78</v>
      </c>
      <c r="V1764" t="inlineStr">
        <is>
          <t>No Conference Fees</t>
        </is>
      </c>
      <c r="W1764" t="inlineStr">
        <is>
          <t>Pas de frais de conférence</t>
        </is>
      </c>
      <c r="X1764" t="inlineStr">
        <is>
          <t>aafc-aac</t>
        </is>
      </c>
      <c r="Y1764" t="inlineStr">
        <is>
          <t>Agriculture and Agri-Food Canada | Agriculture et Agroalimentaire Canada</t>
        </is>
      </c>
    </row>
    <row r="1765">
      <c r="A1765" t="inlineStr">
        <is>
          <t>T-2022-P5-0009</t>
        </is>
      </c>
      <c r="B1765" t="inlineStr">
        <is>
          <t>MPSES</t>
        </is>
      </c>
      <c r="C1765" t="inlineStr">
        <is>
          <t>Policy Advisor</t>
        </is>
      </c>
      <c r="D1765" t="inlineStr">
        <is>
          <t>Conseillère en politiques</t>
        </is>
      </c>
      <c r="E1765" t="inlineStr">
        <is>
          <t>Christine Harvey</t>
        </is>
      </c>
      <c r="F1765" t="inlineStr">
        <is>
          <t>To accompany the Minister to ministerial announcements in Sherbrooke and Coaticook, Quebec.</t>
        </is>
      </c>
      <c r="G1765" t="inlineStr">
        <is>
          <t>Accompagner la Ministre à des annonces ministérielles à Sherbrooke et Coaticook, Québec.</t>
        </is>
      </c>
      <c r="H1765" s="1" t="n">
        <v>44741</v>
      </c>
      <c r="I1765" s="1" t="n">
        <v>44742</v>
      </c>
      <c r="J1765" t="inlineStr">
        <is>
          <t>Sherbrooke (Quebec) Canada; Coaticook (Quebec) Canada</t>
        </is>
      </c>
      <c r="K1765" t="inlineStr">
        <is>
          <t>Sherbrooke (Québec) Canada; Coaticook (Québec) Canada</t>
        </is>
      </c>
      <c r="P1765" t="n">
        <v>0</v>
      </c>
      <c r="Q1765" t="n">
        <v>195.36</v>
      </c>
      <c r="R1765" t="n">
        <v>118.98</v>
      </c>
      <c r="S1765" t="n">
        <v>120.6</v>
      </c>
      <c r="T1765" t="n">
        <v>0</v>
      </c>
      <c r="U1765" t="n">
        <v>434.94</v>
      </c>
      <c r="V1765" t="inlineStr">
        <is>
          <t>No Conference Fees</t>
        </is>
      </c>
      <c r="W1765" t="inlineStr">
        <is>
          <t>Pas de frais de conférence</t>
        </is>
      </c>
      <c r="X1765" t="inlineStr">
        <is>
          <t>aafc-aac</t>
        </is>
      </c>
      <c r="Y1765" t="inlineStr">
        <is>
          <t>Agriculture and Agri-Food Canada | Agriculture et Agroalimentaire Canada</t>
        </is>
      </c>
    </row>
    <row r="1766">
      <c r="A1766" t="inlineStr">
        <is>
          <t>T-2022-P5-0010</t>
        </is>
      </c>
      <c r="B1766" t="inlineStr">
        <is>
          <t>MPSES</t>
        </is>
      </c>
      <c r="C1766" t="inlineStr">
        <is>
          <t>Parliamentary Secretary Assistant</t>
        </is>
      </c>
      <c r="D1766" t="inlineStr">
        <is>
          <t>Secrétaire parlementaire adjoint</t>
        </is>
      </c>
      <c r="E1766" t="inlineStr">
        <is>
          <t>Patrick Mangan</t>
        </is>
      </c>
      <c r="F1766" t="inlineStr">
        <is>
          <t>To accompany the Minister to visit AAFC's research center in Sherbrooke.</t>
        </is>
      </c>
      <c r="G1766" t="inlineStr">
        <is>
          <t>Pour accompagner la ministre pour visiter le centre de recherche d'AAC à Sherbrooke</t>
        </is>
      </c>
      <c r="H1766" s="1" t="n">
        <v>44746</v>
      </c>
      <c r="I1766" s="1" t="n">
        <v>44749</v>
      </c>
      <c r="J1766" t="inlineStr">
        <is>
          <t>Sherbrooke (Quebec) Canada</t>
        </is>
      </c>
      <c r="K1766" t="inlineStr">
        <is>
          <t>Sherbrooke (Québec) Canada</t>
        </is>
      </c>
      <c r="P1766" t="n">
        <v>0</v>
      </c>
      <c r="Q1766" t="n">
        <v>0</v>
      </c>
      <c r="R1766" t="n">
        <v>237.96</v>
      </c>
      <c r="S1766" t="n">
        <v>0</v>
      </c>
      <c r="T1766" t="n">
        <v>0</v>
      </c>
      <c r="U1766" t="n">
        <v>237.96</v>
      </c>
      <c r="V1766" t="inlineStr">
        <is>
          <t>No conference fee.</t>
        </is>
      </c>
      <c r="W1766" t="inlineStr">
        <is>
          <t>Pas de frais d'enregistrement</t>
        </is>
      </c>
      <c r="X1766" t="inlineStr">
        <is>
          <t>aafc-aac</t>
        </is>
      </c>
      <c r="Y1766" t="inlineStr">
        <is>
          <t>Agriculture and Agri-Food Canada | Agriculture et Agroalimentaire Canada</t>
        </is>
      </c>
    </row>
    <row r="1767">
      <c r="A1767" t="inlineStr">
        <is>
          <t>T-2022-P5-0011</t>
        </is>
      </c>
      <c r="B1767" t="inlineStr">
        <is>
          <t>MPSES</t>
        </is>
      </c>
      <c r="C1767" t="inlineStr">
        <is>
          <t>Deputy Minister</t>
        </is>
      </c>
      <c r="D1767" t="inlineStr">
        <is>
          <t>Sous-ministre</t>
        </is>
      </c>
      <c r="E1767" t="inlineStr">
        <is>
          <t>Chris Forbes</t>
        </is>
      </c>
      <c r="F1767" t="inlineStr">
        <is>
          <t>To attend the meetings of Federal, Provincial and Territorial Ministers of Agriculture</t>
        </is>
      </c>
      <c r="G1767" t="inlineStr">
        <is>
          <t>Pour assister aux réunions des ministres de l'agriculture des gouvernements fédéral, provinciaux et territoriaux</t>
        </is>
      </c>
      <c r="H1767" s="1" t="n">
        <v>44760</v>
      </c>
      <c r="I1767" s="1" t="n">
        <v>44765</v>
      </c>
      <c r="J1767" t="inlineStr">
        <is>
          <t>Calgary (Alberta) Canada; Saskatoon (Saskatchewan) Canada</t>
        </is>
      </c>
      <c r="K1767" t="inlineStr">
        <is>
          <t>Calgary (Alberta) Canada; Saskatoon (Saskatchewan) Canada</t>
        </is>
      </c>
      <c r="P1767" t="n">
        <v>2042.48</v>
      </c>
      <c r="Q1767" t="n">
        <v>0</v>
      </c>
      <c r="R1767" t="n">
        <v>732.59</v>
      </c>
      <c r="S1767" t="n">
        <v>207.5</v>
      </c>
      <c r="T1767" t="n">
        <v>0</v>
      </c>
      <c r="U1767" t="n">
        <v>2982.57</v>
      </c>
      <c r="V1767" t="inlineStr">
        <is>
          <t>No Conference Fees</t>
        </is>
      </c>
      <c r="W1767" t="inlineStr">
        <is>
          <t>Pas de frais de conférence</t>
        </is>
      </c>
      <c r="X1767" t="inlineStr">
        <is>
          <t>aafc-aac</t>
        </is>
      </c>
      <c r="Y1767" t="inlineStr">
        <is>
          <t>Agriculture and Agri-Food Canada | Agriculture et Agroalimentaire Canada</t>
        </is>
      </c>
    </row>
    <row r="1768">
      <c r="A1768" t="inlineStr">
        <is>
          <t>T-2022-P5-0012</t>
        </is>
      </c>
      <c r="B1768" t="inlineStr">
        <is>
          <t>SLE</t>
        </is>
      </c>
      <c r="C1768" t="inlineStr">
        <is>
          <t>Assistant Deputy Minister, International Affairs Branch</t>
        </is>
      </c>
      <c r="D1768" t="inlineStr">
        <is>
          <t>Sous-ministre adjointe, Direction générale des affaires internationales</t>
        </is>
      </c>
      <c r="E1768" t="inlineStr">
        <is>
          <t>Kathleen Donohue</t>
        </is>
      </c>
      <c r="F1768" t="inlineStr">
        <is>
          <t>Training</t>
        </is>
      </c>
      <c r="G1768" t="inlineStr">
        <is>
          <t>Formation</t>
        </is>
      </c>
      <c r="H1768" s="1" t="n">
        <v>44722</v>
      </c>
      <c r="I1768" s="1" t="n">
        <v>44729</v>
      </c>
      <c r="J1768" t="inlineStr">
        <is>
          <t>Victoria and Vancouver (British Colombia) Canada</t>
        </is>
      </c>
      <c r="K1768" t="inlineStr">
        <is>
          <t>Victoria et Vancouver (Colombie-Britannique) Canada</t>
        </is>
      </c>
      <c r="P1768" t="n">
        <v>416.4</v>
      </c>
      <c r="Q1768" t="n">
        <v>190.15</v>
      </c>
      <c r="R1768" t="n">
        <v>1167.53</v>
      </c>
      <c r="S1768" t="n">
        <v>833.5</v>
      </c>
      <c r="T1768" t="n">
        <v>0</v>
      </c>
      <c r="U1768" t="n">
        <v>2607.58</v>
      </c>
      <c r="X1768" t="inlineStr">
        <is>
          <t>aafc-aac</t>
        </is>
      </c>
      <c r="Y1768" t="inlineStr">
        <is>
          <t>Agriculture and Agri-Food Canada | Agriculture et Agroalimentaire Canada</t>
        </is>
      </c>
    </row>
    <row r="1769">
      <c r="A1769" t="inlineStr">
        <is>
          <t>T-2022-P5-0013</t>
        </is>
      </c>
      <c r="B1769" t="inlineStr">
        <is>
          <t>SLE</t>
        </is>
      </c>
      <c r="C1769" t="inlineStr">
        <is>
          <t>Assistant Deputy Minister, Strategic Policy Branch</t>
        </is>
      </c>
      <c r="D1769" t="inlineStr">
        <is>
          <t>Sous-ministre adjointe, Direction générale des politiques stratégiques</t>
        </is>
      </c>
      <c r="E1769" t="inlineStr">
        <is>
          <t>Natasha Kim</t>
        </is>
      </c>
      <c r="F1769" t="inlineStr">
        <is>
          <t>To attend the meetings of Federal, Provincial and Territorial Ministers of Agriculture</t>
        </is>
      </c>
      <c r="G1769" t="inlineStr">
        <is>
          <t>Pour assister aux réunions des ministres de l'agriculture des gouvernements fédéral, provinciaux et territoriaux</t>
        </is>
      </c>
      <c r="H1769" s="1" t="n">
        <v>44760</v>
      </c>
      <c r="I1769" s="1" t="n">
        <v>44764</v>
      </c>
      <c r="J1769" t="inlineStr">
        <is>
          <t>Saskatoon (Sasketchewan) Caaada</t>
        </is>
      </c>
      <c r="K1769" t="inlineStr">
        <is>
          <t>Saskatoon (Sasketchewan) Caaada</t>
        </is>
      </c>
      <c r="P1769" t="n">
        <v>1099.63</v>
      </c>
      <c r="Q1769" t="n">
        <v>0</v>
      </c>
      <c r="R1769" t="n">
        <v>732.59</v>
      </c>
      <c r="S1769" t="n">
        <v>261.5</v>
      </c>
      <c r="T1769" t="n">
        <v>400</v>
      </c>
      <c r="U1769" t="n">
        <v>2493.72</v>
      </c>
      <c r="X1769" t="inlineStr">
        <is>
          <t>aafc-aac</t>
        </is>
      </c>
      <c r="Y1769" t="inlineStr">
        <is>
          <t>Agriculture and Agri-Food Canada | Agriculture et Agroalimentaire Canada</t>
        </is>
      </c>
    </row>
    <row r="1770">
      <c r="A1770" t="inlineStr">
        <is>
          <t>T-2022-P5-0014</t>
        </is>
      </c>
      <c r="B1770" t="inlineStr">
        <is>
          <t>SLE</t>
        </is>
      </c>
      <c r="C1770" t="inlineStr">
        <is>
          <t>Assistant Deputy Minister, Strategic Policy Branch</t>
        </is>
      </c>
      <c r="D1770" t="inlineStr">
        <is>
          <t>Sous-ministre adjointe, Direction générale des politiques stratégiques</t>
        </is>
      </c>
      <c r="E1770" t="inlineStr">
        <is>
          <t>Natasha Kim</t>
        </is>
      </c>
      <c r="F1770" t="inlineStr">
        <is>
          <t xml:space="preserve">To participate on an Outreach in Winnipeg. </t>
        </is>
      </c>
      <c r="G1770" t="inlineStr">
        <is>
          <t xml:space="preserve">Participer à une campagne de sensibilisation à Winnipeg. </t>
        </is>
      </c>
      <c r="H1770" s="1" t="n">
        <v>44780</v>
      </c>
      <c r="I1770" s="1" t="n">
        <v>44782</v>
      </c>
      <c r="J1770" t="inlineStr">
        <is>
          <t>Winnipeg (Manitoba) Canada</t>
        </is>
      </c>
      <c r="K1770" t="inlineStr">
        <is>
          <t>Winnipeg (Manitoba) Canada</t>
        </is>
      </c>
      <c r="P1770" t="n">
        <v>0</v>
      </c>
      <c r="Q1770" t="n">
        <v>51.86</v>
      </c>
      <c r="R1770" t="n">
        <v>255.6</v>
      </c>
      <c r="S1770" t="n">
        <v>248.8</v>
      </c>
      <c r="T1770" t="n">
        <v>0</v>
      </c>
      <c r="U1770" t="n">
        <v>556.26</v>
      </c>
      <c r="X1770" t="inlineStr">
        <is>
          <t>aafc-aac</t>
        </is>
      </c>
      <c r="Y1770" t="inlineStr">
        <is>
          <t>Agriculture and Agri-Food Canada | Agriculture et Agroalimentaire Canada</t>
        </is>
      </c>
    </row>
    <row r="1771">
      <c r="A1771" t="inlineStr">
        <is>
          <t>T-2022-P5-0015</t>
        </is>
      </c>
      <c r="B1771" t="inlineStr">
        <is>
          <t>SLE</t>
        </is>
      </c>
      <c r="C1771" t="inlineStr">
        <is>
          <t>Assistant Deputy Minister, Strategic Policy Branch</t>
        </is>
      </c>
      <c r="D1771" t="inlineStr">
        <is>
          <t>Sous-ministre adjointe, Direction générale des politiques stratégiques</t>
        </is>
      </c>
      <c r="E1771" t="inlineStr">
        <is>
          <t>Natasha Kim</t>
        </is>
      </c>
      <c r="F1771" t="inlineStr">
        <is>
          <t xml:space="preserve">To attend the AgSmart Event in Olds, AB (near Calgary). </t>
        </is>
      </c>
      <c r="G1771" t="inlineStr">
        <is>
          <t xml:space="preserve">Participer à l'événement AgSmart à Olds, AB (près de Calgary). </t>
        </is>
      </c>
      <c r="H1771" s="1" t="n">
        <v>44782</v>
      </c>
      <c r="I1771" s="1" t="n">
        <v>44783</v>
      </c>
      <c r="J1771" t="inlineStr">
        <is>
          <t>Calgary (Alberta) Canada</t>
        </is>
      </c>
      <c r="K1771" t="inlineStr">
        <is>
          <t>Calgary (Alberta) Canada</t>
        </is>
      </c>
      <c r="P1771" t="n">
        <v>1319.48</v>
      </c>
      <c r="Q1771" t="n">
        <v>127.29</v>
      </c>
      <c r="R1771" t="n">
        <v>268.33</v>
      </c>
      <c r="S1771" t="n">
        <v>165.55</v>
      </c>
      <c r="T1771" t="n">
        <v>45.62</v>
      </c>
      <c r="U1771" t="n">
        <v>1926.27</v>
      </c>
      <c r="X1771" t="inlineStr">
        <is>
          <t>aafc-aac</t>
        </is>
      </c>
      <c r="Y1771" t="inlineStr">
        <is>
          <t>Agriculture and Agri-Food Canada | Agriculture et Agroalimentaire Canada</t>
        </is>
      </c>
    </row>
    <row r="1772">
      <c r="A1772" t="inlineStr">
        <is>
          <t>T-2022-P5-0016</t>
        </is>
      </c>
      <c r="B1772" t="inlineStr">
        <is>
          <t>SLE</t>
        </is>
      </c>
      <c r="C1772" t="inlineStr">
        <is>
          <t>Assistant Deputy Minister, Strategic Policy Branch</t>
        </is>
      </c>
      <c r="D1772" t="inlineStr">
        <is>
          <t>Sous-ministre adjointe, Direction générale des politiques stratégiques</t>
        </is>
      </c>
      <c r="E1772" t="inlineStr">
        <is>
          <t>Natasha Kim</t>
        </is>
      </c>
      <c r="F1772" t="inlineStr">
        <is>
          <t>To participate on an Outreach near Calgary, AB.</t>
        </is>
      </c>
      <c r="G1772" t="inlineStr">
        <is>
          <t>Participer à une campagne de la sensibilisation près de Calgary, AB.</t>
        </is>
      </c>
      <c r="H1772" s="1" t="n">
        <v>44783</v>
      </c>
      <c r="I1772" s="1" t="n">
        <v>44784</v>
      </c>
      <c r="J1772" t="inlineStr">
        <is>
          <t>Calgary (Alberta) Canada</t>
        </is>
      </c>
      <c r="K1772" t="inlineStr">
        <is>
          <t>Calgary (Alberta) Canada</t>
        </is>
      </c>
      <c r="P1772" t="n">
        <v>0</v>
      </c>
      <c r="Q1772" t="n">
        <v>0</v>
      </c>
      <c r="R1772" t="n">
        <v>207.74</v>
      </c>
      <c r="S1772" t="n">
        <v>71.7</v>
      </c>
      <c r="T1772" t="n">
        <v>0</v>
      </c>
      <c r="U1772" t="n">
        <v>279.44</v>
      </c>
      <c r="X1772" t="inlineStr">
        <is>
          <t>aafc-aac</t>
        </is>
      </c>
      <c r="Y1772" t="inlineStr">
        <is>
          <t>Agriculture and Agri-Food Canada | Agriculture et Agroalimentaire Canada</t>
        </is>
      </c>
    </row>
    <row r="1773">
      <c r="A1773" t="inlineStr">
        <is>
          <t>T-2022-P5-0017</t>
        </is>
      </c>
      <c r="B1773" t="inlineStr">
        <is>
          <t>SLE</t>
        </is>
      </c>
      <c r="C1773" t="inlineStr">
        <is>
          <t>Assistant Deputy Minister, Programs Branch</t>
        </is>
      </c>
      <c r="D1773" t="inlineStr">
        <is>
          <t>Sous-ministre adjointe, Direction générale des programmes</t>
        </is>
      </c>
      <c r="E1773" t="inlineStr">
        <is>
          <t>Liz Foster</t>
        </is>
      </c>
      <c r="F1773" t="inlineStr">
        <is>
          <t>FPT Policy and BRM ADMs In Person Meeting</t>
        </is>
      </c>
      <c r="G1773" t="inlineStr">
        <is>
          <t>Réunion en personne des SMA FPT chargés des politiques et de la GRE</t>
        </is>
      </c>
      <c r="H1773" s="1" t="n">
        <v>44748</v>
      </c>
      <c r="I1773" s="1" t="n">
        <v>44749</v>
      </c>
      <c r="J1773" t="inlineStr">
        <is>
          <t>Toronto (Ontario) Canada</t>
        </is>
      </c>
      <c r="K1773" t="inlineStr">
        <is>
          <t>Toronto (Ontario) Canada</t>
        </is>
      </c>
      <c r="P1773" t="n">
        <v>1064.57</v>
      </c>
      <c r="Q1773" t="n">
        <v>0</v>
      </c>
      <c r="R1773" t="n">
        <v>151.6</v>
      </c>
      <c r="S1773" t="n">
        <v>110.9</v>
      </c>
      <c r="T1773" t="n">
        <v>0</v>
      </c>
      <c r="U1773" t="n">
        <v>1327.07</v>
      </c>
      <c r="X1773" t="inlineStr">
        <is>
          <t>aafc-aac</t>
        </is>
      </c>
      <c r="Y1773" t="inlineStr">
        <is>
          <t>Agriculture and Agri-Food Canada | Agriculture et Agroalimentaire Canada</t>
        </is>
      </c>
    </row>
    <row r="1774">
      <c r="A1774" t="inlineStr">
        <is>
          <t>T-2022-P5-0018</t>
        </is>
      </c>
      <c r="B1774" t="inlineStr">
        <is>
          <t>SLE</t>
        </is>
      </c>
      <c r="C1774" t="inlineStr">
        <is>
          <t>Assistant Deputy Minister, Programs Branch</t>
        </is>
      </c>
      <c r="D1774" t="inlineStr">
        <is>
          <t>Sous-ministre adjointe, Direction générale des programmes</t>
        </is>
      </c>
      <c r="E1774" t="inlineStr">
        <is>
          <t>Liz Foster</t>
        </is>
      </c>
      <c r="F1774" t="inlineStr">
        <is>
          <t>To attend the meetings of Federal, Provincial and Territorial Ministers of Agriculture</t>
        </is>
      </c>
      <c r="G1774" t="inlineStr">
        <is>
          <t>Pour assister aux réunions des ministres de l'agriculture des gouvernements fédéral, provinciaux et territoriaux</t>
        </is>
      </c>
      <c r="H1774" s="1" t="n">
        <v>44761</v>
      </c>
      <c r="I1774" s="1" t="n">
        <v>44764</v>
      </c>
      <c r="J1774" t="inlineStr">
        <is>
          <t>Saskatoon (Saskatchewan) Canada</t>
        </is>
      </c>
      <c r="K1774" t="inlineStr">
        <is>
          <t>Saskatoon (Saskatchewan) Canada</t>
        </is>
      </c>
      <c r="P1774" t="n">
        <v>1429.64</v>
      </c>
      <c r="Q1774" t="n">
        <v>96</v>
      </c>
      <c r="R1774" t="n">
        <v>531.63</v>
      </c>
      <c r="S1774" t="n">
        <v>244.2</v>
      </c>
      <c r="T1774" t="n">
        <v>375</v>
      </c>
      <c r="U1774" t="n">
        <v>2676.47</v>
      </c>
      <c r="X1774" t="inlineStr">
        <is>
          <t>aafc-aac</t>
        </is>
      </c>
      <c r="Y1774" t="inlineStr">
        <is>
          <t>Agriculture and Agri-Food Canada | Agriculture et Agroalimentaire Canada</t>
        </is>
      </c>
    </row>
    <row r="1775">
      <c r="A1775" t="inlineStr">
        <is>
          <t>T-2022-P5-0019</t>
        </is>
      </c>
      <c r="B1775" t="inlineStr">
        <is>
          <t>SLE</t>
        </is>
      </c>
      <c r="C1775" t="inlineStr">
        <is>
          <t>Assistant Deputy Minister, Market and Industry Services Branch</t>
        </is>
      </c>
      <c r="D1775" t="inlineStr">
        <is>
          <t>Sous-ministre adjoint, Direction générale des services à l'industrie et aux marchés</t>
        </is>
      </c>
      <c r="E1775" t="inlineStr">
        <is>
          <t>Tom Rosser</t>
        </is>
      </c>
      <c r="F1775" t="inlineStr">
        <is>
          <t>Participate in the Arrell Food Summit 2022, regional staff meetings, and a Toronto Global Forum event.</t>
        </is>
      </c>
      <c r="G1775" t="inlineStr">
        <is>
          <t>Participer au Sommet de l’alimentation Arrell 2022, aux réunions régionales du personnel et à l’événement du Forum mondial de Toronto.</t>
        </is>
      </c>
      <c r="H1775" s="1" t="n">
        <v>44738</v>
      </c>
      <c r="I1775" s="1" t="n">
        <v>44741</v>
      </c>
      <c r="J1775" t="inlineStr">
        <is>
          <t>Guelph (Ontario) Canada</t>
        </is>
      </c>
      <c r="K1775" t="inlineStr">
        <is>
          <t>Guelph (Ontario) Canada</t>
        </is>
      </c>
      <c r="P1775" t="n">
        <v>677.37</v>
      </c>
      <c r="Q1775" t="n">
        <v>495.8</v>
      </c>
      <c r="R1775" t="n">
        <v>0</v>
      </c>
      <c r="S1775" t="n">
        <v>111.15</v>
      </c>
      <c r="T1775" t="n">
        <v>0</v>
      </c>
      <c r="U1775" t="n">
        <v>1284.32</v>
      </c>
      <c r="X1775" t="inlineStr">
        <is>
          <t>aafc-aac</t>
        </is>
      </c>
      <c r="Y1775" t="inlineStr">
        <is>
          <t>Agriculture and Agri-Food Canada | Agriculture et Agroalimentaire Canada</t>
        </is>
      </c>
    </row>
    <row r="1776">
      <c r="A1776" t="inlineStr">
        <is>
          <t>T-2022-P5-0020</t>
        </is>
      </c>
      <c r="B1776" t="inlineStr">
        <is>
          <t>SLE</t>
        </is>
      </c>
      <c r="C1776" t="inlineStr">
        <is>
          <t>Assistant Deputy Minister, Market and Industry Services Branch</t>
        </is>
      </c>
      <c r="D1776" t="inlineStr">
        <is>
          <t>Sous-ministre adjoint, Direction générale des services à l'industrie et aux marchés</t>
        </is>
      </c>
      <c r="E1776" t="inlineStr">
        <is>
          <t>Tom Rosser</t>
        </is>
      </c>
      <c r="F1776" t="inlineStr">
        <is>
          <t>Participate in the meetings of Federal, Provincial and Territorial Ministers of Agriculture and regional outreach.</t>
        </is>
      </c>
      <c r="G1776" t="inlineStr">
        <is>
          <t>Participer aux réunions des ministres de l'agriculture des gouvernements fédéral, provinciaux et territoriaux et de la sensibilisation régionale.</t>
        </is>
      </c>
      <c r="H1776" s="1" t="n">
        <v>44760</v>
      </c>
      <c r="I1776" s="1" t="n">
        <v>44765</v>
      </c>
      <c r="J1776" t="inlineStr">
        <is>
          <t>Saskatoon (Saskatchewan) Canada</t>
        </is>
      </c>
      <c r="K1776" t="inlineStr">
        <is>
          <t>Saskatoon (Saskatchewan) Canada</t>
        </is>
      </c>
      <c r="P1776" t="n">
        <v>1539.87</v>
      </c>
      <c r="Q1776" t="n">
        <v>147.67</v>
      </c>
      <c r="R1776" t="n">
        <v>880.2</v>
      </c>
      <c r="S1776" t="n">
        <v>596.05</v>
      </c>
      <c r="T1776" t="n">
        <v>423.49</v>
      </c>
      <c r="U1776" t="n">
        <v>3587.28</v>
      </c>
      <c r="X1776" t="inlineStr">
        <is>
          <t>aafc-aac</t>
        </is>
      </c>
      <c r="Y1776" t="inlineStr">
        <is>
          <t>Agriculture and Agri-Food Canada | Agriculture et Agroalimentaire Canada</t>
        </is>
      </c>
    </row>
    <row r="1777">
      <c r="A1777" t="inlineStr">
        <is>
          <t>T-2022-P6-0001</t>
        </is>
      </c>
      <c r="B1777" t="inlineStr">
        <is>
          <t>MPSES</t>
        </is>
      </c>
      <c r="C1777" t="inlineStr">
        <is>
          <t>Minister</t>
        </is>
      </c>
      <c r="D1777" t="inlineStr">
        <is>
          <t>Ministre</t>
        </is>
      </c>
      <c r="E1777" t="inlineStr">
        <is>
          <t>Marie-Claude Bibeau</t>
        </is>
      </c>
      <c r="F1777" t="inlineStr">
        <is>
          <t>To attend the Federal-Provincial-Teritorial meeting</t>
        </is>
      </c>
      <c r="G1777" t="inlineStr">
        <is>
          <t>Pour assister à la rencontre fédérale-provinciale-territoriale</t>
        </is>
      </c>
      <c r="H1777" s="1" t="n">
        <v>44761</v>
      </c>
      <c r="I1777" s="1" t="n">
        <v>44761</v>
      </c>
      <c r="J1777" t="inlineStr">
        <is>
          <t>Saskatoon (Saskatchewan) Canada</t>
        </is>
      </c>
      <c r="K1777" t="inlineStr">
        <is>
          <t>Saskatoon (Saskatchewan) Canada</t>
        </is>
      </c>
      <c r="P1777" t="n">
        <v>0</v>
      </c>
      <c r="Q1777" t="n">
        <v>0</v>
      </c>
      <c r="R1777" t="n">
        <v>0</v>
      </c>
      <c r="S1777" t="n">
        <v>0</v>
      </c>
      <c r="T1777" t="n">
        <v>375</v>
      </c>
      <c r="U1777" t="n">
        <v>375</v>
      </c>
      <c r="V1777" t="inlineStr">
        <is>
          <t>Conference fee only</t>
        </is>
      </c>
      <c r="W1777" t="inlineStr">
        <is>
          <t>Frais de conférence seulement</t>
        </is>
      </c>
      <c r="X1777" t="inlineStr">
        <is>
          <t>aafc-aac</t>
        </is>
      </c>
      <c r="Y1777" t="inlineStr">
        <is>
          <t>Agriculture and Agri-Food Canada | Agriculture et Agroalimentaire Canada</t>
        </is>
      </c>
    </row>
    <row r="1778">
      <c r="A1778" t="inlineStr">
        <is>
          <t>T-2022-P6-0002</t>
        </is>
      </c>
      <c r="B1778" t="inlineStr">
        <is>
          <t>MPSES</t>
        </is>
      </c>
      <c r="C1778" t="inlineStr">
        <is>
          <t>Minister</t>
        </is>
      </c>
      <c r="D1778" t="inlineStr">
        <is>
          <t>Ministre</t>
        </is>
      </c>
      <c r="E1778" t="inlineStr">
        <is>
          <t>Marie-Claude Bibeau</t>
        </is>
      </c>
      <c r="F1778" t="inlineStr">
        <is>
          <t>To attend the Northern Ontario Tour</t>
        </is>
      </c>
      <c r="G1778" t="inlineStr">
        <is>
          <t>Pour assister à la tournée du Nord de l'Ontario</t>
        </is>
      </c>
      <c r="H1778" s="1" t="n">
        <v>44783</v>
      </c>
      <c r="I1778" s="1" t="n">
        <v>44785</v>
      </c>
      <c r="J1778" t="inlineStr">
        <is>
          <t>Sudbury (Ontario) Canada</t>
        </is>
      </c>
      <c r="K1778" t="inlineStr">
        <is>
          <t>Sudbury (Ontario) Canada</t>
        </is>
      </c>
      <c r="P1778" t="n">
        <v>796.3099999999999</v>
      </c>
      <c r="Q1778" t="n">
        <v>0</v>
      </c>
      <c r="R1778" t="n">
        <v>282.02</v>
      </c>
      <c r="S1778" t="n">
        <v>130.95</v>
      </c>
      <c r="T1778" t="n">
        <v>0</v>
      </c>
      <c r="U1778" t="n">
        <v>1209.28</v>
      </c>
      <c r="V1778" t="inlineStr">
        <is>
          <t>No Conference Fees</t>
        </is>
      </c>
      <c r="W1778" t="inlineStr">
        <is>
          <t>Pas de frais de conférence</t>
        </is>
      </c>
      <c r="X1778" t="inlineStr">
        <is>
          <t>aafc-aac</t>
        </is>
      </c>
      <c r="Y1778" t="inlineStr">
        <is>
          <t>Agriculture and Agri-Food Canada | Agriculture et Agroalimentaire Canada</t>
        </is>
      </c>
    </row>
    <row r="1779">
      <c r="A1779" t="inlineStr">
        <is>
          <t>T-2022-P6-0003</t>
        </is>
      </c>
      <c r="B1779" t="inlineStr">
        <is>
          <t>MPSES</t>
        </is>
      </c>
      <c r="C1779" t="inlineStr">
        <is>
          <t>Minister</t>
        </is>
      </c>
      <c r="D1779" t="inlineStr">
        <is>
          <t>Ministre</t>
        </is>
      </c>
      <c r="E1779" t="inlineStr">
        <is>
          <t>Marie-Claude Bibeau</t>
        </is>
      </c>
      <c r="F1779" t="inlineStr">
        <is>
          <t>To attend the Atlantic Tour</t>
        </is>
      </c>
      <c r="G1779" t="inlineStr">
        <is>
          <t>Pour assister à la tournée Atlantique</t>
        </is>
      </c>
      <c r="H1779" s="1" t="n">
        <v>44787</v>
      </c>
      <c r="I1779" s="1" t="n">
        <v>44789</v>
      </c>
      <c r="J1779" t="inlineStr">
        <is>
          <t>Halifax (Nova-Scotia) Canada</t>
        </is>
      </c>
      <c r="K1779" t="inlineStr">
        <is>
          <t>Halifax (Nouvelle-Écosse) Canada</t>
        </is>
      </c>
      <c r="P1779" t="n">
        <v>1102.38</v>
      </c>
      <c r="Q1779" t="n">
        <v>0</v>
      </c>
      <c r="R1779" t="n">
        <v>384.75</v>
      </c>
      <c r="S1779" t="n">
        <v>174.75</v>
      </c>
      <c r="T1779" t="n">
        <v>0</v>
      </c>
      <c r="U1779" t="n">
        <v>1661.88</v>
      </c>
      <c r="V1779" t="inlineStr">
        <is>
          <t>No Conference Fees</t>
        </is>
      </c>
      <c r="W1779" t="inlineStr">
        <is>
          <t>Pas de frais de conférence</t>
        </is>
      </c>
      <c r="X1779" t="inlineStr">
        <is>
          <t>aafc-aac</t>
        </is>
      </c>
      <c r="Y1779" t="inlineStr">
        <is>
          <t>Agriculture and Agri-Food Canada | Agriculture et Agroalimentaire Canada</t>
        </is>
      </c>
    </row>
    <row r="1780">
      <c r="A1780" t="inlineStr">
        <is>
          <t>T-2022-P6-0004</t>
        </is>
      </c>
      <c r="B1780" t="inlineStr">
        <is>
          <t>MPSES</t>
        </is>
      </c>
      <c r="C1780" t="inlineStr">
        <is>
          <t>Minister</t>
        </is>
      </c>
      <c r="D1780" t="inlineStr">
        <is>
          <t>Ministre</t>
        </is>
      </c>
      <c r="E1780" t="inlineStr">
        <is>
          <t>Marie-Claude Bibeau</t>
        </is>
      </c>
      <c r="F1780" t="inlineStr">
        <is>
          <t>To attend a roundtable with women farmers and a visit to Living Labs</t>
        </is>
      </c>
      <c r="G1780" t="inlineStr">
        <is>
          <t>Participer à une table ronde avec des agricultrices et à une visite du laboratoire vivant</t>
        </is>
      </c>
      <c r="H1780" s="1" t="n">
        <v>44799</v>
      </c>
      <c r="I1780" s="1" t="n">
        <v>44803</v>
      </c>
      <c r="J1780" t="inlineStr">
        <is>
          <t>Rivière-du-Loup (Quebec) Canada
Rimouski (Quebec) Canada
Sainte-Anne-des-Monts (Quebec) Canada
Lévis (Quebec) Canada</t>
        </is>
      </c>
      <c r="K1780" t="inlineStr">
        <is>
          <t>Rivière-du-Loup (Québec) Canada
Rimouski (Québec) Canada
Sainte-Anne-des-Monts (Québec) Canada
Lévis (Québec) Canada</t>
        </is>
      </c>
      <c r="P1780" t="n">
        <v>0</v>
      </c>
      <c r="Q1780" t="n">
        <v>0</v>
      </c>
      <c r="R1780" t="n">
        <v>916.6900000000001</v>
      </c>
      <c r="S1780" t="n">
        <v>415.95</v>
      </c>
      <c r="T1780" t="n">
        <v>0</v>
      </c>
      <c r="U1780" t="n">
        <v>1332.64</v>
      </c>
      <c r="V1780" t="inlineStr">
        <is>
          <t>No Conference Fees</t>
        </is>
      </c>
      <c r="W1780" t="inlineStr">
        <is>
          <t>Pas de frais de conférence</t>
        </is>
      </c>
      <c r="X1780" t="inlineStr">
        <is>
          <t>aafc-aac</t>
        </is>
      </c>
      <c r="Y1780" t="inlineStr">
        <is>
          <t>Agriculture and Agri-Food Canada | Agriculture et Agroalimentaire Canada</t>
        </is>
      </c>
    </row>
    <row r="1781">
      <c r="A1781" t="inlineStr">
        <is>
          <t>T-2022-P6-0005</t>
        </is>
      </c>
      <c r="B1781" t="inlineStr">
        <is>
          <t>MPSES</t>
        </is>
      </c>
      <c r="C1781" t="inlineStr">
        <is>
          <t>Minister</t>
        </is>
      </c>
      <c r="D1781" t="inlineStr">
        <is>
          <t>Ministre</t>
        </is>
      </c>
      <c r="E1781" t="inlineStr">
        <is>
          <t>Marie-Claude Bibeau</t>
        </is>
      </c>
      <c r="F1781" t="inlineStr">
        <is>
          <t>To attend the Minister's Cabinet Retreat</t>
        </is>
      </c>
      <c r="G1781" t="inlineStr">
        <is>
          <t>Pour assister à la Retraite du Cabinet du Ministre</t>
        </is>
      </c>
      <c r="H1781" s="1" t="n">
        <v>44810</v>
      </c>
      <c r="I1781" s="1" t="n">
        <v>44813</v>
      </c>
      <c r="J1781" t="inlineStr">
        <is>
          <t>Vancouver (British Columbia) Canada</t>
        </is>
      </c>
      <c r="K1781" t="inlineStr">
        <is>
          <t>Vancouver (Colombie-Britannique) Canada</t>
        </is>
      </c>
      <c r="P1781" t="n">
        <v>1552.81</v>
      </c>
      <c r="Q1781" t="n">
        <v>0</v>
      </c>
      <c r="R1781" t="n">
        <v>1221.49</v>
      </c>
      <c r="S1781" t="n">
        <v>295.1</v>
      </c>
      <c r="T1781" t="n">
        <v>0</v>
      </c>
      <c r="U1781" t="n">
        <v>3069.4</v>
      </c>
      <c r="V1781" t="inlineStr">
        <is>
          <t>No Conference Fees</t>
        </is>
      </c>
      <c r="W1781" t="inlineStr">
        <is>
          <t>Pas de frais de conférence</t>
        </is>
      </c>
      <c r="X1781" t="inlineStr">
        <is>
          <t>aafc-aac</t>
        </is>
      </c>
      <c r="Y1781" t="inlineStr">
        <is>
          <t>Agriculture and Agri-Food Canada | Agriculture et Agroalimentaire Canada</t>
        </is>
      </c>
    </row>
    <row r="1782">
      <c r="A1782" t="inlineStr">
        <is>
          <t>T-2022-P6-0006</t>
        </is>
      </c>
      <c r="B1782" t="inlineStr">
        <is>
          <t>MPSES</t>
        </is>
      </c>
      <c r="C1782" t="inlineStr">
        <is>
          <t>Policy Advisor</t>
        </is>
      </c>
      <c r="D1782" t="inlineStr">
        <is>
          <t>Conseiller en politiques</t>
        </is>
      </c>
      <c r="E1782" t="inlineStr">
        <is>
          <t>Emerson Vanderberg</t>
        </is>
      </c>
      <c r="F1782" t="inlineStr">
        <is>
          <t>To accomany the Minister to attend the Manitoba Outreach and the Federal-Provincial-Teritorial meeting</t>
        </is>
      </c>
      <c r="G1782" t="inlineStr">
        <is>
          <t>Pour accompagner la Ministre pour assister à la sensibilisation du Manitoba et à la réunion fédérale-provinciale-territoriale</t>
        </is>
      </c>
      <c r="H1782" s="1" t="n">
        <v>44761</v>
      </c>
      <c r="I1782" s="1" t="n">
        <v>44765</v>
      </c>
      <c r="J1782" t="inlineStr">
        <is>
          <t>Saskatoon (Saskatchewan) Canada
Winnipeg (Manitoba) Canada</t>
        </is>
      </c>
      <c r="K1782" t="inlineStr">
        <is>
          <t>Saskatoon (Saskatchewan) Canada
Winnipeg (Manitoba) Canada</t>
        </is>
      </c>
      <c r="P1782" t="n">
        <v>2674.66</v>
      </c>
      <c r="Q1782" t="n">
        <v>43.15</v>
      </c>
      <c r="R1782" t="n">
        <v>904.78</v>
      </c>
      <c r="S1782" t="n">
        <v>426.3</v>
      </c>
      <c r="T1782" t="n">
        <v>375</v>
      </c>
      <c r="U1782" t="n">
        <v>4423.89</v>
      </c>
      <c r="V1782" t="inlineStr">
        <is>
          <t>Conference fee of $375 included</t>
        </is>
      </c>
      <c r="W1782" t="inlineStr">
        <is>
          <t>Frais de conférence de 375 $ inclus</t>
        </is>
      </c>
      <c r="X1782" t="inlineStr">
        <is>
          <t>aafc-aac</t>
        </is>
      </c>
      <c r="Y1782" t="inlineStr">
        <is>
          <t>Agriculture and Agri-Food Canada | Agriculture et Agroalimentaire Canada</t>
        </is>
      </c>
    </row>
    <row r="1783">
      <c r="A1783" t="inlineStr">
        <is>
          <t>T-2022-P6-0007</t>
        </is>
      </c>
      <c r="B1783" t="inlineStr">
        <is>
          <t>MPSES</t>
        </is>
      </c>
      <c r="C1783" t="inlineStr">
        <is>
          <t>Press Secretary</t>
        </is>
      </c>
      <c r="D1783" t="inlineStr">
        <is>
          <t>Attachée de presse</t>
        </is>
      </c>
      <c r="E1783" t="inlineStr">
        <is>
          <t>Marianne Dandurand</t>
        </is>
      </c>
      <c r="F1783" t="inlineStr">
        <is>
          <t>To accompany the Minister to the Calgary Stampede and to Winnipeg for the Manitoba Outreach.</t>
        </is>
      </c>
      <c r="G1783" t="inlineStr">
        <is>
          <t>Pour accompagner la ministre au Stampede de Calagary et lors d'une campagne de sensibilisation à Winnipeg, Manitoba</t>
        </is>
      </c>
      <c r="H1783" s="1" t="n">
        <v>44754</v>
      </c>
      <c r="I1783" s="1" t="n">
        <v>44759</v>
      </c>
      <c r="J1783" t="inlineStr">
        <is>
          <t>Calagary (Alberta) Canada
Winnipeg (Manitoba) Canada</t>
        </is>
      </c>
      <c r="K1783" t="inlineStr">
        <is>
          <t>Calagary (Alberta) Canada
Winnipeg (Manitoba) Canada</t>
        </is>
      </c>
      <c r="P1783" t="n">
        <v>2368.52</v>
      </c>
      <c r="Q1783" t="n">
        <v>194.87</v>
      </c>
      <c r="R1783" t="n">
        <v>1438.18</v>
      </c>
      <c r="S1783" t="n">
        <v>645.35</v>
      </c>
      <c r="T1783" t="n">
        <v>0</v>
      </c>
      <c r="U1783" t="n">
        <v>4646.92</v>
      </c>
      <c r="V1783" t="inlineStr">
        <is>
          <t>No Conference Fees</t>
        </is>
      </c>
      <c r="W1783" t="inlineStr">
        <is>
          <t>Pas de frais de conférence</t>
        </is>
      </c>
      <c r="X1783" t="inlineStr">
        <is>
          <t>aafc-aac</t>
        </is>
      </c>
      <c r="Y1783" t="inlineStr">
        <is>
          <t>Agriculture and Agri-Food Canada | Agriculture et Agroalimentaire Canada</t>
        </is>
      </c>
    </row>
    <row r="1784">
      <c r="A1784" t="inlineStr">
        <is>
          <t>T-2022-P6-0008</t>
        </is>
      </c>
      <c r="B1784" t="inlineStr">
        <is>
          <t>MPSES</t>
        </is>
      </c>
      <c r="C1784" t="inlineStr">
        <is>
          <t>Press Secretary</t>
        </is>
      </c>
      <c r="D1784" t="inlineStr">
        <is>
          <t>Attachée de presse</t>
        </is>
      </c>
      <c r="E1784" t="inlineStr">
        <is>
          <t>Marianne Dandurand</t>
        </is>
      </c>
      <c r="F1784" t="inlineStr">
        <is>
          <t>To accompany the Minister for the Atlantic Tour</t>
        </is>
      </c>
      <c r="G1784" t="inlineStr">
        <is>
          <t>Pour accompagner la Ministre pour la tournée en Altantique</t>
        </is>
      </c>
      <c r="H1784" s="1" t="n">
        <v>44787</v>
      </c>
      <c r="I1784" s="1" t="n">
        <v>44789</v>
      </c>
      <c r="J1784" t="inlineStr">
        <is>
          <t>Halifax (Nova-Scotia) Canada</t>
        </is>
      </c>
      <c r="K1784" t="inlineStr">
        <is>
          <t>Halifax (Nouvelle-Écosse) Canada</t>
        </is>
      </c>
      <c r="P1784" t="n">
        <v>901.7</v>
      </c>
      <c r="Q1784" t="n">
        <v>0</v>
      </c>
      <c r="R1784" t="n">
        <v>384.75</v>
      </c>
      <c r="S1784" t="n">
        <v>174.75</v>
      </c>
      <c r="T1784" t="n">
        <v>0</v>
      </c>
      <c r="U1784" t="n">
        <v>1461.2</v>
      </c>
      <c r="V1784" t="inlineStr">
        <is>
          <t>No Conference Fees</t>
        </is>
      </c>
      <c r="W1784" t="inlineStr">
        <is>
          <t>Pas de frais de conférence</t>
        </is>
      </c>
      <c r="X1784" t="inlineStr">
        <is>
          <t>aafc-aac</t>
        </is>
      </c>
      <c r="Y1784" t="inlineStr">
        <is>
          <t>Agriculture and Agri-Food Canada | Agriculture et Agroalimentaire Canada</t>
        </is>
      </c>
    </row>
    <row r="1785">
      <c r="A1785" t="inlineStr">
        <is>
          <t>T-2022-P6-0009</t>
        </is>
      </c>
      <c r="B1785" t="inlineStr">
        <is>
          <t>MPSES</t>
        </is>
      </c>
      <c r="C1785" t="inlineStr">
        <is>
          <t>Press Secretary</t>
        </is>
      </c>
      <c r="D1785" t="inlineStr">
        <is>
          <t>Attachée de presse</t>
        </is>
      </c>
      <c r="E1785" t="inlineStr">
        <is>
          <t>Marianne Dandurand</t>
        </is>
      </c>
      <c r="F1785" t="inlineStr">
        <is>
          <t>To accompany the Minister for the Canadian Agricultural Youth Council</t>
        </is>
      </c>
      <c r="G1785" t="inlineStr">
        <is>
          <t>Pour accompagner la Ministre au Conseil canadien de la jeunesse agricole</t>
        </is>
      </c>
      <c r="H1785" s="1" t="n">
        <v>44797</v>
      </c>
      <c r="I1785" s="1" t="n">
        <v>44797</v>
      </c>
      <c r="J1785" t="inlineStr">
        <is>
          <t>Dorval (Quebec) Canada</t>
        </is>
      </c>
      <c r="K1785" t="inlineStr">
        <is>
          <t>Dorval (Québec) Canada</t>
        </is>
      </c>
      <c r="P1785" t="n">
        <v>0</v>
      </c>
      <c r="Q1785" t="n">
        <v>217.76</v>
      </c>
      <c r="R1785" t="n">
        <v>0</v>
      </c>
      <c r="S1785" t="n">
        <v>54.4</v>
      </c>
      <c r="T1785" t="n">
        <v>0</v>
      </c>
      <c r="U1785" t="n">
        <v>272.16</v>
      </c>
      <c r="V1785" t="inlineStr">
        <is>
          <t>No Conference Fees</t>
        </is>
      </c>
      <c r="W1785" t="inlineStr">
        <is>
          <t>Pas de frais de conférence</t>
        </is>
      </c>
      <c r="X1785" t="inlineStr">
        <is>
          <t>aafc-aac</t>
        </is>
      </c>
      <c r="Y1785" t="inlineStr">
        <is>
          <t>Agriculture and Agri-Food Canada | Agriculture et Agroalimentaire Canada</t>
        </is>
      </c>
    </row>
    <row r="1786">
      <c r="A1786" t="inlineStr">
        <is>
          <t>T-2022-P6-0010</t>
        </is>
      </c>
      <c r="B1786" t="inlineStr">
        <is>
          <t>MPSES</t>
        </is>
      </c>
      <c r="C1786" t="inlineStr">
        <is>
          <t>Press Secretary</t>
        </is>
      </c>
      <c r="D1786" t="inlineStr">
        <is>
          <t>Attachée de presse</t>
        </is>
      </c>
      <c r="E1786" t="inlineStr">
        <is>
          <t>Marianne Dandurand</t>
        </is>
      </c>
      <c r="F1786" t="inlineStr">
        <is>
          <t>To accompany the Minister to a roundtable with women farmers and a visit to Living Labs</t>
        </is>
      </c>
      <c r="G1786" t="inlineStr">
        <is>
          <t>Pour participer à une table ronde avec des agricultrices et à une visite du laboratoire vivant</t>
        </is>
      </c>
      <c r="H1786" s="1" t="n">
        <v>44799</v>
      </c>
      <c r="I1786" s="1" t="n">
        <v>44803</v>
      </c>
      <c r="J1786" t="inlineStr">
        <is>
          <t>Rivière-du-Loup (Quebec) Canada
Rimouski (Quebec) Canada
St-Anne-des-Monts (Quebec) Canada
Lévis (Quebec) Canada</t>
        </is>
      </c>
      <c r="K1786" t="inlineStr">
        <is>
          <t>Rivière-du-Loup (Québec) Canada
Rimouski (Québec) Canada
Sainte-Anne-des-Monts (Québec) Canada
Lévis (Québec) Canada</t>
        </is>
      </c>
      <c r="P1786" t="n">
        <v>0</v>
      </c>
      <c r="Q1786" t="n">
        <v>0</v>
      </c>
      <c r="R1786" t="n">
        <v>977.02</v>
      </c>
      <c r="S1786" t="n">
        <v>415.95</v>
      </c>
      <c r="T1786" t="n">
        <v>0</v>
      </c>
      <c r="U1786" t="n">
        <v>1392.97</v>
      </c>
      <c r="V1786" t="inlineStr">
        <is>
          <t>No Conference Fees</t>
        </is>
      </c>
      <c r="W1786" t="inlineStr">
        <is>
          <t>Pas de frais de conférence</t>
        </is>
      </c>
      <c r="X1786" t="inlineStr">
        <is>
          <t>aafc-aac</t>
        </is>
      </c>
      <c r="Y1786" t="inlineStr">
        <is>
          <t>Agriculture and Agri-Food Canada | Agriculture et Agroalimentaire Canada</t>
        </is>
      </c>
    </row>
    <row r="1787">
      <c r="A1787" t="inlineStr">
        <is>
          <t>T-2022-P6-0011</t>
        </is>
      </c>
      <c r="B1787" t="inlineStr">
        <is>
          <t>MPSES</t>
        </is>
      </c>
      <c r="C1787" t="inlineStr">
        <is>
          <t>Press Secretary</t>
        </is>
      </c>
      <c r="D1787" t="inlineStr">
        <is>
          <t>Attachée de presse</t>
        </is>
      </c>
      <c r="E1787" t="inlineStr">
        <is>
          <t>Marianne Dandurand</t>
        </is>
      </c>
      <c r="F1787" t="inlineStr">
        <is>
          <t>Drive the Minister to the Montreal airport to catch her flight to Vancouver</t>
        </is>
      </c>
      <c r="G1787" t="inlineStr">
        <is>
          <t>Pour conduire la Ministre à l'aéroport de Montréal pour prendre son vol vers Vancouver</t>
        </is>
      </c>
      <c r="H1787" s="1" t="n">
        <v>44809</v>
      </c>
      <c r="I1787" s="1" t="n">
        <v>44809</v>
      </c>
      <c r="J1787" t="inlineStr">
        <is>
          <t>Montréal (Quebec) Canada</t>
        </is>
      </c>
      <c r="K1787" t="inlineStr">
        <is>
          <t>Montréal (Québec) Canada</t>
        </is>
      </c>
      <c r="P1787" t="n">
        <v>0</v>
      </c>
      <c r="Q1787" t="n">
        <v>176.9</v>
      </c>
      <c r="R1787" t="n">
        <v>0</v>
      </c>
      <c r="S1787" t="n">
        <v>54.4</v>
      </c>
      <c r="T1787" t="n">
        <v>0</v>
      </c>
      <c r="U1787" t="n">
        <v>231.3</v>
      </c>
      <c r="V1787" t="inlineStr">
        <is>
          <t>No Conference Fees</t>
        </is>
      </c>
      <c r="W1787" t="inlineStr">
        <is>
          <t>Pas de frais de conférence</t>
        </is>
      </c>
      <c r="X1787" t="inlineStr">
        <is>
          <t>aafc-aac</t>
        </is>
      </c>
      <c r="Y1787" t="inlineStr">
        <is>
          <t>Agriculture and Agri-Food Canada | Agriculture et Agroalimentaire Canada</t>
        </is>
      </c>
    </row>
    <row r="1788">
      <c r="A1788" t="inlineStr">
        <is>
          <t>T-2022-P6-0012</t>
        </is>
      </c>
      <c r="B1788" t="inlineStr">
        <is>
          <t>MPSES</t>
        </is>
      </c>
      <c r="C1788" t="inlineStr">
        <is>
          <t>Director of Policy</t>
        </is>
      </c>
      <c r="D1788" t="inlineStr">
        <is>
          <t>Directeur des politiques</t>
        </is>
      </c>
      <c r="E1788" t="inlineStr">
        <is>
          <t>Jérémy Gauthier</t>
        </is>
      </c>
      <c r="F1788" t="inlineStr">
        <is>
          <t>To accompany the Minister to the Minister's Cabinet Retreat</t>
        </is>
      </c>
      <c r="G1788" t="inlineStr">
        <is>
          <t>Pour accompagner la Ministre à la Retraite du Cabinet du Ministre</t>
        </is>
      </c>
      <c r="H1788" s="1" t="n">
        <v>44810</v>
      </c>
      <c r="I1788" s="1" t="n">
        <v>44813</v>
      </c>
      <c r="J1788" t="inlineStr">
        <is>
          <t>Vancouver (British Columbia) Canada</t>
        </is>
      </c>
      <c r="K1788" t="inlineStr">
        <is>
          <t>Vancouver (Colombie-Britannique) Canada</t>
        </is>
      </c>
      <c r="P1788" t="n">
        <v>1159.69</v>
      </c>
      <c r="Q1788" t="n">
        <v>123.53</v>
      </c>
      <c r="R1788" t="n">
        <v>983.49</v>
      </c>
      <c r="S1788" t="n">
        <v>240.7</v>
      </c>
      <c r="T1788" t="n">
        <v>0</v>
      </c>
      <c r="U1788" t="n">
        <v>2507.41</v>
      </c>
      <c r="V1788" t="inlineStr">
        <is>
          <t>No Conference Fees</t>
        </is>
      </c>
      <c r="W1788" t="inlineStr">
        <is>
          <t>Pas de frais de conférence</t>
        </is>
      </c>
      <c r="X1788" t="inlineStr">
        <is>
          <t>aafc-aac</t>
        </is>
      </c>
      <c r="Y1788" t="inlineStr">
        <is>
          <t>Agriculture and Agri-Food Canada | Agriculture et Agroalimentaire Canada</t>
        </is>
      </c>
    </row>
    <row r="1789">
      <c r="A1789" t="inlineStr">
        <is>
          <t>T-2022-P6-0013</t>
        </is>
      </c>
      <c r="B1789" t="inlineStr">
        <is>
          <t>MPSES</t>
        </is>
      </c>
      <c r="C1789" t="inlineStr">
        <is>
          <t>Driver</t>
        </is>
      </c>
      <c r="D1789" t="inlineStr">
        <is>
          <t>Chauffeur</t>
        </is>
      </c>
      <c r="E1789" t="inlineStr">
        <is>
          <t>Michel Gendreau</t>
        </is>
      </c>
      <c r="F1789" t="inlineStr">
        <is>
          <t>Drive the Minister to the Montreal airport to catch her flight to Halifax</t>
        </is>
      </c>
      <c r="G1789" t="inlineStr">
        <is>
          <t>Conduire la Ministre à l'aéroport de Montréal pour prendre son vol vers Halifax</t>
        </is>
      </c>
      <c r="H1789" s="1" t="n">
        <v>44787</v>
      </c>
      <c r="I1789" s="1" t="n">
        <v>44787</v>
      </c>
      <c r="J1789" t="inlineStr">
        <is>
          <t>Montréal (Quebec) Canada</t>
        </is>
      </c>
      <c r="K1789" t="inlineStr">
        <is>
          <t>Montréal (Québec) Canada</t>
        </is>
      </c>
      <c r="P1789" t="n">
        <v>0</v>
      </c>
      <c r="Q1789" t="n">
        <v>0</v>
      </c>
      <c r="R1789" t="n">
        <v>0</v>
      </c>
      <c r="S1789" t="n">
        <v>76.55</v>
      </c>
      <c r="T1789" t="n">
        <v>0</v>
      </c>
      <c r="U1789" t="n">
        <v>76.55</v>
      </c>
      <c r="V1789" t="inlineStr">
        <is>
          <t>No conference fee</t>
        </is>
      </c>
      <c r="W1789" t="inlineStr">
        <is>
          <t>Pas de frais d'enregistrement</t>
        </is>
      </c>
      <c r="X1789" t="inlineStr">
        <is>
          <t>aafc-aac</t>
        </is>
      </c>
      <c r="Y1789" t="inlineStr">
        <is>
          <t>Agriculture and Agri-Food Canada | Agriculture et Agroalimentaire Canada</t>
        </is>
      </c>
    </row>
    <row r="1790">
      <c r="A1790" t="inlineStr">
        <is>
          <t>T-2022-P6-0014</t>
        </is>
      </c>
      <c r="B1790" t="inlineStr">
        <is>
          <t>MPSES</t>
        </is>
      </c>
      <c r="C1790" t="inlineStr">
        <is>
          <t>Driver</t>
        </is>
      </c>
      <c r="D1790" t="inlineStr">
        <is>
          <t>Chauffeur</t>
        </is>
      </c>
      <c r="E1790" t="inlineStr">
        <is>
          <t>Michel Gendreau</t>
        </is>
      </c>
      <c r="F1790" t="inlineStr">
        <is>
          <t>Drive the Minister from Montreal Aiport to her riding and then to Ottawa</t>
        </is>
      </c>
      <c r="G1790" t="inlineStr">
        <is>
          <t>Conduire la Ministre de l'aéroport de Montréal à sa circonscription puis à Ottawa</t>
        </is>
      </c>
      <c r="H1790" s="1" t="n">
        <v>44789</v>
      </c>
      <c r="I1790" s="1" t="n">
        <v>44790</v>
      </c>
      <c r="J1790" t="inlineStr">
        <is>
          <t>Sherbrooke (Quebec) Canada</t>
        </is>
      </c>
      <c r="K1790" t="inlineStr">
        <is>
          <t>Sherbrooke (Québec) Canada</t>
        </is>
      </c>
      <c r="P1790" t="n">
        <v>0</v>
      </c>
      <c r="Q1790" t="n">
        <v>3</v>
      </c>
      <c r="R1790" t="n">
        <v>121.38</v>
      </c>
      <c r="S1790" t="n">
        <v>152.85</v>
      </c>
      <c r="T1790" t="n">
        <v>0</v>
      </c>
      <c r="U1790" t="n">
        <v>277.23</v>
      </c>
      <c r="V1790" t="inlineStr">
        <is>
          <t>No conference fee</t>
        </is>
      </c>
      <c r="W1790" t="inlineStr">
        <is>
          <t>Pas de frais d'enregistrement</t>
        </is>
      </c>
      <c r="X1790" t="inlineStr">
        <is>
          <t>aafc-aac</t>
        </is>
      </c>
      <c r="Y1790" t="inlineStr">
        <is>
          <t>Agriculture and Agri-Food Canada | Agriculture et Agroalimentaire Canada</t>
        </is>
      </c>
    </row>
    <row r="1791">
      <c r="A1791" t="inlineStr">
        <is>
          <t>T-2022-P6-0015</t>
        </is>
      </c>
      <c r="B1791" t="inlineStr">
        <is>
          <t>MPSES</t>
        </is>
      </c>
      <c r="C1791" t="inlineStr">
        <is>
          <t>Driver</t>
        </is>
      </c>
      <c r="D1791" t="inlineStr">
        <is>
          <t>Chauffeur</t>
        </is>
      </c>
      <c r="E1791" t="inlineStr">
        <is>
          <t>Michel Gendreau</t>
        </is>
      </c>
      <c r="F1791" t="inlineStr">
        <is>
          <t>Drive the Minister from Ottawa to her riding</t>
        </is>
      </c>
      <c r="G1791" t="inlineStr">
        <is>
          <t>Conduire la Ministre d'Ottawa à sa circonscription</t>
        </is>
      </c>
      <c r="H1791" s="1" t="n">
        <v>44792</v>
      </c>
      <c r="I1791" s="1" t="n">
        <v>44792</v>
      </c>
      <c r="J1791" t="inlineStr">
        <is>
          <t>Sherbrooke (Quebec) Canada</t>
        </is>
      </c>
      <c r="K1791" t="inlineStr">
        <is>
          <t>Sherbrooke (Québec) Canada</t>
        </is>
      </c>
      <c r="P1791" t="n">
        <v>0</v>
      </c>
      <c r="Q1791" t="n">
        <v>3</v>
      </c>
      <c r="R1791" t="n">
        <v>0</v>
      </c>
      <c r="S1791" t="n">
        <v>54.4</v>
      </c>
      <c r="T1791" t="n">
        <v>0</v>
      </c>
      <c r="U1791" t="n">
        <v>57.4</v>
      </c>
      <c r="V1791" t="inlineStr">
        <is>
          <t>No conference fee</t>
        </is>
      </c>
      <c r="W1791" t="inlineStr">
        <is>
          <t>Pas de frais d'enregistrement</t>
        </is>
      </c>
      <c r="X1791" t="inlineStr">
        <is>
          <t>aafc-aac</t>
        </is>
      </c>
      <c r="Y1791" t="inlineStr">
        <is>
          <t>Agriculture and Agri-Food Canada | Agriculture et Agroalimentaire Canada</t>
        </is>
      </c>
    </row>
    <row r="1792">
      <c r="A1792" t="inlineStr">
        <is>
          <t>T-2022-P6-0016</t>
        </is>
      </c>
      <c r="B1792" t="inlineStr">
        <is>
          <t>MPSES</t>
        </is>
      </c>
      <c r="C1792" t="inlineStr">
        <is>
          <t>Driver</t>
        </is>
      </c>
      <c r="D1792" t="inlineStr">
        <is>
          <t>Chauffeur</t>
        </is>
      </c>
      <c r="E1792" t="inlineStr">
        <is>
          <t>Michel Gendreau</t>
        </is>
      </c>
      <c r="F1792" t="inlineStr">
        <is>
          <t>To accompany the Minister to a roundtable with women farmers and a visit to Living Labs</t>
        </is>
      </c>
      <c r="G1792" t="inlineStr">
        <is>
          <t>Pour accompagner la Ministre à une table ronde avec des agricultrices et à une visite du laboratoire vivant</t>
        </is>
      </c>
      <c r="H1792" s="1" t="n">
        <v>44798</v>
      </c>
      <c r="I1792" s="1" t="n">
        <v>44803</v>
      </c>
      <c r="J1792" t="inlineStr">
        <is>
          <t>Rimouski (Quebec) Canada
Sainte-Anne-des-Monts (Quebec) Canada
Lévis (Quebec) Canada</t>
        </is>
      </c>
      <c r="K1792" t="inlineStr">
        <is>
          <t>Rimouski (Québec) Canada
Sainte-Anne-des-Monts (Québec) Canada
Lévis (Québec) Canada</t>
        </is>
      </c>
      <c r="P1792" t="n">
        <v>0</v>
      </c>
      <c r="Q1792" t="n">
        <v>6</v>
      </c>
      <c r="R1792" t="n">
        <v>1022.24</v>
      </c>
      <c r="S1792" t="n">
        <v>546.65</v>
      </c>
      <c r="T1792" t="n">
        <v>0</v>
      </c>
      <c r="U1792" t="n">
        <v>1574.89</v>
      </c>
      <c r="V1792" t="inlineStr">
        <is>
          <t>No conference fee</t>
        </is>
      </c>
      <c r="W1792" t="inlineStr">
        <is>
          <t>Pas de frais d'enregistrement</t>
        </is>
      </c>
      <c r="X1792" t="inlineStr">
        <is>
          <t>aafc-aac</t>
        </is>
      </c>
      <c r="Y1792" t="inlineStr">
        <is>
          <t>Agriculture and Agri-Food Canada | Agriculture et Agroalimentaire Canada</t>
        </is>
      </c>
    </row>
    <row r="1793">
      <c r="A1793" t="inlineStr">
        <is>
          <t>T-2022-P6-0017</t>
        </is>
      </c>
      <c r="B1793" t="inlineStr">
        <is>
          <t>MPSES</t>
        </is>
      </c>
      <c r="C1793" t="inlineStr">
        <is>
          <t>Driver</t>
        </is>
      </c>
      <c r="D1793" t="inlineStr">
        <is>
          <t>Chauffeur</t>
        </is>
      </c>
      <c r="E1793" t="inlineStr">
        <is>
          <t>Michel Gendreau</t>
        </is>
      </c>
      <c r="F1793" t="inlineStr">
        <is>
          <t>Drive the Minister from Ottawa to her riding</t>
        </is>
      </c>
      <c r="G1793" t="inlineStr">
        <is>
          <t>Conduire la Ministre d'Ottawa à sa circonscription</t>
        </is>
      </c>
      <c r="H1793" s="1" t="n">
        <v>44819</v>
      </c>
      <c r="I1793" s="1" t="n">
        <v>44819</v>
      </c>
      <c r="J1793" t="inlineStr">
        <is>
          <t>Sherbrooke (Quebec) Canada</t>
        </is>
      </c>
      <c r="K1793" t="inlineStr">
        <is>
          <t>Sherbrooke (Québec) Canada</t>
        </is>
      </c>
      <c r="P1793" t="n">
        <v>0</v>
      </c>
      <c r="Q1793" t="n">
        <v>6</v>
      </c>
      <c r="R1793" t="n">
        <v>0</v>
      </c>
      <c r="S1793" t="n">
        <v>54.4</v>
      </c>
      <c r="T1793" t="n">
        <v>0</v>
      </c>
      <c r="U1793" t="n">
        <v>60.4</v>
      </c>
      <c r="V1793" t="inlineStr">
        <is>
          <t>No conference fee</t>
        </is>
      </c>
      <c r="W1793" t="inlineStr">
        <is>
          <t>Pas de frais d'enregistrement</t>
        </is>
      </c>
      <c r="X1793" t="inlineStr">
        <is>
          <t>aafc-aac</t>
        </is>
      </c>
      <c r="Y1793" t="inlineStr">
        <is>
          <t>Agriculture and Agri-Food Canada | Agriculture et Agroalimentaire Canada</t>
        </is>
      </c>
    </row>
    <row r="1794">
      <c r="A1794" t="inlineStr">
        <is>
          <t>T-2022-P6-0018</t>
        </is>
      </c>
      <c r="B1794" t="inlineStr">
        <is>
          <t>MPSES</t>
        </is>
      </c>
      <c r="C1794" t="inlineStr">
        <is>
          <t>Director of Communications</t>
        </is>
      </c>
      <c r="D1794" t="inlineStr">
        <is>
          <t>Directrice des communications</t>
        </is>
      </c>
      <c r="E1794" t="inlineStr">
        <is>
          <t>Allison St-Jean</t>
        </is>
      </c>
      <c r="F1794" t="inlineStr">
        <is>
          <t>To accomany the Minister to attend the Federal-Provincial-Teritorial meeting</t>
        </is>
      </c>
      <c r="G1794" t="inlineStr">
        <is>
          <t>Pour accompagner la ministre à la rencontre fédérale-provinciale-territoriale</t>
        </is>
      </c>
      <c r="H1794" s="1" t="n">
        <v>44761</v>
      </c>
      <c r="I1794" s="1" t="n">
        <v>44765</v>
      </c>
      <c r="J1794" t="inlineStr">
        <is>
          <t>Saskatoon (Saskatchewan) Canada</t>
        </is>
      </c>
      <c r="K1794" t="inlineStr">
        <is>
          <t>Saskatoon (Saskatchewan) Canada</t>
        </is>
      </c>
      <c r="P1794" t="n">
        <v>1578.22</v>
      </c>
      <c r="Q1794" t="n">
        <v>78.45</v>
      </c>
      <c r="R1794" t="n">
        <v>531.63</v>
      </c>
      <c r="S1794" t="n">
        <v>229.4</v>
      </c>
      <c r="T1794" t="n">
        <v>0</v>
      </c>
      <c r="U1794" t="n">
        <v>2417.7</v>
      </c>
      <c r="V1794" t="inlineStr">
        <is>
          <t>No conference fee.</t>
        </is>
      </c>
      <c r="W1794" t="inlineStr">
        <is>
          <t>Pas de frais d'enregistrement</t>
        </is>
      </c>
      <c r="X1794" t="inlineStr">
        <is>
          <t>aafc-aac</t>
        </is>
      </c>
      <c r="Y1794" t="inlineStr">
        <is>
          <t>Agriculture and Agri-Food Canada | Agriculture et Agroalimentaire Canada</t>
        </is>
      </c>
    </row>
    <row r="1795">
      <c r="A1795" t="inlineStr">
        <is>
          <t>T-2022-P6-0019</t>
        </is>
      </c>
      <c r="B1795" t="inlineStr">
        <is>
          <t>MPSES</t>
        </is>
      </c>
      <c r="C1795" t="inlineStr">
        <is>
          <t>Director of Communications</t>
        </is>
      </c>
      <c r="D1795" t="inlineStr">
        <is>
          <t>Directrice des communications</t>
        </is>
      </c>
      <c r="E1795" t="inlineStr">
        <is>
          <t>Allison St-Jean</t>
        </is>
      </c>
      <c r="F1795" t="inlineStr">
        <is>
          <t>To accomany the Minister to attend the Northern Ontario Tour</t>
        </is>
      </c>
      <c r="G1795" t="inlineStr">
        <is>
          <t>Pour accompagner la ministre pour assister à la tournée du Nord de l'Ontario</t>
        </is>
      </c>
      <c r="H1795" s="1" t="n">
        <v>44783</v>
      </c>
      <c r="I1795" s="1" t="n">
        <v>44785</v>
      </c>
      <c r="J1795" t="inlineStr">
        <is>
          <t>Sudbury (Ontario) Canada</t>
        </is>
      </c>
      <c r="K1795" t="inlineStr">
        <is>
          <t>Sudbury (Ontario) Canada</t>
        </is>
      </c>
      <c r="P1795" t="n">
        <v>1125.3</v>
      </c>
      <c r="Q1795" t="n">
        <v>43.01</v>
      </c>
      <c r="R1795" t="n">
        <v>282.02</v>
      </c>
      <c r="S1795" t="n">
        <v>153.1</v>
      </c>
      <c r="T1795" t="n">
        <v>0</v>
      </c>
      <c r="U1795" t="n">
        <v>1603.43</v>
      </c>
      <c r="V1795" t="inlineStr">
        <is>
          <t>No conference fee.</t>
        </is>
      </c>
      <c r="W1795" t="inlineStr">
        <is>
          <t>Pas de frais d'enregistrement</t>
        </is>
      </c>
      <c r="X1795" t="inlineStr">
        <is>
          <t>aafc-aac</t>
        </is>
      </c>
      <c r="Y1795" t="inlineStr">
        <is>
          <t>Agriculture and Agri-Food Canada | Agriculture et Agroalimentaire Canada</t>
        </is>
      </c>
    </row>
    <row r="1796">
      <c r="A1796" t="inlineStr">
        <is>
          <t>T-2022-P6-0020</t>
        </is>
      </c>
      <c r="B1796" t="inlineStr">
        <is>
          <t>MPSES</t>
        </is>
      </c>
      <c r="C1796" t="inlineStr">
        <is>
          <t>Policy Advisor</t>
        </is>
      </c>
      <c r="D1796" t="inlineStr">
        <is>
          <t>Conseillère en politiques</t>
        </is>
      </c>
      <c r="E1796" t="inlineStr">
        <is>
          <t>Christine Harvey</t>
        </is>
      </c>
      <c r="F1796" t="inlineStr">
        <is>
          <t>To accompany the Minister for the Canadian Agricultural Youth Council</t>
        </is>
      </c>
      <c r="G1796" t="inlineStr">
        <is>
          <t>Pour accompagner la Ministre au Conseil canadien de la jeunesse agricole</t>
        </is>
      </c>
      <c r="H1796" s="1" t="n">
        <v>44797</v>
      </c>
      <c r="I1796" s="1" t="n">
        <v>44797</v>
      </c>
      <c r="J1796" t="inlineStr">
        <is>
          <t>Dorval (Quebec) Canada</t>
        </is>
      </c>
      <c r="K1796" t="inlineStr">
        <is>
          <t>Dorval (Québec) Canada</t>
        </is>
      </c>
      <c r="P1796" t="n">
        <v>0</v>
      </c>
      <c r="Q1796" t="n">
        <v>56.99</v>
      </c>
      <c r="R1796" t="n">
        <v>0</v>
      </c>
      <c r="S1796" t="n">
        <v>0</v>
      </c>
      <c r="T1796" t="n">
        <v>0</v>
      </c>
      <c r="U1796" t="n">
        <v>56.99</v>
      </c>
      <c r="V1796" t="inlineStr">
        <is>
          <t>No Conference Fees</t>
        </is>
      </c>
      <c r="W1796" t="inlineStr">
        <is>
          <t>Pas de frais de conférence</t>
        </is>
      </c>
      <c r="X1796" t="inlineStr">
        <is>
          <t>aafc-aac</t>
        </is>
      </c>
      <c r="Y1796" t="inlineStr">
        <is>
          <t>Agriculture and Agri-Food Canada | Agriculture et Agroalimentaire Canada</t>
        </is>
      </c>
    </row>
    <row r="1797">
      <c r="A1797" t="inlineStr">
        <is>
          <t>T-2022-P6-0021</t>
        </is>
      </c>
      <c r="B1797" t="inlineStr">
        <is>
          <t>MPSES</t>
        </is>
      </c>
      <c r="C1797" t="inlineStr">
        <is>
          <t>Policy Advisor</t>
        </is>
      </c>
      <c r="D1797" t="inlineStr">
        <is>
          <t>Conseillère en politiques</t>
        </is>
      </c>
      <c r="E1797" t="inlineStr">
        <is>
          <t>Christine Harvey</t>
        </is>
      </c>
      <c r="F1797" t="inlineStr">
        <is>
          <t>To accompany the Minister to a roundtable with women farmers and a visit to Living Labs</t>
        </is>
      </c>
      <c r="G1797" t="inlineStr">
        <is>
          <t>Pour accompagner la Ministre à une table ronde avec des agricultrices et à une visite du laboratoire vivant</t>
        </is>
      </c>
      <c r="H1797" s="1" t="n">
        <v>44799</v>
      </c>
      <c r="I1797" s="1" t="n">
        <v>44803</v>
      </c>
      <c r="J1797" t="inlineStr">
        <is>
          <t>Rimouski (Quebec) Canada
St-Anne-des-Monts (Quebec) Canada
Lévis (Quebec) Canada</t>
        </is>
      </c>
      <c r="K1797" t="inlineStr">
        <is>
          <t>Rimouski (Québec) Canada
Sainte-Anne-des-Monts (Québec) Canada
Lévis (Quebec) Canada</t>
        </is>
      </c>
      <c r="P1797" t="n">
        <v>0</v>
      </c>
      <c r="Q1797" t="n">
        <v>113.04</v>
      </c>
      <c r="R1797" t="n">
        <v>977.02</v>
      </c>
      <c r="S1797" t="n">
        <v>415.95</v>
      </c>
      <c r="T1797" t="n">
        <v>0</v>
      </c>
      <c r="U1797" t="n">
        <v>1506.01</v>
      </c>
      <c r="V1797" t="inlineStr">
        <is>
          <t>No Conference Fees</t>
        </is>
      </c>
      <c r="W1797" t="inlineStr">
        <is>
          <t>Pas de frais de conférence</t>
        </is>
      </c>
      <c r="X1797" t="inlineStr">
        <is>
          <t>aafc-aac</t>
        </is>
      </c>
      <c r="Y1797" t="inlineStr">
        <is>
          <t>Agriculture and Agri-Food Canada | Agriculture et Agroalimentaire Canada</t>
        </is>
      </c>
    </row>
    <row r="1798">
      <c r="A1798" t="inlineStr">
        <is>
          <t>T-2022-P6-0022</t>
        </is>
      </c>
      <c r="B1798" t="inlineStr">
        <is>
          <t>SLE</t>
        </is>
      </c>
      <c r="C1798" t="inlineStr">
        <is>
          <t>Federal Co-Chair</t>
        </is>
      </c>
      <c r="D1798" t="inlineStr">
        <is>
          <t>Coprésident fédéral</t>
        </is>
      </c>
      <c r="E1798" t="inlineStr">
        <is>
          <t>Fred Gorrell</t>
        </is>
      </c>
      <c r="F1798" t="inlineStr">
        <is>
          <t>To work with the Canadian Food Inspection Agency and steakeholders on the Potato Wart Planning</t>
        </is>
      </c>
      <c r="G1798" t="inlineStr">
        <is>
          <t>Pour travailler avec l'Agence canadienne d'inspection des aliments et les parties prenantes sur la planification de la verrue de la pomme de terre</t>
        </is>
      </c>
      <c r="H1798" s="1" t="n">
        <v>44786</v>
      </c>
      <c r="I1798" s="1" t="n">
        <v>44793</v>
      </c>
      <c r="J1798" t="inlineStr">
        <is>
          <t>Charlottetown (Prince Edward Island) Canada</t>
        </is>
      </c>
      <c r="K1798" t="inlineStr">
        <is>
          <t>Charlottetown (Île-du-Prince-Édouard) Canada</t>
        </is>
      </c>
      <c r="P1798" t="n">
        <v>1379.51</v>
      </c>
      <c r="Q1798" t="n">
        <v>129.8</v>
      </c>
      <c r="R1798" t="n">
        <v>3419.65</v>
      </c>
      <c r="S1798" t="n">
        <v>696.4</v>
      </c>
      <c r="T1798" t="n">
        <v>0</v>
      </c>
      <c r="U1798" t="n">
        <v>5625.36</v>
      </c>
      <c r="V1798" t="inlineStr">
        <is>
          <t>No conference fee.</t>
        </is>
      </c>
      <c r="W1798" t="inlineStr">
        <is>
          <t>Pas de frais d'enregistrement</t>
        </is>
      </c>
      <c r="X1798" t="inlineStr">
        <is>
          <t>aafc-aac</t>
        </is>
      </c>
      <c r="Y1798" t="inlineStr">
        <is>
          <t>Agriculture and Agri-Food Canada | Agriculture et Agroalimentaire Canada</t>
        </is>
      </c>
    </row>
    <row r="1799">
      <c r="A1799" t="inlineStr">
        <is>
          <t>T-2022-P6-0023</t>
        </is>
      </c>
      <c r="B1799" t="inlineStr">
        <is>
          <t>SLE</t>
        </is>
      </c>
      <c r="C1799" t="inlineStr">
        <is>
          <t>Assistant Deputy Minister, Science and Technology Branch</t>
        </is>
      </c>
      <c r="D1799" t="inlineStr">
        <is>
          <t>Sous-ministre adjoint, Direction générale des sciences et de la technologie</t>
        </is>
      </c>
      <c r="E1799" t="inlineStr">
        <is>
          <t>Gilles Saindon</t>
        </is>
      </c>
      <c r="F1799" t="inlineStr">
        <is>
          <t>Outreach visit to St. John's research centre. Retrofit meeting with Public Service and Procurement Canada. Visit to Avondale and Lester's Farm</t>
        </is>
      </c>
      <c r="G1799" t="inlineStr">
        <is>
          <t>Visite de sensibilisation au centre de recherche de St. John's. Réunion de rénovation avec Services publics et Approvisionnement Canada. Visit à Avondale et de la ferme Lester's.</t>
        </is>
      </c>
      <c r="H1799" s="1" t="n">
        <v>44810</v>
      </c>
      <c r="I1799" s="1" t="n">
        <v>44812</v>
      </c>
      <c r="J1799" t="inlineStr">
        <is>
          <t>St. John's (Newfoundland) Canada</t>
        </is>
      </c>
      <c r="K1799" t="inlineStr">
        <is>
          <t>St. John's (Terre-Neuve) Canada</t>
        </is>
      </c>
      <c r="P1799" t="n">
        <v>952.67</v>
      </c>
      <c r="Q1799" t="n">
        <v>99.75</v>
      </c>
      <c r="R1799" t="n">
        <v>485.04</v>
      </c>
      <c r="S1799" t="n">
        <v>292.85</v>
      </c>
      <c r="T1799" t="n">
        <v>0</v>
      </c>
      <c r="U1799" t="n">
        <v>1830.31</v>
      </c>
      <c r="X1799" t="inlineStr">
        <is>
          <t>aafc-aac</t>
        </is>
      </c>
      <c r="Y1799" t="inlineStr">
        <is>
          <t>Agriculture and Agri-Food Canada | Agriculture et Agroalimentaire Canada</t>
        </is>
      </c>
    </row>
    <row r="1800">
      <c r="A1800" t="inlineStr">
        <is>
          <t>T-2022-P6-0024</t>
        </is>
      </c>
      <c r="B1800" t="inlineStr">
        <is>
          <t>SLE</t>
        </is>
      </c>
      <c r="C1800" t="inlineStr">
        <is>
          <t>Associate Assistant Deputy Minister, Science and Technology Branch</t>
        </is>
      </c>
      <c r="D1800" t="inlineStr">
        <is>
          <t>Sous-ministre adjoint délégué, Direction générale des sciences et de la technologie</t>
        </is>
      </c>
      <c r="E1800" t="inlineStr">
        <is>
          <t>Andrew Goldstein</t>
        </is>
      </c>
      <c r="F1800" t="inlineStr">
        <is>
          <t xml:space="preserve">Research Information technology Policy Project site visit to St-Jean-sur-Richelieu, Quebec. </t>
        </is>
      </c>
      <c r="G1800" t="inlineStr">
        <is>
          <t>Visite de St-Jean-sur-Richelieu, QC dans le cadre du projet de politique sur les technologies de l’information pour la recherche</t>
        </is>
      </c>
      <c r="H1800" s="1" t="n">
        <v>44811</v>
      </c>
      <c r="I1800" s="1" t="n">
        <v>44811</v>
      </c>
      <c r="J1800" t="inlineStr">
        <is>
          <t>St-Jean-sur-Richelieu (Quebec) Canada</t>
        </is>
      </c>
      <c r="K1800" t="inlineStr">
        <is>
          <t>St-Jean-sur-Richelieu (Québec) Canada</t>
        </is>
      </c>
      <c r="P1800" t="n">
        <v>0</v>
      </c>
      <c r="Q1800" t="n">
        <v>0</v>
      </c>
      <c r="R1800" t="n">
        <v>0</v>
      </c>
      <c r="S1800" t="n">
        <v>22.15</v>
      </c>
      <c r="T1800" t="n">
        <v>0</v>
      </c>
      <c r="U1800" t="n">
        <v>22.15</v>
      </c>
      <c r="X1800" t="inlineStr">
        <is>
          <t>aafc-aac</t>
        </is>
      </c>
      <c r="Y1800" t="inlineStr">
        <is>
          <t>Agriculture and Agri-Food Canada | Agriculture et Agroalimentaire Canada</t>
        </is>
      </c>
    </row>
    <row r="1801">
      <c r="A1801" t="inlineStr">
        <is>
          <t>T-2022-P6-0025</t>
        </is>
      </c>
      <c r="B1801" t="inlineStr">
        <is>
          <t>SLE</t>
        </is>
      </c>
      <c r="C1801" t="inlineStr">
        <is>
          <t>Assistant Deputy Minister, Corporate Management Branch</t>
        </is>
      </c>
      <c r="D1801" t="inlineStr">
        <is>
          <t>Sous-ministre adjointe, Direction générale de la gestion intégrée</t>
        </is>
      </c>
      <c r="E1801" t="inlineStr">
        <is>
          <t>Marie-Claude Guérard</t>
        </is>
      </c>
      <c r="F1801" t="inlineStr">
        <is>
          <t>Attend meetings with stakeholders in Ottawa</t>
        </is>
      </c>
      <c r="G1801" t="inlineStr">
        <is>
          <t>Participer à des réunions avec des intervenants à Ottawa</t>
        </is>
      </c>
      <c r="H1801" s="1" t="n">
        <v>44789</v>
      </c>
      <c r="I1801" s="1" t="n">
        <v>44790</v>
      </c>
      <c r="J1801" t="inlineStr">
        <is>
          <t>Ottawa (Ontario) Canada</t>
        </is>
      </c>
      <c r="K1801" t="inlineStr">
        <is>
          <t>Ottawa (Ontario) Canada</t>
        </is>
      </c>
      <c r="P1801" t="n">
        <v>0</v>
      </c>
      <c r="Q1801" t="n">
        <v>421.01</v>
      </c>
      <c r="R1801" t="n">
        <v>233.86</v>
      </c>
      <c r="S1801" t="n">
        <v>231.5</v>
      </c>
      <c r="T1801" t="n">
        <v>0</v>
      </c>
      <c r="U1801" t="n">
        <v>886.37</v>
      </c>
      <c r="X1801" t="inlineStr">
        <is>
          <t>aafc-aac</t>
        </is>
      </c>
      <c r="Y1801" t="inlineStr">
        <is>
          <t>Agriculture and Agri-Food Canada | Agriculture et Agroalimentaire Canada</t>
        </is>
      </c>
    </row>
    <row r="1802">
      <c r="A1802" t="inlineStr">
        <is>
          <t>T-2022-P6-0026</t>
        </is>
      </c>
      <c r="B1802" t="inlineStr">
        <is>
          <t>SLE</t>
        </is>
      </c>
      <c r="C1802" t="inlineStr">
        <is>
          <t>Assistant Deputy Minister, Corporate Management Branch</t>
        </is>
      </c>
      <c r="D1802" t="inlineStr">
        <is>
          <t>Sous-ministre adjointe, Direction générale de la gestion intégrée</t>
        </is>
      </c>
      <c r="E1802" t="inlineStr">
        <is>
          <t>Marie-Claude Guérard</t>
        </is>
      </c>
      <c r="F1802" t="inlineStr">
        <is>
          <t>Attend a Chief Financial Officers workshop and meetings in Ottawa</t>
        </is>
      </c>
      <c r="G1802" t="inlineStr">
        <is>
          <t>Participer à un atelier de directeurs principaux financiers et réunions à Ottawa</t>
        </is>
      </c>
      <c r="H1802" s="1" t="n">
        <v>44802</v>
      </c>
      <c r="I1802" s="1" t="n">
        <v>44804</v>
      </c>
      <c r="J1802" t="inlineStr">
        <is>
          <t>Ottawa (Ontario) Canada</t>
        </is>
      </c>
      <c r="K1802" t="inlineStr">
        <is>
          <t>Ottawa (Ontario) Canada</t>
        </is>
      </c>
      <c r="P1802" t="n">
        <v>0</v>
      </c>
      <c r="Q1802" t="n">
        <v>347.37</v>
      </c>
      <c r="R1802" t="n">
        <v>467.73</v>
      </c>
      <c r="S1802" t="n">
        <v>248.8</v>
      </c>
      <c r="T1802" t="n">
        <v>0</v>
      </c>
      <c r="U1802" t="n">
        <v>1063.9</v>
      </c>
      <c r="X1802" t="inlineStr">
        <is>
          <t>aafc-aac</t>
        </is>
      </c>
      <c r="Y1802" t="inlineStr">
        <is>
          <t>Agriculture and Agri-Food Canada | Agriculture et Agroalimentaire Canada</t>
        </is>
      </c>
    </row>
    <row r="1803">
      <c r="A1803" t="inlineStr">
        <is>
          <t>T-2022-P6-0027</t>
        </is>
      </c>
      <c r="B1803" t="inlineStr">
        <is>
          <t>SLE</t>
        </is>
      </c>
      <c r="C1803" t="inlineStr">
        <is>
          <t>Assistant Deputy Minister, Market and Industry Services Branch</t>
        </is>
      </c>
      <c r="D1803" t="inlineStr">
        <is>
          <t>Sous-ministre adjoint, Direction générale des services à l'industrie et aux marchés</t>
        </is>
      </c>
      <c r="E1803" t="inlineStr">
        <is>
          <t>Tom Rosser</t>
        </is>
      </c>
      <c r="F1803" t="inlineStr">
        <is>
          <t>Participate in regional outreach.</t>
        </is>
      </c>
      <c r="G1803" t="inlineStr">
        <is>
          <t>Participer à la sensibilisation régionale.</t>
        </is>
      </c>
      <c r="H1803" s="1" t="n">
        <v>44787</v>
      </c>
      <c r="I1803" s="1" t="n">
        <v>44790</v>
      </c>
      <c r="J1803" t="inlineStr">
        <is>
          <t>Kelowna (British Columbia) Canada, Penticton (British Columbia) Canada</t>
        </is>
      </c>
      <c r="K1803" t="inlineStr">
        <is>
          <t>Kelowna (Colombie-Britannique) Canada, Penticton (Colombie-Britannique) Canada</t>
        </is>
      </c>
      <c r="P1803" t="n">
        <v>1131.67</v>
      </c>
      <c r="Q1803" t="n">
        <v>167.34</v>
      </c>
      <c r="R1803" t="n">
        <v>923.36</v>
      </c>
      <c r="S1803" t="n">
        <v>276.7</v>
      </c>
      <c r="T1803" t="n">
        <v>91.22</v>
      </c>
      <c r="U1803" t="n">
        <v>2590.29</v>
      </c>
      <c r="X1803" t="inlineStr">
        <is>
          <t>aafc-aac</t>
        </is>
      </c>
      <c r="Y1803" t="inlineStr">
        <is>
          <t>Agriculture and Agri-Food Canada | Agriculture et Agroalimentaire Canada</t>
        </is>
      </c>
    </row>
    <row r="1804">
      <c r="A1804" t="inlineStr">
        <is>
          <t>T-2022-P6-0028</t>
        </is>
      </c>
      <c r="B1804" t="inlineStr">
        <is>
          <t>SLE</t>
        </is>
      </c>
      <c r="C1804" t="inlineStr">
        <is>
          <t>Chief Information Officer, Information Systems Branch</t>
        </is>
      </c>
      <c r="D1804" t="inlineStr">
        <is>
          <t>Dirigeante principale de l'information, Direction générale des systèmes information</t>
        </is>
      </c>
      <c r="E1804" t="inlineStr">
        <is>
          <t>Vidya ShankarNarayan</t>
        </is>
      </c>
      <c r="F1804" t="inlineStr">
        <is>
          <t>To attend the AgSmart Summit</t>
        </is>
      </c>
      <c r="G1804" t="inlineStr">
        <is>
          <t>Pour assister au sommet AgSmart</t>
        </is>
      </c>
      <c r="H1804" s="1" t="n">
        <v>44781</v>
      </c>
      <c r="I1804" s="1" t="n">
        <v>44785</v>
      </c>
      <c r="J1804" t="inlineStr">
        <is>
          <t>Olds, Alberta</t>
        </is>
      </c>
      <c r="K1804" t="inlineStr">
        <is>
          <t>Olds, Alberta</t>
        </is>
      </c>
      <c r="P1804" t="n">
        <v>1083.41</v>
      </c>
      <c r="Q1804" t="n">
        <v>141.66</v>
      </c>
      <c r="R1804" t="n">
        <v>727.51</v>
      </c>
      <c r="S1804" t="n">
        <v>480.55</v>
      </c>
      <c r="T1804" t="n">
        <v>0</v>
      </c>
      <c r="U1804" t="n">
        <v>2433.13</v>
      </c>
      <c r="X1804" t="inlineStr">
        <is>
          <t>aafc-aac</t>
        </is>
      </c>
      <c r="Y1804" t="inlineStr">
        <is>
          <t>Agriculture and Agri-Food Canada | Agriculture et Agroalimentaire Canada</t>
        </is>
      </c>
    </row>
    <row r="1805">
      <c r="A1805" t="inlineStr">
        <is>
          <t>T-2022-P7-0001</t>
        </is>
      </c>
      <c r="B1805" t="inlineStr">
        <is>
          <t>MPSES</t>
        </is>
      </c>
      <c r="C1805" t="inlineStr">
        <is>
          <t>Senior Advisor</t>
        </is>
      </c>
      <c r="D1805" t="inlineStr">
        <is>
          <t xml:space="preserve">Conseiller principal </t>
        </is>
      </c>
      <c r="E1805" t="inlineStr">
        <is>
          <t xml:space="preserve">Abed Harb </t>
        </is>
      </c>
      <c r="F1805" t="inlineStr">
        <is>
          <t>To accompany the Minister for the Atlantic Tour</t>
        </is>
      </c>
      <c r="G1805" t="inlineStr">
        <is>
          <t>Pour accompagner la ministre à la tournée des provinces de l'Atlantique</t>
        </is>
      </c>
      <c r="H1805" s="1" t="n">
        <v>44786</v>
      </c>
      <c r="I1805" s="1" t="n">
        <v>44789</v>
      </c>
      <c r="J1805" t="inlineStr">
        <is>
          <t>Halifax (Nova Scotia) Canada</t>
        </is>
      </c>
      <c r="K1805" t="inlineStr">
        <is>
          <t>Halifax (Nouvelle-Écosse) Canada</t>
        </is>
      </c>
      <c r="P1805" t="n">
        <v>2095.48</v>
      </c>
      <c r="Q1805" t="n">
        <v>59.09</v>
      </c>
      <c r="R1805" t="n">
        <v>384.75</v>
      </c>
      <c r="S1805" t="n">
        <v>251.3</v>
      </c>
      <c r="T1805" t="n">
        <v>0</v>
      </c>
      <c r="U1805" t="n">
        <v>2790.62</v>
      </c>
      <c r="V1805" t="inlineStr">
        <is>
          <t>No conference fee.</t>
        </is>
      </c>
      <c r="W1805" t="inlineStr">
        <is>
          <t>Pas de frais d'enregistrement</t>
        </is>
      </c>
      <c r="X1805" t="inlineStr">
        <is>
          <t>aafc-aac</t>
        </is>
      </c>
      <c r="Y1805" t="inlineStr">
        <is>
          <t>Agriculture and Agri-Food Canada | Agriculture et Agroalimentaire Canada</t>
        </is>
      </c>
    </row>
    <row r="1806">
      <c r="A1806" t="inlineStr">
        <is>
          <t>T-2022-P7-0002</t>
        </is>
      </c>
      <c r="B1806" t="inlineStr">
        <is>
          <t>MPSES</t>
        </is>
      </c>
      <c r="C1806" t="inlineStr">
        <is>
          <t>Driver</t>
        </is>
      </c>
      <c r="D1806" t="inlineStr">
        <is>
          <t>Chauffeur</t>
        </is>
      </c>
      <c r="E1806" t="inlineStr">
        <is>
          <t>Michel Gendreau</t>
        </is>
      </c>
      <c r="F1806" t="inlineStr">
        <is>
          <t>Drive the Minister from her riding to Ottawa</t>
        </is>
      </c>
      <c r="G1806" t="inlineStr">
        <is>
          <t>Conduire la Ministre de sa circonscription à Ottawa</t>
        </is>
      </c>
      <c r="H1806" s="1" t="n">
        <v>44822</v>
      </c>
      <c r="I1806" s="1" t="n">
        <v>44823</v>
      </c>
      <c r="J1806" t="inlineStr">
        <is>
          <t>Sherbrooke (Quebec) Canada</t>
        </is>
      </c>
      <c r="K1806" t="inlineStr">
        <is>
          <t>Sherbrooke (Québec) Canada</t>
        </is>
      </c>
      <c r="P1806" t="n">
        <v>0</v>
      </c>
      <c r="Q1806" t="n">
        <v>6</v>
      </c>
      <c r="R1806" t="n">
        <v>202.25</v>
      </c>
      <c r="S1806" t="n">
        <v>76.3</v>
      </c>
      <c r="T1806" t="n">
        <v>0</v>
      </c>
      <c r="U1806" t="n">
        <v>284.55</v>
      </c>
      <c r="V1806" t="inlineStr">
        <is>
          <t>No conference fee</t>
        </is>
      </c>
      <c r="W1806" t="inlineStr">
        <is>
          <t>Pas de frais d'enregistrement</t>
        </is>
      </c>
      <c r="X1806" t="inlineStr">
        <is>
          <t>aafc-aac</t>
        </is>
      </c>
      <c r="Y1806" t="inlineStr">
        <is>
          <t>Agriculture and Agri-Food Canada | Agriculture et Agroalimentaire Canada</t>
        </is>
      </c>
    </row>
    <row r="1807">
      <c r="A1807" t="inlineStr">
        <is>
          <t>T-2022-P7-0003</t>
        </is>
      </c>
      <c r="B1807" t="inlineStr">
        <is>
          <t>MPSES</t>
        </is>
      </c>
      <c r="C1807" t="inlineStr">
        <is>
          <t>Driver</t>
        </is>
      </c>
      <c r="D1807" t="inlineStr">
        <is>
          <t>Chauffeur</t>
        </is>
      </c>
      <c r="E1807" t="inlineStr">
        <is>
          <t>Michel Gendreau</t>
        </is>
      </c>
      <c r="F1807" t="inlineStr">
        <is>
          <t>Drive the Minister from the Montréal Airport to her riding</t>
        </is>
      </c>
      <c r="G1807" t="inlineStr">
        <is>
          <t>Conduire la Ministre de l'aéroport de Montréal à sa circonscription</t>
        </is>
      </c>
      <c r="H1807" s="1" t="n">
        <v>44834</v>
      </c>
      <c r="I1807" s="1" t="n">
        <v>44834</v>
      </c>
      <c r="J1807" t="inlineStr">
        <is>
          <t>Montréal (Quebec) Canada; Sherbrooke (Quebec) Canada</t>
        </is>
      </c>
      <c r="K1807" t="inlineStr">
        <is>
          <t>Montréal (Québec) Canada; Sherbrooke (Québec) Canada</t>
        </is>
      </c>
      <c r="P1807" t="n">
        <v>0</v>
      </c>
      <c r="Q1807" t="n">
        <v>3</v>
      </c>
      <c r="R1807" t="n">
        <v>0</v>
      </c>
      <c r="S1807" t="n">
        <v>54.4</v>
      </c>
      <c r="T1807" t="n">
        <v>0</v>
      </c>
      <c r="U1807" t="n">
        <v>57.4</v>
      </c>
      <c r="V1807" t="inlineStr">
        <is>
          <t>No conference fee</t>
        </is>
      </c>
      <c r="W1807" t="inlineStr">
        <is>
          <t>Pas de frais d'enregistrement</t>
        </is>
      </c>
      <c r="X1807" t="inlineStr">
        <is>
          <t>aafc-aac</t>
        </is>
      </c>
      <c r="Y1807" t="inlineStr">
        <is>
          <t>Agriculture and Agri-Food Canada | Agriculture et Agroalimentaire Canada</t>
        </is>
      </c>
    </row>
    <row r="1808">
      <c r="A1808" t="inlineStr">
        <is>
          <t>T-2022-P7-0004</t>
        </is>
      </c>
      <c r="B1808" t="inlineStr">
        <is>
          <t>MPSES</t>
        </is>
      </c>
      <c r="C1808" t="inlineStr">
        <is>
          <t>Driver</t>
        </is>
      </c>
      <c r="D1808" t="inlineStr">
        <is>
          <t>Chauffeur</t>
        </is>
      </c>
      <c r="E1808" t="inlineStr">
        <is>
          <t>Michel Gendreau</t>
        </is>
      </c>
      <c r="F1808" t="inlineStr">
        <is>
          <t>Drive the Minister from her riding to Ottawa</t>
        </is>
      </c>
      <c r="G1808" t="inlineStr">
        <is>
          <t>Conduire la Ministre de sa circonscription à Ottawa</t>
        </is>
      </c>
      <c r="H1808" s="1" t="n">
        <v>44836</v>
      </c>
      <c r="I1808" s="1" t="n">
        <v>44837</v>
      </c>
      <c r="J1808" t="inlineStr">
        <is>
          <t>Sherbrooke (Quebec) Canada</t>
        </is>
      </c>
      <c r="K1808" t="inlineStr">
        <is>
          <t>Sherbrooke (Québec) Canada</t>
        </is>
      </c>
      <c r="P1808" t="n">
        <v>0</v>
      </c>
      <c r="Q1808" t="n">
        <v>6</v>
      </c>
      <c r="R1808" t="n">
        <v>121.38</v>
      </c>
      <c r="S1808" t="n">
        <v>79.40000000000001</v>
      </c>
      <c r="T1808" t="n">
        <v>0</v>
      </c>
      <c r="U1808" t="n">
        <v>206.78</v>
      </c>
      <c r="V1808" t="inlineStr">
        <is>
          <t>No conference fee</t>
        </is>
      </c>
      <c r="W1808" t="inlineStr">
        <is>
          <t>Pas de frais d'enregistrement</t>
        </is>
      </c>
      <c r="X1808" t="inlineStr">
        <is>
          <t>aafc-aac</t>
        </is>
      </c>
      <c r="Y1808" t="inlineStr">
        <is>
          <t>Agriculture and Agri-Food Canada | Agriculture et Agroalimentaire Canada</t>
        </is>
      </c>
    </row>
    <row r="1809">
      <c r="A1809" t="inlineStr">
        <is>
          <t>T-2022-P7-0005</t>
        </is>
      </c>
      <c r="B1809" t="inlineStr">
        <is>
          <t>MPSES</t>
        </is>
      </c>
      <c r="C1809" t="inlineStr">
        <is>
          <t>Driver</t>
        </is>
      </c>
      <c r="D1809" t="inlineStr">
        <is>
          <t>Chauffeur</t>
        </is>
      </c>
      <c r="E1809" t="inlineStr">
        <is>
          <t>Michel Gendreau</t>
        </is>
      </c>
      <c r="F1809" t="inlineStr">
        <is>
          <t>Drive the Minister from Ottawa to her riding</t>
        </is>
      </c>
      <c r="G1809" t="inlineStr">
        <is>
          <t>Conduire la Ministre d'Ottawa à sa circonscription</t>
        </is>
      </c>
      <c r="H1809" s="1" t="n">
        <v>44841</v>
      </c>
      <c r="I1809" s="1" t="n">
        <v>44841</v>
      </c>
      <c r="J1809" t="inlineStr">
        <is>
          <t>Sherbrooke (Quebec) Canada</t>
        </is>
      </c>
      <c r="K1809" t="inlineStr">
        <is>
          <t>Sherbrooke (Québec) Canada</t>
        </is>
      </c>
      <c r="P1809" t="n">
        <v>0</v>
      </c>
      <c r="Q1809" t="n">
        <v>6</v>
      </c>
      <c r="R1809" t="n">
        <v>0</v>
      </c>
      <c r="S1809" t="n">
        <v>56.6</v>
      </c>
      <c r="T1809" t="n">
        <v>0</v>
      </c>
      <c r="U1809" t="n">
        <v>62.6</v>
      </c>
      <c r="V1809" t="inlineStr">
        <is>
          <t>No conference fee</t>
        </is>
      </c>
      <c r="W1809" t="inlineStr">
        <is>
          <t>Pas de frais d'enregistrement</t>
        </is>
      </c>
      <c r="X1809" t="inlineStr">
        <is>
          <t>aafc-aac</t>
        </is>
      </c>
      <c r="Y1809" t="inlineStr">
        <is>
          <t>Agriculture and Agri-Food Canada | Agriculture et Agroalimentaire Canada</t>
        </is>
      </c>
    </row>
    <row r="1810">
      <c r="A1810" t="inlineStr">
        <is>
          <t>T-2022-P7-0006</t>
        </is>
      </c>
      <c r="B1810" t="inlineStr">
        <is>
          <t>MPSES</t>
        </is>
      </c>
      <c r="C1810" t="inlineStr">
        <is>
          <t>Driver</t>
        </is>
      </c>
      <c r="D1810" t="inlineStr">
        <is>
          <t>Chauffeur</t>
        </is>
      </c>
      <c r="E1810" t="inlineStr">
        <is>
          <t>Michel Gendreau</t>
        </is>
      </c>
      <c r="F1810" t="inlineStr">
        <is>
          <t>Drive the Minister from her riding to the Montréal Airport</t>
        </is>
      </c>
      <c r="G1810" t="inlineStr">
        <is>
          <t>Conduire la Ministre de sa circonscription à l'aéroport de Montréal</t>
        </is>
      </c>
      <c r="H1810" s="1" t="n">
        <v>44845</v>
      </c>
      <c r="I1810" s="1" t="n">
        <v>44845</v>
      </c>
      <c r="J1810" t="inlineStr">
        <is>
          <t>Sherbrooke (Quebec) Canada; Montréal (Quebec) Canada</t>
        </is>
      </c>
      <c r="K1810" t="inlineStr">
        <is>
          <t>Sherbrooke (Québec) Canada; Montréal (Québec) Canada</t>
        </is>
      </c>
      <c r="P1810" t="n">
        <v>0</v>
      </c>
      <c r="Q1810" t="n">
        <v>3</v>
      </c>
      <c r="R1810" t="n">
        <v>0</v>
      </c>
      <c r="S1810" t="n">
        <v>56.6</v>
      </c>
      <c r="T1810" t="n">
        <v>0</v>
      </c>
      <c r="U1810" t="n">
        <v>59.6</v>
      </c>
      <c r="V1810" t="inlineStr">
        <is>
          <t>No conference fee</t>
        </is>
      </c>
      <c r="W1810" t="inlineStr">
        <is>
          <t>Pas de frais d'enregistrement</t>
        </is>
      </c>
      <c r="X1810" t="inlineStr">
        <is>
          <t>aafc-aac</t>
        </is>
      </c>
      <c r="Y1810" t="inlineStr">
        <is>
          <t>Agriculture and Agri-Food Canada | Agriculture et Agroalimentaire Canada</t>
        </is>
      </c>
    </row>
    <row r="1811">
      <c r="A1811" t="inlineStr">
        <is>
          <t>T-2022-P7-0007</t>
        </is>
      </c>
      <c r="B1811" t="inlineStr">
        <is>
          <t>MPSES</t>
        </is>
      </c>
      <c r="C1811" t="inlineStr">
        <is>
          <t>Driver</t>
        </is>
      </c>
      <c r="D1811" t="inlineStr">
        <is>
          <t>Chauffeur</t>
        </is>
      </c>
      <c r="E1811" t="inlineStr">
        <is>
          <t>Michel Gendreau</t>
        </is>
      </c>
      <c r="F1811" t="inlineStr">
        <is>
          <t>Drive the Minister from the Montréal Airport to her riding</t>
        </is>
      </c>
      <c r="G1811" t="inlineStr">
        <is>
          <t>Conduire la Ministre de l'aéroport de Montréal à sa circonscription</t>
        </is>
      </c>
      <c r="H1811" s="1" t="n">
        <v>44848</v>
      </c>
      <c r="I1811" s="1" t="n">
        <v>44848</v>
      </c>
      <c r="J1811" t="inlineStr">
        <is>
          <t>Montréal (Quebec) Canada; Sherbrooke (Quebec) Canada</t>
        </is>
      </c>
      <c r="K1811" t="inlineStr">
        <is>
          <t>Montréal (Québec) Canada; Sherbrooke (Québec) Canada</t>
        </is>
      </c>
      <c r="P1811" t="n">
        <v>0</v>
      </c>
      <c r="Q1811" t="n">
        <v>3</v>
      </c>
      <c r="R1811" t="n">
        <v>0</v>
      </c>
      <c r="S1811" t="n">
        <v>45.85</v>
      </c>
      <c r="T1811" t="n">
        <v>0</v>
      </c>
      <c r="U1811" t="n">
        <v>48.85</v>
      </c>
      <c r="V1811" t="inlineStr">
        <is>
          <t>No conference fee</t>
        </is>
      </c>
      <c r="W1811" t="inlineStr">
        <is>
          <t>Pas de frais d'enregistrement</t>
        </is>
      </c>
      <c r="X1811" t="inlineStr">
        <is>
          <t>aafc-aac</t>
        </is>
      </c>
      <c r="Y1811" t="inlineStr">
        <is>
          <t>Agriculture and Agri-Food Canada | Agriculture et Agroalimentaire Canada</t>
        </is>
      </c>
    </row>
    <row r="1812">
      <c r="A1812" t="inlineStr">
        <is>
          <t>T-2022-P7-0008</t>
        </is>
      </c>
      <c r="B1812" t="inlineStr">
        <is>
          <t>MPSES</t>
        </is>
      </c>
      <c r="C1812" t="inlineStr">
        <is>
          <t>Driver</t>
        </is>
      </c>
      <c r="D1812" t="inlineStr">
        <is>
          <t>Chauffeur</t>
        </is>
      </c>
      <c r="E1812" t="inlineStr">
        <is>
          <t>Michel Gendreau</t>
        </is>
      </c>
      <c r="F1812" t="inlineStr">
        <is>
          <t>Drive the Minister from her riding to Ottawa</t>
        </is>
      </c>
      <c r="G1812" t="inlineStr">
        <is>
          <t>Conduire la Ministre de sa circonscription à Ottawa</t>
        </is>
      </c>
      <c r="H1812" s="1" t="n">
        <v>44850</v>
      </c>
      <c r="I1812" s="1" t="n">
        <v>44851</v>
      </c>
      <c r="J1812" t="inlineStr">
        <is>
          <t>Sherbrooke (Quebec) Canada</t>
        </is>
      </c>
      <c r="K1812" t="inlineStr">
        <is>
          <t>Sherbrooke (Québec) Canada</t>
        </is>
      </c>
      <c r="P1812" t="n">
        <v>0</v>
      </c>
      <c r="Q1812" t="n">
        <v>6</v>
      </c>
      <c r="R1812" t="n">
        <v>121.38</v>
      </c>
      <c r="S1812" t="n">
        <v>79.40000000000001</v>
      </c>
      <c r="T1812" t="n">
        <v>0</v>
      </c>
      <c r="U1812" t="n">
        <v>206.78</v>
      </c>
      <c r="V1812" t="inlineStr">
        <is>
          <t>No conference fee</t>
        </is>
      </c>
      <c r="W1812" t="inlineStr">
        <is>
          <t>Pas de frais d'enregistrement</t>
        </is>
      </c>
      <c r="X1812" t="inlineStr">
        <is>
          <t>aafc-aac</t>
        </is>
      </c>
      <c r="Y1812" t="inlineStr">
        <is>
          <t>Agriculture and Agri-Food Canada | Agriculture et Agroalimentaire Canada</t>
        </is>
      </c>
    </row>
    <row r="1813">
      <c r="A1813" t="inlineStr">
        <is>
          <t>T-2022-P7-0009</t>
        </is>
      </c>
      <c r="B1813" t="inlineStr">
        <is>
          <t>MPSES</t>
        </is>
      </c>
      <c r="C1813" t="inlineStr">
        <is>
          <t>Deputy Minister</t>
        </is>
      </c>
      <c r="D1813" t="inlineStr">
        <is>
          <t>Sous-ministre</t>
        </is>
      </c>
      <c r="E1813" t="inlineStr">
        <is>
          <t>Chris Forbes</t>
        </is>
      </c>
      <c r="F1813" t="inlineStr">
        <is>
          <t xml:space="preserve">To attend a Prairies Outreach </t>
        </is>
      </c>
      <c r="G1813" t="inlineStr">
        <is>
          <t>Pour assister à une campagne de sensibilisation dans les Prairies</t>
        </is>
      </c>
      <c r="H1813" s="1" t="n">
        <v>44838</v>
      </c>
      <c r="I1813" s="1" t="n">
        <v>44842</v>
      </c>
      <c r="J1813" t="inlineStr">
        <is>
          <t>Calgary (Alberta) Canada; Winnipeg (Manitoba) Canada</t>
        </is>
      </c>
      <c r="K1813" t="inlineStr">
        <is>
          <t>Calgary (Alberta) Canada; Winnipeg (Manitoba) Canada</t>
        </is>
      </c>
      <c r="P1813" t="n">
        <v>1316.02</v>
      </c>
      <c r="Q1813" t="n">
        <v>150.67</v>
      </c>
      <c r="R1813" t="n">
        <v>643.8200000000001</v>
      </c>
      <c r="S1813" t="n">
        <v>340.9</v>
      </c>
      <c r="T1813" t="n">
        <v>0</v>
      </c>
      <c r="U1813" t="n">
        <v>2451.41</v>
      </c>
      <c r="V1813" t="inlineStr">
        <is>
          <t>No Conference Fees</t>
        </is>
      </c>
      <c r="W1813" t="inlineStr">
        <is>
          <t>Pas de frais de conférence</t>
        </is>
      </c>
      <c r="X1813" t="inlineStr">
        <is>
          <t>aafc-aac</t>
        </is>
      </c>
      <c r="Y1813" t="inlineStr">
        <is>
          <t>Agriculture and Agri-Food Canada | Agriculture et Agroalimentaire Canada</t>
        </is>
      </c>
    </row>
    <row r="1814">
      <c r="A1814" t="inlineStr">
        <is>
          <t>T-2022-P7-0010</t>
        </is>
      </c>
      <c r="B1814" t="inlineStr">
        <is>
          <t>MPSES</t>
        </is>
      </c>
      <c r="C1814" t="inlineStr">
        <is>
          <t>Deputy Minister</t>
        </is>
      </c>
      <c r="D1814" t="inlineStr">
        <is>
          <t>Sous-ministre</t>
        </is>
      </c>
      <c r="E1814" t="inlineStr">
        <is>
          <t>Chris Forbes</t>
        </is>
      </c>
      <c r="F1814" t="inlineStr">
        <is>
          <t>To attend an Ontario Outreach</t>
        </is>
      </c>
      <c r="G1814" t="inlineStr">
        <is>
          <t>Pour assister à une campagne de sensibilisation en Ontario</t>
        </is>
      </c>
      <c r="H1814" s="1" t="n">
        <v>44851</v>
      </c>
      <c r="I1814" s="1" t="n">
        <v>44853</v>
      </c>
      <c r="J1814" t="inlineStr">
        <is>
          <t>Toronto (Ontario) Canada</t>
        </is>
      </c>
      <c r="K1814" t="inlineStr">
        <is>
          <t>Toronto (Ontario) Canada</t>
        </is>
      </c>
      <c r="P1814" t="n">
        <v>2095.44</v>
      </c>
      <c r="Q1814" t="n">
        <v>232.6</v>
      </c>
      <c r="R1814" t="n">
        <v>679.26</v>
      </c>
      <c r="S1814" t="n">
        <v>68.65000000000001</v>
      </c>
      <c r="T1814" t="n">
        <v>0</v>
      </c>
      <c r="U1814" t="n">
        <v>3075.95</v>
      </c>
      <c r="V1814" t="inlineStr">
        <is>
          <t>No Conference Fees</t>
        </is>
      </c>
      <c r="W1814" t="inlineStr">
        <is>
          <t>Pas de frais de conférence</t>
        </is>
      </c>
      <c r="X1814" t="inlineStr">
        <is>
          <t>aafc-aac</t>
        </is>
      </c>
      <c r="Y1814" t="inlineStr">
        <is>
          <t>Agriculture and Agri-Food Canada | Agriculture et Agroalimentaire Canada</t>
        </is>
      </c>
    </row>
    <row r="1815">
      <c r="A1815" t="inlineStr">
        <is>
          <t>T-2022-P7-0011</t>
        </is>
      </c>
      <c r="B1815" t="inlineStr">
        <is>
          <t>SLE</t>
        </is>
      </c>
      <c r="C1815" t="inlineStr">
        <is>
          <t>Director General, Office of Audit and Evaluation</t>
        </is>
      </c>
      <c r="D1815" t="inlineStr">
        <is>
          <t>Directrice générale, Bureau de la vérification et de l'évaluation</t>
        </is>
      </c>
      <c r="E1815" t="inlineStr">
        <is>
          <t>Kimberly Saunders</t>
        </is>
      </c>
      <c r="F1815" t="inlineStr">
        <is>
          <t>Attend the Institute of Internal Auditors Canada Conference</t>
        </is>
      </c>
      <c r="G1815" t="inlineStr">
        <is>
          <t>Assister à la conférence de l'Institut des auditeurs internes Canada</t>
        </is>
      </c>
      <c r="H1815" s="1" t="n">
        <v>44848</v>
      </c>
      <c r="I1815" s="1" t="n">
        <v>44854</v>
      </c>
      <c r="J1815" t="inlineStr">
        <is>
          <t>Calgary (Alberta) Canada</t>
        </is>
      </c>
      <c r="K1815" t="inlineStr">
        <is>
          <t>Calgary (Alberta) Canada</t>
        </is>
      </c>
      <c r="P1815" t="n">
        <v>696.95</v>
      </c>
      <c r="Q1815" t="n">
        <v>177.75</v>
      </c>
      <c r="R1815" t="n">
        <v>1002.15</v>
      </c>
      <c r="S1815" t="n">
        <v>421.9</v>
      </c>
      <c r="T1815" t="n">
        <v>0</v>
      </c>
      <c r="U1815" t="n">
        <v>2298.75</v>
      </c>
      <c r="X1815" t="inlineStr">
        <is>
          <t>aafc-aac</t>
        </is>
      </c>
      <c r="Y1815" t="inlineStr">
        <is>
          <t>Agriculture and Agri-Food Canada | Agriculture et Agroalimentaire Canada</t>
        </is>
      </c>
    </row>
    <row r="1816">
      <c r="A1816" t="inlineStr">
        <is>
          <t>T-2022-P7-0012</t>
        </is>
      </c>
      <c r="B1816" t="inlineStr">
        <is>
          <t>SLE</t>
        </is>
      </c>
      <c r="C1816" t="inlineStr">
        <is>
          <t>Assistant Deputy Minister, Corporate Management Branch</t>
        </is>
      </c>
      <c r="D1816" t="inlineStr">
        <is>
          <t>Sous-ministre adjointe, Direction générale de la gestion intégrée</t>
        </is>
      </c>
      <c r="E1816" t="inlineStr">
        <is>
          <t>Marie-Claude Guérard</t>
        </is>
      </c>
      <c r="F1816" t="inlineStr">
        <is>
          <t>In-person meetings in Ottawa</t>
        </is>
      </c>
      <c r="G1816" t="inlineStr">
        <is>
          <t>Rencontre en personne à Ottawa</t>
        </is>
      </c>
      <c r="H1816" s="1" t="n">
        <v>44818</v>
      </c>
      <c r="I1816" s="1" t="n">
        <v>44819</v>
      </c>
      <c r="J1816" t="inlineStr">
        <is>
          <t>Ottawa (Ontario) Canada</t>
        </is>
      </c>
      <c r="K1816" t="inlineStr">
        <is>
          <t>Ottawa (Ontario) Canada</t>
        </is>
      </c>
      <c r="P1816" t="n">
        <v>0</v>
      </c>
      <c r="Q1816" t="n">
        <v>302.97</v>
      </c>
      <c r="R1816" t="n">
        <v>467.72</v>
      </c>
      <c r="S1816" t="n">
        <v>106.3</v>
      </c>
      <c r="T1816" t="n">
        <v>0</v>
      </c>
      <c r="U1816" t="n">
        <v>876.99</v>
      </c>
      <c r="X1816" t="inlineStr">
        <is>
          <t>aafc-aac</t>
        </is>
      </c>
      <c r="Y1816" t="inlineStr">
        <is>
          <t>Agriculture and Agri-Food Canada | Agriculture et Agroalimentaire Canada</t>
        </is>
      </c>
    </row>
    <row r="1817">
      <c r="A1817" t="inlineStr">
        <is>
          <t>T-2022-P7-0013</t>
        </is>
      </c>
      <c r="B1817" t="inlineStr">
        <is>
          <t>SLE</t>
        </is>
      </c>
      <c r="C1817" t="inlineStr">
        <is>
          <t>Assistant Deputy Minister, Corporate Management Branch</t>
        </is>
      </c>
      <c r="D1817" t="inlineStr">
        <is>
          <t>Sous-ministre adjointe, Direction générale de la gestion intégrée</t>
        </is>
      </c>
      <c r="E1817" t="inlineStr">
        <is>
          <t>Marie-Claude Guérard</t>
        </is>
      </c>
      <c r="F1817" t="inlineStr">
        <is>
          <t>In-person meetings in Ottawa</t>
        </is>
      </c>
      <c r="G1817" t="inlineStr">
        <is>
          <t>Rencontre en personne à Ottawa</t>
        </is>
      </c>
      <c r="H1817" s="1" t="n">
        <v>44824</v>
      </c>
      <c r="I1817" s="1" t="n">
        <v>44824</v>
      </c>
      <c r="J1817" t="inlineStr">
        <is>
          <t>Ottawa (Ontario) Canada</t>
        </is>
      </c>
      <c r="K1817" t="inlineStr">
        <is>
          <t>Ottawa (Ontario) Canada</t>
        </is>
      </c>
      <c r="P1817" t="n">
        <v>0</v>
      </c>
      <c r="Q1817" t="n">
        <v>317.81</v>
      </c>
      <c r="R1817" t="n">
        <v>0</v>
      </c>
      <c r="S1817" t="n">
        <v>22.15</v>
      </c>
      <c r="T1817" t="n">
        <v>0</v>
      </c>
      <c r="U1817" t="n">
        <v>339.96</v>
      </c>
      <c r="X1817" t="inlineStr">
        <is>
          <t>aafc-aac</t>
        </is>
      </c>
      <c r="Y1817" t="inlineStr">
        <is>
          <t>Agriculture and Agri-Food Canada | Agriculture et Agroalimentaire Canada</t>
        </is>
      </c>
    </row>
    <row r="1818">
      <c r="A1818" t="inlineStr">
        <is>
          <t>T-2022-P7-0014</t>
        </is>
      </c>
      <c r="B1818" t="inlineStr">
        <is>
          <t>SLE</t>
        </is>
      </c>
      <c r="C1818" t="inlineStr">
        <is>
          <t>Assistant Deputy Minister, Corporate Management Branch</t>
        </is>
      </c>
      <c r="D1818" t="inlineStr">
        <is>
          <t>Sous-ministre adjointe, Direction générale de la gestion intégrée</t>
        </is>
      </c>
      <c r="E1818" t="inlineStr">
        <is>
          <t>Marie-Claude Guérard</t>
        </is>
      </c>
      <c r="F1818" t="inlineStr">
        <is>
          <t xml:space="preserve">Outreach in Southern Ontario </t>
        </is>
      </c>
      <c r="G1818" t="inlineStr">
        <is>
          <t>Rencontre au sud de l'Ontario</t>
        </is>
      </c>
      <c r="H1818" s="1" t="n">
        <v>44845</v>
      </c>
      <c r="I1818" s="1" t="n">
        <v>44848</v>
      </c>
      <c r="J1818" t="inlineStr">
        <is>
          <t>Harrow (Ontario) Canada; Guelph (Ontario) Canada; Jerseyville (Ontario) Canada; London (Ontario) Canada</t>
        </is>
      </c>
      <c r="K1818" t="inlineStr">
        <is>
          <t>Harrow (Ontario) Canada; Guelph (Ontario) Canada; Jerseyville (Ontario) Canada; London (Ontario) Canada</t>
        </is>
      </c>
      <c r="P1818" t="n">
        <v>346.48</v>
      </c>
      <c r="Q1818" t="n">
        <v>243.43</v>
      </c>
      <c r="R1818" t="n">
        <v>489.65</v>
      </c>
      <c r="S1818" t="n">
        <v>399.6</v>
      </c>
      <c r="T1818" t="n">
        <v>0</v>
      </c>
      <c r="U1818" t="n">
        <v>1479.16</v>
      </c>
      <c r="X1818" t="inlineStr">
        <is>
          <t>aafc-aac</t>
        </is>
      </c>
      <c r="Y1818" t="inlineStr">
        <is>
          <t>Agriculture and Agri-Food Canada | Agriculture et Agroalimentaire Canada</t>
        </is>
      </c>
    </row>
    <row r="1819">
      <c r="A1819" t="inlineStr">
        <is>
          <t>T-2022-P7-0015</t>
        </is>
      </c>
      <c r="B1819" t="inlineStr">
        <is>
          <t>SLE</t>
        </is>
      </c>
      <c r="C1819" t="inlineStr">
        <is>
          <t>Assistant Deputy Minister, Strategic Policy Branch</t>
        </is>
      </c>
      <c r="D1819" t="inlineStr">
        <is>
          <t>Sous-ministre adjointe, Direction générale des politiques stratégiques</t>
        </is>
      </c>
      <c r="E1819" t="inlineStr">
        <is>
          <t>Natasha Kim</t>
        </is>
      </c>
      <c r="F1819" t="inlineStr">
        <is>
          <t>Travel to Vancouver for the outreach and tours with other members</t>
        </is>
      </c>
      <c r="G1819" t="inlineStr">
        <is>
          <t xml:space="preserve">Voyage à Vancouver pour les activités de sensibilisation et les visites avec d'autres membres </t>
        </is>
      </c>
      <c r="H1819" s="1" t="n">
        <v>44818</v>
      </c>
      <c r="I1819" s="1" t="n">
        <v>44822</v>
      </c>
      <c r="J1819" t="inlineStr">
        <is>
          <t>Vancouver (British Columbia) Canada</t>
        </is>
      </c>
      <c r="K1819" t="inlineStr">
        <is>
          <t>Vancouver (Colombie-Britannique) Canada</t>
        </is>
      </c>
      <c r="P1819" t="n">
        <v>1712.83</v>
      </c>
      <c r="Q1819" t="n">
        <v>191.68</v>
      </c>
      <c r="R1819" t="n">
        <v>990.2</v>
      </c>
      <c r="S1819" t="n">
        <v>226.9</v>
      </c>
      <c r="T1819" t="n">
        <v>0</v>
      </c>
      <c r="U1819" t="n">
        <v>3121.61</v>
      </c>
      <c r="X1819" t="inlineStr">
        <is>
          <t>aafc-aac</t>
        </is>
      </c>
      <c r="Y1819" t="inlineStr">
        <is>
          <t>Agriculture and Agri-Food Canada | Agriculture et Agroalimentaire Canada</t>
        </is>
      </c>
    </row>
    <row r="1820">
      <c r="A1820" t="inlineStr">
        <is>
          <t>T-2022-P7-0016</t>
        </is>
      </c>
      <c r="B1820" t="inlineStr">
        <is>
          <t>SLE</t>
        </is>
      </c>
      <c r="C1820" t="inlineStr">
        <is>
          <t>Assistant Deputy Minister, Strategic Policy Branch</t>
        </is>
      </c>
      <c r="D1820" t="inlineStr">
        <is>
          <t>Sous-ministre adjointe, Direction générale des politiques stratégiques</t>
        </is>
      </c>
      <c r="E1820" t="inlineStr">
        <is>
          <t>Natasha Kim</t>
        </is>
      </c>
      <c r="F1820" t="inlineStr">
        <is>
          <t>Travel to London, ON for a leadership course.</t>
        </is>
      </c>
      <c r="G1820" t="inlineStr">
        <is>
          <t>Voyage à London, en Ontario, pour suivre un cours de leadership.</t>
        </is>
      </c>
      <c r="H1820" s="1" t="n">
        <v>44829</v>
      </c>
      <c r="I1820" s="1" t="n">
        <v>44834</v>
      </c>
      <c r="J1820" t="inlineStr">
        <is>
          <t>London (Ontario)Canada</t>
        </is>
      </c>
      <c r="K1820" t="inlineStr">
        <is>
          <t>London (Ontario) Canada</t>
        </is>
      </c>
      <c r="P1820" t="n">
        <v>619.85</v>
      </c>
      <c r="Q1820" t="n">
        <v>227.08</v>
      </c>
      <c r="R1820" t="n">
        <v>0</v>
      </c>
      <c r="S1820" t="n">
        <v>180.35</v>
      </c>
      <c r="T1820" t="n">
        <v>0</v>
      </c>
      <c r="U1820" t="n">
        <v>1027.28</v>
      </c>
      <c r="X1820" t="inlineStr">
        <is>
          <t>aafc-aac</t>
        </is>
      </c>
      <c r="Y1820" t="inlineStr">
        <is>
          <t>Agriculture and Agri-Food Canada | Agriculture et Agroalimentaire Canada</t>
        </is>
      </c>
    </row>
    <row r="1821">
      <c r="A1821" t="inlineStr">
        <is>
          <t>T-2022-P7-0017</t>
        </is>
      </c>
      <c r="B1821" t="inlineStr">
        <is>
          <t>SLE</t>
        </is>
      </c>
      <c r="C1821" t="inlineStr">
        <is>
          <t>Assistant Deputy Minister, Market and Industry Services Branch</t>
        </is>
      </c>
      <c r="D1821" t="inlineStr">
        <is>
          <t>Sous-ministre adjoint, Direction générale des services à l'industrie et aux marchés</t>
        </is>
      </c>
      <c r="E1821" t="inlineStr">
        <is>
          <t>Tom Rosser</t>
        </is>
      </c>
      <c r="F1821" t="inlineStr">
        <is>
          <t xml:space="preserve">Participate in the Cairns Group Retreat on behalf of AAFC. </t>
        </is>
      </c>
      <c r="G1821" t="inlineStr">
        <is>
          <t xml:space="preserve">Participer à la retraite du groupe de Cairns au nom d’AAC. </t>
        </is>
      </c>
      <c r="H1821" s="1" t="n">
        <v>44818</v>
      </c>
      <c r="I1821" s="1" t="n">
        <v>44822</v>
      </c>
      <c r="J1821" t="inlineStr">
        <is>
          <t>Montreux, Switzerland</t>
        </is>
      </c>
      <c r="K1821" t="inlineStr">
        <is>
          <t>Montreux, Suisse</t>
        </is>
      </c>
      <c r="P1821" t="n">
        <v>3335.46</v>
      </c>
      <c r="Q1821" t="n">
        <v>252.29</v>
      </c>
      <c r="R1821" t="n">
        <v>903.21</v>
      </c>
      <c r="S1821" t="n">
        <v>315.18</v>
      </c>
      <c r="T1821" t="n">
        <v>0</v>
      </c>
      <c r="U1821" t="n">
        <v>4806.14</v>
      </c>
      <c r="X1821" t="inlineStr">
        <is>
          <t>aafc-aac</t>
        </is>
      </c>
      <c r="Y1821" t="inlineStr">
        <is>
          <t>Agriculture and Agri-Food Canada | Agriculture et Agroalimentaire Canada</t>
        </is>
      </c>
    </row>
    <row r="1822">
      <c r="A1822" t="inlineStr">
        <is>
          <t>T-2022-P7-0018</t>
        </is>
      </c>
      <c r="B1822" t="inlineStr">
        <is>
          <t>SLE</t>
        </is>
      </c>
      <c r="C1822" t="inlineStr">
        <is>
          <t>Chief Information Officer, Information Systems Branch</t>
        </is>
      </c>
      <c r="D1822" t="inlineStr">
        <is>
          <t>Dirigeante principale de l'information, Direction générale des systèmes information</t>
        </is>
      </c>
      <c r="E1822" t="inlineStr">
        <is>
          <t>Vidya ShankarNarayan</t>
        </is>
      </c>
      <c r="F1822" t="inlineStr">
        <is>
          <t>To attend AgTech Conference</t>
        </is>
      </c>
      <c r="G1822" t="inlineStr">
        <is>
          <t xml:space="preserve">Pour assister à la conférence AgTech </t>
        </is>
      </c>
      <c r="H1822" s="1" t="n">
        <v>44822</v>
      </c>
      <c r="I1822" s="1" t="n">
        <v>44828</v>
      </c>
      <c r="J1822" t="inlineStr">
        <is>
          <t>London, England</t>
        </is>
      </c>
      <c r="K1822" t="inlineStr">
        <is>
          <t>Londre, Angleterre</t>
        </is>
      </c>
      <c r="P1822" t="n">
        <v>1815.85</v>
      </c>
      <c r="Q1822" t="n">
        <v>204.47</v>
      </c>
      <c r="R1822" t="n">
        <v>2364.02</v>
      </c>
      <c r="S1822" t="n">
        <v>1055.43</v>
      </c>
      <c r="T1822" t="n">
        <v>0</v>
      </c>
      <c r="U1822" t="n">
        <v>5439.77</v>
      </c>
      <c r="X1822" t="inlineStr">
        <is>
          <t>aafc-aac</t>
        </is>
      </c>
      <c r="Y1822" t="inlineStr">
        <is>
          <t>Agriculture and Agri-Food Canada | Agriculture et Agroalimentaire Canada</t>
        </is>
      </c>
    </row>
    <row r="1823">
      <c r="A1823" t="inlineStr">
        <is>
          <t>T-2022-P8-0001</t>
        </is>
      </c>
      <c r="B1823" t="inlineStr">
        <is>
          <t>MPSES</t>
        </is>
      </c>
      <c r="C1823" t="inlineStr">
        <is>
          <t>Minister</t>
        </is>
      </c>
      <c r="D1823" t="inlineStr">
        <is>
          <t>Ministre</t>
        </is>
      </c>
      <c r="E1823" t="inlineStr">
        <is>
          <t>Marie-Claude Bibeau</t>
        </is>
      </c>
      <c r="F1823" t="inlineStr">
        <is>
          <t>To attend the 17th G20 Heads of State and Government Summit</t>
        </is>
      </c>
      <c r="G1823" t="inlineStr">
        <is>
          <t>Pour assister le 17e sommet des chefs d'État et de gouvernement du G20</t>
        </is>
      </c>
      <c r="H1823" s="1" t="n">
        <v>44827</v>
      </c>
      <c r="I1823" s="1" t="n">
        <v>44834</v>
      </c>
      <c r="J1823" t="inlineStr">
        <is>
          <t>(Manila) Philippines
(Bali) Indonesia</t>
        </is>
      </c>
      <c r="K1823" t="inlineStr">
        <is>
          <t>(Manille) Philippines
(Bali) Indonésie</t>
        </is>
      </c>
      <c r="P1823" t="n">
        <v>14788.85</v>
      </c>
      <c r="Q1823" t="n">
        <v>0</v>
      </c>
      <c r="R1823" t="n">
        <v>1450.15</v>
      </c>
      <c r="S1823" t="n">
        <v>568.02</v>
      </c>
      <c r="T1823" t="n">
        <v>65.54000000000001</v>
      </c>
      <c r="U1823" t="n">
        <v>16872.56</v>
      </c>
      <c r="V1823" t="inlineStr">
        <is>
          <t>No Conference Fees</t>
        </is>
      </c>
      <c r="W1823" t="inlineStr">
        <is>
          <t>Pas de frais de conférence</t>
        </is>
      </c>
      <c r="X1823" t="inlineStr">
        <is>
          <t>aafc-aac</t>
        </is>
      </c>
      <c r="Y1823" t="inlineStr">
        <is>
          <t>Agriculture and Agri-Food Canada | Agriculture et Agroalimentaire Canada</t>
        </is>
      </c>
    </row>
    <row r="1824">
      <c r="A1824" t="inlineStr">
        <is>
          <t>T-2022-P8-0002</t>
        </is>
      </c>
      <c r="B1824" t="inlineStr">
        <is>
          <t>MPSES</t>
        </is>
      </c>
      <c r="C1824" t="inlineStr">
        <is>
          <t>Minister</t>
        </is>
      </c>
      <c r="D1824" t="inlineStr">
        <is>
          <t>Ministre</t>
        </is>
      </c>
      <c r="E1824" t="inlineStr">
        <is>
          <t>Marie-Claude Bibeau</t>
        </is>
      </c>
      <c r="F1824" t="inlineStr">
        <is>
          <t>To attend the Eastern Outreach meetings</t>
        </is>
      </c>
      <c r="G1824" t="inlineStr">
        <is>
          <t>Pour assister aux réunions de sensibilisation de l'Est</t>
        </is>
      </c>
      <c r="H1824" s="1" t="n">
        <v>44845</v>
      </c>
      <c r="I1824" s="1" t="n">
        <v>44848</v>
      </c>
      <c r="J1824" t="inlineStr">
        <is>
          <t>Halifax (Nova Scotia) Canada
Charlottetown (Prince Edward Island) Canada</t>
        </is>
      </c>
      <c r="K1824" t="inlineStr">
        <is>
          <t>Halifax (Nouvelle-Écosse) Canada
Charlottetown (Île-du-Prince-Édouard) Canada</t>
        </is>
      </c>
      <c r="P1824" t="n">
        <v>900.96</v>
      </c>
      <c r="Q1824" t="n">
        <v>0</v>
      </c>
      <c r="R1824" t="n">
        <v>468.65</v>
      </c>
      <c r="S1824" t="n">
        <v>227.7</v>
      </c>
      <c r="T1824" t="n">
        <v>0</v>
      </c>
      <c r="U1824" t="n">
        <v>1597.31</v>
      </c>
      <c r="V1824" t="inlineStr">
        <is>
          <t>No Conference Fees</t>
        </is>
      </c>
      <c r="W1824" t="inlineStr">
        <is>
          <t>Pas de frais de conférence</t>
        </is>
      </c>
      <c r="X1824" t="inlineStr">
        <is>
          <t>aafc-aac</t>
        </is>
      </c>
      <c r="Y1824" t="inlineStr">
        <is>
          <t>Agriculture and Agri-Food Canada | Agriculture et Agroalimentaire Canada</t>
        </is>
      </c>
    </row>
    <row r="1825">
      <c r="A1825" t="inlineStr">
        <is>
          <t>T-2022-P8-0003</t>
        </is>
      </c>
      <c r="B1825" t="inlineStr">
        <is>
          <t>MPSES</t>
        </is>
      </c>
      <c r="C1825" t="inlineStr">
        <is>
          <t>Minister</t>
        </is>
      </c>
      <c r="D1825" t="inlineStr">
        <is>
          <t>Ministre</t>
        </is>
      </c>
      <c r="E1825" t="inlineStr">
        <is>
          <t>Marie-Claude Bibeau</t>
        </is>
      </c>
      <c r="F1825" t="inlineStr">
        <is>
          <t>To attend the Quebec Tour</t>
        </is>
      </c>
      <c r="G1825" t="inlineStr">
        <is>
          <t>Pour assister à la tournée québécoise</t>
        </is>
      </c>
      <c r="H1825" s="1" t="n">
        <v>44855</v>
      </c>
      <c r="I1825" s="1" t="n">
        <v>44857</v>
      </c>
      <c r="J1825" t="inlineStr">
        <is>
          <t>Québec (Quebec) Canada</t>
        </is>
      </c>
      <c r="K1825" t="inlineStr">
        <is>
          <t>Québec (Québec) Canada</t>
        </is>
      </c>
      <c r="P1825" t="n">
        <v>0</v>
      </c>
      <c r="Q1825" t="n">
        <v>0</v>
      </c>
      <c r="R1825" t="n">
        <v>312.02</v>
      </c>
      <c r="S1825" t="n">
        <v>171.35</v>
      </c>
      <c r="T1825" t="n">
        <v>0</v>
      </c>
      <c r="U1825" t="n">
        <v>483.37</v>
      </c>
      <c r="V1825" t="inlineStr">
        <is>
          <t>No Conference Fees</t>
        </is>
      </c>
      <c r="W1825" t="inlineStr">
        <is>
          <t>Pas de frais de conférence</t>
        </is>
      </c>
      <c r="X1825" t="inlineStr">
        <is>
          <t>aafc-aac</t>
        </is>
      </c>
      <c r="Y1825" t="inlineStr">
        <is>
          <t>Agriculture and Agri-Food Canada | Agriculture et Agroalimentaire Canada</t>
        </is>
      </c>
    </row>
    <row r="1826">
      <c r="A1826" t="inlineStr">
        <is>
          <t>T-2022-P8-0004</t>
        </is>
      </c>
      <c r="B1826" t="inlineStr">
        <is>
          <t>MPSES</t>
        </is>
      </c>
      <c r="C1826" t="inlineStr">
        <is>
          <t>Senior Advisor</t>
        </is>
      </c>
      <c r="D1826" t="inlineStr">
        <is>
          <t xml:space="preserve">Conseiller principal </t>
        </is>
      </c>
      <c r="E1826" t="inlineStr">
        <is>
          <t xml:space="preserve">Abed Harb </t>
        </is>
      </c>
      <c r="F1826" t="inlineStr">
        <is>
          <t>To accompany the Minister attending the 17th G20 Heads of State and Government Summit</t>
        </is>
      </c>
      <c r="G1826" t="inlineStr">
        <is>
          <t>Accompagner la ministre au 17e sommet des chefs d'État et de gouvernement du G20</t>
        </is>
      </c>
      <c r="H1826" s="1" t="n">
        <v>44827</v>
      </c>
      <c r="I1826" s="1" t="n">
        <v>44834</v>
      </c>
      <c r="J1826" t="inlineStr">
        <is>
          <t>(Manila) Philippines
(Bali) Indonesia</t>
        </is>
      </c>
      <c r="K1826" t="inlineStr">
        <is>
          <t>(Manille) Philippines
(Bali) Indonésie</t>
        </is>
      </c>
      <c r="P1826" t="n">
        <v>4686.28</v>
      </c>
      <c r="Q1826" t="n">
        <v>1835.9</v>
      </c>
      <c r="R1826" t="n">
        <v>1402.31</v>
      </c>
      <c r="S1826" t="n">
        <v>568.02</v>
      </c>
      <c r="T1826" t="n">
        <v>46.05</v>
      </c>
      <c r="U1826" t="n">
        <v>8538.559999999999</v>
      </c>
      <c r="V1826" t="inlineStr">
        <is>
          <t>No conference fee.</t>
        </is>
      </c>
      <c r="W1826" t="inlineStr">
        <is>
          <t>Pas de frais d'enregistrement</t>
        </is>
      </c>
      <c r="X1826" t="inlineStr">
        <is>
          <t>aafc-aac</t>
        </is>
      </c>
      <c r="Y1826" t="inlineStr">
        <is>
          <t>Agriculture and Agri-Food Canada | Agriculture et Agroalimentaire Canada</t>
        </is>
      </c>
    </row>
    <row r="1827">
      <c r="A1827" t="inlineStr">
        <is>
          <t>T-2022-P8-0005</t>
        </is>
      </c>
      <c r="B1827" t="inlineStr">
        <is>
          <t>MPSES</t>
        </is>
      </c>
      <c r="C1827" t="inlineStr">
        <is>
          <t>Press Secretary</t>
        </is>
      </c>
      <c r="D1827" t="inlineStr">
        <is>
          <t>Attachée de presse</t>
        </is>
      </c>
      <c r="E1827" t="inlineStr">
        <is>
          <t>Marianne Dandurand</t>
        </is>
      </c>
      <c r="F1827" t="inlineStr">
        <is>
          <t>To accompany the Minister on to her Quebec tour</t>
        </is>
      </c>
      <c r="G1827" t="inlineStr">
        <is>
          <t>Pour accompagner la ministre à sa tournée québécoise</t>
        </is>
      </c>
      <c r="H1827" s="1" t="n">
        <v>44820</v>
      </c>
      <c r="I1827" s="1" t="n">
        <v>44820</v>
      </c>
      <c r="J1827" t="inlineStr">
        <is>
          <t>Sherbrooke (Quebec) Canada</t>
        </is>
      </c>
      <c r="K1827" t="inlineStr">
        <is>
          <t>Sherbrooke (Québec) Canada</t>
        </is>
      </c>
      <c r="P1827" t="n">
        <v>0</v>
      </c>
      <c r="Q1827" t="n">
        <v>46.23</v>
      </c>
      <c r="R1827" t="n">
        <v>0</v>
      </c>
      <c r="S1827" t="n">
        <v>0</v>
      </c>
      <c r="T1827" t="n">
        <v>0</v>
      </c>
      <c r="U1827" t="n">
        <v>46.23</v>
      </c>
      <c r="V1827" t="inlineStr">
        <is>
          <t>No Conference Fees</t>
        </is>
      </c>
      <c r="W1827" t="inlineStr">
        <is>
          <t>Pas de frais de conférence</t>
        </is>
      </c>
      <c r="X1827" t="inlineStr">
        <is>
          <t>aafc-aac</t>
        </is>
      </c>
      <c r="Y1827" t="inlineStr">
        <is>
          <t>Agriculture and Agri-Food Canada | Agriculture et Agroalimentaire Canada</t>
        </is>
      </c>
    </row>
    <row r="1828">
      <c r="A1828" t="inlineStr">
        <is>
          <t>T-2022-P8-0006</t>
        </is>
      </c>
      <c r="B1828" t="inlineStr">
        <is>
          <t>MPSES</t>
        </is>
      </c>
      <c r="C1828" t="inlineStr">
        <is>
          <t>Press Secretary</t>
        </is>
      </c>
      <c r="D1828" t="inlineStr">
        <is>
          <t>Attachée de presse</t>
        </is>
      </c>
      <c r="E1828" t="inlineStr">
        <is>
          <t>Marianne Dandurand</t>
        </is>
      </c>
      <c r="F1828" t="inlineStr">
        <is>
          <t>To accompany the Minister on the Eastern Outreach meetings</t>
        </is>
      </c>
      <c r="G1828" t="inlineStr">
        <is>
          <t>Pour accompagner la ministre aux réunions de sensibilisation de l'Est</t>
        </is>
      </c>
      <c r="H1828" s="1" t="n">
        <v>44846</v>
      </c>
      <c r="I1828" s="1" t="n">
        <v>44848</v>
      </c>
      <c r="J1828" t="inlineStr">
        <is>
          <t>Halifax (Nova Scotia) Canada
Charlottetown (Prince Edward Island) Canada</t>
        </is>
      </c>
      <c r="K1828" t="inlineStr">
        <is>
          <t>Halifax (Nouvelle-Écosse) Canada
Charlottetown (Île-du-Prince-Édouard) Canada</t>
        </is>
      </c>
      <c r="P1828" t="n">
        <v>900.96</v>
      </c>
      <c r="Q1828" t="n">
        <v>36.23</v>
      </c>
      <c r="R1828" t="n">
        <v>468.65</v>
      </c>
      <c r="S1828" t="n">
        <v>227.7</v>
      </c>
      <c r="T1828" t="n">
        <v>0</v>
      </c>
      <c r="U1828" t="n">
        <v>1633.54</v>
      </c>
      <c r="V1828" t="inlineStr">
        <is>
          <t>No Conference Fees</t>
        </is>
      </c>
      <c r="W1828" t="inlineStr">
        <is>
          <t>Pas de frais de conférence</t>
        </is>
      </c>
      <c r="X1828" t="inlineStr">
        <is>
          <t>aafc-aac</t>
        </is>
      </c>
      <c r="Y1828" t="inlineStr">
        <is>
          <t>Agriculture and Agri-Food Canada | Agriculture et Agroalimentaire Canada</t>
        </is>
      </c>
    </row>
    <row r="1829">
      <c r="A1829" t="inlineStr">
        <is>
          <t>T-2022-P8-0007</t>
        </is>
      </c>
      <c r="B1829" t="inlineStr">
        <is>
          <t>MPSES</t>
        </is>
      </c>
      <c r="C1829" t="inlineStr">
        <is>
          <t>Driver</t>
        </is>
      </c>
      <c r="D1829" t="inlineStr">
        <is>
          <t>Chauffeur</t>
        </is>
      </c>
      <c r="E1829" t="inlineStr">
        <is>
          <t>Michel Gendreau</t>
        </is>
      </c>
      <c r="F1829" t="inlineStr">
        <is>
          <t>Drive the Minister from her riding to her Quebec tour</t>
        </is>
      </c>
      <c r="G1829" t="inlineStr">
        <is>
          <t>Conduire la Ministre de sa circonscription à sa tournée québécoise</t>
        </is>
      </c>
      <c r="H1829" s="1" t="n">
        <v>44855</v>
      </c>
      <c r="I1829" s="1" t="n">
        <v>44857</v>
      </c>
      <c r="J1829" t="inlineStr">
        <is>
          <t>Québec (Quebec) Canada</t>
        </is>
      </c>
      <c r="K1829" t="inlineStr">
        <is>
          <t>Québec (Québec) Canada</t>
        </is>
      </c>
      <c r="P1829" t="n">
        <v>0</v>
      </c>
      <c r="Q1829" t="n">
        <v>3</v>
      </c>
      <c r="R1829" t="n">
        <v>312.02</v>
      </c>
      <c r="S1829" t="n">
        <v>284.55</v>
      </c>
      <c r="T1829" t="n">
        <v>0</v>
      </c>
      <c r="U1829" t="n">
        <v>599.5700000000001</v>
      </c>
      <c r="V1829" t="inlineStr">
        <is>
          <t>No conference fee</t>
        </is>
      </c>
      <c r="W1829" t="inlineStr">
        <is>
          <t>Pas de frais d'enregistrement</t>
        </is>
      </c>
      <c r="X1829" t="inlineStr">
        <is>
          <t>aafc-aac</t>
        </is>
      </c>
      <c r="Y1829" t="inlineStr">
        <is>
          <t>Agriculture and Agri-Food Canada | Agriculture et Agroalimentaire Canada</t>
        </is>
      </c>
    </row>
    <row r="1830">
      <c r="A1830" t="inlineStr">
        <is>
          <t>T-2022-P8-0008</t>
        </is>
      </c>
      <c r="B1830" t="inlineStr">
        <is>
          <t>MPSES</t>
        </is>
      </c>
      <c r="C1830" t="inlineStr">
        <is>
          <t>Driver</t>
        </is>
      </c>
      <c r="D1830" t="inlineStr">
        <is>
          <t>Chauffeur</t>
        </is>
      </c>
      <c r="E1830" t="inlineStr">
        <is>
          <t>Michel Gendreau</t>
        </is>
      </c>
      <c r="F1830" t="inlineStr">
        <is>
          <t>Drive the Minister from her riding to Ottawa</t>
        </is>
      </c>
      <c r="G1830" t="inlineStr">
        <is>
          <t>Conduire la Ministre de sa circonscription à Ottawa</t>
        </is>
      </c>
      <c r="H1830" s="1" t="n">
        <v>44858</v>
      </c>
      <c r="I1830" s="1" t="n">
        <v>44859</v>
      </c>
      <c r="J1830" t="inlineStr">
        <is>
          <t>Sherbrooke (Quebec) Canada</t>
        </is>
      </c>
      <c r="K1830" t="inlineStr">
        <is>
          <t>Sherbrooke (Québec) Canada</t>
        </is>
      </c>
      <c r="P1830" t="n">
        <v>0</v>
      </c>
      <c r="Q1830" t="n">
        <v>6</v>
      </c>
      <c r="R1830" t="n">
        <v>121.38</v>
      </c>
      <c r="S1830" t="n">
        <v>79.40000000000001</v>
      </c>
      <c r="T1830" t="n">
        <v>0</v>
      </c>
      <c r="U1830" t="n">
        <v>206.78</v>
      </c>
      <c r="V1830" t="inlineStr">
        <is>
          <t>No conference fee</t>
        </is>
      </c>
      <c r="W1830" t="inlineStr">
        <is>
          <t>Pas de frais d'enregistrement</t>
        </is>
      </c>
      <c r="X1830" t="inlineStr">
        <is>
          <t>aafc-aac</t>
        </is>
      </c>
      <c r="Y1830" t="inlineStr">
        <is>
          <t>Agriculture and Agri-Food Canada | Agriculture et Agroalimentaire Canada</t>
        </is>
      </c>
    </row>
    <row r="1831">
      <c r="A1831" t="inlineStr">
        <is>
          <t>T-2022-P8-0009</t>
        </is>
      </c>
      <c r="B1831" t="inlineStr">
        <is>
          <t>MPSES</t>
        </is>
      </c>
      <c r="C1831" t="inlineStr">
        <is>
          <t>Driver</t>
        </is>
      </c>
      <c r="D1831" t="inlineStr">
        <is>
          <t>Chauffeur</t>
        </is>
      </c>
      <c r="E1831" t="inlineStr">
        <is>
          <t>Michel Gendreau</t>
        </is>
      </c>
      <c r="F1831" t="inlineStr">
        <is>
          <t>Drive the Minister from her riding to Ottawa</t>
        </is>
      </c>
      <c r="G1831" t="inlineStr">
        <is>
          <t>Conduire la Ministre de sa circonscription à Ottawa</t>
        </is>
      </c>
      <c r="H1831" s="1" t="n">
        <v>44861</v>
      </c>
      <c r="I1831" s="1" t="n">
        <v>44861</v>
      </c>
      <c r="J1831" t="inlineStr">
        <is>
          <t>Sherbrooke (Quebec) Canada</t>
        </is>
      </c>
      <c r="K1831" t="inlineStr">
        <is>
          <t>Sherbrooke (Québec) Canada</t>
        </is>
      </c>
      <c r="P1831" t="n">
        <v>0</v>
      </c>
      <c r="Q1831" t="n">
        <v>6</v>
      </c>
      <c r="R1831" t="n">
        <v>0</v>
      </c>
      <c r="S1831" t="n">
        <v>56.6</v>
      </c>
      <c r="T1831" t="n">
        <v>0</v>
      </c>
      <c r="U1831" t="n">
        <v>62.6</v>
      </c>
      <c r="V1831" t="inlineStr">
        <is>
          <t>No conference fee</t>
        </is>
      </c>
      <c r="W1831" t="inlineStr">
        <is>
          <t>Pas de frais d'enregistrement</t>
        </is>
      </c>
      <c r="X1831" t="inlineStr">
        <is>
          <t>aafc-aac</t>
        </is>
      </c>
      <c r="Y1831" t="inlineStr">
        <is>
          <t>Agriculture and Agri-Food Canada | Agriculture et Agroalimentaire Canada</t>
        </is>
      </c>
    </row>
    <row r="1832">
      <c r="A1832" t="inlineStr">
        <is>
          <t>T-2022-P8-0010</t>
        </is>
      </c>
      <c r="B1832" t="inlineStr">
        <is>
          <t>MPSES</t>
        </is>
      </c>
      <c r="C1832" t="inlineStr">
        <is>
          <t>Driver</t>
        </is>
      </c>
      <c r="D1832" t="inlineStr">
        <is>
          <t>Chauffeur</t>
        </is>
      </c>
      <c r="E1832" t="inlineStr">
        <is>
          <t>Michel Gendreau</t>
        </is>
      </c>
      <c r="F1832" t="inlineStr">
        <is>
          <t>Drive the Minister from her riding to Ottawa</t>
        </is>
      </c>
      <c r="G1832" t="inlineStr">
        <is>
          <t>Conduire la Ministre de sa circonscription à Ottawa</t>
        </is>
      </c>
      <c r="H1832" s="1" t="n">
        <v>44878</v>
      </c>
      <c r="I1832" s="1" t="n">
        <v>44879</v>
      </c>
      <c r="J1832" t="inlineStr">
        <is>
          <t>Sherbrooke (Quebec) Canada</t>
        </is>
      </c>
      <c r="K1832" t="inlineStr">
        <is>
          <t>Sherbrooke (Québec) Canada</t>
        </is>
      </c>
      <c r="P1832" t="n">
        <v>0</v>
      </c>
      <c r="Q1832" t="n">
        <v>6</v>
      </c>
      <c r="R1832" t="n">
        <v>166.54</v>
      </c>
      <c r="S1832" t="n">
        <v>79.40000000000001</v>
      </c>
      <c r="T1832" t="n">
        <v>0</v>
      </c>
      <c r="U1832" t="n">
        <v>251.94</v>
      </c>
      <c r="V1832" t="inlineStr">
        <is>
          <t>No conference fee</t>
        </is>
      </c>
      <c r="W1832" t="inlineStr">
        <is>
          <t>Pas de frais d'enregistrement</t>
        </is>
      </c>
      <c r="X1832" t="inlineStr">
        <is>
          <t>aafc-aac</t>
        </is>
      </c>
      <c r="Y1832" t="inlineStr">
        <is>
          <t>Agriculture and Agri-Food Canada | Agriculture et Agroalimentaire Canada</t>
        </is>
      </c>
    </row>
    <row r="1833">
      <c r="A1833" t="inlineStr">
        <is>
          <t>T-2022-P8-0011</t>
        </is>
      </c>
      <c r="B1833" t="inlineStr">
        <is>
          <t>MPSES</t>
        </is>
      </c>
      <c r="C1833" t="inlineStr">
        <is>
          <t>Driver</t>
        </is>
      </c>
      <c r="D1833" t="inlineStr">
        <is>
          <t>Chauffeur</t>
        </is>
      </c>
      <c r="E1833" t="inlineStr">
        <is>
          <t>Michel Gendreau</t>
        </is>
      </c>
      <c r="F1833" t="inlineStr">
        <is>
          <t>Drive the Minister from her riding to Ottawa</t>
        </is>
      </c>
      <c r="G1833" t="inlineStr">
        <is>
          <t>Conduire la Ministre de sa circonscription à Ottawa</t>
        </is>
      </c>
      <c r="H1833" s="1" t="n">
        <v>44885</v>
      </c>
      <c r="I1833" s="1" t="n">
        <v>44886</v>
      </c>
      <c r="J1833" t="inlineStr">
        <is>
          <t>Sherbrooke (Quebec) Canada</t>
        </is>
      </c>
      <c r="K1833" t="inlineStr">
        <is>
          <t>Sherbrooke (Québec) Canada</t>
        </is>
      </c>
      <c r="P1833" t="n">
        <v>0</v>
      </c>
      <c r="Q1833" t="n">
        <v>6</v>
      </c>
      <c r="R1833" t="n">
        <v>121.38</v>
      </c>
      <c r="S1833" t="n">
        <v>79.40000000000001</v>
      </c>
      <c r="T1833" t="n">
        <v>0</v>
      </c>
      <c r="U1833" t="n">
        <v>206.78</v>
      </c>
      <c r="V1833" t="inlineStr">
        <is>
          <t>No conference fee</t>
        </is>
      </c>
      <c r="W1833" t="inlineStr">
        <is>
          <t>Pas de frais d'enregistrement</t>
        </is>
      </c>
      <c r="X1833" t="inlineStr">
        <is>
          <t>aafc-aac</t>
        </is>
      </c>
      <c r="Y1833" t="inlineStr">
        <is>
          <t>Agriculture and Agri-Food Canada | Agriculture et Agroalimentaire Canada</t>
        </is>
      </c>
    </row>
    <row r="1834">
      <c r="A1834" t="inlineStr">
        <is>
          <t>T-2022-P8-0012</t>
        </is>
      </c>
      <c r="B1834" t="inlineStr">
        <is>
          <t>MPSES</t>
        </is>
      </c>
      <c r="C1834" t="inlineStr">
        <is>
          <t>Executive Assistant to the Minister and Chief of Staff</t>
        </is>
      </c>
      <c r="D1834" t="inlineStr">
        <is>
          <t>Adjointe exécutive de la ministre et chef de cabinet</t>
        </is>
      </c>
      <c r="E1834" t="inlineStr">
        <is>
          <t>Mirna Vukicevic</t>
        </is>
      </c>
      <c r="F1834" t="inlineStr">
        <is>
          <t>Travel from 407 Confederation to 1341 Baseline Road for meetings</t>
        </is>
      </c>
      <c r="G1834" t="inlineStr">
        <is>
          <t>Déplacement du 407 Confederation au 1341 Baseline Road pour les réunions</t>
        </is>
      </c>
      <c r="H1834" s="1" t="n">
        <v>44852</v>
      </c>
      <c r="I1834" s="1" t="n">
        <v>44852</v>
      </c>
      <c r="J1834" t="inlineStr">
        <is>
          <t>Ottawa (Ontario) Canada</t>
        </is>
      </c>
      <c r="K1834" t="inlineStr">
        <is>
          <t>Ottawa (Ontario) Canada</t>
        </is>
      </c>
      <c r="P1834" t="n">
        <v>0</v>
      </c>
      <c r="Q1834" t="n">
        <v>17.37</v>
      </c>
      <c r="R1834" t="n">
        <v>0</v>
      </c>
      <c r="S1834" t="n">
        <v>0</v>
      </c>
      <c r="T1834" t="n">
        <v>0</v>
      </c>
      <c r="U1834" t="n">
        <v>17.37</v>
      </c>
      <c r="V1834" t="inlineStr">
        <is>
          <t>No Conference Fees</t>
        </is>
      </c>
      <c r="W1834" t="inlineStr">
        <is>
          <t>Pas de frais de conférence</t>
        </is>
      </c>
      <c r="X1834" t="inlineStr">
        <is>
          <t>aafc-aac</t>
        </is>
      </c>
      <c r="Y1834" t="inlineStr">
        <is>
          <t>Agriculture and Agri-Food Canada | Agriculture et Agroalimentaire Canada</t>
        </is>
      </c>
    </row>
    <row r="1835">
      <c r="A1835" t="inlineStr">
        <is>
          <t>T-2022-P8-0013</t>
        </is>
      </c>
      <c r="B1835" t="inlineStr">
        <is>
          <t>MPSES</t>
        </is>
      </c>
      <c r="C1835" t="inlineStr">
        <is>
          <t>Director of Communications</t>
        </is>
      </c>
      <c r="D1835" t="inlineStr">
        <is>
          <t>Directrice des communications</t>
        </is>
      </c>
      <c r="E1835" t="inlineStr">
        <is>
          <t>Allison St-Jean</t>
        </is>
      </c>
      <c r="F1835" t="inlineStr">
        <is>
          <t>To accompany the Minister attending the 17th G20 Heads of State and Government Summit</t>
        </is>
      </c>
      <c r="G1835" t="inlineStr">
        <is>
          <t>Accompagner la ministre au 17e sommet des chefs d'État et de gouvernement du G20</t>
        </is>
      </c>
      <c r="H1835" s="1" t="n">
        <v>44827</v>
      </c>
      <c r="I1835" s="1" t="n">
        <v>44834</v>
      </c>
      <c r="J1835" t="inlineStr">
        <is>
          <t>(Manila) Philippines
(Bali) Indonesia</t>
        </is>
      </c>
      <c r="K1835" t="inlineStr">
        <is>
          <t>(Manille) Philippines
(Bali) Indonésie</t>
        </is>
      </c>
      <c r="P1835" t="n">
        <v>7421.06</v>
      </c>
      <c r="Q1835" t="n">
        <v>1727.7</v>
      </c>
      <c r="R1835" t="n">
        <v>1369.69</v>
      </c>
      <c r="S1835" t="n">
        <v>568.02</v>
      </c>
      <c r="T1835" t="n">
        <v>65.54000000000001</v>
      </c>
      <c r="U1835" t="n">
        <v>11152.01</v>
      </c>
      <c r="V1835" t="inlineStr">
        <is>
          <t>No conference fee.</t>
        </is>
      </c>
      <c r="W1835" t="inlineStr">
        <is>
          <t>Pas de frais d'enregistrement</t>
        </is>
      </c>
      <c r="X1835" t="inlineStr">
        <is>
          <t>aafc-aac</t>
        </is>
      </c>
      <c r="Y1835" t="inlineStr">
        <is>
          <t>Agriculture and Agri-Food Canada | Agriculture et Agroalimentaire Canada</t>
        </is>
      </c>
    </row>
    <row r="1836">
      <c r="A1836" t="inlineStr">
        <is>
          <t>T-2022-P8-0014</t>
        </is>
      </c>
      <c r="B1836" t="inlineStr">
        <is>
          <t>MPSES</t>
        </is>
      </c>
      <c r="C1836" t="inlineStr">
        <is>
          <t>Policy Advisor</t>
        </is>
      </c>
      <c r="D1836" t="inlineStr">
        <is>
          <t>Conseillère en politiques</t>
        </is>
      </c>
      <c r="E1836" t="inlineStr">
        <is>
          <t>Christine Harvey</t>
        </is>
      </c>
      <c r="F1836" t="inlineStr">
        <is>
          <t>To accompany the Minister on the Quebec Tour</t>
        </is>
      </c>
      <c r="G1836" t="inlineStr">
        <is>
          <t>Accompagner la Ministre sur la tournée québécoise</t>
        </is>
      </c>
      <c r="H1836" s="1" t="n">
        <v>44855</v>
      </c>
      <c r="I1836" s="1" t="n">
        <v>44857</v>
      </c>
      <c r="J1836" t="inlineStr">
        <is>
          <t>Québec (Quebec) Canada</t>
        </is>
      </c>
      <c r="K1836" t="inlineStr">
        <is>
          <t>Québec (Québec) Canada</t>
        </is>
      </c>
      <c r="P1836" t="n">
        <v>0</v>
      </c>
      <c r="Q1836" t="n">
        <v>110.38</v>
      </c>
      <c r="R1836" t="n">
        <v>312.02</v>
      </c>
      <c r="S1836" t="n">
        <v>171.35</v>
      </c>
      <c r="T1836" t="n">
        <v>0</v>
      </c>
      <c r="U1836" t="n">
        <v>593.75</v>
      </c>
      <c r="V1836" t="inlineStr">
        <is>
          <t>No Conference Fees</t>
        </is>
      </c>
      <c r="W1836" t="inlineStr">
        <is>
          <t>Pas de frais de conférence</t>
        </is>
      </c>
      <c r="X1836" t="inlineStr">
        <is>
          <t>aafc-aac</t>
        </is>
      </c>
      <c r="Y1836" t="inlineStr">
        <is>
          <t>Agriculture and Agri-Food Canada | Agriculture et Agroalimentaire Canada</t>
        </is>
      </c>
    </row>
    <row r="1837">
      <c r="A1837" t="inlineStr">
        <is>
          <t>T-2022-P8-0015</t>
        </is>
      </c>
      <c r="B1837" t="inlineStr">
        <is>
          <t>MPSES</t>
        </is>
      </c>
      <c r="C1837" t="inlineStr">
        <is>
          <t>Policy Advisor</t>
        </is>
      </c>
      <c r="D1837" t="inlineStr">
        <is>
          <t>Conseillère en politiques</t>
        </is>
      </c>
      <c r="E1837" t="inlineStr">
        <is>
          <t xml:space="preserve">Jérome Coté </t>
        </is>
      </c>
      <c r="F1837" t="inlineStr">
        <is>
          <t>To accompany the Minister on the Eastern Outreach meetings</t>
        </is>
      </c>
      <c r="G1837" t="inlineStr">
        <is>
          <t>Pour accompagner la ministre aux réunions de sensibilisation de l'Est</t>
        </is>
      </c>
      <c r="H1837" s="1" t="n">
        <v>44845</v>
      </c>
      <c r="I1837" s="1" t="n">
        <v>44848</v>
      </c>
      <c r="J1837" t="inlineStr">
        <is>
          <t>Halifax (Nova Scotia) Canada
Charlottetown (Prince Edward Island) Canada</t>
        </is>
      </c>
      <c r="K1837" t="inlineStr">
        <is>
          <t>Halifax (Nouvelle-Écosse) Canada
Charlottetown (Île-du-Prince-Édouard) Canada</t>
        </is>
      </c>
      <c r="P1837" t="n">
        <v>900.95</v>
      </c>
      <c r="Q1837" t="n">
        <v>17.5</v>
      </c>
      <c r="R1837" t="n">
        <v>468.65</v>
      </c>
      <c r="S1837" t="n">
        <v>227.7</v>
      </c>
      <c r="T1837" t="n">
        <v>0</v>
      </c>
      <c r="U1837" t="n">
        <v>1614.8</v>
      </c>
      <c r="V1837" t="inlineStr">
        <is>
          <t>No Conference Fees</t>
        </is>
      </c>
      <c r="W1837" t="inlineStr">
        <is>
          <t>Pas de frais de conférence</t>
        </is>
      </c>
      <c r="X1837" t="inlineStr">
        <is>
          <t>aafc-aac</t>
        </is>
      </c>
      <c r="Y1837" t="inlineStr">
        <is>
          <t>Agriculture and Agri-Food Canada | Agriculture et Agroalimentaire Canada</t>
        </is>
      </c>
    </row>
    <row r="1838">
      <c r="A1838" t="inlineStr">
        <is>
          <t>T-2022-P8-0016</t>
        </is>
      </c>
      <c r="B1838" t="inlineStr">
        <is>
          <t>MPSES</t>
        </is>
      </c>
      <c r="C1838" t="inlineStr">
        <is>
          <t>Tours and Operations Manager</t>
        </is>
      </c>
      <c r="D1838" t="inlineStr">
        <is>
          <t>Gestionnaire, Visites et opérations</t>
        </is>
      </c>
      <c r="E1838" t="inlineStr">
        <is>
          <t xml:space="preserve">Olivia Scieur-Aparicio </t>
        </is>
      </c>
      <c r="F1838" t="inlineStr">
        <is>
          <t>Accompany the Minister on the Quebec tour</t>
        </is>
      </c>
      <c r="G1838" t="inlineStr">
        <is>
          <t>Accompagner la Ministre sur la tournée québécoise</t>
        </is>
      </c>
      <c r="H1838" s="1" t="n">
        <v>44855</v>
      </c>
      <c r="I1838" s="1" t="n">
        <v>44857</v>
      </c>
      <c r="J1838" t="inlineStr">
        <is>
          <t>Québec (Quebec) Canada</t>
        </is>
      </c>
      <c r="K1838" t="inlineStr">
        <is>
          <t>Québec (Québec) Canada</t>
        </is>
      </c>
      <c r="P1838" t="n">
        <v>0</v>
      </c>
      <c r="Q1838" t="n">
        <v>230.77</v>
      </c>
      <c r="R1838" t="n">
        <v>312.02</v>
      </c>
      <c r="S1838" t="n">
        <v>227.95</v>
      </c>
      <c r="T1838" t="n">
        <v>0</v>
      </c>
      <c r="U1838" t="n">
        <v>770.74</v>
      </c>
      <c r="V1838" t="inlineStr">
        <is>
          <t>No Conference Fees</t>
        </is>
      </c>
      <c r="W1838" t="inlineStr">
        <is>
          <t>Pas de frais de conférence</t>
        </is>
      </c>
      <c r="X1838" t="inlineStr">
        <is>
          <t>aafc-aac</t>
        </is>
      </c>
      <c r="Y1838" t="inlineStr">
        <is>
          <t>Agriculture and Agri-Food Canada | Agriculture et Agroalimentaire Canada</t>
        </is>
      </c>
    </row>
    <row r="1839">
      <c r="A1839" t="inlineStr">
        <is>
          <t>T-2022-P8-0017</t>
        </is>
      </c>
      <c r="B1839" t="inlineStr">
        <is>
          <t>MPSES</t>
        </is>
      </c>
      <c r="C1839" t="inlineStr">
        <is>
          <t>Parliamentary Secretary</t>
        </is>
      </c>
      <c r="D1839" t="inlineStr">
        <is>
          <t>Secrétaire parlementaire</t>
        </is>
      </c>
      <c r="E1839" t="inlineStr">
        <is>
          <t>Francis Drouin</t>
        </is>
      </c>
      <c r="F1839" t="inlineStr">
        <is>
          <t>Attend the Calgary Stampede</t>
        </is>
      </c>
      <c r="G1839" t="inlineStr">
        <is>
          <t>Assister au Stampede de Calgary</t>
        </is>
      </c>
      <c r="H1839" s="1" t="n">
        <v>44809</v>
      </c>
      <c r="I1839" s="1" t="n">
        <v>44811</v>
      </c>
      <c r="J1839" t="inlineStr">
        <is>
          <t>Calgary (Alberta) Canada</t>
        </is>
      </c>
      <c r="K1839" t="inlineStr">
        <is>
          <t>Calgary (Alberta) Canada</t>
        </is>
      </c>
      <c r="P1839" t="n">
        <v>0</v>
      </c>
      <c r="Q1839" t="n">
        <v>175.3</v>
      </c>
      <c r="R1839" t="n">
        <v>200.43</v>
      </c>
      <c r="S1839" t="n">
        <v>196.9</v>
      </c>
      <c r="T1839" t="n">
        <v>0</v>
      </c>
      <c r="U1839" t="n">
        <v>572.63</v>
      </c>
      <c r="V1839" t="inlineStr">
        <is>
          <t>No conference fee</t>
        </is>
      </c>
      <c r="W1839" t="inlineStr">
        <is>
          <t>Pas de frais de conférence</t>
        </is>
      </c>
      <c r="X1839" t="inlineStr">
        <is>
          <t>aafc-aac</t>
        </is>
      </c>
      <c r="Y1839" t="inlineStr">
        <is>
          <t>Agriculture and Agri-Food Canada | Agriculture et Agroalimentaire Canada</t>
        </is>
      </c>
    </row>
    <row r="1840">
      <c r="A1840" t="inlineStr">
        <is>
          <t>T-2022-P8-0018</t>
        </is>
      </c>
      <c r="B1840" t="inlineStr">
        <is>
          <t>MPSES</t>
        </is>
      </c>
      <c r="C1840" t="inlineStr">
        <is>
          <t>Parliamentary Secretary</t>
        </is>
      </c>
      <c r="D1840" t="inlineStr">
        <is>
          <t>Secrétaire parlementaire</t>
        </is>
      </c>
      <c r="E1840" t="inlineStr">
        <is>
          <t>Francis Drouin</t>
        </is>
      </c>
      <c r="F1840" t="inlineStr">
        <is>
          <t>To visit sustainable farms and promote their success</t>
        </is>
      </c>
      <c r="G1840" t="inlineStr">
        <is>
          <t>Pour visiter des fermes durables et promouvoir leur réussite</t>
        </is>
      </c>
      <c r="H1840" s="1" t="n">
        <v>44847</v>
      </c>
      <c r="I1840" s="1" t="n">
        <v>44848</v>
      </c>
      <c r="J1840" t="inlineStr">
        <is>
          <t>Cambridge (Ontario) Canada</t>
        </is>
      </c>
      <c r="K1840" t="inlineStr">
        <is>
          <t>Cambridge (Ontario) Canada</t>
        </is>
      </c>
      <c r="P1840" t="n">
        <v>1013.89</v>
      </c>
      <c r="Q1840" t="n">
        <v>0</v>
      </c>
      <c r="R1840" t="n">
        <v>133.97</v>
      </c>
      <c r="S1840" t="n">
        <v>79.65000000000001</v>
      </c>
      <c r="T1840" t="n">
        <v>0</v>
      </c>
      <c r="U1840" t="n">
        <v>1227.51</v>
      </c>
      <c r="V1840" t="inlineStr">
        <is>
          <t>No conference fee</t>
        </is>
      </c>
      <c r="W1840" t="inlineStr">
        <is>
          <t>Pas de frais de conférence</t>
        </is>
      </c>
      <c r="X1840" t="inlineStr">
        <is>
          <t>aafc-aac</t>
        </is>
      </c>
      <c r="Y1840" t="inlineStr">
        <is>
          <t>Agriculture and Agri-Food Canada | Agriculture et Agroalimentaire Canada</t>
        </is>
      </c>
    </row>
    <row r="1841">
      <c r="A1841" t="inlineStr">
        <is>
          <t>T-2022-P8-0019</t>
        </is>
      </c>
      <c r="B1841" t="inlineStr">
        <is>
          <t>MPSES</t>
        </is>
      </c>
      <c r="C1841" t="inlineStr">
        <is>
          <t>Parliamentary Secretary Assistant</t>
        </is>
      </c>
      <c r="D1841" t="inlineStr">
        <is>
          <t>Secrétaire parlementaire adjoint</t>
        </is>
      </c>
      <c r="E1841" t="inlineStr">
        <is>
          <t>Patrick Mangan</t>
        </is>
      </c>
      <c r="F1841" t="inlineStr">
        <is>
          <t>To visit sustainable farms and promote their success</t>
        </is>
      </c>
      <c r="G1841" t="inlineStr">
        <is>
          <t>Pour visiter des fermes durables et promouvoir leur réussite</t>
        </is>
      </c>
      <c r="H1841" s="1" t="n">
        <v>44847</v>
      </c>
      <c r="I1841" s="1" t="n">
        <v>44848</v>
      </c>
      <c r="J1841" t="inlineStr">
        <is>
          <t>Cambridge (Ontario) Canada</t>
        </is>
      </c>
      <c r="K1841" t="inlineStr">
        <is>
          <t>Cambridge (Ontario) Canada</t>
        </is>
      </c>
      <c r="P1841" t="n">
        <v>1039.07</v>
      </c>
      <c r="Q1841" t="n">
        <v>194.71</v>
      </c>
      <c r="R1841" t="n">
        <v>133.97</v>
      </c>
      <c r="S1841" t="n">
        <v>79.65000000000001</v>
      </c>
      <c r="T1841" t="n">
        <v>0</v>
      </c>
      <c r="U1841" t="n">
        <v>1447.4</v>
      </c>
      <c r="V1841" t="inlineStr">
        <is>
          <t>No conference fee</t>
        </is>
      </c>
      <c r="W1841" t="inlineStr">
        <is>
          <t>Pas de frais de conférence</t>
        </is>
      </c>
      <c r="X1841" t="inlineStr">
        <is>
          <t>aafc-aac</t>
        </is>
      </c>
      <c r="Y1841" t="inlineStr">
        <is>
          <t>Agriculture and Agri-Food Canada | Agriculture et Agroalimentaire Canada</t>
        </is>
      </c>
    </row>
    <row r="1842">
      <c r="A1842" t="inlineStr">
        <is>
          <t>T-2022-P8-0020</t>
        </is>
      </c>
      <c r="B1842" t="inlineStr">
        <is>
          <t>MPSES</t>
        </is>
      </c>
      <c r="C1842" t="inlineStr">
        <is>
          <t>Deputy Minister</t>
        </is>
      </c>
      <c r="D1842" t="inlineStr">
        <is>
          <t>Sous-ministre</t>
        </is>
      </c>
      <c r="E1842" t="inlineStr">
        <is>
          <t>Chris Forbes</t>
        </is>
      </c>
      <c r="F1842" t="inlineStr">
        <is>
          <t xml:space="preserve">To attend a meeting with stakeholders to align views on Agrifood </t>
        </is>
      </c>
      <c r="G1842" t="inlineStr">
        <is>
          <t>Pour assister à une réunion avec les parties prenantes pour aligner les points de vue sur l'agroalimentaire</t>
        </is>
      </c>
      <c r="H1842" s="1" t="n">
        <v>44865</v>
      </c>
      <c r="I1842" s="1" t="n">
        <v>44866</v>
      </c>
      <c r="J1842" t="inlineStr">
        <is>
          <t>Toronto (Ontario) Canada</t>
        </is>
      </c>
      <c r="K1842" t="inlineStr">
        <is>
          <t>Toronto (Ontario) Canada</t>
        </is>
      </c>
      <c r="P1842" t="n">
        <v>0</v>
      </c>
      <c r="Q1842" t="n">
        <v>216.06</v>
      </c>
      <c r="R1842" t="n">
        <v>50</v>
      </c>
      <c r="S1842" t="n">
        <v>160.1</v>
      </c>
      <c r="T1842" t="n">
        <v>0</v>
      </c>
      <c r="U1842" t="n">
        <v>426.16</v>
      </c>
      <c r="V1842" t="inlineStr">
        <is>
          <t>No Conference Fees</t>
        </is>
      </c>
      <c r="W1842" t="inlineStr">
        <is>
          <t>Pas de frais de conférence</t>
        </is>
      </c>
      <c r="X1842" t="inlineStr">
        <is>
          <t>aafc-aac</t>
        </is>
      </c>
      <c r="Y1842" t="inlineStr">
        <is>
          <t>Agriculture and Agri-Food Canada | Agriculture et Agroalimentaire Canada</t>
        </is>
      </c>
    </row>
    <row r="1843">
      <c r="A1843" t="inlineStr">
        <is>
          <t>T-2022-P8-0021</t>
        </is>
      </c>
      <c r="B1843" t="inlineStr">
        <is>
          <t>SLE</t>
        </is>
      </c>
      <c r="C1843" t="inlineStr">
        <is>
          <t>Corporate Secretary</t>
        </is>
      </c>
      <c r="D1843" t="inlineStr">
        <is>
          <t>Secrétaire générale</t>
        </is>
      </c>
      <c r="E1843" t="inlineStr">
        <is>
          <t>Tamara Abel</t>
        </is>
      </c>
      <c r="F1843" t="inlineStr">
        <is>
          <t>Travel to Ottawa for work week</t>
        </is>
      </c>
      <c r="G1843" t="inlineStr">
        <is>
          <t>Voyage à Ottawa pour la semaine de travail</t>
        </is>
      </c>
      <c r="H1843" s="1" t="n">
        <v>44858</v>
      </c>
      <c r="I1843" s="1" t="n">
        <v>44862</v>
      </c>
      <c r="J1843" t="inlineStr">
        <is>
          <t>Ottawa (Ontario) Canada</t>
        </is>
      </c>
      <c r="K1843" t="inlineStr">
        <is>
          <t>Ottawa (Ontario) Canada</t>
        </is>
      </c>
      <c r="P1843" t="n">
        <v>703.83</v>
      </c>
      <c r="Q1843" t="n">
        <v>322.81</v>
      </c>
      <c r="R1843" t="n">
        <v>935.4400000000001</v>
      </c>
      <c r="S1843" t="n">
        <v>575.95</v>
      </c>
      <c r="T1843" t="n">
        <v>0</v>
      </c>
      <c r="U1843" t="n">
        <v>2538.03</v>
      </c>
      <c r="V1843" t="inlineStr">
        <is>
          <t>No Conference Fees</t>
        </is>
      </c>
      <c r="W1843" t="inlineStr">
        <is>
          <t>Pas de frais de conférence</t>
        </is>
      </c>
      <c r="X1843" t="inlineStr">
        <is>
          <t>aafc-aac</t>
        </is>
      </c>
      <c r="Y1843" t="inlineStr">
        <is>
          <t>Agriculture and Agri-Food Canada | Agriculture et Agroalimentaire Canada</t>
        </is>
      </c>
    </row>
    <row r="1844">
      <c r="A1844" t="inlineStr">
        <is>
          <t>T-2022-P8-0022</t>
        </is>
      </c>
      <c r="B1844" t="inlineStr">
        <is>
          <t>SLE</t>
        </is>
      </c>
      <c r="C1844" t="inlineStr">
        <is>
          <t>Assistant Deputy Minister, Science and Technology Branch</t>
        </is>
      </c>
      <c r="D1844" t="inlineStr">
        <is>
          <t>Sous-ministre adjoint, Direction générale des sciences et de la technologie</t>
        </is>
      </c>
      <c r="E1844" t="inlineStr">
        <is>
          <t>Gilles Saindon</t>
        </is>
      </c>
      <c r="F1844" t="inlineStr">
        <is>
          <t>Attend the annual meeting of the Heads of National Agriculture Research organization from Canada, US, France and the United Kingdom</t>
        </is>
      </c>
      <c r="G1844" t="inlineStr">
        <is>
          <t>Participer à la réunion annuelle des chefs des organismes nationaux de recherche agricole du Canada, des États-Unis, de la France et du Royaume-Uni</t>
        </is>
      </c>
      <c r="H1844" s="1" t="n">
        <v>44855</v>
      </c>
      <c r="I1844" s="1" t="n">
        <v>44861</v>
      </c>
      <c r="J1844" t="inlineStr">
        <is>
          <t>Edinburgh (Scotland) United Kingdom</t>
        </is>
      </c>
      <c r="K1844" t="inlineStr">
        <is>
          <t>Édimbourg (Écosse) Royaume-Uni</t>
        </is>
      </c>
      <c r="P1844" t="n">
        <v>3416.62</v>
      </c>
      <c r="Q1844" t="n">
        <v>209.28</v>
      </c>
      <c r="R1844" t="n">
        <v>1576.74</v>
      </c>
      <c r="S1844" t="n">
        <v>625.35</v>
      </c>
      <c r="T1844" t="n">
        <v>3.5</v>
      </c>
      <c r="U1844" t="n">
        <v>5831.49</v>
      </c>
      <c r="X1844" t="inlineStr">
        <is>
          <t>aafc-aac</t>
        </is>
      </c>
      <c r="Y1844" t="inlineStr">
        <is>
          <t>Agriculture and Agri-Food Canada | Agriculture et Agroalimentaire Canada</t>
        </is>
      </c>
    </row>
    <row r="1845">
      <c r="A1845" t="inlineStr">
        <is>
          <t>T-2022-P8-0023</t>
        </is>
      </c>
      <c r="B1845" t="inlineStr">
        <is>
          <t>SLE</t>
        </is>
      </c>
      <c r="C1845" t="inlineStr">
        <is>
          <t>Assistant Deputy Minister, Science and Technology Branch</t>
        </is>
      </c>
      <c r="D1845" t="inlineStr">
        <is>
          <t>Sous-ministre adjoint, Direction générale des sciences et de la technologie</t>
        </is>
      </c>
      <c r="E1845" t="inlineStr">
        <is>
          <t>Gilles Saindon</t>
        </is>
      </c>
      <c r="F1845" t="inlineStr">
        <is>
          <t>On behalf of Minister Bibeau, attend the Inter-American Institute for Cooperation on Agriculture (IICA)'s celebration: 80th anniversary as an institute and 50th anniversary in Canada</t>
        </is>
      </c>
      <c r="G1845" t="inlineStr">
        <is>
          <t>Au nom du ministre Bibeau, assister à la célébration de l'Institut interaméricain de coopération pour l'agriculture (IICA) : 80e anniversaire en tant qu'institut et 50e anniversaire en Canada</t>
        </is>
      </c>
      <c r="H1845" s="1" t="n">
        <v>44873</v>
      </c>
      <c r="I1845" s="1" t="n">
        <v>44874</v>
      </c>
      <c r="J1845" t="inlineStr">
        <is>
          <t>Québec (Quebec) Canada</t>
        </is>
      </c>
      <c r="K1845" t="inlineStr">
        <is>
          <t>Quebec (Québec) Canada</t>
        </is>
      </c>
      <c r="P1845" t="n">
        <v>908.3200000000001</v>
      </c>
      <c r="Q1845" t="n">
        <v>138</v>
      </c>
      <c r="R1845" t="n">
        <v>135.66</v>
      </c>
      <c r="S1845" t="n">
        <v>159.85</v>
      </c>
      <c r="T1845" t="n">
        <v>0</v>
      </c>
      <c r="U1845" t="n">
        <v>1341.83</v>
      </c>
      <c r="X1845" t="inlineStr">
        <is>
          <t>aafc-aac</t>
        </is>
      </c>
      <c r="Y1845" t="inlineStr">
        <is>
          <t>Agriculture and Agri-Food Canada | Agriculture et Agroalimentaire Canada</t>
        </is>
      </c>
    </row>
    <row r="1846">
      <c r="A1846" t="inlineStr">
        <is>
          <t>T-2022-P8-0024</t>
        </is>
      </c>
      <c r="B1846" t="inlineStr">
        <is>
          <t>SLE</t>
        </is>
      </c>
      <c r="C1846" t="inlineStr">
        <is>
          <t>Assistant Deputy Minister, International Affairs Branch</t>
        </is>
      </c>
      <c r="D1846" t="inlineStr">
        <is>
          <t>Sous-ministre adjointe, Direction générale des affaires internationales</t>
        </is>
      </c>
      <c r="E1846" t="inlineStr">
        <is>
          <t>Kathleen Donohue</t>
        </is>
      </c>
      <c r="F1846" t="inlineStr">
        <is>
          <t>Meet with foreign counterparts and stakeholders and attend the World Food Expo (Philippines)</t>
        </is>
      </c>
      <c r="G1846" t="inlineStr">
        <is>
          <t>Rencontrer les homologues étrangers et les parties prenantes et assister au World Food Expo (Philippines)</t>
        </is>
      </c>
      <c r="H1846" s="1" t="n">
        <v>44770</v>
      </c>
      <c r="I1846" s="1" t="n">
        <v>44783</v>
      </c>
      <c r="J1846" t="inlineStr">
        <is>
          <t>Jakarta, Indonesia
Manila, Philippines
Hanoi, Vietnam</t>
        </is>
      </c>
      <c r="K1846" t="inlineStr">
        <is>
          <t>Jakarta, Indonésie
Manille, Philippines
Hanoi, Vietnam</t>
        </is>
      </c>
      <c r="P1846" t="n">
        <v>14488.08</v>
      </c>
      <c r="Q1846" t="n">
        <v>276.55</v>
      </c>
      <c r="R1846" t="n">
        <v>2719.64</v>
      </c>
      <c r="S1846" t="n">
        <v>1768.87</v>
      </c>
      <c r="T1846" t="n">
        <v>106.19</v>
      </c>
      <c r="U1846" t="n">
        <v>19359.33</v>
      </c>
      <c r="X1846" t="inlineStr">
        <is>
          <t>aafc-aac</t>
        </is>
      </c>
      <c r="Y1846" t="inlineStr">
        <is>
          <t>Agriculture and Agri-Food Canada | Agriculture et Agroalimentaire Canada</t>
        </is>
      </c>
    </row>
    <row r="1847">
      <c r="A1847" t="inlineStr">
        <is>
          <t>T-2022-P8-0025</t>
        </is>
      </c>
      <c r="B1847" t="inlineStr">
        <is>
          <t>SLE</t>
        </is>
      </c>
      <c r="C1847" t="inlineStr">
        <is>
          <t>Assistant Deputy Minister, Corporate Management Branch</t>
        </is>
      </c>
      <c r="D1847" t="inlineStr">
        <is>
          <t>Sous-ministre adjointe, Direction générale de la gestion intégrée</t>
        </is>
      </c>
      <c r="E1847" t="inlineStr">
        <is>
          <t>Marie-Claude Guérard</t>
        </is>
      </c>
      <c r="F1847" t="inlineStr">
        <is>
          <t>Outreach in British Columbia</t>
        </is>
      </c>
      <c r="G1847" t="inlineStr">
        <is>
          <t>Visite en Colombie-Britannique</t>
        </is>
      </c>
      <c r="H1847" s="1" t="n">
        <v>44851</v>
      </c>
      <c r="I1847" s="1" t="n">
        <v>44855</v>
      </c>
      <c r="J1847" t="inlineStr">
        <is>
          <t>Summerland and Agassiz (British-Columbia) Canada</t>
        </is>
      </c>
      <c r="K1847" t="inlineStr">
        <is>
          <t>Summerland et Agassiz (Colombie-Britannique) Canada</t>
        </is>
      </c>
      <c r="P1847" t="n">
        <v>1118.37</v>
      </c>
      <c r="Q1847" t="n">
        <v>341.89</v>
      </c>
      <c r="R1847" t="n">
        <v>625.36</v>
      </c>
      <c r="S1847" t="n">
        <v>598.75</v>
      </c>
      <c r="T1847" t="n">
        <v>0</v>
      </c>
      <c r="U1847" t="n">
        <v>2684.37</v>
      </c>
      <c r="X1847" t="inlineStr">
        <is>
          <t>aafc-aac</t>
        </is>
      </c>
      <c r="Y1847" t="inlineStr">
        <is>
          <t>Agriculture and Agri-Food Canada | Agriculture et Agroalimentaire Canada</t>
        </is>
      </c>
    </row>
    <row r="1848">
      <c r="A1848" t="inlineStr">
        <is>
          <t>T-2022-P8-0026</t>
        </is>
      </c>
      <c r="B1848" t="inlineStr">
        <is>
          <t>SLE</t>
        </is>
      </c>
      <c r="C1848" t="inlineStr">
        <is>
          <t>Assistant Deputy Minister, Corporate Management Branch</t>
        </is>
      </c>
      <c r="D1848" t="inlineStr">
        <is>
          <t>Sous-ministre adjointe, Direction générale de la gestion intégrée</t>
        </is>
      </c>
      <c r="E1848" t="inlineStr">
        <is>
          <t>Marie-Claude Guérard</t>
        </is>
      </c>
      <c r="F1848" t="inlineStr">
        <is>
          <t>Meetings in Ottawa</t>
        </is>
      </c>
      <c r="G1848" t="inlineStr">
        <is>
          <t>Rencontre à Ottawa</t>
        </is>
      </c>
      <c r="H1848" s="1" t="n">
        <v>44859</v>
      </c>
      <c r="I1848" s="1" t="n">
        <v>44861</v>
      </c>
      <c r="J1848" t="inlineStr">
        <is>
          <t>Ottawa (Ontario) Canada</t>
        </is>
      </c>
      <c r="K1848" t="inlineStr">
        <is>
          <t>Ottawa (Ontario) Canada</t>
        </is>
      </c>
      <c r="P1848" t="n">
        <v>0</v>
      </c>
      <c r="Q1848" t="n">
        <v>453.41</v>
      </c>
      <c r="R1848" t="n">
        <v>467.72</v>
      </c>
      <c r="S1848" t="n">
        <v>234</v>
      </c>
      <c r="T1848" t="n">
        <v>0</v>
      </c>
      <c r="U1848" t="n">
        <v>1155.13</v>
      </c>
      <c r="X1848" t="inlineStr">
        <is>
          <t>aafc-aac</t>
        </is>
      </c>
      <c r="Y1848" t="inlineStr">
        <is>
          <t>Agriculture and Agri-Food Canada | Agriculture et Agroalimentaire Canada</t>
        </is>
      </c>
    </row>
    <row r="1849">
      <c r="A1849" t="inlineStr">
        <is>
          <t>T-2022-P8-0027</t>
        </is>
      </c>
      <c r="B1849" t="inlineStr">
        <is>
          <t>SLE</t>
        </is>
      </c>
      <c r="C1849" t="inlineStr">
        <is>
          <t>Assistant Deputy Minister, Corporate Management Branch</t>
        </is>
      </c>
      <c r="D1849" t="inlineStr">
        <is>
          <t>Sous-ministre adjointe, Direction générale de la gestion intégrée</t>
        </is>
      </c>
      <c r="E1849" t="inlineStr">
        <is>
          <t>Marie-Claude Guérard</t>
        </is>
      </c>
      <c r="F1849" t="inlineStr">
        <is>
          <t>Outreach in Brandon, MB</t>
        </is>
      </c>
      <c r="G1849" t="inlineStr">
        <is>
          <t>Visite à Brandon, Manitoba</t>
        </is>
      </c>
      <c r="H1849" s="1" t="n">
        <v>44872</v>
      </c>
      <c r="I1849" s="1" t="n">
        <v>44875</v>
      </c>
      <c r="J1849" t="inlineStr">
        <is>
          <t>Winnipeg and Brandon (Manitoba)</t>
        </is>
      </c>
      <c r="K1849" t="inlineStr">
        <is>
          <t>Winnipeg et Brandon (Manitoba)</t>
        </is>
      </c>
      <c r="P1849" t="n">
        <v>904.52</v>
      </c>
      <c r="Q1849" t="n">
        <v>336.58</v>
      </c>
      <c r="R1849" t="n">
        <v>577.11</v>
      </c>
      <c r="S1849" t="n">
        <v>410.6</v>
      </c>
      <c r="T1849" t="n">
        <v>0</v>
      </c>
      <c r="U1849" t="n">
        <v>2228.81</v>
      </c>
      <c r="X1849" t="inlineStr">
        <is>
          <t>aafc-aac</t>
        </is>
      </c>
      <c r="Y1849" t="inlineStr">
        <is>
          <t>Agriculture and Agri-Food Canada | Agriculture et Agroalimentaire Canada</t>
        </is>
      </c>
    </row>
    <row r="1850">
      <c r="A1850" t="inlineStr">
        <is>
          <t>T-2022-P8-0028</t>
        </is>
      </c>
      <c r="B1850" t="inlineStr">
        <is>
          <t>SLE</t>
        </is>
      </c>
      <c r="C1850" t="inlineStr">
        <is>
          <t>Assistant Deputy Minister, Corporate Management Branch</t>
        </is>
      </c>
      <c r="D1850" t="inlineStr">
        <is>
          <t>Sous-ministre adjointe, Direction générale de la gestion intégrée</t>
        </is>
      </c>
      <c r="E1850" t="inlineStr">
        <is>
          <t>Marie-Claude Guérard</t>
        </is>
      </c>
      <c r="F1850" t="inlineStr">
        <is>
          <t>Meetings in Ottawa</t>
        </is>
      </c>
      <c r="G1850" t="inlineStr">
        <is>
          <t>Rencontre à Ottawa</t>
        </is>
      </c>
      <c r="H1850" s="1" t="n">
        <v>44837</v>
      </c>
      <c r="I1850" s="1" t="n">
        <v>44865</v>
      </c>
      <c r="J1850" t="inlineStr">
        <is>
          <t>Ottawa (Ontario) Canada</t>
        </is>
      </c>
      <c r="K1850" t="inlineStr">
        <is>
          <t>Ottawa (Ontario) Canada</t>
        </is>
      </c>
      <c r="P1850" t="n">
        <v>0</v>
      </c>
      <c r="Q1850" t="n">
        <v>417.73</v>
      </c>
      <c r="R1850" t="n">
        <v>0</v>
      </c>
      <c r="S1850" t="n">
        <v>23.05</v>
      </c>
      <c r="T1850" t="n">
        <v>0</v>
      </c>
      <c r="U1850" t="n">
        <v>440.78</v>
      </c>
      <c r="X1850" t="inlineStr">
        <is>
          <t>aafc-aac</t>
        </is>
      </c>
      <c r="Y1850" t="inlineStr">
        <is>
          <t>Agriculture and Agri-Food Canada | Agriculture et Agroalimentaire Canada</t>
        </is>
      </c>
    </row>
    <row r="1851">
      <c r="A1851" t="inlineStr">
        <is>
          <t>T-2022-P8-0029</t>
        </is>
      </c>
      <c r="B1851" t="inlineStr">
        <is>
          <t>SLE</t>
        </is>
      </c>
      <c r="C1851" t="inlineStr">
        <is>
          <t>Assistant Deputy Minister, Corporate Management Branch</t>
        </is>
      </c>
      <c r="D1851" t="inlineStr">
        <is>
          <t>Sous-ministre adjointe, Direction générale de la gestion intégrée</t>
        </is>
      </c>
      <c r="E1851" t="inlineStr">
        <is>
          <t>Marie-Claude Guérard</t>
        </is>
      </c>
      <c r="F1851" t="inlineStr">
        <is>
          <t>Meetings in Ottawa</t>
        </is>
      </c>
      <c r="G1851" t="inlineStr">
        <is>
          <t>Rencontre à Ottawa</t>
        </is>
      </c>
      <c r="H1851" s="1" t="n">
        <v>44865</v>
      </c>
      <c r="I1851" s="1" t="n">
        <v>44865</v>
      </c>
      <c r="J1851" t="inlineStr">
        <is>
          <t>Ottawa (Ontario) Canada</t>
        </is>
      </c>
      <c r="K1851" t="inlineStr">
        <is>
          <t>Ottawa (Ontario) Canada</t>
        </is>
      </c>
      <c r="P1851" t="n">
        <v>0</v>
      </c>
      <c r="Q1851" t="n">
        <v>279.2</v>
      </c>
      <c r="R1851" t="n">
        <v>0</v>
      </c>
      <c r="S1851" t="n">
        <v>102.45</v>
      </c>
      <c r="T1851" t="n">
        <v>0</v>
      </c>
      <c r="U1851" t="n">
        <v>381.65</v>
      </c>
      <c r="X1851" t="inlineStr">
        <is>
          <t>aafc-aac</t>
        </is>
      </c>
      <c r="Y1851" t="inlineStr">
        <is>
          <t>Agriculture and Agri-Food Canada | Agriculture et Agroalimentaire Canada</t>
        </is>
      </c>
    </row>
    <row r="1852">
      <c r="A1852" t="inlineStr">
        <is>
          <t>T-2022-P8-0030</t>
        </is>
      </c>
      <c r="B1852" t="inlineStr">
        <is>
          <t>SLE</t>
        </is>
      </c>
      <c r="C1852" t="inlineStr">
        <is>
          <t>Assistant Deputy Minister, Strategic Policy Branch</t>
        </is>
      </c>
      <c r="D1852" t="inlineStr">
        <is>
          <t>Sous-ministre adjointe, Direction générale des politiques stratégiques</t>
        </is>
      </c>
      <c r="E1852" t="inlineStr">
        <is>
          <t>Natasha Kim</t>
        </is>
      </c>
      <c r="F1852" t="inlineStr">
        <is>
          <t>Travelled to Washington, DC for meetings in advance of the COP-27</t>
        </is>
      </c>
      <c r="G1852" t="inlineStr">
        <is>
          <t>Voyage à Washington, DC, pour des réunions en vue de la COP-27</t>
        </is>
      </c>
      <c r="H1852" s="1" t="n">
        <v>44858</v>
      </c>
      <c r="I1852" s="1" t="n">
        <v>44859</v>
      </c>
      <c r="J1852" t="inlineStr">
        <is>
          <t>Washington (DC) United States</t>
        </is>
      </c>
      <c r="K1852" t="inlineStr">
        <is>
          <t>Washington (DC) États-Unis</t>
        </is>
      </c>
      <c r="P1852" t="n">
        <v>1360.74</v>
      </c>
      <c r="Q1852" t="n">
        <v>189.32</v>
      </c>
      <c r="R1852" t="n">
        <v>402.89</v>
      </c>
      <c r="S1852" t="n">
        <v>188.03</v>
      </c>
      <c r="T1852" t="n">
        <v>4.95</v>
      </c>
      <c r="U1852" t="n">
        <v>2145.93</v>
      </c>
      <c r="X1852" t="inlineStr">
        <is>
          <t>aafc-aac</t>
        </is>
      </c>
      <c r="Y1852" t="inlineStr">
        <is>
          <t>Agriculture and Agri-Food Canada | Agriculture et Agroalimentaire Canada</t>
        </is>
      </c>
    </row>
    <row r="1853">
      <c r="A1853" t="inlineStr">
        <is>
          <t>T-2022-P8-0031</t>
        </is>
      </c>
      <c r="B1853" t="inlineStr">
        <is>
          <t>SLE</t>
        </is>
      </c>
      <c r="C1853" t="inlineStr">
        <is>
          <t>Assistant Deputy Minister, Programs Branch</t>
        </is>
      </c>
      <c r="D1853" t="inlineStr">
        <is>
          <t>Sous-ministre adjointe, Direction générale des programmes</t>
        </is>
      </c>
      <c r="E1853" t="inlineStr">
        <is>
          <t>Liz Foster</t>
        </is>
      </c>
      <c r="F1853" t="inlineStr">
        <is>
          <t>ADM ELDP : Cohort F - Module 7 (Advancing Reconciliation)</t>
        </is>
      </c>
      <c r="G1853" t="inlineStr">
        <is>
          <t>PDLCS SMA : Cohorte F - Module 7 (Soutenir la réconciliation)</t>
        </is>
      </c>
      <c r="H1853" s="1" t="n">
        <v>44857</v>
      </c>
      <c r="I1853" s="1" t="n">
        <v>44862</v>
      </c>
      <c r="J1853" t="inlineStr">
        <is>
          <t>Winnipeg (Manitoba) Canada
Regina (Saskatchewan) Canada</t>
        </is>
      </c>
      <c r="K1853" t="inlineStr">
        <is>
          <t>Winnipeg (Manitoba) Canada
Regina (Saskatchewan) Canada</t>
        </is>
      </c>
      <c r="P1853" t="n">
        <v>1588.99</v>
      </c>
      <c r="Q1853" t="n">
        <v>226.68</v>
      </c>
      <c r="R1853" t="n">
        <v>925.4299999999999</v>
      </c>
      <c r="S1853" t="n">
        <v>513.35</v>
      </c>
      <c r="T1853" t="n">
        <v>0</v>
      </c>
      <c r="U1853" t="n">
        <v>3254.45</v>
      </c>
      <c r="X1853" t="inlineStr">
        <is>
          <t>aafc-aac</t>
        </is>
      </c>
      <c r="Y1853" t="inlineStr">
        <is>
          <t>Agriculture and Agri-Food Canada | Agriculture et Agroalimentaire Canada</t>
        </is>
      </c>
    </row>
    <row r="1854">
      <c r="A1854" t="inlineStr">
        <is>
          <t>T-2022-P8-0032</t>
        </is>
      </c>
      <c r="B1854" t="inlineStr">
        <is>
          <t>SLE</t>
        </is>
      </c>
      <c r="C1854" t="inlineStr">
        <is>
          <t>Assistant Deputy Minister, Market and Industry Services Branch</t>
        </is>
      </c>
      <c r="D1854" t="inlineStr">
        <is>
          <t>Sous-ministre adjoint, Direction générale des services à l'industrie et aux marchés</t>
        </is>
      </c>
      <c r="E1854" t="inlineStr">
        <is>
          <t>Tom Rosser</t>
        </is>
      </c>
      <c r="F1854" t="inlineStr">
        <is>
          <t xml:space="preserve">Participate in ministerial outreach in Manila, Philippines and participate in the G20 Agriculture Ministers’ Meeting in Bali, Indonesia. </t>
        </is>
      </c>
      <c r="G1854" t="inlineStr">
        <is>
          <t>Participer à des activités de sensibilisation ministérielle à Manille, aux Philippines, et à la réunion des ministres de l’Agriculture du G20 à Bali, en Indonésie.</t>
        </is>
      </c>
      <c r="H1854" s="1" t="n">
        <v>44827</v>
      </c>
      <c r="I1854" s="1" t="n">
        <v>44834</v>
      </c>
      <c r="J1854" t="inlineStr">
        <is>
          <t>(Manila) Philippines
(Bali) Indonesia</t>
        </is>
      </c>
      <c r="K1854" t="inlineStr">
        <is>
          <t>(Manille) Philippines
(Bali) Indonésie</t>
        </is>
      </c>
      <c r="P1854" t="n">
        <v>14880.04</v>
      </c>
      <c r="Q1854" t="n">
        <v>62.01</v>
      </c>
      <c r="R1854" t="n">
        <v>1588.46</v>
      </c>
      <c r="S1854" t="n">
        <v>480.63</v>
      </c>
      <c r="T1854" t="n">
        <v>61.62</v>
      </c>
      <c r="U1854" t="n">
        <v>17072.76</v>
      </c>
      <c r="X1854" t="inlineStr">
        <is>
          <t>aafc-aac</t>
        </is>
      </c>
      <c r="Y1854" t="inlineStr">
        <is>
          <t>Agriculture and Agri-Food Canada | Agriculture et Agroalimentaire Canada</t>
        </is>
      </c>
    </row>
    <row r="1855">
      <c r="A1855" t="inlineStr">
        <is>
          <t>T-2022-P8-0033</t>
        </is>
      </c>
      <c r="B1855" t="inlineStr">
        <is>
          <t>SLE</t>
        </is>
      </c>
      <c r="C1855" t="inlineStr">
        <is>
          <t>Chief Information Officer, Information Systems Branch</t>
        </is>
      </c>
      <c r="D1855" t="inlineStr">
        <is>
          <t>Dirigeante principale de l'information, Direction générale des systèmes information</t>
        </is>
      </c>
      <c r="E1855" t="inlineStr">
        <is>
          <t>Vidya ShankarNarayan</t>
        </is>
      </c>
      <c r="F1855" t="inlineStr">
        <is>
          <t>Attend a 2 day Canada School of Public Service Washington tour.</t>
        </is>
      </c>
      <c r="G1855" t="inlineStr">
        <is>
          <t>Assister à une visite de deux jours de l'École de la fonction publique du Canada à Washington.</t>
        </is>
      </c>
      <c r="H1855" s="1" t="n">
        <v>44859</v>
      </c>
      <c r="I1855" s="1" t="n">
        <v>44862</v>
      </c>
      <c r="J1855" t="inlineStr">
        <is>
          <t>Washington (DC) United States</t>
        </is>
      </c>
      <c r="K1855" t="inlineStr">
        <is>
          <t>Washington (DC) États-Unis</t>
        </is>
      </c>
      <c r="P1855" t="n">
        <v>954.21</v>
      </c>
      <c r="Q1855" t="n">
        <v>131.95</v>
      </c>
      <c r="R1855" t="n">
        <v>1218.09</v>
      </c>
      <c r="S1855" t="n">
        <v>530.03</v>
      </c>
      <c r="T1855" t="n">
        <v>0</v>
      </c>
      <c r="U1855" t="n">
        <v>2834.28</v>
      </c>
      <c r="X1855" t="inlineStr">
        <is>
          <t>aafc-aac</t>
        </is>
      </c>
      <c r="Y1855" t="inlineStr">
        <is>
          <t>Agriculture and Agri-Food Canada | Agriculture et Agroalimentaire Canada</t>
        </is>
      </c>
    </row>
    <row r="1856">
      <c r="A1856" t="inlineStr">
        <is>
          <t>T-2022-P9-0001</t>
        </is>
      </c>
      <c r="B1856" t="inlineStr">
        <is>
          <t>MPSES</t>
        </is>
      </c>
      <c r="C1856" t="inlineStr">
        <is>
          <t>Minister</t>
        </is>
      </c>
      <c r="D1856" t="inlineStr">
        <is>
          <t>Ministre</t>
        </is>
      </c>
      <c r="E1856" t="inlineStr">
        <is>
          <t>Marie-Claude Bibeau</t>
        </is>
      </c>
      <c r="F1856" t="inlineStr">
        <is>
          <t>Co-chaired the Organisation for Economic Co-operation and Development meeting for Agriculture Ministers</t>
        </is>
      </c>
      <c r="G1856" t="inlineStr">
        <is>
          <t>Co-présidence de la réunion des ministres de l'agriculture de l'Organisation de coopération et de développement économiques</t>
        </is>
      </c>
      <c r="H1856" s="1" t="n">
        <v>44865</v>
      </c>
      <c r="I1856" s="1" t="n">
        <v>44870</v>
      </c>
      <c r="J1856" t="inlineStr">
        <is>
          <t>Paris (France) Europe</t>
        </is>
      </c>
      <c r="K1856" t="inlineStr">
        <is>
          <t>Paris (France) Europe</t>
        </is>
      </c>
      <c r="P1856" t="n">
        <v>6465.45</v>
      </c>
      <c r="Q1856" t="n">
        <v>268</v>
      </c>
      <c r="R1856" t="n">
        <v>1469.12</v>
      </c>
      <c r="S1856" t="n">
        <v>418.27</v>
      </c>
      <c r="T1856" t="n">
        <v>0</v>
      </c>
      <c r="U1856" t="n">
        <v>8620.84</v>
      </c>
      <c r="V1856" t="inlineStr">
        <is>
          <t>No Conference Fees</t>
        </is>
      </c>
      <c r="W1856" t="inlineStr">
        <is>
          <t>Pas de frais de conférence</t>
        </is>
      </c>
      <c r="X1856" t="inlineStr">
        <is>
          <t>aafc-aac</t>
        </is>
      </c>
      <c r="Y1856" t="inlineStr">
        <is>
          <t>Agriculture and Agri-Food Canada | Agriculture et Agroalimentaire Canada</t>
        </is>
      </c>
    </row>
    <row r="1857">
      <c r="A1857" t="inlineStr">
        <is>
          <t>T-2022-P9-0002</t>
        </is>
      </c>
      <c r="B1857" t="inlineStr">
        <is>
          <t>MPSES</t>
        </is>
      </c>
      <c r="C1857" t="inlineStr">
        <is>
          <t>Minister</t>
        </is>
      </c>
      <c r="D1857" t="inlineStr">
        <is>
          <t>Ministre</t>
        </is>
      </c>
      <c r="E1857" t="inlineStr">
        <is>
          <t>Marie-Claude Bibeau</t>
        </is>
      </c>
      <c r="F1857" t="inlineStr">
        <is>
          <t xml:space="preserve">To attend Agribition as well as to make an Indo-Pacific Strategy announcement </t>
        </is>
      </c>
      <c r="G1857" t="inlineStr">
        <is>
          <t xml:space="preserve">Pour assister à l'Agribition ainsi que pour faire une annonce sur la stratégie indo-pacifique. </t>
        </is>
      </c>
      <c r="H1857" s="1" t="n">
        <v>44897</v>
      </c>
      <c r="I1857" s="1" t="n">
        <v>44899</v>
      </c>
      <c r="J1857" t="inlineStr">
        <is>
          <t>Regina (Sasktachewan) Canada</t>
        </is>
      </c>
      <c r="K1857" t="inlineStr">
        <is>
          <t>Régina (Sasktachewan) Canada</t>
        </is>
      </c>
      <c r="P1857" t="n">
        <v>1618.6</v>
      </c>
      <c r="Q1857" t="n">
        <v>0</v>
      </c>
      <c r="R1857" t="n">
        <v>317.84</v>
      </c>
      <c r="S1857" t="n">
        <v>159.05</v>
      </c>
      <c r="T1857" t="n">
        <v>0</v>
      </c>
      <c r="U1857" t="n">
        <v>2095.49</v>
      </c>
      <c r="V1857" t="inlineStr">
        <is>
          <t>No Conference Fees</t>
        </is>
      </c>
      <c r="W1857" t="inlineStr">
        <is>
          <t>Pas de frais de conférence</t>
        </is>
      </c>
      <c r="X1857" t="inlineStr">
        <is>
          <t>aafc-aac</t>
        </is>
      </c>
      <c r="Y1857" t="inlineStr">
        <is>
          <t>Agriculture and Agri-Food Canada | Agriculture et Agroalimentaire Canada</t>
        </is>
      </c>
    </row>
    <row r="1858">
      <c r="A1858" t="inlineStr">
        <is>
          <t>T-2022-P9-0003</t>
        </is>
      </c>
      <c r="B1858" t="inlineStr">
        <is>
          <t>MPSES</t>
        </is>
      </c>
      <c r="C1858" t="inlineStr">
        <is>
          <t>Minister</t>
        </is>
      </c>
      <c r="D1858" t="inlineStr">
        <is>
          <t>Ministre</t>
        </is>
      </c>
      <c r="E1858" t="inlineStr">
        <is>
          <t>Marie-Claude Bibeau</t>
        </is>
      </c>
      <c r="F1858" t="inlineStr">
        <is>
          <t>To attend United Nations Biodiversity Conference (COP15)</t>
        </is>
      </c>
      <c r="G1858" t="inlineStr">
        <is>
          <t>Pour assister à la conférence des Nations Unies sur la biodiversité (COP15).</t>
        </is>
      </c>
      <c r="H1858" s="1" t="n">
        <v>44910</v>
      </c>
      <c r="I1858" s="1" t="n">
        <v>44911</v>
      </c>
      <c r="J1858" t="inlineStr">
        <is>
          <t>Montréal (Quebec) Canada</t>
        </is>
      </c>
      <c r="K1858" t="inlineStr">
        <is>
          <t>Montréal (Québec) Canada</t>
        </is>
      </c>
      <c r="P1858" t="n">
        <v>0</v>
      </c>
      <c r="Q1858" t="n">
        <v>0</v>
      </c>
      <c r="R1858" t="n">
        <v>184.45</v>
      </c>
      <c r="S1858" t="n">
        <v>102.45</v>
      </c>
      <c r="T1858" t="n">
        <v>0</v>
      </c>
      <c r="U1858" t="n">
        <v>286.9</v>
      </c>
      <c r="V1858" t="inlineStr">
        <is>
          <t>No Conference Fees</t>
        </is>
      </c>
      <c r="W1858" t="inlineStr">
        <is>
          <t>Pas de frais de conférence</t>
        </is>
      </c>
      <c r="X1858" t="inlineStr">
        <is>
          <t>aafc-aac</t>
        </is>
      </c>
      <c r="Y1858" t="inlineStr">
        <is>
          <t>Agriculture and Agri-Food Canada | Agriculture et Agroalimentaire Canada</t>
        </is>
      </c>
    </row>
    <row r="1859">
      <c r="A1859" t="inlineStr">
        <is>
          <t>T-2022-P9-0004</t>
        </is>
      </c>
      <c r="B1859" t="inlineStr">
        <is>
          <t>MPSES</t>
        </is>
      </c>
      <c r="C1859" t="inlineStr">
        <is>
          <t>Policy Advisor</t>
        </is>
      </c>
      <c r="D1859" t="inlineStr">
        <is>
          <t>Conseiller en politiques</t>
        </is>
      </c>
      <c r="E1859" t="inlineStr">
        <is>
          <t>Emerson Vanderberg</t>
        </is>
      </c>
      <c r="F1859" t="inlineStr">
        <is>
          <t>To support the Minister to the Organisation for Economic Co-operation and Development meeting for Agriculture Ministers</t>
        </is>
      </c>
      <c r="G1859" t="inlineStr">
        <is>
          <t>Soutenir la ministre lors de la réunion des ministres de l'Agriculture de l'Organisation de coopération et de développement économique.</t>
        </is>
      </c>
      <c r="H1859" s="1" t="n">
        <v>44865</v>
      </c>
      <c r="I1859" s="1" t="n">
        <v>44870</v>
      </c>
      <c r="J1859" t="inlineStr">
        <is>
          <t>Paris (France) Europe</t>
        </is>
      </c>
      <c r="K1859" t="inlineStr">
        <is>
          <t>Paris (France) Europe</t>
        </is>
      </c>
      <c r="P1859" t="n">
        <v>1691.35</v>
      </c>
      <c r="Q1859" t="n">
        <v>25.28</v>
      </c>
      <c r="R1859" t="n">
        <v>1478.46</v>
      </c>
      <c r="S1859" t="n">
        <v>418.27</v>
      </c>
      <c r="T1859" t="n">
        <v>0</v>
      </c>
      <c r="U1859" t="n">
        <v>3613.36</v>
      </c>
      <c r="V1859" t="inlineStr">
        <is>
          <t>No Conference Fees</t>
        </is>
      </c>
      <c r="W1859" t="inlineStr">
        <is>
          <t>Pas de frais de conférence</t>
        </is>
      </c>
      <c r="X1859" t="inlineStr">
        <is>
          <t>aafc-aac</t>
        </is>
      </c>
      <c r="Y1859" t="inlineStr">
        <is>
          <t>Agriculture and Agri-Food Canada | Agriculture et Agroalimentaire Canada</t>
        </is>
      </c>
    </row>
    <row r="1860">
      <c r="A1860" t="inlineStr">
        <is>
          <t>T-2022-P9-0005</t>
        </is>
      </c>
      <c r="B1860" t="inlineStr">
        <is>
          <t>MPSES</t>
        </is>
      </c>
      <c r="C1860" t="inlineStr">
        <is>
          <t>Press Secretary</t>
        </is>
      </c>
      <c r="D1860" t="inlineStr">
        <is>
          <t>Attachée de presse</t>
        </is>
      </c>
      <c r="E1860" t="inlineStr">
        <is>
          <t>Marianne Dandurand</t>
        </is>
      </c>
      <c r="F1860" t="inlineStr">
        <is>
          <t>To support the Minister to the Organisation for Economic Co-operation and Development meeting for Agriculture Ministers</t>
        </is>
      </c>
      <c r="G1860" t="inlineStr">
        <is>
          <t>Soutenir la ministre lors de la réunion des ministres de l'Agriculture de l'Organisation de coopération et de développement économique.</t>
        </is>
      </c>
      <c r="H1860" s="1" t="n">
        <v>44865</v>
      </c>
      <c r="I1860" s="1" t="n">
        <v>44870</v>
      </c>
      <c r="J1860" t="inlineStr">
        <is>
          <t>Paris (France) Europe</t>
        </is>
      </c>
      <c r="K1860" t="inlineStr">
        <is>
          <t>Paris (France) Europe</t>
        </is>
      </c>
      <c r="P1860" t="n">
        <v>2560.04</v>
      </c>
      <c r="Q1860" t="n">
        <v>0</v>
      </c>
      <c r="R1860" t="n">
        <v>1461.11</v>
      </c>
      <c r="S1860" t="n">
        <v>418.27</v>
      </c>
      <c r="T1860" t="n">
        <v>0</v>
      </c>
      <c r="U1860" t="n">
        <v>4439.42</v>
      </c>
      <c r="V1860" t="inlineStr">
        <is>
          <t>No Conference Fees</t>
        </is>
      </c>
      <c r="W1860" t="inlineStr">
        <is>
          <t>Pas de frais de conférence</t>
        </is>
      </c>
      <c r="X1860" t="inlineStr">
        <is>
          <t>aafc-aac</t>
        </is>
      </c>
      <c r="Y1860" t="inlineStr">
        <is>
          <t>Agriculture and Agri-Food Canada | Agriculture et Agroalimentaire Canada</t>
        </is>
      </c>
    </row>
    <row r="1861">
      <c r="A1861" t="inlineStr">
        <is>
          <t>T-2022-P9-0006</t>
        </is>
      </c>
      <c r="B1861" t="inlineStr">
        <is>
          <t>MPSES</t>
        </is>
      </c>
      <c r="C1861" t="inlineStr">
        <is>
          <t>Press Secretary</t>
        </is>
      </c>
      <c r="D1861" t="inlineStr">
        <is>
          <t>Attachée de presse</t>
        </is>
      </c>
      <c r="E1861" t="inlineStr">
        <is>
          <t>Marianne Dandurand</t>
        </is>
      </c>
      <c r="F1861" t="inlineStr">
        <is>
          <t>To support the Minister to participate in the Union des producteurs agricoles Annual General Congress meeting</t>
        </is>
      </c>
      <c r="G1861" t="inlineStr">
        <is>
          <t>Soutenir la participation de la ministre au congrès annuel de l'Union des producteurs agricoles.</t>
        </is>
      </c>
      <c r="H1861" s="1" t="n">
        <v>44894</v>
      </c>
      <c r="I1861" s="1" t="n">
        <v>44894</v>
      </c>
      <c r="J1861" t="inlineStr">
        <is>
          <t>Québec (Quebec) Canada</t>
        </is>
      </c>
      <c r="K1861" t="inlineStr">
        <is>
          <t>Québec (Québec) Canada</t>
        </is>
      </c>
      <c r="P1861" t="n">
        <v>0</v>
      </c>
      <c r="Q1861" t="n">
        <v>0</v>
      </c>
      <c r="R1861" t="n">
        <v>159.46</v>
      </c>
      <c r="S1861" t="n">
        <v>159.05</v>
      </c>
      <c r="T1861" t="n">
        <v>0</v>
      </c>
      <c r="U1861" t="n">
        <v>318.51</v>
      </c>
      <c r="V1861" t="inlineStr">
        <is>
          <t>No Conference Fees</t>
        </is>
      </c>
      <c r="W1861" t="inlineStr">
        <is>
          <t>Pas de frais de conférence</t>
        </is>
      </c>
      <c r="X1861" t="inlineStr">
        <is>
          <t>aafc-aac</t>
        </is>
      </c>
      <c r="Y1861" t="inlineStr">
        <is>
          <t>Agriculture and Agri-Food Canada | Agriculture et Agroalimentaire Canada</t>
        </is>
      </c>
    </row>
    <row r="1862">
      <c r="A1862" t="inlineStr">
        <is>
          <t>T-2022-P9-0007</t>
        </is>
      </c>
      <c r="B1862" t="inlineStr">
        <is>
          <t>MPSES</t>
        </is>
      </c>
      <c r="C1862" t="inlineStr">
        <is>
          <t>Press Secretary</t>
        </is>
      </c>
      <c r="D1862" t="inlineStr">
        <is>
          <t>Attachée de presse</t>
        </is>
      </c>
      <c r="E1862" t="inlineStr">
        <is>
          <t>Marianne Dandurand</t>
        </is>
      </c>
      <c r="F1862" t="inlineStr">
        <is>
          <t>To support the Minister to attend United Nations Biodiversity Conference (COP15)</t>
        </is>
      </c>
      <c r="G1862" t="inlineStr">
        <is>
          <t>Soutenir la participation de la ministre à la conférence des Nations unies sur la biodiversité (COP15).</t>
        </is>
      </c>
      <c r="H1862" s="1" t="n">
        <v>44910</v>
      </c>
      <c r="I1862" s="1" t="n">
        <v>44911</v>
      </c>
      <c r="J1862" t="inlineStr">
        <is>
          <t>Montréal (Quebec) Canada</t>
        </is>
      </c>
      <c r="K1862" t="inlineStr">
        <is>
          <t>Montréal (Québec) Canada</t>
        </is>
      </c>
      <c r="P1862" t="n">
        <v>0</v>
      </c>
      <c r="Q1862" t="n">
        <v>0</v>
      </c>
      <c r="R1862" t="n">
        <v>184.45</v>
      </c>
      <c r="S1862" t="n">
        <v>102.45</v>
      </c>
      <c r="T1862" t="n">
        <v>0</v>
      </c>
      <c r="U1862" t="n">
        <v>286.9</v>
      </c>
      <c r="V1862" t="inlineStr">
        <is>
          <t>No Conference Fees</t>
        </is>
      </c>
      <c r="W1862" t="inlineStr">
        <is>
          <t>Pas de frais de conférence</t>
        </is>
      </c>
      <c r="X1862" t="inlineStr">
        <is>
          <t>aafc-aac</t>
        </is>
      </c>
      <c r="Y1862" t="inlineStr">
        <is>
          <t>Agriculture and Agri-Food Canada | Agriculture et Agroalimentaire Canada</t>
        </is>
      </c>
    </row>
    <row r="1863">
      <c r="A1863" t="inlineStr">
        <is>
          <t>T-2022-P9-0008</t>
        </is>
      </c>
      <c r="B1863" t="inlineStr">
        <is>
          <t>MPSES</t>
        </is>
      </c>
      <c r="C1863" t="inlineStr">
        <is>
          <t>Driver</t>
        </is>
      </c>
      <c r="D1863" t="inlineStr">
        <is>
          <t>Chauffeur</t>
        </is>
      </c>
      <c r="E1863" t="inlineStr">
        <is>
          <t>Michel Gendreau</t>
        </is>
      </c>
      <c r="F1863" t="inlineStr">
        <is>
          <t>Drive the Minister from Ottawa to her riding</t>
        </is>
      </c>
      <c r="G1863" t="inlineStr">
        <is>
          <t>Conduire la ministre d'Ottawa à sa circonscription</t>
        </is>
      </c>
      <c r="H1863" s="1" t="n">
        <v>44889</v>
      </c>
      <c r="I1863" s="1" t="n">
        <v>44889</v>
      </c>
      <c r="J1863" t="inlineStr">
        <is>
          <t>Sherbrooke (Quebec) Canada</t>
        </is>
      </c>
      <c r="K1863" t="inlineStr">
        <is>
          <t>Sherbrooke (Québec) Canada</t>
        </is>
      </c>
      <c r="P1863" t="n">
        <v>0</v>
      </c>
      <c r="Q1863" t="n">
        <v>6</v>
      </c>
      <c r="R1863" t="n">
        <v>0</v>
      </c>
      <c r="S1863" t="n">
        <v>56.6</v>
      </c>
      <c r="T1863" t="n">
        <v>0</v>
      </c>
      <c r="U1863" t="n">
        <v>62.6</v>
      </c>
      <c r="V1863" t="inlineStr">
        <is>
          <t>No conference fee</t>
        </is>
      </c>
      <c r="W1863" t="inlineStr">
        <is>
          <t>Pas de frais de conférence</t>
        </is>
      </c>
      <c r="X1863" t="inlineStr">
        <is>
          <t>aafc-aac</t>
        </is>
      </c>
      <c r="Y1863" t="inlineStr">
        <is>
          <t>Agriculture and Agri-Food Canada | Agriculture et Agroalimentaire Canada</t>
        </is>
      </c>
    </row>
    <row r="1864">
      <c r="A1864" t="inlineStr">
        <is>
          <t>T-2022-P9-0009</t>
        </is>
      </c>
      <c r="B1864" t="inlineStr">
        <is>
          <t>MPSES</t>
        </is>
      </c>
      <c r="C1864" t="inlineStr">
        <is>
          <t>Driver</t>
        </is>
      </c>
      <c r="D1864" t="inlineStr">
        <is>
          <t>Chauffeur</t>
        </is>
      </c>
      <c r="E1864" t="inlineStr">
        <is>
          <t>Michel Gendreau</t>
        </is>
      </c>
      <c r="F1864" t="inlineStr">
        <is>
          <t>Drive the Minister from her riding to Ottawa</t>
        </is>
      </c>
      <c r="G1864" t="inlineStr">
        <is>
          <t>Conduire la ministre de sa circonscription à Ottawa</t>
        </is>
      </c>
      <c r="H1864" s="1" t="n">
        <v>44892</v>
      </c>
      <c r="I1864" s="1" t="n">
        <v>44892</v>
      </c>
      <c r="J1864" t="inlineStr">
        <is>
          <t>Sherbrooke (Quebec) Canada</t>
        </is>
      </c>
      <c r="K1864" t="inlineStr">
        <is>
          <t>Sherbrooke (Québec) Canada</t>
        </is>
      </c>
      <c r="P1864" t="n">
        <v>0</v>
      </c>
      <c r="Q1864" t="n">
        <v>6</v>
      </c>
      <c r="R1864" t="n">
        <v>121.38</v>
      </c>
      <c r="S1864" t="n">
        <v>79.40000000000001</v>
      </c>
      <c r="T1864" t="n">
        <v>0</v>
      </c>
      <c r="U1864" t="n">
        <v>206.78</v>
      </c>
      <c r="V1864" t="inlineStr">
        <is>
          <t>No conference fee</t>
        </is>
      </c>
      <c r="W1864" t="inlineStr">
        <is>
          <t>Pas de frais de conférence</t>
        </is>
      </c>
      <c r="X1864" t="inlineStr">
        <is>
          <t>aafc-aac</t>
        </is>
      </c>
      <c r="Y1864" t="inlineStr">
        <is>
          <t>Agriculture and Agri-Food Canada | Agriculture et Agroalimentaire Canada</t>
        </is>
      </c>
    </row>
    <row r="1865">
      <c r="A1865" t="inlineStr">
        <is>
          <t>T-2022-P9-0010</t>
        </is>
      </c>
      <c r="B1865" t="inlineStr">
        <is>
          <t>MPSES</t>
        </is>
      </c>
      <c r="C1865" t="inlineStr">
        <is>
          <t>Driver</t>
        </is>
      </c>
      <c r="D1865" t="inlineStr">
        <is>
          <t>Chauffeur</t>
        </is>
      </c>
      <c r="E1865" t="inlineStr">
        <is>
          <t>Michel Gendreau</t>
        </is>
      </c>
      <c r="F1865" t="inlineStr">
        <is>
          <t>Drive the Minister to participate in the Union des producteurs agricoles Annual General Congress meeting</t>
        </is>
      </c>
      <c r="G1865" t="inlineStr">
        <is>
          <t>Conduire la ministre pour participer à la réunion du congrès général annuel de l'Union des producteurs agricoles.</t>
        </is>
      </c>
      <c r="H1865" s="1" t="n">
        <v>44894</v>
      </c>
      <c r="I1865" s="1" t="n">
        <v>44895</v>
      </c>
      <c r="J1865" t="inlineStr">
        <is>
          <t>Québec (Quebec) Canada</t>
        </is>
      </c>
      <c r="K1865" t="inlineStr">
        <is>
          <t>Québec (Québec) Canada</t>
        </is>
      </c>
      <c r="P1865" t="n">
        <v>0</v>
      </c>
      <c r="Q1865" t="n">
        <v>13</v>
      </c>
      <c r="R1865" t="n">
        <v>159.46</v>
      </c>
      <c r="S1865" t="n">
        <v>102.45</v>
      </c>
      <c r="T1865" t="n">
        <v>0</v>
      </c>
      <c r="U1865" t="n">
        <v>274.91</v>
      </c>
      <c r="V1865" t="inlineStr">
        <is>
          <t>No conference fee</t>
        </is>
      </c>
      <c r="W1865" t="inlineStr">
        <is>
          <t>Pas de frais de conférence</t>
        </is>
      </c>
      <c r="X1865" t="inlineStr">
        <is>
          <t>aafc-aac</t>
        </is>
      </c>
      <c r="Y1865" t="inlineStr">
        <is>
          <t>Agriculture and Agri-Food Canada | Agriculture et Agroalimentaire Canada</t>
        </is>
      </c>
    </row>
    <row r="1866">
      <c r="A1866" t="inlineStr">
        <is>
          <t>T-2022-P9-0011</t>
        </is>
      </c>
      <c r="B1866" t="inlineStr">
        <is>
          <t>MPSES</t>
        </is>
      </c>
      <c r="C1866" t="inlineStr">
        <is>
          <t>Driver</t>
        </is>
      </c>
      <c r="D1866" t="inlineStr">
        <is>
          <t>Chauffeur</t>
        </is>
      </c>
      <c r="E1866" t="inlineStr">
        <is>
          <t>Michel Gendreau</t>
        </is>
      </c>
      <c r="F1866" t="inlineStr">
        <is>
          <t>Drive the Minister from Ottawa to her riding and to Montreal airport for flight</t>
        </is>
      </c>
      <c r="G1866" t="inlineStr">
        <is>
          <t>Conduire la ministre d'Ottawa à sa circonscription et à l'aéroport de Montréal pour son vol.</t>
        </is>
      </c>
      <c r="H1866" s="1" t="n">
        <v>44896</v>
      </c>
      <c r="I1866" s="1" t="n">
        <v>44897</v>
      </c>
      <c r="J1866" t="inlineStr">
        <is>
          <t>Sherbrooke (Quebec) Canada
Montréal (Quebec) Canada</t>
        </is>
      </c>
      <c r="K1866" t="inlineStr">
        <is>
          <t>Sherbrooke (Québec) Canada
Montréal (Québec) Canada</t>
        </is>
      </c>
      <c r="P1866" t="n">
        <v>0</v>
      </c>
      <c r="Q1866" t="n">
        <v>3</v>
      </c>
      <c r="R1866" t="n">
        <v>121.38</v>
      </c>
      <c r="S1866" t="n">
        <v>159.05</v>
      </c>
      <c r="T1866" t="n">
        <v>0</v>
      </c>
      <c r="U1866" t="n">
        <v>283.43</v>
      </c>
      <c r="V1866" t="inlineStr">
        <is>
          <t>No conference fee</t>
        </is>
      </c>
      <c r="W1866" t="inlineStr">
        <is>
          <t>Pas de frais de conférence</t>
        </is>
      </c>
      <c r="X1866" t="inlineStr">
        <is>
          <t>aafc-aac</t>
        </is>
      </c>
      <c r="Y1866" t="inlineStr">
        <is>
          <t>Agriculture and Agri-Food Canada | Agriculture et Agroalimentaire Canada</t>
        </is>
      </c>
    </row>
    <row r="1867">
      <c r="A1867" t="inlineStr">
        <is>
          <t>T-2022-P9-0012</t>
        </is>
      </c>
      <c r="B1867" t="inlineStr">
        <is>
          <t>MPSES</t>
        </is>
      </c>
      <c r="C1867" t="inlineStr">
        <is>
          <t>Policy Advisor</t>
        </is>
      </c>
      <c r="D1867" t="inlineStr">
        <is>
          <t>Conseillère en politiques</t>
        </is>
      </c>
      <c r="E1867" t="inlineStr">
        <is>
          <t>Christine Harvey</t>
        </is>
      </c>
      <c r="F1867" t="inlineStr">
        <is>
          <t>To support the Minister to participate in the Union des producteurs agricoles Annual General Congress meeting</t>
        </is>
      </c>
      <c r="G1867" t="inlineStr">
        <is>
          <t>Soutenir la participation de la ministre au congrès annuel de l'Union des producteurs agricoles.</t>
        </is>
      </c>
      <c r="H1867" s="1" t="n">
        <v>44894</v>
      </c>
      <c r="I1867" s="1" t="n">
        <v>44894</v>
      </c>
      <c r="J1867" t="inlineStr">
        <is>
          <t>Québec (Quebec) Canada</t>
        </is>
      </c>
      <c r="K1867" t="inlineStr">
        <is>
          <t>Québec (Québec) Canada</t>
        </is>
      </c>
      <c r="P1867" t="n">
        <v>0</v>
      </c>
      <c r="Q1867" t="n">
        <v>156.37</v>
      </c>
      <c r="R1867" t="n">
        <v>159.46</v>
      </c>
      <c r="S1867" t="n">
        <v>159.05</v>
      </c>
      <c r="T1867" t="n">
        <v>0</v>
      </c>
      <c r="U1867" t="n">
        <v>474.88</v>
      </c>
      <c r="V1867" t="inlineStr">
        <is>
          <t>No Conference Fees</t>
        </is>
      </c>
      <c r="W1867" t="inlineStr">
        <is>
          <t>Pas de frais de conférence</t>
        </is>
      </c>
      <c r="X1867" t="inlineStr">
        <is>
          <t>aafc-aac</t>
        </is>
      </c>
      <c r="Y1867" t="inlineStr">
        <is>
          <t>Agriculture and Agri-Food Canada | Agriculture et Agroalimentaire Canada</t>
        </is>
      </c>
    </row>
    <row r="1868">
      <c r="A1868" t="inlineStr">
        <is>
          <t>T-2022-P9-0013</t>
        </is>
      </c>
      <c r="B1868" t="inlineStr">
        <is>
          <t>MPSES</t>
        </is>
      </c>
      <c r="C1868" t="inlineStr">
        <is>
          <t>Deputy Minister</t>
        </is>
      </c>
      <c r="D1868" t="inlineStr">
        <is>
          <t>Sous-ministre</t>
        </is>
      </c>
      <c r="E1868" t="inlineStr">
        <is>
          <t>Chris Forbes</t>
        </is>
      </c>
      <c r="F1868" t="inlineStr">
        <is>
          <t>To attend the Pacific Alliance Summit</t>
        </is>
      </c>
      <c r="G1868" t="inlineStr">
        <is>
          <t>Pour assister au Sommet de l’Alliance du Pacifique</t>
        </is>
      </c>
      <c r="H1868" s="1" t="n">
        <v>44886</v>
      </c>
      <c r="I1868" s="1" t="n">
        <v>44889</v>
      </c>
      <c r="J1868" t="inlineStr">
        <is>
          <t>Mexico City, Mexico</t>
        </is>
      </c>
      <c r="K1868" t="inlineStr">
        <is>
          <t>Ville de Mexico, Mexique</t>
        </is>
      </c>
      <c r="P1868" t="n">
        <v>4526.53</v>
      </c>
      <c r="Q1868" t="n">
        <v>126.18</v>
      </c>
      <c r="R1868" t="n">
        <v>1058.98</v>
      </c>
      <c r="S1868" t="n">
        <v>259.08</v>
      </c>
      <c r="T1868" t="n">
        <v>0</v>
      </c>
      <c r="U1868" t="n">
        <v>5970.77</v>
      </c>
      <c r="V1868" t="inlineStr">
        <is>
          <t>No Conference Fees</t>
        </is>
      </c>
      <c r="W1868" t="inlineStr">
        <is>
          <t>Pas de frais de conférence</t>
        </is>
      </c>
      <c r="X1868" t="inlineStr">
        <is>
          <t>aafc-aac</t>
        </is>
      </c>
      <c r="Y1868" t="inlineStr">
        <is>
          <t>Agriculture and Agri-Food Canada | Agriculture et Agroalimentaire Canada</t>
        </is>
      </c>
    </row>
    <row r="1869">
      <c r="A1869" t="inlineStr">
        <is>
          <t>T-2022-P9-0014</t>
        </is>
      </c>
      <c r="B1869" t="inlineStr">
        <is>
          <t>MPSES</t>
        </is>
      </c>
      <c r="C1869" t="inlineStr">
        <is>
          <t>Deputy Minister</t>
        </is>
      </c>
      <c r="D1869" t="inlineStr">
        <is>
          <t>Sous-ministre</t>
        </is>
      </c>
      <c r="E1869" t="inlineStr">
        <is>
          <t>Chris Forbes</t>
        </is>
      </c>
      <c r="F1869" t="inlineStr">
        <is>
          <t>To attend the Next Green Revolution</t>
        </is>
      </c>
      <c r="G1869" t="inlineStr">
        <is>
          <t>Pour assister à la prochaine révolution verte</t>
        </is>
      </c>
      <c r="H1869" s="1" t="n">
        <v>44896</v>
      </c>
      <c r="I1869" s="1" t="n">
        <v>44896</v>
      </c>
      <c r="J1869" t="inlineStr">
        <is>
          <t>Toronto (Ontario) Canada</t>
        </is>
      </c>
      <c r="K1869" t="inlineStr">
        <is>
          <t>Toronto (Ontario) Canada</t>
        </is>
      </c>
      <c r="P1869" t="n">
        <v>1121.83</v>
      </c>
      <c r="Q1869" t="n">
        <v>24</v>
      </c>
      <c r="R1869" t="n">
        <v>0</v>
      </c>
      <c r="S1869" t="n">
        <v>102.45</v>
      </c>
      <c r="T1869" t="n">
        <v>0</v>
      </c>
      <c r="U1869" t="n">
        <v>1248.28</v>
      </c>
      <c r="V1869" t="inlineStr">
        <is>
          <t>No Conference Fees</t>
        </is>
      </c>
      <c r="W1869" t="inlineStr">
        <is>
          <t>Pas de frais de conférence</t>
        </is>
      </c>
      <c r="X1869" t="inlineStr">
        <is>
          <t>aafc-aac</t>
        </is>
      </c>
      <c r="Y1869" t="inlineStr">
        <is>
          <t>Agriculture and Agri-Food Canada | Agriculture et Agroalimentaire Canada</t>
        </is>
      </c>
    </row>
    <row r="1870">
      <c r="A1870" t="inlineStr">
        <is>
          <t>T-2022-P9-0015</t>
        </is>
      </c>
      <c r="B1870" t="inlineStr">
        <is>
          <t>SLE</t>
        </is>
      </c>
      <c r="C1870" t="inlineStr">
        <is>
          <t>Corporate Secretary</t>
        </is>
      </c>
      <c r="D1870" t="inlineStr">
        <is>
          <t>Secrétaire générale</t>
        </is>
      </c>
      <c r="E1870" t="inlineStr">
        <is>
          <t>Tamara Abel</t>
        </is>
      </c>
      <c r="F1870" t="inlineStr">
        <is>
          <t>Operational activities</t>
        </is>
      </c>
      <c r="G1870" t="inlineStr">
        <is>
          <t>Activités opérationnelles</t>
        </is>
      </c>
      <c r="H1870" s="1" t="n">
        <v>44893</v>
      </c>
      <c r="I1870" s="1" t="n">
        <v>44897</v>
      </c>
      <c r="J1870" t="inlineStr">
        <is>
          <t>Ottawa (Ontario) Canada</t>
        </is>
      </c>
      <c r="K1870" t="inlineStr">
        <is>
          <t>Ottawa (Ontario) Canada</t>
        </is>
      </c>
      <c r="P1870" t="n">
        <v>822.0599999999999</v>
      </c>
      <c r="Q1870" t="n">
        <v>339.16</v>
      </c>
      <c r="R1870" t="n">
        <v>982.48</v>
      </c>
      <c r="S1870" t="n">
        <v>496.3</v>
      </c>
      <c r="T1870" t="n">
        <v>0</v>
      </c>
      <c r="U1870" t="n">
        <v>2640</v>
      </c>
      <c r="V1870" t="inlineStr">
        <is>
          <t>No Conference Fees</t>
        </is>
      </c>
      <c r="W1870" t="inlineStr">
        <is>
          <t>Pas de frais de conférence</t>
        </is>
      </c>
      <c r="X1870" t="inlineStr">
        <is>
          <t>aafc-aac</t>
        </is>
      </c>
      <c r="Y1870" t="inlineStr">
        <is>
          <t>Agriculture and Agri-Food Canada | Agriculture et Agroalimentaire Canada</t>
        </is>
      </c>
    </row>
    <row r="1871">
      <c r="A1871" t="inlineStr">
        <is>
          <t>T-2022-P9-0016</t>
        </is>
      </c>
      <c r="B1871" t="inlineStr">
        <is>
          <t>SLE</t>
        </is>
      </c>
      <c r="C1871" t="inlineStr">
        <is>
          <t>Assistant Deputy Minister, Science and Technology Branch</t>
        </is>
      </c>
      <c r="D1871" t="inlineStr">
        <is>
          <t>Sous-ministre adjoint, Direction générale des sciences et de la technologie</t>
        </is>
      </c>
      <c r="E1871" t="inlineStr">
        <is>
          <t>Gilles Saindon</t>
        </is>
      </c>
      <c r="F1871" t="inlineStr">
        <is>
          <t>Attend the Governing Body meeting of the Organisation for Economic Co-operation and Development; and Mission to Europe.</t>
        </is>
      </c>
      <c r="G1871" t="inlineStr">
        <is>
          <t>Participer à la réunion du Conseil d'administration de l'Organisation de coopération et de développement économiques ; et Mission en Europe.</t>
        </is>
      </c>
      <c r="H1871" s="1" t="n">
        <v>44898</v>
      </c>
      <c r="I1871" s="1" t="n">
        <v>44905</v>
      </c>
      <c r="J1871" t="inlineStr">
        <is>
          <t>Paris, France; The Hague, Netherlands, Brussels, Belgium</t>
        </is>
      </c>
      <c r="K1871" t="inlineStr">
        <is>
          <t>Paris, France; La Haye, Pays-Bas; Bruxelles, Belgique</t>
        </is>
      </c>
      <c r="P1871" t="n">
        <v>3104.66</v>
      </c>
      <c r="Q1871" t="n">
        <v>2339.4</v>
      </c>
      <c r="R1871" t="n">
        <v>2146.69</v>
      </c>
      <c r="S1871" t="n">
        <v>1528.3</v>
      </c>
      <c r="T1871" t="n">
        <v>0</v>
      </c>
      <c r="U1871" t="n">
        <v>9119.049999999999</v>
      </c>
      <c r="X1871" t="inlineStr">
        <is>
          <t>aafc-aac</t>
        </is>
      </c>
      <c r="Y1871" t="inlineStr">
        <is>
          <t>Agriculture and Agri-Food Canada | Agriculture et Agroalimentaire Canada</t>
        </is>
      </c>
    </row>
    <row r="1872">
      <c r="A1872" t="inlineStr">
        <is>
          <t>T-2022-P9-0017</t>
        </is>
      </c>
      <c r="B1872" t="inlineStr">
        <is>
          <t>SLE</t>
        </is>
      </c>
      <c r="C1872" t="inlineStr">
        <is>
          <t>Associate Assistant Deputy Minister, Science and Technology Branch</t>
        </is>
      </c>
      <c r="D1872" t="inlineStr">
        <is>
          <t>Sous-ministre adjoint délégué, Direction générale des sciences et de la technologie</t>
        </is>
      </c>
      <c r="E1872" t="inlineStr">
        <is>
          <t>Andrew Goldstein</t>
        </is>
      </c>
      <c r="F1872" t="inlineStr">
        <is>
          <t>Visit the Harrow (Ontario) and London (Ontario) Research and Development Centres</t>
        </is>
      </c>
      <c r="G1872" t="inlineStr">
        <is>
          <t>Visitez les centres de recherche et de développement à Harrow (Ontario) et à London (Ontario).</t>
        </is>
      </c>
      <c r="H1872" s="1" t="n">
        <v>44909</v>
      </c>
      <c r="I1872" s="1" t="n">
        <v>44911</v>
      </c>
      <c r="J1872" t="inlineStr">
        <is>
          <t>Harrow (Ontario) Canada, London (Ontario) Canada</t>
        </is>
      </c>
      <c r="K1872" t="inlineStr">
        <is>
          <t>Harrow (Ontario) Canada, London (Ontario) Canada</t>
        </is>
      </c>
      <c r="P1872" t="n">
        <v>0</v>
      </c>
      <c r="Q1872" t="n">
        <v>425.16</v>
      </c>
      <c r="R1872" t="n">
        <v>151.45</v>
      </c>
      <c r="S1872" t="n">
        <v>234</v>
      </c>
      <c r="T1872" t="n">
        <v>0</v>
      </c>
      <c r="U1872" t="n">
        <v>810.61</v>
      </c>
      <c r="X1872" t="inlineStr">
        <is>
          <t>aafc-aac</t>
        </is>
      </c>
      <c r="Y1872" t="inlineStr">
        <is>
          <t>Agriculture and Agri-Food Canada | Agriculture et Agroalimentaire Canada</t>
        </is>
      </c>
    </row>
    <row r="1873">
      <c r="A1873" t="inlineStr">
        <is>
          <t>T-2022-P9-0018</t>
        </is>
      </c>
      <c r="B1873" t="inlineStr">
        <is>
          <t>SLE</t>
        </is>
      </c>
      <c r="C1873" t="inlineStr">
        <is>
          <t>Assistant Deputy Minister, Corporate Management Branch</t>
        </is>
      </c>
      <c r="D1873" t="inlineStr">
        <is>
          <t>Sous-ministre adjointe, Direction générale de la gestion intégrée</t>
        </is>
      </c>
      <c r="E1873" t="inlineStr">
        <is>
          <t>Marie-Claude Guérard</t>
        </is>
      </c>
      <c r="F1873" t="inlineStr">
        <is>
          <t>Meetings in Ottawa</t>
        </is>
      </c>
      <c r="G1873" t="inlineStr">
        <is>
          <t>Rencontres à Ottawa</t>
        </is>
      </c>
      <c r="H1873" s="1" t="n">
        <v>44879</v>
      </c>
      <c r="I1873" s="1" t="n">
        <v>44879</v>
      </c>
      <c r="J1873" t="inlineStr">
        <is>
          <t>Ottawa (Ontario) Canada</t>
        </is>
      </c>
      <c r="K1873" t="inlineStr">
        <is>
          <t>Ottawa (Ontario) Canada</t>
        </is>
      </c>
      <c r="P1873" t="n">
        <v>0</v>
      </c>
      <c r="Q1873" t="n">
        <v>327.17</v>
      </c>
      <c r="R1873" t="n">
        <v>0</v>
      </c>
      <c r="S1873" t="n">
        <v>23.05</v>
      </c>
      <c r="T1873" t="n">
        <v>0</v>
      </c>
      <c r="U1873" t="n">
        <v>350.22</v>
      </c>
      <c r="X1873" t="inlineStr">
        <is>
          <t>aafc-aac</t>
        </is>
      </c>
      <c r="Y1873" t="inlineStr">
        <is>
          <t>Agriculture and Agri-Food Canada | Agriculture et Agroalimentaire Canada</t>
        </is>
      </c>
    </row>
    <row r="1874">
      <c r="A1874" t="inlineStr">
        <is>
          <t>T-2022-P9-0019</t>
        </is>
      </c>
      <c r="B1874" t="inlineStr">
        <is>
          <t>SLE</t>
        </is>
      </c>
      <c r="C1874" t="inlineStr">
        <is>
          <t>Assistant Deputy Minister, Corporate Management Branch</t>
        </is>
      </c>
      <c r="D1874" t="inlineStr">
        <is>
          <t>Sous-ministre adjointe, Direction générale de la gestion intégrée</t>
        </is>
      </c>
      <c r="E1874" t="inlineStr">
        <is>
          <t>Marie-Claude Guérard</t>
        </is>
      </c>
      <c r="F1874" t="inlineStr">
        <is>
          <t>Meetings in Ottawa</t>
        </is>
      </c>
      <c r="G1874" t="inlineStr">
        <is>
          <t>Rencontres à Ottawa</t>
        </is>
      </c>
      <c r="H1874" s="1" t="n">
        <v>44887</v>
      </c>
      <c r="I1874" s="1" t="n">
        <v>44887</v>
      </c>
      <c r="J1874" t="inlineStr">
        <is>
          <t>Ottawa (Ontario) Canada</t>
        </is>
      </c>
      <c r="K1874" t="inlineStr">
        <is>
          <t>Ottawa (Ontario) Canada</t>
        </is>
      </c>
      <c r="P1874" t="n">
        <v>0</v>
      </c>
      <c r="Q1874" t="n">
        <v>507.09</v>
      </c>
      <c r="R1874" t="n">
        <v>0</v>
      </c>
      <c r="S1874" t="n">
        <v>0</v>
      </c>
      <c r="T1874" t="n">
        <v>0</v>
      </c>
      <c r="U1874" t="n">
        <v>507.09</v>
      </c>
      <c r="X1874" t="inlineStr">
        <is>
          <t>aafc-aac</t>
        </is>
      </c>
      <c r="Y1874" t="inlineStr">
        <is>
          <t>Agriculture and Agri-Food Canada | Agriculture et Agroalimentaire Canada</t>
        </is>
      </c>
    </row>
    <row r="1875">
      <c r="A1875" t="inlineStr">
        <is>
          <t>T-2022-P9-0020</t>
        </is>
      </c>
      <c r="B1875" t="inlineStr">
        <is>
          <t>SLE</t>
        </is>
      </c>
      <c r="C1875" t="inlineStr">
        <is>
          <t>Assistant Deputy Minister, Corporate Management Branch</t>
        </is>
      </c>
      <c r="D1875" t="inlineStr">
        <is>
          <t>Sous-ministre adjointe, Direction générale de la gestion intégrée</t>
        </is>
      </c>
      <c r="E1875" t="inlineStr">
        <is>
          <t>Marie-Claude Guérard</t>
        </is>
      </c>
      <c r="F1875" t="inlineStr">
        <is>
          <t>Meetings in Ottawa</t>
        </is>
      </c>
      <c r="G1875" t="inlineStr">
        <is>
          <t>Rencontres à Ottawa</t>
        </is>
      </c>
      <c r="H1875" s="1" t="n">
        <v>44890</v>
      </c>
      <c r="I1875" s="1" t="n">
        <v>44890</v>
      </c>
      <c r="J1875" t="inlineStr">
        <is>
          <t>Ottawa (Ontario) Canada</t>
        </is>
      </c>
      <c r="K1875" t="inlineStr">
        <is>
          <t>Ottawa (Ontario) Canada</t>
        </is>
      </c>
      <c r="P1875" t="n">
        <v>0</v>
      </c>
      <c r="Q1875" t="n">
        <v>349.16</v>
      </c>
      <c r="R1875" t="n">
        <v>0</v>
      </c>
      <c r="S1875" t="n">
        <v>23.05</v>
      </c>
      <c r="T1875" t="n">
        <v>0</v>
      </c>
      <c r="U1875" t="n">
        <v>372.21</v>
      </c>
      <c r="X1875" t="inlineStr">
        <is>
          <t>aafc-aac</t>
        </is>
      </c>
      <c r="Y1875" t="inlineStr">
        <is>
          <t>Agriculture and Agri-Food Canada | Agriculture et Agroalimentaire Canada</t>
        </is>
      </c>
    </row>
    <row r="1876">
      <c r="A1876" t="inlineStr">
        <is>
          <t>T-2022-P9-0021</t>
        </is>
      </c>
      <c r="B1876" t="inlineStr">
        <is>
          <t>SLE</t>
        </is>
      </c>
      <c r="C1876" t="inlineStr">
        <is>
          <t>Assistant Deputy Minister, Corporate Management Branch</t>
        </is>
      </c>
      <c r="D1876" t="inlineStr">
        <is>
          <t>Sous-ministre adjointe, Direction générale de la gestion intégrée</t>
        </is>
      </c>
      <c r="E1876" t="inlineStr">
        <is>
          <t>Marie-Claude Guérard</t>
        </is>
      </c>
      <c r="F1876" t="inlineStr">
        <is>
          <t>Meetings in Ottawa</t>
        </is>
      </c>
      <c r="G1876" t="inlineStr">
        <is>
          <t>Rencontres à Ottawa</t>
        </is>
      </c>
      <c r="H1876" s="1" t="n">
        <v>44894</v>
      </c>
      <c r="I1876" s="1" t="n">
        <v>44894</v>
      </c>
      <c r="J1876" t="inlineStr">
        <is>
          <t>Ottawa (Ontario) Canada</t>
        </is>
      </c>
      <c r="K1876" t="inlineStr">
        <is>
          <t>Ottawa (Ontario) Canada</t>
        </is>
      </c>
      <c r="P1876" t="n">
        <v>0</v>
      </c>
      <c r="Q1876" t="n">
        <v>295.7</v>
      </c>
      <c r="R1876" t="n">
        <v>0</v>
      </c>
      <c r="S1876" t="n">
        <v>79.65000000000001</v>
      </c>
      <c r="T1876" t="n">
        <v>0</v>
      </c>
      <c r="U1876" t="n">
        <v>375.35</v>
      </c>
      <c r="X1876" t="inlineStr">
        <is>
          <t>aafc-aac</t>
        </is>
      </c>
      <c r="Y1876" t="inlineStr">
        <is>
          <t>Agriculture and Agri-Food Canada | Agriculture et Agroalimentaire Canada</t>
        </is>
      </c>
    </row>
    <row r="1877">
      <c r="A1877" t="inlineStr">
        <is>
          <t>T-2022-P9-0022</t>
        </is>
      </c>
      <c r="B1877" t="inlineStr">
        <is>
          <t>SLE</t>
        </is>
      </c>
      <c r="C1877" t="inlineStr">
        <is>
          <t>Assistant Deputy Minister, Corporate Management Branch</t>
        </is>
      </c>
      <c r="D1877" t="inlineStr">
        <is>
          <t>Sous-ministre adjointe, Direction générale de la gestion intégrée</t>
        </is>
      </c>
      <c r="E1877" t="inlineStr">
        <is>
          <t>Marie-Claude Guérard</t>
        </is>
      </c>
      <c r="F1877" t="inlineStr">
        <is>
          <t>Meetings in Ottawa</t>
        </is>
      </c>
      <c r="G1877" t="inlineStr">
        <is>
          <t>Rencontres à Ottawa</t>
        </is>
      </c>
      <c r="H1877" s="1" t="n">
        <v>44902</v>
      </c>
      <c r="I1877" s="1" t="n">
        <v>44903</v>
      </c>
      <c r="J1877" t="inlineStr">
        <is>
          <t>Ottawa (Ontario) Canada</t>
        </is>
      </c>
      <c r="K1877" t="inlineStr">
        <is>
          <t>Ottawa (Ontario) Canada</t>
        </is>
      </c>
      <c r="P1877" t="n">
        <v>0</v>
      </c>
      <c r="Q1877" t="n">
        <v>921.24</v>
      </c>
      <c r="R1877" t="n">
        <v>453.74</v>
      </c>
      <c r="S1877" t="n">
        <v>160.1</v>
      </c>
      <c r="T1877" t="n">
        <v>0</v>
      </c>
      <c r="U1877" t="n">
        <v>1535.08</v>
      </c>
      <c r="X1877" t="inlineStr">
        <is>
          <t>aafc-aac</t>
        </is>
      </c>
      <c r="Y1877" t="inlineStr">
        <is>
          <t>Agriculture and Agri-Food Canada | Agriculture et Agroalimentaire Canada</t>
        </is>
      </c>
    </row>
    <row r="1878">
      <c r="A1878" t="inlineStr">
        <is>
          <t>T-2022-P9-0023</t>
        </is>
      </c>
      <c r="B1878" t="inlineStr">
        <is>
          <t>SLE</t>
        </is>
      </c>
      <c r="C1878" t="inlineStr">
        <is>
          <t>Assistant Deputy Minister, Corporate Management Branch</t>
        </is>
      </c>
      <c r="D1878" t="inlineStr">
        <is>
          <t>Sous-ministre adjointe, Direction générale de la gestion intégrée</t>
        </is>
      </c>
      <c r="E1878" t="inlineStr">
        <is>
          <t>Marie-Claude Guérard</t>
        </is>
      </c>
      <c r="F1878" t="inlineStr">
        <is>
          <t>Meetings in Ottawa</t>
        </is>
      </c>
      <c r="G1878" t="inlineStr">
        <is>
          <t>Rencontres à Ottawa</t>
        </is>
      </c>
      <c r="H1878" s="1" t="n">
        <v>44907</v>
      </c>
      <c r="I1878" s="1" t="n">
        <v>44910</v>
      </c>
      <c r="J1878" t="inlineStr">
        <is>
          <t>Ottawa (Ontario) Canada</t>
        </is>
      </c>
      <c r="K1878" t="inlineStr">
        <is>
          <t>Ottawa (Ontario) Canada</t>
        </is>
      </c>
      <c r="P1878" t="n">
        <v>0</v>
      </c>
      <c r="Q1878" t="n">
        <v>1266.38</v>
      </c>
      <c r="R1878" t="n">
        <v>935.4400000000001</v>
      </c>
      <c r="S1878" t="n">
        <v>410.1</v>
      </c>
      <c r="T1878" t="n">
        <v>0</v>
      </c>
      <c r="U1878" t="n">
        <v>2611.92</v>
      </c>
      <c r="X1878" t="inlineStr">
        <is>
          <t>aafc-aac</t>
        </is>
      </c>
      <c r="Y1878" t="inlineStr">
        <is>
          <t>Agriculture and Agri-Food Canada | Agriculture et Agroalimentaire Canada</t>
        </is>
      </c>
    </row>
    <row r="1879">
      <c r="A1879" t="inlineStr">
        <is>
          <t>T-2022-P9-0024</t>
        </is>
      </c>
      <c r="B1879" t="inlineStr">
        <is>
          <t>SLE</t>
        </is>
      </c>
      <c r="C1879" t="inlineStr">
        <is>
          <t xml:space="preserve">Assistant Deputy Minister, Public Affairs Branch </t>
        </is>
      </c>
      <c r="D1879" t="inlineStr">
        <is>
          <t xml:space="preserve">Sous-ministre adjointe, Direction générale des affaires publiques </t>
        </is>
      </c>
      <c r="E1879" t="inlineStr">
        <is>
          <t>Mary Dila</t>
        </is>
      </c>
      <c r="F1879" t="inlineStr">
        <is>
          <t>Attend the Winter Royal Fair</t>
        </is>
      </c>
      <c r="G1879" t="inlineStr">
        <is>
          <t>Participez à la foire royale d'hiver</t>
        </is>
      </c>
      <c r="H1879" s="1" t="n">
        <v>44874</v>
      </c>
      <c r="I1879" s="1" t="n">
        <v>44877</v>
      </c>
      <c r="J1879" t="inlineStr">
        <is>
          <t xml:space="preserve">Toronto (Ontario) Canada </t>
        </is>
      </c>
      <c r="K1879" t="inlineStr">
        <is>
          <t xml:space="preserve">Toronto (Ontario) Canada </t>
        </is>
      </c>
      <c r="P1879" t="n">
        <v>0</v>
      </c>
      <c r="Q1879" t="n">
        <v>455.37</v>
      </c>
      <c r="R1879" t="n">
        <v>0</v>
      </c>
      <c r="S1879" t="n">
        <v>274.1</v>
      </c>
      <c r="T1879" t="n">
        <v>0</v>
      </c>
      <c r="U1879" t="n">
        <v>729.47</v>
      </c>
      <c r="X1879" t="inlineStr">
        <is>
          <t>aafc-aac</t>
        </is>
      </c>
      <c r="Y1879" t="inlineStr">
        <is>
          <t>Agriculture and Agri-Food Canada | Agriculture et Agroalimentaire Canada</t>
        </is>
      </c>
    </row>
    <row r="1880">
      <c r="A1880" t="inlineStr">
        <is>
          <t>T-2022-P9-0025</t>
        </is>
      </c>
      <c r="B1880" t="inlineStr">
        <is>
          <t>SLE</t>
        </is>
      </c>
      <c r="C1880" t="inlineStr">
        <is>
          <t>Assistant Deputy Minister, Market and Industry Services Branch</t>
        </is>
      </c>
      <c r="D1880" t="inlineStr">
        <is>
          <t>Sous-ministre adjoint, Direction générale des services à l'industrie et aux marchés</t>
        </is>
      </c>
      <c r="E1880" t="inlineStr">
        <is>
          <t>Tom Rosser</t>
        </is>
      </c>
      <c r="F1880" t="inlineStr">
        <is>
          <t>Railway fare to and from the Canadian Beverage Association 'Beverage Day on the Hill' event.</t>
        </is>
      </c>
      <c r="G1880" t="inlineStr">
        <is>
          <t>Tarif ferroviaire à destination et en provenance de l’événement « Journée des boissons sur la Colline » de l’Association canadienne des boissons.</t>
        </is>
      </c>
      <c r="H1880" s="1" t="n">
        <v>44860</v>
      </c>
      <c r="I1880" s="1" t="n">
        <v>44860</v>
      </c>
      <c r="J1880" t="inlineStr">
        <is>
          <t>Ottawa (Ontario) Canada</t>
        </is>
      </c>
      <c r="K1880" t="inlineStr">
        <is>
          <t>Ottawa (Ontario) Canada</t>
        </is>
      </c>
      <c r="P1880" t="n">
        <v>0</v>
      </c>
      <c r="Q1880" t="n">
        <v>7.4</v>
      </c>
      <c r="R1880" t="n">
        <v>0</v>
      </c>
      <c r="S1880" t="n">
        <v>0</v>
      </c>
      <c r="T1880" t="n">
        <v>0</v>
      </c>
      <c r="U1880" t="n">
        <v>7.4</v>
      </c>
      <c r="X1880" t="inlineStr">
        <is>
          <t>aafc-aac</t>
        </is>
      </c>
      <c r="Y1880" t="inlineStr">
        <is>
          <t>Agriculture and Agri-Food Canada | Agriculture et Agroalimentaire Canada</t>
        </is>
      </c>
    </row>
    <row r="1881">
      <c r="A1881" t="inlineStr">
        <is>
          <t>T-2022-P9-0026</t>
        </is>
      </c>
      <c r="B1881" t="inlineStr">
        <is>
          <t>SLE</t>
        </is>
      </c>
      <c r="C1881" t="inlineStr">
        <is>
          <t>Assistant Deputy Minister, Market and Industry Services Branch</t>
        </is>
      </c>
      <c r="D1881" t="inlineStr">
        <is>
          <t>Sous-ministre adjoint, Direction générale des services à l'industrie et aux marchés</t>
        </is>
      </c>
      <c r="E1881" t="inlineStr">
        <is>
          <t>Tom Rosser</t>
        </is>
      </c>
      <c r="F1881" t="inlineStr">
        <is>
          <t>Taxi fare to the 'Champions Appreciation Evening' event hosted by the National Capital Region Young Professionals Network.</t>
        </is>
      </c>
      <c r="G1881" t="inlineStr">
        <is>
          <t>Frais de du taxi pour se rendre à la soirée d’appréciation des champions organisée par le Réseau des jeunes professionnels de la région de la capitale nationale.</t>
        </is>
      </c>
      <c r="H1881" s="1" t="n">
        <v>44874</v>
      </c>
      <c r="I1881" s="1" t="n">
        <v>44874</v>
      </c>
      <c r="J1881" t="inlineStr">
        <is>
          <t>Ottawa (Ontario) Canada</t>
        </is>
      </c>
      <c r="K1881" t="inlineStr">
        <is>
          <t>Ottawa (Ontario) Canada</t>
        </is>
      </c>
      <c r="P1881" t="n">
        <v>0</v>
      </c>
      <c r="Q1881" t="n">
        <v>20</v>
      </c>
      <c r="R1881" t="n">
        <v>0</v>
      </c>
      <c r="S1881" t="n">
        <v>0</v>
      </c>
      <c r="T1881" t="n">
        <v>0</v>
      </c>
      <c r="U1881" t="n">
        <v>20</v>
      </c>
      <c r="X1881" t="inlineStr">
        <is>
          <t>aafc-aac</t>
        </is>
      </c>
      <c r="Y1881" t="inlineStr">
        <is>
          <t>Agriculture and Agri-Food Canada | Agriculture et Agroalimentaire Canada</t>
        </is>
      </c>
    </row>
    <row r="1882">
      <c r="A1882" t="inlineStr">
        <is>
          <t>T-2022-P9-0027</t>
        </is>
      </c>
      <c r="B1882" t="inlineStr">
        <is>
          <t>SLE</t>
        </is>
      </c>
      <c r="C1882" t="inlineStr">
        <is>
          <t>Assistant Deputy Minister, Market and Industry Services Branch</t>
        </is>
      </c>
      <c r="D1882" t="inlineStr">
        <is>
          <t>Sous-ministre adjoint, Direction générale des services à l'industrie et aux marchés</t>
        </is>
      </c>
      <c r="E1882" t="inlineStr">
        <is>
          <t>Tom Rosser</t>
        </is>
      </c>
      <c r="F1882" t="inlineStr">
        <is>
          <t>Parking fee during the 'Advanced Agricultural Leadership Program Class 19' event. Tom was a speaker for this event.</t>
        </is>
      </c>
      <c r="G1882" t="inlineStr">
        <is>
          <t>Frais de stationnement pendant l’événement «Programme avancé de leadership agricole classe 19». Tom était un conférencier pour cet événement.</t>
        </is>
      </c>
      <c r="H1882" s="1" t="n">
        <v>44879</v>
      </c>
      <c r="I1882" s="1" t="n">
        <v>44879</v>
      </c>
      <c r="J1882" t="inlineStr">
        <is>
          <t>Ottawa (Ontario) Canada</t>
        </is>
      </c>
      <c r="K1882" t="inlineStr">
        <is>
          <t>Ottawa (Ontario) Canada</t>
        </is>
      </c>
      <c r="P1882" t="n">
        <v>0</v>
      </c>
      <c r="Q1882" t="n">
        <v>14</v>
      </c>
      <c r="R1882" t="n">
        <v>0</v>
      </c>
      <c r="S1882" t="n">
        <v>0</v>
      </c>
      <c r="T1882" t="n">
        <v>0</v>
      </c>
      <c r="U1882" t="n">
        <v>14</v>
      </c>
      <c r="X1882" t="inlineStr">
        <is>
          <t>aafc-aac</t>
        </is>
      </c>
      <c r="Y1882" t="inlineStr">
        <is>
          <t>Agriculture and Agri-Food Canada | Agriculture et Agroalimentaire Canada</t>
        </is>
      </c>
    </row>
    <row r="1883">
      <c r="A1883" t="inlineStr">
        <is>
          <t>T-2022-P9-0028</t>
        </is>
      </c>
      <c r="B1883" t="inlineStr">
        <is>
          <t>SLE</t>
        </is>
      </c>
      <c r="C1883" t="inlineStr">
        <is>
          <t>Assistant Deputy Minister, Market and Industry Services Branch</t>
        </is>
      </c>
      <c r="D1883" t="inlineStr">
        <is>
          <t>Sous-ministre adjoint, Direction générale des services à l'industrie et aux marchés</t>
        </is>
      </c>
      <c r="E1883" t="inlineStr">
        <is>
          <t>Tom Rosser</t>
        </is>
      </c>
      <c r="F1883" t="inlineStr">
        <is>
          <t xml:space="preserve">Participate in a branch strategic planning session. </t>
        </is>
      </c>
      <c r="G1883" t="inlineStr">
        <is>
          <t>Participer à une séance de planification stratégique de la Direction générale.</t>
        </is>
      </c>
      <c r="H1883" s="1" t="n">
        <v>44872</v>
      </c>
      <c r="I1883" s="1" t="n">
        <v>44874</v>
      </c>
      <c r="J1883" t="inlineStr">
        <is>
          <t>Québec (Quebec) Canada</t>
        </is>
      </c>
      <c r="K1883" t="inlineStr">
        <is>
          <t>Québec (Québec) Canada</t>
        </is>
      </c>
      <c r="P1883" t="n">
        <v>0</v>
      </c>
      <c r="Q1883" t="n">
        <v>569.63</v>
      </c>
      <c r="R1883" t="n">
        <v>0</v>
      </c>
      <c r="S1883" t="n">
        <v>233.75</v>
      </c>
      <c r="T1883" t="n">
        <v>0</v>
      </c>
      <c r="U1883" t="n">
        <v>803.38</v>
      </c>
      <c r="X1883" t="inlineStr">
        <is>
          <t>aafc-aac</t>
        </is>
      </c>
      <c r="Y1883" t="inlineStr">
        <is>
          <t>Agriculture and Agri-Food Canada | Agriculture et Agroalimentaire Canada</t>
        </is>
      </c>
    </row>
    <row r="1884">
      <c r="A1884" t="inlineStr">
        <is>
          <t>T-2022-P9-0029</t>
        </is>
      </c>
      <c r="B1884" t="inlineStr">
        <is>
          <t>SLE</t>
        </is>
      </c>
      <c r="C1884" t="inlineStr">
        <is>
          <t>Assistant Deputy Minister, Market and Industry Services Branch</t>
        </is>
      </c>
      <c r="D1884" t="inlineStr">
        <is>
          <t>Sous-ministre adjoint, Direction générale des services à l'industrie et aux marchés</t>
        </is>
      </c>
      <c r="E1884" t="inlineStr">
        <is>
          <t>Tom Rosser</t>
        </is>
      </c>
      <c r="F1884" t="inlineStr">
        <is>
          <t xml:space="preserve">Participate in the 2022 Canadian Hemp Trade Alliance National Hemp Conference as a speaker and participate in regional outreach. </t>
        </is>
      </c>
      <c r="G1884" t="inlineStr">
        <is>
          <t>Participer à la Conférence nationale sur l’Alliance commerciale canadienne du chanvre 2022 en tant que conférencier et participer à la sensibilisation régionale.</t>
        </is>
      </c>
      <c r="H1884" s="1" t="n">
        <v>44880</v>
      </c>
      <c r="I1884" s="1" t="n">
        <v>44882</v>
      </c>
      <c r="J1884" t="inlineStr">
        <is>
          <t>Saskatoon (Saskatchewan) Canada</t>
        </is>
      </c>
      <c r="K1884" t="inlineStr">
        <is>
          <t>Saskatoon (Saskatchewan) Canada</t>
        </is>
      </c>
      <c r="P1884" t="n">
        <v>1821.53</v>
      </c>
      <c r="Q1884" t="n">
        <v>102.13</v>
      </c>
      <c r="R1884" t="n">
        <v>386.42</v>
      </c>
      <c r="S1884" t="n">
        <v>302.65</v>
      </c>
      <c r="T1884" t="n">
        <v>18.37</v>
      </c>
      <c r="U1884" t="n">
        <v>2631.1</v>
      </c>
      <c r="X1884" t="inlineStr">
        <is>
          <t>aafc-aac</t>
        </is>
      </c>
      <c r="Y1884" t="inlineStr">
        <is>
          <t>Agriculture and Agri-Food Canada | Agriculture et Agroalimentaire Canada</t>
        </is>
      </c>
    </row>
    <row r="1885">
      <c r="A1885" t="inlineStr">
        <is>
          <t>T-2022-P9-0030</t>
        </is>
      </c>
      <c r="B1885" t="inlineStr">
        <is>
          <t>SLE</t>
        </is>
      </c>
      <c r="C1885" t="inlineStr">
        <is>
          <t>Assistant Deputy Minister, Market and Industry Services Branch</t>
        </is>
      </c>
      <c r="D1885" t="inlineStr">
        <is>
          <t>Sous-ministre adjoint, Direction générale des services à l'industrie et aux marchés</t>
        </is>
      </c>
      <c r="E1885" t="inlineStr">
        <is>
          <t>Tom Rosser</t>
        </is>
      </c>
      <c r="F1885" t="inlineStr">
        <is>
          <t xml:space="preserve">Participate in the Grains CEO meeting and engage with AAFC regional staff as well. </t>
        </is>
      </c>
      <c r="G1885" t="inlineStr">
        <is>
          <t>Participer à la réunion du chef de la direction du secteur des grains et collaborer avec le personnel régional d’AAC.</t>
        </is>
      </c>
      <c r="H1885" s="1" t="n">
        <v>44889</v>
      </c>
      <c r="I1885" s="1" t="n">
        <v>44890</v>
      </c>
      <c r="J1885" t="inlineStr">
        <is>
          <t>Winnipeg (Manitoba) Canada</t>
        </is>
      </c>
      <c r="K1885" t="inlineStr">
        <is>
          <t>Winnipeg (Manitoba) Canada</t>
        </is>
      </c>
      <c r="P1885" t="n">
        <v>1598.53</v>
      </c>
      <c r="Q1885" t="n">
        <v>131.19</v>
      </c>
      <c r="R1885" t="n">
        <v>262.77</v>
      </c>
      <c r="S1885" t="n">
        <v>193.65</v>
      </c>
      <c r="T1885" t="n">
        <v>0</v>
      </c>
      <c r="U1885" t="n">
        <v>2186.14</v>
      </c>
      <c r="X1885" t="inlineStr">
        <is>
          <t>aafc-aac</t>
        </is>
      </c>
      <c r="Y1885" t="inlineStr">
        <is>
          <t>Agriculture and Agri-Food Canada | Agriculture et Agroalimentaire Canada</t>
        </is>
      </c>
    </row>
    <row r="1886">
      <c r="A1886" t="inlineStr">
        <is>
          <t>T-2022-P10-0001</t>
        </is>
      </c>
      <c r="B1886" t="inlineStr">
        <is>
          <t>MPSES</t>
        </is>
      </c>
      <c r="C1886" t="inlineStr">
        <is>
          <t>Minister</t>
        </is>
      </c>
      <c r="D1886" t="inlineStr">
        <is>
          <t>Ministre</t>
        </is>
      </c>
      <c r="E1886" t="inlineStr">
        <is>
          <t>Marie-Claude Bibeau</t>
        </is>
      </c>
      <c r="F1886" t="inlineStr">
        <is>
          <t>To participate in the Union des producteurs agricoles Annual General Congress meeting</t>
        </is>
      </c>
      <c r="G1886" t="inlineStr">
        <is>
          <t>Participer au général annuel de l'Union des producteurs agricoles.</t>
        </is>
      </c>
      <c r="H1886" s="1" t="n">
        <v>44894</v>
      </c>
      <c r="I1886" s="1" t="n">
        <v>44895</v>
      </c>
      <c r="J1886" t="inlineStr">
        <is>
          <t>Québec (Quebec) Canada</t>
        </is>
      </c>
      <c r="K1886" t="inlineStr">
        <is>
          <t>Québec (Québec) Canada</t>
        </is>
      </c>
      <c r="P1886" t="n">
        <v>0</v>
      </c>
      <c r="Q1886" t="n">
        <v>0</v>
      </c>
      <c r="R1886" t="n">
        <v>159.46</v>
      </c>
      <c r="S1886" t="n">
        <v>159.05</v>
      </c>
      <c r="T1886" t="n">
        <v>0</v>
      </c>
      <c r="U1886" t="n">
        <v>318.51</v>
      </c>
      <c r="V1886" t="inlineStr">
        <is>
          <t>No Conference Fees</t>
        </is>
      </c>
      <c r="W1886" t="inlineStr">
        <is>
          <t>Pas de frais de conférence</t>
        </is>
      </c>
      <c r="X1886" t="inlineStr">
        <is>
          <t>aafc-aac</t>
        </is>
      </c>
      <c r="Y1886" t="inlineStr">
        <is>
          <t>Agriculture and Agri-Food Canada | Agriculture et Agroalimentaire Canada</t>
        </is>
      </c>
    </row>
    <row r="1887">
      <c r="A1887" t="inlineStr">
        <is>
          <t>T-2022-P10-0002</t>
        </is>
      </c>
      <c r="B1887" t="inlineStr">
        <is>
          <t>MPSES</t>
        </is>
      </c>
      <c r="C1887" t="inlineStr">
        <is>
          <t>Policy Advisor</t>
        </is>
      </c>
      <c r="D1887" t="inlineStr">
        <is>
          <t>Conseiller en politiques</t>
        </is>
      </c>
      <c r="E1887" t="inlineStr">
        <is>
          <t>Abed Harb</t>
        </is>
      </c>
      <c r="F1887" t="inlineStr">
        <is>
          <t xml:space="preserve">To support the Minister at Agribition as well as to make an Indo-Pacific Strategy announcement </t>
        </is>
      </c>
      <c r="G1887" t="inlineStr">
        <is>
          <t>Pour soutenir la ministre à Agribition et pour faire une annonce sur la stratégie indo-pacifique</t>
        </is>
      </c>
      <c r="H1887" s="1" t="n">
        <v>44897</v>
      </c>
      <c r="I1887" s="1" t="n">
        <v>44899</v>
      </c>
      <c r="J1887" t="inlineStr">
        <is>
          <t>Regina (Saskatchewan) Canada</t>
        </is>
      </c>
      <c r="K1887" t="inlineStr">
        <is>
          <t>Regina (Saskatchewan) Canada</t>
        </is>
      </c>
      <c r="P1887" t="n">
        <v>947.48</v>
      </c>
      <c r="Q1887" t="n">
        <v>101.78</v>
      </c>
      <c r="R1887" t="n">
        <v>317.84</v>
      </c>
      <c r="S1887" t="n">
        <v>135.9</v>
      </c>
      <c r="T1887" t="n">
        <v>0</v>
      </c>
      <c r="U1887" t="n">
        <v>1503</v>
      </c>
      <c r="V1887" t="inlineStr">
        <is>
          <t>No conference fee.</t>
        </is>
      </c>
      <c r="W1887" t="inlineStr">
        <is>
          <t>Pas de frais de conférence</t>
        </is>
      </c>
      <c r="X1887" t="inlineStr">
        <is>
          <t>aafc-aac</t>
        </is>
      </c>
      <c r="Y1887" t="inlineStr">
        <is>
          <t>Agriculture and Agri-Food Canada | Agriculture et Agroalimentaire Canada</t>
        </is>
      </c>
    </row>
    <row r="1888">
      <c r="A1888" t="inlineStr">
        <is>
          <t>T-2022-P10-0003</t>
        </is>
      </c>
      <c r="B1888" t="inlineStr">
        <is>
          <t>MPSES</t>
        </is>
      </c>
      <c r="C1888" t="inlineStr">
        <is>
          <t>Director of Policy</t>
        </is>
      </c>
      <c r="D1888" t="inlineStr">
        <is>
          <t>Directeur en politiques</t>
        </is>
      </c>
      <c r="E1888" t="inlineStr">
        <is>
          <t>Emerson Vanderberg</t>
        </is>
      </c>
      <c r="F1888" t="inlineStr">
        <is>
          <t>To support the Minister to attend United Nations Biodiversity Conference (COP15)</t>
        </is>
      </c>
      <c r="G1888" t="inlineStr">
        <is>
          <t>Soutenir la participation de la ministre à la conférence des Nations unies sur la biodiversité (COP15).</t>
        </is>
      </c>
      <c r="H1888" s="1" t="n">
        <v>44910</v>
      </c>
      <c r="I1888" s="1" t="n">
        <v>44911</v>
      </c>
      <c r="J1888" t="inlineStr">
        <is>
          <t>Montréal (Quebec) Canada</t>
        </is>
      </c>
      <c r="K1888" t="inlineStr">
        <is>
          <t>Montréal (Québec) Canada</t>
        </is>
      </c>
      <c r="P1888" t="n">
        <v>0</v>
      </c>
      <c r="Q1888" t="n">
        <v>145.68</v>
      </c>
      <c r="R1888" t="n">
        <v>184.45</v>
      </c>
      <c r="S1888" t="n">
        <v>45.85</v>
      </c>
      <c r="T1888" t="n">
        <v>0</v>
      </c>
      <c r="U1888" t="n">
        <v>375.98</v>
      </c>
      <c r="V1888" t="inlineStr">
        <is>
          <t>No Conference Fees</t>
        </is>
      </c>
      <c r="W1888" t="inlineStr">
        <is>
          <t>Pas de frais de conférence</t>
        </is>
      </c>
      <c r="X1888" t="inlineStr">
        <is>
          <t>aafc-aac</t>
        </is>
      </c>
      <c r="Y1888" t="inlineStr">
        <is>
          <t>Agriculture and Agri-Food Canada | Agriculture et Agroalimentaire Canada</t>
        </is>
      </c>
    </row>
    <row r="1889">
      <c r="A1889" t="inlineStr">
        <is>
          <t>T-2022-P10-0004</t>
        </is>
      </c>
      <c r="B1889" t="inlineStr">
        <is>
          <t>MPSES</t>
        </is>
      </c>
      <c r="C1889" t="inlineStr">
        <is>
          <t>Press Secretary</t>
        </is>
      </c>
      <c r="D1889" t="inlineStr">
        <is>
          <t>Attachée de presse</t>
        </is>
      </c>
      <c r="E1889" t="inlineStr">
        <is>
          <t>Marianne Dandurand</t>
        </is>
      </c>
      <c r="F1889" t="inlineStr">
        <is>
          <t xml:space="preserve">To support the Minister at Agribition as well as to make an Indo-Pacific Strategy announcement </t>
        </is>
      </c>
      <c r="G1889" t="inlineStr">
        <is>
          <t>Pour soutenir la ministre à Agribition et pour faire une annonce sur la stratégie indo-pacifique</t>
        </is>
      </c>
      <c r="H1889" s="1" t="n">
        <v>44897</v>
      </c>
      <c r="I1889" s="1" t="n">
        <v>44899</v>
      </c>
      <c r="J1889" t="inlineStr">
        <is>
          <t>Regina (Saskatchewan) Canada</t>
        </is>
      </c>
      <c r="K1889" t="inlineStr">
        <is>
          <t>Regina (Sasktachewan) Canada</t>
        </is>
      </c>
      <c r="P1889" t="n">
        <v>1110.18</v>
      </c>
      <c r="Q1889" t="n">
        <v>24.15</v>
      </c>
      <c r="R1889" t="n">
        <v>317.84</v>
      </c>
      <c r="S1889" t="n">
        <v>204.9</v>
      </c>
      <c r="T1889" t="n">
        <v>0</v>
      </c>
      <c r="U1889" t="n">
        <v>1657.07</v>
      </c>
      <c r="V1889" t="inlineStr">
        <is>
          <t>No Conference Fees</t>
        </is>
      </c>
      <c r="W1889" t="inlineStr">
        <is>
          <t>Pas de frais de conférence</t>
        </is>
      </c>
      <c r="X1889" t="inlineStr">
        <is>
          <t>aafc-aac</t>
        </is>
      </c>
      <c r="Y1889" t="inlineStr">
        <is>
          <t>Agriculture and Agri-Food Canada | Agriculture et Agroalimentaire Canada</t>
        </is>
      </c>
    </row>
    <row r="1890">
      <c r="A1890" t="inlineStr">
        <is>
          <t>T-2022-P10-0005</t>
        </is>
      </c>
      <c r="B1890" t="inlineStr">
        <is>
          <t>MPSES</t>
        </is>
      </c>
      <c r="C1890" t="inlineStr">
        <is>
          <t>Driver</t>
        </is>
      </c>
      <c r="D1890" t="inlineStr">
        <is>
          <t>Chauffeur</t>
        </is>
      </c>
      <c r="E1890" t="inlineStr">
        <is>
          <t>Michel Gendreau</t>
        </is>
      </c>
      <c r="F1890" t="inlineStr">
        <is>
          <t>Drive the Minister from Ottawa to her riding</t>
        </is>
      </c>
      <c r="G1890" t="inlineStr">
        <is>
          <t>Conduire la ministre d'Ottawa à sa circonscription</t>
        </is>
      </c>
      <c r="H1890" s="1" t="n">
        <v>44903</v>
      </c>
      <c r="I1890" s="1" t="n">
        <v>44903</v>
      </c>
      <c r="J1890" t="inlineStr">
        <is>
          <t>Sherbrooke (Quebec) Canada</t>
        </is>
      </c>
      <c r="K1890" t="inlineStr">
        <is>
          <t>Sherbrooke (Québec) Canada</t>
        </is>
      </c>
      <c r="P1890" t="n">
        <v>0</v>
      </c>
      <c r="Q1890" t="n">
        <v>6</v>
      </c>
      <c r="R1890" t="n">
        <v>0</v>
      </c>
      <c r="S1890" t="n">
        <v>56.6</v>
      </c>
      <c r="T1890" t="n">
        <v>0</v>
      </c>
      <c r="U1890" t="n">
        <v>62.6</v>
      </c>
      <c r="V1890" t="inlineStr">
        <is>
          <t>No conference fee</t>
        </is>
      </c>
      <c r="W1890" t="inlineStr">
        <is>
          <t>Pas de frais de conférence</t>
        </is>
      </c>
      <c r="X1890" t="inlineStr">
        <is>
          <t>aafc-aac</t>
        </is>
      </c>
      <c r="Y1890" t="inlineStr">
        <is>
          <t>Agriculture and Agri-Food Canada | Agriculture et Agroalimentaire Canada</t>
        </is>
      </c>
    </row>
    <row r="1891">
      <c r="A1891" t="inlineStr">
        <is>
          <t>T-2022-P10-0006</t>
        </is>
      </c>
      <c r="B1891" t="inlineStr">
        <is>
          <t>MPSES</t>
        </is>
      </c>
      <c r="C1891" t="inlineStr">
        <is>
          <t>Driver</t>
        </is>
      </c>
      <c r="D1891" t="inlineStr">
        <is>
          <t>Chauffeur</t>
        </is>
      </c>
      <c r="E1891" t="inlineStr">
        <is>
          <t>Michel Gendreau</t>
        </is>
      </c>
      <c r="F1891" t="inlineStr">
        <is>
          <t>Drive the Minister from her riding to Ottawa</t>
        </is>
      </c>
      <c r="G1891" t="inlineStr">
        <is>
          <t>Conduire la ministre de sa circonscription à Ottawa</t>
        </is>
      </c>
      <c r="H1891" s="1" t="n">
        <v>44906</v>
      </c>
      <c r="I1891" s="1" t="n">
        <v>44907</v>
      </c>
      <c r="J1891" t="inlineStr">
        <is>
          <t>Ottawa (Ontario) Canada</t>
        </is>
      </c>
      <c r="K1891" t="inlineStr">
        <is>
          <t>Ottawa (Ontario) Canada</t>
        </is>
      </c>
      <c r="P1891" t="n">
        <v>0</v>
      </c>
      <c r="Q1891" t="n">
        <v>6</v>
      </c>
      <c r="R1891" t="n">
        <v>121.38</v>
      </c>
      <c r="S1891" t="n">
        <v>79.40000000000001</v>
      </c>
      <c r="T1891" t="n">
        <v>0</v>
      </c>
      <c r="U1891" t="n">
        <v>206.78</v>
      </c>
      <c r="V1891" t="inlineStr">
        <is>
          <t>No conference fee</t>
        </is>
      </c>
      <c r="W1891" t="inlineStr">
        <is>
          <t>Pas de frais de conférence</t>
        </is>
      </c>
      <c r="X1891" t="inlineStr">
        <is>
          <t>aafc-aac</t>
        </is>
      </c>
      <c r="Y1891" t="inlineStr">
        <is>
          <t>Agriculture and Agri-Food Canada | Agriculture et Agroalimentaire Canada</t>
        </is>
      </c>
    </row>
    <row r="1892">
      <c r="A1892" t="inlineStr">
        <is>
          <t>T-2022-P10-0007</t>
        </is>
      </c>
      <c r="B1892" t="inlineStr">
        <is>
          <t>MPSES</t>
        </is>
      </c>
      <c r="C1892" t="inlineStr">
        <is>
          <t>Parliamentary Secretary</t>
        </is>
      </c>
      <c r="D1892" t="inlineStr">
        <is>
          <t>Secrétaire parlementaire</t>
        </is>
      </c>
      <c r="E1892" t="inlineStr">
        <is>
          <t>Francis Drouin</t>
        </is>
      </c>
      <c r="F1892" t="inlineStr">
        <is>
          <t>To attend a Manitoba and Ontario Outreach</t>
        </is>
      </c>
      <c r="G1892" t="inlineStr">
        <is>
          <t>Pour assister à un événement de sensibilisation au Manitoba et en Ontario</t>
        </is>
      </c>
      <c r="H1892" s="1" t="n">
        <v>44942</v>
      </c>
      <c r="I1892" s="1" t="n">
        <v>44944</v>
      </c>
      <c r="J1892" t="inlineStr">
        <is>
          <t>Winnipeg (Manitoba) Canada
Toronto (Ontario) Canada</t>
        </is>
      </c>
      <c r="K1892" t="inlineStr">
        <is>
          <t>Winnipeg (Manitoba) Canada
Toronto (Ontario) Canada</t>
        </is>
      </c>
      <c r="P1892" t="n">
        <v>1407.61</v>
      </c>
      <c r="Q1892" t="n">
        <v>74.75</v>
      </c>
      <c r="R1892" t="n">
        <v>421.55</v>
      </c>
      <c r="S1892" t="n">
        <v>102.2</v>
      </c>
      <c r="T1892" t="n">
        <v>0</v>
      </c>
      <c r="U1892" t="n">
        <v>2006.11</v>
      </c>
      <c r="V1892" t="inlineStr">
        <is>
          <t>No conference fee.</t>
        </is>
      </c>
      <c r="W1892" t="inlineStr">
        <is>
          <t>Pas de frais de conférence</t>
        </is>
      </c>
      <c r="X1892" t="inlineStr">
        <is>
          <t>aafc-aac</t>
        </is>
      </c>
      <c r="Y1892" t="inlineStr">
        <is>
          <t>Agriculture and Agri-Food Canada | Agriculture et Agroalimentaire Canada</t>
        </is>
      </c>
    </row>
    <row r="1893">
      <c r="A1893" t="inlineStr">
        <is>
          <t>T-2022-P10-0008</t>
        </is>
      </c>
      <c r="B1893" t="inlineStr">
        <is>
          <t>MPSES</t>
        </is>
      </c>
      <c r="C1893" t="inlineStr">
        <is>
          <t>Assistant to the Parliamentary Secretary</t>
        </is>
      </c>
      <c r="D1893" t="inlineStr">
        <is>
          <t>Adjoint au secrétaire parlementaire</t>
        </is>
      </c>
      <c r="E1893" t="inlineStr">
        <is>
          <t>Patrick Mangan</t>
        </is>
      </c>
      <c r="F1893" t="inlineStr">
        <is>
          <t>To support the Parliamentary Secretary at a Manitoba and Ontario Outreach</t>
        </is>
      </c>
      <c r="G1893" t="inlineStr">
        <is>
          <t>Soutenir le secrétaire parlementaire à un événement de sensibilisation au Manitoba et en Ontario</t>
        </is>
      </c>
      <c r="H1893" s="1" t="n">
        <v>44942</v>
      </c>
      <c r="I1893" s="1" t="n">
        <v>44944</v>
      </c>
      <c r="J1893" t="inlineStr">
        <is>
          <t>Winnipeg (Manitoba) Canada
Toronto (Ontario) Canada</t>
        </is>
      </c>
      <c r="K1893" t="inlineStr">
        <is>
          <t>Winnipeg (Manitoba) Canada
Toronto (Ontario) Canada</t>
        </is>
      </c>
      <c r="P1893" t="n">
        <v>1397.14</v>
      </c>
      <c r="Q1893" t="n">
        <v>42.65</v>
      </c>
      <c r="R1893" t="n">
        <v>421.55</v>
      </c>
      <c r="S1893" t="n">
        <v>102.2</v>
      </c>
      <c r="T1893" t="n">
        <v>0</v>
      </c>
      <c r="U1893" t="n">
        <v>1963.54</v>
      </c>
      <c r="V1893" t="inlineStr">
        <is>
          <t>No conference fee.</t>
        </is>
      </c>
      <c r="W1893" t="inlineStr">
        <is>
          <t>Pas de frais de conférence</t>
        </is>
      </c>
      <c r="X1893" t="inlineStr">
        <is>
          <t>aafc-aac</t>
        </is>
      </c>
      <c r="Y1893" t="inlineStr">
        <is>
          <t>Agriculture and Agri-Food Canada | Agriculture et Agroalimentaire Canada</t>
        </is>
      </c>
    </row>
    <row r="1894">
      <c r="A1894" t="inlineStr">
        <is>
          <t>T-2022-P10-0009</t>
        </is>
      </c>
      <c r="B1894" t="inlineStr">
        <is>
          <t>MPSES</t>
        </is>
      </c>
      <c r="C1894" t="inlineStr">
        <is>
          <t>Deputy Minister</t>
        </is>
      </c>
      <c r="D1894" t="inlineStr">
        <is>
          <t>Sous-ministre</t>
        </is>
      </c>
      <c r="E1894" t="inlineStr">
        <is>
          <t>Chris Forbes</t>
        </is>
      </c>
      <c r="F1894" t="inlineStr">
        <is>
          <t>To attend a Deputy Minister Outreach and an Agriculture Roundtable organized by Agriculture and Agri-Food Canada</t>
        </is>
      </c>
      <c r="G1894" t="inlineStr">
        <is>
          <t>Assister à une séance de sensibilisation des sous-ministres et à une table ronde sur l'agriculture organisée par Agriculture et Agroalimentaire Canada</t>
        </is>
      </c>
      <c r="H1894" s="1" t="n">
        <v>44937</v>
      </c>
      <c r="I1894" s="1" t="n">
        <v>44939</v>
      </c>
      <c r="J1894" t="inlineStr">
        <is>
          <t>Edmonton (Alberta) Canada</t>
        </is>
      </c>
      <c r="K1894" t="inlineStr">
        <is>
          <t>Edmonton (Alberta) Canada</t>
        </is>
      </c>
      <c r="P1894" t="n">
        <v>1012.43</v>
      </c>
      <c r="Q1894" t="n">
        <v>143.3</v>
      </c>
      <c r="R1894" t="n">
        <v>334.56</v>
      </c>
      <c r="S1894" t="n">
        <v>182.1</v>
      </c>
      <c r="T1894" t="n">
        <v>0</v>
      </c>
      <c r="U1894" t="n">
        <v>1672.39</v>
      </c>
      <c r="V1894" t="inlineStr">
        <is>
          <t>No Conference Fees</t>
        </is>
      </c>
      <c r="W1894" t="inlineStr">
        <is>
          <t>Pas de frais de conférence</t>
        </is>
      </c>
      <c r="X1894" t="inlineStr">
        <is>
          <t>aafc-aac</t>
        </is>
      </c>
      <c r="Y1894" t="inlineStr">
        <is>
          <t>Agriculture and Agri-Food Canada | Agriculture et Agroalimentaire Canada</t>
        </is>
      </c>
    </row>
    <row r="1895">
      <c r="A1895" t="inlineStr">
        <is>
          <t>T-2022-P10-0010</t>
        </is>
      </c>
      <c r="B1895" t="inlineStr">
        <is>
          <t>MPSES</t>
        </is>
      </c>
      <c r="C1895" t="inlineStr">
        <is>
          <t>Corporate Secretary</t>
        </is>
      </c>
      <c r="D1895" t="inlineStr">
        <is>
          <t>Secrétaire générale</t>
        </is>
      </c>
      <c r="E1895" t="inlineStr">
        <is>
          <t>Tamara Abel</t>
        </is>
      </c>
      <c r="F1895" t="inlineStr">
        <is>
          <t>Operational activities</t>
        </is>
      </c>
      <c r="G1895" t="inlineStr">
        <is>
          <t>Activités opérationnelles</t>
        </is>
      </c>
      <c r="H1895" s="1" t="n">
        <v>44908</v>
      </c>
      <c r="I1895" s="1" t="n">
        <v>44911</v>
      </c>
      <c r="J1895" t="inlineStr">
        <is>
          <t>Ottawa (Ontario) Canada</t>
        </is>
      </c>
      <c r="K1895" t="inlineStr">
        <is>
          <t>Ottawa (Ontario) Canada</t>
        </is>
      </c>
      <c r="P1895" t="n">
        <v>1128.32</v>
      </c>
      <c r="Q1895" t="n">
        <v>253.97</v>
      </c>
      <c r="R1895" t="n">
        <v>772.11</v>
      </c>
      <c r="S1895" t="n">
        <v>399.6</v>
      </c>
      <c r="T1895" t="n">
        <v>0</v>
      </c>
      <c r="U1895" t="n">
        <v>2554</v>
      </c>
      <c r="V1895" t="inlineStr">
        <is>
          <t>No Conference Fees</t>
        </is>
      </c>
      <c r="W1895" t="inlineStr">
        <is>
          <t>Pas de frais de conférence</t>
        </is>
      </c>
      <c r="X1895" t="inlineStr">
        <is>
          <t>aafc-aac</t>
        </is>
      </c>
      <c r="Y1895" t="inlineStr">
        <is>
          <t>Agriculture and Agri-Food Canada | Agriculture et Agroalimentaire Canada</t>
        </is>
      </c>
    </row>
    <row r="1896">
      <c r="A1896" t="inlineStr">
        <is>
          <t>T-2022-P10-0011</t>
        </is>
      </c>
      <c r="B1896" t="inlineStr">
        <is>
          <t>MPSES</t>
        </is>
      </c>
      <c r="C1896" t="inlineStr">
        <is>
          <t>Corporate Secretary</t>
        </is>
      </c>
      <c r="D1896" t="inlineStr">
        <is>
          <t>Secrétaire générale</t>
        </is>
      </c>
      <c r="E1896" t="inlineStr">
        <is>
          <t>Tamara Abel</t>
        </is>
      </c>
      <c r="F1896" t="inlineStr">
        <is>
          <t>Operational activities</t>
        </is>
      </c>
      <c r="G1896" t="inlineStr">
        <is>
          <t>Activités opérationnelles</t>
        </is>
      </c>
      <c r="H1896" s="1" t="n">
        <v>44934</v>
      </c>
      <c r="I1896" s="1" t="n">
        <v>44939</v>
      </c>
      <c r="J1896" t="inlineStr">
        <is>
          <t>Ottawa (Ontario) Canada</t>
        </is>
      </c>
      <c r="K1896" t="inlineStr">
        <is>
          <t>Ottawa (Ontario) Canada</t>
        </is>
      </c>
      <c r="P1896" t="n">
        <v>748.63</v>
      </c>
      <c r="Q1896" t="n">
        <v>428.62</v>
      </c>
      <c r="R1896" t="n">
        <v>1295.63</v>
      </c>
      <c r="S1896" t="n">
        <v>639.1</v>
      </c>
      <c r="T1896" t="n">
        <v>0</v>
      </c>
      <c r="U1896" t="n">
        <v>3111.98</v>
      </c>
      <c r="V1896" t="inlineStr">
        <is>
          <t>No Conference Fees; Total of all uber receipts is $281.91, but only claimed $281.87</t>
        </is>
      </c>
      <c r="W1896" t="inlineStr">
        <is>
          <t>Pas de frais de conférence; Le total de tous les reçus uber est de 281,91 $, mais n'a réclamé que 281,87 $</t>
        </is>
      </c>
      <c r="X1896" t="inlineStr">
        <is>
          <t>aafc-aac</t>
        </is>
      </c>
      <c r="Y1896" t="inlineStr">
        <is>
          <t>Agriculture and Agri-Food Canada | Agriculture et Agroalimentaire Canada</t>
        </is>
      </c>
    </row>
    <row r="1897">
      <c r="A1897" t="inlineStr">
        <is>
          <t>T-2022-P10-0012</t>
        </is>
      </c>
      <c r="B1897" t="inlineStr">
        <is>
          <t>SLE</t>
        </is>
      </c>
      <c r="C1897" t="inlineStr">
        <is>
          <t>Assistant Deputy Minister</t>
        </is>
      </c>
      <c r="D1897" t="inlineStr">
        <is>
          <t>Sous-ministre adjoint</t>
        </is>
      </c>
      <c r="E1897" t="inlineStr">
        <is>
          <t>Gilles Saindon</t>
        </is>
      </c>
      <c r="F1897" t="inlineStr">
        <is>
          <t>Meeting with Genome Canada at 150 Metcalfe St. Suite 2100</t>
        </is>
      </c>
      <c r="G1897" t="inlineStr">
        <is>
          <t xml:space="preserve">Rencontre avec Génome Canada au 150, rue Metcalfe, Suite 2100 </t>
        </is>
      </c>
      <c r="H1897" s="1" t="n">
        <v>44943</v>
      </c>
      <c r="I1897" s="1" t="n">
        <v>44943</v>
      </c>
      <c r="J1897" t="inlineStr">
        <is>
          <t>Ottawa (Ontario) Canada</t>
        </is>
      </c>
      <c r="K1897" t="inlineStr">
        <is>
          <t>Ottawa (Ontario) Canada</t>
        </is>
      </c>
      <c r="P1897" t="n">
        <v>0</v>
      </c>
      <c r="Q1897" t="n">
        <v>10</v>
      </c>
      <c r="R1897" t="n">
        <v>0</v>
      </c>
      <c r="S1897" t="n">
        <v>0</v>
      </c>
      <c r="T1897" t="n">
        <v>0</v>
      </c>
      <c r="U1897" t="n">
        <v>10</v>
      </c>
      <c r="V1897" t="inlineStr">
        <is>
          <t>Parking fee - reimbursed his BTA</t>
        </is>
      </c>
      <c r="W1897" t="inlineStr">
        <is>
          <t>Frais de stationnement - remboursé via son AGV</t>
        </is>
      </c>
      <c r="X1897" t="inlineStr">
        <is>
          <t>aafc-aac</t>
        </is>
      </c>
      <c r="Y1897" t="inlineStr">
        <is>
          <t>Agriculture and Agri-Food Canada | Agriculture et Agroalimentaire Canada</t>
        </is>
      </c>
    </row>
    <row r="1898">
      <c r="A1898" t="inlineStr">
        <is>
          <t>T-2022-P10-0013</t>
        </is>
      </c>
      <c r="B1898" t="inlineStr">
        <is>
          <t>SLE</t>
        </is>
      </c>
      <c r="C1898" t="inlineStr">
        <is>
          <t xml:space="preserve">Assistant Deputy Minister </t>
        </is>
      </c>
      <c r="D1898" t="inlineStr">
        <is>
          <t xml:space="preserve">Sous-Ministre Adjointe </t>
        </is>
      </c>
      <c r="E1898" t="inlineStr">
        <is>
          <t>Kathleen Donohue</t>
        </is>
      </c>
      <c r="F1898" t="inlineStr">
        <is>
          <t>Attend the National Association of State Departments of Agriculture (NASDA)</t>
        </is>
      </c>
      <c r="G1898" t="inlineStr">
        <is>
          <t>Assister le National Association of State Departments of Agriculture (NASDA)</t>
        </is>
      </c>
      <c r="H1898" s="1" t="n">
        <v>44831</v>
      </c>
      <c r="I1898" s="1" t="n">
        <v>44833</v>
      </c>
      <c r="J1898" t="inlineStr">
        <is>
          <t>Saratoga Springs (New York) USA</t>
        </is>
      </c>
      <c r="K1898" t="inlineStr">
        <is>
          <t>Saratoga Springs (New York) États-Unis</t>
        </is>
      </c>
      <c r="P1898" t="n">
        <v>0</v>
      </c>
      <c r="Q1898" t="n">
        <v>517.01</v>
      </c>
      <c r="R1898" t="n">
        <v>541.04</v>
      </c>
      <c r="S1898" t="n">
        <v>231.94</v>
      </c>
      <c r="T1898" t="n">
        <v>1139.14</v>
      </c>
      <c r="U1898" t="n">
        <v>2429.13</v>
      </c>
      <c r="V1898" t="inlineStr">
        <is>
          <t xml:space="preserve">Other expenses is her Confernce fee </t>
        </is>
      </c>
      <c r="W1898" t="inlineStr">
        <is>
          <t>Autres dépenses sont ses frais de conférence</t>
        </is>
      </c>
      <c r="X1898" t="inlineStr">
        <is>
          <t>aafc-aac</t>
        </is>
      </c>
      <c r="Y1898" t="inlineStr">
        <is>
          <t>Agriculture and Agri-Food Canada | Agriculture et Agroalimentaire Canada</t>
        </is>
      </c>
    </row>
    <row r="1899">
      <c r="A1899" t="inlineStr">
        <is>
          <t>T-2022-P10-0014</t>
        </is>
      </c>
      <c r="B1899" t="inlineStr">
        <is>
          <t>SLE</t>
        </is>
      </c>
      <c r="C1899" t="inlineStr">
        <is>
          <t xml:space="preserve">Assistant Deputy Minister </t>
        </is>
      </c>
      <c r="D1899" t="inlineStr">
        <is>
          <t xml:space="preserve">Sous-Ministre Adjointe </t>
        </is>
      </c>
      <c r="E1899" t="inlineStr">
        <is>
          <t>Kathleen Donohue</t>
        </is>
      </c>
      <c r="F1899" t="inlineStr">
        <is>
          <t xml:space="preserve">Study Visit Washington /New York </t>
        </is>
      </c>
      <c r="G1899" t="inlineStr">
        <is>
          <t>Visite d’étude Washington / New York</t>
        </is>
      </c>
      <c r="H1899" s="1" t="n">
        <v>44815</v>
      </c>
      <c r="I1899" s="1" t="n">
        <v>44822</v>
      </c>
      <c r="J1899" t="inlineStr">
        <is>
          <t>Washington (DC) United States
New York (New York) United States</t>
        </is>
      </c>
      <c r="K1899" t="inlineStr">
        <is>
          <t>Washington (DC) États-Unis
New York (New York) États-Unis</t>
        </is>
      </c>
      <c r="P1899" t="n">
        <v>1322.11</v>
      </c>
      <c r="Q1899" t="n">
        <v>563.86</v>
      </c>
      <c r="R1899" t="n">
        <v>2739.05</v>
      </c>
      <c r="S1899" t="n">
        <v>1028.8</v>
      </c>
      <c r="T1899" t="n">
        <v>0</v>
      </c>
      <c r="U1899" t="n">
        <v>5653.82</v>
      </c>
      <c r="X1899" t="inlineStr">
        <is>
          <t>aafc-aac</t>
        </is>
      </c>
      <c r="Y1899" t="inlineStr">
        <is>
          <t>Agriculture and Agri-Food Canada | Agriculture et Agroalimentaire Canada</t>
        </is>
      </c>
    </row>
    <row r="1900">
      <c r="A1900" t="inlineStr">
        <is>
          <t>T-2022-P10-0015</t>
        </is>
      </c>
      <c r="B1900" t="inlineStr">
        <is>
          <t>SLE</t>
        </is>
      </c>
      <c r="C1900" t="inlineStr">
        <is>
          <t>Chief Audit Executive</t>
        </is>
      </c>
      <c r="D1900" t="inlineStr">
        <is>
          <t>Dirigeante principale de la vérification</t>
        </is>
      </c>
      <c r="E1900" t="inlineStr">
        <is>
          <t>Kimberly Saunders</t>
        </is>
      </c>
      <c r="F1900" t="inlineStr">
        <is>
          <t>Training on risk management</t>
        </is>
      </c>
      <c r="G1900" t="inlineStr">
        <is>
          <t>Formation sur la gestion des risques</t>
        </is>
      </c>
      <c r="H1900" s="1" t="n">
        <v>44906</v>
      </c>
      <c r="I1900" s="1" t="n">
        <v>44908</v>
      </c>
      <c r="J1900" t="inlineStr">
        <is>
          <t>Toronto (Ontario) Canada</t>
        </is>
      </c>
      <c r="K1900" t="inlineStr">
        <is>
          <t>Toronto (Ontario) Canada</t>
        </is>
      </c>
      <c r="P1900" t="n">
        <v>0</v>
      </c>
      <c r="Q1900" t="n">
        <v>676.52</v>
      </c>
      <c r="R1900" t="n">
        <v>444.22</v>
      </c>
      <c r="S1900" t="n">
        <v>221.7</v>
      </c>
      <c r="T1900" t="n">
        <v>0</v>
      </c>
      <c r="U1900" t="n">
        <v>1342.44</v>
      </c>
      <c r="X1900" t="inlineStr">
        <is>
          <t>aafc-aac</t>
        </is>
      </c>
      <c r="Y1900" t="inlineStr">
        <is>
          <t>Agriculture and Agri-Food Canada | Agriculture et Agroalimentaire Canada</t>
        </is>
      </c>
    </row>
    <row r="1901">
      <c r="A1901" t="inlineStr">
        <is>
          <t>T-2022-P10-0016</t>
        </is>
      </c>
      <c r="B1901" t="inlineStr">
        <is>
          <t>SLE</t>
        </is>
      </c>
      <c r="C1901" t="inlineStr">
        <is>
          <t>Assistant Deputy Minister, Strategic Policy Branch</t>
        </is>
      </c>
      <c r="D1901" t="inlineStr">
        <is>
          <t>Sous-ministre adjointe, Direction générale des politiques stratégiques</t>
        </is>
      </c>
      <c r="E1901" t="inlineStr">
        <is>
          <t>Natasha Kim</t>
        </is>
      </c>
      <c r="F1901" t="inlineStr">
        <is>
          <t>ADM Natasha Kim attended the United Nations Biodiversity Conference (COP15) in Montreal to support the minister</t>
        </is>
      </c>
      <c r="G1901" t="inlineStr">
        <is>
          <t xml:space="preserve">La SMA Natasha Kim a assisté à la conférence des Nations unies sur la biodiversité (COP15) à Montréal pour soutenir la ministre. </t>
        </is>
      </c>
      <c r="H1901" s="1" t="n">
        <v>44908</v>
      </c>
      <c r="I1901" s="1" t="n">
        <v>44912</v>
      </c>
      <c r="J1901" t="inlineStr">
        <is>
          <t>Montréal (Quebec) Canada</t>
        </is>
      </c>
      <c r="K1901" t="inlineStr">
        <is>
          <t>Montréal (Québec) Canada</t>
        </is>
      </c>
      <c r="P1901" t="n">
        <v>0</v>
      </c>
      <c r="Q1901" t="n">
        <v>424.8</v>
      </c>
      <c r="R1901" t="n">
        <v>1375.68</v>
      </c>
      <c r="S1901" t="n">
        <v>416.65</v>
      </c>
      <c r="T1901" t="n">
        <v>0</v>
      </c>
      <c r="U1901" t="n">
        <v>2217.13</v>
      </c>
      <c r="X1901" t="inlineStr">
        <is>
          <t>aafc-aac</t>
        </is>
      </c>
      <c r="Y1901" t="inlineStr">
        <is>
          <t>Agriculture and Agri-Food Canada | Agriculture et Agroalimentaire Canada</t>
        </is>
      </c>
    </row>
    <row r="1902">
      <c r="A1902" t="inlineStr">
        <is>
          <t>T-2022-P10-0017</t>
        </is>
      </c>
      <c r="B1902" t="inlineStr">
        <is>
          <t>SLE</t>
        </is>
      </c>
      <c r="C1902" t="inlineStr">
        <is>
          <t>Assistant Deputy Minister, Strategic Policy Branch</t>
        </is>
      </c>
      <c r="D1902" t="inlineStr">
        <is>
          <t>Sous-ministre adjointe, Direction générale des politiques stratégiques</t>
        </is>
      </c>
      <c r="E1902" t="inlineStr">
        <is>
          <t>Natasha Kim</t>
        </is>
      </c>
      <c r="F1902" t="inlineStr">
        <is>
          <t>ADM Natasha Kim went to Niagara Falls for the Women in Ag conference (she spoke at a roundtable event).</t>
        </is>
      </c>
      <c r="G1902" t="inlineStr">
        <is>
          <t>La SMA Natasha Kim s'est rendue à Niagara Falls pour la conférence Women in Ag (elle a pris la parole lors d'une table ronde).</t>
        </is>
      </c>
      <c r="H1902" s="1" t="n">
        <v>44886</v>
      </c>
      <c r="I1902" s="1" t="n">
        <v>44887</v>
      </c>
      <c r="J1902" t="inlineStr">
        <is>
          <t>Niagara Falls (Ontario) Canada</t>
        </is>
      </c>
      <c r="K1902" t="inlineStr">
        <is>
          <t>Niagara Falls (Ontario) Canada</t>
        </is>
      </c>
      <c r="P1902" t="n">
        <v>737.27</v>
      </c>
      <c r="Q1902" t="n">
        <v>337.74</v>
      </c>
      <c r="R1902" t="n">
        <v>193.17</v>
      </c>
      <c r="S1902" t="n">
        <v>170.85</v>
      </c>
      <c r="T1902" t="n">
        <v>0</v>
      </c>
      <c r="U1902" t="n">
        <v>1439.03</v>
      </c>
      <c r="X1902" t="inlineStr">
        <is>
          <t>aafc-aac</t>
        </is>
      </c>
      <c r="Y1902" t="inlineStr">
        <is>
          <t>Agriculture and Agri-Food Canada | Agriculture et Agroalimentaire Canada</t>
        </is>
      </c>
    </row>
    <row r="1903">
      <c r="A1903" t="inlineStr">
        <is>
          <t>T-2022-P10-0018</t>
        </is>
      </c>
      <c r="B1903" t="inlineStr">
        <is>
          <t>SLE</t>
        </is>
      </c>
      <c r="C1903" t="inlineStr">
        <is>
          <t>Assistant Deputy Minister, Market and Industry Services Branch</t>
        </is>
      </c>
      <c r="D1903" t="inlineStr">
        <is>
          <t>Sous-ministre adjoint, Direction générale des services à l'industrie et aux marchés</t>
        </is>
      </c>
      <c r="E1903" t="inlineStr">
        <is>
          <t>Tom Rosser</t>
        </is>
      </c>
      <c r="F1903" t="inlineStr">
        <is>
          <t>Taxi fare to the Canadian Food Inspection Agency Ministerial meeting.</t>
        </is>
      </c>
      <c r="G1903" t="inlineStr">
        <is>
          <t>Tarif du taxi jusqu’à la réunion ministérielle de  l’Agence canadienne d'inspection des aliments.</t>
        </is>
      </c>
      <c r="H1903" s="1" t="n">
        <v>44900</v>
      </c>
      <c r="I1903" s="1" t="n">
        <v>44900</v>
      </c>
      <c r="J1903" t="inlineStr">
        <is>
          <t>Ottawa (Ontario) Canada</t>
        </is>
      </c>
      <c r="K1903" t="inlineStr">
        <is>
          <t>Ottawa (Ontario) Canada</t>
        </is>
      </c>
      <c r="P1903" t="n">
        <v>0</v>
      </c>
      <c r="Q1903" t="n">
        <v>14.5</v>
      </c>
      <c r="R1903" t="n">
        <v>0</v>
      </c>
      <c r="S1903" t="n">
        <v>0</v>
      </c>
      <c r="T1903" t="n">
        <v>0</v>
      </c>
      <c r="U1903" t="n">
        <v>14.5</v>
      </c>
      <c r="X1903" t="inlineStr">
        <is>
          <t>aafc-aac</t>
        </is>
      </c>
      <c r="Y1903" t="inlineStr">
        <is>
          <t>Agriculture and Agri-Food Canada | Agriculture et Agroalimentaire Canada</t>
        </is>
      </c>
    </row>
    <row r="1904">
      <c r="A1904" t="inlineStr">
        <is>
          <t>T-2022-P11-0001</t>
        </is>
      </c>
      <c r="B1904" t="inlineStr">
        <is>
          <t>MPSES</t>
        </is>
      </c>
      <c r="C1904" t="inlineStr">
        <is>
          <t>Minister</t>
        </is>
      </c>
      <c r="D1904" t="inlineStr">
        <is>
          <t>Ministre</t>
        </is>
      </c>
      <c r="E1904" t="inlineStr">
        <is>
          <t>Marie-Claude Bibeau</t>
        </is>
      </c>
      <c r="F1904" t="inlineStr">
        <is>
          <t>To meet with the Minister of State at the Department for Environment, Food and Rural Affairs as well as Columbia's Minister of Agriculture and various members of the German Federal Ministry</t>
        </is>
      </c>
      <c r="G1904" t="inlineStr">
        <is>
          <t>Pour rencontrer la ministre d'État au ministère de l'environnement, de l'alimentation et des affaires rurales ainsi que le ministre de l'agriculture de la Colombie et plusieurs membres du ministère fédéral allemand.</t>
        </is>
      </c>
      <c r="H1904" s="1" t="n">
        <v>44943</v>
      </c>
      <c r="I1904" s="1" t="n">
        <v>44948</v>
      </c>
      <c r="J1904" t="inlineStr">
        <is>
          <t>London (England) United Kingdom;
Berlin, Germany</t>
        </is>
      </c>
      <c r="K1904" t="inlineStr">
        <is>
          <t>Londres (Angleterre) Royaume-Uni;
Berlin, Allemagne</t>
        </is>
      </c>
      <c r="P1904" t="n">
        <v>8273.540000000001</v>
      </c>
      <c r="Q1904" t="n">
        <v>0</v>
      </c>
      <c r="R1904" t="n">
        <v>511.2</v>
      </c>
      <c r="S1904" t="n">
        <v>694.92</v>
      </c>
      <c r="T1904" t="n">
        <v>0</v>
      </c>
      <c r="U1904" t="n">
        <v>9479.66</v>
      </c>
      <c r="V1904" t="inlineStr">
        <is>
          <t>No conference fees</t>
        </is>
      </c>
      <c r="W1904" t="inlineStr">
        <is>
          <t>Pas de frais de conférence</t>
        </is>
      </c>
      <c r="X1904" t="inlineStr">
        <is>
          <t>aafc-aac</t>
        </is>
      </c>
      <c r="Y1904" t="inlineStr">
        <is>
          <t>Agriculture and Agri-Food Canada | Agriculture et Agroalimentaire Canada</t>
        </is>
      </c>
    </row>
    <row r="1905">
      <c r="A1905" t="inlineStr">
        <is>
          <t>T-2022-P11-0002</t>
        </is>
      </c>
      <c r="B1905" t="inlineStr">
        <is>
          <t>MPSES</t>
        </is>
      </c>
      <c r="C1905" t="inlineStr">
        <is>
          <t>Minister</t>
        </is>
      </c>
      <c r="D1905" t="inlineStr">
        <is>
          <t>Ministre</t>
        </is>
      </c>
      <c r="E1905" t="inlineStr">
        <is>
          <t>Marie-Claude Bibeau</t>
        </is>
      </c>
      <c r="F1905" t="inlineStr">
        <is>
          <t>To attend the Minister's Cabinet Retreat</t>
        </is>
      </c>
      <c r="G1905" t="inlineStr">
        <is>
          <t>Participer à la retraite du cabinet de la ministre</t>
        </is>
      </c>
      <c r="H1905" s="1" t="n">
        <v>44948</v>
      </c>
      <c r="I1905" s="1" t="n">
        <v>44952</v>
      </c>
      <c r="J1905" t="inlineStr">
        <is>
          <t>Hamilton (Ontario) Canada</t>
        </is>
      </c>
      <c r="K1905" t="inlineStr">
        <is>
          <t>Hamilton (Ontario) Canada</t>
        </is>
      </c>
      <c r="P1905" t="n">
        <v>460.62</v>
      </c>
      <c r="Q1905" t="n">
        <v>0</v>
      </c>
      <c r="R1905" t="n">
        <v>841.4400000000001</v>
      </c>
      <c r="S1905" t="n">
        <v>363.7</v>
      </c>
      <c r="T1905" t="n">
        <v>0</v>
      </c>
      <c r="U1905" t="n">
        <v>1665.76</v>
      </c>
      <c r="V1905" t="inlineStr">
        <is>
          <t>No conference fees</t>
        </is>
      </c>
      <c r="W1905" t="inlineStr">
        <is>
          <t>Pas de frais de conférence</t>
        </is>
      </c>
      <c r="X1905" t="inlineStr">
        <is>
          <t>aafc-aac</t>
        </is>
      </c>
      <c r="Y1905" t="inlineStr">
        <is>
          <t>Agriculture and Agri-Food Canada | Agriculture et Agroalimentaire Canada</t>
        </is>
      </c>
    </row>
    <row r="1906">
      <c r="A1906" t="inlineStr">
        <is>
          <t>T-2022-P11-0003</t>
        </is>
      </c>
      <c r="B1906" t="inlineStr">
        <is>
          <t>MPSES</t>
        </is>
      </c>
      <c r="C1906" t="inlineStr">
        <is>
          <t>Director of Operations</t>
        </is>
      </c>
      <c r="D1906" t="inlineStr">
        <is>
          <t>Directeur des opérations</t>
        </is>
      </c>
      <c r="E1906" t="inlineStr">
        <is>
          <t>Abed Harb</t>
        </is>
      </c>
      <c r="F1906" t="inlineStr">
        <is>
          <t>To support the Minister in various meetings with stakeholders</t>
        </is>
      </c>
      <c r="G1906" t="inlineStr">
        <is>
          <t>Pour soutenir la ministre lors de diverses réunions avec les parties prenantes</t>
        </is>
      </c>
      <c r="H1906" s="1" t="n">
        <v>44907</v>
      </c>
      <c r="I1906" s="1" t="n">
        <v>44910</v>
      </c>
      <c r="J1906" t="inlineStr">
        <is>
          <t>Ottawa (Ontario) Canada</t>
        </is>
      </c>
      <c r="K1906" t="inlineStr">
        <is>
          <t>Ottawa (Ontario) Canada</t>
        </is>
      </c>
      <c r="P1906" t="n">
        <v>732.55</v>
      </c>
      <c r="Q1906" t="n">
        <v>95.38</v>
      </c>
      <c r="R1906" t="n">
        <v>498.47</v>
      </c>
      <c r="S1906" t="n">
        <v>0</v>
      </c>
      <c r="T1906" t="n">
        <v>0</v>
      </c>
      <c r="U1906" t="n">
        <v>1326.4</v>
      </c>
      <c r="V1906" t="inlineStr">
        <is>
          <t>No conference fees</t>
        </is>
      </c>
      <c r="W1906" t="inlineStr">
        <is>
          <t>Pas de frais de conférence</t>
        </is>
      </c>
      <c r="X1906" t="inlineStr">
        <is>
          <t>aafc-aac</t>
        </is>
      </c>
      <c r="Y1906" t="inlineStr">
        <is>
          <t>Agriculture and Agri-Food Canada | Agriculture et Agroalimentaire Canada</t>
        </is>
      </c>
    </row>
    <row r="1907">
      <c r="A1907" t="inlineStr">
        <is>
          <t>T-2022-P11-0004</t>
        </is>
      </c>
      <c r="B1907" t="inlineStr">
        <is>
          <t>MPSES</t>
        </is>
      </c>
      <c r="C1907" t="inlineStr">
        <is>
          <t>Director of Communications</t>
        </is>
      </c>
      <c r="D1907" t="inlineStr">
        <is>
          <t>Directrice des communications</t>
        </is>
      </c>
      <c r="E1907" t="inlineStr">
        <is>
          <t>Marianne Dandurand</t>
        </is>
      </c>
      <c r="F1907" t="inlineStr">
        <is>
          <t>To support the Minister to meet with the Minister of State at the Department for Environment, Food and Rural Affairs as well as Columbia's Minister of Agriculture and various members of the German Federal Ministry</t>
        </is>
      </c>
      <c r="G1907" t="inlineStr">
        <is>
          <t>Pour soutenir la ministre pour qu'elle rencontre la ministre d'État au ministère de l'environnement, de l'alimentation et des affaires rurales ainsi que le ministre de l'agriculture de la Colombie et divers membres du ministère fédéral allemand.</t>
        </is>
      </c>
      <c r="H1907" s="1" t="n">
        <v>44942</v>
      </c>
      <c r="I1907" s="1" t="n">
        <v>44948</v>
      </c>
      <c r="J1907" t="inlineStr">
        <is>
          <t>London (England) United Kingdom;
Berlin, Germany</t>
        </is>
      </c>
      <c r="K1907" t="inlineStr">
        <is>
          <t>Londres (Angleterre) Royaume-Uni;
Berlin, Allemagne</t>
        </is>
      </c>
      <c r="P1907" t="n">
        <v>2083.04</v>
      </c>
      <c r="Q1907" t="n">
        <v>329.82</v>
      </c>
      <c r="R1907" t="n">
        <v>2511.78</v>
      </c>
      <c r="S1907" t="n">
        <v>938.71</v>
      </c>
      <c r="T1907" t="n">
        <v>0</v>
      </c>
      <c r="U1907" t="n">
        <v>5863.35</v>
      </c>
      <c r="V1907" t="inlineStr">
        <is>
          <t>No conference fees</t>
        </is>
      </c>
      <c r="W1907" t="inlineStr">
        <is>
          <t>Pas de frais de conférence</t>
        </is>
      </c>
      <c r="X1907" t="inlineStr">
        <is>
          <t>aafc-aac</t>
        </is>
      </c>
      <c r="Y1907" t="inlineStr">
        <is>
          <t>Agriculture and Agri-Food Canada | Agriculture et Agroalimentaire Canada</t>
        </is>
      </c>
    </row>
    <row r="1908">
      <c r="A1908" t="inlineStr">
        <is>
          <t>T-2022-P11-0005</t>
        </is>
      </c>
      <c r="B1908" t="inlineStr">
        <is>
          <t>MPSES</t>
        </is>
      </c>
      <c r="C1908" t="inlineStr">
        <is>
          <t>Chief of Staff</t>
        </is>
      </c>
      <c r="D1908" t="inlineStr">
        <is>
          <t>Chef de cabinet</t>
        </is>
      </c>
      <c r="E1908" t="inlineStr">
        <is>
          <t>Jérémy Gauthier</t>
        </is>
      </c>
      <c r="F1908" t="inlineStr">
        <is>
          <t>To support the Minister to meet with the Minister of State at the Department for Environment, Food and Rural Affairs as well as Columbia's Minister of Agriculture and various members of the German Federal Ministry</t>
        </is>
      </c>
      <c r="G1908" t="inlineStr">
        <is>
          <t>Pour soutenir la ministre pour qu'elle rencontre la ministre d'État au ministère de l'environnement, de l'alimentation et des affaires rurales ainsi que le ministre de l'agriculture de la Colombie et divers membres du ministère fédéral allemand.</t>
        </is>
      </c>
      <c r="H1908" s="1" t="n">
        <v>44942</v>
      </c>
      <c r="I1908" s="1" t="n">
        <v>44948</v>
      </c>
      <c r="J1908" t="inlineStr">
        <is>
          <t>London (England) United Kingdom;
Berlin, Germany</t>
        </is>
      </c>
      <c r="K1908" t="inlineStr">
        <is>
          <t>Londres (Angleterre) Royaume-Uni;
Berlin, Allemagne</t>
        </is>
      </c>
      <c r="P1908" t="n">
        <v>2442.54</v>
      </c>
      <c r="Q1908" t="n">
        <v>59.34</v>
      </c>
      <c r="R1908" t="n">
        <v>2455.8</v>
      </c>
      <c r="S1908" t="n">
        <v>938.71</v>
      </c>
      <c r="T1908" t="n">
        <v>0</v>
      </c>
      <c r="U1908" t="n">
        <v>5896.39</v>
      </c>
      <c r="V1908" t="inlineStr">
        <is>
          <t>No conference fees</t>
        </is>
      </c>
      <c r="W1908" t="inlineStr">
        <is>
          <t>Pas de frais de conférence</t>
        </is>
      </c>
      <c r="X1908" t="inlineStr">
        <is>
          <t>aafc-aac</t>
        </is>
      </c>
      <c r="Y1908" t="inlineStr">
        <is>
          <t>Agriculture and Agri-Food Canada | Agriculture et Agroalimentaire Canada</t>
        </is>
      </c>
    </row>
    <row r="1909">
      <c r="A1909" t="inlineStr">
        <is>
          <t>T-2022-P11-0006</t>
        </is>
      </c>
      <c r="B1909" t="inlineStr">
        <is>
          <t>MPSES</t>
        </is>
      </c>
      <c r="C1909" t="inlineStr">
        <is>
          <t>Chief of Staff</t>
        </is>
      </c>
      <c r="D1909" t="inlineStr">
        <is>
          <t>Chef de cabinet</t>
        </is>
      </c>
      <c r="E1909" t="inlineStr">
        <is>
          <t>Jérémy Gauthier</t>
        </is>
      </c>
      <c r="F1909" t="inlineStr">
        <is>
          <t>To support the Minister at the Minister's Cabinet Retreat</t>
        </is>
      </c>
      <c r="G1909" t="inlineStr">
        <is>
          <t>Participer à la retraite du cabinet du ministre</t>
        </is>
      </c>
      <c r="H1909" s="1" t="n">
        <v>44948</v>
      </c>
      <c r="I1909" s="1" t="n">
        <v>44952</v>
      </c>
      <c r="J1909" t="inlineStr">
        <is>
          <t>Hamilton (Ontario) Canada</t>
        </is>
      </c>
      <c r="K1909" t="inlineStr">
        <is>
          <t>Hamilton (Ontario) Canada</t>
        </is>
      </c>
      <c r="P1909" t="n">
        <v>460.62</v>
      </c>
      <c r="Q1909" t="n">
        <v>307.02</v>
      </c>
      <c r="R1909" t="n">
        <v>913.52</v>
      </c>
      <c r="S1909" t="n">
        <v>363.7</v>
      </c>
      <c r="T1909" t="n">
        <v>0</v>
      </c>
      <c r="U1909" t="n">
        <v>2044.86</v>
      </c>
      <c r="V1909" t="inlineStr">
        <is>
          <t>No conference fees</t>
        </is>
      </c>
      <c r="W1909" t="inlineStr">
        <is>
          <t>Pas de frais de conférence</t>
        </is>
      </c>
      <c r="X1909" t="inlineStr">
        <is>
          <t>aafc-aac</t>
        </is>
      </c>
      <c r="Y1909" t="inlineStr">
        <is>
          <t>Agriculture and Agri-Food Canada | Agriculture et Agroalimentaire Canada</t>
        </is>
      </c>
    </row>
    <row r="1910">
      <c r="A1910" t="inlineStr">
        <is>
          <t>T-2022-P11-0007</t>
        </is>
      </c>
      <c r="B1910" t="inlineStr">
        <is>
          <t>MPSES</t>
        </is>
      </c>
      <c r="C1910" t="inlineStr">
        <is>
          <t>Driver</t>
        </is>
      </c>
      <c r="D1910" t="inlineStr">
        <is>
          <t>Chauffeur</t>
        </is>
      </c>
      <c r="E1910" t="inlineStr">
        <is>
          <t>Michel Gendreau</t>
        </is>
      </c>
      <c r="F1910" t="inlineStr">
        <is>
          <t>Drive the Minister from Ottawa to her riding</t>
        </is>
      </c>
      <c r="G1910" t="inlineStr">
        <is>
          <t>Conduire la ministre d'Ottawa à sa circonscription</t>
        </is>
      </c>
      <c r="H1910" s="1" t="n">
        <v>44954</v>
      </c>
      <c r="I1910" s="1" t="n">
        <v>44956</v>
      </c>
      <c r="J1910" t="inlineStr">
        <is>
          <t>Sherbrooke (Quebec) Canada</t>
        </is>
      </c>
      <c r="K1910" t="inlineStr">
        <is>
          <t>Sherbrooke (Québec) Canada</t>
        </is>
      </c>
      <c r="P1910" t="n">
        <v>0</v>
      </c>
      <c r="Q1910" t="n">
        <v>6</v>
      </c>
      <c r="R1910" t="n">
        <v>259.42</v>
      </c>
      <c r="S1910" t="n">
        <v>181.85</v>
      </c>
      <c r="T1910" t="n">
        <v>0</v>
      </c>
      <c r="U1910" t="n">
        <v>447.27</v>
      </c>
      <c r="V1910" t="inlineStr">
        <is>
          <t>No conference fees</t>
        </is>
      </c>
      <c r="W1910" t="inlineStr">
        <is>
          <t>Pas de frais de conférence</t>
        </is>
      </c>
      <c r="X1910" t="inlineStr">
        <is>
          <t>aafc-aac</t>
        </is>
      </c>
      <c r="Y1910" t="inlineStr">
        <is>
          <t>Agriculture and Agri-Food Canada | Agriculture et Agroalimentaire Canada</t>
        </is>
      </c>
    </row>
    <row r="1911">
      <c r="A1911" t="inlineStr">
        <is>
          <t>T-2022-P11-0008</t>
        </is>
      </c>
      <c r="B1911" t="inlineStr">
        <is>
          <t>MPSES</t>
        </is>
      </c>
      <c r="C1911" t="inlineStr">
        <is>
          <t>Driver</t>
        </is>
      </c>
      <c r="D1911" t="inlineStr">
        <is>
          <t>Chauffeur</t>
        </is>
      </c>
      <c r="E1911" t="inlineStr">
        <is>
          <t>Michel Gendreau</t>
        </is>
      </c>
      <c r="F1911" t="inlineStr">
        <is>
          <t>Drive the Minister from Ottawa to her riding</t>
        </is>
      </c>
      <c r="G1911" t="inlineStr">
        <is>
          <t>Conduire la ministre d'Ottawa à sa circonscription</t>
        </is>
      </c>
      <c r="H1911" s="1" t="n">
        <v>44960</v>
      </c>
      <c r="I1911" s="1" t="n">
        <v>44960</v>
      </c>
      <c r="J1911" t="inlineStr">
        <is>
          <t>Sherbrooke (Quebec) Canada</t>
        </is>
      </c>
      <c r="K1911" t="inlineStr">
        <is>
          <t>Sherbrooke (Québec) Canada</t>
        </is>
      </c>
      <c r="P1911" t="n">
        <v>0</v>
      </c>
      <c r="Q1911" t="n">
        <v>7</v>
      </c>
      <c r="R1911" t="n">
        <v>0</v>
      </c>
      <c r="S1911" t="n">
        <v>56.6</v>
      </c>
      <c r="T1911" t="n">
        <v>0</v>
      </c>
      <c r="U1911" t="n">
        <v>63.6</v>
      </c>
      <c r="V1911" t="inlineStr">
        <is>
          <t>No conference fees</t>
        </is>
      </c>
      <c r="W1911" t="inlineStr">
        <is>
          <t>Pas de frais de conférence</t>
        </is>
      </c>
      <c r="X1911" t="inlineStr">
        <is>
          <t>aafc-aac</t>
        </is>
      </c>
      <c r="Y1911" t="inlineStr">
        <is>
          <t>Agriculture and Agri-Food Canada | Agriculture et Agroalimentaire Canada</t>
        </is>
      </c>
    </row>
    <row r="1912">
      <c r="A1912" t="inlineStr">
        <is>
          <t>T-2022-P11-0009</t>
        </is>
      </c>
      <c r="B1912" t="inlineStr">
        <is>
          <t>MPSES</t>
        </is>
      </c>
      <c r="C1912" t="inlineStr">
        <is>
          <t>Driver</t>
        </is>
      </c>
      <c r="D1912" t="inlineStr">
        <is>
          <t>Chauffeur</t>
        </is>
      </c>
      <c r="E1912" t="inlineStr">
        <is>
          <t>Michel Gendreau</t>
        </is>
      </c>
      <c r="F1912" t="inlineStr">
        <is>
          <t>Drive the Minister from her riding to Ottawa</t>
        </is>
      </c>
      <c r="G1912" t="inlineStr">
        <is>
          <t>Conduire la ministre de sa circonscription à Ottawa</t>
        </is>
      </c>
      <c r="H1912" s="1" t="n">
        <v>44962</v>
      </c>
      <c r="I1912" s="1" t="n">
        <v>44963</v>
      </c>
      <c r="J1912" t="inlineStr">
        <is>
          <t>Ottawa (Ontario) Canada</t>
        </is>
      </c>
      <c r="K1912" t="inlineStr">
        <is>
          <t>Ottawa (Ontario) Canada</t>
        </is>
      </c>
      <c r="P1912" t="n">
        <v>0</v>
      </c>
      <c r="Q1912" t="n">
        <v>7</v>
      </c>
      <c r="R1912" t="n">
        <v>129.71</v>
      </c>
      <c r="S1912" t="n">
        <v>79.40000000000001</v>
      </c>
      <c r="T1912" t="n">
        <v>0</v>
      </c>
      <c r="U1912" t="n">
        <v>216.11</v>
      </c>
      <c r="V1912" t="inlineStr">
        <is>
          <t>No conference fees</t>
        </is>
      </c>
      <c r="W1912" t="inlineStr">
        <is>
          <t>Pas de frais de conférence</t>
        </is>
      </c>
      <c r="X1912" t="inlineStr">
        <is>
          <t>aafc-aac</t>
        </is>
      </c>
      <c r="Y1912" t="inlineStr">
        <is>
          <t>Agriculture and Agri-Food Canada | Agriculture et Agroalimentaire Canada</t>
        </is>
      </c>
    </row>
    <row r="1913">
      <c r="A1913" t="inlineStr">
        <is>
          <t>T-2022-P11-0010</t>
        </is>
      </c>
      <c r="B1913" t="inlineStr">
        <is>
          <t>MPSES</t>
        </is>
      </c>
      <c r="C1913" t="inlineStr">
        <is>
          <t>Driver</t>
        </is>
      </c>
      <c r="D1913" t="inlineStr">
        <is>
          <t>Chauffeur</t>
        </is>
      </c>
      <c r="E1913" t="inlineStr">
        <is>
          <t>Michel Gendreau</t>
        </is>
      </c>
      <c r="F1913" t="inlineStr">
        <is>
          <t>Drive the Minister from Ottawa to her riding</t>
        </is>
      </c>
      <c r="G1913" t="inlineStr">
        <is>
          <t>Conduire la ministre d'Ottawa à sa circonscription</t>
        </is>
      </c>
      <c r="H1913" s="1" t="n">
        <v>44967</v>
      </c>
      <c r="I1913" s="1" t="n">
        <v>44967</v>
      </c>
      <c r="J1913" t="inlineStr">
        <is>
          <t>Sherbrooke (Quebec) Canada</t>
        </is>
      </c>
      <c r="K1913" t="inlineStr">
        <is>
          <t>Sherbrooke (Québec) Canada</t>
        </is>
      </c>
      <c r="P1913" t="n">
        <v>0</v>
      </c>
      <c r="Q1913" t="n">
        <v>7</v>
      </c>
      <c r="R1913" t="n">
        <v>0</v>
      </c>
      <c r="S1913" t="n">
        <v>56.6</v>
      </c>
      <c r="T1913" t="n">
        <v>0</v>
      </c>
      <c r="U1913" t="n">
        <v>63.6</v>
      </c>
      <c r="V1913" t="inlineStr">
        <is>
          <t>No conference fees</t>
        </is>
      </c>
      <c r="W1913" t="inlineStr">
        <is>
          <t>Pas de frais de conférence</t>
        </is>
      </c>
      <c r="X1913" t="inlineStr">
        <is>
          <t>aafc-aac</t>
        </is>
      </c>
      <c r="Y1913" t="inlineStr">
        <is>
          <t>Agriculture and Agri-Food Canada | Agriculture et Agroalimentaire Canada</t>
        </is>
      </c>
    </row>
    <row r="1914">
      <c r="A1914" t="inlineStr">
        <is>
          <t>T-2022-P11-0011</t>
        </is>
      </c>
      <c r="B1914" t="inlineStr">
        <is>
          <t>MPSES</t>
        </is>
      </c>
      <c r="C1914" t="inlineStr">
        <is>
          <t>Driver</t>
        </is>
      </c>
      <c r="D1914" t="inlineStr">
        <is>
          <t>Chauffeur</t>
        </is>
      </c>
      <c r="E1914" t="inlineStr">
        <is>
          <t>Michel Gendreau</t>
        </is>
      </c>
      <c r="F1914" t="inlineStr">
        <is>
          <t>Drive the Minister from her riding to Ottawa</t>
        </is>
      </c>
      <c r="G1914" t="inlineStr">
        <is>
          <t>Conduire la ministre de sa circonscription à Ottawa</t>
        </is>
      </c>
      <c r="H1914" s="1" t="n">
        <v>44970</v>
      </c>
      <c r="I1914" s="1" t="n">
        <v>44970</v>
      </c>
      <c r="J1914" t="inlineStr">
        <is>
          <t>Ottawa (Ontario) Canada</t>
        </is>
      </c>
      <c r="K1914" t="inlineStr">
        <is>
          <t>Ottawa (Ontario) Canada</t>
        </is>
      </c>
      <c r="P1914" t="n">
        <v>0</v>
      </c>
      <c r="Q1914" t="n">
        <v>7</v>
      </c>
      <c r="R1914" t="n">
        <v>0</v>
      </c>
      <c r="S1914" t="n">
        <v>56.6</v>
      </c>
      <c r="T1914" t="n">
        <v>0</v>
      </c>
      <c r="U1914" t="n">
        <v>63.6</v>
      </c>
      <c r="V1914" t="inlineStr">
        <is>
          <t>No conference fees</t>
        </is>
      </c>
      <c r="W1914" t="inlineStr">
        <is>
          <t>Pas de frais de conférence</t>
        </is>
      </c>
      <c r="X1914" t="inlineStr">
        <is>
          <t>aafc-aac</t>
        </is>
      </c>
      <c r="Y1914" t="inlineStr">
        <is>
          <t>Agriculture and Agri-Food Canada | Agriculture et Agroalimentaire Canada</t>
        </is>
      </c>
    </row>
    <row r="1915">
      <c r="A1915" t="inlineStr">
        <is>
          <t>T-2022-P11-0012</t>
        </is>
      </c>
      <c r="B1915" t="inlineStr">
        <is>
          <t>MPSES</t>
        </is>
      </c>
      <c r="C1915" t="inlineStr">
        <is>
          <t>Driver</t>
        </is>
      </c>
      <c r="D1915" t="inlineStr">
        <is>
          <t>Chauffeur</t>
        </is>
      </c>
      <c r="E1915" t="inlineStr">
        <is>
          <t>Michel Gendreau</t>
        </is>
      </c>
      <c r="F1915" t="inlineStr">
        <is>
          <t>Drive the Minister from Ottawa to her riding</t>
        </is>
      </c>
      <c r="G1915" t="inlineStr">
        <is>
          <t>Conduire la ministre d'Ottawa à sa circonscription</t>
        </is>
      </c>
      <c r="H1915" s="1" t="n">
        <v>44974</v>
      </c>
      <c r="I1915" s="1" t="n">
        <v>44974</v>
      </c>
      <c r="J1915" t="inlineStr">
        <is>
          <t>Sherbrooke (Quebec) Canada</t>
        </is>
      </c>
      <c r="K1915" t="inlineStr">
        <is>
          <t>Sherbrooke (Québec) Canada</t>
        </is>
      </c>
      <c r="P1915" t="n">
        <v>0</v>
      </c>
      <c r="Q1915" t="n">
        <v>7</v>
      </c>
      <c r="R1915" t="n">
        <v>0</v>
      </c>
      <c r="S1915" t="n">
        <v>56.6</v>
      </c>
      <c r="T1915" t="n">
        <v>0</v>
      </c>
      <c r="U1915" t="n">
        <v>63.6</v>
      </c>
      <c r="V1915" t="inlineStr">
        <is>
          <t>No conference fees</t>
        </is>
      </c>
      <c r="W1915" t="inlineStr">
        <is>
          <t>Pas de frais de conférence</t>
        </is>
      </c>
      <c r="X1915" t="inlineStr">
        <is>
          <t>aafc-aac</t>
        </is>
      </c>
      <c r="Y1915" t="inlineStr">
        <is>
          <t>Agriculture and Agri-Food Canada | Agriculture et Agroalimentaire Canada</t>
        </is>
      </c>
    </row>
    <row r="1916">
      <c r="A1916" t="inlineStr">
        <is>
          <t>T-2022-P11-0013</t>
        </is>
      </c>
      <c r="B1916" t="inlineStr">
        <is>
          <t>MPSES</t>
        </is>
      </c>
      <c r="C1916" t="inlineStr">
        <is>
          <t>Parliamentary Secretary</t>
        </is>
      </c>
      <c r="D1916" t="inlineStr">
        <is>
          <t>Secrétaire parlementaire</t>
        </is>
      </c>
      <c r="E1916" t="inlineStr">
        <is>
          <t>Francis Drouin</t>
        </is>
      </c>
      <c r="F1916" t="inlineStr">
        <is>
          <t>To attend an Alberta and British Columbia Outreach</t>
        </is>
      </c>
      <c r="G1916" t="inlineStr">
        <is>
          <t>Pour assister à un événement de sensibilisation en Alberta et en Colombie-Britannique</t>
        </is>
      </c>
      <c r="H1916" s="1" t="n">
        <v>44949</v>
      </c>
      <c r="I1916" s="1" t="n">
        <v>44953</v>
      </c>
      <c r="J1916" t="inlineStr">
        <is>
          <t>Edmonton (Alberta) Canada;
Vancouver (British Columbia) Canada</t>
        </is>
      </c>
      <c r="K1916" t="inlineStr">
        <is>
          <t>Edmonton (Alberta) Canada;
Vancouver (Colombie-Britannique) Canada</t>
        </is>
      </c>
      <c r="P1916" t="n">
        <v>618.98</v>
      </c>
      <c r="Q1916" t="n">
        <v>0</v>
      </c>
      <c r="R1916" t="n">
        <v>711.84</v>
      </c>
      <c r="S1916" t="n">
        <v>261.25</v>
      </c>
      <c r="T1916" t="n">
        <v>183.75</v>
      </c>
      <c r="U1916" t="n">
        <v>1775.82</v>
      </c>
      <c r="V1916" t="inlineStr">
        <is>
          <t>Gala ticket purchased for event</t>
        </is>
      </c>
      <c r="W1916" t="inlineStr">
        <is>
          <t>Billet de gala acheté pour l'événement</t>
        </is>
      </c>
      <c r="X1916" t="inlineStr">
        <is>
          <t>aafc-aac</t>
        </is>
      </c>
      <c r="Y1916" t="inlineStr">
        <is>
          <t>Agriculture and Agri-Food Canada | Agriculture et Agroalimentaire Canada</t>
        </is>
      </c>
    </row>
    <row r="1917">
      <c r="A1917" t="inlineStr">
        <is>
          <t>T-2022-P11-0014</t>
        </is>
      </c>
      <c r="B1917" t="inlineStr">
        <is>
          <t>MPSES</t>
        </is>
      </c>
      <c r="C1917" t="inlineStr">
        <is>
          <t>Assistant to the Parliamentary Secretary</t>
        </is>
      </c>
      <c r="D1917" t="inlineStr">
        <is>
          <t>Adjoint au secrétaire parlementaire</t>
        </is>
      </c>
      <c r="E1917" t="inlineStr">
        <is>
          <t>Patrick Mangan</t>
        </is>
      </c>
      <c r="F1917" t="inlineStr">
        <is>
          <t>To support the Parliamentary Secretary at an Alberta and British Columbia Outreach</t>
        </is>
      </c>
      <c r="G1917" t="inlineStr">
        <is>
          <t>Soutenir le secrétaire parlementaire à un événement de sensibilisation en Alberta et en Colombie-Britannique</t>
        </is>
      </c>
      <c r="H1917" s="1" t="n">
        <v>44949</v>
      </c>
      <c r="I1917" s="1" t="n">
        <v>44953</v>
      </c>
      <c r="J1917" t="inlineStr">
        <is>
          <t>Edmonton (Alberta) Canada;
Vancouver (British Columbia) Canada</t>
        </is>
      </c>
      <c r="K1917" t="inlineStr">
        <is>
          <t>Edmonton (Alberta) Canada;
Vancouver (Colombie-Britannique) Canada</t>
        </is>
      </c>
      <c r="P1917" t="n">
        <v>1198.19</v>
      </c>
      <c r="Q1917" t="n">
        <v>159.2</v>
      </c>
      <c r="R1917" t="n">
        <v>711.84</v>
      </c>
      <c r="S1917" t="n">
        <v>261.25</v>
      </c>
      <c r="T1917" t="n">
        <v>183.75</v>
      </c>
      <c r="U1917" t="n">
        <v>2514.23</v>
      </c>
      <c r="V1917" t="inlineStr">
        <is>
          <t>Gala ticket purchased for event</t>
        </is>
      </c>
      <c r="W1917" t="inlineStr">
        <is>
          <t>Billet de gala acheté pour l'événement</t>
        </is>
      </c>
      <c r="X1917" t="inlineStr">
        <is>
          <t>aafc-aac</t>
        </is>
      </c>
      <c r="Y1917" t="inlineStr">
        <is>
          <t>Agriculture and Agri-Food Canada | Agriculture et Agroalimentaire Canada</t>
        </is>
      </c>
    </row>
    <row r="1918">
      <c r="A1918" t="inlineStr">
        <is>
          <t>T-2022-P11-0015</t>
        </is>
      </c>
      <c r="B1918" t="inlineStr">
        <is>
          <t>SLE</t>
        </is>
      </c>
      <c r="C1918" t="inlineStr">
        <is>
          <t>Associate Deputy Minister</t>
        </is>
      </c>
      <c r="D1918" t="inlineStr">
        <is>
          <t>Sous-ministre déléguée</t>
        </is>
      </c>
      <c r="E1918" t="inlineStr">
        <is>
          <t>Suzy McDonald</t>
        </is>
      </c>
      <c r="F1918" t="inlineStr">
        <is>
          <t>To attend a Manitoba Outreach</t>
        </is>
      </c>
      <c r="G1918" t="inlineStr">
        <is>
          <t>Pour assister à un événement de sensibilisation au Manitoba</t>
        </is>
      </c>
      <c r="H1918" s="1" t="n">
        <v>44958</v>
      </c>
      <c r="I1918" s="1" t="n">
        <v>44960</v>
      </c>
      <c r="J1918" t="inlineStr">
        <is>
          <t>Winnipeg (Manitoba) Canada</t>
        </is>
      </c>
      <c r="K1918" t="inlineStr">
        <is>
          <t>Winnipeg (Manitoba) Canada</t>
        </is>
      </c>
      <c r="P1918" t="n">
        <v>938.62</v>
      </c>
      <c r="Q1918" t="n">
        <v>107.33</v>
      </c>
      <c r="R1918" t="n">
        <v>344.72</v>
      </c>
      <c r="S1918" t="n">
        <v>278.8</v>
      </c>
      <c r="T1918" t="n">
        <v>0</v>
      </c>
      <c r="U1918" t="n">
        <v>1669.47</v>
      </c>
      <c r="V1918" t="inlineStr">
        <is>
          <t>No conference fees</t>
        </is>
      </c>
      <c r="W1918" t="inlineStr">
        <is>
          <t>Pas de frais de conférence</t>
        </is>
      </c>
      <c r="X1918" t="inlineStr">
        <is>
          <t>aafc-aac</t>
        </is>
      </c>
      <c r="Y1918" t="inlineStr">
        <is>
          <t>Agriculture and Agri-Food Canada | Agriculture et Agroalimentaire Canada</t>
        </is>
      </c>
    </row>
    <row r="1919">
      <c r="A1919" t="inlineStr">
        <is>
          <t>T-2022-P11-0016</t>
        </is>
      </c>
      <c r="B1919" t="inlineStr">
        <is>
          <t>SLE</t>
        </is>
      </c>
      <c r="C1919" t="inlineStr">
        <is>
          <t>Corporate Secretary</t>
        </is>
      </c>
      <c r="D1919" t="inlineStr">
        <is>
          <t>Secrétaire générale</t>
        </is>
      </c>
      <c r="E1919" t="inlineStr">
        <is>
          <t>Tamara Abel</t>
        </is>
      </c>
      <c r="F1919" t="inlineStr">
        <is>
          <t>Operational activities</t>
        </is>
      </c>
      <c r="G1919" t="inlineStr">
        <is>
          <t>Activités opérationnelles</t>
        </is>
      </c>
      <c r="H1919" s="1" t="n">
        <v>44970</v>
      </c>
      <c r="I1919" s="1" t="n">
        <v>44974</v>
      </c>
      <c r="J1919" t="inlineStr">
        <is>
          <t>Ottawa (Ontario) Canada</t>
        </is>
      </c>
      <c r="K1919" t="inlineStr">
        <is>
          <t>Ottawa (Ontario) Canada</t>
        </is>
      </c>
      <c r="P1919" t="n">
        <v>865.3200000000001</v>
      </c>
      <c r="Q1919" t="n">
        <v>245.74</v>
      </c>
      <c r="R1919" t="n">
        <v>1029.48</v>
      </c>
      <c r="S1919" t="n">
        <v>496.3</v>
      </c>
      <c r="T1919" t="n">
        <v>0</v>
      </c>
      <c r="U1919" t="n">
        <v>2636.84</v>
      </c>
      <c r="V1919" t="inlineStr">
        <is>
          <t>No conference fees</t>
        </is>
      </c>
      <c r="W1919" t="inlineStr">
        <is>
          <t>Pas de frais de conférence</t>
        </is>
      </c>
      <c r="X1919" t="inlineStr">
        <is>
          <t>aafc-aac</t>
        </is>
      </c>
      <c r="Y1919" t="inlineStr">
        <is>
          <t>Agriculture and Agri-Food Canada | Agriculture et Agroalimentaire Canada</t>
        </is>
      </c>
    </row>
    <row r="1920">
      <c r="A1920" t="inlineStr">
        <is>
          <t>T-2022-P11-0017</t>
        </is>
      </c>
      <c r="B1920" t="inlineStr">
        <is>
          <t>SLE</t>
        </is>
      </c>
      <c r="C1920" t="inlineStr">
        <is>
          <t>Assistant Deputy Minister, Corporate Management Branch</t>
        </is>
      </c>
      <c r="D1920" t="inlineStr">
        <is>
          <t>Sous-ministre adjointe, Direction générale de la gestion intégrée</t>
        </is>
      </c>
      <c r="E1920" t="inlineStr">
        <is>
          <t>Marie-Claude Guérard</t>
        </is>
      </c>
      <c r="F1920" t="inlineStr">
        <is>
          <t>In-person meetings in Ottawa</t>
        </is>
      </c>
      <c r="G1920" t="inlineStr">
        <is>
          <t>Rencontres en personne à Ottawa</t>
        </is>
      </c>
      <c r="H1920" s="1" t="n">
        <v>44587</v>
      </c>
      <c r="I1920" s="1" t="n">
        <v>44587</v>
      </c>
      <c r="J1920" t="inlineStr">
        <is>
          <t>Ottawa (Ontario) Canada</t>
        </is>
      </c>
      <c r="K1920" t="inlineStr">
        <is>
          <t>Ottawa (Ontario) Canada</t>
        </is>
      </c>
      <c r="P1920" t="n">
        <v>0</v>
      </c>
      <c r="Q1920" t="n">
        <v>341.33</v>
      </c>
      <c r="R1920" t="n">
        <v>0</v>
      </c>
      <c r="S1920" t="n">
        <v>23.05</v>
      </c>
      <c r="T1920" t="n">
        <v>0</v>
      </c>
      <c r="U1920" t="n">
        <v>364.38</v>
      </c>
      <c r="X1920" t="inlineStr">
        <is>
          <t>aafc-aac</t>
        </is>
      </c>
      <c r="Y1920" t="inlineStr">
        <is>
          <t>Agriculture and Agri-Food Canada | Agriculture et Agroalimentaire Canada</t>
        </is>
      </c>
    </row>
    <row r="1921">
      <c r="A1921" t="inlineStr">
        <is>
          <t>T-2022-P11-0018</t>
        </is>
      </c>
      <c r="B1921" t="inlineStr">
        <is>
          <t>SLE</t>
        </is>
      </c>
      <c r="C1921" t="inlineStr">
        <is>
          <t>Assistant Deputy Minister, Strategic Policy Branch</t>
        </is>
      </c>
      <c r="D1921" t="inlineStr">
        <is>
          <t>Sous-ministre adjointe, Direction générale des politiques stratégiques</t>
        </is>
      </c>
      <c r="E1921" t="inlineStr">
        <is>
          <t>Natasha Kim</t>
        </is>
      </c>
      <c r="F1921" t="inlineStr">
        <is>
          <t>ADM Natasha Kim travelled to Saskatoon for Stakeholder meetings and general ADM outreach</t>
        </is>
      </c>
      <c r="G1921" t="inlineStr">
        <is>
          <t>La SMA Natasha Kim s'est rendue à Saskatoon pour des réunions avec les intervenants et des activités générales de sensibilisation des SMA.</t>
        </is>
      </c>
      <c r="H1921" s="1" t="n">
        <v>44948</v>
      </c>
      <c r="I1921" s="1" t="n">
        <v>44951</v>
      </c>
      <c r="J1921" t="inlineStr">
        <is>
          <t>Saskatoon (Saskatchewan) Canada</t>
        </is>
      </c>
      <c r="K1921" t="inlineStr">
        <is>
          <t>Saskatoon (Saskatchewan) Canada</t>
        </is>
      </c>
      <c r="P1921" t="n">
        <v>3283.46</v>
      </c>
      <c r="Q1921" t="n">
        <v>315.74</v>
      </c>
      <c r="R1921" t="n">
        <v>583.11</v>
      </c>
      <c r="S1921" t="n">
        <v>353.5</v>
      </c>
      <c r="T1921" t="n">
        <v>0</v>
      </c>
      <c r="U1921" t="n">
        <v>4535.81</v>
      </c>
      <c r="X1921" t="inlineStr">
        <is>
          <t>aafc-aac</t>
        </is>
      </c>
      <c r="Y1921" t="inlineStr">
        <is>
          <t>Agriculture and Agri-Food Canada | Agriculture et Agroalimentaire Canada</t>
        </is>
      </c>
    </row>
    <row r="1922">
      <c r="A1922" t="inlineStr">
        <is>
          <t>T-2022-P11-0019</t>
        </is>
      </c>
      <c r="B1922" t="inlineStr">
        <is>
          <t>SLE</t>
        </is>
      </c>
      <c r="C1922" t="inlineStr">
        <is>
          <t>Chief Information Officer, Information Systems Branch</t>
        </is>
      </c>
      <c r="D1922" t="inlineStr">
        <is>
          <t>Dirigeante principale de l'information, Direction générale des systèmes information</t>
        </is>
      </c>
      <c r="E1922" t="inlineStr">
        <is>
          <t>Vidya ShankarNarayan</t>
        </is>
      </c>
      <c r="F1922" t="inlineStr">
        <is>
          <t>St-Jean site visit September 7 2022</t>
        </is>
      </c>
      <c r="G1922" t="inlineStr">
        <is>
          <t>Visite du site St-Jean le 7 septembre 2022</t>
        </is>
      </c>
      <c r="H1922" s="1" t="n">
        <v>44811</v>
      </c>
      <c r="I1922" s="1" t="n">
        <v>45176</v>
      </c>
      <c r="J1922" t="inlineStr">
        <is>
          <t>St-Jean-sur-Richelieu (Quebec) Canada</t>
        </is>
      </c>
      <c r="K1922" t="inlineStr">
        <is>
          <t>St-Jean-sur-Richelieu (Québec) Canada</t>
        </is>
      </c>
      <c r="P1922" t="n">
        <v>0</v>
      </c>
      <c r="Q1922" t="n">
        <v>0</v>
      </c>
      <c r="R1922" t="n">
        <v>0</v>
      </c>
      <c r="S1922" t="n">
        <v>54.4</v>
      </c>
      <c r="T1922" t="n">
        <v>0</v>
      </c>
      <c r="U1922" t="n">
        <v>54.4</v>
      </c>
      <c r="X1922" t="inlineStr">
        <is>
          <t>aafc-aac</t>
        </is>
      </c>
      <c r="Y1922" t="inlineStr">
        <is>
          <t>Agriculture and Agri-Food Canada | Agriculture et Agroalimentaire Canada</t>
        </is>
      </c>
    </row>
    <row r="1923">
      <c r="A1923" t="inlineStr">
        <is>
          <t>T-2022-P12-0001</t>
        </is>
      </c>
      <c r="B1923" t="inlineStr">
        <is>
          <t>MPSES</t>
        </is>
      </c>
      <c r="C1923" t="inlineStr">
        <is>
          <t>Minister</t>
        </is>
      </c>
      <c r="D1923" t="inlineStr">
        <is>
          <t>Ministre</t>
        </is>
      </c>
      <c r="E1923" t="inlineStr">
        <is>
          <t>Marie-Claude Bibeau</t>
        </is>
      </c>
      <c r="F1923" t="inlineStr">
        <is>
          <t>Attend the Ontario Tour</t>
        </is>
      </c>
      <c r="G1923" t="inlineStr">
        <is>
          <t>Assister à la tournée en Ontario</t>
        </is>
      </c>
      <c r="H1923" s="1" t="n">
        <v>44985</v>
      </c>
      <c r="I1923" s="1" t="n">
        <v>44988</v>
      </c>
      <c r="J1923" t="inlineStr">
        <is>
          <t>Kitchener (Ontario) Canada
Guelph (Ontario) Canada</t>
        </is>
      </c>
      <c r="K1923" t="inlineStr">
        <is>
          <t>Kitchener (Ontario) Canada
Guelph (Ontario) Canada</t>
        </is>
      </c>
      <c r="P1923" t="n">
        <v>650.46</v>
      </c>
      <c r="Q1923" t="n">
        <v>0</v>
      </c>
      <c r="R1923" t="n">
        <v>521.4299999999999</v>
      </c>
      <c r="S1923" t="n">
        <v>295.55</v>
      </c>
      <c r="T1923" t="n">
        <v>0</v>
      </c>
      <c r="U1923" t="n">
        <v>1467.44</v>
      </c>
      <c r="X1923" t="inlineStr">
        <is>
          <t>aafc-aac</t>
        </is>
      </c>
      <c r="Y1923" t="inlineStr">
        <is>
          <t>Agriculture and Agri-Food Canada | Agriculture et Agroalimentaire Canada</t>
        </is>
      </c>
    </row>
    <row r="1924">
      <c r="A1924" t="inlineStr">
        <is>
          <t>T-2022-P12-0002</t>
        </is>
      </c>
      <c r="B1924" t="inlineStr">
        <is>
          <t>MPSES</t>
        </is>
      </c>
      <c r="C1924" t="inlineStr">
        <is>
          <t>Minister</t>
        </is>
      </c>
      <c r="D1924" t="inlineStr">
        <is>
          <t>Ministre</t>
        </is>
      </c>
      <c r="E1924" t="inlineStr">
        <is>
          <t>Marie-Claude Bibeau</t>
        </is>
      </c>
      <c r="F1924" t="inlineStr">
        <is>
          <t>Attend the Western Outreach meetings</t>
        </is>
      </c>
      <c r="G1924" t="inlineStr">
        <is>
          <t>Assister aux réunions de sensibilisation de l'Ouest</t>
        </is>
      </c>
      <c r="H1924" s="1" t="n">
        <v>44997</v>
      </c>
      <c r="I1924" s="1" t="n">
        <v>45001</v>
      </c>
      <c r="J1924" t="inlineStr">
        <is>
          <t>Calgary (Alberta) Canada
Vancouver (British Columbia) Canada</t>
        </is>
      </c>
      <c r="K1924" t="inlineStr">
        <is>
          <t>Calgary (Alberta) Canada
Vancouver (Colombie-Britannique) Canada</t>
        </is>
      </c>
      <c r="P1924" t="n">
        <v>1460.63</v>
      </c>
      <c r="Q1924" t="n">
        <v>0</v>
      </c>
      <c r="R1924" t="n">
        <v>927.16</v>
      </c>
      <c r="S1924" t="n">
        <v>409.8</v>
      </c>
      <c r="T1924" t="n">
        <v>0</v>
      </c>
      <c r="U1924" t="n">
        <v>2797.59</v>
      </c>
      <c r="X1924" t="inlineStr">
        <is>
          <t>aafc-aac</t>
        </is>
      </c>
      <c r="Y1924" t="inlineStr">
        <is>
          <t>Agriculture and Agri-Food Canada | Agriculture et Agroalimentaire Canada</t>
        </is>
      </c>
    </row>
    <row r="1925">
      <c r="A1925" t="inlineStr">
        <is>
          <t>T-2022-P12-0003</t>
        </is>
      </c>
      <c r="B1925" t="inlineStr">
        <is>
          <t>MPSES</t>
        </is>
      </c>
      <c r="C1925" t="inlineStr">
        <is>
          <t>Director of Operations</t>
        </is>
      </c>
      <c r="D1925" t="inlineStr">
        <is>
          <t>Directeur des opérations</t>
        </is>
      </c>
      <c r="E1925" t="inlineStr">
        <is>
          <t>Abed Harb</t>
        </is>
      </c>
      <c r="F1925" t="inlineStr">
        <is>
          <t>Support the Minister to attend the Ontario tour</t>
        </is>
      </c>
      <c r="G1925" t="inlineStr">
        <is>
          <t>Soutenir la ministre à la tournée en Ontario</t>
        </is>
      </c>
      <c r="H1925" s="1" t="n">
        <v>44985</v>
      </c>
      <c r="I1925" s="1" t="n">
        <v>44989</v>
      </c>
      <c r="J1925" t="inlineStr">
        <is>
          <t>Kitchener (Ontario) Canada
Guelph (Ontario) Canada</t>
        </is>
      </c>
      <c r="K1925" t="inlineStr">
        <is>
          <t>Kitchener (Ontario) Canada
Guelph (Ontario) Canada</t>
        </is>
      </c>
      <c r="P1925" t="n">
        <v>854.0700000000001</v>
      </c>
      <c r="Q1925" t="n">
        <v>136.44</v>
      </c>
      <c r="R1925" t="n">
        <v>521.4299999999999</v>
      </c>
      <c r="S1925" t="n">
        <v>364.2</v>
      </c>
      <c r="T1925" t="n">
        <v>0</v>
      </c>
      <c r="U1925" t="n">
        <v>1876.14</v>
      </c>
      <c r="X1925" t="inlineStr">
        <is>
          <t>aafc-aac</t>
        </is>
      </c>
      <c r="Y1925" t="inlineStr">
        <is>
          <t>Agriculture and Agri-Food Canada | Agriculture et Agroalimentaire Canada</t>
        </is>
      </c>
    </row>
    <row r="1926">
      <c r="A1926" t="inlineStr">
        <is>
          <t>T-2022-P12-0004</t>
        </is>
      </c>
      <c r="B1926" t="inlineStr">
        <is>
          <t>MPSES</t>
        </is>
      </c>
      <c r="C1926" t="inlineStr">
        <is>
          <t>Director of Operations</t>
        </is>
      </c>
      <c r="D1926" t="inlineStr">
        <is>
          <t>Directeur des opérations</t>
        </is>
      </c>
      <c r="E1926" t="inlineStr">
        <is>
          <t>Abed Harb</t>
        </is>
      </c>
      <c r="F1926" t="inlineStr">
        <is>
          <t>Support the Minister to attend the Western Outreach meetings</t>
        </is>
      </c>
      <c r="G1926" t="inlineStr">
        <is>
          <t>Assister la ministre aux réunions de sensibilisation de l'Ouest</t>
        </is>
      </c>
      <c r="H1926" s="1" t="n">
        <v>44999</v>
      </c>
      <c r="I1926" s="1" t="n">
        <v>45003</v>
      </c>
      <c r="J1926" t="inlineStr">
        <is>
          <t>Calgary (Alberta) Canada
Vancouver (British Columbia) Canada</t>
        </is>
      </c>
      <c r="K1926" t="inlineStr">
        <is>
          <t>Calgary (Alberta) Canada
Vancouver (Colombie-Britannique) Canada</t>
        </is>
      </c>
      <c r="P1926" t="n">
        <v>344.29</v>
      </c>
      <c r="Q1926" t="n">
        <v>73.23</v>
      </c>
      <c r="R1926" t="n">
        <v>480.32</v>
      </c>
      <c r="S1926" t="n">
        <v>284.55</v>
      </c>
      <c r="T1926" t="n">
        <v>0</v>
      </c>
      <c r="U1926" t="n">
        <v>1182.39</v>
      </c>
      <c r="X1926" t="inlineStr">
        <is>
          <t>aafc-aac</t>
        </is>
      </c>
      <c r="Y1926" t="inlineStr">
        <is>
          <t>Agriculture and Agri-Food Canada | Agriculture et Agroalimentaire Canada</t>
        </is>
      </c>
    </row>
    <row r="1927">
      <c r="A1927" t="inlineStr">
        <is>
          <t>T-2022-P12-0005</t>
        </is>
      </c>
      <c r="B1927" t="inlineStr">
        <is>
          <t>MPSES</t>
        </is>
      </c>
      <c r="C1927" t="inlineStr">
        <is>
          <t>Director of Regional Affairs</t>
        </is>
      </c>
      <c r="D1927" t="inlineStr">
        <is>
          <t>Directrice des affaires régionales</t>
        </is>
      </c>
      <c r="E1927" t="inlineStr">
        <is>
          <t>Alison Porter</t>
        </is>
      </c>
      <c r="F1927" t="inlineStr">
        <is>
          <t>Attend a Prime Minister's Office training as well as meetings with the Minister and stakeholders</t>
        </is>
      </c>
      <c r="G1927" t="inlineStr">
        <is>
          <t>Participer à une formation au cabinet du Premier ministre ainsi qu'à des réunions avec la ministre et les parties prenantes</t>
        </is>
      </c>
      <c r="H1927" s="1" t="n">
        <v>44952</v>
      </c>
      <c r="I1927" s="1" t="n">
        <v>44952</v>
      </c>
      <c r="J1927" t="inlineStr">
        <is>
          <t>Ottawa (Ontario) Canada</t>
        </is>
      </c>
      <c r="K1927" t="inlineStr">
        <is>
          <t>Ottawa (Ontario) Canada</t>
        </is>
      </c>
      <c r="P1927" t="n">
        <v>0</v>
      </c>
      <c r="Q1927" t="n">
        <v>164.51</v>
      </c>
      <c r="R1927" t="n">
        <v>0</v>
      </c>
      <c r="S1927" t="n">
        <v>102.45</v>
      </c>
      <c r="T1927" t="n">
        <v>0</v>
      </c>
      <c r="U1927" t="n">
        <v>266.96</v>
      </c>
      <c r="X1927" t="inlineStr">
        <is>
          <t>aafc-aac</t>
        </is>
      </c>
      <c r="Y1927" t="inlineStr">
        <is>
          <t>Agriculture and Agri-Food Canada | Agriculture et Agroalimentaire Canada</t>
        </is>
      </c>
    </row>
    <row r="1928">
      <c r="A1928" t="inlineStr">
        <is>
          <t>T-2022-P12-0006</t>
        </is>
      </c>
      <c r="B1928" t="inlineStr">
        <is>
          <t>MPSES</t>
        </is>
      </c>
      <c r="C1928" t="inlineStr">
        <is>
          <t>Director of Regional Affairs</t>
        </is>
      </c>
      <c r="D1928" t="inlineStr">
        <is>
          <t>Directrice des affaires régionales</t>
        </is>
      </c>
      <c r="E1928" t="inlineStr">
        <is>
          <t>Alison Porter</t>
        </is>
      </c>
      <c r="F1928" t="inlineStr">
        <is>
          <t>Support the Minister at the Canadian Agriculture Day events and meeting with stakeholders</t>
        </is>
      </c>
      <c r="G1928" t="inlineStr">
        <is>
          <t>Soutenir la ministre lors des événements organisés à l'occasion de la Journée de l'agriculture canadienne et lors des réunions avec les parties prenantes</t>
        </is>
      </c>
      <c r="H1928" s="1" t="n">
        <v>44972</v>
      </c>
      <c r="I1928" s="1" t="n">
        <v>44973</v>
      </c>
      <c r="J1928" t="inlineStr">
        <is>
          <t>Ottawa (Ontario) Canada</t>
        </is>
      </c>
      <c r="K1928" t="inlineStr">
        <is>
          <t>Ottawa (Ontario) Canada</t>
        </is>
      </c>
      <c r="P1928" t="n">
        <v>0</v>
      </c>
      <c r="Q1928" t="n">
        <v>240.35</v>
      </c>
      <c r="R1928" t="n">
        <v>0</v>
      </c>
      <c r="S1928" t="n">
        <v>125.5</v>
      </c>
      <c r="T1928" t="n">
        <v>0</v>
      </c>
      <c r="U1928" t="n">
        <v>365.85</v>
      </c>
      <c r="X1928" t="inlineStr">
        <is>
          <t>aafc-aac</t>
        </is>
      </c>
      <c r="Y1928" t="inlineStr">
        <is>
          <t>Agriculture and Agri-Food Canada | Agriculture et Agroalimentaire Canada</t>
        </is>
      </c>
    </row>
    <row r="1929">
      <c r="A1929" t="inlineStr">
        <is>
          <t>T-2022-P12-0007</t>
        </is>
      </c>
      <c r="B1929" t="inlineStr">
        <is>
          <t>MPSES</t>
        </is>
      </c>
      <c r="C1929" t="inlineStr">
        <is>
          <t>Director of Regional Affairs</t>
        </is>
      </c>
      <c r="D1929" t="inlineStr">
        <is>
          <t>Directrice des affaires régionales</t>
        </is>
      </c>
      <c r="E1929" t="inlineStr">
        <is>
          <t>Alison Porter</t>
        </is>
      </c>
      <c r="F1929" t="inlineStr">
        <is>
          <t>Support the Minister and Prime Minister at the Union des producteurs agricoles Town Hall meeting</t>
        </is>
      </c>
      <c r="G1929" t="inlineStr">
        <is>
          <t>Soutenir la ministre et le Premier ministre lors de la réunion publique de l'Union des producteurs agricoles</t>
        </is>
      </c>
      <c r="H1929" s="1" t="n">
        <v>44979</v>
      </c>
      <c r="I1929" s="1" t="n">
        <v>44979</v>
      </c>
      <c r="J1929" t="inlineStr">
        <is>
          <t>Québec (Quebec) Canada</t>
        </is>
      </c>
      <c r="K1929" t="inlineStr">
        <is>
          <t>Québec (Québec) Canada</t>
        </is>
      </c>
      <c r="P1929" t="n">
        <v>0</v>
      </c>
      <c r="Q1929" t="n">
        <v>26.85</v>
      </c>
      <c r="R1929" t="n">
        <v>0</v>
      </c>
      <c r="S1929" t="n">
        <v>0</v>
      </c>
      <c r="T1929" t="n">
        <v>0</v>
      </c>
      <c r="U1929" t="n">
        <v>26.85</v>
      </c>
      <c r="X1929" t="inlineStr">
        <is>
          <t>aafc-aac</t>
        </is>
      </c>
      <c r="Y1929" t="inlineStr">
        <is>
          <t>Agriculture and Agri-Food Canada | Agriculture et Agroalimentaire Canada</t>
        </is>
      </c>
    </row>
    <row r="1930">
      <c r="A1930" t="inlineStr">
        <is>
          <t>T-2022-P12-0008</t>
        </is>
      </c>
      <c r="B1930" t="inlineStr">
        <is>
          <t>MPSES</t>
        </is>
      </c>
      <c r="C1930" t="inlineStr">
        <is>
          <t>Driver</t>
        </is>
      </c>
      <c r="D1930" t="inlineStr">
        <is>
          <t>Chauffeur</t>
        </is>
      </c>
      <c r="E1930" t="inlineStr">
        <is>
          <t>Michel Gendreau</t>
        </is>
      </c>
      <c r="F1930" t="inlineStr">
        <is>
          <t>Drive the Minister from her riding to surrounding areas for the Quebec tour</t>
        </is>
      </c>
      <c r="G1930" t="inlineStr">
        <is>
          <t>Conduire la ministre de sa circonscription aux régions environnantes pour la tournée du Québec</t>
        </is>
      </c>
      <c r="H1930" s="1" t="n">
        <v>44978</v>
      </c>
      <c r="I1930" s="1" t="n">
        <v>44981</v>
      </c>
      <c r="J1930" t="inlineStr">
        <is>
          <t>Sherbrooke (Quebec) Canada
Québec (Quebec) Canada</t>
        </is>
      </c>
      <c r="K1930" t="inlineStr">
        <is>
          <t>Sherbrooke (Québec) Canada
Québec (Québec) Canada</t>
        </is>
      </c>
      <c r="P1930" t="n">
        <v>0</v>
      </c>
      <c r="Q1930" t="n">
        <v>7</v>
      </c>
      <c r="R1930" t="n">
        <v>389.13</v>
      </c>
      <c r="S1930" t="n">
        <v>56.6</v>
      </c>
      <c r="T1930" t="n">
        <v>0</v>
      </c>
      <c r="U1930" t="n">
        <v>452.73</v>
      </c>
      <c r="X1930" t="inlineStr">
        <is>
          <t>aafc-aac</t>
        </is>
      </c>
      <c r="Y1930" t="inlineStr">
        <is>
          <t>Agriculture and Agri-Food Canada | Agriculture et Agroalimentaire Canada</t>
        </is>
      </c>
    </row>
    <row r="1931">
      <c r="A1931" t="inlineStr">
        <is>
          <t>T-2022-P12-0009</t>
        </is>
      </c>
      <c r="B1931" t="inlineStr">
        <is>
          <t>MPSES</t>
        </is>
      </c>
      <c r="C1931" t="inlineStr">
        <is>
          <t>Driver</t>
        </is>
      </c>
      <c r="D1931" t="inlineStr">
        <is>
          <t>Chauffeur</t>
        </is>
      </c>
      <c r="E1931" t="inlineStr">
        <is>
          <t>Michel Gendreau</t>
        </is>
      </c>
      <c r="F1931" t="inlineStr">
        <is>
          <t>Drive the Minister from her riding to the Montréal Airport for her flight</t>
        </is>
      </c>
      <c r="G1931" t="inlineStr">
        <is>
          <t>Conduire la ministre de sa circonscription à l'aéroport de Montréal pour son vol</t>
        </is>
      </c>
      <c r="H1931" s="1" t="n">
        <v>44985</v>
      </c>
      <c r="I1931" s="1" t="n">
        <v>44985</v>
      </c>
      <c r="J1931" t="inlineStr">
        <is>
          <t>Sherbrooke (Quebec) Canada
Montréal (Quebec) Canada</t>
        </is>
      </c>
      <c r="K1931" t="inlineStr">
        <is>
          <t>Sherbrooke (Québec) Canada
Montréal (Québec) Canada</t>
        </is>
      </c>
      <c r="P1931" t="n">
        <v>0</v>
      </c>
      <c r="Q1931" t="n">
        <v>3.5</v>
      </c>
      <c r="R1931" t="n">
        <v>0</v>
      </c>
      <c r="S1931" t="n">
        <v>79.65000000000001</v>
      </c>
      <c r="T1931" t="n">
        <v>0</v>
      </c>
      <c r="U1931" t="n">
        <v>83.15000000000001</v>
      </c>
      <c r="X1931" t="inlineStr">
        <is>
          <t>aafc-aac</t>
        </is>
      </c>
      <c r="Y1931" t="inlineStr">
        <is>
          <t>Agriculture and Agri-Food Canada | Agriculture et Agroalimentaire Canada</t>
        </is>
      </c>
    </row>
    <row r="1932">
      <c r="A1932" t="inlineStr">
        <is>
          <t>T-2022-P12-0010</t>
        </is>
      </c>
      <c r="B1932" t="inlineStr">
        <is>
          <t>MPSES</t>
        </is>
      </c>
      <c r="C1932" t="inlineStr">
        <is>
          <t>Driver</t>
        </is>
      </c>
      <c r="D1932" t="inlineStr">
        <is>
          <t>Chauffeur</t>
        </is>
      </c>
      <c r="E1932" t="inlineStr">
        <is>
          <t>Michel Gendreau</t>
        </is>
      </c>
      <c r="F1932" t="inlineStr">
        <is>
          <t>Drive the Minister from her riding to Ottawa</t>
        </is>
      </c>
      <c r="G1932" t="inlineStr">
        <is>
          <t>Conduire la ministre de sa circonscription à Ottawa</t>
        </is>
      </c>
      <c r="H1932" s="1" t="n">
        <v>44990</v>
      </c>
      <c r="I1932" s="1" t="n">
        <v>44991</v>
      </c>
      <c r="J1932" t="inlineStr">
        <is>
          <t>Sherbrooke (Quebec) Canada
Ottawa (Ontario) Canada</t>
        </is>
      </c>
      <c r="K1932" t="inlineStr">
        <is>
          <t>Sherbrooke (Québec) Canada
Ottawa (Ontario) Canada</t>
        </is>
      </c>
      <c r="P1932" t="n">
        <v>0</v>
      </c>
      <c r="Q1932" t="n">
        <v>7</v>
      </c>
      <c r="R1932" t="n">
        <v>129.71</v>
      </c>
      <c r="S1932" t="n">
        <v>79.40000000000001</v>
      </c>
      <c r="T1932" t="n">
        <v>0</v>
      </c>
      <c r="U1932" t="n">
        <v>216.11</v>
      </c>
      <c r="X1932" t="inlineStr">
        <is>
          <t>aafc-aac</t>
        </is>
      </c>
      <c r="Y1932" t="inlineStr">
        <is>
          <t>Agriculture and Agri-Food Canada | Agriculture et Agroalimentaire Canada</t>
        </is>
      </c>
    </row>
    <row r="1933">
      <c r="A1933" t="inlineStr">
        <is>
          <t>T-2022-P12-0011</t>
        </is>
      </c>
      <c r="B1933" t="inlineStr">
        <is>
          <t>MPSES</t>
        </is>
      </c>
      <c r="C1933" t="inlineStr">
        <is>
          <t>Driver</t>
        </is>
      </c>
      <c r="D1933" t="inlineStr">
        <is>
          <t>Chauffeur</t>
        </is>
      </c>
      <c r="E1933" t="inlineStr">
        <is>
          <t>Michel Gendreau</t>
        </is>
      </c>
      <c r="F1933" t="inlineStr">
        <is>
          <t>Drive the Minister from Ottawa to her riding</t>
        </is>
      </c>
      <c r="G1933" t="inlineStr">
        <is>
          <t>Conduire la ministre d'Ottawa à sa circonscription</t>
        </is>
      </c>
      <c r="H1933" s="1" t="n">
        <v>44994</v>
      </c>
      <c r="I1933" s="1" t="n">
        <v>44994</v>
      </c>
      <c r="J1933" t="inlineStr">
        <is>
          <t>Ottawa (Ontario) Canada
Sherbrooke (Quebec) Canada</t>
        </is>
      </c>
      <c r="K1933" t="inlineStr">
        <is>
          <t>Ottawa (Ontario) Canada
Sherbrooke (Québec) Canada</t>
        </is>
      </c>
      <c r="P1933" t="n">
        <v>0</v>
      </c>
      <c r="Q1933" t="n">
        <v>7</v>
      </c>
      <c r="R1933" t="n">
        <v>0</v>
      </c>
      <c r="S1933" t="n">
        <v>56.6</v>
      </c>
      <c r="T1933" t="n">
        <v>0</v>
      </c>
      <c r="U1933" t="n">
        <v>63.6</v>
      </c>
      <c r="X1933" t="inlineStr">
        <is>
          <t>aafc-aac</t>
        </is>
      </c>
      <c r="Y1933" t="inlineStr">
        <is>
          <t>Agriculture and Agri-Food Canada | Agriculture et Agroalimentaire Canada</t>
        </is>
      </c>
    </row>
    <row r="1934">
      <c r="A1934" t="inlineStr">
        <is>
          <t>T-2022-P12-0012</t>
        </is>
      </c>
      <c r="B1934" t="inlineStr">
        <is>
          <t>MPSES</t>
        </is>
      </c>
      <c r="C1934" t="inlineStr">
        <is>
          <t>Driver</t>
        </is>
      </c>
      <c r="D1934" t="inlineStr">
        <is>
          <t>Chauffeur</t>
        </is>
      </c>
      <c r="E1934" t="inlineStr">
        <is>
          <t>Michel Gendreau</t>
        </is>
      </c>
      <c r="F1934" t="inlineStr">
        <is>
          <t>Drive the Minister from the Montréal Airport to her riding</t>
        </is>
      </c>
      <c r="G1934" t="inlineStr">
        <is>
          <t>Conduire la ministre de l'aéroport de Montréal à sa circonscription</t>
        </is>
      </c>
      <c r="H1934" s="1" t="n">
        <v>45001</v>
      </c>
      <c r="I1934" s="1" t="n">
        <v>45001</v>
      </c>
      <c r="J1934" t="inlineStr">
        <is>
          <t>Montreal (Quebec) Canada
Sherbrooke (Quebec) Canada</t>
        </is>
      </c>
      <c r="K1934" t="inlineStr">
        <is>
          <t>Montréal (Québec) Canada
Sherbrooke (Québec) Canada</t>
        </is>
      </c>
      <c r="P1934" t="n">
        <v>0</v>
      </c>
      <c r="Q1934" t="n">
        <v>3.5</v>
      </c>
      <c r="R1934" t="n">
        <v>0</v>
      </c>
      <c r="S1934" t="n">
        <v>56.6</v>
      </c>
      <c r="T1934" t="n">
        <v>0</v>
      </c>
      <c r="U1934" t="n">
        <v>60.1</v>
      </c>
      <c r="X1934" t="inlineStr">
        <is>
          <t>aafc-aac</t>
        </is>
      </c>
      <c r="Y1934" t="inlineStr">
        <is>
          <t>Agriculture and Agri-Food Canada | Agriculture et Agroalimentaire Canada</t>
        </is>
      </c>
    </row>
    <row r="1935">
      <c r="A1935" t="inlineStr">
        <is>
          <t>T-2022-P12-0013</t>
        </is>
      </c>
      <c r="B1935" t="inlineStr">
        <is>
          <t>MPSES</t>
        </is>
      </c>
      <c r="C1935" t="inlineStr">
        <is>
          <t>Driver</t>
        </is>
      </c>
      <c r="D1935" t="inlineStr">
        <is>
          <t>Chauffeur</t>
        </is>
      </c>
      <c r="E1935" t="inlineStr">
        <is>
          <t>Michel Gendreau</t>
        </is>
      </c>
      <c r="F1935" t="inlineStr">
        <is>
          <t>Drive the Minister from her riding to Ottawa</t>
        </is>
      </c>
      <c r="G1935" t="inlineStr">
        <is>
          <t>Conduire la ministre de sa circonscription à Ottawa</t>
        </is>
      </c>
      <c r="H1935" s="1" t="n">
        <v>45004</v>
      </c>
      <c r="I1935" s="1" t="n">
        <v>45005</v>
      </c>
      <c r="J1935" t="inlineStr">
        <is>
          <t>Ottawa (Ontario) Canada
Sherbrooke (Quebec) Canada</t>
        </is>
      </c>
      <c r="K1935" t="inlineStr">
        <is>
          <t>Ottawa (Ontario) Canada
Sherbrooke (Québec) Canada</t>
        </is>
      </c>
      <c r="P1935" t="n">
        <v>0</v>
      </c>
      <c r="Q1935" t="n">
        <v>7</v>
      </c>
      <c r="R1935" t="n">
        <v>129.71</v>
      </c>
      <c r="S1935" t="n">
        <v>79.40000000000001</v>
      </c>
      <c r="T1935" t="n">
        <v>0</v>
      </c>
      <c r="U1935" t="n">
        <v>216.11</v>
      </c>
      <c r="X1935" t="inlineStr">
        <is>
          <t>aafc-aac</t>
        </is>
      </c>
      <c r="Y1935" t="inlineStr">
        <is>
          <t>Agriculture and Agri-Food Canada | Agriculture et Agroalimentaire Canada</t>
        </is>
      </c>
    </row>
    <row r="1936">
      <c r="A1936" t="inlineStr">
        <is>
          <t>T-2022-P12-0014</t>
        </is>
      </c>
      <c r="B1936" t="inlineStr">
        <is>
          <t>MPSES</t>
        </is>
      </c>
      <c r="C1936" t="inlineStr">
        <is>
          <t>Policy Advisor</t>
        </is>
      </c>
      <c r="D1936" t="inlineStr">
        <is>
          <t>Conseillère en politiques</t>
        </is>
      </c>
      <c r="E1936" t="inlineStr">
        <is>
          <t>Christine Harvey</t>
        </is>
      </c>
      <c r="F1936" t="inlineStr">
        <is>
          <t>Support the Minister to attend the Quebec tour</t>
        </is>
      </c>
      <c r="G1936" t="inlineStr">
        <is>
          <t>Soutenir la ministre à la tournée au Québec</t>
        </is>
      </c>
      <c r="H1936" s="1" t="n">
        <v>44979</v>
      </c>
      <c r="I1936" s="1" t="n">
        <v>44981</v>
      </c>
      <c r="J1936" t="inlineStr">
        <is>
          <t>Québec (Quebec) Canada</t>
        </is>
      </c>
      <c r="K1936" t="inlineStr">
        <is>
          <t>Québec (Québec) Canada</t>
        </is>
      </c>
      <c r="P1936" t="n">
        <v>0</v>
      </c>
      <c r="Q1936" t="n">
        <v>108.91</v>
      </c>
      <c r="R1936" t="n">
        <v>141.85</v>
      </c>
      <c r="S1936" t="n">
        <v>46.1</v>
      </c>
      <c r="T1936" t="n">
        <v>0</v>
      </c>
      <c r="U1936" t="n">
        <v>296.86</v>
      </c>
      <c r="X1936" t="inlineStr">
        <is>
          <t>aafc-aac</t>
        </is>
      </c>
      <c r="Y1936" t="inlineStr">
        <is>
          <t>Agriculture and Agri-Food Canada | Agriculture et Agroalimentaire Canada</t>
        </is>
      </c>
    </row>
    <row r="1937">
      <c r="A1937" t="inlineStr">
        <is>
          <t>T-2022-P12-0015</t>
        </is>
      </c>
      <c r="B1937" t="inlineStr">
        <is>
          <t>MPSES</t>
        </is>
      </c>
      <c r="C1937" t="inlineStr">
        <is>
          <t>Assistant to the Parliamentary Secretary</t>
        </is>
      </c>
      <c r="D1937" t="inlineStr">
        <is>
          <t>Adjoint au secrétaire parlementaire</t>
        </is>
      </c>
      <c r="E1937" t="inlineStr">
        <is>
          <t>Patrick Mangan</t>
        </is>
      </c>
      <c r="F1937" t="inlineStr">
        <is>
          <t>Support the Minister to attend the Ontario tour</t>
        </is>
      </c>
      <c r="G1937" t="inlineStr">
        <is>
          <t>Soutenir la ministre à la tournée en Ontario</t>
        </is>
      </c>
      <c r="H1937" s="1" t="n">
        <v>44985</v>
      </c>
      <c r="I1937" s="1" t="n">
        <v>44990</v>
      </c>
      <c r="J1937" t="inlineStr">
        <is>
          <t>Kitchener (Ontario) Canada
Guelph (Ontario) Canada</t>
        </is>
      </c>
      <c r="K1937" t="inlineStr">
        <is>
          <t>Kitchener (Ontario) Canada
Guelph (Ontario) Canada</t>
        </is>
      </c>
      <c r="P1937" t="n">
        <v>691.14</v>
      </c>
      <c r="Q1937" t="n">
        <v>59.91</v>
      </c>
      <c r="R1937" t="n">
        <v>521.4299999999999</v>
      </c>
      <c r="S1937" t="n">
        <v>295.55</v>
      </c>
      <c r="T1937" t="n">
        <v>0</v>
      </c>
      <c r="U1937" t="n">
        <v>1568.03</v>
      </c>
      <c r="X1937" t="inlineStr">
        <is>
          <t>aafc-aac</t>
        </is>
      </c>
      <c r="Y1937" t="inlineStr">
        <is>
          <t>Agriculture and Agri-Food Canada | Agriculture et Agroalimentaire Canada</t>
        </is>
      </c>
    </row>
    <row r="1938">
      <c r="A1938" t="inlineStr">
        <is>
          <t>T-2022-P12-0016</t>
        </is>
      </c>
      <c r="B1938" t="inlineStr">
        <is>
          <t>SLE</t>
        </is>
      </c>
      <c r="C1938" t="inlineStr">
        <is>
          <t>Associate Deputy Minister</t>
        </is>
      </c>
      <c r="D1938" t="inlineStr">
        <is>
          <t>Sous-ministre déléguée</t>
        </is>
      </c>
      <c r="E1938" t="inlineStr">
        <is>
          <t>Suzy McDonald</t>
        </is>
      </c>
      <c r="F1938" t="inlineStr">
        <is>
          <t>Attend a Quebec Outreach</t>
        </is>
      </c>
      <c r="G1938" t="inlineStr">
        <is>
          <t>Assister à un événement de sensibilisation à Québec</t>
        </is>
      </c>
      <c r="H1938" s="1" t="n">
        <v>44991</v>
      </c>
      <c r="I1938" s="1" t="n">
        <v>44993</v>
      </c>
      <c r="J1938" t="inlineStr">
        <is>
          <t>Québec (Quebec) Canada</t>
        </is>
      </c>
      <c r="K1938" t="inlineStr">
        <is>
          <t>Québec (Québec) Canada</t>
        </is>
      </c>
      <c r="P1938" t="n">
        <v>0</v>
      </c>
      <c r="Q1938" t="n">
        <v>408.96</v>
      </c>
      <c r="R1938" t="n">
        <v>492.67</v>
      </c>
      <c r="S1938" t="n">
        <v>256.8</v>
      </c>
      <c r="T1938" t="n">
        <v>0</v>
      </c>
      <c r="U1938" t="n">
        <v>1158.43</v>
      </c>
      <c r="X1938" t="inlineStr">
        <is>
          <t>aafc-aac</t>
        </is>
      </c>
      <c r="Y1938" t="inlineStr">
        <is>
          <t>Agriculture and Agri-Food Canada | Agriculture et Agroalimentaire Canada</t>
        </is>
      </c>
    </row>
    <row r="1939">
      <c r="A1939" t="inlineStr">
        <is>
          <t>T-2022-P12-0017</t>
        </is>
      </c>
      <c r="B1939" t="inlineStr">
        <is>
          <t>SLE</t>
        </is>
      </c>
      <c r="C1939" t="inlineStr">
        <is>
          <t>Corporate Secretary</t>
        </is>
      </c>
      <c r="D1939" t="inlineStr">
        <is>
          <t>Secrétaire générale</t>
        </is>
      </c>
      <c r="E1939" t="inlineStr">
        <is>
          <t>Tamara Abel</t>
        </is>
      </c>
      <c r="F1939" t="inlineStr">
        <is>
          <t>Operational activities</t>
        </is>
      </c>
      <c r="G1939" t="inlineStr">
        <is>
          <t>Activités opérationnelles</t>
        </is>
      </c>
      <c r="H1939" s="1" t="n">
        <v>44977</v>
      </c>
      <c r="I1939" s="1" t="n">
        <v>44981</v>
      </c>
      <c r="J1939" t="inlineStr">
        <is>
          <t>Ottawa (Ontario) Canada</t>
        </is>
      </c>
      <c r="K1939" t="inlineStr">
        <is>
          <t>Ottawa (Ontario) Canada</t>
        </is>
      </c>
      <c r="P1939" t="n">
        <v>1051.82</v>
      </c>
      <c r="Q1939" t="n">
        <v>90.67</v>
      </c>
      <c r="R1939" t="n">
        <v>1029.48</v>
      </c>
      <c r="S1939" t="n">
        <v>575.95</v>
      </c>
      <c r="T1939" t="n">
        <v>0</v>
      </c>
      <c r="U1939" t="n">
        <v>2747.92</v>
      </c>
      <c r="X1939" t="inlineStr">
        <is>
          <t>aafc-aac</t>
        </is>
      </c>
      <c r="Y1939" t="inlineStr">
        <is>
          <t>Agriculture and Agri-Food Canada | Agriculture et Agroalimentaire Canada</t>
        </is>
      </c>
    </row>
    <row r="1940">
      <c r="A1940" t="inlineStr">
        <is>
          <t>T-2022-P12-0018</t>
        </is>
      </c>
      <c r="B1940" t="inlineStr">
        <is>
          <t>SLE</t>
        </is>
      </c>
      <c r="C1940" t="inlineStr">
        <is>
          <t>Assistant Deputy Minister, Science and Technology Branch</t>
        </is>
      </c>
      <c r="D1940" t="inlineStr">
        <is>
          <t>Sous-ministre adjoint, Direction générale des sciences et de la technologie</t>
        </is>
      </c>
      <c r="E1940" t="inlineStr">
        <is>
          <t>Gilles Saindon</t>
        </is>
      </c>
      <c r="F1940" t="inlineStr">
        <is>
          <t>Attend a Senate Committee on Agriculture and Forestry</t>
        </is>
      </c>
      <c r="G1940" t="inlineStr">
        <is>
          <t>Participer au Comité sénatorial de l'agriculture et des forêts</t>
        </is>
      </c>
      <c r="H1940" s="1" t="n">
        <v>44971</v>
      </c>
      <c r="I1940" s="1" t="n">
        <v>44971</v>
      </c>
      <c r="J1940" t="inlineStr">
        <is>
          <t>Ottawa (Ontario) Canada</t>
        </is>
      </c>
      <c r="K1940" t="inlineStr">
        <is>
          <t>Ottawa (Ontario) Canada</t>
        </is>
      </c>
      <c r="P1940" t="n">
        <v>0</v>
      </c>
      <c r="Q1940" t="n">
        <v>17</v>
      </c>
      <c r="R1940" t="n">
        <v>0</v>
      </c>
      <c r="S1940" t="n">
        <v>0</v>
      </c>
      <c r="T1940" t="n">
        <v>25.98</v>
      </c>
      <c r="U1940" t="n">
        <v>42.98</v>
      </c>
      <c r="X1940" t="inlineStr">
        <is>
          <t>aafc-aac</t>
        </is>
      </c>
      <c r="Y1940" t="inlineStr">
        <is>
          <t>Agriculture and Agri-Food Canada | Agriculture et Agroalimentaire Canada</t>
        </is>
      </c>
    </row>
    <row r="1941">
      <c r="A1941" t="inlineStr">
        <is>
          <t>T-2022-P12-0019</t>
        </is>
      </c>
      <c r="B1941" t="inlineStr">
        <is>
          <t>SLE</t>
        </is>
      </c>
      <c r="C1941" t="inlineStr">
        <is>
          <t>Assistant Deputy Minister, Science and Technology Branch</t>
        </is>
      </c>
      <c r="D1941" t="inlineStr">
        <is>
          <t>Sous-ministre adjoint, Direction générale des sciences et de la technologie</t>
        </is>
      </c>
      <c r="E1941" t="inlineStr">
        <is>
          <t>Gilles Saindon</t>
        </is>
      </c>
      <c r="F1941" t="inlineStr">
        <is>
          <t>Attend the 4th Annual Canadian Crops Convention</t>
        </is>
      </c>
      <c r="G1941" t="inlineStr">
        <is>
          <t>Participer au 4e congrès annuel des cultures canadiennes</t>
        </is>
      </c>
      <c r="H1941" s="1" t="n">
        <v>44992</v>
      </c>
      <c r="I1941" s="1" t="n">
        <v>44994</v>
      </c>
      <c r="J1941" t="inlineStr">
        <is>
          <t>Ottawa (Ontario) Canada</t>
        </is>
      </c>
      <c r="K1941" t="inlineStr">
        <is>
          <t>Ottawa (Ontario) Canada</t>
        </is>
      </c>
      <c r="P1941" t="n">
        <v>0</v>
      </c>
      <c r="Q1941" t="n">
        <v>36</v>
      </c>
      <c r="R1941" t="n">
        <v>0</v>
      </c>
      <c r="S1941" t="n">
        <v>0</v>
      </c>
      <c r="T1941" t="n">
        <v>0</v>
      </c>
      <c r="U1941" t="n">
        <v>36</v>
      </c>
      <c r="X1941" t="inlineStr">
        <is>
          <t>aafc-aac</t>
        </is>
      </c>
      <c r="Y1941" t="inlineStr">
        <is>
          <t>Agriculture and Agri-Food Canada | Agriculture et Agroalimentaire Canada</t>
        </is>
      </c>
    </row>
    <row r="1942">
      <c r="A1942" t="inlineStr">
        <is>
          <t>T-2022-P12-0020</t>
        </is>
      </c>
      <c r="B1942" t="inlineStr">
        <is>
          <t>SLE</t>
        </is>
      </c>
      <c r="C1942" t="inlineStr">
        <is>
          <t>Assistant Deputy Minister, International Affairs Branch</t>
        </is>
      </c>
      <c r="D1942" t="inlineStr">
        <is>
          <t>Sous-ministre adjointe, Direction générale des affaires internationales</t>
        </is>
      </c>
      <c r="E1942" t="inlineStr">
        <is>
          <t xml:space="preserve">Kathleen Donohue </t>
        </is>
      </c>
      <c r="F1942" t="inlineStr">
        <is>
          <t xml:space="preserve">Attend the Pork Conference </t>
        </is>
      </c>
      <c r="G1942" t="inlineStr">
        <is>
          <t>Assister à la conférence sur le porc</t>
        </is>
      </c>
      <c r="H1942" s="1" t="n">
        <v>44966</v>
      </c>
      <c r="I1942" s="1" t="n">
        <v>44967</v>
      </c>
      <c r="J1942" t="inlineStr">
        <is>
          <t xml:space="preserve">Toronto (Ontario) Canada </t>
        </is>
      </c>
      <c r="K1942" t="inlineStr">
        <is>
          <t xml:space="preserve">Toronto (Ontario) Canada </t>
        </is>
      </c>
      <c r="P1942" t="n">
        <v>541.55</v>
      </c>
      <c r="Q1942" t="n">
        <v>79.73999999999999</v>
      </c>
      <c r="R1942" t="n">
        <v>374.89</v>
      </c>
      <c r="S1942" t="n">
        <v>136.8</v>
      </c>
      <c r="T1942" t="n">
        <v>0</v>
      </c>
      <c r="U1942" t="n">
        <v>1132.98</v>
      </c>
      <c r="X1942" t="inlineStr">
        <is>
          <t>aafc-aac</t>
        </is>
      </c>
      <c r="Y1942" t="inlineStr">
        <is>
          <t>Agriculture and Agri-Food Canada | Agriculture et Agroalimentaire Canada</t>
        </is>
      </c>
    </row>
    <row r="1943">
      <c r="A1943" t="inlineStr">
        <is>
          <t>T-2022-P12-0021</t>
        </is>
      </c>
      <c r="B1943" t="inlineStr">
        <is>
          <t>SLE</t>
        </is>
      </c>
      <c r="C1943" t="inlineStr">
        <is>
          <t>Assistant Deputy Minister, International Affairs Branch</t>
        </is>
      </c>
      <c r="D1943" t="inlineStr">
        <is>
          <t>Sous-ministre adjointe, Direction générale des affaires internationales</t>
        </is>
      </c>
      <c r="E1943" t="inlineStr">
        <is>
          <t xml:space="preserve">Kathleen Donohue </t>
        </is>
      </c>
      <c r="F1943" t="inlineStr">
        <is>
          <t xml:space="preserve">Operational Activities </t>
        </is>
      </c>
      <c r="G1943" t="inlineStr">
        <is>
          <t>Activités opérationnelles</t>
        </is>
      </c>
      <c r="H1943" s="1" t="n">
        <v>44881</v>
      </c>
      <c r="I1943" s="1" t="n">
        <v>44888</v>
      </c>
      <c r="J1943" t="inlineStr">
        <is>
          <t>Tokyo, Japan 
Seoul (Republic of Korea, South)</t>
        </is>
      </c>
      <c r="K1943" t="inlineStr">
        <is>
          <t>Tokyo, Japon
Séoul (République de Corée, Sud)</t>
        </is>
      </c>
      <c r="P1943" t="n">
        <v>13262.9</v>
      </c>
      <c r="Q1943" t="n">
        <v>178.79</v>
      </c>
      <c r="R1943" t="n">
        <v>1270.67</v>
      </c>
      <c r="S1943" t="n">
        <v>1121.34</v>
      </c>
      <c r="T1943" t="n">
        <v>0</v>
      </c>
      <c r="U1943" t="n">
        <v>15833.7</v>
      </c>
      <c r="X1943" t="inlineStr">
        <is>
          <t>aafc-aac</t>
        </is>
      </c>
      <c r="Y1943" t="inlineStr">
        <is>
          <t>Agriculture and Agri-Food Canada | Agriculture et Agroalimentaire Canada</t>
        </is>
      </c>
    </row>
    <row r="1944">
      <c r="A1944" t="inlineStr">
        <is>
          <t>T-2022-P12-0022</t>
        </is>
      </c>
      <c r="B1944" t="inlineStr">
        <is>
          <t>SLE</t>
        </is>
      </c>
      <c r="C1944" t="inlineStr">
        <is>
          <t>Assistant Deputy Minister, International Affairs Branch</t>
        </is>
      </c>
      <c r="D1944" t="inlineStr">
        <is>
          <t>Sous-ministre adjointe, Direction générale des affaires internationales</t>
        </is>
      </c>
      <c r="E1944" t="inlineStr">
        <is>
          <t xml:space="preserve">Kathleen Donohue </t>
        </is>
      </c>
      <c r="F1944" t="inlineStr">
        <is>
          <t>Meet with Ambassador of China</t>
        </is>
      </c>
      <c r="G1944" t="inlineStr">
        <is>
          <t>Rencontrer l'ambassadeur de la Chine</t>
        </is>
      </c>
      <c r="H1944" s="1" t="n">
        <v>44973</v>
      </c>
      <c r="I1944" s="1" t="n">
        <v>44973</v>
      </c>
      <c r="J1944" t="inlineStr">
        <is>
          <t>Ottawa (Ontario) Canada</t>
        </is>
      </c>
      <c r="K1944" t="inlineStr">
        <is>
          <t>Ottawa (Ontario) Canada</t>
        </is>
      </c>
      <c r="P1944" t="n">
        <v>0</v>
      </c>
      <c r="Q1944" t="n">
        <v>21.42</v>
      </c>
      <c r="R1944" t="n">
        <v>0</v>
      </c>
      <c r="S1944" t="n">
        <v>0</v>
      </c>
      <c r="T1944" t="n">
        <v>0</v>
      </c>
      <c r="U1944" t="n">
        <v>21.42</v>
      </c>
      <c r="X1944" t="inlineStr">
        <is>
          <t>aafc-aac</t>
        </is>
      </c>
      <c r="Y1944" t="inlineStr">
        <is>
          <t>Agriculture and Agri-Food Canada | Agriculture et Agroalimentaire Canada</t>
        </is>
      </c>
    </row>
    <row r="1945">
      <c r="A1945" t="inlineStr">
        <is>
          <t>T-2022-P12-0023</t>
        </is>
      </c>
      <c r="B1945" t="inlineStr">
        <is>
          <t>SLE</t>
        </is>
      </c>
      <c r="C1945" t="inlineStr">
        <is>
          <t>Assistant Deputy Minister, Corporate Management Branch</t>
        </is>
      </c>
      <c r="D1945" t="inlineStr">
        <is>
          <t>Sous-ministre adjointe, Direction générale de la gestion intégrée</t>
        </is>
      </c>
      <c r="E1945" t="inlineStr">
        <is>
          <t>Marie-Claude Guérard</t>
        </is>
      </c>
      <c r="F1945" t="inlineStr">
        <is>
          <t>Attend meetings in Ottawa</t>
        </is>
      </c>
      <c r="G1945" t="inlineStr">
        <is>
          <t>Participer aux rencontres à Ottawa</t>
        </is>
      </c>
      <c r="H1945" s="1" t="n">
        <v>44964</v>
      </c>
      <c r="I1945" s="1" t="n">
        <v>44965</v>
      </c>
      <c r="J1945" t="inlineStr">
        <is>
          <t>Ottawa (Ontario) Canada</t>
        </is>
      </c>
      <c r="K1945" t="inlineStr">
        <is>
          <t>Ottawa (Ontario) Canada</t>
        </is>
      </c>
      <c r="P1945" t="n">
        <v>0</v>
      </c>
      <c r="Q1945" t="n">
        <v>430.14</v>
      </c>
      <c r="R1945" t="n">
        <v>198.61</v>
      </c>
      <c r="S1945" t="n">
        <v>137.3</v>
      </c>
      <c r="T1945" t="n">
        <v>0</v>
      </c>
      <c r="U1945" t="n">
        <v>766.05</v>
      </c>
      <c r="X1945" t="inlineStr">
        <is>
          <t>aafc-aac</t>
        </is>
      </c>
      <c r="Y1945" t="inlineStr">
        <is>
          <t>Agriculture and Agri-Food Canada | Agriculture et Agroalimentaire Canada</t>
        </is>
      </c>
    </row>
    <row r="1946">
      <c r="A1946" t="inlineStr">
        <is>
          <t>T-2022-P12-0024</t>
        </is>
      </c>
      <c r="B1946" t="inlineStr">
        <is>
          <t>SLE</t>
        </is>
      </c>
      <c r="C1946" t="inlineStr">
        <is>
          <t>Assistant Deputy Minister, Corporate Management Branch</t>
        </is>
      </c>
      <c r="D1946" t="inlineStr">
        <is>
          <t>Sous-ministre adjointe, Direction générale de la gestion intégrée</t>
        </is>
      </c>
      <c r="E1946" t="inlineStr">
        <is>
          <t>Marie-Claude Guérard</t>
        </is>
      </c>
      <c r="F1946" t="inlineStr">
        <is>
          <t>Attend meetings in Ottawa</t>
        </is>
      </c>
      <c r="G1946" t="inlineStr">
        <is>
          <t>Participer aux rencontres à Ottawa</t>
        </is>
      </c>
      <c r="H1946" s="1" t="n">
        <v>44971</v>
      </c>
      <c r="I1946" s="1" t="n">
        <v>44971</v>
      </c>
      <c r="J1946" t="inlineStr">
        <is>
          <t>Ottawa (Ontario) Canada</t>
        </is>
      </c>
      <c r="K1946" t="inlineStr">
        <is>
          <t>Ottawa (Ontario) Canada</t>
        </is>
      </c>
      <c r="P1946" t="n">
        <v>0</v>
      </c>
      <c r="Q1946" t="n">
        <v>353.01</v>
      </c>
      <c r="R1946" t="n">
        <v>0</v>
      </c>
      <c r="S1946" t="n">
        <v>23.05</v>
      </c>
      <c r="T1946" t="n">
        <v>0</v>
      </c>
      <c r="U1946" t="n">
        <v>376.06</v>
      </c>
      <c r="X1946" t="inlineStr">
        <is>
          <t>aafc-aac</t>
        </is>
      </c>
      <c r="Y1946" t="inlineStr">
        <is>
          <t>Agriculture and Agri-Food Canada | Agriculture et Agroalimentaire Canada</t>
        </is>
      </c>
    </row>
    <row r="1947">
      <c r="A1947" t="inlineStr">
        <is>
          <t>T-2022-P12-0025</t>
        </is>
      </c>
      <c r="B1947" t="inlineStr">
        <is>
          <t>SLE</t>
        </is>
      </c>
      <c r="C1947" t="inlineStr">
        <is>
          <t>Assistant Deputy Minister, Corporate Management Branch</t>
        </is>
      </c>
      <c r="D1947" t="inlineStr">
        <is>
          <t>Sous-ministre adjointe, Direction générale de la gestion intégrée</t>
        </is>
      </c>
      <c r="E1947" t="inlineStr">
        <is>
          <t>Marie-Claude Guérard</t>
        </is>
      </c>
      <c r="F1947" t="inlineStr">
        <is>
          <t>Attend meetings in Ottawa</t>
        </is>
      </c>
      <c r="G1947" t="inlineStr">
        <is>
          <t>Participer aux rencontres à Ottawa</t>
        </is>
      </c>
      <c r="H1947" s="1" t="n">
        <v>44980</v>
      </c>
      <c r="I1947" s="1" t="n">
        <v>44980</v>
      </c>
      <c r="J1947" t="inlineStr">
        <is>
          <t>Ottawa (Ontario) Canada</t>
        </is>
      </c>
      <c r="K1947" t="inlineStr">
        <is>
          <t>Ottawa (Ontario) Canada</t>
        </is>
      </c>
      <c r="P1947" t="n">
        <v>0</v>
      </c>
      <c r="Q1947" t="n">
        <v>360.12</v>
      </c>
      <c r="R1947" t="n">
        <v>0</v>
      </c>
      <c r="S1947" t="n">
        <v>79.65000000000001</v>
      </c>
      <c r="T1947" t="n">
        <v>0</v>
      </c>
      <c r="U1947" t="n">
        <v>439.77</v>
      </c>
      <c r="X1947" t="inlineStr">
        <is>
          <t>aafc-aac</t>
        </is>
      </c>
      <c r="Y1947" t="inlineStr">
        <is>
          <t>Agriculture and Agri-Food Canada | Agriculture et Agroalimentaire Canada</t>
        </is>
      </c>
    </row>
    <row r="1948">
      <c r="A1948" t="inlineStr">
        <is>
          <t>T-2022-P12-0026</t>
        </is>
      </c>
      <c r="B1948" t="inlineStr">
        <is>
          <t>SLE</t>
        </is>
      </c>
      <c r="C1948" t="inlineStr">
        <is>
          <t>Assistant Deputy Minister, Corporate Management Branch</t>
        </is>
      </c>
      <c r="D1948" t="inlineStr">
        <is>
          <t>Sous-ministre adjointe, Direction générale de la gestion intégrée</t>
        </is>
      </c>
      <c r="E1948" t="inlineStr">
        <is>
          <t>Marie-Claude Guérard</t>
        </is>
      </c>
      <c r="F1948" t="inlineStr">
        <is>
          <t>Attend meetings in Ottawa</t>
        </is>
      </c>
      <c r="G1948" t="inlineStr">
        <is>
          <t>Participer aux rencontres à Ottawa</t>
        </is>
      </c>
      <c r="H1948" s="1" t="n">
        <v>44984</v>
      </c>
      <c r="I1948" s="1" t="n">
        <v>44985</v>
      </c>
      <c r="J1948" t="inlineStr">
        <is>
          <t>Ottawa (Ontario) Canada</t>
        </is>
      </c>
      <c r="K1948" t="inlineStr">
        <is>
          <t>Ottawa (Ontario) Canada</t>
        </is>
      </c>
      <c r="P1948" t="n">
        <v>0</v>
      </c>
      <c r="Q1948" t="n">
        <v>374.69</v>
      </c>
      <c r="R1948" t="n">
        <v>233.86</v>
      </c>
      <c r="S1948" t="n">
        <v>160.1</v>
      </c>
      <c r="T1948" t="n">
        <v>0</v>
      </c>
      <c r="U1948" t="n">
        <v>768.65</v>
      </c>
      <c r="X1948" t="inlineStr">
        <is>
          <t>aafc-aac</t>
        </is>
      </c>
      <c r="Y1948" t="inlineStr">
        <is>
          <t>Agriculture and Agri-Food Canada | Agriculture et Agroalimentaire Canada</t>
        </is>
      </c>
    </row>
    <row r="1949">
      <c r="A1949" t="inlineStr">
        <is>
          <t>T-2022-P12-0027</t>
        </is>
      </c>
      <c r="B1949" t="inlineStr">
        <is>
          <t>SLE</t>
        </is>
      </c>
      <c r="C1949" t="inlineStr">
        <is>
          <t>Assistant Deputy Minister, Corporate Management Branch</t>
        </is>
      </c>
      <c r="D1949" t="inlineStr">
        <is>
          <t>Sous-ministre adjointe, Direction générale de la gestion intégrée</t>
        </is>
      </c>
      <c r="E1949" t="inlineStr">
        <is>
          <t>Marie-Claude Guérard</t>
        </is>
      </c>
      <c r="F1949" t="inlineStr">
        <is>
          <t>Attend meetings in Ottawa</t>
        </is>
      </c>
      <c r="G1949" t="inlineStr">
        <is>
          <t>Participer aux rencontres à Ottawa</t>
        </is>
      </c>
      <c r="H1949" s="1" t="n">
        <v>44986</v>
      </c>
      <c r="I1949" s="1" t="n">
        <v>44986</v>
      </c>
      <c r="J1949" t="inlineStr">
        <is>
          <t>Ottawa (Ontario) Canada</t>
        </is>
      </c>
      <c r="K1949" t="inlineStr">
        <is>
          <t>Ottawa (Ontario) Canada</t>
        </is>
      </c>
      <c r="P1949" t="n">
        <v>0</v>
      </c>
      <c r="Q1949" t="n">
        <v>326.87</v>
      </c>
      <c r="R1949" t="n">
        <v>0</v>
      </c>
      <c r="S1949" t="n">
        <v>23.05</v>
      </c>
      <c r="T1949" t="n">
        <v>0</v>
      </c>
      <c r="U1949" t="n">
        <v>349.92</v>
      </c>
      <c r="X1949" t="inlineStr">
        <is>
          <t>aafc-aac</t>
        </is>
      </c>
      <c r="Y1949" t="inlineStr">
        <is>
          <t>Agriculture and Agri-Food Canada | Agriculture et Agroalimentaire Canada</t>
        </is>
      </c>
    </row>
    <row r="1950">
      <c r="A1950" t="inlineStr">
        <is>
          <t>T-2022-P12-0028</t>
        </is>
      </c>
      <c r="B1950" t="inlineStr">
        <is>
          <t>SLE</t>
        </is>
      </c>
      <c r="C1950" t="inlineStr">
        <is>
          <t xml:space="preserve">Assistant Deputy Minister, Public Affairs Branch </t>
        </is>
      </c>
      <c r="D1950" t="inlineStr">
        <is>
          <t xml:space="preserve">Sous-ministre adjointe, Direction générale des affaires publiques </t>
        </is>
      </c>
      <c r="E1950" t="inlineStr">
        <is>
          <t>Mary Dila</t>
        </is>
      </c>
      <c r="F1950" t="inlineStr">
        <is>
          <t>Participate in the Quebec Outreach trip with the Associate Deputy Minister</t>
        </is>
      </c>
      <c r="G1950" t="inlineStr">
        <is>
          <t xml:space="preserve">Participer au voyage de sensibilisation dans la région du Québec avec la sous-ministre déléguée. </t>
        </is>
      </c>
      <c r="H1950" s="1" t="n">
        <v>44991</v>
      </c>
      <c r="I1950" s="1" t="n">
        <v>44993</v>
      </c>
      <c r="J1950" t="inlineStr">
        <is>
          <t xml:space="preserve">Montréal (Quebec) Canada </t>
        </is>
      </c>
      <c r="K1950" t="inlineStr">
        <is>
          <t>Montréal (Québec) Canada</t>
        </is>
      </c>
      <c r="P1950" t="n">
        <v>0</v>
      </c>
      <c r="Q1950" t="n">
        <v>193.57</v>
      </c>
      <c r="R1950" t="n">
        <v>616.55</v>
      </c>
      <c r="S1950" t="n">
        <v>279.85</v>
      </c>
      <c r="T1950" t="n">
        <v>0</v>
      </c>
      <c r="U1950" t="n">
        <v>1089.97</v>
      </c>
      <c r="X1950" t="inlineStr">
        <is>
          <t>aafc-aac</t>
        </is>
      </c>
      <c r="Y1950" t="inlineStr">
        <is>
          <t>Agriculture and Agri-Food Canada | Agriculture et Agroalimentaire Canada</t>
        </is>
      </c>
    </row>
    <row r="1951">
      <c r="A1951" t="inlineStr">
        <is>
          <t>T-2022-P12-0029</t>
        </is>
      </c>
      <c r="B1951" t="inlineStr">
        <is>
          <t>SLE</t>
        </is>
      </c>
      <c r="C1951" t="inlineStr">
        <is>
          <t>Assistant Deputy Minister, Strategic Policy Branch</t>
        </is>
      </c>
      <c r="D1951" t="inlineStr">
        <is>
          <t>Sous-ministre adjointe, Direction générale des politiques stratégiques</t>
        </is>
      </c>
      <c r="E1951" t="inlineStr">
        <is>
          <t>Natasha Kim</t>
        </is>
      </c>
      <c r="F1951" t="inlineStr">
        <is>
          <t>Attend the Edmonton Roundtable Event</t>
        </is>
      </c>
      <c r="G1951" t="inlineStr">
        <is>
          <t>Participer à la table ronde d'Edmonton</t>
        </is>
      </c>
      <c r="H1951" s="1" t="n">
        <v>44973</v>
      </c>
      <c r="I1951" s="1" t="n">
        <v>44973</v>
      </c>
      <c r="J1951" t="inlineStr">
        <is>
          <t>Calgary (Alberta) Canada</t>
        </is>
      </c>
      <c r="K1951" t="inlineStr">
        <is>
          <t>Calgary (Alberta) Canada</t>
        </is>
      </c>
      <c r="P1951" t="n">
        <v>0</v>
      </c>
      <c r="Q1951" t="n">
        <v>45.9</v>
      </c>
      <c r="R1951" t="n">
        <v>0</v>
      </c>
      <c r="S1951" t="n">
        <v>0</v>
      </c>
      <c r="T1951" t="n">
        <v>0</v>
      </c>
      <c r="U1951" t="n">
        <v>45.9</v>
      </c>
      <c r="X1951" t="inlineStr">
        <is>
          <t>aafc-aac</t>
        </is>
      </c>
      <c r="Y1951" t="inlineStr">
        <is>
          <t>Agriculture and Agri-Food Canada | Agriculture et Agroalimentaire Canada</t>
        </is>
      </c>
    </row>
    <row r="1952">
      <c r="A1952" t="inlineStr">
        <is>
          <t>T-2022-P12-0030</t>
        </is>
      </c>
      <c r="B1952" t="inlineStr">
        <is>
          <t>SLE</t>
        </is>
      </c>
      <c r="C1952" t="inlineStr">
        <is>
          <t>Assistant Deputy Minister, Strategic Policy Branch</t>
        </is>
      </c>
      <c r="D1952" t="inlineStr">
        <is>
          <t>Sous-ministre adjointe, Direction générale des politiques stratégiques</t>
        </is>
      </c>
      <c r="E1952" t="inlineStr">
        <is>
          <t>Natasha Kim</t>
        </is>
      </c>
      <c r="F1952" t="inlineStr">
        <is>
          <t>Attend various meetings downtown</t>
        </is>
      </c>
      <c r="G1952" t="inlineStr">
        <is>
          <t>Participer à diverses réunions en ville</t>
        </is>
      </c>
      <c r="H1952" s="1" t="n">
        <v>44861</v>
      </c>
      <c r="I1952" s="1" t="n">
        <v>44889</v>
      </c>
      <c r="J1952" t="inlineStr">
        <is>
          <t>Ottawa (Ontario) Canada</t>
        </is>
      </c>
      <c r="K1952" t="inlineStr">
        <is>
          <t>Ottawa (Ontario) Canada</t>
        </is>
      </c>
      <c r="P1952" t="n">
        <v>0</v>
      </c>
      <c r="Q1952" t="n">
        <v>42</v>
      </c>
      <c r="R1952" t="n">
        <v>0</v>
      </c>
      <c r="S1952" t="n">
        <v>0</v>
      </c>
      <c r="T1952" t="n">
        <v>0</v>
      </c>
      <c r="U1952" t="n">
        <v>42</v>
      </c>
      <c r="X1952" t="inlineStr">
        <is>
          <t>aafc-aac</t>
        </is>
      </c>
      <c r="Y1952" t="inlineStr">
        <is>
          <t>Agriculture and Agri-Food Canada | Agriculture et Agroalimentaire Canada</t>
        </is>
      </c>
    </row>
    <row r="1953">
      <c r="A1953" t="inlineStr">
        <is>
          <t>T-2022-P12-0031</t>
        </is>
      </c>
      <c r="B1953" t="inlineStr">
        <is>
          <t>SLE</t>
        </is>
      </c>
      <c r="C1953" t="inlineStr">
        <is>
          <t>Assistant Deputy Minister, Market and Industry Services Branch</t>
        </is>
      </c>
      <c r="D1953" t="inlineStr">
        <is>
          <t>Sous-ministre adjoint, Direction générale des services à l'industrie et aux marchés</t>
        </is>
      </c>
      <c r="E1953" t="inlineStr">
        <is>
          <t>Tom Rosser</t>
        </is>
      </c>
      <c r="F1953" t="inlineStr">
        <is>
          <t>Attend the 1st Agricultural Senior Officials' Meeting</t>
        </is>
      </c>
      <c r="G1953" t="inlineStr">
        <is>
          <t>Participer à la première réunion des hauts fonctionnaires agricoles</t>
        </is>
      </c>
      <c r="H1953" s="1" t="n">
        <v>44961</v>
      </c>
      <c r="I1953" s="1" t="n">
        <v>44965</v>
      </c>
      <c r="J1953" t="inlineStr">
        <is>
          <t>Tokyo, Japan</t>
        </is>
      </c>
      <c r="K1953" t="inlineStr">
        <is>
          <t>Tokyo, Japon</t>
        </is>
      </c>
      <c r="P1953" t="n">
        <v>6253.75</v>
      </c>
      <c r="Q1953" t="n">
        <v>140.95</v>
      </c>
      <c r="R1953" t="n">
        <v>672.73</v>
      </c>
      <c r="S1953" t="n">
        <v>355.62</v>
      </c>
      <c r="T1953" t="n">
        <v>0</v>
      </c>
      <c r="U1953" t="n">
        <v>7423.05</v>
      </c>
      <c r="X1953" t="inlineStr">
        <is>
          <t>aafc-aac</t>
        </is>
      </c>
      <c r="Y1953" t="inlineStr">
        <is>
          <t>Agriculture and Agri-Food Canada | Agriculture et Agroalimentaire Canada</t>
        </is>
      </c>
    </row>
    <row r="1954">
      <c r="A1954" t="inlineStr">
        <is>
          <t>T-2023-P01-0001</t>
        </is>
      </c>
      <c r="B1954" t="inlineStr">
        <is>
          <t>MPSES</t>
        </is>
      </c>
      <c r="C1954" t="inlineStr">
        <is>
          <t>Driver</t>
        </is>
      </c>
      <c r="D1954" t="inlineStr">
        <is>
          <t>Chauffeur</t>
        </is>
      </c>
      <c r="E1954" t="inlineStr">
        <is>
          <t>Michel Gendreau</t>
        </is>
      </c>
      <c r="F1954" t="inlineStr">
        <is>
          <t>Drive the Minister from her riding to Ottawa</t>
        </is>
      </c>
      <c r="G1954" t="inlineStr">
        <is>
          <t>Conduire la ministre de sa circonscription à Ottawa</t>
        </is>
      </c>
      <c r="H1954" s="1" t="n">
        <v>45011</v>
      </c>
      <c r="I1954" s="1" t="n">
        <v>45012</v>
      </c>
      <c r="J1954" t="inlineStr">
        <is>
          <t>Sherbrooke (Quebec) Canada</t>
        </is>
      </c>
      <c r="K1954" t="inlineStr">
        <is>
          <t>Sherbrooke (Québec) Canada</t>
        </is>
      </c>
      <c r="P1954" t="n">
        <v>0</v>
      </c>
      <c r="Q1954" t="n">
        <v>3.5</v>
      </c>
      <c r="R1954" t="n">
        <v>129.71</v>
      </c>
      <c r="S1954" t="n">
        <v>79.40000000000001</v>
      </c>
      <c r="T1954" t="n">
        <v>0</v>
      </c>
      <c r="U1954" t="n">
        <v>212.61</v>
      </c>
      <c r="X1954" t="inlineStr">
        <is>
          <t>aafc-aac</t>
        </is>
      </c>
      <c r="Y1954" t="inlineStr">
        <is>
          <t>Agriculture and Agri-Food Canada | Agriculture et Agroalimentaire Canada</t>
        </is>
      </c>
    </row>
    <row r="1955">
      <c r="A1955" t="inlineStr">
        <is>
          <t>T-2023-P01-0002</t>
        </is>
      </c>
      <c r="B1955" t="inlineStr">
        <is>
          <t>MPSES</t>
        </is>
      </c>
      <c r="C1955" t="inlineStr">
        <is>
          <t>Driver</t>
        </is>
      </c>
      <c r="D1955" t="inlineStr">
        <is>
          <t>Chauffeur</t>
        </is>
      </c>
      <c r="E1955" t="inlineStr">
        <is>
          <t>Michel Gendreau</t>
        </is>
      </c>
      <c r="F1955" t="inlineStr">
        <is>
          <t>Drive the Minister from her riding to an event</t>
        </is>
      </c>
      <c r="G1955" t="inlineStr">
        <is>
          <t>Conduire la ministre de sa circonscription à un événement</t>
        </is>
      </c>
      <c r="H1955" s="1" t="n">
        <v>45027</v>
      </c>
      <c r="I1955" s="1" t="n">
        <v>45028</v>
      </c>
      <c r="J1955" t="inlineStr">
        <is>
          <t>Sherbrooke (Quebec) Canada
Trois-Rivière (Quebec) Canada</t>
        </is>
      </c>
      <c r="K1955" t="inlineStr">
        <is>
          <t>Sherbrooke (Québec) Canada
Trois-Rivière (Québec) Canada</t>
        </is>
      </c>
      <c r="P1955" t="n">
        <v>0</v>
      </c>
      <c r="Q1955" t="n">
        <v>3.5</v>
      </c>
      <c r="R1955" t="n">
        <v>129.71</v>
      </c>
      <c r="S1955" t="n">
        <v>164.7</v>
      </c>
      <c r="T1955" t="n">
        <v>0</v>
      </c>
      <c r="U1955" t="n">
        <v>297.91</v>
      </c>
      <c r="X1955" t="inlineStr">
        <is>
          <t>aafc-aac</t>
        </is>
      </c>
      <c r="Y1955" t="inlineStr">
        <is>
          <t>Agriculture and Agri-Food Canada | Agriculture et Agroalimentaire Canada</t>
        </is>
      </c>
    </row>
    <row r="1956">
      <c r="A1956" t="inlineStr">
        <is>
          <t>T-2023-P01-0003</t>
        </is>
      </c>
      <c r="B1956" t="inlineStr">
        <is>
          <t>MPSES</t>
        </is>
      </c>
      <c r="C1956" t="inlineStr">
        <is>
          <t>Driver</t>
        </is>
      </c>
      <c r="D1956" t="inlineStr">
        <is>
          <t>Chauffeur</t>
        </is>
      </c>
      <c r="E1956" t="inlineStr">
        <is>
          <t>Michel Gendreau</t>
        </is>
      </c>
      <c r="F1956" t="inlineStr">
        <is>
          <t>Drive the Minister from her riding to stakeholder meetings</t>
        </is>
      </c>
      <c r="G1956" t="inlineStr">
        <is>
          <t>Conduire la ministre de sa circonscription aux réunions des parties prenantes</t>
        </is>
      </c>
      <c r="H1956" s="1" t="n">
        <v>45030</v>
      </c>
      <c r="I1956" s="1" t="n">
        <v>45030</v>
      </c>
      <c r="J1956" t="inlineStr">
        <is>
          <t>Val-des-Monts (Quebec) Canada
Gracefield (Quebec) Canada
Wakefield (Quebec) Canada
Ottawa (Ontario) Canada</t>
        </is>
      </c>
      <c r="K1956" t="inlineStr">
        <is>
          <t>Val-des-Monts (Québec) Canada
Gracefield (Québec) Canada
Wakefield (Québec) Canada
Ottawa (Ontario) Canada</t>
        </is>
      </c>
      <c r="P1956" t="n">
        <v>0</v>
      </c>
      <c r="Q1956" t="n">
        <v>3.5</v>
      </c>
      <c r="R1956" t="n">
        <v>0</v>
      </c>
      <c r="S1956" t="n">
        <v>82.5</v>
      </c>
      <c r="T1956" t="n">
        <v>0</v>
      </c>
      <c r="U1956" t="n">
        <v>86</v>
      </c>
      <c r="X1956" t="inlineStr">
        <is>
          <t>aafc-aac</t>
        </is>
      </c>
      <c r="Y1956" t="inlineStr">
        <is>
          <t>Agriculture and Agri-Food Canada | Agriculture et Agroalimentaire Canada</t>
        </is>
      </c>
    </row>
    <row r="1957">
      <c r="A1957" t="inlineStr">
        <is>
          <t>T-2023-P01-0004</t>
        </is>
      </c>
      <c r="B1957" t="inlineStr">
        <is>
          <t>MPSES</t>
        </is>
      </c>
      <c r="C1957" t="inlineStr">
        <is>
          <t>Tours and Operations Manager</t>
        </is>
      </c>
      <c r="D1957" t="inlineStr">
        <is>
          <t>Gestionnaire, Visites et opérations</t>
        </is>
      </c>
      <c r="E1957" t="inlineStr">
        <is>
          <t>Olivia Scieur-Aparicio</t>
        </is>
      </c>
      <c r="F1957" t="inlineStr">
        <is>
          <t>To support the Minister to attend the Quebec tour</t>
        </is>
      </c>
      <c r="G1957" t="inlineStr">
        <is>
          <t>Pour soutenir la ministre à la tournée au Québec</t>
        </is>
      </c>
      <c r="H1957" s="1" t="n">
        <v>44979</v>
      </c>
      <c r="I1957" s="1" t="n">
        <v>44981</v>
      </c>
      <c r="J1957" t="inlineStr">
        <is>
          <t>Québec (Quebec) Canada</t>
        </is>
      </c>
      <c r="K1957" t="inlineStr">
        <is>
          <t>Québec (Québec) Canada</t>
        </is>
      </c>
      <c r="P1957" t="n">
        <v>0</v>
      </c>
      <c r="Q1957" t="n">
        <v>31.8</v>
      </c>
      <c r="R1957" t="n">
        <v>0</v>
      </c>
      <c r="S1957" t="n">
        <v>46.1</v>
      </c>
      <c r="T1957" t="n">
        <v>0</v>
      </c>
      <c r="U1957" t="n">
        <v>77.90000000000001</v>
      </c>
      <c r="X1957" t="inlineStr">
        <is>
          <t>aafc-aac</t>
        </is>
      </c>
      <c r="Y1957" t="inlineStr">
        <is>
          <t>Agriculture and Agri-Food Canada | Agriculture et Agroalimentaire Canada</t>
        </is>
      </c>
    </row>
    <row r="1958">
      <c r="A1958" t="inlineStr">
        <is>
          <t>T-2023-P01-0005</t>
        </is>
      </c>
      <c r="B1958" t="inlineStr">
        <is>
          <t>MPSES</t>
        </is>
      </c>
      <c r="C1958" t="inlineStr">
        <is>
          <t>Tours and Operations Manager</t>
        </is>
      </c>
      <c r="D1958" t="inlineStr">
        <is>
          <t>Gestionnaire, Visites et opérations</t>
        </is>
      </c>
      <c r="E1958" t="inlineStr">
        <is>
          <t>Olivia Scieur-Aparicio</t>
        </is>
      </c>
      <c r="F1958" t="inlineStr">
        <is>
          <t>To support the Minister to attend the Quebec tour</t>
        </is>
      </c>
      <c r="G1958" t="inlineStr">
        <is>
          <t>Pour soutenir la ministre à la tournée au Québec</t>
        </is>
      </c>
      <c r="H1958" s="1" t="n">
        <v>45028</v>
      </c>
      <c r="I1958" s="1" t="n">
        <v>45028</v>
      </c>
      <c r="J1958" t="inlineStr">
        <is>
          <t>Trois-Rivière (Quebec) Canada</t>
        </is>
      </c>
      <c r="K1958" t="inlineStr">
        <is>
          <t>Trois-Rivière (Québec) Canada</t>
        </is>
      </c>
      <c r="P1958" t="n">
        <v>0</v>
      </c>
      <c r="Q1958" t="n">
        <v>41.97</v>
      </c>
      <c r="R1958" t="n">
        <v>0</v>
      </c>
      <c r="S1958" t="n">
        <v>23.9</v>
      </c>
      <c r="T1958" t="n">
        <v>0</v>
      </c>
      <c r="U1958" t="n">
        <v>65.87</v>
      </c>
      <c r="X1958" t="inlineStr">
        <is>
          <t>aafc-aac</t>
        </is>
      </c>
      <c r="Y1958" t="inlineStr">
        <is>
          <t>Agriculture and Agri-Food Canada | Agriculture et Agroalimentaire Canada</t>
        </is>
      </c>
    </row>
    <row r="1959">
      <c r="A1959" t="inlineStr">
        <is>
          <t>T-2023-P01-0006</t>
        </is>
      </c>
      <c r="B1959" t="inlineStr">
        <is>
          <t>MPSES</t>
        </is>
      </c>
      <c r="C1959" t="inlineStr">
        <is>
          <t>Special Assistant</t>
        </is>
      </c>
      <c r="D1959" t="inlineStr">
        <is>
          <t>Adjointe spéciale</t>
        </is>
      </c>
      <c r="E1959" t="inlineStr">
        <is>
          <t>Arianna Myers</t>
        </is>
      </c>
      <c r="F1959" t="inlineStr">
        <is>
          <t>Attend a meeting at the Confederation  Building</t>
        </is>
      </c>
      <c r="G1959" t="inlineStr">
        <is>
          <t>Assister à une réunion au bâtiment de la Confédération</t>
        </is>
      </c>
      <c r="H1959" s="1" t="n">
        <v>44943</v>
      </c>
      <c r="I1959" s="1" t="n">
        <v>44943</v>
      </c>
      <c r="J1959" t="inlineStr">
        <is>
          <t>Ottawa (Ontario) Canada</t>
        </is>
      </c>
      <c r="K1959" t="inlineStr">
        <is>
          <t>Ottawa (Ontario) Canada</t>
        </is>
      </c>
      <c r="P1959" t="n">
        <v>0</v>
      </c>
      <c r="Q1959" t="n">
        <v>35.42</v>
      </c>
      <c r="R1959" t="n">
        <v>0</v>
      </c>
      <c r="S1959" t="n">
        <v>0</v>
      </c>
      <c r="T1959" t="n">
        <v>0</v>
      </c>
      <c r="U1959" t="n">
        <v>35.42</v>
      </c>
      <c r="X1959" t="inlineStr">
        <is>
          <t>aafc-aac</t>
        </is>
      </c>
      <c r="Y1959" t="inlineStr">
        <is>
          <t>Agriculture and Agri-Food Canada | Agriculture et Agroalimentaire Canada</t>
        </is>
      </c>
    </row>
    <row r="1960">
      <c r="A1960" t="inlineStr">
        <is>
          <t>T-2023-P01-0007</t>
        </is>
      </c>
      <c r="B1960" t="inlineStr">
        <is>
          <t>MPSES</t>
        </is>
      </c>
      <c r="C1960" t="inlineStr">
        <is>
          <t>Press Secretary</t>
        </is>
      </c>
      <c r="D1960" t="inlineStr">
        <is>
          <t>Attaché de presse</t>
        </is>
      </c>
      <c r="E1960" t="inlineStr">
        <is>
          <t>Simon Lafortune</t>
        </is>
      </c>
      <c r="F1960" t="inlineStr">
        <is>
          <t>To support the Minister attending Western Outreach meetings</t>
        </is>
      </c>
      <c r="G1960" t="inlineStr">
        <is>
          <t>Soutenir la ministre pour sa participation aux réunions de sensibilisation dans l'Ouest</t>
        </is>
      </c>
      <c r="H1960" s="1" t="n">
        <v>44997</v>
      </c>
      <c r="I1960" s="1" t="n">
        <v>45001</v>
      </c>
      <c r="J1960" t="inlineStr">
        <is>
          <t>Calgary (Alberta) Canada
Vancouver (British-Columbia) Canada</t>
        </is>
      </c>
      <c r="K1960" t="inlineStr">
        <is>
          <t>Calgary (Alberta) Canada
Vancouver (Colombie-Britannique) Canada</t>
        </is>
      </c>
      <c r="P1960" t="n">
        <v>1341.2</v>
      </c>
      <c r="Q1960" t="n">
        <v>80.3</v>
      </c>
      <c r="R1960" t="n">
        <v>927.16</v>
      </c>
      <c r="S1960" t="n">
        <v>409.8</v>
      </c>
      <c r="T1960" t="n">
        <v>0</v>
      </c>
      <c r="U1960" t="n">
        <v>2758.46</v>
      </c>
      <c r="X1960" t="inlineStr">
        <is>
          <t>aafc-aac</t>
        </is>
      </c>
      <c r="Y1960" t="inlineStr">
        <is>
          <t>Agriculture and Agri-Food Canada | Agriculture et Agroalimentaire Canada</t>
        </is>
      </c>
    </row>
    <row r="1961">
      <c r="A1961" t="inlineStr">
        <is>
          <t>T-2023-P01-0008</t>
        </is>
      </c>
      <c r="B1961" t="inlineStr">
        <is>
          <t>SLE</t>
        </is>
      </c>
      <c r="C1961" t="inlineStr">
        <is>
          <t>Associate Deputy Minister</t>
        </is>
      </c>
      <c r="D1961" t="inlineStr">
        <is>
          <t>Sous-ministre déléguée</t>
        </is>
      </c>
      <c r="E1961" t="inlineStr">
        <is>
          <t>Suzy McDonald</t>
        </is>
      </c>
      <c r="F1961" t="inlineStr">
        <is>
          <t>To attend a New Brunswick Outreach</t>
        </is>
      </c>
      <c r="G1961" t="inlineStr">
        <is>
          <t>Pour participer à une action de sensibilisation au Nouveau-Brunswick</t>
        </is>
      </c>
      <c r="H1961" s="1" t="n">
        <v>45012</v>
      </c>
      <c r="I1961" s="1" t="n">
        <v>45014</v>
      </c>
      <c r="J1961" t="inlineStr">
        <is>
          <t>Fredericton (New Brunswick) Canada</t>
        </is>
      </c>
      <c r="K1961" t="inlineStr">
        <is>
          <t>Frédericton (Nouveau-Brunswick) Canada</t>
        </is>
      </c>
      <c r="P1961" t="n">
        <v>751.9400000000001</v>
      </c>
      <c r="Q1961" t="n">
        <v>74.33</v>
      </c>
      <c r="R1961" t="n">
        <v>358.38</v>
      </c>
      <c r="S1961" t="n">
        <v>336.45</v>
      </c>
      <c r="T1961" t="n">
        <v>0</v>
      </c>
      <c r="U1961" t="n">
        <v>1521.1</v>
      </c>
      <c r="X1961" t="inlineStr">
        <is>
          <t>aafc-aac</t>
        </is>
      </c>
      <c r="Y1961" t="inlineStr">
        <is>
          <t>Agriculture and Agri-Food Canada | Agriculture et Agroalimentaire Canada</t>
        </is>
      </c>
    </row>
    <row r="1962">
      <c r="A1962" t="inlineStr">
        <is>
          <t>T-2023-P01-0009</t>
        </is>
      </c>
      <c r="B1962" t="inlineStr">
        <is>
          <t>SLE</t>
        </is>
      </c>
      <c r="C1962" t="inlineStr">
        <is>
          <t>Corporate Secretary</t>
        </is>
      </c>
      <c r="D1962" t="inlineStr">
        <is>
          <t>Secrétaire générale</t>
        </is>
      </c>
      <c r="E1962" t="inlineStr">
        <is>
          <t>Tamara Abel</t>
        </is>
      </c>
      <c r="F1962" t="inlineStr">
        <is>
          <t>Operational activities</t>
        </is>
      </c>
      <c r="G1962" t="inlineStr">
        <is>
          <t>Activités opérationnelles</t>
        </is>
      </c>
      <c r="H1962" s="1" t="n">
        <v>45004</v>
      </c>
      <c r="I1962" s="1" t="n">
        <v>45007</v>
      </c>
      <c r="J1962" t="inlineStr">
        <is>
          <t>Ottawa (Ontario) Canada</t>
        </is>
      </c>
      <c r="K1962" t="inlineStr">
        <is>
          <t>Ottawa (Ontario) Canada</t>
        </is>
      </c>
      <c r="P1962" t="n">
        <v>1195.76</v>
      </c>
      <c r="Q1962" t="n">
        <v>236.95</v>
      </c>
      <c r="R1962" t="n">
        <v>772.11</v>
      </c>
      <c r="S1962" t="n">
        <v>456.2</v>
      </c>
      <c r="T1962" t="n">
        <v>0</v>
      </c>
      <c r="U1962" t="n">
        <v>2661.02</v>
      </c>
      <c r="X1962" t="inlineStr">
        <is>
          <t>aafc-aac</t>
        </is>
      </c>
      <c r="Y1962" t="inlineStr">
        <is>
          <t>Agriculture and Agri-Food Canada | Agriculture et Agroalimentaire Canada</t>
        </is>
      </c>
    </row>
    <row r="1963">
      <c r="A1963" t="inlineStr">
        <is>
          <t>T-2023-P01-0010</t>
        </is>
      </c>
      <c r="B1963" t="inlineStr">
        <is>
          <t>SLE</t>
        </is>
      </c>
      <c r="C1963" t="inlineStr">
        <is>
          <t>Corporate Secretary</t>
        </is>
      </c>
      <c r="D1963" t="inlineStr">
        <is>
          <t>Secrétaire générale</t>
        </is>
      </c>
      <c r="E1963" t="inlineStr">
        <is>
          <t>Tamara Abel</t>
        </is>
      </c>
      <c r="F1963" t="inlineStr">
        <is>
          <t>Operational activities</t>
        </is>
      </c>
      <c r="G1963" t="inlineStr">
        <is>
          <t>Activités opérationnelles</t>
        </is>
      </c>
      <c r="H1963" s="1" t="n">
        <v>45026</v>
      </c>
      <c r="I1963" s="1" t="n">
        <v>45030</v>
      </c>
      <c r="J1963" t="inlineStr">
        <is>
          <t>Ottawa (Ontario) Canada</t>
        </is>
      </c>
      <c r="K1963" t="inlineStr">
        <is>
          <t>Ottawa (Ontario) Canada</t>
        </is>
      </c>
      <c r="P1963" t="n">
        <v>1003.61</v>
      </c>
      <c r="Q1963" t="n">
        <v>339.29</v>
      </c>
      <c r="R1963" t="n">
        <v>1114.09</v>
      </c>
      <c r="S1963" t="n">
        <v>569.5</v>
      </c>
      <c r="T1963" t="n">
        <v>0</v>
      </c>
      <c r="U1963" t="n">
        <v>3026.49</v>
      </c>
      <c r="X1963" t="inlineStr">
        <is>
          <t>aafc-aac</t>
        </is>
      </c>
      <c r="Y1963" t="inlineStr">
        <is>
          <t>Agriculture and Agri-Food Canada | Agriculture et Agroalimentaire Canada</t>
        </is>
      </c>
    </row>
    <row r="1964">
      <c r="A1964" t="inlineStr">
        <is>
          <t>T-2023-P01-0011</t>
        </is>
      </c>
      <c r="B1964" t="inlineStr">
        <is>
          <t>SLE</t>
        </is>
      </c>
      <c r="C1964" t="inlineStr">
        <is>
          <t>Assistant Deputy Minister, Science and Technology Branch</t>
        </is>
      </c>
      <c r="D1964" t="inlineStr">
        <is>
          <t>Sous-ministre adjoint, Direction générale des sciences et de la technologie</t>
        </is>
      </c>
      <c r="E1964" t="inlineStr">
        <is>
          <t>Gilles Saindon</t>
        </is>
      </c>
      <c r="F1964" t="inlineStr">
        <is>
          <t>Attend a Minister and Deputy Minister briefing, the AgriScience Cluster and the ADM Roundtable of the Grain Growers of Canada</t>
        </is>
      </c>
      <c r="G1964" t="inlineStr">
        <is>
          <t>Participer à un compte rendu Ministre et Sous-ministre, au Programme Agri-Science et à la table ronde des SMA de Producteurs de grains du Canada</t>
        </is>
      </c>
      <c r="H1964" s="1" t="n">
        <v>45014</v>
      </c>
      <c r="I1964" s="1" t="n">
        <v>45014</v>
      </c>
      <c r="J1964" t="inlineStr">
        <is>
          <t>Ottawa (Ontario) Canada</t>
        </is>
      </c>
      <c r="K1964" t="inlineStr">
        <is>
          <t>Ottawa (Ontario) Canada</t>
        </is>
      </c>
      <c r="P1964" t="n">
        <v>0</v>
      </c>
      <c r="Q1964" t="n">
        <v>34.5</v>
      </c>
      <c r="R1964" t="n">
        <v>0</v>
      </c>
      <c r="S1964" t="n">
        <v>0</v>
      </c>
      <c r="T1964" t="n">
        <v>0</v>
      </c>
      <c r="U1964" t="n">
        <v>34.5</v>
      </c>
      <c r="X1964" t="inlineStr">
        <is>
          <t>aafc-aac</t>
        </is>
      </c>
      <c r="Y1964" t="inlineStr">
        <is>
          <t>Agriculture and Agri-Food Canada | Agriculture et Agroalimentaire Canada</t>
        </is>
      </c>
    </row>
    <row r="1965">
      <c r="A1965" t="inlineStr">
        <is>
          <t>T-2023-P01-0012</t>
        </is>
      </c>
      <c r="B1965" t="inlineStr">
        <is>
          <t>SLE</t>
        </is>
      </c>
      <c r="C1965" t="inlineStr">
        <is>
          <t>Assistant Deputy Minister, International Affairs Branch</t>
        </is>
      </c>
      <c r="D1965" t="inlineStr">
        <is>
          <t>Sous-ministre adjointe, Direction générale des affaires internationales</t>
        </is>
      </c>
      <c r="E1965" t="inlineStr">
        <is>
          <t xml:space="preserve">Kathleen Donohue </t>
        </is>
      </c>
      <c r="F1965" t="inlineStr">
        <is>
          <t xml:space="preserve">Attend stakeholder meetings in Singapore and India </t>
        </is>
      </c>
      <c r="G1965" t="inlineStr">
        <is>
          <t>Assister à des réunions des parties prenantes à Singapour et en Inde</t>
        </is>
      </c>
      <c r="H1965" s="1" t="n">
        <v>44974</v>
      </c>
      <c r="I1965" s="1" t="n">
        <v>44986</v>
      </c>
      <c r="J1965" t="inlineStr">
        <is>
          <t xml:space="preserve">Singapore 
New Delhi (Delhi) India </t>
        </is>
      </c>
      <c r="K1965" t="inlineStr">
        <is>
          <t>Singapour
New Delhi (Delhi) Inde</t>
        </is>
      </c>
      <c r="P1965" t="n">
        <v>14667.45</v>
      </c>
      <c r="Q1965" t="n">
        <v>149.73</v>
      </c>
      <c r="R1965" t="n">
        <v>3814.24</v>
      </c>
      <c r="S1965" t="n">
        <v>1975.54</v>
      </c>
      <c r="T1965" t="n">
        <v>33.89</v>
      </c>
      <c r="U1965" t="n">
        <v>20640.85</v>
      </c>
      <c r="X1965" t="inlineStr">
        <is>
          <t>aafc-aac</t>
        </is>
      </c>
      <c r="Y1965" t="inlineStr">
        <is>
          <t>Agriculture and Agri-Food Canada | Agriculture et Agroalimentaire Canada</t>
        </is>
      </c>
    </row>
    <row r="1966">
      <c r="A1966" t="inlineStr">
        <is>
          <t>T-2023-P01-0013</t>
        </is>
      </c>
      <c r="B1966" t="inlineStr">
        <is>
          <t>SLE</t>
        </is>
      </c>
      <c r="C1966" t="inlineStr">
        <is>
          <t>Assistant Deputy Minister, International Affairs Branch</t>
        </is>
      </c>
      <c r="D1966" t="inlineStr">
        <is>
          <t>Sous-ministre adjointe, Direction générale des affaires internationales</t>
        </is>
      </c>
      <c r="E1966" t="inlineStr">
        <is>
          <t xml:space="preserve">Kathleen Donohue </t>
        </is>
      </c>
      <c r="F1966" t="inlineStr">
        <is>
          <t>To attend a government-industry mission to the Europeen Union Member States to prepare for African Swine Fever</t>
        </is>
      </c>
      <c r="G1966" t="inlineStr">
        <is>
          <t>Participer à la mission gouvernement-industrie dans les États membres de l'Union européenne pour se préparer à la peste porcine africaine</t>
        </is>
      </c>
      <c r="H1966" s="1" t="n">
        <v>45010</v>
      </c>
      <c r="I1966" s="1" t="n">
        <v>45017</v>
      </c>
      <c r="J1966" t="inlineStr">
        <is>
          <t>Bonn, Germany
Copenhagen, Denmark
The Hague, Netherlands</t>
        </is>
      </c>
      <c r="K1966" t="inlineStr">
        <is>
          <t>Bonn, Allemagne
Copenhague, Danemark
La Haye, Pays-Bas</t>
        </is>
      </c>
      <c r="P1966" t="n">
        <v>10642.85</v>
      </c>
      <c r="Q1966" t="n">
        <v>365.88</v>
      </c>
      <c r="R1966" t="n">
        <v>1447.98</v>
      </c>
      <c r="S1966" t="n">
        <v>1381.15</v>
      </c>
      <c r="T1966" t="n">
        <v>0</v>
      </c>
      <c r="U1966" t="n">
        <v>13837.86</v>
      </c>
      <c r="X1966" t="inlineStr">
        <is>
          <t>aafc-aac</t>
        </is>
      </c>
      <c r="Y1966" t="inlineStr">
        <is>
          <t>Agriculture and Agri-Food Canada | Agriculture et Agroalimentaire Canada</t>
        </is>
      </c>
    </row>
    <row r="1967">
      <c r="A1967" t="inlineStr">
        <is>
          <t>T-2023-P01-0014</t>
        </is>
      </c>
      <c r="B1967" t="inlineStr">
        <is>
          <t>SLE</t>
        </is>
      </c>
      <c r="C1967" t="inlineStr">
        <is>
          <t>Assistant Deputy Minister, Strategic Policy Branch</t>
        </is>
      </c>
      <c r="D1967" t="inlineStr">
        <is>
          <t>Sous-ministre adjointe, Direction générale des politiques stratégiques</t>
        </is>
      </c>
      <c r="E1967" t="inlineStr">
        <is>
          <t>Natasha Kim</t>
        </is>
      </c>
      <c r="F1967" t="inlineStr">
        <is>
          <t>Attend various meetings downtown</t>
        </is>
      </c>
      <c r="G1967" t="inlineStr">
        <is>
          <t>Participer à diverses réunions en ville</t>
        </is>
      </c>
      <c r="H1967" s="1" t="n">
        <v>44991</v>
      </c>
      <c r="I1967" s="1" t="n">
        <v>45014</v>
      </c>
      <c r="J1967" t="inlineStr">
        <is>
          <t>Ottawa (Ontario) Canada</t>
        </is>
      </c>
      <c r="K1967" t="inlineStr">
        <is>
          <t>Ottawa (Ontario) Canada</t>
        </is>
      </c>
      <c r="P1967" t="n">
        <v>0</v>
      </c>
      <c r="Q1967" t="n">
        <v>29</v>
      </c>
      <c r="R1967" t="n">
        <v>0</v>
      </c>
      <c r="S1967" t="n">
        <v>0</v>
      </c>
      <c r="T1967" t="n">
        <v>0</v>
      </c>
      <c r="U1967" t="n">
        <v>29</v>
      </c>
      <c r="X1967" t="inlineStr">
        <is>
          <t>aafc-aac</t>
        </is>
      </c>
      <c r="Y1967" t="inlineStr">
        <is>
          <t>Agriculture and Agri-Food Canada | Agriculture et Agroalimentaire Canada</t>
        </is>
      </c>
    </row>
    <row r="1968">
      <c r="A1968" t="inlineStr">
        <is>
          <t>T-2023-P01-0015</t>
        </is>
      </c>
      <c r="B1968" t="inlineStr">
        <is>
          <t>SLE</t>
        </is>
      </c>
      <c r="C1968" t="inlineStr">
        <is>
          <t>Assistant Deputy Minister, Programs Branch</t>
        </is>
      </c>
      <c r="D1968" t="inlineStr">
        <is>
          <t>Sous-ministre adjointe, Direction générale des programmes</t>
        </is>
      </c>
      <c r="E1968" t="inlineStr">
        <is>
          <t>Liz Foster</t>
        </is>
      </c>
      <c r="F1968" t="inlineStr">
        <is>
          <t>Attend an in-person meeting with the Grain Growers of Canada</t>
        </is>
      </c>
      <c r="G1968" t="inlineStr">
        <is>
          <t>Participer à une rencontre en personne avec les Producteurs de grains du Canada</t>
        </is>
      </c>
      <c r="H1968" s="1" t="n">
        <v>45014</v>
      </c>
      <c r="I1968" s="1" t="n">
        <v>45014</v>
      </c>
      <c r="J1968" t="inlineStr">
        <is>
          <t>Ottawa (Ontario) Canada</t>
        </is>
      </c>
      <c r="K1968" t="inlineStr">
        <is>
          <t>Ottawa (Ontario) Canada</t>
        </is>
      </c>
      <c r="P1968" t="n">
        <v>0</v>
      </c>
      <c r="Q1968" t="n">
        <v>12.5</v>
      </c>
      <c r="R1968" t="n">
        <v>0</v>
      </c>
      <c r="S1968" t="n">
        <v>0</v>
      </c>
      <c r="T1968" t="n">
        <v>0</v>
      </c>
      <c r="U1968" t="n">
        <v>12.5</v>
      </c>
      <c r="X1968" t="inlineStr">
        <is>
          <t>aafc-aac</t>
        </is>
      </c>
      <c r="Y1968" t="inlineStr">
        <is>
          <t>Agriculture and Agri-Food Canada | Agriculture et Agroalimentaire Canada</t>
        </is>
      </c>
    </row>
    <row r="1969">
      <c r="A1969" t="inlineStr">
        <is>
          <t>T-2023-P01-0016</t>
        </is>
      </c>
      <c r="B1969" t="inlineStr">
        <is>
          <t>SLE</t>
        </is>
      </c>
      <c r="C1969" t="inlineStr">
        <is>
          <t>Assistant Deputy Minister, Programs Branch</t>
        </is>
      </c>
      <c r="D1969" t="inlineStr">
        <is>
          <t>Sous-ministre adjointe, Direction générale des programmes</t>
        </is>
      </c>
      <c r="E1969" t="inlineStr">
        <is>
          <t>Liz Foster</t>
        </is>
      </c>
      <c r="F1969" t="inlineStr">
        <is>
          <t>Attend a Minister and Deputy minister meeting at the Confederation Building</t>
        </is>
      </c>
      <c r="G1969" t="inlineStr">
        <is>
          <t>Participer à une rencontre Ministre et Sous-ministre</t>
        </is>
      </c>
      <c r="H1969" s="1" t="n">
        <v>45014</v>
      </c>
      <c r="I1969" s="1" t="n">
        <v>45014</v>
      </c>
      <c r="J1969" t="inlineStr">
        <is>
          <t>Ottawa (Ontario) Canada</t>
        </is>
      </c>
      <c r="K1969" t="inlineStr">
        <is>
          <t>Ottawa (Ontario) Canada</t>
        </is>
      </c>
      <c r="P1969" t="n">
        <v>0</v>
      </c>
      <c r="Q1969" t="n">
        <v>22</v>
      </c>
      <c r="R1969" t="n">
        <v>0</v>
      </c>
      <c r="S1969" t="n">
        <v>0</v>
      </c>
      <c r="T1969" t="n">
        <v>0</v>
      </c>
      <c r="U1969" t="n">
        <v>22</v>
      </c>
      <c r="X1969" t="inlineStr">
        <is>
          <t>aafc-aac</t>
        </is>
      </c>
      <c r="Y1969" t="inlineStr">
        <is>
          <t>Agriculture and Agri-Food Canada | Agriculture et Agroalimentaire Canada</t>
        </is>
      </c>
    </row>
    <row r="1970">
      <c r="A1970" t="inlineStr">
        <is>
          <t>T-2023-P01-0017</t>
        </is>
      </c>
      <c r="B1970" t="inlineStr">
        <is>
          <t>SLE</t>
        </is>
      </c>
      <c r="C1970" t="inlineStr">
        <is>
          <t>Assistant Deputy Minister, Programs Branch</t>
        </is>
      </c>
      <c r="D1970" t="inlineStr">
        <is>
          <t>Sous-ministre adjointe, Direction générale des programmes</t>
        </is>
      </c>
      <c r="E1970" t="inlineStr">
        <is>
          <t>Liz Foster</t>
        </is>
      </c>
      <c r="F1970" t="inlineStr">
        <is>
          <t>Attend National Program Advisory Commitee meetings</t>
        </is>
      </c>
      <c r="G1970" t="inlineStr">
        <is>
          <t>Participer aux rencontres du Comité consultatif national sur les programmes</t>
        </is>
      </c>
      <c r="H1970" s="1" t="n">
        <v>45007</v>
      </c>
      <c r="I1970" s="1" t="n">
        <v>45008</v>
      </c>
      <c r="J1970" t="inlineStr">
        <is>
          <t>Ottawa (Ontario) Canada</t>
        </is>
      </c>
      <c r="K1970" t="inlineStr">
        <is>
          <t>Ottawa (Ontario) Canada</t>
        </is>
      </c>
      <c r="P1970" t="n">
        <v>0</v>
      </c>
      <c r="Q1970" t="n">
        <v>42.25</v>
      </c>
      <c r="R1970" t="n">
        <v>0</v>
      </c>
      <c r="S1970" t="n">
        <v>0</v>
      </c>
      <c r="T1970" t="n">
        <v>0</v>
      </c>
      <c r="U1970" t="n">
        <v>42.25</v>
      </c>
      <c r="X1970" t="inlineStr">
        <is>
          <t>aafc-aac</t>
        </is>
      </c>
      <c r="Y1970" t="inlineStr">
        <is>
          <t>Agriculture and Agri-Food Canada | Agriculture et Agroalimentaire Canada</t>
        </is>
      </c>
    </row>
    <row r="1971">
      <c r="A1971" t="inlineStr">
        <is>
          <t>T-2023-P01-0018</t>
        </is>
      </c>
      <c r="B1971" t="inlineStr">
        <is>
          <t>SLE</t>
        </is>
      </c>
      <c r="C1971" t="inlineStr">
        <is>
          <t>Chief Information Officer, Information Systems Branch</t>
        </is>
      </c>
      <c r="D1971" t="inlineStr">
        <is>
          <t>Dirigeante principale de l'information, Direction générale des systèmes d'information</t>
        </is>
      </c>
      <c r="E1971" t="inlineStr">
        <is>
          <t>Vidya ShankarNarayan</t>
        </is>
      </c>
      <c r="F1971" t="inlineStr">
        <is>
          <t>Attend meetings</t>
        </is>
      </c>
      <c r="G1971" t="inlineStr">
        <is>
          <t>Participer à des réunions</t>
        </is>
      </c>
      <c r="H1971" s="1" t="n">
        <v>44966</v>
      </c>
      <c r="I1971" s="1" t="n">
        <v>45000</v>
      </c>
      <c r="J1971" t="inlineStr">
        <is>
          <t>Ottawa (Ontario) Canada</t>
        </is>
      </c>
      <c r="K1971" t="inlineStr">
        <is>
          <t>Ottawa (Ontario) Canada</t>
        </is>
      </c>
      <c r="P1971" t="n">
        <v>0</v>
      </c>
      <c r="Q1971" t="n">
        <v>44.2</v>
      </c>
      <c r="R1971" t="n">
        <v>0</v>
      </c>
      <c r="S1971" t="n">
        <v>0</v>
      </c>
      <c r="T1971" t="n">
        <v>0</v>
      </c>
      <c r="U1971" t="n">
        <v>44.2</v>
      </c>
      <c r="X1971" t="inlineStr">
        <is>
          <t>aafc-aac</t>
        </is>
      </c>
      <c r="Y1971" t="inlineStr">
        <is>
          <t>Agriculture and Agri-Food Canada | Agriculture et Agroalimentaire Canada</t>
        </is>
      </c>
    </row>
    <row r="1972">
      <c r="A1972" t="inlineStr">
        <is>
          <t>T-2023-P2-0001</t>
        </is>
      </c>
      <c r="B1972" t="inlineStr">
        <is>
          <t>MPSES</t>
        </is>
      </c>
      <c r="C1972" t="inlineStr">
        <is>
          <t>Minister</t>
        </is>
      </c>
      <c r="D1972" t="inlineStr">
        <is>
          <t>Ministre</t>
        </is>
      </c>
      <c r="E1972" t="inlineStr">
        <is>
          <t>Marie-Claude Bibeau</t>
        </is>
      </c>
      <c r="F1972" t="inlineStr">
        <is>
          <t>To attend the Agriculture Ministers 49th G7 Summit</t>
        </is>
      </c>
      <c r="G1972" t="inlineStr">
        <is>
          <t>Assister au 49ième sommet du G7 des ministres de l'agriculture</t>
        </is>
      </c>
      <c r="H1972" s="1" t="n">
        <v>45035</v>
      </c>
      <c r="I1972" s="1" t="n">
        <v>45042</v>
      </c>
      <c r="J1972" t="inlineStr">
        <is>
          <t>Tokyo, JapanMiyazaki, JapanSingapore</t>
        </is>
      </c>
      <c r="K1972" t="inlineStr">
        <is>
          <t>Tokyo, JaponMiyazaki, JaponSingapour</t>
        </is>
      </c>
      <c r="P1972" t="n">
        <v>13007.57</v>
      </c>
      <c r="Q1972" t="n">
        <v>0</v>
      </c>
      <c r="R1972" t="n">
        <v>1289.56</v>
      </c>
      <c r="S1972" t="n">
        <v>245.14</v>
      </c>
      <c r="T1972" t="n">
        <v>0</v>
      </c>
      <c r="U1972" t="n">
        <v>14542.27</v>
      </c>
      <c r="X1972" t="inlineStr">
        <is>
          <t>aafc-aac</t>
        </is>
      </c>
      <c r="Y1972" t="inlineStr">
        <is>
          <t>Agriculture and Agri-Food Canada | Agriculture et Agroalimentaire Canada</t>
        </is>
      </c>
    </row>
    <row r="1973">
      <c r="A1973" t="inlineStr">
        <is>
          <t>T-2023-P2-0002</t>
        </is>
      </c>
      <c r="B1973" t="inlineStr">
        <is>
          <t>MPSES</t>
        </is>
      </c>
      <c r="C1973" t="inlineStr">
        <is>
          <t>Minister</t>
        </is>
      </c>
      <c r="D1973" t="inlineStr">
        <is>
          <t>Ministre</t>
        </is>
      </c>
      <c r="E1973" t="inlineStr">
        <is>
          <t>Marie-Claude Bibeau</t>
        </is>
      </c>
      <c r="F1973" t="inlineStr">
        <is>
          <t>To attend the Minister’s The Agriculture Innovation Mission for Climate conference and meet with stakeholders and US counterparts including Secretary Vilalobos and Ambassador Hillman</t>
        </is>
      </c>
      <c r="G1973" t="inlineStr">
        <is>
          <t>Pour assister à la conférence de la mission d'innovation agricole pour le climat du ministre et rencontrer les parties prenantes et les homologues américains, notamment le secrétaire Vilalobos et l'ambassadeur Hillman.</t>
        </is>
      </c>
      <c r="H1973" s="1" t="n">
        <v>45053</v>
      </c>
      <c r="I1973" s="1" t="n">
        <v>45056</v>
      </c>
      <c r="J1973" t="inlineStr">
        <is>
          <t>Washington (District of Columbia) United States</t>
        </is>
      </c>
      <c r="K1973" t="inlineStr">
        <is>
          <t>Washington (District de Columbia) États-Unis</t>
        </is>
      </c>
      <c r="P1973" t="n">
        <v>1442.85</v>
      </c>
      <c r="Q1973" t="n">
        <v>0</v>
      </c>
      <c r="R1973" t="n">
        <v>1718.33</v>
      </c>
      <c r="S1973" t="n">
        <v>294.4</v>
      </c>
      <c r="T1973" t="n">
        <v>0</v>
      </c>
      <c r="U1973" t="n">
        <v>3455.58</v>
      </c>
      <c r="X1973" t="inlineStr">
        <is>
          <t>aafc-aac</t>
        </is>
      </c>
      <c r="Y1973" t="inlineStr">
        <is>
          <t>Agriculture and Agri-Food Canada | Agriculture et Agroalimentaire Canada</t>
        </is>
      </c>
    </row>
    <row r="1974">
      <c r="A1974" t="inlineStr">
        <is>
          <t>T-2023-P2-0003</t>
        </is>
      </c>
      <c r="B1974" t="inlineStr">
        <is>
          <t>MPSES</t>
        </is>
      </c>
      <c r="C1974" t="inlineStr">
        <is>
          <t>Minister</t>
        </is>
      </c>
      <c r="D1974" t="inlineStr">
        <is>
          <t>Ministre</t>
        </is>
      </c>
      <c r="E1974" t="inlineStr">
        <is>
          <t>Marie-Claude Bibeau</t>
        </is>
      </c>
      <c r="F1974" t="inlineStr">
        <is>
          <t>To attend the strategy announcement for women entrepreneurs (farmers) and round-table discussion</t>
        </is>
      </c>
      <c r="G1974" t="inlineStr">
        <is>
          <t>Participer à l'annonce de la stratégie pour les femmes entrepreneurs (agricultrices) et à la table ronde.</t>
        </is>
      </c>
      <c r="H1974" s="1" t="n">
        <v>45069</v>
      </c>
      <c r="I1974" s="1" t="n">
        <v>45070</v>
      </c>
      <c r="J1974" t="inlineStr">
        <is>
          <t>Québec (Quebec) Canada</t>
        </is>
      </c>
      <c r="K1974" t="inlineStr">
        <is>
          <t>Québec (Québec) Canada</t>
        </is>
      </c>
      <c r="P1974" t="n">
        <v>0</v>
      </c>
      <c r="Q1974" t="n">
        <v>0</v>
      </c>
      <c r="R1974" t="n">
        <v>189.21</v>
      </c>
      <c r="S1974" t="n">
        <v>106.1</v>
      </c>
      <c r="T1974" t="n">
        <v>0</v>
      </c>
      <c r="U1974" t="n">
        <v>295.31</v>
      </c>
      <c r="X1974" t="inlineStr">
        <is>
          <t>aafc-aac</t>
        </is>
      </c>
      <c r="Y1974" t="inlineStr">
        <is>
          <t>Agriculture and Agri-Food Canada | Agriculture et Agroalimentaire Canada</t>
        </is>
      </c>
    </row>
    <row r="1975">
      <c r="A1975" t="inlineStr">
        <is>
          <t>T-2023-P2-0004</t>
        </is>
      </c>
      <c r="B1975" t="inlineStr">
        <is>
          <t>MPSES</t>
        </is>
      </c>
      <c r="C1975" t="inlineStr">
        <is>
          <t>Director of Regional Affairs</t>
        </is>
      </c>
      <c r="D1975" t="inlineStr">
        <is>
          <t>Directrice des affaires régionales</t>
        </is>
      </c>
      <c r="E1975" t="inlineStr">
        <is>
          <t>Alison Porter</t>
        </is>
      </c>
      <c r="F1975" t="inlineStr">
        <is>
          <t>To attend a departmental briefing day with the Minister</t>
        </is>
      </c>
      <c r="G1975" t="inlineStr">
        <is>
          <t>Participer à une journée d'information ministérielle avec la ministre</t>
        </is>
      </c>
      <c r="H1975" s="1" t="n">
        <v>45029</v>
      </c>
      <c r="I1975" s="1" t="n">
        <v>45029</v>
      </c>
      <c r="J1975" t="inlineStr">
        <is>
          <t>Ottawa (Ontario) Canada</t>
        </is>
      </c>
      <c r="K1975" t="inlineStr">
        <is>
          <t>Ottawa (Ontario) Canada</t>
        </is>
      </c>
      <c r="P1975" t="n">
        <v>0</v>
      </c>
      <c r="Q1975" t="n">
        <v>223.84</v>
      </c>
      <c r="R1975" t="n">
        <v>0</v>
      </c>
      <c r="S1975" t="n">
        <v>82.2</v>
      </c>
      <c r="T1975" t="n">
        <v>0</v>
      </c>
      <c r="U1975" t="n">
        <v>306.04</v>
      </c>
      <c r="X1975" t="inlineStr">
        <is>
          <t>aafc-aac</t>
        </is>
      </c>
      <c r="Y1975" t="inlineStr">
        <is>
          <t>Agriculture and Agri-Food Canada | Agriculture et Agroalimentaire Canada</t>
        </is>
      </c>
    </row>
    <row r="1976">
      <c r="A1976" t="inlineStr">
        <is>
          <t>T-2023-P2-0005</t>
        </is>
      </c>
      <c r="B1976" t="inlineStr">
        <is>
          <t>MPSES</t>
        </is>
      </c>
      <c r="C1976" t="inlineStr">
        <is>
          <t>Director of Communications</t>
        </is>
      </c>
      <c r="D1976" t="inlineStr">
        <is>
          <t>Directrice des communications</t>
        </is>
      </c>
      <c r="E1976" t="inlineStr">
        <is>
          <t>Marianne Dandurand</t>
        </is>
      </c>
      <c r="F1976" t="inlineStr">
        <is>
          <t>To support the Minister at the Agriculture Ministers 49th G7 Summit</t>
        </is>
      </c>
      <c r="G1976" t="inlineStr">
        <is>
          <t>Soutenir la ministre lors du 49ième sommet du G7 des ministres de l'agriculture</t>
        </is>
      </c>
      <c r="H1976" s="1" t="n">
        <v>45035</v>
      </c>
      <c r="I1976" s="1" t="n">
        <v>45042</v>
      </c>
      <c r="J1976" t="inlineStr">
        <is>
          <t>Tokyo, Japan
Miyazaki, Japan
Singapore</t>
        </is>
      </c>
      <c r="K1976" t="inlineStr">
        <is>
          <t>Tokyo, Japon
Miyazaki, Japon
Singapour</t>
        </is>
      </c>
      <c r="P1976" t="n">
        <v>12400.45</v>
      </c>
      <c r="Q1976" t="n">
        <v>0</v>
      </c>
      <c r="R1976" t="n">
        <v>2309.39</v>
      </c>
      <c r="S1976" t="n">
        <v>245.14</v>
      </c>
      <c r="T1976" t="n">
        <v>0</v>
      </c>
      <c r="U1976" t="n">
        <v>14954.98</v>
      </c>
      <c r="X1976" t="inlineStr">
        <is>
          <t>aafc-aac</t>
        </is>
      </c>
      <c r="Y1976" t="inlineStr">
        <is>
          <t>Agriculture and Agri-Food Canada | Agriculture et Agroalimentaire Canada</t>
        </is>
      </c>
    </row>
    <row r="1977">
      <c r="A1977" t="inlineStr">
        <is>
          <t>T-2023-P2-0006</t>
        </is>
      </c>
      <c r="B1977" t="inlineStr">
        <is>
          <t>MPSES</t>
        </is>
      </c>
      <c r="C1977" t="inlineStr">
        <is>
          <t>Director of Communications</t>
        </is>
      </c>
      <c r="D1977" t="inlineStr">
        <is>
          <t>Directrice des communications</t>
        </is>
      </c>
      <c r="E1977" t="inlineStr">
        <is>
          <t>Marianne Dandurand</t>
        </is>
      </c>
      <c r="F1977" t="inlineStr">
        <is>
          <t>Reimbursement for the purchase of a passport photo</t>
        </is>
      </c>
      <c r="G1977" t="inlineStr">
        <is>
          <t>Remboursement de l'achat d'une photo de passport</t>
        </is>
      </c>
      <c r="H1977" s="1" t="n">
        <v>45064</v>
      </c>
      <c r="I1977" s="1" t="n">
        <v>45064</v>
      </c>
      <c r="J1977" t="inlineStr">
        <is>
          <t>Ottawa (Ontario) Canada</t>
        </is>
      </c>
      <c r="K1977" t="inlineStr">
        <is>
          <t>Ottawa (Ontario) Canada</t>
        </is>
      </c>
      <c r="P1977" t="n">
        <v>0</v>
      </c>
      <c r="Q1977" t="n">
        <v>0</v>
      </c>
      <c r="R1977" t="n">
        <v>0</v>
      </c>
      <c r="S1977" t="n">
        <v>0</v>
      </c>
      <c r="T1977" t="n">
        <v>22.59</v>
      </c>
      <c r="U1977" t="n">
        <v>22.59</v>
      </c>
      <c r="X1977" t="inlineStr">
        <is>
          <t>aafc-aac</t>
        </is>
      </c>
      <c r="Y1977" t="inlineStr">
        <is>
          <t>Agriculture and Agri-Food Canada | Agriculture et Agroalimentaire Canada</t>
        </is>
      </c>
    </row>
    <row r="1978">
      <c r="A1978" t="inlineStr">
        <is>
          <t>T-2023-P2-0007</t>
        </is>
      </c>
      <c r="B1978" t="inlineStr">
        <is>
          <t>MPSES</t>
        </is>
      </c>
      <c r="C1978" t="inlineStr">
        <is>
          <t>Chief of Staff</t>
        </is>
      </c>
      <c r="D1978" t="inlineStr">
        <is>
          <t>Chef de cabinet</t>
        </is>
      </c>
      <c r="E1978" t="inlineStr">
        <is>
          <t>Jérémy Gauthier</t>
        </is>
      </c>
      <c r="F1978" t="inlineStr">
        <is>
          <t>To support the Minister at the Agriculture Ministers 49th G7 Summit</t>
        </is>
      </c>
      <c r="G1978" t="inlineStr">
        <is>
          <t>Soutenir la ministre lors du 49ième sommet du G7 des ministres de l'agriculture</t>
        </is>
      </c>
      <c r="H1978" s="1" t="n">
        <v>45035</v>
      </c>
      <c r="I1978" s="1" t="n">
        <v>45042</v>
      </c>
      <c r="J1978" t="inlineStr">
        <is>
          <t>Tokyo, Japan
Miyazaki, Japan
Singapore</t>
        </is>
      </c>
      <c r="K1978" t="inlineStr">
        <is>
          <t>Tokyo, Japon
Miyazaki, Japon
Singapour</t>
        </is>
      </c>
      <c r="P1978" t="n">
        <v>12400.45</v>
      </c>
      <c r="Q1978" t="n">
        <v>50.57</v>
      </c>
      <c r="R1978" t="n">
        <v>1294.85</v>
      </c>
      <c r="S1978" t="n">
        <v>245.14</v>
      </c>
      <c r="T1978" t="n">
        <v>0</v>
      </c>
      <c r="U1978" t="n">
        <v>13991.01</v>
      </c>
      <c r="X1978" t="inlineStr">
        <is>
          <t>aafc-aac</t>
        </is>
      </c>
      <c r="Y1978" t="inlineStr">
        <is>
          <t>Agriculture and Agri-Food Canada | Agriculture et Agroalimentaire Canada</t>
        </is>
      </c>
    </row>
    <row r="1979">
      <c r="A1979" t="inlineStr">
        <is>
          <t>T-2023-P2-0008</t>
        </is>
      </c>
      <c r="B1979" t="inlineStr">
        <is>
          <t>MPSES</t>
        </is>
      </c>
      <c r="C1979" t="inlineStr">
        <is>
          <t>Chief of Staff</t>
        </is>
      </c>
      <c r="D1979" t="inlineStr">
        <is>
          <t>Chef de cabinet</t>
        </is>
      </c>
      <c r="E1979" t="inlineStr">
        <is>
          <t>Jérémy Gauthier</t>
        </is>
      </c>
      <c r="F1979" t="inlineStr">
        <is>
          <t>Accompany the Minister to attend the Minister’s Agriculture Innovation Mission for Climate conference and meet with stakeholders and US counterparts including Secretary Vilalobos and Ambassador Hillman</t>
        </is>
      </c>
      <c r="G1979" t="inlineStr">
        <is>
          <t>Accompagner la ministre pour assister à la conférence de la mission d'innovation agricole pour le climat du ministre et rencontrer les parties prenantes et les homologues américains, notamment le secrétaire Vilalobos et l'ambassadeur Hillman.</t>
        </is>
      </c>
      <c r="H1979" s="1" t="n">
        <v>45053</v>
      </c>
      <c r="I1979" s="1" t="n">
        <v>45056</v>
      </c>
      <c r="J1979" t="inlineStr">
        <is>
          <t>Washington (District of Columbia) United States</t>
        </is>
      </c>
      <c r="K1979" t="inlineStr">
        <is>
          <t>Washington (District de Columbia) États-Unis</t>
        </is>
      </c>
      <c r="P1979" t="n">
        <v>1431.71</v>
      </c>
      <c r="Q1979" t="n">
        <v>70.92</v>
      </c>
      <c r="R1979" t="n">
        <v>1718.33</v>
      </c>
      <c r="S1979" t="n">
        <v>342.2</v>
      </c>
      <c r="T1979" t="n">
        <v>0</v>
      </c>
      <c r="U1979" t="n">
        <v>3563.16</v>
      </c>
      <c r="X1979" t="inlineStr">
        <is>
          <t>aafc-aac</t>
        </is>
      </c>
      <c r="Y1979" t="inlineStr">
        <is>
          <t>Agriculture and Agri-Food Canada | Agriculture et Agroalimentaire Canada</t>
        </is>
      </c>
    </row>
    <row r="1980">
      <c r="A1980" t="inlineStr">
        <is>
          <t>T-2023-P2-0009</t>
        </is>
      </c>
      <c r="B1980" t="inlineStr">
        <is>
          <t>MPSES</t>
        </is>
      </c>
      <c r="C1980" t="inlineStr">
        <is>
          <t>Driver</t>
        </is>
      </c>
      <c r="D1980" t="inlineStr">
        <is>
          <t>Chauffeur</t>
        </is>
      </c>
      <c r="E1980" t="inlineStr">
        <is>
          <t>Michel Gendreau</t>
        </is>
      </c>
      <c r="F1980" t="inlineStr">
        <is>
          <t>Drive the Minister from her riding to Ottawa</t>
        </is>
      </c>
      <c r="G1980" t="inlineStr">
        <is>
          <t>Conduire la ministre de sa circonscription à Ottawa</t>
        </is>
      </c>
      <c r="H1980" s="1" t="n">
        <v>45032</v>
      </c>
      <c r="I1980" s="1" t="n">
        <v>45033</v>
      </c>
      <c r="J1980" t="inlineStr">
        <is>
          <t>Ottawa (Ontario) Canada
Sherbrooke (Quebec) Canada</t>
        </is>
      </c>
      <c r="K1980" t="inlineStr">
        <is>
          <t>Ottawa (Ontario) Canada
Sherbrooke (Québec) Canada</t>
        </is>
      </c>
      <c r="P1980" t="n">
        <v>0</v>
      </c>
      <c r="Q1980" t="n">
        <v>7</v>
      </c>
      <c r="R1980" t="n">
        <v>129.71</v>
      </c>
      <c r="S1980" t="n">
        <v>82.2</v>
      </c>
      <c r="T1980" t="n">
        <v>0</v>
      </c>
      <c r="U1980" t="n">
        <v>218.91</v>
      </c>
      <c r="X1980" t="inlineStr">
        <is>
          <t>aafc-aac</t>
        </is>
      </c>
      <c r="Y1980" t="inlineStr">
        <is>
          <t>Agriculture and Agri-Food Canada | Agriculture et Agroalimentaire Canada</t>
        </is>
      </c>
    </row>
    <row r="1981">
      <c r="A1981" t="inlineStr">
        <is>
          <t>T-2023-P2-0010</t>
        </is>
      </c>
      <c r="B1981" t="inlineStr">
        <is>
          <t>MPSES</t>
        </is>
      </c>
      <c r="C1981" t="inlineStr">
        <is>
          <t>Driver</t>
        </is>
      </c>
      <c r="D1981" t="inlineStr">
        <is>
          <t>Chauffeur</t>
        </is>
      </c>
      <c r="E1981" t="inlineStr">
        <is>
          <t>Michel Gendreau</t>
        </is>
      </c>
      <c r="F1981" t="inlineStr">
        <is>
          <t>Drive the Minister to her riding from the Montréal Airport</t>
        </is>
      </c>
      <c r="G1981" t="inlineStr">
        <is>
          <t>Conduire la ministre à sa circonscription de l'aéroport de Montréal</t>
        </is>
      </c>
      <c r="H1981" s="1" t="n">
        <v>45042</v>
      </c>
      <c r="I1981" s="1" t="n">
        <v>45042</v>
      </c>
      <c r="J1981" t="inlineStr">
        <is>
          <t>Sherbrooke (Quebec) Canada
Montréal (Quebec) Quebec</t>
        </is>
      </c>
      <c r="K1981" t="inlineStr">
        <is>
          <t>Sherbrooke (Québec) Canada
Montréal (Québec) Québec</t>
        </is>
      </c>
      <c r="P1981" t="n">
        <v>0</v>
      </c>
      <c r="Q1981" t="n">
        <v>3.5</v>
      </c>
      <c r="R1981" t="n">
        <v>0</v>
      </c>
      <c r="S1981" t="n">
        <v>58.6</v>
      </c>
      <c r="T1981" t="n">
        <v>0</v>
      </c>
      <c r="U1981" t="n">
        <v>62.1</v>
      </c>
      <c r="X1981" t="inlineStr">
        <is>
          <t>aafc-aac</t>
        </is>
      </c>
      <c r="Y1981" t="inlineStr">
        <is>
          <t>Agriculture and Agri-Food Canada | Agriculture et Agroalimentaire Canada</t>
        </is>
      </c>
    </row>
    <row r="1982">
      <c r="A1982" t="inlineStr">
        <is>
          <t>T-2023-P2-0011</t>
        </is>
      </c>
      <c r="B1982" t="inlineStr">
        <is>
          <t>MPSES</t>
        </is>
      </c>
      <c r="C1982" t="inlineStr">
        <is>
          <t>Driver</t>
        </is>
      </c>
      <c r="D1982" t="inlineStr">
        <is>
          <t>Chauffeur</t>
        </is>
      </c>
      <c r="E1982" t="inlineStr">
        <is>
          <t>Michel Gendreau</t>
        </is>
      </c>
      <c r="F1982" t="inlineStr">
        <is>
          <t>Drive the Minister from her riding to Ottawa</t>
        </is>
      </c>
      <c r="G1982" t="inlineStr">
        <is>
          <t>Conduire la ministre de sa circonscription à Ottawa</t>
        </is>
      </c>
      <c r="H1982" s="1" t="n">
        <v>45046</v>
      </c>
      <c r="I1982" s="1" t="n">
        <v>45047</v>
      </c>
      <c r="J1982" t="inlineStr">
        <is>
          <t>Ottawa (Ontario) Canada
Sherbrooke (Quebec) Canada</t>
        </is>
      </c>
      <c r="K1982" t="inlineStr">
        <is>
          <t>Ottawa (Ontario) Canada
Sherbrooke (Québec) Canada</t>
        </is>
      </c>
      <c r="P1982" t="n">
        <v>0</v>
      </c>
      <c r="Q1982" t="n">
        <v>7</v>
      </c>
      <c r="R1982" t="n">
        <v>129.71</v>
      </c>
      <c r="S1982" t="n">
        <v>82.2</v>
      </c>
      <c r="T1982" t="n">
        <v>0</v>
      </c>
      <c r="U1982" t="n">
        <v>218.91</v>
      </c>
      <c r="X1982" t="inlineStr">
        <is>
          <t>aafc-aac</t>
        </is>
      </c>
      <c r="Y1982" t="inlineStr">
        <is>
          <t>Agriculture and Agri-Food Canada | Agriculture et Agroalimentaire Canada</t>
        </is>
      </c>
    </row>
    <row r="1983">
      <c r="A1983" t="inlineStr">
        <is>
          <t>T-2023-P2-0012</t>
        </is>
      </c>
      <c r="B1983" t="inlineStr">
        <is>
          <t>MPSES</t>
        </is>
      </c>
      <c r="C1983" t="inlineStr">
        <is>
          <t>Driver</t>
        </is>
      </c>
      <c r="D1983" t="inlineStr">
        <is>
          <t>Chauffeur</t>
        </is>
      </c>
      <c r="E1983" t="inlineStr">
        <is>
          <t>Michel Gendreau</t>
        </is>
      </c>
      <c r="F1983" t="inlineStr">
        <is>
          <t>Drive the Minister to her riding from Ottawa</t>
        </is>
      </c>
      <c r="G1983" t="inlineStr">
        <is>
          <t>Conduire la ministre à sa circonscription d'Ottawa</t>
        </is>
      </c>
      <c r="H1983" s="1" t="n">
        <v>45058</v>
      </c>
      <c r="I1983" s="1" t="n">
        <v>45058</v>
      </c>
      <c r="J1983" t="inlineStr">
        <is>
          <t>Ottawa (Ontario) Canada
Sherbrooke (Quebec) Canada</t>
        </is>
      </c>
      <c r="K1983" t="inlineStr">
        <is>
          <t>Ottawa (Ontario) Canada
Sherbrooke (Québec) Canada</t>
        </is>
      </c>
      <c r="P1983" t="n">
        <v>0</v>
      </c>
      <c r="Q1983" t="n">
        <v>7</v>
      </c>
      <c r="R1983" t="n">
        <v>0</v>
      </c>
      <c r="S1983" t="n">
        <v>58.6</v>
      </c>
      <c r="T1983" t="n">
        <v>0</v>
      </c>
      <c r="U1983" t="n">
        <v>65.59999999999999</v>
      </c>
      <c r="X1983" t="inlineStr">
        <is>
          <t>aafc-aac</t>
        </is>
      </c>
      <c r="Y1983" t="inlineStr">
        <is>
          <t>Agriculture and Agri-Food Canada | Agriculture et Agroalimentaire Canada</t>
        </is>
      </c>
    </row>
    <row r="1984">
      <c r="A1984" t="inlineStr">
        <is>
          <t>T-2023-P2-0013</t>
        </is>
      </c>
      <c r="B1984" t="inlineStr">
        <is>
          <t>MPSES</t>
        </is>
      </c>
      <c r="C1984" t="inlineStr">
        <is>
          <t>Driver</t>
        </is>
      </c>
      <c r="D1984" t="inlineStr">
        <is>
          <t>Chauffeur</t>
        </is>
      </c>
      <c r="E1984" t="inlineStr">
        <is>
          <t>Michel Gendreau</t>
        </is>
      </c>
      <c r="F1984" t="inlineStr">
        <is>
          <t>Drive the Minister from her riding to Ottawa</t>
        </is>
      </c>
      <c r="G1984" t="inlineStr">
        <is>
          <t>Conduire la ministre de sa circonscription à Ottawa</t>
        </is>
      </c>
      <c r="H1984" s="1" t="n">
        <v>45060</v>
      </c>
      <c r="I1984" s="1" t="n">
        <v>45061</v>
      </c>
      <c r="J1984" t="inlineStr">
        <is>
          <t>Ottawa (Ontario) Canada
Sherbrooke (Quebec) Canada</t>
        </is>
      </c>
      <c r="K1984" t="inlineStr">
        <is>
          <t>Ottawa (Ontario) Canada
Sherbrooke (Québec) Canada</t>
        </is>
      </c>
      <c r="P1984" t="n">
        <v>0</v>
      </c>
      <c r="Q1984" t="n">
        <v>7</v>
      </c>
      <c r="R1984" t="n">
        <v>129.71</v>
      </c>
      <c r="S1984" t="n">
        <v>82.2</v>
      </c>
      <c r="T1984" t="n">
        <v>0</v>
      </c>
      <c r="U1984" t="n">
        <v>218.91</v>
      </c>
      <c r="X1984" t="inlineStr">
        <is>
          <t>aafc-aac</t>
        </is>
      </c>
      <c r="Y1984" t="inlineStr">
        <is>
          <t>Agriculture and Agri-Food Canada | Agriculture et Agroalimentaire Canada</t>
        </is>
      </c>
    </row>
    <row r="1985">
      <c r="A1985" t="inlineStr">
        <is>
          <t>T-2023-P2-0014</t>
        </is>
      </c>
      <c r="B1985" t="inlineStr">
        <is>
          <t>MPSES</t>
        </is>
      </c>
      <c r="C1985" t="inlineStr">
        <is>
          <t>Driver</t>
        </is>
      </c>
      <c r="D1985" t="inlineStr">
        <is>
          <t>Chauffeur</t>
        </is>
      </c>
      <c r="E1985" t="inlineStr">
        <is>
          <t>Michel Gendreau</t>
        </is>
      </c>
      <c r="F1985" t="inlineStr">
        <is>
          <t>Drive the Minister to her riding from Ottawa</t>
        </is>
      </c>
      <c r="G1985" t="inlineStr">
        <is>
          <t>Conduire la ministre à sa circonscription d'Ottawa</t>
        </is>
      </c>
      <c r="H1985" s="1" t="n">
        <v>45064</v>
      </c>
      <c r="I1985" s="1" t="n">
        <v>45064</v>
      </c>
      <c r="J1985" t="inlineStr">
        <is>
          <t>Ottawa (Ontario) Canada
Sherbrooke (Quebec) Canada</t>
        </is>
      </c>
      <c r="K1985" t="inlineStr">
        <is>
          <t>Ottawa (Ontario) Canada
Sherbrooke (Québec) Canada</t>
        </is>
      </c>
      <c r="P1985" t="n">
        <v>0</v>
      </c>
      <c r="Q1985" t="n">
        <v>3.5</v>
      </c>
      <c r="R1985" t="n">
        <v>0</v>
      </c>
      <c r="S1985" t="n">
        <v>58.6</v>
      </c>
      <c r="T1985" t="n">
        <v>0</v>
      </c>
      <c r="U1985" t="n">
        <v>62.1</v>
      </c>
      <c r="X1985" t="inlineStr">
        <is>
          <t>aafc-aac</t>
        </is>
      </c>
      <c r="Y1985" t="inlineStr">
        <is>
          <t>Agriculture and Agri-Food Canada | Agriculture et Agroalimentaire Canada</t>
        </is>
      </c>
    </row>
    <row r="1986">
      <c r="A1986" t="inlineStr">
        <is>
          <t>T-2023-P2-0015</t>
        </is>
      </c>
      <c r="B1986" t="inlineStr">
        <is>
          <t>MPSES</t>
        </is>
      </c>
      <c r="C1986" t="inlineStr">
        <is>
          <t>Driver</t>
        </is>
      </c>
      <c r="D1986" t="inlineStr">
        <is>
          <t>Chauffeur</t>
        </is>
      </c>
      <c r="E1986" t="inlineStr">
        <is>
          <t>Michel Gendreau</t>
        </is>
      </c>
      <c r="F1986" t="inlineStr">
        <is>
          <t>Drive the Minister to attend the strategy announcement for women entrepreneurs (farmers) and round-table discussion</t>
        </is>
      </c>
      <c r="G1986" t="inlineStr">
        <is>
          <t>Conduire la ministre pour participer à l'annonce de la stratégie pour les femmes entrepreneurs (agricultrices) et à la table ronde.</t>
        </is>
      </c>
      <c r="H1986" s="1" t="n">
        <v>45068</v>
      </c>
      <c r="I1986" s="1" t="n">
        <v>45071</v>
      </c>
      <c r="J1986" t="inlineStr">
        <is>
          <t>Québec (Quebec) Canada</t>
        </is>
      </c>
      <c r="K1986" t="inlineStr">
        <is>
          <t>Québec (Québec) Canada</t>
        </is>
      </c>
      <c r="P1986" t="n">
        <v>0</v>
      </c>
      <c r="Q1986" t="n">
        <v>7</v>
      </c>
      <c r="R1986" t="n">
        <v>448.63</v>
      </c>
      <c r="S1986" t="n">
        <v>318.3</v>
      </c>
      <c r="T1986" t="n">
        <v>0</v>
      </c>
      <c r="U1986" t="n">
        <v>773.9299999999999</v>
      </c>
      <c r="X1986" t="inlineStr">
        <is>
          <t>aafc-aac</t>
        </is>
      </c>
      <c r="Y1986" t="inlineStr">
        <is>
          <t>Agriculture and Agri-Food Canada | Agriculture et Agroalimentaire Canada</t>
        </is>
      </c>
    </row>
    <row r="1987">
      <c r="A1987" t="inlineStr">
        <is>
          <t>T-2023-P2-0016</t>
        </is>
      </c>
      <c r="B1987" t="inlineStr">
        <is>
          <t>MPSES</t>
        </is>
      </c>
      <c r="C1987" t="inlineStr">
        <is>
          <t>Policy Advisor</t>
        </is>
      </c>
      <c r="D1987" t="inlineStr">
        <is>
          <t>Conseillère en politiques</t>
        </is>
      </c>
      <c r="E1987" t="inlineStr">
        <is>
          <t>Christine Harvey</t>
        </is>
      </c>
      <c r="F1987" t="inlineStr">
        <is>
          <t>To support the Minister to attend the Quebec tour</t>
        </is>
      </c>
      <c r="G1987" t="inlineStr">
        <is>
          <t>Pour soutenir la ministre à la tournée au Québec</t>
        </is>
      </c>
      <c r="H1987" s="1" t="n">
        <v>45027</v>
      </c>
      <c r="I1987" s="1" t="n">
        <v>45030</v>
      </c>
      <c r="J1987" t="inlineStr">
        <is>
          <t>Québec (Quebec) Canada</t>
        </is>
      </c>
      <c r="K1987" t="inlineStr">
        <is>
          <t>Québec (Québec) Canada</t>
        </is>
      </c>
      <c r="P1987" t="n">
        <v>0</v>
      </c>
      <c r="Q1987" t="n">
        <v>0</v>
      </c>
      <c r="R1987" t="n">
        <v>569.1799999999999</v>
      </c>
      <c r="S1987" t="n">
        <v>270.5</v>
      </c>
      <c r="T1987" t="n">
        <v>0</v>
      </c>
      <c r="U1987" t="n">
        <v>839.6799999999999</v>
      </c>
      <c r="X1987" t="inlineStr">
        <is>
          <t>aafc-aac</t>
        </is>
      </c>
      <c r="Y1987" t="inlineStr">
        <is>
          <t>Agriculture and Agri-Food Canada | Agriculture et Agroalimentaire Canada</t>
        </is>
      </c>
    </row>
    <row r="1988">
      <c r="A1988" t="inlineStr">
        <is>
          <t>T-2023-P2-0017</t>
        </is>
      </c>
      <c r="B1988" t="inlineStr">
        <is>
          <t>MPSES</t>
        </is>
      </c>
      <c r="C1988" t="inlineStr">
        <is>
          <t>Policy Advisor</t>
        </is>
      </c>
      <c r="D1988" t="inlineStr">
        <is>
          <t>Conseillère en politiques</t>
        </is>
      </c>
      <c r="E1988" t="inlineStr">
        <is>
          <t>Christine Harvey</t>
        </is>
      </c>
      <c r="F1988" t="inlineStr">
        <is>
          <t>To support the Minister to attend the strategy announcement for women entrepreneurs (farmers) and round-table discussion</t>
        </is>
      </c>
      <c r="G1988" t="inlineStr">
        <is>
          <t>Pour soutenir la ministre à participer à l'annonce de la stratégie pour les femmes entrepreneurs (agricultrices) et à la table ronde.</t>
        </is>
      </c>
      <c r="H1988" s="1" t="n">
        <v>45068</v>
      </c>
      <c r="I1988" s="1" t="n">
        <v>45071</v>
      </c>
      <c r="J1988" t="inlineStr">
        <is>
          <t>Québec (Quebec) Canada</t>
        </is>
      </c>
      <c r="K1988" t="inlineStr">
        <is>
          <t>Québec (Québec) Canada</t>
        </is>
      </c>
      <c r="P1988" t="n">
        <v>0</v>
      </c>
      <c r="Q1988" t="n">
        <v>74.64</v>
      </c>
      <c r="R1988" t="n">
        <v>380.26</v>
      </c>
      <c r="S1988" t="n">
        <v>246.9</v>
      </c>
      <c r="T1988" t="n">
        <v>0</v>
      </c>
      <c r="U1988" t="n">
        <v>701.8</v>
      </c>
      <c r="X1988" t="inlineStr">
        <is>
          <t>aafc-aac</t>
        </is>
      </c>
      <c r="Y1988" t="inlineStr">
        <is>
          <t>Agriculture and Agri-Food Canada | Agriculture et Agroalimentaire Canada</t>
        </is>
      </c>
    </row>
    <row r="1989">
      <c r="A1989" t="inlineStr">
        <is>
          <t>T-2023-P2-0018</t>
        </is>
      </c>
      <c r="B1989" t="inlineStr">
        <is>
          <t>MPSES</t>
        </is>
      </c>
      <c r="C1989" t="inlineStr">
        <is>
          <t>Tours and Operations Manager</t>
        </is>
      </c>
      <c r="D1989" t="inlineStr">
        <is>
          <t>Gestionnaire, Visites et opérations</t>
        </is>
      </c>
      <c r="E1989" t="inlineStr">
        <is>
          <t>Olivia Scieur-Aparicio</t>
        </is>
      </c>
      <c r="F1989" t="inlineStr">
        <is>
          <t>Attend a meeting at the Confederation  Building</t>
        </is>
      </c>
      <c r="G1989" t="inlineStr">
        <is>
          <t>Assister à une réunion au bâtiment de la Confédération</t>
        </is>
      </c>
      <c r="H1989" s="1" t="n">
        <v>45049</v>
      </c>
      <c r="I1989" s="1" t="n">
        <v>45049</v>
      </c>
      <c r="J1989" t="inlineStr">
        <is>
          <t>Ottawa (Ontario) Canada</t>
        </is>
      </c>
      <c r="K1989" t="inlineStr">
        <is>
          <t>Ottawa (Ontario) Canada</t>
        </is>
      </c>
      <c r="P1989" t="n">
        <v>0</v>
      </c>
      <c r="Q1989" t="n">
        <v>84.73</v>
      </c>
      <c r="R1989" t="n">
        <v>0</v>
      </c>
      <c r="S1989" t="n">
        <v>0</v>
      </c>
      <c r="T1989" t="n">
        <v>0</v>
      </c>
      <c r="U1989" t="n">
        <v>84.73</v>
      </c>
      <c r="X1989" t="inlineStr">
        <is>
          <t>aafc-aac</t>
        </is>
      </c>
      <c r="Y1989" t="inlineStr">
        <is>
          <t>Agriculture and Agri-Food Canada | Agriculture et Agroalimentaire Canada</t>
        </is>
      </c>
    </row>
    <row r="1990">
      <c r="A1990" t="inlineStr">
        <is>
          <t>T-2023-P2-0019</t>
        </is>
      </c>
      <c r="B1990" t="inlineStr">
        <is>
          <t>MPSES</t>
        </is>
      </c>
      <c r="C1990" t="inlineStr">
        <is>
          <t>Special Assistant</t>
        </is>
      </c>
      <c r="D1990" t="inlineStr">
        <is>
          <t>Adjointe spéciale</t>
        </is>
      </c>
      <c r="E1990" t="inlineStr">
        <is>
          <t>Arianna Myers</t>
        </is>
      </c>
      <c r="F1990" t="inlineStr">
        <is>
          <t>Attend a meeting at the Confederation  Building</t>
        </is>
      </c>
      <c r="G1990" t="inlineStr">
        <is>
          <t>Assister à une réunion au bâtiment de la Confédération</t>
        </is>
      </c>
      <c r="H1990" s="1" t="n">
        <v>45047</v>
      </c>
      <c r="I1990" s="1" t="n">
        <v>45047</v>
      </c>
      <c r="J1990" t="inlineStr">
        <is>
          <t>Ottawa (Ontario) Canada</t>
        </is>
      </c>
      <c r="K1990" t="inlineStr">
        <is>
          <t>Ottawa (Ontario) Canada</t>
        </is>
      </c>
      <c r="P1990" t="n">
        <v>0</v>
      </c>
      <c r="Q1990" t="n">
        <v>64.61</v>
      </c>
      <c r="R1990" t="n">
        <v>0</v>
      </c>
      <c r="S1990" t="n">
        <v>0</v>
      </c>
      <c r="T1990" t="n">
        <v>0</v>
      </c>
      <c r="U1990" t="n">
        <v>64.61</v>
      </c>
      <c r="X1990" t="inlineStr">
        <is>
          <t>aafc-aac</t>
        </is>
      </c>
      <c r="Y1990" t="inlineStr">
        <is>
          <t>Agriculture and Agri-Food Canada | Agriculture et Agroalimentaire Canada</t>
        </is>
      </c>
    </row>
    <row r="1991">
      <c r="A1991" t="inlineStr">
        <is>
          <t>T-2023-P2-0020</t>
        </is>
      </c>
      <c r="B1991" t="inlineStr">
        <is>
          <t>MPSES</t>
        </is>
      </c>
      <c r="C1991" t="inlineStr">
        <is>
          <t>Special Assistant</t>
        </is>
      </c>
      <c r="D1991" t="inlineStr">
        <is>
          <t>Adjointe spéciale</t>
        </is>
      </c>
      <c r="E1991" t="inlineStr">
        <is>
          <t>Arianna Myers</t>
        </is>
      </c>
      <c r="F1991" t="inlineStr">
        <is>
          <t>Attend a meeting at the Confederation  Building</t>
        </is>
      </c>
      <c r="G1991" t="inlineStr">
        <is>
          <t>Assister à une réunion au bâtiment de la Confédération</t>
        </is>
      </c>
      <c r="H1991" s="1" t="n">
        <v>45054</v>
      </c>
      <c r="I1991" s="1" t="n">
        <v>45054</v>
      </c>
      <c r="J1991" t="inlineStr">
        <is>
          <t>Ottawa (Ontario) Canada</t>
        </is>
      </c>
      <c r="K1991" t="inlineStr">
        <is>
          <t>Ottawa (Ontario) Canada</t>
        </is>
      </c>
      <c r="P1991" t="n">
        <v>0</v>
      </c>
      <c r="Q1991" t="n">
        <v>33.12</v>
      </c>
      <c r="R1991" t="n">
        <v>0</v>
      </c>
      <c r="S1991" t="n">
        <v>0</v>
      </c>
      <c r="T1991" t="n">
        <v>0</v>
      </c>
      <c r="U1991" t="n">
        <v>33.12</v>
      </c>
      <c r="X1991" t="inlineStr">
        <is>
          <t>aafc-aac</t>
        </is>
      </c>
      <c r="Y1991" t="inlineStr">
        <is>
          <t>Agriculture and Agri-Food Canada | Agriculture et Agroalimentaire Canada</t>
        </is>
      </c>
    </row>
    <row r="1992">
      <c r="A1992" t="inlineStr">
        <is>
          <t>T-2023-P2-0021</t>
        </is>
      </c>
      <c r="B1992" t="inlineStr">
        <is>
          <t>SLE</t>
        </is>
      </c>
      <c r="C1992" t="inlineStr">
        <is>
          <t>Associate Deputy Minister</t>
        </is>
      </c>
      <c r="D1992" t="inlineStr">
        <is>
          <t>Sous-ministre déléguée</t>
        </is>
      </c>
      <c r="E1992" t="inlineStr">
        <is>
          <t>Suzy McDonald</t>
        </is>
      </c>
      <c r="F1992" t="inlineStr">
        <is>
          <t>Accompany the Minister to attend the Minister’s Agriculture Innovation Mission for Climate conference and meet with stakeholders and US counterparts including Secretary Vilalobos and Ambassador Hillman</t>
        </is>
      </c>
      <c r="G1992" t="inlineStr">
        <is>
          <t>Accompagner la ministre pour assister à la conférence de la mission d'innovation agricole pour le climat du ministre et rencontrer les parties prenantes et les homologues américains, notamment le secrétaire Vilalobos et l'ambassadeur Hillman.</t>
        </is>
      </c>
      <c r="H1992" s="1" t="n">
        <v>45053</v>
      </c>
      <c r="I1992" s="1" t="n">
        <v>45056</v>
      </c>
      <c r="J1992" t="inlineStr">
        <is>
          <t>Washington (District of Columbia) United States</t>
        </is>
      </c>
      <c r="K1992" t="inlineStr">
        <is>
          <t>Washington (District de Columbia) États-Unis</t>
        </is>
      </c>
      <c r="P1992" t="n">
        <v>1304.19</v>
      </c>
      <c r="Q1992" t="n">
        <v>108.47</v>
      </c>
      <c r="R1992" t="n">
        <v>1716.79</v>
      </c>
      <c r="S1992" t="n">
        <v>439.88</v>
      </c>
      <c r="T1992" t="n">
        <v>0</v>
      </c>
      <c r="U1992" t="n">
        <v>3569.33</v>
      </c>
      <c r="X1992" t="inlineStr">
        <is>
          <t>aafc-aac</t>
        </is>
      </c>
      <c r="Y1992" t="inlineStr">
        <is>
          <t>Agriculture and Agri-Food Canada | Agriculture et Agroalimentaire Canada</t>
        </is>
      </c>
    </row>
    <row r="1993">
      <c r="A1993" t="inlineStr">
        <is>
          <t>T-2023-P2-0022</t>
        </is>
      </c>
      <c r="B1993" t="inlineStr">
        <is>
          <t>SLE</t>
        </is>
      </c>
      <c r="C1993" t="inlineStr">
        <is>
          <t>Corporate Secretary</t>
        </is>
      </c>
      <c r="D1993" t="inlineStr">
        <is>
          <t>Secrétaire générale</t>
        </is>
      </c>
      <c r="E1993" t="inlineStr">
        <is>
          <t>Tamara Abel</t>
        </is>
      </c>
      <c r="F1993" t="inlineStr">
        <is>
          <t>Operational activities</t>
        </is>
      </c>
      <c r="G1993" t="inlineStr">
        <is>
          <t>Activités opérationnelles</t>
        </is>
      </c>
      <c r="H1993" s="1" t="n">
        <v>45047</v>
      </c>
      <c r="I1993" s="1" t="n">
        <v>45050</v>
      </c>
      <c r="J1993" t="inlineStr">
        <is>
          <t>Ottawa (Ontario) Canada</t>
        </is>
      </c>
      <c r="K1993" t="inlineStr">
        <is>
          <t>Ottawa (Ontario) Canada</t>
        </is>
      </c>
      <c r="P1993" t="n">
        <v>1060.57</v>
      </c>
      <c r="Q1993" t="n">
        <v>290.83</v>
      </c>
      <c r="R1993" t="n">
        <v>1011.84</v>
      </c>
      <c r="S1993" t="n">
        <v>470</v>
      </c>
      <c r="T1993" t="n">
        <v>13.28</v>
      </c>
      <c r="U1993" t="n">
        <v>2846.52</v>
      </c>
      <c r="X1993" t="inlineStr">
        <is>
          <t>aafc-aac</t>
        </is>
      </c>
      <c r="Y1993" t="inlineStr">
        <is>
          <t>Agriculture and Agri-Food Canada | Agriculture et Agroalimentaire Canada</t>
        </is>
      </c>
    </row>
    <row r="1994">
      <c r="A1994" t="inlineStr">
        <is>
          <t>T-2023-P2-0023</t>
        </is>
      </c>
      <c r="B1994" t="inlineStr">
        <is>
          <t>SLE</t>
        </is>
      </c>
      <c r="C1994" t="inlineStr">
        <is>
          <t>Assistant Deputy Minister, Science and Technology Branch</t>
        </is>
      </c>
      <c r="D1994" t="inlineStr">
        <is>
          <t>Sous-ministre adjoint, Direction générale des sciences et de la technologie</t>
        </is>
      </c>
      <c r="E1994" t="inlineStr">
        <is>
          <t>Gilles Saindon</t>
        </is>
      </c>
      <c r="F1994" t="inlineStr">
        <is>
          <t>Attend the meeting of G20 Agricultural Chief Scientists (MACS). As Canada’s Agricultural Chief Scientist, traveler led Canada’s engagement in discussions on ways to strengthen synergies and cooperation of G20 members and international organizations in key fields of agricultural science, technology and innovation, to promote sustainable agricultural development and the sharing of agricultural knowledge to improve agricultural productivity</t>
        </is>
      </c>
      <c r="G1994" t="inlineStr">
        <is>
          <t>Participer à la réunion des scientifiques en chef de l'agriculture du G20 (MACS). En tant que scientifique en chef agricole du Canada, le voyageur a dirigé l'engagement du Canada dans les discussions sur les moyens de renforcer les synergies et la coopération des membres du G20 et des organisations internationales dans les domaines clés de la science, de la technologie et de l'innovation agricoles, de promouvoir le développement agricole durable et le partage des connaissances agricoles pour améliorer la productivité agricole</t>
        </is>
      </c>
      <c r="H1994" s="1" t="n">
        <v>45029</v>
      </c>
      <c r="I1994" s="1" t="n">
        <v>45037</v>
      </c>
      <c r="J1994" t="inlineStr">
        <is>
          <t>Varanasi (Uttar Pradesh) India</t>
        </is>
      </c>
      <c r="K1994" t="inlineStr">
        <is>
          <t>Varanasi (Uttar Pradesh) Inde</t>
        </is>
      </c>
      <c r="P1994" t="n">
        <v>12344.87</v>
      </c>
      <c r="Q1994" t="n">
        <v>175</v>
      </c>
      <c r="R1994" t="n">
        <v>1496.12</v>
      </c>
      <c r="S1994" t="n">
        <v>508.24</v>
      </c>
      <c r="T1994" t="n">
        <v>223.5</v>
      </c>
      <c r="U1994" t="n">
        <v>14747.73</v>
      </c>
      <c r="X1994" t="inlineStr">
        <is>
          <t>aafc-aac</t>
        </is>
      </c>
      <c r="Y1994" t="inlineStr">
        <is>
          <t>Agriculture and Agri-Food Canada | Agriculture et Agroalimentaire Canada</t>
        </is>
      </c>
    </row>
    <row r="1995">
      <c r="A1995" t="inlineStr">
        <is>
          <t>T-2023-P2-0024</t>
        </is>
      </c>
      <c r="B1995" t="inlineStr">
        <is>
          <t>SLE</t>
        </is>
      </c>
      <c r="C1995" t="inlineStr">
        <is>
          <t>Assistant Deputy Minister, Science and Technology Branch</t>
        </is>
      </c>
      <c r="D1995" t="inlineStr">
        <is>
          <t>Sous-ministre adjoint, Direction générale des sciences et de la technologie</t>
        </is>
      </c>
      <c r="E1995" t="inlineStr">
        <is>
          <t>Gilles Saindon</t>
        </is>
      </c>
      <c r="F1995" t="inlineStr">
        <is>
          <t>Accompany the Minister to attend the Minister’s Agriculture Innovation Mission for Climate conference and meet with stakeholders and US counterparts including Secretary Vilalobos and Ambassador Hillman</t>
        </is>
      </c>
      <c r="G1995" t="inlineStr">
        <is>
          <t>Accompagner la ministre pour assister à la conférence de la mission d'innovation agricole pour le climat du ministre et rencontrer les parties prenantes et les homologues américains, notamment le secrétaire Vilalobos et l'ambassadeur Hillman.</t>
        </is>
      </c>
      <c r="H1995" s="1" t="n">
        <v>45053</v>
      </c>
      <c r="I1995" s="1" t="n">
        <v>45056</v>
      </c>
      <c r="J1995" t="inlineStr">
        <is>
          <t>Washington (District of Columbia) United States</t>
        </is>
      </c>
      <c r="K1995" t="inlineStr">
        <is>
          <t>Washington (District de Columbia) États-Unis</t>
        </is>
      </c>
      <c r="P1995" t="n">
        <v>1479.73</v>
      </c>
      <c r="Q1995" t="n">
        <v>228.51</v>
      </c>
      <c r="R1995" t="n">
        <v>1716.79</v>
      </c>
      <c r="S1995" t="n">
        <v>365.19</v>
      </c>
      <c r="T1995" t="n">
        <v>0</v>
      </c>
      <c r="U1995" t="n">
        <v>3790.22</v>
      </c>
      <c r="X1995" t="inlineStr">
        <is>
          <t>aafc-aac</t>
        </is>
      </c>
      <c r="Y1995" t="inlineStr">
        <is>
          <t>Agriculture and Agri-Food Canada | Agriculture et Agroalimentaire Canada</t>
        </is>
      </c>
    </row>
    <row r="1996">
      <c r="A1996" t="inlineStr">
        <is>
          <t>T-2023-P2-0025</t>
        </is>
      </c>
      <c r="B1996" t="inlineStr">
        <is>
          <t>SLE</t>
        </is>
      </c>
      <c r="C1996" t="inlineStr">
        <is>
          <t>Assistant Deputy Minister, International Affairs Branch</t>
        </is>
      </c>
      <c r="D1996" t="inlineStr">
        <is>
          <t>Sous-ministre adjointe, Direction générale des affaires internationales</t>
        </is>
      </c>
      <c r="E1996" t="inlineStr">
        <is>
          <t xml:space="preserve">Kathleen Donohue </t>
        </is>
      </c>
      <c r="F1996" t="inlineStr">
        <is>
          <t xml:space="preserve">Attend the SIAL conference </t>
        </is>
      </c>
      <c r="G1996" t="inlineStr">
        <is>
          <t>Participer à la conférence SIAL</t>
        </is>
      </c>
      <c r="H1996" s="1" t="n">
        <v>45055</v>
      </c>
      <c r="I1996" s="1" t="n">
        <v>45055</v>
      </c>
      <c r="J1996" t="inlineStr">
        <is>
          <t xml:space="preserve">Toronto (Ontario) Canada </t>
        </is>
      </c>
      <c r="K1996" t="inlineStr">
        <is>
          <t xml:space="preserve">Toronto (Ontario) Canada </t>
        </is>
      </c>
      <c r="P1996" t="n">
        <v>515.5599999999999</v>
      </c>
      <c r="Q1996" t="n">
        <v>87.12</v>
      </c>
      <c r="R1996" t="n">
        <v>0</v>
      </c>
      <c r="S1996" t="n">
        <v>47.5</v>
      </c>
      <c r="T1996" t="n">
        <v>0</v>
      </c>
      <c r="U1996" t="n">
        <v>650.1799999999999</v>
      </c>
      <c r="X1996" t="inlineStr">
        <is>
          <t>aafc-aac</t>
        </is>
      </c>
      <c r="Y1996" t="inlineStr">
        <is>
          <t>Agriculture and Agri-Food Canada | Agriculture et Agroalimentaire Canada</t>
        </is>
      </c>
    </row>
    <row r="1997">
      <c r="A1997" t="inlineStr">
        <is>
          <t>T-2023-P2-0026</t>
        </is>
      </c>
      <c r="B1997" t="inlineStr">
        <is>
          <t>SLE</t>
        </is>
      </c>
      <c r="C1997" t="inlineStr">
        <is>
          <t>Assistant Deputy Minister, Corporate Management Branch</t>
        </is>
      </c>
      <c r="D1997" t="inlineStr">
        <is>
          <t>Sous-ministre adjointe, Direction générale de la gestion intégrée</t>
        </is>
      </c>
      <c r="E1997" t="inlineStr">
        <is>
          <t>Marie-Claude Guérard</t>
        </is>
      </c>
      <c r="F1997" t="inlineStr">
        <is>
          <t>Attend in-person meetings</t>
        </is>
      </c>
      <c r="G1997" t="inlineStr">
        <is>
          <t>Participer à des rencontres en personne</t>
        </is>
      </c>
      <c r="H1997" s="1" t="n">
        <v>45047</v>
      </c>
      <c r="I1997" s="1" t="n">
        <v>45049</v>
      </c>
      <c r="J1997" t="inlineStr">
        <is>
          <t>Ottawa (Ontario) Canada</t>
        </is>
      </c>
      <c r="K1997" t="inlineStr">
        <is>
          <t>Ottawa (Ontario) Canada</t>
        </is>
      </c>
      <c r="P1997" t="n">
        <v>0</v>
      </c>
      <c r="Q1997" t="n">
        <v>418.47</v>
      </c>
      <c r="R1997" t="n">
        <v>528.84</v>
      </c>
      <c r="S1997" t="n">
        <v>205.5</v>
      </c>
      <c r="T1997" t="n">
        <v>0</v>
      </c>
      <c r="U1997" t="n">
        <v>1152.81</v>
      </c>
      <c r="X1997" t="inlineStr">
        <is>
          <t>aafc-aac</t>
        </is>
      </c>
      <c r="Y1997" t="inlineStr">
        <is>
          <t>Agriculture and Agri-Food Canada | Agriculture et Agroalimentaire Canada</t>
        </is>
      </c>
    </row>
    <row r="1998">
      <c r="A1998" t="inlineStr">
        <is>
          <t>T-2023-P2-0027</t>
        </is>
      </c>
      <c r="B1998" t="inlineStr">
        <is>
          <t>SLE</t>
        </is>
      </c>
      <c r="C1998" t="inlineStr">
        <is>
          <t>Assistant Deputy Minister, Corporate Management Branch</t>
        </is>
      </c>
      <c r="D1998" t="inlineStr">
        <is>
          <t>Sous-ministre adjointe, Direction générale de la gestion intégrée</t>
        </is>
      </c>
      <c r="E1998" t="inlineStr">
        <is>
          <t>Marie-Claude Guérard</t>
        </is>
      </c>
      <c r="F1998" t="inlineStr">
        <is>
          <t>Attend in-person meetings</t>
        </is>
      </c>
      <c r="G1998" t="inlineStr">
        <is>
          <t>Participer à des rencontre en-personne</t>
        </is>
      </c>
      <c r="H1998" s="1" t="n">
        <v>45061</v>
      </c>
      <c r="I1998" s="1" t="n">
        <v>45064</v>
      </c>
      <c r="J1998" t="inlineStr">
        <is>
          <t>Ottawa (Ontario) Canada</t>
        </is>
      </c>
      <c r="K1998" t="inlineStr">
        <is>
          <t>Ottawa (Ontario) Canada</t>
        </is>
      </c>
      <c r="P1998" t="n">
        <v>0</v>
      </c>
      <c r="Q1998" t="n">
        <v>508.54</v>
      </c>
      <c r="R1998" t="n">
        <v>631.08</v>
      </c>
      <c r="S1998" t="n">
        <v>387.5</v>
      </c>
      <c r="T1998" t="n">
        <v>0</v>
      </c>
      <c r="U1998" t="n">
        <v>1527.12</v>
      </c>
      <c r="X1998" t="inlineStr">
        <is>
          <t>aafc-aac</t>
        </is>
      </c>
      <c r="Y1998" t="inlineStr">
        <is>
          <t>Agriculture and Agri-Food Canada | Agriculture et Agroalimentaire Canada</t>
        </is>
      </c>
    </row>
    <row r="1999">
      <c r="A1999" t="inlineStr">
        <is>
          <t>T-2023-P2-0028</t>
        </is>
      </c>
      <c r="B1999" t="inlineStr">
        <is>
          <t>SLE</t>
        </is>
      </c>
      <c r="C1999" t="inlineStr">
        <is>
          <t>Chief Information Officer, Information Systems Branch</t>
        </is>
      </c>
      <c r="D1999" t="inlineStr">
        <is>
          <t>Dirigeante principale de l'information, Direction générale des systèmes d'information</t>
        </is>
      </c>
      <c r="E1999" t="inlineStr">
        <is>
          <t>Vidya ShankarNarayan</t>
        </is>
      </c>
      <c r="F1999" t="inlineStr">
        <is>
          <t>Attend meetings</t>
        </is>
      </c>
      <c r="G1999" t="inlineStr">
        <is>
          <t>Participer à des réunions</t>
        </is>
      </c>
      <c r="H1999" s="1" t="n">
        <v>45031</v>
      </c>
      <c r="I1999" s="1" t="n">
        <v>45037</v>
      </c>
      <c r="J1999" t="inlineStr">
        <is>
          <t>Paris, France
Brussels, Belgium</t>
        </is>
      </c>
      <c r="K1999" t="inlineStr">
        <is>
          <t>Paris, France
Bruxelles, Belgique</t>
        </is>
      </c>
      <c r="P1999" t="n">
        <v>2295.28</v>
      </c>
      <c r="Q1999" t="n">
        <v>626.4299999999999</v>
      </c>
      <c r="R1999" t="n">
        <v>1637.86</v>
      </c>
      <c r="S1999" t="n">
        <v>1436.99</v>
      </c>
      <c r="T1999" t="n">
        <v>0</v>
      </c>
      <c r="U1999" t="n">
        <v>5996.56</v>
      </c>
      <c r="X1999" t="inlineStr">
        <is>
          <t>aafc-aac</t>
        </is>
      </c>
      <c r="Y1999" t="inlineStr">
        <is>
          <t>Agriculture and Agri-Food Canada | Agriculture et Agroalimentaire Canada</t>
        </is>
      </c>
    </row>
    <row r="2000">
      <c r="A2000" t="inlineStr">
        <is>
          <t>T-2024-P3-0001</t>
        </is>
      </c>
      <c r="B2000" t="inlineStr">
        <is>
          <t>MPSES</t>
        </is>
      </c>
      <c r="C2000" t="inlineStr">
        <is>
          <t>Director of Policy</t>
        </is>
      </c>
      <c r="D2000" t="inlineStr">
        <is>
          <t>Directeur en politiques</t>
        </is>
      </c>
      <c r="E2000" t="inlineStr">
        <is>
          <t>Emerson Vanderberg</t>
        </is>
      </c>
      <c r="F2000" t="inlineStr">
        <is>
          <t>Support the Minister to attend a future international trip to India</t>
        </is>
      </c>
      <c r="G2000" t="inlineStr">
        <is>
          <t>Soutenir la ministre pour la participation à un voyage international future en Inde</t>
        </is>
      </c>
      <c r="H2000" s="1" t="n">
        <v>45070</v>
      </c>
      <c r="I2000" s="1" t="n">
        <v>45070</v>
      </c>
      <c r="J2000" t="inlineStr">
        <is>
          <t>Ottawa (Ontario) Canada</t>
        </is>
      </c>
      <c r="K2000" t="inlineStr">
        <is>
          <t>Ottawa (Ontario) Canada</t>
        </is>
      </c>
      <c r="P2000" t="n">
        <v>0</v>
      </c>
      <c r="Q2000" t="n">
        <v>0</v>
      </c>
      <c r="R2000" t="n">
        <v>0</v>
      </c>
      <c r="S2000" t="n">
        <v>0</v>
      </c>
      <c r="T2000" t="n">
        <v>22.59</v>
      </c>
      <c r="U2000" t="n">
        <v>22.59</v>
      </c>
      <c r="V2000" t="inlineStr">
        <is>
          <t>Passport Photo purchased for upcoming trip to India</t>
        </is>
      </c>
      <c r="W2000" t="inlineStr">
        <is>
          <t>Photo d'identité achetée pour le prochain voyage en Inde</t>
        </is>
      </c>
      <c r="X2000" t="inlineStr">
        <is>
          <t>aafc-aac</t>
        </is>
      </c>
      <c r="Y2000" t="inlineStr">
        <is>
          <t>Agriculture and Agri-Food Canada | Agriculture et Agroalimentaire Canada</t>
        </is>
      </c>
    </row>
    <row r="2001">
      <c r="A2001" t="inlineStr">
        <is>
          <t>T-2024-P3-0002</t>
        </is>
      </c>
      <c r="B2001" t="inlineStr">
        <is>
          <t>MPSES</t>
        </is>
      </c>
      <c r="C2001" t="inlineStr">
        <is>
          <t>Director of Communications</t>
        </is>
      </c>
      <c r="D2001" t="inlineStr">
        <is>
          <t>Directrice des communications</t>
        </is>
      </c>
      <c r="E2001" t="inlineStr">
        <is>
          <t>Marianne Dandurand</t>
        </is>
      </c>
      <c r="F2001" t="inlineStr">
        <is>
          <t>To support the Minister for the CleanFarms visit and for the Pork Producers Annual General Meeting</t>
        </is>
      </c>
      <c r="G2001" t="inlineStr">
        <is>
          <t>Soutenir la ministre lors de la visite de CleanFarms et de l'assemblée générale annuelle des producteurs de porcs</t>
        </is>
      </c>
      <c r="H2001" s="1" t="n">
        <v>45084</v>
      </c>
      <c r="I2001" s="1" t="n">
        <v>45085</v>
      </c>
      <c r="J2001" t="inlineStr">
        <is>
          <t>Québec (Quebec) Canada</t>
        </is>
      </c>
      <c r="K2001" t="inlineStr">
        <is>
          <t>Québec (Québec) Canada</t>
        </is>
      </c>
      <c r="P2001" t="n">
        <v>0</v>
      </c>
      <c r="Q2001" t="n">
        <v>0</v>
      </c>
      <c r="R2001" t="n">
        <v>177.31</v>
      </c>
      <c r="S2001" t="n">
        <v>106.1</v>
      </c>
      <c r="T2001" t="n">
        <v>0</v>
      </c>
      <c r="U2001" t="n">
        <v>283.41</v>
      </c>
      <c r="X2001" t="inlineStr">
        <is>
          <t>aafc-aac</t>
        </is>
      </c>
      <c r="Y2001" t="inlineStr">
        <is>
          <t>Agriculture and Agri-Food Canada | Agriculture et Agroalimentaire Canada</t>
        </is>
      </c>
    </row>
    <row r="2002">
      <c r="A2002" t="inlineStr">
        <is>
          <t>T-2024-P3-0003</t>
        </is>
      </c>
      <c r="B2002" t="inlineStr">
        <is>
          <t>MPSES</t>
        </is>
      </c>
      <c r="C2002" t="inlineStr">
        <is>
          <t>Driver</t>
        </is>
      </c>
      <c r="D2002" t="inlineStr">
        <is>
          <t>Chauffeur</t>
        </is>
      </c>
      <c r="E2002" t="inlineStr">
        <is>
          <t>Michel Gendreau</t>
        </is>
      </c>
      <c r="F2002" t="inlineStr">
        <is>
          <t>Drive the Minister from her riding to Ottawa</t>
        </is>
      </c>
      <c r="G2002" t="inlineStr">
        <is>
          <t>Conduire la ministre de sa circonscription à Ottawa</t>
        </is>
      </c>
      <c r="H2002" s="1" t="n">
        <v>45074</v>
      </c>
      <c r="I2002" s="1" t="n">
        <v>45075</v>
      </c>
      <c r="J2002" t="inlineStr">
        <is>
          <t>Ottawa (Ontario) Canada
Sherbrooke (Quebec) Canada</t>
        </is>
      </c>
      <c r="K2002" t="inlineStr">
        <is>
          <t>Ottawa (Ontario) Canada
Sherbrooke (Québec) Canada</t>
        </is>
      </c>
      <c r="P2002" t="n">
        <v>0</v>
      </c>
      <c r="Q2002" t="n">
        <v>7</v>
      </c>
      <c r="R2002" t="n">
        <v>129.71</v>
      </c>
      <c r="S2002" t="n">
        <v>82.2</v>
      </c>
      <c r="T2002" t="n">
        <v>0</v>
      </c>
      <c r="U2002" t="n">
        <v>218.91</v>
      </c>
      <c r="X2002" t="inlineStr">
        <is>
          <t>aafc-aac</t>
        </is>
      </c>
      <c r="Y2002" t="inlineStr">
        <is>
          <t>Agriculture and Agri-Food Canada | Agriculture et Agroalimentaire Canada</t>
        </is>
      </c>
    </row>
    <row r="2003">
      <c r="A2003" t="inlineStr">
        <is>
          <t>T-2024-P3-0004</t>
        </is>
      </c>
      <c r="B2003" t="inlineStr">
        <is>
          <t>MPSES</t>
        </is>
      </c>
      <c r="C2003" t="inlineStr">
        <is>
          <t>Driver</t>
        </is>
      </c>
      <c r="D2003" t="inlineStr">
        <is>
          <t>Chauffeur</t>
        </is>
      </c>
      <c r="E2003" t="inlineStr">
        <is>
          <t>Michel Gendreau</t>
        </is>
      </c>
      <c r="F2003" t="inlineStr">
        <is>
          <t>Drive the Minister to her riding from Ottawa</t>
        </is>
      </c>
      <c r="G2003" t="inlineStr">
        <is>
          <t>Conduire la ministre à sa circonscription d'Ottawa</t>
        </is>
      </c>
      <c r="H2003" s="1" t="n">
        <v>45079</v>
      </c>
      <c r="I2003" s="1" t="n">
        <v>45079</v>
      </c>
      <c r="J2003" t="inlineStr">
        <is>
          <t>Ottawa (Ontario) Canada
Sherbrooke (Quebec) Canada</t>
        </is>
      </c>
      <c r="K2003" t="inlineStr">
        <is>
          <t>Ottawa (Ontario) Canada
Sherbrooke (Québec) Canada</t>
        </is>
      </c>
      <c r="P2003" t="n">
        <v>0</v>
      </c>
      <c r="Q2003" t="n">
        <v>3.5</v>
      </c>
      <c r="R2003" t="n">
        <v>0</v>
      </c>
      <c r="S2003" t="n">
        <v>58.6</v>
      </c>
      <c r="T2003" t="n">
        <v>0</v>
      </c>
      <c r="U2003" t="n">
        <v>62.1</v>
      </c>
      <c r="X2003" t="inlineStr">
        <is>
          <t>aafc-aac</t>
        </is>
      </c>
      <c r="Y2003" t="inlineStr">
        <is>
          <t>Agriculture and Agri-Food Canada | Agriculture et Agroalimentaire Canada</t>
        </is>
      </c>
    </row>
    <row r="2004">
      <c r="A2004" t="inlineStr">
        <is>
          <t>T-2024-P3-0005</t>
        </is>
      </c>
      <c r="B2004" t="inlineStr">
        <is>
          <t>MPSES</t>
        </is>
      </c>
      <c r="C2004" t="inlineStr">
        <is>
          <t>Driver</t>
        </is>
      </c>
      <c r="D2004" t="inlineStr">
        <is>
          <t>Chauffeur</t>
        </is>
      </c>
      <c r="E2004" t="inlineStr">
        <is>
          <t>Michel Gendreau</t>
        </is>
      </c>
      <c r="F2004" t="inlineStr">
        <is>
          <t>Drive the Minister from her riding to Ottawa</t>
        </is>
      </c>
      <c r="G2004" t="inlineStr">
        <is>
          <t>Conduire la ministre de sa circonscription à Ottawa</t>
        </is>
      </c>
      <c r="H2004" s="1" t="n">
        <v>45081</v>
      </c>
      <c r="I2004" s="1" t="n">
        <v>45082</v>
      </c>
      <c r="J2004" t="inlineStr">
        <is>
          <t>Ottawa (Ontario) Canada
Sherbrooke (Quebec) Canada</t>
        </is>
      </c>
      <c r="K2004" t="inlineStr">
        <is>
          <t>Ottawa (Ontario) Canada
Sherbrooke (Québec) Canada</t>
        </is>
      </c>
      <c r="P2004" t="n">
        <v>0</v>
      </c>
      <c r="Q2004" t="n">
        <v>7</v>
      </c>
      <c r="R2004" t="n">
        <v>129.71</v>
      </c>
      <c r="S2004" t="n">
        <v>82.2</v>
      </c>
      <c r="T2004" t="n">
        <v>0</v>
      </c>
      <c r="U2004" t="n">
        <v>218.91</v>
      </c>
      <c r="X2004" t="inlineStr">
        <is>
          <t>aafc-aac</t>
        </is>
      </c>
      <c r="Y2004" t="inlineStr">
        <is>
          <t>Agriculture and Agri-Food Canada | Agriculture et Agroalimentaire Canada</t>
        </is>
      </c>
    </row>
    <row r="2005">
      <c r="A2005" t="inlineStr">
        <is>
          <t>T-2024-P3-0006</t>
        </is>
      </c>
      <c r="B2005" t="inlineStr">
        <is>
          <t>MPSES</t>
        </is>
      </c>
      <c r="C2005" t="inlineStr">
        <is>
          <t>Driver</t>
        </is>
      </c>
      <c r="D2005" t="inlineStr">
        <is>
          <t>Chauffeur</t>
        </is>
      </c>
      <c r="E2005" t="inlineStr">
        <is>
          <t>Michel Gendreau</t>
        </is>
      </c>
      <c r="F2005" t="inlineStr">
        <is>
          <t>Drive the Minister for the CleanFarms visit and for the Pork Producers Annual General Meeting</t>
        </is>
      </c>
      <c r="G2005" t="inlineStr">
        <is>
          <t>Conduire la ministre lors de la visite de CleanFarms et de l'assemblée générale annuelle des producteurs de porcs</t>
        </is>
      </c>
      <c r="H2005" s="1" t="n">
        <v>45084</v>
      </c>
      <c r="I2005" s="1" t="n">
        <v>45085</v>
      </c>
      <c r="J2005" t="inlineStr">
        <is>
          <t>Québec (Quebec) Canada</t>
        </is>
      </c>
      <c r="K2005" t="inlineStr">
        <is>
          <t>Québec (Québec) Canada</t>
        </is>
      </c>
      <c r="P2005" t="n">
        <v>0</v>
      </c>
      <c r="Q2005" t="n">
        <v>3.5</v>
      </c>
      <c r="R2005" t="n">
        <v>177.31</v>
      </c>
      <c r="S2005" t="n">
        <v>164.7</v>
      </c>
      <c r="T2005" t="n">
        <v>0</v>
      </c>
      <c r="U2005" t="n">
        <v>345.51</v>
      </c>
      <c r="X2005" t="inlineStr">
        <is>
          <t>aafc-aac</t>
        </is>
      </c>
      <c r="Y2005" t="inlineStr">
        <is>
          <t>Agriculture and Agri-Food Canada | Agriculture et Agroalimentaire Canada</t>
        </is>
      </c>
    </row>
    <row r="2006">
      <c r="A2006" t="inlineStr">
        <is>
          <t>T-2024-P3-0007</t>
        </is>
      </c>
      <c r="B2006" t="inlineStr">
        <is>
          <t>MPSES</t>
        </is>
      </c>
      <c r="C2006" t="inlineStr">
        <is>
          <t>Driver</t>
        </is>
      </c>
      <c r="D2006" t="inlineStr">
        <is>
          <t>Chauffeur</t>
        </is>
      </c>
      <c r="E2006" t="inlineStr">
        <is>
          <t>Michel Gendreau</t>
        </is>
      </c>
      <c r="F2006" t="inlineStr">
        <is>
          <t>Drive the Minister to Montreal for her flight</t>
        </is>
      </c>
      <c r="G2006" t="inlineStr">
        <is>
          <t>Conduire la ministre à Montréal pour son vol</t>
        </is>
      </c>
      <c r="H2006" s="1" t="n">
        <v>45089</v>
      </c>
      <c r="I2006" s="1" t="n">
        <v>45089</v>
      </c>
      <c r="J2006" t="inlineStr">
        <is>
          <t>Montréal (Quebec) Canada</t>
        </is>
      </c>
      <c r="K2006" t="inlineStr">
        <is>
          <t>Montréal (Québec) Canada</t>
        </is>
      </c>
      <c r="P2006" t="n">
        <v>0</v>
      </c>
      <c r="Q2006" t="n">
        <v>3.5</v>
      </c>
      <c r="R2006" t="n">
        <v>0</v>
      </c>
      <c r="S2006" t="n">
        <v>58.6</v>
      </c>
      <c r="T2006" t="n">
        <v>0</v>
      </c>
      <c r="U2006" t="n">
        <v>62.1</v>
      </c>
      <c r="X2006" t="inlineStr">
        <is>
          <t>aafc-aac</t>
        </is>
      </c>
      <c r="Y2006" t="inlineStr">
        <is>
          <t>Agriculture and Agri-Food Canada | Agriculture et Agroalimentaire Canada</t>
        </is>
      </c>
    </row>
    <row r="2007">
      <c r="A2007" t="inlineStr">
        <is>
          <t>T-2024-P3-0008</t>
        </is>
      </c>
      <c r="B2007" t="inlineStr">
        <is>
          <t>MPSES</t>
        </is>
      </c>
      <c r="C2007" t="inlineStr">
        <is>
          <t>Policy Advisor</t>
        </is>
      </c>
      <c r="D2007" t="inlineStr">
        <is>
          <t>Conseillère en politiques</t>
        </is>
      </c>
      <c r="E2007" t="inlineStr">
        <is>
          <t>Christine Harvey</t>
        </is>
      </c>
      <c r="F2007" t="inlineStr">
        <is>
          <t>Support the Minister for the CleanFarms visit and for the Pork Producers Annual General Meeting</t>
        </is>
      </c>
      <c r="G2007" t="inlineStr">
        <is>
          <t>Soutenir la ministre lors de la visite de CleanFarms et de l'assemblée générale annuelle des producteurs de porcs</t>
        </is>
      </c>
      <c r="H2007" s="1" t="n">
        <v>45084</v>
      </c>
      <c r="I2007" s="1" t="n">
        <v>45086</v>
      </c>
      <c r="J2007" t="inlineStr">
        <is>
          <t>Québec (Quebec) Canada</t>
        </is>
      </c>
      <c r="K2007" t="inlineStr">
        <is>
          <t>Québec (Québec) Canada</t>
        </is>
      </c>
      <c r="P2007" t="n">
        <v>0</v>
      </c>
      <c r="Q2007" t="n">
        <v>274.59</v>
      </c>
      <c r="R2007" t="n">
        <v>177.31</v>
      </c>
      <c r="S2007" t="n">
        <v>82.5</v>
      </c>
      <c r="T2007" t="n">
        <v>0</v>
      </c>
      <c r="U2007" t="n">
        <v>534.4</v>
      </c>
      <c r="X2007" t="inlineStr">
        <is>
          <t>aafc-aac</t>
        </is>
      </c>
      <c r="Y2007" t="inlineStr">
        <is>
          <t>Agriculture and Agri-Food Canada | Agriculture et Agroalimentaire Canada</t>
        </is>
      </c>
    </row>
    <row r="2008">
      <c r="A2008" t="inlineStr">
        <is>
          <t>T-2024-P3-0009</t>
        </is>
      </c>
      <c r="B2008" t="inlineStr">
        <is>
          <t>MPSES</t>
        </is>
      </c>
      <c r="C2008" t="inlineStr">
        <is>
          <t>Tours and Operations Manager</t>
        </is>
      </c>
      <c r="D2008" t="inlineStr">
        <is>
          <t>Gestionnaire, Visites et opérations</t>
        </is>
      </c>
      <c r="E2008" t="inlineStr">
        <is>
          <t>Olivia Scieur-Aparicio</t>
        </is>
      </c>
      <c r="F2008" t="inlineStr">
        <is>
          <t>Support the Minister to attend the strategy announcement for women entrepreneurs (farmers) and round-table discussion</t>
        </is>
      </c>
      <c r="G2008" t="inlineStr">
        <is>
          <t>Soutenir la ministre à participer à l'annonce de la stratégie pour les femmes entrepreneurs (agriculteurs) et à la table ronde.</t>
        </is>
      </c>
      <c r="H2008" s="1" t="n">
        <v>45069</v>
      </c>
      <c r="I2008" s="1" t="n">
        <v>45071</v>
      </c>
      <c r="J2008" t="inlineStr">
        <is>
          <t>Québec (Quebec) Canada</t>
        </is>
      </c>
      <c r="K2008" t="inlineStr">
        <is>
          <t>Québec (Québec) Canada</t>
        </is>
      </c>
      <c r="P2008" t="n">
        <v>0</v>
      </c>
      <c r="Q2008" t="n">
        <v>31.08</v>
      </c>
      <c r="R2008" t="n">
        <v>189.21</v>
      </c>
      <c r="S2008" t="n">
        <v>130</v>
      </c>
      <c r="T2008" t="n">
        <v>0</v>
      </c>
      <c r="U2008" t="n">
        <v>350.29</v>
      </c>
      <c r="X2008" t="inlineStr">
        <is>
          <t>aafc-aac</t>
        </is>
      </c>
      <c r="Y2008" t="inlineStr">
        <is>
          <t>Agriculture and Agri-Food Canada | Agriculture et Agroalimentaire Canada</t>
        </is>
      </c>
    </row>
    <row r="2009">
      <c r="A2009" t="inlineStr">
        <is>
          <t>T-2024-P3-0010</t>
        </is>
      </c>
      <c r="B2009" t="inlineStr">
        <is>
          <t>SLE</t>
        </is>
      </c>
      <c r="C2009" t="inlineStr">
        <is>
          <t>Deputy Minister</t>
        </is>
      </c>
      <c r="D2009" t="inlineStr">
        <is>
          <t>Sous-ministre</t>
        </is>
      </c>
      <c r="E2009" t="inlineStr">
        <is>
          <t>Stefanie Beck</t>
        </is>
      </c>
      <c r="F2009" t="inlineStr">
        <is>
          <t>Co-host with Prairies Economic Development Canada for Deputies Engagement with Saskatoon: Opportunities for Inclusive and Sustainable Growth. To build deeper federal knowledge, awareness and relations with some key Saskatchewan stakeholders, rights holders, partners and industries.</t>
        </is>
      </c>
      <c r="G2009" t="inlineStr">
        <is>
          <t>Co-hôte, avec Développement économique des Prairies Canada, de l'événement "Deputies Engagement with Saskatoon" : Opportunités pour une croissance inclusive et durable. Approfondir les connaissances, la sensibilisation et les relations du gouvernement fédéral avec certains acteurs, détenteurs de droits, partenaires et industries clés de la Saskatchewan.</t>
        </is>
      </c>
      <c r="H2009" s="1" t="n">
        <v>45069</v>
      </c>
      <c r="I2009" s="1" t="n">
        <v>45071</v>
      </c>
      <c r="J2009" t="inlineStr">
        <is>
          <t>Saskatoon (Saskatchewan) Canada</t>
        </is>
      </c>
      <c r="K2009" t="inlineStr">
        <is>
          <t>Saskatoon (Saskatchewan) Canada</t>
        </is>
      </c>
      <c r="P2009" t="n">
        <v>54.24</v>
      </c>
      <c r="Q2009" t="n">
        <v>0</v>
      </c>
      <c r="R2009" t="n">
        <v>187.95</v>
      </c>
      <c r="S2009" t="n">
        <v>0</v>
      </c>
      <c r="T2009" t="n">
        <v>0</v>
      </c>
      <c r="U2009" t="n">
        <v>242.19</v>
      </c>
      <c r="V2009" t="inlineStr">
        <is>
          <t>Trip was cancelled due to positive Covid testing.</t>
        </is>
      </c>
      <c r="W2009" t="inlineStr">
        <is>
          <t>Le voyage a été annulé en raison d'un test Covid positif</t>
        </is>
      </c>
      <c r="X2009" t="inlineStr">
        <is>
          <t>aafc-aac</t>
        </is>
      </c>
      <c r="Y2009" t="inlineStr">
        <is>
          <t>Agriculture and Agri-Food Canada | Agriculture et Agroalimentaire Canada</t>
        </is>
      </c>
    </row>
    <row r="2010">
      <c r="A2010" t="inlineStr">
        <is>
          <t>T-2024-P3-0011</t>
        </is>
      </c>
      <c r="B2010" t="inlineStr">
        <is>
          <t>SLE</t>
        </is>
      </c>
      <c r="C2010" t="inlineStr">
        <is>
          <t>Deputy Minister</t>
        </is>
      </c>
      <c r="D2010" t="inlineStr">
        <is>
          <t>Sous-ministre</t>
        </is>
      </c>
      <c r="E2010" t="inlineStr">
        <is>
          <t>Stefanie Beck</t>
        </is>
      </c>
      <c r="F2010" t="inlineStr">
        <is>
          <t>Support the Minister at the Agriculture Ministers 49th G7 Summit</t>
        </is>
      </c>
      <c r="G2010" t="inlineStr">
        <is>
          <t>Soutenir la ministre lors du 49e sommet du G7 des ministres de l'agriculture</t>
        </is>
      </c>
      <c r="H2010" s="1" t="n">
        <v>45034</v>
      </c>
      <c r="I2010" s="1" t="n">
        <v>45042</v>
      </c>
      <c r="J2010" t="inlineStr">
        <is>
          <t>Tokyo, Japan
Miyazaki, Japan
Singapore</t>
        </is>
      </c>
      <c r="K2010" t="inlineStr">
        <is>
          <t>Tokyo, Japon
Miyazaki, Japon
Singapour</t>
        </is>
      </c>
      <c r="P2010" t="n">
        <v>23665.71</v>
      </c>
      <c r="Q2010" t="n">
        <v>0</v>
      </c>
      <c r="R2010" t="n">
        <v>2785.77</v>
      </c>
      <c r="S2010" t="n">
        <v>784.87</v>
      </c>
      <c r="T2010" t="n">
        <v>0</v>
      </c>
      <c r="U2010" t="n">
        <v>27236.35</v>
      </c>
      <c r="X2010" t="inlineStr">
        <is>
          <t>aafc-aac</t>
        </is>
      </c>
      <c r="Y2010" t="inlineStr">
        <is>
          <t>Agriculture and Agri-Food Canada | Agriculture et Agroalimentaire Canada</t>
        </is>
      </c>
    </row>
    <row r="2011">
      <c r="A2011" t="inlineStr">
        <is>
          <t>T-2024-P3-0012</t>
        </is>
      </c>
      <c r="B2011" t="inlineStr">
        <is>
          <t>SLE</t>
        </is>
      </c>
      <c r="C2011" t="inlineStr">
        <is>
          <t>Corporate Secretary</t>
        </is>
      </c>
      <c r="D2011" t="inlineStr">
        <is>
          <t>Secrétaire générale</t>
        </is>
      </c>
      <c r="E2011" t="inlineStr">
        <is>
          <t>Tamara Abel</t>
        </is>
      </c>
      <c r="F2011" t="inlineStr">
        <is>
          <t>Operational activities</t>
        </is>
      </c>
      <c r="G2011" t="inlineStr">
        <is>
          <t>Activités opérationnelles</t>
        </is>
      </c>
      <c r="H2011" s="1" t="n">
        <v>45082</v>
      </c>
      <c r="I2011" s="1" t="n">
        <v>45085</v>
      </c>
      <c r="J2011" t="inlineStr">
        <is>
          <t>Ottawa (Ontario) Canada</t>
        </is>
      </c>
      <c r="K2011" t="inlineStr">
        <is>
          <t>Ottawa (Ontario) Canada</t>
        </is>
      </c>
      <c r="P2011" t="n">
        <v>1075.64</v>
      </c>
      <c r="Q2011" t="n">
        <v>260.4</v>
      </c>
      <c r="R2011" t="n">
        <v>1054.14</v>
      </c>
      <c r="S2011" t="n">
        <v>446.1</v>
      </c>
      <c r="T2011" t="n">
        <v>0</v>
      </c>
      <c r="U2011" t="n">
        <v>2836.28</v>
      </c>
      <c r="X2011" t="inlineStr">
        <is>
          <t>aafc-aac</t>
        </is>
      </c>
      <c r="Y2011" t="inlineStr">
        <is>
          <t>Agriculture and Agri-Food Canada | Agriculture et Agroalimentaire Canada</t>
        </is>
      </c>
    </row>
    <row r="2012">
      <c r="A2012" t="inlineStr">
        <is>
          <t>T-2024-P3-0013</t>
        </is>
      </c>
      <c r="B2012" t="inlineStr">
        <is>
          <t>SLE</t>
        </is>
      </c>
      <c r="C2012" t="inlineStr">
        <is>
          <t>Corporate Secretary</t>
        </is>
      </c>
      <c r="D2012" t="inlineStr">
        <is>
          <t>Secrétaire générale</t>
        </is>
      </c>
      <c r="E2012" t="inlineStr">
        <is>
          <t>Tamara Abel</t>
        </is>
      </c>
      <c r="F2012" t="inlineStr">
        <is>
          <t>Operational activities</t>
        </is>
      </c>
      <c r="G2012" t="inlineStr">
        <is>
          <t>Activités opérationnelles</t>
        </is>
      </c>
      <c r="H2012" s="1" t="n">
        <v>45092</v>
      </c>
      <c r="I2012" s="1" t="n">
        <v>45096</v>
      </c>
      <c r="J2012" t="inlineStr">
        <is>
          <t>Ottawa (Ontario) Canada</t>
        </is>
      </c>
      <c r="K2012" t="inlineStr">
        <is>
          <t>Ottawa (Ontario) Canada</t>
        </is>
      </c>
      <c r="P2012" t="n">
        <v>1448.65</v>
      </c>
      <c r="Q2012" t="n">
        <v>371.73</v>
      </c>
      <c r="R2012" t="n">
        <v>1358.52</v>
      </c>
      <c r="S2012" t="n">
        <v>593.4</v>
      </c>
      <c r="T2012" t="n">
        <v>0</v>
      </c>
      <c r="U2012" t="n">
        <v>3772.3</v>
      </c>
      <c r="X2012" t="inlineStr">
        <is>
          <t>aafc-aac</t>
        </is>
      </c>
      <c r="Y2012" t="inlineStr">
        <is>
          <t>Agriculture and Agri-Food Canada | Agriculture et Agroalimentaire Canada</t>
        </is>
      </c>
    </row>
    <row r="2013">
      <c r="A2013" t="inlineStr">
        <is>
          <t>T-2024-P3-0014</t>
        </is>
      </c>
      <c r="B2013" t="inlineStr">
        <is>
          <t>SLE</t>
        </is>
      </c>
      <c r="C2013" t="inlineStr">
        <is>
          <t>Workplace Well-Being Ombudsperson</t>
        </is>
      </c>
      <c r="D2013" t="inlineStr">
        <is>
          <t>Ombudsman du mieux-être en milieu de travail</t>
        </is>
      </c>
      <c r="E2013" t="inlineStr">
        <is>
          <t xml:space="preserve">Elianne Hall </t>
        </is>
      </c>
      <c r="F2013" t="inlineStr">
        <is>
          <t>Attend the APEX Leadership Summit 2023</t>
        </is>
      </c>
      <c r="G2013" t="inlineStr">
        <is>
          <t>Participer au Sommet des dirigeants de l'APEX 2023</t>
        </is>
      </c>
      <c r="H2013" s="1" t="n">
        <v>45076</v>
      </c>
      <c r="I2013" s="1" t="n">
        <v>45076</v>
      </c>
      <c r="J2013" t="inlineStr">
        <is>
          <t>Ottawa (Ontario) Canada</t>
        </is>
      </c>
      <c r="K2013" t="inlineStr">
        <is>
          <t>Ottawa (Ontario) Canada</t>
        </is>
      </c>
      <c r="P2013" t="n">
        <v>0</v>
      </c>
      <c r="Q2013" t="n">
        <v>20</v>
      </c>
      <c r="R2013" t="n">
        <v>0</v>
      </c>
      <c r="S2013" t="n">
        <v>0</v>
      </c>
      <c r="T2013" t="n">
        <v>0</v>
      </c>
      <c r="U2013" t="n">
        <v>20</v>
      </c>
      <c r="X2013" t="inlineStr">
        <is>
          <t>aafc-aac</t>
        </is>
      </c>
      <c r="Y2013" t="inlineStr">
        <is>
          <t>Agriculture and Agri-Food Canada | Agriculture et Agroalimentaire Canada</t>
        </is>
      </c>
    </row>
    <row r="2014">
      <c r="A2014" t="inlineStr">
        <is>
          <t>T-2024-P3-0015</t>
        </is>
      </c>
      <c r="B2014" t="inlineStr">
        <is>
          <t>SLE</t>
        </is>
      </c>
      <c r="C2014" t="inlineStr">
        <is>
          <t>Assistant Deputy Minister, Science and Technology Branch</t>
        </is>
      </c>
      <c r="D2014" t="inlineStr">
        <is>
          <t>Sous-ministre adjoint, Direction générale des sciences et de la technologie</t>
        </is>
      </c>
      <c r="E2014" t="inlineStr">
        <is>
          <t>Gilles Saindon</t>
        </is>
      </c>
      <c r="F2014" t="inlineStr">
        <is>
          <t>Attend the 2023 European Union AgriResearch Conference</t>
        </is>
      </c>
      <c r="G2014" t="inlineStr">
        <is>
          <t>Participer à la conférence Européenne Union AgriResearch 2023</t>
        </is>
      </c>
      <c r="H2014" s="1" t="n">
        <v>45075</v>
      </c>
      <c r="I2014" s="1" t="n">
        <v>45079</v>
      </c>
      <c r="J2014" t="inlineStr">
        <is>
          <t>Brussels (Belgium)</t>
        </is>
      </c>
      <c r="K2014" t="inlineStr">
        <is>
          <t>Bruxelles (Belgique)</t>
        </is>
      </c>
      <c r="P2014" t="n">
        <v>3667.55</v>
      </c>
      <c r="Q2014" t="n">
        <v>329.53</v>
      </c>
      <c r="R2014" t="n">
        <v>1012.8</v>
      </c>
      <c r="S2014" t="n">
        <v>392.19</v>
      </c>
      <c r="T2014" t="n">
        <v>20.61</v>
      </c>
      <c r="U2014" t="n">
        <v>5422.68</v>
      </c>
      <c r="X2014" t="inlineStr">
        <is>
          <t>aafc-aac</t>
        </is>
      </c>
      <c r="Y2014" t="inlineStr">
        <is>
          <t>Agriculture and Agri-Food Canada | Agriculture et Agroalimentaire Canada</t>
        </is>
      </c>
    </row>
    <row r="2015">
      <c r="A2015" t="inlineStr">
        <is>
          <t>T-2024-P3-0016</t>
        </is>
      </c>
      <c r="B2015" t="inlineStr">
        <is>
          <t>SLE</t>
        </is>
      </c>
      <c r="C2015" t="inlineStr">
        <is>
          <t>Assistant Deputy Minister, Science and Technology Branch</t>
        </is>
      </c>
      <c r="D2015" t="inlineStr">
        <is>
          <t>Sous-ministre adjoint, Direction générale des sciences et de la technologie</t>
        </is>
      </c>
      <c r="E2015" t="inlineStr">
        <is>
          <t>Gilles Saindon</t>
        </is>
      </c>
      <c r="F2015" t="inlineStr">
        <is>
          <t>Host and attend the 2023 Tetrapartite meeting; attend Senior Management Meeting Face-to-Face</t>
        </is>
      </c>
      <c r="G2015" t="inlineStr">
        <is>
          <t>Accueillir et participer à la rencontre Tetrapartite 2023; participer à une réunion de la haute gestion en personne</t>
        </is>
      </c>
      <c r="H2015" s="1" t="n">
        <v>45081</v>
      </c>
      <c r="I2015" s="1" t="n">
        <v>45086</v>
      </c>
      <c r="J2015" t="inlineStr">
        <is>
          <t>Saskatoon (Saskatchewan) Canada</t>
        </is>
      </c>
      <c r="K2015" t="inlineStr">
        <is>
          <t>Saskatoon (Saskatchewan) Canada</t>
        </is>
      </c>
      <c r="P2015" t="n">
        <v>1240.45</v>
      </c>
      <c r="Q2015" t="n">
        <v>196</v>
      </c>
      <c r="R2015" t="n">
        <v>1003.35</v>
      </c>
      <c r="S2015" t="n">
        <v>410.7</v>
      </c>
      <c r="T2015" t="n">
        <v>0</v>
      </c>
      <c r="U2015" t="n">
        <v>2850.5</v>
      </c>
      <c r="X2015" t="inlineStr">
        <is>
          <t>aafc-aac</t>
        </is>
      </c>
      <c r="Y2015" t="inlineStr">
        <is>
          <t>Agriculture and Agri-Food Canada | Agriculture et Agroalimentaire Canada</t>
        </is>
      </c>
    </row>
    <row r="2016">
      <c r="A2016" t="inlineStr">
        <is>
          <t>T-2024-P3-0017</t>
        </is>
      </c>
      <c r="B2016" t="inlineStr">
        <is>
          <t>SLE</t>
        </is>
      </c>
      <c r="C2016" t="inlineStr">
        <is>
          <t>Assistant Deputy Minister, Science and Technology Branch</t>
        </is>
      </c>
      <c r="D2016" t="inlineStr">
        <is>
          <t>Sous-ministre adjoint, Direction générale des sciences et de la technologie</t>
        </is>
      </c>
      <c r="E2016" t="inlineStr">
        <is>
          <t>Gilles Saindon</t>
        </is>
      </c>
      <c r="F2016" t="inlineStr">
        <is>
          <t>Outreach to the London (Ontario) Research and Development Centre.  Meeting with Staff.</t>
        </is>
      </c>
      <c r="G2016" t="inlineStr">
        <is>
          <t>Rencontre de sensibilisation au Centre de recherche et de développement de London, Ontario.  Rencontre avec le personnel.</t>
        </is>
      </c>
      <c r="H2016" s="1" t="n">
        <v>45071</v>
      </c>
      <c r="I2016" s="1" t="n">
        <v>45073</v>
      </c>
      <c r="J2016" t="inlineStr">
        <is>
          <t>London (Ontario) Canada</t>
        </is>
      </c>
      <c r="K2016" t="inlineStr">
        <is>
          <t>London (Ontario) Canada</t>
        </is>
      </c>
      <c r="P2016" t="n">
        <v>1043.59</v>
      </c>
      <c r="Q2016" t="n">
        <v>142</v>
      </c>
      <c r="R2016" t="n">
        <v>392.52</v>
      </c>
      <c r="S2016" t="n">
        <v>240.2</v>
      </c>
      <c r="T2016" t="n">
        <v>0</v>
      </c>
      <c r="U2016" t="n">
        <v>1818.31</v>
      </c>
      <c r="X2016" t="inlineStr">
        <is>
          <t>aafc-aac</t>
        </is>
      </c>
      <c r="Y2016" t="inlineStr">
        <is>
          <t>Agriculture and Agri-Food Canada | Agriculture et Agroalimentaire Canada</t>
        </is>
      </c>
    </row>
    <row r="2017">
      <c r="A2017" t="inlineStr">
        <is>
          <t>T-2024-P3-0018</t>
        </is>
      </c>
      <c r="B2017" t="inlineStr">
        <is>
          <t>SLE</t>
        </is>
      </c>
      <c r="C2017" t="inlineStr">
        <is>
          <t>Assistant Deputy Minister, International Affairs Branch</t>
        </is>
      </c>
      <c r="D2017" t="inlineStr">
        <is>
          <t>Sous-ministre adjointe, Direction générale des affaires internationales</t>
        </is>
      </c>
      <c r="E2017" t="inlineStr">
        <is>
          <t xml:space="preserve">Kathleen Donohue </t>
        </is>
      </c>
      <c r="F2017" t="inlineStr">
        <is>
          <t xml:space="preserve">Meeting with the President in Washington, DC </t>
        </is>
      </c>
      <c r="G2017" t="inlineStr">
        <is>
          <t>Rencontre avec le président à Washington, DC</t>
        </is>
      </c>
      <c r="H2017" s="1" t="n">
        <v>45089</v>
      </c>
      <c r="I2017" s="1" t="n">
        <v>45090</v>
      </c>
      <c r="J2017" t="inlineStr">
        <is>
          <t xml:space="preserve">Washington (District of Columbia) United States </t>
        </is>
      </c>
      <c r="K2017" t="inlineStr">
        <is>
          <t>Washington (District de Columbia) États-Unis</t>
        </is>
      </c>
      <c r="P2017" t="n">
        <v>1092.17</v>
      </c>
      <c r="Q2017" t="n">
        <v>100.6</v>
      </c>
      <c r="R2017" t="n">
        <v>398.17</v>
      </c>
      <c r="S2017" t="n">
        <v>264.99</v>
      </c>
      <c r="T2017" t="n">
        <v>70.06</v>
      </c>
      <c r="U2017" t="n">
        <v>1925.99</v>
      </c>
      <c r="X2017" t="inlineStr">
        <is>
          <t>aafc-aac</t>
        </is>
      </c>
      <c r="Y2017" t="inlineStr">
        <is>
          <t>Agriculture and Agri-Food Canada | Agriculture et Agroalimentaire Canada</t>
        </is>
      </c>
    </row>
    <row r="2018">
      <c r="A2018" t="inlineStr">
        <is>
          <t>T-2024-P3-0019</t>
        </is>
      </c>
      <c r="B2018" t="inlineStr">
        <is>
          <t>SLE</t>
        </is>
      </c>
      <c r="C2018" t="inlineStr">
        <is>
          <t>Assistant Deputy Minister, International Affairs Branch</t>
        </is>
      </c>
      <c r="D2018" t="inlineStr">
        <is>
          <t>Sous-ministre adjointe, Direction générale des affaires internationales</t>
        </is>
      </c>
      <c r="E2018" t="inlineStr">
        <is>
          <t xml:space="preserve">Kathleen Donohue </t>
        </is>
      </c>
      <c r="F2018" t="inlineStr">
        <is>
          <t>Attend meetings downtown Ottawa with stakeholders and at the Agriculture and Food Museum</t>
        </is>
      </c>
      <c r="G2018" t="inlineStr">
        <is>
          <t>Participer aux rencontres au centre-ville d'Ottawa avec les parties prenantes et au Musée de l'agriculture et de l'alimentation</t>
        </is>
      </c>
      <c r="H2018" s="1" t="n">
        <v>45084</v>
      </c>
      <c r="I2018" s="1" t="n">
        <v>45084</v>
      </c>
      <c r="J2018" t="inlineStr">
        <is>
          <t>Ottawa (Ontario) Canada</t>
        </is>
      </c>
      <c r="K2018" t="inlineStr">
        <is>
          <t>Ottawa (Ontario) Canada</t>
        </is>
      </c>
      <c r="P2018" t="n">
        <v>0</v>
      </c>
      <c r="Q2018" t="n">
        <v>57.5</v>
      </c>
      <c r="R2018" t="n">
        <v>0</v>
      </c>
      <c r="S2018" t="n">
        <v>0</v>
      </c>
      <c r="T2018" t="n">
        <v>0</v>
      </c>
      <c r="U2018" t="n">
        <v>57.5</v>
      </c>
      <c r="X2018" t="inlineStr">
        <is>
          <t>aafc-aac</t>
        </is>
      </c>
      <c r="Y2018" t="inlineStr">
        <is>
          <t>Agriculture and Agri-Food Canada | Agriculture et Agroalimentaire Canada</t>
        </is>
      </c>
    </row>
    <row r="2019">
      <c r="A2019" t="inlineStr">
        <is>
          <t>T-2024-P3-0020</t>
        </is>
      </c>
      <c r="B2019" t="inlineStr">
        <is>
          <t>SLE</t>
        </is>
      </c>
      <c r="C2019" t="inlineStr">
        <is>
          <t>Associate Assistant Deputy Minister, Science and Technology Branch</t>
        </is>
      </c>
      <c r="D2019" t="inlineStr">
        <is>
          <t>Sous-ministre adjoint délégué, Direction générale des sciences et de la technologie</t>
        </is>
      </c>
      <c r="E2019" t="inlineStr">
        <is>
          <t>Andrew Goldstein</t>
        </is>
      </c>
      <c r="F2019" t="inlineStr">
        <is>
          <t>Attend the 2023 Tetrapartite meeting; attend Senior Management Meeting Face-to-Face</t>
        </is>
      </c>
      <c r="G2019" t="inlineStr">
        <is>
          <t>Participer à la rencontre Tetrapartite 2023; participer à une réunion de la haute gestion en personne</t>
        </is>
      </c>
      <c r="H2019" s="1" t="n">
        <v>45083</v>
      </c>
      <c r="I2019" s="1" t="n">
        <v>45086</v>
      </c>
      <c r="J2019" t="inlineStr">
        <is>
          <t>Saskatoon (Saskatchewan) Canada</t>
        </is>
      </c>
      <c r="K2019" t="inlineStr">
        <is>
          <t>Saskatoon (Saskatchewan) Canada</t>
        </is>
      </c>
      <c r="P2019" t="n">
        <v>1116.01</v>
      </c>
      <c r="Q2019" t="n">
        <v>125.5</v>
      </c>
      <c r="R2019" t="n">
        <v>633.51</v>
      </c>
      <c r="S2019" t="n">
        <v>328.6</v>
      </c>
      <c r="T2019" t="n">
        <v>0</v>
      </c>
      <c r="U2019" t="n">
        <v>2203.62</v>
      </c>
      <c r="X2019" t="inlineStr">
        <is>
          <t>aafc-aac</t>
        </is>
      </c>
      <c r="Y2019" t="inlineStr">
        <is>
          <t>Agriculture and Agri-Food Canada | Agriculture et Agroalimentaire Canada</t>
        </is>
      </c>
    </row>
    <row r="2020">
      <c r="A2020" t="inlineStr">
        <is>
          <t>T-2024-P3-0021</t>
        </is>
      </c>
      <c r="B2020" t="inlineStr">
        <is>
          <t>SLE</t>
        </is>
      </c>
      <c r="C2020" t="inlineStr">
        <is>
          <t>Assistant Deputy Minister, Corporate Management Branch</t>
        </is>
      </c>
      <c r="D2020" t="inlineStr">
        <is>
          <t>Sous-ministre adjointe, Direction générale de la gestion intégrée</t>
        </is>
      </c>
      <c r="E2020" t="inlineStr">
        <is>
          <t>Marie-Claude Guérard</t>
        </is>
      </c>
      <c r="F2020" t="inlineStr">
        <is>
          <t>Attend in-person meetings in Ottawa</t>
        </is>
      </c>
      <c r="G2020" t="inlineStr">
        <is>
          <t>Participer aux rencontres en personne à Ottawa</t>
        </is>
      </c>
      <c r="H2020" s="1" t="n">
        <v>45079</v>
      </c>
      <c r="I2020" s="1" t="n">
        <v>45079</v>
      </c>
      <c r="J2020" t="inlineStr">
        <is>
          <t>Ottawa (Ontario) Canada</t>
        </is>
      </c>
      <c r="K2020" t="inlineStr">
        <is>
          <t>Ottawa (Ontario) Canada</t>
        </is>
      </c>
      <c r="P2020" t="n">
        <v>0</v>
      </c>
      <c r="Q2020" t="n">
        <v>258.42</v>
      </c>
      <c r="R2020" t="n">
        <v>0</v>
      </c>
      <c r="S2020" t="n">
        <v>106.1</v>
      </c>
      <c r="T2020" t="n">
        <v>0</v>
      </c>
      <c r="U2020" t="n">
        <v>364.52</v>
      </c>
      <c r="X2020" t="inlineStr">
        <is>
          <t>aafc-aac</t>
        </is>
      </c>
      <c r="Y2020" t="inlineStr">
        <is>
          <t>Agriculture and Agri-Food Canada | Agriculture et Agroalimentaire Canada</t>
        </is>
      </c>
    </row>
    <row r="2021">
      <c r="A2021" t="inlineStr">
        <is>
          <t>T-2024-P3-0022</t>
        </is>
      </c>
      <c r="B2021" t="inlineStr">
        <is>
          <t>SLE</t>
        </is>
      </c>
      <c r="C2021" t="inlineStr">
        <is>
          <t>Assistant Deputy Minister, Corporate Management Branch</t>
        </is>
      </c>
      <c r="D2021" t="inlineStr">
        <is>
          <t>Sous-ministre adjointe, Direction générale de la gestion intégrée</t>
        </is>
      </c>
      <c r="E2021" t="inlineStr">
        <is>
          <t>Marie-Claude Guérard</t>
        </is>
      </c>
      <c r="F2021" t="inlineStr">
        <is>
          <t>Attend in-person meetings in Ottawa</t>
        </is>
      </c>
      <c r="G2021" t="inlineStr">
        <is>
          <t>Participer aux rencontres en personne à Ottawa</t>
        </is>
      </c>
      <c r="H2021" s="1" t="n">
        <v>45082</v>
      </c>
      <c r="I2021" s="1" t="n">
        <v>45082</v>
      </c>
      <c r="J2021" t="inlineStr">
        <is>
          <t>Ottawa (Ontario) Canada</t>
        </is>
      </c>
      <c r="K2021" t="inlineStr">
        <is>
          <t>Ottawa (Ontario) Canada</t>
        </is>
      </c>
      <c r="P2021" t="n">
        <v>0</v>
      </c>
      <c r="Q2021" t="n">
        <v>258.42</v>
      </c>
      <c r="R2021" t="n">
        <v>0</v>
      </c>
      <c r="S2021" t="n">
        <v>47.5</v>
      </c>
      <c r="T2021" t="n">
        <v>0</v>
      </c>
      <c r="U2021" t="n">
        <v>305.92</v>
      </c>
      <c r="X2021" t="inlineStr">
        <is>
          <t>aafc-aac</t>
        </is>
      </c>
      <c r="Y2021" t="inlineStr">
        <is>
          <t>Agriculture and Agri-Food Canada | Agriculture et Agroalimentaire Canada</t>
        </is>
      </c>
    </row>
    <row r="2022">
      <c r="A2022" t="inlineStr">
        <is>
          <t>T-2024-P3-0023</t>
        </is>
      </c>
      <c r="B2022" t="inlineStr">
        <is>
          <t>SLE</t>
        </is>
      </c>
      <c r="C2022" t="inlineStr">
        <is>
          <t>Assistant Deputy Minister, Corporate Management Branch</t>
        </is>
      </c>
      <c r="D2022" t="inlineStr">
        <is>
          <t>Sous-ministre adjointe, Direction générale de la gestion intégrée</t>
        </is>
      </c>
      <c r="E2022" t="inlineStr">
        <is>
          <t>Marie-Claude Guérard</t>
        </is>
      </c>
      <c r="F2022" t="inlineStr">
        <is>
          <t>Attend in-person meetings in Ottawa</t>
        </is>
      </c>
      <c r="G2022" t="inlineStr">
        <is>
          <t>Participer aux rencontres en personne à Ottawa</t>
        </is>
      </c>
      <c r="H2022" s="1" t="n">
        <v>45091</v>
      </c>
      <c r="I2022" s="1" t="n">
        <v>45091</v>
      </c>
      <c r="J2022" t="inlineStr">
        <is>
          <t>Ottawa (Ontario) Canada</t>
        </is>
      </c>
      <c r="K2022" t="inlineStr">
        <is>
          <t>Ottawa (Ontario) Canada</t>
        </is>
      </c>
      <c r="P2022" t="n">
        <v>0</v>
      </c>
      <c r="Q2022" t="n">
        <v>314.93</v>
      </c>
      <c r="R2022" t="n">
        <v>0</v>
      </c>
      <c r="S2022" t="n">
        <v>82.5</v>
      </c>
      <c r="T2022" t="n">
        <v>0</v>
      </c>
      <c r="U2022" t="n">
        <v>397.43</v>
      </c>
      <c r="X2022" t="inlineStr">
        <is>
          <t>aafc-aac</t>
        </is>
      </c>
      <c r="Y2022" t="inlineStr">
        <is>
          <t>Agriculture and Agri-Food Canada | Agriculture et Agroalimentaire Canada</t>
        </is>
      </c>
    </row>
    <row r="2023">
      <c r="A2023" t="inlineStr">
        <is>
          <t>T-2024-P3-0024</t>
        </is>
      </c>
      <c r="B2023" t="inlineStr">
        <is>
          <t>SLE</t>
        </is>
      </c>
      <c r="C2023" t="inlineStr">
        <is>
          <t>Assistant Deputy Minister, Corporate Management Branch</t>
        </is>
      </c>
      <c r="D2023" t="inlineStr">
        <is>
          <t>Sous-ministre adjointe, Direction générale de la gestion intégrée</t>
        </is>
      </c>
      <c r="E2023" t="inlineStr">
        <is>
          <t>Marie-Claude Guérard</t>
        </is>
      </c>
      <c r="F2023" t="inlineStr">
        <is>
          <t>Attend in-person meetings in Ottawa</t>
        </is>
      </c>
      <c r="G2023" t="inlineStr">
        <is>
          <t>Participer aux rencontres en personne à Ottawa</t>
        </is>
      </c>
      <c r="H2023" s="1" t="n">
        <v>45097</v>
      </c>
      <c r="I2023" s="1" t="n">
        <v>45097</v>
      </c>
      <c r="J2023" t="inlineStr">
        <is>
          <t>Ottawa (Ontario) Canada</t>
        </is>
      </c>
      <c r="K2023" t="inlineStr">
        <is>
          <t>Ottawa (Ontario) Canada</t>
        </is>
      </c>
      <c r="P2023" t="n">
        <v>0</v>
      </c>
      <c r="Q2023" t="n">
        <v>339.22</v>
      </c>
      <c r="R2023" t="n">
        <v>0</v>
      </c>
      <c r="S2023" t="n">
        <v>23.9</v>
      </c>
      <c r="T2023" t="n">
        <v>0</v>
      </c>
      <c r="U2023" t="n">
        <v>363.12</v>
      </c>
      <c r="X2023" t="inlineStr">
        <is>
          <t>aafc-aac</t>
        </is>
      </c>
      <c r="Y2023" t="inlineStr">
        <is>
          <t>Agriculture and Agri-Food Canada | Agriculture et Agroalimentaire Canada</t>
        </is>
      </c>
    </row>
    <row r="2024">
      <c r="A2024" t="inlineStr">
        <is>
          <t>T-2024-P3-0025</t>
        </is>
      </c>
      <c r="B2024" t="inlineStr">
        <is>
          <t>SLE</t>
        </is>
      </c>
      <c r="C2024" t="inlineStr">
        <is>
          <t>Assistant Deputy Minister, Programs Branch</t>
        </is>
      </c>
      <c r="D2024" t="inlineStr">
        <is>
          <t>Sous-ministre adjointe, Direction générale des programmes</t>
        </is>
      </c>
      <c r="E2024" t="inlineStr">
        <is>
          <t>Liz Foster</t>
        </is>
      </c>
      <c r="F2024" t="inlineStr">
        <is>
          <t>Attend a conference</t>
        </is>
      </c>
      <c r="G2024" t="inlineStr">
        <is>
          <t>Participer à une conférence</t>
        </is>
      </c>
      <c r="H2024" s="1" t="n">
        <v>45076</v>
      </c>
      <c r="I2024" s="1" t="n">
        <v>45077</v>
      </c>
      <c r="J2024" t="inlineStr">
        <is>
          <t>Ottawa (Ontario) Canada</t>
        </is>
      </c>
      <c r="K2024" t="inlineStr">
        <is>
          <t>Ottawa (Ontario) Canada</t>
        </is>
      </c>
      <c r="P2024" t="n">
        <v>0</v>
      </c>
      <c r="Q2024" t="n">
        <v>40</v>
      </c>
      <c r="R2024" t="n">
        <v>0</v>
      </c>
      <c r="S2024" t="n">
        <v>0</v>
      </c>
      <c r="T2024" t="n">
        <v>0</v>
      </c>
      <c r="U2024" t="n">
        <v>40</v>
      </c>
      <c r="X2024" t="inlineStr">
        <is>
          <t>aafc-aac</t>
        </is>
      </c>
      <c r="Y2024" t="inlineStr">
        <is>
          <t>Agriculture and Agri-Food Canada | Agriculture et Agroalimentaire Canada</t>
        </is>
      </c>
    </row>
    <row r="2025">
      <c r="A2025" t="inlineStr">
        <is>
          <t>T-2024-P3-0026</t>
        </is>
      </c>
      <c r="B2025" t="inlineStr">
        <is>
          <t>SLE</t>
        </is>
      </c>
      <c r="C2025" t="inlineStr">
        <is>
          <t>Assistant Deputy Minister, Market and Industry Services Branch</t>
        </is>
      </c>
      <c r="D2025" t="inlineStr">
        <is>
          <t>Sous-ministre adjoint, Direction générale des services à l'industrie et aux marchés</t>
        </is>
      </c>
      <c r="E2025" t="inlineStr">
        <is>
          <t>Tom Rosser</t>
        </is>
      </c>
      <c r="F2025" t="inlineStr">
        <is>
          <t xml:space="preserve">Participate in regional outreach. </t>
        </is>
      </c>
      <c r="G2025" t="inlineStr">
        <is>
          <t>Participer à la sensibilisation régionale.</t>
        </is>
      </c>
      <c r="H2025" s="1" t="n">
        <v>45055</v>
      </c>
      <c r="I2025" s="1" t="n">
        <v>45058</v>
      </c>
      <c r="J2025" t="inlineStr">
        <is>
          <t>Montréal (Quebec) Canada</t>
        </is>
      </c>
      <c r="K2025" t="inlineStr">
        <is>
          <t>Montréal (Québec) Canada</t>
        </is>
      </c>
      <c r="P2025" t="n">
        <v>0</v>
      </c>
      <c r="Q2025" t="n">
        <v>386.68</v>
      </c>
      <c r="R2025" t="n">
        <v>844.5</v>
      </c>
      <c r="S2025" t="n">
        <v>328.9</v>
      </c>
      <c r="T2025" t="n">
        <v>0</v>
      </c>
      <c r="U2025" t="n">
        <v>1560.08</v>
      </c>
      <c r="X2025" t="inlineStr">
        <is>
          <t>aafc-aac</t>
        </is>
      </c>
      <c r="Y2025" t="inlineStr">
        <is>
          <t>Agriculture and Agri-Food Canada | Agriculture et Agroalimentaire Canada</t>
        </is>
      </c>
    </row>
    <row r="2026">
      <c r="A2026" t="inlineStr">
        <is>
          <t>T-2024-P4-001</t>
        </is>
      </c>
      <c r="B2026" t="inlineStr">
        <is>
          <t>MPSES</t>
        </is>
      </c>
      <c r="C2026" t="inlineStr">
        <is>
          <t>Minister</t>
        </is>
      </c>
      <c r="D2026" t="inlineStr">
        <is>
          <t>Ministre</t>
        </is>
      </c>
      <c r="E2026" t="inlineStr">
        <is>
          <t>Marie-Claude Bibeau</t>
        </is>
      </c>
      <c r="F2026" t="inlineStr">
        <is>
          <t>Attend the G20 Agricutural Minister's meeting</t>
        </is>
      </c>
      <c r="G2026" t="inlineStr">
        <is>
          <t>Participer à la réunion des ministres de l'agriculture du G20</t>
        </is>
      </c>
      <c r="H2026" s="1" t="n">
        <v>45090</v>
      </c>
      <c r="I2026" s="1" t="n">
        <v>45097</v>
      </c>
      <c r="J2026" t="inlineStr">
        <is>
          <t>Dubai, Emirate of Dubai
Hyderabad (Telangana) India
Delhi, India</t>
        </is>
      </c>
      <c r="K2026" t="inlineStr">
        <is>
          <t>Dubaï, Émirat de Dubaï
Hyderabad (Telangana) Inde
Delhi, Inde</t>
        </is>
      </c>
      <c r="P2026" t="n">
        <v>10425.6</v>
      </c>
      <c r="Q2026" t="n">
        <v>0</v>
      </c>
      <c r="R2026" t="n">
        <v>1066.32</v>
      </c>
      <c r="S2026" t="n">
        <v>55.47</v>
      </c>
      <c r="T2026" t="n">
        <v>187</v>
      </c>
      <c r="U2026" t="n">
        <v>11734.39</v>
      </c>
      <c r="X2026" t="inlineStr">
        <is>
          <t>aafc-aac</t>
        </is>
      </c>
      <c r="Y2026" t="inlineStr">
        <is>
          <t>Agriculture and Agri-Food Canada | Agriculture et Agroalimentaire Canada</t>
        </is>
      </c>
    </row>
    <row r="2027">
      <c r="A2027" t="inlineStr">
        <is>
          <t>T-2024-P4-002</t>
        </is>
      </c>
      <c r="B2027" t="inlineStr">
        <is>
          <t>MPSES</t>
        </is>
      </c>
      <c r="C2027" t="inlineStr">
        <is>
          <t>Director of Regional Affairs</t>
        </is>
      </c>
      <c r="D2027" t="inlineStr">
        <is>
          <t>Directrice des affaires régionales</t>
        </is>
      </c>
      <c r="E2027" t="inlineStr">
        <is>
          <t>Alison Porter</t>
        </is>
      </c>
      <c r="F2027" t="inlineStr">
        <is>
          <t>Support the Minister attending the Minister’s Agriculture Innovation Mission for Climate conference and meet with stakeholders and US counterparts including Secretary Vilalobos and Ambassador Hillman</t>
        </is>
      </c>
      <c r="G2027" t="inlineStr">
        <is>
          <t>Soutenir la ministre assistant à la conférence de la mission d'innovation agricole pour le climat du ministre et rencontrer les parties prenantes et les homologues américains, notamment le secrétaire Vilalobos et l'ambassadeur Hillman.</t>
        </is>
      </c>
      <c r="H2027" s="1" t="n">
        <v>45053</v>
      </c>
      <c r="I2027" s="1" t="n">
        <v>45056</v>
      </c>
      <c r="J2027" t="inlineStr">
        <is>
          <t>Washington (District of Columbia) United States</t>
        </is>
      </c>
      <c r="K2027" t="inlineStr">
        <is>
          <t>Washington (District de Columbia) États-Unis</t>
        </is>
      </c>
      <c r="P2027" t="n">
        <v>1307.25</v>
      </c>
      <c r="Q2027" t="n">
        <v>173.19</v>
      </c>
      <c r="R2027" t="n">
        <v>1776.02</v>
      </c>
      <c r="S2027" t="n">
        <v>342.2</v>
      </c>
      <c r="T2027" t="n">
        <v>23.79</v>
      </c>
      <c r="U2027" t="n">
        <v>3622.45</v>
      </c>
      <c r="X2027" t="inlineStr">
        <is>
          <t>aafc-aac</t>
        </is>
      </c>
      <c r="Y2027" t="inlineStr">
        <is>
          <t>Agriculture and Agri-Food Canada | Agriculture et Agroalimentaire Canada</t>
        </is>
      </c>
    </row>
    <row r="2028">
      <c r="A2028" t="inlineStr">
        <is>
          <t>T-2024-P4-003</t>
        </is>
      </c>
      <c r="B2028" t="inlineStr">
        <is>
          <t>MPSES</t>
        </is>
      </c>
      <c r="C2028" t="inlineStr">
        <is>
          <t>Director of Policy</t>
        </is>
      </c>
      <c r="D2028" t="inlineStr">
        <is>
          <t>Directeur en politiques</t>
        </is>
      </c>
      <c r="E2028" t="inlineStr">
        <is>
          <t>Emerson Vanderberg</t>
        </is>
      </c>
      <c r="F2028" t="inlineStr">
        <is>
          <t>Support the Minister attending the Food and Agriculture Organization of the United Nations meeting</t>
        </is>
      </c>
      <c r="G2028" t="inlineStr">
        <is>
          <t>Soutenir la participation de la ministre à la réunion de l'Organisation des Nations unies pour l'alimentation et l'agriculture.</t>
        </is>
      </c>
      <c r="H2028" s="1" t="n">
        <v>45106</v>
      </c>
      <c r="I2028" s="1" t="n">
        <v>45115</v>
      </c>
      <c r="J2028" t="inlineStr">
        <is>
          <t>Rome, Italy
Bali, Indonesia</t>
        </is>
      </c>
      <c r="K2028" t="inlineStr">
        <is>
          <t>Rome, Italie
Bali, Indonésie</t>
        </is>
      </c>
      <c r="P2028" t="n">
        <v>3134.81</v>
      </c>
      <c r="Q2028" t="n">
        <v>253.25</v>
      </c>
      <c r="R2028" t="n">
        <v>2061.52</v>
      </c>
      <c r="S2028" t="n">
        <v>1156.6</v>
      </c>
      <c r="T2028" t="n">
        <v>0</v>
      </c>
      <c r="U2028" t="n">
        <v>6606.18</v>
      </c>
      <c r="X2028" t="inlineStr">
        <is>
          <t>aafc-aac</t>
        </is>
      </c>
      <c r="Y2028" t="inlineStr">
        <is>
          <t>Agriculture and Agri-Food Canada | Agriculture et Agroalimentaire Canada</t>
        </is>
      </c>
    </row>
    <row r="2029">
      <c r="A2029" t="inlineStr">
        <is>
          <t>T-2024-P4-004</t>
        </is>
      </c>
      <c r="B2029" t="inlineStr">
        <is>
          <t>MPSES</t>
        </is>
      </c>
      <c r="C2029" t="inlineStr">
        <is>
          <t>Policy Advisor</t>
        </is>
      </c>
      <c r="D2029" t="inlineStr">
        <is>
          <t>Conseillère en politiques</t>
        </is>
      </c>
      <c r="E2029" t="inlineStr">
        <is>
          <t>Christine Harvey</t>
        </is>
      </c>
      <c r="F2029" t="inlineStr">
        <is>
          <t>Briefings with the Minister and stakeholder meetings</t>
        </is>
      </c>
      <c r="G2029" t="inlineStr">
        <is>
          <t>Séances d'information avec la ministre et réunions avec les parties prenantes</t>
        </is>
      </c>
      <c r="H2029" s="1" t="n">
        <v>45120</v>
      </c>
      <c r="I2029" s="1" t="n">
        <v>45120</v>
      </c>
      <c r="J2029" t="inlineStr">
        <is>
          <t>Sherbrooke (Quebec) Canada</t>
        </is>
      </c>
      <c r="K2029" t="inlineStr">
        <is>
          <t>Sherbrooke (Québec) Canada</t>
        </is>
      </c>
      <c r="P2029" t="n">
        <v>0</v>
      </c>
      <c r="Q2029" t="n">
        <v>0</v>
      </c>
      <c r="R2029" t="n">
        <v>154.69</v>
      </c>
      <c r="S2029" t="n">
        <v>0</v>
      </c>
      <c r="T2029" t="n">
        <v>0</v>
      </c>
      <c r="U2029" t="n">
        <v>154.69</v>
      </c>
      <c r="X2029" t="inlineStr">
        <is>
          <t>aafc-aac</t>
        </is>
      </c>
      <c r="Y2029" t="inlineStr">
        <is>
          <t>Agriculture and Agri-Food Canada | Agriculture et Agroalimentaire Canada</t>
        </is>
      </c>
    </row>
    <row r="2030">
      <c r="A2030" t="inlineStr">
        <is>
          <t>T-2024-P4-005</t>
        </is>
      </c>
      <c r="B2030" t="inlineStr">
        <is>
          <t>MPSES</t>
        </is>
      </c>
      <c r="C2030" t="inlineStr">
        <is>
          <t>Press Secretary</t>
        </is>
      </c>
      <c r="D2030" t="inlineStr">
        <is>
          <t>Attaché de presse</t>
        </is>
      </c>
      <c r="E2030" t="inlineStr">
        <is>
          <t>Simon Lafortune</t>
        </is>
      </c>
      <c r="F2030" t="inlineStr">
        <is>
          <t>Accompany the Minister to the G20 Agricutural Minister's meeting</t>
        </is>
      </c>
      <c r="G2030" t="inlineStr">
        <is>
          <t>Accompagner la ministre à la réunion des ministres de l'agriculture du G20</t>
        </is>
      </c>
      <c r="H2030" s="1" t="n">
        <v>45089</v>
      </c>
      <c r="I2030" s="1" t="n">
        <v>45100</v>
      </c>
      <c r="J2030" t="inlineStr">
        <is>
          <t>Dubai, Emirate of Dubai
Hyderabad (Telangana) India
Delhi, India</t>
        </is>
      </c>
      <c r="K2030" t="inlineStr">
        <is>
          <t>Dubaï, Émirat de Dubaï
Hyderabad (Telangana) Inde
Delhi, Inde</t>
        </is>
      </c>
      <c r="P2030" t="n">
        <v>5060.2</v>
      </c>
      <c r="Q2030" t="n">
        <v>139.51</v>
      </c>
      <c r="R2030" t="n">
        <v>1270.97</v>
      </c>
      <c r="S2030" t="n">
        <v>110.91</v>
      </c>
      <c r="T2030" t="n">
        <v>0</v>
      </c>
      <c r="U2030" t="n">
        <v>6581.59</v>
      </c>
      <c r="X2030" t="inlineStr">
        <is>
          <t>aafc-aac</t>
        </is>
      </c>
      <c r="Y2030" t="inlineStr">
        <is>
          <t>Agriculture and Agri-Food Canada | Agriculture et Agroalimentaire Canada</t>
        </is>
      </c>
    </row>
    <row r="2031">
      <c r="A2031" t="inlineStr">
        <is>
          <t>T-2024-P4-006</t>
        </is>
      </c>
      <c r="B2031" t="inlineStr">
        <is>
          <t>SLE</t>
        </is>
      </c>
      <c r="C2031" t="inlineStr">
        <is>
          <t>Deputy Minister</t>
        </is>
      </c>
      <c r="D2031" t="inlineStr">
        <is>
          <t>Sous-ministre</t>
        </is>
      </c>
      <c r="E2031" t="inlineStr">
        <is>
          <t>Stefanie Beck</t>
        </is>
      </c>
      <c r="F2031" t="inlineStr">
        <is>
          <t>Visit Quebec Research and Development Center, Institute of food and nutrition at University of Quebec, visit a local farm and meet with Deputy Minister of Agriculture, Fish and Feed of Quebec.</t>
        </is>
      </c>
      <c r="G2031" t="inlineStr">
        <is>
          <t>Visiter le Centre de recherche et de développement du Québec, l'Institut de l'alimentation et de la nutrition de l'Université du Québec, visiter une ferme locale et rencontrer le sous-ministre d'Agriculture, Poisson et Alimentation du Québec.</t>
        </is>
      </c>
      <c r="H2031" s="1" t="n">
        <v>45090</v>
      </c>
      <c r="I2031" s="1" t="n">
        <v>45090</v>
      </c>
      <c r="J2031" t="inlineStr">
        <is>
          <t>Québec (Quebec) Canada</t>
        </is>
      </c>
      <c r="K2031" t="inlineStr">
        <is>
          <t>Québec (Québec) Canada</t>
        </is>
      </c>
      <c r="P2031" t="n">
        <v>989.59</v>
      </c>
      <c r="Q2031" t="n">
        <v>0</v>
      </c>
      <c r="R2031" t="n">
        <v>0</v>
      </c>
      <c r="S2031" t="n">
        <v>106.1</v>
      </c>
      <c r="T2031" t="n">
        <v>0</v>
      </c>
      <c r="U2031" t="n">
        <v>1095.69</v>
      </c>
      <c r="X2031" t="inlineStr">
        <is>
          <t>aafc-aac</t>
        </is>
      </c>
      <c r="Y2031" t="inlineStr">
        <is>
          <t>Agriculture and Agri-Food Canada | Agriculture et Agroalimentaire Canada</t>
        </is>
      </c>
    </row>
    <row r="2032">
      <c r="A2032" t="inlineStr">
        <is>
          <t>T-2024-P4-007</t>
        </is>
      </c>
      <c r="B2032" t="inlineStr">
        <is>
          <t>SLE</t>
        </is>
      </c>
      <c r="C2032" t="inlineStr">
        <is>
          <t>Associate Deputy Minister</t>
        </is>
      </c>
      <c r="D2032" t="inlineStr">
        <is>
          <t>Sous-ministre déléguée</t>
        </is>
      </c>
      <c r="E2032" t="inlineStr">
        <is>
          <t>Suzy McDonald</t>
        </is>
      </c>
      <c r="F2032" t="inlineStr">
        <is>
          <t>Support the Minister to attend a future international trip to India</t>
        </is>
      </c>
      <c r="G2032" t="inlineStr">
        <is>
          <t>Soutenir la ministre pour une participation futur à un voyage international en Inde</t>
        </is>
      </c>
      <c r="H2032" s="1" t="n">
        <v>45090</v>
      </c>
      <c r="I2032" s="1" t="n">
        <v>45097</v>
      </c>
      <c r="J2032" t="inlineStr">
        <is>
          <t>Hyderabad (Telangana) India
Delhi, India</t>
        </is>
      </c>
      <c r="K2032" t="inlineStr">
        <is>
          <t>Hyderabad (Telangana) Inde
Delhi, Inde</t>
        </is>
      </c>
      <c r="P2032" t="n">
        <v>12239.1</v>
      </c>
      <c r="Q2032" t="n">
        <v>0</v>
      </c>
      <c r="R2032" t="n">
        <v>1066.88</v>
      </c>
      <c r="S2032" t="n">
        <v>0</v>
      </c>
      <c r="T2032" t="n">
        <v>172.24</v>
      </c>
      <c r="U2032" t="n">
        <v>13478.22</v>
      </c>
      <c r="X2032" t="inlineStr">
        <is>
          <t>aafc-aac</t>
        </is>
      </c>
      <c r="Y2032" t="inlineStr">
        <is>
          <t>Agriculture and Agri-Food Canada | Agriculture et Agroalimentaire Canada</t>
        </is>
      </c>
    </row>
    <row r="2033">
      <c r="A2033" t="inlineStr">
        <is>
          <t>T-2024-P4-008</t>
        </is>
      </c>
      <c r="B2033" t="inlineStr">
        <is>
          <t>SLE</t>
        </is>
      </c>
      <c r="C2033" t="inlineStr">
        <is>
          <t>Corporate Secretary</t>
        </is>
      </c>
      <c r="D2033" t="inlineStr">
        <is>
          <t>Secrétaire générale</t>
        </is>
      </c>
      <c r="E2033" t="inlineStr">
        <is>
          <t>Tamara Abel</t>
        </is>
      </c>
      <c r="F2033" t="inlineStr">
        <is>
          <t>Operational activities</t>
        </is>
      </c>
      <c r="G2033" t="inlineStr">
        <is>
          <t>Activités opérationnelles</t>
        </is>
      </c>
      <c r="H2033" s="1" t="n">
        <v>45117</v>
      </c>
      <c r="I2033" s="1" t="n">
        <v>45121</v>
      </c>
      <c r="J2033" t="inlineStr">
        <is>
          <t>Ottawa (Ontario) Canada</t>
        </is>
      </c>
      <c r="K2033" t="inlineStr">
        <is>
          <t>Ottawa (Ontario) Canada</t>
        </is>
      </c>
      <c r="P2033" t="n">
        <v>1339.03</v>
      </c>
      <c r="Q2033" t="n">
        <v>352.45</v>
      </c>
      <c r="R2033" t="n">
        <v>1165.8</v>
      </c>
      <c r="S2033" t="n">
        <v>593.4</v>
      </c>
      <c r="T2033" t="n">
        <v>0</v>
      </c>
      <c r="U2033" t="n">
        <v>3450.68</v>
      </c>
      <c r="X2033" t="inlineStr">
        <is>
          <t>aafc-aac</t>
        </is>
      </c>
      <c r="Y2033" t="inlineStr">
        <is>
          <t>Agriculture and Agri-Food Canada | Agriculture et Agroalimentaire Canada</t>
        </is>
      </c>
    </row>
    <row r="2034">
      <c r="A2034" t="inlineStr">
        <is>
          <t>T-2024-P4-009</t>
        </is>
      </c>
      <c r="B2034" t="inlineStr">
        <is>
          <t>SLE</t>
        </is>
      </c>
      <c r="C2034" t="inlineStr">
        <is>
          <t>Workplace Well-Being Ombudsperson</t>
        </is>
      </c>
      <c r="D2034" t="inlineStr">
        <is>
          <t>Ombudsman du mieux-être en milieu de travail</t>
        </is>
      </c>
      <c r="E2034" t="inlineStr">
        <is>
          <t xml:space="preserve">Elianne Hall </t>
        </is>
      </c>
      <c r="F2034" t="inlineStr">
        <is>
          <t>Attend the Alberta Outreach</t>
        </is>
      </c>
      <c r="G2034" t="inlineStr">
        <is>
          <t>Participer au programme de sensibilisation de l'Alberta</t>
        </is>
      </c>
      <c r="H2034" s="1" t="n">
        <v>45103</v>
      </c>
      <c r="I2034" s="1" t="n">
        <v>45107</v>
      </c>
      <c r="J2034" t="inlineStr">
        <is>
          <t>Calgary (Alberta) Canada</t>
        </is>
      </c>
      <c r="K2034" t="inlineStr">
        <is>
          <t>Calgary (Alberta) Canada</t>
        </is>
      </c>
      <c r="P2034" t="n">
        <v>886.3099999999999</v>
      </c>
      <c r="Q2034" t="n">
        <v>618.36</v>
      </c>
      <c r="R2034" t="n">
        <v>573.6</v>
      </c>
      <c r="S2034" t="n">
        <v>510.9</v>
      </c>
      <c r="T2034" t="n">
        <v>0</v>
      </c>
      <c r="U2034" t="n">
        <v>2589.17</v>
      </c>
      <c r="X2034" t="inlineStr">
        <is>
          <t>aafc-aac</t>
        </is>
      </c>
      <c r="Y2034" t="inlineStr">
        <is>
          <t>Agriculture and Agri-Food Canada | Agriculture et Agroalimentaire Canada</t>
        </is>
      </c>
    </row>
    <row r="2035">
      <c r="A2035" t="inlineStr">
        <is>
          <t>T-2024-P4-010</t>
        </is>
      </c>
      <c r="B2035" t="inlineStr">
        <is>
          <t>SLE</t>
        </is>
      </c>
      <c r="C2035" t="inlineStr">
        <is>
          <t>Assistant Deputy Minister, Science and Technology Branch</t>
        </is>
      </c>
      <c r="D2035" t="inlineStr">
        <is>
          <t>Sous-ministre adjoint, Direction générale des sciences et de la technologie</t>
        </is>
      </c>
      <c r="E2035" t="inlineStr">
        <is>
          <t>Gilles Saindon</t>
        </is>
      </c>
      <c r="F2035" t="inlineStr">
        <is>
          <t>Renew ID Card - House of Commons</t>
        </is>
      </c>
      <c r="G2035" t="inlineStr">
        <is>
          <t>Renouveller la carte d'identité - Chambre des communes</t>
        </is>
      </c>
      <c r="H2035" s="1" t="n">
        <v>45064</v>
      </c>
      <c r="I2035" s="1" t="n">
        <v>45064</v>
      </c>
      <c r="J2035" t="inlineStr">
        <is>
          <t>Ottawa (Ontario) Canada</t>
        </is>
      </c>
      <c r="K2035" t="inlineStr">
        <is>
          <t>Ottawa (Ontario) Canada</t>
        </is>
      </c>
      <c r="P2035" t="n">
        <v>0</v>
      </c>
      <c r="Q2035" t="n">
        <v>3.5</v>
      </c>
      <c r="R2035" t="n">
        <v>0</v>
      </c>
      <c r="S2035" t="n">
        <v>0</v>
      </c>
      <c r="T2035" t="n">
        <v>0</v>
      </c>
      <c r="U2035" t="n">
        <v>3.5</v>
      </c>
      <c r="X2035" t="inlineStr">
        <is>
          <t>aafc-aac</t>
        </is>
      </c>
      <c r="Y2035" t="inlineStr">
        <is>
          <t>Agriculture and Agri-Food Canada | Agriculture et Agroalimentaire Canada</t>
        </is>
      </c>
    </row>
    <row r="2036">
      <c r="A2036" t="inlineStr">
        <is>
          <t>T-2024-P4-011</t>
        </is>
      </c>
      <c r="B2036" t="inlineStr">
        <is>
          <t>SLE</t>
        </is>
      </c>
      <c r="C2036" t="inlineStr">
        <is>
          <t>Assistant Deputy Minister, Science and Technology Branch</t>
        </is>
      </c>
      <c r="D2036" t="inlineStr">
        <is>
          <t>Sous-ministre adjoint, Direction générale des sciences et de la technologie</t>
        </is>
      </c>
      <c r="E2036" t="inlineStr">
        <is>
          <t>Gilles Saindon</t>
        </is>
      </c>
      <c r="F2036" t="inlineStr">
        <is>
          <t>Attend the 2023 Canadian Tri-Society Meeting on June 20 as an invited speaker</t>
        </is>
      </c>
      <c r="G2036" t="inlineStr">
        <is>
          <t>Participer à la réunion des trois sociétés canadiennes de 2023 le 20 juin en tant que conférencier invité</t>
        </is>
      </c>
      <c r="H2036" s="1" t="n">
        <v>45098</v>
      </c>
      <c r="I2036" s="1" t="n">
        <v>45098</v>
      </c>
      <c r="J2036" t="inlineStr">
        <is>
          <t>Ottawa (Ontario) Canada</t>
        </is>
      </c>
      <c r="K2036" t="inlineStr">
        <is>
          <t>Ottawa (Ontario) Canada</t>
        </is>
      </c>
      <c r="P2036" t="n">
        <v>0</v>
      </c>
      <c r="Q2036" t="n">
        <v>21</v>
      </c>
      <c r="R2036" t="n">
        <v>0</v>
      </c>
      <c r="S2036" t="n">
        <v>0</v>
      </c>
      <c r="T2036" t="n">
        <v>0</v>
      </c>
      <c r="U2036" t="n">
        <v>21</v>
      </c>
      <c r="X2036" t="inlineStr">
        <is>
          <t>aafc-aac</t>
        </is>
      </c>
      <c r="Y2036" t="inlineStr">
        <is>
          <t>Agriculture and Agri-Food Canada | Agriculture et Agroalimentaire Canada</t>
        </is>
      </c>
    </row>
    <row r="2037">
      <c r="A2037" t="inlineStr">
        <is>
          <t>T-2024-P4-012</t>
        </is>
      </c>
      <c r="B2037" t="inlineStr">
        <is>
          <t>SLE</t>
        </is>
      </c>
      <c r="C2037" t="inlineStr">
        <is>
          <t>Assistant Deputy Minister, International Affairs Branch</t>
        </is>
      </c>
      <c r="D2037" t="inlineStr">
        <is>
          <t>Sous-ministre adjointe, Direction générale des affaires internationales</t>
        </is>
      </c>
      <c r="E2037" t="inlineStr">
        <is>
          <t xml:space="preserve">Kathleen Donohue </t>
        </is>
      </c>
      <c r="F2037" t="inlineStr">
        <is>
          <t xml:space="preserve">Parking for Stakeholder meeting </t>
        </is>
      </c>
      <c r="G2037" t="inlineStr">
        <is>
          <t>Stationnement pour une rencontre avec des parties prenantes</t>
        </is>
      </c>
      <c r="H2037" s="1" t="n">
        <v>45086</v>
      </c>
      <c r="I2037" s="1" t="n">
        <v>45086</v>
      </c>
      <c r="J2037" t="inlineStr">
        <is>
          <t>Ottawa (Ontario) Canada</t>
        </is>
      </c>
      <c r="K2037" t="inlineStr">
        <is>
          <t>Ottawa (Ontario) Canada</t>
        </is>
      </c>
      <c r="P2037" t="n">
        <v>0</v>
      </c>
      <c r="Q2037" t="n">
        <v>21.62</v>
      </c>
      <c r="R2037" t="n">
        <v>0</v>
      </c>
      <c r="S2037" t="n">
        <v>0</v>
      </c>
      <c r="T2037" t="n">
        <v>0</v>
      </c>
      <c r="U2037" t="n">
        <v>21.62</v>
      </c>
      <c r="X2037" t="inlineStr">
        <is>
          <t>aafc-aac</t>
        </is>
      </c>
      <c r="Y2037" t="inlineStr">
        <is>
          <t>Agriculture and Agri-Food Canada | Agriculture et Agroalimentaire Canada</t>
        </is>
      </c>
    </row>
    <row r="2038">
      <c r="A2038" t="inlineStr">
        <is>
          <t>T-2024-P4-013</t>
        </is>
      </c>
      <c r="B2038" t="inlineStr">
        <is>
          <t>SLE</t>
        </is>
      </c>
      <c r="C2038" t="inlineStr">
        <is>
          <t>Associate Assistant Deputy Minister, Science and Technology Branch</t>
        </is>
      </c>
      <c r="D2038" t="inlineStr">
        <is>
          <t>Sous-ministre adjoint délégué, Direction générale des sciences et de la technologie</t>
        </is>
      </c>
      <c r="E2038" t="inlineStr">
        <is>
          <t>Andrew Goldstein</t>
        </is>
      </c>
      <c r="F2038" t="inlineStr">
        <is>
          <t>Outreach visit and meet with staff at the Saint-Hyacinthe Research and Development Centre</t>
        </is>
      </c>
      <c r="G2038" t="inlineStr">
        <is>
          <t>Rencontre de sensibilisation avec le personnel du centre de recherche et de développement de Saint-Hyacinthe</t>
        </is>
      </c>
      <c r="H2038" s="1" t="n">
        <v>45111</v>
      </c>
      <c r="I2038" s="1" t="n">
        <v>45111</v>
      </c>
      <c r="J2038" t="inlineStr">
        <is>
          <t>Saint-Hyacinthe (Quebec) Canada</t>
        </is>
      </c>
      <c r="K2038" t="inlineStr">
        <is>
          <t>Saint-Hyacinthe (Québec) Canada</t>
        </is>
      </c>
      <c r="P2038" t="n">
        <v>0</v>
      </c>
      <c r="Q2038" t="n">
        <v>306.28</v>
      </c>
      <c r="R2038" t="n">
        <v>0</v>
      </c>
      <c r="S2038" t="n">
        <v>23.9</v>
      </c>
      <c r="T2038" t="n">
        <v>0</v>
      </c>
      <c r="U2038" t="n">
        <v>330.18</v>
      </c>
      <c r="X2038" t="inlineStr">
        <is>
          <t>aafc-aac</t>
        </is>
      </c>
      <c r="Y2038" t="inlineStr">
        <is>
          <t>Agriculture and Agri-Food Canada | Agriculture et Agroalimentaire Canada</t>
        </is>
      </c>
    </row>
    <row r="2039">
      <c r="A2039" t="inlineStr">
        <is>
          <t>T-2024-P4-014</t>
        </is>
      </c>
      <c r="B2039" t="inlineStr">
        <is>
          <t>SLE</t>
        </is>
      </c>
      <c r="C2039" t="inlineStr">
        <is>
          <t>Assistant Deputy Minister, Corporate Management Branch</t>
        </is>
      </c>
      <c r="D2039" t="inlineStr">
        <is>
          <t>Sous-ministre adjointe, Direction générale de la gestion intégrée</t>
        </is>
      </c>
      <c r="E2039" t="inlineStr">
        <is>
          <t>Marie-Claude Guérard</t>
        </is>
      </c>
      <c r="F2039" t="inlineStr">
        <is>
          <t xml:space="preserve">Attend a Leadership Summit at the Ottawa Shaw Centre </t>
        </is>
      </c>
      <c r="G2039" t="inlineStr">
        <is>
          <t>Participer a une rencontre d'apprentissage a Centre Shaw a Ottawa</t>
        </is>
      </c>
      <c r="H2039" s="1" t="n">
        <v>45075</v>
      </c>
      <c r="I2039" s="1" t="n">
        <v>45077</v>
      </c>
      <c r="J2039" t="inlineStr">
        <is>
          <t>Ottawa (Ontario) Canada</t>
        </is>
      </c>
      <c r="K2039" t="inlineStr">
        <is>
          <t>Ottawa (Ontario) Canada</t>
        </is>
      </c>
      <c r="P2039" t="n">
        <v>0</v>
      </c>
      <c r="Q2039" t="n">
        <v>404.62</v>
      </c>
      <c r="R2039" t="n">
        <v>616.42</v>
      </c>
      <c r="S2039" t="n">
        <v>298.8</v>
      </c>
      <c r="T2039" t="n">
        <v>0</v>
      </c>
      <c r="U2039" t="n">
        <v>1319.84</v>
      </c>
      <c r="X2039" t="inlineStr">
        <is>
          <t>aafc-aac</t>
        </is>
      </c>
      <c r="Y2039" t="inlineStr">
        <is>
          <t>Agriculture and Agri-Food Canada | Agriculture et Agroalimentaire Canada</t>
        </is>
      </c>
    </row>
    <row r="2040">
      <c r="A2040" t="inlineStr">
        <is>
          <t>T-2024-P4-015</t>
        </is>
      </c>
      <c r="B2040" t="inlineStr">
        <is>
          <t>SLE</t>
        </is>
      </c>
      <c r="C2040" t="inlineStr">
        <is>
          <t>Assistant Deputy Minister, Corporate Management Branch</t>
        </is>
      </c>
      <c r="D2040" t="inlineStr">
        <is>
          <t>Sous-ministre adjointe, Direction générale de la gestion intégrée</t>
        </is>
      </c>
      <c r="E2040" t="inlineStr">
        <is>
          <t>Marie-Claude Guérard</t>
        </is>
      </c>
      <c r="F2040" t="inlineStr">
        <is>
          <t>Attend the Executive Leadership Development Program in Washington</t>
        </is>
      </c>
      <c r="G2040" t="inlineStr">
        <is>
          <t>Participer au Programme de développement en leadership pour les cadres supérieurs à Washington</t>
        </is>
      </c>
      <c r="H2040" s="1" t="n">
        <v>45083</v>
      </c>
      <c r="I2040" s="1" t="n">
        <v>45086</v>
      </c>
      <c r="J2040" t="inlineStr">
        <is>
          <t>Washington (District of Columbia) United States</t>
        </is>
      </c>
      <c r="K2040" t="inlineStr">
        <is>
          <t>Washington (District de Columbia) États-Unis</t>
        </is>
      </c>
      <c r="P2040" t="n">
        <v>816.23</v>
      </c>
      <c r="Q2040" t="n">
        <v>175.7</v>
      </c>
      <c r="R2040" t="n">
        <v>1526.8</v>
      </c>
      <c r="S2040" t="n">
        <v>566.64</v>
      </c>
      <c r="T2040" t="n">
        <v>0</v>
      </c>
      <c r="U2040" t="n">
        <v>3085.37</v>
      </c>
      <c r="X2040" t="inlineStr">
        <is>
          <t>aafc-aac</t>
        </is>
      </c>
      <c r="Y2040" t="inlineStr">
        <is>
          <t>Agriculture and Agri-Food Canada | Agriculture et Agroalimentaire Canada</t>
        </is>
      </c>
    </row>
    <row r="2041">
      <c r="A2041" t="inlineStr">
        <is>
          <t>T-2024-P4-016</t>
        </is>
      </c>
      <c r="B2041" t="inlineStr">
        <is>
          <t>SLE</t>
        </is>
      </c>
      <c r="C2041" t="inlineStr">
        <is>
          <t>Assistant Deputy Minister, Corporate Management Branch</t>
        </is>
      </c>
      <c r="D2041" t="inlineStr">
        <is>
          <t>Sous-ministre adjointe, Direction générale de la gestion intégrée</t>
        </is>
      </c>
      <c r="E2041" t="inlineStr">
        <is>
          <t>Marie-Claude Guérard</t>
        </is>
      </c>
      <c r="F2041" t="inlineStr">
        <is>
          <t>Attend in-person meetings in Ottawa</t>
        </is>
      </c>
      <c r="G2041" t="inlineStr">
        <is>
          <t>Participer à des rencontres en personne à Ottawa</t>
        </is>
      </c>
      <c r="H2041" s="1" t="n">
        <v>45132</v>
      </c>
      <c r="I2041" s="1" t="n">
        <v>45132</v>
      </c>
      <c r="J2041" t="inlineStr">
        <is>
          <t>Ottawa (Ontario) Canada</t>
        </is>
      </c>
      <c r="K2041" t="inlineStr">
        <is>
          <t>Ottawa (Ontario) Canada</t>
        </is>
      </c>
      <c r="P2041" t="n">
        <v>0</v>
      </c>
      <c r="Q2041" t="n">
        <v>266.42</v>
      </c>
      <c r="R2041" t="n">
        <v>0</v>
      </c>
      <c r="S2041" t="n">
        <v>106.1</v>
      </c>
      <c r="T2041" t="n">
        <v>0</v>
      </c>
      <c r="U2041" t="n">
        <v>372.52</v>
      </c>
      <c r="X2041" t="inlineStr">
        <is>
          <t>aafc-aac</t>
        </is>
      </c>
      <c r="Y2041" t="inlineStr">
        <is>
          <t>Agriculture and Agri-Food Canada | Agriculture et Agroalimentaire Canada</t>
        </is>
      </c>
    </row>
    <row r="2042">
      <c r="A2042" t="inlineStr">
        <is>
          <t>T-2024-P4-017</t>
        </is>
      </c>
      <c r="B2042" t="inlineStr">
        <is>
          <t>SLE</t>
        </is>
      </c>
      <c r="C2042" t="inlineStr">
        <is>
          <t>Acting Assistant Deputy Minister, Strategic Policy Branch</t>
        </is>
      </c>
      <c r="D2042" t="inlineStr">
        <is>
          <t>Sous-ministre adjoint intérimaire, Direction générale des politiques stratégiques</t>
        </is>
      </c>
      <c r="E2042" t="inlineStr">
        <is>
          <t>Steven Jurgitis</t>
        </is>
      </c>
      <c r="F2042" t="inlineStr">
        <is>
          <t>Attend a Minister's briefing</t>
        </is>
      </c>
      <c r="G2042" t="inlineStr">
        <is>
          <t>Participer à une réunion d'information de la ministre</t>
        </is>
      </c>
      <c r="H2042" s="1" t="n">
        <v>45118</v>
      </c>
      <c r="I2042" s="1" t="n">
        <v>45119</v>
      </c>
      <c r="J2042" t="inlineStr">
        <is>
          <t>Sherbrooke (Quebec) Canada</t>
        </is>
      </c>
      <c r="K2042" t="inlineStr">
        <is>
          <t>Sherbrooke (Québec) Canada</t>
        </is>
      </c>
      <c r="P2042" t="n">
        <v>0</v>
      </c>
      <c r="Q2042" t="n">
        <v>418.58</v>
      </c>
      <c r="R2042" t="n">
        <v>212.43</v>
      </c>
      <c r="S2042" t="n">
        <v>151.8</v>
      </c>
      <c r="T2042" t="n">
        <v>0</v>
      </c>
      <c r="U2042" t="n">
        <v>782.8099999999999</v>
      </c>
      <c r="X2042" t="inlineStr">
        <is>
          <t>aafc-aac</t>
        </is>
      </c>
      <c r="Y2042" t="inlineStr">
        <is>
          <t>Agriculture and Agri-Food Canada | Agriculture et Agroalimentaire Canada</t>
        </is>
      </c>
    </row>
    <row r="2043">
      <c r="A2043" t="inlineStr">
        <is>
          <t>T-2024-P4-018</t>
        </is>
      </c>
      <c r="B2043" t="inlineStr">
        <is>
          <t>SLE</t>
        </is>
      </c>
      <c r="C2043" t="inlineStr">
        <is>
          <t>Assistant Deputy Minister, Programs Branch</t>
        </is>
      </c>
      <c r="D2043" t="inlineStr">
        <is>
          <t>Sous-ministre adjointe, Direction générale des programmes</t>
        </is>
      </c>
      <c r="E2043" t="inlineStr">
        <is>
          <t>Liz Foster</t>
        </is>
      </c>
      <c r="F2043" t="inlineStr">
        <is>
          <t>Attend the National Public Service Week</t>
        </is>
      </c>
      <c r="G2043" t="inlineStr">
        <is>
          <t>Participer à la Semaine nationale de la fonction publique</t>
        </is>
      </c>
      <c r="H2043" s="1" t="n">
        <v>45088</v>
      </c>
      <c r="I2043" s="1" t="n">
        <v>45089</v>
      </c>
      <c r="J2043" t="inlineStr">
        <is>
          <t>Winnipeg (Manitoba) Canada</t>
        </is>
      </c>
      <c r="K2043" t="inlineStr">
        <is>
          <t>Winnipeg (Manitoba) Canada</t>
        </is>
      </c>
      <c r="P2043" t="n">
        <v>981.76</v>
      </c>
      <c r="Q2043" t="n">
        <v>103.23</v>
      </c>
      <c r="R2043" t="n">
        <v>229.81</v>
      </c>
      <c r="S2043" t="n">
        <v>123.4</v>
      </c>
      <c r="T2043" t="n">
        <v>0</v>
      </c>
      <c r="U2043" t="n">
        <v>1438.2</v>
      </c>
      <c r="X2043" t="inlineStr">
        <is>
          <t>aafc-aac</t>
        </is>
      </c>
      <c r="Y2043" t="inlineStr">
        <is>
          <t>Agriculture and Agri-Food Canada | Agriculture et Agroalimentaire Canada</t>
        </is>
      </c>
    </row>
    <row r="2044">
      <c r="A2044" t="inlineStr">
        <is>
          <t>T-2024-P4-019</t>
        </is>
      </c>
      <c r="B2044" t="inlineStr">
        <is>
          <t>SLE</t>
        </is>
      </c>
      <c r="C2044" t="inlineStr">
        <is>
          <t>Assistant Deputy Minister, Market and Industry Services Branch</t>
        </is>
      </c>
      <c r="D2044" t="inlineStr">
        <is>
          <t>Sous-ministre adjoint, Direction générale des services à l'industrie et aux marchés</t>
        </is>
      </c>
      <c r="E2044" t="inlineStr">
        <is>
          <t>Tom Rosser</t>
        </is>
      </c>
      <c r="F2044" t="inlineStr">
        <is>
          <t>Participate in regional outreach</t>
        </is>
      </c>
      <c r="G2044" t="inlineStr">
        <is>
          <t>Participer à la sensibilisation régionale</t>
        </is>
      </c>
      <c r="H2044" s="1" t="n">
        <v>45089</v>
      </c>
      <c r="I2044" s="1" t="n">
        <v>45094</v>
      </c>
      <c r="J2044" t="inlineStr">
        <is>
          <t xml:space="preserve">Vancouver (British Columbia) Canada </t>
        </is>
      </c>
      <c r="K2044" t="inlineStr">
        <is>
          <t>Vancouver (Colombie-Britannique) Canada</t>
        </is>
      </c>
      <c r="P2044" t="n">
        <v>1686.01</v>
      </c>
      <c r="Q2044" t="n">
        <v>184.45</v>
      </c>
      <c r="R2044" t="n">
        <v>1693.95</v>
      </c>
      <c r="S2044" t="n">
        <v>569.5</v>
      </c>
      <c r="T2044" t="n">
        <v>0</v>
      </c>
      <c r="U2044" t="n">
        <v>4133.91</v>
      </c>
      <c r="X2044" t="inlineStr">
        <is>
          <t>aafc-aac</t>
        </is>
      </c>
      <c r="Y2044" t="inlineStr">
        <is>
          <t>Agriculture and Agri-Food Canada | Agriculture et Agroalimentaire Canada</t>
        </is>
      </c>
    </row>
    <row r="2045">
      <c r="A2045" t="inlineStr">
        <is>
          <t>T-2024-P4-020</t>
        </is>
      </c>
      <c r="B2045" t="inlineStr">
        <is>
          <t>SLE</t>
        </is>
      </c>
      <c r="C2045" t="inlineStr">
        <is>
          <t>Chief Information Officer, Information Systems Branch</t>
        </is>
      </c>
      <c r="D2045" t="inlineStr">
        <is>
          <t>Dirigeante principale de l'information, Direction générale des systèmes d'information</t>
        </is>
      </c>
      <c r="E2045" t="inlineStr">
        <is>
          <t>Vidya ShankarNarayan</t>
        </is>
      </c>
      <c r="F2045" t="inlineStr">
        <is>
          <t>Attend 1st International Conference on Digital Innovation in Agri-Food</t>
        </is>
      </c>
      <c r="G2045" t="inlineStr">
        <is>
          <t>Assister à la première conférence internationale sur l'innovation digitale</t>
        </is>
      </c>
      <c r="H2045" s="1" t="n">
        <v>45084</v>
      </c>
      <c r="I2045" s="1" t="n">
        <v>45086</v>
      </c>
      <c r="J2045" t="inlineStr">
        <is>
          <t>Guelph (Ontario) Canada</t>
        </is>
      </c>
      <c r="K2045" t="inlineStr">
        <is>
          <t>Guelph (Ontario) Canada</t>
        </is>
      </c>
      <c r="P2045" t="n">
        <v>551.95</v>
      </c>
      <c r="Q2045" t="n">
        <v>205.38</v>
      </c>
      <c r="R2045" t="n">
        <v>467.72</v>
      </c>
      <c r="S2045" t="n">
        <v>298.8</v>
      </c>
      <c r="T2045" t="n">
        <v>33.9</v>
      </c>
      <c r="U2045" t="n">
        <v>1557.75</v>
      </c>
      <c r="X2045" t="inlineStr">
        <is>
          <t>aafc-aac</t>
        </is>
      </c>
      <c r="Y2045" t="inlineStr">
        <is>
          <t>Agriculture and Agri-Food Canada | Agriculture et Agroalimentaire Canada</t>
        </is>
      </c>
    </row>
    <row r="2046">
      <c r="A2046" t="inlineStr">
        <is>
          <t>T-2024-P4-021</t>
        </is>
      </c>
      <c r="B2046" t="inlineStr">
        <is>
          <t>SLE</t>
        </is>
      </c>
      <c r="C2046" t="inlineStr">
        <is>
          <t>Chief Information Officer, Information Systems Branch</t>
        </is>
      </c>
      <c r="D2046" t="inlineStr">
        <is>
          <t>Dirigeante principale de l'information, Direction générale des systèmes d'information</t>
        </is>
      </c>
      <c r="E2046" t="inlineStr">
        <is>
          <t>Vidya ShankarNarayan</t>
        </is>
      </c>
      <c r="F2046" t="inlineStr">
        <is>
          <t xml:space="preserve">Parking for DPI|TBS Digital Community event </t>
        </is>
      </c>
      <c r="G2046" t="inlineStr">
        <is>
          <t>Stationnement pour l'évènement DPI|SCT de la collectivité du numérique</t>
        </is>
      </c>
      <c r="H2046" s="1" t="n">
        <v>45057</v>
      </c>
      <c r="I2046" s="1" t="n">
        <v>45057</v>
      </c>
      <c r="J2046" t="inlineStr">
        <is>
          <t>Ottawa (Ontario) Canada</t>
        </is>
      </c>
      <c r="K2046" t="inlineStr">
        <is>
          <t>Ottawa (Ontario) Canada</t>
        </is>
      </c>
      <c r="P2046" t="n">
        <v>0</v>
      </c>
      <c r="Q2046" t="n">
        <v>17</v>
      </c>
      <c r="R2046" t="n">
        <v>0</v>
      </c>
      <c r="S2046" t="n">
        <v>0</v>
      </c>
      <c r="T2046" t="n">
        <v>0</v>
      </c>
      <c r="U2046" t="n">
        <v>17</v>
      </c>
      <c r="X2046" t="inlineStr">
        <is>
          <t>aafc-aac</t>
        </is>
      </c>
      <c r="Y2046" t="inlineStr">
        <is>
          <t>Agriculture and Agri-Food Canada | Agriculture et Agroalimentaire Canada</t>
        </is>
      </c>
    </row>
    <row r="2047">
      <c r="A2047" t="inlineStr">
        <is>
          <t>T-2024-P5-0001</t>
        </is>
      </c>
      <c r="B2047" t="inlineStr">
        <is>
          <t>MPSES</t>
        </is>
      </c>
      <c r="C2047" t="inlineStr">
        <is>
          <t>Minister</t>
        </is>
      </c>
      <c r="D2047" t="inlineStr">
        <is>
          <t>Ministre</t>
        </is>
      </c>
      <c r="E2047" t="inlineStr">
        <is>
          <t>Lawrence MacAulay</t>
        </is>
      </c>
      <c r="F2047" t="inlineStr">
        <is>
          <t>Meet with stakeholders</t>
        </is>
      </c>
      <c r="G2047" t="inlineStr">
        <is>
          <t>Rencontrer les parties prenantes</t>
        </is>
      </c>
      <c r="H2047" s="1" t="n">
        <v>45139</v>
      </c>
      <c r="I2047" s="1" t="n">
        <v>45141</v>
      </c>
      <c r="J2047" t="inlineStr">
        <is>
          <t>Calgary (Alberta) Canada</t>
        </is>
      </c>
      <c r="K2047" t="inlineStr">
        <is>
          <t>Calgary (Alberta) Canada</t>
        </is>
      </c>
      <c r="P2047" t="n">
        <v>2387.35</v>
      </c>
      <c r="Q2047" t="n">
        <v>27.36</v>
      </c>
      <c r="R2047" t="n">
        <v>389.91</v>
      </c>
      <c r="S2047" t="n">
        <v>188.3</v>
      </c>
      <c r="T2047" t="n">
        <v>0</v>
      </c>
      <c r="U2047" t="n">
        <v>2992.92</v>
      </c>
      <c r="X2047" t="inlineStr">
        <is>
          <t>aafc-aac</t>
        </is>
      </c>
      <c r="Y2047" t="inlineStr">
        <is>
          <t>Agriculture and Agri-Food Canada | Agriculture et Agroalimentaire Canada</t>
        </is>
      </c>
    </row>
    <row r="2048">
      <c r="A2048" t="inlineStr">
        <is>
          <t>T-2024-P5-0002</t>
        </is>
      </c>
      <c r="B2048" t="inlineStr">
        <is>
          <t>MPSES</t>
        </is>
      </c>
      <c r="C2048" t="inlineStr">
        <is>
          <t>Minister</t>
        </is>
      </c>
      <c r="D2048" t="inlineStr">
        <is>
          <t>Ministre</t>
        </is>
      </c>
      <c r="E2048" t="inlineStr">
        <is>
          <t>Marie-Claude Bibeau</t>
        </is>
      </c>
      <c r="F2048" t="inlineStr">
        <is>
          <t>Attend the 2023 Food &amp; Agriculture Organization Conference</t>
        </is>
      </c>
      <c r="G2048" t="inlineStr">
        <is>
          <t>Assister à la conférence de l'Organisation des Nations unies pour l'alimentation et l'agriculture de 2023</t>
        </is>
      </c>
      <c r="H2048" s="1" t="n">
        <v>45102</v>
      </c>
      <c r="I2048" s="1" t="n">
        <v>45115</v>
      </c>
      <c r="J2048" t="inlineStr">
        <is>
          <t>Rome, Italy</t>
        </is>
      </c>
      <c r="K2048" t="inlineStr">
        <is>
          <t>Rome, Italie</t>
        </is>
      </c>
      <c r="P2048" t="n">
        <v>3676</v>
      </c>
      <c r="Q2048" t="n">
        <v>135.49</v>
      </c>
      <c r="R2048" t="n">
        <v>2400.66</v>
      </c>
      <c r="S2048" t="n">
        <v>961.16</v>
      </c>
      <c r="T2048" t="n">
        <v>0</v>
      </c>
      <c r="U2048" t="n">
        <v>7173.31</v>
      </c>
      <c r="X2048" t="inlineStr">
        <is>
          <t>aafc-aac</t>
        </is>
      </c>
      <c r="Y2048" t="inlineStr">
        <is>
          <t>Agriculture and Agri-Food Canada | Agriculture et Agroalimentaire Canada</t>
        </is>
      </c>
    </row>
    <row r="2049">
      <c r="A2049" t="inlineStr">
        <is>
          <t>T-2024-P5-0003</t>
        </is>
      </c>
      <c r="B2049" t="inlineStr">
        <is>
          <t>MPSES</t>
        </is>
      </c>
      <c r="C2049" t="inlineStr">
        <is>
          <t>Minister</t>
        </is>
      </c>
      <c r="D2049" t="inlineStr">
        <is>
          <t>Ministre</t>
        </is>
      </c>
      <c r="E2049" t="inlineStr">
        <is>
          <t>Marie-Claude Bibeau</t>
        </is>
      </c>
      <c r="F2049" t="inlineStr">
        <is>
          <t>Attend the Federal, Provincial &amp; Territorial Minister's Conference and meet with stakeholders</t>
        </is>
      </c>
      <c r="G2049" t="inlineStr">
        <is>
          <t>Participer à la conférence des ministres fédéraux, provinciaux et territoriaux et rencontrer les parties prenantes</t>
        </is>
      </c>
      <c r="H2049" s="1" t="n">
        <v>45124</v>
      </c>
      <c r="I2049" s="1" t="n">
        <v>45131</v>
      </c>
      <c r="J2049" t="inlineStr">
        <is>
          <t>Edmunston (New Brunswick) Canada
Fredericton  (New Brunswick) Canada
Moncton (New Brunswick) Canada
Deer Lake (Newfoundland) Canada
St.Johns (Newfoundland) Canada</t>
        </is>
      </c>
      <c r="K2049" t="inlineStr">
        <is>
          <t>Edmunston (New Brunswick) Canada
Frédéricton  (New Brunswick) Canada
Moncton (New Brunswick) Canada
Deer Lake (Newfoundland) Canada
St.Johns (Newfoundland) Canada</t>
        </is>
      </c>
      <c r="P2049" t="n">
        <v>1654.76</v>
      </c>
      <c r="Q2049" t="n">
        <v>0</v>
      </c>
      <c r="R2049" t="n">
        <v>1387.94</v>
      </c>
      <c r="S2049" t="n">
        <v>505.2</v>
      </c>
      <c r="T2049" t="n">
        <v>0</v>
      </c>
      <c r="U2049" t="n">
        <v>3547.9</v>
      </c>
      <c r="X2049" t="inlineStr">
        <is>
          <t>aafc-aac</t>
        </is>
      </c>
      <c r="Y2049" t="inlineStr">
        <is>
          <t>Agriculture and Agri-Food Canada | Agriculture et Agroalimentaire Canada</t>
        </is>
      </c>
    </row>
    <row r="2050">
      <c r="A2050" t="inlineStr">
        <is>
          <t>T-2024-P5-0004</t>
        </is>
      </c>
      <c r="B2050" t="inlineStr">
        <is>
          <t>MPSES</t>
        </is>
      </c>
      <c r="C2050" t="inlineStr">
        <is>
          <t>Director of Operations</t>
        </is>
      </c>
      <c r="D2050" t="inlineStr">
        <is>
          <t>Directeur des opérations</t>
        </is>
      </c>
      <c r="E2050" t="inlineStr">
        <is>
          <t>Abed Harb</t>
        </is>
      </c>
      <c r="F2050" t="inlineStr">
        <is>
          <t>To attend the G20 Minister's Conference</t>
        </is>
      </c>
      <c r="G2050" t="inlineStr">
        <is>
          <t>Participer à la conférence des ministres du G20</t>
        </is>
      </c>
      <c r="H2050" s="1" t="n">
        <v>45090</v>
      </c>
      <c r="I2050" s="1" t="n">
        <v>45110</v>
      </c>
      <c r="J2050" t="inlineStr">
        <is>
          <t>Dubai, United Arad Emirates
Beirut, Lebanon
Hyderabad, India</t>
        </is>
      </c>
      <c r="K2050" t="inlineStr">
        <is>
          <t>Dubaï, Émirats arabes unis
Beyrouth, Liban
Hyderabad, Inde</t>
        </is>
      </c>
      <c r="P2050" t="n">
        <v>4791.79</v>
      </c>
      <c r="Q2050" t="n">
        <v>0</v>
      </c>
      <c r="R2050" t="n">
        <v>1066.32</v>
      </c>
      <c r="S2050" t="n">
        <v>761.49</v>
      </c>
      <c r="T2050" t="n">
        <v>0</v>
      </c>
      <c r="U2050" t="n">
        <v>6619.6</v>
      </c>
      <c r="X2050" t="inlineStr">
        <is>
          <t>aafc-aac</t>
        </is>
      </c>
      <c r="Y2050" t="inlineStr">
        <is>
          <t>Agriculture and Agri-Food Canada | Agriculture et Agroalimentaire Canada</t>
        </is>
      </c>
    </row>
    <row r="2051">
      <c r="A2051" t="inlineStr">
        <is>
          <t>T-2024-P5-0005</t>
        </is>
      </c>
      <c r="B2051" t="inlineStr">
        <is>
          <t>MPSES</t>
        </is>
      </c>
      <c r="C2051" t="inlineStr">
        <is>
          <t>Director of Operations</t>
        </is>
      </c>
      <c r="D2051" t="inlineStr">
        <is>
          <t>Directeur des opérations</t>
        </is>
      </c>
      <c r="E2051" t="inlineStr">
        <is>
          <t>Abed Harb</t>
        </is>
      </c>
      <c r="F2051" t="inlineStr">
        <is>
          <t>To attend the Calgary Stampede with the Parliamentary Secretary</t>
        </is>
      </c>
      <c r="G2051" t="inlineStr">
        <is>
          <t>Assister au Stampede de Calgary avec le secrétaire parlementaire</t>
        </is>
      </c>
      <c r="H2051" s="1" t="n">
        <v>45118</v>
      </c>
      <c r="I2051" s="1" t="n">
        <v>45118</v>
      </c>
      <c r="J2051" t="inlineStr">
        <is>
          <t>Calgary (Alberta) Canada</t>
        </is>
      </c>
      <c r="K2051" t="inlineStr">
        <is>
          <t>Calgary (Alberta) Canada</t>
        </is>
      </c>
      <c r="P2051" t="n">
        <v>0</v>
      </c>
      <c r="Q2051" t="n">
        <v>66.26000000000001</v>
      </c>
      <c r="R2051" t="n">
        <v>0</v>
      </c>
      <c r="S2051" t="n">
        <v>0</v>
      </c>
      <c r="T2051" t="n">
        <v>0</v>
      </c>
      <c r="U2051" t="n">
        <v>66.26000000000001</v>
      </c>
      <c r="X2051" t="inlineStr">
        <is>
          <t>aafc-aac</t>
        </is>
      </c>
      <c r="Y2051" t="inlineStr">
        <is>
          <t>Agriculture and Agri-Food Canada | Agriculture et Agroalimentaire Canada</t>
        </is>
      </c>
    </row>
    <row r="2052">
      <c r="A2052" t="inlineStr">
        <is>
          <t>T-2024-P5-0006</t>
        </is>
      </c>
      <c r="B2052" t="inlineStr">
        <is>
          <t>MPSES</t>
        </is>
      </c>
      <c r="C2052" t="inlineStr">
        <is>
          <t>Director of Operations</t>
        </is>
      </c>
      <c r="D2052" t="inlineStr">
        <is>
          <t>Directeur des opérations</t>
        </is>
      </c>
      <c r="E2052" t="inlineStr">
        <is>
          <t>Abed Harb</t>
        </is>
      </c>
      <c r="F2052" t="inlineStr">
        <is>
          <t>To attend stakeholder meetings with the Minister</t>
        </is>
      </c>
      <c r="G2052" t="inlineStr">
        <is>
          <t>Participer aux réunions des parties prenantes avec le ministre</t>
        </is>
      </c>
      <c r="H2052" s="1" t="n">
        <v>45119</v>
      </c>
      <c r="I2052" s="1" t="n">
        <v>45122</v>
      </c>
      <c r="J2052" t="inlineStr">
        <is>
          <t>Sherbrooke (Quebec) Canada</t>
        </is>
      </c>
      <c r="K2052" t="inlineStr">
        <is>
          <t>Sherbrooke (Québec) Canada</t>
        </is>
      </c>
      <c r="P2052" t="n">
        <v>904.9</v>
      </c>
      <c r="Q2052" t="n">
        <v>102.01</v>
      </c>
      <c r="R2052" t="n">
        <v>261.78</v>
      </c>
      <c r="S2052" t="n">
        <v>0</v>
      </c>
      <c r="T2052" t="n">
        <v>0</v>
      </c>
      <c r="U2052" t="n">
        <v>1268.69</v>
      </c>
      <c r="X2052" t="inlineStr">
        <is>
          <t>aafc-aac</t>
        </is>
      </c>
      <c r="Y2052" t="inlineStr">
        <is>
          <t>Agriculture and Agri-Food Canada | Agriculture et Agroalimentaire Canada</t>
        </is>
      </c>
    </row>
    <row r="2053">
      <c r="A2053" t="inlineStr">
        <is>
          <t>T-2024-P5-0007</t>
        </is>
      </c>
      <c r="B2053" t="inlineStr">
        <is>
          <t>MPSES</t>
        </is>
      </c>
      <c r="C2053" t="inlineStr">
        <is>
          <t>Director of Operations</t>
        </is>
      </c>
      <c r="D2053" t="inlineStr">
        <is>
          <t>Directeur des opérations</t>
        </is>
      </c>
      <c r="E2053" t="inlineStr">
        <is>
          <t>Abed Harb</t>
        </is>
      </c>
      <c r="F2053" t="inlineStr">
        <is>
          <t>Assist the Minister for his Outreach to Calgary, Alberta</t>
        </is>
      </c>
      <c r="G2053" t="inlineStr">
        <is>
          <t>Assister le ministre dans sa tournée à Calgary (Alberta)</t>
        </is>
      </c>
      <c r="H2053" s="1" t="n">
        <v>45140</v>
      </c>
      <c r="I2053" s="1" t="n">
        <v>45140</v>
      </c>
      <c r="J2053" t="inlineStr">
        <is>
          <t>Calgary (Alberta) Canada</t>
        </is>
      </c>
      <c r="K2053" t="inlineStr">
        <is>
          <t>Calgary (Alberta) Canada</t>
        </is>
      </c>
      <c r="P2053" t="n">
        <v>0</v>
      </c>
      <c r="Q2053" t="n">
        <v>24.75</v>
      </c>
      <c r="R2053" t="n">
        <v>0</v>
      </c>
      <c r="S2053" t="n">
        <v>0</v>
      </c>
      <c r="T2053" t="n">
        <v>0</v>
      </c>
      <c r="U2053" t="n">
        <v>24.75</v>
      </c>
      <c r="X2053" t="inlineStr">
        <is>
          <t>aafc-aac</t>
        </is>
      </c>
      <c r="Y2053" t="inlineStr">
        <is>
          <t>Agriculture and Agri-Food Canada | Agriculture et Agroalimentaire Canada</t>
        </is>
      </c>
    </row>
    <row r="2054">
      <c r="A2054" t="inlineStr">
        <is>
          <t>T-2024-P5-0008</t>
        </is>
      </c>
      <c r="B2054" t="inlineStr">
        <is>
          <t>MPSES</t>
        </is>
      </c>
      <c r="C2054" t="inlineStr">
        <is>
          <t>Director of Operations</t>
        </is>
      </c>
      <c r="D2054" t="inlineStr">
        <is>
          <t>Directeur des opérations</t>
        </is>
      </c>
      <c r="E2054" t="inlineStr">
        <is>
          <t>Abed Harb</t>
        </is>
      </c>
      <c r="F2054" t="inlineStr">
        <is>
          <t xml:space="preserve">Accompany the Minister for a tour in Winnipeg &amp; Seattle </t>
        </is>
      </c>
      <c r="G2054" t="inlineStr">
        <is>
          <t xml:space="preserve">Accompagner le ministre lors d'une visite à Winnipeg et à Seattle </t>
        </is>
      </c>
      <c r="H2054" s="1" t="n">
        <v>45137</v>
      </c>
      <c r="I2054" s="1" t="n">
        <v>45141</v>
      </c>
      <c r="J2054" t="inlineStr">
        <is>
          <t>Winnipeg (Manitoba) Canada
Seattle (Washington) United States</t>
        </is>
      </c>
      <c r="K2054" t="inlineStr">
        <is>
          <t>Winnipeg (Manitoba) Canada
Seattle (Washington) États-Unis</t>
        </is>
      </c>
      <c r="P2054" t="n">
        <v>1891.88</v>
      </c>
      <c r="Q2054" t="n">
        <v>0</v>
      </c>
      <c r="R2054" t="n">
        <v>695.24</v>
      </c>
      <c r="S2054" t="n">
        <v>0</v>
      </c>
      <c r="T2054" t="n">
        <v>0</v>
      </c>
      <c r="U2054" t="n">
        <v>2587.12</v>
      </c>
      <c r="X2054" t="inlineStr">
        <is>
          <t>aafc-aac</t>
        </is>
      </c>
      <c r="Y2054" t="inlineStr">
        <is>
          <t>Agriculture and Agri-Food Canada | Agriculture et Agroalimentaire Canada</t>
        </is>
      </c>
    </row>
    <row r="2055">
      <c r="A2055" t="inlineStr">
        <is>
          <t>T-2024-P5-0009</t>
        </is>
      </c>
      <c r="B2055" t="inlineStr">
        <is>
          <t>MPSES</t>
        </is>
      </c>
      <c r="C2055" t="inlineStr">
        <is>
          <t>Director of Operations</t>
        </is>
      </c>
      <c r="D2055" t="inlineStr">
        <is>
          <t>Directeur des opérations</t>
        </is>
      </c>
      <c r="E2055" t="inlineStr">
        <is>
          <t>Abed Harb</t>
        </is>
      </c>
      <c r="F2055" t="inlineStr">
        <is>
          <t>To assist the Minister for his outreach and attend the Tri-National accord</t>
        </is>
      </c>
      <c r="G2055" t="inlineStr">
        <is>
          <t>Assister le ministre dans ses activités de sensibilisation et participer à l'accord tri-national.</t>
        </is>
      </c>
      <c r="H2055" s="1" t="n">
        <v>45152</v>
      </c>
      <c r="I2055" s="1" t="n">
        <v>45153</v>
      </c>
      <c r="J2055" t="inlineStr">
        <is>
          <t>Saskatoon (Saskachewan) Canada</t>
        </is>
      </c>
      <c r="K2055" t="inlineStr">
        <is>
          <t>Saskatoon (Saskachewan) Canada</t>
        </is>
      </c>
      <c r="P2055" t="n">
        <v>970.75</v>
      </c>
      <c r="Q2055" t="n">
        <v>59.58</v>
      </c>
      <c r="R2055" t="n">
        <v>213.8</v>
      </c>
      <c r="S2055" t="n">
        <v>164.7</v>
      </c>
      <c r="T2055" t="n">
        <v>0</v>
      </c>
      <c r="U2055" t="n">
        <v>1408.83</v>
      </c>
      <c r="X2055" t="inlineStr">
        <is>
          <t>aafc-aac</t>
        </is>
      </c>
      <c r="Y2055" t="inlineStr">
        <is>
          <t>Agriculture and Agri-Food Canada | Agriculture et Agroalimentaire Canada</t>
        </is>
      </c>
    </row>
    <row r="2056">
      <c r="A2056" t="inlineStr">
        <is>
          <t>T-2024-P5-0010</t>
        </is>
      </c>
      <c r="B2056" t="inlineStr">
        <is>
          <t>MPSES</t>
        </is>
      </c>
      <c r="C2056" t="inlineStr">
        <is>
          <t>Director of Communications</t>
        </is>
      </c>
      <c r="D2056" t="inlineStr">
        <is>
          <t>Directrice des communications</t>
        </is>
      </c>
      <c r="E2056" t="inlineStr">
        <is>
          <t>Marianne Dandurand</t>
        </is>
      </c>
      <c r="F2056" t="inlineStr">
        <is>
          <t>Attend the 2023 Food &amp; Agriculture Organization Conference</t>
        </is>
      </c>
      <c r="G2056" t="inlineStr">
        <is>
          <t>Assister à la conférence de l'Organisation des Nations unies pour l'alimentation et l'agriculture de 2023</t>
        </is>
      </c>
      <c r="H2056" s="1" t="n">
        <v>45099</v>
      </c>
      <c r="I2056" s="1" t="n">
        <v>45115</v>
      </c>
      <c r="J2056" t="inlineStr">
        <is>
          <t>Rome, Italy
Bari, Italy</t>
        </is>
      </c>
      <c r="K2056" t="inlineStr">
        <is>
          <t>Rome, Italie
Bari, Italie</t>
        </is>
      </c>
      <c r="P2056" t="n">
        <v>2215.5</v>
      </c>
      <c r="Q2056" t="n">
        <v>272.43</v>
      </c>
      <c r="R2056" t="n">
        <v>2298.53</v>
      </c>
      <c r="S2056" t="n">
        <v>1055.96</v>
      </c>
      <c r="T2056" t="n">
        <v>0</v>
      </c>
      <c r="U2056" t="n">
        <v>5842.42</v>
      </c>
      <c r="X2056" t="inlineStr">
        <is>
          <t>aafc-aac</t>
        </is>
      </c>
      <c r="Y2056" t="inlineStr">
        <is>
          <t>Agriculture and Agri-Food Canada | Agriculture et Agroalimentaire Canada</t>
        </is>
      </c>
    </row>
    <row r="2057">
      <c r="A2057" t="inlineStr">
        <is>
          <t>T-2024-P5-0011</t>
        </is>
      </c>
      <c r="B2057" t="inlineStr">
        <is>
          <t>MPSES</t>
        </is>
      </c>
      <c r="C2057" t="inlineStr">
        <is>
          <t>Director of Communications</t>
        </is>
      </c>
      <c r="D2057" t="inlineStr">
        <is>
          <t>Directrice des communications</t>
        </is>
      </c>
      <c r="E2057" t="inlineStr">
        <is>
          <t>Marianne Dandurand</t>
        </is>
      </c>
      <c r="F2057" t="inlineStr">
        <is>
          <t>Attend the Federal, Provincial &amp; Territorial Minister's Conference and meet with stakeholders</t>
        </is>
      </c>
      <c r="G2057" t="inlineStr">
        <is>
          <t>Participer à la conférence des ministres fédéraux, provinciaux et territoriaux et rencontrer les parties prenantes</t>
        </is>
      </c>
      <c r="H2057" s="1" t="n">
        <v>45124</v>
      </c>
      <c r="I2057" s="1" t="n">
        <v>45131</v>
      </c>
      <c r="J2057" t="inlineStr">
        <is>
          <t>Edmunston (New Brunswick) Canada
Fredericton  (New Brunswick) Canada
Moncton (New Brunswick) Canada
Deer Lake (Newfoundland) Canada
St.Johns (Newfoundland) Canada</t>
        </is>
      </c>
      <c r="K2057" t="inlineStr">
        <is>
          <t>Edmunston (New Brunswick) Canada
Frédéricton  (New Brunswick) Canada
Moncton (New Brunswick) Canada
Deer Lake (Newfoundland) Canada
St.Johns (Newfoundland) Canada</t>
        </is>
      </c>
      <c r="P2057" t="n">
        <v>1419.16</v>
      </c>
      <c r="Q2057" t="n">
        <v>172.87</v>
      </c>
      <c r="R2057" t="n">
        <v>1629.62</v>
      </c>
      <c r="S2057" t="n">
        <v>717.4</v>
      </c>
      <c r="T2057" t="n">
        <v>0</v>
      </c>
      <c r="U2057" t="n">
        <v>3939.05</v>
      </c>
      <c r="X2057" t="inlineStr">
        <is>
          <t>aafc-aac</t>
        </is>
      </c>
      <c r="Y2057" t="inlineStr">
        <is>
          <t>Agriculture and Agri-Food Canada | Agriculture et Agroalimentaire Canada</t>
        </is>
      </c>
    </row>
    <row r="2058">
      <c r="A2058" t="inlineStr">
        <is>
          <t>T-2024-P5-0012</t>
        </is>
      </c>
      <c r="B2058" t="inlineStr">
        <is>
          <t>MPSES</t>
        </is>
      </c>
      <c r="C2058" t="inlineStr">
        <is>
          <t>Chief of Staff</t>
        </is>
      </c>
      <c r="D2058" t="inlineStr">
        <is>
          <t>Chef de cabinet</t>
        </is>
      </c>
      <c r="E2058" t="inlineStr">
        <is>
          <t>Jérémy Gauthier</t>
        </is>
      </c>
      <c r="F2058" t="inlineStr">
        <is>
          <t>Attend briefings and stakeholder meetings with the Minister</t>
        </is>
      </c>
      <c r="G2058" t="inlineStr">
        <is>
          <t>Participer aux réunions d'information et aux réunions des parties prenantes avec la ministre</t>
        </is>
      </c>
      <c r="H2058" s="1" t="n">
        <v>45121</v>
      </c>
      <c r="I2058" s="1" t="n">
        <v>45121</v>
      </c>
      <c r="J2058" t="inlineStr">
        <is>
          <t>Sherbrooke (Quebec) Canada</t>
        </is>
      </c>
      <c r="K2058" t="inlineStr">
        <is>
          <t>Sherbrooke (Québec) Canada</t>
        </is>
      </c>
      <c r="P2058" t="n">
        <v>0</v>
      </c>
      <c r="Q2058" t="n">
        <v>85.51000000000001</v>
      </c>
      <c r="R2058" t="n">
        <v>0</v>
      </c>
      <c r="S2058" t="n">
        <v>0</v>
      </c>
      <c r="T2058" t="n">
        <v>0</v>
      </c>
      <c r="U2058" t="n">
        <v>85.51000000000001</v>
      </c>
      <c r="X2058" t="inlineStr">
        <is>
          <t>aafc-aac</t>
        </is>
      </c>
      <c r="Y2058" t="inlineStr">
        <is>
          <t>Agriculture and Agri-Food Canada | Agriculture et Agroalimentaire Canada</t>
        </is>
      </c>
    </row>
    <row r="2059">
      <c r="A2059" t="inlineStr">
        <is>
          <t>T-2024-P5-0013</t>
        </is>
      </c>
      <c r="B2059" t="inlineStr">
        <is>
          <t>MPSES</t>
        </is>
      </c>
      <c r="C2059" t="inlineStr">
        <is>
          <t>Chief of Staff</t>
        </is>
      </c>
      <c r="D2059" t="inlineStr">
        <is>
          <t>Chef de cabinet</t>
        </is>
      </c>
      <c r="E2059" t="inlineStr">
        <is>
          <t>Jérémy Gauthier</t>
        </is>
      </c>
      <c r="F2059" t="inlineStr">
        <is>
          <t>Attend the Federal, Provincial &amp; Territorial Minister's Conference and meet with stakeholders</t>
        </is>
      </c>
      <c r="G2059" t="inlineStr">
        <is>
          <t>Participer à la conférence des ministres fédéraux, provinciaux et territoriaux et rencontrer les parties prenantes</t>
        </is>
      </c>
      <c r="H2059" s="1" t="n">
        <v>45125</v>
      </c>
      <c r="I2059" s="1" t="n">
        <v>45128</v>
      </c>
      <c r="J2059" t="inlineStr">
        <is>
          <t>Fredericton  (New Brunswick) Canada</t>
        </is>
      </c>
      <c r="K2059" t="inlineStr">
        <is>
          <t xml:space="preserve">
Frédéricton  (New Brunswick) Canada</t>
        </is>
      </c>
      <c r="P2059" t="n">
        <v>702.51</v>
      </c>
      <c r="Q2059" t="n">
        <v>144.47</v>
      </c>
      <c r="R2059" t="n">
        <v>567.75</v>
      </c>
      <c r="S2059" t="n">
        <v>141.1</v>
      </c>
      <c r="T2059" t="n">
        <v>0</v>
      </c>
      <c r="U2059" t="n">
        <v>1555.83</v>
      </c>
      <c r="X2059" t="inlineStr">
        <is>
          <t>aafc-aac</t>
        </is>
      </c>
      <c r="Y2059" t="inlineStr">
        <is>
          <t>Agriculture and Agri-Food Canada | Agriculture et Agroalimentaire Canada</t>
        </is>
      </c>
    </row>
    <row r="2060">
      <c r="A2060" t="inlineStr">
        <is>
          <t>T-2024-P5-0014</t>
        </is>
      </c>
      <c r="B2060" t="inlineStr">
        <is>
          <t>MPSES</t>
        </is>
      </c>
      <c r="C2060" t="inlineStr">
        <is>
          <t>Chief of Staff</t>
        </is>
      </c>
      <c r="D2060" t="inlineStr">
        <is>
          <t>Chef de cabinet</t>
        </is>
      </c>
      <c r="E2060" t="inlineStr">
        <is>
          <t>Matthew Mann</t>
        </is>
      </c>
      <c r="F2060" t="inlineStr">
        <is>
          <t>Attend meetings with stakeholder with the Minister</t>
        </is>
      </c>
      <c r="G2060" t="inlineStr">
        <is>
          <t>Participer à des réunions avec les parties prenantes et le ministre</t>
        </is>
      </c>
      <c r="H2060" s="1" t="n">
        <v>45139</v>
      </c>
      <c r="I2060" s="1" t="n">
        <v>45141</v>
      </c>
      <c r="J2060" t="inlineStr">
        <is>
          <t>Calgary (Alberta) Canada</t>
        </is>
      </c>
      <c r="K2060" t="inlineStr">
        <is>
          <t>Calgary (Alberta) Canada</t>
        </is>
      </c>
      <c r="P2060" t="n">
        <v>2341.15</v>
      </c>
      <c r="Q2060" t="n">
        <v>55.65</v>
      </c>
      <c r="R2060" t="n">
        <v>389.91</v>
      </c>
      <c r="S2060" t="n">
        <v>188.3</v>
      </c>
      <c r="T2060" t="n">
        <v>0</v>
      </c>
      <c r="U2060" t="n">
        <v>2975.01</v>
      </c>
      <c r="X2060" t="inlineStr">
        <is>
          <t>aafc-aac</t>
        </is>
      </c>
      <c r="Y2060" t="inlineStr">
        <is>
          <t>Agriculture and Agri-Food Canada | Agriculture et Agroalimentaire Canada</t>
        </is>
      </c>
    </row>
    <row r="2061">
      <c r="A2061" t="inlineStr">
        <is>
          <t>T-2024-P5-0015</t>
        </is>
      </c>
      <c r="B2061" t="inlineStr">
        <is>
          <t>MPSES</t>
        </is>
      </c>
      <c r="C2061" t="inlineStr">
        <is>
          <t>Chief of Staff</t>
        </is>
      </c>
      <c r="D2061" t="inlineStr">
        <is>
          <t>Chef de cabinet</t>
        </is>
      </c>
      <c r="E2061" t="inlineStr">
        <is>
          <t>Matthew Mann</t>
        </is>
      </c>
      <c r="F2061" t="inlineStr">
        <is>
          <t>To accompany the Minister on a Western Outreach</t>
        </is>
      </c>
      <c r="G2061" t="inlineStr">
        <is>
          <t>Accompagner le ministre lors d'une tournée dans l'Ouest</t>
        </is>
      </c>
      <c r="H2061" s="1" t="n">
        <v>45152</v>
      </c>
      <c r="I2061" s="1" t="n">
        <v>45155</v>
      </c>
      <c r="J2061" t="inlineStr">
        <is>
          <t>Saskatoon (Saskatchewan) Canada
Calgary (Alberta) Canada</t>
        </is>
      </c>
      <c r="K2061" t="inlineStr">
        <is>
          <t>Saskatoon (Saskatchewan) Canada
Calgary (Alberta) Canada</t>
        </is>
      </c>
      <c r="P2061" t="n">
        <v>1437.71</v>
      </c>
      <c r="Q2061" t="n">
        <v>77.29000000000001</v>
      </c>
      <c r="R2061" t="n">
        <v>580.3099999999999</v>
      </c>
      <c r="S2061" t="n">
        <v>295.4</v>
      </c>
      <c r="T2061" t="n">
        <v>0</v>
      </c>
      <c r="U2061" t="n">
        <v>2390.71</v>
      </c>
      <c r="X2061" t="inlineStr">
        <is>
          <t>aafc-aac</t>
        </is>
      </c>
      <c r="Y2061" t="inlineStr">
        <is>
          <t>Agriculture and Agri-Food Canada | Agriculture et Agroalimentaire Canada</t>
        </is>
      </c>
    </row>
    <row r="2062">
      <c r="A2062" t="inlineStr">
        <is>
          <t>T-2024-P5-0016</t>
        </is>
      </c>
      <c r="B2062" t="inlineStr">
        <is>
          <t>MPSES</t>
        </is>
      </c>
      <c r="C2062" t="inlineStr">
        <is>
          <t>Driver</t>
        </is>
      </c>
      <c r="D2062" t="inlineStr">
        <is>
          <t>Chauffeur</t>
        </is>
      </c>
      <c r="E2062" t="inlineStr">
        <is>
          <t>Gaston Laurin</t>
        </is>
      </c>
      <c r="F2062" t="inlineStr">
        <is>
          <t>To pick the Minister up from home and bring her to the airport.</t>
        </is>
      </c>
      <c r="G2062" t="inlineStr">
        <is>
          <t>Aller chercher la ministre à son domicile et l'emmener à l'aéroport.</t>
        </is>
      </c>
      <c r="H2062" s="1" t="n">
        <v>45102</v>
      </c>
      <c r="I2062" s="1" t="n">
        <v>45102</v>
      </c>
      <c r="J2062" t="inlineStr">
        <is>
          <t>Sherbrooke (Quebec) Canad</t>
        </is>
      </c>
      <c r="K2062" t="inlineStr">
        <is>
          <t>Sherbrooke (Québec) Canada</t>
        </is>
      </c>
      <c r="P2062" t="n">
        <v>0</v>
      </c>
      <c r="Q2062" t="n">
        <v>0</v>
      </c>
      <c r="R2062" t="n">
        <v>0</v>
      </c>
      <c r="S2062" t="n">
        <v>47.5</v>
      </c>
      <c r="T2062" t="n">
        <v>0</v>
      </c>
      <c r="U2062" t="n">
        <v>47.5</v>
      </c>
      <c r="X2062" t="inlineStr">
        <is>
          <t>aafc-aac</t>
        </is>
      </c>
      <c r="Y2062" t="inlineStr">
        <is>
          <t>Agriculture and Agri-Food Canada | Agriculture et Agroalimentaire Canada</t>
        </is>
      </c>
    </row>
    <row r="2063">
      <c r="A2063" t="inlineStr">
        <is>
          <t>T-2024-P5-0017</t>
        </is>
      </c>
      <c r="B2063" t="inlineStr">
        <is>
          <t>MPSES</t>
        </is>
      </c>
      <c r="C2063" t="inlineStr">
        <is>
          <t>Driver</t>
        </is>
      </c>
      <c r="D2063" t="inlineStr">
        <is>
          <t>Chauffeur</t>
        </is>
      </c>
      <c r="E2063" t="inlineStr">
        <is>
          <t>Gaston Laurin</t>
        </is>
      </c>
      <c r="F2063" t="inlineStr">
        <is>
          <t>To pick the Minister up from the airport.</t>
        </is>
      </c>
      <c r="G2063" t="inlineStr">
        <is>
          <t>Pour aller chercher le ministre à l'aéroport.</t>
        </is>
      </c>
      <c r="H2063" s="1" t="n">
        <v>45115</v>
      </c>
      <c r="I2063" s="1" t="n">
        <v>45115</v>
      </c>
      <c r="J2063" t="inlineStr">
        <is>
          <t>Sherbrooke (Quebec) Canad</t>
        </is>
      </c>
      <c r="K2063" t="inlineStr">
        <is>
          <t>Sherbrooke (Québec) Canada</t>
        </is>
      </c>
      <c r="P2063" t="n">
        <v>0</v>
      </c>
      <c r="Q2063" t="n">
        <v>0</v>
      </c>
      <c r="R2063" t="n">
        <v>0</v>
      </c>
      <c r="S2063" t="n">
        <v>58.6</v>
      </c>
      <c r="T2063" t="n">
        <v>0</v>
      </c>
      <c r="U2063" t="n">
        <v>58.6</v>
      </c>
      <c r="X2063" t="inlineStr">
        <is>
          <t>aafc-aac</t>
        </is>
      </c>
      <c r="Y2063" t="inlineStr">
        <is>
          <t>Agriculture and Agri-Food Canada | Agriculture et Agroalimentaire Canada</t>
        </is>
      </c>
    </row>
    <row r="2064">
      <c r="A2064" t="inlineStr">
        <is>
          <t>T-2024-P5-0018</t>
        </is>
      </c>
      <c r="B2064" t="inlineStr">
        <is>
          <t>MPSES</t>
        </is>
      </c>
      <c r="C2064" t="inlineStr">
        <is>
          <t>Driver</t>
        </is>
      </c>
      <c r="D2064" t="inlineStr">
        <is>
          <t>Chauffeur</t>
        </is>
      </c>
      <c r="E2064" t="inlineStr">
        <is>
          <t>Gaston Laurin</t>
        </is>
      </c>
      <c r="F2064" t="inlineStr">
        <is>
          <t>To pick the Minister up from the airport.</t>
        </is>
      </c>
      <c r="G2064" t="inlineStr">
        <is>
          <t>Pour aller chercher le ministre à l'aéroport.</t>
        </is>
      </c>
      <c r="H2064" s="1" t="n">
        <v>45130</v>
      </c>
      <c r="I2064" s="1" t="n">
        <v>45131</v>
      </c>
      <c r="J2064" t="inlineStr">
        <is>
          <t>Sherbrooke (Quebec) Canad</t>
        </is>
      </c>
      <c r="K2064" t="inlineStr">
        <is>
          <t>Sherbrooke (Québec) Canada</t>
        </is>
      </c>
      <c r="P2064" t="n">
        <v>0</v>
      </c>
      <c r="Q2064" t="n">
        <v>24</v>
      </c>
      <c r="R2064" t="n">
        <v>202.16</v>
      </c>
      <c r="S2064" t="n">
        <v>106.1</v>
      </c>
      <c r="T2064" t="n">
        <v>0</v>
      </c>
      <c r="U2064" t="n">
        <v>332.26</v>
      </c>
      <c r="X2064" t="inlineStr">
        <is>
          <t>aafc-aac</t>
        </is>
      </c>
      <c r="Y2064" t="inlineStr">
        <is>
          <t>Agriculture and Agri-Food Canada | Agriculture et Agroalimentaire Canada</t>
        </is>
      </c>
    </row>
    <row r="2065">
      <c r="A2065" t="inlineStr">
        <is>
          <t>T-2024-P5-0019</t>
        </is>
      </c>
      <c r="B2065" t="inlineStr">
        <is>
          <t>MPSES</t>
        </is>
      </c>
      <c r="C2065" t="inlineStr">
        <is>
          <t>Driver</t>
        </is>
      </c>
      <c r="D2065" t="inlineStr">
        <is>
          <t>Chauffeur</t>
        </is>
      </c>
      <c r="E2065" t="inlineStr">
        <is>
          <t>Gaston Laurin</t>
        </is>
      </c>
      <c r="F2065" t="inlineStr">
        <is>
          <t>To pick the Minister up from home and driver her to Edmunston for the Atlantic Tour</t>
        </is>
      </c>
      <c r="G2065" t="inlineStr">
        <is>
          <t>Aller chercher la ministre à son domicile et la conduire à Edmunston pour la tournée de l'Atlantique.</t>
        </is>
      </c>
      <c r="H2065" s="1" t="n">
        <v>45124</v>
      </c>
      <c r="I2065" s="1" t="n">
        <v>45126</v>
      </c>
      <c r="J2065" t="inlineStr">
        <is>
          <t>Sherbrooke (Quebec) Canada
Edmunston (New Brunswick) Canada</t>
        </is>
      </c>
      <c r="K2065" t="inlineStr">
        <is>
          <t>Sherbrooke (Québec) Canada
Edmunston (Nouveau-Brunswick) Canada</t>
        </is>
      </c>
      <c r="P2065" t="n">
        <v>0</v>
      </c>
      <c r="Q2065" t="n">
        <v>3.5</v>
      </c>
      <c r="R2065" t="n">
        <v>407.75</v>
      </c>
      <c r="S2065" t="n">
        <v>212.2</v>
      </c>
      <c r="T2065" t="n">
        <v>0</v>
      </c>
      <c r="U2065" t="n">
        <v>623.45</v>
      </c>
      <c r="X2065" t="inlineStr">
        <is>
          <t>aafc-aac</t>
        </is>
      </c>
      <c r="Y2065" t="inlineStr">
        <is>
          <t>Agriculture and Agri-Food Canada | Agriculture et Agroalimentaire Canada</t>
        </is>
      </c>
    </row>
    <row r="2066">
      <c r="A2066" t="inlineStr">
        <is>
          <t>T-2024-P5-0020</t>
        </is>
      </c>
      <c r="B2066" t="inlineStr">
        <is>
          <t>MPSES</t>
        </is>
      </c>
      <c r="C2066" t="inlineStr">
        <is>
          <t>Driver</t>
        </is>
      </c>
      <c r="D2066" t="inlineStr">
        <is>
          <t>Chauffeur</t>
        </is>
      </c>
      <c r="E2066" t="inlineStr">
        <is>
          <t>Gaston Laurin</t>
        </is>
      </c>
      <c r="F2066" t="inlineStr">
        <is>
          <t>To bring the Minister home after the work week.</t>
        </is>
      </c>
      <c r="G2066" t="inlineStr">
        <is>
          <t>Ramener le ministre à la maison après la semaine de travail.</t>
        </is>
      </c>
      <c r="H2066" s="1" t="n">
        <v>45099</v>
      </c>
      <c r="I2066" s="1" t="n">
        <v>45099</v>
      </c>
      <c r="J2066" t="inlineStr">
        <is>
          <t>Sherbrooke (Quebec) Canada</t>
        </is>
      </c>
      <c r="K2066" t="inlineStr">
        <is>
          <t>Sherbrooke (Québec) Canada</t>
        </is>
      </c>
      <c r="P2066" t="n">
        <v>0</v>
      </c>
      <c r="Q2066" t="n">
        <v>0</v>
      </c>
      <c r="R2066" t="n">
        <v>0</v>
      </c>
      <c r="S2066" t="n">
        <v>58.6</v>
      </c>
      <c r="T2066" t="n">
        <v>0</v>
      </c>
      <c r="U2066" t="n">
        <v>58.6</v>
      </c>
      <c r="X2066" t="inlineStr">
        <is>
          <t>aafc-aac</t>
        </is>
      </c>
      <c r="Y2066" t="inlineStr">
        <is>
          <t>Agriculture and Agri-Food Canada | Agriculture et Agroalimentaire Canada</t>
        </is>
      </c>
    </row>
    <row r="2067">
      <c r="A2067" t="inlineStr">
        <is>
          <t>T-2024-P5-0021</t>
        </is>
      </c>
      <c r="B2067" t="inlineStr">
        <is>
          <t>MPSES</t>
        </is>
      </c>
      <c r="C2067" t="inlineStr">
        <is>
          <t>Driver</t>
        </is>
      </c>
      <c r="D2067" t="inlineStr">
        <is>
          <t>Chauffeur</t>
        </is>
      </c>
      <c r="E2067" t="inlineStr">
        <is>
          <t>Gaston Laurin</t>
        </is>
      </c>
      <c r="F2067" t="inlineStr">
        <is>
          <t>To bring the Chief of staff to go to Sherbrooke for meetings with the Minister</t>
        </is>
      </c>
      <c r="G2067" t="inlineStr">
        <is>
          <t>Porter le chef de cabinet pour se rendre à Sherbrooke pour des réunions avec la ministre</t>
        </is>
      </c>
      <c r="H2067" s="1" t="n">
        <v>45119</v>
      </c>
      <c r="I2067" s="1" t="n">
        <v>45121</v>
      </c>
      <c r="J2067" t="inlineStr">
        <is>
          <t>Sherbrooke (Quebec) Canada</t>
        </is>
      </c>
      <c r="K2067" t="inlineStr">
        <is>
          <t>Sherbrooke (Québec) Canada</t>
        </is>
      </c>
      <c r="P2067" t="n">
        <v>0</v>
      </c>
      <c r="Q2067" t="n">
        <v>7</v>
      </c>
      <c r="R2067" t="n">
        <v>0</v>
      </c>
      <c r="S2067" t="n">
        <v>0</v>
      </c>
      <c r="T2067" t="n">
        <v>0</v>
      </c>
      <c r="U2067" t="n">
        <v>7</v>
      </c>
      <c r="X2067" t="inlineStr">
        <is>
          <t>aafc-aac</t>
        </is>
      </c>
      <c r="Y2067" t="inlineStr">
        <is>
          <t>Agriculture and Agri-Food Canada | Agriculture et Agroalimentaire Canada</t>
        </is>
      </c>
    </row>
    <row r="2068">
      <c r="A2068" t="inlineStr">
        <is>
          <t>T-2024-P5-0022</t>
        </is>
      </c>
      <c r="B2068" t="inlineStr">
        <is>
          <t>MPSES</t>
        </is>
      </c>
      <c r="C2068" t="inlineStr">
        <is>
          <t>Special Assistant</t>
        </is>
      </c>
      <c r="D2068" t="inlineStr">
        <is>
          <t>Adjointe spéciale</t>
        </is>
      </c>
      <c r="E2068" t="inlineStr">
        <is>
          <t>Arianna Myers</t>
        </is>
      </c>
      <c r="F2068" t="inlineStr">
        <is>
          <t>Attend Atlantic Tour with the Minister</t>
        </is>
      </c>
      <c r="G2068" t="inlineStr">
        <is>
          <t>Assister à la visite de l'Atlantique avec la ministre</t>
        </is>
      </c>
      <c r="H2068" s="1" t="n">
        <v>45124</v>
      </c>
      <c r="I2068" s="1" t="n">
        <v>45133</v>
      </c>
      <c r="J2068" t="inlineStr">
        <is>
          <t>Edmunston (New Brunswick) Canada
Moncton (New Brunswick) Canada
Deer Lake (Newfoundland) Canada
St.Johns (Newfoundland) Canada
Montréal (Quebec) Canada</t>
        </is>
      </c>
      <c r="K2068" t="inlineStr">
        <is>
          <t>Edmunston (New Brunswick) Canada
Moncton (New Brunswick) Canada
Deer Lake (Newfoundland) Canada
St.Johns (Newfoundland) Canada
Montréal (Québec) Canada</t>
        </is>
      </c>
      <c r="P2068" t="n">
        <v>1419.16</v>
      </c>
      <c r="Q2068" t="n">
        <v>299.28</v>
      </c>
      <c r="R2068" t="n">
        <v>1084.87</v>
      </c>
      <c r="S2068" t="n">
        <v>483</v>
      </c>
      <c r="T2068" t="n">
        <v>0</v>
      </c>
      <c r="U2068" t="n">
        <v>3286.31</v>
      </c>
      <c r="X2068" t="inlineStr">
        <is>
          <t>aafc-aac</t>
        </is>
      </c>
      <c r="Y2068" t="inlineStr">
        <is>
          <t>Agriculture and Agri-Food Canada | Agriculture et Agroalimentaire Canada</t>
        </is>
      </c>
    </row>
    <row r="2069">
      <c r="A2069" t="inlineStr">
        <is>
          <t>T-2024-P5-0023</t>
        </is>
      </c>
      <c r="B2069" t="inlineStr">
        <is>
          <t>MPSES</t>
        </is>
      </c>
      <c r="C2069" t="inlineStr">
        <is>
          <t>Parliamentary Secretary</t>
        </is>
      </c>
      <c r="D2069" t="inlineStr">
        <is>
          <t>Secrétaire parlementaire</t>
        </is>
      </c>
      <c r="E2069" t="inlineStr">
        <is>
          <t>Francis Drouin</t>
        </is>
      </c>
      <c r="F2069" t="inlineStr">
        <is>
          <t>To attend the Calgary Stampede and meetings</t>
        </is>
      </c>
      <c r="G2069" t="inlineStr">
        <is>
          <t>Assister au Stampede de Calgary et à des réunions</t>
        </is>
      </c>
      <c r="H2069" s="1" t="n">
        <v>45117</v>
      </c>
      <c r="I2069" s="1" t="n">
        <v>45120</v>
      </c>
      <c r="J2069" t="inlineStr">
        <is>
          <t>Calgary (Alberta) Canada</t>
        </is>
      </c>
      <c r="K2069" t="inlineStr">
        <is>
          <t>Calgary (Alberta) Canada</t>
        </is>
      </c>
      <c r="P2069" t="n">
        <v>1480.14</v>
      </c>
      <c r="Q2069" t="n">
        <v>70.78</v>
      </c>
      <c r="R2069" t="n">
        <v>551.5599999999999</v>
      </c>
      <c r="S2069" t="n">
        <v>0</v>
      </c>
      <c r="T2069" t="n">
        <v>0</v>
      </c>
      <c r="U2069" t="n">
        <v>2102.48</v>
      </c>
      <c r="X2069" t="inlineStr">
        <is>
          <t>aafc-aac</t>
        </is>
      </c>
      <c r="Y2069" t="inlineStr">
        <is>
          <t>Agriculture and Agri-Food Canada | Agriculture et Agroalimentaire Canada</t>
        </is>
      </c>
    </row>
    <row r="2070">
      <c r="A2070" t="inlineStr">
        <is>
          <t>T-2024-P5-0024</t>
        </is>
      </c>
      <c r="B2070" t="inlineStr">
        <is>
          <t>MPSES</t>
        </is>
      </c>
      <c r="C2070" t="inlineStr">
        <is>
          <t>Parliamentary Secretary</t>
        </is>
      </c>
      <c r="D2070" t="inlineStr">
        <is>
          <t>Secrétaire parlementaire</t>
        </is>
      </c>
      <c r="E2070" t="inlineStr">
        <is>
          <t>Francis Drouin</t>
        </is>
      </c>
      <c r="F2070" t="inlineStr">
        <is>
          <t>To attend the Chicken Farmers of Canada event as guest speaker.</t>
        </is>
      </c>
      <c r="G2070" t="inlineStr">
        <is>
          <t>Participer à l'événement des Producteurs de poulet du Canada en tant qu'orateur invité.</t>
        </is>
      </c>
      <c r="H2070" s="1" t="n">
        <v>45154</v>
      </c>
      <c r="I2070" s="1" t="n">
        <v>45155</v>
      </c>
      <c r="J2070" t="inlineStr">
        <is>
          <t>Montréal (Quebec) Canada</t>
        </is>
      </c>
      <c r="K2070" t="inlineStr">
        <is>
          <t>Montréal (Québec) Canada</t>
        </is>
      </c>
      <c r="P2070" t="n">
        <v>0</v>
      </c>
      <c r="Q2070" t="n">
        <v>238.6</v>
      </c>
      <c r="R2070" t="n">
        <v>197.54</v>
      </c>
      <c r="S2070" t="n">
        <v>0</v>
      </c>
      <c r="T2070" t="n">
        <v>0</v>
      </c>
      <c r="U2070" t="n">
        <v>436.14</v>
      </c>
      <c r="X2070" t="inlineStr">
        <is>
          <t>aafc-aac</t>
        </is>
      </c>
      <c r="Y2070" t="inlineStr">
        <is>
          <t>Agriculture and Agri-Food Canada | Agriculture et Agroalimentaire Canada</t>
        </is>
      </c>
    </row>
    <row r="2071">
      <c r="A2071" t="inlineStr">
        <is>
          <t>T-2024-P5-0025</t>
        </is>
      </c>
      <c r="B2071" t="inlineStr">
        <is>
          <t>SLE</t>
        </is>
      </c>
      <c r="C2071" t="inlineStr">
        <is>
          <t>Deputy Minister</t>
        </is>
      </c>
      <c r="D2071" t="inlineStr">
        <is>
          <t>Sous-ministre</t>
        </is>
      </c>
      <c r="E2071" t="inlineStr">
        <is>
          <t>Stefanie Beck</t>
        </is>
      </c>
      <c r="F2071" t="inlineStr">
        <is>
          <t>Attend meetings with the Minister</t>
        </is>
      </c>
      <c r="G2071" t="inlineStr">
        <is>
          <t>Assister aux réunions avec la ministre</t>
        </is>
      </c>
      <c r="H2071" s="1" t="n">
        <v>45119</v>
      </c>
      <c r="I2071" s="1" t="n">
        <v>45120</v>
      </c>
      <c r="J2071" t="inlineStr">
        <is>
          <t>Sherbrooke (Quebec) Canada</t>
        </is>
      </c>
      <c r="K2071" t="inlineStr">
        <is>
          <t>Sherbrooke (Québec) Canada</t>
        </is>
      </c>
      <c r="P2071" t="n">
        <v>0</v>
      </c>
      <c r="Q2071" t="n">
        <v>0</v>
      </c>
      <c r="R2071" t="n">
        <v>0</v>
      </c>
      <c r="S2071" t="n">
        <v>222.9</v>
      </c>
      <c r="T2071" t="n">
        <v>0</v>
      </c>
      <c r="U2071" t="n">
        <v>222.9</v>
      </c>
      <c r="X2071" t="inlineStr">
        <is>
          <t>aafc-aac</t>
        </is>
      </c>
      <c r="Y2071" t="inlineStr">
        <is>
          <t>Agriculture and Agri-Food Canada | Agriculture et Agroalimentaire Canada</t>
        </is>
      </c>
    </row>
    <row r="2072">
      <c r="A2072" t="inlineStr">
        <is>
          <t>T-2024-P5-0026</t>
        </is>
      </c>
      <c r="B2072" t="inlineStr">
        <is>
          <t>SLE</t>
        </is>
      </c>
      <c r="C2072" t="inlineStr">
        <is>
          <t>Deputy Minister</t>
        </is>
      </c>
      <c r="D2072" t="inlineStr">
        <is>
          <t>Sous-ministre</t>
        </is>
      </c>
      <c r="E2072" t="inlineStr">
        <is>
          <t>Stefanie Beck</t>
        </is>
      </c>
      <c r="F2072" t="inlineStr">
        <is>
          <t>Attend the Federal, Provincial and Territorial Minister's conference</t>
        </is>
      </c>
      <c r="G2072" t="inlineStr">
        <is>
          <t>Assister à la conférence des ministres fédéraux, provinciaux et territoriaux</t>
        </is>
      </c>
      <c r="H2072" s="1" t="n">
        <v>45124</v>
      </c>
      <c r="I2072" s="1" t="n">
        <v>45128</v>
      </c>
      <c r="J2072" t="inlineStr">
        <is>
          <t>Fredericton (New Brunswick) Canada</t>
        </is>
      </c>
      <c r="K2072" t="inlineStr">
        <is>
          <t>Frédéricton (Nouveau-Brunswick) Canada</t>
        </is>
      </c>
      <c r="P2072" t="n">
        <v>824.65</v>
      </c>
      <c r="Q2072" t="n">
        <v>0</v>
      </c>
      <c r="R2072" t="n">
        <v>757</v>
      </c>
      <c r="S2072" t="n">
        <v>333.4</v>
      </c>
      <c r="T2072" t="n">
        <v>375</v>
      </c>
      <c r="U2072" t="n">
        <v>2290.05</v>
      </c>
      <c r="X2072" t="inlineStr">
        <is>
          <t>aafc-aac</t>
        </is>
      </c>
      <c r="Y2072" t="inlineStr">
        <is>
          <t>Agriculture and Agri-Food Canada | Agriculture et Agroalimentaire Canada</t>
        </is>
      </c>
    </row>
    <row r="2073">
      <c r="A2073" t="inlineStr">
        <is>
          <t>T-2024-P5-0027</t>
        </is>
      </c>
      <c r="B2073" t="inlineStr">
        <is>
          <t>SLE</t>
        </is>
      </c>
      <c r="C2073" t="inlineStr">
        <is>
          <t>Deputy Minister</t>
        </is>
      </c>
      <c r="D2073" t="inlineStr">
        <is>
          <t>Sous-ministre</t>
        </is>
      </c>
      <c r="E2073" t="inlineStr">
        <is>
          <t>Stefanie Beck</t>
        </is>
      </c>
      <c r="F2073" t="inlineStr">
        <is>
          <t>Attend the 2023 Food &amp; Agriculture Organization Conference</t>
        </is>
      </c>
      <c r="G2073" t="inlineStr">
        <is>
          <t>Assister à la conférence de l'Organisation des Nations unies pour l'alimentation et l'agriculture de 2023</t>
        </is>
      </c>
      <c r="H2073" s="1" t="n">
        <v>45104</v>
      </c>
      <c r="I2073" s="1" t="n">
        <v>45117</v>
      </c>
      <c r="J2073" t="inlineStr">
        <is>
          <t>Amsterdam, Netherlands
Rome, Italy</t>
        </is>
      </c>
      <c r="K2073" t="inlineStr">
        <is>
          <t>Amsterdam, Pays-Bas
Rome, Italie</t>
        </is>
      </c>
      <c r="P2073" t="n">
        <v>8166.28</v>
      </c>
      <c r="Q2073" t="n">
        <v>188.93</v>
      </c>
      <c r="R2073" t="n">
        <v>1999.58</v>
      </c>
      <c r="S2073" t="n">
        <v>1574.43</v>
      </c>
      <c r="T2073" t="n">
        <v>0</v>
      </c>
      <c r="U2073" t="n">
        <v>11929.22</v>
      </c>
      <c r="X2073" t="inlineStr">
        <is>
          <t>aafc-aac</t>
        </is>
      </c>
      <c r="Y2073" t="inlineStr">
        <is>
          <t>Agriculture and Agri-Food Canada | Agriculture et Agroalimentaire Canada</t>
        </is>
      </c>
    </row>
    <row r="2074">
      <c r="A2074" t="inlineStr">
        <is>
          <t>T-2024-P5-0028</t>
        </is>
      </c>
      <c r="B2074" t="inlineStr">
        <is>
          <t>SLE</t>
        </is>
      </c>
      <c r="C2074" t="inlineStr">
        <is>
          <t>Deputy Minister</t>
        </is>
      </c>
      <c r="D2074" t="inlineStr">
        <is>
          <t>Sous-ministre</t>
        </is>
      </c>
      <c r="E2074" t="inlineStr">
        <is>
          <t>Stefanie Beck</t>
        </is>
      </c>
      <c r="F2074" t="inlineStr">
        <is>
          <t>Accompany the Minister for meetings with stakeholders</t>
        </is>
      </c>
      <c r="G2074" t="inlineStr">
        <is>
          <t>Accompagner le ministre lors des réunions avec les parties prenantes</t>
        </is>
      </c>
      <c r="H2074" s="1" t="n">
        <v>45139</v>
      </c>
      <c r="I2074" s="1" t="n">
        <v>45141</v>
      </c>
      <c r="J2074" t="inlineStr">
        <is>
          <t>Calgary (Alberta) Canada</t>
        </is>
      </c>
      <c r="K2074" t="inlineStr">
        <is>
          <t>Calgary (Alberta) Canada</t>
        </is>
      </c>
      <c r="P2074" t="n">
        <v>630.38</v>
      </c>
      <c r="Q2074" t="n">
        <v>20.9</v>
      </c>
      <c r="R2074" t="n">
        <v>299.29</v>
      </c>
      <c r="S2074" t="n">
        <v>193</v>
      </c>
      <c r="T2074" t="n">
        <v>0</v>
      </c>
      <c r="U2074" t="n">
        <v>1143.57</v>
      </c>
      <c r="X2074" t="inlineStr">
        <is>
          <t>aafc-aac</t>
        </is>
      </c>
      <c r="Y2074" t="inlineStr">
        <is>
          <t>Agriculture and Agri-Food Canada | Agriculture et Agroalimentaire Canada</t>
        </is>
      </c>
    </row>
    <row r="2075">
      <c r="A2075" t="inlineStr">
        <is>
          <t>T-2024-P5-0029</t>
        </is>
      </c>
      <c r="B2075" t="inlineStr">
        <is>
          <t>SLE</t>
        </is>
      </c>
      <c r="C2075" t="inlineStr">
        <is>
          <t>Associate Deputy Minister</t>
        </is>
      </c>
      <c r="D2075" t="inlineStr">
        <is>
          <t>Sous-ministre déléguée</t>
        </is>
      </c>
      <c r="E2075" t="inlineStr">
        <is>
          <t>Suzy McDonald</t>
        </is>
      </c>
      <c r="F2075" t="inlineStr">
        <is>
          <t>Calgary Outreach</t>
        </is>
      </c>
      <c r="G2075" t="inlineStr">
        <is>
          <t>Tournée à Calgary</t>
        </is>
      </c>
      <c r="H2075" s="1" t="n">
        <v>45118</v>
      </c>
      <c r="I2075" s="1" t="n">
        <v>45122</v>
      </c>
      <c r="J2075" t="inlineStr">
        <is>
          <t>Calgary (Alberta) Canada</t>
        </is>
      </c>
      <c r="K2075" t="inlineStr">
        <is>
          <t>Calgary (Alberta) Canada</t>
        </is>
      </c>
      <c r="P2075" t="n">
        <v>983.46</v>
      </c>
      <c r="Q2075" t="n">
        <v>80.73999999999999</v>
      </c>
      <c r="R2075" t="n">
        <v>697.9</v>
      </c>
      <c r="S2075" t="n">
        <v>334</v>
      </c>
      <c r="T2075" t="n">
        <v>0</v>
      </c>
      <c r="U2075" t="n">
        <v>2096.1</v>
      </c>
      <c r="X2075" t="inlineStr">
        <is>
          <t>aafc-aac</t>
        </is>
      </c>
      <c r="Y2075" t="inlineStr">
        <is>
          <t>Agriculture and Agri-Food Canada | Agriculture et Agroalimentaire Canada</t>
        </is>
      </c>
    </row>
    <row r="2076">
      <c r="A2076" t="inlineStr">
        <is>
          <t>T-2024-P5-0030</t>
        </is>
      </c>
      <c r="B2076" t="inlineStr">
        <is>
          <t>SLE</t>
        </is>
      </c>
      <c r="C2076" t="inlineStr">
        <is>
          <t>Corporate Secretary</t>
        </is>
      </c>
      <c r="D2076" t="inlineStr">
        <is>
          <t>Secrétaire générale</t>
        </is>
      </c>
      <c r="E2076" t="inlineStr">
        <is>
          <t>Tamara Abel</t>
        </is>
      </c>
      <c r="F2076" t="inlineStr">
        <is>
          <t>Operational Activities - Meetings</t>
        </is>
      </c>
      <c r="G2076" t="inlineStr">
        <is>
          <t>Activités opérationnelles - Réunions</t>
        </is>
      </c>
      <c r="H2076" s="1" t="n">
        <v>45137</v>
      </c>
      <c r="I2076" s="1" t="n">
        <v>45140</v>
      </c>
      <c r="J2076" t="inlineStr">
        <is>
          <t>Ottawa (Ontario) Canada</t>
        </is>
      </c>
      <c r="K2076" t="inlineStr">
        <is>
          <t>Ottawa (Ontario) Canada</t>
        </is>
      </c>
      <c r="P2076" t="n">
        <v>1160.16</v>
      </c>
      <c r="Q2076" t="n">
        <v>282.56</v>
      </c>
      <c r="R2076" t="n">
        <v>779.15</v>
      </c>
      <c r="S2076" t="n">
        <v>387.5</v>
      </c>
      <c r="T2076" t="n">
        <v>0</v>
      </c>
      <c r="U2076" t="n">
        <v>2609.37</v>
      </c>
      <c r="X2076" t="inlineStr">
        <is>
          <t>aafc-aac</t>
        </is>
      </c>
      <c r="Y2076" t="inlineStr">
        <is>
          <t>Agriculture and Agri-Food Canada | Agriculture et Agroalimentaire Canada</t>
        </is>
      </c>
    </row>
    <row r="2077">
      <c r="A2077" t="inlineStr">
        <is>
          <t>T-2024-P5-0031</t>
        </is>
      </c>
      <c r="B2077" t="inlineStr">
        <is>
          <t>SLE</t>
        </is>
      </c>
      <c r="C2077" t="inlineStr">
        <is>
          <t>Assistant Deputy Minister, Science and Technology Branch</t>
        </is>
      </c>
      <c r="D2077" t="inlineStr">
        <is>
          <t>Sous-ministre adjoint, Direction générale des sciences et de la technologie</t>
        </is>
      </c>
      <c r="E2077" t="inlineStr">
        <is>
          <t>Gilles Saindon</t>
        </is>
      </c>
      <c r="F2077" t="inlineStr">
        <is>
          <t>Attend the Inter-American Institute for Cooperation on Agriculture (IICA) meeting on July 11, 2023 in Ottawa (IICA Canada office)</t>
        </is>
      </c>
      <c r="G2077" t="inlineStr">
        <is>
          <t>Participer à la réunion "Inter-American Institute for Cooperation on Agriculture (IICA)" le 11 juillet 2023 à Ottawa (Bureau IICA Canada)</t>
        </is>
      </c>
      <c r="H2077" s="1" t="n">
        <v>45118</v>
      </c>
      <c r="I2077" s="1" t="n">
        <v>45118</v>
      </c>
      <c r="J2077" t="inlineStr">
        <is>
          <t>Ottawa (Ontario) Canada</t>
        </is>
      </c>
      <c r="K2077" t="inlineStr">
        <is>
          <t>Ottawa (Ontario) Canada</t>
        </is>
      </c>
      <c r="P2077" t="n">
        <v>0</v>
      </c>
      <c r="Q2077" t="n">
        <v>21</v>
      </c>
      <c r="R2077" t="n">
        <v>0</v>
      </c>
      <c r="S2077" t="n">
        <v>0</v>
      </c>
      <c r="T2077" t="n">
        <v>0</v>
      </c>
      <c r="U2077" t="n">
        <v>21</v>
      </c>
      <c r="X2077" t="inlineStr">
        <is>
          <t>aafc-aac</t>
        </is>
      </c>
      <c r="Y2077" t="inlineStr">
        <is>
          <t>Agriculture and Agri-Food Canada | Agriculture et Agroalimentaire Canada</t>
        </is>
      </c>
    </row>
    <row r="2078">
      <c r="A2078" t="inlineStr">
        <is>
          <t>T-2024-P5-0032</t>
        </is>
      </c>
      <c r="B2078" t="inlineStr">
        <is>
          <t>SLE</t>
        </is>
      </c>
      <c r="C2078" t="inlineStr">
        <is>
          <t>Associate Assistant Deputy Minister, Science and Technology Branch</t>
        </is>
      </c>
      <c r="D2078" t="inlineStr">
        <is>
          <t>Sous-ministre adjoint délégué, Direction générale des sciences et de la technologie</t>
        </is>
      </c>
      <c r="E2078" t="inlineStr">
        <is>
          <t>Andrew Goldstein</t>
        </is>
      </c>
      <c r="F2078" t="inlineStr">
        <is>
          <t>Meeting with a delegation from New Zealand</t>
        </is>
      </c>
      <c r="G2078" t="inlineStr">
        <is>
          <t>Rencontre avec une délégation de la Nouvelle-Zélande</t>
        </is>
      </c>
      <c r="H2078" s="1" t="n">
        <v>45100</v>
      </c>
      <c r="I2078" s="1" t="n">
        <v>45100</v>
      </c>
      <c r="J2078" t="inlineStr">
        <is>
          <t>Ottawa (Ontario) Canada</t>
        </is>
      </c>
      <c r="K2078" t="inlineStr">
        <is>
          <t>Ottawa (Ontario) Canada</t>
        </is>
      </c>
      <c r="P2078" t="n">
        <v>0</v>
      </c>
      <c r="Q2078" t="n">
        <v>4.75</v>
      </c>
      <c r="R2078" t="n">
        <v>0</v>
      </c>
      <c r="S2078" t="n">
        <v>0</v>
      </c>
      <c r="T2078" t="n">
        <v>0</v>
      </c>
      <c r="U2078" t="n">
        <v>4.75</v>
      </c>
      <c r="X2078" t="inlineStr">
        <is>
          <t>aafc-aac</t>
        </is>
      </c>
      <c r="Y2078" t="inlineStr">
        <is>
          <t>Agriculture and Agri-Food Canada | Agriculture et Agroalimentaire Canada</t>
        </is>
      </c>
    </row>
    <row r="2079">
      <c r="A2079" t="inlineStr">
        <is>
          <t>T-2024-P5-0033</t>
        </is>
      </c>
      <c r="B2079" t="inlineStr">
        <is>
          <t>SLE</t>
        </is>
      </c>
      <c r="C2079" t="inlineStr">
        <is>
          <t>Assistant Deputy Minister, Corporate Management Branch</t>
        </is>
      </c>
      <c r="D2079" t="inlineStr">
        <is>
          <t>Sous-ministre adjointe, Direction générale de la gestion intégrée</t>
        </is>
      </c>
      <c r="E2079" t="inlineStr">
        <is>
          <t>Marie-Claude Guérard</t>
        </is>
      </c>
      <c r="F2079" t="inlineStr">
        <is>
          <t>Attend in-person meetings in Ottawa</t>
        </is>
      </c>
      <c r="G2079" t="inlineStr">
        <is>
          <t>Participer aux rencontres à Ottawa en personne</t>
        </is>
      </c>
      <c r="H2079" s="1" t="n">
        <v>45125</v>
      </c>
      <c r="I2079" s="1" t="n">
        <v>45126</v>
      </c>
      <c r="J2079" t="inlineStr">
        <is>
          <t>Ottawa (Ontario) Canada</t>
        </is>
      </c>
      <c r="K2079" t="inlineStr">
        <is>
          <t>Ottawa (Ontario) Canada</t>
        </is>
      </c>
      <c r="P2079" t="n">
        <v>0</v>
      </c>
      <c r="Q2079" t="n">
        <v>409.7</v>
      </c>
      <c r="R2079" t="n">
        <v>269.12</v>
      </c>
      <c r="S2079" t="n">
        <v>164.6</v>
      </c>
      <c r="T2079" t="n">
        <v>0</v>
      </c>
      <c r="U2079" t="n">
        <v>843.42</v>
      </c>
      <c r="X2079" t="inlineStr">
        <is>
          <t>aafc-aac</t>
        </is>
      </c>
      <c r="Y2079" t="inlineStr">
        <is>
          <t>Agriculture and Agri-Food Canada | Agriculture et Agroalimentaire Canada</t>
        </is>
      </c>
    </row>
    <row r="2080">
      <c r="A2080" t="inlineStr">
        <is>
          <t>T-2024-P5-0034</t>
        </is>
      </c>
      <c r="B2080" t="inlineStr">
        <is>
          <t>SLE</t>
        </is>
      </c>
      <c r="C2080" t="inlineStr">
        <is>
          <t>Assistant Deputy Minister, Corporate Management Branch</t>
        </is>
      </c>
      <c r="D2080" t="inlineStr">
        <is>
          <t>Sous-ministre adjointe, Direction générale de la gestion intégrée</t>
        </is>
      </c>
      <c r="E2080" t="inlineStr">
        <is>
          <t>Marie-Claude Guérard</t>
        </is>
      </c>
      <c r="F2080" t="inlineStr">
        <is>
          <t>Attend in-person meetings in Ottawa</t>
        </is>
      </c>
      <c r="G2080" t="inlineStr">
        <is>
          <t>Participer aux rencontres à Ottawa en personne</t>
        </is>
      </c>
      <c r="H2080" s="1" t="n">
        <v>45138</v>
      </c>
      <c r="I2080" s="1" t="n">
        <v>45139</v>
      </c>
      <c r="J2080" t="inlineStr">
        <is>
          <t>Ottawa (Ontario) Canada</t>
        </is>
      </c>
      <c r="K2080" t="inlineStr">
        <is>
          <t>Ottawa (Ontario) Canada</t>
        </is>
      </c>
      <c r="P2080" t="n">
        <v>0</v>
      </c>
      <c r="Q2080" t="n">
        <v>330.6</v>
      </c>
      <c r="R2080" t="n">
        <v>233.86</v>
      </c>
      <c r="S2080" t="n">
        <v>117.1</v>
      </c>
      <c r="T2080" t="n">
        <v>0</v>
      </c>
      <c r="U2080" t="n">
        <v>681.5599999999999</v>
      </c>
      <c r="X2080" t="inlineStr">
        <is>
          <t>aafc-aac</t>
        </is>
      </c>
      <c r="Y2080" t="inlineStr">
        <is>
          <t>Agriculture and Agri-Food Canada | Agriculture et Agroalimentaire Canada</t>
        </is>
      </c>
    </row>
    <row r="2081">
      <c r="A2081" t="inlineStr">
        <is>
          <t>T-2024-P5-0035</t>
        </is>
      </c>
      <c r="B2081" t="inlineStr">
        <is>
          <t>SLE</t>
        </is>
      </c>
      <c r="C2081" t="inlineStr">
        <is>
          <t>Assistant Deputy Minister, Corporate Management Branch</t>
        </is>
      </c>
      <c r="D2081" t="inlineStr">
        <is>
          <t>Sous-ministre adjointe, Direction générale de la gestion intégrée</t>
        </is>
      </c>
      <c r="E2081" t="inlineStr">
        <is>
          <t>Marie-Claude Guérard</t>
        </is>
      </c>
      <c r="F2081" t="inlineStr">
        <is>
          <t>Outreach to Halifax, NS and Charlottetown, PEI</t>
        </is>
      </c>
      <c r="G2081" t="inlineStr">
        <is>
          <t>Outreach to Halifax, NS and Charlottetown, PEI</t>
        </is>
      </c>
      <c r="H2081" s="1" t="n">
        <v>45140</v>
      </c>
      <c r="I2081" s="1" t="n">
        <v>45142</v>
      </c>
      <c r="J2081" t="inlineStr">
        <is>
          <t>Halifax (Nova Scotia) Canada
Charlottetown (Prince Edward Island) Canada</t>
        </is>
      </c>
      <c r="K2081" t="inlineStr">
        <is>
          <t>Halifax (Nouvelle-Écosse) Canada
Charlottetown (Île-du-Prince-Édouard) Canada</t>
        </is>
      </c>
      <c r="P2081" t="n">
        <v>1115.09</v>
      </c>
      <c r="Q2081" t="n">
        <v>135.68</v>
      </c>
      <c r="R2081" t="n">
        <v>410.56</v>
      </c>
      <c r="S2081" t="n">
        <v>370.2</v>
      </c>
      <c r="T2081" t="n">
        <v>0</v>
      </c>
      <c r="U2081" t="n">
        <v>2031.53</v>
      </c>
      <c r="X2081" t="inlineStr">
        <is>
          <t>aafc-aac</t>
        </is>
      </c>
      <c r="Y2081" t="inlineStr">
        <is>
          <t>Agriculture and Agri-Food Canada | Agriculture et Agroalimentaire Canada</t>
        </is>
      </c>
    </row>
    <row r="2082">
      <c r="A2082" t="inlineStr">
        <is>
          <t>T-2024-P5-0036</t>
        </is>
      </c>
      <c r="B2082" t="inlineStr">
        <is>
          <t>SLE</t>
        </is>
      </c>
      <c r="C2082" t="inlineStr">
        <is>
          <t>Assistant Deputy Minister, Programs Branch</t>
        </is>
      </c>
      <c r="D2082" t="inlineStr">
        <is>
          <t>Sous-ministre adjointe, Direction générale des programmes</t>
        </is>
      </c>
      <c r="E2082" t="inlineStr">
        <is>
          <t>Liz Foster</t>
        </is>
      </c>
      <c r="F2082" t="inlineStr">
        <is>
          <t>Attend the Federal, Provincial and Territorial Minister's conference</t>
        </is>
      </c>
      <c r="G2082" t="inlineStr">
        <is>
          <t>Assister à la conférence des ministres fédéraux, provinciaux et territoriaux</t>
        </is>
      </c>
      <c r="H2082" s="1" t="n">
        <v>45125</v>
      </c>
      <c r="I2082" s="1" t="n">
        <v>45128</v>
      </c>
      <c r="J2082" t="inlineStr">
        <is>
          <t>Frederiction (New Brunswick) Canada</t>
        </is>
      </c>
      <c r="K2082" t="inlineStr">
        <is>
          <t>Frédéricton (Nouveau-Brunswick) Canada</t>
        </is>
      </c>
      <c r="P2082" t="n">
        <v>1293.04</v>
      </c>
      <c r="Q2082" t="n">
        <v>0</v>
      </c>
      <c r="R2082" t="n">
        <v>567.75</v>
      </c>
      <c r="S2082" t="n">
        <v>210.3</v>
      </c>
      <c r="T2082" t="n">
        <v>375</v>
      </c>
      <c r="U2082" t="n">
        <v>2446.09</v>
      </c>
      <c r="X2082" t="inlineStr">
        <is>
          <t>aafc-aac</t>
        </is>
      </c>
      <c r="Y2082" t="inlineStr">
        <is>
          <t>Agriculture and Agri-Food Canada | Agriculture et Agroalimentaire Canada</t>
        </is>
      </c>
    </row>
    <row r="2083">
      <c r="A2083" t="inlineStr">
        <is>
          <t>T-2024-P5-0037</t>
        </is>
      </c>
      <c r="B2083" t="inlineStr">
        <is>
          <t>SLE</t>
        </is>
      </c>
      <c r="C2083" t="inlineStr">
        <is>
          <t>Assistant Deputy Minister, Market and Industry Services Branch</t>
        </is>
      </c>
      <c r="D2083" t="inlineStr">
        <is>
          <t>Sous-ministre adjoint, Direction générale des services à l'industrie et aux marchés</t>
        </is>
      </c>
      <c r="E2083" t="inlineStr">
        <is>
          <t>Tom Rosser</t>
        </is>
      </c>
      <c r="F2083" t="inlineStr">
        <is>
          <t xml:space="preserve">Participate in a ministerial meeting and regional outreach. </t>
        </is>
      </c>
      <c r="G2083" t="inlineStr">
        <is>
          <t>Participer à une réunion ministérielle et à la sensibilisation régionale.</t>
        </is>
      </c>
      <c r="H2083" s="1" t="n">
        <v>45119</v>
      </c>
      <c r="I2083" s="1" t="n">
        <v>45120</v>
      </c>
      <c r="J2083" t="inlineStr">
        <is>
          <t>Sherbrooke (Quebec) Canada</t>
        </is>
      </c>
      <c r="K2083" t="inlineStr">
        <is>
          <t>Sherbrooke (Québec) Canada</t>
        </is>
      </c>
      <c r="P2083" t="n">
        <v>0</v>
      </c>
      <c r="Q2083" t="n">
        <v>400.6</v>
      </c>
      <c r="R2083" t="n">
        <v>232.65</v>
      </c>
      <c r="S2083" t="n">
        <v>199.3</v>
      </c>
      <c r="T2083" t="n">
        <v>0</v>
      </c>
      <c r="U2083" t="n">
        <v>832.55</v>
      </c>
      <c r="X2083" t="inlineStr">
        <is>
          <t>aafc-aac</t>
        </is>
      </c>
      <c r="Y2083" t="inlineStr">
        <is>
          <t>Agriculture and Agri-Food Canada | Agriculture et Agroalimentaire Canada</t>
        </is>
      </c>
    </row>
    <row r="2084">
      <c r="A2084" t="inlineStr">
        <is>
          <t>T-2024-P5-0038</t>
        </is>
      </c>
      <c r="B2084" t="inlineStr">
        <is>
          <t>SLE</t>
        </is>
      </c>
      <c r="C2084" t="inlineStr">
        <is>
          <t>Chief Information Officer, Information Systems Branch</t>
        </is>
      </c>
      <c r="D2084" t="inlineStr">
        <is>
          <t>Dirigeante principale de l'information, Direction générale des systèmes d'information</t>
        </is>
      </c>
      <c r="E2084" t="inlineStr">
        <is>
          <t>Vidya ShankarNarayan</t>
        </is>
      </c>
      <c r="F2084" t="inlineStr">
        <is>
          <t xml:space="preserve">Attend AgSmart Event </t>
        </is>
      </c>
      <c r="G2084" t="inlineStr">
        <is>
          <t>Assister à AgSmart</t>
        </is>
      </c>
      <c r="H2084" s="1" t="n">
        <v>45138</v>
      </c>
      <c r="I2084" s="1" t="n">
        <v>45142</v>
      </c>
      <c r="J2084" t="inlineStr">
        <is>
          <t>Calgary (Alberta) Canada</t>
        </is>
      </c>
      <c r="K2084" t="inlineStr">
        <is>
          <t>Calgary (Alberta) Canada</t>
        </is>
      </c>
      <c r="P2084" t="n">
        <v>840.3200000000001</v>
      </c>
      <c r="Q2084" t="n">
        <v>96.51000000000001</v>
      </c>
      <c r="R2084" t="n">
        <v>834.98</v>
      </c>
      <c r="S2084" t="n">
        <v>558.4</v>
      </c>
      <c r="T2084" t="n">
        <v>0</v>
      </c>
      <c r="U2084" t="n">
        <v>2330.21</v>
      </c>
      <c r="X2084" t="inlineStr">
        <is>
          <t>aafc-aac</t>
        </is>
      </c>
      <c r="Y2084" t="inlineStr">
        <is>
          <t>Agriculture and Agri-Food Canada | Agriculture et Agroalimentaire Canada</t>
        </is>
      </c>
    </row>
    <row r="2085">
      <c r="A2085" t="inlineStr">
        <is>
          <t>T-2024-P6-0001</t>
        </is>
      </c>
      <c r="B2085" t="inlineStr">
        <is>
          <t>MPSES</t>
        </is>
      </c>
      <c r="C2085" t="inlineStr">
        <is>
          <t>Minister</t>
        </is>
      </c>
      <c r="D2085" t="inlineStr">
        <is>
          <t>Ministre</t>
        </is>
      </c>
      <c r="E2085" t="inlineStr">
        <is>
          <t>Lawrence MacAulay</t>
        </is>
      </c>
      <c r="F2085" t="inlineStr">
        <is>
          <t>To attend the Western Outreach</t>
        </is>
      </c>
      <c r="G2085" t="inlineStr">
        <is>
          <t>Participer à la campagne de sensibilisation de l'Ouest</t>
        </is>
      </c>
      <c r="H2085" s="1" t="n">
        <v>45152</v>
      </c>
      <c r="I2085" s="1" t="n">
        <v>45155</v>
      </c>
      <c r="J2085" t="inlineStr">
        <is>
          <t>Saskatoon (Saskatchewan) Canada
Calgary (Alberta) Canada</t>
        </is>
      </c>
      <c r="K2085" t="inlineStr">
        <is>
          <t>Saskatoon (Saskatchewan) Canada
Calgary (Alberta) Canada</t>
        </is>
      </c>
      <c r="P2085" t="n">
        <v>2221.78</v>
      </c>
      <c r="Q2085" t="n">
        <v>223.53</v>
      </c>
      <c r="R2085" t="n">
        <v>222.89</v>
      </c>
      <c r="S2085" t="n">
        <v>279.35</v>
      </c>
      <c r="T2085" t="n">
        <v>0</v>
      </c>
      <c r="U2085" t="n">
        <v>2947.55</v>
      </c>
      <c r="X2085" t="inlineStr">
        <is>
          <t>aafc-aac</t>
        </is>
      </c>
      <c r="Y2085" t="inlineStr">
        <is>
          <t>Agriculture and Agri-Food Canada | Agriculture et Agroalimentaire Canada</t>
        </is>
      </c>
    </row>
    <row r="2086">
      <c r="A2086" t="inlineStr">
        <is>
          <t>T-2024-P6-0002</t>
        </is>
      </c>
      <c r="B2086" t="inlineStr">
        <is>
          <t>MPSES</t>
        </is>
      </c>
      <c r="C2086" t="inlineStr">
        <is>
          <t>Chief of Staff</t>
        </is>
      </c>
      <c r="D2086" t="inlineStr">
        <is>
          <t>Chef de cabinet</t>
        </is>
      </c>
      <c r="E2086" t="inlineStr">
        <is>
          <t>Matthew Mann</t>
        </is>
      </c>
      <c r="F2086" t="inlineStr">
        <is>
          <t>To accompany the Minister for a Cabinet Retreat</t>
        </is>
      </c>
      <c r="G2086" t="inlineStr">
        <is>
          <t>Accompagner le ministre lors d'une retraite du cabinet</t>
        </is>
      </c>
      <c r="H2086" s="1" t="n">
        <v>45156</v>
      </c>
      <c r="I2086" s="1" t="n">
        <v>45162</v>
      </c>
      <c r="J2086" t="inlineStr">
        <is>
          <t>Charlottetown (Prince Edward Island) Canada</t>
        </is>
      </c>
      <c r="K2086" t="inlineStr">
        <is>
          <t>Charlottetown (Île-du-Prince-Édouard) Canada</t>
        </is>
      </c>
      <c r="P2086" t="n">
        <v>1530.25</v>
      </c>
      <c r="Q2086" t="n">
        <v>264.19</v>
      </c>
      <c r="R2086" t="n">
        <v>1680.22</v>
      </c>
      <c r="S2086" t="n">
        <v>279.35</v>
      </c>
      <c r="T2086" t="n">
        <v>0</v>
      </c>
      <c r="U2086" t="n">
        <v>3754.01</v>
      </c>
      <c r="X2086" t="inlineStr">
        <is>
          <t>aafc-aac</t>
        </is>
      </c>
      <c r="Y2086" t="inlineStr">
        <is>
          <t>Agriculture and Agri-Food Canada | Agriculture et Agroalimentaire Canada</t>
        </is>
      </c>
    </row>
    <row r="2087">
      <c r="A2087" t="inlineStr">
        <is>
          <t>T-2024-P6-0003</t>
        </is>
      </c>
      <c r="B2087" t="inlineStr">
        <is>
          <t>MPSES</t>
        </is>
      </c>
      <c r="C2087" t="inlineStr">
        <is>
          <t>Chief of Staff</t>
        </is>
      </c>
      <c r="D2087" t="inlineStr">
        <is>
          <t>Chef de cabinet</t>
        </is>
      </c>
      <c r="E2087" t="inlineStr">
        <is>
          <t>Matthew Mann</t>
        </is>
      </c>
      <c r="F2087" t="inlineStr">
        <is>
          <t>To accompany the Minister to  the North American Leadership Summit and to the Caucus</t>
        </is>
      </c>
      <c r="G2087" t="inlineStr">
        <is>
          <t>Accompagner le ministre au Sommet de la direction nord-américain et au Caucus</t>
        </is>
      </c>
      <c r="H2087" s="1" t="n">
        <v>45176</v>
      </c>
      <c r="I2087" s="1" t="n">
        <v>45182</v>
      </c>
      <c r="J2087" t="inlineStr">
        <is>
          <t>Charlottetown (Prince Edward Island) Canada
London (Ontario) Canada</t>
        </is>
      </c>
      <c r="K2087" t="inlineStr">
        <is>
          <t>Charlottetown (Île-du-Prince-Édouard) Canada 
London (Ontario) Canada</t>
        </is>
      </c>
      <c r="P2087" t="n">
        <v>2299.51</v>
      </c>
      <c r="Q2087" t="n">
        <v>338.19</v>
      </c>
      <c r="R2087" t="n">
        <v>1805.48</v>
      </c>
      <c r="S2087" t="n">
        <v>589.4</v>
      </c>
      <c r="T2087" t="n">
        <v>0</v>
      </c>
      <c r="U2087" t="n">
        <v>5032.58</v>
      </c>
      <c r="X2087" t="inlineStr">
        <is>
          <t>aafc-aac</t>
        </is>
      </c>
      <c r="Y2087" t="inlineStr">
        <is>
          <t>Agriculture and Agri-Food Canada | Agriculture et Agroalimentaire Canada</t>
        </is>
      </c>
    </row>
    <row r="2088">
      <c r="A2088" t="inlineStr">
        <is>
          <t>T-2024-P6-0004</t>
        </is>
      </c>
      <c r="B2088" t="inlineStr">
        <is>
          <t>MPSES</t>
        </is>
      </c>
      <c r="C2088" t="inlineStr">
        <is>
          <t>Press Secretary</t>
        </is>
      </c>
      <c r="D2088" t="inlineStr">
        <is>
          <t>Attaché de presse</t>
        </is>
      </c>
      <c r="E2088" t="inlineStr">
        <is>
          <t>Simon Lafortune</t>
        </is>
      </c>
      <c r="F2088" t="inlineStr">
        <is>
          <t>To accompany the Minister for a tour</t>
        </is>
      </c>
      <c r="G2088" t="inlineStr">
        <is>
          <t>Accompagner la ministre pour une visite</t>
        </is>
      </c>
      <c r="H2088" s="1" t="n">
        <v>45138</v>
      </c>
      <c r="I2088" s="1" t="n">
        <v>45141</v>
      </c>
      <c r="J2088" t="inlineStr">
        <is>
          <t>Winnipeg (Manitoba) Canada
Seattle (Washington) United States</t>
        </is>
      </c>
      <c r="K2088" t="inlineStr">
        <is>
          <t>Winnipeg (Manitoba) Canada 
Seattle (Washington) États-Unis</t>
        </is>
      </c>
      <c r="P2088" t="n">
        <v>2783.53</v>
      </c>
      <c r="Q2088" t="n">
        <v>0</v>
      </c>
      <c r="R2088" t="n">
        <v>536.77</v>
      </c>
      <c r="S2088" t="n">
        <v>0</v>
      </c>
      <c r="T2088" t="n">
        <v>0</v>
      </c>
      <c r="U2088" t="n">
        <v>3320.3</v>
      </c>
      <c r="V2088" t="inlineStr">
        <is>
          <t>Trip cancelled.  Travel credits received for cancelled flights.</t>
        </is>
      </c>
      <c r="W2088" t="inlineStr">
        <is>
          <t>Voyage annulé. Crédits de voyage reçu pour les vols annulés.</t>
        </is>
      </c>
      <c r="X2088" t="inlineStr">
        <is>
          <t>aafc-aac</t>
        </is>
      </c>
      <c r="Y2088" t="inlineStr">
        <is>
          <t>Agriculture and Agri-Food Canada | Agriculture et Agroalimentaire Canada</t>
        </is>
      </c>
    </row>
    <row r="2089">
      <c r="A2089" t="inlineStr">
        <is>
          <t>T-2024-P6-0005</t>
        </is>
      </c>
      <c r="B2089" t="inlineStr">
        <is>
          <t>SLE</t>
        </is>
      </c>
      <c r="C2089" t="inlineStr">
        <is>
          <t>Associate Deputy Minister</t>
        </is>
      </c>
      <c r="D2089" t="inlineStr">
        <is>
          <t>Sous-ministre déléguée</t>
        </is>
      </c>
      <c r="E2089" t="inlineStr">
        <is>
          <t>Suzy McDonald</t>
        </is>
      </c>
      <c r="F2089" t="inlineStr">
        <is>
          <t>To support the Minister to a Western Outreach</t>
        </is>
      </c>
      <c r="G2089" t="inlineStr">
        <is>
          <t>Soutenir le ministre dans le cadre d'une campagne de sensibilisation dans l'Ouest</t>
        </is>
      </c>
      <c r="H2089" s="1" t="n">
        <v>45151</v>
      </c>
      <c r="I2089" s="1" t="n">
        <v>45155</v>
      </c>
      <c r="J2089" t="inlineStr">
        <is>
          <t>Saskatoon (Saskatchewan) Canada
Calgary (Alberta) Canada</t>
        </is>
      </c>
      <c r="K2089" t="inlineStr">
        <is>
          <t>Saskatoon (Saskatchewan) Canada
Calgary (Alberta) Canada</t>
        </is>
      </c>
      <c r="P2089" t="n">
        <v>2478.32</v>
      </c>
      <c r="Q2089" t="n">
        <v>217.19</v>
      </c>
      <c r="R2089" t="n">
        <v>636.71</v>
      </c>
      <c r="S2089" t="n">
        <v>398.3</v>
      </c>
      <c r="T2089" t="n">
        <v>0</v>
      </c>
      <c r="U2089" t="n">
        <v>3730.52</v>
      </c>
      <c r="X2089" t="inlineStr">
        <is>
          <t>aafc-aac</t>
        </is>
      </c>
      <c r="Y2089" t="inlineStr">
        <is>
          <t>Agriculture and Agri-Food Canada | Agriculture et Agroalimentaire Canada</t>
        </is>
      </c>
    </row>
    <row r="2090">
      <c r="A2090" t="inlineStr">
        <is>
          <t>T-2024-P6-0006</t>
        </is>
      </c>
      <c r="B2090" t="inlineStr">
        <is>
          <t>SLE</t>
        </is>
      </c>
      <c r="C2090" t="inlineStr">
        <is>
          <t>Corporate Secretary</t>
        </is>
      </c>
      <c r="D2090" t="inlineStr">
        <is>
          <t>Secrétaire générale</t>
        </is>
      </c>
      <c r="E2090" t="inlineStr">
        <is>
          <t>Tamara Abel</t>
        </is>
      </c>
      <c r="F2090" t="inlineStr">
        <is>
          <t>Operational activities</t>
        </is>
      </c>
      <c r="G2090" t="inlineStr">
        <is>
          <t>Activités opérationnelles</t>
        </is>
      </c>
      <c r="H2090" s="1" t="n">
        <v>45174</v>
      </c>
      <c r="I2090" s="1" t="n">
        <v>45176</v>
      </c>
      <c r="J2090" t="inlineStr">
        <is>
          <t>Ottawa (Ontario) Canada</t>
        </is>
      </c>
      <c r="K2090" t="inlineStr">
        <is>
          <t>Ottawa (Ontario) Canada</t>
        </is>
      </c>
      <c r="P2090" t="n">
        <v>1046.34</v>
      </c>
      <c r="Q2090" t="n">
        <v>177.44</v>
      </c>
      <c r="R2090" t="n">
        <v>538.24</v>
      </c>
      <c r="S2090" t="n">
        <v>288</v>
      </c>
      <c r="T2090" t="n">
        <v>0</v>
      </c>
      <c r="U2090" t="n">
        <v>2050.02</v>
      </c>
      <c r="X2090" t="inlineStr">
        <is>
          <t>aafc-aac</t>
        </is>
      </c>
      <c r="Y2090" t="inlineStr">
        <is>
          <t>Agriculture and Agri-Food Canada | Agriculture et Agroalimentaire Canada</t>
        </is>
      </c>
    </row>
    <row r="2091">
      <c r="A2091" t="inlineStr">
        <is>
          <t>T-2024-P6-0007</t>
        </is>
      </c>
      <c r="B2091" t="inlineStr">
        <is>
          <t>SLE</t>
        </is>
      </c>
      <c r="C2091" t="inlineStr">
        <is>
          <t>Assistant Deputy Minister, Corporate Management Branch</t>
        </is>
      </c>
      <c r="D2091" t="inlineStr">
        <is>
          <t>Sous-ministre adjointe, Direction générale de la gestion intégrée</t>
        </is>
      </c>
      <c r="E2091" t="inlineStr">
        <is>
          <t>Marie-Claude Guérard</t>
        </is>
      </c>
      <c r="F2091" t="inlineStr">
        <is>
          <t>Attended in-person meetings in Ottawa</t>
        </is>
      </c>
      <c r="G2091" t="inlineStr">
        <is>
          <t>Participer aux rencontres en personne à Ottawa</t>
        </is>
      </c>
      <c r="H2091" s="1" t="n">
        <v>45168</v>
      </c>
      <c r="I2091" s="1" t="n">
        <v>45168</v>
      </c>
      <c r="J2091" t="inlineStr">
        <is>
          <t>Ottawa (Ontario) Canada</t>
        </is>
      </c>
      <c r="K2091" t="inlineStr">
        <is>
          <t>Ottawa (Ontario) Canada</t>
        </is>
      </c>
      <c r="P2091" t="n">
        <v>0</v>
      </c>
      <c r="Q2091" t="n">
        <v>319.28</v>
      </c>
      <c r="R2091" t="n">
        <v>0</v>
      </c>
      <c r="S2091" t="n">
        <v>23.9</v>
      </c>
      <c r="T2091" t="n">
        <v>0</v>
      </c>
      <c r="U2091" t="n">
        <v>343.18</v>
      </c>
      <c r="X2091" t="inlineStr">
        <is>
          <t>aafc-aac</t>
        </is>
      </c>
      <c r="Y2091" t="inlineStr">
        <is>
          <t>Agriculture and Agri-Food Canada | Agriculture et Agroalimentaire Canada</t>
        </is>
      </c>
    </row>
    <row r="2092">
      <c r="A2092" t="inlineStr">
        <is>
          <t>T-2024-P6-0008</t>
        </is>
      </c>
      <c r="B2092" t="inlineStr">
        <is>
          <t>SLE</t>
        </is>
      </c>
      <c r="C2092" t="inlineStr">
        <is>
          <t>Assistant Deputy Minister, Corporate Management Branch</t>
        </is>
      </c>
      <c r="D2092" t="inlineStr">
        <is>
          <t>Sous-ministre adjointe, Direction générale de la gestion intégrée</t>
        </is>
      </c>
      <c r="E2092" t="inlineStr">
        <is>
          <t>Marie-Claude Guérard</t>
        </is>
      </c>
      <c r="F2092" t="inlineStr">
        <is>
          <t>Attended in-person retreat in Perth with Deputy Minister and meetings in Ottawa</t>
        </is>
      </c>
      <c r="G2092" t="inlineStr">
        <is>
          <t>Participer à une retraite en personne avec la sous-ministre et aux rencontres à Ottawa</t>
        </is>
      </c>
      <c r="H2092" s="1" t="n">
        <v>45175</v>
      </c>
      <c r="I2092" s="1" t="n">
        <v>45176</v>
      </c>
      <c r="J2092" t="inlineStr">
        <is>
          <t>Ottawa (Ontario) Canada
Perth (Ontario) Canada</t>
        </is>
      </c>
      <c r="K2092" t="inlineStr">
        <is>
          <t>Ottawa (Ontario) Canada
Perth (Ontario) Canada</t>
        </is>
      </c>
      <c r="P2092" t="n">
        <v>0</v>
      </c>
      <c r="Q2092" t="n">
        <v>357.54</v>
      </c>
      <c r="R2092" t="n">
        <v>217.41</v>
      </c>
      <c r="S2092" t="n">
        <v>222.9</v>
      </c>
      <c r="T2092" t="n">
        <v>0</v>
      </c>
      <c r="U2092" t="n">
        <v>797.85</v>
      </c>
      <c r="X2092" t="inlineStr">
        <is>
          <t>aafc-aac</t>
        </is>
      </c>
      <c r="Y2092" t="inlineStr">
        <is>
          <t>Agriculture and Agri-Food Canada | Agriculture et Agroalimentaire Canada</t>
        </is>
      </c>
    </row>
    <row r="2093">
      <c r="A2093" t="inlineStr">
        <is>
          <t>T-2024-P6-0009</t>
        </is>
      </c>
      <c r="B2093" t="inlineStr">
        <is>
          <t>SLE</t>
        </is>
      </c>
      <c r="C2093" t="inlineStr">
        <is>
          <t>Assistant Deputy Minister, Corporate Management Branch</t>
        </is>
      </c>
      <c r="D2093" t="inlineStr">
        <is>
          <t>Sous-ministre adjointe, Direction générale de la gestion intégrée</t>
        </is>
      </c>
      <c r="E2093" t="inlineStr">
        <is>
          <t>Marie-Claude Guérard</t>
        </is>
      </c>
      <c r="F2093" t="inlineStr">
        <is>
          <t xml:space="preserve">Traveled for Executive Leadership Development Program (ELDP). Western trip. </t>
        </is>
      </c>
      <c r="G2093" t="inlineStr">
        <is>
          <t>Voyage pour le programme de développement en leadership les pour cadres supérieurs à l'intention des sous-ministres adjoints (PDLCS SMA)</t>
        </is>
      </c>
      <c r="H2093" s="1" t="n">
        <v>45179</v>
      </c>
      <c r="I2093" s="1" t="n">
        <v>45183</v>
      </c>
      <c r="J2093" t="inlineStr">
        <is>
          <t>Winnipeg (Manitoba) Canada
Regina (Saskachewan) Canada</t>
        </is>
      </c>
      <c r="K2093" t="inlineStr">
        <is>
          <t>Winnipeg (Manitoba)Canada
Régina (Saskachewan) Canada</t>
        </is>
      </c>
      <c r="P2093" t="n">
        <v>1158.52</v>
      </c>
      <c r="Q2093" t="n">
        <v>181.46</v>
      </c>
      <c r="R2093" t="n">
        <v>715.3</v>
      </c>
      <c r="S2093" t="n">
        <v>569.5</v>
      </c>
      <c r="T2093" t="n">
        <v>0</v>
      </c>
      <c r="U2093" t="n">
        <v>2624.78</v>
      </c>
      <c r="X2093" t="inlineStr">
        <is>
          <t>aafc-aac</t>
        </is>
      </c>
      <c r="Y2093" t="inlineStr">
        <is>
          <t>Agriculture and Agri-Food Canada | Agriculture et Agroalimentaire Canada</t>
        </is>
      </c>
    </row>
    <row r="2094">
      <c r="A2094" t="inlineStr">
        <is>
          <t>T-2024-P6-0010</t>
        </is>
      </c>
      <c r="B2094" t="inlineStr">
        <is>
          <t>SLE</t>
        </is>
      </c>
      <c r="C2094" t="inlineStr">
        <is>
          <t>Assistant Deputy Minister, Corporate Management Branch</t>
        </is>
      </c>
      <c r="D2094" t="inlineStr">
        <is>
          <t>Sous-ministre adjointe, Direction générale de la gestion intégrée</t>
        </is>
      </c>
      <c r="E2094" t="inlineStr">
        <is>
          <t>Marie-Claude Guérard</t>
        </is>
      </c>
      <c r="F2094" t="inlineStr">
        <is>
          <t>Attended in-person meetings in Ottawa</t>
        </is>
      </c>
      <c r="G2094" t="inlineStr">
        <is>
          <t>Participer aux rencontres en personne à Ottawa</t>
        </is>
      </c>
      <c r="H2094" s="1" t="n">
        <v>45187</v>
      </c>
      <c r="I2094" s="1" t="n">
        <v>45189</v>
      </c>
      <c r="J2094" t="inlineStr">
        <is>
          <t>Ottawa (Ontario) Canada</t>
        </is>
      </c>
      <c r="K2094" t="inlineStr">
        <is>
          <t>Ottawa (Ontario) Canada</t>
        </is>
      </c>
      <c r="P2094" t="n">
        <v>0</v>
      </c>
      <c r="Q2094" t="n">
        <v>301.88</v>
      </c>
      <c r="R2094" t="n">
        <v>264.42</v>
      </c>
      <c r="S2094" t="n">
        <v>0</v>
      </c>
      <c r="T2094" t="n">
        <v>0</v>
      </c>
      <c r="U2094" t="n">
        <v>566.3</v>
      </c>
      <c r="V2094" t="inlineStr">
        <is>
          <t>Last minute trip cancellation.</t>
        </is>
      </c>
      <c r="W2094" t="inlineStr">
        <is>
          <t>Annulation de voyage de dernière minute.</t>
        </is>
      </c>
      <c r="X2094" t="inlineStr">
        <is>
          <t>aafc-aac</t>
        </is>
      </c>
      <c r="Y2094" t="inlineStr">
        <is>
          <t>Agriculture and Agri-Food Canada | Agriculture et Agroalimentaire Canada</t>
        </is>
      </c>
    </row>
    <row r="2095">
      <c r="A2095" t="inlineStr">
        <is>
          <t>T-2024-P6-0011</t>
        </is>
      </c>
      <c r="B2095" t="inlineStr">
        <is>
          <t>SLE</t>
        </is>
      </c>
      <c r="C2095" t="inlineStr">
        <is>
          <t>Assistant Deputy Minister, Corporate Management Branch</t>
        </is>
      </c>
      <c r="D2095" t="inlineStr">
        <is>
          <t>Sous-ministre adjointe, Direction générale de la gestion intégrée</t>
        </is>
      </c>
      <c r="E2095" t="inlineStr">
        <is>
          <t>Marie-Claude Guérard</t>
        </is>
      </c>
      <c r="F2095" t="inlineStr">
        <is>
          <t>Attended in-person meetings in Ottawa</t>
        </is>
      </c>
      <c r="G2095" t="inlineStr">
        <is>
          <t>Participer aux rencontres en personne à Ottawa</t>
        </is>
      </c>
      <c r="H2095" s="1" t="n">
        <v>45194</v>
      </c>
      <c r="I2095" s="1" t="n">
        <v>45194</v>
      </c>
      <c r="J2095" t="inlineStr">
        <is>
          <t>Ottawa (Ontario) Canada</t>
        </is>
      </c>
      <c r="K2095" t="inlineStr">
        <is>
          <t>Ottawa (Ontario) Canada</t>
        </is>
      </c>
      <c r="P2095" t="n">
        <v>0</v>
      </c>
      <c r="Q2095" t="n">
        <v>392.24</v>
      </c>
      <c r="R2095" t="n">
        <v>0</v>
      </c>
      <c r="S2095" t="n">
        <v>23.9</v>
      </c>
      <c r="T2095" t="n">
        <v>0</v>
      </c>
      <c r="U2095" t="n">
        <v>416.14</v>
      </c>
      <c r="X2095" t="inlineStr">
        <is>
          <t>aafc-aac</t>
        </is>
      </c>
      <c r="Y2095" t="inlineStr">
        <is>
          <t>Agriculture and Agri-Food Canada | Agriculture et Agroalimentaire Canada</t>
        </is>
      </c>
    </row>
    <row r="2096">
      <c r="A2096" t="inlineStr">
        <is>
          <t>T-2024-P6-0012</t>
        </is>
      </c>
      <c r="B2096" t="inlineStr">
        <is>
          <t>SLE</t>
        </is>
      </c>
      <c r="C2096" t="inlineStr">
        <is>
          <t xml:space="preserve">Assistant Deputy Minister, Public Affairs Branch </t>
        </is>
      </c>
      <c r="D2096" t="inlineStr">
        <is>
          <t xml:space="preserve">Sous-ministre adjointe, Direction générale des affaires publiques </t>
        </is>
      </c>
      <c r="E2096" t="inlineStr">
        <is>
          <t>Mary Dila</t>
        </is>
      </c>
      <c r="F2096" t="inlineStr">
        <is>
          <t>Attended the Minister`s Retreat</t>
        </is>
      </c>
      <c r="G2096" t="inlineStr">
        <is>
          <t>Participer à une retraite avec la Ministre</t>
        </is>
      </c>
      <c r="H2096" s="1" t="n">
        <v>45118</v>
      </c>
      <c r="I2096" s="1" t="n">
        <v>45119</v>
      </c>
      <c r="J2096" t="inlineStr">
        <is>
          <t>Sherbrooke (Quebec) Canada</t>
        </is>
      </c>
      <c r="K2096" t="inlineStr">
        <is>
          <t>Sherbrooke (Québec) Canada</t>
        </is>
      </c>
      <c r="P2096" t="n">
        <v>0</v>
      </c>
      <c r="Q2096" t="n">
        <v>414.28</v>
      </c>
      <c r="R2096" t="n">
        <v>250.51</v>
      </c>
      <c r="S2096" t="n">
        <v>175.7</v>
      </c>
      <c r="T2096" t="n">
        <v>0</v>
      </c>
      <c r="U2096" t="n">
        <v>840.49</v>
      </c>
      <c r="X2096" t="inlineStr">
        <is>
          <t>aafc-aac</t>
        </is>
      </c>
      <c r="Y2096" t="inlineStr">
        <is>
          <t>Agriculture and Agri-Food Canada | Agriculture et Agroalimentaire Canada</t>
        </is>
      </c>
    </row>
    <row r="2097">
      <c r="A2097" t="inlineStr">
        <is>
          <t>T-2024-P6-0013</t>
        </is>
      </c>
      <c r="B2097" t="inlineStr">
        <is>
          <t>SLE</t>
        </is>
      </c>
      <c r="C2097" t="inlineStr">
        <is>
          <t xml:space="preserve">Assistant Deputy Minister, Public Affairs Branch </t>
        </is>
      </c>
      <c r="D2097" t="inlineStr">
        <is>
          <t xml:space="preserve">Sous-ministre adjointe, Direction générale des affaires publiques </t>
        </is>
      </c>
      <c r="E2097" t="inlineStr">
        <is>
          <t>Mary Dila</t>
        </is>
      </c>
      <c r="F2097" t="inlineStr">
        <is>
          <t>Attend the Federal, Provincial and Territorial Minister's conference</t>
        </is>
      </c>
      <c r="G2097" t="inlineStr">
        <is>
          <t>Assister à la conférence des ministres fédéraux, provinciaux et territoriaux</t>
        </is>
      </c>
      <c r="H2097" s="1" t="n">
        <v>45125</v>
      </c>
      <c r="I2097" s="1" t="n">
        <v>45128</v>
      </c>
      <c r="J2097" t="inlineStr">
        <is>
          <t>Fredericton (New Brunswick) Canada</t>
        </is>
      </c>
      <c r="K2097" t="inlineStr">
        <is>
          <t>Frédéricton (Nouveau-Brunswick) Canada</t>
        </is>
      </c>
      <c r="P2097" t="n">
        <v>1208.56</v>
      </c>
      <c r="Q2097" t="n">
        <v>0</v>
      </c>
      <c r="R2097" t="n">
        <v>649.08</v>
      </c>
      <c r="S2097" t="n">
        <v>398.6</v>
      </c>
      <c r="T2097" t="n">
        <v>375</v>
      </c>
      <c r="U2097" t="n">
        <v>2631.24</v>
      </c>
      <c r="X2097" t="inlineStr">
        <is>
          <t>aafc-aac</t>
        </is>
      </c>
      <c r="Y2097" t="inlineStr">
        <is>
          <t>Agriculture and Agri-Food Canada | Agriculture et Agroalimentaire Canada</t>
        </is>
      </c>
    </row>
    <row r="2098">
      <c r="A2098" t="inlineStr">
        <is>
          <t>T-2024-P6-0014</t>
        </is>
      </c>
      <c r="B2098" t="inlineStr">
        <is>
          <t>SLE</t>
        </is>
      </c>
      <c r="C2098" t="inlineStr">
        <is>
          <t>Assistant Deputy Minister, Market and Industry Services Branch</t>
        </is>
      </c>
      <c r="D2098" t="inlineStr">
        <is>
          <t>Sous-ministre adjoint, Direction générale des services à l'industrie et aux marchés</t>
        </is>
      </c>
      <c r="E2098" t="inlineStr">
        <is>
          <t>Tom Rosser</t>
        </is>
      </c>
      <c r="F2098" t="inlineStr">
        <is>
          <t>To participate in the Asia-Pacific Economic Cooperation ministerial meetings.</t>
        </is>
      </c>
      <c r="G2098" t="inlineStr">
        <is>
          <t>Participer aux réunions ministérielles de la Coopération économique Asie-Pacifique.</t>
        </is>
      </c>
      <c r="H2098" s="1" t="n">
        <v>45139</v>
      </c>
      <c r="I2098" s="1" t="n">
        <v>45145</v>
      </c>
      <c r="J2098" t="inlineStr">
        <is>
          <t>Seattle (Washington) United States</t>
        </is>
      </c>
      <c r="K2098" t="inlineStr">
        <is>
          <t>Seattle (Washington) États-Unis</t>
        </is>
      </c>
      <c r="P2098" t="n">
        <v>392.48</v>
      </c>
      <c r="Q2098" t="n">
        <v>76.29000000000001</v>
      </c>
      <c r="R2098" t="n">
        <v>1111.3</v>
      </c>
      <c r="S2098" t="n">
        <v>381.67</v>
      </c>
      <c r="T2098" t="n">
        <v>0</v>
      </c>
      <c r="U2098" t="n">
        <v>1961.74</v>
      </c>
      <c r="X2098" t="inlineStr">
        <is>
          <t>aafc-aac</t>
        </is>
      </c>
      <c r="Y2098" t="inlineStr">
        <is>
          <t>Agriculture and Agri-Food Canada | Agriculture et Agroalimentaire Canada</t>
        </is>
      </c>
    </row>
    <row r="2099">
      <c r="A2099" t="inlineStr">
        <is>
          <t>T-2024-P6-0015</t>
        </is>
      </c>
      <c r="B2099" t="inlineStr">
        <is>
          <t>SLE</t>
        </is>
      </c>
      <c r="C2099" t="inlineStr">
        <is>
          <t>Assistant Deputy Minister, Market and Industry Services Branch</t>
        </is>
      </c>
      <c r="D2099" t="inlineStr">
        <is>
          <t>Sous-ministre adjoint, Direction générale des services à l'industrie et aux marchés</t>
        </is>
      </c>
      <c r="E2099" t="inlineStr">
        <is>
          <t>Tom Rosser</t>
        </is>
      </c>
      <c r="F2099" t="inlineStr">
        <is>
          <t xml:space="preserve">To participate in the Eastern region of the Council of State Governments 62nd Annual Meeting and Regional Policy Forum and regional outreach. </t>
        </is>
      </c>
      <c r="G2099" t="inlineStr">
        <is>
          <t>Participer à la 62ème réunion annuelle de la région de l'est du Conseil des gouvernements des États et au Forum politique régional et à la sensibilisation régionale.</t>
        </is>
      </c>
      <c r="H2099" s="1" t="n">
        <v>45158</v>
      </c>
      <c r="I2099" s="1" t="n">
        <v>45160</v>
      </c>
      <c r="J2099" t="inlineStr">
        <is>
          <t>Toronto (Ontario) Canada</t>
        </is>
      </c>
      <c r="K2099" t="inlineStr">
        <is>
          <t>Toronto (Ontario) Canada</t>
        </is>
      </c>
      <c r="P2099" t="n">
        <v>567.1</v>
      </c>
      <c r="Q2099" t="n">
        <v>61.56</v>
      </c>
      <c r="R2099" t="n">
        <v>493.04</v>
      </c>
      <c r="S2099" t="n">
        <v>240.5</v>
      </c>
      <c r="T2099" t="n">
        <v>0</v>
      </c>
      <c r="U2099" t="n">
        <v>1362.2</v>
      </c>
      <c r="X2099" t="inlineStr">
        <is>
          <t>aafc-aac</t>
        </is>
      </c>
      <c r="Y2099" t="inlineStr">
        <is>
          <t>Agriculture and Agri-Food Canada | Agriculture et Agroalimentaire Canada</t>
        </is>
      </c>
    </row>
    <row r="2100">
      <c r="A2100" t="inlineStr">
        <is>
          <t>T-2024-P6-0016</t>
        </is>
      </c>
      <c r="B2100" t="inlineStr">
        <is>
          <t>SLE</t>
        </is>
      </c>
      <c r="C2100" t="inlineStr">
        <is>
          <t>Assistant Deputy Minister, Market and Industry Services Branch</t>
        </is>
      </c>
      <c r="D2100" t="inlineStr">
        <is>
          <t>Sous-ministre adjoint, Direction générale des services à l'industrie et aux marchés</t>
        </is>
      </c>
      <c r="E2100" t="inlineStr">
        <is>
          <t>Tom Rosser</t>
        </is>
      </c>
      <c r="F2100" t="inlineStr">
        <is>
          <t>To participate in regional outreach and staff engagement.</t>
        </is>
      </c>
      <c r="G2100" t="inlineStr">
        <is>
          <t>Participer à la sensibilisation régionale et à l’engagement du personnel.</t>
        </is>
      </c>
      <c r="H2100" s="1" t="n">
        <v>45160</v>
      </c>
      <c r="I2100" s="1" t="n">
        <v>45164</v>
      </c>
      <c r="J2100" t="inlineStr">
        <is>
          <t>Edmonton (Alberta) Canada, Calgary (Alberta) Canada</t>
        </is>
      </c>
      <c r="K2100" t="inlineStr">
        <is>
          <t>Edmonton (Alberta) Canada, Calgary (Alberta) Canada</t>
        </is>
      </c>
      <c r="P2100" t="n">
        <v>1569.31</v>
      </c>
      <c r="Q2100" t="n">
        <v>169.42</v>
      </c>
      <c r="R2100" t="n">
        <v>709.52</v>
      </c>
      <c r="S2100" t="n">
        <v>399.2</v>
      </c>
      <c r="T2100" t="n">
        <v>0</v>
      </c>
      <c r="U2100" t="n">
        <v>2847.45</v>
      </c>
      <c r="X2100" t="inlineStr">
        <is>
          <t>aafc-aac</t>
        </is>
      </c>
      <c r="Y2100" t="inlineStr">
        <is>
          <t>Agriculture and Agri-Food Canada | Agriculture et Agroalimentaire Canada</t>
        </is>
      </c>
    </row>
    <row r="2101">
      <c r="A2101" t="inlineStr">
        <is>
          <t>T-2024-P7-0001</t>
        </is>
      </c>
      <c r="B2101" t="inlineStr">
        <is>
          <t>MPSES</t>
        </is>
      </c>
      <c r="C2101" t="inlineStr">
        <is>
          <t>Minister</t>
        </is>
      </c>
      <c r="D2101" t="inlineStr">
        <is>
          <t>Ministre</t>
        </is>
      </c>
      <c r="E2101" t="inlineStr">
        <is>
          <t>Lawrence MacAulay</t>
        </is>
      </c>
      <c r="F2101" t="inlineStr">
        <is>
          <t>To attend the Quebec Outreach</t>
        </is>
      </c>
      <c r="G2101" t="inlineStr">
        <is>
          <t>Participer à la campagne de sensibilisation du Québec</t>
        </is>
      </c>
      <c r="H2101" s="1" t="n">
        <v>45197</v>
      </c>
      <c r="I2101" s="1" t="n">
        <v>45198</v>
      </c>
      <c r="J2101" t="inlineStr">
        <is>
          <t>Saint-Hyacinthe (Quebec) Canada</t>
        </is>
      </c>
      <c r="K2101" t="inlineStr">
        <is>
          <t>Saint-Hyacinthe (Québec) Canada</t>
        </is>
      </c>
      <c r="P2101" t="n">
        <v>1094.17</v>
      </c>
      <c r="Q2101" t="n">
        <v>0</v>
      </c>
      <c r="R2101" t="n">
        <v>208.26</v>
      </c>
      <c r="S2101" t="n">
        <v>164.7</v>
      </c>
      <c r="T2101" t="n">
        <v>0</v>
      </c>
      <c r="U2101" t="n">
        <v>1467.13</v>
      </c>
      <c r="X2101" t="inlineStr">
        <is>
          <t>aafc-aac</t>
        </is>
      </c>
      <c r="Y2101" t="inlineStr">
        <is>
          <t>Agriculture and Agri-Food Canada | Agriculture et Agroalimentaire Canada</t>
        </is>
      </c>
    </row>
    <row r="2102">
      <c r="A2102" t="inlineStr">
        <is>
          <t>T-2024-P7-0002</t>
        </is>
      </c>
      <c r="B2102" t="inlineStr">
        <is>
          <t>MPSES</t>
        </is>
      </c>
      <c r="C2102" t="inlineStr">
        <is>
          <t>Minister</t>
        </is>
      </c>
      <c r="D2102" t="inlineStr">
        <is>
          <t>Ministre</t>
        </is>
      </c>
      <c r="E2102" t="inlineStr">
        <is>
          <t>Lawrence MacAulay</t>
        </is>
      </c>
      <c r="F2102" t="inlineStr">
        <is>
          <t>To attend the Western Outreach</t>
        </is>
      </c>
      <c r="G2102" t="inlineStr">
        <is>
          <t>Participer à la campagne de sensibilisation du l'Ouest</t>
        </is>
      </c>
      <c r="H2102" s="1" t="n">
        <v>45208</v>
      </c>
      <c r="I2102" s="1" t="n">
        <v>45211</v>
      </c>
      <c r="J2102" t="inlineStr">
        <is>
          <t>Vancouver (British-Columbia) Canada</t>
        </is>
      </c>
      <c r="K2102" t="inlineStr">
        <is>
          <t>Vancouver (Colombie-Britannique) Canada</t>
        </is>
      </c>
      <c r="P2102" t="n">
        <v>2678.69</v>
      </c>
      <c r="Q2102" t="n">
        <v>141</v>
      </c>
      <c r="R2102" t="n">
        <v>1082.43</v>
      </c>
      <c r="S2102" t="n">
        <v>386.2</v>
      </c>
      <c r="T2102" t="n">
        <v>0</v>
      </c>
      <c r="U2102" t="n">
        <v>4288.32</v>
      </c>
      <c r="X2102" t="inlineStr">
        <is>
          <t>aafc-aac</t>
        </is>
      </c>
      <c r="Y2102" t="inlineStr">
        <is>
          <t>Agriculture and Agri-Food Canada | Agriculture et Agroalimentaire Canada</t>
        </is>
      </c>
    </row>
    <row r="2103">
      <c r="A2103" t="inlineStr">
        <is>
          <t>T-2024-P7-0003</t>
        </is>
      </c>
      <c r="B2103" t="inlineStr">
        <is>
          <t>MPSES</t>
        </is>
      </c>
      <c r="C2103" t="inlineStr">
        <is>
          <t>Director of Regional Affairs</t>
        </is>
      </c>
      <c r="D2103" t="inlineStr">
        <is>
          <t>Directrice des affaires régionales</t>
        </is>
      </c>
      <c r="E2103" t="inlineStr">
        <is>
          <t>Alison Porter</t>
        </is>
      </c>
      <c r="F2103" t="inlineStr">
        <is>
          <t>To accompany the Minister to attend the North American Leadership Summit</t>
        </is>
      </c>
      <c r="G2103" t="inlineStr">
        <is>
          <t>Accompagner le ministre pour participer au North American Leadership Summit</t>
        </is>
      </c>
      <c r="H2103" s="1" t="n">
        <v>45179</v>
      </c>
      <c r="I2103" s="1" t="n">
        <v>45182</v>
      </c>
      <c r="J2103" t="inlineStr">
        <is>
          <t>Charlottetown (Prince Edward Island) Canada</t>
        </is>
      </c>
      <c r="K2103" t="inlineStr">
        <is>
          <t>Charlottetown (Île-du-Prince-Édouard) Canada</t>
        </is>
      </c>
      <c r="P2103" t="n">
        <v>1099.88</v>
      </c>
      <c r="Q2103" t="n">
        <v>178.02</v>
      </c>
      <c r="R2103" t="n">
        <v>1048.29</v>
      </c>
      <c r="S2103" t="n">
        <v>342.2</v>
      </c>
      <c r="T2103" t="n">
        <v>0</v>
      </c>
      <c r="U2103" t="n">
        <v>2668.39</v>
      </c>
      <c r="X2103" t="inlineStr">
        <is>
          <t>aafc-aac</t>
        </is>
      </c>
      <c r="Y2103" t="inlineStr">
        <is>
          <t>Agriculture and Agri-Food Canada | Agriculture et Agroalimentaire Canada</t>
        </is>
      </c>
    </row>
    <row r="2104">
      <c r="A2104" t="inlineStr">
        <is>
          <t>T-2024-P7-0004</t>
        </is>
      </c>
      <c r="B2104" t="inlineStr">
        <is>
          <t>MPSES</t>
        </is>
      </c>
      <c r="C2104" t="inlineStr">
        <is>
          <t>Chief of Staff</t>
        </is>
      </c>
      <c r="D2104" t="inlineStr">
        <is>
          <t>Chef de cabinet</t>
        </is>
      </c>
      <c r="E2104" t="inlineStr">
        <is>
          <t>Matthew Mann</t>
        </is>
      </c>
      <c r="F2104" t="inlineStr">
        <is>
          <t>Visa photos for upcoming travel</t>
        </is>
      </c>
      <c r="G2104" t="inlineStr">
        <is>
          <t>Photos des visas pour les voyages à venir</t>
        </is>
      </c>
      <c r="H2104" s="1" t="n">
        <v>45202</v>
      </c>
      <c r="I2104" s="1" t="n">
        <v>45202</v>
      </c>
      <c r="J2104" t="inlineStr">
        <is>
          <t>Ottawa (Ontario) Canada</t>
        </is>
      </c>
      <c r="K2104" t="inlineStr">
        <is>
          <t>Ottawa (Ontario) Canada</t>
        </is>
      </c>
      <c r="P2104" t="n">
        <v>0</v>
      </c>
      <c r="Q2104" t="n">
        <v>0</v>
      </c>
      <c r="R2104" t="n">
        <v>0</v>
      </c>
      <c r="S2104" t="n">
        <v>0</v>
      </c>
      <c r="T2104" t="n">
        <v>40.68</v>
      </c>
      <c r="U2104" t="n">
        <v>40.68</v>
      </c>
      <c r="X2104" t="inlineStr">
        <is>
          <t>aafc-aac</t>
        </is>
      </c>
      <c r="Y2104" t="inlineStr">
        <is>
          <t>Agriculture and Agri-Food Canada | Agriculture et Agroalimentaire Canada</t>
        </is>
      </c>
    </row>
    <row r="2105">
      <c r="A2105" t="inlineStr">
        <is>
          <t>T-2024-P7-0005</t>
        </is>
      </c>
      <c r="B2105" t="inlineStr">
        <is>
          <t>MPSES</t>
        </is>
      </c>
      <c r="C2105" t="inlineStr">
        <is>
          <t>Special Assistant</t>
        </is>
      </c>
      <c r="D2105" t="inlineStr">
        <is>
          <t>Adjointe spéciale</t>
        </is>
      </c>
      <c r="E2105" t="inlineStr">
        <is>
          <t>Arianna Myers</t>
        </is>
      </c>
      <c r="F2105" t="inlineStr">
        <is>
          <t>To accompany the Minister on his Quebec Outreach</t>
        </is>
      </c>
      <c r="G2105" t="inlineStr">
        <is>
          <t>Accompagner le ministre à la campagne de sensibilisation au Québec</t>
        </is>
      </c>
      <c r="H2105" s="1" t="n">
        <v>45197</v>
      </c>
      <c r="I2105" s="1" t="n">
        <v>45199</v>
      </c>
      <c r="J2105" t="inlineStr">
        <is>
          <t>Saint-Hyacinthe (Quebec) Canada</t>
        </is>
      </c>
      <c r="K2105" t="inlineStr">
        <is>
          <t>Saint-Hyacinthe (Québec) Canada</t>
        </is>
      </c>
      <c r="P2105" t="n">
        <v>0</v>
      </c>
      <c r="Q2105" t="n">
        <v>201.08</v>
      </c>
      <c r="R2105" t="n">
        <v>208.26</v>
      </c>
      <c r="S2105" t="n">
        <v>164.7</v>
      </c>
      <c r="T2105" t="n">
        <v>0</v>
      </c>
      <c r="U2105" t="n">
        <v>574.04</v>
      </c>
      <c r="X2105" t="inlineStr">
        <is>
          <t>aafc-aac</t>
        </is>
      </c>
      <c r="Y2105" t="inlineStr">
        <is>
          <t>Agriculture and Agri-Food Canada | Agriculture et Agroalimentaire Canada</t>
        </is>
      </c>
    </row>
    <row r="2106">
      <c r="A2106" t="inlineStr">
        <is>
          <t>T-2024-P7-0006</t>
        </is>
      </c>
      <c r="B2106" t="inlineStr">
        <is>
          <t>MPSES</t>
        </is>
      </c>
      <c r="C2106" t="inlineStr">
        <is>
          <t>Director of Parliamentary Affairs</t>
        </is>
      </c>
      <c r="D2106" t="inlineStr">
        <is>
          <t>Directeur des affaires parlementaires</t>
        </is>
      </c>
      <c r="E2106" t="inlineStr">
        <is>
          <t>Samuel Murray</t>
        </is>
      </c>
      <c r="F2106" t="inlineStr">
        <is>
          <t>To attend meeting with the Minister and Stakeholders</t>
        </is>
      </c>
      <c r="G2106" t="inlineStr">
        <is>
          <t>Participer à des réunions avec le ministre et les parties prenantes</t>
        </is>
      </c>
      <c r="H2106" s="1" t="n">
        <v>45119</v>
      </c>
      <c r="I2106" s="1" t="n">
        <v>45122</v>
      </c>
      <c r="J2106" t="inlineStr">
        <is>
          <t>Montréal (Quebec) Canada</t>
        </is>
      </c>
      <c r="K2106" t="inlineStr">
        <is>
          <t>Montréal (Québec) Canada</t>
        </is>
      </c>
      <c r="P2106" t="n">
        <v>0</v>
      </c>
      <c r="Q2106" t="n">
        <v>233.46</v>
      </c>
      <c r="R2106" t="n">
        <v>0</v>
      </c>
      <c r="S2106" t="n">
        <v>0</v>
      </c>
      <c r="T2106" t="n">
        <v>0</v>
      </c>
      <c r="U2106" t="n">
        <v>233.46</v>
      </c>
      <c r="X2106" t="inlineStr">
        <is>
          <t>aafc-aac</t>
        </is>
      </c>
      <c r="Y2106" t="inlineStr">
        <is>
          <t>Agriculture and Agri-Food Canada | Agriculture et Agroalimentaire Canada</t>
        </is>
      </c>
    </row>
    <row r="2107">
      <c r="A2107" t="inlineStr">
        <is>
          <t>T-2024-P7-0007</t>
        </is>
      </c>
      <c r="B2107" t="inlineStr">
        <is>
          <t>MPSES</t>
        </is>
      </c>
      <c r="C2107" t="inlineStr">
        <is>
          <t>Director of Communications</t>
        </is>
      </c>
      <c r="D2107" t="inlineStr">
        <is>
          <t>Directrice des communications</t>
        </is>
      </c>
      <c r="E2107" t="inlineStr">
        <is>
          <t>Annie Cullinan</t>
        </is>
      </c>
      <c r="F2107" t="inlineStr">
        <is>
          <t>To accompany the Minister on his Quebec Outreach</t>
        </is>
      </c>
      <c r="G2107" t="inlineStr">
        <is>
          <t>Accompagner le ministre aux réunions de sensibilisation au Québec</t>
        </is>
      </c>
      <c r="H2107" s="1" t="n">
        <v>45197</v>
      </c>
      <c r="I2107" s="1" t="n">
        <v>45198</v>
      </c>
      <c r="J2107" t="inlineStr">
        <is>
          <t>Saint-Hyacinthe (Quebec) Canada</t>
        </is>
      </c>
      <c r="K2107" t="inlineStr">
        <is>
          <t>Saint-Hyacinthe (Québec) Canada</t>
        </is>
      </c>
      <c r="P2107" t="n">
        <v>0</v>
      </c>
      <c r="Q2107" t="n">
        <v>0</v>
      </c>
      <c r="R2107" t="n">
        <v>208.26</v>
      </c>
      <c r="S2107" t="n">
        <v>164.7</v>
      </c>
      <c r="T2107" t="n">
        <v>0</v>
      </c>
      <c r="U2107" t="n">
        <v>372.96</v>
      </c>
      <c r="X2107" t="inlineStr">
        <is>
          <t>aafc-aac</t>
        </is>
      </c>
      <c r="Y2107" t="inlineStr">
        <is>
          <t>Agriculture and Agri-Food Canada | Agriculture et Agroalimentaire Canada</t>
        </is>
      </c>
    </row>
    <row r="2108">
      <c r="A2108" t="inlineStr">
        <is>
          <t>T-2024-P7-0008</t>
        </is>
      </c>
      <c r="B2108" t="inlineStr">
        <is>
          <t>MPSES</t>
        </is>
      </c>
      <c r="C2108" t="inlineStr">
        <is>
          <t>Director of Communications</t>
        </is>
      </c>
      <c r="D2108" t="inlineStr">
        <is>
          <t>Directrice des communications</t>
        </is>
      </c>
      <c r="E2108" t="inlineStr">
        <is>
          <t>Annie Cullinan</t>
        </is>
      </c>
      <c r="F2108" t="inlineStr">
        <is>
          <t>To accompany the Minister on his Western Outreach</t>
        </is>
      </c>
      <c r="G2108" t="inlineStr">
        <is>
          <t>Accompagner le ministre à la campagne de sensibilisation dans l'Ouest</t>
        </is>
      </c>
      <c r="H2108" s="1" t="n">
        <v>45208</v>
      </c>
      <c r="I2108" s="1" t="n">
        <v>45211</v>
      </c>
      <c r="J2108" t="inlineStr">
        <is>
          <t>Vancouver (British-Columbia) Canada</t>
        </is>
      </c>
      <c r="K2108" t="inlineStr">
        <is>
          <t>Vancouver (Colombie-Britannique) Canada</t>
        </is>
      </c>
      <c r="P2108" t="n">
        <v>1868.85</v>
      </c>
      <c r="Q2108" t="n">
        <v>94.48999999999999</v>
      </c>
      <c r="R2108" t="n">
        <v>1082.43</v>
      </c>
      <c r="S2108" t="n">
        <v>386.2</v>
      </c>
      <c r="T2108" t="n">
        <v>0</v>
      </c>
      <c r="U2108" t="n">
        <v>3431.97</v>
      </c>
      <c r="X2108" t="inlineStr">
        <is>
          <t>aafc-aac</t>
        </is>
      </c>
      <c r="Y2108" t="inlineStr">
        <is>
          <t>Agriculture and Agri-Food Canada | Agriculture et Agroalimentaire Canada</t>
        </is>
      </c>
    </row>
    <row r="2109">
      <c r="A2109" t="inlineStr">
        <is>
          <t>T-2024-P7-0009</t>
        </is>
      </c>
      <c r="B2109" t="inlineStr">
        <is>
          <t>MPSES</t>
        </is>
      </c>
      <c r="C2109" t="inlineStr">
        <is>
          <t>Director of Parliamentary Affairs</t>
        </is>
      </c>
      <c r="D2109" t="inlineStr">
        <is>
          <t>Directeur des affaires parlementaires</t>
        </is>
      </c>
      <c r="E2109" t="inlineStr">
        <is>
          <t>Bradley Henstock</t>
        </is>
      </c>
      <c r="F2109" t="inlineStr">
        <is>
          <t>To accompany the Minister on his Outreach tour</t>
        </is>
      </c>
      <c r="G2109" t="inlineStr">
        <is>
          <t>Accompagner le ministre à la campagne de sensibilisation dans l'Ouest</t>
        </is>
      </c>
      <c r="H2109" s="1" t="n">
        <v>45208</v>
      </c>
      <c r="I2109" s="1" t="n">
        <v>45212</v>
      </c>
      <c r="J2109" t="inlineStr">
        <is>
          <t>Vancouver (British-Columbia) Canada</t>
        </is>
      </c>
      <c r="K2109" t="inlineStr">
        <is>
          <t>Vancouver (Colombie-Britannique) Canada</t>
        </is>
      </c>
      <c r="P2109" t="n">
        <v>1758.6</v>
      </c>
      <c r="Q2109" t="n">
        <v>88.28</v>
      </c>
      <c r="R2109" t="n">
        <v>1082.43</v>
      </c>
      <c r="S2109" t="n">
        <v>410.55</v>
      </c>
      <c r="T2109" t="n">
        <v>0</v>
      </c>
      <c r="U2109" t="n">
        <v>3339.86</v>
      </c>
      <c r="X2109" t="inlineStr">
        <is>
          <t>aafc-aac</t>
        </is>
      </c>
      <c r="Y2109" t="inlineStr">
        <is>
          <t>Agriculture and Agri-Food Canada | Agriculture et Agroalimentaire Canada</t>
        </is>
      </c>
    </row>
    <row r="2110">
      <c r="A2110" t="inlineStr">
        <is>
          <t>T-2024-P7-0010</t>
        </is>
      </c>
      <c r="B2110" t="inlineStr">
        <is>
          <t>MPSES</t>
        </is>
      </c>
      <c r="C2110" t="inlineStr">
        <is>
          <t>Parliamentary Secretary</t>
        </is>
      </c>
      <c r="D2110" t="inlineStr">
        <is>
          <t>Secrétaire parlementaire</t>
        </is>
      </c>
      <c r="E2110" t="inlineStr">
        <is>
          <t>Francis Drouin</t>
        </is>
      </c>
      <c r="F2110" t="inlineStr">
        <is>
          <t>To accompany the Minister on his Quebec Outreach</t>
        </is>
      </c>
      <c r="G2110" t="inlineStr">
        <is>
          <t>Accompagner le ministre à la campagne de sensibilisation au Québec</t>
        </is>
      </c>
      <c r="H2110" s="1" t="n">
        <v>45197</v>
      </c>
      <c r="I2110" s="1" t="n">
        <v>45198</v>
      </c>
      <c r="J2110" t="inlineStr">
        <is>
          <t>Saint-Hyacinthe (Quebec) Canada</t>
        </is>
      </c>
      <c r="K2110" t="inlineStr">
        <is>
          <t>Saint-Hyacinthe (Québec) Canada</t>
        </is>
      </c>
      <c r="P2110" t="n">
        <v>0</v>
      </c>
      <c r="Q2110" t="n">
        <v>281.88</v>
      </c>
      <c r="R2110" t="n">
        <v>208.26</v>
      </c>
      <c r="S2110" t="n">
        <v>47.5</v>
      </c>
      <c r="T2110" t="n">
        <v>0</v>
      </c>
      <c r="U2110" t="n">
        <v>537.64</v>
      </c>
      <c r="X2110" t="inlineStr">
        <is>
          <t>aafc-aac</t>
        </is>
      </c>
      <c r="Y2110" t="inlineStr">
        <is>
          <t>Agriculture and Agri-Food Canada | Agriculture et Agroalimentaire Canada</t>
        </is>
      </c>
    </row>
    <row r="2111">
      <c r="A2111" t="inlineStr">
        <is>
          <t>T-2024-P7-0011</t>
        </is>
      </c>
      <c r="B2111" t="inlineStr">
        <is>
          <t>SLE</t>
        </is>
      </c>
      <c r="C2111" t="inlineStr">
        <is>
          <t>Deputy Minister</t>
        </is>
      </c>
      <c r="D2111" t="inlineStr">
        <is>
          <t>Sous-ministre</t>
        </is>
      </c>
      <c r="E2111" t="inlineStr">
        <is>
          <t>Stefanie Beck</t>
        </is>
      </c>
      <c r="F2111" t="inlineStr">
        <is>
          <t>To attend Outreach meetings</t>
        </is>
      </c>
      <c r="G2111" t="inlineStr">
        <is>
          <t>Participer aux réunions de sensibilisation</t>
        </is>
      </c>
      <c r="H2111" s="1" t="n">
        <v>45176</v>
      </c>
      <c r="I2111" s="1" t="n">
        <v>45182</v>
      </c>
      <c r="J2111" t="inlineStr">
        <is>
          <t>Charlottetown (Prince Edward Island) Canada</t>
        </is>
      </c>
      <c r="K2111" t="inlineStr">
        <is>
          <t>Charlottetown (Île-du-Prince-Édouard), Canada</t>
        </is>
      </c>
      <c r="P2111" t="n">
        <v>1763.82</v>
      </c>
      <c r="Q2111" t="n">
        <v>0</v>
      </c>
      <c r="R2111" t="n">
        <v>2251.44</v>
      </c>
      <c r="S2111" t="n">
        <v>692.5</v>
      </c>
      <c r="T2111" t="n">
        <v>0</v>
      </c>
      <c r="U2111" t="n">
        <v>4707.76</v>
      </c>
      <c r="X2111" t="inlineStr">
        <is>
          <t>aafc-aac</t>
        </is>
      </c>
      <c r="Y2111" t="inlineStr">
        <is>
          <t>Agriculture and Agri-Food Canada | Agriculture et Agroalimentaire Canada</t>
        </is>
      </c>
    </row>
    <row r="2112">
      <c r="A2112" t="inlineStr">
        <is>
          <t>T-2024-P7-0012</t>
        </is>
      </c>
      <c r="B2112" t="inlineStr">
        <is>
          <t>SLE</t>
        </is>
      </c>
      <c r="C2112" t="inlineStr">
        <is>
          <t>Deputy Minister</t>
        </is>
      </c>
      <c r="D2112" t="inlineStr">
        <is>
          <t>Sous-ministre</t>
        </is>
      </c>
      <c r="E2112" t="inlineStr">
        <is>
          <t>Stefanie Beck</t>
        </is>
      </c>
      <c r="F2112" t="inlineStr">
        <is>
          <t>To attend Outreach meetings</t>
        </is>
      </c>
      <c r="G2112" t="inlineStr">
        <is>
          <t>Participer aux réunions de sensibilisation</t>
        </is>
      </c>
      <c r="H2112" s="1" t="n">
        <v>45209</v>
      </c>
      <c r="I2112" s="1" t="n">
        <v>45210</v>
      </c>
      <c r="J2112" t="inlineStr">
        <is>
          <t>Toronto (Ontario) Canada</t>
        </is>
      </c>
      <c r="K2112" t="inlineStr">
        <is>
          <t>Toronto (Ontario) Canada</t>
        </is>
      </c>
      <c r="P2112" t="n">
        <v>679.41</v>
      </c>
      <c r="Q2112" t="n">
        <v>74.75</v>
      </c>
      <c r="R2112" t="n">
        <v>322.21</v>
      </c>
      <c r="S2112" t="n">
        <v>119.7</v>
      </c>
      <c r="T2112" t="n">
        <v>0</v>
      </c>
      <c r="U2112" t="n">
        <v>1196.07</v>
      </c>
      <c r="X2112" t="inlineStr">
        <is>
          <t>aafc-aac</t>
        </is>
      </c>
      <c r="Y2112" t="inlineStr">
        <is>
          <t>Agriculture and Agri-Food Canada | Agriculture et Agroalimentaire Canada</t>
        </is>
      </c>
    </row>
    <row r="2113">
      <c r="A2113" t="inlineStr">
        <is>
          <t>T-2024-P7-0013</t>
        </is>
      </c>
      <c r="B2113" t="inlineStr">
        <is>
          <t>SLE</t>
        </is>
      </c>
      <c r="C2113" t="inlineStr">
        <is>
          <t>Deputy Minister</t>
        </is>
      </c>
      <c r="D2113" t="inlineStr">
        <is>
          <t>Sous-ministre</t>
        </is>
      </c>
      <c r="E2113" t="inlineStr">
        <is>
          <t>Stefanie Beck</t>
        </is>
      </c>
      <c r="F2113" t="inlineStr">
        <is>
          <t>To attend Outreach meetings</t>
        </is>
      </c>
      <c r="G2113" t="inlineStr">
        <is>
          <t>Participer aux réunions de sensibilisation</t>
        </is>
      </c>
      <c r="H2113" s="1" t="n">
        <v>45211</v>
      </c>
      <c r="I2113" s="1" t="n">
        <v>45212</v>
      </c>
      <c r="J2113" t="inlineStr">
        <is>
          <t>Saint-Hyacinthe (Quebec) Canada</t>
        </is>
      </c>
      <c r="K2113" t="inlineStr">
        <is>
          <t>Saint-Hyacinthe (Québec) Canada</t>
        </is>
      </c>
      <c r="P2113" t="n">
        <v>0</v>
      </c>
      <c r="Q2113" t="n">
        <v>0</v>
      </c>
      <c r="R2113" t="n">
        <v>272.51</v>
      </c>
      <c r="S2113" t="n">
        <v>119.4</v>
      </c>
      <c r="T2113" t="n">
        <v>0</v>
      </c>
      <c r="U2113" t="n">
        <v>391.91</v>
      </c>
      <c r="X2113" t="inlineStr">
        <is>
          <t>aafc-aac</t>
        </is>
      </c>
      <c r="Y2113" t="inlineStr">
        <is>
          <t>Agriculture and Agri-Food Canada | Agriculture et Agroalimentaire Canada</t>
        </is>
      </c>
    </row>
    <row r="2114">
      <c r="A2114" t="inlineStr">
        <is>
          <t>T-2024-P7-0014</t>
        </is>
      </c>
      <c r="B2114" t="inlineStr">
        <is>
          <t>SLE</t>
        </is>
      </c>
      <c r="C2114" t="inlineStr">
        <is>
          <t>Assistant Deputy Minister, Science and Technology Branch</t>
        </is>
      </c>
      <c r="D2114" t="inlineStr">
        <is>
          <t>Sous-ministre adjoint, Direction générale des sciences et de la technologie</t>
        </is>
      </c>
      <c r="E2114" t="inlineStr">
        <is>
          <t>Gilles Saindon</t>
        </is>
      </c>
      <c r="F2114" t="inlineStr">
        <is>
          <t xml:space="preserve">To attend the International Forum on Agroecosystems Living Labs </t>
        </is>
      </c>
      <c r="G2114" t="inlineStr">
        <is>
          <t>Participer au Forum international des laboratoires vivants dans les agroécosystèmes 2023</t>
        </is>
      </c>
      <c r="H2114" s="1" t="n">
        <v>45202</v>
      </c>
      <c r="I2114" s="1" t="n">
        <v>45203</v>
      </c>
      <c r="J2114" t="inlineStr">
        <is>
          <t>Montréal (Quebec) Canada</t>
        </is>
      </c>
      <c r="K2114" t="inlineStr">
        <is>
          <t>Montréal (Québec) Canada</t>
        </is>
      </c>
      <c r="P2114" t="n">
        <v>0</v>
      </c>
      <c r="Q2114" t="n">
        <v>251.42</v>
      </c>
      <c r="R2114" t="n">
        <v>367.71</v>
      </c>
      <c r="S2114" t="n">
        <v>58.95</v>
      </c>
      <c r="T2114" t="n">
        <v>0</v>
      </c>
      <c r="U2114" t="n">
        <v>678.08</v>
      </c>
      <c r="X2114" t="inlineStr">
        <is>
          <t>aafc-aac</t>
        </is>
      </c>
      <c r="Y2114" t="inlineStr">
        <is>
          <t>Agriculture and Agri-Food Canada | Agriculture et Agroalimentaire Canada</t>
        </is>
      </c>
    </row>
    <row r="2115">
      <c r="A2115" t="inlineStr">
        <is>
          <t>T-2024-P7-0015</t>
        </is>
      </c>
      <c r="B2115" t="inlineStr">
        <is>
          <t>SLE</t>
        </is>
      </c>
      <c r="C2115" t="inlineStr">
        <is>
          <t>Assistant Deputy Minister, Science and Technology Branch</t>
        </is>
      </c>
      <c r="D2115" t="inlineStr">
        <is>
          <t>Sous-ministre adjoint, Direction générale des sciences et de la technologie</t>
        </is>
      </c>
      <c r="E2115" t="inlineStr">
        <is>
          <t>Gilles Saindon</t>
        </is>
      </c>
      <c r="F2115" t="inlineStr">
        <is>
          <t>To attend the Departmental Audit Committee</t>
        </is>
      </c>
      <c r="G2115" t="inlineStr">
        <is>
          <t>Participer au comité ministériel de vérification</t>
        </is>
      </c>
      <c r="H2115" s="1" t="n">
        <v>45210</v>
      </c>
      <c r="I2115" s="1" t="n">
        <v>45212</v>
      </c>
      <c r="J2115" t="inlineStr">
        <is>
          <t>Saint-Hyacinthe (Quebec) Canada</t>
        </is>
      </c>
      <c r="K2115" t="inlineStr">
        <is>
          <t>Saint-Hyacinthe (Québec) Canada</t>
        </is>
      </c>
      <c r="P2115" t="n">
        <v>0</v>
      </c>
      <c r="Q2115" t="n">
        <v>355.88</v>
      </c>
      <c r="R2115" t="n">
        <v>333.2</v>
      </c>
      <c r="S2115" t="n">
        <v>197.45</v>
      </c>
      <c r="T2115" t="n">
        <v>0</v>
      </c>
      <c r="U2115" t="n">
        <v>886.53</v>
      </c>
      <c r="X2115" t="inlineStr">
        <is>
          <t>aafc-aac</t>
        </is>
      </c>
      <c r="Y2115" t="inlineStr">
        <is>
          <t>Agriculture and Agri-Food Canada | Agriculture et Agroalimentaire Canada</t>
        </is>
      </c>
    </row>
    <row r="2116">
      <c r="A2116" t="inlineStr">
        <is>
          <t>T-2024-P7-0016</t>
        </is>
      </c>
      <c r="B2116" t="inlineStr">
        <is>
          <t>SLE</t>
        </is>
      </c>
      <c r="C2116" t="inlineStr">
        <is>
          <t>Assistant Deputy Minister, Science and Technology Branch</t>
        </is>
      </c>
      <c r="D2116" t="inlineStr">
        <is>
          <t>Sous-ministre adjoint, Direction générale des sciences et de la technologie</t>
        </is>
      </c>
      <c r="E2116" t="inlineStr">
        <is>
          <t>Gilles Saindon</t>
        </is>
      </c>
      <c r="F2116" t="inlineStr">
        <is>
          <t>To attend the Lacombe Outreach and meet face-to-face with Associate Directors</t>
        </is>
      </c>
      <c r="G2116" t="inlineStr">
        <is>
          <t>Participer à une rencontre de sensibilisation et rencontrer les directeurs associés en personne à Lacombe</t>
        </is>
      </c>
      <c r="H2116" s="1" t="n">
        <v>41563</v>
      </c>
      <c r="I2116" s="1" t="n">
        <v>45218</v>
      </c>
      <c r="J2116" t="inlineStr">
        <is>
          <t>Lacombe (Alberta) Canada</t>
        </is>
      </c>
      <c r="K2116" t="inlineStr">
        <is>
          <t>Lacombe (Alberta) Canada</t>
        </is>
      </c>
      <c r="P2116" t="n">
        <v>1550.06</v>
      </c>
      <c r="Q2116" t="n">
        <v>327.3</v>
      </c>
      <c r="R2116" t="n">
        <v>405.48</v>
      </c>
      <c r="S2116" t="n">
        <v>348.85</v>
      </c>
      <c r="T2116" t="n">
        <v>0</v>
      </c>
      <c r="U2116" t="n">
        <v>2631.69</v>
      </c>
      <c r="X2116" t="inlineStr">
        <is>
          <t>aafc-aac</t>
        </is>
      </c>
      <c r="Y2116" t="inlineStr">
        <is>
          <t>Agriculture and Agri-Food Canada | Agriculture et Agroalimentaire Canada</t>
        </is>
      </c>
    </row>
    <row r="2117">
      <c r="A2117" t="inlineStr">
        <is>
          <t>T-2024-P7-0017</t>
        </is>
      </c>
      <c r="B2117" t="inlineStr">
        <is>
          <t>SLE</t>
        </is>
      </c>
      <c r="C2117" t="inlineStr">
        <is>
          <t>Associate Assistant Deputy Minister, Science and Technology Branch</t>
        </is>
      </c>
      <c r="D2117" t="inlineStr">
        <is>
          <t>Sous-ministre adjoint délégué, Direction générale des sciences et de la technologie</t>
        </is>
      </c>
      <c r="E2117" t="inlineStr">
        <is>
          <t>Andrew Goldstein</t>
        </is>
      </c>
      <c r="F2117" t="inlineStr">
        <is>
          <t>To attend an outreach and meet with staff at the Kentville and Charlottetown Research and Development Centres</t>
        </is>
      </c>
      <c r="G2117" t="inlineStr">
        <is>
          <t>Participer à une rencontre de sensibilisation avec le personnel des centres de recherche et de développement à Kentville et de Charlottetown</t>
        </is>
      </c>
      <c r="H2117" s="1" t="n">
        <v>45188</v>
      </c>
      <c r="I2117" s="1" t="n">
        <v>45190</v>
      </c>
      <c r="J2117" t="inlineStr">
        <is>
          <t>Kentville (Nova Scotia) Canada
Charlottetown (Prince Edward Island) Canada</t>
        </is>
      </c>
      <c r="K2117" t="inlineStr">
        <is>
          <t>Kentville (Nouvelle-Écosse) Canada
Charlottetown (Île-du-Prince Édouard) Canada</t>
        </is>
      </c>
      <c r="P2117" t="n">
        <v>379.69</v>
      </c>
      <c r="Q2117" t="n">
        <v>644.71</v>
      </c>
      <c r="R2117" t="n">
        <v>423.8</v>
      </c>
      <c r="S2117" t="n">
        <v>370.2</v>
      </c>
      <c r="T2117" t="n">
        <v>0</v>
      </c>
      <c r="U2117" t="n">
        <v>1818.4</v>
      </c>
      <c r="X2117" t="inlineStr">
        <is>
          <t>aafc-aac</t>
        </is>
      </c>
      <c r="Y2117" t="inlineStr">
        <is>
          <t>Agriculture and Agri-Food Canada | Agriculture et Agroalimentaire Canada</t>
        </is>
      </c>
    </row>
    <row r="2118">
      <c r="A2118" t="inlineStr">
        <is>
          <t>T-2024-P7-0018</t>
        </is>
      </c>
      <c r="B2118" t="inlineStr">
        <is>
          <t>SLE</t>
        </is>
      </c>
      <c r="C2118" t="inlineStr">
        <is>
          <t>Associate Assistant Deputy Minister, Science and Technology Branch</t>
        </is>
      </c>
      <c r="D2118" t="inlineStr">
        <is>
          <t>Sous-ministre adjoint délégué, Direction générale des sciences et de la technologie</t>
        </is>
      </c>
      <c r="E2118" t="inlineStr">
        <is>
          <t>Andrew Goldstein</t>
        </is>
      </c>
      <c r="F2118" t="inlineStr">
        <is>
          <t>To attend the Departmental Audit Committee</t>
        </is>
      </c>
      <c r="G2118" t="inlineStr">
        <is>
          <t>Participer au comité ministériel de vérification</t>
        </is>
      </c>
      <c r="H2118" s="1" t="n">
        <v>45211</v>
      </c>
      <c r="I2118" s="1" t="n">
        <v>45211</v>
      </c>
      <c r="J2118" t="inlineStr">
        <is>
          <t>Saint-Hyacinthe (Quebec) Canada</t>
        </is>
      </c>
      <c r="K2118" t="inlineStr">
        <is>
          <t>Saint-Hyacinthe (Québec) Canada</t>
        </is>
      </c>
      <c r="P2118" t="n">
        <v>0</v>
      </c>
      <c r="Q2118" t="n">
        <v>311.44</v>
      </c>
      <c r="R2118" t="n">
        <v>0</v>
      </c>
      <c r="S2118" t="n">
        <v>0</v>
      </c>
      <c r="T2118" t="n">
        <v>0</v>
      </c>
      <c r="U2118" t="n">
        <v>311.44</v>
      </c>
      <c r="X2118" t="inlineStr">
        <is>
          <t>aafc-aac</t>
        </is>
      </c>
      <c r="Y2118" t="inlineStr">
        <is>
          <t>Agriculture and Agri-Food Canada | Agriculture et Agroalimentaire Canada</t>
        </is>
      </c>
    </row>
    <row r="2119">
      <c r="A2119" t="inlineStr">
        <is>
          <t>T-2024-P7-0019</t>
        </is>
      </c>
      <c r="B2119" t="inlineStr">
        <is>
          <t>SLE</t>
        </is>
      </c>
      <c r="C2119" t="inlineStr">
        <is>
          <t>Assistant Deputy Minister, Corporate Management Branch</t>
        </is>
      </c>
      <c r="D2119" t="inlineStr">
        <is>
          <t>Sous-ministre adjointe, Direction générale de la gestion intégrée</t>
        </is>
      </c>
      <c r="E2119" t="inlineStr">
        <is>
          <t>Marie-Claude Guérard</t>
        </is>
      </c>
      <c r="F2119" t="inlineStr">
        <is>
          <t>To attend the Departmental Audit Committee</t>
        </is>
      </c>
      <c r="G2119" t="inlineStr">
        <is>
          <t>Participer au comité ministériel de vérification</t>
        </is>
      </c>
      <c r="H2119" s="1" t="n">
        <v>45211</v>
      </c>
      <c r="I2119" s="1" t="n">
        <v>45212</v>
      </c>
      <c r="J2119" t="inlineStr">
        <is>
          <t>Saint-Hyacinthe (Quebec) Canada</t>
        </is>
      </c>
      <c r="K2119" t="inlineStr">
        <is>
          <t>Saint-Hyacinthe (Québec) Canada</t>
        </is>
      </c>
      <c r="P2119" t="n">
        <v>0</v>
      </c>
      <c r="Q2119" t="n">
        <v>150.64</v>
      </c>
      <c r="R2119" t="n">
        <v>0</v>
      </c>
      <c r="S2119" t="n">
        <v>253.5</v>
      </c>
      <c r="T2119" t="n">
        <v>0</v>
      </c>
      <c r="U2119" t="n">
        <v>404.14</v>
      </c>
      <c r="X2119" t="inlineStr">
        <is>
          <t>aafc-aac</t>
        </is>
      </c>
      <c r="Y2119" t="inlineStr">
        <is>
          <t>Agriculture and Agri-Food Canada | Agriculture et Agroalimentaire Canada</t>
        </is>
      </c>
    </row>
    <row r="2120">
      <c r="A2120" t="inlineStr">
        <is>
          <t>T-2024-P7-0020</t>
        </is>
      </c>
      <c r="B2120" t="inlineStr">
        <is>
          <t>SLE</t>
        </is>
      </c>
      <c r="C2120" t="inlineStr">
        <is>
          <t>Assistant Deputy Minister, Corporate Management Branch</t>
        </is>
      </c>
      <c r="D2120" t="inlineStr">
        <is>
          <t>Sous-ministre adjointe, Direction générale de la gestion intégrée</t>
        </is>
      </c>
      <c r="E2120" t="inlineStr">
        <is>
          <t>Marie-Claude Guérard</t>
        </is>
      </c>
      <c r="F2120" t="inlineStr">
        <is>
          <t xml:space="preserve">To participate in the Northern Tour with the Executive Leadership Development Program (ELDP) </t>
        </is>
      </c>
      <c r="G2120" t="inlineStr">
        <is>
          <t>Participer au voyage au grand nord avec le programme de perfectionnement et apprentissage des cadres</t>
        </is>
      </c>
      <c r="H2120" s="1" t="n">
        <v>45214</v>
      </c>
      <c r="I2120" s="1" t="n">
        <v>45218</v>
      </c>
      <c r="J2120" t="inlineStr">
        <is>
          <t>Iqaluit (Nunavut) Canada</t>
        </is>
      </c>
      <c r="K2120" t="inlineStr">
        <is>
          <t>Iqaluit (Nunavut) Canada</t>
        </is>
      </c>
      <c r="P2120" t="n">
        <v>1746.47</v>
      </c>
      <c r="Q2120" t="n">
        <v>376.28</v>
      </c>
      <c r="R2120" t="n">
        <v>1213.83</v>
      </c>
      <c r="S2120" t="n">
        <v>618.6</v>
      </c>
      <c r="T2120" t="n">
        <v>0</v>
      </c>
      <c r="U2120" t="n">
        <v>3955.18</v>
      </c>
      <c r="X2120" t="inlineStr">
        <is>
          <t>aafc-aac</t>
        </is>
      </c>
      <c r="Y2120" t="inlineStr">
        <is>
          <t>Agriculture and Agri-Food Canada | Agriculture et Agroalimentaire Canada</t>
        </is>
      </c>
    </row>
    <row r="2121">
      <c r="A2121" t="inlineStr">
        <is>
          <t>T-2024-P7-0021</t>
        </is>
      </c>
      <c r="B2121" t="inlineStr">
        <is>
          <t>SLE</t>
        </is>
      </c>
      <c r="C2121" t="inlineStr">
        <is>
          <t>Assistant Deputy Minister, Programs Branch</t>
        </is>
      </c>
      <c r="D2121" t="inlineStr">
        <is>
          <t>Sous-ministre adjointe, Direction générale des programmes</t>
        </is>
      </c>
      <c r="E2121" t="inlineStr">
        <is>
          <t>Liz Foster</t>
        </is>
      </c>
      <c r="F2121" t="inlineStr">
        <is>
          <t>To paticipate in outreach</t>
        </is>
      </c>
      <c r="G2121" t="inlineStr">
        <is>
          <t>Participer à une activité de sensibilisation</t>
        </is>
      </c>
      <c r="H2121" s="1" t="n">
        <v>45215</v>
      </c>
      <c r="I2121" s="1" t="n">
        <v>45219</v>
      </c>
      <c r="J2121" t="inlineStr">
        <is>
          <t>Winnipeg (Manitoba) Canada</t>
        </is>
      </c>
      <c r="K2121" t="inlineStr">
        <is>
          <t>Winnipeg (Manitoba) Canada</t>
        </is>
      </c>
      <c r="P2121" t="n">
        <v>449.85</v>
      </c>
      <c r="Q2121" t="n">
        <v>128.22</v>
      </c>
      <c r="R2121" t="n">
        <v>1112.29</v>
      </c>
      <c r="S2121" t="n">
        <v>524.3</v>
      </c>
      <c r="T2121" t="n">
        <v>0</v>
      </c>
      <c r="U2121" t="n">
        <v>2214.66</v>
      </c>
      <c r="X2121" t="inlineStr">
        <is>
          <t>aafc-aac</t>
        </is>
      </c>
      <c r="Y2121" t="inlineStr">
        <is>
          <t>Agriculture and Agri-Food Canada | Agriculture et Agroalimentaire Canada</t>
        </is>
      </c>
    </row>
    <row r="2122">
      <c r="A2122" t="inlineStr">
        <is>
          <t>T-2024-P7-0022</t>
        </is>
      </c>
      <c r="B2122" t="inlineStr">
        <is>
          <t>SLE</t>
        </is>
      </c>
      <c r="C2122" t="inlineStr">
        <is>
          <t>Assistant Deputy Minister, Market and Industry Services Branch</t>
        </is>
      </c>
      <c r="D2122" t="inlineStr">
        <is>
          <t>Sous-ministre adjoint, Direction générale des services à l'industrie et aux marchés</t>
        </is>
      </c>
      <c r="E2122" t="inlineStr">
        <is>
          <t>Tom Rosser</t>
        </is>
      </c>
      <c r="F2122" t="inlineStr">
        <is>
          <t>To participate in regional outreach.</t>
        </is>
      </c>
      <c r="G2122" t="inlineStr">
        <is>
          <t>Participer à la sensibilisation régionale.</t>
        </is>
      </c>
      <c r="H2122" s="1" t="n">
        <v>45179</v>
      </c>
      <c r="I2122" s="1" t="n">
        <v>45181</v>
      </c>
      <c r="J2122" t="inlineStr">
        <is>
          <t>Saint-Hyacinthe (Quebec) Canada
Drummondville (Quebec) Canada</t>
        </is>
      </c>
      <c r="K2122" t="inlineStr">
        <is>
          <t>Saint-Hyacinthe (Québec) Canada, 
Drummondville (Québec) Canada</t>
        </is>
      </c>
      <c r="P2122" t="n">
        <v>0</v>
      </c>
      <c r="Q2122" t="n">
        <v>333.56</v>
      </c>
      <c r="R2122" t="n">
        <v>416.52</v>
      </c>
      <c r="S2122" t="n">
        <v>240.2</v>
      </c>
      <c r="T2122" t="n">
        <v>0</v>
      </c>
      <c r="U2122" t="n">
        <v>990.28</v>
      </c>
      <c r="X2122" t="inlineStr">
        <is>
          <t>aafc-aac</t>
        </is>
      </c>
      <c r="Y2122" t="inlineStr">
        <is>
          <t>Agriculture and Agri-Food Canada | Agriculture et Agroalimentaire Canada</t>
        </is>
      </c>
    </row>
    <row r="2123">
      <c r="A2123" t="inlineStr">
        <is>
          <t>T-2024-P7-0023</t>
        </is>
      </c>
      <c r="B2123" t="inlineStr">
        <is>
          <t>SLE</t>
        </is>
      </c>
      <c r="C2123" t="inlineStr">
        <is>
          <t>Assistant Deputy Minister, Market and Industry Services Branch</t>
        </is>
      </c>
      <c r="D2123" t="inlineStr">
        <is>
          <t>Sous-ministre adjoint, Direction générale des services à l'industrie et aux marchés</t>
        </is>
      </c>
      <c r="E2123" t="inlineStr">
        <is>
          <t>Tom Rosser</t>
        </is>
      </c>
      <c r="F2123" t="inlineStr">
        <is>
          <t>To participate in the meeting of Ministers of Agriculture of the Americas 2023 – Twenty-second Regular Meeting of the Inter-American Board of Agriculture.</t>
        </is>
      </c>
      <c r="G2123" t="inlineStr">
        <is>
          <t>Participer à la réunion des ministres de l'agriculture des Amériques 2023 – Vingt-deuxième réunion ordinaire du Conseil interaméricain de l'agriculture.</t>
        </is>
      </c>
      <c r="H2123" s="1" t="n">
        <v>45201</v>
      </c>
      <c r="I2123" s="1" t="n">
        <v>45205</v>
      </c>
      <c r="J2123" t="inlineStr">
        <is>
          <t>San José, Costa Rica</t>
        </is>
      </c>
      <c r="K2123" t="inlineStr">
        <is>
          <t>San José, Costa Rica</t>
        </is>
      </c>
      <c r="P2123" t="n">
        <v>1782.09</v>
      </c>
      <c r="Q2123" t="n">
        <v>81.88</v>
      </c>
      <c r="R2123" t="n">
        <v>741.92</v>
      </c>
      <c r="S2123" t="n">
        <v>598.84</v>
      </c>
      <c r="T2123" t="n">
        <v>0</v>
      </c>
      <c r="U2123" t="n">
        <v>3204.73</v>
      </c>
      <c r="X2123" t="inlineStr">
        <is>
          <t>aafc-aac</t>
        </is>
      </c>
      <c r="Y2123" t="inlineStr">
        <is>
          <t>Agriculture and Agri-Food Canada | Agriculture et Agroalimentaire Canada</t>
        </is>
      </c>
    </row>
    <row r="2124">
      <c r="A2124" t="inlineStr">
        <is>
          <t>T-2024-P7-0024</t>
        </is>
      </c>
      <c r="B2124" t="inlineStr">
        <is>
          <t>SLE</t>
        </is>
      </c>
      <c r="C2124" t="inlineStr">
        <is>
          <t>Assistant Deputy Minister, Market and Industry Services Branch</t>
        </is>
      </c>
      <c r="D2124" t="inlineStr">
        <is>
          <t>Sous-ministre adjoint, Direction générale des services à l'industrie et aux marchés</t>
        </is>
      </c>
      <c r="E2124" t="inlineStr">
        <is>
          <t>Tom Rosser</t>
        </is>
      </c>
      <c r="F2124" t="inlineStr">
        <is>
          <t>To participate in regional outreach and staff engagement.</t>
        </is>
      </c>
      <c r="G2124" t="inlineStr">
        <is>
          <t>Participer à la sensibilisation régionale et à l’engagement du personnel.</t>
        </is>
      </c>
      <c r="H2124" s="1" t="n">
        <v>45208</v>
      </c>
      <c r="I2124" s="1" t="n">
        <v>45209</v>
      </c>
      <c r="J2124" t="inlineStr">
        <is>
          <t>Montréal (Quebec) Canada</t>
        </is>
      </c>
      <c r="K2124" t="inlineStr">
        <is>
          <t>Montréal (Québec) Canada</t>
        </is>
      </c>
      <c r="P2124" t="n">
        <v>0</v>
      </c>
      <c r="Q2124" t="n">
        <v>341.7</v>
      </c>
      <c r="R2124" t="n">
        <v>236.82</v>
      </c>
      <c r="S2124" t="n">
        <v>58.95</v>
      </c>
      <c r="T2124" t="n">
        <v>0</v>
      </c>
      <c r="U2124" t="n">
        <v>637.47</v>
      </c>
      <c r="X2124" t="inlineStr">
        <is>
          <t>aafc-aac</t>
        </is>
      </c>
      <c r="Y2124" t="inlineStr">
        <is>
          <t>Agriculture and Agri-Food Canada | Agriculture et Agroalimentaire Canada</t>
        </is>
      </c>
    </row>
    <row r="2125">
      <c r="A2125" t="inlineStr">
        <is>
          <t>T-2024-P8-0001</t>
        </is>
      </c>
      <c r="B2125" t="inlineStr">
        <is>
          <t>MPSES</t>
        </is>
      </c>
      <c r="C2125" t="inlineStr">
        <is>
          <t>Minister</t>
        </is>
      </c>
      <c r="D2125" t="inlineStr">
        <is>
          <t>Ministre</t>
        </is>
      </c>
      <c r="E2125" t="inlineStr">
        <is>
          <t>Lawrence MacAulay</t>
        </is>
      </c>
      <c r="F2125" t="inlineStr">
        <is>
          <t>To attend a tour in Japan</t>
        </is>
      </c>
      <c r="G2125" t="inlineStr">
        <is>
          <t>Participer à une visite au Japon</t>
        </is>
      </c>
      <c r="H2125" s="1" t="n">
        <v>45226</v>
      </c>
      <c r="I2125" s="1" t="n">
        <v>45235</v>
      </c>
      <c r="J2125" t="inlineStr">
        <is>
          <t>Hanoi, Vietnam
Tokyo, Japan
Seoul, South Korea</t>
        </is>
      </c>
      <c r="K2125" t="inlineStr">
        <is>
          <t>Hanoi, Vietnam
Tokyo, Japon
Séoul, Corée du Sud</t>
        </is>
      </c>
      <c r="P2125" t="n">
        <v>16702.64</v>
      </c>
      <c r="Q2125" t="n">
        <v>0</v>
      </c>
      <c r="R2125" t="n">
        <v>2419.4</v>
      </c>
      <c r="S2125" t="n">
        <v>1081.16</v>
      </c>
      <c r="T2125" t="n">
        <v>0</v>
      </c>
      <c r="U2125" t="n">
        <v>20203.2</v>
      </c>
      <c r="X2125" t="inlineStr">
        <is>
          <t>aafc-aac</t>
        </is>
      </c>
      <c r="Y2125" t="inlineStr">
        <is>
          <t>Agriculture and Agri-Food Canada | Agriculture et Agroalimentaire Canada</t>
        </is>
      </c>
    </row>
    <row r="2126">
      <c r="A2126" t="inlineStr">
        <is>
          <t>T-2024-P8-0002</t>
        </is>
      </c>
      <c r="B2126" t="inlineStr">
        <is>
          <t>MPSES</t>
        </is>
      </c>
      <c r="C2126" t="inlineStr">
        <is>
          <t>Director of Regional Affairs</t>
        </is>
      </c>
      <c r="D2126" t="inlineStr">
        <is>
          <t>Directrice des affaires régionales</t>
        </is>
      </c>
      <c r="E2126" t="inlineStr">
        <is>
          <t>Alison Porter</t>
        </is>
      </c>
      <c r="F2126" t="inlineStr">
        <is>
          <t>To attend a staff retreat</t>
        </is>
      </c>
      <c r="G2126" t="inlineStr">
        <is>
          <t>Participer à une retraite du personnel</t>
        </is>
      </c>
      <c r="H2126" s="1" t="n">
        <v>45191</v>
      </c>
      <c r="I2126" s="1" t="n">
        <v>45191</v>
      </c>
      <c r="J2126" t="inlineStr">
        <is>
          <t>Ottawa (Ontario) Canada</t>
        </is>
      </c>
      <c r="K2126" t="inlineStr">
        <is>
          <t>Ottawa (Ontario) Canada</t>
        </is>
      </c>
      <c r="P2126" t="n">
        <v>0</v>
      </c>
      <c r="Q2126" t="n">
        <v>251.14</v>
      </c>
      <c r="R2126" t="n">
        <v>0</v>
      </c>
      <c r="S2126" t="n">
        <v>0</v>
      </c>
      <c r="T2126" t="n">
        <v>0</v>
      </c>
      <c r="U2126" t="n">
        <v>251.14</v>
      </c>
      <c r="X2126" t="inlineStr">
        <is>
          <t>aafc-aac</t>
        </is>
      </c>
      <c r="Y2126" t="inlineStr">
        <is>
          <t>Agriculture and Agri-Food Canada | Agriculture et Agroalimentaire Canada</t>
        </is>
      </c>
    </row>
    <row r="2127">
      <c r="A2127" t="inlineStr">
        <is>
          <t>T-2024-P8-0003</t>
        </is>
      </c>
      <c r="B2127" t="inlineStr">
        <is>
          <t>MPSES</t>
        </is>
      </c>
      <c r="C2127" t="inlineStr">
        <is>
          <t>Director of Regional Affairs</t>
        </is>
      </c>
      <c r="D2127" t="inlineStr">
        <is>
          <t>Directrice des affaires régionales</t>
        </is>
      </c>
      <c r="E2127" t="inlineStr">
        <is>
          <t>Alison Porter</t>
        </is>
      </c>
      <c r="F2127" t="inlineStr">
        <is>
          <t>Reimbursement for passport photo</t>
        </is>
      </c>
      <c r="G2127" t="inlineStr">
        <is>
          <t>Remboursement de la photo de passeport</t>
        </is>
      </c>
      <c r="H2127" s="1" t="n">
        <v>45204</v>
      </c>
      <c r="I2127" s="1" t="n">
        <v>45204</v>
      </c>
      <c r="J2127" t="inlineStr">
        <is>
          <t>Ottawa (Ontario) Canada</t>
        </is>
      </c>
      <c r="K2127" t="inlineStr">
        <is>
          <t>Ottawa (Ontario) Canada</t>
        </is>
      </c>
      <c r="P2127" t="n">
        <v>0</v>
      </c>
      <c r="Q2127" t="n">
        <v>0</v>
      </c>
      <c r="R2127" t="n">
        <v>0</v>
      </c>
      <c r="S2127" t="n">
        <v>0</v>
      </c>
      <c r="T2127" t="n">
        <v>36.73</v>
      </c>
      <c r="U2127" t="n">
        <v>36.73</v>
      </c>
      <c r="X2127" t="inlineStr">
        <is>
          <t>aafc-aac</t>
        </is>
      </c>
      <c r="Y2127" t="inlineStr">
        <is>
          <t>Agriculture and Agri-Food Canada | Agriculture et Agroalimentaire Canada</t>
        </is>
      </c>
    </row>
    <row r="2128">
      <c r="A2128" t="inlineStr">
        <is>
          <t>T-2024-P8-0004</t>
        </is>
      </c>
      <c r="B2128" t="inlineStr">
        <is>
          <t>MPSES</t>
        </is>
      </c>
      <c r="C2128" t="inlineStr">
        <is>
          <t>Director of Regional Affairs</t>
        </is>
      </c>
      <c r="D2128" t="inlineStr">
        <is>
          <t>Directrice des affaires régionales</t>
        </is>
      </c>
      <c r="E2128" t="inlineStr">
        <is>
          <t>Alison Porter</t>
        </is>
      </c>
      <c r="F2128" t="inlineStr">
        <is>
          <t>To assist the Minister with a tour</t>
        </is>
      </c>
      <c r="G2128" t="inlineStr">
        <is>
          <t>Soutenir le ministre lors d'une visite</t>
        </is>
      </c>
      <c r="H2128" s="1" t="n">
        <v>45226</v>
      </c>
      <c r="I2128" s="1" t="n">
        <v>45233</v>
      </c>
      <c r="J2128" t="inlineStr">
        <is>
          <t>Hanoi, Vietnam
Tokyo, Japan
Seoul, South Korea</t>
        </is>
      </c>
      <c r="K2128" t="inlineStr">
        <is>
          <t>Hanoi, Vietnam
Tokyo, Japon
Séoul, Corée du Sud</t>
        </is>
      </c>
      <c r="P2128" t="n">
        <v>9923.459999999999</v>
      </c>
      <c r="Q2128" t="n">
        <v>101.44</v>
      </c>
      <c r="R2128" t="n">
        <v>2437.04</v>
      </c>
      <c r="S2128" t="n">
        <v>1028.62</v>
      </c>
      <c r="T2128" t="n">
        <v>36.56</v>
      </c>
      <c r="U2128" t="n">
        <v>13527.12</v>
      </c>
      <c r="X2128" t="inlineStr">
        <is>
          <t>aafc-aac</t>
        </is>
      </c>
      <c r="Y2128" t="inlineStr">
        <is>
          <t>Agriculture and Agri-Food Canada | Agriculture et Agroalimentaire Canada</t>
        </is>
      </c>
    </row>
    <row r="2129">
      <c r="A2129" t="inlineStr">
        <is>
          <t>T-2024-P8-0005</t>
        </is>
      </c>
      <c r="B2129" t="inlineStr">
        <is>
          <t>MPSES</t>
        </is>
      </c>
      <c r="C2129" t="inlineStr">
        <is>
          <t>Chief of Staff</t>
        </is>
      </c>
      <c r="D2129" t="inlineStr">
        <is>
          <t>Chef de cabinet</t>
        </is>
      </c>
      <c r="E2129" t="inlineStr">
        <is>
          <t>Matthew Mann</t>
        </is>
      </c>
      <c r="F2129" t="inlineStr">
        <is>
          <t>To support the Minister with a tour</t>
        </is>
      </c>
      <c r="G2129" t="inlineStr">
        <is>
          <t>Soutenir le ministre lors d'une visite</t>
        </is>
      </c>
      <c r="H2129" s="1" t="n">
        <v>45226</v>
      </c>
      <c r="I2129" s="1" t="n">
        <v>45235</v>
      </c>
      <c r="J2129" t="inlineStr">
        <is>
          <t>Hanoi, Vietnam
Tokyo, Japan
Seoul, South Korea</t>
        </is>
      </c>
      <c r="K2129" t="inlineStr">
        <is>
          <t>Hanoi, Vietnam
Tokyo, Japon
Séoul, Corée du Sud</t>
        </is>
      </c>
      <c r="P2129" t="n">
        <v>10700.29</v>
      </c>
      <c r="Q2129" t="n">
        <v>26.97</v>
      </c>
      <c r="R2129" t="n">
        <v>2419.4</v>
      </c>
      <c r="S2129" t="n">
        <v>1081.16</v>
      </c>
      <c r="T2129" t="n">
        <v>0</v>
      </c>
      <c r="U2129" t="n">
        <v>14227.82</v>
      </c>
      <c r="X2129" t="inlineStr">
        <is>
          <t>aafc-aac</t>
        </is>
      </c>
      <c r="Y2129" t="inlineStr">
        <is>
          <t>Agriculture and Agri-Food Canada | Agriculture et Agroalimentaire Canada</t>
        </is>
      </c>
    </row>
    <row r="2130">
      <c r="A2130" t="inlineStr">
        <is>
          <t>T-2024-P8-0006</t>
        </is>
      </c>
      <c r="B2130" t="inlineStr">
        <is>
          <t>MPSES</t>
        </is>
      </c>
      <c r="C2130" t="inlineStr">
        <is>
          <t>Chief of Staff</t>
        </is>
      </c>
      <c r="D2130" t="inlineStr">
        <is>
          <t>Chef de cabinet</t>
        </is>
      </c>
      <c r="E2130" t="inlineStr">
        <is>
          <t>Matthew Mann</t>
        </is>
      </c>
      <c r="F2130" t="inlineStr">
        <is>
          <t>To support the Minister at briefings and government events</t>
        </is>
      </c>
      <c r="G2130" t="inlineStr">
        <is>
          <t>Soutenir le ministre lors de réunions d'information et d'événements gouvernementaux</t>
        </is>
      </c>
      <c r="H2130" s="1" t="n">
        <v>45245</v>
      </c>
      <c r="I2130" s="1" t="n">
        <v>45248</v>
      </c>
      <c r="J2130" t="inlineStr">
        <is>
          <t>Charlottetown (Prince Edward Island) Canada</t>
        </is>
      </c>
      <c r="K2130" t="inlineStr">
        <is>
          <t>Charlottetown (Île-du-Prince-Édouard) Canada</t>
        </is>
      </c>
      <c r="P2130" t="n">
        <v>1156.51</v>
      </c>
      <c r="Q2130" t="n">
        <v>299.17</v>
      </c>
      <c r="R2130" t="n">
        <v>707.16</v>
      </c>
      <c r="S2130" t="n">
        <v>303.7</v>
      </c>
      <c r="T2130" t="n">
        <v>0</v>
      </c>
      <c r="U2130" t="n">
        <v>2466.54</v>
      </c>
      <c r="X2130" t="inlineStr">
        <is>
          <t>aafc-aac</t>
        </is>
      </c>
      <c r="Y2130" t="inlineStr">
        <is>
          <t>Agriculture and Agri-Food Canada | Agriculture et Agroalimentaire Canada</t>
        </is>
      </c>
    </row>
    <row r="2131">
      <c r="A2131" t="inlineStr">
        <is>
          <t>T-2024-P8-0007</t>
        </is>
      </c>
      <c r="B2131" t="inlineStr">
        <is>
          <t>MPSES</t>
        </is>
      </c>
      <c r="C2131" t="inlineStr">
        <is>
          <t>Director of Communications</t>
        </is>
      </c>
      <c r="D2131" t="inlineStr">
        <is>
          <t>Directrice des communications</t>
        </is>
      </c>
      <c r="E2131" t="inlineStr">
        <is>
          <t>Annie Cullinan</t>
        </is>
      </c>
      <c r="F2131" t="inlineStr">
        <is>
          <t>To support the Minister at the Funding announcement and meetings with stakeholders</t>
        </is>
      </c>
      <c r="G2131" t="inlineStr">
        <is>
          <t>Soutenir le ministre lors de l'annonce du financement et des réunions avec les parties prenantes</t>
        </is>
      </c>
      <c r="H2131" s="1" t="n">
        <v>45249</v>
      </c>
      <c r="I2131" s="1" t="n">
        <v>45250</v>
      </c>
      <c r="J2131" t="inlineStr">
        <is>
          <t>Toronto (Ontario) Canada</t>
        </is>
      </c>
      <c r="K2131" t="inlineStr">
        <is>
          <t>Toronto (Ontario) Canada</t>
        </is>
      </c>
      <c r="P2131" t="n">
        <v>1408.27</v>
      </c>
      <c r="Q2131" t="n">
        <v>72.23</v>
      </c>
      <c r="R2131" t="n">
        <v>238.36</v>
      </c>
      <c r="S2131" t="n">
        <v>60.45</v>
      </c>
      <c r="T2131" t="n">
        <v>0</v>
      </c>
      <c r="U2131" t="n">
        <v>1779.31</v>
      </c>
      <c r="X2131" t="inlineStr">
        <is>
          <t>aafc-aac</t>
        </is>
      </c>
      <c r="Y2131" t="inlineStr">
        <is>
          <t>Agriculture and Agri-Food Canada | Agriculture et Agroalimentaire Canada</t>
        </is>
      </c>
    </row>
    <row r="2132">
      <c r="A2132" t="inlineStr">
        <is>
          <t>T-2024-P8-0008</t>
        </is>
      </c>
      <c r="B2132" t="inlineStr">
        <is>
          <t>MPSES</t>
        </is>
      </c>
      <c r="C2132" t="inlineStr">
        <is>
          <t>Parliamentary Secretary</t>
        </is>
      </c>
      <c r="D2132" t="inlineStr">
        <is>
          <t>Secrétaire parlementaire</t>
        </is>
      </c>
      <c r="E2132" t="inlineStr">
        <is>
          <t>Francis Drouin</t>
        </is>
      </c>
      <c r="F2132" t="inlineStr">
        <is>
          <t>To attend a Quebec Outreach</t>
        </is>
      </c>
      <c r="G2132" t="inlineStr">
        <is>
          <t>Participer aux rencontres de sensibilisation au Québec</t>
        </is>
      </c>
      <c r="H2132" s="1" t="n">
        <v>45243</v>
      </c>
      <c r="I2132" s="1" t="n">
        <v>45244</v>
      </c>
      <c r="J2132" t="inlineStr">
        <is>
          <t>Québec (Quebec) Canada</t>
        </is>
      </c>
      <c r="K2132" t="inlineStr">
        <is>
          <t>Québec (Québec) Canada</t>
        </is>
      </c>
      <c r="P2132" t="n">
        <v>0</v>
      </c>
      <c r="Q2132" t="n">
        <v>533.95</v>
      </c>
      <c r="R2132" t="n">
        <v>162.75</v>
      </c>
      <c r="S2132" t="n">
        <v>49.3</v>
      </c>
      <c r="T2132" t="n">
        <v>0</v>
      </c>
      <c r="U2132" t="n">
        <v>746</v>
      </c>
      <c r="X2132" t="inlineStr">
        <is>
          <t>aafc-aac</t>
        </is>
      </c>
      <c r="Y2132" t="inlineStr">
        <is>
          <t>Agriculture and Agri-Food Canada | Agriculture et Agroalimentaire Canada</t>
        </is>
      </c>
    </row>
    <row r="2133">
      <c r="A2133" t="inlineStr">
        <is>
          <t>T-2024-P8-0009</t>
        </is>
      </c>
      <c r="B2133" t="inlineStr">
        <is>
          <t>MPSES</t>
        </is>
      </c>
      <c r="C2133" t="inlineStr">
        <is>
          <t>Assistant to the Parliamentary Secretary</t>
        </is>
      </c>
      <c r="D2133" t="inlineStr">
        <is>
          <t>Adjoint au secrétaire parlementaire</t>
        </is>
      </c>
      <c r="E2133" t="inlineStr">
        <is>
          <t>Patrick Mangan</t>
        </is>
      </c>
      <c r="F2133" t="inlineStr">
        <is>
          <t>To attend a Quebec Outreach</t>
        </is>
      </c>
      <c r="G2133" t="inlineStr">
        <is>
          <t>Pour participer aux rencontres de sensibilisation au Québec</t>
        </is>
      </c>
      <c r="H2133" s="1" t="n">
        <v>45242</v>
      </c>
      <c r="I2133" s="1" t="n">
        <v>45244</v>
      </c>
      <c r="J2133" t="inlineStr">
        <is>
          <t>Québec (Quebec) Canada</t>
        </is>
      </c>
      <c r="K2133" t="inlineStr">
        <is>
          <t>Québec (Québec) Canada</t>
        </is>
      </c>
      <c r="P2133" t="n">
        <v>0</v>
      </c>
      <c r="Q2133" t="n">
        <v>170.49</v>
      </c>
      <c r="R2133" t="n">
        <v>359.5</v>
      </c>
      <c r="S2133" t="n">
        <v>109.75</v>
      </c>
      <c r="T2133" t="n">
        <v>0</v>
      </c>
      <c r="U2133" t="n">
        <v>639.74</v>
      </c>
      <c r="X2133" t="inlineStr">
        <is>
          <t>aafc-aac</t>
        </is>
      </c>
      <c r="Y2133" t="inlineStr">
        <is>
          <t>Agriculture and Agri-Food Canada | Agriculture et Agroalimentaire Canada</t>
        </is>
      </c>
    </row>
    <row r="2134">
      <c r="A2134" t="inlineStr">
        <is>
          <t>T-2024-P8-0010</t>
        </is>
      </c>
      <c r="B2134" t="inlineStr">
        <is>
          <t>SLE</t>
        </is>
      </c>
      <c r="C2134" t="inlineStr">
        <is>
          <t>Workplace Well-Being Ombudsperson</t>
        </is>
      </c>
      <c r="D2134" t="inlineStr">
        <is>
          <t>Ombudsman du mieux-être en milieu de travail</t>
        </is>
      </c>
      <c r="E2134" t="inlineStr">
        <is>
          <t xml:space="preserve">Elianne Hall </t>
        </is>
      </c>
      <c r="F2134" t="inlineStr">
        <is>
          <t>To attend the British Columbia Outreach</t>
        </is>
      </c>
      <c r="G2134" t="inlineStr">
        <is>
          <t>Participer aux rencontres de sensibilisation en Colombie-Britannique</t>
        </is>
      </c>
      <c r="H2134" s="1" t="n">
        <v>45221</v>
      </c>
      <c r="I2134" s="1" t="n">
        <v>45227</v>
      </c>
      <c r="J2134" t="inlineStr">
        <is>
          <t>Kelowna (British Columbia) Canada</t>
        </is>
      </c>
      <c r="K2134" t="inlineStr">
        <is>
          <t>Kelowna (Colombie-Britannique) Canada</t>
        </is>
      </c>
      <c r="P2134" t="n">
        <v>747.8</v>
      </c>
      <c r="Q2134" t="n">
        <v>815.8099999999999</v>
      </c>
      <c r="R2134" t="n">
        <v>1149.93</v>
      </c>
      <c r="S2134" t="n">
        <v>729.1</v>
      </c>
      <c r="T2134" t="n">
        <v>42</v>
      </c>
      <c r="U2134" t="n">
        <v>3484.64</v>
      </c>
      <c r="X2134" t="inlineStr">
        <is>
          <t>aafc-aac</t>
        </is>
      </c>
      <c r="Y2134" t="inlineStr">
        <is>
          <t>Agriculture and Agri-Food Canada | Agriculture et Agroalimentaire Canada</t>
        </is>
      </c>
    </row>
    <row r="2135">
      <c r="A2135" t="inlineStr">
        <is>
          <t>T-2024-P8-0011</t>
        </is>
      </c>
      <c r="B2135" t="inlineStr">
        <is>
          <t>SLE</t>
        </is>
      </c>
      <c r="C2135" t="inlineStr">
        <is>
          <t>Assistant Deputy Minister, Science and Technology Branch</t>
        </is>
      </c>
      <c r="D2135" t="inlineStr">
        <is>
          <t>Sous-ministre adjoint, Direction générale des sciences et de la technologie</t>
        </is>
      </c>
      <c r="E2135" t="inlineStr">
        <is>
          <t>Gilles Saindon</t>
        </is>
      </c>
      <c r="F2135" t="inlineStr">
        <is>
          <t>To attend (on behalf of the Deputy minister) a session on "Quantum Tech to Quantum Solutions: Pathways for Industry Adoption" hosted by the University of Calgary in Ottawa; breafkast with President Ed McCauley</t>
        </is>
      </c>
      <c r="G2135" t="inlineStr">
        <is>
          <t>Participer (au nom de la sous-ministre) à une séance intitulée « Technologie quantique aux solutions quantiques : voies d'adoption par l'industrie » organisée par l'Université de Calgary à Ottawa ; petit-déjeuner avec le président Ed McCauley</t>
        </is>
      </c>
      <c r="H2135" s="1" t="n">
        <v>45222</v>
      </c>
      <c r="I2135" s="1" t="n">
        <v>45222</v>
      </c>
      <c r="J2135" t="inlineStr">
        <is>
          <t>Ottawa (Ontario) Canada</t>
        </is>
      </c>
      <c r="K2135" t="inlineStr">
        <is>
          <t>Ottawa (Ontario) Canada</t>
        </is>
      </c>
      <c r="P2135" t="n">
        <v>0</v>
      </c>
      <c r="Q2135" t="n">
        <v>10.5</v>
      </c>
      <c r="R2135" t="n">
        <v>0</v>
      </c>
      <c r="S2135" t="n">
        <v>0</v>
      </c>
      <c r="T2135" t="n">
        <v>0</v>
      </c>
      <c r="U2135" t="n">
        <v>10.5</v>
      </c>
      <c r="X2135" t="inlineStr">
        <is>
          <t>aafc-aac</t>
        </is>
      </c>
      <c r="Y2135" t="inlineStr">
        <is>
          <t>Agriculture and Agri-Food Canada | Agriculture et Agroalimentaire Canada</t>
        </is>
      </c>
    </row>
    <row r="2136">
      <c r="A2136" t="inlineStr">
        <is>
          <t>T-2024-P8-0012</t>
        </is>
      </c>
      <c r="B2136" t="inlineStr">
        <is>
          <t>SLE</t>
        </is>
      </c>
      <c r="C2136" t="inlineStr">
        <is>
          <t>Assistant Deputy Minister, Science and Technology Branch</t>
        </is>
      </c>
      <c r="D2136" t="inlineStr">
        <is>
          <t>Sous-ministre adjoint, Direction générale des sciences et de la technologie</t>
        </is>
      </c>
      <c r="E2136" t="inlineStr">
        <is>
          <t>Gilles Saindon</t>
        </is>
      </c>
      <c r="F2136" t="inlineStr">
        <is>
          <t>To attend the Confidential Executive-Level Sponsor Briefing - Expert Panel on Regulating Gene-Edited Organisms for Pest Control</t>
        </is>
      </c>
      <c r="G2136" t="inlineStr">
        <is>
          <t>Participer à la réunion d'information confidentielle des sponsors au niveau de la direction - Le comité d’experts sur la réglementation des organismes à génome modifié dans la lutte antiparasitaire</t>
        </is>
      </c>
      <c r="H2136" s="1" t="n">
        <v>45224</v>
      </c>
      <c r="I2136" s="1" t="n">
        <v>45224</v>
      </c>
      <c r="J2136" t="inlineStr">
        <is>
          <t>Ottawa (Ontario) Canada</t>
        </is>
      </c>
      <c r="K2136" t="inlineStr">
        <is>
          <t>Ottawa (Ontario) Canada</t>
        </is>
      </c>
      <c r="P2136" t="n">
        <v>0</v>
      </c>
      <c r="Q2136" t="n">
        <v>21</v>
      </c>
      <c r="R2136" t="n">
        <v>0</v>
      </c>
      <c r="S2136" t="n">
        <v>0</v>
      </c>
      <c r="T2136" t="n">
        <v>0</v>
      </c>
      <c r="U2136" t="n">
        <v>21</v>
      </c>
      <c r="X2136" t="inlineStr">
        <is>
          <t>aafc-aac</t>
        </is>
      </c>
      <c r="Y2136" t="inlineStr">
        <is>
          <t>Agriculture and Agri-Food Canada | Agriculture et Agroalimentaire Canada</t>
        </is>
      </c>
    </row>
    <row r="2137">
      <c r="A2137" t="inlineStr">
        <is>
          <t>T-2024-P8-0013</t>
        </is>
      </c>
      <c r="B2137" t="inlineStr">
        <is>
          <t>SLE</t>
        </is>
      </c>
      <c r="C2137" t="inlineStr">
        <is>
          <t>Assistant Deputy Minister, Science and Technology Branch</t>
        </is>
      </c>
      <c r="D2137" t="inlineStr">
        <is>
          <t>Sous-ministre adjoint, Direction générale des sciences et de la technologie</t>
        </is>
      </c>
      <c r="E2137" t="inlineStr">
        <is>
          <t>Gilles Saindon</t>
        </is>
      </c>
      <c r="F2137" t="inlineStr">
        <is>
          <t>To attend the Seeds Canada Parliamentary Reception</t>
        </is>
      </c>
      <c r="G2137" t="inlineStr">
        <is>
          <t>Participer à la réception parlementaire de Semences Canada</t>
        </is>
      </c>
      <c r="H2137" s="1" t="n">
        <v>45224</v>
      </c>
      <c r="I2137" s="1" t="n">
        <v>45224</v>
      </c>
      <c r="J2137" t="inlineStr">
        <is>
          <t>Ottawa (Ontario) Canada</t>
        </is>
      </c>
      <c r="K2137" t="inlineStr">
        <is>
          <t>Ottawa (Ontario) Canada</t>
        </is>
      </c>
      <c r="P2137" t="n">
        <v>0</v>
      </c>
      <c r="Q2137" t="n">
        <v>11.5</v>
      </c>
      <c r="R2137" t="n">
        <v>0</v>
      </c>
      <c r="S2137" t="n">
        <v>0</v>
      </c>
      <c r="T2137" t="n">
        <v>0</v>
      </c>
      <c r="U2137" t="n">
        <v>11.5</v>
      </c>
      <c r="X2137" t="inlineStr">
        <is>
          <t>aafc-aac</t>
        </is>
      </c>
      <c r="Y2137" t="inlineStr">
        <is>
          <t>Agriculture and Agri-Food Canada | Agriculture et Agroalimentaire Canada</t>
        </is>
      </c>
    </row>
    <row r="2138">
      <c r="A2138" t="inlineStr">
        <is>
          <t>T-2024-P8-0014</t>
        </is>
      </c>
      <c r="B2138" t="inlineStr">
        <is>
          <t>SLE</t>
        </is>
      </c>
      <c r="C2138" t="inlineStr">
        <is>
          <t>Assistant Deputy Minister, Science and Technology Branch</t>
        </is>
      </c>
      <c r="D2138" t="inlineStr">
        <is>
          <t>Sous-ministre adjoint, Direction générale des sciences et de la technologie</t>
        </is>
      </c>
      <c r="E2138" t="inlineStr">
        <is>
          <t>Gilles Saindon</t>
        </is>
      </c>
      <c r="F2138" t="inlineStr">
        <is>
          <t>To attend the Inter-American Institute for Cooperations of Agriculture Canada's Advisory Committee meeting</t>
        </is>
      </c>
      <c r="G2138" t="inlineStr">
        <is>
          <t>Participer à la réunion du Comité consultatif du Canada de " Inter-American Institute for Cooperations of Agriculture"</t>
        </is>
      </c>
      <c r="H2138" s="1" t="n">
        <v>45231</v>
      </c>
      <c r="I2138" s="1" t="n">
        <v>45231</v>
      </c>
      <c r="J2138" t="inlineStr">
        <is>
          <t>Ottawa (Ontario) Canada</t>
        </is>
      </c>
      <c r="K2138" t="inlineStr">
        <is>
          <t>Ottawa (Ontario) Canada</t>
        </is>
      </c>
      <c r="P2138" t="n">
        <v>0</v>
      </c>
      <c r="Q2138" t="n">
        <v>21</v>
      </c>
      <c r="R2138" t="n">
        <v>0</v>
      </c>
      <c r="S2138" t="n">
        <v>0</v>
      </c>
      <c r="T2138" t="n">
        <v>0</v>
      </c>
      <c r="U2138" t="n">
        <v>21</v>
      </c>
      <c r="X2138" t="inlineStr">
        <is>
          <t>aafc-aac</t>
        </is>
      </c>
      <c r="Y2138" t="inlineStr">
        <is>
          <t>Agriculture and Agri-Food Canada | Agriculture et Agroalimentaire Canada</t>
        </is>
      </c>
    </row>
    <row r="2139">
      <c r="A2139" t="inlineStr">
        <is>
          <t>T-2024-P8-0015</t>
        </is>
      </c>
      <c r="B2139" t="inlineStr">
        <is>
          <t>SLE</t>
        </is>
      </c>
      <c r="C2139" t="inlineStr">
        <is>
          <t>Assistant Deputy Minister, International Affairs Branch</t>
        </is>
      </c>
      <c r="D2139" t="inlineStr">
        <is>
          <t>Sous-ministre adjointe, Direction générale des affaires internationales</t>
        </is>
      </c>
      <c r="E2139" t="inlineStr">
        <is>
          <t xml:space="preserve">Kathleen Donohue </t>
        </is>
      </c>
      <c r="F2139" t="inlineStr">
        <is>
          <t>To attend Ivey program activities</t>
        </is>
      </c>
      <c r="G2139" t="inlineStr">
        <is>
          <t>Participer aux activités du programme Ivey</t>
        </is>
      </c>
      <c r="H2139" s="1" t="n">
        <v>45194</v>
      </c>
      <c r="I2139" s="1" t="n">
        <v>45198</v>
      </c>
      <c r="J2139" t="inlineStr">
        <is>
          <t xml:space="preserve">London (Ontario) Canada </t>
        </is>
      </c>
      <c r="K2139" t="inlineStr">
        <is>
          <t xml:space="preserve">London (Ontario) Canada </t>
        </is>
      </c>
      <c r="P2139" t="n">
        <v>0</v>
      </c>
      <c r="Q2139" t="n">
        <v>795.28</v>
      </c>
      <c r="R2139" t="n">
        <v>0</v>
      </c>
      <c r="S2139" t="n">
        <v>251.2</v>
      </c>
      <c r="T2139" t="n">
        <v>0</v>
      </c>
      <c r="U2139" t="n">
        <v>1046.48</v>
      </c>
      <c r="X2139" t="inlineStr">
        <is>
          <t>aafc-aac</t>
        </is>
      </c>
      <c r="Y2139" t="inlineStr">
        <is>
          <t>Agriculture and Agri-Food Canada | Agriculture et Agroalimentaire Canada</t>
        </is>
      </c>
    </row>
    <row r="2140">
      <c r="A2140" t="inlineStr">
        <is>
          <t>T-2024-P8-0016</t>
        </is>
      </c>
      <c r="B2140" t="inlineStr">
        <is>
          <t>SLE</t>
        </is>
      </c>
      <c r="C2140" t="inlineStr">
        <is>
          <t>Assistant Deputy Minister, International Affairs Branch</t>
        </is>
      </c>
      <c r="D2140" t="inlineStr">
        <is>
          <t>Sous-ministre adjointe, Direction générale des affaires internationales</t>
        </is>
      </c>
      <c r="E2140" t="inlineStr">
        <is>
          <t xml:space="preserve">Kathleen Donohue </t>
        </is>
      </c>
      <c r="F2140" t="inlineStr">
        <is>
          <t>To attend the Global Forum for Rural Advisory Services Annual Meeting</t>
        </is>
      </c>
      <c r="G2140" t="inlineStr">
        <is>
          <t>Participer à la réunion annuelle du Forum mondial sur les services de conseil rural</t>
        </is>
      </c>
      <c r="H2140" s="1" t="n">
        <v>45215</v>
      </c>
      <c r="I2140" s="1" t="n">
        <v>45218</v>
      </c>
      <c r="J2140" t="inlineStr">
        <is>
          <t>Denver (Colorado) United States</t>
        </is>
      </c>
      <c r="K2140" t="inlineStr">
        <is>
          <t>Denver (Colorado) États-Unis</t>
        </is>
      </c>
      <c r="P2140" t="n">
        <v>1950.68</v>
      </c>
      <c r="Q2140" t="n">
        <v>84.48</v>
      </c>
      <c r="R2140" t="n">
        <v>2602.48</v>
      </c>
      <c r="S2140" t="n">
        <v>278.6</v>
      </c>
      <c r="T2140" t="n">
        <v>0</v>
      </c>
      <c r="U2140" t="n">
        <v>4916.24</v>
      </c>
      <c r="X2140" t="inlineStr">
        <is>
          <t>aafc-aac</t>
        </is>
      </c>
      <c r="Y2140" t="inlineStr">
        <is>
          <t>Agriculture and Agri-Food Canada | Agriculture et Agroalimentaire Canada</t>
        </is>
      </c>
    </row>
    <row r="2141">
      <c r="A2141" t="inlineStr">
        <is>
          <t>T-2024-P8-0017</t>
        </is>
      </c>
      <c r="B2141" t="inlineStr">
        <is>
          <t>SLE</t>
        </is>
      </c>
      <c r="C2141" t="inlineStr">
        <is>
          <t>Acting Chief Audit Executive</t>
        </is>
      </c>
      <c r="D2141" t="inlineStr">
        <is>
          <t>Dirigeant intérimaire de la vérification</t>
        </is>
      </c>
      <c r="E2141" t="inlineStr">
        <is>
          <t>Douglas Forster</t>
        </is>
      </c>
      <c r="F2141" t="inlineStr">
        <is>
          <t>To attend Departmental Audit Committee meeting</t>
        </is>
      </c>
      <c r="G2141" t="inlineStr">
        <is>
          <t>Participer au comité ministériel de vérification</t>
        </is>
      </c>
      <c r="H2141" s="1" t="n">
        <v>45210</v>
      </c>
      <c r="I2141" s="1" t="n">
        <v>45212</v>
      </c>
      <c r="J2141" t="inlineStr">
        <is>
          <t>Saint-Hyacinthe (Quebec) Canada</t>
        </is>
      </c>
      <c r="K2141" t="inlineStr">
        <is>
          <t>Saint-Hyacinthe (Québec) Canada</t>
        </is>
      </c>
      <c r="P2141" t="n">
        <v>0</v>
      </c>
      <c r="Q2141" t="n">
        <v>292.05</v>
      </c>
      <c r="R2141" t="n">
        <v>337.07</v>
      </c>
      <c r="S2141" t="n">
        <v>172.8</v>
      </c>
      <c r="T2141" t="n">
        <v>0</v>
      </c>
      <c r="U2141" t="n">
        <v>801.92</v>
      </c>
      <c r="X2141" t="inlineStr">
        <is>
          <t>aafc-aac</t>
        </is>
      </c>
      <c r="Y2141" t="inlineStr">
        <is>
          <t>Agriculture and Agri-Food Canada | Agriculture et Agroalimentaire Canada</t>
        </is>
      </c>
    </row>
    <row r="2142">
      <c r="A2142" t="inlineStr">
        <is>
          <t>T-2024-P8-0018</t>
        </is>
      </c>
      <c r="B2142" t="inlineStr">
        <is>
          <t>SLE</t>
        </is>
      </c>
      <c r="C2142" t="inlineStr">
        <is>
          <t>Assistant Deputy Minister, Corporate Management Branch</t>
        </is>
      </c>
      <c r="D2142" t="inlineStr">
        <is>
          <t>Sous-ministre adjointe, Direction générale de la gestion intégrée</t>
        </is>
      </c>
      <c r="E2142" t="inlineStr">
        <is>
          <t>Marie-Claude Guérard</t>
        </is>
      </c>
      <c r="F2142" t="inlineStr">
        <is>
          <t>To attend in-person meetings in Ottawa</t>
        </is>
      </c>
      <c r="G2142" t="inlineStr">
        <is>
          <t>Participer à une rencontre en-personne à Ottawa</t>
        </is>
      </c>
      <c r="H2142" s="1" t="n">
        <v>45222</v>
      </c>
      <c r="I2142" s="1" t="n">
        <v>45224</v>
      </c>
      <c r="J2142" t="inlineStr">
        <is>
          <t>Ottawa (Ontario) Canada</t>
        </is>
      </c>
      <c r="K2142" t="inlineStr">
        <is>
          <t>Ottawa (Ontario) Canada</t>
        </is>
      </c>
      <c r="P2142" t="n">
        <v>0</v>
      </c>
      <c r="Q2142" t="n">
        <v>637.42</v>
      </c>
      <c r="R2142" t="n">
        <v>793.26</v>
      </c>
      <c r="S2142" t="n">
        <v>337.1</v>
      </c>
      <c r="T2142" t="n">
        <v>0</v>
      </c>
      <c r="U2142" t="n">
        <v>1767.78</v>
      </c>
      <c r="X2142" t="inlineStr">
        <is>
          <t>aafc-aac</t>
        </is>
      </c>
      <c r="Y2142" t="inlineStr">
        <is>
          <t>Agriculture and Agri-Food Canada | Agriculture et Agroalimentaire Canada</t>
        </is>
      </c>
    </row>
    <row r="2143">
      <c r="A2143" t="inlineStr">
        <is>
          <t>T-2024-P8-0019</t>
        </is>
      </c>
      <c r="B2143" t="inlineStr">
        <is>
          <t>SLE</t>
        </is>
      </c>
      <c r="C2143" t="inlineStr">
        <is>
          <t>Assistant Deputy Minister, Corporate Management Branch</t>
        </is>
      </c>
      <c r="D2143" t="inlineStr">
        <is>
          <t>Sous-ministre adjointe, Direction générale de la gestion intégrée</t>
        </is>
      </c>
      <c r="E2143" t="inlineStr">
        <is>
          <t>Marie-Claude Guérard</t>
        </is>
      </c>
      <c r="F2143" t="inlineStr">
        <is>
          <t>To attend in-person meetings in Ottawa</t>
        </is>
      </c>
      <c r="G2143" t="inlineStr">
        <is>
          <t>Participer à une rencontre en-personne à Ottawa</t>
        </is>
      </c>
      <c r="H2143" s="1" t="n">
        <v>45238</v>
      </c>
      <c r="I2143" s="1" t="n">
        <v>45239</v>
      </c>
      <c r="J2143" t="inlineStr">
        <is>
          <t>Ottawa (Ontario) Canada</t>
        </is>
      </c>
      <c r="K2143" t="inlineStr">
        <is>
          <t>Ottawa (Ontario) Canada</t>
        </is>
      </c>
      <c r="P2143" t="n">
        <v>0</v>
      </c>
      <c r="Q2143" t="n">
        <v>453.9</v>
      </c>
      <c r="R2143" t="n">
        <v>210.36</v>
      </c>
      <c r="S2143" t="n">
        <v>168.7</v>
      </c>
      <c r="T2143" t="n">
        <v>0</v>
      </c>
      <c r="U2143" t="n">
        <v>832.96</v>
      </c>
      <c r="X2143" t="inlineStr">
        <is>
          <t>aafc-aac</t>
        </is>
      </c>
      <c r="Y2143" t="inlineStr">
        <is>
          <t>Agriculture and Agri-Food Canada | Agriculture et Agroalimentaire Canada</t>
        </is>
      </c>
    </row>
    <row r="2144">
      <c r="A2144" t="inlineStr">
        <is>
          <t>T-2024-P8-0020</t>
        </is>
      </c>
      <c r="B2144" t="inlineStr">
        <is>
          <t>SLE</t>
        </is>
      </c>
      <c r="C2144" t="inlineStr">
        <is>
          <t>Assistant Deputy Minister, Strategic Policy Branch</t>
        </is>
      </c>
      <c r="D2144" t="inlineStr">
        <is>
          <t>Sous-ministre adjointe, Direction générale des politiques stratégiques</t>
        </is>
      </c>
      <c r="E2144" t="inlineStr">
        <is>
          <t>Shannon Nix</t>
        </is>
      </c>
      <c r="F2144" t="inlineStr">
        <is>
          <t>To engage with stakeholders across the grain supply chain</t>
        </is>
      </c>
      <c r="G2144" t="inlineStr">
        <is>
          <t>Interargir avec les parties prenantes de la chaîne d'approvisionnement en céréales</t>
        </is>
      </c>
      <c r="H2144" s="1" t="n">
        <v>45214</v>
      </c>
      <c r="I2144" s="1" t="n">
        <v>45219</v>
      </c>
      <c r="J2144" t="inlineStr">
        <is>
          <t>Edmonton (Alberta) CanadaVancouver (British Columbia) Canada</t>
        </is>
      </c>
      <c r="K2144" t="inlineStr">
        <is>
          <t>Edmonton (Alberta) CanadaVancouver (Colombie-Britannique) Canada</t>
        </is>
      </c>
      <c r="P2144" t="n">
        <v>1673.06</v>
      </c>
      <c r="Q2144" t="n">
        <v>120.66</v>
      </c>
      <c r="R2144" t="n">
        <v>1334.61</v>
      </c>
      <c r="S2144" t="n">
        <v>541.3</v>
      </c>
      <c r="T2144" t="n">
        <v>0</v>
      </c>
      <c r="U2144" t="n">
        <v>3669.63</v>
      </c>
      <c r="X2144" t="inlineStr">
        <is>
          <t>aafc-aac</t>
        </is>
      </c>
      <c r="Y2144" t="inlineStr">
        <is>
          <t>Agriculture and Agri-Food Canada | Agriculture et Agroalimentaire Canada</t>
        </is>
      </c>
    </row>
    <row r="2145">
      <c r="A2145" t="inlineStr">
        <is>
          <t>T-2024-P8-0021</t>
        </is>
      </c>
      <c r="B2145" t="inlineStr">
        <is>
          <t>SLE</t>
        </is>
      </c>
      <c r="C2145" t="inlineStr">
        <is>
          <t>Assistant Deputy Minister, Strategic Policy Branch</t>
        </is>
      </c>
      <c r="D2145" t="inlineStr">
        <is>
          <t>Sous-ministre adjointe, Direction générale des politiques stratégiques</t>
        </is>
      </c>
      <c r="E2145" t="inlineStr">
        <is>
          <t>Shannon Nix</t>
        </is>
      </c>
      <c r="F2145" t="inlineStr">
        <is>
          <t>To attend meetings.</t>
        </is>
      </c>
      <c r="G2145" t="inlineStr">
        <is>
          <t>Participer à des réunions.</t>
        </is>
      </c>
      <c r="H2145" s="1" t="n">
        <v>45189</v>
      </c>
      <c r="I2145" s="1" t="n">
        <v>45225</v>
      </c>
      <c r="J2145" t="inlineStr">
        <is>
          <t>Ottawa (Ontario) Canada</t>
        </is>
      </c>
      <c r="K2145" t="inlineStr">
        <is>
          <t>Ottawa (Ontario) Canada</t>
        </is>
      </c>
      <c r="P2145" t="n">
        <v>0</v>
      </c>
      <c r="Q2145" t="n">
        <v>75.97</v>
      </c>
      <c r="R2145" t="n">
        <v>0</v>
      </c>
      <c r="S2145" t="n">
        <v>0</v>
      </c>
      <c r="T2145" t="n">
        <v>0</v>
      </c>
      <c r="U2145" t="n">
        <v>75.97</v>
      </c>
      <c r="X2145" t="inlineStr">
        <is>
          <t>aafc-aac</t>
        </is>
      </c>
      <c r="Y2145" t="inlineStr">
        <is>
          <t>Agriculture and Agri-Food Canada | Agriculture et Agroalimentaire Canada</t>
        </is>
      </c>
    </row>
    <row r="2146">
      <c r="A2146" t="inlineStr">
        <is>
          <t>T-2024-P8-0022</t>
        </is>
      </c>
      <c r="B2146" t="inlineStr">
        <is>
          <t>SLE</t>
        </is>
      </c>
      <c r="C2146" t="inlineStr">
        <is>
          <t>Assistant Deputy Minister, Market and Industry Services Branch</t>
        </is>
      </c>
      <c r="D2146" t="inlineStr">
        <is>
          <t>Sous-ministre adjoint, Direction générale des services à l'industrie et aux marchés</t>
        </is>
      </c>
      <c r="E2146" t="inlineStr">
        <is>
          <t>Tom Rosser</t>
        </is>
      </c>
      <c r="F2146" t="inlineStr">
        <is>
          <t>To participate in regional outreach.</t>
        </is>
      </c>
      <c r="G2146" t="inlineStr">
        <is>
          <t>Participer à la sensibilisation régionale.</t>
        </is>
      </c>
      <c r="H2146" s="1" t="n">
        <v>45221</v>
      </c>
      <c r="I2146" s="1" t="n">
        <v>45223</v>
      </c>
      <c r="J2146" t="inlineStr">
        <is>
          <t xml:space="preserve">Halifax (Nova Scotia) Canada </t>
        </is>
      </c>
      <c r="K2146" t="inlineStr">
        <is>
          <t>Halifax (Nouvelle-Écosse) Canada</t>
        </is>
      </c>
      <c r="P2146" t="n">
        <v>1080.14</v>
      </c>
      <c r="Q2146" t="n">
        <v>133.48</v>
      </c>
      <c r="R2146" t="n">
        <v>457.48</v>
      </c>
      <c r="S2146" t="n">
        <v>355.9</v>
      </c>
      <c r="T2146" t="n">
        <v>57.6</v>
      </c>
      <c r="U2146" t="n">
        <v>2084.6</v>
      </c>
      <c r="X2146" t="inlineStr">
        <is>
          <t>aafc-aac</t>
        </is>
      </c>
      <c r="Y2146" t="inlineStr">
        <is>
          <t>Agriculture and Agri-Food Canada | Agriculture et Agroalimentaire Canada</t>
        </is>
      </c>
    </row>
    <row r="2147">
      <c r="A2147" t="inlineStr">
        <is>
          <t>T-2024-P9-001</t>
        </is>
      </c>
      <c r="B2147" t="inlineStr">
        <is>
          <t>MPSES</t>
        </is>
      </c>
      <c r="C2147" t="inlineStr">
        <is>
          <t>Minister</t>
        </is>
      </c>
      <c r="D2147" t="inlineStr">
        <is>
          <t>Ministre</t>
        </is>
      </c>
      <c r="E2147" t="inlineStr">
        <is>
          <t>Lawrence MacAulay</t>
        </is>
      </c>
      <c r="F2147" t="inlineStr">
        <is>
          <t>To attend an Outreach tour</t>
        </is>
      </c>
      <c r="G2147" t="inlineStr">
        <is>
          <t>Participer à une visite de sensibilisation</t>
        </is>
      </c>
      <c r="H2147" s="1" t="n">
        <v>45243</v>
      </c>
      <c r="I2147" s="1" t="n">
        <v>45246</v>
      </c>
      <c r="J2147" t="inlineStr">
        <is>
          <t>Winnipeg (Manitoba) Canada</t>
        </is>
      </c>
      <c r="K2147" t="inlineStr">
        <is>
          <t>Winnipeg (Manitoba) Canada</t>
        </is>
      </c>
      <c r="P2147" t="n">
        <v>2267.21</v>
      </c>
      <c r="Q2147" t="n">
        <v>0</v>
      </c>
      <c r="R2147" t="n">
        <v>412.72</v>
      </c>
      <c r="S2147" t="n">
        <v>304</v>
      </c>
      <c r="T2147" t="n">
        <v>0</v>
      </c>
      <c r="U2147" t="n">
        <v>2983.93</v>
      </c>
      <c r="X2147" t="inlineStr">
        <is>
          <t>aafc-aac</t>
        </is>
      </c>
      <c r="Y2147" t="inlineStr">
        <is>
          <t>Agriculture and Agri-Food Canada | Agriculture et Agroalimentaire Canada</t>
        </is>
      </c>
    </row>
    <row r="2148">
      <c r="A2148" t="inlineStr">
        <is>
          <t>T-2024-P9-002</t>
        </is>
      </c>
      <c r="B2148" t="inlineStr">
        <is>
          <t>MPSES</t>
        </is>
      </c>
      <c r="C2148" t="inlineStr">
        <is>
          <t>Minister</t>
        </is>
      </c>
      <c r="D2148" t="inlineStr">
        <is>
          <t>Ministre</t>
        </is>
      </c>
      <c r="E2148" t="inlineStr">
        <is>
          <t>Lawrence MacAulay</t>
        </is>
      </c>
      <c r="F2148" t="inlineStr">
        <is>
          <t>To attend a funding announcement and attend meetings with stakeholders</t>
        </is>
      </c>
      <c r="G2148" t="inlineStr">
        <is>
          <t>Participer à une annonce de financement et à des réunions avec les parties prenantes</t>
        </is>
      </c>
      <c r="H2148" s="1" t="n">
        <v>45249</v>
      </c>
      <c r="I2148" s="1" t="n">
        <v>45250</v>
      </c>
      <c r="J2148" t="inlineStr">
        <is>
          <t>Toronto (Ontario) Canada</t>
        </is>
      </c>
      <c r="K2148" t="inlineStr">
        <is>
          <t>Toronto (Ontario) Canada</t>
        </is>
      </c>
      <c r="P2148" t="n">
        <v>1449.14</v>
      </c>
      <c r="Q2148" t="n">
        <v>0</v>
      </c>
      <c r="R2148" t="n">
        <v>238.36</v>
      </c>
      <c r="S2148" t="n">
        <v>60.45</v>
      </c>
      <c r="T2148" t="n">
        <v>0</v>
      </c>
      <c r="U2148" t="n">
        <v>1747.95</v>
      </c>
      <c r="X2148" t="inlineStr">
        <is>
          <t>aafc-aac</t>
        </is>
      </c>
      <c r="Y2148" t="inlineStr">
        <is>
          <t>Agriculture and Agri-Food Canada | Agriculture et Agroalimentaire Canada</t>
        </is>
      </c>
    </row>
    <row r="2149">
      <c r="A2149" t="inlineStr">
        <is>
          <t>T-2024-P9-003</t>
        </is>
      </c>
      <c r="B2149" t="inlineStr">
        <is>
          <t>MPSES</t>
        </is>
      </c>
      <c r="C2149" t="inlineStr">
        <is>
          <t>Director of Regional Affairs</t>
        </is>
      </c>
      <c r="D2149" t="inlineStr">
        <is>
          <t>Directrice des affaires régionales</t>
        </is>
      </c>
      <c r="E2149" t="inlineStr">
        <is>
          <t>Alison Porter</t>
        </is>
      </c>
      <c r="F2149" t="inlineStr">
        <is>
          <t>To attend meetings with the Minister</t>
        </is>
      </c>
      <c r="G2149" t="inlineStr">
        <is>
          <t>Assister aux réunions avec le ministre</t>
        </is>
      </c>
      <c r="H2149" s="1" t="n">
        <v>45252</v>
      </c>
      <c r="I2149" s="1" t="n">
        <v>45253</v>
      </c>
      <c r="J2149" t="inlineStr">
        <is>
          <t>Ottawa (Ontario) Canada</t>
        </is>
      </c>
      <c r="K2149" t="inlineStr">
        <is>
          <t>Ottawa (Ontario) Canada</t>
        </is>
      </c>
      <c r="P2149" t="n">
        <v>0</v>
      </c>
      <c r="Q2149" t="n">
        <v>279.55</v>
      </c>
      <c r="R2149" t="n">
        <v>233.86</v>
      </c>
      <c r="S2149" t="n">
        <v>0</v>
      </c>
      <c r="T2149" t="n">
        <v>0</v>
      </c>
      <c r="U2149" t="n">
        <v>513.41</v>
      </c>
      <c r="X2149" t="inlineStr">
        <is>
          <t>aafc-aac</t>
        </is>
      </c>
      <c r="Y2149" t="inlineStr">
        <is>
          <t>Agriculture and Agri-Food Canada | Agriculture et Agroalimentaire Canada</t>
        </is>
      </c>
    </row>
    <row r="2150">
      <c r="A2150" t="inlineStr">
        <is>
          <t>T-2024-P9-004</t>
        </is>
      </c>
      <c r="B2150" t="inlineStr">
        <is>
          <t>SLE</t>
        </is>
      </c>
      <c r="C2150" t="inlineStr">
        <is>
          <t>Deputy Minister</t>
        </is>
      </c>
      <c r="D2150" t="inlineStr">
        <is>
          <t>Sous-ministre</t>
        </is>
      </c>
      <c r="E2150" t="inlineStr">
        <is>
          <t>Stefanie Beck</t>
        </is>
      </c>
      <c r="F2150" t="inlineStr">
        <is>
          <t>To attend an Outreach in Vancouver and assist the Minister with a tour Japan, Vietnam and Sount Korea</t>
        </is>
      </c>
      <c r="G2150" t="inlineStr">
        <is>
          <t>Participer à une campagne de sensibilisation à Vancouver et aider le ministre à organiser une tournée au Japon, au Vietnam et en Corée du Sud.</t>
        </is>
      </c>
      <c r="H2150" s="1" t="n">
        <v>45224</v>
      </c>
      <c r="I2150" s="1" t="n">
        <v>45234</v>
      </c>
      <c r="J2150" t="inlineStr">
        <is>
          <t>Vancouver (British-Columbia) Canada
Hanoi, Vietnam
Tokyo, Japan
Seoul, South Korea</t>
        </is>
      </c>
      <c r="K2150" t="inlineStr">
        <is>
          <t>Vancouver, (Colombie-Britannique) Canada
Hanoi, Vietnam
Tokyo, Japon
Séoul, Corée du Sud</t>
        </is>
      </c>
      <c r="P2150" t="n">
        <v>16710.56</v>
      </c>
      <c r="Q2150" t="n">
        <v>93.20999999999999</v>
      </c>
      <c r="R2150" t="n">
        <v>2786.46</v>
      </c>
      <c r="S2150" t="n">
        <v>1266.05</v>
      </c>
      <c r="T2150" t="n">
        <v>56.48</v>
      </c>
      <c r="U2150" t="n">
        <v>20912.76</v>
      </c>
      <c r="X2150" t="inlineStr">
        <is>
          <t>aafc-aac</t>
        </is>
      </c>
      <c r="Y2150" t="inlineStr">
        <is>
          <t>Agriculture and Agri-Food Canada | Agriculture et Agroalimentaire Canada</t>
        </is>
      </c>
    </row>
    <row r="2151">
      <c r="A2151" t="inlineStr">
        <is>
          <t>T-2024-P9-005</t>
        </is>
      </c>
      <c r="B2151" t="inlineStr">
        <is>
          <t>SLE</t>
        </is>
      </c>
      <c r="C2151" t="inlineStr">
        <is>
          <t>Deputy Minister</t>
        </is>
      </c>
      <c r="D2151" t="inlineStr">
        <is>
          <t>Sous-ministre</t>
        </is>
      </c>
      <c r="E2151" t="inlineStr">
        <is>
          <t>Stefanie Beck</t>
        </is>
      </c>
      <c r="F2151" t="inlineStr">
        <is>
          <t>To attend an Outreach</t>
        </is>
      </c>
      <c r="G2151" t="inlineStr">
        <is>
          <t>Participer à une campagne de sensibilisation</t>
        </is>
      </c>
      <c r="H2151" s="1" t="n">
        <v>45249</v>
      </c>
      <c r="I2151" s="1" t="n">
        <v>45251</v>
      </c>
      <c r="J2151" t="inlineStr">
        <is>
          <t>Regina (Saskatchewan) Canada</t>
        </is>
      </c>
      <c r="K2151" t="inlineStr">
        <is>
          <t>Regina (Saskatchewan) Canada</t>
        </is>
      </c>
      <c r="P2151" t="n">
        <v>3555.12</v>
      </c>
      <c r="Q2151" t="n">
        <v>114.46</v>
      </c>
      <c r="R2151" t="n">
        <v>455.04</v>
      </c>
      <c r="S2151" t="n">
        <v>76.55</v>
      </c>
      <c r="T2151" t="n">
        <v>0</v>
      </c>
      <c r="U2151" t="n">
        <v>4201.17</v>
      </c>
      <c r="X2151" t="inlineStr">
        <is>
          <t>aafc-aac</t>
        </is>
      </c>
      <c r="Y2151" t="inlineStr">
        <is>
          <t>Agriculture and Agri-Food Canada | Agriculture et Agroalimentaire Canada</t>
        </is>
      </c>
    </row>
    <row r="2152">
      <c r="A2152" t="inlineStr">
        <is>
          <t>T-2024-P9-006</t>
        </is>
      </c>
      <c r="B2152" t="inlineStr">
        <is>
          <t>SLE</t>
        </is>
      </c>
      <c r="C2152" t="inlineStr">
        <is>
          <t>Corporate Secretary</t>
        </is>
      </c>
      <c r="D2152" t="inlineStr">
        <is>
          <t>Secrétaire générale</t>
        </is>
      </c>
      <c r="E2152" t="inlineStr">
        <is>
          <t>Tamara Abel</t>
        </is>
      </c>
      <c r="F2152" t="inlineStr">
        <is>
          <t>Operational Activities - Meetings</t>
        </is>
      </c>
      <c r="G2152" t="inlineStr">
        <is>
          <t>Activités opérationnelles - Réunions</t>
        </is>
      </c>
      <c r="H2152" s="1" t="n">
        <v>45270</v>
      </c>
      <c r="I2152" s="1" t="n">
        <v>45275</v>
      </c>
      <c r="J2152" t="inlineStr">
        <is>
          <t>Ottawa (Ontario) Canada</t>
        </is>
      </c>
      <c r="K2152" t="inlineStr">
        <is>
          <t>Ottawa (Ontario) Canada</t>
        </is>
      </c>
      <c r="P2152" t="n">
        <v>1185.85</v>
      </c>
      <c r="Q2152" t="n">
        <v>460.63</v>
      </c>
      <c r="R2152" t="n">
        <v>1392.62</v>
      </c>
      <c r="S2152" t="n">
        <v>651.05</v>
      </c>
      <c r="T2152" t="n">
        <v>0</v>
      </c>
      <c r="U2152" t="n">
        <v>3690.15</v>
      </c>
      <c r="X2152" t="inlineStr">
        <is>
          <t>aafc-aac</t>
        </is>
      </c>
      <c r="Y2152" t="inlineStr">
        <is>
          <t>Agriculture and Agri-Food Canada | Agriculture et Agroalimentaire Canada</t>
        </is>
      </c>
    </row>
    <row r="2153">
      <c r="A2153" t="inlineStr">
        <is>
          <t>T-2024-P9-007</t>
        </is>
      </c>
      <c r="B2153" t="inlineStr">
        <is>
          <t>SLE</t>
        </is>
      </c>
      <c r="C2153" t="inlineStr">
        <is>
          <t>Assistant Deputy Minister, Science and Technology Branch</t>
        </is>
      </c>
      <c r="D2153" t="inlineStr">
        <is>
          <t>Sous-ministre adjoint, Direction générale des sciences et de la technologie</t>
        </is>
      </c>
      <c r="E2153" t="inlineStr">
        <is>
          <t>Gilles Saindon</t>
        </is>
      </c>
      <c r="F2153" t="inlineStr">
        <is>
          <t>To attend the Organization for
Economic Co-operation and
Development - Co-operative
Research Program Governing
Body Meeting. Meetings with
National Research Institute for Agriculture, Food and the Environment and Wageningen
University.</t>
        </is>
      </c>
      <c r="G2153" t="inlineStr">
        <is>
          <t>Participer à l’Organisation de coopération et de développement économiques - Réunion du conseil d'administration du Programme de recherche en collaboration.  Réunions avec l'Institut national de recherche pour l'agriculture, l'alimentation et l'environnement et l'Université de Wageningen.</t>
        </is>
      </c>
      <c r="H2153" s="1" t="n">
        <v>45255</v>
      </c>
      <c r="I2153" s="1" t="n">
        <v>45260</v>
      </c>
      <c r="J2153" t="inlineStr">
        <is>
          <t>Paris, France 
Amsterdam, Netherlands
Wageningen, Netherlands</t>
        </is>
      </c>
      <c r="K2153" t="inlineStr">
        <is>
          <t>Paris, France
Amsterdam, Pays-Bas
Wageningen, Pays-Bas</t>
        </is>
      </c>
      <c r="P2153" t="n">
        <v>2135.28</v>
      </c>
      <c r="Q2153" t="n">
        <v>1001.98</v>
      </c>
      <c r="R2153" t="n">
        <v>1505.95</v>
      </c>
      <c r="S2153" t="n">
        <v>987.1900000000001</v>
      </c>
      <c r="T2153" t="n">
        <v>12.16</v>
      </c>
      <c r="U2153" t="n">
        <v>5642.56</v>
      </c>
      <c r="V2153" t="inlineStr">
        <is>
          <t>Other transportation includes an amount of $725.67  for three (3) Eurostar train tickets purchased on Dr. Gilles Saindon's corporate travel card, covering the travel expenses of Dr. Saindon, and two Science and Technology Branch officials</t>
        </is>
      </c>
      <c r="W2153" t="inlineStr">
        <is>
          <t>Autre transport inclut un montant de 725,67 $ pour trois (3) billets de train Eurostar achetés sur la carte de voyage d'affaires du Dr. Gilles Saindon, couvrant les frais de déplacement du Dr. Saindon ainsi que deux officiers de la Direction générale des sciences et de la technologie</t>
        </is>
      </c>
      <c r="X2153" t="inlineStr">
        <is>
          <t>aafc-aac</t>
        </is>
      </c>
      <c r="Y2153" t="inlineStr">
        <is>
          <t>Agriculture and Agri-Food Canada | Agriculture et Agroalimentaire Canada</t>
        </is>
      </c>
    </row>
    <row r="2154">
      <c r="A2154" t="inlineStr">
        <is>
          <t>T-2024-P9-008</t>
        </is>
      </c>
      <c r="B2154" t="inlineStr">
        <is>
          <t>SLE</t>
        </is>
      </c>
      <c r="C2154" t="inlineStr">
        <is>
          <t>Associate Assistant Deputy Minister, Science and Technology Branch</t>
        </is>
      </c>
      <c r="D2154" t="inlineStr">
        <is>
          <t>Sous-ministre adjoint délégué, Direction générale des sciences et de la technologie</t>
        </is>
      </c>
      <c r="E2154" t="inlineStr">
        <is>
          <t>Andrew Goldstein</t>
        </is>
      </c>
      <c r="F2154" t="inlineStr">
        <is>
          <t>To attend a panel discussion on agriculture</t>
        </is>
      </c>
      <c r="G2154" t="inlineStr">
        <is>
          <t>Participer à une table ronde sur l'agriculture</t>
        </is>
      </c>
      <c r="H2154" s="1" t="n">
        <v>45251</v>
      </c>
      <c r="I2154" s="1" t="n">
        <v>45251</v>
      </c>
      <c r="J2154" t="inlineStr">
        <is>
          <t>Ottawa (Ontario) Canada</t>
        </is>
      </c>
      <c r="K2154" t="inlineStr">
        <is>
          <t>Ottawa (Ontario) Canada</t>
        </is>
      </c>
      <c r="P2154" t="n">
        <v>0</v>
      </c>
      <c r="Q2154" t="n">
        <v>7.5</v>
      </c>
      <c r="R2154" t="n">
        <v>0</v>
      </c>
      <c r="S2154" t="n">
        <v>0</v>
      </c>
      <c r="T2154" t="n">
        <v>0</v>
      </c>
      <c r="U2154" t="n">
        <v>7.5</v>
      </c>
      <c r="X2154" t="inlineStr">
        <is>
          <t>aafc-aac</t>
        </is>
      </c>
      <c r="Y2154" t="inlineStr">
        <is>
          <t>Agriculture and Agri-Food Canada | Agriculture et Agroalimentaire Canada</t>
        </is>
      </c>
    </row>
    <row r="2155">
      <c r="A2155" t="inlineStr">
        <is>
          <t>T-2024-P9-009</t>
        </is>
      </c>
      <c r="B2155" t="inlineStr">
        <is>
          <t>SLE</t>
        </is>
      </c>
      <c r="C2155" t="inlineStr">
        <is>
          <t>Assistant Deputy Minister, Corporate Management Branch</t>
        </is>
      </c>
      <c r="D2155" t="inlineStr">
        <is>
          <t>Sous-ministre adjointe, Direction générale de la gestion intégrée</t>
        </is>
      </c>
      <c r="E2155" t="inlineStr">
        <is>
          <t>Marie-Claude Guérard</t>
        </is>
      </c>
      <c r="F2155" t="inlineStr">
        <is>
          <t>To attend in-person meetings in Ottawa</t>
        </is>
      </c>
      <c r="G2155" t="inlineStr">
        <is>
          <t>Participer à une rencontre en-personne à Ottawa</t>
        </is>
      </c>
      <c r="H2155" s="1" t="n">
        <v>45252</v>
      </c>
      <c r="I2155" s="1" t="n">
        <v>45253</v>
      </c>
      <c r="J2155" t="inlineStr">
        <is>
          <t>Ottawa (Ontario) Canada</t>
        </is>
      </c>
      <c r="K2155" t="inlineStr">
        <is>
          <t>Ottawa (Ontario) Canada</t>
        </is>
      </c>
      <c r="P2155" t="n">
        <v>0</v>
      </c>
      <c r="Q2155" t="n">
        <v>0</v>
      </c>
      <c r="R2155" t="n">
        <v>274.59</v>
      </c>
      <c r="S2155" t="n">
        <v>0</v>
      </c>
      <c r="T2155" t="n">
        <v>0</v>
      </c>
      <c r="U2155" t="n">
        <v>274.59</v>
      </c>
      <c r="X2155" t="inlineStr">
        <is>
          <t>aafc-aac</t>
        </is>
      </c>
      <c r="Y2155" t="inlineStr">
        <is>
          <t>Agriculture and Agri-Food Canada | Agriculture et Agroalimentaire Canada</t>
        </is>
      </c>
    </row>
    <row r="2156">
      <c r="A2156" t="inlineStr">
        <is>
          <t>T-2024-P9-010</t>
        </is>
      </c>
      <c r="B2156" t="inlineStr">
        <is>
          <t>SLE</t>
        </is>
      </c>
      <c r="C2156" t="inlineStr">
        <is>
          <t>Assistant Deputy Minister, Corporate Management Branch</t>
        </is>
      </c>
      <c r="D2156" t="inlineStr">
        <is>
          <t>Sous-ministre adjointe, Direction générale de la gestion intégrée</t>
        </is>
      </c>
      <c r="E2156" t="inlineStr">
        <is>
          <t>Marie-Claude Guérard</t>
        </is>
      </c>
      <c r="F2156" t="inlineStr">
        <is>
          <t>To attend in-person meetings in Ottawa</t>
        </is>
      </c>
      <c r="G2156" t="inlineStr">
        <is>
          <t>Participer à une rencontre en-personne à Ottawa</t>
        </is>
      </c>
      <c r="H2156" s="1" t="n">
        <v>45259</v>
      </c>
      <c r="I2156" s="1" t="n">
        <v>45261</v>
      </c>
      <c r="J2156" t="inlineStr">
        <is>
          <t>Ottawa (Ontario) Canada</t>
        </is>
      </c>
      <c r="K2156" t="inlineStr">
        <is>
          <t>Ottawa (Ontario) Canada</t>
        </is>
      </c>
      <c r="P2156" t="n">
        <v>0</v>
      </c>
      <c r="Q2156" t="n">
        <v>822.08</v>
      </c>
      <c r="R2156" t="n">
        <v>528.84</v>
      </c>
      <c r="S2156" t="n">
        <v>295.45</v>
      </c>
      <c r="T2156" t="n">
        <v>0</v>
      </c>
      <c r="U2156" t="n">
        <v>1646.37</v>
      </c>
      <c r="X2156" t="inlineStr">
        <is>
          <t>aafc-aac</t>
        </is>
      </c>
      <c r="Y2156" t="inlineStr">
        <is>
          <t>Agriculture and Agri-Food Canada | Agriculture et Agroalimentaire Canada</t>
        </is>
      </c>
    </row>
    <row r="2157">
      <c r="A2157" t="inlineStr">
        <is>
          <t>T-2024-P9-011</t>
        </is>
      </c>
      <c r="B2157" t="inlineStr">
        <is>
          <t>SLE</t>
        </is>
      </c>
      <c r="C2157" t="inlineStr">
        <is>
          <t>Assistant Deputy Minister, Corporate Management Branch</t>
        </is>
      </c>
      <c r="D2157" t="inlineStr">
        <is>
          <t>Sous-ministre adjointe, Direction générale de la gestion intégrée</t>
        </is>
      </c>
      <c r="E2157" t="inlineStr">
        <is>
          <t>Marie-Claude Guérard</t>
        </is>
      </c>
      <c r="F2157" t="inlineStr">
        <is>
          <t>To attend in-person meetings in Ottawa</t>
        </is>
      </c>
      <c r="G2157" t="inlineStr">
        <is>
          <t>Participer à une rencontre en-personne à Ottawa</t>
        </is>
      </c>
      <c r="H2157" s="1" t="n">
        <v>45268</v>
      </c>
      <c r="I2157" s="1" t="n">
        <v>45268</v>
      </c>
      <c r="J2157" t="inlineStr">
        <is>
          <t>Ottawa (Ontario) Canada</t>
        </is>
      </c>
      <c r="K2157" t="inlineStr">
        <is>
          <t>Ottawa (Ontario) Canada</t>
        </is>
      </c>
      <c r="P2157" t="n">
        <v>0</v>
      </c>
      <c r="Q2157" t="n">
        <v>717.29</v>
      </c>
      <c r="R2157" t="n">
        <v>0</v>
      </c>
      <c r="S2157" t="n">
        <v>24.65</v>
      </c>
      <c r="T2157" t="n">
        <v>0</v>
      </c>
      <c r="U2157" t="n">
        <v>741.9400000000001</v>
      </c>
      <c r="X2157" t="inlineStr">
        <is>
          <t>aafc-aac</t>
        </is>
      </c>
      <c r="Y2157" t="inlineStr">
        <is>
          <t>Agriculture and Agri-Food Canada | Agriculture et Agroalimentaire Canada</t>
        </is>
      </c>
    </row>
    <row r="2158">
      <c r="A2158" t="inlineStr">
        <is>
          <t>T-2024-P9-012</t>
        </is>
      </c>
      <c r="B2158" t="inlineStr">
        <is>
          <t>SLE</t>
        </is>
      </c>
      <c r="C2158" t="inlineStr">
        <is>
          <t>Assistant Deputy Minister, Corporate Management Branch</t>
        </is>
      </c>
      <c r="D2158" t="inlineStr">
        <is>
          <t>Sous-ministre adjointe, Direction générale de la gestion intégrée</t>
        </is>
      </c>
      <c r="E2158" t="inlineStr">
        <is>
          <t>Marie-Claude Guérard</t>
        </is>
      </c>
      <c r="F2158" t="inlineStr">
        <is>
          <t>To attend in-person meetings in Ottawa</t>
        </is>
      </c>
      <c r="G2158" t="inlineStr">
        <is>
          <t>Participer à une rencontre en-personne à Ottawa</t>
        </is>
      </c>
      <c r="H2158" s="1" t="n">
        <v>45271</v>
      </c>
      <c r="I2158" s="1" t="n">
        <v>45274</v>
      </c>
      <c r="J2158" t="inlineStr">
        <is>
          <t>Ottawa (Ontario) Canada</t>
        </is>
      </c>
      <c r="K2158" t="inlineStr">
        <is>
          <t>Ottawa (Ontario) Canada</t>
        </is>
      </c>
      <c r="P2158" t="n">
        <v>0</v>
      </c>
      <c r="Q2158" t="n">
        <v>747.53</v>
      </c>
      <c r="R2158" t="n">
        <v>595.83</v>
      </c>
      <c r="S2158" t="n">
        <v>482.65</v>
      </c>
      <c r="T2158" t="n">
        <v>0</v>
      </c>
      <c r="U2158" t="n">
        <v>1826.01</v>
      </c>
      <c r="X2158" t="inlineStr">
        <is>
          <t>aafc-aac</t>
        </is>
      </c>
      <c r="Y2158" t="inlineStr">
        <is>
          <t>Agriculture and Agri-Food Canada | Agriculture et Agroalimentaire Canada</t>
        </is>
      </c>
    </row>
    <row r="2159">
      <c r="A2159" t="inlineStr">
        <is>
          <t>T-2024-P9-013</t>
        </is>
      </c>
      <c r="B2159" t="inlineStr">
        <is>
          <t>SLE</t>
        </is>
      </c>
      <c r="C2159" t="inlineStr">
        <is>
          <t>Assistant Deputy Minister, Corporate Management Branch</t>
        </is>
      </c>
      <c r="D2159" t="inlineStr">
        <is>
          <t>Sous-ministre adjointe, Direction générale de la gestion intégrée</t>
        </is>
      </c>
      <c r="E2159" t="inlineStr">
        <is>
          <t>Marie-Claude Guérard</t>
        </is>
      </c>
      <c r="F2159" t="inlineStr">
        <is>
          <t>To attend in-person meetings in Ottawa</t>
        </is>
      </c>
      <c r="G2159" t="inlineStr">
        <is>
          <t>Participer à une rencontre en-personne à Ottawa</t>
        </is>
      </c>
      <c r="H2159" s="1" t="n">
        <v>45278</v>
      </c>
      <c r="I2159" s="1" t="n">
        <v>45279</v>
      </c>
      <c r="J2159" t="inlineStr">
        <is>
          <t>Ottawa (Ontario) Canada</t>
        </is>
      </c>
      <c r="K2159" t="inlineStr">
        <is>
          <t>Ottawa (Ontario) Canada</t>
        </is>
      </c>
      <c r="P2159" t="n">
        <v>0</v>
      </c>
      <c r="Q2159" t="n">
        <v>307.7</v>
      </c>
      <c r="R2159" t="n">
        <v>222.11</v>
      </c>
      <c r="S2159" t="n">
        <v>144.05</v>
      </c>
      <c r="T2159" t="n">
        <v>0</v>
      </c>
      <c r="U2159" t="n">
        <v>673.86</v>
      </c>
      <c r="X2159" t="inlineStr">
        <is>
          <t>aafc-aac</t>
        </is>
      </c>
      <c r="Y2159" t="inlineStr">
        <is>
          <t>Agriculture and Agri-Food Canada | Agriculture et Agroalimentaire Canada</t>
        </is>
      </c>
    </row>
    <row r="2160">
      <c r="A2160" t="inlineStr">
        <is>
          <t>T-2024-P9-014</t>
        </is>
      </c>
      <c r="B2160" t="inlineStr">
        <is>
          <t>SLE</t>
        </is>
      </c>
      <c r="C2160" t="inlineStr">
        <is>
          <t>Assistant Deputy Minister, Programs Branch</t>
        </is>
      </c>
      <c r="D2160" t="inlineStr">
        <is>
          <t>Sous-ministre adjointe, Direction générale des programmes</t>
        </is>
      </c>
      <c r="E2160" t="inlineStr">
        <is>
          <t>Liz Foster</t>
        </is>
      </c>
      <c r="F2160" t="inlineStr">
        <is>
          <t>Minister/Deputy Minister's meeting</t>
        </is>
      </c>
      <c r="G2160" t="inlineStr">
        <is>
          <t>Rencontre Ministre/Sous-ministre</t>
        </is>
      </c>
      <c r="H2160" s="1" t="n">
        <v>45194</v>
      </c>
      <c r="I2160" s="1" t="n">
        <v>45194</v>
      </c>
      <c r="J2160" t="inlineStr">
        <is>
          <t>Ottawa (Ontario) Canada</t>
        </is>
      </c>
      <c r="K2160" t="inlineStr">
        <is>
          <t>Ottawa (Ontario) Canada</t>
        </is>
      </c>
      <c r="P2160" t="n">
        <v>0</v>
      </c>
      <c r="Q2160" t="n">
        <v>9</v>
      </c>
      <c r="R2160" t="n">
        <v>0</v>
      </c>
      <c r="S2160" t="n">
        <v>0</v>
      </c>
      <c r="T2160" t="n">
        <v>0</v>
      </c>
      <c r="U2160" t="n">
        <v>9</v>
      </c>
      <c r="X2160" t="inlineStr">
        <is>
          <t>aafc-aac</t>
        </is>
      </c>
      <c r="Y2160" t="inlineStr">
        <is>
          <t>Agriculture and Agri-Food Canada | Agriculture et Agroalimentaire Canada</t>
        </is>
      </c>
    </row>
    <row r="2161">
      <c r="A2161" t="inlineStr">
        <is>
          <t>T-2024-P9-015</t>
        </is>
      </c>
      <c r="B2161" t="inlineStr">
        <is>
          <t>SLE</t>
        </is>
      </c>
      <c r="C2161" t="inlineStr">
        <is>
          <t>Assistant Deputy Minister, Programs Branch</t>
        </is>
      </c>
      <c r="D2161" t="inlineStr">
        <is>
          <t>Sous-ministre adjointe, Direction générale des programmes</t>
        </is>
      </c>
      <c r="E2161" t="inlineStr">
        <is>
          <t>Liz Foster</t>
        </is>
      </c>
      <c r="F2161" t="inlineStr">
        <is>
          <t>Senate Committee Appearance</t>
        </is>
      </c>
      <c r="G2161" t="inlineStr">
        <is>
          <t>Comparution devant le comité sénatorial</t>
        </is>
      </c>
      <c r="H2161" s="1" t="n">
        <v>45238</v>
      </c>
      <c r="I2161" s="1" t="n">
        <v>45238</v>
      </c>
      <c r="J2161" t="inlineStr">
        <is>
          <t>Ottawa (Ontario) Canada</t>
        </is>
      </c>
      <c r="K2161" t="inlineStr">
        <is>
          <t>Ottawa (Ontario) Canada</t>
        </is>
      </c>
      <c r="P2161" t="n">
        <v>0</v>
      </c>
      <c r="Q2161" t="n">
        <v>14</v>
      </c>
      <c r="R2161" t="n">
        <v>0</v>
      </c>
      <c r="S2161" t="n">
        <v>0</v>
      </c>
      <c r="T2161" t="n">
        <v>0</v>
      </c>
      <c r="U2161" t="n">
        <v>14</v>
      </c>
      <c r="X2161" t="inlineStr">
        <is>
          <t>aafc-aac</t>
        </is>
      </c>
      <c r="Y2161" t="inlineStr">
        <is>
          <t>Agriculture and Agri-Food Canada | Agriculture et Agroalimentaire Canada</t>
        </is>
      </c>
    </row>
    <row r="2162">
      <c r="A2162" t="inlineStr">
        <is>
          <t>T-2024-P9-016</t>
        </is>
      </c>
      <c r="B2162" t="inlineStr">
        <is>
          <t>SLE</t>
        </is>
      </c>
      <c r="C2162" t="inlineStr">
        <is>
          <t>Assistant Deputy Minister, Market and Industry Services Branch</t>
        </is>
      </c>
      <c r="D2162" t="inlineStr">
        <is>
          <t>Sous-ministre adjoint, Direction générale des services à l'industrie et aux marchés</t>
        </is>
      </c>
      <c r="E2162" t="inlineStr">
        <is>
          <t>Tom Rosser</t>
        </is>
      </c>
      <c r="F2162" t="inlineStr">
        <is>
          <t>To attend meetings downtown Ottawa with stakeholders.</t>
        </is>
      </c>
      <c r="G2162" t="inlineStr">
        <is>
          <t>Participer aux rencontres au centre-ville d'Ottawa avec les parties prenantes.</t>
        </is>
      </c>
      <c r="H2162" s="1" t="n">
        <v>45259</v>
      </c>
      <c r="I2162" s="1" t="n">
        <v>45259</v>
      </c>
      <c r="J2162" t="inlineStr">
        <is>
          <t>Ottawa (Ontario) Canada</t>
        </is>
      </c>
      <c r="K2162" t="inlineStr">
        <is>
          <t>Ottawa (Ontario) Canada</t>
        </is>
      </c>
      <c r="P2162" t="n">
        <v>0</v>
      </c>
      <c r="Q2162" t="n">
        <v>26</v>
      </c>
      <c r="R2162" t="n">
        <v>0</v>
      </c>
      <c r="S2162" t="n">
        <v>0</v>
      </c>
      <c r="T2162" t="n">
        <v>0</v>
      </c>
      <c r="U2162" t="n">
        <v>26</v>
      </c>
      <c r="X2162" t="inlineStr">
        <is>
          <t>aafc-aac</t>
        </is>
      </c>
      <c r="Y2162" t="inlineStr">
        <is>
          <t>Agriculture and Agri-Food Canada | Agriculture et Agroalimentaire Canada</t>
        </is>
      </c>
    </row>
    <row r="2163">
      <c r="A2163" t="inlineStr">
        <is>
          <t>T-2024-P9-017</t>
        </is>
      </c>
      <c r="B2163" t="inlineStr">
        <is>
          <t>SLE</t>
        </is>
      </c>
      <c r="C2163" t="inlineStr">
        <is>
          <t>Assistant Deputy Minister, Market and Industry Services Branch</t>
        </is>
      </c>
      <c r="D2163" t="inlineStr">
        <is>
          <t>Sous-ministre adjoint, Direction générale des services à l'industrie et aux marchés</t>
        </is>
      </c>
      <c r="E2163" t="inlineStr">
        <is>
          <t>Tom Rosser</t>
        </is>
      </c>
      <c r="F2163" t="inlineStr">
        <is>
          <t>To participate in the Crop Logistics Working Group meeting and regional outreach.</t>
        </is>
      </c>
      <c r="G2163" t="inlineStr">
        <is>
          <t>Participer à la réunion du groupe de travail sur la logistique du transport des récoltes et à la sensibilisation régionale.</t>
        </is>
      </c>
      <c r="H2163" s="1" t="n">
        <v>45264</v>
      </c>
      <c r="I2163" s="1" t="n">
        <v>45267</v>
      </c>
      <c r="J2163" t="inlineStr">
        <is>
          <t>Winnipeg (Manitoba) Canada</t>
        </is>
      </c>
      <c r="K2163" t="inlineStr">
        <is>
          <t>Winnipeg (Manitoba) Canada</t>
        </is>
      </c>
      <c r="P2163" t="n">
        <v>1342.9</v>
      </c>
      <c r="Q2163" t="n">
        <v>110</v>
      </c>
      <c r="R2163" t="n">
        <v>412.72</v>
      </c>
      <c r="S2163" t="n">
        <v>372.9</v>
      </c>
      <c r="T2163" t="n">
        <v>0</v>
      </c>
      <c r="U2163" t="n">
        <v>2238.52</v>
      </c>
      <c r="X2163" t="inlineStr">
        <is>
          <t>aafc-aac</t>
        </is>
      </c>
      <c r="Y2163" t="inlineStr">
        <is>
          <t>Agriculture and Agri-Food Canada | Agriculture et Agroalimentaire Canada</t>
        </is>
      </c>
    </row>
    <row r="2164">
      <c r="A2164" t="inlineStr">
        <is>
          <t>T-2024-P9-018</t>
        </is>
      </c>
      <c r="B2164" t="inlineStr">
        <is>
          <t>SLE</t>
        </is>
      </c>
      <c r="C2164" t="inlineStr">
        <is>
          <t>Assistant Deputy Minister, Market and Industry Services Branch</t>
        </is>
      </c>
      <c r="D2164" t="inlineStr">
        <is>
          <t>Sous-ministre adjoint, Direction générale des services à l'industrie et aux marchés</t>
        </is>
      </c>
      <c r="E2164" t="inlineStr">
        <is>
          <t>Tom Rosser</t>
        </is>
      </c>
      <c r="F2164" t="inlineStr">
        <is>
          <t>To participate in the Arrell Food Summit.</t>
        </is>
      </c>
      <c r="G2164" t="inlineStr">
        <is>
          <t>Participer au Sommet de l'alimentation d'Arrell.</t>
        </is>
      </c>
      <c r="H2164" s="1" t="n">
        <v>45243</v>
      </c>
      <c r="I2164" s="1" t="n">
        <v>45244</v>
      </c>
      <c r="J2164" t="inlineStr">
        <is>
          <t>Toronto (Ontario) Canada</t>
        </is>
      </c>
      <c r="K2164" t="inlineStr">
        <is>
          <t>Toronto (Ontario) Canada</t>
        </is>
      </c>
      <c r="P2164" t="n">
        <v>1007.11</v>
      </c>
      <c r="Q2164" t="n">
        <v>99.7</v>
      </c>
      <c r="R2164" t="n">
        <v>214.41</v>
      </c>
      <c r="S2164" t="n">
        <v>180.15</v>
      </c>
      <c r="T2164" t="n">
        <v>0</v>
      </c>
      <c r="U2164" t="n">
        <v>1501.37</v>
      </c>
      <c r="X2164" t="inlineStr">
        <is>
          <t>aafc-aac</t>
        </is>
      </c>
      <c r="Y2164" t="inlineStr">
        <is>
          <t>Agriculture and Agri-Food Canada | Agriculture et Agroalimentaire Canada</t>
        </is>
      </c>
    </row>
    <row r="2165">
      <c r="A2165" t="inlineStr">
        <is>
          <t>T-2024-P9-019</t>
        </is>
      </c>
      <c r="B2165" t="inlineStr">
        <is>
          <t>SLE</t>
        </is>
      </c>
      <c r="C2165" t="inlineStr">
        <is>
          <t>Chief Information Officer, Information Systems Branch</t>
        </is>
      </c>
      <c r="D2165" t="inlineStr">
        <is>
          <t>Dirigeante principale de l'information, Direction générale des systèmes d'information</t>
        </is>
      </c>
      <c r="E2165" t="inlineStr">
        <is>
          <t>Vidya ShankarNarayan</t>
        </is>
      </c>
      <c r="F2165" t="inlineStr">
        <is>
          <t>To attend the Government Transformation Summit</t>
        </is>
      </c>
      <c r="G2165" t="inlineStr">
        <is>
          <t>Participer au Sommet sur la transformation gouvernementale</t>
        </is>
      </c>
      <c r="H2165" s="1" t="n">
        <v>45250</v>
      </c>
      <c r="I2165" s="1" t="n">
        <v>45255</v>
      </c>
      <c r="J2165" t="inlineStr">
        <is>
          <t>London, England</t>
        </is>
      </c>
      <c r="K2165" t="inlineStr">
        <is>
          <t>Londre, Angleterre</t>
        </is>
      </c>
      <c r="P2165" t="n">
        <v>3257.41</v>
      </c>
      <c r="Q2165" t="n">
        <v>602.6</v>
      </c>
      <c r="R2165" t="n">
        <v>1201.08</v>
      </c>
      <c r="S2165" t="n">
        <v>1151.69</v>
      </c>
      <c r="T2165" t="n">
        <v>0</v>
      </c>
      <c r="U2165" t="n">
        <v>6212.78</v>
      </c>
      <c r="X2165" t="inlineStr">
        <is>
          <t>aafc-aac</t>
        </is>
      </c>
      <c r="Y2165" t="inlineStr">
        <is>
          <t>Agriculture and Agri-Food Canada | Agriculture et Agroalimentaire Canada</t>
        </is>
      </c>
    </row>
    <row r="2166">
      <c r="A2166" t="inlineStr">
        <is>
          <t>T-2024-P10-001</t>
        </is>
      </c>
      <c r="B2166" t="inlineStr">
        <is>
          <t>MPSES</t>
        </is>
      </c>
      <c r="C2166" t="inlineStr">
        <is>
          <t>Director of Regional Affairs</t>
        </is>
      </c>
      <c r="D2166" t="inlineStr">
        <is>
          <t>Directrice des affaires régionales</t>
        </is>
      </c>
      <c r="E2166" t="inlineStr">
        <is>
          <t>Alison Porter</t>
        </is>
      </c>
      <c r="F2166" t="inlineStr">
        <is>
          <t>To attend meetings with the Minister, including stakeholder meetings and team meetings</t>
        </is>
      </c>
      <c r="G2166" t="inlineStr">
        <is>
          <t>Participer aux réunions avec le ministre, y compris les réunions avec les parties prenantes et les réunions d'équipe.</t>
        </is>
      </c>
      <c r="H2166" s="1" t="n">
        <v>45271</v>
      </c>
      <c r="I2166" s="1" t="n">
        <v>45272</v>
      </c>
      <c r="J2166" t="inlineStr">
        <is>
          <t>Ottawa (Ontario) Canada</t>
        </is>
      </c>
      <c r="K2166" t="inlineStr">
        <is>
          <t>Ottawa (Ontario) Canada</t>
        </is>
      </c>
      <c r="P2166" t="n">
        <v>0</v>
      </c>
      <c r="Q2166" t="n">
        <v>213.52</v>
      </c>
      <c r="R2166" t="n">
        <v>186.86</v>
      </c>
      <c r="S2166" t="n">
        <v>167.3</v>
      </c>
      <c r="T2166" t="n">
        <v>0</v>
      </c>
      <c r="U2166" t="n">
        <v>567.6799999999999</v>
      </c>
      <c r="X2166" t="inlineStr">
        <is>
          <t>aafc-aac</t>
        </is>
      </c>
      <c r="Y2166" t="inlineStr">
        <is>
          <t>Agriculture and Agri-Food Canada | Agriculture et Agroalimentaire Canada</t>
        </is>
      </c>
    </row>
    <row r="2167">
      <c r="A2167" t="inlineStr">
        <is>
          <t>T-2024-P10-002</t>
        </is>
      </c>
      <c r="B2167" t="inlineStr">
        <is>
          <t>MPSES</t>
        </is>
      </c>
      <c r="C2167" t="inlineStr">
        <is>
          <t>Director of Operations</t>
        </is>
      </c>
      <c r="D2167" t="inlineStr">
        <is>
          <t>Directrice des opérations</t>
        </is>
      </c>
      <c r="E2167" t="inlineStr">
        <is>
          <t>Maria Morley</t>
        </is>
      </c>
      <c r="F2167" t="inlineStr">
        <is>
          <t>To accompany the Minister for an  Outreach tour</t>
        </is>
      </c>
      <c r="G2167" t="inlineStr">
        <is>
          <t>Accompagner le ministre pour une visite de sensibilisation</t>
        </is>
      </c>
      <c r="H2167" s="1" t="n">
        <v>45243</v>
      </c>
      <c r="I2167" s="1" t="n">
        <v>45245</v>
      </c>
      <c r="J2167" t="inlineStr">
        <is>
          <t>Winnipeg (Manitoba) Canada</t>
        </is>
      </c>
      <c r="K2167" t="inlineStr">
        <is>
          <t>Winnipeg (Manitoba) Canada</t>
        </is>
      </c>
      <c r="P2167" t="n">
        <v>1722.84</v>
      </c>
      <c r="Q2167" t="n">
        <v>219.51</v>
      </c>
      <c r="R2167" t="n">
        <v>412.72</v>
      </c>
      <c r="S2167" t="n">
        <v>328.35</v>
      </c>
      <c r="T2167" t="n">
        <v>0</v>
      </c>
      <c r="U2167" t="n">
        <v>2683.42</v>
      </c>
      <c r="X2167" t="inlineStr">
        <is>
          <t>aafc-aac</t>
        </is>
      </c>
      <c r="Y2167" t="inlineStr">
        <is>
          <t>Agriculture and Agri-Food Canada | Agriculture et Agroalimentaire Canada</t>
        </is>
      </c>
    </row>
    <row r="2168">
      <c r="A2168" t="inlineStr">
        <is>
          <t>T-2024-P10-003</t>
        </is>
      </c>
      <c r="B2168" t="inlineStr">
        <is>
          <t>MPSES</t>
        </is>
      </c>
      <c r="C2168" t="inlineStr">
        <is>
          <t>Director of Operations</t>
        </is>
      </c>
      <c r="D2168" t="inlineStr">
        <is>
          <t>Directrice des opérations</t>
        </is>
      </c>
      <c r="E2168" t="inlineStr">
        <is>
          <t>Maria Morley</t>
        </is>
      </c>
      <c r="F2168" t="inlineStr">
        <is>
          <t>To accompany the Minister for a funding announcement and meetings with stakeholders</t>
        </is>
      </c>
      <c r="G2168" t="inlineStr">
        <is>
          <t>Accompagner le ministre lors d'une annonce de financement et aux réunions avec les parties prenantes</t>
        </is>
      </c>
      <c r="H2168" s="1" t="n">
        <v>45249</v>
      </c>
      <c r="I2168" s="1" t="n">
        <v>45250</v>
      </c>
      <c r="J2168" t="inlineStr">
        <is>
          <t>Toronto (Ontario) Canada</t>
        </is>
      </c>
      <c r="K2168" t="inlineStr">
        <is>
          <t>Toronto (Ontario) Canada</t>
        </is>
      </c>
      <c r="P2168" t="n">
        <v>1453.47</v>
      </c>
      <c r="Q2168" t="n">
        <v>172.85</v>
      </c>
      <c r="R2168" t="n">
        <v>238.36</v>
      </c>
      <c r="S2168" t="n">
        <v>109.45</v>
      </c>
      <c r="T2168" t="n">
        <v>0</v>
      </c>
      <c r="U2168" t="n">
        <v>1974.13</v>
      </c>
      <c r="X2168" t="inlineStr">
        <is>
          <t>aafc-aac</t>
        </is>
      </c>
      <c r="Y2168" t="inlineStr">
        <is>
          <t>Agriculture and Agri-Food Canada | Agriculture et Agroalimentaire Canada</t>
        </is>
      </c>
    </row>
    <row r="2169">
      <c r="A2169" t="inlineStr">
        <is>
          <t>T-2024-P10-004</t>
        </is>
      </c>
      <c r="B2169" t="inlineStr">
        <is>
          <t>MPSES</t>
        </is>
      </c>
      <c r="C2169" t="inlineStr">
        <is>
          <t>Parliamentary Secretary</t>
        </is>
      </c>
      <c r="D2169" t="inlineStr">
        <is>
          <t>Secrétaire parlementaire</t>
        </is>
      </c>
      <c r="E2169" t="inlineStr">
        <is>
          <t>Francis Drouin</t>
        </is>
      </c>
      <c r="F2169" t="inlineStr">
        <is>
          <t>To speak on behalf of Minister MacAulay at the Union des Producteurs Agricoles Annual General Meeting and partake in a subsequent Question and Answer period. To meet with 'Les Agricultrices du Quebec' and the Union des Producteurs Agricoles Director General, Charles Felix Ross.</t>
        </is>
      </c>
      <c r="G2169" t="inlineStr">
        <is>
          <t>Intervenir au nom du ministre MacAulay lors de l'assemblée générale annuelle de l'Union des Producteurs Agricoles et participer à la séance de questions-réponses qui s'en est suivie. Rencontrer 'Les Agricultrices du Québec' et le Directeur Général de l'Union des Producteurs Agricoles, Charles Felix Ross.</t>
        </is>
      </c>
      <c r="H2169" s="1" t="n">
        <v>45265</v>
      </c>
      <c r="I2169" s="1" t="n">
        <v>45265</v>
      </c>
      <c r="J2169" t="inlineStr">
        <is>
          <t>Québec (Quebec) Canada</t>
        </is>
      </c>
      <c r="K2169" t="inlineStr">
        <is>
          <t>Québec (Québec) Canada</t>
        </is>
      </c>
      <c r="P2169" t="n">
        <v>1219.11</v>
      </c>
      <c r="Q2169" t="n">
        <v>0</v>
      </c>
      <c r="R2169" t="n">
        <v>0</v>
      </c>
      <c r="S2169" t="n">
        <v>60.45</v>
      </c>
      <c r="T2169" t="n">
        <v>0</v>
      </c>
      <c r="U2169" t="n">
        <v>1279.56</v>
      </c>
      <c r="X2169" t="inlineStr">
        <is>
          <t>aafc-aac</t>
        </is>
      </c>
      <c r="Y2169" t="inlineStr">
        <is>
          <t>Agriculture and Agri-Food Canada | Agriculture et Agroalimentaire Canada</t>
        </is>
      </c>
    </row>
    <row r="2170">
      <c r="A2170" t="inlineStr">
        <is>
          <t>T-2024-P10-005</t>
        </is>
      </c>
      <c r="B2170" t="inlineStr">
        <is>
          <t>MPSES</t>
        </is>
      </c>
      <c r="C2170" t="inlineStr">
        <is>
          <t>Parliamentary Secretary</t>
        </is>
      </c>
      <c r="D2170" t="inlineStr">
        <is>
          <t>Secrétaire parlementaire</t>
        </is>
      </c>
      <c r="E2170" t="inlineStr">
        <is>
          <t>Francis Drouin</t>
        </is>
      </c>
      <c r="F2170" t="inlineStr">
        <is>
          <t>To attend an Ontario Tour</t>
        </is>
      </c>
      <c r="G2170" t="inlineStr">
        <is>
          <t>Participer à une tournée en Ontario</t>
        </is>
      </c>
      <c r="H2170" s="1" t="n">
        <v>45308</v>
      </c>
      <c r="I2170" s="1" t="n">
        <v>45308</v>
      </c>
      <c r="J2170" t="inlineStr">
        <is>
          <t>Toronto (Ontario) Canada</t>
        </is>
      </c>
      <c r="K2170" t="inlineStr">
        <is>
          <t>Toronto (Ontario) Canada</t>
        </is>
      </c>
      <c r="P2170" t="n">
        <v>768.6799999999999</v>
      </c>
      <c r="Q2170" t="n">
        <v>0</v>
      </c>
      <c r="R2170" t="n">
        <v>0</v>
      </c>
      <c r="S2170" t="n">
        <v>109.45</v>
      </c>
      <c r="T2170" t="n">
        <v>0</v>
      </c>
      <c r="U2170" t="n">
        <v>878.13</v>
      </c>
      <c r="X2170" t="inlineStr">
        <is>
          <t>aafc-aac</t>
        </is>
      </c>
      <c r="Y2170" t="inlineStr">
        <is>
          <t>Agriculture and Agri-Food Canada | Agriculture et Agroalimentaire Canada</t>
        </is>
      </c>
    </row>
    <row r="2171">
      <c r="A2171" t="inlineStr">
        <is>
          <t>T-2024-P10-006</t>
        </is>
      </c>
      <c r="B2171" t="inlineStr">
        <is>
          <t>MPSES</t>
        </is>
      </c>
      <c r="C2171" t="inlineStr">
        <is>
          <t>Assistant to the Parliamentary Secretary</t>
        </is>
      </c>
      <c r="D2171" t="inlineStr">
        <is>
          <t>Adjoint au secrétaire parlementaire</t>
        </is>
      </c>
      <c r="E2171" t="inlineStr">
        <is>
          <t>Patrick Mangan</t>
        </is>
      </c>
      <c r="F2171" t="inlineStr">
        <is>
          <t>To attend an Ontario Tour</t>
        </is>
      </c>
      <c r="G2171" t="inlineStr">
        <is>
          <t>Participer à une tournée en Ontario</t>
        </is>
      </c>
      <c r="H2171" s="1" t="n">
        <v>45308</v>
      </c>
      <c r="I2171" s="1" t="n">
        <v>45308</v>
      </c>
      <c r="J2171" t="inlineStr">
        <is>
          <t>Toronto (Ontario) Canada</t>
        </is>
      </c>
      <c r="K2171" t="inlineStr">
        <is>
          <t>Toronto (Ontario) Canada</t>
        </is>
      </c>
      <c r="P2171" t="n">
        <v>768.6799999999999</v>
      </c>
      <c r="Q2171" t="n">
        <v>127.56</v>
      </c>
      <c r="R2171" t="n">
        <v>0</v>
      </c>
      <c r="S2171" t="n">
        <v>109.45</v>
      </c>
      <c r="T2171" t="n">
        <v>0</v>
      </c>
      <c r="U2171" t="n">
        <v>1005.69</v>
      </c>
      <c r="X2171" t="inlineStr">
        <is>
          <t>aafc-aac</t>
        </is>
      </c>
      <c r="Y2171" t="inlineStr">
        <is>
          <t>Agriculture and Agri-Food Canada | Agriculture et Agroalimentaire Canada</t>
        </is>
      </c>
    </row>
    <row r="2172">
      <c r="A2172" t="inlineStr">
        <is>
          <t>T-2024-P10-007</t>
        </is>
      </c>
      <c r="B2172" t="inlineStr">
        <is>
          <t>SLE</t>
        </is>
      </c>
      <c r="C2172" t="inlineStr">
        <is>
          <t>Deputy Minister</t>
        </is>
      </c>
      <c r="D2172" t="inlineStr">
        <is>
          <t>Sous-ministre</t>
        </is>
      </c>
      <c r="E2172" t="inlineStr">
        <is>
          <t>Stefanie Beck</t>
        </is>
      </c>
      <c r="F2172" t="inlineStr">
        <is>
          <t>To participate at the stakeholders conference, the final event of the Canada-European Union Dialogue on sustainable agriculture and attend and outreach</t>
        </is>
      </c>
      <c r="G2172" t="inlineStr">
        <is>
          <t>Participer à la conférence des parties prenantes, l'événement final du dialogue Canada-Union européenne sur l'agriculture durable, et participer aux activités de sensibilisation.</t>
        </is>
      </c>
      <c r="H2172" s="1" t="n">
        <v>45261</v>
      </c>
      <c r="I2172" s="1" t="n">
        <v>45270</v>
      </c>
      <c r="J2172" t="inlineStr">
        <is>
          <t>London (England) United KingdomParis, FranceBrussels, Belgium</t>
        </is>
      </c>
      <c r="K2172" t="inlineStr">
        <is>
          <t>Londres (Angleterre) Royaume-UniParis, FranceBruxelles, Belgique</t>
        </is>
      </c>
      <c r="P2172" t="n">
        <v>4110.93</v>
      </c>
      <c r="Q2172" t="n">
        <v>1253.53</v>
      </c>
      <c r="R2172" t="n">
        <v>1322.95</v>
      </c>
      <c r="S2172" t="n">
        <v>1732.3</v>
      </c>
      <c r="T2172" t="n">
        <v>0</v>
      </c>
      <c r="U2172" t="n">
        <v>8419.709999999999</v>
      </c>
      <c r="X2172" t="inlineStr">
        <is>
          <t>aafc-aac</t>
        </is>
      </c>
      <c r="Y2172" t="inlineStr">
        <is>
          <t>Agriculture and Agri-Food Canada | Agriculture et Agroalimentaire Canada</t>
        </is>
      </c>
    </row>
    <row r="2173">
      <c r="A2173" t="inlineStr">
        <is>
          <t>T-2024-P10-008</t>
        </is>
      </c>
      <c r="B2173" t="inlineStr">
        <is>
          <t>SLE</t>
        </is>
      </c>
      <c r="C2173" t="inlineStr">
        <is>
          <t>Deputy Minister</t>
        </is>
      </c>
      <c r="D2173" t="inlineStr">
        <is>
          <t>Sous-ministre</t>
        </is>
      </c>
      <c r="E2173" t="inlineStr">
        <is>
          <t>Stefanie Beck</t>
        </is>
      </c>
      <c r="F2173" t="inlineStr">
        <is>
          <t>To assist the Minister with the objective of the mission to strengthen relationships, highlight the value of Canada-United States bilateral agricultural collaboration, and advance Canada’s agricultural market access to the United States</t>
        </is>
      </c>
      <c r="G2173" t="inlineStr">
        <is>
          <t>Assister le ministre à atteindre l'objectif de la mission, à savoir renforcer les relations, mettre en évidence la valeur de la collaboration agricole bilatérale entre le Canada et les États-Unis et favoriser l'accès du Canada au marché agricole des États-Unis</t>
        </is>
      </c>
      <c r="H2173" s="1" t="n">
        <v>45306</v>
      </c>
      <c r="I2173" s="1" t="n">
        <v>45308</v>
      </c>
      <c r="J2173" t="inlineStr">
        <is>
          <t>Washington (District of Columbia) United States</t>
        </is>
      </c>
      <c r="K2173" t="inlineStr">
        <is>
          <t>Washington (District de Columbia) États-Unis</t>
        </is>
      </c>
      <c r="P2173" t="n">
        <v>838.9400000000001</v>
      </c>
      <c r="Q2173" t="n">
        <v>0</v>
      </c>
      <c r="R2173" t="n">
        <v>602.15</v>
      </c>
      <c r="S2173" t="n">
        <v>358.3</v>
      </c>
      <c r="T2173" t="n">
        <v>0</v>
      </c>
      <c r="U2173" t="n">
        <v>1799.39</v>
      </c>
      <c r="X2173" t="inlineStr">
        <is>
          <t>aafc-aac</t>
        </is>
      </c>
      <c r="Y2173" t="inlineStr">
        <is>
          <t>Agriculture and Agri-Food Canada | Agriculture et Agroalimentaire Canada</t>
        </is>
      </c>
    </row>
    <row r="2174">
      <c r="A2174" t="inlineStr">
        <is>
          <t>T-2024-P10-009</t>
        </is>
      </c>
      <c r="B2174" t="inlineStr">
        <is>
          <t>SLE</t>
        </is>
      </c>
      <c r="C2174" t="inlineStr">
        <is>
          <t>Assistant Deputy Minister, Corporate Management Branch</t>
        </is>
      </c>
      <c r="D2174" t="inlineStr">
        <is>
          <t>Sous-ministre adjointe, Direction générale de la gestion intégrée</t>
        </is>
      </c>
      <c r="E2174" t="inlineStr">
        <is>
          <t>Marie-Claude Guérard</t>
        </is>
      </c>
      <c r="F2174" t="inlineStr">
        <is>
          <t>To attend in-person meetings in Ottawa</t>
        </is>
      </c>
      <c r="G2174" t="inlineStr">
        <is>
          <t>Participer à une rencontre en-personne à Ottawa</t>
        </is>
      </c>
      <c r="H2174" s="1" t="n">
        <v>45303</v>
      </c>
      <c r="I2174" s="1" t="n">
        <v>45303</v>
      </c>
      <c r="J2174" t="inlineStr">
        <is>
          <t>Ottawa (Ontario) Canada</t>
        </is>
      </c>
      <c r="K2174" t="inlineStr">
        <is>
          <t>Ottawa (Ontario) Canada</t>
        </is>
      </c>
      <c r="P2174" t="n">
        <v>0</v>
      </c>
      <c r="Q2174" t="n">
        <v>264.72</v>
      </c>
      <c r="R2174" t="n">
        <v>0</v>
      </c>
      <c r="S2174" t="n">
        <v>24.65</v>
      </c>
      <c r="T2174" t="n">
        <v>0</v>
      </c>
      <c r="U2174" t="n">
        <v>289.37</v>
      </c>
      <c r="X2174" t="inlineStr">
        <is>
          <t>aafc-aac</t>
        </is>
      </c>
      <c r="Y2174" t="inlineStr">
        <is>
          <t>Agriculture and Agri-Food Canada | Agriculture et Agroalimentaire Canada</t>
        </is>
      </c>
    </row>
    <row r="2175">
      <c r="A2175" t="inlineStr">
        <is>
          <t>T-2024-P10-010</t>
        </is>
      </c>
      <c r="B2175" t="inlineStr">
        <is>
          <t>SLE</t>
        </is>
      </c>
      <c r="C2175" t="inlineStr">
        <is>
          <t>Assistant Deputy Minister, Corporate Management Branch</t>
        </is>
      </c>
      <c r="D2175" t="inlineStr">
        <is>
          <t>Sous-ministre adjointe, Direction générale de la gestion intégrée</t>
        </is>
      </c>
      <c r="E2175" t="inlineStr">
        <is>
          <t>Marie-Claude Guérard</t>
        </is>
      </c>
      <c r="F2175" t="inlineStr">
        <is>
          <t>To attend in-person meetings in Ottawa</t>
        </is>
      </c>
      <c r="G2175" t="inlineStr">
        <is>
          <t>Participer à une rencontre en-personne à Ottawa</t>
        </is>
      </c>
      <c r="H2175" s="1" t="n">
        <v>45314</v>
      </c>
      <c r="I2175" s="1" t="n">
        <v>45315</v>
      </c>
      <c r="J2175" t="inlineStr">
        <is>
          <t>Ottawa (Ontario) Canada</t>
        </is>
      </c>
      <c r="K2175" t="inlineStr">
        <is>
          <t>Ottawa (Ontario) Canada</t>
        </is>
      </c>
      <c r="P2175" t="n">
        <v>0</v>
      </c>
      <c r="Q2175" t="n">
        <v>396.92</v>
      </c>
      <c r="R2175" t="n">
        <v>200.52</v>
      </c>
      <c r="S2175" t="n">
        <v>168.7</v>
      </c>
      <c r="T2175" t="n">
        <v>0</v>
      </c>
      <c r="U2175" t="n">
        <v>766.14</v>
      </c>
      <c r="X2175" t="inlineStr">
        <is>
          <t>aafc-aac</t>
        </is>
      </c>
      <c r="Y2175" t="inlineStr">
        <is>
          <t>Agriculture and Agri-Food Canada | Agriculture et Agroalimentaire Canada</t>
        </is>
      </c>
    </row>
    <row r="2176">
      <c r="A2176" t="inlineStr">
        <is>
          <t>T-2024-P10-011</t>
        </is>
      </c>
      <c r="B2176" t="inlineStr">
        <is>
          <t>SLE</t>
        </is>
      </c>
      <c r="C2176" t="inlineStr">
        <is>
          <t>Assistant Deputy Minister, Market and Industry Services Branch</t>
        </is>
      </c>
      <c r="D2176" t="inlineStr">
        <is>
          <t>Sous-ministre adjoint, Direction générale des services à l'industrie et aux marchés</t>
        </is>
      </c>
      <c r="E2176" t="inlineStr">
        <is>
          <t>Tom Rosser</t>
        </is>
      </c>
      <c r="F2176" t="inlineStr">
        <is>
          <t>To attend meetings in downtown Ottawa with stakeholders.</t>
        </is>
      </c>
      <c r="G2176" t="inlineStr">
        <is>
          <t>Participer aux rencontres au centre-ville d'Ottawa avec les parties prenantes.</t>
        </is>
      </c>
      <c r="H2176" s="1" t="n">
        <v>45278</v>
      </c>
      <c r="I2176" s="1" t="n">
        <v>45278</v>
      </c>
      <c r="J2176" t="inlineStr">
        <is>
          <t>Ottawa (Ontario) Canada</t>
        </is>
      </c>
      <c r="K2176" t="inlineStr">
        <is>
          <t>Ottawa (Ontario) Canada</t>
        </is>
      </c>
      <c r="P2176" t="n">
        <v>0</v>
      </c>
      <c r="Q2176" t="n">
        <v>41.27</v>
      </c>
      <c r="R2176" t="n">
        <v>0</v>
      </c>
      <c r="S2176" t="n">
        <v>0</v>
      </c>
      <c r="T2176" t="n">
        <v>0</v>
      </c>
      <c r="U2176" t="n">
        <v>41.27</v>
      </c>
      <c r="X2176" t="inlineStr">
        <is>
          <t>aafc-aac</t>
        </is>
      </c>
      <c r="Y2176" t="inlineStr">
        <is>
          <t>Agriculture and Agri-Food Canada | Agriculture et Agroalimentaire Canada</t>
        </is>
      </c>
    </row>
    <row r="2177">
      <c r="A2177" t="inlineStr">
        <is>
          <t>T-2024-P10-012</t>
        </is>
      </c>
      <c r="B2177" t="inlineStr">
        <is>
          <t>SLE</t>
        </is>
      </c>
      <c r="C2177" t="inlineStr">
        <is>
          <t>Chief Information Officer, Information Systems Branch</t>
        </is>
      </c>
      <c r="D2177" t="inlineStr">
        <is>
          <t>Dirigeante principale de l'information, Direction générale des systèmes d'information</t>
        </is>
      </c>
      <c r="E2177" t="inlineStr">
        <is>
          <t>Vidya ShankarNarayan</t>
        </is>
      </c>
      <c r="F2177" t="inlineStr">
        <is>
          <t>To attend two meetings in Ottawa</t>
        </is>
      </c>
      <c r="G2177" t="inlineStr">
        <is>
          <t>Assister à deux rencontres à Ottawa</t>
        </is>
      </c>
      <c r="H2177" s="1" t="n">
        <v>45202</v>
      </c>
      <c r="I2177" s="1" t="n">
        <v>45202</v>
      </c>
      <c r="J2177" t="inlineStr">
        <is>
          <t>Ottawa (Ontario) Canada</t>
        </is>
      </c>
      <c r="K2177" t="inlineStr">
        <is>
          <t>Ottawa (Ontario) Canada</t>
        </is>
      </c>
      <c r="P2177" t="n">
        <v>0</v>
      </c>
      <c r="Q2177" t="n">
        <v>41</v>
      </c>
      <c r="R2177" t="n">
        <v>0</v>
      </c>
      <c r="S2177" t="n">
        <v>0</v>
      </c>
      <c r="T2177" t="n">
        <v>0</v>
      </c>
      <c r="U2177" t="n">
        <v>41</v>
      </c>
      <c r="X2177" t="inlineStr">
        <is>
          <t>aafc-aac</t>
        </is>
      </c>
      <c r="Y2177" t="inlineStr">
        <is>
          <t>Agriculture and Agri-Food Canada | Agriculture et Agroalimentaire Canada</t>
        </is>
      </c>
    </row>
    <row r="2178">
      <c r="A2178" t="inlineStr">
        <is>
          <t>T-2024-P11-001</t>
        </is>
      </c>
      <c r="B2178" t="inlineStr">
        <is>
          <t>MPSES</t>
        </is>
      </c>
      <c r="C2178" t="inlineStr">
        <is>
          <t>Minister</t>
        </is>
      </c>
      <c r="D2178" t="inlineStr">
        <is>
          <t>Ministre</t>
        </is>
      </c>
      <c r="E2178" t="inlineStr">
        <is>
          <t>Lawrence MacAulay</t>
        </is>
      </c>
      <c r="F2178" t="inlineStr">
        <is>
          <t>Visa photo reimbursement</t>
        </is>
      </c>
      <c r="G2178" t="inlineStr">
        <is>
          <t>Remboursement de la photo du visa</t>
        </is>
      </c>
      <c r="H2178" s="1" t="n">
        <v>45320</v>
      </c>
      <c r="I2178" s="1" t="n">
        <v>45320</v>
      </c>
      <c r="J2178" t="inlineStr">
        <is>
          <t>Ottawa (Ontario) Canada</t>
        </is>
      </c>
      <c r="K2178" t="inlineStr">
        <is>
          <t>Ottawa (Ontario) Canada</t>
        </is>
      </c>
      <c r="P2178" t="n">
        <v>0</v>
      </c>
      <c r="Q2178" t="n">
        <v>0</v>
      </c>
      <c r="R2178" t="n">
        <v>0</v>
      </c>
      <c r="S2178" t="n">
        <v>0</v>
      </c>
      <c r="T2178" t="n">
        <v>22.59</v>
      </c>
      <c r="U2178" t="n">
        <v>22.59</v>
      </c>
      <c r="X2178" t="inlineStr">
        <is>
          <t>aafc-aac</t>
        </is>
      </c>
      <c r="Y2178" t="inlineStr">
        <is>
          <t>Agriculture and Agri-Food Canada | Agriculture et Agroalimentaire Canada</t>
        </is>
      </c>
    </row>
    <row r="2179">
      <c r="A2179" t="inlineStr">
        <is>
          <t>T-2024-P11-002</t>
        </is>
      </c>
      <c r="B2179" t="inlineStr">
        <is>
          <t>MPSES</t>
        </is>
      </c>
      <c r="C2179" t="inlineStr">
        <is>
          <t>Minister</t>
        </is>
      </c>
      <c r="D2179" t="inlineStr">
        <is>
          <t>Ministre</t>
        </is>
      </c>
      <c r="E2179" t="inlineStr">
        <is>
          <t>Lawrence MacAulay</t>
        </is>
      </c>
      <c r="F2179" t="inlineStr">
        <is>
          <t>To meet with the objective of the mission to strengthen relationships, highlight the value of Canada-United States bilateral agricultural collaboration, and advance Canada’s agricultural market access to the United States and to attend an Ontario Tour</t>
        </is>
      </c>
      <c r="G2179" t="inlineStr">
        <is>
          <t>Répondre à l'objectif de la mission qui est de renforcer les relations, de souligner la valeur de la collaboration agricole bilatérale entre le Canada et les États-Unis et d'améliorer l'accès du Canada au marché agricole des États-Unis, et pour participer à une tournée en Ontario.</t>
        </is>
      </c>
      <c r="H2179" s="1" t="n">
        <v>45306</v>
      </c>
      <c r="I2179" s="1" t="n">
        <v>45309</v>
      </c>
      <c r="J2179" t="inlineStr">
        <is>
          <t>Washington (District of Columbia) United States
Guelph (Ontario) Canada</t>
        </is>
      </c>
      <c r="K2179" t="inlineStr">
        <is>
          <t>Washington (District de Columbia) États-Unis
Guelph (Ontario) Canada</t>
        </is>
      </c>
      <c r="P2179" t="n">
        <v>1444.95</v>
      </c>
      <c r="Q2179" t="n">
        <v>0</v>
      </c>
      <c r="R2179" t="n">
        <v>839.74</v>
      </c>
      <c r="S2179" t="n">
        <v>353</v>
      </c>
      <c r="T2179" t="n">
        <v>0</v>
      </c>
      <c r="U2179" t="n">
        <v>2637.69</v>
      </c>
      <c r="X2179" t="inlineStr">
        <is>
          <t>aafc-aac</t>
        </is>
      </c>
      <c r="Y2179" t="inlineStr">
        <is>
          <t>Agriculture and Agri-Food Canada | Agriculture et Agroalimentaire Canada</t>
        </is>
      </c>
    </row>
    <row r="2180">
      <c r="A2180" t="inlineStr">
        <is>
          <t>T-2024-P11-003</t>
        </is>
      </c>
      <c r="B2180" t="inlineStr">
        <is>
          <t>MPSES</t>
        </is>
      </c>
      <c r="C2180" t="inlineStr">
        <is>
          <t>Minister</t>
        </is>
      </c>
      <c r="D2180" t="inlineStr">
        <is>
          <t>Ministre</t>
        </is>
      </c>
      <c r="E2180" t="inlineStr">
        <is>
          <t>Lawrence MacAulay</t>
        </is>
      </c>
      <c r="F2180" t="inlineStr">
        <is>
          <t>To attend a Cabinet Retreat</t>
        </is>
      </c>
      <c r="G2180" t="inlineStr">
        <is>
          <t>Participer à une retraite du cabinet</t>
        </is>
      </c>
      <c r="H2180" s="1" t="n">
        <v>45312</v>
      </c>
      <c r="I2180" s="1" t="n">
        <v>45314</v>
      </c>
      <c r="J2180" t="inlineStr">
        <is>
          <t>Montréal (Quebec) Canada</t>
        </is>
      </c>
      <c r="K2180" t="inlineStr">
        <is>
          <t>Montréal (Québec) Canada</t>
        </is>
      </c>
      <c r="P2180" t="n">
        <v>566.03</v>
      </c>
      <c r="Q2180" t="n">
        <v>0</v>
      </c>
      <c r="R2180" t="n">
        <v>592.64</v>
      </c>
      <c r="S2180" t="n">
        <v>109.45</v>
      </c>
      <c r="T2180" t="n">
        <v>0</v>
      </c>
      <c r="U2180" t="n">
        <v>1268.12</v>
      </c>
      <c r="X2180" t="inlineStr">
        <is>
          <t>aafc-aac</t>
        </is>
      </c>
      <c r="Y2180" t="inlineStr">
        <is>
          <t>Agriculture and Agri-Food Canada | Agriculture et Agroalimentaire Canada</t>
        </is>
      </c>
    </row>
    <row r="2181">
      <c r="A2181" t="inlineStr">
        <is>
          <t>T-2024-P11-004</t>
        </is>
      </c>
      <c r="B2181" t="inlineStr">
        <is>
          <t>MPSES</t>
        </is>
      </c>
      <c r="C2181" t="inlineStr">
        <is>
          <t>Director of Regional Affairs</t>
        </is>
      </c>
      <c r="D2181" t="inlineStr">
        <is>
          <t>Directrice des affaires régionales</t>
        </is>
      </c>
      <c r="E2181" t="inlineStr">
        <is>
          <t>Alison Porter</t>
        </is>
      </c>
      <c r="F2181" t="inlineStr">
        <is>
          <t xml:space="preserve">Delivery of Green Passport </t>
        </is>
      </c>
      <c r="G2181" t="inlineStr">
        <is>
          <t xml:space="preserve">Remise du passeport vert </t>
        </is>
      </c>
      <c r="H2181" s="1" t="n">
        <v>45307</v>
      </c>
      <c r="I2181" s="1" t="n">
        <v>45307</v>
      </c>
      <c r="J2181" t="inlineStr">
        <is>
          <t>Ottawa (Ontario) Canada</t>
        </is>
      </c>
      <c r="K2181" t="inlineStr">
        <is>
          <t>Ottawa (Ontario) Canada</t>
        </is>
      </c>
      <c r="P2181" t="n">
        <v>0</v>
      </c>
      <c r="Q2181" t="n">
        <v>0</v>
      </c>
      <c r="R2181" t="n">
        <v>0</v>
      </c>
      <c r="S2181" t="n">
        <v>0</v>
      </c>
      <c r="T2181" t="n">
        <v>36.68</v>
      </c>
      <c r="U2181" t="n">
        <v>36.68</v>
      </c>
      <c r="X2181" t="inlineStr">
        <is>
          <t>aafc-aac</t>
        </is>
      </c>
      <c r="Y2181" t="inlineStr">
        <is>
          <t>Agriculture and Agri-Food Canada | Agriculture et Agroalimentaire Canada</t>
        </is>
      </c>
    </row>
    <row r="2182">
      <c r="A2182" t="inlineStr">
        <is>
          <t>T-2024-P11-005</t>
        </is>
      </c>
      <c r="B2182" t="inlineStr">
        <is>
          <t>MPSES</t>
        </is>
      </c>
      <c r="C2182" t="inlineStr">
        <is>
          <t>Director of Regional Affairs</t>
        </is>
      </c>
      <c r="D2182" t="inlineStr">
        <is>
          <t>Directrice des affaires régionales</t>
        </is>
      </c>
      <c r="E2182" t="inlineStr">
        <is>
          <t>Alison Porter</t>
        </is>
      </c>
      <c r="F2182" t="inlineStr">
        <is>
          <t>To attend meetings with the Minister, including team meetings</t>
        </is>
      </c>
      <c r="G2182" t="inlineStr">
        <is>
          <t>Participer aux réunions avec le ministre, y compris les réunions d'équipe</t>
        </is>
      </c>
      <c r="H2182" s="1" t="n">
        <v>45323</v>
      </c>
      <c r="I2182" s="1" t="n">
        <v>45324</v>
      </c>
      <c r="J2182" t="inlineStr">
        <is>
          <t>Ottawa (Ontario) Canada</t>
        </is>
      </c>
      <c r="K2182" t="inlineStr">
        <is>
          <t>Ottawa (Ontario) Canada</t>
        </is>
      </c>
      <c r="P2182" t="n">
        <v>0</v>
      </c>
      <c r="Q2182" t="n">
        <v>255.94</v>
      </c>
      <c r="R2182" t="n">
        <v>259.84</v>
      </c>
      <c r="S2182" t="n">
        <v>0</v>
      </c>
      <c r="T2182" t="n">
        <v>0</v>
      </c>
      <c r="U2182" t="n">
        <v>515.78</v>
      </c>
      <c r="X2182" t="inlineStr">
        <is>
          <t>aafc-aac</t>
        </is>
      </c>
      <c r="Y2182" t="inlineStr">
        <is>
          <t>Agriculture and Agri-Food Canada | Agriculture et Agroalimentaire Canada</t>
        </is>
      </c>
    </row>
    <row r="2183">
      <c r="A2183" t="inlineStr">
        <is>
          <t>T-2024-P11-006</t>
        </is>
      </c>
      <c r="B2183" t="inlineStr">
        <is>
          <t>MPSES</t>
        </is>
      </c>
      <c r="C2183" t="inlineStr">
        <is>
          <t>Chief of Staff</t>
        </is>
      </c>
      <c r="D2183" t="inlineStr">
        <is>
          <t>Chef de cabinet</t>
        </is>
      </c>
      <c r="E2183" t="inlineStr">
        <is>
          <t>Matthew Mann</t>
        </is>
      </c>
      <c r="F2183" t="inlineStr">
        <is>
          <t>To assist the Minister with the objective of the mission to strengthen relationships, highlight the value of Canada-United States bilateral agricultural collaboration, and advance Canada’s agricultural market access to the United States and to attend an Ontario Tour</t>
        </is>
      </c>
      <c r="G2183" t="inlineStr">
        <is>
          <t>Assister le ministre à atteindre l'objectif de la mission, qui est de renforcer les relations, de souligner la valeur de la collaboration agricole bilatérale entre le Canada et les États-Unis et de favoriser l'accès du Canada au marché agricole des États-Unis, et pour participer à une tournée en Ontario.</t>
        </is>
      </c>
      <c r="H2183" s="1" t="n">
        <v>45306</v>
      </c>
      <c r="I2183" s="1" t="n">
        <v>45309</v>
      </c>
      <c r="J2183" t="inlineStr">
        <is>
          <t>Washington (District of Columbia) United States
Guelph (Ontario) Canada</t>
        </is>
      </c>
      <c r="K2183" t="inlineStr">
        <is>
          <t>Washington (District de Columbia) États-Unis
Guelph (Ontario) Canada</t>
        </is>
      </c>
      <c r="P2183" t="n">
        <v>1353.42</v>
      </c>
      <c r="Q2183" t="n">
        <v>0</v>
      </c>
      <c r="R2183" t="n">
        <v>843.48</v>
      </c>
      <c r="S2183" t="n">
        <v>353</v>
      </c>
      <c r="T2183" t="n">
        <v>0</v>
      </c>
      <c r="U2183" t="n">
        <v>2549.9</v>
      </c>
      <c r="X2183" t="inlineStr">
        <is>
          <t>aafc-aac</t>
        </is>
      </c>
      <c r="Y2183" t="inlineStr">
        <is>
          <t>Agriculture and Agri-Food Canada | Agriculture et Agroalimentaire Canada</t>
        </is>
      </c>
    </row>
    <row r="2184">
      <c r="A2184" t="inlineStr">
        <is>
          <t>T-2024-P11-007</t>
        </is>
      </c>
      <c r="B2184" t="inlineStr">
        <is>
          <t>MPSES</t>
        </is>
      </c>
      <c r="C2184" t="inlineStr">
        <is>
          <t>Chief of Staff</t>
        </is>
      </c>
      <c r="D2184" t="inlineStr">
        <is>
          <t>Chef de cabinet</t>
        </is>
      </c>
      <c r="E2184" t="inlineStr">
        <is>
          <t>Matthew Mann</t>
        </is>
      </c>
      <c r="F2184" t="inlineStr">
        <is>
          <t>To support the Minister at a Cabinet Retreat</t>
        </is>
      </c>
      <c r="G2184" t="inlineStr">
        <is>
          <t>Soutenir le ministre lors d'une retraite du cabinet</t>
        </is>
      </c>
      <c r="H2184" s="1" t="n">
        <v>45311</v>
      </c>
      <c r="I2184" s="1" t="n">
        <v>45315</v>
      </c>
      <c r="J2184" t="inlineStr">
        <is>
          <t>Montréal (Quebec) Canada</t>
        </is>
      </c>
      <c r="K2184" t="inlineStr">
        <is>
          <t>Montréal (Québec) Canada</t>
        </is>
      </c>
      <c r="P2184" t="n">
        <v>0</v>
      </c>
      <c r="Q2184" t="n">
        <v>318</v>
      </c>
      <c r="R2184" t="n">
        <v>888.96</v>
      </c>
      <c r="S2184" t="n">
        <v>169.9</v>
      </c>
      <c r="T2184" t="n">
        <v>0</v>
      </c>
      <c r="U2184" t="n">
        <v>1376.86</v>
      </c>
      <c r="X2184" t="inlineStr">
        <is>
          <t>aafc-aac</t>
        </is>
      </c>
      <c r="Y2184" t="inlineStr">
        <is>
          <t>Agriculture and Agri-Food Canada | Agriculture et Agroalimentaire Canada</t>
        </is>
      </c>
    </row>
    <row r="2185">
      <c r="A2185" t="inlineStr">
        <is>
          <t>T-2024-P11-008</t>
        </is>
      </c>
      <c r="B2185" t="inlineStr">
        <is>
          <t>MPSES</t>
        </is>
      </c>
      <c r="C2185" t="inlineStr">
        <is>
          <t>Chief of Staff</t>
        </is>
      </c>
      <c r="D2185" t="inlineStr">
        <is>
          <t>Chef de cabinet</t>
        </is>
      </c>
      <c r="E2185" t="inlineStr">
        <is>
          <t>Matthew Mann</t>
        </is>
      </c>
      <c r="F2185" t="inlineStr">
        <is>
          <t>Visa photo reimbursement</t>
        </is>
      </c>
      <c r="G2185" t="inlineStr">
        <is>
          <t>Remboursement de la photo du visa</t>
        </is>
      </c>
      <c r="H2185" s="1" t="n">
        <v>45317</v>
      </c>
      <c r="I2185" s="1" t="n">
        <v>45317</v>
      </c>
      <c r="J2185" t="inlineStr">
        <is>
          <t>Ottawa (Ontario) Canada</t>
        </is>
      </c>
      <c r="K2185" t="inlineStr">
        <is>
          <t>Ottawa (Ontario) Canada</t>
        </is>
      </c>
      <c r="P2185" t="n">
        <v>0</v>
      </c>
      <c r="Q2185" t="n">
        <v>0</v>
      </c>
      <c r="R2185" t="n">
        <v>0</v>
      </c>
      <c r="S2185" t="n">
        <v>0</v>
      </c>
      <c r="T2185" t="n">
        <v>40.68</v>
      </c>
      <c r="U2185" t="n">
        <v>40.68</v>
      </c>
      <c r="X2185" t="inlineStr">
        <is>
          <t>aafc-aac</t>
        </is>
      </c>
      <c r="Y2185" t="inlineStr">
        <is>
          <t>Agriculture and Agri-Food Canada | Agriculture et Agroalimentaire Canada</t>
        </is>
      </c>
    </row>
    <row r="2186">
      <c r="A2186" t="inlineStr">
        <is>
          <t>T-2024-P11-009</t>
        </is>
      </c>
      <c r="B2186" t="inlineStr">
        <is>
          <t>MPSES</t>
        </is>
      </c>
      <c r="C2186" t="inlineStr">
        <is>
          <t>Director of Operations</t>
        </is>
      </c>
      <c r="D2186" t="inlineStr">
        <is>
          <t>Directrice des opérations</t>
        </is>
      </c>
      <c r="E2186" t="inlineStr">
        <is>
          <t>Maria Morley</t>
        </is>
      </c>
      <c r="F2186" t="inlineStr">
        <is>
          <t>To assist the Minister with the objective of the mission to strengthen relationships, highlight the value of Canada-United States bilateral agricultural collaboration, and advance Canada’s agricultural market access to the United States and to attend an Ontario Tour</t>
        </is>
      </c>
      <c r="G2186" t="inlineStr">
        <is>
          <t>Assister le ministre à atteindre l'objectif de la mission, qui est de renforcer les relations, de souligner la valeur de la collaboration agricole bilatérale entre le Canada et les États-Unis et de favoriser l'accès du Canada au marché agricole des États-Unis, et pour participer à une tournée en Ontario.</t>
        </is>
      </c>
      <c r="H2186" s="1" t="n">
        <v>45306</v>
      </c>
      <c r="I2186" s="1" t="n">
        <v>45309</v>
      </c>
      <c r="J2186" t="inlineStr">
        <is>
          <t>Washington (District of Columbia) United States
Guelph (Ontario) Canada</t>
        </is>
      </c>
      <c r="K2186" t="inlineStr">
        <is>
          <t>Washington (District de Columbia) États-Unis
Guelph (Ontario) Canada</t>
        </is>
      </c>
      <c r="P2186" t="n">
        <v>1439.75</v>
      </c>
      <c r="Q2186" t="n">
        <v>265.62</v>
      </c>
      <c r="R2186" t="n">
        <v>839.74</v>
      </c>
      <c r="S2186" t="n">
        <v>352.7</v>
      </c>
      <c r="T2186" t="n">
        <v>0</v>
      </c>
      <c r="U2186" t="n">
        <v>2897.81</v>
      </c>
      <c r="X2186" t="inlineStr">
        <is>
          <t>aafc-aac</t>
        </is>
      </c>
      <c r="Y2186" t="inlineStr">
        <is>
          <t>Agriculture and Agri-Food Canada | Agriculture et Agroalimentaire Canada</t>
        </is>
      </c>
    </row>
    <row r="2187">
      <c r="A2187" t="inlineStr">
        <is>
          <t>T-2024-P11-010</t>
        </is>
      </c>
      <c r="B2187" t="inlineStr">
        <is>
          <t>MPSES</t>
        </is>
      </c>
      <c r="C2187" t="inlineStr">
        <is>
          <t>Director of Operations</t>
        </is>
      </c>
      <c r="D2187" t="inlineStr">
        <is>
          <t>Directrice des opérations</t>
        </is>
      </c>
      <c r="E2187" t="inlineStr">
        <is>
          <t>Maria Morley</t>
        </is>
      </c>
      <c r="F2187" t="inlineStr">
        <is>
          <t>Visa photo reimbursement</t>
        </is>
      </c>
      <c r="G2187" t="inlineStr">
        <is>
          <t>Remboursement de la photo du visa</t>
        </is>
      </c>
      <c r="H2187" s="1" t="n">
        <v>45327</v>
      </c>
      <c r="I2187" s="1" t="n">
        <v>45327</v>
      </c>
      <c r="J2187" t="inlineStr">
        <is>
          <t>Ottawa (Ontario) Canada</t>
        </is>
      </c>
      <c r="K2187" t="inlineStr">
        <is>
          <t>Ottawa (Ontario) Canada</t>
        </is>
      </c>
      <c r="P2187" t="n">
        <v>0</v>
      </c>
      <c r="Q2187" t="n">
        <v>0</v>
      </c>
      <c r="R2187" t="n">
        <v>0</v>
      </c>
      <c r="S2187" t="n">
        <v>0</v>
      </c>
      <c r="T2187" t="n">
        <v>28.24</v>
      </c>
      <c r="U2187" t="n">
        <v>28.24</v>
      </c>
      <c r="X2187" t="inlineStr">
        <is>
          <t>aafc-aac</t>
        </is>
      </c>
      <c r="Y2187" t="inlineStr">
        <is>
          <t>Agriculture and Agri-Food Canada | Agriculture et Agroalimentaire Canada</t>
        </is>
      </c>
    </row>
    <row r="2188">
      <c r="A2188" t="inlineStr">
        <is>
          <t>T-2024-P11-011</t>
        </is>
      </c>
      <c r="B2188" t="inlineStr">
        <is>
          <t>SLE</t>
        </is>
      </c>
      <c r="C2188" t="inlineStr">
        <is>
          <t>Assistant Deputy Minister, International Affairs Branch</t>
        </is>
      </c>
      <c r="D2188" t="inlineStr">
        <is>
          <t>Sous-ministre adjointe, Direction générale des affaires internationales</t>
        </is>
      </c>
      <c r="E2188" t="inlineStr">
        <is>
          <t xml:space="preserve">Kathleen Donohue </t>
        </is>
      </c>
      <c r="F2188" t="inlineStr">
        <is>
          <t>To participate in key stakeholder meetings</t>
        </is>
      </c>
      <c r="G2188" t="inlineStr">
        <is>
          <t>Participer aux réunions des principales parties prenantes</t>
        </is>
      </c>
      <c r="H2188" s="1" t="n">
        <v>45306</v>
      </c>
      <c r="I2188" s="1" t="n">
        <v>45308</v>
      </c>
      <c r="J2188" t="inlineStr">
        <is>
          <t>Washington (District of Columbia) United States</t>
        </is>
      </c>
      <c r="K2188" t="inlineStr">
        <is>
          <t>Washington (District de Columbia) États-Unis</t>
        </is>
      </c>
      <c r="P2188" t="n">
        <v>952.97</v>
      </c>
      <c r="Q2188" t="n">
        <v>86.16</v>
      </c>
      <c r="R2188" t="n">
        <v>605.77</v>
      </c>
      <c r="S2188" t="n">
        <v>309.78</v>
      </c>
      <c r="T2188" t="n">
        <v>0</v>
      </c>
      <c r="U2188" t="n">
        <v>1954.68</v>
      </c>
      <c r="X2188" t="inlineStr">
        <is>
          <t>aafc-aac</t>
        </is>
      </c>
      <c r="Y2188" t="inlineStr">
        <is>
          <t>Agriculture and Agri-Food Canada | Agriculture et Agroalimentaire Canada</t>
        </is>
      </c>
    </row>
    <row r="2189">
      <c r="A2189" t="inlineStr">
        <is>
          <t>T-2024-P11-012</t>
        </is>
      </c>
      <c r="B2189" t="inlineStr">
        <is>
          <t>SLE</t>
        </is>
      </c>
      <c r="C2189" t="inlineStr">
        <is>
          <t>Assistant Deputy Minister, Corporate Management Branch</t>
        </is>
      </c>
      <c r="D2189" t="inlineStr">
        <is>
          <t>Sous-ministre adjointe, Direction générale de la gestion intégrée</t>
        </is>
      </c>
      <c r="E2189" t="inlineStr">
        <is>
          <t>Marie-Claude Guérard</t>
        </is>
      </c>
      <c r="F2189" t="inlineStr">
        <is>
          <t>To attend in-person meetings in Ottawa</t>
        </is>
      </c>
      <c r="G2189" t="inlineStr">
        <is>
          <t>Participer à des rencontres en personne à Ottawa</t>
        </is>
      </c>
      <c r="H2189" s="1" t="n">
        <v>45327</v>
      </c>
      <c r="I2189" s="1" t="n">
        <v>45327</v>
      </c>
      <c r="J2189" t="inlineStr">
        <is>
          <t>Ottawa (Ontario) Canada</t>
        </is>
      </c>
      <c r="K2189" t="inlineStr">
        <is>
          <t>Ottawa (Ontario) Canada</t>
        </is>
      </c>
      <c r="P2189" t="n">
        <v>0</v>
      </c>
      <c r="Q2189" t="n">
        <v>299.37</v>
      </c>
      <c r="R2189" t="n">
        <v>0</v>
      </c>
      <c r="S2189" t="n">
        <v>24.65</v>
      </c>
      <c r="T2189" t="n">
        <v>0</v>
      </c>
      <c r="U2189" t="n">
        <v>324.02</v>
      </c>
      <c r="X2189" t="inlineStr">
        <is>
          <t>aafc-aac</t>
        </is>
      </c>
      <c r="Y2189" t="inlineStr">
        <is>
          <t>Agriculture and Agri-Food Canada | Agriculture et Agroalimentaire Canada</t>
        </is>
      </c>
    </row>
    <row r="2190">
      <c r="A2190" t="inlineStr">
        <is>
          <t>T-2024-P11-013</t>
        </is>
      </c>
      <c r="B2190" t="inlineStr">
        <is>
          <t>SLE</t>
        </is>
      </c>
      <c r="C2190" t="inlineStr">
        <is>
          <t>Assistant Deputy Minister, Corporate Management Branch</t>
        </is>
      </c>
      <c r="D2190" t="inlineStr">
        <is>
          <t>Sous-ministre adjointe, Direction générale de la gestion intégrée</t>
        </is>
      </c>
      <c r="E2190" t="inlineStr">
        <is>
          <t>Marie-Claude Guérard</t>
        </is>
      </c>
      <c r="F2190" t="inlineStr">
        <is>
          <t>To attend in-person meetings in Ottawa</t>
        </is>
      </c>
      <c r="G2190" t="inlineStr">
        <is>
          <t>Participer à des rencontres en personne à Ottawa</t>
        </is>
      </c>
      <c r="H2190" s="1" t="n">
        <v>45334</v>
      </c>
      <c r="I2190" s="1" t="n">
        <v>45334</v>
      </c>
      <c r="J2190" t="inlineStr">
        <is>
          <t>Ottawa (Ontario) Canada</t>
        </is>
      </c>
      <c r="K2190" t="inlineStr">
        <is>
          <t>Ottawa (Ontario) Canada</t>
        </is>
      </c>
      <c r="P2190" t="n">
        <v>0</v>
      </c>
      <c r="Q2190" t="n">
        <v>290.81</v>
      </c>
      <c r="R2190" t="n">
        <v>0</v>
      </c>
      <c r="S2190" t="n">
        <v>24.65</v>
      </c>
      <c r="T2190" t="n">
        <v>0</v>
      </c>
      <c r="U2190" t="n">
        <v>315.46</v>
      </c>
      <c r="X2190" t="inlineStr">
        <is>
          <t>aafc-aac</t>
        </is>
      </c>
      <c r="Y2190" t="inlineStr">
        <is>
          <t>Agriculture and Agri-Food Canada | Agriculture et Agroalimentaire Canada</t>
        </is>
      </c>
    </row>
    <row r="2191">
      <c r="A2191" t="inlineStr">
        <is>
          <t>T-2024-P11-014</t>
        </is>
      </c>
      <c r="B2191" t="inlineStr">
        <is>
          <t>SLE</t>
        </is>
      </c>
      <c r="C2191" t="inlineStr">
        <is>
          <t>Assistant Deputy Minister, Corporate Management Branch</t>
        </is>
      </c>
      <c r="D2191" t="inlineStr">
        <is>
          <t>Sous-ministre adjointe, Direction générale de la gestion intégrée</t>
        </is>
      </c>
      <c r="E2191" t="inlineStr">
        <is>
          <t>Marie-Claude Guérard</t>
        </is>
      </c>
      <c r="F2191" t="inlineStr">
        <is>
          <t>To attend in-person meetings in Ottawa</t>
        </is>
      </c>
      <c r="G2191" t="inlineStr">
        <is>
          <t>Participer à des rencontres en personne à Ottawa</t>
        </is>
      </c>
      <c r="H2191" s="1" t="n">
        <v>45337</v>
      </c>
      <c r="I2191" s="1" t="n">
        <v>45338</v>
      </c>
      <c r="J2191" t="inlineStr">
        <is>
          <t>Ottawa (Ontario) Canada</t>
        </is>
      </c>
      <c r="K2191" t="inlineStr">
        <is>
          <t>Ottawa (Ontario) Canada</t>
        </is>
      </c>
      <c r="P2191" t="n">
        <v>0</v>
      </c>
      <c r="Q2191" t="n">
        <v>380.02</v>
      </c>
      <c r="R2191" t="n">
        <v>266.96</v>
      </c>
      <c r="S2191" t="n">
        <v>168.7</v>
      </c>
      <c r="T2191" t="n">
        <v>0</v>
      </c>
      <c r="U2191" t="n">
        <v>815.6799999999999</v>
      </c>
      <c r="X2191" t="inlineStr">
        <is>
          <t>aafc-aac</t>
        </is>
      </c>
      <c r="Y2191" t="inlineStr">
        <is>
          <t>Agriculture and Agri-Food Canada | Agriculture et Agroalimentaire Canada</t>
        </is>
      </c>
    </row>
    <row r="2192">
      <c r="A2192" t="inlineStr">
        <is>
          <t>T-2024-P11-015</t>
        </is>
      </c>
      <c r="B2192" t="inlineStr">
        <is>
          <t>SLE</t>
        </is>
      </c>
      <c r="C2192" t="inlineStr">
        <is>
          <t>Assistant Deputy Minister, Corporate Management Branch</t>
        </is>
      </c>
      <c r="D2192" t="inlineStr">
        <is>
          <t>Sous-ministre adjointe, Direction générale de la gestion intégrée</t>
        </is>
      </c>
      <c r="E2192" t="inlineStr">
        <is>
          <t>Marie-Claude Guérard</t>
        </is>
      </c>
      <c r="F2192" t="inlineStr">
        <is>
          <t>To attend in-person meetings in Ottawa</t>
        </is>
      </c>
      <c r="G2192" t="inlineStr">
        <is>
          <t>Participer à des rencontres en personne à Ottawa</t>
        </is>
      </c>
      <c r="H2192" s="1" t="n">
        <v>45343</v>
      </c>
      <c r="I2192" s="1" t="n">
        <v>45343</v>
      </c>
      <c r="J2192" t="inlineStr">
        <is>
          <t>Ottawa (Ontario) Canada</t>
        </is>
      </c>
      <c r="K2192" t="inlineStr">
        <is>
          <t>Ottawa (Ontario) Canada</t>
        </is>
      </c>
      <c r="P2192" t="n">
        <v>0</v>
      </c>
      <c r="Q2192" t="n">
        <v>378.78</v>
      </c>
      <c r="R2192" t="n">
        <v>0</v>
      </c>
      <c r="S2192" t="n">
        <v>24.65</v>
      </c>
      <c r="T2192" t="n">
        <v>0</v>
      </c>
      <c r="U2192" t="n">
        <v>403.43</v>
      </c>
      <c r="X2192" t="inlineStr">
        <is>
          <t>aafc-aac</t>
        </is>
      </c>
      <c r="Y2192" t="inlineStr">
        <is>
          <t>Agriculture and Agri-Food Canada | Agriculture et Agroalimentaire Canada</t>
        </is>
      </c>
    </row>
    <row r="2193">
      <c r="A2193" t="inlineStr">
        <is>
          <t>T-2024-P11-016</t>
        </is>
      </c>
      <c r="B2193" t="inlineStr">
        <is>
          <t>SLE</t>
        </is>
      </c>
      <c r="C2193" t="inlineStr">
        <is>
          <t>Assistant Deputy Minister, Strategic Policy Branch</t>
        </is>
      </c>
      <c r="D2193" t="inlineStr">
        <is>
          <t>Sous-ministre adjointe, Direction générale des politiques stratégiques</t>
        </is>
      </c>
      <c r="E2193" t="inlineStr">
        <is>
          <t>Shannon Nix</t>
        </is>
      </c>
      <c r="F2193" t="inlineStr">
        <is>
          <t>To attend meetings in downtown Ottawa</t>
        </is>
      </c>
      <c r="G2193" t="inlineStr">
        <is>
          <t>Participer aux rencontres au centre-ville d'Ottawa</t>
        </is>
      </c>
      <c r="H2193" s="1" t="n">
        <v>45231</v>
      </c>
      <c r="I2193" s="1" t="n">
        <v>45231</v>
      </c>
      <c r="J2193" t="inlineStr">
        <is>
          <t>Ottawa (Ontario) Canada</t>
        </is>
      </c>
      <c r="K2193" t="inlineStr">
        <is>
          <t>Ottawa (Ontario) Canada</t>
        </is>
      </c>
      <c r="P2193" t="n">
        <v>0</v>
      </c>
      <c r="Q2193" t="n">
        <v>47.88</v>
      </c>
      <c r="R2193" t="n">
        <v>0</v>
      </c>
      <c r="S2193" t="n">
        <v>0</v>
      </c>
      <c r="T2193" t="n">
        <v>0</v>
      </c>
      <c r="U2193" t="n">
        <v>47.88</v>
      </c>
      <c r="X2193" t="inlineStr">
        <is>
          <t>aafc-aac</t>
        </is>
      </c>
      <c r="Y2193" t="inlineStr">
        <is>
          <t>Agriculture and Agri-Food Canada | Agriculture et Agroalimentaire Canada</t>
        </is>
      </c>
    </row>
    <row r="2194">
      <c r="A2194" t="inlineStr">
        <is>
          <t>T-2024-P11-017</t>
        </is>
      </c>
      <c r="B2194" t="inlineStr">
        <is>
          <t>SLE</t>
        </is>
      </c>
      <c r="C2194" t="inlineStr">
        <is>
          <t>Assistant Deputy Minister, Market and Industry Services Branch</t>
        </is>
      </c>
      <c r="D2194" t="inlineStr">
        <is>
          <t>Sous-ministre adjoint, Direction générale des services à l'industrie et aux marchés</t>
        </is>
      </c>
      <c r="E2194" t="inlineStr">
        <is>
          <t>Tom Rosser</t>
        </is>
      </c>
      <c r="F2194" t="inlineStr">
        <is>
          <t>To attend meetings in downtown Ottawa with stakeholders.</t>
        </is>
      </c>
      <c r="G2194" t="inlineStr">
        <is>
          <t>Participer aux rencontres au centre-ville d'Ottawa avec les parties prenantes.</t>
        </is>
      </c>
      <c r="H2194" s="1" t="n">
        <v>45307</v>
      </c>
      <c r="I2194" s="1" t="n">
        <v>45307</v>
      </c>
      <c r="J2194" t="inlineStr">
        <is>
          <t>Ottawa (Ontario) Canada</t>
        </is>
      </c>
      <c r="K2194" t="inlineStr">
        <is>
          <t>Ottawa (Ontario) Canada</t>
        </is>
      </c>
      <c r="P2194" t="n">
        <v>0</v>
      </c>
      <c r="Q2194" t="n">
        <v>30.95</v>
      </c>
      <c r="R2194" t="n">
        <v>0</v>
      </c>
      <c r="S2194" t="n">
        <v>0</v>
      </c>
      <c r="T2194" t="n">
        <v>0</v>
      </c>
      <c r="U2194" t="n">
        <v>30.95</v>
      </c>
      <c r="X2194" t="inlineStr">
        <is>
          <t>aafc-aac</t>
        </is>
      </c>
      <c r="Y2194" t="inlineStr">
        <is>
          <t>Agriculture and Agri-Food Canada | Agriculture et Agroalimentaire Canada</t>
        </is>
      </c>
    </row>
    <row r="2195">
      <c r="A2195" t="inlineStr">
        <is>
          <t>T-2024-P11-018</t>
        </is>
      </c>
      <c r="B2195" t="inlineStr">
        <is>
          <t>SLE</t>
        </is>
      </c>
      <c r="C2195" t="inlineStr">
        <is>
          <t>Chief Information Officer, Information Systems Branch</t>
        </is>
      </c>
      <c r="D2195" t="inlineStr">
        <is>
          <t>Dirigeante principale de l'information, Direction générale des systèmes d'information</t>
        </is>
      </c>
      <c r="E2195" t="inlineStr">
        <is>
          <t>Vidya ShankarNarayan</t>
        </is>
      </c>
      <c r="F2195" t="inlineStr">
        <is>
          <t>To attend Executive Leadership Development Program Cohort H: Module 1</t>
        </is>
      </c>
      <c r="G2195" t="inlineStr">
        <is>
          <t>Assister à la Cohorte H du Programme de développement en leadership pour les cadres supérieurs : Module 1</t>
        </is>
      </c>
      <c r="H2195" s="1" t="n">
        <v>45336</v>
      </c>
      <c r="I2195" s="1" t="n">
        <v>45338</v>
      </c>
      <c r="J2195" t="inlineStr">
        <is>
          <t>Ottawa (Ontario) Canada</t>
        </is>
      </c>
      <c r="K2195" t="inlineStr">
        <is>
          <t>Ottawa (Ontario) Canada</t>
        </is>
      </c>
      <c r="P2195" t="n">
        <v>0</v>
      </c>
      <c r="Q2195" t="n">
        <v>51</v>
      </c>
      <c r="R2195" t="n">
        <v>0</v>
      </c>
      <c r="S2195" t="n">
        <v>0</v>
      </c>
      <c r="T2195" t="n">
        <v>0</v>
      </c>
      <c r="U2195" t="n">
        <v>51</v>
      </c>
      <c r="X2195" t="inlineStr">
        <is>
          <t>aafc-aac</t>
        </is>
      </c>
      <c r="Y2195" t="inlineStr">
        <is>
          <t>Agriculture and Agri-Food Canada | Agriculture et Agroalimentaire Canada</t>
        </is>
      </c>
    </row>
    <row r="2196">
      <c r="A2196" t="inlineStr">
        <is>
          <t>T-2024-P11-019</t>
        </is>
      </c>
      <c r="B2196" t="inlineStr">
        <is>
          <t>SLE</t>
        </is>
      </c>
      <c r="C2196" t="inlineStr">
        <is>
          <t>Chief Information Officer, Information Systems Branch</t>
        </is>
      </c>
      <c r="D2196" t="inlineStr">
        <is>
          <t>Dirigeante principale de l'information, Direction générale des systèmes d'information</t>
        </is>
      </c>
      <c r="E2196" t="inlineStr">
        <is>
          <t>Vidya ShankarNarayan</t>
        </is>
      </c>
      <c r="F2196" t="inlineStr">
        <is>
          <t>To attend the Better Evidence Conference</t>
        </is>
      </c>
      <c r="G2196" t="inlineStr">
        <is>
          <t>Assister à la Conférence sur les Meilleures Preuves</t>
        </is>
      </c>
      <c r="H2196" s="1" t="n">
        <v>45320</v>
      </c>
      <c r="I2196" s="1" t="n">
        <v>45320</v>
      </c>
      <c r="J2196" t="inlineStr">
        <is>
          <t>Ottawa (Ontario) Canada</t>
        </is>
      </c>
      <c r="K2196" t="inlineStr">
        <is>
          <t>Ottawa (Ontario) Canada</t>
        </is>
      </c>
      <c r="P2196" t="n">
        <v>0</v>
      </c>
      <c r="Q2196" t="n">
        <v>32.1</v>
      </c>
      <c r="R2196" t="n">
        <v>0</v>
      </c>
      <c r="S2196" t="n">
        <v>0</v>
      </c>
      <c r="T2196" t="n">
        <v>0</v>
      </c>
      <c r="U2196" t="n">
        <v>32.1</v>
      </c>
      <c r="X2196" t="inlineStr">
        <is>
          <t>aafc-aac</t>
        </is>
      </c>
      <c r="Y2196" t="inlineStr">
        <is>
          <t>Agriculture and Agri-Food Canada | Agriculture et Agroalimentaire Canada</t>
        </is>
      </c>
    </row>
    <row r="2197">
      <c r="A2197" t="inlineStr">
        <is>
          <t>T-2024-P02-001</t>
        </is>
      </c>
      <c r="B2197" t="inlineStr">
        <is>
          <t>MPSES</t>
        </is>
      </c>
      <c r="C2197" t="inlineStr">
        <is>
          <t>Member of Parliament</t>
        </is>
      </c>
      <c r="D2197" t="inlineStr">
        <is>
          <t>Membre du Parlement</t>
        </is>
      </c>
      <c r="E2197" t="inlineStr">
        <is>
          <t>Yves Perron</t>
        </is>
      </c>
      <c r="F2197" t="inlineStr">
        <is>
          <t>To accompany the Minister to meet with officials and stakeholders</t>
        </is>
      </c>
      <c r="G2197" t="inlineStr">
        <is>
          <t>Accompagner la ministre pour rencontrer les fonctionnaires et les parties prenantes</t>
        </is>
      </c>
      <c r="H2197" s="1" t="n">
        <v>45035</v>
      </c>
      <c r="I2197" s="1" t="n">
        <v>45042</v>
      </c>
      <c r="J2197" t="inlineStr">
        <is>
          <t>Toyko, Japan
Miyazaki, Japan
Singapore, Singapore</t>
        </is>
      </c>
      <c r="K2197" t="inlineStr">
        <is>
          <t>Toyko, Japon
Miyazaki, Japon
Singapour, Singapour</t>
        </is>
      </c>
      <c r="P2197" t="n">
        <v>15749.93</v>
      </c>
      <c r="Q2197" t="n">
        <v>192</v>
      </c>
      <c r="R2197" t="n">
        <v>2565.06</v>
      </c>
      <c r="S2197" t="n">
        <v>516.42</v>
      </c>
      <c r="T2197" t="n">
        <v>0</v>
      </c>
      <c r="U2197" t="n">
        <v>19023.41</v>
      </c>
      <c r="X2197" t="inlineStr">
        <is>
          <t>aafc-aac</t>
        </is>
      </c>
      <c r="Y2197" t="inlineStr">
        <is>
          <t>Agriculture and Agri-Food Canada | Agriculture et Agroalimentaire Canada</t>
        </is>
      </c>
    </row>
    <row r="2198">
      <c r="A2198" t="inlineStr">
        <is>
          <t>T-2024-P02-002</t>
        </is>
      </c>
      <c r="B2198" t="inlineStr">
        <is>
          <t>MPSES</t>
        </is>
      </c>
      <c r="C2198" t="inlineStr">
        <is>
          <t>Member of Parliament</t>
        </is>
      </c>
      <c r="D2198" t="inlineStr">
        <is>
          <t>Membre du Parlement</t>
        </is>
      </c>
      <c r="E2198" t="inlineStr">
        <is>
          <t>Yves Perron</t>
        </is>
      </c>
      <c r="F2198" t="inlineStr">
        <is>
          <t>To accompany the Minister to the Minister’s Agriculture Innovation Mission for Climate conference and meet with stakeholders and United States counterparts</t>
        </is>
      </c>
      <c r="G2198" t="inlineStr">
        <is>
          <t>Accompagner la ministre à la conférence de la Mission d’innovation agricole pour le climat du ministre et rencontrer les intervenants et leurs homologues américains</t>
        </is>
      </c>
      <c r="H2198" s="1" t="n">
        <v>45053</v>
      </c>
      <c r="I2198" s="1" t="n">
        <v>45056</v>
      </c>
      <c r="J2198" t="inlineStr">
        <is>
          <t>Washington (District of Columbia) United States</t>
        </is>
      </c>
      <c r="K2198" t="inlineStr">
        <is>
          <t>Washington (District de Columbia) États-Unis</t>
        </is>
      </c>
      <c r="P2198" t="n">
        <v>1574.71</v>
      </c>
      <c r="Q2198" t="n">
        <v>96</v>
      </c>
      <c r="R2198" t="n">
        <v>1417.53</v>
      </c>
      <c r="S2198" t="n">
        <v>342.2</v>
      </c>
      <c r="T2198" t="n">
        <v>0</v>
      </c>
      <c r="U2198" t="n">
        <v>3430.44</v>
      </c>
      <c r="X2198" t="inlineStr">
        <is>
          <t>aafc-aac</t>
        </is>
      </c>
      <c r="Y2198" t="inlineStr">
        <is>
          <t>Agriculture and Agri-Food Canada | Agriculture et Agroalimentaire Canada</t>
        </is>
      </c>
    </row>
    <row r="2199">
      <c r="A2199" t="inlineStr">
        <is>
          <t>T-2024-P05-001</t>
        </is>
      </c>
      <c r="B2199" t="inlineStr">
        <is>
          <t>MPSES</t>
        </is>
      </c>
      <c r="C2199" t="inlineStr">
        <is>
          <t>Member of Parliament</t>
        </is>
      </c>
      <c r="D2199" t="inlineStr">
        <is>
          <t>Membre du Parlement</t>
        </is>
      </c>
      <c r="E2199" t="inlineStr">
        <is>
          <t>Simon-Pierre Savard-Tremblay</t>
        </is>
      </c>
      <c r="F2199" t="inlineStr">
        <is>
          <t>To accompany the Minister to the G20 Agricultural Minister’s meeting</t>
        </is>
      </c>
      <c r="G2199" t="inlineStr">
        <is>
          <t>Accompagner la ministre à la réunion des ministres de l’agriculture du G20</t>
        </is>
      </c>
      <c r="H2199" s="1" t="n">
        <v>45090</v>
      </c>
      <c r="I2199" s="1" t="n">
        <v>45097</v>
      </c>
      <c r="J2199" t="inlineStr">
        <is>
          <t>Hyderabad (Telangana) India</t>
        </is>
      </c>
      <c r="K2199" t="inlineStr">
        <is>
          <t>Hyderabad (Telangana) Inde</t>
        </is>
      </c>
      <c r="P2199" t="n">
        <v>10749.2</v>
      </c>
      <c r="Q2199" t="n">
        <v>68.45999999999999</v>
      </c>
      <c r="R2199" t="n">
        <v>1218.1</v>
      </c>
      <c r="S2199" t="n">
        <v>389.98</v>
      </c>
      <c r="T2199" t="n">
        <v>395.91</v>
      </c>
      <c r="U2199" t="n">
        <v>12821.65</v>
      </c>
      <c r="X2199" t="inlineStr">
        <is>
          <t>aafc-aac</t>
        </is>
      </c>
      <c r="Y2199" t="inlineStr">
        <is>
          <t>Agriculture and Agri-Food Canada | Agriculture et Agroalimentaire Canada</t>
        </is>
      </c>
    </row>
    <row r="2200">
      <c r="A2200" t="inlineStr">
        <is>
          <t>T-2024-P12-001</t>
        </is>
      </c>
      <c r="B2200" t="inlineStr">
        <is>
          <t>MPSES</t>
        </is>
      </c>
      <c r="C2200" t="inlineStr">
        <is>
          <t>Minister</t>
        </is>
      </c>
      <c r="D2200" t="inlineStr">
        <is>
          <t>Ministre</t>
        </is>
      </c>
      <c r="E2200" t="inlineStr">
        <is>
          <t>Lawrence MacAulay</t>
        </is>
      </c>
      <c r="F2200" t="inlineStr">
        <is>
          <t xml:space="preserve">To attend a tour </t>
        </is>
      </c>
      <c r="G2200" t="inlineStr">
        <is>
          <t xml:space="preserve">Assister à une visite </t>
        </is>
      </c>
      <c r="H2200" s="1" t="n">
        <v>45338</v>
      </c>
      <c r="I2200" s="1" t="n">
        <v>45346</v>
      </c>
      <c r="J2200" t="inlineStr">
        <is>
          <t>Kuala Lumpur, Malaysia
Manila, Philippines</t>
        </is>
      </c>
      <c r="K2200" t="inlineStr">
        <is>
          <t>Kuala Lumpur, Malaisie
Manille, Philippines</t>
        </is>
      </c>
      <c r="P2200" t="n">
        <v>17861.81</v>
      </c>
      <c r="Q2200" t="n">
        <v>0</v>
      </c>
      <c r="R2200" t="n">
        <v>1728.38</v>
      </c>
      <c r="S2200" t="n">
        <v>752.28</v>
      </c>
      <c r="T2200" t="n">
        <v>0</v>
      </c>
      <c r="U2200" t="n">
        <v>20342.47</v>
      </c>
      <c r="X2200" t="inlineStr">
        <is>
          <t>aafc-aac</t>
        </is>
      </c>
      <c r="Y2200" t="inlineStr">
        <is>
          <t>Agriculture and Agri-Food Canada | Agriculture et Agroalimentaire Canada</t>
        </is>
      </c>
    </row>
    <row r="2201">
      <c r="A2201" t="inlineStr">
        <is>
          <t>T-2024-P12-002</t>
        </is>
      </c>
      <c r="B2201" t="inlineStr">
        <is>
          <t>MPSES</t>
        </is>
      </c>
      <c r="C2201" t="inlineStr">
        <is>
          <t>Minister</t>
        </is>
      </c>
      <c r="D2201" t="inlineStr">
        <is>
          <t>Ministre</t>
        </is>
      </c>
      <c r="E2201" t="inlineStr">
        <is>
          <t>Lawrence MacAulay</t>
        </is>
      </c>
      <c r="F2201" t="inlineStr">
        <is>
          <t>To attend a Wine Sector Support Announcement</t>
        </is>
      </c>
      <c r="G2201" t="inlineStr">
        <is>
          <t>Assister à une annonce de soutien au secteur vitivinicole</t>
        </is>
      </c>
      <c r="H2201" s="1" t="n">
        <v>45351</v>
      </c>
      <c r="I2201" s="1" t="n">
        <v>45352</v>
      </c>
      <c r="J2201" t="inlineStr">
        <is>
          <t>Niagara Falls (Ontario) Canada</t>
        </is>
      </c>
      <c r="K2201" t="inlineStr">
        <is>
          <t>Niagara Falls (Ontario) Canada</t>
        </is>
      </c>
      <c r="P2201" t="n">
        <v>1915.63</v>
      </c>
      <c r="Q2201" t="n">
        <v>86.40000000000001</v>
      </c>
      <c r="R2201" t="n">
        <v>155.89</v>
      </c>
      <c r="S2201" t="n">
        <v>85.09999999999999</v>
      </c>
      <c r="T2201" t="n">
        <v>0</v>
      </c>
      <c r="U2201" t="n">
        <v>2243.02</v>
      </c>
      <c r="X2201" t="inlineStr">
        <is>
          <t>aafc-aac</t>
        </is>
      </c>
      <c r="Y2201" t="inlineStr">
        <is>
          <t>Agriculture and Agri-Food Canada | Agriculture et Agroalimentaire Canada</t>
        </is>
      </c>
    </row>
    <row r="2202">
      <c r="A2202" t="inlineStr">
        <is>
          <t>T-2024-P12-003</t>
        </is>
      </c>
      <c r="B2202" t="inlineStr">
        <is>
          <t>MPSES</t>
        </is>
      </c>
      <c r="C2202" t="inlineStr">
        <is>
          <t>Chief of Staff</t>
        </is>
      </c>
      <c r="D2202" t="inlineStr">
        <is>
          <t>Chef de cabinet</t>
        </is>
      </c>
      <c r="E2202" t="inlineStr">
        <is>
          <t>Matthew Mann</t>
        </is>
      </c>
      <c r="F2202" t="inlineStr">
        <is>
          <t xml:space="preserve">To accompany the Minister on a tour </t>
        </is>
      </c>
      <c r="G2202" t="inlineStr">
        <is>
          <t xml:space="preserve">Accompagner le ministre lors d'une visite </t>
        </is>
      </c>
      <c r="H2202" s="1" t="n">
        <v>45338</v>
      </c>
      <c r="I2202" s="1" t="n">
        <v>45346</v>
      </c>
      <c r="J2202" t="inlineStr">
        <is>
          <t>Kuala Lumpur, Malaysia
Manila, Philippines</t>
        </is>
      </c>
      <c r="K2202" t="inlineStr">
        <is>
          <t>Kuala Lumpur, Malaisie
Manille, Philippines</t>
        </is>
      </c>
      <c r="P2202" t="n">
        <v>13899.68</v>
      </c>
      <c r="Q2202" t="n">
        <v>0</v>
      </c>
      <c r="R2202" t="n">
        <v>1407.49</v>
      </c>
      <c r="S2202" t="n">
        <v>752.28</v>
      </c>
      <c r="T2202" t="n">
        <v>0</v>
      </c>
      <c r="U2202" t="n">
        <v>16059.45</v>
      </c>
      <c r="X2202" t="inlineStr">
        <is>
          <t>aafc-aac</t>
        </is>
      </c>
      <c r="Y2202" t="inlineStr">
        <is>
          <t>Agriculture and Agri-Food Canada | Agriculture et Agroalimentaire Canada</t>
        </is>
      </c>
    </row>
    <row r="2203">
      <c r="A2203" t="inlineStr">
        <is>
          <t>T-2024-P12-004</t>
        </is>
      </c>
      <c r="B2203" t="inlineStr">
        <is>
          <t>MPSES</t>
        </is>
      </c>
      <c r="C2203" t="inlineStr">
        <is>
          <t>Chief of Staff</t>
        </is>
      </c>
      <c r="D2203" t="inlineStr">
        <is>
          <t>Chef de cabinet</t>
        </is>
      </c>
      <c r="E2203" t="inlineStr">
        <is>
          <t>Matthew Mann</t>
        </is>
      </c>
      <c r="F2203" t="inlineStr">
        <is>
          <t>To accompany the Minister to meetings and announcements</t>
        </is>
      </c>
      <c r="G2203" t="inlineStr">
        <is>
          <t>Accompagner le ministre lors de réunions et d'annonces</t>
        </is>
      </c>
      <c r="H2203" s="1" t="n">
        <v>45363</v>
      </c>
      <c r="I2203" s="1" t="n">
        <v>45367</v>
      </c>
      <c r="J2203" t="inlineStr">
        <is>
          <t>Charlottetown (Prince Edward Island) Canada</t>
        </is>
      </c>
      <c r="K2203" t="inlineStr">
        <is>
          <t>Charlottetown (Île-du-Prince-Édouard) Canada</t>
        </is>
      </c>
      <c r="P2203" t="n">
        <v>1339.6</v>
      </c>
      <c r="Q2203" t="n">
        <v>338.08</v>
      </c>
      <c r="R2203" t="n">
        <v>800.72</v>
      </c>
      <c r="S2203" t="n">
        <v>364.75</v>
      </c>
      <c r="T2203" t="n">
        <v>0</v>
      </c>
      <c r="U2203" t="n">
        <v>2843.15</v>
      </c>
      <c r="X2203" t="inlineStr">
        <is>
          <t>aafc-aac</t>
        </is>
      </c>
      <c r="Y2203" t="inlineStr">
        <is>
          <t>Agriculture and Agri-Food Canada | Agriculture et Agroalimentaire Canada</t>
        </is>
      </c>
    </row>
    <row r="2204">
      <c r="A2204" t="inlineStr">
        <is>
          <t>T-2024-P12-005</t>
        </is>
      </c>
      <c r="B2204" t="inlineStr">
        <is>
          <t>MPSES</t>
        </is>
      </c>
      <c r="C2204" t="inlineStr">
        <is>
          <t>Director of Communications</t>
        </is>
      </c>
      <c r="D2204" t="inlineStr">
        <is>
          <t>Directrice des communications</t>
        </is>
      </c>
      <c r="E2204" t="inlineStr">
        <is>
          <t>Annie Cullinan</t>
        </is>
      </c>
      <c r="F2204" t="inlineStr">
        <is>
          <t>To accompany the Minister for a Wine Sector Support Announcement</t>
        </is>
      </c>
      <c r="G2204" t="inlineStr">
        <is>
          <t>Accompagner le ministre pour une annonce de soutien au secteur vitivinicole</t>
        </is>
      </c>
      <c r="H2204" s="1" t="n">
        <v>45351</v>
      </c>
      <c r="I2204" s="1" t="n">
        <v>45352</v>
      </c>
      <c r="J2204" t="inlineStr">
        <is>
          <t>Niagara Falls (Ontario) Canada</t>
        </is>
      </c>
      <c r="K2204" t="inlineStr">
        <is>
          <t>Niagara Falls (Ontario) Canada</t>
        </is>
      </c>
      <c r="P2204" t="n">
        <v>1643.31</v>
      </c>
      <c r="Q2204" t="n">
        <v>12.35</v>
      </c>
      <c r="R2204" t="n">
        <v>155.89</v>
      </c>
      <c r="S2204" t="n">
        <v>86.09999999999999</v>
      </c>
      <c r="T2204" t="n">
        <v>0</v>
      </c>
      <c r="U2204" t="n">
        <v>1897.65</v>
      </c>
      <c r="X2204" t="inlineStr">
        <is>
          <t>aafc-aac</t>
        </is>
      </c>
      <c r="Y2204" t="inlineStr">
        <is>
          <t>Agriculture and Agri-Food Canada | Agriculture et Agroalimentaire Canada</t>
        </is>
      </c>
    </row>
    <row r="2205">
      <c r="A2205" t="inlineStr">
        <is>
          <t>T-2024-P12-006</t>
        </is>
      </c>
      <c r="B2205" t="inlineStr">
        <is>
          <t>MPSES</t>
        </is>
      </c>
      <c r="C2205" t="inlineStr">
        <is>
          <t>Director of Communications</t>
        </is>
      </c>
      <c r="D2205" t="inlineStr">
        <is>
          <t>Directrice des communications</t>
        </is>
      </c>
      <c r="E2205" t="inlineStr">
        <is>
          <t>Annie Cullinan</t>
        </is>
      </c>
      <c r="F2205" t="inlineStr">
        <is>
          <t>To support the Minister at the Boston Seafood Show and to attend meetings</t>
        </is>
      </c>
      <c r="G2205" t="inlineStr">
        <is>
          <t>Soutenir le ministre au Boston Seafood Show et participer aux réunions.</t>
        </is>
      </c>
      <c r="H2205" s="1" t="n">
        <v>45360</v>
      </c>
      <c r="I2205" s="1" t="n">
        <v>45367</v>
      </c>
      <c r="J2205" t="inlineStr">
        <is>
          <t>Boston (Massachusetts) United States
Charlottetown (Prince Edward Island) Canada</t>
        </is>
      </c>
      <c r="K2205" t="inlineStr">
        <is>
          <t>Boston (Massachusetts) États-Unis
Charlottetown (Île-du-Prince-Édouard) Canada</t>
        </is>
      </c>
      <c r="P2205" t="n">
        <v>2360.53</v>
      </c>
      <c r="Q2205" t="n">
        <v>46.02</v>
      </c>
      <c r="R2205" t="n">
        <v>2349.75</v>
      </c>
      <c r="S2205" t="n">
        <v>546.1</v>
      </c>
      <c r="T2205" t="n">
        <v>0</v>
      </c>
      <c r="U2205" t="n">
        <v>5302.4</v>
      </c>
      <c r="X2205" t="inlineStr">
        <is>
          <t>aafc-aac</t>
        </is>
      </c>
      <c r="Y2205" t="inlineStr">
        <is>
          <t>Agriculture and Agri-Food Canada | Agriculture et Agroalimentaire Canada</t>
        </is>
      </c>
    </row>
    <row r="2206">
      <c r="A2206" t="inlineStr">
        <is>
          <t>T-2024-P12-007</t>
        </is>
      </c>
      <c r="B2206" t="inlineStr">
        <is>
          <t>MPSES</t>
        </is>
      </c>
      <c r="C2206" t="inlineStr">
        <is>
          <t>Senior Special Assistant</t>
        </is>
      </c>
      <c r="D2206" t="inlineStr">
        <is>
          <t>Adjoint spécial principal</t>
        </is>
      </c>
      <c r="E2206" t="inlineStr">
        <is>
          <t>Michael Ferguson</t>
        </is>
      </c>
      <c r="F2206" t="inlineStr">
        <is>
          <t>To support the Minister at a tour of the Folly River Farm and attend meetings</t>
        </is>
      </c>
      <c r="G2206" t="inlineStr">
        <is>
          <t>Accompagner le ministre lors d'une visite de la ferme de Folly River et participer à des réunions.</t>
        </is>
      </c>
      <c r="H2206" s="1" t="n">
        <v>45357</v>
      </c>
      <c r="I2206" s="1" t="n">
        <v>45361</v>
      </c>
      <c r="J2206" t="inlineStr">
        <is>
          <t>Halifax (Nova Scotia) Canada
Charlottetown (Prince Edward Island) Canada</t>
        </is>
      </c>
      <c r="K2206" t="inlineStr">
        <is>
          <t>Halifax (Nouvelle-Écosse) Canada
Charlottetown (Île-du-Prince-Édouard) Canada</t>
        </is>
      </c>
      <c r="P2206" t="n">
        <v>1621.55</v>
      </c>
      <c r="Q2206" t="n">
        <v>291.7</v>
      </c>
      <c r="R2206" t="n">
        <v>200.27</v>
      </c>
      <c r="S2206" t="n">
        <v>109.45</v>
      </c>
      <c r="T2206" t="n">
        <v>0</v>
      </c>
      <c r="U2206" t="n">
        <v>2222.97</v>
      </c>
      <c r="X2206" t="inlineStr">
        <is>
          <t>aafc-aac</t>
        </is>
      </c>
      <c r="Y2206" t="inlineStr">
        <is>
          <t>Agriculture and Agri-Food Canada | Agriculture et Agroalimentaire Canada</t>
        </is>
      </c>
    </row>
    <row r="2207">
      <c r="A2207" t="inlineStr">
        <is>
          <t>T-2024-P12-008</t>
        </is>
      </c>
      <c r="B2207" t="inlineStr">
        <is>
          <t>MPSES</t>
        </is>
      </c>
      <c r="C2207" t="inlineStr">
        <is>
          <t>Director of Parliamentary Affairs</t>
        </is>
      </c>
      <c r="D2207" t="inlineStr">
        <is>
          <t>Directeur des affaires parlementaires</t>
        </is>
      </c>
      <c r="E2207" t="inlineStr">
        <is>
          <t>Bradley Henstock</t>
        </is>
      </c>
      <c r="F2207" t="inlineStr">
        <is>
          <t>To accompany the Minister for a Wine Sector Support Announcement</t>
        </is>
      </c>
      <c r="G2207" t="inlineStr">
        <is>
          <t>Accompagner le ministre pour une annonce de soutien au secteur vitivinicole</t>
        </is>
      </c>
      <c r="H2207" s="1" t="n">
        <v>45351</v>
      </c>
      <c r="I2207" s="1" t="n">
        <v>45352</v>
      </c>
      <c r="J2207" t="inlineStr">
        <is>
          <t>Niagara Falls (Ontario) Canada</t>
        </is>
      </c>
      <c r="K2207" t="inlineStr">
        <is>
          <t>Niagara Falls (Ontario) Canada</t>
        </is>
      </c>
      <c r="P2207" t="n">
        <v>1198.08</v>
      </c>
      <c r="Q2207" t="n">
        <v>200.13</v>
      </c>
      <c r="R2207" t="n">
        <v>155.89</v>
      </c>
      <c r="S2207" t="n">
        <v>85.09999999999999</v>
      </c>
      <c r="T2207" t="n">
        <v>0</v>
      </c>
      <c r="U2207" t="n">
        <v>1639.2</v>
      </c>
      <c r="X2207" t="inlineStr">
        <is>
          <t>aafc-aac</t>
        </is>
      </c>
      <c r="Y2207" t="inlineStr">
        <is>
          <t>Agriculture and Agri-Food Canada | Agriculture et Agroalimentaire Canada</t>
        </is>
      </c>
    </row>
    <row r="2208">
      <c r="A2208" t="inlineStr">
        <is>
          <t>T-2024-P12-009</t>
        </is>
      </c>
      <c r="B2208" t="inlineStr">
        <is>
          <t>MPSES</t>
        </is>
      </c>
      <c r="C2208" t="inlineStr">
        <is>
          <t>Director of Parliamentary Affairs</t>
        </is>
      </c>
      <c r="D2208" t="inlineStr">
        <is>
          <t>Directeur des affaires parlementaires</t>
        </is>
      </c>
      <c r="E2208" t="inlineStr">
        <is>
          <t>Bradley Henstock</t>
        </is>
      </c>
      <c r="F2208" t="inlineStr">
        <is>
          <t>To support the Minister at a Boston Seafood Show</t>
        </is>
      </c>
      <c r="G2208" t="inlineStr">
        <is>
          <t>Soutenir le ministre lors d'un salon des fruits de mer à Boston</t>
        </is>
      </c>
      <c r="H2208" s="1" t="n">
        <v>45360</v>
      </c>
      <c r="I2208" s="1" t="n">
        <v>45363</v>
      </c>
      <c r="J2208" t="inlineStr">
        <is>
          <t>Boston (Massachusetts) United States</t>
        </is>
      </c>
      <c r="K2208" t="inlineStr">
        <is>
          <t>Boston (Massachusetts) États-Unis</t>
        </is>
      </c>
      <c r="P2208" t="n">
        <v>1152.15</v>
      </c>
      <c r="Q2208" t="n">
        <v>43.54</v>
      </c>
      <c r="R2208" t="n">
        <v>1629.65</v>
      </c>
      <c r="S2208" t="n">
        <v>255</v>
      </c>
      <c r="T2208" t="n">
        <v>0</v>
      </c>
      <c r="U2208" t="n">
        <v>3080.34</v>
      </c>
      <c r="X2208" t="inlineStr">
        <is>
          <t>aafc-aac</t>
        </is>
      </c>
      <c r="Y2208" t="inlineStr">
        <is>
          <t>Agriculture and Agri-Food Canada | Agriculture et Agroalimentaire Canada</t>
        </is>
      </c>
    </row>
    <row r="2209">
      <c r="A2209" t="inlineStr">
        <is>
          <t>T-2024-P12-010</t>
        </is>
      </c>
      <c r="B2209" t="inlineStr">
        <is>
          <t>MPSES</t>
        </is>
      </c>
      <c r="C2209" t="inlineStr">
        <is>
          <t>Director of Operations</t>
        </is>
      </c>
      <c r="D2209" t="inlineStr">
        <is>
          <t>Directrice des opérations</t>
        </is>
      </c>
      <c r="E2209" t="inlineStr">
        <is>
          <t>Maria Morley</t>
        </is>
      </c>
      <c r="F2209" t="inlineStr">
        <is>
          <t xml:space="preserve">To accompany the Minister on a tour </t>
        </is>
      </c>
      <c r="G2209" t="inlineStr">
        <is>
          <t xml:space="preserve">Accompagner le ministre lors d'une visite </t>
        </is>
      </c>
      <c r="H2209" s="1" t="n">
        <v>45338</v>
      </c>
      <c r="I2209" s="1" t="n">
        <v>45346</v>
      </c>
      <c r="J2209" t="inlineStr">
        <is>
          <t>Kuala Lumpur, Malaysia
Manila, Philippines</t>
        </is>
      </c>
      <c r="K2209" t="inlineStr">
        <is>
          <t>Kuala Lumpur, Malaisie
Manille, Philippines</t>
        </is>
      </c>
      <c r="P2209" t="n">
        <v>13832.68</v>
      </c>
      <c r="Q2209" t="n">
        <v>68.92</v>
      </c>
      <c r="R2209" t="n">
        <v>1386.49</v>
      </c>
      <c r="S2209" t="n">
        <v>752.28</v>
      </c>
      <c r="T2209" t="n">
        <v>0</v>
      </c>
      <c r="U2209" t="n">
        <v>16040.37</v>
      </c>
      <c r="X2209" t="inlineStr">
        <is>
          <t>aafc-aac</t>
        </is>
      </c>
      <c r="Y2209" t="inlineStr">
        <is>
          <t>Agriculture and Agri-Food Canada | Agriculture et Agroalimentaire Canada</t>
        </is>
      </c>
    </row>
    <row r="2210">
      <c r="A2210" t="inlineStr">
        <is>
          <t>T-2024-P12-011</t>
        </is>
      </c>
      <c r="B2210" t="inlineStr">
        <is>
          <t>SLE</t>
        </is>
      </c>
      <c r="C2210" t="inlineStr">
        <is>
          <t>Deputy Minister</t>
        </is>
      </c>
      <c r="D2210" t="inlineStr">
        <is>
          <t>Sous-ministre</t>
        </is>
      </c>
      <c r="E2210" t="inlineStr">
        <is>
          <t>Stefanie Beck</t>
        </is>
      </c>
      <c r="F2210" t="inlineStr">
        <is>
          <t>To meet with Research and Development and stakeholders</t>
        </is>
      </c>
      <c r="G2210" t="inlineStr">
        <is>
          <t>Rencontrer les responsables de la recherche et du développement et les parties prenantes.</t>
        </is>
      </c>
      <c r="H2210" s="1" t="n">
        <v>45344</v>
      </c>
      <c r="I2210" s="1" t="n">
        <v>45345</v>
      </c>
      <c r="J2210" t="inlineStr">
        <is>
          <t>London (Ontario) Canada</t>
        </is>
      </c>
      <c r="K2210" t="inlineStr">
        <is>
          <t>London (Ontario) Canada</t>
        </is>
      </c>
      <c r="P2210" t="n">
        <v>1295.09</v>
      </c>
      <c r="Q2210" t="n">
        <v>67.20999999999999</v>
      </c>
      <c r="R2210" t="n">
        <v>166.88</v>
      </c>
      <c r="S2210" t="n">
        <v>204.5</v>
      </c>
      <c r="T2210" t="n">
        <v>0</v>
      </c>
      <c r="U2210" t="n">
        <v>1733.68</v>
      </c>
      <c r="X2210" t="inlineStr">
        <is>
          <t>aafc-aac</t>
        </is>
      </c>
      <c r="Y2210" t="inlineStr">
        <is>
          <t>Agriculture and Agri-Food Canada | Agriculture et Agroalimentaire Canada</t>
        </is>
      </c>
    </row>
    <row r="2211">
      <c r="A2211" t="inlineStr">
        <is>
          <t>T-2024-P12-012</t>
        </is>
      </c>
      <c r="B2211" t="inlineStr">
        <is>
          <t>SLE</t>
        </is>
      </c>
      <c r="C2211" t="inlineStr">
        <is>
          <t>Driver</t>
        </is>
      </c>
      <c r="D2211" t="inlineStr">
        <is>
          <t>Chauffeur</t>
        </is>
      </c>
      <c r="E2211" t="inlineStr">
        <is>
          <t>Stephane Lafreniere</t>
        </is>
      </c>
      <c r="F2211" t="inlineStr">
        <is>
          <t>To drive the Deputy Minister to attend meetings with the Minister</t>
        </is>
      </c>
      <c r="G2211" t="inlineStr">
        <is>
          <t>Conduire la sous-ministre pour qu'elle assiste aux réunions avec le ministre</t>
        </is>
      </c>
      <c r="H2211" s="1" t="n">
        <v>45119</v>
      </c>
      <c r="I2211" s="1" t="n">
        <v>45120</v>
      </c>
      <c r="J2211" t="inlineStr">
        <is>
          <t>Sherbrooke (Quebec) Canada</t>
        </is>
      </c>
      <c r="K2211" t="inlineStr">
        <is>
          <t>Sherbrooke (Québec) Canada</t>
        </is>
      </c>
      <c r="P2211" t="n">
        <v>0</v>
      </c>
      <c r="Q2211" t="n">
        <v>19</v>
      </c>
      <c r="R2211" t="n">
        <v>201.8</v>
      </c>
      <c r="S2211" t="n">
        <v>222.9</v>
      </c>
      <c r="T2211" t="n">
        <v>0</v>
      </c>
      <c r="U2211" t="n">
        <v>443.7</v>
      </c>
      <c r="X2211" t="inlineStr">
        <is>
          <t>aafc-aac</t>
        </is>
      </c>
      <c r="Y2211" t="inlineStr">
        <is>
          <t>Agriculture and Agri-Food Canada | Agriculture et Agroalimentaire Canada</t>
        </is>
      </c>
    </row>
    <row r="2212">
      <c r="A2212" t="inlineStr">
        <is>
          <t>T-2024-P12-013</t>
        </is>
      </c>
      <c r="B2212" t="inlineStr">
        <is>
          <t>SLE</t>
        </is>
      </c>
      <c r="C2212" t="inlineStr">
        <is>
          <t>Driver</t>
        </is>
      </c>
      <c r="D2212" t="inlineStr">
        <is>
          <t>Chauffeur</t>
        </is>
      </c>
      <c r="E2212" t="inlineStr">
        <is>
          <t>Stephane Lafreniere</t>
        </is>
      </c>
      <c r="F2212" t="inlineStr">
        <is>
          <t>To drive the Deputy Minister to attend a Departmental Advisory Committee</t>
        </is>
      </c>
      <c r="G2212" t="inlineStr">
        <is>
          <t>Conduire la sous-ministre pour assister à un comité consultatif ministériel</t>
        </is>
      </c>
      <c r="H2212" s="1" t="n">
        <v>45211</v>
      </c>
      <c r="I2212" s="1" t="n">
        <v>45212</v>
      </c>
      <c r="J2212" t="inlineStr">
        <is>
          <t>Saint-Hyacinthe (Quebec) Canada</t>
        </is>
      </c>
      <c r="K2212" t="inlineStr">
        <is>
          <t>Saint-Hyacinthe (Québec) Canada</t>
        </is>
      </c>
      <c r="P2212" t="n">
        <v>0</v>
      </c>
      <c r="Q2212" t="n">
        <v>7</v>
      </c>
      <c r="R2212" t="n">
        <v>272.51</v>
      </c>
      <c r="S2212" t="n">
        <v>193.05</v>
      </c>
      <c r="T2212" t="n">
        <v>0</v>
      </c>
      <c r="U2212" t="n">
        <v>472.56</v>
      </c>
      <c r="X2212" t="inlineStr">
        <is>
          <t>aafc-aac</t>
        </is>
      </c>
      <c r="Y2212" t="inlineStr">
        <is>
          <t>Agriculture and Agri-Food Canada | Agriculture et Agroalimentaire Canada</t>
        </is>
      </c>
    </row>
    <row r="2213">
      <c r="A2213" t="inlineStr">
        <is>
          <t>T-2024-P12-014</t>
        </is>
      </c>
      <c r="B2213" t="inlineStr">
        <is>
          <t>SLE</t>
        </is>
      </c>
      <c r="C2213" t="inlineStr">
        <is>
          <t>Driver</t>
        </is>
      </c>
      <c r="D2213" t="inlineStr">
        <is>
          <t>Chauffeur</t>
        </is>
      </c>
      <c r="E2213" t="inlineStr">
        <is>
          <t>Stephane Lafreniere</t>
        </is>
      </c>
      <c r="F2213" t="inlineStr">
        <is>
          <t>Drive the Deputy Minister to meet with Research and Development and stakeholders.</t>
        </is>
      </c>
      <c r="G2213" t="inlineStr">
        <is>
          <t>Conduire la sous-ministre à une réunion avec les responsables de la recherche et du développement et les parties prenantes.</t>
        </is>
      </c>
      <c r="H2213" s="1" t="n">
        <v>45344</v>
      </c>
      <c r="I2213" s="1" t="n">
        <v>45345</v>
      </c>
      <c r="J2213" t="inlineStr">
        <is>
          <t>London (Ontario) Canada</t>
        </is>
      </c>
      <c r="K2213" t="inlineStr">
        <is>
          <t>London (Ontario) Canada</t>
        </is>
      </c>
      <c r="P2213" t="n">
        <v>0</v>
      </c>
      <c r="Q2213" t="n">
        <v>6</v>
      </c>
      <c r="R2213" t="n">
        <v>166.88</v>
      </c>
      <c r="S2213" t="n">
        <v>193.05</v>
      </c>
      <c r="T2213" t="n">
        <v>0</v>
      </c>
      <c r="U2213" t="n">
        <v>365.93</v>
      </c>
      <c r="X2213" t="inlineStr">
        <is>
          <t>aafc-aac</t>
        </is>
      </c>
      <c r="Y2213" t="inlineStr">
        <is>
          <t>Agriculture and Agri-Food Canada | Agriculture et Agroalimentaire Canada</t>
        </is>
      </c>
    </row>
    <row r="2214">
      <c r="A2214" t="inlineStr">
        <is>
          <t>T-2024-P12-015</t>
        </is>
      </c>
      <c r="B2214" t="inlineStr">
        <is>
          <t>SLE</t>
        </is>
      </c>
      <c r="C2214" t="inlineStr">
        <is>
          <t>Corporate Secretary</t>
        </is>
      </c>
      <c r="D2214" t="inlineStr">
        <is>
          <t>Secrétaire générale</t>
        </is>
      </c>
      <c r="E2214" t="inlineStr">
        <is>
          <t>Tamara Abel</t>
        </is>
      </c>
      <c r="F2214" t="inlineStr">
        <is>
          <t>Operational activities</t>
        </is>
      </c>
      <c r="G2214" t="inlineStr">
        <is>
          <t>Activités opérationnelles</t>
        </is>
      </c>
      <c r="H2214" s="1" t="n">
        <v>45333</v>
      </c>
      <c r="I2214" s="1" t="n">
        <v>45337</v>
      </c>
      <c r="J2214" t="inlineStr">
        <is>
          <t>Ottawa (Ontario) Canada</t>
        </is>
      </c>
      <c r="K2214" t="inlineStr">
        <is>
          <t>Ottawa (Ontario) Canada</t>
        </is>
      </c>
      <c r="P2214" t="n">
        <v>904.97</v>
      </c>
      <c r="Q2214" t="n">
        <v>333.99</v>
      </c>
      <c r="R2214" t="n">
        <v>1057.17</v>
      </c>
      <c r="S2214" t="n">
        <v>524.3</v>
      </c>
      <c r="T2214" t="n">
        <v>0</v>
      </c>
      <c r="U2214" t="n">
        <v>2820.43</v>
      </c>
      <c r="X2214" t="inlineStr">
        <is>
          <t>aafc-aac</t>
        </is>
      </c>
      <c r="Y2214" t="inlineStr">
        <is>
          <t>Agriculture and Agri-Food Canada | Agriculture et Agroalimentaire Canada</t>
        </is>
      </c>
    </row>
    <row r="2215">
      <c r="A2215" t="inlineStr">
        <is>
          <t>T-2024-P12-016</t>
        </is>
      </c>
      <c r="B2215" t="inlineStr">
        <is>
          <t>SLE</t>
        </is>
      </c>
      <c r="C2215" t="inlineStr">
        <is>
          <t>Corporate Secretary</t>
        </is>
      </c>
      <c r="D2215" t="inlineStr">
        <is>
          <t>Secrétaire générale</t>
        </is>
      </c>
      <c r="E2215" t="inlineStr">
        <is>
          <t>Tamara Abel</t>
        </is>
      </c>
      <c r="F2215" t="inlineStr">
        <is>
          <t>Operational activities</t>
        </is>
      </c>
      <c r="G2215" t="inlineStr">
        <is>
          <t>Activités opérationnelles</t>
        </is>
      </c>
      <c r="H2215" s="1" t="n">
        <v>45350</v>
      </c>
      <c r="I2215" s="1" t="n">
        <v>45352</v>
      </c>
      <c r="J2215" t="inlineStr">
        <is>
          <t>Ottawa (Ontario) Canada</t>
        </is>
      </c>
      <c r="K2215" t="inlineStr">
        <is>
          <t>Ottawa (Ontario) Canada</t>
        </is>
      </c>
      <c r="P2215" t="n">
        <v>733.14</v>
      </c>
      <c r="Q2215" t="n">
        <v>384.9</v>
      </c>
      <c r="R2215" t="n">
        <v>1178.2</v>
      </c>
      <c r="S2215" t="n">
        <v>573.3</v>
      </c>
      <c r="T2215" t="n">
        <v>0</v>
      </c>
      <c r="U2215" t="n">
        <v>2869.54</v>
      </c>
      <c r="X2215" t="inlineStr">
        <is>
          <t>aafc-aac</t>
        </is>
      </c>
      <c r="Y2215" t="inlineStr">
        <is>
          <t>Agriculture and Agri-Food Canada | Agriculture et Agroalimentaire Canada</t>
        </is>
      </c>
    </row>
    <row r="2216">
      <c r="A2216" t="inlineStr">
        <is>
          <t>T-2024-P12-017</t>
        </is>
      </c>
      <c r="B2216" t="inlineStr">
        <is>
          <t>SLE</t>
        </is>
      </c>
      <c r="C2216" t="inlineStr">
        <is>
          <t>Assistant Deputy Minister, Science and Technology Branch</t>
        </is>
      </c>
      <c r="D2216" t="inlineStr">
        <is>
          <t>Sous-ministre adjoint, Direction générale des sciences et de la technologie</t>
        </is>
      </c>
      <c r="E2216" t="inlineStr">
        <is>
          <t>Gilles Saindon</t>
        </is>
      </c>
      <c r="F2216" t="inlineStr">
        <is>
          <t>Outreach at the Agassiz Research Centre and at the Summerland Research Centre</t>
        </is>
      </c>
      <c r="G2216" t="inlineStr">
        <is>
          <t>Visite de sensibilisation au centre de recherche Agassiz et au centre de recherche Summerland</t>
        </is>
      </c>
      <c r="H2216" s="1" t="n">
        <v>45355</v>
      </c>
      <c r="I2216" s="1" t="n">
        <v>45359</v>
      </c>
      <c r="J2216" t="inlineStr">
        <is>
          <t>Agassiz (Bristish Columbia) Canada 
Summerland (Bristish Columbia) Canada</t>
        </is>
      </c>
      <c r="K2216" t="inlineStr">
        <is>
          <t>Agassiz (Colombie-Britannique) Canada
Summerland (Colombie-Britannique) Canada</t>
        </is>
      </c>
      <c r="P2216" t="n">
        <v>2388.11</v>
      </c>
      <c r="Q2216" t="n">
        <v>173</v>
      </c>
      <c r="R2216" t="n">
        <v>1073.04</v>
      </c>
      <c r="S2216" t="n">
        <v>524.3</v>
      </c>
      <c r="T2216" t="n">
        <v>0</v>
      </c>
      <c r="U2216" t="n">
        <v>4158.45</v>
      </c>
      <c r="X2216" t="inlineStr">
        <is>
          <t>aafc-aac</t>
        </is>
      </c>
      <c r="Y2216" t="inlineStr">
        <is>
          <t>Agriculture and Agri-Food Canada | Agriculture et Agroalimentaire Canada</t>
        </is>
      </c>
    </row>
    <row r="2217">
      <c r="A2217" t="inlineStr">
        <is>
          <t>T-2024-P12-018</t>
        </is>
      </c>
      <c r="B2217" t="inlineStr">
        <is>
          <t>SLE</t>
        </is>
      </c>
      <c r="C2217" t="inlineStr">
        <is>
          <t>Assistant Deputy Minister, Science and Technology Branch</t>
        </is>
      </c>
      <c r="D2217" t="inlineStr">
        <is>
          <t>Sous-ministre adjoint, Direction générale des sciences et de la technologie</t>
        </is>
      </c>
      <c r="E2217" t="inlineStr">
        <is>
          <t>Gilles Saindon</t>
        </is>
      </c>
      <c r="F2217" t="inlineStr">
        <is>
          <t>To attend the University of Calgary Breakfast on behalf of the Deputy Minister</t>
        </is>
      </c>
      <c r="G2217" t="inlineStr">
        <is>
          <t>Participer au petit déjeuner de l'Université de Calgary au nom de la sous-ministre</t>
        </is>
      </c>
      <c r="H2217" s="1" t="n">
        <v>45328</v>
      </c>
      <c r="I2217" s="1" t="n">
        <v>45328</v>
      </c>
      <c r="J2217" t="inlineStr">
        <is>
          <t>Ottawa (Ontario) Canada</t>
        </is>
      </c>
      <c r="K2217" t="inlineStr">
        <is>
          <t>Ottawa (Ontario) Canada</t>
        </is>
      </c>
      <c r="P2217" t="n">
        <v>0</v>
      </c>
      <c r="Q2217" t="n">
        <v>17.5</v>
      </c>
      <c r="R2217" t="n">
        <v>0</v>
      </c>
      <c r="S2217" t="n">
        <v>0</v>
      </c>
      <c r="T2217" t="n">
        <v>0</v>
      </c>
      <c r="U2217" t="n">
        <v>17.5</v>
      </c>
      <c r="X2217" t="inlineStr">
        <is>
          <t>aafc-aac</t>
        </is>
      </c>
      <c r="Y2217" t="inlineStr">
        <is>
          <t>Agriculture and Agri-Food Canada | Agriculture et Agroalimentaire Canada</t>
        </is>
      </c>
    </row>
    <row r="2218">
      <c r="A2218" t="inlineStr">
        <is>
          <t>T-2024-P12-019</t>
        </is>
      </c>
      <c r="B2218" t="inlineStr">
        <is>
          <t>SLE</t>
        </is>
      </c>
      <c r="C2218" t="inlineStr">
        <is>
          <t>Assistant Deputy Minister, Science and Technology Branch</t>
        </is>
      </c>
      <c r="D2218" t="inlineStr">
        <is>
          <t>Sous-ministre adjoint, Direction générale des sciences et de la technologie</t>
        </is>
      </c>
      <c r="E2218" t="inlineStr">
        <is>
          <t>Gilles Saindon</t>
        </is>
      </c>
      <c r="F2218" t="inlineStr">
        <is>
          <t>To attend the Future of Food conference – Canada’s Agriculture Day</t>
        </is>
      </c>
      <c r="G2218" t="inlineStr">
        <is>
          <t>Participer à la conférence Nourrir l'avenir - Jour de l'agriculture canadienne</t>
        </is>
      </c>
      <c r="H2218" s="1" t="n">
        <v>45335</v>
      </c>
      <c r="I2218" s="1" t="n">
        <v>45335</v>
      </c>
      <c r="J2218" t="inlineStr">
        <is>
          <t>Ottawa (Ontario) Canada</t>
        </is>
      </c>
      <c r="K2218" t="inlineStr">
        <is>
          <t>Ottawa (Ontario) Canada</t>
        </is>
      </c>
      <c r="P2218" t="n">
        <v>0</v>
      </c>
      <c r="Q2218" t="n">
        <v>14</v>
      </c>
      <c r="R2218" t="n">
        <v>0</v>
      </c>
      <c r="S2218" t="n">
        <v>0</v>
      </c>
      <c r="T2218" t="n">
        <v>0</v>
      </c>
      <c r="U2218" t="n">
        <v>14</v>
      </c>
      <c r="X2218" t="inlineStr">
        <is>
          <t>aafc-aac</t>
        </is>
      </c>
      <c r="Y2218" t="inlineStr">
        <is>
          <t>Agriculture and Agri-Food Canada | Agriculture et Agroalimentaire Canada</t>
        </is>
      </c>
    </row>
    <row r="2219">
      <c r="A2219" t="inlineStr">
        <is>
          <t>T-2024-P12-020</t>
        </is>
      </c>
      <c r="B2219" t="inlineStr">
        <is>
          <t>SLE</t>
        </is>
      </c>
      <c r="C2219" t="inlineStr">
        <is>
          <t>Assistant Deputy Minister, International Affairs Branch</t>
        </is>
      </c>
      <c r="D2219" t="inlineStr">
        <is>
          <t>Sous-ministre adjointe, Direction générale des affaires internationales</t>
        </is>
      </c>
      <c r="E2219" t="inlineStr">
        <is>
          <t xml:space="preserve">Kathleen Donohue </t>
        </is>
      </c>
      <c r="F2219" t="inlineStr">
        <is>
          <t>To accompany the Minister for ministerial international outreach, then complete an assistant deputy minister international outreach</t>
        </is>
      </c>
      <c r="G2219" t="inlineStr">
        <is>
          <t>Accompagner le ministre pour la sensibilisation ministérielle à l’international, puis participer à la sensibilisation internationale du sous-ministre adjoint</t>
        </is>
      </c>
      <c r="H2219" s="1" t="n">
        <v>45338</v>
      </c>
      <c r="I2219" s="1" t="n">
        <v>45351</v>
      </c>
      <c r="J2219" t="inlineStr">
        <is>
          <t>Kuala Lumpur, Malaysia
Manila, Philippines
Singapore, Singapore</t>
        </is>
      </c>
      <c r="K2219" t="inlineStr">
        <is>
          <t>Kuala Lumpur, Malaisie
Manille, Philippines
Singapour, Singapour</t>
        </is>
      </c>
      <c r="P2219" t="n">
        <v>18190.12</v>
      </c>
      <c r="Q2219" t="n">
        <v>117.99</v>
      </c>
      <c r="R2219" t="n">
        <v>3160.22</v>
      </c>
      <c r="S2219" t="n">
        <v>1264.02</v>
      </c>
      <c r="T2219" t="n">
        <v>0</v>
      </c>
      <c r="U2219" t="n">
        <v>22732.35</v>
      </c>
      <c r="X2219" t="inlineStr">
        <is>
          <t>aafc-aac</t>
        </is>
      </c>
      <c r="Y2219" t="inlineStr">
        <is>
          <t>Agriculture and Agri-Food Canada | Agriculture et Agroalimentaire Canada</t>
        </is>
      </c>
    </row>
    <row r="2220">
      <c r="A2220" t="inlineStr">
        <is>
          <t>T-2024-P12-021</t>
        </is>
      </c>
      <c r="B2220" t="inlineStr">
        <is>
          <t>SLE</t>
        </is>
      </c>
      <c r="C2220" t="inlineStr">
        <is>
          <t>Assistant Deputy Minister, International Affairs Branch</t>
        </is>
      </c>
      <c r="D2220" t="inlineStr">
        <is>
          <t>Sous-ministre adjointe, Direction générale des affaires internationales</t>
        </is>
      </c>
      <c r="E2220" t="inlineStr">
        <is>
          <t xml:space="preserve">Kathleen Donohue </t>
        </is>
      </c>
      <c r="F2220" t="inlineStr">
        <is>
          <t>To attend the Japanese National Day Reception</t>
        </is>
      </c>
      <c r="G2220" t="inlineStr">
        <is>
          <t>Participer à la réception de la fête nationale japonaise</t>
        </is>
      </c>
      <c r="H2220" s="1" t="n">
        <v>45335</v>
      </c>
      <c r="I2220" s="1" t="n">
        <v>45335</v>
      </c>
      <c r="J2220" t="inlineStr">
        <is>
          <t>Ottawa (Ontario) Canada</t>
        </is>
      </c>
      <c r="K2220" t="inlineStr">
        <is>
          <t>Ottawa (Ontario) Canada</t>
        </is>
      </c>
      <c r="P2220" t="n">
        <v>0</v>
      </c>
      <c r="Q2220" t="n">
        <v>21.71</v>
      </c>
      <c r="R2220" t="n">
        <v>0</v>
      </c>
      <c r="S2220" t="n">
        <v>0</v>
      </c>
      <c r="T2220" t="n">
        <v>0</v>
      </c>
      <c r="U2220" t="n">
        <v>21.71</v>
      </c>
      <c r="X2220" t="inlineStr">
        <is>
          <t>aafc-aac</t>
        </is>
      </c>
      <c r="Y2220" t="inlineStr">
        <is>
          <t>Agriculture and Agri-Food Canada | Agriculture et Agroalimentaire Canada</t>
        </is>
      </c>
    </row>
    <row r="2221">
      <c r="A2221" t="inlineStr">
        <is>
          <t>T-2024-P12-022</t>
        </is>
      </c>
      <c r="B2221" t="inlineStr">
        <is>
          <t>SLE</t>
        </is>
      </c>
      <c r="C2221" t="inlineStr">
        <is>
          <t>Associate Assistant Deputy Minister, Science and Technology Branch</t>
        </is>
      </c>
      <c r="D2221" t="inlineStr">
        <is>
          <t>Sous-ministre adjoint délégué, Direction générale des sciences et de la technologie</t>
        </is>
      </c>
      <c r="E2221" t="inlineStr">
        <is>
          <t>Andrew Goldstein</t>
        </is>
      </c>
      <c r="F2221" t="inlineStr">
        <is>
          <t>Outreach visit and meet with staff at the Guelph Research and Development Centre</t>
        </is>
      </c>
      <c r="G2221" t="inlineStr">
        <is>
          <t>Rencontre de sensibilisation avec le personnel du Centre de recherche et de développement de Guelph</t>
        </is>
      </c>
      <c r="H2221" s="1" t="n">
        <v>45348</v>
      </c>
      <c r="I2221" s="1" t="n">
        <v>45349</v>
      </c>
      <c r="J2221" t="inlineStr">
        <is>
          <t>Guelph (Ontario) Canada</t>
        </is>
      </c>
      <c r="K2221" t="inlineStr">
        <is>
          <t>Guelph (Ontario) Canada</t>
        </is>
      </c>
      <c r="P2221" t="n">
        <v>862.7</v>
      </c>
      <c r="Q2221" t="n">
        <v>92.83</v>
      </c>
      <c r="R2221" t="n">
        <v>233.86</v>
      </c>
      <c r="S2221" t="n">
        <v>253.5</v>
      </c>
      <c r="T2221" t="n">
        <v>99.09999999999999</v>
      </c>
      <c r="U2221" t="n">
        <v>1541.99</v>
      </c>
      <c r="X2221" t="inlineStr">
        <is>
          <t>aafc-aac</t>
        </is>
      </c>
      <c r="Y2221" t="inlineStr">
        <is>
          <t>Agriculture and Agri-Food Canada | Agriculture et Agroalimentaire Canada</t>
        </is>
      </c>
    </row>
    <row r="2222">
      <c r="A2222" t="inlineStr">
        <is>
          <t>T-2024-P12-023</t>
        </is>
      </c>
      <c r="B2222" t="inlineStr">
        <is>
          <t>SLE</t>
        </is>
      </c>
      <c r="C2222" t="inlineStr">
        <is>
          <t>Associate Assistant Deputy Minister, Science and Technology Branch</t>
        </is>
      </c>
      <c r="D2222" t="inlineStr">
        <is>
          <t>Sous-ministre adjoint délégué, Direction générale des sciences et de la technologie</t>
        </is>
      </c>
      <c r="E2222" t="inlineStr">
        <is>
          <t>Andrew Goldstein</t>
        </is>
      </c>
      <c r="F2222" t="inlineStr">
        <is>
          <t>To attend the Future of Food conference – Canada’s Agriculture Day</t>
        </is>
      </c>
      <c r="G2222" t="inlineStr">
        <is>
          <t>Participer à la conférence Nourrir l'avenir - Jour de l'agriculture canadienne</t>
        </is>
      </c>
      <c r="H2222" s="1" t="n">
        <v>45335</v>
      </c>
      <c r="I2222" s="1" t="n">
        <v>45335</v>
      </c>
      <c r="J2222" t="inlineStr">
        <is>
          <t>Ottawa (Ontario) Canada</t>
        </is>
      </c>
      <c r="K2222" t="inlineStr">
        <is>
          <t>Ottawa (Ontario) Canada</t>
        </is>
      </c>
      <c r="P2222" t="n">
        <v>0</v>
      </c>
      <c r="Q2222" t="n">
        <v>20</v>
      </c>
      <c r="R2222" t="n">
        <v>0</v>
      </c>
      <c r="S2222" t="n">
        <v>0</v>
      </c>
      <c r="T2222" t="n">
        <v>0</v>
      </c>
      <c r="U2222" t="n">
        <v>20</v>
      </c>
      <c r="X2222" t="inlineStr">
        <is>
          <t>aafc-aac</t>
        </is>
      </c>
      <c r="Y2222" t="inlineStr">
        <is>
          <t>Agriculture and Agri-Food Canada | Agriculture et Agroalimentaire Canada</t>
        </is>
      </c>
    </row>
    <row r="2223">
      <c r="A2223" t="inlineStr">
        <is>
          <t>T-2024-P12-024</t>
        </is>
      </c>
      <c r="B2223" t="inlineStr">
        <is>
          <t>SLE</t>
        </is>
      </c>
      <c r="C2223" t="inlineStr">
        <is>
          <t>Assistant Deputy Minister, Corporate Management Branch</t>
        </is>
      </c>
      <c r="D2223" t="inlineStr">
        <is>
          <t>Sous-ministre adjointe, Direction générale de la gestion intégrée</t>
        </is>
      </c>
      <c r="E2223" t="inlineStr">
        <is>
          <t>Marie-Claude Guérard</t>
        </is>
      </c>
      <c r="F2223" t="inlineStr">
        <is>
          <t xml:space="preserve">To attend meetings in Ottawa </t>
        </is>
      </c>
      <c r="G2223" t="inlineStr">
        <is>
          <t>Participer aux rencontres à Ottawa</t>
        </is>
      </c>
      <c r="H2223" s="1" t="n">
        <v>45350</v>
      </c>
      <c r="I2223" s="1" t="n">
        <v>45351</v>
      </c>
      <c r="J2223" t="inlineStr">
        <is>
          <t>Ottawa (Ontario) Canada</t>
        </is>
      </c>
      <c r="K2223" t="inlineStr">
        <is>
          <t>Ottawa (Ontario) Canada</t>
        </is>
      </c>
      <c r="P2223" t="n">
        <v>0</v>
      </c>
      <c r="Q2223" t="n">
        <v>420.22</v>
      </c>
      <c r="R2223" t="n">
        <v>212.38</v>
      </c>
      <c r="S2223" t="n">
        <v>253.5</v>
      </c>
      <c r="T2223" t="n">
        <v>0</v>
      </c>
      <c r="U2223" t="n">
        <v>886.1</v>
      </c>
      <c r="X2223" t="inlineStr">
        <is>
          <t>aafc-aac</t>
        </is>
      </c>
      <c r="Y2223" t="inlineStr">
        <is>
          <t>Agriculture and Agri-Food Canada | Agriculture et Agroalimentaire Canada</t>
        </is>
      </c>
    </row>
    <row r="2224">
      <c r="A2224" t="inlineStr">
        <is>
          <t>T-2024-P12-025</t>
        </is>
      </c>
      <c r="B2224" t="inlineStr">
        <is>
          <t>SLE</t>
        </is>
      </c>
      <c r="C2224" t="inlineStr">
        <is>
          <t>Assistant Deputy Minister, Corporate Management Branch</t>
        </is>
      </c>
      <c r="D2224" t="inlineStr">
        <is>
          <t>Sous-ministre adjointe, Direction générale de la gestion intégrée</t>
        </is>
      </c>
      <c r="E2224" t="inlineStr">
        <is>
          <t>Marie-Claude Guérard</t>
        </is>
      </c>
      <c r="F2224" t="inlineStr">
        <is>
          <t xml:space="preserve">To attend meetings in Ottawa </t>
        </is>
      </c>
      <c r="G2224" t="inlineStr">
        <is>
          <t>Participer aux rencontres à Ottawa</t>
        </is>
      </c>
      <c r="H2224" s="1" t="n">
        <v>45355</v>
      </c>
      <c r="I2224" s="1" t="n">
        <v>45357</v>
      </c>
      <c r="J2224" t="inlineStr">
        <is>
          <t>Ottawa (Ontario) Canada</t>
        </is>
      </c>
      <c r="K2224" t="inlineStr">
        <is>
          <t>Ottawa (Ontario) Canada</t>
        </is>
      </c>
      <c r="P2224" t="n">
        <v>0</v>
      </c>
      <c r="Q2224" t="n">
        <v>388.62</v>
      </c>
      <c r="R2224" t="n">
        <v>519.6799999999999</v>
      </c>
      <c r="S2224" t="n">
        <v>210.35</v>
      </c>
      <c r="T2224" t="n">
        <v>0</v>
      </c>
      <c r="U2224" t="n">
        <v>1118.65</v>
      </c>
      <c r="X2224" t="inlineStr">
        <is>
          <t>aafc-aac</t>
        </is>
      </c>
      <c r="Y2224" t="inlineStr">
        <is>
          <t>Agriculture and Agri-Food Canada | Agriculture et Agroalimentaire Canada</t>
        </is>
      </c>
    </row>
    <row r="2225">
      <c r="A2225" t="inlineStr">
        <is>
          <t>T-2024-P12-026</t>
        </is>
      </c>
      <c r="B2225" t="inlineStr">
        <is>
          <t>SLE</t>
        </is>
      </c>
      <c r="C2225" t="inlineStr">
        <is>
          <t>Assistant Deputy Minister, Corporate Management Branch</t>
        </is>
      </c>
      <c r="D2225" t="inlineStr">
        <is>
          <t>Sous-ministre adjointe, Direction générale de la gestion intégrée</t>
        </is>
      </c>
      <c r="E2225" t="inlineStr">
        <is>
          <t>Marie-Claude Guérard</t>
        </is>
      </c>
      <c r="F2225" t="inlineStr">
        <is>
          <t xml:space="preserve">To attend meetings in Ottawa </t>
        </is>
      </c>
      <c r="G2225" t="inlineStr">
        <is>
          <t>Participer aux rencontres à Ottawa</t>
        </is>
      </c>
      <c r="H2225" s="1" t="n">
        <v>45362</v>
      </c>
      <c r="I2225" s="1" t="n">
        <v>45362</v>
      </c>
      <c r="J2225" t="inlineStr">
        <is>
          <t>Ottawa (Ontario) Canada</t>
        </is>
      </c>
      <c r="K2225" t="inlineStr">
        <is>
          <t>Ottawa (Ontario) Canada</t>
        </is>
      </c>
      <c r="P2225" t="n">
        <v>0</v>
      </c>
      <c r="Q2225" t="n">
        <v>313.79</v>
      </c>
      <c r="R2225" t="n">
        <v>0</v>
      </c>
      <c r="S2225" t="n">
        <v>24.65</v>
      </c>
      <c r="T2225" t="n">
        <v>0</v>
      </c>
      <c r="U2225" t="n">
        <v>338.44</v>
      </c>
      <c r="X2225" t="inlineStr">
        <is>
          <t>aafc-aac</t>
        </is>
      </c>
      <c r="Y2225" t="inlineStr">
        <is>
          <t>Agriculture and Agri-Food Canada | Agriculture et Agroalimentaire Canada</t>
        </is>
      </c>
    </row>
    <row r="2226">
      <c r="A2226" t="inlineStr">
        <is>
          <t>T-2024-P12-027</t>
        </is>
      </c>
      <c r="B2226" t="inlineStr">
        <is>
          <t>SLE</t>
        </is>
      </c>
      <c r="C2226" t="inlineStr">
        <is>
          <t>Assistant Deputy Minister, Corporate Management Branch</t>
        </is>
      </c>
      <c r="D2226" t="inlineStr">
        <is>
          <t>Sous-ministre adjointe, Direction générale de la gestion intégrée</t>
        </is>
      </c>
      <c r="E2226" t="inlineStr">
        <is>
          <t>Marie-Claude Guérard</t>
        </is>
      </c>
      <c r="F2226" t="inlineStr">
        <is>
          <t xml:space="preserve">To attend meetings in Ottawa </t>
        </is>
      </c>
      <c r="G2226" t="inlineStr">
        <is>
          <t>Participer aux rencontres à Ottawa</t>
        </is>
      </c>
      <c r="H2226" s="1" t="n">
        <v>45369</v>
      </c>
      <c r="I2226" s="1" t="n">
        <v>45372</v>
      </c>
      <c r="J2226" t="inlineStr">
        <is>
          <t>Ottawa (Ontario) Canada</t>
        </is>
      </c>
      <c r="K2226" t="inlineStr">
        <is>
          <t>Ottawa (Ontario) Canada</t>
        </is>
      </c>
      <c r="P2226" t="n">
        <v>0</v>
      </c>
      <c r="Q2226" t="n">
        <v>414.39</v>
      </c>
      <c r="R2226" t="n">
        <v>708.33</v>
      </c>
      <c r="S2226" t="n">
        <v>397.55</v>
      </c>
      <c r="T2226" t="n">
        <v>0</v>
      </c>
      <c r="U2226" t="n">
        <v>1520.27</v>
      </c>
      <c r="X2226" t="inlineStr">
        <is>
          <t>aafc-aac</t>
        </is>
      </c>
      <c r="Y2226" t="inlineStr">
        <is>
          <t>Agriculture and Agri-Food Canada | Agriculture et Agroalimentaire Canada</t>
        </is>
      </c>
    </row>
    <row r="2227">
      <c r="A2227" t="inlineStr">
        <is>
          <t>T-2024-P12-028</t>
        </is>
      </c>
      <c r="B2227" t="inlineStr">
        <is>
          <t>SLE</t>
        </is>
      </c>
      <c r="C2227" t="inlineStr">
        <is>
          <t>Assistant Deputy Minister, Strategic Policy Branch</t>
        </is>
      </c>
      <c r="D2227" t="inlineStr">
        <is>
          <t>Sous-ministre adjointe, Direction générale des politiques stratégiques</t>
        </is>
      </c>
      <c r="E2227" t="inlineStr">
        <is>
          <t>Shannon Nix</t>
        </is>
      </c>
      <c r="F2227" t="inlineStr">
        <is>
          <t>To attend 3 meetings in Ottawa</t>
        </is>
      </c>
      <c r="G2227" t="inlineStr">
        <is>
          <t>Assister à 3 réunions à Ottawa</t>
        </is>
      </c>
      <c r="H2227" s="1" t="n">
        <v>45334</v>
      </c>
      <c r="I2227" s="1" t="n">
        <v>45336</v>
      </c>
      <c r="J2227" t="inlineStr">
        <is>
          <t>Ottawa (Ontario) Canada</t>
        </is>
      </c>
      <c r="K2227" t="inlineStr">
        <is>
          <t>Ottawa (Ontario) Canada</t>
        </is>
      </c>
      <c r="P2227" t="n">
        <v>0</v>
      </c>
      <c r="Q2227" t="n">
        <v>37.08</v>
      </c>
      <c r="R2227" t="n">
        <v>0</v>
      </c>
      <c r="S2227" t="n">
        <v>0</v>
      </c>
      <c r="T2227" t="n">
        <v>0</v>
      </c>
      <c r="U2227" t="n">
        <v>37.08</v>
      </c>
      <c r="X2227" t="inlineStr">
        <is>
          <t>aafc-aac</t>
        </is>
      </c>
      <c r="Y2227" t="inlineStr">
        <is>
          <t>Agriculture and Agri-Food Canada | Agriculture et Agroalimentaire Canada</t>
        </is>
      </c>
    </row>
    <row r="2228">
      <c r="A2228" t="inlineStr">
        <is>
          <t>T-2024-P12-029</t>
        </is>
      </c>
      <c r="B2228" t="inlineStr">
        <is>
          <t>SLE</t>
        </is>
      </c>
      <c r="C2228" t="inlineStr">
        <is>
          <t>Assistant Deputy Minister, Strategic Policy Branch</t>
        </is>
      </c>
      <c r="D2228" t="inlineStr">
        <is>
          <t>Sous-ministre adjointe, Direction générale des politiques stratégiques</t>
        </is>
      </c>
      <c r="E2228" t="inlineStr">
        <is>
          <t>Shannon Nix</t>
        </is>
      </c>
      <c r="F2228" t="inlineStr">
        <is>
          <t>To attend 2 meetings in Ottawa</t>
        </is>
      </c>
      <c r="G2228" t="inlineStr">
        <is>
          <t>Assister à 2 réunions à Ottawa</t>
        </is>
      </c>
      <c r="H2228" s="1" t="n">
        <v>45351</v>
      </c>
      <c r="I2228" s="1" t="n">
        <v>45352</v>
      </c>
      <c r="J2228" t="inlineStr">
        <is>
          <t>Ottawa (Ontario) Canada</t>
        </is>
      </c>
      <c r="K2228" t="inlineStr">
        <is>
          <t>Ottawa (Ontario) Canada</t>
        </is>
      </c>
      <c r="P2228" t="n">
        <v>0</v>
      </c>
      <c r="Q2228" t="n">
        <v>32.22</v>
      </c>
      <c r="R2228" t="n">
        <v>0</v>
      </c>
      <c r="S2228" t="n">
        <v>0</v>
      </c>
      <c r="T2228" t="n">
        <v>0</v>
      </c>
      <c r="U2228" t="n">
        <v>32.22</v>
      </c>
      <c r="X2228" t="inlineStr">
        <is>
          <t>aafc-aac</t>
        </is>
      </c>
      <c r="Y2228" t="inlineStr">
        <is>
          <t>Agriculture and Agri-Food Canada | Agriculture et Agroalimentaire Canada</t>
        </is>
      </c>
    </row>
    <row r="2229">
      <c r="A2229" t="inlineStr">
        <is>
          <t>T-2024-P12-030</t>
        </is>
      </c>
      <c r="B2229" t="inlineStr">
        <is>
          <t>SLE</t>
        </is>
      </c>
      <c r="C2229" t="inlineStr">
        <is>
          <t>Assistant Deputy Minister, Strategic Policy Branch</t>
        </is>
      </c>
      <c r="D2229" t="inlineStr">
        <is>
          <t>Sous-ministre adjointe, Direction générale des politiques stratégiques</t>
        </is>
      </c>
      <c r="E2229" t="inlineStr">
        <is>
          <t>Shannon Nix</t>
        </is>
      </c>
      <c r="F2229" t="inlineStr">
        <is>
          <t xml:space="preserve">To attend the Canadian Crops Convention </t>
        </is>
      </c>
      <c r="G2229" t="inlineStr">
        <is>
          <t>Assister au congrès des Cultures Canadiennes</t>
        </is>
      </c>
      <c r="H2229" s="1" t="n">
        <v>45356</v>
      </c>
      <c r="I2229" s="1" t="n">
        <v>45359</v>
      </c>
      <c r="J2229" t="inlineStr">
        <is>
          <t>Winnipeg (Manitoba) Canada</t>
        </is>
      </c>
      <c r="K2229" t="inlineStr">
        <is>
          <t>Winnipeg (Manitoba) Canada</t>
        </is>
      </c>
      <c r="P2229" t="n">
        <v>1539.86</v>
      </c>
      <c r="Q2229" t="n">
        <v>209.5</v>
      </c>
      <c r="R2229" t="n">
        <v>492.45</v>
      </c>
      <c r="S2229" t="n">
        <v>288.1</v>
      </c>
      <c r="T2229" t="n">
        <v>0</v>
      </c>
      <c r="U2229" t="n">
        <v>2529.91</v>
      </c>
      <c r="X2229" t="inlineStr">
        <is>
          <t>aafc-aac</t>
        </is>
      </c>
      <c r="Y2229" t="inlineStr">
        <is>
          <t>Agriculture and Agri-Food Canada | Agriculture et Agroalimentaire Canada</t>
        </is>
      </c>
    </row>
    <row r="2230">
      <c r="A2230" t="inlineStr">
        <is>
          <t>T-2024-P12-031</t>
        </is>
      </c>
      <c r="B2230" t="inlineStr">
        <is>
          <t>SLE</t>
        </is>
      </c>
      <c r="C2230" t="inlineStr">
        <is>
          <t>Assistant Deputy Minister, Programs Branch</t>
        </is>
      </c>
      <c r="D2230" t="inlineStr">
        <is>
          <t>Sous-ministre adjointe, Direction générale des programmes</t>
        </is>
      </c>
      <c r="E2230" t="inlineStr">
        <is>
          <t>Liz Foster</t>
        </is>
      </c>
      <c r="F2230" t="inlineStr">
        <is>
          <t>To attend a meeting with the Minister and Deputy Minister</t>
        </is>
      </c>
      <c r="G2230" t="inlineStr">
        <is>
          <t>Participer à une rencontre avec le Ministre et la Sous-Ministre</t>
        </is>
      </c>
      <c r="H2230" s="1" t="n">
        <v>45330</v>
      </c>
      <c r="I2230" s="1" t="n">
        <v>45330</v>
      </c>
      <c r="J2230" t="inlineStr">
        <is>
          <t>Ottawa (Ontario) Canada</t>
        </is>
      </c>
      <c r="K2230" t="inlineStr">
        <is>
          <t>Ottawa (Ontario) Canada</t>
        </is>
      </c>
      <c r="P2230" t="n">
        <v>0</v>
      </c>
      <c r="Q2230" t="n">
        <v>10</v>
      </c>
      <c r="R2230" t="n">
        <v>0</v>
      </c>
      <c r="S2230" t="n">
        <v>0</v>
      </c>
      <c r="T2230" t="n">
        <v>0</v>
      </c>
      <c r="U2230" t="n">
        <v>10</v>
      </c>
      <c r="X2230" t="inlineStr">
        <is>
          <t>aafc-aac</t>
        </is>
      </c>
      <c r="Y2230" t="inlineStr">
        <is>
          <t>Agriculture and Agri-Food Canada | Agriculture et Agroalimentaire Canada</t>
        </is>
      </c>
    </row>
    <row r="2231">
      <c r="A2231" t="inlineStr">
        <is>
          <t>T-2024-P12-032</t>
        </is>
      </c>
      <c r="B2231" t="inlineStr">
        <is>
          <t>SLE</t>
        </is>
      </c>
      <c r="C2231" t="inlineStr">
        <is>
          <t>Assistant Deputy Minister, Programs Branch</t>
        </is>
      </c>
      <c r="D2231" t="inlineStr">
        <is>
          <t>Sous-ministre adjointe, Direction générale des programmes</t>
        </is>
      </c>
      <c r="E2231" t="inlineStr">
        <is>
          <t>Liz Foster</t>
        </is>
      </c>
      <c r="F2231" t="inlineStr">
        <is>
          <t>To attend the Assistant Deputy Minister's Outreach in Winnipeg</t>
        </is>
      </c>
      <c r="G2231" t="inlineStr">
        <is>
          <t>Participer à une activité de sensibilisation de la Sous-ministre adjointe à Winnipeg</t>
        </is>
      </c>
      <c r="H2231" s="1" t="n">
        <v>45362</v>
      </c>
      <c r="I2231" s="1" t="n">
        <v>45365</v>
      </c>
      <c r="J2231" t="inlineStr">
        <is>
          <t>Winnipeg (Manitoba) Canada</t>
        </is>
      </c>
      <c r="K2231" t="inlineStr">
        <is>
          <t>Winnipeg (Manitoba) Canada</t>
        </is>
      </c>
      <c r="P2231" t="n">
        <v>1313.07</v>
      </c>
      <c r="Q2231" t="n">
        <v>159.96</v>
      </c>
      <c r="R2231" t="n">
        <v>872.34</v>
      </c>
      <c r="S2231" t="n">
        <v>482.65</v>
      </c>
      <c r="T2231" t="n">
        <v>0</v>
      </c>
      <c r="U2231" t="n">
        <v>2828.02</v>
      </c>
      <c r="X2231" t="inlineStr">
        <is>
          <t>aafc-aac</t>
        </is>
      </c>
      <c r="Y2231" t="inlineStr">
        <is>
          <t>Agriculture and Agri-Food Canada | Agriculture et Agroalimentaire Canada</t>
        </is>
      </c>
    </row>
    <row r="2232">
      <c r="A2232" t="inlineStr">
        <is>
          <t>T-2024-P12-033</t>
        </is>
      </c>
      <c r="B2232" t="inlineStr">
        <is>
          <t>SLE</t>
        </is>
      </c>
      <c r="C2232" t="inlineStr">
        <is>
          <t>Assistant Deputy Minister, Programs Branch</t>
        </is>
      </c>
      <c r="D2232" t="inlineStr">
        <is>
          <t>Sous-ministre adjointe, Direction générale des programmes</t>
        </is>
      </c>
      <c r="E2232" t="inlineStr">
        <is>
          <t>Liz Foster</t>
        </is>
      </c>
      <c r="F2232" t="inlineStr">
        <is>
          <t>To appear at the Standing Senate Comittee on Agriculture and Forestry on the 2021 British Columbia floods</t>
        </is>
      </c>
      <c r="G2232" t="inlineStr">
        <is>
          <t>Témoigner au Comité sénatorial permanent sur l'agriculture et forêts sur les inondations de 2021 en Columbie-Britannique</t>
        </is>
      </c>
      <c r="H2232" s="1" t="n">
        <v>45372</v>
      </c>
      <c r="I2232" s="1" t="n">
        <v>45372</v>
      </c>
      <c r="J2232" t="inlineStr">
        <is>
          <t>Ottawa (Ontario) Canada</t>
        </is>
      </c>
      <c r="K2232" t="inlineStr">
        <is>
          <t>Ottawa (Ontario) Canada</t>
        </is>
      </c>
      <c r="P2232" t="n">
        <v>0</v>
      </c>
      <c r="Q2232" t="n">
        <v>17</v>
      </c>
      <c r="R2232" t="n">
        <v>0</v>
      </c>
      <c r="S2232" t="n">
        <v>0</v>
      </c>
      <c r="T2232" t="n">
        <v>0</v>
      </c>
      <c r="U2232" t="n">
        <v>17</v>
      </c>
      <c r="X2232" t="inlineStr">
        <is>
          <t>aafc-aac</t>
        </is>
      </c>
      <c r="Y2232" t="inlineStr">
        <is>
          <t>Agriculture and Agri-Food Canada | Agriculture et Agroalimentaire Canada</t>
        </is>
      </c>
    </row>
    <row r="2233">
      <c r="A2233" t="inlineStr">
        <is>
          <t>T-2024-P12-034</t>
        </is>
      </c>
      <c r="B2233" t="inlineStr">
        <is>
          <t>SLE</t>
        </is>
      </c>
      <c r="C2233" t="inlineStr">
        <is>
          <t>Chief Information Officer, Information Systems Branch</t>
        </is>
      </c>
      <c r="D2233" t="inlineStr">
        <is>
          <t>Dirigeante principale de l'information, Direction générale des systèmes d'information</t>
        </is>
      </c>
      <c r="E2233" t="inlineStr">
        <is>
          <t>Vidya ShankarNarayan</t>
        </is>
      </c>
      <c r="F2233" t="inlineStr">
        <is>
          <t xml:space="preserve">To attend Agricultural Equipment Roundtable </t>
        </is>
      </c>
      <c r="G2233" t="inlineStr">
        <is>
          <t>Participer à la table ronde sur les équipements en agriculture</t>
        </is>
      </c>
      <c r="H2233" s="1" t="n">
        <v>45343</v>
      </c>
      <c r="I2233" s="1" t="n">
        <v>45343</v>
      </c>
      <c r="J2233" t="inlineStr">
        <is>
          <t>Ottawa (Ontario) Canada</t>
        </is>
      </c>
      <c r="K2233" t="inlineStr">
        <is>
          <t>Ottawa (Ontario) Canada</t>
        </is>
      </c>
      <c r="P2233" t="n">
        <v>0</v>
      </c>
      <c r="Q2233" t="n">
        <v>9.59</v>
      </c>
      <c r="R2233" t="n">
        <v>0</v>
      </c>
      <c r="S2233" t="n">
        <v>0</v>
      </c>
      <c r="T2233" t="n">
        <v>0</v>
      </c>
      <c r="U2233" t="n">
        <v>9.59</v>
      </c>
      <c r="X2233" t="inlineStr">
        <is>
          <t>aafc-aac</t>
        </is>
      </c>
      <c r="Y2233" t="inlineStr">
        <is>
          <t>Agriculture and Agri-Food Canada | Agriculture et Agroalimentaire Canada</t>
        </is>
      </c>
    </row>
    <row r="2234">
      <c r="A2234" t="inlineStr">
        <is>
          <t>T-2024-P12-035</t>
        </is>
      </c>
      <c r="B2234" t="inlineStr">
        <is>
          <t>SLE</t>
        </is>
      </c>
      <c r="C2234" t="inlineStr">
        <is>
          <t>Chief Information Officer, Information Systems Branch</t>
        </is>
      </c>
      <c r="D2234" t="inlineStr">
        <is>
          <t>Dirigeante principale de l'information, Direction générale des systèmes d'information</t>
        </is>
      </c>
      <c r="E2234" t="inlineStr">
        <is>
          <t>Vidya ShankarNarayan</t>
        </is>
      </c>
      <c r="F2234" t="inlineStr">
        <is>
          <t>To attend meetings at the House of Commons and with Treasury Board Secretariat</t>
        </is>
      </c>
      <c r="G2234" t="inlineStr">
        <is>
          <t>Participer à une rencontre dans la Chambre des Communes et avec le Secrétariat du Conseil du trésor</t>
        </is>
      </c>
      <c r="H2234" s="1" t="n">
        <v>45349</v>
      </c>
      <c r="I2234" s="1" t="n">
        <v>45352</v>
      </c>
      <c r="J2234" t="inlineStr">
        <is>
          <t>Ottawa (Ontario) Canada</t>
        </is>
      </c>
      <c r="K2234" t="inlineStr">
        <is>
          <t>Ottawa (Ontario) Canada</t>
        </is>
      </c>
      <c r="P2234" t="n">
        <v>0</v>
      </c>
      <c r="Q2234" t="n">
        <v>45.5</v>
      </c>
      <c r="R2234" t="n">
        <v>0</v>
      </c>
      <c r="S2234" t="n">
        <v>0</v>
      </c>
      <c r="T2234" t="n">
        <v>0</v>
      </c>
      <c r="U2234" t="n">
        <v>45.5</v>
      </c>
      <c r="X2234" t="inlineStr">
        <is>
          <t>aafc-aac</t>
        </is>
      </c>
      <c r="Y2234" t="inlineStr">
        <is>
          <t>Agriculture and Agri-Food Canada | Agriculture et Agroalimentaire Canada</t>
        </is>
      </c>
    </row>
    <row r="2235">
      <c r="A2235" t="inlineStr">
        <is>
          <t>T-2024-P12-036</t>
        </is>
      </c>
      <c r="B2235" t="inlineStr">
        <is>
          <t>SLE</t>
        </is>
      </c>
      <c r="C2235" t="inlineStr">
        <is>
          <t>Chief Information Officer, Information Systems Branch</t>
        </is>
      </c>
      <c r="D2235" t="inlineStr">
        <is>
          <t>Dirigeante principale de l'information, Direction générale des systèmes d'information</t>
        </is>
      </c>
      <c r="E2235" t="inlineStr">
        <is>
          <t>Vidya ShankarNarayan</t>
        </is>
      </c>
      <c r="F2235" t="inlineStr">
        <is>
          <t>To attend meeting at the Black Executives Network</t>
        </is>
      </c>
      <c r="G2235" t="inlineStr">
        <is>
          <t>Participer à une rencontre avec le Réseau des exécutifs noirs</t>
        </is>
      </c>
      <c r="H2235" s="1" t="n">
        <v>45351</v>
      </c>
      <c r="I2235" s="1" t="n">
        <v>45351</v>
      </c>
      <c r="J2235" t="inlineStr">
        <is>
          <t>Ottawa (Ontario) Canada</t>
        </is>
      </c>
      <c r="K2235" t="inlineStr">
        <is>
          <t>Ottawa (Ontario) Canada</t>
        </is>
      </c>
      <c r="P2235" t="n">
        <v>0</v>
      </c>
      <c r="Q2235" t="n">
        <v>17</v>
      </c>
      <c r="R2235" t="n">
        <v>0</v>
      </c>
      <c r="S2235" t="n">
        <v>0</v>
      </c>
      <c r="T2235" t="n">
        <v>0</v>
      </c>
      <c r="U2235" t="n">
        <v>17</v>
      </c>
      <c r="X2235" t="inlineStr">
        <is>
          <t>aafc-aac</t>
        </is>
      </c>
      <c r="Y2235" t="inlineStr">
        <is>
          <t>Agriculture and Agri-Food Canada | Agriculture et Agroalimentaire Canada</t>
        </is>
      </c>
    </row>
    <row r="2236">
      <c r="A2236" t="inlineStr">
        <is>
          <t>T-2024-P12-037</t>
        </is>
      </c>
      <c r="B2236" t="inlineStr">
        <is>
          <t>SLE</t>
        </is>
      </c>
      <c r="C2236" t="inlineStr">
        <is>
          <t>Chief Information Officer, Information Systems Branch</t>
        </is>
      </c>
      <c r="D2236" t="inlineStr">
        <is>
          <t>Dirigeante principale de l'information, Direction générale des systèmes d'information</t>
        </is>
      </c>
      <c r="E2236" t="inlineStr">
        <is>
          <t>Vidya ShankarNarayan</t>
        </is>
      </c>
      <c r="F2236" t="inlineStr">
        <is>
          <t>To attend the Digital Government Leaders Summit 2024</t>
        </is>
      </c>
      <c r="G2236" t="inlineStr">
        <is>
          <t>Participer au Sommet des dirigeants du gouvernement numérique 2024</t>
        </is>
      </c>
      <c r="H2236" s="1" t="n">
        <v>45320</v>
      </c>
      <c r="I2236" s="1" t="n">
        <v>45321</v>
      </c>
      <c r="J2236" t="inlineStr">
        <is>
          <t>Ottawa (Ontario) Canada</t>
        </is>
      </c>
      <c r="K2236" t="inlineStr">
        <is>
          <t>Ottawa (Ontario) Canada</t>
        </is>
      </c>
      <c r="P2236" t="n">
        <v>0</v>
      </c>
      <c r="Q2236" t="n">
        <v>40</v>
      </c>
      <c r="R2236" t="n">
        <v>0</v>
      </c>
      <c r="S2236" t="n">
        <v>0</v>
      </c>
      <c r="T2236" t="n">
        <v>0</v>
      </c>
      <c r="U2236" t="n">
        <v>40</v>
      </c>
      <c r="X2236" t="inlineStr">
        <is>
          <t>aafc-aac</t>
        </is>
      </c>
      <c r="Y2236" t="inlineStr">
        <is>
          <t>Agriculture and Agri-Food Canada | Agriculture et Agroalimentaire Canada</t>
        </is>
      </c>
    </row>
    <row r="2237">
      <c r="A2237" t="inlineStr">
        <is>
          <t>T-2025-P01-001</t>
        </is>
      </c>
      <c r="B2237" t="inlineStr">
        <is>
          <t>MPSES</t>
        </is>
      </c>
      <c r="C2237" t="inlineStr">
        <is>
          <t>Minister</t>
        </is>
      </c>
      <c r="D2237" t="inlineStr">
        <is>
          <t>Ministre</t>
        </is>
      </c>
      <c r="E2237" t="inlineStr">
        <is>
          <t>Lawrence MacAulay</t>
        </is>
      </c>
      <c r="F2237" t="inlineStr">
        <is>
          <t>To attend a tour of the Folly River Farm</t>
        </is>
      </c>
      <c r="G2237" t="inlineStr">
        <is>
          <t>Assister à une visite des fermes de Folly River</t>
        </is>
      </c>
      <c r="H2237" s="1" t="n">
        <v>45357</v>
      </c>
      <c r="I2237" s="1" t="n">
        <v>45358</v>
      </c>
      <c r="J2237" t="inlineStr">
        <is>
          <t>Halifax (Nova Scotia) Canada</t>
        </is>
      </c>
      <c r="K2237" t="inlineStr">
        <is>
          <t>Halifax (Nouvelle-Écosse) Canada</t>
        </is>
      </c>
      <c r="P2237" t="n">
        <v>0</v>
      </c>
      <c r="Q2237" t="n">
        <v>489.21</v>
      </c>
      <c r="R2237" t="n">
        <v>0</v>
      </c>
      <c r="S2237" t="n">
        <v>0</v>
      </c>
      <c r="T2237" t="n">
        <v>0</v>
      </c>
      <c r="U2237" t="n">
        <v>489.21</v>
      </c>
      <c r="X2237" t="inlineStr">
        <is>
          <t>aafc-aac</t>
        </is>
      </c>
      <c r="Y2237" t="inlineStr">
        <is>
          <t>Agriculture and Agri-Food Canada | Agriculture et Agroalimentaire Canada</t>
        </is>
      </c>
    </row>
    <row r="2238">
      <c r="A2238" t="inlineStr">
        <is>
          <t>T-2025-P01-002</t>
        </is>
      </c>
      <c r="B2238" t="inlineStr">
        <is>
          <t>MPSES</t>
        </is>
      </c>
      <c r="C2238" t="inlineStr">
        <is>
          <t>Minister</t>
        </is>
      </c>
      <c r="D2238" t="inlineStr">
        <is>
          <t>Ministre</t>
        </is>
      </c>
      <c r="E2238" t="inlineStr">
        <is>
          <t>Lawrence MacAulay</t>
        </is>
      </c>
      <c r="F2238" t="inlineStr">
        <is>
          <t>To attend a Boston Seafood Show</t>
        </is>
      </c>
      <c r="G2238" t="inlineStr">
        <is>
          <t>Assister à un spectacle de fruits de mer à Boston</t>
        </is>
      </c>
      <c r="H2238" s="1" t="n">
        <v>45360</v>
      </c>
      <c r="I2238" s="1" t="n">
        <v>45363</v>
      </c>
      <c r="J2238" t="inlineStr">
        <is>
          <t>Boston (Massachusetts) United States</t>
        </is>
      </c>
      <c r="K2238" t="inlineStr">
        <is>
          <t>Boston (Massachusetts) États-Unis</t>
        </is>
      </c>
      <c r="P2238" t="n">
        <v>1874.2</v>
      </c>
      <c r="Q2238" t="n">
        <v>0</v>
      </c>
      <c r="R2238" t="n">
        <v>1635.33</v>
      </c>
      <c r="S2238" t="n">
        <v>340.1</v>
      </c>
      <c r="T2238" t="n">
        <v>0</v>
      </c>
      <c r="U2238" t="n">
        <v>3849.63</v>
      </c>
      <c r="X2238" t="inlineStr">
        <is>
          <t>aafc-aac</t>
        </is>
      </c>
      <c r="Y2238" t="inlineStr">
        <is>
          <t>Agriculture and Agri-Food Canada | Agriculture et Agroalimentaire Canada</t>
        </is>
      </c>
    </row>
    <row r="2239">
      <c r="A2239" t="inlineStr">
        <is>
          <t>T-2025-P01-003</t>
        </is>
      </c>
      <c r="B2239" t="inlineStr">
        <is>
          <t>MPSES</t>
        </is>
      </c>
      <c r="C2239" t="inlineStr">
        <is>
          <t>Minister</t>
        </is>
      </c>
      <c r="D2239" t="inlineStr">
        <is>
          <t>Ministre</t>
        </is>
      </c>
      <c r="E2239" t="inlineStr">
        <is>
          <t>Lawrence MacAulay</t>
        </is>
      </c>
      <c r="F2239" t="inlineStr">
        <is>
          <t>To attend an Outreach</t>
        </is>
      </c>
      <c r="G2239" t="inlineStr">
        <is>
          <t>Assister à une activité sensibilisation</t>
        </is>
      </c>
      <c r="H2239" s="1" t="n">
        <v>45383</v>
      </c>
      <c r="I2239" s="1" t="n">
        <v>45386</v>
      </c>
      <c r="J2239" t="inlineStr">
        <is>
          <t>Vancouver (British Columbia) Canada</t>
        </is>
      </c>
      <c r="K2239" t="inlineStr">
        <is>
          <t>Vancouver (Colombie-Britannique) Canada</t>
        </is>
      </c>
      <c r="P2239" t="n">
        <v>3254.62</v>
      </c>
      <c r="Q2239" t="n">
        <v>0</v>
      </c>
      <c r="R2239" t="n">
        <v>1017.3</v>
      </c>
      <c r="S2239" t="n">
        <v>385.95</v>
      </c>
      <c r="T2239" t="n">
        <v>0</v>
      </c>
      <c r="U2239" t="n">
        <v>4657.87</v>
      </c>
      <c r="X2239" t="inlineStr">
        <is>
          <t>aafc-aac</t>
        </is>
      </c>
      <c r="Y2239" t="inlineStr">
        <is>
          <t>Agriculture and Agri-Food Canada | Agriculture et Agroalimentaire Canada</t>
        </is>
      </c>
    </row>
    <row r="2240">
      <c r="A2240" t="inlineStr">
        <is>
          <t>T-2025-P01-004</t>
        </is>
      </c>
      <c r="B2240" t="inlineStr">
        <is>
          <t>MPSES</t>
        </is>
      </c>
      <c r="C2240" t="inlineStr">
        <is>
          <t>Chief of Staff</t>
        </is>
      </c>
      <c r="D2240" t="inlineStr">
        <is>
          <t>Chef de cabinet</t>
        </is>
      </c>
      <c r="E2240" t="inlineStr">
        <is>
          <t>Matthew Mann</t>
        </is>
      </c>
      <c r="F2240" t="inlineStr">
        <is>
          <t>To support the Minister to attend meetings and announcements in Charlottetown</t>
        </is>
      </c>
      <c r="G2240" t="inlineStr">
        <is>
          <t>Aider le ministre à participer à des réunions et à des annonces à Charlottetown</t>
        </is>
      </c>
      <c r="H2240" s="1" t="n">
        <v>45373</v>
      </c>
      <c r="I2240" s="1" t="n">
        <v>45379</v>
      </c>
      <c r="J2240" t="inlineStr">
        <is>
          <t>Charlottetown (Prince Edward Island) Canada</t>
        </is>
      </c>
      <c r="K2240" t="inlineStr">
        <is>
          <t>Charlottetown (Île-du-Prince-Édouard) Canada</t>
        </is>
      </c>
      <c r="P2240" t="n">
        <v>1333.07</v>
      </c>
      <c r="Q2240" t="n">
        <v>351.14</v>
      </c>
      <c r="R2240" t="n">
        <v>1000.9</v>
      </c>
      <c r="S2240" t="n">
        <v>279.65</v>
      </c>
      <c r="T2240" t="n">
        <v>0</v>
      </c>
      <c r="U2240" t="n">
        <v>2964.76</v>
      </c>
      <c r="X2240" t="inlineStr">
        <is>
          <t>aafc-aac</t>
        </is>
      </c>
      <c r="Y2240" t="inlineStr">
        <is>
          <t>Agriculture and Agri-Food Canada | Agriculture et Agroalimentaire Canada</t>
        </is>
      </c>
    </row>
    <row r="2241">
      <c r="A2241" t="inlineStr">
        <is>
          <t>T-2025-P01-005</t>
        </is>
      </c>
      <c r="B2241" t="inlineStr">
        <is>
          <t>MPSES</t>
        </is>
      </c>
      <c r="C2241" t="inlineStr">
        <is>
          <t>Policy Advisor</t>
        </is>
      </c>
      <c r="D2241" t="inlineStr">
        <is>
          <t>Conseiller en politiques</t>
        </is>
      </c>
      <c r="E2241" t="inlineStr">
        <is>
          <t>Jeremy Keats</t>
        </is>
      </c>
      <c r="F2241" t="inlineStr">
        <is>
          <t>To support the Minister at an Outreach tour</t>
        </is>
      </c>
      <c r="G2241" t="inlineStr">
        <is>
          <t>Soutenir le ministre lors d'une tournée de sensibilisation</t>
        </is>
      </c>
      <c r="H2241" s="1" t="n">
        <v>45383</v>
      </c>
      <c r="I2241" s="1" t="n">
        <v>45386</v>
      </c>
      <c r="J2241" t="inlineStr">
        <is>
          <t>Vancouver (British Columbia) Canada</t>
        </is>
      </c>
      <c r="K2241" t="inlineStr">
        <is>
          <t>Vancouver (Colombie-Britannique) Canada</t>
        </is>
      </c>
      <c r="P2241" t="n">
        <v>3064.48</v>
      </c>
      <c r="Q2241" t="n">
        <v>0</v>
      </c>
      <c r="R2241" t="n">
        <v>1017.3</v>
      </c>
      <c r="S2241" t="n">
        <v>324.1</v>
      </c>
      <c r="T2241" t="n">
        <v>0</v>
      </c>
      <c r="U2241" t="n">
        <v>4405.88</v>
      </c>
      <c r="X2241" t="inlineStr">
        <is>
          <t>aafc-aac</t>
        </is>
      </c>
      <c r="Y2241" t="inlineStr">
        <is>
          <t>Agriculture and Agri-Food Canada | Agriculture et Agroalimentaire Canada</t>
        </is>
      </c>
    </row>
    <row r="2242">
      <c r="A2242" t="inlineStr">
        <is>
          <t>T-2025-P01-006</t>
        </is>
      </c>
      <c r="B2242" t="inlineStr">
        <is>
          <t>MPSES</t>
        </is>
      </c>
      <c r="C2242" t="inlineStr">
        <is>
          <t>Director of Operations</t>
        </is>
      </c>
      <c r="D2242" t="inlineStr">
        <is>
          <t>Directrice des opérations</t>
        </is>
      </c>
      <c r="E2242" t="inlineStr">
        <is>
          <t>Maria Morley</t>
        </is>
      </c>
      <c r="F2242" t="inlineStr">
        <is>
          <t>To support the Minister at a tour of the Folly River Farms</t>
        </is>
      </c>
      <c r="G2242" t="inlineStr">
        <is>
          <t>Soutenir le ministre lors d'une visite des fermes de Folly River.</t>
        </is>
      </c>
      <c r="H2242" s="1" t="n">
        <v>45357</v>
      </c>
      <c r="I2242" s="1" t="n">
        <v>45360</v>
      </c>
      <c r="J2242" t="inlineStr">
        <is>
          <t>Halifax (Nova Scotia) Canada</t>
        </is>
      </c>
      <c r="K2242" t="inlineStr">
        <is>
          <t>Halifax (Nouvelle-Écosse) Canada</t>
        </is>
      </c>
      <c r="P2242" t="n">
        <v>1497.1</v>
      </c>
      <c r="Q2242" t="n">
        <v>182.61</v>
      </c>
      <c r="R2242" t="n">
        <v>0</v>
      </c>
      <c r="S2242" t="n">
        <v>109.45</v>
      </c>
      <c r="T2242" t="n">
        <v>0</v>
      </c>
      <c r="U2242" t="n">
        <v>1789.16</v>
      </c>
      <c r="X2242" t="inlineStr">
        <is>
          <t>aafc-aac</t>
        </is>
      </c>
      <c r="Y2242" t="inlineStr">
        <is>
          <t>Agriculture and Agri-Food Canada | Agriculture et Agroalimentaire Canada</t>
        </is>
      </c>
    </row>
    <row r="2243">
      <c r="A2243" t="inlineStr">
        <is>
          <t>T-2025-P01-007</t>
        </is>
      </c>
      <c r="B2243" t="inlineStr">
        <is>
          <t>MPSES</t>
        </is>
      </c>
      <c r="C2243" t="inlineStr">
        <is>
          <t>Director of Operations</t>
        </is>
      </c>
      <c r="D2243" t="inlineStr">
        <is>
          <t>Directrice des opérations</t>
        </is>
      </c>
      <c r="E2243" t="inlineStr">
        <is>
          <t>Maria Morley</t>
        </is>
      </c>
      <c r="F2243" t="inlineStr">
        <is>
          <t>To support the Minister to attend meetings and announcements in Charlottetown and to support the Minister at an Outreach in British Columbia</t>
        </is>
      </c>
      <c r="G2243" t="inlineStr">
        <is>
          <t>Aider le ministre à participer à des réunions et à des annonces à Charlottetown et pour soutenir le ministre lors d'une campagne de sensibilisation en Colombie-Britannique.</t>
        </is>
      </c>
      <c r="H2243" s="1" t="n">
        <v>45373</v>
      </c>
      <c r="I2243" s="1" t="n">
        <v>45388</v>
      </c>
      <c r="J2243" t="inlineStr">
        <is>
          <t>Charlottetown (Prince Edward Island) Canada
Vancouver (British Columbia) Canada</t>
        </is>
      </c>
      <c r="K2243" t="inlineStr">
        <is>
          <t>Charlottetown (Île-du-Prince-Édouard) Canada
Vancouver (Colombie-Britannique) Canada</t>
        </is>
      </c>
      <c r="P2243" t="n">
        <v>4718.29</v>
      </c>
      <c r="Q2243" t="n">
        <v>306.67</v>
      </c>
      <c r="R2243" t="n">
        <v>2465.94</v>
      </c>
      <c r="S2243" t="n">
        <v>796.3</v>
      </c>
      <c r="T2243" t="n">
        <v>0</v>
      </c>
      <c r="U2243" t="n">
        <v>8287.200000000001</v>
      </c>
      <c r="X2243" t="inlineStr">
        <is>
          <t>aafc-aac</t>
        </is>
      </c>
      <c r="Y2243" t="inlineStr">
        <is>
          <t>Agriculture and Agri-Food Canada | Agriculture et Agroalimentaire Canada</t>
        </is>
      </c>
    </row>
    <row r="2244">
      <c r="A2244" t="inlineStr">
        <is>
          <t>T-2025-P01-008</t>
        </is>
      </c>
      <c r="B2244" t="inlineStr">
        <is>
          <t>SLE</t>
        </is>
      </c>
      <c r="C2244" t="inlineStr">
        <is>
          <t>Deputy Minister</t>
        </is>
      </c>
      <c r="D2244" t="inlineStr">
        <is>
          <t>Sous-ministre</t>
        </is>
      </c>
      <c r="E2244" t="inlineStr">
        <is>
          <t>Stefanie Beck</t>
        </is>
      </c>
      <c r="F2244" t="inlineStr">
        <is>
          <t xml:space="preserve">Visit to regional office, Research and Development Centres and meetings with stakeholders </t>
        </is>
      </c>
      <c r="G2244" t="inlineStr">
        <is>
          <t xml:space="preserve">Visite des bureaux régionaux, des centres de recherche et de développement et réunions avec les parties prenantes </t>
        </is>
      </c>
      <c r="H2244" s="1" t="n">
        <v>45376</v>
      </c>
      <c r="I2244" s="1" t="n">
        <v>45377</v>
      </c>
      <c r="J2244" t="inlineStr">
        <is>
          <t>Montreal (Quebec) Canada</t>
        </is>
      </c>
      <c r="K2244" t="inlineStr">
        <is>
          <t>Montréal (Québec) Canada</t>
        </is>
      </c>
      <c r="P2244" t="n">
        <v>0</v>
      </c>
      <c r="Q2244" t="n">
        <v>0</v>
      </c>
      <c r="R2244" t="n">
        <v>184.71</v>
      </c>
      <c r="S2244" t="n">
        <v>119.7</v>
      </c>
      <c r="T2244" t="n">
        <v>0</v>
      </c>
      <c r="U2244" t="n">
        <v>304.41</v>
      </c>
      <c r="X2244" t="inlineStr">
        <is>
          <t>aafc-aac</t>
        </is>
      </c>
      <c r="Y2244" t="inlineStr">
        <is>
          <t>Agriculture and Agri-Food Canada | Agriculture et Agroalimentaire Canada</t>
        </is>
      </c>
    </row>
    <row r="2245">
      <c r="A2245" t="inlineStr">
        <is>
          <t>T-2025-P01-009</t>
        </is>
      </c>
      <c r="B2245" t="inlineStr">
        <is>
          <t>SLE</t>
        </is>
      </c>
      <c r="C2245" t="inlineStr">
        <is>
          <t>Deputy Minister</t>
        </is>
      </c>
      <c r="D2245" t="inlineStr">
        <is>
          <t>Sous-ministre</t>
        </is>
      </c>
      <c r="E2245" t="inlineStr">
        <is>
          <t>Stefanie Beck</t>
        </is>
      </c>
      <c r="F2245" t="inlineStr">
        <is>
          <t>Speaking commitment at Plant Forward Conference and meeting with stakeholders</t>
        </is>
      </c>
      <c r="G2245" t="inlineStr">
        <is>
          <t>Engagement à prendre la parole lors de la conférence Plant Forward et à rencontrer les parties prenantes</t>
        </is>
      </c>
      <c r="H2245" s="1" t="n">
        <v>45398</v>
      </c>
      <c r="I2245" s="1" t="n">
        <v>45399</v>
      </c>
      <c r="J2245" t="inlineStr">
        <is>
          <t>Toronto (Ontario) Canada</t>
        </is>
      </c>
      <c r="K2245" t="inlineStr">
        <is>
          <t>Toronto (Ontario) Canada</t>
        </is>
      </c>
      <c r="P2245" t="n">
        <v>959.65</v>
      </c>
      <c r="Q2245" t="n">
        <v>94.64</v>
      </c>
      <c r="R2245" t="n">
        <v>383.3</v>
      </c>
      <c r="S2245" t="n">
        <v>208.4</v>
      </c>
      <c r="T2245" t="n">
        <v>0</v>
      </c>
      <c r="U2245" t="n">
        <v>1645.99</v>
      </c>
      <c r="X2245" t="inlineStr">
        <is>
          <t>aafc-aac</t>
        </is>
      </c>
      <c r="Y2245" t="inlineStr">
        <is>
          <t>Agriculture and Agri-Food Canada | Agriculture et Agroalimentaire Canada</t>
        </is>
      </c>
    </row>
    <row r="2246">
      <c r="A2246" t="inlineStr">
        <is>
          <t>T-2025-P01-010</t>
        </is>
      </c>
      <c r="B2246" t="inlineStr">
        <is>
          <t>SLE</t>
        </is>
      </c>
      <c r="C2246" t="inlineStr">
        <is>
          <t>Driver</t>
        </is>
      </c>
      <c r="D2246" t="inlineStr">
        <is>
          <t>Chauffeur</t>
        </is>
      </c>
      <c r="E2246" t="inlineStr">
        <is>
          <t>Stephane Lafreniere</t>
        </is>
      </c>
      <c r="F2246" t="inlineStr">
        <is>
          <t xml:space="preserve">Drive the Deputy Minister for visit to regional office, Research and Development Centres and meetings with stakeholders </t>
        </is>
      </c>
      <c r="G2246" t="inlineStr">
        <is>
          <t xml:space="preserve">Conduire le vice-ministre lors des visites des bureaux régionaux, des centres de recherche et de développement et des réunions avec les parties prenantes. </t>
        </is>
      </c>
      <c r="H2246" s="1" t="n">
        <v>45376</v>
      </c>
      <c r="I2246" s="1" t="n">
        <v>45377</v>
      </c>
      <c r="J2246" t="inlineStr">
        <is>
          <t>Montreal (Quebec) Canada</t>
        </is>
      </c>
      <c r="K2246" t="inlineStr">
        <is>
          <t>Montréal (Québec) Canada</t>
        </is>
      </c>
      <c r="P2246" t="n">
        <v>0</v>
      </c>
      <c r="Q2246" t="n">
        <v>55</v>
      </c>
      <c r="R2246" t="n">
        <v>184.71</v>
      </c>
      <c r="S2246" t="n">
        <v>119.7</v>
      </c>
      <c r="T2246" t="n">
        <v>0</v>
      </c>
      <c r="U2246" t="n">
        <v>359.41</v>
      </c>
      <c r="X2246" t="inlineStr">
        <is>
          <t>aafc-aac</t>
        </is>
      </c>
      <c r="Y2246" t="inlineStr">
        <is>
          <t>Agriculture and Agri-Food Canada | Agriculture et Agroalimentaire Canada</t>
        </is>
      </c>
    </row>
    <row r="2247">
      <c r="A2247" t="inlineStr">
        <is>
          <t>T-2025-P01-011</t>
        </is>
      </c>
      <c r="B2247" t="inlineStr">
        <is>
          <t>SLE</t>
        </is>
      </c>
      <c r="C2247" t="inlineStr">
        <is>
          <t>Corporate Secretary</t>
        </is>
      </c>
      <c r="D2247" t="inlineStr">
        <is>
          <t>Secrétaire générale</t>
        </is>
      </c>
      <c r="E2247" t="inlineStr">
        <is>
          <t>Tamara Abel</t>
        </is>
      </c>
      <c r="F2247" t="inlineStr">
        <is>
          <t>Operational activities</t>
        </is>
      </c>
      <c r="G2247" t="inlineStr">
        <is>
          <t>Activités opérationnelles</t>
        </is>
      </c>
      <c r="H2247" s="1" t="n">
        <v>45368</v>
      </c>
      <c r="I2247" s="1" t="n">
        <v>45372</v>
      </c>
      <c r="J2247" t="inlineStr">
        <is>
          <t>Ottawa (Ontario) Canada</t>
        </is>
      </c>
      <c r="K2247" t="inlineStr">
        <is>
          <t>Ottawa (Ontario) Canada</t>
        </is>
      </c>
      <c r="P2247" t="n">
        <v>1074.59</v>
      </c>
      <c r="Q2247" t="n">
        <v>310.67</v>
      </c>
      <c r="R2247" t="n">
        <v>1156.84</v>
      </c>
      <c r="S2247" t="n">
        <v>584.75</v>
      </c>
      <c r="T2247" t="n">
        <v>0</v>
      </c>
      <c r="U2247" t="n">
        <v>3126.85</v>
      </c>
      <c r="X2247" t="inlineStr">
        <is>
          <t>aafc-aac</t>
        </is>
      </c>
      <c r="Y2247" t="inlineStr">
        <is>
          <t>Agriculture and Agri-Food Canada | Agriculture et Agroalimentaire Canada</t>
        </is>
      </c>
    </row>
    <row r="2248">
      <c r="A2248" t="inlineStr">
        <is>
          <t>T-2025-P01-012</t>
        </is>
      </c>
      <c r="B2248" t="inlineStr">
        <is>
          <t>SLE</t>
        </is>
      </c>
      <c r="C2248" t="inlineStr">
        <is>
          <t>Workplace Well-Being Ombudsperson</t>
        </is>
      </c>
      <c r="D2248" t="inlineStr">
        <is>
          <t>Ombudsman du mieux-être en milieu de travail</t>
        </is>
      </c>
      <c r="E2248" t="inlineStr">
        <is>
          <t xml:space="preserve">Elianne Hall </t>
        </is>
      </c>
      <c r="F2248" t="inlineStr">
        <is>
          <t>To attend the International Ombuds Association 19th Annual Conference</t>
        </is>
      </c>
      <c r="G2248" t="inlineStr">
        <is>
          <t>Participation à la 19e conférence annuelle de l'International Ombuds Association</t>
        </is>
      </c>
      <c r="H2248" s="1" t="n">
        <v>45368</v>
      </c>
      <c r="I2248" s="1" t="n">
        <v>45371</v>
      </c>
      <c r="J2248" t="inlineStr">
        <is>
          <t>Indianapolis (Indiana) United States</t>
        </is>
      </c>
      <c r="K2248" t="inlineStr">
        <is>
          <t>Indianapolis (Indiana) United States</t>
        </is>
      </c>
      <c r="P2248" t="n">
        <v>1405.35</v>
      </c>
      <c r="Q2248" t="n">
        <v>147.77</v>
      </c>
      <c r="R2248" t="n">
        <v>1137.45</v>
      </c>
      <c r="S2248" t="n">
        <v>503.49</v>
      </c>
      <c r="T2248" t="n">
        <v>0</v>
      </c>
      <c r="U2248" t="n">
        <v>3194.06</v>
      </c>
      <c r="X2248" t="inlineStr">
        <is>
          <t>aafc-aac</t>
        </is>
      </c>
      <c r="Y2248" t="inlineStr">
        <is>
          <t>Agriculture and Agri-Food Canada | Agriculture et Agroalimentaire Canada</t>
        </is>
      </c>
    </row>
    <row r="2249">
      <c r="A2249" t="inlineStr">
        <is>
          <t>T-2025-P01-013</t>
        </is>
      </c>
      <c r="B2249" t="inlineStr">
        <is>
          <t>SLE</t>
        </is>
      </c>
      <c r="C2249" t="inlineStr">
        <is>
          <t>Assistant Deputy Minister, Science and Technology Branch</t>
        </is>
      </c>
      <c r="D2249" t="inlineStr">
        <is>
          <t>Sous-ministre adjoint, Direction générale des sciences et de la technologie</t>
        </is>
      </c>
      <c r="E2249" t="inlineStr">
        <is>
          <t>Gilles Saindon</t>
        </is>
      </c>
      <c r="F2249" t="inlineStr">
        <is>
          <t>Photos for visa application for Brazil</t>
        </is>
      </c>
      <c r="G2249" t="inlineStr">
        <is>
          <t>Photos pour demande de visa pour le Brésil</t>
        </is>
      </c>
      <c r="H2249" s="1" t="n">
        <v>45351</v>
      </c>
      <c r="I2249" s="1" t="n">
        <v>45351</v>
      </c>
      <c r="J2249" t="inlineStr">
        <is>
          <t>Ottawa (Ontario) Canada</t>
        </is>
      </c>
      <c r="K2249" t="inlineStr">
        <is>
          <t>Ottawa (Ontario) Canada</t>
        </is>
      </c>
      <c r="P2249" t="n">
        <v>0</v>
      </c>
      <c r="Q2249" t="n">
        <v>0</v>
      </c>
      <c r="R2249" t="n">
        <v>0</v>
      </c>
      <c r="S2249" t="n">
        <v>0</v>
      </c>
      <c r="T2249" t="n">
        <v>28.24</v>
      </c>
      <c r="U2249" t="n">
        <v>28.24</v>
      </c>
      <c r="X2249" t="inlineStr">
        <is>
          <t>aafc-aac</t>
        </is>
      </c>
      <c r="Y2249" t="inlineStr">
        <is>
          <t>Agriculture and Agri-Food Canada | Agriculture et Agroalimentaire Canada</t>
        </is>
      </c>
    </row>
    <row r="2250">
      <c r="A2250" t="inlineStr">
        <is>
          <t>T-2025-P01-014</t>
        </is>
      </c>
      <c r="B2250" t="inlineStr">
        <is>
          <t>SLE</t>
        </is>
      </c>
      <c r="C2250" t="inlineStr">
        <is>
          <t>Assistant Deputy Minister, International Affairs Branch</t>
        </is>
      </c>
      <c r="D2250" t="inlineStr">
        <is>
          <t>Sous-ministre adjointe, Direction générale des affaires internationales</t>
        </is>
      </c>
      <c r="E2250" t="inlineStr">
        <is>
          <t xml:space="preserve">Kathleen Donohue </t>
        </is>
      </c>
      <c r="F2250" t="inlineStr">
        <is>
          <t>Parking fees for various events during February 2024</t>
        </is>
      </c>
      <c r="G2250" t="inlineStr">
        <is>
          <t>Frais de stationnement de divers événements en février 2024</t>
        </is>
      </c>
      <c r="H2250" s="1" t="n">
        <v>45330</v>
      </c>
      <c r="I2250" s="1" t="n">
        <v>45334</v>
      </c>
      <c r="J2250" t="inlineStr">
        <is>
          <t>Ottawa (Ontario) Canada</t>
        </is>
      </c>
      <c r="K2250" t="inlineStr">
        <is>
          <t>Ottawa (Ontario) Canada</t>
        </is>
      </c>
      <c r="P2250" t="n">
        <v>0</v>
      </c>
      <c r="Q2250" t="n">
        <v>29</v>
      </c>
      <c r="R2250" t="n">
        <v>0</v>
      </c>
      <c r="S2250" t="n">
        <v>0</v>
      </c>
      <c r="T2250" t="n">
        <v>0</v>
      </c>
      <c r="U2250" t="n">
        <v>29</v>
      </c>
      <c r="X2250" t="inlineStr">
        <is>
          <t>aafc-aac</t>
        </is>
      </c>
      <c r="Y2250" t="inlineStr">
        <is>
          <t>Agriculture and Agri-Food Canada | Agriculture et Agroalimentaire Canada</t>
        </is>
      </c>
    </row>
    <row r="2251">
      <c r="A2251" t="inlineStr">
        <is>
          <t>T-2025-P01-015</t>
        </is>
      </c>
      <c r="B2251" t="inlineStr">
        <is>
          <t>SLE</t>
        </is>
      </c>
      <c r="C2251" t="inlineStr">
        <is>
          <t>Assistant Deputy Minister, International Affairs Branch</t>
        </is>
      </c>
      <c r="D2251" t="inlineStr">
        <is>
          <t>Sous-ministre adjointe, Direction générale des affaires internationales</t>
        </is>
      </c>
      <c r="E2251" t="inlineStr">
        <is>
          <t xml:space="preserve">Kathleen Donohue </t>
        </is>
      </c>
      <c r="F2251" t="inlineStr">
        <is>
          <t>Taxi to a meeting  held at the Chinese Embassy.</t>
        </is>
      </c>
      <c r="G2251" t="inlineStr">
        <is>
          <t>Taxi pour une réunion tenue à l’ambassade de la Chine</t>
        </is>
      </c>
      <c r="H2251" s="1" t="n">
        <v>45365</v>
      </c>
      <c r="I2251" s="1" t="n">
        <v>45365</v>
      </c>
      <c r="J2251" t="inlineStr">
        <is>
          <t>Ottawa (Ontario) Canada</t>
        </is>
      </c>
      <c r="K2251" t="inlineStr">
        <is>
          <t>Ottawa (Ontario) Canada</t>
        </is>
      </c>
      <c r="P2251" t="n">
        <v>0</v>
      </c>
      <c r="Q2251" t="n">
        <v>10.86</v>
      </c>
      <c r="R2251" t="n">
        <v>0</v>
      </c>
      <c r="S2251" t="n">
        <v>0</v>
      </c>
      <c r="T2251" t="n">
        <v>0</v>
      </c>
      <c r="U2251" t="n">
        <v>10.86</v>
      </c>
      <c r="X2251" t="inlineStr">
        <is>
          <t>aafc-aac</t>
        </is>
      </c>
      <c r="Y2251" t="inlineStr">
        <is>
          <t>Agriculture and Agri-Food Canada | Agriculture et Agroalimentaire Canada</t>
        </is>
      </c>
    </row>
    <row r="2252">
      <c r="A2252" t="inlineStr">
        <is>
          <t>T-2025-P01-016</t>
        </is>
      </c>
      <c r="B2252" t="inlineStr">
        <is>
          <t>SLE</t>
        </is>
      </c>
      <c r="C2252" t="inlineStr">
        <is>
          <t>Associate Assistant Deputy Minister, Science and Technology Branch</t>
        </is>
      </c>
      <c r="D2252" t="inlineStr">
        <is>
          <t>Sous-ministre adjoint délégué, Direction générale des sciences et de la technologie</t>
        </is>
      </c>
      <c r="E2252" t="inlineStr">
        <is>
          <t>Andrew Goldstein</t>
        </is>
      </c>
      <c r="F2252" t="inlineStr">
        <is>
          <t>Outreach visit and meet with staff at the Sherbrooke Research and Development Centre</t>
        </is>
      </c>
      <c r="G2252" t="inlineStr">
        <is>
          <t>Rencontre de sensibilisation avec le personnel du centre de recherche et de développement à Sherbrooke</t>
        </is>
      </c>
      <c r="H2252" s="1" t="n">
        <v>45390</v>
      </c>
      <c r="I2252" s="1" t="n">
        <v>45391</v>
      </c>
      <c r="J2252" t="inlineStr">
        <is>
          <t>Sherbrooke (Quebec) Canada</t>
        </is>
      </c>
      <c r="K2252" t="inlineStr">
        <is>
          <t>Sherbrooke (Québec) Canada</t>
        </is>
      </c>
      <c r="P2252" t="n">
        <v>0</v>
      </c>
      <c r="Q2252" t="n">
        <v>443.22</v>
      </c>
      <c r="R2252" t="n">
        <v>205.39</v>
      </c>
      <c r="S2252" t="n">
        <v>146.85</v>
      </c>
      <c r="T2252" t="n">
        <v>0</v>
      </c>
      <c r="U2252" t="n">
        <v>795.46</v>
      </c>
      <c r="X2252" t="inlineStr">
        <is>
          <t>aafc-aac</t>
        </is>
      </c>
      <c r="Y2252" t="inlineStr">
        <is>
          <t>Agriculture and Agri-Food Canada | Agriculture et Agroalimentaire Canada</t>
        </is>
      </c>
    </row>
    <row r="2253">
      <c r="A2253" t="inlineStr">
        <is>
          <t>T-2025-P01-017</t>
        </is>
      </c>
      <c r="B2253" t="inlineStr">
        <is>
          <t>SLE</t>
        </is>
      </c>
      <c r="C2253" t="inlineStr">
        <is>
          <t>Assistant Deputy Minister, Corporate Management Branch</t>
        </is>
      </c>
      <c r="D2253" t="inlineStr">
        <is>
          <t>Sous-ministre adjointe, Direction générale de la gestion intégrée</t>
        </is>
      </c>
      <c r="E2253" t="inlineStr">
        <is>
          <t>Marie-Claude Guérard</t>
        </is>
      </c>
      <c r="F2253" t="inlineStr">
        <is>
          <t>Uber with the Deputy Minister on march 26th to a meeting location during the Deputy Minister's outreach in Montreal</t>
        </is>
      </c>
      <c r="G2253" t="inlineStr">
        <is>
          <t>Uber avec la sous-ministre le 26 mars pour se rendre à un lieu de réunion pendant sa mission de sensibilisation à Montréal</t>
        </is>
      </c>
      <c r="H2253" s="1" t="n">
        <v>45377</v>
      </c>
      <c r="I2253" s="1" t="n">
        <v>45377</v>
      </c>
      <c r="J2253" t="inlineStr">
        <is>
          <t>Montreal (Quebec) Canada</t>
        </is>
      </c>
      <c r="K2253" t="inlineStr">
        <is>
          <t>Montréal (Québec) Canada</t>
        </is>
      </c>
      <c r="P2253" t="n">
        <v>0</v>
      </c>
      <c r="Q2253" t="n">
        <v>20.99</v>
      </c>
      <c r="R2253" t="n">
        <v>0</v>
      </c>
      <c r="S2253" t="n">
        <v>0</v>
      </c>
      <c r="T2253" t="n">
        <v>0</v>
      </c>
      <c r="U2253" t="n">
        <v>20.99</v>
      </c>
      <c r="X2253" t="inlineStr">
        <is>
          <t>aafc-aac</t>
        </is>
      </c>
      <c r="Y2253" t="inlineStr">
        <is>
          <t>Agriculture and Agri-Food Canada | Agriculture et Agroalimentaire Canada</t>
        </is>
      </c>
    </row>
    <row r="2254">
      <c r="A2254" t="inlineStr">
        <is>
          <t>T-2025-P01-018</t>
        </is>
      </c>
      <c r="B2254" t="inlineStr">
        <is>
          <t>SLE</t>
        </is>
      </c>
      <c r="C2254" t="inlineStr">
        <is>
          <t>Assistant Deputy Minister, Corporate Management Branch</t>
        </is>
      </c>
      <c r="D2254" t="inlineStr">
        <is>
          <t>Sous-ministre adjointe, Direction générale de la gestion intégrée</t>
        </is>
      </c>
      <c r="E2254" t="inlineStr">
        <is>
          <t>Marie-Claude Guérard</t>
        </is>
      </c>
      <c r="F2254" t="inlineStr">
        <is>
          <t>To attend meetings in Ottawa</t>
        </is>
      </c>
      <c r="G2254" t="inlineStr">
        <is>
          <t>Participer aux rencontres à Ottawa</t>
        </is>
      </c>
      <c r="H2254" s="1" t="n">
        <v>45404</v>
      </c>
      <c r="I2254" s="1" t="n">
        <v>45404</v>
      </c>
      <c r="J2254" t="inlineStr">
        <is>
          <t>Ottawa (Ontario) Canada</t>
        </is>
      </c>
      <c r="K2254" t="inlineStr">
        <is>
          <t>Ottawa (Ontario) Canada</t>
        </is>
      </c>
      <c r="P2254" t="n">
        <v>0</v>
      </c>
      <c r="Q2254" t="n">
        <v>361.54</v>
      </c>
      <c r="R2254" t="n">
        <v>0</v>
      </c>
      <c r="S2254" t="n">
        <v>25.2</v>
      </c>
      <c r="T2254" t="n">
        <v>0</v>
      </c>
      <c r="U2254" t="n">
        <v>386.74</v>
      </c>
      <c r="X2254" t="inlineStr">
        <is>
          <t>aafc-aac</t>
        </is>
      </c>
      <c r="Y2254" t="inlineStr">
        <is>
          <t>Agriculture and Agri-Food Canada | Agriculture et Agroalimentaire Canada</t>
        </is>
      </c>
    </row>
    <row r="2255">
      <c r="A2255" t="inlineStr">
        <is>
          <t>T-2025-P01-019</t>
        </is>
      </c>
      <c r="B2255" t="inlineStr">
        <is>
          <t>SLE</t>
        </is>
      </c>
      <c r="C2255" t="inlineStr">
        <is>
          <t xml:space="preserve">Assistant Deputy Minister, Public Affairs Branch </t>
        </is>
      </c>
      <c r="D2255" t="inlineStr">
        <is>
          <t xml:space="preserve">Sous-ministre adjointe, Direction générale des affaires publiques </t>
        </is>
      </c>
      <c r="E2255" t="inlineStr">
        <is>
          <t>Mary Dila</t>
        </is>
      </c>
      <c r="F2255" t="inlineStr">
        <is>
          <t>To attend an Outreach</t>
        </is>
      </c>
      <c r="G2255" t="inlineStr">
        <is>
          <t>Assister à une activité sensibilisation</t>
        </is>
      </c>
      <c r="H2255" s="1" t="n">
        <v>45363</v>
      </c>
      <c r="I2255" s="1" t="n">
        <v>45370</v>
      </c>
      <c r="J2255" t="inlineStr">
        <is>
          <t>Victoria (British Columbia) Canada
Calgary (Alberta) Canada</t>
        </is>
      </c>
      <c r="K2255" t="inlineStr">
        <is>
          <t>Victoria (Colombie-Britannique) Canada
Calgary (Alberta) Canada</t>
        </is>
      </c>
      <c r="P2255" t="n">
        <v>1690.16</v>
      </c>
      <c r="Q2255" t="n">
        <v>200.71</v>
      </c>
      <c r="R2255" t="n">
        <v>1922.48</v>
      </c>
      <c r="S2255" t="n">
        <v>893.1</v>
      </c>
      <c r="T2255" t="n">
        <v>110.86</v>
      </c>
      <c r="U2255" t="n">
        <v>4817.31</v>
      </c>
      <c r="X2255" t="inlineStr">
        <is>
          <t>aafc-aac</t>
        </is>
      </c>
      <c r="Y2255" t="inlineStr">
        <is>
          <t>Agriculture and Agri-Food Canada | Agriculture et Agroalimentaire Canada</t>
        </is>
      </c>
    </row>
    <row r="2256">
      <c r="A2256" t="inlineStr">
        <is>
          <t>T-2025-P01-020</t>
        </is>
      </c>
      <c r="B2256" t="inlineStr">
        <is>
          <t>SLE</t>
        </is>
      </c>
      <c r="C2256" t="inlineStr">
        <is>
          <t>Assistant Deputy Minister, Strategic Policy Branch</t>
        </is>
      </c>
      <c r="D2256" t="inlineStr">
        <is>
          <t>Sous-ministre adjointe, Direction générale des politiques stratégiques</t>
        </is>
      </c>
      <c r="E2256" t="inlineStr">
        <is>
          <t>Shannon Nix</t>
        </is>
      </c>
      <c r="F2256" t="inlineStr">
        <is>
          <t xml:space="preserve">To attend the Advancing Women in Agriculture Conference </t>
        </is>
      </c>
      <c r="G2256" t="inlineStr">
        <is>
          <t>Assister à la Conférence sur l’avancement des femmes en agriculture</t>
        </is>
      </c>
      <c r="H2256" s="1" t="n">
        <v>45368</v>
      </c>
      <c r="I2256" s="1" t="n">
        <v>45370</v>
      </c>
      <c r="J2256" t="inlineStr">
        <is>
          <t>Calgary (Alberta) Canada</t>
        </is>
      </c>
      <c r="K2256" t="inlineStr">
        <is>
          <t>Calgary (Alberta) Canada</t>
        </is>
      </c>
      <c r="P2256" t="n">
        <v>1478.45</v>
      </c>
      <c r="Q2256" t="n">
        <v>109.81</v>
      </c>
      <c r="R2256" t="n">
        <v>424.38</v>
      </c>
      <c r="S2256" t="n">
        <v>271.1</v>
      </c>
      <c r="T2256" t="n">
        <v>0</v>
      </c>
      <c r="U2256" t="n">
        <v>2283.74</v>
      </c>
      <c r="X2256" t="inlineStr">
        <is>
          <t>aafc-aac</t>
        </is>
      </c>
      <c r="Y2256" t="inlineStr">
        <is>
          <t>Agriculture and Agri-Food Canada | Agriculture et Agroalimentaire Canada</t>
        </is>
      </c>
    </row>
    <row r="2257">
      <c r="A2257" t="inlineStr">
        <is>
          <t>T-2025-P01-021</t>
        </is>
      </c>
      <c r="B2257" t="inlineStr">
        <is>
          <t>SLE</t>
        </is>
      </c>
      <c r="C2257" t="inlineStr">
        <is>
          <t>Assistant Deputy Minister, Market and Industry Services Branch</t>
        </is>
      </c>
      <c r="D2257" t="inlineStr">
        <is>
          <t>Sous-ministre adjoint, Direction générale des services à l'industrie et aux marchés</t>
        </is>
      </c>
      <c r="E2257" t="inlineStr">
        <is>
          <t>Tom Rosser</t>
        </is>
      </c>
      <c r="F2257" t="inlineStr">
        <is>
          <t>To attend the CTAQ Conference in La Malbaie</t>
        </is>
      </c>
      <c r="G2257" t="inlineStr">
        <is>
          <t>Participer à la conférence de la CTAQ à La Malbaie</t>
        </is>
      </c>
      <c r="H2257" s="1" t="n">
        <v>45365</v>
      </c>
      <c r="I2257" s="1" t="n">
        <v>45368</v>
      </c>
      <c r="J2257" t="inlineStr">
        <is>
          <t>La Malbaie (Quebec) Canada</t>
        </is>
      </c>
      <c r="K2257" t="inlineStr">
        <is>
          <t>La Malbaie (Québec) Canada</t>
        </is>
      </c>
      <c r="P2257" t="n">
        <v>0</v>
      </c>
      <c r="Q2257" t="n">
        <v>687.03</v>
      </c>
      <c r="R2257" t="n">
        <v>659.41</v>
      </c>
      <c r="S2257" t="n">
        <v>112.35</v>
      </c>
      <c r="T2257" t="n">
        <v>0</v>
      </c>
      <c r="U2257" t="n">
        <v>1458.79</v>
      </c>
      <c r="X2257" t="inlineStr">
        <is>
          <t>aafc-aac</t>
        </is>
      </c>
      <c r="Y2257" t="inlineStr">
        <is>
          <t>Agriculture and Agri-Food Canada | Agriculture et Agroalimentaire Canada</t>
        </is>
      </c>
    </row>
    <row r="2258">
      <c r="A2258" t="inlineStr">
        <is>
          <t>T-2025-P01-022</t>
        </is>
      </c>
      <c r="B2258" t="inlineStr">
        <is>
          <t>SLE</t>
        </is>
      </c>
      <c r="C2258" t="inlineStr">
        <is>
          <t>Chief Information Officer, Information Systems Branch</t>
        </is>
      </c>
      <c r="D2258" t="inlineStr">
        <is>
          <t>Dirigeante principale de l'information, Direction générale des systèmes d'information</t>
        </is>
      </c>
      <c r="E2258" t="inlineStr">
        <is>
          <t>Vidya ShankarNarayan</t>
        </is>
      </c>
      <c r="F2258" t="inlineStr">
        <is>
          <t>Parking to attend ELDP</t>
        </is>
      </c>
      <c r="G2258" t="inlineStr">
        <is>
          <t>Stationnement pour participer au ELDP</t>
        </is>
      </c>
      <c r="H2258" s="1" t="n">
        <v>45377</v>
      </c>
      <c r="I2258" s="1" t="n">
        <v>45379</v>
      </c>
      <c r="J2258" t="inlineStr">
        <is>
          <t>Ottawa (Ontario) Canada</t>
        </is>
      </c>
      <c r="K2258" t="inlineStr">
        <is>
          <t>Ottawa (Ontario) Canada</t>
        </is>
      </c>
      <c r="P2258" t="n">
        <v>0</v>
      </c>
      <c r="Q2258" t="n">
        <v>42</v>
      </c>
      <c r="R2258" t="n">
        <v>0</v>
      </c>
      <c r="S2258" t="n">
        <v>0</v>
      </c>
      <c r="T2258" t="n">
        <v>0</v>
      </c>
      <c r="U2258" t="n">
        <v>42</v>
      </c>
      <c r="X2258" t="inlineStr">
        <is>
          <t>aafc-aac</t>
        </is>
      </c>
      <c r="Y2258" t="inlineStr">
        <is>
          <t>Agriculture and Agri-Food Canada | Agriculture et Agroalimentaire Canada</t>
        </is>
      </c>
    </row>
    <row r="2259">
      <c r="A2259" t="inlineStr">
        <is>
          <t>T-2025-P01-023</t>
        </is>
      </c>
      <c r="B2259" t="inlineStr">
        <is>
          <t>MPSES</t>
        </is>
      </c>
      <c r="C2259" t="inlineStr">
        <is>
          <t>Member of Parliament</t>
        </is>
      </c>
      <c r="D2259" t="inlineStr">
        <is>
          <t>Membre du Parlement</t>
        </is>
      </c>
      <c r="E2259" t="inlineStr">
        <is>
          <t>Kevin Lamoureux</t>
        </is>
      </c>
      <c r="F2259" t="inlineStr">
        <is>
          <t>To support the Minister for a tour in Manila</t>
        </is>
      </c>
      <c r="G2259" t="inlineStr">
        <is>
          <t>Soutenir le ministre pour une tournée à Manille</t>
        </is>
      </c>
      <c r="H2259" s="1" t="n">
        <v>45340</v>
      </c>
      <c r="I2259" s="1" t="n">
        <v>45346</v>
      </c>
      <c r="J2259" t="inlineStr">
        <is>
          <t>Manila, Philippines</t>
        </is>
      </c>
      <c r="K2259" t="inlineStr">
        <is>
          <t>Manille, Philippines</t>
        </is>
      </c>
      <c r="P2259" t="n">
        <v>12049.1</v>
      </c>
      <c r="Q2259" t="n">
        <v>0</v>
      </c>
      <c r="R2259" t="n">
        <v>1209.5</v>
      </c>
      <c r="S2259" t="n">
        <v>0</v>
      </c>
      <c r="T2259" t="n">
        <v>0</v>
      </c>
      <c r="U2259" t="n">
        <v>13258.6</v>
      </c>
      <c r="X2259" t="inlineStr">
        <is>
          <t>aafc-aac</t>
        </is>
      </c>
      <c r="Y2259" t="inlineStr">
        <is>
          <t>Agriculture and Agri-Food Canada | Agriculture et Agroalimentaire Canada</t>
        </is>
      </c>
    </row>
    <row r="2260">
      <c r="A2260" t="inlineStr">
        <is>
          <t>T-2025-P01-024</t>
        </is>
      </c>
      <c r="B2260" t="inlineStr">
        <is>
          <t>MPSES</t>
        </is>
      </c>
      <c r="C2260" t="inlineStr">
        <is>
          <t>Member of Parliament</t>
        </is>
      </c>
      <c r="D2260" t="inlineStr">
        <is>
          <t>Membre du Parlement</t>
        </is>
      </c>
      <c r="E2260" t="inlineStr">
        <is>
          <t>Marco Mendicino</t>
        </is>
      </c>
      <c r="F2260" t="inlineStr">
        <is>
          <t>To support the Minister for a tour in Manila</t>
        </is>
      </c>
      <c r="G2260" t="inlineStr">
        <is>
          <t>Soutenir le ministre pour une tournée à Manille</t>
        </is>
      </c>
      <c r="H2260" s="1" t="n">
        <v>45340</v>
      </c>
      <c r="I2260" s="1" t="n">
        <v>45345</v>
      </c>
      <c r="J2260" t="inlineStr">
        <is>
          <t>Manila, Philippines</t>
        </is>
      </c>
      <c r="K2260" t="inlineStr">
        <is>
          <t>Manille, Philippines</t>
        </is>
      </c>
      <c r="P2260" t="n">
        <v>8377.040000000001</v>
      </c>
      <c r="Q2260" t="n">
        <v>203.28</v>
      </c>
      <c r="R2260" t="n">
        <v>849.27</v>
      </c>
      <c r="S2260" t="n">
        <v>0</v>
      </c>
      <c r="T2260" t="n">
        <v>0</v>
      </c>
      <c r="U2260" t="n">
        <v>9429.59</v>
      </c>
      <c r="X2260" t="inlineStr">
        <is>
          <t>aafc-aac</t>
        </is>
      </c>
      <c r="Y2260" t="inlineStr">
        <is>
          <t>Agriculture and Agri-Food Canada | Agriculture et Agroalimentaire Canada</t>
        </is>
      </c>
    </row>
    <row r="2261">
      <c r="A2261" t="inlineStr">
        <is>
          <t>T-2025-P02-001</t>
        </is>
      </c>
      <c r="B2261" t="inlineStr">
        <is>
          <t>MPSES</t>
        </is>
      </c>
      <c r="C2261" t="inlineStr">
        <is>
          <t>Minister</t>
        </is>
      </c>
      <c r="D2261" t="inlineStr">
        <is>
          <t>Ministre</t>
        </is>
      </c>
      <c r="E2261" t="inlineStr">
        <is>
          <t>Lawrence MacAulay</t>
        </is>
      </c>
      <c r="F2261" t="inlineStr">
        <is>
          <t>To attend an Outreach in Halifax with meetings and announcements</t>
        </is>
      </c>
      <c r="G2261" t="inlineStr">
        <is>
          <t>Pour assister à une activité de sensibilisation à Halifax avec des réunions et des annonces</t>
        </is>
      </c>
      <c r="H2261" s="1" t="n">
        <v>45428</v>
      </c>
      <c r="I2261" s="1" t="n">
        <v>45431</v>
      </c>
      <c r="J2261" t="inlineStr">
        <is>
          <t>Halifax (Nova Scotia) Canada</t>
        </is>
      </c>
      <c r="K2261" t="inlineStr">
        <is>
          <t>Halifax (Nouvelle-Écosse) Canada</t>
        </is>
      </c>
      <c r="P2261" t="n">
        <v>0</v>
      </c>
      <c r="Q2261" t="n">
        <v>384.8</v>
      </c>
      <c r="R2261" t="n">
        <v>0</v>
      </c>
      <c r="S2261" t="n">
        <v>50.4</v>
      </c>
      <c r="T2261" t="n">
        <v>0</v>
      </c>
      <c r="U2261" t="n">
        <v>435.2</v>
      </c>
      <c r="X2261" t="inlineStr">
        <is>
          <t>aafc-aac</t>
        </is>
      </c>
      <c r="Y2261" t="inlineStr">
        <is>
          <t>Agriculture and Agri-Food Canada | Agriculture et Agroalimentaire Canada</t>
        </is>
      </c>
    </row>
    <row r="2262">
      <c r="A2262" t="inlineStr">
        <is>
          <t>T-2025-P02-002</t>
        </is>
      </c>
      <c r="B2262" t="inlineStr">
        <is>
          <t>MPSES</t>
        </is>
      </c>
      <c r="C2262" t="inlineStr">
        <is>
          <t>Chief of Staff</t>
        </is>
      </c>
      <c r="D2262" t="inlineStr">
        <is>
          <t>Chef de cabinet</t>
        </is>
      </c>
      <c r="E2262" t="inlineStr">
        <is>
          <t>Matthew Mann</t>
        </is>
      </c>
      <c r="F2262" t="inlineStr">
        <is>
          <t>To support the Minister to attend meetings and announcements</t>
        </is>
      </c>
      <c r="G2262" t="inlineStr">
        <is>
          <t>Soutenir le ministre à assister aux réunions et aux annonces</t>
        </is>
      </c>
      <c r="H2262" s="1" t="n">
        <v>45400</v>
      </c>
      <c r="I2262" s="1" t="n">
        <v>45402</v>
      </c>
      <c r="J2262" t="inlineStr">
        <is>
          <t>Charlottetown (Prince Edward Island) Canada</t>
        </is>
      </c>
      <c r="K2262" t="inlineStr">
        <is>
          <t>Charlottetown (Île-du-Prince-Édouard) Canada</t>
        </is>
      </c>
      <c r="P2262" t="n">
        <v>2107.53</v>
      </c>
      <c r="Q2262" t="n">
        <v>227.37</v>
      </c>
      <c r="R2262" t="n">
        <v>537.5</v>
      </c>
      <c r="S2262" t="n">
        <v>173.5</v>
      </c>
      <c r="T2262" t="n">
        <v>0</v>
      </c>
      <c r="U2262" t="n">
        <v>3045.9</v>
      </c>
      <c r="X2262" t="inlineStr">
        <is>
          <t>aafc-aac</t>
        </is>
      </c>
      <c r="Y2262" t="inlineStr">
        <is>
          <t>Agriculture and Agri-Food Canada | Agriculture et Agroalimentaire Canada</t>
        </is>
      </c>
    </row>
    <row r="2263">
      <c r="A2263" t="inlineStr">
        <is>
          <t>T-2025-P02-003</t>
        </is>
      </c>
      <c r="B2263" t="inlineStr">
        <is>
          <t>MPSES</t>
        </is>
      </c>
      <c r="C2263" t="inlineStr">
        <is>
          <t>Chief of Staff</t>
        </is>
      </c>
      <c r="D2263" t="inlineStr">
        <is>
          <t>Chef de cabinet</t>
        </is>
      </c>
      <c r="E2263" t="inlineStr">
        <is>
          <t>Matthew Mann</t>
        </is>
      </c>
      <c r="F2263" t="inlineStr">
        <is>
          <t>To support the Minister to attend meetings and announcements</t>
        </is>
      </c>
      <c r="G2263" t="inlineStr">
        <is>
          <t>Soutenir le ministre à assister aux réunions et aux annonces</t>
        </is>
      </c>
      <c r="H2263" s="1" t="n">
        <v>45404</v>
      </c>
      <c r="I2263" s="1" t="n">
        <v>45407</v>
      </c>
      <c r="J2263" t="inlineStr">
        <is>
          <t>Charlottetown (Prince Edward Island) Canada</t>
        </is>
      </c>
      <c r="K2263" t="inlineStr">
        <is>
          <t>Charlottetown (Île-du-Prince-Édouard) Canada</t>
        </is>
      </c>
      <c r="P2263" t="n">
        <v>1150.2</v>
      </c>
      <c r="Q2263" t="n">
        <v>365.1</v>
      </c>
      <c r="R2263" t="n">
        <v>847.12</v>
      </c>
      <c r="S2263" t="n">
        <v>335.85</v>
      </c>
      <c r="T2263" t="n">
        <v>0</v>
      </c>
      <c r="U2263" t="n">
        <v>2698.27</v>
      </c>
      <c r="X2263" t="inlineStr">
        <is>
          <t>aafc-aac</t>
        </is>
      </c>
      <c r="Y2263" t="inlineStr">
        <is>
          <t>Agriculture and Agri-Food Canada | Agriculture et Agroalimentaire Canada</t>
        </is>
      </c>
    </row>
    <row r="2264">
      <c r="A2264" t="inlineStr">
        <is>
          <t>T-2025-P02-004</t>
        </is>
      </c>
      <c r="B2264" t="inlineStr">
        <is>
          <t>MPSES</t>
        </is>
      </c>
      <c r="C2264" t="inlineStr">
        <is>
          <t>Director of Communications</t>
        </is>
      </c>
      <c r="D2264" t="inlineStr">
        <is>
          <t>Directrice des communications</t>
        </is>
      </c>
      <c r="E2264" t="inlineStr">
        <is>
          <t>Annie Cullinan</t>
        </is>
      </c>
      <c r="F2264" t="inlineStr">
        <is>
          <t>To support the Minister to attend meetings and announcements</t>
        </is>
      </c>
      <c r="G2264" t="inlineStr">
        <is>
          <t>Soutenir le ministre à participer aux réunions et aux annonces</t>
        </is>
      </c>
      <c r="H2264" s="1" t="n">
        <v>45400</v>
      </c>
      <c r="I2264" s="1" t="n">
        <v>45402</v>
      </c>
      <c r="J2264" t="inlineStr">
        <is>
          <t>Charlottetown (Price Edward Island) Canada</t>
        </is>
      </c>
      <c r="K2264" t="inlineStr">
        <is>
          <t>Charlottetown (Île-du-Prince-Édouard) Canada</t>
        </is>
      </c>
      <c r="P2264" t="n">
        <v>2404.32</v>
      </c>
      <c r="Q2264" t="n">
        <v>47.37</v>
      </c>
      <c r="R2264" t="n">
        <v>489.2</v>
      </c>
      <c r="S2264" t="n">
        <v>173.5</v>
      </c>
      <c r="T2264" t="n">
        <v>0</v>
      </c>
      <c r="U2264" t="n">
        <v>3114.39</v>
      </c>
      <c r="X2264" t="inlineStr">
        <is>
          <t>aafc-aac</t>
        </is>
      </c>
      <c r="Y2264" t="inlineStr">
        <is>
          <t>Agriculture and Agri-Food Canada | Agriculture et Agroalimentaire Canada</t>
        </is>
      </c>
    </row>
    <row r="2265">
      <c r="A2265" t="inlineStr">
        <is>
          <t>T-2025-P02-005</t>
        </is>
      </c>
      <c r="B2265" t="inlineStr">
        <is>
          <t>MPSES</t>
        </is>
      </c>
      <c r="C2265" t="inlineStr">
        <is>
          <t>Director of Communications</t>
        </is>
      </c>
      <c r="D2265" t="inlineStr">
        <is>
          <t>Directrice des communications</t>
        </is>
      </c>
      <c r="E2265" t="inlineStr">
        <is>
          <t>Annie Cullinan</t>
        </is>
      </c>
      <c r="F2265" t="inlineStr">
        <is>
          <t>To support the Minister to attend meetings and announcements</t>
        </is>
      </c>
      <c r="G2265" t="inlineStr">
        <is>
          <t>Soutenir le ministre à participer aux réunions et aux annonces</t>
        </is>
      </c>
      <c r="H2265" s="1" t="n">
        <v>45426</v>
      </c>
      <c r="I2265" s="1" t="n">
        <v>45430</v>
      </c>
      <c r="J2265" t="inlineStr">
        <is>
          <t>Charlottetown (Prince Edward Island) Canada
Halifax (Nova Scotia) Canada</t>
        </is>
      </c>
      <c r="K2265" t="inlineStr">
        <is>
          <t>Charlottetown (Île-du-Prince-Édouard) Canada
Halifax (Nouvelle-Écosse) Canada</t>
        </is>
      </c>
      <c r="P2265" t="n">
        <v>1423.63</v>
      </c>
      <c r="Q2265" t="n">
        <v>45.79</v>
      </c>
      <c r="R2265" t="n">
        <v>659.89</v>
      </c>
      <c r="S2265" t="n">
        <v>285.75</v>
      </c>
      <c r="T2265" t="n">
        <v>0</v>
      </c>
      <c r="U2265" t="n">
        <v>2415.06</v>
      </c>
      <c r="X2265" t="inlineStr">
        <is>
          <t>aafc-aac</t>
        </is>
      </c>
      <c r="Y2265" t="inlineStr">
        <is>
          <t>Agriculture and Agri-Food Canada | Agriculture et Agroalimentaire Canada</t>
        </is>
      </c>
    </row>
    <row r="2266">
      <c r="A2266" t="inlineStr">
        <is>
          <t>T-2025-P02-006</t>
        </is>
      </c>
      <c r="B2266" t="inlineStr">
        <is>
          <t>MPSES</t>
        </is>
      </c>
      <c r="C2266" t="inlineStr">
        <is>
          <t>Director of Communications</t>
        </is>
      </c>
      <c r="D2266" t="inlineStr">
        <is>
          <t>Directrice des communications</t>
        </is>
      </c>
      <c r="E2266" t="inlineStr">
        <is>
          <t>Annie Cullinan</t>
        </is>
      </c>
      <c r="F2266" t="inlineStr">
        <is>
          <t>To support the Minister to attend meetings and announcements</t>
        </is>
      </c>
      <c r="G2266" t="inlineStr">
        <is>
          <t>Soutenir le ministre à participer aux réunions et aux annonces</t>
        </is>
      </c>
      <c r="H2266" s="1" t="n">
        <v>45435</v>
      </c>
      <c r="I2266" s="1" t="n">
        <v>45437</v>
      </c>
      <c r="J2266" t="inlineStr">
        <is>
          <t>Charlottetown (Prince Edward Island) Canada</t>
        </is>
      </c>
      <c r="K2266" t="inlineStr">
        <is>
          <t>Charlottetown (Île-du-Prince-Édouard) Canada</t>
        </is>
      </c>
      <c r="P2266" t="n">
        <v>1251.88</v>
      </c>
      <c r="Q2266" t="n">
        <v>24.34</v>
      </c>
      <c r="R2266" t="n">
        <v>439.68</v>
      </c>
      <c r="S2266" t="n">
        <v>173.8</v>
      </c>
      <c r="T2266" t="n">
        <v>0</v>
      </c>
      <c r="U2266" t="n">
        <v>1889.7</v>
      </c>
      <c r="X2266" t="inlineStr">
        <is>
          <t>aafc-aac</t>
        </is>
      </c>
      <c r="Y2266" t="inlineStr">
        <is>
          <t>Agriculture and Agri-Food Canada | Agriculture et Agroalimentaire Canada</t>
        </is>
      </c>
    </row>
    <row r="2267">
      <c r="A2267" t="inlineStr">
        <is>
          <t>T-2025-P02-007</t>
        </is>
      </c>
      <c r="B2267" t="inlineStr">
        <is>
          <t>MPSES</t>
        </is>
      </c>
      <c r="C2267" t="inlineStr">
        <is>
          <t>Director of Parliamentary Affairs</t>
        </is>
      </c>
      <c r="D2267" t="inlineStr">
        <is>
          <t>Directeur des affaires parlementaires</t>
        </is>
      </c>
      <c r="E2267" t="inlineStr">
        <is>
          <t>Bradley Henstock</t>
        </is>
      </c>
      <c r="F2267" t="inlineStr">
        <is>
          <t>To support the Minister to attend meetings and announcements</t>
        </is>
      </c>
      <c r="G2267" t="inlineStr">
        <is>
          <t>Soutenir le ministre à participer aux réunions et aux annonces</t>
        </is>
      </c>
      <c r="H2267" s="1" t="n">
        <v>45435</v>
      </c>
      <c r="I2267" s="1" t="n">
        <v>45437</v>
      </c>
      <c r="J2267" t="inlineStr">
        <is>
          <t>Charlottetown (Prince Edward Island) Canada</t>
        </is>
      </c>
      <c r="K2267" t="inlineStr">
        <is>
          <t>Charlottetown (Île-du-Prince-Édouard) Canada</t>
        </is>
      </c>
      <c r="P2267" t="n">
        <v>1192.56</v>
      </c>
      <c r="Q2267" t="n">
        <v>267.64</v>
      </c>
      <c r="R2267" t="n">
        <v>545.88</v>
      </c>
      <c r="S2267" t="n">
        <v>148.9</v>
      </c>
      <c r="T2267" t="n">
        <v>0</v>
      </c>
      <c r="U2267" t="n">
        <v>2154.98</v>
      </c>
      <c r="X2267" t="inlineStr">
        <is>
          <t>aafc-aac</t>
        </is>
      </c>
      <c r="Y2267" t="inlineStr">
        <is>
          <t>Agriculture and Agri-Food Canada | Agriculture et Agroalimentaire Canada</t>
        </is>
      </c>
    </row>
    <row r="2268">
      <c r="A2268" t="inlineStr">
        <is>
          <t>T-2025-P02-008</t>
        </is>
      </c>
      <c r="B2268" t="inlineStr">
        <is>
          <t>MPSES</t>
        </is>
      </c>
      <c r="C2268" t="inlineStr">
        <is>
          <t>Special Assistant</t>
        </is>
      </c>
      <c r="D2268" t="inlineStr">
        <is>
          <t>Adjoint spécial</t>
        </is>
      </c>
      <c r="E2268" t="inlineStr">
        <is>
          <t>George Williams</t>
        </is>
      </c>
      <c r="F2268" t="inlineStr">
        <is>
          <t>To support the Minister to attend meetings and announcements</t>
        </is>
      </c>
      <c r="G2268" t="inlineStr">
        <is>
          <t>Soutenir le ministre à participer aux réunions et aux annonces</t>
        </is>
      </c>
      <c r="H2268" s="1" t="n">
        <v>45407</v>
      </c>
      <c r="I2268" s="1" t="n">
        <v>45410</v>
      </c>
      <c r="J2268" t="inlineStr">
        <is>
          <t>Charlottetown (Prince Edward Island) Canada</t>
        </is>
      </c>
      <c r="K2268" t="inlineStr">
        <is>
          <t>Charlottetown (Île-du-Prince-Édouard) Canada</t>
        </is>
      </c>
      <c r="P2268" t="n">
        <v>1075.83</v>
      </c>
      <c r="Q2268" t="n">
        <v>132.36</v>
      </c>
      <c r="R2268" t="n">
        <v>338</v>
      </c>
      <c r="S2268" t="n">
        <v>148.9</v>
      </c>
      <c r="T2268" t="n">
        <v>0</v>
      </c>
      <c r="U2268" t="n">
        <v>1695.09</v>
      </c>
      <c r="X2268" t="inlineStr">
        <is>
          <t>aafc-aac</t>
        </is>
      </c>
      <c r="Y2268" t="inlineStr">
        <is>
          <t>Agriculture and Agri-Food Canada | Agriculture et Agroalimentaire Canada</t>
        </is>
      </c>
    </row>
    <row r="2269">
      <c r="A2269" t="inlineStr">
        <is>
          <t>T-2025-P02-009</t>
        </is>
      </c>
      <c r="B2269" t="inlineStr">
        <is>
          <t>MPSES</t>
        </is>
      </c>
      <c r="C2269" t="inlineStr">
        <is>
          <t>Director of Operations</t>
        </is>
      </c>
      <c r="D2269" t="inlineStr">
        <is>
          <t>Directrice des opérations</t>
        </is>
      </c>
      <c r="E2269" t="inlineStr">
        <is>
          <t>Maria Morley</t>
        </is>
      </c>
      <c r="F2269" t="inlineStr">
        <is>
          <t>To support the Minister to attend meetings and announcements</t>
        </is>
      </c>
      <c r="G2269" t="inlineStr">
        <is>
          <t>Aider le ministre à participer aux réunions et aux annonces</t>
        </is>
      </c>
      <c r="H2269" s="1" t="n">
        <v>45404</v>
      </c>
      <c r="I2269" s="1" t="n">
        <v>45407</v>
      </c>
      <c r="J2269" t="inlineStr">
        <is>
          <t>Charlottetown (Prince Edward Island) Canada</t>
        </is>
      </c>
      <c r="K2269" t="inlineStr">
        <is>
          <t>Charlottetown (Île-du-Prince-Édouard) Canada</t>
        </is>
      </c>
      <c r="P2269" t="n">
        <v>1312.95</v>
      </c>
      <c r="Q2269" t="n">
        <v>23.62</v>
      </c>
      <c r="R2269" t="n">
        <v>600.54</v>
      </c>
      <c r="S2269" t="n">
        <v>310.65</v>
      </c>
      <c r="T2269" t="n">
        <v>0</v>
      </c>
      <c r="U2269" t="n">
        <v>2247.76</v>
      </c>
      <c r="X2269" t="inlineStr">
        <is>
          <t>aafc-aac</t>
        </is>
      </c>
      <c r="Y2269" t="inlineStr">
        <is>
          <t>Agriculture and Agri-Food Canada | Agriculture et Agroalimentaire Canada</t>
        </is>
      </c>
    </row>
    <row r="2270">
      <c r="A2270" t="inlineStr">
        <is>
          <t>T-2025-P02-010</t>
        </is>
      </c>
      <c r="B2270" t="inlineStr">
        <is>
          <t>MPSES</t>
        </is>
      </c>
      <c r="C2270" t="inlineStr">
        <is>
          <t>Assistant to the Parliamentary Secretary</t>
        </is>
      </c>
      <c r="D2270" t="inlineStr">
        <is>
          <t>Adjoint au secrétaire parlementaire</t>
        </is>
      </c>
      <c r="E2270" t="inlineStr">
        <is>
          <t>Patrick Mangan</t>
        </is>
      </c>
      <c r="F2270" t="inlineStr">
        <is>
          <t>To attend an announcement with the Pork Industry regarding African Swine Fever</t>
        </is>
      </c>
      <c r="G2270" t="inlineStr">
        <is>
          <t>Assister à une annonce avec l'industrie porcine concernant la peste porcine africaine</t>
        </is>
      </c>
      <c r="H2270" s="1" t="n">
        <v>45428</v>
      </c>
      <c r="I2270" s="1" t="n">
        <v>45429</v>
      </c>
      <c r="J2270" t="inlineStr">
        <is>
          <t>Longueuil (Quebec) Canada</t>
        </is>
      </c>
      <c r="K2270" t="inlineStr">
        <is>
          <t>Longueuil (Québec) Canada</t>
        </is>
      </c>
      <c r="P2270" t="n">
        <v>0</v>
      </c>
      <c r="Q2270" t="n">
        <v>145.31</v>
      </c>
      <c r="R2270" t="n">
        <v>0</v>
      </c>
      <c r="S2270" t="n">
        <v>0</v>
      </c>
      <c r="T2270" t="n">
        <v>0</v>
      </c>
      <c r="U2270" t="n">
        <v>145.31</v>
      </c>
      <c r="X2270" t="inlineStr">
        <is>
          <t>aafc-aac</t>
        </is>
      </c>
      <c r="Y2270" t="inlineStr">
        <is>
          <t>Agriculture and Agri-Food Canada | Agriculture et Agroalimentaire Canada</t>
        </is>
      </c>
    </row>
    <row r="2271">
      <c r="A2271" t="inlineStr">
        <is>
          <t>T-2025-P02-011</t>
        </is>
      </c>
      <c r="B2271" t="inlineStr">
        <is>
          <t>SLE</t>
        </is>
      </c>
      <c r="C2271" t="inlineStr">
        <is>
          <t>Deputy Minister</t>
        </is>
      </c>
      <c r="D2271" t="inlineStr">
        <is>
          <t>Sous-ministre</t>
        </is>
      </c>
      <c r="E2271" t="inlineStr">
        <is>
          <t>Stefanie Beck</t>
        </is>
      </c>
      <c r="F2271" t="inlineStr">
        <is>
          <t>To attend the University of Calgary Breakfast: Decarbonization and Energy Research and the Public Service Management Advisory Committee</t>
        </is>
      </c>
      <c r="G2271" t="inlineStr">
        <is>
          <t>Participer au petit-déjeuner de l'Université de Calgary : Décarbonisation et recherche sur l'énergie et au Comité consultatif sur la gestion de la fonction publique</t>
        </is>
      </c>
      <c r="H2271" s="1" t="n">
        <v>45411</v>
      </c>
      <c r="I2271" s="1" t="n">
        <v>45412</v>
      </c>
      <c r="J2271" t="inlineStr">
        <is>
          <t>Ottawa (Ontario) Canada</t>
        </is>
      </c>
      <c r="K2271" t="inlineStr">
        <is>
          <t>Ottawa (Ontario) Canada</t>
        </is>
      </c>
      <c r="P2271" t="n">
        <v>0</v>
      </c>
      <c r="Q2271" t="n">
        <v>66.31</v>
      </c>
      <c r="R2271" t="n">
        <v>0</v>
      </c>
      <c r="S2271" t="n">
        <v>0</v>
      </c>
      <c r="T2271" t="n">
        <v>0</v>
      </c>
      <c r="U2271" t="n">
        <v>66.31</v>
      </c>
      <c r="X2271" t="inlineStr">
        <is>
          <t>aafc-aac</t>
        </is>
      </c>
      <c r="Y2271" t="inlineStr">
        <is>
          <t>Agriculture and Agri-Food Canada | Agriculture et Agroalimentaire Canada</t>
        </is>
      </c>
    </row>
    <row r="2272">
      <c r="A2272" t="inlineStr">
        <is>
          <t>T-2025-P02-012</t>
        </is>
      </c>
      <c r="B2272" t="inlineStr">
        <is>
          <t>SLE</t>
        </is>
      </c>
      <c r="C2272" t="inlineStr">
        <is>
          <t>Deputy Minister</t>
        </is>
      </c>
      <c r="D2272" t="inlineStr">
        <is>
          <t>Sous-ministre</t>
        </is>
      </c>
      <c r="E2272" t="inlineStr">
        <is>
          <t>Stefanie Beck</t>
        </is>
      </c>
      <c r="F2272" t="inlineStr">
        <is>
          <t>To attend an Outreach in Winnipeg</t>
        </is>
      </c>
      <c r="G2272" t="inlineStr">
        <is>
          <t>Pour participer à une action de sensibilisation à Winnipeg</t>
        </is>
      </c>
      <c r="H2272" s="1" t="n">
        <v>45425</v>
      </c>
      <c r="I2272" s="1" t="n">
        <v>45428</v>
      </c>
      <c r="J2272" t="inlineStr">
        <is>
          <t>Winnipeg (Manitoba) Canada</t>
        </is>
      </c>
      <c r="K2272" t="inlineStr">
        <is>
          <t>Winnipeg (Manitoba) Canada</t>
        </is>
      </c>
      <c r="P2272" t="n">
        <v>519.8200000000001</v>
      </c>
      <c r="Q2272" t="n">
        <v>75.18000000000001</v>
      </c>
      <c r="R2272" t="n">
        <v>741.75</v>
      </c>
      <c r="S2272" t="n">
        <v>268.2</v>
      </c>
      <c r="T2272" t="n">
        <v>0</v>
      </c>
      <c r="U2272" t="n">
        <v>1604.95</v>
      </c>
      <c r="X2272" t="inlineStr">
        <is>
          <t>aafc-aac</t>
        </is>
      </c>
      <c r="Y2272" t="inlineStr">
        <is>
          <t>Agriculture and Agri-Food Canada | Agriculture et Agroalimentaire Canada</t>
        </is>
      </c>
    </row>
    <row r="2273">
      <c r="A2273" t="inlineStr">
        <is>
          <t>T-2025-P02-013</t>
        </is>
      </c>
      <c r="B2273" t="inlineStr">
        <is>
          <t>SLE</t>
        </is>
      </c>
      <c r="C2273" t="inlineStr">
        <is>
          <t>Corporate Secretary</t>
        </is>
      </c>
      <c r="D2273" t="inlineStr">
        <is>
          <t>Secrétaire générale</t>
        </is>
      </c>
      <c r="E2273" t="inlineStr">
        <is>
          <t>Tamara Abel</t>
        </is>
      </c>
      <c r="F2273" t="inlineStr">
        <is>
          <t>Operational activities</t>
        </is>
      </c>
      <c r="G2273" t="inlineStr">
        <is>
          <t>Activités opérationnelles</t>
        </is>
      </c>
      <c r="H2273" s="1" t="n">
        <v>45403</v>
      </c>
      <c r="I2273" s="1" t="n">
        <v>45407</v>
      </c>
      <c r="J2273" t="inlineStr">
        <is>
          <t>Ottawa (Ontario) Canada</t>
        </is>
      </c>
      <c r="K2273" t="inlineStr">
        <is>
          <t>Ottawa (Ontario) Canada</t>
        </is>
      </c>
      <c r="P2273" t="n">
        <v>1060.11</v>
      </c>
      <c r="Q2273" t="n">
        <v>410.59</v>
      </c>
      <c r="R2273" t="n">
        <v>1511.3</v>
      </c>
      <c r="S2273" t="n">
        <v>621.35</v>
      </c>
      <c r="T2273" t="n">
        <v>0</v>
      </c>
      <c r="U2273" t="n">
        <v>3603.35</v>
      </c>
      <c r="X2273" t="inlineStr">
        <is>
          <t>aafc-aac</t>
        </is>
      </c>
      <c r="Y2273" t="inlineStr">
        <is>
          <t>Agriculture and Agri-Food Canada | Agriculture et Agroalimentaire Canada</t>
        </is>
      </c>
    </row>
    <row r="2274">
      <c r="A2274" t="inlineStr">
        <is>
          <t>T-2025-P02-014</t>
        </is>
      </c>
      <c r="B2274" t="inlineStr">
        <is>
          <t>SLE</t>
        </is>
      </c>
      <c r="C2274" t="inlineStr">
        <is>
          <t>Workplace Well-Being Ombudsperson</t>
        </is>
      </c>
      <c r="D2274" t="inlineStr">
        <is>
          <t>Ombudsman du mieux-être en milieu de travail</t>
        </is>
      </c>
      <c r="E2274" t="inlineStr">
        <is>
          <t xml:space="preserve">Elianne Hall </t>
        </is>
      </c>
      <c r="F2274" t="inlineStr">
        <is>
          <t>To attend a working lunch with colleagues on the Ombuds Council</t>
        </is>
      </c>
      <c r="G2274" t="inlineStr">
        <is>
          <t>Participer à un déjeuner de travail avec des collègues du Conseil d'ombuds</t>
        </is>
      </c>
      <c r="H2274" s="1" t="n">
        <v>45399</v>
      </c>
      <c r="I2274" s="1" t="n">
        <v>45399</v>
      </c>
      <c r="J2274" t="inlineStr">
        <is>
          <t>Ottawa (Ontario) Canada</t>
        </is>
      </c>
      <c r="K2274" t="inlineStr">
        <is>
          <t>Ottawa (Ontario) Canada</t>
        </is>
      </c>
      <c r="P2274" t="n">
        <v>0</v>
      </c>
      <c r="Q2274" t="n">
        <v>17.99</v>
      </c>
      <c r="R2274" t="n">
        <v>0</v>
      </c>
      <c r="S2274" t="n">
        <v>0</v>
      </c>
      <c r="T2274" t="n">
        <v>0</v>
      </c>
      <c r="U2274" t="n">
        <v>17.99</v>
      </c>
      <c r="X2274" t="inlineStr">
        <is>
          <t>aafc-aac</t>
        </is>
      </c>
      <c r="Y2274" t="inlineStr">
        <is>
          <t>Agriculture and Agri-Food Canada | Agriculture et Agroalimentaire Canada</t>
        </is>
      </c>
    </row>
    <row r="2275">
      <c r="A2275" t="inlineStr">
        <is>
          <t>T-2025-P02-015</t>
        </is>
      </c>
      <c r="B2275" t="inlineStr">
        <is>
          <t>SLE</t>
        </is>
      </c>
      <c r="C2275" t="inlineStr">
        <is>
          <t>Workplace Well-Being Ombudsperson</t>
        </is>
      </c>
      <c r="D2275" t="inlineStr">
        <is>
          <t>Ombudsman du mieux-être en milieu de travail</t>
        </is>
      </c>
      <c r="E2275" t="inlineStr">
        <is>
          <t xml:space="preserve">Elianne Hall </t>
        </is>
      </c>
      <c r="F2275" t="inlineStr">
        <is>
          <t>To attend the Quebec Outreach</t>
        </is>
      </c>
      <c r="G2275" t="inlineStr">
        <is>
          <t>Pour participer à la campagne de sensibilisation au Québec</t>
        </is>
      </c>
      <c r="H2275" s="1" t="n">
        <v>45411</v>
      </c>
      <c r="I2275" s="1" t="n">
        <v>45413</v>
      </c>
      <c r="J2275" t="inlineStr">
        <is>
          <t>Québec (Quebec) Canada</t>
        </is>
      </c>
      <c r="K2275" t="inlineStr">
        <is>
          <t>Québec (Québec) Canada</t>
        </is>
      </c>
      <c r="P2275" t="n">
        <v>0</v>
      </c>
      <c r="Q2275" t="n">
        <v>618.54</v>
      </c>
      <c r="R2275" t="n">
        <v>542.65</v>
      </c>
      <c r="S2275" t="n">
        <v>362.85</v>
      </c>
      <c r="T2275" t="n">
        <v>0</v>
      </c>
      <c r="U2275" t="n">
        <v>1524.04</v>
      </c>
      <c r="X2275" t="inlineStr">
        <is>
          <t>aafc-aac</t>
        </is>
      </c>
      <c r="Y2275" t="inlineStr">
        <is>
          <t>Agriculture and Agri-Food Canada | Agriculture et Agroalimentaire Canada</t>
        </is>
      </c>
    </row>
    <row r="2276">
      <c r="A2276" t="inlineStr">
        <is>
          <t>T-2025-P02-016</t>
        </is>
      </c>
      <c r="B2276" t="inlineStr">
        <is>
          <t>SLE</t>
        </is>
      </c>
      <c r="C2276" t="inlineStr">
        <is>
          <t>Workplace Well-Being Ombudsperson</t>
        </is>
      </c>
      <c r="D2276" t="inlineStr">
        <is>
          <t>Ombudsman du mieux-être en milieu de travail</t>
        </is>
      </c>
      <c r="E2276" t="inlineStr">
        <is>
          <t xml:space="preserve">Elianne Hall </t>
        </is>
      </c>
      <c r="F2276" t="inlineStr">
        <is>
          <t>To attend the Annual Symposium of the Centre for Informal Dispute Resolution at Saint Paul University</t>
        </is>
      </c>
      <c r="G2276" t="inlineStr">
        <is>
          <t>Participer au symposium annuel du centre de règlement informel des litiges de l'Université de Saint Paul</t>
        </is>
      </c>
      <c r="H2276" s="1" t="n">
        <v>45418</v>
      </c>
      <c r="I2276" s="1" t="n">
        <v>45419</v>
      </c>
      <c r="J2276" t="inlineStr">
        <is>
          <t>Ottawa (Ontario) Canada</t>
        </is>
      </c>
      <c r="K2276" t="inlineStr">
        <is>
          <t>Ottawa (Ontario) Canada</t>
        </is>
      </c>
      <c r="P2276" t="n">
        <v>0</v>
      </c>
      <c r="Q2276" t="n">
        <v>22.5</v>
      </c>
      <c r="R2276" t="n">
        <v>0</v>
      </c>
      <c r="S2276" t="n">
        <v>0</v>
      </c>
      <c r="T2276" t="n">
        <v>0</v>
      </c>
      <c r="U2276" t="n">
        <v>22.5</v>
      </c>
      <c r="X2276" t="inlineStr">
        <is>
          <t>aafc-aac</t>
        </is>
      </c>
      <c r="Y2276" t="inlineStr">
        <is>
          <t>Agriculture and Agri-Food Canada | Agriculture et Agroalimentaire Canada</t>
        </is>
      </c>
    </row>
    <row r="2277">
      <c r="A2277" t="inlineStr">
        <is>
          <t>T-2025-P02-017</t>
        </is>
      </c>
      <c r="B2277" t="inlineStr">
        <is>
          <t>SLE</t>
        </is>
      </c>
      <c r="C2277" t="inlineStr">
        <is>
          <t>Assistant Deputy Minister, Science and Technology Branch</t>
        </is>
      </c>
      <c r="D2277" t="inlineStr">
        <is>
          <t>Sous-ministre adjoint, Direction générale des sciences et de la technologie</t>
        </is>
      </c>
      <c r="E2277" t="inlineStr">
        <is>
          <t>Gilles Saindon</t>
        </is>
      </c>
      <c r="F2277" t="inlineStr">
        <is>
          <t>Invited Speaker to CropLife Canada - Spring Dialogue Days</t>
        </is>
      </c>
      <c r="G2277" t="inlineStr">
        <is>
          <t>Présentateur au CropLife Canada - Journées de dialogue de printemps</t>
        </is>
      </c>
      <c r="H2277" s="1" t="n">
        <v>45421</v>
      </c>
      <c r="I2277" s="1" t="n">
        <v>45421</v>
      </c>
      <c r="J2277" t="inlineStr">
        <is>
          <t>Ottawa (Ontario) Canada</t>
        </is>
      </c>
      <c r="K2277" t="inlineStr">
        <is>
          <t>Ottawa (Ontario) Canada</t>
        </is>
      </c>
      <c r="P2277" t="n">
        <v>0</v>
      </c>
      <c r="Q2277" t="n">
        <v>20</v>
      </c>
      <c r="R2277" t="n">
        <v>0</v>
      </c>
      <c r="S2277" t="n">
        <v>0</v>
      </c>
      <c r="T2277" t="n">
        <v>0</v>
      </c>
      <c r="U2277" t="n">
        <v>20</v>
      </c>
      <c r="X2277" t="inlineStr">
        <is>
          <t>aafc-aac</t>
        </is>
      </c>
      <c r="Y2277" t="inlineStr">
        <is>
          <t>Agriculture and Agri-Food Canada | Agriculture et Agroalimentaire Canada</t>
        </is>
      </c>
    </row>
    <row r="2278">
      <c r="A2278" t="inlineStr">
        <is>
          <t>T-2025-P02-018</t>
        </is>
      </c>
      <c r="B2278" t="inlineStr">
        <is>
          <t>SLE</t>
        </is>
      </c>
      <c r="C2278" t="inlineStr">
        <is>
          <t>Assistant Deputy Minister, International Affairs Branch</t>
        </is>
      </c>
      <c r="D2278" t="inlineStr">
        <is>
          <t>Sous-ministre adjointe, Direction générale des affaires internationales</t>
        </is>
      </c>
      <c r="E2278" t="inlineStr">
        <is>
          <t xml:space="preserve">Kathleen Donohue </t>
        </is>
      </c>
      <c r="F2278" t="inlineStr">
        <is>
          <t>To meet with Agriculture and Agri-Food Canada and Canadian Food Inspection Agency counterparts, and United States industry, to strengthen bilateral relations, to advocate for the voluntary “Product of USA” labelling and Proposition 13</t>
        </is>
      </c>
      <c r="G2278" t="inlineStr">
        <is>
          <t>Rencontrer les homologues d'Agriculture et Agroalimentaire Canada et l'Agence d'inspection des aliments, et l'industrie des États-Unis, pour renforcer les relations bilatérales, pour plaider pour l’étiquetage volontaire « Produit des États-Unis » et Proposition 13</t>
        </is>
      </c>
      <c r="H2278" s="1" t="n">
        <v>45390</v>
      </c>
      <c r="I2278" s="1" t="n">
        <v>45391</v>
      </c>
      <c r="J2278" t="inlineStr">
        <is>
          <t>Washington (District of Columbia) United States</t>
        </is>
      </c>
      <c r="K2278" t="inlineStr">
        <is>
          <t>Washington (District de Columbia) États-Unis</t>
        </is>
      </c>
      <c r="P2278" t="n">
        <v>1851.68</v>
      </c>
      <c r="Q2278" t="n">
        <v>158.67</v>
      </c>
      <c r="R2278" t="n">
        <v>455</v>
      </c>
      <c r="S2278" t="n">
        <v>204.9</v>
      </c>
      <c r="T2278" t="n">
        <v>0</v>
      </c>
      <c r="U2278" t="n">
        <v>2670.25</v>
      </c>
      <c r="X2278" t="inlineStr">
        <is>
          <t>aafc-aac</t>
        </is>
      </c>
      <c r="Y2278" t="inlineStr">
        <is>
          <t>Agriculture and Agri-Food Canada | Agriculture et Agroalimentaire Canada</t>
        </is>
      </c>
    </row>
    <row r="2279">
      <c r="A2279" t="inlineStr">
        <is>
          <t>T-2025-P02-019</t>
        </is>
      </c>
      <c r="B2279" t="inlineStr">
        <is>
          <t>SLE</t>
        </is>
      </c>
      <c r="C2279" t="inlineStr">
        <is>
          <t>Assistant Deputy Minister, International Affairs Branch</t>
        </is>
      </c>
      <c r="D2279" t="inlineStr">
        <is>
          <t>Sous-ministre adjointe, Direction générale des affaires internationales</t>
        </is>
      </c>
      <c r="E2279" t="inlineStr">
        <is>
          <t xml:space="preserve">Kathleen Donohue </t>
        </is>
      </c>
      <c r="F2279" t="inlineStr">
        <is>
          <t>To attend training under the Ivey Leadership Program</t>
        </is>
      </c>
      <c r="G2279" t="inlineStr">
        <is>
          <t>Participer au programme de formation de leadership Ivey</t>
        </is>
      </c>
      <c r="H2279" s="1" t="n">
        <v>45384</v>
      </c>
      <c r="I2279" s="1" t="n">
        <v>45387</v>
      </c>
      <c r="J2279" t="inlineStr">
        <is>
          <t xml:space="preserve">London (Ontario) Canada </t>
        </is>
      </c>
      <c r="K2279" t="inlineStr">
        <is>
          <t>London (Ontario) Canada</t>
        </is>
      </c>
      <c r="P2279" t="n">
        <v>1333.34</v>
      </c>
      <c r="Q2279" t="n">
        <v>468.22</v>
      </c>
      <c r="R2279" t="n">
        <v>0</v>
      </c>
      <c r="S2279" t="n">
        <v>79.15000000000001</v>
      </c>
      <c r="T2279" t="n">
        <v>0</v>
      </c>
      <c r="U2279" t="n">
        <v>1880.71</v>
      </c>
      <c r="X2279" t="inlineStr">
        <is>
          <t>aafc-aac</t>
        </is>
      </c>
      <c r="Y2279" t="inlineStr">
        <is>
          <t>Agriculture and Agri-Food Canada | Agriculture et Agroalimentaire Canada</t>
        </is>
      </c>
    </row>
    <row r="2280">
      <c r="A2280" t="inlineStr">
        <is>
          <t>T-2025-P02-020</t>
        </is>
      </c>
      <c r="B2280" t="inlineStr">
        <is>
          <t>SLE</t>
        </is>
      </c>
      <c r="C2280" t="inlineStr">
        <is>
          <t>Associate Assistant Deputy Minister, Science and Technology Branch</t>
        </is>
      </c>
      <c r="D2280" t="inlineStr">
        <is>
          <t>Sous-ministre adjoint délégué, Direction générale des sciences et de la technologie</t>
        </is>
      </c>
      <c r="E2280" t="inlineStr">
        <is>
          <t>Andrew Goldstein</t>
        </is>
      </c>
      <c r="F2280" t="inlineStr">
        <is>
          <t>Meeting held in downtown Ottawa on May 8, 2024</t>
        </is>
      </c>
      <c r="G2280" t="inlineStr">
        <is>
          <t>Réunion tenue au centre-ville d'Ottawa le 8 mai 2024</t>
        </is>
      </c>
      <c r="H2280" s="1" t="n">
        <v>45420</v>
      </c>
      <c r="I2280" s="1" t="n">
        <v>45420</v>
      </c>
      <c r="J2280" t="inlineStr">
        <is>
          <t>Ottawa (Ontario) Canada</t>
        </is>
      </c>
      <c r="K2280" t="inlineStr">
        <is>
          <t>Ottawa (Ontario) Canada</t>
        </is>
      </c>
      <c r="Q2280" t="n">
        <v>17.5</v>
      </c>
      <c r="R2280" t="n">
        <v>0</v>
      </c>
      <c r="S2280" t="n">
        <v>0</v>
      </c>
      <c r="T2280" t="n">
        <v>0</v>
      </c>
      <c r="U2280" t="n">
        <v>17.5</v>
      </c>
      <c r="X2280" t="inlineStr">
        <is>
          <t>aafc-aac</t>
        </is>
      </c>
      <c r="Y2280" t="inlineStr">
        <is>
          <t>Agriculture and Agri-Food Canada | Agriculture et Agroalimentaire Canada</t>
        </is>
      </c>
    </row>
    <row r="2281">
      <c r="A2281" t="inlineStr">
        <is>
          <t>T-2025-P02-021</t>
        </is>
      </c>
      <c r="B2281" t="inlineStr">
        <is>
          <t>SLE</t>
        </is>
      </c>
      <c r="C2281" t="inlineStr">
        <is>
          <t>Associate Assistant Deputy Minister, Science and Technology Branch</t>
        </is>
      </c>
      <c r="D2281" t="inlineStr">
        <is>
          <t>Sous-ministre adjoint délégué, Direction générale des sciences et de la technologie</t>
        </is>
      </c>
      <c r="E2281" t="inlineStr">
        <is>
          <t>Andrew Goldstein</t>
        </is>
      </c>
      <c r="F2281" t="inlineStr">
        <is>
          <t>To participate in the G20 Meeting of Agricultural Chief Scientists</t>
        </is>
      </c>
      <c r="G2281" t="inlineStr">
        <is>
          <t>Participer aux réunions du G20 "Meeting of Agricultural Chief Scientists" [rencontre des scientifiques en chef en agriculture]</t>
        </is>
      </c>
      <c r="H2281" s="1" t="n">
        <v>45425</v>
      </c>
      <c r="I2281" s="1" t="n">
        <v>45431</v>
      </c>
      <c r="J2281" t="inlineStr">
        <is>
          <t>Brasilia, Brazil</t>
        </is>
      </c>
      <c r="K2281" t="inlineStr">
        <is>
          <t>Brasilia (Brésil)</t>
        </is>
      </c>
      <c r="P2281" t="n">
        <v>8095.78</v>
      </c>
      <c r="Q2281" t="n">
        <v>82.48999999999999</v>
      </c>
      <c r="R2281" t="n">
        <v>775.92</v>
      </c>
      <c r="S2281" t="n">
        <v>450.91</v>
      </c>
      <c r="T2281" t="n">
        <v>51.88</v>
      </c>
      <c r="U2281" t="n">
        <v>9456.98</v>
      </c>
      <c r="X2281" t="inlineStr">
        <is>
          <t>aafc-aac</t>
        </is>
      </c>
      <c r="Y2281" t="inlineStr">
        <is>
          <t>Agriculture and Agri-Food Canada | Agriculture et Agroalimentaire Canada</t>
        </is>
      </c>
    </row>
    <row r="2282">
      <c r="A2282" t="inlineStr">
        <is>
          <t>T-2025-P02-022</t>
        </is>
      </c>
      <c r="B2282" t="inlineStr">
        <is>
          <t>SLE</t>
        </is>
      </c>
      <c r="C2282" t="inlineStr">
        <is>
          <t>Assistant Deputy Minister, Corporate Management Branch</t>
        </is>
      </c>
      <c r="D2282" t="inlineStr">
        <is>
          <t>Sous-ministre adjointe, Direction générale de la gestion intégrée</t>
        </is>
      </c>
      <c r="E2282" t="inlineStr">
        <is>
          <t>Marie-Claude Guérard</t>
        </is>
      </c>
      <c r="F2282" t="inlineStr">
        <is>
          <t>Attend meetings in Ottawa, in-person</t>
        </is>
      </c>
      <c r="G2282" t="inlineStr">
        <is>
          <t xml:space="preserve">Participer aux rencontres à Ottawa, en-personne </t>
        </is>
      </c>
      <c r="H2282" s="1" t="n">
        <v>45420</v>
      </c>
      <c r="I2282" s="1" t="n">
        <v>45421</v>
      </c>
      <c r="J2282" t="inlineStr">
        <is>
          <t>Ottawa (Ontario) Canada</t>
        </is>
      </c>
      <c r="K2282" t="inlineStr">
        <is>
          <t>Ottawa (Ontario) Canada</t>
        </is>
      </c>
      <c r="P2282" t="n">
        <v>0</v>
      </c>
      <c r="Q2282" t="n">
        <v>343.82</v>
      </c>
      <c r="R2282" t="n">
        <v>224.25</v>
      </c>
      <c r="S2282" t="n">
        <v>171.75</v>
      </c>
      <c r="T2282" t="n">
        <v>0</v>
      </c>
      <c r="U2282" t="n">
        <v>739.8200000000001</v>
      </c>
      <c r="X2282" t="inlineStr">
        <is>
          <t>aafc-aac</t>
        </is>
      </c>
      <c r="Y2282" t="inlineStr">
        <is>
          <t>Agriculture and Agri-Food Canada | Agriculture et Agroalimentaire Canada</t>
        </is>
      </c>
    </row>
    <row r="2283">
      <c r="A2283" t="inlineStr">
        <is>
          <t>T-2025-P02-023</t>
        </is>
      </c>
      <c r="B2283" t="inlineStr">
        <is>
          <t>SLE</t>
        </is>
      </c>
      <c r="C2283" t="inlineStr">
        <is>
          <t>Assistant Deputy Minister, Corporate Management Branch</t>
        </is>
      </c>
      <c r="D2283" t="inlineStr">
        <is>
          <t>Sous-ministre adjointe, Direction générale de la gestion intégrée</t>
        </is>
      </c>
      <c r="E2283" t="inlineStr">
        <is>
          <t>Marie-Claude Guérard</t>
        </is>
      </c>
      <c r="F2283" t="inlineStr">
        <is>
          <t>Attend meetings in Ottawa and attend the APEX Leadership Summit at the Shaw Centre</t>
        </is>
      </c>
      <c r="G2283" t="inlineStr">
        <is>
          <t>Participer au rencontre à Ottawa en-personne et participer au Sommet de leadership de l'APEX au centre Shaw</t>
        </is>
      </c>
      <c r="H2283" s="1" t="n">
        <v>45425</v>
      </c>
      <c r="I2283" s="1" t="n">
        <v>45427</v>
      </c>
      <c r="J2283" t="inlineStr">
        <is>
          <t>Ottawa (Ontario) Canada</t>
        </is>
      </c>
      <c r="K2283" t="inlineStr">
        <is>
          <t>Ottawa (Ontario) Canada</t>
        </is>
      </c>
      <c r="P2283" t="n">
        <v>0</v>
      </c>
      <c r="Q2283" t="n">
        <v>490.4</v>
      </c>
      <c r="R2283" t="n">
        <v>567.14</v>
      </c>
      <c r="S2283" t="n">
        <v>200.8</v>
      </c>
      <c r="T2283" t="n">
        <v>0</v>
      </c>
      <c r="U2283" t="n">
        <v>1258.34</v>
      </c>
      <c r="X2283" t="inlineStr">
        <is>
          <t>aafc-aac</t>
        </is>
      </c>
      <c r="Y2283" t="inlineStr">
        <is>
          <t>Agriculture and Agri-Food Canada | Agriculture et Agroalimentaire Canada</t>
        </is>
      </c>
    </row>
    <row r="2284">
      <c r="A2284" t="inlineStr">
        <is>
          <t>T-2025-P02-024</t>
        </is>
      </c>
      <c r="B2284" t="inlineStr">
        <is>
          <t>SLE</t>
        </is>
      </c>
      <c r="C2284" t="inlineStr">
        <is>
          <t>Assistant Deputy Minister, Strategic Policy Branch</t>
        </is>
      </c>
      <c r="D2284" t="inlineStr">
        <is>
          <t>Sous-ministre adjointe, Direction générale des politiques stratégiques</t>
        </is>
      </c>
      <c r="E2284" t="inlineStr">
        <is>
          <t>Shannon Nix</t>
        </is>
      </c>
      <c r="F2284" t="inlineStr">
        <is>
          <t>To attend the Executive Leadership and Development Program</t>
        </is>
      </c>
      <c r="G2284" t="inlineStr">
        <is>
          <t>Pour assister aux Programme de développement et de leadership des cadres supérieurs</t>
        </is>
      </c>
      <c r="H2284" s="1" t="n">
        <v>45401</v>
      </c>
      <c r="I2284" s="1" t="n">
        <v>45401</v>
      </c>
      <c r="J2284" t="inlineStr">
        <is>
          <t>Ottawa (Ontario) Canada</t>
        </is>
      </c>
      <c r="K2284" t="inlineStr">
        <is>
          <t>Ottawa (Ontario) Canada</t>
        </is>
      </c>
      <c r="P2284" t="n">
        <v>0</v>
      </c>
      <c r="Q2284" t="n">
        <v>23.38</v>
      </c>
      <c r="R2284" t="n">
        <v>0</v>
      </c>
      <c r="S2284" t="n">
        <v>0</v>
      </c>
      <c r="T2284" t="n">
        <v>0</v>
      </c>
      <c r="U2284" t="n">
        <v>23.38</v>
      </c>
      <c r="X2284" t="inlineStr">
        <is>
          <t>aafc-aac</t>
        </is>
      </c>
      <c r="Y2284" t="inlineStr">
        <is>
          <t>Agriculture and Agri-Food Canada | Agriculture et Agroalimentaire Canada</t>
        </is>
      </c>
    </row>
    <row r="2285">
      <c r="A2285" t="inlineStr">
        <is>
          <t>T-2025-P02-025</t>
        </is>
      </c>
      <c r="B2285" t="inlineStr">
        <is>
          <t>SLE</t>
        </is>
      </c>
      <c r="C2285" t="inlineStr">
        <is>
          <t>Assistant Deputy Minister, Strategic Policy Branch</t>
        </is>
      </c>
      <c r="D2285" t="inlineStr">
        <is>
          <t>Sous-ministre adjointe, Direction générale des politiques stratégiques</t>
        </is>
      </c>
      <c r="E2285" t="inlineStr">
        <is>
          <t>Shannon Nix</t>
        </is>
      </c>
      <c r="F2285" t="inlineStr">
        <is>
          <t xml:space="preserve">To attend various meetings downtown </t>
        </is>
      </c>
      <c r="G2285" t="inlineStr">
        <is>
          <t>Assister à diverses réunions au centre-ville</t>
        </is>
      </c>
      <c r="H2285" s="1" t="n">
        <v>45413</v>
      </c>
      <c r="I2285" s="1" t="n">
        <v>45414</v>
      </c>
      <c r="J2285" t="inlineStr">
        <is>
          <t>Ottawa (Ontario) Canada</t>
        </is>
      </c>
      <c r="K2285" t="inlineStr">
        <is>
          <t>Ottawa (Ontario) Canada</t>
        </is>
      </c>
      <c r="P2285" t="n">
        <v>0</v>
      </c>
      <c r="Q2285" t="n">
        <v>27.61</v>
      </c>
      <c r="R2285" t="n">
        <v>0</v>
      </c>
      <c r="S2285" t="n">
        <v>0</v>
      </c>
      <c r="T2285" t="n">
        <v>0</v>
      </c>
      <c r="U2285" t="n">
        <v>27.61</v>
      </c>
      <c r="X2285" t="inlineStr">
        <is>
          <t>aafc-aac</t>
        </is>
      </c>
      <c r="Y2285" t="inlineStr">
        <is>
          <t>Agriculture and Agri-Food Canada | Agriculture et Agroalimentaire Canada</t>
        </is>
      </c>
    </row>
    <row r="2286">
      <c r="A2286" t="inlineStr">
        <is>
          <t>T-2025-P02-026</t>
        </is>
      </c>
      <c r="B2286" t="inlineStr">
        <is>
          <t>SLE</t>
        </is>
      </c>
      <c r="C2286" t="inlineStr">
        <is>
          <t>Assistant Deputy Minister, Strategic Policy Branch</t>
        </is>
      </c>
      <c r="D2286" t="inlineStr">
        <is>
          <t>Sous-ministre adjointe, Direction générale des politiques stratégiques</t>
        </is>
      </c>
      <c r="E2286" t="inlineStr">
        <is>
          <t>Shannon Nix</t>
        </is>
      </c>
      <c r="F2286" t="inlineStr">
        <is>
          <t xml:space="preserve">To attend Spring Dialogue Days Conference </t>
        </is>
      </c>
      <c r="G2286" t="inlineStr">
        <is>
          <t>Assister à la conférence des Journées de dialogue du printemps</t>
        </is>
      </c>
      <c r="H2286" s="1" t="n">
        <v>45421</v>
      </c>
      <c r="I2286" s="1" t="n">
        <v>45421</v>
      </c>
      <c r="J2286" t="inlineStr">
        <is>
          <t>Ottawa (Ontario) Canada</t>
        </is>
      </c>
      <c r="K2286" t="inlineStr">
        <is>
          <t>Ottawa (Ontario) Canada</t>
        </is>
      </c>
      <c r="P2286" t="n">
        <v>0</v>
      </c>
      <c r="Q2286" t="n">
        <v>15.05</v>
      </c>
      <c r="R2286" t="n">
        <v>0</v>
      </c>
      <c r="S2286" t="n">
        <v>0</v>
      </c>
      <c r="T2286" t="n">
        <v>0</v>
      </c>
      <c r="U2286" t="n">
        <v>15.05</v>
      </c>
      <c r="X2286" t="inlineStr">
        <is>
          <t>aafc-aac</t>
        </is>
      </c>
      <c r="Y2286" t="inlineStr">
        <is>
          <t>Agriculture and Agri-Food Canada | Agriculture et Agroalimentaire Canada</t>
        </is>
      </c>
    </row>
    <row r="2287">
      <c r="A2287" t="inlineStr">
        <is>
          <t>T-2025-P02-027</t>
        </is>
      </c>
      <c r="B2287" t="inlineStr">
        <is>
          <t>SLE</t>
        </is>
      </c>
      <c r="C2287" t="inlineStr">
        <is>
          <t>Assistant Deputy Minister, Strategic Policy Branch</t>
        </is>
      </c>
      <c r="D2287" t="inlineStr">
        <is>
          <t>Sous-ministre adjointe, Direction générale des politiques stratégiques</t>
        </is>
      </c>
      <c r="E2287" t="inlineStr">
        <is>
          <t>Shannon Nix</t>
        </is>
      </c>
      <c r="F2287" t="inlineStr">
        <is>
          <t xml:space="preserve">To attend various meetings downtown </t>
        </is>
      </c>
      <c r="G2287" t="inlineStr">
        <is>
          <t>Assister à diverses réunions au centre-ville</t>
        </is>
      </c>
      <c r="H2287" s="1" t="n">
        <v>45435</v>
      </c>
      <c r="I2287" s="1" t="n">
        <v>45436</v>
      </c>
      <c r="J2287" t="inlineStr">
        <is>
          <t>Ottawa (Ontario) Canada</t>
        </is>
      </c>
      <c r="K2287" t="inlineStr">
        <is>
          <t>Ottawa (Ontario) Canada</t>
        </is>
      </c>
      <c r="P2287" t="n">
        <v>0</v>
      </c>
      <c r="Q2287" t="n">
        <v>24.82</v>
      </c>
      <c r="R2287" t="n">
        <v>0</v>
      </c>
      <c r="S2287" t="n">
        <v>0</v>
      </c>
      <c r="T2287" t="n">
        <v>0</v>
      </c>
      <c r="U2287" t="n">
        <v>24.82</v>
      </c>
      <c r="X2287" t="inlineStr">
        <is>
          <t>aafc-aac</t>
        </is>
      </c>
      <c r="Y2287" t="inlineStr">
        <is>
          <t>Agriculture and Agri-Food Canada | Agriculture et Agroalimentaire Canada</t>
        </is>
      </c>
    </row>
    <row r="2288">
      <c r="A2288" t="inlineStr">
        <is>
          <t>T-2025-P02-028</t>
        </is>
      </c>
      <c r="B2288" t="inlineStr">
        <is>
          <t>SLE</t>
        </is>
      </c>
      <c r="C2288" t="inlineStr">
        <is>
          <t>Assistant Deputy Minister, Programs Branch</t>
        </is>
      </c>
      <c r="D2288" t="inlineStr">
        <is>
          <t>Sous-ministre adjointe, Direction générale des programmes</t>
        </is>
      </c>
      <c r="E2288" t="inlineStr">
        <is>
          <t>Liz Foster</t>
        </is>
      </c>
      <c r="F2288" t="inlineStr">
        <is>
          <t>Pre-brief for Meeting with Carol McBride - Native Women's Association of Canada</t>
        </is>
      </c>
      <c r="G2288" t="inlineStr">
        <is>
          <t>Pré-breffage pour la rencontre avec Carol McBride - Association des femmes autochtones du Canada</t>
        </is>
      </c>
      <c r="H2288" s="1" t="n">
        <v>45397</v>
      </c>
      <c r="I2288" s="1" t="n">
        <v>45397</v>
      </c>
      <c r="J2288" t="inlineStr">
        <is>
          <t>Ottawa (Ontario) Canada</t>
        </is>
      </c>
      <c r="K2288" t="inlineStr">
        <is>
          <t>Ottawa (Ontario) Canada</t>
        </is>
      </c>
      <c r="P2288" t="n">
        <v>0</v>
      </c>
      <c r="Q2288" t="n">
        <v>10</v>
      </c>
      <c r="R2288" t="n">
        <v>0</v>
      </c>
      <c r="S2288" t="n">
        <v>0</v>
      </c>
      <c r="T2288" t="n">
        <v>0</v>
      </c>
      <c r="U2288" t="n">
        <v>10</v>
      </c>
      <c r="X2288" t="inlineStr">
        <is>
          <t>aafc-aac</t>
        </is>
      </c>
      <c r="Y2288" t="inlineStr">
        <is>
          <t>Agriculture and Agri-Food Canada | Agriculture et Agroalimentaire Canada</t>
        </is>
      </c>
    </row>
    <row r="2289">
      <c r="A2289" t="inlineStr">
        <is>
          <t>T-2025-P02-029</t>
        </is>
      </c>
      <c r="B2289" t="inlineStr">
        <is>
          <t>SLE</t>
        </is>
      </c>
      <c r="C2289" t="inlineStr">
        <is>
          <t>Assistant Deputy Minister, Programs Branch</t>
        </is>
      </c>
      <c r="D2289" t="inlineStr">
        <is>
          <t>Sous-ministre adjointe, Direction générale des programmes</t>
        </is>
      </c>
      <c r="E2289" t="inlineStr">
        <is>
          <t>Liz Foster</t>
        </is>
      </c>
      <c r="F2289" t="inlineStr">
        <is>
          <t>To attend Minister and Deputy Minister meeting</t>
        </is>
      </c>
      <c r="G2289" t="inlineStr">
        <is>
          <t>Participer à la rencontre du ministre et sous-ministre</t>
        </is>
      </c>
      <c r="H2289" s="1" t="n">
        <v>45393</v>
      </c>
      <c r="I2289" s="1" t="n">
        <v>45393</v>
      </c>
      <c r="J2289" t="inlineStr">
        <is>
          <t>Ottawa (Ontario) Canada</t>
        </is>
      </c>
      <c r="K2289" t="inlineStr">
        <is>
          <t>Ottawa (Ontario) Canada</t>
        </is>
      </c>
      <c r="P2289" t="n">
        <v>0</v>
      </c>
      <c r="Q2289" t="n">
        <v>10</v>
      </c>
      <c r="R2289" t="n">
        <v>0</v>
      </c>
      <c r="S2289" t="n">
        <v>0</v>
      </c>
      <c r="T2289" t="n">
        <v>0</v>
      </c>
      <c r="U2289" t="n">
        <v>10</v>
      </c>
      <c r="X2289" t="inlineStr">
        <is>
          <t>aafc-aac</t>
        </is>
      </c>
      <c r="Y2289" t="inlineStr">
        <is>
          <t>Agriculture and Agri-Food Canada | Agriculture et Agroalimentaire Canada</t>
        </is>
      </c>
    </row>
    <row r="2290">
      <c r="A2290" t="inlineStr">
        <is>
          <t>T-2025-P02-030</t>
        </is>
      </c>
      <c r="B2290" t="inlineStr">
        <is>
          <t>SLE</t>
        </is>
      </c>
      <c r="C2290" t="inlineStr">
        <is>
          <t>Assistant Deputy Minister, Market and Industry Services Branch</t>
        </is>
      </c>
      <c r="D2290" t="inlineStr">
        <is>
          <t>Sous-ministre adjoint, Direction générale des services à l'industrie et aux marchés</t>
        </is>
      </c>
      <c r="E2290" t="inlineStr">
        <is>
          <t>Tom Rosser</t>
        </is>
      </c>
      <c r="F2290" t="inlineStr">
        <is>
          <t>To provide remarks at Canadian Produce Marketing Association Convention and Trade Show and participate in regional outreach.</t>
        </is>
      </c>
      <c r="G2290" t="inlineStr">
        <is>
          <t>Prononcer des allocutions au congrès et au salon professionnel de l'Association canadienne de la distribution de fruits et légumes et participer à des activités de sensibilisation régionales.</t>
        </is>
      </c>
      <c r="H2290" s="1" t="n">
        <v>45405</v>
      </c>
      <c r="I2290" s="1" t="n">
        <v>45411</v>
      </c>
      <c r="J2290" t="inlineStr">
        <is>
          <t>Vancouver (British Columbia) Canada</t>
        </is>
      </c>
      <c r="K2290" t="inlineStr">
        <is>
          <t>Vancouver (Colombie-Britannique) Canada</t>
        </is>
      </c>
      <c r="P2290" t="n">
        <v>2106.37</v>
      </c>
      <c r="Q2290" t="n">
        <v>145.1</v>
      </c>
      <c r="R2290" t="n">
        <v>2561.97</v>
      </c>
      <c r="S2290" t="n">
        <v>341.8</v>
      </c>
      <c r="T2290" t="n">
        <v>0</v>
      </c>
      <c r="U2290" t="n">
        <v>5155.24</v>
      </c>
      <c r="X2290" t="inlineStr">
        <is>
          <t>aafc-aac</t>
        </is>
      </c>
      <c r="Y2290" t="inlineStr">
        <is>
          <t>Agriculture and Agri-Food Canada | Agriculture et Agroalimentaire Canada</t>
        </is>
      </c>
    </row>
    <row r="2291">
      <c r="A2291" t="inlineStr">
        <is>
          <t>T-2025-P02-031</t>
        </is>
      </c>
      <c r="B2291" t="inlineStr">
        <is>
          <t>SLE</t>
        </is>
      </c>
      <c r="C2291" t="inlineStr">
        <is>
          <t>Assistant Deputy Minister, Market and Industry Services Branch</t>
        </is>
      </c>
      <c r="D2291" t="inlineStr">
        <is>
          <t>Sous-ministre adjoint, Direction générale des services à l'industrie et aux marchés</t>
        </is>
      </c>
      <c r="E2291" t="inlineStr">
        <is>
          <t>Tom Rosser</t>
        </is>
      </c>
      <c r="F2291" t="inlineStr">
        <is>
          <t xml:space="preserve">To deliver remarks at the Agri-Tech Venture Forum </t>
        </is>
      </c>
      <c r="G2291" t="inlineStr">
        <is>
          <t>Prononcer des allocutions au Forum Agri-Tech</t>
        </is>
      </c>
      <c r="H2291" s="1" t="n">
        <v>45412</v>
      </c>
      <c r="I2291" s="1" t="n">
        <v>45414</v>
      </c>
      <c r="J2291" t="inlineStr">
        <is>
          <t>Toronto (Ontario) Canada</t>
        </is>
      </c>
      <c r="K2291" t="inlineStr">
        <is>
          <t>Toronto (Ontario) Canada</t>
        </is>
      </c>
      <c r="P2291" t="n">
        <v>1352.58</v>
      </c>
      <c r="Q2291" t="n">
        <v>108.45</v>
      </c>
      <c r="R2291" t="n">
        <v>692.3200000000001</v>
      </c>
      <c r="S2291" t="n">
        <v>113.75</v>
      </c>
      <c r="T2291" t="n">
        <v>0</v>
      </c>
      <c r="U2291" t="n">
        <v>2267.1</v>
      </c>
      <c r="X2291" t="inlineStr">
        <is>
          <t>aafc-aac</t>
        </is>
      </c>
      <c r="Y2291" t="inlineStr">
        <is>
          <t>Agriculture and Agri-Food Canada | Agriculture et Agroalimentaire Canada</t>
        </is>
      </c>
    </row>
    <row r="2292">
      <c r="A2292" t="inlineStr">
        <is>
          <t>T-2025-P03-001</t>
        </is>
      </c>
      <c r="B2292" t="inlineStr">
        <is>
          <t>MPSES</t>
        </is>
      </c>
      <c r="C2292" t="inlineStr">
        <is>
          <t>Chief of Staff</t>
        </is>
      </c>
      <c r="D2292" t="inlineStr">
        <is>
          <t>Chef de cabinet</t>
        </is>
      </c>
      <c r="E2292" t="inlineStr">
        <is>
          <t>Matthew Mann</t>
        </is>
      </c>
      <c r="F2292" t="inlineStr">
        <is>
          <t>Reimbursement for Passport Photo</t>
        </is>
      </c>
      <c r="G2292" t="inlineStr">
        <is>
          <t>Remboursement de la photo de passeport</t>
        </is>
      </c>
      <c r="H2292" s="1" t="n">
        <v>45446</v>
      </c>
      <c r="I2292" s="1" t="n">
        <v>45446</v>
      </c>
      <c r="J2292" t="inlineStr">
        <is>
          <t>Ottawa (Ontario) Canada</t>
        </is>
      </c>
      <c r="K2292" t="inlineStr">
        <is>
          <t>Ottawa (Ontario) Canada</t>
        </is>
      </c>
      <c r="P2292" t="n">
        <v>0</v>
      </c>
      <c r="Q2292" t="n">
        <v>0</v>
      </c>
      <c r="R2292" t="n">
        <v>0</v>
      </c>
      <c r="S2292" t="n">
        <v>0</v>
      </c>
      <c r="T2292" t="n">
        <v>40.68</v>
      </c>
      <c r="U2292" t="n">
        <v>40.68</v>
      </c>
      <c r="X2292" t="inlineStr">
        <is>
          <t>aafc-aac</t>
        </is>
      </c>
      <c r="Y2292" t="inlineStr">
        <is>
          <t>Agriculture and Agri-Food Canada | Agriculture et Agroalimentaire Canada</t>
        </is>
      </c>
    </row>
    <row r="2293">
      <c r="A2293" t="inlineStr">
        <is>
          <t>T-2025-P03-002</t>
        </is>
      </c>
      <c r="B2293" t="inlineStr">
        <is>
          <t>MPSES</t>
        </is>
      </c>
      <c r="C2293" t="inlineStr">
        <is>
          <t>Chief of Staff</t>
        </is>
      </c>
      <c r="D2293" t="inlineStr">
        <is>
          <t>Chef de cabinet</t>
        </is>
      </c>
      <c r="E2293" t="inlineStr">
        <is>
          <t>Matthew Mann</t>
        </is>
      </c>
      <c r="F2293" t="inlineStr">
        <is>
          <t>To support the Minister at a Ministerial Mission</t>
        </is>
      </c>
      <c r="G2293" t="inlineStr">
        <is>
          <t>Soutenir le ministre lors d'une mission ministérielle</t>
        </is>
      </c>
      <c r="H2293" s="1" t="n">
        <v>45448</v>
      </c>
      <c r="I2293" s="1" t="n">
        <v>45452</v>
      </c>
      <c r="J2293" t="inlineStr">
        <is>
          <t>Des Moines (Iowa) United States
Minneapolis (Minnesota) United States</t>
        </is>
      </c>
      <c r="K2293" t="inlineStr">
        <is>
          <t>Des Moines (Iowa) États-Unis
Minneapolis (Minnesota) États-Unis</t>
        </is>
      </c>
      <c r="P2293" t="n">
        <v>1325.95</v>
      </c>
      <c r="Q2293" t="n">
        <v>0</v>
      </c>
      <c r="R2293" t="n">
        <v>766.36</v>
      </c>
      <c r="S2293" t="n">
        <v>392.52</v>
      </c>
      <c r="T2293" t="n">
        <v>0</v>
      </c>
      <c r="U2293" t="n">
        <v>2484.83</v>
      </c>
      <c r="X2293" t="inlineStr">
        <is>
          <t>aafc-aac</t>
        </is>
      </c>
      <c r="Y2293" t="inlineStr">
        <is>
          <t>Agriculture and Agri-Food Canada | Agriculture et Agroalimentaire Canada</t>
        </is>
      </c>
    </row>
    <row r="2294">
      <c r="A2294" t="inlineStr">
        <is>
          <t>T-2025-P03-003</t>
        </is>
      </c>
      <c r="B2294" t="inlineStr">
        <is>
          <t>MPSES</t>
        </is>
      </c>
      <c r="C2294" t="inlineStr">
        <is>
          <t>Chief of Staff</t>
        </is>
      </c>
      <c r="D2294" t="inlineStr">
        <is>
          <t>Chef de cabinet</t>
        </is>
      </c>
      <c r="E2294" t="inlineStr">
        <is>
          <t>Matthew Mann</t>
        </is>
      </c>
      <c r="F2294" t="inlineStr">
        <is>
          <t>To support the Minister to attend meetings and announcements</t>
        </is>
      </c>
      <c r="G2294" t="inlineStr">
        <is>
          <t>Soutenir le ministre à participer aux réunions et aux annonces</t>
        </is>
      </c>
      <c r="H2294" s="1" t="n">
        <v>45456</v>
      </c>
      <c r="I2294" s="1" t="n">
        <v>45459</v>
      </c>
      <c r="J2294" t="inlineStr">
        <is>
          <t xml:space="preserve">Charlottetown (Prince Edward Island) Canada	</t>
        </is>
      </c>
      <c r="K2294" t="inlineStr">
        <is>
          <t>Charlottetown (Île-du-Prince-Édouard) Canada</t>
        </is>
      </c>
      <c r="P2294" t="n">
        <v>1489.14</v>
      </c>
      <c r="Q2294" t="n">
        <v>744.04</v>
      </c>
      <c r="R2294" t="n">
        <v>916.86</v>
      </c>
      <c r="S2294" t="n">
        <v>224.2</v>
      </c>
      <c r="T2294" t="n">
        <v>0</v>
      </c>
      <c r="U2294" t="n">
        <v>3374.24</v>
      </c>
      <c r="X2294" t="inlineStr">
        <is>
          <t>aafc-aac</t>
        </is>
      </c>
      <c r="Y2294" t="inlineStr">
        <is>
          <t>Agriculture and Agri-Food Canada | Agriculture et Agroalimentaire Canada</t>
        </is>
      </c>
    </row>
    <row r="2295">
      <c r="A2295" t="inlineStr">
        <is>
          <t>T-2025-P03-004</t>
        </is>
      </c>
      <c r="B2295" t="inlineStr">
        <is>
          <t>MPSES</t>
        </is>
      </c>
      <c r="C2295" t="inlineStr">
        <is>
          <t>Senior Special Assistant</t>
        </is>
      </c>
      <c r="D2295" t="inlineStr">
        <is>
          <t>Adjoint spécial principal</t>
        </is>
      </c>
      <c r="E2295" t="inlineStr">
        <is>
          <t>Michael Ferguson</t>
        </is>
      </c>
      <c r="F2295" t="inlineStr">
        <is>
          <t>To support the Minister to attend meetings and announcements</t>
        </is>
      </c>
      <c r="G2295" t="inlineStr">
        <is>
          <t>Soutenir le ministre à participer aux réunions et aux annonces</t>
        </is>
      </c>
      <c r="H2295" s="1" t="n">
        <v>45426</v>
      </c>
      <c r="I2295" s="1" t="n">
        <v>45432</v>
      </c>
      <c r="J2295" t="inlineStr">
        <is>
          <t>Halifax (Nova Scotia) Canada
Charlottetown (Prince Edward Island) Canada</t>
        </is>
      </c>
      <c r="K2295" t="inlineStr">
        <is>
          <t>Halifax (Nouvelle-Écosse) Canada
Charlottetown (Île-du-Prince-Édouard) Canada</t>
        </is>
      </c>
      <c r="P2295" t="n">
        <v>1154.77</v>
      </c>
      <c r="Q2295" t="n">
        <v>636.83</v>
      </c>
      <c r="R2295" t="n">
        <v>688.5700000000001</v>
      </c>
      <c r="S2295" t="n">
        <v>285.75</v>
      </c>
      <c r="T2295" t="n">
        <v>0</v>
      </c>
      <c r="U2295" t="n">
        <v>2765.92</v>
      </c>
      <c r="X2295" t="inlineStr">
        <is>
          <t>aafc-aac</t>
        </is>
      </c>
      <c r="Y2295" t="inlineStr">
        <is>
          <t>Agriculture and Agri-Food Canada | Agriculture et Agroalimentaire Canada</t>
        </is>
      </c>
    </row>
    <row r="2296">
      <c r="A2296" t="inlineStr">
        <is>
          <t>T-2025-P03-005</t>
        </is>
      </c>
      <c r="B2296" t="inlineStr">
        <is>
          <t>MPSES</t>
        </is>
      </c>
      <c r="C2296" t="inlineStr">
        <is>
          <t>Director of Operations</t>
        </is>
      </c>
      <c r="D2296" t="inlineStr">
        <is>
          <t>Directrice des opérations</t>
        </is>
      </c>
      <c r="E2296" t="inlineStr">
        <is>
          <t>Maria Morley</t>
        </is>
      </c>
      <c r="F2296" t="inlineStr">
        <is>
          <t>To support the Minister at a Ministerial Mission</t>
        </is>
      </c>
      <c r="G2296" t="inlineStr">
        <is>
          <t>Soutenir le ministre lors d'une mission ministérielle</t>
        </is>
      </c>
      <c r="H2296" s="1" t="n">
        <v>45448</v>
      </c>
      <c r="I2296" s="1" t="n">
        <v>45452</v>
      </c>
      <c r="J2296" t="inlineStr">
        <is>
          <t>Des Moines (Iowa) United States
Minneapolis (Minnesota) United States</t>
        </is>
      </c>
      <c r="K2296" t="inlineStr">
        <is>
          <t>Des Moines (Iowa) États-Unis
Minneapolis (Minnesota) États-Unis</t>
        </is>
      </c>
      <c r="P2296" t="n">
        <v>1325.95</v>
      </c>
      <c r="Q2296" t="n">
        <v>48</v>
      </c>
      <c r="R2296" t="n">
        <v>767.83</v>
      </c>
      <c r="S2296" t="n">
        <v>395.49</v>
      </c>
      <c r="T2296" t="n">
        <v>0</v>
      </c>
      <c r="U2296" t="n">
        <v>2537.27</v>
      </c>
      <c r="X2296" t="inlineStr">
        <is>
          <t>aafc-aac</t>
        </is>
      </c>
      <c r="Y2296" t="inlineStr">
        <is>
          <t>Agriculture and Agri-Food Canada | Agriculture et Agroalimentaire Canada</t>
        </is>
      </c>
    </row>
    <row r="2297">
      <c r="A2297" t="inlineStr">
        <is>
          <t>T-2025-P03-006</t>
        </is>
      </c>
      <c r="B2297" t="inlineStr">
        <is>
          <t>MPSES</t>
        </is>
      </c>
      <c r="C2297" t="inlineStr">
        <is>
          <t>Director of Operations</t>
        </is>
      </c>
      <c r="D2297" t="inlineStr">
        <is>
          <t>Directrice des opérations</t>
        </is>
      </c>
      <c r="E2297" t="inlineStr">
        <is>
          <t>Maria Morley</t>
        </is>
      </c>
      <c r="F2297" t="inlineStr">
        <is>
          <t>To support the Minister to attend meetings and announcements</t>
        </is>
      </c>
      <c r="G2297" t="inlineStr">
        <is>
          <t>Soutenir le ministre à participer aux réunions et aux annonces</t>
        </is>
      </c>
      <c r="H2297" s="1" t="n">
        <v>45456</v>
      </c>
      <c r="I2297" s="1" t="n">
        <v>45458</v>
      </c>
      <c r="J2297" t="inlineStr">
        <is>
          <t xml:space="preserve">Charlottetown (Prince Edward Island) Canada	</t>
        </is>
      </c>
      <c r="K2297" t="inlineStr">
        <is>
          <t>Charlottetown (Île-du-Prince-Édouard) Canada</t>
        </is>
      </c>
      <c r="P2297" t="n">
        <v>1736.09</v>
      </c>
      <c r="Q2297" t="n">
        <v>94.55</v>
      </c>
      <c r="R2297" t="n">
        <v>587.64</v>
      </c>
      <c r="S2297" t="n">
        <v>235.95</v>
      </c>
      <c r="T2297" t="n">
        <v>0</v>
      </c>
      <c r="U2297" t="n">
        <v>2654.23</v>
      </c>
      <c r="X2297" t="inlineStr">
        <is>
          <t>aafc-aac</t>
        </is>
      </c>
      <c r="Y2297" t="inlineStr">
        <is>
          <t>Agriculture and Agri-Food Canada | Agriculture et Agroalimentaire Canada</t>
        </is>
      </c>
    </row>
    <row r="2298">
      <c r="A2298" t="inlineStr">
        <is>
          <t>T-2025-P03-007</t>
        </is>
      </c>
      <c r="B2298" t="inlineStr">
        <is>
          <t>SLE</t>
        </is>
      </c>
      <c r="C2298" t="inlineStr">
        <is>
          <t>Corporate Secretary</t>
        </is>
      </c>
      <c r="D2298" t="inlineStr">
        <is>
          <t>Secrétaire générale</t>
        </is>
      </c>
      <c r="E2298" t="inlineStr">
        <is>
          <t>Tamara Abel</t>
        </is>
      </c>
      <c r="F2298" t="inlineStr">
        <is>
          <t>Operational activities</t>
        </is>
      </c>
      <c r="G2298" t="inlineStr">
        <is>
          <t>Activités opérationnelles</t>
        </is>
      </c>
      <c r="H2298" s="1" t="n">
        <v>45445</v>
      </c>
      <c r="I2298" s="1" t="n">
        <v>45447</v>
      </c>
      <c r="J2298" t="inlineStr">
        <is>
          <t>Ottawa (Ontario) Canada</t>
        </is>
      </c>
      <c r="K2298" t="inlineStr">
        <is>
          <t>Ottawa (Ontario) Canada</t>
        </is>
      </c>
      <c r="P2298" t="n">
        <v>897.11</v>
      </c>
      <c r="Q2298" t="n">
        <v>225.29</v>
      </c>
      <c r="R2298" t="n">
        <v>676.3099999999999</v>
      </c>
      <c r="S2298" t="n">
        <v>380.15</v>
      </c>
      <c r="T2298" t="n">
        <v>0</v>
      </c>
      <c r="U2298" t="n">
        <v>2178.86</v>
      </c>
      <c r="X2298" t="inlineStr">
        <is>
          <t>aafc-aac</t>
        </is>
      </c>
      <c r="Y2298" t="inlineStr">
        <is>
          <t>Agriculture and Agri-Food Canada | Agriculture et Agroalimentaire Canada</t>
        </is>
      </c>
    </row>
    <row r="2299">
      <c r="A2299" t="inlineStr">
        <is>
          <t>T-2025-P03-008</t>
        </is>
      </c>
      <c r="B2299" t="inlineStr">
        <is>
          <t>SLE</t>
        </is>
      </c>
      <c r="C2299" t="inlineStr">
        <is>
          <t>Corporate Secretary</t>
        </is>
      </c>
      <c r="D2299" t="inlineStr">
        <is>
          <t>Secrétaire générale</t>
        </is>
      </c>
      <c r="E2299" t="inlineStr">
        <is>
          <t>Tamara Abel</t>
        </is>
      </c>
      <c r="F2299" t="inlineStr">
        <is>
          <t>Operational activities</t>
        </is>
      </c>
      <c r="G2299" t="inlineStr">
        <is>
          <t>Activités opérationnelles</t>
        </is>
      </c>
      <c r="H2299" s="1" t="n">
        <v>45460</v>
      </c>
      <c r="I2299" s="1" t="n">
        <v>45463</v>
      </c>
      <c r="J2299" t="inlineStr">
        <is>
          <t>Ottawa (Ontario) Canada</t>
        </is>
      </c>
      <c r="K2299" t="inlineStr">
        <is>
          <t>Ottawa (Ontario) Canada</t>
        </is>
      </c>
      <c r="P2299" t="n">
        <v>1589.3</v>
      </c>
      <c r="Q2299" t="n">
        <v>382.59</v>
      </c>
      <c r="R2299" t="n">
        <v>943.26</v>
      </c>
      <c r="S2299" t="n">
        <v>466.9</v>
      </c>
      <c r="T2299" t="n">
        <v>0</v>
      </c>
      <c r="U2299" t="n">
        <v>3382.05</v>
      </c>
      <c r="X2299" t="inlineStr">
        <is>
          <t>aafc-aac</t>
        </is>
      </c>
      <c r="Y2299" t="inlineStr">
        <is>
          <t>Agriculture and Agri-Food Canada | Agriculture et Agroalimentaire Canada</t>
        </is>
      </c>
    </row>
    <row r="2300">
      <c r="A2300" t="inlineStr">
        <is>
          <t>T-2025-P03-009</t>
        </is>
      </c>
      <c r="B2300" t="inlineStr">
        <is>
          <t>SLE</t>
        </is>
      </c>
      <c r="C2300" t="inlineStr">
        <is>
          <t>Workplace Well-Being Ombudsperson</t>
        </is>
      </c>
      <c r="D2300" t="inlineStr">
        <is>
          <t>Ombudsman du mieux-être en milieu de travail</t>
        </is>
      </c>
      <c r="E2300" t="inlineStr">
        <is>
          <t xml:space="preserve">Elianne Hall </t>
        </is>
      </c>
      <c r="F2300" t="inlineStr">
        <is>
          <t>To attend an Outreach</t>
        </is>
      </c>
      <c r="G2300" t="inlineStr">
        <is>
          <t>Participer à une action de sensibilisation</t>
        </is>
      </c>
      <c r="H2300" s="1" t="n">
        <v>45439</v>
      </c>
      <c r="I2300" s="1" t="n">
        <v>45443</v>
      </c>
      <c r="J2300" t="inlineStr">
        <is>
          <t>St-Jean-sur-Richelieu (Quebec) Canada
Saint-Hyacinthe (Quebec) Canada
Sherbrooke (Quebec) Canada</t>
        </is>
      </c>
      <c r="K2300" t="inlineStr">
        <is>
          <t>St-Jean-sur-Richelieu (Québec) Canada
Saint-Hyacinthe (Québec) Canada
Sherbrooke (Québec) Canada</t>
        </is>
      </c>
      <c r="P2300" t="n">
        <v>0</v>
      </c>
      <c r="Q2300" t="n">
        <v>458.04</v>
      </c>
      <c r="R2300" t="n">
        <v>940.0700000000001</v>
      </c>
      <c r="S2300" t="n">
        <v>509.7</v>
      </c>
      <c r="T2300" t="n">
        <v>0</v>
      </c>
      <c r="U2300" t="n">
        <v>1907.81</v>
      </c>
      <c r="X2300" t="inlineStr">
        <is>
          <t>aafc-aac</t>
        </is>
      </c>
      <c r="Y2300" t="inlineStr">
        <is>
          <t>Agriculture and Agri-Food Canada | Agriculture et Agroalimentaire Canada</t>
        </is>
      </c>
    </row>
    <row r="2301">
      <c r="A2301" t="inlineStr">
        <is>
          <t>T-2025-P03-010</t>
        </is>
      </c>
      <c r="B2301" t="inlineStr">
        <is>
          <t>SLE</t>
        </is>
      </c>
      <c r="C2301" t="inlineStr">
        <is>
          <t>Assistant Deputy Minister, Science and Technology Branch</t>
        </is>
      </c>
      <c r="D2301" t="inlineStr">
        <is>
          <t>Sous-ministre adjoint, Direction générale des sciences et de la technologie</t>
        </is>
      </c>
      <c r="E2301" t="inlineStr">
        <is>
          <t>Gilles Saindon</t>
        </is>
      </c>
      <c r="F2301" t="inlineStr">
        <is>
          <t>To attend the Annual Tetrapartite Meeting of Agriculture Chief Scientists and Heads of Agriculture Research from Canada, France, United Kingdom and United State</t>
        </is>
      </c>
      <c r="G2301" t="inlineStr">
        <is>
          <t>Participer à la réunion annuelle Tétrapartite des scientifiques en chef de l'agriculture et des responsables de la recherche agricole du Canada, de la France, du Royaume-Uni et des États-Unis.</t>
        </is>
      </c>
      <c r="H2301" s="1" t="n">
        <v>45444</v>
      </c>
      <c r="I2301" s="1" t="n">
        <v>45449</v>
      </c>
      <c r="J2301" t="inlineStr">
        <is>
          <t>New Orleans (Louisiana) United States</t>
        </is>
      </c>
      <c r="K2301" t="inlineStr">
        <is>
          <t>La Nouvelle-Orléans (Louisiane) États-Unis</t>
        </is>
      </c>
      <c r="P2301" t="n">
        <v>2023.71</v>
      </c>
      <c r="Q2301" t="n">
        <v>175</v>
      </c>
      <c r="R2301" t="n">
        <v>1157.56</v>
      </c>
      <c r="S2301" t="n">
        <v>628.98</v>
      </c>
      <c r="T2301" t="n">
        <v>0</v>
      </c>
      <c r="U2301" t="n">
        <v>3985.25</v>
      </c>
      <c r="X2301" t="inlineStr">
        <is>
          <t>aafc-aac</t>
        </is>
      </c>
      <c r="Y2301" t="inlineStr">
        <is>
          <t>Agriculture and Agri-Food Canada | Agriculture et Agroalimentaire Canada</t>
        </is>
      </c>
    </row>
    <row r="2302">
      <c r="A2302" t="inlineStr">
        <is>
          <t>T-2025-P03-011</t>
        </is>
      </c>
      <c r="B2302" t="inlineStr">
        <is>
          <t>SLE</t>
        </is>
      </c>
      <c r="C2302" t="inlineStr">
        <is>
          <t>Assistant Deputy Minister, Corporate Management Branch</t>
        </is>
      </c>
      <c r="D2302" t="inlineStr">
        <is>
          <t>Sous-ministre adjointe, Direction générale de la gestion intégrée</t>
        </is>
      </c>
      <c r="E2302" t="inlineStr">
        <is>
          <t>Marie-Claude Guérard</t>
        </is>
      </c>
      <c r="F2302" t="inlineStr">
        <is>
          <t>To attend outreach in Saskatchewan: visit Research Centres in Saskatoon, Swift Current and Regina</t>
        </is>
      </c>
      <c r="G2302" t="inlineStr">
        <is>
          <t>Participer à des visites au Saskatchewan:  Visite aux centres de recherches à Saskatoon, Swift Current et Regina.</t>
        </is>
      </c>
      <c r="H2302" s="1" t="n">
        <v>45438</v>
      </c>
      <c r="I2302" s="1" t="n">
        <v>45443</v>
      </c>
      <c r="J2302" t="inlineStr">
        <is>
          <t>Saskatoon (Saskatchewan) Canada 
Swift Current (Saskatchewan) Canada
Regina (Saskatchewan) Canada</t>
        </is>
      </c>
      <c r="K2302" t="inlineStr">
        <is>
          <t>Saskatoon (Saskatchewan) Canada 
Swift Current (Saskatchewan) Canada
Regina (Saskatchewan) Canada</t>
        </is>
      </c>
      <c r="P2302" t="n">
        <v>850.76</v>
      </c>
      <c r="Q2302" t="n">
        <v>109.89</v>
      </c>
      <c r="R2302" t="n">
        <v>1088.37</v>
      </c>
      <c r="S2302" t="n">
        <v>700.5</v>
      </c>
      <c r="T2302" t="n">
        <v>0</v>
      </c>
      <c r="U2302" t="n">
        <v>2749.52</v>
      </c>
      <c r="X2302" t="inlineStr">
        <is>
          <t>aafc-aac</t>
        </is>
      </c>
      <c r="Y2302" t="inlineStr">
        <is>
          <t>Agriculture and Agri-Food Canada | Agriculture et Agroalimentaire Canada</t>
        </is>
      </c>
    </row>
    <row r="2303">
      <c r="A2303" t="inlineStr">
        <is>
          <t>T-2025-P03-012</t>
        </is>
      </c>
      <c r="B2303" t="inlineStr">
        <is>
          <t>SLE</t>
        </is>
      </c>
      <c r="C2303" t="inlineStr">
        <is>
          <t>Assistant Deputy Minister, Corporate Management Branch</t>
        </is>
      </c>
      <c r="D2303" t="inlineStr">
        <is>
          <t>Sous-ministre adjointe, Direction générale de la gestion intégrée</t>
        </is>
      </c>
      <c r="E2303" t="inlineStr">
        <is>
          <t>Marie-Claude Guérard</t>
        </is>
      </c>
      <c r="F2303" t="inlineStr">
        <is>
          <t>Operational activities</t>
        </is>
      </c>
      <c r="G2303" t="inlineStr">
        <is>
          <t>Activités operationnelles</t>
        </is>
      </c>
      <c r="H2303" s="1" t="n">
        <v>45446</v>
      </c>
      <c r="I2303" s="1" t="n">
        <v>45447</v>
      </c>
      <c r="J2303" t="inlineStr">
        <is>
          <t>Ottawa (Ontario) Canada</t>
        </is>
      </c>
      <c r="K2303" t="inlineStr">
        <is>
          <t>Ottawa (Ontario) Canada</t>
        </is>
      </c>
      <c r="P2303" t="n">
        <v>0</v>
      </c>
      <c r="Q2303" t="n">
        <v>612.71</v>
      </c>
      <c r="R2303" t="n">
        <v>325.39</v>
      </c>
      <c r="S2303" t="n">
        <v>171.75</v>
      </c>
      <c r="T2303" t="n">
        <v>0</v>
      </c>
      <c r="U2303" t="n">
        <v>1109.85</v>
      </c>
      <c r="X2303" t="inlineStr">
        <is>
          <t>aafc-aac</t>
        </is>
      </c>
      <c r="Y2303" t="inlineStr">
        <is>
          <t>Agriculture and Agri-Food Canada | Agriculture et Agroalimentaire Canada</t>
        </is>
      </c>
    </row>
    <row r="2304">
      <c r="A2304" t="inlineStr">
        <is>
          <t>T-2025-P03-013</t>
        </is>
      </c>
      <c r="B2304" t="inlineStr">
        <is>
          <t>SLE</t>
        </is>
      </c>
      <c r="C2304" t="inlineStr">
        <is>
          <t>Assistant Deputy Minister, Corporate Management Branch</t>
        </is>
      </c>
      <c r="D2304" t="inlineStr">
        <is>
          <t>Sous-ministre adjointe, Direction générale de la gestion intégrée</t>
        </is>
      </c>
      <c r="E2304" t="inlineStr">
        <is>
          <t>Marie-Claude Guérard</t>
        </is>
      </c>
      <c r="F2304" t="inlineStr">
        <is>
          <t>Operational activities</t>
        </is>
      </c>
      <c r="G2304" t="inlineStr">
        <is>
          <t>Activités operationnelles</t>
        </is>
      </c>
      <c r="H2304" s="1" t="n">
        <v>45450</v>
      </c>
      <c r="I2304" s="1" t="n">
        <v>45450</v>
      </c>
      <c r="J2304" t="inlineStr">
        <is>
          <t>Ottawa (Ontario) Canada</t>
        </is>
      </c>
      <c r="K2304" t="inlineStr">
        <is>
          <t>Ottawa (Ontario) Canada</t>
        </is>
      </c>
      <c r="P2304" t="n">
        <v>0</v>
      </c>
      <c r="Q2304" t="n">
        <v>478.95</v>
      </c>
      <c r="R2304" t="n">
        <v>0</v>
      </c>
      <c r="S2304" t="n">
        <v>111.95</v>
      </c>
      <c r="T2304" t="n">
        <v>0</v>
      </c>
      <c r="U2304" t="n">
        <v>590.9</v>
      </c>
      <c r="X2304" t="inlineStr">
        <is>
          <t>aafc-aac</t>
        </is>
      </c>
      <c r="Y2304" t="inlineStr">
        <is>
          <t>Agriculture and Agri-Food Canada | Agriculture et Agroalimentaire Canada</t>
        </is>
      </c>
    </row>
    <row r="2305">
      <c r="A2305" t="inlineStr">
        <is>
          <t>T-2025-P03-014</t>
        </is>
      </c>
      <c r="B2305" t="inlineStr">
        <is>
          <t>SLE</t>
        </is>
      </c>
      <c r="C2305" t="inlineStr">
        <is>
          <t>Assistant Deputy Minister, Corporate Management Branch</t>
        </is>
      </c>
      <c r="D2305" t="inlineStr">
        <is>
          <t>Sous-ministre adjointe, Direction générale de la gestion intégrée</t>
        </is>
      </c>
      <c r="E2305" t="inlineStr">
        <is>
          <t>Marie-Claude Guérard</t>
        </is>
      </c>
      <c r="F2305" t="inlineStr">
        <is>
          <t>Operational activities</t>
        </is>
      </c>
      <c r="G2305" t="inlineStr">
        <is>
          <t>Activités operationnelles</t>
        </is>
      </c>
      <c r="H2305" s="1" t="n">
        <v>45453</v>
      </c>
      <c r="I2305" s="1" t="n">
        <v>45453</v>
      </c>
      <c r="J2305" t="inlineStr">
        <is>
          <t>Ottawa (Ontario) Canada</t>
        </is>
      </c>
      <c r="K2305" t="inlineStr">
        <is>
          <t>Ottawa (Ontario) Canada</t>
        </is>
      </c>
      <c r="P2305" t="n">
        <v>0</v>
      </c>
      <c r="Q2305" t="n">
        <v>286.45</v>
      </c>
      <c r="R2305" t="n">
        <v>0</v>
      </c>
      <c r="S2305" t="n">
        <v>111.95</v>
      </c>
      <c r="T2305" t="n">
        <v>0</v>
      </c>
      <c r="U2305" t="n">
        <v>398.4</v>
      </c>
      <c r="X2305" t="inlineStr">
        <is>
          <t>aafc-aac</t>
        </is>
      </c>
      <c r="Y2305" t="inlineStr">
        <is>
          <t>Agriculture and Agri-Food Canada | Agriculture et Agroalimentaire Canada</t>
        </is>
      </c>
    </row>
    <row r="2306">
      <c r="A2306" t="inlineStr">
        <is>
          <t>T-2025-P03-015</t>
        </is>
      </c>
      <c r="B2306" t="inlineStr">
        <is>
          <t>SLE</t>
        </is>
      </c>
      <c r="C2306" t="inlineStr">
        <is>
          <t>Assistant Deputy Minister, Corporate Management Branch</t>
        </is>
      </c>
      <c r="D2306" t="inlineStr">
        <is>
          <t>Sous-ministre adjointe, Direction générale de la gestion intégrée</t>
        </is>
      </c>
      <c r="E2306" t="inlineStr">
        <is>
          <t>Marie-Claude Guérard</t>
        </is>
      </c>
      <c r="F2306" t="inlineStr">
        <is>
          <t>Operational activities</t>
        </is>
      </c>
      <c r="G2306" t="inlineStr">
        <is>
          <t>Activités operationnelles</t>
        </is>
      </c>
      <c r="H2306" s="1" t="n">
        <v>45456</v>
      </c>
      <c r="I2306" s="1" t="n">
        <v>45456</v>
      </c>
      <c r="J2306" t="inlineStr">
        <is>
          <t>Ottawa (Ontario) Canada</t>
        </is>
      </c>
      <c r="K2306" t="inlineStr">
        <is>
          <t>Ottawa (Ontario) Canada</t>
        </is>
      </c>
      <c r="P2306" t="n">
        <v>0</v>
      </c>
      <c r="Q2306" t="n">
        <v>390.39</v>
      </c>
      <c r="R2306" t="n">
        <v>0</v>
      </c>
      <c r="S2306" t="n">
        <v>25.2</v>
      </c>
      <c r="T2306" t="n">
        <v>0</v>
      </c>
      <c r="U2306" t="n">
        <v>415.59</v>
      </c>
      <c r="X2306" t="inlineStr">
        <is>
          <t>aafc-aac</t>
        </is>
      </c>
      <c r="Y2306" t="inlineStr">
        <is>
          <t>Agriculture and Agri-Food Canada | Agriculture et Agroalimentaire Canada</t>
        </is>
      </c>
    </row>
    <row r="2307">
      <c r="A2307" t="inlineStr">
        <is>
          <t>T-2025-P03-016</t>
        </is>
      </c>
      <c r="B2307" t="inlineStr">
        <is>
          <t>SLE</t>
        </is>
      </c>
      <c r="C2307" t="inlineStr">
        <is>
          <t>Assistant Deputy Minister, Strategic Policy Branch</t>
        </is>
      </c>
      <c r="D2307" t="inlineStr">
        <is>
          <t>Sous-ministre adjointe, Direction générale des politiques stratégiques</t>
        </is>
      </c>
      <c r="E2307" t="inlineStr">
        <is>
          <t>Shannon Nix</t>
        </is>
      </c>
      <c r="F2307" t="inlineStr">
        <is>
          <t xml:space="preserve">To attend Executive Leadership Development Program in Washington </t>
        </is>
      </c>
      <c r="G2307" t="inlineStr">
        <is>
          <t>Assister au Programme de développement en leadership pour les cadres supérieurs à Washington</t>
        </is>
      </c>
      <c r="H2307" s="1" t="n">
        <v>45440</v>
      </c>
      <c r="I2307" s="1" t="n">
        <v>45443</v>
      </c>
      <c r="J2307" t="inlineStr">
        <is>
          <t xml:space="preserve">Washington (District of Columbia) United States </t>
        </is>
      </c>
      <c r="K2307" t="inlineStr">
        <is>
          <t>Washington (District de Columbia) États-Unis</t>
        </is>
      </c>
      <c r="P2307" t="n">
        <v>780.64</v>
      </c>
      <c r="Q2307" t="n">
        <v>54.44</v>
      </c>
      <c r="R2307" t="n">
        <v>1513.57</v>
      </c>
      <c r="S2307" t="n">
        <v>586.71</v>
      </c>
      <c r="T2307" t="n">
        <v>0</v>
      </c>
      <c r="U2307" t="n">
        <v>2935.36</v>
      </c>
      <c r="X2307" t="inlineStr">
        <is>
          <t>aafc-aac</t>
        </is>
      </c>
      <c r="Y2307" t="inlineStr">
        <is>
          <t>Agriculture and Agri-Food Canada | Agriculture et Agroalimentaire Canada</t>
        </is>
      </c>
    </row>
    <row r="2308">
      <c r="A2308" t="inlineStr">
        <is>
          <t>T-2025-P03-017</t>
        </is>
      </c>
      <c r="B2308" t="inlineStr">
        <is>
          <t>SLE</t>
        </is>
      </c>
      <c r="C2308" t="inlineStr">
        <is>
          <t>Assistant Deputy Minister, Programs Branch</t>
        </is>
      </c>
      <c r="D2308" t="inlineStr">
        <is>
          <t>Sous-ministre adjointe, Direction générale des programmes</t>
        </is>
      </c>
      <c r="E2308" t="inlineStr">
        <is>
          <t>Liz Foster</t>
        </is>
      </c>
      <c r="F2308" t="inlineStr">
        <is>
          <t>To attend APEX 2024 Leadership Summit</t>
        </is>
      </c>
      <c r="G2308" t="inlineStr">
        <is>
          <t>Participer au Sommet du Leadership APEX 2024</t>
        </is>
      </c>
      <c r="H2308" s="1" t="n">
        <v>45426</v>
      </c>
      <c r="I2308" s="1" t="n">
        <v>45427</v>
      </c>
      <c r="J2308" t="inlineStr">
        <is>
          <t>Ottawa (Ontario) Canada</t>
        </is>
      </c>
      <c r="K2308" t="inlineStr">
        <is>
          <t>Ottawa (Ontario) Canada</t>
        </is>
      </c>
      <c r="P2308" t="n">
        <v>0</v>
      </c>
      <c r="Q2308" t="n">
        <v>40</v>
      </c>
      <c r="R2308" t="n">
        <v>0</v>
      </c>
      <c r="S2308" t="n">
        <v>0</v>
      </c>
      <c r="T2308" t="n">
        <v>0</v>
      </c>
      <c r="U2308" t="n">
        <v>40</v>
      </c>
      <c r="X2308" t="inlineStr">
        <is>
          <t>aafc-aac</t>
        </is>
      </c>
      <c r="Y2308" t="inlineStr">
        <is>
          <t>Agriculture and Agri-Food Canada | Agriculture et Agroalimentaire Canada</t>
        </is>
      </c>
    </row>
    <row r="2309">
      <c r="A2309" t="inlineStr">
        <is>
          <t>T-2025-P03-018</t>
        </is>
      </c>
      <c r="B2309" t="inlineStr">
        <is>
          <t>SLE</t>
        </is>
      </c>
      <c r="C2309" t="inlineStr">
        <is>
          <t>Assistant Deputy Minister, Programs Branch</t>
        </is>
      </c>
      <c r="D2309" t="inlineStr">
        <is>
          <t>Sous-ministre adjointe, Direction générale des programmes</t>
        </is>
      </c>
      <c r="E2309" t="inlineStr">
        <is>
          <t>Liz Foster</t>
        </is>
      </c>
      <c r="F2309" t="inlineStr">
        <is>
          <t>To attend the Artificial Intelligence Technology, Governance, and Strategy program</t>
        </is>
      </c>
      <c r="G2309" t="inlineStr">
        <is>
          <t>Participer au programme sur la technologie, gouvernance et stratégie sur l'Intelligence artificielle</t>
        </is>
      </c>
      <c r="H2309" s="1" t="n">
        <v>45440</v>
      </c>
      <c r="I2309" s="1" t="n">
        <v>45440</v>
      </c>
      <c r="J2309" t="inlineStr">
        <is>
          <t>Ottawa (Ontario) Canada</t>
        </is>
      </c>
      <c r="K2309" t="inlineStr">
        <is>
          <t>Ottawa (Ontario) Canada</t>
        </is>
      </c>
      <c r="P2309" t="n">
        <v>0</v>
      </c>
      <c r="Q2309" t="n">
        <v>20</v>
      </c>
      <c r="R2309" t="n">
        <v>0</v>
      </c>
      <c r="S2309" t="n">
        <v>0</v>
      </c>
      <c r="T2309" t="n">
        <v>0</v>
      </c>
      <c r="U2309" t="n">
        <v>20</v>
      </c>
      <c r="X2309" t="inlineStr">
        <is>
          <t>aafc-aac</t>
        </is>
      </c>
      <c r="Y2309" t="inlineStr">
        <is>
          <t>Agriculture and Agri-Food Canada | Agriculture et Agroalimentaire Canada</t>
        </is>
      </c>
    </row>
    <row r="2310">
      <c r="A2310" t="inlineStr">
        <is>
          <t>T-2025-P03-019</t>
        </is>
      </c>
      <c r="B2310" t="inlineStr">
        <is>
          <t>SLE</t>
        </is>
      </c>
      <c r="C2310" t="inlineStr">
        <is>
          <t>Assistant Deputy Minister, Market and Industry Services Branch</t>
        </is>
      </c>
      <c r="D2310" t="inlineStr">
        <is>
          <t>Sous-ministre adjoint, Direction générale des services à l'industrie et aux marchés</t>
        </is>
      </c>
      <c r="E2310" t="inlineStr">
        <is>
          <t>Tom Rosser</t>
        </is>
      </c>
      <c r="F2310" t="inlineStr">
        <is>
          <t>To attend a regional outreach</t>
        </is>
      </c>
      <c r="G2310" t="inlineStr">
        <is>
          <t>Participer à des activités de sensibilisation régionales</t>
        </is>
      </c>
      <c r="H2310" s="1" t="n">
        <v>45438</v>
      </c>
      <c r="I2310" s="1" t="n">
        <v>45443</v>
      </c>
      <c r="J2310" t="inlineStr">
        <is>
          <t>Regina (Saskatchewan) Canada
Winnipeg (Manitoba) Canada</t>
        </is>
      </c>
      <c r="K2310" t="inlineStr">
        <is>
          <t>Regina (Saskatchewan) Canada
Winnipeg (Manitoba) Canada</t>
        </is>
      </c>
      <c r="P2310" t="n">
        <v>1724.5</v>
      </c>
      <c r="Q2310" t="n">
        <v>169</v>
      </c>
      <c r="R2310" t="n">
        <v>971.3200000000001</v>
      </c>
      <c r="S2310" t="n">
        <v>663.55</v>
      </c>
      <c r="T2310" t="n">
        <v>0</v>
      </c>
      <c r="U2310" t="n">
        <v>3528.37</v>
      </c>
      <c r="X2310" t="inlineStr">
        <is>
          <t>aafc-aac</t>
        </is>
      </c>
      <c r="Y2310" t="inlineStr">
        <is>
          <t>Agriculture and Agri-Food Canada | Agriculture et Agroalimentaire Canada</t>
        </is>
      </c>
    </row>
    <row r="2311">
      <c r="A2311" t="inlineStr">
        <is>
          <t>T-2025-P03-020</t>
        </is>
      </c>
      <c r="B2311" t="inlineStr">
        <is>
          <t>SLE</t>
        </is>
      </c>
      <c r="C2311" t="inlineStr">
        <is>
          <t>Assistant Deputy Minister, Market and Industry Services Branch</t>
        </is>
      </c>
      <c r="D2311" t="inlineStr">
        <is>
          <t>Sous-ministre adjoint, Direction générale des services à l'industrie et aux marchés</t>
        </is>
      </c>
      <c r="E2311" t="inlineStr">
        <is>
          <t>Tom Rosser</t>
        </is>
      </c>
      <c r="F2311" t="inlineStr">
        <is>
          <t>To participate in the Bioenterprise roundtable</t>
        </is>
      </c>
      <c r="G2311" t="inlineStr">
        <is>
          <t>Participer à la table ronde de Bioentreprise</t>
        </is>
      </c>
      <c r="H2311" s="1" t="n">
        <v>45452</v>
      </c>
      <c r="I2311" s="1" t="n">
        <v>45453</v>
      </c>
      <c r="J2311" t="inlineStr">
        <is>
          <t>L'assomption (Quebec) Canada</t>
        </is>
      </c>
      <c r="K2311" t="inlineStr">
        <is>
          <t>L'Assomption (Québec) Canada</t>
        </is>
      </c>
      <c r="P2311" t="n">
        <v>0</v>
      </c>
      <c r="Q2311" t="n">
        <v>257.07</v>
      </c>
      <c r="R2311" t="n">
        <v>357</v>
      </c>
      <c r="S2311" t="n">
        <v>96.45</v>
      </c>
      <c r="T2311" t="n">
        <v>0</v>
      </c>
      <c r="U2311" t="n">
        <v>710.52</v>
      </c>
      <c r="X2311" t="inlineStr">
        <is>
          <t>aafc-aac</t>
        </is>
      </c>
      <c r="Y2311" t="inlineStr">
        <is>
          <t>Agriculture and Agri-Food Canada | Agriculture et Agroalimentaire Canada</t>
        </is>
      </c>
    </row>
    <row r="2312">
      <c r="A2312" t="inlineStr">
        <is>
          <t>T-2025-P03-021</t>
        </is>
      </c>
      <c r="B2312" t="inlineStr">
        <is>
          <t>SLE</t>
        </is>
      </c>
      <c r="C2312" t="inlineStr">
        <is>
          <t>Chief Information Officer, Information Systems Branch</t>
        </is>
      </c>
      <c r="D2312" t="inlineStr">
        <is>
          <t>Dirigeante principale de l'information, Direction générale des systèmes d'information</t>
        </is>
      </c>
      <c r="E2312" t="inlineStr">
        <is>
          <t>Vidya ShankarNarayan</t>
        </is>
      </c>
      <c r="F2312" t="inlineStr">
        <is>
          <t xml:space="preserve">To attend Executive Leadership Development Program in Washington </t>
        </is>
      </c>
      <c r="G2312" t="inlineStr">
        <is>
          <t>Assister au Programme de développement en leadership pour les cadres supérieurs à Washington</t>
        </is>
      </c>
      <c r="H2312" s="1" t="n">
        <v>45440</v>
      </c>
      <c r="I2312" s="1" t="n">
        <v>45444</v>
      </c>
      <c r="J2312" t="inlineStr">
        <is>
          <t>Washington (District of Columbia) United States</t>
        </is>
      </c>
      <c r="K2312" t="inlineStr">
        <is>
          <t>Washington (District de Columbia) États-Unis</t>
        </is>
      </c>
      <c r="P2312" t="n">
        <v>809.14</v>
      </c>
      <c r="Q2312" t="n">
        <v>238.76</v>
      </c>
      <c r="R2312" t="n">
        <v>2009.57</v>
      </c>
      <c r="S2312" t="n">
        <v>699.87</v>
      </c>
      <c r="T2312" t="n">
        <v>0</v>
      </c>
      <c r="U2312" t="n">
        <v>3757.34</v>
      </c>
      <c r="X2312" t="inlineStr">
        <is>
          <t>aafc-aac</t>
        </is>
      </c>
      <c r="Y2312" t="inlineStr">
        <is>
          <t>Agriculture and Agri-Food Canada | Agriculture et Agroalimentaire Canada</t>
        </is>
      </c>
    </row>
    <row r="2313">
      <c r="A2313" t="inlineStr">
        <is>
          <t>T-2025-P03-022</t>
        </is>
      </c>
      <c r="B2313" t="inlineStr">
        <is>
          <t>SLE</t>
        </is>
      </c>
      <c r="C2313" t="inlineStr">
        <is>
          <t>Chief Information Officer, Information Systems Branch</t>
        </is>
      </c>
      <c r="D2313" t="inlineStr">
        <is>
          <t>Dirigeante principale de l'information, Direction générale des systèmes d'information</t>
        </is>
      </c>
      <c r="E2313" t="inlineStr">
        <is>
          <t>Vidya ShankarNarayan</t>
        </is>
      </c>
      <c r="F2313" t="inlineStr">
        <is>
          <t>To attend Executive Leadership Development Program in Ottawa</t>
        </is>
      </c>
      <c r="G2313" t="inlineStr">
        <is>
          <t>Assister au Programme de développement en leadership pour les cadres supérieurs à Ottawa</t>
        </is>
      </c>
      <c r="H2313" s="1" t="n">
        <v>45399</v>
      </c>
      <c r="I2313" s="1" t="n">
        <v>45400</v>
      </c>
      <c r="J2313" t="inlineStr">
        <is>
          <t>Ottawa (Ontario) Canada</t>
        </is>
      </c>
      <c r="K2313" t="inlineStr">
        <is>
          <t>Ottawa (Ontario) Canada</t>
        </is>
      </c>
      <c r="P2313" t="n">
        <v>0</v>
      </c>
      <c r="Q2313" t="n">
        <v>32</v>
      </c>
      <c r="R2313" t="n">
        <v>0</v>
      </c>
      <c r="S2313" t="n">
        <v>0</v>
      </c>
      <c r="T2313" t="n">
        <v>0</v>
      </c>
      <c r="U2313" t="n">
        <v>32</v>
      </c>
      <c r="X2313" t="inlineStr">
        <is>
          <t>aafc-aac</t>
        </is>
      </c>
      <c r="Y2313" t="inlineStr">
        <is>
          <t>Agriculture and Agri-Food Canada | Agriculture et Agroalimentaire Canada</t>
        </is>
      </c>
    </row>
    <row r="2314">
      <c r="A2314" t="inlineStr">
        <is>
          <t>T-2025-P03-023</t>
        </is>
      </c>
      <c r="B2314" t="inlineStr">
        <is>
          <t>SLE</t>
        </is>
      </c>
      <c r="C2314" t="inlineStr">
        <is>
          <t>Chief Information Officer, Information Systems Branch</t>
        </is>
      </c>
      <c r="D2314" t="inlineStr">
        <is>
          <t>Dirigeante principale de l'information, Direction générale des systèmes d'information</t>
        </is>
      </c>
      <c r="E2314" t="inlineStr">
        <is>
          <t>Vidya ShankarNarayan</t>
        </is>
      </c>
      <c r="F2314" t="inlineStr">
        <is>
          <t>To attend and present at the International Grains Conference and Artificial Intelligence Summit in London, and attend a meeting with the Food and Agriculture Organization in Rome</t>
        </is>
      </c>
      <c r="G2314" t="inlineStr">
        <is>
          <t>Participer et présenter à la Conférence internationale sur les grains et au Sommet sur l'intelligence artificielle à Londres, et participer à une réunion avec l’Organisation pour l’alimentation et l’agriculture (FAO) à Rome</t>
        </is>
      </c>
      <c r="H2314" s="1" t="n">
        <v>45452</v>
      </c>
      <c r="I2314" s="1" t="n">
        <v>45460</v>
      </c>
      <c r="J2314" t="inlineStr">
        <is>
          <t>London, United Kingdom
Rome, Italy</t>
        </is>
      </c>
      <c r="K2314" t="inlineStr">
        <is>
          <t>Londres, Angleterre
Rome, Italie</t>
        </is>
      </c>
      <c r="P2314" t="n">
        <v>1501.34</v>
      </c>
      <c r="Q2314" t="n">
        <v>615.8099999999999</v>
      </c>
      <c r="R2314" t="n">
        <v>1461.86</v>
      </c>
      <c r="S2314" t="n">
        <v>1168.89</v>
      </c>
      <c r="T2314" t="n">
        <v>0</v>
      </c>
      <c r="U2314" t="n">
        <v>4747.9</v>
      </c>
      <c r="X2314" t="inlineStr">
        <is>
          <t>aafc-aac</t>
        </is>
      </c>
      <c r="Y2314" t="inlineStr">
        <is>
          <t>Agriculture and Agri-Food Canada | Agriculture et Agroalimentaire Canada</t>
        </is>
      </c>
    </row>
    <row r="2315">
      <c r="A2315" t="inlineStr">
        <is>
          <t>T-2025-P04-001</t>
        </is>
      </c>
      <c r="B2315" t="inlineStr">
        <is>
          <t>MPSES</t>
        </is>
      </c>
      <c r="C2315" t="inlineStr">
        <is>
          <t>Minister</t>
        </is>
      </c>
      <c r="D2315" t="inlineStr">
        <is>
          <t>Ministre</t>
        </is>
      </c>
      <c r="E2315" t="inlineStr">
        <is>
          <t>Lawrence MacAulay</t>
        </is>
      </c>
      <c r="F2315" t="inlineStr">
        <is>
          <t>To attend the Calgary Stampede</t>
        </is>
      </c>
      <c r="G2315" t="inlineStr">
        <is>
          <t>Participer au Stampede de Calgary</t>
        </is>
      </c>
      <c r="H2315" s="1" t="n">
        <v>45480</v>
      </c>
      <c r="I2315" s="1" t="n">
        <v>45484</v>
      </c>
      <c r="J2315" t="inlineStr">
        <is>
          <t>Calgary (Alberta) Canada</t>
        </is>
      </c>
      <c r="K2315" t="inlineStr">
        <is>
          <t>Calgary (Alberta) Canada</t>
        </is>
      </c>
      <c r="P2315" t="n">
        <v>1579.57</v>
      </c>
      <c r="Q2315" t="n">
        <v>0</v>
      </c>
      <c r="R2315" t="n">
        <v>2020.86</v>
      </c>
      <c r="S2315" t="n">
        <v>373.1</v>
      </c>
      <c r="T2315" t="n">
        <v>0</v>
      </c>
      <c r="U2315" t="n">
        <v>3973.53</v>
      </c>
      <c r="X2315" t="inlineStr">
        <is>
          <t>aafc-aac</t>
        </is>
      </c>
      <c r="Y2315" t="inlineStr">
        <is>
          <t>Agriculture and Agri-Food Canada | Agriculture et Agroalimentaire Canada</t>
        </is>
      </c>
    </row>
    <row r="2316">
      <c r="A2316" t="inlineStr">
        <is>
          <t>T-2025-P04-002</t>
        </is>
      </c>
      <c r="B2316" t="inlineStr">
        <is>
          <t>MPSES</t>
        </is>
      </c>
      <c r="C2316" t="inlineStr">
        <is>
          <t>Chief of Staff</t>
        </is>
      </c>
      <c r="D2316" t="inlineStr">
        <is>
          <t>Chef de cabinet</t>
        </is>
      </c>
      <c r="E2316" t="inlineStr">
        <is>
          <t>Matthew Mann</t>
        </is>
      </c>
      <c r="F2316" t="inlineStr">
        <is>
          <t>To support the Minister to attend the Calgary Stampede</t>
        </is>
      </c>
      <c r="G2316" t="inlineStr">
        <is>
          <t>Soutenir le ministre à participer au Stampede de Calgary</t>
        </is>
      </c>
      <c r="H2316" s="1" t="n">
        <v>45480</v>
      </c>
      <c r="I2316" s="1" t="n">
        <v>45484</v>
      </c>
      <c r="J2316" t="inlineStr">
        <is>
          <t>Calgary (Alberta) Canada</t>
        </is>
      </c>
      <c r="K2316" t="inlineStr">
        <is>
          <t>Calgary (Alberta) Canada</t>
        </is>
      </c>
      <c r="P2316" t="n">
        <v>1603.99</v>
      </c>
      <c r="Q2316" t="n">
        <v>339.48</v>
      </c>
      <c r="R2316" t="n">
        <v>2020.86</v>
      </c>
      <c r="S2316" t="n">
        <v>373.1</v>
      </c>
      <c r="T2316" t="n">
        <v>0</v>
      </c>
      <c r="U2316" t="n">
        <v>4337.43</v>
      </c>
      <c r="X2316" t="inlineStr">
        <is>
          <t>aafc-aac</t>
        </is>
      </c>
      <c r="Y2316" t="inlineStr">
        <is>
          <t>Agriculture and Agri-Food Canada | Agriculture et Agroalimentaire Canada</t>
        </is>
      </c>
    </row>
    <row r="2317">
      <c r="A2317" t="inlineStr">
        <is>
          <t>T-2025-P04-003</t>
        </is>
      </c>
      <c r="B2317" t="inlineStr">
        <is>
          <t>MPSES</t>
        </is>
      </c>
      <c r="C2317" t="inlineStr">
        <is>
          <t>Chief of Staff</t>
        </is>
      </c>
      <c r="D2317" t="inlineStr">
        <is>
          <t>Chef de cabinet</t>
        </is>
      </c>
      <c r="E2317" t="inlineStr">
        <is>
          <t>Matthew Mann</t>
        </is>
      </c>
      <c r="F2317" t="inlineStr">
        <is>
          <t>To support the Minister to attend meetings and announcements</t>
        </is>
      </c>
      <c r="G2317" t="inlineStr">
        <is>
          <t>Soutenir le ministre à participer aux réunions et aux annonces</t>
        </is>
      </c>
      <c r="H2317" s="1" t="n">
        <v>45485</v>
      </c>
      <c r="I2317" s="1" t="n">
        <v>45488</v>
      </c>
      <c r="J2317" t="inlineStr">
        <is>
          <t>Charlottetown (Prince Edward Island) Canada</t>
        </is>
      </c>
      <c r="K2317" t="inlineStr">
        <is>
          <t>Charlottetown (Île-du-Prince-Édouard) Canada</t>
        </is>
      </c>
      <c r="P2317" t="n">
        <v>963.0599999999999</v>
      </c>
      <c r="Q2317" t="n">
        <v>360.12</v>
      </c>
      <c r="R2317" t="n">
        <v>334.54</v>
      </c>
      <c r="S2317" t="n">
        <v>111.95</v>
      </c>
      <c r="T2317" t="n">
        <v>0</v>
      </c>
      <c r="U2317" t="n">
        <v>1769.67</v>
      </c>
      <c r="X2317" t="inlineStr">
        <is>
          <t>aafc-aac</t>
        </is>
      </c>
      <c r="Y2317" t="inlineStr">
        <is>
          <t>Agriculture and Agri-Food Canada | Agriculture et Agroalimentaire Canada</t>
        </is>
      </c>
    </row>
    <row r="2318">
      <c r="A2318" t="inlineStr">
        <is>
          <t>T-2025-P04-004</t>
        </is>
      </c>
      <c r="B2318" t="inlineStr">
        <is>
          <t>MPSES</t>
        </is>
      </c>
      <c r="C2318" t="inlineStr">
        <is>
          <t>Director of Communications</t>
        </is>
      </c>
      <c r="D2318" t="inlineStr">
        <is>
          <t>Directrice des communications</t>
        </is>
      </c>
      <c r="E2318" t="inlineStr">
        <is>
          <t>Annie Cullinan</t>
        </is>
      </c>
      <c r="F2318" t="inlineStr">
        <is>
          <t>To support the Minister to attend the Calgary Stampede</t>
        </is>
      </c>
      <c r="G2318" t="inlineStr">
        <is>
          <t>Soutenir le ministre à participer au Stampede de Calgary</t>
        </is>
      </c>
      <c r="H2318" s="1" t="n">
        <v>45480</v>
      </c>
      <c r="I2318" s="1" t="n">
        <v>45484</v>
      </c>
      <c r="J2318" t="inlineStr">
        <is>
          <t>Calgary (Alberta) Canada</t>
        </is>
      </c>
      <c r="K2318" t="inlineStr">
        <is>
          <t>Calgary (Alberta) Canada</t>
        </is>
      </c>
      <c r="P2318" t="n">
        <v>1547.55</v>
      </c>
      <c r="Q2318" t="n">
        <v>47.08</v>
      </c>
      <c r="R2318" t="n">
        <v>2020.86</v>
      </c>
      <c r="S2318" t="n">
        <v>398</v>
      </c>
      <c r="T2318" t="n">
        <v>0</v>
      </c>
      <c r="U2318" t="n">
        <v>4013.49</v>
      </c>
      <c r="X2318" t="inlineStr">
        <is>
          <t>aafc-aac</t>
        </is>
      </c>
      <c r="Y2318" t="inlineStr">
        <is>
          <t>Agriculture and Agri-Food Canada | Agriculture et Agroalimentaire Canada</t>
        </is>
      </c>
    </row>
    <row r="2319">
      <c r="A2319" t="inlineStr">
        <is>
          <t>T-2025-P04-005</t>
        </is>
      </c>
      <c r="B2319" t="inlineStr">
        <is>
          <t>MPSES</t>
        </is>
      </c>
      <c r="C2319" t="inlineStr">
        <is>
          <t>Director of Communications</t>
        </is>
      </c>
      <c r="D2319" t="inlineStr">
        <is>
          <t>Directrice des communications</t>
        </is>
      </c>
      <c r="E2319" t="inlineStr">
        <is>
          <t>Annie Cullinan</t>
        </is>
      </c>
      <c r="F2319" t="inlineStr">
        <is>
          <t>To support the Minister to attend meetings and announcements</t>
        </is>
      </c>
      <c r="G2319" t="inlineStr">
        <is>
          <t>Soutenir le ministre à participer aux réunions et aux annonces</t>
        </is>
      </c>
      <c r="H2319" s="1" t="n">
        <v>45485</v>
      </c>
      <c r="I2319" s="1" t="n">
        <v>45488</v>
      </c>
      <c r="J2319" t="inlineStr">
        <is>
          <t>Charlottetown (Prince Edward Island) Canada</t>
        </is>
      </c>
      <c r="K2319" t="inlineStr">
        <is>
          <t>Charlottetown (Île-du-Prince-Édouard) Canada</t>
        </is>
      </c>
      <c r="P2319" t="n">
        <v>792.5599999999999</v>
      </c>
      <c r="Q2319" t="n">
        <v>46.16</v>
      </c>
      <c r="R2319" t="n">
        <v>366.4</v>
      </c>
      <c r="S2319" t="n">
        <v>111.95</v>
      </c>
      <c r="T2319" t="n">
        <v>0</v>
      </c>
      <c r="U2319" t="n">
        <v>1317.07</v>
      </c>
      <c r="X2319" t="inlineStr">
        <is>
          <t>aafc-aac</t>
        </is>
      </c>
      <c r="Y2319" t="inlineStr">
        <is>
          <t>Agriculture and Agri-Food Canada | Agriculture et Agroalimentaire Canada</t>
        </is>
      </c>
    </row>
    <row r="2320">
      <c r="A2320" t="inlineStr">
        <is>
          <t>T-2025-P04-006</t>
        </is>
      </c>
      <c r="B2320" t="inlineStr">
        <is>
          <t>MPSES</t>
        </is>
      </c>
      <c r="C2320" t="inlineStr">
        <is>
          <t>Director of Parliamentary Affairs</t>
        </is>
      </c>
      <c r="D2320" t="inlineStr">
        <is>
          <t>Directeur des affaires parlementaires</t>
        </is>
      </c>
      <c r="E2320" t="inlineStr">
        <is>
          <t>Bradley Henstock</t>
        </is>
      </c>
      <c r="F2320" t="inlineStr">
        <is>
          <t>To support the Minister to attend meetings and announcements</t>
        </is>
      </c>
      <c r="G2320" t="inlineStr">
        <is>
          <t>Soutenir le ministre à participer aux réunions et aux annonces</t>
        </is>
      </c>
      <c r="H2320" s="1" t="n">
        <v>45467</v>
      </c>
      <c r="I2320" s="1" t="n">
        <v>45469</v>
      </c>
      <c r="J2320" t="inlineStr">
        <is>
          <t>Fredericton (New Brunswick) Canada</t>
        </is>
      </c>
      <c r="K2320" t="inlineStr">
        <is>
          <t>Fredericton (Nouveau-Brunswick) Canada</t>
        </is>
      </c>
      <c r="P2320" t="n">
        <v>935.02</v>
      </c>
      <c r="Q2320" t="n">
        <v>358.04</v>
      </c>
      <c r="R2320" t="n">
        <v>473.73</v>
      </c>
      <c r="S2320" t="n">
        <v>173.8</v>
      </c>
      <c r="T2320" t="n">
        <v>0</v>
      </c>
      <c r="U2320" t="n">
        <v>1940.59</v>
      </c>
      <c r="X2320" t="inlineStr">
        <is>
          <t>aafc-aac</t>
        </is>
      </c>
      <c r="Y2320" t="inlineStr">
        <is>
          <t>Agriculture and Agri-Food Canada | Agriculture et Agroalimentaire Canada</t>
        </is>
      </c>
    </row>
    <row r="2321">
      <c r="A2321" t="inlineStr">
        <is>
          <t>T-2025-P04-007</t>
        </is>
      </c>
      <c r="B2321" t="inlineStr">
        <is>
          <t>MPSES</t>
        </is>
      </c>
      <c r="C2321" t="inlineStr">
        <is>
          <t>Director of Parliamentary Affairs</t>
        </is>
      </c>
      <c r="D2321" t="inlineStr">
        <is>
          <t>Directeur des affaires parlementaires</t>
        </is>
      </c>
      <c r="E2321" t="inlineStr">
        <is>
          <t>Bradley Henstock</t>
        </is>
      </c>
      <c r="F2321" t="inlineStr">
        <is>
          <t>To support the Minister to attend meetings and announcements</t>
        </is>
      </c>
      <c r="G2321" t="inlineStr">
        <is>
          <t>Soutenir le ministre à participer aux réunions et aux annonces</t>
        </is>
      </c>
      <c r="H2321" s="1" t="n">
        <v>45484</v>
      </c>
      <c r="I2321" s="1" t="n">
        <v>45485</v>
      </c>
      <c r="J2321" t="inlineStr">
        <is>
          <t>Charlottetown (Prince Edward Island) Canada</t>
        </is>
      </c>
      <c r="K2321" t="inlineStr">
        <is>
          <t>Charlottetown (Île-du-Prince-Édouard) Canada</t>
        </is>
      </c>
      <c r="P2321" t="n">
        <v>0</v>
      </c>
      <c r="Q2321" t="n">
        <v>0</v>
      </c>
      <c r="R2321" t="n">
        <v>635.08</v>
      </c>
      <c r="S2321" t="n">
        <v>148.9</v>
      </c>
      <c r="T2321" t="n">
        <v>0</v>
      </c>
      <c r="U2321" t="n">
        <v>783.98</v>
      </c>
      <c r="X2321" t="inlineStr">
        <is>
          <t>aafc-aac</t>
        </is>
      </c>
      <c r="Y2321" t="inlineStr">
        <is>
          <t>Agriculture and Agri-Food Canada | Agriculture et Agroalimentaire Canada</t>
        </is>
      </c>
    </row>
    <row r="2322">
      <c r="A2322" t="inlineStr">
        <is>
          <t>T-2025-P04-008</t>
        </is>
      </c>
      <c r="B2322" t="inlineStr">
        <is>
          <t>SLE</t>
        </is>
      </c>
      <c r="C2322" t="inlineStr">
        <is>
          <t>Deputy Minister</t>
        </is>
      </c>
      <c r="D2322" t="inlineStr">
        <is>
          <t>Sous-ministre</t>
        </is>
      </c>
      <c r="E2322" t="inlineStr">
        <is>
          <t>Lawrence Hanson</t>
        </is>
      </c>
      <c r="F2322" t="inlineStr">
        <is>
          <t>To support the Minister and attend meetings and announcements</t>
        </is>
      </c>
      <c r="G2322" t="inlineStr">
        <is>
          <t>Soutenir le ministre et participer aux réunions et aux annonces</t>
        </is>
      </c>
      <c r="H2322" s="1" t="n">
        <v>45467</v>
      </c>
      <c r="I2322" s="1" t="n">
        <v>45469</v>
      </c>
      <c r="J2322" t="inlineStr">
        <is>
          <t>Fredericton (New Brunswick) Canada</t>
        </is>
      </c>
      <c r="K2322" t="inlineStr">
        <is>
          <t>Fredericton (Nouveau-Brunswick) Canada</t>
        </is>
      </c>
      <c r="P2322" t="n">
        <v>618.9400000000001</v>
      </c>
      <c r="Q2322" t="n">
        <v>38.4</v>
      </c>
      <c r="R2322" t="n">
        <v>461.82</v>
      </c>
      <c r="S2322" t="n">
        <v>275.8</v>
      </c>
      <c r="T2322" t="n">
        <v>0</v>
      </c>
      <c r="U2322" t="n">
        <v>1394.96</v>
      </c>
      <c r="X2322" t="inlineStr">
        <is>
          <t>aafc-aac</t>
        </is>
      </c>
      <c r="Y2322" t="inlineStr">
        <is>
          <t>Agriculture and Agri-Food Canada | Agriculture et Agroalimentaire Canada</t>
        </is>
      </c>
    </row>
    <row r="2323">
      <c r="A2323" t="inlineStr">
        <is>
          <t>T-2025-P04-009</t>
        </is>
      </c>
      <c r="B2323" t="inlineStr">
        <is>
          <t>SLE</t>
        </is>
      </c>
      <c r="C2323" t="inlineStr">
        <is>
          <t>Deputy Minister</t>
        </is>
      </c>
      <c r="D2323" t="inlineStr">
        <is>
          <t>Sous-ministre</t>
        </is>
      </c>
      <c r="E2323" t="inlineStr">
        <is>
          <t>Lawrence Hanson</t>
        </is>
      </c>
      <c r="F2323" t="inlineStr">
        <is>
          <t>To attend an Outreach in Calgary and to support the Minister to attend meetings and announcements in Charlottetown</t>
        </is>
      </c>
      <c r="G2323" t="inlineStr">
        <is>
          <t>Participer à une action de sensibilisation à Calgary et soutenir le ministre à participer à des réunions et à des annonces à Charlottetown.</t>
        </is>
      </c>
      <c r="H2323" s="1" t="n">
        <v>45480</v>
      </c>
      <c r="I2323" s="1" t="n">
        <v>45486</v>
      </c>
      <c r="J2323" t="inlineStr">
        <is>
          <t>Calgary (Alberta) Canada
Charlottetown (Prince Edward Island) Canada</t>
        </is>
      </c>
      <c r="K2323" t="inlineStr">
        <is>
          <t>Calgary (Alberta) Canada
Charlottetown (Île-du-Prince-Édouard) Canada</t>
        </is>
      </c>
      <c r="P2323" t="n">
        <v>2420.38</v>
      </c>
      <c r="Q2323" t="n">
        <v>126.31</v>
      </c>
      <c r="R2323" t="n">
        <v>2671.27</v>
      </c>
      <c r="S2323" t="n">
        <v>575.1</v>
      </c>
      <c r="T2323" t="n">
        <v>17.52</v>
      </c>
      <c r="U2323" t="n">
        <v>5810.58</v>
      </c>
      <c r="X2323" t="inlineStr">
        <is>
          <t>aafc-aac</t>
        </is>
      </c>
      <c r="Y2323" t="inlineStr">
        <is>
          <t>Agriculture and Agri-Food Canada | Agriculture et Agroalimentaire Canada</t>
        </is>
      </c>
    </row>
    <row r="2324">
      <c r="A2324" t="inlineStr">
        <is>
          <t>T-2025-P04-010</t>
        </is>
      </c>
      <c r="B2324" t="inlineStr">
        <is>
          <t>SLE</t>
        </is>
      </c>
      <c r="C2324" t="inlineStr">
        <is>
          <t>Deputy Minister</t>
        </is>
      </c>
      <c r="D2324" t="inlineStr">
        <is>
          <t>Sous-ministre</t>
        </is>
      </c>
      <c r="E2324" t="inlineStr">
        <is>
          <t>Lawrence Hanson</t>
        </is>
      </c>
      <c r="F2324" t="inlineStr">
        <is>
          <t>To attend the Annual Conference of Federal, Provincial and Territorial Ministers and Deputy Ministers of Agriculture</t>
        </is>
      </c>
      <c r="G2324" t="inlineStr">
        <is>
          <t>Participer à la conférence annuelle des ministres et sous-ministres fédéraux, provinciaux et territoriaux de l'Agriculture</t>
        </is>
      </c>
      <c r="H2324" s="1" t="n">
        <v>45489</v>
      </c>
      <c r="I2324" s="1" t="n">
        <v>45493</v>
      </c>
      <c r="J2324" t="inlineStr">
        <is>
          <t>Whitehorse (Yukon) Canada</t>
        </is>
      </c>
      <c r="K2324" t="inlineStr">
        <is>
          <t>Whitehorse (Yukon) Canada</t>
        </is>
      </c>
      <c r="P2324" t="n">
        <v>4260.52</v>
      </c>
      <c r="Q2324" t="n">
        <v>52.68</v>
      </c>
      <c r="R2324" t="n">
        <v>810.27</v>
      </c>
      <c r="S2324" t="n">
        <v>358.45</v>
      </c>
      <c r="T2324" t="n">
        <v>0</v>
      </c>
      <c r="U2324" t="n">
        <v>5481.92</v>
      </c>
      <c r="X2324" t="inlineStr">
        <is>
          <t>aafc-aac</t>
        </is>
      </c>
      <c r="Y2324" t="inlineStr">
        <is>
          <t>Agriculture and Agri-Food Canada | Agriculture et Agroalimentaire Canada</t>
        </is>
      </c>
    </row>
    <row r="2325">
      <c r="A2325" t="inlineStr">
        <is>
          <t>T-2025-P04-011</t>
        </is>
      </c>
      <c r="B2325" t="inlineStr">
        <is>
          <t>SLE</t>
        </is>
      </c>
      <c r="C2325" t="inlineStr">
        <is>
          <t>Workplace Well-Being Ombudsperson</t>
        </is>
      </c>
      <c r="D2325" t="inlineStr">
        <is>
          <t>Ombudsman du mieux-être en milieu de travail</t>
        </is>
      </c>
      <c r="E2325" t="inlineStr">
        <is>
          <t xml:space="preserve">Elianne Hall </t>
        </is>
      </c>
      <c r="F2325" t="inlineStr">
        <is>
          <t>To attend an Outreach</t>
        </is>
      </c>
      <c r="G2325" t="inlineStr">
        <is>
          <t>Participer à une activité de sensibilisation</t>
        </is>
      </c>
      <c r="H2325" s="1" t="n">
        <v>45480</v>
      </c>
      <c r="I2325" s="1" t="n">
        <v>45482</v>
      </c>
      <c r="J2325" t="inlineStr">
        <is>
          <t>Guelph (Ontario) Canada</t>
        </is>
      </c>
      <c r="K2325" t="inlineStr">
        <is>
          <t>Guelph (Ontario) Canada</t>
        </is>
      </c>
      <c r="P2325" t="n">
        <v>0</v>
      </c>
      <c r="Q2325" t="n">
        <v>286.74</v>
      </c>
      <c r="R2325" t="n">
        <v>502.98</v>
      </c>
      <c r="S2325" t="n">
        <v>258.5</v>
      </c>
      <c r="T2325" t="n">
        <v>0</v>
      </c>
      <c r="U2325" t="n">
        <v>1048.22</v>
      </c>
      <c r="X2325" t="inlineStr">
        <is>
          <t>aafc-aac</t>
        </is>
      </c>
      <c r="Y2325" t="inlineStr">
        <is>
          <t>Agriculture and Agri-Food Canada | Agriculture et Agroalimentaire Canada</t>
        </is>
      </c>
    </row>
    <row r="2326">
      <c r="A2326" t="inlineStr">
        <is>
          <t>T-2025-P04-012</t>
        </is>
      </c>
      <c r="B2326" t="inlineStr">
        <is>
          <t>SLE</t>
        </is>
      </c>
      <c r="C2326" t="inlineStr">
        <is>
          <t>Assistant Deputy Minister, Science and Technology Branch</t>
        </is>
      </c>
      <c r="D2326" t="inlineStr">
        <is>
          <t>Sous-ministre adjoint, Direction générale des sciences et de la technologie</t>
        </is>
      </c>
      <c r="E2326" t="inlineStr">
        <is>
          <t>Gilles Saindon</t>
        </is>
      </c>
      <c r="F2326" t="inlineStr">
        <is>
          <t>To attend an Outreach at the Brandon and Morden Research Centres</t>
        </is>
      </c>
      <c r="G2326" t="inlineStr">
        <is>
          <t>Participer à une visite de sensibilisation aux centres de recherche de Brandon et Morden</t>
        </is>
      </c>
      <c r="H2326" s="1" t="n">
        <v>45483</v>
      </c>
      <c r="I2326" s="1" t="n">
        <v>45485</v>
      </c>
      <c r="J2326" t="inlineStr">
        <is>
          <t>Winnipeg (Manitoba) Canada
Brandon (Manitoba) Canada 
Morden (Manitoba) Canada</t>
        </is>
      </c>
      <c r="K2326" t="inlineStr">
        <is>
          <t>Winnipeg (Manitoba) Canada
Brandon (Manitoba) Canada 
Morden (Manitoba) Canada</t>
        </is>
      </c>
      <c r="P2326" t="n">
        <v>803.85</v>
      </c>
      <c r="Q2326" t="n">
        <v>75</v>
      </c>
      <c r="R2326" t="n">
        <v>316.42</v>
      </c>
      <c r="S2326" t="n">
        <v>287.55</v>
      </c>
      <c r="T2326" t="n">
        <v>0</v>
      </c>
      <c r="U2326" t="n">
        <v>1482.82</v>
      </c>
      <c r="X2326" t="inlineStr">
        <is>
          <t>aafc-aac</t>
        </is>
      </c>
      <c r="Y2326" t="inlineStr">
        <is>
          <t>Agriculture and Agri-Food Canada | Agriculture et Agroalimentaire Canada</t>
        </is>
      </c>
    </row>
    <row r="2327">
      <c r="A2327" t="inlineStr">
        <is>
          <t>T-2025-P04-013</t>
        </is>
      </c>
      <c r="B2327" t="inlineStr">
        <is>
          <t>SLE</t>
        </is>
      </c>
      <c r="C2327" t="inlineStr">
        <is>
          <t>Assistant Deputy Minister, International Affairs Branch</t>
        </is>
      </c>
      <c r="D2327" t="inlineStr">
        <is>
          <t>Sous-ministre adjointe, Direction générale des affaires internationales</t>
        </is>
      </c>
      <c r="E2327" t="inlineStr">
        <is>
          <t xml:space="preserve">Kathleen Donohue </t>
        </is>
      </c>
      <c r="F2327" t="inlineStr">
        <is>
          <t>To accompany the Minister on a mission to Iowa and Minnesota for stakeholder engagements</t>
        </is>
      </c>
      <c r="G2327" t="inlineStr">
        <is>
          <t>Accompagner le ministre lors d’une mission à Iowa et Minnesota pour des consultations avec les intervenants</t>
        </is>
      </c>
      <c r="H2327" s="1" t="n">
        <v>45448</v>
      </c>
      <c r="I2327" s="1" t="n">
        <v>45451</v>
      </c>
      <c r="J2327" t="inlineStr">
        <is>
          <t>Des Moines (Iowa) United States
Saint Paul (Minnesota) United States</t>
        </is>
      </c>
      <c r="K2327" t="inlineStr">
        <is>
          <t>Des Moines (Iowa) États-Unis
Saint Paul (Minnesota) États-Unis</t>
        </is>
      </c>
      <c r="P2327" t="n">
        <v>1396.09</v>
      </c>
      <c r="Q2327" t="n">
        <v>45.13</v>
      </c>
      <c r="R2327" t="n">
        <v>747.42</v>
      </c>
      <c r="S2327" t="n">
        <v>447.96</v>
      </c>
      <c r="T2327" t="n">
        <v>0</v>
      </c>
      <c r="U2327" t="n">
        <v>2636.6</v>
      </c>
      <c r="X2327" t="inlineStr">
        <is>
          <t>aafc-aac</t>
        </is>
      </c>
      <c r="Y2327" t="inlineStr">
        <is>
          <t>Agriculture and Agri-Food Canada | Agriculture et Agroalimentaire Canada</t>
        </is>
      </c>
    </row>
    <row r="2328">
      <c r="A2328" t="inlineStr">
        <is>
          <t>T-2025-P04-014</t>
        </is>
      </c>
      <c r="B2328" t="inlineStr">
        <is>
          <t>SLE</t>
        </is>
      </c>
      <c r="C2328" t="inlineStr">
        <is>
          <t>Assistant Deputy Minister, Corporate Management Branch</t>
        </is>
      </c>
      <c r="D2328" t="inlineStr">
        <is>
          <t>Sous-ministre adjointe, Direction générale de la gestion intégrée</t>
        </is>
      </c>
      <c r="E2328" t="inlineStr">
        <is>
          <t>Marie-Claude Guérard</t>
        </is>
      </c>
      <c r="F2328" t="inlineStr">
        <is>
          <t>To attend meetings in Ottawa</t>
        </is>
      </c>
      <c r="G2328" t="inlineStr">
        <is>
          <t>Participer aux rencontres à Ottawa</t>
        </is>
      </c>
      <c r="H2328" s="1" t="n">
        <v>45488</v>
      </c>
      <c r="I2328" s="1" t="n">
        <v>45489</v>
      </c>
      <c r="J2328" t="inlineStr">
        <is>
          <t>Ottawa (Ontario) Canada</t>
        </is>
      </c>
      <c r="K2328" t="inlineStr">
        <is>
          <t>Ottawa (Ontario) Canada</t>
        </is>
      </c>
      <c r="P2328" t="n">
        <v>0</v>
      </c>
      <c r="Q2328" t="n">
        <v>406.48</v>
      </c>
      <c r="R2328" t="n">
        <v>259.84</v>
      </c>
      <c r="S2328" t="n">
        <v>171.75</v>
      </c>
      <c r="T2328" t="n">
        <v>0</v>
      </c>
      <c r="U2328" t="n">
        <v>838.0700000000001</v>
      </c>
      <c r="X2328" t="inlineStr">
        <is>
          <t>aafc-aac</t>
        </is>
      </c>
      <c r="Y2328" t="inlineStr">
        <is>
          <t>Agriculture and Agri-Food Canada | Agriculture et Agroalimentaire Canada</t>
        </is>
      </c>
    </row>
    <row r="2329">
      <c r="A2329" t="inlineStr">
        <is>
          <t>T-2025-P04-015</t>
        </is>
      </c>
      <c r="B2329" t="inlineStr">
        <is>
          <t>SLE</t>
        </is>
      </c>
      <c r="C2329" t="inlineStr">
        <is>
          <t>Assistant Deputy Minister, Strategic Policy Branch</t>
        </is>
      </c>
      <c r="D2329" t="inlineStr">
        <is>
          <t>Sous-ministre adjointe, Direction générale des politiques stratégiques</t>
        </is>
      </c>
      <c r="E2329" t="inlineStr">
        <is>
          <t>Shannon Nix</t>
        </is>
      </c>
      <c r="F2329" t="inlineStr">
        <is>
          <t xml:space="preserve">To attend Bioenterprise round table meeting in Toronto </t>
        </is>
      </c>
      <c r="G2329" t="inlineStr">
        <is>
          <t>Assister à la table ronde de bioenterprise à Toronto</t>
        </is>
      </c>
      <c r="H2329" s="1" t="n">
        <v>45492</v>
      </c>
      <c r="I2329" s="1" t="n">
        <v>45494</v>
      </c>
      <c r="J2329" t="inlineStr">
        <is>
          <t>Toronto (Ontario) Canada</t>
        </is>
      </c>
      <c r="K2329" t="inlineStr">
        <is>
          <t>Toronto (Ontario) Canada</t>
        </is>
      </c>
      <c r="P2329" t="n">
        <v>1013.52</v>
      </c>
      <c r="Q2329" t="n">
        <v>64.83</v>
      </c>
      <c r="R2329" t="n">
        <v>382.1</v>
      </c>
      <c r="S2329" t="n">
        <v>208.4</v>
      </c>
      <c r="T2329" t="n">
        <v>0</v>
      </c>
      <c r="U2329" t="n">
        <v>1668.85</v>
      </c>
      <c r="X2329" t="inlineStr">
        <is>
          <t>aafc-aac</t>
        </is>
      </c>
      <c r="Y2329" t="inlineStr">
        <is>
          <t>Agriculture and Agri-Food Canada | Agriculture et Agroalimentaire Canada</t>
        </is>
      </c>
    </row>
    <row r="2330">
      <c r="A2330" t="inlineStr">
        <is>
          <t>T-2025-P04-016</t>
        </is>
      </c>
      <c r="B2330" t="inlineStr">
        <is>
          <t>SLE</t>
        </is>
      </c>
      <c r="C2330" t="inlineStr">
        <is>
          <t>Assistant Deputy Minister, Programs Branch</t>
        </is>
      </c>
      <c r="D2330" t="inlineStr">
        <is>
          <t>Sous-ministre adjointe, Direction générale des programmes</t>
        </is>
      </c>
      <c r="E2330" t="inlineStr">
        <is>
          <t>Liz Foster</t>
        </is>
      </c>
      <c r="F2330" t="inlineStr">
        <is>
          <t xml:space="preserve">To attend to the Graduation Ceremony and lunch for Cohort 7 of the Certificate Program in Leading </t>
        </is>
      </c>
      <c r="G2330" t="inlineStr">
        <is>
          <t>Participer à la cérémonie de remise des diplômes et dîner pour la cohorte 7 du programme de certificat en leadership</t>
        </is>
      </c>
      <c r="H2330" s="1" t="n">
        <v>45449</v>
      </c>
      <c r="I2330" s="1" t="n">
        <v>45449</v>
      </c>
      <c r="J2330" t="inlineStr">
        <is>
          <t>Ottawa (Ontario) Canada</t>
        </is>
      </c>
      <c r="K2330" t="inlineStr">
        <is>
          <t>Ottawa (Ontario) Canada</t>
        </is>
      </c>
      <c r="P2330" t="n">
        <v>0</v>
      </c>
      <c r="Q2330" t="n">
        <v>13.75</v>
      </c>
      <c r="R2330" t="n">
        <v>0</v>
      </c>
      <c r="S2330" t="n">
        <v>0</v>
      </c>
      <c r="T2330" t="n">
        <v>0</v>
      </c>
      <c r="U2330" t="n">
        <v>13.75</v>
      </c>
      <c r="X2330" t="inlineStr">
        <is>
          <t>aafc-aac</t>
        </is>
      </c>
      <c r="Y2330" t="inlineStr">
        <is>
          <t>Agriculture and Agri-Food Canada | Agriculture et Agroalimentaire Canada</t>
        </is>
      </c>
    </row>
    <row r="2331">
      <c r="A2331" t="inlineStr">
        <is>
          <t>T-2025-P04-017</t>
        </is>
      </c>
      <c r="B2331" t="inlineStr">
        <is>
          <t>SLE</t>
        </is>
      </c>
      <c r="C2331" t="inlineStr">
        <is>
          <t>Assistant Deputy Minister, Market and Industry Services Branch</t>
        </is>
      </c>
      <c r="D2331" t="inlineStr">
        <is>
          <t>Sous-ministre adjoint, Direction générale des services à l'industrie et aux marchés</t>
        </is>
      </c>
      <c r="E2331" t="inlineStr">
        <is>
          <t>Tom Rosser</t>
        </is>
      </c>
      <c r="F2331" t="inlineStr">
        <is>
          <t xml:space="preserve">Parking expense for governance meeting </t>
        </is>
      </c>
      <c r="G2331" t="inlineStr">
        <is>
          <t xml:space="preserve">Frais de stationnement pour une réunion de gouvernance </t>
        </is>
      </c>
      <c r="H2331" s="1" t="n">
        <v>45482</v>
      </c>
      <c r="I2331" s="1" t="n">
        <v>45482</v>
      </c>
      <c r="J2331" t="inlineStr">
        <is>
          <t>Ottawa (Ontario) Canada</t>
        </is>
      </c>
      <c r="K2331" t="inlineStr">
        <is>
          <t>Ottawa (Ontario) Canada</t>
        </is>
      </c>
      <c r="P2331" t="n">
        <v>0</v>
      </c>
      <c r="Q2331" t="n">
        <v>10</v>
      </c>
      <c r="R2331" t="n">
        <v>0</v>
      </c>
      <c r="S2331" t="n">
        <v>0</v>
      </c>
      <c r="T2331" t="n">
        <v>0</v>
      </c>
      <c r="U2331" t="n">
        <v>10</v>
      </c>
      <c r="X2331" t="inlineStr">
        <is>
          <t>aafc-aac</t>
        </is>
      </c>
      <c r="Y2331" t="inlineStr">
        <is>
          <t>Agriculture and Agri-Food Canada | Agriculture et Agroalimentaire Canada</t>
        </is>
      </c>
    </row>
    <row r="2332">
      <c r="A2332" t="inlineStr">
        <is>
          <t>T-2025-P05-001</t>
        </is>
      </c>
      <c r="B2332" t="inlineStr">
        <is>
          <t>MPSES</t>
        </is>
      </c>
      <c r="C2332" t="inlineStr">
        <is>
          <t>Minister</t>
        </is>
      </c>
      <c r="D2332" t="inlineStr">
        <is>
          <t>Ministre</t>
        </is>
      </c>
      <c r="E2332" t="inlineStr">
        <is>
          <t>Lawrence MacAulay</t>
        </is>
      </c>
      <c r="F2332" t="inlineStr">
        <is>
          <t>To attend a Ministerial Mission in Iowa and Minneapolis</t>
        </is>
      </c>
      <c r="G2332" t="inlineStr">
        <is>
          <t>Participer à une mission ministérielle dans l'Iowa et à Minneapolis</t>
        </is>
      </c>
      <c r="H2332" s="1" t="n">
        <v>45448</v>
      </c>
      <c r="I2332" s="1" t="n">
        <v>45451</v>
      </c>
      <c r="J2332" t="inlineStr">
        <is>
          <t>Des Moines (Iowa) United States
Minneapolis (Minnesota) United States</t>
        </is>
      </c>
      <c r="K2332" t="inlineStr">
        <is>
          <t>Des Moines (Iowa) États-Unis
Minneapolis (Minnesota) États-Unis</t>
        </is>
      </c>
      <c r="P2332" t="n">
        <v>1698.04</v>
      </c>
      <c r="Q2332" t="n">
        <v>0</v>
      </c>
      <c r="R2332" t="n">
        <v>746.4299999999999</v>
      </c>
      <c r="S2332" t="n">
        <v>392.52</v>
      </c>
      <c r="T2332" t="n">
        <v>0</v>
      </c>
      <c r="U2332" t="n">
        <v>2836.99</v>
      </c>
      <c r="X2332" t="inlineStr">
        <is>
          <t>aafc-aac</t>
        </is>
      </c>
      <c r="Y2332" t="inlineStr">
        <is>
          <t>Agriculture and Agri-Food Canada | Agriculture et Agroalimentaire Canada</t>
        </is>
      </c>
    </row>
    <row r="2333">
      <c r="A2333" t="inlineStr">
        <is>
          <t>T-2025-P05-002</t>
        </is>
      </c>
      <c r="B2333" t="inlineStr">
        <is>
          <t>MPSES</t>
        </is>
      </c>
      <c r="C2333" t="inlineStr">
        <is>
          <t>Minister</t>
        </is>
      </c>
      <c r="D2333" t="inlineStr">
        <is>
          <t>Ministre</t>
        </is>
      </c>
      <c r="E2333" t="inlineStr">
        <is>
          <t>Lawrence MacAulay</t>
        </is>
      </c>
      <c r="F2333" t="inlineStr">
        <is>
          <t>To attend meetings and announcements</t>
        </is>
      </c>
      <c r="G2333" t="inlineStr">
        <is>
          <t>Participer aux réunions et aux annonces</t>
        </is>
      </c>
      <c r="H2333" s="1" t="n">
        <v>45467</v>
      </c>
      <c r="I2333" s="1" t="n">
        <v>45468</v>
      </c>
      <c r="J2333" t="inlineStr">
        <is>
          <t>Fredericton (New Brunswick) Canada</t>
        </is>
      </c>
      <c r="K2333" t="inlineStr">
        <is>
          <t>Fredericton (Nouveau-Brunswick) Canada</t>
        </is>
      </c>
      <c r="P2333" t="n">
        <v>0</v>
      </c>
      <c r="Q2333" t="n">
        <v>464.02</v>
      </c>
      <c r="R2333" t="n">
        <v>224.96</v>
      </c>
      <c r="S2333" t="n">
        <v>173.8</v>
      </c>
      <c r="T2333" t="n">
        <v>0</v>
      </c>
      <c r="U2333" t="n">
        <v>862.78</v>
      </c>
      <c r="X2333" t="inlineStr">
        <is>
          <t>aafc-aac</t>
        </is>
      </c>
      <c r="Y2333" t="inlineStr">
        <is>
          <t>Agriculture and Agri-Food Canada | Agriculture et Agroalimentaire Canada</t>
        </is>
      </c>
    </row>
    <row r="2334">
      <c r="A2334" t="inlineStr">
        <is>
          <t>T-2025-P05-003</t>
        </is>
      </c>
      <c r="B2334" t="inlineStr">
        <is>
          <t>MPSES</t>
        </is>
      </c>
      <c r="C2334" t="inlineStr">
        <is>
          <t>Minister</t>
        </is>
      </c>
      <c r="D2334" t="inlineStr">
        <is>
          <t>Ministre</t>
        </is>
      </c>
      <c r="E2334" t="inlineStr">
        <is>
          <t>Lawrence MacAulay</t>
        </is>
      </c>
      <c r="F2334" t="inlineStr">
        <is>
          <t>To attend meetings and announcements</t>
        </is>
      </c>
      <c r="G2334" t="inlineStr">
        <is>
          <t>Participer aux réunions et aux annonces</t>
        </is>
      </c>
      <c r="H2334" s="1" t="n">
        <v>45467</v>
      </c>
      <c r="I2334" s="1" t="n">
        <v>45468</v>
      </c>
      <c r="J2334" t="inlineStr">
        <is>
          <t>Fredericton (New Brunswick) Canada</t>
        </is>
      </c>
      <c r="K2334" t="inlineStr">
        <is>
          <t>Fredericton (Nouveau-Brunswick) Canada</t>
        </is>
      </c>
      <c r="P2334" t="n">
        <v>0</v>
      </c>
      <c r="Q2334" t="n">
        <v>50.25</v>
      </c>
      <c r="R2334" t="n">
        <v>0</v>
      </c>
      <c r="S2334" t="n">
        <v>0</v>
      </c>
      <c r="T2334" t="n">
        <v>0</v>
      </c>
      <c r="U2334" t="n">
        <v>50.25</v>
      </c>
      <c r="X2334" t="inlineStr">
        <is>
          <t>aafc-aac</t>
        </is>
      </c>
      <c r="Y2334" t="inlineStr">
        <is>
          <t>Agriculture and Agri-Food Canada | Agriculture et Agroalimentaire Canada</t>
        </is>
      </c>
    </row>
    <row r="2335">
      <c r="A2335" t="inlineStr">
        <is>
          <t>T-2025-P05-004</t>
        </is>
      </c>
      <c r="B2335" t="inlineStr">
        <is>
          <t>MPSES</t>
        </is>
      </c>
      <c r="C2335" t="inlineStr">
        <is>
          <t>Minister</t>
        </is>
      </c>
      <c r="D2335" t="inlineStr">
        <is>
          <t>Ministre</t>
        </is>
      </c>
      <c r="E2335" t="inlineStr">
        <is>
          <t>Lawrence MacAulay</t>
        </is>
      </c>
      <c r="F2335" t="inlineStr">
        <is>
          <t>To attend the Annual Conference of Federal, Provincial and Territorial Ministers and Deputy Ministers of Agriculture</t>
        </is>
      </c>
      <c r="G2335" t="inlineStr">
        <is>
          <t>Participer à la conférence annuelle des ministres et sous-ministres fédéraux, provinciaux et territoriaux de l'Agriculture</t>
        </is>
      </c>
      <c r="H2335" s="1" t="n">
        <v>45489</v>
      </c>
      <c r="I2335" s="1" t="n">
        <v>45493</v>
      </c>
      <c r="J2335" t="inlineStr">
        <is>
          <t>Whitehorse (Yukon) Canada</t>
        </is>
      </c>
      <c r="K2335" t="inlineStr">
        <is>
          <t>Whitehorse (Yukon) Canada</t>
        </is>
      </c>
      <c r="P2335" t="n">
        <v>3014.43</v>
      </c>
      <c r="Q2335" t="n">
        <v>0</v>
      </c>
      <c r="R2335" t="n">
        <v>1207.44</v>
      </c>
      <c r="S2335" t="n">
        <v>336.15</v>
      </c>
      <c r="T2335" t="n">
        <v>0</v>
      </c>
      <c r="U2335" t="n">
        <v>4558.02</v>
      </c>
      <c r="X2335" t="inlineStr">
        <is>
          <t>aafc-aac</t>
        </is>
      </c>
      <c r="Y2335" t="inlineStr">
        <is>
          <t>Agriculture and Agri-Food Canada | Agriculture et Agroalimentaire Canada</t>
        </is>
      </c>
    </row>
    <row r="2336">
      <c r="A2336" t="inlineStr">
        <is>
          <t>T-2025-P05-005</t>
        </is>
      </c>
      <c r="B2336" t="inlineStr">
        <is>
          <t>MPSES</t>
        </is>
      </c>
      <c r="C2336" t="inlineStr">
        <is>
          <t>Chief of Staff</t>
        </is>
      </c>
      <c r="D2336" t="inlineStr">
        <is>
          <t>Chef de cabinet</t>
        </is>
      </c>
      <c r="E2336" t="inlineStr">
        <is>
          <t>Matthew Mann</t>
        </is>
      </c>
      <c r="F2336" t="inlineStr">
        <is>
          <t>To support the Minister attending the Annual Conference of Federal, Provincial and Territorial Ministers and Deputy Ministers of Agriculture</t>
        </is>
      </c>
      <c r="G2336" t="inlineStr">
        <is>
          <t>Soutenir le ministre participant à la conférence annuelle des ministres et sous-ministres fédéraux, provinciaux et territoriaux de l'Agriculture</t>
        </is>
      </c>
      <c r="H2336" s="1" t="n">
        <v>45489</v>
      </c>
      <c r="I2336" s="1" t="n">
        <v>45493</v>
      </c>
      <c r="J2336" t="inlineStr">
        <is>
          <t>Whitehorse (Yukon) Canada</t>
        </is>
      </c>
      <c r="K2336" t="inlineStr">
        <is>
          <t>Whitehorse (Yukon) Canada</t>
        </is>
      </c>
      <c r="P2336" t="n">
        <v>2049.12</v>
      </c>
      <c r="Q2336" t="n">
        <v>599.08</v>
      </c>
      <c r="R2336" t="n">
        <v>810.27</v>
      </c>
      <c r="S2336" t="n">
        <v>310.95</v>
      </c>
      <c r="T2336" t="n">
        <v>0</v>
      </c>
      <c r="U2336" t="n">
        <v>3769.42</v>
      </c>
      <c r="X2336" t="inlineStr">
        <is>
          <t>aafc-aac</t>
        </is>
      </c>
      <c r="Y2336" t="inlineStr">
        <is>
          <t>Agriculture and Agri-Food Canada | Agriculture et Agroalimentaire Canada</t>
        </is>
      </c>
    </row>
    <row r="2337">
      <c r="A2337" t="inlineStr">
        <is>
          <t>T-2025-P05-006</t>
        </is>
      </c>
      <c r="B2337" t="inlineStr">
        <is>
          <t>MPSES</t>
        </is>
      </c>
      <c r="C2337" t="inlineStr">
        <is>
          <t>Chief of Staff</t>
        </is>
      </c>
      <c r="D2337" t="inlineStr">
        <is>
          <t>Chef de cabinet</t>
        </is>
      </c>
      <c r="E2337" t="inlineStr">
        <is>
          <t>Matthew Mann</t>
        </is>
      </c>
      <c r="F2337" t="inlineStr">
        <is>
          <t>To support the Minister to attend meetings in Prince Edward Island.</t>
        </is>
      </c>
      <c r="G2337" t="inlineStr">
        <is>
          <t>Soutenir le ministre participant à des réunions à l'Île-du-Prince-Édouard.</t>
        </is>
      </c>
      <c r="H2337" s="1" t="n">
        <v>45519</v>
      </c>
      <c r="I2337" s="1" t="n">
        <v>45524</v>
      </c>
      <c r="J2337" t="inlineStr">
        <is>
          <t>Charlottown (Prince Edward Island) Canada</t>
        </is>
      </c>
      <c r="K2337" t="inlineStr">
        <is>
          <t>Charlottetown (l'Île-du-Prince-Édouard) Canada</t>
        </is>
      </c>
      <c r="P2337" t="n">
        <v>1727.02</v>
      </c>
      <c r="Q2337" t="n">
        <v>211.94</v>
      </c>
      <c r="R2337" t="n">
        <v>1148.98</v>
      </c>
      <c r="S2337" t="n">
        <v>335.85</v>
      </c>
      <c r="T2337" t="n">
        <v>0</v>
      </c>
      <c r="U2337" t="n">
        <v>3423.79</v>
      </c>
      <c r="X2337" t="inlineStr">
        <is>
          <t>aafc-aac</t>
        </is>
      </c>
      <c r="Y2337" t="inlineStr">
        <is>
          <t>Agriculture and Agri-Food Canada | Agriculture et Agroalimentaire Canada</t>
        </is>
      </c>
    </row>
    <row r="2338">
      <c r="A2338" t="inlineStr">
        <is>
          <t>T-2025-P05-007</t>
        </is>
      </c>
      <c r="B2338" t="inlineStr">
        <is>
          <t>MPSES</t>
        </is>
      </c>
      <c r="C2338" t="inlineStr">
        <is>
          <t>Special Assistant</t>
        </is>
      </c>
      <c r="D2338" t="inlineStr">
        <is>
          <t>Adjointe spéciale</t>
        </is>
      </c>
      <c r="E2338" t="inlineStr">
        <is>
          <t>Arianna Myers</t>
        </is>
      </c>
      <c r="F2338" t="inlineStr">
        <is>
          <t>To support the Minister to attend an Ontario Outreach</t>
        </is>
      </c>
      <c r="G2338" t="inlineStr">
        <is>
          <t>Soutenir le ministre participant à une action de sensibilisation en Ontario</t>
        </is>
      </c>
      <c r="H2338" s="1" t="n">
        <v>45510</v>
      </c>
      <c r="I2338" s="1" t="n">
        <v>45512</v>
      </c>
      <c r="J2338" t="inlineStr">
        <is>
          <t>Mississauga (Ontario) Canada
Cambridge (Ontario) Canada
Kitchener (Ontario) Canada
Ariss (Ontario) Canada
West Montrose (Ontario) Canada
Waterloo (Ontario) Canada
Woolrich (Ontario) Canada</t>
        </is>
      </c>
      <c r="K2338" t="inlineStr">
        <is>
          <t>Mississauga (Ontario) Canada
Cambridge (Ontario) Canada
Kitchener (Ontario) Canada
Ariss (Ontario) Canada
West Montrose (Ontario) Canada
Waterloo (Ontario) Canada
Woolrich (Ontario) Canada</t>
        </is>
      </c>
      <c r="P2338" t="n">
        <v>1029.12</v>
      </c>
      <c r="Q2338" t="n">
        <v>23.62</v>
      </c>
      <c r="R2338" t="n">
        <v>379.77</v>
      </c>
      <c r="S2338" t="n">
        <v>199</v>
      </c>
      <c r="T2338" t="n">
        <v>0</v>
      </c>
      <c r="U2338" t="n">
        <v>1631.51</v>
      </c>
      <c r="X2338" t="inlineStr">
        <is>
          <t>aafc-aac</t>
        </is>
      </c>
      <c r="Y2338" t="inlineStr">
        <is>
          <t>Agriculture and Agri-Food Canada | Agriculture et Agroalimentaire Canada</t>
        </is>
      </c>
    </row>
    <row r="2339">
      <c r="A2339" t="inlineStr">
        <is>
          <t>T-2025-P05-008</t>
        </is>
      </c>
      <c r="B2339" t="inlineStr">
        <is>
          <t>MPSES</t>
        </is>
      </c>
      <c r="C2339" t="inlineStr">
        <is>
          <t>Director of Communications</t>
        </is>
      </c>
      <c r="D2339" t="inlineStr">
        <is>
          <t>Directrice des communications</t>
        </is>
      </c>
      <c r="E2339" t="inlineStr">
        <is>
          <t>Annie Cullinan</t>
        </is>
      </c>
      <c r="F2339" t="inlineStr">
        <is>
          <t>To support the Minister attending the Annual Conference of Federal, Provincial and Territorial Ministers and Deputy Ministers of Agriculture</t>
        </is>
      </c>
      <c r="G2339" t="inlineStr">
        <is>
          <t>Soutenir le ministre participant à la conférence annuelle des ministres et sous-ministres fédéraux, provinciaux et territoriaux de l'Agriculture</t>
        </is>
      </c>
      <c r="H2339" s="1" t="n">
        <v>45489</v>
      </c>
      <c r="I2339" s="1" t="n">
        <v>45493</v>
      </c>
      <c r="J2339" t="inlineStr">
        <is>
          <t>Whitehorse (Yukon) Canada</t>
        </is>
      </c>
      <c r="K2339" t="inlineStr">
        <is>
          <t>Whitehorse (Yukon) Canada</t>
        </is>
      </c>
      <c r="P2339" t="n">
        <v>2422.08</v>
      </c>
      <c r="Q2339" t="n">
        <v>45.1</v>
      </c>
      <c r="R2339" t="n">
        <v>810.27</v>
      </c>
      <c r="S2339" t="n">
        <v>286.05</v>
      </c>
      <c r="T2339" t="n">
        <v>0</v>
      </c>
      <c r="U2339" t="n">
        <v>3563.5</v>
      </c>
      <c r="X2339" t="inlineStr">
        <is>
          <t>aafc-aac</t>
        </is>
      </c>
      <c r="Y2339" t="inlineStr">
        <is>
          <t>Agriculture and Agri-Food Canada | Agriculture et Agroalimentaire Canada</t>
        </is>
      </c>
    </row>
    <row r="2340">
      <c r="A2340" t="inlineStr">
        <is>
          <t>T-2025-P05-009</t>
        </is>
      </c>
      <c r="B2340" t="inlineStr">
        <is>
          <t>MPSES</t>
        </is>
      </c>
      <c r="C2340" t="inlineStr">
        <is>
          <t>Director of Communications</t>
        </is>
      </c>
      <c r="D2340" t="inlineStr">
        <is>
          <t>Directrice des communications</t>
        </is>
      </c>
      <c r="E2340" t="inlineStr">
        <is>
          <t>Annie Cullinan</t>
        </is>
      </c>
      <c r="F2340" t="inlineStr">
        <is>
          <t>To support the Minister to attend meetings and announcements</t>
        </is>
      </c>
      <c r="G2340" t="inlineStr">
        <is>
          <t>Soutenir le ministre participant aux réunions et aux annonces</t>
        </is>
      </c>
      <c r="H2340" s="1" t="n">
        <v>45501</v>
      </c>
      <c r="I2340" s="1" t="n">
        <v>45508</v>
      </c>
      <c r="J2340" t="inlineStr">
        <is>
          <t>Charlottetown (Prince Edward Island) Canada
Halifax (Nova Scotia) Canada</t>
        </is>
      </c>
      <c r="K2340" t="inlineStr">
        <is>
          <t>Charlottetown (Île-du-Prince-Édouard) Canada
Halifax (Nouvelle-Écosse) Canada</t>
        </is>
      </c>
      <c r="P2340" t="n">
        <v>1144.68</v>
      </c>
      <c r="Q2340" t="n">
        <v>138.81</v>
      </c>
      <c r="R2340" t="n">
        <v>568.6900000000001</v>
      </c>
      <c r="S2340" t="n">
        <v>162.05</v>
      </c>
      <c r="T2340" t="n">
        <v>0</v>
      </c>
      <c r="U2340" t="n">
        <v>2014.23</v>
      </c>
      <c r="X2340" t="inlineStr">
        <is>
          <t>aafc-aac</t>
        </is>
      </c>
      <c r="Y2340" t="inlineStr">
        <is>
          <t>Agriculture and Agri-Food Canada | Agriculture et Agroalimentaire Canada</t>
        </is>
      </c>
    </row>
    <row r="2341">
      <c r="A2341" t="inlineStr">
        <is>
          <t>T-2025-P05-010</t>
        </is>
      </c>
      <c r="B2341" t="inlineStr">
        <is>
          <t>MPSES</t>
        </is>
      </c>
      <c r="C2341" t="inlineStr">
        <is>
          <t>Senior Special Assistant</t>
        </is>
      </c>
      <c r="D2341" t="inlineStr">
        <is>
          <t>Adjoint spécial principal</t>
        </is>
      </c>
      <c r="E2341" t="inlineStr">
        <is>
          <t>Michael Ferguson</t>
        </is>
      </c>
      <c r="F2341" t="inlineStr">
        <is>
          <t>To support the Minister to attend meetings and announcements</t>
        </is>
      </c>
      <c r="G2341" t="inlineStr">
        <is>
          <t>Soutenir le ministre participant aux réunions et aux annonces</t>
        </is>
      </c>
      <c r="H2341" s="1" t="n">
        <v>45502</v>
      </c>
      <c r="I2341" s="1" t="n">
        <v>45503</v>
      </c>
      <c r="J2341" t="inlineStr">
        <is>
          <t>Charlottetown (Prince Edward Island) Canada
Halifax (Nova Scotia) Canada</t>
        </is>
      </c>
      <c r="K2341" t="inlineStr">
        <is>
          <t>Charlottetown (Île-du-Prince-Édouard) Canada
Halifax (Nouvelle-Écosse) Canada</t>
        </is>
      </c>
      <c r="P2341" t="n">
        <v>0</v>
      </c>
      <c r="Q2341" t="n">
        <v>351.73</v>
      </c>
      <c r="R2341" t="n">
        <v>297.44</v>
      </c>
      <c r="S2341" t="n">
        <v>162.05</v>
      </c>
      <c r="T2341" t="n">
        <v>0</v>
      </c>
      <c r="U2341" t="n">
        <v>811.22</v>
      </c>
      <c r="X2341" t="inlineStr">
        <is>
          <t>aafc-aac</t>
        </is>
      </c>
      <c r="Y2341" t="inlineStr">
        <is>
          <t>Agriculture and Agri-Food Canada | Agriculture et Agroalimentaire Canada</t>
        </is>
      </c>
    </row>
    <row r="2342">
      <c r="A2342" t="inlineStr">
        <is>
          <t>T-2025-P05-011</t>
        </is>
      </c>
      <c r="B2342" t="inlineStr">
        <is>
          <t>MPSES</t>
        </is>
      </c>
      <c r="C2342" t="inlineStr">
        <is>
          <t>Senior Special Assistant</t>
        </is>
      </c>
      <c r="D2342" t="inlineStr">
        <is>
          <t>Adjoint spécial principal</t>
        </is>
      </c>
      <c r="E2342" t="inlineStr">
        <is>
          <t>Michael Ferguson</t>
        </is>
      </c>
      <c r="F2342" t="inlineStr">
        <is>
          <t>To support the Minister to attend meetings and announcements</t>
        </is>
      </c>
      <c r="G2342" t="inlineStr">
        <is>
          <t>Soutenir le ministre participant aux réunions et aux annonces</t>
        </is>
      </c>
      <c r="H2342" s="1" t="n">
        <v>45467</v>
      </c>
      <c r="I2342" s="1" t="n">
        <v>45468</v>
      </c>
      <c r="J2342" t="inlineStr">
        <is>
          <t>Fredericton (New Brunswick) Canada</t>
        </is>
      </c>
      <c r="K2342" t="inlineStr">
        <is>
          <t>Fredericton (Nouveau-Brunswick) Canada</t>
        </is>
      </c>
      <c r="P2342" t="n">
        <v>0</v>
      </c>
      <c r="Q2342" t="n">
        <v>0</v>
      </c>
      <c r="R2342" t="n">
        <v>224.96</v>
      </c>
      <c r="S2342" t="n">
        <v>173.8</v>
      </c>
      <c r="T2342" t="n">
        <v>0</v>
      </c>
      <c r="U2342" t="n">
        <v>398.76</v>
      </c>
      <c r="X2342" t="inlineStr">
        <is>
          <t>aafc-aac</t>
        </is>
      </c>
      <c r="Y2342" t="inlineStr">
        <is>
          <t>Agriculture and Agri-Food Canada | Agriculture et Agroalimentaire Canada</t>
        </is>
      </c>
    </row>
    <row r="2343">
      <c r="A2343" t="inlineStr">
        <is>
          <t>T-2025-P05-012</t>
        </is>
      </c>
      <c r="B2343" t="inlineStr">
        <is>
          <t>MPSES</t>
        </is>
      </c>
      <c r="C2343" t="inlineStr">
        <is>
          <t>Deputy Chief of Staff &amp; Director of Operations</t>
        </is>
      </c>
      <c r="D2343" t="inlineStr">
        <is>
          <t>Chef de cabinet adjointe et Directrice des opérations</t>
        </is>
      </c>
      <c r="E2343" t="inlineStr">
        <is>
          <t>Maria Morley</t>
        </is>
      </c>
      <c r="F2343" t="inlineStr">
        <is>
          <t>To support the Minister to attend meetings and announcements</t>
        </is>
      </c>
      <c r="G2343" t="inlineStr">
        <is>
          <t>Soutenir le ministre participant aux réunions et aux annonces</t>
        </is>
      </c>
      <c r="H2343" s="1" t="n">
        <v>45484</v>
      </c>
      <c r="I2343" s="1" t="n">
        <v>45488</v>
      </c>
      <c r="J2343" t="inlineStr">
        <is>
          <t xml:space="preserve">Charlottetown (Prince Edward Island) Canada	</t>
        </is>
      </c>
      <c r="K2343" t="inlineStr">
        <is>
          <t>Charlottetown (Île-du-Prince-Édouard) Canada</t>
        </is>
      </c>
      <c r="P2343" t="n">
        <v>1253.47</v>
      </c>
      <c r="Q2343" t="n">
        <v>0</v>
      </c>
      <c r="R2343" t="n">
        <v>669.08</v>
      </c>
      <c r="S2343" t="n">
        <v>173.8</v>
      </c>
      <c r="T2343" t="n">
        <v>0</v>
      </c>
      <c r="U2343" t="n">
        <v>2096.35</v>
      </c>
      <c r="X2343" t="inlineStr">
        <is>
          <t>aafc-aac</t>
        </is>
      </c>
      <c r="Y2343" t="inlineStr">
        <is>
          <t>Agriculture and Agri-Food Canada | Agriculture et Agroalimentaire Canada</t>
        </is>
      </c>
    </row>
    <row r="2344">
      <c r="A2344" t="inlineStr">
        <is>
          <t>T-2025-P05-013</t>
        </is>
      </c>
      <c r="B2344" t="inlineStr">
        <is>
          <t>MPSES</t>
        </is>
      </c>
      <c r="C2344" t="inlineStr">
        <is>
          <t>Deputy Chief of Staff &amp; Director of Operations</t>
        </is>
      </c>
      <c r="D2344" t="inlineStr">
        <is>
          <t>Chef de cabinet adjointe et Directrice des opérations</t>
        </is>
      </c>
      <c r="E2344" t="inlineStr">
        <is>
          <t>Maria Morley</t>
        </is>
      </c>
      <c r="F2344" t="inlineStr">
        <is>
          <t>To support the Minister attending the Annual Conference of Federal, Provincial and Territorial Ministers and Deputy Ministers of Agriculture</t>
        </is>
      </c>
      <c r="G2344" t="inlineStr">
        <is>
          <t>Soutenir le ministre participant à la conférence annuelle des ministres et sous-ministres fédéraux, provinciaux et territoriaux de l'Agriculture</t>
        </is>
      </c>
      <c r="H2344" s="1" t="n">
        <v>45489</v>
      </c>
      <c r="I2344" s="1" t="n">
        <v>45492</v>
      </c>
      <c r="J2344" t="inlineStr">
        <is>
          <t>Whitehorse (Yukon) Canada</t>
        </is>
      </c>
      <c r="K2344" t="inlineStr">
        <is>
          <t>Whitehorse (Yukon) Canada</t>
        </is>
      </c>
      <c r="P2344" t="n">
        <v>2634.93</v>
      </c>
      <c r="Q2344" t="n">
        <v>24.44</v>
      </c>
      <c r="R2344" t="n">
        <v>540.1799999999999</v>
      </c>
      <c r="S2344" t="n">
        <v>199</v>
      </c>
      <c r="T2344" t="n">
        <v>0</v>
      </c>
      <c r="U2344" t="n">
        <v>3398.55</v>
      </c>
      <c r="X2344" t="inlineStr">
        <is>
          <t>aafc-aac</t>
        </is>
      </c>
      <c r="Y2344" t="inlineStr">
        <is>
          <t>Agriculture and Agri-Food Canada | Agriculture et Agroalimentaire Canada</t>
        </is>
      </c>
    </row>
    <row r="2345">
      <c r="A2345" t="inlineStr">
        <is>
          <t>T-2025-P05-014</t>
        </is>
      </c>
      <c r="B2345" t="inlineStr">
        <is>
          <t>MPSES</t>
        </is>
      </c>
      <c r="C2345" t="inlineStr">
        <is>
          <t>Deputy Chief of Staff &amp; Director of Operations</t>
        </is>
      </c>
      <c r="D2345" t="inlineStr">
        <is>
          <t>Chef de cabinet adjointe et Directrice des opérations</t>
        </is>
      </c>
      <c r="E2345" t="inlineStr">
        <is>
          <t>Maria Morley</t>
        </is>
      </c>
      <c r="F2345" t="inlineStr">
        <is>
          <t>To support the Minister to attend an Ontario Outreach</t>
        </is>
      </c>
      <c r="G2345" t="inlineStr">
        <is>
          <t>Soutenir le ministre participant à une action de sensibilisation en Ontario</t>
        </is>
      </c>
      <c r="H2345" s="1" t="n">
        <v>45510</v>
      </c>
      <c r="I2345" s="1" t="n">
        <v>45512</v>
      </c>
      <c r="J2345" t="inlineStr">
        <is>
          <t>Mississauga (Ontario) Canada
Cambridge (Ontario) Canada
Kitchener (Ontario) Canada
Ariss (Ontario) Canada
West Montrose (Ontario) Canada
Waterloo (Ontario) Canada
Woolrich (Ontario) Canada</t>
        </is>
      </c>
      <c r="K2345" t="inlineStr">
        <is>
          <t>Mississauga (Ontario) Canada
Cambridge (Ontario) Canada
Kitchener (Ontario) Canada
Ariss (Ontario) Canada
West Montrose (Ontario) Canada
Waterloo (Ontario) Canada
Woolrich (Ontario) Canada</t>
        </is>
      </c>
      <c r="P2345" t="n">
        <v>1029.12</v>
      </c>
      <c r="Q2345" t="n">
        <v>259.38</v>
      </c>
      <c r="R2345" t="n">
        <v>379.77</v>
      </c>
      <c r="S2345" t="n">
        <v>285.75</v>
      </c>
      <c r="T2345" t="n">
        <v>0</v>
      </c>
      <c r="U2345" t="n">
        <v>1954.02</v>
      </c>
      <c r="X2345" t="inlineStr">
        <is>
          <t>aafc-aac</t>
        </is>
      </c>
      <c r="Y2345" t="inlineStr">
        <is>
          <t>Agriculture and Agri-Food Canada | Agriculture et Agroalimentaire Canada</t>
        </is>
      </c>
    </row>
    <row r="2346">
      <c r="A2346" t="inlineStr">
        <is>
          <t>T-2025-P05-015</t>
        </is>
      </c>
      <c r="B2346" t="inlineStr">
        <is>
          <t>SLE</t>
        </is>
      </c>
      <c r="C2346" t="inlineStr">
        <is>
          <t>Corporate Secretary</t>
        </is>
      </c>
      <c r="D2346" t="inlineStr">
        <is>
          <t>Secrétaire générale</t>
        </is>
      </c>
      <c r="E2346" t="inlineStr">
        <is>
          <t>Tamara Abel</t>
        </is>
      </c>
      <c r="F2346" t="inlineStr">
        <is>
          <t>Operational activities</t>
        </is>
      </c>
      <c r="G2346" t="inlineStr">
        <is>
          <t>Activités opérationnelles</t>
        </is>
      </c>
      <c r="H2346" s="1" t="n">
        <v>45501</v>
      </c>
      <c r="I2346" s="1" t="n">
        <v>45505</v>
      </c>
      <c r="J2346" t="inlineStr">
        <is>
          <t>Ottawa (Ontario) Canada</t>
        </is>
      </c>
      <c r="K2346" t="inlineStr">
        <is>
          <t>Ottawa (Ontario) Canada</t>
        </is>
      </c>
      <c r="P2346" t="n">
        <v>502.73</v>
      </c>
      <c r="Q2346" t="n">
        <v>304.63</v>
      </c>
      <c r="R2346" t="n">
        <v>1122.68</v>
      </c>
      <c r="S2346" t="n">
        <v>596.15</v>
      </c>
      <c r="T2346" t="n">
        <v>0</v>
      </c>
      <c r="U2346" t="n">
        <v>2526.19</v>
      </c>
      <c r="X2346" t="inlineStr">
        <is>
          <t>aafc-aac</t>
        </is>
      </c>
      <c r="Y2346" t="inlineStr">
        <is>
          <t>Agriculture and Agri-Food Canada | Agriculture et Agroalimentaire Canada</t>
        </is>
      </c>
    </row>
    <row r="2347">
      <c r="A2347" t="inlineStr">
        <is>
          <t>T-2025-P05-016</t>
        </is>
      </c>
      <c r="B2347" t="inlineStr">
        <is>
          <t>SLE</t>
        </is>
      </c>
      <c r="C2347" t="inlineStr">
        <is>
          <t>Assistant Deputy Minister, International Affairs Branch</t>
        </is>
      </c>
      <c r="D2347" t="inlineStr">
        <is>
          <t>Sous-ministre adjointe, Direction générale des affaires internationales</t>
        </is>
      </c>
      <c r="E2347" t="inlineStr">
        <is>
          <t xml:space="preserve">Kathleen Donohue </t>
        </is>
      </c>
      <c r="F2347" t="inlineStr">
        <is>
          <t>To participate in an United States Department of Agriculture mission and outreach</t>
        </is>
      </c>
      <c r="G2347" t="inlineStr">
        <is>
          <t>Participer à une mission avec le Département d'agriculture des États-Unis et action de sensibilisation</t>
        </is>
      </c>
      <c r="H2347" s="1" t="n">
        <v>45459</v>
      </c>
      <c r="I2347" s="1" t="n">
        <v>45463</v>
      </c>
      <c r="J2347" t="inlineStr">
        <is>
          <t>Vancouver (British Columbia) Canada</t>
        </is>
      </c>
      <c r="K2347" t="inlineStr">
        <is>
          <t>Vancouver (Colombie-Britannique) Canada</t>
        </is>
      </c>
      <c r="P2347" t="n">
        <v>739.1900000000001</v>
      </c>
      <c r="Q2347" t="n">
        <v>262.55</v>
      </c>
      <c r="R2347" t="n">
        <v>1358.82</v>
      </c>
      <c r="S2347" t="n">
        <v>509.1</v>
      </c>
      <c r="T2347" t="n">
        <v>0</v>
      </c>
      <c r="U2347" t="n">
        <v>2869.66</v>
      </c>
      <c r="X2347" t="inlineStr">
        <is>
          <t>aafc-aac</t>
        </is>
      </c>
      <c r="Y2347" t="inlineStr">
        <is>
          <t>Agriculture and Agri-Food Canada | Agriculture et Agroalimentaire Canada</t>
        </is>
      </c>
    </row>
    <row r="2348">
      <c r="A2348" t="inlineStr">
        <is>
          <t>T-2025-P05-017</t>
        </is>
      </c>
      <c r="B2348" t="inlineStr">
        <is>
          <t>SLE</t>
        </is>
      </c>
      <c r="C2348" t="inlineStr">
        <is>
          <t>Assistant Deputy Minister, Corporate Management Branch</t>
        </is>
      </c>
      <c r="D2348" t="inlineStr">
        <is>
          <t>Sous-ministre adjointe, Direction générale de la gestion intégrée</t>
        </is>
      </c>
      <c r="E2348" t="inlineStr">
        <is>
          <t>Marie-Claude Guérard</t>
        </is>
      </c>
      <c r="F2348" t="inlineStr">
        <is>
          <t xml:space="preserve">To attend an outreach in Fredericton and Moncton, New Brunswick </t>
        </is>
      </c>
      <c r="G2348" t="inlineStr">
        <is>
          <t>Participer à une visite de sensibilisation à Fredericton et Moncton, Nouveau-Brunswick</t>
        </is>
      </c>
      <c r="H2348" s="1" t="n">
        <v>45495</v>
      </c>
      <c r="I2348" s="1" t="n">
        <v>45498</v>
      </c>
      <c r="J2348" t="inlineStr">
        <is>
          <t>Fredericton (New Brunswick) Canada
Moncton (New Brunswick) Canada</t>
        </is>
      </c>
      <c r="K2348" t="inlineStr">
        <is>
          <t>Fredericton (Nouveau Brunswick) Canada
Moncton (New Brunswick) Canada</t>
        </is>
      </c>
      <c r="P2348" t="n">
        <v>210.86</v>
      </c>
      <c r="Q2348" t="n">
        <v>107.47</v>
      </c>
      <c r="R2348" t="n">
        <v>628.46</v>
      </c>
      <c r="S2348" t="n">
        <v>492.1</v>
      </c>
      <c r="T2348" t="n">
        <v>0</v>
      </c>
      <c r="U2348" t="n">
        <v>1438.89</v>
      </c>
      <c r="X2348" t="inlineStr">
        <is>
          <t>aafc-aac</t>
        </is>
      </c>
      <c r="Y2348" t="inlineStr">
        <is>
          <t>Agriculture and Agri-Food Canada | Agriculture et Agroalimentaire Canada</t>
        </is>
      </c>
    </row>
    <row r="2349">
      <c r="A2349" t="inlineStr">
        <is>
          <t>T-2025-P05-018</t>
        </is>
      </c>
      <c r="B2349" t="inlineStr">
        <is>
          <t>SLE</t>
        </is>
      </c>
      <c r="C2349" t="inlineStr">
        <is>
          <t>Assistant Deputy Minister, Strategic Policy Branch</t>
        </is>
      </c>
      <c r="D2349" t="inlineStr">
        <is>
          <t>Sous-ministre adjointe, Direction générale des politiques stratégiques</t>
        </is>
      </c>
      <c r="E2349" t="inlineStr">
        <is>
          <t>Shannon Nix</t>
        </is>
      </c>
      <c r="F2349" t="inlineStr">
        <is>
          <t>To attend meetings with the Minister in Charlottetown</t>
        </is>
      </c>
      <c r="G2349" t="inlineStr">
        <is>
          <t>Participer aux réunions avec le ministre à Charlottetown</t>
        </is>
      </c>
      <c r="H2349" s="1" t="n">
        <v>45484</v>
      </c>
      <c r="I2349" s="1" t="n">
        <v>45485</v>
      </c>
      <c r="J2349" t="inlineStr">
        <is>
          <t>Charlottetown (Prince Edward Island) Canada</t>
        </is>
      </c>
      <c r="K2349" t="inlineStr">
        <is>
          <t>Charlottetown (île-du-Prince-Édouard) Canada</t>
        </is>
      </c>
      <c r="P2349" t="n">
        <v>1000.44</v>
      </c>
      <c r="Q2349" t="n">
        <v>435.91</v>
      </c>
      <c r="R2349" t="n">
        <v>425.35</v>
      </c>
      <c r="S2349" t="n">
        <v>208.4</v>
      </c>
      <c r="T2349" t="n">
        <v>0</v>
      </c>
      <c r="U2349" t="n">
        <v>2070.1</v>
      </c>
      <c r="X2349" t="inlineStr">
        <is>
          <t>aafc-aac</t>
        </is>
      </c>
      <c r="Y2349" t="inlineStr">
        <is>
          <t>Agriculture and Agri-Food Canada | Agriculture et Agroalimentaire Canada</t>
        </is>
      </c>
    </row>
    <row r="2350">
      <c r="A2350" t="inlineStr">
        <is>
          <t>T-2025-P05-019</t>
        </is>
      </c>
      <c r="B2350" t="inlineStr">
        <is>
          <t>SLE</t>
        </is>
      </c>
      <c r="C2350" t="inlineStr">
        <is>
          <t>Assistant Deputy Minister, Strategic Policy Branch</t>
        </is>
      </c>
      <c r="D2350" t="inlineStr">
        <is>
          <t>Sous-ministre adjointe, Direction générale des politiques stratégiques</t>
        </is>
      </c>
      <c r="E2350" t="inlineStr">
        <is>
          <t>Shannon Nix</t>
        </is>
      </c>
      <c r="F2350" t="inlineStr">
        <is>
          <t>To attend the Annual Conference of Federal, Provincial and Territorial Ministers and Deputy Ministers of Agriculture</t>
        </is>
      </c>
      <c r="G2350" t="inlineStr">
        <is>
          <t>Participer à la conférence annuelle des ministres et sous-ministres fédéraux, provinciaux et territoriaux de l'Agriculture</t>
        </is>
      </c>
      <c r="H2350" s="1" t="n">
        <v>45487</v>
      </c>
      <c r="I2350" s="1" t="n">
        <v>45493</v>
      </c>
      <c r="J2350" t="inlineStr">
        <is>
          <t>Whitehorse (Yukon) Canada</t>
        </is>
      </c>
      <c r="K2350" t="inlineStr">
        <is>
          <t>Whitehorse (Yukon) Canada</t>
        </is>
      </c>
      <c r="P2350" t="n">
        <v>29.38</v>
      </c>
      <c r="Q2350" t="n">
        <v>94.73</v>
      </c>
      <c r="R2350" t="n">
        <v>1080.36</v>
      </c>
      <c r="S2350" t="n">
        <v>603.75</v>
      </c>
      <c r="T2350" t="n">
        <v>0</v>
      </c>
      <c r="U2350" t="n">
        <v>1808.22</v>
      </c>
      <c r="V2350" t="inlineStr">
        <is>
          <t>Departmental travel credit applied to flight purchase</t>
        </is>
      </c>
      <c r="X2350" t="inlineStr">
        <is>
          <t>aafc-aac</t>
        </is>
      </c>
      <c r="Y2350" t="inlineStr">
        <is>
          <t>Agriculture and Agri-Food Canada | Agriculture et Agroalimentaire Canada</t>
        </is>
      </c>
    </row>
    <row r="2351">
      <c r="A2351" t="inlineStr">
        <is>
          <t>T-2025-P05-020</t>
        </is>
      </c>
      <c r="B2351" t="inlineStr">
        <is>
          <t>SLE</t>
        </is>
      </c>
      <c r="C2351" t="inlineStr">
        <is>
          <t>Assistant Deputy Minister, Programs Branch</t>
        </is>
      </c>
      <c r="D2351" t="inlineStr">
        <is>
          <t>Sous-ministre adjointe, Direction générale des programmes</t>
        </is>
      </c>
      <c r="E2351" t="inlineStr">
        <is>
          <t>Liz Foster</t>
        </is>
      </c>
      <c r="F2351" t="inlineStr">
        <is>
          <t>To attend meetings with the Minister in Charlottetown</t>
        </is>
      </c>
      <c r="G2351" t="inlineStr">
        <is>
          <t>Participer aux réunions avec le ministre à Charlottetown</t>
        </is>
      </c>
      <c r="H2351" s="1" t="n">
        <v>45483</v>
      </c>
      <c r="I2351" s="1" t="n">
        <v>45484</v>
      </c>
      <c r="J2351" t="inlineStr">
        <is>
          <t>Charlottetown (Prince Edward Island) Canada</t>
        </is>
      </c>
      <c r="K2351" t="inlineStr">
        <is>
          <t>Charlottetown (Île-du-Prince-Édouard) Canada</t>
        </is>
      </c>
      <c r="P2351" t="n">
        <v>429.29</v>
      </c>
      <c r="Q2351" t="n">
        <v>50</v>
      </c>
      <c r="R2351" t="n">
        <v>425.35</v>
      </c>
      <c r="S2351" t="n">
        <v>233.6</v>
      </c>
      <c r="T2351" t="n">
        <v>0</v>
      </c>
      <c r="U2351" t="n">
        <v>1138.24</v>
      </c>
      <c r="X2351" t="inlineStr">
        <is>
          <t>aafc-aac</t>
        </is>
      </c>
      <c r="Y2351" t="inlineStr">
        <is>
          <t>Agriculture and Agri-Food Canada | Agriculture et Agroalimentaire Canada</t>
        </is>
      </c>
    </row>
    <row r="2352">
      <c r="A2352" t="inlineStr">
        <is>
          <t>T-2025-P05-021</t>
        </is>
      </c>
      <c r="B2352" t="inlineStr">
        <is>
          <t>SLE</t>
        </is>
      </c>
      <c r="C2352" t="inlineStr">
        <is>
          <t>Assistant Deputy Minister, Programs Branch</t>
        </is>
      </c>
      <c r="D2352" t="inlineStr">
        <is>
          <t>Sous-ministre adjointe, Direction générale des programmes</t>
        </is>
      </c>
      <c r="E2352" t="inlineStr">
        <is>
          <t>Liz Foster</t>
        </is>
      </c>
      <c r="F2352" t="inlineStr">
        <is>
          <t>To attend the Annual Conference of Federal, Provincial and Territorial Ministers and Deputy Ministers of Agriculture</t>
        </is>
      </c>
      <c r="G2352" t="inlineStr">
        <is>
          <t>Participer à la conférence annuelle des ministres et sous-ministres fédéraux, provinciaux et territoriaux de l'Agriculture</t>
        </is>
      </c>
      <c r="H2352" s="1" t="n">
        <v>45489</v>
      </c>
      <c r="I2352" s="1" t="n">
        <v>45493</v>
      </c>
      <c r="J2352" t="inlineStr">
        <is>
          <t>Whitehorse (Yukon) Canada</t>
        </is>
      </c>
      <c r="K2352" t="inlineStr">
        <is>
          <t>Whitehorse (Yukon) Canada</t>
        </is>
      </c>
      <c r="P2352" t="n">
        <v>34.78</v>
      </c>
      <c r="Q2352" t="n">
        <v>125</v>
      </c>
      <c r="R2352" t="n">
        <v>1388.99</v>
      </c>
      <c r="S2352" t="n">
        <v>322.25</v>
      </c>
      <c r="T2352" t="n">
        <v>0</v>
      </c>
      <c r="U2352" t="n">
        <v>1871.02</v>
      </c>
      <c r="V2352" t="inlineStr">
        <is>
          <t>Departmental travel credit applied to flight purchase</t>
        </is>
      </c>
      <c r="X2352" t="inlineStr">
        <is>
          <t>aafc-aac</t>
        </is>
      </c>
      <c r="Y2352" t="inlineStr">
        <is>
          <t>Agriculture and Agri-Food Canada | Agriculture et Agroalimentaire Canada</t>
        </is>
      </c>
    </row>
    <row r="2353">
      <c r="A2353" t="inlineStr">
        <is>
          <t>T-2025-P06-001</t>
        </is>
      </c>
      <c r="B2353" t="inlineStr">
        <is>
          <t>MPSES</t>
        </is>
      </c>
      <c r="C2353" t="inlineStr">
        <is>
          <t>Minister</t>
        </is>
      </c>
      <c r="D2353" t="inlineStr">
        <is>
          <t>Ministre</t>
        </is>
      </c>
      <c r="E2353" t="inlineStr">
        <is>
          <t>Lawrence MacAulay</t>
        </is>
      </c>
      <c r="F2353" t="inlineStr">
        <is>
          <t>To attend an Outreach and a Cabinet Retreat in Halifax</t>
        </is>
      </c>
      <c r="G2353" t="inlineStr">
        <is>
          <t>Participer à une réunion de sensibilisation et à une retraite du cabinet à Halifax</t>
        </is>
      </c>
      <c r="H2353" s="1" t="n">
        <v>45526</v>
      </c>
      <c r="I2353" s="1" t="n">
        <v>45527</v>
      </c>
      <c r="J2353" t="inlineStr">
        <is>
          <t>Halifax (Nova-Scotia) Canada</t>
        </is>
      </c>
      <c r="K2353" t="inlineStr">
        <is>
          <t>Halifax (Nouvelle-Écosse) Canada</t>
        </is>
      </c>
      <c r="P2353" t="n">
        <v>0</v>
      </c>
      <c r="Q2353" t="n">
        <v>385.4</v>
      </c>
      <c r="R2353" t="n">
        <v>0</v>
      </c>
      <c r="S2353" t="n">
        <v>0</v>
      </c>
      <c r="T2353" t="n">
        <v>0</v>
      </c>
      <c r="U2353" t="n">
        <v>385.4</v>
      </c>
      <c r="X2353" t="inlineStr">
        <is>
          <t>aafc-aac</t>
        </is>
      </c>
      <c r="Y2353" t="inlineStr">
        <is>
          <t>Agriculture and Agri-Food Canada | Agriculture et Agroalimentaire Canada</t>
        </is>
      </c>
    </row>
    <row r="2354">
      <c r="A2354" t="inlineStr">
        <is>
          <t>T-2025-P06-002</t>
        </is>
      </c>
      <c r="B2354" t="inlineStr">
        <is>
          <t>MPSES</t>
        </is>
      </c>
      <c r="C2354" t="inlineStr">
        <is>
          <t>Minister</t>
        </is>
      </c>
      <c r="D2354" t="inlineStr">
        <is>
          <t>Ministre</t>
        </is>
      </c>
      <c r="E2354" t="inlineStr">
        <is>
          <t>Lawrence MacAulay</t>
        </is>
      </c>
      <c r="F2354" t="inlineStr">
        <is>
          <t>To attend the Atlantic Caucus Retreat</t>
        </is>
      </c>
      <c r="G2354" t="inlineStr">
        <is>
          <t>Participer à la retraite du caucus atlantique</t>
        </is>
      </c>
      <c r="H2354" s="1" t="n">
        <v>45540</v>
      </c>
      <c r="I2354" s="1" t="n">
        <v>45541</v>
      </c>
      <c r="J2354" t="inlineStr">
        <is>
          <t>Deer Lake (Newfoundland and Labrador) Canada
St.Johns (Newfoundland and Labrador) Canada</t>
        </is>
      </c>
      <c r="K2354" t="inlineStr">
        <is>
          <t>Deer Lake (Terre-Neuve et Labrador) Canada
St.John's (Terre-Neuve et Labrador) Canada</t>
        </is>
      </c>
      <c r="P2354" t="n">
        <v>937</v>
      </c>
      <c r="Q2354" t="n">
        <v>129.95</v>
      </c>
      <c r="R2354" t="n">
        <v>254.66</v>
      </c>
      <c r="S2354" t="n">
        <v>148.6</v>
      </c>
      <c r="T2354" t="n">
        <v>0</v>
      </c>
      <c r="U2354" t="n">
        <v>1470.21</v>
      </c>
      <c r="X2354" t="inlineStr">
        <is>
          <t>aafc-aac</t>
        </is>
      </c>
      <c r="Y2354" t="inlineStr">
        <is>
          <t>Agriculture and Agri-Food Canada | Agriculture et Agroalimentaire Canada</t>
        </is>
      </c>
    </row>
    <row r="2355">
      <c r="A2355" t="inlineStr">
        <is>
          <t>T-2025-P06-003</t>
        </is>
      </c>
      <c r="B2355" t="inlineStr">
        <is>
          <t>MPSES</t>
        </is>
      </c>
      <c r="C2355" t="inlineStr">
        <is>
          <t>Minister</t>
        </is>
      </c>
      <c r="D2355" t="inlineStr">
        <is>
          <t>Ministre</t>
        </is>
      </c>
      <c r="E2355" t="inlineStr">
        <is>
          <t>Lawrence MacAulay</t>
        </is>
      </c>
      <c r="F2355" t="inlineStr">
        <is>
          <t>To attend the G7 Agriculture Ministerial meeting</t>
        </is>
      </c>
      <c r="G2355" t="inlineStr">
        <is>
          <t>Participer à la réunion des ministres de l'agriculture du G7</t>
        </is>
      </c>
      <c r="H2355" s="1" t="n">
        <v>45557</v>
      </c>
      <c r="I2355" s="1" t="n">
        <v>45564</v>
      </c>
      <c r="J2355" t="inlineStr">
        <is>
          <t>Syracuse (Sicily) Italy</t>
        </is>
      </c>
      <c r="K2355" t="inlineStr">
        <is>
          <t>Syracuse (Sicile) Italie</t>
        </is>
      </c>
      <c r="P2355" t="n">
        <v>751.39</v>
      </c>
      <c r="Q2355" t="n">
        <v>0</v>
      </c>
      <c r="R2355" t="n">
        <v>0</v>
      </c>
      <c r="S2355" t="n">
        <v>0</v>
      </c>
      <c r="T2355" t="n">
        <v>0</v>
      </c>
      <c r="U2355" t="n">
        <v>751.39</v>
      </c>
      <c r="V2355" t="inlineStr">
        <is>
          <t>This trip was canceled. The airfare incurred non-refundable service fees and a penalty fee</t>
        </is>
      </c>
      <c r="W2355" t="inlineStr">
        <is>
          <t>Ce voyage a été annulé. Le billet d'avion a entraîné des frais de service non remboursables et une pénalité</t>
        </is>
      </c>
      <c r="X2355" t="inlineStr">
        <is>
          <t>aafc-aac</t>
        </is>
      </c>
      <c r="Y2355" t="inlineStr">
        <is>
          <t>Agriculture and Agri-Food Canada | Agriculture et Agroalimentaire Canada</t>
        </is>
      </c>
    </row>
    <row r="2356">
      <c r="A2356" t="inlineStr">
        <is>
          <t>T-2025-P06-004</t>
        </is>
      </c>
      <c r="B2356" t="inlineStr">
        <is>
          <t>MPSES</t>
        </is>
      </c>
      <c r="C2356" t="inlineStr">
        <is>
          <t>Chief of Staff</t>
        </is>
      </c>
      <c r="D2356" t="inlineStr">
        <is>
          <t>Chef de cabinet</t>
        </is>
      </c>
      <c r="E2356" t="inlineStr">
        <is>
          <t>Matthew Mann</t>
        </is>
      </c>
      <c r="F2356" t="inlineStr">
        <is>
          <t>To support the Minister in attending a Cabinet Retreat in Halifax</t>
        </is>
      </c>
      <c r="G2356" t="inlineStr">
        <is>
          <t>Soutenir le ministre lors de sa participation à une retraite du cabinet à Halifax</t>
        </is>
      </c>
      <c r="H2356" s="1" t="n">
        <v>45526</v>
      </c>
      <c r="I2356" s="1" t="n">
        <v>45531</v>
      </c>
      <c r="J2356" t="inlineStr">
        <is>
          <t>Halifax (Nova-Scotia) Canada</t>
        </is>
      </c>
      <c r="K2356" t="inlineStr">
        <is>
          <t>Halifax (Nouvelle-Écosse) Canada</t>
        </is>
      </c>
      <c r="P2356" t="n">
        <v>1465.64</v>
      </c>
      <c r="Q2356" t="n">
        <v>193.51</v>
      </c>
      <c r="R2356" t="n">
        <v>1486.2</v>
      </c>
      <c r="S2356" t="n">
        <v>223.9</v>
      </c>
      <c r="T2356" t="n">
        <v>0</v>
      </c>
      <c r="U2356" t="n">
        <v>3369.25</v>
      </c>
      <c r="X2356" t="inlineStr">
        <is>
          <t>aafc-aac</t>
        </is>
      </c>
      <c r="Y2356" t="inlineStr">
        <is>
          <t>Agriculture and Agri-Food Canada | Agriculture et Agroalimentaire Canada</t>
        </is>
      </c>
    </row>
    <row r="2357">
      <c r="A2357" t="inlineStr">
        <is>
          <t>T-2025-P06-005</t>
        </is>
      </c>
      <c r="B2357" t="inlineStr">
        <is>
          <t>MPSES</t>
        </is>
      </c>
      <c r="C2357" t="inlineStr">
        <is>
          <t>Director of Communications</t>
        </is>
      </c>
      <c r="D2357" t="inlineStr">
        <is>
          <t>Directrice des communications</t>
        </is>
      </c>
      <c r="E2357" t="inlineStr">
        <is>
          <t>Annie Cullinan</t>
        </is>
      </c>
      <c r="F2357" t="inlineStr">
        <is>
          <t>To support the Minister at the University of Prince Edward Island Climate Centre</t>
        </is>
      </c>
      <c r="G2357" t="inlineStr">
        <is>
          <t>Soutenir le ministre au Centre climatique de l'Université de l'Île-du-Prince-Édouard</t>
        </is>
      </c>
      <c r="H2357" s="1" t="n">
        <v>45532</v>
      </c>
      <c r="I2357" s="1" t="n">
        <v>45536</v>
      </c>
      <c r="J2357" t="inlineStr">
        <is>
          <t>Charlottetown (Prince Edward Island) Canada</t>
        </is>
      </c>
      <c r="K2357" t="inlineStr">
        <is>
          <t>Charlottetown (Île-du-Prince-Édouard) Canada</t>
        </is>
      </c>
      <c r="P2357" t="n">
        <v>1192.63</v>
      </c>
      <c r="Q2357" t="n">
        <v>66.87</v>
      </c>
      <c r="R2357" t="n">
        <v>677.5599999999999</v>
      </c>
      <c r="S2357" t="n">
        <v>310.95</v>
      </c>
      <c r="T2357" t="n">
        <v>0</v>
      </c>
      <c r="U2357" t="n">
        <v>2248.01</v>
      </c>
      <c r="X2357" t="inlineStr">
        <is>
          <t>aafc-aac</t>
        </is>
      </c>
      <c r="Y2357" t="inlineStr">
        <is>
          <t>Agriculture and Agri-Food Canada | Agriculture et Agroalimentaire Canada</t>
        </is>
      </c>
    </row>
    <row r="2358">
      <c r="A2358" t="inlineStr">
        <is>
          <t>T-2025-P06-006</t>
        </is>
      </c>
      <c r="B2358" t="inlineStr">
        <is>
          <t>MPSES</t>
        </is>
      </c>
      <c r="C2358" t="inlineStr">
        <is>
          <t>Director of Communications</t>
        </is>
      </c>
      <c r="D2358" t="inlineStr">
        <is>
          <t>Directrice des communications</t>
        </is>
      </c>
      <c r="E2358" t="inlineStr">
        <is>
          <t>Annie Cullinan</t>
        </is>
      </c>
      <c r="F2358" t="inlineStr">
        <is>
          <t>To support the Minister to attend meetings and announcements</t>
        </is>
      </c>
      <c r="G2358" t="inlineStr">
        <is>
          <t>Soutenir le ministre à participer aux réunions et aux annonces</t>
        </is>
      </c>
      <c r="H2358" s="1" t="n">
        <v>45540</v>
      </c>
      <c r="I2358" s="1" t="n">
        <v>45541</v>
      </c>
      <c r="J2358" t="inlineStr">
        <is>
          <t xml:space="preserve">
St.John's (Newfoundland and Labrador) Canada</t>
        </is>
      </c>
      <c r="K2358" t="inlineStr">
        <is>
          <t xml:space="preserve">
St.John's (Terre-Neuve et Labrador) Canada</t>
        </is>
      </c>
      <c r="P2358" t="n">
        <v>1988.7</v>
      </c>
      <c r="Q2358" t="n">
        <v>81.31</v>
      </c>
      <c r="R2358" t="n">
        <v>247.58</v>
      </c>
      <c r="S2358" t="n">
        <v>198.7</v>
      </c>
      <c r="T2358" t="n">
        <v>0</v>
      </c>
      <c r="U2358" t="n">
        <v>2516.29</v>
      </c>
      <c r="X2358" t="inlineStr">
        <is>
          <t>aafc-aac</t>
        </is>
      </c>
      <c r="Y2358" t="inlineStr">
        <is>
          <t>Agriculture and Agri-Food Canada | Agriculture et Agroalimentaire Canada</t>
        </is>
      </c>
    </row>
    <row r="2359">
      <c r="A2359" t="inlineStr">
        <is>
          <t>T-2025-P06-007</t>
        </is>
      </c>
      <c r="B2359" t="inlineStr">
        <is>
          <t>MPSES</t>
        </is>
      </c>
      <c r="C2359" t="inlineStr">
        <is>
          <t>Deputy Chief of Staff &amp; Director of Operations</t>
        </is>
      </c>
      <c r="D2359" t="inlineStr">
        <is>
          <t>Chef de cabinet adjointe et Directrice des opérations</t>
        </is>
      </c>
      <c r="E2359" t="inlineStr">
        <is>
          <t>Maria Morley</t>
        </is>
      </c>
      <c r="F2359" t="inlineStr">
        <is>
          <t>To support the Minister in attending meetings and tours in Halifax</t>
        </is>
      </c>
      <c r="G2359" t="inlineStr">
        <is>
          <t>Soutenir le ministre lors de sa participation à des réunions et des visites à Halifax</t>
        </is>
      </c>
      <c r="H2359" s="1" t="n">
        <v>45526</v>
      </c>
      <c r="I2359" s="1" t="n">
        <v>45532</v>
      </c>
      <c r="J2359" t="inlineStr">
        <is>
          <t>Halifax (Nova-Scotia) Canada</t>
        </is>
      </c>
      <c r="K2359" t="inlineStr">
        <is>
          <t>Halifax (Nouvelle-Écosse) Canada</t>
        </is>
      </c>
      <c r="P2359" t="n">
        <v>942.26</v>
      </c>
      <c r="Q2359" t="n">
        <v>447.25</v>
      </c>
      <c r="R2359" t="n">
        <v>0</v>
      </c>
      <c r="S2359" t="n">
        <v>223.9</v>
      </c>
      <c r="T2359" t="n">
        <v>0</v>
      </c>
      <c r="U2359" t="n">
        <v>1613.41</v>
      </c>
      <c r="X2359" t="inlineStr">
        <is>
          <t>aafc-aac</t>
        </is>
      </c>
      <c r="Y2359" t="inlineStr">
        <is>
          <t>Agriculture and Agri-Food Canada | Agriculture et Agroalimentaire Canada</t>
        </is>
      </c>
    </row>
    <row r="2360">
      <c r="A2360" t="inlineStr">
        <is>
          <t>T-2025-P06-008</t>
        </is>
      </c>
      <c r="B2360" t="inlineStr">
        <is>
          <t>MPSES</t>
        </is>
      </c>
      <c r="C2360" t="inlineStr">
        <is>
          <t>Deputy Chief of Staff &amp; Director of Operations</t>
        </is>
      </c>
      <c r="D2360" t="inlineStr">
        <is>
          <t>Chef de cabinet adjointe et Directrice des opérations</t>
        </is>
      </c>
      <c r="E2360" t="inlineStr">
        <is>
          <t>Maria Morley</t>
        </is>
      </c>
      <c r="F2360" t="inlineStr">
        <is>
          <t>To support the Minister in attending the Atlantic Caucus Retreat</t>
        </is>
      </c>
      <c r="G2360" t="inlineStr">
        <is>
          <t>Soutenir le ministre lors de sa participation à la retraite du caucus atlantique</t>
        </is>
      </c>
      <c r="H2360" s="1" t="n">
        <v>45538</v>
      </c>
      <c r="I2360" s="1" t="n">
        <v>45541</v>
      </c>
      <c r="J2360" t="inlineStr">
        <is>
          <t>Deer Lake (Newfoundland and Labrador) Canada
St.Johns (Newfoundland and Labrador) Canada</t>
        </is>
      </c>
      <c r="K2360" t="inlineStr">
        <is>
          <t>Deer Lake (Terre-Neuve et Labrador) Canada
St.John's (Terre-Neuve et Labrador) Canada</t>
        </is>
      </c>
      <c r="P2360" t="n">
        <v>1845.31</v>
      </c>
      <c r="Q2360" t="n">
        <v>472.1</v>
      </c>
      <c r="R2360" t="n">
        <v>724.3</v>
      </c>
      <c r="S2360" t="n">
        <v>422.9</v>
      </c>
      <c r="T2360" t="n">
        <v>0</v>
      </c>
      <c r="U2360" t="n">
        <v>3464.61</v>
      </c>
      <c r="X2360" t="inlineStr">
        <is>
          <t>aafc-aac</t>
        </is>
      </c>
      <c r="Y2360" t="inlineStr">
        <is>
          <t>Agriculture and Agri-Food Canada | Agriculture et Agroalimentaire Canada</t>
        </is>
      </c>
    </row>
    <row r="2361">
      <c r="A2361" t="inlineStr">
        <is>
          <t>T-2025-P06-009</t>
        </is>
      </c>
      <c r="B2361" t="inlineStr">
        <is>
          <t>MPSES</t>
        </is>
      </c>
      <c r="C2361" t="inlineStr">
        <is>
          <t>Deputy Chief of Staff &amp; Director of Operations</t>
        </is>
      </c>
      <c r="D2361" t="inlineStr">
        <is>
          <t>Chef de cabinet adjointe et Directrice des opérations</t>
        </is>
      </c>
      <c r="E2361" t="inlineStr">
        <is>
          <t>Maria Morley</t>
        </is>
      </c>
      <c r="F2361" t="inlineStr">
        <is>
          <t xml:space="preserve">To support the Minister in attending the National Liberal Caucus Retreat </t>
        </is>
      </c>
      <c r="G2361" t="inlineStr">
        <is>
          <t xml:space="preserve">Soutenir le ministre lors de sa participation à la retraite du caucus libéral national </t>
        </is>
      </c>
      <c r="H2361" s="1" t="n">
        <v>45543</v>
      </c>
      <c r="I2361" s="1" t="n">
        <v>45547</v>
      </c>
      <c r="J2361" t="inlineStr">
        <is>
          <t>Nanaimo (British Columbia) Canada
Vancouver (British Columbia) Canada</t>
        </is>
      </c>
      <c r="K2361" t="inlineStr">
        <is>
          <t>Nanaimo (Colombie-Britannique) Canada
Vancouver (Colombie-Britannique) Canada</t>
        </is>
      </c>
      <c r="P2361" t="n">
        <v>2018.91</v>
      </c>
      <c r="Q2361" t="n">
        <v>174.88</v>
      </c>
      <c r="R2361" t="n">
        <v>1094.52</v>
      </c>
      <c r="S2361" t="n">
        <v>559.75</v>
      </c>
      <c r="T2361" t="n">
        <v>0</v>
      </c>
      <c r="U2361" t="n">
        <v>3848.06</v>
      </c>
      <c r="X2361" t="inlineStr">
        <is>
          <t>aafc-aac</t>
        </is>
      </c>
      <c r="Y2361" t="inlineStr">
        <is>
          <t>Agriculture and Agri-Food Canada | Agriculture et Agroalimentaire Canada</t>
        </is>
      </c>
    </row>
    <row r="2362">
      <c r="A2362" t="inlineStr">
        <is>
          <t>T-2025-P06-010</t>
        </is>
      </c>
      <c r="B2362" t="inlineStr">
        <is>
          <t>SLE</t>
        </is>
      </c>
      <c r="C2362" t="inlineStr">
        <is>
          <t>Deputy Minister</t>
        </is>
      </c>
      <c r="D2362" t="inlineStr">
        <is>
          <t>Sous-ministre</t>
        </is>
      </c>
      <c r="E2362" t="inlineStr">
        <is>
          <t>Lawrence Hanson</t>
        </is>
      </c>
      <c r="F2362" t="inlineStr">
        <is>
          <t>To attend an Outreach in Ontario</t>
        </is>
      </c>
      <c r="G2362" t="inlineStr">
        <is>
          <t>Participer à une réunion de sensibilisation en Ontario</t>
        </is>
      </c>
      <c r="H2362" s="1" t="n">
        <v>45539</v>
      </c>
      <c r="I2362" s="1" t="n">
        <v>45541</v>
      </c>
      <c r="J2362" t="inlineStr">
        <is>
          <t>Guelph (Ontario) Canada</t>
        </is>
      </c>
      <c r="K2362" t="inlineStr">
        <is>
          <t>Guelph (Ontario) Canada</t>
        </is>
      </c>
      <c r="P2362" t="n">
        <v>948.4299999999999</v>
      </c>
      <c r="Q2362" t="n">
        <v>67.79000000000001</v>
      </c>
      <c r="R2362" t="n">
        <v>621.84</v>
      </c>
      <c r="S2362" t="n">
        <v>275.8</v>
      </c>
      <c r="T2362" t="n">
        <v>0</v>
      </c>
      <c r="U2362" t="n">
        <v>1913.86</v>
      </c>
      <c r="X2362" t="inlineStr">
        <is>
          <t>aafc-aac</t>
        </is>
      </c>
      <c r="Y2362" t="inlineStr">
        <is>
          <t>Agriculture and Agri-Food Canada | Agriculture et Agroalimentaire Canada</t>
        </is>
      </c>
    </row>
    <row r="2363">
      <c r="A2363" t="inlineStr">
        <is>
          <t>T-2025-P06-011</t>
        </is>
      </c>
      <c r="B2363" t="inlineStr">
        <is>
          <t>SLE</t>
        </is>
      </c>
      <c r="C2363" t="inlineStr">
        <is>
          <t>Deputy Minister</t>
        </is>
      </c>
      <c r="D2363" t="inlineStr">
        <is>
          <t>Sous-ministre</t>
        </is>
      </c>
      <c r="E2363" t="inlineStr">
        <is>
          <t>Lawrence Hanson</t>
        </is>
      </c>
      <c r="F2363" t="inlineStr">
        <is>
          <t>To attend an Outreach in Saskatchewan</t>
        </is>
      </c>
      <c r="G2363" t="inlineStr">
        <is>
          <t>Participer à une réunion de sensibilisation à Saskatchewan</t>
        </is>
      </c>
      <c r="H2363" s="1" t="n">
        <v>45544</v>
      </c>
      <c r="I2363" s="1" t="n">
        <v>45547</v>
      </c>
      <c r="J2363" t="inlineStr">
        <is>
          <t>Saskatoon (Saskatchewan) Canada</t>
        </is>
      </c>
      <c r="K2363" t="inlineStr">
        <is>
          <t>Saskatoon (Saskatchewan) Canada</t>
        </is>
      </c>
      <c r="P2363" t="n">
        <v>1840.38</v>
      </c>
      <c r="Q2363" t="n">
        <v>24.69</v>
      </c>
      <c r="R2363" t="n">
        <v>610.53</v>
      </c>
      <c r="S2363" t="n">
        <v>441.7</v>
      </c>
      <c r="T2363" t="n">
        <v>17.52</v>
      </c>
      <c r="U2363" t="n">
        <v>2934.82</v>
      </c>
      <c r="X2363" t="inlineStr">
        <is>
          <t>aafc-aac</t>
        </is>
      </c>
      <c r="Y2363" t="inlineStr">
        <is>
          <t>Agriculture and Agri-Food Canada | Agriculture et Agroalimentaire Canada</t>
        </is>
      </c>
    </row>
    <row r="2364">
      <c r="A2364" t="inlineStr">
        <is>
          <t>T-2025-P06-012</t>
        </is>
      </c>
      <c r="B2364" t="inlineStr">
        <is>
          <t>SLE</t>
        </is>
      </c>
      <c r="C2364" t="inlineStr">
        <is>
          <t>Assistant Deputy Minister, Corporate Management Branch</t>
        </is>
      </c>
      <c r="D2364" t="inlineStr">
        <is>
          <t>Sous-ministre adjointe, Direction générale de la gestion intégrée</t>
        </is>
      </c>
      <c r="E2364" t="inlineStr">
        <is>
          <t>Marie-Claude Guérard</t>
        </is>
      </c>
      <c r="F2364" t="inlineStr">
        <is>
          <t>To attend in-person meetings in Ottawa</t>
        </is>
      </c>
      <c r="G2364" t="inlineStr">
        <is>
          <t>Assister à des réunions en personne à Ottawa</t>
        </is>
      </c>
      <c r="H2364" s="1" t="n">
        <v>45530</v>
      </c>
      <c r="I2364" s="1" t="n">
        <v>45531</v>
      </c>
      <c r="J2364" t="inlineStr">
        <is>
          <t>Ottawa (Ontario) Canada</t>
        </is>
      </c>
      <c r="K2364" t="inlineStr">
        <is>
          <t>Ottawa (Ontario) Canada</t>
        </is>
      </c>
      <c r="P2364" t="n">
        <v>0</v>
      </c>
      <c r="Q2364" t="n">
        <v>406.9</v>
      </c>
      <c r="R2364" t="n">
        <v>259.84</v>
      </c>
      <c r="S2364" t="n">
        <v>171.75</v>
      </c>
      <c r="T2364" t="n">
        <v>0</v>
      </c>
      <c r="U2364" t="n">
        <v>838.49</v>
      </c>
      <c r="X2364" t="inlineStr">
        <is>
          <t>aafc-aac</t>
        </is>
      </c>
      <c r="Y2364" t="inlineStr">
        <is>
          <t>Agriculture and Agri-Food Canada | Agriculture et Agroalimentaire Canada</t>
        </is>
      </c>
    </row>
    <row r="2365">
      <c r="A2365" t="inlineStr">
        <is>
          <t>T-2025-P06-013</t>
        </is>
      </c>
      <c r="B2365" t="inlineStr">
        <is>
          <t>SLE</t>
        </is>
      </c>
      <c r="C2365" t="inlineStr">
        <is>
          <t>Assistant Deputy Minister, Corporate Management Branch</t>
        </is>
      </c>
      <c r="D2365" t="inlineStr">
        <is>
          <t>Sous-ministre adjointe, Direction générale de la gestion intégrée</t>
        </is>
      </c>
      <c r="E2365" t="inlineStr">
        <is>
          <t>Marie-Claude Guérard</t>
        </is>
      </c>
      <c r="F2365" t="inlineStr">
        <is>
          <t>To attend an outreach event in Charlottetown and the Colloquium on Financial Management</t>
        </is>
      </c>
      <c r="G2365" t="inlineStr">
        <is>
          <t>Participer à un événement de sensibilisation à Charlottetown ainsi qu'au Colloque sur la gestion financière</t>
        </is>
      </c>
      <c r="H2365" s="1" t="n">
        <v>45544</v>
      </c>
      <c r="I2365" s="1" t="n">
        <v>45547</v>
      </c>
      <c r="J2365" t="inlineStr">
        <is>
          <t xml:space="preserve">Charlottetown (Prince Edward Island) Canada </t>
        </is>
      </c>
      <c r="K2365" t="inlineStr">
        <is>
          <t>Charlottetown (Île-du-Prince-Édouard) Canada</t>
        </is>
      </c>
      <c r="P2365" t="n">
        <v>717.36</v>
      </c>
      <c r="Q2365" t="n">
        <v>133.89</v>
      </c>
      <c r="R2365" t="n">
        <v>1169.1</v>
      </c>
      <c r="S2365" t="n">
        <v>466.6</v>
      </c>
      <c r="T2365" t="n">
        <v>0</v>
      </c>
      <c r="U2365" t="n">
        <v>2486.95</v>
      </c>
      <c r="X2365" t="inlineStr">
        <is>
          <t>aafc-aac</t>
        </is>
      </c>
      <c r="Y2365" t="inlineStr">
        <is>
          <t>Agriculture and Agri-Food Canada | Agriculture et Agroalimentaire Canada</t>
        </is>
      </c>
    </row>
    <row r="2366">
      <c r="A2366" t="inlineStr">
        <is>
          <t>T-2025-P06-014</t>
        </is>
      </c>
      <c r="B2366" t="inlineStr">
        <is>
          <t>SLE</t>
        </is>
      </c>
      <c r="C2366" t="inlineStr">
        <is>
          <t>Assistant Deputy Minister, Strategic Policy Branch</t>
        </is>
      </c>
      <c r="D2366" t="inlineStr">
        <is>
          <t>Sous-ministre adjointe, Direction générale des politiques stratégiques</t>
        </is>
      </c>
      <c r="E2366" t="inlineStr">
        <is>
          <t>Shannon Nix</t>
        </is>
      </c>
      <c r="F2366" t="inlineStr">
        <is>
          <t>To attend in-person meetings in Ottawa</t>
        </is>
      </c>
      <c r="G2366" t="inlineStr">
        <is>
          <t>Assister à des réunions en personne à Ottawa</t>
        </is>
      </c>
      <c r="H2366" s="1" t="n">
        <v>45527</v>
      </c>
      <c r="I2366" s="1" t="n">
        <v>45545</v>
      </c>
      <c r="J2366" t="inlineStr">
        <is>
          <t>Ottawa (Ontario) Canada</t>
        </is>
      </c>
      <c r="K2366" t="inlineStr">
        <is>
          <t>Ottawa (Ontario) Canada</t>
        </is>
      </c>
      <c r="P2366" t="n">
        <v>0</v>
      </c>
      <c r="Q2366" t="n">
        <v>70.69</v>
      </c>
      <c r="R2366" t="n">
        <v>0</v>
      </c>
      <c r="S2366" t="n">
        <v>0</v>
      </c>
      <c r="T2366" t="n">
        <v>0</v>
      </c>
      <c r="U2366" t="n">
        <v>70.69</v>
      </c>
      <c r="X2366" t="inlineStr">
        <is>
          <t>aafc-aac</t>
        </is>
      </c>
      <c r="Y2366" t="inlineStr">
        <is>
          <t>Agriculture and Agri-Food Canada | Agriculture et Agroalimentaire Canada</t>
        </is>
      </c>
    </row>
    <row r="2367">
      <c r="A2367" t="inlineStr">
        <is>
          <t>T-2025-P06-015</t>
        </is>
      </c>
      <c r="B2367" t="inlineStr">
        <is>
          <t>SLE</t>
        </is>
      </c>
      <c r="C2367" t="inlineStr">
        <is>
          <t>Assistant Deputy Minister, Programs Branch</t>
        </is>
      </c>
      <c r="D2367" t="inlineStr">
        <is>
          <t>Sous-ministre adjointe, Direction générale des programmes</t>
        </is>
      </c>
      <c r="E2367" t="inlineStr">
        <is>
          <t>Liz Foster</t>
        </is>
      </c>
      <c r="F2367" t="inlineStr">
        <is>
          <t xml:space="preserve">To attend the Indigenous Network Circle Face-to-Face Meeting </t>
        </is>
      </c>
      <c r="G2367" t="inlineStr">
        <is>
          <t>Participer à une réunion en personne du Cercle du réseau autochtone</t>
        </is>
      </c>
      <c r="H2367" s="1" t="n">
        <v>45543</v>
      </c>
      <c r="I2367" s="1" t="n">
        <v>45550</v>
      </c>
      <c r="J2367" t="inlineStr">
        <is>
          <t>Penticton (British Columbia) Canada</t>
        </is>
      </c>
      <c r="K2367" t="inlineStr">
        <is>
          <t>Penticton (Colombie-Britannique) Canada</t>
        </is>
      </c>
      <c r="P2367" t="n">
        <v>1053.56</v>
      </c>
      <c r="Q2367" t="n">
        <v>460.95</v>
      </c>
      <c r="R2367" t="n">
        <v>1118.02</v>
      </c>
      <c r="S2367" t="n">
        <v>650.1</v>
      </c>
      <c r="T2367" t="n">
        <v>0</v>
      </c>
      <c r="U2367" t="n">
        <v>3282.63</v>
      </c>
      <c r="X2367" t="inlineStr">
        <is>
          <t>aafc-aac</t>
        </is>
      </c>
      <c r="Y2367" t="inlineStr">
        <is>
          <t>Agriculture and Agri-Food Canada | Agriculture et Agroalimentaire Canada</t>
        </is>
      </c>
    </row>
    <row r="2368">
      <c r="A2368" t="inlineStr">
        <is>
          <t>T-2025-P06-016</t>
        </is>
      </c>
      <c r="B2368" t="inlineStr">
        <is>
          <t>SLE</t>
        </is>
      </c>
      <c r="C2368" t="inlineStr">
        <is>
          <t>Assistant Deputy Minister, Market and Industry Services Branch</t>
        </is>
      </c>
      <c r="D2368" t="inlineStr">
        <is>
          <t>Sous-ministre adjoint, Direction générale des services à l'industrie et aux marchés</t>
        </is>
      </c>
      <c r="E2368" t="inlineStr">
        <is>
          <t>Tom Rosser</t>
        </is>
      </c>
      <c r="F2368" t="inlineStr">
        <is>
          <t>To attend the Asia-Pacific Economic Cooperation Conference in Peru</t>
        </is>
      </c>
      <c r="G2368" t="inlineStr">
        <is>
          <t>Assister à la conférence de la Coopération économique pour l'Asie-Pacifique au Pérou</t>
        </is>
      </c>
      <c r="H2368" s="1" t="n">
        <v>45519</v>
      </c>
      <c r="I2368" s="1" t="n">
        <v>45524</v>
      </c>
      <c r="J2368" t="inlineStr">
        <is>
          <t>Trujillo (La Libertad) Peru</t>
        </is>
      </c>
      <c r="K2368" t="inlineStr">
        <is>
          <t>Trujillo (La Libertad) Pérou</t>
        </is>
      </c>
      <c r="P2368" t="n">
        <v>6447.29</v>
      </c>
      <c r="Q2368" t="n">
        <v>65</v>
      </c>
      <c r="R2368" t="n">
        <v>208.42</v>
      </c>
      <c r="S2368" t="n">
        <v>660.25</v>
      </c>
      <c r="T2368" t="n">
        <v>0</v>
      </c>
      <c r="U2368" t="n">
        <v>7380.96</v>
      </c>
      <c r="X2368" t="inlineStr">
        <is>
          <t>aafc-aac</t>
        </is>
      </c>
      <c r="Y2368" t="inlineStr">
        <is>
          <t>Agriculture and Agri-Food Canada | Agriculture et Agroalimentaire Canada</t>
        </is>
      </c>
    </row>
    <row r="2369">
      <c r="A2369" t="inlineStr">
        <is>
          <t>T-2025-P07-001</t>
        </is>
      </c>
      <c r="B2369" t="inlineStr">
        <is>
          <t>MPSES</t>
        </is>
      </c>
      <c r="C2369" t="inlineStr">
        <is>
          <t>Minister</t>
        </is>
      </c>
      <c r="D2369" t="inlineStr">
        <is>
          <t>Ministre</t>
        </is>
      </c>
      <c r="E2369" t="inlineStr">
        <is>
          <t>Lawrence MacAulay</t>
        </is>
      </c>
      <c r="F2369" t="inlineStr">
        <is>
          <t>To attend an Ontario Outreach</t>
        </is>
      </c>
      <c r="G2369" t="inlineStr">
        <is>
          <t>Participer à une action de sensibilisation en Ontario</t>
        </is>
      </c>
      <c r="H2369" s="1" t="n">
        <v>45580</v>
      </c>
      <c r="I2369" s="1" t="n">
        <v>45582</v>
      </c>
      <c r="J2369" t="inlineStr">
        <is>
          <t>Guelph (Ontario) Canada
Niagara Falls (Ontario) Canada</t>
        </is>
      </c>
      <c r="K2369" t="inlineStr">
        <is>
          <t>Guelph (Ontario) Canada
Niagara Falls (Ontario) Canada</t>
        </is>
      </c>
      <c r="P2369" t="n">
        <v>1311.23</v>
      </c>
      <c r="Q2369" t="n">
        <v>28.35</v>
      </c>
      <c r="R2369" t="n">
        <v>239.74</v>
      </c>
      <c r="S2369" t="n">
        <v>223.6</v>
      </c>
      <c r="T2369" t="n">
        <v>0</v>
      </c>
      <c r="U2369" t="n">
        <v>1802.92</v>
      </c>
      <c r="X2369" t="inlineStr">
        <is>
          <t>aafc-aac</t>
        </is>
      </c>
      <c r="Y2369" t="inlineStr">
        <is>
          <t>Agriculture and Agri-Food Canada | Agriculture et Agroalimentaire Canada</t>
        </is>
      </c>
    </row>
    <row r="2370">
      <c r="A2370" t="inlineStr">
        <is>
          <t>T-2025-P07-002</t>
        </is>
      </c>
      <c r="B2370" t="inlineStr">
        <is>
          <t>MPSES</t>
        </is>
      </c>
      <c r="C2370" t="inlineStr">
        <is>
          <t>Minister</t>
        </is>
      </c>
      <c r="D2370" t="inlineStr">
        <is>
          <t>Ministre</t>
        </is>
      </c>
      <c r="E2370" t="inlineStr">
        <is>
          <t>Lawrence MacAulay</t>
        </is>
      </c>
      <c r="F2370" t="inlineStr">
        <is>
          <t>Visa photo for upcoming travel to China</t>
        </is>
      </c>
      <c r="G2370" t="inlineStr">
        <is>
          <t>Photo de visa pour le prochain voyage en Chine</t>
        </is>
      </c>
      <c r="H2370" s="1" t="n">
        <v>45575</v>
      </c>
      <c r="I2370" s="1" t="n">
        <v>45575</v>
      </c>
      <c r="J2370" t="inlineStr">
        <is>
          <t>Ottawa (Ontario) Canada</t>
        </is>
      </c>
      <c r="K2370" t="inlineStr">
        <is>
          <t>Ottawa (Ontario) Canada</t>
        </is>
      </c>
      <c r="P2370" t="n">
        <v>0</v>
      </c>
      <c r="Q2370" t="n">
        <v>0</v>
      </c>
      <c r="R2370" t="n">
        <v>0</v>
      </c>
      <c r="S2370" t="n">
        <v>0</v>
      </c>
      <c r="T2370" t="n">
        <v>40.68</v>
      </c>
      <c r="U2370" t="n">
        <v>40.68</v>
      </c>
      <c r="X2370" t="inlineStr">
        <is>
          <t>aafc-aac</t>
        </is>
      </c>
      <c r="Y2370" t="inlineStr">
        <is>
          <t>Agriculture and Agri-Food Canada | Agriculture et Agroalimentaire Canada</t>
        </is>
      </c>
    </row>
    <row r="2371">
      <c r="A2371" t="inlineStr">
        <is>
          <t>T-2025-P07-003</t>
        </is>
      </c>
      <c r="B2371" t="inlineStr">
        <is>
          <t>MPSES</t>
        </is>
      </c>
      <c r="C2371" t="inlineStr">
        <is>
          <t>Chief of Staff</t>
        </is>
      </c>
      <c r="D2371" t="inlineStr">
        <is>
          <t>Chef de cabinet</t>
        </is>
      </c>
      <c r="E2371" t="inlineStr">
        <is>
          <t>Matthew Mann</t>
        </is>
      </c>
      <c r="F2371" t="inlineStr">
        <is>
          <t>To support the Minister attending an announcement at the Heritage Research Farm and visiting Abegweit First Nation</t>
        </is>
      </c>
      <c r="G2371" t="inlineStr">
        <is>
          <t>Soutenir le ministre lors d'une annonce à la ferme de recherche Heritage et d'une visite de la Première Nation Abegweit</t>
        </is>
      </c>
      <c r="H2371" s="1" t="n">
        <v>45568</v>
      </c>
      <c r="I2371" s="1" t="n">
        <v>45570</v>
      </c>
      <c r="J2371" t="inlineStr">
        <is>
          <t>Charlottetown (Prince Edward Island) Canada</t>
        </is>
      </c>
      <c r="K2371" t="inlineStr">
        <is>
          <t>Charlottetown (Île-du-Prince-Édouard) Canada</t>
        </is>
      </c>
      <c r="P2371" t="n">
        <v>1033.69</v>
      </c>
      <c r="Q2371" t="n">
        <v>162.03</v>
      </c>
      <c r="R2371" t="n">
        <v>281.92</v>
      </c>
      <c r="S2371" t="n">
        <v>198.7</v>
      </c>
      <c r="T2371" t="n">
        <v>0</v>
      </c>
      <c r="U2371" t="n">
        <v>1676.34</v>
      </c>
      <c r="X2371" t="inlineStr">
        <is>
          <t>aafc-aac</t>
        </is>
      </c>
      <c r="Y2371" t="inlineStr">
        <is>
          <t>Agriculture and Agri-Food Canada | Agriculture et Agroalimentaire Canada</t>
        </is>
      </c>
    </row>
    <row r="2372">
      <c r="A2372" t="inlineStr">
        <is>
          <t>T-2025-P07-004</t>
        </is>
      </c>
      <c r="B2372" t="inlineStr">
        <is>
          <t>MPSES</t>
        </is>
      </c>
      <c r="C2372" t="inlineStr">
        <is>
          <t>Chief of Staff</t>
        </is>
      </c>
      <c r="D2372" t="inlineStr">
        <is>
          <t>Chef de cabinet</t>
        </is>
      </c>
      <c r="E2372" t="inlineStr">
        <is>
          <t>Matthew Mann</t>
        </is>
      </c>
      <c r="F2372" t="inlineStr">
        <is>
          <t>Visa photo for upcoming travel to China</t>
        </is>
      </c>
      <c r="G2372" t="inlineStr">
        <is>
          <t>Photo de visa pour le prochain voyage en Chine</t>
        </is>
      </c>
      <c r="H2372" s="1" t="n">
        <v>45575</v>
      </c>
      <c r="I2372" s="1" t="n">
        <v>45575</v>
      </c>
      <c r="J2372" t="inlineStr">
        <is>
          <t>Ottawa (Ontario) Canada</t>
        </is>
      </c>
      <c r="K2372" t="inlineStr">
        <is>
          <t>Ottawa (Ontario) Canada</t>
        </is>
      </c>
      <c r="P2372" t="n">
        <v>0</v>
      </c>
      <c r="Q2372" t="n">
        <v>0</v>
      </c>
      <c r="R2372" t="n">
        <v>0</v>
      </c>
      <c r="S2372" t="n">
        <v>0</v>
      </c>
      <c r="T2372" t="n">
        <v>40.68</v>
      </c>
      <c r="U2372" t="n">
        <v>40.68</v>
      </c>
      <c r="X2372" t="inlineStr">
        <is>
          <t>aafc-aac</t>
        </is>
      </c>
      <c r="Y2372" t="inlineStr">
        <is>
          <t>Agriculture and Agri-Food Canada | Agriculture et Agroalimentaire Canada</t>
        </is>
      </c>
    </row>
    <row r="2373">
      <c r="A2373" t="inlineStr">
        <is>
          <t>T-2025-P07-005</t>
        </is>
      </c>
      <c r="B2373" t="inlineStr">
        <is>
          <t>MPSES</t>
        </is>
      </c>
      <c r="C2373" t="inlineStr">
        <is>
          <t>Chief of Staff</t>
        </is>
      </c>
      <c r="D2373" t="inlineStr">
        <is>
          <t>Chef de cabinet</t>
        </is>
      </c>
      <c r="E2373" t="inlineStr">
        <is>
          <t>Matthew Mann</t>
        </is>
      </c>
      <c r="F2373" t="inlineStr">
        <is>
          <t>To support the Minister in attending an Ontario Outreach</t>
        </is>
      </c>
      <c r="G2373" t="inlineStr">
        <is>
          <t>Soutenir le ministre lors d'une activité de sensibilisation en Ontario</t>
        </is>
      </c>
      <c r="H2373" s="1" t="n">
        <v>45579</v>
      </c>
      <c r="I2373" s="1" t="n">
        <v>45582</v>
      </c>
      <c r="J2373" t="inlineStr">
        <is>
          <t>Guelph (Ontario) Canada
Niagara Falls (Ontario) Canada</t>
        </is>
      </c>
      <c r="K2373" t="inlineStr">
        <is>
          <t>Guelph (Ontario) Canada
Niagara Falls (Ontario) Canada</t>
        </is>
      </c>
      <c r="P2373" t="n">
        <v>1503.72</v>
      </c>
      <c r="Q2373" t="n">
        <v>0</v>
      </c>
      <c r="R2373" t="n">
        <v>344.33</v>
      </c>
      <c r="S2373" t="n">
        <v>223.6</v>
      </c>
      <c r="T2373" t="n">
        <v>0</v>
      </c>
      <c r="U2373" t="n">
        <v>2071.65</v>
      </c>
      <c r="X2373" t="inlineStr">
        <is>
          <t>aafc-aac</t>
        </is>
      </c>
      <c r="Y2373" t="inlineStr">
        <is>
          <t>Agriculture and Agri-Food Canada | Agriculture et Agroalimentaire Canada</t>
        </is>
      </c>
    </row>
    <row r="2374">
      <c r="A2374" t="inlineStr">
        <is>
          <t>T-2025-P07-006</t>
        </is>
      </c>
      <c r="B2374" t="inlineStr">
        <is>
          <t>MPSES</t>
        </is>
      </c>
      <c r="C2374" t="inlineStr">
        <is>
          <t>Chief of Staff</t>
        </is>
      </c>
      <c r="D2374" t="inlineStr">
        <is>
          <t>Chef de cabinet</t>
        </is>
      </c>
      <c r="E2374" t="inlineStr">
        <is>
          <t>Matthew Mann</t>
        </is>
      </c>
      <c r="F2374" t="inlineStr">
        <is>
          <t>To support the Minister in attending meetings and announcements</t>
        </is>
      </c>
      <c r="G2374" t="inlineStr">
        <is>
          <t>Soutenir le ministre lors de réunions et d'annonces</t>
        </is>
      </c>
      <c r="H2374" s="1" t="n">
        <v>45582</v>
      </c>
      <c r="I2374" s="1" t="n">
        <v>45583</v>
      </c>
      <c r="J2374" t="inlineStr">
        <is>
          <t>Charlottetown (Prince Edward Island) Canada</t>
        </is>
      </c>
      <c r="K2374" t="inlineStr">
        <is>
          <t>Charlottetown (Île-du-Prince-Édouard) Canada</t>
        </is>
      </c>
      <c r="P2374" t="n">
        <v>2517.82</v>
      </c>
      <c r="Q2374" t="n">
        <v>109.29</v>
      </c>
      <c r="R2374" t="n">
        <v>289.02</v>
      </c>
      <c r="S2374" t="n">
        <v>195.65</v>
      </c>
      <c r="T2374" t="n">
        <v>0</v>
      </c>
      <c r="U2374" t="n">
        <v>3111.78</v>
      </c>
      <c r="X2374" t="inlineStr">
        <is>
          <t>aafc-aac</t>
        </is>
      </c>
      <c r="Y2374" t="inlineStr">
        <is>
          <t>Agriculture and Agri-Food Canada | Agriculture et Agroalimentaire Canada</t>
        </is>
      </c>
    </row>
    <row r="2375">
      <c r="A2375" t="inlineStr">
        <is>
          <t>T-2025-P07-007</t>
        </is>
      </c>
      <c r="B2375" t="inlineStr">
        <is>
          <t>MPSES</t>
        </is>
      </c>
      <c r="C2375" t="inlineStr">
        <is>
          <t>Chief of Staff</t>
        </is>
      </c>
      <c r="D2375" t="inlineStr">
        <is>
          <t>Chef de cabinet</t>
        </is>
      </c>
      <c r="E2375" t="inlineStr">
        <is>
          <t>Matthew Mann</t>
        </is>
      </c>
      <c r="F2375" t="inlineStr">
        <is>
          <t>To attend the G7 Agriculture Ministerial meeting</t>
        </is>
      </c>
      <c r="G2375" t="inlineStr">
        <is>
          <t>Participer à la réunion des ministres de l'agriculture du G7</t>
        </is>
      </c>
      <c r="H2375" s="1" t="n">
        <v>45559</v>
      </c>
      <c r="I2375" s="1" t="n">
        <v>45564</v>
      </c>
      <c r="J2375" t="inlineStr">
        <is>
          <t>Syracuse (Sicily) Italy</t>
        </is>
      </c>
      <c r="K2375" t="inlineStr">
        <is>
          <t>Syracuse (Sicile) Italie</t>
        </is>
      </c>
      <c r="P2375" t="n">
        <v>163.74</v>
      </c>
      <c r="Q2375" t="n">
        <v>0</v>
      </c>
      <c r="R2375" t="n">
        <v>2176.01</v>
      </c>
      <c r="S2375" t="n">
        <v>0</v>
      </c>
      <c r="T2375" t="n">
        <v>0</v>
      </c>
      <c r="U2375" t="n">
        <v>2339.75</v>
      </c>
      <c r="V2375" t="inlineStr">
        <is>
          <t>This trip was canceled. The airfare incurred non-refundable service fees and a penalty fee. Hotel was non refundable because of late cancellation.</t>
        </is>
      </c>
      <c r="W2375" t="inlineStr">
        <is>
          <t>Ce voyage a été annulé. Le billet d'avion a entraîné des frais de service non remboursables et une pénalité. L'hôtel était non remboursable vu le délai d'annulation.</t>
        </is>
      </c>
      <c r="X2375" t="inlineStr">
        <is>
          <t>aafc-aac</t>
        </is>
      </c>
      <c r="Y2375" t="inlineStr">
        <is>
          <t>Agriculture and Agri-Food Canada | Agriculture et Agroalimentaire Canada</t>
        </is>
      </c>
    </row>
    <row r="2376">
      <c r="A2376" t="inlineStr">
        <is>
          <t>T-2025-P07-008</t>
        </is>
      </c>
      <c r="B2376" t="inlineStr">
        <is>
          <t>MPSES</t>
        </is>
      </c>
      <c r="C2376" t="inlineStr">
        <is>
          <t>Special Assistant</t>
        </is>
      </c>
      <c r="D2376" t="inlineStr">
        <is>
          <t>Adjointe spéciale</t>
        </is>
      </c>
      <c r="E2376" t="inlineStr">
        <is>
          <t>Arianna Myers</t>
        </is>
      </c>
      <c r="F2376" t="inlineStr">
        <is>
          <t>To support the Minister in attending an Ontario Outreach</t>
        </is>
      </c>
      <c r="G2376" t="inlineStr">
        <is>
          <t>Soutenir le ministre lors d'une activité de sensibilisation en Ontario</t>
        </is>
      </c>
      <c r="H2376" s="1" t="n">
        <v>45579</v>
      </c>
      <c r="I2376" s="1" t="n">
        <v>45582</v>
      </c>
      <c r="J2376" t="inlineStr">
        <is>
          <t>Guelph (Ontario) Canada
Niagara Falls (Ontario) Canada</t>
        </is>
      </c>
      <c r="K2376" t="inlineStr">
        <is>
          <t>Guelph (Ontario) Canada
Niagara Falls (Ontario) Canada</t>
        </is>
      </c>
      <c r="P2376" t="n">
        <v>1248.34</v>
      </c>
      <c r="Q2376" t="n">
        <v>204.25</v>
      </c>
      <c r="R2376" t="n">
        <v>465.9</v>
      </c>
      <c r="S2376" t="n">
        <v>223.6</v>
      </c>
      <c r="T2376" t="n">
        <v>0</v>
      </c>
      <c r="U2376" t="n">
        <v>2142.09</v>
      </c>
      <c r="X2376" t="inlineStr">
        <is>
          <t>aafc-aac</t>
        </is>
      </c>
      <c r="Y2376" t="inlineStr">
        <is>
          <t>Agriculture and Agri-Food Canada | Agriculture et Agroalimentaire Canada</t>
        </is>
      </c>
    </row>
    <row r="2377">
      <c r="A2377" t="inlineStr">
        <is>
          <t>T-2025-P07-009</t>
        </is>
      </c>
      <c r="B2377" t="inlineStr">
        <is>
          <t>MPSES</t>
        </is>
      </c>
      <c r="C2377" t="inlineStr">
        <is>
          <t>Director of Communications</t>
        </is>
      </c>
      <c r="D2377" t="inlineStr">
        <is>
          <t>Directrice des communications</t>
        </is>
      </c>
      <c r="E2377" t="inlineStr">
        <is>
          <t>Annie Cullinan</t>
        </is>
      </c>
      <c r="F2377" t="inlineStr">
        <is>
          <t>To support the Minister attending an announcement at the Heritage Research Farm and visiting Abegweit First Nation</t>
        </is>
      </c>
      <c r="G2377" t="inlineStr">
        <is>
          <t>Soutenir le ministre pour lors d'une annonce à la Ferme de recherche Heritage et d'une visite à la Première Nation d'Abegweit.</t>
        </is>
      </c>
      <c r="H2377" s="1" t="n">
        <v>45568</v>
      </c>
      <c r="I2377" s="1" t="n">
        <v>45570</v>
      </c>
      <c r="J2377" t="inlineStr">
        <is>
          <t>Charlottetown (Prince Edward Island) Canada</t>
        </is>
      </c>
      <c r="K2377" t="inlineStr">
        <is>
          <t>Charlottetown (Île-du-Prince-Édouard) Canada</t>
        </is>
      </c>
      <c r="P2377" t="n">
        <v>908.77</v>
      </c>
      <c r="Q2377" t="n">
        <v>23.81</v>
      </c>
      <c r="R2377" t="n">
        <v>281.92</v>
      </c>
      <c r="S2377" t="n">
        <v>198.7</v>
      </c>
      <c r="T2377" t="n">
        <v>0</v>
      </c>
      <c r="U2377" t="n">
        <v>1413.2</v>
      </c>
      <c r="X2377" t="inlineStr">
        <is>
          <t>aafc-aac</t>
        </is>
      </c>
      <c r="Y2377" t="inlineStr">
        <is>
          <t>Agriculture and Agri-Food Canada | Agriculture et Agroalimentaire Canada</t>
        </is>
      </c>
    </row>
    <row r="2378">
      <c r="A2378" t="inlineStr">
        <is>
          <t>T-2025-P07-010</t>
        </is>
      </c>
      <c r="B2378" t="inlineStr">
        <is>
          <t>MPSES</t>
        </is>
      </c>
      <c r="C2378" t="inlineStr">
        <is>
          <t>Director of Communications</t>
        </is>
      </c>
      <c r="D2378" t="inlineStr">
        <is>
          <t>Directrice des communications</t>
        </is>
      </c>
      <c r="E2378" t="inlineStr">
        <is>
          <t>Annie Cullinan</t>
        </is>
      </c>
      <c r="F2378" t="inlineStr">
        <is>
          <t>Visa and Passport Photo for upcoming travel to China</t>
        </is>
      </c>
      <c r="G2378" t="inlineStr">
        <is>
          <t>Visa et photo d'identité de passeport pour le prochain voyage en Chine</t>
        </is>
      </c>
      <c r="H2378" s="1" t="n">
        <v>45575</v>
      </c>
      <c r="I2378" s="1" t="n">
        <v>45575</v>
      </c>
      <c r="J2378" t="inlineStr">
        <is>
          <t>Ottawa (Ontario) Canada</t>
        </is>
      </c>
      <c r="K2378" t="inlineStr">
        <is>
          <t>Ottawa (Ontario) Canada</t>
        </is>
      </c>
      <c r="P2378" t="n">
        <v>0</v>
      </c>
      <c r="Q2378" t="n">
        <v>0</v>
      </c>
      <c r="R2378" t="n">
        <v>0</v>
      </c>
      <c r="S2378" t="n">
        <v>0</v>
      </c>
      <c r="T2378" t="n">
        <v>65.54000000000001</v>
      </c>
      <c r="U2378" t="n">
        <v>65.54000000000001</v>
      </c>
      <c r="X2378" t="inlineStr">
        <is>
          <t>aafc-aac</t>
        </is>
      </c>
      <c r="Y2378" t="inlineStr">
        <is>
          <t>Agriculture and Agri-Food Canada | Agriculture et Agroalimentaire Canada</t>
        </is>
      </c>
    </row>
    <row r="2379">
      <c r="A2379" t="inlineStr">
        <is>
          <t>T-2025-P07-011</t>
        </is>
      </c>
      <c r="B2379" t="inlineStr">
        <is>
          <t>SLE</t>
        </is>
      </c>
      <c r="C2379" t="inlineStr">
        <is>
          <t>Deputy Minister</t>
        </is>
      </c>
      <c r="D2379" t="inlineStr">
        <is>
          <t>Sous-ministre</t>
        </is>
      </c>
      <c r="E2379" t="inlineStr">
        <is>
          <t>Lawrence Hanson</t>
        </is>
      </c>
      <c r="F2379" t="inlineStr">
        <is>
          <t>To attend the G7 Agriculture Ministerial meeting</t>
        </is>
      </c>
      <c r="G2379" t="inlineStr">
        <is>
          <t>Participer à la réunion des ministres de l'agriculture du G7</t>
        </is>
      </c>
      <c r="H2379" s="1" t="n">
        <v>45559</v>
      </c>
      <c r="I2379" s="1" t="n">
        <v>45564</v>
      </c>
      <c r="J2379" t="inlineStr">
        <is>
          <t>Catania (Sicily) Italy</t>
        </is>
      </c>
      <c r="K2379" t="inlineStr">
        <is>
          <t>Catane (Sicile) Italie</t>
        </is>
      </c>
      <c r="P2379" t="n">
        <v>4788.42</v>
      </c>
      <c r="Q2379" t="n">
        <v>0</v>
      </c>
      <c r="R2379" t="n">
        <v>1449.11</v>
      </c>
      <c r="S2379" t="n">
        <v>556.49</v>
      </c>
      <c r="T2379" t="n">
        <v>0</v>
      </c>
      <c r="U2379" t="n">
        <v>6794.02</v>
      </c>
      <c r="X2379" t="inlineStr">
        <is>
          <t>aafc-aac</t>
        </is>
      </c>
      <c r="Y2379" t="inlineStr">
        <is>
          <t>Agriculture and Agri-Food Canada | Agriculture et Agroalimentaire Canada</t>
        </is>
      </c>
    </row>
    <row r="2380">
      <c r="A2380" t="inlineStr">
        <is>
          <t>T-2025-P07-012</t>
        </is>
      </c>
      <c r="B2380" t="inlineStr">
        <is>
          <t>SLE</t>
        </is>
      </c>
      <c r="C2380" t="inlineStr">
        <is>
          <t>Deputy Minister</t>
        </is>
      </c>
      <c r="D2380" t="inlineStr">
        <is>
          <t>Sous-ministre</t>
        </is>
      </c>
      <c r="E2380" t="inlineStr">
        <is>
          <t>Lawrence Hanson</t>
        </is>
      </c>
      <c r="F2380" t="inlineStr">
        <is>
          <t>To attend the National Values and Ethics Symposium</t>
        </is>
      </c>
      <c r="G2380" t="inlineStr">
        <is>
          <t>Participer au Symposium national sur les valeurs et l'éthique</t>
        </is>
      </c>
      <c r="H2380" s="1" t="n">
        <v>45579</v>
      </c>
      <c r="I2380" s="1" t="n">
        <v>45581</v>
      </c>
      <c r="J2380" t="inlineStr">
        <is>
          <t>Charlottetown (Prince Edward Island) Canada</t>
        </is>
      </c>
      <c r="K2380" t="inlineStr">
        <is>
          <t>Charlottetown (Île-du-Prince-Édouard) Canada</t>
        </is>
      </c>
      <c r="P2380" t="n">
        <v>1073.23</v>
      </c>
      <c r="Q2380" t="n">
        <v>42.9</v>
      </c>
      <c r="R2380" t="n">
        <v>435.9</v>
      </c>
      <c r="S2380" t="n">
        <v>337.65</v>
      </c>
      <c r="T2380" t="n">
        <v>0</v>
      </c>
      <c r="U2380" t="n">
        <v>1889.68</v>
      </c>
      <c r="X2380" t="inlineStr">
        <is>
          <t>aafc-aac</t>
        </is>
      </c>
      <c r="Y2380" t="inlineStr">
        <is>
          <t>Agriculture and Agri-Food Canada | Agriculture et Agroalimentaire Canada</t>
        </is>
      </c>
    </row>
    <row r="2381">
      <c r="A2381" t="inlineStr">
        <is>
          <t>T-2025-P07-013</t>
        </is>
      </c>
      <c r="B2381" t="inlineStr">
        <is>
          <t>SLE</t>
        </is>
      </c>
      <c r="C2381" t="inlineStr">
        <is>
          <t>Corporate Secretary</t>
        </is>
      </c>
      <c r="D2381" t="inlineStr">
        <is>
          <t>Secrétaire générale</t>
        </is>
      </c>
      <c r="E2381" t="inlineStr">
        <is>
          <t>Tamara Abel</t>
        </is>
      </c>
      <c r="F2381" t="inlineStr">
        <is>
          <t>Operational activities</t>
        </is>
      </c>
      <c r="G2381" t="inlineStr">
        <is>
          <t>Activités opérationnelles</t>
        </is>
      </c>
      <c r="H2381" s="1" t="n">
        <v>45572</v>
      </c>
      <c r="I2381" s="1" t="n">
        <v>45575</v>
      </c>
      <c r="J2381" t="inlineStr">
        <is>
          <t>Ottawa (Ontario) Canada</t>
        </is>
      </c>
      <c r="K2381" t="inlineStr">
        <is>
          <t>Ottawa (Ontario) Canada</t>
        </is>
      </c>
      <c r="P2381" t="n">
        <v>474.8</v>
      </c>
      <c r="Q2381" t="n">
        <v>312.88</v>
      </c>
      <c r="R2381" t="n">
        <v>1177</v>
      </c>
      <c r="S2381" t="n">
        <v>466.9</v>
      </c>
      <c r="T2381" t="n">
        <v>0</v>
      </c>
      <c r="U2381" t="n">
        <v>2431.58</v>
      </c>
      <c r="X2381" t="inlineStr">
        <is>
          <t>aafc-aac</t>
        </is>
      </c>
      <c r="Y2381" t="inlineStr">
        <is>
          <t>Agriculture and Agri-Food Canada | Agriculture et Agroalimentaire Canada</t>
        </is>
      </c>
    </row>
    <row r="2382">
      <c r="A2382" t="inlineStr">
        <is>
          <t>T-2025-P07-014</t>
        </is>
      </c>
      <c r="B2382" t="inlineStr">
        <is>
          <t>SLE</t>
        </is>
      </c>
      <c r="C2382" t="inlineStr">
        <is>
          <t>Workplace Well-Being Ombudsperson</t>
        </is>
      </c>
      <c r="D2382" t="inlineStr">
        <is>
          <t>Ombudsman du mieux-être en milieu de travail</t>
        </is>
      </c>
      <c r="E2382" t="inlineStr">
        <is>
          <t xml:space="preserve">Elianne Hall </t>
        </is>
      </c>
      <c r="F2382" t="inlineStr">
        <is>
          <t>To attend, as an observer, the International Ombuds Association Annual Conference at St-Paul's University</t>
        </is>
      </c>
      <c r="G2382" t="inlineStr">
        <is>
          <t>Assister, en tant qu'observateur, à la conférence annuelle de l'Association internationale des ombuds à l'Université St. Paul</t>
        </is>
      </c>
      <c r="H2382" s="1" t="n">
        <v>45551</v>
      </c>
      <c r="I2382" s="1" t="n">
        <v>45553</v>
      </c>
      <c r="J2382" t="inlineStr">
        <is>
          <t>Ottawa (Ontario) Canada</t>
        </is>
      </c>
      <c r="K2382" t="inlineStr">
        <is>
          <t>Ottawa (Ontario) Canada</t>
        </is>
      </c>
      <c r="P2382" t="n">
        <v>0</v>
      </c>
      <c r="Q2382" t="n">
        <v>40.5</v>
      </c>
      <c r="R2382" t="n">
        <v>0</v>
      </c>
      <c r="S2382" t="n">
        <v>0</v>
      </c>
      <c r="T2382" t="n">
        <v>0</v>
      </c>
      <c r="U2382" t="n">
        <v>40.5</v>
      </c>
      <c r="X2382" t="inlineStr">
        <is>
          <t>aafc-aac</t>
        </is>
      </c>
      <c r="Y2382" t="inlineStr">
        <is>
          <t>Agriculture and Agri-Food Canada | Agriculture et Agroalimentaire Canada</t>
        </is>
      </c>
    </row>
    <row r="2383">
      <c r="A2383" t="inlineStr">
        <is>
          <t>T-2025-P07-015</t>
        </is>
      </c>
      <c r="B2383" t="inlineStr">
        <is>
          <t>SLE</t>
        </is>
      </c>
      <c r="C2383" t="inlineStr">
        <is>
          <t>Workplace Well-Being Ombudsperson</t>
        </is>
      </c>
      <c r="D2383" t="inlineStr">
        <is>
          <t>Ombudsman du mieux-être en milieu de travail</t>
        </is>
      </c>
      <c r="E2383" t="inlineStr">
        <is>
          <t xml:space="preserve">Elianne Hall </t>
        </is>
      </c>
      <c r="F2383" t="inlineStr">
        <is>
          <t>To attend, as an observer, the Associate Directors of Research and Development Centres' Annual Face-to-Face Meeting to present our service</t>
        </is>
      </c>
      <c r="G2383" t="inlineStr">
        <is>
          <t>Assister, en tant qu'observateur, à la réunion annuelle en personne des directeurs associés des centres de recherche et développement pour présenter nos services</t>
        </is>
      </c>
      <c r="H2383" s="1" t="n">
        <v>45558</v>
      </c>
      <c r="I2383" s="1" t="n">
        <v>45559</v>
      </c>
      <c r="J2383" t="inlineStr">
        <is>
          <t>Sainte-Foy (Quebec) Canada</t>
        </is>
      </c>
      <c r="K2383" t="inlineStr">
        <is>
          <t>Sainte-Foy (Québec) Canada</t>
        </is>
      </c>
      <c r="P2383" t="n">
        <v>0</v>
      </c>
      <c r="Q2383" t="n">
        <v>410.53</v>
      </c>
      <c r="R2383" t="n">
        <v>232.05</v>
      </c>
      <c r="S2383" t="n">
        <v>233.6</v>
      </c>
      <c r="T2383" t="n">
        <v>0</v>
      </c>
      <c r="U2383" t="n">
        <v>876.1799999999999</v>
      </c>
      <c r="X2383" t="inlineStr">
        <is>
          <t>aafc-aac</t>
        </is>
      </c>
      <c r="Y2383" t="inlineStr">
        <is>
          <t>Agriculture and Agri-Food Canada | Agriculture et Agroalimentaire Canada</t>
        </is>
      </c>
    </row>
    <row r="2384">
      <c r="A2384" t="inlineStr">
        <is>
          <t>T-2025-P07-016</t>
        </is>
      </c>
      <c r="B2384" t="inlineStr">
        <is>
          <t>SLE</t>
        </is>
      </c>
      <c r="C2384" t="inlineStr">
        <is>
          <t>Workplace Well-Being Ombudsperson</t>
        </is>
      </c>
      <c r="D2384" t="inlineStr">
        <is>
          <t>Ombudsman du mieux-être en milieu de travail</t>
        </is>
      </c>
      <c r="E2384" t="inlineStr">
        <is>
          <t xml:space="preserve">Elianne Hall </t>
        </is>
      </c>
      <c r="F2384" t="inlineStr">
        <is>
          <t>To attend an Outreach</t>
        </is>
      </c>
      <c r="G2384" t="inlineStr">
        <is>
          <t>Participer à une activité de sensibilisation</t>
        </is>
      </c>
      <c r="H2384" s="1" t="n">
        <v>45565</v>
      </c>
      <c r="I2384" s="1" t="n">
        <v>45569</v>
      </c>
      <c r="J2384" t="inlineStr">
        <is>
          <t>Fredericton (New Brunswick) Canada
Charlottetown (Prince Edward Island) Canada</t>
        </is>
      </c>
      <c r="K2384" t="inlineStr">
        <is>
          <t>Fredericton (New Brunswick) Canada
Charlottetown (Île-du-Prince-Édouard) Canada</t>
        </is>
      </c>
      <c r="P2384" t="n">
        <v>918.76</v>
      </c>
      <c r="Q2384" t="n">
        <v>829.5700000000001</v>
      </c>
      <c r="R2384" t="n">
        <v>1084.13</v>
      </c>
      <c r="S2384" t="n">
        <v>509.1</v>
      </c>
      <c r="T2384" t="n">
        <v>0</v>
      </c>
      <c r="U2384" t="n">
        <v>3341.56</v>
      </c>
      <c r="X2384" t="inlineStr">
        <is>
          <t>aafc-aac</t>
        </is>
      </c>
      <c r="Y2384" t="inlineStr">
        <is>
          <t>Agriculture and Agri-Food Canada | Agriculture et Agroalimentaire Canada</t>
        </is>
      </c>
    </row>
    <row r="2385">
      <c r="A2385" t="inlineStr">
        <is>
          <t>T-2025-P07-017</t>
        </is>
      </c>
      <c r="B2385" t="inlineStr">
        <is>
          <t>SLE</t>
        </is>
      </c>
      <c r="C2385" t="inlineStr">
        <is>
          <t>Assistant Deputy Minister, Science and Technology Branch</t>
        </is>
      </c>
      <c r="D2385" t="inlineStr">
        <is>
          <t>Sous-ministre adjoint, Direction générale des sciences et de la technologie</t>
        </is>
      </c>
      <c r="E2385" t="inlineStr">
        <is>
          <t>Gilles Saindon</t>
        </is>
      </c>
      <c r="F2385" t="inlineStr">
        <is>
          <t>To attend the Departmental Audit Committee (DAC) meeting</t>
        </is>
      </c>
      <c r="G2385" t="inlineStr">
        <is>
          <t>Assister à la réunion du Comité d'audit ministériel (CAM)</t>
        </is>
      </c>
      <c r="H2385" s="1" t="n">
        <v>45585</v>
      </c>
      <c r="I2385" s="1" t="n">
        <v>45587</v>
      </c>
      <c r="J2385" t="inlineStr">
        <is>
          <t>Harrow (Ontario) Canada</t>
        </is>
      </c>
      <c r="K2385" t="inlineStr">
        <is>
          <t>Harrow (Ontario) Canada</t>
        </is>
      </c>
      <c r="P2385" t="n">
        <v>1385.12</v>
      </c>
      <c r="Q2385" t="n">
        <v>184.32</v>
      </c>
      <c r="R2385" t="n">
        <v>304.46</v>
      </c>
      <c r="S2385" t="n">
        <v>250.6</v>
      </c>
      <c r="T2385" t="n">
        <v>0</v>
      </c>
      <c r="U2385" t="n">
        <v>2124.5</v>
      </c>
      <c r="X2385" t="inlineStr">
        <is>
          <t>aafc-aac</t>
        </is>
      </c>
      <c r="Y2385" t="inlineStr">
        <is>
          <t>Agriculture and Agri-Food Canada | Agriculture et Agroalimentaire Canada</t>
        </is>
      </c>
    </row>
    <row r="2386">
      <c r="A2386" t="inlineStr">
        <is>
          <t>T-2025-P07-018</t>
        </is>
      </c>
      <c r="B2386" t="inlineStr">
        <is>
          <t>SLE</t>
        </is>
      </c>
      <c r="C2386" t="inlineStr">
        <is>
          <t>Associate Assistant Deputy Minister, Science and Technology Branch</t>
        </is>
      </c>
      <c r="D2386" t="inlineStr">
        <is>
          <t>Sous-ministre adjoint délégué, Direction générale des sciences et de la technologie</t>
        </is>
      </c>
      <c r="E2386" t="inlineStr">
        <is>
          <t>Andrew Goldstein</t>
        </is>
      </c>
      <c r="F2386" t="inlineStr">
        <is>
          <t>To participate in an outreach visit and meet with staff at the Lethbridge and Lacombe Research and Development Centres, as well as with AAFC staff located in Calgary</t>
        </is>
      </c>
      <c r="G2386" t="inlineStr">
        <is>
          <t>Participer à une visite de sensibilisation et rencontrer le personnel des Centres de recherche et développement de Lethbridge et de Lacombe, ainsi que le personnel d'AAC situé à Calgary</t>
        </is>
      </c>
      <c r="H2386" s="1" t="n">
        <v>45572</v>
      </c>
      <c r="I2386" s="1" t="n">
        <v>45576</v>
      </c>
      <c r="J2386" t="inlineStr">
        <is>
          <t>Calgary (Alberta) Canada</t>
        </is>
      </c>
      <c r="K2386" t="inlineStr">
        <is>
          <t>Calgary (Alberta) Canada</t>
        </is>
      </c>
      <c r="P2386" t="n">
        <v>962.13</v>
      </c>
      <c r="Q2386" t="n">
        <v>362.42</v>
      </c>
      <c r="R2386" t="n">
        <v>820.2</v>
      </c>
      <c r="S2386" t="n">
        <v>509.7</v>
      </c>
      <c r="T2386" t="n">
        <v>0</v>
      </c>
      <c r="U2386" t="n">
        <v>2654.45</v>
      </c>
      <c r="X2386" t="inlineStr">
        <is>
          <t>aafc-aac</t>
        </is>
      </c>
      <c r="Y2386" t="inlineStr">
        <is>
          <t>Agriculture and Agri-Food Canada | Agriculture et Agroalimentaire Canada</t>
        </is>
      </c>
    </row>
    <row r="2387">
      <c r="A2387" t="inlineStr">
        <is>
          <t>T-2025-P07-019</t>
        </is>
      </c>
      <c r="B2387" t="inlineStr">
        <is>
          <t>SLE</t>
        </is>
      </c>
      <c r="C2387" t="inlineStr">
        <is>
          <t>Assistant Deputy Minister, Corporate Management Branch</t>
        </is>
      </c>
      <c r="D2387" t="inlineStr">
        <is>
          <t>Sous-ministre adjointe, Direction générale de la gestion intégrée</t>
        </is>
      </c>
      <c r="E2387" t="inlineStr">
        <is>
          <t>Marie-Claude Guérard</t>
        </is>
      </c>
      <c r="F2387" t="inlineStr">
        <is>
          <t>To attend meeting in Montréal</t>
        </is>
      </c>
      <c r="G2387" t="inlineStr">
        <is>
          <t>Assister à une rencontre à Montréal</t>
        </is>
      </c>
      <c r="H2387" s="1" t="n">
        <v>45562</v>
      </c>
      <c r="I2387" s="1" t="n">
        <v>45562</v>
      </c>
      <c r="J2387" t="inlineStr">
        <is>
          <t xml:space="preserve">Montreal (Quebec) Canada </t>
        </is>
      </c>
      <c r="K2387" t="inlineStr">
        <is>
          <t xml:space="preserve">Montréal (Québec) Canada </t>
        </is>
      </c>
      <c r="P2387" t="n">
        <v>0</v>
      </c>
      <c r="Q2387" t="n">
        <v>24</v>
      </c>
      <c r="R2387" t="n">
        <v>0</v>
      </c>
      <c r="S2387" t="n">
        <v>0</v>
      </c>
      <c r="T2387" t="n">
        <v>0</v>
      </c>
      <c r="U2387" t="n">
        <v>24</v>
      </c>
      <c r="X2387" t="inlineStr">
        <is>
          <t>aafc-aac</t>
        </is>
      </c>
      <c r="Y2387" t="inlineStr">
        <is>
          <t>Agriculture and Agri-Food Canada | Agriculture et Agroalimentaire Canada</t>
        </is>
      </c>
    </row>
    <row r="2388">
      <c r="A2388" t="inlineStr">
        <is>
          <t>T-2025-P07-020</t>
        </is>
      </c>
      <c r="B2388" t="inlineStr">
        <is>
          <t>SLE</t>
        </is>
      </c>
      <c r="C2388" t="inlineStr">
        <is>
          <t>Assistant Deputy Minister, Corporate Management Branch</t>
        </is>
      </c>
      <c r="D2388" t="inlineStr">
        <is>
          <t>Sous-ministre adjointe, Direction générale de la gestion intégrée</t>
        </is>
      </c>
      <c r="E2388" t="inlineStr">
        <is>
          <t>Marie-Claude Guérard</t>
        </is>
      </c>
      <c r="F2388" t="inlineStr">
        <is>
          <t>To attend meetings in Ottawa</t>
        </is>
      </c>
      <c r="G2388" t="inlineStr">
        <is>
          <t>Assister à des rencontres à Ottawa</t>
        </is>
      </c>
      <c r="H2388" s="1" t="n">
        <v>45565</v>
      </c>
      <c r="I2388" s="1" t="n">
        <v>45567</v>
      </c>
      <c r="J2388" t="inlineStr">
        <is>
          <t>Ottawa (Ontario) Canada</t>
        </is>
      </c>
      <c r="K2388" t="inlineStr">
        <is>
          <t>Ottawa (Ontario) Canada</t>
        </is>
      </c>
      <c r="P2388" t="n">
        <v>0</v>
      </c>
      <c r="Q2388" t="n">
        <v>609.09</v>
      </c>
      <c r="R2388" t="n">
        <v>448</v>
      </c>
      <c r="S2388" t="n">
        <v>337.65</v>
      </c>
      <c r="T2388" t="n">
        <v>0</v>
      </c>
      <c r="U2388" t="n">
        <v>1394.74</v>
      </c>
      <c r="X2388" t="inlineStr">
        <is>
          <t>aafc-aac</t>
        </is>
      </c>
      <c r="Y2388" t="inlineStr">
        <is>
          <t>Agriculture and Agri-Food Canada | Agriculture et Agroalimentaire Canada</t>
        </is>
      </c>
    </row>
    <row r="2389">
      <c r="A2389" t="inlineStr">
        <is>
          <t>T-2025-P07-021</t>
        </is>
      </c>
      <c r="B2389" t="inlineStr">
        <is>
          <t>SLE</t>
        </is>
      </c>
      <c r="C2389" t="inlineStr">
        <is>
          <t>Assistant Deputy Minister, Corporate Management Branch</t>
        </is>
      </c>
      <c r="D2389" t="inlineStr">
        <is>
          <t>Sous-ministre adjointe, Direction générale de la gestion intégrée</t>
        </is>
      </c>
      <c r="E2389" t="inlineStr">
        <is>
          <t>Marie-Claude Guérard</t>
        </is>
      </c>
      <c r="F2389" t="inlineStr">
        <is>
          <t>To attend meetings in Ottawa</t>
        </is>
      </c>
      <c r="G2389" t="inlineStr">
        <is>
          <t>Assister à des rencontres à Ottawa</t>
        </is>
      </c>
      <c r="H2389" s="1" t="n">
        <v>45574</v>
      </c>
      <c r="I2389" s="1" t="n">
        <v>45575</v>
      </c>
      <c r="J2389" t="inlineStr">
        <is>
          <t>Ottawa (Ontario) Canada</t>
        </is>
      </c>
      <c r="K2389" t="inlineStr">
        <is>
          <t>Ottawa (Ontario) Canada</t>
        </is>
      </c>
      <c r="P2389" t="n">
        <v>0</v>
      </c>
      <c r="Q2389" t="n">
        <v>220.23</v>
      </c>
      <c r="R2389" t="n">
        <v>213.57</v>
      </c>
      <c r="S2389" t="n">
        <v>0</v>
      </c>
      <c r="T2389" t="n">
        <v>0</v>
      </c>
      <c r="U2389" t="n">
        <v>433.8</v>
      </c>
      <c r="X2389" t="inlineStr">
        <is>
          <t>aafc-aac</t>
        </is>
      </c>
      <c r="Y2389" t="inlineStr">
        <is>
          <t>Agriculture and Agri-Food Canada | Agriculture et Agroalimentaire Canada</t>
        </is>
      </c>
    </row>
    <row r="2390">
      <c r="A2390" t="inlineStr">
        <is>
          <t>T-2025-P07-022</t>
        </is>
      </c>
      <c r="B2390" t="inlineStr">
        <is>
          <t>SLE</t>
        </is>
      </c>
      <c r="C2390" t="inlineStr">
        <is>
          <t>Assistant Deputy Minister, Corporate Management Branch</t>
        </is>
      </c>
      <c r="D2390" t="inlineStr">
        <is>
          <t>Sous-ministre adjointe, Direction générale de la gestion intégrée</t>
        </is>
      </c>
      <c r="E2390" t="inlineStr">
        <is>
          <t>Marie-Claude Guérard</t>
        </is>
      </c>
      <c r="F2390" t="inlineStr">
        <is>
          <t>To attend meetings in Ottawa</t>
        </is>
      </c>
      <c r="G2390" t="inlineStr">
        <is>
          <t>Assister à des rencontres à Ottawa</t>
        </is>
      </c>
      <c r="H2390" s="1" t="n">
        <v>45580</v>
      </c>
      <c r="I2390" s="1" t="n">
        <v>45582</v>
      </c>
      <c r="J2390" t="inlineStr">
        <is>
          <t>Ottawa (Ontario) Canada</t>
        </is>
      </c>
      <c r="K2390" t="inlineStr">
        <is>
          <t>Ottawa (Ontario) Canada</t>
        </is>
      </c>
      <c r="P2390" t="n">
        <v>0</v>
      </c>
      <c r="Q2390" t="n">
        <v>455.78</v>
      </c>
      <c r="R2390" t="n">
        <v>520.98</v>
      </c>
      <c r="S2390" t="n">
        <v>250.6</v>
      </c>
      <c r="T2390" t="n">
        <v>0</v>
      </c>
      <c r="U2390" t="n">
        <v>1227.36</v>
      </c>
      <c r="X2390" t="inlineStr">
        <is>
          <t>aafc-aac</t>
        </is>
      </c>
      <c r="Y2390" t="inlineStr">
        <is>
          <t>Agriculture and Agri-Food Canada | Agriculture et Agroalimentaire Canada</t>
        </is>
      </c>
    </row>
    <row r="2391">
      <c r="A2391" t="inlineStr">
        <is>
          <t>T-2025-P07-023</t>
        </is>
      </c>
      <c r="B2391" t="inlineStr">
        <is>
          <t>SLE</t>
        </is>
      </c>
      <c r="C2391" t="inlineStr">
        <is>
          <t>Assistant Deputy Minister, Corporate Management Branch</t>
        </is>
      </c>
      <c r="D2391" t="inlineStr">
        <is>
          <t>Sous-ministre adjointe, Direction générale de la gestion intégrée</t>
        </is>
      </c>
      <c r="E2391" t="inlineStr">
        <is>
          <t>Marie-Claude Guérard</t>
        </is>
      </c>
      <c r="F2391" t="inlineStr">
        <is>
          <t>To attend the Departmental Audit Committee (DAC) meeting</t>
        </is>
      </c>
      <c r="G2391" t="inlineStr">
        <is>
          <t>Assister à la réunion du Comité d'audit ministériel (CAM)</t>
        </is>
      </c>
      <c r="H2391" s="1" t="n">
        <v>45585</v>
      </c>
      <c r="I2391" s="1" t="n">
        <v>45588</v>
      </c>
      <c r="J2391" t="inlineStr">
        <is>
          <t xml:space="preserve">Harrow(Ontario) Canada </t>
        </is>
      </c>
      <c r="K2391" t="inlineStr">
        <is>
          <t xml:space="preserve">Harrow (Ontario) Canada </t>
        </is>
      </c>
      <c r="P2391" t="n">
        <v>720.13</v>
      </c>
      <c r="Q2391" t="n">
        <v>250.11</v>
      </c>
      <c r="R2391" t="n">
        <v>581.89</v>
      </c>
      <c r="S2391" t="n">
        <v>354.65</v>
      </c>
      <c r="T2391" t="n">
        <v>0</v>
      </c>
      <c r="U2391" t="n">
        <v>1906.78</v>
      </c>
      <c r="X2391" t="inlineStr">
        <is>
          <t>aafc-aac</t>
        </is>
      </c>
      <c r="Y2391" t="inlineStr">
        <is>
          <t>Agriculture and Agri-Food Canada | Agriculture et Agroalimentaire Canada</t>
        </is>
      </c>
    </row>
    <row r="2392">
      <c r="A2392" t="inlineStr">
        <is>
          <t>T-2025-P07-024</t>
        </is>
      </c>
      <c r="B2392" t="inlineStr">
        <is>
          <t>SLE</t>
        </is>
      </c>
      <c r="C2392" t="inlineStr">
        <is>
          <t xml:space="preserve">Assistant Deputy Minister, Public Affairs Branch </t>
        </is>
      </c>
      <c r="D2392" t="inlineStr">
        <is>
          <t xml:space="preserve">Sous-ministre adjointe, Direction générale des affaires publiques </t>
        </is>
      </c>
      <c r="E2392" t="inlineStr">
        <is>
          <t>Mary Dila</t>
        </is>
      </c>
      <c r="F2392" t="inlineStr">
        <is>
          <t>To attend an Outreach in Quebec</t>
        </is>
      </c>
      <c r="G2392" t="inlineStr">
        <is>
          <t>Assister à une activité de sensibilisation au Québec</t>
        </is>
      </c>
      <c r="H2392" s="1" t="n">
        <v>45575</v>
      </c>
      <c r="I2392" s="1" t="n">
        <v>45576</v>
      </c>
      <c r="J2392" t="inlineStr">
        <is>
          <t>Montréal (Quebec) Canada</t>
        </is>
      </c>
      <c r="K2392" t="inlineStr">
        <is>
          <t>Montréal (Québec) Canada</t>
        </is>
      </c>
      <c r="P2392" t="n">
        <v>0</v>
      </c>
      <c r="Q2392" t="n">
        <v>305.44</v>
      </c>
      <c r="R2392" t="n">
        <v>203.49</v>
      </c>
      <c r="S2392" t="n">
        <v>183.5</v>
      </c>
      <c r="T2392" t="n">
        <v>0</v>
      </c>
      <c r="U2392" t="n">
        <v>692.4299999999999</v>
      </c>
      <c r="X2392" t="inlineStr">
        <is>
          <t>aafc-aac</t>
        </is>
      </c>
      <c r="Y2392" t="inlineStr">
        <is>
          <t>Agriculture and Agri-Food Canada | Agriculture et Agroalimentaire Canada</t>
        </is>
      </c>
    </row>
    <row r="2393">
      <c r="A2393" t="inlineStr">
        <is>
          <t>T-2025-P07-025</t>
        </is>
      </c>
      <c r="B2393" t="inlineStr">
        <is>
          <t>SLE</t>
        </is>
      </c>
      <c r="C2393" t="inlineStr">
        <is>
          <t>Assistant Deputy Minister, Strategic Policy Branch</t>
        </is>
      </c>
      <c r="D2393" t="inlineStr">
        <is>
          <t>Sous-ministre adjointe, Direction générale des politiques stratégiques</t>
        </is>
      </c>
      <c r="E2393" t="inlineStr">
        <is>
          <t>Shannon Nix</t>
        </is>
      </c>
      <c r="F2393" t="inlineStr">
        <is>
          <t xml:space="preserve">To attend the Executive Leadership Development Programme in Iqaluit </t>
        </is>
      </c>
      <c r="G2393" t="inlineStr">
        <is>
          <t>Assister au Programme de développement en leadership des cadres supérieurs à Iqaluit</t>
        </is>
      </c>
      <c r="H2393" s="1" t="n">
        <v>45551</v>
      </c>
      <c r="I2393" s="1" t="n">
        <v>45555</v>
      </c>
      <c r="J2393" t="inlineStr">
        <is>
          <t>Iqaluit (Nunavut) Canada</t>
        </is>
      </c>
      <c r="K2393" t="inlineStr">
        <is>
          <t>Iqaluit (Nunavut) Canada</t>
        </is>
      </c>
      <c r="P2393" t="n">
        <v>2982.02</v>
      </c>
      <c r="Q2393" t="n">
        <v>53.89</v>
      </c>
      <c r="R2393" t="n">
        <v>1386</v>
      </c>
      <c r="S2393" t="n">
        <v>839.85</v>
      </c>
      <c r="T2393" t="n">
        <v>0</v>
      </c>
      <c r="U2393" t="n">
        <v>5261.76</v>
      </c>
      <c r="X2393" t="inlineStr">
        <is>
          <t>aafc-aac</t>
        </is>
      </c>
      <c r="Y2393" t="inlineStr">
        <is>
          <t>Agriculture and Agri-Food Canada | Agriculture et Agroalimentaire Canada</t>
        </is>
      </c>
    </row>
    <row r="2394">
      <c r="A2394" t="inlineStr">
        <is>
          <t>T-2025-P07-026</t>
        </is>
      </c>
      <c r="B2394" t="inlineStr">
        <is>
          <t>SLE</t>
        </is>
      </c>
      <c r="C2394" t="inlineStr">
        <is>
          <t>Assistant Deputy Minister, Strategic Policy Branch</t>
        </is>
      </c>
      <c r="D2394" t="inlineStr">
        <is>
          <t>Sous-ministre adjointe, Direction générale des politiques stratégiques</t>
        </is>
      </c>
      <c r="E2394" t="inlineStr">
        <is>
          <t>Shannon Nix</t>
        </is>
      </c>
      <c r="F2394" t="inlineStr">
        <is>
          <t>To attend meetings in Ottawa</t>
        </is>
      </c>
      <c r="G2394" t="inlineStr">
        <is>
          <t>Assister à des rencontres à Ottawa</t>
        </is>
      </c>
      <c r="H2394" s="1" t="n">
        <v>45575</v>
      </c>
      <c r="I2394" s="1" t="n">
        <v>45575</v>
      </c>
      <c r="J2394" t="inlineStr">
        <is>
          <t>Ottawa (Ontario) Canada</t>
        </is>
      </c>
      <c r="K2394" t="inlineStr">
        <is>
          <t>Ottawa (Ontario) Canada</t>
        </is>
      </c>
      <c r="P2394" t="n">
        <v>0</v>
      </c>
      <c r="Q2394" t="n">
        <v>58.61</v>
      </c>
      <c r="R2394" t="n">
        <v>0</v>
      </c>
      <c r="S2394" t="n">
        <v>0</v>
      </c>
      <c r="T2394" t="n">
        <v>0</v>
      </c>
      <c r="U2394" t="n">
        <v>58.61</v>
      </c>
      <c r="X2394" t="inlineStr">
        <is>
          <t>aafc-aac</t>
        </is>
      </c>
      <c r="Y2394" t="inlineStr">
        <is>
          <t>Agriculture and Agri-Food Canada | Agriculture et Agroalimentaire Canada</t>
        </is>
      </c>
    </row>
    <row r="2395">
      <c r="A2395" t="inlineStr">
        <is>
          <t>T-2025-P07-027</t>
        </is>
      </c>
      <c r="B2395" t="inlineStr">
        <is>
          <t>SLE</t>
        </is>
      </c>
      <c r="C2395" t="inlineStr">
        <is>
          <t>Assistant Deputy Minister, Strategic Policy Branch</t>
        </is>
      </c>
      <c r="D2395" t="inlineStr">
        <is>
          <t>Sous-ministre adjointe, Direction générale des politiques stratégiques</t>
        </is>
      </c>
      <c r="E2395" t="inlineStr">
        <is>
          <t>Shannon Nix</t>
        </is>
      </c>
      <c r="F2395" t="inlineStr">
        <is>
          <t xml:space="preserve">To attend Arrell Food Summit </t>
        </is>
      </c>
      <c r="G2395" t="inlineStr">
        <is>
          <t>Assister au sommet de l'alimentation d'Arrell</t>
        </is>
      </c>
      <c r="H2395" s="1" t="n">
        <v>45580</v>
      </c>
      <c r="I2395" s="1" t="n">
        <v>45581</v>
      </c>
      <c r="J2395" t="inlineStr">
        <is>
          <t>Toronto (Ontario) Canada</t>
        </is>
      </c>
      <c r="K2395" t="inlineStr">
        <is>
          <t>Toronto (Ontario) Canada</t>
        </is>
      </c>
      <c r="P2395" t="n">
        <v>1104.21</v>
      </c>
      <c r="Q2395" t="n">
        <v>97.42</v>
      </c>
      <c r="R2395" t="n">
        <v>370.12</v>
      </c>
      <c r="S2395" t="n">
        <v>158.3</v>
      </c>
      <c r="T2395" t="n">
        <v>0</v>
      </c>
      <c r="U2395" t="n">
        <v>1730.05</v>
      </c>
      <c r="X2395" t="inlineStr">
        <is>
          <t>aafc-aac</t>
        </is>
      </c>
      <c r="Y2395" t="inlineStr">
        <is>
          <t>Agriculture and Agri-Food Canada | Agriculture et Agroalimentaire Canada</t>
        </is>
      </c>
    </row>
    <row r="2396">
      <c r="A2396" t="inlineStr">
        <is>
          <t>T-2025-P07-028</t>
        </is>
      </c>
      <c r="B2396" t="inlineStr">
        <is>
          <t>SLE</t>
        </is>
      </c>
      <c r="C2396" t="inlineStr">
        <is>
          <t>Assistant Deputy Minister, Programs Branch</t>
        </is>
      </c>
      <c r="D2396" t="inlineStr">
        <is>
          <t>Sous-ministre adjointe, Direction générale des programmes</t>
        </is>
      </c>
      <c r="E2396" t="inlineStr">
        <is>
          <t>Liz Foster</t>
        </is>
      </c>
      <c r="F2396" t="inlineStr">
        <is>
          <t>To attend the Assistant Deputy Minister'S Outreach to Winnipeg and Brandon, Manitoba</t>
        </is>
      </c>
      <c r="G2396" t="inlineStr">
        <is>
          <t>Participer à une tournée de sensibilisation de la sous-ministre adjointe à Winnipeg and Brandon, Manitoba</t>
        </is>
      </c>
      <c r="H2396" s="1" t="n">
        <v>45552</v>
      </c>
      <c r="I2396" s="1" t="n">
        <v>45555</v>
      </c>
      <c r="J2396" t="inlineStr">
        <is>
          <t>Winnipeg (Manitoba) Canada
Brandon (Manitoba) Canada</t>
        </is>
      </c>
      <c r="K2396" t="inlineStr">
        <is>
          <t>Winnipeg (Manitoba) Canada
Brandon (Manitoba) Canada</t>
        </is>
      </c>
      <c r="P2396" t="n">
        <v>605.26</v>
      </c>
      <c r="Q2396" t="n">
        <v>418.41</v>
      </c>
      <c r="R2396" t="n">
        <v>454.35</v>
      </c>
      <c r="S2396" t="n">
        <v>405.05</v>
      </c>
      <c r="T2396" t="n">
        <v>0</v>
      </c>
      <c r="U2396" t="n">
        <v>1883.07</v>
      </c>
      <c r="X2396" t="inlineStr">
        <is>
          <t>aafc-aac</t>
        </is>
      </c>
      <c r="Y2396" t="inlineStr">
        <is>
          <t>Agriculture and Agri-Food Canada | Agriculture et Agroalimentaire Canada</t>
        </is>
      </c>
    </row>
    <row r="2397">
      <c r="A2397" t="inlineStr">
        <is>
          <t>T-2025-P07-029</t>
        </is>
      </c>
      <c r="B2397" t="inlineStr">
        <is>
          <t>SLE</t>
        </is>
      </c>
      <c r="C2397" t="inlineStr">
        <is>
          <t>Assistant Deputy Minister, Programs Branch</t>
        </is>
      </c>
      <c r="D2397" t="inlineStr">
        <is>
          <t>Sous-ministre adjointe, Direction générale des programmes</t>
        </is>
      </c>
      <c r="E2397" t="inlineStr">
        <is>
          <t>Liz Foster</t>
        </is>
      </c>
      <c r="F2397" t="inlineStr">
        <is>
          <t>To attend the Standing Senate Committee on Energy, the Environment and Natual Resources (ENEV) - Appearance on the Commissionner of the environment and sustainable development (CESD) Spring Reports</t>
        </is>
      </c>
      <c r="G2397" t="inlineStr">
        <is>
          <t>Participer au Comité sénatorial permanent de l'énergie, de l'environnement et des ressources naturelles (ENEV) - Comparution dans les rapports du printemps du Commissionnaire à l'environnement et au développement durable (CEDD)</t>
        </is>
      </c>
      <c r="H2397" s="1" t="n">
        <v>45575</v>
      </c>
      <c r="I2397" s="1" t="n">
        <v>45575</v>
      </c>
      <c r="J2397" t="inlineStr">
        <is>
          <t>Ottawa (Ontario) Canada</t>
        </is>
      </c>
      <c r="K2397" t="inlineStr">
        <is>
          <t>Ottawa (Ontario) Canada</t>
        </is>
      </c>
      <c r="P2397" t="n">
        <v>0</v>
      </c>
      <c r="Q2397" t="n">
        <v>17</v>
      </c>
      <c r="R2397" t="n">
        <v>0</v>
      </c>
      <c r="S2397" t="n">
        <v>0</v>
      </c>
      <c r="T2397" t="n">
        <v>0</v>
      </c>
      <c r="U2397" t="n">
        <v>17</v>
      </c>
      <c r="X2397" t="inlineStr">
        <is>
          <t>aafc-aac</t>
        </is>
      </c>
      <c r="Y2397" t="inlineStr">
        <is>
          <t>Agriculture and Agri-Food Canada | Agriculture et Agroalimentaire Canada</t>
        </is>
      </c>
    </row>
    <row r="2398">
      <c r="A2398" t="inlineStr">
        <is>
          <t>T-2025-P07-030</t>
        </is>
      </c>
      <c r="B2398" t="inlineStr">
        <is>
          <t>SLE</t>
        </is>
      </c>
      <c r="C2398" t="inlineStr">
        <is>
          <t>Assistant Deputy Minister, Programs Branch</t>
        </is>
      </c>
      <c r="D2398" t="inlineStr">
        <is>
          <t>Sous-ministre adjointe, Direction générale des programmes</t>
        </is>
      </c>
      <c r="E2398" t="inlineStr">
        <is>
          <t>Liz Foster</t>
        </is>
      </c>
      <c r="F2398" t="inlineStr">
        <is>
          <t>To attend the Minister and Deputy Minister's meeting</t>
        </is>
      </c>
      <c r="G2398" t="inlineStr">
        <is>
          <t>Assister à la réunion du ministre and du sous-ministre</t>
        </is>
      </c>
      <c r="H2398" s="1" t="n">
        <v>45586</v>
      </c>
      <c r="I2398" s="1" t="n">
        <v>45586</v>
      </c>
      <c r="J2398" t="inlineStr">
        <is>
          <t>Ottawa (Ontario) Canada</t>
        </is>
      </c>
      <c r="K2398" t="inlineStr">
        <is>
          <t>Ottawa (Ontario) Canada</t>
        </is>
      </c>
      <c r="P2398" t="n">
        <v>0</v>
      </c>
      <c r="Q2398" t="n">
        <v>10.5</v>
      </c>
      <c r="R2398" t="n">
        <v>0</v>
      </c>
      <c r="S2398" t="n">
        <v>0</v>
      </c>
      <c r="T2398" t="n">
        <v>0</v>
      </c>
      <c r="U2398" t="n">
        <v>10.5</v>
      </c>
      <c r="X2398" t="inlineStr">
        <is>
          <t>aafc-aac</t>
        </is>
      </c>
      <c r="Y2398" t="inlineStr">
        <is>
          <t>Agriculture and Agri-Food Canada | Agriculture et Agroalimentaire Canada</t>
        </is>
      </c>
    </row>
    <row r="2399">
      <c r="A2399" t="inlineStr">
        <is>
          <t>T-2025-P07-031</t>
        </is>
      </c>
      <c r="B2399" t="inlineStr">
        <is>
          <t>SLE</t>
        </is>
      </c>
      <c r="C2399" t="inlineStr">
        <is>
          <t>Assistant Deputy Minister, Market and Industry Services Branch</t>
        </is>
      </c>
      <c r="D2399" t="inlineStr">
        <is>
          <t>Sous-ministre adjoint, Direction générale des services à l'industrie et aux marchés</t>
        </is>
      </c>
      <c r="E2399" t="inlineStr">
        <is>
          <t>Tom Rosser</t>
        </is>
      </c>
      <c r="F2399" t="inlineStr">
        <is>
          <t>To assist G20 meetings in Brazil</t>
        </is>
      </c>
      <c r="G2399" t="inlineStr">
        <is>
          <t>Assister aux rencontres G20 au Brésil</t>
        </is>
      </c>
      <c r="H2399" s="1" t="n">
        <v>45545</v>
      </c>
      <c r="I2399" s="1" t="n">
        <v>45551</v>
      </c>
      <c r="J2399" t="inlineStr">
        <is>
          <t>São Paulo (São Paulo) Brazil</t>
        </is>
      </c>
      <c r="K2399" t="inlineStr">
        <is>
          <t>São Paulo (São Paulo) Brésil</t>
        </is>
      </c>
      <c r="P2399" t="n">
        <v>8177.94</v>
      </c>
      <c r="Q2399" t="n">
        <v>80</v>
      </c>
      <c r="R2399" t="n">
        <v>1153.73</v>
      </c>
      <c r="S2399" t="n">
        <v>255.56</v>
      </c>
      <c r="T2399" t="n">
        <v>0</v>
      </c>
      <c r="U2399" t="n">
        <v>9667.23</v>
      </c>
      <c r="X2399" t="inlineStr">
        <is>
          <t>aafc-aac</t>
        </is>
      </c>
      <c r="Y2399" t="inlineStr">
        <is>
          <t>Agriculture and Agri-Food Canada | Agriculture et Agroalimentaire Canada</t>
        </is>
      </c>
    </row>
    <row r="2400">
      <c r="A2400" t="inlineStr">
        <is>
          <t>T-2025-P07-032</t>
        </is>
      </c>
      <c r="B2400" t="inlineStr">
        <is>
          <t>SLE</t>
        </is>
      </c>
      <c r="C2400" t="inlineStr">
        <is>
          <t>Assistant Deputy Minister, Market and Industry Services Branch</t>
        </is>
      </c>
      <c r="D2400" t="inlineStr">
        <is>
          <t>Sous-ministre adjoint, Direction générale des services à l'industrie et aux marchés</t>
        </is>
      </c>
      <c r="E2400" t="inlineStr">
        <is>
          <t>Tom Rosser</t>
        </is>
      </c>
      <c r="F2400" t="inlineStr">
        <is>
          <t>To attend meetings in Montreal</t>
        </is>
      </c>
      <c r="G2400" t="inlineStr">
        <is>
          <t>Assister à des rencontres à Montréal</t>
        </is>
      </c>
      <c r="H2400" s="1" t="n">
        <v>45558</v>
      </c>
      <c r="I2400" s="1" t="n">
        <v>45560</v>
      </c>
      <c r="J2400" t="inlineStr">
        <is>
          <t>Montréal (Quebec) Canada</t>
        </is>
      </c>
      <c r="K2400" t="inlineStr">
        <is>
          <t>Montréal (Québec) Canada</t>
        </is>
      </c>
      <c r="P2400" t="n">
        <v>0</v>
      </c>
      <c r="Q2400" t="n">
        <v>507.85</v>
      </c>
      <c r="R2400" t="n">
        <v>929.61</v>
      </c>
      <c r="S2400" t="n">
        <v>275.8</v>
      </c>
      <c r="T2400" t="n">
        <v>0</v>
      </c>
      <c r="U2400" t="n">
        <v>1713.26</v>
      </c>
      <c r="X2400" t="inlineStr">
        <is>
          <t>aafc-aac</t>
        </is>
      </c>
      <c r="Y2400" t="inlineStr">
        <is>
          <t>Agriculture and Agri-Food Canada | Agriculture et Agroalimentaire Canada</t>
        </is>
      </c>
    </row>
    <row r="2401">
      <c r="A2401" t="inlineStr">
        <is>
          <t>T-2025-P08-001</t>
        </is>
      </c>
      <c r="B2401" t="inlineStr">
        <is>
          <t>MPSES</t>
        </is>
      </c>
      <c r="C2401" t="inlineStr">
        <is>
          <t>Chief of Staff</t>
        </is>
      </c>
      <c r="D2401" t="inlineStr">
        <is>
          <t>Chef de cabinet</t>
        </is>
      </c>
      <c r="E2401" t="inlineStr">
        <is>
          <t>Matthew Mann</t>
        </is>
      </c>
      <c r="F2401" t="inlineStr">
        <is>
          <t>To support the Minister in attending the AAFC Ministerial Mission</t>
        </is>
      </c>
      <c r="G2401" t="inlineStr">
        <is>
          <t>Soutenir la participation du ministre à la mission ministérielle de l'AAC</t>
        </is>
      </c>
      <c r="H2401" s="1" t="n">
        <v>45606</v>
      </c>
      <c r="I2401" s="1" t="n">
        <v>45613</v>
      </c>
      <c r="J2401" t="inlineStr">
        <is>
          <t>Beijing, China</t>
        </is>
      </c>
      <c r="K2401" t="inlineStr">
        <is>
          <t>Beijing, Chine</t>
        </is>
      </c>
      <c r="P2401" t="n">
        <v>17040.85</v>
      </c>
      <c r="Q2401" t="n">
        <v>0</v>
      </c>
      <c r="R2401" t="n">
        <v>1052.1</v>
      </c>
      <c r="S2401" t="n">
        <v>1085.68</v>
      </c>
      <c r="T2401" t="n">
        <v>0</v>
      </c>
      <c r="U2401" t="n">
        <v>19178.63</v>
      </c>
      <c r="X2401" t="inlineStr">
        <is>
          <t>aafc-aac</t>
        </is>
      </c>
      <c r="Y2401" t="inlineStr">
        <is>
          <t>Agriculture and Agri-Food Canada | Agriculture et Agroalimentaire Canada</t>
        </is>
      </c>
    </row>
    <row r="2402">
      <c r="A2402" t="inlineStr">
        <is>
          <t>T-2025-P08-002</t>
        </is>
      </c>
      <c r="B2402" t="inlineStr">
        <is>
          <t>MPSES</t>
        </is>
      </c>
      <c r="C2402" t="inlineStr">
        <is>
          <t>Chief of Staff</t>
        </is>
      </c>
      <c r="D2402" t="inlineStr">
        <is>
          <t>Chef de cabinet</t>
        </is>
      </c>
      <c r="E2402" t="inlineStr">
        <is>
          <t>Matthew Mann</t>
        </is>
      </c>
      <c r="F2402" t="inlineStr">
        <is>
          <t>To support the Minister in attending the Prince Edward Island Potato Industry Banquet</t>
        </is>
      </c>
      <c r="G2402" t="inlineStr">
        <is>
          <t>Soutenir le ministre lors du banquet de l'industrie de la pomme de terre à l'Île-du-Prince-Édouard</t>
        </is>
      </c>
      <c r="H2402" s="1" t="n">
        <v>45617</v>
      </c>
      <c r="I2402" s="1" t="n">
        <v>45619</v>
      </c>
      <c r="J2402" t="inlineStr">
        <is>
          <t>Charlottetown (Prince Edward Island) Canada</t>
        </is>
      </c>
      <c r="K2402" t="inlineStr">
        <is>
          <t>Charlottetown (Île-du-Prince-Édouard) Canada</t>
        </is>
      </c>
      <c r="P2402" t="n">
        <v>1383.76</v>
      </c>
      <c r="Q2402" t="n">
        <v>209.14</v>
      </c>
      <c r="R2402" t="n">
        <v>519.73</v>
      </c>
      <c r="S2402" t="n">
        <v>139.75</v>
      </c>
      <c r="T2402" t="n">
        <v>0</v>
      </c>
      <c r="U2402" t="n">
        <v>2252.38</v>
      </c>
      <c r="X2402" t="inlineStr">
        <is>
          <t>aafc-aac</t>
        </is>
      </c>
      <c r="Y2402" t="inlineStr">
        <is>
          <t>Agriculture and Agri-Food Canada | Agriculture et Agroalimentaire Canada</t>
        </is>
      </c>
    </row>
    <row r="2403">
      <c r="A2403" t="inlineStr">
        <is>
          <t>T-2025-P08-003</t>
        </is>
      </c>
      <c r="B2403" t="inlineStr">
        <is>
          <t>MPSES</t>
        </is>
      </c>
      <c r="C2403" t="inlineStr">
        <is>
          <t>Director of Communications</t>
        </is>
      </c>
      <c r="D2403" t="inlineStr">
        <is>
          <t>Directrice des communications</t>
        </is>
      </c>
      <c r="E2403" t="inlineStr">
        <is>
          <t>Annie Cullinan</t>
        </is>
      </c>
      <c r="F2403" t="inlineStr">
        <is>
          <t>To support the Minister in attending the AAFC Ministerial Mission</t>
        </is>
      </c>
      <c r="G2403" t="inlineStr">
        <is>
          <t>Soutenir la participation du ministre à la mission ministérielle de l'AAC</t>
        </is>
      </c>
      <c r="H2403" s="1" t="n">
        <v>45606</v>
      </c>
      <c r="I2403" s="1" t="n">
        <v>45613</v>
      </c>
      <c r="J2403" t="inlineStr">
        <is>
          <t>Beijing, China</t>
        </is>
      </c>
      <c r="K2403" t="inlineStr">
        <is>
          <t>Beijing, Chine</t>
        </is>
      </c>
      <c r="P2403" t="n">
        <v>12265.85</v>
      </c>
      <c r="Q2403" t="n">
        <v>47.52</v>
      </c>
      <c r="R2403" t="n">
        <v>1023.27</v>
      </c>
      <c r="S2403" t="n">
        <v>1085.68</v>
      </c>
      <c r="T2403" t="n">
        <v>0</v>
      </c>
      <c r="U2403" t="n">
        <v>14422.32</v>
      </c>
      <c r="X2403" t="inlineStr">
        <is>
          <t>aafc-aac</t>
        </is>
      </c>
      <c r="Y2403" t="inlineStr">
        <is>
          <t>Agriculture and Agri-Food Canada | Agriculture et Agroalimentaire Canada</t>
        </is>
      </c>
    </row>
    <row r="2404">
      <c r="A2404" t="inlineStr">
        <is>
          <t>T-2025-P08-004</t>
        </is>
      </c>
      <c r="B2404" t="inlineStr">
        <is>
          <t>SLE</t>
        </is>
      </c>
      <c r="C2404" t="inlineStr">
        <is>
          <t>Deputy Minister</t>
        </is>
      </c>
      <c r="D2404" t="inlineStr">
        <is>
          <t>Sous-ministre</t>
        </is>
      </c>
      <c r="E2404" t="inlineStr">
        <is>
          <t>Lawrence Hanson</t>
        </is>
      </c>
      <c r="F2404" t="inlineStr">
        <is>
          <t>To attend the Departmental Audit Committee</t>
        </is>
      </c>
      <c r="G2404" t="inlineStr">
        <is>
          <t>Assister au Comité d'audit ministériel</t>
        </is>
      </c>
      <c r="H2404" s="1" t="n">
        <v>45586</v>
      </c>
      <c r="I2404" s="1" t="n">
        <v>45588</v>
      </c>
      <c r="J2404" t="inlineStr">
        <is>
          <t>Windsor (Ontario) Canada</t>
        </is>
      </c>
      <c r="K2404" t="inlineStr">
        <is>
          <t>Windsor (Ontario) Canada</t>
        </is>
      </c>
      <c r="P2404" t="n">
        <v>922.53</v>
      </c>
      <c r="Q2404" t="n">
        <v>33</v>
      </c>
      <c r="R2404" t="n">
        <v>361.96</v>
      </c>
      <c r="S2404" t="n">
        <v>226</v>
      </c>
      <c r="T2404" t="n">
        <v>0</v>
      </c>
      <c r="U2404" t="n">
        <v>1543.49</v>
      </c>
      <c r="X2404" t="inlineStr">
        <is>
          <t>aafc-aac</t>
        </is>
      </c>
      <c r="Y2404" t="inlineStr">
        <is>
          <t>Agriculture and Agri-Food Canada | Agriculture et Agroalimentaire Canada</t>
        </is>
      </c>
    </row>
    <row r="2405">
      <c r="A2405" t="inlineStr">
        <is>
          <t>T-2025-P08-005</t>
        </is>
      </c>
      <c r="B2405" t="inlineStr">
        <is>
          <t>SLE</t>
        </is>
      </c>
      <c r="C2405" t="inlineStr">
        <is>
          <t>Workplace Well-Being Ombudsperson</t>
        </is>
      </c>
      <c r="D2405" t="inlineStr">
        <is>
          <t>Ombudsman du mieux-être en milieu de travail</t>
        </is>
      </c>
      <c r="E2405" t="inlineStr">
        <is>
          <t xml:space="preserve">Elianne Hall </t>
        </is>
      </c>
      <c r="F2405" t="inlineStr">
        <is>
          <t>To attend the Forum of Canadian Ombudsman</t>
        </is>
      </c>
      <c r="G2405" t="inlineStr">
        <is>
          <t>Participer au Forum Canadien des Ombudsman</t>
        </is>
      </c>
      <c r="H2405" s="1" t="n">
        <v>45585</v>
      </c>
      <c r="I2405" s="1" t="n">
        <v>45590</v>
      </c>
      <c r="J2405" t="inlineStr">
        <is>
          <t>Victoria (British Columbia) Canada</t>
        </is>
      </c>
      <c r="K2405" t="inlineStr">
        <is>
          <t>Victoria (Colombie-Britannique) Canada</t>
        </is>
      </c>
      <c r="P2405" t="n">
        <v>523.09</v>
      </c>
      <c r="Q2405" t="n">
        <v>252.49</v>
      </c>
      <c r="R2405" t="n">
        <v>1608.6</v>
      </c>
      <c r="S2405" t="n">
        <v>700.8</v>
      </c>
      <c r="T2405" t="n">
        <v>0</v>
      </c>
      <c r="U2405" t="n">
        <v>3084.98</v>
      </c>
      <c r="X2405" t="inlineStr">
        <is>
          <t>aafc-aac</t>
        </is>
      </c>
      <c r="Y2405" t="inlineStr">
        <is>
          <t>Agriculture and Agri-Food Canada | Agriculture et Agroalimentaire Canada</t>
        </is>
      </c>
    </row>
    <row r="2406">
      <c r="A2406" t="inlineStr">
        <is>
          <t>T-2025-P08-006</t>
        </is>
      </c>
      <c r="B2406" t="inlineStr">
        <is>
          <t>SLE</t>
        </is>
      </c>
      <c r="C2406" t="inlineStr">
        <is>
          <t>Assistant Deputy Minister, Science and Technology Branch</t>
        </is>
      </c>
      <c r="D2406" t="inlineStr">
        <is>
          <t>Sous-ministre adjoint, Direction générale des sciences et de la technologie</t>
        </is>
      </c>
      <c r="E2406" t="inlineStr">
        <is>
          <t>Gilles Saindon</t>
        </is>
      </c>
      <c r="F2406" t="inlineStr">
        <is>
          <t>To attend the Public Service Award of Excellence on behalf of the Deputy Minister</t>
        </is>
      </c>
      <c r="G2406" t="inlineStr">
        <is>
          <t>Assister à la remise du Prix d'excellence de la fonction publique au nom du sous-ministre</t>
        </is>
      </c>
      <c r="H2406" s="1" t="n">
        <v>45587</v>
      </c>
      <c r="I2406" s="1" t="n">
        <v>45587</v>
      </c>
      <c r="J2406" t="inlineStr">
        <is>
          <t>Ottawa (Ontario) Canada</t>
        </is>
      </c>
      <c r="K2406" t="inlineStr">
        <is>
          <t>Ottawa (Ontario) Canada</t>
        </is>
      </c>
      <c r="P2406" t="n">
        <v>0</v>
      </c>
      <c r="Q2406" t="n">
        <v>14</v>
      </c>
      <c r="R2406" t="n">
        <v>0</v>
      </c>
      <c r="S2406" t="n">
        <v>0</v>
      </c>
      <c r="T2406" t="n">
        <v>0</v>
      </c>
      <c r="U2406" t="n">
        <v>14</v>
      </c>
      <c r="X2406" t="inlineStr">
        <is>
          <t>aafc-aac</t>
        </is>
      </c>
      <c r="Y2406" t="inlineStr">
        <is>
          <t>Agriculture and Agri-Food Canada | Agriculture et Agroalimentaire Canada</t>
        </is>
      </c>
    </row>
    <row r="2407">
      <c r="A2407" t="inlineStr">
        <is>
          <t>T-2025-P08-007</t>
        </is>
      </c>
      <c r="B2407" t="inlineStr">
        <is>
          <t>SLE</t>
        </is>
      </c>
      <c r="C2407" t="inlineStr">
        <is>
          <t>Assistant Deputy Minister, Science and Technology Branch</t>
        </is>
      </c>
      <c r="D2407" t="inlineStr">
        <is>
          <t>Sous-ministre adjoint, Direction générale des sciences et de la technologie</t>
        </is>
      </c>
      <c r="E2407" t="inlineStr">
        <is>
          <t>Gilles Saindon</t>
        </is>
      </c>
      <c r="F2407" t="inlineStr">
        <is>
          <t>To attend a meeting with the Minister and a Member of Parliament</t>
        </is>
      </c>
      <c r="G2407" t="inlineStr">
        <is>
          <t>Assister à une réunion avec le ministre et un député</t>
        </is>
      </c>
      <c r="H2407" s="1" t="n">
        <v>45593</v>
      </c>
      <c r="I2407" s="1" t="n">
        <v>45593</v>
      </c>
      <c r="J2407" t="inlineStr">
        <is>
          <t>Ottawa (Ontario) Canada</t>
        </is>
      </c>
      <c r="K2407" t="inlineStr">
        <is>
          <t>Ottawa (Ontario) Canada</t>
        </is>
      </c>
      <c r="P2407" t="n">
        <v>0</v>
      </c>
      <c r="Q2407" t="n">
        <v>25</v>
      </c>
      <c r="R2407" t="n">
        <v>0</v>
      </c>
      <c r="S2407" t="n">
        <v>0</v>
      </c>
      <c r="T2407" t="n">
        <v>0</v>
      </c>
      <c r="U2407" t="n">
        <v>25</v>
      </c>
      <c r="X2407" t="inlineStr">
        <is>
          <t>aafc-aac</t>
        </is>
      </c>
      <c r="Y2407" t="inlineStr">
        <is>
          <t>Agriculture and Agri-Food Canada | Agriculture et Agroalimentaire Canada</t>
        </is>
      </c>
    </row>
    <row r="2408">
      <c r="A2408" t="inlineStr">
        <is>
          <t>T-2025-P08-008</t>
        </is>
      </c>
      <c r="B2408" t="inlineStr">
        <is>
          <t>SLE</t>
        </is>
      </c>
      <c r="C2408" t="inlineStr">
        <is>
          <t>Associate Assistant Deputy Minister, Science and Technology Branch</t>
        </is>
      </c>
      <c r="D2408" t="inlineStr">
        <is>
          <t>Sous-ministre adjoint délégué, Direction générale des sciences et de la technologie</t>
        </is>
      </c>
      <c r="E2408" t="inlineStr">
        <is>
          <t>Andrew Goldstein</t>
        </is>
      </c>
      <c r="F2408" t="inlineStr">
        <is>
          <t>To attend an outreach visit and meet with the staff at the Summerland and Agassiz Research and Development Centres</t>
        </is>
      </c>
      <c r="G2408" t="inlineStr">
        <is>
          <t xml:space="preserve">Participer à une visite de sensibilisation avec le personnel des centres de recherche et de développement de Summerland et Agassiz </t>
        </is>
      </c>
      <c r="H2408" s="1" t="n">
        <v>45600</v>
      </c>
      <c r="I2408" s="1" t="n">
        <v>45603</v>
      </c>
      <c r="J2408" t="inlineStr">
        <is>
          <t>Kelowna (British Columbia) Canada 
Summerland (British Columbia) Canada
Agassiz (British Columbia) Canada</t>
        </is>
      </c>
      <c r="K2408" t="inlineStr">
        <is>
          <t>Kelowna (Colombie-Britannique) Canada 
Summerland (Colombie-Britannique) Canada
Agassiz (Colombie-Britannique) Canada</t>
        </is>
      </c>
      <c r="P2408" t="n">
        <v>891.39</v>
      </c>
      <c r="Q2408" t="n">
        <v>600.63</v>
      </c>
      <c r="R2408" t="n">
        <v>689.73</v>
      </c>
      <c r="S2408" t="n">
        <v>455.15</v>
      </c>
      <c r="T2408" t="n">
        <v>0</v>
      </c>
      <c r="U2408" t="n">
        <v>2636.9</v>
      </c>
      <c r="X2408" t="inlineStr">
        <is>
          <t>aafc-aac</t>
        </is>
      </c>
      <c r="Y2408" t="inlineStr">
        <is>
          <t>Agriculture and Agri-Food Canada | Agriculture et Agroalimentaire Canada</t>
        </is>
      </c>
    </row>
    <row r="2409">
      <c r="A2409" t="inlineStr">
        <is>
          <t>T-2025-P08-009</t>
        </is>
      </c>
      <c r="B2409" t="inlineStr">
        <is>
          <t>SLE</t>
        </is>
      </c>
      <c r="C2409" t="inlineStr">
        <is>
          <t>Assistant Deputy Minister, Corporate Management Branch</t>
        </is>
      </c>
      <c r="D2409" t="inlineStr">
        <is>
          <t>Sous-ministre adjointe, Direction générale de la gestion intégrée</t>
        </is>
      </c>
      <c r="E2409" t="inlineStr">
        <is>
          <t>Marie-Claude Guérard</t>
        </is>
      </c>
      <c r="F2409" t="inlineStr">
        <is>
          <t>To attend meetings in Ottawa</t>
        </is>
      </c>
      <c r="G2409" t="inlineStr">
        <is>
          <t>Assister à des réunions à Ottawa</t>
        </is>
      </c>
      <c r="H2409" s="1" t="n">
        <v>45595</v>
      </c>
      <c r="I2409" s="1" t="n">
        <v>45596</v>
      </c>
      <c r="J2409" t="inlineStr">
        <is>
          <t>Ottawa (Ontario) Canada</t>
        </is>
      </c>
      <c r="K2409" t="inlineStr">
        <is>
          <t>Ottawa (Ontario) Canada</t>
        </is>
      </c>
      <c r="P2409" t="n">
        <v>0</v>
      </c>
      <c r="Q2409" t="n">
        <v>322.5</v>
      </c>
      <c r="R2409" t="n">
        <v>224.25</v>
      </c>
      <c r="S2409" t="n">
        <v>171.75</v>
      </c>
      <c r="T2409" t="n">
        <v>0</v>
      </c>
      <c r="U2409" t="n">
        <v>718.5</v>
      </c>
      <c r="X2409" t="inlineStr">
        <is>
          <t>aafc-aac</t>
        </is>
      </c>
      <c r="Y2409" t="inlineStr">
        <is>
          <t>Agriculture and Agri-Food Canada | Agriculture et Agroalimentaire Canada</t>
        </is>
      </c>
    </row>
    <row r="2410">
      <c r="A2410" t="inlineStr">
        <is>
          <t>T-2025-P08-010</t>
        </is>
      </c>
      <c r="B2410" t="inlineStr">
        <is>
          <t>SLE</t>
        </is>
      </c>
      <c r="C2410" t="inlineStr">
        <is>
          <t>Assistant Deputy Minister, Corporate Management Branch</t>
        </is>
      </c>
      <c r="D2410" t="inlineStr">
        <is>
          <t>Sous-ministre adjointe, Direction générale de la gestion intégrée</t>
        </is>
      </c>
      <c r="E2410" t="inlineStr">
        <is>
          <t>Marie-Claude Guérard</t>
        </is>
      </c>
      <c r="F2410" t="inlineStr">
        <is>
          <t>To attend meetings in Ottawa</t>
        </is>
      </c>
      <c r="G2410" t="inlineStr">
        <is>
          <t>Assister à des réunions à Ottawa</t>
        </is>
      </c>
      <c r="H2410" s="1" t="n">
        <v>45599</v>
      </c>
      <c r="I2410" s="1" t="n">
        <v>45600</v>
      </c>
      <c r="J2410" t="inlineStr">
        <is>
          <t>Ottawa (Ontario) Canada</t>
        </is>
      </c>
      <c r="K2410" t="inlineStr">
        <is>
          <t>Ottawa (Ontario) Canada</t>
        </is>
      </c>
      <c r="P2410" t="n">
        <v>0</v>
      </c>
      <c r="Q2410" t="n">
        <v>516.5599999999999</v>
      </c>
      <c r="R2410" t="n">
        <v>224.25</v>
      </c>
      <c r="S2410" t="n">
        <v>84.7</v>
      </c>
      <c r="T2410" t="n">
        <v>0</v>
      </c>
      <c r="U2410" t="n">
        <v>825.51</v>
      </c>
      <c r="X2410" t="inlineStr">
        <is>
          <t>aafc-aac</t>
        </is>
      </c>
      <c r="Y2410" t="inlineStr">
        <is>
          <t>Agriculture and Agri-Food Canada | Agriculture et Agroalimentaire Canada</t>
        </is>
      </c>
    </row>
    <row r="2411">
      <c r="A2411" t="inlineStr">
        <is>
          <t>T-2025-P08-011</t>
        </is>
      </c>
      <c r="B2411" t="inlineStr">
        <is>
          <t>SLE</t>
        </is>
      </c>
      <c r="C2411" t="inlineStr">
        <is>
          <t>Assistant Deputy Minister, Strategic Policy Branch</t>
        </is>
      </c>
      <c r="D2411" t="inlineStr">
        <is>
          <t>Sous-ministre adjointe, Direction générale des politiques stratégiques</t>
        </is>
      </c>
      <c r="E2411" t="inlineStr">
        <is>
          <t>Shannon Nix</t>
        </is>
      </c>
      <c r="F2411" t="inlineStr">
        <is>
          <t>To attend the Exectuive Leadership and Development Program</t>
        </is>
      </c>
      <c r="G2411" t="inlineStr">
        <is>
          <t>Assister aux Programme de développement et de leadership das cadres supérieurs</t>
        </is>
      </c>
      <c r="H2411" s="1" t="n">
        <v>45585</v>
      </c>
      <c r="I2411" s="1" t="n">
        <v>45590</v>
      </c>
      <c r="J2411" t="inlineStr">
        <is>
          <t>Winnipeg (Manitoba) Canada</t>
        </is>
      </c>
      <c r="K2411" t="inlineStr">
        <is>
          <t>Winnipeg (Manitoba) Canada</t>
        </is>
      </c>
      <c r="P2411" t="n">
        <v>1114.44</v>
      </c>
      <c r="Q2411" t="n">
        <v>145.58</v>
      </c>
      <c r="R2411" t="n">
        <v>893.1799999999999</v>
      </c>
      <c r="S2411" t="n">
        <v>725.4</v>
      </c>
      <c r="T2411" t="n">
        <v>0</v>
      </c>
      <c r="U2411" t="n">
        <v>2878.6</v>
      </c>
      <c r="X2411" t="inlineStr">
        <is>
          <t>aafc-aac</t>
        </is>
      </c>
      <c r="Y2411" t="inlineStr">
        <is>
          <t>Agriculture and Agri-Food Canada | Agriculture et Agroalimentaire Canada</t>
        </is>
      </c>
    </row>
    <row r="2412">
      <c r="A2412" t="inlineStr">
        <is>
          <t>T-2025-P09-001</t>
        </is>
      </c>
      <c r="B2412" t="inlineStr">
        <is>
          <t>MPSES</t>
        </is>
      </c>
      <c r="C2412" t="inlineStr">
        <is>
          <t>Minister</t>
        </is>
      </c>
      <c r="D2412" t="inlineStr">
        <is>
          <t>Ministre</t>
        </is>
      </c>
      <c r="E2412" t="inlineStr">
        <is>
          <t>Lawrence MacAulay</t>
        </is>
      </c>
      <c r="F2412" t="inlineStr">
        <is>
          <t>To attend the AAFC Ministerial Mission</t>
        </is>
      </c>
      <c r="G2412" t="inlineStr">
        <is>
          <t>Participer à la mission ministérielle  dE l'AAC</t>
        </is>
      </c>
      <c r="H2412" s="1" t="n">
        <v>45606</v>
      </c>
      <c r="I2412" s="1" t="n">
        <v>45612</v>
      </c>
      <c r="J2412" t="inlineStr">
        <is>
          <t>Beijing, China</t>
        </is>
      </c>
      <c r="K2412" t="inlineStr">
        <is>
          <t>Beijing, Chine</t>
        </is>
      </c>
      <c r="P2412" t="n">
        <v>18242.15</v>
      </c>
      <c r="Q2412" t="n">
        <v>0</v>
      </c>
      <c r="R2412" t="n">
        <v>1023.27</v>
      </c>
      <c r="S2412" t="n">
        <v>1085.68</v>
      </c>
      <c r="T2412" t="n">
        <v>0</v>
      </c>
      <c r="U2412" t="n">
        <v>20351.1</v>
      </c>
      <c r="X2412" t="inlineStr">
        <is>
          <t>aafc-aac</t>
        </is>
      </c>
      <c r="Y2412" t="inlineStr">
        <is>
          <t>Agriculture and Agri-Food Canada | Agriculture et Agroalimentaire Canada</t>
        </is>
      </c>
    </row>
    <row r="2413">
      <c r="A2413" t="inlineStr">
        <is>
          <t>T-2025-P09-002</t>
        </is>
      </c>
      <c r="B2413" t="inlineStr">
        <is>
          <t>MPSES</t>
        </is>
      </c>
      <c r="C2413" t="inlineStr">
        <is>
          <t>Minister</t>
        </is>
      </c>
      <c r="D2413" t="inlineStr">
        <is>
          <t>Ministre</t>
        </is>
      </c>
      <c r="E2413" t="inlineStr">
        <is>
          <t>Lawrence MacAulay</t>
        </is>
      </c>
      <c r="F2413" t="inlineStr">
        <is>
          <t>To attend the Canadian Western Agribition</t>
        </is>
      </c>
      <c r="G2413" t="inlineStr">
        <is>
          <t>Assister à l'Agribition canadienne de l'Ouest</t>
        </is>
      </c>
      <c r="H2413" s="1" t="n">
        <v>45620</v>
      </c>
      <c r="I2413" s="1" t="n">
        <v>45622</v>
      </c>
      <c r="J2413" t="inlineStr">
        <is>
          <t>Regina (Saskatchewan) Canada</t>
        </is>
      </c>
      <c r="K2413" t="inlineStr">
        <is>
          <t>Regina (Saskatchewan) Canada</t>
        </is>
      </c>
      <c r="P2413" t="n">
        <v>1663.86</v>
      </c>
      <c r="Q2413" t="n">
        <v>0</v>
      </c>
      <c r="R2413" t="n">
        <v>489.34</v>
      </c>
      <c r="S2413" t="n">
        <v>280.45</v>
      </c>
      <c r="T2413" t="n">
        <v>0</v>
      </c>
      <c r="U2413" t="n">
        <v>2433.65</v>
      </c>
      <c r="X2413" t="inlineStr">
        <is>
          <t>aafc-aac</t>
        </is>
      </c>
      <c r="Y2413" t="inlineStr">
        <is>
          <t>Agriculture and Agri-Food Canada | Agriculture et Agroalimentaire Canada</t>
        </is>
      </c>
    </row>
    <row r="2414">
      <c r="A2414" t="inlineStr">
        <is>
          <t>T-2025-P09-003</t>
        </is>
      </c>
      <c r="B2414" t="inlineStr">
        <is>
          <t>MPSES</t>
        </is>
      </c>
      <c r="C2414" t="inlineStr">
        <is>
          <t>Chief of Staff</t>
        </is>
      </c>
      <c r="D2414" t="inlineStr">
        <is>
          <t>Chef de cabinet</t>
        </is>
      </c>
      <c r="E2414" t="inlineStr">
        <is>
          <t>Matthew Mann</t>
        </is>
      </c>
      <c r="F2414" t="inlineStr">
        <is>
          <t>To support the Minister in attending an announcement</t>
        </is>
      </c>
      <c r="G2414" t="inlineStr">
        <is>
          <t>Soutenir le ministre lors d'une annonce</t>
        </is>
      </c>
      <c r="H2414" s="1" t="n">
        <v>45623</v>
      </c>
      <c r="I2414" s="1" t="n">
        <v>45626</v>
      </c>
      <c r="J2414" t="inlineStr">
        <is>
          <t>Charlottetown (Prince Edward Island) Canada</t>
        </is>
      </c>
      <c r="K2414" t="inlineStr">
        <is>
          <t>Charlottetown (Île-du-Prince-Édouard) Canada</t>
        </is>
      </c>
      <c r="P2414" t="n">
        <v>2094.91</v>
      </c>
      <c r="Q2414" t="n">
        <v>280.39</v>
      </c>
      <c r="R2414" t="n">
        <v>679.91</v>
      </c>
      <c r="S2414" t="n">
        <v>308.4</v>
      </c>
      <c r="T2414" t="n">
        <v>0</v>
      </c>
      <c r="U2414" t="n">
        <v>3363.61</v>
      </c>
      <c r="X2414" t="inlineStr">
        <is>
          <t>aafc-aac</t>
        </is>
      </c>
      <c r="Y2414" t="inlineStr">
        <is>
          <t>Agriculture and Agri-Food Canada | Agriculture et Agroalimentaire Canada</t>
        </is>
      </c>
    </row>
    <row r="2415">
      <c r="A2415" t="inlineStr">
        <is>
          <t>T-2025-P09-004</t>
        </is>
      </c>
      <c r="B2415" t="inlineStr">
        <is>
          <t>MPSES</t>
        </is>
      </c>
      <c r="C2415" t="inlineStr">
        <is>
          <t>Director of Parliamentary Affairs</t>
        </is>
      </c>
      <c r="D2415" t="inlineStr">
        <is>
          <t>Directeur des affaires parlementaires</t>
        </is>
      </c>
      <c r="E2415" t="inlineStr">
        <is>
          <t>Bradley Henstock</t>
        </is>
      </c>
      <c r="F2415" t="inlineStr">
        <is>
          <t>To support the Minister in attending  the Canadian Western Agribition</t>
        </is>
      </c>
      <c r="G2415" t="inlineStr">
        <is>
          <t>Soutenir la participation du ministre à l'Agribition canadienne de l'Ouest</t>
        </is>
      </c>
      <c r="H2415" s="1" t="n">
        <v>45620</v>
      </c>
      <c r="I2415" s="1" t="n">
        <v>45622</v>
      </c>
      <c r="J2415" t="inlineStr">
        <is>
          <t>Regina (Saskatchewan) Canada</t>
        </is>
      </c>
      <c r="K2415" t="inlineStr">
        <is>
          <t>Regina (Saskatchewan) Canada</t>
        </is>
      </c>
      <c r="P2415" t="n">
        <v>1369.19</v>
      </c>
      <c r="Q2415" t="n">
        <v>269.73</v>
      </c>
      <c r="R2415" t="n">
        <v>489.34</v>
      </c>
      <c r="S2415" t="n">
        <v>280.45</v>
      </c>
      <c r="T2415" t="n">
        <v>0</v>
      </c>
      <c r="U2415" t="n">
        <v>2408.71</v>
      </c>
      <c r="X2415" t="inlineStr">
        <is>
          <t>aafc-aac</t>
        </is>
      </c>
      <c r="Y2415" t="inlineStr">
        <is>
          <t>Agriculture and Agri-Food Canada | Agriculture et Agroalimentaire Canada</t>
        </is>
      </c>
    </row>
    <row r="2416">
      <c r="A2416" t="inlineStr">
        <is>
          <t>T-2025-P09-005</t>
        </is>
      </c>
      <c r="B2416" t="inlineStr">
        <is>
          <t>MPSES</t>
        </is>
      </c>
      <c r="C2416" t="inlineStr">
        <is>
          <t>Deputy Chief of Staff &amp; Director of Operations</t>
        </is>
      </c>
      <c r="D2416" t="inlineStr">
        <is>
          <t>Chef de cabinet adjointe et Directrice des opérations</t>
        </is>
      </c>
      <c r="E2416" t="inlineStr">
        <is>
          <t>Maria Morley</t>
        </is>
      </c>
      <c r="F2416" t="inlineStr">
        <is>
          <t>To support the Minister in attending an announcement</t>
        </is>
      </c>
      <c r="G2416" t="inlineStr">
        <is>
          <t>Soutenir le ministre lors d'une annonce</t>
        </is>
      </c>
      <c r="H2416" s="1" t="n">
        <v>45623</v>
      </c>
      <c r="I2416" s="1" t="n">
        <v>45625</v>
      </c>
      <c r="J2416" t="inlineStr">
        <is>
          <t>Charlottetown (Prince Edward Island) Canada</t>
        </is>
      </c>
      <c r="K2416" t="inlineStr">
        <is>
          <t>Charlottetown (Île-du-Prince-Édouard) Canada</t>
        </is>
      </c>
      <c r="P2416" t="n">
        <v>2116.9</v>
      </c>
      <c r="Q2416" t="n">
        <v>0</v>
      </c>
      <c r="R2416" t="n">
        <v>461.96</v>
      </c>
      <c r="S2416" t="n">
        <v>223.6</v>
      </c>
      <c r="T2416" t="n">
        <v>0</v>
      </c>
      <c r="U2416" t="n">
        <v>2802.46</v>
      </c>
      <c r="X2416" t="inlineStr">
        <is>
          <t>aafc-aac</t>
        </is>
      </c>
      <c r="Y2416" t="inlineStr">
        <is>
          <t>Agriculture and Agri-Food Canada | Agriculture et Agroalimentaire Canada</t>
        </is>
      </c>
    </row>
    <row r="2417">
      <c r="A2417" t="inlineStr">
        <is>
          <t>T-2025-P09-006</t>
        </is>
      </c>
      <c r="B2417" t="inlineStr">
        <is>
          <t>MPSES</t>
        </is>
      </c>
      <c r="C2417" t="inlineStr">
        <is>
          <t>Director of Policy</t>
        </is>
      </c>
      <c r="D2417" t="inlineStr">
        <is>
          <t>Directrice des politiques</t>
        </is>
      </c>
      <c r="E2417" t="inlineStr">
        <is>
          <t>Hilary Peirce</t>
        </is>
      </c>
      <c r="F2417" t="inlineStr">
        <is>
          <t>To support the Minister in attending the Canadian Western Agribition</t>
        </is>
      </c>
      <c r="G2417" t="inlineStr">
        <is>
          <t>Soutenir la participation du ministre à l'Agribition canadienne de l'Ouest</t>
        </is>
      </c>
      <c r="H2417" s="1" t="n">
        <v>45620</v>
      </c>
      <c r="I2417" s="1" t="n">
        <v>45622</v>
      </c>
      <c r="J2417" t="inlineStr">
        <is>
          <t>Regina (Saskatchewan) Canada</t>
        </is>
      </c>
      <c r="K2417" t="inlineStr">
        <is>
          <t>Regina (Saskatchewan) Canada</t>
        </is>
      </c>
      <c r="P2417" t="n">
        <v>1369.19</v>
      </c>
      <c r="Q2417" t="n">
        <v>0</v>
      </c>
      <c r="R2417" t="n">
        <v>489.34</v>
      </c>
      <c r="S2417" t="n">
        <v>280.45</v>
      </c>
      <c r="T2417" t="n">
        <v>0</v>
      </c>
      <c r="U2417" t="n">
        <v>2138.98</v>
      </c>
      <c r="X2417" t="inlineStr">
        <is>
          <t>aafc-aac</t>
        </is>
      </c>
      <c r="Y2417" t="inlineStr">
        <is>
          <t>Agriculture and Agri-Food Canada | Agriculture et Agroalimentaire Canada</t>
        </is>
      </c>
    </row>
    <row r="2418">
      <c r="A2418" t="inlineStr">
        <is>
          <t>T-2025-P09-007</t>
        </is>
      </c>
      <c r="B2418" t="inlineStr">
        <is>
          <t>SLE</t>
        </is>
      </c>
      <c r="C2418" t="inlineStr">
        <is>
          <t>Deputy Minister</t>
        </is>
      </c>
      <c r="D2418" t="inlineStr">
        <is>
          <t>Sous-ministre</t>
        </is>
      </c>
      <c r="E2418" t="inlineStr">
        <is>
          <t>Lawrence Hanson</t>
        </is>
      </c>
      <c r="F2418" t="inlineStr">
        <is>
          <t>To support the Minister in attending the Canadian Western Agribition</t>
        </is>
      </c>
      <c r="G2418" t="inlineStr">
        <is>
          <t>Soutenir la participation du ministre à l'Agribition canadienne de l'Ouest</t>
        </is>
      </c>
      <c r="H2418" s="1" t="n">
        <v>45620</v>
      </c>
      <c r="I2418" s="1" t="n">
        <v>45622</v>
      </c>
      <c r="J2418" t="inlineStr">
        <is>
          <t>Regina (Saskatchewan) Canada</t>
        </is>
      </c>
      <c r="K2418" t="inlineStr">
        <is>
          <t>Regina (Saskatchewan) Canada</t>
        </is>
      </c>
      <c r="P2418" t="n">
        <v>1268.8</v>
      </c>
      <c r="Q2418" t="n">
        <v>25</v>
      </c>
      <c r="R2418" t="n">
        <v>489.34</v>
      </c>
      <c r="S2418" t="n">
        <v>359.35</v>
      </c>
      <c r="T2418" t="n">
        <v>0</v>
      </c>
      <c r="U2418" t="n">
        <v>2142.49</v>
      </c>
      <c r="X2418" t="inlineStr">
        <is>
          <t>aafc-aac</t>
        </is>
      </c>
      <c r="Y2418" t="inlineStr">
        <is>
          <t>Agriculture and Agri-Food Canada | Agriculture et Agroalimentaire Canada</t>
        </is>
      </c>
    </row>
    <row r="2419">
      <c r="A2419" t="inlineStr">
        <is>
          <t>T-2025-P09-008</t>
        </is>
      </c>
      <c r="B2419" t="inlineStr">
        <is>
          <t>SLE</t>
        </is>
      </c>
      <c r="C2419" t="inlineStr">
        <is>
          <t>Workplace Well-Being Ombudsperson</t>
        </is>
      </c>
      <c r="D2419" t="inlineStr">
        <is>
          <t>Ombudsman du mieux-être en milieu de travail</t>
        </is>
      </c>
      <c r="E2419" t="inlineStr">
        <is>
          <t xml:space="preserve">Elianne Hall </t>
        </is>
      </c>
      <c r="F2419" t="inlineStr">
        <is>
          <t>To attend an Outreach</t>
        </is>
      </c>
      <c r="G2419" t="inlineStr">
        <is>
          <t>Participer à une activité de sensibilisation</t>
        </is>
      </c>
      <c r="H2419" s="1" t="n">
        <v>45621</v>
      </c>
      <c r="I2419" s="1" t="n">
        <v>45625</v>
      </c>
      <c r="J2419" t="inlineStr">
        <is>
          <t>Saskatoon (Saskatchewan) Canada</t>
        </is>
      </c>
      <c r="K2419" t="inlineStr">
        <is>
          <t>Saskatoon (Saskatchewan) Canada</t>
        </is>
      </c>
      <c r="P2419" t="n">
        <v>1401.87</v>
      </c>
      <c r="Q2419" t="n">
        <v>904.09</v>
      </c>
      <c r="R2419" t="n">
        <v>827.6799999999999</v>
      </c>
      <c r="S2419" t="n">
        <v>588.65</v>
      </c>
      <c r="T2419" t="n">
        <v>0</v>
      </c>
      <c r="U2419" t="n">
        <v>3722.29</v>
      </c>
      <c r="X2419" t="inlineStr">
        <is>
          <t>aafc-aac</t>
        </is>
      </c>
      <c r="Y2419" t="inlineStr">
        <is>
          <t>Agriculture and Agri-Food Canada | Agriculture et Agroalimentaire Canada</t>
        </is>
      </c>
    </row>
    <row r="2420">
      <c r="A2420" t="inlineStr">
        <is>
          <t>T-2025-P09-009</t>
        </is>
      </c>
      <c r="B2420" t="inlineStr">
        <is>
          <t>SLE</t>
        </is>
      </c>
      <c r="C2420" t="inlineStr">
        <is>
          <t>Assistant Deputy Minister, Science and Technology Branch</t>
        </is>
      </c>
      <c r="D2420" t="inlineStr">
        <is>
          <t>Sous-ministre adjoint, Direction générale des sciences et de la technologie</t>
        </is>
      </c>
      <c r="E2420" t="inlineStr">
        <is>
          <t>Gilles Saindon</t>
        </is>
      </c>
      <c r="F2420" t="inlineStr">
        <is>
          <t>To attend a meeting</t>
        </is>
      </c>
      <c r="G2420" t="inlineStr">
        <is>
          <t>Participer à une rencontre</t>
        </is>
      </c>
      <c r="H2420" s="1" t="n">
        <v>45622</v>
      </c>
      <c r="I2420" s="1" t="n">
        <v>45623</v>
      </c>
      <c r="J2420" t="inlineStr">
        <is>
          <t>London (Ontario) Canada</t>
        </is>
      </c>
      <c r="K2420" t="inlineStr">
        <is>
          <t>London (Ontario) Canada</t>
        </is>
      </c>
      <c r="P2420" t="n">
        <v>1632.42</v>
      </c>
      <c r="Q2420" t="n">
        <v>212.89</v>
      </c>
      <c r="R2420" t="n">
        <v>150.44</v>
      </c>
      <c r="S2420" t="n">
        <v>203.25</v>
      </c>
      <c r="T2420" t="n">
        <v>0</v>
      </c>
      <c r="U2420" t="n">
        <v>2199</v>
      </c>
      <c r="X2420" t="inlineStr">
        <is>
          <t>aafc-aac</t>
        </is>
      </c>
      <c r="Y2420" t="inlineStr">
        <is>
          <t>Agriculture and Agri-Food Canada | Agriculture et Agroalimentaire Canada</t>
        </is>
      </c>
    </row>
    <row r="2421">
      <c r="A2421" t="inlineStr">
        <is>
          <t>T-2025-P09-010</t>
        </is>
      </c>
      <c r="B2421" t="inlineStr">
        <is>
          <t>SLE</t>
        </is>
      </c>
      <c r="C2421" t="inlineStr">
        <is>
          <t>Assistant Deputy Minister, Science and Technology Branch</t>
        </is>
      </c>
      <c r="D2421" t="inlineStr">
        <is>
          <t>Sous-ministre adjoint, Direction générale des sciences et de la technologie</t>
        </is>
      </c>
      <c r="E2421" t="inlineStr">
        <is>
          <t>Gilles Saindon</t>
        </is>
      </c>
      <c r="F2421" t="inlineStr">
        <is>
          <t>To attend the BioEnterprise Roundtable</t>
        </is>
      </c>
      <c r="G2421" t="inlineStr">
        <is>
          <t>Participer à la table ronde de BioEnterprise</t>
        </is>
      </c>
      <c r="H2421" s="1" t="n">
        <v>45621</v>
      </c>
      <c r="I2421" s="1" t="n">
        <v>45621</v>
      </c>
      <c r="J2421" t="inlineStr">
        <is>
          <t>Ottawa (Ontario) Canada</t>
        </is>
      </c>
      <c r="K2421" t="inlineStr">
        <is>
          <t>Ottawa (Ontario) Canada</t>
        </is>
      </c>
      <c r="P2421" t="n">
        <v>0</v>
      </c>
      <c r="Q2421" t="n">
        <v>20</v>
      </c>
      <c r="R2421" t="n">
        <v>0</v>
      </c>
      <c r="S2421" t="n">
        <v>0</v>
      </c>
      <c r="T2421" t="n">
        <v>0</v>
      </c>
      <c r="U2421" t="n">
        <v>20</v>
      </c>
      <c r="X2421" t="inlineStr">
        <is>
          <t>aafc-aac</t>
        </is>
      </c>
      <c r="Y2421" t="inlineStr">
        <is>
          <t>Agriculture and Agri-Food Canada | Agriculture et Agroalimentaire Canada</t>
        </is>
      </c>
    </row>
    <row r="2422">
      <c r="A2422" t="inlineStr">
        <is>
          <t>T-2025-P09-011</t>
        </is>
      </c>
      <c r="B2422" t="inlineStr">
        <is>
          <t>SLE</t>
        </is>
      </c>
      <c r="C2422" t="inlineStr">
        <is>
          <t>Assistant Deputy Minister, International Affairs Branch</t>
        </is>
      </c>
      <c r="D2422" t="inlineStr">
        <is>
          <t>Sous-ministre adjointe, Direction générale des affaires internationales</t>
        </is>
      </c>
      <c r="E2422" t="inlineStr">
        <is>
          <t xml:space="preserve">Kathleen Donohue </t>
        </is>
      </c>
      <c r="F2422" t="inlineStr">
        <is>
          <t>To support the Minister in attending the AAFC Ministerial Mission</t>
        </is>
      </c>
      <c r="G2422" t="inlineStr">
        <is>
          <t>Soutenir la participation du ministre à la mission ministérielle de l'AAC</t>
        </is>
      </c>
      <c r="H2422" s="1" t="n">
        <v>45607</v>
      </c>
      <c r="I2422" s="1" t="n">
        <v>45613</v>
      </c>
      <c r="J2422" t="inlineStr">
        <is>
          <t xml:space="preserve"> Beijing, China</t>
        </is>
      </c>
      <c r="K2422" t="inlineStr">
        <is>
          <t xml:space="preserve"> Beijing, Chine</t>
        </is>
      </c>
      <c r="P2422" t="n">
        <v>13000.29</v>
      </c>
      <c r="Q2422" t="n">
        <v>67.56999999999999</v>
      </c>
      <c r="R2422" t="n">
        <v>1017.99</v>
      </c>
      <c r="S2422" t="n">
        <v>1026.97</v>
      </c>
      <c r="T2422" t="n">
        <v>0</v>
      </c>
      <c r="U2422" t="n">
        <v>15112.82</v>
      </c>
      <c r="X2422" t="inlineStr">
        <is>
          <t>aafc-aac</t>
        </is>
      </c>
      <c r="Y2422" t="inlineStr">
        <is>
          <t>Agriculture and Agri-Food Canada | Agriculture et Agroalimentaire Canada</t>
        </is>
      </c>
    </row>
    <row r="2423">
      <c r="A2423" t="inlineStr">
        <is>
          <t>T-2025-P09-012</t>
        </is>
      </c>
      <c r="B2423" t="inlineStr">
        <is>
          <t>SLE</t>
        </is>
      </c>
      <c r="C2423" t="inlineStr">
        <is>
          <t>Associate Assistant Deputy Minister, Science and Technology Branch</t>
        </is>
      </c>
      <c r="D2423" t="inlineStr">
        <is>
          <t>Sous-ministre adjoint délégué, Direction générale des sciences et de la technologie</t>
        </is>
      </c>
      <c r="E2423" t="inlineStr">
        <is>
          <t>Andrew Goldstein</t>
        </is>
      </c>
      <c r="F2423" t="inlineStr">
        <is>
          <t>Outreach visit and meet with staff at the Quebec Research and Development Centre .</t>
        </is>
      </c>
      <c r="G2423" t="inlineStr">
        <is>
          <t>Rencontre de sensibilisation avec le personnel du Centre de recherche et de développement de Québec.</t>
        </is>
      </c>
      <c r="H2423" s="1" t="n">
        <v>45635</v>
      </c>
      <c r="I2423" s="1" t="n">
        <v>45636</v>
      </c>
      <c r="J2423" t="inlineStr">
        <is>
          <t>QuÉbec (Quebec) Canada</t>
        </is>
      </c>
      <c r="K2423" t="inlineStr">
        <is>
          <t>Québec (Québec) Canada</t>
        </is>
      </c>
      <c r="P2423" t="n">
        <v>1395.02</v>
      </c>
      <c r="Q2423" t="n">
        <v>50</v>
      </c>
      <c r="R2423" t="n">
        <v>208.26</v>
      </c>
      <c r="S2423" t="n">
        <v>258.2</v>
      </c>
      <c r="T2423" t="n">
        <v>0</v>
      </c>
      <c r="U2423" t="n">
        <v>1911.48</v>
      </c>
      <c r="X2423" t="inlineStr">
        <is>
          <t>aafc-aac</t>
        </is>
      </c>
      <c r="Y2423" t="inlineStr">
        <is>
          <t>Agriculture and Agri-Food Canada | Agriculture et Agroalimentaire Canada</t>
        </is>
      </c>
    </row>
    <row r="2424">
      <c r="A2424" t="inlineStr">
        <is>
          <t>T-2025-P09-013</t>
        </is>
      </c>
      <c r="B2424" t="inlineStr">
        <is>
          <t>SLE</t>
        </is>
      </c>
      <c r="C2424" t="inlineStr">
        <is>
          <t>Associate Assistant Deputy Minister, Science and Technology Branch</t>
        </is>
      </c>
      <c r="D2424" t="inlineStr">
        <is>
          <t>Sous-ministre adjoint délégué, Direction générale des sciences et de la technologie</t>
        </is>
      </c>
      <c r="E2424" t="inlineStr">
        <is>
          <t>Andrew Goldstein</t>
        </is>
      </c>
      <c r="F2424" t="inlineStr">
        <is>
          <t>To attend the BioEnterprise Round Table meetings in Ottawa</t>
        </is>
      </c>
      <c r="G2424" t="inlineStr">
        <is>
          <t>Participation aux réunions de la table ronde BioEnterprise à Ottawa</t>
        </is>
      </c>
      <c r="H2424" s="1" t="n">
        <v>45621</v>
      </c>
      <c r="I2424" s="1" t="n">
        <v>45621</v>
      </c>
      <c r="J2424" t="inlineStr">
        <is>
          <t>Ottawa (Ontario) Canada</t>
        </is>
      </c>
      <c r="K2424" t="inlineStr">
        <is>
          <t>Ottawa (Ontario) Canada</t>
        </is>
      </c>
      <c r="P2424" t="n">
        <v>0</v>
      </c>
      <c r="Q2424" t="n">
        <v>20</v>
      </c>
      <c r="R2424" t="n">
        <v>0</v>
      </c>
      <c r="S2424" t="n">
        <v>0</v>
      </c>
      <c r="T2424" t="n">
        <v>0</v>
      </c>
      <c r="U2424" t="n">
        <v>20</v>
      </c>
      <c r="X2424" t="inlineStr">
        <is>
          <t>aafc-aac</t>
        </is>
      </c>
      <c r="Y2424" t="inlineStr">
        <is>
          <t>Agriculture and Agri-Food Canada | Agriculture et Agroalimentaire Canada</t>
        </is>
      </c>
    </row>
    <row r="2425">
      <c r="A2425" t="inlineStr">
        <is>
          <t>T-2025-P09-014</t>
        </is>
      </c>
      <c r="B2425" t="inlineStr">
        <is>
          <t>SLE</t>
        </is>
      </c>
      <c r="C2425" t="inlineStr">
        <is>
          <t>Assistant Deputy Minister, Corporate Management Branch</t>
        </is>
      </c>
      <c r="D2425" t="inlineStr">
        <is>
          <t>Sous-ministre adjointe, Direction générale de la gestion intégrée</t>
        </is>
      </c>
      <c r="E2425" t="inlineStr">
        <is>
          <t>Marie-Claude Guérard</t>
        </is>
      </c>
      <c r="F2425" t="inlineStr">
        <is>
          <t>To attend meetings in Ottawa</t>
        </is>
      </c>
      <c r="G2425" t="inlineStr">
        <is>
          <t>Participer aux rencontres à Ottawa</t>
        </is>
      </c>
      <c r="H2425" s="1" t="n">
        <v>45629</v>
      </c>
      <c r="I2425" s="1" t="n">
        <v>45631</v>
      </c>
      <c r="J2425" t="inlineStr">
        <is>
          <t>Ottawa (Ontario) Canada</t>
        </is>
      </c>
      <c r="K2425" t="inlineStr">
        <is>
          <t>Ottawa (Ontario) Canada</t>
        </is>
      </c>
      <c r="P2425" t="n">
        <v>0</v>
      </c>
      <c r="Q2425" t="n">
        <v>567.3200000000001</v>
      </c>
      <c r="R2425" t="n">
        <v>389.18</v>
      </c>
      <c r="S2425" t="n">
        <v>246.6</v>
      </c>
      <c r="T2425" t="n">
        <v>0</v>
      </c>
      <c r="U2425" t="n">
        <v>1203.1</v>
      </c>
      <c r="X2425" t="inlineStr">
        <is>
          <t>aafc-aac</t>
        </is>
      </c>
      <c r="Y2425" t="inlineStr">
        <is>
          <t>Agriculture and Agri-Food Canada | Agriculture et Agroalimentaire Canada</t>
        </is>
      </c>
    </row>
    <row r="2426">
      <c r="A2426" t="inlineStr">
        <is>
          <t>T-2025-P09-015</t>
        </is>
      </c>
      <c r="B2426" t="inlineStr">
        <is>
          <t>SLE</t>
        </is>
      </c>
      <c r="C2426" t="inlineStr">
        <is>
          <t>Assistant Deputy Minister, Strategic Policy Branch</t>
        </is>
      </c>
      <c r="D2426" t="inlineStr">
        <is>
          <t>Sous-ministre adjointe, Direction générale des politiques stratégiques</t>
        </is>
      </c>
      <c r="E2426" t="inlineStr">
        <is>
          <t>Shannon Nix</t>
        </is>
      </c>
      <c r="F2426" t="inlineStr">
        <is>
          <t>To attend the Advancing Woman in Agriculture Conference in Niagara Falls</t>
        </is>
      </c>
      <c r="G2426" t="inlineStr">
        <is>
          <t>Participer à la conférence Advancing Woman in Agriculture à Niagara Falls</t>
        </is>
      </c>
      <c r="H2426" s="1" t="n">
        <v>45613</v>
      </c>
      <c r="I2426" s="1" t="n">
        <v>45618</v>
      </c>
      <c r="J2426" t="inlineStr">
        <is>
          <t>Niagara Falls (Ontario) Canada</t>
        </is>
      </c>
      <c r="K2426" t="inlineStr">
        <is>
          <t>Niagara Falls (Ontario) Canada</t>
        </is>
      </c>
      <c r="P2426" t="n">
        <v>902.78</v>
      </c>
      <c r="Q2426" t="n">
        <v>177.09</v>
      </c>
      <c r="R2426" t="n">
        <v>381.7</v>
      </c>
      <c r="S2426" t="n">
        <v>148.3</v>
      </c>
      <c r="T2426" t="n">
        <v>0</v>
      </c>
      <c r="U2426" t="n">
        <v>1609.87</v>
      </c>
      <c r="X2426" t="inlineStr">
        <is>
          <t>aafc-aac</t>
        </is>
      </c>
      <c r="Y2426" t="inlineStr">
        <is>
          <t>Agriculture and Agri-Food Canada | Agriculture et Agroalimentaire Canada</t>
        </is>
      </c>
    </row>
    <row r="2427">
      <c r="A2427" t="inlineStr">
        <is>
          <t>T-2025-P09-016</t>
        </is>
      </c>
      <c r="B2427" t="inlineStr">
        <is>
          <t>SLE</t>
        </is>
      </c>
      <c r="C2427" t="inlineStr">
        <is>
          <t>Assistant Deputy Minister, Programs Branch</t>
        </is>
      </c>
      <c r="D2427" t="inlineStr">
        <is>
          <t>Sous-ministre adjointe, Direction générale des programmes</t>
        </is>
      </c>
      <c r="E2427" t="inlineStr">
        <is>
          <t>Liz Foster</t>
        </is>
      </c>
      <c r="F2427" t="inlineStr">
        <is>
          <t>To attend the BioEnterprise Round Table meetings in Ottawa</t>
        </is>
      </c>
      <c r="G2427" t="inlineStr">
        <is>
          <t>Participer aux réunions de table ronde BioEnterprise à Ottawa</t>
        </is>
      </c>
      <c r="H2427" s="1" t="n">
        <v>45621</v>
      </c>
      <c r="I2427" s="1" t="n">
        <v>45621</v>
      </c>
      <c r="J2427" t="inlineStr">
        <is>
          <t>Ottawa (Ontario) Canada</t>
        </is>
      </c>
      <c r="K2427" t="inlineStr">
        <is>
          <t>Ottawa (Ontario) Canada</t>
        </is>
      </c>
      <c r="P2427" t="n">
        <v>0</v>
      </c>
      <c r="Q2427" t="n">
        <v>20.5</v>
      </c>
      <c r="R2427" t="n">
        <v>0</v>
      </c>
      <c r="S2427" t="n">
        <v>0</v>
      </c>
      <c r="T2427" t="n">
        <v>0</v>
      </c>
      <c r="U2427" t="n">
        <v>20.5</v>
      </c>
      <c r="X2427" t="inlineStr">
        <is>
          <t>aafc-aac</t>
        </is>
      </c>
      <c r="Y2427" t="inlineStr">
        <is>
          <t>Agriculture and Agri-Food Canada | Agriculture et Agroalimentaire Canada</t>
        </is>
      </c>
    </row>
    <row r="2428">
      <c r="A2428" t="inlineStr">
        <is>
          <t>T-2025-P09-017</t>
        </is>
      </c>
      <c r="B2428" t="inlineStr">
        <is>
          <t>SLE</t>
        </is>
      </c>
      <c r="C2428" t="inlineStr">
        <is>
          <t>Assistant Deputy Minister, Market and Industry Services Branch</t>
        </is>
      </c>
      <c r="D2428" t="inlineStr">
        <is>
          <t>Sous-ministre adjoint, Direction générale des services à l'industrie et aux marchés</t>
        </is>
      </c>
      <c r="E2428" t="inlineStr">
        <is>
          <t>Tom Rosser</t>
        </is>
      </c>
      <c r="F2428" t="inlineStr">
        <is>
          <t>To support the Minister in attending the AAFC Ministerial Mission</t>
        </is>
      </c>
      <c r="G2428" t="inlineStr">
        <is>
          <t>Soutenir la participation du ministre à la mission ministérielle de l'AAC</t>
        </is>
      </c>
      <c r="H2428" s="1" t="n">
        <v>45605</v>
      </c>
      <c r="I2428" s="1" t="n">
        <v>45613</v>
      </c>
      <c r="J2428" t="inlineStr">
        <is>
          <t>Beijing, China</t>
        </is>
      </c>
      <c r="K2428" t="inlineStr">
        <is>
          <t>Beijing, Chine</t>
        </is>
      </c>
      <c r="P2428" t="n">
        <v>14576.18</v>
      </c>
      <c r="Q2428" t="n">
        <v>80</v>
      </c>
      <c r="R2428" t="n">
        <v>1025.38</v>
      </c>
      <c r="S2428" t="n">
        <v>650.41</v>
      </c>
      <c r="T2428" t="n">
        <v>0</v>
      </c>
      <c r="U2428" t="n">
        <v>16331.97</v>
      </c>
      <c r="X2428" t="inlineStr">
        <is>
          <t>aafc-aac</t>
        </is>
      </c>
      <c r="Y2428" t="inlineStr">
        <is>
          <t>Agriculture and Agri-Food Canada | Agriculture et Agroalimentaire Canada</t>
        </is>
      </c>
    </row>
    <row r="2429">
      <c r="A2429" t="inlineStr">
        <is>
          <t>T-2025-P09-018</t>
        </is>
      </c>
      <c r="B2429" t="inlineStr">
        <is>
          <t>SLE</t>
        </is>
      </c>
      <c r="C2429" t="inlineStr">
        <is>
          <t>Chief Information Officer, Information Systems Branch</t>
        </is>
      </c>
      <c r="D2429" t="inlineStr">
        <is>
          <t>Dirigeant principal de l'information, Direction générale des systèmes d'information</t>
        </is>
      </c>
      <c r="E2429" t="inlineStr">
        <is>
          <t>Nasser Alsukayri</t>
        </is>
      </c>
      <c r="F2429" t="inlineStr">
        <is>
          <t>To attend a site visit in Winnipeg</t>
        </is>
      </c>
      <c r="G2429" t="inlineStr">
        <is>
          <t>Assister à une visite de site à Winnipeg</t>
        </is>
      </c>
      <c r="H2429" s="1" t="n">
        <v>45585</v>
      </c>
      <c r="I2429" s="1" t="n">
        <v>45586</v>
      </c>
      <c r="J2429" t="inlineStr">
        <is>
          <t>Winnipeg (Manitoba) Canada</t>
        </is>
      </c>
      <c r="K2429" t="inlineStr">
        <is>
          <t>Winnipeg (Manitoba) Canada</t>
        </is>
      </c>
      <c r="P2429" t="n">
        <v>136.74</v>
      </c>
      <c r="Q2429" t="n">
        <v>44.51</v>
      </c>
      <c r="R2429" t="n">
        <v>188.1</v>
      </c>
      <c r="S2429" t="n">
        <v>208.4</v>
      </c>
      <c r="T2429" t="n">
        <v>93.25</v>
      </c>
      <c r="U2429" t="n">
        <v>671</v>
      </c>
      <c r="X2429" t="inlineStr">
        <is>
          <t>aafc-aac</t>
        </is>
      </c>
      <c r="Y2429" t="inlineStr">
        <is>
          <t>Agriculture and Agri-Food Canada | Agriculture et Agroalimentaire Canada</t>
        </is>
      </c>
    </row>
    <row r="2430">
      <c r="A2430" t="inlineStr">
        <is>
          <t>T-2025-P09-019</t>
        </is>
      </c>
      <c r="B2430" t="inlineStr">
        <is>
          <t>SLE</t>
        </is>
      </c>
      <c r="C2430" t="inlineStr">
        <is>
          <t>Chief Information Officer, Information Systems Branch</t>
        </is>
      </c>
      <c r="D2430" t="inlineStr">
        <is>
          <t>Dirigeant principal de l'information, Direction générale des systèmes d'information</t>
        </is>
      </c>
      <c r="E2430" t="inlineStr">
        <is>
          <t>Nasser Alsukayri</t>
        </is>
      </c>
      <c r="F2430" t="inlineStr">
        <is>
          <t>To attend the Executive Leadership Development Program training in Winnipeg</t>
        </is>
      </c>
      <c r="G2430" t="inlineStr">
        <is>
          <t>Assister à la formation Programme de développement en leadership pour les cadres supérieurs à Winnipeg</t>
        </is>
      </c>
      <c r="H2430" s="1" t="n">
        <v>45587</v>
      </c>
      <c r="I2430" s="1" t="n">
        <v>45590</v>
      </c>
      <c r="J2430" t="inlineStr">
        <is>
          <t>Winnipeg (Manitoba) Canada</t>
        </is>
      </c>
      <c r="K2430" t="inlineStr">
        <is>
          <t>Winnipeg (Manitoba) Canada</t>
        </is>
      </c>
      <c r="P2430" t="n">
        <v>713.53</v>
      </c>
      <c r="Q2430" t="n">
        <v>19.74</v>
      </c>
      <c r="R2430" t="n">
        <v>752.4</v>
      </c>
      <c r="S2430" t="n">
        <v>516.4</v>
      </c>
      <c r="T2430" t="n">
        <v>0</v>
      </c>
      <c r="U2430" t="n">
        <v>2002.07</v>
      </c>
      <c r="X2430" t="inlineStr">
        <is>
          <t>aafc-aac</t>
        </is>
      </c>
      <c r="Y2430" t="inlineStr">
        <is>
          <t>Agriculture and Agri-Food Canada | Agriculture et Agroalimentaire Canada</t>
        </is>
      </c>
    </row>
    <row r="2431">
      <c r="A2431" t="inlineStr">
        <is>
          <t>T-2025-P08-012</t>
        </is>
      </c>
      <c r="B2431" t="inlineStr">
        <is>
          <t>SLE</t>
        </is>
      </c>
      <c r="C2431" t="inlineStr">
        <is>
          <t>Assistant Deputy Minister, Market and Industry Services Branch</t>
        </is>
      </c>
      <c r="D2431" t="inlineStr">
        <is>
          <t>Sous-ministre adjoint, Direction générale des services à l'industrie et aux marchés</t>
        </is>
      </c>
      <c r="E2431" t="inlineStr">
        <is>
          <t>Tom Rosser</t>
        </is>
      </c>
      <c r="F2431" t="inlineStr">
        <is>
          <t>To participate in the Crops Logisitic Working Group meeting</t>
        </is>
      </c>
      <c r="G2431" t="inlineStr">
        <is>
          <t>Participer à la réunion du Groupe de travail sur la logistique des cultures</t>
        </is>
      </c>
      <c r="H2431" s="1" t="n">
        <v>45592</v>
      </c>
      <c r="I2431" s="1" t="n">
        <v>45593</v>
      </c>
      <c r="J2431" t="inlineStr">
        <is>
          <t>Winnipeg (Mantioba) Canada</t>
        </is>
      </c>
      <c r="K2431" t="inlineStr">
        <is>
          <t>Winnipeg (Manitoba) Canada</t>
        </is>
      </c>
      <c r="P2431" t="n">
        <v>912.25</v>
      </c>
      <c r="Q2431" t="n">
        <v>112.69</v>
      </c>
      <c r="R2431" t="n">
        <v>215.45</v>
      </c>
      <c r="S2431" t="n">
        <v>121.65</v>
      </c>
      <c r="T2431" t="n">
        <v>0</v>
      </c>
      <c r="U2431" t="n">
        <v>1362.04</v>
      </c>
      <c r="X2431" t="inlineStr">
        <is>
          <t>aafc-aac</t>
        </is>
      </c>
      <c r="Y2431" t="inlineStr">
        <is>
          <t>Agriculture and Agri-Food Canada | Agriculture et Agroalimentaire Canada</t>
        </is>
      </c>
    </row>
    <row r="2432">
      <c r="A2432" t="inlineStr">
        <is>
          <t>T-2025-P10-001</t>
        </is>
      </c>
      <c r="B2432" t="inlineStr">
        <is>
          <t>MPSES</t>
        </is>
      </c>
      <c r="C2432" t="inlineStr">
        <is>
          <t>Driver</t>
        </is>
      </c>
      <c r="D2432" t="inlineStr">
        <is>
          <t>Chauffeur</t>
        </is>
      </c>
      <c r="E2432" t="inlineStr">
        <is>
          <t>Nicolas Mamo</t>
        </is>
      </c>
      <c r="F2432" t="inlineStr">
        <is>
          <t>Vehicle rental due to the Minister's vehicle is in the shop</t>
        </is>
      </c>
      <c r="G2432" t="inlineStr">
        <is>
          <t>Location de véhicule, le véhicule du ministre étant en réparation</t>
        </is>
      </c>
      <c r="H2432" s="1" t="n">
        <v>45666</v>
      </c>
      <c r="I2432" s="1" t="n">
        <v>45670</v>
      </c>
      <c r="J2432" t="inlineStr">
        <is>
          <t>Ottawa (Ontario) Canada</t>
        </is>
      </c>
      <c r="K2432" t="inlineStr">
        <is>
          <t>Ottawa (Ontario) Canada</t>
        </is>
      </c>
      <c r="P2432" t="n">
        <v>0</v>
      </c>
      <c r="Q2432" t="n">
        <v>618</v>
      </c>
      <c r="R2432" t="n">
        <v>0</v>
      </c>
      <c r="S2432" t="n">
        <v>0</v>
      </c>
      <c r="T2432" t="n">
        <v>0</v>
      </c>
      <c r="U2432" t="n">
        <v>618</v>
      </c>
      <c r="X2432" t="inlineStr">
        <is>
          <t>aafc-aac</t>
        </is>
      </c>
      <c r="Y2432" t="inlineStr">
        <is>
          <t>Agriculture and Agri-Food Canada | Agriculture et Agroalimentaire Canada</t>
        </is>
      </c>
    </row>
    <row r="2433">
      <c r="A2433" t="inlineStr">
        <is>
          <t>T-2025-P10-002</t>
        </is>
      </c>
      <c r="B2433" t="inlineStr">
        <is>
          <t>SLE</t>
        </is>
      </c>
      <c r="C2433" t="inlineStr">
        <is>
          <t>Corporate Secretary</t>
        </is>
      </c>
      <c r="D2433" t="inlineStr">
        <is>
          <t>Secrétaire générale</t>
        </is>
      </c>
      <c r="E2433" t="inlineStr">
        <is>
          <t>Tamara Abel</t>
        </is>
      </c>
      <c r="F2433" t="inlineStr">
        <is>
          <t>Operational activities</t>
        </is>
      </c>
      <c r="G2433" t="inlineStr">
        <is>
          <t>Activités opérationnelles</t>
        </is>
      </c>
      <c r="H2433" s="1" t="n">
        <v>45642</v>
      </c>
      <c r="I2433" s="1" t="n">
        <v>45645</v>
      </c>
      <c r="J2433" t="inlineStr">
        <is>
          <t>Ottawa (Ontario) Canada</t>
        </is>
      </c>
      <c r="K2433" t="inlineStr">
        <is>
          <t>Ottawa (Ontario) Canada</t>
        </is>
      </c>
      <c r="P2433" t="n">
        <v>767.12</v>
      </c>
      <c r="Q2433" t="n">
        <v>334.68</v>
      </c>
      <c r="R2433" t="n">
        <v>652.11</v>
      </c>
      <c r="S2433" t="n">
        <v>461.45</v>
      </c>
      <c r="T2433" t="n">
        <v>0</v>
      </c>
      <c r="U2433" t="n">
        <v>2215.36</v>
      </c>
      <c r="X2433" t="inlineStr">
        <is>
          <t>aafc-aac</t>
        </is>
      </c>
      <c r="Y2433" t="inlineStr">
        <is>
          <t>Agriculture and Agri-Food Canada | Agriculture et Agroalimentaire Canada</t>
        </is>
      </c>
    </row>
    <row r="2434">
      <c r="A2434" t="inlineStr">
        <is>
          <t>T-2025-P10-003</t>
        </is>
      </c>
      <c r="B2434" t="inlineStr">
        <is>
          <t>SLE</t>
        </is>
      </c>
      <c r="C2434" t="inlineStr">
        <is>
          <t>Assistant Deputy Minister, Corporate Management Branch</t>
        </is>
      </c>
      <c r="D2434" t="inlineStr">
        <is>
          <t>Sous-ministre adjointe, Direction générale de la gestion intégrée</t>
        </is>
      </c>
      <c r="E2434" t="inlineStr">
        <is>
          <t>Marie-Claude Guérard</t>
        </is>
      </c>
      <c r="F2434" t="inlineStr">
        <is>
          <t>To attend meetings in Ottawa</t>
        </is>
      </c>
      <c r="G2434" t="inlineStr">
        <is>
          <t>Participer aux rencontres à Ottawa</t>
        </is>
      </c>
      <c r="H2434" s="1" t="n">
        <v>45644</v>
      </c>
      <c r="I2434" s="1" t="n">
        <v>45645</v>
      </c>
      <c r="J2434" t="inlineStr">
        <is>
          <t>Ottawa (Ontario) Canada</t>
        </is>
      </c>
      <c r="K2434" t="inlineStr">
        <is>
          <t>Ottawa (Ontario) Canada</t>
        </is>
      </c>
      <c r="P2434" t="n">
        <v>0</v>
      </c>
      <c r="Q2434" t="n">
        <v>400.22</v>
      </c>
      <c r="R2434" t="n">
        <v>259.84</v>
      </c>
      <c r="S2434" t="n">
        <v>173.4</v>
      </c>
      <c r="T2434" t="n">
        <v>0</v>
      </c>
      <c r="U2434" t="n">
        <v>833.46</v>
      </c>
      <c r="X2434" t="inlineStr">
        <is>
          <t>aafc-aac</t>
        </is>
      </c>
      <c r="Y2434" t="inlineStr">
        <is>
          <t>Agriculture and Agri-Food Canada | Agriculture et Agroalimentaire Canada</t>
        </is>
      </c>
    </row>
    <row r="2435">
      <c r="A2435" t="inlineStr">
        <is>
          <t>T-2025-P10-004</t>
        </is>
      </c>
      <c r="B2435" t="inlineStr">
        <is>
          <t>SLE</t>
        </is>
      </c>
      <c r="C2435" t="inlineStr">
        <is>
          <t>Assistant Deputy Minister, Corporate Management Branch</t>
        </is>
      </c>
      <c r="D2435" t="inlineStr">
        <is>
          <t>Sous-ministre adjointe, Direction générale de la gestion intégrée</t>
        </is>
      </c>
      <c r="E2435" t="inlineStr">
        <is>
          <t>Marie-Claude Guérard</t>
        </is>
      </c>
      <c r="F2435" t="inlineStr">
        <is>
          <t>To attend meetings in Ottawa</t>
        </is>
      </c>
      <c r="G2435" t="inlineStr">
        <is>
          <t>Participer aux rencontres à Ottawa</t>
        </is>
      </c>
      <c r="H2435" s="1" t="n">
        <v>45665</v>
      </c>
      <c r="I2435" s="1" t="n">
        <v>45665</v>
      </c>
      <c r="J2435" t="inlineStr">
        <is>
          <t>Ottawa (Ontario) Canada</t>
        </is>
      </c>
      <c r="K2435" t="inlineStr">
        <is>
          <t>Ottawa (Ontario) Canada</t>
        </is>
      </c>
      <c r="P2435" t="n">
        <v>0</v>
      </c>
      <c r="Q2435" t="n">
        <v>328</v>
      </c>
      <c r="R2435" t="n">
        <v>0</v>
      </c>
      <c r="S2435" t="n">
        <v>27</v>
      </c>
      <c r="T2435" t="n">
        <v>0</v>
      </c>
      <c r="U2435" t="n">
        <v>355</v>
      </c>
      <c r="X2435" t="inlineStr">
        <is>
          <t>aafc-aac</t>
        </is>
      </c>
      <c r="Y2435" t="inlineStr">
        <is>
          <t>Agriculture and Agri-Food Canada | Agriculture et Agroalimentaire Canada</t>
        </is>
      </c>
    </row>
    <row r="2436">
      <c r="A2436" t="inlineStr">
        <is>
          <t>T-2025-P10-005</t>
        </is>
      </c>
      <c r="B2436" t="inlineStr">
        <is>
          <t>SLE</t>
        </is>
      </c>
      <c r="C2436" t="inlineStr">
        <is>
          <t>Assistant Deputy Minister, Corporate Management Branch</t>
        </is>
      </c>
      <c r="D2436" t="inlineStr">
        <is>
          <t>Sous-ministre adjointe, Direction générale de la gestion intégrée</t>
        </is>
      </c>
      <c r="E2436" t="inlineStr">
        <is>
          <t>Marie-Claude Guérard</t>
        </is>
      </c>
      <c r="F2436" t="inlineStr">
        <is>
          <t>To attend meetings in Ottawa</t>
        </is>
      </c>
      <c r="G2436" t="inlineStr">
        <is>
          <t>Participer aux rencontres à Ottawa</t>
        </is>
      </c>
      <c r="H2436" s="1" t="n">
        <v>45679</v>
      </c>
      <c r="I2436" s="1" t="n">
        <v>45680</v>
      </c>
      <c r="J2436" t="inlineStr">
        <is>
          <t>Ottawa (Ontario) Canada</t>
        </is>
      </c>
      <c r="K2436" t="inlineStr">
        <is>
          <t>Ottawa (Ontario) Canada</t>
        </is>
      </c>
      <c r="P2436" t="n">
        <v>0</v>
      </c>
      <c r="Q2436" t="n">
        <v>560.85</v>
      </c>
      <c r="R2436" t="n">
        <v>271.71</v>
      </c>
      <c r="S2436" t="n">
        <v>178.4</v>
      </c>
      <c r="T2436" t="n">
        <v>0</v>
      </c>
      <c r="U2436" t="n">
        <v>1010.96</v>
      </c>
      <c r="X2436" t="inlineStr">
        <is>
          <t>aafc-aac</t>
        </is>
      </c>
      <c r="Y2436" t="inlineStr">
        <is>
          <t>Agriculture and Agri-Food Canada | Agriculture et Agroalimentaire Canada</t>
        </is>
      </c>
    </row>
    <row r="2437">
      <c r="A2437" t="inlineStr">
        <is>
          <t>T-2025-P10-006</t>
        </is>
      </c>
      <c r="B2437" t="inlineStr">
        <is>
          <t>SLE</t>
        </is>
      </c>
      <c r="C2437" t="inlineStr">
        <is>
          <t>Chief Information Officer, Information Systems Branch</t>
        </is>
      </c>
      <c r="D2437" t="inlineStr">
        <is>
          <t>Dirigeant principal de l'information, Direction générale des systèmes d'information</t>
        </is>
      </c>
      <c r="E2437" t="inlineStr">
        <is>
          <t>Nasser Alsukayri</t>
        </is>
      </c>
      <c r="F2437" t="inlineStr">
        <is>
          <t>Site visit to Prince Edward Island and presentation at a conference</t>
        </is>
      </c>
      <c r="G2437" t="inlineStr">
        <is>
          <t>Visite de site à l’Île-du-Prince-Édouard et présentation lors d’une conférence</t>
        </is>
      </c>
      <c r="H2437" s="1" t="n">
        <v>45680</v>
      </c>
      <c r="I2437" s="1" t="n">
        <v>45681</v>
      </c>
      <c r="J2437" t="inlineStr">
        <is>
          <t>Charlottetown (Prince Edward Island) Canada</t>
        </is>
      </c>
      <c r="K2437" t="inlineStr">
        <is>
          <t>Charlottetown (Île-du-Prince-Édouard) Canada</t>
        </is>
      </c>
      <c r="P2437" t="n">
        <v>1096.49</v>
      </c>
      <c r="Q2437" t="n">
        <v>82.20999999999999</v>
      </c>
      <c r="R2437" t="n">
        <v>188.34</v>
      </c>
      <c r="S2437" t="n">
        <v>230.25</v>
      </c>
      <c r="T2437" t="n">
        <v>0</v>
      </c>
      <c r="U2437" t="n">
        <v>1597.29</v>
      </c>
      <c r="X2437" t="inlineStr">
        <is>
          <t>aafc-aac</t>
        </is>
      </c>
      <c r="Y2437" t="inlineStr">
        <is>
          <t>Agriculture and Agri-Food Canada | Agriculture et Agroalimentaire Canada</t>
        </is>
      </c>
    </row>
    <row r="2438">
      <c r="A2438" t="inlineStr">
        <is>
          <t>T-2025-P11-001</t>
        </is>
      </c>
      <c r="B2438" t="inlineStr">
        <is>
          <t>MPSES</t>
        </is>
      </c>
      <c r="C2438" t="inlineStr">
        <is>
          <t>Minister</t>
        </is>
      </c>
      <c r="D2438" t="inlineStr">
        <is>
          <t>Ministre</t>
        </is>
      </c>
      <c r="E2438" t="inlineStr">
        <is>
          <t>Lawrence MacAulay</t>
        </is>
      </c>
      <c r="F2438" t="inlineStr">
        <is>
          <t>To attend a Cabinet Retreat</t>
        </is>
      </c>
      <c r="G2438" t="inlineStr">
        <is>
          <t>Participer à une retraite du cabinet</t>
        </is>
      </c>
      <c r="H2438" s="1" t="n">
        <v>45677</v>
      </c>
      <c r="I2438" s="1" t="n">
        <v>45678</v>
      </c>
      <c r="J2438" t="inlineStr">
        <is>
          <t>Montebello, Quebec, Canada</t>
        </is>
      </c>
      <c r="K2438" t="inlineStr">
        <is>
          <t>Montebello, Québec, Canada</t>
        </is>
      </c>
      <c r="P2438" t="n">
        <v>0</v>
      </c>
      <c r="Q2438" t="n">
        <v>0</v>
      </c>
      <c r="R2438" t="n">
        <v>417.26</v>
      </c>
      <c r="S2438" t="n">
        <v>112.75</v>
      </c>
      <c r="T2438" t="n">
        <v>0</v>
      </c>
      <c r="U2438" t="n">
        <v>530.01</v>
      </c>
      <c r="X2438" t="inlineStr">
        <is>
          <t>aafc-aac</t>
        </is>
      </c>
      <c r="Y2438" t="inlineStr">
        <is>
          <t>Agriculture and Agri-Food Canada | Agriculture et Agroalimentaire Canada</t>
        </is>
      </c>
    </row>
    <row r="2439">
      <c r="A2439" t="inlineStr">
        <is>
          <t>T-2025-P11-002</t>
        </is>
      </c>
      <c r="B2439" t="inlineStr">
        <is>
          <t>MPSES</t>
        </is>
      </c>
      <c r="C2439" t="inlineStr">
        <is>
          <t>Driver</t>
        </is>
      </c>
      <c r="D2439" t="inlineStr">
        <is>
          <t>Chauffeur</t>
        </is>
      </c>
      <c r="E2439" t="inlineStr">
        <is>
          <t>Nicolas Mamo</t>
        </is>
      </c>
      <c r="F2439" t="inlineStr">
        <is>
          <t>Rental of a vehicle as Minister's vehicle is in the shop</t>
        </is>
      </c>
      <c r="G2439" t="inlineStr">
        <is>
          <t>Location d'un véhicule en raison de l'immobilisation du véhicule du ministre</t>
        </is>
      </c>
      <c r="H2439" s="1" t="n">
        <v>45692</v>
      </c>
      <c r="I2439" s="1" t="n">
        <v>45693</v>
      </c>
      <c r="J2439" t="inlineStr">
        <is>
          <t>Ottawa, Ontario, Canada</t>
        </is>
      </c>
      <c r="K2439" t="inlineStr">
        <is>
          <t>Ottawa, Ontario, Canada</t>
        </is>
      </c>
      <c r="P2439" t="n">
        <v>0</v>
      </c>
      <c r="Q2439" t="n">
        <v>183.5</v>
      </c>
      <c r="R2439" t="n">
        <v>0</v>
      </c>
      <c r="S2439" t="n">
        <v>0</v>
      </c>
      <c r="T2439" t="n">
        <v>0</v>
      </c>
      <c r="U2439" t="n">
        <v>183.5</v>
      </c>
      <c r="X2439" t="inlineStr">
        <is>
          <t>aafc-aac</t>
        </is>
      </c>
      <c r="Y2439" t="inlineStr">
        <is>
          <t>Agriculture and Agri-Food Canada | Agriculture et Agroalimentaire Canada</t>
        </is>
      </c>
    </row>
    <row r="2440">
      <c r="A2440" t="inlineStr">
        <is>
          <t>T-2025-P11-003</t>
        </is>
      </c>
      <c r="B2440" t="inlineStr">
        <is>
          <t>MPSES</t>
        </is>
      </c>
      <c r="C2440" t="inlineStr">
        <is>
          <t>Chief of Staff &amp; Director of Operations</t>
        </is>
      </c>
      <c r="D2440" t="inlineStr">
        <is>
          <t>Chef de cabinet et Directrice des opérations</t>
        </is>
      </c>
      <c r="E2440" t="inlineStr">
        <is>
          <t>Maria Morley</t>
        </is>
      </c>
      <c r="F2440" t="inlineStr">
        <is>
          <t>To support the Minister to attend a Cabinet Retreat</t>
        </is>
      </c>
      <c r="G2440" t="inlineStr">
        <is>
          <t>Soutenir le ministre lors de sa participation à une retraite du cabinet</t>
        </is>
      </c>
      <c r="H2440" s="1" t="n">
        <v>45677</v>
      </c>
      <c r="I2440" s="1" t="n">
        <v>45678</v>
      </c>
      <c r="J2440" t="inlineStr">
        <is>
          <t>Montebello, Quebec, Canada</t>
        </is>
      </c>
      <c r="K2440" t="inlineStr">
        <is>
          <t>Montebello, Québec, Canada</t>
        </is>
      </c>
      <c r="P2440" t="n">
        <v>0</v>
      </c>
      <c r="Q2440" t="n">
        <v>165.11</v>
      </c>
      <c r="R2440" t="n">
        <v>451.77</v>
      </c>
      <c r="S2440" t="n">
        <v>112.75</v>
      </c>
      <c r="T2440" t="n">
        <v>0</v>
      </c>
      <c r="U2440" t="n">
        <v>729.63</v>
      </c>
      <c r="X2440" t="inlineStr">
        <is>
          <t>aafc-aac</t>
        </is>
      </c>
      <c r="Y2440" t="inlineStr">
        <is>
          <t>Agriculture and Agri-Food Canada | Agriculture et Agroalimentaire Canada</t>
        </is>
      </c>
    </row>
    <row r="2441">
      <c r="A2441" t="inlineStr">
        <is>
          <t>T-2025-P11-004</t>
        </is>
      </c>
      <c r="B2441" t="inlineStr">
        <is>
          <t>MPSES</t>
        </is>
      </c>
      <c r="C2441" t="inlineStr">
        <is>
          <t>Chief of Staff &amp; Director of Operations</t>
        </is>
      </c>
      <c r="D2441" t="inlineStr">
        <is>
          <t>Chef de cabinet et Directrice des opérations</t>
        </is>
      </c>
      <c r="E2441" t="inlineStr">
        <is>
          <t>Maria Morley</t>
        </is>
      </c>
      <c r="F2441" t="inlineStr">
        <is>
          <t>To support the Minister to attend meetings</t>
        </is>
      </c>
      <c r="G2441" t="inlineStr">
        <is>
          <t>Soutenir le ministre lors de sa participation à des réunions</t>
        </is>
      </c>
      <c r="H2441" s="1" t="n">
        <v>45683</v>
      </c>
      <c r="I2441" s="1" t="n">
        <v>45685</v>
      </c>
      <c r="J2441" t="inlineStr">
        <is>
          <t>Charlottetown, Prince Edward Island, Canada</t>
        </is>
      </c>
      <c r="K2441" t="inlineStr">
        <is>
          <t>Charlottetown, Île-du-Prince-Édouard, Canada</t>
        </is>
      </c>
      <c r="P2441" t="n">
        <v>1736.78</v>
      </c>
      <c r="Q2441" t="n">
        <v>75.40000000000001</v>
      </c>
      <c r="R2441" t="n">
        <v>200.18</v>
      </c>
      <c r="S2441" t="n">
        <v>195.65</v>
      </c>
      <c r="T2441" t="n">
        <v>0</v>
      </c>
      <c r="U2441" t="n">
        <v>2208.01</v>
      </c>
      <c r="X2441" t="inlineStr">
        <is>
          <t>aafc-aac</t>
        </is>
      </c>
      <c r="Y2441" t="inlineStr">
        <is>
          <t>Agriculture and Agri-Food Canada | Agriculture et Agroalimentaire Canada</t>
        </is>
      </c>
    </row>
    <row r="2442">
      <c r="A2442" t="inlineStr">
        <is>
          <t>T-2025-P11-005</t>
        </is>
      </c>
      <c r="B2442" t="inlineStr">
        <is>
          <t>SLE</t>
        </is>
      </c>
      <c r="C2442" t="inlineStr">
        <is>
          <t>Corporate Secretary</t>
        </is>
      </c>
      <c r="D2442" t="inlineStr">
        <is>
          <t>Secrétaire générale</t>
        </is>
      </c>
      <c r="E2442" t="inlineStr">
        <is>
          <t>Tamara Abel</t>
        </is>
      </c>
      <c r="F2442" t="inlineStr">
        <is>
          <t>Operational activities</t>
        </is>
      </c>
      <c r="G2442" t="inlineStr">
        <is>
          <t>Activités opérationnelles</t>
        </is>
      </c>
      <c r="H2442" s="1" t="n">
        <v>45677</v>
      </c>
      <c r="I2442" s="1" t="n">
        <v>45680</v>
      </c>
      <c r="J2442" t="inlineStr">
        <is>
          <t>Ottawa, Ontario, Canada</t>
        </is>
      </c>
      <c r="K2442" t="inlineStr">
        <is>
          <t>Ottawa, Ontario, Canada</t>
        </is>
      </c>
      <c r="P2442" t="n">
        <v>411.8</v>
      </c>
      <c r="Q2442" t="n">
        <v>352.38</v>
      </c>
      <c r="R2442" t="n">
        <v>722.58</v>
      </c>
      <c r="S2442" t="n">
        <v>461.45</v>
      </c>
      <c r="T2442" t="n">
        <v>0</v>
      </c>
      <c r="U2442" t="n">
        <v>1948.21</v>
      </c>
      <c r="X2442" t="inlineStr">
        <is>
          <t>aafc-aac</t>
        </is>
      </c>
      <c r="Y2442" t="inlineStr">
        <is>
          <t>Agriculture and Agri-Food Canada | Agriculture et Agroalimentaire Canada</t>
        </is>
      </c>
    </row>
    <row r="2443">
      <c r="A2443" t="inlineStr">
        <is>
          <t>T-2025-P11-006</t>
        </is>
      </c>
      <c r="B2443" t="inlineStr">
        <is>
          <t>SLE</t>
        </is>
      </c>
      <c r="C2443" t="inlineStr">
        <is>
          <t>Assistant Deputy Minister, International Affairs Branch</t>
        </is>
      </c>
      <c r="D2443" t="inlineStr">
        <is>
          <t>Sous-ministre adjointe, Direction générale des affaires internationales</t>
        </is>
      </c>
      <c r="E2443" t="inlineStr">
        <is>
          <t xml:space="preserve">Kathleen Donohue </t>
        </is>
      </c>
      <c r="F2443" t="inlineStr">
        <is>
          <t>To attend the American Farm Bureau Convention</t>
        </is>
      </c>
      <c r="G2443" t="inlineStr">
        <is>
          <t>Participer à la conférence American Farm Bureau Convention</t>
        </is>
      </c>
      <c r="H2443" s="1" t="n">
        <v>45680</v>
      </c>
      <c r="I2443" s="1" t="n">
        <v>45684</v>
      </c>
      <c r="J2443" t="inlineStr">
        <is>
          <t>San Antonio, Texas, United States</t>
        </is>
      </c>
      <c r="K2443" t="inlineStr">
        <is>
          <t>San Antonio, Texas, États-Unis</t>
        </is>
      </c>
      <c r="P2443" t="n">
        <v>2144.53</v>
      </c>
      <c r="Q2443" t="n">
        <v>225.67</v>
      </c>
      <c r="R2443" t="n">
        <v>1030.48</v>
      </c>
      <c r="S2443" t="n">
        <v>637.96</v>
      </c>
      <c r="T2443" t="n">
        <v>0</v>
      </c>
      <c r="U2443" t="n">
        <v>4038.64</v>
      </c>
      <c r="X2443" t="inlineStr">
        <is>
          <t>aafc-aac</t>
        </is>
      </c>
      <c r="Y2443" t="inlineStr">
        <is>
          <t>Agriculture and Agri-Food Canada | Agriculture et Agroalimentaire Canada</t>
        </is>
      </c>
    </row>
    <row r="2444">
      <c r="A2444" t="inlineStr">
        <is>
          <t>T-2025-P11-007</t>
        </is>
      </c>
      <c r="B2444" t="inlineStr">
        <is>
          <t>SLE</t>
        </is>
      </c>
      <c r="C2444" t="inlineStr">
        <is>
          <t>Associate Assistant Deputy Minister, Science and Technology Branch</t>
        </is>
      </c>
      <c r="D2444" t="inlineStr">
        <is>
          <t>Sous-ministre adjoint délégué, Direction générale des sciences et de la technologie</t>
        </is>
      </c>
      <c r="E2444" t="inlineStr">
        <is>
          <t>Andrew Goldstein</t>
        </is>
      </c>
      <c r="F2444" t="inlineStr">
        <is>
          <t>To attend meetings</t>
        </is>
      </c>
      <c r="G2444" t="inlineStr">
        <is>
          <t>Participer aux rencontres</t>
        </is>
      </c>
      <c r="H2444" s="1" t="n">
        <v>45698</v>
      </c>
      <c r="I2444" s="1" t="n">
        <v>45700</v>
      </c>
      <c r="J2444" t="inlineStr">
        <is>
          <t>Ottawa, Ontario, Canada</t>
        </is>
      </c>
      <c r="K2444" t="inlineStr">
        <is>
          <t>Ottawa, Ontario, Canada</t>
        </is>
      </c>
      <c r="P2444" t="n">
        <v>0</v>
      </c>
      <c r="Q2444" t="n">
        <v>55</v>
      </c>
      <c r="R2444" t="n">
        <v>0</v>
      </c>
      <c r="S2444" t="n">
        <v>0</v>
      </c>
      <c r="T2444" t="n">
        <v>0</v>
      </c>
      <c r="U2444" t="n">
        <v>55</v>
      </c>
      <c r="X2444" t="inlineStr">
        <is>
          <t>aafc-aac</t>
        </is>
      </c>
      <c r="Y2444" t="inlineStr">
        <is>
          <t>Agriculture and Agri-Food Canada | Agriculture et Agroalimentaire Canada</t>
        </is>
      </c>
    </row>
    <row r="2445">
      <c r="A2445" t="inlineStr">
        <is>
          <t>T-2025-P11-008</t>
        </is>
      </c>
      <c r="B2445" t="inlineStr">
        <is>
          <t>SLE</t>
        </is>
      </c>
      <c r="C2445" t="inlineStr">
        <is>
          <t>Assistant Deputy Minister, Corporate Management Branch</t>
        </is>
      </c>
      <c r="D2445" t="inlineStr">
        <is>
          <t>Sous-ministre adjointe, Direction générale de la gestion intégrée</t>
        </is>
      </c>
      <c r="E2445" t="inlineStr">
        <is>
          <t>Marie-Claude Guérard</t>
        </is>
      </c>
      <c r="F2445" t="inlineStr">
        <is>
          <t>To attend meetings in Ottawa</t>
        </is>
      </c>
      <c r="G2445" t="inlineStr">
        <is>
          <t>Participer aux rencontres à Ottawa</t>
        </is>
      </c>
      <c r="H2445" s="1" t="n">
        <v>45693</v>
      </c>
      <c r="I2445" s="1" t="n">
        <v>45693</v>
      </c>
      <c r="J2445" t="inlineStr">
        <is>
          <t>Ottawa, Ontario, Canada</t>
        </is>
      </c>
      <c r="K2445" t="inlineStr">
        <is>
          <t>Ottawa, Ontario, Canada</t>
        </is>
      </c>
      <c r="P2445" t="n">
        <v>0</v>
      </c>
      <c r="Q2445" t="n">
        <v>485.84</v>
      </c>
      <c r="R2445" t="n">
        <v>0</v>
      </c>
      <c r="S2445" t="n">
        <v>27</v>
      </c>
      <c r="T2445" t="n">
        <v>0</v>
      </c>
      <c r="U2445" t="n">
        <v>512.84</v>
      </c>
      <c r="X2445" t="inlineStr">
        <is>
          <t>aafc-aac</t>
        </is>
      </c>
      <c r="Y2445" t="inlineStr">
        <is>
          <t>Agriculture and Agri-Food Canada | Agriculture et Agroalimentaire Canada</t>
        </is>
      </c>
    </row>
    <row r="2446">
      <c r="A2446" t="inlineStr">
        <is>
          <t>T-2025-P11-009</t>
        </is>
      </c>
      <c r="B2446" t="inlineStr">
        <is>
          <t>SLE</t>
        </is>
      </c>
      <c r="C2446" t="inlineStr">
        <is>
          <t>Assistant Deputy Minister, Corporate Management Branch</t>
        </is>
      </c>
      <c r="D2446" t="inlineStr">
        <is>
          <t>Sous-ministre adjointe, Direction générale de la gestion intégrée</t>
        </is>
      </c>
      <c r="E2446" t="inlineStr">
        <is>
          <t>Marie-Claude Guérard</t>
        </is>
      </c>
      <c r="F2446" t="inlineStr">
        <is>
          <t>To attend meetings in Ottawa</t>
        </is>
      </c>
      <c r="G2446" t="inlineStr">
        <is>
          <t>Participer aux rencontres à Ottawa</t>
        </is>
      </c>
      <c r="H2446" s="1" t="n">
        <v>45700</v>
      </c>
      <c r="I2446" s="1" t="n">
        <v>45700</v>
      </c>
      <c r="J2446" t="inlineStr">
        <is>
          <t>Ottawa, Ontario, Canada</t>
        </is>
      </c>
      <c r="K2446" t="inlineStr">
        <is>
          <t>Ottawa, Ontario, Canada</t>
        </is>
      </c>
      <c r="P2446" t="n">
        <v>0</v>
      </c>
      <c r="Q2446" t="n">
        <v>659.84</v>
      </c>
      <c r="R2446" t="n">
        <v>0</v>
      </c>
      <c r="S2446" t="n">
        <v>27</v>
      </c>
      <c r="T2446" t="n">
        <v>0</v>
      </c>
      <c r="U2446" t="n">
        <v>686.84</v>
      </c>
      <c r="X2446" t="inlineStr">
        <is>
          <t>aafc-aac</t>
        </is>
      </c>
      <c r="Y2446" t="inlineStr">
        <is>
          <t>Agriculture and Agri-Food Canada | Agriculture et Agroalimentaire Canada</t>
        </is>
      </c>
    </row>
    <row r="2447">
      <c r="A2447" t="inlineStr">
        <is>
          <t>T-2025-P11-010</t>
        </is>
      </c>
      <c r="B2447" t="inlineStr">
        <is>
          <t>SLE</t>
        </is>
      </c>
      <c r="C2447" t="inlineStr">
        <is>
          <t>Assistant Deputy Minister, Programs Branch</t>
        </is>
      </c>
      <c r="D2447" t="inlineStr">
        <is>
          <t>Sous-ministre adjointe, Direction générale des programmes</t>
        </is>
      </c>
      <c r="E2447" t="inlineStr">
        <is>
          <t>Liz Foster</t>
        </is>
      </c>
      <c r="F2447" t="inlineStr">
        <is>
          <t>To attend a Conference and meeting</t>
        </is>
      </c>
      <c r="G2447" t="inlineStr">
        <is>
          <t>Participer à une conférence et rencontre</t>
        </is>
      </c>
      <c r="H2447" s="1" t="n">
        <v>45698</v>
      </c>
      <c r="I2447" s="1" t="n">
        <v>45699</v>
      </c>
      <c r="J2447" t="inlineStr">
        <is>
          <t>Ottawa, Ontario, Canada</t>
        </is>
      </c>
      <c r="K2447" t="inlineStr">
        <is>
          <t>Ottawa, Ontario, Canada</t>
        </is>
      </c>
      <c r="P2447" t="n">
        <v>0</v>
      </c>
      <c r="Q2447" t="n">
        <v>25</v>
      </c>
      <c r="R2447" t="n">
        <v>0</v>
      </c>
      <c r="S2447" t="n">
        <v>0</v>
      </c>
      <c r="T2447" t="n">
        <v>0</v>
      </c>
      <c r="U2447" t="n">
        <v>25</v>
      </c>
      <c r="X2447" t="inlineStr">
        <is>
          <t>aafc-aac</t>
        </is>
      </c>
      <c r="Y2447" t="inlineStr">
        <is>
          <t>Agriculture and Agri-Food Canada | Agriculture et Agroalimentaire Canada</t>
        </is>
      </c>
    </row>
    <row r="2448">
      <c r="A2448" t="inlineStr">
        <is>
          <t>T-2025-P11-011</t>
        </is>
      </c>
      <c r="B2448" t="inlineStr">
        <is>
          <t>SLE</t>
        </is>
      </c>
      <c r="C2448" t="inlineStr">
        <is>
          <t>Assistant Deputy Minister, Market and Industry Services Branch</t>
        </is>
      </c>
      <c r="D2448" t="inlineStr">
        <is>
          <t>Sous-ministre adjoint, Direction générale des services à l'industrie et aux marchés</t>
        </is>
      </c>
      <c r="E2448" t="inlineStr">
        <is>
          <t>Tom Rosser</t>
        </is>
      </c>
      <c r="F2448" t="inlineStr">
        <is>
          <t>To participate in the Food and Beverage event</t>
        </is>
      </c>
      <c r="G2448" t="inlineStr">
        <is>
          <t>Participer à l'événement sur l'alimentation et les boissons</t>
        </is>
      </c>
      <c r="H2448" s="1" t="n">
        <v>45684</v>
      </c>
      <c r="I2448" s="1" t="n">
        <v>45686</v>
      </c>
      <c r="J2448" t="inlineStr">
        <is>
          <t>Hamilton, Ontario, Canada</t>
        </is>
      </c>
      <c r="K2448" t="inlineStr">
        <is>
          <t>Hamilton, Ontario, Canada</t>
        </is>
      </c>
      <c r="L2448" t="inlineStr">
        <is>
          <t>Guelph, Ontario, Canada</t>
        </is>
      </c>
      <c r="M2448" t="inlineStr">
        <is>
          <t>Guelph, Ontario, Canada</t>
        </is>
      </c>
      <c r="P2448" t="n">
        <v>1235</v>
      </c>
      <c r="Q2448" t="n">
        <v>302.57</v>
      </c>
      <c r="R2448" t="n">
        <v>447.45</v>
      </c>
      <c r="S2448" t="n">
        <v>278.35</v>
      </c>
      <c r="T2448" t="n">
        <v>0</v>
      </c>
      <c r="U2448" t="n">
        <v>2263.37</v>
      </c>
      <c r="X2448" t="inlineStr">
        <is>
          <t>aafc-aac</t>
        </is>
      </c>
      <c r="Y2448" t="inlineStr">
        <is>
          <t>Agriculture and Agri-Food Canada | Agriculture et Agroalimentaire Canada</t>
        </is>
      </c>
    </row>
    <row r="2449">
      <c r="A2449" t="inlineStr">
        <is>
          <t>T-2025-P12-001</t>
        </is>
      </c>
      <c r="B2449" t="inlineStr">
        <is>
          <t>MPSES</t>
        </is>
      </c>
      <c r="C2449" t="inlineStr">
        <is>
          <t>Minister</t>
        </is>
      </c>
      <c r="D2449" t="inlineStr">
        <is>
          <t>Ministre</t>
        </is>
      </c>
      <c r="E2449" t="inlineStr">
        <is>
          <t>Lawrence MacAulay</t>
        </is>
      </c>
      <c r="F2449" t="inlineStr">
        <is>
          <t>Outreach in Washington</t>
        </is>
      </c>
      <c r="G2449" t="inlineStr">
        <is>
          <t>Activité de sensibilisation à Washington</t>
        </is>
      </c>
      <c r="H2449" s="1" t="n">
        <v>45712</v>
      </c>
      <c r="I2449" s="1" t="n">
        <v>45714</v>
      </c>
      <c r="J2449" t="inlineStr">
        <is>
          <t>Washington, District of Columbia, United States</t>
        </is>
      </c>
      <c r="K2449" t="inlineStr">
        <is>
          <t>Washington, District de Columbia, États-Unis</t>
        </is>
      </c>
      <c r="P2449" t="n">
        <v>1190.31</v>
      </c>
      <c r="Q2449" t="n">
        <v>0</v>
      </c>
      <c r="R2449" t="n">
        <v>1085.19</v>
      </c>
      <c r="S2449" t="n">
        <v>223.6</v>
      </c>
      <c r="T2449" t="n">
        <v>0</v>
      </c>
      <c r="U2449" t="n">
        <v>2499.1</v>
      </c>
      <c r="X2449" t="inlineStr">
        <is>
          <t>aafc-aac</t>
        </is>
      </c>
      <c r="Y2449" t="inlineStr">
        <is>
          <t>Agriculture and Agri-Food Canada | Agriculture et Agroalimentaire Canada</t>
        </is>
      </c>
    </row>
    <row r="2450">
      <c r="A2450" t="inlineStr">
        <is>
          <t>T-2025-P12-002</t>
        </is>
      </c>
      <c r="B2450" t="inlineStr">
        <is>
          <t>MPSES</t>
        </is>
      </c>
      <c r="C2450" t="inlineStr">
        <is>
          <t>Minister</t>
        </is>
      </c>
      <c r="D2450" t="inlineStr">
        <is>
          <t>Ministre</t>
        </is>
      </c>
      <c r="E2450" t="inlineStr">
        <is>
          <t>Lawrence MacAulay</t>
        </is>
      </c>
      <c r="F2450" t="inlineStr">
        <is>
          <t>To attend an outreach in British Columbia</t>
        </is>
      </c>
      <c r="G2450" t="inlineStr">
        <is>
          <t>Participer à une action de sensibilisation en Colombie-Britannique</t>
        </is>
      </c>
      <c r="H2450" s="1" t="n">
        <v>45719</v>
      </c>
      <c r="I2450" s="1" t="n">
        <v>45723</v>
      </c>
      <c r="J2450" t="inlineStr">
        <is>
          <t>Vancouver, British Columbia, Canada</t>
        </is>
      </c>
      <c r="K2450" t="inlineStr">
        <is>
          <t>Vancouver, Colombie-Britannique, Canada</t>
        </is>
      </c>
      <c r="P2450" t="n">
        <v>1976.6</v>
      </c>
      <c r="Q2450" t="n">
        <v>0</v>
      </c>
      <c r="R2450" t="n">
        <v>1130.72</v>
      </c>
      <c r="S2450" t="n">
        <v>447.2</v>
      </c>
      <c r="T2450" t="n">
        <v>0</v>
      </c>
      <c r="U2450" t="n">
        <v>3554.52</v>
      </c>
      <c r="X2450" t="inlineStr">
        <is>
          <t>aafc-aac</t>
        </is>
      </c>
      <c r="Y2450" t="inlineStr">
        <is>
          <t>Agriculture and Agri-Food Canada | Agriculture et Agroalimentaire Canada</t>
        </is>
      </c>
    </row>
    <row r="2451">
      <c r="A2451" t="inlineStr">
        <is>
          <t>T-2025-P12-003</t>
        </is>
      </c>
      <c r="B2451" t="inlineStr">
        <is>
          <t>MPSES</t>
        </is>
      </c>
      <c r="C2451" t="inlineStr">
        <is>
          <t>Director of Communications</t>
        </is>
      </c>
      <c r="D2451" t="inlineStr">
        <is>
          <t>Directrice des communications</t>
        </is>
      </c>
      <c r="E2451" t="inlineStr">
        <is>
          <t>Annie Cullinan</t>
        </is>
      </c>
      <c r="F2451" t="inlineStr">
        <is>
          <t xml:space="preserve">To support the Minister attending meetings </t>
        </is>
      </c>
      <c r="G2451" t="inlineStr">
        <is>
          <t xml:space="preserve">Soutenir le ministre participant à des réunions </t>
        </is>
      </c>
      <c r="H2451" s="1" t="n">
        <v>45705</v>
      </c>
      <c r="I2451" s="1" t="n">
        <v>45710</v>
      </c>
      <c r="J2451" t="inlineStr">
        <is>
          <t>Charlottetown, Prince Edward Island, Canada</t>
        </is>
      </c>
      <c r="K2451" t="inlineStr">
        <is>
          <t>Charlottetown, Île-du-Prince-Édouard, Canada</t>
        </is>
      </c>
      <c r="P2451" t="n">
        <v>1302.67</v>
      </c>
      <c r="Q2451" t="n">
        <v>107.51</v>
      </c>
      <c r="R2451" t="n">
        <v>400.36</v>
      </c>
      <c r="S2451" t="n">
        <v>140.7</v>
      </c>
      <c r="T2451" t="n">
        <v>0</v>
      </c>
      <c r="U2451" t="n">
        <v>1951.24</v>
      </c>
      <c r="X2451" t="inlineStr">
        <is>
          <t>aafc-aac</t>
        </is>
      </c>
      <c r="Y2451" t="inlineStr">
        <is>
          <t>Agriculture and Agri-Food Canada | Agriculture et Agroalimentaire Canada</t>
        </is>
      </c>
    </row>
    <row r="2452">
      <c r="A2452" t="inlineStr">
        <is>
          <t>T-2025-P12-004</t>
        </is>
      </c>
      <c r="B2452" t="inlineStr">
        <is>
          <t>MPSES</t>
        </is>
      </c>
      <c r="C2452" t="inlineStr">
        <is>
          <t>Director of Communications</t>
        </is>
      </c>
      <c r="D2452" t="inlineStr">
        <is>
          <t>Directrice des communications</t>
        </is>
      </c>
      <c r="E2452" t="inlineStr">
        <is>
          <t>Annie Cullinan</t>
        </is>
      </c>
      <c r="F2452" t="inlineStr">
        <is>
          <t>To support the Minister attending a funding announcement</t>
        </is>
      </c>
      <c r="G2452" t="inlineStr">
        <is>
          <t>Soutenir le ministre lors d'une annonce de financement</t>
        </is>
      </c>
      <c r="H2452" s="1" t="n">
        <v>45722</v>
      </c>
      <c r="I2452" s="1" t="n">
        <v>45724</v>
      </c>
      <c r="J2452" t="inlineStr">
        <is>
          <t>Charlottetown, Prince Edward Island, Canada</t>
        </is>
      </c>
      <c r="K2452" t="inlineStr">
        <is>
          <t>Charlottetown, Île-du-Prince-Édouard, Canada</t>
        </is>
      </c>
      <c r="P2452" t="n">
        <v>1753.83</v>
      </c>
      <c r="Q2452" t="n">
        <v>110.92</v>
      </c>
      <c r="R2452" t="n">
        <v>400.36</v>
      </c>
      <c r="S2452" t="n">
        <v>195.65</v>
      </c>
      <c r="T2452" t="n">
        <v>0</v>
      </c>
      <c r="U2452" t="n">
        <v>2460.76</v>
      </c>
      <c r="X2452" t="inlineStr">
        <is>
          <t>aafc-aac</t>
        </is>
      </c>
      <c r="Y2452" t="inlineStr">
        <is>
          <t>Agriculture and Agri-Food Canada | Agriculture et Agroalimentaire Canada</t>
        </is>
      </c>
    </row>
    <row r="2453">
      <c r="A2453" t="inlineStr">
        <is>
          <t>T-2025-P12-005</t>
        </is>
      </c>
      <c r="B2453" t="inlineStr">
        <is>
          <t>MPSES</t>
        </is>
      </c>
      <c r="C2453" t="inlineStr">
        <is>
          <t>Director of Communications</t>
        </is>
      </c>
      <c r="D2453" t="inlineStr">
        <is>
          <t>Directrice des communications</t>
        </is>
      </c>
      <c r="E2453" t="inlineStr">
        <is>
          <t>Annie Cullinan</t>
        </is>
      </c>
      <c r="F2453" t="inlineStr">
        <is>
          <t>To support the Minister for announcements made in Halifax</t>
        </is>
      </c>
      <c r="G2453" t="inlineStr">
        <is>
          <t>Soutenir le ministre lors des annonces à Halifax</t>
        </is>
      </c>
      <c r="H2453" s="1" t="n">
        <v>45736</v>
      </c>
      <c r="I2453" s="1" t="n">
        <v>45737</v>
      </c>
      <c r="J2453" t="inlineStr">
        <is>
          <t>Halifax, Nova Scotia, Canada</t>
        </is>
      </c>
      <c r="K2453" t="inlineStr">
        <is>
          <t>Halifax, Nouvelle-Écosse, Canada</t>
        </is>
      </c>
      <c r="P2453" t="n">
        <v>1367.83</v>
      </c>
      <c r="Q2453" t="n">
        <v>25.79</v>
      </c>
      <c r="R2453" t="n">
        <v>0</v>
      </c>
      <c r="S2453" t="n">
        <v>54.95</v>
      </c>
      <c r="T2453" t="n">
        <v>0</v>
      </c>
      <c r="U2453" t="n">
        <v>1448.57</v>
      </c>
      <c r="X2453" t="inlineStr">
        <is>
          <t>aafc-aac</t>
        </is>
      </c>
      <c r="Y2453" t="inlineStr">
        <is>
          <t>Agriculture and Agri-Food Canada | Agriculture et Agroalimentaire Canada</t>
        </is>
      </c>
    </row>
    <row r="2454">
      <c r="A2454" t="inlineStr">
        <is>
          <t>T-2025-P12-006</t>
        </is>
      </c>
      <c r="B2454" t="inlineStr">
        <is>
          <t>MPSES</t>
        </is>
      </c>
      <c r="C2454" t="inlineStr">
        <is>
          <t>Senior Special Assistant</t>
        </is>
      </c>
      <c r="D2454" t="inlineStr">
        <is>
          <t>Adjoint spécial principal</t>
        </is>
      </c>
      <c r="E2454" t="inlineStr">
        <is>
          <t>Michael Ferguson</t>
        </is>
      </c>
      <c r="F2454" t="inlineStr">
        <is>
          <t xml:space="preserve">To support the Minister to attend meetings </t>
        </is>
      </c>
      <c r="G2454" t="inlineStr">
        <is>
          <t xml:space="preserve">Soutenir le ministre participant à des réunions </t>
        </is>
      </c>
      <c r="H2454" s="1" t="n">
        <v>45705</v>
      </c>
      <c r="I2454" s="1" t="n">
        <v>45710</v>
      </c>
      <c r="J2454" t="inlineStr">
        <is>
          <t>Charlottetown, Prince Edward Island, Canada</t>
        </is>
      </c>
      <c r="K2454" t="inlineStr">
        <is>
          <t>Charlottetown, Île-du-Prince-Édouard, Canada</t>
        </is>
      </c>
      <c r="P2454" t="n">
        <v>1255.92</v>
      </c>
      <c r="Q2454" t="n">
        <v>340.38</v>
      </c>
      <c r="R2454" t="n">
        <v>400.36</v>
      </c>
      <c r="S2454" t="n">
        <v>140.7</v>
      </c>
      <c r="T2454" t="n">
        <v>0</v>
      </c>
      <c r="U2454" t="n">
        <v>2137.36</v>
      </c>
      <c r="X2454" t="inlineStr">
        <is>
          <t>aafc-aac</t>
        </is>
      </c>
      <c r="Y2454" t="inlineStr">
        <is>
          <t>Agriculture and Agri-Food Canada | Agriculture et Agroalimentaire Canada</t>
        </is>
      </c>
    </row>
    <row r="2455">
      <c r="A2455" t="inlineStr">
        <is>
          <t>T-2025-P12-007</t>
        </is>
      </c>
      <c r="B2455" t="inlineStr">
        <is>
          <t>MPSES</t>
        </is>
      </c>
      <c r="C2455" t="inlineStr">
        <is>
          <t>Senior Special Assistant</t>
        </is>
      </c>
      <c r="D2455" t="inlineStr">
        <is>
          <t>Adjoint spécial principal</t>
        </is>
      </c>
      <c r="E2455" t="inlineStr">
        <is>
          <t>Michael Ferguson</t>
        </is>
      </c>
      <c r="F2455" t="inlineStr">
        <is>
          <t>To support the Minister attending a clean tech project site visit and meeting with local stakeholders</t>
        </is>
      </c>
      <c r="G2455" t="inlineStr">
        <is>
          <t>Soutenir le ministre participant à la visite d'un site de projet de technologie propre et rencontrant les parties prenantes locales.</t>
        </is>
      </c>
      <c r="H2455" s="1" t="n">
        <v>45715</v>
      </c>
      <c r="I2455" s="1" t="n">
        <v>45718</v>
      </c>
      <c r="J2455" t="inlineStr">
        <is>
          <t>Charlottetown, Prince Edward Island, Canada</t>
        </is>
      </c>
      <c r="K2455" t="inlineStr">
        <is>
          <t>Charlottetown, Île-du-Prince-Édouard, Canada</t>
        </is>
      </c>
      <c r="P2455" t="n">
        <v>954.46</v>
      </c>
      <c r="Q2455" t="n">
        <v>100.43</v>
      </c>
      <c r="R2455" t="n">
        <v>0</v>
      </c>
      <c r="S2455" t="n">
        <v>138.8</v>
      </c>
      <c r="T2455" t="n">
        <v>0</v>
      </c>
      <c r="U2455" t="n">
        <v>1193.69</v>
      </c>
      <c r="X2455" t="inlineStr">
        <is>
          <t>aafc-aac</t>
        </is>
      </c>
      <c r="Y2455" t="inlineStr">
        <is>
          <t>Agriculture and Agri-Food Canada | Agriculture et Agroalimentaire Canada</t>
        </is>
      </c>
    </row>
    <row r="2456">
      <c r="A2456" t="inlineStr">
        <is>
          <t>T-2025-P12-008</t>
        </is>
      </c>
      <c r="B2456" t="inlineStr">
        <is>
          <t>MPSES</t>
        </is>
      </c>
      <c r="C2456" t="inlineStr">
        <is>
          <t>Policy Advisor</t>
        </is>
      </c>
      <c r="D2456" t="inlineStr">
        <is>
          <t>Conseiller en politiques</t>
        </is>
      </c>
      <c r="E2456" t="inlineStr">
        <is>
          <t>Jeremy Keats</t>
        </is>
      </c>
      <c r="F2456" t="inlineStr">
        <is>
          <t>To support the Minister attending an Outreach in Vancouver</t>
        </is>
      </c>
      <c r="G2456" t="inlineStr">
        <is>
          <t>Soutenir le ministre participant à une action de sensibilisation à Vancouver</t>
        </is>
      </c>
      <c r="H2456" s="1" t="n">
        <v>45718</v>
      </c>
      <c r="I2456" s="1" t="n">
        <v>45723</v>
      </c>
      <c r="J2456" t="inlineStr">
        <is>
          <t>Vancouver, British Columbia, Canada</t>
        </is>
      </c>
      <c r="K2456" t="inlineStr">
        <is>
          <t>Vancouver, Colombie-Britannique, Canada</t>
        </is>
      </c>
      <c r="P2456" t="n">
        <v>1731.02</v>
      </c>
      <c r="Q2456" t="n">
        <v>68.15000000000001</v>
      </c>
      <c r="R2456" t="n">
        <v>1230.75</v>
      </c>
      <c r="S2456" t="n">
        <v>447.2</v>
      </c>
      <c r="T2456" t="n">
        <v>0</v>
      </c>
      <c r="U2456" t="n">
        <v>3477.12</v>
      </c>
      <c r="X2456" t="inlineStr">
        <is>
          <t>aafc-aac</t>
        </is>
      </c>
      <c r="Y2456" t="inlineStr">
        <is>
          <t>Agriculture and Agri-Food Canada | Agriculture et Agroalimentaire Canada</t>
        </is>
      </c>
    </row>
    <row r="2457">
      <c r="A2457" t="inlineStr">
        <is>
          <t>T-2025-P12-009</t>
        </is>
      </c>
      <c r="B2457" t="inlineStr">
        <is>
          <t>MPSES</t>
        </is>
      </c>
      <c r="C2457" t="inlineStr">
        <is>
          <t>Special Assistant</t>
        </is>
      </c>
      <c r="D2457" t="inlineStr">
        <is>
          <t>Adjoint spécial</t>
        </is>
      </c>
      <c r="E2457" t="inlineStr">
        <is>
          <t>George Williams</t>
        </is>
      </c>
      <c r="F2457" t="inlineStr">
        <is>
          <t>To support the Minister to attend a clean tech project site visit and meet with local stakeholders</t>
        </is>
      </c>
      <c r="G2457" t="inlineStr">
        <is>
          <t>Soutenir le ministre participant à la visite d'un site de projet de technologie propre et qu'il rencontre les parties prenantes locales.</t>
        </is>
      </c>
      <c r="H2457" s="1" t="n">
        <v>45715</v>
      </c>
      <c r="I2457" s="1" t="n">
        <v>45718</v>
      </c>
      <c r="J2457" t="inlineStr">
        <is>
          <t>Charlottetown, Prince Edward Island, Canada</t>
        </is>
      </c>
      <c r="K2457" t="inlineStr">
        <is>
          <t>Charlottetown, Île-du-Prince-Édouard, Canada</t>
        </is>
      </c>
      <c r="P2457" t="n">
        <v>954.46</v>
      </c>
      <c r="Q2457" t="n">
        <v>47.24</v>
      </c>
      <c r="R2457" t="n">
        <v>322.86</v>
      </c>
      <c r="S2457" t="n">
        <v>138.8</v>
      </c>
      <c r="T2457" t="n">
        <v>0</v>
      </c>
      <c r="U2457" t="n">
        <v>1463.36</v>
      </c>
      <c r="X2457" t="inlineStr">
        <is>
          <t>aafc-aac</t>
        </is>
      </c>
      <c r="Y2457" t="inlineStr">
        <is>
          <t>Agriculture and Agri-Food Canada | Agriculture et Agroalimentaire Canada</t>
        </is>
      </c>
    </row>
    <row r="2458">
      <c r="A2458" t="inlineStr">
        <is>
          <t>T-2025-P12-010</t>
        </is>
      </c>
      <c r="B2458" t="inlineStr">
        <is>
          <t>MPSES</t>
        </is>
      </c>
      <c r="C2458" t="inlineStr">
        <is>
          <t>Chief of Staff &amp; Director of Operations</t>
        </is>
      </c>
      <c r="D2458" t="inlineStr">
        <is>
          <t>Chef de cabinet et Directrice des opérations</t>
        </is>
      </c>
      <c r="E2458" t="inlineStr">
        <is>
          <t>Maria Morley</t>
        </is>
      </c>
      <c r="F2458" t="inlineStr">
        <is>
          <t>To support the Minister attending an Outreach in Vancouver</t>
        </is>
      </c>
      <c r="G2458" t="inlineStr">
        <is>
          <t>Soutenir le ministre participant à une action de sensibilisation à Vancouver</t>
        </is>
      </c>
      <c r="H2458" s="1" t="n">
        <v>45718</v>
      </c>
      <c r="I2458" s="1" t="n">
        <v>45722</v>
      </c>
      <c r="J2458" t="inlineStr">
        <is>
          <t>Vancouver, British Columbia, Canada</t>
        </is>
      </c>
      <c r="K2458" t="inlineStr">
        <is>
          <t>Vancouver, Colombie-Britannique, Canada</t>
        </is>
      </c>
      <c r="P2458" t="n">
        <v>3807.7</v>
      </c>
      <c r="Q2458" t="n">
        <v>608.23</v>
      </c>
      <c r="R2458" t="n">
        <v>1215.92</v>
      </c>
      <c r="S2458" t="n">
        <v>447.2</v>
      </c>
      <c r="T2458" t="n">
        <v>0</v>
      </c>
      <c r="U2458" t="n">
        <v>6079.05</v>
      </c>
      <c r="X2458" t="inlineStr">
        <is>
          <t>aafc-aac</t>
        </is>
      </c>
      <c r="Y2458" t="inlineStr">
        <is>
          <t>Agriculture and Agri-Food Canada | Agriculture et Agroalimentaire Canada</t>
        </is>
      </c>
    </row>
    <row r="2459">
      <c r="A2459" t="inlineStr">
        <is>
          <t>T-2025-P12-011</t>
        </is>
      </c>
      <c r="B2459" t="inlineStr">
        <is>
          <t>MPSES</t>
        </is>
      </c>
      <c r="C2459" t="inlineStr">
        <is>
          <t>Chief of Staff &amp; Director of Operations</t>
        </is>
      </c>
      <c r="D2459" t="inlineStr">
        <is>
          <t>Chef de cabinet et Directrice des opérations</t>
        </is>
      </c>
      <c r="E2459" t="inlineStr">
        <is>
          <t>Maria Morley</t>
        </is>
      </c>
      <c r="F2459" t="inlineStr">
        <is>
          <t>To support the Minister for announcements made in Halifax</t>
        </is>
      </c>
      <c r="G2459" t="inlineStr">
        <is>
          <t>Soutenir le ministre lors des annonces à Halifax</t>
        </is>
      </c>
      <c r="H2459" s="1" t="n">
        <v>45736</v>
      </c>
      <c r="I2459" s="1" t="n">
        <v>45736</v>
      </c>
      <c r="J2459" t="inlineStr">
        <is>
          <t>Halifax, Nova Scotia, Canada</t>
        </is>
      </c>
      <c r="K2459" t="inlineStr">
        <is>
          <t>Halifax, Nouvelle-Écosse, Canada</t>
        </is>
      </c>
      <c r="P2459" t="n">
        <v>1367.83</v>
      </c>
      <c r="Q2459" t="n">
        <v>191.47</v>
      </c>
      <c r="R2459" t="n">
        <v>0</v>
      </c>
      <c r="S2459" t="n">
        <v>111.8</v>
      </c>
      <c r="T2459" t="n">
        <v>0</v>
      </c>
      <c r="U2459" t="n">
        <v>1671.1</v>
      </c>
      <c r="X2459" t="inlineStr">
        <is>
          <t>aafc-aac</t>
        </is>
      </c>
      <c r="Y2459" t="inlineStr">
        <is>
          <t>Agriculture and Agri-Food Canada | Agriculture et Agroalimentaire Canada</t>
        </is>
      </c>
    </row>
    <row r="2460">
      <c r="A2460" t="inlineStr">
        <is>
          <t>T-2025-P12-012</t>
        </is>
      </c>
      <c r="B2460" t="inlineStr">
        <is>
          <t>MPSES</t>
        </is>
      </c>
      <c r="C2460" t="inlineStr">
        <is>
          <t>Chief of Staff &amp; Director of Operations</t>
        </is>
      </c>
      <c r="D2460" t="inlineStr">
        <is>
          <t>Chef de cabinet et Directrice des opérations</t>
        </is>
      </c>
      <c r="E2460" t="inlineStr">
        <is>
          <t>Maria Morley</t>
        </is>
      </c>
      <c r="F2460" t="inlineStr">
        <is>
          <t>To meet with the Minister in Halifax for meetings</t>
        </is>
      </c>
      <c r="G2460" t="inlineStr">
        <is>
          <t>Rencontrer le ministre à Halifax pour des réunions</t>
        </is>
      </c>
      <c r="H2460" s="1" t="n">
        <v>45732</v>
      </c>
      <c r="I2460" s="1" t="n">
        <v>45732</v>
      </c>
      <c r="J2460" t="inlineStr">
        <is>
          <t>Halifax, Nova Scotia, Canada</t>
        </is>
      </c>
      <c r="K2460" t="inlineStr">
        <is>
          <t>Halifax, Nouvelle-Écosse, Canada</t>
        </is>
      </c>
      <c r="P2460" t="n">
        <v>0</v>
      </c>
      <c r="Q2460" t="n">
        <v>75.44</v>
      </c>
      <c r="R2460" t="n">
        <v>0</v>
      </c>
      <c r="S2460" t="n">
        <v>0</v>
      </c>
      <c r="T2460" t="n">
        <v>0</v>
      </c>
      <c r="U2460" t="n">
        <v>75.44</v>
      </c>
      <c r="X2460" t="inlineStr">
        <is>
          <t>aafc-aac</t>
        </is>
      </c>
      <c r="Y2460" t="inlineStr">
        <is>
          <t>Agriculture and Agri-Food Canada | Agriculture et Agroalimentaire Canada</t>
        </is>
      </c>
    </row>
    <row r="2461">
      <c r="A2461" t="inlineStr">
        <is>
          <t>T-2025-P12-013</t>
        </is>
      </c>
      <c r="B2461" t="inlineStr">
        <is>
          <t>MPSES</t>
        </is>
      </c>
      <c r="C2461" t="inlineStr">
        <is>
          <t>Director of Policy</t>
        </is>
      </c>
      <c r="D2461" t="inlineStr">
        <is>
          <t>Directrice des politiques</t>
        </is>
      </c>
      <c r="E2461" t="inlineStr">
        <is>
          <t>Hilary Peirce</t>
        </is>
      </c>
      <c r="F2461" t="inlineStr">
        <is>
          <t>Outreach in Washington</t>
        </is>
      </c>
      <c r="G2461" t="inlineStr">
        <is>
          <t>Activité de sensibilisation à Washington</t>
        </is>
      </c>
      <c r="H2461" s="1" t="n">
        <v>45712</v>
      </c>
      <c r="I2461" s="1" t="n">
        <v>45714</v>
      </c>
      <c r="J2461" t="inlineStr">
        <is>
          <t>Washington, District of Columbia, United States</t>
        </is>
      </c>
      <c r="K2461" t="inlineStr">
        <is>
          <t>Washington, District de Columbia, États-Unis</t>
        </is>
      </c>
      <c r="P2461" t="n">
        <v>1190.31</v>
      </c>
      <c r="Q2461" t="n">
        <v>36.78</v>
      </c>
      <c r="R2461" t="n">
        <v>1085.19</v>
      </c>
      <c r="S2461" t="n">
        <v>250.6</v>
      </c>
      <c r="T2461" t="n">
        <v>0</v>
      </c>
      <c r="U2461" t="n">
        <v>2562.88</v>
      </c>
      <c r="X2461" t="inlineStr">
        <is>
          <t>aafc-aac</t>
        </is>
      </c>
      <c r="Y2461" t="inlineStr">
        <is>
          <t>Agriculture and Agri-Food Canada | Agriculture et Agroalimentaire Canada</t>
        </is>
      </c>
    </row>
    <row r="2462">
      <c r="A2462" t="inlineStr">
        <is>
          <t>T-2025-P12-014</t>
        </is>
      </c>
      <c r="B2462" t="inlineStr">
        <is>
          <t>MPSES</t>
        </is>
      </c>
      <c r="C2462" t="inlineStr">
        <is>
          <t>Executive Assistant</t>
        </is>
      </c>
      <c r="D2462" t="inlineStr">
        <is>
          <t>Adjointe exécutive</t>
        </is>
      </c>
      <c r="E2462" t="inlineStr">
        <is>
          <t>Annabel Da Silva</t>
        </is>
      </c>
      <c r="F2462" t="inlineStr">
        <is>
          <t>To support the Minister attending a clean tech project site visit and meeting with local stakeholders</t>
        </is>
      </c>
      <c r="G2462" t="inlineStr">
        <is>
          <t>Soutenir le ministre participant à la visite d'un site de projet de technologie propre et rencontrant les parties prenantes locales.</t>
        </is>
      </c>
      <c r="H2462" s="1" t="n">
        <v>45715</v>
      </c>
      <c r="I2462" s="1" t="n">
        <v>45718</v>
      </c>
      <c r="J2462" t="inlineStr">
        <is>
          <t>Charlottetown, Prince Edward Island, Canada</t>
        </is>
      </c>
      <c r="K2462" t="inlineStr">
        <is>
          <t>Charlottetown, Île-du-Prince-Édouard, Canada</t>
        </is>
      </c>
      <c r="P2462" t="n">
        <v>977.74</v>
      </c>
      <c r="Q2462" t="n">
        <v>224.76</v>
      </c>
      <c r="R2462" t="n">
        <v>196.82</v>
      </c>
      <c r="S2462" t="n">
        <v>138.8</v>
      </c>
      <c r="T2462" t="n">
        <v>0</v>
      </c>
      <c r="U2462" t="n">
        <v>1538.12</v>
      </c>
      <c r="X2462" t="inlineStr">
        <is>
          <t>aafc-aac</t>
        </is>
      </c>
      <c r="Y2462" t="inlineStr">
        <is>
          <t>Agriculture and Agri-Food Canada | Agriculture et Agroalimentaire Canada</t>
        </is>
      </c>
    </row>
    <row r="2463">
      <c r="A2463" t="inlineStr">
        <is>
          <t>T-2025-P12-015</t>
        </is>
      </c>
      <c r="B2463" t="inlineStr">
        <is>
          <t>SLE</t>
        </is>
      </c>
      <c r="C2463" t="inlineStr">
        <is>
          <t>Deputy Minister</t>
        </is>
      </c>
      <c r="D2463" t="inlineStr">
        <is>
          <t>Sous-ministre</t>
        </is>
      </c>
      <c r="E2463" t="inlineStr">
        <is>
          <t>Lawrence Hanson</t>
        </is>
      </c>
      <c r="F2463" t="inlineStr">
        <is>
          <t xml:space="preserve">To attend a roundtable meeting </t>
        </is>
      </c>
      <c r="G2463" t="inlineStr">
        <is>
          <t>Participer à une table ronde</t>
        </is>
      </c>
      <c r="H2463" s="1" t="n">
        <v>45708</v>
      </c>
      <c r="I2463" s="1" t="n">
        <v>45710</v>
      </c>
      <c r="J2463" t="inlineStr">
        <is>
          <t>Charlottetown, Prince Edward Island, Canada</t>
        </is>
      </c>
      <c r="K2463" t="inlineStr">
        <is>
          <t>Charlottetown, Île-du-Prince-Édouard, Canada</t>
        </is>
      </c>
      <c r="P2463" t="n">
        <v>1012.66</v>
      </c>
      <c r="Q2463" t="n">
        <v>63.8</v>
      </c>
      <c r="R2463" t="n">
        <v>475.54</v>
      </c>
      <c r="S2463" t="n">
        <v>302.5</v>
      </c>
      <c r="T2463" t="n">
        <v>0</v>
      </c>
      <c r="U2463" t="n">
        <v>1854.5</v>
      </c>
      <c r="X2463" t="inlineStr">
        <is>
          <t>aafc-aac</t>
        </is>
      </c>
      <c r="Y2463" t="inlineStr">
        <is>
          <t>Agriculture and Agri-Food Canada | Agriculture et Agroalimentaire Canada</t>
        </is>
      </c>
    </row>
    <row r="2464">
      <c r="A2464" t="inlineStr">
        <is>
          <t>T-2025-P12-016</t>
        </is>
      </c>
      <c r="B2464" t="inlineStr">
        <is>
          <t>SLE</t>
        </is>
      </c>
      <c r="C2464" t="inlineStr">
        <is>
          <t>Deputy Minister</t>
        </is>
      </c>
      <c r="D2464" t="inlineStr">
        <is>
          <t>Sous-ministre</t>
        </is>
      </c>
      <c r="E2464" t="inlineStr">
        <is>
          <t>Lawrence Hanson</t>
        </is>
      </c>
      <c r="F2464" t="inlineStr">
        <is>
          <t>Outreach in Washington</t>
        </is>
      </c>
      <c r="G2464" t="inlineStr">
        <is>
          <t>Activité de sensibilisation à Washington</t>
        </is>
      </c>
      <c r="H2464" s="1" t="n">
        <v>45712</v>
      </c>
      <c r="I2464" s="1" t="n">
        <v>45714</v>
      </c>
      <c r="J2464" t="inlineStr">
        <is>
          <t>Washington, District de Columbia, États-Unis</t>
        </is>
      </c>
      <c r="K2464" t="inlineStr">
        <is>
          <t>Washington, District de Columbia, États-Unis</t>
        </is>
      </c>
      <c r="P2464" t="n">
        <v>1021.78</v>
      </c>
      <c r="Q2464" t="n">
        <v>0</v>
      </c>
      <c r="R2464" t="n">
        <v>1103.29</v>
      </c>
      <c r="S2464" t="n">
        <v>351.1</v>
      </c>
      <c r="T2464" t="n">
        <v>0</v>
      </c>
      <c r="U2464" t="n">
        <v>2476.17</v>
      </c>
      <c r="X2464" t="inlineStr">
        <is>
          <t>aafc-aac</t>
        </is>
      </c>
      <c r="Y2464" t="inlineStr">
        <is>
          <t>Agriculture and Agri-Food Canada | Agriculture et Agroalimentaire Canada</t>
        </is>
      </c>
    </row>
    <row r="2465">
      <c r="A2465" t="inlineStr">
        <is>
          <t>T-2025-P12-017</t>
        </is>
      </c>
      <c r="B2465" t="inlineStr">
        <is>
          <t>SLE</t>
        </is>
      </c>
      <c r="C2465" t="inlineStr">
        <is>
          <t>Deputy Minister</t>
        </is>
      </c>
      <c r="D2465" t="inlineStr">
        <is>
          <t>Sous-ministre</t>
        </is>
      </c>
      <c r="E2465" t="inlineStr">
        <is>
          <t>Lawrence Hanson</t>
        </is>
      </c>
      <c r="F2465" t="inlineStr">
        <is>
          <t>To support the Minister attending meetings with the United States Agriculture Secretary</t>
        </is>
      </c>
      <c r="G2465" t="inlineStr">
        <is>
          <t>Soutenir le ministre participant à des réunions avec le secrétaire américain à l'agriculture.</t>
        </is>
      </c>
      <c r="H2465" s="1" t="n">
        <v>45716</v>
      </c>
      <c r="I2465" s="1" t="n">
        <v>45718</v>
      </c>
      <c r="J2465" t="inlineStr">
        <is>
          <t>Charlottetown, Prince Edward Island, Canada</t>
        </is>
      </c>
      <c r="K2465" t="inlineStr">
        <is>
          <t>Charlottetown, Île-du-Prince-Édouard, Canada</t>
        </is>
      </c>
      <c r="P2465" t="n">
        <v>155.39</v>
      </c>
      <c r="Q2465" t="n">
        <v>25</v>
      </c>
      <c r="R2465" t="n">
        <v>492.76</v>
      </c>
      <c r="S2465" t="n">
        <v>275.5</v>
      </c>
      <c r="T2465" t="n">
        <v>0</v>
      </c>
      <c r="U2465" t="n">
        <v>948.65</v>
      </c>
      <c r="X2465" t="inlineStr">
        <is>
          <t>aafc-aac</t>
        </is>
      </c>
      <c r="Y2465" t="inlineStr">
        <is>
          <t>Agriculture and Agri-Food Canada | Agriculture et Agroalimentaire Canada</t>
        </is>
      </c>
    </row>
    <row r="2466">
      <c r="A2466" t="inlineStr">
        <is>
          <t>T-2025-P12-018</t>
        </is>
      </c>
      <c r="B2466" t="inlineStr">
        <is>
          <t>SLE</t>
        </is>
      </c>
      <c r="C2466" t="inlineStr">
        <is>
          <t>Deputy Minister</t>
        </is>
      </c>
      <c r="D2466" t="inlineStr">
        <is>
          <t>Sous-ministre</t>
        </is>
      </c>
      <c r="E2466" t="inlineStr">
        <is>
          <t>Lawrence Hanson</t>
        </is>
      </c>
      <c r="F2466" t="inlineStr">
        <is>
          <t>To attend an Outreach in Vancouver</t>
        </is>
      </c>
      <c r="G2466" t="inlineStr">
        <is>
          <t>Participer à une action de sensibilisation à Vancouver</t>
        </is>
      </c>
      <c r="H2466" s="1" t="n">
        <v>45718</v>
      </c>
      <c r="I2466" s="1" t="n">
        <v>45722</v>
      </c>
      <c r="J2466" t="inlineStr">
        <is>
          <t>Vancouver, British Columbia, Canada</t>
        </is>
      </c>
      <c r="K2466" t="inlineStr">
        <is>
          <t>Vancouver, Colombie-Britannique, Canada</t>
        </is>
      </c>
      <c r="P2466" t="n">
        <v>4307.36</v>
      </c>
      <c r="Q2466" t="n">
        <v>147.21</v>
      </c>
      <c r="R2466" t="n">
        <v>1284.78</v>
      </c>
      <c r="S2466" t="n">
        <v>563.55</v>
      </c>
      <c r="T2466" t="n">
        <v>0</v>
      </c>
      <c r="U2466" t="n">
        <v>6302.9</v>
      </c>
      <c r="X2466" t="inlineStr">
        <is>
          <t>aafc-aac</t>
        </is>
      </c>
      <c r="Y2466" t="inlineStr">
        <is>
          <t>Agriculture and Agri-Food Canada | Agriculture et Agroalimentaire Canada</t>
        </is>
      </c>
    </row>
    <row r="2467">
      <c r="A2467" t="inlineStr">
        <is>
          <t>T-2025-P12-019</t>
        </is>
      </c>
      <c r="B2467" t="inlineStr">
        <is>
          <t>SLE</t>
        </is>
      </c>
      <c r="C2467" t="inlineStr">
        <is>
          <t>Corporate Secretary</t>
        </is>
      </c>
      <c r="D2467" t="inlineStr">
        <is>
          <t>Secrétaire générale</t>
        </is>
      </c>
      <c r="E2467" t="inlineStr">
        <is>
          <t>Tamara Abel</t>
        </is>
      </c>
      <c r="F2467" t="inlineStr">
        <is>
          <t>Operational activities</t>
        </is>
      </c>
      <c r="G2467" t="inlineStr">
        <is>
          <t>Activités opérationnelles</t>
        </is>
      </c>
      <c r="H2467" s="1" t="n">
        <v>45712</v>
      </c>
      <c r="I2467" s="1" t="n">
        <v>45715</v>
      </c>
      <c r="J2467" t="inlineStr">
        <is>
          <t>Ottawa, Ontario, Canada</t>
        </is>
      </c>
      <c r="K2467" t="inlineStr">
        <is>
          <t>Ottawa, Ontario, Canada</t>
        </is>
      </c>
      <c r="P2467" t="n">
        <v>437</v>
      </c>
      <c r="Q2467" t="n">
        <v>248.94</v>
      </c>
      <c r="R2467" t="n">
        <v>543.42</v>
      </c>
      <c r="S2467" t="n">
        <v>332.35</v>
      </c>
      <c r="T2467" t="n">
        <v>0</v>
      </c>
      <c r="U2467" t="n">
        <v>1561.71</v>
      </c>
      <c r="X2467" t="inlineStr">
        <is>
          <t>aafc-aac</t>
        </is>
      </c>
      <c r="Y2467" t="inlineStr">
        <is>
          <t>Agriculture and Agri-Food Canada | Agriculture et Agroalimentaire Canada</t>
        </is>
      </c>
    </row>
    <row r="2468">
      <c r="A2468" t="inlineStr">
        <is>
          <t>T-2025-P12-020</t>
        </is>
      </c>
      <c r="B2468" t="inlineStr">
        <is>
          <t>SLE</t>
        </is>
      </c>
      <c r="C2468" t="inlineStr">
        <is>
          <t>Workplace Well-Being Ombudsperson</t>
        </is>
      </c>
      <c r="D2468" t="inlineStr">
        <is>
          <t>Ombudsman du mieux-être en milieu de travail</t>
        </is>
      </c>
      <c r="E2468" t="inlineStr">
        <is>
          <t xml:space="preserve">Elianne Hall </t>
        </is>
      </c>
      <c r="F2468" t="inlineStr">
        <is>
          <t>To attend an Outreach</t>
        </is>
      </c>
      <c r="G2468" t="inlineStr">
        <is>
          <t>Participer à une action de sensibilisation</t>
        </is>
      </c>
      <c r="H2468" s="1" t="n">
        <v>45706</v>
      </c>
      <c r="I2468" s="1" t="n">
        <v>45709</v>
      </c>
      <c r="J2468" t="inlineStr">
        <is>
          <t>Harrow, Ontario, Canada</t>
        </is>
      </c>
      <c r="K2468" t="inlineStr">
        <is>
          <t>Harrow, Ontario, Canada</t>
        </is>
      </c>
      <c r="P2468" t="n">
        <v>639.76</v>
      </c>
      <c r="Q2468" t="n">
        <v>392.88</v>
      </c>
      <c r="R2468" t="n">
        <v>551.4400000000001</v>
      </c>
      <c r="S2468" t="n">
        <v>516.4</v>
      </c>
      <c r="T2468" t="n">
        <v>0</v>
      </c>
      <c r="U2468" t="n">
        <v>2100.48</v>
      </c>
      <c r="X2468" t="inlineStr">
        <is>
          <t>aafc-aac</t>
        </is>
      </c>
      <c r="Y2468" t="inlineStr">
        <is>
          <t>Agriculture and Agri-Food Canada | Agriculture et Agroalimentaire Canada</t>
        </is>
      </c>
    </row>
    <row r="2469">
      <c r="A2469" t="inlineStr">
        <is>
          <t>T-2025-P12-021</t>
        </is>
      </c>
      <c r="B2469" t="inlineStr">
        <is>
          <t>SLE</t>
        </is>
      </c>
      <c r="C2469" t="inlineStr">
        <is>
          <t>Assistant Deputy Minister, Science and Technology Branch</t>
        </is>
      </c>
      <c r="D2469" t="inlineStr">
        <is>
          <t>Sous-ministre adjoint, Direction générale des sciences et de la technologie</t>
        </is>
      </c>
      <c r="E2469" t="inlineStr">
        <is>
          <t>Gilles Saindon</t>
        </is>
      </c>
      <c r="F2469" t="inlineStr">
        <is>
          <t>To attend an Outreach to Alberta</t>
        </is>
      </c>
      <c r="G2469" t="inlineStr">
        <is>
          <t>Participer à une activité de sensibilisation en Alberta</t>
        </is>
      </c>
      <c r="H2469" s="1" t="n">
        <v>45734</v>
      </c>
      <c r="I2469" s="1" t="n">
        <v>45737</v>
      </c>
      <c r="J2469" t="inlineStr">
        <is>
          <t>Calgary, Alberta, Canada</t>
        </is>
      </c>
      <c r="K2469" t="inlineStr">
        <is>
          <t>Calgary, Alberta, Canada</t>
        </is>
      </c>
      <c r="L2469" t="inlineStr">
        <is>
          <t>Lethbridge, Alberta, Canada</t>
        </is>
      </c>
      <c r="M2469" t="inlineStr">
        <is>
          <t>Lethbridge, Alberta, Canada</t>
        </is>
      </c>
      <c r="P2469" t="n">
        <v>1596.08</v>
      </c>
      <c r="Q2469" t="n">
        <v>199</v>
      </c>
      <c r="R2469" t="n">
        <v>453.15</v>
      </c>
      <c r="S2469" t="n">
        <v>348.7</v>
      </c>
      <c r="T2469" t="n">
        <v>0</v>
      </c>
      <c r="U2469" t="n">
        <v>2596.93</v>
      </c>
      <c r="X2469" t="inlineStr">
        <is>
          <t>aafc-aac</t>
        </is>
      </c>
      <c r="Y2469" t="inlineStr">
        <is>
          <t>Agriculture and Agri-Food Canada | Agriculture et Agroalimentaire Canada</t>
        </is>
      </c>
    </row>
    <row r="2470">
      <c r="A2470" t="inlineStr">
        <is>
          <t>T-2025-P12-022</t>
        </is>
      </c>
      <c r="B2470" t="inlineStr">
        <is>
          <t>SLE</t>
        </is>
      </c>
      <c r="C2470" t="inlineStr">
        <is>
          <t>Assistant Deputy Minister, International Affairs Branch</t>
        </is>
      </c>
      <c r="D2470" t="inlineStr">
        <is>
          <t>Sous-ministre adjointe, Direction générale des affaires internationales</t>
        </is>
      </c>
      <c r="E2470" t="inlineStr">
        <is>
          <t xml:space="preserve">Kathleen Donohue </t>
        </is>
      </c>
      <c r="F2470" t="inlineStr">
        <is>
          <t>To attend a meeting in Ottawa</t>
        </is>
      </c>
      <c r="G2470" t="inlineStr">
        <is>
          <t>Assister à une réunion à Ottawa</t>
        </is>
      </c>
      <c r="H2470" s="1" t="n">
        <v>45722</v>
      </c>
      <c r="I2470" s="1" t="n">
        <v>45722</v>
      </c>
      <c r="J2470" t="inlineStr">
        <is>
          <t>Ottawa, Ontario, Canada</t>
        </is>
      </c>
      <c r="K2470" t="inlineStr">
        <is>
          <t>Ottawa, Ontario, Canada</t>
        </is>
      </c>
      <c r="P2470" t="n">
        <v>0</v>
      </c>
      <c r="Q2470" t="n">
        <v>15.63</v>
      </c>
      <c r="R2470" t="n">
        <v>0</v>
      </c>
      <c r="S2470" t="n">
        <v>0</v>
      </c>
      <c r="T2470" t="n">
        <v>0</v>
      </c>
      <c r="U2470" t="n">
        <v>15.63</v>
      </c>
      <c r="X2470" t="inlineStr">
        <is>
          <t>aafc-aac</t>
        </is>
      </c>
      <c r="Y2470" t="inlineStr">
        <is>
          <t>Agriculture and Agri-Food Canada | Agriculture et Agroalimentaire Canada</t>
        </is>
      </c>
    </row>
    <row r="2471">
      <c r="A2471" t="inlineStr">
        <is>
          <t>T-2025-P12-023</t>
        </is>
      </c>
      <c r="B2471" t="inlineStr">
        <is>
          <t>SLE</t>
        </is>
      </c>
      <c r="C2471" t="inlineStr">
        <is>
          <t>Assistant Deputy Minister, Corporate Management Branch</t>
        </is>
      </c>
      <c r="D2471" t="inlineStr">
        <is>
          <t>Sous-ministre adjointe, Direction générale de la gestion intégrée</t>
        </is>
      </c>
      <c r="E2471" t="inlineStr">
        <is>
          <t>Marie-Claude Guérard</t>
        </is>
      </c>
      <c r="F2471" t="inlineStr">
        <is>
          <t>To attend a Retirement Course in Ottawa</t>
        </is>
      </c>
      <c r="G2471" t="inlineStr">
        <is>
          <t>Assister une formation de retraite à Ottawa</t>
        </is>
      </c>
      <c r="H2471" s="1" t="n">
        <v>45718</v>
      </c>
      <c r="I2471" s="1" t="n">
        <v>45721</v>
      </c>
      <c r="J2471" t="inlineStr">
        <is>
          <t>Ottawa, Ontario, Canada</t>
        </is>
      </c>
      <c r="K2471" t="inlineStr">
        <is>
          <t>Ottawa, Ontario, Canada</t>
        </is>
      </c>
      <c r="P2471" t="n">
        <v>0</v>
      </c>
      <c r="Q2471" t="n">
        <v>403.16</v>
      </c>
      <c r="R2471" t="n">
        <v>815.13</v>
      </c>
      <c r="S2471" t="n">
        <v>404.6</v>
      </c>
      <c r="T2471" t="n">
        <v>0</v>
      </c>
      <c r="U2471" t="n">
        <v>1622.89</v>
      </c>
      <c r="X2471" t="inlineStr">
        <is>
          <t>aafc-aac</t>
        </is>
      </c>
      <c r="Y2471" t="inlineStr">
        <is>
          <t>Agriculture and Agri-Food Canada | Agriculture et Agroalimentaire Canada</t>
        </is>
      </c>
    </row>
    <row r="2472">
      <c r="A2472" t="inlineStr">
        <is>
          <t>T-2025-P12-024</t>
        </is>
      </c>
      <c r="B2472" t="inlineStr">
        <is>
          <t>SLE</t>
        </is>
      </c>
      <c r="C2472" t="inlineStr">
        <is>
          <t>Assistant Deputy Minister, Strategic Policy Branch</t>
        </is>
      </c>
      <c r="D2472" t="inlineStr">
        <is>
          <t>Sous-ministre adjointe, Direction générale des politiques stratégiques</t>
        </is>
      </c>
      <c r="E2472" t="inlineStr">
        <is>
          <t>Shannon Nix</t>
        </is>
      </c>
      <c r="F2472" t="inlineStr">
        <is>
          <t>To attend an Ontario outreach</t>
        </is>
      </c>
      <c r="G2472" t="inlineStr">
        <is>
          <t xml:space="preserve">Participer à une activité de sensibilisation en Ontario </t>
        </is>
      </c>
      <c r="H2472" s="1" t="n">
        <v>45714</v>
      </c>
      <c r="I2472" s="1" t="n">
        <v>45716</v>
      </c>
      <c r="J2472" t="inlineStr">
        <is>
          <t>Toronto, Ontario, Canada</t>
        </is>
      </c>
      <c r="K2472" t="inlineStr">
        <is>
          <t>Toronto, Ontario, Canada</t>
        </is>
      </c>
      <c r="L2472" t="inlineStr">
        <is>
          <t>Guelph, Ontario, Canada</t>
        </is>
      </c>
      <c r="M2472" t="inlineStr">
        <is>
          <t>Guelph, Ontario, Canada</t>
        </is>
      </c>
      <c r="P2472" t="n">
        <v>1480.05</v>
      </c>
      <c r="Q2472" t="n">
        <v>248.89</v>
      </c>
      <c r="R2472" t="n">
        <v>615.97</v>
      </c>
      <c r="S2472" t="n">
        <v>248.5</v>
      </c>
      <c r="T2472" t="n">
        <v>0</v>
      </c>
      <c r="U2472" t="n">
        <v>2593.41</v>
      </c>
      <c r="X2472" t="inlineStr">
        <is>
          <t>aafc-aac</t>
        </is>
      </c>
      <c r="Y2472" t="inlineStr">
        <is>
          <t>Agriculture and Agri-Food Canada | Agriculture et Agroalimentaire Canada</t>
        </is>
      </c>
    </row>
    <row r="2473">
      <c r="A2473" t="inlineStr">
        <is>
          <t>T-2025-P12-025</t>
        </is>
      </c>
      <c r="B2473" t="inlineStr">
        <is>
          <t>SLE</t>
        </is>
      </c>
      <c r="C2473" t="inlineStr">
        <is>
          <t>Assistant Deputy Minister, Strategic Policy Branch</t>
        </is>
      </c>
      <c r="D2473" t="inlineStr">
        <is>
          <t>Sous-ministre adjointe, Direction générale des politiques stratégiques</t>
        </is>
      </c>
      <c r="E2473" t="inlineStr">
        <is>
          <t>Shannon Nix</t>
        </is>
      </c>
      <c r="F2473" t="inlineStr">
        <is>
          <t>To attend the Canadian Crops Convention</t>
        </is>
      </c>
      <c r="G2473" t="inlineStr">
        <is>
          <t>Participer à la convention canadienne sur les récoltes</t>
        </is>
      </c>
      <c r="H2473" s="1" t="n">
        <v>45720</v>
      </c>
      <c r="I2473" s="1" t="n">
        <v>45723</v>
      </c>
      <c r="J2473" t="inlineStr">
        <is>
          <t>Edmonton, Alberta, Canada</t>
        </is>
      </c>
      <c r="K2473" t="inlineStr">
        <is>
          <t>Edmonton, Alberta, Canada</t>
        </is>
      </c>
      <c r="P2473" t="n">
        <v>1619.46</v>
      </c>
      <c r="Q2473" t="n">
        <v>195.11</v>
      </c>
      <c r="R2473" t="n">
        <v>649.26</v>
      </c>
      <c r="S2473" t="n">
        <v>375.7</v>
      </c>
      <c r="T2473" t="n">
        <v>10.76</v>
      </c>
      <c r="U2473" t="n">
        <v>2850.29</v>
      </c>
      <c r="X2473" t="inlineStr">
        <is>
          <t>aafc-aac</t>
        </is>
      </c>
      <c r="Y2473" t="inlineStr">
        <is>
          <t>Agriculture and Agri-Food Canada | Agriculture et Agroalimentaire Canada</t>
        </is>
      </c>
    </row>
    <row r="2474">
      <c r="A2474" t="inlineStr">
        <is>
          <t>T-2025-P12-026</t>
        </is>
      </c>
      <c r="B2474" t="inlineStr">
        <is>
          <t>SLE</t>
        </is>
      </c>
      <c r="C2474" t="inlineStr">
        <is>
          <t>Assistant Deputy Minister, Strategic Policy Branch</t>
        </is>
      </c>
      <c r="D2474" t="inlineStr">
        <is>
          <t>Sous-ministre adjointe, Direction générale des politiques stratégiques</t>
        </is>
      </c>
      <c r="E2474" t="inlineStr">
        <is>
          <t>Shannon Nix</t>
        </is>
      </c>
      <c r="F2474" t="inlineStr">
        <is>
          <t>To attend a meeting in Ottawa</t>
        </is>
      </c>
      <c r="G2474" t="inlineStr">
        <is>
          <t>Participer à une rencontre à Ottawa</t>
        </is>
      </c>
      <c r="H2474" s="1" t="n">
        <v>45714</v>
      </c>
      <c r="I2474" s="1" t="n">
        <v>45714</v>
      </c>
      <c r="J2474" t="inlineStr">
        <is>
          <t>Ottawa, Ontario, Canada</t>
        </is>
      </c>
      <c r="K2474" t="inlineStr">
        <is>
          <t>Ottawa, Ontario, Canada</t>
        </is>
      </c>
      <c r="P2474" t="n">
        <v>0</v>
      </c>
      <c r="Q2474" t="n">
        <v>20.78</v>
      </c>
      <c r="R2474" t="n">
        <v>0</v>
      </c>
      <c r="S2474" t="n">
        <v>0</v>
      </c>
      <c r="T2474" t="n">
        <v>0</v>
      </c>
      <c r="U2474" t="n">
        <v>20.78</v>
      </c>
      <c r="X2474" t="inlineStr">
        <is>
          <t>aafc-aac</t>
        </is>
      </c>
      <c r="Y2474" t="inlineStr">
        <is>
          <t>Agriculture and Agri-Food Canada | Agriculture et Agroalimentaire Canada</t>
        </is>
      </c>
    </row>
    <row r="2475">
      <c r="A2475" t="inlineStr">
        <is>
          <t>T-2025-P12-027</t>
        </is>
      </c>
      <c r="B2475" t="inlineStr">
        <is>
          <t>SLE</t>
        </is>
      </c>
      <c r="C2475" t="inlineStr">
        <is>
          <t>Assistant Deputy Minister, Strategic Policy Branch</t>
        </is>
      </c>
      <c r="D2475" t="inlineStr">
        <is>
          <t>Sous-ministre adjointe, Direction générale des politiques stratégiques</t>
        </is>
      </c>
      <c r="E2475" t="inlineStr">
        <is>
          <t>Shannon Nix</t>
        </is>
      </c>
      <c r="F2475" t="inlineStr">
        <is>
          <t>To attend a meeting in Ottawa</t>
        </is>
      </c>
      <c r="G2475" t="inlineStr">
        <is>
          <t>Participer à une rencontre à Ottawa</t>
        </is>
      </c>
      <c r="H2475" s="1" t="n">
        <v>45735</v>
      </c>
      <c r="I2475" s="1" t="n">
        <v>45735</v>
      </c>
      <c r="J2475" t="inlineStr">
        <is>
          <t>Ottawa, Ontario, Canada</t>
        </is>
      </c>
      <c r="K2475" t="inlineStr">
        <is>
          <t>Ottawa, Ontario, Canada</t>
        </is>
      </c>
      <c r="P2475" t="n">
        <v>0</v>
      </c>
      <c r="Q2475" t="n">
        <v>6.1</v>
      </c>
      <c r="R2475" t="n">
        <v>0</v>
      </c>
      <c r="S2475" t="n">
        <v>0</v>
      </c>
      <c r="T2475" t="n">
        <v>0</v>
      </c>
      <c r="U2475" t="n">
        <v>6.1</v>
      </c>
      <c r="X2475" t="inlineStr">
        <is>
          <t>aafc-aac</t>
        </is>
      </c>
      <c r="Y2475" t="inlineStr">
        <is>
          <t>Agriculture and Agri-Food Canada | Agriculture et Agroalimentaire Canada</t>
        </is>
      </c>
    </row>
    <row r="2476">
      <c r="A2476" t="inlineStr">
        <is>
          <t>T-2025-P12-028</t>
        </is>
      </c>
      <c r="B2476" t="inlineStr">
        <is>
          <t>SLE</t>
        </is>
      </c>
      <c r="C2476" t="inlineStr">
        <is>
          <t>Assistant Deputy Minister, Programs Branch</t>
        </is>
      </c>
      <c r="D2476" t="inlineStr">
        <is>
          <t>Sous-ministre adjointe, Direction générale des programmes</t>
        </is>
      </c>
      <c r="E2476" t="inlineStr">
        <is>
          <t>Liz Foster</t>
        </is>
      </c>
      <c r="F2476" t="inlineStr">
        <is>
          <t>To attend an Outreach in Winnipeg</t>
        </is>
      </c>
      <c r="G2476" t="inlineStr">
        <is>
          <t>Participer à une activité de sensibilisation à Winnipeg</t>
        </is>
      </c>
      <c r="H2476" s="1" t="n">
        <v>45728</v>
      </c>
      <c r="I2476" s="1" t="n">
        <v>45730</v>
      </c>
      <c r="J2476" t="inlineStr">
        <is>
          <t>Winnipeg, Manitoba, Canada</t>
        </is>
      </c>
      <c r="K2476" t="inlineStr">
        <is>
          <t>Winnipeg, Manitoba, Canada</t>
        </is>
      </c>
      <c r="P2476" t="n">
        <v>554.42</v>
      </c>
      <c r="Q2476" t="n">
        <v>104.05</v>
      </c>
      <c r="R2476" t="n">
        <v>470.6</v>
      </c>
      <c r="S2476" t="n">
        <v>332.35</v>
      </c>
      <c r="T2476" t="n">
        <v>0</v>
      </c>
      <c r="U2476" t="n">
        <v>1461.42</v>
      </c>
      <c r="X2476" t="inlineStr">
        <is>
          <t>aafc-aac</t>
        </is>
      </c>
      <c r="Y2476" t="inlineStr">
        <is>
          <t>Agriculture and Agri-Food Canada | Agriculture et Agroalimentaire Canada</t>
        </is>
      </c>
    </row>
    <row r="2477">
      <c r="A2477" t="inlineStr">
        <is>
          <t>T-2025-P12-029</t>
        </is>
      </c>
      <c r="B2477" t="inlineStr">
        <is>
          <t>SLE</t>
        </is>
      </c>
      <c r="C2477" t="inlineStr">
        <is>
          <t>Assistant Deputy Minister, Market and Industry Services Branch</t>
        </is>
      </c>
      <c r="D2477" t="inlineStr">
        <is>
          <t>Sous-ministre adjoint, Direction générale des services à l'industrie et aux marchés</t>
        </is>
      </c>
      <c r="E2477" t="inlineStr">
        <is>
          <t>Tom Rosser</t>
        </is>
      </c>
      <c r="F2477" t="inlineStr">
        <is>
          <t>To attend an event in Cambridge</t>
        </is>
      </c>
      <c r="G2477" t="inlineStr">
        <is>
          <t>Participer à un événement à Cambridge</t>
        </is>
      </c>
      <c r="H2477" s="1" t="n">
        <v>45690</v>
      </c>
      <c r="I2477" s="1" t="n">
        <v>45691</v>
      </c>
      <c r="J2477" t="inlineStr">
        <is>
          <t>Cambridge, Ontario, Canada</t>
        </is>
      </c>
      <c r="K2477" t="inlineStr">
        <is>
          <t>Cambridge, Ontario, Canada</t>
        </is>
      </c>
      <c r="P2477" t="n">
        <v>47.46</v>
      </c>
      <c r="Q2477" t="n">
        <v>228.43</v>
      </c>
      <c r="R2477" t="n">
        <v>0</v>
      </c>
      <c r="S2477" t="n">
        <v>118.45</v>
      </c>
      <c r="T2477" t="n">
        <v>0</v>
      </c>
      <c r="U2477" t="n">
        <v>394.34</v>
      </c>
      <c r="X2477" t="inlineStr">
        <is>
          <t>aafc-aac</t>
        </is>
      </c>
      <c r="Y2477" t="inlineStr">
        <is>
          <t>Agriculture and Agri-Food Canada | Agriculture et Agroalimentaire Canada</t>
        </is>
      </c>
    </row>
    <row r="2478">
      <c r="A2478" t="inlineStr">
        <is>
          <t>T-AAFC-2026-P01-001</t>
        </is>
      </c>
      <c r="B2478" t="inlineStr">
        <is>
          <t>MPSES</t>
        </is>
      </c>
      <c r="C2478" t="inlineStr">
        <is>
          <t>Minister</t>
        </is>
      </c>
      <c r="D2478" t="inlineStr">
        <is>
          <t>Ministre</t>
        </is>
      </c>
      <c r="E2478" t="inlineStr">
        <is>
          <t>Kody Blois</t>
        </is>
      </c>
      <c r="F2478" t="inlineStr">
        <is>
          <t>To attend Cabinet Committee meetings</t>
        </is>
      </c>
      <c r="G2478" t="inlineStr">
        <is>
          <t>Assister aux réunions du comité du Cabinet</t>
        </is>
      </c>
      <c r="H2478" s="1" t="n">
        <v>45748</v>
      </c>
      <c r="I2478" s="1" t="n">
        <v>45750</v>
      </c>
      <c r="J2478" t="inlineStr">
        <is>
          <t>Ottawa, Ontario, Canada</t>
        </is>
      </c>
      <c r="K2478" t="inlineStr">
        <is>
          <t>Ottawa, Ontario, Canada</t>
        </is>
      </c>
      <c r="P2478" t="n">
        <v>1288.32</v>
      </c>
      <c r="Q2478" t="n">
        <v>0</v>
      </c>
      <c r="R2478" t="n">
        <v>510.2</v>
      </c>
      <c r="S2478" t="n">
        <v>141.9</v>
      </c>
      <c r="T2478" t="n">
        <v>0</v>
      </c>
      <c r="U2478" t="n">
        <v>1940.42</v>
      </c>
      <c r="X2478" t="inlineStr">
        <is>
          <t>aafc-aac</t>
        </is>
      </c>
      <c r="Y2478" t="inlineStr">
        <is>
          <t>Agriculture and Agri-Food Canada | Agriculture et Agroalimentaire Canada</t>
        </is>
      </c>
    </row>
    <row r="2479">
      <c r="A2479" t="inlineStr">
        <is>
          <t>T-AAFC-2026-P01-002</t>
        </is>
      </c>
      <c r="B2479" t="inlineStr">
        <is>
          <t>MPSES</t>
        </is>
      </c>
      <c r="C2479" t="inlineStr">
        <is>
          <t>Minister</t>
        </is>
      </c>
      <c r="D2479" t="inlineStr">
        <is>
          <t>Ministre</t>
        </is>
      </c>
      <c r="E2479" t="inlineStr">
        <is>
          <t>Kody Blois</t>
        </is>
      </c>
      <c r="F2479" t="inlineStr">
        <is>
          <t>To attend Cabinet Committee meetings</t>
        </is>
      </c>
      <c r="G2479" t="inlineStr">
        <is>
          <t>Assister aux réunions du comité du Cabinet</t>
        </is>
      </c>
      <c r="H2479" s="1" t="n">
        <v>45757</v>
      </c>
      <c r="I2479" s="1" t="n">
        <v>45758</v>
      </c>
      <c r="J2479" t="inlineStr">
        <is>
          <t>Ottawa, Ontario, Canada</t>
        </is>
      </c>
      <c r="K2479" t="inlineStr">
        <is>
          <t>Ottawa, Ontario, Canada</t>
        </is>
      </c>
      <c r="P2479" t="n">
        <v>1487.32</v>
      </c>
      <c r="Q2479" t="n">
        <v>0</v>
      </c>
      <c r="R2479" t="n">
        <v>255.1</v>
      </c>
      <c r="S2479" t="n">
        <v>55.8</v>
      </c>
      <c r="T2479" t="n">
        <v>0</v>
      </c>
      <c r="U2479" t="n">
        <v>1798.22</v>
      </c>
      <c r="X2479" t="inlineStr">
        <is>
          <t>aafc-aac</t>
        </is>
      </c>
      <c r="Y2479" t="inlineStr">
        <is>
          <t>Agriculture and Agri-Food Canada | Agriculture et Agroalimentaire Canada</t>
        </is>
      </c>
    </row>
    <row r="2480">
      <c r="A2480" t="inlineStr">
        <is>
          <t>T-AAFC-2026-P01-003</t>
        </is>
      </c>
      <c r="B2480" t="inlineStr">
        <is>
          <t>MPSES</t>
        </is>
      </c>
      <c r="C2480" t="inlineStr">
        <is>
          <t>Chief of Staff &amp; Director of Operations</t>
        </is>
      </c>
      <c r="D2480" t="inlineStr">
        <is>
          <t>Chef de cabinet et Directrice des opérations</t>
        </is>
      </c>
      <c r="E2480" t="inlineStr">
        <is>
          <t>Maria Morley</t>
        </is>
      </c>
      <c r="F2480" t="inlineStr">
        <is>
          <t>Outreach in Washington</t>
        </is>
      </c>
      <c r="G2480" t="inlineStr">
        <is>
          <t>Activité de sensibilisation à Washington</t>
        </is>
      </c>
      <c r="H2480" s="1" t="n">
        <v>45712</v>
      </c>
      <c r="I2480" s="1" t="n">
        <v>45714</v>
      </c>
      <c r="J2480" t="inlineStr">
        <is>
          <t>Washington, District of Columbia, United States</t>
        </is>
      </c>
      <c r="K2480" t="inlineStr">
        <is>
          <t>Washington, District de Columbia, États-Unis</t>
        </is>
      </c>
      <c r="P2480" t="n">
        <v>1190.31</v>
      </c>
      <c r="Q2480" t="n">
        <v>25.85</v>
      </c>
      <c r="R2480" t="n">
        <v>1085.19</v>
      </c>
      <c r="S2480" t="n">
        <v>251.55</v>
      </c>
      <c r="T2480" t="n">
        <v>0</v>
      </c>
      <c r="U2480" t="n">
        <v>2552.9</v>
      </c>
      <c r="X2480" t="inlineStr">
        <is>
          <t>aafc-aac</t>
        </is>
      </c>
      <c r="Y2480" t="inlineStr">
        <is>
          <t>Agriculture and Agri-Food Canada | Agriculture et Agroalimentaire Canada</t>
        </is>
      </c>
    </row>
    <row r="2481">
      <c r="A2481" t="inlineStr">
        <is>
          <t>T-AAFC-2026-P01-004</t>
        </is>
      </c>
      <c r="B2481" t="inlineStr">
        <is>
          <t>SLE</t>
        </is>
      </c>
      <c r="C2481" t="inlineStr">
        <is>
          <t>Corporate Secretary</t>
        </is>
      </c>
      <c r="D2481" t="inlineStr">
        <is>
          <t>Secrétaire générale</t>
        </is>
      </c>
      <c r="E2481" t="inlineStr">
        <is>
          <t>Tamara Abel</t>
        </is>
      </c>
      <c r="F2481" t="inlineStr">
        <is>
          <t>Operational activities</t>
        </is>
      </c>
      <c r="G2481" t="inlineStr">
        <is>
          <t>Activités opérationnelles</t>
        </is>
      </c>
      <c r="H2481" s="1" t="n">
        <v>45754</v>
      </c>
      <c r="I2481" s="1" t="n">
        <v>45757</v>
      </c>
      <c r="J2481" t="inlineStr">
        <is>
          <t>Ottawa, Ontario, Canada</t>
        </is>
      </c>
      <c r="K2481" t="inlineStr">
        <is>
          <t>Ottawa, Ontario, Canada</t>
        </is>
      </c>
      <c r="P2481" t="n">
        <v>934.2</v>
      </c>
      <c r="Q2481" t="n">
        <v>296.65</v>
      </c>
      <c r="R2481" t="n">
        <v>953.54</v>
      </c>
      <c r="S2481" t="n">
        <v>467.4</v>
      </c>
      <c r="T2481" t="n">
        <v>0</v>
      </c>
      <c r="U2481" t="n">
        <v>2651.79</v>
      </c>
      <c r="X2481" t="inlineStr">
        <is>
          <t>aafc-aac</t>
        </is>
      </c>
      <c r="Y2481" t="inlineStr">
        <is>
          <t>Agriculture and Agri-Food Canada | Agriculture et Agroalimentaire Canada</t>
        </is>
      </c>
    </row>
    <row r="2482">
      <c r="A2482" t="inlineStr">
        <is>
          <t>T-AAFC-2026-P01-005</t>
        </is>
      </c>
      <c r="B2482" t="inlineStr">
        <is>
          <t>SLE</t>
        </is>
      </c>
      <c r="C2482" t="inlineStr">
        <is>
          <t>Corporate Secretary</t>
        </is>
      </c>
      <c r="D2482" t="inlineStr">
        <is>
          <t>Secrétaire générale</t>
        </is>
      </c>
      <c r="E2482" t="inlineStr">
        <is>
          <t>Tamara Abel</t>
        </is>
      </c>
      <c r="F2482" t="inlineStr">
        <is>
          <t>Operational activities</t>
        </is>
      </c>
      <c r="G2482" t="inlineStr">
        <is>
          <t>Activités opérationnelles</t>
        </is>
      </c>
      <c r="H2482" s="1" t="n">
        <v>45763</v>
      </c>
      <c r="I2482" s="1" t="n">
        <v>45764</v>
      </c>
      <c r="J2482" t="inlineStr">
        <is>
          <t>Ottawa, Ontario, Canada</t>
        </is>
      </c>
      <c r="K2482" t="inlineStr">
        <is>
          <t>Ottawa, Ontario, Canada</t>
        </is>
      </c>
      <c r="P2482" t="n">
        <v>1012.14</v>
      </c>
      <c r="Q2482" t="n">
        <v>202.25</v>
      </c>
      <c r="R2482" t="n">
        <v>283.57</v>
      </c>
      <c r="S2482" t="n">
        <v>261.6</v>
      </c>
      <c r="T2482" t="n">
        <v>0</v>
      </c>
      <c r="U2482" t="n">
        <v>1759.56</v>
      </c>
      <c r="X2482" t="inlineStr">
        <is>
          <t>aafc-aac</t>
        </is>
      </c>
      <c r="Y2482" t="inlineStr">
        <is>
          <t>Agriculture and Agri-Food Canada | Agriculture et Agroalimentaire Canada</t>
        </is>
      </c>
    </row>
    <row r="2483">
      <c r="A2483" t="inlineStr">
        <is>
          <t>T-AAFC-2026-P01-006</t>
        </is>
      </c>
      <c r="B2483" t="inlineStr">
        <is>
          <t>SLE</t>
        </is>
      </c>
      <c r="C2483" t="inlineStr">
        <is>
          <t>Assistant Deputy Minister, Corporate Management Branch</t>
        </is>
      </c>
      <c r="D2483" t="inlineStr">
        <is>
          <t>Sous-ministre adjointe, Direction générale de la gestion intégrée</t>
        </is>
      </c>
      <c r="E2483" t="inlineStr">
        <is>
          <t>Marie-Claude Guérard</t>
        </is>
      </c>
      <c r="F2483" t="inlineStr">
        <is>
          <t>To attend meetings in Ottawa</t>
        </is>
      </c>
      <c r="G2483" t="inlineStr">
        <is>
          <t>Participer aux rencontres à Ottawa</t>
        </is>
      </c>
      <c r="H2483" s="1" t="n">
        <v>45706</v>
      </c>
      <c r="I2483" s="1" t="n">
        <v>45707</v>
      </c>
      <c r="J2483" t="inlineStr">
        <is>
          <t>Ottawa, Ontario, Canada</t>
        </is>
      </c>
      <c r="K2483" t="inlineStr">
        <is>
          <t>Ottawa, Ontario, Canada</t>
        </is>
      </c>
      <c r="P2483" t="n">
        <v>0</v>
      </c>
      <c r="Q2483" t="n">
        <v>618.1900000000001</v>
      </c>
      <c r="R2483" t="n">
        <v>271.71</v>
      </c>
      <c r="S2483" t="n">
        <v>258.2</v>
      </c>
      <c r="T2483" t="n">
        <v>0</v>
      </c>
      <c r="U2483" t="n">
        <v>1148.1</v>
      </c>
      <c r="X2483" t="inlineStr">
        <is>
          <t>aafc-aac</t>
        </is>
      </c>
      <c r="Y2483" t="inlineStr">
        <is>
          <t>Agriculture and Agri-Food Canada | Agriculture et Agroalimentaire Canada</t>
        </is>
      </c>
    </row>
    <row r="2484">
      <c r="A2484" t="inlineStr">
        <is>
          <t>T-AAFC-2026-P01-007</t>
        </is>
      </c>
      <c r="B2484" t="inlineStr">
        <is>
          <t>SLE</t>
        </is>
      </c>
      <c r="C2484" t="inlineStr">
        <is>
          <t>Assistant Deputy Minister, Corporate Management Branch</t>
        </is>
      </c>
      <c r="D2484" t="inlineStr">
        <is>
          <t>Sous-ministre adjointe, Direction générale de la gestion intégrée</t>
        </is>
      </c>
      <c r="E2484" t="inlineStr">
        <is>
          <t>Marie-Claude Guérard</t>
        </is>
      </c>
      <c r="F2484" t="inlineStr">
        <is>
          <t>To attend meetings in Ottawa</t>
        </is>
      </c>
      <c r="G2484" t="inlineStr">
        <is>
          <t>Participer aux rencontres à Ottawa</t>
        </is>
      </c>
      <c r="H2484" s="1" t="n">
        <v>45714</v>
      </c>
      <c r="I2484" s="1" t="n">
        <v>45716</v>
      </c>
      <c r="J2484" t="inlineStr">
        <is>
          <t>Ottawa, Ontario, Canada</t>
        </is>
      </c>
      <c r="K2484" t="inlineStr">
        <is>
          <t>Ottawa, Ontario, Canada</t>
        </is>
      </c>
      <c r="P2484" t="n">
        <v>0</v>
      </c>
      <c r="Q2484" t="n">
        <v>507.66</v>
      </c>
      <c r="R2484" t="n">
        <v>543.42</v>
      </c>
      <c r="S2484" t="n">
        <v>275.5</v>
      </c>
      <c r="T2484" t="n">
        <v>0</v>
      </c>
      <c r="U2484" t="n">
        <v>1326.58</v>
      </c>
      <c r="X2484" t="inlineStr">
        <is>
          <t>aafc-aac</t>
        </is>
      </c>
      <c r="Y2484" t="inlineStr">
        <is>
          <t>Agriculture and Agri-Food Canada | Agriculture et Agroalimentaire Canada</t>
        </is>
      </c>
    </row>
    <row r="2485">
      <c r="A2485" t="inlineStr">
        <is>
          <t>T-AAFC-2026-P01-008</t>
        </is>
      </c>
      <c r="B2485" t="inlineStr">
        <is>
          <t>SLE</t>
        </is>
      </c>
      <c r="C2485" t="inlineStr">
        <is>
          <t>Assistant Deputy Minister, Strategic Policy Branch</t>
        </is>
      </c>
      <c r="D2485" t="inlineStr">
        <is>
          <t>Sous-ministre adjointe, Direction générale des politiques stratégiques</t>
        </is>
      </c>
      <c r="E2485" t="inlineStr">
        <is>
          <t>Shannon Nix</t>
        </is>
      </c>
      <c r="F2485" t="inlineStr">
        <is>
          <t>To attend meetings in Ottawa</t>
        </is>
      </c>
      <c r="G2485" t="inlineStr">
        <is>
          <t>Participer aux rencontres à Ottawa</t>
        </is>
      </c>
      <c r="H2485" s="1" t="n">
        <v>45698</v>
      </c>
      <c r="I2485" s="1" t="n">
        <v>45699</v>
      </c>
      <c r="J2485" t="inlineStr">
        <is>
          <t>Ottawa, Ontario, Canada</t>
        </is>
      </c>
      <c r="K2485" t="inlineStr">
        <is>
          <t>Ottawa, Ontario, Canada</t>
        </is>
      </c>
      <c r="P2485" t="n">
        <v>0</v>
      </c>
      <c r="Q2485" t="n">
        <v>20</v>
      </c>
      <c r="R2485" t="n">
        <v>0</v>
      </c>
      <c r="S2485" t="n">
        <v>0</v>
      </c>
      <c r="T2485" t="n">
        <v>0</v>
      </c>
      <c r="U2485" t="n">
        <v>20</v>
      </c>
      <c r="X2485" t="inlineStr">
        <is>
          <t>aafc-aac</t>
        </is>
      </c>
      <c r="Y2485" t="inlineStr">
        <is>
          <t>Agriculture and Agri-Food Canada | Agriculture et Agroalimentaire Canada</t>
        </is>
      </c>
    </row>
    <row r="2486">
      <c r="A2486" t="inlineStr">
        <is>
          <t>T-AAFC-2026-P01-009</t>
        </is>
      </c>
      <c r="B2486" t="inlineStr">
        <is>
          <t>SLE</t>
        </is>
      </c>
      <c r="C2486" t="inlineStr">
        <is>
          <t>Assistant Deputy Minister, Market and Industry Services Branch</t>
        </is>
      </c>
      <c r="D2486" t="inlineStr">
        <is>
          <t>Sous-ministre adjoint, Direction générale des services à l'industrie et aux marchés</t>
        </is>
      </c>
      <c r="E2486" t="inlineStr">
        <is>
          <t>Tom Rosser</t>
        </is>
      </c>
      <c r="F2486" t="inlineStr">
        <is>
          <t>To attend a meeting and an outreach with staff</t>
        </is>
      </c>
      <c r="G2486" t="inlineStr">
        <is>
          <t>Assister à une rencontre et participer à une activité de sensibilisation avec le personnel</t>
        </is>
      </c>
      <c r="H2486" s="1" t="n">
        <v>45725</v>
      </c>
      <c r="I2486" s="1" t="n">
        <v>45726</v>
      </c>
      <c r="J2486" t="inlineStr">
        <is>
          <t>Québec City, Quebec, Canada</t>
        </is>
      </c>
      <c r="K2486" t="inlineStr">
        <is>
          <t>Québec, Québec, Canada</t>
        </is>
      </c>
      <c r="P2486" t="n">
        <v>1196.15</v>
      </c>
      <c r="Q2486" t="n">
        <v>165.54</v>
      </c>
      <c r="R2486" t="n">
        <v>224.92</v>
      </c>
      <c r="S2486" t="n">
        <v>175.3</v>
      </c>
      <c r="T2486" t="n">
        <v>0</v>
      </c>
      <c r="U2486" t="n">
        <v>1761.91</v>
      </c>
      <c r="X2486" t="inlineStr">
        <is>
          <t>aafc-aac</t>
        </is>
      </c>
      <c r="Y2486" t="inlineStr">
        <is>
          <t>Agriculture and Agri-Food Canada | Agriculture et Agroalimentaire Canada</t>
        </is>
      </c>
    </row>
    <row r="2487">
      <c r="A2487" t="inlineStr">
        <is>
          <t>T-AAFC-2026-P01-010</t>
        </is>
      </c>
      <c r="B2487" t="inlineStr">
        <is>
          <t>SLE</t>
        </is>
      </c>
      <c r="C2487" t="inlineStr">
        <is>
          <t>Assistant Deputy Minister, Market and Industry Services Branch</t>
        </is>
      </c>
      <c r="D2487" t="inlineStr">
        <is>
          <t>Sous-ministre adjoint, Direction générale des services à l'industrie et aux marchés</t>
        </is>
      </c>
      <c r="E2487" t="inlineStr">
        <is>
          <t>Tom Rosser</t>
        </is>
      </c>
      <c r="F2487" t="inlineStr">
        <is>
          <t>To attend the Conseil de la Transformation Alimentaire du Québec Conference in Mont-Tremblant</t>
        </is>
      </c>
      <c r="G2487" t="inlineStr">
        <is>
          <t>Participer à la conférence du  Conseil de la Transformation Alimentaire du Québec à Mont-Tremblant</t>
        </is>
      </c>
      <c r="H2487" s="1" t="n">
        <v>45744</v>
      </c>
      <c r="I2487" s="1" t="n">
        <v>45746</v>
      </c>
      <c r="J2487" t="inlineStr">
        <is>
          <t>Mont-Tremblant, Quebec, Canada</t>
        </is>
      </c>
      <c r="K2487" t="inlineStr">
        <is>
          <t>Mont-Tremblant, Québec, Canada</t>
        </is>
      </c>
      <c r="P2487" t="n">
        <v>0</v>
      </c>
      <c r="Q2487" t="n">
        <v>306.12</v>
      </c>
      <c r="R2487" t="n">
        <v>1282.82</v>
      </c>
      <c r="S2487" t="n">
        <v>51.9</v>
      </c>
      <c r="T2487" t="n">
        <v>0</v>
      </c>
      <c r="U2487" t="n">
        <v>1640.84</v>
      </c>
      <c r="X2487" t="inlineStr">
        <is>
          <t>aafc-aac</t>
        </is>
      </c>
      <c r="Y2487" t="inlineStr">
        <is>
          <t>Agriculture and Agri-Food Canada | Agriculture et Agroalimentaire Canada</t>
        </is>
      </c>
    </row>
    <row r="2488">
      <c r="A2488" t="inlineStr">
        <is>
          <t>T-AAFC-2026-P02-001</t>
        </is>
      </c>
      <c r="B2488" t="inlineStr">
        <is>
          <t>SLE</t>
        </is>
      </c>
      <c r="C2488" t="inlineStr">
        <is>
          <t>Corporate Secretary</t>
        </is>
      </c>
      <c r="D2488" t="inlineStr">
        <is>
          <t>Secrétaire générale</t>
        </is>
      </c>
      <c r="E2488" t="inlineStr">
        <is>
          <t>Tamara Abel</t>
        </is>
      </c>
      <c r="F2488" t="inlineStr">
        <is>
          <t>Operational activities</t>
        </is>
      </c>
      <c r="G2488" t="inlineStr">
        <is>
          <t>Activités opérationnelles</t>
        </is>
      </c>
      <c r="H2488" s="1" t="n">
        <v>45782</v>
      </c>
      <c r="I2488" s="1" t="n">
        <v>45785</v>
      </c>
      <c r="J2488" t="inlineStr">
        <is>
          <t>Ottawa, Ontario, Canada</t>
        </is>
      </c>
      <c r="K2488" t="inlineStr">
        <is>
          <t>Ottawa, Ontario, Canada</t>
        </is>
      </c>
      <c r="P2488" t="n">
        <v>1090.61</v>
      </c>
      <c r="Q2488" t="n">
        <v>279.68</v>
      </c>
      <c r="R2488" t="n">
        <v>1099.89</v>
      </c>
      <c r="S2488" t="n">
        <v>523.2</v>
      </c>
      <c r="T2488" t="n">
        <v>0</v>
      </c>
      <c r="U2488" t="n">
        <v>2993.38</v>
      </c>
      <c r="X2488" t="inlineStr">
        <is>
          <t>aafc-aac</t>
        </is>
      </c>
      <c r="Y2488" t="inlineStr">
        <is>
          <t>Agriculture and Agri-Food Canada | Agriculture et Agroalimentaire Canada</t>
        </is>
      </c>
    </row>
    <row r="2489">
      <c r="A2489" t="inlineStr">
        <is>
          <t>T-AAFC-2026-P02-002</t>
        </is>
      </c>
      <c r="B2489" t="inlineStr">
        <is>
          <t>SLE</t>
        </is>
      </c>
      <c r="C2489" t="inlineStr">
        <is>
          <t>Assistant Deputy Minister, Science and Technology Branch</t>
        </is>
      </c>
      <c r="D2489" t="inlineStr">
        <is>
          <t>Sous-ministre adjoint, Direction générale des sciences et de la technologie</t>
        </is>
      </c>
      <c r="E2489" t="inlineStr">
        <is>
          <t>Gilles Saindon</t>
        </is>
      </c>
      <c r="F2489" t="inlineStr">
        <is>
          <t>Outreach to London, Harrow Research and Development Centres, and attend meetings at the University of Windsor</t>
        </is>
      </c>
      <c r="G2489" t="inlineStr">
        <is>
          <t>Réunions de sensibilisation aux centres de recherche de London et Harrow, et participer à des réunions à l'université de Windsor.</t>
        </is>
      </c>
      <c r="H2489" s="1" t="n">
        <v>45782</v>
      </c>
      <c r="I2489" s="1" t="n">
        <v>45786</v>
      </c>
      <c r="J2489" t="inlineStr">
        <is>
          <t>London, Ontario, Canada</t>
        </is>
      </c>
      <c r="K2489" t="inlineStr">
        <is>
          <t>London, Ontario, Canada</t>
        </is>
      </c>
      <c r="L2489" t="inlineStr">
        <is>
          <t>Windsor, Ontario, Canada</t>
        </is>
      </c>
      <c r="M2489" t="inlineStr">
        <is>
          <t>Windsor, Ontario, Canada</t>
        </is>
      </c>
      <c r="N2489" t="inlineStr">
        <is>
          <t>Harrow, Ontario, Canada</t>
        </is>
      </c>
      <c r="O2489" t="inlineStr">
        <is>
          <t>Harrow, Ontario, Canada</t>
        </is>
      </c>
      <c r="P2489" t="n">
        <v>1212.36</v>
      </c>
      <c r="Q2489" t="n">
        <v>172</v>
      </c>
      <c r="R2489" t="n">
        <v>610.5700000000001</v>
      </c>
      <c r="S2489" t="n">
        <v>427.9</v>
      </c>
      <c r="T2489" t="n">
        <v>0</v>
      </c>
      <c r="U2489" t="n">
        <v>2422.83</v>
      </c>
      <c r="X2489" t="inlineStr">
        <is>
          <t>aafc-aac</t>
        </is>
      </c>
      <c r="Y2489" t="inlineStr">
        <is>
          <t>Agriculture and Agri-Food Canada | Agriculture et Agroalimentaire Canada</t>
        </is>
      </c>
    </row>
    <row r="2490">
      <c r="A2490" t="inlineStr">
        <is>
          <t>T-AAFC-2026-P02-003</t>
        </is>
      </c>
      <c r="B2490" t="inlineStr">
        <is>
          <t>SLE</t>
        </is>
      </c>
      <c r="C2490" t="inlineStr">
        <is>
          <t>Assistant Deputy Minister, Science and Technology Branch</t>
        </is>
      </c>
      <c r="D2490" t="inlineStr">
        <is>
          <t>Sous-ministre adjoint, Direction générale des sciences et de la technologie</t>
        </is>
      </c>
      <c r="E2490" t="inlineStr">
        <is>
          <t>Gilles Saindon</t>
        </is>
      </c>
      <c r="F2490" t="inlineStr">
        <is>
          <t>Outreach to Fredericton Research and Development Centre</t>
        </is>
      </c>
      <c r="G2490" t="inlineStr">
        <is>
          <t>Réunions de sensibilisation au centre de recherche à Fredericton</t>
        </is>
      </c>
      <c r="H2490" s="1" t="n">
        <v>45797</v>
      </c>
      <c r="I2490" s="1" t="n">
        <v>45800</v>
      </c>
      <c r="J2490" t="inlineStr">
        <is>
          <t>Fredericton, New Brunswick, Canada</t>
        </is>
      </c>
      <c r="K2490" t="inlineStr">
        <is>
          <t>Fredericton, Nouveau-Brunswick, Canada</t>
        </is>
      </c>
      <c r="P2490" t="n">
        <v>1242.38</v>
      </c>
      <c r="Q2490" t="n">
        <v>381.7</v>
      </c>
      <c r="R2490" t="n">
        <v>782.01</v>
      </c>
      <c r="S2490" t="n">
        <v>409.7</v>
      </c>
      <c r="T2490" t="n">
        <v>61.75</v>
      </c>
      <c r="U2490" t="n">
        <v>2877.54</v>
      </c>
      <c r="X2490" t="inlineStr">
        <is>
          <t>aafc-aac</t>
        </is>
      </c>
      <c r="Y2490" t="inlineStr">
        <is>
          <t>Agriculture and Agri-Food Canada | Agriculture et Agroalimentaire Canada</t>
        </is>
      </c>
    </row>
    <row r="2491">
      <c r="A2491" t="inlineStr">
        <is>
          <t>T-AAFC-2026-P02-004</t>
        </is>
      </c>
      <c r="B2491" t="inlineStr">
        <is>
          <t>SLE</t>
        </is>
      </c>
      <c r="C2491" t="inlineStr">
        <is>
          <t>Assistant Deputy Minister, Corporate Management Branch</t>
        </is>
      </c>
      <c r="D2491" t="inlineStr">
        <is>
          <t>Sous-ministre adjoint, Direction générale de la gestion intégrée</t>
        </is>
      </c>
      <c r="E2491" t="inlineStr">
        <is>
          <t>Alain Lagacé</t>
        </is>
      </c>
      <c r="F2491" t="inlineStr">
        <is>
          <t>To attend a meeting in Ottawa</t>
        </is>
      </c>
      <c r="G2491" t="inlineStr">
        <is>
          <t>Participer à une rencontre à Ottawa</t>
        </is>
      </c>
      <c r="H2491" s="1" t="n">
        <v>45776</v>
      </c>
      <c r="I2491" s="1" t="n">
        <v>45776</v>
      </c>
      <c r="J2491" t="inlineStr">
        <is>
          <t>Ottawa, Ontario, Canada</t>
        </is>
      </c>
      <c r="K2491" t="inlineStr">
        <is>
          <t>Ottawa, Ontario, Canada</t>
        </is>
      </c>
      <c r="P2491" t="n">
        <v>0</v>
      </c>
      <c r="Q2491" t="n">
        <v>66.11</v>
      </c>
      <c r="R2491" t="n">
        <v>0</v>
      </c>
      <c r="S2491" t="n">
        <v>0</v>
      </c>
      <c r="T2491" t="n">
        <v>0</v>
      </c>
      <c r="U2491" t="n">
        <v>66.11</v>
      </c>
      <c r="X2491" t="inlineStr">
        <is>
          <t>aafc-aac</t>
        </is>
      </c>
      <c r="Y2491" t="inlineStr">
        <is>
          <t>Agriculture and Agri-Food Canada | Agriculture et Agroalimentaire Canada</t>
        </is>
      </c>
    </row>
    <row r="2492">
      <c r="A2492" t="inlineStr">
        <is>
          <t>T-AAFC-2026-P02-005</t>
        </is>
      </c>
      <c r="B2492" t="inlineStr">
        <is>
          <t>SLE</t>
        </is>
      </c>
      <c r="C2492" t="inlineStr">
        <is>
          <t>Assistant Deputy Minister, Market and Industry Services Branch</t>
        </is>
      </c>
      <c r="D2492" t="inlineStr">
        <is>
          <t>Sous-ministre adjoint, Direction générale des services à l'industrie et aux marchés</t>
        </is>
      </c>
      <c r="E2492" t="inlineStr">
        <is>
          <t>Tom Rosser</t>
        </is>
      </c>
      <c r="F2492" t="inlineStr">
        <is>
          <t>To attend a Tour in Ontario</t>
        </is>
      </c>
      <c r="G2492" t="inlineStr">
        <is>
          <t>Assister à un tour en Ontario</t>
        </is>
      </c>
      <c r="H2492" s="1" t="n">
        <v>45777</v>
      </c>
      <c r="I2492" s="1" t="n">
        <v>45779</v>
      </c>
      <c r="J2492" t="inlineStr">
        <is>
          <t>Toronto, Ontario, Canada</t>
        </is>
      </c>
      <c r="K2492" t="inlineStr">
        <is>
          <t>Toronto, Ontario, Canada</t>
        </is>
      </c>
      <c r="P2492" t="n">
        <v>486.02</v>
      </c>
      <c r="Q2492" t="n">
        <v>304.16</v>
      </c>
      <c r="R2492" t="n">
        <v>478.18</v>
      </c>
      <c r="S2492" t="n">
        <v>271.2</v>
      </c>
      <c r="T2492" t="n">
        <v>0</v>
      </c>
      <c r="U2492" t="n">
        <v>1539.56</v>
      </c>
      <c r="X2492" t="inlineStr">
        <is>
          <t>aafc-aac</t>
        </is>
      </c>
      <c r="Y2492" t="inlineStr">
        <is>
          <t>Agriculture and Agri-Food Canada | Agriculture et Agroalimentaire Canada</t>
        </is>
      </c>
    </row>
    <row r="2493">
      <c r="A2493" t="inlineStr">
        <is>
          <t>T-AAFC-2026-P03-001</t>
        </is>
      </c>
      <c r="B2493" t="inlineStr">
        <is>
          <t>MPSES</t>
        </is>
      </c>
      <c r="C2493" t="inlineStr">
        <is>
          <t xml:space="preserve">Minister </t>
        </is>
      </c>
      <c r="D2493" t="inlineStr">
        <is>
          <t>Ministre</t>
        </is>
      </c>
      <c r="E2493" t="inlineStr">
        <is>
          <t>Heath MacDonald</t>
        </is>
      </c>
      <c r="F2493" t="inlineStr">
        <is>
          <t>To attend an Outreach in Regina</t>
        </is>
      </c>
      <c r="G2493" t="inlineStr">
        <is>
          <t>Participer à une action de sensibilisation à Regina</t>
        </is>
      </c>
      <c r="H2493" s="1" t="n">
        <v>45820</v>
      </c>
      <c r="I2493" s="1" t="n">
        <v>45823</v>
      </c>
      <c r="J2493" t="inlineStr">
        <is>
          <t>Regina, Saskatchewan, Canada</t>
        </is>
      </c>
      <c r="K2493" t="inlineStr">
        <is>
          <t>Regina, Saskatchewan, Canada</t>
        </is>
      </c>
      <c r="P2493" t="n">
        <v>1451.83</v>
      </c>
      <c r="Q2493" t="n">
        <v>0</v>
      </c>
      <c r="R2493" t="n">
        <v>754.59</v>
      </c>
      <c r="S2493" t="n">
        <v>398.2</v>
      </c>
      <c r="T2493" t="n">
        <v>0</v>
      </c>
      <c r="U2493" t="n">
        <v>2604.62</v>
      </c>
      <c r="X2493" t="inlineStr">
        <is>
          <t>aafc-aac</t>
        </is>
      </c>
      <c r="Y2493" t="inlineStr">
        <is>
          <t>Agriculture and Agri-Food Canada | Agriculture et Agroalimentaire Canada</t>
        </is>
      </c>
    </row>
    <row r="2494">
      <c r="A2494" t="inlineStr">
        <is>
          <t>T-AAFC-2026-P03-002</t>
        </is>
      </c>
      <c r="B2494" t="inlineStr">
        <is>
          <t>MPSES</t>
        </is>
      </c>
      <c r="C2494" t="inlineStr">
        <is>
          <t>Policy Advisor</t>
        </is>
      </c>
      <c r="D2494" t="inlineStr">
        <is>
          <t>Conseiller en politiques</t>
        </is>
      </c>
      <c r="E2494" t="inlineStr">
        <is>
          <t>Jeremy Keats</t>
        </is>
      </c>
      <c r="F2494" t="inlineStr">
        <is>
          <t>To support the Minister on an Outreach in Regina</t>
        </is>
      </c>
      <c r="G2494" t="inlineStr">
        <is>
          <t>Soutenir le ministre lors d'une action de sensibilisation à Regina</t>
        </is>
      </c>
      <c r="H2494" s="1" t="n">
        <v>45820</v>
      </c>
      <c r="I2494" s="1" t="n">
        <v>45823</v>
      </c>
      <c r="J2494" t="inlineStr">
        <is>
          <t>Regina, Saskatchewan, Canada</t>
        </is>
      </c>
      <c r="K2494" t="inlineStr">
        <is>
          <t>Regina, Saskatchewan, Canada</t>
        </is>
      </c>
      <c r="P2494" t="n">
        <v>1451.83</v>
      </c>
      <c r="Q2494" t="n">
        <v>0</v>
      </c>
      <c r="R2494" t="n">
        <v>754.59</v>
      </c>
      <c r="S2494" t="n">
        <v>398.2</v>
      </c>
      <c r="T2494" t="n">
        <v>0</v>
      </c>
      <c r="U2494" t="n">
        <v>2604.62</v>
      </c>
      <c r="X2494" t="inlineStr">
        <is>
          <t>aafc-aac</t>
        </is>
      </c>
      <c r="Y2494" t="inlineStr">
        <is>
          <t>Agriculture and Agri-Food Canada | Agriculture et Agroalimentaire Canada</t>
        </is>
      </c>
    </row>
    <row r="2495">
      <c r="A2495" t="inlineStr">
        <is>
          <t>T-AAFC-2026-P03-003</t>
        </is>
      </c>
      <c r="B2495" t="inlineStr">
        <is>
          <t>MPSES</t>
        </is>
      </c>
      <c r="C2495" t="inlineStr">
        <is>
          <t>Chief of Staff</t>
        </is>
      </c>
      <c r="D2495" t="inlineStr">
        <is>
          <t>Chef de Cabinet</t>
        </is>
      </c>
      <c r="E2495" t="inlineStr">
        <is>
          <t>Guy Gallant</t>
        </is>
      </c>
      <c r="F2495" t="inlineStr">
        <is>
          <t>To support the Minister on an Outreach in Regina</t>
        </is>
      </c>
      <c r="G2495" t="inlineStr">
        <is>
          <t>Soutenir le ministre lors d'une action de sensibilisation à Regina</t>
        </is>
      </c>
      <c r="H2495" s="1" t="n">
        <v>45820</v>
      </c>
      <c r="I2495" s="1" t="n">
        <v>45823</v>
      </c>
      <c r="J2495" t="inlineStr">
        <is>
          <t>Regina, Saskatchewan, Canada</t>
        </is>
      </c>
      <c r="K2495" t="inlineStr">
        <is>
          <t>Regina, Saskatchewan, Canada</t>
        </is>
      </c>
      <c r="P2495" t="n">
        <v>1451.83</v>
      </c>
      <c r="Q2495" t="n">
        <v>342.46</v>
      </c>
      <c r="R2495" t="n">
        <v>754.59</v>
      </c>
      <c r="S2495" t="n">
        <v>398.2</v>
      </c>
      <c r="T2495" t="n">
        <v>0</v>
      </c>
      <c r="U2495" t="n">
        <v>2947.08</v>
      </c>
      <c r="X2495" t="inlineStr">
        <is>
          <t>aafc-aac</t>
        </is>
      </c>
      <c r="Y2495" t="inlineStr">
        <is>
          <t>Agriculture and Agri-Food Canada | Agriculture et Agroalimentaire Canada</t>
        </is>
      </c>
    </row>
    <row r="2496">
      <c r="A2496" t="inlineStr">
        <is>
          <t>T-AAFC-2026-P03-004</t>
        </is>
      </c>
      <c r="B2496" t="inlineStr">
        <is>
          <t>SLE</t>
        </is>
      </c>
      <c r="C2496" t="inlineStr">
        <is>
          <t>Assistant Deputy Minister, Science and Technology Branch</t>
        </is>
      </c>
      <c r="D2496" t="inlineStr">
        <is>
          <t>Sous-ministre adjoint, Direction générale des sciences et de la technologie</t>
        </is>
      </c>
      <c r="E2496" t="inlineStr">
        <is>
          <t>Gilles Saindon</t>
        </is>
      </c>
      <c r="F2496" t="inlineStr">
        <is>
          <t>Outreach to Quebec and Sherbrooke Research and Development Centres</t>
        </is>
      </c>
      <c r="G2496" t="inlineStr">
        <is>
          <t>Réunions de sensibilisation aux Centres de recherche de Québec et de Sherbrooke</t>
        </is>
      </c>
      <c r="H2496" s="1" t="n">
        <v>45816</v>
      </c>
      <c r="I2496" s="1" t="n">
        <v>45818</v>
      </c>
      <c r="J2496" t="inlineStr">
        <is>
          <t>Quebec, Quebec, Canada</t>
        </is>
      </c>
      <c r="K2496" t="inlineStr">
        <is>
          <t>Québec, Québec, Canada</t>
        </is>
      </c>
      <c r="L2496" t="inlineStr">
        <is>
          <t>Sherbrooke, Quebec, Canada</t>
        </is>
      </c>
      <c r="M2496" t="inlineStr">
        <is>
          <t>Sherbrooke, Québec, Canada</t>
        </is>
      </c>
      <c r="P2496" t="n">
        <v>0</v>
      </c>
      <c r="Q2496" t="n">
        <v>710.24</v>
      </c>
      <c r="R2496" t="n">
        <v>368.92</v>
      </c>
      <c r="S2496" t="n">
        <v>364</v>
      </c>
      <c r="T2496" t="n">
        <v>0</v>
      </c>
      <c r="U2496" t="n">
        <v>1443.16</v>
      </c>
      <c r="X2496" t="inlineStr">
        <is>
          <t>aafc-aac</t>
        </is>
      </c>
      <c r="Y2496" t="inlineStr">
        <is>
          <t>Agriculture and Agri-Food Canada | Agriculture et Agroalimentaire Canada</t>
        </is>
      </c>
    </row>
    <row r="2497">
      <c r="A2497" t="inlineStr">
        <is>
          <t>T-AAFC-2026-P03-005</t>
        </is>
      </c>
      <c r="B2497" t="inlineStr">
        <is>
          <t>SLE</t>
        </is>
      </c>
      <c r="C2497" t="inlineStr">
        <is>
          <t>Assistant Deputy Minister, Science and Technology Branch</t>
        </is>
      </c>
      <c r="D2497" t="inlineStr">
        <is>
          <t>Sous-ministre adjoint, Direction générale des sciences et de la technologie</t>
        </is>
      </c>
      <c r="E2497" t="inlineStr">
        <is>
          <t>Gilles Saindon</t>
        </is>
      </c>
      <c r="F2497" t="inlineStr">
        <is>
          <t>To attend the Annual Tetrapartite meeting of the Heads of National Agriculture Research organization from Canada, United State, France and the United Kingdom</t>
        </is>
      </c>
      <c r="G2497" t="inlineStr">
        <is>
          <t>Participer à la réunion annuelle tétrapartite des chefs des organisations nationales de recherche agricole du Canada, des États-Unis, de la France et du Royaume-Uni.</t>
        </is>
      </c>
      <c r="H2497" s="1" t="n">
        <v>45821</v>
      </c>
      <c r="I2497" s="1" t="n">
        <v>45827</v>
      </c>
      <c r="J2497" t="inlineStr">
        <is>
          <t>Bordeaux, France</t>
        </is>
      </c>
      <c r="K2497" t="inlineStr">
        <is>
          <t>Bordeaux, France</t>
        </is>
      </c>
      <c r="P2497" t="n">
        <v>2135.25</v>
      </c>
      <c r="Q2497" t="n">
        <v>505.62</v>
      </c>
      <c r="R2497" t="n">
        <v>2657.78</v>
      </c>
      <c r="S2497" t="n">
        <v>725.6</v>
      </c>
      <c r="T2497" t="n">
        <v>3.5</v>
      </c>
      <c r="U2497" t="n">
        <v>6027.75</v>
      </c>
      <c r="X2497" t="inlineStr">
        <is>
          <t>aafc-aac</t>
        </is>
      </c>
      <c r="Y2497" t="inlineStr">
        <is>
          <t>Agriculture and Agri-Food Canada | Agriculture et Agroalimentaire Canada</t>
        </is>
      </c>
    </row>
    <row r="2498">
      <c r="A2498" t="inlineStr">
        <is>
          <t>T-AAFC-2026-P03-006</t>
        </is>
      </c>
      <c r="B2498" t="inlineStr">
        <is>
          <t>SLE</t>
        </is>
      </c>
      <c r="C2498" t="inlineStr">
        <is>
          <t>Associate Assistant Deputy Minister, Science and Technology Branch</t>
        </is>
      </c>
      <c r="D2498" t="inlineStr">
        <is>
          <t>Sous-ministre adjoint délégué, Direction générale des sciences et de la technologie</t>
        </is>
      </c>
      <c r="E2498" t="inlineStr">
        <is>
          <t>Andrew Goldstein</t>
        </is>
      </c>
      <c r="F2498" t="inlineStr">
        <is>
          <t>Outreach visit and meet with staff at the Morden and Brandon Research and Development Centres. Meet with AAFC staff located in Winnipeg.</t>
        </is>
      </c>
      <c r="G2498" t="inlineStr">
        <is>
          <t>Rencontre de sensibilisation avec le personnel des centres de recherche et de développement de Morden et Brandon. Rencontre avec le personnel d’ACC situé à Winnipeg.</t>
        </is>
      </c>
      <c r="H2498" s="1" t="n">
        <v>45810</v>
      </c>
      <c r="I2498" s="1" t="n">
        <v>45813</v>
      </c>
      <c r="J2498" t="inlineStr">
        <is>
          <t>Morden, Manitoba, Canada</t>
        </is>
      </c>
      <c r="K2498" t="inlineStr">
        <is>
          <t>Morden, Manitoba, Canada</t>
        </is>
      </c>
      <c r="L2498" t="inlineStr">
        <is>
          <t>Brandon, Manitoba, Canada</t>
        </is>
      </c>
      <c r="M2498" t="inlineStr">
        <is>
          <t>Brandon, Manitoba, Canada</t>
        </is>
      </c>
      <c r="N2498" t="inlineStr">
        <is>
          <t>Winnipeg, Manitoba, Canada</t>
        </is>
      </c>
      <c r="O2498" t="inlineStr">
        <is>
          <t>Winnipeg, Manitoba, Canada</t>
        </is>
      </c>
      <c r="P2498" t="n">
        <v>956.39</v>
      </c>
      <c r="Q2498" t="n">
        <v>108.1</v>
      </c>
      <c r="R2498" t="n">
        <v>548.9</v>
      </c>
      <c r="S2498" t="n">
        <v>438</v>
      </c>
      <c r="T2498" t="n">
        <v>0</v>
      </c>
      <c r="U2498" t="n">
        <v>2051.39</v>
      </c>
      <c r="X2498" t="inlineStr">
        <is>
          <t>aafc-aac</t>
        </is>
      </c>
      <c r="Y2498" t="inlineStr">
        <is>
          <t>Agriculture and Agri-Food Canada | Agriculture et Agroalimentaire Canada</t>
        </is>
      </c>
    </row>
    <row r="2499">
      <c r="A2499" t="inlineStr">
        <is>
          <t>T-AAFC-2026-P03-007</t>
        </is>
      </c>
      <c r="B2499" t="inlineStr">
        <is>
          <t>SLE</t>
        </is>
      </c>
      <c r="C2499" t="inlineStr">
        <is>
          <t>Assistant Deputy Minister, Corporate Management Branch</t>
        </is>
      </c>
      <c r="D2499" t="inlineStr">
        <is>
          <t>Sous-ministre adjoint, Direction générale de la gestion intégrée</t>
        </is>
      </c>
      <c r="E2499" t="inlineStr">
        <is>
          <t>Alain Lagacé</t>
        </is>
      </c>
      <c r="F2499" t="inlineStr">
        <is>
          <t xml:space="preserve">To attend a meeting </t>
        </is>
      </c>
      <c r="G2499" t="inlineStr">
        <is>
          <t>Assister à une réunion</t>
        </is>
      </c>
      <c r="H2499" s="1" t="n">
        <v>45820</v>
      </c>
      <c r="I2499" s="1" t="n">
        <v>45820</v>
      </c>
      <c r="J2499" t="inlineStr">
        <is>
          <t>Ottawa, Ontario, Canada</t>
        </is>
      </c>
      <c r="K2499" t="inlineStr">
        <is>
          <t>Ottawa, Ontario, Canada</t>
        </is>
      </c>
      <c r="P2499" t="n">
        <v>0</v>
      </c>
      <c r="Q2499" t="n">
        <v>26.5</v>
      </c>
      <c r="R2499" t="n">
        <v>0</v>
      </c>
      <c r="S2499" t="n">
        <v>0</v>
      </c>
      <c r="T2499" t="n">
        <v>0</v>
      </c>
      <c r="U2499" t="n">
        <v>26.5</v>
      </c>
      <c r="X2499" t="inlineStr">
        <is>
          <t>aafc-aac</t>
        </is>
      </c>
      <c r="Y2499" t="inlineStr">
        <is>
          <t>Agriculture and Agri-Food Canada | Agriculture et Agroalimentaire Canada</t>
        </is>
      </c>
    </row>
    <row r="2500">
      <c r="A2500" t="inlineStr">
        <is>
          <t>T-AAFC-2026-P03-008</t>
        </is>
      </c>
      <c r="B2500" t="inlineStr">
        <is>
          <t>SLE</t>
        </is>
      </c>
      <c r="C2500" t="inlineStr">
        <is>
          <t>Assistant Deputy Minister, Strategic Policy Branch</t>
        </is>
      </c>
      <c r="D2500" t="inlineStr">
        <is>
          <t>Sous-ministre adjointe, Direction générale des politiques stratégiques</t>
        </is>
      </c>
      <c r="E2500" t="inlineStr">
        <is>
          <t>Shannon Nix</t>
        </is>
      </c>
      <c r="F2500" t="inlineStr">
        <is>
          <t>To attend a meeting in Ottawa</t>
        </is>
      </c>
      <c r="G2500" t="inlineStr">
        <is>
          <t>Participer à une rencontre à Ottawa</t>
        </is>
      </c>
      <c r="H2500" s="1" t="n">
        <v>45747</v>
      </c>
      <c r="I2500" s="1" t="n">
        <v>45833</v>
      </c>
      <c r="J2500" t="inlineStr">
        <is>
          <t>Ottawa, Ontario, Canada</t>
        </is>
      </c>
      <c r="K2500" t="inlineStr">
        <is>
          <t>Ottawa, Ontario, Canada</t>
        </is>
      </c>
      <c r="P2500" t="n">
        <v>0</v>
      </c>
      <c r="Q2500" t="n">
        <v>171.31</v>
      </c>
      <c r="R2500" t="n">
        <v>0</v>
      </c>
      <c r="S2500" t="n">
        <v>0</v>
      </c>
      <c r="T2500" t="n">
        <v>0</v>
      </c>
      <c r="U2500" t="n">
        <v>171.31</v>
      </c>
      <c r="X2500" t="inlineStr">
        <is>
          <t>aafc-aac</t>
        </is>
      </c>
      <c r="Y2500" t="inlineStr">
        <is>
          <t>Agriculture and Agri-Food Canada | Agriculture et Agroalimentaire Canada</t>
        </is>
      </c>
    </row>
    <row r="2501">
      <c r="A2501" t="inlineStr">
        <is>
          <t>T-AAFC-2026-P03-009</t>
        </is>
      </c>
      <c r="B2501" t="inlineStr">
        <is>
          <t>SLE</t>
        </is>
      </c>
      <c r="C2501" t="inlineStr">
        <is>
          <t>Assistant Deputy Minister, Programs Branch</t>
        </is>
      </c>
      <c r="D2501" t="inlineStr">
        <is>
          <t>Sous-ministre adjointe, Direction générale des programmes</t>
        </is>
      </c>
      <c r="E2501" t="inlineStr">
        <is>
          <t>Liz Foster</t>
        </is>
      </c>
      <c r="F2501" t="inlineStr">
        <is>
          <t>To attend a conference</t>
        </is>
      </c>
      <c r="G2501" t="inlineStr">
        <is>
          <t>Assister à une conférence</t>
        </is>
      </c>
      <c r="H2501" s="1" t="n">
        <v>45811</v>
      </c>
      <c r="I2501" s="1" t="n">
        <v>45811</v>
      </c>
      <c r="J2501" t="inlineStr">
        <is>
          <t>Ottawa, Ontario, Canada</t>
        </is>
      </c>
      <c r="K2501" t="inlineStr">
        <is>
          <t>Ottawa, Ontario, Canada</t>
        </is>
      </c>
      <c r="P2501" t="n">
        <v>0</v>
      </c>
      <c r="Q2501" t="n">
        <v>20</v>
      </c>
      <c r="R2501" t="n">
        <v>0</v>
      </c>
      <c r="S2501" t="n">
        <v>0</v>
      </c>
      <c r="T2501" t="n">
        <v>0</v>
      </c>
      <c r="U2501" t="n">
        <v>20</v>
      </c>
      <c r="X2501" t="inlineStr">
        <is>
          <t>aafc-aac</t>
        </is>
      </c>
      <c r="Y2501" t="inlineStr">
        <is>
          <t>Agriculture and Agri-Food Canada | Agriculture et Agroalimentaire Canada</t>
        </is>
      </c>
    </row>
    <row r="2502">
      <c r="A2502" t="inlineStr">
        <is>
          <t>T-AAFC-2026-P03-010</t>
        </is>
      </c>
      <c r="B2502" t="inlineStr">
        <is>
          <t>SLE</t>
        </is>
      </c>
      <c r="C2502" t="inlineStr">
        <is>
          <t>Assistant Deputy Minister, Programs Branch</t>
        </is>
      </c>
      <c r="D2502" t="inlineStr">
        <is>
          <t>Sous-ministre adjointe, Direction générale des programmes</t>
        </is>
      </c>
      <c r="E2502" t="inlineStr">
        <is>
          <t>Liz Foster</t>
        </is>
      </c>
      <c r="F2502" t="inlineStr">
        <is>
          <t>To attend a ceremony</t>
        </is>
      </c>
      <c r="G2502" t="inlineStr">
        <is>
          <t>Assister à une cérémonie</t>
        </is>
      </c>
      <c r="H2502" s="1" t="n">
        <v>45818</v>
      </c>
      <c r="I2502" s="1" t="n">
        <v>45818</v>
      </c>
      <c r="J2502" t="inlineStr">
        <is>
          <t>Ottawa, Ontario, Canada</t>
        </is>
      </c>
      <c r="K2502" t="inlineStr">
        <is>
          <t>Ottawa, Ontario, Canada</t>
        </is>
      </c>
      <c r="P2502" t="n">
        <v>0</v>
      </c>
      <c r="Q2502" t="n">
        <v>11.35</v>
      </c>
      <c r="R2502" t="n">
        <v>0</v>
      </c>
      <c r="S2502" t="n">
        <v>0</v>
      </c>
      <c r="T2502" t="n">
        <v>0</v>
      </c>
      <c r="U2502" t="n">
        <v>11.35</v>
      </c>
      <c r="X2502" t="inlineStr">
        <is>
          <t>aafc-aac</t>
        </is>
      </c>
      <c r="Y2502" t="inlineStr">
        <is>
          <t>Agriculture and Agri-Food Canada | Agriculture et Agroalimentaire Canada</t>
        </is>
      </c>
    </row>
    <row r="2503">
      <c r="A2503" t="inlineStr">
        <is>
          <t>T-AAFC-2026-P03-011</t>
        </is>
      </c>
      <c r="B2503" t="inlineStr">
        <is>
          <t>SLE</t>
        </is>
      </c>
      <c r="C2503" t="inlineStr">
        <is>
          <t>Assistant Deputy Minister, Market and Industry Services Branch</t>
        </is>
      </c>
      <c r="D2503" t="inlineStr">
        <is>
          <t>Sous-ministre adjoint, Direction générale des services à l'industrie et aux marchés</t>
        </is>
      </c>
      <c r="E2503" t="inlineStr">
        <is>
          <t>Tom Rosser</t>
        </is>
      </c>
      <c r="F2503" t="inlineStr">
        <is>
          <t>To support the Minister on an Outreach in Regina</t>
        </is>
      </c>
      <c r="G2503" t="inlineStr">
        <is>
          <t>Soutenir le ministre lors d'une action de sensibilisation à Regina</t>
        </is>
      </c>
      <c r="H2503" s="1" t="n">
        <v>45820</v>
      </c>
      <c r="I2503" s="1" t="n">
        <v>45823</v>
      </c>
      <c r="J2503" t="inlineStr">
        <is>
          <t>Regina, Saskatchewan, Canada</t>
        </is>
      </c>
      <c r="K2503" t="inlineStr">
        <is>
          <t>Regina, Saskatchewan, Canada</t>
        </is>
      </c>
      <c r="P2503" t="n">
        <v>1406.6</v>
      </c>
      <c r="Q2503" t="n">
        <v>127.23</v>
      </c>
      <c r="R2503" t="n">
        <v>909.41</v>
      </c>
      <c r="S2503" t="n">
        <v>382.2</v>
      </c>
      <c r="T2503" t="n">
        <v>0</v>
      </c>
      <c r="U2503" t="n">
        <v>2825.44</v>
      </c>
      <c r="X2503" t="inlineStr">
        <is>
          <t>aafc-aac</t>
        </is>
      </c>
      <c r="Y2503" t="inlineStr">
        <is>
          <t>Agriculture and Agri-Food Canada | Agriculture et Agroalimentaire Canada</t>
        </is>
      </c>
    </row>
    <row r="2504">
      <c r="A2504" t="inlineStr">
        <is>
          <t>T-AAFC-2026-P03-012</t>
        </is>
      </c>
      <c r="B2504" t="inlineStr">
        <is>
          <t>SLE</t>
        </is>
      </c>
      <c r="C2504" t="inlineStr">
        <is>
          <t>Assistant Deputy Minister, Market and Industry Services Branch</t>
        </is>
      </c>
      <c r="D2504" t="inlineStr">
        <is>
          <t>Sous-ministre adjoint, Direction générale des services à l'industrie et aux marchés</t>
        </is>
      </c>
      <c r="E2504" t="inlineStr">
        <is>
          <t>Tom Rosser</t>
        </is>
      </c>
      <c r="F2504" t="inlineStr">
        <is>
          <t>To attend meetings in Calgary</t>
        </is>
      </c>
      <c r="G2504" t="inlineStr">
        <is>
          <t>Assister à des réunions à Calgary</t>
        </is>
      </c>
      <c r="H2504" s="1" t="n">
        <v>45823</v>
      </c>
      <c r="I2504" s="1" t="n">
        <v>45825</v>
      </c>
      <c r="J2504" t="inlineStr">
        <is>
          <t>Calgary, Alberta, Canada</t>
        </is>
      </c>
      <c r="K2504" t="inlineStr">
        <is>
          <t>Calgary, Alberta, Canada</t>
        </is>
      </c>
      <c r="P2504" t="n">
        <v>518.54</v>
      </c>
      <c r="Q2504" t="n">
        <v>320.89</v>
      </c>
      <c r="R2504" t="n">
        <v>354.66</v>
      </c>
      <c r="S2504" t="n">
        <v>249.5</v>
      </c>
      <c r="T2504" t="n">
        <v>0</v>
      </c>
      <c r="U2504" t="n">
        <v>1443.59</v>
      </c>
      <c r="X2504" t="inlineStr">
        <is>
          <t>aafc-aac</t>
        </is>
      </c>
      <c r="Y2504" t="inlineStr">
        <is>
          <t>Agriculture and Agri-Food Canada | Agriculture et Agroalimentaire Canada</t>
        </is>
      </c>
    </row>
    <row r="2505">
      <c r="A2505" t="inlineStr">
        <is>
          <t>T-AAFC-2026-P03-013</t>
        </is>
      </c>
      <c r="B2505" t="inlineStr">
        <is>
          <t>SLE</t>
        </is>
      </c>
      <c r="C2505" t="inlineStr">
        <is>
          <t>Assistant Deputy Minister, Market and Industry Services Branch</t>
        </is>
      </c>
      <c r="D2505" t="inlineStr">
        <is>
          <t>Sous-ministre adjoint, Direction générale des services à l'industrie et aux marchés</t>
        </is>
      </c>
      <c r="E2505" t="inlineStr">
        <is>
          <t>Tom Rosser</t>
        </is>
      </c>
      <c r="F2505" t="inlineStr">
        <is>
          <t>To attend the regional office's retreat</t>
        </is>
      </c>
      <c r="G2505" t="inlineStr">
        <is>
          <t>Participer à la retraite du bureau régional</t>
        </is>
      </c>
      <c r="H2505" s="1" t="n">
        <v>45805</v>
      </c>
      <c r="I2505" s="1" t="n">
        <v>45807</v>
      </c>
      <c r="J2505" t="inlineStr">
        <is>
          <t>Regina, Saskatchewan, Canada</t>
        </is>
      </c>
      <c r="K2505" t="inlineStr">
        <is>
          <t>Regina, Saskatchewan, Canada</t>
        </is>
      </c>
      <c r="P2505" t="n">
        <v>2590.04</v>
      </c>
      <c r="Q2505" t="n">
        <v>188.63</v>
      </c>
      <c r="R2505" t="n">
        <v>349.42</v>
      </c>
      <c r="S2505" t="n">
        <v>250.5</v>
      </c>
      <c r="T2505" t="n">
        <v>0</v>
      </c>
      <c r="U2505" t="n">
        <v>3378.59</v>
      </c>
      <c r="X2505" t="inlineStr">
        <is>
          <t>aafc-aac</t>
        </is>
      </c>
      <c r="Y2505" t="inlineStr">
        <is>
          <t>Agriculture and Agri-Food Canada | Agriculture et Agroalimentaire Canada</t>
        </is>
      </c>
    </row>
    <row r="2506">
      <c r="A2506" t="inlineStr">
        <is>
          <t>T-AAFC-2026-P04-001</t>
        </is>
      </c>
      <c r="B2506" t="inlineStr">
        <is>
          <t>MPSES</t>
        </is>
      </c>
      <c r="C2506" t="inlineStr">
        <is>
          <t xml:space="preserve">Minister </t>
        </is>
      </c>
      <c r="D2506" t="inlineStr">
        <is>
          <t>Ministre</t>
        </is>
      </c>
      <c r="E2506" t="inlineStr">
        <is>
          <t>Heath MacDonald</t>
        </is>
      </c>
      <c r="F2506" t="inlineStr">
        <is>
          <t xml:space="preserve">To attend an Atlantic Outreach </t>
        </is>
      </c>
      <c r="G2506" t="inlineStr">
        <is>
          <t>Participer à une activité de sensibilisation dans la région de l'Atlantique</t>
        </is>
      </c>
      <c r="H2506" s="1" t="n">
        <v>45840</v>
      </c>
      <c r="I2506" s="1" t="n">
        <v>45842</v>
      </c>
      <c r="J2506" t="inlineStr">
        <is>
          <t>Charlottetown, Prince Edward Island, Canada</t>
        </is>
      </c>
      <c r="K2506" t="inlineStr">
        <is>
          <t>Charlottetown, Île-du-Prince-Édouard, Canada</t>
        </is>
      </c>
      <c r="L2506" t="inlineStr">
        <is>
          <t>Fredericton, New Brunswick, Canada</t>
        </is>
      </c>
      <c r="M2506" t="inlineStr">
        <is>
          <t>Fredericton, Nouveau-Brunswick, Canada</t>
        </is>
      </c>
      <c r="N2506" t="inlineStr">
        <is>
          <t>Amherst, Nova Scotia, Canada</t>
        </is>
      </c>
      <c r="O2506" t="inlineStr">
        <is>
          <t>Amherst, Nouvelle-Écosse, Canada</t>
        </is>
      </c>
      <c r="P2506" t="n">
        <v>0</v>
      </c>
      <c r="Q2506" t="n">
        <v>0</v>
      </c>
      <c r="R2506" t="n">
        <v>557.17</v>
      </c>
      <c r="S2506" t="n">
        <v>226</v>
      </c>
      <c r="T2506" t="n">
        <v>0</v>
      </c>
      <c r="U2506" t="n">
        <v>783.17</v>
      </c>
      <c r="X2506" t="inlineStr">
        <is>
          <t>aafc-aac</t>
        </is>
      </c>
      <c r="Y2506" t="inlineStr">
        <is>
          <t>Agriculture and Agri-Food Canada | Agriculture et Agroalimentaire Canada</t>
        </is>
      </c>
    </row>
    <row r="2507">
      <c r="A2507" t="inlineStr">
        <is>
          <t>T-AAFC-2026-P04-002</t>
        </is>
      </c>
      <c r="B2507" t="inlineStr">
        <is>
          <t>MPSES</t>
        </is>
      </c>
      <c r="C2507" t="inlineStr">
        <is>
          <t xml:space="preserve">Minister </t>
        </is>
      </c>
      <c r="D2507" t="inlineStr">
        <is>
          <t>Ministre</t>
        </is>
      </c>
      <c r="E2507" t="inlineStr">
        <is>
          <t>Heath MacDonald</t>
        </is>
      </c>
      <c r="F2507" t="inlineStr">
        <is>
          <t>To attend the Calgary Stampede</t>
        </is>
      </c>
      <c r="G2507" t="inlineStr">
        <is>
          <t>Assister au Stampede de Calgary</t>
        </is>
      </c>
      <c r="H2507" s="1" t="n">
        <v>45845</v>
      </c>
      <c r="I2507" s="1" t="n">
        <v>45849</v>
      </c>
      <c r="J2507" t="inlineStr">
        <is>
          <t>Calgary, Alberta, Canada</t>
        </is>
      </c>
      <c r="K2507" t="inlineStr">
        <is>
          <t>Calgary, Alberta, Canada</t>
        </is>
      </c>
      <c r="P2507" t="n">
        <v>4450.84</v>
      </c>
      <c r="Q2507" t="n">
        <v>0</v>
      </c>
      <c r="R2507" t="n">
        <v>2919.5</v>
      </c>
      <c r="S2507" t="n">
        <v>426.6</v>
      </c>
      <c r="T2507" t="n">
        <v>0</v>
      </c>
      <c r="U2507" t="n">
        <v>7796.94</v>
      </c>
      <c r="X2507" t="inlineStr">
        <is>
          <t>aafc-aac</t>
        </is>
      </c>
      <c r="Y2507" t="inlineStr">
        <is>
          <t>Agriculture and Agri-Food Canada | Agriculture et Agroalimentaire Canada</t>
        </is>
      </c>
    </row>
    <row r="2508">
      <c r="A2508" t="inlineStr">
        <is>
          <t>T-AAFC-2026-P04-003</t>
        </is>
      </c>
      <c r="B2508" t="inlineStr">
        <is>
          <t>MPSES</t>
        </is>
      </c>
      <c r="C2508" t="inlineStr">
        <is>
          <t xml:space="preserve">Minister </t>
        </is>
      </c>
      <c r="D2508" t="inlineStr">
        <is>
          <t>Ministre</t>
        </is>
      </c>
      <c r="E2508" t="inlineStr">
        <is>
          <t>Heath MacDonald</t>
        </is>
      </c>
      <c r="F2508" t="inlineStr">
        <is>
          <t>To attend a tour and meetings</t>
        </is>
      </c>
      <c r="G2508" t="inlineStr">
        <is>
          <t>Participer à une visite et à des réunions</t>
        </is>
      </c>
      <c r="H2508" s="1" t="n">
        <v>45858</v>
      </c>
      <c r="I2508" s="1" t="n">
        <v>45860</v>
      </c>
      <c r="J2508" t="inlineStr">
        <is>
          <t>Toronto, Ontario, Canada</t>
        </is>
      </c>
      <c r="K2508" t="inlineStr">
        <is>
          <t>Toronto, Ontario, Canada</t>
        </is>
      </c>
      <c r="P2508" t="n">
        <v>1122.71</v>
      </c>
      <c r="Q2508" t="n">
        <v>0</v>
      </c>
      <c r="R2508" t="n">
        <v>733.1799999999999</v>
      </c>
      <c r="S2508" t="n">
        <v>199.6</v>
      </c>
      <c r="T2508" t="n">
        <v>0</v>
      </c>
      <c r="U2508" t="n">
        <v>2055.49</v>
      </c>
      <c r="X2508" t="inlineStr">
        <is>
          <t>aafc-aac</t>
        </is>
      </c>
      <c r="Y2508" t="inlineStr">
        <is>
          <t>Agriculture and Agri-Food Canada | Agriculture et Agroalimentaire Canada</t>
        </is>
      </c>
    </row>
    <row r="2509">
      <c r="A2509" t="inlineStr">
        <is>
          <t>T-AAFC-2026-P04-004</t>
        </is>
      </c>
      <c r="B2509" t="inlineStr">
        <is>
          <t>MPSES</t>
        </is>
      </c>
      <c r="C2509" t="inlineStr">
        <is>
          <t>Director of Communications</t>
        </is>
      </c>
      <c r="D2509" t="inlineStr">
        <is>
          <t>Directrice des communications</t>
        </is>
      </c>
      <c r="E2509" t="inlineStr">
        <is>
          <t>Annie Cullinan</t>
        </is>
      </c>
      <c r="F2509" t="inlineStr">
        <is>
          <t xml:space="preserve">To support the Minister in attending an Atlantic Outreach </t>
        </is>
      </c>
      <c r="G2509" t="inlineStr">
        <is>
          <t>Soutenir le ministre lors d'une activité de sensibilisation dans la région de l'Atlantique</t>
        </is>
      </c>
      <c r="H2509" s="1" t="n">
        <v>45839</v>
      </c>
      <c r="I2509" s="1" t="n">
        <v>45843</v>
      </c>
      <c r="J2509" t="inlineStr">
        <is>
          <t>Charlottetown, Prince Edward Island, Canada</t>
        </is>
      </c>
      <c r="K2509" t="inlineStr">
        <is>
          <t>Charlottetown, Île-du-Prince-Édouard, Canada</t>
        </is>
      </c>
      <c r="L2509" t="inlineStr">
        <is>
          <t>Fredericton, New Brunswick, Canada</t>
        </is>
      </c>
      <c r="M2509" t="inlineStr">
        <is>
          <t>Fredericton, Nouveau-Brunswick, Canada</t>
        </is>
      </c>
      <c r="N2509" t="inlineStr">
        <is>
          <t>Amherst, Nova Scotia, Canada</t>
        </is>
      </c>
      <c r="O2509" t="inlineStr">
        <is>
          <t>Amherst, Nouvelle-Écosse, Canada</t>
        </is>
      </c>
      <c r="P2509" t="n">
        <v>1294.83</v>
      </c>
      <c r="Q2509" t="n">
        <v>98.70999999999999</v>
      </c>
      <c r="R2509" t="n">
        <v>1173.87</v>
      </c>
      <c r="S2509" t="n">
        <v>342.4</v>
      </c>
      <c r="T2509" t="n">
        <v>0</v>
      </c>
      <c r="U2509" t="n">
        <v>2909.81</v>
      </c>
      <c r="X2509" t="inlineStr">
        <is>
          <t>aafc-aac</t>
        </is>
      </c>
      <c r="Y2509" t="inlineStr">
        <is>
          <t>Agriculture and Agri-Food Canada | Agriculture et Agroalimentaire Canada</t>
        </is>
      </c>
    </row>
    <row r="2510">
      <c r="A2510" t="inlineStr">
        <is>
          <t>T-AAFC-2026-P04-005</t>
        </is>
      </c>
      <c r="B2510" t="inlineStr">
        <is>
          <t>MPSES</t>
        </is>
      </c>
      <c r="C2510" t="inlineStr">
        <is>
          <t>Director of Communications</t>
        </is>
      </c>
      <c r="D2510" t="inlineStr">
        <is>
          <t>Directrice des communications</t>
        </is>
      </c>
      <c r="E2510" t="inlineStr">
        <is>
          <t>Annie Cullinan</t>
        </is>
      </c>
      <c r="F2510" t="inlineStr">
        <is>
          <t>To support the Minister in attending the Calgary Stampede</t>
        </is>
      </c>
      <c r="G2510" t="inlineStr">
        <is>
          <t>Soutenir le ministre à assister au Stampede de Calgary</t>
        </is>
      </c>
      <c r="H2510" s="1" t="n">
        <v>45845</v>
      </c>
      <c r="I2510" s="1" t="n">
        <v>45849</v>
      </c>
      <c r="J2510" t="inlineStr">
        <is>
          <t>Calgary, Alberta, Canada</t>
        </is>
      </c>
      <c r="K2510" t="inlineStr">
        <is>
          <t>Calgary, Alberta, Canada</t>
        </is>
      </c>
      <c r="P2510" t="n">
        <v>1881.7</v>
      </c>
      <c r="Q2510" t="n">
        <v>51.49</v>
      </c>
      <c r="R2510" t="n">
        <v>2943.96</v>
      </c>
      <c r="S2510" t="n">
        <v>484.3</v>
      </c>
      <c r="T2510" t="n">
        <v>0</v>
      </c>
      <c r="U2510" t="n">
        <v>5361.45</v>
      </c>
      <c r="X2510" t="inlineStr">
        <is>
          <t>aafc-aac</t>
        </is>
      </c>
      <c r="Y2510" t="inlineStr">
        <is>
          <t>Agriculture and Agri-Food Canada | Agriculture et Agroalimentaire Canada</t>
        </is>
      </c>
    </row>
    <row r="2511">
      <c r="A2511" t="inlineStr">
        <is>
          <t>T-AAFC-2026-P04-006</t>
        </is>
      </c>
      <c r="B2511" t="inlineStr">
        <is>
          <t>MPSES</t>
        </is>
      </c>
      <c r="C2511" t="inlineStr">
        <is>
          <t>Director of Communications</t>
        </is>
      </c>
      <c r="D2511" t="inlineStr">
        <is>
          <t>Directrice des communications</t>
        </is>
      </c>
      <c r="E2511" t="inlineStr">
        <is>
          <t>Annie Cullinan</t>
        </is>
      </c>
      <c r="F2511" t="inlineStr">
        <is>
          <t>Visa Photo</t>
        </is>
      </c>
      <c r="G2511" t="inlineStr">
        <is>
          <t>Photo pour Visa</t>
        </is>
      </c>
      <c r="H2511" s="1" t="n">
        <v>45852</v>
      </c>
      <c r="I2511" s="1" t="n">
        <v>45852</v>
      </c>
      <c r="J2511" t="inlineStr">
        <is>
          <t>Ottawa, Ontario, Canada</t>
        </is>
      </c>
      <c r="K2511" t="inlineStr">
        <is>
          <t>Ottawa, Ontario, Canada</t>
        </is>
      </c>
      <c r="P2511" t="n">
        <v>0</v>
      </c>
      <c r="Q2511" t="n">
        <v>0</v>
      </c>
      <c r="R2511" t="n">
        <v>0</v>
      </c>
      <c r="S2511" t="n">
        <v>0</v>
      </c>
      <c r="T2511" t="n">
        <v>49.72</v>
      </c>
      <c r="U2511" t="n">
        <v>49.72</v>
      </c>
      <c r="X2511" t="inlineStr">
        <is>
          <t>aafc-aac</t>
        </is>
      </c>
      <c r="Y2511" t="inlineStr">
        <is>
          <t>Agriculture and Agri-Food Canada | Agriculture et Agroalimentaire Canada</t>
        </is>
      </c>
    </row>
    <row r="2512">
      <c r="A2512" t="inlineStr">
        <is>
          <t>T-AAFC-2026-P04-007</t>
        </is>
      </c>
      <c r="B2512" t="inlineStr">
        <is>
          <t>MPSES</t>
        </is>
      </c>
      <c r="C2512" t="inlineStr">
        <is>
          <t>Director of Communications</t>
        </is>
      </c>
      <c r="D2512" t="inlineStr">
        <is>
          <t>Directrice des communications</t>
        </is>
      </c>
      <c r="E2512" t="inlineStr">
        <is>
          <t>Annie Cullinan</t>
        </is>
      </c>
      <c r="F2512" t="inlineStr">
        <is>
          <t>To support the Minister in attending meetings</t>
        </is>
      </c>
      <c r="G2512" t="inlineStr">
        <is>
          <t>Soutenir le ministre lors de réunions</t>
        </is>
      </c>
      <c r="H2512" s="1" t="n">
        <v>45860</v>
      </c>
      <c r="I2512" s="1" t="n">
        <v>45862</v>
      </c>
      <c r="J2512" t="inlineStr">
        <is>
          <t>Charlottetown, Price Edward Island, Canada</t>
        </is>
      </c>
      <c r="K2512" t="inlineStr">
        <is>
          <t>Charlottetown, Île-du-Prince-Édouard, Canada</t>
        </is>
      </c>
      <c r="P2512" t="n">
        <v>1365.08</v>
      </c>
      <c r="Q2512" t="n">
        <v>91.98</v>
      </c>
      <c r="R2512" t="n">
        <v>700.92</v>
      </c>
      <c r="S2512" t="n">
        <v>283.7</v>
      </c>
      <c r="T2512" t="n">
        <v>0</v>
      </c>
      <c r="U2512" t="n">
        <v>2441.68</v>
      </c>
      <c r="X2512" t="inlineStr">
        <is>
          <t>aafc-aac</t>
        </is>
      </c>
      <c r="Y2512" t="inlineStr">
        <is>
          <t>Agriculture and Agri-Food Canada | Agriculture et Agroalimentaire Canada</t>
        </is>
      </c>
    </row>
    <row r="2513">
      <c r="A2513" t="inlineStr">
        <is>
          <t>T-AAFC-2026-P04-008</t>
        </is>
      </c>
      <c r="B2513" t="inlineStr">
        <is>
          <t>MPSES</t>
        </is>
      </c>
      <c r="C2513" t="inlineStr">
        <is>
          <t>Director of Parliamentary Affairs</t>
        </is>
      </c>
      <c r="D2513" t="inlineStr">
        <is>
          <t>Directeur des affaires parlementaires</t>
        </is>
      </c>
      <c r="E2513" t="inlineStr">
        <is>
          <t>Bradley Henstock</t>
        </is>
      </c>
      <c r="F2513" t="inlineStr">
        <is>
          <t>To support the Minister in attending a tour and meetings</t>
        </is>
      </c>
      <c r="G2513" t="inlineStr">
        <is>
          <t>Soutenir le ministre lors d'une visite et de réunions</t>
        </is>
      </c>
      <c r="H2513" s="1" t="n">
        <v>45858</v>
      </c>
      <c r="I2513" s="1" t="n">
        <v>45860</v>
      </c>
      <c r="J2513" t="inlineStr">
        <is>
          <t>Toronto, Ontario, Canada</t>
        </is>
      </c>
      <c r="K2513" t="inlineStr">
        <is>
          <t>Toronto, Ontario, Canada</t>
        </is>
      </c>
      <c r="P2513" t="n">
        <v>1183.93</v>
      </c>
      <c r="Q2513" t="n">
        <v>69.01000000000001</v>
      </c>
      <c r="R2513" t="n">
        <v>733.1799999999999</v>
      </c>
      <c r="S2513" t="n">
        <v>199.6</v>
      </c>
      <c r="T2513" t="n">
        <v>0</v>
      </c>
      <c r="U2513" t="n">
        <v>2185.72</v>
      </c>
      <c r="X2513" t="inlineStr">
        <is>
          <t>aafc-aac</t>
        </is>
      </c>
      <c r="Y2513" t="inlineStr">
        <is>
          <t>Agriculture and Agri-Food Canada | Agriculture et Agroalimentaire Canada</t>
        </is>
      </c>
    </row>
    <row r="2514">
      <c r="A2514" t="inlineStr">
        <is>
          <t>T-AAFC-2026-P04-009</t>
        </is>
      </c>
      <c r="B2514" t="inlineStr">
        <is>
          <t>MPSES</t>
        </is>
      </c>
      <c r="C2514" t="inlineStr">
        <is>
          <t>Chief of Staff</t>
        </is>
      </c>
      <c r="D2514" t="inlineStr">
        <is>
          <t>Chef de Cabinet</t>
        </is>
      </c>
      <c r="E2514" t="inlineStr">
        <is>
          <t>Guy Gallant</t>
        </is>
      </c>
      <c r="F2514" t="inlineStr">
        <is>
          <t>To support the Minister in attending meetings with the Mexican Ambassador and the Indonesian Minister</t>
        </is>
      </c>
      <c r="G2514" t="inlineStr">
        <is>
          <t>Soutenir le ministre lors de ses réunions avec l'ambassadeur du Mexique et le ministre indonésien</t>
        </is>
      </c>
      <c r="H2514" s="1" t="n">
        <v>45834</v>
      </c>
      <c r="I2514" s="1" t="n">
        <v>45835</v>
      </c>
      <c r="J2514" t="inlineStr">
        <is>
          <t>Charlottetown, Prince Edward Island, Canada</t>
        </is>
      </c>
      <c r="K2514" t="inlineStr">
        <is>
          <t>Charlottetown, Île-du-Prince-Édouard, Canada</t>
        </is>
      </c>
      <c r="P2514" t="n">
        <v>1340.38</v>
      </c>
      <c r="Q2514" t="n">
        <v>26.4</v>
      </c>
      <c r="R2514" t="n">
        <v>542.5</v>
      </c>
      <c r="S2514" t="n">
        <v>85.09999999999999</v>
      </c>
      <c r="T2514" t="n">
        <v>0</v>
      </c>
      <c r="U2514" t="n">
        <v>1994.38</v>
      </c>
      <c r="X2514" t="inlineStr">
        <is>
          <t>aafc-aac</t>
        </is>
      </c>
      <c r="Y2514" t="inlineStr">
        <is>
          <t>Agriculture and Agri-Food Canada | Agriculture et Agroalimentaire Canada</t>
        </is>
      </c>
    </row>
    <row r="2515">
      <c r="A2515" t="inlineStr">
        <is>
          <t>T-AAFC-2026-P04-010</t>
        </is>
      </c>
      <c r="B2515" t="inlineStr">
        <is>
          <t>MPSES</t>
        </is>
      </c>
      <c r="C2515" t="inlineStr">
        <is>
          <t>Chief of Staff</t>
        </is>
      </c>
      <c r="D2515" t="inlineStr">
        <is>
          <t>Chef de Cabinet</t>
        </is>
      </c>
      <c r="E2515" t="inlineStr">
        <is>
          <t>Guy Gallant</t>
        </is>
      </c>
      <c r="F2515" t="inlineStr">
        <is>
          <t>Passport Photo</t>
        </is>
      </c>
      <c r="G2515" t="inlineStr">
        <is>
          <t>Photo de passport</t>
        </is>
      </c>
      <c r="H2515" s="1" t="n">
        <v>45842</v>
      </c>
      <c r="I2515" s="1" t="n">
        <v>45842</v>
      </c>
      <c r="J2515" t="inlineStr">
        <is>
          <t>Ottawa, Ontario, Canada</t>
        </is>
      </c>
      <c r="K2515" t="inlineStr">
        <is>
          <t>Ottawa, Ontario, Canada</t>
        </is>
      </c>
      <c r="P2515" t="n">
        <v>0</v>
      </c>
      <c r="Q2515" t="n">
        <v>0</v>
      </c>
      <c r="R2515" t="n">
        <v>0</v>
      </c>
      <c r="S2515" t="n">
        <v>0</v>
      </c>
      <c r="T2515" t="n">
        <v>28.24</v>
      </c>
      <c r="U2515" t="n">
        <v>28.24</v>
      </c>
      <c r="X2515" t="inlineStr">
        <is>
          <t>aafc-aac</t>
        </is>
      </c>
      <c r="Y2515" t="inlineStr">
        <is>
          <t>Agriculture and Agri-Food Canada | Agriculture et Agroalimentaire Canada</t>
        </is>
      </c>
    </row>
    <row r="2516">
      <c r="A2516" t="inlineStr">
        <is>
          <t>T-AAFC-2026-P04-011</t>
        </is>
      </c>
      <c r="B2516" t="inlineStr">
        <is>
          <t>MPSES</t>
        </is>
      </c>
      <c r="C2516" t="inlineStr">
        <is>
          <t>Chief of Staff</t>
        </is>
      </c>
      <c r="D2516" t="inlineStr">
        <is>
          <t>Chef de Cabinet</t>
        </is>
      </c>
      <c r="E2516" t="inlineStr">
        <is>
          <t>Guy Gallant</t>
        </is>
      </c>
      <c r="F2516" t="inlineStr">
        <is>
          <t>Visa Photo</t>
        </is>
      </c>
      <c r="G2516" t="inlineStr">
        <is>
          <t>Photo pour Visa</t>
        </is>
      </c>
      <c r="H2516" s="1" t="n">
        <v>45852</v>
      </c>
      <c r="I2516" s="1" t="n">
        <v>45852</v>
      </c>
      <c r="J2516" t="inlineStr">
        <is>
          <t>Ottawa, Ontario, Canada</t>
        </is>
      </c>
      <c r="K2516" t="inlineStr">
        <is>
          <t>Ottawa, Ontario, Canada</t>
        </is>
      </c>
      <c r="P2516" t="n">
        <v>0</v>
      </c>
      <c r="Q2516" t="n">
        <v>0</v>
      </c>
      <c r="R2516" t="n">
        <v>0</v>
      </c>
      <c r="S2516" t="n">
        <v>0</v>
      </c>
      <c r="T2516" t="n">
        <v>49.72</v>
      </c>
      <c r="U2516" t="n">
        <v>49.72</v>
      </c>
      <c r="X2516" t="inlineStr">
        <is>
          <t>aafc-aac</t>
        </is>
      </c>
      <c r="Y2516" t="inlineStr">
        <is>
          <t>Agriculture and Agri-Food Canada | Agriculture et Agroalimentaire Canada</t>
        </is>
      </c>
    </row>
    <row r="2517">
      <c r="A2517" t="inlineStr">
        <is>
          <t>T-AAFC-2026-P04-012</t>
        </is>
      </c>
      <c r="B2517" t="inlineStr">
        <is>
          <t>MPSES</t>
        </is>
      </c>
      <c r="C2517" t="inlineStr">
        <is>
          <t>Chief of Staff</t>
        </is>
      </c>
      <c r="D2517" t="inlineStr">
        <is>
          <t>Chef de Cabinet</t>
        </is>
      </c>
      <c r="E2517" t="inlineStr">
        <is>
          <t>Guy Gallant</t>
        </is>
      </c>
      <c r="F2517" t="inlineStr">
        <is>
          <t>To support the Minister in attending the Cabinet, Ministerial, Deputy Minister, and Federal-Provincial-Territorial meetings.</t>
        </is>
      </c>
      <c r="G2517" t="inlineStr">
        <is>
          <t>Soutenir le Ministre lors de sa participation aux réunions du Cabinet, des Ministres, des Sous-ministres et des rencontres fédérales-provinciales-territoriales.</t>
        </is>
      </c>
      <c r="H2517" s="1" t="n">
        <v>45853</v>
      </c>
      <c r="I2517" s="1" t="n">
        <v>45856</v>
      </c>
      <c r="J2517" t="inlineStr">
        <is>
          <t>Charlottetown, Price Edward Island, Canada</t>
        </is>
      </c>
      <c r="K2517" t="inlineStr">
        <is>
          <t>Charlottetown, Île-du-Prince-Édouard, Canada</t>
        </is>
      </c>
      <c r="P2517" t="n">
        <v>695.25</v>
      </c>
      <c r="Q2517" t="n">
        <v>26.4</v>
      </c>
      <c r="R2517" t="n">
        <v>955.89</v>
      </c>
      <c r="S2517" t="n">
        <v>396.3</v>
      </c>
      <c r="T2517" t="n">
        <v>0</v>
      </c>
      <c r="U2517" t="n">
        <v>2073.84</v>
      </c>
      <c r="X2517" t="inlineStr">
        <is>
          <t>aafc-aac</t>
        </is>
      </c>
      <c r="Y2517" t="inlineStr">
        <is>
          <t>Agriculture and Agri-Food Canada | Agriculture et Agroalimentaire Canada</t>
        </is>
      </c>
    </row>
    <row r="2518">
      <c r="A2518" t="inlineStr">
        <is>
          <t>T-AAFC-2026-P04-013</t>
        </is>
      </c>
      <c r="B2518" t="inlineStr">
        <is>
          <t>MPSES</t>
        </is>
      </c>
      <c r="C2518" t="inlineStr">
        <is>
          <t>Chief of Staff</t>
        </is>
      </c>
      <c r="D2518" t="inlineStr">
        <is>
          <t>Chef de Cabinet</t>
        </is>
      </c>
      <c r="E2518" t="inlineStr">
        <is>
          <t>Guy Gallant</t>
        </is>
      </c>
      <c r="F2518" t="inlineStr">
        <is>
          <t>To support the Minister in attending a tour and meetings</t>
        </is>
      </c>
      <c r="G2518" t="inlineStr">
        <is>
          <t>Soutenir le ministre lors d'une visite et de réunions</t>
        </is>
      </c>
      <c r="H2518" s="1" t="n">
        <v>45858</v>
      </c>
      <c r="I2518" s="1" t="n">
        <v>45860</v>
      </c>
      <c r="J2518" t="inlineStr">
        <is>
          <t>Toronto, Ontario, Canada</t>
        </is>
      </c>
      <c r="K2518" t="inlineStr">
        <is>
          <t>Toronto, Ontario, Canada</t>
        </is>
      </c>
      <c r="P2518" t="n">
        <v>1710.35</v>
      </c>
      <c r="Q2518" t="n">
        <v>21.77</v>
      </c>
      <c r="R2518" t="n">
        <v>733.1799999999999</v>
      </c>
      <c r="S2518" t="n">
        <v>199.6</v>
      </c>
      <c r="T2518" t="n">
        <v>0</v>
      </c>
      <c r="U2518" t="n">
        <v>2664.9</v>
      </c>
      <c r="X2518" t="inlineStr">
        <is>
          <t>aafc-aac</t>
        </is>
      </c>
      <c r="Y2518" t="inlineStr">
        <is>
          <t>Agriculture and Agri-Food Canada | Agriculture et Agroalimentaire Canada</t>
        </is>
      </c>
    </row>
    <row r="2519">
      <c r="A2519" t="inlineStr">
        <is>
          <t>T-AAFC-2026-P04-014</t>
        </is>
      </c>
      <c r="B2519" t="inlineStr">
        <is>
          <t>MPSES</t>
        </is>
      </c>
      <c r="C2519" t="inlineStr">
        <is>
          <t>Chief of Staff</t>
        </is>
      </c>
      <c r="D2519" t="inlineStr">
        <is>
          <t>Chef de Cabinet</t>
        </is>
      </c>
      <c r="E2519" t="inlineStr">
        <is>
          <t>Guy Gallant</t>
        </is>
      </c>
      <c r="F2519" t="inlineStr">
        <is>
          <t>To support the Minister in attending meetings with the Prime Minister</t>
        </is>
      </c>
      <c r="G2519" t="inlineStr">
        <is>
          <t>Soutenir le ministre lors de réunions avec le Premier Ministre</t>
        </is>
      </c>
      <c r="H2519" s="1" t="n">
        <v>45860</v>
      </c>
      <c r="I2519" s="1" t="n">
        <v>45866</v>
      </c>
      <c r="J2519" t="inlineStr">
        <is>
          <t>Charlottetown, Price Edward Island, Canada</t>
        </is>
      </c>
      <c r="K2519" t="inlineStr">
        <is>
          <t>Charlottetown, Île-du-Prince-Édouard, Canada</t>
        </is>
      </c>
      <c r="P2519" t="n">
        <v>1001.07</v>
      </c>
      <c r="Q2519" t="n">
        <v>0</v>
      </c>
      <c r="R2519" t="n">
        <v>839.8099999999999</v>
      </c>
      <c r="S2519" t="n">
        <v>340.5</v>
      </c>
      <c r="T2519" t="n">
        <v>0</v>
      </c>
      <c r="U2519" t="n">
        <v>2181.38</v>
      </c>
      <c r="X2519" t="inlineStr">
        <is>
          <t>aafc-aac</t>
        </is>
      </c>
      <c r="Y2519" t="inlineStr">
        <is>
          <t>Agriculture and Agri-Food Canada | Agriculture et Agroalimentaire Canada</t>
        </is>
      </c>
    </row>
    <row r="2520">
      <c r="A2520" t="inlineStr">
        <is>
          <t>T-AAFC-2026-P04-015</t>
        </is>
      </c>
      <c r="B2520" t="inlineStr">
        <is>
          <t>MPSES</t>
        </is>
      </c>
      <c r="C2520" t="inlineStr">
        <is>
          <t>Senior Advisor</t>
        </is>
      </c>
      <c r="D2520" t="inlineStr">
        <is>
          <t>Conseillère principale</t>
        </is>
      </c>
      <c r="E2520" t="inlineStr">
        <is>
          <t>Serena Smith</t>
        </is>
      </c>
      <c r="F2520" t="inlineStr">
        <is>
          <t>To support the Minister in attending meetings with the Mexican Ambassador and the Indonesian Minister</t>
        </is>
      </c>
      <c r="G2520" t="inlineStr">
        <is>
          <t>Soutenir le ministre lors de ses réunions avec l'ambassadeur du Mexique et le ministre indonésien</t>
        </is>
      </c>
      <c r="H2520" s="1" t="n">
        <v>45834</v>
      </c>
      <c r="I2520" s="1" t="n">
        <v>45835</v>
      </c>
      <c r="J2520" t="inlineStr">
        <is>
          <t>Charlottetown, Prince Edward Island, Canada</t>
        </is>
      </c>
      <c r="K2520" t="inlineStr">
        <is>
          <t>Charlottetown, Île-du-Prince-Édouard, Canada</t>
        </is>
      </c>
      <c r="P2520" t="n">
        <v>0</v>
      </c>
      <c r="Q2520" t="n">
        <v>0</v>
      </c>
      <c r="R2520" t="n">
        <v>271.25</v>
      </c>
      <c r="S2520" t="n">
        <v>112.5</v>
      </c>
      <c r="T2520" t="n">
        <v>0</v>
      </c>
      <c r="U2520" t="n">
        <v>383.75</v>
      </c>
      <c r="X2520" t="inlineStr">
        <is>
          <t>aafc-aac</t>
        </is>
      </c>
      <c r="Y2520" t="inlineStr">
        <is>
          <t>Agriculture and Agri-Food Canada | Agriculture et Agroalimentaire Canada</t>
        </is>
      </c>
    </row>
    <row r="2521">
      <c r="A2521" t="inlineStr">
        <is>
          <t>T-AAFC-2026-P04-016</t>
        </is>
      </c>
      <c r="B2521" t="inlineStr">
        <is>
          <t>MPSES</t>
        </is>
      </c>
      <c r="C2521" t="inlineStr">
        <is>
          <t>Senior Advisor</t>
        </is>
      </c>
      <c r="D2521" t="inlineStr">
        <is>
          <t>Conseillère principale</t>
        </is>
      </c>
      <c r="E2521" t="inlineStr">
        <is>
          <t>Serena Smith</t>
        </is>
      </c>
      <c r="F2521" t="inlineStr">
        <is>
          <t>To support the Minister in attending a tour and meetings</t>
        </is>
      </c>
      <c r="G2521" t="inlineStr">
        <is>
          <t>Soutenir le ministre lors d'une visite et de réunions</t>
        </is>
      </c>
      <c r="H2521" s="1" t="n">
        <v>45858</v>
      </c>
      <c r="I2521" s="1" t="n">
        <v>45860</v>
      </c>
      <c r="J2521" t="inlineStr">
        <is>
          <t>Toronto, Ontario, Canada</t>
        </is>
      </c>
      <c r="K2521" t="inlineStr">
        <is>
          <t>Toronto, Ontario, Canada</t>
        </is>
      </c>
      <c r="P2521" t="n">
        <v>533.77</v>
      </c>
      <c r="Q2521" t="n">
        <v>24.02</v>
      </c>
      <c r="R2521" t="n">
        <v>733.1799999999999</v>
      </c>
      <c r="S2521" t="n">
        <v>227</v>
      </c>
      <c r="T2521" t="n">
        <v>0</v>
      </c>
      <c r="U2521" t="n">
        <v>1517.97</v>
      </c>
      <c r="X2521" t="inlineStr">
        <is>
          <t>aafc-aac</t>
        </is>
      </c>
      <c r="Y2521" t="inlineStr">
        <is>
          <t>Agriculture and Agri-Food Canada | Agriculture et Agroalimentaire Canada</t>
        </is>
      </c>
    </row>
    <row r="2522">
      <c r="A2522" t="inlineStr">
        <is>
          <t>T-AAFC-2026-P04-017</t>
        </is>
      </c>
      <c r="B2522" t="inlineStr">
        <is>
          <t>MPSES</t>
        </is>
      </c>
      <c r="C2522" t="inlineStr">
        <is>
          <t>Atlantic Regional Advisor</t>
        </is>
      </c>
      <c r="D2522" t="inlineStr">
        <is>
          <t>Conseiller régional de l'Atlantique</t>
        </is>
      </c>
      <c r="E2522" t="inlineStr">
        <is>
          <t>Jake Godfrey</t>
        </is>
      </c>
      <c r="F2522" t="inlineStr">
        <is>
          <t xml:space="preserve">To support the Minister in attending an Atlantic Outreach </t>
        </is>
      </c>
      <c r="G2522" t="inlineStr">
        <is>
          <t>Soutenir le ministre lors d'une activité de sensibilisation dans la région de l'Atlantique</t>
        </is>
      </c>
      <c r="H2522" s="1" t="n">
        <v>45837</v>
      </c>
      <c r="I2522" s="1" t="n">
        <v>45844</v>
      </c>
      <c r="J2522" t="inlineStr">
        <is>
          <t>Charlottetown, Prince Edward Island, Canada</t>
        </is>
      </c>
      <c r="K2522" t="inlineStr">
        <is>
          <t>Charlottetown, Île-du-Prince-Édouard, Canada</t>
        </is>
      </c>
      <c r="L2522" t="inlineStr">
        <is>
          <t>Fredericton, New Brunswick, Canada</t>
        </is>
      </c>
      <c r="M2522" t="inlineStr">
        <is>
          <t>Fredericton, Nouveau-Brunswick, Canada</t>
        </is>
      </c>
      <c r="N2522" t="inlineStr">
        <is>
          <t>Amherst, Nova Scotia, Canada</t>
        </is>
      </c>
      <c r="O2522" t="inlineStr">
        <is>
          <t>Amherst, Nouvelle-Écosse, Canada</t>
        </is>
      </c>
      <c r="P2522" t="n">
        <v>1209.02</v>
      </c>
      <c r="Q2522" t="n">
        <v>442.02</v>
      </c>
      <c r="R2522" t="n">
        <v>556.89</v>
      </c>
      <c r="S2522" t="n">
        <v>284.7</v>
      </c>
      <c r="T2522" t="n">
        <v>0</v>
      </c>
      <c r="U2522" t="n">
        <v>2492.63</v>
      </c>
      <c r="X2522" t="inlineStr">
        <is>
          <t>aafc-aac</t>
        </is>
      </c>
      <c r="Y2522" t="inlineStr">
        <is>
          <t>Agriculture and Agri-Food Canada | Agriculture et Agroalimentaire Canada</t>
        </is>
      </c>
    </row>
    <row r="2523">
      <c r="A2523" t="inlineStr">
        <is>
          <t>T-AAFC-2026-P04-018</t>
        </is>
      </c>
      <c r="B2523" t="inlineStr">
        <is>
          <t>MPSES</t>
        </is>
      </c>
      <c r="C2523" t="inlineStr">
        <is>
          <t xml:space="preserve">Director of Operations  </t>
        </is>
      </c>
      <c r="D2523" t="inlineStr">
        <is>
          <t>Directrice des opérations</t>
        </is>
      </c>
      <c r="E2523" t="inlineStr">
        <is>
          <t>Mikaela Harrison</t>
        </is>
      </c>
      <c r="F2523" t="inlineStr">
        <is>
          <t>To support the Minister in attending the Calgary Stampede</t>
        </is>
      </c>
      <c r="G2523" t="inlineStr">
        <is>
          <t>Soutenir le ministre à assister au Stampede de Calgary</t>
        </is>
      </c>
      <c r="H2523" s="1" t="n">
        <v>45845</v>
      </c>
      <c r="I2523" s="1" t="n">
        <v>45849</v>
      </c>
      <c r="J2523" t="inlineStr">
        <is>
          <t>Calgary, Alberta, Canada</t>
        </is>
      </c>
      <c r="K2523" t="inlineStr">
        <is>
          <t>Calgary, Alberta, Canada</t>
        </is>
      </c>
      <c r="P2523" t="n">
        <v>1881.7</v>
      </c>
      <c r="Q2523" t="n">
        <v>76.42</v>
      </c>
      <c r="R2523" t="n">
        <v>2943.96</v>
      </c>
      <c r="S2523" t="n">
        <v>484.3</v>
      </c>
      <c r="T2523" t="n">
        <v>0</v>
      </c>
      <c r="U2523" t="n">
        <v>5386.38</v>
      </c>
      <c r="X2523" t="inlineStr">
        <is>
          <t>aafc-aac</t>
        </is>
      </c>
      <c r="Y2523" t="inlineStr">
        <is>
          <t>Agriculture and Agri-Food Canada | Agriculture et Agroalimentaire Canada</t>
        </is>
      </c>
    </row>
    <row r="2524">
      <c r="A2524" t="inlineStr">
        <is>
          <t>T-AAFC-2026-P04-019</t>
        </is>
      </c>
      <c r="B2524" t="inlineStr">
        <is>
          <t>MPSES</t>
        </is>
      </c>
      <c r="C2524" t="inlineStr">
        <is>
          <t xml:space="preserve">Director of Operations  </t>
        </is>
      </c>
      <c r="D2524" t="inlineStr">
        <is>
          <t>Directrice des opérations</t>
        </is>
      </c>
      <c r="E2524" t="inlineStr">
        <is>
          <t>Mikaela Harrison</t>
        </is>
      </c>
      <c r="F2524" t="inlineStr">
        <is>
          <t>To support the Minister in attending the Cabinet, Ministerial, Deputy Minister, and Federal-Provincial-Territorial meetings.</t>
        </is>
      </c>
      <c r="G2524" t="inlineStr">
        <is>
          <t>Soutenir le Ministre lors de sa participation aux réunions du Cabinet, des Ministres, des Sous-ministres et des rencontres fédérales-provinciales-territoriales.</t>
        </is>
      </c>
      <c r="H2524" s="1" t="n">
        <v>45854</v>
      </c>
      <c r="I2524" s="1" t="n">
        <v>45856</v>
      </c>
      <c r="J2524" t="inlineStr">
        <is>
          <t>Charlottetown, Price Edward Island, Canada</t>
        </is>
      </c>
      <c r="K2524" t="inlineStr">
        <is>
          <t>Charlottetown, Île-du-Prince-Édouard, Canada</t>
        </is>
      </c>
      <c r="P2524" t="n">
        <v>1060.98</v>
      </c>
      <c r="Q2524" t="n">
        <v>132.63</v>
      </c>
      <c r="R2524" t="n">
        <v>637.26</v>
      </c>
      <c r="S2524" t="n">
        <v>254.4</v>
      </c>
      <c r="T2524" t="n">
        <v>0</v>
      </c>
      <c r="U2524" t="n">
        <v>2085.27</v>
      </c>
      <c r="X2524" t="inlineStr">
        <is>
          <t>aafc-aac</t>
        </is>
      </c>
      <c r="Y2524" t="inlineStr">
        <is>
          <t>Agriculture and Agri-Food Canada | Agriculture et Agroalimentaire Canada</t>
        </is>
      </c>
    </row>
    <row r="2525">
      <c r="A2525" t="inlineStr">
        <is>
          <t>T-AAFC-2026-P04-020</t>
        </is>
      </c>
      <c r="B2525" t="inlineStr">
        <is>
          <t>MPSES</t>
        </is>
      </c>
      <c r="C2525" t="inlineStr">
        <is>
          <t>Deputy Minister</t>
        </is>
      </c>
      <c r="D2525" t="inlineStr">
        <is>
          <t>Sous-Ministre</t>
        </is>
      </c>
      <c r="E2525" t="inlineStr">
        <is>
          <t>Lawrence Hanson</t>
        </is>
      </c>
      <c r="F2525" t="inlineStr">
        <is>
          <t xml:space="preserve">To attend an Atlantic Outreach </t>
        </is>
      </c>
      <c r="G2525" t="inlineStr">
        <is>
          <t>Participer à une activité de sensibilisation dans la région de l'Atlantique</t>
        </is>
      </c>
      <c r="H2525" s="1" t="n">
        <v>45839</v>
      </c>
      <c r="I2525" s="1" t="n">
        <v>45842</v>
      </c>
      <c r="J2525" t="inlineStr">
        <is>
          <t>Charlottetown, Prince Edward Island, Canada</t>
        </is>
      </c>
      <c r="K2525" t="inlineStr">
        <is>
          <t>Charlottetown, Île-du-Prince-Édouard, Canada</t>
        </is>
      </c>
      <c r="L2525" t="inlineStr">
        <is>
          <t>Fredericton, New Brunswick, Canada</t>
        </is>
      </c>
      <c r="M2525" t="inlineStr">
        <is>
          <t>Fredericton, Nouveau-Brunswick, Canada</t>
        </is>
      </c>
      <c r="N2525" t="inlineStr">
        <is>
          <t>Amherst, Nova Scotia, Canada</t>
        </is>
      </c>
      <c r="O2525" t="inlineStr">
        <is>
          <t>Amherst, Nouvelle-Écosse, Canada</t>
        </is>
      </c>
      <c r="P2525" t="n">
        <v>1121.02</v>
      </c>
      <c r="Q2525" t="n">
        <v>28.68</v>
      </c>
      <c r="R2525" t="n">
        <v>851.55</v>
      </c>
      <c r="S2525" t="n">
        <v>409.7</v>
      </c>
      <c r="T2525" t="n">
        <v>0</v>
      </c>
      <c r="U2525" t="n">
        <v>2410.95</v>
      </c>
      <c r="X2525" t="inlineStr">
        <is>
          <t>aafc-aac</t>
        </is>
      </c>
      <c r="Y2525" t="inlineStr">
        <is>
          <t>Agriculture and Agri-Food Canada | Agriculture et Agroalimentaire Canada</t>
        </is>
      </c>
    </row>
    <row r="2526">
      <c r="A2526" t="inlineStr">
        <is>
          <t>T-AAFC-2026-P04-021</t>
        </is>
      </c>
      <c r="B2526" t="inlineStr">
        <is>
          <t>MPSES</t>
        </is>
      </c>
      <c r="C2526" t="inlineStr">
        <is>
          <t>Deputy Minister</t>
        </is>
      </c>
      <c r="D2526" t="inlineStr">
        <is>
          <t>Sous-Ministre</t>
        </is>
      </c>
      <c r="E2526" t="inlineStr">
        <is>
          <t>Lawrence Hanson</t>
        </is>
      </c>
      <c r="F2526" t="inlineStr">
        <is>
          <t>To attend the Calgary Stampede and an Outreach</t>
        </is>
      </c>
      <c r="G2526" t="inlineStr">
        <is>
          <t>Assister au Stampede de Calgary et à une activité de sensibilisation</t>
        </is>
      </c>
      <c r="H2526" s="1" t="n">
        <v>45845</v>
      </c>
      <c r="I2526" s="1" t="n">
        <v>45849</v>
      </c>
      <c r="J2526" t="inlineStr">
        <is>
          <t>Calgary, Alberta, Canada</t>
        </is>
      </c>
      <c r="K2526" t="inlineStr">
        <is>
          <t>Calgary, Alberta, Canada</t>
        </is>
      </c>
      <c r="P2526" t="n">
        <v>1162.64</v>
      </c>
      <c r="Q2526" t="n">
        <v>43.32</v>
      </c>
      <c r="R2526" t="n">
        <v>3652.47</v>
      </c>
      <c r="S2526" t="n">
        <v>512</v>
      </c>
      <c r="T2526" t="n">
        <v>0</v>
      </c>
      <c r="U2526" t="n">
        <v>5370.43</v>
      </c>
      <c r="X2526" t="inlineStr">
        <is>
          <t>aafc-aac</t>
        </is>
      </c>
      <c r="Y2526" t="inlineStr">
        <is>
          <t>Agriculture and Agri-Food Canada | Agriculture et Agroalimentaire Canada</t>
        </is>
      </c>
    </row>
    <row r="2527">
      <c r="A2527" t="inlineStr">
        <is>
          <t>T-AAFC-2026-P04-022</t>
        </is>
      </c>
      <c r="B2527" t="inlineStr">
        <is>
          <t>MPSES</t>
        </is>
      </c>
      <c r="C2527" t="inlineStr">
        <is>
          <t>Deputy Minister</t>
        </is>
      </c>
      <c r="D2527" t="inlineStr">
        <is>
          <t>Sous-Ministre</t>
        </is>
      </c>
      <c r="E2527" t="inlineStr">
        <is>
          <t>Lawrence Hanson</t>
        </is>
      </c>
      <c r="F2527" t="inlineStr">
        <is>
          <t>To join the Minister for an FPT Ministerial call and other briefings</t>
        </is>
      </c>
      <c r="G2527" t="inlineStr">
        <is>
          <t>Accompagner le Ministre à un appel ministériel FPT et à d’autres séances d’information.</t>
        </is>
      </c>
      <c r="H2527" s="1" t="n">
        <v>45854</v>
      </c>
      <c r="I2527" s="1" t="n">
        <v>45855</v>
      </c>
      <c r="J2527" t="inlineStr">
        <is>
          <t>Charlottetown, Price Edward Island, Canada</t>
        </is>
      </c>
      <c r="K2527" t="inlineStr">
        <is>
          <t>Charlottetown, Île-du-Prince-Édouard, Canada</t>
        </is>
      </c>
      <c r="P2527" t="n">
        <v>1220.91</v>
      </c>
      <c r="Q2527" t="n">
        <v>0</v>
      </c>
      <c r="R2527" t="n">
        <v>427.36</v>
      </c>
      <c r="S2527" t="n">
        <v>261.6</v>
      </c>
      <c r="T2527" t="n">
        <v>0</v>
      </c>
      <c r="U2527" t="n">
        <v>1909.87</v>
      </c>
      <c r="X2527" t="inlineStr">
        <is>
          <t>aafc-aac</t>
        </is>
      </c>
      <c r="Y2527" t="inlineStr">
        <is>
          <t>Agriculture and Agri-Food Canada | Agriculture et Agroalimentaire Canada</t>
        </is>
      </c>
    </row>
    <row r="2528">
      <c r="A2528" t="inlineStr">
        <is>
          <t>T-AAFC-2026-P04-023</t>
        </is>
      </c>
      <c r="B2528" t="inlineStr">
        <is>
          <t>MPSES</t>
        </is>
      </c>
      <c r="C2528" t="inlineStr">
        <is>
          <t xml:space="preserve">Corporate Secretary </t>
        </is>
      </c>
      <c r="D2528" t="inlineStr">
        <is>
          <t>Secrétaire générale</t>
        </is>
      </c>
      <c r="E2528" t="inlineStr">
        <is>
          <t>Tamara Abel</t>
        </is>
      </c>
      <c r="F2528" t="inlineStr">
        <is>
          <t>Operational activities</t>
        </is>
      </c>
      <c r="G2528" t="inlineStr">
        <is>
          <t>Activités opérationnelles</t>
        </is>
      </c>
      <c r="H2528" s="1" t="n">
        <v>45831</v>
      </c>
      <c r="I2528" s="1" t="n">
        <v>45834</v>
      </c>
      <c r="J2528" t="inlineStr">
        <is>
          <t>Ottawa, Ontario, Canada</t>
        </is>
      </c>
      <c r="K2528" t="inlineStr">
        <is>
          <t>Ottawa, Ontario, Canada</t>
        </is>
      </c>
      <c r="P2528" t="n">
        <v>780.2</v>
      </c>
      <c r="Q2528" t="n">
        <v>397.06</v>
      </c>
      <c r="R2528" t="n">
        <v>1018.65</v>
      </c>
      <c r="S2528" t="n">
        <v>523.2</v>
      </c>
      <c r="T2528" t="n">
        <v>0</v>
      </c>
      <c r="U2528" t="n">
        <v>2719.11</v>
      </c>
      <c r="X2528" t="inlineStr">
        <is>
          <t>aafc-aac</t>
        </is>
      </c>
      <c r="Y2528" t="inlineStr">
        <is>
          <t>Agriculture and Agri-Food Canada | Agriculture et Agroalimentaire Canada</t>
        </is>
      </c>
    </row>
    <row r="2529">
      <c r="A2529" t="inlineStr">
        <is>
          <t>T-AAFC-2026-P04-024</t>
        </is>
      </c>
      <c r="B2529" t="inlineStr">
        <is>
          <t>SLE</t>
        </is>
      </c>
      <c r="C2529" t="inlineStr">
        <is>
          <t>Chief Audit Executive</t>
        </is>
      </c>
      <c r="D2529" t="inlineStr">
        <is>
          <t>Dirigeant de la vérification</t>
        </is>
      </c>
      <c r="E2529" t="inlineStr">
        <is>
          <t>John Corbeil</t>
        </is>
      </c>
      <c r="F2529" t="inlineStr">
        <is>
          <t>To engage with a key stakeholder and obtain Continuing Professional Education credits required for his Certified Internal Auditor membership</t>
        </is>
      </c>
      <c r="G2529" t="inlineStr">
        <is>
          <t>Collaborer avec des parties prenantes et obtenir les crédits de formation professionnelle continue requis pour son adhésion en tant qu’auditeur interne certifié</t>
        </is>
      </c>
      <c r="H2529" s="1" t="n">
        <v>45850</v>
      </c>
      <c r="I2529" s="1" t="n">
        <v>45854</v>
      </c>
      <c r="J2529" t="inlineStr">
        <is>
          <t>Toronto, Ontario, Canada</t>
        </is>
      </c>
      <c r="K2529" t="inlineStr">
        <is>
          <t>Toronto, Ontario, Canada</t>
        </is>
      </c>
      <c r="P2529" t="n">
        <v>0</v>
      </c>
      <c r="Q2529" t="n">
        <v>419.73</v>
      </c>
      <c r="R2529" t="n">
        <v>1564.48</v>
      </c>
      <c r="S2529" t="n">
        <v>342.8</v>
      </c>
      <c r="T2529" t="n">
        <v>0</v>
      </c>
      <c r="U2529" t="n">
        <v>2327.01</v>
      </c>
      <c r="X2529" t="inlineStr">
        <is>
          <t>aafc-aac</t>
        </is>
      </c>
      <c r="Y2529" t="inlineStr">
        <is>
          <t>Agriculture and Agri-Food Canada | Agriculture et Agroalimentaire Canada</t>
        </is>
      </c>
    </row>
    <row r="2530">
      <c r="A2530" t="inlineStr">
        <is>
          <t>T-AAFC-2026-P04-025</t>
        </is>
      </c>
      <c r="B2530" t="inlineStr">
        <is>
          <t>SLE</t>
        </is>
      </c>
      <c r="C2530" t="inlineStr">
        <is>
          <t>Assistant Deputy Minister, Corporate Management Branch</t>
        </is>
      </c>
      <c r="D2530" t="inlineStr">
        <is>
          <t>Sous-ministre adjoint, Direction générale de la gestion intégrée</t>
        </is>
      </c>
      <c r="E2530" t="inlineStr">
        <is>
          <t>Alain Lagacé</t>
        </is>
      </c>
      <c r="F2530" t="inlineStr">
        <is>
          <t xml:space="preserve">To attend a meeting </t>
        </is>
      </c>
      <c r="G2530" t="inlineStr">
        <is>
          <t>Assister à une réunion</t>
        </is>
      </c>
      <c r="H2530" s="1" t="n">
        <v>45855</v>
      </c>
      <c r="I2530" s="1" t="n">
        <v>45855</v>
      </c>
      <c r="J2530" t="inlineStr">
        <is>
          <t>Ottawa, Ontario, Canada</t>
        </is>
      </c>
      <c r="K2530" t="inlineStr">
        <is>
          <t>Ottawa, Ontario, Canada</t>
        </is>
      </c>
      <c r="P2530" t="n">
        <v>0</v>
      </c>
      <c r="Q2530" t="n">
        <v>11</v>
      </c>
      <c r="R2530" t="n">
        <v>0</v>
      </c>
      <c r="S2530" t="n">
        <v>0</v>
      </c>
      <c r="T2530" t="n">
        <v>0</v>
      </c>
      <c r="U2530" t="n">
        <v>11</v>
      </c>
      <c r="X2530" t="inlineStr">
        <is>
          <t>aafc-aac</t>
        </is>
      </c>
      <c r="Y2530" t="inlineStr">
        <is>
          <t>Agriculture and Agri-Food Canada | Agriculture et Agroalimentaire Canada</t>
        </is>
      </c>
    </row>
    <row r="2531">
      <c r="A2531" t="inlineStr">
        <is>
          <t>T-AAFC-2026-P04-026</t>
        </is>
      </c>
      <c r="B2531" t="inlineStr">
        <is>
          <t>SLE</t>
        </is>
      </c>
      <c r="C2531" t="inlineStr">
        <is>
          <t>Assistant Deputy Minister, Corporate Management Branch</t>
        </is>
      </c>
      <c r="D2531" t="inlineStr">
        <is>
          <t>Sous-ministre adjoint, Direction générale de la gestion intégrée</t>
        </is>
      </c>
      <c r="E2531" t="inlineStr">
        <is>
          <t>Alain Lagacé</t>
        </is>
      </c>
      <c r="F2531" t="inlineStr">
        <is>
          <t>Vancouver outreach to visit Research Development Centres</t>
        </is>
      </c>
      <c r="G2531" t="inlineStr">
        <is>
          <t>Activité de sensibilisation à Vancouver pour visiter les centres de recherche</t>
        </is>
      </c>
      <c r="H2531" s="1" t="n">
        <v>45830</v>
      </c>
      <c r="I2531" s="1" t="n">
        <v>45835</v>
      </c>
      <c r="J2531" t="inlineStr">
        <is>
          <t>Vancouver, British Columbia, Canada</t>
        </is>
      </c>
      <c r="K2531" t="inlineStr">
        <is>
          <t>Vancouver, Colombie-Britannique, Canada</t>
        </is>
      </c>
      <c r="P2531" t="n">
        <v>925.87</v>
      </c>
      <c r="Q2531" t="n">
        <v>133.73</v>
      </c>
      <c r="R2531" t="n">
        <v>1620.93</v>
      </c>
      <c r="S2531" t="n">
        <v>784.8</v>
      </c>
      <c r="T2531" t="n">
        <v>0</v>
      </c>
      <c r="U2531" t="n">
        <v>3465.33</v>
      </c>
      <c r="X2531" t="inlineStr">
        <is>
          <t>aafc-aac</t>
        </is>
      </c>
      <c r="Y2531" t="inlineStr">
        <is>
          <t>Agriculture and Agri-Food Canada | Agriculture et Agroalimentaire Canada</t>
        </is>
      </c>
    </row>
    <row r="2532">
      <c r="A2532" t="inlineStr">
        <is>
          <t>T-AAFC-2026-P04-027</t>
        </is>
      </c>
      <c r="B2532" t="inlineStr">
        <is>
          <t>SLE</t>
        </is>
      </c>
      <c r="C2532" t="inlineStr">
        <is>
          <t>Assistant Deputy Minister, Market and Industry Services Branch</t>
        </is>
      </c>
      <c r="D2532" t="inlineStr">
        <is>
          <t>Sous-ministre adjoint, Direction générale des services à l'industrie et aux marchés</t>
        </is>
      </c>
      <c r="E2532" t="inlineStr">
        <is>
          <t>Tom Rosser</t>
        </is>
      </c>
      <c r="F2532" t="inlineStr">
        <is>
          <t>To participate in the UN's Food and Agriculture Organization</t>
        </is>
      </c>
      <c r="G2532" t="inlineStr">
        <is>
          <t xml:space="preserve">Participer à l'Organisation des Nations Unies pour l'alimentation et l'agriculture </t>
        </is>
      </c>
      <c r="H2532" s="1" t="n">
        <v>45836</v>
      </c>
      <c r="I2532" s="1" t="n">
        <v>45841</v>
      </c>
      <c r="J2532" t="inlineStr">
        <is>
          <t>Rome, Italy</t>
        </is>
      </c>
      <c r="K2532" t="inlineStr">
        <is>
          <t>Rome, Italie</t>
        </is>
      </c>
      <c r="P2532" t="n">
        <v>12006.34</v>
      </c>
      <c r="Q2532" t="n">
        <v>327.48</v>
      </c>
      <c r="R2532" t="n">
        <v>2339.15</v>
      </c>
      <c r="S2532" t="n">
        <v>774.54</v>
      </c>
      <c r="T2532" t="n">
        <v>0</v>
      </c>
      <c r="U2532" t="n">
        <v>15447.51</v>
      </c>
      <c r="X2532" t="inlineStr">
        <is>
          <t>aafc-aac</t>
        </is>
      </c>
      <c r="Y2532" t="inlineStr">
        <is>
          <t>Agriculture and Agri-Food Canada | Agriculture et Agroalimentaire Canada</t>
        </is>
      </c>
    </row>
    <row r="2533">
      <c r="A2533" t="inlineStr">
        <is>
          <t>T-AAFC-2026-P04-028</t>
        </is>
      </c>
      <c r="B2533" t="inlineStr">
        <is>
          <t>SLE</t>
        </is>
      </c>
      <c r="C2533" t="inlineStr">
        <is>
          <t>Assistant Deputy Minister, Market and Industry Services Branch</t>
        </is>
      </c>
      <c r="D2533" t="inlineStr">
        <is>
          <t>Sous-ministre adjoint, Direction générale des services à l'industrie et aux marchés</t>
        </is>
      </c>
      <c r="E2533" t="inlineStr">
        <is>
          <t>Tom Rosser</t>
        </is>
      </c>
      <c r="F2533" t="inlineStr">
        <is>
          <t>To attend the Canadian Federation of Agriculture summer board meeting and roundtable</t>
        </is>
      </c>
      <c r="G2533" t="inlineStr">
        <is>
          <t>Assister à la réunion d’été du conseil d’administration de la Fédération  canadienne de l'agriculture et à la table ronde industrielle de 2025</t>
        </is>
      </c>
      <c r="H2533" s="1" t="n">
        <v>45853</v>
      </c>
      <c r="I2533" s="1" t="n">
        <v>45855</v>
      </c>
      <c r="J2533" t="inlineStr">
        <is>
          <t>Winnipeg, Manitoba, Canada</t>
        </is>
      </c>
      <c r="K2533" t="inlineStr">
        <is>
          <t>Winnipeg, Manitoba, Canada</t>
        </is>
      </c>
      <c r="P2533" t="n">
        <v>1092.57</v>
      </c>
      <c r="Q2533" t="n">
        <v>144.98</v>
      </c>
      <c r="R2533" t="n">
        <v>778.42</v>
      </c>
      <c r="S2533" t="n">
        <v>309.2</v>
      </c>
      <c r="T2533" t="n">
        <v>0</v>
      </c>
      <c r="U2533" t="n">
        <v>2325.17</v>
      </c>
      <c r="X2533" t="inlineStr">
        <is>
          <t>aafc-aac</t>
        </is>
      </c>
      <c r="Y2533" t="inlineStr">
        <is>
          <t>Agriculture and Agri-Food Canada | Agriculture et Agroalimentaire Canada</t>
        </is>
      </c>
    </row>
    <row r="2534">
      <c r="A2534" t="inlineStr">
        <is>
          <t>T-AAFC-2026-P05-001</t>
        </is>
      </c>
      <c r="B2534" t="inlineStr">
        <is>
          <t>MPSES</t>
        </is>
      </c>
      <c r="C2534" t="inlineStr">
        <is>
          <t>Minister</t>
        </is>
      </c>
      <c r="D2534" t="inlineStr">
        <is>
          <t>Ministre</t>
        </is>
      </c>
      <c r="E2534" t="inlineStr">
        <is>
          <t>Heath MacDonald</t>
        </is>
      </c>
      <c r="F2534" t="inlineStr">
        <is>
          <t>To attend a Ministerial Mission to Indonesia, Philippines and Singapore</t>
        </is>
      </c>
      <c r="G2534" t="inlineStr">
        <is>
          <t>Participer à une mission ministérielle en Indonésie, aux Philippines et à Singapour.</t>
        </is>
      </c>
      <c r="H2534" s="1" t="n">
        <v>45867</v>
      </c>
      <c r="I2534" s="1" t="n">
        <v>45876</v>
      </c>
      <c r="J2534" t="inlineStr">
        <is>
          <t>Jakarta, Indonesia</t>
        </is>
      </c>
      <c r="K2534" t="inlineStr">
        <is>
          <t>Jakarta, Indonésie</t>
        </is>
      </c>
      <c r="L2534" t="inlineStr">
        <is>
          <t>Singapore, Singapore</t>
        </is>
      </c>
      <c r="M2534" t="inlineStr">
        <is>
          <t>Singapour, Singapour</t>
        </is>
      </c>
      <c r="N2534" t="inlineStr">
        <is>
          <t>Manila, Philippines</t>
        </is>
      </c>
      <c r="O2534" t="inlineStr">
        <is>
          <t>Manille, Philippines</t>
        </is>
      </c>
      <c r="P2534" t="n">
        <v>11559.74</v>
      </c>
      <c r="R2534" t="n">
        <v>2967.66</v>
      </c>
      <c r="S2534" t="n">
        <v>1273.67</v>
      </c>
      <c r="T2534" t="n">
        <v>0</v>
      </c>
      <c r="U2534" t="n">
        <v>15801.07</v>
      </c>
      <c r="X2534" t="inlineStr">
        <is>
          <t>aafc-aac</t>
        </is>
      </c>
      <c r="Y2534" t="inlineStr">
        <is>
          <t>Agriculture and Agri-Food Canada | Agriculture et Agroalimentaire Canada</t>
        </is>
      </c>
    </row>
    <row r="2535">
      <c r="A2535" t="inlineStr">
        <is>
          <t>T-AAFC-2026-P05-002</t>
        </is>
      </c>
      <c r="B2535" t="inlineStr">
        <is>
          <t>MPSES</t>
        </is>
      </c>
      <c r="C2535" t="inlineStr">
        <is>
          <t>Director of Communications</t>
        </is>
      </c>
      <c r="D2535" t="inlineStr">
        <is>
          <t>Directrice des communications</t>
        </is>
      </c>
      <c r="E2535" t="inlineStr">
        <is>
          <t>Annie Cullinan</t>
        </is>
      </c>
      <c r="F2535" t="inlineStr">
        <is>
          <t>To support the Minister to make an announcement</t>
        </is>
      </c>
      <c r="G2535" t="inlineStr">
        <is>
          <t>Soutenir le ministre à faire une annonce</t>
        </is>
      </c>
      <c r="H2535" s="1" t="n">
        <v>45865</v>
      </c>
      <c r="I2535" s="1" t="n">
        <v>45866</v>
      </c>
      <c r="J2535" t="inlineStr">
        <is>
          <t>Charlottetown, Prince Edward Island, Canada</t>
        </is>
      </c>
      <c r="K2535" t="inlineStr">
        <is>
          <t>Charlottetown, Île-du-Prince-Édouard, Canada</t>
        </is>
      </c>
      <c r="P2535" t="n">
        <v>1820.79</v>
      </c>
      <c r="Q2535" t="n">
        <v>22.57</v>
      </c>
      <c r="R2535" t="n">
        <v>260.59</v>
      </c>
      <c r="S2535" t="n">
        <v>170.2</v>
      </c>
      <c r="U2535" t="n">
        <v>2274.15</v>
      </c>
      <c r="X2535" t="inlineStr">
        <is>
          <t>aafc-aac</t>
        </is>
      </c>
      <c r="Y2535" t="inlineStr">
        <is>
          <t>Agriculture and Agri-Food Canada | Agriculture et Agroalimentaire Canada</t>
        </is>
      </c>
    </row>
    <row r="2536">
      <c r="A2536" t="inlineStr">
        <is>
          <t>T-AAFC-2026-P05-003</t>
        </is>
      </c>
      <c r="B2536" t="inlineStr">
        <is>
          <t>MPSES</t>
        </is>
      </c>
      <c r="C2536" t="inlineStr">
        <is>
          <t>Director of Communications</t>
        </is>
      </c>
      <c r="D2536" t="inlineStr">
        <is>
          <t>Directrice des communications</t>
        </is>
      </c>
      <c r="E2536" t="inlineStr">
        <is>
          <t>Annie Cullinan</t>
        </is>
      </c>
      <c r="F2536" t="inlineStr">
        <is>
          <t>To support the Minister to attend a Ministerial Mission to Indonesia, Philippines and Singapore</t>
        </is>
      </c>
      <c r="G2536" t="inlineStr">
        <is>
          <t>Soutenir le ministre à participer à une mission ministérielle en Indonésie, aux Philippines et à Singapour.</t>
        </is>
      </c>
      <c r="H2536" s="1" t="n">
        <v>45867</v>
      </c>
      <c r="I2536" s="1" t="n">
        <v>45876</v>
      </c>
      <c r="J2536" t="inlineStr">
        <is>
          <t>Jakarta, Indonesia</t>
        </is>
      </c>
      <c r="K2536" t="inlineStr">
        <is>
          <t>Jakarta, Indonésie</t>
        </is>
      </c>
      <c r="L2536" t="inlineStr">
        <is>
          <t>Singapore, Singapore</t>
        </is>
      </c>
      <c r="M2536" t="inlineStr">
        <is>
          <t>Singapour, Singapour</t>
        </is>
      </c>
      <c r="N2536" t="inlineStr">
        <is>
          <t>Manila, Philippines</t>
        </is>
      </c>
      <c r="O2536" t="inlineStr">
        <is>
          <t>Manille, Philippines</t>
        </is>
      </c>
      <c r="P2536" t="n">
        <v>7338.15</v>
      </c>
      <c r="R2536" t="n">
        <v>2967.66</v>
      </c>
      <c r="S2536" t="n">
        <v>1273.67</v>
      </c>
      <c r="T2536" t="n">
        <v>0</v>
      </c>
      <c r="U2536" t="n">
        <v>11579.48</v>
      </c>
      <c r="X2536" t="inlineStr">
        <is>
          <t>aafc-aac</t>
        </is>
      </c>
      <c r="Y2536" t="inlineStr">
        <is>
          <t>Agriculture and Agri-Food Canada | Agriculture et Agroalimentaire Canada</t>
        </is>
      </c>
    </row>
    <row r="2537">
      <c r="A2537" t="inlineStr">
        <is>
          <t>T-AAFC-2026-P05-004</t>
        </is>
      </c>
      <c r="B2537" t="inlineStr">
        <is>
          <t>MPSES</t>
        </is>
      </c>
      <c r="C2537" t="inlineStr">
        <is>
          <t>Director of Communications</t>
        </is>
      </c>
      <c r="D2537" t="inlineStr">
        <is>
          <t>Directrice des communications</t>
        </is>
      </c>
      <c r="E2537" t="inlineStr">
        <is>
          <t>Annie Cullinan</t>
        </is>
      </c>
      <c r="F2537" t="inlineStr">
        <is>
          <t>To support the Minister to attend meetings</t>
        </is>
      </c>
      <c r="G2537" t="inlineStr">
        <is>
          <t>Soutenir le ministre dans sa participation aux réunions</t>
        </is>
      </c>
      <c r="H2537" s="1" t="n">
        <v>45879</v>
      </c>
      <c r="I2537" s="1" t="n">
        <v>45883</v>
      </c>
      <c r="J2537" t="inlineStr">
        <is>
          <t>Charlottetown, Prince Edward Island, Canada</t>
        </is>
      </c>
      <c r="K2537" t="inlineStr">
        <is>
          <t>Charlottetown, Île-du-Prince-Édouard, Canada</t>
        </is>
      </c>
      <c r="P2537" t="n">
        <v>1243.63</v>
      </c>
      <c r="Q2537" t="n">
        <v>95.14</v>
      </c>
      <c r="R2537" t="n">
        <v>1601.23</v>
      </c>
      <c r="S2537" t="n">
        <v>340.4</v>
      </c>
      <c r="T2537" t="n">
        <v>0</v>
      </c>
      <c r="U2537" t="n">
        <v>3280.4</v>
      </c>
      <c r="X2537" t="inlineStr">
        <is>
          <t>aafc-aac</t>
        </is>
      </c>
      <c r="Y2537" t="inlineStr">
        <is>
          <t>Agriculture and Agri-Food Canada | Agriculture et Agroalimentaire Canada</t>
        </is>
      </c>
    </row>
    <row r="2538">
      <c r="A2538" t="inlineStr">
        <is>
          <t>T-AAFC-2026-P05-005</t>
        </is>
      </c>
      <c r="B2538" t="inlineStr">
        <is>
          <t>MPSES</t>
        </is>
      </c>
      <c r="C2538" t="inlineStr">
        <is>
          <t>Director of Policy</t>
        </is>
      </c>
      <c r="D2538" t="inlineStr">
        <is>
          <t>Directrice des politiques</t>
        </is>
      </c>
      <c r="E2538" t="inlineStr">
        <is>
          <t>Serena Smith</t>
        </is>
      </c>
      <c r="F2538" t="inlineStr">
        <is>
          <t xml:space="preserve">To support the Minister to attend meetings </t>
        </is>
      </c>
      <c r="G2538" t="inlineStr">
        <is>
          <t>Soutenir le ministre à participer à ses réunions</t>
        </is>
      </c>
      <c r="H2538" s="1" t="n">
        <v>45853</v>
      </c>
      <c r="I2538" s="1" t="n">
        <v>45854</v>
      </c>
      <c r="J2538" t="inlineStr">
        <is>
          <t>Charlottetown, Prince Edward Island, Canada</t>
        </is>
      </c>
      <c r="K2538" t="inlineStr">
        <is>
          <t>Charlottetown, Île-du-Prince-Édouard, Canada</t>
        </is>
      </c>
      <c r="P2538" t="n">
        <v>0</v>
      </c>
      <c r="Q2538" t="n">
        <v>0</v>
      </c>
      <c r="R2538" t="n">
        <v>260.71</v>
      </c>
      <c r="S2538" t="n">
        <v>112.5</v>
      </c>
      <c r="T2538" t="n">
        <v>0</v>
      </c>
      <c r="U2538" t="n">
        <v>373.21</v>
      </c>
      <c r="X2538" t="inlineStr">
        <is>
          <t>aafc-aac</t>
        </is>
      </c>
      <c r="Y2538" t="inlineStr">
        <is>
          <t>Agriculture and Agri-Food Canada | Agriculture et Agroalimentaire Canada</t>
        </is>
      </c>
    </row>
    <row r="2539">
      <c r="A2539" t="inlineStr">
        <is>
          <t>T-AAFC-2026-P05-006</t>
        </is>
      </c>
      <c r="B2539" t="inlineStr">
        <is>
          <t>MPSES</t>
        </is>
      </c>
      <c r="C2539" t="inlineStr">
        <is>
          <t>Director of Policy</t>
        </is>
      </c>
      <c r="D2539" t="inlineStr">
        <is>
          <t>Directrice des politiques</t>
        </is>
      </c>
      <c r="E2539" t="inlineStr">
        <is>
          <t>Serena Smith</t>
        </is>
      </c>
      <c r="F2539" t="inlineStr">
        <is>
          <t>To support the Minister to make an announcement</t>
        </is>
      </c>
      <c r="G2539" t="inlineStr">
        <is>
          <t>Soutenir le ministre à faire une annonce</t>
        </is>
      </c>
      <c r="H2539" s="1" t="n">
        <v>45864</v>
      </c>
      <c r="I2539" s="1" t="n">
        <v>45867</v>
      </c>
      <c r="J2539" t="inlineStr">
        <is>
          <t>Charlottetown, Prince Edward Island, Canada</t>
        </is>
      </c>
      <c r="K2539" t="inlineStr">
        <is>
          <t>Charlottetown, Île-du-Prince-Édouard, Canada</t>
        </is>
      </c>
      <c r="P2539" t="n">
        <v>1178.83</v>
      </c>
      <c r="Q2539" t="n">
        <v>463.73</v>
      </c>
      <c r="R2539" t="n">
        <v>521.1799999999999</v>
      </c>
      <c r="S2539" t="n">
        <v>170.2</v>
      </c>
      <c r="T2539" t="n">
        <v>0</v>
      </c>
      <c r="U2539" t="n">
        <v>2333.94</v>
      </c>
      <c r="X2539" t="inlineStr">
        <is>
          <t>aafc-aac</t>
        </is>
      </c>
      <c r="Y2539" t="inlineStr">
        <is>
          <t>Agriculture and Agri-Food Canada | Agriculture et Agroalimentaire Canada</t>
        </is>
      </c>
    </row>
    <row r="2540">
      <c r="A2540" t="inlineStr">
        <is>
          <t>T-AAFC-2026-P05-007</t>
        </is>
      </c>
      <c r="B2540" t="inlineStr">
        <is>
          <t>MPSES</t>
        </is>
      </c>
      <c r="C2540" t="inlineStr">
        <is>
          <t>Special Assistant</t>
        </is>
      </c>
      <c r="D2540" t="inlineStr">
        <is>
          <t>Adjointe spéciale</t>
        </is>
      </c>
      <c r="E2540" t="inlineStr">
        <is>
          <t>Yasmin Veiga</t>
        </is>
      </c>
      <c r="F2540" t="inlineStr">
        <is>
          <t>To support the Parliamentary Secretary Sophie Chatel to meet with stakeholders</t>
        </is>
      </c>
      <c r="G2540" t="inlineStr">
        <is>
          <t>Soutenir la secrétaire parlementaire Sophie Chatel à rencontrer les parties prenantes</t>
        </is>
      </c>
      <c r="H2540" s="1" t="n">
        <v>45872</v>
      </c>
      <c r="I2540" s="1" t="n">
        <v>45876</v>
      </c>
      <c r="J2540" t="inlineStr">
        <is>
          <t>Sherbrooke, Quebec, Canada</t>
        </is>
      </c>
      <c r="K2540" t="inlineStr">
        <is>
          <t>Sherbrooke, Québec, Canada</t>
        </is>
      </c>
      <c r="L2540" t="inlineStr">
        <is>
          <t>Québec, Quebec, Canada</t>
        </is>
      </c>
      <c r="M2540" t="inlineStr">
        <is>
          <t>Québec, Québec, Canada</t>
        </is>
      </c>
      <c r="P2540" t="n">
        <v>0</v>
      </c>
      <c r="Q2540" t="n">
        <v>474.17</v>
      </c>
      <c r="R2540" t="n">
        <v>859.36</v>
      </c>
      <c r="S2540" t="n">
        <v>425.6</v>
      </c>
      <c r="T2540" t="n">
        <v>0</v>
      </c>
      <c r="U2540" t="n">
        <v>1759.13</v>
      </c>
      <c r="X2540" t="inlineStr">
        <is>
          <t>aafc-aac</t>
        </is>
      </c>
      <c r="Y2540" t="inlineStr">
        <is>
          <t>Agriculture and Agri-Food Canada | Agriculture et Agroalimentaire Canada</t>
        </is>
      </c>
    </row>
    <row r="2541">
      <c r="A2541" t="inlineStr">
        <is>
          <t>T-AAFC-2026-P05-008</t>
        </is>
      </c>
      <c r="B2541" t="inlineStr">
        <is>
          <t>MPSES</t>
        </is>
      </c>
      <c r="C2541" t="inlineStr">
        <is>
          <t>Parliamentary Secretary</t>
        </is>
      </c>
      <c r="D2541" t="inlineStr">
        <is>
          <t>Secrétaire parlementaire</t>
        </is>
      </c>
      <c r="E2541" t="inlineStr">
        <is>
          <t>Sophie Chatel</t>
        </is>
      </c>
      <c r="F2541" t="inlineStr">
        <is>
          <t>To meet with stakeholders</t>
        </is>
      </c>
      <c r="G2541" t="inlineStr">
        <is>
          <t>Rencontrer les parties prenantes</t>
        </is>
      </c>
      <c r="H2541" s="1" t="n">
        <v>45873</v>
      </c>
      <c r="I2541" s="1" t="n">
        <v>45876</v>
      </c>
      <c r="J2541" t="inlineStr">
        <is>
          <t>Sherbrooke, Quebec, Canada</t>
        </is>
      </c>
      <c r="K2541" t="inlineStr">
        <is>
          <t>Sherbrooke, Québec, Canada</t>
        </is>
      </c>
      <c r="L2541" t="inlineStr">
        <is>
          <t>Quebec, Quebec, Canada</t>
        </is>
      </c>
      <c r="M2541" t="inlineStr">
        <is>
          <t>Québec, Québec, Canada</t>
        </is>
      </c>
      <c r="P2541" t="n">
        <v>0</v>
      </c>
      <c r="Q2541" t="n">
        <v>0</v>
      </c>
      <c r="R2541" t="n">
        <v>797.28</v>
      </c>
      <c r="S2541" t="n">
        <v>425.6</v>
      </c>
      <c r="T2541" t="n">
        <v>0</v>
      </c>
      <c r="U2541" t="n">
        <v>1222.88</v>
      </c>
      <c r="X2541" t="inlineStr">
        <is>
          <t>aafc-aac</t>
        </is>
      </c>
      <c r="Y2541" t="inlineStr">
        <is>
          <t>Agriculture and Agri-Food Canada | Agriculture et Agroalimentaire Canada</t>
        </is>
      </c>
    </row>
    <row r="2542">
      <c r="A2542" t="inlineStr">
        <is>
          <t>T-AAFC-2026-P06-001</t>
        </is>
      </c>
      <c r="B2542" t="inlineStr">
        <is>
          <t>MPSES</t>
        </is>
      </c>
      <c r="C2542" t="inlineStr">
        <is>
          <t>Minister</t>
        </is>
      </c>
      <c r="D2542" t="inlineStr">
        <is>
          <t>Ministre</t>
        </is>
      </c>
      <c r="E2542" t="inlineStr">
        <is>
          <t>Heath MacDonald</t>
        </is>
      </c>
      <c r="F2542" t="inlineStr">
        <is>
          <t>To attend meetings with stakeholders and an event</t>
        </is>
      </c>
      <c r="G2542" t="inlineStr">
        <is>
          <t>Assister à des réunions avec des intervenants et à un événement.</t>
        </is>
      </c>
      <c r="H2542" s="1" t="n">
        <v>45886</v>
      </c>
      <c r="I2542" s="1" t="n">
        <v>45888</v>
      </c>
      <c r="J2542" t="inlineStr">
        <is>
          <t>St. Andrews, New Brunswick, Canada</t>
        </is>
      </c>
      <c r="K2542" t="inlineStr">
        <is>
          <t>St. Andrews, Nouveau-Brunswick, Canada</t>
        </is>
      </c>
      <c r="P2542" t="n">
        <v>0</v>
      </c>
      <c r="Q2542" t="n">
        <v>500.4</v>
      </c>
      <c r="R2542" t="n">
        <v>1043.42</v>
      </c>
      <c r="S2542" t="n">
        <v>227</v>
      </c>
      <c r="T2542" t="n">
        <v>0</v>
      </c>
      <c r="U2542" t="n">
        <v>1770.82</v>
      </c>
      <c r="X2542" t="inlineStr">
        <is>
          <t>aafc-aac</t>
        </is>
      </c>
      <c r="Y2542" t="inlineStr">
        <is>
          <t>Agriculture and Agri-Food Canada | Agriculture et Agroalimentaire Canada</t>
        </is>
      </c>
    </row>
    <row r="2543">
      <c r="A2543" t="inlineStr">
        <is>
          <t>T-AAFC-2026-P06-002</t>
        </is>
      </c>
      <c r="B2543" t="inlineStr">
        <is>
          <t>MPSES</t>
        </is>
      </c>
      <c r="C2543" t="inlineStr">
        <is>
          <t>Minister</t>
        </is>
      </c>
      <c r="D2543" t="inlineStr">
        <is>
          <t>Ministre</t>
        </is>
      </c>
      <c r="E2543" t="inlineStr">
        <is>
          <t>Heath MacDonald</t>
        </is>
      </c>
      <c r="F2543" t="inlineStr">
        <is>
          <t>To attend an outreach</t>
        </is>
      </c>
      <c r="G2543" t="inlineStr">
        <is>
          <t>Participer à une activité de sensibilisation</t>
        </is>
      </c>
      <c r="H2543" s="1" t="n">
        <v>45889</v>
      </c>
      <c r="I2543" s="1" t="n">
        <v>45889</v>
      </c>
      <c r="J2543" t="inlineStr">
        <is>
          <t>Saskatoon, Saskatchewan, Canada</t>
        </is>
      </c>
      <c r="K2543" t="inlineStr">
        <is>
          <t>Saskatoon, Saskatchewan, Canada</t>
        </is>
      </c>
      <c r="P2543" t="n">
        <v>56.39</v>
      </c>
      <c r="Q2543" t="n">
        <v>0</v>
      </c>
      <c r="R2543" t="n">
        <v>192.15</v>
      </c>
      <c r="S2543" t="n">
        <v>0</v>
      </c>
      <c r="T2543" t="n">
        <v>0</v>
      </c>
      <c r="U2543" t="n">
        <v>248.54</v>
      </c>
      <c r="V2543" t="inlineStr">
        <is>
          <t>Travel canceled due to Air Canada strike</t>
        </is>
      </c>
      <c r="W2543" t="inlineStr">
        <is>
          <t>Voyage annulé en raison de la grève Air Canada</t>
        </is>
      </c>
      <c r="X2543" t="inlineStr">
        <is>
          <t>aafc-aac</t>
        </is>
      </c>
      <c r="Y2543" t="inlineStr">
        <is>
          <t>Agriculture and Agri-Food Canada | Agriculture et Agroalimentaire Canada</t>
        </is>
      </c>
    </row>
    <row r="2544">
      <c r="A2544" t="inlineStr">
        <is>
          <t>T-AAFC-2026-P06-003</t>
        </is>
      </c>
      <c r="B2544" t="inlineStr">
        <is>
          <t>MPSES</t>
        </is>
      </c>
      <c r="C2544" t="inlineStr">
        <is>
          <t>Minister</t>
        </is>
      </c>
      <c r="D2544" t="inlineStr">
        <is>
          <t>Ministre</t>
        </is>
      </c>
      <c r="E2544" t="inlineStr">
        <is>
          <t>Heath MacDonald</t>
        </is>
      </c>
      <c r="F2544" t="inlineStr">
        <is>
          <t>To attend a Cabinet Retreat</t>
        </is>
      </c>
      <c r="G2544" t="inlineStr">
        <is>
          <t>Participer à une retraite du Cabinet</t>
        </is>
      </c>
      <c r="H2544" s="1" t="n">
        <v>45903</v>
      </c>
      <c r="I2544" s="1" t="n">
        <v>45905</v>
      </c>
      <c r="J2544" t="inlineStr">
        <is>
          <t>Toronto, Ontario, Canada</t>
        </is>
      </c>
      <c r="K2544" t="inlineStr">
        <is>
          <t>Toronto, Ontario, Canada</t>
        </is>
      </c>
      <c r="P2544" t="n">
        <v>1622.81</v>
      </c>
      <c r="Q2544" t="n">
        <v>0</v>
      </c>
      <c r="R2544" t="n">
        <v>478.16</v>
      </c>
      <c r="S2544" t="n">
        <v>55.8</v>
      </c>
      <c r="T2544" t="n">
        <v>0</v>
      </c>
      <c r="U2544" t="n">
        <v>2156.77</v>
      </c>
      <c r="X2544" t="inlineStr">
        <is>
          <t>aafc-aac</t>
        </is>
      </c>
      <c r="Y2544" t="inlineStr">
        <is>
          <t>Agriculture and Agri-Food Canada | Agriculture et Agroalimentaire Canada</t>
        </is>
      </c>
    </row>
    <row r="2545">
      <c r="A2545" t="inlineStr">
        <is>
          <t>T-AAFC-2026-P06-004</t>
        </is>
      </c>
      <c r="B2545" t="inlineStr">
        <is>
          <t>MPSES</t>
        </is>
      </c>
      <c r="C2545" t="inlineStr">
        <is>
          <t>Minister</t>
        </is>
      </c>
      <c r="D2545" t="inlineStr">
        <is>
          <t>Ministre</t>
        </is>
      </c>
      <c r="E2545" t="inlineStr">
        <is>
          <t>Heath MacDonald</t>
        </is>
      </c>
      <c r="F2545" t="inlineStr">
        <is>
          <t>To attend the Federal-Provincial-Territorial Annual Conference of Ministers of Agriculture</t>
        </is>
      </c>
      <c r="G2545" t="inlineStr">
        <is>
          <t>Assister à la conférence annuelle fédérale-provinciale-territoriale des ministres de l’Agriculture.</t>
        </is>
      </c>
      <c r="H2545" s="1" t="n">
        <v>45906</v>
      </c>
      <c r="I2545" s="1" t="n">
        <v>45909</v>
      </c>
      <c r="J2545" t="inlineStr">
        <is>
          <t>Winnipeg, Manitoba, Canada</t>
        </is>
      </c>
      <c r="K2545" t="inlineStr">
        <is>
          <t>Winnipeg, Manitoba, Canada</t>
        </is>
      </c>
      <c r="P2545" t="n">
        <v>741.2</v>
      </c>
      <c r="Q2545" t="n">
        <v>0</v>
      </c>
      <c r="R2545" t="n">
        <v>670.77</v>
      </c>
      <c r="S2545" t="n">
        <v>259.05</v>
      </c>
      <c r="T2545" t="n">
        <v>426.89</v>
      </c>
      <c r="U2545" t="n">
        <v>2097.91</v>
      </c>
      <c r="X2545" t="inlineStr">
        <is>
          <t>aafc-aac</t>
        </is>
      </c>
      <c r="Y2545" t="inlineStr">
        <is>
          <t>Agriculture and Agri-Food Canada | Agriculture et Agroalimentaire Canada</t>
        </is>
      </c>
    </row>
    <row r="2546">
      <c r="A2546" t="inlineStr">
        <is>
          <t>T-AAFC-2026-P06-005</t>
        </is>
      </c>
      <c r="B2546" t="inlineStr">
        <is>
          <t>MPSES</t>
        </is>
      </c>
      <c r="C2546" t="inlineStr">
        <is>
          <t>Director of Communications</t>
        </is>
      </c>
      <c r="D2546" t="inlineStr">
        <is>
          <t>Directrice des communications</t>
        </is>
      </c>
      <c r="E2546" t="inlineStr">
        <is>
          <t>Annie Cullinan</t>
        </is>
      </c>
      <c r="F2546" t="inlineStr">
        <is>
          <t>To support the Minister in attending the Federal-Provincial-Territorial Annual Conference of Ministers of Agriculture</t>
        </is>
      </c>
      <c r="G2546" t="inlineStr">
        <is>
          <t>Soutenir le ministre dans sa participation à la Conférence annuelle fédérale-provinciale-territoriale des ministres de l’Agriculture</t>
        </is>
      </c>
      <c r="H2546" s="1" t="n">
        <v>45906</v>
      </c>
      <c r="I2546" s="1" t="n">
        <v>45910</v>
      </c>
      <c r="J2546" t="inlineStr">
        <is>
          <t>Winnipeg, Manitoba, Canada</t>
        </is>
      </c>
      <c r="K2546" t="inlineStr">
        <is>
          <t>Winnipeg, Manitoba, Canada</t>
        </is>
      </c>
      <c r="P2546" t="n">
        <v>849.04</v>
      </c>
      <c r="Q2546" t="n">
        <v>0</v>
      </c>
      <c r="R2546" t="n">
        <v>670.77</v>
      </c>
      <c r="S2546" t="n">
        <v>259.05</v>
      </c>
      <c r="T2546" t="n">
        <v>426.89</v>
      </c>
      <c r="U2546" t="n">
        <v>2205.75</v>
      </c>
      <c r="X2546" t="inlineStr">
        <is>
          <t>aafc-aac</t>
        </is>
      </c>
      <c r="Y2546" t="inlineStr">
        <is>
          <t>Agriculture and Agri-Food Canada | Agriculture et Agroalimentaire Canada</t>
        </is>
      </c>
    </row>
    <row r="2547">
      <c r="A2547" t="inlineStr">
        <is>
          <t>T-AAFC-2026-P06-006</t>
        </is>
      </c>
      <c r="B2547" t="inlineStr">
        <is>
          <t>MPSES</t>
        </is>
      </c>
      <c r="C2547" t="inlineStr">
        <is>
          <t>Special Assistant</t>
        </is>
      </c>
      <c r="D2547" t="inlineStr">
        <is>
          <t>Adjoint spéciale</t>
        </is>
      </c>
      <c r="E2547" t="inlineStr">
        <is>
          <t>George Williams</t>
        </is>
      </c>
      <c r="F2547" t="inlineStr">
        <is>
          <t>To support the Minister attend a Caucus Retreat</t>
        </is>
      </c>
      <c r="G2547" t="inlineStr">
        <is>
          <t>Soutenir le ministre lors d'une retraite du caucus</t>
        </is>
      </c>
      <c r="H2547" s="1" t="n">
        <v>45909</v>
      </c>
      <c r="I2547" s="1" t="n">
        <v>45913</v>
      </c>
      <c r="J2547" t="inlineStr">
        <is>
          <t>Edmonton, Alberta, Canada</t>
        </is>
      </c>
      <c r="K2547" t="inlineStr">
        <is>
          <t>Edmonton, Alberta, Canada</t>
        </is>
      </c>
      <c r="P2547" t="n">
        <v>1273.4</v>
      </c>
      <c r="Q2547" t="n">
        <v>178.87</v>
      </c>
      <c r="R2547" t="n">
        <v>561.15</v>
      </c>
      <c r="S2547" t="n">
        <v>255.3</v>
      </c>
      <c r="T2547" t="n">
        <v>0</v>
      </c>
      <c r="U2547" t="n">
        <v>2268.72</v>
      </c>
      <c r="X2547" t="inlineStr">
        <is>
          <t>aafc-aac</t>
        </is>
      </c>
      <c r="Y2547" t="inlineStr">
        <is>
          <t>Agriculture and Agri-Food Canada | Agriculture et Agroalimentaire Canada</t>
        </is>
      </c>
    </row>
    <row r="2548">
      <c r="A2548" t="inlineStr">
        <is>
          <t>T-AAFC-2026-P06-007</t>
        </is>
      </c>
      <c r="B2548" t="inlineStr">
        <is>
          <t>MPSES</t>
        </is>
      </c>
      <c r="C2548" t="inlineStr">
        <is>
          <t>Chief of Staff</t>
        </is>
      </c>
      <c r="D2548" t="inlineStr">
        <is>
          <t>Chef de Cabinet</t>
        </is>
      </c>
      <c r="E2548" t="inlineStr">
        <is>
          <t>Guy Gallant</t>
        </is>
      </c>
      <c r="F2548" t="inlineStr">
        <is>
          <t>To support the Minister to attend a Ministerial Mission to Indonesia, Philippines and Singapore</t>
        </is>
      </c>
      <c r="G2548" t="inlineStr">
        <is>
          <t>Soutenir le ministre à participer à une mission ministérielle en Indonésie, aux Philippines et à Singapour</t>
        </is>
      </c>
      <c r="H2548" s="1" t="n">
        <v>45865</v>
      </c>
      <c r="I2548" s="1" t="n">
        <v>45876</v>
      </c>
      <c r="J2548" t="inlineStr">
        <is>
          <t>Jakarta, Indonesia</t>
        </is>
      </c>
      <c r="K2548" t="inlineStr">
        <is>
          <t>Jakarta, Indonésie</t>
        </is>
      </c>
      <c r="L2548" t="inlineStr">
        <is>
          <t>Singapore, Singapore</t>
        </is>
      </c>
      <c r="M2548" t="inlineStr">
        <is>
          <t>Singapour, Singapour</t>
        </is>
      </c>
      <c r="N2548" t="inlineStr">
        <is>
          <t>Manila, Philippines</t>
        </is>
      </c>
      <c r="O2548" t="inlineStr">
        <is>
          <t>Manille, Philippines</t>
        </is>
      </c>
      <c r="P2548" t="n">
        <v>9752.15</v>
      </c>
      <c r="Q2548" t="n">
        <v>0</v>
      </c>
      <c r="R2548" t="n">
        <v>2967.75</v>
      </c>
      <c r="S2548" t="n">
        <v>1273.67</v>
      </c>
      <c r="T2548" t="n">
        <v>0</v>
      </c>
      <c r="U2548" t="n">
        <v>13993.57</v>
      </c>
      <c r="X2548" t="inlineStr">
        <is>
          <t>aafc-aac</t>
        </is>
      </c>
      <c r="Y2548" t="inlineStr">
        <is>
          <t>Agriculture and Agri-Food Canada | Agriculture et Agroalimentaire Canada</t>
        </is>
      </c>
    </row>
    <row r="2549">
      <c r="A2549" t="inlineStr">
        <is>
          <t>T-AAFC-2026-P06-008</t>
        </is>
      </c>
      <c r="B2549" t="inlineStr">
        <is>
          <t>MPSES</t>
        </is>
      </c>
      <c r="C2549" t="inlineStr">
        <is>
          <t>Chief of Staff</t>
        </is>
      </c>
      <c r="D2549" t="inlineStr">
        <is>
          <t>Chef de Cabinet</t>
        </is>
      </c>
      <c r="E2549" t="inlineStr">
        <is>
          <t>Guy Gallant</t>
        </is>
      </c>
      <c r="F2549" t="inlineStr">
        <is>
          <t>To support the Minister to attend the Old Home Week event</t>
        </is>
      </c>
      <c r="G2549" t="inlineStr">
        <is>
          <t>Soutenir le ministre dans sa participation à l'événement de la Semaine du retour au foyer</t>
        </is>
      </c>
      <c r="H2549" s="1" t="n">
        <v>45883</v>
      </c>
      <c r="I2549" s="1" t="n">
        <v>45885</v>
      </c>
      <c r="J2549" t="inlineStr">
        <is>
          <t>Charlottetown, Prince Edward Island, Canada</t>
        </is>
      </c>
      <c r="K2549" t="inlineStr">
        <is>
          <t>Charlottetown, Île-du-Prince-Édouard, Canada</t>
        </is>
      </c>
      <c r="P2549" t="n">
        <v>0</v>
      </c>
      <c r="Q2549" t="n">
        <v>0</v>
      </c>
      <c r="R2549" t="n">
        <v>770.86</v>
      </c>
      <c r="S2549" t="n">
        <v>0</v>
      </c>
      <c r="T2549" t="n">
        <v>0</v>
      </c>
      <c r="U2549" t="n">
        <v>770.86</v>
      </c>
      <c r="X2549" t="inlineStr">
        <is>
          <t>aafc-aac</t>
        </is>
      </c>
      <c r="Y2549" t="inlineStr">
        <is>
          <t>Agriculture and Agri-Food Canada | Agriculture et Agroalimentaire Canada</t>
        </is>
      </c>
    </row>
    <row r="2550">
      <c r="A2550" t="inlineStr">
        <is>
          <t>T-AAFC-2026-P06-009</t>
        </is>
      </c>
      <c r="B2550" t="inlineStr">
        <is>
          <t>MPSES</t>
        </is>
      </c>
      <c r="C2550" t="inlineStr">
        <is>
          <t>Chief of Staff</t>
        </is>
      </c>
      <c r="D2550" t="inlineStr">
        <is>
          <t>Chef de Cabinet</t>
        </is>
      </c>
      <c r="E2550" t="inlineStr">
        <is>
          <t>Guy Gallant</t>
        </is>
      </c>
      <c r="F2550" t="inlineStr">
        <is>
          <t>To support the Minister in attending stakeholders meeting and an event in St. Andrews</t>
        </is>
      </c>
      <c r="G2550" t="inlineStr">
        <is>
          <t>Soutenir le ministre dans sa participation aux réunions avec les parties prenantes et d'un événement à St Andrews</t>
        </is>
      </c>
      <c r="H2550" s="1" t="n">
        <v>45886</v>
      </c>
      <c r="I2550" s="1" t="n">
        <v>45888</v>
      </c>
      <c r="J2550" t="inlineStr">
        <is>
          <t>St. Andrews, New Brunswick, Canada</t>
        </is>
      </c>
      <c r="K2550" t="inlineStr">
        <is>
          <t>St. Andrews, Nouveau-Brunswick, Canada</t>
        </is>
      </c>
      <c r="P2550" t="n">
        <v>0</v>
      </c>
      <c r="Q2550" t="n">
        <v>0</v>
      </c>
      <c r="R2550" t="n">
        <v>1043.42</v>
      </c>
      <c r="S2550" t="n">
        <v>227</v>
      </c>
      <c r="T2550" t="n">
        <v>0</v>
      </c>
      <c r="U2550" t="n">
        <v>1270.42</v>
      </c>
      <c r="X2550" t="inlineStr">
        <is>
          <t>aafc-aac</t>
        </is>
      </c>
      <c r="Y2550" t="inlineStr">
        <is>
          <t>Agriculture and Agri-Food Canada | Agriculture et Agroalimentaire Canada</t>
        </is>
      </c>
    </row>
    <row r="2551">
      <c r="A2551" t="inlineStr">
        <is>
          <t>T-AAFC-2026-P06-010</t>
        </is>
      </c>
      <c r="B2551" t="inlineStr">
        <is>
          <t>MPSES</t>
        </is>
      </c>
      <c r="C2551" t="inlineStr">
        <is>
          <t>Chief of Staff</t>
        </is>
      </c>
      <c r="D2551" t="inlineStr">
        <is>
          <t>Chef de Cabinet</t>
        </is>
      </c>
      <c r="E2551" t="inlineStr">
        <is>
          <t>Guy Gallant</t>
        </is>
      </c>
      <c r="F2551" t="inlineStr">
        <is>
          <t>To support the Minister attending a Cabinet Retreat</t>
        </is>
      </c>
      <c r="G2551" t="inlineStr">
        <is>
          <t>Soutenir le ministre participant à une retraite du Cabinet</t>
        </is>
      </c>
      <c r="H2551" s="1" t="n">
        <v>45903</v>
      </c>
      <c r="I2551" s="1" t="n">
        <v>45905</v>
      </c>
      <c r="J2551" t="inlineStr">
        <is>
          <t>Toronto, Ontario, Canada</t>
        </is>
      </c>
      <c r="K2551" t="inlineStr">
        <is>
          <t>Toronto, Ontario, Canada</t>
        </is>
      </c>
      <c r="P2551" t="n">
        <v>1935.38</v>
      </c>
      <c r="Q2551" t="n">
        <v>114.22</v>
      </c>
      <c r="R2551" t="n">
        <v>478.16</v>
      </c>
      <c r="S2551" t="n">
        <v>113.5</v>
      </c>
      <c r="T2551" t="n">
        <v>0</v>
      </c>
      <c r="U2551" t="n">
        <v>2641.26</v>
      </c>
      <c r="X2551" t="inlineStr">
        <is>
          <t>aafc-aac</t>
        </is>
      </c>
      <c r="Y2551" t="inlineStr">
        <is>
          <t>Agriculture and Agri-Food Canada | Agriculture et Agroalimentaire Canada</t>
        </is>
      </c>
    </row>
    <row r="2552">
      <c r="A2552" t="inlineStr">
        <is>
          <t>T-AAFC-2026-P06-011</t>
        </is>
      </c>
      <c r="B2552" t="inlineStr">
        <is>
          <t>MPSES</t>
        </is>
      </c>
      <c r="C2552" t="inlineStr">
        <is>
          <t>Chief of Staff</t>
        </is>
      </c>
      <c r="D2552" t="inlineStr">
        <is>
          <t>Chef de Cabinet</t>
        </is>
      </c>
      <c r="E2552" t="inlineStr">
        <is>
          <t>Guy Gallant</t>
        </is>
      </c>
      <c r="F2552" t="inlineStr">
        <is>
          <t>To support the Minister in attending the Federal-Provincial-Territorial Annual Conference of Ministers of Agriculture</t>
        </is>
      </c>
      <c r="G2552" t="inlineStr">
        <is>
          <t>Soutenir le ministre dans sa participation à la Conférence annuelle fédérale-provinciale-territoriale des ministres de l’Agriculture</t>
        </is>
      </c>
      <c r="H2552" s="1" t="n">
        <v>45906</v>
      </c>
      <c r="I2552" s="1" t="n">
        <v>45910</v>
      </c>
      <c r="J2552" t="inlineStr">
        <is>
          <t>Winnipeg, Manitoba, Canada</t>
        </is>
      </c>
      <c r="K2552" t="inlineStr">
        <is>
          <t>Winnipeg, Manitoba, Canada</t>
        </is>
      </c>
      <c r="P2552" t="n">
        <v>849.04</v>
      </c>
      <c r="Q2552" t="n">
        <v>53.03</v>
      </c>
      <c r="R2552" t="n">
        <v>670.77</v>
      </c>
      <c r="S2552" t="n">
        <v>283.7</v>
      </c>
      <c r="T2552" t="n">
        <v>426.89</v>
      </c>
      <c r="U2552" t="n">
        <v>2283.43</v>
      </c>
      <c r="X2552" t="inlineStr">
        <is>
          <t>aafc-aac</t>
        </is>
      </c>
      <c r="Y2552" t="inlineStr">
        <is>
          <t>Agriculture and Agri-Food Canada | Agriculture et Agroalimentaire Canada</t>
        </is>
      </c>
    </row>
    <row r="2553">
      <c r="A2553" t="inlineStr">
        <is>
          <t>T-AAFC-2026-P06-012</t>
        </is>
      </c>
      <c r="B2553" t="inlineStr">
        <is>
          <t>MPSES</t>
        </is>
      </c>
      <c r="C2553" t="inlineStr">
        <is>
          <t>Director of Policy</t>
        </is>
      </c>
      <c r="D2553" t="inlineStr">
        <is>
          <t>Directrice des politiques</t>
        </is>
      </c>
      <c r="E2553" t="inlineStr">
        <is>
          <t>Serena Smith</t>
        </is>
      </c>
      <c r="F2553" t="inlineStr">
        <is>
          <t>To support the Minister to attend the Old Home Week event</t>
        </is>
      </c>
      <c r="G2553" t="inlineStr">
        <is>
          <t>Soutenir le ministre dans sa participation à l'événement de la Semaine du retour au foyer</t>
        </is>
      </c>
      <c r="H2553" s="1" t="n">
        <v>45883</v>
      </c>
      <c r="I2553" s="1" t="n">
        <v>45885</v>
      </c>
      <c r="J2553" t="inlineStr">
        <is>
          <t>Charlottetown, Prince Edward Island, Canada</t>
        </is>
      </c>
      <c r="K2553" t="inlineStr">
        <is>
          <t>Charlottetown, Île-du-Prince-Édouard, Canada</t>
        </is>
      </c>
      <c r="P2553" t="n">
        <v>0</v>
      </c>
      <c r="Q2553" t="n">
        <v>0</v>
      </c>
      <c r="R2553" t="n">
        <v>770.86</v>
      </c>
      <c r="S2553" t="n">
        <v>0</v>
      </c>
      <c r="T2553" t="n">
        <v>0</v>
      </c>
      <c r="U2553" t="n">
        <v>770.86</v>
      </c>
      <c r="X2553" t="inlineStr">
        <is>
          <t>aafc-aac</t>
        </is>
      </c>
      <c r="Y2553" t="inlineStr">
        <is>
          <t>Agriculture and Agri-Food Canada | Agriculture et Agroalimentaire Canada</t>
        </is>
      </c>
    </row>
    <row r="2554">
      <c r="A2554" t="inlineStr">
        <is>
          <t>T-AAFC-2026-P06-013</t>
        </is>
      </c>
      <c r="B2554" t="inlineStr">
        <is>
          <t>MPSES</t>
        </is>
      </c>
      <c r="C2554" t="inlineStr">
        <is>
          <t>Director of Policy</t>
        </is>
      </c>
      <c r="D2554" t="inlineStr">
        <is>
          <t>Directrice des politiques</t>
        </is>
      </c>
      <c r="E2554" t="inlineStr">
        <is>
          <t>Serena Smith</t>
        </is>
      </c>
      <c r="F2554" t="inlineStr">
        <is>
          <t>To support the Minister in attending stakeholders meeting and an event in St. Andrews</t>
        </is>
      </c>
      <c r="G2554" t="inlineStr">
        <is>
          <t>Soutenir le ministre dans sa participation aux réunions avec les parties prenantes et d'un événement à St Andrews</t>
        </is>
      </c>
      <c r="H2554" s="1" t="n">
        <v>45886</v>
      </c>
      <c r="I2554" s="1" t="n">
        <v>45888</v>
      </c>
      <c r="J2554" t="inlineStr">
        <is>
          <t>St. Andrews, New Brunswick, Canada</t>
        </is>
      </c>
      <c r="K2554" t="inlineStr">
        <is>
          <t>St. Andrews, Nouveau-Brunswick, Canada</t>
        </is>
      </c>
      <c r="P2554" t="n">
        <v>0</v>
      </c>
      <c r="Q2554" t="n">
        <v>520.4</v>
      </c>
      <c r="R2554" t="n">
        <v>1043.42</v>
      </c>
      <c r="S2554" t="n">
        <v>227</v>
      </c>
      <c r="T2554" t="n">
        <v>0</v>
      </c>
      <c r="U2554" t="n">
        <v>1790.82</v>
      </c>
      <c r="X2554" t="inlineStr">
        <is>
          <t>aafc-aac</t>
        </is>
      </c>
      <c r="Y2554" t="inlineStr">
        <is>
          <t>Agriculture and Agri-Food Canada | Agriculture et Agroalimentaire Canada</t>
        </is>
      </c>
    </row>
    <row r="2555">
      <c r="A2555" t="inlineStr">
        <is>
          <t>T-AAFC-2026-P06-014</t>
        </is>
      </c>
      <c r="B2555" t="inlineStr">
        <is>
          <t>MPSES</t>
        </is>
      </c>
      <c r="C2555" t="inlineStr">
        <is>
          <t>Director of Policy</t>
        </is>
      </c>
      <c r="D2555" t="inlineStr">
        <is>
          <t>Directrice des politiques</t>
        </is>
      </c>
      <c r="E2555" t="inlineStr">
        <is>
          <t>Serena Smith</t>
        </is>
      </c>
      <c r="F2555" t="inlineStr">
        <is>
          <t>To support the Minister attending an Outreach</t>
        </is>
      </c>
      <c r="G2555" t="inlineStr">
        <is>
          <t>Soutenir le minister participant à une activité de sensibilisation</t>
        </is>
      </c>
      <c r="H2555" s="1" t="n">
        <v>45889</v>
      </c>
      <c r="I2555" s="1" t="n">
        <v>45889</v>
      </c>
      <c r="J2555" t="inlineStr">
        <is>
          <t>Saskatoon, Saskatchewan, Canada</t>
        </is>
      </c>
      <c r="K2555" t="inlineStr">
        <is>
          <t>Saskatoon, Saskatchewan, Canada</t>
        </is>
      </c>
      <c r="P2555" t="n">
        <v>56.39</v>
      </c>
      <c r="Q2555" t="n">
        <v>0</v>
      </c>
      <c r="R2555" t="n">
        <v>192.15</v>
      </c>
      <c r="S2555" t="n">
        <v>0</v>
      </c>
      <c r="T2555" t="n">
        <v>0</v>
      </c>
      <c r="U2555" t="n">
        <v>248.54</v>
      </c>
      <c r="X2555" t="inlineStr">
        <is>
          <t>aafc-aac</t>
        </is>
      </c>
      <c r="Y2555" t="inlineStr">
        <is>
          <t>Agriculture and Agri-Food Canada | Agriculture et Agroalimentaire Canada</t>
        </is>
      </c>
    </row>
    <row r="2556">
      <c r="A2556" t="inlineStr">
        <is>
          <t>T-AAFC-2026-P06-015</t>
        </is>
      </c>
      <c r="B2556" t="inlineStr">
        <is>
          <t>MPSES</t>
        </is>
      </c>
      <c r="C2556" t="inlineStr">
        <is>
          <t>Director of Policy</t>
        </is>
      </c>
      <c r="D2556" t="inlineStr">
        <is>
          <t>Directrice des politiques</t>
        </is>
      </c>
      <c r="E2556" t="inlineStr">
        <is>
          <t>Serena Smith</t>
        </is>
      </c>
      <c r="F2556" t="inlineStr">
        <is>
          <t>To support the Minister in attending the Federal-Provincial-Territorial Annual Conference of Ministers of Agriculture</t>
        </is>
      </c>
      <c r="G2556" t="inlineStr">
        <is>
          <t>Soutenir le ministre dans sa participation à la Conférence annuelle fédérale-provinciale-territoriale des ministres de l’Agriculture</t>
        </is>
      </c>
      <c r="H2556" s="1" t="n">
        <v>45907</v>
      </c>
      <c r="I2556" s="1" t="n">
        <v>45909</v>
      </c>
      <c r="J2556" t="inlineStr">
        <is>
          <t>Winnipeg, Manitoba, Canada</t>
        </is>
      </c>
      <c r="K2556" t="inlineStr">
        <is>
          <t>Winnipeg, Manitoba, Canada</t>
        </is>
      </c>
      <c r="P2556" t="n">
        <v>1121.63</v>
      </c>
      <c r="Q2556" t="n">
        <v>47.24</v>
      </c>
      <c r="R2556" t="n">
        <v>447.18</v>
      </c>
      <c r="S2556" t="n">
        <v>170.2</v>
      </c>
      <c r="T2556" t="n">
        <v>426.89</v>
      </c>
      <c r="U2556" t="n">
        <v>2213.14</v>
      </c>
      <c r="X2556" t="inlineStr">
        <is>
          <t>aafc-aac</t>
        </is>
      </c>
      <c r="Y2556" t="inlineStr">
        <is>
          <t>Agriculture and Agri-Food Canada | Agriculture et Agroalimentaire Canada</t>
        </is>
      </c>
    </row>
    <row r="2557">
      <c r="A2557" t="inlineStr">
        <is>
          <t>T-AAFC-2026-P06-016</t>
        </is>
      </c>
      <c r="B2557" t="inlineStr">
        <is>
          <t>MPSES</t>
        </is>
      </c>
      <c r="C2557" t="inlineStr">
        <is>
          <t xml:space="preserve">Director of Operations  </t>
        </is>
      </c>
      <c r="D2557" t="inlineStr">
        <is>
          <t>Directrice des opérations</t>
        </is>
      </c>
      <c r="E2557" t="inlineStr">
        <is>
          <t>Mikaela Harrison</t>
        </is>
      </c>
      <c r="F2557" t="inlineStr">
        <is>
          <t>To support the Minister to attend the MIN/Pres meetings, the Evangeline Exhibition (Agriculture event) as well as a Cabinet Committee meeting</t>
        </is>
      </c>
      <c r="G2557" t="inlineStr">
        <is>
          <t>Soutenir le ministre à participer aux réunions MIN/Pres, à l'exposition Evangeline (événement agricole) ainsi qu'à une réunion du comité du Cabinet.</t>
        </is>
      </c>
      <c r="H2557" s="1" t="n">
        <v>45897</v>
      </c>
      <c r="I2557" s="1" t="n">
        <v>45899</v>
      </c>
      <c r="J2557" t="inlineStr">
        <is>
          <t>Charlottetown, Prince Edward Island, Canada</t>
        </is>
      </c>
      <c r="K2557" t="inlineStr">
        <is>
          <t>Charlottetown, Île-du-Prince-Édouard, Canada</t>
        </is>
      </c>
      <c r="P2557" t="n">
        <v>1178.83</v>
      </c>
      <c r="Q2557" t="n">
        <v>125.38</v>
      </c>
      <c r="R2557" t="n">
        <v>744.11</v>
      </c>
      <c r="S2557" t="n">
        <v>255.4</v>
      </c>
      <c r="T2557" t="n">
        <v>0</v>
      </c>
      <c r="U2557" t="n">
        <v>2303.72</v>
      </c>
      <c r="X2557" t="inlineStr">
        <is>
          <t>aafc-aac</t>
        </is>
      </c>
      <c r="Y2557" t="inlineStr">
        <is>
          <t>Agriculture and Agri-Food Canada | Agriculture et Agroalimentaire Canada</t>
        </is>
      </c>
    </row>
    <row r="2558">
      <c r="A2558" t="inlineStr">
        <is>
          <t>T-AAFC-2026-P06-017</t>
        </is>
      </c>
      <c r="B2558" t="inlineStr">
        <is>
          <t>MPSES</t>
        </is>
      </c>
      <c r="C2558" t="inlineStr">
        <is>
          <t>Parliamentary Secretary</t>
        </is>
      </c>
      <c r="D2558" t="inlineStr">
        <is>
          <t>Secrétaire parlementaire</t>
        </is>
      </c>
      <c r="E2558" t="inlineStr">
        <is>
          <t>Sophie Chatel</t>
        </is>
      </c>
      <c r="F2558" t="inlineStr">
        <is>
          <t>To support the Minister in attending the Federal-Provincial-Territorial Annual Conference of Ministers of Agriculture</t>
        </is>
      </c>
      <c r="G2558" t="inlineStr">
        <is>
          <t>Soutenir le ministre dans sa participation à la Conférence annuelle fédérale-provinciale-territoriale des ministres de l’Agriculture</t>
        </is>
      </c>
      <c r="H2558" s="1" t="n">
        <v>45906</v>
      </c>
      <c r="I2558" s="1" t="n">
        <v>45909</v>
      </c>
      <c r="J2558" t="inlineStr">
        <is>
          <t>Winnipeg, Manitoba, Canada</t>
        </is>
      </c>
      <c r="K2558" t="inlineStr">
        <is>
          <t>Winnipeg, Manitoba, Canada</t>
        </is>
      </c>
      <c r="L2558" t="inlineStr">
        <is>
          <t>Québec, Quebec, Canada</t>
        </is>
      </c>
      <c r="M2558" t="inlineStr">
        <is>
          <t>Québec, Québec, Canada</t>
        </is>
      </c>
      <c r="P2558" t="n">
        <v>447.44</v>
      </c>
      <c r="Q2558" t="n">
        <v>112.29</v>
      </c>
      <c r="R2558" t="n">
        <v>447.18</v>
      </c>
      <c r="S2558" t="n">
        <v>170.2</v>
      </c>
      <c r="T2558" t="n">
        <v>0</v>
      </c>
      <c r="U2558" t="n">
        <v>1177.11</v>
      </c>
      <c r="X2558" t="inlineStr">
        <is>
          <t>aafc-aac</t>
        </is>
      </c>
      <c r="Y2558" t="inlineStr">
        <is>
          <t>Agriculture and Agri-Food Canada | Agriculture et Agroalimentaire Canada</t>
        </is>
      </c>
    </row>
    <row r="2559">
      <c r="A2559" t="inlineStr">
        <is>
          <t>T-AAFC-2026-P06-018</t>
        </is>
      </c>
      <c r="B2559" t="inlineStr">
        <is>
          <t>MPSES</t>
        </is>
      </c>
      <c r="C2559" t="inlineStr">
        <is>
          <t>Deputy Minister</t>
        </is>
      </c>
      <c r="D2559" t="inlineStr">
        <is>
          <t>Sous-Ministre</t>
        </is>
      </c>
      <c r="E2559" t="inlineStr">
        <is>
          <t>Lawrence Hanson</t>
        </is>
      </c>
      <c r="F2559" t="inlineStr">
        <is>
          <t>To support the Minister attending an Outreach</t>
        </is>
      </c>
      <c r="G2559" t="inlineStr">
        <is>
          <t>Soutenir le minister participant à une activité de sensibilisation</t>
        </is>
      </c>
      <c r="H2559" s="1" t="n">
        <v>45890</v>
      </c>
      <c r="I2559" s="1" t="n">
        <v>45891</v>
      </c>
      <c r="J2559" t="inlineStr">
        <is>
          <t>Saskatoon, Saskatchewan, Canada</t>
        </is>
      </c>
      <c r="K2559" t="inlineStr">
        <is>
          <t>Saskatoon, Saskatchewan, Canada</t>
        </is>
      </c>
      <c r="P2559" t="n">
        <v>0</v>
      </c>
      <c r="Q2559" t="n">
        <v>0</v>
      </c>
      <c r="R2559" t="n">
        <v>421.48</v>
      </c>
      <c r="S2559" t="n">
        <v>0</v>
      </c>
      <c r="T2559" t="n">
        <v>0</v>
      </c>
      <c r="U2559" t="n">
        <v>421.48</v>
      </c>
      <c r="X2559" t="inlineStr">
        <is>
          <t>aafc-aac</t>
        </is>
      </c>
      <c r="Y2559" t="inlineStr">
        <is>
          <t>Agriculture and Agri-Food Canada | Agriculture et Agroalimentaire Canada</t>
        </is>
      </c>
    </row>
    <row r="2560">
      <c r="A2560" t="inlineStr">
        <is>
          <t>T-AAFC-2026-P06-019</t>
        </is>
      </c>
      <c r="B2560" t="inlineStr">
        <is>
          <t>SLE</t>
        </is>
      </c>
      <c r="C2560" t="inlineStr">
        <is>
          <t>Assistant Deputy Minister, Corporate Management Branch</t>
        </is>
      </c>
      <c r="D2560" t="inlineStr">
        <is>
          <t>Sous-ministre adjoint, Direction générale de la gestion intégrée</t>
        </is>
      </c>
      <c r="E2560" t="inlineStr">
        <is>
          <t>Alain Lagacé</t>
        </is>
      </c>
      <c r="F2560" t="inlineStr">
        <is>
          <t xml:space="preserve">To attend an Executive Panel in Vancouver </t>
        </is>
      </c>
      <c r="G2560" t="inlineStr">
        <is>
          <t>Assister à un panel de direction à Vancouver</t>
        </is>
      </c>
      <c r="H2560" s="1" t="n">
        <v>45909</v>
      </c>
      <c r="I2560" s="1" t="n">
        <v>45911</v>
      </c>
      <c r="J2560" t="inlineStr">
        <is>
          <t>Vancouver, British Columbia, Canada</t>
        </is>
      </c>
      <c r="K2560" t="inlineStr">
        <is>
          <t>Vancouver, Colombie-Britannique, Canada</t>
        </is>
      </c>
      <c r="P2560" t="n">
        <v>314.23</v>
      </c>
      <c r="Q2560" t="n">
        <v>249.04</v>
      </c>
      <c r="R2560" t="n">
        <v>925.6799999999999</v>
      </c>
      <c r="S2560" t="n">
        <v>392.4</v>
      </c>
      <c r="T2560" t="n">
        <v>0</v>
      </c>
      <c r="U2560" t="n">
        <v>1881.35</v>
      </c>
      <c r="X2560" t="inlineStr">
        <is>
          <t>aafc-aac</t>
        </is>
      </c>
      <c r="Y2560" t="inlineStr">
        <is>
          <t>Agriculture and Agri-Food Canada | Agriculture et Agroalimentaire Canada</t>
        </is>
      </c>
    </row>
    <row r="2561">
      <c r="A2561" t="inlineStr">
        <is>
          <t>T-AAFC-2026-P06-020</t>
        </is>
      </c>
      <c r="B2561" t="inlineStr">
        <is>
          <t>SLE</t>
        </is>
      </c>
      <c r="C2561" t="inlineStr">
        <is>
          <t xml:space="preserve">Assistant Deputy Minister, Public Affairs Branch </t>
        </is>
      </c>
      <c r="D2561" t="inlineStr">
        <is>
          <t xml:space="preserve">Sous-ministre adjointe, Direction générale des affaires publiques </t>
        </is>
      </c>
      <c r="E2561" t="inlineStr">
        <is>
          <t>Mary Dila</t>
        </is>
      </c>
      <c r="F2561" t="inlineStr">
        <is>
          <t>To attend the Federal-Provincial-Territorial Annual Conference of Ministers of Agriculture</t>
        </is>
      </c>
      <c r="G2561" t="inlineStr">
        <is>
          <t>Assister à la conférence annuelle fédérale-provinciale-territoriale des ministres de l’Agriculture.</t>
        </is>
      </c>
      <c r="H2561" s="1" t="n">
        <v>45907</v>
      </c>
      <c r="I2561" s="1" t="n">
        <v>45910</v>
      </c>
      <c r="J2561" t="inlineStr">
        <is>
          <t>Winnipeg, Manitoba, Canada</t>
        </is>
      </c>
      <c r="K2561" t="inlineStr">
        <is>
          <t>Winnipeg, Manitoba, Canada</t>
        </is>
      </c>
      <c r="P2561" t="n">
        <v>663.33</v>
      </c>
      <c r="Q2561" t="n">
        <v>25.76</v>
      </c>
      <c r="R2561" t="n">
        <v>726.77</v>
      </c>
      <c r="S2561" t="n">
        <v>326.5</v>
      </c>
      <c r="T2561" t="n">
        <v>0</v>
      </c>
      <c r="U2561" t="n">
        <v>1742.36</v>
      </c>
      <c r="X2561" t="inlineStr">
        <is>
          <t>aafc-aac</t>
        </is>
      </c>
      <c r="Y2561" t="inlineStr">
        <is>
          <t>Agriculture and Agri-Food Canada | Agriculture et Agroalimentaire Canada</t>
        </is>
      </c>
    </row>
    <row r="2562">
      <c r="A2562" t="inlineStr">
        <is>
          <t>T-AAFC-2026-P06-021</t>
        </is>
      </c>
      <c r="B2562" t="inlineStr">
        <is>
          <t>SLE</t>
        </is>
      </c>
      <c r="C2562" t="inlineStr">
        <is>
          <t>Assistant Deputy Minister, Programs Branch</t>
        </is>
      </c>
      <c r="D2562" t="inlineStr">
        <is>
          <t>Sous-ministre adjointe, Direction générale des programmes</t>
        </is>
      </c>
      <c r="E2562" t="inlineStr">
        <is>
          <t>Liz Foster</t>
        </is>
      </c>
      <c r="F2562" t="inlineStr">
        <is>
          <t>To attend the Federal-Provincial-Territorial Annual Conference of Ministers of Agriculture</t>
        </is>
      </c>
      <c r="G2562" t="inlineStr">
        <is>
          <t>Assister à la conférence annuelle fédérale-provinciale-territoriale des ministres de l’Agriculture.</t>
        </is>
      </c>
      <c r="H2562" s="1" t="n">
        <v>45907</v>
      </c>
      <c r="I2562" s="1" t="n">
        <v>45910</v>
      </c>
      <c r="J2562" t="inlineStr">
        <is>
          <t>Winnipeg, Manitoba, Canada</t>
        </is>
      </c>
      <c r="K2562" t="inlineStr">
        <is>
          <t>Winnipeg, Manitoba, Canada</t>
        </is>
      </c>
      <c r="P2562" t="n">
        <v>971.21</v>
      </c>
      <c r="Q2562" t="n">
        <v>121.4</v>
      </c>
      <c r="R2562" t="n">
        <v>670.77</v>
      </c>
      <c r="S2562" t="n">
        <v>182.7</v>
      </c>
      <c r="T2562" t="n">
        <v>0</v>
      </c>
      <c r="U2562" t="n">
        <v>1946.08</v>
      </c>
      <c r="X2562" t="inlineStr">
        <is>
          <t>aafc-aac</t>
        </is>
      </c>
      <c r="Y2562" t="inlineStr">
        <is>
          <t>Agriculture and Agri-Food Canada | Agriculture et Agroalimentaire Canada</t>
        </is>
      </c>
    </row>
    <row r="2563">
      <c r="A2563" t="inlineStr">
        <is>
          <t>T-AAFC-2026-P07-001</t>
        </is>
      </c>
      <c r="B2563" t="inlineStr">
        <is>
          <t>MPSES</t>
        </is>
      </c>
      <c r="C2563" t="inlineStr">
        <is>
          <t>Minister</t>
        </is>
      </c>
      <c r="D2563" t="inlineStr">
        <is>
          <t>Ministre</t>
        </is>
      </c>
      <c r="E2563" t="inlineStr">
        <is>
          <t>Heath MacDonald</t>
        </is>
      </c>
      <c r="F2563" t="inlineStr">
        <is>
          <t>To visit Ontario stakeholders and tour the Ontario Dairy Research Centre</t>
        </is>
      </c>
      <c r="G2563" t="inlineStr">
        <is>
          <t>Visiter les parties prenantes de l'Ontario et du Centre de recherche laitière de l'Ontario</t>
        </is>
      </c>
      <c r="H2563" s="1" t="n">
        <v>45932</v>
      </c>
      <c r="I2563" s="1" t="n">
        <v>45933</v>
      </c>
      <c r="J2563" t="inlineStr">
        <is>
          <t>Toronto, Ontario, Canada</t>
        </is>
      </c>
      <c r="K2563" t="inlineStr">
        <is>
          <t>Toronto, Ontario, Canada</t>
        </is>
      </c>
      <c r="P2563" t="n">
        <v>1342.13</v>
      </c>
      <c r="Q2563" t="n">
        <v>0</v>
      </c>
      <c r="R2563" t="n">
        <v>244</v>
      </c>
      <c r="S2563" t="n">
        <v>119.4</v>
      </c>
      <c r="T2563" t="n">
        <v>0</v>
      </c>
      <c r="U2563" t="n">
        <v>1705.53</v>
      </c>
      <c r="X2563" t="inlineStr">
        <is>
          <t>aafc-aac</t>
        </is>
      </c>
      <c r="Y2563" t="inlineStr">
        <is>
          <t>Agriculture and Agri-Food Canada | Agriculture et Agroalimentaire Canada</t>
        </is>
      </c>
    </row>
    <row r="2564">
      <c r="A2564" t="inlineStr">
        <is>
          <t>T-AAFC-2026-P07-002</t>
        </is>
      </c>
      <c r="B2564" t="inlineStr">
        <is>
          <t>MPSES</t>
        </is>
      </c>
      <c r="C2564" t="inlineStr">
        <is>
          <t>Minister</t>
        </is>
      </c>
      <c r="D2564" t="inlineStr">
        <is>
          <t>Ministre</t>
        </is>
      </c>
      <c r="E2564" t="inlineStr">
        <is>
          <t>Heath MacDonald</t>
        </is>
      </c>
      <c r="F2564" t="inlineStr">
        <is>
          <t>To attend a Ministerial Mission</t>
        </is>
      </c>
      <c r="G2564" t="inlineStr">
        <is>
          <t>Participer à une mission ministérielle</t>
        </is>
      </c>
      <c r="H2564" s="1" t="n">
        <v>45941</v>
      </c>
      <c r="I2564" s="1" t="n">
        <v>45947</v>
      </c>
      <c r="J2564" t="inlineStr">
        <is>
          <t>Mexico City, Mexico</t>
        </is>
      </c>
      <c r="K2564" t="inlineStr">
        <is>
          <t>Mexico, Mexique</t>
        </is>
      </c>
      <c r="L2564" t="inlineStr">
        <is>
          <t>Guadalajara, Mexico</t>
        </is>
      </c>
      <c r="M2564" t="inlineStr">
        <is>
          <t>Guadalajara, Mexique</t>
        </is>
      </c>
      <c r="P2564" t="n">
        <v>2827.67</v>
      </c>
      <c r="Q2564" t="n">
        <v>0</v>
      </c>
      <c r="R2564" t="n">
        <v>1881.32</v>
      </c>
      <c r="S2564" t="n">
        <v>673.91</v>
      </c>
      <c r="T2564" t="n">
        <v>0</v>
      </c>
      <c r="U2564" t="n">
        <v>5382.9</v>
      </c>
      <c r="X2564" t="inlineStr">
        <is>
          <t>aafc-aac</t>
        </is>
      </c>
      <c r="Y2564" t="inlineStr">
        <is>
          <t>Agriculture and Agri-Food Canada | Agriculture et Agroalimentaire Canada</t>
        </is>
      </c>
    </row>
    <row r="2565">
      <c r="A2565" t="inlineStr">
        <is>
          <t>T-AAFC-2026-P07-003</t>
        </is>
      </c>
      <c r="B2565" t="inlineStr">
        <is>
          <t>MPSES</t>
        </is>
      </c>
      <c r="C2565" t="inlineStr">
        <is>
          <t>Policy Advisor</t>
        </is>
      </c>
      <c r="D2565" t="inlineStr">
        <is>
          <t>Conseiller en politiques</t>
        </is>
      </c>
      <c r="E2565" t="inlineStr">
        <is>
          <t>Jeremy Keats</t>
        </is>
      </c>
      <c r="F2565" t="inlineStr">
        <is>
          <t>To support the Minister to visit Ontario stakeholders and tour the Ontario Dairy Research Centre</t>
        </is>
      </c>
      <c r="G2565" t="inlineStr">
        <is>
          <t>Soutenir le ministre lors de sa visite des parties prenantes de l'Ontario et du Centre de recherche laitière de l'Ontario</t>
        </is>
      </c>
      <c r="H2565" s="1" t="n">
        <v>45932</v>
      </c>
      <c r="I2565" s="1" t="n">
        <v>45933</v>
      </c>
      <c r="J2565" t="inlineStr">
        <is>
          <t>Toronto, Ontario, Canada</t>
        </is>
      </c>
      <c r="K2565" t="inlineStr">
        <is>
          <t>Toronto, Ontario, Canada</t>
        </is>
      </c>
      <c r="P2565" t="n">
        <v>1264.95</v>
      </c>
      <c r="Q2565" t="n">
        <v>0</v>
      </c>
      <c r="R2565" t="n">
        <v>244</v>
      </c>
      <c r="S2565" t="n">
        <v>119.4</v>
      </c>
      <c r="T2565" t="n">
        <v>0</v>
      </c>
      <c r="U2565" t="n">
        <v>1628.35</v>
      </c>
      <c r="X2565" t="inlineStr">
        <is>
          <t>aafc-aac</t>
        </is>
      </c>
      <c r="Y2565" t="inlineStr">
        <is>
          <t>Agriculture and Agri-Food Canada | Agriculture et Agroalimentaire Canada</t>
        </is>
      </c>
    </row>
    <row r="2566">
      <c r="A2566" t="inlineStr">
        <is>
          <t>T-AAFC-2026-P07-004</t>
        </is>
      </c>
      <c r="B2566" t="inlineStr">
        <is>
          <t>MPSES</t>
        </is>
      </c>
      <c r="C2566" t="inlineStr">
        <is>
          <t>Ontario Desk/Parliamentary Secretary Assistant</t>
        </is>
      </c>
      <c r="D2566" t="inlineStr">
        <is>
          <t>Bureau d'Ontario/Assistant du secrétaire parlementaire</t>
        </is>
      </c>
      <c r="E2566" t="inlineStr">
        <is>
          <t>Jason MacDonald</t>
        </is>
      </c>
      <c r="F2566" t="inlineStr">
        <is>
          <t>To support the Minister to visit Ontario stakeholders and tour the Ontario Dairy Research Centre</t>
        </is>
      </c>
      <c r="G2566" t="inlineStr">
        <is>
          <t>Soutenir le ministre lors de sa visite des parties prenantes de l'Ontario et du Centre de recherche laitière de l'Ontario</t>
        </is>
      </c>
      <c r="H2566" s="1" t="n">
        <v>45932</v>
      </c>
      <c r="I2566" s="1" t="n">
        <v>45933</v>
      </c>
      <c r="J2566" t="inlineStr">
        <is>
          <t>Toronto, Ontario, Canada</t>
        </is>
      </c>
      <c r="K2566" t="inlineStr">
        <is>
          <t>Toronto, Ontario, Canada</t>
        </is>
      </c>
      <c r="P2566" t="n">
        <v>1264.95</v>
      </c>
      <c r="Q2566" t="n">
        <v>84.38</v>
      </c>
      <c r="R2566" t="n">
        <v>244</v>
      </c>
      <c r="S2566" t="n">
        <v>119.4</v>
      </c>
      <c r="T2566" t="n">
        <v>0</v>
      </c>
      <c r="U2566" t="n">
        <v>1712.73</v>
      </c>
      <c r="X2566" t="inlineStr">
        <is>
          <t>aafc-aac</t>
        </is>
      </c>
      <c r="Y2566" t="inlineStr">
        <is>
          <t>Agriculture and Agri-Food Canada | Agriculture et Agroalimentaire Canada</t>
        </is>
      </c>
    </row>
    <row r="2567">
      <c r="A2567" t="inlineStr">
        <is>
          <t>T-AAFC-2026-P07-005</t>
        </is>
      </c>
      <c r="B2567" t="inlineStr">
        <is>
          <t>MPSES</t>
        </is>
      </c>
      <c r="C2567" t="inlineStr">
        <is>
          <t>Director of Policy</t>
        </is>
      </c>
      <c r="D2567" t="inlineStr">
        <is>
          <t>Directrice des politiques</t>
        </is>
      </c>
      <c r="E2567" t="inlineStr">
        <is>
          <t>Serena Smith</t>
        </is>
      </c>
      <c r="F2567" t="inlineStr">
        <is>
          <t>To support the Minister to attend meetings with the industry and attend a Prince Edward Island roundtable</t>
        </is>
      </c>
      <c r="G2567" t="inlineStr">
        <is>
          <t>Soutenir le ministre lors de réunions avec l'industrie et une table ronde à l'Île-du-Prince-Édouard</t>
        </is>
      </c>
      <c r="H2567" s="1" t="n">
        <v>45925</v>
      </c>
      <c r="I2567" s="1" t="n">
        <v>45930</v>
      </c>
      <c r="J2567" t="inlineStr">
        <is>
          <t>Charlottetown, Prince Edward Island, Canada</t>
        </is>
      </c>
      <c r="K2567" t="inlineStr">
        <is>
          <t>Charlottetown, Île-du-Prince-Édouard, Canada</t>
        </is>
      </c>
      <c r="P2567" t="n">
        <v>1436.76</v>
      </c>
      <c r="Q2567" t="n">
        <v>0</v>
      </c>
      <c r="R2567" t="n">
        <v>604.16</v>
      </c>
      <c r="S2567" t="n">
        <v>115.4</v>
      </c>
      <c r="T2567" t="n">
        <v>0</v>
      </c>
      <c r="U2567" t="n">
        <v>2156.32</v>
      </c>
      <c r="X2567" t="inlineStr">
        <is>
          <t>aafc-aac</t>
        </is>
      </c>
      <c r="Y2567" t="inlineStr">
        <is>
          <t>Agriculture and Agri-Food Canada | Agriculture et Agroalimentaire Canada</t>
        </is>
      </c>
    </row>
    <row r="2568">
      <c r="A2568" t="inlineStr">
        <is>
          <t>T-AAFC-2026-P07-006</t>
        </is>
      </c>
      <c r="B2568" t="inlineStr">
        <is>
          <t>MPSES</t>
        </is>
      </c>
      <c r="C2568" t="inlineStr">
        <is>
          <t>Director of Policy</t>
        </is>
      </c>
      <c r="D2568" t="inlineStr">
        <is>
          <t>Directrice des politiques</t>
        </is>
      </c>
      <c r="E2568" t="inlineStr">
        <is>
          <t>Serena Smith</t>
        </is>
      </c>
      <c r="F2568" t="inlineStr">
        <is>
          <t>To attend a Ministerial Mission</t>
        </is>
      </c>
      <c r="G2568" t="inlineStr">
        <is>
          <t>Participer à une mission ministérielle</t>
        </is>
      </c>
      <c r="H2568" s="1" t="n">
        <v>45941</v>
      </c>
      <c r="I2568" s="1" t="n">
        <v>45947</v>
      </c>
      <c r="J2568" t="inlineStr">
        <is>
          <t>Mexico City, Mexico</t>
        </is>
      </c>
      <c r="K2568" t="inlineStr">
        <is>
          <t>Mexico, Mexique</t>
        </is>
      </c>
      <c r="L2568" t="inlineStr">
        <is>
          <t>Guadalajara, Mexico</t>
        </is>
      </c>
      <c r="M2568" t="inlineStr">
        <is>
          <t>Guadalajara, Mexique</t>
        </is>
      </c>
      <c r="P2568" t="n">
        <v>2827.67</v>
      </c>
      <c r="Q2568" t="n">
        <v>0</v>
      </c>
      <c r="R2568" t="n">
        <v>1891.76</v>
      </c>
      <c r="S2568" t="n">
        <v>730.26</v>
      </c>
      <c r="T2568" t="n">
        <v>0</v>
      </c>
      <c r="U2568" t="n">
        <v>5449.69</v>
      </c>
      <c r="X2568" t="inlineStr">
        <is>
          <t>aafc-aac</t>
        </is>
      </c>
      <c r="Y2568" t="inlineStr">
        <is>
          <t>Agriculture and Agri-Food Canada | Agriculture et Agroalimentaire Canada</t>
        </is>
      </c>
    </row>
    <row r="2569">
      <c r="A2569" t="inlineStr">
        <is>
          <t>T-AAFC-2026-P07-007</t>
        </is>
      </c>
      <c r="B2569" t="inlineStr">
        <is>
          <t>MPSES</t>
        </is>
      </c>
      <c r="C2569" t="inlineStr">
        <is>
          <t>Atlantic Regional Advisor</t>
        </is>
      </c>
      <c r="D2569" t="inlineStr">
        <is>
          <t>Conseiller régional de l'Atlantique</t>
        </is>
      </c>
      <c r="E2569" t="inlineStr">
        <is>
          <t>Jake Godfrey</t>
        </is>
      </c>
      <c r="F2569" t="inlineStr">
        <is>
          <t>To support the Minister to attend meetings with the industry and attend a Prince Edward Island roundtable</t>
        </is>
      </c>
      <c r="G2569" t="inlineStr">
        <is>
          <t>Soutenir le ministre lors de réunions avec l'industrie et une table ronde à l'Île-du-Prince-Édouard</t>
        </is>
      </c>
      <c r="H2569" s="1" t="n">
        <v>45925</v>
      </c>
      <c r="I2569" s="1" t="n">
        <v>45927</v>
      </c>
      <c r="J2569" t="inlineStr">
        <is>
          <t>Charlottetown, Prince Edward Island, Canada</t>
        </is>
      </c>
      <c r="K2569" t="inlineStr">
        <is>
          <t>Charlottetown, Île-du-Prince-Édouard, Canada</t>
        </is>
      </c>
      <c r="P2569" t="n">
        <v>1424.76</v>
      </c>
      <c r="Q2569" t="n">
        <v>190.23</v>
      </c>
      <c r="R2569" t="n">
        <v>0</v>
      </c>
      <c r="S2569" t="n">
        <v>113.5</v>
      </c>
      <c r="T2569" t="n">
        <v>0</v>
      </c>
      <c r="U2569" t="n">
        <v>1728.49</v>
      </c>
      <c r="X2569" t="inlineStr">
        <is>
          <t>aafc-aac</t>
        </is>
      </c>
      <c r="Y2569" t="inlineStr">
        <is>
          <t>Agriculture and Agri-Food Canada | Agriculture et Agroalimentaire Canada</t>
        </is>
      </c>
    </row>
    <row r="2570">
      <c r="A2570" t="inlineStr">
        <is>
          <t>T-AAFC-2026-P07-008</t>
        </is>
      </c>
      <c r="B2570" t="inlineStr">
        <is>
          <t>MPSES</t>
        </is>
      </c>
      <c r="C2570" t="inlineStr">
        <is>
          <t>Special Assistant</t>
        </is>
      </c>
      <c r="D2570" t="inlineStr">
        <is>
          <t>Adjointe spéciale</t>
        </is>
      </c>
      <c r="E2570" t="inlineStr">
        <is>
          <t>Yasmin Veiga</t>
        </is>
      </c>
      <c r="F2570" t="inlineStr">
        <is>
          <t>To accompany the Parliamentary Secretary to a Sectorial Congress of the Union of agricultural producers (UPA)</t>
        </is>
      </c>
      <c r="G2570" t="inlineStr">
        <is>
          <t>Accompagner la secrétaire parlementaire au congrès sectoriel de l'Union des producteurs agricoles (UPA)</t>
        </is>
      </c>
      <c r="H2570" s="1" t="n">
        <v>45933</v>
      </c>
      <c r="I2570" s="1" t="n">
        <v>45935</v>
      </c>
      <c r="J2570" t="inlineStr">
        <is>
          <t>Low, Quebec, Canada</t>
        </is>
      </c>
      <c r="K2570" t="inlineStr">
        <is>
          <t>Low, Québec, Canada</t>
        </is>
      </c>
      <c r="P2570" t="n">
        <v>0</v>
      </c>
      <c r="Q2570" t="n">
        <v>153.39</v>
      </c>
      <c r="R2570" t="n">
        <v>0</v>
      </c>
      <c r="S2570" t="n">
        <v>0</v>
      </c>
      <c r="T2570" t="n">
        <v>0</v>
      </c>
      <c r="U2570" t="n">
        <v>153.39</v>
      </c>
      <c r="X2570" t="inlineStr">
        <is>
          <t>aafc-aac</t>
        </is>
      </c>
      <c r="Y2570" t="inlineStr">
        <is>
          <t>Agriculture and Agri-Food Canada | Agriculture et Agroalimentaire Canada</t>
        </is>
      </c>
    </row>
    <row r="2571">
      <c r="A2571" t="inlineStr">
        <is>
          <t>T-AAFC-2026-P07-009</t>
        </is>
      </c>
      <c r="B2571" t="inlineStr">
        <is>
          <t>MPSES</t>
        </is>
      </c>
      <c r="C2571" t="inlineStr">
        <is>
          <t>Special Assistant</t>
        </is>
      </c>
      <c r="D2571" t="inlineStr">
        <is>
          <t>Adjointe spéciale</t>
        </is>
      </c>
      <c r="E2571" t="inlineStr">
        <is>
          <t>Yasmin Veiga</t>
        </is>
      </c>
      <c r="F2571" t="inlineStr">
        <is>
          <t>To accompany the Parliamentary Secretary announcing the Union of agricultural producers (UPA) - Agrisolutions climat funding extension</t>
        </is>
      </c>
      <c r="G2571" t="inlineStr">
        <is>
          <t>Accompagner la secrétaire parlementaire à l'annonce de prolongement du financement d'Agrisolutions climat de l'Union des producteurs agricoles (UPA)</t>
        </is>
      </c>
      <c r="H2571" s="1" t="n">
        <v>45946</v>
      </c>
      <c r="I2571" s="1" t="n">
        <v>45947</v>
      </c>
      <c r="J2571" t="inlineStr">
        <is>
          <t>Sainte-Martine, Quebec, Canada</t>
        </is>
      </c>
      <c r="K2571" t="inlineStr">
        <is>
          <t>Sainte-Martine, Québec, Canada</t>
        </is>
      </c>
      <c r="P2571" t="n">
        <v>0</v>
      </c>
      <c r="Q2571" t="n">
        <v>135.58</v>
      </c>
      <c r="R2571" t="n">
        <v>0</v>
      </c>
      <c r="S2571" t="n">
        <v>55.8</v>
      </c>
      <c r="T2571" t="n">
        <v>0</v>
      </c>
      <c r="U2571" t="n">
        <v>191.38</v>
      </c>
      <c r="X2571" t="inlineStr">
        <is>
          <t>aafc-aac</t>
        </is>
      </c>
      <c r="Y2571" t="inlineStr">
        <is>
          <t>Agriculture and Agri-Food Canada | Agriculture et Agroalimentaire Canada</t>
        </is>
      </c>
    </row>
    <row r="2572">
      <c r="A2572" t="inlineStr">
        <is>
          <t>T-AAFC-2026-P07-010</t>
        </is>
      </c>
      <c r="B2572" t="inlineStr">
        <is>
          <t>MPSES</t>
        </is>
      </c>
      <c r="C2572" t="inlineStr">
        <is>
          <t>Parliamentary Secretary</t>
        </is>
      </c>
      <c r="D2572" t="inlineStr">
        <is>
          <t>Secrétaire parlementaire</t>
        </is>
      </c>
      <c r="E2572" t="inlineStr">
        <is>
          <t>Sophie Chatel</t>
        </is>
      </c>
      <c r="F2572" t="inlineStr">
        <is>
          <t>To attend the announcement of the Union of agricultural producers (UPA) - Agrisolutions climat funding extension</t>
        </is>
      </c>
      <c r="G2572" t="inlineStr">
        <is>
          <t>Assister à l'annonce de prolongement de financement d'Agrisolutions climat de l'Union des producteurs agricoles (UPA)</t>
        </is>
      </c>
      <c r="H2572" s="1" t="n">
        <v>45947</v>
      </c>
      <c r="I2572" s="1" t="n">
        <v>45947</v>
      </c>
      <c r="J2572" t="inlineStr">
        <is>
          <t>Sainte-Martine, Quebec, Canada</t>
        </is>
      </c>
      <c r="K2572" t="inlineStr">
        <is>
          <t>Sainte-Martine, Québec, Canada</t>
        </is>
      </c>
      <c r="P2572" t="n">
        <v>0</v>
      </c>
      <c r="Q2572" t="n">
        <v>238.51</v>
      </c>
      <c r="R2572" t="n">
        <v>0</v>
      </c>
      <c r="S2572" t="n">
        <v>90.34999999999999</v>
      </c>
      <c r="T2572" t="n">
        <v>0</v>
      </c>
      <c r="U2572" t="n">
        <v>328.86</v>
      </c>
      <c r="X2572" t="inlineStr">
        <is>
          <t>aafc-aac</t>
        </is>
      </c>
      <c r="Y2572" t="inlineStr">
        <is>
          <t>Agriculture and Agri-Food Canada | Agriculture et Agroalimentaire Canada</t>
        </is>
      </c>
    </row>
    <row r="2573">
      <c r="A2573" t="inlineStr">
        <is>
          <t>T-AAFC-2026-P07-011</t>
        </is>
      </c>
      <c r="B2573" t="inlineStr">
        <is>
          <t>MPSES</t>
        </is>
      </c>
      <c r="C2573" t="inlineStr">
        <is>
          <t>Deputy Minister</t>
        </is>
      </c>
      <c r="D2573" t="inlineStr">
        <is>
          <t>Sous-Ministre</t>
        </is>
      </c>
      <c r="E2573" t="inlineStr">
        <is>
          <t>Lawrence Hanson</t>
        </is>
      </c>
      <c r="F2573" t="inlineStr">
        <is>
          <t xml:space="preserve">To attend the Federal-Provincial-Territorial Annual Conference of Ministers of Agriculture </t>
        </is>
      </c>
      <c r="G2573" t="inlineStr">
        <is>
          <t>Participer à la Conférence annuelle fédérale-provinciale-territoriale des ministres de l'Agriculture</t>
        </is>
      </c>
      <c r="H2573" s="1" t="n">
        <v>45906</v>
      </c>
      <c r="I2573" s="1" t="n">
        <v>45910</v>
      </c>
      <c r="J2573" t="inlineStr">
        <is>
          <t>Winnipeg, Manitoba, Canada</t>
        </is>
      </c>
      <c r="K2573" t="inlineStr">
        <is>
          <t>Winnipeg, Manitoba, Canada</t>
        </is>
      </c>
      <c r="P2573" t="n">
        <v>678.17</v>
      </c>
      <c r="Q2573" t="n">
        <v>0</v>
      </c>
      <c r="R2573" t="n">
        <v>447.18</v>
      </c>
      <c r="S2573" t="n">
        <v>212</v>
      </c>
      <c r="T2573" t="n">
        <v>0</v>
      </c>
      <c r="U2573" t="n">
        <v>1337.35</v>
      </c>
      <c r="X2573" t="inlineStr">
        <is>
          <t>aafc-aac</t>
        </is>
      </c>
      <c r="Y2573" t="inlineStr">
        <is>
          <t>Agriculture and Agri-Food Canada | Agriculture et Agroalimentaire Canada</t>
        </is>
      </c>
    </row>
    <row r="2574">
      <c r="A2574" t="inlineStr">
        <is>
          <t>T-AAFC-2026-P07-012</t>
        </is>
      </c>
      <c r="B2574" t="inlineStr">
        <is>
          <t>SLE</t>
        </is>
      </c>
      <c r="C2574" t="inlineStr">
        <is>
          <t>Assistant Deputy Minister, Science and Technology Branch</t>
        </is>
      </c>
      <c r="D2574" t="inlineStr">
        <is>
          <t>Sous-ministre adjointe, Direction générale des sciences et de la technologie</t>
        </is>
      </c>
      <c r="E2574" t="inlineStr">
        <is>
          <t>Arran McPherson</t>
        </is>
      </c>
      <c r="F2574" t="inlineStr">
        <is>
          <t>To participate in an outreach to London and Harrow Research and Development Centres</t>
        </is>
      </c>
      <c r="G2574" t="inlineStr">
        <is>
          <t>Participer à des réunions de sensibilisation aux centres de recherche et de développement de London et Harrow</t>
        </is>
      </c>
      <c r="H2574" s="1" t="n">
        <v>45902</v>
      </c>
      <c r="I2574" s="1" t="n">
        <v>45907</v>
      </c>
      <c r="J2574" t="inlineStr">
        <is>
          <t>London, Ontario, Canada</t>
        </is>
      </c>
      <c r="K2574" t="inlineStr">
        <is>
          <t>London, Ontario, Canada</t>
        </is>
      </c>
      <c r="L2574" t="inlineStr">
        <is>
          <t>Harrow, Ontario, Canada</t>
        </is>
      </c>
      <c r="M2574" t="inlineStr">
        <is>
          <t>Harrow, Ontario, Canada</t>
        </is>
      </c>
      <c r="N2574" t="inlineStr">
        <is>
          <t>Kingsville, Ontario, Canada;Woodslee, Ontario, Canada</t>
        </is>
      </c>
      <c r="O2574" t="inlineStr">
        <is>
          <t>Kingsville, Ontario, Canada;Woodslee, Ontario, Canada</t>
        </is>
      </c>
      <c r="P2574" t="n">
        <v>1025.86</v>
      </c>
      <c r="Q2574" t="n">
        <v>150.74</v>
      </c>
      <c r="R2574" t="n">
        <v>529.52</v>
      </c>
      <c r="S2574" t="n">
        <v>513.1</v>
      </c>
      <c r="T2574" t="n">
        <v>0</v>
      </c>
      <c r="U2574" t="n">
        <v>2219.22</v>
      </c>
      <c r="X2574" t="inlineStr">
        <is>
          <t>aafc-aac</t>
        </is>
      </c>
      <c r="Y2574" t="inlineStr">
        <is>
          <t>Agriculture and Agri-Food Canada | Agriculture et Agroalimentaire Canada</t>
        </is>
      </c>
    </row>
    <row r="2575">
      <c r="A2575" t="inlineStr">
        <is>
          <t>T-AAFC-2026-P07-013</t>
        </is>
      </c>
      <c r="B2575" t="inlineStr">
        <is>
          <t>SLE</t>
        </is>
      </c>
      <c r="C2575" t="inlineStr">
        <is>
          <t>Assistant Deputy Minister, Corporate Management Branch</t>
        </is>
      </c>
      <c r="D2575" t="inlineStr">
        <is>
          <t>Sous-ministre adjoint, Direction générale de la gestion intégrée</t>
        </is>
      </c>
      <c r="E2575" t="inlineStr">
        <is>
          <t>Alain Lagacé</t>
        </is>
      </c>
      <c r="F2575" t="inlineStr">
        <is>
          <t>To attend the 37th International Colloquium on Financial Management</t>
        </is>
      </c>
      <c r="G2575" t="inlineStr">
        <is>
          <t>Participer au 37ième Colloque international sur la finance</t>
        </is>
      </c>
      <c r="H2575" s="1" t="n">
        <v>45915</v>
      </c>
      <c r="I2575" s="1" t="n">
        <v>45919</v>
      </c>
      <c r="J2575" t="inlineStr">
        <is>
          <t>Boston, Massachusetts, United State</t>
        </is>
      </c>
      <c r="K2575" t="inlineStr">
        <is>
          <t>Boston, Massachusetts, État-Unis</t>
        </is>
      </c>
      <c r="P2575" t="n">
        <v>664.33</v>
      </c>
      <c r="Q2575" t="n">
        <v>192.58</v>
      </c>
      <c r="R2575" t="n">
        <v>1834.16</v>
      </c>
      <c r="S2575" t="n">
        <v>508.43</v>
      </c>
      <c r="T2575" t="n">
        <v>0</v>
      </c>
      <c r="U2575" t="n">
        <v>3199.5</v>
      </c>
      <c r="X2575" t="inlineStr">
        <is>
          <t>aafc-aac</t>
        </is>
      </c>
      <c r="Y2575" t="inlineStr">
        <is>
          <t>Agriculture and Agri-Food Canada | Agriculture et Agroalimentaire Canada</t>
        </is>
      </c>
    </row>
    <row r="2576">
      <c r="A2576" t="inlineStr">
        <is>
          <t>T-AAFC-2026-P07-014</t>
        </is>
      </c>
      <c r="B2576" t="inlineStr">
        <is>
          <t>SLE</t>
        </is>
      </c>
      <c r="C2576" t="inlineStr">
        <is>
          <t>Assistant Deputy Minister, Corporate Management Branch</t>
        </is>
      </c>
      <c r="D2576" t="inlineStr">
        <is>
          <t>Sous-ministre adjoint, Direction générale de la gestion intégrée</t>
        </is>
      </c>
      <c r="E2576" t="inlineStr">
        <is>
          <t>Alain Lagacé</t>
        </is>
      </c>
      <c r="F2576" t="inlineStr">
        <is>
          <t>To attend the 2025 Assistant Deputy Minister's Forum</t>
        </is>
      </c>
      <c r="G2576" t="inlineStr">
        <is>
          <t>Participer au Forum 2025 des sous-ministres adjoints</t>
        </is>
      </c>
      <c r="H2576" s="1" t="n">
        <v>45946</v>
      </c>
      <c r="I2576" s="1" t="n">
        <v>45946</v>
      </c>
      <c r="J2576" t="inlineStr">
        <is>
          <t>Ottawa, Ontario, Canada</t>
        </is>
      </c>
      <c r="K2576" t="inlineStr">
        <is>
          <t>Ottawa, Ontario, Canada</t>
        </is>
      </c>
      <c r="P2576" t="n">
        <v>0</v>
      </c>
      <c r="Q2576" t="n">
        <v>25</v>
      </c>
      <c r="R2576" t="n">
        <v>0</v>
      </c>
      <c r="S2576" t="n">
        <v>0</v>
      </c>
      <c r="T2576" t="n">
        <v>0</v>
      </c>
      <c r="U2576" t="n">
        <v>25</v>
      </c>
      <c r="X2576" t="inlineStr">
        <is>
          <t>aafc-aac</t>
        </is>
      </c>
      <c r="Y2576" t="inlineStr">
        <is>
          <t>Agriculture and Agri-Food Canada | Agriculture et Agroalimentaire Canada</t>
        </is>
      </c>
    </row>
    <row r="2577">
      <c r="A2577" t="inlineStr">
        <is>
          <t>T-AAFC-2026-P07-015</t>
        </is>
      </c>
      <c r="B2577" t="inlineStr">
        <is>
          <t>SLE</t>
        </is>
      </c>
      <c r="C2577" t="inlineStr">
        <is>
          <t>Assistant Deputy Minister, Strategic Policy Branch</t>
        </is>
      </c>
      <c r="D2577" t="inlineStr">
        <is>
          <t>Sous-ministre adjointe, Direction générale des politiques stratégiques</t>
        </is>
      </c>
      <c r="E2577" t="inlineStr">
        <is>
          <t>Shannon Nix</t>
        </is>
      </c>
      <c r="F2577" t="inlineStr">
        <is>
          <t>To attend the Federal-Provincial-Territorial Annual Conference of Ministers of Agriculture</t>
        </is>
      </c>
      <c r="G2577" t="inlineStr">
        <is>
          <t>Assister à la conférence annuelle fédérale-provinciale-territoriale des ministres de l’Agriculture</t>
        </is>
      </c>
      <c r="H2577" s="1" t="n">
        <v>45907</v>
      </c>
      <c r="I2577" s="1" t="n">
        <v>45910</v>
      </c>
      <c r="J2577" t="inlineStr">
        <is>
          <t>Winnipeg, Manitoba, Canada</t>
        </is>
      </c>
      <c r="K2577" t="inlineStr">
        <is>
          <t>Winnipeg, Manitoba, Canada</t>
        </is>
      </c>
      <c r="P2577" t="n">
        <v>946.5700000000001</v>
      </c>
      <c r="Q2577" t="n">
        <v>93.26000000000001</v>
      </c>
      <c r="R2577" t="n">
        <v>670.77</v>
      </c>
      <c r="S2577" t="n">
        <v>323.6</v>
      </c>
      <c r="T2577" t="n">
        <v>0</v>
      </c>
      <c r="U2577" t="n">
        <v>2034.2</v>
      </c>
      <c r="X2577" t="inlineStr">
        <is>
          <t>aafc-aac</t>
        </is>
      </c>
      <c r="Y2577" t="inlineStr">
        <is>
          <t>Agriculture and Agri-Food Canada | Agriculture et Agroalimentaire Canada</t>
        </is>
      </c>
    </row>
    <row r="2578">
      <c r="A2578" t="inlineStr">
        <is>
          <t>T-AAFC-2026-P07-016</t>
        </is>
      </c>
      <c r="B2578" t="inlineStr">
        <is>
          <t>SLE</t>
        </is>
      </c>
      <c r="C2578" t="inlineStr">
        <is>
          <t>Assistant Deputy Minister, Programs Branch</t>
        </is>
      </c>
      <c r="D2578" t="inlineStr">
        <is>
          <t>Sous-ministre adjointe, Direction générale des programmes</t>
        </is>
      </c>
      <c r="E2578" t="inlineStr">
        <is>
          <t>Liz Foster</t>
        </is>
      </c>
      <c r="F2578" t="inlineStr">
        <is>
          <t>To attend a Wahkohtowin Buffalo and Moose Hide Experience</t>
        </is>
      </c>
      <c r="G2578" t="inlineStr">
        <is>
          <t>Assister à l'expérience Wahkohtowin sur la préparation des peaux de bison et d'orignal</t>
        </is>
      </c>
      <c r="H2578" s="1" t="n">
        <v>45926</v>
      </c>
      <c r="I2578" s="1" t="n">
        <v>45926</v>
      </c>
      <c r="J2578" t="inlineStr">
        <is>
          <t>Ottawa, Ontario, Canada</t>
        </is>
      </c>
      <c r="K2578" t="inlineStr">
        <is>
          <t>Ottawa, Ontario, Canada</t>
        </is>
      </c>
      <c r="P2578" t="n">
        <v>0</v>
      </c>
      <c r="Q2578" t="n">
        <v>8</v>
      </c>
      <c r="R2578" t="n">
        <v>0</v>
      </c>
      <c r="S2578" t="n">
        <v>0</v>
      </c>
      <c r="T2578" t="n">
        <v>0</v>
      </c>
      <c r="U2578" t="n">
        <v>8</v>
      </c>
      <c r="X2578" t="inlineStr">
        <is>
          <t>aafc-aac</t>
        </is>
      </c>
      <c r="Y2578" t="inlineStr">
        <is>
          <t>Agriculture and Agri-Food Canada | Agriculture et Agroalimentaire Canada</t>
        </is>
      </c>
    </row>
    <row r="2579">
      <c r="A2579" t="inlineStr">
        <is>
          <t>T-AAFC-2026-P07-017</t>
        </is>
      </c>
      <c r="B2579" t="inlineStr">
        <is>
          <t>SLE</t>
        </is>
      </c>
      <c r="C2579" t="inlineStr">
        <is>
          <t>Assistant Deputy Minister, Programs Branch</t>
        </is>
      </c>
      <c r="D2579" t="inlineStr">
        <is>
          <t>Sous-ministre adjointe, Direction générale des programmes</t>
        </is>
      </c>
      <c r="E2579" t="inlineStr">
        <is>
          <t>Liz Foster</t>
        </is>
      </c>
      <c r="F2579" t="inlineStr">
        <is>
          <t>To participate in a Service Transformation Leadership Workshop</t>
        </is>
      </c>
      <c r="G2579" t="inlineStr">
        <is>
          <t>Participer à un atelier de Leadership sur la transformation des services</t>
        </is>
      </c>
      <c r="H2579" s="1" t="n">
        <v>45932</v>
      </c>
      <c r="I2579" s="1" t="n">
        <v>45932</v>
      </c>
      <c r="J2579" t="inlineStr">
        <is>
          <t>Ottawa, Ontario, Canada</t>
        </is>
      </c>
      <c r="K2579" t="inlineStr">
        <is>
          <t>Ottawa, Ontario, Canada</t>
        </is>
      </c>
      <c r="P2579" t="n">
        <v>0</v>
      </c>
      <c r="Q2579" t="n">
        <v>17</v>
      </c>
      <c r="R2579" t="n">
        <v>0</v>
      </c>
      <c r="S2579" t="n">
        <v>0</v>
      </c>
      <c r="T2579" t="n">
        <v>0</v>
      </c>
      <c r="U2579" t="n">
        <v>17</v>
      </c>
      <c r="X2579" t="inlineStr">
        <is>
          <t>aafc-aac</t>
        </is>
      </c>
      <c r="Y2579" t="inlineStr">
        <is>
          <t>Agriculture and Agri-Food Canada | Agriculture et Agroalimentaire Canada</t>
        </is>
      </c>
    </row>
    <row r="2580">
      <c r="A2580" t="inlineStr">
        <is>
          <t>T-AAFC-2026-P07-018</t>
        </is>
      </c>
      <c r="B2580" t="inlineStr">
        <is>
          <t>SLE</t>
        </is>
      </c>
      <c r="C2580" t="inlineStr">
        <is>
          <t>Assistant Deputy Minister, Programs Branch</t>
        </is>
      </c>
      <c r="D2580" t="inlineStr">
        <is>
          <t>Sous-ministre adjointe, Direction générale des programmes</t>
        </is>
      </c>
      <c r="E2580" t="inlineStr">
        <is>
          <t>Liz Foster</t>
        </is>
      </c>
      <c r="F2580" t="inlineStr">
        <is>
          <t>To attend the 2025 Assistant Deputy Minister's Forum</t>
        </is>
      </c>
      <c r="G2580" t="inlineStr">
        <is>
          <t>Assister au Forum 2025 des sous-ministres adjoints</t>
        </is>
      </c>
      <c r="H2580" s="1" t="n">
        <v>45946</v>
      </c>
      <c r="I2580" s="1" t="n">
        <v>45946</v>
      </c>
      <c r="J2580" t="inlineStr">
        <is>
          <t>Ottawa, Ontario, Canada</t>
        </is>
      </c>
      <c r="K2580" t="inlineStr">
        <is>
          <t>Ottawa, Ontario, Canada</t>
        </is>
      </c>
      <c r="P2580" t="n">
        <v>0</v>
      </c>
      <c r="Q2580" t="n">
        <v>20</v>
      </c>
      <c r="R2580" t="n">
        <v>0</v>
      </c>
      <c r="S2580" t="n">
        <v>0</v>
      </c>
      <c r="T2580" t="n">
        <v>0</v>
      </c>
      <c r="U2580" t="n">
        <v>20</v>
      </c>
      <c r="X2580" t="inlineStr">
        <is>
          <t>aafc-aac</t>
        </is>
      </c>
      <c r="Y2580" t="inlineStr">
        <is>
          <t>Agriculture and Agri-Food Canada | Agriculture et Agroalimentaire Canada</t>
        </is>
      </c>
    </row>
    <row r="2581">
      <c r="A2581" t="inlineStr">
        <is>
          <t>T-AAFC-2026-P07-019</t>
        </is>
      </c>
      <c r="B2581" t="inlineStr">
        <is>
          <t>SLE</t>
        </is>
      </c>
      <c r="C2581" t="inlineStr">
        <is>
          <t>Assistant Deputy Minister, Market and Industry Services Branch</t>
        </is>
      </c>
      <c r="D2581" t="inlineStr">
        <is>
          <t>Sous-ministre adjoint, Direction générale des services à l'industrie et aux marchés</t>
        </is>
      </c>
      <c r="E2581" t="inlineStr">
        <is>
          <t>Tom Rosser</t>
        </is>
      </c>
      <c r="F2581" t="inlineStr">
        <is>
          <t>To participate in the Asia-Pacific Economic Cooperation (APEC) Conference in South Korea</t>
        </is>
      </c>
      <c r="G2581" t="inlineStr">
        <is>
          <t>Participer à la conférence de la Coopération économique Asie-Pacifique (APEC) en Corée du Sud</t>
        </is>
      </c>
      <c r="H2581" s="1" t="n">
        <v>45875</v>
      </c>
      <c r="I2581" s="1" t="n">
        <v>45880</v>
      </c>
      <c r="J2581" t="inlineStr">
        <is>
          <t>Incheon, South Korea</t>
        </is>
      </c>
      <c r="K2581" t="inlineStr">
        <is>
          <t>Incheon, Corée du Sud</t>
        </is>
      </c>
      <c r="P2581" t="n">
        <v>7923.77</v>
      </c>
      <c r="Q2581" t="n">
        <v>128.56</v>
      </c>
      <c r="R2581" t="n">
        <v>686.17</v>
      </c>
      <c r="S2581" t="n">
        <v>811.15</v>
      </c>
      <c r="T2581" t="n">
        <v>0</v>
      </c>
      <c r="U2581" t="n">
        <v>9549.65</v>
      </c>
      <c r="X2581" t="inlineStr">
        <is>
          <t>aafc-aac</t>
        </is>
      </c>
      <c r="Y2581" t="inlineStr">
        <is>
          <t>Agriculture and Agri-Food Canada | Agriculture et Agroalimentaire Canada</t>
        </is>
      </c>
    </row>
    <row r="2582">
      <c r="A2582" t="inlineStr">
        <is>
          <t>T-AAFC-2026-P08-001</t>
        </is>
      </c>
      <c r="B2582" t="inlineStr">
        <is>
          <t>MPSES</t>
        </is>
      </c>
      <c r="C2582" t="inlineStr">
        <is>
          <t>Minister</t>
        </is>
      </c>
      <c r="D2582" t="inlineStr">
        <is>
          <t>Ministre</t>
        </is>
      </c>
      <c r="E2582" t="inlineStr">
        <is>
          <t>Heath MacDonald</t>
        </is>
      </c>
      <c r="F2582" t="inlineStr">
        <is>
          <t>To attend a Ministerial Mission</t>
        </is>
      </c>
      <c r="G2582" t="inlineStr">
        <is>
          <t>Participer à une mission ministérielle</t>
        </is>
      </c>
      <c r="H2582" s="1" t="n">
        <v>45955</v>
      </c>
      <c r="I2582" s="1" t="n">
        <v>45964</v>
      </c>
      <c r="J2582" t="inlineStr">
        <is>
          <t>Shanghai, China</t>
        </is>
      </c>
      <c r="K2582" t="inlineStr">
        <is>
          <t>Shanghai, Chine</t>
        </is>
      </c>
      <c r="L2582" t="inlineStr">
        <is>
          <t>Beijing, China</t>
        </is>
      </c>
      <c r="M2582" t="inlineStr">
        <is>
          <t>Beijing, Chine</t>
        </is>
      </c>
      <c r="N2582" t="inlineStr">
        <is>
          <t>Qingdao, China</t>
        </is>
      </c>
      <c r="O2582" t="inlineStr">
        <is>
          <t>Qingdao, Chine</t>
        </is>
      </c>
      <c r="P2582" t="n">
        <v>15032.94</v>
      </c>
      <c r="Q2582" t="n">
        <v>608.9</v>
      </c>
      <c r="R2582" t="n">
        <v>2204.17</v>
      </c>
      <c r="S2582" t="n">
        <v>1921.29</v>
      </c>
      <c r="T2582" t="n">
        <v>0</v>
      </c>
      <c r="U2582" t="n">
        <v>19767.3</v>
      </c>
      <c r="X2582" t="inlineStr">
        <is>
          <t>aafc-aac</t>
        </is>
      </c>
      <c r="Y2582" t="inlineStr">
        <is>
          <t>Agriculture and Agri-Food Canada | Agriculture et Agroalimentaire Canada</t>
        </is>
      </c>
    </row>
    <row r="2583">
      <c r="A2583" t="inlineStr">
        <is>
          <t>T-AAFC-2026-P08-002</t>
        </is>
      </c>
      <c r="B2583" t="inlineStr">
        <is>
          <t>MPSES</t>
        </is>
      </c>
      <c r="C2583" t="inlineStr">
        <is>
          <t>Chief of Staff</t>
        </is>
      </c>
      <c r="D2583" t="inlineStr">
        <is>
          <t>Chef de Cabinet</t>
        </is>
      </c>
      <c r="E2583" t="inlineStr">
        <is>
          <t>Guy Gallant</t>
        </is>
      </c>
      <c r="F2583" t="inlineStr">
        <is>
          <t>To support the Minister on a Ministerial Mission</t>
        </is>
      </c>
      <c r="G2583" t="inlineStr">
        <is>
          <t>Soutenir le ministre dans le cadre d'une mission ministérielle</t>
        </is>
      </c>
      <c r="H2583" s="1" t="n">
        <v>45941</v>
      </c>
      <c r="I2583" s="1" t="n">
        <v>45947</v>
      </c>
      <c r="J2583" t="inlineStr">
        <is>
          <t>Mexico City, Mexico</t>
        </is>
      </c>
      <c r="K2583" t="inlineStr">
        <is>
          <t>Mexico, Mexique</t>
        </is>
      </c>
      <c r="L2583" t="inlineStr">
        <is>
          <t>Guadalajara, Mexico</t>
        </is>
      </c>
      <c r="M2583" t="inlineStr">
        <is>
          <t>Guadalajara, Mexique</t>
        </is>
      </c>
      <c r="P2583" t="n">
        <v>2827.67</v>
      </c>
      <c r="Q2583" t="n">
        <v>46.78</v>
      </c>
      <c r="R2583" t="n">
        <v>1891.76</v>
      </c>
      <c r="S2583" t="n">
        <v>730.26</v>
      </c>
      <c r="T2583" t="n">
        <v>0</v>
      </c>
      <c r="U2583" t="n">
        <v>5496.47</v>
      </c>
      <c r="X2583" t="inlineStr">
        <is>
          <t>aafc-aac</t>
        </is>
      </c>
      <c r="Y2583" t="inlineStr">
        <is>
          <t>Agriculture and Agri-Food Canada | Agriculture et Agroalimentaire Canada</t>
        </is>
      </c>
    </row>
    <row r="2584">
      <c r="A2584" t="inlineStr">
        <is>
          <t>T-AAFC-2026-P08-003</t>
        </is>
      </c>
      <c r="B2584" t="inlineStr">
        <is>
          <t>MPSES</t>
        </is>
      </c>
      <c r="C2584" t="inlineStr">
        <is>
          <t>Director of Policy</t>
        </is>
      </c>
      <c r="D2584" t="inlineStr">
        <is>
          <t>Directrice des politiques</t>
        </is>
      </c>
      <c r="E2584" t="inlineStr">
        <is>
          <t>Serena Smith</t>
        </is>
      </c>
      <c r="F2584" t="inlineStr">
        <is>
          <t>To support the Minister attending meetings and announcements</t>
        </is>
      </c>
      <c r="G2584" t="inlineStr">
        <is>
          <t>Soutenir le ministre lors de réunions,  et des annonces</t>
        </is>
      </c>
      <c r="H2584" s="1" t="n">
        <v>45969</v>
      </c>
      <c r="I2584" s="1" t="n">
        <v>45973</v>
      </c>
      <c r="J2584" t="inlineStr">
        <is>
          <t>Charlottetown, Prince Edward Island, Canada</t>
        </is>
      </c>
      <c r="K2584" t="inlineStr">
        <is>
          <t>Charlottetown, Île-du-Prince-Édouard, Canada</t>
        </is>
      </c>
      <c r="P2584" t="n">
        <v>2107.21</v>
      </c>
      <c r="Q2584" t="n">
        <v>383.34</v>
      </c>
      <c r="R2584" t="n">
        <v>294.94</v>
      </c>
      <c r="S2584" t="n">
        <v>212.65</v>
      </c>
      <c r="T2584" t="n">
        <v>0</v>
      </c>
      <c r="U2584" t="n">
        <v>2998.14</v>
      </c>
      <c r="X2584" t="inlineStr">
        <is>
          <t>aafc-aac</t>
        </is>
      </c>
      <c r="Y2584" t="inlineStr">
        <is>
          <t>Agriculture and Agri-Food Canada | Agriculture et Agroalimentaire Canada</t>
        </is>
      </c>
    </row>
    <row r="2585">
      <c r="A2585" t="inlineStr">
        <is>
          <t>T-AAFC-2026-P08-004</t>
        </is>
      </c>
      <c r="B2585" t="inlineStr">
        <is>
          <t>MPSES</t>
        </is>
      </c>
      <c r="C2585" t="inlineStr">
        <is>
          <t xml:space="preserve">Director of Operations  </t>
        </is>
      </c>
      <c r="D2585" t="inlineStr">
        <is>
          <t>Directrice des opérations</t>
        </is>
      </c>
      <c r="E2585" t="inlineStr">
        <is>
          <t>Mikaela Harrison</t>
        </is>
      </c>
      <c r="F2585" t="inlineStr">
        <is>
          <t>To support the Minister attending an Outreach</t>
        </is>
      </c>
      <c r="G2585" t="inlineStr">
        <is>
          <t>Soutenir le ministre à participer à une activité de sensibilisation</t>
        </is>
      </c>
      <c r="H2585" s="1" t="n">
        <v>45953</v>
      </c>
      <c r="I2585" s="1" t="n">
        <v>45955</v>
      </c>
      <c r="J2585" t="inlineStr">
        <is>
          <t>Vancouver, British Columbia, Canada</t>
        </is>
      </c>
      <c r="K2585" t="inlineStr">
        <is>
          <t>Vancouver, Colombie-Britannique, Canada</t>
        </is>
      </c>
      <c r="P2585" t="n">
        <v>556.54</v>
      </c>
      <c r="Q2585" t="n">
        <v>35.21</v>
      </c>
      <c r="R2585" t="n">
        <v>890.58</v>
      </c>
      <c r="S2585" t="n">
        <v>214.75</v>
      </c>
      <c r="T2585" t="n">
        <v>0</v>
      </c>
      <c r="U2585" t="n">
        <v>1697.08</v>
      </c>
      <c r="X2585" t="inlineStr">
        <is>
          <t>aafc-aac</t>
        </is>
      </c>
      <c r="Y2585" t="inlineStr">
        <is>
          <t>Agriculture and Agri-Food Canada | Agriculture et Agroalimentaire Canada</t>
        </is>
      </c>
    </row>
    <row r="2586">
      <c r="A2586" t="inlineStr">
        <is>
          <t>T-AAFC-2026-P08-005</t>
        </is>
      </c>
      <c r="B2586" t="inlineStr">
        <is>
          <t>MPSES</t>
        </is>
      </c>
      <c r="C2586" t="inlineStr">
        <is>
          <t xml:space="preserve">Director of Operations  </t>
        </is>
      </c>
      <c r="D2586" t="inlineStr">
        <is>
          <t>Directrice des opérations</t>
        </is>
      </c>
      <c r="E2586" t="inlineStr">
        <is>
          <t>Mikaela Harrison</t>
        </is>
      </c>
      <c r="F2586" t="inlineStr">
        <is>
          <t>To support the Minister on a Ministerial Mission</t>
        </is>
      </c>
      <c r="G2586" t="inlineStr">
        <is>
          <t>Soutenir le ministre dans le cadre d'une mission ministérielle</t>
        </is>
      </c>
      <c r="H2586" s="1" t="n">
        <v>45955</v>
      </c>
      <c r="I2586" s="1" t="n">
        <v>45964</v>
      </c>
      <c r="J2586" t="inlineStr">
        <is>
          <t>Shanghai, China</t>
        </is>
      </c>
      <c r="K2586" t="inlineStr">
        <is>
          <t>Shanghai, Chine</t>
        </is>
      </c>
      <c r="L2586" t="inlineStr">
        <is>
          <t>Beijing, China</t>
        </is>
      </c>
      <c r="M2586" t="inlineStr">
        <is>
          <t>Beijing, Chine</t>
        </is>
      </c>
      <c r="N2586" t="inlineStr">
        <is>
          <t>Qingdao, China</t>
        </is>
      </c>
      <c r="O2586" t="inlineStr">
        <is>
          <t>Qingdao, Chine</t>
        </is>
      </c>
      <c r="P2586" t="n">
        <v>14707.94</v>
      </c>
      <c r="Q2586" t="n">
        <v>608.9</v>
      </c>
      <c r="R2586" t="n">
        <v>2258.46</v>
      </c>
      <c r="S2586" t="n">
        <v>1921.28</v>
      </c>
      <c r="T2586" t="n">
        <v>0</v>
      </c>
      <c r="U2586" t="n">
        <v>19496.58</v>
      </c>
      <c r="X2586" t="inlineStr">
        <is>
          <t>aafc-aac</t>
        </is>
      </c>
      <c r="Y2586" t="inlineStr">
        <is>
          <t>Agriculture and Agri-Food Canada | Agriculture et Agroalimentaire Canada</t>
        </is>
      </c>
    </row>
    <row r="2587">
      <c r="A2587" t="inlineStr">
        <is>
          <t>T-AAFC-2026-P08-006</t>
        </is>
      </c>
      <c r="B2587" t="inlineStr">
        <is>
          <t>MPSES</t>
        </is>
      </c>
      <c r="C2587" t="inlineStr">
        <is>
          <t>Director of Communications</t>
        </is>
      </c>
      <c r="D2587" t="inlineStr">
        <is>
          <t>Directrice des communications</t>
        </is>
      </c>
      <c r="E2587" t="inlineStr">
        <is>
          <t>Jennica Klassen</t>
        </is>
      </c>
      <c r="F2587" t="inlineStr">
        <is>
          <t>To support the Minister attending an Outreach</t>
        </is>
      </c>
      <c r="G2587" t="inlineStr">
        <is>
          <t>Soutenir le ministre à participer à une activité de sensibilisation</t>
        </is>
      </c>
      <c r="H2587" s="1" t="n">
        <v>45953</v>
      </c>
      <c r="I2587" s="1" t="n">
        <v>45955</v>
      </c>
      <c r="J2587" t="inlineStr">
        <is>
          <t>Vancouver, British Columbia, Canada</t>
        </is>
      </c>
      <c r="K2587" t="inlineStr">
        <is>
          <t>Vancouver, Colombie-Britannique, Canada</t>
        </is>
      </c>
      <c r="P2587" t="n">
        <v>1204.84</v>
      </c>
      <c r="Q2587" t="n">
        <v>59.35</v>
      </c>
      <c r="R2587" t="n">
        <v>890.58</v>
      </c>
      <c r="S2587" t="n">
        <v>290.7</v>
      </c>
      <c r="T2587" t="n">
        <v>0</v>
      </c>
      <c r="U2587" t="n">
        <v>2445.47</v>
      </c>
      <c r="X2587" t="inlineStr">
        <is>
          <t>aafc-aac</t>
        </is>
      </c>
      <c r="Y2587" t="inlineStr">
        <is>
          <t>Agriculture and Agri-Food Canada | Agriculture et Agroalimentaire Canada</t>
        </is>
      </c>
    </row>
    <row r="2588">
      <c r="A2588" t="inlineStr">
        <is>
          <t>T-AAFC-2026-P08-007</t>
        </is>
      </c>
      <c r="B2588" t="inlineStr">
        <is>
          <t>SLE</t>
        </is>
      </c>
      <c r="C2588" t="inlineStr">
        <is>
          <t>Assistant Deputy Minister, Science and Technology Branch</t>
        </is>
      </c>
      <c r="D2588" t="inlineStr">
        <is>
          <t>Sous-ministre adjointe, Direction générale des sciences et de la technologie</t>
        </is>
      </c>
      <c r="E2588" t="inlineStr">
        <is>
          <t>Arran McPherson</t>
        </is>
      </c>
      <c r="F2588" t="inlineStr">
        <is>
          <t>To participate in outreach activities</t>
        </is>
      </c>
      <c r="G2588" t="inlineStr">
        <is>
          <t>Participer aux activités de sensibilisation</t>
        </is>
      </c>
      <c r="H2588" s="1" t="n">
        <v>45958</v>
      </c>
      <c r="I2588" s="1" t="n">
        <v>45961</v>
      </c>
      <c r="J2588" t="inlineStr">
        <is>
          <t>Brandon, Manitoba, Canada</t>
        </is>
      </c>
      <c r="K2588" t="inlineStr">
        <is>
          <t>Brandon, Manitoba, Canada</t>
        </is>
      </c>
      <c r="L2588" t="inlineStr">
        <is>
          <t>Morden, Manitoba, Canada</t>
        </is>
      </c>
      <c r="M2588" t="inlineStr">
        <is>
          <t>Morden, Manitoba, Canada</t>
        </is>
      </c>
      <c r="N2588" t="inlineStr">
        <is>
          <t>Winnipeg, Manitoba, Canada</t>
        </is>
      </c>
      <c r="O2588" t="inlineStr">
        <is>
          <t>Winnipeg, Manitoba, Canada</t>
        </is>
      </c>
      <c r="P2588" t="n">
        <v>904.03</v>
      </c>
      <c r="Q2588" t="n">
        <v>104.56</v>
      </c>
      <c r="R2588" t="n">
        <v>588.74</v>
      </c>
      <c r="S2588" t="n">
        <v>371.4</v>
      </c>
      <c r="T2588" t="n">
        <v>0</v>
      </c>
      <c r="U2588" t="n">
        <v>1968.73</v>
      </c>
      <c r="X2588" t="inlineStr">
        <is>
          <t>aafc-aac</t>
        </is>
      </c>
      <c r="Y2588" t="inlineStr">
        <is>
          <t>Agriculture and Agri-Food Canada | Agriculture et Agroalimentaire Canada</t>
        </is>
      </c>
    </row>
    <row r="2589">
      <c r="A2589" t="inlineStr">
        <is>
          <t>T-AAFC-2026-P08-008</t>
        </is>
      </c>
      <c r="B2589" t="inlineStr">
        <is>
          <t>SLE</t>
        </is>
      </c>
      <c r="C2589" t="inlineStr">
        <is>
          <t>Assistant Deputy Minister, Science and Technology Branch</t>
        </is>
      </c>
      <c r="D2589" t="inlineStr">
        <is>
          <t>Sous-ministre adjointe, Direction générale des sciences et de la technologie</t>
        </is>
      </c>
      <c r="E2589" t="inlineStr">
        <is>
          <t>Arran McPherson</t>
        </is>
      </c>
      <c r="F2589" t="inlineStr">
        <is>
          <t>To attend the 2025 Assistant Deputy Minister's Forum</t>
        </is>
      </c>
      <c r="G2589" t="inlineStr">
        <is>
          <t>Participer au Forum 2025 des sous-ministres adjoints</t>
        </is>
      </c>
      <c r="H2589" s="1" t="n">
        <v>45946</v>
      </c>
      <c r="I2589" s="1" t="n">
        <v>45946</v>
      </c>
      <c r="J2589" t="inlineStr">
        <is>
          <t>Ottawa, Ontario, Canada</t>
        </is>
      </c>
      <c r="K2589" t="inlineStr">
        <is>
          <t>Ottawa, Ontario, Canada</t>
        </is>
      </c>
      <c r="P2589" t="n">
        <v>0</v>
      </c>
      <c r="Q2589" t="n">
        <v>22</v>
      </c>
      <c r="R2589" t="n">
        <v>0</v>
      </c>
      <c r="S2589" t="n">
        <v>0</v>
      </c>
      <c r="T2589" t="n">
        <v>0</v>
      </c>
      <c r="U2589" t="n">
        <v>22</v>
      </c>
      <c r="X2589" t="inlineStr">
        <is>
          <t>aafc-aac</t>
        </is>
      </c>
      <c r="Y2589" t="inlineStr">
        <is>
          <t>Agriculture and Agri-Food Canada | Agriculture et Agroalimentaire Canada</t>
        </is>
      </c>
    </row>
    <row r="2590">
      <c r="A2590" t="inlineStr">
        <is>
          <t>T-AAFC-2026-P08-009</t>
        </is>
      </c>
      <c r="B2590" t="inlineStr">
        <is>
          <t>SLE</t>
        </is>
      </c>
      <c r="C2590" t="inlineStr">
        <is>
          <t>Associate Assistant Deputy Minister, Science and Technology Branch</t>
        </is>
      </c>
      <c r="D2590" t="inlineStr">
        <is>
          <t>Sous-ministre adjoint délégué, Direction générale des sciences et de la technologie</t>
        </is>
      </c>
      <c r="E2590" t="inlineStr">
        <is>
          <t>Andrew Goldstein</t>
        </is>
      </c>
      <c r="F2590" t="inlineStr">
        <is>
          <t>To attend the 2025 Assistant Deputy Minister's Forum</t>
        </is>
      </c>
      <c r="G2590" t="inlineStr">
        <is>
          <t>Participer au Forum 2025 des sous-ministres adjoints</t>
        </is>
      </c>
      <c r="H2590" s="1" t="n">
        <v>45946</v>
      </c>
      <c r="I2590" s="1" t="n">
        <v>45946</v>
      </c>
      <c r="J2590" t="inlineStr">
        <is>
          <t>Ottawa, Ontario, Canada</t>
        </is>
      </c>
      <c r="K2590" t="inlineStr">
        <is>
          <t>Ottawa, Ontario, Canada</t>
        </is>
      </c>
      <c r="P2590" t="n">
        <v>0</v>
      </c>
      <c r="Q2590" t="n">
        <v>25</v>
      </c>
      <c r="R2590" t="n">
        <v>0</v>
      </c>
      <c r="S2590" t="n">
        <v>0</v>
      </c>
      <c r="T2590" t="n">
        <v>0</v>
      </c>
      <c r="U2590" t="n">
        <v>25</v>
      </c>
      <c r="X2590" t="inlineStr">
        <is>
          <t>aafc-aac</t>
        </is>
      </c>
      <c r="Y2590" t="inlineStr">
        <is>
          <t>Agriculture and Agri-Food Canada | Agriculture et Agroalimentaire Canada</t>
        </is>
      </c>
    </row>
    <row r="2591">
      <c r="A2591" t="inlineStr">
        <is>
          <t>T-AAFC-2026-P08-010</t>
        </is>
      </c>
      <c r="B2591" t="inlineStr">
        <is>
          <t>SLE</t>
        </is>
      </c>
      <c r="C2591" t="inlineStr">
        <is>
          <t>Assistant Deputy Minister, Corporate Management Branch</t>
        </is>
      </c>
      <c r="D2591" t="inlineStr">
        <is>
          <t>Sous-ministre adjoint, Direction générale de la gestion intégrée</t>
        </is>
      </c>
      <c r="E2591" t="inlineStr">
        <is>
          <t>Alain Lagacé</t>
        </is>
      </c>
      <c r="F2591" t="inlineStr">
        <is>
          <t>To attend meetings</t>
        </is>
      </c>
      <c r="G2591" t="inlineStr">
        <is>
          <t>Assister à des réunions</t>
        </is>
      </c>
      <c r="H2591" s="1" t="n">
        <v>45964</v>
      </c>
      <c r="I2591" s="1" t="n">
        <v>45966</v>
      </c>
      <c r="J2591" t="inlineStr">
        <is>
          <t>Ottawa, Ontario, Canada</t>
        </is>
      </c>
      <c r="K2591" t="inlineStr">
        <is>
          <t>Ottawa, Ontario, Canada</t>
        </is>
      </c>
      <c r="P2591" t="n">
        <v>0</v>
      </c>
      <c r="Q2591" t="n">
        <v>35.5</v>
      </c>
      <c r="R2591" t="n">
        <v>0</v>
      </c>
      <c r="S2591" t="n">
        <v>0</v>
      </c>
      <c r="T2591" t="n">
        <v>0</v>
      </c>
      <c r="U2591" t="n">
        <v>35.5</v>
      </c>
      <c r="X2591" t="inlineStr">
        <is>
          <t>aafc-aac</t>
        </is>
      </c>
      <c r="Y2591" t="inlineStr">
        <is>
          <t>Agriculture and Agri-Food Canada | Agriculture et Agroalimentaire Canada</t>
        </is>
      </c>
    </row>
    <row r="2592">
      <c r="A2592" t="inlineStr">
        <is>
          <t>T-AAFC-2026-P08-011</t>
        </is>
      </c>
      <c r="B2592" t="inlineStr">
        <is>
          <t>SLE</t>
        </is>
      </c>
      <c r="C2592" t="inlineStr">
        <is>
          <t>Assistant Deputy Minister, Corporate Management Branch</t>
        </is>
      </c>
      <c r="D2592" t="inlineStr">
        <is>
          <t>Sous-ministre adjoint, Direction générale de la gestion intégrée</t>
        </is>
      </c>
      <c r="E2592" t="inlineStr">
        <is>
          <t>Alain Lagacé</t>
        </is>
      </c>
      <c r="F2592" t="inlineStr">
        <is>
          <t>To attend a meeting</t>
        </is>
      </c>
      <c r="G2592" t="inlineStr">
        <is>
          <t>Assister à une réunion</t>
        </is>
      </c>
      <c r="H2592" s="1" t="n">
        <v>45975</v>
      </c>
      <c r="I2592" s="1" t="n">
        <v>45975</v>
      </c>
      <c r="J2592" t="inlineStr">
        <is>
          <t>Ottawa, Ontario, Canada</t>
        </is>
      </c>
      <c r="K2592" t="inlineStr">
        <is>
          <t>Ottawa, Ontario, Canada</t>
        </is>
      </c>
      <c r="P2592" t="n">
        <v>0</v>
      </c>
      <c r="Q2592" t="n">
        <v>21</v>
      </c>
      <c r="R2592" t="n">
        <v>0</v>
      </c>
      <c r="S2592" t="n">
        <v>0</v>
      </c>
      <c r="T2592" t="n">
        <v>0</v>
      </c>
      <c r="U2592" t="n">
        <v>21</v>
      </c>
      <c r="X2592" t="inlineStr">
        <is>
          <t>aafc-aac</t>
        </is>
      </c>
      <c r="Y2592" t="inlineStr">
        <is>
          <t>Agriculture and Agri-Food Canada | Agriculture et Agroalimentaire Canada</t>
        </is>
      </c>
    </row>
    <row r="2593">
      <c r="A2593" t="inlineStr">
        <is>
          <t>T-AAFC-2026-P08-012</t>
        </is>
      </c>
      <c r="B2593" t="inlineStr">
        <is>
          <t>SLE</t>
        </is>
      </c>
      <c r="C2593" t="inlineStr">
        <is>
          <t>Assistant Deputy Minister, Programs Branch</t>
        </is>
      </c>
      <c r="D2593" t="inlineStr">
        <is>
          <t>Sous-ministre adjointe, Direction générale des programmes</t>
        </is>
      </c>
      <c r="E2593" t="inlineStr">
        <is>
          <t>Liz Foster</t>
        </is>
      </c>
      <c r="F2593" t="inlineStr">
        <is>
          <t>To attend the 2025 Remembrance Day Wreath-Laying Ceremony</t>
        </is>
      </c>
      <c r="G2593" t="inlineStr">
        <is>
          <t>Assister à la cérémonie de dépôt de couronnes du jour du Souvenir 2025</t>
        </is>
      </c>
      <c r="H2593" s="1" t="n">
        <v>45972</v>
      </c>
      <c r="I2593" s="1" t="n">
        <v>45972</v>
      </c>
      <c r="J2593" t="inlineStr">
        <is>
          <t>Ottawa, Ontario, Canada</t>
        </is>
      </c>
      <c r="K2593" t="inlineStr">
        <is>
          <t>Ottawa, Ontario, Canada</t>
        </is>
      </c>
      <c r="P2593" t="n">
        <v>0</v>
      </c>
      <c r="Q2593" t="n">
        <v>20</v>
      </c>
      <c r="R2593" t="n">
        <v>0</v>
      </c>
      <c r="S2593" t="n">
        <v>0</v>
      </c>
      <c r="T2593" t="n">
        <v>0</v>
      </c>
      <c r="U2593" t="n">
        <v>20</v>
      </c>
      <c r="X2593" t="inlineStr">
        <is>
          <t>aafc-aac</t>
        </is>
      </c>
      <c r="Y2593" t="inlineStr">
        <is>
          <t>Agriculture and Agri-Food Canada | Agriculture et Agroalimentaire Canada</t>
        </is>
      </c>
    </row>
    <row r="2594">
      <c r="A2594" t="inlineStr">
        <is>
          <t>T-AAFC-2026-P08-013</t>
        </is>
      </c>
      <c r="B2594" t="inlineStr">
        <is>
          <t>SLE</t>
        </is>
      </c>
      <c r="C2594" t="inlineStr">
        <is>
          <t>Assistant Deputy Minister, Market and Industry Services Branch</t>
        </is>
      </c>
      <c r="D2594" t="inlineStr">
        <is>
          <t>Sous-ministre adjoint, Direction générale des services à l'industrie et aux marchés</t>
        </is>
      </c>
      <c r="E2594" t="inlineStr">
        <is>
          <t>Tom Rosser</t>
        </is>
      </c>
      <c r="F2594" t="inlineStr">
        <is>
          <t>To attend the G7 Summit</t>
        </is>
      </c>
      <c r="G2594" t="inlineStr">
        <is>
          <t>Assister au Sommet du G7</t>
        </is>
      </c>
      <c r="H2594" s="1" t="n">
        <v>45950</v>
      </c>
      <c r="I2594" s="1" t="n">
        <v>45953</v>
      </c>
      <c r="J2594" t="inlineStr">
        <is>
          <t>Montréal, Quebec, Canada</t>
        </is>
      </c>
      <c r="K2594" t="inlineStr">
        <is>
          <t>Montréal, Québec, Canada</t>
        </is>
      </c>
      <c r="P2594" t="n">
        <v>0</v>
      </c>
      <c r="Q2594" t="n">
        <v>306.03</v>
      </c>
      <c r="R2594" t="n">
        <v>817.53</v>
      </c>
      <c r="S2594" t="n">
        <v>290.15</v>
      </c>
      <c r="T2594" t="n">
        <v>0</v>
      </c>
      <c r="U2594" t="n">
        <v>1413.71</v>
      </c>
      <c r="X2594" t="inlineStr">
        <is>
          <t>aafc-aac</t>
        </is>
      </c>
      <c r="Y2594" t="inlineStr">
        <is>
          <t>Agriculture and Agri-Food Canada | Agriculture et Agroalimentaire Canada</t>
        </is>
      </c>
    </row>
    <row r="2595">
      <c r="A2595" t="inlineStr">
        <is>
          <t>T-AAFC-2026-P08-014</t>
        </is>
      </c>
      <c r="B2595" t="inlineStr">
        <is>
          <t>SLE</t>
        </is>
      </c>
      <c r="C2595" t="inlineStr">
        <is>
          <t>Assistant Deputy Minister, Market and Industry Services Branch</t>
        </is>
      </c>
      <c r="D2595" t="inlineStr">
        <is>
          <t>Sous-ministre adjoint, Direction générale des services à l'industrie et aux marchés</t>
        </is>
      </c>
      <c r="E2595" t="inlineStr">
        <is>
          <t>Tom Rosser</t>
        </is>
      </c>
      <c r="F2595" t="inlineStr">
        <is>
          <t>To attend the Federal-Provincial-Territorial Annual Conference of Ministers of Agriculture</t>
        </is>
      </c>
      <c r="G2595" t="inlineStr">
        <is>
          <t>Assister à la conférence annuelle fédérale-provinciale-territoriale des ministres de l’Agriculture</t>
        </is>
      </c>
      <c r="H2595" s="1" t="n">
        <v>45907</v>
      </c>
      <c r="I2595" s="1" t="n">
        <v>45910</v>
      </c>
      <c r="J2595" t="inlineStr">
        <is>
          <t>Winnipeg, Manitoba, Canada</t>
        </is>
      </c>
      <c r="K2595" t="inlineStr">
        <is>
          <t>Winnipeg, Manitoba, Canada</t>
        </is>
      </c>
      <c r="P2595" t="n">
        <v>826.79</v>
      </c>
      <c r="Q2595" t="n">
        <v>110</v>
      </c>
      <c r="R2595" t="n">
        <v>670.77</v>
      </c>
      <c r="S2595" t="n">
        <v>209.1</v>
      </c>
      <c r="T2595" t="n">
        <v>0</v>
      </c>
      <c r="U2595" t="n">
        <v>1816.66</v>
      </c>
      <c r="X2595" t="inlineStr">
        <is>
          <t>aafc-aac</t>
        </is>
      </c>
      <c r="Y2595" t="inlineStr">
        <is>
          <t>Agriculture and Agri-Food Canada | Agriculture et Agroalimentaire Canada</t>
        </is>
      </c>
    </row>
    <row r="2596">
      <c r="A2596" t="inlineStr">
        <is>
          <t>T-AAFC-2026-P09-001</t>
        </is>
      </c>
      <c r="B2596" t="inlineStr">
        <is>
          <t>MPSES</t>
        </is>
      </c>
      <c r="C2596" t="inlineStr">
        <is>
          <t>Minister</t>
        </is>
      </c>
      <c r="D2596" t="inlineStr">
        <is>
          <t>Ministre</t>
        </is>
      </c>
      <c r="E2596" t="inlineStr">
        <is>
          <t>Heath MacDonald</t>
        </is>
      </c>
      <c r="F2596" t="inlineStr">
        <is>
          <t>To attend an Outreach</t>
        </is>
      </c>
      <c r="G2596" t="inlineStr">
        <is>
          <t>Participer à une activité de sensibilisation</t>
        </is>
      </c>
      <c r="H2596" s="1" t="n">
        <v>45953</v>
      </c>
      <c r="I2596" s="1" t="n">
        <v>45955</v>
      </c>
      <c r="J2596" t="inlineStr">
        <is>
          <t>Vancouver, British Columbia, Canada</t>
        </is>
      </c>
      <c r="K2596" t="inlineStr">
        <is>
          <t>Vancouver, Colombie-Britannique, Canada</t>
        </is>
      </c>
      <c r="P2596" t="n">
        <v>707.34</v>
      </c>
      <c r="Q2596" t="n">
        <v>0</v>
      </c>
      <c r="R2596" t="n">
        <v>890.58</v>
      </c>
      <c r="S2596" t="n">
        <v>214.75</v>
      </c>
      <c r="T2596" t="n">
        <v>0</v>
      </c>
      <c r="U2596" t="n">
        <v>1812.67</v>
      </c>
      <c r="X2596" t="inlineStr">
        <is>
          <t>aafc-aac</t>
        </is>
      </c>
      <c r="Y2596" t="inlineStr">
        <is>
          <t>Agriculture and Agri-Food Canada | Agriculture et Agroalimentaire Canada</t>
        </is>
      </c>
    </row>
    <row r="2597">
      <c r="A2597" t="inlineStr">
        <is>
          <t>T-AAFC-2026-P09-002</t>
        </is>
      </c>
      <c r="B2597" t="inlineStr">
        <is>
          <t>MPSES</t>
        </is>
      </c>
      <c r="C2597" t="inlineStr">
        <is>
          <t>Minister</t>
        </is>
      </c>
      <c r="D2597" t="inlineStr">
        <is>
          <t>Ministre</t>
        </is>
      </c>
      <c r="E2597" t="inlineStr">
        <is>
          <t>Heath MacDonald</t>
        </is>
      </c>
      <c r="F2597" t="inlineStr">
        <is>
          <t>To attend an Outreach</t>
        </is>
      </c>
      <c r="G2597" t="inlineStr">
        <is>
          <t>Participer à une activité de sensibilisation</t>
        </is>
      </c>
      <c r="H2597" s="1" t="n">
        <v>45994</v>
      </c>
      <c r="I2597" s="1" t="n">
        <v>45996</v>
      </c>
      <c r="J2597" t="inlineStr">
        <is>
          <t>Québec, Quebec, Canada</t>
        </is>
      </c>
      <c r="K2597" t="inlineStr">
        <is>
          <t>Québec, Québec, Canada</t>
        </is>
      </c>
      <c r="L2597" t="inlineStr">
        <is>
          <t>Saint-Apollinaire, Quebec, Canada</t>
        </is>
      </c>
      <c r="M2597" t="inlineStr">
        <is>
          <t>Saint-Apollinaire, Québec, Canada</t>
        </is>
      </c>
      <c r="P2597" t="n">
        <v>1458.95</v>
      </c>
      <c r="Q2597" t="n">
        <v>0</v>
      </c>
      <c r="R2597" t="n">
        <v>426.02</v>
      </c>
      <c r="S2597" t="n">
        <v>261.1</v>
      </c>
      <c r="T2597" t="n">
        <v>0</v>
      </c>
      <c r="U2597" t="n">
        <v>2146.07</v>
      </c>
      <c r="X2597" t="inlineStr">
        <is>
          <t>aafc-aac</t>
        </is>
      </c>
      <c r="Y2597" t="inlineStr">
        <is>
          <t>Agriculture and Agri-Food Canada | Agriculture et Agroalimentaire Canada</t>
        </is>
      </c>
    </row>
    <row r="2598">
      <c r="A2598" t="inlineStr">
        <is>
          <t>T-AAFC-2026-P09-003</t>
        </is>
      </c>
      <c r="B2598" t="inlineStr">
        <is>
          <t>MPSES</t>
        </is>
      </c>
      <c r="C2598" t="inlineStr">
        <is>
          <t>Chief of Staff</t>
        </is>
      </c>
      <c r="D2598" t="inlineStr">
        <is>
          <t>Chef de Cabinet</t>
        </is>
      </c>
      <c r="E2598" t="inlineStr">
        <is>
          <t>Guy Gallant</t>
        </is>
      </c>
      <c r="F2598" t="inlineStr">
        <is>
          <t>To support the Minister on a Ministerial Mission</t>
        </is>
      </c>
      <c r="G2598" t="inlineStr">
        <is>
          <t>Soutenir le ministre dans le cadre d'une mission ministérielle</t>
        </is>
      </c>
      <c r="H2598" s="1" t="n">
        <v>45954</v>
      </c>
      <c r="I2598" s="1" t="n">
        <v>45964</v>
      </c>
      <c r="J2598" t="inlineStr">
        <is>
          <t>Shanghai, China</t>
        </is>
      </c>
      <c r="K2598" t="inlineStr">
        <is>
          <t>Shanghai, Chine</t>
        </is>
      </c>
      <c r="L2598" t="inlineStr">
        <is>
          <t>Beijing, China</t>
        </is>
      </c>
      <c r="M2598" t="inlineStr">
        <is>
          <t>Beijing, Chine</t>
        </is>
      </c>
      <c r="N2598" t="inlineStr">
        <is>
          <t>Qingdao, China</t>
        </is>
      </c>
      <c r="O2598" t="inlineStr">
        <is>
          <t>Qingdao, Chine</t>
        </is>
      </c>
      <c r="P2598" t="n">
        <v>10039.43</v>
      </c>
      <c r="Q2598" t="n">
        <v>651.75</v>
      </c>
      <c r="R2598" t="n">
        <v>2285.23</v>
      </c>
      <c r="S2598" t="n">
        <v>1921.28</v>
      </c>
      <c r="T2598" t="n">
        <v>0</v>
      </c>
      <c r="U2598" t="n">
        <v>14897.69</v>
      </c>
      <c r="X2598" t="inlineStr">
        <is>
          <t>aafc-aac</t>
        </is>
      </c>
      <c r="Y2598" t="inlineStr">
        <is>
          <t>Agriculture and Agri-Food Canada | Agriculture et Agroalimentaire Canada</t>
        </is>
      </c>
    </row>
    <row r="2599">
      <c r="A2599" t="inlineStr">
        <is>
          <t>T-AAFC-2026-P09-004</t>
        </is>
      </c>
      <c r="B2599" t="inlineStr">
        <is>
          <t>MPSES</t>
        </is>
      </c>
      <c r="C2599" t="inlineStr">
        <is>
          <t>Chief of Staff</t>
        </is>
      </c>
      <c r="D2599" t="inlineStr">
        <is>
          <t>Chef de Cabinet</t>
        </is>
      </c>
      <c r="E2599" t="inlineStr">
        <is>
          <t>Guy Gallant</t>
        </is>
      </c>
      <c r="F2599" t="inlineStr">
        <is>
          <t>To support the Minister attending an Outreach</t>
        </is>
      </c>
      <c r="G2599" t="inlineStr">
        <is>
          <t>Soutenir la participation du ministre à une activité de sensibilisation</t>
        </is>
      </c>
      <c r="H2599" s="1" t="n">
        <v>45994</v>
      </c>
      <c r="I2599" s="1" t="n">
        <v>45995</v>
      </c>
      <c r="J2599" t="inlineStr">
        <is>
          <t>Québec, Quebec, Canada</t>
        </is>
      </c>
      <c r="K2599" t="inlineStr">
        <is>
          <t>Québec, Québec, Canada</t>
        </is>
      </c>
      <c r="L2599" t="inlineStr">
        <is>
          <t>Saint-Apollinaire, Quebec, Canada</t>
        </is>
      </c>
      <c r="M2599" t="inlineStr">
        <is>
          <t>Saint-Apollinaire, Québec, Canada</t>
        </is>
      </c>
      <c r="P2599" t="n">
        <v>1293.33</v>
      </c>
      <c r="Q2599" t="n">
        <v>0</v>
      </c>
      <c r="R2599" t="n">
        <v>426.02</v>
      </c>
      <c r="S2599" t="n">
        <v>261.1</v>
      </c>
      <c r="T2599" t="n">
        <v>0</v>
      </c>
      <c r="U2599" t="n">
        <v>1980.45</v>
      </c>
      <c r="X2599" t="inlineStr">
        <is>
          <t>aafc-aac</t>
        </is>
      </c>
      <c r="Y2599" t="inlineStr">
        <is>
          <t>Agriculture and Agri-Food Canada | Agriculture et Agroalimentaire Canada</t>
        </is>
      </c>
    </row>
    <row r="2600">
      <c r="A2600" t="inlineStr">
        <is>
          <t>T-AAFC-2026-P09-005</t>
        </is>
      </c>
      <c r="B2600" t="inlineStr">
        <is>
          <t>MPSES</t>
        </is>
      </c>
      <c r="C2600" t="inlineStr">
        <is>
          <t>Director of Policy</t>
        </is>
      </c>
      <c r="D2600" t="inlineStr">
        <is>
          <t>Directrice des politiques</t>
        </is>
      </c>
      <c r="E2600" t="inlineStr">
        <is>
          <t>Serena Smith</t>
        </is>
      </c>
      <c r="F2600" t="inlineStr">
        <is>
          <t>To support the Minister attending the Agribition Outreach</t>
        </is>
      </c>
      <c r="G2600" t="inlineStr">
        <is>
          <t>Soutenir la participation du ministre à une activité de sensibilisation de l'Agribition</t>
        </is>
      </c>
      <c r="H2600" s="1" t="n">
        <v>45984</v>
      </c>
      <c r="I2600" s="1" t="n">
        <v>45987</v>
      </c>
      <c r="J2600" t="inlineStr">
        <is>
          <t>Regina, Saskatchewan, Canada</t>
        </is>
      </c>
      <c r="K2600" t="inlineStr">
        <is>
          <t>Regina, Saskatchewan, Canada</t>
        </is>
      </c>
      <c r="P2600" t="n">
        <v>1650.22</v>
      </c>
      <c r="Q2600" t="n">
        <v>37.19</v>
      </c>
      <c r="R2600" t="n">
        <v>799.2</v>
      </c>
      <c r="S2600" t="n">
        <v>397.8</v>
      </c>
      <c r="T2600" t="n">
        <v>0</v>
      </c>
      <c r="U2600" t="n">
        <v>2884.41</v>
      </c>
      <c r="X2600" t="inlineStr">
        <is>
          <t>aafc-aac</t>
        </is>
      </c>
      <c r="Y2600" t="inlineStr">
        <is>
          <t>Agriculture and Agri-Food Canada | Agriculture et Agroalimentaire Canada</t>
        </is>
      </c>
    </row>
    <row r="2601">
      <c r="A2601" t="inlineStr">
        <is>
          <t>T-AAFC-2026-P09-006</t>
        </is>
      </c>
      <c r="B2601" t="inlineStr">
        <is>
          <t>MPSES</t>
        </is>
      </c>
      <c r="C2601" t="inlineStr">
        <is>
          <t xml:space="preserve">Director of Operations  </t>
        </is>
      </c>
      <c r="D2601" t="inlineStr">
        <is>
          <t>Directrice des opérations</t>
        </is>
      </c>
      <c r="E2601" t="inlineStr">
        <is>
          <t>Mikaela Harrison</t>
        </is>
      </c>
      <c r="F2601" t="inlineStr">
        <is>
          <t>To support the Minister attending the Agribition Outreach</t>
        </is>
      </c>
      <c r="G2601" t="inlineStr">
        <is>
          <t>Soutenir la participation du ministre à une activité de sensibilisation de l'Agribition</t>
        </is>
      </c>
      <c r="H2601" s="1" t="n">
        <v>45984</v>
      </c>
      <c r="I2601" s="1" t="n">
        <v>45987</v>
      </c>
      <c r="J2601" t="inlineStr">
        <is>
          <t>Regina, Saskatchewan, Canada</t>
        </is>
      </c>
      <c r="K2601" t="inlineStr">
        <is>
          <t>Regina, Saskatchewan, Canada</t>
        </is>
      </c>
      <c r="P2601" t="n">
        <v>1650.22</v>
      </c>
      <c r="Q2601" t="n">
        <v>0</v>
      </c>
      <c r="R2601" t="n">
        <v>799.2</v>
      </c>
      <c r="S2601" t="n">
        <v>397.8</v>
      </c>
      <c r="T2601" t="n">
        <v>0</v>
      </c>
      <c r="U2601" t="n">
        <v>2847.22</v>
      </c>
      <c r="X2601" t="inlineStr">
        <is>
          <t>aafc-aac</t>
        </is>
      </c>
      <c r="Y2601" t="inlineStr">
        <is>
          <t>Agriculture and Agri-Food Canada | Agriculture et Agroalimentaire Canada</t>
        </is>
      </c>
    </row>
    <row r="2602">
      <c r="A2602" t="inlineStr">
        <is>
          <t>T-AAFC-2026-P09-007</t>
        </is>
      </c>
      <c r="B2602" t="inlineStr">
        <is>
          <t>MPSES</t>
        </is>
      </c>
      <c r="C2602" t="inlineStr">
        <is>
          <t>Special Assistant</t>
        </is>
      </c>
      <c r="D2602" t="inlineStr">
        <is>
          <t>Adjointe spéciale</t>
        </is>
      </c>
      <c r="E2602" t="inlineStr">
        <is>
          <t>Yasmin Veiga</t>
        </is>
      </c>
      <c r="F2602" t="inlineStr">
        <is>
          <t>To support the Minister to attend an Outreach</t>
        </is>
      </c>
      <c r="G2602" t="inlineStr">
        <is>
          <t>Soutenir la participation du ministre à une activité de sensibilisation</t>
        </is>
      </c>
      <c r="H2602" s="1" t="n">
        <v>45994</v>
      </c>
      <c r="I2602" s="1" t="n">
        <v>45996</v>
      </c>
      <c r="J2602" t="inlineStr">
        <is>
          <t>Québec, Quebec, Canada</t>
        </is>
      </c>
      <c r="K2602" t="inlineStr">
        <is>
          <t>Québec, Québec, Canada</t>
        </is>
      </c>
      <c r="L2602" t="inlineStr">
        <is>
          <t>Saint-Apollinaire, Quebec, Canada</t>
        </is>
      </c>
      <c r="M2602" t="inlineStr">
        <is>
          <t>Saint-Apollinaire, Québec, Canada</t>
        </is>
      </c>
      <c r="P2602" t="n">
        <v>1349.72</v>
      </c>
      <c r="Q2602" t="n">
        <v>102.71</v>
      </c>
      <c r="R2602" t="n">
        <v>426.02</v>
      </c>
      <c r="S2602" t="n">
        <v>261.1</v>
      </c>
      <c r="T2602" t="n">
        <v>0</v>
      </c>
      <c r="U2602" t="n">
        <v>2139.55</v>
      </c>
      <c r="X2602" t="inlineStr">
        <is>
          <t>aafc-aac</t>
        </is>
      </c>
      <c r="Y2602" t="inlineStr">
        <is>
          <t>Agriculture and Agri-Food Canada | Agriculture et Agroalimentaire Canada</t>
        </is>
      </c>
    </row>
    <row r="2603">
      <c r="A2603" t="inlineStr">
        <is>
          <t>T-AAFC-2026-P09-008</t>
        </is>
      </c>
      <c r="B2603" t="inlineStr">
        <is>
          <t>MPSES</t>
        </is>
      </c>
      <c r="C2603" t="inlineStr">
        <is>
          <t>Parliamentary Secretary</t>
        </is>
      </c>
      <c r="D2603" t="inlineStr">
        <is>
          <t>Secrétaire parlementaire</t>
        </is>
      </c>
      <c r="E2603" t="inlineStr">
        <is>
          <t>Sophie Chatel</t>
        </is>
      </c>
      <c r="F2603" t="inlineStr">
        <is>
          <t>To support the Minister to attend an Outreach</t>
        </is>
      </c>
      <c r="G2603" t="inlineStr">
        <is>
          <t>Soutenir la participation du ministre à une activité de sensibilisation</t>
        </is>
      </c>
      <c r="H2603" s="1" t="n">
        <v>45994</v>
      </c>
      <c r="I2603" s="1" t="n">
        <v>45995</v>
      </c>
      <c r="J2603" t="inlineStr">
        <is>
          <t>Québec, Quebec, Canada</t>
        </is>
      </c>
      <c r="K2603" t="inlineStr">
        <is>
          <t>Québec, Québec, Canada</t>
        </is>
      </c>
      <c r="L2603" t="inlineStr">
        <is>
          <t>Saint-Apollinaire, Quebec, Canada</t>
        </is>
      </c>
      <c r="M2603" t="inlineStr">
        <is>
          <t>Saint-Apollinaire, Québec, Canada</t>
        </is>
      </c>
      <c r="P2603" t="n">
        <v>1428.66</v>
      </c>
      <c r="Q2603" t="n">
        <v>119.97</v>
      </c>
      <c r="R2603" t="n">
        <v>213.01</v>
      </c>
      <c r="S2603" t="n">
        <v>214.75</v>
      </c>
      <c r="T2603" t="n">
        <v>0</v>
      </c>
      <c r="U2603" t="n">
        <v>1976.39</v>
      </c>
      <c r="X2603" t="inlineStr">
        <is>
          <t>aafc-aac</t>
        </is>
      </c>
      <c r="Y2603" t="inlineStr">
        <is>
          <t>Agriculture and Agri-Food Canada | Agriculture et Agroalimentaire Canada</t>
        </is>
      </c>
    </row>
    <row r="2604">
      <c r="A2604" t="inlineStr">
        <is>
          <t>T-AAFC-2026-P09-009</t>
        </is>
      </c>
      <c r="B2604" t="inlineStr">
        <is>
          <t>MPSES</t>
        </is>
      </c>
      <c r="C2604" t="inlineStr">
        <is>
          <t>Deputy Minister</t>
        </is>
      </c>
      <c r="D2604" t="inlineStr">
        <is>
          <t>Sous-Ministre</t>
        </is>
      </c>
      <c r="E2604" t="inlineStr">
        <is>
          <t>Lawrence Hanson</t>
        </is>
      </c>
      <c r="F2604" t="inlineStr">
        <is>
          <t>To support the Minister attending the Agribition Outreach</t>
        </is>
      </c>
      <c r="G2604" t="inlineStr">
        <is>
          <t>Soutenir la participation du ministre à une activité de sensibilisation de l'Agribition</t>
        </is>
      </c>
      <c r="H2604" s="1" t="n">
        <v>45984</v>
      </c>
      <c r="I2604" s="1" t="n">
        <v>45987</v>
      </c>
      <c r="J2604" t="inlineStr">
        <is>
          <t>Regina, Saskatchewan, Canada</t>
        </is>
      </c>
      <c r="K2604" t="inlineStr">
        <is>
          <t>Regina, Saskatchewan, Canada</t>
        </is>
      </c>
      <c r="P2604" t="n">
        <v>1855.28</v>
      </c>
      <c r="Q2604" t="n">
        <v>45</v>
      </c>
      <c r="R2604" t="n">
        <v>899.1</v>
      </c>
      <c r="S2604" t="n">
        <v>217.65</v>
      </c>
      <c r="T2604" t="n">
        <v>0</v>
      </c>
      <c r="U2604" t="n">
        <v>3017.03</v>
      </c>
      <c r="X2604" t="inlineStr">
        <is>
          <t>aafc-aac</t>
        </is>
      </c>
      <c r="Y2604" t="inlineStr">
        <is>
          <t>Agriculture and Agri-Food Canada | Agriculture et Agroalimentaire Canada</t>
        </is>
      </c>
    </row>
    <row r="2605">
      <c r="A2605" t="inlineStr">
        <is>
          <t>T-AAFC-2026-P09-010</t>
        </is>
      </c>
      <c r="B2605" t="inlineStr">
        <is>
          <t>SLE</t>
        </is>
      </c>
      <c r="C2605" t="inlineStr">
        <is>
          <t>Assistant Deputy Minister, Science and Technology Branch</t>
        </is>
      </c>
      <c r="D2605" t="inlineStr">
        <is>
          <t>Sous-ministre adjointe, Direction générale des sciences et de la technologie</t>
        </is>
      </c>
      <c r="E2605" t="inlineStr">
        <is>
          <t>Arran McPherson</t>
        </is>
      </c>
      <c r="F2605" t="inlineStr">
        <is>
          <t>To attend a Ministerial briefing</t>
        </is>
      </c>
      <c r="G2605" t="inlineStr">
        <is>
          <t>Assister à une séance d’information ministérielle</t>
        </is>
      </c>
      <c r="H2605" s="1" t="n">
        <v>46002</v>
      </c>
      <c r="I2605" s="1" t="n">
        <v>46002</v>
      </c>
      <c r="J2605" t="inlineStr">
        <is>
          <t>Ottawa, Ontario, Canada</t>
        </is>
      </c>
      <c r="K2605" t="inlineStr">
        <is>
          <t>Ottawa, Ontario, Canada</t>
        </is>
      </c>
      <c r="P2605" t="n">
        <v>0</v>
      </c>
      <c r="Q2605" t="n">
        <v>31.74</v>
      </c>
      <c r="R2605" t="n">
        <v>0</v>
      </c>
      <c r="S2605" t="n">
        <v>0</v>
      </c>
      <c r="T2605" t="n">
        <v>0</v>
      </c>
      <c r="U2605" t="n">
        <v>31.74</v>
      </c>
      <c r="X2605" t="inlineStr">
        <is>
          <t>aafc-aac</t>
        </is>
      </c>
      <c r="Y2605" t="inlineStr">
        <is>
          <t>Agriculture and Agri-Food Canada | Agriculture et Agroalimentaire Canada</t>
        </is>
      </c>
    </row>
    <row r="2606">
      <c r="A2606" t="inlineStr">
        <is>
          <t>T-AAFC-2026-P09-011</t>
        </is>
      </c>
      <c r="B2606" t="inlineStr">
        <is>
          <t>SLE</t>
        </is>
      </c>
      <c r="C2606" t="inlineStr">
        <is>
          <t>Associate Assistant Deputy Minister, Science and Technology Branch</t>
        </is>
      </c>
      <c r="D2606" t="inlineStr">
        <is>
          <t>Sous-ministre adjoint délégué, Direction générale des sciences et de la technologie</t>
        </is>
      </c>
      <c r="E2606" t="inlineStr">
        <is>
          <t>Andrew Goldstein</t>
        </is>
      </c>
      <c r="F2606" t="inlineStr">
        <is>
          <t>To participate in an outreach event</t>
        </is>
      </c>
      <c r="G2606" t="inlineStr">
        <is>
          <t>Participer à une activité de sensibilisation</t>
        </is>
      </c>
      <c r="H2606" s="1" t="n">
        <v>45985</v>
      </c>
      <c r="I2606" s="1" t="n">
        <v>45985</v>
      </c>
      <c r="J2606" t="inlineStr">
        <is>
          <t>Saint-Jean-sur-Richelieu, Quebec, Canada</t>
        </is>
      </c>
      <c r="K2606" t="inlineStr">
        <is>
          <t>Saint-Jean-sur-Richelieu, Québec, Canada</t>
        </is>
      </c>
      <c r="P2606" t="n">
        <v>0</v>
      </c>
      <c r="Q2606" t="n">
        <v>314.33</v>
      </c>
      <c r="R2606" t="n">
        <v>0</v>
      </c>
      <c r="S2606" t="n">
        <v>29.6</v>
      </c>
      <c r="T2606" t="n">
        <v>0</v>
      </c>
      <c r="U2606" t="n">
        <v>343.93</v>
      </c>
      <c r="X2606" t="inlineStr">
        <is>
          <t>aafc-aac</t>
        </is>
      </c>
      <c r="Y2606" t="inlineStr">
        <is>
          <t>Agriculture and Agri-Food Canada | Agriculture et Agroalimentaire Canada</t>
        </is>
      </c>
    </row>
    <row r="2607">
      <c r="A2607" t="inlineStr">
        <is>
          <t>T-AAFC-2026-P09-012</t>
        </is>
      </c>
      <c r="B2607" t="inlineStr">
        <is>
          <t>SLE</t>
        </is>
      </c>
      <c r="C2607" t="inlineStr">
        <is>
          <t>Assistant Deputy Minister, Corporate Management Branch</t>
        </is>
      </c>
      <c r="D2607" t="inlineStr">
        <is>
          <t>Sous-ministre adjoint, Direction générale de la gestion intégrée</t>
        </is>
      </c>
      <c r="E2607" t="inlineStr">
        <is>
          <t>Alain Lagacé</t>
        </is>
      </c>
      <c r="F2607" t="inlineStr">
        <is>
          <t xml:space="preserve">To attend the Professional Development week </t>
        </is>
      </c>
      <c r="G2607" t="inlineStr">
        <is>
          <t>Participer à la semaine de perfectionnement professionnel</t>
        </is>
      </c>
      <c r="H2607" s="1" t="n">
        <v>45980</v>
      </c>
      <c r="I2607" s="1" t="n">
        <v>45981</v>
      </c>
      <c r="J2607" t="inlineStr">
        <is>
          <t>Ottawa, Ontario, Canada</t>
        </is>
      </c>
      <c r="K2607" t="inlineStr">
        <is>
          <t>Ottawa, Ontario, Canada</t>
        </is>
      </c>
      <c r="P2607" t="n">
        <v>0</v>
      </c>
      <c r="Q2607" t="n">
        <v>50</v>
      </c>
      <c r="R2607" t="n">
        <v>0</v>
      </c>
      <c r="S2607" t="n">
        <v>0</v>
      </c>
      <c r="T2607" t="n">
        <v>0</v>
      </c>
      <c r="U2607" t="n">
        <v>50</v>
      </c>
      <c r="X2607" t="inlineStr">
        <is>
          <t>aafc-aac</t>
        </is>
      </c>
      <c r="Y2607" t="inlineStr">
        <is>
          <t>Agriculture and Agri-Food Canada | Agriculture et Agroalimentaire Canada</t>
        </is>
      </c>
    </row>
    <row r="2608">
      <c r="A2608" t="inlineStr">
        <is>
          <t>T-AAFC-2026-P09-013</t>
        </is>
      </c>
      <c r="B2608" t="inlineStr">
        <is>
          <t>SLE</t>
        </is>
      </c>
      <c r="C2608" t="inlineStr">
        <is>
          <t>Assistant Deputy Minister, Programs Branch</t>
        </is>
      </c>
      <c r="D2608" t="inlineStr">
        <is>
          <t>Sous-ministre adjointe, Direction générale des programmes</t>
        </is>
      </c>
      <c r="E2608" t="inlineStr">
        <is>
          <t>Liz Foster</t>
        </is>
      </c>
      <c r="F2608" t="inlineStr">
        <is>
          <t>To attend an Agriculture and Forestry (AGFO) meeting</t>
        </is>
      </c>
      <c r="G2608" t="inlineStr">
        <is>
          <t>Assister à une réunion Agriculture et Foresterie (AGFO)</t>
        </is>
      </c>
      <c r="H2608" s="1" t="n">
        <v>45986</v>
      </c>
      <c r="I2608" s="1" t="n">
        <v>45986</v>
      </c>
      <c r="J2608" t="inlineStr">
        <is>
          <t>Ottawa, Ontario, Canada</t>
        </is>
      </c>
      <c r="K2608" t="inlineStr">
        <is>
          <t>Ottawa, Ontario, Canada</t>
        </is>
      </c>
      <c r="P2608" t="n">
        <v>0</v>
      </c>
      <c r="Q2608" t="n">
        <v>14</v>
      </c>
      <c r="R2608" t="n">
        <v>0</v>
      </c>
      <c r="S2608" t="n">
        <v>0</v>
      </c>
      <c r="T2608" t="n">
        <v>0</v>
      </c>
      <c r="U2608" t="n">
        <v>14</v>
      </c>
      <c r="X2608" t="inlineStr">
        <is>
          <t>aafc-aac</t>
        </is>
      </c>
      <c r="Y2608" t="inlineStr">
        <is>
          <t>Agriculture and Agri-Food Canada | Agriculture et Agroalimentaire Canada</t>
        </is>
      </c>
    </row>
    <row r="2609">
      <c r="A2609" t="inlineStr">
        <is>
          <t>T-AAFC-2026-P09-014</t>
        </is>
      </c>
      <c r="B2609" t="inlineStr">
        <is>
          <t>SLE</t>
        </is>
      </c>
      <c r="C2609" t="inlineStr">
        <is>
          <t>Assistant Deputy Minister, Market and Industry Services Branch</t>
        </is>
      </c>
      <c r="D2609" t="inlineStr">
        <is>
          <t>Sous-ministre adjoint, Direction générale des services à l'industrie et aux marchés</t>
        </is>
      </c>
      <c r="E2609" t="inlineStr">
        <is>
          <t>Tom Rosser</t>
        </is>
      </c>
      <c r="F2609" t="inlineStr">
        <is>
          <t>To attend the G20 Summit</t>
        </is>
      </c>
      <c r="G2609" t="inlineStr">
        <is>
          <t>Assister au Sommet G20</t>
        </is>
      </c>
      <c r="H2609" s="1" t="n">
        <v>45914</v>
      </c>
      <c r="I2609" s="1" t="n">
        <v>45920</v>
      </c>
      <c r="J2609" t="inlineStr">
        <is>
          <t>Cape Town, South Africa</t>
        </is>
      </c>
      <c r="K2609" t="inlineStr">
        <is>
          <t>Cape Town, Afrique du Sud</t>
        </is>
      </c>
      <c r="P2609" t="n">
        <v>14790.05</v>
      </c>
      <c r="Q2609" t="n">
        <v>85</v>
      </c>
      <c r="R2609" t="n">
        <v>1037.71</v>
      </c>
      <c r="S2609" t="n">
        <v>465.02</v>
      </c>
      <c r="T2609" t="n">
        <v>0</v>
      </c>
      <c r="U2609" t="n">
        <v>16377.78</v>
      </c>
      <c r="X2609" t="inlineStr">
        <is>
          <t>aafc-aac</t>
        </is>
      </c>
      <c r="Y2609" t="inlineStr">
        <is>
          <t>Agriculture and Agri-Food Canada | Agriculture et Agroalimentaire Canada</t>
        </is>
      </c>
    </row>
    <row r="2610">
      <c r="A2610" t="inlineStr">
        <is>
          <t>T-AAFC-2026-P09-015</t>
        </is>
      </c>
      <c r="B2610" t="inlineStr">
        <is>
          <t>SLE</t>
        </is>
      </c>
      <c r="C2610" t="inlineStr">
        <is>
          <t>Assistant Deputy Minister, Market and Industry Services Branch</t>
        </is>
      </c>
      <c r="D2610" t="inlineStr">
        <is>
          <t>Sous-ministre adjoint, Direction générale des services à l'industrie et aux marchés</t>
        </is>
      </c>
      <c r="E2610" t="inlineStr">
        <is>
          <t>Tom Rosser</t>
        </is>
      </c>
      <c r="F2610" t="inlineStr">
        <is>
          <t>To participate in a panel at the Alberta Beekeepers' Conference Annual Conference and Trade Show</t>
        </is>
      </c>
      <c r="G2610" t="inlineStr">
        <is>
          <t>Participer à un panel lors de la Conférence annuelle et du Salon commercial des apiculteurs de l’Alberta</t>
        </is>
      </c>
      <c r="H2610" s="1" t="n">
        <v>45978</v>
      </c>
      <c r="I2610" s="1" t="n">
        <v>45981</v>
      </c>
      <c r="J2610" t="inlineStr">
        <is>
          <t>Edmonton, Alberta, Canada</t>
        </is>
      </c>
      <c r="K2610" t="inlineStr">
        <is>
          <t>Edmonton, Alberta, Canada</t>
        </is>
      </c>
      <c r="P2610" t="n">
        <v>4446.93</v>
      </c>
      <c r="Q2610" t="n">
        <v>276.77</v>
      </c>
      <c r="R2610" t="n">
        <v>303.74</v>
      </c>
      <c r="S2610" t="n">
        <v>337.05</v>
      </c>
      <c r="T2610" t="n">
        <v>0</v>
      </c>
      <c r="U2610" t="n">
        <v>5364.49</v>
      </c>
      <c r="X2610" t="inlineStr">
        <is>
          <t>aafc-aac</t>
        </is>
      </c>
      <c r="Y2610" t="inlineStr">
        <is>
          <t>Agriculture and Agri-Food Canada | Agriculture et Agroalimentaire Canada</t>
        </is>
      </c>
    </row>
    <row r="2611">
      <c r="A2611" t="inlineStr">
        <is>
          <t>T-AAFC-2026-P09-016</t>
        </is>
      </c>
      <c r="B2611" t="inlineStr">
        <is>
          <t>SLE</t>
        </is>
      </c>
      <c r="C2611" t="inlineStr">
        <is>
          <t>Assistant Deputy Minister, Market and Industry Services Branch</t>
        </is>
      </c>
      <c r="D2611" t="inlineStr">
        <is>
          <t>Sous-ministre adjoint, Direction générale des services à l'industrie et aux marchés</t>
        </is>
      </c>
      <c r="E2611" t="inlineStr">
        <is>
          <t>Tom Rosser</t>
        </is>
      </c>
      <c r="F2611" t="inlineStr">
        <is>
          <t>To participate in roundtables at the CropLife Canada Conference.</t>
        </is>
      </c>
      <c r="G2611" t="inlineStr">
        <is>
          <t>Participer à des tables rondes lors de la Conférence de CropLife Canada</t>
        </is>
      </c>
      <c r="H2611" s="1" t="n">
        <v>45993</v>
      </c>
      <c r="I2611" s="1" t="n">
        <v>45995</v>
      </c>
      <c r="J2611" t="inlineStr">
        <is>
          <t>Calgary, Alberta, Canada</t>
        </is>
      </c>
      <c r="K2611" t="inlineStr">
        <is>
          <t>Calgary, Alberta, Canada</t>
        </is>
      </c>
      <c r="P2611" t="n">
        <v>4717.62</v>
      </c>
      <c r="Q2611" t="n">
        <v>190.79</v>
      </c>
      <c r="R2611" t="n">
        <v>586.9400000000001</v>
      </c>
      <c r="S2611" t="n">
        <v>98.8</v>
      </c>
      <c r="T2611" t="n">
        <v>0</v>
      </c>
      <c r="U2611" t="n">
        <v>5594.15</v>
      </c>
      <c r="X2611" t="inlineStr">
        <is>
          <t>aafc-aac</t>
        </is>
      </c>
      <c r="Y2611" t="inlineStr">
        <is>
          <t>Agriculture and Agri-Food Canada | Agriculture et Agroalimentaire Canada</t>
        </is>
      </c>
    </row>
    <row r="2612">
      <c r="A2612" t="inlineStr">
        <is>
          <t>T-AAFC-2026-P10-001</t>
        </is>
      </c>
      <c r="B2612" t="inlineStr">
        <is>
          <t>MPSES</t>
        </is>
      </c>
      <c r="C2612" t="inlineStr">
        <is>
          <t>Minister</t>
        </is>
      </c>
      <c r="D2612" t="inlineStr">
        <is>
          <t>Ministre</t>
        </is>
      </c>
      <c r="E2612" t="inlineStr">
        <is>
          <t>Heath MacDonald</t>
        </is>
      </c>
      <c r="F2612" t="inlineStr">
        <is>
          <t>To attend the Agribition Outreach</t>
        </is>
      </c>
      <c r="G2612" t="inlineStr">
        <is>
          <t>Participer à une activité de sensibilisation d'Agribition</t>
        </is>
      </c>
      <c r="H2612" s="1" t="n">
        <v>45984</v>
      </c>
      <c r="I2612" s="1" t="n">
        <v>45987</v>
      </c>
      <c r="J2612" t="inlineStr">
        <is>
          <t>Regina, Saskatchewan, Canada</t>
        </is>
      </c>
      <c r="K2612" t="inlineStr">
        <is>
          <t>Regina, Saskatchewan, Canada</t>
        </is>
      </c>
      <c r="P2612" t="n">
        <v>2569.41</v>
      </c>
      <c r="Q2612" t="n">
        <v>0</v>
      </c>
      <c r="R2612" t="n">
        <v>799.2</v>
      </c>
      <c r="S2612" t="n">
        <v>368.3</v>
      </c>
      <c r="T2612" t="n">
        <v>0</v>
      </c>
      <c r="U2612" t="n">
        <v>3736.91</v>
      </c>
      <c r="X2612" t="inlineStr">
        <is>
          <t>aafc-aac</t>
        </is>
      </c>
      <c r="Y2612" t="inlineStr">
        <is>
          <t>Agriculture and Agri-Food Canada | Agriculture et Agroalimentaire Canada</t>
        </is>
      </c>
    </row>
    <row r="2613">
      <c r="A2613" t="inlineStr">
        <is>
          <t>T-AAFC-2026-P10-002</t>
        </is>
      </c>
      <c r="B2613" t="inlineStr">
        <is>
          <t>MPSES</t>
        </is>
      </c>
      <c r="C2613" t="inlineStr">
        <is>
          <t>Minister</t>
        </is>
      </c>
      <c r="D2613" t="inlineStr">
        <is>
          <t>Ministre</t>
        </is>
      </c>
      <c r="E2613" t="inlineStr">
        <is>
          <t>Heath MacDonald</t>
        </is>
      </c>
      <c r="F2613" t="inlineStr">
        <is>
          <t>To attend a Ministerial Mission</t>
        </is>
      </c>
      <c r="G2613" t="inlineStr">
        <is>
          <t>Participer à une mission ministérielle</t>
        </is>
      </c>
      <c r="H2613" s="1" t="n">
        <v>46035</v>
      </c>
      <c r="I2613" s="1" t="n">
        <v>46039</v>
      </c>
      <c r="J2613" t="inlineStr">
        <is>
          <t>Beijing, China</t>
        </is>
      </c>
      <c r="K2613" t="inlineStr">
        <is>
          <t>Beijing, Chine</t>
        </is>
      </c>
      <c r="P2613" t="n">
        <v>6665.85</v>
      </c>
      <c r="Q2613" t="n">
        <v>0</v>
      </c>
      <c r="R2613" t="n">
        <v>0</v>
      </c>
      <c r="S2613" t="n">
        <v>731.0700000000001</v>
      </c>
      <c r="T2613" t="n">
        <v>0</v>
      </c>
      <c r="U2613" t="n">
        <v>7396.92</v>
      </c>
      <c r="V2613" t="inlineStr">
        <is>
          <t>Outgoing flight and hotel covered by the Prime Minister's Office.</t>
        </is>
      </c>
      <c r="W2613" t="inlineStr">
        <is>
          <t>Vol aller et l'hôtel payé par le bureau du Premier Ministre.</t>
        </is>
      </c>
      <c r="X2613" t="inlineStr">
        <is>
          <t>aafc-aac</t>
        </is>
      </c>
      <c r="Y2613" t="inlineStr">
        <is>
          <t>Agriculture and Agri-Food Canada | Agriculture et Agroalimentaire Canada</t>
        </is>
      </c>
    </row>
    <row r="2614">
      <c r="A2614" t="inlineStr">
        <is>
          <t>T-AAFC-2026-P10-003</t>
        </is>
      </c>
      <c r="B2614" t="inlineStr">
        <is>
          <t>MPSES</t>
        </is>
      </c>
      <c r="C2614" t="inlineStr">
        <is>
          <t>Minister</t>
        </is>
      </c>
      <c r="D2614" t="inlineStr">
        <is>
          <t>Ministre</t>
        </is>
      </c>
      <c r="E2614" t="inlineStr">
        <is>
          <t>Heath MacDonald</t>
        </is>
      </c>
      <c r="F2614" t="inlineStr">
        <is>
          <t>To attend a Cabinet Retreat</t>
        </is>
      </c>
      <c r="G2614" t="inlineStr">
        <is>
          <t>Participer à une retraite du Cabinet</t>
        </is>
      </c>
      <c r="H2614" s="1" t="n">
        <v>46044</v>
      </c>
      <c r="I2614" s="1" t="n">
        <v>46045</v>
      </c>
      <c r="J2614" t="inlineStr">
        <is>
          <t>Québec, Quebec, Canada</t>
        </is>
      </c>
      <c r="K2614" t="inlineStr">
        <is>
          <t>Québec, Québec, Canada</t>
        </is>
      </c>
      <c r="P2614" t="n">
        <v>1853.91</v>
      </c>
      <c r="Q2614" t="n">
        <v>0</v>
      </c>
      <c r="R2614" t="n">
        <v>236.82</v>
      </c>
      <c r="S2614" t="n">
        <v>95.34999999999999</v>
      </c>
      <c r="T2614" t="n">
        <v>0</v>
      </c>
      <c r="U2614" t="n">
        <v>2186.08</v>
      </c>
      <c r="X2614" t="inlineStr">
        <is>
          <t>aafc-aac</t>
        </is>
      </c>
      <c r="Y2614" t="inlineStr">
        <is>
          <t>Agriculture and Agri-Food Canada | Agriculture et Agroalimentaire Canada</t>
        </is>
      </c>
    </row>
    <row r="2615">
      <c r="A2615" t="inlineStr">
        <is>
          <t>T-AAFC-2026-P10-004</t>
        </is>
      </c>
      <c r="B2615" t="inlineStr">
        <is>
          <t>MPSES</t>
        </is>
      </c>
      <c r="C2615" t="inlineStr">
        <is>
          <t>Chief of Staff</t>
        </is>
      </c>
      <c r="D2615" t="inlineStr">
        <is>
          <t>Chef de Cabinet</t>
        </is>
      </c>
      <c r="E2615" t="inlineStr">
        <is>
          <t>Guy Gallant</t>
        </is>
      </c>
      <c r="F2615" t="inlineStr">
        <is>
          <t>To meet with the Minister</t>
        </is>
      </c>
      <c r="G2615" t="inlineStr">
        <is>
          <t>Rencontrer le ministre</t>
        </is>
      </c>
      <c r="H2615" s="1" t="n">
        <v>46024</v>
      </c>
      <c r="I2615" s="1" t="n">
        <v>46024</v>
      </c>
      <c r="J2615" t="inlineStr">
        <is>
          <t>Charlottetown, Prince Edward Island, Canada</t>
        </is>
      </c>
      <c r="K2615" t="inlineStr">
        <is>
          <t>Charlottetown, Île-du-Prince-Édouard, Canada</t>
        </is>
      </c>
      <c r="P2615" t="n">
        <v>925.17</v>
      </c>
      <c r="Q2615" t="n">
        <v>0</v>
      </c>
      <c r="R2615" t="n">
        <v>0</v>
      </c>
      <c r="S2615" t="n">
        <v>0</v>
      </c>
      <c r="T2615" t="n">
        <v>0</v>
      </c>
      <c r="U2615" t="n">
        <v>925.17</v>
      </c>
      <c r="X2615" t="inlineStr">
        <is>
          <t>aafc-aac</t>
        </is>
      </c>
      <c r="Y2615" t="inlineStr">
        <is>
          <t>Agriculture and Agri-Food Canada | Agriculture et Agroalimentaire Canada</t>
        </is>
      </c>
    </row>
    <row r="2616">
      <c r="A2616" t="inlineStr">
        <is>
          <t>T-AAFC-2026-P10-005</t>
        </is>
      </c>
      <c r="B2616" t="inlineStr">
        <is>
          <t>MPSES</t>
        </is>
      </c>
      <c r="C2616" t="inlineStr">
        <is>
          <t>Chief of Staff</t>
        </is>
      </c>
      <c r="D2616" t="inlineStr">
        <is>
          <t>Chef de Cabinet</t>
        </is>
      </c>
      <c r="E2616" t="inlineStr">
        <is>
          <t>Guy Gallant</t>
        </is>
      </c>
      <c r="F2616" t="inlineStr">
        <is>
          <t>To attend a Dairy Roundtable with the Minister</t>
        </is>
      </c>
      <c r="G2616" t="inlineStr">
        <is>
          <t>Participer à une table ronde sur les produits laitiers avec le Ministre</t>
        </is>
      </c>
      <c r="H2616" s="1" t="n">
        <v>46034</v>
      </c>
      <c r="I2616" s="1" t="n">
        <v>46035</v>
      </c>
      <c r="J2616" t="inlineStr">
        <is>
          <t>Montréal, Quebec, Canada</t>
        </is>
      </c>
      <c r="K2616" t="inlineStr">
        <is>
          <t>Montréal, Québec, Canada</t>
        </is>
      </c>
      <c r="P2616" t="n">
        <v>242.74</v>
      </c>
      <c r="Q2616" t="n">
        <v>0</v>
      </c>
      <c r="R2616" t="n">
        <v>0</v>
      </c>
      <c r="S2616" t="n">
        <v>0</v>
      </c>
      <c r="T2616" t="n">
        <v>0</v>
      </c>
      <c r="U2616" t="n">
        <v>242.74</v>
      </c>
      <c r="X2616" t="inlineStr">
        <is>
          <t>aafc-aac</t>
        </is>
      </c>
      <c r="Y2616" t="inlineStr">
        <is>
          <t>Agriculture and Agri-Food Canada | Agriculture et Agroalimentaire Canada</t>
        </is>
      </c>
    </row>
    <row r="2617">
      <c r="A2617" t="inlineStr">
        <is>
          <t>T-AAFC-2026-P10-006</t>
        </is>
      </c>
      <c r="B2617" t="inlineStr">
        <is>
          <t>MPSES</t>
        </is>
      </c>
      <c r="C2617" t="inlineStr">
        <is>
          <t>Director of Policy</t>
        </is>
      </c>
      <c r="D2617" t="inlineStr">
        <is>
          <t>Directrice des politiques</t>
        </is>
      </c>
      <c r="E2617" t="inlineStr">
        <is>
          <t>Serena Smith</t>
        </is>
      </c>
      <c r="F2617" t="inlineStr">
        <is>
          <t>To support the Minister attending a Ministerial Mission</t>
        </is>
      </c>
      <c r="G2617" t="inlineStr">
        <is>
          <t>Soutenir le ministre participant à une mission ministérielle</t>
        </is>
      </c>
      <c r="H2617" s="1" t="n">
        <v>46035</v>
      </c>
      <c r="I2617" s="1" t="n">
        <v>46039</v>
      </c>
      <c r="J2617" t="inlineStr">
        <is>
          <t>Beijing, China</t>
        </is>
      </c>
      <c r="K2617" t="inlineStr">
        <is>
          <t>Beijing, Chine</t>
        </is>
      </c>
      <c r="P2617" t="n">
        <v>7522.85</v>
      </c>
      <c r="Q2617" t="n">
        <v>0</v>
      </c>
      <c r="R2617" t="n">
        <v>0</v>
      </c>
      <c r="S2617" t="n">
        <v>731.0700000000001</v>
      </c>
      <c r="T2617" t="n">
        <v>0</v>
      </c>
      <c r="U2617" t="n">
        <v>8253.92</v>
      </c>
      <c r="V2617" t="inlineStr">
        <is>
          <t>Outgoing flight and hotel covered by the Prime Minister's Office.</t>
        </is>
      </c>
      <c r="W2617" t="inlineStr">
        <is>
          <t>Vol aller et l'hôtel payé par le bureau du Premier Ministre.</t>
        </is>
      </c>
      <c r="X2617" t="inlineStr">
        <is>
          <t>aafc-aac</t>
        </is>
      </c>
      <c r="Y2617" t="inlineStr">
        <is>
          <t>Agriculture and Agri-Food Canada | Agriculture et Agroalimentaire Canada</t>
        </is>
      </c>
    </row>
    <row r="2618">
      <c r="A2618" t="inlineStr">
        <is>
          <t>T-AAFC-2026-P10-007</t>
        </is>
      </c>
      <c r="B2618" t="inlineStr">
        <is>
          <t>MPSES</t>
        </is>
      </c>
      <c r="C2618" t="inlineStr">
        <is>
          <t>Parliamentary Secretary</t>
        </is>
      </c>
      <c r="D2618" t="inlineStr">
        <is>
          <t>Secrétaire parlementaire</t>
        </is>
      </c>
      <c r="E2618" t="inlineStr">
        <is>
          <t>Sophie Chatel</t>
        </is>
      </c>
      <c r="F2618" t="inlineStr">
        <is>
          <t>To attend a Dairy Roundtable with the Minister</t>
        </is>
      </c>
      <c r="G2618" t="inlineStr">
        <is>
          <t>Participer à une table ronde sur les produits laitiers avec le Ministre</t>
        </is>
      </c>
      <c r="H2618" s="1" t="n">
        <v>46034</v>
      </c>
      <c r="I2618" s="1" t="n">
        <v>46034</v>
      </c>
      <c r="J2618" t="inlineStr">
        <is>
          <t>Montréal, Quebec, Canada</t>
        </is>
      </c>
      <c r="K2618" t="inlineStr">
        <is>
          <t>Montréal, Québec, Canada</t>
        </is>
      </c>
      <c r="P2618" t="n">
        <v>0</v>
      </c>
      <c r="Q2618" t="n">
        <v>442.25</v>
      </c>
      <c r="R2618" t="n">
        <v>0</v>
      </c>
      <c r="S2618" t="n">
        <v>119.4</v>
      </c>
      <c r="T2618" t="n">
        <v>0</v>
      </c>
      <c r="U2618" t="n">
        <v>561.65</v>
      </c>
      <c r="X2618" t="inlineStr">
        <is>
          <t>aafc-aac</t>
        </is>
      </c>
      <c r="Y2618" t="inlineStr">
        <is>
          <t>Agriculture and Agri-Food Canada | Agriculture et Agroalimentaire Canada</t>
        </is>
      </c>
    </row>
    <row r="2619">
      <c r="A2619" t="inlineStr">
        <is>
          <t>T-AAFC-2026-P10-008</t>
        </is>
      </c>
      <c r="B2619" t="inlineStr">
        <is>
          <t>SLE</t>
        </is>
      </c>
      <c r="C2619" t="inlineStr">
        <is>
          <t>Assistant Deputy Minister, Science and Technology Branch</t>
        </is>
      </c>
      <c r="D2619" t="inlineStr">
        <is>
          <t>Sous-ministre adjointe, Direction générale des sciences et de la technologie</t>
        </is>
      </c>
      <c r="E2619" t="inlineStr">
        <is>
          <t>Arran McPherson</t>
        </is>
      </c>
      <c r="F2619" t="inlineStr">
        <is>
          <t>To attend an outreach to Kentville Research and Development Centre</t>
        </is>
      </c>
      <c r="G2619" t="inlineStr">
        <is>
          <t>Participer à une réunions de sensibilisation auprès du centre de recherche et de dévelopment de Kentville</t>
        </is>
      </c>
      <c r="H2619" s="1" t="n">
        <v>45980</v>
      </c>
      <c r="I2619" s="1" t="n">
        <v>45981</v>
      </c>
      <c r="J2619" t="inlineStr">
        <is>
          <t>Kentville, Nova Scotia, Canada</t>
        </is>
      </c>
      <c r="K2619" t="inlineStr">
        <is>
          <t>Kentville, Nouvelle-Écosse, Canada</t>
        </is>
      </c>
      <c r="P2619" t="n">
        <v>820.1</v>
      </c>
      <c r="Q2619" t="n">
        <v>8.449999999999999</v>
      </c>
      <c r="R2619" t="n">
        <v>226.86</v>
      </c>
      <c r="S2619" t="n">
        <v>215.3</v>
      </c>
      <c r="T2619" t="n">
        <v>0</v>
      </c>
      <c r="U2619" t="n">
        <v>1270.71</v>
      </c>
      <c r="X2619" t="inlineStr">
        <is>
          <t>aafc-aac</t>
        </is>
      </c>
      <c r="Y2619" t="inlineStr">
        <is>
          <t>Agriculture and Agri-Food Canada | Agriculture et Agroalimentaire Canada</t>
        </is>
      </c>
    </row>
    <row r="2620">
      <c r="A2620" t="inlineStr">
        <is>
          <t>T-AAFC-2026-P10-009</t>
        </is>
      </c>
      <c r="B2620" t="inlineStr">
        <is>
          <t>SLE</t>
        </is>
      </c>
      <c r="C2620" t="inlineStr">
        <is>
          <t>Assistant Deputy Minister, Science and Technology Branch</t>
        </is>
      </c>
      <c r="D2620" t="inlineStr">
        <is>
          <t>Sous-ministre adjointe, Direction générale des sciences et de la technologie</t>
        </is>
      </c>
      <c r="E2620" t="inlineStr">
        <is>
          <t>Arran McPherson</t>
        </is>
      </c>
      <c r="F2620" t="inlineStr">
        <is>
          <t>To represent Canada on the Organization for Economic Co-operation and Development (OECD) Co-operative Research Program Governing Body and held key meetings with international science partners, including universities and the Food and Agriculture Organization (FAO)</t>
        </is>
      </c>
      <c r="G2620" t="inlineStr">
        <is>
          <t>Représenter le Canada au conseil de direction du Programme de recherche coopérative de l’Organisation de coopération et de développement économiques (OCDE) et tenir des réunions clés avec des partenaires scientifiques internationaux, y compris des universités et l’Organisation des Nations Unies pour l’alimentation et l’agriculture (FAO)</t>
        </is>
      </c>
      <c r="H2620" s="1" t="n">
        <v>45990</v>
      </c>
      <c r="I2620" s="1" t="n">
        <v>45996</v>
      </c>
      <c r="J2620" t="inlineStr">
        <is>
          <t>Vienna, Austria</t>
        </is>
      </c>
      <c r="K2620" t="inlineStr">
        <is>
          <t>Vienne, Autriche</t>
        </is>
      </c>
      <c r="L2620" t="inlineStr">
        <is>
          <t>Bratislava, Slovakia</t>
        </is>
      </c>
      <c r="M2620" t="inlineStr">
        <is>
          <t>Bratislava, Slovaquie</t>
        </is>
      </c>
      <c r="N2620" t="inlineStr">
        <is>
          <t>Nitra, Slovakia;Rome, Italy</t>
        </is>
      </c>
      <c r="O2620" t="inlineStr">
        <is>
          <t>Nitra, Slovaquie;Rome, Italie</t>
        </is>
      </c>
      <c r="P2620" t="n">
        <v>4609.22</v>
      </c>
      <c r="Q2620" t="n">
        <v>257.31</v>
      </c>
      <c r="R2620" t="n">
        <v>1185.4</v>
      </c>
      <c r="S2620" t="n">
        <v>1220.63</v>
      </c>
      <c r="T2620" t="n">
        <v>0</v>
      </c>
      <c r="U2620" t="n">
        <v>7272.56</v>
      </c>
      <c r="X2620" t="inlineStr">
        <is>
          <t>aafc-aac</t>
        </is>
      </c>
      <c r="Y2620" t="inlineStr">
        <is>
          <t>Agriculture and Agri-Food Canada | Agriculture et Agroalimentaire Canada</t>
        </is>
      </c>
    </row>
    <row r="2621">
      <c r="A2621" t="inlineStr">
        <is>
          <t>T-AAFC-2026-P10-010</t>
        </is>
      </c>
      <c r="B2621" t="inlineStr">
        <is>
          <t>SLE</t>
        </is>
      </c>
      <c r="C2621" t="inlineStr">
        <is>
          <t>Assistant Deputy Minister, Market and Industry Services Branch</t>
        </is>
      </c>
      <c r="D2621" t="inlineStr">
        <is>
          <t>Sous-ministre adjoint, Direction générale des services à l'industrie et aux marchés</t>
        </is>
      </c>
      <c r="E2621" t="inlineStr">
        <is>
          <t>Tom Rosser</t>
        </is>
      </c>
      <c r="F2621" t="inlineStr">
        <is>
          <t>To attend and co-chair the CLWG meeting</t>
        </is>
      </c>
      <c r="G2621" t="inlineStr">
        <is>
          <t>Assister à la réunion du CLWG et en assurer la coprésidence</t>
        </is>
      </c>
      <c r="H2621" s="1" t="n">
        <v>46002</v>
      </c>
      <c r="I2621" s="1" t="n">
        <v>46002</v>
      </c>
      <c r="J2621" t="inlineStr">
        <is>
          <t>Winnipeg, Manitoba, Canada</t>
        </is>
      </c>
      <c r="K2621" t="inlineStr">
        <is>
          <t>Winnipeg, Manitoba, Canada</t>
        </is>
      </c>
      <c r="P2621" t="n">
        <v>0</v>
      </c>
      <c r="Q2621" t="n">
        <v>0</v>
      </c>
      <c r="R2621" t="n">
        <v>438.89</v>
      </c>
      <c r="S2621" t="n">
        <v>0</v>
      </c>
      <c r="T2621" t="n">
        <v>0</v>
      </c>
      <c r="U2621" t="n">
        <v>438.89</v>
      </c>
      <c r="V2621" t="inlineStr">
        <is>
          <t>Trip cancelled. Fee is for the non-refundable portion.</t>
        </is>
      </c>
      <c r="W2621" t="inlineStr">
        <is>
          <t>Voyage annulé. La charge est pour la portion non remboursable.</t>
        </is>
      </c>
      <c r="X2621" t="inlineStr">
        <is>
          <t>aafc-aac</t>
        </is>
      </c>
      <c r="Y2621" t="inlineStr">
        <is>
          <t>Agriculture and Agri-Food Canada | Agriculture et Agroalimentaire Canada</t>
        </is>
      </c>
    </row>
    <row r="2622">
      <c r="A2622" t="inlineStr">
        <is>
          <t>T-AAFC-2026-P11-001</t>
        </is>
      </c>
      <c r="B2622" t="inlineStr">
        <is>
          <t>MPSES</t>
        </is>
      </c>
      <c r="C2622" t="inlineStr">
        <is>
          <t>Chief of Staff</t>
        </is>
      </c>
      <c r="D2622" t="inlineStr">
        <is>
          <t>Chef de Cabinet</t>
        </is>
      </c>
      <c r="E2622" t="inlineStr">
        <is>
          <t>Guy Gallant</t>
        </is>
      </c>
      <c r="F2622" t="inlineStr">
        <is>
          <t>To support the Minister to attend a Cabinet Retreat</t>
        </is>
      </c>
      <c r="G2622" t="inlineStr">
        <is>
          <t>Soutenir le ministre à participer à une retraite du Cabinet</t>
        </is>
      </c>
      <c r="H2622" s="1" t="n">
        <v>46044</v>
      </c>
      <c r="I2622" s="1" t="n">
        <v>46045</v>
      </c>
      <c r="J2622" t="inlineStr">
        <is>
          <t>Québec, Quebec, Canada</t>
        </is>
      </c>
      <c r="K2622" t="inlineStr">
        <is>
          <t>Québec, Québec, Canada</t>
        </is>
      </c>
      <c r="P2622" t="n">
        <v>1853.91</v>
      </c>
      <c r="Q2622" t="n">
        <v>0</v>
      </c>
      <c r="R2622" t="n">
        <v>236.82</v>
      </c>
      <c r="S2622" t="n">
        <v>95.34999999999999</v>
      </c>
      <c r="T2622" t="n">
        <v>0</v>
      </c>
      <c r="U2622" t="n">
        <v>2186.08</v>
      </c>
      <c r="X2622" t="inlineStr">
        <is>
          <t>aafc-aac</t>
        </is>
      </c>
      <c r="Y2622" t="inlineStr">
        <is>
          <t>Agriculture and Agri-Food Canada | Agriculture et Agroalimentaire Canada</t>
        </is>
      </c>
    </row>
    <row r="2623">
      <c r="A2623" t="inlineStr">
        <is>
          <t>T-AAFC-2026-P11-002</t>
        </is>
      </c>
      <c r="B2623" t="inlineStr">
        <is>
          <t>MPSES</t>
        </is>
      </c>
      <c r="C2623" t="inlineStr">
        <is>
          <t>Director of Policy</t>
        </is>
      </c>
      <c r="D2623" t="inlineStr">
        <is>
          <t>Directrice des politiques</t>
        </is>
      </c>
      <c r="E2623" t="inlineStr">
        <is>
          <t>Serena Smith</t>
        </is>
      </c>
      <c r="F2623" t="inlineStr">
        <is>
          <t>Visa photo for upcoming travel to Dubai</t>
        </is>
      </c>
      <c r="G2623" t="inlineStr">
        <is>
          <t>Photo pour le visa en vue d’un prochain voyage à Dubaï</t>
        </is>
      </c>
      <c r="H2623" s="1" t="n">
        <v>46046</v>
      </c>
      <c r="I2623" s="1" t="n">
        <v>46053</v>
      </c>
      <c r="J2623" t="inlineStr">
        <is>
          <t>Ottawa, Ontario, Canada</t>
        </is>
      </c>
      <c r="K2623" t="inlineStr">
        <is>
          <t>Ottawa, Ontario, Canada</t>
        </is>
      </c>
      <c r="P2623" t="n">
        <v>0</v>
      </c>
      <c r="Q2623" t="n">
        <v>0</v>
      </c>
      <c r="R2623" t="n">
        <v>0</v>
      </c>
      <c r="S2623" t="n">
        <v>0</v>
      </c>
      <c r="T2623" t="n">
        <v>34.49</v>
      </c>
      <c r="U2623" t="n">
        <v>34.49</v>
      </c>
      <c r="X2623" t="inlineStr">
        <is>
          <t>aafc-aac</t>
        </is>
      </c>
      <c r="Y2623" t="inlineStr">
        <is>
          <t>Agriculture and Agri-Food Canada | Agriculture et Agroalimentaire Canada</t>
        </is>
      </c>
    </row>
    <row r="2624">
      <c r="A2624" t="inlineStr">
        <is>
          <t>T-AAFC-2026-P11-003</t>
        </is>
      </c>
      <c r="B2624" t="inlineStr">
        <is>
          <t>SLE</t>
        </is>
      </c>
      <c r="C2624" t="inlineStr">
        <is>
          <t>Assistant Deputy Minister, Science and Technology Branch</t>
        </is>
      </c>
      <c r="D2624" t="inlineStr">
        <is>
          <t>Sous-ministre adjointe, Direction générale des sciences et de la technologie</t>
        </is>
      </c>
      <c r="E2624" t="inlineStr">
        <is>
          <t>Arran McPherson</t>
        </is>
      </c>
      <c r="F2624" t="inlineStr">
        <is>
          <t>Regional visit and meetings at the Guelph Research and Development Centre</t>
        </is>
      </c>
      <c r="G2624" t="inlineStr">
        <is>
          <t>Visite régionale et réunions au Centre de recherche et de développement de Guelph</t>
        </is>
      </c>
      <c r="H2624" s="1" t="n">
        <v>46043</v>
      </c>
      <c r="I2624" s="1" t="n">
        <v>46045</v>
      </c>
      <c r="J2624" t="inlineStr">
        <is>
          <t>Guelph, Ontario, Canada</t>
        </is>
      </c>
      <c r="K2624" t="inlineStr">
        <is>
          <t>Guelph, Ontario, Canada</t>
        </is>
      </c>
      <c r="P2624" t="n">
        <v>0</v>
      </c>
      <c r="Q2624" t="n">
        <v>693.52</v>
      </c>
      <c r="R2624" t="n">
        <v>498.28</v>
      </c>
      <c r="S2624" t="n">
        <v>229.95</v>
      </c>
      <c r="T2624" t="n">
        <v>0</v>
      </c>
      <c r="U2624" t="n">
        <v>1421.75</v>
      </c>
      <c r="X2624" t="inlineStr">
        <is>
          <t>aafc-aac</t>
        </is>
      </c>
      <c r="Y2624" t="inlineStr">
        <is>
          <t>Agriculture and Agri-Food Canada | Agriculture et Agroalimentaire Canada</t>
        </is>
      </c>
    </row>
    <row r="2625">
      <c r="A2625" t="inlineStr">
        <is>
          <t>T-AAFC-2026-P11-004</t>
        </is>
      </c>
      <c r="B2625" t="inlineStr">
        <is>
          <t>SLE</t>
        </is>
      </c>
      <c r="C2625" t="inlineStr">
        <is>
          <t>Associate Assistant Deputy Minister, Science and Technology Branch</t>
        </is>
      </c>
      <c r="D2625" t="inlineStr">
        <is>
          <t>Sous-ministre adjoint délégué, Direction générale des sciences et de la technologie</t>
        </is>
      </c>
      <c r="E2625" t="inlineStr">
        <is>
          <t>Andrew Goldstein</t>
        </is>
      </c>
      <c r="F2625" t="inlineStr">
        <is>
          <t xml:space="preserve">Site visit to Lacombe Research and Development Centre </t>
        </is>
      </c>
      <c r="G2625" t="inlineStr">
        <is>
          <t>Visite du Centre de recherche et de developpement de Lacombe</t>
        </is>
      </c>
      <c r="H2625" s="1" t="n">
        <v>46042</v>
      </c>
      <c r="I2625" s="1" t="n">
        <v>46045</v>
      </c>
      <c r="J2625" t="inlineStr">
        <is>
          <t>Calgary, Alberta, Canada</t>
        </is>
      </c>
      <c r="K2625" t="inlineStr">
        <is>
          <t>Calgary, Alberta, Canada</t>
        </is>
      </c>
      <c r="L2625" t="inlineStr">
        <is>
          <t>Lacombe, Alberta, Canada</t>
        </is>
      </c>
      <c r="M2625" t="inlineStr">
        <is>
          <t>Lacombe, Alberta, Canada</t>
        </is>
      </c>
      <c r="P2625" t="n">
        <v>1454.93</v>
      </c>
      <c r="Q2625" t="n">
        <v>354.76</v>
      </c>
      <c r="R2625" t="n">
        <v>773.03</v>
      </c>
      <c r="S2625" t="n">
        <v>340.25</v>
      </c>
      <c r="T2625" t="n">
        <v>0</v>
      </c>
      <c r="U2625" t="n">
        <v>2922.97</v>
      </c>
      <c r="X2625" t="inlineStr">
        <is>
          <t>aafc-aac</t>
        </is>
      </c>
      <c r="Y2625" t="inlineStr">
        <is>
          <t>Agriculture and Agri-Food Canada | Agriculture et Agroalimentaire Canada</t>
        </is>
      </c>
    </row>
    <row r="2626">
      <c r="A2626" t="inlineStr">
        <is>
          <t>T-AAFC-2026-P11-005</t>
        </is>
      </c>
      <c r="B2626" t="inlineStr">
        <is>
          <t>SLE</t>
        </is>
      </c>
      <c r="C2626" t="inlineStr">
        <is>
          <t>Associate Assistant Deputy Minister, Science and Technology Branch</t>
        </is>
      </c>
      <c r="D2626" t="inlineStr">
        <is>
          <t>Sous-ministre adjoint délégué, Direction générale des sciences et de la technologie</t>
        </is>
      </c>
      <c r="E2626" t="inlineStr">
        <is>
          <t>Andrew Goldstein</t>
        </is>
      </c>
      <c r="F2626" t="inlineStr">
        <is>
          <t xml:space="preserve">To attend an AgRISE Workshop </t>
        </is>
      </c>
      <c r="G2626" t="inlineStr">
        <is>
          <t xml:space="preserve">Assister à un atelier AgRISE </t>
        </is>
      </c>
      <c r="H2626" s="1" t="n">
        <v>46064</v>
      </c>
      <c r="I2626" s="1" t="n">
        <v>46064</v>
      </c>
      <c r="J2626" t="inlineStr">
        <is>
          <t>Ottawa, Ontario, Canada</t>
        </is>
      </c>
      <c r="K2626" t="inlineStr">
        <is>
          <t>Ottawa, Ontario, Canada</t>
        </is>
      </c>
      <c r="P2626" t="n">
        <v>0</v>
      </c>
      <c r="Q2626" t="n">
        <v>25</v>
      </c>
      <c r="R2626" t="n">
        <v>0</v>
      </c>
      <c r="S2626" t="n">
        <v>0</v>
      </c>
      <c r="T2626" t="n">
        <v>0</v>
      </c>
      <c r="U2626" t="n">
        <v>25</v>
      </c>
      <c r="X2626" t="inlineStr">
        <is>
          <t>aafc-aac</t>
        </is>
      </c>
      <c r="Y2626" t="inlineStr">
        <is>
          <t>Agriculture and Agri-Food Canada | Agriculture et Agroalimentaire Canada</t>
        </is>
      </c>
    </row>
    <row r="2627">
      <c r="A2627" t="inlineStr">
        <is>
          <t>T-AAFC-2026-P11-006</t>
        </is>
      </c>
      <c r="B2627" t="inlineStr">
        <is>
          <t>SLE</t>
        </is>
      </c>
      <c r="C2627" t="inlineStr">
        <is>
          <t>Assistant Deputy Minister, Corporate Management Branch</t>
        </is>
      </c>
      <c r="D2627" t="inlineStr">
        <is>
          <t>Sous-ministre adjoint, Direction générale de la gestion intégrée</t>
        </is>
      </c>
      <c r="E2627" t="inlineStr">
        <is>
          <t>Alain Lagacé</t>
        </is>
      </c>
      <c r="F2627" t="inlineStr">
        <is>
          <t xml:space="preserve">Site visit to Québec Research and Development Centre </t>
        </is>
      </c>
      <c r="G2627" t="inlineStr">
        <is>
          <t>Visite du Centre de recherche et de développement de Québec</t>
        </is>
      </c>
      <c r="H2627" s="1" t="n">
        <v>46043</v>
      </c>
      <c r="I2627" s="1" t="n">
        <v>46045</v>
      </c>
      <c r="J2627" t="inlineStr">
        <is>
          <t>Québec, Quebec, Canada</t>
        </is>
      </c>
      <c r="K2627" t="inlineStr">
        <is>
          <t>Québec, Québec, Canada</t>
        </is>
      </c>
      <c r="P2627" t="n">
        <v>534.09</v>
      </c>
      <c r="Q2627" t="n">
        <v>408.29</v>
      </c>
      <c r="R2627" t="n">
        <v>316.54</v>
      </c>
      <c r="S2627" t="n">
        <v>229.95</v>
      </c>
      <c r="T2627" t="n">
        <v>0</v>
      </c>
      <c r="U2627" t="n">
        <v>1488.87</v>
      </c>
      <c r="X2627" t="inlineStr">
        <is>
          <t>aafc-aac</t>
        </is>
      </c>
      <c r="Y2627" t="inlineStr">
        <is>
          <t>Agriculture and Agri-Food Canada | Agriculture et Agroalimentaire Canada</t>
        </is>
      </c>
    </row>
    <row r="2628">
      <c r="A2628" t="inlineStr">
        <is>
          <t>T-AAFC-2026-P11-007</t>
        </is>
      </c>
      <c r="B2628" t="inlineStr">
        <is>
          <t>SLE</t>
        </is>
      </c>
      <c r="C2628" t="inlineStr">
        <is>
          <t>Assistant Deputy Minister, Market and Industry Services Branch</t>
        </is>
      </c>
      <c r="D2628" t="inlineStr">
        <is>
          <t>Sous-ministre adjoint, Direction générale des services à l'industrie et aux marchés</t>
        </is>
      </c>
      <c r="E2628" t="inlineStr">
        <is>
          <t>Tom Rosser</t>
        </is>
      </c>
      <c r="F2628" t="inlineStr">
        <is>
          <t>To support the Minister attending a Ministerial Mission</t>
        </is>
      </c>
      <c r="G2628" t="inlineStr">
        <is>
          <t>Soutenir le ministre participant à une mission ministérielle</t>
        </is>
      </c>
      <c r="H2628" s="1" t="n">
        <v>46034</v>
      </c>
      <c r="I2628" s="1" t="n">
        <v>46039</v>
      </c>
      <c r="J2628" t="inlineStr">
        <is>
          <t>Beijing, China</t>
        </is>
      </c>
      <c r="K2628" t="inlineStr">
        <is>
          <t>Beijing, Chine</t>
        </is>
      </c>
      <c r="P2628" t="n">
        <v>17041.19</v>
      </c>
      <c r="Q2628" t="n">
        <v>81.44</v>
      </c>
      <c r="R2628" t="n">
        <v>1222.47</v>
      </c>
      <c r="S2628" t="n">
        <v>763.8200000000001</v>
      </c>
      <c r="T2628" t="n">
        <v>0</v>
      </c>
      <c r="U2628" t="n">
        <v>19108.92</v>
      </c>
      <c r="X2628" t="inlineStr">
        <is>
          <t>aafc-aac</t>
        </is>
      </c>
      <c r="Y2628" t="inlineStr">
        <is>
          <t>Agriculture and Agri-Food Canada | Agriculture et Agroalimentaire Canada</t>
        </is>
      </c>
    </row>
    <row r="2629">
      <c r="A2629" t="inlineStr">
        <is>
          <t>T-AAFC-2026-P12-001</t>
        </is>
      </c>
      <c r="B2629" t="inlineStr">
        <is>
          <t>MPSES</t>
        </is>
      </c>
      <c r="C2629" t="inlineStr">
        <is>
          <t>Minister</t>
        </is>
      </c>
      <c r="D2629" t="inlineStr">
        <is>
          <t>Ministre</t>
        </is>
      </c>
      <c r="E2629" t="inlineStr">
        <is>
          <t>Heath MacDonald</t>
        </is>
      </c>
      <c r="F2629" t="inlineStr">
        <is>
          <t>To attend a Ministerial Mission</t>
        </is>
      </c>
      <c r="G2629" t="inlineStr">
        <is>
          <t>Participer à une mission ministérielle</t>
        </is>
      </c>
      <c r="H2629" s="1" t="n">
        <v>46068</v>
      </c>
      <c r="I2629" s="1" t="n">
        <v>46075</v>
      </c>
      <c r="J2629" t="inlineStr">
        <is>
          <t>Mexico City, Mexico</t>
        </is>
      </c>
      <c r="K2629" t="inlineStr">
        <is>
          <t>Mexico, Mexique</t>
        </is>
      </c>
      <c r="L2629" t="inlineStr">
        <is>
          <t>Guadalajara, Mexico</t>
        </is>
      </c>
      <c r="M2629" t="inlineStr">
        <is>
          <t>Guadalajara, Mexique</t>
        </is>
      </c>
      <c r="N2629" t="inlineStr">
        <is>
          <t>Washington, District of Columbia, United States</t>
        </is>
      </c>
      <c r="O2629" t="inlineStr">
        <is>
          <t>Washington, District de Columbia, États-Unis</t>
        </is>
      </c>
      <c r="P2629" t="n">
        <v>2712.96</v>
      </c>
      <c r="Q2629" t="n">
        <v>0</v>
      </c>
      <c r="R2629" t="n">
        <v>1866.94</v>
      </c>
      <c r="S2629" t="n">
        <v>1065.01</v>
      </c>
      <c r="T2629" t="n">
        <v>0</v>
      </c>
      <c r="U2629" t="n">
        <v>5644.91</v>
      </c>
      <c r="X2629" t="inlineStr">
        <is>
          <t>aafc-aac</t>
        </is>
      </c>
      <c r="Y2629" t="inlineStr">
        <is>
          <t>Agriculture and Agri-Food Canada | Agriculture et Agroalimentaire Canada</t>
        </is>
      </c>
    </row>
    <row r="2630">
      <c r="A2630" t="inlineStr">
        <is>
          <t>T-AAFC-2026-P12-002</t>
        </is>
      </c>
      <c r="B2630" t="inlineStr">
        <is>
          <t>MPSES</t>
        </is>
      </c>
      <c r="C2630" t="inlineStr">
        <is>
          <t>Minister</t>
        </is>
      </c>
      <c r="D2630" t="inlineStr">
        <is>
          <t>Ministre</t>
        </is>
      </c>
      <c r="E2630" t="inlineStr">
        <is>
          <t>Heath MacDonald</t>
        </is>
      </c>
      <c r="F2630" t="inlineStr">
        <is>
          <t>To attend an Atlantic Outreach</t>
        </is>
      </c>
      <c r="G2630" t="inlineStr">
        <is>
          <t>Participer à une tournée de sensibilisation dans les provinces de l'Atlantique</t>
        </is>
      </c>
      <c r="H2630" s="1" t="n">
        <v>46083</v>
      </c>
      <c r="I2630" s="1" t="n">
        <v>46085</v>
      </c>
      <c r="J2630" t="inlineStr">
        <is>
          <t>Halifax, Nova Scotia, Canada</t>
        </is>
      </c>
      <c r="K2630" t="inlineStr">
        <is>
          <t>Halifax, Nouvelle-Écosse, Canada</t>
        </is>
      </c>
      <c r="L2630" t="inlineStr">
        <is>
          <t>St. John's, Newfoundland and Labrador, Canada</t>
        </is>
      </c>
      <c r="M2630" t="inlineStr">
        <is>
          <t>St. John's, Terre-Neuve-et-Labrador, Canada</t>
        </is>
      </c>
      <c r="P2630" t="n">
        <v>2272.03</v>
      </c>
      <c r="Q2630" t="n">
        <v>0</v>
      </c>
      <c r="R2630" t="n">
        <v>354.62</v>
      </c>
      <c r="S2630" t="n">
        <v>290.7</v>
      </c>
      <c r="T2630" t="n">
        <v>0</v>
      </c>
      <c r="U2630" t="n">
        <v>2917.35</v>
      </c>
      <c r="X2630" t="inlineStr">
        <is>
          <t>aafc-aac</t>
        </is>
      </c>
      <c r="Y2630" t="inlineStr">
        <is>
          <t>Agriculture and Agri-Food Canada | Agriculture et Agroalimentaire Canada</t>
        </is>
      </c>
    </row>
    <row r="2631">
      <c r="A2631" t="inlineStr">
        <is>
          <t>T-AAFC-2026-P12-003</t>
        </is>
      </c>
      <c r="B2631" t="inlineStr">
        <is>
          <t>MPSES</t>
        </is>
      </c>
      <c r="C2631" t="inlineStr">
        <is>
          <t>Policy Advisor</t>
        </is>
      </c>
      <c r="D2631" t="inlineStr">
        <is>
          <t>Conseiller en politiques</t>
        </is>
      </c>
      <c r="E2631" t="inlineStr">
        <is>
          <t>Jeremy Keats</t>
        </is>
      </c>
      <c r="F2631" t="inlineStr">
        <is>
          <t>To support the Minister's attendance at an Atlantic Outreach</t>
        </is>
      </c>
      <c r="G2631" t="inlineStr">
        <is>
          <t>Soutenir le ministre lors d'une tournée de sensibilisation dans les provinces de l'Atlantique</t>
        </is>
      </c>
      <c r="H2631" s="1" t="n">
        <v>46082</v>
      </c>
      <c r="I2631" s="1" t="n">
        <v>46086</v>
      </c>
      <c r="J2631" t="inlineStr">
        <is>
          <t>Charlottetown, Prince Edward Island, Canada</t>
        </is>
      </c>
      <c r="K2631" t="inlineStr">
        <is>
          <t>Charlottetown, Île-du-Prince-Édouard, Canada</t>
        </is>
      </c>
      <c r="L2631" t="inlineStr">
        <is>
          <t>Halifax, Nova Scotia, Canada</t>
        </is>
      </c>
      <c r="M2631" t="inlineStr">
        <is>
          <t>Halifax, Nouvelle-Écosse, Canada</t>
        </is>
      </c>
      <c r="N2631" t="inlineStr">
        <is>
          <t>St. John's, Newfoundland and Labrador, Canada</t>
        </is>
      </c>
      <c r="O2631" t="inlineStr">
        <is>
          <t>St. John's, Terre-Neuve-et-Labrador, Canada</t>
        </is>
      </c>
      <c r="P2631" t="n">
        <v>3649.56</v>
      </c>
      <c r="Q2631" t="n">
        <v>0</v>
      </c>
      <c r="R2631" t="n">
        <v>854.54</v>
      </c>
      <c r="S2631" t="n">
        <v>654.45</v>
      </c>
      <c r="T2631" t="n">
        <v>0</v>
      </c>
      <c r="U2631" t="n">
        <v>5158.55</v>
      </c>
      <c r="X2631" t="inlineStr">
        <is>
          <t>aafc-aac</t>
        </is>
      </c>
      <c r="Y2631" t="inlineStr">
        <is>
          <t>Agriculture and Agri-Food Canada | Agriculture et Agroalimentaire Canada</t>
        </is>
      </c>
    </row>
    <row r="2632">
      <c r="A2632" t="inlineStr">
        <is>
          <t>T-AAFC-2026-P12-004</t>
        </is>
      </c>
      <c r="B2632" t="inlineStr">
        <is>
          <t>MPSES</t>
        </is>
      </c>
      <c r="C2632" t="inlineStr">
        <is>
          <t>Chief of Staff</t>
        </is>
      </c>
      <c r="D2632" t="inlineStr">
        <is>
          <t>Chef de Cabinet</t>
        </is>
      </c>
      <c r="E2632" t="inlineStr">
        <is>
          <t>Guy Gallant</t>
        </is>
      </c>
      <c r="F2632" t="inlineStr">
        <is>
          <t>To support the Minister's attendance to a Ministerial Mission</t>
        </is>
      </c>
      <c r="G2632" t="inlineStr">
        <is>
          <t>Soutenir la participation du ministre à une mission ministérielle</t>
        </is>
      </c>
      <c r="H2632" s="1" t="n">
        <v>46072</v>
      </c>
      <c r="I2632" s="1" t="n">
        <v>46075</v>
      </c>
      <c r="J2632" t="inlineStr">
        <is>
          <t>Washington, District of Columbia, United States</t>
        </is>
      </c>
      <c r="K2632" t="inlineStr">
        <is>
          <t>Washington, District de Columbia, États-Unis</t>
        </is>
      </c>
      <c r="P2632" t="n">
        <v>1166.6</v>
      </c>
      <c r="Q2632" t="n">
        <v>44.51</v>
      </c>
      <c r="R2632" t="n">
        <v>311.14</v>
      </c>
      <c r="S2632" t="n">
        <v>462.21</v>
      </c>
      <c r="T2632" t="n">
        <v>0</v>
      </c>
      <c r="U2632" t="n">
        <v>1984.46</v>
      </c>
      <c r="X2632" t="inlineStr">
        <is>
          <t>aafc-aac</t>
        </is>
      </c>
      <c r="Y2632" t="inlineStr">
        <is>
          <t>Agriculture and Agri-Food Canada | Agriculture et Agroalimentaire Canada</t>
        </is>
      </c>
    </row>
    <row r="2633">
      <c r="A2633" t="inlineStr">
        <is>
          <t>T-AAFC-2026-P12-005</t>
        </is>
      </c>
      <c r="B2633" t="inlineStr">
        <is>
          <t>MPSES</t>
        </is>
      </c>
      <c r="C2633" t="inlineStr">
        <is>
          <t>Director of Policy</t>
        </is>
      </c>
      <c r="D2633" t="inlineStr">
        <is>
          <t>Directrice des politiques</t>
        </is>
      </c>
      <c r="E2633" t="inlineStr">
        <is>
          <t>Serena Smith</t>
        </is>
      </c>
      <c r="F2633" t="inlineStr">
        <is>
          <t>To support the Minister's attendance to a Ministerial Mission</t>
        </is>
      </c>
      <c r="G2633" t="inlineStr">
        <is>
          <t>Soutenir la participation du ministre à une mission ministérielle</t>
        </is>
      </c>
      <c r="H2633" s="1" t="n">
        <v>46068</v>
      </c>
      <c r="I2633" s="1" t="n">
        <v>46075</v>
      </c>
      <c r="J2633" t="inlineStr">
        <is>
          <t>Mexico City, Mexico</t>
        </is>
      </c>
      <c r="K2633" t="inlineStr">
        <is>
          <t>Mexico, Mexique</t>
        </is>
      </c>
      <c r="L2633" t="inlineStr">
        <is>
          <t>Guadalajara, Mexico</t>
        </is>
      </c>
      <c r="M2633" t="inlineStr">
        <is>
          <t>Guadalajara, Mexique</t>
        </is>
      </c>
      <c r="N2633" t="inlineStr">
        <is>
          <t>Washington, District of Columbia, United States</t>
        </is>
      </c>
      <c r="O2633" t="inlineStr">
        <is>
          <t>Washington, District de Columbia, États-Unis</t>
        </is>
      </c>
      <c r="P2633" t="n">
        <v>2749.71</v>
      </c>
      <c r="Q2633" t="n">
        <v>0</v>
      </c>
      <c r="R2633" t="n">
        <v>1949.19</v>
      </c>
      <c r="S2633" t="n">
        <v>1192.68</v>
      </c>
      <c r="T2633" t="n">
        <v>0</v>
      </c>
      <c r="U2633" t="n">
        <v>5891.58</v>
      </c>
      <c r="X2633" t="inlineStr">
        <is>
          <t>aafc-aac</t>
        </is>
      </c>
      <c r="Y2633" t="inlineStr">
        <is>
          <t>Agriculture and Agri-Food Canada | Agriculture et Agroalimentaire Canada</t>
        </is>
      </c>
    </row>
    <row r="2634">
      <c r="A2634" t="inlineStr">
        <is>
          <t>T-AAFC-2026-P12-006</t>
        </is>
      </c>
      <c r="B2634" t="inlineStr">
        <is>
          <t>MPSES</t>
        </is>
      </c>
      <c r="C2634" t="inlineStr">
        <is>
          <t>Director of Policy</t>
        </is>
      </c>
      <c r="D2634" t="inlineStr">
        <is>
          <t>Directrice des politiques</t>
        </is>
      </c>
      <c r="E2634" t="inlineStr">
        <is>
          <t>Serena Smith</t>
        </is>
      </c>
      <c r="F2634" t="inlineStr">
        <is>
          <t>To support the Minister's attendance at an Atlantic Outreach</t>
        </is>
      </c>
      <c r="G2634" t="inlineStr">
        <is>
          <t>Soutenir le ministre lors d'une tournée de sensibilisation dans les provinces de l'Atlantique</t>
        </is>
      </c>
      <c r="H2634" s="1" t="n">
        <v>46079</v>
      </c>
      <c r="I2634" s="1" t="n">
        <v>46085</v>
      </c>
      <c r="J2634" t="inlineStr">
        <is>
          <t>Charlottetown, Prince Edward Island, Canada</t>
        </is>
      </c>
      <c r="K2634" t="inlineStr">
        <is>
          <t>Charlottetown, Île-du-Prince-Édouard, Canada</t>
        </is>
      </c>
      <c r="P2634" t="n">
        <v>1398.56</v>
      </c>
      <c r="Q2634" t="n">
        <v>93.14</v>
      </c>
      <c r="R2634" t="n">
        <v>214.08</v>
      </c>
      <c r="S2634" t="n">
        <v>124.95</v>
      </c>
      <c r="T2634" t="n">
        <v>0</v>
      </c>
      <c r="U2634" t="n">
        <v>1830.73</v>
      </c>
      <c r="X2634" t="inlineStr">
        <is>
          <t>aafc-aac</t>
        </is>
      </c>
      <c r="Y2634" t="inlineStr">
        <is>
          <t>Agriculture and Agri-Food Canada | Agriculture et Agroalimentaire Canada</t>
        </is>
      </c>
    </row>
    <row r="2635">
      <c r="A2635" t="inlineStr">
        <is>
          <t>T-AAFC-2026-P12-007</t>
        </is>
      </c>
      <c r="B2635" t="inlineStr">
        <is>
          <t>MPSES</t>
        </is>
      </c>
      <c r="C2635" t="inlineStr">
        <is>
          <t>Director of Policy</t>
        </is>
      </c>
      <c r="D2635" t="inlineStr">
        <is>
          <t>Directrice des politiques</t>
        </is>
      </c>
      <c r="E2635" t="inlineStr">
        <is>
          <t>Serena Smith</t>
        </is>
      </c>
      <c r="F2635" t="inlineStr">
        <is>
          <t>To support the Minister's attendance to a Ministerial Mission</t>
        </is>
      </c>
      <c r="G2635" t="inlineStr">
        <is>
          <t>Soutenir la participation du ministre à une mission ministérielle</t>
        </is>
      </c>
      <c r="H2635" s="1" t="n">
        <v>46095</v>
      </c>
      <c r="I2635" s="1" t="n">
        <v>46099</v>
      </c>
      <c r="J2635" t="inlineStr">
        <is>
          <t>Boston, Massachusetts, United States</t>
        </is>
      </c>
      <c r="K2635" t="inlineStr">
        <is>
          <t>Boston, Massachusetts, États-Unis</t>
        </is>
      </c>
      <c r="P2635" t="n">
        <v>1449.89</v>
      </c>
      <c r="Q2635" t="n">
        <v>0</v>
      </c>
      <c r="R2635" t="n">
        <v>1906.96</v>
      </c>
      <c r="S2635" t="n">
        <v>534.6</v>
      </c>
      <c r="T2635" t="n">
        <v>0</v>
      </c>
      <c r="U2635" t="n">
        <v>3891.45</v>
      </c>
      <c r="X2635" t="inlineStr">
        <is>
          <t>aafc-aac</t>
        </is>
      </c>
      <c r="Y2635" t="inlineStr">
        <is>
          <t>Agriculture and Agri-Food Canada | Agriculture et Agroalimentaire Canada</t>
        </is>
      </c>
    </row>
    <row r="2636">
      <c r="A2636" t="inlineStr">
        <is>
          <t>T-AAFC-2026-P12-008</t>
        </is>
      </c>
      <c r="B2636" t="inlineStr">
        <is>
          <t>MPSES</t>
        </is>
      </c>
      <c r="C2636" t="inlineStr">
        <is>
          <t>Atlantic Regional Advisor</t>
        </is>
      </c>
      <c r="D2636" t="inlineStr">
        <is>
          <t>Conseiller régional de l'Atlantique</t>
        </is>
      </c>
      <c r="E2636" t="inlineStr">
        <is>
          <t>Jake Godfrey</t>
        </is>
      </c>
      <c r="F2636" t="inlineStr">
        <is>
          <t>To support the Minister's attendance at an Atlantic Outreach</t>
        </is>
      </c>
      <c r="G2636" t="inlineStr">
        <is>
          <t>Soutenir le ministre lors d'une tournée de sensibilisation dans les provinces de l'Atlantique</t>
        </is>
      </c>
      <c r="H2636" s="1" t="n">
        <v>46082</v>
      </c>
      <c r="I2636" s="1" t="n">
        <v>46085</v>
      </c>
      <c r="J2636" t="inlineStr">
        <is>
          <t>Charlottetown, Prince Edward Island, Canada</t>
        </is>
      </c>
      <c r="K2636" t="inlineStr">
        <is>
          <t>Charlottetown, Île-du-Prince-Édouard, Canada</t>
        </is>
      </c>
      <c r="L2636" t="inlineStr">
        <is>
          <t>Halifax, Nova Scotia, Canada</t>
        </is>
      </c>
      <c r="M2636" t="inlineStr">
        <is>
          <t>Halifax, Nouvelle-Écosse, Canada</t>
        </is>
      </c>
      <c r="N2636" t="inlineStr">
        <is>
          <t>St. John's, Newfoundland and Labrador, Canada</t>
        </is>
      </c>
      <c r="O2636" t="inlineStr">
        <is>
          <t>St. John's, Terre-Neuve-et-Labrador, Canada</t>
        </is>
      </c>
      <c r="P2636" t="n">
        <v>3860.67</v>
      </c>
      <c r="Q2636" t="n">
        <v>788.79</v>
      </c>
      <c r="R2636" t="n">
        <v>354.62</v>
      </c>
      <c r="S2636" t="n">
        <v>730.4</v>
      </c>
      <c r="T2636" t="n">
        <v>0</v>
      </c>
      <c r="U2636" t="n">
        <v>5734.48</v>
      </c>
      <c r="X2636" t="inlineStr">
        <is>
          <t>aafc-aac</t>
        </is>
      </c>
      <c r="Y2636" t="inlineStr">
        <is>
          <t>Agriculture and Agri-Food Canada | Agriculture et Agroalimentaire Canada</t>
        </is>
      </c>
    </row>
    <row r="2637">
      <c r="A2637" t="inlineStr">
        <is>
          <t>T-AAFC-2026-P12-009</t>
        </is>
      </c>
      <c r="B2637" t="inlineStr">
        <is>
          <t>MPSES</t>
        </is>
      </c>
      <c r="C2637" t="inlineStr">
        <is>
          <t xml:space="preserve">Director of Operations  </t>
        </is>
      </c>
      <c r="D2637" t="inlineStr">
        <is>
          <t>Directrice des opérations</t>
        </is>
      </c>
      <c r="E2637" t="inlineStr">
        <is>
          <t>Mikaela Harrison</t>
        </is>
      </c>
      <c r="F2637" t="inlineStr">
        <is>
          <t>To support the Minister's attendance to a Ministerial Mission</t>
        </is>
      </c>
      <c r="G2637" t="inlineStr">
        <is>
          <t>Soutenir la participation du ministre à une mission ministérielle</t>
        </is>
      </c>
      <c r="H2637" s="1" t="n">
        <v>46068</v>
      </c>
      <c r="I2637" s="1" t="n">
        <v>46075</v>
      </c>
      <c r="J2637" t="inlineStr">
        <is>
          <t>Mexico City, Mexico</t>
        </is>
      </c>
      <c r="K2637" t="inlineStr">
        <is>
          <t>Mexico, Mexique</t>
        </is>
      </c>
      <c r="L2637" t="inlineStr">
        <is>
          <t>Guadalajara, Mexico</t>
        </is>
      </c>
      <c r="M2637" t="inlineStr">
        <is>
          <t>Guadalajara, Mexique</t>
        </is>
      </c>
      <c r="N2637" t="inlineStr">
        <is>
          <t>Washington, District of Columbia, United States</t>
        </is>
      </c>
      <c r="O2637" t="inlineStr">
        <is>
          <t>Washington, District de Columbia, États-Unis</t>
        </is>
      </c>
      <c r="P2637" t="n">
        <v>2666.71</v>
      </c>
      <c r="Q2637" t="n">
        <v>124.68</v>
      </c>
      <c r="R2637" t="n">
        <v>1866.94</v>
      </c>
      <c r="S2637" t="n">
        <v>1192.68</v>
      </c>
      <c r="T2637" t="n">
        <v>0</v>
      </c>
      <c r="U2637" t="n">
        <v>5851.01</v>
      </c>
      <c r="X2637" t="inlineStr">
        <is>
          <t>aafc-aac</t>
        </is>
      </c>
      <c r="Y2637" t="inlineStr">
        <is>
          <t>Agriculture and Agri-Food Canada | Agriculture et Agroalimentaire Canada</t>
        </is>
      </c>
    </row>
    <row r="2638">
      <c r="A2638" t="inlineStr">
        <is>
          <t>T-AAFC-2026-P12-010</t>
        </is>
      </c>
      <c r="B2638" t="inlineStr">
        <is>
          <t>MPSES</t>
        </is>
      </c>
      <c r="C2638" t="inlineStr">
        <is>
          <t>Deputy Minister</t>
        </is>
      </c>
      <c r="D2638" t="inlineStr">
        <is>
          <t>Sous-Ministre</t>
        </is>
      </c>
      <c r="E2638" t="inlineStr">
        <is>
          <t>Lawrence Hanson</t>
        </is>
      </c>
      <c r="F2638" t="inlineStr">
        <is>
          <t>To support the Minister's attendance to a Ministerial Mission</t>
        </is>
      </c>
      <c r="G2638" t="inlineStr">
        <is>
          <t>Soutenir la participation du ministre à une mission ministérielle</t>
        </is>
      </c>
      <c r="H2638" s="1" t="n">
        <v>46072</v>
      </c>
      <c r="I2638" s="1" t="n">
        <v>46073</v>
      </c>
      <c r="J2638" t="inlineStr">
        <is>
          <t>Washington, District of Columbia, United States</t>
        </is>
      </c>
      <c r="K2638" t="inlineStr">
        <is>
          <t>Washington, District de Columbia, États-Unis</t>
        </is>
      </c>
      <c r="P2638" t="n">
        <v>547.8</v>
      </c>
      <c r="Q2638" t="n">
        <v>0</v>
      </c>
      <c r="R2638" t="n">
        <v>349.35</v>
      </c>
      <c r="S2638" t="n">
        <v>264.82</v>
      </c>
      <c r="T2638" t="n">
        <v>0</v>
      </c>
      <c r="U2638" t="n">
        <v>1161.97</v>
      </c>
      <c r="X2638" t="inlineStr">
        <is>
          <t>aafc-aac</t>
        </is>
      </c>
      <c r="Y2638" t="inlineStr">
        <is>
          <t>Agriculture and Agri-Food Canada | Agriculture et Agroalimentaire Canada</t>
        </is>
      </c>
    </row>
    <row r="2639">
      <c r="A2639" t="inlineStr">
        <is>
          <t>T-AAFC-2026-P12-011</t>
        </is>
      </c>
      <c r="B2639" t="inlineStr">
        <is>
          <t>MPSES</t>
        </is>
      </c>
      <c r="C2639" t="inlineStr">
        <is>
          <t>Deputy Minister</t>
        </is>
      </c>
      <c r="D2639" t="inlineStr">
        <is>
          <t>Sous-Ministre</t>
        </is>
      </c>
      <c r="E2639" t="inlineStr">
        <is>
          <t>Lawrence Hanson</t>
        </is>
      </c>
      <c r="F2639" t="inlineStr">
        <is>
          <t>To support the Minister's attendance at an Atlantic Outreach</t>
        </is>
      </c>
      <c r="G2639" t="inlineStr">
        <is>
          <t>Soutenir le ministre lors d'une tournée de sensibilisation dans les provinces de l'Atlantique</t>
        </is>
      </c>
      <c r="H2639" s="1" t="n">
        <v>46082</v>
      </c>
      <c r="I2639" s="1" t="n">
        <v>46085</v>
      </c>
      <c r="J2639" t="inlineStr">
        <is>
          <t>Halifax, Nova Scotia, Canada</t>
        </is>
      </c>
      <c r="K2639" t="inlineStr">
        <is>
          <t>Halifax, Nouvelle-Écosse, Canada</t>
        </is>
      </c>
      <c r="L2639" t="inlineStr">
        <is>
          <t>St. John's, Newfoundland and Labrador, Canada</t>
        </is>
      </c>
      <c r="M2639" t="inlineStr">
        <is>
          <t>St. John's, Terre-Neuve-et-Labrador, Canada</t>
        </is>
      </c>
      <c r="P2639" t="n">
        <v>2853.75</v>
      </c>
      <c r="Q2639" t="n">
        <v>92.11</v>
      </c>
      <c r="R2639" t="n">
        <v>588.29</v>
      </c>
      <c r="S2639" t="n">
        <v>587.78</v>
      </c>
      <c r="T2639" t="n">
        <v>0</v>
      </c>
      <c r="U2639" t="n">
        <v>4121.93</v>
      </c>
      <c r="X2639" t="inlineStr">
        <is>
          <t>aafc-aac</t>
        </is>
      </c>
      <c r="Y2639" t="inlineStr">
        <is>
          <t>Agriculture and Agri-Food Canada | Agriculture et Agroalimentaire Canada</t>
        </is>
      </c>
    </row>
    <row r="2640">
      <c r="A2640" t="inlineStr">
        <is>
          <t>T-AAFC-2026-P12-012</t>
        </is>
      </c>
      <c r="B2640" t="inlineStr">
        <is>
          <t>MPSES</t>
        </is>
      </c>
      <c r="C2640" t="inlineStr">
        <is>
          <t>Deputy Minister</t>
        </is>
      </c>
      <c r="D2640" t="inlineStr">
        <is>
          <t>Sous-Ministre</t>
        </is>
      </c>
      <c r="E2640" t="inlineStr">
        <is>
          <t>Lawrence Hanson</t>
        </is>
      </c>
      <c r="F2640" t="inlineStr">
        <is>
          <t>To support the Minister's attendance to a Ministerial Mission</t>
        </is>
      </c>
      <c r="G2640" t="inlineStr">
        <is>
          <t>Soutenir la participation du ministre à une mission ministérielle</t>
        </is>
      </c>
      <c r="H2640" s="1" t="n">
        <v>46095</v>
      </c>
      <c r="I2640" s="1" t="n">
        <v>46099</v>
      </c>
      <c r="J2640" t="inlineStr">
        <is>
          <t>Boston, Massachusetts, United States</t>
        </is>
      </c>
      <c r="K2640" t="inlineStr">
        <is>
          <t>Boston, Massachusetts, États-Unis</t>
        </is>
      </c>
      <c r="P2640" t="n">
        <v>1104.92</v>
      </c>
      <c r="Q2640" t="n">
        <v>97.7</v>
      </c>
      <c r="R2640" t="n">
        <v>1862.48</v>
      </c>
      <c r="S2640" t="n">
        <v>808.91</v>
      </c>
      <c r="T2640" t="n">
        <v>0</v>
      </c>
      <c r="U2640" t="n">
        <v>3874.01</v>
      </c>
      <c r="X2640" t="inlineStr">
        <is>
          <t>aafc-aac</t>
        </is>
      </c>
      <c r="Y2640" t="inlineStr">
        <is>
          <t>Agriculture and Agri-Food Canada | Agriculture et Agroalimentaire Canada</t>
        </is>
      </c>
    </row>
    <row r="2641">
      <c r="A2641" t="inlineStr">
        <is>
          <t>T-AAFC-2026-P12-013</t>
        </is>
      </c>
      <c r="B2641" t="inlineStr">
        <is>
          <t>SLE</t>
        </is>
      </c>
      <c r="C2641" t="inlineStr">
        <is>
          <t>Assistant Deputy Minister, Science and Technology Branch</t>
        </is>
      </c>
      <c r="D2641" t="inlineStr">
        <is>
          <t>Sous-ministre adjointe, Direction générale des sciences et de la technologie</t>
        </is>
      </c>
      <c r="E2641" t="inlineStr">
        <is>
          <t>Arran McPherson</t>
        </is>
      </c>
      <c r="F2641" t="inlineStr">
        <is>
          <t>To attend the Space Committee Security Briefing</t>
        </is>
      </c>
      <c r="G2641" t="inlineStr">
        <is>
          <t>Participer au Breffage sur la sécurité spatiale du Comité spatial</t>
        </is>
      </c>
      <c r="H2641" s="1" t="n">
        <v>46076</v>
      </c>
      <c r="I2641" s="1" t="n">
        <v>46076</v>
      </c>
      <c r="J2641" t="inlineStr">
        <is>
          <t>Ottawa, Ontario, Canada</t>
        </is>
      </c>
      <c r="K2641" t="inlineStr">
        <is>
          <t>Ottawa, Ontario, Canada</t>
        </is>
      </c>
      <c r="P2641" t="n">
        <v>0</v>
      </c>
      <c r="Q2641" t="n">
        <v>52.15</v>
      </c>
      <c r="R2641" t="n">
        <v>0</v>
      </c>
      <c r="S2641" t="n">
        <v>0</v>
      </c>
      <c r="T2641" t="n">
        <v>0</v>
      </c>
      <c r="U2641" t="n">
        <v>52.15</v>
      </c>
      <c r="X2641" t="inlineStr">
        <is>
          <t>aafc-aac</t>
        </is>
      </c>
      <c r="Y2641" t="inlineStr">
        <is>
          <t>Agriculture and Agri-Food Canada | Agriculture et Agroalimentaire Canada</t>
        </is>
      </c>
    </row>
    <row r="2642">
      <c r="A2642" t="inlineStr">
        <is>
          <t>T-AAFC-2026-P12-014</t>
        </is>
      </c>
      <c r="B2642" t="inlineStr">
        <is>
          <t>SLE</t>
        </is>
      </c>
      <c r="C2642" t="inlineStr">
        <is>
          <t>Assistant Deputy Minister, International Affairs Branch</t>
        </is>
      </c>
      <c r="D2642" t="inlineStr">
        <is>
          <t>Sous-ministre adjointe, Direction générale des affaires internationales</t>
        </is>
      </c>
      <c r="E2642" t="inlineStr">
        <is>
          <t>Chris Moran</t>
        </is>
      </c>
      <c r="F2642" t="inlineStr">
        <is>
          <t>To attend meetings</t>
        </is>
      </c>
      <c r="G2642" t="inlineStr">
        <is>
          <t>Assister à des rencontres</t>
        </is>
      </c>
      <c r="H2642" s="1" t="n">
        <v>46037</v>
      </c>
      <c r="I2642" s="1" t="n">
        <v>46037</v>
      </c>
      <c r="J2642" t="inlineStr">
        <is>
          <t>Cobourg, Ontario, Canada</t>
        </is>
      </c>
      <c r="K2642" t="inlineStr">
        <is>
          <t>Cobourg, Ontario, Canada</t>
        </is>
      </c>
      <c r="P2642" t="n">
        <v>0</v>
      </c>
      <c r="Q2642" t="n">
        <v>485.72</v>
      </c>
      <c r="R2642" t="n">
        <v>0</v>
      </c>
      <c r="S2642" t="n">
        <v>60.75</v>
      </c>
      <c r="T2642" t="n">
        <v>0</v>
      </c>
      <c r="U2642" t="n">
        <v>546.47</v>
      </c>
      <c r="X2642" t="inlineStr">
        <is>
          <t>aafc-aac</t>
        </is>
      </c>
      <c r="Y2642" t="inlineStr">
        <is>
          <t>Agriculture and Agri-Food Canada | Agriculture et Agroalimentaire Canada</t>
        </is>
      </c>
    </row>
    <row r="2643">
      <c r="A2643" t="inlineStr">
        <is>
          <t>T-AAFC-2026-P12-015</t>
        </is>
      </c>
      <c r="B2643" t="inlineStr">
        <is>
          <t>SLE</t>
        </is>
      </c>
      <c r="C2643" t="inlineStr">
        <is>
          <t>Assistant Deputy Minister, International Affairs Branch</t>
        </is>
      </c>
      <c r="D2643" t="inlineStr">
        <is>
          <t>Sous-ministre adjointe, Direction générale des affaires internationales</t>
        </is>
      </c>
      <c r="E2643" t="inlineStr">
        <is>
          <t>Chris Moran</t>
        </is>
      </c>
      <c r="F2643" t="inlineStr">
        <is>
          <t>To support the Minister's attendance to a Ministerial Mission</t>
        </is>
      </c>
      <c r="G2643" t="inlineStr">
        <is>
          <t>Soutenir la participation du ministre à une mission ministérielle</t>
        </is>
      </c>
      <c r="H2643" s="1" t="n">
        <v>46068</v>
      </c>
      <c r="I2643" s="1" t="n">
        <v>46073</v>
      </c>
      <c r="J2643" t="inlineStr">
        <is>
          <t>Mexico City, Mexico</t>
        </is>
      </c>
      <c r="K2643" t="inlineStr">
        <is>
          <t>Mexico, Mexique</t>
        </is>
      </c>
      <c r="L2643" t="inlineStr">
        <is>
          <t>Guadalajara, Mexico</t>
        </is>
      </c>
      <c r="M2643" t="inlineStr">
        <is>
          <t>Guadalajara, Mexique</t>
        </is>
      </c>
      <c r="P2643" t="n">
        <v>3964.25</v>
      </c>
      <c r="Q2643" t="n">
        <v>0</v>
      </c>
      <c r="R2643" t="n">
        <v>1980.91</v>
      </c>
      <c r="S2643" t="n">
        <v>673.54</v>
      </c>
      <c r="T2643" t="n">
        <v>28.24</v>
      </c>
      <c r="U2643" t="n">
        <v>6646.94</v>
      </c>
      <c r="X2643" t="inlineStr">
        <is>
          <t>aafc-aac</t>
        </is>
      </c>
      <c r="Y2643" t="inlineStr">
        <is>
          <t>Agriculture and Agri-Food Canada | Agriculture et Agroalimentaire Canada</t>
        </is>
      </c>
    </row>
    <row r="2644">
      <c r="A2644" t="inlineStr">
        <is>
          <t>T-AAFC-2026-P12-016</t>
        </is>
      </c>
      <c r="B2644" t="inlineStr">
        <is>
          <t>SLE</t>
        </is>
      </c>
      <c r="C2644" t="inlineStr">
        <is>
          <t>Assistant Deputy Minister, International Affairs Branch</t>
        </is>
      </c>
      <c r="D2644" t="inlineStr">
        <is>
          <t>Sous-ministre adjointe, Direction générale des affaires internationales</t>
        </is>
      </c>
      <c r="E2644" t="inlineStr">
        <is>
          <t>Chris Moran</t>
        </is>
      </c>
      <c r="F2644" t="inlineStr">
        <is>
          <t>To attend Comprehensive Economic and Trade Agreement discussions</t>
        </is>
      </c>
      <c r="G2644" t="inlineStr">
        <is>
          <t>Participer aux discussions sur l’Accord économique et commercial global</t>
        </is>
      </c>
      <c r="H2644" s="1" t="n">
        <v>46085</v>
      </c>
      <c r="I2644" s="1" t="n">
        <v>46087</v>
      </c>
      <c r="J2644" t="inlineStr">
        <is>
          <t>Toronto, Ontario, Canada</t>
        </is>
      </c>
      <c r="K2644" t="inlineStr">
        <is>
          <t>Toronto, Ontario, Canada</t>
        </is>
      </c>
      <c r="P2644" t="n">
        <v>768.46</v>
      </c>
      <c r="Q2644" t="n">
        <v>42.23</v>
      </c>
      <c r="R2644" t="n">
        <v>806.76</v>
      </c>
      <c r="S2644" t="n">
        <v>261.1</v>
      </c>
      <c r="T2644" t="n">
        <v>0</v>
      </c>
      <c r="U2644" t="n">
        <v>1878.55</v>
      </c>
      <c r="X2644" t="inlineStr">
        <is>
          <t>aafc-aac</t>
        </is>
      </c>
      <c r="Y2644" t="inlineStr">
        <is>
          <t>Agriculture and Agri-Food Canada | Agriculture et Agroalimentaire Canada</t>
        </is>
      </c>
    </row>
    <row r="2645">
      <c r="A2645" t="inlineStr">
        <is>
          <t>T-AAFC-2026-P11-008</t>
        </is>
      </c>
      <c r="B2645" t="inlineStr">
        <is>
          <t>SLE</t>
        </is>
      </c>
      <c r="C2645" t="inlineStr">
        <is>
          <t>Assistant Deputy Minister, International Affairs Branch</t>
        </is>
      </c>
      <c r="D2645" t="inlineStr">
        <is>
          <t>Sous-ministre adjointe, Direction générale des affaires internationales</t>
        </is>
      </c>
      <c r="E2645" t="inlineStr">
        <is>
          <t>Chris Moran</t>
        </is>
      </c>
      <c r="F2645" t="inlineStr">
        <is>
          <t>To support the Minister's attendance to a Ministerial Mission</t>
        </is>
      </c>
      <c r="G2645" t="inlineStr">
        <is>
          <t>Soutenir la participation du ministre à une mission ministérielle</t>
        </is>
      </c>
      <c r="H2645" s="1" t="n">
        <v>45942</v>
      </c>
      <c r="I2645" s="1" t="n">
        <v>45947</v>
      </c>
      <c r="J2645" t="inlineStr">
        <is>
          <t>Mexico City, Mexico</t>
        </is>
      </c>
      <c r="K2645" t="inlineStr">
        <is>
          <t>Mexico, Mexique</t>
        </is>
      </c>
      <c r="L2645" t="inlineStr">
        <is>
          <t>Guadalajara, Mexico</t>
        </is>
      </c>
      <c r="M2645" t="inlineStr">
        <is>
          <t>Guadalajara, Mexique</t>
        </is>
      </c>
      <c r="P2645" t="n">
        <v>4438.45</v>
      </c>
      <c r="Q2645" t="n">
        <v>0</v>
      </c>
      <c r="R2645" t="n">
        <v>1839.34</v>
      </c>
      <c r="S2645" t="n">
        <v>747.99</v>
      </c>
      <c r="T2645" t="n">
        <v>0</v>
      </c>
      <c r="U2645" t="n">
        <v>7025.78</v>
      </c>
      <c r="X2645" t="inlineStr">
        <is>
          <t>aafc-aac</t>
        </is>
      </c>
      <c r="Y2645" t="inlineStr">
        <is>
          <t>Agriculture and Agri-Food Canada | Agriculture et Agroalimentaire Canada</t>
        </is>
      </c>
    </row>
    <row r="2646">
      <c r="A2646" t="inlineStr">
        <is>
          <t>T-AAFC-2026-P12-017</t>
        </is>
      </c>
      <c r="B2646" t="inlineStr">
        <is>
          <t>SLE</t>
        </is>
      </c>
      <c r="C2646" t="inlineStr">
        <is>
          <t>Associate Assistant Deputy Minister, Science and Technology Branch</t>
        </is>
      </c>
      <c r="D2646" t="inlineStr">
        <is>
          <t>Sous-ministre adjoint délégué, Direction générale des sciences et de la technologie</t>
        </is>
      </c>
      <c r="E2646" t="inlineStr">
        <is>
          <t>Andrew Goldstein</t>
        </is>
      </c>
      <c r="F2646" t="inlineStr">
        <is>
          <t>To attend meetings</t>
        </is>
      </c>
      <c r="G2646" t="inlineStr">
        <is>
          <t>Participer à des réunions</t>
        </is>
      </c>
      <c r="H2646" s="1" t="n">
        <v>46078</v>
      </c>
      <c r="I2646" s="1" t="n">
        <v>46080</v>
      </c>
      <c r="J2646" t="inlineStr">
        <is>
          <t>Ottawa, Ontario, Canada</t>
        </is>
      </c>
      <c r="K2646" t="inlineStr">
        <is>
          <t>Ottawa, Ontario, Canada</t>
        </is>
      </c>
      <c r="P2646" t="n">
        <v>0</v>
      </c>
      <c r="Q2646" t="n">
        <v>49</v>
      </c>
      <c r="R2646" t="n">
        <v>0</v>
      </c>
      <c r="S2646" t="n">
        <v>0</v>
      </c>
      <c r="T2646" t="n">
        <v>0</v>
      </c>
      <c r="U2646" t="n">
        <v>49</v>
      </c>
      <c r="X2646" t="inlineStr">
        <is>
          <t>aafc-aac</t>
        </is>
      </c>
      <c r="Y2646" t="inlineStr">
        <is>
          <t>Agriculture and Agri-Food Canada | Agriculture et Agroalimentaire Canada</t>
        </is>
      </c>
    </row>
    <row r="2647">
      <c r="A2647" t="inlineStr">
        <is>
          <t>T-AAFC-2026-P12-018</t>
        </is>
      </c>
      <c r="B2647" t="inlineStr">
        <is>
          <t>SLE</t>
        </is>
      </c>
      <c r="C2647" t="inlineStr">
        <is>
          <t>Assistant Deputy Minister, Strategic Policy Branch</t>
        </is>
      </c>
      <c r="D2647" t="inlineStr">
        <is>
          <t>Sous-ministre adjointe, Direction générale des politiques stratégiques</t>
        </is>
      </c>
      <c r="E2647" t="inlineStr">
        <is>
          <t>Shannon Nix</t>
        </is>
      </c>
      <c r="F2647" t="inlineStr">
        <is>
          <t>To attend meetings</t>
        </is>
      </c>
      <c r="G2647" t="inlineStr">
        <is>
          <t>Participer à des rencontres</t>
        </is>
      </c>
      <c r="H2647" s="1" t="n">
        <v>46093</v>
      </c>
      <c r="I2647" s="1" t="n">
        <v>46097</v>
      </c>
      <c r="J2647" t="inlineStr">
        <is>
          <t>Ottawa, Ontario, Canada</t>
        </is>
      </c>
      <c r="K2647" t="inlineStr">
        <is>
          <t>Ottawa, Ontario, Canada</t>
        </is>
      </c>
      <c r="P2647" t="n">
        <v>0</v>
      </c>
      <c r="Q2647" t="n">
        <v>48.5</v>
      </c>
      <c r="R2647" t="n">
        <v>0</v>
      </c>
      <c r="S2647" t="n">
        <v>0</v>
      </c>
      <c r="T2647" t="n">
        <v>0</v>
      </c>
      <c r="U2647" t="n">
        <v>48.5</v>
      </c>
      <c r="X2647" t="inlineStr">
        <is>
          <t>aafc-aac</t>
        </is>
      </c>
      <c r="Y2647" t="inlineStr">
        <is>
          <t>Agriculture and Agri-Food Canada | Agriculture et Agroalimentaire Canada</t>
        </is>
      </c>
    </row>
    <row r="2648">
      <c r="A2648" t="inlineStr">
        <is>
          <t>T-AAFC-2026-P12-019</t>
        </is>
      </c>
      <c r="B2648" t="inlineStr">
        <is>
          <t>SLE</t>
        </is>
      </c>
      <c r="C2648" t="inlineStr">
        <is>
          <t>Assistant Deputy Minister, Programs Branch</t>
        </is>
      </c>
      <c r="D2648" t="inlineStr">
        <is>
          <t>Sous-ministre adjointe, Direction générale des programmes</t>
        </is>
      </c>
      <c r="E2648" t="inlineStr">
        <is>
          <t>Liz Foster</t>
        </is>
      </c>
      <c r="F2648" t="inlineStr">
        <is>
          <t>To participate in an Outreach</t>
        </is>
      </c>
      <c r="G2648" t="inlineStr">
        <is>
          <t>Participer à une visite de sensibilisation</t>
        </is>
      </c>
      <c r="H2648" s="1" t="n">
        <v>46091</v>
      </c>
      <c r="I2648" s="1" t="n">
        <v>46094</v>
      </c>
      <c r="J2648" t="inlineStr">
        <is>
          <t>Winnipeg, Manitoba, Canada</t>
        </is>
      </c>
      <c r="K2648" t="inlineStr">
        <is>
          <t>Winnipeg, Manitoba, Canada</t>
        </is>
      </c>
      <c r="P2648" t="n">
        <v>799.84</v>
      </c>
      <c r="Q2648" t="n">
        <v>117.32</v>
      </c>
      <c r="R2648" t="n">
        <v>727.5599999999999</v>
      </c>
      <c r="S2648" t="n">
        <v>488.15</v>
      </c>
      <c r="T2648" t="n">
        <v>0</v>
      </c>
      <c r="U2648" t="n">
        <v>2132.87</v>
      </c>
      <c r="X2648" t="inlineStr">
        <is>
          <t>aafc-aac</t>
        </is>
      </c>
      <c r="Y2648" t="inlineStr">
        <is>
          <t>Agriculture and Agri-Food Canada | Agriculture et Agroalimentaire Canada</t>
        </is>
      </c>
    </row>
    <row r="2649">
      <c r="A2649" t="inlineStr">
        <is>
          <t>T-AAFC-2027-P01-001</t>
        </is>
      </c>
      <c r="B2649" t="inlineStr">
        <is>
          <t>MPSES</t>
        </is>
      </c>
      <c r="C2649" t="inlineStr">
        <is>
          <t>Minister</t>
        </is>
      </c>
      <c r="D2649" t="inlineStr">
        <is>
          <t>Ministre</t>
        </is>
      </c>
      <c r="E2649" t="inlineStr">
        <is>
          <t>Heath MacDonald</t>
        </is>
      </c>
      <c r="F2649" t="inlineStr">
        <is>
          <t>To attend a Ministerial Mission</t>
        </is>
      </c>
      <c r="G2649" t="inlineStr">
        <is>
          <t>Participer à une mission ministérielle</t>
        </is>
      </c>
      <c r="H2649" s="1" t="n">
        <v>46095</v>
      </c>
      <c r="I2649" s="1" t="n">
        <v>46099</v>
      </c>
      <c r="J2649" t="inlineStr">
        <is>
          <t>Boston, Massachusetts, United States</t>
        </is>
      </c>
      <c r="K2649" t="inlineStr">
        <is>
          <t>Boston, Massachusetts, États-Unis</t>
        </is>
      </c>
      <c r="P2649" t="n">
        <v>1494.27</v>
      </c>
      <c r="Q2649" t="n">
        <v>0</v>
      </c>
      <c r="R2649" t="n">
        <v>1856.66</v>
      </c>
      <c r="S2649" t="n">
        <v>534.6</v>
      </c>
      <c r="T2649" t="n">
        <v>0</v>
      </c>
      <c r="U2649" t="n">
        <v>3885.53</v>
      </c>
      <c r="X2649" t="inlineStr">
        <is>
          <t>aafc-aac</t>
        </is>
      </c>
      <c r="Y2649" t="inlineStr">
        <is>
          <t>Agriculture and Agri-Food Canada | Agriculture et Agroalimentaire Canada</t>
        </is>
      </c>
    </row>
    <row r="2650">
      <c r="A2650" t="inlineStr">
        <is>
          <t>T-AAFC-2027-P01-002</t>
        </is>
      </c>
      <c r="B2650" t="inlineStr">
        <is>
          <t>MPSES</t>
        </is>
      </c>
      <c r="C2650" t="inlineStr">
        <is>
          <t>Minister</t>
        </is>
      </c>
      <c r="D2650" t="inlineStr">
        <is>
          <t>Ministre</t>
        </is>
      </c>
      <c r="E2650" t="inlineStr">
        <is>
          <t>Heath MacDonald</t>
        </is>
      </c>
      <c r="F2650" t="inlineStr">
        <is>
          <t>To attend various meetings</t>
        </is>
      </c>
      <c r="G2650" t="inlineStr">
        <is>
          <t>Participer à diverses réunions</t>
        </is>
      </c>
      <c r="H2650" s="1" t="n">
        <v>46108</v>
      </c>
      <c r="I2650" s="1" t="n">
        <v>46108</v>
      </c>
      <c r="J2650" t="inlineStr">
        <is>
          <t>Luskville, Quebec, Canada</t>
        </is>
      </c>
      <c r="K2650" t="inlineStr">
        <is>
          <t>Luskville, Québec, Canada</t>
        </is>
      </c>
      <c r="L2650" t="inlineStr">
        <is>
          <t>Val-des-Monts, Quebec, Canada</t>
        </is>
      </c>
      <c r="M2650" t="inlineStr">
        <is>
          <t>Val-des-Monts, Québec, Canada</t>
        </is>
      </c>
      <c r="N2650" t="inlineStr">
        <is>
          <t>Gatineau, Quebec, Canada</t>
        </is>
      </c>
      <c r="O2650" t="inlineStr">
        <is>
          <t>Gatineau, Québec, Canada</t>
        </is>
      </c>
      <c r="P2650" t="n">
        <v>0</v>
      </c>
      <c r="Q2650" t="n">
        <v>0</v>
      </c>
      <c r="R2650" t="n">
        <v>0</v>
      </c>
      <c r="S2650" t="n">
        <v>90.34999999999999</v>
      </c>
      <c r="T2650" t="n">
        <v>0</v>
      </c>
      <c r="U2650" t="n">
        <v>90.34999999999999</v>
      </c>
      <c r="X2650" t="inlineStr">
        <is>
          <t>aafc-aac</t>
        </is>
      </c>
      <c r="Y2650" t="inlineStr">
        <is>
          <t>Agriculture and Agri-Food Canada | Agriculture et Agroalimentaire Canada</t>
        </is>
      </c>
    </row>
    <row r="2651">
      <c r="A2651" t="inlineStr">
        <is>
          <t>T-AAFC-2027-P01-003</t>
        </is>
      </c>
      <c r="B2651" t="inlineStr">
        <is>
          <t>MPSES</t>
        </is>
      </c>
      <c r="C2651" t="inlineStr">
        <is>
          <t>Minister</t>
        </is>
      </c>
      <c r="D2651" t="inlineStr">
        <is>
          <t>Ministre</t>
        </is>
      </c>
      <c r="E2651" t="inlineStr">
        <is>
          <t>Heath MacDonald</t>
        </is>
      </c>
      <c r="F2651" t="inlineStr">
        <is>
          <t>To attend various meetings</t>
        </is>
      </c>
      <c r="G2651" t="inlineStr">
        <is>
          <t>Participer à diverses réunions</t>
        </is>
      </c>
      <c r="H2651" s="1" t="n">
        <v>46110</v>
      </c>
      <c r="I2651" s="1" t="n">
        <v>46114</v>
      </c>
      <c r="J2651" t="inlineStr">
        <is>
          <t>Winnipeg, Manitoba, Canada</t>
        </is>
      </c>
      <c r="K2651" t="inlineStr">
        <is>
          <t>Winnipeg, Manitoba, Canada</t>
        </is>
      </c>
      <c r="L2651" t="inlineStr">
        <is>
          <t>Toronto, Ontario, Canada</t>
        </is>
      </c>
      <c r="M2651" t="inlineStr">
        <is>
          <t>Toronto, Ontario, Canada</t>
        </is>
      </c>
      <c r="P2651" t="n">
        <v>1899.43</v>
      </c>
      <c r="Q2651" t="n">
        <v>0</v>
      </c>
      <c r="R2651" t="n">
        <v>960.27</v>
      </c>
      <c r="S2651" t="n">
        <v>552.3</v>
      </c>
      <c r="T2651" t="n">
        <v>0</v>
      </c>
      <c r="U2651" t="n">
        <v>3412</v>
      </c>
      <c r="X2651" t="inlineStr">
        <is>
          <t>aafc-aac</t>
        </is>
      </c>
      <c r="Y2651" t="inlineStr">
        <is>
          <t>Agriculture and Agri-Food Canada | Agriculture et Agroalimentaire Canada</t>
        </is>
      </c>
    </row>
    <row r="2652">
      <c r="A2652" t="inlineStr">
        <is>
          <t>T-AAFC-2027-P01-004</t>
        </is>
      </c>
      <c r="B2652" t="inlineStr">
        <is>
          <t>MPSES</t>
        </is>
      </c>
      <c r="C2652" t="inlineStr">
        <is>
          <t>Minister</t>
        </is>
      </c>
      <c r="D2652" t="inlineStr">
        <is>
          <t>Ministre</t>
        </is>
      </c>
      <c r="E2652" t="inlineStr">
        <is>
          <t>Heath MacDonald</t>
        </is>
      </c>
      <c r="F2652" t="inlineStr">
        <is>
          <t>To participate in an Outreach</t>
        </is>
      </c>
      <c r="G2652" t="inlineStr">
        <is>
          <t>Assister à une tournée de sensibilisation</t>
        </is>
      </c>
      <c r="H2652" s="1" t="n">
        <v>46118</v>
      </c>
      <c r="I2652" s="1" t="n">
        <v>46121</v>
      </c>
      <c r="J2652" t="inlineStr">
        <is>
          <t>Cornwall, Prince Edward Island, Canada</t>
        </is>
      </c>
      <c r="K2652" t="inlineStr">
        <is>
          <t>Cornwall, Île-du-Prince-Édouard, Canada</t>
        </is>
      </c>
      <c r="L2652" t="inlineStr">
        <is>
          <t>Fredericton, New Brunswick, Canada</t>
        </is>
      </c>
      <c r="M2652" t="inlineStr">
        <is>
          <t>Fredericton, Nouveau-Brunswick, Canada</t>
        </is>
      </c>
      <c r="N2652" t="inlineStr">
        <is>
          <t>Grand Falls, New Brunswick, Canada</t>
        </is>
      </c>
      <c r="O2652" t="inlineStr">
        <is>
          <t>Grand-Sault, Nouveau-Brunswick, Canada</t>
        </is>
      </c>
      <c r="P2652" t="n">
        <v>0</v>
      </c>
      <c r="Q2652" t="n">
        <v>0</v>
      </c>
      <c r="R2652" t="n">
        <v>465.39</v>
      </c>
      <c r="S2652" t="n">
        <v>317.05</v>
      </c>
      <c r="T2652" t="n">
        <v>0</v>
      </c>
      <c r="U2652" t="n">
        <v>782.4400000000001</v>
      </c>
      <c r="X2652" t="inlineStr">
        <is>
          <t>aafc-aac</t>
        </is>
      </c>
      <c r="Y2652" t="inlineStr">
        <is>
          <t>Agriculture and Agri-Food Canada | Agriculture et Agroalimentaire Canada</t>
        </is>
      </c>
    </row>
    <row r="2653">
      <c r="A2653" t="inlineStr">
        <is>
          <t>T-AAFC-2027-P01-005</t>
        </is>
      </c>
      <c r="B2653" t="inlineStr">
        <is>
          <t>MPSES</t>
        </is>
      </c>
      <c r="C2653" t="inlineStr">
        <is>
          <t>Director of Parliamentary Affairs</t>
        </is>
      </c>
      <c r="D2653" t="inlineStr">
        <is>
          <t>Directeur des affaires parlementaires</t>
        </is>
      </c>
      <c r="E2653" t="inlineStr">
        <is>
          <t>Bradley Henstock</t>
        </is>
      </c>
      <c r="F2653" t="inlineStr">
        <is>
          <t>To support the Minister with various meetings</t>
        </is>
      </c>
      <c r="G2653" t="inlineStr">
        <is>
          <t>Soutenir le ministre lors de diverses réunions</t>
        </is>
      </c>
      <c r="H2653" s="1" t="n">
        <v>46112</v>
      </c>
      <c r="I2653" s="1" t="n">
        <v>46114</v>
      </c>
      <c r="J2653" t="inlineStr">
        <is>
          <t>Toronto, Ontario, Canada</t>
        </is>
      </c>
      <c r="K2653" t="inlineStr">
        <is>
          <t>Toronto, Ontario, Canada</t>
        </is>
      </c>
      <c r="P2653" t="n">
        <v>1203.14</v>
      </c>
      <c r="Q2653" t="n">
        <v>71.95</v>
      </c>
      <c r="R2653" t="n">
        <v>424.01</v>
      </c>
      <c r="S2653" t="n">
        <v>400.15</v>
      </c>
      <c r="T2653" t="n">
        <v>0</v>
      </c>
      <c r="U2653" t="n">
        <v>2099.25</v>
      </c>
      <c r="X2653" t="inlineStr">
        <is>
          <t>aafc-aac</t>
        </is>
      </c>
      <c r="Y2653" t="inlineStr">
        <is>
          <t>Agriculture and Agri-Food Canada | Agriculture et Agroalimentaire Canada</t>
        </is>
      </c>
    </row>
    <row r="2654">
      <c r="A2654" t="inlineStr">
        <is>
          <t>T-AAFC-2027-P01-006</t>
        </is>
      </c>
      <c r="B2654" t="inlineStr">
        <is>
          <t>MPSES</t>
        </is>
      </c>
      <c r="C2654" t="inlineStr">
        <is>
          <t>Driver</t>
        </is>
      </c>
      <c r="D2654" t="inlineStr">
        <is>
          <t>Chauffeur</t>
        </is>
      </c>
      <c r="E2654" t="inlineStr">
        <is>
          <t>Nicolas Mamo</t>
        </is>
      </c>
      <c r="F2654" t="inlineStr">
        <is>
          <t>To drive the Minister to various meetings</t>
        </is>
      </c>
      <c r="G2654" t="inlineStr">
        <is>
          <t>Conduire le ministre à diverses réunions</t>
        </is>
      </c>
      <c r="H2654" s="1" t="n">
        <v>46108</v>
      </c>
      <c r="I2654" s="1" t="n">
        <v>46108</v>
      </c>
      <c r="J2654" t="inlineStr">
        <is>
          <t>Luskville, Quebec, Canada</t>
        </is>
      </c>
      <c r="K2654" t="inlineStr">
        <is>
          <t>Luskville, Québec, Canada</t>
        </is>
      </c>
      <c r="L2654" t="inlineStr">
        <is>
          <t>Val-des-Monts, Quebec, Canada</t>
        </is>
      </c>
      <c r="M2654" t="inlineStr">
        <is>
          <t>Val-des-Monts, Québec, Canada</t>
        </is>
      </c>
      <c r="N2654" t="inlineStr">
        <is>
          <t>Gatineau, Quebec, Canada</t>
        </is>
      </c>
      <c r="O2654" t="inlineStr">
        <is>
          <t>Gatineau, Québec, Canada</t>
        </is>
      </c>
      <c r="P2654" t="n">
        <v>0</v>
      </c>
      <c r="Q2654" t="n">
        <v>0</v>
      </c>
      <c r="R2654" t="n">
        <v>0</v>
      </c>
      <c r="S2654" t="n">
        <v>90.34999999999999</v>
      </c>
      <c r="T2654" t="n">
        <v>0</v>
      </c>
      <c r="U2654" t="n">
        <v>90.34999999999999</v>
      </c>
      <c r="X2654" t="inlineStr">
        <is>
          <t>aafc-aac</t>
        </is>
      </c>
      <c r="Y2654" t="inlineStr">
        <is>
          <t>Agriculture and Agri-Food Canada | Agriculture et Agroalimentaire Canada</t>
        </is>
      </c>
    </row>
    <row r="2655">
      <c r="A2655" t="inlineStr">
        <is>
          <t>T-AAFC-2027-P01-007</t>
        </is>
      </c>
      <c r="B2655" t="inlineStr">
        <is>
          <t>MPSES</t>
        </is>
      </c>
      <c r="C2655" t="inlineStr">
        <is>
          <t>Ontario Regional Advisor</t>
        </is>
      </c>
      <c r="D2655" t="inlineStr">
        <is>
          <t>Conseiller régional de l'Ontario</t>
        </is>
      </c>
      <c r="E2655" t="inlineStr">
        <is>
          <t>Jason MacDonald</t>
        </is>
      </c>
      <c r="F2655" t="inlineStr">
        <is>
          <t>To support the Minister with various meetings</t>
        </is>
      </c>
      <c r="G2655" t="inlineStr">
        <is>
          <t>Soutenir le ministre lors de diverses réunions</t>
        </is>
      </c>
      <c r="H2655" s="1" t="n">
        <v>46112</v>
      </c>
      <c r="I2655" s="1" t="n">
        <v>46114</v>
      </c>
      <c r="J2655" t="inlineStr">
        <is>
          <t>Toronto, Ontario, Canada</t>
        </is>
      </c>
      <c r="K2655" t="inlineStr">
        <is>
          <t>Toronto, Ontario, Canada</t>
        </is>
      </c>
      <c r="P2655" t="n">
        <v>1190.71</v>
      </c>
      <c r="Q2655" t="n">
        <v>297.66</v>
      </c>
      <c r="R2655" t="n">
        <v>213.89</v>
      </c>
      <c r="S2655" t="n">
        <v>338</v>
      </c>
      <c r="T2655" t="n">
        <v>0</v>
      </c>
      <c r="U2655" t="n">
        <v>2040.26</v>
      </c>
      <c r="X2655" t="inlineStr">
        <is>
          <t>aafc-aac</t>
        </is>
      </c>
      <c r="Y2655" t="inlineStr">
        <is>
          <t>Agriculture and Agri-Food Canada | Agriculture et Agroalimentaire Canada</t>
        </is>
      </c>
    </row>
    <row r="2656">
      <c r="A2656" t="inlineStr">
        <is>
          <t>T-AAFC-2027-P01-008</t>
        </is>
      </c>
      <c r="B2656" t="inlineStr">
        <is>
          <t>MPSES</t>
        </is>
      </c>
      <c r="C2656" t="inlineStr">
        <is>
          <t>Director of Policy</t>
        </is>
      </c>
      <c r="D2656" t="inlineStr">
        <is>
          <t>Directrice des politiques</t>
        </is>
      </c>
      <c r="E2656" t="inlineStr">
        <is>
          <t>Serena Smith</t>
        </is>
      </c>
      <c r="F2656" t="inlineStr">
        <is>
          <t>To support the Minister's attendance at an Outreach</t>
        </is>
      </c>
      <c r="G2656" t="inlineStr">
        <is>
          <t>Soutenir le ministre lors d'une tournée de sensibilisation</t>
        </is>
      </c>
      <c r="H2656" s="1" t="n">
        <v>46118</v>
      </c>
      <c r="I2656" s="1" t="n">
        <v>46121</v>
      </c>
      <c r="J2656" t="inlineStr">
        <is>
          <t>Cornwall, Prince Edward Island, Canada</t>
        </is>
      </c>
      <c r="K2656" t="inlineStr">
        <is>
          <t>Cornwall, Île-du-Prince-Édouard, Canada</t>
        </is>
      </c>
      <c r="L2656" t="inlineStr">
        <is>
          <t>Fredericton, New Brunswick, Canada</t>
        </is>
      </c>
      <c r="M2656" t="inlineStr">
        <is>
          <t>Fredericton, Nouveau-Brunswick, Canada</t>
        </is>
      </c>
      <c r="N2656" t="inlineStr">
        <is>
          <t>Grand Falls, New Brunswick, Canada</t>
        </is>
      </c>
      <c r="O2656" t="inlineStr">
        <is>
          <t>Grand-Sault, Nouveau-Brunswick, Canada</t>
        </is>
      </c>
      <c r="P2656" t="n">
        <v>1672.17</v>
      </c>
      <c r="Q2656" t="n">
        <v>148.75</v>
      </c>
      <c r="R2656" t="n">
        <v>691.4299999999999</v>
      </c>
      <c r="S2656" t="n">
        <v>493.35</v>
      </c>
      <c r="T2656" t="n">
        <v>0</v>
      </c>
      <c r="U2656" t="n">
        <v>3005.7</v>
      </c>
      <c r="X2656" t="inlineStr">
        <is>
          <t>aafc-aac</t>
        </is>
      </c>
      <c r="Y2656" t="inlineStr">
        <is>
          <t>Agriculture and Agri-Food Canada | Agriculture et Agroalimentaire Canada</t>
        </is>
      </c>
    </row>
    <row r="2657">
      <c r="A2657" t="inlineStr">
        <is>
          <t>T-AAFC-2027-P01-009</t>
        </is>
      </c>
      <c r="B2657" t="inlineStr">
        <is>
          <t>MPSES</t>
        </is>
      </c>
      <c r="C2657" t="inlineStr">
        <is>
          <t>Atlantic Regional Advisor</t>
        </is>
      </c>
      <c r="D2657" t="inlineStr">
        <is>
          <t>Conseiller régional de l'Atlantique</t>
        </is>
      </c>
      <c r="E2657" t="inlineStr">
        <is>
          <t>Jake Godfrey</t>
        </is>
      </c>
      <c r="F2657" t="inlineStr">
        <is>
          <t>To support the Minister's attendance at an Outreach</t>
        </is>
      </c>
      <c r="G2657" t="inlineStr">
        <is>
          <t>Soutenir le ministre  lors d'une tournée de sensibilisation</t>
        </is>
      </c>
      <c r="H2657" s="1" t="n">
        <v>46118</v>
      </c>
      <c r="I2657" s="1" t="n">
        <v>46121</v>
      </c>
      <c r="J2657" t="inlineStr">
        <is>
          <t>Cornwall, Prince Edward Island, Canada</t>
        </is>
      </c>
      <c r="K2657" t="inlineStr">
        <is>
          <t>Cornwall, Île-du-Prince-Édouard, Canada</t>
        </is>
      </c>
      <c r="L2657" t="inlineStr">
        <is>
          <t>Fredericton, New Brunswick, Canada</t>
        </is>
      </c>
      <c r="M2657" t="inlineStr">
        <is>
          <t>Fredericton, Nouveau-Brunswick, Canada</t>
        </is>
      </c>
      <c r="N2657" t="inlineStr">
        <is>
          <t>Grand Falls, New Brunswick, Canada</t>
        </is>
      </c>
      <c r="O2657" t="inlineStr">
        <is>
          <t>Grand-Sault, Nouveau-Brunswick, Canada</t>
        </is>
      </c>
      <c r="P2657" t="n">
        <v>1672.17</v>
      </c>
      <c r="Q2657" t="n">
        <v>488.47</v>
      </c>
      <c r="R2657" t="n">
        <v>465.39</v>
      </c>
      <c r="S2657" t="n">
        <v>463.3</v>
      </c>
      <c r="T2657" t="n">
        <v>0</v>
      </c>
      <c r="U2657" t="n">
        <v>3089.33</v>
      </c>
      <c r="X2657" t="inlineStr">
        <is>
          <t>aafc-aac</t>
        </is>
      </c>
      <c r="Y2657" t="inlineStr">
        <is>
          <t>Agriculture and Agri-Food Canada | Agriculture et Agroalimentaire Canada</t>
        </is>
      </c>
    </row>
    <row r="2658">
      <c r="A2658" t="inlineStr">
        <is>
          <t>T-AAFC-2027-P01-010</t>
        </is>
      </c>
      <c r="B2658" t="inlineStr">
        <is>
          <t>MPSES</t>
        </is>
      </c>
      <c r="C2658" t="inlineStr">
        <is>
          <t>Special Assistant</t>
        </is>
      </c>
      <c r="D2658" t="inlineStr">
        <is>
          <t>Adjointe spéciale</t>
        </is>
      </c>
      <c r="E2658" t="inlineStr">
        <is>
          <t>Yasmin Veiga</t>
        </is>
      </c>
      <c r="F2658" t="inlineStr">
        <is>
          <t>To support the Minister with various meetings</t>
        </is>
      </c>
      <c r="G2658" t="inlineStr">
        <is>
          <t>Soutenir le ministre lors de diverses réunions</t>
        </is>
      </c>
      <c r="H2658" s="1" t="n">
        <v>46108</v>
      </c>
      <c r="I2658" s="1" t="n">
        <v>46108</v>
      </c>
      <c r="J2658" t="inlineStr">
        <is>
          <t>Luskville, Quebec, Canada</t>
        </is>
      </c>
      <c r="K2658" t="inlineStr">
        <is>
          <t>Luskville, Québec, Canada</t>
        </is>
      </c>
      <c r="L2658" t="inlineStr">
        <is>
          <t>Val-des-Monts, Quebec, Canada</t>
        </is>
      </c>
      <c r="M2658" t="inlineStr">
        <is>
          <t>Val-des-Monts, Québec, Canada</t>
        </is>
      </c>
      <c r="N2658" t="inlineStr">
        <is>
          <t>Gatineau, Quebec, Canada</t>
        </is>
      </c>
      <c r="O2658" t="inlineStr">
        <is>
          <t>Gatineau, Québec, Canada</t>
        </is>
      </c>
      <c r="P2658" t="n">
        <v>0</v>
      </c>
      <c r="Q2658" t="n">
        <v>0</v>
      </c>
      <c r="R2658" t="n">
        <v>0</v>
      </c>
      <c r="S2658" t="n">
        <v>90.34999999999999</v>
      </c>
      <c r="T2658" t="n">
        <v>0</v>
      </c>
      <c r="U2658" t="n">
        <v>90.34999999999999</v>
      </c>
      <c r="X2658" t="inlineStr">
        <is>
          <t>aafc-aac</t>
        </is>
      </c>
      <c r="Y2658" t="inlineStr">
        <is>
          <t>Agriculture and Agri-Food Canada | Agriculture et Agroalimentaire Canada</t>
        </is>
      </c>
    </row>
    <row r="2659">
      <c r="A2659" t="inlineStr">
        <is>
          <t>T-AAFC-2027-P01-011</t>
        </is>
      </c>
      <c r="B2659" t="inlineStr">
        <is>
          <t>MPSES</t>
        </is>
      </c>
      <c r="C2659" t="inlineStr">
        <is>
          <t>Regional Advisor - Prairies and North</t>
        </is>
      </c>
      <c r="D2659" t="inlineStr">
        <is>
          <t>Conseiller régional - Prairies et Nord</t>
        </is>
      </c>
      <c r="E2659" t="inlineStr">
        <is>
          <t>Richard Davies</t>
        </is>
      </c>
      <c r="F2659" t="inlineStr">
        <is>
          <t>To support the Minister with various meetings</t>
        </is>
      </c>
      <c r="G2659" t="inlineStr">
        <is>
          <t>Soutenir le ministre lors de diverses réunions</t>
        </is>
      </c>
      <c r="H2659" s="1" t="n">
        <v>46110</v>
      </c>
      <c r="I2659" s="1" t="n">
        <v>46112</v>
      </c>
      <c r="J2659" t="inlineStr">
        <is>
          <t>Winnipeg, Manitoba, Canada</t>
        </is>
      </c>
      <c r="K2659" t="inlineStr">
        <is>
          <t>Winnipeg, Manitoba, Canada</t>
        </is>
      </c>
      <c r="P2659" t="n">
        <v>1141.34</v>
      </c>
      <c r="Q2659" t="n">
        <v>115.86</v>
      </c>
      <c r="R2659" t="n">
        <v>500.77</v>
      </c>
      <c r="S2659" t="n">
        <v>231.6</v>
      </c>
      <c r="T2659" t="n">
        <v>0</v>
      </c>
      <c r="U2659" t="n">
        <v>1989.57</v>
      </c>
      <c r="X2659" t="inlineStr">
        <is>
          <t>aafc-aac</t>
        </is>
      </c>
      <c r="Y2659" t="inlineStr">
        <is>
          <t>Agriculture and Agri-Food Canada | Agriculture et Agroalimentaire Canada</t>
        </is>
      </c>
    </row>
    <row r="2660">
      <c r="A2660" t="inlineStr">
        <is>
          <t>T-AAFC-2027-P01-012</t>
        </is>
      </c>
      <c r="B2660" t="inlineStr">
        <is>
          <t>SLE</t>
        </is>
      </c>
      <c r="C2660" t="inlineStr">
        <is>
          <t>Assistant Deputy Minister, Science and Technology Branch</t>
        </is>
      </c>
      <c r="D2660" t="inlineStr">
        <is>
          <t>Sous-ministre adjointe, Direction générale des sciences et de la technologie</t>
        </is>
      </c>
      <c r="E2660" t="inlineStr">
        <is>
          <t>Arran McPherson</t>
        </is>
      </c>
      <c r="F2660" t="inlineStr">
        <is>
          <t>To visit and meet with staff</t>
        </is>
      </c>
      <c r="G2660" t="inlineStr">
        <is>
          <t>Visiter et rencontrer le personnel</t>
        </is>
      </c>
      <c r="H2660" s="1" t="n">
        <v>46089</v>
      </c>
      <c r="I2660" s="1" t="n">
        <v>46091</v>
      </c>
      <c r="J2660" t="inlineStr">
        <is>
          <t>St. John's, Newfoundland and Labrador, Canada</t>
        </is>
      </c>
      <c r="K2660" t="inlineStr">
        <is>
          <t>Saint-Jean, Terre-Neuve-et-Labrador, Canada</t>
        </is>
      </c>
      <c r="P2660" t="n">
        <v>1562.75</v>
      </c>
      <c r="Q2660" t="n">
        <v>83.53</v>
      </c>
      <c r="R2660" t="n">
        <v>378.96</v>
      </c>
      <c r="S2660" t="n">
        <v>290.7</v>
      </c>
      <c r="T2660" t="n">
        <v>0</v>
      </c>
      <c r="U2660" t="n">
        <v>2315.94</v>
      </c>
      <c r="X2660" t="inlineStr">
        <is>
          <t>aafc-aac</t>
        </is>
      </c>
      <c r="Y2660" t="inlineStr">
        <is>
          <t>Agriculture and Agri-Food Canada | Agriculture et Agroalimentaire Canada</t>
        </is>
      </c>
    </row>
    <row r="2661">
      <c r="A2661" t="inlineStr">
        <is>
          <t>T-AAFC-2027-P01-013</t>
        </is>
      </c>
      <c r="B2661" t="inlineStr">
        <is>
          <t>SLE</t>
        </is>
      </c>
      <c r="C2661" t="inlineStr">
        <is>
          <t>Associate Assistant Deputy Minister, Science and Technology Branch</t>
        </is>
      </c>
      <c r="D2661" t="inlineStr">
        <is>
          <t>Sous-ministre adjoint délégué, Direction générale des sciences et de la technologie</t>
        </is>
      </c>
      <c r="E2661" t="inlineStr">
        <is>
          <t>Andrew Goldstein</t>
        </is>
      </c>
      <c r="F2661" t="inlineStr">
        <is>
          <t>To participate in an Outreach visit and meet with staff</t>
        </is>
      </c>
      <c r="G2661" t="inlineStr">
        <is>
          <t>Participer à une visite de sensibilisation avec le personnel</t>
        </is>
      </c>
      <c r="H2661" s="1" t="n">
        <v>46126</v>
      </c>
      <c r="I2661" s="1" t="n">
        <v>46128</v>
      </c>
      <c r="J2661" t="inlineStr">
        <is>
          <t>Fredericton, New Brunswick, Canada</t>
        </is>
      </c>
      <c r="K2661" t="inlineStr">
        <is>
          <t>Fredericton, Nouveau-Brunswick, Canada</t>
        </is>
      </c>
      <c r="P2661" t="n">
        <v>915.24</v>
      </c>
      <c r="Q2661" t="n">
        <v>119.92</v>
      </c>
      <c r="R2661" t="n">
        <v>506.58</v>
      </c>
      <c r="S2661" t="n">
        <v>258.5</v>
      </c>
      <c r="T2661" t="n">
        <v>0</v>
      </c>
      <c r="U2661" t="n">
        <v>1800.24</v>
      </c>
      <c r="X2661" t="inlineStr">
        <is>
          <t>aafc-aac</t>
        </is>
      </c>
      <c r="Y2661" t="inlineStr">
        <is>
          <t>Agriculture and Agri-Food Canada | Agriculture et Agroalimentaire Canada</t>
        </is>
      </c>
    </row>
    <row r="2662">
      <c r="A2662" t="inlineStr">
        <is>
          <t>T-AAFC-2027-P01-014</t>
        </is>
      </c>
      <c r="B2662" t="inlineStr">
        <is>
          <t>SLE</t>
        </is>
      </c>
      <c r="C2662" t="inlineStr">
        <is>
          <t>Assistant Deputy Minister, Corporate Management Branch</t>
        </is>
      </c>
      <c r="D2662" t="inlineStr">
        <is>
          <t>Sous-ministre adjoint, Direction générale de la gestion intégrée</t>
        </is>
      </c>
      <c r="E2662" t="inlineStr">
        <is>
          <t>Alain Lagacé</t>
        </is>
      </c>
      <c r="F2662" t="inlineStr">
        <is>
          <t>To visit Southern Ontario worksites</t>
        </is>
      </c>
      <c r="G2662" t="inlineStr">
        <is>
          <t>Visiter les sites de travail du sud de l'Ontario</t>
        </is>
      </c>
      <c r="H2662" s="1" t="n">
        <v>46124</v>
      </c>
      <c r="I2662" s="1" t="n">
        <v>46129</v>
      </c>
      <c r="J2662" t="inlineStr">
        <is>
          <t>Guelph, Ontario, Canada</t>
        </is>
      </c>
      <c r="K2662" t="inlineStr">
        <is>
          <t>Guelph, Ontario, Canada</t>
        </is>
      </c>
      <c r="L2662" t="inlineStr">
        <is>
          <t>Jordan, Ontario, Canada</t>
        </is>
      </c>
      <c r="M2662" t="inlineStr">
        <is>
          <t>Jordan, Ontario, Canada</t>
        </is>
      </c>
      <c r="N2662" t="inlineStr">
        <is>
          <t>Jerseyville, Ontario, Canada;London, Ontario, Canada;Harrow, Ontario, Canada</t>
        </is>
      </c>
      <c r="O2662" t="inlineStr">
        <is>
          <t>Jerseyville, Ontario, Canada;London, Ontario, Canada;Harrow, Ontario, Canada</t>
        </is>
      </c>
      <c r="P2662" t="n">
        <v>733.4299999999999</v>
      </c>
      <c r="Q2662" t="n">
        <v>824.85</v>
      </c>
      <c r="R2662" t="n">
        <v>1107.89</v>
      </c>
      <c r="S2662" t="n">
        <v>877.5</v>
      </c>
      <c r="T2662" t="n">
        <v>0</v>
      </c>
      <c r="U2662" t="n">
        <v>3543.67</v>
      </c>
      <c r="X2662" t="inlineStr">
        <is>
          <t>aafc-aac</t>
        </is>
      </c>
      <c r="Y2662" t="inlineStr">
        <is>
          <t>Agriculture and Agri-Food Canada | Agriculture et Agroalimentaire Canada</t>
        </is>
      </c>
    </row>
    <row r="2663">
      <c r="A2663" t="inlineStr">
        <is>
          <t>T-AAFC-2027-P01-015</t>
        </is>
      </c>
      <c r="B2663" t="inlineStr">
        <is>
          <t>SLE</t>
        </is>
      </c>
      <c r="C2663" t="inlineStr">
        <is>
          <t>Assistant Deputy Minister, Corporate Management Branch</t>
        </is>
      </c>
      <c r="D2663" t="inlineStr">
        <is>
          <t>Sous-ministre adjoint, Direction générale de la gestion intégrée</t>
        </is>
      </c>
      <c r="E2663" t="inlineStr">
        <is>
          <t>Alain Lagacé</t>
        </is>
      </c>
      <c r="F2663" t="inlineStr">
        <is>
          <t>To attend the Finance Executive Development Program-Senior Leaders Workshop</t>
        </is>
      </c>
      <c r="G2663" t="inlineStr">
        <is>
          <t>Assister à l’atelier des cadres supérieurs du Programme de perfectionnement des cadres en finances</t>
        </is>
      </c>
      <c r="H2663" s="1" t="n">
        <v>46112</v>
      </c>
      <c r="I2663" s="1" t="n">
        <v>46112</v>
      </c>
      <c r="J2663" t="inlineStr">
        <is>
          <t>Ottawa, Ontario, Canada</t>
        </is>
      </c>
      <c r="K2663" t="inlineStr">
        <is>
          <t>Ottawa, Ontario, Canada</t>
        </is>
      </c>
      <c r="P2663" t="n">
        <v>0</v>
      </c>
      <c r="Q2663" t="n">
        <v>24.5</v>
      </c>
      <c r="R2663" t="n">
        <v>0</v>
      </c>
      <c r="S2663" t="n">
        <v>0</v>
      </c>
      <c r="T2663" t="n">
        <v>0</v>
      </c>
      <c r="U2663" t="n">
        <v>24.5</v>
      </c>
      <c r="X2663" t="inlineStr">
        <is>
          <t>aafc-aac</t>
        </is>
      </c>
      <c r="Y2663" t="inlineStr">
        <is>
          <t>Agriculture and Agri-Food Canada | Agriculture et Agroalimentaire Canada</t>
        </is>
      </c>
    </row>
    <row r="2664">
      <c r="A2664" t="inlineStr">
        <is>
          <t>T-AAFC-2027-P01-016</t>
        </is>
      </c>
      <c r="B2664" t="inlineStr">
        <is>
          <t>SLE</t>
        </is>
      </c>
      <c r="C2664" t="inlineStr">
        <is>
          <t>Assistant Deputy Minister, Strategic Policy Branch</t>
        </is>
      </c>
      <c r="D2664" t="inlineStr">
        <is>
          <t>Sous-ministre adjointe, Direction générale des politiques stratégiques</t>
        </is>
      </c>
      <c r="E2664" t="inlineStr">
        <is>
          <t>Shannon Nix</t>
        </is>
      </c>
      <c r="F2664" t="inlineStr">
        <is>
          <t>To attend meetings</t>
        </is>
      </c>
      <c r="G2664" t="inlineStr">
        <is>
          <t>Assister à des réunions</t>
        </is>
      </c>
      <c r="H2664" s="1" t="n">
        <v>46126</v>
      </c>
      <c r="I2664" s="1" t="n">
        <v>46131</v>
      </c>
      <c r="J2664" t="inlineStr">
        <is>
          <t>Ottawa, Ontario, Canada</t>
        </is>
      </c>
      <c r="K2664" t="inlineStr">
        <is>
          <t>Ottawa, Ontario, Canada</t>
        </is>
      </c>
      <c r="P2664" t="n">
        <v>0</v>
      </c>
      <c r="Q2664" t="n">
        <v>94.61</v>
      </c>
      <c r="R2664" t="n">
        <v>0</v>
      </c>
      <c r="S2664" t="n">
        <v>0</v>
      </c>
      <c r="T2664" t="n">
        <v>0</v>
      </c>
      <c r="U2664" t="n">
        <v>94.61</v>
      </c>
      <c r="X2664" t="inlineStr">
        <is>
          <t>aafc-aac</t>
        </is>
      </c>
      <c r="Y2664" t="inlineStr">
        <is>
          <t>Agriculture and Agri-Food Canada | Agriculture et Agroalimentaire Canada</t>
        </is>
      </c>
    </row>
    <row r="2665">
      <c r="A2665" t="inlineStr">
        <is>
          <t>T-AAFC-2027-P02-001</t>
        </is>
      </c>
      <c r="B2665" t="inlineStr">
        <is>
          <t>MPSES</t>
        </is>
      </c>
      <c r="C2665" t="inlineStr">
        <is>
          <t>Minister</t>
        </is>
      </c>
      <c r="D2665" t="inlineStr">
        <is>
          <t>Ministre</t>
        </is>
      </c>
      <c r="E2665" t="inlineStr">
        <is>
          <t>Heath MacDonald</t>
        </is>
      </c>
      <c r="F2665" t="inlineStr">
        <is>
          <t>To attend an Outreach</t>
        </is>
      </c>
      <c r="G2665" t="inlineStr">
        <is>
          <t>Participer à une tournée de sensibilisation</t>
        </is>
      </c>
      <c r="H2665" s="1" t="n">
        <v>46140</v>
      </c>
      <c r="I2665" s="1" t="n">
        <v>46142</v>
      </c>
      <c r="J2665" t="inlineStr">
        <is>
          <t>Montréal, Quebec, Canada</t>
        </is>
      </c>
      <c r="K2665" t="inlineStr">
        <is>
          <t>Montréal, Québec, Canada</t>
        </is>
      </c>
      <c r="L2665" t="inlineStr">
        <is>
          <t>Toronto, Ontario, Canada</t>
        </is>
      </c>
      <c r="M2665" t="inlineStr">
        <is>
          <t>Toronto, Ontario, Canada</t>
        </is>
      </c>
      <c r="P2665" t="n">
        <v>1560.74</v>
      </c>
      <c r="Q2665" t="n">
        <v>0</v>
      </c>
      <c r="R2665" t="n">
        <v>763.12</v>
      </c>
      <c r="S2665" t="n">
        <v>379.2</v>
      </c>
      <c r="T2665" t="n">
        <v>0</v>
      </c>
      <c r="U2665" t="n">
        <v>2703.06</v>
      </c>
      <c r="X2665" t="inlineStr">
        <is>
          <t>aafc-aac</t>
        </is>
      </c>
      <c r="Y2665" t="inlineStr">
        <is>
          <t>Agriculture and Agri-Food Canada | Agriculture et Agroalimentaire Canada</t>
        </is>
      </c>
    </row>
    <row r="2666">
      <c r="A2666" t="inlineStr">
        <is>
          <t>T-AAFC-2027-P02-002</t>
        </is>
      </c>
      <c r="B2666" t="inlineStr">
        <is>
          <t>MPSES</t>
        </is>
      </c>
      <c r="C2666" t="inlineStr">
        <is>
          <t>Minister</t>
        </is>
      </c>
      <c r="D2666" t="inlineStr">
        <is>
          <t>Ministre</t>
        </is>
      </c>
      <c r="E2666" t="inlineStr">
        <is>
          <t>Heath MacDonald</t>
        </is>
      </c>
      <c r="F2666" t="inlineStr">
        <is>
          <t>To attend an Outreach</t>
        </is>
      </c>
      <c r="G2666" t="inlineStr">
        <is>
          <t>Participer à une tournée de sensibilisation</t>
        </is>
      </c>
      <c r="H2666" s="1" t="n">
        <v>46160</v>
      </c>
      <c r="I2666" s="1" t="n">
        <v>46164</v>
      </c>
      <c r="J2666" t="inlineStr">
        <is>
          <t>Saskatoon, Saskatchewan, Canada</t>
        </is>
      </c>
      <c r="K2666" t="inlineStr">
        <is>
          <t>Saskatoon, Saskatchewan, Canada</t>
        </is>
      </c>
      <c r="L2666" t="inlineStr">
        <is>
          <t>Vancouver, British Columbia, Canada</t>
        </is>
      </c>
      <c r="M2666" t="inlineStr">
        <is>
          <t>Vancouver, Colombie-Britannique, Canada</t>
        </is>
      </c>
      <c r="P2666" t="n">
        <v>2900.86</v>
      </c>
      <c r="Q2666" t="n">
        <v>0</v>
      </c>
      <c r="R2666" t="n">
        <v>1126.74</v>
      </c>
      <c r="S2666" t="n">
        <v>493.35</v>
      </c>
      <c r="T2666" t="n">
        <v>0</v>
      </c>
      <c r="U2666" t="n">
        <v>4520.95</v>
      </c>
      <c r="X2666" t="inlineStr">
        <is>
          <t>aafc-aac</t>
        </is>
      </c>
      <c r="Y2666" t="inlineStr">
        <is>
          <t>Agriculture and Agri-Food Canada | Agriculture et Agroalimentaire Canada</t>
        </is>
      </c>
    </row>
    <row r="2667">
      <c r="A2667" t="inlineStr">
        <is>
          <t>T-AAFC-2027-P02-003</t>
        </is>
      </c>
      <c r="B2667" t="inlineStr">
        <is>
          <t>MPSES</t>
        </is>
      </c>
      <c r="C2667" t="inlineStr">
        <is>
          <t>Director of Parliamentary Affairs</t>
        </is>
      </c>
      <c r="D2667" t="inlineStr">
        <is>
          <t>Directeur des affaires parlementaires</t>
        </is>
      </c>
      <c r="E2667" t="inlineStr">
        <is>
          <t>Bradley Henstock</t>
        </is>
      </c>
      <c r="F2667" t="inlineStr">
        <is>
          <t>To support the Minister with meetings</t>
        </is>
      </c>
      <c r="G2667" t="inlineStr">
        <is>
          <t>Soutenir le ministre lors de réunions</t>
        </is>
      </c>
      <c r="H2667" s="1" t="n">
        <v>46150</v>
      </c>
      <c r="I2667" s="1" t="n">
        <v>46152</v>
      </c>
      <c r="J2667" t="inlineStr">
        <is>
          <t>Charlottetown, Price Edward Island, Canada</t>
        </is>
      </c>
      <c r="K2667" t="inlineStr">
        <is>
          <t>Charlottetown, Île-du-Prince-Édouard, Canada</t>
        </is>
      </c>
      <c r="P2667" t="n">
        <v>1222.14</v>
      </c>
      <c r="Q2667" t="n">
        <v>0</v>
      </c>
      <c r="R2667" t="n">
        <v>0</v>
      </c>
      <c r="S2667" t="n">
        <v>0</v>
      </c>
      <c r="T2667" t="n">
        <v>0</v>
      </c>
      <c r="U2667" t="n">
        <v>1222.14</v>
      </c>
      <c r="X2667" t="inlineStr">
        <is>
          <t>aafc-aac</t>
        </is>
      </c>
      <c r="Y2667" t="inlineStr">
        <is>
          <t>Agriculture and Agri-Food Canada | Agriculture et Agroalimentaire Canada</t>
        </is>
      </c>
    </row>
    <row r="2668">
      <c r="A2668" t="inlineStr">
        <is>
          <t>T-AAFC-2027-P02-004</t>
        </is>
      </c>
      <c r="B2668" t="inlineStr">
        <is>
          <t>MPSES</t>
        </is>
      </c>
      <c r="C2668" t="inlineStr">
        <is>
          <t>Driver</t>
        </is>
      </c>
      <c r="D2668" t="inlineStr">
        <is>
          <t>Chauffeur</t>
        </is>
      </c>
      <c r="E2668" t="inlineStr">
        <is>
          <t>Nicolas Mamo</t>
        </is>
      </c>
      <c r="F2668" t="inlineStr">
        <is>
          <t>To drive the Minister to an Outreach</t>
        </is>
      </c>
      <c r="G2668" t="inlineStr">
        <is>
          <t>Conduire le ministre à une tournée de sensibilisation</t>
        </is>
      </c>
      <c r="H2668" s="1" t="n">
        <v>46140</v>
      </c>
      <c r="I2668" s="1" t="n">
        <v>46142</v>
      </c>
      <c r="J2668" t="inlineStr">
        <is>
          <t>Montréal, Quebec, Canada</t>
        </is>
      </c>
      <c r="K2668" t="inlineStr">
        <is>
          <t>Montréal, Québec, Canada</t>
        </is>
      </c>
      <c r="L2668" t="inlineStr">
        <is>
          <t>Toronto, Ontario, Canada</t>
        </is>
      </c>
      <c r="M2668" t="inlineStr">
        <is>
          <t>Toronto, Ontario, Canada</t>
        </is>
      </c>
      <c r="P2668" t="n">
        <v>0</v>
      </c>
      <c r="Q2668" t="n">
        <v>0</v>
      </c>
      <c r="R2668" t="n">
        <v>856.9400000000001</v>
      </c>
      <c r="S2668" t="n">
        <v>287.45</v>
      </c>
      <c r="T2668" t="n">
        <v>0</v>
      </c>
      <c r="U2668" t="n">
        <v>1144.39</v>
      </c>
      <c r="X2668" t="inlineStr">
        <is>
          <t>aafc-aac</t>
        </is>
      </c>
      <c r="Y2668" t="inlineStr">
        <is>
          <t>Agriculture and Agri-Food Canada | Agriculture et Agroalimentaire Canada</t>
        </is>
      </c>
    </row>
    <row r="2669">
      <c r="A2669" t="inlineStr">
        <is>
          <t>T-AAFC-2027-P02-005</t>
        </is>
      </c>
      <c r="B2669" t="inlineStr">
        <is>
          <t>MPSES</t>
        </is>
      </c>
      <c r="C2669" t="inlineStr">
        <is>
          <t>Chief of Staff</t>
        </is>
      </c>
      <c r="D2669" t="inlineStr">
        <is>
          <t>Chef de Cabinet</t>
        </is>
      </c>
      <c r="E2669" t="inlineStr">
        <is>
          <t>Guy Gallant</t>
        </is>
      </c>
      <c r="F2669" t="inlineStr">
        <is>
          <t>To support the Minister's attendance at an Outreach</t>
        </is>
      </c>
      <c r="G2669" t="inlineStr">
        <is>
          <t>Soutenir le ministre lors d'une tournée de sensibilisation</t>
        </is>
      </c>
      <c r="H2669" s="1" t="n">
        <v>46140</v>
      </c>
      <c r="I2669" s="1" t="n">
        <v>46142</v>
      </c>
      <c r="J2669" t="inlineStr">
        <is>
          <t>Montréal, Quebec, Canada</t>
        </is>
      </c>
      <c r="K2669" t="inlineStr">
        <is>
          <t>Montréal, Québec, Canada</t>
        </is>
      </c>
      <c r="L2669" t="inlineStr">
        <is>
          <t>Toronto, Ontario, Canada</t>
        </is>
      </c>
      <c r="M2669" t="inlineStr">
        <is>
          <t>Toronto, Ontario, Canada</t>
        </is>
      </c>
      <c r="P2669" t="n">
        <v>2045.29</v>
      </c>
      <c r="Q2669" t="n">
        <v>47.77</v>
      </c>
      <c r="R2669" t="n">
        <v>0</v>
      </c>
      <c r="S2669" t="n">
        <v>379.2</v>
      </c>
      <c r="T2669" t="n">
        <v>0</v>
      </c>
      <c r="U2669" t="n">
        <v>2472.26</v>
      </c>
      <c r="X2669" t="inlineStr">
        <is>
          <t>aafc-aac</t>
        </is>
      </c>
      <c r="Y2669" t="inlineStr">
        <is>
          <t>Agriculture and Agri-Food Canada | Agriculture et Agroalimentaire Canada</t>
        </is>
      </c>
    </row>
    <row r="2670">
      <c r="A2670" t="inlineStr">
        <is>
          <t>T-AAFC-2027-P02-006</t>
        </is>
      </c>
      <c r="B2670" t="inlineStr">
        <is>
          <t>MPSES</t>
        </is>
      </c>
      <c r="C2670" t="inlineStr">
        <is>
          <t>Chief of Staff</t>
        </is>
      </c>
      <c r="D2670" t="inlineStr">
        <is>
          <t>Chef de Cabinet</t>
        </is>
      </c>
      <c r="E2670" t="inlineStr">
        <is>
          <t>Guy Gallant</t>
        </is>
      </c>
      <c r="F2670" t="inlineStr">
        <is>
          <t>To support the Minister's attendance at a Ministerial Mission</t>
        </is>
      </c>
      <c r="G2670" t="inlineStr">
        <is>
          <t>Soutenir le ministre lors d'une mission ministérielle</t>
        </is>
      </c>
      <c r="H2670" s="1" t="n">
        <v>46095</v>
      </c>
      <c r="I2670" s="1" t="n">
        <v>46099</v>
      </c>
      <c r="J2670" t="inlineStr">
        <is>
          <t>Boston, Massachusetts, United States</t>
        </is>
      </c>
      <c r="K2670" t="inlineStr">
        <is>
          <t>Boston, Massachusetts, États-Unis</t>
        </is>
      </c>
      <c r="P2670" t="n">
        <v>1410.27</v>
      </c>
      <c r="Q2670" t="n">
        <v>0</v>
      </c>
      <c r="R2670" t="n">
        <v>1878.75</v>
      </c>
      <c r="S2670" t="n">
        <v>534.6</v>
      </c>
      <c r="T2670" t="n">
        <v>0</v>
      </c>
      <c r="U2670" t="n">
        <v>3823.62</v>
      </c>
      <c r="X2670" t="inlineStr">
        <is>
          <t>aafc-aac</t>
        </is>
      </c>
      <c r="Y2670" t="inlineStr">
        <is>
          <t>Agriculture and Agri-Food Canada | Agriculture et Agroalimentaire Canada</t>
        </is>
      </c>
    </row>
    <row r="2671">
      <c r="A2671" t="inlineStr">
        <is>
          <t>T-AAFC-2027-P02-007</t>
        </is>
      </c>
      <c r="B2671" t="inlineStr">
        <is>
          <t>MPSES</t>
        </is>
      </c>
      <c r="C2671" t="inlineStr">
        <is>
          <t>Chief of Staff</t>
        </is>
      </c>
      <c r="D2671" t="inlineStr">
        <is>
          <t>Chef de Cabinet</t>
        </is>
      </c>
      <c r="E2671" t="inlineStr">
        <is>
          <t>Guy Gallant</t>
        </is>
      </c>
      <c r="F2671" t="inlineStr">
        <is>
          <t>To support the Minister with various meetings</t>
        </is>
      </c>
      <c r="G2671" t="inlineStr">
        <is>
          <t>Soutenir le ministre lors de diverses réunions</t>
        </is>
      </c>
      <c r="H2671" s="1" t="n">
        <v>46110</v>
      </c>
      <c r="I2671" s="1" t="n">
        <v>46112</v>
      </c>
      <c r="J2671" t="inlineStr">
        <is>
          <t>Winnipeg, Manitoba, Canada</t>
        </is>
      </c>
      <c r="K2671" t="inlineStr">
        <is>
          <t>Winnipeg, Manitoba, Canada</t>
        </is>
      </c>
      <c r="P2671" t="n">
        <v>1518.32</v>
      </c>
      <c r="Q2671" t="n">
        <v>24.03</v>
      </c>
      <c r="R2671" t="n">
        <v>411.68</v>
      </c>
      <c r="S2671" t="n">
        <v>231.6</v>
      </c>
      <c r="T2671" t="n">
        <v>0</v>
      </c>
      <c r="U2671" t="n">
        <v>2185.63</v>
      </c>
      <c r="X2671" t="inlineStr">
        <is>
          <t>aafc-aac</t>
        </is>
      </c>
      <c r="Y2671" t="inlineStr">
        <is>
          <t>Agriculture and Agri-Food Canada | Agriculture et Agroalimentaire Canada</t>
        </is>
      </c>
    </row>
    <row r="2672">
      <c r="A2672" t="inlineStr">
        <is>
          <t>T-AAFC-2027-P02-008</t>
        </is>
      </c>
      <c r="B2672" t="inlineStr">
        <is>
          <t>MPSES</t>
        </is>
      </c>
      <c r="C2672" t="inlineStr">
        <is>
          <t xml:space="preserve">Director of Operations  </t>
        </is>
      </c>
      <c r="D2672" t="inlineStr">
        <is>
          <t>Directrice des opérations</t>
        </is>
      </c>
      <c r="E2672" t="inlineStr">
        <is>
          <t>Mikaela Harrison</t>
        </is>
      </c>
      <c r="F2672" t="inlineStr">
        <is>
          <t>To support the Minister's attendance at an Outreach</t>
        </is>
      </c>
      <c r="G2672" t="inlineStr">
        <is>
          <t>Soutenir le ministre lors d'une tournée de sensibilisation</t>
        </is>
      </c>
      <c r="H2672" s="1" t="n">
        <v>46140</v>
      </c>
      <c r="I2672" s="1" t="n">
        <v>46142</v>
      </c>
      <c r="J2672" t="inlineStr">
        <is>
          <t>Montréal, Quebec, Canada</t>
        </is>
      </c>
      <c r="K2672" t="inlineStr">
        <is>
          <t>Montréal, Québec, Canada</t>
        </is>
      </c>
      <c r="L2672" t="inlineStr">
        <is>
          <t>Toronto, Ontario, Canada</t>
        </is>
      </c>
      <c r="M2672" t="inlineStr">
        <is>
          <t>Toronto, Ontario, Canada</t>
        </is>
      </c>
      <c r="P2672" t="n">
        <v>488.07</v>
      </c>
      <c r="Q2672" t="n">
        <v>0</v>
      </c>
      <c r="R2672" t="n">
        <v>1176.31</v>
      </c>
      <c r="S2672" t="n">
        <v>379.2</v>
      </c>
      <c r="T2672" t="n">
        <v>0</v>
      </c>
      <c r="U2672" t="n">
        <v>2043.58</v>
      </c>
      <c r="X2672" t="inlineStr">
        <is>
          <t>aafc-aac</t>
        </is>
      </c>
      <c r="Y2672" t="inlineStr">
        <is>
          <t>Agriculture and Agri-Food Canada | Agriculture et Agroalimentaire Canada</t>
        </is>
      </c>
    </row>
    <row r="2673">
      <c r="A2673" t="inlineStr">
        <is>
          <t>T-AAFC-2027-P02-009</t>
        </is>
      </c>
      <c r="B2673" t="inlineStr">
        <is>
          <t>MPSES</t>
        </is>
      </c>
      <c r="C2673" t="inlineStr">
        <is>
          <t>Director of Communications</t>
        </is>
      </c>
      <c r="D2673" t="inlineStr">
        <is>
          <t>Directrice des communications</t>
        </is>
      </c>
      <c r="E2673" t="inlineStr">
        <is>
          <t>Jennica Klassen</t>
        </is>
      </c>
      <c r="F2673" t="inlineStr">
        <is>
          <t>To attend an Agriculture Clean Tech announcement</t>
        </is>
      </c>
      <c r="G2673" t="inlineStr">
        <is>
          <t>Assister à la présentation d'Agriculture Clean Tech</t>
        </is>
      </c>
      <c r="H2673" s="1" t="n">
        <v>46149</v>
      </c>
      <c r="I2673" s="1" t="n">
        <v>46150</v>
      </c>
      <c r="J2673" t="inlineStr">
        <is>
          <t>Toronto, Ontario, Canada</t>
        </is>
      </c>
      <c r="K2673" t="inlineStr">
        <is>
          <t>Toronto, Ontario, Canada</t>
        </is>
      </c>
      <c r="P2673" t="n">
        <v>2176.07</v>
      </c>
      <c r="Q2673" t="n">
        <v>95.16</v>
      </c>
      <c r="R2673" t="n">
        <v>392.34</v>
      </c>
      <c r="S2673" t="n">
        <v>170.8</v>
      </c>
      <c r="T2673" t="n">
        <v>0</v>
      </c>
      <c r="U2673" t="n">
        <v>2834.37</v>
      </c>
      <c r="X2673" t="inlineStr">
        <is>
          <t>aafc-aac</t>
        </is>
      </c>
      <c r="Y2673" t="inlineStr">
        <is>
          <t>Agriculture and Agri-Food Canada | Agriculture et Agroalimentaire Canada</t>
        </is>
      </c>
    </row>
    <row r="2674">
      <c r="A2674" t="inlineStr">
        <is>
          <t>T-AAFC-2027-P02-010</t>
        </is>
      </c>
      <c r="B2674" t="inlineStr">
        <is>
          <t>MPSES</t>
        </is>
      </c>
      <c r="C2674" t="inlineStr">
        <is>
          <t>Regional Advisor - Prairies and North</t>
        </is>
      </c>
      <c r="D2674" t="inlineStr">
        <is>
          <t>Conseiller régional - Prairies et Nord</t>
        </is>
      </c>
      <c r="E2674" t="inlineStr">
        <is>
          <t>Richard Davies</t>
        </is>
      </c>
      <c r="F2674" t="inlineStr">
        <is>
          <t>To support the Minister's attendance at an Outreach</t>
        </is>
      </c>
      <c r="G2674" t="inlineStr">
        <is>
          <t>Soutenir le ministre lors d'une tournée de sensibilisation</t>
        </is>
      </c>
      <c r="H2674" s="1" t="n">
        <v>46160</v>
      </c>
      <c r="I2674" s="1" t="n">
        <v>46163</v>
      </c>
      <c r="J2674" t="inlineStr">
        <is>
          <t>Saskatoon, Saskatchewan, Canada</t>
        </is>
      </c>
      <c r="K2674" t="inlineStr">
        <is>
          <t>Saskatoon, Saskatchewan, Canada</t>
        </is>
      </c>
      <c r="P2674" t="n">
        <v>1729.53</v>
      </c>
      <c r="Q2674" t="n">
        <v>137.7</v>
      </c>
      <c r="R2674" t="n">
        <v>762.8</v>
      </c>
      <c r="S2674" t="n">
        <v>463.3</v>
      </c>
      <c r="T2674" t="n">
        <v>0</v>
      </c>
      <c r="U2674" t="n">
        <v>3093.33</v>
      </c>
      <c r="X2674" t="inlineStr">
        <is>
          <t>aafc-aac</t>
        </is>
      </c>
      <c r="Y2674" t="inlineStr">
        <is>
          <t>Agriculture and Agri-Food Canada | Agriculture et Agroalimentaire Canada</t>
        </is>
      </c>
    </row>
    <row r="2675">
      <c r="A2675" t="inlineStr">
        <is>
          <t>T-AAFC-2027-P02-011</t>
        </is>
      </c>
      <c r="B2675" t="inlineStr">
        <is>
          <t>SLE</t>
        </is>
      </c>
      <c r="C2675" t="inlineStr">
        <is>
          <t>Assistant Deputy Minister, Science and Technology Branch</t>
        </is>
      </c>
      <c r="D2675" t="inlineStr">
        <is>
          <t>Sous-ministre adjointe, Direction générale des sciences et de la technologie</t>
        </is>
      </c>
      <c r="E2675" t="inlineStr">
        <is>
          <t>Arran McPherson</t>
        </is>
      </c>
      <c r="F2675" t="inlineStr">
        <is>
          <t>To visit and meet with staff</t>
        </is>
      </c>
      <c r="G2675" t="inlineStr">
        <is>
          <t>Visiter et rencontrer le personnel</t>
        </is>
      </c>
      <c r="H2675" s="1" t="n">
        <v>46133</v>
      </c>
      <c r="I2675" s="1" t="n">
        <v>46134</v>
      </c>
      <c r="J2675" t="inlineStr">
        <is>
          <t>St-Hyacinthe, Quebec, Canada</t>
        </is>
      </c>
      <c r="K2675" t="inlineStr">
        <is>
          <t>St-Hyacinthe, Québec, Canada</t>
        </is>
      </c>
      <c r="P2675" t="n">
        <v>0</v>
      </c>
      <c r="Q2675" t="n">
        <v>315.79</v>
      </c>
      <c r="R2675" t="n">
        <v>208.26</v>
      </c>
      <c r="S2675" t="n">
        <v>141.75</v>
      </c>
      <c r="T2675" t="n">
        <v>0</v>
      </c>
      <c r="U2675" t="n">
        <v>665.8</v>
      </c>
      <c r="X2675" t="inlineStr">
        <is>
          <t>aafc-aac</t>
        </is>
      </c>
      <c r="Y2675" t="inlineStr">
        <is>
          <t>Agriculture and Agri-Food Canada | Agriculture et Agroalimentaire Canada</t>
        </is>
      </c>
    </row>
    <row r="2676">
      <c r="A2676" t="inlineStr">
        <is>
          <t>T-AAFC-2027-P02-012</t>
        </is>
      </c>
      <c r="B2676" t="inlineStr">
        <is>
          <t>SLE</t>
        </is>
      </c>
      <c r="C2676" t="inlineStr">
        <is>
          <t>Associate Assistant Deputy Minister, Science and Technology Branch</t>
        </is>
      </c>
      <c r="D2676" t="inlineStr">
        <is>
          <t>Sous-ministre adjoint délégué, Direction générale des sciences et de la technologie</t>
        </is>
      </c>
      <c r="E2676" t="inlineStr">
        <is>
          <t>Andrew Goldstein</t>
        </is>
      </c>
      <c r="F2676" t="inlineStr">
        <is>
          <t>To attend meetings</t>
        </is>
      </c>
      <c r="G2676" t="inlineStr">
        <is>
          <t>Assister à des réunions</t>
        </is>
      </c>
      <c r="H2676" s="1" t="n">
        <v>46105</v>
      </c>
      <c r="I2676" s="1" t="n">
        <v>46105</v>
      </c>
      <c r="J2676" t="inlineStr">
        <is>
          <t>Ottawa, Ontario, Canada</t>
        </is>
      </c>
      <c r="K2676" t="inlineStr">
        <is>
          <t>Ottawa, Ontario, Canada</t>
        </is>
      </c>
      <c r="P2676" t="n">
        <v>0</v>
      </c>
      <c r="Q2676" t="n">
        <v>48</v>
      </c>
      <c r="R2676" t="n">
        <v>0</v>
      </c>
      <c r="S2676" t="n">
        <v>0</v>
      </c>
      <c r="T2676" t="n">
        <v>0</v>
      </c>
      <c r="U2676" t="n">
        <v>48</v>
      </c>
      <c r="X2676" t="inlineStr">
        <is>
          <t>aafc-aac</t>
        </is>
      </c>
      <c r="Y2676" t="inlineStr">
        <is>
          <t>Agriculture and Agri-Food Canada | Agriculture et Agroalimentaire Canada</t>
        </is>
      </c>
    </row>
    <row r="2677">
      <c r="A2677" t="inlineStr">
        <is>
          <t>T-AAFC-2027-P02-013</t>
        </is>
      </c>
      <c r="B2677" t="inlineStr">
        <is>
          <t>SLE</t>
        </is>
      </c>
      <c r="C2677" t="inlineStr">
        <is>
          <t>Associate Assistant Deputy Minister, Science and Technology Branch</t>
        </is>
      </c>
      <c r="D2677" t="inlineStr">
        <is>
          <t>Sous-ministre adjoint délégué, Direction générale des sciences et de la technologie</t>
        </is>
      </c>
      <c r="E2677" t="inlineStr">
        <is>
          <t>Andrew Goldstein</t>
        </is>
      </c>
      <c r="F2677" t="inlineStr">
        <is>
          <t>To attend meetings</t>
        </is>
      </c>
      <c r="G2677" t="inlineStr">
        <is>
          <t>Assister à des réunions</t>
        </is>
      </c>
      <c r="H2677" s="1" t="n">
        <v>46149</v>
      </c>
      <c r="I2677" s="1" t="n">
        <v>46149</v>
      </c>
      <c r="J2677" t="inlineStr">
        <is>
          <t>Ottawa, Ontario, Canada</t>
        </is>
      </c>
      <c r="K2677" t="inlineStr">
        <is>
          <t>Ottawa, Ontario, Canada</t>
        </is>
      </c>
      <c r="P2677" t="n">
        <v>0</v>
      </c>
      <c r="Q2677" t="n">
        <v>42</v>
      </c>
      <c r="R2677" t="n">
        <v>0</v>
      </c>
      <c r="S2677" t="n">
        <v>0</v>
      </c>
      <c r="T2677" t="n">
        <v>0</v>
      </c>
      <c r="U2677" t="n">
        <v>42</v>
      </c>
      <c r="X2677" t="inlineStr">
        <is>
          <t>aafc-aac</t>
        </is>
      </c>
      <c r="Y2677" t="inlineStr">
        <is>
          <t>Agriculture and Agri-Food Canada | Agriculture et Agroalimentaire Canada</t>
        </is>
      </c>
    </row>
    <row r="2678">
      <c r="A2678" t="inlineStr">
        <is>
          <t>T-AAFC-2027-P02-014</t>
        </is>
      </c>
      <c r="B2678" t="inlineStr">
        <is>
          <t>SLE</t>
        </is>
      </c>
      <c r="C2678" t="inlineStr">
        <is>
          <t>Assistant Deputy Minister, Corporate Management Branch</t>
        </is>
      </c>
      <c r="D2678" t="inlineStr">
        <is>
          <t>Sous-ministre adjoint, Direction générale de la gestion intégrée</t>
        </is>
      </c>
      <c r="E2678" t="inlineStr">
        <is>
          <t>Alain Lagacé</t>
        </is>
      </c>
      <c r="F2678" t="inlineStr">
        <is>
          <t>To visit Lethbridge and Lacombe Research and Development Centres</t>
        </is>
      </c>
      <c r="G2678" t="inlineStr">
        <is>
          <t>Visiter les Centres de recherche et de développement de Lethbridge et de Lacombe</t>
        </is>
      </c>
      <c r="H2678" s="1" t="n">
        <v>46145</v>
      </c>
      <c r="I2678" s="1" t="n">
        <v>46148</v>
      </c>
      <c r="J2678" t="inlineStr">
        <is>
          <t>Lethbridge, Alberta, Canada</t>
        </is>
      </c>
      <c r="K2678" t="inlineStr">
        <is>
          <t>Lethbridge, Alberta, Canada</t>
        </is>
      </c>
      <c r="L2678" t="inlineStr">
        <is>
          <t>Lacombe, Alberta, Canada</t>
        </is>
      </c>
      <c r="M2678" t="inlineStr">
        <is>
          <t>Lacombe, Alberta, Canada</t>
        </is>
      </c>
      <c r="P2678" t="n">
        <v>690.22</v>
      </c>
      <c r="Q2678" t="n">
        <v>477.4</v>
      </c>
      <c r="R2678" t="n">
        <v>602.17</v>
      </c>
      <c r="S2678" t="n">
        <v>555.5</v>
      </c>
      <c r="T2678" t="n">
        <v>0</v>
      </c>
      <c r="U2678" t="n">
        <v>2325.29</v>
      </c>
      <c r="X2678" t="inlineStr">
        <is>
          <t>aafc-aac</t>
        </is>
      </c>
      <c r="Y2678" t="inlineStr">
        <is>
          <t>Agriculture and Agri-Food Canada | Agriculture et Agroalimentaire Canada</t>
        </is>
      </c>
    </row>
    <row r="2679">
      <c r="A2679" t="inlineStr">
        <is>
          <t>T-AAFC-2027-P02-015</t>
        </is>
      </c>
      <c r="B2679" t="inlineStr">
        <is>
          <t>SLE</t>
        </is>
      </c>
      <c r="C2679" t="inlineStr">
        <is>
          <t>Assistant Deputy Minister, Programs Branch</t>
        </is>
      </c>
      <c r="D2679" t="inlineStr">
        <is>
          <t>Sous-ministre adjointe, Direction générale des programmes</t>
        </is>
      </c>
      <c r="E2679" t="inlineStr">
        <is>
          <t>Liz Foster</t>
        </is>
      </c>
      <c r="F2679" t="inlineStr">
        <is>
          <t>To attend a Cabinet Preparation meeting</t>
        </is>
      </c>
      <c r="G2679" t="inlineStr">
        <is>
          <t>Participer à une rencontre de préparation du Cabinet</t>
        </is>
      </c>
      <c r="H2679" s="1" t="n">
        <v>46148</v>
      </c>
      <c r="I2679" s="1" t="n">
        <v>46148</v>
      </c>
      <c r="J2679" t="inlineStr">
        <is>
          <t>Ottawa, Ontario, Canada</t>
        </is>
      </c>
      <c r="K2679" t="inlineStr">
        <is>
          <t>Ottawa, Ontario, Canada</t>
        </is>
      </c>
      <c r="P2679" t="n">
        <v>0</v>
      </c>
      <c r="Q2679" t="n">
        <v>18</v>
      </c>
      <c r="R2679" t="n">
        <v>0</v>
      </c>
      <c r="S2679" t="n">
        <v>0</v>
      </c>
      <c r="T2679" t="n">
        <v>0</v>
      </c>
      <c r="U2679" t="n">
        <v>18</v>
      </c>
      <c r="X2679" t="inlineStr">
        <is>
          <t>aafc-aac</t>
        </is>
      </c>
      <c r="Y2679" t="inlineStr">
        <is>
          <t>Agriculture and Agri-Food Canada | Agriculture et Agroalimentaire Canada</t>
        </is>
      </c>
    </row>
    <row r="2680">
      <c r="A2680" t="inlineStr">
        <is>
          <t>T-AAFC-2027-P03-001</t>
        </is>
      </c>
      <c r="B2680" t="inlineStr">
        <is>
          <t>MPSES</t>
        </is>
      </c>
      <c r="C2680" t="inlineStr">
        <is>
          <t>Minister</t>
        </is>
      </c>
      <c r="D2680" t="inlineStr">
        <is>
          <t>Ministre</t>
        </is>
      </c>
      <c r="E2680" t="inlineStr">
        <is>
          <t>Heath MacDonald</t>
        </is>
      </c>
      <c r="F2680" t="inlineStr">
        <is>
          <t>To attend meeting at the Minister's Regional Office and deliver remarks to the Ontario Food Terminal</t>
        </is>
      </c>
      <c r="G2680" t="inlineStr">
        <is>
          <t>Participer à une réunion au bureau régional du ministre et présenter une allocution au Marché des produits alimentaires de l’Ontario</t>
        </is>
      </c>
      <c r="H2680" s="1" t="n">
        <v>46184</v>
      </c>
      <c r="I2680" s="1" t="n">
        <v>46185</v>
      </c>
      <c r="J2680" t="inlineStr">
        <is>
          <t>Toronto, Ontario, Canada</t>
        </is>
      </c>
      <c r="K2680" t="inlineStr">
        <is>
          <t>Toronto, Ontario, Canada</t>
        </is>
      </c>
      <c r="P2680" t="n">
        <v>1389.48</v>
      </c>
      <c r="Q2680" t="n">
        <v>0</v>
      </c>
      <c r="R2680" t="n">
        <v>533.33</v>
      </c>
      <c r="S2680" t="n">
        <v>200.75</v>
      </c>
      <c r="T2680" t="n">
        <v>0</v>
      </c>
      <c r="U2680" t="n">
        <v>2123.56</v>
      </c>
      <c r="X2680" t="inlineStr">
        <is>
          <t>aafc-aac</t>
        </is>
      </c>
      <c r="Y2680" t="inlineStr">
        <is>
          <t>Agriculture and Agri-Food Canada | Agriculture et Agroalimentaire Canada</t>
        </is>
      </c>
    </row>
    <row r="2681">
      <c r="A2681" t="inlineStr">
        <is>
          <t>T-AAFC-2027-P03-002</t>
        </is>
      </c>
      <c r="B2681" t="inlineStr">
        <is>
          <t>MPSES</t>
        </is>
      </c>
      <c r="C2681" t="inlineStr">
        <is>
          <t>Chief of Staff</t>
        </is>
      </c>
      <c r="D2681" t="inlineStr">
        <is>
          <t>Chef de Cabinet</t>
        </is>
      </c>
      <c r="E2681" t="inlineStr">
        <is>
          <t>Guy Gallant</t>
        </is>
      </c>
      <c r="F2681" t="inlineStr">
        <is>
          <t>To support the Minister to attend an Outreach in Saskatchewan and Vancouver</t>
        </is>
      </c>
      <c r="G2681" t="inlineStr">
        <is>
          <t>Soutenir le ministre  lors d'une tournée de sensibilisation à Saskatchewan et Vancouver</t>
        </is>
      </c>
      <c r="H2681" s="1" t="n">
        <v>46160</v>
      </c>
      <c r="I2681" s="1" t="n">
        <v>46165</v>
      </c>
      <c r="J2681" t="inlineStr">
        <is>
          <t>Saskatoon, Saskatchewan, Canada</t>
        </is>
      </c>
      <c r="K2681" t="inlineStr">
        <is>
          <t>Saskatoon, Saskatchewan, Canada</t>
        </is>
      </c>
      <c r="L2681" t="inlineStr">
        <is>
          <t>Vancouver, British Columbia, Canada</t>
        </is>
      </c>
      <c r="M2681" t="inlineStr">
        <is>
          <t>Vancouver, Colombie-Britannique, Canada</t>
        </is>
      </c>
      <c r="P2681" t="n">
        <v>3176.23</v>
      </c>
      <c r="Q2681" t="n">
        <v>128.4</v>
      </c>
      <c r="R2681" t="n">
        <v>958.73</v>
      </c>
      <c r="S2681" t="n">
        <v>525.45</v>
      </c>
      <c r="T2681" t="n">
        <v>0</v>
      </c>
      <c r="U2681" t="n">
        <v>4788.81</v>
      </c>
      <c r="X2681" t="inlineStr">
        <is>
          <t>aafc-aac</t>
        </is>
      </c>
      <c r="Y2681" t="inlineStr">
        <is>
          <t>Agriculture and Agri-Food Canada | Agriculture et Agroalimentaire Canada</t>
        </is>
      </c>
    </row>
    <row r="2682">
      <c r="A2682" t="inlineStr">
        <is>
          <t>T-AAFC-2027-P03-003</t>
        </is>
      </c>
      <c r="B2682" t="inlineStr">
        <is>
          <t>MPSES</t>
        </is>
      </c>
      <c r="C2682" t="inlineStr">
        <is>
          <t>Chief of Staff</t>
        </is>
      </c>
      <c r="D2682" t="inlineStr">
        <is>
          <t>Chef de Cabinet</t>
        </is>
      </c>
      <c r="E2682" t="inlineStr">
        <is>
          <t>Guy Gallant</t>
        </is>
      </c>
      <c r="F2682" t="inlineStr">
        <is>
          <t>To support the Minister attending meetings at the Minister's Regional Office and deliver remarks to the Ontario Food Terminal</t>
        </is>
      </c>
      <c r="G2682" t="inlineStr">
        <is>
          <t>Soutenir la participation du ministre à des réunions au bureau régional du ministre et à la présentation d’une allocution au Marché des produits alimentaires de l’Ontario</t>
        </is>
      </c>
      <c r="H2682" s="1" t="n">
        <v>46184</v>
      </c>
      <c r="I2682" s="1" t="n">
        <v>46185</v>
      </c>
      <c r="J2682" t="inlineStr">
        <is>
          <t>Toronto, Ontario, Canada</t>
        </is>
      </c>
      <c r="K2682" t="inlineStr">
        <is>
          <t>Toronto, Ontario, Canada</t>
        </is>
      </c>
      <c r="P2682" t="n">
        <v>1389.48</v>
      </c>
      <c r="Q2682" t="n">
        <v>29.69</v>
      </c>
      <c r="R2682" t="n">
        <v>533.33</v>
      </c>
      <c r="S2682" t="n">
        <v>200.75</v>
      </c>
      <c r="T2682" t="n">
        <v>0</v>
      </c>
      <c r="U2682" t="n">
        <v>2153.25</v>
      </c>
      <c r="X2682" t="inlineStr">
        <is>
          <t>aafc-aac</t>
        </is>
      </c>
      <c r="Y2682" t="inlineStr">
        <is>
          <t>Agriculture and Agri-Food Canada | Agriculture et Agroalimentaire Canada</t>
        </is>
      </c>
    </row>
    <row r="2683">
      <c r="A2683" t="inlineStr">
        <is>
          <t>T-AAFC-2027-P03-004</t>
        </is>
      </c>
      <c r="B2683" t="inlineStr">
        <is>
          <t>MPSES</t>
        </is>
      </c>
      <c r="C2683" t="inlineStr">
        <is>
          <t>Director of Policy</t>
        </is>
      </c>
      <c r="D2683" t="inlineStr">
        <is>
          <t>Directrice des politiques</t>
        </is>
      </c>
      <c r="E2683" t="inlineStr">
        <is>
          <t>Serena Smith</t>
        </is>
      </c>
      <c r="F2683" t="inlineStr">
        <is>
          <t>To support the Minister attending meetings at the Minister's Regional Office and deliver remarks to the Ontario Food Terminal</t>
        </is>
      </c>
      <c r="G2683" t="inlineStr">
        <is>
          <t>Soutenir la participation du ministre à des réunions au bureau régional du ministre et à la présentation d’une allocution au Marché des produits alimentaires de l’Ontario</t>
        </is>
      </c>
      <c r="H2683" s="1" t="n">
        <v>46184</v>
      </c>
      <c r="I2683" s="1" t="n">
        <v>46185</v>
      </c>
      <c r="J2683" t="inlineStr">
        <is>
          <t>Toronto, Ontario, Canada</t>
        </is>
      </c>
      <c r="K2683" t="inlineStr">
        <is>
          <t>Toronto, Ontario, Canada</t>
        </is>
      </c>
      <c r="P2683" t="n">
        <v>1389.48</v>
      </c>
      <c r="Q2683" t="n">
        <v>49.83</v>
      </c>
      <c r="R2683" t="n">
        <v>533.33</v>
      </c>
      <c r="S2683" t="n">
        <v>200.75</v>
      </c>
      <c r="T2683" t="n">
        <v>0</v>
      </c>
      <c r="U2683" t="n">
        <v>2173.39</v>
      </c>
      <c r="X2683" t="inlineStr">
        <is>
          <t>aafc-aac</t>
        </is>
      </c>
      <c r="Y2683" t="inlineStr">
        <is>
          <t>Agriculture and Agri-Food Canada | Agriculture et Agroalimentaire Canada</t>
        </is>
      </c>
    </row>
    <row r="2684">
      <c r="A2684" t="inlineStr">
        <is>
          <t>T-AAFC-2027-P03-005</t>
        </is>
      </c>
      <c r="B2684" t="inlineStr">
        <is>
          <t>MPSES</t>
        </is>
      </c>
      <c r="C2684" t="inlineStr">
        <is>
          <t>Director of Communications</t>
        </is>
      </c>
      <c r="D2684" t="inlineStr">
        <is>
          <t>Directrice des communications</t>
        </is>
      </c>
      <c r="E2684" t="inlineStr">
        <is>
          <t>Jennica Klassen</t>
        </is>
      </c>
      <c r="F2684" t="inlineStr">
        <is>
          <t>To support the Minister attending meetings at the Minister's Regional Office and deliver remarks to the Ontario Food Terminal</t>
        </is>
      </c>
      <c r="G2684" t="inlineStr">
        <is>
          <t>Soutenir la participation du ministre à des réunions au bureau régional du ministre et à la présentation d’une allocution au Marché des produits alimentaires de l’Ontario</t>
        </is>
      </c>
      <c r="H2684" s="1" t="n">
        <v>46184</v>
      </c>
      <c r="I2684" s="1" t="n">
        <v>46185</v>
      </c>
      <c r="J2684" t="inlineStr">
        <is>
          <t>Toronto, Ontario, Canada</t>
        </is>
      </c>
      <c r="K2684" t="inlineStr">
        <is>
          <t>Toronto, Ontario, Canada</t>
        </is>
      </c>
      <c r="P2684" t="n">
        <v>1333.09</v>
      </c>
      <c r="Q2684" t="n">
        <v>22.14</v>
      </c>
      <c r="R2684" t="n">
        <v>533.33</v>
      </c>
      <c r="S2684" t="n">
        <v>200.75</v>
      </c>
      <c r="T2684" t="n">
        <v>0</v>
      </c>
      <c r="U2684" t="n">
        <v>2089.31</v>
      </c>
      <c r="X2684" t="inlineStr">
        <is>
          <t>aafc-aac</t>
        </is>
      </c>
      <c r="Y2684" t="inlineStr">
        <is>
          <t>Agriculture and Agri-Food Canada | Agriculture et Agroalimentaire Canada</t>
        </is>
      </c>
    </row>
    <row r="2685">
      <c r="A2685" t="inlineStr">
        <is>
          <t>T-AAFC-2027-P03-006</t>
        </is>
      </c>
      <c r="B2685" t="inlineStr">
        <is>
          <t>MPSES</t>
        </is>
      </c>
      <c r="C2685" t="inlineStr">
        <is>
          <t>Policy and Regional Advisor for British Columbia</t>
        </is>
      </c>
      <c r="D2685" t="inlineStr">
        <is>
          <t>Conseillère politique et régionale pour la Colombie-Britanique</t>
        </is>
      </c>
      <c r="E2685" t="inlineStr">
        <is>
          <t>Olwyn Parkinson</t>
        </is>
      </c>
      <c r="F2685" t="inlineStr">
        <is>
          <t>To support the Minister on an Outreach in Vancouver</t>
        </is>
      </c>
      <c r="G2685" t="inlineStr">
        <is>
          <t>Soutenir le ministre lors d'une tournée de sensibilisation à Vancouver</t>
        </is>
      </c>
      <c r="H2685" s="1" t="n">
        <v>46162</v>
      </c>
      <c r="I2685" s="1" t="n">
        <v>46166</v>
      </c>
      <c r="J2685" t="inlineStr">
        <is>
          <t>Vancouver, British Columbia, Canada</t>
        </is>
      </c>
      <c r="K2685" t="inlineStr">
        <is>
          <t>Vancouver, Colombie-Britannique, Canada</t>
        </is>
      </c>
      <c r="P2685" t="n">
        <v>472.25</v>
      </c>
      <c r="Q2685" t="n">
        <v>107.76</v>
      </c>
      <c r="R2685" t="n">
        <v>1180.5</v>
      </c>
      <c r="S2685" t="n">
        <v>287.45</v>
      </c>
      <c r="T2685" t="n">
        <v>0</v>
      </c>
      <c r="U2685" t="n">
        <v>2047.96</v>
      </c>
      <c r="X2685" t="inlineStr">
        <is>
          <t>aafc-aac</t>
        </is>
      </c>
      <c r="Y2685" t="inlineStr">
        <is>
          <t>Agriculture and Agri-Food Canada | Agriculture et Agroalimentaire Canada</t>
        </is>
      </c>
    </row>
    <row r="2686">
      <c r="A2686" t="inlineStr">
        <is>
          <t>T-AAFC-2027-P03-007</t>
        </is>
      </c>
      <c r="B2686" t="inlineStr">
        <is>
          <t>MPSES</t>
        </is>
      </c>
      <c r="C2686" t="inlineStr">
        <is>
          <t>Deputy Minister</t>
        </is>
      </c>
      <c r="D2686" t="inlineStr">
        <is>
          <t>Sous-Ministre</t>
        </is>
      </c>
      <c r="E2686" t="inlineStr">
        <is>
          <t>Lawrence Hanson</t>
        </is>
      </c>
      <c r="F2686" t="inlineStr">
        <is>
          <t>To support the Minister to attend an Outreach in Saskatchewan</t>
        </is>
      </c>
      <c r="G2686" t="inlineStr">
        <is>
          <t>Soutenir le ministre  lors d'une tournée de sensibilisation à Saskatchewan</t>
        </is>
      </c>
      <c r="H2686" s="1" t="n">
        <v>46160</v>
      </c>
      <c r="I2686" s="1" t="n">
        <v>46162</v>
      </c>
      <c r="J2686" t="inlineStr">
        <is>
          <t>Saskatoon, Saskatchewan, Canada</t>
        </is>
      </c>
      <c r="K2686" t="inlineStr">
        <is>
          <t>Saskatoon, Saskatchewan, Canada</t>
        </is>
      </c>
      <c r="P2686" t="n">
        <v>1835.1</v>
      </c>
      <c r="Q2686" t="n">
        <v>17.5</v>
      </c>
      <c r="R2686" t="n">
        <v>646.27</v>
      </c>
      <c r="S2686" t="n">
        <v>317.5</v>
      </c>
      <c r="T2686" t="n">
        <v>0</v>
      </c>
      <c r="U2686" t="n">
        <v>2816.37</v>
      </c>
      <c r="X2686" t="inlineStr">
        <is>
          <t>aafc-aac</t>
        </is>
      </c>
      <c r="Y2686" t="inlineStr">
        <is>
          <t>Agriculture and Agri-Food Canada | Agriculture et Agroalimentaire Canada</t>
        </is>
      </c>
    </row>
    <row r="2687">
      <c r="A2687" t="inlineStr">
        <is>
          <t>T-AAFC-2027-P03-008</t>
        </is>
      </c>
      <c r="B2687" t="inlineStr">
        <is>
          <t>MPSES</t>
        </is>
      </c>
      <c r="C2687" t="inlineStr">
        <is>
          <t>Deputy Minister</t>
        </is>
      </c>
      <c r="D2687" t="inlineStr">
        <is>
          <t>Sous-Ministre</t>
        </is>
      </c>
      <c r="E2687" t="inlineStr">
        <is>
          <t>Lawrence Hanson</t>
        </is>
      </c>
      <c r="F2687" t="inlineStr">
        <is>
          <t>To support the Minister attending meetings at the Minister's Regional Office and deliver remarks to the Ontario Food Terminal</t>
        </is>
      </c>
      <c r="G2687" t="inlineStr">
        <is>
          <t>Soutenir la participation du ministre à des réunions au bureau régional du ministre et à la présentation d’une allocution au Marché des produits alimentaires de l’Ontario</t>
        </is>
      </c>
      <c r="H2687" s="1" t="n">
        <v>46184</v>
      </c>
      <c r="I2687" s="1" t="n">
        <v>46184</v>
      </c>
      <c r="J2687" t="inlineStr">
        <is>
          <t>Toronto, Ontario, Canada</t>
        </is>
      </c>
      <c r="K2687" t="inlineStr">
        <is>
          <t>Toronto, Ontario, Canada</t>
        </is>
      </c>
      <c r="P2687" t="n">
        <v>1029.83</v>
      </c>
      <c r="Q2687" t="n">
        <v>0</v>
      </c>
      <c r="R2687" t="n">
        <v>0</v>
      </c>
      <c r="S2687" t="n">
        <v>91.75</v>
      </c>
      <c r="T2687" t="n">
        <v>0</v>
      </c>
      <c r="U2687" t="n">
        <v>1121.58</v>
      </c>
      <c r="X2687" t="inlineStr">
        <is>
          <t>aafc-aac</t>
        </is>
      </c>
      <c r="Y2687" t="inlineStr">
        <is>
          <t>Agriculture and Agri-Food Canada | Agriculture et Agroalimentaire Canada</t>
        </is>
      </c>
    </row>
    <row r="2688">
      <c r="A2688" t="inlineStr">
        <is>
          <t>T-AAFC-2027-P03-009</t>
        </is>
      </c>
      <c r="B2688" t="inlineStr">
        <is>
          <t>SLE</t>
        </is>
      </c>
      <c r="C2688" t="inlineStr">
        <is>
          <t>Assistant Deputy Minister, Science and Technology Branch</t>
        </is>
      </c>
      <c r="D2688" t="inlineStr">
        <is>
          <t>Sous-ministre adjointe, Direction générale des sciences et de la technologie</t>
        </is>
      </c>
      <c r="E2688" t="inlineStr">
        <is>
          <t>Arran McPherson</t>
        </is>
      </c>
      <c r="F2688" t="inlineStr">
        <is>
          <t>To visit and meet with staff</t>
        </is>
      </c>
      <c r="G2688" t="inlineStr">
        <is>
          <t>Visiter et rencontrer le personnel</t>
        </is>
      </c>
      <c r="H2688" s="1" t="n">
        <v>46166</v>
      </c>
      <c r="I2688" s="1" t="n">
        <v>46171</v>
      </c>
      <c r="J2688" t="inlineStr">
        <is>
          <t>Summerland, British Columbia, Canada</t>
        </is>
      </c>
      <c r="K2688" t="inlineStr">
        <is>
          <t>Summerland, Colombie-Britannique, Canada</t>
        </is>
      </c>
      <c r="L2688" t="inlineStr">
        <is>
          <t>Agassiz, British Columbia, Canada</t>
        </is>
      </c>
      <c r="M2688" t="inlineStr">
        <is>
          <t>Agassiz, Colombie-Britannique, Canada</t>
        </is>
      </c>
      <c r="N2688" t="inlineStr">
        <is>
          <t>Vancouver, British Columbia, Canada</t>
        </is>
      </c>
      <c r="O2688" t="inlineStr">
        <is>
          <t>Vancouver, Colombie-Britannique, Canada</t>
        </is>
      </c>
      <c r="P2688" t="n">
        <v>1413.85</v>
      </c>
      <c r="Q2688" t="n">
        <v>16.3</v>
      </c>
      <c r="R2688" t="n">
        <v>1140.28</v>
      </c>
      <c r="S2688" t="n">
        <v>788.45</v>
      </c>
      <c r="T2688" t="n">
        <v>0</v>
      </c>
      <c r="U2688" t="n">
        <v>3358.88</v>
      </c>
      <c r="X2688" t="inlineStr">
        <is>
          <t>aafc-aac</t>
        </is>
      </c>
      <c r="Y2688" t="inlineStr">
        <is>
          <t>Agriculture and Agri-Food Canada | Agriculture et Agroalimentaire Canada</t>
        </is>
      </c>
    </row>
    <row r="2689">
      <c r="A2689" t="inlineStr">
        <is>
          <t>T-AAFC-2027-P03-010</t>
        </is>
      </c>
      <c r="B2689" t="inlineStr">
        <is>
          <t>SLE</t>
        </is>
      </c>
      <c r="C2689" t="inlineStr">
        <is>
          <t>Assistant Deputy Minister, Science and Technology Branch</t>
        </is>
      </c>
      <c r="D2689" t="inlineStr">
        <is>
          <t>Sous-ministre adjointe, Direction générale des sciences et de la technologie</t>
        </is>
      </c>
      <c r="E2689" t="inlineStr">
        <is>
          <t>Arran McPherson</t>
        </is>
      </c>
      <c r="F2689" t="inlineStr">
        <is>
          <t>To attend a Ministerial Appearance</t>
        </is>
      </c>
      <c r="G2689" t="inlineStr">
        <is>
          <t>Participer à une comparution ministérielle</t>
        </is>
      </c>
      <c r="H2689" s="1" t="n">
        <v>46174</v>
      </c>
      <c r="I2689" s="1" t="n">
        <v>46174</v>
      </c>
      <c r="J2689" t="inlineStr">
        <is>
          <t>Ottawa, Ontario, Canada</t>
        </is>
      </c>
      <c r="K2689" t="inlineStr">
        <is>
          <t>Ottawa, Ontario, Canada</t>
        </is>
      </c>
      <c r="P2689" t="n">
        <v>0</v>
      </c>
      <c r="Q2689" t="n">
        <v>40.36</v>
      </c>
      <c r="R2689" t="n">
        <v>0</v>
      </c>
      <c r="S2689" t="n">
        <v>0</v>
      </c>
      <c r="T2689" t="n">
        <v>0</v>
      </c>
      <c r="U2689" t="n">
        <v>40.36</v>
      </c>
      <c r="X2689" t="inlineStr">
        <is>
          <t>aafc-aac</t>
        </is>
      </c>
      <c r="Y2689" t="inlineStr">
        <is>
          <t>Agriculture and Agri-Food Canada | Agriculture et Agroalimentaire Canada</t>
        </is>
      </c>
    </row>
    <row r="2690">
      <c r="A2690" t="inlineStr">
        <is>
          <t>T-AAFC-2027-P03-011</t>
        </is>
      </c>
      <c r="B2690" t="inlineStr">
        <is>
          <t>SLE</t>
        </is>
      </c>
      <c r="C2690" t="inlineStr">
        <is>
          <t>Assistant Deputy Minister, Science and Technology Branch</t>
        </is>
      </c>
      <c r="D2690" t="inlineStr">
        <is>
          <t>Sous-ministre adjointe, Direction générale des sciences et de la technologie</t>
        </is>
      </c>
      <c r="E2690" t="inlineStr">
        <is>
          <t>Arran McPherson</t>
        </is>
      </c>
      <c r="F2690" t="inlineStr">
        <is>
          <t>To attend a Ministerial Appearance</t>
        </is>
      </c>
      <c r="G2690" t="inlineStr">
        <is>
          <t>Participer à une comparution ministérielle</t>
        </is>
      </c>
      <c r="H2690" s="1" t="n">
        <v>46182</v>
      </c>
      <c r="I2690" s="1" t="n">
        <v>46182</v>
      </c>
      <c r="J2690" t="inlineStr">
        <is>
          <t>Ottawa, Ontario, Canada</t>
        </is>
      </c>
      <c r="K2690" t="inlineStr">
        <is>
          <t>Ottawa, Ontario, Canada</t>
        </is>
      </c>
      <c r="P2690" t="n">
        <v>0</v>
      </c>
      <c r="Q2690" t="n">
        <v>34.27</v>
      </c>
      <c r="R2690" t="n">
        <v>0</v>
      </c>
      <c r="S2690" t="n">
        <v>0</v>
      </c>
      <c r="T2690" t="n">
        <v>0</v>
      </c>
      <c r="U2690" t="n">
        <v>34.27</v>
      </c>
      <c r="X2690" t="inlineStr">
        <is>
          <t>aafc-aac</t>
        </is>
      </c>
      <c r="Y2690" t="inlineStr">
        <is>
          <t>Agriculture and Agri-Food Canada | Agriculture et Agroalimentaire Canada</t>
        </is>
      </c>
    </row>
    <row r="2691">
      <c r="A2691" t="inlineStr">
        <is>
          <t>T-AAFC-2027-P03-012</t>
        </is>
      </c>
      <c r="B2691" t="inlineStr">
        <is>
          <t>SLE</t>
        </is>
      </c>
      <c r="C2691" t="inlineStr">
        <is>
          <t>Chief Audit Executive</t>
        </is>
      </c>
      <c r="D2691" t="inlineStr">
        <is>
          <t>Dirigeant de la vérification</t>
        </is>
      </c>
      <c r="E2691" t="inlineStr">
        <is>
          <t>Christopher MacDonald</t>
        </is>
      </c>
      <c r="F2691" t="inlineStr">
        <is>
          <t>To attend the 2026 Canadian Evaluation Society (CES) National Conference</t>
        </is>
      </c>
      <c r="G2691" t="inlineStr">
        <is>
          <t>Assister au Congrès national 2026 de la Société canadienne d'évaluation (SCE)</t>
        </is>
      </c>
      <c r="H2691" s="1" t="n">
        <v>46165</v>
      </c>
      <c r="I2691" s="1" t="n">
        <v>46170</v>
      </c>
      <c r="J2691" t="inlineStr">
        <is>
          <t>Edmonton, Alberta, Canada</t>
        </is>
      </c>
      <c r="K2691" t="inlineStr">
        <is>
          <t>Edmonton, Alberta, Canada</t>
        </is>
      </c>
      <c r="P2691" t="n">
        <v>693.62</v>
      </c>
      <c r="Q2691" t="n">
        <v>232.6</v>
      </c>
      <c r="R2691" t="n">
        <v>872.72</v>
      </c>
      <c r="S2691" t="n">
        <v>490.9</v>
      </c>
      <c r="T2691" t="n">
        <v>0</v>
      </c>
      <c r="U2691" t="n">
        <v>2289.84</v>
      </c>
      <c r="X2691" t="inlineStr">
        <is>
          <t>aafc-aac</t>
        </is>
      </c>
      <c r="Y2691" t="inlineStr">
        <is>
          <t>Agriculture and Agri-Food Canada | Agriculture et Agroalimentaire Canada</t>
        </is>
      </c>
    </row>
    <row r="2692">
      <c r="A2692" t="inlineStr">
        <is>
          <t>T-AAFC-2027-P03-013</t>
        </is>
      </c>
      <c r="B2692" t="inlineStr">
        <is>
          <t>SLE</t>
        </is>
      </c>
      <c r="C2692" t="inlineStr">
        <is>
          <t>Associate Assistant Deputy Minister, Science and Technology Branch</t>
        </is>
      </c>
      <c r="D2692" t="inlineStr">
        <is>
          <t>Sous-ministre adjoint délégué, Direction générale des sciences et de la technologie</t>
        </is>
      </c>
      <c r="E2692" t="inlineStr">
        <is>
          <t>Andrew Goldstein</t>
        </is>
      </c>
      <c r="F2692" t="inlineStr">
        <is>
          <t>To participate in a training session</t>
        </is>
      </c>
      <c r="G2692" t="inlineStr">
        <is>
          <t>Participer à une session de formation</t>
        </is>
      </c>
      <c r="H2692" s="1" t="n">
        <v>46175</v>
      </c>
      <c r="I2692" s="1" t="n">
        <v>46178</v>
      </c>
      <c r="J2692" t="inlineStr">
        <is>
          <t>Washington, District of Columbia, United States</t>
        </is>
      </c>
      <c r="K2692" t="inlineStr">
        <is>
          <t>Washington, District de Colombia, États-Unis</t>
        </is>
      </c>
      <c r="P2692" t="n">
        <v>740.38</v>
      </c>
      <c r="Q2692" t="n">
        <v>38.11</v>
      </c>
      <c r="R2692" t="n">
        <v>1352.97</v>
      </c>
      <c r="S2692" t="n">
        <v>602.8099999999999</v>
      </c>
      <c r="T2692" t="n">
        <v>0</v>
      </c>
      <c r="U2692" t="n">
        <v>2734.27</v>
      </c>
      <c r="X2692" t="inlineStr">
        <is>
          <t>aafc-aac</t>
        </is>
      </c>
      <c r="Y2692" t="inlineStr">
        <is>
          <t>Agriculture and Agri-Food Canada | Agriculture et Agroalimentaire Canada</t>
        </is>
      </c>
    </row>
    <row r="2693">
      <c r="A2693" t="inlineStr">
        <is>
          <t>T-AAFC-2027-P03-014</t>
        </is>
      </c>
      <c r="B2693" t="inlineStr">
        <is>
          <t>SLE</t>
        </is>
      </c>
      <c r="C2693" t="inlineStr">
        <is>
          <t>Assistant Deputy Minister, Corporate Management Branch</t>
        </is>
      </c>
      <c r="D2693" t="inlineStr">
        <is>
          <t>Sous-ministre adjoint, Direction générale de la gestion intégrée</t>
        </is>
      </c>
      <c r="E2693" t="inlineStr">
        <is>
          <t>Alain Lagacé</t>
        </is>
      </c>
      <c r="F2693" t="inlineStr">
        <is>
          <t>Site visit to Kentville Research and Development Centre, Fredericton Research and Development Centre, Charlottetown Research and Development Centre and Moncton Regional office</t>
        </is>
      </c>
      <c r="G2693" t="inlineStr">
        <is>
          <t>Visite du Centre de recherche et de développement de Kentville,  Centre de recherche et de développement de Frédericton, Centre de recherche et de développement de Charlottetown et bureau régional de Moncton</t>
        </is>
      </c>
      <c r="H2693" s="1" t="n">
        <v>46173</v>
      </c>
      <c r="I2693" s="1" t="n">
        <v>46181</v>
      </c>
      <c r="J2693" t="inlineStr">
        <is>
          <t>Kentville, Nova Scotia, Canada</t>
        </is>
      </c>
      <c r="K2693" t="inlineStr">
        <is>
          <t>Kentville, Nouvelle-Écosse, Canada</t>
        </is>
      </c>
      <c r="L2693" t="inlineStr">
        <is>
          <t>Fredericton, New Brunswick, Canada</t>
        </is>
      </c>
      <c r="M2693" t="inlineStr">
        <is>
          <t>Frédericton, Nouveau-Brunswick, Canada</t>
        </is>
      </c>
      <c r="N2693" t="inlineStr">
        <is>
          <t>Charlottetown, Prince Edward Island, Canada;Moncton, New Brunswick, Canada</t>
        </is>
      </c>
      <c r="O2693" t="inlineStr">
        <is>
          <t>Charlottetown, Île-du-Prince-Édouard, Canada;Moncton, Nouveau-Brunswick, Canada</t>
        </is>
      </c>
      <c r="P2693" t="n">
        <v>801.66</v>
      </c>
      <c r="Q2693" t="n">
        <v>453.35</v>
      </c>
      <c r="R2693" t="n">
        <v>955.09</v>
      </c>
      <c r="S2693" t="n">
        <v>701.75</v>
      </c>
      <c r="T2693" t="n">
        <v>0</v>
      </c>
      <c r="U2693" t="n">
        <v>2911.85</v>
      </c>
      <c r="X2693" t="inlineStr">
        <is>
          <t>aafc-aac</t>
        </is>
      </c>
      <c r="Y2693" t="inlineStr">
        <is>
          <t>Agriculture and Agri-Food Canada | Agriculture et Agroalimentaire Canada</t>
        </is>
      </c>
    </row>
    <row r="2694">
      <c r="A2694" t="inlineStr">
        <is>
          <t>T-AAFC-2027-P03-015</t>
        </is>
      </c>
      <c r="B2694" t="inlineStr">
        <is>
          <t>SLE</t>
        </is>
      </c>
      <c r="C2694" t="inlineStr">
        <is>
          <t>Assistant Deputy Minister, Strategic Policy Branch</t>
        </is>
      </c>
      <c r="D2694" t="inlineStr">
        <is>
          <t>Sous-ministre adjointe, Direction générale des politiques stratégiques</t>
        </is>
      </c>
      <c r="E2694" t="inlineStr">
        <is>
          <t>Shannon Nix</t>
        </is>
      </c>
      <c r="F2694" t="inlineStr">
        <is>
          <t>To attend a meeting</t>
        </is>
      </c>
      <c r="G2694" t="inlineStr">
        <is>
          <t>Assister à une réunion</t>
        </is>
      </c>
      <c r="H2694" s="1" t="n">
        <v>46148</v>
      </c>
      <c r="I2694" s="1" t="n">
        <v>46148</v>
      </c>
      <c r="J2694" t="inlineStr">
        <is>
          <t>Ottawa, Ontario, Canada</t>
        </is>
      </c>
      <c r="K2694" t="inlineStr">
        <is>
          <t>Ottawa, Ontario, Canada</t>
        </is>
      </c>
      <c r="P2694" t="n">
        <v>0</v>
      </c>
      <c r="Q2694" t="n">
        <v>12.1</v>
      </c>
      <c r="R2694" t="n">
        <v>0</v>
      </c>
      <c r="S2694" t="n">
        <v>0</v>
      </c>
      <c r="T2694" t="n">
        <v>0</v>
      </c>
      <c r="U2694" t="n">
        <v>12.1</v>
      </c>
      <c r="X2694" t="inlineStr">
        <is>
          <t>aafc-aac</t>
        </is>
      </c>
      <c r="Y2694" t="inlineStr">
        <is>
          <t>Agriculture and Agri-Food Canada | Agriculture et Agroalimentaire Canada</t>
        </is>
      </c>
    </row>
    <row r="2695">
      <c r="A2695" t="inlineStr">
        <is>
          <t>T-AAFC-2027-P03-016</t>
        </is>
      </c>
      <c r="B2695" t="inlineStr">
        <is>
          <t>SLE</t>
        </is>
      </c>
      <c r="C2695" t="inlineStr">
        <is>
          <t>Assistant Deputy Minister, Strategic Policy Branch</t>
        </is>
      </c>
      <c r="D2695" t="inlineStr">
        <is>
          <t>Sous-ministre adjointe, Direction générale des politiques stratégiques</t>
        </is>
      </c>
      <c r="E2695" t="inlineStr">
        <is>
          <t>Shannon Nix</t>
        </is>
      </c>
      <c r="F2695" t="inlineStr">
        <is>
          <t>To attend a meeting</t>
        </is>
      </c>
      <c r="G2695" t="inlineStr">
        <is>
          <t>Assister à une réunion</t>
        </is>
      </c>
      <c r="H2695" s="1" t="n">
        <v>46149</v>
      </c>
      <c r="I2695" s="1" t="n">
        <v>46149</v>
      </c>
      <c r="J2695" t="inlineStr">
        <is>
          <t>Ottawa, Ontario, Canada</t>
        </is>
      </c>
      <c r="K2695" t="inlineStr">
        <is>
          <t>Ottawa, Ontario, Canada</t>
        </is>
      </c>
      <c r="P2695" t="n">
        <v>0</v>
      </c>
      <c r="Q2695" t="n">
        <v>17</v>
      </c>
      <c r="R2695" t="n">
        <v>0</v>
      </c>
      <c r="S2695" t="n">
        <v>0</v>
      </c>
      <c r="T2695" t="n">
        <v>0</v>
      </c>
      <c r="U2695" t="n">
        <v>17</v>
      </c>
      <c r="X2695" t="inlineStr">
        <is>
          <t>aafc-aac</t>
        </is>
      </c>
      <c r="Y2695" t="inlineStr">
        <is>
          <t>Agriculture and Agri-Food Canada | Agriculture et Agroalimentaire Canada</t>
        </is>
      </c>
    </row>
    <row r="2696">
      <c r="A2696" t="inlineStr">
        <is>
          <t>T-AAFC-2027-P03-017</t>
        </is>
      </c>
      <c r="B2696" t="inlineStr">
        <is>
          <t>SLE</t>
        </is>
      </c>
      <c r="C2696" t="inlineStr">
        <is>
          <t>Assistant Deputy Minister, Strategic Policy Branch</t>
        </is>
      </c>
      <c r="D2696" t="inlineStr">
        <is>
          <t>Sous-ministre adjointe, Direction générale des politiques stratégiques</t>
        </is>
      </c>
      <c r="E2696" t="inlineStr">
        <is>
          <t>Shannon Nix</t>
        </is>
      </c>
      <c r="F2696" t="inlineStr">
        <is>
          <t>To attend a meeting</t>
        </is>
      </c>
      <c r="G2696" t="inlineStr">
        <is>
          <t>Assister à une réunion</t>
        </is>
      </c>
      <c r="H2696" s="1" t="n">
        <v>46169</v>
      </c>
      <c r="I2696" s="1" t="n">
        <v>46169</v>
      </c>
      <c r="J2696" t="inlineStr">
        <is>
          <t>Ottawa, Ontario, Canada</t>
        </is>
      </c>
      <c r="K2696" t="inlineStr">
        <is>
          <t>Ottawa, Ontario, Canada</t>
        </is>
      </c>
      <c r="P2696" t="n">
        <v>0</v>
      </c>
      <c r="Q2696" t="n">
        <v>17.71</v>
      </c>
      <c r="R2696" t="n">
        <v>0</v>
      </c>
      <c r="S2696" t="n">
        <v>0</v>
      </c>
      <c r="T2696" t="n">
        <v>0</v>
      </c>
      <c r="U2696" t="n">
        <v>17.71</v>
      </c>
      <c r="X2696" t="inlineStr">
        <is>
          <t>aafc-aac</t>
        </is>
      </c>
      <c r="Y2696" t="inlineStr">
        <is>
          <t>Agriculture and Agri-Food Canada | Agriculture et Agroalimentaire Canada</t>
        </is>
      </c>
    </row>
    <row r="2697">
      <c r="A2697" t="inlineStr">
        <is>
          <t>T-AAFC-2027-P03-018</t>
        </is>
      </c>
      <c r="B2697" t="inlineStr">
        <is>
          <t>SLE</t>
        </is>
      </c>
      <c r="C2697" t="inlineStr">
        <is>
          <t>Assistant Deputy Minister, Strategic Policy Branch</t>
        </is>
      </c>
      <c r="D2697" t="inlineStr">
        <is>
          <t>Sous-ministre adjointe, Direction générale des politiques stratégiques</t>
        </is>
      </c>
      <c r="E2697" t="inlineStr">
        <is>
          <t>Shannon Nix</t>
        </is>
      </c>
      <c r="F2697" t="inlineStr">
        <is>
          <t>To attend a meeting</t>
        </is>
      </c>
      <c r="G2697" t="inlineStr">
        <is>
          <t>Assister à une réunion</t>
        </is>
      </c>
      <c r="H2697" s="1" t="n">
        <v>46184</v>
      </c>
      <c r="I2697" s="1" t="n">
        <v>46184</v>
      </c>
      <c r="J2697" t="inlineStr">
        <is>
          <t>Toronto, Ontario, Canada</t>
        </is>
      </c>
      <c r="K2697" t="inlineStr">
        <is>
          <t>Toronto, Ontario, Canada</t>
        </is>
      </c>
      <c r="P2697" t="n">
        <v>1491.57</v>
      </c>
      <c r="Q2697" t="n">
        <v>0</v>
      </c>
      <c r="R2697" t="n">
        <v>0</v>
      </c>
      <c r="S2697" t="n">
        <v>121.25</v>
      </c>
      <c r="T2697" t="n">
        <v>0</v>
      </c>
      <c r="U2697" t="n">
        <v>1612.82</v>
      </c>
      <c r="X2697" t="inlineStr">
        <is>
          <t>aafc-aac</t>
        </is>
      </c>
      <c r="Y2697" t="inlineStr">
        <is>
          <t>Agriculture and Agri-Food Canada | Agriculture et Agroalimentaire Canada</t>
        </is>
      </c>
    </row>
    <row r="2698">
      <c r="A2698" t="inlineStr">
        <is>
          <t>T-AAFC-2027-P03-019</t>
        </is>
      </c>
      <c r="B2698" t="inlineStr">
        <is>
          <t>SLE</t>
        </is>
      </c>
      <c r="C2698" t="inlineStr">
        <is>
          <t>Assistant Deputy Minister, Programs Branch</t>
        </is>
      </c>
      <c r="D2698" t="inlineStr">
        <is>
          <t>Sous-ministre adjointe, Direction générale des programmes</t>
        </is>
      </c>
      <c r="E2698" t="inlineStr">
        <is>
          <t>Liz Foster</t>
        </is>
      </c>
      <c r="F2698" t="inlineStr">
        <is>
          <t>To attend meetings</t>
        </is>
      </c>
      <c r="G2698" t="inlineStr">
        <is>
          <t>Assister à des réunions</t>
        </is>
      </c>
      <c r="H2698" s="1" t="n">
        <v>46181</v>
      </c>
      <c r="I2698" s="1" t="n">
        <v>46181</v>
      </c>
      <c r="J2698" t="inlineStr">
        <is>
          <t>Ottawa, Ontario, Canada</t>
        </is>
      </c>
      <c r="K2698" t="inlineStr">
        <is>
          <t>Ottawa, Ontario, Canada</t>
        </is>
      </c>
      <c r="P2698" t="n">
        <v>0</v>
      </c>
      <c r="Q2698" t="n">
        <v>12</v>
      </c>
      <c r="R2698" t="n">
        <v>0</v>
      </c>
      <c r="S2698" t="n">
        <v>0</v>
      </c>
      <c r="T2698" t="n">
        <v>0</v>
      </c>
      <c r="U2698" t="n">
        <v>12</v>
      </c>
      <c r="X2698" t="inlineStr">
        <is>
          <t>aafc-aac</t>
        </is>
      </c>
      <c r="Y2698" t="inlineStr">
        <is>
          <t>Agriculture and Agri-Food Canada | Agriculture et Agroalimentaire Canada</t>
        </is>
      </c>
    </row>
    <row r="2699">
      <c r="A2699" t="inlineStr">
        <is>
          <t>T-AAFC-2027-P03-020</t>
        </is>
      </c>
      <c r="B2699" t="inlineStr">
        <is>
          <t>SLE</t>
        </is>
      </c>
      <c r="C2699" t="inlineStr">
        <is>
          <t>Assistant Deputy Minister, Programs Branch</t>
        </is>
      </c>
      <c r="D2699" t="inlineStr">
        <is>
          <t>Sous-ministre adjointe, Direction générale des programmes</t>
        </is>
      </c>
      <c r="E2699" t="inlineStr">
        <is>
          <t>Liz Foster</t>
        </is>
      </c>
      <c r="F2699" t="inlineStr">
        <is>
          <t>To attend meetings</t>
        </is>
      </c>
      <c r="G2699" t="inlineStr">
        <is>
          <t>Assister à des réunions</t>
        </is>
      </c>
      <c r="H2699" s="1" t="n">
        <v>46182</v>
      </c>
      <c r="I2699" s="1" t="n">
        <v>46182</v>
      </c>
      <c r="J2699" t="inlineStr">
        <is>
          <t>Ottawa, Ontario, Canada</t>
        </is>
      </c>
      <c r="K2699" t="inlineStr">
        <is>
          <t>Ottawa, Ontario, Canada</t>
        </is>
      </c>
      <c r="P2699" t="n">
        <v>0</v>
      </c>
      <c r="Q2699" t="n">
        <v>12</v>
      </c>
      <c r="R2699" t="n">
        <v>0</v>
      </c>
      <c r="S2699" t="n">
        <v>0</v>
      </c>
      <c r="T2699" t="n">
        <v>0</v>
      </c>
      <c r="U2699" t="n">
        <v>12</v>
      </c>
      <c r="X2699" t="inlineStr">
        <is>
          <t>aafc-aac</t>
        </is>
      </c>
      <c r="Y2699" t="inlineStr">
        <is>
          <t>Agriculture and Agri-Food Canada | Agriculture et Agroalimentaire Canada</t>
        </is>
      </c>
    </row>
    <row r="2700">
      <c r="A2700" t="inlineStr">
        <is>
          <t>T-AAFC-2027-P03-021</t>
        </is>
      </c>
      <c r="B2700" t="inlineStr">
        <is>
          <t>SLE</t>
        </is>
      </c>
      <c r="C2700" t="inlineStr">
        <is>
          <t>Assistant Deputy Minister, Programs Branch</t>
        </is>
      </c>
      <c r="D2700" t="inlineStr">
        <is>
          <t>Sous-ministre adjointe, Direction générale des programmes</t>
        </is>
      </c>
      <c r="E2700" t="inlineStr">
        <is>
          <t>Liz Foster</t>
        </is>
      </c>
      <c r="F2700" t="inlineStr">
        <is>
          <t>To attend meetings</t>
        </is>
      </c>
      <c r="G2700" t="inlineStr">
        <is>
          <t>Assister à des réunions</t>
        </is>
      </c>
      <c r="H2700" s="1" t="n">
        <v>46183</v>
      </c>
      <c r="I2700" s="1" t="n">
        <v>46183</v>
      </c>
      <c r="J2700" t="inlineStr">
        <is>
          <t>Ottawa, Ontario, Canada</t>
        </is>
      </c>
      <c r="K2700" t="inlineStr">
        <is>
          <t>Ottawa, Ontario, Canada</t>
        </is>
      </c>
      <c r="P2700" t="n">
        <v>0</v>
      </c>
      <c r="Q2700" t="n">
        <v>6.5</v>
      </c>
      <c r="R2700" t="n">
        <v>0</v>
      </c>
      <c r="S2700" t="n">
        <v>0</v>
      </c>
      <c r="T2700" t="n">
        <v>0</v>
      </c>
      <c r="U2700" t="n">
        <v>6.5</v>
      </c>
      <c r="X2700" t="inlineStr">
        <is>
          <t>aafc-aac</t>
        </is>
      </c>
      <c r="Y2700" t="inlineStr">
        <is>
          <t>Agriculture and Agri-Food Canada | Agriculture et Agroalimentaire Canada</t>
        </is>
      </c>
    </row>
    <row r="2701">
      <c r="A2701" t="inlineStr">
        <is>
          <t>T-AAFC-2027-P03-022</t>
        </is>
      </c>
      <c r="B2701" t="inlineStr">
        <is>
          <t>SLE</t>
        </is>
      </c>
      <c r="C2701" t="inlineStr">
        <is>
          <t>Assistant Deputy Minister, Programs Branch</t>
        </is>
      </c>
      <c r="D2701" t="inlineStr">
        <is>
          <t>Sous-ministre adjointe, Direction générale des programmes</t>
        </is>
      </c>
      <c r="E2701" t="inlineStr">
        <is>
          <t>Liz Foster</t>
        </is>
      </c>
      <c r="F2701" t="inlineStr">
        <is>
          <t>To attend meetings</t>
        </is>
      </c>
      <c r="G2701" t="inlineStr">
        <is>
          <t>Assister à des réunions</t>
        </is>
      </c>
      <c r="H2701" s="1" t="n">
        <v>46188</v>
      </c>
      <c r="I2701" s="1" t="n">
        <v>46188</v>
      </c>
      <c r="J2701" t="inlineStr">
        <is>
          <t>Ottawa, Ontario, Canada</t>
        </is>
      </c>
      <c r="K2701" t="inlineStr">
        <is>
          <t>Ottawa, Ontario, Canada</t>
        </is>
      </c>
      <c r="P2701" t="n">
        <v>0</v>
      </c>
      <c r="Q2701" t="n">
        <v>18</v>
      </c>
      <c r="R2701" t="n">
        <v>0</v>
      </c>
      <c r="S2701" t="n">
        <v>0</v>
      </c>
      <c r="T2701" t="n">
        <v>0</v>
      </c>
      <c r="U2701" t="n">
        <v>18</v>
      </c>
      <c r="X2701" t="inlineStr">
        <is>
          <t>aafc-aac</t>
        </is>
      </c>
      <c r="Y2701" t="inlineStr">
        <is>
          <t>Agriculture and Agri-Food Canada | Agriculture et Agroalimentaire Canada</t>
        </is>
      </c>
    </row>
    <row r="2702">
      <c r="A2702" t="inlineStr">
        <is>
          <t>T-AAFC-2027-P03-023</t>
        </is>
      </c>
      <c r="B2702" t="inlineStr">
        <is>
          <t>SLE</t>
        </is>
      </c>
      <c r="C2702" t="inlineStr">
        <is>
          <t>Assistant Deputy Minister, Market and Industry Services Branch</t>
        </is>
      </c>
      <c r="D2702" t="inlineStr">
        <is>
          <t>Sous-ministre adjoint, Direction générale des services à l'industrie et aux marchés</t>
        </is>
      </c>
      <c r="E2702" t="inlineStr">
        <is>
          <t>Tom Rosser</t>
        </is>
      </c>
      <c r="F2702" t="inlineStr">
        <is>
          <t>To attend meetings</t>
        </is>
      </c>
      <c r="G2702" t="inlineStr">
        <is>
          <t>Assister à des réunions</t>
        </is>
      </c>
      <c r="H2702" s="1" t="n">
        <v>46140</v>
      </c>
      <c r="I2702" s="1" t="n">
        <v>46142</v>
      </c>
      <c r="J2702" t="inlineStr">
        <is>
          <t>Washington, District of Columbia, United States</t>
        </is>
      </c>
      <c r="K2702" t="inlineStr">
        <is>
          <t>Washington, District de Columbia, États-Unis</t>
        </is>
      </c>
      <c r="P2702" t="n">
        <v>980.15</v>
      </c>
      <c r="Q2702" t="n">
        <v>181.65</v>
      </c>
      <c r="R2702" t="n">
        <v>876.53</v>
      </c>
      <c r="S2702" t="n">
        <v>455.08</v>
      </c>
      <c r="T2702" t="n">
        <v>0</v>
      </c>
      <c r="U2702" t="n">
        <v>2493.41</v>
      </c>
      <c r="X2702" t="inlineStr">
        <is>
          <t>aafc-aac</t>
        </is>
      </c>
      <c r="Y2702" t="inlineStr">
        <is>
          <t>Agriculture and Agri-Food Canada | Agriculture et Agroalimentaire Canada</t>
        </is>
      </c>
    </row>
    <row r="2703">
      <c r="A2703" t="inlineStr">
        <is>
          <t>T-AAFC-2027-P03-024</t>
        </is>
      </c>
      <c r="B2703" t="inlineStr">
        <is>
          <t>SLE</t>
        </is>
      </c>
      <c r="C2703" t="inlineStr">
        <is>
          <t>Director General, Human Resources Branch</t>
        </is>
      </c>
      <c r="D2703" t="inlineStr">
        <is>
          <t>Directeur général, Direction générale des ressources humaines</t>
        </is>
      </c>
      <c r="E2703" t="inlineStr">
        <is>
          <t>Alec Nicholls</t>
        </is>
      </c>
      <c r="F2703" t="inlineStr">
        <is>
          <t>To attend meetings</t>
        </is>
      </c>
      <c r="G2703" t="inlineStr">
        <is>
          <t>Assister à des réunions</t>
        </is>
      </c>
      <c r="H2703" s="1" t="n">
        <v>46175</v>
      </c>
      <c r="I2703" s="1" t="n">
        <v>46175</v>
      </c>
      <c r="J2703" t="inlineStr">
        <is>
          <t>Montreal, Quebec, Canada</t>
        </is>
      </c>
      <c r="K2703" t="inlineStr">
        <is>
          <t>Montréal, Québec, Canada</t>
        </is>
      </c>
      <c r="P2703" t="n">
        <v>0</v>
      </c>
      <c r="Q2703" t="n">
        <v>176.41</v>
      </c>
      <c r="R2703" t="n">
        <v>0</v>
      </c>
      <c r="S2703" t="n">
        <v>91.75</v>
      </c>
      <c r="T2703" t="n">
        <v>21</v>
      </c>
      <c r="U2703" t="n">
        <v>289.16</v>
      </c>
      <c r="X2703" t="inlineStr">
        <is>
          <t>aafc-aac</t>
        </is>
      </c>
      <c r="Y2703" t="inlineStr">
        <is>
          <t>Agriculture and Agri-Food Canada | Agriculture et Agroalimentaire Canada</t>
        </is>
      </c>
    </row>
    <row r="2704">
      <c r="A2704" t="inlineStr">
        <is>
          <t>T-AAFC-2027-P03-025</t>
        </is>
      </c>
      <c r="B2704" t="inlineStr">
        <is>
          <t>SLE</t>
        </is>
      </c>
      <c r="C2704" t="inlineStr">
        <is>
          <t>Director General, Human Resources Branch</t>
        </is>
      </c>
      <c r="D2704" t="inlineStr">
        <is>
          <t>Directeur général, Direction générale des ressources humaines</t>
        </is>
      </c>
      <c r="E2704" t="inlineStr">
        <is>
          <t>Alec Nicholls</t>
        </is>
      </c>
      <c r="F2704" t="inlineStr">
        <is>
          <t>To attend meetings</t>
        </is>
      </c>
      <c r="G2704" t="inlineStr">
        <is>
          <t>Assister à des réunions</t>
        </is>
      </c>
      <c r="H2704" s="1" t="n">
        <v>46169</v>
      </c>
      <c r="I2704" s="1" t="n">
        <v>46170</v>
      </c>
      <c r="J2704" t="inlineStr">
        <is>
          <t>Moncton, New Brunswick, Canada</t>
        </is>
      </c>
      <c r="K2704" t="inlineStr">
        <is>
          <t>Moncton, Nouveau-Brunswick, Canada</t>
        </is>
      </c>
      <c r="P2704" t="n">
        <v>1652.13</v>
      </c>
      <c r="Q2704" t="n">
        <v>137.31</v>
      </c>
      <c r="R2704" t="n">
        <v>205.92</v>
      </c>
      <c r="S2704" t="n">
        <v>233.5</v>
      </c>
      <c r="T2704" t="n">
        <v>0</v>
      </c>
      <c r="U2704" t="n">
        <v>2228.86</v>
      </c>
      <c r="X2704" t="inlineStr">
        <is>
          <t>aafc-aac</t>
        </is>
      </c>
      <c r="Y2704" t="inlineStr">
        <is>
          <t>Agriculture and Agri-Food Canada | Agriculture et Agroalimentaire Canada</t>
        </is>
      </c>
    </row>
    <row r="2705">
      <c r="A2705" t="inlineStr">
        <is>
          <t>T-AAFC-2027-P04-001</t>
        </is>
      </c>
      <c r="B2705" t="inlineStr">
        <is>
          <t>MPSES</t>
        </is>
      </c>
      <c r="C2705" t="inlineStr">
        <is>
          <t>Minister</t>
        </is>
      </c>
      <c r="D2705" t="inlineStr">
        <is>
          <t>Ministre</t>
        </is>
      </c>
      <c r="E2705" t="inlineStr">
        <is>
          <t>Heath MacDonald</t>
        </is>
      </c>
      <c r="F2705" t="inlineStr">
        <is>
          <t>To attend an Outreach</t>
        </is>
      </c>
      <c r="G2705" t="inlineStr">
        <is>
          <t>Pour participer à une tournée de sensibilisation</t>
        </is>
      </c>
      <c r="H2705" s="1" t="n">
        <v>46197</v>
      </c>
      <c r="I2705" s="1" t="n">
        <v>46199</v>
      </c>
      <c r="J2705" t="inlineStr">
        <is>
          <t>Calgary, Alberta, Canada</t>
        </is>
      </c>
      <c r="K2705" t="inlineStr">
        <is>
          <t>Calgary, Alberta, Canada</t>
        </is>
      </c>
      <c r="L2705" t="inlineStr">
        <is>
          <t>Edmonton, Alberta, Canada</t>
        </is>
      </c>
      <c r="M2705" t="inlineStr">
        <is>
          <t>Edmonton, Alberta, Canada</t>
        </is>
      </c>
      <c r="P2705" t="n">
        <v>1912.95</v>
      </c>
      <c r="Q2705" t="n">
        <v>0</v>
      </c>
      <c r="R2705" t="n">
        <v>482.12</v>
      </c>
      <c r="S2705" t="n">
        <v>292.5</v>
      </c>
      <c r="T2705" t="n">
        <v>0</v>
      </c>
      <c r="U2705" t="n">
        <v>2687.57</v>
      </c>
      <c r="X2705" t="inlineStr">
        <is>
          <t>aafc-aac</t>
        </is>
      </c>
      <c r="Y2705" t="inlineStr">
        <is>
          <t>Agriculture and Agri-Food Canada | Agriculture et Agroalimentaire Canada</t>
        </is>
      </c>
    </row>
    <row r="2706">
      <c r="A2706" t="inlineStr">
        <is>
          <t>T-AAFC-2027-P04-002</t>
        </is>
      </c>
      <c r="B2706" t="inlineStr">
        <is>
          <t>MPSES</t>
        </is>
      </c>
      <c r="C2706" t="inlineStr">
        <is>
          <t>Minister</t>
        </is>
      </c>
      <c r="D2706" t="inlineStr">
        <is>
          <t>Ministre</t>
        </is>
      </c>
      <c r="E2706" t="inlineStr">
        <is>
          <t>Heath MacDonald</t>
        </is>
      </c>
      <c r="F2706" t="inlineStr">
        <is>
          <t>To attend an Outreach and the Calgary Stampede</t>
        </is>
      </c>
      <c r="G2706" t="inlineStr">
        <is>
          <t>Participer à une tournée de sensibilisation et au Calgary Stampede</t>
        </is>
      </c>
      <c r="H2706" s="1" t="n">
        <v>46204</v>
      </c>
      <c r="I2706" s="1" t="n">
        <v>46214</v>
      </c>
      <c r="J2706" t="inlineStr">
        <is>
          <t>Calgary, Alberta, Canada</t>
        </is>
      </c>
      <c r="K2706" t="inlineStr">
        <is>
          <t>Calgary, Alberta, Canada</t>
        </is>
      </c>
      <c r="L2706" t="inlineStr">
        <is>
          <t>Banff, Alberta, Canada</t>
        </is>
      </c>
      <c r="M2706" t="inlineStr">
        <is>
          <t>Banff, Alberta, Canada</t>
        </is>
      </c>
      <c r="N2706" t="inlineStr">
        <is>
          <t>Vancouver, British Columbia, Canada;Kelowna, British Columbia, Canada</t>
        </is>
      </c>
      <c r="O2706" t="inlineStr">
        <is>
          <t>Vancouver, Colombie-Britannique, Canada;Kelowna, Colombie-Britannique, Canada</t>
        </is>
      </c>
      <c r="P2706" t="n">
        <v>3619.8</v>
      </c>
      <c r="Q2706" t="n">
        <v>0</v>
      </c>
      <c r="R2706" t="n">
        <v>8231.780000000001</v>
      </c>
      <c r="S2706" t="n">
        <v>1396.95</v>
      </c>
      <c r="T2706" t="n">
        <v>0</v>
      </c>
      <c r="U2706" t="n">
        <v>13248.53</v>
      </c>
      <c r="X2706" t="inlineStr">
        <is>
          <t>aafc-aac</t>
        </is>
      </c>
      <c r="Y2706" t="inlineStr">
        <is>
          <t>Agriculture and Agri-Food Canada | Agriculture et Agroalimentaire Canada</t>
        </is>
      </c>
    </row>
    <row r="2707">
      <c r="A2707" t="inlineStr">
        <is>
          <t>T-AAFC-2027-P04-003</t>
        </is>
      </c>
      <c r="B2707" t="inlineStr">
        <is>
          <t>MPSES</t>
        </is>
      </c>
      <c r="C2707" t="inlineStr">
        <is>
          <t>Director of Parliamentary Affairs</t>
        </is>
      </c>
      <c r="D2707" t="inlineStr">
        <is>
          <t>Directeur des affaires parlementaires</t>
        </is>
      </c>
      <c r="E2707" t="inlineStr">
        <is>
          <t>Bradley Henstock</t>
        </is>
      </c>
      <c r="F2707" t="inlineStr">
        <is>
          <t>To support the Minister to attend an Outreach</t>
        </is>
      </c>
      <c r="G2707" t="inlineStr">
        <is>
          <t>Soutenir la participation du ministre lors d'une tournée de sensibilisation</t>
        </is>
      </c>
      <c r="H2707" s="1" t="n">
        <v>46197</v>
      </c>
      <c r="I2707" s="1" t="n">
        <v>46199</v>
      </c>
      <c r="J2707" t="inlineStr">
        <is>
          <t>Calgary, Alberta, Canada</t>
        </is>
      </c>
      <c r="K2707" t="inlineStr">
        <is>
          <t>Calgary, Alberta, Canada</t>
        </is>
      </c>
      <c r="L2707" t="inlineStr">
        <is>
          <t>Edmonton, Alberta, Canada</t>
        </is>
      </c>
      <c r="M2707" t="inlineStr">
        <is>
          <t>Edmonton, Alberta, Canada</t>
        </is>
      </c>
      <c r="P2707" t="n">
        <v>2005.23</v>
      </c>
      <c r="Q2707" t="n">
        <v>28.59</v>
      </c>
      <c r="R2707" t="n">
        <v>482.12</v>
      </c>
      <c r="S2707" t="n">
        <v>292.5</v>
      </c>
      <c r="T2707" t="n">
        <v>0</v>
      </c>
      <c r="U2707" t="n">
        <v>2808.44</v>
      </c>
      <c r="X2707" t="inlineStr">
        <is>
          <t>aafc-aac</t>
        </is>
      </c>
      <c r="Y2707" t="inlineStr">
        <is>
          <t>Agriculture and Agri-Food Canada | Agriculture et Agroalimentaire Canada</t>
        </is>
      </c>
    </row>
    <row r="2708">
      <c r="A2708" t="inlineStr">
        <is>
          <t>T-AAFC-2027-P04-004</t>
        </is>
      </c>
      <c r="B2708" t="inlineStr">
        <is>
          <t>MPSES</t>
        </is>
      </c>
      <c r="C2708" t="inlineStr">
        <is>
          <t>Chief of Staff</t>
        </is>
      </c>
      <c r="D2708" t="inlineStr">
        <is>
          <t>Chef de Cabinet</t>
        </is>
      </c>
      <c r="E2708" t="inlineStr">
        <is>
          <t>Guy Gallant</t>
        </is>
      </c>
      <c r="F2708" t="inlineStr">
        <is>
          <t>To support the Minister to attend meetings</t>
        </is>
      </c>
      <c r="G2708" t="inlineStr">
        <is>
          <t>Assister le ministre à participer à des réunions</t>
        </is>
      </c>
      <c r="H2708" s="1" t="n">
        <v>46198</v>
      </c>
      <c r="I2708" s="1" t="n">
        <v>46204</v>
      </c>
      <c r="J2708" t="inlineStr">
        <is>
          <t>Charlottetown, Prince Edward Island, Canada</t>
        </is>
      </c>
      <c r="K2708" t="inlineStr">
        <is>
          <t>Charlottetown, Île-du-Prince-Édouard, Canada</t>
        </is>
      </c>
      <c r="P2708" t="n">
        <v>2031.75</v>
      </c>
      <c r="Q2708" t="n">
        <v>25.3</v>
      </c>
      <c r="R2708" t="n">
        <v>1036.92</v>
      </c>
      <c r="S2708" t="n">
        <v>463.75</v>
      </c>
      <c r="T2708" t="n">
        <v>0</v>
      </c>
      <c r="U2708" t="n">
        <v>3557.72</v>
      </c>
      <c r="X2708" t="inlineStr">
        <is>
          <t>aafc-aac</t>
        </is>
      </c>
      <c r="Y2708" t="inlineStr">
        <is>
          <t>Agriculture and Agri-Food Canada | Agriculture et Agroalimentaire Canada</t>
        </is>
      </c>
    </row>
    <row r="2709">
      <c r="A2709" t="inlineStr">
        <is>
          <t>T-AAFC-2027-P04-005</t>
        </is>
      </c>
      <c r="B2709" t="inlineStr">
        <is>
          <t>MPSES</t>
        </is>
      </c>
      <c r="C2709" t="inlineStr">
        <is>
          <t>Chief of Staff</t>
        </is>
      </c>
      <c r="D2709" t="inlineStr">
        <is>
          <t>Chef de Cabinet</t>
        </is>
      </c>
      <c r="E2709" t="inlineStr">
        <is>
          <t>Guy Gallant</t>
        </is>
      </c>
      <c r="F2709" t="inlineStr">
        <is>
          <t>To support the Minister to attend an Outreach</t>
        </is>
      </c>
      <c r="G2709" t="inlineStr">
        <is>
          <t>Soutenir la participation du ministre lors d'une tournée de sensibilisation</t>
        </is>
      </c>
      <c r="H2709" s="1" t="n">
        <v>46204</v>
      </c>
      <c r="I2709" s="1" t="n">
        <v>46206</v>
      </c>
      <c r="J2709" t="inlineStr">
        <is>
          <t>Vancouver, British Columbia, Canada</t>
        </is>
      </c>
      <c r="K2709" t="inlineStr">
        <is>
          <t>Vancouver, Colombie-Britannique, Canada</t>
        </is>
      </c>
      <c r="P2709" t="n">
        <v>1686.62</v>
      </c>
      <c r="Q2709" t="n">
        <v>59.26</v>
      </c>
      <c r="R2709" t="n">
        <v>1303.3</v>
      </c>
      <c r="S2709" t="n">
        <v>354.2</v>
      </c>
      <c r="T2709" t="n">
        <v>0</v>
      </c>
      <c r="U2709" t="n">
        <v>3403.38</v>
      </c>
      <c r="X2709" t="inlineStr">
        <is>
          <t>aafc-aac</t>
        </is>
      </c>
      <c r="Y2709" t="inlineStr">
        <is>
          <t>Agriculture and Agri-Food Canada | Agriculture et Agroalimentaire Canada</t>
        </is>
      </c>
    </row>
    <row r="2710">
      <c r="A2710" t="inlineStr">
        <is>
          <t>T-AAFC-2027-P04-006</t>
        </is>
      </c>
      <c r="B2710" t="inlineStr">
        <is>
          <t>MPSES</t>
        </is>
      </c>
      <c r="C2710" t="inlineStr">
        <is>
          <t>Chief of Staff</t>
        </is>
      </c>
      <c r="D2710" t="inlineStr">
        <is>
          <t>Chef de Cabinet</t>
        </is>
      </c>
      <c r="E2710" t="inlineStr">
        <is>
          <t>Guy Gallant</t>
        </is>
      </c>
      <c r="F2710" t="inlineStr">
        <is>
          <t>To support the Minister to attend meeting with the Potato Board</t>
        </is>
      </c>
      <c r="G2710" t="inlineStr">
        <is>
          <t>Assister le ministre à participer à la réunion avec le Conseil de la pomme de terre</t>
        </is>
      </c>
      <c r="H2710" s="1" t="n">
        <v>46210</v>
      </c>
      <c r="I2710" s="1" t="n">
        <v>46212</v>
      </c>
      <c r="J2710" t="inlineStr">
        <is>
          <t>Charlottetown, Prince Edward Island, Canada</t>
        </is>
      </c>
      <c r="K2710" t="inlineStr">
        <is>
          <t>Charlottetown, Île-du-Prince-Édouard, Canada</t>
        </is>
      </c>
      <c r="P2710" t="n">
        <v>1710.19</v>
      </c>
      <c r="Q2710" t="n">
        <v>30.01</v>
      </c>
      <c r="R2710" t="n">
        <v>428.16</v>
      </c>
      <c r="S2710" t="n">
        <v>409.25</v>
      </c>
      <c r="T2710" t="n">
        <v>0</v>
      </c>
      <c r="U2710" t="n">
        <v>2577.61</v>
      </c>
      <c r="X2710" t="inlineStr">
        <is>
          <t>aafc-aac</t>
        </is>
      </c>
      <c r="Y2710" t="inlineStr">
        <is>
          <t>Agriculture and Agri-Food Canada | Agriculture et Agroalimentaire Canada</t>
        </is>
      </c>
    </row>
    <row r="2711">
      <c r="A2711" t="inlineStr">
        <is>
          <t>T-AAFC-2027-P04-007</t>
        </is>
      </c>
      <c r="B2711" t="inlineStr">
        <is>
          <t>MPSES</t>
        </is>
      </c>
      <c r="C2711" t="inlineStr">
        <is>
          <t>Chief of Staff</t>
        </is>
      </c>
      <c r="D2711" t="inlineStr">
        <is>
          <t>Chef de Cabinet</t>
        </is>
      </c>
      <c r="E2711" t="inlineStr">
        <is>
          <t>Guy Gallant</t>
        </is>
      </c>
      <c r="F2711" t="inlineStr">
        <is>
          <t>To support the Minister attending various meetings and to attend the Federal-Provincial-Territorial Annual meeting</t>
        </is>
      </c>
      <c r="G2711" t="inlineStr">
        <is>
          <t>Soutenir la participation du ministre à des réunions et participer à la réunion annuelle fédérale-provinciale-territoriale</t>
        </is>
      </c>
      <c r="H2711" s="1" t="n">
        <v>46215</v>
      </c>
      <c r="I2711" s="1" t="n">
        <v>46221</v>
      </c>
      <c r="J2711" t="inlineStr">
        <is>
          <t>Charlottetown, Prince Edward Island, Canada</t>
        </is>
      </c>
      <c r="K2711" t="inlineStr">
        <is>
          <t>Charlottetown, Île-du-Prince-Édouard, Canada</t>
        </is>
      </c>
      <c r="L2711" t="inlineStr">
        <is>
          <t>Halifax, Nova Scotia, Canada</t>
        </is>
      </c>
      <c r="M2711" t="inlineStr">
        <is>
          <t>Halifax, Nouvelle-Écosse, Canada</t>
        </is>
      </c>
      <c r="P2711" t="n">
        <v>1285.22</v>
      </c>
      <c r="Q2711" t="n">
        <v>0</v>
      </c>
      <c r="R2711" t="n">
        <v>1175.48</v>
      </c>
      <c r="S2711" t="n">
        <v>667.2</v>
      </c>
      <c r="T2711" t="n">
        <v>0</v>
      </c>
      <c r="U2711" t="n">
        <v>3127.9</v>
      </c>
      <c r="X2711" t="inlineStr">
        <is>
          <t>aafc-aac</t>
        </is>
      </c>
      <c r="Y2711" t="inlineStr">
        <is>
          <t>Agriculture and Agri-Food Canada | Agriculture et Agroalimentaire Canada</t>
        </is>
      </c>
    </row>
    <row r="2712">
      <c r="A2712" t="inlineStr">
        <is>
          <t>T-AAFC-2027-P04-008</t>
        </is>
      </c>
      <c r="B2712" t="inlineStr">
        <is>
          <t>MPSES</t>
        </is>
      </c>
      <c r="C2712" t="inlineStr">
        <is>
          <t>Director of Policy</t>
        </is>
      </c>
      <c r="D2712" t="inlineStr">
        <is>
          <t>Directrice des politiques</t>
        </is>
      </c>
      <c r="E2712" t="inlineStr">
        <is>
          <t>Serena Smith</t>
        </is>
      </c>
      <c r="F2712" t="inlineStr">
        <is>
          <t>To support the Minister to attend an Outreach</t>
        </is>
      </c>
      <c r="G2712" t="inlineStr">
        <is>
          <t>Soutenir la participation du ministre lors d'une tournée de sensibilisation</t>
        </is>
      </c>
      <c r="H2712" s="1" t="n">
        <v>46197</v>
      </c>
      <c r="I2712" s="1" t="n">
        <v>46199</v>
      </c>
      <c r="J2712" t="inlineStr">
        <is>
          <t>Calgary, Alberta, Canada</t>
        </is>
      </c>
      <c r="K2712" t="inlineStr">
        <is>
          <t>Calgary, Alberta, Canada</t>
        </is>
      </c>
      <c r="L2712" t="inlineStr">
        <is>
          <t>Edmonton, Alberta, Canada</t>
        </is>
      </c>
      <c r="M2712" t="inlineStr">
        <is>
          <t>Edmonton, Alberta, Canada</t>
        </is>
      </c>
      <c r="P2712" t="n">
        <v>2121.78</v>
      </c>
      <c r="Q2712" t="n">
        <v>93.48</v>
      </c>
      <c r="R2712" t="n">
        <v>482.12</v>
      </c>
      <c r="S2712" t="n">
        <v>292.5</v>
      </c>
      <c r="T2712" t="n">
        <v>0</v>
      </c>
      <c r="U2712" t="n">
        <v>2989.88</v>
      </c>
      <c r="X2712" t="inlineStr">
        <is>
          <t>aafc-aac</t>
        </is>
      </c>
      <c r="Y2712" t="inlineStr">
        <is>
          <t>Agriculture and Agri-Food Canada | Agriculture et Agroalimentaire Canada</t>
        </is>
      </c>
    </row>
    <row r="2713">
      <c r="A2713" t="inlineStr">
        <is>
          <t>T-AAFC-2027-P04-009</t>
        </is>
      </c>
      <c r="B2713" t="inlineStr">
        <is>
          <t>MPSES</t>
        </is>
      </c>
      <c r="C2713" t="inlineStr">
        <is>
          <t>Director of Policy</t>
        </is>
      </c>
      <c r="D2713" t="inlineStr">
        <is>
          <t>Directrice des politiques</t>
        </is>
      </c>
      <c r="E2713" t="inlineStr">
        <is>
          <t>Serena Smith</t>
        </is>
      </c>
      <c r="F2713" t="inlineStr">
        <is>
          <t>To support the Minister to attend various meetings</t>
        </is>
      </c>
      <c r="G2713" t="inlineStr">
        <is>
          <t>Assister le ministre à participer à des réunions</t>
        </is>
      </c>
      <c r="H2713" s="1" t="n">
        <v>46202</v>
      </c>
      <c r="I2713" s="1" t="n">
        <v>46203</v>
      </c>
      <c r="J2713" t="inlineStr">
        <is>
          <t>Charlottetown, Prince Edward Island, Canada</t>
        </is>
      </c>
      <c r="K2713" t="inlineStr">
        <is>
          <t>Charlottetown, Île-du-Prince-Édouard, Canada</t>
        </is>
      </c>
      <c r="P2713" t="n">
        <v>659.76</v>
      </c>
      <c r="Q2713" t="n">
        <v>61.79</v>
      </c>
      <c r="R2713" t="n">
        <v>691.28</v>
      </c>
      <c r="S2713" t="n">
        <v>263</v>
      </c>
      <c r="T2713" t="n">
        <v>0</v>
      </c>
      <c r="U2713" t="n">
        <v>1675.83</v>
      </c>
      <c r="X2713" t="inlineStr">
        <is>
          <t>aafc-aac</t>
        </is>
      </c>
      <c r="Y2713" t="inlineStr">
        <is>
          <t>Agriculture and Agri-Food Canada | Agriculture et Agroalimentaire Canada</t>
        </is>
      </c>
    </row>
    <row r="2714">
      <c r="A2714" t="inlineStr">
        <is>
          <t>T-AAFC-2027-P04-010</t>
        </is>
      </c>
      <c r="B2714" t="inlineStr">
        <is>
          <t>MPSES</t>
        </is>
      </c>
      <c r="C2714" t="inlineStr">
        <is>
          <t>Director of Policy</t>
        </is>
      </c>
      <c r="D2714" t="inlineStr">
        <is>
          <t>Directrice des politiques</t>
        </is>
      </c>
      <c r="E2714" t="inlineStr">
        <is>
          <t>Serena Smith</t>
        </is>
      </c>
      <c r="F2714" t="inlineStr">
        <is>
          <t>To support the Minister to attend an Outreach and the Calgary Stampede</t>
        </is>
      </c>
      <c r="G2714" t="inlineStr">
        <is>
          <t>Soutenir la participation du ministre lors d'une tournée de sensibilisation et au Calgary Stampede</t>
        </is>
      </c>
      <c r="H2714" s="1" t="n">
        <v>46207</v>
      </c>
      <c r="I2714" s="1" t="n">
        <v>46215</v>
      </c>
      <c r="J2714" t="inlineStr">
        <is>
          <t>Calgary, Alberta, Canada</t>
        </is>
      </c>
      <c r="K2714" t="inlineStr">
        <is>
          <t>Calgary, Alberta, Canada</t>
        </is>
      </c>
      <c r="L2714" t="inlineStr">
        <is>
          <t>Banff, Alberta, Canada</t>
        </is>
      </c>
      <c r="M2714" t="inlineStr">
        <is>
          <t>Banff, Alberta, Canada</t>
        </is>
      </c>
      <c r="P2714" t="n">
        <v>2808.61</v>
      </c>
      <c r="Q2714" t="n">
        <v>351.29</v>
      </c>
      <c r="R2714" t="n">
        <v>6619.82</v>
      </c>
      <c r="S2714" t="n">
        <v>1017.75</v>
      </c>
      <c r="T2714" t="n">
        <v>0</v>
      </c>
      <c r="U2714" t="n">
        <v>10797.47</v>
      </c>
      <c r="X2714" t="inlineStr">
        <is>
          <t>aafc-aac</t>
        </is>
      </c>
      <c r="Y2714" t="inlineStr">
        <is>
          <t>Agriculture and Agri-Food Canada | Agriculture et Agroalimentaire Canada</t>
        </is>
      </c>
    </row>
    <row r="2715">
      <c r="A2715" t="inlineStr">
        <is>
          <t>T-AAFC-2027-P04-011</t>
        </is>
      </c>
      <c r="B2715" t="inlineStr">
        <is>
          <t>MPSES</t>
        </is>
      </c>
      <c r="C2715" t="inlineStr">
        <is>
          <t>Director of Policy</t>
        </is>
      </c>
      <c r="D2715" t="inlineStr">
        <is>
          <t>Directrice des politiques</t>
        </is>
      </c>
      <c r="E2715" t="inlineStr">
        <is>
          <t>Serena Smith</t>
        </is>
      </c>
      <c r="F2715" t="inlineStr">
        <is>
          <t>To support the Minister to attend meetings</t>
        </is>
      </c>
      <c r="G2715" t="inlineStr">
        <is>
          <t>Assister le ministre à participer a des réunions</t>
        </is>
      </c>
      <c r="H2715" s="1" t="n">
        <v>46191</v>
      </c>
      <c r="I2715" s="1" t="n">
        <v>46193</v>
      </c>
      <c r="J2715" t="inlineStr">
        <is>
          <t>Charlottetown, Prince Edward Island, Canada</t>
        </is>
      </c>
      <c r="K2715" t="inlineStr">
        <is>
          <t>Charlottetown, Île-du-Prince-Édouard, Canada</t>
        </is>
      </c>
      <c r="P2715" t="n">
        <v>1161.49</v>
      </c>
      <c r="Q2715" t="n">
        <v>52.43</v>
      </c>
      <c r="R2715" t="n">
        <v>0</v>
      </c>
      <c r="S2715" t="n">
        <v>0</v>
      </c>
      <c r="T2715" t="n">
        <v>0</v>
      </c>
      <c r="U2715" t="n">
        <v>1213.92</v>
      </c>
      <c r="X2715" t="inlineStr">
        <is>
          <t>aafc-aac</t>
        </is>
      </c>
      <c r="Y2715" t="inlineStr">
        <is>
          <t>Agriculture and Agri-Food Canada | Agriculture et Agroalimentaire Canada</t>
        </is>
      </c>
    </row>
    <row r="2716">
      <c r="A2716" t="inlineStr">
        <is>
          <t>T-AAFC-2027-P04-012</t>
        </is>
      </c>
      <c r="B2716" t="inlineStr">
        <is>
          <t>MPSES</t>
        </is>
      </c>
      <c r="C2716" t="inlineStr">
        <is>
          <t>Director of Communications</t>
        </is>
      </c>
      <c r="D2716" t="inlineStr">
        <is>
          <t>Directrice des communications</t>
        </is>
      </c>
      <c r="E2716" t="inlineStr">
        <is>
          <t>Jennica Klassen</t>
        </is>
      </c>
      <c r="F2716" t="inlineStr">
        <is>
          <t>To support the Minister attending various meetings and to attend the Federal-Provincial-Territorial Annual meeting</t>
        </is>
      </c>
      <c r="G2716" t="inlineStr">
        <is>
          <t>Soutenir la participation du ministre à des réunions et participer à la réunion annuelle fédérale-provinciale-territoriale</t>
        </is>
      </c>
      <c r="H2716" s="1" t="n">
        <v>46216</v>
      </c>
      <c r="I2716" s="1" t="n">
        <v>46222</v>
      </c>
      <c r="J2716" t="inlineStr">
        <is>
          <t>Charlottetown, Prince Edward Island, Canada</t>
        </is>
      </c>
      <c r="K2716" t="inlineStr">
        <is>
          <t>Charlottetown, Île-du-Prince-Édouard, Canada</t>
        </is>
      </c>
      <c r="L2716" t="inlineStr">
        <is>
          <t>Moncton, New Brunswick, Canada</t>
        </is>
      </c>
      <c r="M2716" t="inlineStr">
        <is>
          <t>Moncton, Nouveau-Brunswick, Canada</t>
        </is>
      </c>
      <c r="N2716" t="inlineStr">
        <is>
          <t>Halifax, Nova Scotia, Canada</t>
        </is>
      </c>
      <c r="O2716" t="inlineStr">
        <is>
          <t>Halifax, Nouvelle-Écosse, Canada</t>
        </is>
      </c>
      <c r="P2716" t="n">
        <v>1216.52</v>
      </c>
      <c r="Q2716" t="n">
        <v>1152.92</v>
      </c>
      <c r="R2716" t="n">
        <v>1949.28</v>
      </c>
      <c r="S2716" t="n">
        <v>810.75</v>
      </c>
      <c r="T2716" t="n">
        <v>0</v>
      </c>
      <c r="U2716" t="n">
        <v>5129.47</v>
      </c>
      <c r="X2716" t="inlineStr">
        <is>
          <t>aafc-aac</t>
        </is>
      </c>
      <c r="Y2716" t="inlineStr">
        <is>
          <t>Agriculture and Agri-Food Canada | Agriculture et Agroalimentaire Canada</t>
        </is>
      </c>
    </row>
    <row r="2717">
      <c r="A2717" t="inlineStr">
        <is>
          <t>T-AAFC-2027-P04-013</t>
        </is>
      </c>
      <c r="B2717" t="inlineStr">
        <is>
          <t>MPSES</t>
        </is>
      </c>
      <c r="C2717" t="inlineStr">
        <is>
          <t>Policy and Regional Advisor for British Columbia</t>
        </is>
      </c>
      <c r="D2717" t="inlineStr">
        <is>
          <t>Conseillère politique et régionale pour la Colombie-Britanique</t>
        </is>
      </c>
      <c r="E2717" t="inlineStr">
        <is>
          <t>Olwyn Parkinson</t>
        </is>
      </c>
      <c r="F2717" t="inlineStr">
        <is>
          <t>To support the Minister on an Outreach</t>
        </is>
      </c>
      <c r="G2717" t="inlineStr">
        <is>
          <t xml:space="preserve">Soutenir le ministre lors d'une tournée de sensibilisation </t>
        </is>
      </c>
      <c r="H2717" s="1" t="n">
        <v>46204</v>
      </c>
      <c r="I2717" s="1" t="n">
        <v>46207</v>
      </c>
      <c r="J2717" t="inlineStr">
        <is>
          <t>Vancouver, British Columbia, Canada</t>
        </is>
      </c>
      <c r="K2717" t="inlineStr">
        <is>
          <t>Vancouver, Colombie-Britannique, Canada</t>
        </is>
      </c>
      <c r="L2717" t="inlineStr">
        <is>
          <t>Kelowna, British Columbia, Canada</t>
        </is>
      </c>
      <c r="M2717" t="inlineStr">
        <is>
          <t>Kelowna, Colombie-Britannique, Canada</t>
        </is>
      </c>
      <c r="P2717" t="n">
        <v>1355.9</v>
      </c>
      <c r="Q2717" t="n">
        <v>100.41</v>
      </c>
      <c r="R2717" t="n">
        <v>1731.34</v>
      </c>
      <c r="S2717" t="n">
        <v>413.75</v>
      </c>
      <c r="T2717" t="n">
        <v>0</v>
      </c>
      <c r="U2717" t="n">
        <v>3601.4</v>
      </c>
      <c r="X2717" t="inlineStr">
        <is>
          <t>aafc-aac</t>
        </is>
      </c>
      <c r="Y2717" t="inlineStr">
        <is>
          <t>Agriculture and Agri-Food Canada | Agriculture et Agroalimentaire Canada</t>
        </is>
      </c>
    </row>
    <row r="2718">
      <c r="A2718" t="inlineStr">
        <is>
          <t>T-AAFC-2027-P04-014</t>
        </is>
      </c>
      <c r="B2718" t="inlineStr">
        <is>
          <t>MPSES</t>
        </is>
      </c>
      <c r="C2718" t="inlineStr">
        <is>
          <t>Deputy Minister</t>
        </is>
      </c>
      <c r="D2718" t="inlineStr">
        <is>
          <t>Sous-Ministre</t>
        </is>
      </c>
      <c r="E2718" t="inlineStr">
        <is>
          <t>Lawrence Hanson</t>
        </is>
      </c>
      <c r="F2718" t="inlineStr">
        <is>
          <t>To attend a regional Outreach</t>
        </is>
      </c>
      <c r="G2718" t="inlineStr">
        <is>
          <t>Participer à une tournée de sensibilisation régionale</t>
        </is>
      </c>
      <c r="H2718" s="1" t="n">
        <v>46120</v>
      </c>
      <c r="I2718" s="1" t="n">
        <v>46124</v>
      </c>
      <c r="J2718" t="inlineStr">
        <is>
          <t>Halifax, Nova Scotia, Canada</t>
        </is>
      </c>
      <c r="K2718" t="inlineStr">
        <is>
          <t>Halifax, Nouvelle-Écosse, Canada</t>
        </is>
      </c>
      <c r="P2718" t="n">
        <v>892.33</v>
      </c>
      <c r="Q2718" t="n">
        <v>0</v>
      </c>
      <c r="R2718" t="n">
        <v>711.5599999999999</v>
      </c>
      <c r="S2718" t="n">
        <v>379.2</v>
      </c>
      <c r="T2718" t="n">
        <v>0</v>
      </c>
      <c r="U2718" t="n">
        <v>1983.09</v>
      </c>
      <c r="X2718" t="inlineStr">
        <is>
          <t>aafc-aac</t>
        </is>
      </c>
      <c r="Y2718" t="inlineStr">
        <is>
          <t>Agriculture and Agri-Food Canada | Agriculture et Agroalimentaire Canada</t>
        </is>
      </c>
    </row>
    <row r="2719">
      <c r="A2719" t="inlineStr">
        <is>
          <t>T-AAFC-2027-P04-015</t>
        </is>
      </c>
      <c r="B2719" t="inlineStr">
        <is>
          <t>MPSES</t>
        </is>
      </c>
      <c r="C2719" t="inlineStr">
        <is>
          <t>Deputy Minister</t>
        </is>
      </c>
      <c r="D2719" t="inlineStr">
        <is>
          <t>Sous-Ministre</t>
        </is>
      </c>
      <c r="E2719" t="inlineStr">
        <is>
          <t>Lawrence Hanson</t>
        </is>
      </c>
      <c r="F2719" t="inlineStr">
        <is>
          <t>To support the Minister to attend an Outreach</t>
        </is>
      </c>
      <c r="G2719" t="inlineStr">
        <is>
          <t>Soutenir la participation du ministre lors d'une tournée de sensibilisation</t>
        </is>
      </c>
      <c r="H2719" s="1" t="n">
        <v>46197</v>
      </c>
      <c r="I2719" s="1" t="n">
        <v>46199</v>
      </c>
      <c r="J2719" t="inlineStr">
        <is>
          <t>Calgary, Alberta, Canada</t>
        </is>
      </c>
      <c r="K2719" t="inlineStr">
        <is>
          <t>Calgary, Alberta, Canada</t>
        </is>
      </c>
      <c r="L2719" t="inlineStr">
        <is>
          <t>Edmonton, Alberta, Canada</t>
        </is>
      </c>
      <c r="M2719" t="inlineStr">
        <is>
          <t>Edmonton, Alberta, Canada</t>
        </is>
      </c>
      <c r="P2719" t="n">
        <v>2335.32</v>
      </c>
      <c r="Q2719" t="n">
        <v>0</v>
      </c>
      <c r="R2719" t="n">
        <v>722.71</v>
      </c>
      <c r="S2719" t="n">
        <v>349.15</v>
      </c>
      <c r="T2719" t="n">
        <v>0</v>
      </c>
      <c r="U2719" t="n">
        <v>3407.18</v>
      </c>
      <c r="X2719" t="inlineStr">
        <is>
          <t>aafc-aac</t>
        </is>
      </c>
      <c r="Y2719" t="inlineStr">
        <is>
          <t>Agriculture and Agri-Food Canada | Agriculture et Agroalimentaire Canada</t>
        </is>
      </c>
    </row>
    <row r="2720">
      <c r="A2720" t="inlineStr">
        <is>
          <t>T-AAFC-2027-P04-016</t>
        </is>
      </c>
      <c r="B2720" t="inlineStr">
        <is>
          <t>MPSES</t>
        </is>
      </c>
      <c r="C2720" t="inlineStr">
        <is>
          <t>Deputy Minister</t>
        </is>
      </c>
      <c r="D2720" t="inlineStr">
        <is>
          <t>Sous-Ministre</t>
        </is>
      </c>
      <c r="E2720" t="inlineStr">
        <is>
          <t>Lawrence Hanson</t>
        </is>
      </c>
      <c r="F2720" t="inlineStr">
        <is>
          <t>To support the Minister to attend meetings</t>
        </is>
      </c>
      <c r="G2720" t="inlineStr">
        <is>
          <t>Assister le ministre à participer à des réunions</t>
        </is>
      </c>
      <c r="H2720" s="1" t="n">
        <v>46202</v>
      </c>
      <c r="I2720" s="1" t="n">
        <v>46204</v>
      </c>
      <c r="J2720" t="inlineStr">
        <is>
          <t>Charlottetown, Prince Edward Island, Canada</t>
        </is>
      </c>
      <c r="K2720" t="inlineStr">
        <is>
          <t>Charlottetown, Île-du-Prince-Édouard, Canada</t>
        </is>
      </c>
      <c r="P2720" t="n">
        <v>1690.3</v>
      </c>
      <c r="Q2720" t="n">
        <v>0</v>
      </c>
      <c r="R2720" t="n">
        <v>502.32</v>
      </c>
      <c r="S2720" t="n">
        <v>257.95</v>
      </c>
      <c r="T2720" t="n">
        <v>0</v>
      </c>
      <c r="U2720" t="n">
        <v>2450.57</v>
      </c>
      <c r="X2720" t="inlineStr">
        <is>
          <t>aafc-aac</t>
        </is>
      </c>
      <c r="Y2720" t="inlineStr">
        <is>
          <t>Agriculture and Agri-Food Canada | Agriculture et Agroalimentaire Canada</t>
        </is>
      </c>
    </row>
    <row r="2721">
      <c r="A2721" t="inlineStr">
        <is>
          <t>T-AAFC-2027-P04-017</t>
        </is>
      </c>
      <c r="B2721" t="inlineStr">
        <is>
          <t>MPSES</t>
        </is>
      </c>
      <c r="C2721" t="inlineStr">
        <is>
          <t>Deputy Minister</t>
        </is>
      </c>
      <c r="D2721" t="inlineStr">
        <is>
          <t>Sous-Ministre</t>
        </is>
      </c>
      <c r="E2721" t="inlineStr">
        <is>
          <t>Lawrence Hanson</t>
        </is>
      </c>
      <c r="F2721" t="inlineStr">
        <is>
          <t>To support the Minister to attend an Outreach and the Calgary Stampede</t>
        </is>
      </c>
      <c r="G2721" t="inlineStr">
        <is>
          <t>Soutenir la participation du ministre lors d'une tournée de sensibilisation et au Calgary Stampede</t>
        </is>
      </c>
      <c r="H2721" s="1" t="n">
        <v>46207</v>
      </c>
      <c r="I2721" s="1" t="n">
        <v>46215</v>
      </c>
      <c r="J2721" t="inlineStr">
        <is>
          <t>Calgary, Alberta, Canada</t>
        </is>
      </c>
      <c r="K2721" t="inlineStr">
        <is>
          <t>Calgary, Alberta, Canada</t>
        </is>
      </c>
      <c r="L2721" t="inlineStr">
        <is>
          <t>Banff, Alberta, Canada</t>
        </is>
      </c>
      <c r="M2721" t="inlineStr">
        <is>
          <t>Banff, Alberta, Canada</t>
        </is>
      </c>
      <c r="P2721" t="n">
        <v>1181.96</v>
      </c>
      <c r="Q2721" t="n">
        <v>48</v>
      </c>
      <c r="R2721" t="n">
        <v>5924.18</v>
      </c>
      <c r="S2721" t="n">
        <v>689.5</v>
      </c>
      <c r="T2721" t="n">
        <v>0</v>
      </c>
      <c r="U2721" t="n">
        <v>7843.64</v>
      </c>
      <c r="X2721" t="inlineStr">
        <is>
          <t>aafc-aac</t>
        </is>
      </c>
      <c r="Y2721" t="inlineStr">
        <is>
          <t>Agriculture and Agri-Food Canada | Agriculture et Agroalimentaire Canada</t>
        </is>
      </c>
    </row>
    <row r="2722">
      <c r="A2722" t="inlineStr">
        <is>
          <t>T-AAFC-2027-P04-018</t>
        </is>
      </c>
      <c r="B2722" t="inlineStr">
        <is>
          <t>MPSES</t>
        </is>
      </c>
      <c r="C2722" t="inlineStr">
        <is>
          <t>Deputy Minister</t>
        </is>
      </c>
      <c r="D2722" t="inlineStr">
        <is>
          <t>Sous-Ministre</t>
        </is>
      </c>
      <c r="E2722" t="inlineStr">
        <is>
          <t>Lawrence Hanson</t>
        </is>
      </c>
      <c r="F2722" t="inlineStr">
        <is>
          <t>To support the Minister attending various meetings and to attend the Federal-Provincial-Territorial Annual meeting</t>
        </is>
      </c>
      <c r="G2722" t="inlineStr">
        <is>
          <t>Soutenir la participation du ministre à des réunions et participer à la réunion annuelle fédérale-provinciale-territoriale</t>
        </is>
      </c>
      <c r="H2722" s="1" t="n">
        <v>46217</v>
      </c>
      <c r="I2722" s="1" t="n">
        <v>46220</v>
      </c>
      <c r="J2722" t="inlineStr">
        <is>
          <t>Charlottetown, Prince Edward Island, Canada</t>
        </is>
      </c>
      <c r="K2722" t="inlineStr">
        <is>
          <t>Charlottetown, Île-du-Prince-Édouard, Canada</t>
        </is>
      </c>
      <c r="L2722" t="inlineStr">
        <is>
          <t>Halifax, Nova Scotia, Canada</t>
        </is>
      </c>
      <c r="M2722" t="inlineStr">
        <is>
          <t>Halifax, Nouvelle-Écosse, Canada</t>
        </is>
      </c>
      <c r="P2722" t="n">
        <v>977.51</v>
      </c>
      <c r="Q2722" t="n">
        <v>54.16</v>
      </c>
      <c r="R2722" t="n">
        <v>912.36</v>
      </c>
      <c r="S2722" t="n">
        <v>315.15</v>
      </c>
      <c r="T2722" t="n">
        <v>0</v>
      </c>
      <c r="U2722" t="n">
        <v>2259.18</v>
      </c>
      <c r="X2722" t="inlineStr">
        <is>
          <t>aafc-aac</t>
        </is>
      </c>
      <c r="Y2722" t="inlineStr">
        <is>
          <t>Agriculture and Agri-Food Canada | Agriculture et Agroalimentaire Canada</t>
        </is>
      </c>
    </row>
    <row r="2723">
      <c r="A2723" t="inlineStr">
        <is>
          <t>T-AAFC-2027-P04-019</t>
        </is>
      </c>
      <c r="B2723" t="inlineStr">
        <is>
          <t>SLE</t>
        </is>
      </c>
      <c r="C2723" t="inlineStr">
        <is>
          <t>Assistant Deputy Minister, Science and Technology Branch</t>
        </is>
      </c>
      <c r="D2723" t="inlineStr">
        <is>
          <t>Sous-ministre adjointe, Direction générale des sciences et de la technologie</t>
        </is>
      </c>
      <c r="E2723" t="inlineStr">
        <is>
          <t>Arran McPherson</t>
        </is>
      </c>
      <c r="F2723" t="inlineStr">
        <is>
          <t>To attend Annual Tetrapartite meeting of the Heads of National Agriculture Research organization from Canada, United State, France and the United Kingdom</t>
        </is>
      </c>
      <c r="G2723" t="inlineStr">
        <is>
          <t xml:space="preserve">Participer à la réunion annuelle tétrapartite des chefs des organisations nationales de recherche agricole du Canada, des États-Unis, de la France et du Royaume-Uni. </t>
        </is>
      </c>
      <c r="H2723" s="1" t="n">
        <v>46186</v>
      </c>
      <c r="I2723" s="1" t="n">
        <v>46191</v>
      </c>
      <c r="J2723" t="inlineStr">
        <is>
          <t>Norwich, England, United Kingdom</t>
        </is>
      </c>
      <c r="K2723" t="inlineStr">
        <is>
          <t>Norwich, Angleterre, Royaume-Uni</t>
        </is>
      </c>
      <c r="P2723" t="n">
        <v>4027.87</v>
      </c>
      <c r="Q2723" t="n">
        <v>51.52</v>
      </c>
      <c r="R2723" t="n">
        <v>1083.43</v>
      </c>
      <c r="S2723" t="n">
        <v>480.12</v>
      </c>
      <c r="T2723" t="n">
        <v>38.83</v>
      </c>
      <c r="U2723" t="n">
        <v>5681.77</v>
      </c>
      <c r="X2723" t="inlineStr">
        <is>
          <t>aafc-aac</t>
        </is>
      </c>
      <c r="Y2723" t="inlineStr">
        <is>
          <t>Agriculture and Agri-Food Canada | Agriculture et Agroalimentaire Canada</t>
        </is>
      </c>
    </row>
    <row r="2724">
      <c r="A2724" t="inlineStr">
        <is>
          <t>T-AAFC-2027-P04-020</t>
        </is>
      </c>
      <c r="B2724" t="inlineStr">
        <is>
          <t>SLE</t>
        </is>
      </c>
      <c r="C2724" t="inlineStr">
        <is>
          <t>Assistant Deputy Minister, International Affairs Branch</t>
        </is>
      </c>
      <c r="D2724" t="inlineStr">
        <is>
          <t>Sous-ministre adjointe, Direction générale des affaires internationales</t>
        </is>
      </c>
      <c r="E2724" t="inlineStr">
        <is>
          <t>Chris Moran</t>
        </is>
      </c>
      <c r="F2724" t="inlineStr">
        <is>
          <t>To participate in International Engagement Strategy activities</t>
        </is>
      </c>
      <c r="G2724" t="inlineStr">
        <is>
          <t>Participer aux activités liées à la stratégie d’engagement international</t>
        </is>
      </c>
      <c r="H2724" s="1" t="n">
        <v>46194</v>
      </c>
      <c r="I2724" s="1" t="n">
        <v>46196</v>
      </c>
      <c r="J2724" t="inlineStr">
        <is>
          <t>Geneva, Switzerland</t>
        </is>
      </c>
      <c r="K2724" t="inlineStr">
        <is>
          <t>Genève, Suisse</t>
        </is>
      </c>
      <c r="P2724" t="n">
        <v>4611.73</v>
      </c>
      <c r="Q2724" t="n">
        <v>39.29</v>
      </c>
      <c r="R2724" t="n">
        <v>580.54</v>
      </c>
      <c r="S2724" t="n">
        <v>509.06</v>
      </c>
      <c r="T2724" t="n">
        <v>0</v>
      </c>
      <c r="U2724" t="n">
        <v>5740.62</v>
      </c>
      <c r="X2724" t="inlineStr">
        <is>
          <t>aafc-aac</t>
        </is>
      </c>
      <c r="Y2724" t="inlineStr">
        <is>
          <t>Agriculture and Agri-Food Canada | Agriculture et Agroalimentaire Canada</t>
        </is>
      </c>
    </row>
    <row r="2725">
      <c r="A2725" t="inlineStr">
        <is>
          <t>T-AAFC-2027-P04-021</t>
        </is>
      </c>
      <c r="B2725" t="inlineStr">
        <is>
          <t>SLE</t>
        </is>
      </c>
      <c r="C2725" t="inlineStr">
        <is>
          <t xml:space="preserve">Assistant Deputy Minister, Public Affairs Branch </t>
        </is>
      </c>
      <c r="D2725" t="inlineStr">
        <is>
          <t xml:space="preserve">Sous-ministre adjointe, Direction générale des affaires publiques </t>
        </is>
      </c>
      <c r="E2725" t="inlineStr">
        <is>
          <t>Mary Dila</t>
        </is>
      </c>
      <c r="F2725" t="inlineStr">
        <is>
          <t>To attend the annual conference of Federal, Provincial and Territorial (FPT) Ministers of Agriculture</t>
        </is>
      </c>
      <c r="G2725" t="inlineStr">
        <is>
          <t>Assister à la conférence annuelle des ministres fédéral, provinciaux at territoriaux de l'Agriculture</t>
        </is>
      </c>
      <c r="H2725" s="1" t="n">
        <v>46217</v>
      </c>
      <c r="I2725" s="1" t="n">
        <v>46221</v>
      </c>
      <c r="J2725" t="inlineStr">
        <is>
          <t>Halifax, Nova Scotia, Canada</t>
        </is>
      </c>
      <c r="K2725" t="inlineStr">
        <is>
          <t>Halifax, Nouvelle-Écosse, Canada</t>
        </is>
      </c>
      <c r="P2725" t="n">
        <v>618.7</v>
      </c>
      <c r="Q2725" t="n">
        <v>141.96</v>
      </c>
      <c r="R2725" t="n">
        <v>1216.48</v>
      </c>
      <c r="S2725" t="n">
        <v>458.7</v>
      </c>
      <c r="T2725" t="n">
        <v>0</v>
      </c>
      <c r="U2725" t="n">
        <v>2435.84</v>
      </c>
      <c r="X2725" t="inlineStr">
        <is>
          <t>aafc-aac</t>
        </is>
      </c>
      <c r="Y2725" t="inlineStr">
        <is>
          <t>Agriculture and Agri-Food Canada | Agriculture et Agroalimentaire Canada</t>
        </is>
      </c>
    </row>
    <row r="2726">
      <c r="A2726" t="inlineStr">
        <is>
          <t>T-AAFC-2027-P04-022</t>
        </is>
      </c>
      <c r="B2726" t="inlineStr">
        <is>
          <t>SLE</t>
        </is>
      </c>
      <c r="C2726" t="inlineStr">
        <is>
          <t>Assistant Deputy Minister, Strategic Policy Branch</t>
        </is>
      </c>
      <c r="D2726" t="inlineStr">
        <is>
          <t>Sous-ministre adjointe, Direction générale des politiques stratégiques</t>
        </is>
      </c>
      <c r="E2726" t="inlineStr">
        <is>
          <t>Shannon Nix</t>
        </is>
      </c>
      <c r="F2726" t="inlineStr">
        <is>
          <t>To attend Deputy Minister and Ministerial meetings</t>
        </is>
      </c>
      <c r="G2726" t="inlineStr">
        <is>
          <t>Assister aux réunions du sous-ministre et des réunions ministérielles</t>
        </is>
      </c>
      <c r="H2726" s="1" t="n">
        <v>46181</v>
      </c>
      <c r="I2726" s="1" t="n">
        <v>46188</v>
      </c>
      <c r="J2726" t="inlineStr">
        <is>
          <t>Ottawa, Ontario, Canada</t>
        </is>
      </c>
      <c r="K2726" t="inlineStr">
        <is>
          <t>Ottawa, Ontario, Canada</t>
        </is>
      </c>
      <c r="P2726" t="n">
        <v>0</v>
      </c>
      <c r="Q2726" t="n">
        <v>27.3</v>
      </c>
      <c r="R2726" t="n">
        <v>0</v>
      </c>
      <c r="S2726" t="n">
        <v>0</v>
      </c>
      <c r="T2726" t="n">
        <v>0</v>
      </c>
      <c r="U2726" t="n">
        <v>27.3</v>
      </c>
      <c r="X2726" t="inlineStr">
        <is>
          <t>aafc-aac</t>
        </is>
      </c>
      <c r="Y2726" t="inlineStr">
        <is>
          <t>Agriculture and Agri-Food Canada | Agriculture et Agroalimentaire Canada</t>
        </is>
      </c>
    </row>
    <row r="2727">
      <c r="A2727" t="inlineStr">
        <is>
          <t>T-AAFC-2027-P04-023</t>
        </is>
      </c>
      <c r="B2727" t="inlineStr">
        <is>
          <t>SLE</t>
        </is>
      </c>
      <c r="C2727" t="inlineStr">
        <is>
          <t>Assistant Deputy Minister, Strategic Policy Branch</t>
        </is>
      </c>
      <c r="D2727" t="inlineStr">
        <is>
          <t>Sous-ministre adjointe, Direction générale des politiques stratégiques</t>
        </is>
      </c>
      <c r="E2727" t="inlineStr">
        <is>
          <t>Shannon Nix</t>
        </is>
      </c>
      <c r="F2727" t="inlineStr">
        <is>
          <t>To attend the annual conference of Federal, Provincial and Territorial (FPT) Ministers of Agriculture</t>
        </is>
      </c>
      <c r="G2727" t="inlineStr">
        <is>
          <t>Assister à la conférence annuelle des ministres fédéral, provinciaux at territoriaux de l'Agriculture</t>
        </is>
      </c>
      <c r="H2727" s="1" t="n">
        <v>46217</v>
      </c>
      <c r="I2727" s="1" t="n">
        <v>46220</v>
      </c>
      <c r="J2727" t="inlineStr">
        <is>
          <t>Halifax, Nova Scotia, Canada</t>
        </is>
      </c>
      <c r="K2727" t="inlineStr">
        <is>
          <t>Halifax, Nouvelle-Écosse, Canada</t>
        </is>
      </c>
      <c r="P2727" t="n">
        <v>1077.03</v>
      </c>
      <c r="Q2727" t="n">
        <v>205.77</v>
      </c>
      <c r="R2727" t="n">
        <v>912.36</v>
      </c>
      <c r="S2727" t="n">
        <v>404.2</v>
      </c>
      <c r="T2727" t="n">
        <v>0</v>
      </c>
      <c r="U2727" t="n">
        <v>2599.36</v>
      </c>
      <c r="X2727" t="inlineStr">
        <is>
          <t>aafc-aac</t>
        </is>
      </c>
      <c r="Y2727" t="inlineStr">
        <is>
          <t>Agriculture and Agri-Food Canada | Agriculture et Agroalimentaire Canada</t>
        </is>
      </c>
    </row>
    <row r="2728">
      <c r="A2728" t="inlineStr">
        <is>
          <t>T-AAFC-2027-P04-024</t>
        </is>
      </c>
      <c r="B2728" t="inlineStr">
        <is>
          <t>SLE</t>
        </is>
      </c>
      <c r="C2728" t="inlineStr">
        <is>
          <t>Assistant Deputy Minister, Market and Industry Services Branch</t>
        </is>
      </c>
      <c r="D2728" t="inlineStr">
        <is>
          <t>Sous-ministre adjoint, Direction générale des services à l'industrie et aux marchés</t>
        </is>
      </c>
      <c r="E2728" t="inlineStr">
        <is>
          <t>Tom Rosser</t>
        </is>
      </c>
      <c r="F2728" t="inlineStr">
        <is>
          <t>To participate as a panelist at the the Center for Strategic and International Studies (CSIS)</t>
        </is>
      </c>
      <c r="G2728" t="inlineStr">
        <is>
          <t>Participer à titre de panéliste au Centre d'études stratégiques et internationales (CESI)</t>
        </is>
      </c>
      <c r="H2728" s="1" t="n">
        <v>46195</v>
      </c>
      <c r="I2728" s="1" t="n">
        <v>46197</v>
      </c>
      <c r="J2728" t="inlineStr">
        <is>
          <t>Washington, District of Columbia, United States</t>
        </is>
      </c>
      <c r="K2728" t="inlineStr">
        <is>
          <t>Washington, District de Columbia, États-Unis</t>
        </is>
      </c>
      <c r="P2728" t="n">
        <v>1439.3</v>
      </c>
      <c r="Q2728" t="n">
        <v>180.24</v>
      </c>
      <c r="R2728" t="n">
        <v>1735.14</v>
      </c>
      <c r="S2728" t="n">
        <v>441.01</v>
      </c>
      <c r="T2728" t="n">
        <v>0</v>
      </c>
      <c r="U2728" t="n">
        <v>3795.69</v>
      </c>
      <c r="X2728" t="inlineStr">
        <is>
          <t>aafc-aac</t>
        </is>
      </c>
      <c r="Y2728" t="inlineStr">
        <is>
          <t>Agriculture and Agri-Food Canada | Agriculture et Agroalimentaire Canada</t>
        </is>
      </c>
    </row>
    <row r="2729">
      <c r="A2729" t="inlineStr">
        <is>
          <t>T-AAFC-2027-P04-025</t>
        </is>
      </c>
      <c r="B2729" t="inlineStr">
        <is>
          <t>SLE</t>
        </is>
      </c>
      <c r="C2729" t="inlineStr">
        <is>
          <t>Director General, Human Resources Branch</t>
        </is>
      </c>
      <c r="D2729" t="inlineStr">
        <is>
          <t>Directeur général, Direction générale des ressources humaines</t>
        </is>
      </c>
      <c r="E2729" t="inlineStr">
        <is>
          <t>Alec Nicholls</t>
        </is>
      </c>
      <c r="F2729" t="inlineStr">
        <is>
          <t>To attend meetings</t>
        </is>
      </c>
      <c r="G2729" t="inlineStr">
        <is>
          <t>Assister à des réunions</t>
        </is>
      </c>
      <c r="H2729" s="1" t="n">
        <v>46183</v>
      </c>
      <c r="I2729" s="1" t="n">
        <v>46184</v>
      </c>
      <c r="J2729" t="inlineStr">
        <is>
          <t>Winnipeg, Manitoba, Canada</t>
        </is>
      </c>
      <c r="K2729" t="inlineStr">
        <is>
          <t>Winnipeg, Manitoba, Canada</t>
        </is>
      </c>
      <c r="P2729" t="n">
        <v>448.67</v>
      </c>
      <c r="Q2729" t="n">
        <v>106.25</v>
      </c>
      <c r="R2729" t="n">
        <v>667.3200000000001</v>
      </c>
      <c r="S2729" t="n">
        <v>233.5</v>
      </c>
      <c r="T2729" t="n">
        <v>0</v>
      </c>
      <c r="U2729" t="n">
        <v>1455.74</v>
      </c>
      <c r="X2729" t="inlineStr">
        <is>
          <t>aafc-aac</t>
        </is>
      </c>
      <c r="Y2729" t="inlineStr">
        <is>
          <t>Agriculture and Agri-Food Canada | Agriculture et Agroalimentaire Canada</t>
        </is>
      </c>
    </row>
    <row r="2730">
      <c r="A2730" t="inlineStr">
        <is>
          <t>T-2017-Q3-00054</t>
        </is>
      </c>
      <c r="B2730" t="inlineStr">
        <is>
          <t>SLE</t>
        </is>
      </c>
      <c r="C2730" t="inlineStr">
        <is>
          <t>Vice-President, Policy and Programs</t>
        </is>
      </c>
      <c r="D2730" t="inlineStr">
        <is>
          <t>Vice-président, Politiques et Programmes</t>
        </is>
      </c>
      <c r="E2730" t="inlineStr">
        <is>
          <t>Daryell Nowlan</t>
        </is>
      </c>
      <c r="F2730" t="inlineStr">
        <is>
          <t>Meetings with Government of Canada officials</t>
        </is>
      </c>
      <c r="G2730" t="inlineStr">
        <is>
          <t>Réunions avec des fonctionnaires du gouvernement du Canada</t>
        </is>
      </c>
      <c r="H2730" s="1" t="n">
        <v>42697</v>
      </c>
      <c r="I2730" s="1" t="n">
        <v>42698</v>
      </c>
      <c r="J2730" t="inlineStr">
        <is>
          <t>Ottawa, Ontario</t>
        </is>
      </c>
      <c r="K2730" t="inlineStr">
        <is>
          <t>Ottawa (Ontario)</t>
        </is>
      </c>
      <c r="P2730" t="n">
        <v>694.6</v>
      </c>
      <c r="Q2730" t="n">
        <v>97.26000000000001</v>
      </c>
      <c r="R2730" t="n">
        <v>231.62</v>
      </c>
      <c r="S2730" t="n">
        <v>114.65</v>
      </c>
      <c r="T2730" t="n">
        <v>0</v>
      </c>
      <c r="U2730" t="n">
        <v>1138.13</v>
      </c>
      <c r="X2730" t="inlineStr">
        <is>
          <t>acoa-apeca</t>
        </is>
      </c>
      <c r="Y2730" t="inlineStr">
        <is>
          <t>Atlantic Canada Opportunities Agency | Agence de promotion économique du Canada atlantique</t>
        </is>
      </c>
    </row>
    <row r="2731">
      <c r="A2731" t="inlineStr">
        <is>
          <t>T-2017-Q3-00050</t>
        </is>
      </c>
      <c r="B2731" t="inlineStr">
        <is>
          <t>SLE</t>
        </is>
      </c>
      <c r="C2731" t="inlineStr">
        <is>
          <t>Vice-President, Prince Edward Island</t>
        </is>
      </c>
      <c r="D2731" t="inlineStr">
        <is>
          <t>Vice-président, Île-du-Prince-Édouard</t>
        </is>
      </c>
      <c r="E2731" t="inlineStr">
        <is>
          <t>Patrick Dorsey</t>
        </is>
      </c>
      <c r="F2731" t="inlineStr">
        <is>
          <t>Meetings with Government of Canada officials and provincial officials</t>
        </is>
      </c>
      <c r="G2731" t="inlineStr">
        <is>
          <t xml:space="preserve">Réunions avec des fonctionnaires des gouvernements fédéral et provincial </t>
        </is>
      </c>
      <c r="H2731" s="1" t="n">
        <v>42689</v>
      </c>
      <c r="I2731" s="1" t="n">
        <v>42691</v>
      </c>
      <c r="J2731" t="inlineStr">
        <is>
          <t>Ottawa, Ontario</t>
        </is>
      </c>
      <c r="K2731" t="inlineStr">
        <is>
          <t>Ottawa (Ontario)</t>
        </is>
      </c>
      <c r="P2731" t="n">
        <v>763.38</v>
      </c>
      <c r="Q2731" t="n">
        <v>130.1</v>
      </c>
      <c r="R2731" t="n">
        <v>382.92</v>
      </c>
      <c r="S2731" t="n">
        <v>240.05</v>
      </c>
      <c r="T2731" t="n">
        <v>0</v>
      </c>
      <c r="U2731" t="n">
        <v>1516.45</v>
      </c>
      <c r="X2731" t="inlineStr">
        <is>
          <t>acoa-apeca</t>
        </is>
      </c>
      <c r="Y2731" t="inlineStr">
        <is>
          <t>Atlantic Canada Opportunities Agency | Agence de promotion économique du Canada atlantique</t>
        </is>
      </c>
    </row>
    <row r="2732">
      <c r="A2732" t="inlineStr">
        <is>
          <t>T-2017-Q3-00049</t>
        </is>
      </c>
      <c r="B2732" t="inlineStr">
        <is>
          <t>SLE</t>
        </is>
      </c>
      <c r="C2732" t="inlineStr">
        <is>
          <t>Vice-President, Policy and Programs</t>
        </is>
      </c>
      <c r="D2732" t="inlineStr">
        <is>
          <t>Vice-président, Politiques et Programmes</t>
        </is>
      </c>
      <c r="E2732" t="inlineStr">
        <is>
          <t>Daryell Nowlan</t>
        </is>
      </c>
      <c r="F2732" t="inlineStr">
        <is>
          <t>Meetings with Government of Canada officials</t>
        </is>
      </c>
      <c r="G2732" t="inlineStr">
        <is>
          <t>Réunions avec des fonctionnaires du gouvernement du Canada</t>
        </is>
      </c>
      <c r="H2732" s="1" t="n">
        <v>42688</v>
      </c>
      <c r="I2732" s="1" t="n">
        <v>42692</v>
      </c>
      <c r="J2732" t="inlineStr">
        <is>
          <t>Ottawa, Ontario</t>
        </is>
      </c>
      <c r="K2732" t="inlineStr">
        <is>
          <t>Ottawa (Ontario)</t>
        </is>
      </c>
      <c r="P2732" t="n">
        <v>662.1799999999999</v>
      </c>
      <c r="Q2732" t="n">
        <v>80</v>
      </c>
      <c r="R2732" t="n">
        <v>1019.58</v>
      </c>
      <c r="S2732" t="n">
        <v>337.7</v>
      </c>
      <c r="T2732" t="n">
        <v>0</v>
      </c>
      <c r="U2732" t="n">
        <v>2099.46</v>
      </c>
      <c r="X2732" t="inlineStr">
        <is>
          <t>acoa-apeca</t>
        </is>
      </c>
      <c r="Y2732" t="inlineStr">
        <is>
          <t>Atlantic Canada Opportunities Agency | Agence de promotion économique du Canada atlantique</t>
        </is>
      </c>
    </row>
    <row r="2733">
      <c r="A2733" t="inlineStr">
        <is>
          <t>T-2017-Q3-00047</t>
        </is>
      </c>
      <c r="B2733" t="inlineStr">
        <is>
          <t>SLE</t>
        </is>
      </c>
      <c r="C2733" t="inlineStr">
        <is>
          <t>Vice President, Nova Scotia</t>
        </is>
      </c>
      <c r="D2733" t="inlineStr">
        <is>
          <t>Vice-président, Nouvelle-Écosse</t>
        </is>
      </c>
      <c r="E2733" t="inlineStr">
        <is>
          <t>Peter Hogan</t>
        </is>
      </c>
      <c r="F2733" t="inlineStr">
        <is>
          <t>Various meetings with Agency officials and Government of Canada officials</t>
        </is>
      </c>
      <c r="G2733" t="inlineStr">
        <is>
          <t>Diverses réunions avec des fonctionnaires de l'Agence et du gouvernement du Canada</t>
        </is>
      </c>
      <c r="H2733" s="1" t="n">
        <v>42683</v>
      </c>
      <c r="I2733" s="1" t="n">
        <v>42684</v>
      </c>
      <c r="J2733" t="inlineStr">
        <is>
          <t>Ottawa, Ontario</t>
        </is>
      </c>
      <c r="K2733" t="inlineStr">
        <is>
          <t>Ottawa (Ontario)</t>
        </is>
      </c>
      <c r="P2733" t="n">
        <v>764.58</v>
      </c>
      <c r="Q2733" t="n">
        <v>41.37</v>
      </c>
      <c r="R2733" t="n">
        <v>217.65</v>
      </c>
      <c r="S2733" t="n">
        <v>131.65</v>
      </c>
      <c r="T2733" t="n">
        <v>42</v>
      </c>
      <c r="U2733" t="n">
        <v>1197.25</v>
      </c>
      <c r="X2733" t="inlineStr">
        <is>
          <t>acoa-apeca</t>
        </is>
      </c>
      <c r="Y2733" t="inlineStr">
        <is>
          <t>Atlantic Canada Opportunities Agency | Agence de promotion économique du Canada atlantique</t>
        </is>
      </c>
    </row>
    <row r="2734">
      <c r="A2734" t="inlineStr">
        <is>
          <t>T-2017-Q3-00046</t>
        </is>
      </c>
      <c r="B2734" t="inlineStr">
        <is>
          <t>SLE</t>
        </is>
      </c>
      <c r="C2734" t="inlineStr">
        <is>
          <t>Vice-President, Finance and Corporate Services</t>
        </is>
      </c>
      <c r="D2734" t="inlineStr">
        <is>
          <t>Vice-présidente, Finances et Services corporatifs</t>
        </is>
      </c>
      <c r="E2734" t="inlineStr">
        <is>
          <t>Denise Frenette</t>
        </is>
      </c>
      <c r="F2734" t="inlineStr">
        <is>
          <t>For meetings with various Government of Canada officials</t>
        </is>
      </c>
      <c r="G2734" t="inlineStr">
        <is>
          <t>Réunions avec divers fonctionnaires du gouvernement du Canada</t>
        </is>
      </c>
      <c r="H2734" s="1" t="n">
        <v>42682</v>
      </c>
      <c r="I2734" s="1" t="n">
        <v>42683</v>
      </c>
      <c r="J2734" t="inlineStr">
        <is>
          <t>Ottawa, Ontario</t>
        </is>
      </c>
      <c r="K2734" t="inlineStr">
        <is>
          <t>Ottawa (Ontario)</t>
        </is>
      </c>
      <c r="P2734" t="n">
        <v>527.7</v>
      </c>
      <c r="Q2734" t="n">
        <v>96.23999999999999</v>
      </c>
      <c r="R2734" t="n">
        <v>173.42</v>
      </c>
      <c r="S2734" t="n">
        <v>142.7</v>
      </c>
      <c r="T2734" t="n">
        <v>7.62</v>
      </c>
      <c r="U2734" t="n">
        <v>947.6799999999999</v>
      </c>
      <c r="X2734" t="inlineStr">
        <is>
          <t>acoa-apeca</t>
        </is>
      </c>
      <c r="Y2734" t="inlineStr">
        <is>
          <t>Atlantic Canada Opportunities Agency | Agence de promotion économique du Canada atlantique</t>
        </is>
      </c>
    </row>
    <row r="2735">
      <c r="A2735" t="inlineStr">
        <is>
          <t>T-2017-Q2-00024</t>
        </is>
      </c>
      <c r="B2735" t="inlineStr">
        <is>
          <t>SLE</t>
        </is>
      </c>
      <c r="C2735" t="inlineStr">
        <is>
          <t>Vice-President, New Brunswick</t>
        </is>
      </c>
      <c r="D2735" t="inlineStr">
        <is>
          <t>Vice-président, Nouveau-Brunswick</t>
        </is>
      </c>
      <c r="E2735" t="inlineStr">
        <is>
          <t>Kent Estabrooks</t>
        </is>
      </c>
      <c r="F2735" t="inlineStr">
        <is>
          <t xml:space="preserve">Keynote speaker </t>
        </is>
      </c>
      <c r="G2735" t="inlineStr">
        <is>
          <t>Orateur principal</t>
        </is>
      </c>
      <c r="H2735" s="1" t="n">
        <v>42576</v>
      </c>
      <c r="I2735" s="1" t="n">
        <v>42577</v>
      </c>
      <c r="J2735" t="inlineStr">
        <is>
          <t>Moncton, New Brunswick</t>
        </is>
      </c>
      <c r="K2735" t="inlineStr">
        <is>
          <t>Moncton (Nouveau-Brunswick)</t>
        </is>
      </c>
      <c r="P2735" t="n">
        <v>0</v>
      </c>
      <c r="Q2735" t="n">
        <v>84.95999999999999</v>
      </c>
      <c r="R2735" t="n">
        <v>154.1</v>
      </c>
      <c r="S2735" t="n">
        <v>96.59999999999999</v>
      </c>
      <c r="T2735" t="n">
        <v>0</v>
      </c>
      <c r="U2735" t="n">
        <v>335.66</v>
      </c>
      <c r="X2735" t="inlineStr">
        <is>
          <t>acoa-apeca</t>
        </is>
      </c>
      <c r="Y2735" t="inlineStr">
        <is>
          <t>Atlantic Canada Opportunities Agency | Agence de promotion économique du Canada atlantique</t>
        </is>
      </c>
    </row>
    <row r="2736">
      <c r="A2736" t="inlineStr">
        <is>
          <t>T-2017-Q3-00045</t>
        </is>
      </c>
      <c r="B2736" t="inlineStr">
        <is>
          <t>SLE</t>
        </is>
      </c>
      <c r="C2736" t="inlineStr">
        <is>
          <t>President</t>
        </is>
      </c>
      <c r="D2736" t="inlineStr">
        <is>
          <t>Président</t>
        </is>
      </c>
      <c r="E2736" t="inlineStr">
        <is>
          <t>Paul J. LeBlanc</t>
        </is>
      </c>
      <c r="F2736" t="inlineStr">
        <is>
          <t>Attendance at meetings and sessions of various committees of the Organization for Economic Co-operation and Development</t>
        </is>
      </c>
      <c r="G2736" t="inlineStr">
        <is>
          <t>Assister à des réunions et à des séances de divers comités de l'Organisation de coopération et de développement économiques</t>
        </is>
      </c>
      <c r="H2736" s="1" t="n">
        <v>42680</v>
      </c>
      <c r="I2736" s="1" t="n">
        <v>42686</v>
      </c>
      <c r="J2736" t="inlineStr">
        <is>
          <t>Paris, France</t>
        </is>
      </c>
      <c r="K2736" t="inlineStr">
        <is>
          <t>Paris (France)</t>
        </is>
      </c>
      <c r="P2736" t="n">
        <v>6294</v>
      </c>
      <c r="Q2736" t="n">
        <v>183.88</v>
      </c>
      <c r="R2736" t="n">
        <v>1343.73</v>
      </c>
      <c r="S2736" t="n">
        <v>1028.13</v>
      </c>
      <c r="T2736" t="n">
        <v>161</v>
      </c>
      <c r="U2736" t="n">
        <v>9010.74</v>
      </c>
      <c r="X2736" t="inlineStr">
        <is>
          <t>acoa-apeca</t>
        </is>
      </c>
      <c r="Y2736" t="inlineStr">
        <is>
          <t>Atlantic Canada Opportunities Agency | Agence de promotion économique du Canada atlantique</t>
        </is>
      </c>
    </row>
    <row r="2737">
      <c r="A2737" t="inlineStr">
        <is>
          <t>T-2017-Q3-00044</t>
        </is>
      </c>
      <c r="B2737" t="inlineStr">
        <is>
          <t>SLE</t>
        </is>
      </c>
      <c r="C2737" t="inlineStr">
        <is>
          <t>President</t>
        </is>
      </c>
      <c r="D2737" t="inlineStr">
        <is>
          <t>Président</t>
        </is>
      </c>
      <c r="E2737" t="inlineStr">
        <is>
          <t>Paul J. LeBlanc</t>
        </is>
      </c>
      <c r="F2737" t="inlineStr">
        <is>
          <t>For a meeting with Agency officials</t>
        </is>
      </c>
      <c r="G2737" t="inlineStr">
        <is>
          <t>Réunion avec des fonctionnaires de l'Agence</t>
        </is>
      </c>
      <c r="H2737" s="1" t="n">
        <v>42677</v>
      </c>
      <c r="I2737" s="1" t="n">
        <v>42677</v>
      </c>
      <c r="J2737" t="inlineStr">
        <is>
          <t>Halifax, Nova Scotia</t>
        </is>
      </c>
      <c r="K2737" t="inlineStr">
        <is>
          <t>Halifax (Nouvelle-Écosse)</t>
        </is>
      </c>
      <c r="P2737" t="n">
        <v>0</v>
      </c>
      <c r="Q2737" t="n">
        <v>0</v>
      </c>
      <c r="R2737" t="n">
        <v>0</v>
      </c>
      <c r="S2737" t="n">
        <v>17.25</v>
      </c>
      <c r="T2737" t="n">
        <v>0</v>
      </c>
      <c r="U2737" t="n">
        <v>17.25</v>
      </c>
      <c r="X2737" t="inlineStr">
        <is>
          <t>acoa-apeca</t>
        </is>
      </c>
      <c r="Y2737" t="inlineStr">
        <is>
          <t>Atlantic Canada Opportunities Agency | Agence de promotion économique du Canada atlantique</t>
        </is>
      </c>
    </row>
    <row r="2738">
      <c r="A2738" t="inlineStr">
        <is>
          <t>T-2017-Q3-00036</t>
        </is>
      </c>
      <c r="B2738" t="inlineStr">
        <is>
          <t>SLE</t>
        </is>
      </c>
      <c r="C2738" t="inlineStr">
        <is>
          <t>Vice-President, New Brunswick</t>
        </is>
      </c>
      <c r="D2738" t="inlineStr">
        <is>
          <t>Vice-président, Nouveau-Brunswick</t>
        </is>
      </c>
      <c r="E2738" t="inlineStr">
        <is>
          <t>Kent Estabrooks</t>
        </is>
      </c>
      <c r="F2738" t="inlineStr">
        <is>
          <t>Training and development</t>
        </is>
      </c>
      <c r="G2738" t="inlineStr">
        <is>
          <t>Formation et perfectionnement</t>
        </is>
      </c>
      <c r="H2738" s="1" t="n">
        <v>42666</v>
      </c>
      <c r="I2738" s="1" t="n">
        <v>42667</v>
      </c>
      <c r="J2738" t="inlineStr">
        <is>
          <t>Halifax, Nova Scotia</t>
        </is>
      </c>
      <c r="K2738" t="inlineStr">
        <is>
          <t>Halifax (Nouvelle-Écosse)</t>
        </is>
      </c>
      <c r="P2738" t="n">
        <v>0</v>
      </c>
      <c r="Q2738" t="n">
        <v>0</v>
      </c>
      <c r="R2738" t="n">
        <v>207.07</v>
      </c>
      <c r="S2738" t="n">
        <v>142.95</v>
      </c>
      <c r="T2738" t="n">
        <v>12</v>
      </c>
      <c r="U2738" t="n">
        <v>362.02</v>
      </c>
      <c r="X2738" t="inlineStr">
        <is>
          <t>acoa-apeca</t>
        </is>
      </c>
      <c r="Y2738" t="inlineStr">
        <is>
          <t>Atlantic Canada Opportunities Agency | Agence de promotion économique du Canada atlantique</t>
        </is>
      </c>
    </row>
    <row r="2739">
      <c r="A2739" t="inlineStr">
        <is>
          <t>T-2017-Q3-00043</t>
        </is>
      </c>
      <c r="B2739" t="inlineStr">
        <is>
          <t>SLE</t>
        </is>
      </c>
      <c r="C2739" t="inlineStr">
        <is>
          <t>Vice-President, Prince Edward Island</t>
        </is>
      </c>
      <c r="D2739" t="inlineStr">
        <is>
          <t>Vice-président, Île-du-Prince-Édouard</t>
        </is>
      </c>
      <c r="E2739" t="inlineStr">
        <is>
          <t>Patrick Dorsey</t>
        </is>
      </c>
      <c r="F2739" t="inlineStr">
        <is>
          <t>Meetings with Government of Canada officials</t>
        </is>
      </c>
      <c r="G2739" t="inlineStr">
        <is>
          <t>Réunions avec des fonctionnaires du gouvernement du Canada</t>
        </is>
      </c>
      <c r="H2739" s="1" t="n">
        <v>42676</v>
      </c>
      <c r="I2739" s="1" t="n">
        <v>42677</v>
      </c>
      <c r="J2739" t="inlineStr">
        <is>
          <t>Ottawa, Ontario</t>
        </is>
      </c>
      <c r="K2739" t="inlineStr">
        <is>
          <t>Ottawa (Ontario)</t>
        </is>
      </c>
      <c r="P2739" t="n">
        <v>821.28</v>
      </c>
      <c r="Q2739" t="n">
        <v>129.83</v>
      </c>
      <c r="R2739" t="n">
        <v>186.22</v>
      </c>
      <c r="S2739" t="n">
        <v>159.95</v>
      </c>
      <c r="T2739" t="n">
        <v>0</v>
      </c>
      <c r="U2739" t="n">
        <v>1297.28</v>
      </c>
      <c r="X2739" t="inlineStr">
        <is>
          <t>acoa-apeca</t>
        </is>
      </c>
      <c r="Y2739" t="inlineStr">
        <is>
          <t>Atlantic Canada Opportunities Agency | Agence de promotion économique du Canada atlantique</t>
        </is>
      </c>
    </row>
    <row r="2740">
      <c r="A2740" t="inlineStr">
        <is>
          <t>T-2017-Q3-00042</t>
        </is>
      </c>
      <c r="B2740" t="inlineStr">
        <is>
          <t>SLE</t>
        </is>
      </c>
      <c r="C2740" t="inlineStr">
        <is>
          <t>Vice-President, New Brunswick</t>
        </is>
      </c>
      <c r="D2740" t="inlineStr">
        <is>
          <t>Vice-président, Nouveau-Brunswick</t>
        </is>
      </c>
      <c r="E2740" t="inlineStr">
        <is>
          <t>Kent Estabrooks</t>
        </is>
      </c>
      <c r="F2740" t="inlineStr">
        <is>
          <t>Meetings with Agency officials and various federal officials</t>
        </is>
      </c>
      <c r="G2740" t="inlineStr">
        <is>
          <t>Réunions avec des fonctionnaires de l'Agence et divers fonctionnaires fédéraux</t>
        </is>
      </c>
      <c r="H2740" s="1" t="n">
        <v>42675</v>
      </c>
      <c r="I2740" s="1" t="n">
        <v>42678</v>
      </c>
      <c r="J2740" t="inlineStr">
        <is>
          <t>Ottawa, Ontario</t>
        </is>
      </c>
      <c r="K2740" t="inlineStr">
        <is>
          <t>Ottawa (Ontario)</t>
        </is>
      </c>
      <c r="P2740" t="n">
        <v>658.55</v>
      </c>
      <c r="Q2740" t="n">
        <v>125.43</v>
      </c>
      <c r="R2740" t="n">
        <v>590.1</v>
      </c>
      <c r="S2740" t="n">
        <v>212.05</v>
      </c>
      <c r="T2740" t="n">
        <v>57.5</v>
      </c>
      <c r="U2740" t="n">
        <v>1643.63</v>
      </c>
      <c r="X2740" t="inlineStr">
        <is>
          <t>acoa-apeca</t>
        </is>
      </c>
      <c r="Y2740" t="inlineStr">
        <is>
          <t>Atlantic Canada Opportunities Agency | Agence de promotion économique du Canada atlantique</t>
        </is>
      </c>
    </row>
    <row r="2741">
      <c r="A2741" t="inlineStr">
        <is>
          <t>T-2017-Q3-00041</t>
        </is>
      </c>
      <c r="B2741" t="inlineStr">
        <is>
          <t>SLE</t>
        </is>
      </c>
      <c r="C2741" t="inlineStr">
        <is>
          <t>Vice-President, Policy and Programs</t>
        </is>
      </c>
      <c r="D2741" t="inlineStr">
        <is>
          <t>Vice-président, Politiques et Programmes</t>
        </is>
      </c>
      <c r="E2741" t="inlineStr">
        <is>
          <t>Daryell Nowlan</t>
        </is>
      </c>
      <c r="F2741" t="inlineStr">
        <is>
          <t>Meetings with Government of Canada officials</t>
        </is>
      </c>
      <c r="G2741" t="inlineStr">
        <is>
          <t>Réunions avec des fonctionnaires du gouvernement du Canada</t>
        </is>
      </c>
      <c r="H2741" s="1" t="n">
        <v>42674</v>
      </c>
      <c r="I2741" s="1" t="n">
        <v>42677</v>
      </c>
      <c r="J2741" t="inlineStr">
        <is>
          <t>Ottawa, Ontario</t>
        </is>
      </c>
      <c r="K2741" t="inlineStr">
        <is>
          <t>Ottawa (Ontario)</t>
        </is>
      </c>
      <c r="P2741" t="n">
        <v>662.1799999999999</v>
      </c>
      <c r="Q2741" t="n">
        <v>147</v>
      </c>
      <c r="R2741" t="n">
        <v>590.1</v>
      </c>
      <c r="S2741" t="n">
        <v>303.15</v>
      </c>
      <c r="T2741" t="n">
        <v>0</v>
      </c>
      <c r="U2741" t="n">
        <v>1702.43</v>
      </c>
      <c r="X2741" t="inlineStr">
        <is>
          <t>acoa-apeca</t>
        </is>
      </c>
      <c r="Y2741" t="inlineStr">
        <is>
          <t>Atlantic Canada Opportunities Agency | Agence de promotion économique du Canada atlantique</t>
        </is>
      </c>
    </row>
    <row r="2742">
      <c r="A2742" t="inlineStr">
        <is>
          <t>T-2017-Q3-00040</t>
        </is>
      </c>
      <c r="B2742" t="inlineStr">
        <is>
          <t>SLE</t>
        </is>
      </c>
      <c r="C2742" t="inlineStr">
        <is>
          <t>Vice-President, Policy and Programs</t>
        </is>
      </c>
      <c r="D2742" t="inlineStr">
        <is>
          <t>Vice-président, Politiques et Programmes</t>
        </is>
      </c>
      <c r="E2742" t="inlineStr">
        <is>
          <t>Daryell Nowlan</t>
        </is>
      </c>
      <c r="F2742" t="inlineStr">
        <is>
          <t>Meetings with Government of Canada officials</t>
        </is>
      </c>
      <c r="G2742" t="inlineStr">
        <is>
          <t>Réunions avec des fonctionnaires du gouvernement du Canada</t>
        </is>
      </c>
      <c r="H2742" s="1" t="n">
        <v>42670</v>
      </c>
      <c r="I2742" s="1" t="n">
        <v>42671</v>
      </c>
      <c r="J2742" t="inlineStr">
        <is>
          <t>Ottawa, Ontario</t>
        </is>
      </c>
      <c r="K2742" t="inlineStr">
        <is>
          <t>Ottawa (Ontario)</t>
        </is>
      </c>
      <c r="P2742" t="n">
        <v>662.1799999999999</v>
      </c>
      <c r="Q2742" t="n">
        <v>118.5</v>
      </c>
      <c r="R2742" t="n">
        <v>196.7</v>
      </c>
      <c r="S2742" t="n">
        <v>159.95</v>
      </c>
      <c r="T2742" t="n">
        <v>0</v>
      </c>
      <c r="U2742" t="n">
        <v>1137.33</v>
      </c>
      <c r="X2742" t="inlineStr">
        <is>
          <t>acoa-apeca</t>
        </is>
      </c>
      <c r="Y2742" t="inlineStr">
        <is>
          <t>Atlantic Canada Opportunities Agency | Agence de promotion économique du Canada atlantique</t>
        </is>
      </c>
    </row>
    <row r="2743">
      <c r="A2743" t="inlineStr">
        <is>
          <t>T-2017-Q3-00039</t>
        </is>
      </c>
      <c r="B2743" t="inlineStr">
        <is>
          <t>SLE</t>
        </is>
      </c>
      <c r="C2743" t="inlineStr">
        <is>
          <t>Vice-President, New Brunswick</t>
        </is>
      </c>
      <c r="D2743" t="inlineStr">
        <is>
          <t>Vice-président, Nouveau-Brunswick</t>
        </is>
      </c>
      <c r="E2743" t="inlineStr">
        <is>
          <t>Kent Estabrooks</t>
        </is>
      </c>
      <c r="F2743" t="inlineStr">
        <is>
          <t>Agency Executive Committee meeting</t>
        </is>
      </c>
      <c r="G2743" t="inlineStr">
        <is>
          <t>Réunion du Comité de direction de l'Agence</t>
        </is>
      </c>
      <c r="H2743" s="1" t="n">
        <v>42669</v>
      </c>
      <c r="I2743" s="1" t="n">
        <v>42670</v>
      </c>
      <c r="J2743" t="inlineStr">
        <is>
          <t>Moncton, New Brunswick</t>
        </is>
      </c>
      <c r="K2743" t="inlineStr">
        <is>
          <t>Moncton (Nouveau-Brunswick)</t>
        </is>
      </c>
      <c r="P2743" t="n">
        <v>0</v>
      </c>
      <c r="Q2743" t="n">
        <v>0</v>
      </c>
      <c r="R2743" t="n">
        <v>138</v>
      </c>
      <c r="S2743" t="n">
        <v>125.7</v>
      </c>
      <c r="T2743" t="n">
        <v>0</v>
      </c>
      <c r="U2743" t="n">
        <v>263.7</v>
      </c>
      <c r="X2743" t="inlineStr">
        <is>
          <t>acoa-apeca</t>
        </is>
      </c>
      <c r="Y2743" t="inlineStr">
        <is>
          <t>Atlantic Canada Opportunities Agency | Agence de promotion économique du Canada atlantique</t>
        </is>
      </c>
    </row>
    <row r="2744">
      <c r="A2744" t="inlineStr">
        <is>
          <t>T-2017-Q3-00038</t>
        </is>
      </c>
      <c r="B2744" t="inlineStr">
        <is>
          <t>SLE</t>
        </is>
      </c>
      <c r="C2744" t="inlineStr">
        <is>
          <t>Vice President, Nova Scotia</t>
        </is>
      </c>
      <c r="D2744" t="inlineStr">
        <is>
          <t>Vice-président, Nouvelle-Écosse</t>
        </is>
      </c>
      <c r="E2744" t="inlineStr">
        <is>
          <t>Peter Hogan</t>
        </is>
      </c>
      <c r="F2744" t="inlineStr">
        <is>
          <t xml:space="preserve">Meetings with Agency officials </t>
        </is>
      </c>
      <c r="G2744" t="inlineStr">
        <is>
          <t>Réunions avec des fonctionnaires de l'Agence</t>
        </is>
      </c>
      <c r="H2744" s="1" t="n">
        <v>42669</v>
      </c>
      <c r="I2744" s="1" t="n">
        <v>42670</v>
      </c>
      <c r="J2744" t="inlineStr">
        <is>
          <t>Moncton, New Brunswick</t>
        </is>
      </c>
      <c r="K2744" t="inlineStr">
        <is>
          <t>Moncton (Nouveau-Brunswick)</t>
        </is>
      </c>
      <c r="P2744" t="n">
        <v>0</v>
      </c>
      <c r="Q2744" t="n">
        <v>0</v>
      </c>
      <c r="R2744" t="n">
        <v>106</v>
      </c>
      <c r="S2744" t="n">
        <v>51.6</v>
      </c>
      <c r="T2744" t="n">
        <v>16.1</v>
      </c>
      <c r="U2744" t="n">
        <v>173.7</v>
      </c>
      <c r="X2744" t="inlineStr">
        <is>
          <t>acoa-apeca</t>
        </is>
      </c>
      <c r="Y2744" t="inlineStr">
        <is>
          <t>Atlantic Canada Opportunities Agency | Agence de promotion économique du Canada atlantique</t>
        </is>
      </c>
    </row>
    <row r="2745">
      <c r="A2745" t="inlineStr">
        <is>
          <t>T-2017-Q3-00029</t>
        </is>
      </c>
      <c r="B2745" t="inlineStr">
        <is>
          <t>SLE</t>
        </is>
      </c>
      <c r="C2745" t="inlineStr">
        <is>
          <t>Vice-President, New Brunswick</t>
        </is>
      </c>
      <c r="D2745" t="inlineStr">
        <is>
          <t>Vice-président, Nouveau-Brunswick</t>
        </is>
      </c>
      <c r="E2745" t="inlineStr">
        <is>
          <t>Kent Estabrooks</t>
        </is>
      </c>
      <c r="F2745" t="inlineStr">
        <is>
          <t>Community outreach and event</t>
        </is>
      </c>
      <c r="G2745" t="inlineStr">
        <is>
          <t>Sensibilisation et activité communautaire</t>
        </is>
      </c>
      <c r="H2745" s="1" t="n">
        <v>42660</v>
      </c>
      <c r="I2745" s="1" t="n">
        <v>42661</v>
      </c>
      <c r="J2745" t="inlineStr">
        <is>
          <t>Saint John, New Brunswick</t>
        </is>
      </c>
      <c r="K2745" t="inlineStr">
        <is>
          <t>Saint John (Nouveau-Brunswick)</t>
        </is>
      </c>
      <c r="P2745" t="n">
        <v>0</v>
      </c>
      <c r="Q2745" t="n">
        <v>0</v>
      </c>
      <c r="R2745" t="n">
        <v>124.37</v>
      </c>
      <c r="S2745" t="n">
        <v>97.40000000000001</v>
      </c>
      <c r="T2745" t="n">
        <v>18.34</v>
      </c>
      <c r="U2745" t="n">
        <v>240.11</v>
      </c>
      <c r="X2745" t="inlineStr">
        <is>
          <t>acoa-apeca</t>
        </is>
      </c>
      <c r="Y2745" t="inlineStr">
        <is>
          <t>Atlantic Canada Opportunities Agency | Agence de promotion économique du Canada atlantique</t>
        </is>
      </c>
    </row>
    <row r="2746">
      <c r="A2746" t="inlineStr">
        <is>
          <t>T-2017-Q3-00037</t>
        </is>
      </c>
      <c r="B2746" t="inlineStr">
        <is>
          <t>SLE</t>
        </is>
      </c>
      <c r="C2746" t="inlineStr">
        <is>
          <t>Vice-President, Newfoundland and Labrador</t>
        </is>
      </c>
      <c r="D2746" t="inlineStr">
        <is>
          <t>Vice-président, Terre-Neuve-et-Labrador</t>
        </is>
      </c>
      <c r="E2746" t="inlineStr">
        <is>
          <t>Ken Martin</t>
        </is>
      </c>
      <c r="F2746" t="inlineStr">
        <is>
          <t>Attending Executive Committee as well as various meetings with senior government officials</t>
        </is>
      </c>
      <c r="G2746" t="inlineStr">
        <is>
          <t>Assister à une réunion du Comité de direction et à diverses réunions avec des hauts fonctionnaires</t>
        </is>
      </c>
      <c r="H2746" s="1" t="n">
        <v>42669</v>
      </c>
      <c r="I2746" s="1" t="n">
        <v>42702</v>
      </c>
      <c r="J2746" t="inlineStr">
        <is>
          <t>Moncton, New Brunswick and Ottawa, Ontario</t>
        </is>
      </c>
      <c r="K2746" t="inlineStr">
        <is>
          <t>Moncton (Nouveau-Brunswick) et Ottawa (Ontario)</t>
        </is>
      </c>
      <c r="P2746" t="n">
        <v>1198.69</v>
      </c>
      <c r="Q2746" t="n">
        <v>100.6</v>
      </c>
      <c r="R2746" t="n">
        <v>318.6</v>
      </c>
      <c r="S2746" t="n">
        <v>194.25</v>
      </c>
      <c r="T2746" t="n">
        <v>0</v>
      </c>
      <c r="U2746" t="n">
        <v>1812.14</v>
      </c>
      <c r="X2746" t="inlineStr">
        <is>
          <t>acoa-apeca</t>
        </is>
      </c>
      <c r="Y2746" t="inlineStr">
        <is>
          <t>Atlantic Canada Opportunities Agency | Agence de promotion économique du Canada atlantique</t>
        </is>
      </c>
    </row>
    <row r="2747">
      <c r="A2747" t="inlineStr">
        <is>
          <t>T-2017-Q3-00035</t>
        </is>
      </c>
      <c r="B2747" t="inlineStr">
        <is>
          <t>SLE</t>
        </is>
      </c>
      <c r="C2747" t="inlineStr">
        <is>
          <t>Vice-President, Prince Edward Island</t>
        </is>
      </c>
      <c r="D2747" t="inlineStr">
        <is>
          <t>Vice-président, Île-du-Prince-Édouard</t>
        </is>
      </c>
      <c r="E2747" t="inlineStr">
        <is>
          <t>Patrick Dorsey</t>
        </is>
      </c>
      <c r="F2747" t="inlineStr">
        <is>
          <t>Professional development and meetings with ACOA officials</t>
        </is>
      </c>
      <c r="G2747" t="inlineStr">
        <is>
          <t>Perfectionnement professionnel et réunions avec des fonctionnaires de l'APECA</t>
        </is>
      </c>
      <c r="H2747" s="1" t="n">
        <v>42666</v>
      </c>
      <c r="I2747" s="1" t="n">
        <v>42671</v>
      </c>
      <c r="J2747" t="inlineStr">
        <is>
          <t>Toronto, Ontario and Moncton, New Brunswick</t>
        </is>
      </c>
      <c r="K2747" t="inlineStr">
        <is>
          <t>Toronto (Ontario) et Moncton (Nouveau-Brunswick)</t>
        </is>
      </c>
      <c r="P2747" t="n">
        <v>454.61</v>
      </c>
      <c r="Q2747" t="n">
        <v>287.86</v>
      </c>
      <c r="R2747" t="n">
        <v>866.72</v>
      </c>
      <c r="S2747" t="n">
        <v>365.8</v>
      </c>
      <c r="T2747" t="n">
        <v>0</v>
      </c>
      <c r="U2747" t="n">
        <v>1974.99</v>
      </c>
      <c r="X2747" t="inlineStr">
        <is>
          <t>acoa-apeca</t>
        </is>
      </c>
      <c r="Y2747" t="inlineStr">
        <is>
          <t>Atlantic Canada Opportunities Agency | Agence de promotion économique du Canada atlantique</t>
        </is>
      </c>
    </row>
    <row r="2748">
      <c r="A2748" t="inlineStr">
        <is>
          <t>T-2017-Q3-00034</t>
        </is>
      </c>
      <c r="B2748" t="inlineStr">
        <is>
          <t>SLE</t>
        </is>
      </c>
      <c r="C2748" t="inlineStr">
        <is>
          <t>President</t>
        </is>
      </c>
      <c r="D2748" t="inlineStr">
        <is>
          <t>Président</t>
        </is>
      </c>
      <c r="E2748" t="inlineStr">
        <is>
          <t>Paul J. LeBlanc</t>
        </is>
      </c>
      <c r="F2748" t="inlineStr">
        <is>
          <t>For a meeting and discussions with Agency officials and Government of Canada officials</t>
        </is>
      </c>
      <c r="G2748" t="inlineStr">
        <is>
          <t>Réunion et discussions avec des fonctionnaires de l'Agence et du gouvernement du Canada</t>
        </is>
      </c>
      <c r="H2748" s="1" t="n">
        <v>42664</v>
      </c>
      <c r="I2748" s="1" t="n">
        <v>42664</v>
      </c>
      <c r="J2748" t="inlineStr">
        <is>
          <t>Ottawa, Ontario</t>
        </is>
      </c>
      <c r="K2748" t="inlineStr">
        <is>
          <t>Ottawa (Ontario)</t>
        </is>
      </c>
      <c r="P2748" t="n">
        <v>822.48</v>
      </c>
      <c r="Q2748" t="n">
        <v>0</v>
      </c>
      <c r="R2748" t="n">
        <v>0</v>
      </c>
      <c r="S2748" t="n">
        <v>62.8</v>
      </c>
      <c r="T2748" t="n">
        <v>282.51</v>
      </c>
      <c r="U2748" t="n">
        <v>1167.79</v>
      </c>
      <c r="X2748" t="inlineStr">
        <is>
          <t>acoa-apeca</t>
        </is>
      </c>
      <c r="Y2748" t="inlineStr">
        <is>
          <t>Atlantic Canada Opportunities Agency | Agence de promotion économique du Canada atlantique</t>
        </is>
      </c>
    </row>
    <row r="2749">
      <c r="A2749" t="inlineStr">
        <is>
          <t>T-2017-Q3-00033</t>
        </is>
      </c>
      <c r="B2749" t="inlineStr">
        <is>
          <t>SLE</t>
        </is>
      </c>
      <c r="C2749" t="inlineStr">
        <is>
          <t>Vice President, Nova Scotia</t>
        </is>
      </c>
      <c r="D2749" t="inlineStr">
        <is>
          <t>Vice-président, Nouvelle-Écosse</t>
        </is>
      </c>
      <c r="E2749" t="inlineStr">
        <is>
          <t>Peter Hogan</t>
        </is>
      </c>
      <c r="F2749" t="inlineStr">
        <is>
          <t>Various meetings with Agency officials and clients</t>
        </is>
      </c>
      <c r="G2749" t="inlineStr">
        <is>
          <t>Diverses réunions avec des fonctionnaires de l'Agence et des clients</t>
        </is>
      </c>
      <c r="H2749" s="1" t="n">
        <v>42663</v>
      </c>
      <c r="I2749" s="1" t="n">
        <v>42663</v>
      </c>
      <c r="J2749" t="inlineStr">
        <is>
          <t>Sydney, Nova Scotia</t>
        </is>
      </c>
      <c r="K2749" t="inlineStr">
        <is>
          <t>Sydney (Nouvelle-Écosse)</t>
        </is>
      </c>
      <c r="P2749" t="n">
        <v>295.55</v>
      </c>
      <c r="Q2749" t="n">
        <v>19.4</v>
      </c>
      <c r="R2749" t="n">
        <v>0</v>
      </c>
      <c r="S2749" t="n">
        <v>0</v>
      </c>
      <c r="T2749" t="n">
        <v>21</v>
      </c>
      <c r="U2749" t="n">
        <v>335.95</v>
      </c>
      <c r="X2749" t="inlineStr">
        <is>
          <t>acoa-apeca</t>
        </is>
      </c>
      <c r="Y2749" t="inlineStr">
        <is>
          <t>Atlantic Canada Opportunities Agency | Agence de promotion économique du Canada atlantique</t>
        </is>
      </c>
    </row>
    <row r="2750">
      <c r="A2750" t="inlineStr">
        <is>
          <t>T-2017-Q3-00032</t>
        </is>
      </c>
      <c r="B2750" t="inlineStr">
        <is>
          <t>SLE</t>
        </is>
      </c>
      <c r="C2750" t="inlineStr">
        <is>
          <t>Vice President, Nova Scotia</t>
        </is>
      </c>
      <c r="D2750" t="inlineStr">
        <is>
          <t>Vice-président, Nouvelle-Écosse</t>
        </is>
      </c>
      <c r="E2750" t="inlineStr">
        <is>
          <t>Peter Hogan</t>
        </is>
      </c>
      <c r="F2750" t="inlineStr">
        <is>
          <t xml:space="preserve">Meeting with client and site visit </t>
        </is>
      </c>
      <c r="G2750" t="inlineStr">
        <is>
          <t>Réunion avec un client et visite des lieux</t>
        </is>
      </c>
      <c r="H2750" s="1" t="n">
        <v>42662</v>
      </c>
      <c r="I2750" s="1" t="n">
        <v>42662</v>
      </c>
      <c r="J2750" t="inlineStr">
        <is>
          <t>Windsor, Nova Scotia</t>
        </is>
      </c>
      <c r="K2750" t="inlineStr">
        <is>
          <t>Windsor (Nouvelle-Écosse)</t>
        </is>
      </c>
      <c r="P2750" t="n">
        <v>0</v>
      </c>
      <c r="Q2750" t="n">
        <v>59.17</v>
      </c>
      <c r="R2750" t="n">
        <v>0</v>
      </c>
      <c r="S2750" t="n">
        <v>0</v>
      </c>
      <c r="T2750" t="n">
        <v>0</v>
      </c>
      <c r="U2750" t="n">
        <v>59.17</v>
      </c>
      <c r="X2750" t="inlineStr">
        <is>
          <t>acoa-apeca</t>
        </is>
      </c>
      <c r="Y2750" t="inlineStr">
        <is>
          <t>Atlantic Canada Opportunities Agency | Agence de promotion économique du Canada atlantique</t>
        </is>
      </c>
    </row>
    <row r="2751">
      <c r="A2751" t="inlineStr">
        <is>
          <t>T-2017-Q3-00031</t>
        </is>
      </c>
      <c r="B2751" t="inlineStr">
        <is>
          <t>SLE</t>
        </is>
      </c>
      <c r="C2751" t="inlineStr">
        <is>
          <t>Vice-President, Finance and Corporate Services</t>
        </is>
      </c>
      <c r="D2751" t="inlineStr">
        <is>
          <t>Vice-présidente, Finances et Services corporatifs</t>
        </is>
      </c>
      <c r="E2751" t="inlineStr">
        <is>
          <t>Denise Frenette</t>
        </is>
      </c>
      <c r="F2751" t="inlineStr">
        <is>
          <t>For various meetings and discussions with Government of Canada officials</t>
        </is>
      </c>
      <c r="G2751" t="inlineStr">
        <is>
          <t>Diverses réunions et discussions avec des fonctionnaires du gouvernement du Canada</t>
        </is>
      </c>
      <c r="H2751" s="1" t="n">
        <v>42662</v>
      </c>
      <c r="I2751" s="1" t="n">
        <v>42663</v>
      </c>
      <c r="J2751" t="inlineStr">
        <is>
          <t>Ottawa, Ontario</t>
        </is>
      </c>
      <c r="K2751" t="inlineStr">
        <is>
          <t>Ottawa (Ontario)</t>
        </is>
      </c>
      <c r="P2751" t="n">
        <v>265.42</v>
      </c>
      <c r="Q2751" t="n">
        <v>113.02</v>
      </c>
      <c r="R2751" t="n">
        <v>196.7</v>
      </c>
      <c r="S2751" t="n">
        <v>125.7</v>
      </c>
      <c r="T2751" t="n">
        <v>0</v>
      </c>
      <c r="U2751" t="n">
        <v>700.84</v>
      </c>
      <c r="X2751" t="inlineStr">
        <is>
          <t>acoa-apeca</t>
        </is>
      </c>
      <c r="Y2751" t="inlineStr">
        <is>
          <t>Atlantic Canada Opportunities Agency | Agence de promotion économique du Canada atlantique</t>
        </is>
      </c>
    </row>
    <row r="2752">
      <c r="A2752" t="inlineStr">
        <is>
          <t>T-2017-Q3-00030</t>
        </is>
      </c>
      <c r="B2752" t="inlineStr">
        <is>
          <t>SLE</t>
        </is>
      </c>
      <c r="C2752" t="inlineStr">
        <is>
          <t>Vice-President, Policy and Programs</t>
        </is>
      </c>
      <c r="D2752" t="inlineStr">
        <is>
          <t>Vice-président, Politiques et Programmes</t>
        </is>
      </c>
      <c r="E2752" t="inlineStr">
        <is>
          <t>Daryell Nowlan</t>
        </is>
      </c>
      <c r="F2752" t="inlineStr">
        <is>
          <t>Meetings with Government of Canada officials</t>
        </is>
      </c>
      <c r="G2752" t="inlineStr">
        <is>
          <t>Réunions avec des fonctionnaires du gouvernement du Canada</t>
        </is>
      </c>
      <c r="H2752" s="1" t="n">
        <v>42661</v>
      </c>
      <c r="I2752" s="1" t="n">
        <v>42664</v>
      </c>
      <c r="J2752" t="inlineStr">
        <is>
          <t>Ottawa, Ontario</t>
        </is>
      </c>
      <c r="K2752" t="inlineStr">
        <is>
          <t>Ottawa (Ontario)</t>
        </is>
      </c>
      <c r="P2752" t="n">
        <v>662.1799999999999</v>
      </c>
      <c r="Q2752" t="n">
        <v>142.5</v>
      </c>
      <c r="R2752" t="n">
        <v>548.1900000000001</v>
      </c>
      <c r="S2752" t="n">
        <v>319.9</v>
      </c>
      <c r="T2752" t="n">
        <v>0</v>
      </c>
      <c r="U2752" t="n">
        <v>1672.77</v>
      </c>
      <c r="X2752" t="inlineStr">
        <is>
          <t>acoa-apeca</t>
        </is>
      </c>
      <c r="Y2752" t="inlineStr">
        <is>
          <t>Atlantic Canada Opportunities Agency | Agence de promotion économique du Canada atlantique</t>
        </is>
      </c>
    </row>
    <row r="2753">
      <c r="A2753" t="inlineStr">
        <is>
          <t>T-2017-Q3-00028</t>
        </is>
      </c>
      <c r="B2753" t="inlineStr">
        <is>
          <t>SLE</t>
        </is>
      </c>
      <c r="C2753" t="inlineStr">
        <is>
          <t>Vice-President, Finance and Corporate Services</t>
        </is>
      </c>
      <c r="D2753" t="inlineStr">
        <is>
          <t>Vice-présidente, Finances et Services corporatifs</t>
        </is>
      </c>
      <c r="E2753" t="inlineStr">
        <is>
          <t>Denise Frenette</t>
        </is>
      </c>
      <c r="F2753" t="inlineStr">
        <is>
          <t>For meeting with Agency officials</t>
        </is>
      </c>
      <c r="G2753" t="inlineStr">
        <is>
          <t>Réunion avec des fonctionnaires de l'Agence</t>
        </is>
      </c>
      <c r="H2753" s="1" t="n">
        <v>42655</v>
      </c>
      <c r="I2753" s="1" t="n">
        <v>42655</v>
      </c>
      <c r="J2753" t="inlineStr">
        <is>
          <t>Fredericton, New Brunswick</t>
        </is>
      </c>
      <c r="K2753" t="inlineStr">
        <is>
          <t>Fredericton (Nouveau-Brunswick)</t>
        </is>
      </c>
      <c r="P2753" t="n">
        <v>0</v>
      </c>
      <c r="Q2753" t="n">
        <v>42.47</v>
      </c>
      <c r="R2753" t="n">
        <v>0</v>
      </c>
      <c r="S2753" t="n">
        <v>17.25</v>
      </c>
      <c r="T2753" t="n">
        <v>0</v>
      </c>
      <c r="U2753" t="n">
        <v>59.72</v>
      </c>
      <c r="X2753" t="inlineStr">
        <is>
          <t>acoa-apeca</t>
        </is>
      </c>
      <c r="Y2753" t="inlineStr">
        <is>
          <t>Atlantic Canada Opportunities Agency | Agence de promotion économique du Canada atlantique</t>
        </is>
      </c>
    </row>
    <row r="2754">
      <c r="A2754" t="inlineStr">
        <is>
          <t>T-2017-Q3-00027</t>
        </is>
      </c>
      <c r="B2754" t="inlineStr">
        <is>
          <t>SLE</t>
        </is>
      </c>
      <c r="C2754" t="inlineStr">
        <is>
          <t>Vice-President, New Brunswick</t>
        </is>
      </c>
      <c r="D2754" t="inlineStr">
        <is>
          <t>Vice-président, Nouveau-Brunswick</t>
        </is>
      </c>
      <c r="E2754" t="inlineStr">
        <is>
          <t>Kent Estabrooks</t>
        </is>
      </c>
      <c r="F2754" t="inlineStr">
        <is>
          <t>Meeting with stakeholders and Agency officials</t>
        </is>
      </c>
      <c r="G2754" t="inlineStr">
        <is>
          <t>Réunion avec des intervenants et des fonctionnaires de l'Agence</t>
        </is>
      </c>
      <c r="H2754" s="1" t="n">
        <v>42654</v>
      </c>
      <c r="I2754" s="1" t="n">
        <v>42654</v>
      </c>
      <c r="J2754" t="inlineStr">
        <is>
          <t>Moncton, New Brunswick</t>
        </is>
      </c>
      <c r="K2754" t="inlineStr">
        <is>
          <t>Moncton (Nouveau-Brunswick)</t>
        </is>
      </c>
      <c r="P2754" t="n">
        <v>0</v>
      </c>
      <c r="Q2754" t="n">
        <v>0</v>
      </c>
      <c r="R2754" t="n">
        <v>0</v>
      </c>
      <c r="S2754" t="n">
        <v>62.8</v>
      </c>
      <c r="T2754" t="n">
        <v>9</v>
      </c>
      <c r="U2754" t="n">
        <v>71.8</v>
      </c>
      <c r="X2754" t="inlineStr">
        <is>
          <t>acoa-apeca</t>
        </is>
      </c>
      <c r="Y2754" t="inlineStr">
        <is>
          <t>Atlantic Canada Opportunities Agency | Agence de promotion économique du Canada atlantique</t>
        </is>
      </c>
    </row>
    <row r="2755">
      <c r="A2755" t="inlineStr">
        <is>
          <t>T-2017-Q1-00016</t>
        </is>
      </c>
      <c r="B2755" t="inlineStr">
        <is>
          <t>SLE</t>
        </is>
      </c>
      <c r="C2755" t="inlineStr">
        <is>
          <t>Vice President, Nova Scotia</t>
        </is>
      </c>
      <c r="D2755" t="inlineStr">
        <is>
          <t>Vice-président, Nouvelle-Écosse</t>
        </is>
      </c>
      <c r="E2755" t="inlineStr">
        <is>
          <t>Peter Hogan</t>
        </is>
      </c>
      <c r="F2755" t="inlineStr">
        <is>
          <t xml:space="preserve">Community outreach and event </t>
        </is>
      </c>
      <c r="G2755" t="inlineStr">
        <is>
          <t xml:space="preserve">Sensibilisation et activité communautaire </t>
        </is>
      </c>
      <c r="H2755" s="1" t="n">
        <v>42462</v>
      </c>
      <c r="I2755" s="1" t="n">
        <v>42462</v>
      </c>
      <c r="J2755" t="inlineStr">
        <is>
          <t>Sydney, Nova Scotia</t>
        </is>
      </c>
      <c r="K2755" t="inlineStr">
        <is>
          <t>Sydney (Nouvelle-Écosse)</t>
        </is>
      </c>
      <c r="P2755" t="n">
        <v>523.72</v>
      </c>
      <c r="Q2755" t="n">
        <v>36.48</v>
      </c>
      <c r="R2755" t="n">
        <v>0</v>
      </c>
      <c r="S2755" t="n">
        <v>45</v>
      </c>
      <c r="T2755" t="n">
        <v>0</v>
      </c>
      <c r="U2755" t="n">
        <v>605.2</v>
      </c>
      <c r="X2755" t="inlineStr">
        <is>
          <t>acoa-apeca</t>
        </is>
      </c>
      <c r="Y2755" t="inlineStr">
        <is>
          <t>Atlantic Canada Opportunities Agency | Agence de promotion économique du Canada atlantique</t>
        </is>
      </c>
    </row>
    <row r="2756">
      <c r="A2756" t="inlineStr">
        <is>
          <t>T-2017-Q3-00026</t>
        </is>
      </c>
      <c r="B2756" t="inlineStr">
        <is>
          <t>SLE</t>
        </is>
      </c>
      <c r="C2756" t="inlineStr">
        <is>
          <t>Vice-President, Finance and Corporate Services</t>
        </is>
      </c>
      <c r="D2756" t="inlineStr">
        <is>
          <t>Vice-présidente, Finances et Services corporatifs</t>
        </is>
      </c>
      <c r="E2756" t="inlineStr">
        <is>
          <t>Denise Frenette</t>
        </is>
      </c>
      <c r="F2756" t="inlineStr">
        <is>
          <t>For meeting with Agency officials</t>
        </is>
      </c>
      <c r="G2756" t="inlineStr">
        <is>
          <t>Réunion avec des fonctionnaires de l'Agence</t>
        </is>
      </c>
      <c r="H2756" s="1" t="n">
        <v>42654</v>
      </c>
      <c r="I2756" s="1" t="n">
        <v>42654</v>
      </c>
      <c r="J2756" t="inlineStr">
        <is>
          <t>Halifax, Nova Scotia</t>
        </is>
      </c>
      <c r="K2756" t="inlineStr">
        <is>
          <t>Halifax (Nouvelle-Écosse)</t>
        </is>
      </c>
      <c r="P2756" t="n">
        <v>0</v>
      </c>
      <c r="Q2756" t="n">
        <v>42.47</v>
      </c>
      <c r="R2756" t="n">
        <v>0</v>
      </c>
      <c r="S2756" t="n">
        <v>17.25</v>
      </c>
      <c r="T2756" t="n">
        <v>0</v>
      </c>
      <c r="U2756" t="n">
        <v>59.72</v>
      </c>
      <c r="X2756" t="inlineStr">
        <is>
          <t>acoa-apeca</t>
        </is>
      </c>
      <c r="Y2756" t="inlineStr">
        <is>
          <t>Atlantic Canada Opportunities Agency | Agence de promotion économique du Canada atlantique</t>
        </is>
      </c>
    </row>
    <row r="2757">
      <c r="A2757" t="inlineStr">
        <is>
          <t>T-2017-Q3-00025</t>
        </is>
      </c>
      <c r="B2757" t="inlineStr">
        <is>
          <t>SLE</t>
        </is>
      </c>
      <c r="C2757" t="inlineStr">
        <is>
          <t>Vice President, Nova Scotia</t>
        </is>
      </c>
      <c r="D2757" t="inlineStr">
        <is>
          <t>Vice-président, Nouvelle-Écosse</t>
        </is>
      </c>
      <c r="E2757" t="inlineStr">
        <is>
          <t>Peter Hogan</t>
        </is>
      </c>
      <c r="F2757" t="inlineStr">
        <is>
          <t>Meetings with Agency officials and attended Investor Summit</t>
        </is>
      </c>
      <c r="G2757" t="inlineStr">
        <is>
          <t>Réunions avec des fonctionnaires de l'Agence et participation au sommet des investisseurs</t>
        </is>
      </c>
      <c r="H2757" s="1" t="n">
        <v>42648</v>
      </c>
      <c r="I2757" s="1" t="n">
        <v>42650</v>
      </c>
      <c r="J2757" t="inlineStr">
        <is>
          <t>Sydney, Nova Scotia</t>
        </is>
      </c>
      <c r="K2757" t="inlineStr">
        <is>
          <t>Sydney (Nouvelle-Écosse)</t>
        </is>
      </c>
      <c r="P2757" t="n">
        <v>627.9</v>
      </c>
      <c r="Q2757" t="n">
        <v>39.4</v>
      </c>
      <c r="R2757" t="n">
        <v>280.21</v>
      </c>
      <c r="S2757" t="n">
        <v>131.7</v>
      </c>
      <c r="T2757" t="n">
        <v>42</v>
      </c>
      <c r="U2757" t="n">
        <v>1121.21</v>
      </c>
      <c r="X2757" t="inlineStr">
        <is>
          <t>acoa-apeca</t>
        </is>
      </c>
      <c r="Y2757" t="inlineStr">
        <is>
          <t>Atlantic Canada Opportunities Agency | Agence de promotion économique du Canada atlantique</t>
        </is>
      </c>
    </row>
    <row r="2758">
      <c r="A2758" t="inlineStr">
        <is>
          <t>T-2017-Q3-00024</t>
        </is>
      </c>
      <c r="B2758" t="inlineStr">
        <is>
          <t>SLE</t>
        </is>
      </c>
      <c r="C2758" t="inlineStr">
        <is>
          <t>President</t>
        </is>
      </c>
      <c r="D2758" t="inlineStr">
        <is>
          <t>Président</t>
        </is>
      </c>
      <c r="E2758" t="inlineStr">
        <is>
          <t>Paul J. LeBlanc</t>
        </is>
      </c>
      <c r="F2758" t="inlineStr">
        <is>
          <t>For a meeting and discussions with Agency officials and Government of Canada officials</t>
        </is>
      </c>
      <c r="G2758" t="inlineStr">
        <is>
          <t>Réunion et discussions avec des fonctionnaires de l'Agence et du gouvernement du Canada</t>
        </is>
      </c>
      <c r="H2758" s="1" t="n">
        <v>42648</v>
      </c>
      <c r="I2758" s="1" t="n">
        <v>42649</v>
      </c>
      <c r="J2758" t="inlineStr">
        <is>
          <t>Charlottetown, Prince Edward Island</t>
        </is>
      </c>
      <c r="K2758" t="inlineStr">
        <is>
          <t>Charlottetown (Île-du-Prince-Édouard)</t>
        </is>
      </c>
      <c r="P2758" t="n">
        <v>0</v>
      </c>
      <c r="Q2758" t="n">
        <v>0</v>
      </c>
      <c r="R2758" t="n">
        <v>176.49</v>
      </c>
      <c r="S2758" t="n">
        <v>142.7</v>
      </c>
      <c r="T2758" t="n">
        <v>65.55</v>
      </c>
      <c r="U2758" t="n">
        <v>384.74</v>
      </c>
      <c r="X2758" t="inlineStr">
        <is>
          <t>acoa-apeca</t>
        </is>
      </c>
      <c r="Y2758" t="inlineStr">
        <is>
          <t>Atlantic Canada Opportunities Agency | Agence de promotion économique du Canada atlantique</t>
        </is>
      </c>
    </row>
    <row r="2759">
      <c r="A2759" t="inlineStr">
        <is>
          <t>T-2017-Q3-00023</t>
        </is>
      </c>
      <c r="B2759" t="inlineStr">
        <is>
          <t>SLE</t>
        </is>
      </c>
      <c r="C2759" t="inlineStr">
        <is>
          <t>Vice-President, New Brunswick</t>
        </is>
      </c>
      <c r="D2759" t="inlineStr">
        <is>
          <t>Vice-président, Nouveau-Brunswick</t>
        </is>
      </c>
      <c r="E2759" t="inlineStr">
        <is>
          <t>Kent Estabrooks</t>
        </is>
      </c>
      <c r="F2759" t="inlineStr">
        <is>
          <t>Meetings with various Government of Canada officials</t>
        </is>
      </c>
      <c r="G2759" t="inlineStr">
        <is>
          <t>Réunions avec divers fonctionnaires du gouvernement du Canada</t>
        </is>
      </c>
      <c r="H2759" s="1" t="n">
        <v>42646</v>
      </c>
      <c r="I2759" s="1" t="n">
        <v>42648</v>
      </c>
      <c r="J2759" t="inlineStr">
        <is>
          <t>Ottawa, Ontario</t>
        </is>
      </c>
      <c r="K2759" t="inlineStr">
        <is>
          <t>Ottawa (Ontario)</t>
        </is>
      </c>
      <c r="P2759" t="n">
        <v>658.55</v>
      </c>
      <c r="Q2759" t="n">
        <v>124.7</v>
      </c>
      <c r="R2759" t="n">
        <v>393.4</v>
      </c>
      <c r="S2759" t="n">
        <v>223.05</v>
      </c>
      <c r="T2759" t="n">
        <v>0</v>
      </c>
      <c r="U2759" t="n">
        <v>1399.7</v>
      </c>
      <c r="X2759" t="inlineStr">
        <is>
          <t>acoa-apeca</t>
        </is>
      </c>
      <c r="Y2759" t="inlineStr">
        <is>
          <t>Atlantic Canada Opportunities Agency | Agence de promotion économique du Canada atlantique</t>
        </is>
      </c>
    </row>
    <row r="2760">
      <c r="A2760" t="inlineStr">
        <is>
          <t>T-2017-Q3-00022</t>
        </is>
      </c>
      <c r="B2760" t="inlineStr">
        <is>
          <t>SLE</t>
        </is>
      </c>
      <c r="C2760" t="inlineStr">
        <is>
          <t>Vice-President, Prince Edward Island</t>
        </is>
      </c>
      <c r="D2760" t="inlineStr">
        <is>
          <t>Vice-président, Île-du-Prince-Édouard</t>
        </is>
      </c>
      <c r="E2760" t="inlineStr">
        <is>
          <t>Patrick Dorsey</t>
        </is>
      </c>
      <c r="F2760" t="inlineStr">
        <is>
          <t>Atlantic tourism stakeholders meetings</t>
        </is>
      </c>
      <c r="G2760" t="inlineStr">
        <is>
          <t>Réunions avec des intervenants du tourisme en Atlantique</t>
        </is>
      </c>
      <c r="H2760" s="1" t="n">
        <v>42646</v>
      </c>
      <c r="I2760" s="1" t="n">
        <v>42648</v>
      </c>
      <c r="J2760" t="inlineStr">
        <is>
          <t>Fredericton, New Brunswick</t>
        </is>
      </c>
      <c r="K2760" t="inlineStr">
        <is>
          <t>Fredericton (Nouveau-Brunswick)</t>
        </is>
      </c>
      <c r="P2760" t="n">
        <v>0</v>
      </c>
      <c r="Q2760" t="n">
        <v>59</v>
      </c>
      <c r="R2760" t="n">
        <v>289.8</v>
      </c>
      <c r="S2760" t="n">
        <v>148.95</v>
      </c>
      <c r="T2760" t="n">
        <v>0</v>
      </c>
      <c r="U2760" t="n">
        <v>497.75</v>
      </c>
      <c r="X2760" t="inlineStr">
        <is>
          <t>acoa-apeca</t>
        </is>
      </c>
      <c r="Y2760" t="inlineStr">
        <is>
          <t>Atlantic Canada Opportunities Agency | Agence de promotion économique du Canada atlantique</t>
        </is>
      </c>
    </row>
    <row r="2761">
      <c r="A2761" t="inlineStr">
        <is>
          <t>T-2017-Q3-00021</t>
        </is>
      </c>
      <c r="B2761" t="inlineStr">
        <is>
          <t>SLE</t>
        </is>
      </c>
      <c r="C2761" t="inlineStr">
        <is>
          <t>Vice-President, Policy and Programs</t>
        </is>
      </c>
      <c r="D2761" t="inlineStr">
        <is>
          <t>Vice-président, Politiques et Programmes</t>
        </is>
      </c>
      <c r="E2761" t="inlineStr">
        <is>
          <t>Daryell Nowlan</t>
        </is>
      </c>
      <c r="F2761" t="inlineStr">
        <is>
          <t>Meetings with Government of Canada officials and provincial government officials</t>
        </is>
      </c>
      <c r="G2761" t="inlineStr">
        <is>
          <t>Réunions avec des fonctionnaires fédéraux et provinciaux</t>
        </is>
      </c>
      <c r="H2761" s="1" t="n">
        <v>42646</v>
      </c>
      <c r="I2761" s="1" t="n">
        <v>42649</v>
      </c>
      <c r="J2761" t="inlineStr">
        <is>
          <t>Toronto, Ontario and Charlottetown, Prince Edward Island</t>
        </is>
      </c>
      <c r="K2761" t="inlineStr">
        <is>
          <t>Toronto (Ontario) et Charlottetown (Île-du-Prince-Édouard)</t>
        </is>
      </c>
      <c r="P2761" t="n">
        <v>644.1</v>
      </c>
      <c r="Q2761" t="n">
        <v>75</v>
      </c>
      <c r="R2761" t="n">
        <v>621.83</v>
      </c>
      <c r="S2761" t="n">
        <v>268.65</v>
      </c>
      <c r="T2761" t="n">
        <v>0</v>
      </c>
      <c r="U2761" t="n">
        <v>1609.58</v>
      </c>
      <c r="X2761" t="inlineStr">
        <is>
          <t>acoa-apeca</t>
        </is>
      </c>
      <c r="Y2761" t="inlineStr">
        <is>
          <t>Atlantic Canada Opportunities Agency | Agence de promotion économique du Canada atlantique</t>
        </is>
      </c>
    </row>
    <row r="2762">
      <c r="A2762" t="inlineStr">
        <is>
          <t>T-2017-Q3-00020</t>
        </is>
      </c>
      <c r="B2762" t="inlineStr">
        <is>
          <t>SLE</t>
        </is>
      </c>
      <c r="C2762" t="inlineStr">
        <is>
          <t>President</t>
        </is>
      </c>
      <c r="D2762" t="inlineStr">
        <is>
          <t>Président</t>
        </is>
      </c>
      <c r="E2762" t="inlineStr">
        <is>
          <t>Paul J. LeBlanc</t>
        </is>
      </c>
      <c r="F2762" t="inlineStr">
        <is>
          <t>For various meetings and discussions with Agency officials and Government of Canada officials</t>
        </is>
      </c>
      <c r="G2762" t="inlineStr">
        <is>
          <t>Diverses réunions et discussions avec des fonctionnaires de l'Agence et du gouvernement du Canada</t>
        </is>
      </c>
      <c r="H2762" s="1" t="n">
        <v>42646</v>
      </c>
      <c r="I2762" s="1" t="n">
        <v>42647</v>
      </c>
      <c r="J2762" t="inlineStr">
        <is>
          <t>Toronto, Ontario</t>
        </is>
      </c>
      <c r="K2762" t="inlineStr">
        <is>
          <t>Toronto (Ontario)</t>
        </is>
      </c>
      <c r="P2762" t="n">
        <v>644.1</v>
      </c>
      <c r="Q2762" t="n">
        <v>0</v>
      </c>
      <c r="R2762" t="n">
        <v>214.49</v>
      </c>
      <c r="S2762" t="n">
        <v>142.7</v>
      </c>
      <c r="T2762" t="n">
        <v>32</v>
      </c>
      <c r="U2762" t="n">
        <v>1033.29</v>
      </c>
      <c r="X2762" t="inlineStr">
        <is>
          <t>acoa-apeca</t>
        </is>
      </c>
      <c r="Y2762" t="inlineStr">
        <is>
          <t>Atlantic Canada Opportunities Agency | Agence de promotion économique du Canada atlantique</t>
        </is>
      </c>
    </row>
    <row r="2763">
      <c r="A2763" t="inlineStr">
        <is>
          <t>T-2017-Q3-00019</t>
        </is>
      </c>
      <c r="B2763" t="inlineStr">
        <is>
          <t>SLE</t>
        </is>
      </c>
      <c r="C2763" t="inlineStr">
        <is>
          <t>President</t>
        </is>
      </c>
      <c r="D2763" t="inlineStr">
        <is>
          <t>Président</t>
        </is>
      </c>
      <c r="E2763" t="inlineStr">
        <is>
          <t>Paul J. LeBlanc</t>
        </is>
      </c>
      <c r="F2763" t="inlineStr">
        <is>
          <t>For various meetings and discussions with Agency officials and Government of Canada officials</t>
        </is>
      </c>
      <c r="G2763" t="inlineStr">
        <is>
          <t>Diverses réunions et discussions avec des fonctionnaires de l'Agence et du gouvernement du Canada</t>
        </is>
      </c>
      <c r="H2763" s="1" t="n">
        <v>42643</v>
      </c>
      <c r="I2763" s="1" t="n">
        <v>42643</v>
      </c>
      <c r="J2763" t="inlineStr">
        <is>
          <t>Halifax, Nova Scotia</t>
        </is>
      </c>
      <c r="K2763" t="inlineStr">
        <is>
          <t>Halifax (Nouvelle-Écosse)</t>
        </is>
      </c>
      <c r="P2763" t="n">
        <v>0</v>
      </c>
      <c r="Q2763" t="n">
        <v>0</v>
      </c>
      <c r="R2763" t="n">
        <v>0</v>
      </c>
      <c r="S2763" t="n">
        <v>0</v>
      </c>
      <c r="T2763" t="n">
        <v>14</v>
      </c>
      <c r="U2763" t="n">
        <v>14</v>
      </c>
      <c r="X2763" t="inlineStr">
        <is>
          <t>acoa-apeca</t>
        </is>
      </c>
      <c r="Y2763" t="inlineStr">
        <is>
          <t>Atlantic Canada Opportunities Agency | Agence de promotion économique du Canada atlantique</t>
        </is>
      </c>
    </row>
    <row r="2764">
      <c r="A2764" t="inlineStr">
        <is>
          <t>T-2017-Q3-00018</t>
        </is>
      </c>
      <c r="B2764" t="inlineStr">
        <is>
          <t>SLE</t>
        </is>
      </c>
      <c r="C2764" t="inlineStr">
        <is>
          <t>Vice-President, Finance and Corporate Services</t>
        </is>
      </c>
      <c r="D2764" t="inlineStr">
        <is>
          <t>Vice-présidente, Finances et Services corporatifs</t>
        </is>
      </c>
      <c r="E2764" t="inlineStr">
        <is>
          <t>Denise Frenette</t>
        </is>
      </c>
      <c r="F2764" t="inlineStr">
        <is>
          <t>Presentation to students in finance program, and meeting with Agency officials</t>
        </is>
      </c>
      <c r="G2764" t="inlineStr">
        <is>
          <t>Exposé présenté à des étudiants en finances et réunion avec des fonctionnaires de l'Agence</t>
        </is>
      </c>
      <c r="H2764" s="1" t="n">
        <v>42641</v>
      </c>
      <c r="I2764" s="1" t="n">
        <v>42641</v>
      </c>
      <c r="J2764" t="inlineStr">
        <is>
          <t>Charlottetown, Prince Edward Island</t>
        </is>
      </c>
      <c r="K2764" t="inlineStr">
        <is>
          <t>Charlottetown (Île-du-Prince-Édouard)</t>
        </is>
      </c>
      <c r="P2764" t="n">
        <v>0</v>
      </c>
      <c r="Q2764" t="n">
        <v>0</v>
      </c>
      <c r="R2764" t="n">
        <v>0</v>
      </c>
      <c r="S2764" t="n">
        <v>17</v>
      </c>
      <c r="T2764" t="n">
        <v>4</v>
      </c>
      <c r="U2764" t="n">
        <v>21</v>
      </c>
      <c r="X2764" t="inlineStr">
        <is>
          <t>acoa-apeca</t>
        </is>
      </c>
      <c r="Y2764" t="inlineStr">
        <is>
          <t>Atlantic Canada Opportunities Agency | Agence de promotion économique du Canada atlantique</t>
        </is>
      </c>
    </row>
    <row r="2765">
      <c r="A2765" t="inlineStr">
        <is>
          <t>T-2017-Q3-00017</t>
        </is>
      </c>
      <c r="B2765" t="inlineStr">
        <is>
          <t>SLE</t>
        </is>
      </c>
      <c r="C2765" t="inlineStr">
        <is>
          <t>President</t>
        </is>
      </c>
      <c r="D2765" t="inlineStr">
        <is>
          <t>Président</t>
        </is>
      </c>
      <c r="E2765" t="inlineStr">
        <is>
          <t>Paul J. LeBlanc</t>
        </is>
      </c>
      <c r="F2765" t="inlineStr">
        <is>
          <t>For a meeting with Government of Canada official</t>
        </is>
      </c>
      <c r="G2765" t="inlineStr">
        <is>
          <t>Réunion avec un fonctionnaire du gouvernement du Canada</t>
        </is>
      </c>
      <c r="H2765" s="1" t="n">
        <v>42641</v>
      </c>
      <c r="I2765" s="1" t="n">
        <v>42641</v>
      </c>
      <c r="J2765" t="inlineStr">
        <is>
          <t>Charlottetown, Prince Edward Island</t>
        </is>
      </c>
      <c r="K2765" t="inlineStr">
        <is>
          <t>Charlottetown (Île-du-Prince-Édouard)</t>
        </is>
      </c>
      <c r="P2765" t="n">
        <v>0</v>
      </c>
      <c r="Q2765" t="n">
        <v>46</v>
      </c>
      <c r="R2765" t="n">
        <v>0</v>
      </c>
      <c r="S2765" t="n">
        <v>0</v>
      </c>
      <c r="T2765" t="n">
        <v>5</v>
      </c>
      <c r="U2765" t="n">
        <v>51</v>
      </c>
      <c r="X2765" t="inlineStr">
        <is>
          <t>acoa-apeca</t>
        </is>
      </c>
      <c r="Y2765" t="inlineStr">
        <is>
          <t>Atlantic Canada Opportunities Agency | Agence de promotion économique du Canada atlantique</t>
        </is>
      </c>
    </row>
    <row r="2766">
      <c r="A2766" t="inlineStr">
        <is>
          <t>T-2017-Q3-00016</t>
        </is>
      </c>
      <c r="B2766" t="inlineStr">
        <is>
          <t>SLE</t>
        </is>
      </c>
      <c r="C2766" t="inlineStr">
        <is>
          <t>Vice-President, Finance and Corporate Services</t>
        </is>
      </c>
      <c r="D2766" t="inlineStr">
        <is>
          <t>Vice-présidente, Finances et Services corporatifs</t>
        </is>
      </c>
      <c r="E2766" t="inlineStr">
        <is>
          <t>Denise Frenette</t>
        </is>
      </c>
      <c r="F2766" t="inlineStr">
        <is>
          <t>Presentation to students in finance program</t>
        </is>
      </c>
      <c r="G2766" t="inlineStr">
        <is>
          <t>Exposé présenté à des étudiants en finances</t>
        </is>
      </c>
      <c r="H2766" s="1" t="n">
        <v>42640</v>
      </c>
      <c r="I2766" s="1" t="n">
        <v>42640</v>
      </c>
      <c r="J2766" t="inlineStr">
        <is>
          <t>Fredericton, New Brunswick</t>
        </is>
      </c>
      <c r="K2766" t="inlineStr">
        <is>
          <t>Fredericton (Nouveau-Brunswick)</t>
        </is>
      </c>
      <c r="P2766" t="n">
        <v>0</v>
      </c>
      <c r="Q2766" t="n">
        <v>0</v>
      </c>
      <c r="R2766" t="n">
        <v>0</v>
      </c>
      <c r="S2766" t="n">
        <v>17</v>
      </c>
      <c r="T2766" t="n">
        <v>0</v>
      </c>
      <c r="U2766" t="n">
        <v>17</v>
      </c>
      <c r="X2766" t="inlineStr">
        <is>
          <t>acoa-apeca</t>
        </is>
      </c>
      <c r="Y2766" t="inlineStr">
        <is>
          <t>Atlantic Canada Opportunities Agency | Agence de promotion économique du Canada atlantique</t>
        </is>
      </c>
    </row>
    <row r="2767">
      <c r="A2767" t="inlineStr">
        <is>
          <t>T-2017-Q3-00015</t>
        </is>
      </c>
      <c r="B2767" t="inlineStr">
        <is>
          <t>SLE</t>
        </is>
      </c>
      <c r="C2767" t="inlineStr">
        <is>
          <t>Vice President, Nova Scotia</t>
        </is>
      </c>
      <c r="D2767" t="inlineStr">
        <is>
          <t>Vice-président, Nouvelle-Écosse</t>
        </is>
      </c>
      <c r="E2767" t="inlineStr">
        <is>
          <t>Peter Hogan</t>
        </is>
      </c>
      <c r="F2767" t="inlineStr">
        <is>
          <t>Meetings with Agency officials and attended the Innovation Energy Summit</t>
        </is>
      </c>
      <c r="G2767" t="inlineStr">
        <is>
          <t>Réunions avec des fonctionnaires de l'Agence et participation au sommet de l'innovation énergétique</t>
        </is>
      </c>
      <c r="H2767" s="1" t="n">
        <v>42639</v>
      </c>
      <c r="I2767" s="1" t="n">
        <v>42639</v>
      </c>
      <c r="J2767" t="inlineStr">
        <is>
          <t>Sydney, Nova Scotia</t>
        </is>
      </c>
      <c r="K2767" t="inlineStr">
        <is>
          <t>Sydney (Nouvelle-Écosse)</t>
        </is>
      </c>
      <c r="P2767" t="n">
        <v>234.6</v>
      </c>
      <c r="Q2767" t="n">
        <v>39.4</v>
      </c>
      <c r="R2767" t="n">
        <v>0</v>
      </c>
      <c r="S2767" t="n">
        <v>45</v>
      </c>
      <c r="T2767" t="n">
        <v>21</v>
      </c>
      <c r="U2767" t="n">
        <v>340</v>
      </c>
      <c r="X2767" t="inlineStr">
        <is>
          <t>acoa-apeca</t>
        </is>
      </c>
      <c r="Y2767" t="inlineStr">
        <is>
          <t>Atlantic Canada Opportunities Agency | Agence de promotion économique du Canada atlantique</t>
        </is>
      </c>
    </row>
    <row r="2768">
      <c r="A2768" t="inlineStr">
        <is>
          <t>T-2017-Q3-00014</t>
        </is>
      </c>
      <c r="B2768" t="inlineStr">
        <is>
          <t>SLE</t>
        </is>
      </c>
      <c r="C2768" t="inlineStr">
        <is>
          <t>Vice President, Nova Scotia</t>
        </is>
      </c>
      <c r="D2768" t="inlineStr">
        <is>
          <t>Vice-président, Nouvelle-Écosse</t>
        </is>
      </c>
      <c r="E2768" t="inlineStr">
        <is>
          <t>Peter Hogan</t>
        </is>
      </c>
      <c r="F2768" t="inlineStr">
        <is>
          <t>Various meetings with Agency and Government of Canada officials and appearance before the Standing Committee on Finance</t>
        </is>
      </c>
      <c r="G2768" t="inlineStr">
        <is>
          <t>Diverses réunions avec des fonctionnaires de l'Agence et du gouvernement du Canada et comparution devant le Comité permanent des finances</t>
        </is>
      </c>
      <c r="H2768" s="1" t="n">
        <v>42634</v>
      </c>
      <c r="I2768" s="1" t="n">
        <v>42636</v>
      </c>
      <c r="J2768" t="inlineStr">
        <is>
          <t>Ottawa, Ontario</t>
        </is>
      </c>
      <c r="K2768" t="inlineStr">
        <is>
          <t>Ottawa (Ontario)</t>
        </is>
      </c>
      <c r="P2768" t="n">
        <v>636.17</v>
      </c>
      <c r="Q2768" t="n">
        <v>42.54</v>
      </c>
      <c r="R2768" t="n">
        <v>388.74</v>
      </c>
      <c r="S2768" t="n">
        <v>226.5</v>
      </c>
      <c r="T2768" t="n">
        <v>63</v>
      </c>
      <c r="U2768" t="n">
        <v>1356.95</v>
      </c>
      <c r="X2768" t="inlineStr">
        <is>
          <t>acoa-apeca</t>
        </is>
      </c>
      <c r="Y2768" t="inlineStr">
        <is>
          <t>Atlantic Canada Opportunities Agency | Agence de promotion économique du Canada atlantique</t>
        </is>
      </c>
    </row>
    <row r="2769">
      <c r="A2769" t="inlineStr">
        <is>
          <t>T-2017-Q3-00013</t>
        </is>
      </c>
      <c r="B2769" t="inlineStr">
        <is>
          <t>SLE</t>
        </is>
      </c>
      <c r="C2769" t="inlineStr">
        <is>
          <t>Vice-President, Newfoundland and Labrador</t>
        </is>
      </c>
      <c r="D2769" t="inlineStr">
        <is>
          <t>Vice-président, Terre-Neuve-et-Labrador</t>
        </is>
      </c>
      <c r="E2769" t="inlineStr">
        <is>
          <t>Ken Martin</t>
        </is>
      </c>
      <c r="F2769" t="inlineStr">
        <is>
          <t>Appearance before the parliamentary Standing Committee on Finance (FINA)</t>
        </is>
      </c>
      <c r="G2769" t="inlineStr">
        <is>
          <t>Comparution devant le Comité permanent des finances (FINA) du Parlement</t>
        </is>
      </c>
      <c r="H2769" s="1" t="n">
        <v>42634</v>
      </c>
      <c r="I2769" s="1" t="n">
        <v>42636</v>
      </c>
      <c r="J2769" t="inlineStr">
        <is>
          <t>Ottawa, Ontario</t>
        </is>
      </c>
      <c r="K2769" t="inlineStr">
        <is>
          <t>Ottawa (Ontario)</t>
        </is>
      </c>
      <c r="P2769" t="n">
        <v>767.61</v>
      </c>
      <c r="Q2769" t="n">
        <v>51.14</v>
      </c>
      <c r="R2769" t="n">
        <v>439.96</v>
      </c>
      <c r="S2769" t="n">
        <v>271.5</v>
      </c>
      <c r="T2769" t="n">
        <v>0</v>
      </c>
      <c r="U2769" t="n">
        <v>1530.21</v>
      </c>
      <c r="X2769" t="inlineStr">
        <is>
          <t>acoa-apeca</t>
        </is>
      </c>
      <c r="Y2769" t="inlineStr">
        <is>
          <t>Atlantic Canada Opportunities Agency | Agence de promotion économique du Canada atlantique</t>
        </is>
      </c>
    </row>
    <row r="2770">
      <c r="A2770" t="inlineStr">
        <is>
          <t>T-2017-Q3-00012</t>
        </is>
      </c>
      <c r="B2770" t="inlineStr">
        <is>
          <t>SLE</t>
        </is>
      </c>
      <c r="C2770" t="inlineStr">
        <is>
          <t>President</t>
        </is>
      </c>
      <c r="D2770" t="inlineStr">
        <is>
          <t>Président</t>
        </is>
      </c>
      <c r="E2770" t="inlineStr">
        <is>
          <t>Paul J. LeBlanc</t>
        </is>
      </c>
      <c r="F2770" t="inlineStr">
        <is>
          <t>For various meetings and discussions with Agency officials and Government of Canada officials</t>
        </is>
      </c>
      <c r="G2770" t="inlineStr">
        <is>
          <t>Réunions et discussions avec des fonctionnaires de l'Agence et du gouvernement du Canada</t>
        </is>
      </c>
      <c r="H2770" s="1" t="n">
        <v>42633</v>
      </c>
      <c r="I2770" s="1" t="n">
        <v>42635</v>
      </c>
      <c r="J2770" t="inlineStr">
        <is>
          <t>Ottawa, Ontario</t>
        </is>
      </c>
      <c r="K2770" t="inlineStr">
        <is>
          <t>Ottawa (Ontario)</t>
        </is>
      </c>
      <c r="P2770" t="n">
        <v>0</v>
      </c>
      <c r="Q2770" t="n">
        <v>0</v>
      </c>
      <c r="R2770" t="n">
        <v>398.05</v>
      </c>
      <c r="S2770" t="n">
        <v>209.5</v>
      </c>
      <c r="T2770" t="n">
        <v>0</v>
      </c>
      <c r="U2770" t="n">
        <v>607.55</v>
      </c>
      <c r="X2770" t="inlineStr">
        <is>
          <t>acoa-apeca</t>
        </is>
      </c>
      <c r="Y2770" t="inlineStr">
        <is>
          <t>Atlantic Canada Opportunities Agency | Agence de promotion économique du Canada atlantique</t>
        </is>
      </c>
    </row>
    <row r="2771">
      <c r="A2771" t="inlineStr">
        <is>
          <t>T-2017-Q3-00011</t>
        </is>
      </c>
      <c r="B2771" t="inlineStr">
        <is>
          <t>SLE</t>
        </is>
      </c>
      <c r="C2771" t="inlineStr">
        <is>
          <t>Vice-President, New Brunswick</t>
        </is>
      </c>
      <c r="D2771" t="inlineStr">
        <is>
          <t>Vice-président, Nouveau-Brunswick</t>
        </is>
      </c>
      <c r="E2771" t="inlineStr">
        <is>
          <t>Kent Estabrooks</t>
        </is>
      </c>
      <c r="F2771" t="inlineStr">
        <is>
          <t>Appearance before the parliamentary Standing Committee on Finance</t>
        </is>
      </c>
      <c r="G2771" t="inlineStr">
        <is>
          <t>Comparution devant le Comité permanent des finances du Parlement</t>
        </is>
      </c>
      <c r="H2771" s="1" t="n">
        <v>42632</v>
      </c>
      <c r="I2771" s="1" t="n">
        <v>42634</v>
      </c>
      <c r="J2771" t="inlineStr">
        <is>
          <t>Ottawa, Ontario</t>
        </is>
      </c>
      <c r="K2771" t="inlineStr">
        <is>
          <t>Ottawa (Ontario)</t>
        </is>
      </c>
      <c r="P2771" t="n">
        <v>644.1</v>
      </c>
      <c r="Q2771" t="n">
        <v>92.12</v>
      </c>
      <c r="R2771" t="n">
        <v>405.54</v>
      </c>
      <c r="S2771" t="n">
        <v>237.9</v>
      </c>
      <c r="T2771" t="n">
        <v>0</v>
      </c>
      <c r="U2771" t="n">
        <v>1379.66</v>
      </c>
      <c r="X2771" t="inlineStr">
        <is>
          <t>acoa-apeca</t>
        </is>
      </c>
      <c r="Y2771" t="inlineStr">
        <is>
          <t>Atlantic Canada Opportunities Agency | Agence de promotion économique du Canada atlantique</t>
        </is>
      </c>
    </row>
    <row r="2772">
      <c r="A2772" t="inlineStr">
        <is>
          <t>T-2017-Q3-00010</t>
        </is>
      </c>
      <c r="B2772" t="inlineStr">
        <is>
          <t>SLE</t>
        </is>
      </c>
      <c r="C2772" t="inlineStr">
        <is>
          <t>Vice-President, Prince Edward Island</t>
        </is>
      </c>
      <c r="D2772" t="inlineStr">
        <is>
          <t>Vice-président, Île-du-Prince-Édouard</t>
        </is>
      </c>
      <c r="E2772" t="inlineStr">
        <is>
          <t>Patrick Dorsey</t>
        </is>
      </c>
      <c r="F2772" t="inlineStr">
        <is>
          <t xml:space="preserve">Meeting in Ottawa - Appearance before the Standing Committee on Finance (FINA) </t>
        </is>
      </c>
      <c r="G2772" t="inlineStr">
        <is>
          <t>Réunion à Ottawa - comparution devant le Comité permanent des finances (FINA)</t>
        </is>
      </c>
      <c r="H2772" s="1" t="n">
        <v>42632</v>
      </c>
      <c r="I2772" s="1" t="n">
        <v>42632</v>
      </c>
      <c r="J2772" t="inlineStr">
        <is>
          <t>Ottawa, Ontario</t>
        </is>
      </c>
      <c r="K2772" t="inlineStr">
        <is>
          <t>Ottawa (Ontario)</t>
        </is>
      </c>
      <c r="P2772" t="n">
        <v>337.29</v>
      </c>
      <c r="Q2772" t="n">
        <v>0</v>
      </c>
      <c r="R2772" t="n">
        <v>365.46</v>
      </c>
      <c r="S2772" t="n">
        <v>209.5</v>
      </c>
      <c r="T2772" t="n">
        <v>0</v>
      </c>
      <c r="U2772" t="n">
        <v>912.25</v>
      </c>
      <c r="X2772" t="inlineStr">
        <is>
          <t>acoa-apeca</t>
        </is>
      </c>
      <c r="Y2772" t="inlineStr">
        <is>
          <t>Atlantic Canada Opportunities Agency | Agence de promotion économique du Canada atlantique</t>
        </is>
      </c>
    </row>
    <row r="2773">
      <c r="A2773" t="inlineStr">
        <is>
          <t>T-2017-Q3-00009</t>
        </is>
      </c>
      <c r="B2773" t="inlineStr">
        <is>
          <t>SLE</t>
        </is>
      </c>
      <c r="C2773" t="inlineStr">
        <is>
          <t>Vice-President, New Brunswick</t>
        </is>
      </c>
      <c r="D2773" t="inlineStr">
        <is>
          <t>Vice-président, Nouveau-Brunswick</t>
        </is>
      </c>
      <c r="E2773" t="inlineStr">
        <is>
          <t>Kent Estabrooks</t>
        </is>
      </c>
      <c r="F2773" t="inlineStr">
        <is>
          <t>Agency Executive Committee meeting and training</t>
        </is>
      </c>
      <c r="G2773" t="inlineStr">
        <is>
          <t>Réunion du Comité de direction de l'Agence et formation</t>
        </is>
      </c>
      <c r="H2773" s="1" t="n">
        <v>42627</v>
      </c>
      <c r="I2773" s="1" t="n">
        <v>42629</v>
      </c>
      <c r="J2773" t="inlineStr">
        <is>
          <t>Moncton, New Brunswick</t>
        </is>
      </c>
      <c r="K2773" t="inlineStr">
        <is>
          <t>Moncton (Nouveau-Brunswick)</t>
        </is>
      </c>
      <c r="P2773" t="n">
        <v>0</v>
      </c>
      <c r="Q2773" t="n">
        <v>0</v>
      </c>
      <c r="R2773" t="n">
        <v>250.7</v>
      </c>
      <c r="S2773" t="n">
        <v>175.9</v>
      </c>
      <c r="T2773" t="n">
        <v>32.2</v>
      </c>
      <c r="U2773" t="n">
        <v>458.8</v>
      </c>
      <c r="X2773" t="inlineStr">
        <is>
          <t>acoa-apeca</t>
        </is>
      </c>
      <c r="Y2773" t="inlineStr">
        <is>
          <t>Atlantic Canada Opportunities Agency | Agence de promotion économique du Canada atlantique</t>
        </is>
      </c>
    </row>
    <row r="2774">
      <c r="A2774" t="inlineStr">
        <is>
          <t>T-2017-Q3-00008</t>
        </is>
      </c>
      <c r="B2774" t="inlineStr">
        <is>
          <t>SLE</t>
        </is>
      </c>
      <c r="C2774" t="inlineStr">
        <is>
          <t>Vice President, Nova Scotia</t>
        </is>
      </c>
      <c r="D2774" t="inlineStr">
        <is>
          <t>Vice-président, Nouvelle-Écosse</t>
        </is>
      </c>
      <c r="E2774" t="inlineStr">
        <is>
          <t>Peter Hogan</t>
        </is>
      </c>
      <c r="F2774" t="inlineStr">
        <is>
          <t>Meetings with Agency officials</t>
        </is>
      </c>
      <c r="G2774" t="inlineStr">
        <is>
          <t>Réunions avec des fonctionnaires de l'Agence</t>
        </is>
      </c>
      <c r="H2774" s="1" t="n">
        <v>42627</v>
      </c>
      <c r="I2774" s="1" t="n">
        <v>42629</v>
      </c>
      <c r="J2774" t="inlineStr">
        <is>
          <t>Moncton, New Brunswick</t>
        </is>
      </c>
      <c r="K2774" t="inlineStr">
        <is>
          <t>Moncton (Nouveau-Brunswick)</t>
        </is>
      </c>
      <c r="P2774" t="n">
        <v>0</v>
      </c>
      <c r="Q2774" t="n">
        <v>0</v>
      </c>
      <c r="R2774" t="n">
        <v>250.7</v>
      </c>
      <c r="S2774" t="n">
        <v>147.5</v>
      </c>
      <c r="T2774" t="n">
        <v>32.2</v>
      </c>
      <c r="U2774" t="n">
        <v>430.4</v>
      </c>
      <c r="X2774" t="inlineStr">
        <is>
          <t>acoa-apeca</t>
        </is>
      </c>
      <c r="Y2774" t="inlineStr">
        <is>
          <t>Atlantic Canada Opportunities Agency | Agence de promotion économique du Canada atlantique</t>
        </is>
      </c>
    </row>
    <row r="2775">
      <c r="A2775" t="inlineStr">
        <is>
          <t>T-2017-Q3-00007</t>
        </is>
      </c>
      <c r="B2775" t="inlineStr">
        <is>
          <t>SLE</t>
        </is>
      </c>
      <c r="C2775" t="inlineStr">
        <is>
          <t>Vice-President, Newfoundland and Labrador</t>
        </is>
      </c>
      <c r="D2775" t="inlineStr">
        <is>
          <t>Vice-président, Terre-Neuve-et-Labrador</t>
        </is>
      </c>
      <c r="E2775" t="inlineStr">
        <is>
          <t>Ken Martin</t>
        </is>
      </c>
      <c r="F2775" t="inlineStr">
        <is>
          <t>Executive Committee meeting</t>
        </is>
      </c>
      <c r="G2775" t="inlineStr">
        <is>
          <t>Réunion du Comité de direction</t>
        </is>
      </c>
      <c r="H2775" s="1" t="n">
        <v>42627</v>
      </c>
      <c r="I2775" s="1" t="n">
        <v>42628</v>
      </c>
      <c r="J2775" t="inlineStr">
        <is>
          <t>Moncton, New Brunswick</t>
        </is>
      </c>
      <c r="K2775" t="inlineStr">
        <is>
          <t>Moncton (Nouveau-Brunswick)</t>
        </is>
      </c>
      <c r="P2775" t="n">
        <v>710.24</v>
      </c>
      <c r="Q2775" t="n">
        <v>64.14</v>
      </c>
      <c r="R2775" t="n">
        <v>125.35</v>
      </c>
      <c r="S2775" t="n">
        <v>141.4</v>
      </c>
      <c r="T2775" t="n">
        <v>0</v>
      </c>
      <c r="U2775" t="n">
        <v>1041.13</v>
      </c>
      <c r="X2775" t="inlineStr">
        <is>
          <t>acoa-apeca</t>
        </is>
      </c>
      <c r="Y2775" t="inlineStr">
        <is>
          <t>Atlantic Canada Opportunities Agency | Agence de promotion économique du Canada atlantique</t>
        </is>
      </c>
    </row>
    <row r="2776">
      <c r="A2776" t="inlineStr">
        <is>
          <t>T-2017-Q3-00006</t>
        </is>
      </c>
      <c r="B2776" t="inlineStr">
        <is>
          <t>SLE</t>
        </is>
      </c>
      <c r="C2776" t="inlineStr">
        <is>
          <t>President</t>
        </is>
      </c>
      <c r="D2776" t="inlineStr">
        <is>
          <t>Président</t>
        </is>
      </c>
      <c r="E2776" t="inlineStr">
        <is>
          <t>Paul J. LeBlanc</t>
        </is>
      </c>
      <c r="F2776" t="inlineStr">
        <is>
          <t>For various meetings and discussions with Agency officials, Government of Canada officials and provincial government officials</t>
        </is>
      </c>
      <c r="G2776" t="inlineStr">
        <is>
          <t>Diverses réunions et discussions avec des fonctionnaires de l'Agence, du gouvernement du Canada et du gouvernement provincial</t>
        </is>
      </c>
      <c r="H2776" s="1" t="n">
        <v>42625</v>
      </c>
      <c r="I2776" s="1" t="n">
        <v>42626</v>
      </c>
      <c r="J2776" t="inlineStr">
        <is>
          <t>Halifax, Nova Scotia</t>
        </is>
      </c>
      <c r="K2776" t="inlineStr">
        <is>
          <t>Halifax (Nouvelle-Écosse)</t>
        </is>
      </c>
      <c r="P2776" t="n">
        <v>0</v>
      </c>
      <c r="Q2776" t="n">
        <v>0</v>
      </c>
      <c r="R2776" t="n">
        <v>191.2</v>
      </c>
      <c r="S2776" t="n">
        <v>130.4</v>
      </c>
      <c r="T2776" t="n">
        <v>24</v>
      </c>
      <c r="U2776" t="n">
        <v>345.6</v>
      </c>
      <c r="X2776" t="inlineStr">
        <is>
          <t>acoa-apeca</t>
        </is>
      </c>
      <c r="Y2776" t="inlineStr">
        <is>
          <t>Atlantic Canada Opportunities Agency | Agence de promotion économique du Canada atlantique</t>
        </is>
      </c>
    </row>
    <row r="2777">
      <c r="A2777" t="inlineStr">
        <is>
          <t>T-2017-Q3-00005</t>
        </is>
      </c>
      <c r="B2777" t="inlineStr">
        <is>
          <t>SLE</t>
        </is>
      </c>
      <c r="C2777" t="inlineStr">
        <is>
          <t>Vice-President, Policy and Programs</t>
        </is>
      </c>
      <c r="D2777" t="inlineStr">
        <is>
          <t>Vice-président, Politiques et Programmes</t>
        </is>
      </c>
      <c r="E2777" t="inlineStr">
        <is>
          <t>Daryell Nowlan</t>
        </is>
      </c>
      <c r="F2777" t="inlineStr">
        <is>
          <t>Meetings with Government of Canada officials</t>
        </is>
      </c>
      <c r="G2777" t="inlineStr">
        <is>
          <t>Réunions avec des fonctionnaires du gouvernement du Canada</t>
        </is>
      </c>
      <c r="H2777" s="1" t="n">
        <v>42624</v>
      </c>
      <c r="I2777" s="1" t="n">
        <v>42626</v>
      </c>
      <c r="J2777" t="inlineStr">
        <is>
          <t>Halifax, Nova Scotia</t>
        </is>
      </c>
      <c r="K2777" t="inlineStr">
        <is>
          <t>Halifax (Nouvelle-Écosse)</t>
        </is>
      </c>
      <c r="P2777" t="n">
        <v>0</v>
      </c>
      <c r="Q2777" t="n">
        <v>200</v>
      </c>
      <c r="R2777" t="n">
        <v>382.4</v>
      </c>
      <c r="S2777" t="n">
        <v>220.9</v>
      </c>
      <c r="T2777" t="n">
        <v>0</v>
      </c>
      <c r="U2777" t="n">
        <v>803.3</v>
      </c>
      <c r="X2777" t="inlineStr">
        <is>
          <t>acoa-apeca</t>
        </is>
      </c>
      <c r="Y2777" t="inlineStr">
        <is>
          <t>Atlantic Canada Opportunities Agency | Agence de promotion économique du Canada atlantique</t>
        </is>
      </c>
    </row>
    <row r="2778">
      <c r="A2778" t="inlineStr">
        <is>
          <t>T-2017-Q3-00003</t>
        </is>
      </c>
      <c r="B2778" t="inlineStr">
        <is>
          <t>SLE</t>
        </is>
      </c>
      <c r="C2778" t="inlineStr">
        <is>
          <t>Vice-President, Finance and Corporate Services</t>
        </is>
      </c>
      <c r="D2778" t="inlineStr">
        <is>
          <t>Vice-présidente, Finances et Services corporatifs</t>
        </is>
      </c>
      <c r="E2778" t="inlineStr">
        <is>
          <t>Denise Frenette</t>
        </is>
      </c>
      <c r="F2778" t="inlineStr">
        <is>
          <t>For meeting with various Government of Canada officials</t>
        </is>
      </c>
      <c r="G2778" t="inlineStr">
        <is>
          <t>Réunion avec divers fonctionnaires du gouvernement du Canada</t>
        </is>
      </c>
      <c r="H2778" s="1" t="n">
        <v>42622</v>
      </c>
      <c r="I2778" s="1" t="n">
        <v>42622</v>
      </c>
      <c r="J2778" t="inlineStr">
        <is>
          <t>Ottawa, Ontario</t>
        </is>
      </c>
      <c r="K2778" t="inlineStr">
        <is>
          <t>Ottawa (Ontario)</t>
        </is>
      </c>
      <c r="P2778" t="n">
        <v>430.14</v>
      </c>
      <c r="Q2778" t="n">
        <v>101.65</v>
      </c>
      <c r="R2778" t="n">
        <v>0</v>
      </c>
      <c r="S2778" t="n">
        <v>62</v>
      </c>
      <c r="T2778" t="n">
        <v>0</v>
      </c>
      <c r="U2778" t="n">
        <v>593.79</v>
      </c>
      <c r="X2778" t="inlineStr">
        <is>
          <t>acoa-apeca</t>
        </is>
      </c>
      <c r="Y2778" t="inlineStr">
        <is>
          <t>Atlantic Canada Opportunities Agency | Agence de promotion économique du Canada atlantique</t>
        </is>
      </c>
    </row>
    <row r="2779">
      <c r="A2779" t="inlineStr">
        <is>
          <t>T-2017-Q3-00002</t>
        </is>
      </c>
      <c r="B2779" t="inlineStr">
        <is>
          <t>SLE</t>
        </is>
      </c>
      <c r="C2779" t="inlineStr">
        <is>
          <t>Vice-President, Prince Edward Island</t>
        </is>
      </c>
      <c r="D2779" t="inlineStr">
        <is>
          <t>Vice-président, Île-du-Prince-Édouard</t>
        </is>
      </c>
      <c r="E2779" t="inlineStr">
        <is>
          <t>Patrick Dorsey</t>
        </is>
      </c>
      <c r="F2779" t="inlineStr">
        <is>
          <t>Attend Atlantic Growth Strategy (AGS) meeting</t>
        </is>
      </c>
      <c r="G2779" t="inlineStr">
        <is>
          <t>Assister à une réunion sur la Stratégie de croissance pour l'Atlantique (SCA)</t>
        </is>
      </c>
      <c r="H2779" s="1" t="n">
        <v>42620</v>
      </c>
      <c r="I2779" s="1" t="n">
        <v>42621</v>
      </c>
      <c r="J2779" t="inlineStr">
        <is>
          <t>Halifax, Nova Scotia</t>
        </is>
      </c>
      <c r="K2779" t="inlineStr">
        <is>
          <t>Halifax (Nouvelle-Écosse)</t>
        </is>
      </c>
      <c r="P2779" t="n">
        <v>0</v>
      </c>
      <c r="Q2779" t="n">
        <v>56</v>
      </c>
      <c r="R2779" t="n">
        <v>218.8</v>
      </c>
      <c r="S2779" t="n">
        <v>141.4</v>
      </c>
      <c r="T2779" t="n">
        <v>0</v>
      </c>
      <c r="U2779" t="n">
        <v>416.2</v>
      </c>
      <c r="X2779" t="inlineStr">
        <is>
          <t>acoa-apeca</t>
        </is>
      </c>
      <c r="Y2779" t="inlineStr">
        <is>
          <t>Atlantic Canada Opportunities Agency | Agence de promotion économique du Canada atlantique</t>
        </is>
      </c>
    </row>
    <row r="2780">
      <c r="A2780" t="inlineStr">
        <is>
          <t>T-2017-Q3-00001</t>
        </is>
      </c>
      <c r="B2780" t="inlineStr">
        <is>
          <t>SLE</t>
        </is>
      </c>
      <c r="C2780" t="inlineStr">
        <is>
          <t>Vice-President, Policy and Programs</t>
        </is>
      </c>
      <c r="D2780" t="inlineStr">
        <is>
          <t>Vice-président, Politiques et Programmes</t>
        </is>
      </c>
      <c r="E2780" t="inlineStr">
        <is>
          <t>Daryell Nowlan</t>
        </is>
      </c>
      <c r="F2780" t="inlineStr">
        <is>
          <t>Meetings with Government of Canada officials</t>
        </is>
      </c>
      <c r="G2780" t="inlineStr">
        <is>
          <t>Réunions avec des fonctionnaires du gouvernement du Canada</t>
        </is>
      </c>
      <c r="H2780" s="1" t="n">
        <v>42619</v>
      </c>
      <c r="I2780" s="1" t="n">
        <v>42621</v>
      </c>
      <c r="J2780" t="inlineStr">
        <is>
          <t>Halifax, Nova Scotia</t>
        </is>
      </c>
      <c r="K2780" t="inlineStr">
        <is>
          <t>Halifax (Nouvelle-Écosse)</t>
        </is>
      </c>
      <c r="P2780" t="n">
        <v>0</v>
      </c>
      <c r="Q2780" t="n">
        <v>203.75</v>
      </c>
      <c r="R2780" t="n">
        <v>382.4</v>
      </c>
      <c r="S2780" t="n">
        <v>113.3</v>
      </c>
      <c r="T2780" t="n">
        <v>0</v>
      </c>
      <c r="U2780" t="n">
        <v>699.45</v>
      </c>
      <c r="X2780" t="inlineStr">
        <is>
          <t>acoa-apeca</t>
        </is>
      </c>
      <c r="Y2780" t="inlineStr">
        <is>
          <t>Atlantic Canada Opportunities Agency | Agence de promotion économique du Canada atlantique</t>
        </is>
      </c>
    </row>
    <row r="2781">
      <c r="A2781" t="inlineStr">
        <is>
          <t>T-2017-Q2-00036</t>
        </is>
      </c>
      <c r="B2781" t="inlineStr">
        <is>
          <t>SLE</t>
        </is>
      </c>
      <c r="C2781" t="inlineStr">
        <is>
          <t>Vice-President, Finance and Corporate Services</t>
        </is>
      </c>
      <c r="D2781" t="inlineStr">
        <is>
          <t>Vice-présidente, Finances et Services corporatifs</t>
        </is>
      </c>
      <c r="E2781" t="inlineStr">
        <is>
          <t>Denise Frenette</t>
        </is>
      </c>
      <c r="F2781" t="inlineStr">
        <is>
          <t>For various meetings and discussions with Agency officials and with Government of Canada officials</t>
        </is>
      </c>
      <c r="G2781" t="inlineStr">
        <is>
          <t>Diverses réunions et discussions avec des fonctionnaires de l'Agence et du gouvernement du Canada</t>
        </is>
      </c>
      <c r="H2781" s="1" t="n">
        <v>42613</v>
      </c>
      <c r="I2781" s="1" t="n">
        <v>42614</v>
      </c>
      <c r="J2781" t="inlineStr">
        <is>
          <t>Ottawa, Ontario</t>
        </is>
      </c>
      <c r="K2781" t="inlineStr">
        <is>
          <t>Ottawa (Ontario)</t>
        </is>
      </c>
      <c r="P2781" t="n">
        <v>535.67</v>
      </c>
      <c r="Q2781" t="n">
        <v>6.72</v>
      </c>
      <c r="R2781" t="n">
        <v>180.4</v>
      </c>
      <c r="S2781" t="n">
        <v>158.4</v>
      </c>
      <c r="T2781" t="n">
        <v>66.58</v>
      </c>
      <c r="U2781" t="n">
        <v>947.77</v>
      </c>
      <c r="X2781" t="inlineStr">
        <is>
          <t>acoa-apeca</t>
        </is>
      </c>
      <c r="Y2781" t="inlineStr">
        <is>
          <t>Atlantic Canada Opportunities Agency | Agence de promotion économique du Canada atlantique</t>
        </is>
      </c>
    </row>
    <row r="2782">
      <c r="A2782" t="inlineStr">
        <is>
          <t>T-2017-Q2-00035</t>
        </is>
      </c>
      <c r="B2782" t="inlineStr">
        <is>
          <t>SLE</t>
        </is>
      </c>
      <c r="C2782" t="inlineStr">
        <is>
          <t>Vice-President, Policy and Programs</t>
        </is>
      </c>
      <c r="D2782" t="inlineStr">
        <is>
          <t>Vice-président, Politiques et Programmes</t>
        </is>
      </c>
      <c r="E2782" t="inlineStr">
        <is>
          <t>Daryell Nowlan</t>
        </is>
      </c>
      <c r="F2782" t="inlineStr">
        <is>
          <t>Meetings with Government of Canada officials</t>
        </is>
      </c>
      <c r="G2782" t="inlineStr">
        <is>
          <t>Réunions avec des fonctionnaires du gouvernement du Canada</t>
        </is>
      </c>
      <c r="H2782" s="1" t="n">
        <v>42613</v>
      </c>
      <c r="I2782" s="1" t="n">
        <v>42614</v>
      </c>
      <c r="J2782" t="inlineStr">
        <is>
          <t>Ottawa, Ontario</t>
        </is>
      </c>
      <c r="K2782" t="inlineStr">
        <is>
          <t>Ottawa (Ontario)</t>
        </is>
      </c>
      <c r="P2782" t="n">
        <v>644.1</v>
      </c>
      <c r="Q2782" t="n">
        <v>83</v>
      </c>
      <c r="R2782" t="n">
        <v>180.4</v>
      </c>
      <c r="S2782" t="n">
        <v>175.1</v>
      </c>
      <c r="T2782" t="n">
        <v>0</v>
      </c>
      <c r="U2782" t="n">
        <v>1082.6</v>
      </c>
      <c r="X2782" t="inlineStr">
        <is>
          <t>acoa-apeca</t>
        </is>
      </c>
      <c r="Y2782" t="inlineStr">
        <is>
          <t>Atlantic Canada Opportunities Agency | Agence de promotion économique du Canada atlantique</t>
        </is>
      </c>
    </row>
    <row r="2783">
      <c r="A2783" t="inlineStr">
        <is>
          <t>T-2017-Q2-00033</t>
        </is>
      </c>
      <c r="B2783" t="inlineStr">
        <is>
          <t>SLE</t>
        </is>
      </c>
      <c r="C2783" t="inlineStr">
        <is>
          <t>President</t>
        </is>
      </c>
      <c r="D2783" t="inlineStr">
        <is>
          <t>Président</t>
        </is>
      </c>
      <c r="E2783" t="inlineStr">
        <is>
          <t>Paul J. LeBlanc</t>
        </is>
      </c>
      <c r="F2783" t="inlineStr">
        <is>
          <t>For various meetings and discussions with Agency officials and Government of Canada officials</t>
        </is>
      </c>
      <c r="G2783" t="inlineStr">
        <is>
          <t>Diverses réunions et discussions avec des fonctionnaires de l'Agence et du gouvernement du Canada</t>
        </is>
      </c>
      <c r="H2783" s="1" t="n">
        <v>42607</v>
      </c>
      <c r="I2783" s="1" t="n">
        <v>42608</v>
      </c>
      <c r="J2783" t="inlineStr">
        <is>
          <t>Ottawa, Ontario</t>
        </is>
      </c>
      <c r="K2783" t="inlineStr">
        <is>
          <t>Ottawa (Ontario)</t>
        </is>
      </c>
      <c r="P2783" t="n">
        <v>431.46</v>
      </c>
      <c r="Q2783" t="n">
        <v>76</v>
      </c>
      <c r="R2783" t="n">
        <v>182.73</v>
      </c>
      <c r="S2783" t="n">
        <v>113.6</v>
      </c>
      <c r="T2783" t="n">
        <v>127.5</v>
      </c>
      <c r="U2783" t="n">
        <v>931.29</v>
      </c>
      <c r="X2783" t="inlineStr">
        <is>
          <t>acoa-apeca</t>
        </is>
      </c>
      <c r="Y2783" t="inlineStr">
        <is>
          <t>Atlantic Canada Opportunities Agency | Agence de promotion économique du Canada atlantique</t>
        </is>
      </c>
    </row>
    <row r="2784">
      <c r="A2784" t="inlineStr">
        <is>
          <t>T-2017-Q2-00032</t>
        </is>
      </c>
      <c r="B2784" t="inlineStr">
        <is>
          <t>SLE</t>
        </is>
      </c>
      <c r="C2784" t="inlineStr">
        <is>
          <t>Vice-President, Finance and Corporate Services</t>
        </is>
      </c>
      <c r="D2784" t="inlineStr">
        <is>
          <t>Vice-présidente, Finances et Services corporatifs</t>
        </is>
      </c>
      <c r="E2784" t="inlineStr">
        <is>
          <t>Denise Frenette</t>
        </is>
      </c>
      <c r="F2784" t="inlineStr">
        <is>
          <t>For meeting with various Government of Canada officials and stakeholders</t>
        </is>
      </c>
      <c r="G2784" t="inlineStr">
        <is>
          <t>Réunion avec divers fonctionnaires et intervenants du gouvernement du Canada</t>
        </is>
      </c>
      <c r="H2784" s="1" t="n">
        <v>42606</v>
      </c>
      <c r="I2784" s="1" t="n">
        <v>42606</v>
      </c>
      <c r="J2784" t="inlineStr">
        <is>
          <t>Miramichi, New Brunswick</t>
        </is>
      </c>
      <c r="K2784" t="inlineStr">
        <is>
          <t>Miramichi (Nouveau-Brunswick)</t>
        </is>
      </c>
      <c r="P2784" t="n">
        <v>0</v>
      </c>
      <c r="Q2784" t="n">
        <v>0</v>
      </c>
      <c r="R2784" t="n">
        <v>0</v>
      </c>
      <c r="S2784" t="n">
        <v>17</v>
      </c>
      <c r="T2784" t="n">
        <v>0</v>
      </c>
      <c r="U2784" t="n">
        <v>17</v>
      </c>
      <c r="X2784" t="inlineStr">
        <is>
          <t>acoa-apeca</t>
        </is>
      </c>
      <c r="Y2784" t="inlineStr">
        <is>
          <t>Atlantic Canada Opportunities Agency | Agence de promotion économique du Canada atlantique</t>
        </is>
      </c>
    </row>
    <row r="2785">
      <c r="A2785" t="inlineStr">
        <is>
          <t>T-2017-Q2-00031</t>
        </is>
      </c>
      <c r="B2785" t="inlineStr">
        <is>
          <t>SLE</t>
        </is>
      </c>
      <c r="C2785" t="inlineStr">
        <is>
          <t>Vice-President, New Brunswick</t>
        </is>
      </c>
      <c r="D2785" t="inlineStr">
        <is>
          <t>Vice-président, Nouveau-Brunswick</t>
        </is>
      </c>
      <c r="E2785" t="inlineStr">
        <is>
          <t>Kent Estabrooks</t>
        </is>
      </c>
      <c r="F2785" t="inlineStr">
        <is>
          <t>Meeting with provincial/federal officials</t>
        </is>
      </c>
      <c r="G2785" t="inlineStr">
        <is>
          <t>Réunion avec des fonctionnaires provinciaux et fédéraux</t>
        </is>
      </c>
      <c r="H2785" s="1" t="n">
        <v>42606</v>
      </c>
      <c r="I2785" s="1" t="n">
        <v>42607</v>
      </c>
      <c r="J2785" t="inlineStr">
        <is>
          <t>Halifax, Nova Scotia</t>
        </is>
      </c>
      <c r="K2785" t="inlineStr">
        <is>
          <t>Halifax (Nouvelle-Écosse)</t>
        </is>
      </c>
      <c r="P2785" t="n">
        <v>644.1</v>
      </c>
      <c r="Q2785" t="n">
        <v>182.75</v>
      </c>
      <c r="R2785" t="n">
        <v>190.03</v>
      </c>
      <c r="S2785" t="n">
        <v>124.6</v>
      </c>
      <c r="T2785" t="n">
        <v>0</v>
      </c>
      <c r="U2785" t="n">
        <v>1141.48</v>
      </c>
      <c r="X2785" t="inlineStr">
        <is>
          <t>acoa-apeca</t>
        </is>
      </c>
      <c r="Y2785" t="inlineStr">
        <is>
          <t>Atlantic Canada Opportunities Agency | Agence de promotion économique du Canada atlantique</t>
        </is>
      </c>
    </row>
    <row r="2786">
      <c r="A2786" t="inlineStr">
        <is>
          <t>T-2017-Q2-00030</t>
        </is>
      </c>
      <c r="B2786" t="inlineStr">
        <is>
          <t>SLE</t>
        </is>
      </c>
      <c r="C2786" t="inlineStr">
        <is>
          <t>Vice-President, Policy and Programs</t>
        </is>
      </c>
      <c r="D2786" t="inlineStr">
        <is>
          <t>Vice-président, Politiques et Programmes</t>
        </is>
      </c>
      <c r="E2786" t="inlineStr">
        <is>
          <t>Daryell Nowlan</t>
        </is>
      </c>
      <c r="F2786" t="inlineStr">
        <is>
          <t>Meetings with Government of Canada officials</t>
        </is>
      </c>
      <c r="G2786" t="inlineStr">
        <is>
          <t>Réunions avec des fonctionnaires du gouvernement du Canada</t>
        </is>
      </c>
      <c r="H2786" s="1" t="n">
        <v>42606</v>
      </c>
      <c r="I2786" s="1" t="n">
        <v>42608</v>
      </c>
      <c r="J2786" t="inlineStr">
        <is>
          <t>Halifax, Nova Scotia</t>
        </is>
      </c>
      <c r="K2786" t="inlineStr">
        <is>
          <t>Halifax (Nouvelle-Écosse)</t>
        </is>
      </c>
      <c r="P2786" t="n">
        <v>0</v>
      </c>
      <c r="Q2786" t="n">
        <v>254.54</v>
      </c>
      <c r="R2786" t="n">
        <v>380.06</v>
      </c>
      <c r="S2786" t="n">
        <v>158.9</v>
      </c>
      <c r="T2786" t="n">
        <v>2.39</v>
      </c>
      <c r="U2786" t="n">
        <v>795.89</v>
      </c>
      <c r="X2786" t="inlineStr">
        <is>
          <t>acoa-apeca</t>
        </is>
      </c>
      <c r="Y2786" t="inlineStr">
        <is>
          <t>Atlantic Canada Opportunities Agency | Agence de promotion économique du Canada atlantique</t>
        </is>
      </c>
    </row>
    <row r="2787">
      <c r="A2787" t="inlineStr">
        <is>
          <t>T-2017-Q2-00029</t>
        </is>
      </c>
      <c r="B2787" t="inlineStr">
        <is>
          <t>SLE</t>
        </is>
      </c>
      <c r="C2787" t="inlineStr">
        <is>
          <t>Vice-President, New Brunswick</t>
        </is>
      </c>
      <c r="D2787" t="inlineStr">
        <is>
          <t>Vice-président, Nouveau-Brunswick</t>
        </is>
      </c>
      <c r="E2787" t="inlineStr">
        <is>
          <t>Kent Estabrooks</t>
        </is>
      </c>
      <c r="F2787" t="inlineStr">
        <is>
          <t>Meetings with Agency officials and various federal officials</t>
        </is>
      </c>
      <c r="G2787" t="inlineStr">
        <is>
          <t>Réunions avec des fonctionnaires de l'Agence et divers fonctionnaires fédéraux</t>
        </is>
      </c>
      <c r="H2787" s="1" t="n">
        <v>42596</v>
      </c>
      <c r="I2787" s="1" t="n">
        <v>42598</v>
      </c>
      <c r="J2787" t="inlineStr">
        <is>
          <t>Ottawa, Ontario</t>
        </is>
      </c>
      <c r="K2787" t="inlineStr">
        <is>
          <t>Ottawa (Ontario)</t>
        </is>
      </c>
      <c r="P2787" t="n">
        <v>644.1</v>
      </c>
      <c r="Q2787" t="n">
        <v>108.12</v>
      </c>
      <c r="R2787" t="n">
        <v>360.8</v>
      </c>
      <c r="S2787" t="n">
        <v>237.7</v>
      </c>
      <c r="T2787" t="n">
        <v>0</v>
      </c>
      <c r="U2787" t="n">
        <v>1350.72</v>
      </c>
      <c r="X2787" t="inlineStr">
        <is>
          <t>acoa-apeca</t>
        </is>
      </c>
      <c r="Y2787" t="inlineStr">
        <is>
          <t>Atlantic Canada Opportunities Agency | Agence de promotion économique du Canada atlantique</t>
        </is>
      </c>
    </row>
    <row r="2788">
      <c r="A2788" t="inlineStr">
        <is>
          <t>T-2017-Q2-00028</t>
        </is>
      </c>
      <c r="B2788" t="inlineStr">
        <is>
          <t>SLE</t>
        </is>
      </c>
      <c r="C2788" t="inlineStr">
        <is>
          <t>Vice-President, New Brunswick</t>
        </is>
      </c>
      <c r="D2788" t="inlineStr">
        <is>
          <t>Vice-président, Nouveau-Brunswick</t>
        </is>
      </c>
      <c r="E2788" t="inlineStr">
        <is>
          <t>Kent Estabrooks</t>
        </is>
      </c>
      <c r="F2788" t="inlineStr">
        <is>
          <t>Meeting with Agency officials</t>
        </is>
      </c>
      <c r="G2788" t="inlineStr">
        <is>
          <t>Réunion avec des fonctionnaires de l'Agence</t>
        </is>
      </c>
      <c r="H2788" s="1" t="n">
        <v>42592</v>
      </c>
      <c r="I2788" s="1" t="n">
        <v>42593</v>
      </c>
      <c r="J2788" t="inlineStr">
        <is>
          <t>Campbellton, New Brunswick</t>
        </is>
      </c>
      <c r="K2788" t="inlineStr">
        <is>
          <t>Campbellton (Nouveau-Brunswick)</t>
        </is>
      </c>
      <c r="P2788" t="n">
        <v>0</v>
      </c>
      <c r="Q2788" t="n">
        <v>0</v>
      </c>
      <c r="R2788" t="n">
        <v>131.1</v>
      </c>
      <c r="S2788" t="n">
        <v>96.59999999999999</v>
      </c>
      <c r="T2788" t="n">
        <v>0</v>
      </c>
      <c r="U2788" t="n">
        <v>227.7</v>
      </c>
      <c r="X2788" t="inlineStr">
        <is>
          <t>acoa-apeca</t>
        </is>
      </c>
      <c r="Y2788" t="inlineStr">
        <is>
          <t>Atlantic Canada Opportunities Agency | Agence de promotion économique du Canada atlantique</t>
        </is>
      </c>
    </row>
    <row r="2789">
      <c r="A2789" t="inlineStr">
        <is>
          <t>T-2017-Q2-00027</t>
        </is>
      </c>
      <c r="B2789" t="inlineStr">
        <is>
          <t>SLE</t>
        </is>
      </c>
      <c r="C2789" t="inlineStr">
        <is>
          <t>Vice-President, Prince Edward Island</t>
        </is>
      </c>
      <c r="D2789" t="inlineStr">
        <is>
          <t>Vice-président, Île-du-Prince-Édouard</t>
        </is>
      </c>
      <c r="E2789" t="inlineStr">
        <is>
          <t>Patrick Dorsey</t>
        </is>
      </c>
      <c r="F2789" t="inlineStr">
        <is>
          <t>Attend 2016 Aerospace and Defence Association Conference</t>
        </is>
      </c>
      <c r="G2789" t="inlineStr">
        <is>
          <t>Assister à la conférence de 2016 de l'Aerospace and Defence Association</t>
        </is>
      </c>
      <c r="H2789" s="1" t="n">
        <v>42592</v>
      </c>
      <c r="I2789" s="1" t="n">
        <v>42593</v>
      </c>
      <c r="J2789" t="inlineStr">
        <is>
          <t>Brudenell, Prince Edward Island</t>
        </is>
      </c>
      <c r="K2789" t="inlineStr">
        <is>
          <t>Brudenell (Île-du-Prince-Édouard)</t>
        </is>
      </c>
      <c r="P2789" t="n">
        <v>0</v>
      </c>
      <c r="Q2789" t="n">
        <v>0</v>
      </c>
      <c r="R2789" t="n">
        <v>378.48</v>
      </c>
      <c r="S2789" t="n">
        <v>85.5</v>
      </c>
      <c r="T2789" t="n">
        <v>0</v>
      </c>
      <c r="U2789" t="n">
        <v>463.98</v>
      </c>
      <c r="X2789" t="inlineStr">
        <is>
          <t>acoa-apeca</t>
        </is>
      </c>
      <c r="Y2789" t="inlineStr">
        <is>
          <t>Atlantic Canada Opportunities Agency | Agence de promotion économique du Canada atlantique</t>
        </is>
      </c>
    </row>
    <row r="2790">
      <c r="A2790" t="inlineStr">
        <is>
          <t>T-2017-Q2-00026</t>
        </is>
      </c>
      <c r="B2790" t="inlineStr">
        <is>
          <t>SLE</t>
        </is>
      </c>
      <c r="C2790" t="inlineStr">
        <is>
          <t>Vice President, Nova Scotia</t>
        </is>
      </c>
      <c r="D2790" t="inlineStr">
        <is>
          <t>Vice-président, Nouvelle-Écosse</t>
        </is>
      </c>
      <c r="E2790" t="inlineStr">
        <is>
          <t>Peter Hogan</t>
        </is>
      </c>
      <c r="F2790" t="inlineStr">
        <is>
          <t>Various meetings with Agency and Government of Canada officials</t>
        </is>
      </c>
      <c r="G2790" t="inlineStr">
        <is>
          <t>Diverses réunions avec des fonctionnaires de l'Agence et du gouvernement du Canada</t>
        </is>
      </c>
      <c r="H2790" s="1" t="n">
        <v>42579</v>
      </c>
      <c r="I2790" s="1" t="n">
        <v>42580</v>
      </c>
      <c r="J2790" t="inlineStr">
        <is>
          <t>Ottawa, Ontario</t>
        </is>
      </c>
      <c r="K2790" t="inlineStr">
        <is>
          <t>Ottawa (Ontario)</t>
        </is>
      </c>
      <c r="P2790" t="n">
        <v>891.98</v>
      </c>
      <c r="Q2790" t="n">
        <v>126.43</v>
      </c>
      <c r="R2790" t="n">
        <v>180.4</v>
      </c>
      <c r="S2790" t="n">
        <v>130.4</v>
      </c>
      <c r="T2790" t="n">
        <v>0</v>
      </c>
      <c r="U2790" t="n">
        <v>1329.21</v>
      </c>
      <c r="X2790" t="inlineStr">
        <is>
          <t>acoa-apeca</t>
        </is>
      </c>
      <c r="Y2790" t="inlineStr">
        <is>
          <t>Atlantic Canada Opportunities Agency | Agence de promotion économique du Canada atlantique</t>
        </is>
      </c>
    </row>
    <row r="2791">
      <c r="A2791" t="inlineStr">
        <is>
          <t>T-2017-Q2-00025</t>
        </is>
      </c>
      <c r="B2791" t="inlineStr">
        <is>
          <t>SLE</t>
        </is>
      </c>
      <c r="C2791" t="inlineStr">
        <is>
          <t>Vice-President, Newfoundland and Labrador</t>
        </is>
      </c>
      <c r="D2791" t="inlineStr">
        <is>
          <t>Vice-président, Terre-Neuve-et-Labrador</t>
        </is>
      </c>
      <c r="E2791" t="inlineStr">
        <is>
          <t>Ken Martin</t>
        </is>
      </c>
      <c r="F2791" t="inlineStr">
        <is>
          <t>Meetings with senior government officials in Ottawa</t>
        </is>
      </c>
      <c r="G2791" t="inlineStr">
        <is>
          <t>Réunions avec des hauts fonctionnaires gouvernementaux à Ottawa</t>
        </is>
      </c>
      <c r="H2791" s="1" t="n">
        <v>42578</v>
      </c>
      <c r="I2791" s="1" t="n">
        <v>42579</v>
      </c>
      <c r="J2791" t="inlineStr">
        <is>
          <t>Ottawa, Ontario</t>
        </is>
      </c>
      <c r="K2791" t="inlineStr">
        <is>
          <t>Ottawa (Ontario)</t>
        </is>
      </c>
      <c r="P2791" t="n">
        <v>1027.83</v>
      </c>
      <c r="Q2791" t="n">
        <v>43.21</v>
      </c>
      <c r="R2791" t="n">
        <v>180.4</v>
      </c>
      <c r="S2791" t="n">
        <v>175.4</v>
      </c>
      <c r="T2791" t="n">
        <v>53.92</v>
      </c>
      <c r="U2791" t="n">
        <v>1480.76</v>
      </c>
      <c r="X2791" t="inlineStr">
        <is>
          <t>acoa-apeca</t>
        </is>
      </c>
      <c r="Y2791" t="inlineStr">
        <is>
          <t>Atlantic Canada Opportunities Agency | Agence de promotion économique du Canada atlantique</t>
        </is>
      </c>
    </row>
    <row r="2792">
      <c r="A2792" t="inlineStr">
        <is>
          <t>T-2017-Q2-00023</t>
        </is>
      </c>
      <c r="B2792" t="inlineStr">
        <is>
          <t>SLE</t>
        </is>
      </c>
      <c r="C2792" t="inlineStr">
        <is>
          <t>Vice-President, Prince Edward Island</t>
        </is>
      </c>
      <c r="D2792" t="inlineStr">
        <is>
          <t>Vice-président, Île-du-Prince-Édouard</t>
        </is>
      </c>
      <c r="E2792" t="inlineStr">
        <is>
          <t>Patrick Dorsey</t>
        </is>
      </c>
      <c r="F2792" t="inlineStr">
        <is>
          <t>Attend Wind Energy Institute of Canada (WEICAN) meeting</t>
        </is>
      </c>
      <c r="G2792" t="inlineStr">
        <is>
          <t>Assister à une réunion de l'Institut de l'énergie éolienne du Canada (IEEC)</t>
        </is>
      </c>
      <c r="H2792" s="1" t="n">
        <v>42576</v>
      </c>
      <c r="I2792" s="1" t="n">
        <v>42577</v>
      </c>
      <c r="J2792" t="inlineStr">
        <is>
          <t>Mill River, Prince Edward Island</t>
        </is>
      </c>
      <c r="K2792" t="inlineStr">
        <is>
          <t>Mill River (Île-du-Prince-Édouard)</t>
        </is>
      </c>
      <c r="P2792" t="n">
        <v>0</v>
      </c>
      <c r="Q2792" t="n">
        <v>0</v>
      </c>
      <c r="R2792" t="n">
        <v>141.36</v>
      </c>
      <c r="S2792" t="n">
        <v>113.4</v>
      </c>
      <c r="T2792" t="n">
        <v>0</v>
      </c>
      <c r="U2792" t="n">
        <v>254.76</v>
      </c>
      <c r="X2792" t="inlineStr">
        <is>
          <t>acoa-apeca</t>
        </is>
      </c>
      <c r="Y2792" t="inlineStr">
        <is>
          <t>Atlantic Canada Opportunities Agency | Agence de promotion économique du Canada atlantique</t>
        </is>
      </c>
    </row>
    <row r="2793">
      <c r="A2793" t="inlineStr">
        <is>
          <t>T-2017-Q2-00022</t>
        </is>
      </c>
      <c r="B2793" t="inlineStr">
        <is>
          <t>SLE</t>
        </is>
      </c>
      <c r="C2793" t="inlineStr">
        <is>
          <t>Vice-President, Newfoundland and Labrador</t>
        </is>
      </c>
      <c r="D2793" t="inlineStr">
        <is>
          <t>Vice-président, Terre-Neuve-et-Labrador</t>
        </is>
      </c>
      <c r="E2793" t="inlineStr">
        <is>
          <t>Ken Martin</t>
        </is>
      </c>
      <c r="F2793" t="inlineStr">
        <is>
          <t>Government of Canada community announcement in Bay de Verde</t>
        </is>
      </c>
      <c r="G2793" t="inlineStr">
        <is>
          <t>Annonce communautaire du gouvernement du Canada à Bay de Verde</t>
        </is>
      </c>
      <c r="H2793" s="1" t="n">
        <v>42576</v>
      </c>
      <c r="I2793" s="1" t="n">
        <v>42576</v>
      </c>
      <c r="J2793" t="inlineStr">
        <is>
          <t>Bay de Verde, Newfoundland and Labrador</t>
        </is>
      </c>
      <c r="K2793" t="inlineStr">
        <is>
          <t>Bay de Verde (Terre-Neuve-et-Labrador)</t>
        </is>
      </c>
      <c r="P2793" t="n">
        <v>0</v>
      </c>
      <c r="Q2793" t="n">
        <v>0</v>
      </c>
      <c r="R2793" t="n">
        <v>0</v>
      </c>
      <c r="S2793" t="n">
        <v>17</v>
      </c>
      <c r="T2793" t="n">
        <v>0</v>
      </c>
      <c r="U2793" t="n">
        <v>17</v>
      </c>
      <c r="X2793" t="inlineStr">
        <is>
          <t>acoa-apeca</t>
        </is>
      </c>
      <c r="Y2793" t="inlineStr">
        <is>
          <t>Atlantic Canada Opportunities Agency | Agence de promotion économique du Canada atlantique</t>
        </is>
      </c>
    </row>
    <row r="2794">
      <c r="A2794" t="inlineStr">
        <is>
          <t>T-2017-Q2-00021</t>
        </is>
      </c>
      <c r="B2794" t="inlineStr">
        <is>
          <t>SLE</t>
        </is>
      </c>
      <c r="C2794" t="inlineStr">
        <is>
          <t>Vice-President, Newfoundland and Labrador</t>
        </is>
      </c>
      <c r="D2794" t="inlineStr">
        <is>
          <t>Vice-président, Terre-Neuve-et-Labrador</t>
        </is>
      </c>
      <c r="E2794" t="inlineStr">
        <is>
          <t>Ken Martin</t>
        </is>
      </c>
      <c r="F2794" t="inlineStr">
        <is>
          <t>Meetings with community representatives in Norman's Cove</t>
        </is>
      </c>
      <c r="G2794" t="inlineStr">
        <is>
          <t>Réunions avec des représentants communautaires à Norman's Cove</t>
        </is>
      </c>
      <c r="H2794" s="1" t="n">
        <v>42574</v>
      </c>
      <c r="I2794" s="1" t="n">
        <v>42574</v>
      </c>
      <c r="J2794" t="inlineStr">
        <is>
          <t>Norman's Cove, Newfoundland and Labrador</t>
        </is>
      </c>
      <c r="K2794" t="inlineStr">
        <is>
          <t>Norman's Cove (Terre-Neuve-et-Labrador)</t>
        </is>
      </c>
      <c r="P2794" t="n">
        <v>0</v>
      </c>
      <c r="Q2794" t="n">
        <v>125.74</v>
      </c>
      <c r="R2794" t="n">
        <v>0</v>
      </c>
      <c r="S2794" t="n">
        <v>17</v>
      </c>
      <c r="T2794" t="n">
        <v>0</v>
      </c>
      <c r="U2794" t="n">
        <v>142.74</v>
      </c>
      <c r="X2794" t="inlineStr">
        <is>
          <t>acoa-apeca</t>
        </is>
      </c>
      <c r="Y2794" t="inlineStr">
        <is>
          <t>Atlantic Canada Opportunities Agency | Agence de promotion économique du Canada atlantique</t>
        </is>
      </c>
    </row>
    <row r="2795">
      <c r="A2795" t="inlineStr">
        <is>
          <t>T-2017-Q2-00020</t>
        </is>
      </c>
      <c r="B2795" t="inlineStr">
        <is>
          <t>SLE</t>
        </is>
      </c>
      <c r="C2795" t="inlineStr">
        <is>
          <t>Vice-President, Newfoundland and Labrador</t>
        </is>
      </c>
      <c r="D2795" t="inlineStr">
        <is>
          <t>Vice-président, Terre-Neuve-et-Labrador</t>
        </is>
      </c>
      <c r="E2795" t="inlineStr">
        <is>
          <t>Ken Martin</t>
        </is>
      </c>
      <c r="F2795" t="inlineStr">
        <is>
          <t>Meetings and site visits with ACOA clients in Marystown</t>
        </is>
      </c>
      <c r="G2795" t="inlineStr">
        <is>
          <t>Réunions et visites des lieux avec des clients de l'APECA à Marystown</t>
        </is>
      </c>
      <c r="H2795" s="1" t="n">
        <v>42570</v>
      </c>
      <c r="I2795" s="1" t="n">
        <v>42571</v>
      </c>
      <c r="J2795" t="inlineStr">
        <is>
          <t>Marystown, Newfoundland and Labrador</t>
        </is>
      </c>
      <c r="K2795" t="inlineStr">
        <is>
          <t>Marystown (Terre-Neuve-et-Labrador)</t>
        </is>
      </c>
      <c r="P2795" t="n">
        <v>0</v>
      </c>
      <c r="Q2795" t="n">
        <v>0</v>
      </c>
      <c r="R2795" t="n">
        <v>148.35</v>
      </c>
      <c r="S2795" t="n">
        <v>141.6</v>
      </c>
      <c r="T2795" t="n">
        <v>0</v>
      </c>
      <c r="U2795" t="n">
        <v>289.95</v>
      </c>
      <c r="X2795" t="inlineStr">
        <is>
          <t>acoa-apeca</t>
        </is>
      </c>
      <c r="Y2795" t="inlineStr">
        <is>
          <t>Atlantic Canada Opportunities Agency | Agence de promotion économique du Canada atlantique</t>
        </is>
      </c>
    </row>
    <row r="2796">
      <c r="A2796" t="inlineStr">
        <is>
          <t>T-2017-Q2-00019</t>
        </is>
      </c>
      <c r="B2796" t="inlineStr">
        <is>
          <t>SLE</t>
        </is>
      </c>
      <c r="C2796" t="inlineStr">
        <is>
          <t>Vice President, Nova Scotia</t>
        </is>
      </c>
      <c r="D2796" t="inlineStr">
        <is>
          <t>Vice-président, Nouvelle-Écosse</t>
        </is>
      </c>
      <c r="E2796" t="inlineStr">
        <is>
          <t>Peter Hogan</t>
        </is>
      </c>
      <c r="F2796" t="inlineStr">
        <is>
          <t>Various meetings with Agency officials</t>
        </is>
      </c>
      <c r="G2796" t="inlineStr">
        <is>
          <t>Diverses réunions avec des fonctionnaires de l'Agence</t>
        </is>
      </c>
      <c r="H2796" s="1" t="n">
        <v>42569</v>
      </c>
      <c r="I2796" s="1" t="n">
        <v>42569</v>
      </c>
      <c r="J2796" t="inlineStr">
        <is>
          <t>Charlottetown, Prince Edward Island</t>
        </is>
      </c>
      <c r="K2796" t="inlineStr">
        <is>
          <t>Charlottetown (Île-du-Prince-Édouard)</t>
        </is>
      </c>
      <c r="P2796" t="n">
        <v>0</v>
      </c>
      <c r="Q2796" t="n">
        <v>66.38</v>
      </c>
      <c r="R2796" t="n">
        <v>0</v>
      </c>
      <c r="S2796" t="n">
        <v>17</v>
      </c>
      <c r="T2796" t="n">
        <v>0</v>
      </c>
      <c r="U2796" t="n">
        <v>83.38</v>
      </c>
      <c r="X2796" t="inlineStr">
        <is>
          <t>acoa-apeca</t>
        </is>
      </c>
      <c r="Y2796" t="inlineStr">
        <is>
          <t>Atlantic Canada Opportunities Agency | Agence de promotion économique du Canada atlantique</t>
        </is>
      </c>
    </row>
    <row r="2797">
      <c r="A2797" t="inlineStr">
        <is>
          <t>T-2017-Q2-00018</t>
        </is>
      </c>
      <c r="B2797" t="inlineStr">
        <is>
          <t>SLE</t>
        </is>
      </c>
      <c r="C2797" t="inlineStr">
        <is>
          <t>President</t>
        </is>
      </c>
      <c r="D2797" t="inlineStr">
        <is>
          <t>Président</t>
        </is>
      </c>
      <c r="E2797" t="inlineStr">
        <is>
          <t>Paul J. LeBlanc</t>
        </is>
      </c>
      <c r="F2797" t="inlineStr">
        <is>
          <t>For various meetings and discussions with Agency officials and Government of Canada officials</t>
        </is>
      </c>
      <c r="G2797" t="inlineStr">
        <is>
          <t>Diverses réunions et discussions avec des fonctionnaires de l'Agence et du gouvernement du Canada</t>
        </is>
      </c>
      <c r="H2797" s="1" t="n">
        <v>42562</v>
      </c>
      <c r="I2797" s="1" t="n">
        <v>42564</v>
      </c>
      <c r="J2797" t="inlineStr">
        <is>
          <t>Ottawa, Ontario</t>
        </is>
      </c>
      <c r="K2797" t="inlineStr">
        <is>
          <t>Ottawa (Ontario)</t>
        </is>
      </c>
      <c r="P2797" t="n">
        <v>456.05</v>
      </c>
      <c r="Q2797" t="n">
        <v>0</v>
      </c>
      <c r="R2797" t="n">
        <v>365.46</v>
      </c>
      <c r="S2797" t="n">
        <v>209.5</v>
      </c>
      <c r="T2797" t="n">
        <v>97.94</v>
      </c>
      <c r="U2797" t="n">
        <v>1128.95</v>
      </c>
      <c r="X2797" t="inlineStr">
        <is>
          <t>acoa-apeca</t>
        </is>
      </c>
      <c r="Y2797" t="inlineStr">
        <is>
          <t>Atlantic Canada Opportunities Agency | Agence de promotion économique du Canada atlantique</t>
        </is>
      </c>
    </row>
    <row r="2798">
      <c r="A2798" t="inlineStr">
        <is>
          <t>T-2017-Q2-00017</t>
        </is>
      </c>
      <c r="B2798" t="inlineStr">
        <is>
          <t>SLE</t>
        </is>
      </c>
      <c r="C2798" t="inlineStr">
        <is>
          <t>Vice President, Nova Scotia</t>
        </is>
      </c>
      <c r="D2798" t="inlineStr">
        <is>
          <t>Vice-président, Nouvelle-Écosse</t>
        </is>
      </c>
      <c r="E2798" t="inlineStr">
        <is>
          <t>Peter Hogan</t>
        </is>
      </c>
      <c r="F2798" t="inlineStr">
        <is>
          <t xml:space="preserve">Various meetings with Agency officials </t>
        </is>
      </c>
      <c r="G2798" t="inlineStr">
        <is>
          <t>Diverses réunions avec des fonctionnaires de l'Agence</t>
        </is>
      </c>
      <c r="H2798" s="1" t="n">
        <v>42558</v>
      </c>
      <c r="I2798" s="1" t="n">
        <v>42559</v>
      </c>
      <c r="J2798" t="inlineStr">
        <is>
          <t>Ottawa, Ontario</t>
        </is>
      </c>
      <c r="K2798" t="inlineStr">
        <is>
          <t>Ottawa (Ontario)</t>
        </is>
      </c>
      <c r="P2798" t="n">
        <v>491.09</v>
      </c>
      <c r="Q2798" t="n">
        <v>80.43000000000001</v>
      </c>
      <c r="R2798" t="n">
        <v>163.05</v>
      </c>
      <c r="S2798" t="n">
        <v>113.6</v>
      </c>
      <c r="T2798" t="n">
        <v>0</v>
      </c>
      <c r="U2798" t="n">
        <v>848.17</v>
      </c>
      <c r="X2798" t="inlineStr">
        <is>
          <t>acoa-apeca</t>
        </is>
      </c>
      <c r="Y2798" t="inlineStr">
        <is>
          <t>Atlantic Canada Opportunities Agency | Agence de promotion économique du Canada atlantique</t>
        </is>
      </c>
    </row>
    <row r="2799">
      <c r="A2799" t="inlineStr">
        <is>
          <t>T-2017-Q2-00016</t>
        </is>
      </c>
      <c r="B2799" t="inlineStr">
        <is>
          <t>SLE</t>
        </is>
      </c>
      <c r="C2799" t="inlineStr">
        <is>
          <t>Vice President, Nova Scotia</t>
        </is>
      </c>
      <c r="D2799" t="inlineStr">
        <is>
          <t>Vice-président, Nouvelle-Écosse</t>
        </is>
      </c>
      <c r="E2799" t="inlineStr">
        <is>
          <t>Peter Hogan</t>
        </is>
      </c>
      <c r="F2799" t="inlineStr">
        <is>
          <t>Various meetings with Agency officials</t>
        </is>
      </c>
      <c r="G2799" t="inlineStr">
        <is>
          <t>Diverses réunions avec des fonctionnaires de l'Agence</t>
        </is>
      </c>
      <c r="H2799" s="1" t="n">
        <v>42558</v>
      </c>
      <c r="I2799" s="1" t="n">
        <v>42559</v>
      </c>
      <c r="J2799" t="inlineStr">
        <is>
          <t>Ottawa, Ontario</t>
        </is>
      </c>
      <c r="K2799" t="inlineStr">
        <is>
          <t>Ottawa (Ontario)</t>
        </is>
      </c>
      <c r="P2799" t="n">
        <v>880.21</v>
      </c>
      <c r="Q2799" t="n">
        <v>119.4</v>
      </c>
      <c r="R2799" t="n">
        <v>196.7</v>
      </c>
      <c r="S2799" t="n">
        <v>175.4</v>
      </c>
      <c r="T2799" t="n">
        <v>0</v>
      </c>
      <c r="U2799" t="n">
        <v>1371.71</v>
      </c>
      <c r="X2799" t="inlineStr">
        <is>
          <t>acoa-apeca</t>
        </is>
      </c>
      <c r="Y2799" t="inlineStr">
        <is>
          <t>Atlantic Canada Opportunities Agency | Agence de promotion économique du Canada atlantique</t>
        </is>
      </c>
    </row>
    <row r="2800">
      <c r="A2800" t="inlineStr">
        <is>
          <t>T-2017-Q2-00015</t>
        </is>
      </c>
      <c r="B2800" t="inlineStr">
        <is>
          <t>SLE</t>
        </is>
      </c>
      <c r="C2800" t="inlineStr">
        <is>
          <t>Vice-President, Policy and Programs</t>
        </is>
      </c>
      <c r="D2800" t="inlineStr">
        <is>
          <t>Vice-président, Politiques et Programmes</t>
        </is>
      </c>
      <c r="E2800" t="inlineStr">
        <is>
          <t>Daryell Nowlan</t>
        </is>
      </c>
      <c r="F2800" t="inlineStr">
        <is>
          <t>Meeting with Government of Canada officials</t>
        </is>
      </c>
      <c r="G2800" t="inlineStr">
        <is>
          <t>Réunion avec des fonctionnaires du gouvernement du Canada</t>
        </is>
      </c>
      <c r="H2800" s="1" t="n">
        <v>42557</v>
      </c>
      <c r="I2800" s="1" t="n">
        <v>42558</v>
      </c>
      <c r="J2800" t="inlineStr">
        <is>
          <t>Halifax, Nova Scotia</t>
        </is>
      </c>
      <c r="K2800" t="inlineStr">
        <is>
          <t>Halifax (Nouvelle-Écosse)</t>
        </is>
      </c>
      <c r="P2800" t="n">
        <v>0</v>
      </c>
      <c r="Q2800" t="n">
        <v>0</v>
      </c>
      <c r="R2800" t="n">
        <v>190.03</v>
      </c>
      <c r="S2800" t="n">
        <v>96.59999999999999</v>
      </c>
      <c r="T2800" t="n">
        <v>0</v>
      </c>
      <c r="U2800" t="n">
        <v>286.63</v>
      </c>
      <c r="X2800" t="inlineStr">
        <is>
          <t>acoa-apeca</t>
        </is>
      </c>
      <c r="Y2800" t="inlineStr">
        <is>
          <t>Atlantic Canada Opportunities Agency | Agence de promotion économique du Canada atlantique</t>
        </is>
      </c>
    </row>
    <row r="2801">
      <c r="A2801" t="inlineStr">
        <is>
          <t>T-2017-Q2-00014</t>
        </is>
      </c>
      <c r="B2801" t="inlineStr">
        <is>
          <t>SLE</t>
        </is>
      </c>
      <c r="C2801" t="inlineStr">
        <is>
          <t>Vice-President, Newfoundland and Labrador</t>
        </is>
      </c>
      <c r="D2801" t="inlineStr">
        <is>
          <t>Vice-président, Terre-Neuve-et-Labrador</t>
        </is>
      </c>
      <c r="E2801" t="inlineStr">
        <is>
          <t>Ken Martin</t>
        </is>
      </c>
      <c r="F2801" t="inlineStr">
        <is>
          <t>Attend AIF and ICF announcements/events</t>
        </is>
      </c>
      <c r="G2801" t="inlineStr">
        <is>
          <t>Assister à des annonces et à des activités du FIA et du FCI</t>
        </is>
      </c>
      <c r="H2801" s="1" t="n">
        <v>42555</v>
      </c>
      <c r="I2801" s="1" t="n">
        <v>42557</v>
      </c>
      <c r="J2801" t="inlineStr">
        <is>
          <t>St. John's, Newfoundland and Labrador</t>
        </is>
      </c>
      <c r="K2801" t="inlineStr">
        <is>
          <t>St. John's (Terre-Neuve-et-Labrador)</t>
        </is>
      </c>
      <c r="P2801" t="n">
        <v>0</v>
      </c>
      <c r="Q2801" t="n">
        <v>249.18</v>
      </c>
      <c r="R2801" t="n">
        <v>0</v>
      </c>
      <c r="S2801" t="n">
        <v>33.8</v>
      </c>
      <c r="T2801" t="n">
        <v>0</v>
      </c>
      <c r="U2801" t="n">
        <v>282.98</v>
      </c>
      <c r="X2801" t="inlineStr">
        <is>
          <t>acoa-apeca</t>
        </is>
      </c>
      <c r="Y2801" t="inlineStr">
        <is>
          <t>Atlantic Canada Opportunities Agency | Agence de promotion économique du Canada atlantique</t>
        </is>
      </c>
    </row>
    <row r="2802">
      <c r="A2802" t="inlineStr">
        <is>
          <t>T-2017-Q2-00013</t>
        </is>
      </c>
      <c r="B2802" t="inlineStr">
        <is>
          <t>SLE</t>
        </is>
      </c>
      <c r="C2802" t="inlineStr">
        <is>
          <t>President</t>
        </is>
      </c>
      <c r="D2802" t="inlineStr">
        <is>
          <t>Président</t>
        </is>
      </c>
      <c r="E2802" t="inlineStr">
        <is>
          <t>Paul J. LeBlanc</t>
        </is>
      </c>
      <c r="F2802" t="inlineStr">
        <is>
          <t>For various meetings and discussions with Government of Canada and provincial government officials</t>
        </is>
      </c>
      <c r="G2802" t="inlineStr">
        <is>
          <t>Diverses réunions et discussions avec des fonctionnaires des gouvernements fédéral et provincial</t>
        </is>
      </c>
      <c r="H2802" s="1" t="n">
        <v>42554</v>
      </c>
      <c r="I2802" s="1" t="n">
        <v>42555</v>
      </c>
      <c r="J2802" t="inlineStr">
        <is>
          <t>Georgetown, Prince Edward Island</t>
        </is>
      </c>
      <c r="K2802" t="inlineStr">
        <is>
          <t>Georgetown (Île-du-Prince-Édouard)</t>
        </is>
      </c>
      <c r="P2802" t="n">
        <v>0</v>
      </c>
      <c r="Q2802" t="n">
        <v>0</v>
      </c>
      <c r="R2802" t="n">
        <v>169.86</v>
      </c>
      <c r="S2802" t="n">
        <v>51.6</v>
      </c>
      <c r="T2802" t="n">
        <v>46</v>
      </c>
      <c r="U2802" t="n">
        <v>267.46</v>
      </c>
      <c r="X2802" t="inlineStr">
        <is>
          <t>acoa-apeca</t>
        </is>
      </c>
      <c r="Y2802" t="inlineStr">
        <is>
          <t>Atlantic Canada Opportunities Agency | Agence de promotion économique du Canada atlantique</t>
        </is>
      </c>
    </row>
    <row r="2803">
      <c r="A2803" t="inlineStr">
        <is>
          <t>T-2017-Q2-00012</t>
        </is>
      </c>
      <c r="B2803" t="inlineStr">
        <is>
          <t>SLE</t>
        </is>
      </c>
      <c r="C2803" t="inlineStr">
        <is>
          <t>Vice-President, New Brunswick</t>
        </is>
      </c>
      <c r="D2803" t="inlineStr">
        <is>
          <t>Vice-président, Nouveau-Brunswick</t>
        </is>
      </c>
      <c r="E2803" t="inlineStr">
        <is>
          <t>Kent Estabrooks</t>
        </is>
      </c>
      <c r="F2803" t="inlineStr">
        <is>
          <t>Meetings with Agency officials and client</t>
        </is>
      </c>
      <c r="G2803" t="inlineStr">
        <is>
          <t>Réunions avec des fonctionnaires de l'Agence et un client</t>
        </is>
      </c>
      <c r="H2803" s="1" t="n">
        <v>42550</v>
      </c>
      <c r="I2803" s="1" t="n">
        <v>42551</v>
      </c>
      <c r="J2803" t="inlineStr">
        <is>
          <t>Moncton, New Brunswick</t>
        </is>
      </c>
      <c r="K2803" t="inlineStr">
        <is>
          <t>Moncton (Nouveau-Brunswick)</t>
        </is>
      </c>
      <c r="P2803" t="n">
        <v>0</v>
      </c>
      <c r="Q2803" t="n">
        <v>0</v>
      </c>
      <c r="R2803" t="n">
        <v>123.17</v>
      </c>
      <c r="S2803" t="n">
        <v>96.59999999999999</v>
      </c>
      <c r="T2803" t="n">
        <v>15.82</v>
      </c>
      <c r="U2803" t="n">
        <v>235.59</v>
      </c>
      <c r="X2803" t="inlineStr">
        <is>
          <t>acoa-apeca</t>
        </is>
      </c>
      <c r="Y2803" t="inlineStr">
        <is>
          <t>Atlantic Canada Opportunities Agency | Agence de promotion économique du Canada atlantique</t>
        </is>
      </c>
    </row>
    <row r="2804">
      <c r="A2804" t="inlineStr">
        <is>
          <t>T-2015-Q1-00056</t>
        </is>
      </c>
      <c r="B2804" t="inlineStr">
        <is>
          <t>MPSES</t>
        </is>
      </c>
      <c r="C2804" t="inlineStr">
        <is>
          <t>Regional Affairs Director - New Brunswick</t>
        </is>
      </c>
      <c r="D2804" t="inlineStr">
        <is>
          <t>Directeur des affaires régionales - Nouveau-Brunswick</t>
        </is>
      </c>
      <c r="E2804" t="inlineStr">
        <is>
          <t>Douglas MacDonald</t>
        </is>
      </c>
      <c r="F2804" t="inlineStr">
        <is>
          <t>Travel on government business</t>
        </is>
      </c>
      <c r="G2804" t="inlineStr">
        <is>
          <t>Voyage en service commandé</t>
        </is>
      </c>
      <c r="H2804" s="1" t="n">
        <v>41779</v>
      </c>
      <c r="I2804" s="1" t="n">
        <v>41779</v>
      </c>
      <c r="J2804" t="inlineStr">
        <is>
          <t>Riverview, New Brunswick</t>
        </is>
      </c>
      <c r="K2804" t="inlineStr">
        <is>
          <t>Riverview (Nouveau-Brunswick)</t>
        </is>
      </c>
      <c r="P2804" t="n">
        <v>0</v>
      </c>
      <c r="Q2804" t="n">
        <v>141.4</v>
      </c>
      <c r="R2804" t="n">
        <v>0</v>
      </c>
      <c r="S2804" t="n">
        <v>0</v>
      </c>
      <c r="T2804" t="n">
        <v>0</v>
      </c>
      <c r="U2804" t="n">
        <v>141.4</v>
      </c>
      <c r="X2804" t="inlineStr">
        <is>
          <t>acoa-apeca</t>
        </is>
      </c>
      <c r="Y2804" t="inlineStr">
        <is>
          <t>Atlantic Canada Opportunities Agency | Agence de promotion économique du Canada atlantique</t>
        </is>
      </c>
    </row>
    <row r="2805">
      <c r="A2805" t="inlineStr">
        <is>
          <t>T-2017-Q2-00011</t>
        </is>
      </c>
      <c r="B2805" t="inlineStr">
        <is>
          <t>SLE</t>
        </is>
      </c>
      <c r="C2805" t="inlineStr">
        <is>
          <t>Vice-President, Prince Edward Island</t>
        </is>
      </c>
      <c r="D2805" t="inlineStr">
        <is>
          <t>Vice-président, Île-du-Prince-Édouard</t>
        </is>
      </c>
      <c r="E2805" t="inlineStr">
        <is>
          <t>Patrick Dorsey</t>
        </is>
      </c>
      <c r="F2805" t="inlineStr">
        <is>
          <t>Attend Atlantic Canada Tourism Partnership (ACTP) meetings and Atlantic University Association meetings</t>
        </is>
      </c>
      <c r="G2805" t="inlineStr">
        <is>
          <t>Assister aux réunions du Partenariat du tourisme du Canada atlantique (PTCA) et aux réunions de l'Association des universités de l'Atlantique</t>
        </is>
      </c>
      <c r="H2805" s="1" t="n">
        <v>42543</v>
      </c>
      <c r="I2805" s="1" t="n">
        <v>42545</v>
      </c>
      <c r="J2805" t="inlineStr">
        <is>
          <t>Halifax, Nova Scotia</t>
        </is>
      </c>
      <c r="K2805" t="inlineStr">
        <is>
          <t>Halifax (Nouvelle-Écosse)</t>
        </is>
      </c>
      <c r="P2805" t="n">
        <v>0</v>
      </c>
      <c r="Q2805" t="n">
        <v>65</v>
      </c>
      <c r="R2805" t="n">
        <v>425.8</v>
      </c>
      <c r="S2805" t="n">
        <v>209.5</v>
      </c>
      <c r="T2805" t="n">
        <v>0</v>
      </c>
      <c r="U2805" t="n">
        <v>700.3</v>
      </c>
      <c r="X2805" t="inlineStr">
        <is>
          <t>acoa-apeca</t>
        </is>
      </c>
      <c r="Y2805" t="inlineStr">
        <is>
          <t>Atlantic Canada Opportunities Agency | Agence de promotion économique du Canada atlantique</t>
        </is>
      </c>
    </row>
    <row r="2806">
      <c r="A2806" t="inlineStr">
        <is>
          <t>T-2017-Q2-00010</t>
        </is>
      </c>
      <c r="B2806" t="inlineStr">
        <is>
          <t>SLE</t>
        </is>
      </c>
      <c r="C2806" t="inlineStr">
        <is>
          <t>Vice-President, New Brunswick</t>
        </is>
      </c>
      <c r="D2806" t="inlineStr">
        <is>
          <t>Vice-président, Nouveau-Brunswick</t>
        </is>
      </c>
      <c r="E2806" t="inlineStr">
        <is>
          <t>Kent Estabrooks</t>
        </is>
      </c>
      <c r="F2806" t="inlineStr">
        <is>
          <t>Meetings with Agency officials and various federal officials</t>
        </is>
      </c>
      <c r="G2806" t="inlineStr">
        <is>
          <t>Réunions avec des fonctionnaires de l'Agence et divers fonctionnaires fédéraux</t>
        </is>
      </c>
      <c r="H2806" s="1" t="n">
        <v>42541</v>
      </c>
      <c r="I2806" s="1" t="n">
        <v>42543</v>
      </c>
      <c r="J2806" t="inlineStr">
        <is>
          <t>Ottawa, Ontario</t>
        </is>
      </c>
      <c r="K2806" t="inlineStr">
        <is>
          <t>Ottawa (Ontario)</t>
        </is>
      </c>
      <c r="P2806" t="n">
        <v>644.1</v>
      </c>
      <c r="Q2806" t="n">
        <v>123.48</v>
      </c>
      <c r="R2806" t="n">
        <v>388.74</v>
      </c>
      <c r="S2806" t="n">
        <v>237.7</v>
      </c>
      <c r="T2806" t="n">
        <v>0</v>
      </c>
      <c r="U2806" t="n">
        <v>1394.02</v>
      </c>
      <c r="X2806" t="inlineStr">
        <is>
          <t>acoa-apeca</t>
        </is>
      </c>
      <c r="Y2806" t="inlineStr">
        <is>
          <t>Atlantic Canada Opportunities Agency | Agence de promotion économique du Canada atlantique</t>
        </is>
      </c>
    </row>
    <row r="2807">
      <c r="A2807" t="inlineStr">
        <is>
          <t>T-2017-Q2-00009</t>
        </is>
      </c>
      <c r="B2807" t="inlineStr">
        <is>
          <t>SLE</t>
        </is>
      </c>
      <c r="C2807" t="inlineStr">
        <is>
          <t>Vice-President, New Brunswick</t>
        </is>
      </c>
      <c r="D2807" t="inlineStr">
        <is>
          <t>Vice-président, Nouveau-Brunswick</t>
        </is>
      </c>
      <c r="E2807" t="inlineStr">
        <is>
          <t>Kent Estabrooks</t>
        </is>
      </c>
      <c r="F2807" t="inlineStr">
        <is>
          <t>Meeting with Agency officials and provincial officials</t>
        </is>
      </c>
      <c r="G2807" t="inlineStr">
        <is>
          <t>Réunion avec des fonctionnaires de l'Agence et des fonctionnaires provinciaux</t>
        </is>
      </c>
      <c r="H2807" s="1" t="n">
        <v>42538</v>
      </c>
      <c r="I2807" s="1" t="n">
        <v>42538</v>
      </c>
      <c r="J2807" t="inlineStr">
        <is>
          <t>Moncton, New Brunswick</t>
        </is>
      </c>
      <c r="K2807" t="inlineStr">
        <is>
          <t>Moncton (Nouveau-Brunswick)</t>
        </is>
      </c>
      <c r="P2807" t="n">
        <v>0</v>
      </c>
      <c r="Q2807" t="n">
        <v>0</v>
      </c>
      <c r="R2807" t="n">
        <v>0</v>
      </c>
      <c r="S2807" t="n">
        <v>62</v>
      </c>
      <c r="T2807" t="n">
        <v>7</v>
      </c>
      <c r="U2807" t="n">
        <v>69</v>
      </c>
      <c r="X2807" t="inlineStr">
        <is>
          <t>acoa-apeca</t>
        </is>
      </c>
      <c r="Y2807" t="inlineStr">
        <is>
          <t>Atlantic Canada Opportunities Agency | Agence de promotion économique du Canada atlantique</t>
        </is>
      </c>
    </row>
    <row r="2808">
      <c r="A2808" t="inlineStr">
        <is>
          <t>T-2017-Q2-00008</t>
        </is>
      </c>
      <c r="B2808" t="inlineStr">
        <is>
          <t>SLE</t>
        </is>
      </c>
      <c r="C2808" t="inlineStr">
        <is>
          <t>Vice-President, Policy and Programs</t>
        </is>
      </c>
      <c r="D2808" t="inlineStr">
        <is>
          <t>Vice-président, Politiques et Programmes</t>
        </is>
      </c>
      <c r="E2808" t="inlineStr">
        <is>
          <t>Daryell Nowlan</t>
        </is>
      </c>
      <c r="F2808" t="inlineStr">
        <is>
          <t>Meetings with Government of Canada officials</t>
        </is>
      </c>
      <c r="G2808" t="inlineStr">
        <is>
          <t>Réunions avec des fonctionnaires du gouvernement du Canada</t>
        </is>
      </c>
      <c r="H2808" s="1" t="n">
        <v>42533</v>
      </c>
      <c r="I2808" s="1" t="n">
        <v>42535</v>
      </c>
      <c r="J2808" t="inlineStr">
        <is>
          <t>Ottawa, Ontario</t>
        </is>
      </c>
      <c r="K2808" t="inlineStr">
        <is>
          <t>Ottawa (Ontario)</t>
        </is>
      </c>
      <c r="P2808" t="n">
        <v>644.1</v>
      </c>
      <c r="Q2808" t="n">
        <v>293.5</v>
      </c>
      <c r="R2808" t="n">
        <v>471.38</v>
      </c>
      <c r="S2808" t="n">
        <v>220.9</v>
      </c>
      <c r="T2808" t="n">
        <v>0</v>
      </c>
      <c r="U2808" t="n">
        <v>1629.88</v>
      </c>
      <c r="X2808" t="inlineStr">
        <is>
          <t>acoa-apeca</t>
        </is>
      </c>
      <c r="Y2808" t="inlineStr">
        <is>
          <t>Atlantic Canada Opportunities Agency | Agence de promotion économique du Canada atlantique</t>
        </is>
      </c>
    </row>
    <row r="2809">
      <c r="A2809" t="inlineStr">
        <is>
          <t>T-2017-Q2-00007</t>
        </is>
      </c>
      <c r="B2809" t="inlineStr">
        <is>
          <t>SLE</t>
        </is>
      </c>
      <c r="C2809" t="inlineStr">
        <is>
          <t>President</t>
        </is>
      </c>
      <c r="D2809" t="inlineStr">
        <is>
          <t>Président</t>
        </is>
      </c>
      <c r="E2809" t="inlineStr">
        <is>
          <t>Paul J. LeBlanc</t>
        </is>
      </c>
      <c r="F2809" t="inlineStr">
        <is>
          <t>For various meetings and discussions with Agency officials and Government of Canada officials</t>
        </is>
      </c>
      <c r="G2809" t="inlineStr">
        <is>
          <t>Diverses réunions et discussions avec des fonctionnaires de l'Agence et du gouvernement du Canada</t>
        </is>
      </c>
      <c r="H2809" s="1" t="n">
        <v>42533</v>
      </c>
      <c r="I2809" s="1" t="n">
        <v>42537</v>
      </c>
      <c r="J2809" t="inlineStr">
        <is>
          <t>Ottawa, Ontario</t>
        </is>
      </c>
      <c r="K2809" t="inlineStr">
        <is>
          <t>Ottawa (Ontario)</t>
        </is>
      </c>
      <c r="P2809" t="n">
        <v>468.45</v>
      </c>
      <c r="Q2809" t="n">
        <v>0</v>
      </c>
      <c r="R2809" t="n">
        <v>879.92</v>
      </c>
      <c r="S2809" t="n">
        <v>339.7</v>
      </c>
      <c r="T2809" t="n">
        <v>104.56</v>
      </c>
      <c r="U2809" t="n">
        <v>1792.63</v>
      </c>
      <c r="X2809" t="inlineStr">
        <is>
          <t>acoa-apeca</t>
        </is>
      </c>
      <c r="Y2809" t="inlineStr">
        <is>
          <t>Atlantic Canada Opportunities Agency | Agence de promotion économique du Canada atlantique</t>
        </is>
      </c>
    </row>
    <row r="2810">
      <c r="A2810" t="inlineStr">
        <is>
          <t>T-2017-Q2-00006</t>
        </is>
      </c>
      <c r="B2810" t="inlineStr">
        <is>
          <t>SLE</t>
        </is>
      </c>
      <c r="C2810" t="inlineStr">
        <is>
          <t>Vice President, Nova Scotia</t>
        </is>
      </c>
      <c r="D2810" t="inlineStr">
        <is>
          <t>Vice-président, Nouvelle-Écosse</t>
        </is>
      </c>
      <c r="E2810" t="inlineStr">
        <is>
          <t>Peter Hogan</t>
        </is>
      </c>
      <c r="F2810" t="inlineStr">
        <is>
          <t xml:space="preserve">Various meetings with Agency and private sector officials </t>
        </is>
      </c>
      <c r="G2810" t="inlineStr">
        <is>
          <t>Diverses réunions avec des représentants de l'Agence et du secteur privé</t>
        </is>
      </c>
      <c r="H2810" s="1" t="n">
        <v>42530</v>
      </c>
      <c r="I2810" s="1" t="n">
        <v>42530</v>
      </c>
      <c r="J2810" t="inlineStr">
        <is>
          <t>Sydney, Nova Scotia</t>
        </is>
      </c>
      <c r="K2810" t="inlineStr">
        <is>
          <t>Sydney (Nouvelle-Écosse)</t>
        </is>
      </c>
      <c r="P2810" t="n">
        <v>512.16</v>
      </c>
      <c r="Q2810" t="n">
        <v>48.24</v>
      </c>
      <c r="R2810" t="n">
        <v>0</v>
      </c>
      <c r="S2810" t="n">
        <v>17</v>
      </c>
      <c r="T2810" t="n">
        <v>0</v>
      </c>
      <c r="U2810" t="n">
        <v>577.4</v>
      </c>
      <c r="X2810" t="inlineStr">
        <is>
          <t>acoa-apeca</t>
        </is>
      </c>
      <c r="Y2810" t="inlineStr">
        <is>
          <t>Atlantic Canada Opportunities Agency | Agence de promotion économique du Canada atlantique</t>
        </is>
      </c>
    </row>
    <row r="2811">
      <c r="A2811" t="inlineStr">
        <is>
          <t>T-2017-Q2-00005</t>
        </is>
      </c>
      <c r="B2811" t="inlineStr">
        <is>
          <t>SLE</t>
        </is>
      </c>
      <c r="C2811" t="inlineStr">
        <is>
          <t>Vice-President, New Brunswick</t>
        </is>
      </c>
      <c r="D2811" t="inlineStr">
        <is>
          <t>Vice-président, Nouveau-Brunswick</t>
        </is>
      </c>
      <c r="E2811" t="inlineStr">
        <is>
          <t>Kent Estabrooks</t>
        </is>
      </c>
      <c r="F2811" t="inlineStr">
        <is>
          <t>Meeting with a client</t>
        </is>
      </c>
      <c r="G2811" t="inlineStr">
        <is>
          <t>Réunion avec un client</t>
        </is>
      </c>
      <c r="H2811" s="1" t="n">
        <v>42530</v>
      </c>
      <c r="I2811" s="1" t="n">
        <v>42530</v>
      </c>
      <c r="J2811" t="inlineStr">
        <is>
          <t>Moncton, New Brunswick</t>
        </is>
      </c>
      <c r="K2811" t="inlineStr">
        <is>
          <t>Moncton (Nouveau-Brunswick)</t>
        </is>
      </c>
      <c r="P2811" t="n">
        <v>0</v>
      </c>
      <c r="Q2811" t="n">
        <v>0</v>
      </c>
      <c r="R2811" t="n">
        <v>0</v>
      </c>
      <c r="S2811" t="n">
        <v>45</v>
      </c>
      <c r="T2811" t="n">
        <v>6</v>
      </c>
      <c r="U2811" t="n">
        <v>51</v>
      </c>
      <c r="X2811" t="inlineStr">
        <is>
          <t>acoa-apeca</t>
        </is>
      </c>
      <c r="Y2811" t="inlineStr">
        <is>
          <t>Atlantic Canada Opportunities Agency | Agence de promotion économique du Canada atlantique</t>
        </is>
      </c>
    </row>
    <row r="2812">
      <c r="A2812" t="inlineStr">
        <is>
          <t>T-2017-Q2-00004</t>
        </is>
      </c>
      <c r="B2812" t="inlineStr">
        <is>
          <t>SLE</t>
        </is>
      </c>
      <c r="C2812" t="inlineStr">
        <is>
          <t>Vice-President, Prince Edward Island</t>
        </is>
      </c>
      <c r="D2812" t="inlineStr">
        <is>
          <t>Vice-président, Île-du-Prince-Édouard</t>
        </is>
      </c>
      <c r="E2812" t="inlineStr">
        <is>
          <t>Patrick Dorsey</t>
        </is>
      </c>
      <c r="F2812" t="inlineStr">
        <is>
          <t xml:space="preserve">BIO 2016 </t>
        </is>
      </c>
      <c r="G2812" t="inlineStr">
        <is>
          <t>Assister au congrès BIO 2016</t>
        </is>
      </c>
      <c r="H2812" s="1" t="n">
        <v>42527</v>
      </c>
      <c r="I2812" s="1" t="n">
        <v>42531</v>
      </c>
      <c r="J2812" t="inlineStr">
        <is>
          <t>San Franciso, California</t>
        </is>
      </c>
      <c r="K2812" t="inlineStr">
        <is>
          <t>San Francisco (Californie)</t>
        </is>
      </c>
      <c r="P2812" t="n">
        <v>2028.45</v>
      </c>
      <c r="Q2812" t="n">
        <v>177.15</v>
      </c>
      <c r="R2812" t="n">
        <v>1892.18</v>
      </c>
      <c r="S2812" t="n">
        <v>486.98</v>
      </c>
      <c r="T2812" t="n">
        <v>0</v>
      </c>
      <c r="U2812" t="n">
        <v>4584.76</v>
      </c>
      <c r="X2812" t="inlineStr">
        <is>
          <t>acoa-apeca</t>
        </is>
      </c>
      <c r="Y2812" t="inlineStr">
        <is>
          <t>Atlantic Canada Opportunities Agency | Agence de promotion économique du Canada atlantique</t>
        </is>
      </c>
    </row>
    <row r="2813">
      <c r="A2813" t="inlineStr">
        <is>
          <t>T-2017-Q2-00003</t>
        </is>
      </c>
      <c r="B2813" t="inlineStr">
        <is>
          <t>SLE</t>
        </is>
      </c>
      <c r="C2813" t="inlineStr">
        <is>
          <t>Vice-President, Finance and Corporate Services</t>
        </is>
      </c>
      <c r="D2813" t="inlineStr">
        <is>
          <t>Vice-présidente, Finances et Services corporatifs</t>
        </is>
      </c>
      <c r="E2813" t="inlineStr">
        <is>
          <t>Denise Frenette</t>
        </is>
      </c>
      <c r="F2813" t="inlineStr">
        <is>
          <t>For various meetings and sessions with Government of Canada officials</t>
        </is>
      </c>
      <c r="G2813" t="inlineStr">
        <is>
          <t>Diverses réunions et séances avec des fonctionnaires du gouvernement du Canada</t>
        </is>
      </c>
      <c r="H2813" s="1" t="n">
        <v>42527</v>
      </c>
      <c r="I2813" s="1" t="n">
        <v>42529</v>
      </c>
      <c r="J2813" t="inlineStr">
        <is>
          <t>Ottawa, Ontario</t>
        </is>
      </c>
      <c r="K2813" t="inlineStr">
        <is>
          <t>Ottawa (Ontario)</t>
        </is>
      </c>
      <c r="P2813" t="n">
        <v>614.58</v>
      </c>
      <c r="Q2813" t="n">
        <v>85</v>
      </c>
      <c r="R2813" t="n">
        <v>367.46</v>
      </c>
      <c r="S2813" t="n">
        <v>237.5</v>
      </c>
      <c r="T2813" t="n">
        <v>0</v>
      </c>
      <c r="U2813" t="n">
        <v>1304.54</v>
      </c>
      <c r="X2813" t="inlineStr">
        <is>
          <t>acoa-apeca</t>
        </is>
      </c>
      <c r="Y2813" t="inlineStr">
        <is>
          <t>Atlantic Canada Opportunities Agency | Agence de promotion économique du Canada atlantique</t>
        </is>
      </c>
    </row>
    <row r="2814">
      <c r="A2814" t="inlineStr">
        <is>
          <t>T-2017-Q2-00002</t>
        </is>
      </c>
      <c r="B2814" t="inlineStr">
        <is>
          <t>SLE</t>
        </is>
      </c>
      <c r="C2814" t="inlineStr">
        <is>
          <t>President</t>
        </is>
      </c>
      <c r="D2814" t="inlineStr">
        <is>
          <t>Président</t>
        </is>
      </c>
      <c r="E2814" t="inlineStr">
        <is>
          <t>Paul J. LeBlanc</t>
        </is>
      </c>
      <c r="F2814" t="inlineStr">
        <is>
          <t>For various meetings and discussions with Agency officials and Government of Canada officials</t>
        </is>
      </c>
      <c r="G2814" t="inlineStr">
        <is>
          <t>Diverses réunions et discussions avec des fonctionnaires de l'Agence et du gouvernement du Canada</t>
        </is>
      </c>
      <c r="H2814" s="1" t="n">
        <v>42527</v>
      </c>
      <c r="I2814" s="1" t="n">
        <v>42528</v>
      </c>
      <c r="J2814" t="inlineStr">
        <is>
          <t>St. John's, Newfoundland and Labrador</t>
        </is>
      </c>
      <c r="K2814" t="inlineStr">
        <is>
          <t>St. John's (Terre-Neuve-et-Labrador)</t>
        </is>
      </c>
      <c r="P2814" t="n">
        <v>1016.9</v>
      </c>
      <c r="Q2814" t="n">
        <v>30</v>
      </c>
      <c r="R2814" t="n">
        <v>217.62</v>
      </c>
      <c r="S2814" t="n">
        <v>158.4</v>
      </c>
      <c r="T2814" t="n">
        <v>92.38</v>
      </c>
      <c r="U2814" t="n">
        <v>1515.3</v>
      </c>
      <c r="X2814" t="inlineStr">
        <is>
          <t>acoa-apeca</t>
        </is>
      </c>
      <c r="Y2814" t="inlineStr">
        <is>
          <t>Atlantic Canada Opportunities Agency | Agence de promotion économique du Canada atlantique</t>
        </is>
      </c>
    </row>
    <row r="2815">
      <c r="A2815" t="inlineStr">
        <is>
          <t>T-2017-Q2-00001</t>
        </is>
      </c>
      <c r="B2815" t="inlineStr">
        <is>
          <t>SLE</t>
        </is>
      </c>
      <c r="C2815" t="inlineStr">
        <is>
          <t>Vice-President, Policy and Programs</t>
        </is>
      </c>
      <c r="D2815" t="inlineStr">
        <is>
          <t>Vice-président, Politiques et Programmes</t>
        </is>
      </c>
      <c r="E2815" t="inlineStr">
        <is>
          <t>Daryell Nowlan</t>
        </is>
      </c>
      <c r="F2815" t="inlineStr">
        <is>
          <t>Meetings with Government of Canada officials</t>
        </is>
      </c>
      <c r="G2815" t="inlineStr">
        <is>
          <t>Réunions avec des fonctionnaires du gouvernement du Canada</t>
        </is>
      </c>
      <c r="H2815" s="1" t="n">
        <v>42526</v>
      </c>
      <c r="I2815" s="1" t="n">
        <v>42529</v>
      </c>
      <c r="J2815" t="inlineStr">
        <is>
          <t>St. John's, Newfoundland and Labrador and Ottawa, Ontario</t>
        </is>
      </c>
      <c r="K2815" t="inlineStr">
        <is>
          <t>St. John's (Terre-Neuve-et-Labrador) et Ottawa (Ontario)</t>
        </is>
      </c>
      <c r="P2815" t="n">
        <v>1008.38</v>
      </c>
      <c r="Q2815" t="n">
        <v>73.16</v>
      </c>
      <c r="R2815" t="n">
        <v>792.73</v>
      </c>
      <c r="S2815" t="n">
        <v>300.2</v>
      </c>
      <c r="T2815" t="n">
        <v>0</v>
      </c>
      <c r="U2815" t="n">
        <v>2174.47</v>
      </c>
      <c r="X2815" t="inlineStr">
        <is>
          <t>acoa-apeca</t>
        </is>
      </c>
      <c r="Y2815" t="inlineStr">
        <is>
          <t>Atlantic Canada Opportunities Agency | Agence de promotion économique du Canada atlantique</t>
        </is>
      </c>
    </row>
    <row r="2816">
      <c r="A2816" t="inlineStr">
        <is>
          <t>T-2017-Q1-00049</t>
        </is>
      </c>
      <c r="B2816" t="inlineStr">
        <is>
          <t>SLE</t>
        </is>
      </c>
      <c r="C2816" t="inlineStr">
        <is>
          <t>Vice-President, Prince Edward Island</t>
        </is>
      </c>
      <c r="D2816" t="inlineStr">
        <is>
          <t>Vice-président, Île-du-Prince-Édouard</t>
        </is>
      </c>
      <c r="E2816" t="inlineStr">
        <is>
          <t>Patrick Dorsey</t>
        </is>
      </c>
      <c r="F2816" t="inlineStr">
        <is>
          <t>Meetings with Government of Canada officials</t>
        </is>
      </c>
      <c r="G2816" t="inlineStr">
        <is>
          <t>Réunions avec des fonctionnaires du gouvernement du Canada</t>
        </is>
      </c>
      <c r="H2816" s="1" t="n">
        <v>42521</v>
      </c>
      <c r="I2816" s="1" t="n">
        <v>42523</v>
      </c>
      <c r="J2816" t="inlineStr">
        <is>
          <t>Ottawa, Ontario</t>
        </is>
      </c>
      <c r="K2816" t="inlineStr">
        <is>
          <t>Ottawa (Ontario)</t>
        </is>
      </c>
      <c r="P2816" t="n">
        <v>537.09</v>
      </c>
      <c r="Q2816" t="n">
        <v>71.43000000000001</v>
      </c>
      <c r="R2816" t="n">
        <v>196.7</v>
      </c>
      <c r="S2816" t="n">
        <v>175.4</v>
      </c>
      <c r="T2816" t="n">
        <v>0</v>
      </c>
      <c r="U2816" t="n">
        <v>980.62</v>
      </c>
      <c r="X2816" t="inlineStr">
        <is>
          <t>acoa-apeca</t>
        </is>
      </c>
      <c r="Y2816" t="inlineStr">
        <is>
          <t>Atlantic Canada Opportunities Agency | Agence de promotion économique du Canada atlantique</t>
        </is>
      </c>
    </row>
    <row r="2817">
      <c r="A2817" t="inlineStr">
        <is>
          <t>T-2017-Q1-00048</t>
        </is>
      </c>
      <c r="B2817" t="inlineStr">
        <is>
          <t>SLE</t>
        </is>
      </c>
      <c r="C2817" t="inlineStr">
        <is>
          <t>Vice President, Nova Scotia</t>
        </is>
      </c>
      <c r="D2817" t="inlineStr">
        <is>
          <t>Vice-président, Nouvelle-Écosse</t>
        </is>
      </c>
      <c r="E2817" t="inlineStr">
        <is>
          <t>Peter Hogan</t>
        </is>
      </c>
      <c r="F2817" t="inlineStr">
        <is>
          <t>APEX Symposium and various meetings with Government of Canada officials</t>
        </is>
      </c>
      <c r="G2817" t="inlineStr">
        <is>
          <t>Symposium de l'APEX et diverses réunions avec des fonctionnaires du gouvernement du Canada</t>
        </is>
      </c>
      <c r="H2817" s="1" t="n">
        <v>42520</v>
      </c>
      <c r="I2817" s="1" t="n">
        <v>42523</v>
      </c>
      <c r="J2817" t="inlineStr">
        <is>
          <t>Ottawa, Ontario</t>
        </is>
      </c>
      <c r="K2817" t="inlineStr">
        <is>
          <t>Ottawa (Ontario)</t>
        </is>
      </c>
      <c r="P2817" t="n">
        <v>455.07</v>
      </c>
      <c r="Q2817" t="n">
        <v>175.24</v>
      </c>
      <c r="R2817" t="n">
        <v>652.95</v>
      </c>
      <c r="S2817" t="n">
        <v>164.8</v>
      </c>
      <c r="T2817" t="n">
        <v>0</v>
      </c>
      <c r="U2817" t="n">
        <v>1448.06</v>
      </c>
      <c r="X2817" t="inlineStr">
        <is>
          <t>acoa-apeca</t>
        </is>
      </c>
      <c r="Y2817" t="inlineStr">
        <is>
          <t>Atlantic Canada Opportunities Agency | Agence de promotion économique du Canada atlantique</t>
        </is>
      </c>
    </row>
    <row r="2818">
      <c r="A2818" t="inlineStr">
        <is>
          <t>T-2017-Q1-00047</t>
        </is>
      </c>
      <c r="B2818" t="inlineStr">
        <is>
          <t>SLE</t>
        </is>
      </c>
      <c r="C2818" t="inlineStr">
        <is>
          <t>President</t>
        </is>
      </c>
      <c r="D2818" t="inlineStr">
        <is>
          <t>Président</t>
        </is>
      </c>
      <c r="E2818" t="inlineStr">
        <is>
          <t>Paul J. LeBlanc</t>
        </is>
      </c>
      <c r="F2818" t="inlineStr">
        <is>
          <t>For various meetings and discussions with Agency officials and Government of Canada officials</t>
        </is>
      </c>
      <c r="G2818" t="inlineStr">
        <is>
          <t>Diverses réunions et discussions avec des fonctionnaires de l'Agence et du gouvernement du Canada</t>
        </is>
      </c>
      <c r="H2818" s="1" t="n">
        <v>42520</v>
      </c>
      <c r="I2818" s="1" t="n">
        <v>42524</v>
      </c>
      <c r="J2818" t="inlineStr">
        <is>
          <t>Ottawa, Ontario</t>
        </is>
      </c>
      <c r="K2818" t="inlineStr">
        <is>
          <t>Ottawa (Ontario)</t>
        </is>
      </c>
      <c r="P2818" t="n">
        <v>763.83</v>
      </c>
      <c r="Q2818" t="n">
        <v>0</v>
      </c>
      <c r="R2818" t="n">
        <v>879.92</v>
      </c>
      <c r="S2818" t="n">
        <v>418.7</v>
      </c>
      <c r="T2818" t="n">
        <v>377.5</v>
      </c>
      <c r="U2818" t="n">
        <v>2439.95</v>
      </c>
      <c r="X2818" t="inlineStr">
        <is>
          <t>acoa-apeca</t>
        </is>
      </c>
      <c r="Y2818" t="inlineStr">
        <is>
          <t>Atlantic Canada Opportunities Agency | Agence de promotion économique du Canada atlantique</t>
        </is>
      </c>
    </row>
    <row r="2819">
      <c r="A2819" t="inlineStr">
        <is>
          <t>T-2017-Q1-00046</t>
        </is>
      </c>
      <c r="B2819" t="inlineStr">
        <is>
          <t>SLE</t>
        </is>
      </c>
      <c r="C2819" t="inlineStr">
        <is>
          <t>Vice-President, Finance and Corporate Services</t>
        </is>
      </c>
      <c r="D2819" t="inlineStr">
        <is>
          <t>Vice-présidente, Finances et Services corporatifs</t>
        </is>
      </c>
      <c r="E2819" t="inlineStr">
        <is>
          <t>Denise Frenette</t>
        </is>
      </c>
      <c r="F2819" t="inlineStr">
        <is>
          <t>For various meetings, sessions, presentations and discussions with Government of Canada officials</t>
        </is>
      </c>
      <c r="G2819" t="inlineStr">
        <is>
          <t>Diverses réunions, séances, présentations  et discussions avec des fonctionnaires du gouvernement du Canada</t>
        </is>
      </c>
      <c r="H2819" s="1" t="n">
        <v>42520</v>
      </c>
      <c r="I2819" s="1" t="n">
        <v>42522</v>
      </c>
      <c r="J2819" t="inlineStr">
        <is>
          <t>Ottawa, Ontario</t>
        </is>
      </c>
      <c r="K2819" t="inlineStr">
        <is>
          <t>Ottawa (Ontario)</t>
        </is>
      </c>
      <c r="P2819" t="n">
        <v>235.44</v>
      </c>
      <c r="Q2819" t="n">
        <v>67.33</v>
      </c>
      <c r="R2819" t="n">
        <v>439.96</v>
      </c>
      <c r="S2819" t="n">
        <v>192.3</v>
      </c>
      <c r="T2819" t="n">
        <v>0</v>
      </c>
      <c r="U2819" t="n">
        <v>935.03</v>
      </c>
      <c r="X2819" t="inlineStr">
        <is>
          <t>acoa-apeca</t>
        </is>
      </c>
      <c r="Y2819" t="inlineStr">
        <is>
          <t>Atlantic Canada Opportunities Agency | Agence de promotion économique du Canada atlantique</t>
        </is>
      </c>
    </row>
    <row r="2820">
      <c r="A2820" t="inlineStr">
        <is>
          <t>T-2017-Q1-00045</t>
        </is>
      </c>
      <c r="B2820" t="inlineStr">
        <is>
          <t>SLE</t>
        </is>
      </c>
      <c r="C2820" t="inlineStr">
        <is>
          <t>Vice-President, New Brunswick</t>
        </is>
      </c>
      <c r="D2820" t="inlineStr">
        <is>
          <t>Vice-président, Nouveau-Brunswick</t>
        </is>
      </c>
      <c r="E2820" t="inlineStr">
        <is>
          <t>Kent Estabrooks</t>
        </is>
      </c>
      <c r="F2820" t="inlineStr">
        <is>
          <t>Meetings with various federal officials</t>
        </is>
      </c>
      <c r="G2820" t="inlineStr">
        <is>
          <t>Réunions avec divers fonctionnaires fédéraux</t>
        </is>
      </c>
      <c r="H2820" s="1" t="n">
        <v>42519</v>
      </c>
      <c r="I2820" s="1" t="n">
        <v>42523</v>
      </c>
      <c r="J2820" t="inlineStr">
        <is>
          <t>Ottawa, Ontario</t>
        </is>
      </c>
      <c r="K2820" t="inlineStr">
        <is>
          <t>Ottawa (Ontario)</t>
        </is>
      </c>
      <c r="P2820" t="n">
        <v>644.1</v>
      </c>
      <c r="Q2820" t="n">
        <v>108.61</v>
      </c>
      <c r="R2820" t="n">
        <v>777.48</v>
      </c>
      <c r="S2820" t="n">
        <v>300.5</v>
      </c>
      <c r="T2820" t="n">
        <v>0</v>
      </c>
      <c r="U2820" t="n">
        <v>1830.69</v>
      </c>
      <c r="X2820" t="inlineStr">
        <is>
          <t>acoa-apeca</t>
        </is>
      </c>
      <c r="Y2820" t="inlineStr">
        <is>
          <t>Atlantic Canada Opportunities Agency | Agence de promotion économique du Canada atlantique</t>
        </is>
      </c>
    </row>
    <row r="2821">
      <c r="A2821" t="inlineStr">
        <is>
          <t>T-2017-Q1-00044</t>
        </is>
      </c>
      <c r="B2821" t="inlineStr">
        <is>
          <t>SLE</t>
        </is>
      </c>
      <c r="C2821" t="inlineStr">
        <is>
          <t>Vice-President, New Brunswick</t>
        </is>
      </c>
      <c r="D2821" t="inlineStr">
        <is>
          <t>Vice-président, Nouveau-Brunswick</t>
        </is>
      </c>
      <c r="E2821" t="inlineStr">
        <is>
          <t>Kent Estabrooks</t>
        </is>
      </c>
      <c r="F2821" t="inlineStr">
        <is>
          <t>Various meetings with Agency officials</t>
        </is>
      </c>
      <c r="G2821" t="inlineStr">
        <is>
          <t xml:space="preserve">Diverses réunions avec des fonctionnaires de l'Agence </t>
        </is>
      </c>
      <c r="H2821" s="1" t="n">
        <v>42515</v>
      </c>
      <c r="I2821" s="1" t="n">
        <v>42517</v>
      </c>
      <c r="J2821" t="inlineStr">
        <is>
          <t>Moncton, New Brunswick</t>
        </is>
      </c>
      <c r="K2821" t="inlineStr">
        <is>
          <t>Moncton (Nouveau-Brunswick)</t>
        </is>
      </c>
      <c r="P2821" t="n">
        <v>0</v>
      </c>
      <c r="Q2821" t="n">
        <v>0</v>
      </c>
      <c r="R2821" t="n">
        <v>267.82</v>
      </c>
      <c r="S2821" t="n">
        <v>141.9</v>
      </c>
      <c r="T2821" t="n">
        <v>0</v>
      </c>
      <c r="U2821" t="n">
        <v>409.72</v>
      </c>
      <c r="X2821" t="inlineStr">
        <is>
          <t>acoa-apeca</t>
        </is>
      </c>
      <c r="Y2821" t="inlineStr">
        <is>
          <t>Atlantic Canada Opportunities Agency | Agence de promotion économique du Canada atlantique</t>
        </is>
      </c>
    </row>
    <row r="2822">
      <c r="A2822" t="inlineStr">
        <is>
          <t>T-2017-Q1-00043</t>
        </is>
      </c>
      <c r="B2822" t="inlineStr">
        <is>
          <t>SLE</t>
        </is>
      </c>
      <c r="C2822" t="inlineStr">
        <is>
          <t>Vice-President, Prince Edward Island</t>
        </is>
      </c>
      <c r="D2822" t="inlineStr">
        <is>
          <t>Vice-président, Île-du-Prince-Édouard</t>
        </is>
      </c>
      <c r="E2822" t="inlineStr">
        <is>
          <t>Patrick Dorsey</t>
        </is>
      </c>
      <c r="F2822" t="inlineStr">
        <is>
          <t xml:space="preserve">Meetings with Government of Canada officials </t>
        </is>
      </c>
      <c r="G2822" t="inlineStr">
        <is>
          <t>Réunions avec des fonctionnaires du gouvernement du Canada</t>
        </is>
      </c>
      <c r="H2822" s="1" t="n">
        <v>42515</v>
      </c>
      <c r="I2822" s="1" t="n">
        <v>42517</v>
      </c>
      <c r="J2822" t="inlineStr">
        <is>
          <t>Moncton, New Brunswick</t>
        </is>
      </c>
      <c r="K2822" t="inlineStr">
        <is>
          <t>Moncton (Nouveau-Brunswick)</t>
        </is>
      </c>
      <c r="P2822" t="n">
        <v>0</v>
      </c>
      <c r="Q2822" t="n">
        <v>61</v>
      </c>
      <c r="R2822" t="n">
        <v>267.82</v>
      </c>
      <c r="S2822" t="n">
        <v>158.9</v>
      </c>
      <c r="T2822" t="n">
        <v>0</v>
      </c>
      <c r="U2822" t="n">
        <v>487.72</v>
      </c>
      <c r="X2822" t="inlineStr">
        <is>
          <t>acoa-apeca</t>
        </is>
      </c>
      <c r="Y2822" t="inlineStr">
        <is>
          <t>Atlantic Canada Opportunities Agency | Agence de promotion économique du Canada atlantique</t>
        </is>
      </c>
    </row>
    <row r="2823">
      <c r="A2823" t="inlineStr">
        <is>
          <t>T-2017-Q1-00042</t>
        </is>
      </c>
      <c r="B2823" t="inlineStr">
        <is>
          <t>SLE</t>
        </is>
      </c>
      <c r="C2823" t="inlineStr">
        <is>
          <t>Vice President, Nova Scotia</t>
        </is>
      </c>
      <c r="D2823" t="inlineStr">
        <is>
          <t>Vice-président, Nouvelle-Écosse</t>
        </is>
      </c>
      <c r="E2823" t="inlineStr">
        <is>
          <t>Peter Hogan</t>
        </is>
      </c>
      <c r="F2823" t="inlineStr">
        <is>
          <t xml:space="preserve">Various meetings with Agency officials </t>
        </is>
      </c>
      <c r="G2823" t="inlineStr">
        <is>
          <t>Diverses réunions avec des fonctionnaires de l'Agence</t>
        </is>
      </c>
      <c r="H2823" s="1" t="n">
        <v>42515</v>
      </c>
      <c r="I2823" s="1" t="n">
        <v>42517</v>
      </c>
      <c r="J2823" t="inlineStr">
        <is>
          <t>Moncton, New Bruswick</t>
        </is>
      </c>
      <c r="K2823" t="inlineStr">
        <is>
          <t>Moncton (Nouveau-Brunswick)</t>
        </is>
      </c>
      <c r="P2823" t="n">
        <v>0</v>
      </c>
      <c r="Q2823" t="n">
        <v>0</v>
      </c>
      <c r="R2823" t="n">
        <v>305.1</v>
      </c>
      <c r="S2823" t="n">
        <v>113.9</v>
      </c>
      <c r="T2823" t="n">
        <v>0</v>
      </c>
      <c r="U2823" t="n">
        <v>419</v>
      </c>
      <c r="X2823" t="inlineStr">
        <is>
          <t>acoa-apeca</t>
        </is>
      </c>
      <c r="Y2823" t="inlineStr">
        <is>
          <t>Atlantic Canada Opportunities Agency | Agence de promotion économique du Canada atlantique</t>
        </is>
      </c>
    </row>
    <row r="2824">
      <c r="A2824" t="inlineStr">
        <is>
          <t>T-2017-Q1-00041</t>
        </is>
      </c>
      <c r="B2824" t="inlineStr">
        <is>
          <t>SLE</t>
        </is>
      </c>
      <c r="C2824" t="inlineStr">
        <is>
          <t>Vice-President, Newfoundland and Labrador</t>
        </is>
      </c>
      <c r="D2824" t="inlineStr">
        <is>
          <t>Vice-président, Terre-Neuve-et-Labrador</t>
        </is>
      </c>
      <c r="E2824" t="inlineStr">
        <is>
          <t>Ken Martin</t>
        </is>
      </c>
      <c r="F2824" t="inlineStr">
        <is>
          <t xml:space="preserve">Attend Executive Committee meeting as well as meet with senior government officials  </t>
        </is>
      </c>
      <c r="G2824" t="inlineStr">
        <is>
          <t>Assister à une réunion du Comité de direction et rencontrer des hauts fonctionnaires</t>
        </is>
      </c>
      <c r="H2824" s="1" t="n">
        <v>42515</v>
      </c>
      <c r="I2824" s="1" t="n">
        <v>42517</v>
      </c>
      <c r="J2824" t="inlineStr">
        <is>
          <t>Moncton, New Brunswick</t>
        </is>
      </c>
      <c r="K2824" t="inlineStr">
        <is>
          <t>Moncton (Nouveau-Brunswick)</t>
        </is>
      </c>
      <c r="P2824" t="n">
        <v>593.53</v>
      </c>
      <c r="Q2824" t="n">
        <v>252.29</v>
      </c>
      <c r="R2824" t="n">
        <v>237.3</v>
      </c>
      <c r="S2824" t="n">
        <v>237.5</v>
      </c>
      <c r="T2824" t="n">
        <v>0</v>
      </c>
      <c r="U2824" t="n">
        <v>1320.62</v>
      </c>
      <c r="X2824" t="inlineStr">
        <is>
          <t>acoa-apeca</t>
        </is>
      </c>
      <c r="Y2824" t="inlineStr">
        <is>
          <t>Atlantic Canada Opportunities Agency | Agence de promotion économique du Canada atlantique</t>
        </is>
      </c>
    </row>
    <row r="2825">
      <c r="A2825" t="inlineStr">
        <is>
          <t>T-2017-Q1-00040</t>
        </is>
      </c>
      <c r="B2825" t="inlineStr">
        <is>
          <t>SLE</t>
        </is>
      </c>
      <c r="C2825" t="inlineStr">
        <is>
          <t>Vice-President, Newfoundland and Labrador</t>
        </is>
      </c>
      <c r="D2825" t="inlineStr">
        <is>
          <t>Vice-président, Terre-Neuve-et-Labrador</t>
        </is>
      </c>
      <c r="E2825" t="inlineStr">
        <is>
          <t>Ken Martin</t>
        </is>
      </c>
      <c r="F2825" t="inlineStr">
        <is>
          <t>Meeting with Senior Government Officials</t>
        </is>
      </c>
      <c r="G2825" t="inlineStr">
        <is>
          <t>Réunion avec des hauts fonctionnaires</t>
        </is>
      </c>
      <c r="H2825" s="1" t="n">
        <v>42507</v>
      </c>
      <c r="I2825" s="1" t="n">
        <v>42508</v>
      </c>
      <c r="J2825" t="inlineStr">
        <is>
          <t>Ottawa, Ontario</t>
        </is>
      </c>
      <c r="K2825" t="inlineStr">
        <is>
          <t>Ottawa (Ontario)</t>
        </is>
      </c>
      <c r="P2825" t="n">
        <v>800</v>
      </c>
      <c r="Q2825" t="n">
        <v>56.86</v>
      </c>
      <c r="R2825" t="n">
        <v>194.37</v>
      </c>
      <c r="S2825" t="n">
        <v>175.4</v>
      </c>
      <c r="T2825" t="n">
        <v>0</v>
      </c>
      <c r="U2825" t="n">
        <v>1226.63</v>
      </c>
      <c r="X2825" t="inlineStr">
        <is>
          <t>acoa-apeca</t>
        </is>
      </c>
      <c r="Y2825" t="inlineStr">
        <is>
          <t>Atlantic Canada Opportunities Agency | Agence de promotion économique du Canada atlantique</t>
        </is>
      </c>
    </row>
    <row r="2826">
      <c r="A2826" t="inlineStr">
        <is>
          <t>T-2017-Q1-00039</t>
        </is>
      </c>
      <c r="B2826" t="inlineStr">
        <is>
          <t>SLE</t>
        </is>
      </c>
      <c r="C2826" t="inlineStr">
        <is>
          <t>Vice President, Nova Scotia</t>
        </is>
      </c>
      <c r="D2826" t="inlineStr">
        <is>
          <t>Vice-président, Nouvelle-Écosse</t>
        </is>
      </c>
      <c r="E2826" t="inlineStr">
        <is>
          <t>Peter Hogan</t>
        </is>
      </c>
      <c r="F2826" t="inlineStr">
        <is>
          <t>Various meetings with Agency and Government of Canada officials</t>
        </is>
      </c>
      <c r="G2826" t="inlineStr">
        <is>
          <t>Diverses réunions avec des fonctionnaires de l'Agence et du gouvernement du Canada</t>
        </is>
      </c>
      <c r="H2826" s="1" t="n">
        <v>42501</v>
      </c>
      <c r="I2826" s="1" t="n">
        <v>42502</v>
      </c>
      <c r="J2826" t="inlineStr">
        <is>
          <t>Ottawa, Ontario</t>
        </is>
      </c>
      <c r="K2826" t="inlineStr">
        <is>
          <t>Ottawa (Ontario)</t>
        </is>
      </c>
      <c r="P2826" t="n">
        <v>534.7</v>
      </c>
      <c r="Q2826" t="n">
        <v>53.24</v>
      </c>
      <c r="R2826" t="n">
        <v>278.17</v>
      </c>
      <c r="S2826" t="n">
        <v>130.4</v>
      </c>
      <c r="T2826" t="n">
        <v>42</v>
      </c>
      <c r="U2826" t="n">
        <v>1038.51</v>
      </c>
      <c r="X2826" t="inlineStr">
        <is>
          <t>acoa-apeca</t>
        </is>
      </c>
      <c r="Y2826" t="inlineStr">
        <is>
          <t>Atlantic Canada Opportunities Agency | Agence de promotion économique du Canada atlantique</t>
        </is>
      </c>
    </row>
    <row r="2827">
      <c r="A2827" t="inlineStr">
        <is>
          <t>T-2017-Q1-00038</t>
        </is>
      </c>
      <c r="B2827" t="inlineStr">
        <is>
          <t>SLE</t>
        </is>
      </c>
      <c r="C2827" t="inlineStr">
        <is>
          <t>Vice-President, Newfoundland and Labrador</t>
        </is>
      </c>
      <c r="D2827" t="inlineStr">
        <is>
          <t>Vice-président, Terre-Neuve-et-Labrador</t>
        </is>
      </c>
      <c r="E2827" t="inlineStr">
        <is>
          <t>Ken Martin</t>
        </is>
      </c>
      <c r="F2827" t="inlineStr">
        <is>
          <t>Assistant Deputy Minister Orientation</t>
        </is>
      </c>
      <c r="G2827" t="inlineStr">
        <is>
          <t>Séance d'orientation pour les sous-ministres adjoints</t>
        </is>
      </c>
      <c r="H2827" s="1" t="n">
        <v>42501</v>
      </c>
      <c r="I2827" s="1" t="n">
        <v>42502</v>
      </c>
      <c r="J2827" t="inlineStr">
        <is>
          <t>Ottawa, Ontario</t>
        </is>
      </c>
      <c r="K2827" t="inlineStr">
        <is>
          <t>Ottawa (Ontario)</t>
        </is>
      </c>
      <c r="P2827" t="n">
        <v>842.76</v>
      </c>
      <c r="Q2827" t="n">
        <v>86.86</v>
      </c>
      <c r="R2827" t="n">
        <v>219.98</v>
      </c>
      <c r="S2827" t="n">
        <v>141.4</v>
      </c>
      <c r="T2827" t="n">
        <v>0</v>
      </c>
      <c r="U2827" t="n">
        <v>1291</v>
      </c>
      <c r="X2827" t="inlineStr">
        <is>
          <t>acoa-apeca</t>
        </is>
      </c>
      <c r="Y2827" t="inlineStr">
        <is>
          <t>Atlantic Canada Opportunities Agency | Agence de promotion économique du Canada atlantique</t>
        </is>
      </c>
    </row>
    <row r="2828">
      <c r="A2828" t="inlineStr">
        <is>
          <t>T-2017-Q1-00037</t>
        </is>
      </c>
      <c r="B2828" t="inlineStr">
        <is>
          <t>SLE</t>
        </is>
      </c>
      <c r="C2828" t="inlineStr">
        <is>
          <t>President</t>
        </is>
      </c>
      <c r="D2828" t="inlineStr">
        <is>
          <t>Président</t>
        </is>
      </c>
      <c r="E2828" t="inlineStr">
        <is>
          <t>Paul J. LeBlanc</t>
        </is>
      </c>
      <c r="F2828" t="inlineStr">
        <is>
          <t>For various meetings and discussions with Agency officials and Government of Canada officials</t>
        </is>
      </c>
      <c r="G2828" t="inlineStr">
        <is>
          <t>Diverses réunions et discussions avec des fonctionnaires de l'Agence et du gouvernement du Canada</t>
        </is>
      </c>
      <c r="H2828" s="1" t="n">
        <v>42500</v>
      </c>
      <c r="I2828" s="1" t="n">
        <v>42502</v>
      </c>
      <c r="J2828" t="inlineStr">
        <is>
          <t>Ottawa, Ontario</t>
        </is>
      </c>
      <c r="K2828" t="inlineStr">
        <is>
          <t>Ottawa (Ontario)</t>
        </is>
      </c>
      <c r="P2828" t="n">
        <v>247.84</v>
      </c>
      <c r="Q2828" t="n">
        <v>0</v>
      </c>
      <c r="R2828" t="n">
        <v>365.46</v>
      </c>
      <c r="S2828" t="n">
        <v>175.7</v>
      </c>
      <c r="T2828" t="n">
        <v>88.5</v>
      </c>
      <c r="U2828" t="n">
        <v>877.5</v>
      </c>
      <c r="X2828" t="inlineStr">
        <is>
          <t>acoa-apeca</t>
        </is>
      </c>
      <c r="Y2828" t="inlineStr">
        <is>
          <t>Atlantic Canada Opportunities Agency | Agence de promotion économique du Canada atlantique</t>
        </is>
      </c>
    </row>
    <row r="2829">
      <c r="A2829" t="inlineStr">
        <is>
          <t>T-2017-Q1-00036</t>
        </is>
      </c>
      <c r="B2829" t="inlineStr">
        <is>
          <t>SLE</t>
        </is>
      </c>
      <c r="C2829" t="inlineStr">
        <is>
          <t>Vice-President, Policy and Programs</t>
        </is>
      </c>
      <c r="D2829" t="inlineStr">
        <is>
          <t>Vice-président, Politiques et Programmes</t>
        </is>
      </c>
      <c r="E2829" t="inlineStr">
        <is>
          <t>Daryell Nowlan</t>
        </is>
      </c>
      <c r="F2829" t="inlineStr">
        <is>
          <t>Meeting with Government of Canada officials</t>
        </is>
      </c>
      <c r="G2829" t="inlineStr">
        <is>
          <t>Réunion avec des fonctionnaires du gouvernement du Canada</t>
        </is>
      </c>
      <c r="H2829" s="1" t="n">
        <v>42493</v>
      </c>
      <c r="I2829" s="1" t="n">
        <v>42494</v>
      </c>
      <c r="J2829" t="inlineStr">
        <is>
          <t>Halifax, Nova Scotia</t>
        </is>
      </c>
      <c r="K2829" t="inlineStr">
        <is>
          <t xml:space="preserve">Halifax (Nouvelle-Écosse) </t>
        </is>
      </c>
      <c r="P2829" t="n">
        <v>0</v>
      </c>
      <c r="Q2829" t="n">
        <v>279.88</v>
      </c>
      <c r="R2829" t="n">
        <v>174.78</v>
      </c>
      <c r="S2829" t="n">
        <v>79.59999999999999</v>
      </c>
      <c r="T2829" t="n">
        <v>0</v>
      </c>
      <c r="U2829" t="n">
        <v>534.26</v>
      </c>
      <c r="X2829" t="inlineStr">
        <is>
          <t>acoa-apeca</t>
        </is>
      </c>
      <c r="Y2829" t="inlineStr">
        <is>
          <t>Atlantic Canada Opportunities Agency | Agence de promotion économique du Canada atlantique</t>
        </is>
      </c>
    </row>
    <row r="2830">
      <c r="A2830" t="inlineStr">
        <is>
          <t>T-2017-Q1-00035</t>
        </is>
      </c>
      <c r="B2830" t="inlineStr">
        <is>
          <t>SLE</t>
        </is>
      </c>
      <c r="C2830" t="inlineStr">
        <is>
          <t>Vice-President, New Brunswick</t>
        </is>
      </c>
      <c r="D2830" t="inlineStr">
        <is>
          <t>Vice-président, Nouveau-Brunswick</t>
        </is>
      </c>
      <c r="E2830" t="inlineStr">
        <is>
          <t>Kent Estabrooks</t>
        </is>
      </c>
      <c r="F2830" t="inlineStr">
        <is>
          <t>Meeting with government officials</t>
        </is>
      </c>
      <c r="G2830" t="inlineStr">
        <is>
          <t>Réunion avec des fonctionnaires</t>
        </is>
      </c>
      <c r="H2830" s="1" t="n">
        <v>42491</v>
      </c>
      <c r="I2830" s="1" t="n">
        <v>42493</v>
      </c>
      <c r="J2830" t="inlineStr">
        <is>
          <t>Ottawa, Ontario</t>
        </is>
      </c>
      <c r="K2830" t="inlineStr">
        <is>
          <t>Ottawa (Ontario)</t>
        </is>
      </c>
      <c r="P2830" t="n">
        <v>644.1</v>
      </c>
      <c r="Q2830" t="n">
        <v>66.59999999999999</v>
      </c>
      <c r="R2830" t="n">
        <v>388.74</v>
      </c>
      <c r="S2830" t="n">
        <v>220.9</v>
      </c>
      <c r="T2830" t="n">
        <v>0</v>
      </c>
      <c r="U2830" t="n">
        <v>1320.34</v>
      </c>
      <c r="X2830" t="inlineStr">
        <is>
          <t>acoa-apeca</t>
        </is>
      </c>
      <c r="Y2830" t="inlineStr">
        <is>
          <t>Atlantic Canada Opportunities Agency | Agence de promotion économique du Canada atlantique</t>
        </is>
      </c>
    </row>
    <row r="2831">
      <c r="A2831" t="inlineStr">
        <is>
          <t>T-2017-Q1-00033</t>
        </is>
      </c>
      <c r="B2831" t="inlineStr">
        <is>
          <t>SLE</t>
        </is>
      </c>
      <c r="C2831" t="inlineStr">
        <is>
          <t>Vice President, Nova Scotia</t>
        </is>
      </c>
      <c r="D2831" t="inlineStr">
        <is>
          <t>Vice-président, Nouvelle-Écosse</t>
        </is>
      </c>
      <c r="E2831" t="inlineStr">
        <is>
          <t>Peter Hogan</t>
        </is>
      </c>
      <c r="F2831" t="inlineStr">
        <is>
          <t xml:space="preserve">Community outreach and event </t>
        </is>
      </c>
      <c r="G2831" t="inlineStr">
        <is>
          <t xml:space="preserve">Sensibilisation et activité communautaire </t>
        </is>
      </c>
      <c r="H2831" s="1" t="n">
        <v>42488</v>
      </c>
      <c r="I2831" s="1" t="n">
        <v>42488</v>
      </c>
      <c r="J2831" t="inlineStr">
        <is>
          <t>Lunenburg, Nova Scotia</t>
        </is>
      </c>
      <c r="K2831" t="inlineStr">
        <is>
          <t>Lunenburg (Nouvelle-Écosse)</t>
        </is>
      </c>
      <c r="P2831" t="n">
        <v>0</v>
      </c>
      <c r="Q2831" t="n">
        <v>0</v>
      </c>
      <c r="R2831" t="n">
        <v>0</v>
      </c>
      <c r="S2831" t="n">
        <v>17</v>
      </c>
      <c r="T2831" t="n">
        <v>0</v>
      </c>
      <c r="U2831" t="n">
        <v>17</v>
      </c>
      <c r="X2831" t="inlineStr">
        <is>
          <t>acoa-apeca</t>
        </is>
      </c>
      <c r="Y2831" t="inlineStr">
        <is>
          <t>Atlantic Canada Opportunities Agency | Agence de promotion économique du Canada atlantique</t>
        </is>
      </c>
    </row>
    <row r="2832">
      <c r="A2832" t="inlineStr">
        <is>
          <t>T-2017-Q1-00032</t>
        </is>
      </c>
      <c r="B2832" t="inlineStr">
        <is>
          <t>SLE</t>
        </is>
      </c>
      <c r="C2832" t="inlineStr">
        <is>
          <t>Vice President, Nova Scotia</t>
        </is>
      </c>
      <c r="D2832" t="inlineStr">
        <is>
          <t>Vice-président, Nouvelle-Écosse</t>
        </is>
      </c>
      <c r="E2832" t="inlineStr">
        <is>
          <t>Peter Hogan</t>
        </is>
      </c>
      <c r="F2832" t="inlineStr">
        <is>
          <t xml:space="preserve">Community outreach and event </t>
        </is>
      </c>
      <c r="G2832" t="inlineStr">
        <is>
          <t xml:space="preserve">Sensibilisation et activité communautaire </t>
        </is>
      </c>
      <c r="H2832" s="1" t="n">
        <v>42487</v>
      </c>
      <c r="I2832" s="1" t="n">
        <v>42487</v>
      </c>
      <c r="J2832" t="inlineStr">
        <is>
          <t>Truro, Nova Scotia</t>
        </is>
      </c>
      <c r="K2832" t="inlineStr">
        <is>
          <t>Truro (Nouvelle-Écosse)</t>
        </is>
      </c>
      <c r="P2832" t="n">
        <v>0</v>
      </c>
      <c r="Q2832" t="n">
        <v>0</v>
      </c>
      <c r="R2832" t="n">
        <v>0</v>
      </c>
      <c r="S2832" t="n">
        <v>17</v>
      </c>
      <c r="T2832" t="n">
        <v>0</v>
      </c>
      <c r="U2832" t="n">
        <v>17</v>
      </c>
      <c r="X2832" t="inlineStr">
        <is>
          <t>acoa-apeca</t>
        </is>
      </c>
      <c r="Y2832" t="inlineStr">
        <is>
          <t>Atlantic Canada Opportunities Agency | Agence de promotion économique du Canada atlantique</t>
        </is>
      </c>
    </row>
    <row r="2833">
      <c r="A2833" t="inlineStr">
        <is>
          <t>T-2017-Q1-00031</t>
        </is>
      </c>
      <c r="B2833" t="inlineStr">
        <is>
          <t>SLE</t>
        </is>
      </c>
      <c r="C2833" t="inlineStr">
        <is>
          <t>Vice-President, Prince Edward Island</t>
        </is>
      </c>
      <c r="D2833" t="inlineStr">
        <is>
          <t>Vice-président, Île-du-Prince-Édouard</t>
        </is>
      </c>
      <c r="E2833" t="inlineStr">
        <is>
          <t>Patrick Dorsey</t>
        </is>
      </c>
      <c r="F2833" t="inlineStr">
        <is>
          <t>Attend Rendez-vous Canada</t>
        </is>
      </c>
      <c r="G2833" t="inlineStr">
        <is>
          <t>Assister à Rendez-vous Canada</t>
        </is>
      </c>
      <c r="H2833" s="1" t="n">
        <v>42486</v>
      </c>
      <c r="I2833" s="1" t="n">
        <v>42487</v>
      </c>
      <c r="J2833" t="inlineStr">
        <is>
          <t>Montreal, Quebec</t>
        </is>
      </c>
      <c r="K2833" t="inlineStr">
        <is>
          <t>Montréal (Québec)</t>
        </is>
      </c>
      <c r="P2833" t="n">
        <v>1501.27</v>
      </c>
      <c r="Q2833" t="n">
        <v>120.8</v>
      </c>
      <c r="R2833" t="n">
        <v>153.52</v>
      </c>
      <c r="S2833" t="n">
        <v>141.6</v>
      </c>
      <c r="T2833" t="n">
        <v>0</v>
      </c>
      <c r="U2833" t="n">
        <v>1917.19</v>
      </c>
      <c r="X2833" t="inlineStr">
        <is>
          <t>acoa-apeca</t>
        </is>
      </c>
      <c r="Y2833" t="inlineStr">
        <is>
          <t>Atlantic Canada Opportunities Agency | Agence de promotion économique du Canada atlantique</t>
        </is>
      </c>
    </row>
    <row r="2834">
      <c r="A2834" t="inlineStr">
        <is>
          <t>T-2017-Q1-00030</t>
        </is>
      </c>
      <c r="B2834" t="inlineStr">
        <is>
          <t>SLE</t>
        </is>
      </c>
      <c r="C2834" t="inlineStr">
        <is>
          <t>Vice-President, Prince Edward Island</t>
        </is>
      </c>
      <c r="D2834" t="inlineStr">
        <is>
          <t>Vice-président, Île-du-Prince-Édouard</t>
        </is>
      </c>
      <c r="E2834" t="inlineStr">
        <is>
          <t>Patrick Dorsey</t>
        </is>
      </c>
      <c r="F2834" t="inlineStr">
        <is>
          <t>Meetings with Government of Canada officials</t>
        </is>
      </c>
      <c r="G2834" t="inlineStr">
        <is>
          <t>Réunions avec des fonctionnaires du gouvernement du Canada</t>
        </is>
      </c>
      <c r="H2834" s="1" t="n">
        <v>42480</v>
      </c>
      <c r="I2834" s="1" t="n">
        <v>42481</v>
      </c>
      <c r="J2834" t="inlineStr">
        <is>
          <t>Ottawa, Ontario</t>
        </is>
      </c>
      <c r="K2834" t="inlineStr">
        <is>
          <t>Ottawa (Ontario)</t>
        </is>
      </c>
      <c r="P2834" t="n">
        <v>1253.81</v>
      </c>
      <c r="Q2834" t="n">
        <v>106.77</v>
      </c>
      <c r="R2834" t="n">
        <v>181.57</v>
      </c>
      <c r="S2834" t="n">
        <v>141.6</v>
      </c>
      <c r="T2834" t="n">
        <v>0</v>
      </c>
      <c r="U2834" t="n">
        <v>1683.75</v>
      </c>
      <c r="X2834" t="inlineStr">
        <is>
          <t>acoa-apeca</t>
        </is>
      </c>
      <c r="Y2834" t="inlineStr">
        <is>
          <t>Atlantic Canada Opportunities Agency | Agence de promotion économique du Canada atlantique</t>
        </is>
      </c>
    </row>
    <row r="2835">
      <c r="A2835" t="inlineStr">
        <is>
          <t>T-2017-Q1-00029</t>
        </is>
      </c>
      <c r="B2835" t="inlineStr">
        <is>
          <t>SLE</t>
        </is>
      </c>
      <c r="C2835" t="inlineStr">
        <is>
          <t>Vice-President, Finance and Corporate Services</t>
        </is>
      </c>
      <c r="D2835" t="inlineStr">
        <is>
          <t>Vice-présidente, Finances et Services corporatifs</t>
        </is>
      </c>
      <c r="E2835" t="inlineStr">
        <is>
          <t>Denise Frenette</t>
        </is>
      </c>
      <c r="F2835" t="inlineStr">
        <is>
          <t>For various meetings and discussions with Government of Canada officials</t>
        </is>
      </c>
      <c r="G2835" t="inlineStr">
        <is>
          <t>Diverses réunions et discussions avec des fonctionnaires du gouvernement du Canada</t>
        </is>
      </c>
      <c r="H2835" s="1" t="n">
        <v>42478</v>
      </c>
      <c r="I2835" s="1" t="n">
        <v>42480</v>
      </c>
      <c r="J2835" t="inlineStr">
        <is>
          <t>Ottawa, Ontario</t>
        </is>
      </c>
      <c r="K2835" t="inlineStr">
        <is>
          <t>Ottawa (Ontario)</t>
        </is>
      </c>
      <c r="P2835" t="n">
        <v>755.5700000000001</v>
      </c>
      <c r="Q2835" t="n">
        <v>47.08</v>
      </c>
      <c r="R2835" t="n">
        <v>370.12</v>
      </c>
      <c r="S2835" t="n">
        <v>254.5</v>
      </c>
      <c r="T2835" t="n">
        <v>0</v>
      </c>
      <c r="U2835" t="n">
        <v>1427.27</v>
      </c>
      <c r="X2835" t="inlineStr">
        <is>
          <t>acoa-apeca</t>
        </is>
      </c>
      <c r="Y2835" t="inlineStr">
        <is>
          <t>Atlantic Canada Opportunities Agency | Agence de promotion économique du Canada atlantique</t>
        </is>
      </c>
    </row>
    <row r="2836">
      <c r="A2836" t="inlineStr">
        <is>
          <t>T-2017-Q1-00028</t>
        </is>
      </c>
      <c r="B2836" t="inlineStr">
        <is>
          <t>SLE</t>
        </is>
      </c>
      <c r="C2836" t="inlineStr">
        <is>
          <t>President</t>
        </is>
      </c>
      <c r="D2836" t="inlineStr">
        <is>
          <t>Président</t>
        </is>
      </c>
      <c r="E2836" t="inlineStr">
        <is>
          <t>Paul J. LeBlanc</t>
        </is>
      </c>
      <c r="F2836" t="inlineStr">
        <is>
          <t>Attendance at meetings and sessions of various committees of the Organization for Economic Co-operation and Development</t>
        </is>
      </c>
      <c r="G2836" t="inlineStr">
        <is>
          <t>Assister à des réunions et à des séances de divers comités de l'Organisation de coopération et de développement économiques</t>
        </is>
      </c>
      <c r="H2836" s="1" t="n">
        <v>42478</v>
      </c>
      <c r="I2836" s="1" t="n">
        <v>42484</v>
      </c>
      <c r="J2836" t="inlineStr">
        <is>
          <t>Paris, France</t>
        </is>
      </c>
      <c r="K2836" t="inlineStr">
        <is>
          <t>Paris, France</t>
        </is>
      </c>
      <c r="P2836" t="n">
        <v>3488.9</v>
      </c>
      <c r="Q2836" t="n">
        <v>92.91</v>
      </c>
      <c r="R2836" t="n">
        <v>1422.78</v>
      </c>
      <c r="S2836" t="n">
        <v>857.14</v>
      </c>
      <c r="T2836" t="n">
        <v>424.45</v>
      </c>
      <c r="U2836" t="n">
        <v>6286.18</v>
      </c>
      <c r="X2836" t="inlineStr">
        <is>
          <t>acoa-apeca</t>
        </is>
      </c>
      <c r="Y2836" t="inlineStr">
        <is>
          <t>Atlantic Canada Opportunities Agency | Agence de promotion économique du Canada atlantique</t>
        </is>
      </c>
    </row>
    <row r="2837">
      <c r="A2837" t="inlineStr">
        <is>
          <t>T-2017-Q1-00027</t>
        </is>
      </c>
      <c r="B2837" t="inlineStr">
        <is>
          <t>SLE</t>
        </is>
      </c>
      <c r="C2837" t="inlineStr">
        <is>
          <t>Vice-President, Newfoundland and Labrador</t>
        </is>
      </c>
      <c r="D2837" t="inlineStr">
        <is>
          <t>Vice-président, Terre-Neuve-et-Labrador</t>
        </is>
      </c>
      <c r="E2837" t="inlineStr">
        <is>
          <t>Ken Martin</t>
        </is>
      </c>
      <c r="F2837" t="inlineStr">
        <is>
          <t>Attend client meeting in Bay de Verde</t>
        </is>
      </c>
      <c r="G2837" t="inlineStr">
        <is>
          <t>Assister à une réunion avec un client à Bay de Verde</t>
        </is>
      </c>
      <c r="H2837" s="1" t="n">
        <v>42475</v>
      </c>
      <c r="I2837" s="1" t="n">
        <v>42475</v>
      </c>
      <c r="J2837" t="inlineStr">
        <is>
          <t>Bay de Verde, Newfoundland and Labrador</t>
        </is>
      </c>
      <c r="K2837" t="inlineStr">
        <is>
          <t>Bay de Verde (Terre-Neuve-et-Labrador)</t>
        </is>
      </c>
      <c r="P2837" t="n">
        <v>0</v>
      </c>
      <c r="Q2837" t="n">
        <v>171.27</v>
      </c>
      <c r="R2837" t="n">
        <v>62</v>
      </c>
      <c r="S2837" t="n">
        <v>0</v>
      </c>
      <c r="T2837" t="n">
        <v>0</v>
      </c>
      <c r="U2837" t="n">
        <v>233.27</v>
      </c>
      <c r="X2837" t="inlineStr">
        <is>
          <t>acoa-apeca</t>
        </is>
      </c>
      <c r="Y2837" t="inlineStr">
        <is>
          <t>Atlantic Canada Opportunities Agency | Agence de promotion économique du Canada atlantique</t>
        </is>
      </c>
    </row>
    <row r="2838">
      <c r="A2838" t="inlineStr">
        <is>
          <t>T-2017-Q1-00026</t>
        </is>
      </c>
      <c r="B2838" t="inlineStr">
        <is>
          <t>SLE</t>
        </is>
      </c>
      <c r="C2838" t="inlineStr">
        <is>
          <t>Vice-President, New Brunswick</t>
        </is>
      </c>
      <c r="D2838" t="inlineStr">
        <is>
          <t>Vice-président, Nouveau-Brunswick</t>
        </is>
      </c>
      <c r="E2838" t="inlineStr">
        <is>
          <t>Kent Estabrooks</t>
        </is>
      </c>
      <c r="F2838" t="inlineStr">
        <is>
          <t>Various meetings with Agency officials</t>
        </is>
      </c>
      <c r="G2838" t="inlineStr">
        <is>
          <t xml:space="preserve">Diverses réunions avec des fonctionnaires de l'Agence  </t>
        </is>
      </c>
      <c r="H2838" s="1" t="n">
        <v>42473</v>
      </c>
      <c r="I2838" s="1" t="n">
        <v>42474</v>
      </c>
      <c r="J2838" t="inlineStr">
        <is>
          <t>Moncton, New Brunswick</t>
        </is>
      </c>
      <c r="K2838" t="inlineStr">
        <is>
          <t>Moncton (Nouveau-Brunswick)</t>
        </is>
      </c>
      <c r="P2838" t="n">
        <v>0</v>
      </c>
      <c r="Q2838" t="n">
        <v>0</v>
      </c>
      <c r="R2838" t="n">
        <v>146.75</v>
      </c>
      <c r="S2838" t="n">
        <v>124.6</v>
      </c>
      <c r="T2838" t="n">
        <v>0</v>
      </c>
      <c r="U2838" t="n">
        <v>271.35</v>
      </c>
      <c r="X2838" t="inlineStr">
        <is>
          <t>acoa-apeca</t>
        </is>
      </c>
      <c r="Y2838" t="inlineStr">
        <is>
          <t>Atlantic Canada Opportunities Agency | Agence de promotion économique du Canada atlantique</t>
        </is>
      </c>
    </row>
    <row r="2839">
      <c r="A2839" t="inlineStr">
        <is>
          <t>T-2017-Q1-00025</t>
        </is>
      </c>
      <c r="B2839" t="inlineStr">
        <is>
          <t>SLE</t>
        </is>
      </c>
      <c r="C2839" t="inlineStr">
        <is>
          <t>Vice President, Nova Scotia</t>
        </is>
      </c>
      <c r="D2839" t="inlineStr">
        <is>
          <t>Vice-président, Nouvelle-Écosse</t>
        </is>
      </c>
      <c r="E2839" t="inlineStr">
        <is>
          <t>Peter Hogan</t>
        </is>
      </c>
      <c r="F2839" t="inlineStr">
        <is>
          <t xml:space="preserve">Meeting with senior Agency officials </t>
        </is>
      </c>
      <c r="G2839" t="inlineStr">
        <is>
          <t>Réunion avec des hauts fonctionnaires de l'Agence</t>
        </is>
      </c>
      <c r="H2839" s="1" t="n">
        <v>42473</v>
      </c>
      <c r="I2839" s="1" t="n">
        <v>42474</v>
      </c>
      <c r="J2839" t="inlineStr">
        <is>
          <t>Moncton, New Brunswick</t>
        </is>
      </c>
      <c r="K2839" t="inlineStr">
        <is>
          <t>Moncton (Nouveau-Brunswick)</t>
        </is>
      </c>
      <c r="P2839" t="n">
        <v>0</v>
      </c>
      <c r="Q2839" t="n">
        <v>0</v>
      </c>
      <c r="R2839" t="n">
        <v>145.77</v>
      </c>
      <c r="S2839" t="n">
        <v>79.59999999999999</v>
      </c>
      <c r="T2839" t="n">
        <v>16.95</v>
      </c>
      <c r="U2839" t="n">
        <v>242.32</v>
      </c>
      <c r="X2839" t="inlineStr">
        <is>
          <t>acoa-apeca</t>
        </is>
      </c>
      <c r="Y2839" t="inlineStr">
        <is>
          <t>Atlantic Canada Opportunities Agency | Agence de promotion économique du Canada atlantique</t>
        </is>
      </c>
    </row>
    <row r="2840">
      <c r="A2840" t="inlineStr">
        <is>
          <t>T-2017-Q1-00024</t>
        </is>
      </c>
      <c r="B2840" t="inlineStr">
        <is>
          <t>SLE</t>
        </is>
      </c>
      <c r="C2840" t="inlineStr">
        <is>
          <t>Vice-President, Newfoundland and Labrador</t>
        </is>
      </c>
      <c r="D2840" t="inlineStr">
        <is>
          <t>Vice-président, Terre-Neuve-et-Labrador</t>
        </is>
      </c>
      <c r="E2840" t="inlineStr">
        <is>
          <t>Ken Martin</t>
        </is>
      </c>
      <c r="F2840" t="inlineStr">
        <is>
          <t>Attend Executive Committee meeting as well as meet with senior government officials in Moncton</t>
        </is>
      </c>
      <c r="G2840" t="inlineStr">
        <is>
          <t>Assister à une réunion du Comité de direction et rencontrer des hauts fonctionnaires à Moncton</t>
        </is>
      </c>
      <c r="H2840" s="1" t="n">
        <v>42473</v>
      </c>
      <c r="I2840" s="1" t="n">
        <v>42474</v>
      </c>
      <c r="J2840" t="inlineStr">
        <is>
          <t>Moncton, New Brunswick</t>
        </is>
      </c>
      <c r="K2840" t="inlineStr">
        <is>
          <t>Moncton (Nouveau-Brunswick)</t>
        </is>
      </c>
      <c r="P2840" t="n">
        <v>1779.47</v>
      </c>
      <c r="Q2840" t="n">
        <v>69.8</v>
      </c>
      <c r="R2840" t="n">
        <v>113</v>
      </c>
      <c r="S2840" t="n">
        <v>158.4</v>
      </c>
      <c r="T2840" t="n">
        <v>0</v>
      </c>
      <c r="U2840" t="n">
        <v>2120.67</v>
      </c>
      <c r="X2840" t="inlineStr">
        <is>
          <t>acoa-apeca</t>
        </is>
      </c>
      <c r="Y2840" t="inlineStr">
        <is>
          <t>Atlantic Canada Opportunities Agency | Agence de promotion économique du Canada atlantique</t>
        </is>
      </c>
    </row>
    <row r="2841">
      <c r="A2841" t="inlineStr">
        <is>
          <t>T-2017-Q1-00023</t>
        </is>
      </c>
      <c r="B2841" t="inlineStr">
        <is>
          <t>SLE</t>
        </is>
      </c>
      <c r="C2841" t="inlineStr">
        <is>
          <t>Vice-President, Prince Edward Island</t>
        </is>
      </c>
      <c r="D2841" t="inlineStr">
        <is>
          <t>Vice-président, Île-du-Prince-Édouard</t>
        </is>
      </c>
      <c r="E2841" t="inlineStr">
        <is>
          <t>Patrick Dorsey</t>
        </is>
      </c>
      <c r="F2841" t="inlineStr">
        <is>
          <t>Meeting with ACOA officials</t>
        </is>
      </c>
      <c r="G2841" t="inlineStr">
        <is>
          <t>Réunion avec des fonctionnaires de l'APECA</t>
        </is>
      </c>
      <c r="H2841" s="1" t="n">
        <v>42473</v>
      </c>
      <c r="I2841" s="1" t="n">
        <v>42474</v>
      </c>
      <c r="J2841" t="inlineStr">
        <is>
          <t>Moncton, New Brunswick</t>
        </is>
      </c>
      <c r="K2841" t="inlineStr">
        <is>
          <t>Moncton (Nouveau-Brunswick)</t>
        </is>
      </c>
      <c r="P2841" t="n">
        <v>0</v>
      </c>
      <c r="Q2841" t="n">
        <v>96</v>
      </c>
      <c r="R2841" t="n">
        <v>128.26</v>
      </c>
      <c r="S2841" t="n">
        <v>124.6</v>
      </c>
      <c r="T2841" t="n">
        <v>0</v>
      </c>
      <c r="U2841" t="n">
        <v>348.86</v>
      </c>
      <c r="X2841" t="inlineStr">
        <is>
          <t>acoa-apeca</t>
        </is>
      </c>
      <c r="Y2841" t="inlineStr">
        <is>
          <t>Atlantic Canada Opportunities Agency | Agence de promotion économique du Canada atlantique</t>
        </is>
      </c>
    </row>
    <row r="2842">
      <c r="A2842" t="inlineStr">
        <is>
          <t>T-2017-Q1-00022</t>
        </is>
      </c>
      <c r="B2842" t="inlineStr">
        <is>
          <t>SLE</t>
        </is>
      </c>
      <c r="C2842" t="inlineStr">
        <is>
          <t>Vice-President, Policy and Programs</t>
        </is>
      </c>
      <c r="D2842" t="inlineStr">
        <is>
          <t>Vice-président, Politiques et Programmes</t>
        </is>
      </c>
      <c r="E2842" t="inlineStr">
        <is>
          <t>Daryell Nowlan</t>
        </is>
      </c>
      <c r="F2842" t="inlineStr">
        <is>
          <t>Meeting with Government of Canada officials</t>
        </is>
      </c>
      <c r="G2842" t="inlineStr">
        <is>
          <t>Réunion avec des fonctionnaires du gouvernement du Canada</t>
        </is>
      </c>
      <c r="H2842" s="1" t="n">
        <v>42472</v>
      </c>
      <c r="I2842" s="1" t="n">
        <v>42473</v>
      </c>
      <c r="J2842" t="inlineStr">
        <is>
          <t>Ottawa, Ontario</t>
        </is>
      </c>
      <c r="K2842" t="inlineStr">
        <is>
          <t>Ottawa (Ontario)</t>
        </is>
      </c>
      <c r="P2842" t="n">
        <v>644.1</v>
      </c>
      <c r="Q2842" t="n">
        <v>112.16</v>
      </c>
      <c r="R2842" t="n">
        <v>181.57</v>
      </c>
      <c r="S2842" t="n">
        <v>141.6</v>
      </c>
      <c r="T2842" t="n">
        <v>0</v>
      </c>
      <c r="U2842" t="n">
        <v>1079.43</v>
      </c>
      <c r="X2842" t="inlineStr">
        <is>
          <t>acoa-apeca</t>
        </is>
      </c>
      <c r="Y2842" t="inlineStr">
        <is>
          <t>Atlantic Canada Opportunities Agency | Agence de promotion économique du Canada atlantique</t>
        </is>
      </c>
    </row>
    <row r="2843">
      <c r="A2843" t="inlineStr">
        <is>
          <t>T-2017-Q1-00020</t>
        </is>
      </c>
      <c r="B2843" t="inlineStr">
        <is>
          <t>SLE</t>
        </is>
      </c>
      <c r="C2843" t="inlineStr">
        <is>
          <t>Vice-President, New Brunswick</t>
        </is>
      </c>
      <c r="D2843" t="inlineStr">
        <is>
          <t>Vice-président, Nouveau-Brunswick</t>
        </is>
      </c>
      <c r="E2843" t="inlineStr">
        <is>
          <t>Kent Estabrooks</t>
        </is>
      </c>
      <c r="F2843" t="inlineStr">
        <is>
          <t>Various meetings with government officials</t>
        </is>
      </c>
      <c r="G2843" t="inlineStr">
        <is>
          <t>Diverses réunions avec des fonctionnaires</t>
        </is>
      </c>
      <c r="H2843" s="1" t="n">
        <v>42470</v>
      </c>
      <c r="I2843" s="1" t="n">
        <v>42471</v>
      </c>
      <c r="J2843" t="inlineStr">
        <is>
          <t>Ottawa, Ontario</t>
        </is>
      </c>
      <c r="K2843" t="inlineStr">
        <is>
          <t>Ottawa (Ontario)</t>
        </is>
      </c>
      <c r="P2843" t="n">
        <v>644.1</v>
      </c>
      <c r="Q2843" t="n">
        <v>111.38</v>
      </c>
      <c r="R2843" t="n">
        <v>181.57</v>
      </c>
      <c r="S2843" t="n">
        <v>141.6</v>
      </c>
      <c r="T2843" t="n">
        <v>0</v>
      </c>
      <c r="U2843" t="n">
        <v>1078.65</v>
      </c>
      <c r="X2843" t="inlineStr">
        <is>
          <t>acoa-apeca</t>
        </is>
      </c>
      <c r="Y2843" t="inlineStr">
        <is>
          <t>Atlantic Canada Opportunities Agency | Agence de promotion économique du Canada atlantique</t>
        </is>
      </c>
    </row>
    <row r="2844">
      <c r="A2844" t="inlineStr">
        <is>
          <t>T-2017-Q1-00019</t>
        </is>
      </c>
      <c r="B2844" t="inlineStr">
        <is>
          <t>SLE</t>
        </is>
      </c>
      <c r="C2844" t="inlineStr">
        <is>
          <t>Vice-President, Newfoundland and Labrador</t>
        </is>
      </c>
      <c r="D2844" t="inlineStr">
        <is>
          <t>Vice-président, Terre-Neuve-et-Labrador</t>
        </is>
      </c>
      <c r="E2844" t="inlineStr">
        <is>
          <t>Ken Martin</t>
        </is>
      </c>
      <c r="F2844" t="inlineStr">
        <is>
          <t>Attend Excite announcement in Gander</t>
        </is>
      </c>
      <c r="G2844" t="inlineStr">
        <is>
          <t>Assister à une annonce concernant l'entreprise Excite à Gander</t>
        </is>
      </c>
      <c r="H2844" s="1" t="n">
        <v>42466</v>
      </c>
      <c r="I2844" s="1" t="n">
        <v>42467</v>
      </c>
      <c r="J2844" t="inlineStr">
        <is>
          <t>Gander, Newfoundland and Labrador</t>
        </is>
      </c>
      <c r="K2844" t="inlineStr">
        <is>
          <t>Gander (Terre-Neuve-et-Labrador)</t>
        </is>
      </c>
      <c r="P2844" t="n">
        <v>212.33</v>
      </c>
      <c r="Q2844" t="n">
        <v>106.44</v>
      </c>
      <c r="R2844" t="n">
        <v>142.37</v>
      </c>
      <c r="S2844" t="n">
        <v>113.4</v>
      </c>
      <c r="T2844" t="n">
        <v>0</v>
      </c>
      <c r="U2844" t="n">
        <v>574.54</v>
      </c>
      <c r="X2844" t="inlineStr">
        <is>
          <t>acoa-apeca</t>
        </is>
      </c>
      <c r="Y2844" t="inlineStr">
        <is>
          <t>Atlantic Canada Opportunities Agency | Agence de promotion économique du Canada atlantique</t>
        </is>
      </c>
    </row>
    <row r="2845">
      <c r="A2845" t="inlineStr">
        <is>
          <t>T-2017-Q1-00017</t>
        </is>
      </c>
      <c r="B2845" t="inlineStr">
        <is>
          <t>SLE</t>
        </is>
      </c>
      <c r="C2845" t="inlineStr">
        <is>
          <t>Vice-President, Policy and Programs</t>
        </is>
      </c>
      <c r="D2845" t="inlineStr">
        <is>
          <t>Vice-président, Politiques et Programmes</t>
        </is>
      </c>
      <c r="E2845" t="inlineStr">
        <is>
          <t>Daryell Nowlan</t>
        </is>
      </c>
      <c r="F2845" t="inlineStr">
        <is>
          <t>Meetings with Government of Canada officials</t>
        </is>
      </c>
      <c r="G2845" t="inlineStr">
        <is>
          <t>Réunions avec des fonctionnaires du gouvernement du Canada</t>
        </is>
      </c>
      <c r="H2845" s="1" t="n">
        <v>42463</v>
      </c>
      <c r="I2845" s="1" t="n">
        <v>42464</v>
      </c>
      <c r="J2845" t="inlineStr">
        <is>
          <t>Halifax, Nova Scotia</t>
        </is>
      </c>
      <c r="K2845" t="inlineStr">
        <is>
          <t>Halifax (Nouvelle-Écosse)</t>
        </is>
      </c>
      <c r="P2845" t="n">
        <v>0</v>
      </c>
      <c r="Q2845" t="n">
        <v>159.54</v>
      </c>
      <c r="R2845" t="n">
        <v>151.32</v>
      </c>
      <c r="S2845" t="n">
        <v>96.59999999999999</v>
      </c>
      <c r="T2845" t="n">
        <v>0</v>
      </c>
      <c r="U2845" t="n">
        <v>407.46</v>
      </c>
      <c r="X2845" t="inlineStr">
        <is>
          <t>acoa-apeca</t>
        </is>
      </c>
      <c r="Y2845" t="inlineStr">
        <is>
          <t>Atlantic Canada Opportunities Agency | Agence de promotion économique du Canada atlantique</t>
        </is>
      </c>
    </row>
    <row r="2846">
      <c r="A2846" t="inlineStr">
        <is>
          <t>T-2017-Q1-00015</t>
        </is>
      </c>
      <c r="B2846" t="inlineStr">
        <is>
          <t>SLE</t>
        </is>
      </c>
      <c r="C2846" t="inlineStr">
        <is>
          <t>Vice-President, Newfoundland and Labrador</t>
        </is>
      </c>
      <c r="D2846" t="inlineStr">
        <is>
          <t>Vice-président, Terre-Neuve-et-Labrador</t>
        </is>
      </c>
      <c r="E2846" t="inlineStr">
        <is>
          <t>Ken Martin</t>
        </is>
      </c>
      <c r="F2846" t="inlineStr">
        <is>
          <t xml:space="preserve">Various meetings and discussions with senior government and private sector officials </t>
        </is>
      </c>
      <c r="G2846" t="inlineStr">
        <is>
          <t>Diverses réunions et discussions avec des cadres du gouvernement et du secteur privé</t>
        </is>
      </c>
      <c r="H2846" s="1" t="n">
        <v>42461</v>
      </c>
      <c r="I2846" s="1" t="n">
        <v>42551</v>
      </c>
      <c r="J2846" t="inlineStr">
        <is>
          <t>St. John's, Newfoundland and Labrador</t>
        </is>
      </c>
      <c r="K2846" t="inlineStr">
        <is>
          <t>St. John's (Terre-Neuve-et-Labrador)</t>
        </is>
      </c>
      <c r="P2846" t="n">
        <v>0</v>
      </c>
      <c r="Q2846" t="n">
        <v>78.7</v>
      </c>
      <c r="R2846" t="n">
        <v>0</v>
      </c>
      <c r="S2846" t="n">
        <v>0</v>
      </c>
      <c r="T2846" t="n">
        <v>0</v>
      </c>
      <c r="U2846" t="n">
        <v>78.7</v>
      </c>
      <c r="X2846" t="inlineStr">
        <is>
          <t>acoa-apeca</t>
        </is>
      </c>
      <c r="Y2846" t="inlineStr">
        <is>
          <t>Atlantic Canada Opportunities Agency | Agence de promotion économique du Canada atlantique</t>
        </is>
      </c>
    </row>
    <row r="2847">
      <c r="A2847" t="inlineStr">
        <is>
          <t>T-2017-Q1-00013</t>
        </is>
      </c>
      <c r="B2847" t="inlineStr">
        <is>
          <t>SLE</t>
        </is>
      </c>
      <c r="C2847" t="inlineStr">
        <is>
          <t>Vice-President, New Brunswick</t>
        </is>
      </c>
      <c r="D2847" t="inlineStr">
        <is>
          <t>Vice-président, Nouveau-Brunswick</t>
        </is>
      </c>
      <c r="E2847" t="inlineStr">
        <is>
          <t>Kent Estabrooks</t>
        </is>
      </c>
      <c r="F2847" t="inlineStr">
        <is>
          <t>Meetings with Agency officials</t>
        </is>
      </c>
      <c r="G2847" t="inlineStr">
        <is>
          <t>Réunions avec des fonctionnaires de l'Agence</t>
        </is>
      </c>
      <c r="H2847" s="1" t="n">
        <v>42457</v>
      </c>
      <c r="I2847" s="1" t="n">
        <v>42459</v>
      </c>
      <c r="J2847" t="inlineStr">
        <is>
          <t>Halifax, Nova Scotia</t>
        </is>
      </c>
      <c r="K2847" t="inlineStr">
        <is>
          <t>Halifax (Nouvelle-Écosse)</t>
        </is>
      </c>
      <c r="P2847" t="n">
        <v>644.1</v>
      </c>
      <c r="Q2847" t="n">
        <v>152.89</v>
      </c>
      <c r="R2847" t="n">
        <v>314.36</v>
      </c>
      <c r="S2847" t="n">
        <v>174.3</v>
      </c>
      <c r="T2847" t="n">
        <v>32</v>
      </c>
      <c r="U2847" t="n">
        <v>1317.65</v>
      </c>
      <c r="X2847" t="inlineStr">
        <is>
          <t>acoa-apeca</t>
        </is>
      </c>
      <c r="Y2847" t="inlineStr">
        <is>
          <t>Atlantic Canada Opportunities Agency | Agence de promotion économique du Canada atlantique</t>
        </is>
      </c>
    </row>
    <row r="2848">
      <c r="A2848" t="inlineStr">
        <is>
          <t>T-2017-Q1-00012</t>
        </is>
      </c>
      <c r="B2848" t="inlineStr">
        <is>
          <t>SLE</t>
        </is>
      </c>
      <c r="C2848" t="inlineStr">
        <is>
          <t>President</t>
        </is>
      </c>
      <c r="D2848" t="inlineStr">
        <is>
          <t>Président</t>
        </is>
      </c>
      <c r="E2848" t="inlineStr">
        <is>
          <t>Paul J. LeBlanc</t>
        </is>
      </c>
      <c r="F2848" t="inlineStr">
        <is>
          <t>For various meetings and discussions with Agency officials and Government of Canada officials</t>
        </is>
      </c>
      <c r="G2848" t="inlineStr">
        <is>
          <t>Diverses réunions et discussions avec des fonctionnaires de l'Agence et du gouvernement du Canada</t>
        </is>
      </c>
      <c r="H2848" s="1" t="n">
        <v>42457</v>
      </c>
      <c r="I2848" s="1" t="n">
        <v>42459</v>
      </c>
      <c r="J2848" t="inlineStr">
        <is>
          <t>Ottawa, Ontario</t>
        </is>
      </c>
      <c r="K2848" t="inlineStr">
        <is>
          <t>Ottawa (Ontario)</t>
        </is>
      </c>
      <c r="P2848" t="n">
        <v>644.1</v>
      </c>
      <c r="Q2848" t="n">
        <v>0</v>
      </c>
      <c r="R2848" t="n">
        <v>365.46</v>
      </c>
      <c r="S2848" t="n">
        <v>190.6</v>
      </c>
      <c r="T2848" t="n">
        <v>150</v>
      </c>
      <c r="U2848" t="n">
        <v>1350.16</v>
      </c>
      <c r="X2848" t="inlineStr">
        <is>
          <t>acoa-apeca</t>
        </is>
      </c>
      <c r="Y2848" t="inlineStr">
        <is>
          <t>Atlantic Canada Opportunities Agency | Agence de promotion économique du Canada atlantique</t>
        </is>
      </c>
    </row>
    <row r="2849">
      <c r="A2849" t="inlineStr">
        <is>
          <t>T-2017-Q1-00011</t>
        </is>
      </c>
      <c r="B2849" t="inlineStr">
        <is>
          <t>SLE</t>
        </is>
      </c>
      <c r="C2849" t="inlineStr">
        <is>
          <t>Vice-President, Policy and Programs</t>
        </is>
      </c>
      <c r="D2849" t="inlineStr">
        <is>
          <t>Vice-président, Politiques et Programmes</t>
        </is>
      </c>
      <c r="E2849" t="inlineStr">
        <is>
          <t>Daryell Nowlan</t>
        </is>
      </c>
      <c r="F2849" t="inlineStr">
        <is>
          <t>Meetings with Government of Canada and provincial officials</t>
        </is>
      </c>
      <c r="G2849" t="inlineStr">
        <is>
          <t>Réunions avec des fonctionnaires du gouvernement du Canada et de la province</t>
        </is>
      </c>
      <c r="H2849" s="1" t="n">
        <v>42457</v>
      </c>
      <c r="I2849" s="1" t="n">
        <v>42459</v>
      </c>
      <c r="J2849" t="inlineStr">
        <is>
          <t>Halifax, Nova Scotia</t>
        </is>
      </c>
      <c r="K2849" t="inlineStr">
        <is>
          <t>Halifax (Nouvelle-Écosse)</t>
        </is>
      </c>
      <c r="P2849" t="n">
        <v>0</v>
      </c>
      <c r="Q2849" t="n">
        <v>270.05</v>
      </c>
      <c r="R2849" t="n">
        <v>314.36</v>
      </c>
      <c r="S2849" t="n">
        <v>157.5</v>
      </c>
      <c r="T2849" t="n">
        <v>0</v>
      </c>
      <c r="U2849" t="n">
        <v>741.91</v>
      </c>
      <c r="X2849" t="inlineStr">
        <is>
          <t>acoa-apeca</t>
        </is>
      </c>
      <c r="Y2849" t="inlineStr">
        <is>
          <t>Atlantic Canada Opportunities Agency | Agence de promotion économique du Canada atlantique</t>
        </is>
      </c>
    </row>
    <row r="2850">
      <c r="A2850" t="inlineStr">
        <is>
          <t>T-2017-Q1-00009</t>
        </is>
      </c>
      <c r="B2850" t="inlineStr">
        <is>
          <t>SLE</t>
        </is>
      </c>
      <c r="C2850" t="inlineStr">
        <is>
          <t>Vice-President, Policy and Programs</t>
        </is>
      </c>
      <c r="D2850" t="inlineStr">
        <is>
          <t>Vice-président, Politiques et Programmes</t>
        </is>
      </c>
      <c r="E2850" t="inlineStr">
        <is>
          <t>Daryell Nowlan</t>
        </is>
      </c>
      <c r="F2850" t="inlineStr">
        <is>
          <t>Meetings with Government of Canada officials</t>
        </is>
      </c>
      <c r="G2850" t="inlineStr">
        <is>
          <t>Réunions avec des fonctionnaires du gouvernement du Canada</t>
        </is>
      </c>
      <c r="H2850" s="1" t="n">
        <v>42443</v>
      </c>
      <c r="I2850" s="1" t="n">
        <v>42445</v>
      </c>
      <c r="J2850" t="inlineStr">
        <is>
          <t>Ottawa, Ontario</t>
        </is>
      </c>
      <c r="K2850" t="inlineStr">
        <is>
          <t>Ottawa (Ontario)</t>
        </is>
      </c>
      <c r="P2850" t="n">
        <v>644.1</v>
      </c>
      <c r="Q2850" t="n">
        <v>120</v>
      </c>
      <c r="R2850" t="n">
        <v>393.4</v>
      </c>
      <c r="S2850" t="n">
        <v>218.7</v>
      </c>
      <c r="T2850" t="n">
        <v>0</v>
      </c>
      <c r="U2850" t="n">
        <v>1376.2</v>
      </c>
      <c r="X2850" t="inlineStr">
        <is>
          <t>acoa-apeca</t>
        </is>
      </c>
      <c r="Y2850" t="inlineStr">
        <is>
          <t>Atlantic Canada Opportunities Agency | Agence de promotion économique du Canada atlantique</t>
        </is>
      </c>
    </row>
    <row r="2851">
      <c r="A2851" t="inlineStr">
        <is>
          <t>T-2016-Q4-00021</t>
        </is>
      </c>
      <c r="B2851" t="inlineStr">
        <is>
          <t>SLE</t>
        </is>
      </c>
      <c r="C2851" t="inlineStr">
        <is>
          <t>President</t>
        </is>
      </c>
      <c r="D2851" t="inlineStr">
        <is>
          <t>Président</t>
        </is>
      </c>
      <c r="E2851" t="inlineStr">
        <is>
          <t>Paul J. LeBlanc</t>
        </is>
      </c>
      <c r="F2851" t="inlineStr">
        <is>
          <t>For a meeting with Government of Canada officials</t>
        </is>
      </c>
      <c r="G2851" t="inlineStr">
        <is>
          <t>Réunion avec des fonctionnaires du gouvernement du Canada</t>
        </is>
      </c>
      <c r="H2851" s="1" t="n">
        <v>42390</v>
      </c>
      <c r="I2851" s="1" t="n">
        <v>42391</v>
      </c>
      <c r="J2851" t="inlineStr">
        <is>
          <t>Ottawa, Ontario</t>
        </is>
      </c>
      <c r="K2851" t="inlineStr">
        <is>
          <t>Ottawa (Ontario)</t>
        </is>
      </c>
      <c r="P2851" t="n">
        <v>644.1</v>
      </c>
      <c r="Q2851" t="n">
        <v>0</v>
      </c>
      <c r="R2851" t="n">
        <v>182.73</v>
      </c>
      <c r="S2851" t="n">
        <v>139.95</v>
      </c>
      <c r="T2851" t="n">
        <v>35</v>
      </c>
      <c r="U2851" t="n">
        <v>1001.78</v>
      </c>
      <c r="X2851" t="inlineStr">
        <is>
          <t>acoa-apeca</t>
        </is>
      </c>
      <c r="Y2851" t="inlineStr">
        <is>
          <t>Atlantic Canada Opportunities Agency | Agence de promotion économique du Canada atlantique</t>
        </is>
      </c>
    </row>
    <row r="2852">
      <c r="A2852" t="inlineStr">
        <is>
          <t>T-2017-Q1-00006</t>
        </is>
      </c>
      <c r="B2852" t="inlineStr">
        <is>
          <t>SLE</t>
        </is>
      </c>
      <c r="C2852" t="inlineStr">
        <is>
          <t>President</t>
        </is>
      </c>
      <c r="D2852" t="inlineStr">
        <is>
          <t>Président</t>
        </is>
      </c>
      <c r="E2852" t="inlineStr">
        <is>
          <t>Paul J. LeBlanc</t>
        </is>
      </c>
      <c r="F2852" t="inlineStr">
        <is>
          <t>Atlantic Federal Council meeting</t>
        </is>
      </c>
      <c r="G2852" t="inlineStr">
        <is>
          <t>Réunion du Conseil fédéral de l'Atlantique</t>
        </is>
      </c>
      <c r="H2852" s="1" t="n">
        <v>42438</v>
      </c>
      <c r="I2852" s="1" t="n">
        <v>42439</v>
      </c>
      <c r="J2852" t="inlineStr">
        <is>
          <t>Halifax, Nova Scotia</t>
        </is>
      </c>
      <c r="K2852" t="inlineStr">
        <is>
          <t>Halifax (Nouvelle-Écosse)</t>
        </is>
      </c>
      <c r="P2852" t="n">
        <v>0</v>
      </c>
      <c r="Q2852" t="n">
        <v>0</v>
      </c>
      <c r="R2852" t="n">
        <v>134.9</v>
      </c>
      <c r="S2852" t="n">
        <v>139.95</v>
      </c>
      <c r="T2852" t="n">
        <v>113</v>
      </c>
      <c r="U2852" t="n">
        <v>387.85</v>
      </c>
      <c r="X2852" t="inlineStr">
        <is>
          <t>acoa-apeca</t>
        </is>
      </c>
      <c r="Y2852" t="inlineStr">
        <is>
          <t>Atlantic Canada Opportunities Agency | Agence de promotion économique du Canada atlantique</t>
        </is>
      </c>
    </row>
    <row r="2853">
      <c r="A2853" t="inlineStr">
        <is>
          <t>T-2017-Q1-00005</t>
        </is>
      </c>
      <c r="B2853" t="inlineStr">
        <is>
          <t>SLE</t>
        </is>
      </c>
      <c r="C2853" t="inlineStr">
        <is>
          <t>Vice-President, Prince Edward Island</t>
        </is>
      </c>
      <c r="D2853" t="inlineStr">
        <is>
          <t>Vice-président, Île-du-Prince-Édouard</t>
        </is>
      </c>
      <c r="E2853" t="inlineStr">
        <is>
          <t>Patrick Dorsey</t>
        </is>
      </c>
      <c r="F2853" t="inlineStr">
        <is>
          <t xml:space="preserve">Attend Atlantic Canada Tourism Partnership meeting and training </t>
        </is>
      </c>
      <c r="G2853" t="inlineStr">
        <is>
          <t>Assister à une réunion du Partenariat du tourisme du Canada atlantique et à une formation</t>
        </is>
      </c>
      <c r="H2853" s="1" t="n">
        <v>42437</v>
      </c>
      <c r="I2853" s="1" t="n">
        <v>42439</v>
      </c>
      <c r="J2853" t="inlineStr">
        <is>
          <t>Halifax, Nova Scotia</t>
        </is>
      </c>
      <c r="K2853" t="inlineStr">
        <is>
          <t>Halifax (Nouvelle-Écosse)</t>
        </is>
      </c>
      <c r="P2853" t="n">
        <v>0</v>
      </c>
      <c r="Q2853" t="n">
        <v>26.39</v>
      </c>
      <c r="R2853" t="n">
        <v>286.22</v>
      </c>
      <c r="S2853" t="n">
        <v>190.6</v>
      </c>
      <c r="T2853" t="n">
        <v>0</v>
      </c>
      <c r="U2853" t="n">
        <v>503.21</v>
      </c>
      <c r="X2853" t="inlineStr">
        <is>
          <t>acoa-apeca</t>
        </is>
      </c>
      <c r="Y2853" t="inlineStr">
        <is>
          <t>Atlantic Canada Opportunities Agency | Agence de promotion économique du Canada atlantique</t>
        </is>
      </c>
    </row>
    <row r="2854">
      <c r="A2854" t="inlineStr">
        <is>
          <t>T-2015-Q1-00032</t>
        </is>
      </c>
      <c r="B2854" t="inlineStr">
        <is>
          <t>SLE</t>
        </is>
      </c>
      <c r="C2854" t="inlineStr">
        <is>
          <t>President</t>
        </is>
      </c>
      <c r="D2854" t="inlineStr">
        <is>
          <t>Président</t>
        </is>
      </c>
      <c r="E2854" t="inlineStr">
        <is>
          <t>Paul J. LeBlanc</t>
        </is>
      </c>
      <c r="F2854" t="inlineStr">
        <is>
          <t>Meeting with Agency officials</t>
        </is>
      </c>
      <c r="G2854" t="inlineStr">
        <is>
          <t>Réunion avec des fonctionnaires de l'Agence</t>
        </is>
      </c>
      <c r="H2854" s="1" t="n">
        <v>41753</v>
      </c>
      <c r="I2854" s="1" t="n">
        <v>41753</v>
      </c>
      <c r="J2854" t="inlineStr">
        <is>
          <t>Hampton, New Brunswick</t>
        </is>
      </c>
      <c r="K2854" t="inlineStr">
        <is>
          <t>Hampton (Nouveau-Brunswick)</t>
        </is>
      </c>
      <c r="P2854" t="n">
        <v>0</v>
      </c>
      <c r="Q2854" t="n">
        <v>0</v>
      </c>
      <c r="R2854" t="n">
        <v>0</v>
      </c>
      <c r="S2854" t="n">
        <v>15.25</v>
      </c>
      <c r="T2854" t="n">
        <v>0</v>
      </c>
      <c r="U2854" t="n">
        <v>15.25</v>
      </c>
      <c r="X2854" t="inlineStr">
        <is>
          <t>acoa-apeca</t>
        </is>
      </c>
      <c r="Y2854" t="inlineStr">
        <is>
          <t>Atlantic Canada Opportunities Agency | Agence de promotion économique du Canada atlantique</t>
        </is>
      </c>
    </row>
    <row r="2855">
      <c r="A2855" t="inlineStr">
        <is>
          <t>T-2017-Q1-00004</t>
        </is>
      </c>
      <c r="B2855" t="inlineStr">
        <is>
          <t>SLE</t>
        </is>
      </c>
      <c r="C2855" t="inlineStr">
        <is>
          <t>Vice-President, Policy and Programs</t>
        </is>
      </c>
      <c r="D2855" t="inlineStr">
        <is>
          <t>Vice-président, Politiques et Programmes</t>
        </is>
      </c>
      <c r="E2855" t="inlineStr">
        <is>
          <t>Daryell Nowlan</t>
        </is>
      </c>
      <c r="F2855" t="inlineStr">
        <is>
          <t>Meetings with Government of Canada officials</t>
        </is>
      </c>
      <c r="G2855" t="inlineStr">
        <is>
          <t>Réunions avec des fonctionnaires du gouvernement du Canada</t>
        </is>
      </c>
      <c r="H2855" s="1" t="n">
        <v>42435</v>
      </c>
      <c r="I2855" s="1" t="n">
        <v>42439</v>
      </c>
      <c r="J2855" t="inlineStr">
        <is>
          <t>Ottawa, Ontario and Halifax, Nova Scotia</t>
        </is>
      </c>
      <c r="K2855" t="inlineStr">
        <is>
          <t>Ottawa (Ontario) et Halifax (Nouvelle-Écosse)</t>
        </is>
      </c>
      <c r="P2855" t="n">
        <v>644.1</v>
      </c>
      <c r="Q2855" t="n">
        <v>169</v>
      </c>
      <c r="R2855" t="n">
        <v>700.85</v>
      </c>
      <c r="S2855" t="n">
        <v>364.15</v>
      </c>
      <c r="T2855" t="n">
        <v>0</v>
      </c>
      <c r="U2855" t="n">
        <v>1878.1</v>
      </c>
      <c r="X2855" t="inlineStr">
        <is>
          <t>acoa-apeca</t>
        </is>
      </c>
      <c r="Y2855" t="inlineStr">
        <is>
          <t>Atlantic Canada Opportunities Agency | Agence de promotion économique du Canada atlantique</t>
        </is>
      </c>
    </row>
    <row r="2856">
      <c r="A2856" t="inlineStr">
        <is>
          <t>T-2017-Q1-00003</t>
        </is>
      </c>
      <c r="B2856" t="inlineStr">
        <is>
          <t>SLE</t>
        </is>
      </c>
      <c r="C2856" t="inlineStr">
        <is>
          <t>Vice President, Nova Scotia</t>
        </is>
      </c>
      <c r="D2856" t="inlineStr">
        <is>
          <t>Vice-président, Nouvelle-Écosse</t>
        </is>
      </c>
      <c r="E2856" t="inlineStr">
        <is>
          <t>Peter Hogan</t>
        </is>
      </c>
      <c r="F2856" t="inlineStr">
        <is>
          <t xml:space="preserve">Meeting with senior Agency officials </t>
        </is>
      </c>
      <c r="G2856" t="inlineStr">
        <is>
          <t>Réunion avec des hauts fonctionnaires de l'Agence</t>
        </is>
      </c>
      <c r="H2856" s="1" t="n">
        <v>42431</v>
      </c>
      <c r="I2856" s="1" t="n">
        <v>42432</v>
      </c>
      <c r="J2856" t="inlineStr">
        <is>
          <t>Moncton, New Brunswick</t>
        </is>
      </c>
      <c r="K2856" t="inlineStr">
        <is>
          <t>Moncton (Nouveau-Brunswick)</t>
        </is>
      </c>
      <c r="P2856" t="n">
        <v>0</v>
      </c>
      <c r="Q2856" t="n">
        <v>0</v>
      </c>
      <c r="R2856" t="n">
        <v>145.77</v>
      </c>
      <c r="S2856" t="n">
        <v>79</v>
      </c>
      <c r="T2856" t="n">
        <v>0</v>
      </c>
      <c r="U2856" t="n">
        <v>224.77</v>
      </c>
      <c r="X2856" t="inlineStr">
        <is>
          <t>acoa-apeca</t>
        </is>
      </c>
      <c r="Y2856" t="inlineStr">
        <is>
          <t>Atlantic Canada Opportunities Agency | Agence de promotion économique du Canada atlantique</t>
        </is>
      </c>
    </row>
    <row r="2857">
      <c r="A2857" t="inlineStr">
        <is>
          <t>T-2017-Q1-00001</t>
        </is>
      </c>
      <c r="B2857" t="inlineStr">
        <is>
          <t>SLE</t>
        </is>
      </c>
      <c r="C2857" t="inlineStr">
        <is>
          <t>Vice-President, Prince Edward Island</t>
        </is>
      </c>
      <c r="D2857" t="inlineStr">
        <is>
          <t>Vice-président, Île-du-Prince-Édouard</t>
        </is>
      </c>
      <c r="E2857" t="inlineStr">
        <is>
          <t>Patrick Dorsey</t>
        </is>
      </c>
      <c r="F2857" t="inlineStr">
        <is>
          <t xml:space="preserve">Executive Committee meeting  </t>
        </is>
      </c>
      <c r="G2857" t="inlineStr">
        <is>
          <t>Réunion du Comité de direction</t>
        </is>
      </c>
      <c r="H2857" s="1" t="n">
        <v>42431</v>
      </c>
      <c r="I2857" s="1" t="n">
        <v>42432</v>
      </c>
      <c r="J2857" t="inlineStr">
        <is>
          <t>Moncton, New Brunswick</t>
        </is>
      </c>
      <c r="K2857" t="inlineStr">
        <is>
          <t>Moncton (Nouveau-Brunswick)</t>
        </is>
      </c>
      <c r="P2857" t="n">
        <v>0</v>
      </c>
      <c r="Q2857" t="n">
        <v>61.26</v>
      </c>
      <c r="R2857" t="n">
        <v>113</v>
      </c>
      <c r="S2857" t="n">
        <v>123.4</v>
      </c>
      <c r="T2857" t="n">
        <v>0</v>
      </c>
      <c r="U2857" t="n">
        <v>297.66</v>
      </c>
      <c r="X2857" t="inlineStr">
        <is>
          <t>acoa-apeca</t>
        </is>
      </c>
      <c r="Y2857" t="inlineStr">
        <is>
          <t>Atlantic Canada Opportunities Agency | Agence de promotion économique du Canada atlantique</t>
        </is>
      </c>
    </row>
    <row r="2858">
      <c r="A2858" t="inlineStr">
        <is>
          <t>T-2016-Q4-00046</t>
        </is>
      </c>
      <c r="B2858" t="inlineStr">
        <is>
          <t>SLE</t>
        </is>
      </c>
      <c r="C2858" t="inlineStr">
        <is>
          <t>Vice-President, New Brunswick</t>
        </is>
      </c>
      <c r="D2858" t="inlineStr">
        <is>
          <t>Vice-président, Nouveau-Brunswick</t>
        </is>
      </c>
      <c r="E2858" t="inlineStr">
        <is>
          <t>Kent Estabrooks</t>
        </is>
      </c>
      <c r="F2858" t="inlineStr">
        <is>
          <t>Training/development and meetings with Agency officials</t>
        </is>
      </c>
      <c r="G2858" t="inlineStr">
        <is>
          <t>Formation/perfectionnement et réunions avec des fonctionnaires de l'Agence</t>
        </is>
      </c>
      <c r="H2858" s="1" t="n">
        <v>42430</v>
      </c>
      <c r="I2858" s="1" t="n">
        <v>42432</v>
      </c>
      <c r="J2858" t="inlineStr">
        <is>
          <t>Moncton, New Brunswick</t>
        </is>
      </c>
      <c r="K2858" t="inlineStr">
        <is>
          <t>Moncton (Nouveau-Brunswick)</t>
        </is>
      </c>
      <c r="P2858" t="n">
        <v>0</v>
      </c>
      <c r="Q2858" t="n">
        <v>0</v>
      </c>
      <c r="R2858" t="n">
        <v>226</v>
      </c>
      <c r="S2858" t="n">
        <v>201.9</v>
      </c>
      <c r="T2858" t="n">
        <v>30.52</v>
      </c>
      <c r="U2858" t="n">
        <v>458.42</v>
      </c>
      <c r="X2858" t="inlineStr">
        <is>
          <t>acoa-apeca</t>
        </is>
      </c>
      <c r="Y2858" t="inlineStr">
        <is>
          <t>Atlantic Canada Opportunities Agency | Agence de promotion économique du Canada atlantique</t>
        </is>
      </c>
    </row>
    <row r="2859">
      <c r="A2859" t="inlineStr">
        <is>
          <t>T-2016-Q4-00045</t>
        </is>
      </c>
      <c r="B2859" t="inlineStr">
        <is>
          <t>SLE</t>
        </is>
      </c>
      <c r="C2859" t="inlineStr">
        <is>
          <t>Vice-President, Finance and Corporate Services</t>
        </is>
      </c>
      <c r="D2859" t="inlineStr">
        <is>
          <t>Vice-présidente, Finances et Services corporatifs</t>
        </is>
      </c>
      <c r="E2859" t="inlineStr">
        <is>
          <t>Denise Frenette</t>
        </is>
      </c>
      <c r="F2859" t="inlineStr">
        <is>
          <t>For numerous meetings with Government of Canada officials</t>
        </is>
      </c>
      <c r="G2859" t="inlineStr">
        <is>
          <t>Diverses réunions avec des fonctionnaires du gouvernement du Canada</t>
        </is>
      </c>
      <c r="H2859" s="1" t="n">
        <v>42430</v>
      </c>
      <c r="I2859" s="1" t="n">
        <v>42430</v>
      </c>
      <c r="J2859" t="inlineStr">
        <is>
          <t>Ottawa, Ontario</t>
        </is>
      </c>
      <c r="K2859" t="inlineStr">
        <is>
          <t>Ottawa (Ontario)</t>
        </is>
      </c>
      <c r="P2859" t="n">
        <v>0</v>
      </c>
      <c r="Q2859" t="n">
        <v>21.85</v>
      </c>
      <c r="R2859" t="n">
        <v>0</v>
      </c>
      <c r="S2859" t="n">
        <v>0</v>
      </c>
      <c r="T2859" t="n">
        <v>91.53</v>
      </c>
      <c r="U2859" t="n">
        <v>113.38</v>
      </c>
      <c r="X2859" t="inlineStr">
        <is>
          <t>acoa-apeca</t>
        </is>
      </c>
      <c r="Y2859" t="inlineStr">
        <is>
          <t>Atlantic Canada Opportunities Agency | Agence de promotion économique du Canada atlantique</t>
        </is>
      </c>
    </row>
    <row r="2860">
      <c r="A2860" t="inlineStr">
        <is>
          <t>T-2016-Q4-00044</t>
        </is>
      </c>
      <c r="B2860" t="inlineStr">
        <is>
          <t>SLE</t>
        </is>
      </c>
      <c r="C2860" t="inlineStr">
        <is>
          <t>Vice President, Nova Scotia</t>
        </is>
      </c>
      <c r="D2860" t="inlineStr">
        <is>
          <t>Vice-président, Nouvelle-Écosse</t>
        </is>
      </c>
      <c r="E2860" t="inlineStr">
        <is>
          <t>Peter Hogan</t>
        </is>
      </c>
      <c r="F2860" t="inlineStr">
        <is>
          <t>Various Meeting with Agency Officials and Community Outreach</t>
        </is>
      </c>
      <c r="G2860" t="inlineStr">
        <is>
          <t>Diverses réunions avec des fonctionnaires de l'Agence et sensibilisation communautaire</t>
        </is>
      </c>
      <c r="H2860" s="1" t="n">
        <v>42424</v>
      </c>
      <c r="I2860" s="1" t="n">
        <v>42424</v>
      </c>
      <c r="J2860" t="inlineStr">
        <is>
          <t>Sydney, Nova Scotia</t>
        </is>
      </c>
      <c r="K2860" t="inlineStr">
        <is>
          <t>Sydney (Nouvelle-Écosse)</t>
        </is>
      </c>
      <c r="P2860" t="n">
        <v>804.74</v>
      </c>
      <c r="Q2860" t="n">
        <v>19.4</v>
      </c>
      <c r="R2860" t="n">
        <v>0</v>
      </c>
      <c r="S2860" t="n">
        <v>44.4</v>
      </c>
      <c r="T2860" t="n">
        <v>21</v>
      </c>
      <c r="U2860" t="n">
        <v>889.54</v>
      </c>
      <c r="X2860" t="inlineStr">
        <is>
          <t>acoa-apeca</t>
        </is>
      </c>
      <c r="Y2860" t="inlineStr">
        <is>
          <t>Atlantic Canada Opportunities Agency | Agence de promotion économique du Canada atlantique</t>
        </is>
      </c>
    </row>
    <row r="2861">
      <c r="A2861" t="inlineStr">
        <is>
          <t>T-2016-Q4-00043</t>
        </is>
      </c>
      <c r="B2861" t="inlineStr">
        <is>
          <t>SLE</t>
        </is>
      </c>
      <c r="C2861" t="inlineStr">
        <is>
          <t>Vice-President, New Brunswick</t>
        </is>
      </c>
      <c r="D2861" t="inlineStr">
        <is>
          <t>Vice-président, Nouveau-Brunswick</t>
        </is>
      </c>
      <c r="E2861" t="inlineStr">
        <is>
          <t>Kent Estabrooks</t>
        </is>
      </c>
      <c r="F2861" t="inlineStr">
        <is>
          <t>Training and Development</t>
        </is>
      </c>
      <c r="G2861" t="inlineStr">
        <is>
          <t>Formation et perfectionnement</t>
        </is>
      </c>
      <c r="H2861" s="1" t="n">
        <v>42421</v>
      </c>
      <c r="I2861" s="1" t="n">
        <v>42422</v>
      </c>
      <c r="J2861" t="inlineStr">
        <is>
          <t>Toronto, Ontario</t>
        </is>
      </c>
      <c r="K2861" t="inlineStr">
        <is>
          <t>Toronto (Ontario)</t>
        </is>
      </c>
      <c r="P2861" t="n">
        <v>813.6</v>
      </c>
      <c r="Q2861" t="n">
        <v>108.6</v>
      </c>
      <c r="R2861" t="n">
        <v>180.75</v>
      </c>
      <c r="S2861" t="n">
        <v>157</v>
      </c>
      <c r="T2861" t="n">
        <v>0</v>
      </c>
      <c r="U2861" t="n">
        <v>1259.95</v>
      </c>
      <c r="X2861" t="inlineStr">
        <is>
          <t>acoa-apeca</t>
        </is>
      </c>
      <c r="Y2861" t="inlineStr">
        <is>
          <t>Atlantic Canada Opportunities Agency | Agence de promotion économique du Canada atlantique</t>
        </is>
      </c>
    </row>
    <row r="2862">
      <c r="A2862" t="inlineStr">
        <is>
          <t>T-2016-Q4-00041</t>
        </is>
      </c>
      <c r="B2862" t="inlineStr">
        <is>
          <t>SLE</t>
        </is>
      </c>
      <c r="C2862" t="inlineStr">
        <is>
          <t>Vice-President, New Brunswick</t>
        </is>
      </c>
      <c r="D2862" t="inlineStr">
        <is>
          <t>Vice-président, Nouveau-Brunswick</t>
        </is>
      </c>
      <c r="E2862" t="inlineStr">
        <is>
          <t>Kent Estabrooks</t>
        </is>
      </c>
      <c r="F2862" t="inlineStr">
        <is>
          <t>Meetings with Stakeholders</t>
        </is>
      </c>
      <c r="G2862" t="inlineStr">
        <is>
          <t>Réunions avec des intervenants</t>
        </is>
      </c>
      <c r="H2862" s="1" t="n">
        <v>42419</v>
      </c>
      <c r="I2862" s="1" t="n">
        <v>42445</v>
      </c>
      <c r="J2862" t="inlineStr">
        <is>
          <t>Moncton, New Brunswick</t>
        </is>
      </c>
      <c r="K2862" t="inlineStr">
        <is>
          <t>Moncton (Nouveau-Brunswick)</t>
        </is>
      </c>
      <c r="P2862" t="n">
        <v>0</v>
      </c>
      <c r="Q2862" t="n">
        <v>0</v>
      </c>
      <c r="R2862" t="n">
        <v>0</v>
      </c>
      <c r="S2862" t="n">
        <v>61.2</v>
      </c>
      <c r="T2862" t="n">
        <v>18</v>
      </c>
      <c r="U2862" t="n">
        <v>79.2</v>
      </c>
      <c r="X2862" t="inlineStr">
        <is>
          <t>acoa-apeca</t>
        </is>
      </c>
      <c r="Y2862" t="inlineStr">
        <is>
          <t>Atlantic Canada Opportunities Agency | Agence de promotion économique du Canada atlantique</t>
        </is>
      </c>
    </row>
    <row r="2863">
      <c r="A2863" t="inlineStr">
        <is>
          <t>T-2016-Q4-00031</t>
        </is>
      </c>
      <c r="B2863" t="inlineStr">
        <is>
          <t>SLE</t>
        </is>
      </c>
      <c r="C2863" t="inlineStr">
        <is>
          <t>Vice-President, Prince Edward Island</t>
        </is>
      </c>
      <c r="D2863" t="inlineStr">
        <is>
          <t>Vice-président, Île-du-Prince-Édouard</t>
        </is>
      </c>
      <c r="E2863" t="inlineStr">
        <is>
          <t>Patrick Dorsey</t>
        </is>
      </c>
      <c r="F2863" t="inlineStr">
        <is>
          <t>Meeting with Government of Canada Officials</t>
        </is>
      </c>
      <c r="G2863" t="inlineStr">
        <is>
          <t>Réunion avec des fonctionnaires du gouvernement du Canada</t>
        </is>
      </c>
      <c r="H2863" s="1" t="n">
        <v>42403</v>
      </c>
      <c r="I2863" s="1" t="n">
        <v>42405</v>
      </c>
      <c r="J2863" t="inlineStr">
        <is>
          <t>Ottawa, Ontario</t>
        </is>
      </c>
      <c r="K2863" t="inlineStr">
        <is>
          <t>Ottawa (Ontario)</t>
        </is>
      </c>
      <c r="P2863" t="n">
        <v>840.83</v>
      </c>
      <c r="Q2863" t="n">
        <v>116</v>
      </c>
      <c r="R2863" t="n">
        <v>186.22</v>
      </c>
      <c r="S2863" t="n">
        <v>156.75</v>
      </c>
      <c r="T2863" t="n">
        <v>0</v>
      </c>
      <c r="U2863" t="n">
        <v>1299.8</v>
      </c>
      <c r="X2863" t="inlineStr">
        <is>
          <t>acoa-apeca</t>
        </is>
      </c>
      <c r="Y2863" t="inlineStr">
        <is>
          <t>Atlantic Canada Opportunities Agency | Agence de promotion économique du Canada atlantique</t>
        </is>
      </c>
    </row>
    <row r="2864">
      <c r="A2864" t="inlineStr">
        <is>
          <t>T-2016-Q4-00040</t>
        </is>
      </c>
      <c r="B2864" t="inlineStr">
        <is>
          <t>SLE</t>
        </is>
      </c>
      <c r="C2864" t="inlineStr">
        <is>
          <t>Vice-President, Finance and Corporate Services</t>
        </is>
      </c>
      <c r="D2864" t="inlineStr">
        <is>
          <t>Vice-présidente, Finances et Services corporatifs</t>
        </is>
      </c>
      <c r="E2864" t="inlineStr">
        <is>
          <t>Denise Frenette</t>
        </is>
      </c>
      <c r="F2864" t="inlineStr">
        <is>
          <t>For meeting with various Government of Canada officials</t>
        </is>
      </c>
      <c r="G2864" t="inlineStr">
        <is>
          <t>Réunions avec divers fonctionnaires du gouvernement du Canada</t>
        </is>
      </c>
      <c r="H2864" s="1" t="n">
        <v>42418</v>
      </c>
      <c r="I2864" s="1" t="n">
        <v>42419</v>
      </c>
      <c r="J2864" t="inlineStr">
        <is>
          <t>Halifax, Nova Scotia</t>
        </is>
      </c>
      <c r="K2864" t="inlineStr">
        <is>
          <t>Halifax (Nouvelle-Écosse)</t>
        </is>
      </c>
      <c r="P2864" t="n">
        <v>0</v>
      </c>
      <c r="Q2864" t="n">
        <v>0</v>
      </c>
      <c r="R2864" t="n">
        <v>127.86</v>
      </c>
      <c r="S2864" t="n">
        <v>112.35</v>
      </c>
      <c r="T2864" t="n">
        <v>0</v>
      </c>
      <c r="U2864" t="n">
        <v>240.21</v>
      </c>
      <c r="X2864" t="inlineStr">
        <is>
          <t>acoa-apeca</t>
        </is>
      </c>
      <c r="Y2864" t="inlineStr">
        <is>
          <t>Atlantic Canada Opportunities Agency | Agence de promotion économique du Canada atlantique</t>
        </is>
      </c>
    </row>
    <row r="2865">
      <c r="A2865" t="inlineStr">
        <is>
          <t>T-2016-Q4-00038</t>
        </is>
      </c>
      <c r="B2865" t="inlineStr">
        <is>
          <t>SLE</t>
        </is>
      </c>
      <c r="C2865" t="inlineStr">
        <is>
          <t>Vice-President, New Brunswick</t>
        </is>
      </c>
      <c r="D2865" t="inlineStr">
        <is>
          <t>Vice-président, Nouveau-Brunswick</t>
        </is>
      </c>
      <c r="E2865" t="inlineStr">
        <is>
          <t>Kent Estabrooks</t>
        </is>
      </c>
      <c r="F2865" t="inlineStr">
        <is>
          <t>Meetings with Agency Officials</t>
        </is>
      </c>
      <c r="G2865" t="inlineStr">
        <is>
          <t>Réunions avec des fonctionnaires de l'Agence</t>
        </is>
      </c>
      <c r="H2865" s="1" t="n">
        <v>42416</v>
      </c>
      <c r="I2865" s="1" t="n">
        <v>42417</v>
      </c>
      <c r="J2865" t="inlineStr">
        <is>
          <t>Moncton, New Brunswick</t>
        </is>
      </c>
      <c r="K2865" t="inlineStr">
        <is>
          <t>Moncton (Nouveau-Brunswick)</t>
        </is>
      </c>
      <c r="P2865" t="n">
        <v>0</v>
      </c>
      <c r="Q2865" t="n">
        <v>0</v>
      </c>
      <c r="R2865" t="n">
        <v>129.55</v>
      </c>
      <c r="S2865" t="n">
        <v>95.8</v>
      </c>
      <c r="T2865" t="n">
        <v>0</v>
      </c>
      <c r="U2865" t="n">
        <v>225.35</v>
      </c>
      <c r="X2865" t="inlineStr">
        <is>
          <t>acoa-apeca</t>
        </is>
      </c>
      <c r="Y2865" t="inlineStr">
        <is>
          <t>Atlantic Canada Opportunities Agency | Agence de promotion économique du Canada atlantique</t>
        </is>
      </c>
    </row>
    <row r="2866">
      <c r="A2866" t="inlineStr">
        <is>
          <t>T-2016-Q4-00037</t>
        </is>
      </c>
      <c r="B2866" t="inlineStr">
        <is>
          <t>SLE</t>
        </is>
      </c>
      <c r="C2866" t="inlineStr">
        <is>
          <t>Vice-President, Prince Edward Island</t>
        </is>
      </c>
      <c r="D2866" t="inlineStr">
        <is>
          <t>Vice-président, Île-du-Prince-Édouard</t>
        </is>
      </c>
      <c r="E2866" t="inlineStr">
        <is>
          <t>Patrick Dorsey</t>
        </is>
      </c>
      <c r="F2866" t="inlineStr">
        <is>
          <t>Meetings with Government of Canada Officials in Ottawa</t>
        </is>
      </c>
      <c r="G2866" t="inlineStr">
        <is>
          <t>Réunions avec des fonctionnaires du gouvernement du Canada à Ottawa</t>
        </is>
      </c>
      <c r="H2866" s="1" t="n">
        <v>42415</v>
      </c>
      <c r="I2866" s="1" t="n">
        <v>42418</v>
      </c>
      <c r="J2866" t="inlineStr">
        <is>
          <t>Ottawa, Ontario</t>
        </is>
      </c>
      <c r="K2866" t="inlineStr">
        <is>
          <t>Ottawa (Ontario)</t>
        </is>
      </c>
      <c r="P2866" t="n">
        <v>662.9299999999999</v>
      </c>
      <c r="Q2866" t="n">
        <v>109.5</v>
      </c>
      <c r="R2866" t="n">
        <v>393.4</v>
      </c>
      <c r="S2866" t="n">
        <v>218.7</v>
      </c>
      <c r="T2866" t="n">
        <v>0</v>
      </c>
      <c r="U2866" t="n">
        <v>1384.53</v>
      </c>
      <c r="X2866" t="inlineStr">
        <is>
          <t>acoa-apeca</t>
        </is>
      </c>
      <c r="Y2866" t="inlineStr">
        <is>
          <t>Atlantic Canada Opportunities Agency | Agence de promotion économique du Canada atlantique</t>
        </is>
      </c>
    </row>
    <row r="2867">
      <c r="A2867" t="inlineStr">
        <is>
          <t>T-2016-Q4-00036</t>
        </is>
      </c>
      <c r="B2867" t="inlineStr">
        <is>
          <t>SLE</t>
        </is>
      </c>
      <c r="C2867" t="inlineStr">
        <is>
          <t>President</t>
        </is>
      </c>
      <c r="D2867" t="inlineStr">
        <is>
          <t>Président</t>
        </is>
      </c>
      <c r="E2867" t="inlineStr">
        <is>
          <t>Paul J. LeBlanc</t>
        </is>
      </c>
      <c r="F2867" t="inlineStr">
        <is>
          <t>For various meetings and discussions with Agency officials and Government of Canada officials</t>
        </is>
      </c>
      <c r="G2867" t="inlineStr">
        <is>
          <t>Diverses réunions et discussions avec des fonctionnaires de l'Agence et du gouvernement du Canada</t>
        </is>
      </c>
      <c r="H2867" s="1" t="n">
        <v>42412</v>
      </c>
      <c r="I2867" s="1" t="n">
        <v>42412</v>
      </c>
      <c r="J2867" t="inlineStr">
        <is>
          <t>Charlottetown, Prince Edward Island</t>
        </is>
      </c>
      <c r="K2867" t="inlineStr">
        <is>
          <t>Charlottetown (Île-du-Prince-Édouard)</t>
        </is>
      </c>
      <c r="P2867" t="n">
        <v>0</v>
      </c>
      <c r="Q2867" t="n">
        <v>0</v>
      </c>
      <c r="R2867" t="n">
        <v>0</v>
      </c>
      <c r="S2867" t="n">
        <v>0</v>
      </c>
      <c r="T2867" t="n">
        <v>56.72</v>
      </c>
      <c r="U2867" t="n">
        <v>56.72</v>
      </c>
      <c r="X2867" t="inlineStr">
        <is>
          <t>acoa-apeca</t>
        </is>
      </c>
      <c r="Y2867" t="inlineStr">
        <is>
          <t>Atlantic Canada Opportunities Agency | Agence de promotion économique du Canada atlantique</t>
        </is>
      </c>
    </row>
    <row r="2868">
      <c r="A2868" t="inlineStr">
        <is>
          <t>T-2016-Q4-00035</t>
        </is>
      </c>
      <c r="B2868" t="inlineStr">
        <is>
          <t>SLE</t>
        </is>
      </c>
      <c r="C2868" t="inlineStr">
        <is>
          <t>Vice-President, Prince Edward Island</t>
        </is>
      </c>
      <c r="D2868" t="inlineStr">
        <is>
          <t>Vice-président, Île-du-Prince-Édouard</t>
        </is>
      </c>
      <c r="E2868" t="inlineStr">
        <is>
          <t>Patrick Dorsey</t>
        </is>
      </c>
      <c r="F2868" t="inlineStr">
        <is>
          <t>Ministerial Maritime Tour</t>
        </is>
      </c>
      <c r="G2868" t="inlineStr">
        <is>
          <t>Tournée ministérielle dans les Maritimes</t>
        </is>
      </c>
      <c r="H2868" s="1" t="n">
        <v>42411</v>
      </c>
      <c r="I2868" s="1" t="n">
        <v>42411</v>
      </c>
      <c r="P2868" t="n">
        <v>0</v>
      </c>
      <c r="Q2868" t="n">
        <v>46</v>
      </c>
      <c r="R2868" t="n">
        <v>0</v>
      </c>
      <c r="S2868" t="n">
        <v>44.4</v>
      </c>
      <c r="T2868" t="n">
        <v>0</v>
      </c>
      <c r="U2868" t="n">
        <v>90.40000000000001</v>
      </c>
      <c r="X2868" t="inlineStr">
        <is>
          <t>acoa-apeca</t>
        </is>
      </c>
      <c r="Y2868" t="inlineStr">
        <is>
          <t>Atlantic Canada Opportunities Agency | Agence de promotion économique du Canada atlantique</t>
        </is>
      </c>
    </row>
    <row r="2869">
      <c r="A2869" t="inlineStr">
        <is>
          <t>T-2016-Q4-00034</t>
        </is>
      </c>
      <c r="B2869" t="inlineStr">
        <is>
          <t>SLE</t>
        </is>
      </c>
      <c r="C2869" t="inlineStr">
        <is>
          <t>Vice-President, New Brunswick</t>
        </is>
      </c>
      <c r="D2869" t="inlineStr">
        <is>
          <t>Vice-président, Nouveau-Brunswick</t>
        </is>
      </c>
      <c r="E2869" t="inlineStr">
        <is>
          <t>Kent Estabrooks</t>
        </is>
      </c>
      <c r="F2869" t="inlineStr">
        <is>
          <t>Various meetings with clients and Agency Officials</t>
        </is>
      </c>
      <c r="G2869" t="inlineStr">
        <is>
          <t>Diverses réunions avec des clients et des fonctionnaires de l'Agence</t>
        </is>
      </c>
      <c r="H2869" s="1" t="n">
        <v>42410</v>
      </c>
      <c r="I2869" s="1" t="n">
        <v>42411</v>
      </c>
      <c r="J2869" t="inlineStr">
        <is>
          <t>Moncton, New Brunswick</t>
        </is>
      </c>
      <c r="K2869" t="inlineStr">
        <is>
          <t>Moncton (Nouveau-Brunswick)</t>
        </is>
      </c>
      <c r="P2869" t="n">
        <v>0</v>
      </c>
      <c r="Q2869" t="n">
        <v>0</v>
      </c>
      <c r="R2869" t="n">
        <v>138.43</v>
      </c>
      <c r="S2869" t="n">
        <v>140.2</v>
      </c>
      <c r="T2869" t="n">
        <v>0</v>
      </c>
      <c r="U2869" t="n">
        <v>278.63</v>
      </c>
      <c r="X2869" t="inlineStr">
        <is>
          <t>acoa-apeca</t>
        </is>
      </c>
      <c r="Y2869" t="inlineStr">
        <is>
          <t>Atlantic Canada Opportunities Agency | Agence de promotion économique du Canada atlantique</t>
        </is>
      </c>
    </row>
    <row r="2870">
      <c r="A2870" t="inlineStr">
        <is>
          <t>T-2016-Q4-00033</t>
        </is>
      </c>
      <c r="B2870" t="inlineStr">
        <is>
          <t>SLE</t>
        </is>
      </c>
      <c r="C2870" t="inlineStr">
        <is>
          <t>President</t>
        </is>
      </c>
      <c r="D2870" t="inlineStr">
        <is>
          <t>Président</t>
        </is>
      </c>
      <c r="E2870" t="inlineStr">
        <is>
          <t>Paul J. LeBlanc</t>
        </is>
      </c>
      <c r="F2870" t="inlineStr">
        <is>
          <t>For various meetings and discussions with Agency officials and Government of Canada officials</t>
        </is>
      </c>
      <c r="G2870" t="inlineStr">
        <is>
          <t>Diverses réunions et discussions avec des fonctionnaires de l'Agence et du gouvernement du Canada</t>
        </is>
      </c>
      <c r="H2870" s="1" t="n">
        <v>42409</v>
      </c>
      <c r="I2870" s="1" t="n">
        <v>42410</v>
      </c>
      <c r="J2870" t="inlineStr">
        <is>
          <t>Fredericton, New Brunswick</t>
        </is>
      </c>
      <c r="K2870" t="inlineStr">
        <is>
          <t>Fredericton (Nouveau-Brunswick)</t>
        </is>
      </c>
      <c r="P2870" t="n">
        <v>0</v>
      </c>
      <c r="Q2870" t="n">
        <v>0</v>
      </c>
      <c r="R2870" t="n">
        <v>137.86</v>
      </c>
      <c r="S2870" t="n">
        <v>139.95</v>
      </c>
      <c r="T2870" t="n">
        <v>11.3</v>
      </c>
      <c r="U2870" t="n">
        <v>289.11</v>
      </c>
      <c r="X2870" t="inlineStr">
        <is>
          <t>acoa-apeca</t>
        </is>
      </c>
      <c r="Y2870" t="inlineStr">
        <is>
          <t>Atlantic Canada Opportunities Agency | Agence de promotion économique du Canada atlantique</t>
        </is>
      </c>
    </row>
    <row r="2871">
      <c r="A2871" t="inlineStr">
        <is>
          <t>T-2016-Q4-00032</t>
        </is>
      </c>
      <c r="B2871" t="inlineStr">
        <is>
          <t>SLE</t>
        </is>
      </c>
      <c r="C2871" t="inlineStr">
        <is>
          <t>Vice-President, Newfoundland and Labrador</t>
        </is>
      </c>
      <c r="D2871" t="inlineStr">
        <is>
          <t>Vice-président, Terre-Neuve-et-Labrador</t>
        </is>
      </c>
      <c r="E2871" t="inlineStr">
        <is>
          <t>Ken Martin</t>
        </is>
      </c>
      <c r="F2871" t="inlineStr">
        <is>
          <t>Attend meetings in Ottawa with Assistant Deputy Ministers</t>
        </is>
      </c>
      <c r="G2871" t="inlineStr">
        <is>
          <t>Assister à des réunions à Ottawa avec des sous-ministres adjoints</t>
        </is>
      </c>
      <c r="H2871" s="1" t="n">
        <v>42407</v>
      </c>
      <c r="I2871" s="1" t="n">
        <v>42409</v>
      </c>
      <c r="J2871" t="inlineStr">
        <is>
          <t>Ottawa, Ontario</t>
        </is>
      </c>
      <c r="K2871" t="inlineStr">
        <is>
          <t>Ottawa (Ontario)</t>
        </is>
      </c>
      <c r="P2871" t="n">
        <v>1013.73</v>
      </c>
      <c r="Q2871" t="n">
        <v>111.42</v>
      </c>
      <c r="R2871" t="n">
        <v>393.4</v>
      </c>
      <c r="S2871" t="n">
        <v>235</v>
      </c>
      <c r="T2871" t="n">
        <v>0</v>
      </c>
      <c r="U2871" t="n">
        <v>1753.55</v>
      </c>
      <c r="X2871" t="inlineStr">
        <is>
          <t>acoa-apeca</t>
        </is>
      </c>
      <c r="Y2871" t="inlineStr">
        <is>
          <t>Atlantic Canada Opportunities Agency | Agence de promotion économique du Canada atlantique</t>
        </is>
      </c>
    </row>
    <row r="2872">
      <c r="A2872" t="inlineStr">
        <is>
          <t>T-2015-Q1-00031</t>
        </is>
      </c>
      <c r="B2872" t="inlineStr">
        <is>
          <t>MPSES</t>
        </is>
      </c>
      <c r="C2872" t="inlineStr">
        <is>
          <t>Chief of Staff</t>
        </is>
      </c>
      <c r="D2872" t="inlineStr">
        <is>
          <t>Chef de cabinet</t>
        </is>
      </c>
      <c r="E2872" t="inlineStr">
        <is>
          <t>Shane Bourke</t>
        </is>
      </c>
      <c r="F2872" t="inlineStr">
        <is>
          <t>Travel on government business</t>
        </is>
      </c>
      <c r="G2872" t="inlineStr">
        <is>
          <t>Voyage en service commandé</t>
        </is>
      </c>
      <c r="H2872" s="1" t="n">
        <v>41752</v>
      </c>
      <c r="I2872" s="1" t="n">
        <v>41753</v>
      </c>
      <c r="J2872" t="inlineStr">
        <is>
          <t>Moncton, New Brunswick</t>
        </is>
      </c>
      <c r="K2872" t="inlineStr">
        <is>
          <t>Moncton (Nouveau-Brunswick)</t>
        </is>
      </c>
      <c r="P2872" t="n">
        <v>725.5599999999999</v>
      </c>
      <c r="Q2872" t="n">
        <v>51.3</v>
      </c>
      <c r="R2872" t="n">
        <v>113</v>
      </c>
      <c r="S2872" t="n">
        <v>0</v>
      </c>
      <c r="T2872" t="n">
        <v>0</v>
      </c>
      <c r="U2872" t="n">
        <v>889.86</v>
      </c>
      <c r="X2872" t="inlineStr">
        <is>
          <t>acoa-apeca</t>
        </is>
      </c>
      <c r="Y2872" t="inlineStr">
        <is>
          <t>Atlantic Canada Opportunities Agency | Agence de promotion économique du Canada atlantique</t>
        </is>
      </c>
    </row>
    <row r="2873">
      <c r="A2873" t="inlineStr">
        <is>
          <t>T-2016-Q4-00030</t>
        </is>
      </c>
      <c r="B2873" t="inlineStr">
        <is>
          <t>SLE</t>
        </is>
      </c>
      <c r="C2873" t="inlineStr">
        <is>
          <t>Vice-President, New Brunswick</t>
        </is>
      </c>
      <c r="D2873" t="inlineStr">
        <is>
          <t>Vice-président, Nouveau-Brunswick</t>
        </is>
      </c>
      <c r="E2873" t="inlineStr">
        <is>
          <t>Kent Estabrooks</t>
        </is>
      </c>
      <c r="F2873" t="inlineStr">
        <is>
          <t>Various meetings with Clients and Agency Officials</t>
        </is>
      </c>
      <c r="G2873" t="inlineStr">
        <is>
          <t>Diverses réunions avec des clients et des fonctionnaires de l'Agence</t>
        </is>
      </c>
      <c r="H2873" s="1" t="n">
        <v>42396</v>
      </c>
      <c r="I2873" s="1" t="n">
        <v>42397</v>
      </c>
      <c r="J2873" t="inlineStr">
        <is>
          <t>Moncton, New Brunswick</t>
        </is>
      </c>
      <c r="K2873" t="inlineStr">
        <is>
          <t>Moncton (Nouveau-Brunswick)</t>
        </is>
      </c>
      <c r="P2873" t="n">
        <v>0</v>
      </c>
      <c r="Q2873" t="n">
        <v>0</v>
      </c>
      <c r="R2873" t="n">
        <v>128.26</v>
      </c>
      <c r="S2873" t="n">
        <v>95.8</v>
      </c>
      <c r="T2873" t="n">
        <v>0</v>
      </c>
      <c r="U2873" t="n">
        <v>224.06</v>
      </c>
      <c r="X2873" t="inlineStr">
        <is>
          <t>acoa-apeca</t>
        </is>
      </c>
      <c r="Y2873" t="inlineStr">
        <is>
          <t>Atlantic Canada Opportunities Agency | Agence de promotion économique du Canada atlantique</t>
        </is>
      </c>
    </row>
    <row r="2874">
      <c r="A2874" t="inlineStr">
        <is>
          <t>T-2016-Q3-00055</t>
        </is>
      </c>
      <c r="B2874" t="inlineStr">
        <is>
          <t>SLE</t>
        </is>
      </c>
      <c r="C2874" t="inlineStr">
        <is>
          <t>President</t>
        </is>
      </c>
      <c r="D2874" t="inlineStr">
        <is>
          <t>Président</t>
        </is>
      </c>
      <c r="E2874" t="inlineStr">
        <is>
          <t>Paul J. LeBlanc</t>
        </is>
      </c>
      <c r="F2874" t="inlineStr">
        <is>
          <t>For a meeting with Government of Canada officials</t>
        </is>
      </c>
      <c r="G2874" t="inlineStr">
        <is>
          <t>Réunion avec des fonctionnaires du gouvernement du Canada</t>
        </is>
      </c>
      <c r="H2874" s="1" t="n">
        <v>42332</v>
      </c>
      <c r="I2874" s="1" t="n">
        <v>42333</v>
      </c>
      <c r="J2874" t="inlineStr">
        <is>
          <t>Ottawa, Ontario</t>
        </is>
      </c>
      <c r="K2874" t="inlineStr">
        <is>
          <t>Ottawa (Ontario)</t>
        </is>
      </c>
      <c r="P2874" t="n">
        <v>639.58</v>
      </c>
      <c r="Q2874" t="n">
        <v>49</v>
      </c>
      <c r="R2874" t="n">
        <v>196.7</v>
      </c>
      <c r="S2874" t="n">
        <v>95.8</v>
      </c>
      <c r="T2874" t="n">
        <v>0</v>
      </c>
      <c r="U2874" t="n">
        <v>981.08</v>
      </c>
      <c r="X2874" t="inlineStr">
        <is>
          <t>acoa-apeca</t>
        </is>
      </c>
      <c r="Y2874" t="inlineStr">
        <is>
          <t>Atlantic Canada Opportunities Agency | Agence de promotion économique du Canada atlantique</t>
        </is>
      </c>
    </row>
    <row r="2875">
      <c r="A2875" t="inlineStr">
        <is>
          <t>T-2016-Q4-00029</t>
        </is>
      </c>
      <c r="B2875" t="inlineStr">
        <is>
          <t>SLE</t>
        </is>
      </c>
      <c r="C2875" t="inlineStr">
        <is>
          <t>Vice President, Nova Scotia</t>
        </is>
      </c>
      <c r="D2875" t="inlineStr">
        <is>
          <t>Vice-président, Nouvelle-Écosse</t>
        </is>
      </c>
      <c r="E2875" t="inlineStr">
        <is>
          <t>Peter Hogan</t>
        </is>
      </c>
      <c r="F2875" t="inlineStr">
        <is>
          <t>Meeting with Senior Agency Officials</t>
        </is>
      </c>
      <c r="G2875" t="inlineStr">
        <is>
          <t>Réunion avec des hauts fonctionnaires de l'Agence</t>
        </is>
      </c>
      <c r="H2875" s="1" t="n">
        <v>42396</v>
      </c>
      <c r="I2875" s="1" t="n">
        <v>42397</v>
      </c>
      <c r="J2875" t="inlineStr">
        <is>
          <t>Moncton, New Brunswick</t>
        </is>
      </c>
      <c r="K2875" t="inlineStr">
        <is>
          <t>Moncton (Nouveau-Brunswick)</t>
        </is>
      </c>
      <c r="P2875" t="n">
        <v>0</v>
      </c>
      <c r="Q2875" t="n">
        <v>45</v>
      </c>
      <c r="R2875" t="n">
        <v>113</v>
      </c>
      <c r="S2875" t="n">
        <v>139.95</v>
      </c>
      <c r="T2875" t="n">
        <v>0</v>
      </c>
      <c r="U2875" t="n">
        <v>297.95</v>
      </c>
      <c r="X2875" t="inlineStr">
        <is>
          <t>acoa-apeca</t>
        </is>
      </c>
      <c r="Y2875" t="inlineStr">
        <is>
          <t>Atlantic Canada Opportunities Agency | Agence de promotion économique du Canada atlantique</t>
        </is>
      </c>
    </row>
    <row r="2876">
      <c r="A2876" t="inlineStr">
        <is>
          <t>T-2016-Q4-00027</t>
        </is>
      </c>
      <c r="B2876" t="inlineStr">
        <is>
          <t>SLE</t>
        </is>
      </c>
      <c r="C2876" t="inlineStr">
        <is>
          <t>Vice-President, Prince Edward Island</t>
        </is>
      </c>
      <c r="D2876" t="inlineStr">
        <is>
          <t>Vice-président, Île-du-Prince-Édouard</t>
        </is>
      </c>
      <c r="E2876" t="inlineStr">
        <is>
          <t>Patrick Dorsey</t>
        </is>
      </c>
      <c r="F2876" t="inlineStr">
        <is>
          <t xml:space="preserve">Executive Committee Meeting </t>
        </is>
      </c>
      <c r="G2876" t="inlineStr">
        <is>
          <t>Réunion du Comité de direction</t>
        </is>
      </c>
      <c r="H2876" s="1" t="n">
        <v>42396</v>
      </c>
      <c r="I2876" s="1" t="n">
        <v>42397</v>
      </c>
      <c r="J2876" t="inlineStr">
        <is>
          <t>Moncton, New Brunswick</t>
        </is>
      </c>
      <c r="K2876" t="inlineStr">
        <is>
          <t>Moncton (Nouveau-Brunswick)</t>
        </is>
      </c>
      <c r="P2876" t="n">
        <v>0</v>
      </c>
      <c r="Q2876" t="n">
        <v>46</v>
      </c>
      <c r="R2876" t="n">
        <v>128.26</v>
      </c>
      <c r="S2876" t="n">
        <v>123.4</v>
      </c>
      <c r="T2876" t="n">
        <v>0</v>
      </c>
      <c r="U2876" t="n">
        <v>297.66</v>
      </c>
      <c r="X2876" t="inlineStr">
        <is>
          <t>acoa-apeca</t>
        </is>
      </c>
      <c r="Y2876" t="inlineStr">
        <is>
          <t>Atlantic Canada Opportunities Agency | Agence de promotion économique du Canada atlantique</t>
        </is>
      </c>
    </row>
    <row r="2877">
      <c r="A2877" t="inlineStr">
        <is>
          <t>T-2016-Q4-00026</t>
        </is>
      </c>
      <c r="B2877" t="inlineStr">
        <is>
          <t>SLE</t>
        </is>
      </c>
      <c r="C2877" t="inlineStr">
        <is>
          <t>Vice-President, Newfoundland and Labrador</t>
        </is>
      </c>
      <c r="D2877" t="inlineStr">
        <is>
          <t>Vice-président, Terre-Neuve-et-Labrador</t>
        </is>
      </c>
      <c r="E2877" t="inlineStr">
        <is>
          <t>Ken Martin</t>
        </is>
      </c>
      <c r="F2877" t="inlineStr">
        <is>
          <t>Meetings with Senior Officials/Executive  Committee Meeting</t>
        </is>
      </c>
      <c r="G2877" t="inlineStr">
        <is>
          <t>Réunions avec des hauts fonctionnaires et réunion du Comité de direction</t>
        </is>
      </c>
      <c r="H2877" s="1" t="n">
        <v>42395</v>
      </c>
      <c r="I2877" s="1" t="n">
        <v>42397</v>
      </c>
      <c r="J2877" t="inlineStr">
        <is>
          <t>Ottawa, Ontario/Moncton, New Brunswick</t>
        </is>
      </c>
      <c r="K2877" t="inlineStr">
        <is>
          <t>Ottawa (Ontario) et Moncton (Nouveau-Brunswick)</t>
        </is>
      </c>
      <c r="P2877" t="n">
        <v>1478.68</v>
      </c>
      <c r="Q2877" t="n">
        <v>82.29000000000001</v>
      </c>
      <c r="R2877" t="n">
        <v>295.73</v>
      </c>
      <c r="S2877" t="n">
        <v>235</v>
      </c>
      <c r="T2877" t="n">
        <v>0</v>
      </c>
      <c r="U2877" t="n">
        <v>2091.7</v>
      </c>
      <c r="X2877" t="inlineStr">
        <is>
          <t>acoa-apeca</t>
        </is>
      </c>
      <c r="Y2877" t="inlineStr">
        <is>
          <t>Atlantic Canada Opportunities Agency | Agence de promotion économique du Canada atlantique</t>
        </is>
      </c>
    </row>
    <row r="2878">
      <c r="A2878" t="inlineStr">
        <is>
          <t>T-2016-Q4-00025</t>
        </is>
      </c>
      <c r="B2878" t="inlineStr">
        <is>
          <t>SLE</t>
        </is>
      </c>
      <c r="C2878" t="inlineStr">
        <is>
          <t>President</t>
        </is>
      </c>
      <c r="D2878" t="inlineStr">
        <is>
          <t>Président</t>
        </is>
      </c>
      <c r="E2878" t="inlineStr">
        <is>
          <t>Paul J. LeBlanc</t>
        </is>
      </c>
      <c r="F2878" t="inlineStr">
        <is>
          <t>For a meeting with Government of Canada officials</t>
        </is>
      </c>
      <c r="G2878" t="inlineStr">
        <is>
          <t>Réunion avec des fonctionnaires du gouvernement du Canada</t>
        </is>
      </c>
      <c r="H2878" s="1" t="n">
        <v>42395</v>
      </c>
      <c r="I2878" s="1" t="n">
        <v>42396</v>
      </c>
      <c r="J2878" t="inlineStr">
        <is>
          <t>Ottawa, Ontario</t>
        </is>
      </c>
      <c r="K2878" t="inlineStr">
        <is>
          <t>Ottawa (Ontario)</t>
        </is>
      </c>
      <c r="P2878" t="n">
        <v>644.1</v>
      </c>
      <c r="Q2878" t="n">
        <v>0</v>
      </c>
      <c r="R2878" t="n">
        <v>231.62</v>
      </c>
      <c r="S2878" t="n">
        <v>95.8</v>
      </c>
      <c r="T2878" t="n">
        <v>0</v>
      </c>
      <c r="U2878" t="n">
        <v>971.52</v>
      </c>
      <c r="X2878" t="inlineStr">
        <is>
          <t>acoa-apeca</t>
        </is>
      </c>
      <c r="Y2878" t="inlineStr">
        <is>
          <t>Atlantic Canada Opportunities Agency | Agence de promotion économique du Canada atlantique</t>
        </is>
      </c>
    </row>
    <row r="2879">
      <c r="A2879" t="inlineStr">
        <is>
          <t>T-2016-Q4-00024</t>
        </is>
      </c>
      <c r="B2879" t="inlineStr">
        <is>
          <t>SLE</t>
        </is>
      </c>
      <c r="C2879" t="inlineStr">
        <is>
          <t>Vice-President, Finance and Corporate Services</t>
        </is>
      </c>
      <c r="D2879" t="inlineStr">
        <is>
          <t>Vice-présidente, Finances et Services corporatifs</t>
        </is>
      </c>
      <c r="E2879" t="inlineStr">
        <is>
          <t>Denise Frenette</t>
        </is>
      </c>
      <c r="F2879" t="inlineStr">
        <is>
          <t>For various meetings and sessions with various Government of Canada officials</t>
        </is>
      </c>
      <c r="G2879" t="inlineStr">
        <is>
          <t>Diverses réunions et séances avec divers fonctionnaires du gouvernement du Canada</t>
        </is>
      </c>
      <c r="H2879" s="1" t="n">
        <v>42394</v>
      </c>
      <c r="I2879" s="1" t="n">
        <v>42396</v>
      </c>
      <c r="J2879" t="inlineStr">
        <is>
          <t>Ottawa, Ontario</t>
        </is>
      </c>
      <c r="K2879" t="inlineStr">
        <is>
          <t>Ottawa (Ontario)</t>
        </is>
      </c>
      <c r="P2879" t="n">
        <v>890.8</v>
      </c>
      <c r="Q2879" t="n">
        <v>119.18</v>
      </c>
      <c r="R2879" t="n">
        <v>332.67</v>
      </c>
      <c r="S2879" t="n">
        <v>240.75</v>
      </c>
      <c r="T2879" t="n">
        <v>44.01</v>
      </c>
      <c r="U2879" t="n">
        <v>1627.41</v>
      </c>
      <c r="X2879" t="inlineStr">
        <is>
          <t>acoa-apeca</t>
        </is>
      </c>
      <c r="Y2879" t="inlineStr">
        <is>
          <t>Atlantic Canada Opportunities Agency | Agence de promotion économique du Canada atlantique</t>
        </is>
      </c>
    </row>
    <row r="2880">
      <c r="A2880" t="inlineStr">
        <is>
          <t>T-2016-Q4-00023</t>
        </is>
      </c>
      <c r="B2880" t="inlineStr">
        <is>
          <t>SLE</t>
        </is>
      </c>
      <c r="C2880" t="inlineStr">
        <is>
          <t>Vice-President, Policy and Programs</t>
        </is>
      </c>
      <c r="D2880" t="inlineStr">
        <is>
          <t>Vice-président, Politiques et Programmes</t>
        </is>
      </c>
      <c r="E2880" t="inlineStr">
        <is>
          <t>Daryell Nowlan</t>
        </is>
      </c>
      <c r="F2880" t="inlineStr">
        <is>
          <t>Meetings with Government of Canada officials</t>
        </is>
      </c>
      <c r="G2880" t="inlineStr">
        <is>
          <t>Réunions avec des fonctionnaires du gouvernement du Canada</t>
        </is>
      </c>
      <c r="H2880" s="1" t="n">
        <v>42394</v>
      </c>
      <c r="I2880" s="1" t="n">
        <v>42396</v>
      </c>
      <c r="J2880" t="inlineStr">
        <is>
          <t>Montreal, Quebec</t>
        </is>
      </c>
      <c r="K2880" t="inlineStr">
        <is>
          <t>Montréal (Québec)</t>
        </is>
      </c>
      <c r="P2880" t="n">
        <v>639.58</v>
      </c>
      <c r="Q2880" t="n">
        <v>137</v>
      </c>
      <c r="R2880" t="n">
        <v>316.54</v>
      </c>
      <c r="S2880" t="n">
        <v>174.3</v>
      </c>
      <c r="T2880" t="n">
        <v>0</v>
      </c>
      <c r="U2880" t="n">
        <v>1267.42</v>
      </c>
      <c r="X2880" t="inlineStr">
        <is>
          <t>acoa-apeca</t>
        </is>
      </c>
      <c r="Y2880" t="inlineStr">
        <is>
          <t>Atlantic Canada Opportunities Agency | Agence de promotion économique du Canada atlantique</t>
        </is>
      </c>
    </row>
    <row r="2881">
      <c r="A2881" t="inlineStr">
        <is>
          <t>T-2016-Q3-00031</t>
        </is>
      </c>
      <c r="B2881" t="inlineStr">
        <is>
          <t>SLE</t>
        </is>
      </c>
      <c r="C2881" t="inlineStr">
        <is>
          <t>Vice-President, New Brunswick</t>
        </is>
      </c>
      <c r="D2881" t="inlineStr">
        <is>
          <t>Vice-président, Nouveau-Brunswick</t>
        </is>
      </c>
      <c r="E2881" t="inlineStr">
        <is>
          <t>Kent Estabrooks</t>
        </is>
      </c>
      <c r="F2881" t="inlineStr">
        <is>
          <t>Meeting with Agency officials</t>
        </is>
      </c>
      <c r="G2881" t="inlineStr">
        <is>
          <t>Réunion avec des fonctionnaires de l'Agence</t>
        </is>
      </c>
      <c r="H2881" s="1" t="n">
        <v>42292</v>
      </c>
      <c r="I2881" s="1" t="n">
        <v>42293</v>
      </c>
      <c r="J2881" t="inlineStr">
        <is>
          <t>Moncton, New Brunswick</t>
        </is>
      </c>
      <c r="K2881" t="inlineStr">
        <is>
          <t>Moncton (Nouveau-Brunswick)</t>
        </is>
      </c>
      <c r="P2881" t="n">
        <v>0</v>
      </c>
      <c r="Q2881" t="n">
        <v>0</v>
      </c>
      <c r="R2881" t="n">
        <v>138.43</v>
      </c>
      <c r="S2881" t="n">
        <v>51.4</v>
      </c>
      <c r="T2881" t="n">
        <v>0</v>
      </c>
      <c r="U2881" t="n">
        <v>189.83</v>
      </c>
      <c r="X2881" t="inlineStr">
        <is>
          <t>acoa-apeca</t>
        </is>
      </c>
      <c r="Y2881" t="inlineStr">
        <is>
          <t>Atlantic Canada Opportunities Agency | Agence de promotion économique du Canada atlantique</t>
        </is>
      </c>
    </row>
    <row r="2882">
      <c r="A2882" t="inlineStr">
        <is>
          <t>T-2016-Q4-00022</t>
        </is>
      </c>
      <c r="B2882" t="inlineStr">
        <is>
          <t>SLE</t>
        </is>
      </c>
      <c r="C2882" t="inlineStr">
        <is>
          <t>Vice President, Nova Scotia</t>
        </is>
      </c>
      <c r="D2882" t="inlineStr">
        <is>
          <t>Vice-président, Nouvelle-Écosse</t>
        </is>
      </c>
      <c r="E2882" t="inlineStr">
        <is>
          <t>Peter Hogan</t>
        </is>
      </c>
      <c r="F2882" t="inlineStr">
        <is>
          <t>Various Meetings with Agency and Government of Canada Officials</t>
        </is>
      </c>
      <c r="G2882" t="inlineStr">
        <is>
          <t>Diverses réunions avec des fonctionnaires de l'Agence et du gouvernement du Canada</t>
        </is>
      </c>
      <c r="H2882" s="1" t="n">
        <v>42390</v>
      </c>
      <c r="I2882" s="1" t="n">
        <v>42390</v>
      </c>
      <c r="J2882" t="inlineStr">
        <is>
          <t>Ottawa, Ontario</t>
        </is>
      </c>
      <c r="K2882" t="inlineStr">
        <is>
          <t>Ottawa (Ontario)</t>
        </is>
      </c>
      <c r="P2882" t="n">
        <v>600.39</v>
      </c>
      <c r="Q2882" t="n">
        <v>93.43000000000001</v>
      </c>
      <c r="R2882" t="n">
        <v>0</v>
      </c>
      <c r="S2882" t="n">
        <v>44.4</v>
      </c>
      <c r="T2882" t="n">
        <v>0</v>
      </c>
      <c r="U2882" t="n">
        <v>738.22</v>
      </c>
      <c r="X2882" t="inlineStr">
        <is>
          <t>acoa-apeca</t>
        </is>
      </c>
      <c r="Y2882" t="inlineStr">
        <is>
          <t>Atlantic Canada Opportunities Agency | Agence de promotion économique du Canada atlantique</t>
        </is>
      </c>
    </row>
    <row r="2883">
      <c r="A2883" t="inlineStr">
        <is>
          <t>T-2016-Q4-00019</t>
        </is>
      </c>
      <c r="B2883" t="inlineStr">
        <is>
          <t>SLE</t>
        </is>
      </c>
      <c r="C2883" t="inlineStr">
        <is>
          <t>Vice-President, New Brunswick</t>
        </is>
      </c>
      <c r="D2883" t="inlineStr">
        <is>
          <t>Vice-président, Nouveau-Brunswick</t>
        </is>
      </c>
      <c r="E2883" t="inlineStr">
        <is>
          <t>Kent Estabrooks</t>
        </is>
      </c>
      <c r="F2883" t="inlineStr">
        <is>
          <t>Training and Development</t>
        </is>
      </c>
      <c r="G2883" t="inlineStr">
        <is>
          <t>Formation et perfectionnement</t>
        </is>
      </c>
      <c r="H2883" s="1" t="n">
        <v>42384</v>
      </c>
      <c r="I2883" s="1" t="n">
        <v>42387</v>
      </c>
      <c r="J2883" t="inlineStr">
        <is>
          <t>Toronto, Ontario</t>
        </is>
      </c>
      <c r="K2883" t="inlineStr">
        <is>
          <t>Toronto (Ontario)</t>
        </is>
      </c>
      <c r="P2883" t="n">
        <v>644.1</v>
      </c>
      <c r="Q2883" t="n">
        <v>104.04</v>
      </c>
      <c r="R2883" t="n">
        <v>696</v>
      </c>
      <c r="S2883" t="n">
        <v>325.3</v>
      </c>
      <c r="T2883" t="n">
        <v>0</v>
      </c>
      <c r="U2883" t="n">
        <v>1769.44</v>
      </c>
      <c r="X2883" t="inlineStr">
        <is>
          <t>acoa-apeca</t>
        </is>
      </c>
      <c r="Y2883" t="inlineStr">
        <is>
          <t>Atlantic Canada Opportunities Agency | Agence de promotion économique du Canada atlantique</t>
        </is>
      </c>
    </row>
    <row r="2884">
      <c r="A2884" t="inlineStr">
        <is>
          <t>T-2016-Q4-00017</t>
        </is>
      </c>
      <c r="B2884" t="inlineStr">
        <is>
          <t>SLE</t>
        </is>
      </c>
      <c r="C2884" t="inlineStr">
        <is>
          <t>Vice-President, New Brunswick</t>
        </is>
      </c>
      <c r="D2884" t="inlineStr">
        <is>
          <t>Vice-président, Nouveau-Brunswick</t>
        </is>
      </c>
      <c r="E2884" t="inlineStr">
        <is>
          <t>Kent Estabrooks</t>
        </is>
      </c>
      <c r="F2884" t="inlineStr">
        <is>
          <t>Meeting with Agency Officials and Stakeholders</t>
        </is>
      </c>
      <c r="G2884" t="inlineStr">
        <is>
          <t>Réunion avec des fonctionnaires de l'Agence et des intervenants</t>
        </is>
      </c>
      <c r="H2884" s="1" t="n">
        <v>42381</v>
      </c>
      <c r="I2884" s="1" t="n">
        <v>42383</v>
      </c>
      <c r="J2884" t="inlineStr">
        <is>
          <t>Moncton, New Brunswick</t>
        </is>
      </c>
      <c r="K2884" t="inlineStr">
        <is>
          <t>Moncton (Nouveau-Brunswick)</t>
        </is>
      </c>
      <c r="P2884" t="n">
        <v>0</v>
      </c>
      <c r="Q2884" t="n">
        <v>0</v>
      </c>
      <c r="R2884" t="n">
        <v>140.12</v>
      </c>
      <c r="S2884" t="n">
        <v>112.6</v>
      </c>
      <c r="T2884" t="n">
        <v>0</v>
      </c>
      <c r="U2884" t="n">
        <v>252.72</v>
      </c>
      <c r="X2884" t="inlineStr">
        <is>
          <t>acoa-apeca</t>
        </is>
      </c>
      <c r="Y2884" t="inlineStr">
        <is>
          <t>Atlantic Canada Opportunities Agency | Agence de promotion économique du Canada atlantique</t>
        </is>
      </c>
    </row>
    <row r="2885">
      <c r="A2885" t="inlineStr">
        <is>
          <t>T-2016-Q4-00015</t>
        </is>
      </c>
      <c r="B2885" t="inlineStr">
        <is>
          <t>SLE</t>
        </is>
      </c>
      <c r="C2885" t="inlineStr">
        <is>
          <t>Vice-President, Newfoundland and Labrador</t>
        </is>
      </c>
      <c r="D2885" t="inlineStr">
        <is>
          <t>Vice-président, Terre-Neuve-et-Labrador</t>
        </is>
      </c>
      <c r="E2885" t="inlineStr">
        <is>
          <t>Ken Martin</t>
        </is>
      </c>
      <c r="F2885" t="inlineStr">
        <is>
          <t xml:space="preserve">For various meetings and discussions with senior government and private sector officials </t>
        </is>
      </c>
      <c r="G2885" t="inlineStr">
        <is>
          <t>Diverses réunions et discussions avec des hauts fonctionnaires et des représentants du secteur privé</t>
        </is>
      </c>
      <c r="H2885" s="1" t="n">
        <v>42373</v>
      </c>
      <c r="I2885" s="1" t="n">
        <v>42460</v>
      </c>
      <c r="J2885" t="inlineStr">
        <is>
          <t>St. John's, Newfoundland and Labrador</t>
        </is>
      </c>
      <c r="K2885" t="inlineStr">
        <is>
          <t>St. John's (Terre-Neuve-et-Labrador)</t>
        </is>
      </c>
      <c r="P2885" t="n">
        <v>0</v>
      </c>
      <c r="Q2885" t="n">
        <v>37.12</v>
      </c>
      <c r="R2885" t="n">
        <v>0</v>
      </c>
      <c r="S2885" t="n">
        <v>0</v>
      </c>
      <c r="T2885" t="n">
        <v>0</v>
      </c>
      <c r="U2885" t="n">
        <v>37.12</v>
      </c>
      <c r="X2885" t="inlineStr">
        <is>
          <t>acoa-apeca</t>
        </is>
      </c>
      <c r="Y2885" t="inlineStr">
        <is>
          <t>Atlantic Canada Opportunities Agency | Agence de promotion économique du Canada atlantique</t>
        </is>
      </c>
    </row>
    <row r="2886">
      <c r="A2886" t="inlineStr">
        <is>
          <t>T-2016-Q4-00014</t>
        </is>
      </c>
      <c r="B2886" t="inlineStr">
        <is>
          <t>SLE</t>
        </is>
      </c>
      <c r="C2886" t="inlineStr">
        <is>
          <t>Vice-President, Prince Edward Island</t>
        </is>
      </c>
      <c r="D2886" t="inlineStr">
        <is>
          <t>Vice-président, Île-du-Prince-Édouard</t>
        </is>
      </c>
      <c r="E2886" t="inlineStr">
        <is>
          <t>Patrick Dorsey</t>
        </is>
      </c>
      <c r="F2886" t="inlineStr">
        <is>
          <t>Business Meetings</t>
        </is>
      </c>
      <c r="G2886" t="inlineStr">
        <is>
          <t>Réunions de travail</t>
        </is>
      </c>
      <c r="H2886" s="1" t="n">
        <v>42359</v>
      </c>
      <c r="I2886" s="1" t="n">
        <v>42360</v>
      </c>
      <c r="J2886" t="inlineStr">
        <is>
          <t>Montreal, Quebec</t>
        </is>
      </c>
      <c r="K2886" t="inlineStr">
        <is>
          <t>Montréal (Québec)</t>
        </is>
      </c>
      <c r="P2886" t="n">
        <v>937.61</v>
      </c>
      <c r="Q2886" t="n">
        <v>202.1</v>
      </c>
      <c r="R2886" t="n">
        <v>148.76</v>
      </c>
      <c r="S2886" t="n">
        <v>156.75</v>
      </c>
      <c r="T2886" t="n">
        <v>0</v>
      </c>
      <c r="U2886" t="n">
        <v>1445.22</v>
      </c>
      <c r="X2886" t="inlineStr">
        <is>
          <t>acoa-apeca</t>
        </is>
      </c>
      <c r="Y2886" t="inlineStr">
        <is>
          <t>Atlantic Canada Opportunities Agency | Agence de promotion économique du Canada atlantique</t>
        </is>
      </c>
    </row>
    <row r="2887">
      <c r="A2887" t="inlineStr">
        <is>
          <t>T-2016-Q4-00013</t>
        </is>
      </c>
      <c r="B2887" t="inlineStr">
        <is>
          <t>SLE</t>
        </is>
      </c>
      <c r="C2887" t="inlineStr">
        <is>
          <t>Vice-President, Policy and Programs</t>
        </is>
      </c>
      <c r="D2887" t="inlineStr">
        <is>
          <t>Vice-président, Politiques et Programmes</t>
        </is>
      </c>
      <c r="E2887" t="inlineStr">
        <is>
          <t>Daryell Nowlan</t>
        </is>
      </c>
      <c r="F2887" t="inlineStr">
        <is>
          <t>Meetings with Government of Canada officials</t>
        </is>
      </c>
      <c r="G2887" t="inlineStr">
        <is>
          <t>Réunions avec des fonctionnaires du gouvernement du Canada</t>
        </is>
      </c>
      <c r="H2887" s="1" t="n">
        <v>42359</v>
      </c>
      <c r="I2887" s="1" t="n">
        <v>42360</v>
      </c>
      <c r="J2887" t="inlineStr">
        <is>
          <t>Ottawa, Ontario</t>
        </is>
      </c>
      <c r="K2887" t="inlineStr">
        <is>
          <t>Ottawa (Ontario)</t>
        </is>
      </c>
      <c r="P2887" t="n">
        <v>644.1</v>
      </c>
      <c r="Q2887" t="n">
        <v>161.33</v>
      </c>
      <c r="R2887" t="n">
        <v>196.7</v>
      </c>
      <c r="S2887" t="n">
        <v>95.8</v>
      </c>
      <c r="T2887" t="n">
        <v>0</v>
      </c>
      <c r="U2887" t="n">
        <v>1097.93</v>
      </c>
      <c r="X2887" t="inlineStr">
        <is>
          <t>acoa-apeca</t>
        </is>
      </c>
      <c r="Y2887" t="inlineStr">
        <is>
          <t>Atlantic Canada Opportunities Agency | Agence de promotion économique du Canada atlantique</t>
        </is>
      </c>
    </row>
    <row r="2888">
      <c r="A2888" t="inlineStr">
        <is>
          <t>T-2016-Q4-00012</t>
        </is>
      </c>
      <c r="B2888" t="inlineStr">
        <is>
          <t>SLE</t>
        </is>
      </c>
      <c r="C2888" t="inlineStr">
        <is>
          <t>Vice President, Nova Scotia</t>
        </is>
      </c>
      <c r="D2888" t="inlineStr">
        <is>
          <t>Vice-président, Nouvelle-Écosse</t>
        </is>
      </c>
      <c r="E2888" t="inlineStr">
        <is>
          <t>Peter Hogan</t>
        </is>
      </c>
      <c r="F2888" t="inlineStr">
        <is>
          <t>Meetings with Agency Officials and Community Outreach Visit</t>
        </is>
      </c>
      <c r="G2888" t="inlineStr">
        <is>
          <t>Réunions avec des fonctionnaires de l'Agence et visite de sensibilisation communautaire</t>
        </is>
      </c>
      <c r="H2888" s="1" t="n">
        <v>42354</v>
      </c>
      <c r="I2888" s="1" t="n">
        <v>42354</v>
      </c>
      <c r="J2888" t="inlineStr">
        <is>
          <t>Antigonish, Nova Scotia</t>
        </is>
      </c>
      <c r="K2888" t="inlineStr">
        <is>
          <t>Antigonish (Nouvelle-Écosse)</t>
        </is>
      </c>
      <c r="P2888" t="n">
        <v>0</v>
      </c>
      <c r="Q2888" t="n">
        <v>0</v>
      </c>
      <c r="R2888" t="n">
        <v>0</v>
      </c>
      <c r="S2888" t="n">
        <v>16.8</v>
      </c>
      <c r="T2888" t="n">
        <v>0</v>
      </c>
      <c r="U2888" t="n">
        <v>16.8</v>
      </c>
      <c r="X2888" t="inlineStr">
        <is>
          <t>acoa-apeca</t>
        </is>
      </c>
      <c r="Y2888" t="inlineStr">
        <is>
          <t>Atlantic Canada Opportunities Agency | Agence de promotion économique du Canada atlantique</t>
        </is>
      </c>
    </row>
    <row r="2889">
      <c r="A2889" t="inlineStr">
        <is>
          <t>T-2016-Q4-00011</t>
        </is>
      </c>
      <c r="B2889" t="inlineStr">
        <is>
          <t>SLE</t>
        </is>
      </c>
      <c r="C2889" t="inlineStr">
        <is>
          <t>Vice-President, Policy and Programs</t>
        </is>
      </c>
      <c r="D2889" t="inlineStr">
        <is>
          <t>Vice-président, Politiques et Programmes</t>
        </is>
      </c>
      <c r="E2889" t="inlineStr">
        <is>
          <t>Daryell Nowlan</t>
        </is>
      </c>
      <c r="F2889" t="inlineStr">
        <is>
          <t>Meetings with Government of Canada officials</t>
        </is>
      </c>
      <c r="G2889" t="inlineStr">
        <is>
          <t>Réunions avec des fonctionnaires du gouvernement du Canada</t>
        </is>
      </c>
      <c r="H2889" s="1" t="n">
        <v>42352</v>
      </c>
      <c r="I2889" s="1" t="n">
        <v>42354</v>
      </c>
      <c r="J2889" t="inlineStr">
        <is>
          <t>St. John's, Newfoundland and Labrador</t>
        </is>
      </c>
      <c r="K2889" t="inlineStr">
        <is>
          <t>St. John's (Terre-Neuve-et-Labrador)</t>
        </is>
      </c>
      <c r="P2889" t="n">
        <v>1136.7</v>
      </c>
      <c r="Q2889" t="n">
        <v>105</v>
      </c>
      <c r="R2889" t="n">
        <v>320.58</v>
      </c>
      <c r="S2889" t="n">
        <v>190.85</v>
      </c>
      <c r="T2889" t="n">
        <v>0</v>
      </c>
      <c r="U2889" t="n">
        <v>1753.13</v>
      </c>
      <c r="X2889" t="inlineStr">
        <is>
          <t>acoa-apeca</t>
        </is>
      </c>
      <c r="Y2889" t="inlineStr">
        <is>
          <t>Atlantic Canada Opportunities Agency | Agence de promotion économique du Canada atlantique</t>
        </is>
      </c>
    </row>
    <row r="2890">
      <c r="A2890" t="inlineStr">
        <is>
          <t>T-2015-Q1-00006</t>
        </is>
      </c>
      <c r="B2890" t="inlineStr">
        <is>
          <t>SLE</t>
        </is>
      </c>
      <c r="C2890" t="inlineStr">
        <is>
          <t>President</t>
        </is>
      </c>
      <c r="D2890" t="inlineStr">
        <is>
          <t>Président</t>
        </is>
      </c>
      <c r="E2890" t="inlineStr">
        <is>
          <t>Paul J. LeBlanc</t>
        </is>
      </c>
      <c r="F2890" t="inlineStr">
        <is>
          <t>Meeting with Agency official</t>
        </is>
      </c>
      <c r="G2890" t="inlineStr">
        <is>
          <t>Réunion avec un fonctionnaire de l'Agence</t>
        </is>
      </c>
      <c r="H2890" s="1" t="n">
        <v>41712</v>
      </c>
      <c r="I2890" s="1" t="n">
        <v>41712</v>
      </c>
      <c r="J2890" t="inlineStr">
        <is>
          <t>Hampton, New Brunswick</t>
        </is>
      </c>
      <c r="K2890" t="inlineStr">
        <is>
          <t>Hampton (Nouveau-Brunswick)</t>
        </is>
      </c>
      <c r="P2890" t="n">
        <v>0</v>
      </c>
      <c r="Q2890" t="n">
        <v>0</v>
      </c>
      <c r="R2890" t="n">
        <v>0</v>
      </c>
      <c r="S2890" t="n">
        <v>15.1</v>
      </c>
      <c r="T2890" t="n">
        <v>0</v>
      </c>
      <c r="U2890" t="n">
        <v>15.1</v>
      </c>
      <c r="X2890" t="inlineStr">
        <is>
          <t>acoa-apeca</t>
        </is>
      </c>
      <c r="Y2890" t="inlineStr">
        <is>
          <t>Atlantic Canada Opportunities Agency | Agence de promotion économique du Canada atlantique</t>
        </is>
      </c>
    </row>
    <row r="2891">
      <c r="A2891" t="inlineStr">
        <is>
          <t>T-2016-Q4-00010</t>
        </is>
      </c>
      <c r="B2891" t="inlineStr">
        <is>
          <t>SLE</t>
        </is>
      </c>
      <c r="C2891" t="inlineStr">
        <is>
          <t>Vice-President, New Brunswick</t>
        </is>
      </c>
      <c r="D2891" t="inlineStr">
        <is>
          <t>Vice-président, Nouveau-Brunswick</t>
        </is>
      </c>
      <c r="E2891" t="inlineStr">
        <is>
          <t>Kent Estabrooks</t>
        </is>
      </c>
      <c r="F2891" t="inlineStr">
        <is>
          <t>Various meetings with Federal Officials</t>
        </is>
      </c>
      <c r="G2891" t="inlineStr">
        <is>
          <t>Diverses réunions avec des fonctionnaires fédéraux</t>
        </is>
      </c>
      <c r="H2891" s="1" t="n">
        <v>42351</v>
      </c>
      <c r="I2891" s="1" t="n">
        <v>42352</v>
      </c>
      <c r="J2891" t="inlineStr">
        <is>
          <t>Ottawa, Ontario</t>
        </is>
      </c>
      <c r="K2891" t="inlineStr">
        <is>
          <t>Ottawa (Ontario)</t>
        </is>
      </c>
      <c r="P2891" t="n">
        <v>791</v>
      </c>
      <c r="Q2891" t="n">
        <v>243.26</v>
      </c>
      <c r="R2891" t="n">
        <v>323.76</v>
      </c>
      <c r="S2891" t="n">
        <v>157.5</v>
      </c>
      <c r="T2891" t="n">
        <v>50</v>
      </c>
      <c r="U2891" t="n">
        <v>1565.52</v>
      </c>
      <c r="X2891" t="inlineStr">
        <is>
          <t>acoa-apeca</t>
        </is>
      </c>
      <c r="Y2891" t="inlineStr">
        <is>
          <t>Atlantic Canada Opportunities Agency | Agence de promotion économique du Canada atlantique</t>
        </is>
      </c>
    </row>
    <row r="2892">
      <c r="A2892" t="inlineStr">
        <is>
          <t>T-2016-Q4-00009</t>
        </is>
      </c>
      <c r="B2892" t="inlineStr">
        <is>
          <t>SLE</t>
        </is>
      </c>
      <c r="C2892" t="inlineStr">
        <is>
          <t>Vice-President, New Brunswick</t>
        </is>
      </c>
      <c r="D2892" t="inlineStr">
        <is>
          <t>Vice-président, Nouveau-Brunswick</t>
        </is>
      </c>
      <c r="E2892" t="inlineStr">
        <is>
          <t>Kent Estabrooks</t>
        </is>
      </c>
      <c r="F2892" t="inlineStr">
        <is>
          <t>Meeting with Agency Officials</t>
        </is>
      </c>
      <c r="G2892" t="inlineStr">
        <is>
          <t>Réunion avec des fonctionnaires de l'Agence</t>
        </is>
      </c>
      <c r="H2892" s="1" t="n">
        <v>42347</v>
      </c>
      <c r="I2892" s="1" t="n">
        <v>42348</v>
      </c>
      <c r="J2892" t="inlineStr">
        <is>
          <t>Moncton, New Brunswick</t>
        </is>
      </c>
      <c r="K2892" t="inlineStr">
        <is>
          <t>Moncton (Nouveau-Brunswick)</t>
        </is>
      </c>
      <c r="P2892" t="n">
        <v>0</v>
      </c>
      <c r="Q2892" t="n">
        <v>0</v>
      </c>
      <c r="R2892" t="n">
        <v>138.43</v>
      </c>
      <c r="S2892" t="n">
        <v>34.6</v>
      </c>
      <c r="T2892" t="n">
        <v>8</v>
      </c>
      <c r="U2892" t="n">
        <v>181.03</v>
      </c>
      <c r="X2892" t="inlineStr">
        <is>
          <t>acoa-apeca</t>
        </is>
      </c>
      <c r="Y2892" t="inlineStr">
        <is>
          <t>Atlantic Canada Opportunities Agency | Agence de promotion économique du Canada atlantique</t>
        </is>
      </c>
    </row>
    <row r="2893">
      <c r="A2893" t="inlineStr">
        <is>
          <t>T-2016-Q4-00008</t>
        </is>
      </c>
      <c r="B2893" t="inlineStr">
        <is>
          <t>SLE</t>
        </is>
      </c>
      <c r="C2893" t="inlineStr">
        <is>
          <t>Vice-President, Prince Edward Island</t>
        </is>
      </c>
      <c r="D2893" t="inlineStr">
        <is>
          <t>Vice-président, Île-du-Prince-Édouard</t>
        </is>
      </c>
      <c r="E2893" t="inlineStr">
        <is>
          <t>Patrick Dorsey</t>
        </is>
      </c>
      <c r="F2893" t="inlineStr">
        <is>
          <t>Atlantic Canada Tourism Partnership Meeting and Meetings with Other Government Officials</t>
        </is>
      </c>
      <c r="G2893" t="inlineStr">
        <is>
          <t>Réunion du Partenariat du tourisme du Canada atlantique et réunions avec d'autres fonctionnaires du gouvernement</t>
        </is>
      </c>
      <c r="H2893" s="1" t="n">
        <v>42346</v>
      </c>
      <c r="I2893" s="1" t="n">
        <v>42349</v>
      </c>
      <c r="J2893" t="inlineStr">
        <is>
          <t>Ottawa, Ontario</t>
        </is>
      </c>
      <c r="K2893" t="inlineStr">
        <is>
          <t>Ottawa (Ontario)</t>
        </is>
      </c>
      <c r="P2893" t="n">
        <v>1150.71</v>
      </c>
      <c r="Q2893" t="n">
        <v>236.5</v>
      </c>
      <c r="R2893" t="n">
        <v>371.12</v>
      </c>
      <c r="S2893" t="n">
        <v>251.8</v>
      </c>
      <c r="T2893" t="n">
        <v>32.99</v>
      </c>
      <c r="U2893" t="n">
        <v>2043.12</v>
      </c>
      <c r="X2893" t="inlineStr">
        <is>
          <t>acoa-apeca</t>
        </is>
      </c>
      <c r="Y2893" t="inlineStr">
        <is>
          <t>Atlantic Canada Opportunities Agency | Agence de promotion économique du Canada atlantique</t>
        </is>
      </c>
    </row>
    <row r="2894">
      <c r="A2894" t="inlineStr">
        <is>
          <t>T-2016-Q4-00007</t>
        </is>
      </c>
      <c r="B2894" t="inlineStr">
        <is>
          <t>SLE</t>
        </is>
      </c>
      <c r="C2894" t="inlineStr">
        <is>
          <t>Vice-President, Finance and Corporate Services</t>
        </is>
      </c>
      <c r="D2894" t="inlineStr">
        <is>
          <t>Vice-présidente, Finances et Services corporatifs</t>
        </is>
      </c>
      <c r="E2894" t="inlineStr">
        <is>
          <t>Denise Frenette</t>
        </is>
      </c>
      <c r="F2894" t="inlineStr">
        <is>
          <t>To attend a course</t>
        </is>
      </c>
      <c r="G2894" t="inlineStr">
        <is>
          <t>Assister à un cours</t>
        </is>
      </c>
      <c r="H2894" s="1" t="n">
        <v>42344</v>
      </c>
      <c r="I2894" s="1" t="n">
        <v>42346</v>
      </c>
      <c r="J2894" t="inlineStr">
        <is>
          <t>Toronto, Ontario</t>
        </is>
      </c>
      <c r="K2894" t="inlineStr">
        <is>
          <t>Toronto (Ontario)</t>
        </is>
      </c>
      <c r="P2894" t="n">
        <v>702.48</v>
      </c>
      <c r="Q2894" t="n">
        <v>146.11</v>
      </c>
      <c r="R2894" t="n">
        <v>310.88</v>
      </c>
      <c r="S2894" t="n">
        <v>173.8</v>
      </c>
      <c r="T2894" t="n">
        <v>0</v>
      </c>
      <c r="U2894" t="n">
        <v>1333.27</v>
      </c>
      <c r="X2894" t="inlineStr">
        <is>
          <t>acoa-apeca</t>
        </is>
      </c>
      <c r="Y2894" t="inlineStr">
        <is>
          <t>Atlantic Canada Opportunities Agency | Agence de promotion économique du Canada atlantique</t>
        </is>
      </c>
    </row>
    <row r="2895">
      <c r="A2895" t="inlineStr">
        <is>
          <t>T-2016-Q4-00006</t>
        </is>
      </c>
      <c r="B2895" t="inlineStr">
        <is>
          <t>SLE</t>
        </is>
      </c>
      <c r="C2895" t="inlineStr">
        <is>
          <t>Vice-President, New Brunswick</t>
        </is>
      </c>
      <c r="D2895" t="inlineStr">
        <is>
          <t>Vice-président, Nouveau-Brunswick</t>
        </is>
      </c>
      <c r="E2895" t="inlineStr">
        <is>
          <t>Kent Estabrooks</t>
        </is>
      </c>
      <c r="F2895" t="inlineStr">
        <is>
          <t>Meetings with Various Federal Officials</t>
        </is>
      </c>
      <c r="G2895" t="inlineStr">
        <is>
          <t>Réunions avec divers fonctionnaires fédéraux</t>
        </is>
      </c>
      <c r="H2895" s="1" t="n">
        <v>42341</v>
      </c>
      <c r="I2895" s="1" t="n">
        <v>42343</v>
      </c>
      <c r="J2895" t="inlineStr">
        <is>
          <t>Ottawa, Ontario</t>
        </is>
      </c>
      <c r="K2895" t="inlineStr">
        <is>
          <t>Ottawa (Ontario)</t>
        </is>
      </c>
      <c r="P2895" t="n">
        <v>791</v>
      </c>
      <c r="Q2895" t="n">
        <v>67.37</v>
      </c>
      <c r="R2895" t="n">
        <v>305.9</v>
      </c>
      <c r="S2895" t="n">
        <v>157.5</v>
      </c>
      <c r="T2895" t="n">
        <v>15.26</v>
      </c>
      <c r="U2895" t="n">
        <v>1337.03</v>
      </c>
      <c r="X2895" t="inlineStr">
        <is>
          <t>acoa-apeca</t>
        </is>
      </c>
      <c r="Y2895" t="inlineStr">
        <is>
          <t>Atlantic Canada Opportunities Agency | Agence de promotion économique du Canada atlantique</t>
        </is>
      </c>
    </row>
    <row r="2896">
      <c r="A2896" t="inlineStr">
        <is>
          <t>T-2016-Q3-00007</t>
        </is>
      </c>
      <c r="B2896" t="inlineStr">
        <is>
          <t>SLE</t>
        </is>
      </c>
      <c r="C2896" t="inlineStr">
        <is>
          <t>Vice-President, New Brunswick</t>
        </is>
      </c>
      <c r="D2896" t="inlineStr">
        <is>
          <t>Vice-président, Nouveau-Brunswick</t>
        </is>
      </c>
      <c r="E2896" t="inlineStr">
        <is>
          <t>Kent Estabrooks</t>
        </is>
      </c>
      <c r="F2896" t="inlineStr">
        <is>
          <t>Training and development</t>
        </is>
      </c>
      <c r="G2896" t="inlineStr">
        <is>
          <t>Formation et perfectionnement</t>
        </is>
      </c>
      <c r="H2896" s="1" t="n">
        <v>42256</v>
      </c>
      <c r="I2896" s="1" t="n">
        <v>42261</v>
      </c>
      <c r="J2896" t="inlineStr">
        <is>
          <t>Toronto, Ontario</t>
        </is>
      </c>
      <c r="K2896" t="inlineStr">
        <is>
          <t>Toronto (Ontario)</t>
        </is>
      </c>
      <c r="P2896" t="n">
        <v>1113.05</v>
      </c>
      <c r="Q2896" t="n">
        <v>64.8</v>
      </c>
      <c r="R2896" t="n">
        <v>788.8</v>
      </c>
      <c r="S2896" t="n">
        <v>214.2</v>
      </c>
      <c r="T2896" t="n">
        <v>0</v>
      </c>
      <c r="U2896" t="n">
        <v>2180.85</v>
      </c>
      <c r="X2896" t="inlineStr">
        <is>
          <t>acoa-apeca</t>
        </is>
      </c>
      <c r="Y2896" t="inlineStr">
        <is>
          <t>Atlantic Canada Opportunities Agency | Agence de promotion économique du Canada atlantique</t>
        </is>
      </c>
    </row>
    <row r="2897">
      <c r="A2897" t="inlineStr">
        <is>
          <t>T-2016-Q4-00005</t>
        </is>
      </c>
      <c r="B2897" t="inlineStr">
        <is>
          <t>SLE</t>
        </is>
      </c>
      <c r="C2897" t="inlineStr">
        <is>
          <t>Vice-President, New Brunswick</t>
        </is>
      </c>
      <c r="D2897" t="inlineStr">
        <is>
          <t>Vice-président, Nouveau-Brunswick</t>
        </is>
      </c>
      <c r="E2897" t="inlineStr">
        <is>
          <t>Kent Estabrooks</t>
        </is>
      </c>
      <c r="F2897" t="inlineStr">
        <is>
          <t>Various Meetings with Agency Officials</t>
        </is>
      </c>
      <c r="G2897" t="inlineStr">
        <is>
          <t>Diverses réunions avec des fonctionnaires de l'Agence</t>
        </is>
      </c>
      <c r="H2897" s="1" t="n">
        <v>42340</v>
      </c>
      <c r="I2897" s="1" t="n">
        <v>42341</v>
      </c>
      <c r="J2897" t="inlineStr">
        <is>
          <t>Ottawa, Ontario</t>
        </is>
      </c>
      <c r="K2897" t="inlineStr">
        <is>
          <t>Ottawa (Ontario)</t>
        </is>
      </c>
      <c r="P2897" t="n">
        <v>0</v>
      </c>
      <c r="Q2897" t="n">
        <v>0</v>
      </c>
      <c r="R2897" t="n">
        <v>123.17</v>
      </c>
      <c r="S2897" t="n">
        <v>61.7</v>
      </c>
      <c r="T2897" t="n">
        <v>0</v>
      </c>
      <c r="U2897" t="n">
        <v>184.87</v>
      </c>
      <c r="X2897" t="inlineStr">
        <is>
          <t>acoa-apeca</t>
        </is>
      </c>
      <c r="Y2897" t="inlineStr">
        <is>
          <t>Atlantic Canada Opportunities Agency | Agence de promotion économique du Canada atlantique</t>
        </is>
      </c>
    </row>
    <row r="2898">
      <c r="A2898" t="inlineStr">
        <is>
          <t>T-2016-Q4-00004</t>
        </is>
      </c>
      <c r="B2898" t="inlineStr">
        <is>
          <t>SLE</t>
        </is>
      </c>
      <c r="C2898" t="inlineStr">
        <is>
          <t>Vice President, Nova Scotia</t>
        </is>
      </c>
      <c r="D2898" t="inlineStr">
        <is>
          <t>Vice-président, Nouvelle-Écosse</t>
        </is>
      </c>
      <c r="E2898" t="inlineStr">
        <is>
          <t>Peter Hogan</t>
        </is>
      </c>
      <c r="F2898" t="inlineStr">
        <is>
          <t xml:space="preserve">Meeting with Senior Agency Officials </t>
        </is>
      </c>
      <c r="G2898" t="inlineStr">
        <is>
          <t>Réunion avec des hauts fonctionnaires de l'Agence</t>
        </is>
      </c>
      <c r="H2898" s="1" t="n">
        <v>42340</v>
      </c>
      <c r="I2898" s="1" t="n">
        <v>42341</v>
      </c>
      <c r="J2898" t="inlineStr">
        <is>
          <t>Moncton, New Brunswick</t>
        </is>
      </c>
      <c r="K2898" t="inlineStr">
        <is>
          <t>Moncton (Nouveau-Brunswick)</t>
        </is>
      </c>
      <c r="P2898" t="n">
        <v>0</v>
      </c>
      <c r="Q2898" t="n">
        <v>15.26</v>
      </c>
      <c r="R2898" t="n">
        <v>123.17</v>
      </c>
      <c r="S2898" t="n">
        <v>95.55</v>
      </c>
      <c r="T2898" t="n">
        <v>0</v>
      </c>
      <c r="U2898" t="n">
        <v>233.98</v>
      </c>
      <c r="X2898" t="inlineStr">
        <is>
          <t>acoa-apeca</t>
        </is>
      </c>
      <c r="Y2898" t="inlineStr">
        <is>
          <t>Atlantic Canada Opportunities Agency | Agence de promotion économique du Canada atlantique</t>
        </is>
      </c>
    </row>
    <row r="2899">
      <c r="A2899" t="inlineStr">
        <is>
          <t>T-2016-Q4-00002</t>
        </is>
      </c>
      <c r="B2899" t="inlineStr">
        <is>
          <t>SLE</t>
        </is>
      </c>
      <c r="C2899" t="inlineStr">
        <is>
          <t>Vice-President, Prince Edward Island</t>
        </is>
      </c>
      <c r="D2899" t="inlineStr">
        <is>
          <t>Vice-président, Île-du-Prince-Édouard</t>
        </is>
      </c>
      <c r="E2899" t="inlineStr">
        <is>
          <t>Patrick Dorsey</t>
        </is>
      </c>
      <c r="F2899" t="inlineStr">
        <is>
          <t>Meeting with Government of Canada Officials</t>
        </is>
      </c>
      <c r="G2899" t="inlineStr">
        <is>
          <t>Réunion avec des fonctionnaires du gouvernement du Canada</t>
        </is>
      </c>
      <c r="H2899" s="1" t="n">
        <v>42340</v>
      </c>
      <c r="I2899" s="1" t="n">
        <v>42342</v>
      </c>
      <c r="J2899" t="inlineStr">
        <is>
          <t>Ottawa, Ontario</t>
        </is>
      </c>
      <c r="K2899" t="inlineStr">
        <is>
          <t>Ottawa (Ontario)</t>
        </is>
      </c>
      <c r="P2899" t="n">
        <v>658.9</v>
      </c>
      <c r="Q2899" t="n">
        <v>703.01</v>
      </c>
      <c r="R2899" t="n">
        <v>611.8</v>
      </c>
      <c r="S2899" t="n">
        <v>330.8</v>
      </c>
      <c r="T2899" t="n">
        <v>0</v>
      </c>
      <c r="U2899" t="n">
        <v>2304.51</v>
      </c>
      <c r="X2899" t="inlineStr">
        <is>
          <t>acoa-apeca</t>
        </is>
      </c>
      <c r="Y2899" t="inlineStr">
        <is>
          <t>Atlantic Canada Opportunities Agency | Agence de promotion économique du Canada atlantique</t>
        </is>
      </c>
    </row>
    <row r="2900">
      <c r="A2900" t="inlineStr">
        <is>
          <t>T-2016-Q4-00001</t>
        </is>
      </c>
      <c r="B2900" t="inlineStr">
        <is>
          <t>SLE</t>
        </is>
      </c>
      <c r="C2900" t="inlineStr">
        <is>
          <t>Vice-President, Newfoundland and Labrador</t>
        </is>
      </c>
      <c r="D2900" t="inlineStr">
        <is>
          <t>Vice-président, Terre-Neuve-et-Labrador</t>
        </is>
      </c>
      <c r="E2900" t="inlineStr">
        <is>
          <t>Ken Martin</t>
        </is>
      </c>
      <c r="F2900" t="inlineStr">
        <is>
          <t>Attend Executive Committee meeting</t>
        </is>
      </c>
      <c r="G2900" t="inlineStr">
        <is>
          <t>Assister à une réunion du Comité de direction</t>
        </is>
      </c>
      <c r="H2900" s="1" t="n">
        <v>42340</v>
      </c>
      <c r="I2900" s="1" t="n">
        <v>42342</v>
      </c>
      <c r="J2900" t="inlineStr">
        <is>
          <t xml:space="preserve">Moncton, New Brunswick </t>
        </is>
      </c>
      <c r="K2900" t="inlineStr">
        <is>
          <t>Moncton (Nouveau-Brunswick)</t>
        </is>
      </c>
      <c r="P2900" t="n">
        <v>661.11</v>
      </c>
      <c r="Q2900" t="n">
        <v>61.44</v>
      </c>
      <c r="R2900" t="n">
        <v>246.34</v>
      </c>
      <c r="S2900" t="n">
        <v>251.8</v>
      </c>
      <c r="T2900" t="n">
        <v>0</v>
      </c>
      <c r="U2900" t="n">
        <v>1220.69</v>
      </c>
      <c r="X2900" t="inlineStr">
        <is>
          <t>acoa-apeca</t>
        </is>
      </c>
      <c r="Y2900" t="inlineStr">
        <is>
          <t>Atlantic Canada Opportunities Agency | Agence de promotion économique du Canada atlantique</t>
        </is>
      </c>
    </row>
    <row r="2901">
      <c r="A2901" t="inlineStr">
        <is>
          <t>T-2016-Q3-00058</t>
        </is>
      </c>
      <c r="B2901" t="inlineStr">
        <is>
          <t>SLE</t>
        </is>
      </c>
      <c r="C2901" t="inlineStr">
        <is>
          <t>Vice-President, Newfoundland and Labrador</t>
        </is>
      </c>
      <c r="D2901" t="inlineStr">
        <is>
          <t>Vice-président, Terre-Neuve-et-Labrador</t>
        </is>
      </c>
      <c r="E2901" t="inlineStr">
        <is>
          <t>Ken Martin</t>
        </is>
      </c>
      <c r="F2901" t="inlineStr">
        <is>
          <t>Meeting with ACOA and other senior government officials</t>
        </is>
      </c>
      <c r="G2901" t="inlineStr">
        <is>
          <t xml:space="preserve">Réunion avec des hauts fonctionnaires de l'APECA et autres </t>
        </is>
      </c>
      <c r="H2901" s="1" t="n">
        <v>42333</v>
      </c>
      <c r="I2901" s="1" t="n">
        <v>42335</v>
      </c>
      <c r="J2901" t="inlineStr">
        <is>
          <t>Ottawa, Ontario</t>
        </is>
      </c>
      <c r="K2901" t="inlineStr">
        <is>
          <t>Ottawa (Ontario)</t>
        </is>
      </c>
      <c r="P2901" t="n">
        <v>1117.13</v>
      </c>
      <c r="Q2901" t="n">
        <v>93.8</v>
      </c>
      <c r="R2901" t="n">
        <v>365.46</v>
      </c>
      <c r="S2901" t="n">
        <v>163</v>
      </c>
      <c r="T2901" t="n">
        <v>0</v>
      </c>
      <c r="U2901" t="n">
        <v>1739.39</v>
      </c>
      <c r="X2901" t="inlineStr">
        <is>
          <t>acoa-apeca</t>
        </is>
      </c>
      <c r="Y2901" t="inlineStr">
        <is>
          <t>Atlantic Canada Opportunities Agency | Agence de promotion économique du Canada atlantique</t>
        </is>
      </c>
    </row>
    <row r="2902">
      <c r="A2902" t="inlineStr">
        <is>
          <t>T-2016-Q3-00057</t>
        </is>
      </c>
      <c r="B2902" t="inlineStr">
        <is>
          <t>SLE</t>
        </is>
      </c>
      <c r="C2902" t="inlineStr">
        <is>
          <t>Vice-President, Finance and Corporate Services</t>
        </is>
      </c>
      <c r="D2902" t="inlineStr">
        <is>
          <t>Vice-présidente, Finances et Services corporatifs</t>
        </is>
      </c>
      <c r="E2902" t="inlineStr">
        <is>
          <t>Denise Frenette</t>
        </is>
      </c>
      <c r="F2902" t="inlineStr">
        <is>
          <t>For various meetings and discussions with Government of Canada officials</t>
        </is>
      </c>
      <c r="G2902" t="inlineStr">
        <is>
          <t>Diverses réunions et discussions avec des fonctionnaires du gouvernement du Canada</t>
        </is>
      </c>
      <c r="H2902" s="1" t="n">
        <v>42333</v>
      </c>
      <c r="I2902" s="1" t="n">
        <v>42335</v>
      </c>
      <c r="J2902" t="inlineStr">
        <is>
          <t>Ottawa, Ontario</t>
        </is>
      </c>
      <c r="K2902" t="inlineStr">
        <is>
          <t>Ottawa (Ontario)</t>
        </is>
      </c>
      <c r="P2902" t="n">
        <v>702.48</v>
      </c>
      <c r="Q2902" t="n">
        <v>111.59</v>
      </c>
      <c r="R2902" t="n">
        <v>365.46</v>
      </c>
      <c r="S2902" t="n">
        <v>207.4</v>
      </c>
      <c r="T2902" t="n">
        <v>113</v>
      </c>
      <c r="U2902" t="n">
        <v>1499.93</v>
      </c>
      <c r="X2902" t="inlineStr">
        <is>
          <t>acoa-apeca</t>
        </is>
      </c>
      <c r="Y2902" t="inlineStr">
        <is>
          <t>Atlantic Canada Opportunities Agency | Agence de promotion économique du Canada atlantique</t>
        </is>
      </c>
    </row>
    <row r="2903">
      <c r="A2903" t="inlineStr">
        <is>
          <t>T-2016-Q3-00056</t>
        </is>
      </c>
      <c r="B2903" t="inlineStr">
        <is>
          <t>SLE</t>
        </is>
      </c>
      <c r="C2903" t="inlineStr">
        <is>
          <t>Vice-President, Policy and Programs</t>
        </is>
      </c>
      <c r="D2903" t="inlineStr">
        <is>
          <t>Vice-président, Politiques et Programmes</t>
        </is>
      </c>
      <c r="E2903" t="inlineStr">
        <is>
          <t>Daryell Nowlan</t>
        </is>
      </c>
      <c r="F2903" t="inlineStr">
        <is>
          <t>Meetings with Government of Canada officials</t>
        </is>
      </c>
      <c r="G2903" t="inlineStr">
        <is>
          <t>Réunions avec des fonctionnaires du gouvernement du Canada</t>
        </is>
      </c>
      <c r="H2903" s="1" t="n">
        <v>42332</v>
      </c>
      <c r="I2903" s="1" t="n">
        <v>42334</v>
      </c>
      <c r="J2903" t="inlineStr">
        <is>
          <t>Ottawa, Ontario</t>
        </is>
      </c>
      <c r="K2903" t="inlineStr">
        <is>
          <t>Ottawa (Ontario)</t>
        </is>
      </c>
      <c r="P2903" t="n">
        <v>644.1</v>
      </c>
      <c r="Q2903" t="n">
        <v>89.33</v>
      </c>
      <c r="R2903" t="n">
        <v>393.4</v>
      </c>
      <c r="S2903" t="n">
        <v>174.3</v>
      </c>
      <c r="T2903" t="n">
        <v>0</v>
      </c>
      <c r="U2903" t="n">
        <v>1301.13</v>
      </c>
      <c r="X2903" t="inlineStr">
        <is>
          <t>acoa-apeca</t>
        </is>
      </c>
      <c r="Y2903" t="inlineStr">
        <is>
          <t>Atlantic Canada Opportunities Agency | Agence de promotion économique du Canada atlantique</t>
        </is>
      </c>
    </row>
    <row r="2904">
      <c r="A2904" t="inlineStr">
        <is>
          <t>T-2016-Q3-00054</t>
        </is>
      </c>
      <c r="B2904" t="inlineStr">
        <is>
          <t>SLE</t>
        </is>
      </c>
      <c r="C2904" t="inlineStr">
        <is>
          <t>President</t>
        </is>
      </c>
      <c r="D2904" t="inlineStr">
        <is>
          <t>Président</t>
        </is>
      </c>
      <c r="E2904" t="inlineStr">
        <is>
          <t>Paul J. LeBlanc</t>
        </is>
      </c>
      <c r="F2904" t="inlineStr">
        <is>
          <t>For a meeting with officials from the Aerospace and Defense sector</t>
        </is>
      </c>
      <c r="G2904" t="inlineStr">
        <is>
          <t>Réunion avec des représentants du secteur de l'aérospatiale et de la défense</t>
        </is>
      </c>
      <c r="H2904" s="1" t="n">
        <v>42331</v>
      </c>
      <c r="I2904" s="1" t="n">
        <v>42331</v>
      </c>
      <c r="J2904" t="inlineStr">
        <is>
          <t>Halifax, Nova Scotia</t>
        </is>
      </c>
      <c r="K2904" t="inlineStr">
        <is>
          <t>Halifax (Nouvelle-Écosse)</t>
        </is>
      </c>
      <c r="P2904" t="n">
        <v>0</v>
      </c>
      <c r="Q2904" t="n">
        <v>0</v>
      </c>
      <c r="R2904" t="n">
        <v>0</v>
      </c>
      <c r="S2904" t="n">
        <v>61.2</v>
      </c>
      <c r="T2904" t="n">
        <v>51.9</v>
      </c>
      <c r="U2904" t="n">
        <v>113.1</v>
      </c>
      <c r="X2904" t="inlineStr">
        <is>
          <t>acoa-apeca</t>
        </is>
      </c>
      <c r="Y2904" t="inlineStr">
        <is>
          <t>Atlantic Canada Opportunities Agency | Agence de promotion économique du Canada atlantique</t>
        </is>
      </c>
    </row>
    <row r="2905">
      <c r="A2905" t="inlineStr">
        <is>
          <t>T-2016-Q3-00053</t>
        </is>
      </c>
      <c r="B2905" t="inlineStr">
        <is>
          <t>SLE</t>
        </is>
      </c>
      <c r="C2905" t="inlineStr">
        <is>
          <t>Vice-President, Policy and Programs</t>
        </is>
      </c>
      <c r="D2905" t="inlineStr">
        <is>
          <t>Vice-président, Politiques et Programmes</t>
        </is>
      </c>
      <c r="E2905" t="inlineStr">
        <is>
          <t>Daryell Nowlan</t>
        </is>
      </c>
      <c r="F2905" t="inlineStr">
        <is>
          <t>Meetings with Government of Canada officials and site visits</t>
        </is>
      </c>
      <c r="G2905" t="inlineStr">
        <is>
          <t>Réunions avec des fonctionnaires du gouvernement du Canada et visites sur place</t>
        </is>
      </c>
      <c r="H2905" s="1" t="n">
        <v>42330</v>
      </c>
      <c r="I2905" s="1" t="n">
        <v>42331</v>
      </c>
      <c r="J2905" t="inlineStr">
        <is>
          <t>Halifax, Nova Scotia</t>
        </is>
      </c>
      <c r="K2905" t="inlineStr">
        <is>
          <t>Halifax (Nouvelle-Écosse)</t>
        </is>
      </c>
      <c r="P2905" t="n">
        <v>0</v>
      </c>
      <c r="Q2905" t="n">
        <v>228.5</v>
      </c>
      <c r="R2905" t="n">
        <v>171.93</v>
      </c>
      <c r="S2905" t="n">
        <v>95.8</v>
      </c>
      <c r="T2905" t="n">
        <v>0</v>
      </c>
      <c r="U2905" t="n">
        <v>496.23</v>
      </c>
      <c r="X2905" t="inlineStr">
        <is>
          <t>acoa-apeca</t>
        </is>
      </c>
      <c r="Y2905" t="inlineStr">
        <is>
          <t>Atlantic Canada Opportunities Agency | Agence de promotion économique du Canada atlantique</t>
        </is>
      </c>
    </row>
    <row r="2906">
      <c r="A2906" t="inlineStr">
        <is>
          <t>T-2016-Q3-00052</t>
        </is>
      </c>
      <c r="B2906" t="inlineStr">
        <is>
          <t>SLE</t>
        </is>
      </c>
      <c r="C2906" t="inlineStr">
        <is>
          <t>Vice-President, Prince Edward Island</t>
        </is>
      </c>
      <c r="D2906" t="inlineStr">
        <is>
          <t>Vice-président, Île-du-Prince-Édouard</t>
        </is>
      </c>
      <c r="E2906" t="inlineStr">
        <is>
          <t>Patrick Dorsey</t>
        </is>
      </c>
      <c r="F2906" t="inlineStr">
        <is>
          <t>Meeting with Government of Canada officials and Memorial University</t>
        </is>
      </c>
      <c r="G2906" t="inlineStr">
        <is>
          <t>Réunion avec des représentants du gouvernement du Canada et de l'Université Memorial</t>
        </is>
      </c>
      <c r="H2906" s="1" t="n">
        <v>42325</v>
      </c>
      <c r="I2906" s="1" t="n">
        <v>42327</v>
      </c>
      <c r="J2906" t="inlineStr">
        <is>
          <t>St. John's, Newfoundland and Labrador</t>
        </is>
      </c>
      <c r="K2906" t="inlineStr">
        <is>
          <t>St. John's (Terre-Neuve-et-Labrador)</t>
        </is>
      </c>
      <c r="P2906" t="n">
        <v>1004.42</v>
      </c>
      <c r="Q2906" t="n">
        <v>112.83</v>
      </c>
      <c r="R2906" t="n">
        <v>348.66</v>
      </c>
      <c r="S2906" t="n">
        <v>174.3</v>
      </c>
      <c r="T2906" t="n">
        <v>0</v>
      </c>
      <c r="U2906" t="n">
        <v>1640.21</v>
      </c>
      <c r="X2906" t="inlineStr">
        <is>
          <t>acoa-apeca</t>
        </is>
      </c>
      <c r="Y2906" t="inlineStr">
        <is>
          <t>Atlantic Canada Opportunities Agency | Agence de promotion économique du Canada atlantique</t>
        </is>
      </c>
    </row>
    <row r="2907">
      <c r="A2907" t="inlineStr">
        <is>
          <t>T-2016-Q3-00051</t>
        </is>
      </c>
      <c r="B2907" t="inlineStr">
        <is>
          <t>SLE</t>
        </is>
      </c>
      <c r="C2907" t="inlineStr">
        <is>
          <t>Vice-President, Policy and Programs</t>
        </is>
      </c>
      <c r="D2907" t="inlineStr">
        <is>
          <t>Vice-président, Politiques et Programmes</t>
        </is>
      </c>
      <c r="E2907" t="inlineStr">
        <is>
          <t>Daryell Nowlan</t>
        </is>
      </c>
      <c r="F2907" t="inlineStr">
        <is>
          <t>Meeting with Government of Canada officials</t>
        </is>
      </c>
      <c r="G2907" t="inlineStr">
        <is>
          <t>Réunion avec des fonctionnaires du gouvernement du Canada</t>
        </is>
      </c>
      <c r="H2907" s="1" t="n">
        <v>42325</v>
      </c>
      <c r="I2907" s="1" t="n">
        <v>42326</v>
      </c>
      <c r="J2907" t="inlineStr">
        <is>
          <t>Ottawa, Ontario</t>
        </is>
      </c>
      <c r="K2907" t="inlineStr">
        <is>
          <t>Ottawa (Ontario)</t>
        </is>
      </c>
      <c r="P2907" t="n">
        <v>644.1</v>
      </c>
      <c r="Q2907" t="n">
        <v>121</v>
      </c>
      <c r="R2907" t="n">
        <v>231.62</v>
      </c>
      <c r="S2907" t="n">
        <v>156.75</v>
      </c>
      <c r="T2907" t="n">
        <v>0</v>
      </c>
      <c r="U2907" t="n">
        <v>1153.47</v>
      </c>
      <c r="X2907" t="inlineStr">
        <is>
          <t>acoa-apeca</t>
        </is>
      </c>
      <c r="Y2907" t="inlineStr">
        <is>
          <t>Atlantic Canada Opportunities Agency | Agence de promotion économique du Canada atlantique</t>
        </is>
      </c>
    </row>
    <row r="2908">
      <c r="A2908" t="inlineStr">
        <is>
          <t>T-2016-Q3-00050</t>
        </is>
      </c>
      <c r="B2908" t="inlineStr">
        <is>
          <t>SLE</t>
        </is>
      </c>
      <c r="C2908" t="inlineStr">
        <is>
          <t>President</t>
        </is>
      </c>
      <c r="D2908" t="inlineStr">
        <is>
          <t>Président</t>
        </is>
      </c>
      <c r="E2908" t="inlineStr">
        <is>
          <t>Paul J. LeBlanc</t>
        </is>
      </c>
      <c r="F2908" t="inlineStr">
        <is>
          <t>For various meetings and discussions with Agency officials and Government of Canada officials</t>
        </is>
      </c>
      <c r="G2908" t="inlineStr">
        <is>
          <t>Diverses réunions et discussions avec des fonctionnaires de l'Agence et du gouvernement du Canada</t>
        </is>
      </c>
      <c r="H2908" s="1" t="n">
        <v>42325</v>
      </c>
      <c r="I2908" s="1" t="n">
        <v>42326</v>
      </c>
      <c r="J2908" t="inlineStr">
        <is>
          <t>Ottawa, Ontario</t>
        </is>
      </c>
      <c r="K2908" t="inlineStr">
        <is>
          <t>Ottawa (Ontario)</t>
        </is>
      </c>
      <c r="P2908" t="n">
        <v>733.76</v>
      </c>
      <c r="Q2908" t="n">
        <v>0</v>
      </c>
      <c r="R2908" t="n">
        <v>196.7</v>
      </c>
      <c r="S2908" t="n">
        <v>67.95</v>
      </c>
      <c r="T2908" t="n">
        <v>0</v>
      </c>
      <c r="U2908" t="n">
        <v>998.41</v>
      </c>
      <c r="X2908" t="inlineStr">
        <is>
          <t>acoa-apeca</t>
        </is>
      </c>
      <c r="Y2908" t="inlineStr">
        <is>
          <t>Atlantic Canada Opportunities Agency | Agence de promotion économique du Canada atlantique</t>
        </is>
      </c>
    </row>
    <row r="2909">
      <c r="A2909" t="inlineStr">
        <is>
          <t>T-2016-Q3-00049</t>
        </is>
      </c>
      <c r="B2909" t="inlineStr">
        <is>
          <t>SLE</t>
        </is>
      </c>
      <c r="C2909" t="inlineStr">
        <is>
          <t>Vice President, Nova Scotia</t>
        </is>
      </c>
      <c r="D2909" t="inlineStr">
        <is>
          <t>Vice-président, Nouvelle-Écosse</t>
        </is>
      </c>
      <c r="E2909" t="inlineStr">
        <is>
          <t>Peter Hogan</t>
        </is>
      </c>
      <c r="F2909" t="inlineStr">
        <is>
          <t>Various meetings with Government of Canada officials and site visits</t>
        </is>
      </c>
      <c r="G2909" t="inlineStr">
        <is>
          <t>Diverses réunions avec des fonctionnaires du gouvernement du Canada et visites sur place</t>
        </is>
      </c>
      <c r="H2909" s="1" t="n">
        <v>42324</v>
      </c>
      <c r="I2909" s="1" t="n">
        <v>42325</v>
      </c>
      <c r="J2909" t="inlineStr">
        <is>
          <t>Kentville, Nova Scotia</t>
        </is>
      </c>
      <c r="K2909" t="inlineStr">
        <is>
          <t>Kentville (Nouvelle-Écosse)</t>
        </is>
      </c>
      <c r="P2909" t="n">
        <v>0</v>
      </c>
      <c r="Q2909" t="n">
        <v>0</v>
      </c>
      <c r="R2909" t="n">
        <v>132.25</v>
      </c>
      <c r="S2909" t="n">
        <v>112.6</v>
      </c>
      <c r="T2909" t="n">
        <v>0</v>
      </c>
      <c r="U2909" t="n">
        <v>244.85</v>
      </c>
      <c r="X2909" t="inlineStr">
        <is>
          <t>acoa-apeca</t>
        </is>
      </c>
      <c r="Y2909" t="inlineStr">
        <is>
          <t>Atlantic Canada Opportunities Agency | Agence de promotion économique du Canada atlantique</t>
        </is>
      </c>
    </row>
    <row r="2910">
      <c r="A2910" t="inlineStr">
        <is>
          <t>T-2016-Q3-00048</t>
        </is>
      </c>
      <c r="B2910" t="inlineStr">
        <is>
          <t>SLE</t>
        </is>
      </c>
      <c r="C2910" t="inlineStr">
        <is>
          <t>Vice-President, Newfoundland and Labrador</t>
        </is>
      </c>
      <c r="D2910" t="inlineStr">
        <is>
          <t>Vice-président, Terre-Neuve-et-Labrador</t>
        </is>
      </c>
      <c r="E2910" t="inlineStr">
        <is>
          <t>Ken Martin</t>
        </is>
      </c>
      <c r="F2910" t="inlineStr">
        <is>
          <t>Meetings in Halifax with universities</t>
        </is>
      </c>
      <c r="G2910" t="inlineStr">
        <is>
          <t>Réunions à Halifax avec des représentants d'universités</t>
        </is>
      </c>
      <c r="H2910" s="1" t="n">
        <v>42320</v>
      </c>
      <c r="I2910" s="1" t="n">
        <v>42320</v>
      </c>
      <c r="J2910" t="inlineStr">
        <is>
          <t>Halifax, Nova Scotia</t>
        </is>
      </c>
      <c r="K2910" t="inlineStr">
        <is>
          <t>Halifax (Nouvelle-Écosse)</t>
        </is>
      </c>
      <c r="P2910" t="n">
        <v>581.15</v>
      </c>
      <c r="Q2910" t="n">
        <v>42.9</v>
      </c>
      <c r="R2910" t="n">
        <v>0</v>
      </c>
      <c r="S2910" t="n">
        <v>61.2</v>
      </c>
      <c r="T2910" t="n">
        <v>16</v>
      </c>
      <c r="U2910" t="n">
        <v>701.25</v>
      </c>
      <c r="X2910" t="inlineStr">
        <is>
          <t>acoa-apeca</t>
        </is>
      </c>
      <c r="Y2910" t="inlineStr">
        <is>
          <t>Atlantic Canada Opportunities Agency | Agence de promotion économique du Canada atlantique</t>
        </is>
      </c>
    </row>
    <row r="2911">
      <c r="A2911" t="inlineStr">
        <is>
          <t>T-2016-Q3-00047</t>
        </is>
      </c>
      <c r="B2911" t="inlineStr">
        <is>
          <t>SLE</t>
        </is>
      </c>
      <c r="C2911" t="inlineStr">
        <is>
          <t>President</t>
        </is>
      </c>
      <c r="D2911" t="inlineStr">
        <is>
          <t>Président</t>
        </is>
      </c>
      <c r="E2911" t="inlineStr">
        <is>
          <t>Paul J. LeBlanc</t>
        </is>
      </c>
      <c r="F2911" t="inlineStr">
        <is>
          <t>For various meetings and discussions with Agency officials and Government of Canada officials</t>
        </is>
      </c>
      <c r="G2911" t="inlineStr">
        <is>
          <t>Diverses réunions et discussions avec des fonctionnaires de l'Agence et du gouvernement du Canada</t>
        </is>
      </c>
      <c r="H2911" s="1" t="n">
        <v>42320</v>
      </c>
      <c r="I2911" s="1" t="n">
        <v>42321</v>
      </c>
      <c r="J2911" t="inlineStr">
        <is>
          <t>Ottawa, Ontario</t>
        </is>
      </c>
      <c r="K2911" t="inlineStr">
        <is>
          <t>Ottawa (Ontario)</t>
        </is>
      </c>
      <c r="P2911" t="n">
        <v>755.4</v>
      </c>
      <c r="Q2911" t="n">
        <v>43</v>
      </c>
      <c r="R2911" t="n">
        <v>203.68</v>
      </c>
      <c r="S2911" t="n">
        <v>95.8</v>
      </c>
      <c r="T2911" t="n">
        <v>0</v>
      </c>
      <c r="U2911" t="n">
        <v>1097.88</v>
      </c>
      <c r="X2911" t="inlineStr">
        <is>
          <t>acoa-apeca</t>
        </is>
      </c>
      <c r="Y2911" t="inlineStr">
        <is>
          <t>Atlantic Canada Opportunities Agency | Agence de promotion économique du Canada atlantique</t>
        </is>
      </c>
    </row>
    <row r="2912">
      <c r="A2912" t="inlineStr">
        <is>
          <t>T-2016-Q3-00045</t>
        </is>
      </c>
      <c r="B2912" t="inlineStr">
        <is>
          <t>SLE</t>
        </is>
      </c>
      <c r="C2912" t="inlineStr">
        <is>
          <t>Vice President, Nova Scotia</t>
        </is>
      </c>
      <c r="D2912" t="inlineStr">
        <is>
          <t>Vice-président, Nouvelle-Écosse</t>
        </is>
      </c>
      <c r="E2912" t="inlineStr">
        <is>
          <t>Peter Hogan</t>
        </is>
      </c>
      <c r="F2912" t="inlineStr">
        <is>
          <t>Various meetings with Agency officials and site visits</t>
        </is>
      </c>
      <c r="G2912" t="inlineStr">
        <is>
          <t>Diverses réunions avec des fonctionnaires de l'Agence et visites sur place</t>
        </is>
      </c>
      <c r="H2912" s="1" t="n">
        <v>42317</v>
      </c>
      <c r="I2912" s="1" t="n">
        <v>42318</v>
      </c>
      <c r="J2912" t="inlineStr">
        <is>
          <t>Sydney, Nova Scotia</t>
        </is>
      </c>
      <c r="K2912" t="inlineStr">
        <is>
          <t>Sydney (Nouvelle-Écosse)</t>
        </is>
      </c>
      <c r="P2912" t="n">
        <v>0</v>
      </c>
      <c r="Q2912" t="n">
        <v>0</v>
      </c>
      <c r="R2912" t="n">
        <v>123.17</v>
      </c>
      <c r="S2912" t="n">
        <v>129.15</v>
      </c>
      <c r="T2912" t="n">
        <v>0</v>
      </c>
      <c r="U2912" t="n">
        <v>252.32</v>
      </c>
      <c r="X2912" t="inlineStr">
        <is>
          <t>acoa-apeca</t>
        </is>
      </c>
      <c r="Y2912" t="inlineStr">
        <is>
          <t>Atlantic Canada Opportunities Agency | Agence de promotion économique du Canada atlantique</t>
        </is>
      </c>
    </row>
    <row r="2913">
      <c r="A2913" t="inlineStr">
        <is>
          <t>T-2016-Q3-00044</t>
        </is>
      </c>
      <c r="B2913" t="inlineStr">
        <is>
          <t>SLE</t>
        </is>
      </c>
      <c r="C2913" t="inlineStr">
        <is>
          <t>Vice President, Nova Scotia</t>
        </is>
      </c>
      <c r="D2913" t="inlineStr">
        <is>
          <t>Vice-président, Nouvelle-Écosse</t>
        </is>
      </c>
      <c r="E2913" t="inlineStr">
        <is>
          <t>Peter Hogan</t>
        </is>
      </c>
      <c r="F2913" t="inlineStr">
        <is>
          <t>Various meetings with Agency staff and private sector</t>
        </is>
      </c>
      <c r="G2913" t="inlineStr">
        <is>
          <t>Diverses réunions avec des employés de l'Agence et des représentants du secteur privé</t>
        </is>
      </c>
      <c r="H2913" s="1" t="n">
        <v>42311</v>
      </c>
      <c r="I2913" s="1" t="n">
        <v>42311</v>
      </c>
      <c r="J2913" t="inlineStr">
        <is>
          <t>Lunenburg, Nova Scotia</t>
        </is>
      </c>
      <c r="K2913" t="inlineStr">
        <is>
          <t>Lunenburg (Nouvelle-Écosse)</t>
        </is>
      </c>
      <c r="P2913" t="n">
        <v>0</v>
      </c>
      <c r="Q2913" t="n">
        <v>0</v>
      </c>
      <c r="R2913" t="n">
        <v>0</v>
      </c>
      <c r="S2913" t="n">
        <v>16.8</v>
      </c>
      <c r="T2913" t="n">
        <v>0</v>
      </c>
      <c r="U2913" t="n">
        <v>16.8</v>
      </c>
      <c r="X2913" t="inlineStr">
        <is>
          <t>acoa-apeca</t>
        </is>
      </c>
      <c r="Y2913" t="inlineStr">
        <is>
          <t>Atlantic Canada Opportunities Agency | Agence de promotion économique du Canada atlantique</t>
        </is>
      </c>
    </row>
    <row r="2914">
      <c r="A2914" t="inlineStr">
        <is>
          <t>T-2016-Q3-00043</t>
        </is>
      </c>
      <c r="B2914" t="inlineStr">
        <is>
          <t>SLE</t>
        </is>
      </c>
      <c r="C2914" t="inlineStr">
        <is>
          <t>President</t>
        </is>
      </c>
      <c r="D2914" t="inlineStr">
        <is>
          <t>Président</t>
        </is>
      </c>
      <c r="E2914" t="inlineStr">
        <is>
          <t>Paul J. LeBlanc</t>
        </is>
      </c>
      <c r="F2914" t="inlineStr">
        <is>
          <t>For various meetings and discussions with Agency officials and Government of Canada officials</t>
        </is>
      </c>
      <c r="G2914" t="inlineStr">
        <is>
          <t>Diverses réunions et discussions avec des fonctionnaires de l'Agence et du gouvernement du Canada</t>
        </is>
      </c>
      <c r="H2914" s="1" t="n">
        <v>42311</v>
      </c>
      <c r="I2914" s="1" t="n">
        <v>42314</v>
      </c>
      <c r="J2914" t="inlineStr">
        <is>
          <t>Ottawa, Ontario</t>
        </is>
      </c>
      <c r="K2914" t="inlineStr">
        <is>
          <t>Ottawa (Ontario)</t>
        </is>
      </c>
      <c r="P2914" t="n">
        <v>639.58</v>
      </c>
      <c r="Q2914" t="n">
        <v>0</v>
      </c>
      <c r="R2914" t="n">
        <v>590.1</v>
      </c>
      <c r="S2914" t="n">
        <v>224.95</v>
      </c>
      <c r="T2914" t="n">
        <v>169.5</v>
      </c>
      <c r="U2914" t="n">
        <v>1624.13</v>
      </c>
      <c r="X2914" t="inlineStr">
        <is>
          <t>acoa-apeca</t>
        </is>
      </c>
      <c r="Y2914" t="inlineStr">
        <is>
          <t>Atlantic Canada Opportunities Agency | Agence de promotion économique du Canada atlantique</t>
        </is>
      </c>
    </row>
    <row r="2915">
      <c r="A2915" t="inlineStr">
        <is>
          <t>T-2016-Q3-00042</t>
        </is>
      </c>
      <c r="B2915" t="inlineStr">
        <is>
          <t>SLE</t>
        </is>
      </c>
      <c r="C2915" t="inlineStr">
        <is>
          <t>Vice-President, New Brunswick</t>
        </is>
      </c>
      <c r="D2915" t="inlineStr">
        <is>
          <t>Vice-président, Nouveau-Brunswick</t>
        </is>
      </c>
      <c r="E2915" t="inlineStr">
        <is>
          <t>Kent Estabrooks</t>
        </is>
      </c>
      <c r="F2915" t="inlineStr">
        <is>
          <t xml:space="preserve">Various meetings with federal officials </t>
        </is>
      </c>
      <c r="G2915" t="inlineStr">
        <is>
          <t>Diverses réunions avec des fonctionnaires fédéraux</t>
        </is>
      </c>
      <c r="H2915" s="1" t="n">
        <v>42310</v>
      </c>
      <c r="I2915" s="1" t="n">
        <v>42312</v>
      </c>
      <c r="J2915" t="inlineStr">
        <is>
          <t>Ottawa, Ontario</t>
        </is>
      </c>
      <c r="K2915" t="inlineStr">
        <is>
          <t>Ottawa (Ontario)</t>
        </is>
      </c>
      <c r="P2915" t="n">
        <v>937.9</v>
      </c>
      <c r="Q2915" t="n">
        <v>132.5</v>
      </c>
      <c r="R2915" t="n">
        <v>365.64</v>
      </c>
      <c r="S2915" t="n">
        <v>157.5</v>
      </c>
      <c r="T2915" t="n">
        <v>0</v>
      </c>
      <c r="U2915" t="n">
        <v>1593.54</v>
      </c>
      <c r="X2915" t="inlineStr">
        <is>
          <t>acoa-apeca</t>
        </is>
      </c>
      <c r="Y2915" t="inlineStr">
        <is>
          <t>Atlantic Canada Opportunities Agency | Agence de promotion économique du Canada atlantique</t>
        </is>
      </c>
    </row>
    <row r="2916">
      <c r="A2916" t="inlineStr">
        <is>
          <t>T-2016-Q2-00010</t>
        </is>
      </c>
      <c r="B2916" t="inlineStr">
        <is>
          <t>MPSES</t>
        </is>
      </c>
      <c r="C2916" t="inlineStr">
        <is>
          <t>Special Assistant - New Brunswick</t>
        </is>
      </c>
      <c r="D2916" t="inlineStr">
        <is>
          <t>Adjointe spéciale – Nouveau-Brunswick</t>
        </is>
      </c>
      <c r="E2916" t="inlineStr">
        <is>
          <t>Erika Keirstead</t>
        </is>
      </c>
      <c r="F2916" t="inlineStr">
        <is>
          <t>Travel for Government business</t>
        </is>
      </c>
      <c r="G2916" t="inlineStr">
        <is>
          <t>Voyage pour affaires officielles</t>
        </is>
      </c>
      <c r="H2916" s="1" t="n">
        <v>42163</v>
      </c>
      <c r="I2916" s="1" t="n">
        <v>42163</v>
      </c>
      <c r="J2916" t="inlineStr">
        <is>
          <t>Fredericton, New Brunswick</t>
        </is>
      </c>
      <c r="K2916" t="inlineStr">
        <is>
          <t>Fredericton (Nouveau-Brunswick)</t>
        </is>
      </c>
      <c r="P2916" t="n">
        <v>0</v>
      </c>
      <c r="Q2916" t="n">
        <v>14.1</v>
      </c>
      <c r="R2916" t="n">
        <v>0</v>
      </c>
      <c r="S2916" t="n">
        <v>0</v>
      </c>
      <c r="T2916" t="n">
        <v>0</v>
      </c>
      <c r="U2916" t="n">
        <v>14.1</v>
      </c>
      <c r="X2916" t="inlineStr">
        <is>
          <t>acoa-apeca</t>
        </is>
      </c>
      <c r="Y2916" t="inlineStr">
        <is>
          <t>Atlantic Canada Opportunities Agency | Agence de promotion économique du Canada atlantique</t>
        </is>
      </c>
    </row>
    <row r="2917">
      <c r="A2917" t="inlineStr">
        <is>
          <t>T-2016-Q3-00041</t>
        </is>
      </c>
      <c r="B2917" t="inlineStr">
        <is>
          <t>SLE</t>
        </is>
      </c>
      <c r="C2917" t="inlineStr">
        <is>
          <t>Vice-President, Policy and Programs</t>
        </is>
      </c>
      <c r="D2917" t="inlineStr">
        <is>
          <t>Vice-président, Politiques et Programmes</t>
        </is>
      </c>
      <c r="E2917" t="inlineStr">
        <is>
          <t>Daryell Nowlan</t>
        </is>
      </c>
      <c r="F2917" t="inlineStr">
        <is>
          <t>Meetings with Government of Canada officials</t>
        </is>
      </c>
      <c r="G2917" t="inlineStr">
        <is>
          <t>Réunions avec des fonctionnaires du gouvernement du Canada</t>
        </is>
      </c>
      <c r="H2917" s="1" t="n">
        <v>42310</v>
      </c>
      <c r="I2917" s="1" t="n">
        <v>42313</v>
      </c>
      <c r="J2917" t="inlineStr">
        <is>
          <t>Ottawa, Ontario</t>
        </is>
      </c>
      <c r="K2917" t="inlineStr">
        <is>
          <t>Ottawa (Ontario)</t>
        </is>
      </c>
      <c r="P2917" t="n">
        <v>639.58</v>
      </c>
      <c r="Q2917" t="n">
        <v>142.59</v>
      </c>
      <c r="R2917" t="n">
        <v>706.5</v>
      </c>
      <c r="S2917" t="n">
        <v>252.8</v>
      </c>
      <c r="T2917" t="n">
        <v>0</v>
      </c>
      <c r="U2917" t="n">
        <v>1741.47</v>
      </c>
      <c r="X2917" t="inlineStr">
        <is>
          <t>acoa-apeca</t>
        </is>
      </c>
      <c r="Y2917" t="inlineStr">
        <is>
          <t>Atlantic Canada Opportunities Agency | Agence de promotion économique du Canada atlantique</t>
        </is>
      </c>
    </row>
    <row r="2918">
      <c r="A2918" t="inlineStr">
        <is>
          <t>T-2016-Q3-00040</t>
        </is>
      </c>
      <c r="B2918" t="inlineStr">
        <is>
          <t>SLE</t>
        </is>
      </c>
      <c r="C2918" t="inlineStr">
        <is>
          <t>Vice-President, New Brunswick</t>
        </is>
      </c>
      <c r="D2918" t="inlineStr">
        <is>
          <t>Vice-président, Nouveau-Brunswick</t>
        </is>
      </c>
      <c r="E2918" t="inlineStr">
        <is>
          <t>Kent Estabrooks</t>
        </is>
      </c>
      <c r="F2918" t="inlineStr">
        <is>
          <t>Various meetings with Agency officials</t>
        </is>
      </c>
      <c r="G2918" t="inlineStr">
        <is>
          <t>Diverses réunions avec des fonctionnaires de l'Agence</t>
        </is>
      </c>
      <c r="H2918" s="1" t="n">
        <v>42305</v>
      </c>
      <c r="I2918" s="1" t="n">
        <v>42307</v>
      </c>
      <c r="J2918" t="inlineStr">
        <is>
          <t>Moncton, New Brunswick</t>
        </is>
      </c>
      <c r="K2918" t="inlineStr">
        <is>
          <t>Moncton (Nouveau-Brunswick)</t>
        </is>
      </c>
      <c r="P2918" t="n">
        <v>0</v>
      </c>
      <c r="Q2918" t="n">
        <v>0</v>
      </c>
      <c r="R2918" t="n">
        <v>123.17</v>
      </c>
      <c r="S2918" t="n">
        <v>95.8</v>
      </c>
      <c r="T2918" t="n">
        <v>15.26</v>
      </c>
      <c r="U2918" t="n">
        <v>234.23</v>
      </c>
      <c r="X2918" t="inlineStr">
        <is>
          <t>acoa-apeca</t>
        </is>
      </c>
      <c r="Y2918" t="inlineStr">
        <is>
          <t>Atlantic Canada Opportunities Agency | Agence de promotion économique du Canada atlantique</t>
        </is>
      </c>
    </row>
    <row r="2919">
      <c r="A2919" t="inlineStr">
        <is>
          <t>T-2016-Q3-00039</t>
        </is>
      </c>
      <c r="B2919" t="inlineStr">
        <is>
          <t>SLE</t>
        </is>
      </c>
      <c r="C2919" t="inlineStr">
        <is>
          <t>Vice President, Nova Scotia</t>
        </is>
      </c>
      <c r="D2919" t="inlineStr">
        <is>
          <t>Vice-président, Nouvelle-Écosse</t>
        </is>
      </c>
      <c r="E2919" t="inlineStr">
        <is>
          <t>Peter Hogan</t>
        </is>
      </c>
      <c r="F2919" t="inlineStr">
        <is>
          <t>Meeting with Agency officials</t>
        </is>
      </c>
      <c r="G2919" t="inlineStr">
        <is>
          <t>Réunion avec des fonctionnaires de l'Agence</t>
        </is>
      </c>
      <c r="H2919" s="1" t="n">
        <v>42305</v>
      </c>
      <c r="I2919" s="1" t="n">
        <v>42306</v>
      </c>
      <c r="J2919" t="inlineStr">
        <is>
          <t>Moncton, New Brunswick</t>
        </is>
      </c>
      <c r="K2919" t="inlineStr">
        <is>
          <t>Moncton (Nouveau-Brunswick)</t>
        </is>
      </c>
      <c r="P2919" t="n">
        <v>0</v>
      </c>
      <c r="Q2919" t="n">
        <v>233.14</v>
      </c>
      <c r="R2919" t="n">
        <v>123.17</v>
      </c>
      <c r="S2919" t="n">
        <v>95.55</v>
      </c>
      <c r="T2919" t="n">
        <v>19.26</v>
      </c>
      <c r="U2919" t="n">
        <v>471.12</v>
      </c>
      <c r="X2919" t="inlineStr">
        <is>
          <t>acoa-apeca</t>
        </is>
      </c>
      <c r="Y2919" t="inlineStr">
        <is>
          <t>Atlantic Canada Opportunities Agency | Agence de promotion économique du Canada atlantique</t>
        </is>
      </c>
    </row>
    <row r="2920">
      <c r="A2920" t="inlineStr">
        <is>
          <t>T-2016-Q3-00038</t>
        </is>
      </c>
      <c r="B2920" t="inlineStr">
        <is>
          <t>SLE</t>
        </is>
      </c>
      <c r="C2920" t="inlineStr">
        <is>
          <t>Vice-President, Newfoundland and Labrador</t>
        </is>
      </c>
      <c r="D2920" t="inlineStr">
        <is>
          <t>Vice-président, Terre-Neuve-et-Labrador</t>
        </is>
      </c>
      <c r="E2920" t="inlineStr">
        <is>
          <t>Ken Martin</t>
        </is>
      </c>
      <c r="F2920" t="inlineStr">
        <is>
          <t>Executive Committee meetings</t>
        </is>
      </c>
      <c r="G2920" t="inlineStr">
        <is>
          <t>Réunions du Comité de direction</t>
        </is>
      </c>
      <c r="H2920" s="1" t="n">
        <v>42305</v>
      </c>
      <c r="I2920" s="1" t="n">
        <v>42307</v>
      </c>
      <c r="J2920" t="inlineStr">
        <is>
          <t>Moncton, New Brunswick</t>
        </is>
      </c>
      <c r="K2920" t="inlineStr">
        <is>
          <t>Moncton (Nouveau-Brunswick)</t>
        </is>
      </c>
      <c r="P2920" t="n">
        <v>733.88</v>
      </c>
      <c r="Q2920" t="n">
        <v>69.8</v>
      </c>
      <c r="R2920" t="n">
        <v>291.54</v>
      </c>
      <c r="S2920" t="n">
        <v>157.5</v>
      </c>
      <c r="T2920" t="n">
        <v>0</v>
      </c>
      <c r="U2920" t="n">
        <v>1252.72</v>
      </c>
      <c r="X2920" t="inlineStr">
        <is>
          <t>acoa-apeca</t>
        </is>
      </c>
      <c r="Y2920" t="inlineStr">
        <is>
          <t>Atlantic Canada Opportunities Agency | Agence de promotion économique du Canada atlantique</t>
        </is>
      </c>
    </row>
    <row r="2921">
      <c r="A2921" t="inlineStr">
        <is>
          <t>T-2016-Q3-00036</t>
        </is>
      </c>
      <c r="B2921" t="inlineStr">
        <is>
          <t>SLE</t>
        </is>
      </c>
      <c r="C2921" t="inlineStr">
        <is>
          <t>Vice-President, Prince Edward Island</t>
        </is>
      </c>
      <c r="D2921" t="inlineStr">
        <is>
          <t>Vice-président, Île-du-Prince-Édouard</t>
        </is>
      </c>
      <c r="E2921" t="inlineStr">
        <is>
          <t>Patrick Dorsey</t>
        </is>
      </c>
      <c r="F2921" t="inlineStr">
        <is>
          <t>Meetings with Government of Canada officials</t>
        </is>
      </c>
      <c r="G2921" t="inlineStr">
        <is>
          <t>Réunions avec des fonctionnaires du gouvernement du Canada</t>
        </is>
      </c>
      <c r="H2921" s="1" t="n">
        <v>42305</v>
      </c>
      <c r="I2921" s="1" t="n">
        <v>42307</v>
      </c>
      <c r="J2921" t="inlineStr">
        <is>
          <t>Moncton, New Brunswick</t>
        </is>
      </c>
      <c r="K2921" t="inlineStr">
        <is>
          <t>Moncton (Nouveau-Brunswick)</t>
        </is>
      </c>
      <c r="P2921" t="n">
        <v>0</v>
      </c>
      <c r="Q2921" t="n">
        <v>83.52</v>
      </c>
      <c r="R2921" t="n">
        <v>246.34</v>
      </c>
      <c r="S2921" t="n">
        <v>157.25</v>
      </c>
      <c r="T2921" t="n">
        <v>0</v>
      </c>
      <c r="U2921" t="n">
        <v>487.11</v>
      </c>
      <c r="X2921" t="inlineStr">
        <is>
          <t>acoa-apeca</t>
        </is>
      </c>
      <c r="Y2921" t="inlineStr">
        <is>
          <t>Atlantic Canada Opportunities Agency | Agence de promotion économique du Canada atlantique</t>
        </is>
      </c>
    </row>
    <row r="2922">
      <c r="A2922" t="inlineStr">
        <is>
          <t>T-2016-Q3-00034</t>
        </is>
      </c>
      <c r="B2922" t="inlineStr">
        <is>
          <t>SLE</t>
        </is>
      </c>
      <c r="C2922" t="inlineStr">
        <is>
          <t>Vice-President, Policy and Programs</t>
        </is>
      </c>
      <c r="D2922" t="inlineStr">
        <is>
          <t>Vice-président, Politiques et Programmes</t>
        </is>
      </c>
      <c r="E2922" t="inlineStr">
        <is>
          <t>Daryell Nowlan</t>
        </is>
      </c>
      <c r="F2922" t="inlineStr">
        <is>
          <t>Meetings with Government of Canada officials</t>
        </is>
      </c>
      <c r="G2922" t="inlineStr">
        <is>
          <t>Réunions avec des fonctionnaires du gouvernement du Canada</t>
        </is>
      </c>
      <c r="H2922" s="1" t="n">
        <v>42298</v>
      </c>
      <c r="I2922" s="1" t="n">
        <v>42299</v>
      </c>
      <c r="J2922" t="inlineStr">
        <is>
          <t>Ottawa, Ontario</t>
        </is>
      </c>
      <c r="K2922" t="inlineStr">
        <is>
          <t>Ottawa (Ontario)</t>
        </is>
      </c>
      <c r="P2922" t="n">
        <v>639.58</v>
      </c>
      <c r="Q2922" t="n">
        <v>125.33</v>
      </c>
      <c r="R2922" t="n">
        <v>186.22</v>
      </c>
      <c r="S2922" t="n">
        <v>157</v>
      </c>
      <c r="T2922" t="n">
        <v>0</v>
      </c>
      <c r="U2922" t="n">
        <v>1108.13</v>
      </c>
      <c r="X2922" t="inlineStr">
        <is>
          <t>acoa-apeca</t>
        </is>
      </c>
      <c r="Y2922" t="inlineStr">
        <is>
          <t>Atlantic Canada Opportunities Agency | Agence de promotion économique du Canada atlantique</t>
        </is>
      </c>
    </row>
    <row r="2923">
      <c r="A2923" t="inlineStr">
        <is>
          <t>T-2016-Q3-00033</t>
        </is>
      </c>
      <c r="B2923" t="inlineStr">
        <is>
          <t>SLE</t>
        </is>
      </c>
      <c r="C2923" t="inlineStr">
        <is>
          <t>President</t>
        </is>
      </c>
      <c r="D2923" t="inlineStr">
        <is>
          <t>Président</t>
        </is>
      </c>
      <c r="E2923" t="inlineStr">
        <is>
          <t>Paul J. LeBlanc</t>
        </is>
      </c>
      <c r="F2923" t="inlineStr">
        <is>
          <t>For various meetings and discussions with Agency officials and Government of Canada officials</t>
        </is>
      </c>
      <c r="G2923" t="inlineStr">
        <is>
          <t>Diverses réunions et discussions avec des fonctionnaires de l'Agence et du gouvernement du Canada</t>
        </is>
      </c>
      <c r="H2923" s="1" t="n">
        <v>42297</v>
      </c>
      <c r="I2923" s="1" t="n">
        <v>42298</v>
      </c>
      <c r="J2923" t="inlineStr">
        <is>
          <t>Ottawa, Ontario</t>
        </is>
      </c>
      <c r="K2923" t="inlineStr">
        <is>
          <t>Ottawa (Ontario)</t>
        </is>
      </c>
      <c r="P2923" t="n">
        <v>639.58</v>
      </c>
      <c r="Q2923" t="n">
        <v>0</v>
      </c>
      <c r="R2923" t="n">
        <v>196.7</v>
      </c>
      <c r="S2923" t="n">
        <v>95.8</v>
      </c>
      <c r="T2923" t="n">
        <v>132</v>
      </c>
      <c r="U2923" t="n">
        <v>1064.08</v>
      </c>
      <c r="X2923" t="inlineStr">
        <is>
          <t>acoa-apeca</t>
        </is>
      </c>
      <c r="Y2923" t="inlineStr">
        <is>
          <t>Atlantic Canada Opportunities Agency | Agence de promotion économique du Canada atlantique</t>
        </is>
      </c>
    </row>
    <row r="2924">
      <c r="A2924" t="inlineStr">
        <is>
          <t>T-2016-Q3-00032</t>
        </is>
      </c>
      <c r="B2924" t="inlineStr">
        <is>
          <t>SLE</t>
        </is>
      </c>
      <c r="C2924" t="inlineStr">
        <is>
          <t>Vice-President, New Brunswick</t>
        </is>
      </c>
      <c r="D2924" t="inlineStr">
        <is>
          <t>Vice-président, Nouveau-Brunswick</t>
        </is>
      </c>
      <c r="E2924" t="inlineStr">
        <is>
          <t>Kent Estabrooks</t>
        </is>
      </c>
      <c r="F2924" t="inlineStr">
        <is>
          <t>Various consultations with ACOA regional officials</t>
        </is>
      </c>
      <c r="G2924" t="inlineStr">
        <is>
          <t>Diverses consultations avec des fonctionnaires régionaux de l'APECA</t>
        </is>
      </c>
      <c r="H2924" s="1" t="n">
        <v>42295</v>
      </c>
      <c r="I2924" s="1" t="n">
        <v>42300</v>
      </c>
      <c r="J2924" t="inlineStr">
        <is>
          <t>Halifax, Charlottetown and St. John's</t>
        </is>
      </c>
      <c r="K2924" t="inlineStr">
        <is>
          <t>Halifax, Charlottetown et St. John's</t>
        </is>
      </c>
      <c r="P2924" t="n">
        <v>1724.87</v>
      </c>
      <c r="Q2924" t="n">
        <v>218.95</v>
      </c>
      <c r="R2924" t="n">
        <v>902.7</v>
      </c>
      <c r="S2924" t="n">
        <v>376.2</v>
      </c>
      <c r="T2924" t="n">
        <v>0</v>
      </c>
      <c r="U2924" t="n">
        <v>3222.72</v>
      </c>
      <c r="X2924" t="inlineStr">
        <is>
          <t>acoa-apeca</t>
        </is>
      </c>
      <c r="Y2924" t="inlineStr">
        <is>
          <t>Atlantic Canada Opportunities Agency | Agence de promotion économique du Canada atlantique</t>
        </is>
      </c>
    </row>
    <row r="2925">
      <c r="A2925" t="inlineStr">
        <is>
          <t>T-2019-Q3-00070</t>
        </is>
      </c>
      <c r="B2925" t="inlineStr">
        <is>
          <t>SLE</t>
        </is>
      </c>
      <c r="C2925" t="inlineStr">
        <is>
          <t>Vice-President, New Brunswick</t>
        </is>
      </c>
      <c r="D2925" t="inlineStr">
        <is>
          <t>Vice-président, Nouveau-Brunswick</t>
        </is>
      </c>
      <c r="E2925" t="inlineStr">
        <is>
          <t>Kent Estabrooks</t>
        </is>
      </c>
      <c r="F2925" t="inlineStr">
        <is>
          <t>Meeting with client</t>
        </is>
      </c>
      <c r="G2925" t="inlineStr">
        <is>
          <t>Réunion avec un client</t>
        </is>
      </c>
      <c r="H2925" s="1" t="n">
        <v>43419</v>
      </c>
      <c r="I2925" s="1" t="n">
        <v>43419</v>
      </c>
      <c r="J2925" t="inlineStr">
        <is>
          <t>St. Stephen, New Brunswick</t>
        </is>
      </c>
      <c r="K2925" t="inlineStr">
        <is>
          <t>St. Stephen (Nouveau-Brunswick)</t>
        </is>
      </c>
      <c r="P2925" t="n">
        <v>0</v>
      </c>
      <c r="Q2925" t="n">
        <v>0</v>
      </c>
      <c r="R2925" t="n">
        <v>0</v>
      </c>
      <c r="S2925" t="n">
        <v>19.85</v>
      </c>
      <c r="T2925" t="n">
        <v>0</v>
      </c>
      <c r="U2925" t="n">
        <v>19.85</v>
      </c>
      <c r="X2925" t="inlineStr">
        <is>
          <t>acoa-apeca</t>
        </is>
      </c>
      <c r="Y2925" t="inlineStr">
        <is>
          <t>Atlantic Canada Opportunities Agency | Agence de promotion économique du Canada atlantique</t>
        </is>
      </c>
    </row>
    <row r="2926">
      <c r="A2926" t="inlineStr">
        <is>
          <t>T-2016-Q3-00030</t>
        </is>
      </c>
      <c r="B2926" t="inlineStr">
        <is>
          <t>SLE</t>
        </is>
      </c>
      <c r="C2926" t="inlineStr">
        <is>
          <t>Vice President, Nova Scotia</t>
        </is>
      </c>
      <c r="D2926" t="inlineStr">
        <is>
          <t>Vice-président, Nouvelle-Écosse</t>
        </is>
      </c>
      <c r="E2926" t="inlineStr">
        <is>
          <t>Peter Hogan</t>
        </is>
      </c>
      <c r="F2926" t="inlineStr">
        <is>
          <t>Attended Investor Summit and meeting with the private sector</t>
        </is>
      </c>
      <c r="G2926" t="inlineStr">
        <is>
          <t>Assister au Investor Summit (sommet des investisseurs) et à une réunion avec des représentants du secteur privé</t>
        </is>
      </c>
      <c r="H2926" s="1" t="n">
        <v>42291</v>
      </c>
      <c r="I2926" s="1" t="n">
        <v>42293</v>
      </c>
      <c r="J2926" t="inlineStr">
        <is>
          <t>Sydney, Nova Scotia</t>
        </is>
      </c>
      <c r="K2926" t="inlineStr">
        <is>
          <t>Sydney (Nouvelle-Écosse)</t>
        </is>
      </c>
      <c r="P2926" t="n">
        <v>854.8200000000001</v>
      </c>
      <c r="Q2926" t="n">
        <v>39.8</v>
      </c>
      <c r="R2926" t="n">
        <v>297.58</v>
      </c>
      <c r="S2926" t="n">
        <v>113.1</v>
      </c>
      <c r="T2926" t="n">
        <v>40</v>
      </c>
      <c r="U2926" t="n">
        <v>1345.3</v>
      </c>
      <c r="X2926" t="inlineStr">
        <is>
          <t>acoa-apeca</t>
        </is>
      </c>
      <c r="Y2926" t="inlineStr">
        <is>
          <t>Atlantic Canada Opportunities Agency | Agence de promotion économique du Canada atlantique</t>
        </is>
      </c>
    </row>
    <row r="2927">
      <c r="A2927" t="inlineStr">
        <is>
          <t>T-2016-Q3-00029</t>
        </is>
      </c>
      <c r="B2927" t="inlineStr">
        <is>
          <t>SLE</t>
        </is>
      </c>
      <c r="C2927" t="inlineStr">
        <is>
          <t>Vice-President, Prince Edward Island</t>
        </is>
      </c>
      <c r="D2927" t="inlineStr">
        <is>
          <t>Vice-président, Île-du-Prince-Édouard</t>
        </is>
      </c>
      <c r="E2927" t="inlineStr">
        <is>
          <t>Patrick Dorsey</t>
        </is>
      </c>
      <c r="F2927" t="inlineStr">
        <is>
          <t>Business meetings</t>
        </is>
      </c>
      <c r="G2927" t="inlineStr">
        <is>
          <t>Réunions de travail</t>
        </is>
      </c>
      <c r="H2927" s="1" t="n">
        <v>42291</v>
      </c>
      <c r="I2927" s="1" t="n">
        <v>42293</v>
      </c>
      <c r="J2927" t="inlineStr">
        <is>
          <t>Toronto, Ontario</t>
        </is>
      </c>
      <c r="K2927" t="inlineStr">
        <is>
          <t>Toronto (Ontario)</t>
        </is>
      </c>
      <c r="P2927" t="n">
        <v>786.5</v>
      </c>
      <c r="Q2927" t="n">
        <v>96.01000000000001</v>
      </c>
      <c r="R2927" t="n">
        <v>359.6</v>
      </c>
      <c r="S2927" t="n">
        <v>163</v>
      </c>
      <c r="T2927" t="n">
        <v>0</v>
      </c>
      <c r="U2927" t="n">
        <v>1405.11</v>
      </c>
      <c r="X2927" t="inlineStr">
        <is>
          <t>acoa-apeca</t>
        </is>
      </c>
      <c r="Y2927" t="inlineStr">
        <is>
          <t>Atlantic Canada Opportunities Agency | Agence de promotion économique du Canada atlantique</t>
        </is>
      </c>
    </row>
    <row r="2928">
      <c r="A2928" t="inlineStr">
        <is>
          <t>T-2016-Q3-00028</t>
        </is>
      </c>
      <c r="B2928" t="inlineStr">
        <is>
          <t>SLE</t>
        </is>
      </c>
      <c r="C2928" t="inlineStr">
        <is>
          <t>Vice-President, Policy and Programs</t>
        </is>
      </c>
      <c r="D2928" t="inlineStr">
        <is>
          <t>Vice-président, Politiques et Programmes</t>
        </is>
      </c>
      <c r="E2928" t="inlineStr">
        <is>
          <t>Daryell Nowlan</t>
        </is>
      </c>
      <c r="F2928" t="inlineStr">
        <is>
          <t>Meetings with Government of Canada officials</t>
        </is>
      </c>
      <c r="G2928" t="inlineStr">
        <is>
          <t>Réunions avec des fonctionnaires du gouvernement du Canada</t>
        </is>
      </c>
      <c r="H2928" s="1" t="n">
        <v>42290</v>
      </c>
      <c r="I2928" s="1" t="n">
        <v>42292</v>
      </c>
      <c r="J2928" t="inlineStr">
        <is>
          <t>Halifax, Nova Scotia</t>
        </is>
      </c>
      <c r="K2928" t="inlineStr">
        <is>
          <t>Halifax (Nouvelle-Écosse)</t>
        </is>
      </c>
      <c r="P2928" t="n">
        <v>0</v>
      </c>
      <c r="Q2928" t="n">
        <v>246.6</v>
      </c>
      <c r="R2928" t="n">
        <v>349.56</v>
      </c>
      <c r="S2928" t="n">
        <v>174.3</v>
      </c>
      <c r="T2928" t="n">
        <v>0</v>
      </c>
      <c r="U2928" t="n">
        <v>770.46</v>
      </c>
      <c r="X2928" t="inlineStr">
        <is>
          <t>acoa-apeca</t>
        </is>
      </c>
      <c r="Y2928" t="inlineStr">
        <is>
          <t>Atlantic Canada Opportunities Agency | Agence de promotion économique du Canada atlantique</t>
        </is>
      </c>
    </row>
    <row r="2929">
      <c r="A2929" t="inlineStr">
        <is>
          <t>T-2016-Q3-00027</t>
        </is>
      </c>
      <c r="B2929" t="inlineStr">
        <is>
          <t>SLE</t>
        </is>
      </c>
      <c r="C2929" t="inlineStr">
        <is>
          <t>Vice President, Nova Scotia</t>
        </is>
      </c>
      <c r="D2929" t="inlineStr">
        <is>
          <t>Vice-président, Nouvelle-Écosse</t>
        </is>
      </c>
      <c r="E2929" t="inlineStr">
        <is>
          <t>Peter Hogan</t>
        </is>
      </c>
      <c r="F2929" t="inlineStr">
        <is>
          <t>Various meetings with Agency officials and private sector</t>
        </is>
      </c>
      <c r="G2929" t="inlineStr">
        <is>
          <t>Diverses réunions avec des fonctionnaires de l'Agence et des représentants du secteur privé</t>
        </is>
      </c>
      <c r="H2929" s="1" t="n">
        <v>42286</v>
      </c>
      <c r="I2929" s="1" t="n">
        <v>42286</v>
      </c>
      <c r="J2929" t="inlineStr">
        <is>
          <t>Sydney, Nova Scotia</t>
        </is>
      </c>
      <c r="K2929" t="inlineStr">
        <is>
          <t>Sydney (Nouvelle-Écosse)</t>
        </is>
      </c>
      <c r="P2929" t="n">
        <v>672.53</v>
      </c>
      <c r="Q2929" t="n">
        <v>54.8</v>
      </c>
      <c r="R2929" t="n">
        <v>0</v>
      </c>
      <c r="S2929" t="n">
        <v>16.8</v>
      </c>
      <c r="T2929" t="n">
        <v>20</v>
      </c>
      <c r="U2929" t="n">
        <v>764.13</v>
      </c>
      <c r="X2929" t="inlineStr">
        <is>
          <t>acoa-apeca</t>
        </is>
      </c>
      <c r="Y2929" t="inlineStr">
        <is>
          <t>Atlantic Canada Opportunities Agency | Agence de promotion économique du Canada atlantique</t>
        </is>
      </c>
    </row>
    <row r="2930">
      <c r="A2930" t="inlineStr">
        <is>
          <t>T-2016-Q3-00026</t>
        </is>
      </c>
      <c r="B2930" t="inlineStr">
        <is>
          <t>SLE</t>
        </is>
      </c>
      <c r="C2930" t="inlineStr">
        <is>
          <t>Vice-President, Prince Edward Island</t>
        </is>
      </c>
      <c r="D2930" t="inlineStr">
        <is>
          <t>Vice-président, Île-du-Prince-Édouard</t>
        </is>
      </c>
      <c r="E2930" t="inlineStr">
        <is>
          <t>Patrick Dorsey</t>
        </is>
      </c>
      <c r="F2930" t="inlineStr">
        <is>
          <t>Meeting with Atlantic Canada Tourism Partnership (ACTP)</t>
        </is>
      </c>
      <c r="G2930" t="inlineStr">
        <is>
          <t>Réunion avec le Partenariat du tourisme du Canada atlantique (PTCA)</t>
        </is>
      </c>
      <c r="H2930" s="1" t="n">
        <v>42284</v>
      </c>
      <c r="I2930" s="1" t="n">
        <v>42286</v>
      </c>
      <c r="J2930" t="inlineStr">
        <is>
          <t>Halifax, Nova Scotia</t>
        </is>
      </c>
      <c r="K2930" t="inlineStr">
        <is>
          <t>Halifax (Nouvelle-Écosse)</t>
        </is>
      </c>
      <c r="P2930" t="n">
        <v>0</v>
      </c>
      <c r="Q2930" t="n">
        <v>55.5</v>
      </c>
      <c r="R2930" t="n">
        <v>402.34</v>
      </c>
      <c r="S2930" t="n">
        <v>207.4</v>
      </c>
      <c r="T2930" t="n">
        <v>0</v>
      </c>
      <c r="U2930" t="n">
        <v>665.24</v>
      </c>
      <c r="X2930" t="inlineStr">
        <is>
          <t>acoa-apeca</t>
        </is>
      </c>
      <c r="Y2930" t="inlineStr">
        <is>
          <t>Atlantic Canada Opportunities Agency | Agence de promotion économique du Canada atlantique</t>
        </is>
      </c>
    </row>
    <row r="2931">
      <c r="A2931" t="inlineStr">
        <is>
          <t>T-2016-Q3-00025</t>
        </is>
      </c>
      <c r="B2931" t="inlineStr">
        <is>
          <t>SLE</t>
        </is>
      </c>
      <c r="C2931" t="inlineStr">
        <is>
          <t>Vice-President, New Brunswick</t>
        </is>
      </c>
      <c r="D2931" t="inlineStr">
        <is>
          <t>Vice-président, Nouveau-Brunswick</t>
        </is>
      </c>
      <c r="E2931" t="inlineStr">
        <is>
          <t>Kent Estabrooks</t>
        </is>
      </c>
      <c r="F2931" t="inlineStr">
        <is>
          <t>Meeting with federal officials</t>
        </is>
      </c>
      <c r="G2931" t="inlineStr">
        <is>
          <t>Réunion avec des fonctionnaires fédéraux</t>
        </is>
      </c>
      <c r="H2931" s="1" t="n">
        <v>42282</v>
      </c>
      <c r="I2931" s="1" t="n">
        <v>42284</v>
      </c>
      <c r="J2931" t="inlineStr">
        <is>
          <t>Ottawa, Ontario</t>
        </is>
      </c>
      <c r="K2931" t="inlineStr">
        <is>
          <t>Ottawa (Ontario)</t>
        </is>
      </c>
      <c r="P2931" t="n">
        <v>791</v>
      </c>
      <c r="Q2931" t="n">
        <v>98.2</v>
      </c>
      <c r="R2931" t="n">
        <v>300.58</v>
      </c>
      <c r="S2931" t="n">
        <v>112.6</v>
      </c>
      <c r="T2931" t="n">
        <v>0</v>
      </c>
      <c r="U2931" t="n">
        <v>1302.38</v>
      </c>
      <c r="X2931" t="inlineStr">
        <is>
          <t>acoa-apeca</t>
        </is>
      </c>
      <c r="Y2931" t="inlineStr">
        <is>
          <t>Atlantic Canada Opportunities Agency | Agence de promotion économique du Canada atlantique</t>
        </is>
      </c>
    </row>
    <row r="2932">
      <c r="A2932" t="inlineStr">
        <is>
          <t>T-2016-Q3-00024</t>
        </is>
      </c>
      <c r="B2932" t="inlineStr">
        <is>
          <t>SLE</t>
        </is>
      </c>
      <c r="C2932" t="inlineStr">
        <is>
          <t>Vice-President, New Brunswick</t>
        </is>
      </c>
      <c r="D2932" t="inlineStr">
        <is>
          <t>Vice-président, Nouveau-Brunswick</t>
        </is>
      </c>
      <c r="E2932" t="inlineStr">
        <is>
          <t>Kent Estabrooks</t>
        </is>
      </c>
      <c r="F2932" t="inlineStr">
        <is>
          <t>Various meetings with Agency officials</t>
        </is>
      </c>
      <c r="G2932" t="inlineStr">
        <is>
          <t xml:space="preserve">Diverses réunions avec des fonctionnaires de l'Agence </t>
        </is>
      </c>
      <c r="H2932" s="1" t="n">
        <v>42282</v>
      </c>
      <c r="I2932" s="1" t="n">
        <v>42282</v>
      </c>
      <c r="J2932" t="inlineStr">
        <is>
          <t>Moncton, New Brunswick</t>
        </is>
      </c>
      <c r="K2932" t="inlineStr">
        <is>
          <t>Moncton (Nouveau-Brunswick)</t>
        </is>
      </c>
      <c r="P2932" t="n">
        <v>0</v>
      </c>
      <c r="Q2932" t="n">
        <v>27</v>
      </c>
      <c r="R2932" t="n">
        <v>0</v>
      </c>
      <c r="S2932" t="n">
        <v>61.7</v>
      </c>
      <c r="T2932" t="n">
        <v>9</v>
      </c>
      <c r="U2932" t="n">
        <v>97.7</v>
      </c>
      <c r="X2932" t="inlineStr">
        <is>
          <t>acoa-apeca</t>
        </is>
      </c>
      <c r="Y2932" t="inlineStr">
        <is>
          <t>Atlantic Canada Opportunities Agency | Agence de promotion économique du Canada atlantique</t>
        </is>
      </c>
    </row>
    <row r="2933">
      <c r="A2933" t="inlineStr">
        <is>
          <t>T-2016-Q3-00023</t>
        </is>
      </c>
      <c r="B2933" t="inlineStr">
        <is>
          <t>SLE</t>
        </is>
      </c>
      <c r="C2933" t="inlineStr">
        <is>
          <t>Vice-President, Finance and Corporate Services</t>
        </is>
      </c>
      <c r="D2933" t="inlineStr">
        <is>
          <t>Vice-présidente, Finances et Services corporatifs</t>
        </is>
      </c>
      <c r="E2933" t="inlineStr">
        <is>
          <t>Denise Frenette</t>
        </is>
      </c>
      <c r="F2933" t="inlineStr">
        <is>
          <t>For meeting with Government officials</t>
        </is>
      </c>
      <c r="G2933" t="inlineStr">
        <is>
          <t>Réunion avec des fonctionnaires</t>
        </is>
      </c>
      <c r="H2933" s="1" t="n">
        <v>42282</v>
      </c>
      <c r="I2933" s="1" t="n">
        <v>42282</v>
      </c>
      <c r="J2933" t="inlineStr">
        <is>
          <t>Moncton, New Brunswick</t>
        </is>
      </c>
      <c r="K2933" t="inlineStr">
        <is>
          <t>Moncton (Nouveau-Brunswick)</t>
        </is>
      </c>
      <c r="P2933" t="n">
        <v>0</v>
      </c>
      <c r="Q2933" t="n">
        <v>0</v>
      </c>
      <c r="R2933" t="n">
        <v>0</v>
      </c>
      <c r="S2933" t="n">
        <v>16.8</v>
      </c>
      <c r="T2933" t="n">
        <v>0</v>
      </c>
      <c r="U2933" t="n">
        <v>16.8</v>
      </c>
      <c r="X2933" t="inlineStr">
        <is>
          <t>acoa-apeca</t>
        </is>
      </c>
      <c r="Y2933" t="inlineStr">
        <is>
          <t>Atlantic Canada Opportunities Agency | Agence de promotion économique du Canada atlantique</t>
        </is>
      </c>
    </row>
    <row r="2934">
      <c r="A2934" t="inlineStr">
        <is>
          <t>T-2016-Q2-00033</t>
        </is>
      </c>
      <c r="B2934" t="inlineStr">
        <is>
          <t>MPSES</t>
        </is>
      </c>
      <c r="C2934" t="inlineStr">
        <is>
          <t>Executive Assistant</t>
        </is>
      </c>
      <c r="D2934" t="inlineStr">
        <is>
          <t>Adjoint exécutif</t>
        </is>
      </c>
      <c r="E2934" t="inlineStr">
        <is>
          <t>Josh Hardy</t>
        </is>
      </c>
      <c r="F2934" t="inlineStr">
        <is>
          <t>Travel on Government business</t>
        </is>
      </c>
      <c r="G2934" t="inlineStr">
        <is>
          <t>Voyage pour affaires officielles</t>
        </is>
      </c>
      <c r="H2934" s="1" t="n">
        <v>42198</v>
      </c>
      <c r="I2934" s="1" t="n">
        <v>42204</v>
      </c>
      <c r="J2934" t="inlineStr">
        <is>
          <t>Moncton, New Brunswick</t>
        </is>
      </c>
      <c r="K2934" t="inlineStr">
        <is>
          <t>Moncton (Nouveau-Brunswick)</t>
        </is>
      </c>
      <c r="P2934" t="n">
        <v>664.04</v>
      </c>
      <c r="Q2934" t="n">
        <v>673</v>
      </c>
      <c r="R2934" t="n">
        <v>0</v>
      </c>
      <c r="S2934" t="n">
        <v>599</v>
      </c>
      <c r="T2934" t="n">
        <v>0</v>
      </c>
      <c r="U2934" t="n">
        <v>1936.04</v>
      </c>
      <c r="X2934" t="inlineStr">
        <is>
          <t>acoa-apeca</t>
        </is>
      </c>
      <c r="Y2934" t="inlineStr">
        <is>
          <t>Atlantic Canada Opportunities Agency | Agence de promotion économique du Canada atlantique</t>
        </is>
      </c>
    </row>
    <row r="2935">
      <c r="A2935" t="inlineStr">
        <is>
          <t>T-2016-Q3-00022</t>
        </is>
      </c>
      <c r="B2935" t="inlineStr">
        <is>
          <t>SLE</t>
        </is>
      </c>
      <c r="C2935" t="inlineStr">
        <is>
          <t>Vice-President, Policy and Programs</t>
        </is>
      </c>
      <c r="D2935" t="inlineStr">
        <is>
          <t>Vice-président, Politiques et Programmes</t>
        </is>
      </c>
      <c r="E2935" t="inlineStr">
        <is>
          <t>Daryell Nowlan</t>
        </is>
      </c>
      <c r="F2935" t="inlineStr">
        <is>
          <t>Meetings with Government of Canada officials</t>
        </is>
      </c>
      <c r="G2935" t="inlineStr">
        <is>
          <t>Réunions avec des fonctionnaires du gouvernement du Canada</t>
        </is>
      </c>
      <c r="H2935" s="1" t="n">
        <v>42281</v>
      </c>
      <c r="I2935" s="1" t="n">
        <v>42284</v>
      </c>
      <c r="J2935" t="inlineStr">
        <is>
          <t>St. John's, Newfoundland and Labrador</t>
        </is>
      </c>
      <c r="K2935" t="inlineStr">
        <is>
          <t>St. John's (Terre-Neuve-et-Labrador)</t>
        </is>
      </c>
      <c r="P2935" t="n">
        <v>951.38</v>
      </c>
      <c r="Q2935" t="n">
        <v>78.33</v>
      </c>
      <c r="R2935" t="n">
        <v>558.09</v>
      </c>
      <c r="S2935" t="n">
        <v>285.65</v>
      </c>
      <c r="T2935" t="n">
        <v>0</v>
      </c>
      <c r="U2935" t="n">
        <v>1873.45</v>
      </c>
      <c r="X2935" t="inlineStr">
        <is>
          <t>acoa-apeca</t>
        </is>
      </c>
      <c r="Y2935" t="inlineStr">
        <is>
          <t>Atlantic Canada Opportunities Agency | Agence de promotion économique du Canada atlantique</t>
        </is>
      </c>
    </row>
    <row r="2936">
      <c r="A2936" t="inlineStr">
        <is>
          <t>T-2016-Q3-00021</t>
        </is>
      </c>
      <c r="B2936" t="inlineStr">
        <is>
          <t>SLE</t>
        </is>
      </c>
      <c r="C2936" t="inlineStr">
        <is>
          <t>Vice President, Nova Scotia</t>
        </is>
      </c>
      <c r="D2936" t="inlineStr">
        <is>
          <t>Vice-président, Nouvelle-Écosse</t>
        </is>
      </c>
      <c r="E2936" t="inlineStr">
        <is>
          <t>Peter Hogan</t>
        </is>
      </c>
      <c r="F2936" t="inlineStr">
        <is>
          <t>Various meetings with private sector</t>
        </is>
      </c>
      <c r="G2936" t="inlineStr">
        <is>
          <t>Diverses réunions avec des représentants du secteur privé</t>
        </is>
      </c>
      <c r="H2936" s="1" t="n">
        <v>42279</v>
      </c>
      <c r="I2936" s="1" t="n">
        <v>42279</v>
      </c>
      <c r="J2936" t="inlineStr">
        <is>
          <t>Oxford, Nova Scotia</t>
        </is>
      </c>
      <c r="K2936" t="inlineStr">
        <is>
          <t>Oxford (Nouvelle-Écosse)</t>
        </is>
      </c>
      <c r="P2936" t="n">
        <v>0</v>
      </c>
      <c r="Q2936" t="n">
        <v>138.6</v>
      </c>
      <c r="R2936" t="n">
        <v>0</v>
      </c>
      <c r="S2936" t="n">
        <v>16.8</v>
      </c>
      <c r="T2936" t="n">
        <v>0</v>
      </c>
      <c r="U2936" t="n">
        <v>155.4</v>
      </c>
      <c r="X2936" t="inlineStr">
        <is>
          <t>acoa-apeca</t>
        </is>
      </c>
      <c r="Y2936" t="inlineStr">
        <is>
          <t>Atlantic Canada Opportunities Agency | Agence de promotion économique du Canada atlantique</t>
        </is>
      </c>
    </row>
    <row r="2937">
      <c r="A2937" t="inlineStr">
        <is>
          <t>T-2016-Q3-00020</t>
        </is>
      </c>
      <c r="B2937" t="inlineStr">
        <is>
          <t>SLE</t>
        </is>
      </c>
      <c r="C2937" t="inlineStr">
        <is>
          <t>Vice-President, Newfoundland and Labrador</t>
        </is>
      </c>
      <c r="D2937" t="inlineStr">
        <is>
          <t>Vice-président, Terre-Neuve-et-Labrador</t>
        </is>
      </c>
      <c r="E2937" t="inlineStr">
        <is>
          <t>Ken Martin</t>
        </is>
      </c>
      <c r="F2937" t="inlineStr">
        <is>
          <t>For various meetings and discussions with senior provincial government and private sector officials</t>
        </is>
      </c>
      <c r="G2937" t="inlineStr">
        <is>
          <t>Diverses réunions et discussions avec des hauts fonctionnaires du gouvernement provincial et des représentants du secteur privé</t>
        </is>
      </c>
      <c r="H2937" s="1" t="n">
        <v>42278</v>
      </c>
      <c r="I2937" s="1" t="n">
        <v>42369</v>
      </c>
      <c r="J2937" t="inlineStr">
        <is>
          <t>St. John's, Newfoundland and Labrador</t>
        </is>
      </c>
      <c r="K2937" t="inlineStr">
        <is>
          <t>St. John's (Terre-Neuve-et-Labrador)</t>
        </is>
      </c>
      <c r="P2937" t="n">
        <v>0</v>
      </c>
      <c r="Q2937" t="n">
        <v>99.40000000000001</v>
      </c>
      <c r="R2937" t="n">
        <v>0</v>
      </c>
      <c r="S2937" t="n">
        <v>0</v>
      </c>
      <c r="T2937" t="n">
        <v>0</v>
      </c>
      <c r="U2937" t="n">
        <v>99.40000000000001</v>
      </c>
      <c r="X2937" t="inlineStr">
        <is>
          <t>acoa-apeca</t>
        </is>
      </c>
      <c r="Y2937" t="inlineStr">
        <is>
          <t>Atlantic Canada Opportunities Agency | Agence de promotion économique du Canada atlantique</t>
        </is>
      </c>
    </row>
    <row r="2938">
      <c r="A2938" t="inlineStr">
        <is>
          <t>T-2016-Q3-00018</t>
        </is>
      </c>
      <c r="B2938" t="inlineStr">
        <is>
          <t>SLE</t>
        </is>
      </c>
      <c r="C2938" t="inlineStr">
        <is>
          <t>President</t>
        </is>
      </c>
      <c r="D2938" t="inlineStr">
        <is>
          <t>Président</t>
        </is>
      </c>
      <c r="E2938" t="inlineStr">
        <is>
          <t>Paul J. LeBlanc</t>
        </is>
      </c>
      <c r="F2938" t="inlineStr">
        <is>
          <t>For various meetings and discussions with Agency officials and Government of Canada officials</t>
        </is>
      </c>
      <c r="G2938" t="inlineStr">
        <is>
          <t>Diverses réunions et discussions avec des fonctionnaires de l'Agence et du gouvernement du Canada</t>
        </is>
      </c>
      <c r="H2938" s="1" t="n">
        <v>42275</v>
      </c>
      <c r="I2938" s="1" t="n">
        <v>42277</v>
      </c>
      <c r="J2938" t="inlineStr">
        <is>
          <t>St. John's, Newfoundland and Labrador / Ottawa, Ontario</t>
        </is>
      </c>
      <c r="K2938" t="inlineStr">
        <is>
          <t>St. John's (Terre-Neuve-et-Labrador) / Ottawa (Ontario)</t>
        </is>
      </c>
      <c r="P2938" t="n">
        <v>1034.14</v>
      </c>
      <c r="Q2938" t="n">
        <v>0</v>
      </c>
      <c r="R2938" t="n">
        <v>421.34</v>
      </c>
      <c r="S2938" t="n">
        <v>203.3</v>
      </c>
      <c r="T2938" t="n">
        <v>50</v>
      </c>
      <c r="U2938" t="n">
        <v>1708.78</v>
      </c>
      <c r="X2938" t="inlineStr">
        <is>
          <t>acoa-apeca</t>
        </is>
      </c>
      <c r="Y2938" t="inlineStr">
        <is>
          <t>Atlantic Canada Opportunities Agency | Agence de promotion économique du Canada atlantique</t>
        </is>
      </c>
    </row>
    <row r="2939">
      <c r="A2939" t="inlineStr">
        <is>
          <t>T-2016-Q3-00017</t>
        </is>
      </c>
      <c r="B2939" t="inlineStr">
        <is>
          <t>SLE</t>
        </is>
      </c>
      <c r="C2939" t="inlineStr">
        <is>
          <t>Vice President, Nova Scotia</t>
        </is>
      </c>
      <c r="D2939" t="inlineStr">
        <is>
          <t>Vice-président, Nouvelle-Écosse</t>
        </is>
      </c>
      <c r="E2939" t="inlineStr">
        <is>
          <t>Peter Hogan</t>
        </is>
      </c>
      <c r="F2939" t="inlineStr">
        <is>
          <t>Meeting with Agency official</t>
        </is>
      </c>
      <c r="G2939" t="inlineStr">
        <is>
          <t>Réunion avec un fonctionnaire de l'Agence</t>
        </is>
      </c>
      <c r="H2939" s="1" t="n">
        <v>42272</v>
      </c>
      <c r="I2939" s="1" t="n">
        <v>42272</v>
      </c>
      <c r="J2939" t="inlineStr">
        <is>
          <t>Moncton, New Brunswick</t>
        </is>
      </c>
      <c r="K2939" t="inlineStr">
        <is>
          <t>Moncton (Nouveau-Brunswick)</t>
        </is>
      </c>
      <c r="P2939" t="n">
        <v>0</v>
      </c>
      <c r="Q2939" t="n">
        <v>235.2</v>
      </c>
      <c r="R2939" t="n">
        <v>0</v>
      </c>
      <c r="S2939" t="n">
        <v>32.6</v>
      </c>
      <c r="T2939" t="n">
        <v>8</v>
      </c>
      <c r="U2939" t="n">
        <v>275.8</v>
      </c>
      <c r="X2939" t="inlineStr">
        <is>
          <t>acoa-apeca</t>
        </is>
      </c>
      <c r="Y2939" t="inlineStr">
        <is>
          <t>Atlantic Canada Opportunities Agency | Agence de promotion économique du Canada atlantique</t>
        </is>
      </c>
    </row>
    <row r="2940">
      <c r="A2940" t="inlineStr">
        <is>
          <t>T-2016-Q3-00016</t>
        </is>
      </c>
      <c r="B2940" t="inlineStr">
        <is>
          <t>SLE</t>
        </is>
      </c>
      <c r="C2940" t="inlineStr">
        <is>
          <t>Vice President, Nova Scotia</t>
        </is>
      </c>
      <c r="D2940" t="inlineStr">
        <is>
          <t>Vice-président, Nouvelle-Écosse</t>
        </is>
      </c>
      <c r="E2940" t="inlineStr">
        <is>
          <t>Peter Hogan</t>
        </is>
      </c>
      <c r="F2940" t="inlineStr">
        <is>
          <t>Various meetings with Agency officials, staff and private sector</t>
        </is>
      </c>
      <c r="G2940" t="inlineStr">
        <is>
          <t>Diverses réunions avec des fonctionnaires et des employés de l'Agence et des représentants du secteur privé</t>
        </is>
      </c>
      <c r="H2940" s="1" t="n">
        <v>42270</v>
      </c>
      <c r="I2940" s="1" t="n">
        <v>42271</v>
      </c>
      <c r="J2940" t="inlineStr">
        <is>
          <t>Sydney, Nova Scotia</t>
        </is>
      </c>
      <c r="K2940" t="inlineStr">
        <is>
          <t>Sydney (Nouvelle-Écosse)</t>
        </is>
      </c>
      <c r="P2940" t="n">
        <v>492.76</v>
      </c>
      <c r="Q2940" t="n">
        <v>19.6</v>
      </c>
      <c r="R2940" t="n">
        <v>152.49</v>
      </c>
      <c r="S2940" t="n">
        <v>126.6</v>
      </c>
      <c r="T2940" t="n">
        <v>0</v>
      </c>
      <c r="U2940" t="n">
        <v>791.45</v>
      </c>
      <c r="X2940" t="inlineStr">
        <is>
          <t>acoa-apeca</t>
        </is>
      </c>
      <c r="Y2940" t="inlineStr">
        <is>
          <t>Atlantic Canada Opportunities Agency | Agence de promotion économique du Canada atlantique</t>
        </is>
      </c>
    </row>
    <row r="2941">
      <c r="A2941" t="inlineStr">
        <is>
          <t>T-2015-Q1-00049</t>
        </is>
      </c>
      <c r="B2941" t="inlineStr">
        <is>
          <t>MPSES</t>
        </is>
      </c>
      <c r="C2941" t="inlineStr">
        <is>
          <t>Executive Assistant</t>
        </is>
      </c>
      <c r="D2941" t="inlineStr">
        <is>
          <t>Adjoint exécutif</t>
        </is>
      </c>
      <c r="E2941" t="inlineStr">
        <is>
          <t>Josh Hardy</t>
        </is>
      </c>
      <c r="F2941" t="inlineStr">
        <is>
          <t>Travel on government business</t>
        </is>
      </c>
      <c r="G2941" t="inlineStr">
        <is>
          <t>Voyage en service commandé</t>
        </is>
      </c>
      <c r="H2941" s="1" t="n">
        <v>41773</v>
      </c>
      <c r="I2941" s="1" t="n">
        <v>41784</v>
      </c>
      <c r="J2941" t="inlineStr">
        <is>
          <t>Moncton, New Brunswick</t>
        </is>
      </c>
      <c r="K2941" t="inlineStr">
        <is>
          <t>Moncton (Nouveau-Brunswick)</t>
        </is>
      </c>
      <c r="P2941" t="n">
        <v>823.3099999999999</v>
      </c>
      <c r="Q2941" t="n">
        <v>69.38</v>
      </c>
      <c r="R2941" t="n">
        <v>0</v>
      </c>
      <c r="S2941" t="n">
        <v>0</v>
      </c>
      <c r="T2941" t="n">
        <v>0</v>
      </c>
      <c r="U2941" t="n">
        <v>892.6900000000001</v>
      </c>
      <c r="X2941" t="inlineStr">
        <is>
          <t>acoa-apeca</t>
        </is>
      </c>
      <c r="Y2941" t="inlineStr">
        <is>
          <t>Atlantic Canada Opportunities Agency | Agence de promotion économique du Canada atlantique</t>
        </is>
      </c>
    </row>
    <row r="2942">
      <c r="A2942" t="inlineStr">
        <is>
          <t>T-2016-Q3-00015</t>
        </is>
      </c>
      <c r="B2942" t="inlineStr">
        <is>
          <t>SLE</t>
        </is>
      </c>
      <c r="C2942" t="inlineStr">
        <is>
          <t>Vice-President, Policy and Programs</t>
        </is>
      </c>
      <c r="D2942" t="inlineStr">
        <is>
          <t>Vice-président, Politiques et Programmes</t>
        </is>
      </c>
      <c r="E2942" t="inlineStr">
        <is>
          <t>Daryell Nowlan</t>
        </is>
      </c>
      <c r="F2942" t="inlineStr">
        <is>
          <t>Meeting with Government of Canada officials</t>
        </is>
      </c>
      <c r="G2942" t="inlineStr">
        <is>
          <t>Réunion avec des fonctionnaires du gouvernement du Canada</t>
        </is>
      </c>
      <c r="H2942" s="1" t="n">
        <v>42268</v>
      </c>
      <c r="I2942" s="1" t="n">
        <v>42269</v>
      </c>
      <c r="J2942" t="inlineStr">
        <is>
          <t>Charlottetown, Prince Edward Island</t>
        </is>
      </c>
      <c r="K2942" t="inlineStr">
        <is>
          <t>Charlottetown (Île-du-Prince-Édouard)</t>
        </is>
      </c>
      <c r="P2942" t="n">
        <v>0</v>
      </c>
      <c r="Q2942" t="n">
        <v>0</v>
      </c>
      <c r="R2942" t="n">
        <v>233.67</v>
      </c>
      <c r="S2942" t="n">
        <v>42.8</v>
      </c>
      <c r="T2942" t="n">
        <v>34.6</v>
      </c>
      <c r="U2942" t="n">
        <v>311.07</v>
      </c>
      <c r="X2942" t="inlineStr">
        <is>
          <t>acoa-apeca</t>
        </is>
      </c>
      <c r="Y2942" t="inlineStr">
        <is>
          <t>Atlantic Canada Opportunities Agency | Agence de promotion économique du Canada atlantique</t>
        </is>
      </c>
    </row>
    <row r="2943">
      <c r="A2943" t="inlineStr">
        <is>
          <t>T-2016-Q3-00014</t>
        </is>
      </c>
      <c r="B2943" t="inlineStr">
        <is>
          <t>SLE</t>
        </is>
      </c>
      <c r="C2943" t="inlineStr">
        <is>
          <t>President</t>
        </is>
      </c>
      <c r="D2943" t="inlineStr">
        <is>
          <t>Président</t>
        </is>
      </c>
      <c r="E2943" t="inlineStr">
        <is>
          <t>Paul J. LeBlanc</t>
        </is>
      </c>
      <c r="F2943" t="inlineStr">
        <is>
          <t>For various meetings and discussions with Agency officials and Government of Canada officials</t>
        </is>
      </c>
      <c r="G2943" t="inlineStr">
        <is>
          <t>Diverses réunions et discussions avec des fonctionnaires de l'Agence et du gouvernement du Canada</t>
        </is>
      </c>
      <c r="H2943" s="1" t="n">
        <v>42268</v>
      </c>
      <c r="I2943" s="1" t="n">
        <v>42269</v>
      </c>
      <c r="J2943" t="inlineStr">
        <is>
          <t>Charlottetown, Prince Edward Island</t>
        </is>
      </c>
      <c r="K2943" t="inlineStr">
        <is>
          <t>Charlottetown (Île-du-Prince-Édouard)</t>
        </is>
      </c>
      <c r="P2943" t="n">
        <v>0</v>
      </c>
      <c r="Q2943" t="n">
        <v>0</v>
      </c>
      <c r="R2943" t="n">
        <v>233.67</v>
      </c>
      <c r="S2943" t="n">
        <v>77.40000000000001</v>
      </c>
      <c r="T2943" t="n">
        <v>64.88</v>
      </c>
      <c r="U2943" t="n">
        <v>375.95</v>
      </c>
      <c r="X2943" t="inlineStr">
        <is>
          <t>acoa-apeca</t>
        </is>
      </c>
      <c r="Y2943" t="inlineStr">
        <is>
          <t>Atlantic Canada Opportunities Agency | Agence de promotion économique du Canada atlantique</t>
        </is>
      </c>
    </row>
    <row r="2944">
      <c r="A2944" t="inlineStr">
        <is>
          <t>T-2016-Q3-00013</t>
        </is>
      </c>
      <c r="B2944" t="inlineStr">
        <is>
          <t>SLE</t>
        </is>
      </c>
      <c r="C2944" t="inlineStr">
        <is>
          <t>Vice President, Nova Scotia</t>
        </is>
      </c>
      <c r="D2944" t="inlineStr">
        <is>
          <t>Vice-président, Nouvelle-Écosse</t>
        </is>
      </c>
      <c r="E2944" t="inlineStr">
        <is>
          <t>Peter Hogan</t>
        </is>
      </c>
      <c r="F2944" t="inlineStr">
        <is>
          <t>Various meetings with Agency officials and private sector</t>
        </is>
      </c>
      <c r="G2944" t="inlineStr">
        <is>
          <t>Diverses réunions avec des fonctionnaires de l'Agence et des représentants du secteur privé</t>
        </is>
      </c>
      <c r="H2944" s="1" t="n">
        <v>42264</v>
      </c>
      <c r="I2944" s="1" t="n">
        <v>42265</v>
      </c>
      <c r="J2944" t="inlineStr">
        <is>
          <t>Antigonish, Nova Scotia</t>
        </is>
      </c>
      <c r="K2944" t="inlineStr">
        <is>
          <t>Antigonish (Nouvelle-Écosse)</t>
        </is>
      </c>
      <c r="P2944" t="n">
        <v>0</v>
      </c>
      <c r="Q2944" t="n">
        <v>0</v>
      </c>
      <c r="R2944" t="n">
        <v>149.5</v>
      </c>
      <c r="S2944" t="n">
        <v>126.6</v>
      </c>
      <c r="T2944" t="n">
        <v>0</v>
      </c>
      <c r="U2944" t="n">
        <v>276.1</v>
      </c>
      <c r="X2944" t="inlineStr">
        <is>
          <t>acoa-apeca</t>
        </is>
      </c>
      <c r="Y2944" t="inlineStr">
        <is>
          <t>Atlantic Canada Opportunities Agency | Agence de promotion économique du Canada atlantique</t>
        </is>
      </c>
    </row>
    <row r="2945">
      <c r="A2945" t="inlineStr">
        <is>
          <t>T-2016-Q3-00012</t>
        </is>
      </c>
      <c r="B2945" t="inlineStr">
        <is>
          <t>SLE</t>
        </is>
      </c>
      <c r="C2945" t="inlineStr">
        <is>
          <t>Vice-President, Policy and Programs</t>
        </is>
      </c>
      <c r="D2945" t="inlineStr">
        <is>
          <t>Vice-président, Politiques et Programmes</t>
        </is>
      </c>
      <c r="E2945" t="inlineStr">
        <is>
          <t>Daryell Nowlan</t>
        </is>
      </c>
      <c r="F2945" t="inlineStr">
        <is>
          <t>Meeting with Government of Canada officials</t>
        </is>
      </c>
      <c r="G2945" t="inlineStr">
        <is>
          <t>Réunion avec des fonctionnaires du gouvernement du Canada</t>
        </is>
      </c>
      <c r="H2945" s="1" t="n">
        <v>42264</v>
      </c>
      <c r="I2945" s="1" t="n">
        <v>42265</v>
      </c>
      <c r="J2945" t="inlineStr">
        <is>
          <t>Ottawa, Ontario</t>
        </is>
      </c>
      <c r="K2945" t="inlineStr">
        <is>
          <t>Ottawa (Ontario)</t>
        </is>
      </c>
      <c r="P2945" t="n">
        <v>639.58</v>
      </c>
      <c r="Q2945" t="n">
        <v>80</v>
      </c>
      <c r="R2945" t="n">
        <v>182.73</v>
      </c>
      <c r="S2945" t="n">
        <v>134.8</v>
      </c>
      <c r="T2945" t="n">
        <v>34.6</v>
      </c>
      <c r="U2945" t="n">
        <v>1071.71</v>
      </c>
      <c r="X2945" t="inlineStr">
        <is>
          <t>acoa-apeca</t>
        </is>
      </c>
      <c r="Y2945" t="inlineStr">
        <is>
          <t>Atlantic Canada Opportunities Agency | Agence de promotion économique du Canada atlantique</t>
        </is>
      </c>
    </row>
    <row r="2946">
      <c r="A2946" t="inlineStr">
        <is>
          <t>T-2016-Q3-00011</t>
        </is>
      </c>
      <c r="B2946" t="inlineStr">
        <is>
          <t>SLE</t>
        </is>
      </c>
      <c r="C2946" t="inlineStr">
        <is>
          <t>President</t>
        </is>
      </c>
      <c r="D2946" t="inlineStr">
        <is>
          <t>Président</t>
        </is>
      </c>
      <c r="E2946" t="inlineStr">
        <is>
          <t>Paul J. LeBlanc</t>
        </is>
      </c>
      <c r="F2946" t="inlineStr">
        <is>
          <t>For various meetings and discussions with Agency and Government of Canada officials</t>
        </is>
      </c>
      <c r="G2946" t="inlineStr">
        <is>
          <t>Diverses réunions et discussions avec des fonctionnaires de l'Agence et du gouvernement du Canada</t>
        </is>
      </c>
      <c r="H2946" s="1" t="n">
        <v>42262</v>
      </c>
      <c r="I2946" s="1" t="n">
        <v>42264</v>
      </c>
      <c r="J2946" t="inlineStr">
        <is>
          <t>Ottawa, Ontario</t>
        </is>
      </c>
      <c r="K2946" t="inlineStr">
        <is>
          <t>Ottawa (Ontario)</t>
        </is>
      </c>
      <c r="P2946" t="n">
        <v>639.58</v>
      </c>
      <c r="Q2946" t="n">
        <v>0</v>
      </c>
      <c r="R2946" t="n">
        <v>393.4</v>
      </c>
      <c r="S2946" t="n">
        <v>202.7</v>
      </c>
      <c r="T2946" t="n">
        <v>32</v>
      </c>
      <c r="U2946" t="n">
        <v>1267.68</v>
      </c>
      <c r="X2946" t="inlineStr">
        <is>
          <t>acoa-apeca</t>
        </is>
      </c>
      <c r="Y2946" t="inlineStr">
        <is>
          <t>Atlantic Canada Opportunities Agency | Agence de promotion économique du Canada atlantique</t>
        </is>
      </c>
    </row>
    <row r="2947">
      <c r="A2947" t="inlineStr">
        <is>
          <t>T-2016-Q3-00010</t>
        </is>
      </c>
      <c r="B2947" t="inlineStr">
        <is>
          <t>SLE</t>
        </is>
      </c>
      <c r="C2947" t="inlineStr">
        <is>
          <t>Vice-President, Prince Edward Island</t>
        </is>
      </c>
      <c r="D2947" t="inlineStr">
        <is>
          <t>Vice-président, Île-du-Prince-Édouard</t>
        </is>
      </c>
      <c r="E2947" t="inlineStr">
        <is>
          <t>Patrick Dorsey</t>
        </is>
      </c>
      <c r="F2947" t="inlineStr">
        <is>
          <t>Meetings with Government of Canada officials</t>
        </is>
      </c>
      <c r="G2947" t="inlineStr">
        <is>
          <t>Réunions avec des fonctionnaires du gouvernement du Canada</t>
        </is>
      </c>
      <c r="H2947" s="1" t="n">
        <v>42261</v>
      </c>
      <c r="I2947" s="1" t="n">
        <v>42261</v>
      </c>
      <c r="J2947" t="inlineStr">
        <is>
          <t>Moncton, New Brunswick</t>
        </is>
      </c>
      <c r="K2947" t="inlineStr">
        <is>
          <t>Moncton (Nouveau-Brunswick)</t>
        </is>
      </c>
      <c r="P2947" t="n">
        <v>0</v>
      </c>
      <c r="Q2947" t="n">
        <v>45.5</v>
      </c>
      <c r="R2947" t="n">
        <v>0</v>
      </c>
      <c r="S2947" t="n">
        <v>16.6</v>
      </c>
      <c r="T2947" t="n">
        <v>0</v>
      </c>
      <c r="U2947" t="n">
        <v>62.1</v>
      </c>
      <c r="X2947" t="inlineStr">
        <is>
          <t>acoa-apeca</t>
        </is>
      </c>
      <c r="Y2947" t="inlineStr">
        <is>
          <t>Atlantic Canada Opportunities Agency | Agence de promotion économique du Canada atlantique</t>
        </is>
      </c>
    </row>
    <row r="2948">
      <c r="A2948" t="inlineStr">
        <is>
          <t>T-2016-Q3-00009</t>
        </is>
      </c>
      <c r="B2948" t="inlineStr">
        <is>
          <t>SLE</t>
        </is>
      </c>
      <c r="C2948" t="inlineStr">
        <is>
          <t>Vice-President, Finance and Corporate Services</t>
        </is>
      </c>
      <c r="D2948" t="inlineStr">
        <is>
          <t>Vice-présidente, Finances et Services corporatifs</t>
        </is>
      </c>
      <c r="E2948" t="inlineStr">
        <is>
          <t>Denise Frenette</t>
        </is>
      </c>
      <c r="F2948" t="inlineStr">
        <is>
          <t>To attend sessions with various Government officials</t>
        </is>
      </c>
      <c r="G2948" t="inlineStr">
        <is>
          <t>Assister à des séances avec divers fonctionnaires</t>
        </is>
      </c>
      <c r="H2948" s="1" t="n">
        <v>42260</v>
      </c>
      <c r="I2948" s="1" t="n">
        <v>42263</v>
      </c>
      <c r="J2948" t="inlineStr">
        <is>
          <t>Montreal, Quebec</t>
        </is>
      </c>
      <c r="K2948" t="inlineStr">
        <is>
          <t>Montréal (Québec)</t>
        </is>
      </c>
      <c r="P2948" t="n">
        <v>702.48</v>
      </c>
      <c r="Q2948" t="n">
        <v>114.68</v>
      </c>
      <c r="R2948" t="n">
        <v>681.87</v>
      </c>
      <c r="S2948" t="n">
        <v>214.2</v>
      </c>
      <c r="T2948" t="n">
        <v>0</v>
      </c>
      <c r="U2948" t="n">
        <v>1713.23</v>
      </c>
      <c r="X2948" t="inlineStr">
        <is>
          <t>acoa-apeca</t>
        </is>
      </c>
      <c r="Y2948" t="inlineStr">
        <is>
          <t>Atlantic Canada Opportunities Agency | Agence de promotion économique du Canada atlantique</t>
        </is>
      </c>
    </row>
    <row r="2949">
      <c r="A2949" t="inlineStr">
        <is>
          <t>T-2016-Q3-00008</t>
        </is>
      </c>
      <c r="B2949" t="inlineStr">
        <is>
          <t>SLE</t>
        </is>
      </c>
      <c r="C2949" t="inlineStr">
        <is>
          <t>Vice-President, New Brunswick</t>
        </is>
      </c>
      <c r="D2949" t="inlineStr">
        <is>
          <t>Vice-président, Nouveau-Brunswick</t>
        </is>
      </c>
      <c r="E2949" t="inlineStr">
        <is>
          <t>Kent Estabrooks</t>
        </is>
      </c>
      <c r="F2949" t="inlineStr">
        <is>
          <t>Meeting with Agency officials</t>
        </is>
      </c>
      <c r="G2949" t="inlineStr">
        <is>
          <t>Réunion avec des fonctionnaires de l'Agence</t>
        </is>
      </c>
      <c r="H2949" s="1" t="n">
        <v>42256</v>
      </c>
      <c r="I2949" s="1" t="n">
        <v>42257</v>
      </c>
      <c r="J2949" t="inlineStr">
        <is>
          <t>Halifax, Nova Scotia</t>
        </is>
      </c>
      <c r="K2949" t="inlineStr">
        <is>
          <t>Halifax (Nouvelle-Écosse)</t>
        </is>
      </c>
      <c r="P2949" t="n">
        <v>0</v>
      </c>
      <c r="Q2949" t="n">
        <v>130.7</v>
      </c>
      <c r="R2949" t="n">
        <v>174.78</v>
      </c>
      <c r="S2949" t="n">
        <v>120.2</v>
      </c>
      <c r="T2949" t="n">
        <v>0</v>
      </c>
      <c r="U2949" t="n">
        <v>425.68</v>
      </c>
      <c r="X2949" t="inlineStr">
        <is>
          <t>acoa-apeca</t>
        </is>
      </c>
      <c r="Y2949" t="inlineStr">
        <is>
          <t>Atlantic Canada Opportunities Agency | Agence de promotion économique du Canada atlantique</t>
        </is>
      </c>
    </row>
    <row r="2950">
      <c r="A2950" t="inlineStr">
        <is>
          <t>T-2016-Q3-00006</t>
        </is>
      </c>
      <c r="B2950" t="inlineStr">
        <is>
          <t>SLE</t>
        </is>
      </c>
      <c r="C2950" t="inlineStr">
        <is>
          <t>Vice-President, Newfoundland and Labrador</t>
        </is>
      </c>
      <c r="D2950" t="inlineStr">
        <is>
          <t>Vice-président, Terre-Neuve-et-Labrador</t>
        </is>
      </c>
      <c r="E2950" t="inlineStr">
        <is>
          <t>Ken Martin</t>
        </is>
      </c>
      <c r="F2950" t="inlineStr">
        <is>
          <t>Executive Committee meetings</t>
        </is>
      </c>
      <c r="G2950" t="inlineStr">
        <is>
          <t>Réunions du Comité de direction</t>
        </is>
      </c>
      <c r="H2950" s="1" t="n">
        <v>42256</v>
      </c>
      <c r="I2950" s="1" t="n">
        <v>42257</v>
      </c>
      <c r="J2950" t="inlineStr">
        <is>
          <t>Halifax, Nova Scotia</t>
        </is>
      </c>
      <c r="K2950" t="inlineStr">
        <is>
          <t>Halifax (Nouvelle-Écosse)</t>
        </is>
      </c>
      <c r="P2950" t="n">
        <v>458.78</v>
      </c>
      <c r="Q2950" t="n">
        <v>74.15000000000001</v>
      </c>
      <c r="R2950" t="n">
        <v>163.05</v>
      </c>
      <c r="S2950" t="n">
        <v>136.2</v>
      </c>
      <c r="T2950" t="n">
        <v>25.24</v>
      </c>
      <c r="U2950" t="n">
        <v>857.42</v>
      </c>
      <c r="X2950" t="inlineStr">
        <is>
          <t>acoa-apeca</t>
        </is>
      </c>
      <c r="Y2950" t="inlineStr">
        <is>
          <t>Atlantic Canada Opportunities Agency | Agence de promotion économique du Canada atlantique</t>
        </is>
      </c>
    </row>
    <row r="2951">
      <c r="A2951" t="inlineStr">
        <is>
          <t>T-2016-Q3-00004</t>
        </is>
      </c>
      <c r="B2951" t="inlineStr">
        <is>
          <t>SLE</t>
        </is>
      </c>
      <c r="C2951" t="inlineStr">
        <is>
          <t>Vice-President, Prince Edward Island</t>
        </is>
      </c>
      <c r="D2951" t="inlineStr">
        <is>
          <t>Vice-président, Île-du-Prince-Édouard</t>
        </is>
      </c>
      <c r="E2951" t="inlineStr">
        <is>
          <t>Patrick Dorsey</t>
        </is>
      </c>
      <c r="F2951" t="inlineStr">
        <is>
          <t>Executive Committee meeting</t>
        </is>
      </c>
      <c r="G2951" t="inlineStr">
        <is>
          <t>Réunion du Comité de direction</t>
        </is>
      </c>
      <c r="H2951" s="1" t="n">
        <v>42256</v>
      </c>
      <c r="I2951" s="1" t="n">
        <v>42258</v>
      </c>
      <c r="J2951" t="inlineStr">
        <is>
          <t>Halifax, Nova Scotia</t>
        </is>
      </c>
      <c r="K2951" t="inlineStr">
        <is>
          <t>Halifax (Nouvelle-Écosse)</t>
        </is>
      </c>
      <c r="P2951" t="n">
        <v>0</v>
      </c>
      <c r="Q2951" t="n">
        <v>234.62</v>
      </c>
      <c r="R2951" t="n">
        <v>349.56</v>
      </c>
      <c r="S2951" t="n">
        <v>186.7</v>
      </c>
      <c r="T2951" t="n">
        <v>0</v>
      </c>
      <c r="U2951" t="n">
        <v>770.88</v>
      </c>
      <c r="X2951" t="inlineStr">
        <is>
          <t>acoa-apeca</t>
        </is>
      </c>
      <c r="Y2951" t="inlineStr">
        <is>
          <t>Atlantic Canada Opportunities Agency | Agence de promotion économique du Canada atlantique</t>
        </is>
      </c>
    </row>
    <row r="2952">
      <c r="A2952" t="inlineStr">
        <is>
          <t>T-2016-Q3-00003</t>
        </is>
      </c>
      <c r="B2952" t="inlineStr">
        <is>
          <t>SLE</t>
        </is>
      </c>
      <c r="C2952" t="inlineStr">
        <is>
          <t>Vice-President, Finance and Corporate Services</t>
        </is>
      </c>
      <c r="D2952" t="inlineStr">
        <is>
          <t>Vice-présidente, Finances et Services corporatifs</t>
        </is>
      </c>
      <c r="E2952" t="inlineStr">
        <is>
          <t>Denise Frenette</t>
        </is>
      </c>
      <c r="F2952" t="inlineStr">
        <is>
          <t>For meeting with Agency officials</t>
        </is>
      </c>
      <c r="G2952" t="inlineStr">
        <is>
          <t>Réunion avec des fonctionnaires de l'Agence</t>
        </is>
      </c>
      <c r="H2952" s="1" t="n">
        <v>42256</v>
      </c>
      <c r="I2952" s="1" t="n">
        <v>42257</v>
      </c>
      <c r="J2952" t="inlineStr">
        <is>
          <t>Halifax, Nova Scotia</t>
        </is>
      </c>
      <c r="K2952" t="inlineStr">
        <is>
          <t>Halifax (Nouvelle-Écosse)</t>
        </is>
      </c>
      <c r="P2952" t="n">
        <v>0</v>
      </c>
      <c r="Q2952" t="n">
        <v>0</v>
      </c>
      <c r="R2952" t="n">
        <v>186.51</v>
      </c>
      <c r="S2952" t="n">
        <v>93.40000000000001</v>
      </c>
      <c r="T2952" t="n">
        <v>0</v>
      </c>
      <c r="U2952" t="n">
        <v>279.91</v>
      </c>
      <c r="X2952" t="inlineStr">
        <is>
          <t>acoa-apeca</t>
        </is>
      </c>
      <c r="Y2952" t="inlineStr">
        <is>
          <t>Atlantic Canada Opportunities Agency | Agence de promotion économique du Canada atlantique</t>
        </is>
      </c>
    </row>
    <row r="2953">
      <c r="A2953" t="inlineStr">
        <is>
          <t>T-2016-Q3-00002</t>
        </is>
      </c>
      <c r="B2953" t="inlineStr">
        <is>
          <t>SLE</t>
        </is>
      </c>
      <c r="C2953" t="inlineStr">
        <is>
          <t>President</t>
        </is>
      </c>
      <c r="D2953" t="inlineStr">
        <is>
          <t>Président</t>
        </is>
      </c>
      <c r="E2953" t="inlineStr">
        <is>
          <t>Paul J. LeBlanc</t>
        </is>
      </c>
      <c r="F2953" t="inlineStr">
        <is>
          <t>For various meetings and discussions with Agency officials and Government of Canada officials</t>
        </is>
      </c>
      <c r="G2953" t="inlineStr">
        <is>
          <t>Diverses réunions et discussions avec des fonctionnaires de l'Agence et du gouvernement du Canada</t>
        </is>
      </c>
      <c r="H2953" s="1" t="n">
        <v>42256</v>
      </c>
      <c r="I2953" s="1" t="n">
        <v>42257</v>
      </c>
      <c r="J2953" t="inlineStr">
        <is>
          <t>Halifax, Nova Scotia</t>
        </is>
      </c>
      <c r="K2953" t="inlineStr">
        <is>
          <t>Halifax (Nouvelle-Écosse)</t>
        </is>
      </c>
      <c r="P2953" t="n">
        <v>0</v>
      </c>
      <c r="Q2953" t="n">
        <v>0</v>
      </c>
      <c r="R2953" t="n">
        <v>174.78</v>
      </c>
      <c r="S2953" t="n">
        <v>67.2</v>
      </c>
      <c r="T2953" t="n">
        <v>31.24</v>
      </c>
      <c r="U2953" t="n">
        <v>273.22</v>
      </c>
      <c r="X2953" t="inlineStr">
        <is>
          <t>acoa-apeca</t>
        </is>
      </c>
      <c r="Y2953" t="inlineStr">
        <is>
          <t>Atlantic Canada Opportunities Agency | Agence de promotion économique du Canada atlantique</t>
        </is>
      </c>
    </row>
    <row r="2954">
      <c r="A2954" t="inlineStr">
        <is>
          <t>T-2016-Q3-00001</t>
        </is>
      </c>
      <c r="B2954" t="inlineStr">
        <is>
          <t>SLE</t>
        </is>
      </c>
      <c r="C2954" t="inlineStr">
        <is>
          <t>Vice-President, Policy and Programs</t>
        </is>
      </c>
      <c r="D2954" t="inlineStr">
        <is>
          <t>Vice-président, Politiques et Programmes</t>
        </is>
      </c>
      <c r="E2954" t="inlineStr">
        <is>
          <t>Daryell Nowlan</t>
        </is>
      </c>
      <c r="F2954" t="inlineStr">
        <is>
          <t>Meetings with private sector and Government of Canada officials</t>
        </is>
      </c>
      <c r="G2954" t="inlineStr">
        <is>
          <t>Réunions avec des représentants du secteur privé et du gouvernement du Canada</t>
        </is>
      </c>
      <c r="H2954" s="1" t="n">
        <v>42254</v>
      </c>
      <c r="I2954" s="1" t="n">
        <v>42257</v>
      </c>
      <c r="J2954" t="inlineStr">
        <is>
          <t>Halifax, Nova Scotia</t>
        </is>
      </c>
      <c r="K2954" t="inlineStr">
        <is>
          <t>Halifax (Nouvelle-Écosse)</t>
        </is>
      </c>
      <c r="P2954" t="n">
        <v>0</v>
      </c>
      <c r="Q2954" t="n">
        <v>0</v>
      </c>
      <c r="R2954" t="n">
        <v>524.34</v>
      </c>
      <c r="S2954" t="n">
        <v>134.8</v>
      </c>
      <c r="T2954" t="n">
        <v>69.2</v>
      </c>
      <c r="U2954" t="n">
        <v>728.34</v>
      </c>
      <c r="X2954" t="inlineStr">
        <is>
          <t>acoa-apeca</t>
        </is>
      </c>
      <c r="Y2954" t="inlineStr">
        <is>
          <t>Atlantic Canada Opportunities Agency | Agence de promotion économique du Canada atlantique</t>
        </is>
      </c>
    </row>
    <row r="2955">
      <c r="A2955" t="inlineStr">
        <is>
          <t>T-2016-Q2-00051</t>
        </is>
      </c>
      <c r="B2955" t="inlineStr">
        <is>
          <t>SLE</t>
        </is>
      </c>
      <c r="C2955" t="inlineStr">
        <is>
          <t>Vice-President, Policy and Programs</t>
        </is>
      </c>
      <c r="D2955" t="inlineStr">
        <is>
          <t>Vice-président, Politiques et Programmes</t>
        </is>
      </c>
      <c r="E2955" t="inlineStr">
        <is>
          <t>Daryell Nowlan</t>
        </is>
      </c>
      <c r="F2955" t="inlineStr">
        <is>
          <t>Meetings with Government of Canada officials</t>
        </is>
      </c>
      <c r="G2955" t="inlineStr">
        <is>
          <t>Réunions avec des fonctionnaires du gouvernement du Canada</t>
        </is>
      </c>
      <c r="H2955" s="1" t="n">
        <v>42248</v>
      </c>
      <c r="I2955" s="1" t="n">
        <v>42250</v>
      </c>
      <c r="J2955" t="inlineStr">
        <is>
          <t>Ottawa, Ontario</t>
        </is>
      </c>
      <c r="K2955" t="inlineStr">
        <is>
          <t>Ottawa (Ontario)</t>
        </is>
      </c>
      <c r="P2955" t="n">
        <v>639.58</v>
      </c>
      <c r="Q2955" t="n">
        <v>191.6</v>
      </c>
      <c r="R2955" t="n">
        <v>365.46</v>
      </c>
      <c r="S2955" t="n">
        <v>187.3</v>
      </c>
      <c r="T2955" t="n">
        <v>0</v>
      </c>
      <c r="U2955" t="n">
        <v>1383.94</v>
      </c>
      <c r="X2955" t="inlineStr">
        <is>
          <t>acoa-apeca</t>
        </is>
      </c>
      <c r="Y2955" t="inlineStr">
        <is>
          <t>Atlantic Canada Opportunities Agency | Agence de promotion économique du Canada atlantique</t>
        </is>
      </c>
    </row>
    <row r="2956">
      <c r="A2956" t="inlineStr">
        <is>
          <t>T-2014-Q4-00034</t>
        </is>
      </c>
      <c r="B2956" t="inlineStr">
        <is>
          <t>MPSES</t>
        </is>
      </c>
      <c r="C2956" t="inlineStr">
        <is>
          <t>Executive Assistant</t>
        </is>
      </c>
      <c r="D2956" t="inlineStr">
        <is>
          <t>Adjoint exécutif</t>
        </is>
      </c>
      <c r="E2956" t="inlineStr">
        <is>
          <t>Josh Hardy</t>
        </is>
      </c>
      <c r="F2956" t="inlineStr">
        <is>
          <t>Travel on Government business</t>
        </is>
      </c>
      <c r="G2956" t="inlineStr">
        <is>
          <t>Voyage pour le compte du gouvernement</t>
        </is>
      </c>
      <c r="H2956" s="1" t="n">
        <v>41665</v>
      </c>
      <c r="I2956" s="1" t="n">
        <v>41665</v>
      </c>
      <c r="J2956" t="inlineStr">
        <is>
          <t>Ottawa, Ontario</t>
        </is>
      </c>
      <c r="K2956" t="inlineStr">
        <is>
          <t>Ottawa (Ontario)</t>
        </is>
      </c>
      <c r="P2956" t="n">
        <v>401.78</v>
      </c>
      <c r="Q2956" t="n">
        <v>0</v>
      </c>
      <c r="R2956" t="n">
        <v>0</v>
      </c>
      <c r="S2956" t="n">
        <v>0</v>
      </c>
      <c r="T2956" t="n">
        <v>0</v>
      </c>
      <c r="U2956" t="n">
        <v>401.78</v>
      </c>
      <c r="X2956" t="inlineStr">
        <is>
          <t>acoa-apeca</t>
        </is>
      </c>
      <c r="Y2956" t="inlineStr">
        <is>
          <t>Atlantic Canada Opportunities Agency | Agence de promotion économique du Canada atlantique</t>
        </is>
      </c>
    </row>
    <row r="2957">
      <c r="A2957" t="inlineStr">
        <is>
          <t>T-2016-Q2-00050</t>
        </is>
      </c>
      <c r="B2957" t="inlineStr">
        <is>
          <t>SLE</t>
        </is>
      </c>
      <c r="C2957" t="inlineStr">
        <is>
          <t>Vice-President, Finance and Corporate Services</t>
        </is>
      </c>
      <c r="D2957" t="inlineStr">
        <is>
          <t>Vice-présidente, Finances et Services corporatifs</t>
        </is>
      </c>
      <c r="E2957" t="inlineStr">
        <is>
          <t>Denise Frenette</t>
        </is>
      </c>
      <c r="F2957" t="inlineStr">
        <is>
          <t>For meeting with various Government of Canada officials</t>
        </is>
      </c>
      <c r="G2957" t="inlineStr">
        <is>
          <t>Réunion avec divers fonctionnaires du gouvernement du Canada</t>
        </is>
      </c>
      <c r="H2957" s="1" t="n">
        <v>42248</v>
      </c>
      <c r="I2957" s="1" t="n">
        <v>42249</v>
      </c>
      <c r="J2957" t="inlineStr">
        <is>
          <t>Ottawa, Ontario</t>
        </is>
      </c>
      <c r="K2957" t="inlineStr">
        <is>
          <t>Ottawa (Ontario)</t>
        </is>
      </c>
      <c r="P2957" t="n">
        <v>627.86</v>
      </c>
      <c r="Q2957" t="n">
        <v>119.89</v>
      </c>
      <c r="R2957" t="n">
        <v>182.73</v>
      </c>
      <c r="S2957" t="n">
        <v>110</v>
      </c>
      <c r="T2957" t="n">
        <v>0</v>
      </c>
      <c r="U2957" t="n">
        <v>1040.48</v>
      </c>
      <c r="X2957" t="inlineStr">
        <is>
          <t>acoa-apeca</t>
        </is>
      </c>
      <c r="Y2957" t="inlineStr">
        <is>
          <t>Atlantic Canada Opportunities Agency | Agence de promotion économique du Canada atlantique</t>
        </is>
      </c>
    </row>
    <row r="2958">
      <c r="A2958" t="inlineStr">
        <is>
          <t>T-2016-Q2-00049</t>
        </is>
      </c>
      <c r="B2958" t="inlineStr">
        <is>
          <t>SLE</t>
        </is>
      </c>
      <c r="C2958" t="inlineStr">
        <is>
          <t>President</t>
        </is>
      </c>
      <c r="D2958" t="inlineStr">
        <is>
          <t>Président</t>
        </is>
      </c>
      <c r="E2958" t="inlineStr">
        <is>
          <t>Paul J. LeBlanc</t>
        </is>
      </c>
      <c r="F2958" t="inlineStr">
        <is>
          <t>For various meetings and discussions with Agency officials and Government of Canada officials</t>
        </is>
      </c>
      <c r="G2958" t="inlineStr">
        <is>
          <t>Diverses réunions et discussions avec des fonctionnaires de l'Agence et du gouvernement du Canada</t>
        </is>
      </c>
      <c r="H2958" s="1" t="n">
        <v>42240</v>
      </c>
      <c r="I2958" s="1" t="n">
        <v>42241</v>
      </c>
      <c r="J2958" t="inlineStr">
        <is>
          <t>Halifax, Nova Scotia</t>
        </is>
      </c>
      <c r="K2958" t="inlineStr">
        <is>
          <t>Halifax (Nouvelle-Écosse)</t>
        </is>
      </c>
      <c r="P2958" t="n">
        <v>0</v>
      </c>
      <c r="Q2958" t="n">
        <v>0</v>
      </c>
      <c r="R2958" t="n">
        <v>158.36</v>
      </c>
      <c r="S2958" t="n">
        <v>110</v>
      </c>
      <c r="T2958" t="n">
        <v>25.24</v>
      </c>
      <c r="U2958" t="n">
        <v>293.6</v>
      </c>
      <c r="X2958" t="inlineStr">
        <is>
          <t>acoa-apeca</t>
        </is>
      </c>
      <c r="Y2958" t="inlineStr">
        <is>
          <t>Atlantic Canada Opportunities Agency | Agence de promotion économique du Canada atlantique</t>
        </is>
      </c>
    </row>
    <row r="2959">
      <c r="A2959" t="inlineStr">
        <is>
          <t>T-2016-Q2-00009</t>
        </is>
      </c>
      <c r="B2959" t="inlineStr">
        <is>
          <t>MPSES</t>
        </is>
      </c>
      <c r="C2959" t="inlineStr">
        <is>
          <t>Regional Affairs Director - New Brunswick</t>
        </is>
      </c>
      <c r="D2959" t="inlineStr">
        <is>
          <t>Directeur des affaires régionales - Nouveau-Brunswick</t>
        </is>
      </c>
      <c r="E2959" t="inlineStr">
        <is>
          <t>Douglas MacDonald</t>
        </is>
      </c>
      <c r="F2959" t="inlineStr">
        <is>
          <t>Travel for Government business</t>
        </is>
      </c>
      <c r="G2959" t="inlineStr">
        <is>
          <t>Voyage pour affaires officielles</t>
        </is>
      </c>
      <c r="H2959" s="1" t="n">
        <v>42163</v>
      </c>
      <c r="I2959" s="1" t="n">
        <v>42163</v>
      </c>
      <c r="J2959" t="inlineStr">
        <is>
          <t>Sussex and Moncton, New Brunswick</t>
        </is>
      </c>
      <c r="K2959" t="inlineStr">
        <is>
          <t>Sussex et Moncton (Nouveau-Brunswick)</t>
        </is>
      </c>
      <c r="P2959" t="n">
        <v>0</v>
      </c>
      <c r="Q2959" t="n">
        <v>141</v>
      </c>
      <c r="R2959" t="n">
        <v>0</v>
      </c>
      <c r="S2959" t="n">
        <v>0</v>
      </c>
      <c r="T2959" t="n">
        <v>0</v>
      </c>
      <c r="U2959" t="n">
        <v>141</v>
      </c>
      <c r="X2959" t="inlineStr">
        <is>
          <t>acoa-apeca</t>
        </is>
      </c>
      <c r="Y2959" t="inlineStr">
        <is>
          <t>Atlantic Canada Opportunities Agency | Agence de promotion économique du Canada atlantique</t>
        </is>
      </c>
    </row>
    <row r="2960">
      <c r="A2960" t="inlineStr">
        <is>
          <t>T-2016-Q2-00048</t>
        </is>
      </c>
      <c r="B2960" t="inlineStr">
        <is>
          <t>SLE</t>
        </is>
      </c>
      <c r="C2960" t="inlineStr">
        <is>
          <t>Vice-President, Policy and Programs</t>
        </is>
      </c>
      <c r="D2960" t="inlineStr">
        <is>
          <t>Vice-président, Politiques et Programmes</t>
        </is>
      </c>
      <c r="E2960" t="inlineStr">
        <is>
          <t>Daryell Nowlan</t>
        </is>
      </c>
      <c r="F2960" t="inlineStr">
        <is>
          <t>Meeting with Government of Canada officials</t>
        </is>
      </c>
      <c r="G2960" t="inlineStr">
        <is>
          <t>Réunion avec des fonctionnaires du gouvernement du Canada</t>
        </is>
      </c>
      <c r="H2960" s="1" t="n">
        <v>42235</v>
      </c>
      <c r="I2960" s="1" t="n">
        <v>42236</v>
      </c>
      <c r="J2960" t="inlineStr">
        <is>
          <t>Ottawa, Ontario</t>
        </is>
      </c>
      <c r="K2960" t="inlineStr">
        <is>
          <t>Ottawa (Ontario)</t>
        </is>
      </c>
      <c r="P2960" t="n">
        <v>639.58</v>
      </c>
      <c r="Q2960" t="n">
        <v>192.99</v>
      </c>
      <c r="R2960" t="n">
        <v>189.22</v>
      </c>
      <c r="S2960" t="n">
        <v>110.6</v>
      </c>
      <c r="T2960" t="n">
        <v>0</v>
      </c>
      <c r="U2960" t="n">
        <v>1132.39</v>
      </c>
      <c r="X2960" t="inlineStr">
        <is>
          <t>acoa-apeca</t>
        </is>
      </c>
      <c r="Y2960" t="inlineStr">
        <is>
          <t>Atlantic Canada Opportunities Agency | Agence de promotion économique du Canada atlantique</t>
        </is>
      </c>
    </row>
    <row r="2961">
      <c r="A2961" t="inlineStr">
        <is>
          <t>T-2016-Q2-00047</t>
        </is>
      </c>
      <c r="B2961" t="inlineStr">
        <is>
          <t>SLE</t>
        </is>
      </c>
      <c r="C2961" t="inlineStr">
        <is>
          <t>Vice-President, Prince Edward Island</t>
        </is>
      </c>
      <c r="D2961" t="inlineStr">
        <is>
          <t>Vice-président, Île-du-Prince-Édouard</t>
        </is>
      </c>
      <c r="E2961" t="inlineStr">
        <is>
          <t>Patrick Dorsey</t>
        </is>
      </c>
      <c r="F2961" t="inlineStr">
        <is>
          <t>PEI Aerospace Association Conference</t>
        </is>
      </c>
      <c r="G2961" t="inlineStr">
        <is>
          <t>Conférence de la PEI Aerospace Association</t>
        </is>
      </c>
      <c r="H2961" s="1" t="n">
        <v>42228</v>
      </c>
      <c r="I2961" s="1" t="n">
        <v>42229</v>
      </c>
      <c r="J2961" t="inlineStr">
        <is>
          <t>Brudenell, Prince Edward Island</t>
        </is>
      </c>
      <c r="K2961" t="inlineStr">
        <is>
          <t>Brudenell (Île-du-Prince-Édouard)</t>
        </is>
      </c>
      <c r="P2961" t="n">
        <v>0</v>
      </c>
      <c r="Q2961" t="n">
        <v>0</v>
      </c>
      <c r="R2961" t="n">
        <v>319.2</v>
      </c>
      <c r="S2961" t="n">
        <v>100.5</v>
      </c>
      <c r="T2961" t="n">
        <v>0</v>
      </c>
      <c r="U2961" t="n">
        <v>419.7</v>
      </c>
      <c r="X2961" t="inlineStr">
        <is>
          <t>acoa-apeca</t>
        </is>
      </c>
      <c r="Y2961" t="inlineStr">
        <is>
          <t>Atlantic Canada Opportunities Agency | Agence de promotion économique du Canada atlantique</t>
        </is>
      </c>
    </row>
    <row r="2962">
      <c r="A2962" t="inlineStr">
        <is>
          <t>T-2016-Q2-00046</t>
        </is>
      </c>
      <c r="B2962" t="inlineStr">
        <is>
          <t>SLE</t>
        </is>
      </c>
      <c r="C2962" t="inlineStr">
        <is>
          <t>Vice-President, Policy and Programs</t>
        </is>
      </c>
      <c r="D2962" t="inlineStr">
        <is>
          <t>Vice-président, Politiques et Programmes</t>
        </is>
      </c>
      <c r="E2962" t="inlineStr">
        <is>
          <t>Daryell Nowlan</t>
        </is>
      </c>
      <c r="F2962" t="inlineStr">
        <is>
          <t>Meetings with Government of Canada officials</t>
        </is>
      </c>
      <c r="G2962" t="inlineStr">
        <is>
          <t>Réunions avec des fonctionnaires du gouvernement du Canada</t>
        </is>
      </c>
      <c r="H2962" s="1" t="n">
        <v>42225</v>
      </c>
      <c r="I2962" s="1" t="n">
        <v>42227</v>
      </c>
      <c r="J2962" t="inlineStr">
        <is>
          <t>Ottawa, Ontario</t>
        </is>
      </c>
      <c r="K2962" t="inlineStr">
        <is>
          <t>Ottawa (Ontario)</t>
        </is>
      </c>
      <c r="P2962" t="n">
        <v>639.58</v>
      </c>
      <c r="Q2962" t="n">
        <v>115</v>
      </c>
      <c r="R2962" t="n">
        <v>365.46</v>
      </c>
      <c r="S2962" t="n">
        <v>170.7</v>
      </c>
      <c r="T2962" t="n">
        <v>0</v>
      </c>
      <c r="U2962" t="n">
        <v>1290.74</v>
      </c>
      <c r="X2962" t="inlineStr">
        <is>
          <t>acoa-apeca</t>
        </is>
      </c>
      <c r="Y2962" t="inlineStr">
        <is>
          <t>Atlantic Canada Opportunities Agency | Agence de promotion économique du Canada atlantique</t>
        </is>
      </c>
    </row>
    <row r="2963">
      <c r="A2963" t="inlineStr">
        <is>
          <t>T-2016-Q2-00045</t>
        </is>
      </c>
      <c r="B2963" t="inlineStr">
        <is>
          <t>MPSES</t>
        </is>
      </c>
      <c r="C2963" t="inlineStr">
        <is>
          <t>Minister of State</t>
        </is>
      </c>
      <c r="D2963" t="inlineStr">
        <is>
          <t>Ministre d'État</t>
        </is>
      </c>
      <c r="E2963" t="inlineStr">
        <is>
          <t>Rob Moore</t>
        </is>
      </c>
      <c r="F2963" t="inlineStr">
        <is>
          <t>Travel to attend Government of Canada event</t>
        </is>
      </c>
      <c r="G2963" t="inlineStr">
        <is>
          <t>Voyage pour assister à une activité du gouvernement du Canada</t>
        </is>
      </c>
      <c r="H2963" s="1" t="n">
        <v>42214</v>
      </c>
      <c r="I2963" s="1" t="n">
        <v>42214</v>
      </c>
      <c r="J2963" t="inlineStr">
        <is>
          <t>Fredericton, New Brunswick</t>
        </is>
      </c>
      <c r="K2963" t="inlineStr">
        <is>
          <t>Fredericton (Nouveau-Brunswick)</t>
        </is>
      </c>
      <c r="P2963" t="n">
        <v>0</v>
      </c>
      <c r="Q2963" t="n">
        <v>132</v>
      </c>
      <c r="R2963" t="n">
        <v>0</v>
      </c>
      <c r="S2963" t="n">
        <v>0</v>
      </c>
      <c r="T2963" t="n">
        <v>0</v>
      </c>
      <c r="U2963" t="n">
        <v>132</v>
      </c>
      <c r="X2963" t="inlineStr">
        <is>
          <t>acoa-apeca</t>
        </is>
      </c>
      <c r="Y2963" t="inlineStr">
        <is>
          <t>Atlantic Canada Opportunities Agency | Agence de promotion économique du Canada atlantique</t>
        </is>
      </c>
    </row>
    <row r="2964">
      <c r="A2964" t="inlineStr">
        <is>
          <t>T-2016-Q2-00044</t>
        </is>
      </c>
      <c r="B2964" t="inlineStr">
        <is>
          <t>MPSES</t>
        </is>
      </c>
      <c r="C2964" t="inlineStr">
        <is>
          <t>Minister of State</t>
        </is>
      </c>
      <c r="D2964" t="inlineStr">
        <is>
          <t>Ministre d'État</t>
        </is>
      </c>
      <c r="E2964" t="inlineStr">
        <is>
          <t>Rob Moore</t>
        </is>
      </c>
      <c r="F2964" t="inlineStr">
        <is>
          <t>Travel to attend Government of Canada event</t>
        </is>
      </c>
      <c r="G2964" t="inlineStr">
        <is>
          <t>Voyage pour assister à une activité du gouvernement du Canada</t>
        </is>
      </c>
      <c r="H2964" s="1" t="n">
        <v>42212</v>
      </c>
      <c r="I2964" s="1" t="n">
        <v>42212</v>
      </c>
      <c r="J2964" t="inlineStr">
        <is>
          <t>Woodstock, New Brunswick</t>
        </is>
      </c>
      <c r="K2964" t="inlineStr">
        <is>
          <t>Woodstock (Nouveau-Brunswick)</t>
        </is>
      </c>
      <c r="P2964" t="n">
        <v>0</v>
      </c>
      <c r="Q2964" t="n">
        <v>222.72</v>
      </c>
      <c r="R2964" t="n">
        <v>0</v>
      </c>
      <c r="S2964" t="n">
        <v>16.6</v>
      </c>
      <c r="T2964" t="n">
        <v>0</v>
      </c>
      <c r="U2964" t="n">
        <v>239.32</v>
      </c>
      <c r="X2964" t="inlineStr">
        <is>
          <t>acoa-apeca</t>
        </is>
      </c>
      <c r="Y2964" t="inlineStr">
        <is>
          <t>Atlantic Canada Opportunities Agency | Agence de promotion économique du Canada atlantique</t>
        </is>
      </c>
    </row>
    <row r="2965">
      <c r="A2965" t="inlineStr">
        <is>
          <t>T-2016-Q2-00043</t>
        </is>
      </c>
      <c r="B2965" t="inlineStr">
        <is>
          <t>SLE</t>
        </is>
      </c>
      <c r="C2965" t="inlineStr">
        <is>
          <t>Vice President, Nova Scotia</t>
        </is>
      </c>
      <c r="D2965" t="inlineStr">
        <is>
          <t>Vice-président, Nouvelle-Écosse</t>
        </is>
      </c>
      <c r="E2965" t="inlineStr">
        <is>
          <t>Peter Hogan</t>
        </is>
      </c>
      <c r="F2965" t="inlineStr">
        <is>
          <t>Various meetings with ACOA officials and community outreach</t>
        </is>
      </c>
      <c r="G2965" t="inlineStr">
        <is>
          <t>Diverses réunions avec des fonctionnaires de l'APECA et sensibilisation communautaire</t>
        </is>
      </c>
      <c r="H2965" s="1" t="n">
        <v>42212</v>
      </c>
      <c r="I2965" s="1" t="n">
        <v>42213</v>
      </c>
      <c r="J2965" t="inlineStr">
        <is>
          <t>Shelburne and Yarmouth Counties, Nova Scotia</t>
        </is>
      </c>
      <c r="K2965" t="inlineStr">
        <is>
          <t>Comtés de Shelburne et de Yarmouth (Nouvelle-Écosse)</t>
        </is>
      </c>
      <c r="P2965" t="n">
        <v>0</v>
      </c>
      <c r="Q2965" t="n">
        <v>0</v>
      </c>
      <c r="R2965" t="n">
        <v>149.5</v>
      </c>
      <c r="S2965" t="n">
        <v>153.4</v>
      </c>
      <c r="T2965" t="n">
        <v>0</v>
      </c>
      <c r="U2965" t="n">
        <v>302.9</v>
      </c>
      <c r="X2965" t="inlineStr">
        <is>
          <t>acoa-apeca</t>
        </is>
      </c>
      <c r="Y2965" t="inlineStr">
        <is>
          <t>Atlantic Canada Opportunities Agency | Agence de promotion économique du Canada atlantique</t>
        </is>
      </c>
    </row>
    <row r="2966">
      <c r="A2966" t="inlineStr">
        <is>
          <t>T-2016-Q2-00042</t>
        </is>
      </c>
      <c r="B2966" t="inlineStr">
        <is>
          <t>MPSES</t>
        </is>
      </c>
      <c r="C2966" t="inlineStr">
        <is>
          <t>Executive Assistant</t>
        </is>
      </c>
      <c r="D2966" t="inlineStr">
        <is>
          <t>Adjoint exécutif</t>
        </is>
      </c>
      <c r="E2966" t="inlineStr">
        <is>
          <t>Josh Hardy</t>
        </is>
      </c>
      <c r="F2966" t="inlineStr">
        <is>
          <t>Travel on Government business</t>
        </is>
      </c>
      <c r="G2966" t="inlineStr">
        <is>
          <t>Voyage pour affaires officielles</t>
        </is>
      </c>
      <c r="H2966" s="1" t="n">
        <v>42211</v>
      </c>
      <c r="I2966" s="1" t="n">
        <v>42215</v>
      </c>
      <c r="J2966" t="inlineStr">
        <is>
          <t>Moncton, New Brunswick</t>
        </is>
      </c>
      <c r="K2966" t="inlineStr">
        <is>
          <t>Moncton (Nouveau-Brunswick)</t>
        </is>
      </c>
      <c r="P2966" t="n">
        <v>528.4400000000001</v>
      </c>
      <c r="Q2966" t="n">
        <v>371.49</v>
      </c>
      <c r="R2966" t="n">
        <v>0</v>
      </c>
      <c r="S2966" t="n">
        <v>312</v>
      </c>
      <c r="T2966" t="n">
        <v>0</v>
      </c>
      <c r="U2966" t="n">
        <v>1211.93</v>
      </c>
      <c r="X2966" t="inlineStr">
        <is>
          <t>acoa-apeca</t>
        </is>
      </c>
      <c r="Y2966" t="inlineStr">
        <is>
          <t>Atlantic Canada Opportunities Agency | Agence de promotion économique du Canada atlantique</t>
        </is>
      </c>
    </row>
    <row r="2967">
      <c r="A2967" t="inlineStr">
        <is>
          <t>T-2016-Q2-00041</t>
        </is>
      </c>
      <c r="B2967" t="inlineStr">
        <is>
          <t>SLE</t>
        </is>
      </c>
      <c r="C2967" t="inlineStr">
        <is>
          <t>Vice-President, Newfoundland and Labrador</t>
        </is>
      </c>
      <c r="D2967" t="inlineStr">
        <is>
          <t>Vice-président, Terre-Neuve-et-Labrador</t>
        </is>
      </c>
      <c r="E2967" t="inlineStr">
        <is>
          <t>Ken Martin</t>
        </is>
      </c>
      <c r="F2967" t="inlineStr">
        <is>
          <t>Mileage for 2nd quarter of 2015</t>
        </is>
      </c>
      <c r="G2967" t="inlineStr">
        <is>
          <t>Kilométrage pour le deuxième trimestre de 2015</t>
        </is>
      </c>
      <c r="H2967" s="1" t="n">
        <v>42205</v>
      </c>
      <c r="I2967" s="1" t="n">
        <v>42277</v>
      </c>
      <c r="J2967" t="inlineStr">
        <is>
          <t>St. John's, Newfoundland and Labrador</t>
        </is>
      </c>
      <c r="K2967" t="inlineStr">
        <is>
          <t>St. John's (Terre-Neuve-et-Labrador)</t>
        </is>
      </c>
      <c r="P2967" t="n">
        <v>0</v>
      </c>
      <c r="Q2967" t="n">
        <v>0</v>
      </c>
      <c r="R2967" t="n">
        <v>0</v>
      </c>
      <c r="S2967" t="n">
        <v>0</v>
      </c>
      <c r="T2967" t="n">
        <v>37.23</v>
      </c>
      <c r="U2967" t="n">
        <v>37.23</v>
      </c>
      <c r="X2967" t="inlineStr">
        <is>
          <t>acoa-apeca</t>
        </is>
      </c>
      <c r="Y2967" t="inlineStr">
        <is>
          <t>Atlantic Canada Opportunities Agency | Agence de promotion économique du Canada atlantique</t>
        </is>
      </c>
    </row>
    <row r="2968">
      <c r="A2968" t="inlineStr">
        <is>
          <t>T-2016-Q2-00040</t>
        </is>
      </c>
      <c r="B2968" t="inlineStr">
        <is>
          <t>SLE</t>
        </is>
      </c>
      <c r="C2968" t="inlineStr">
        <is>
          <t>Vice President, Nova Scotia</t>
        </is>
      </c>
      <c r="D2968" t="inlineStr">
        <is>
          <t>Vice-président, Nouvelle-Écosse</t>
        </is>
      </c>
      <c r="E2968" t="inlineStr">
        <is>
          <t>Peter Hogan</t>
        </is>
      </c>
      <c r="F2968" t="inlineStr">
        <is>
          <t>Various meetings with ACOA and Government of Canada officials</t>
        </is>
      </c>
      <c r="G2968" t="inlineStr">
        <is>
          <t>Diverses réunions avec des fonctionnaires de l'APECA et du gouvernement du Canada</t>
        </is>
      </c>
      <c r="H2968" s="1" t="n">
        <v>42205</v>
      </c>
      <c r="I2968" s="1" t="n">
        <v>42205</v>
      </c>
      <c r="J2968" t="inlineStr">
        <is>
          <t>Ottawa, Ontario</t>
        </is>
      </c>
      <c r="K2968" t="inlineStr">
        <is>
          <t>Ottawa (Ontario)</t>
        </is>
      </c>
      <c r="P2968" t="n">
        <v>401.3</v>
      </c>
      <c r="Q2968" t="n">
        <v>72.73999999999999</v>
      </c>
      <c r="R2968" t="n">
        <v>0</v>
      </c>
      <c r="S2968" t="n">
        <v>75.40000000000001</v>
      </c>
      <c r="T2968" t="n">
        <v>30.17</v>
      </c>
      <c r="U2968" t="n">
        <v>579.61</v>
      </c>
      <c r="X2968" t="inlineStr">
        <is>
          <t>acoa-apeca</t>
        </is>
      </c>
      <c r="Y2968" t="inlineStr">
        <is>
          <t>Atlantic Canada Opportunities Agency | Agence de promotion économique du Canada atlantique</t>
        </is>
      </c>
    </row>
    <row r="2969">
      <c r="A2969" t="inlineStr">
        <is>
          <t>T-2016-Q2-00038</t>
        </is>
      </c>
      <c r="B2969" t="inlineStr">
        <is>
          <t>MPSES</t>
        </is>
      </c>
      <c r="C2969" t="inlineStr">
        <is>
          <t>Minister of State</t>
        </is>
      </c>
      <c r="D2969" t="inlineStr">
        <is>
          <t>Ministre d'État</t>
        </is>
      </c>
      <c r="E2969" t="inlineStr">
        <is>
          <t>Rob Moore</t>
        </is>
      </c>
      <c r="F2969" t="inlineStr">
        <is>
          <t>Travel to attend Government of Canada announcement and meetings</t>
        </is>
      </c>
      <c r="G2969" t="inlineStr">
        <is>
          <t>Voyage pour assister à une annonce et à des réunions du gouvernement du Canada</t>
        </is>
      </c>
      <c r="H2969" s="1" t="n">
        <v>42202</v>
      </c>
      <c r="I2969" s="1" t="n">
        <v>42202</v>
      </c>
      <c r="J2969" t="inlineStr">
        <is>
          <t>Miramichi, New Brunswick</t>
        </is>
      </c>
      <c r="K2969" t="inlineStr">
        <is>
          <t>Miramichi (Nouveau-Brunswick)</t>
        </is>
      </c>
      <c r="P2969" t="n">
        <v>0</v>
      </c>
      <c r="Q2969" t="n">
        <v>244.32</v>
      </c>
      <c r="R2969" t="n">
        <v>0</v>
      </c>
      <c r="S2969" t="n">
        <v>0</v>
      </c>
      <c r="T2969" t="n">
        <v>0</v>
      </c>
      <c r="U2969" t="n">
        <v>244.32</v>
      </c>
      <c r="X2969" t="inlineStr">
        <is>
          <t>acoa-apeca</t>
        </is>
      </c>
      <c r="Y2969" t="inlineStr">
        <is>
          <t>Atlantic Canada Opportunities Agency | Agence de promotion économique du Canada atlantique</t>
        </is>
      </c>
    </row>
    <row r="2970">
      <c r="A2970" t="inlineStr">
        <is>
          <t>T-2016-Q2-00037</t>
        </is>
      </c>
      <c r="B2970" t="inlineStr">
        <is>
          <t>SLE</t>
        </is>
      </c>
      <c r="C2970" t="inlineStr">
        <is>
          <t>Vice-President, New Brunswick</t>
        </is>
      </c>
      <c r="D2970" t="inlineStr">
        <is>
          <t>Vice-président, Nouveau-Brunswick</t>
        </is>
      </c>
      <c r="E2970" t="inlineStr">
        <is>
          <t>Kent Estabrooks</t>
        </is>
      </c>
      <c r="F2970" t="inlineStr">
        <is>
          <t>Meeting with stakeholders and Agency officials</t>
        </is>
      </c>
      <c r="G2970" t="inlineStr">
        <is>
          <t>Réunion avec des intervenants et des fonctionnaires de l'Agence</t>
        </is>
      </c>
      <c r="H2970" s="1" t="n">
        <v>42201</v>
      </c>
      <c r="I2970" s="1" t="n">
        <v>42201</v>
      </c>
      <c r="J2970" t="inlineStr">
        <is>
          <t>Kedgwick, New Brunswick</t>
        </is>
      </c>
      <c r="K2970" t="inlineStr">
        <is>
          <t>Kedgwick (Nouveau-Brunswick)</t>
        </is>
      </c>
      <c r="P2970" t="n">
        <v>0</v>
      </c>
      <c r="Q2970" t="n">
        <v>0</v>
      </c>
      <c r="R2970" t="n">
        <v>0</v>
      </c>
      <c r="S2970" t="n">
        <v>59.4</v>
      </c>
      <c r="T2970" t="n">
        <v>0</v>
      </c>
      <c r="U2970" t="n">
        <v>59.4</v>
      </c>
      <c r="X2970" t="inlineStr">
        <is>
          <t>acoa-apeca</t>
        </is>
      </c>
      <c r="Y2970" t="inlineStr">
        <is>
          <t>Atlantic Canada Opportunities Agency | Agence de promotion économique du Canada atlantique</t>
        </is>
      </c>
    </row>
    <row r="2971">
      <c r="A2971" t="inlineStr">
        <is>
          <t>T-2016-Q2-00036</t>
        </is>
      </c>
      <c r="B2971" t="inlineStr">
        <is>
          <t>SLE</t>
        </is>
      </c>
      <c r="C2971" t="inlineStr">
        <is>
          <t>Vice-President, Prince Edward Island</t>
        </is>
      </c>
      <c r="D2971" t="inlineStr">
        <is>
          <t>Vice-président, Île-du-Prince-Édouard</t>
        </is>
      </c>
      <c r="E2971" t="inlineStr">
        <is>
          <t>Patrick Dorsey</t>
        </is>
      </c>
      <c r="F2971" t="inlineStr">
        <is>
          <t>Atlantic Canada Tourism Partnership event</t>
        </is>
      </c>
      <c r="G2971" t="inlineStr">
        <is>
          <t>Activité du Partenariat du tourisme du Canada atlantique</t>
        </is>
      </c>
      <c r="H2971" s="1" t="n">
        <v>42201</v>
      </c>
      <c r="I2971" s="1" t="n">
        <v>42202</v>
      </c>
      <c r="J2971" t="inlineStr">
        <is>
          <t>Miramichi, New Brunswick</t>
        </is>
      </c>
      <c r="K2971" t="inlineStr">
        <is>
          <t>Miramichi (Nouveau-Brunswick)</t>
        </is>
      </c>
      <c r="P2971" t="n">
        <v>0</v>
      </c>
      <c r="Q2971" t="n">
        <v>45.5</v>
      </c>
      <c r="R2971" t="n">
        <v>137.16</v>
      </c>
      <c r="S2971" t="n">
        <v>83.8</v>
      </c>
      <c r="T2971" t="n">
        <v>0</v>
      </c>
      <c r="U2971" t="n">
        <v>266.46</v>
      </c>
      <c r="X2971" t="inlineStr">
        <is>
          <t>acoa-apeca</t>
        </is>
      </c>
      <c r="Y2971" t="inlineStr">
        <is>
          <t>Atlantic Canada Opportunities Agency | Agence de promotion économique du Canada atlantique</t>
        </is>
      </c>
    </row>
    <row r="2972">
      <c r="A2972" t="inlineStr">
        <is>
          <t>T-2016-Q2-00035</t>
        </is>
      </c>
      <c r="B2972" t="inlineStr">
        <is>
          <t>MPSES</t>
        </is>
      </c>
      <c r="C2972" t="inlineStr">
        <is>
          <t>Minister of State</t>
        </is>
      </c>
      <c r="D2972" t="inlineStr">
        <is>
          <t>Ministre d'État</t>
        </is>
      </c>
      <c r="E2972" t="inlineStr">
        <is>
          <t>Rob Moore</t>
        </is>
      </c>
      <c r="F2972" t="inlineStr">
        <is>
          <t>Travel to attend meetings</t>
        </is>
      </c>
      <c r="G2972" t="inlineStr">
        <is>
          <t>Voyage pour assister à des réunions</t>
        </is>
      </c>
      <c r="H2972" s="1" t="n">
        <v>42200</v>
      </c>
      <c r="I2972" s="1" t="n">
        <v>42200</v>
      </c>
      <c r="J2972" t="inlineStr">
        <is>
          <t>Fredericton, New Brunswick</t>
        </is>
      </c>
      <c r="K2972" t="inlineStr">
        <is>
          <t>Fredericton (Nouveau-Brunswick)</t>
        </is>
      </c>
      <c r="P2972" t="n">
        <v>0</v>
      </c>
      <c r="Q2972" t="n">
        <v>128.64</v>
      </c>
      <c r="R2972" t="n">
        <v>0</v>
      </c>
      <c r="S2972" t="n">
        <v>16.6</v>
      </c>
      <c r="T2972" t="n">
        <v>0</v>
      </c>
      <c r="U2972" t="n">
        <v>145.24</v>
      </c>
      <c r="X2972" t="inlineStr">
        <is>
          <t>acoa-apeca</t>
        </is>
      </c>
      <c r="Y2972" t="inlineStr">
        <is>
          <t>Atlantic Canada Opportunities Agency | Agence de promotion économique du Canada atlantique</t>
        </is>
      </c>
    </row>
    <row r="2973">
      <c r="A2973" t="inlineStr">
        <is>
          <t>T-2016-Q2-00034</t>
        </is>
      </c>
      <c r="B2973" t="inlineStr">
        <is>
          <t>MPSES</t>
        </is>
      </c>
      <c r="C2973" t="inlineStr">
        <is>
          <t>Minister of State</t>
        </is>
      </c>
      <c r="D2973" t="inlineStr">
        <is>
          <t>Ministre d'État</t>
        </is>
      </c>
      <c r="E2973" t="inlineStr">
        <is>
          <t>Rob Moore</t>
        </is>
      </c>
      <c r="F2973" t="inlineStr">
        <is>
          <t>Travel to attend Government of Canada announcement at CFB Gagetown</t>
        </is>
      </c>
      <c r="G2973" t="inlineStr">
        <is>
          <t>Voyage pour assister à une annonce du gouvernement du Canada à la BFC Gagetown</t>
        </is>
      </c>
      <c r="H2973" s="1" t="n">
        <v>42199</v>
      </c>
      <c r="I2973" s="1" t="n">
        <v>42199</v>
      </c>
      <c r="J2973" t="inlineStr">
        <is>
          <t>Oromocto, New Brunswick</t>
        </is>
      </c>
      <c r="K2973" t="inlineStr">
        <is>
          <t>Oromocto (Nouveau-Brunswick)</t>
        </is>
      </c>
      <c r="P2973" t="n">
        <v>0</v>
      </c>
      <c r="Q2973" t="n">
        <v>108</v>
      </c>
      <c r="R2973" t="n">
        <v>0</v>
      </c>
      <c r="S2973" t="n">
        <v>0</v>
      </c>
      <c r="T2973" t="n">
        <v>0</v>
      </c>
      <c r="U2973" t="n">
        <v>108</v>
      </c>
      <c r="X2973" t="inlineStr">
        <is>
          <t>acoa-apeca</t>
        </is>
      </c>
      <c r="Y2973" t="inlineStr">
        <is>
          <t>Atlantic Canada Opportunities Agency | Agence de promotion économique du Canada atlantique</t>
        </is>
      </c>
    </row>
    <row r="2974">
      <c r="A2974" t="inlineStr">
        <is>
          <t>T-2016-Q2-00032</t>
        </is>
      </c>
      <c r="B2974" t="inlineStr">
        <is>
          <t>SLE</t>
        </is>
      </c>
      <c r="C2974" t="inlineStr">
        <is>
          <t>President</t>
        </is>
      </c>
      <c r="D2974" t="inlineStr">
        <is>
          <t>Président</t>
        </is>
      </c>
      <c r="E2974" t="inlineStr">
        <is>
          <t>Paul J. LeBlanc</t>
        </is>
      </c>
      <c r="F2974" t="inlineStr">
        <is>
          <t>For various meetings and discussions with Agency officials and Government of Canada officials</t>
        </is>
      </c>
      <c r="G2974" t="inlineStr">
        <is>
          <t>Diverses réunions et discussions avec des fonctionnaires de l'Agence et du gouvernement du Canada</t>
        </is>
      </c>
      <c r="H2974" s="1" t="n">
        <v>42198</v>
      </c>
      <c r="I2974" s="1" t="n">
        <v>42201</v>
      </c>
      <c r="J2974" t="inlineStr">
        <is>
          <t>St. John's, Newfoundland</t>
        </is>
      </c>
      <c r="K2974" t="inlineStr">
        <is>
          <t>St. John's (Terre-Neuve-et-Labrador)</t>
        </is>
      </c>
      <c r="P2974" t="n">
        <v>1979.59</v>
      </c>
      <c r="Q2974" t="n">
        <v>120</v>
      </c>
      <c r="R2974" t="n">
        <v>621.27</v>
      </c>
      <c r="S2974" t="n">
        <v>262.8</v>
      </c>
      <c r="T2974" t="n">
        <v>51</v>
      </c>
      <c r="U2974" t="n">
        <v>3034.66</v>
      </c>
      <c r="X2974" t="inlineStr">
        <is>
          <t>acoa-apeca</t>
        </is>
      </c>
      <c r="Y2974" t="inlineStr">
        <is>
          <t>Atlantic Canada Opportunities Agency | Agence de promotion économique du Canada atlantique</t>
        </is>
      </c>
    </row>
    <row r="2975">
      <c r="A2975" t="inlineStr">
        <is>
          <t>T-2016-Q2-00031</t>
        </is>
      </c>
      <c r="B2975" t="inlineStr">
        <is>
          <t>SLE</t>
        </is>
      </c>
      <c r="C2975" t="inlineStr">
        <is>
          <t>Vice-President, Policy and Programs</t>
        </is>
      </c>
      <c r="D2975" t="inlineStr">
        <is>
          <t>Vice-président, Politiques et Programmes</t>
        </is>
      </c>
      <c r="E2975" t="inlineStr">
        <is>
          <t>Daryell Nowlan</t>
        </is>
      </c>
      <c r="F2975" t="inlineStr">
        <is>
          <t>Meetings with Government of Canada officials</t>
        </is>
      </c>
      <c r="G2975" t="inlineStr">
        <is>
          <t>Réunions avec des fonctionnaires du gouvernement du Canada</t>
        </is>
      </c>
      <c r="H2975" s="1" t="n">
        <v>42196</v>
      </c>
      <c r="I2975" s="1" t="n">
        <v>42201</v>
      </c>
      <c r="J2975" t="inlineStr">
        <is>
          <t>St. John's, Newfoundland and Labrador</t>
        </is>
      </c>
      <c r="K2975" t="inlineStr">
        <is>
          <t>St. John's (Terre-Neuve-et-Labrador)</t>
        </is>
      </c>
      <c r="P2975" t="n">
        <v>795.49</v>
      </c>
      <c r="Q2975" t="n">
        <v>179.83</v>
      </c>
      <c r="R2975" t="n">
        <v>979.6799999999999</v>
      </c>
      <c r="S2975" t="n">
        <v>323.5</v>
      </c>
      <c r="T2975" t="n">
        <v>0</v>
      </c>
      <c r="U2975" t="n">
        <v>2278.5</v>
      </c>
      <c r="X2975" t="inlineStr">
        <is>
          <t>acoa-apeca</t>
        </is>
      </c>
      <c r="Y2975" t="inlineStr">
        <is>
          <t>Atlantic Canada Opportunities Agency | Agence de promotion économique du Canada atlantique</t>
        </is>
      </c>
    </row>
    <row r="2976">
      <c r="A2976" t="inlineStr">
        <is>
          <t>T-2016-Q2-00028</t>
        </is>
      </c>
      <c r="B2976" t="inlineStr">
        <is>
          <t>SLE</t>
        </is>
      </c>
      <c r="C2976" t="inlineStr">
        <is>
          <t>Vice-President, Finance and Corporate Services</t>
        </is>
      </c>
      <c r="D2976" t="inlineStr">
        <is>
          <t>Vice-présidente, Finances et Services corporatifs</t>
        </is>
      </c>
      <c r="E2976" t="inlineStr">
        <is>
          <t>Denise Frenette</t>
        </is>
      </c>
      <c r="F2976" t="inlineStr">
        <is>
          <t>For meetings with various Government of Canada officials</t>
        </is>
      </c>
      <c r="G2976" t="inlineStr">
        <is>
          <t>Réunions avec divers fonctionnaires du gouvernement du Canada</t>
        </is>
      </c>
      <c r="H2976" s="1" t="n">
        <v>42184</v>
      </c>
      <c r="I2976" s="1" t="n">
        <v>42185</v>
      </c>
      <c r="J2976" t="inlineStr">
        <is>
          <t>Ottawa, Ontario</t>
        </is>
      </c>
      <c r="K2976" t="inlineStr">
        <is>
          <t>Ottawa (Ontario)</t>
        </is>
      </c>
      <c r="P2976" t="n">
        <v>658.39</v>
      </c>
      <c r="Q2976" t="n">
        <v>52.36</v>
      </c>
      <c r="R2976" t="n">
        <v>179.24</v>
      </c>
      <c r="S2976" t="n">
        <v>152.8</v>
      </c>
      <c r="T2976" t="n">
        <v>0</v>
      </c>
      <c r="U2976" t="n">
        <v>1042.79</v>
      </c>
      <c r="X2976" t="inlineStr">
        <is>
          <t>acoa-apeca</t>
        </is>
      </c>
      <c r="Y2976" t="inlineStr">
        <is>
          <t>Atlantic Canada Opportunities Agency | Agence de promotion économique du Canada atlantique</t>
        </is>
      </c>
    </row>
    <row r="2977">
      <c r="A2977" t="inlineStr">
        <is>
          <t>T-2015-Q3-00005</t>
        </is>
      </c>
      <c r="B2977" t="inlineStr">
        <is>
          <t>MPSES</t>
        </is>
      </c>
      <c r="C2977" t="inlineStr">
        <is>
          <t>Executive Assistant</t>
        </is>
      </c>
      <c r="D2977" t="inlineStr">
        <is>
          <t>Adjoint exécutif</t>
        </is>
      </c>
      <c r="E2977" t="inlineStr">
        <is>
          <t>Josh Hardy</t>
        </is>
      </c>
      <c r="F2977" t="inlineStr">
        <is>
          <t>Travel on government business</t>
        </is>
      </c>
      <c r="G2977" t="inlineStr">
        <is>
          <t>Voyage en service commandé</t>
        </is>
      </c>
      <c r="H2977" s="1" t="n">
        <v>41886</v>
      </c>
      <c r="I2977" s="1" t="n">
        <v>41886</v>
      </c>
      <c r="J2977" t="inlineStr">
        <is>
          <t>Halifax, Nova Scotia</t>
        </is>
      </c>
      <c r="K2977" t="inlineStr">
        <is>
          <t>Halifax (Nouvelle-Écosse)</t>
        </is>
      </c>
      <c r="P2977" t="n">
        <v>601.37</v>
      </c>
      <c r="Q2977" t="n">
        <v>146.48</v>
      </c>
      <c r="R2977" t="n">
        <v>0</v>
      </c>
      <c r="S2977" t="n">
        <v>73.65000000000001</v>
      </c>
      <c r="T2977" t="n">
        <v>0</v>
      </c>
      <c r="U2977" t="n">
        <v>821.5</v>
      </c>
      <c r="X2977" t="inlineStr">
        <is>
          <t>acoa-apeca</t>
        </is>
      </c>
      <c r="Y2977" t="inlineStr">
        <is>
          <t>Atlantic Canada Opportunities Agency | Agence de promotion économique du Canada atlantique</t>
        </is>
      </c>
    </row>
    <row r="2978">
      <c r="A2978" t="inlineStr">
        <is>
          <t>T-2016-Q2-00027</t>
        </is>
      </c>
      <c r="B2978" t="inlineStr">
        <is>
          <t>SLE</t>
        </is>
      </c>
      <c r="C2978" t="inlineStr">
        <is>
          <t>Vice-President, Policy and Programs</t>
        </is>
      </c>
      <c r="D2978" t="inlineStr">
        <is>
          <t>Vice-président, Politiques et Programmes</t>
        </is>
      </c>
      <c r="E2978" t="inlineStr">
        <is>
          <t>Daryell Nowlan</t>
        </is>
      </c>
      <c r="F2978" t="inlineStr">
        <is>
          <t>Meeting with Government of Canada officials</t>
        </is>
      </c>
      <c r="G2978" t="inlineStr">
        <is>
          <t>Réunion avec des fonctionnaires du gouvernement du Canada</t>
        </is>
      </c>
      <c r="H2978" s="1" t="n">
        <v>42184</v>
      </c>
      <c r="I2978" s="1" t="n">
        <v>42185</v>
      </c>
      <c r="J2978" t="inlineStr">
        <is>
          <t>Ottawa, Ontario</t>
        </is>
      </c>
      <c r="K2978" t="inlineStr">
        <is>
          <t>Ottawa (Ontario)</t>
        </is>
      </c>
      <c r="P2978" t="n">
        <v>743.54</v>
      </c>
      <c r="Q2978" t="n">
        <v>116</v>
      </c>
      <c r="R2978" t="n">
        <v>196.7</v>
      </c>
      <c r="S2978" t="n">
        <v>110.6</v>
      </c>
      <c r="T2978" t="n">
        <v>0</v>
      </c>
      <c r="U2978" t="n">
        <v>1166.84</v>
      </c>
      <c r="X2978" t="inlineStr">
        <is>
          <t>acoa-apeca</t>
        </is>
      </c>
      <c r="Y2978" t="inlineStr">
        <is>
          <t>Atlantic Canada Opportunities Agency | Agence de promotion économique du Canada atlantique</t>
        </is>
      </c>
    </row>
    <row r="2979">
      <c r="A2979" t="inlineStr">
        <is>
          <t>T-2016-Q2-00025</t>
        </is>
      </c>
      <c r="B2979" t="inlineStr">
        <is>
          <t>SLE</t>
        </is>
      </c>
      <c r="C2979" t="inlineStr">
        <is>
          <t>President</t>
        </is>
      </c>
      <c r="D2979" t="inlineStr">
        <is>
          <t>Président</t>
        </is>
      </c>
      <c r="E2979" t="inlineStr">
        <is>
          <t>Paul J. LeBlanc</t>
        </is>
      </c>
      <c r="F2979" t="inlineStr">
        <is>
          <t>For various meetings and discussions with Agency officials and Government of Canada officials</t>
        </is>
      </c>
      <c r="G2979" t="inlineStr">
        <is>
          <t>Diverses réunions et discussions avec des fonctionnaires de l'Agence et du gouvernement du Canada</t>
        </is>
      </c>
      <c r="H2979" s="1" t="n">
        <v>42183</v>
      </c>
      <c r="I2979" s="1" t="n">
        <v>42185</v>
      </c>
      <c r="J2979" t="inlineStr">
        <is>
          <t>Ottawa, Ontario</t>
        </is>
      </c>
      <c r="K2979" t="inlineStr">
        <is>
          <t>Ottawa (Ontario)</t>
        </is>
      </c>
      <c r="P2979" t="n">
        <v>639.58</v>
      </c>
      <c r="Q2979" t="n">
        <v>0</v>
      </c>
      <c r="R2979" t="n">
        <v>393.4</v>
      </c>
      <c r="S2979" t="n">
        <v>186.1</v>
      </c>
      <c r="T2979" t="n">
        <v>145</v>
      </c>
      <c r="U2979" t="n">
        <v>1364.08</v>
      </c>
      <c r="X2979" t="inlineStr">
        <is>
          <t>acoa-apeca</t>
        </is>
      </c>
      <c r="Y2979" t="inlineStr">
        <is>
          <t>Atlantic Canada Opportunities Agency | Agence de promotion économique du Canada atlantique</t>
        </is>
      </c>
    </row>
    <row r="2980">
      <c r="A2980" t="inlineStr">
        <is>
          <t>T-2016-Q2-00024</t>
        </is>
      </c>
      <c r="B2980" t="inlineStr">
        <is>
          <t>SLE</t>
        </is>
      </c>
      <c r="C2980" t="inlineStr">
        <is>
          <t>Vice-President, New Brunswick</t>
        </is>
      </c>
      <c r="D2980" t="inlineStr">
        <is>
          <t>Vice-président, Nouveau-Brunswick</t>
        </is>
      </c>
      <c r="E2980" t="inlineStr">
        <is>
          <t>Kent Estabrooks</t>
        </is>
      </c>
      <c r="F2980" t="inlineStr">
        <is>
          <t>Training and development</t>
        </is>
      </c>
      <c r="G2980" t="inlineStr">
        <is>
          <t>Formation et perfectionnement</t>
        </is>
      </c>
      <c r="H2980" s="1" t="n">
        <v>42180</v>
      </c>
      <c r="I2980" s="1" t="n">
        <v>42184</v>
      </c>
      <c r="J2980" t="inlineStr">
        <is>
          <t>Toronto, Ontario</t>
        </is>
      </c>
      <c r="K2980" t="inlineStr">
        <is>
          <t>Toronto (Ontario)</t>
        </is>
      </c>
      <c r="P2980" t="n">
        <v>892.7</v>
      </c>
      <c r="Q2980" t="n">
        <v>109.5</v>
      </c>
      <c r="R2980" t="n">
        <v>888.6</v>
      </c>
      <c r="S2980" t="n">
        <v>231.5</v>
      </c>
      <c r="T2980" t="n">
        <v>0</v>
      </c>
      <c r="U2980" t="n">
        <v>2122.3</v>
      </c>
      <c r="X2980" t="inlineStr">
        <is>
          <t>acoa-apeca</t>
        </is>
      </c>
      <c r="Y2980" t="inlineStr">
        <is>
          <t>Atlantic Canada Opportunities Agency | Agence de promotion économique du Canada atlantique</t>
        </is>
      </c>
    </row>
    <row r="2981">
      <c r="A2981" t="inlineStr">
        <is>
          <t>T-2016-Q2-00023</t>
        </is>
      </c>
      <c r="B2981" t="inlineStr">
        <is>
          <t>MPSES</t>
        </is>
      </c>
      <c r="C2981" t="inlineStr">
        <is>
          <t>Parliamentary Secretary</t>
        </is>
      </c>
      <c r="D2981" t="inlineStr">
        <is>
          <t>Secrétaire parlementaire</t>
        </is>
      </c>
      <c r="E2981" t="inlineStr">
        <is>
          <t>Gerald Keddy</t>
        </is>
      </c>
      <c r="F2981" t="inlineStr">
        <is>
          <t>Travel to attend ACOA announcement on behalf of Honourable Rob Moore</t>
        </is>
      </c>
      <c r="G2981" t="inlineStr">
        <is>
          <t>Voyage pour assister à une annonce de l'APECA au nom de l'honorable Rob Moore</t>
        </is>
      </c>
      <c r="H2981" s="1" t="n">
        <v>42179</v>
      </c>
      <c r="I2981" s="1" t="n">
        <v>42180</v>
      </c>
      <c r="J2981" t="inlineStr">
        <is>
          <t>Summerside, Prince Edward Island</t>
        </is>
      </c>
      <c r="K2981" t="inlineStr">
        <is>
          <t>Summerside (Île-du-Prince-Édouard)</t>
        </is>
      </c>
      <c r="P2981" t="n">
        <v>0</v>
      </c>
      <c r="Q2981" t="n">
        <v>406.78</v>
      </c>
      <c r="R2981" t="n">
        <v>131.51</v>
      </c>
      <c r="S2981" t="n">
        <v>110</v>
      </c>
      <c r="T2981" t="n">
        <v>0</v>
      </c>
      <c r="U2981" t="n">
        <v>648.29</v>
      </c>
      <c r="X2981" t="inlineStr">
        <is>
          <t>acoa-apeca</t>
        </is>
      </c>
      <c r="Y2981" t="inlineStr">
        <is>
          <t>Atlantic Canada Opportunities Agency | Agence de promotion économique du Canada atlantique</t>
        </is>
      </c>
    </row>
    <row r="2982">
      <c r="A2982" t="inlineStr">
        <is>
          <t>T-2016-Q2-00022</t>
        </is>
      </c>
      <c r="B2982" t="inlineStr">
        <is>
          <t>SLE</t>
        </is>
      </c>
      <c r="C2982" t="inlineStr">
        <is>
          <t>Vice-President, Prince Edward Island</t>
        </is>
      </c>
      <c r="D2982" t="inlineStr">
        <is>
          <t>Vice-président, Île-du-Prince-Édouard</t>
        </is>
      </c>
      <c r="E2982" t="inlineStr">
        <is>
          <t>Patrick Dorsey</t>
        </is>
      </c>
      <c r="F2982" t="inlineStr">
        <is>
          <t>Client meeting</t>
        </is>
      </c>
      <c r="G2982" t="inlineStr">
        <is>
          <t>Réunion avec un client</t>
        </is>
      </c>
      <c r="H2982" s="1" t="n">
        <v>42179</v>
      </c>
      <c r="I2982" s="1" t="n">
        <v>42179</v>
      </c>
      <c r="J2982" t="inlineStr">
        <is>
          <t>Victoria, Prince Edward Island</t>
        </is>
      </c>
      <c r="K2982" t="inlineStr">
        <is>
          <t>Victoria (Île-du-Prince-Édouard)</t>
        </is>
      </c>
      <c r="P2982" t="n">
        <v>0</v>
      </c>
      <c r="Q2982" t="n">
        <v>33.37</v>
      </c>
      <c r="R2982" t="n">
        <v>0</v>
      </c>
      <c r="S2982" t="n">
        <v>0</v>
      </c>
      <c r="T2982" t="n">
        <v>0</v>
      </c>
      <c r="U2982" t="n">
        <v>33.37</v>
      </c>
      <c r="X2982" t="inlineStr">
        <is>
          <t>acoa-apeca</t>
        </is>
      </c>
      <c r="Y2982" t="inlineStr">
        <is>
          <t>Atlantic Canada Opportunities Agency | Agence de promotion économique du Canada atlantique</t>
        </is>
      </c>
    </row>
    <row r="2983">
      <c r="A2983" t="inlineStr">
        <is>
          <t>T-2016-Q2-00021</t>
        </is>
      </c>
      <c r="B2983" t="inlineStr">
        <is>
          <t>SLE</t>
        </is>
      </c>
      <c r="C2983" t="inlineStr">
        <is>
          <t>Vice President, Nova Scotia</t>
        </is>
      </c>
      <c r="D2983" t="inlineStr">
        <is>
          <t>Vice-président, Nouvelle-Écosse</t>
        </is>
      </c>
      <c r="E2983" t="inlineStr">
        <is>
          <t>Peter Hogan</t>
        </is>
      </c>
      <c r="F2983" t="inlineStr">
        <is>
          <t>Various meetings with ACOA and Government of Canada officials</t>
        </is>
      </c>
      <c r="G2983" t="inlineStr">
        <is>
          <t>Diverses réunions avec des fonctionnaires de l'APECA et du gouvernement du Canada</t>
        </is>
      </c>
      <c r="H2983" s="1" t="n">
        <v>42178</v>
      </c>
      <c r="I2983" s="1" t="n">
        <v>42179</v>
      </c>
      <c r="J2983" t="inlineStr">
        <is>
          <t>Ottawa, Ontario</t>
        </is>
      </c>
      <c r="K2983" t="inlineStr">
        <is>
          <t>Ottawa (Ontario)</t>
        </is>
      </c>
      <c r="P2983" t="n">
        <v>590.8</v>
      </c>
      <c r="Q2983" t="n">
        <v>73.09999999999999</v>
      </c>
      <c r="R2983" t="n">
        <v>196.7</v>
      </c>
      <c r="S2983" t="n">
        <v>152.8</v>
      </c>
      <c r="T2983" t="n">
        <v>36</v>
      </c>
      <c r="U2983" t="n">
        <v>1049.4</v>
      </c>
      <c r="X2983" t="inlineStr">
        <is>
          <t>acoa-apeca</t>
        </is>
      </c>
      <c r="Y2983" t="inlineStr">
        <is>
          <t>Atlantic Canada Opportunities Agency | Agence de promotion économique du Canada atlantique</t>
        </is>
      </c>
    </row>
    <row r="2984">
      <c r="A2984" t="inlineStr">
        <is>
          <t>T-2016-Q2-00020</t>
        </is>
      </c>
      <c r="B2984" t="inlineStr">
        <is>
          <t>SLE</t>
        </is>
      </c>
      <c r="C2984" t="inlineStr">
        <is>
          <t>Vice-President, New Brunswick</t>
        </is>
      </c>
      <c r="D2984" t="inlineStr">
        <is>
          <t>Vice-président, Nouveau-Brunswick</t>
        </is>
      </c>
      <c r="E2984" t="inlineStr">
        <is>
          <t>Kent Estabrooks</t>
        </is>
      </c>
      <c r="F2984" t="inlineStr">
        <is>
          <t>Meetings with Government of Canada officials</t>
        </is>
      </c>
      <c r="G2984" t="inlineStr">
        <is>
          <t>Réunions avec des fonctionnaires du gouvernement du Canada</t>
        </is>
      </c>
      <c r="H2984" s="1" t="n">
        <v>42171</v>
      </c>
      <c r="I2984" s="1" t="n">
        <v>42172</v>
      </c>
      <c r="J2984" t="inlineStr">
        <is>
          <t>Ottawa, Ontario</t>
        </is>
      </c>
      <c r="K2984" t="inlineStr">
        <is>
          <t>Ottawa (Ontario)</t>
        </is>
      </c>
      <c r="P2984" t="n">
        <v>748.51</v>
      </c>
      <c r="Q2984" t="n">
        <v>108.27</v>
      </c>
      <c r="R2984" t="n">
        <v>50</v>
      </c>
      <c r="S2984" t="n">
        <v>152.8</v>
      </c>
      <c r="T2984" t="n">
        <v>20</v>
      </c>
      <c r="U2984" t="n">
        <v>1079.58</v>
      </c>
      <c r="X2984" t="inlineStr">
        <is>
          <t>acoa-apeca</t>
        </is>
      </c>
      <c r="Y2984" t="inlineStr">
        <is>
          <t>Atlantic Canada Opportunities Agency | Agence de promotion économique du Canada atlantique</t>
        </is>
      </c>
    </row>
    <row r="2985">
      <c r="A2985" t="inlineStr">
        <is>
          <t>T-2016-Q2-00019</t>
        </is>
      </c>
      <c r="B2985" t="inlineStr">
        <is>
          <t>SLE</t>
        </is>
      </c>
      <c r="C2985" t="inlineStr">
        <is>
          <t>President</t>
        </is>
      </c>
      <c r="D2985" t="inlineStr">
        <is>
          <t>Président</t>
        </is>
      </c>
      <c r="E2985" t="inlineStr">
        <is>
          <t>Paul J. LeBlanc</t>
        </is>
      </c>
      <c r="F2985" t="inlineStr">
        <is>
          <t>For various meetings and discussions with Agency officials and Government of Canada officials</t>
        </is>
      </c>
      <c r="G2985" t="inlineStr">
        <is>
          <t>Diverses réunions et discussions avec des fonctionnaires de l'Agence et du gouvernement du Canada</t>
        </is>
      </c>
      <c r="H2985" s="1" t="n">
        <v>42171</v>
      </c>
      <c r="I2985" s="1" t="n">
        <v>42172</v>
      </c>
      <c r="J2985" t="inlineStr">
        <is>
          <t>Ottawa, Ontario</t>
        </is>
      </c>
      <c r="K2985" t="inlineStr">
        <is>
          <t>Ottawa (Ontario)</t>
        </is>
      </c>
      <c r="P2985" t="n">
        <v>702.48</v>
      </c>
      <c r="Q2985" t="n">
        <v>0</v>
      </c>
      <c r="R2985" t="n">
        <v>196.7</v>
      </c>
      <c r="S2985" t="n">
        <v>110.6</v>
      </c>
      <c r="T2985" t="n">
        <v>0</v>
      </c>
      <c r="U2985" t="n">
        <v>1009.78</v>
      </c>
      <c r="X2985" t="inlineStr">
        <is>
          <t>acoa-apeca</t>
        </is>
      </c>
      <c r="Y2985" t="inlineStr">
        <is>
          <t>Atlantic Canada Opportunities Agency | Agence de promotion économique du Canada atlantique</t>
        </is>
      </c>
    </row>
    <row r="2986">
      <c r="A2986" t="inlineStr">
        <is>
          <t>T-2016-Q2-00018</t>
        </is>
      </c>
      <c r="B2986" t="inlineStr">
        <is>
          <t>MPSES</t>
        </is>
      </c>
      <c r="C2986" t="inlineStr">
        <is>
          <t>Regional Affairs Director - New Brunswick</t>
        </is>
      </c>
      <c r="D2986" t="inlineStr">
        <is>
          <t>Directeur des affaires régionales - Nouveau-Brunswick</t>
        </is>
      </c>
      <c r="E2986" t="inlineStr">
        <is>
          <t>Douglas MacDonald</t>
        </is>
      </c>
      <c r="F2986" t="inlineStr">
        <is>
          <t>Travel for Government business</t>
        </is>
      </c>
      <c r="G2986" t="inlineStr">
        <is>
          <t>Voyage pour affaires officielles</t>
        </is>
      </c>
      <c r="H2986" s="1" t="n">
        <v>42170</v>
      </c>
      <c r="I2986" s="1" t="n">
        <v>42170</v>
      </c>
      <c r="J2986" t="inlineStr">
        <is>
          <t>Riverside-Albert, Hillsborough and Moncton, New Brunswick</t>
        </is>
      </c>
      <c r="K2986" t="inlineStr">
        <is>
          <t>Riverside-Albert, Hillsborough et Moncton (Nouveau-Brunswick)</t>
        </is>
      </c>
      <c r="P2986" t="n">
        <v>0</v>
      </c>
      <c r="Q2986" t="n">
        <v>168.26</v>
      </c>
      <c r="R2986" t="n">
        <v>0</v>
      </c>
      <c r="S2986" t="n">
        <v>0</v>
      </c>
      <c r="T2986" t="n">
        <v>0</v>
      </c>
      <c r="U2986" t="n">
        <v>168.26</v>
      </c>
      <c r="X2986" t="inlineStr">
        <is>
          <t>acoa-apeca</t>
        </is>
      </c>
      <c r="Y2986" t="inlineStr">
        <is>
          <t>Atlantic Canada Opportunities Agency | Agence de promotion économique du Canada atlantique</t>
        </is>
      </c>
    </row>
    <row r="2987">
      <c r="A2987" t="inlineStr">
        <is>
          <t>T-2016-Q2-00017</t>
        </is>
      </c>
      <c r="B2987" t="inlineStr">
        <is>
          <t>SLE</t>
        </is>
      </c>
      <c r="C2987" t="inlineStr">
        <is>
          <t>Vice-President, Prince Edward Island</t>
        </is>
      </c>
      <c r="D2987" t="inlineStr">
        <is>
          <t>Vice-président, Île-du-Prince-Édouard</t>
        </is>
      </c>
      <c r="E2987" t="inlineStr">
        <is>
          <t>Patrick Dorsey</t>
        </is>
      </c>
      <c r="F2987" t="inlineStr">
        <is>
          <t>BIO International Convention 2015</t>
        </is>
      </c>
      <c r="G2987" t="inlineStr">
        <is>
          <t>Congrès BIO International de 2015</t>
        </is>
      </c>
      <c r="H2987" s="1" t="n">
        <v>42169</v>
      </c>
      <c r="I2987" s="1" t="n">
        <v>42173</v>
      </c>
      <c r="J2987" t="inlineStr">
        <is>
          <t>Philadelphia, Pennsylvania</t>
        </is>
      </c>
      <c r="K2987" t="inlineStr">
        <is>
          <t>Philadelphie (Pennsylvanie)</t>
        </is>
      </c>
      <c r="P2987" t="n">
        <v>875.16</v>
      </c>
      <c r="Q2987" t="n">
        <v>50.58</v>
      </c>
      <c r="R2987" t="n">
        <v>1208.32</v>
      </c>
      <c r="S2987" t="n">
        <v>433.72</v>
      </c>
      <c r="T2987" t="n">
        <v>44.76</v>
      </c>
      <c r="U2987" t="n">
        <v>2612.54</v>
      </c>
      <c r="X2987" t="inlineStr">
        <is>
          <t>acoa-apeca</t>
        </is>
      </c>
      <c r="Y2987" t="inlineStr">
        <is>
          <t>Atlantic Canada Opportunities Agency | Agence de promotion économique du Canada atlantique</t>
        </is>
      </c>
    </row>
    <row r="2988">
      <c r="A2988" t="inlineStr">
        <is>
          <t>T-2016-Q2-00016</t>
        </is>
      </c>
      <c r="B2988" t="inlineStr">
        <is>
          <t>SLE</t>
        </is>
      </c>
      <c r="C2988" t="inlineStr">
        <is>
          <t>Vice-President, Policy and Programs</t>
        </is>
      </c>
      <c r="D2988" t="inlineStr">
        <is>
          <t>Vice-président, Politiques et Programmes</t>
        </is>
      </c>
      <c r="E2988" t="inlineStr">
        <is>
          <t>Daryell Nowlan</t>
        </is>
      </c>
      <c r="F2988" t="inlineStr">
        <is>
          <t>Meetings with Government of Canada officials</t>
        </is>
      </c>
      <c r="G2988" t="inlineStr">
        <is>
          <t>Réunions avec des fonctionnaires du gouvernement du Canada</t>
        </is>
      </c>
      <c r="H2988" s="1" t="n">
        <v>42167</v>
      </c>
      <c r="I2988" s="1" t="n">
        <v>42170</v>
      </c>
      <c r="J2988" t="inlineStr">
        <is>
          <t>Ottawa/Toronto, Ontario</t>
        </is>
      </c>
      <c r="K2988" t="inlineStr">
        <is>
          <t>Ottawa/Toronto (Ontario)</t>
        </is>
      </c>
      <c r="P2988" t="n">
        <v>930.1900000000001</v>
      </c>
      <c r="Q2988" t="n">
        <v>125.5</v>
      </c>
      <c r="R2988" t="n">
        <v>168.37</v>
      </c>
      <c r="S2988" t="n">
        <v>195.6</v>
      </c>
      <c r="T2988" t="n">
        <v>0</v>
      </c>
      <c r="U2988" t="n">
        <v>1419.66</v>
      </c>
      <c r="X2988" t="inlineStr">
        <is>
          <t>acoa-apeca</t>
        </is>
      </c>
      <c r="Y2988" t="inlineStr">
        <is>
          <t>Atlantic Canada Opportunities Agency | Agence de promotion économique du Canada atlantique</t>
        </is>
      </c>
    </row>
    <row r="2989">
      <c r="A2989" t="inlineStr">
        <is>
          <t>T-2016-Q2-00015</t>
        </is>
      </c>
      <c r="B2989" t="inlineStr">
        <is>
          <t>SLE</t>
        </is>
      </c>
      <c r="C2989" t="inlineStr">
        <is>
          <t>Vice-President, New Brunswick</t>
        </is>
      </c>
      <c r="D2989" t="inlineStr">
        <is>
          <t>Vice-président, Nouveau-Brunswick</t>
        </is>
      </c>
      <c r="E2989" t="inlineStr">
        <is>
          <t>Kent Estabrooks</t>
        </is>
      </c>
      <c r="F2989" t="inlineStr">
        <is>
          <t>Meetings with Agency officials</t>
        </is>
      </c>
      <c r="G2989" t="inlineStr">
        <is>
          <t xml:space="preserve">Réunions avec des fonctionnaires de l'Agence </t>
        </is>
      </c>
      <c r="H2989" s="1" t="n">
        <v>42165</v>
      </c>
      <c r="I2989" s="1" t="n">
        <v>42167</v>
      </c>
      <c r="J2989" t="inlineStr">
        <is>
          <t>Moncton, New Brunswick</t>
        </is>
      </c>
      <c r="K2989" t="inlineStr">
        <is>
          <t>Moncton (Nouveau-Brunswick)</t>
        </is>
      </c>
      <c r="P2989" t="n">
        <v>0</v>
      </c>
      <c r="Q2989" t="n">
        <v>0</v>
      </c>
      <c r="R2989" t="n">
        <v>268.94</v>
      </c>
      <c r="S2989" t="n">
        <v>111.3</v>
      </c>
      <c r="T2989" t="n">
        <v>32.1</v>
      </c>
      <c r="U2989" t="n">
        <v>412.34</v>
      </c>
      <c r="X2989" t="inlineStr">
        <is>
          <t>acoa-apeca</t>
        </is>
      </c>
      <c r="Y2989" t="inlineStr">
        <is>
          <t>Atlantic Canada Opportunities Agency | Agence de promotion économique du Canada atlantique</t>
        </is>
      </c>
    </row>
    <row r="2990">
      <c r="A2990" t="inlineStr">
        <is>
          <t>T-2016-Q2-00006</t>
        </is>
      </c>
      <c r="B2990" t="inlineStr">
        <is>
          <t>MPSES</t>
        </is>
      </c>
      <c r="C2990" t="inlineStr">
        <is>
          <t>Minister of State</t>
        </is>
      </c>
      <c r="D2990" t="inlineStr">
        <is>
          <t>Ministre d'État</t>
        </is>
      </c>
      <c r="E2990" t="inlineStr">
        <is>
          <t>Rob Moore</t>
        </is>
      </c>
      <c r="F2990" t="inlineStr">
        <is>
          <t>Memorial event for RCMP officers</t>
        </is>
      </c>
      <c r="G2990" t="inlineStr">
        <is>
          <t>Activité commémorative pour des agents de la GRC</t>
        </is>
      </c>
      <c r="H2990" s="1" t="n">
        <v>42162</v>
      </c>
      <c r="I2990" s="1" t="n">
        <v>42162</v>
      </c>
      <c r="J2990" t="inlineStr">
        <is>
          <t>Moncton, New Brunswick</t>
        </is>
      </c>
      <c r="K2990" t="inlineStr">
        <is>
          <t>Moncton (Nouveau-Brunswick)</t>
        </is>
      </c>
      <c r="P2990" t="n">
        <v>0</v>
      </c>
      <c r="Q2990" t="n">
        <v>117.5</v>
      </c>
      <c r="R2990" t="n">
        <v>0</v>
      </c>
      <c r="S2990" t="n">
        <v>0</v>
      </c>
      <c r="T2990" t="n">
        <v>0</v>
      </c>
      <c r="U2990" t="n">
        <v>117.5</v>
      </c>
      <c r="X2990" t="inlineStr">
        <is>
          <t>acoa-apeca</t>
        </is>
      </c>
      <c r="Y2990" t="inlineStr">
        <is>
          <t>Atlantic Canada Opportunities Agency | Agence de promotion économique du Canada atlantique</t>
        </is>
      </c>
    </row>
    <row r="2991">
      <c r="A2991" t="inlineStr">
        <is>
          <t>T-2016-Q2-00014</t>
        </is>
      </c>
      <c r="B2991" t="inlineStr">
        <is>
          <t>SLE</t>
        </is>
      </c>
      <c r="C2991" t="inlineStr">
        <is>
          <t>Vice President, Nova Scotia</t>
        </is>
      </c>
      <c r="D2991" t="inlineStr">
        <is>
          <t>Vice-président, Nouvelle-Écosse</t>
        </is>
      </c>
      <c r="E2991" t="inlineStr">
        <is>
          <t>Peter Hogan</t>
        </is>
      </c>
      <c r="F2991" t="inlineStr">
        <is>
          <t>Meeting with senior Agency officials and other Government of Canada officials</t>
        </is>
      </c>
      <c r="G2991" t="inlineStr">
        <is>
          <t xml:space="preserve">Réunion avec des hauts fonctionnaires de l'Agence et d'autres fonctionnaires du gouvernement du Canada </t>
        </is>
      </c>
      <c r="H2991" s="1" t="n">
        <v>42165</v>
      </c>
      <c r="I2991" s="1" t="n">
        <v>42167</v>
      </c>
      <c r="J2991" t="inlineStr">
        <is>
          <t>Moncton, New Brunswick</t>
        </is>
      </c>
      <c r="K2991" t="inlineStr">
        <is>
          <t>Moncton (Nouveau-Brunswick)</t>
        </is>
      </c>
      <c r="P2991" t="n">
        <v>0</v>
      </c>
      <c r="Q2991" t="n">
        <v>0</v>
      </c>
      <c r="R2991" t="n">
        <v>157.07</v>
      </c>
      <c r="S2991" t="n">
        <v>111.3</v>
      </c>
      <c r="T2991" t="n">
        <v>44.07</v>
      </c>
      <c r="U2991" t="n">
        <v>312.44</v>
      </c>
      <c r="X2991" t="inlineStr">
        <is>
          <t>acoa-apeca</t>
        </is>
      </c>
      <c r="Y2991" t="inlineStr">
        <is>
          <t>Atlantic Canada Opportunities Agency | Agence de promotion économique du Canada atlantique</t>
        </is>
      </c>
    </row>
    <row r="2992">
      <c r="A2992" t="inlineStr">
        <is>
          <t>T-2016-Q2-00013</t>
        </is>
      </c>
      <c r="B2992" t="inlineStr">
        <is>
          <t>SLE</t>
        </is>
      </c>
      <c r="C2992" t="inlineStr">
        <is>
          <t>Vice-President, Prince Edward Island</t>
        </is>
      </c>
      <c r="D2992" t="inlineStr">
        <is>
          <t>Vice-président, Île-du-Prince-Édouard</t>
        </is>
      </c>
      <c r="E2992" t="inlineStr">
        <is>
          <t>Patrick Dorsey</t>
        </is>
      </c>
      <c r="F2992" t="inlineStr">
        <is>
          <t xml:space="preserve">Executive Committee meeting </t>
        </is>
      </c>
      <c r="G2992" t="inlineStr">
        <is>
          <t>Réunion du Comité de direction</t>
        </is>
      </c>
      <c r="H2992" s="1" t="n">
        <v>42165</v>
      </c>
      <c r="I2992" s="1" t="n">
        <v>42167</v>
      </c>
      <c r="J2992" t="inlineStr">
        <is>
          <t>Moncton, New Brunswick</t>
        </is>
      </c>
      <c r="K2992" t="inlineStr">
        <is>
          <t>Moncton (Nouveau-Brunswick)</t>
        </is>
      </c>
      <c r="P2992" t="n">
        <v>0</v>
      </c>
      <c r="Q2992" t="n">
        <v>79.40000000000001</v>
      </c>
      <c r="R2992" t="n">
        <v>314.14</v>
      </c>
      <c r="S2992" t="n">
        <v>137.5</v>
      </c>
      <c r="T2992" t="n">
        <v>0</v>
      </c>
      <c r="U2992" t="n">
        <v>531.04</v>
      </c>
      <c r="X2992" t="inlineStr">
        <is>
          <t>acoa-apeca</t>
        </is>
      </c>
      <c r="Y2992" t="inlineStr">
        <is>
          <t>Atlantic Canada Opportunities Agency | Agence de promotion économique du Canada atlantique</t>
        </is>
      </c>
    </row>
    <row r="2993">
      <c r="A2993" t="inlineStr">
        <is>
          <t>T-2016-Q2-00012</t>
        </is>
      </c>
      <c r="B2993" t="inlineStr">
        <is>
          <t>SLE</t>
        </is>
      </c>
      <c r="C2993" t="inlineStr">
        <is>
          <t>Vice-President, Newfoundland and Labrador</t>
        </is>
      </c>
      <c r="D2993" t="inlineStr">
        <is>
          <t>Vice-président, Terre-Neuve-et-Labrador</t>
        </is>
      </c>
      <c r="E2993" t="inlineStr">
        <is>
          <t>Paul Mills</t>
        </is>
      </c>
      <c r="F2993" t="inlineStr">
        <is>
          <t>Travel to Moncton for EX PMA review</t>
        </is>
      </c>
      <c r="G2993" t="inlineStr">
        <is>
          <t>Voyage à Moncton pour l'examen des EGR des cadres</t>
        </is>
      </c>
      <c r="H2993" s="1" t="n">
        <v>42165</v>
      </c>
      <c r="I2993" s="1" t="n">
        <v>42167</v>
      </c>
      <c r="J2993" t="inlineStr">
        <is>
          <t>Moncton, New Brunswick</t>
        </is>
      </c>
      <c r="K2993" t="inlineStr">
        <is>
          <t>Moncton (Nouveau-Brunswick)</t>
        </is>
      </c>
      <c r="P2993" t="n">
        <v>1426.06</v>
      </c>
      <c r="Q2993" t="n">
        <v>169.43</v>
      </c>
      <c r="R2993" t="n">
        <v>223.74</v>
      </c>
      <c r="S2993" t="n">
        <v>159.9</v>
      </c>
      <c r="T2993" t="n">
        <v>67.31</v>
      </c>
      <c r="U2993" t="n">
        <v>2046.44</v>
      </c>
      <c r="X2993" t="inlineStr">
        <is>
          <t>acoa-apeca</t>
        </is>
      </c>
      <c r="Y2993" t="inlineStr">
        <is>
          <t>Atlantic Canada Opportunities Agency | Agence de promotion économique du Canada atlantique</t>
        </is>
      </c>
    </row>
    <row r="2994">
      <c r="A2994" t="inlineStr">
        <is>
          <t>T-2016-Q2-00011</t>
        </is>
      </c>
      <c r="B2994" t="inlineStr">
        <is>
          <t>SLE</t>
        </is>
      </c>
      <c r="C2994" t="inlineStr">
        <is>
          <t>Vice-President, Finance and Corporate Services</t>
        </is>
      </c>
      <c r="D2994" t="inlineStr">
        <is>
          <t>Vice-présidente, Finances et Services corporatifs</t>
        </is>
      </c>
      <c r="E2994" t="inlineStr">
        <is>
          <t>Denise Frenette</t>
        </is>
      </c>
      <c r="F2994" t="inlineStr">
        <is>
          <t>For various meetings and session with Agency officials; with Government of Canada officials</t>
        </is>
      </c>
      <c r="G2994" t="inlineStr">
        <is>
          <t>Réunions et séance avec des fonctionnaires de l'Agence et avec des fonctionnaires du gouvernement du Canada</t>
        </is>
      </c>
      <c r="H2994" s="1" t="n">
        <v>42164</v>
      </c>
      <c r="I2994" s="1" t="n">
        <v>42165</v>
      </c>
      <c r="J2994" t="inlineStr">
        <is>
          <t>Ottawa, Ontario</t>
        </is>
      </c>
      <c r="K2994" t="inlineStr">
        <is>
          <t>Ottawa (Ontario)</t>
        </is>
      </c>
      <c r="P2994" t="n">
        <v>658.39</v>
      </c>
      <c r="Q2994" t="n">
        <v>102.43</v>
      </c>
      <c r="R2994" t="n">
        <v>196.7</v>
      </c>
      <c r="S2994" t="n">
        <v>154.55</v>
      </c>
      <c r="T2994" t="n">
        <v>0</v>
      </c>
      <c r="U2994" t="n">
        <v>1112.07</v>
      </c>
      <c r="X2994" t="inlineStr">
        <is>
          <t>acoa-apeca</t>
        </is>
      </c>
      <c r="Y2994" t="inlineStr">
        <is>
          <t>Atlantic Canada Opportunities Agency | Agence de promotion économique du Canada atlantique</t>
        </is>
      </c>
    </row>
    <row r="2995">
      <c r="A2995" t="inlineStr">
        <is>
          <t>T-2016-Q2-00007</t>
        </is>
      </c>
      <c r="B2995" t="inlineStr">
        <is>
          <t>SLE</t>
        </is>
      </c>
      <c r="C2995" t="inlineStr">
        <is>
          <t>President</t>
        </is>
      </c>
      <c r="D2995" t="inlineStr">
        <is>
          <t>Président</t>
        </is>
      </c>
      <c r="E2995" t="inlineStr">
        <is>
          <t>Paul J. LeBlanc</t>
        </is>
      </c>
      <c r="F2995" t="inlineStr">
        <is>
          <t>For various meetings and discussions with Agency officials and Government of Canada officials</t>
        </is>
      </c>
      <c r="G2995" t="inlineStr">
        <is>
          <t>Diverses réunions et discussions avec des fonctionnaires de l'Agence et du gouvernement du Canada</t>
        </is>
      </c>
      <c r="H2995" s="1" t="n">
        <v>42163</v>
      </c>
      <c r="I2995" s="1" t="n">
        <v>42165</v>
      </c>
      <c r="J2995" t="inlineStr">
        <is>
          <t>Ottawa, Ontario</t>
        </is>
      </c>
      <c r="K2995" t="inlineStr">
        <is>
          <t>Ottawa (Ontario)</t>
        </is>
      </c>
      <c r="P2995" t="n">
        <v>702.48</v>
      </c>
      <c r="Q2995" t="n">
        <v>0</v>
      </c>
      <c r="R2995" t="n">
        <v>393.4</v>
      </c>
      <c r="S2995" t="n">
        <v>235.3</v>
      </c>
      <c r="T2995" t="n">
        <v>0</v>
      </c>
      <c r="U2995" t="n">
        <v>1331.18</v>
      </c>
      <c r="X2995" t="inlineStr">
        <is>
          <t>acoa-apeca</t>
        </is>
      </c>
      <c r="Y2995" t="inlineStr">
        <is>
          <t>Atlantic Canada Opportunities Agency | Agence de promotion économique du Canada atlantique</t>
        </is>
      </c>
    </row>
    <row r="2996">
      <c r="A2996" t="inlineStr">
        <is>
          <t>T-2016-Q2-00005</t>
        </is>
      </c>
      <c r="B2996" t="inlineStr">
        <is>
          <t>SLE</t>
        </is>
      </c>
      <c r="C2996" t="inlineStr">
        <is>
          <t>President</t>
        </is>
      </c>
      <c r="D2996" t="inlineStr">
        <is>
          <t>Président</t>
        </is>
      </c>
      <c r="E2996" t="inlineStr">
        <is>
          <t>Paul J. LeBlanc</t>
        </is>
      </c>
      <c r="F2996" t="inlineStr">
        <is>
          <t>For various meetings and discussions with Agency officials and Government of Canada officials</t>
        </is>
      </c>
      <c r="G2996" t="inlineStr">
        <is>
          <t>Diverses réunions et discussions avec des fonctionnaires de l'Agence et du gouvernement du Canada</t>
        </is>
      </c>
      <c r="H2996" s="1" t="n">
        <v>42159</v>
      </c>
      <c r="I2996" s="1" t="n">
        <v>42160</v>
      </c>
      <c r="J2996" t="inlineStr">
        <is>
          <t>Halifax, Nova Scotia</t>
        </is>
      </c>
      <c r="K2996" t="inlineStr">
        <is>
          <t>Halifax (Nouvelle-Écosse)</t>
        </is>
      </c>
      <c r="P2996" t="n">
        <v>0</v>
      </c>
      <c r="Q2996" t="n">
        <v>0</v>
      </c>
      <c r="R2996" t="n">
        <v>186.51</v>
      </c>
      <c r="S2996" t="n">
        <v>120.2</v>
      </c>
      <c r="T2996" t="n">
        <v>0</v>
      </c>
      <c r="U2996" t="n">
        <v>306.71</v>
      </c>
      <c r="X2996" t="inlineStr">
        <is>
          <t>acoa-apeca</t>
        </is>
      </c>
      <c r="Y2996" t="inlineStr">
        <is>
          <t>Atlantic Canada Opportunities Agency | Agence de promotion économique du Canada atlantique</t>
        </is>
      </c>
    </row>
    <row r="2997">
      <c r="A2997" t="inlineStr">
        <is>
          <t>T-2016-Q2-00004</t>
        </is>
      </c>
      <c r="B2997" t="inlineStr">
        <is>
          <t>SLE</t>
        </is>
      </c>
      <c r="C2997" t="inlineStr">
        <is>
          <t>Vice-President, Policy and Programs</t>
        </is>
      </c>
      <c r="D2997" t="inlineStr">
        <is>
          <t>Vice-président, Politiques et Programmes</t>
        </is>
      </c>
      <c r="E2997" t="inlineStr">
        <is>
          <t>Daryell Nowlan</t>
        </is>
      </c>
      <c r="F2997" t="inlineStr">
        <is>
          <t>Meetings with Government of Canada officials</t>
        </is>
      </c>
      <c r="G2997" t="inlineStr">
        <is>
          <t>Réunions avec des fonctionnaires du gouvernement du Canada</t>
        </is>
      </c>
      <c r="H2997" s="1" t="n">
        <v>42159</v>
      </c>
      <c r="I2997" s="1" t="n">
        <v>42160</v>
      </c>
      <c r="J2997" t="inlineStr">
        <is>
          <t>Halifax, Nova Scotia</t>
        </is>
      </c>
      <c r="K2997" t="inlineStr">
        <is>
          <t>Halifax (Nouvelle-Écosse)</t>
        </is>
      </c>
      <c r="P2997" t="n">
        <v>0</v>
      </c>
      <c r="Q2997" t="n">
        <v>292.24</v>
      </c>
      <c r="R2997" t="n">
        <v>174.78</v>
      </c>
      <c r="S2997" t="n">
        <v>17.3</v>
      </c>
      <c r="T2997" t="n">
        <v>0</v>
      </c>
      <c r="U2997" t="n">
        <v>484.32</v>
      </c>
      <c r="X2997" t="inlineStr">
        <is>
          <t>acoa-apeca</t>
        </is>
      </c>
      <c r="Y2997" t="inlineStr">
        <is>
          <t>Atlantic Canada Opportunities Agency | Agence de promotion économique du Canada atlantique</t>
        </is>
      </c>
    </row>
    <row r="2998">
      <c r="A2998" t="inlineStr">
        <is>
          <t>T-2016-Q2-00003</t>
        </is>
      </c>
      <c r="B2998" t="inlineStr">
        <is>
          <t>SLE</t>
        </is>
      </c>
      <c r="C2998" t="inlineStr">
        <is>
          <t>Vice President, Nova Scotia</t>
        </is>
      </c>
      <c r="D2998" t="inlineStr">
        <is>
          <t>Vice-président, Nouvelle-Écosse</t>
        </is>
      </c>
      <c r="E2998" t="inlineStr">
        <is>
          <t>Peter Hogan</t>
        </is>
      </c>
      <c r="F2998" t="inlineStr">
        <is>
          <t>Various meetings with Agency officials; community outreach, Antigonish/Guysborough</t>
        </is>
      </c>
      <c r="G2998" t="inlineStr">
        <is>
          <t>Diverses réunions avec des fonctionnaires de l'Agence; sensibilisation communautaire à Antigonish/Guysborough</t>
        </is>
      </c>
      <c r="H2998" s="1" t="n">
        <v>42157</v>
      </c>
      <c r="I2998" s="1" t="n">
        <v>42159</v>
      </c>
      <c r="J2998" t="inlineStr">
        <is>
          <t>Port Hawkesbury, Nova Scotia</t>
        </is>
      </c>
      <c r="K2998" t="inlineStr">
        <is>
          <t>Port Hawkesbury (Nouvelle-Écosse)</t>
        </is>
      </c>
      <c r="P2998" t="n">
        <v>0</v>
      </c>
      <c r="Q2998" t="n">
        <v>0</v>
      </c>
      <c r="R2998" t="n">
        <v>312.55</v>
      </c>
      <c r="S2998" t="n">
        <v>202.7</v>
      </c>
      <c r="T2998" t="n">
        <v>0</v>
      </c>
      <c r="U2998" t="n">
        <v>515.25</v>
      </c>
      <c r="X2998" t="inlineStr">
        <is>
          <t>acoa-apeca</t>
        </is>
      </c>
      <c r="Y2998" t="inlineStr">
        <is>
          <t>Atlantic Canada Opportunities Agency | Agence de promotion économique du Canada atlantique</t>
        </is>
      </c>
    </row>
    <row r="2999">
      <c r="A2999" t="inlineStr">
        <is>
          <t>T-2016-Q2-00002</t>
        </is>
      </c>
      <c r="B2999" t="inlineStr">
        <is>
          <t>SLE</t>
        </is>
      </c>
      <c r="C2999" t="inlineStr">
        <is>
          <t>Vice-President, Newfoundland and Labrador</t>
        </is>
      </c>
      <c r="D2999" t="inlineStr">
        <is>
          <t>Vice-président, Terre-Neuve-et-Labrador</t>
        </is>
      </c>
      <c r="E2999" t="inlineStr">
        <is>
          <t>Paul Mills</t>
        </is>
      </c>
      <c r="F2999" t="inlineStr">
        <is>
          <t>Meetings with clients in Marystown, Newfoundland</t>
        </is>
      </c>
      <c r="G2999" t="inlineStr">
        <is>
          <t>Réunions avec des clients à Marystown (Terre-Neuve-et-Labrador)</t>
        </is>
      </c>
      <c r="H2999" s="1" t="n">
        <v>42157</v>
      </c>
      <c r="I2999" s="1" t="n">
        <v>42161</v>
      </c>
      <c r="J2999" t="inlineStr">
        <is>
          <t>Marystown, Newfoundland and Labrador</t>
        </is>
      </c>
      <c r="K2999" t="inlineStr">
        <is>
          <t>Marystown (Terre-Neuve-et-Labrador)</t>
        </is>
      </c>
      <c r="P2999" t="n">
        <v>0</v>
      </c>
      <c r="Q2999" t="n">
        <v>324</v>
      </c>
      <c r="R2999" t="n">
        <v>134.47</v>
      </c>
      <c r="S2999" t="n">
        <v>110</v>
      </c>
      <c r="T2999" t="n">
        <v>7.5</v>
      </c>
      <c r="U2999" t="n">
        <v>575.97</v>
      </c>
      <c r="X2999" t="inlineStr">
        <is>
          <t>acoa-apeca</t>
        </is>
      </c>
      <c r="Y2999" t="inlineStr">
        <is>
          <t>Atlantic Canada Opportunities Agency | Agence de promotion économique du Canada atlantique</t>
        </is>
      </c>
    </row>
    <row r="3000">
      <c r="A3000" t="inlineStr">
        <is>
          <t>T-2016-Q2-00001</t>
        </is>
      </c>
      <c r="B3000" t="inlineStr">
        <is>
          <t>SLE</t>
        </is>
      </c>
      <c r="C3000" t="inlineStr">
        <is>
          <t>Vice-President, Policy and Programs</t>
        </is>
      </c>
      <c r="D3000" t="inlineStr">
        <is>
          <t>Vice-président, Politiques et Programmes</t>
        </is>
      </c>
      <c r="E3000" t="inlineStr">
        <is>
          <t>Daryell Nowlan</t>
        </is>
      </c>
      <c r="F3000" t="inlineStr">
        <is>
          <t>Meetings with Government of Canada officials</t>
        </is>
      </c>
      <c r="G3000" t="inlineStr">
        <is>
          <t>Réunions avec des fonctionnaires du gouvernement du Canada</t>
        </is>
      </c>
      <c r="H3000" s="1" t="n">
        <v>42157</v>
      </c>
      <c r="I3000" s="1" t="n">
        <v>42158</v>
      </c>
      <c r="J3000" t="inlineStr">
        <is>
          <t>Halifax, Nova Scotia</t>
        </is>
      </c>
      <c r="K3000" t="inlineStr">
        <is>
          <t>Halifax (Nouvelle-Écosse)</t>
        </is>
      </c>
      <c r="P3000" t="n">
        <v>0</v>
      </c>
      <c r="Q3000" t="n">
        <v>181.92</v>
      </c>
      <c r="R3000" t="n">
        <v>174.78</v>
      </c>
      <c r="S3000" t="n">
        <v>120.2</v>
      </c>
      <c r="T3000" t="n">
        <v>0</v>
      </c>
      <c r="U3000" t="n">
        <v>476.9</v>
      </c>
      <c r="X3000" t="inlineStr">
        <is>
          <t>acoa-apeca</t>
        </is>
      </c>
      <c r="Y3000" t="inlineStr">
        <is>
          <t>Atlantic Canada Opportunities Agency | Agence de promotion économique du Canada atlantique</t>
        </is>
      </c>
    </row>
    <row r="3001">
      <c r="A3001" t="inlineStr">
        <is>
          <t>T-2016-Q1-00069</t>
        </is>
      </c>
      <c r="B3001" t="inlineStr">
        <is>
          <t>MPSES</t>
        </is>
      </c>
      <c r="C3001" t="inlineStr">
        <is>
          <t>Regional Affairs Director - New Brunswick</t>
        </is>
      </c>
      <c r="D3001" t="inlineStr">
        <is>
          <t>Directeur des affaires régionales - Nouveau-Brunswick</t>
        </is>
      </c>
      <c r="E3001" t="inlineStr">
        <is>
          <t>Douglas MacDonald</t>
        </is>
      </c>
      <c r="F3001" t="inlineStr">
        <is>
          <t>Travel for Government business</t>
        </is>
      </c>
      <c r="G3001" t="inlineStr">
        <is>
          <t>Voyage pour affaires officielles</t>
        </is>
      </c>
      <c r="H3001" s="1" t="n">
        <v>42156</v>
      </c>
      <c r="I3001" s="1" t="n">
        <v>42157</v>
      </c>
      <c r="J3001" t="inlineStr">
        <is>
          <t>Ottawa, Ontario</t>
        </is>
      </c>
      <c r="K3001" t="inlineStr">
        <is>
          <t>Ottawa (Ontario)</t>
        </is>
      </c>
      <c r="P3001" t="n">
        <v>0</v>
      </c>
      <c r="Q3001" t="n">
        <v>659.11</v>
      </c>
      <c r="R3001" t="n">
        <v>290.98</v>
      </c>
      <c r="S3001" t="n">
        <v>135.5</v>
      </c>
      <c r="T3001" t="n">
        <v>0</v>
      </c>
      <c r="U3001" t="n">
        <v>1085.59</v>
      </c>
      <c r="X3001" t="inlineStr">
        <is>
          <t>acoa-apeca</t>
        </is>
      </c>
      <c r="Y3001" t="inlineStr">
        <is>
          <t>Atlantic Canada Opportunities Agency | Agence de promotion économique du Canada atlantique</t>
        </is>
      </c>
    </row>
    <row r="3002">
      <c r="A3002" t="inlineStr">
        <is>
          <t>T-2016-Q1-00067</t>
        </is>
      </c>
      <c r="B3002" t="inlineStr">
        <is>
          <t>SLE</t>
        </is>
      </c>
      <c r="C3002" t="inlineStr">
        <is>
          <t>President</t>
        </is>
      </c>
      <c r="D3002" t="inlineStr">
        <is>
          <t>Président</t>
        </is>
      </c>
      <c r="E3002" t="inlineStr">
        <is>
          <t>Paul J. LeBlanc</t>
        </is>
      </c>
      <c r="F3002" t="inlineStr">
        <is>
          <t>For various meetings and discussions with Agency officials and Government of Canada officials</t>
        </is>
      </c>
      <c r="G3002" t="inlineStr">
        <is>
          <t>Diverses réunions et discussions avec des fonctionnaires de l'Agence et du gouvernement du Canada</t>
        </is>
      </c>
      <c r="H3002" s="1" t="n">
        <v>42156</v>
      </c>
      <c r="I3002" s="1" t="n">
        <v>42158</v>
      </c>
      <c r="J3002" t="inlineStr">
        <is>
          <t>Ottawa, Ontario</t>
        </is>
      </c>
      <c r="K3002" t="inlineStr">
        <is>
          <t>Ottawa (Ontario)</t>
        </is>
      </c>
      <c r="P3002" t="n">
        <v>702.48</v>
      </c>
      <c r="Q3002" t="n">
        <v>0</v>
      </c>
      <c r="R3002" t="n">
        <v>393.4</v>
      </c>
      <c r="S3002" t="n">
        <v>170.1</v>
      </c>
      <c r="T3002" t="n">
        <v>0</v>
      </c>
      <c r="U3002" t="n">
        <v>1265.98</v>
      </c>
      <c r="X3002" t="inlineStr">
        <is>
          <t>acoa-apeca</t>
        </is>
      </c>
      <c r="Y3002" t="inlineStr">
        <is>
          <t>Atlantic Canada Opportunities Agency | Agence de promotion économique du Canada atlantique</t>
        </is>
      </c>
    </row>
    <row r="3003">
      <c r="A3003" t="inlineStr">
        <is>
          <t>T-2016-Q1-00066</t>
        </is>
      </c>
      <c r="B3003" t="inlineStr">
        <is>
          <t>SLE</t>
        </is>
      </c>
      <c r="C3003" t="inlineStr">
        <is>
          <t>Vice-President, New Brunswick</t>
        </is>
      </c>
      <c r="D3003" t="inlineStr">
        <is>
          <t>Vice-président, Nouveau-Brunswick</t>
        </is>
      </c>
      <c r="E3003" t="inlineStr">
        <is>
          <t>Kent Estabrooks</t>
        </is>
      </c>
      <c r="F3003" t="inlineStr">
        <is>
          <t>Stakeholders meeting</t>
        </is>
      </c>
      <c r="G3003" t="inlineStr">
        <is>
          <t>Réunion avec des intervenants</t>
        </is>
      </c>
      <c r="H3003" s="1" t="n">
        <v>42155</v>
      </c>
      <c r="I3003" s="1" t="n">
        <v>42158</v>
      </c>
      <c r="J3003" t="inlineStr">
        <is>
          <t>Moncton and St. Andrews, New Brunswick</t>
        </is>
      </c>
      <c r="K3003" t="inlineStr">
        <is>
          <t>Moncton et St. Andrews (Nouveau-Brunswick)</t>
        </is>
      </c>
      <c r="P3003" t="n">
        <v>0</v>
      </c>
      <c r="Q3003" t="n">
        <v>0</v>
      </c>
      <c r="R3003" t="n">
        <v>366.89</v>
      </c>
      <c r="S3003" t="n">
        <v>118.4</v>
      </c>
      <c r="T3003" t="n">
        <v>30.52</v>
      </c>
      <c r="U3003" t="n">
        <v>515.8099999999999</v>
      </c>
      <c r="X3003" t="inlineStr">
        <is>
          <t>acoa-apeca</t>
        </is>
      </c>
      <c r="Y3003" t="inlineStr">
        <is>
          <t>Atlantic Canada Opportunities Agency | Agence de promotion économique du Canada atlantique</t>
        </is>
      </c>
    </row>
    <row r="3004">
      <c r="A3004" t="inlineStr">
        <is>
          <t>T-2016-Q1-00065</t>
        </is>
      </c>
      <c r="B3004" t="inlineStr">
        <is>
          <t>SLE</t>
        </is>
      </c>
      <c r="C3004" t="inlineStr">
        <is>
          <t>Vice-President, Prince Edward Island</t>
        </is>
      </c>
      <c r="D3004" t="inlineStr">
        <is>
          <t>Vice-président, Île-du-Prince-Édouard</t>
        </is>
      </c>
      <c r="E3004" t="inlineStr">
        <is>
          <t>Patrick Dorsey</t>
        </is>
      </c>
      <c r="F3004" t="inlineStr">
        <is>
          <t>Trade and investment mission to Brazil and Chile</t>
        </is>
      </c>
      <c r="G3004" t="inlineStr">
        <is>
          <t>Mission de commerce et d'investissement au Brésil et au Chili</t>
        </is>
      </c>
      <c r="H3004" s="1" t="n">
        <v>42154</v>
      </c>
      <c r="I3004" s="1" t="n">
        <v>42161</v>
      </c>
      <c r="J3004" t="inlineStr">
        <is>
          <t>Santiago, Brazil and Santiago, Chile</t>
        </is>
      </c>
      <c r="K3004" t="inlineStr">
        <is>
          <t>Santiago (Brésil) et Santiago (Chili)</t>
        </is>
      </c>
      <c r="P3004" t="n">
        <v>5962.13</v>
      </c>
      <c r="Q3004" t="n">
        <v>250.2</v>
      </c>
      <c r="R3004" t="n">
        <v>615.21</v>
      </c>
      <c r="S3004" t="n">
        <v>720.16</v>
      </c>
      <c r="T3004" t="n">
        <v>334.76</v>
      </c>
      <c r="U3004" t="n">
        <v>7882.46</v>
      </c>
      <c r="X3004" t="inlineStr">
        <is>
          <t>acoa-apeca</t>
        </is>
      </c>
      <c r="Y3004" t="inlineStr">
        <is>
          <t>Atlantic Canada Opportunities Agency | Agence de promotion économique du Canada atlantique</t>
        </is>
      </c>
    </row>
    <row r="3005">
      <c r="A3005" t="inlineStr">
        <is>
          <t>T-2016-Q1-00064</t>
        </is>
      </c>
      <c r="B3005" t="inlineStr">
        <is>
          <t>SLE</t>
        </is>
      </c>
      <c r="C3005" t="inlineStr">
        <is>
          <t>Vice President, Nova Scotia</t>
        </is>
      </c>
      <c r="D3005" t="inlineStr">
        <is>
          <t>Vice-président, Nouvelle-Écosse</t>
        </is>
      </c>
      <c r="E3005" t="inlineStr">
        <is>
          <t>Peter Hogan</t>
        </is>
      </c>
      <c r="F3005" t="inlineStr">
        <is>
          <t xml:space="preserve">Various Meetings with Agency Officials </t>
        </is>
      </c>
      <c r="G3005" t="inlineStr">
        <is>
          <t>Diverses réunions avec des fonctionnaires de l'Agence</t>
        </is>
      </c>
      <c r="H3005" s="1" t="n">
        <v>42153</v>
      </c>
      <c r="I3005" s="1" t="n">
        <v>42153</v>
      </c>
      <c r="J3005" t="inlineStr">
        <is>
          <t>Sydney, Nova Scotia</t>
        </is>
      </c>
      <c r="K3005" t="inlineStr">
        <is>
          <t>Sydney (Nouvelle-Écosse)</t>
        </is>
      </c>
      <c r="P3005" t="n">
        <v>0</v>
      </c>
      <c r="Q3005" t="n">
        <v>39.2</v>
      </c>
      <c r="R3005" t="n">
        <v>0</v>
      </c>
      <c r="S3005" t="n">
        <v>16.6</v>
      </c>
      <c r="T3005" t="n">
        <v>0</v>
      </c>
      <c r="U3005" t="n">
        <v>55.8</v>
      </c>
      <c r="X3005" t="inlineStr">
        <is>
          <t>acoa-apeca</t>
        </is>
      </c>
      <c r="Y3005" t="inlineStr">
        <is>
          <t>Atlantic Canada Opportunities Agency | Agence de promotion économique du Canada atlantique</t>
        </is>
      </c>
    </row>
    <row r="3006">
      <c r="A3006" t="inlineStr">
        <is>
          <t>T-2016-Q1-00063</t>
        </is>
      </c>
      <c r="B3006" t="inlineStr">
        <is>
          <t>SLE</t>
        </is>
      </c>
      <c r="C3006" t="inlineStr">
        <is>
          <t>Vice-President, New Brunswick</t>
        </is>
      </c>
      <c r="D3006" t="inlineStr">
        <is>
          <t>Vice-président, Nouveau-Brunswick</t>
        </is>
      </c>
      <c r="E3006" t="inlineStr">
        <is>
          <t>Kent Estabrooks</t>
        </is>
      </c>
      <c r="F3006" t="inlineStr">
        <is>
          <t xml:space="preserve">Meeting with Agency Officials </t>
        </is>
      </c>
      <c r="G3006" t="inlineStr">
        <is>
          <t>Réunion avec des fonctionnaires de l'Agence</t>
        </is>
      </c>
      <c r="H3006" s="1" t="n">
        <v>42151</v>
      </c>
      <c r="I3006" s="1" t="n">
        <v>42153</v>
      </c>
      <c r="J3006" t="inlineStr">
        <is>
          <t>Moncton, New Brunswick</t>
        </is>
      </c>
      <c r="K3006" t="inlineStr">
        <is>
          <t>Moncton (Nouveau-Brunswick)</t>
        </is>
      </c>
      <c r="P3006" t="n">
        <v>0</v>
      </c>
      <c r="Q3006" t="n">
        <v>23</v>
      </c>
      <c r="R3006" t="n">
        <v>123.17</v>
      </c>
      <c r="S3006" t="n">
        <v>76</v>
      </c>
      <c r="T3006" t="n">
        <v>12</v>
      </c>
      <c r="U3006" t="n">
        <v>234.17</v>
      </c>
      <c r="X3006" t="inlineStr">
        <is>
          <t>acoa-apeca</t>
        </is>
      </c>
      <c r="Y3006" t="inlineStr">
        <is>
          <t>Atlantic Canada Opportunities Agency | Agence de promotion économique du Canada atlantique</t>
        </is>
      </c>
    </row>
    <row r="3007">
      <c r="A3007" t="inlineStr">
        <is>
          <t>T-2016-Q1-00061</t>
        </is>
      </c>
      <c r="B3007" t="inlineStr">
        <is>
          <t>SLE</t>
        </is>
      </c>
      <c r="C3007" t="inlineStr">
        <is>
          <t>President</t>
        </is>
      </c>
      <c r="D3007" t="inlineStr">
        <is>
          <t>Président</t>
        </is>
      </c>
      <c r="E3007" t="inlineStr">
        <is>
          <t>Paul J. LeBlanc</t>
        </is>
      </c>
      <c r="F3007" t="inlineStr">
        <is>
          <t>For various meetings and discussions with Agency officials and Government of Canada officials</t>
        </is>
      </c>
      <c r="G3007" t="inlineStr">
        <is>
          <t>Diverses réunions et discussions avec des fonctionnaires de l'Agence et du gouvernement du Canada</t>
        </is>
      </c>
      <c r="H3007" s="1" t="n">
        <v>42150</v>
      </c>
      <c r="I3007" s="1" t="n">
        <v>42151</v>
      </c>
      <c r="J3007" t="inlineStr">
        <is>
          <t>Ottawa, Ontario</t>
        </is>
      </c>
      <c r="K3007" t="inlineStr">
        <is>
          <t>Ottawa (Ontario)</t>
        </is>
      </c>
      <c r="P3007" t="n">
        <v>1170.57</v>
      </c>
      <c r="Q3007" t="n">
        <v>0</v>
      </c>
      <c r="R3007" t="n">
        <v>196.7</v>
      </c>
      <c r="S3007" t="n">
        <v>110.6</v>
      </c>
      <c r="T3007" t="n">
        <v>0</v>
      </c>
      <c r="U3007" t="n">
        <v>1477.87</v>
      </c>
      <c r="X3007" t="inlineStr">
        <is>
          <t>acoa-apeca</t>
        </is>
      </c>
      <c r="Y3007" t="inlineStr">
        <is>
          <t>Atlantic Canada Opportunities Agency | Agence de promotion économique du Canada atlantique</t>
        </is>
      </c>
    </row>
    <row r="3008">
      <c r="A3008" t="inlineStr">
        <is>
          <t>T-2016-Q1-00060</t>
        </is>
      </c>
      <c r="B3008" t="inlineStr">
        <is>
          <t>SLE</t>
        </is>
      </c>
      <c r="C3008" t="inlineStr">
        <is>
          <t>Vice-President, Newfoundland and Labrador</t>
        </is>
      </c>
      <c r="D3008" t="inlineStr">
        <is>
          <t>Vice-président, Terre-Neuve-et-Labrador</t>
        </is>
      </c>
      <c r="E3008" t="inlineStr">
        <is>
          <t>Paul Mills</t>
        </is>
      </c>
      <c r="F3008" t="inlineStr">
        <is>
          <t>Travel to Ottawa for meetings with senior officials and I-CAN Workshop</t>
        </is>
      </c>
      <c r="G3008" t="inlineStr">
        <is>
          <t>Voyage à Ottawa pour assister à des réunions avec des hauts fonctionnaires et à un atelier d'I-CAN</t>
        </is>
      </c>
      <c r="H3008" s="1" t="n">
        <v>42149</v>
      </c>
      <c r="I3008" s="1" t="n">
        <v>42152</v>
      </c>
      <c r="J3008" t="inlineStr">
        <is>
          <t>Ottawa, Ontario</t>
        </is>
      </c>
      <c r="K3008" t="inlineStr">
        <is>
          <t>Ottawa (Ontario)</t>
        </is>
      </c>
      <c r="P3008" t="n">
        <v>1426.06</v>
      </c>
      <c r="Q3008" t="n">
        <v>186</v>
      </c>
      <c r="R3008" t="n">
        <v>534.63</v>
      </c>
      <c r="S3008" t="n">
        <v>278.8</v>
      </c>
      <c r="T3008" t="n">
        <v>15</v>
      </c>
      <c r="U3008" t="n">
        <v>2440.49</v>
      </c>
      <c r="X3008" t="inlineStr">
        <is>
          <t>acoa-apeca</t>
        </is>
      </c>
      <c r="Y3008" t="inlineStr">
        <is>
          <t>Atlantic Canada Opportunities Agency | Agence de promotion économique du Canada atlantique</t>
        </is>
      </c>
    </row>
    <row r="3009">
      <c r="A3009" t="inlineStr">
        <is>
          <t>T-2016-Q1-00059</t>
        </is>
      </c>
      <c r="B3009" t="inlineStr">
        <is>
          <t>SLE</t>
        </is>
      </c>
      <c r="C3009" t="inlineStr">
        <is>
          <t>Vice-President, Policy and Programs</t>
        </is>
      </c>
      <c r="D3009" t="inlineStr">
        <is>
          <t>Vice-président, Politiques et Programmes</t>
        </is>
      </c>
      <c r="E3009" t="inlineStr">
        <is>
          <t>Daryell Nowlan</t>
        </is>
      </c>
      <c r="F3009" t="inlineStr">
        <is>
          <t>Meetings with Government of Canada officials</t>
        </is>
      </c>
      <c r="G3009" t="inlineStr">
        <is>
          <t>Réunions avec des fonctionnaires du gouvernement du Canada</t>
        </is>
      </c>
      <c r="H3009" s="1" t="n">
        <v>42149</v>
      </c>
      <c r="I3009" s="1" t="n">
        <v>42151</v>
      </c>
      <c r="J3009" t="inlineStr">
        <is>
          <t>Ottawa, Ontario</t>
        </is>
      </c>
      <c r="K3009" t="inlineStr">
        <is>
          <t>Ottawa (Ontario)</t>
        </is>
      </c>
      <c r="P3009" t="n">
        <v>647.52</v>
      </c>
      <c r="Q3009" t="n">
        <v>89</v>
      </c>
      <c r="R3009" t="n">
        <v>393.4</v>
      </c>
      <c r="S3009" t="n">
        <v>154.1</v>
      </c>
      <c r="T3009" t="n">
        <v>0</v>
      </c>
      <c r="U3009" t="n">
        <v>1284.02</v>
      </c>
      <c r="X3009" t="inlineStr">
        <is>
          <t>acoa-apeca</t>
        </is>
      </c>
      <c r="Y3009" t="inlineStr">
        <is>
          <t>Atlantic Canada Opportunities Agency | Agence de promotion économique du Canada atlantique</t>
        </is>
      </c>
    </row>
    <row r="3010">
      <c r="A3010" t="inlineStr">
        <is>
          <t>T-2016-Q1-00058</t>
        </is>
      </c>
      <c r="B3010" t="inlineStr">
        <is>
          <t>SLE</t>
        </is>
      </c>
      <c r="C3010" t="inlineStr">
        <is>
          <t>Vice-President, New Brunswick</t>
        </is>
      </c>
      <c r="D3010" t="inlineStr">
        <is>
          <t>Vice-président, Nouveau-Brunswick</t>
        </is>
      </c>
      <c r="E3010" t="inlineStr">
        <is>
          <t>Kent Estabrooks</t>
        </is>
      </c>
      <c r="F3010" t="inlineStr">
        <is>
          <t>Meetings with Federal Officials and Stakeholders</t>
        </is>
      </c>
      <c r="G3010" t="inlineStr">
        <is>
          <t xml:space="preserve">Réunions avec des fonctionnaires fédéraux et des intervenants </t>
        </is>
      </c>
      <c r="H3010" s="1" t="n">
        <v>42148</v>
      </c>
      <c r="I3010" s="1" t="n">
        <v>42151</v>
      </c>
      <c r="J3010" t="inlineStr">
        <is>
          <t>Ottawa, Ontario</t>
        </is>
      </c>
      <c r="K3010" t="inlineStr">
        <is>
          <t>Ottawa (Ontario)</t>
        </is>
      </c>
      <c r="P3010" t="n">
        <v>892.7</v>
      </c>
      <c r="Q3010" t="n">
        <v>108.5</v>
      </c>
      <c r="R3010" t="n">
        <v>590.1</v>
      </c>
      <c r="S3010" t="n">
        <v>257</v>
      </c>
      <c r="T3010" t="n">
        <v>0</v>
      </c>
      <c r="U3010" t="n">
        <v>1848.3</v>
      </c>
      <c r="X3010" t="inlineStr">
        <is>
          <t>acoa-apeca</t>
        </is>
      </c>
      <c r="Y3010" t="inlineStr">
        <is>
          <t>Atlantic Canada Opportunities Agency | Agence de promotion économique du Canada atlantique</t>
        </is>
      </c>
    </row>
    <row r="3011">
      <c r="A3011" t="inlineStr">
        <is>
          <t>T-2015-Q2-00056</t>
        </is>
      </c>
      <c r="B3011" t="inlineStr">
        <is>
          <t>SLE</t>
        </is>
      </c>
      <c r="C3011" t="inlineStr">
        <is>
          <t>Vice President, Nova Scotia</t>
        </is>
      </c>
      <c r="D3011" t="inlineStr">
        <is>
          <t>Vice-président, Nouvelle-Écosse</t>
        </is>
      </c>
      <c r="E3011" t="inlineStr">
        <is>
          <t>Peter Hogan</t>
        </is>
      </c>
      <c r="F3011" t="inlineStr">
        <is>
          <t>Various Agency events</t>
        </is>
      </c>
      <c r="G3011" t="inlineStr">
        <is>
          <t>Diverses activités de l'Agence</t>
        </is>
      </c>
      <c r="H3011" s="1" t="n">
        <v>41878</v>
      </c>
      <c r="I3011" s="1" t="n">
        <v>41878</v>
      </c>
      <c r="J3011" t="inlineStr">
        <is>
          <t xml:space="preserve">Wolfville, Nova Scotia </t>
        </is>
      </c>
      <c r="K3011" t="inlineStr">
        <is>
          <t>Wolfville (Nouvelle-Écosse)</t>
        </is>
      </c>
      <c r="P3011" t="n">
        <v>0</v>
      </c>
      <c r="Q3011" t="n">
        <v>0</v>
      </c>
      <c r="R3011" t="n">
        <v>0</v>
      </c>
      <c r="S3011" t="n">
        <v>15.25</v>
      </c>
      <c r="T3011" t="n">
        <v>0</v>
      </c>
      <c r="U3011" t="n">
        <v>15.25</v>
      </c>
      <c r="X3011" t="inlineStr">
        <is>
          <t>acoa-apeca</t>
        </is>
      </c>
      <c r="Y3011" t="inlineStr">
        <is>
          <t>Atlantic Canada Opportunities Agency | Agence de promotion économique du Canada atlantique</t>
        </is>
      </c>
    </row>
    <row r="3012">
      <c r="A3012" t="inlineStr">
        <is>
          <t>T-2016-Q1-00057</t>
        </is>
      </c>
      <c r="B3012" t="inlineStr">
        <is>
          <t>SLE</t>
        </is>
      </c>
      <c r="C3012" t="inlineStr">
        <is>
          <t>Vice-President, Prince Edward Island</t>
        </is>
      </c>
      <c r="D3012" t="inlineStr">
        <is>
          <t>Vice-président, Île-du-Prince-Édouard</t>
        </is>
      </c>
      <c r="E3012" t="inlineStr">
        <is>
          <t>Patrick Dorsey</t>
        </is>
      </c>
      <c r="F3012" t="inlineStr">
        <is>
          <t>Meetings with St. Peters Development Corporation</t>
        </is>
      </c>
      <c r="G3012" t="inlineStr">
        <is>
          <t>Réunions avec la société de développement de St. Peters</t>
        </is>
      </c>
      <c r="H3012" s="1" t="n">
        <v>42144</v>
      </c>
      <c r="I3012" s="1" t="n">
        <v>42144</v>
      </c>
      <c r="J3012" t="inlineStr">
        <is>
          <t>St. Peters Bay, Prince Edward Island</t>
        </is>
      </c>
      <c r="K3012" t="inlineStr">
        <is>
          <t>St. Peters Bay (Île-du-Prince-Édouard)</t>
        </is>
      </c>
      <c r="P3012" t="n">
        <v>0</v>
      </c>
      <c r="Q3012" t="n">
        <v>51.7</v>
      </c>
      <c r="R3012" t="n">
        <v>0</v>
      </c>
      <c r="S3012" t="n">
        <v>0</v>
      </c>
      <c r="T3012" t="n">
        <v>0</v>
      </c>
      <c r="U3012" t="n">
        <v>51.7</v>
      </c>
      <c r="X3012" t="inlineStr">
        <is>
          <t>acoa-apeca</t>
        </is>
      </c>
      <c r="Y3012" t="inlineStr">
        <is>
          <t>Atlantic Canada Opportunities Agency | Agence de promotion économique du Canada atlantique</t>
        </is>
      </c>
    </row>
    <row r="3013">
      <c r="A3013" t="inlineStr">
        <is>
          <t>T-2016-Q1-00056</t>
        </is>
      </c>
      <c r="B3013" t="inlineStr">
        <is>
          <t>SLE</t>
        </is>
      </c>
      <c r="C3013" t="inlineStr">
        <is>
          <t>Vice-President, Finance and Corporate Services</t>
        </is>
      </c>
      <c r="D3013" t="inlineStr">
        <is>
          <t>Vice-présidente, Finances et Services corporatifs</t>
        </is>
      </c>
      <c r="E3013" t="inlineStr">
        <is>
          <t>Denise Frenette</t>
        </is>
      </c>
      <c r="F3013" t="inlineStr">
        <is>
          <t>For meeting with various Government of Canada officials</t>
        </is>
      </c>
      <c r="G3013" t="inlineStr">
        <is>
          <t>Réunion avec divers fonctionnaires du gouvernement du Canada</t>
        </is>
      </c>
      <c r="H3013" s="1" t="n">
        <v>42144</v>
      </c>
      <c r="I3013" s="1" t="n">
        <v>42145</v>
      </c>
      <c r="J3013" t="inlineStr">
        <is>
          <t>Ottawa, Ontario</t>
        </is>
      </c>
      <c r="K3013" t="inlineStr">
        <is>
          <t>Ottawa (Ontario)</t>
        </is>
      </c>
      <c r="P3013" t="n">
        <v>658.39</v>
      </c>
      <c r="Q3013" t="n">
        <v>101.43</v>
      </c>
      <c r="R3013" t="n">
        <v>179.24</v>
      </c>
      <c r="S3013" t="n">
        <v>155.41</v>
      </c>
      <c r="T3013" t="n">
        <v>0</v>
      </c>
      <c r="U3013" t="n">
        <v>1094.47</v>
      </c>
      <c r="X3013" t="inlineStr">
        <is>
          <t>acoa-apeca</t>
        </is>
      </c>
      <c r="Y3013" t="inlineStr">
        <is>
          <t>Atlantic Canada Opportunities Agency | Agence de promotion économique du Canada atlantique</t>
        </is>
      </c>
    </row>
    <row r="3014">
      <c r="A3014" t="inlineStr">
        <is>
          <t>T-2016-Q1-00055</t>
        </is>
      </c>
      <c r="B3014" t="inlineStr">
        <is>
          <t>SLE</t>
        </is>
      </c>
      <c r="C3014" t="inlineStr">
        <is>
          <t>Vice-President, New Brunswick</t>
        </is>
      </c>
      <c r="D3014" t="inlineStr">
        <is>
          <t>Vice-président, Nouveau-Brunswick</t>
        </is>
      </c>
      <c r="E3014" t="inlineStr">
        <is>
          <t>Kent Estabrooks</t>
        </is>
      </c>
      <c r="F3014" t="inlineStr">
        <is>
          <t>Stakeholders and Agency Officials Meetings</t>
        </is>
      </c>
      <c r="G3014" t="inlineStr">
        <is>
          <t xml:space="preserve">Réunions avec des intervenants et des fonctionnaires de l'Agence </t>
        </is>
      </c>
      <c r="H3014" s="1" t="n">
        <v>42143</v>
      </c>
      <c r="I3014" s="1" t="n">
        <v>42145</v>
      </c>
      <c r="J3014" t="inlineStr">
        <is>
          <t>Campbellton, New Brunswick</t>
        </is>
      </c>
      <c r="K3014" t="inlineStr">
        <is>
          <t>Campbellton (Nouveau-Brunswick)</t>
        </is>
      </c>
      <c r="P3014" t="n">
        <v>0</v>
      </c>
      <c r="Q3014" t="n">
        <v>0</v>
      </c>
      <c r="R3014" t="n">
        <v>239.9</v>
      </c>
      <c r="S3014" t="n">
        <v>170.7</v>
      </c>
      <c r="T3014" t="n">
        <v>0</v>
      </c>
      <c r="U3014" t="n">
        <v>410.6</v>
      </c>
      <c r="X3014" t="inlineStr">
        <is>
          <t>acoa-apeca</t>
        </is>
      </c>
      <c r="Y3014" t="inlineStr">
        <is>
          <t>Atlantic Canada Opportunities Agency | Agence de promotion économique du Canada atlantique</t>
        </is>
      </c>
    </row>
    <row r="3015">
      <c r="A3015" t="inlineStr">
        <is>
          <t>T-2016-Q1-00054</t>
        </is>
      </c>
      <c r="B3015" t="inlineStr">
        <is>
          <t>MPSES</t>
        </is>
      </c>
      <c r="C3015" t="inlineStr">
        <is>
          <t>Minister of State</t>
        </is>
      </c>
      <c r="D3015" t="inlineStr">
        <is>
          <t>Ministre d'État</t>
        </is>
      </c>
      <c r="E3015" t="inlineStr">
        <is>
          <t>Rob Moore</t>
        </is>
      </c>
      <c r="F3015" t="inlineStr">
        <is>
          <t>Travel to attend Government of Canada announcement</t>
        </is>
      </c>
      <c r="G3015" t="inlineStr">
        <is>
          <t>Voyage pour assister à une annonce du gouvernement du Canada</t>
        </is>
      </c>
      <c r="H3015" s="1" t="n">
        <v>42143</v>
      </c>
      <c r="I3015" s="1" t="n">
        <v>42143</v>
      </c>
      <c r="J3015" t="inlineStr">
        <is>
          <t>Grand Falls, New Brunswick</t>
        </is>
      </c>
      <c r="K3015" t="inlineStr">
        <is>
          <t>Grand-Sault (Nouveau-Brunswick)</t>
        </is>
      </c>
      <c r="P3015" t="n">
        <v>0</v>
      </c>
      <c r="Q3015" t="n">
        <v>316.78</v>
      </c>
      <c r="R3015" t="n">
        <v>0</v>
      </c>
      <c r="S3015" t="n">
        <v>16.6</v>
      </c>
      <c r="T3015" t="n">
        <v>0</v>
      </c>
      <c r="U3015" t="n">
        <v>333.38</v>
      </c>
      <c r="X3015" t="inlineStr">
        <is>
          <t>acoa-apeca</t>
        </is>
      </c>
      <c r="Y3015" t="inlineStr">
        <is>
          <t>Atlantic Canada Opportunities Agency | Agence de promotion économique du Canada atlantique</t>
        </is>
      </c>
    </row>
    <row r="3016">
      <c r="A3016" t="inlineStr">
        <is>
          <t>T-2016-Q1-00053</t>
        </is>
      </c>
      <c r="B3016" t="inlineStr">
        <is>
          <t>MPSES</t>
        </is>
      </c>
      <c r="C3016" t="inlineStr">
        <is>
          <t>Minister of State</t>
        </is>
      </c>
      <c r="D3016" t="inlineStr">
        <is>
          <t>Ministre d'État</t>
        </is>
      </c>
      <c r="E3016" t="inlineStr">
        <is>
          <t>Rob Moore</t>
        </is>
      </c>
      <c r="F3016" t="inlineStr">
        <is>
          <t>Travel to attend Government of Canada announcements and meetings</t>
        </is>
      </c>
      <c r="G3016" t="inlineStr">
        <is>
          <t>Voyage pour assister à des annonces du gouvernement du Canada et à des réunions</t>
        </is>
      </c>
      <c r="H3016" s="1" t="n">
        <v>42143</v>
      </c>
      <c r="I3016" s="1" t="n">
        <v>42144</v>
      </c>
      <c r="J3016" t="inlineStr">
        <is>
          <t>St. John's, Newfoundland and Labrador</t>
        </is>
      </c>
      <c r="K3016" t="inlineStr">
        <is>
          <t>St. John's (Terre-Neuve-et-Labrador)</t>
        </is>
      </c>
      <c r="P3016" t="n">
        <v>1597.08</v>
      </c>
      <c r="Q3016" t="n">
        <v>19.74</v>
      </c>
      <c r="R3016" t="n">
        <v>211.77</v>
      </c>
      <c r="S3016" t="n">
        <v>76.09999999999999</v>
      </c>
      <c r="T3016" t="n">
        <v>0</v>
      </c>
      <c r="U3016" t="n">
        <v>1904.69</v>
      </c>
      <c r="X3016" t="inlineStr">
        <is>
          <t>acoa-apeca</t>
        </is>
      </c>
      <c r="Y3016" t="inlineStr">
        <is>
          <t>Atlantic Canada Opportunities Agency | Agence de promotion économique du Canada atlantique</t>
        </is>
      </c>
    </row>
    <row r="3017">
      <c r="A3017" t="inlineStr">
        <is>
          <t>T-2016-Q1-00052</t>
        </is>
      </c>
      <c r="B3017" t="inlineStr">
        <is>
          <t>MPSES</t>
        </is>
      </c>
      <c r="C3017" t="inlineStr">
        <is>
          <t>Executive Assistant</t>
        </is>
      </c>
      <c r="D3017" t="inlineStr">
        <is>
          <t>Adjoint exécutif</t>
        </is>
      </c>
      <c r="E3017" t="inlineStr">
        <is>
          <t>Josh Hardy</t>
        </is>
      </c>
      <c r="F3017" t="inlineStr">
        <is>
          <t>Travel for Government Business</t>
        </is>
      </c>
      <c r="G3017" t="inlineStr">
        <is>
          <t>Voyage pour le compte du gouvernement</t>
        </is>
      </c>
      <c r="H3017" s="1" t="n">
        <v>42142</v>
      </c>
      <c r="I3017" s="1" t="n">
        <v>42147</v>
      </c>
      <c r="J3017" t="inlineStr">
        <is>
          <t>Moncton and Saint John, New Brunswick; St. John's, Newfoundland and Labrador</t>
        </is>
      </c>
      <c r="K3017" t="inlineStr">
        <is>
          <t>Moncton et Saint John (Nouveau-Brunswick); St. John's (Terre-Neuve-et-Labrador)</t>
        </is>
      </c>
      <c r="P3017" t="n">
        <v>2218.13</v>
      </c>
      <c r="Q3017" t="n">
        <v>682.09</v>
      </c>
      <c r="R3017" t="n">
        <v>211.77</v>
      </c>
      <c r="S3017" t="n">
        <v>413.6</v>
      </c>
      <c r="T3017" t="n">
        <v>0</v>
      </c>
      <c r="U3017" t="n">
        <v>3525.59</v>
      </c>
      <c r="X3017" t="inlineStr">
        <is>
          <t>acoa-apeca</t>
        </is>
      </c>
      <c r="Y3017" t="inlineStr">
        <is>
          <t>Atlantic Canada Opportunities Agency | Agence de promotion économique du Canada atlantique</t>
        </is>
      </c>
    </row>
    <row r="3018">
      <c r="A3018" t="inlineStr">
        <is>
          <t>T-2016-Q1-00051</t>
        </is>
      </c>
      <c r="B3018" t="inlineStr">
        <is>
          <t>MPSES</t>
        </is>
      </c>
      <c r="C3018" t="inlineStr">
        <is>
          <t>Minister of State</t>
        </is>
      </c>
      <c r="D3018" t="inlineStr">
        <is>
          <t>Ministre d'État</t>
        </is>
      </c>
      <c r="E3018" t="inlineStr">
        <is>
          <t>Rob Moore</t>
        </is>
      </c>
      <c r="F3018" t="inlineStr">
        <is>
          <t>Travel to attend Government of Canada announcement</t>
        </is>
      </c>
      <c r="G3018" t="inlineStr">
        <is>
          <t>Voyage pour assister à une annonce du gouvernement du Canada</t>
        </is>
      </c>
      <c r="H3018" s="1" t="n">
        <v>42139</v>
      </c>
      <c r="I3018" s="1" t="n">
        <v>42139</v>
      </c>
      <c r="J3018" t="inlineStr">
        <is>
          <t>Truro, Nova Scotia</t>
        </is>
      </c>
      <c r="K3018" t="inlineStr">
        <is>
          <t>Truro (Nouvelle-Écosse)</t>
        </is>
      </c>
      <c r="P3018" t="n">
        <v>0</v>
      </c>
      <c r="Q3018" t="n">
        <v>282.47</v>
      </c>
      <c r="R3018" t="n">
        <v>0</v>
      </c>
      <c r="S3018" t="n">
        <v>16.6</v>
      </c>
      <c r="T3018" t="n">
        <v>0</v>
      </c>
      <c r="U3018" t="n">
        <v>299.07</v>
      </c>
      <c r="X3018" t="inlineStr">
        <is>
          <t>acoa-apeca</t>
        </is>
      </c>
      <c r="Y3018" t="inlineStr">
        <is>
          <t>Atlantic Canada Opportunities Agency | Agence de promotion économique du Canada atlantique</t>
        </is>
      </c>
    </row>
    <row r="3019">
      <c r="A3019" t="inlineStr">
        <is>
          <t>T-2016-Q1-00049</t>
        </is>
      </c>
      <c r="B3019" t="inlineStr">
        <is>
          <t>SLE</t>
        </is>
      </c>
      <c r="C3019" t="inlineStr">
        <is>
          <t>Vice-President, Newfoundland and Labrador</t>
        </is>
      </c>
      <c r="D3019" t="inlineStr">
        <is>
          <t>Vice-président, Terre-Neuve-et-Labrador</t>
        </is>
      </c>
      <c r="E3019" t="inlineStr">
        <is>
          <t>Paul Mills</t>
        </is>
      </c>
      <c r="F3019" t="inlineStr">
        <is>
          <t>Meetings in Gros Morne and Corner Brook, Newfoundland and Labrador</t>
        </is>
      </c>
      <c r="G3019" t="inlineStr">
        <is>
          <t>Réunions à Gros Morne et à Corner Brook (Terre-Neuve-et-Labrador)</t>
        </is>
      </c>
      <c r="H3019" s="1" t="n">
        <v>42137</v>
      </c>
      <c r="I3019" s="1" t="n">
        <v>42140</v>
      </c>
      <c r="J3019" t="inlineStr">
        <is>
          <t>Rocky Harbour, Newfoundland and Labrador</t>
        </is>
      </c>
      <c r="K3019" t="inlineStr">
        <is>
          <t>Rocky Harbour (Terre-Neuve-et-Labrador)</t>
        </is>
      </c>
      <c r="P3019" t="n">
        <v>0</v>
      </c>
      <c r="Q3019" t="n">
        <v>844</v>
      </c>
      <c r="R3019" t="n">
        <v>407.16</v>
      </c>
      <c r="S3019" t="n">
        <v>354.8</v>
      </c>
      <c r="T3019" t="n">
        <v>8.56</v>
      </c>
      <c r="U3019" t="n">
        <v>1614.52</v>
      </c>
      <c r="X3019" t="inlineStr">
        <is>
          <t>acoa-apeca</t>
        </is>
      </c>
      <c r="Y3019" t="inlineStr">
        <is>
          <t>Atlantic Canada Opportunities Agency | Agence de promotion économique du Canada atlantique</t>
        </is>
      </c>
    </row>
    <row r="3020">
      <c r="A3020" t="inlineStr">
        <is>
          <t>T-2016-Q1-00048</t>
        </is>
      </c>
      <c r="B3020" t="inlineStr">
        <is>
          <t>SLE</t>
        </is>
      </c>
      <c r="C3020" t="inlineStr">
        <is>
          <t>Vice-President, New Brunswick</t>
        </is>
      </c>
      <c r="D3020" t="inlineStr">
        <is>
          <t>Vice-président, Nouveau-Brunswick</t>
        </is>
      </c>
      <c r="E3020" t="inlineStr">
        <is>
          <t>Kent Estabrooks</t>
        </is>
      </c>
      <c r="F3020" t="inlineStr">
        <is>
          <t>Meetings with various Federal Officials and Agency Officials</t>
        </is>
      </c>
      <c r="G3020" t="inlineStr">
        <is>
          <t>Réunions avec divers fonctionnaires fédéraux et de l'Agence</t>
        </is>
      </c>
      <c r="H3020" s="1" t="n">
        <v>42135</v>
      </c>
      <c r="I3020" s="1" t="n">
        <v>42136</v>
      </c>
      <c r="J3020" t="inlineStr">
        <is>
          <t>Ottawa, Ontario</t>
        </is>
      </c>
      <c r="K3020" t="inlineStr">
        <is>
          <t>Ottawa (Ontario)</t>
        </is>
      </c>
      <c r="P3020" t="n">
        <v>892.7</v>
      </c>
      <c r="Q3020" t="n">
        <v>118.3</v>
      </c>
      <c r="R3020" t="n">
        <v>196.7</v>
      </c>
      <c r="S3020" t="n">
        <v>136.8</v>
      </c>
      <c r="T3020" t="n">
        <v>0</v>
      </c>
      <c r="U3020" t="n">
        <v>1344.5</v>
      </c>
      <c r="X3020" t="inlineStr">
        <is>
          <t>acoa-apeca</t>
        </is>
      </c>
      <c r="Y3020" t="inlineStr">
        <is>
          <t>Atlantic Canada Opportunities Agency | Agence de promotion économique du Canada atlantique</t>
        </is>
      </c>
    </row>
    <row r="3021">
      <c r="A3021" t="inlineStr">
        <is>
          <t>T-2016-Q1-00047</t>
        </is>
      </c>
      <c r="B3021" t="inlineStr">
        <is>
          <t>MPSES</t>
        </is>
      </c>
      <c r="C3021" t="inlineStr">
        <is>
          <t>Regional Affairs Director - New Brunswick</t>
        </is>
      </c>
      <c r="D3021" t="inlineStr">
        <is>
          <t>Directeur des affaires régionales - Nouveau-Brunswick</t>
        </is>
      </c>
      <c r="E3021" t="inlineStr">
        <is>
          <t>Douglas MacDonald</t>
        </is>
      </c>
      <c r="F3021" t="inlineStr">
        <is>
          <t>Travel on Government business</t>
        </is>
      </c>
      <c r="G3021" t="inlineStr">
        <is>
          <t>Voyage pour le compte du gouvernement</t>
        </is>
      </c>
      <c r="H3021" s="1" t="n">
        <v>42135</v>
      </c>
      <c r="I3021" s="1" t="n">
        <v>42135</v>
      </c>
      <c r="J3021" t="inlineStr">
        <is>
          <t>Miramichi and Moncton, New Brunswick</t>
        </is>
      </c>
      <c r="K3021" t="inlineStr">
        <is>
          <t>Miramichi et Moncton (Nouveau-Brunswick)</t>
        </is>
      </c>
      <c r="P3021" t="n">
        <v>0</v>
      </c>
      <c r="Q3021" t="n">
        <v>255.68</v>
      </c>
      <c r="R3021" t="n">
        <v>0</v>
      </c>
      <c r="S3021" t="n">
        <v>16.6</v>
      </c>
      <c r="T3021" t="n">
        <v>0</v>
      </c>
      <c r="U3021" t="n">
        <v>272.28</v>
      </c>
      <c r="X3021" t="inlineStr">
        <is>
          <t>acoa-apeca</t>
        </is>
      </c>
      <c r="Y3021" t="inlineStr">
        <is>
          <t>Atlantic Canada Opportunities Agency | Agence de promotion économique du Canada atlantique</t>
        </is>
      </c>
    </row>
    <row r="3022">
      <c r="A3022" t="inlineStr">
        <is>
          <t>T-2016-Q1-00046</t>
        </is>
      </c>
      <c r="B3022" t="inlineStr">
        <is>
          <t>MPSES</t>
        </is>
      </c>
      <c r="C3022" t="inlineStr">
        <is>
          <t>Minister of State</t>
        </is>
      </c>
      <c r="D3022" t="inlineStr">
        <is>
          <t>Ministre d'État</t>
        </is>
      </c>
      <c r="E3022" t="inlineStr">
        <is>
          <t>Rob Moore</t>
        </is>
      </c>
      <c r="F3022" t="inlineStr">
        <is>
          <t>Travel to attend Government of Canada announcement</t>
        </is>
      </c>
      <c r="G3022" t="inlineStr">
        <is>
          <t>Voyage pour assister à une annonce du gouvernement du Canada</t>
        </is>
      </c>
      <c r="H3022" s="1" t="n">
        <v>42135</v>
      </c>
      <c r="I3022" s="1" t="n">
        <v>42135</v>
      </c>
      <c r="J3022" t="inlineStr">
        <is>
          <t>Miramichi, New Brunswick</t>
        </is>
      </c>
      <c r="K3022" t="inlineStr">
        <is>
          <t>Miramichi (Nouveau-Brunswick)</t>
        </is>
      </c>
      <c r="P3022" t="n">
        <v>0</v>
      </c>
      <c r="Q3022" t="n">
        <v>0</v>
      </c>
      <c r="R3022" t="n">
        <v>0</v>
      </c>
      <c r="S3022" t="n">
        <v>16.6</v>
      </c>
      <c r="T3022" t="n">
        <v>0</v>
      </c>
      <c r="U3022" t="n">
        <v>16.6</v>
      </c>
      <c r="X3022" t="inlineStr">
        <is>
          <t>acoa-apeca</t>
        </is>
      </c>
      <c r="Y3022" t="inlineStr">
        <is>
          <t>Atlantic Canada Opportunities Agency | Agence de promotion économique du Canada atlantique</t>
        </is>
      </c>
    </row>
    <row r="3023">
      <c r="A3023" t="inlineStr">
        <is>
          <t>T-2016-Q1-00045</t>
        </is>
      </c>
      <c r="B3023" t="inlineStr">
        <is>
          <t>SLE</t>
        </is>
      </c>
      <c r="C3023" t="inlineStr">
        <is>
          <t>President</t>
        </is>
      </c>
      <c r="D3023" t="inlineStr">
        <is>
          <t>Président</t>
        </is>
      </c>
      <c r="E3023" t="inlineStr">
        <is>
          <t>Paul J. LeBlanc</t>
        </is>
      </c>
      <c r="F3023" t="inlineStr">
        <is>
          <t>For various meetings and discussions with Agency and Government of Canada officials</t>
        </is>
      </c>
      <c r="G3023" t="inlineStr">
        <is>
          <t>Diverses réunions et discussions avec des fonctionnaires de l'Agence et du gouvernement du Canada</t>
        </is>
      </c>
      <c r="H3023" s="1" t="n">
        <v>42135</v>
      </c>
      <c r="I3023" s="1" t="n">
        <v>42137</v>
      </c>
      <c r="J3023" t="inlineStr">
        <is>
          <t>Ottawa, Ontario</t>
        </is>
      </c>
      <c r="K3023" t="inlineStr">
        <is>
          <t>Ottawa (Ontario)</t>
        </is>
      </c>
      <c r="P3023" t="n">
        <v>1117.23</v>
      </c>
      <c r="Q3023" t="n">
        <v>0</v>
      </c>
      <c r="R3023" t="n">
        <v>393.4</v>
      </c>
      <c r="S3023" t="n">
        <v>186.7</v>
      </c>
      <c r="T3023" t="n">
        <v>32</v>
      </c>
      <c r="U3023" t="n">
        <v>1729.33</v>
      </c>
      <c r="X3023" t="inlineStr">
        <is>
          <t>acoa-apeca</t>
        </is>
      </c>
      <c r="Y3023" t="inlineStr">
        <is>
          <t>Atlantic Canada Opportunities Agency | Agence de promotion économique du Canada atlantique</t>
        </is>
      </c>
    </row>
    <row r="3024">
      <c r="A3024" t="inlineStr">
        <is>
          <t>T-2016-Q1-00044</t>
        </is>
      </c>
      <c r="B3024" t="inlineStr">
        <is>
          <t>SLE</t>
        </is>
      </c>
      <c r="C3024" t="inlineStr">
        <is>
          <t>Vice-President, Policy and Programs</t>
        </is>
      </c>
      <c r="D3024" t="inlineStr">
        <is>
          <t>Vice-président, Politiques et Programmes</t>
        </is>
      </c>
      <c r="E3024" t="inlineStr">
        <is>
          <t>Daryell Nowlan</t>
        </is>
      </c>
      <c r="F3024" t="inlineStr">
        <is>
          <t>Meetings with Government of Canada officials</t>
        </is>
      </c>
      <c r="G3024" t="inlineStr">
        <is>
          <t>Réunions avec des fonctionnaires du gouvernement du Canada</t>
        </is>
      </c>
      <c r="H3024" s="1" t="n">
        <v>42135</v>
      </c>
      <c r="I3024" s="1" t="n">
        <v>42139</v>
      </c>
      <c r="J3024" t="inlineStr">
        <is>
          <t>Ottawa, Ontario</t>
        </is>
      </c>
      <c r="K3024" t="inlineStr">
        <is>
          <t>Ottawa (Ontario)</t>
        </is>
      </c>
      <c r="P3024" t="n">
        <v>743.54</v>
      </c>
      <c r="Q3024" t="n">
        <v>150</v>
      </c>
      <c r="R3024" t="n">
        <v>786.8</v>
      </c>
      <c r="S3024" t="n">
        <v>323.5</v>
      </c>
      <c r="T3024" t="n">
        <v>0</v>
      </c>
      <c r="U3024" t="n">
        <v>2003.84</v>
      </c>
      <c r="X3024" t="inlineStr">
        <is>
          <t>acoa-apeca</t>
        </is>
      </c>
      <c r="Y3024" t="inlineStr">
        <is>
          <t>Atlantic Canada Opportunities Agency | Agence de promotion économique du Canada atlantique</t>
        </is>
      </c>
    </row>
    <row r="3025">
      <c r="A3025" t="inlineStr">
        <is>
          <t>T-2016-Q1-00043</t>
        </is>
      </c>
      <c r="B3025" t="inlineStr">
        <is>
          <t>SLE</t>
        </is>
      </c>
      <c r="C3025" t="inlineStr">
        <is>
          <t>Vice-President, Prince Edward Island</t>
        </is>
      </c>
      <c r="D3025" t="inlineStr">
        <is>
          <t>Vice-président, Île-du-Prince-Édouard</t>
        </is>
      </c>
      <c r="E3025" t="inlineStr">
        <is>
          <t>Patrick Dorsey</t>
        </is>
      </c>
      <c r="F3025" t="inlineStr">
        <is>
          <t>Public Service Executives Network Conference</t>
        </is>
      </c>
      <c r="G3025" t="inlineStr">
        <is>
          <t>Conférence du Réseau des cadres du secteur public</t>
        </is>
      </c>
      <c r="H3025" s="1" t="n">
        <v>42134</v>
      </c>
      <c r="I3025" s="1" t="n">
        <v>42136</v>
      </c>
      <c r="J3025" t="inlineStr">
        <is>
          <t>Ottawa, Ontario</t>
        </is>
      </c>
      <c r="K3025" t="inlineStr">
        <is>
          <t>Ottawa (Ontario)</t>
        </is>
      </c>
      <c r="P3025" t="n">
        <v>843.5599999999999</v>
      </c>
      <c r="Q3025" t="n">
        <v>125.75</v>
      </c>
      <c r="R3025" t="n">
        <v>370.12</v>
      </c>
      <c r="S3025" t="n">
        <v>212.9</v>
      </c>
      <c r="T3025" t="n">
        <v>0</v>
      </c>
      <c r="U3025" t="n">
        <v>1552.33</v>
      </c>
      <c r="X3025" t="inlineStr">
        <is>
          <t>acoa-apeca</t>
        </is>
      </c>
      <c r="Y3025" t="inlineStr">
        <is>
          <t>Atlantic Canada Opportunities Agency | Agence de promotion économique du Canada atlantique</t>
        </is>
      </c>
    </row>
    <row r="3026">
      <c r="A3026" t="inlineStr">
        <is>
          <t>T-2016-Q1-00042</t>
        </is>
      </c>
      <c r="B3026" t="inlineStr">
        <is>
          <t>SLE</t>
        </is>
      </c>
      <c r="C3026" t="inlineStr">
        <is>
          <t>Vice-President, New Brunswick</t>
        </is>
      </c>
      <c r="D3026" t="inlineStr">
        <is>
          <t>Vice-président, Nouveau-Brunswick</t>
        </is>
      </c>
      <c r="E3026" t="inlineStr">
        <is>
          <t>Kent Estabrooks</t>
        </is>
      </c>
      <c r="F3026" t="inlineStr">
        <is>
          <t>Executive Committee Meeting</t>
        </is>
      </c>
      <c r="G3026" t="inlineStr">
        <is>
          <t>Réunion du Comité de direction</t>
        </is>
      </c>
      <c r="H3026" s="1" t="n">
        <v>42130</v>
      </c>
      <c r="I3026" s="1" t="n">
        <v>42131</v>
      </c>
      <c r="J3026" t="inlineStr">
        <is>
          <t>Moncton, New Brunswick</t>
        </is>
      </c>
      <c r="K3026" t="inlineStr">
        <is>
          <t>Moncton (Nouveau-Brunswick)</t>
        </is>
      </c>
      <c r="P3026" t="n">
        <v>0</v>
      </c>
      <c r="Q3026" t="n">
        <v>0</v>
      </c>
      <c r="R3026" t="n">
        <v>138.43</v>
      </c>
      <c r="S3026" t="n">
        <v>136.8</v>
      </c>
      <c r="T3026" t="n">
        <v>0</v>
      </c>
      <c r="U3026" t="n">
        <v>275.23</v>
      </c>
      <c r="X3026" t="inlineStr">
        <is>
          <t>acoa-apeca</t>
        </is>
      </c>
      <c r="Y3026" t="inlineStr">
        <is>
          <t>Atlantic Canada Opportunities Agency | Agence de promotion économique du Canada atlantique</t>
        </is>
      </c>
    </row>
    <row r="3027">
      <c r="A3027" t="inlineStr">
        <is>
          <t>T-2016-Q1-00041</t>
        </is>
      </c>
      <c r="B3027" t="inlineStr">
        <is>
          <t>SLE</t>
        </is>
      </c>
      <c r="C3027" t="inlineStr">
        <is>
          <t>Vice President, Nova Scotia</t>
        </is>
      </c>
      <c r="D3027" t="inlineStr">
        <is>
          <t>Vice-président, Nouvelle-Écosse</t>
        </is>
      </c>
      <c r="E3027" t="inlineStr">
        <is>
          <t>Peter Hogan</t>
        </is>
      </c>
      <c r="F3027" t="inlineStr">
        <is>
          <t>Meeting with Agency Officials</t>
        </is>
      </c>
      <c r="G3027" t="inlineStr">
        <is>
          <t>Réunion avec des fonctionnaires de l'Agence</t>
        </is>
      </c>
      <c r="H3027" s="1" t="n">
        <v>42130</v>
      </c>
      <c r="I3027" s="1" t="n">
        <v>42131</v>
      </c>
      <c r="J3027" t="inlineStr">
        <is>
          <t>Moncton, New Brunswick</t>
        </is>
      </c>
      <c r="K3027" t="inlineStr">
        <is>
          <t>Moncton (Nouveau-Brunswick)</t>
        </is>
      </c>
      <c r="P3027" t="n">
        <v>0</v>
      </c>
      <c r="Q3027" t="n">
        <v>175.06</v>
      </c>
      <c r="R3027" t="n">
        <v>145.77</v>
      </c>
      <c r="S3027" t="n">
        <v>120.2</v>
      </c>
      <c r="T3027" t="n">
        <v>0</v>
      </c>
      <c r="U3027" t="n">
        <v>441.03</v>
      </c>
      <c r="X3027" t="inlineStr">
        <is>
          <t>acoa-apeca</t>
        </is>
      </c>
      <c r="Y3027" t="inlineStr">
        <is>
          <t>Atlantic Canada Opportunities Agency | Agence de promotion économique du Canada atlantique</t>
        </is>
      </c>
    </row>
    <row r="3028">
      <c r="A3028" t="inlineStr">
        <is>
          <t>T-2016-Q1-00040</t>
        </is>
      </c>
      <c r="B3028" t="inlineStr">
        <is>
          <t>SLE</t>
        </is>
      </c>
      <c r="C3028" t="inlineStr">
        <is>
          <t>Vice-President, Newfoundland and Labrador</t>
        </is>
      </c>
      <c r="D3028" t="inlineStr">
        <is>
          <t>Vice-président, Terre-Neuve-et-Labrador</t>
        </is>
      </c>
      <c r="E3028" t="inlineStr">
        <is>
          <t>Paul Mills</t>
        </is>
      </c>
      <c r="F3028" t="inlineStr">
        <is>
          <t>Executive Committee Meeting in Moncton, New Brunswick</t>
        </is>
      </c>
      <c r="G3028" t="inlineStr">
        <is>
          <t>Réunion du Comité de direction à Moncton (Nouveau-Brunswick)</t>
        </is>
      </c>
      <c r="H3028" s="1" t="n">
        <v>42130</v>
      </c>
      <c r="I3028" s="1" t="n">
        <v>42132</v>
      </c>
      <c r="J3028" t="inlineStr">
        <is>
          <t>Moncton, New Brunswick</t>
        </is>
      </c>
      <c r="K3028" t="inlineStr">
        <is>
          <t>Moncton (Nouveau-Brunswick)</t>
        </is>
      </c>
      <c r="P3028" t="n">
        <v>1426.06</v>
      </c>
      <c r="Q3028" t="n">
        <v>195.78</v>
      </c>
      <c r="R3028" t="n">
        <v>297.95</v>
      </c>
      <c r="S3028" t="n">
        <v>186.1</v>
      </c>
      <c r="T3028" t="n">
        <v>23.02</v>
      </c>
      <c r="U3028" t="n">
        <v>2128.91</v>
      </c>
      <c r="X3028" t="inlineStr">
        <is>
          <t>acoa-apeca</t>
        </is>
      </c>
      <c r="Y3028" t="inlineStr">
        <is>
          <t>Atlantic Canada Opportunities Agency | Agence de promotion économique du Canada atlantique</t>
        </is>
      </c>
    </row>
    <row r="3029">
      <c r="A3029" t="inlineStr">
        <is>
          <t>T-2016-Q1-00039</t>
        </is>
      </c>
      <c r="B3029" t="inlineStr">
        <is>
          <t>SLE</t>
        </is>
      </c>
      <c r="C3029" t="inlineStr">
        <is>
          <t>Vice-President, Prince Edward Island</t>
        </is>
      </c>
      <c r="D3029" t="inlineStr">
        <is>
          <t>Vice-président, Île-du-Prince-Édouard</t>
        </is>
      </c>
      <c r="E3029" t="inlineStr">
        <is>
          <t>Patrick Dorsey</t>
        </is>
      </c>
      <c r="F3029" t="inlineStr">
        <is>
          <t>Executive Committee Meeting in Moncton</t>
        </is>
      </c>
      <c r="G3029" t="inlineStr">
        <is>
          <t>Réunion du Comité de direction à Moncton</t>
        </is>
      </c>
      <c r="H3029" s="1" t="n">
        <v>42130</v>
      </c>
      <c r="I3029" s="1" t="n">
        <v>42131</v>
      </c>
      <c r="J3029" t="inlineStr">
        <is>
          <t>Moncton, New Brunswick</t>
        </is>
      </c>
      <c r="K3029" t="inlineStr">
        <is>
          <t>Moncton (Nouveau-Brunswick)</t>
        </is>
      </c>
      <c r="P3029" t="n">
        <v>0</v>
      </c>
      <c r="Q3029" t="n">
        <v>0</v>
      </c>
      <c r="R3029" t="n">
        <v>145.77</v>
      </c>
      <c r="S3029" t="n">
        <v>120.2</v>
      </c>
      <c r="T3029" t="n">
        <v>45.5</v>
      </c>
      <c r="U3029" t="n">
        <v>311.47</v>
      </c>
      <c r="X3029" t="inlineStr">
        <is>
          <t>acoa-apeca</t>
        </is>
      </c>
      <c r="Y3029" t="inlineStr">
        <is>
          <t>Atlantic Canada Opportunities Agency | Agence de promotion économique du Canada atlantique</t>
        </is>
      </c>
    </row>
    <row r="3030">
      <c r="A3030" t="inlineStr">
        <is>
          <t>T-2016-Q1-00038</t>
        </is>
      </c>
      <c r="B3030" t="inlineStr">
        <is>
          <t>SLE</t>
        </is>
      </c>
      <c r="C3030" t="inlineStr">
        <is>
          <t>President</t>
        </is>
      </c>
      <c r="D3030" t="inlineStr">
        <is>
          <t>Président</t>
        </is>
      </c>
      <c r="E3030" t="inlineStr">
        <is>
          <t>Paul J. LeBlanc</t>
        </is>
      </c>
      <c r="F3030" t="inlineStr">
        <is>
          <t>For various meetings and discussions with Agency and Government of Canada officials</t>
        </is>
      </c>
      <c r="G3030" t="inlineStr">
        <is>
          <t>Diverses réunions et discussions avec des fonctionnaires de l'Agence et du gouvernement du Canada</t>
        </is>
      </c>
      <c r="H3030" s="1" t="n">
        <v>42129</v>
      </c>
      <c r="I3030" s="1" t="n">
        <v>42130</v>
      </c>
      <c r="J3030" t="inlineStr">
        <is>
          <t>Ottawa, Ontario</t>
        </is>
      </c>
      <c r="K3030" t="inlineStr">
        <is>
          <t>Ottawa (Ontario)</t>
        </is>
      </c>
      <c r="P3030" t="n">
        <v>702.48</v>
      </c>
      <c r="Q3030" t="n">
        <v>0</v>
      </c>
      <c r="R3030" t="n">
        <v>196.7</v>
      </c>
      <c r="S3030" t="n">
        <v>126.6</v>
      </c>
      <c r="T3030" t="n">
        <v>0</v>
      </c>
      <c r="U3030" t="n">
        <v>1025.78</v>
      </c>
      <c r="X3030" t="inlineStr">
        <is>
          <t>acoa-apeca</t>
        </is>
      </c>
      <c r="Y3030" t="inlineStr">
        <is>
          <t>Atlantic Canada Opportunities Agency | Agence de promotion économique du Canada atlantique</t>
        </is>
      </c>
    </row>
    <row r="3031">
      <c r="A3031" t="inlineStr">
        <is>
          <t>T-2016-Q1-00037</t>
        </is>
      </c>
      <c r="B3031" t="inlineStr">
        <is>
          <t>MPSES</t>
        </is>
      </c>
      <c r="C3031" t="inlineStr">
        <is>
          <t>Regional Affairs Director - New Brunswick</t>
        </is>
      </c>
      <c r="D3031" t="inlineStr">
        <is>
          <t>Directeur des affaires régionales - Nouveau-Brunswick</t>
        </is>
      </c>
      <c r="E3031" t="inlineStr">
        <is>
          <t>Douglas MacDonald</t>
        </is>
      </c>
      <c r="F3031" t="inlineStr">
        <is>
          <t>Travel on Government business</t>
        </is>
      </c>
      <c r="G3031" t="inlineStr">
        <is>
          <t>Voyage pour le compte du gouvernement</t>
        </is>
      </c>
      <c r="H3031" s="1" t="n">
        <v>42128</v>
      </c>
      <c r="I3031" s="1" t="n">
        <v>42129</v>
      </c>
      <c r="J3031" t="inlineStr">
        <is>
          <t>Ottawa, Ontario</t>
        </is>
      </c>
      <c r="K3031" t="inlineStr">
        <is>
          <t>Ottawa (Ontario)</t>
        </is>
      </c>
      <c r="P3031" t="n">
        <v>119.13</v>
      </c>
      <c r="Q3031" t="n">
        <v>59.65</v>
      </c>
      <c r="R3031" t="n">
        <v>196.7</v>
      </c>
      <c r="S3031" t="n">
        <v>169.4</v>
      </c>
      <c r="T3031" t="n">
        <v>0</v>
      </c>
      <c r="U3031" t="n">
        <v>544.88</v>
      </c>
      <c r="X3031" t="inlineStr">
        <is>
          <t>acoa-apeca</t>
        </is>
      </c>
      <c r="Y3031" t="inlineStr">
        <is>
          <t>Atlantic Canada Opportunities Agency | Agence de promotion économique du Canada atlantique</t>
        </is>
      </c>
    </row>
    <row r="3032">
      <c r="A3032" t="inlineStr">
        <is>
          <t>T-2016-Q1-00035</t>
        </is>
      </c>
      <c r="B3032" t="inlineStr">
        <is>
          <t>MPSES</t>
        </is>
      </c>
      <c r="C3032" t="inlineStr">
        <is>
          <t>Regional Affairs Director - New Brunswick</t>
        </is>
      </c>
      <c r="D3032" t="inlineStr">
        <is>
          <t>Directeur des affaires régionales - Nouveau-Brunswick</t>
        </is>
      </c>
      <c r="E3032" t="inlineStr">
        <is>
          <t>Douglas MacDonald</t>
        </is>
      </c>
      <c r="F3032" t="inlineStr">
        <is>
          <t>Travel on Government business</t>
        </is>
      </c>
      <c r="G3032" t="inlineStr">
        <is>
          <t>Voyage pour le compte du gouvernement</t>
        </is>
      </c>
      <c r="H3032" s="1" t="n">
        <v>42121</v>
      </c>
      <c r="I3032" s="1" t="n">
        <v>42121</v>
      </c>
      <c r="J3032" t="inlineStr">
        <is>
          <t>Fredericton and Moncton, New Brunswick</t>
        </is>
      </c>
      <c r="K3032" t="inlineStr">
        <is>
          <t>Fredericton et Moncton (Nouveau-Brunswick)</t>
        </is>
      </c>
      <c r="P3032" t="n">
        <v>0</v>
      </c>
      <c r="Q3032" t="n">
        <v>223.72</v>
      </c>
      <c r="R3032" t="n">
        <v>0</v>
      </c>
      <c r="S3032" t="n">
        <v>0</v>
      </c>
      <c r="T3032" t="n">
        <v>0</v>
      </c>
      <c r="U3032" t="n">
        <v>223.72</v>
      </c>
      <c r="X3032" t="inlineStr">
        <is>
          <t>acoa-apeca</t>
        </is>
      </c>
      <c r="Y3032" t="inlineStr">
        <is>
          <t>Atlantic Canada Opportunities Agency | Agence de promotion économique du Canada atlantique</t>
        </is>
      </c>
    </row>
    <row r="3033">
      <c r="A3033" t="inlineStr">
        <is>
          <t>T-2015-Q4-00036</t>
        </is>
      </c>
      <c r="B3033" t="inlineStr">
        <is>
          <t>MPSES</t>
        </is>
      </c>
      <c r="C3033" t="inlineStr">
        <is>
          <t>Executive Assistant</t>
        </is>
      </c>
      <c r="D3033" t="inlineStr">
        <is>
          <t>Adjoint exécutif</t>
        </is>
      </c>
      <c r="E3033" t="inlineStr">
        <is>
          <t>Josh Hardy</t>
        </is>
      </c>
      <c r="F3033" t="inlineStr">
        <is>
          <t>Travel for Government business</t>
        </is>
      </c>
      <c r="G3033" t="inlineStr">
        <is>
          <t>Voyage pour le compte du gouvernement</t>
        </is>
      </c>
      <c r="H3033" s="1" t="n">
        <v>42019</v>
      </c>
      <c r="I3033" s="1" t="n">
        <v>42027</v>
      </c>
      <c r="J3033" t="inlineStr">
        <is>
          <t>Moncton, New Brunswick</t>
        </is>
      </c>
      <c r="K3033" t="inlineStr">
        <is>
          <t>Moncton (Nouveau-Brunswick)</t>
        </is>
      </c>
      <c r="P3033" t="n">
        <v>356.28</v>
      </c>
      <c r="Q3033" t="n">
        <v>693.35</v>
      </c>
      <c r="R3033" t="n">
        <v>0</v>
      </c>
      <c r="S3033" t="n">
        <v>32.7</v>
      </c>
      <c r="T3033" t="n">
        <v>0</v>
      </c>
      <c r="U3033" t="n">
        <v>1082.33</v>
      </c>
      <c r="X3033" t="inlineStr">
        <is>
          <t>acoa-apeca</t>
        </is>
      </c>
      <c r="Y3033" t="inlineStr">
        <is>
          <t>Atlantic Canada Opportunities Agency | Agence de promotion économique du Canada atlantique</t>
        </is>
      </c>
    </row>
    <row r="3034">
      <c r="A3034" t="inlineStr">
        <is>
          <t>T-2016-Q1-00034</t>
        </is>
      </c>
      <c r="B3034" t="inlineStr">
        <is>
          <t>SLE</t>
        </is>
      </c>
      <c r="C3034" t="inlineStr">
        <is>
          <t>President</t>
        </is>
      </c>
      <c r="D3034" t="inlineStr">
        <is>
          <t>Président</t>
        </is>
      </c>
      <c r="E3034" t="inlineStr">
        <is>
          <t>Paul J. LeBlanc</t>
        </is>
      </c>
      <c r="F3034" t="inlineStr">
        <is>
          <t xml:space="preserve">Attendance at meetings and sessions of various committees of the Organization for Economic Co-operation and Development </t>
        </is>
      </c>
      <c r="G3034" t="inlineStr">
        <is>
          <t xml:space="preserve">Assister à des réunions et à des séances organisées par divers comités de l'Organisation de coopération et de développement économiques </t>
        </is>
      </c>
      <c r="H3034" s="1" t="n">
        <v>42119</v>
      </c>
      <c r="I3034" s="1" t="n">
        <v>42126</v>
      </c>
      <c r="J3034" t="inlineStr">
        <is>
          <t>Paris, France</t>
        </is>
      </c>
      <c r="K3034" t="inlineStr">
        <is>
          <t>Paris, France</t>
        </is>
      </c>
      <c r="P3034" t="n">
        <v>2920.81</v>
      </c>
      <c r="Q3034" t="n">
        <v>169.42</v>
      </c>
      <c r="R3034" t="n">
        <v>1809.48</v>
      </c>
      <c r="S3034" t="n">
        <v>1238.34</v>
      </c>
      <c r="T3034" t="n">
        <v>5</v>
      </c>
      <c r="U3034" t="n">
        <v>6143.05</v>
      </c>
      <c r="X3034" t="inlineStr">
        <is>
          <t>acoa-apeca</t>
        </is>
      </c>
      <c r="Y3034" t="inlineStr">
        <is>
          <t>Atlantic Canada Opportunities Agency | Agence de promotion économique du Canada atlantique</t>
        </is>
      </c>
    </row>
    <row r="3035">
      <c r="A3035" t="inlineStr">
        <is>
          <t>T-2016-Q1-00033</t>
        </is>
      </c>
      <c r="B3035" t="inlineStr">
        <is>
          <t>SLE</t>
        </is>
      </c>
      <c r="C3035" t="inlineStr">
        <is>
          <t>Vice-President, New Brunswick</t>
        </is>
      </c>
      <c r="D3035" t="inlineStr">
        <is>
          <t>Vice-président, Nouveau-Brunswick</t>
        </is>
      </c>
      <c r="E3035" t="inlineStr">
        <is>
          <t>Kent Estabrooks</t>
        </is>
      </c>
      <c r="F3035" t="inlineStr">
        <is>
          <t>Training and Development</t>
        </is>
      </c>
      <c r="G3035" t="inlineStr">
        <is>
          <t>Formation et perfectionnement</t>
        </is>
      </c>
      <c r="H3035" s="1" t="n">
        <v>42117</v>
      </c>
      <c r="I3035" s="1" t="n">
        <v>42121</v>
      </c>
      <c r="J3035" t="inlineStr">
        <is>
          <t>Toronto, Ontario</t>
        </is>
      </c>
      <c r="K3035" t="inlineStr">
        <is>
          <t>Toronto (Ontario)</t>
        </is>
      </c>
      <c r="P3035" t="n">
        <v>892.7</v>
      </c>
      <c r="Q3035" t="n">
        <v>85</v>
      </c>
      <c r="R3035" t="n">
        <v>538.27</v>
      </c>
      <c r="S3035" t="n">
        <v>317.1</v>
      </c>
      <c r="T3035" t="n">
        <v>0</v>
      </c>
      <c r="U3035" t="n">
        <v>1833.07</v>
      </c>
      <c r="X3035" t="inlineStr">
        <is>
          <t>acoa-apeca</t>
        </is>
      </c>
      <c r="Y3035" t="inlineStr">
        <is>
          <t>Atlantic Canada Opportunities Agency | Agence de promotion économique du Canada atlantique</t>
        </is>
      </c>
    </row>
    <row r="3036">
      <c r="A3036" t="inlineStr">
        <is>
          <t>T-2016-Q1-00032</t>
        </is>
      </c>
      <c r="B3036" t="inlineStr">
        <is>
          <t>SLE</t>
        </is>
      </c>
      <c r="C3036" t="inlineStr">
        <is>
          <t>Vice President, Nova Scotia</t>
        </is>
      </c>
      <c r="D3036" t="inlineStr">
        <is>
          <t>Vice-président, Nouvelle-Écosse</t>
        </is>
      </c>
      <c r="E3036" t="inlineStr">
        <is>
          <t>Peter Hogan</t>
        </is>
      </c>
      <c r="F3036" t="inlineStr">
        <is>
          <t xml:space="preserve">Various Meetings with Agency Officials </t>
        </is>
      </c>
      <c r="G3036" t="inlineStr">
        <is>
          <t>Diverses réunions avec des fonctionnaires de l'Agence</t>
        </is>
      </c>
      <c r="H3036" s="1" t="n">
        <v>42116</v>
      </c>
      <c r="I3036" s="1" t="n">
        <v>42117</v>
      </c>
      <c r="J3036" t="inlineStr">
        <is>
          <t>Sydney, Nova Scotia</t>
        </is>
      </c>
      <c r="K3036" t="inlineStr">
        <is>
          <t>Sydney (Nouvelle-Écosse)</t>
        </is>
      </c>
      <c r="P3036" t="n">
        <v>0</v>
      </c>
      <c r="Q3036" t="n">
        <v>0</v>
      </c>
      <c r="R3036" t="n">
        <v>120.82</v>
      </c>
      <c r="S3036" t="n">
        <v>136.8</v>
      </c>
      <c r="T3036" t="n">
        <v>0</v>
      </c>
      <c r="U3036" t="n">
        <v>257.62</v>
      </c>
      <c r="X3036" t="inlineStr">
        <is>
          <t>acoa-apeca</t>
        </is>
      </c>
      <c r="Y3036" t="inlineStr">
        <is>
          <t>Atlantic Canada Opportunities Agency | Agence de promotion économique du Canada atlantique</t>
        </is>
      </c>
    </row>
    <row r="3037">
      <c r="A3037" t="inlineStr">
        <is>
          <t>T-2016-Q1-00031</t>
        </is>
      </c>
      <c r="B3037" t="inlineStr">
        <is>
          <t>SLE</t>
        </is>
      </c>
      <c r="C3037" t="inlineStr">
        <is>
          <t>President</t>
        </is>
      </c>
      <c r="D3037" t="inlineStr">
        <is>
          <t>Président</t>
        </is>
      </c>
      <c r="E3037" t="inlineStr">
        <is>
          <t>Paul J. LeBlanc</t>
        </is>
      </c>
      <c r="F3037" t="inlineStr">
        <is>
          <t>For various meetings and discussions with Agency and Government of Canada officials</t>
        </is>
      </c>
      <c r="G3037" t="inlineStr">
        <is>
          <t>Diverses réunions et discussions avec des fonctionnaires de l'Agence et du gouvernement du Canada</t>
        </is>
      </c>
      <c r="H3037" s="1" t="n">
        <v>42114</v>
      </c>
      <c r="I3037" s="1" t="n">
        <v>42116</v>
      </c>
      <c r="J3037" t="inlineStr">
        <is>
          <t>Ottawa, Ontario</t>
        </is>
      </c>
      <c r="K3037" t="inlineStr">
        <is>
          <t>Ottawa (Ontario)</t>
        </is>
      </c>
      <c r="P3037" t="n">
        <v>702.48</v>
      </c>
      <c r="Q3037" t="n">
        <v>0</v>
      </c>
      <c r="R3037" t="n">
        <v>377.1</v>
      </c>
      <c r="S3037" t="n">
        <v>186.7</v>
      </c>
      <c r="T3037" t="n">
        <v>0</v>
      </c>
      <c r="U3037" t="n">
        <v>1266.28</v>
      </c>
      <c r="X3037" t="inlineStr">
        <is>
          <t>acoa-apeca</t>
        </is>
      </c>
      <c r="Y3037" t="inlineStr">
        <is>
          <t>Atlantic Canada Opportunities Agency | Agence de promotion économique du Canada atlantique</t>
        </is>
      </c>
    </row>
    <row r="3038">
      <c r="A3038" t="inlineStr">
        <is>
          <t>T-2016-Q1-00030</t>
        </is>
      </c>
      <c r="B3038" t="inlineStr">
        <is>
          <t>MPSES</t>
        </is>
      </c>
      <c r="C3038" t="inlineStr">
        <is>
          <t>Minister of State</t>
        </is>
      </c>
      <c r="D3038" t="inlineStr">
        <is>
          <t>Ministre d'État</t>
        </is>
      </c>
      <c r="E3038" t="inlineStr">
        <is>
          <t>Rob Moore</t>
        </is>
      </c>
      <c r="F3038" t="inlineStr">
        <is>
          <t>Travel to speak to the Campbellton Regional Chamber of Commerce and attend Government of Canada event</t>
        </is>
      </c>
      <c r="G3038" t="inlineStr">
        <is>
          <t>Voyage pour prendre la parole devant la Chambre de commerce régionale de Campbellton et assister à une activité du gouvernement du Canada</t>
        </is>
      </c>
      <c r="H3038" s="1" t="n">
        <v>42109</v>
      </c>
      <c r="I3038" s="1" t="n">
        <v>42109</v>
      </c>
      <c r="J3038" t="inlineStr">
        <is>
          <t>Campbellton, New Brunswick</t>
        </is>
      </c>
      <c r="K3038" t="inlineStr">
        <is>
          <t>Campbellton (Nouveau-Brunswick)</t>
        </is>
      </c>
      <c r="P3038" t="n">
        <v>0</v>
      </c>
      <c r="Q3038" t="n">
        <v>403.26</v>
      </c>
      <c r="R3038" t="n">
        <v>0</v>
      </c>
      <c r="S3038" t="n">
        <v>0</v>
      </c>
      <c r="T3038" t="n">
        <v>0</v>
      </c>
      <c r="U3038" t="n">
        <v>403.26</v>
      </c>
      <c r="X3038" t="inlineStr">
        <is>
          <t>acoa-apeca</t>
        </is>
      </c>
      <c r="Y3038" t="inlineStr">
        <is>
          <t>Atlantic Canada Opportunities Agency | Agence de promotion économique du Canada atlantique</t>
        </is>
      </c>
    </row>
    <row r="3039">
      <c r="A3039" t="inlineStr">
        <is>
          <t>T-2016-Q1-00028</t>
        </is>
      </c>
      <c r="B3039" t="inlineStr">
        <is>
          <t>MPSES</t>
        </is>
      </c>
      <c r="C3039" t="inlineStr">
        <is>
          <t>Executive Assistant</t>
        </is>
      </c>
      <c r="D3039" t="inlineStr">
        <is>
          <t>Adjoint exécutif</t>
        </is>
      </c>
      <c r="E3039" t="inlineStr">
        <is>
          <t>Josh Hardy</t>
        </is>
      </c>
      <c r="F3039" t="inlineStr">
        <is>
          <t>Travel for Government business</t>
        </is>
      </c>
      <c r="G3039" t="inlineStr">
        <is>
          <t>Voyage pour le compte du gouvernement</t>
        </is>
      </c>
      <c r="H3039" s="1" t="n">
        <v>42107</v>
      </c>
      <c r="I3039" s="1" t="n">
        <v>42113</v>
      </c>
      <c r="J3039" t="inlineStr">
        <is>
          <t>Moncton, New Brunswick</t>
        </is>
      </c>
      <c r="K3039" t="inlineStr">
        <is>
          <t>Moncton (Nouveau-Brunswick)</t>
        </is>
      </c>
      <c r="P3039" t="n">
        <v>664.04</v>
      </c>
      <c r="Q3039" t="n">
        <v>487.5</v>
      </c>
      <c r="R3039" t="n">
        <v>0</v>
      </c>
      <c r="S3039" t="n">
        <v>187.4</v>
      </c>
      <c r="T3039" t="n">
        <v>0</v>
      </c>
      <c r="U3039" t="n">
        <v>1338.94</v>
      </c>
      <c r="X3039" t="inlineStr">
        <is>
          <t>acoa-apeca</t>
        </is>
      </c>
      <c r="Y3039" t="inlineStr">
        <is>
          <t>Atlantic Canada Opportunities Agency | Agence de promotion économique du Canada atlantique</t>
        </is>
      </c>
    </row>
    <row r="3040">
      <c r="A3040" t="inlineStr">
        <is>
          <t>T-2016-Q1-00027</t>
        </is>
      </c>
      <c r="B3040" t="inlineStr">
        <is>
          <t>MPSES</t>
        </is>
      </c>
      <c r="C3040" t="inlineStr">
        <is>
          <t>Minister of State</t>
        </is>
      </c>
      <c r="D3040" t="inlineStr">
        <is>
          <t>Ministre d'État</t>
        </is>
      </c>
      <c r="E3040" t="inlineStr">
        <is>
          <t>Rob Moore</t>
        </is>
      </c>
      <c r="F3040" t="inlineStr">
        <is>
          <t>Travel to attend stakeholder roundtable and Government of Canada event</t>
        </is>
      </c>
      <c r="G3040" t="inlineStr">
        <is>
          <t>Voyage pour assister à une table ronde avec des intervenants et à une activité du gouvernement du Canada</t>
        </is>
      </c>
      <c r="H3040" s="1" t="n">
        <v>42107</v>
      </c>
      <c r="I3040" s="1" t="n">
        <v>42107</v>
      </c>
      <c r="J3040" t="inlineStr">
        <is>
          <t>St. Andrews and St. Stephen, New Brunswick</t>
        </is>
      </c>
      <c r="K3040" t="inlineStr">
        <is>
          <t>St. Andrews et St. Stephen (Nouveau-Brunswick)</t>
        </is>
      </c>
      <c r="P3040" t="n">
        <v>0</v>
      </c>
      <c r="Q3040" t="n">
        <v>138.65</v>
      </c>
      <c r="R3040" t="n">
        <v>0</v>
      </c>
      <c r="S3040" t="n">
        <v>16.6</v>
      </c>
      <c r="T3040" t="n">
        <v>0</v>
      </c>
      <c r="U3040" t="n">
        <v>155.25</v>
      </c>
      <c r="X3040" t="inlineStr">
        <is>
          <t>acoa-apeca</t>
        </is>
      </c>
      <c r="Y3040" t="inlineStr">
        <is>
          <t>Atlantic Canada Opportunities Agency | Agence de promotion économique du Canada atlantique</t>
        </is>
      </c>
    </row>
    <row r="3041">
      <c r="A3041" t="inlineStr">
        <is>
          <t>T-2016-Q1-00026</t>
        </is>
      </c>
      <c r="B3041" t="inlineStr">
        <is>
          <t>MPSES</t>
        </is>
      </c>
      <c r="C3041" t="inlineStr">
        <is>
          <t>Minister of State</t>
        </is>
      </c>
      <c r="D3041" t="inlineStr">
        <is>
          <t>Ministre d'État</t>
        </is>
      </c>
      <c r="E3041" t="inlineStr">
        <is>
          <t>Rob Moore</t>
        </is>
      </c>
      <c r="F3041" t="inlineStr">
        <is>
          <t>Travel to attend stakeholder roundtables and Government of Canada event</t>
        </is>
      </c>
      <c r="G3041" t="inlineStr">
        <is>
          <t>Voyage pour assister à des tables rondes avec des intervenants et à une activité du gouvernement du Canada</t>
        </is>
      </c>
      <c r="H3041" s="1" t="n">
        <v>42102</v>
      </c>
      <c r="I3041" s="1" t="n">
        <v>42102</v>
      </c>
      <c r="J3041" t="inlineStr">
        <is>
          <t>Saint John and Fredericton, New Brunswick</t>
        </is>
      </c>
      <c r="K3041" t="inlineStr">
        <is>
          <t>Saint John et Fredericton (Nouveau-Brunswick)</t>
        </is>
      </c>
      <c r="P3041" t="n">
        <v>0</v>
      </c>
      <c r="Q3041" t="n">
        <v>129.72</v>
      </c>
      <c r="R3041" t="n">
        <v>0</v>
      </c>
      <c r="S3041" t="n">
        <v>16.6</v>
      </c>
      <c r="T3041" t="n">
        <v>0</v>
      </c>
      <c r="U3041" t="n">
        <v>146.32</v>
      </c>
      <c r="X3041" t="inlineStr">
        <is>
          <t>acoa-apeca</t>
        </is>
      </c>
      <c r="Y3041" t="inlineStr">
        <is>
          <t>Atlantic Canada Opportunities Agency | Agence de promotion économique du Canada atlantique</t>
        </is>
      </c>
    </row>
    <row r="3042">
      <c r="A3042" t="inlineStr">
        <is>
          <t>T-2016-Q1-00025</t>
        </is>
      </c>
      <c r="B3042" t="inlineStr">
        <is>
          <t>SLE</t>
        </is>
      </c>
      <c r="C3042" t="inlineStr">
        <is>
          <t>Vice-President, Policy and Programs</t>
        </is>
      </c>
      <c r="D3042" t="inlineStr">
        <is>
          <t>Vice-président, Politiques et Programmes</t>
        </is>
      </c>
      <c r="E3042" t="inlineStr">
        <is>
          <t>Daryell Nowlan</t>
        </is>
      </c>
      <c r="F3042" t="inlineStr">
        <is>
          <t>Meeting with Government of Canada officials and training</t>
        </is>
      </c>
      <c r="G3042" t="inlineStr">
        <is>
          <t>Réunion avec des fonctionnaires du gouvernement du Canada et formation</t>
        </is>
      </c>
      <c r="H3042" s="1" t="n">
        <v>42102</v>
      </c>
      <c r="I3042" s="1" t="n">
        <v>42103</v>
      </c>
      <c r="J3042" t="inlineStr">
        <is>
          <t>Halifax, Nova Scotia</t>
        </is>
      </c>
      <c r="K3042" t="inlineStr">
        <is>
          <t>Halifax (Nouvelle-Écosse)</t>
        </is>
      </c>
      <c r="P3042" t="n">
        <v>0</v>
      </c>
      <c r="Q3042" t="n">
        <v>0</v>
      </c>
      <c r="R3042" t="n">
        <v>146.63</v>
      </c>
      <c r="S3042" t="n">
        <v>94</v>
      </c>
      <c r="T3042" t="n">
        <v>0</v>
      </c>
      <c r="U3042" t="n">
        <v>240.63</v>
      </c>
      <c r="X3042" t="inlineStr">
        <is>
          <t>acoa-apeca</t>
        </is>
      </c>
      <c r="Y3042" t="inlineStr">
        <is>
          <t>Atlantic Canada Opportunities Agency | Agence de promotion économique du Canada atlantique</t>
        </is>
      </c>
    </row>
    <row r="3043">
      <c r="A3043" t="inlineStr">
        <is>
          <t>T-2016-Q1-00023</t>
        </is>
      </c>
      <c r="B3043" t="inlineStr">
        <is>
          <t>MPSES</t>
        </is>
      </c>
      <c r="C3043" t="inlineStr">
        <is>
          <t>Special Assistant - New Brunswick</t>
        </is>
      </c>
      <c r="D3043" t="inlineStr">
        <is>
          <t>Adjointe spéciale – Nouveau-Brunswick</t>
        </is>
      </c>
      <c r="E3043" t="inlineStr">
        <is>
          <t>Erika Keirstead</t>
        </is>
      </c>
      <c r="F3043" t="inlineStr">
        <is>
          <t>Travel for Government business</t>
        </is>
      </c>
      <c r="G3043" t="inlineStr">
        <is>
          <t>Voyage pour le compte du gouvernement</t>
        </is>
      </c>
      <c r="H3043" s="1" t="n">
        <v>42096</v>
      </c>
      <c r="I3043" s="1" t="n">
        <v>42096</v>
      </c>
      <c r="J3043" t="inlineStr">
        <is>
          <t>Miramichi, New Brunswick</t>
        </is>
      </c>
      <c r="K3043" t="inlineStr">
        <is>
          <t>Miramichi (Nouveau-Brunswick)</t>
        </is>
      </c>
      <c r="P3043" t="n">
        <v>0</v>
      </c>
      <c r="Q3043" t="n">
        <v>164.5</v>
      </c>
      <c r="R3043" t="n">
        <v>0</v>
      </c>
      <c r="S3043" t="n">
        <v>16.6</v>
      </c>
      <c r="T3043" t="n">
        <v>0</v>
      </c>
      <c r="U3043" t="n">
        <v>181.1</v>
      </c>
      <c r="X3043" t="inlineStr">
        <is>
          <t>acoa-apeca</t>
        </is>
      </c>
      <c r="Y3043" t="inlineStr">
        <is>
          <t>Atlantic Canada Opportunities Agency | Agence de promotion économique du Canada atlantique</t>
        </is>
      </c>
    </row>
    <row r="3044">
      <c r="A3044" t="inlineStr">
        <is>
          <t>T-2016-Q1-00022</t>
        </is>
      </c>
      <c r="B3044" t="inlineStr">
        <is>
          <t>MPSES</t>
        </is>
      </c>
      <c r="C3044" t="inlineStr">
        <is>
          <t>Executive Assistant</t>
        </is>
      </c>
      <c r="D3044" t="inlineStr">
        <is>
          <t>Adjoint exécutif</t>
        </is>
      </c>
      <c r="E3044" t="inlineStr">
        <is>
          <t>Josh Hardy</t>
        </is>
      </c>
      <c r="F3044" t="inlineStr">
        <is>
          <t>Travel on Government business</t>
        </is>
      </c>
      <c r="G3044" t="inlineStr">
        <is>
          <t>Voyage pour le compte du gouvernement</t>
        </is>
      </c>
      <c r="H3044" s="1" t="n">
        <v>42095</v>
      </c>
      <c r="I3044" s="1" t="n">
        <v>42096</v>
      </c>
      <c r="J3044" t="inlineStr">
        <is>
          <t>Moncton, New Brunswick</t>
        </is>
      </c>
      <c r="K3044" t="inlineStr">
        <is>
          <t>Moncton (Nouveau-Brunswick)</t>
        </is>
      </c>
      <c r="P3044" t="n">
        <v>1344.51</v>
      </c>
      <c r="Q3044" t="n">
        <v>108.88</v>
      </c>
      <c r="R3044" t="n">
        <v>0</v>
      </c>
      <c r="S3044" t="n">
        <v>119.5</v>
      </c>
      <c r="T3044" t="n">
        <v>0</v>
      </c>
      <c r="U3044" t="n">
        <v>1572.89</v>
      </c>
      <c r="X3044" t="inlineStr">
        <is>
          <t>acoa-apeca</t>
        </is>
      </c>
      <c r="Y3044" t="inlineStr">
        <is>
          <t>Atlantic Canada Opportunities Agency | Agence de promotion économique du Canada atlantique</t>
        </is>
      </c>
    </row>
    <row r="3045">
      <c r="A3045" t="inlineStr">
        <is>
          <t>T-2016-Q1-00021</t>
        </is>
      </c>
      <c r="B3045" t="inlineStr">
        <is>
          <t>MPSES</t>
        </is>
      </c>
      <c r="C3045" t="inlineStr">
        <is>
          <t>Regional Affairs Director - New Brunswick</t>
        </is>
      </c>
      <c r="D3045" t="inlineStr">
        <is>
          <t>Directeur des affaires régionales - Nouveau-Brunswick</t>
        </is>
      </c>
      <c r="E3045" t="inlineStr">
        <is>
          <t>Douglas MacDonald</t>
        </is>
      </c>
      <c r="F3045" t="inlineStr">
        <is>
          <t>Travel on Government business</t>
        </is>
      </c>
      <c r="G3045" t="inlineStr">
        <is>
          <t>Voyage pour le compte du gouvernement</t>
        </is>
      </c>
      <c r="H3045" s="1" t="n">
        <v>42095</v>
      </c>
      <c r="I3045" s="1" t="n">
        <v>42096</v>
      </c>
      <c r="J3045" t="inlineStr">
        <is>
          <t>Miramichi, New Brunswick</t>
        </is>
      </c>
      <c r="K3045" t="inlineStr">
        <is>
          <t>Miramichi (Nouveau-Brunswick)</t>
        </is>
      </c>
      <c r="P3045" t="n">
        <v>0</v>
      </c>
      <c r="Q3045" t="n">
        <v>256.62</v>
      </c>
      <c r="R3045" t="n">
        <v>148.69</v>
      </c>
      <c r="S3045" t="n">
        <v>110</v>
      </c>
      <c r="T3045" t="n">
        <v>0</v>
      </c>
      <c r="U3045" t="n">
        <v>515.3099999999999</v>
      </c>
      <c r="X3045" t="inlineStr">
        <is>
          <t>acoa-apeca</t>
        </is>
      </c>
      <c r="Y3045" t="inlineStr">
        <is>
          <t>Atlantic Canada Opportunities Agency | Agence de promotion économique du Canada atlantique</t>
        </is>
      </c>
    </row>
    <row r="3046">
      <c r="A3046" t="inlineStr">
        <is>
          <t>T-2016-Q1-00020</t>
        </is>
      </c>
      <c r="B3046" t="inlineStr">
        <is>
          <t>SLE</t>
        </is>
      </c>
      <c r="C3046" t="inlineStr">
        <is>
          <t>Vice-President, Prince Edward Island</t>
        </is>
      </c>
      <c r="D3046" t="inlineStr">
        <is>
          <t>Vice-président, Île-du-Prince-Édouard</t>
        </is>
      </c>
      <c r="E3046" t="inlineStr">
        <is>
          <t>Patrick Dorsey</t>
        </is>
      </c>
      <c r="F3046" t="inlineStr">
        <is>
          <t>Meetings with Government of Canada Officials in Ottawa</t>
        </is>
      </c>
      <c r="G3046" t="inlineStr">
        <is>
          <t>Réunions avec des fonctionnaires du gouvernement du Canada à Ottawa</t>
        </is>
      </c>
      <c r="H3046" s="1" t="n">
        <v>42095</v>
      </c>
      <c r="I3046" s="1" t="n">
        <v>42096</v>
      </c>
      <c r="J3046" t="inlineStr">
        <is>
          <t>Ottawa, Ontario</t>
        </is>
      </c>
      <c r="K3046" t="inlineStr">
        <is>
          <t>Ottawa (Ontario)</t>
        </is>
      </c>
      <c r="P3046" t="n">
        <v>1303.39</v>
      </c>
      <c r="Q3046" t="n">
        <v>93.5</v>
      </c>
      <c r="R3046" t="n">
        <v>182.73</v>
      </c>
      <c r="S3046" t="n">
        <v>153.3</v>
      </c>
      <c r="T3046" t="n">
        <v>0</v>
      </c>
      <c r="U3046" t="n">
        <v>1732.92</v>
      </c>
      <c r="X3046" t="inlineStr">
        <is>
          <t>acoa-apeca</t>
        </is>
      </c>
      <c r="Y3046" t="inlineStr">
        <is>
          <t>Atlantic Canada Opportunities Agency | Agence de promotion économique du Canada atlantique</t>
        </is>
      </c>
    </row>
    <row r="3047">
      <c r="A3047" t="inlineStr">
        <is>
          <t>T-2016-Q1-00019</t>
        </is>
      </c>
      <c r="B3047" t="inlineStr">
        <is>
          <t>SLE</t>
        </is>
      </c>
      <c r="C3047" t="inlineStr">
        <is>
          <t>Vice-President, Policy and Programs</t>
        </is>
      </c>
      <c r="D3047" t="inlineStr">
        <is>
          <t>Vice-président, Politiques et Programmes</t>
        </is>
      </c>
      <c r="E3047" t="inlineStr">
        <is>
          <t>Daryell Nowlan</t>
        </is>
      </c>
      <c r="F3047" t="inlineStr">
        <is>
          <t>Meetings with Government of Canada officials</t>
        </is>
      </c>
      <c r="G3047" t="inlineStr">
        <is>
          <t>Réunions avec des fonctionnaires du gouvernement du Canada</t>
        </is>
      </c>
      <c r="H3047" s="1" t="n">
        <v>42094</v>
      </c>
      <c r="I3047" s="1" t="n">
        <v>42096</v>
      </c>
      <c r="J3047" t="inlineStr">
        <is>
          <t>Ottawa, Ontario</t>
        </is>
      </c>
      <c r="K3047" t="inlineStr">
        <is>
          <t>Ottawa (Ontario)</t>
        </is>
      </c>
      <c r="P3047" t="n">
        <v>687.04</v>
      </c>
      <c r="Q3047" t="n">
        <v>126</v>
      </c>
      <c r="R3047" t="n">
        <v>365.46</v>
      </c>
      <c r="S3047" t="n">
        <v>170.1</v>
      </c>
      <c r="T3047" t="n">
        <v>0</v>
      </c>
      <c r="U3047" t="n">
        <v>1348.6</v>
      </c>
      <c r="X3047" t="inlineStr">
        <is>
          <t>acoa-apeca</t>
        </is>
      </c>
      <c r="Y3047" t="inlineStr">
        <is>
          <t>Atlantic Canada Opportunities Agency | Agence de promotion économique du Canada atlantique</t>
        </is>
      </c>
    </row>
    <row r="3048">
      <c r="A3048" t="inlineStr">
        <is>
          <t>T-2016-Q1-00018</t>
        </is>
      </c>
      <c r="B3048" t="inlineStr">
        <is>
          <t>SLE</t>
        </is>
      </c>
      <c r="C3048" t="inlineStr">
        <is>
          <t>Vice-President, Policy and Programs</t>
        </is>
      </c>
      <c r="D3048" t="inlineStr">
        <is>
          <t>Vice-président, Politiques et Programmes</t>
        </is>
      </c>
      <c r="E3048" t="inlineStr">
        <is>
          <t>Daryell Nowlan</t>
        </is>
      </c>
      <c r="F3048" t="inlineStr">
        <is>
          <t>Meeting with Government of Canada officials</t>
        </is>
      </c>
      <c r="G3048" t="inlineStr">
        <is>
          <t>Réunion avec des fonctionnaires du gouvernement du Canada</t>
        </is>
      </c>
      <c r="H3048" s="1" t="n">
        <v>42088</v>
      </c>
      <c r="I3048" s="1" t="n">
        <v>42089</v>
      </c>
      <c r="J3048" t="inlineStr">
        <is>
          <t>Halifax, Nova Scotia</t>
        </is>
      </c>
      <c r="K3048" t="inlineStr">
        <is>
          <t>Halifax (Nouvelle-Écosse)</t>
        </is>
      </c>
      <c r="P3048" t="n">
        <v>0</v>
      </c>
      <c r="Q3048" t="n">
        <v>0</v>
      </c>
      <c r="R3048" t="n">
        <v>139.59</v>
      </c>
      <c r="S3048" t="n">
        <v>119</v>
      </c>
      <c r="T3048" t="n">
        <v>0</v>
      </c>
      <c r="U3048" t="n">
        <v>258.59</v>
      </c>
      <c r="X3048" t="inlineStr">
        <is>
          <t>acoa-apeca</t>
        </is>
      </c>
      <c r="Y3048" t="inlineStr">
        <is>
          <t>Atlantic Canada Opportunities Agency | Agence de promotion économique du Canada atlantique</t>
        </is>
      </c>
    </row>
    <row r="3049">
      <c r="A3049" t="inlineStr">
        <is>
          <t>T-2016-Q1-00017</t>
        </is>
      </c>
      <c r="B3049" t="inlineStr">
        <is>
          <t>MPSES</t>
        </is>
      </c>
      <c r="C3049" t="inlineStr">
        <is>
          <t>Minister of State</t>
        </is>
      </c>
      <c r="D3049" t="inlineStr">
        <is>
          <t>Ministre d'État</t>
        </is>
      </c>
      <c r="E3049" t="inlineStr">
        <is>
          <t>Rob Moore</t>
        </is>
      </c>
      <c r="F3049" t="inlineStr">
        <is>
          <t>Travel to attend Government of Canada announcement</t>
        </is>
      </c>
      <c r="G3049" t="inlineStr">
        <is>
          <t>Voyage pour assister à une annonce du gouvernement du Canada</t>
        </is>
      </c>
      <c r="H3049" s="1" t="n">
        <v>42083</v>
      </c>
      <c r="I3049" s="1" t="n">
        <v>42083</v>
      </c>
      <c r="J3049" t="inlineStr">
        <is>
          <t>Summerside, Prince Edward Island</t>
        </is>
      </c>
      <c r="K3049" t="inlineStr">
        <is>
          <t>Summerside (Île-du-Prince-Édouard)</t>
        </is>
      </c>
      <c r="P3049" t="n">
        <v>0</v>
      </c>
      <c r="Q3049" t="n">
        <v>309.34</v>
      </c>
      <c r="R3049" t="n">
        <v>0</v>
      </c>
      <c r="S3049" t="n">
        <v>16.35</v>
      </c>
      <c r="T3049" t="n">
        <v>0</v>
      </c>
      <c r="U3049" t="n">
        <v>325.69</v>
      </c>
      <c r="X3049" t="inlineStr">
        <is>
          <t>acoa-apeca</t>
        </is>
      </c>
      <c r="Y3049" t="inlineStr">
        <is>
          <t>Atlantic Canada Opportunities Agency | Agence de promotion économique du Canada atlantique</t>
        </is>
      </c>
    </row>
    <row r="3050">
      <c r="A3050" t="inlineStr">
        <is>
          <t>T-2016-Q1-00016</t>
        </is>
      </c>
      <c r="B3050" t="inlineStr">
        <is>
          <t>MPSES</t>
        </is>
      </c>
      <c r="C3050" t="inlineStr">
        <is>
          <t>Minister of State</t>
        </is>
      </c>
      <c r="D3050" t="inlineStr">
        <is>
          <t>Ministre d'État</t>
        </is>
      </c>
      <c r="E3050" t="inlineStr">
        <is>
          <t>Rob Moore</t>
        </is>
      </c>
      <c r="F3050" t="inlineStr">
        <is>
          <t>Visit to CCNB Grand Falls and meeting with area mayors</t>
        </is>
      </c>
      <c r="G3050" t="inlineStr">
        <is>
          <t>Visite du CCNB de Grand-Sault et réunion avec les maires de la région</t>
        </is>
      </c>
      <c r="H3050" s="1" t="n">
        <v>42082</v>
      </c>
      <c r="I3050" s="1" t="n">
        <v>42082</v>
      </c>
      <c r="J3050" t="inlineStr">
        <is>
          <t>Grand Falls, New Brunswick</t>
        </is>
      </c>
      <c r="K3050" t="inlineStr">
        <is>
          <t>Grand-Sault (Nouveau-Brunswick)</t>
        </is>
      </c>
      <c r="P3050" t="n">
        <v>0</v>
      </c>
      <c r="Q3050" t="n">
        <v>348.98</v>
      </c>
      <c r="R3050" t="n">
        <v>0</v>
      </c>
      <c r="S3050" t="n">
        <v>15.75</v>
      </c>
      <c r="T3050" t="n">
        <v>0</v>
      </c>
      <c r="U3050" t="n">
        <v>364.73</v>
      </c>
      <c r="X3050" t="inlineStr">
        <is>
          <t>acoa-apeca</t>
        </is>
      </c>
      <c r="Y3050" t="inlineStr">
        <is>
          <t>Atlantic Canada Opportunities Agency | Agence de promotion économique du Canada atlantique</t>
        </is>
      </c>
    </row>
    <row r="3051">
      <c r="A3051" t="inlineStr">
        <is>
          <t>T-2016-Q1-00014</t>
        </is>
      </c>
      <c r="B3051" t="inlineStr">
        <is>
          <t>MPSES</t>
        </is>
      </c>
      <c r="C3051" t="inlineStr">
        <is>
          <t>Regional Affairs Director - New Brunswick</t>
        </is>
      </c>
      <c r="D3051" t="inlineStr">
        <is>
          <t>Directeur des affaires régionales - Nouveau-Brunswick</t>
        </is>
      </c>
      <c r="E3051" t="inlineStr">
        <is>
          <t>Douglas MacDonald</t>
        </is>
      </c>
      <c r="F3051" t="inlineStr">
        <is>
          <t>Travel on Government business</t>
        </is>
      </c>
      <c r="G3051" t="inlineStr">
        <is>
          <t>Voyage pour le compte du gouvernement</t>
        </is>
      </c>
      <c r="H3051" s="1" t="n">
        <v>42081</v>
      </c>
      <c r="I3051" s="1" t="n">
        <v>42081</v>
      </c>
      <c r="J3051" t="inlineStr">
        <is>
          <t>Cambridge-Narrows, New Brunswick</t>
        </is>
      </c>
      <c r="K3051" t="inlineStr">
        <is>
          <t>Cambridge-Narrows (Nouveau-Brunswick)</t>
        </is>
      </c>
      <c r="P3051" t="n">
        <v>0</v>
      </c>
      <c r="Q3051" t="n">
        <v>81.18000000000001</v>
      </c>
      <c r="R3051" t="n">
        <v>0</v>
      </c>
      <c r="S3051" t="n">
        <v>0</v>
      </c>
      <c r="T3051" t="n">
        <v>0</v>
      </c>
      <c r="U3051" t="n">
        <v>81.18000000000001</v>
      </c>
      <c r="X3051" t="inlineStr">
        <is>
          <t>acoa-apeca</t>
        </is>
      </c>
      <c r="Y3051" t="inlineStr">
        <is>
          <t>Atlantic Canada Opportunities Agency | Agence de promotion économique du Canada atlantique</t>
        </is>
      </c>
    </row>
    <row r="3052">
      <c r="A3052" t="inlineStr">
        <is>
          <t>T-2016-Q1-00013</t>
        </is>
      </c>
      <c r="B3052" t="inlineStr">
        <is>
          <t>MPSES</t>
        </is>
      </c>
      <c r="C3052" t="inlineStr">
        <is>
          <t>Executive Assistant</t>
        </is>
      </c>
      <c r="D3052" t="inlineStr">
        <is>
          <t>Adjoint exécutif</t>
        </is>
      </c>
      <c r="E3052" t="inlineStr">
        <is>
          <t>Josh Hardy</t>
        </is>
      </c>
      <c r="F3052" t="inlineStr">
        <is>
          <t>Travel for Government Business</t>
        </is>
      </c>
      <c r="G3052" t="inlineStr">
        <is>
          <t>Voyage pour le compte du gouvernement</t>
        </is>
      </c>
      <c r="H3052" s="1" t="n">
        <v>42080</v>
      </c>
      <c r="I3052" s="1" t="n">
        <v>42084</v>
      </c>
      <c r="J3052" t="inlineStr">
        <is>
          <t>Moncton, New Brunswick; Summerside, Prince Edward Island; Grand Falls, New Brunswick</t>
        </is>
      </c>
      <c r="K3052" t="inlineStr">
        <is>
          <t>Moncton (Nouveau-Brunswick); Summerside (Île-du-Prince-Édouard); Grand-Sault (Nouveau-Brunswick)</t>
        </is>
      </c>
      <c r="P3052" t="n">
        <v>1001.18</v>
      </c>
      <c r="Q3052" t="n">
        <v>588.83</v>
      </c>
      <c r="R3052" t="n">
        <v>0</v>
      </c>
      <c r="S3052" t="n">
        <v>142.55</v>
      </c>
      <c r="T3052" t="n">
        <v>0</v>
      </c>
      <c r="U3052" t="n">
        <v>1732.56</v>
      </c>
      <c r="X3052" t="inlineStr">
        <is>
          <t>acoa-apeca</t>
        </is>
      </c>
      <c r="Y3052" t="inlineStr">
        <is>
          <t>Atlantic Canada Opportunities Agency | Agence de promotion économique du Canada atlantique</t>
        </is>
      </c>
    </row>
    <row r="3053">
      <c r="A3053" t="inlineStr">
        <is>
          <t>T-2016-Q1-00012</t>
        </is>
      </c>
      <c r="B3053" t="inlineStr">
        <is>
          <t>SLE</t>
        </is>
      </c>
      <c r="C3053" t="inlineStr">
        <is>
          <t>Vice-President, Policy and Programs</t>
        </is>
      </c>
      <c r="D3053" t="inlineStr">
        <is>
          <t>Vice-président, Politiques et Programmes</t>
        </is>
      </c>
      <c r="E3053" t="inlineStr">
        <is>
          <t>Daryell Nowlan</t>
        </is>
      </c>
      <c r="F3053" t="inlineStr">
        <is>
          <t>Meetings with Government of Canada officials</t>
        </is>
      </c>
      <c r="G3053" t="inlineStr">
        <is>
          <t>Réunions avec des fonctionnaires du gouvernement du Canada</t>
        </is>
      </c>
      <c r="H3053" s="1" t="n">
        <v>42080</v>
      </c>
      <c r="I3053" s="1" t="n">
        <v>42082</v>
      </c>
      <c r="J3053" t="inlineStr">
        <is>
          <t>Ottawa, Ontario</t>
        </is>
      </c>
      <c r="K3053" t="inlineStr">
        <is>
          <t>Ottawa (Ontario)</t>
        </is>
      </c>
      <c r="P3053" t="n">
        <v>937.9</v>
      </c>
      <c r="Q3053" t="n">
        <v>114.42</v>
      </c>
      <c r="R3053" t="n">
        <v>365.46</v>
      </c>
      <c r="S3053" t="n">
        <v>126.8</v>
      </c>
      <c r="T3053" t="n">
        <v>0</v>
      </c>
      <c r="U3053" t="n">
        <v>1544.58</v>
      </c>
      <c r="X3053" t="inlineStr">
        <is>
          <t>acoa-apeca</t>
        </is>
      </c>
      <c r="Y3053" t="inlineStr">
        <is>
          <t>Atlantic Canada Opportunities Agency | Agence de promotion économique du Canada atlantique</t>
        </is>
      </c>
    </row>
    <row r="3054">
      <c r="A3054" t="inlineStr">
        <is>
          <t>T-2016-Q1-00011</t>
        </is>
      </c>
      <c r="B3054" t="inlineStr">
        <is>
          <t>MPSES</t>
        </is>
      </c>
      <c r="C3054" t="inlineStr">
        <is>
          <t>Regional Affairs Director - New Brunswick</t>
        </is>
      </c>
      <c r="D3054" t="inlineStr">
        <is>
          <t>Directeur des affaires régionales - Nouveau-Brunswick</t>
        </is>
      </c>
      <c r="E3054" t="inlineStr">
        <is>
          <t>Douglas MacDonald</t>
        </is>
      </c>
      <c r="F3054" t="inlineStr">
        <is>
          <t>Travel on Government business</t>
        </is>
      </c>
      <c r="G3054" t="inlineStr">
        <is>
          <t>Voyage pour le compte du gouvernement</t>
        </is>
      </c>
      <c r="H3054" s="1" t="n">
        <v>42076</v>
      </c>
      <c r="I3054" s="1" t="n">
        <v>42077</v>
      </c>
      <c r="J3054" t="inlineStr">
        <is>
          <t>Miramichi, New Brunswick</t>
        </is>
      </c>
      <c r="K3054" t="inlineStr">
        <is>
          <t>Miramichi (Nouveau-Brunswick)</t>
        </is>
      </c>
      <c r="P3054" t="n">
        <v>0</v>
      </c>
      <c r="Q3054" t="n">
        <v>254.93</v>
      </c>
      <c r="R3054" t="n">
        <v>91.98999999999999</v>
      </c>
      <c r="S3054" t="n">
        <v>151.1</v>
      </c>
      <c r="T3054" t="n">
        <v>0</v>
      </c>
      <c r="U3054" t="n">
        <v>498.02</v>
      </c>
      <c r="X3054" t="inlineStr">
        <is>
          <t>acoa-apeca</t>
        </is>
      </c>
      <c r="Y3054" t="inlineStr">
        <is>
          <t>Atlantic Canada Opportunities Agency | Agence de promotion économique du Canada atlantique</t>
        </is>
      </c>
    </row>
    <row r="3055">
      <c r="A3055" t="inlineStr">
        <is>
          <t>T-2016-Q1-00010</t>
        </is>
      </c>
      <c r="B3055" t="inlineStr">
        <is>
          <t>SLE</t>
        </is>
      </c>
      <c r="C3055" t="inlineStr">
        <is>
          <t>Vice President, Nova Scotia</t>
        </is>
      </c>
      <c r="D3055" t="inlineStr">
        <is>
          <t>Vice-président, Nouvelle-Écosse</t>
        </is>
      </c>
      <c r="E3055" t="inlineStr">
        <is>
          <t>Peter Hogan</t>
        </is>
      </c>
      <c r="F3055" t="inlineStr">
        <is>
          <t>Various Meetings with Agency and Government of Canada Officials</t>
        </is>
      </c>
      <c r="G3055" t="inlineStr">
        <is>
          <t>Diverses réunions avec des fonctionnaires de l'Agence et du gouvernement du Canada</t>
        </is>
      </c>
      <c r="H3055" s="1" t="n">
        <v>42075</v>
      </c>
      <c r="I3055" s="1" t="n">
        <v>42076</v>
      </c>
      <c r="J3055" t="inlineStr">
        <is>
          <t>Ottawa, Ontario</t>
        </is>
      </c>
      <c r="K3055" t="inlineStr">
        <is>
          <t>Ottawa (Ontario)</t>
        </is>
      </c>
      <c r="P3055" t="n">
        <v>483.61</v>
      </c>
      <c r="Q3055" t="n">
        <v>96.2</v>
      </c>
      <c r="R3055" t="n">
        <v>182.73</v>
      </c>
      <c r="S3055" t="n">
        <v>151.1</v>
      </c>
      <c r="T3055" t="n">
        <v>0</v>
      </c>
      <c r="U3055" t="n">
        <v>913.64</v>
      </c>
      <c r="X3055" t="inlineStr">
        <is>
          <t>acoa-apeca</t>
        </is>
      </c>
      <c r="Y3055" t="inlineStr">
        <is>
          <t>Atlantic Canada Opportunities Agency | Agence de promotion économique du Canada atlantique</t>
        </is>
      </c>
    </row>
    <row r="3056">
      <c r="A3056" t="inlineStr">
        <is>
          <t>T-2016-Q1-00008</t>
        </is>
      </c>
      <c r="B3056" t="inlineStr">
        <is>
          <t>SLE</t>
        </is>
      </c>
      <c r="C3056" t="inlineStr">
        <is>
          <t>Vice-President, New Brunswick</t>
        </is>
      </c>
      <c r="D3056" t="inlineStr">
        <is>
          <t>Vice-président, Nouveau-Brunswick</t>
        </is>
      </c>
      <c r="E3056" t="inlineStr">
        <is>
          <t>Kent Estabrooks</t>
        </is>
      </c>
      <c r="F3056" t="inlineStr">
        <is>
          <t xml:space="preserve">Meetings with Various Federal Officials and Agency Officials </t>
        </is>
      </c>
      <c r="G3056" t="inlineStr">
        <is>
          <t>Réunions avec divers fonctionnaires fédéraux et de l'Agence</t>
        </is>
      </c>
      <c r="H3056" s="1" t="n">
        <v>42073</v>
      </c>
      <c r="I3056" s="1" t="n">
        <v>42074</v>
      </c>
      <c r="J3056" t="inlineStr">
        <is>
          <t>Ottawa, Ontario</t>
        </is>
      </c>
      <c r="K3056" t="inlineStr">
        <is>
          <t>Ottawa (Ontario)</t>
        </is>
      </c>
      <c r="P3056" t="n">
        <v>892.7</v>
      </c>
      <c r="Q3056" t="n">
        <v>124.96</v>
      </c>
      <c r="R3056" t="n">
        <v>182.73</v>
      </c>
      <c r="S3056" t="n">
        <v>119</v>
      </c>
      <c r="T3056" t="n">
        <v>0</v>
      </c>
      <c r="U3056" t="n">
        <v>1319.39</v>
      </c>
      <c r="X3056" t="inlineStr">
        <is>
          <t>acoa-apeca</t>
        </is>
      </c>
      <c r="Y3056" t="inlineStr">
        <is>
          <t>Atlantic Canada Opportunities Agency | Agence de promotion économique du Canada atlantique</t>
        </is>
      </c>
    </row>
    <row r="3057">
      <c r="A3057" t="inlineStr">
        <is>
          <t>T-2016-Q1-00007</t>
        </is>
      </c>
      <c r="B3057" t="inlineStr">
        <is>
          <t>MPSES</t>
        </is>
      </c>
      <c r="C3057" t="inlineStr">
        <is>
          <t>Minister of State</t>
        </is>
      </c>
      <c r="D3057" t="inlineStr">
        <is>
          <t>Ministre d'État</t>
        </is>
      </c>
      <c r="E3057" t="inlineStr">
        <is>
          <t>Rob Moore</t>
        </is>
      </c>
      <c r="F3057" t="inlineStr">
        <is>
          <t>Travel to attend Government of Canada announcement</t>
        </is>
      </c>
      <c r="G3057" t="inlineStr">
        <is>
          <t>Voyage pour assister à une annonce du gouvernement du Canada</t>
        </is>
      </c>
      <c r="H3057" s="1" t="n">
        <v>42073</v>
      </c>
      <c r="I3057" s="1" t="n">
        <v>42074</v>
      </c>
      <c r="J3057" t="inlineStr">
        <is>
          <t>Fredericton and Quispamsis, New Brunswick</t>
        </is>
      </c>
      <c r="K3057" t="inlineStr">
        <is>
          <t>Fredericton et Quispamsis (Nouveau-Brunswick)</t>
        </is>
      </c>
      <c r="P3057" t="n">
        <v>1656.72</v>
      </c>
      <c r="Q3057" t="n">
        <v>20.79</v>
      </c>
      <c r="R3057" t="n">
        <v>0</v>
      </c>
      <c r="S3057" t="n">
        <v>16.35</v>
      </c>
      <c r="T3057" t="n">
        <v>0</v>
      </c>
      <c r="U3057" t="n">
        <v>1693.86</v>
      </c>
      <c r="X3057" t="inlineStr">
        <is>
          <t>acoa-apeca</t>
        </is>
      </c>
      <c r="Y3057" t="inlineStr">
        <is>
          <t>Atlantic Canada Opportunities Agency | Agence de promotion économique du Canada atlantique</t>
        </is>
      </c>
    </row>
    <row r="3058">
      <c r="A3058" t="inlineStr">
        <is>
          <t>T-2016-Q1-00006</t>
        </is>
      </c>
      <c r="B3058" t="inlineStr">
        <is>
          <t>SLE</t>
        </is>
      </c>
      <c r="C3058" t="inlineStr">
        <is>
          <t>Vice-President, Policy and Programs</t>
        </is>
      </c>
      <c r="D3058" t="inlineStr">
        <is>
          <t>Vice-président, Politiques et Programmes</t>
        </is>
      </c>
      <c r="E3058" t="inlineStr">
        <is>
          <t>Daryell Nowlan</t>
        </is>
      </c>
      <c r="F3058" t="inlineStr">
        <is>
          <t>Meetings with Government of Canada officials</t>
        </is>
      </c>
      <c r="G3058" t="inlineStr">
        <is>
          <t>Réunions avec des fonctionnaires du gouvernement du Canada</t>
        </is>
      </c>
      <c r="H3058" s="1" t="n">
        <v>42072</v>
      </c>
      <c r="I3058" s="1" t="n">
        <v>42074</v>
      </c>
      <c r="J3058" t="inlineStr">
        <is>
          <t>Ottawa, Ontario</t>
        </is>
      </c>
      <c r="K3058" t="inlineStr">
        <is>
          <t>Ottawa (Ontario)</t>
        </is>
      </c>
      <c r="P3058" t="n">
        <v>937.9</v>
      </c>
      <c r="Q3058" t="n">
        <v>126.5</v>
      </c>
      <c r="R3058" t="n">
        <v>365.46</v>
      </c>
      <c r="S3058" t="n">
        <v>168.4</v>
      </c>
      <c r="T3058" t="n">
        <v>0</v>
      </c>
      <c r="U3058" t="n">
        <v>1598.26</v>
      </c>
      <c r="X3058" t="inlineStr">
        <is>
          <t>acoa-apeca</t>
        </is>
      </c>
      <c r="Y3058" t="inlineStr">
        <is>
          <t>Atlantic Canada Opportunities Agency | Agence de promotion économique du Canada atlantique</t>
        </is>
      </c>
    </row>
    <row r="3059">
      <c r="A3059" t="inlineStr">
        <is>
          <t>T-2016-Q1-00005</t>
        </is>
      </c>
      <c r="B3059" t="inlineStr">
        <is>
          <t>SLE</t>
        </is>
      </c>
      <c r="C3059" t="inlineStr">
        <is>
          <t>President</t>
        </is>
      </c>
      <c r="D3059" t="inlineStr">
        <is>
          <t>Président</t>
        </is>
      </c>
      <c r="E3059" t="inlineStr">
        <is>
          <t>Paul J. LeBlanc</t>
        </is>
      </c>
      <c r="F3059" t="inlineStr">
        <is>
          <t>For various meetings and discussions with Agency and Government of Canada officials</t>
        </is>
      </c>
      <c r="G3059" t="inlineStr">
        <is>
          <t>Diverses réunions et discussions avec des fonctionnaires de l'Agence et du gouvernement du Canada</t>
        </is>
      </c>
      <c r="H3059" s="1" t="n">
        <v>42072</v>
      </c>
      <c r="I3059" s="1" t="n">
        <v>42074</v>
      </c>
      <c r="J3059" t="inlineStr">
        <is>
          <t>Ottawa, Ontario</t>
        </is>
      </c>
      <c r="K3059" t="inlineStr">
        <is>
          <t>Ottawa (Ontario)</t>
        </is>
      </c>
      <c r="P3059" t="n">
        <v>793.38</v>
      </c>
      <c r="Q3059" t="n">
        <v>0</v>
      </c>
      <c r="R3059" t="n">
        <v>377.1</v>
      </c>
      <c r="S3059" t="n">
        <v>226.95</v>
      </c>
      <c r="T3059" t="n">
        <v>48</v>
      </c>
      <c r="U3059" t="n">
        <v>1445.43</v>
      </c>
      <c r="X3059" t="inlineStr">
        <is>
          <t>acoa-apeca</t>
        </is>
      </c>
      <c r="Y3059" t="inlineStr">
        <is>
          <t>Atlantic Canada Opportunities Agency | Agence de promotion économique du Canada atlantique</t>
        </is>
      </c>
    </row>
    <row r="3060">
      <c r="A3060" t="inlineStr">
        <is>
          <t>T-2016-Q1-00004</t>
        </is>
      </c>
      <c r="B3060" t="inlineStr">
        <is>
          <t>SLE</t>
        </is>
      </c>
      <c r="C3060" t="inlineStr">
        <is>
          <t>Vice-President, New Brunswick</t>
        </is>
      </c>
      <c r="D3060" t="inlineStr">
        <is>
          <t>Vice-président, Nouveau-Brunswick</t>
        </is>
      </c>
      <c r="E3060" t="inlineStr">
        <is>
          <t>Kent Estabrooks</t>
        </is>
      </c>
      <c r="F3060" t="inlineStr">
        <is>
          <t>Executive Committee Meeting</t>
        </is>
      </c>
      <c r="G3060" t="inlineStr">
        <is>
          <t>Réunion du Comité de direction</t>
        </is>
      </c>
      <c r="H3060" s="1" t="n">
        <v>42067</v>
      </c>
      <c r="I3060" s="1" t="n">
        <v>42068</v>
      </c>
      <c r="J3060" t="inlineStr">
        <is>
          <t>Moncton, New Brunswick</t>
        </is>
      </c>
      <c r="K3060" t="inlineStr">
        <is>
          <t>Moncton (Nouveau-Brunswick)</t>
        </is>
      </c>
      <c r="P3060" t="n">
        <v>0</v>
      </c>
      <c r="Q3060" t="n">
        <v>0</v>
      </c>
      <c r="R3060" t="n">
        <v>113</v>
      </c>
      <c r="S3060" t="n">
        <v>119</v>
      </c>
      <c r="T3060" t="n">
        <v>0</v>
      </c>
      <c r="U3060" t="n">
        <v>232</v>
      </c>
      <c r="X3060" t="inlineStr">
        <is>
          <t>acoa-apeca</t>
        </is>
      </c>
      <c r="Y3060" t="inlineStr">
        <is>
          <t>Atlantic Canada Opportunities Agency | Agence de promotion économique du Canada atlantique</t>
        </is>
      </c>
    </row>
    <row r="3061">
      <c r="A3061" t="inlineStr">
        <is>
          <t>T-2016-Q1-00003</t>
        </is>
      </c>
      <c r="B3061" t="inlineStr">
        <is>
          <t>SLE</t>
        </is>
      </c>
      <c r="C3061" t="inlineStr">
        <is>
          <t>Vice President, Nova Scotia</t>
        </is>
      </c>
      <c r="D3061" t="inlineStr">
        <is>
          <t>Vice-président, Nouvelle-Écosse</t>
        </is>
      </c>
      <c r="E3061" t="inlineStr">
        <is>
          <t>Peter Hogan</t>
        </is>
      </c>
      <c r="F3061" t="inlineStr">
        <is>
          <t xml:space="preserve">Meeting with Agency Officials </t>
        </is>
      </c>
      <c r="G3061" t="inlineStr">
        <is>
          <t>Réunion avec des fonctionnaires de l'Agence</t>
        </is>
      </c>
      <c r="H3061" s="1" t="n">
        <v>42067</v>
      </c>
      <c r="I3061" s="1" t="n">
        <v>42069</v>
      </c>
      <c r="J3061" t="inlineStr">
        <is>
          <t>Moncton, New Brunswick</t>
        </is>
      </c>
      <c r="K3061" t="inlineStr">
        <is>
          <t>Moncton (Nouveau-Brunswick)</t>
        </is>
      </c>
      <c r="P3061" t="n">
        <v>0</v>
      </c>
      <c r="Q3061" t="n">
        <v>287.59</v>
      </c>
      <c r="R3061" t="n">
        <v>145.77</v>
      </c>
      <c r="S3061" t="n">
        <v>76.8</v>
      </c>
      <c r="T3061" t="n">
        <v>0</v>
      </c>
      <c r="U3061" t="n">
        <v>510.16</v>
      </c>
      <c r="X3061" t="inlineStr">
        <is>
          <t>acoa-apeca</t>
        </is>
      </c>
      <c r="Y3061" t="inlineStr">
        <is>
          <t>Atlantic Canada Opportunities Agency | Agence de promotion économique du Canada atlantique</t>
        </is>
      </c>
    </row>
    <row r="3062">
      <c r="A3062" t="inlineStr">
        <is>
          <t>T-2016-Q1-00002</t>
        </is>
      </c>
      <c r="B3062" t="inlineStr">
        <is>
          <t>SLE</t>
        </is>
      </c>
      <c r="C3062" t="inlineStr">
        <is>
          <t>Vice-President, Prince Edward Island</t>
        </is>
      </c>
      <c r="D3062" t="inlineStr">
        <is>
          <t>Vice-président, Île-du-Prince-Édouard</t>
        </is>
      </c>
      <c r="E3062" t="inlineStr">
        <is>
          <t>Patrick Dorsey</t>
        </is>
      </c>
      <c r="F3062" t="inlineStr">
        <is>
          <t>Executive Committee Meeting in Moncton</t>
        </is>
      </c>
      <c r="G3062" t="inlineStr">
        <is>
          <t>Réunion du Comité de direction à Moncton</t>
        </is>
      </c>
      <c r="H3062" s="1" t="n">
        <v>42067</v>
      </c>
      <c r="I3062" s="1" t="n">
        <v>42068</v>
      </c>
      <c r="J3062" t="inlineStr">
        <is>
          <t>Moncton, New Brunswick</t>
        </is>
      </c>
      <c r="K3062" t="inlineStr">
        <is>
          <t>Moncton (Nouveau-Brunswick)</t>
        </is>
      </c>
      <c r="P3062" t="n">
        <v>0</v>
      </c>
      <c r="Q3062" t="n">
        <v>113</v>
      </c>
      <c r="R3062" t="n">
        <v>60.76</v>
      </c>
      <c r="S3062" t="n">
        <v>92.55</v>
      </c>
      <c r="T3062" t="n">
        <v>0</v>
      </c>
      <c r="U3062" t="n">
        <v>266.31</v>
      </c>
      <c r="X3062" t="inlineStr">
        <is>
          <t>acoa-apeca</t>
        </is>
      </c>
      <c r="Y3062" t="inlineStr">
        <is>
          <t>Atlantic Canada Opportunities Agency | Agence de promotion économique du Canada atlantique</t>
        </is>
      </c>
    </row>
    <row r="3063">
      <c r="A3063" t="inlineStr">
        <is>
          <t>T-2016-Q1-00001</t>
        </is>
      </c>
      <c r="B3063" t="inlineStr">
        <is>
          <t>SLE</t>
        </is>
      </c>
      <c r="C3063" t="inlineStr">
        <is>
          <t>Vice-President, Newfoundland and Labrador</t>
        </is>
      </c>
      <c r="D3063" t="inlineStr">
        <is>
          <t>Vice-président, Terre-Neuve-et-Labrador</t>
        </is>
      </c>
      <c r="E3063" t="inlineStr">
        <is>
          <t>Paul Mills</t>
        </is>
      </c>
      <c r="F3063" t="inlineStr">
        <is>
          <t>EXCOM meeting in Moncton, NB</t>
        </is>
      </c>
      <c r="G3063" t="inlineStr">
        <is>
          <t>Réunion du Comité de direction à Moncton (Nouveau-Brunswick)</t>
        </is>
      </c>
      <c r="H3063" s="1" t="n">
        <v>42067</v>
      </c>
      <c r="I3063" s="1" t="n">
        <v>42069</v>
      </c>
      <c r="J3063" t="inlineStr">
        <is>
          <t>Moncton, New Brunswick</t>
        </is>
      </c>
      <c r="K3063" t="inlineStr">
        <is>
          <t>Moncton (Nouveau-Brunswick)</t>
        </is>
      </c>
      <c r="P3063" t="n">
        <v>1426.06</v>
      </c>
      <c r="Q3063" t="n">
        <v>279.66</v>
      </c>
      <c r="R3063" t="n">
        <v>253.76</v>
      </c>
      <c r="S3063" t="n">
        <v>200.5</v>
      </c>
      <c r="T3063" t="n">
        <v>45.96</v>
      </c>
      <c r="U3063" t="n">
        <v>2205.94</v>
      </c>
      <c r="X3063" t="inlineStr">
        <is>
          <t>acoa-apeca</t>
        </is>
      </c>
      <c r="Y3063" t="inlineStr">
        <is>
          <t>Atlantic Canada Opportunities Agency | Agence de promotion économique du Canada atlantique</t>
        </is>
      </c>
    </row>
    <row r="3064">
      <c r="A3064" t="inlineStr">
        <is>
          <t>T-2015-Q4-00070</t>
        </is>
      </c>
      <c r="B3064" t="inlineStr">
        <is>
          <t>SLE</t>
        </is>
      </c>
      <c r="C3064" t="inlineStr">
        <is>
          <t>President</t>
        </is>
      </c>
      <c r="D3064" t="inlineStr">
        <is>
          <t>Président</t>
        </is>
      </c>
      <c r="E3064" t="inlineStr">
        <is>
          <t>Paul J. LeBlanc</t>
        </is>
      </c>
      <c r="F3064" t="inlineStr">
        <is>
          <t>For various meetings and discussions with Government of Canada officials</t>
        </is>
      </c>
      <c r="G3064" t="inlineStr">
        <is>
          <t>Diverses réunions et discussions avec des fonctionnaires du gouvernement du Canada</t>
        </is>
      </c>
      <c r="H3064" s="1" t="n">
        <v>42061</v>
      </c>
      <c r="I3064" s="1" t="n">
        <v>42061</v>
      </c>
      <c r="J3064" t="inlineStr">
        <is>
          <t>Charlottetown, Prince Edward Island</t>
        </is>
      </c>
      <c r="K3064" t="inlineStr">
        <is>
          <t>Charlottetown (Île-du-Prince-Édouard)</t>
        </is>
      </c>
      <c r="P3064" t="n">
        <v>0</v>
      </c>
      <c r="Q3064" t="n">
        <v>0</v>
      </c>
      <c r="R3064" t="n">
        <v>0</v>
      </c>
      <c r="S3064" t="n">
        <v>0</v>
      </c>
      <c r="T3064" t="n">
        <v>105</v>
      </c>
      <c r="U3064" t="n">
        <v>105</v>
      </c>
      <c r="X3064" t="inlineStr">
        <is>
          <t>acoa-apeca</t>
        </is>
      </c>
      <c r="Y3064" t="inlineStr">
        <is>
          <t>Atlantic Canada Opportunities Agency | Agence de promotion économique du Canada atlantique</t>
        </is>
      </c>
    </row>
    <row r="3065">
      <c r="A3065" t="inlineStr">
        <is>
          <t>T-2015-Q4-00069</t>
        </is>
      </c>
      <c r="B3065" t="inlineStr">
        <is>
          <t>SLE</t>
        </is>
      </c>
      <c r="C3065" t="inlineStr">
        <is>
          <t>Vice-President, Finance and Corporate Services</t>
        </is>
      </c>
      <c r="D3065" t="inlineStr">
        <is>
          <t>Vice-présidente, Finances et Services corporatifs</t>
        </is>
      </c>
      <c r="E3065" t="inlineStr">
        <is>
          <t>Denise Frenette</t>
        </is>
      </c>
      <c r="F3065" t="inlineStr">
        <is>
          <t>For session with Government of Canada officials</t>
        </is>
      </c>
      <c r="G3065" t="inlineStr">
        <is>
          <t>Séance avec des fonctionnaires du gouvernement du Canada</t>
        </is>
      </c>
      <c r="H3065" s="1" t="n">
        <v>42060</v>
      </c>
      <c r="I3065" s="1" t="n">
        <v>42061</v>
      </c>
      <c r="J3065" t="inlineStr">
        <is>
          <t>Ottawa, Ontario</t>
        </is>
      </c>
      <c r="K3065" t="inlineStr">
        <is>
          <t>Ottawa (Ontario)</t>
        </is>
      </c>
      <c r="P3065" t="n">
        <v>198.79</v>
      </c>
      <c r="Q3065" t="n">
        <v>88.93000000000001</v>
      </c>
      <c r="R3065" t="n">
        <v>182.73</v>
      </c>
      <c r="S3065" t="n">
        <v>185.6</v>
      </c>
      <c r="T3065" t="n">
        <v>0</v>
      </c>
      <c r="U3065" t="n">
        <v>656.05</v>
      </c>
      <c r="X3065" t="inlineStr">
        <is>
          <t>acoa-apeca</t>
        </is>
      </c>
      <c r="Y3065" t="inlineStr">
        <is>
          <t>Atlantic Canada Opportunities Agency | Agence de promotion économique du Canada atlantique</t>
        </is>
      </c>
    </row>
    <row r="3066">
      <c r="A3066" t="inlineStr">
        <is>
          <t>T-2015-Q4-00067</t>
        </is>
      </c>
      <c r="B3066" t="inlineStr">
        <is>
          <t>MPSES</t>
        </is>
      </c>
      <c r="C3066" t="inlineStr">
        <is>
          <t>Minister of State</t>
        </is>
      </c>
      <c r="D3066" t="inlineStr">
        <is>
          <t>Ministre d'État</t>
        </is>
      </c>
      <c r="E3066" t="inlineStr">
        <is>
          <t>Rob Moore</t>
        </is>
      </c>
      <c r="F3066" t="inlineStr">
        <is>
          <t>Travel to Government of Canada announcement and meetings</t>
        </is>
      </c>
      <c r="G3066" t="inlineStr">
        <is>
          <t>Voyage pour assister à une annonce du gouvernement du Canada et à des réunions</t>
        </is>
      </c>
      <c r="H3066" s="1" t="n">
        <v>42055</v>
      </c>
      <c r="I3066" s="1" t="n">
        <v>42055</v>
      </c>
      <c r="J3066" t="inlineStr">
        <is>
          <t>Fredericton, New Brunswick</t>
        </is>
      </c>
      <c r="K3066" t="inlineStr">
        <is>
          <t>Fredericton (Nouveau-Brunswick)</t>
        </is>
      </c>
      <c r="P3066" t="n">
        <v>0</v>
      </c>
      <c r="Q3066" t="n">
        <v>136.13</v>
      </c>
      <c r="R3066" t="n">
        <v>0</v>
      </c>
      <c r="S3066" t="n">
        <v>16.35</v>
      </c>
      <c r="T3066" t="n">
        <v>0</v>
      </c>
      <c r="U3066" t="n">
        <v>152.48</v>
      </c>
      <c r="X3066" t="inlineStr">
        <is>
          <t>acoa-apeca</t>
        </is>
      </c>
      <c r="Y3066" t="inlineStr">
        <is>
          <t>Atlantic Canada Opportunities Agency | Agence de promotion économique du Canada atlantique</t>
        </is>
      </c>
    </row>
    <row r="3067">
      <c r="A3067" t="inlineStr">
        <is>
          <t>T-2015-Q4-00066</t>
        </is>
      </c>
      <c r="B3067" t="inlineStr">
        <is>
          <t>SLE</t>
        </is>
      </c>
      <c r="C3067" t="inlineStr">
        <is>
          <t>President</t>
        </is>
      </c>
      <c r="D3067" t="inlineStr">
        <is>
          <t>Président</t>
        </is>
      </c>
      <c r="E3067" t="inlineStr">
        <is>
          <t>Paul J. LeBlanc</t>
        </is>
      </c>
      <c r="F3067" t="inlineStr">
        <is>
          <t>For various meetings and discussions with Agency and Government of Canada officials</t>
        </is>
      </c>
      <c r="G3067" t="inlineStr">
        <is>
          <t>Diverses réunions et discussions avec des fonctionnaires de l'Agence et du gouvernement du Canada</t>
        </is>
      </c>
      <c r="H3067" s="1" t="n">
        <v>42055</v>
      </c>
      <c r="I3067" s="1" t="n">
        <v>42055</v>
      </c>
      <c r="J3067" t="inlineStr">
        <is>
          <t>Fredericton, New Brunswick</t>
        </is>
      </c>
      <c r="K3067" t="inlineStr">
        <is>
          <t>Fredericton (Nouveau-Brunswick)</t>
        </is>
      </c>
      <c r="P3067" t="n">
        <v>0</v>
      </c>
      <c r="Q3067" t="n">
        <v>0</v>
      </c>
      <c r="R3067" t="n">
        <v>0</v>
      </c>
      <c r="S3067" t="n">
        <v>0</v>
      </c>
      <c r="T3067" t="n">
        <v>5</v>
      </c>
      <c r="U3067" t="n">
        <v>5</v>
      </c>
      <c r="X3067" t="inlineStr">
        <is>
          <t>acoa-apeca</t>
        </is>
      </c>
      <c r="Y3067" t="inlineStr">
        <is>
          <t>Atlantic Canada Opportunities Agency | Agence de promotion économique du Canada atlantique</t>
        </is>
      </c>
    </row>
    <row r="3068">
      <c r="A3068" t="inlineStr">
        <is>
          <t>T-2015-Q4-00065</t>
        </is>
      </c>
      <c r="B3068" t="inlineStr">
        <is>
          <t>MPSES</t>
        </is>
      </c>
      <c r="C3068" t="inlineStr">
        <is>
          <t>Chief of Staff</t>
        </is>
      </c>
      <c r="D3068" t="inlineStr">
        <is>
          <t>Chef de cabinet</t>
        </is>
      </c>
      <c r="E3068" t="inlineStr">
        <is>
          <t>Shane Bourke</t>
        </is>
      </c>
      <c r="F3068" t="inlineStr">
        <is>
          <t>Travel on Government business</t>
        </is>
      </c>
      <c r="G3068" t="inlineStr">
        <is>
          <t>Voyage pour le compte du gouvernement</t>
        </is>
      </c>
      <c r="H3068" s="1" t="n">
        <v>42054</v>
      </c>
      <c r="I3068" s="1" t="n">
        <v>42055</v>
      </c>
      <c r="J3068" t="inlineStr">
        <is>
          <t>Fredericton, New Brunswick</t>
        </is>
      </c>
      <c r="K3068" t="inlineStr">
        <is>
          <t>Fredericton (Nouveau-Brunswick)</t>
        </is>
      </c>
      <c r="P3068" t="n">
        <v>750.4400000000001</v>
      </c>
      <c r="Q3068" t="n">
        <v>78.22</v>
      </c>
      <c r="R3068" t="n">
        <v>146.9</v>
      </c>
      <c r="S3068" t="n">
        <v>0</v>
      </c>
      <c r="T3068" t="n">
        <v>0</v>
      </c>
      <c r="U3068" t="n">
        <v>975.5599999999999</v>
      </c>
      <c r="X3068" t="inlineStr">
        <is>
          <t>acoa-apeca</t>
        </is>
      </c>
      <c r="Y3068" t="inlineStr">
        <is>
          <t>Atlantic Canada Opportunities Agency | Agence de promotion économique du Canada atlantique</t>
        </is>
      </c>
    </row>
    <row r="3069">
      <c r="A3069" t="inlineStr">
        <is>
          <t>T-2015-Q4-00063</t>
        </is>
      </c>
      <c r="B3069" t="inlineStr">
        <is>
          <t>MPSES</t>
        </is>
      </c>
      <c r="C3069" t="inlineStr">
        <is>
          <t>Regional Affairs Director - Newfoundland &amp; Labrador</t>
        </is>
      </c>
      <c r="D3069" t="inlineStr">
        <is>
          <t>Directrice des affaires régionales - Terre-Neuve et le Labrador</t>
        </is>
      </c>
      <c r="E3069" t="inlineStr">
        <is>
          <t>Lorraine Barnett</t>
        </is>
      </c>
      <c r="F3069" t="inlineStr">
        <is>
          <t>Travel for Government business</t>
        </is>
      </c>
      <c r="G3069" t="inlineStr">
        <is>
          <t>Voyage pour le compte du gouvernement</t>
        </is>
      </c>
      <c r="H3069" s="1" t="n">
        <v>42053</v>
      </c>
      <c r="I3069" s="1" t="n">
        <v>42054</v>
      </c>
      <c r="J3069" t="inlineStr">
        <is>
          <t>Ottawa, Ontario</t>
        </is>
      </c>
      <c r="K3069" t="inlineStr">
        <is>
          <t>Ottawa (Ontario)</t>
        </is>
      </c>
      <c r="P3069" t="n">
        <v>647.26</v>
      </c>
      <c r="Q3069" t="n">
        <v>42</v>
      </c>
      <c r="R3069" t="n">
        <v>182.73</v>
      </c>
      <c r="S3069" t="n">
        <v>151.1</v>
      </c>
      <c r="T3069" t="n">
        <v>0</v>
      </c>
      <c r="U3069" t="n">
        <v>1023.09</v>
      </c>
      <c r="X3069" t="inlineStr">
        <is>
          <t>acoa-apeca</t>
        </is>
      </c>
      <c r="Y3069" t="inlineStr">
        <is>
          <t>Atlantic Canada Opportunities Agency | Agence de promotion économique du Canada atlantique</t>
        </is>
      </c>
    </row>
    <row r="3070">
      <c r="A3070" t="inlineStr">
        <is>
          <t>T-2015-Q4-00062</t>
        </is>
      </c>
      <c r="B3070" t="inlineStr">
        <is>
          <t>SLE</t>
        </is>
      </c>
      <c r="C3070" t="inlineStr">
        <is>
          <t>Vice-President, Prince Edward Island</t>
        </is>
      </c>
      <c r="D3070" t="inlineStr">
        <is>
          <t>Vice-président, Île-du-Prince-Édouard</t>
        </is>
      </c>
      <c r="E3070" t="inlineStr">
        <is>
          <t>Patrick Dorsey</t>
        </is>
      </c>
      <c r="F3070" t="inlineStr">
        <is>
          <t>To attend Association of Atlantic Universities Conference in Halifax</t>
        </is>
      </c>
      <c r="G3070" t="inlineStr">
        <is>
          <t>Assister à une conférence de l'Association des universités de l'Atlantique à Halifax</t>
        </is>
      </c>
      <c r="H3070" s="1" t="n">
        <v>42053</v>
      </c>
      <c r="I3070" s="1" t="n">
        <v>42055</v>
      </c>
      <c r="J3070" t="inlineStr">
        <is>
          <t>Halifax, Nova Scotia</t>
        </is>
      </c>
      <c r="K3070" t="inlineStr">
        <is>
          <t>Halifax (Nouvelle-Écosse)</t>
        </is>
      </c>
      <c r="P3070" t="n">
        <v>0</v>
      </c>
      <c r="Q3070" t="n">
        <v>141.4</v>
      </c>
      <c r="R3070" t="n">
        <v>439.89</v>
      </c>
      <c r="S3070" t="n">
        <v>260</v>
      </c>
      <c r="T3070" t="n">
        <v>0</v>
      </c>
      <c r="U3070" t="n">
        <v>841.29</v>
      </c>
      <c r="X3070" t="inlineStr">
        <is>
          <t>acoa-apeca</t>
        </is>
      </c>
      <c r="Y3070" t="inlineStr">
        <is>
          <t>Atlantic Canada Opportunities Agency | Agence de promotion économique du Canada atlantique</t>
        </is>
      </c>
    </row>
    <row r="3071">
      <c r="A3071" t="inlineStr">
        <is>
          <t>T-2014-Q3-00067</t>
        </is>
      </c>
      <c r="B3071" t="inlineStr">
        <is>
          <t>MPSES</t>
        </is>
      </c>
      <c r="C3071" t="inlineStr">
        <is>
          <t>Executive Assistant</t>
        </is>
      </c>
      <c r="D3071" t="inlineStr">
        <is>
          <t>Adjoint exécutif</t>
        </is>
      </c>
      <c r="E3071" t="inlineStr">
        <is>
          <t>Josh Hardy</t>
        </is>
      </c>
      <c r="F3071" t="inlineStr">
        <is>
          <t>Travel on Government business</t>
        </is>
      </c>
      <c r="G3071" t="inlineStr">
        <is>
          <t>Voyage pour le compte du gouvernement</t>
        </is>
      </c>
      <c r="H3071" s="1" t="n">
        <v>41606</v>
      </c>
      <c r="I3071" s="1" t="n">
        <v>41609</v>
      </c>
      <c r="J3071" t="inlineStr">
        <is>
          <t>Moncton, New Brunswick</t>
        </is>
      </c>
      <c r="K3071" t="inlineStr">
        <is>
          <t>Moncton (Nouveau-Brunswick)</t>
        </is>
      </c>
      <c r="P3071" t="n">
        <v>615.9</v>
      </c>
      <c r="Q3071" t="n">
        <v>163</v>
      </c>
      <c r="R3071" t="n">
        <v>0</v>
      </c>
      <c r="S3071" t="n">
        <v>0</v>
      </c>
      <c r="T3071" t="n">
        <v>0</v>
      </c>
      <c r="U3071" t="n">
        <v>778.9</v>
      </c>
      <c r="X3071" t="inlineStr">
        <is>
          <t>acoa-apeca</t>
        </is>
      </c>
      <c r="Y3071" t="inlineStr">
        <is>
          <t>Atlantic Canada Opportunities Agency | Agence de promotion économique du Canada atlantique</t>
        </is>
      </c>
    </row>
    <row r="3072">
      <c r="A3072" t="inlineStr">
        <is>
          <t>T-2015-Q4-00060</t>
        </is>
      </c>
      <c r="B3072" t="inlineStr">
        <is>
          <t>SLE</t>
        </is>
      </c>
      <c r="C3072" t="inlineStr">
        <is>
          <t>Vice-President, Newfoundland and Labrador</t>
        </is>
      </c>
      <c r="D3072" t="inlineStr">
        <is>
          <t>Vice-président, Terre-Neuve-et-Labrador</t>
        </is>
      </c>
      <c r="E3072" t="inlineStr">
        <is>
          <t>Paul Mills</t>
        </is>
      </c>
      <c r="F3072" t="inlineStr">
        <is>
          <t>To participate in ACOA meetings and attend the Atlantic Leadership Summit in Halifax</t>
        </is>
      </c>
      <c r="G3072" t="inlineStr">
        <is>
          <t>Assister à des réunions de l'APECA et au Sommet du leadership de l'Atlantique à Halifax</t>
        </is>
      </c>
      <c r="H3072" s="1" t="n">
        <v>42053</v>
      </c>
      <c r="I3072" s="1" t="n">
        <v>42055</v>
      </c>
      <c r="J3072" t="inlineStr">
        <is>
          <t>Halifax, Nova Scotia</t>
        </is>
      </c>
      <c r="K3072" t="inlineStr">
        <is>
          <t>Halifax (Nouvelle-Écosse)</t>
        </is>
      </c>
      <c r="P3072" t="n">
        <v>663.61</v>
      </c>
      <c r="Q3072" t="n">
        <v>169.34</v>
      </c>
      <c r="R3072" t="n">
        <v>279.18</v>
      </c>
      <c r="S3072" t="n">
        <v>216.85</v>
      </c>
      <c r="T3072" t="n">
        <v>8.56</v>
      </c>
      <c r="U3072" t="n">
        <v>1337.54</v>
      </c>
      <c r="X3072" t="inlineStr">
        <is>
          <t>acoa-apeca</t>
        </is>
      </c>
      <c r="Y3072" t="inlineStr">
        <is>
          <t>Atlantic Canada Opportunities Agency | Agence de promotion économique du Canada atlantique</t>
        </is>
      </c>
    </row>
    <row r="3073">
      <c r="A3073" t="inlineStr">
        <is>
          <t>T-2015-Q4-00059</t>
        </is>
      </c>
      <c r="B3073" t="inlineStr">
        <is>
          <t>SLE</t>
        </is>
      </c>
      <c r="C3073" t="inlineStr">
        <is>
          <t>President</t>
        </is>
      </c>
      <c r="D3073" t="inlineStr">
        <is>
          <t>Président</t>
        </is>
      </c>
      <c r="E3073" t="inlineStr">
        <is>
          <t>Paul J. LeBlanc</t>
        </is>
      </c>
      <c r="F3073" t="inlineStr">
        <is>
          <t>For various meetings and discussions with Agency officials and Government of Canada officials</t>
        </is>
      </c>
      <c r="G3073" t="inlineStr">
        <is>
          <t>Diverses réunions et discussions avec des fonctionnaires de l'Agence et du gouvernement du Canada</t>
        </is>
      </c>
      <c r="H3073" s="1" t="n">
        <v>42051</v>
      </c>
      <c r="I3073" s="1" t="n">
        <v>42053</v>
      </c>
      <c r="J3073" t="inlineStr">
        <is>
          <t>Ottawa, Ontario</t>
        </is>
      </c>
      <c r="K3073" t="inlineStr">
        <is>
          <t>Ottawa (Ontario)</t>
        </is>
      </c>
      <c r="P3073" t="n">
        <v>1432.71</v>
      </c>
      <c r="Q3073" t="n">
        <v>0</v>
      </c>
      <c r="R3073" t="n">
        <v>365.46</v>
      </c>
      <c r="S3073" t="n">
        <v>184.75</v>
      </c>
      <c r="T3073" t="n">
        <v>0</v>
      </c>
      <c r="U3073" t="n">
        <v>1982.92</v>
      </c>
      <c r="X3073" t="inlineStr">
        <is>
          <t>acoa-apeca</t>
        </is>
      </c>
      <c r="Y3073" t="inlineStr">
        <is>
          <t>Atlantic Canada Opportunities Agency | Agence de promotion économique du Canada atlantique</t>
        </is>
      </c>
    </row>
    <row r="3074">
      <c r="A3074" t="inlineStr">
        <is>
          <t>T-2015-Q4-00058</t>
        </is>
      </c>
      <c r="B3074" t="inlineStr">
        <is>
          <t>MPSES</t>
        </is>
      </c>
      <c r="C3074" t="inlineStr">
        <is>
          <t>Minister of State</t>
        </is>
      </c>
      <c r="D3074" t="inlineStr">
        <is>
          <t>Ministre d'État</t>
        </is>
      </c>
      <c r="E3074" t="inlineStr">
        <is>
          <t>Rob Moore</t>
        </is>
      </c>
      <c r="F3074" t="inlineStr">
        <is>
          <t>Travel to Government of Canada announcement</t>
        </is>
      </c>
      <c r="G3074" t="inlineStr">
        <is>
          <t xml:space="preserve">Voyage pour assister à une annonce du gouvernement du Canada </t>
        </is>
      </c>
      <c r="H3074" s="1" t="n">
        <v>42047</v>
      </c>
      <c r="I3074" s="1" t="n">
        <v>42047</v>
      </c>
      <c r="J3074" t="inlineStr">
        <is>
          <t>Fredericton, New Brunswick</t>
        </is>
      </c>
      <c r="K3074" t="inlineStr">
        <is>
          <t>Fredericton (Nouveau-Brunswick)</t>
        </is>
      </c>
      <c r="P3074" t="n">
        <v>0</v>
      </c>
      <c r="Q3074" t="n">
        <v>136.13</v>
      </c>
      <c r="R3074" t="n">
        <v>0</v>
      </c>
      <c r="S3074" t="n">
        <v>16.35</v>
      </c>
      <c r="T3074" t="n">
        <v>0</v>
      </c>
      <c r="U3074" t="n">
        <v>152.48</v>
      </c>
      <c r="X3074" t="inlineStr">
        <is>
          <t>acoa-apeca</t>
        </is>
      </c>
      <c r="Y3074" t="inlineStr">
        <is>
          <t>Atlantic Canada Opportunities Agency | Agence de promotion économique du Canada atlantique</t>
        </is>
      </c>
    </row>
    <row r="3075">
      <c r="A3075" t="inlineStr">
        <is>
          <t>T-2015-Q4-00057</t>
        </is>
      </c>
      <c r="B3075" t="inlineStr">
        <is>
          <t>SLE</t>
        </is>
      </c>
      <c r="C3075" t="inlineStr">
        <is>
          <t>Vice-President, Prince Edward Island</t>
        </is>
      </c>
      <c r="D3075" t="inlineStr">
        <is>
          <t>Vice-président, Île-du-Prince-Édouard</t>
        </is>
      </c>
      <c r="E3075" t="inlineStr">
        <is>
          <t>Patrick Dorsey</t>
        </is>
      </c>
      <c r="F3075" t="inlineStr">
        <is>
          <t>To attend Atlantic Canada Tourism Partnership meeting in Halifax</t>
        </is>
      </c>
      <c r="G3075" t="inlineStr">
        <is>
          <t>Assister à une réunion du Partenariat du tourisme du Canada atlantique à Halifax</t>
        </is>
      </c>
      <c r="H3075" s="1" t="n">
        <v>42046</v>
      </c>
      <c r="I3075" s="1" t="n">
        <v>42048</v>
      </c>
      <c r="J3075" t="inlineStr">
        <is>
          <t>Halifax, Nova Scotia</t>
        </is>
      </c>
      <c r="K3075" t="inlineStr">
        <is>
          <t>Halifax (Nouvelle-Écosse)</t>
        </is>
      </c>
      <c r="P3075" t="n">
        <v>0</v>
      </c>
      <c r="Q3075" t="n">
        <v>168.75</v>
      </c>
      <c r="R3075" t="n">
        <v>279.26</v>
      </c>
      <c r="S3075" t="n">
        <v>184.15</v>
      </c>
      <c r="T3075" t="n">
        <v>0</v>
      </c>
      <c r="U3075" t="n">
        <v>632.16</v>
      </c>
      <c r="X3075" t="inlineStr">
        <is>
          <t>acoa-apeca</t>
        </is>
      </c>
      <c r="Y3075" t="inlineStr">
        <is>
          <t>Atlantic Canada Opportunities Agency | Agence de promotion économique du Canada atlantique</t>
        </is>
      </c>
    </row>
    <row r="3076">
      <c r="A3076" t="inlineStr">
        <is>
          <t>T-2015-Q4-00055</t>
        </is>
      </c>
      <c r="B3076" t="inlineStr">
        <is>
          <t>SLE</t>
        </is>
      </c>
      <c r="C3076" t="inlineStr">
        <is>
          <t>President</t>
        </is>
      </c>
      <c r="D3076" t="inlineStr">
        <is>
          <t>Président</t>
        </is>
      </c>
      <c r="E3076" t="inlineStr">
        <is>
          <t>Paul J. LeBlanc</t>
        </is>
      </c>
      <c r="F3076" t="inlineStr">
        <is>
          <t>For various meetings and discussions with Agency officials and Government of Canada officials</t>
        </is>
      </c>
      <c r="G3076" t="inlineStr">
        <is>
          <t>Diverses réunions et discussions avec des fonctionnaires de l'Agence et du gouvernement du Canada</t>
        </is>
      </c>
      <c r="H3076" s="1" t="n">
        <v>42045</v>
      </c>
      <c r="I3076" s="1" t="n">
        <v>42046</v>
      </c>
      <c r="J3076" t="inlineStr">
        <is>
          <t>Ottawa, Ontario</t>
        </is>
      </c>
      <c r="K3076" t="inlineStr">
        <is>
          <t>Ottawa (Ontario)</t>
        </is>
      </c>
      <c r="P3076" t="n">
        <v>1116.36</v>
      </c>
      <c r="Q3076" t="n">
        <v>0</v>
      </c>
      <c r="R3076" t="n">
        <v>182.73</v>
      </c>
      <c r="S3076" t="n">
        <v>125.25</v>
      </c>
      <c r="T3076" t="n">
        <v>0</v>
      </c>
      <c r="U3076" t="n">
        <v>1424.34</v>
      </c>
      <c r="X3076" t="inlineStr">
        <is>
          <t>acoa-apeca</t>
        </is>
      </c>
      <c r="Y3076" t="inlineStr">
        <is>
          <t>Atlantic Canada Opportunities Agency | Agence de promotion économique du Canada atlantique</t>
        </is>
      </c>
    </row>
    <row r="3077">
      <c r="A3077" t="inlineStr">
        <is>
          <t>T-2015-Q4-00054</t>
        </is>
      </c>
      <c r="B3077" t="inlineStr">
        <is>
          <t>SLE</t>
        </is>
      </c>
      <c r="C3077" t="inlineStr">
        <is>
          <t>Vice President, Nova Scotia</t>
        </is>
      </c>
      <c r="D3077" t="inlineStr">
        <is>
          <t>Vice-président, Nouvelle-Écosse</t>
        </is>
      </c>
      <c r="E3077" t="inlineStr">
        <is>
          <t>Peter Hogan</t>
        </is>
      </c>
      <c r="F3077" t="inlineStr">
        <is>
          <t>Various Meetings with Agency Officials</t>
        </is>
      </c>
      <c r="G3077" t="inlineStr">
        <is>
          <t>Diverses réunions avec des fonctionnaires de l'Agence</t>
        </is>
      </c>
      <c r="H3077" s="1" t="n">
        <v>42044</v>
      </c>
      <c r="I3077" s="1" t="n">
        <v>42044</v>
      </c>
      <c r="J3077" t="inlineStr">
        <is>
          <t>Sydney, Nova Scotia</t>
        </is>
      </c>
      <c r="K3077" t="inlineStr">
        <is>
          <t>Sydney (Nouvelle-Écosse)</t>
        </is>
      </c>
      <c r="P3077" t="n">
        <v>844.2</v>
      </c>
      <c r="Q3077" t="n">
        <v>35.2</v>
      </c>
      <c r="R3077" t="n">
        <v>0</v>
      </c>
      <c r="S3077" t="n">
        <v>16.35</v>
      </c>
      <c r="T3077" t="n">
        <v>24</v>
      </c>
      <c r="U3077" t="n">
        <v>919.75</v>
      </c>
      <c r="X3077" t="inlineStr">
        <is>
          <t>acoa-apeca</t>
        </is>
      </c>
      <c r="Y3077" t="inlineStr">
        <is>
          <t>Atlantic Canada Opportunities Agency | Agence de promotion économique du Canada atlantique</t>
        </is>
      </c>
    </row>
    <row r="3078">
      <c r="A3078" t="inlineStr">
        <is>
          <t>T-2015-Q4-00053</t>
        </is>
      </c>
      <c r="B3078" t="inlineStr">
        <is>
          <t>SLE</t>
        </is>
      </c>
      <c r="C3078" t="inlineStr">
        <is>
          <t>Vice-President, Policy and Programs</t>
        </is>
      </c>
      <c r="D3078" t="inlineStr">
        <is>
          <t>Vice-président, Politiques et Programmes</t>
        </is>
      </c>
      <c r="E3078" t="inlineStr">
        <is>
          <t>Daryell Nowlan</t>
        </is>
      </c>
      <c r="F3078" t="inlineStr">
        <is>
          <t>Meetings with Government of Canada officials</t>
        </is>
      </c>
      <c r="G3078" t="inlineStr">
        <is>
          <t>Réunions avec des fonctionnaires du gouvernement du Canada</t>
        </is>
      </c>
      <c r="H3078" s="1" t="n">
        <v>42044</v>
      </c>
      <c r="I3078" s="1" t="n">
        <v>42046</v>
      </c>
      <c r="J3078" t="inlineStr">
        <is>
          <t>Ottawa, Ontario</t>
        </is>
      </c>
      <c r="K3078" t="inlineStr">
        <is>
          <t>Ottawa (Ontario)</t>
        </is>
      </c>
      <c r="P3078" t="n">
        <v>937.9</v>
      </c>
      <c r="Q3078" t="n">
        <v>120</v>
      </c>
      <c r="R3078" t="n">
        <v>365.46</v>
      </c>
      <c r="S3078" t="n">
        <v>169</v>
      </c>
      <c r="T3078" t="n">
        <v>0</v>
      </c>
      <c r="U3078" t="n">
        <v>1592.36</v>
      </c>
      <c r="X3078" t="inlineStr">
        <is>
          <t>acoa-apeca</t>
        </is>
      </c>
      <c r="Y3078" t="inlineStr">
        <is>
          <t>Atlantic Canada Opportunities Agency | Agence de promotion économique du Canada atlantique</t>
        </is>
      </c>
    </row>
    <row r="3079">
      <c r="A3079" t="inlineStr">
        <is>
          <t>T-2015-Q4-00052</t>
        </is>
      </c>
      <c r="B3079" t="inlineStr">
        <is>
          <t>SLE</t>
        </is>
      </c>
      <c r="C3079" t="inlineStr">
        <is>
          <t>Vice-President, Policy and Programs</t>
        </is>
      </c>
      <c r="D3079" t="inlineStr">
        <is>
          <t>Vice-président, Politiques et Programmes</t>
        </is>
      </c>
      <c r="E3079" t="inlineStr">
        <is>
          <t>Daryell Nowlan</t>
        </is>
      </c>
      <c r="F3079" t="inlineStr">
        <is>
          <t>Meeting with Government of Canada officials</t>
        </is>
      </c>
      <c r="G3079" t="inlineStr">
        <is>
          <t>Réunion avec des fonctionnaires du gouvernement du Canada</t>
        </is>
      </c>
      <c r="H3079" s="1" t="n">
        <v>42040</v>
      </c>
      <c r="I3079" s="1" t="n">
        <v>42041</v>
      </c>
      <c r="J3079" t="inlineStr">
        <is>
          <t>Halifax, Nova Scotia</t>
        </is>
      </c>
      <c r="K3079" t="inlineStr">
        <is>
          <t>Halifax (Nouvelle-Écosse)</t>
        </is>
      </c>
      <c r="P3079" t="n">
        <v>0</v>
      </c>
      <c r="Q3079" t="n">
        <v>0</v>
      </c>
      <c r="R3079" t="n">
        <v>139.59</v>
      </c>
      <c r="S3079" t="n">
        <v>109.5</v>
      </c>
      <c r="T3079" t="n">
        <v>0</v>
      </c>
      <c r="U3079" t="n">
        <v>249.09</v>
      </c>
      <c r="X3079" t="inlineStr">
        <is>
          <t>acoa-apeca</t>
        </is>
      </c>
      <c r="Y3079" t="inlineStr">
        <is>
          <t>Atlantic Canada Opportunities Agency | Agence de promotion économique du Canada atlantique</t>
        </is>
      </c>
    </row>
    <row r="3080">
      <c r="A3080" t="inlineStr">
        <is>
          <t>T-2015-Q4-00051</t>
        </is>
      </c>
      <c r="B3080" t="inlineStr">
        <is>
          <t>SLE</t>
        </is>
      </c>
      <c r="C3080" t="inlineStr">
        <is>
          <t>President</t>
        </is>
      </c>
      <c r="D3080" t="inlineStr">
        <is>
          <t>Président</t>
        </is>
      </c>
      <c r="E3080" t="inlineStr">
        <is>
          <t>Paul J. LeBlanc</t>
        </is>
      </c>
      <c r="F3080" t="inlineStr">
        <is>
          <t>For various meetings and discussions with Agency officials and Government of Canada officials</t>
        </is>
      </c>
      <c r="G3080" t="inlineStr">
        <is>
          <t>Diverses réunions et discussions avec des fonctionnaires de l'Agence et du gouvernement du Canada</t>
        </is>
      </c>
      <c r="H3080" s="1" t="n">
        <v>42040</v>
      </c>
      <c r="I3080" s="1" t="n">
        <v>42042</v>
      </c>
      <c r="J3080" t="inlineStr">
        <is>
          <t>Halifax, Nova Scotia</t>
        </is>
      </c>
      <c r="K3080" t="inlineStr">
        <is>
          <t>Halifax (Nouvelle-Écosse)</t>
        </is>
      </c>
      <c r="P3080" t="n">
        <v>0</v>
      </c>
      <c r="Q3080" t="n">
        <v>0</v>
      </c>
      <c r="R3080" t="n">
        <v>279.18</v>
      </c>
      <c r="S3080" t="n">
        <v>201.15</v>
      </c>
      <c r="T3080" t="n">
        <v>153</v>
      </c>
      <c r="U3080" t="n">
        <v>633.33</v>
      </c>
      <c r="X3080" t="inlineStr">
        <is>
          <t>acoa-apeca</t>
        </is>
      </c>
      <c r="Y3080" t="inlineStr">
        <is>
          <t>Atlantic Canada Opportunities Agency | Agence de promotion économique du Canada atlantique</t>
        </is>
      </c>
    </row>
    <row r="3081">
      <c r="A3081" t="inlineStr">
        <is>
          <t>T-2015-Q4-00050</t>
        </is>
      </c>
      <c r="B3081" t="inlineStr">
        <is>
          <t>SLE</t>
        </is>
      </c>
      <c r="C3081" t="inlineStr">
        <is>
          <t>Vice President, Nova Scotia</t>
        </is>
      </c>
      <c r="D3081" t="inlineStr">
        <is>
          <t>Vice-président, Nouvelle-Écosse</t>
        </is>
      </c>
      <c r="E3081" t="inlineStr">
        <is>
          <t>Peter Hogan</t>
        </is>
      </c>
      <c r="F3081" t="inlineStr">
        <is>
          <t>Various Meetings with Agency Officials</t>
        </is>
      </c>
      <c r="G3081" t="inlineStr">
        <is>
          <t>Diverses réunions avec des fonctionnaires de l'Agence</t>
        </is>
      </c>
      <c r="H3081" s="1" t="n">
        <v>42039</v>
      </c>
      <c r="I3081" s="1" t="n">
        <v>42039</v>
      </c>
      <c r="J3081" t="inlineStr">
        <is>
          <t>Sydney, Nova Scotia</t>
        </is>
      </c>
      <c r="K3081" t="inlineStr">
        <is>
          <t>Sydney (Nouvelle-Écosse)</t>
        </is>
      </c>
      <c r="P3081" t="n">
        <v>699.2</v>
      </c>
      <c r="Q3081" t="n">
        <v>55.2</v>
      </c>
      <c r="R3081" t="n">
        <v>0</v>
      </c>
      <c r="S3081" t="n">
        <v>16.35</v>
      </c>
      <c r="T3081" t="n">
        <v>20</v>
      </c>
      <c r="U3081" t="n">
        <v>790.75</v>
      </c>
      <c r="X3081" t="inlineStr">
        <is>
          <t>acoa-apeca</t>
        </is>
      </c>
      <c r="Y3081" t="inlineStr">
        <is>
          <t>Atlantic Canada Opportunities Agency | Agence de promotion économique du Canada atlantique</t>
        </is>
      </c>
    </row>
    <row r="3082">
      <c r="A3082" t="inlineStr">
        <is>
          <t>T-2015-Q4-00049</t>
        </is>
      </c>
      <c r="B3082" t="inlineStr">
        <is>
          <t>SLE</t>
        </is>
      </c>
      <c r="C3082" t="inlineStr">
        <is>
          <t>Vice-President, Finance and Corporate Services</t>
        </is>
      </c>
      <c r="D3082" t="inlineStr">
        <is>
          <t>Vice-présidente, Finances et Services corporatifs</t>
        </is>
      </c>
      <c r="E3082" t="inlineStr">
        <is>
          <t>Denise Frenette</t>
        </is>
      </c>
      <c r="F3082" t="inlineStr">
        <is>
          <t>For session with Government of Canada officials</t>
        </is>
      </c>
      <c r="G3082" t="inlineStr">
        <is>
          <t>Séance avec des fonctionnaires du gouvernement du Canada</t>
        </is>
      </c>
      <c r="H3082" s="1" t="n">
        <v>42038</v>
      </c>
      <c r="I3082" s="1" t="n">
        <v>42040</v>
      </c>
      <c r="J3082" t="inlineStr">
        <is>
          <t>Ottawa, Ontario</t>
        </is>
      </c>
      <c r="K3082" t="inlineStr">
        <is>
          <t>Ottawa (Ontario)</t>
        </is>
      </c>
      <c r="P3082" t="n">
        <v>466.68</v>
      </c>
      <c r="Q3082" t="n">
        <v>0</v>
      </c>
      <c r="R3082" t="n">
        <v>365.46</v>
      </c>
      <c r="S3082" t="n">
        <v>200.5</v>
      </c>
      <c r="T3082" t="n">
        <v>0</v>
      </c>
      <c r="U3082" t="n">
        <v>1032.64</v>
      </c>
      <c r="X3082" t="inlineStr">
        <is>
          <t>acoa-apeca</t>
        </is>
      </c>
      <c r="Y3082" t="inlineStr">
        <is>
          <t>Atlantic Canada Opportunities Agency | Agence de promotion économique du Canada atlantique</t>
        </is>
      </c>
    </row>
    <row r="3083">
      <c r="A3083" t="inlineStr">
        <is>
          <t>T-2015-Q4-00048</t>
        </is>
      </c>
      <c r="B3083" t="inlineStr">
        <is>
          <t>MPSES</t>
        </is>
      </c>
      <c r="C3083" t="inlineStr">
        <is>
          <t>Regional Affairs Director - New Brunswick</t>
        </is>
      </c>
      <c r="D3083" t="inlineStr">
        <is>
          <t>Directeur des affaires régionales - Nouveau-Brunswick</t>
        </is>
      </c>
      <c r="E3083" t="inlineStr">
        <is>
          <t>Douglas MacDonald</t>
        </is>
      </c>
      <c r="F3083" t="inlineStr">
        <is>
          <t>Travel on Government Business</t>
        </is>
      </c>
      <c r="G3083" t="inlineStr">
        <is>
          <t>Voyage pour le compte du gouvernement</t>
        </is>
      </c>
      <c r="H3083" s="1" t="n">
        <v>42036</v>
      </c>
      <c r="I3083" s="1" t="n">
        <v>42038</v>
      </c>
      <c r="J3083" t="inlineStr">
        <is>
          <t>Ottawa, Ontario</t>
        </is>
      </c>
      <c r="K3083" t="inlineStr">
        <is>
          <t>Ottawa (Ontario)</t>
        </is>
      </c>
      <c r="P3083" t="n">
        <v>673.33</v>
      </c>
      <c r="Q3083" t="n">
        <v>71.5</v>
      </c>
      <c r="R3083" t="n">
        <v>365.46</v>
      </c>
      <c r="S3083" t="n">
        <v>242.7</v>
      </c>
      <c r="T3083" t="n">
        <v>0</v>
      </c>
      <c r="U3083" t="n">
        <v>1352.99</v>
      </c>
      <c r="X3083" t="inlineStr">
        <is>
          <t>acoa-apeca</t>
        </is>
      </c>
      <c r="Y3083" t="inlineStr">
        <is>
          <t>Atlantic Canada Opportunities Agency | Agence de promotion économique du Canada atlantique</t>
        </is>
      </c>
    </row>
    <row r="3084">
      <c r="A3084" t="inlineStr">
        <is>
          <t>T-2015-Q4-00047</t>
        </is>
      </c>
      <c r="B3084" t="inlineStr">
        <is>
          <t>SLE</t>
        </is>
      </c>
      <c r="C3084" t="inlineStr">
        <is>
          <t>Vice-President, Prince Edward Island</t>
        </is>
      </c>
      <c r="D3084" t="inlineStr">
        <is>
          <t>Vice-président, Île-du-Prince-Édouard</t>
        </is>
      </c>
      <c r="E3084" t="inlineStr">
        <is>
          <t>Patrick Dorsey</t>
        </is>
      </c>
      <c r="F3084" t="inlineStr">
        <is>
          <t>To attend a Conference Board of Canada Session in Ottawa</t>
        </is>
      </c>
      <c r="G3084" t="inlineStr">
        <is>
          <t>Assister à une séance du Conference Board du Canada à Ottawa</t>
        </is>
      </c>
      <c r="H3084" s="1" t="n">
        <v>42036</v>
      </c>
      <c r="I3084" s="1" t="n">
        <v>42038</v>
      </c>
      <c r="J3084" t="inlineStr">
        <is>
          <t>Ottawa, Ontario</t>
        </is>
      </c>
      <c r="K3084" t="inlineStr">
        <is>
          <t>Ottawa (Ontario)</t>
        </is>
      </c>
      <c r="P3084" t="n">
        <v>622.5</v>
      </c>
      <c r="Q3084" t="n">
        <v>186.03</v>
      </c>
      <c r="R3084" t="n">
        <v>365.46</v>
      </c>
      <c r="S3084" t="n">
        <v>226.95</v>
      </c>
      <c r="T3084" t="n">
        <v>0</v>
      </c>
      <c r="U3084" t="n">
        <v>1400.94</v>
      </c>
      <c r="X3084" t="inlineStr">
        <is>
          <t>acoa-apeca</t>
        </is>
      </c>
      <c r="Y3084" t="inlineStr">
        <is>
          <t>Atlantic Canada Opportunities Agency | Agence de promotion économique du Canada atlantique</t>
        </is>
      </c>
    </row>
    <row r="3085">
      <c r="A3085" t="inlineStr">
        <is>
          <t>T-2015-Q4-00046</t>
        </is>
      </c>
      <c r="B3085" t="inlineStr">
        <is>
          <t>SLE</t>
        </is>
      </c>
      <c r="C3085" t="inlineStr">
        <is>
          <t>President</t>
        </is>
      </c>
      <c r="D3085" t="inlineStr">
        <is>
          <t>Président</t>
        </is>
      </c>
      <c r="E3085" t="inlineStr">
        <is>
          <t>Paul J. LeBlanc</t>
        </is>
      </c>
      <c r="F3085" t="inlineStr">
        <is>
          <t>For various meetings and discussions with Agency officials and Government of Canada officials</t>
        </is>
      </c>
      <c r="G3085" t="inlineStr">
        <is>
          <t>Diverses réunions et discussions avec des fonctionnaires de l'Agence et du gouvernement du Canada</t>
        </is>
      </c>
      <c r="H3085" s="1" t="n">
        <v>42030</v>
      </c>
      <c r="I3085" s="1" t="n">
        <v>42033</v>
      </c>
      <c r="J3085" t="inlineStr">
        <is>
          <t>Ottawa, Ontario</t>
        </is>
      </c>
      <c r="K3085" t="inlineStr">
        <is>
          <t>Ottawa (Ontario)</t>
        </is>
      </c>
      <c r="P3085" t="n">
        <v>687.04</v>
      </c>
      <c r="Q3085" t="n">
        <v>0</v>
      </c>
      <c r="R3085" t="n">
        <v>548.1900000000001</v>
      </c>
      <c r="S3085" t="n">
        <v>217.8</v>
      </c>
      <c r="T3085" t="n">
        <v>0</v>
      </c>
      <c r="U3085" t="n">
        <v>1453.03</v>
      </c>
      <c r="X3085" t="inlineStr">
        <is>
          <t>acoa-apeca</t>
        </is>
      </c>
      <c r="Y3085" t="inlineStr">
        <is>
          <t>Atlantic Canada Opportunities Agency | Agence de promotion économique du Canada atlantique</t>
        </is>
      </c>
    </row>
    <row r="3086">
      <c r="A3086" t="inlineStr">
        <is>
          <t>T-2015-Q4-00045</t>
        </is>
      </c>
      <c r="B3086" t="inlineStr">
        <is>
          <t>SLE</t>
        </is>
      </c>
      <c r="C3086" t="inlineStr">
        <is>
          <t>Vice-President, New Brunswick</t>
        </is>
      </c>
      <c r="D3086" t="inlineStr">
        <is>
          <t>Vice-président, Nouveau-Brunswick</t>
        </is>
      </c>
      <c r="E3086" t="inlineStr">
        <is>
          <t>Kent Estabrooks</t>
        </is>
      </c>
      <c r="F3086" t="inlineStr">
        <is>
          <t>Meeting with Agency Officials</t>
        </is>
      </c>
      <c r="G3086" t="inlineStr">
        <is>
          <t>Réunion avec des fonctionnaires de l'Agence</t>
        </is>
      </c>
      <c r="H3086" s="1" t="n">
        <v>42025</v>
      </c>
      <c r="I3086" s="1" t="n">
        <v>42026</v>
      </c>
      <c r="J3086" t="inlineStr">
        <is>
          <t>Moncton, New Brunswick</t>
        </is>
      </c>
      <c r="K3086" t="inlineStr">
        <is>
          <t>Moncton (Nouveau-Brunswick)</t>
        </is>
      </c>
      <c r="P3086" t="n">
        <v>0</v>
      </c>
      <c r="Q3086" t="n">
        <v>0</v>
      </c>
      <c r="R3086" t="n">
        <v>128.26</v>
      </c>
      <c r="S3086" t="n">
        <v>93.15000000000001</v>
      </c>
      <c r="T3086" t="n">
        <v>0</v>
      </c>
      <c r="U3086" t="n">
        <v>221.41</v>
      </c>
      <c r="X3086" t="inlineStr">
        <is>
          <t>acoa-apeca</t>
        </is>
      </c>
      <c r="Y3086" t="inlineStr">
        <is>
          <t>Atlantic Canada Opportunities Agency | Agence de promotion économique du Canada atlantique</t>
        </is>
      </c>
    </row>
    <row r="3087">
      <c r="A3087" t="inlineStr">
        <is>
          <t>T-2015-Q4-00044</t>
        </is>
      </c>
      <c r="B3087" t="inlineStr">
        <is>
          <t>SLE</t>
        </is>
      </c>
      <c r="C3087" t="inlineStr">
        <is>
          <t>Vice President, Nova Scotia</t>
        </is>
      </c>
      <c r="D3087" t="inlineStr">
        <is>
          <t>Vice-président, Nouvelle-Écosse</t>
        </is>
      </c>
      <c r="E3087" t="inlineStr">
        <is>
          <t>Peter Hogan</t>
        </is>
      </c>
      <c r="F3087" t="inlineStr">
        <is>
          <t xml:space="preserve">Meeting with Agency Officials </t>
        </is>
      </c>
      <c r="G3087" t="inlineStr">
        <is>
          <t>Réunion avec des fonctionnaires de l'Agence</t>
        </is>
      </c>
      <c r="H3087" s="1" t="n">
        <v>42025</v>
      </c>
      <c r="I3087" s="1" t="n">
        <v>42026</v>
      </c>
      <c r="J3087" t="inlineStr">
        <is>
          <t>Moncton, New Brunswick</t>
        </is>
      </c>
      <c r="K3087" t="inlineStr">
        <is>
          <t>Moncton (Nouveau-Brunswick)</t>
        </is>
      </c>
      <c r="P3087" t="n">
        <v>0</v>
      </c>
      <c r="Q3087" t="n">
        <v>0</v>
      </c>
      <c r="R3087" t="n">
        <v>134.47</v>
      </c>
      <c r="S3087" t="n">
        <v>119</v>
      </c>
      <c r="T3087" t="n">
        <v>16.95</v>
      </c>
      <c r="U3087" t="n">
        <v>270.42</v>
      </c>
      <c r="X3087" t="inlineStr">
        <is>
          <t>acoa-apeca</t>
        </is>
      </c>
      <c r="Y3087" t="inlineStr">
        <is>
          <t>Atlantic Canada Opportunities Agency | Agence de promotion économique du Canada atlantique</t>
        </is>
      </c>
    </row>
    <row r="3088">
      <c r="A3088" t="inlineStr">
        <is>
          <t>T-2015-Q4-00043</t>
        </is>
      </c>
      <c r="B3088" t="inlineStr">
        <is>
          <t>MPSES</t>
        </is>
      </c>
      <c r="C3088" t="inlineStr">
        <is>
          <t>Minister of State</t>
        </is>
      </c>
      <c r="D3088" t="inlineStr">
        <is>
          <t>Ministre d'État</t>
        </is>
      </c>
      <c r="E3088" t="inlineStr">
        <is>
          <t>Rob Moore</t>
        </is>
      </c>
      <c r="F3088" t="inlineStr">
        <is>
          <t>Travel to Government of Canada announcement and two stakeholder roundtables</t>
        </is>
      </c>
      <c r="G3088" t="inlineStr">
        <is>
          <t>Voyage pour assister à une annonce du gouvernement du Canada et à deux réunions avec des intervenants</t>
        </is>
      </c>
      <c r="H3088" s="1" t="n">
        <v>42025</v>
      </c>
      <c r="I3088" s="1" t="n">
        <v>42025</v>
      </c>
      <c r="J3088" t="inlineStr">
        <is>
          <t>Fredericton, New Brunswick</t>
        </is>
      </c>
      <c r="K3088" t="inlineStr">
        <is>
          <t>Fredericton (Nouveau-Brunswick)</t>
        </is>
      </c>
      <c r="P3088" t="n">
        <v>0</v>
      </c>
      <c r="Q3088" t="n">
        <v>136.13</v>
      </c>
      <c r="R3088" t="n">
        <v>0</v>
      </c>
      <c r="S3088" t="n">
        <v>16.35</v>
      </c>
      <c r="T3088" t="n">
        <v>0</v>
      </c>
      <c r="U3088" t="n">
        <v>152.48</v>
      </c>
      <c r="X3088" t="inlineStr">
        <is>
          <t>acoa-apeca</t>
        </is>
      </c>
      <c r="Y3088" t="inlineStr">
        <is>
          <t>Atlantic Canada Opportunities Agency | Agence de promotion économique du Canada atlantique</t>
        </is>
      </c>
    </row>
    <row r="3089">
      <c r="A3089" t="inlineStr">
        <is>
          <t>T-2015-Q4-00042</t>
        </is>
      </c>
      <c r="B3089" t="inlineStr">
        <is>
          <t>SLE</t>
        </is>
      </c>
      <c r="C3089" t="inlineStr">
        <is>
          <t>Vice-President, Prince Edward Island</t>
        </is>
      </c>
      <c r="D3089" t="inlineStr">
        <is>
          <t>Vice-président, Île-du-Prince-Édouard</t>
        </is>
      </c>
      <c r="E3089" t="inlineStr">
        <is>
          <t>Patrick Dorsey</t>
        </is>
      </c>
      <c r="F3089" t="inlineStr">
        <is>
          <t>Meetings with ACOA Officials in Moncton</t>
        </is>
      </c>
      <c r="G3089" t="inlineStr">
        <is>
          <t>Réunions avec des fonctionnaires de l'APECA à Moncton</t>
        </is>
      </c>
      <c r="H3089" s="1" t="n">
        <v>42025</v>
      </c>
      <c r="I3089" s="1" t="n">
        <v>42026</v>
      </c>
      <c r="J3089" t="inlineStr">
        <is>
          <t>Moncton, New Brunswick</t>
        </is>
      </c>
      <c r="K3089" t="inlineStr">
        <is>
          <t>Moncton (Nouveau-Brunswick)</t>
        </is>
      </c>
      <c r="P3089" t="n">
        <v>0</v>
      </c>
      <c r="Q3089" t="n">
        <v>62.45</v>
      </c>
      <c r="R3089" t="n">
        <v>280.24</v>
      </c>
      <c r="S3089" t="n">
        <v>152.65</v>
      </c>
      <c r="T3089" t="n">
        <v>0</v>
      </c>
      <c r="U3089" t="n">
        <v>495.34</v>
      </c>
      <c r="X3089" t="inlineStr">
        <is>
          <t>acoa-apeca</t>
        </is>
      </c>
      <c r="Y3089" t="inlineStr">
        <is>
          <t>Atlantic Canada Opportunities Agency | Agence de promotion économique du Canada atlantique</t>
        </is>
      </c>
    </row>
    <row r="3090">
      <c r="A3090" t="inlineStr">
        <is>
          <t>T-2015-Q4-00041</t>
        </is>
      </c>
      <c r="B3090" t="inlineStr">
        <is>
          <t>SLE</t>
        </is>
      </c>
      <c r="C3090" t="inlineStr">
        <is>
          <t>Vice President, Nova Scotia</t>
        </is>
      </c>
      <c r="D3090" t="inlineStr">
        <is>
          <t>Vice-président, Nouvelle-Écosse</t>
        </is>
      </c>
      <c r="E3090" t="inlineStr">
        <is>
          <t>Peter Hogan</t>
        </is>
      </c>
      <c r="F3090" t="inlineStr">
        <is>
          <t>Meeting with Government of Canada Officials</t>
        </is>
      </c>
      <c r="G3090" t="inlineStr">
        <is>
          <t>Réunion avec des fonctionnaires du gouvernement du Canada</t>
        </is>
      </c>
      <c r="H3090" s="1" t="n">
        <v>42024</v>
      </c>
      <c r="I3090" s="1" t="n">
        <v>42025</v>
      </c>
      <c r="J3090" t="inlineStr">
        <is>
          <t>Ottawa, Ontario</t>
        </is>
      </c>
      <c r="K3090" t="inlineStr">
        <is>
          <t>Ottawa (Ontario)</t>
        </is>
      </c>
      <c r="P3090" t="n">
        <v>731.48</v>
      </c>
      <c r="Q3090" t="n">
        <v>130.2</v>
      </c>
      <c r="R3090" t="n">
        <v>182.73</v>
      </c>
      <c r="S3090" t="n">
        <v>134.75</v>
      </c>
      <c r="T3090" t="n">
        <v>40</v>
      </c>
      <c r="U3090" t="n">
        <v>1219.16</v>
      </c>
      <c r="X3090" t="inlineStr">
        <is>
          <t>acoa-apeca</t>
        </is>
      </c>
      <c r="Y3090" t="inlineStr">
        <is>
          <t>Atlantic Canada Opportunities Agency | Agence de promotion économique du Canada atlantique</t>
        </is>
      </c>
    </row>
    <row r="3091">
      <c r="A3091" t="inlineStr">
        <is>
          <t>T-2015-Q4-00040</t>
        </is>
      </c>
      <c r="B3091" t="inlineStr">
        <is>
          <t>SLE</t>
        </is>
      </c>
      <c r="C3091" t="inlineStr">
        <is>
          <t>Vice-President, New Brunswick</t>
        </is>
      </c>
      <c r="D3091" t="inlineStr">
        <is>
          <t>Vice-président, Nouveau-Brunswick</t>
        </is>
      </c>
      <c r="E3091" t="inlineStr">
        <is>
          <t>Kent Estabrooks</t>
        </is>
      </c>
      <c r="F3091" t="inlineStr">
        <is>
          <t>Meeting with various Federal Officials</t>
        </is>
      </c>
      <c r="G3091" t="inlineStr">
        <is>
          <t>Réunion avec divers fonctionnaires fédéraux</t>
        </is>
      </c>
      <c r="H3091" s="1" t="n">
        <v>42023</v>
      </c>
      <c r="I3091" s="1" t="n">
        <v>42025</v>
      </c>
      <c r="J3091" t="inlineStr">
        <is>
          <t>Ottawa, Ontario</t>
        </is>
      </c>
      <c r="K3091" t="inlineStr">
        <is>
          <t>Ottawa (Ontario)</t>
        </is>
      </c>
      <c r="P3091" t="n">
        <v>892.7</v>
      </c>
      <c r="Q3091" t="n">
        <v>88</v>
      </c>
      <c r="R3091" t="n">
        <v>182.73</v>
      </c>
      <c r="S3091" t="n">
        <v>119</v>
      </c>
      <c r="T3091" t="n">
        <v>0</v>
      </c>
      <c r="U3091" t="n">
        <v>1282.43</v>
      </c>
      <c r="X3091" t="inlineStr">
        <is>
          <t>acoa-apeca</t>
        </is>
      </c>
      <c r="Y3091" t="inlineStr">
        <is>
          <t>Atlantic Canada Opportunities Agency | Agence de promotion économique du Canada atlantique</t>
        </is>
      </c>
    </row>
    <row r="3092">
      <c r="A3092" t="inlineStr">
        <is>
          <t>T-2015-Q4-00039</t>
        </is>
      </c>
      <c r="B3092" t="inlineStr">
        <is>
          <t>MPSES</t>
        </is>
      </c>
      <c r="C3092" t="inlineStr">
        <is>
          <t>Minister of State</t>
        </is>
      </c>
      <c r="D3092" t="inlineStr">
        <is>
          <t>Ministre d'État</t>
        </is>
      </c>
      <c r="E3092" t="inlineStr">
        <is>
          <t>Rob Moore</t>
        </is>
      </c>
      <c r="F3092" t="inlineStr">
        <is>
          <t>Travel to Government of Canada announcement and two stakeholder roundtables</t>
        </is>
      </c>
      <c r="G3092" t="inlineStr">
        <is>
          <t>Voyage pour assister à une annonce du gouvernement du Canada et à deux réunions avec des intervenants</t>
        </is>
      </c>
      <c r="H3092" s="1" t="n">
        <v>42023</v>
      </c>
      <c r="I3092" s="1" t="n">
        <v>42023</v>
      </c>
      <c r="J3092" t="inlineStr">
        <is>
          <t>Amherst, Nova Scotia</t>
        </is>
      </c>
      <c r="K3092" t="inlineStr">
        <is>
          <t>Amherst (Nouvelle-Écosse)</t>
        </is>
      </c>
      <c r="P3092" t="n">
        <v>0</v>
      </c>
      <c r="Q3092" t="n">
        <v>197.01</v>
      </c>
      <c r="R3092" t="n">
        <v>0</v>
      </c>
      <c r="S3092" t="n">
        <v>16.35</v>
      </c>
      <c r="T3092" t="n">
        <v>0</v>
      </c>
      <c r="U3092" t="n">
        <v>213.36</v>
      </c>
      <c r="X3092" t="inlineStr">
        <is>
          <t>acoa-apeca</t>
        </is>
      </c>
      <c r="Y3092" t="inlineStr">
        <is>
          <t>Atlantic Canada Opportunities Agency | Agence de promotion économique du Canada atlantique</t>
        </is>
      </c>
    </row>
    <row r="3093">
      <c r="A3093" t="inlineStr">
        <is>
          <t>T-2015-Q4-00037</t>
        </is>
      </c>
      <c r="B3093" t="inlineStr">
        <is>
          <t>SLE</t>
        </is>
      </c>
      <c r="C3093" t="inlineStr">
        <is>
          <t>Vice-President, Policy and Programs</t>
        </is>
      </c>
      <c r="D3093" t="inlineStr">
        <is>
          <t>Vice-président, Politiques et Programmes</t>
        </is>
      </c>
      <c r="E3093" t="inlineStr">
        <is>
          <t>Daryell Nowlan</t>
        </is>
      </c>
      <c r="F3093" t="inlineStr">
        <is>
          <t>Meeting with Government of Canada officials</t>
        </is>
      </c>
      <c r="G3093" t="inlineStr">
        <is>
          <t>Réunion avec des fonctionnaires du gouvernement du Canada</t>
        </is>
      </c>
      <c r="H3093" s="1" t="n">
        <v>42023</v>
      </c>
      <c r="I3093" s="1" t="n">
        <v>42024</v>
      </c>
      <c r="J3093" t="inlineStr">
        <is>
          <t>Ottawa, Ontario</t>
        </is>
      </c>
      <c r="K3093" t="inlineStr">
        <is>
          <t>Ottawa (Ontario)</t>
        </is>
      </c>
      <c r="P3093" t="n">
        <v>937.9</v>
      </c>
      <c r="Q3093" t="n">
        <v>160.42</v>
      </c>
      <c r="R3093" t="n">
        <v>182.73</v>
      </c>
      <c r="S3093" t="n">
        <v>135.35</v>
      </c>
      <c r="T3093" t="n">
        <v>0</v>
      </c>
      <c r="U3093" t="n">
        <v>1416.4</v>
      </c>
      <c r="X3093" t="inlineStr">
        <is>
          <t>acoa-apeca</t>
        </is>
      </c>
      <c r="Y3093" t="inlineStr">
        <is>
          <t>Atlantic Canada Opportunities Agency | Agence de promotion économique du Canada atlantique</t>
        </is>
      </c>
    </row>
    <row r="3094">
      <c r="A3094" t="inlineStr">
        <is>
          <t>T-2015-Q4-00035</t>
        </is>
      </c>
      <c r="B3094" t="inlineStr">
        <is>
          <t>SLE</t>
        </is>
      </c>
      <c r="C3094" t="inlineStr">
        <is>
          <t>Vice-President, New Brunswick</t>
        </is>
      </c>
      <c r="D3094" t="inlineStr">
        <is>
          <t>Vice-président, Nouveau-Brunswick</t>
        </is>
      </c>
      <c r="E3094" t="inlineStr">
        <is>
          <t>Kent Estabrooks</t>
        </is>
      </c>
      <c r="F3094" t="inlineStr">
        <is>
          <t>Various meetings with Government of Canada Officials</t>
        </is>
      </c>
      <c r="G3094" t="inlineStr">
        <is>
          <t>Diverses réunions avec des fonctionnaires du gouvernement du Canada</t>
        </is>
      </c>
      <c r="H3094" s="1" t="n">
        <v>42018</v>
      </c>
      <c r="I3094" s="1" t="n">
        <v>42020</v>
      </c>
      <c r="J3094" t="inlineStr">
        <is>
          <t>Ottawa, Ontario</t>
        </is>
      </c>
      <c r="K3094" t="inlineStr">
        <is>
          <t>Ottawa (Ontario)</t>
        </is>
      </c>
      <c r="P3094" t="n">
        <v>892.7</v>
      </c>
      <c r="Q3094" t="n">
        <v>123.33</v>
      </c>
      <c r="R3094" t="n">
        <v>365.46</v>
      </c>
      <c r="S3094" t="n">
        <v>211.2</v>
      </c>
      <c r="T3094" t="n">
        <v>0</v>
      </c>
      <c r="U3094" t="n">
        <v>1592.69</v>
      </c>
      <c r="X3094" t="inlineStr">
        <is>
          <t>acoa-apeca</t>
        </is>
      </c>
      <c r="Y3094" t="inlineStr">
        <is>
          <t>Atlantic Canada Opportunities Agency | Agence de promotion économique du Canada atlantique</t>
        </is>
      </c>
    </row>
    <row r="3095">
      <c r="A3095" t="inlineStr">
        <is>
          <t>T-2015-Q4-00034</t>
        </is>
      </c>
      <c r="B3095" t="inlineStr">
        <is>
          <t>SLE</t>
        </is>
      </c>
      <c r="C3095" t="inlineStr">
        <is>
          <t>Vice-President, Prince Edward Island</t>
        </is>
      </c>
      <c r="D3095" t="inlineStr">
        <is>
          <t>Vice-président, Île-du-Prince-Édouard</t>
        </is>
      </c>
      <c r="E3095" t="inlineStr">
        <is>
          <t>Patrick Dorsey</t>
        </is>
      </c>
      <c r="F3095" t="inlineStr">
        <is>
          <t>Meetings with ACOA Officials in Ottawa</t>
        </is>
      </c>
      <c r="G3095" t="inlineStr">
        <is>
          <t>Réunions avec des fonctionnaires de l'APECA à Ottawa</t>
        </is>
      </c>
      <c r="H3095" s="1" t="n">
        <v>42018</v>
      </c>
      <c r="I3095" s="1" t="n">
        <v>42020</v>
      </c>
      <c r="J3095" t="inlineStr">
        <is>
          <t>Ottawa, Ontario</t>
        </is>
      </c>
      <c r="K3095" t="inlineStr">
        <is>
          <t>Ottawa (Ontario)</t>
        </is>
      </c>
      <c r="P3095" t="n">
        <v>841.9299999999999</v>
      </c>
      <c r="Q3095" t="n">
        <v>91.5</v>
      </c>
      <c r="R3095" t="n">
        <v>365.46</v>
      </c>
      <c r="S3095" t="n">
        <v>200.5</v>
      </c>
      <c r="T3095" t="n">
        <v>0</v>
      </c>
      <c r="U3095" t="n">
        <v>1499.39</v>
      </c>
      <c r="X3095" t="inlineStr">
        <is>
          <t>acoa-apeca</t>
        </is>
      </c>
      <c r="Y3095" t="inlineStr">
        <is>
          <t>Atlantic Canada Opportunities Agency | Agence de promotion économique du Canada atlantique</t>
        </is>
      </c>
    </row>
    <row r="3096">
      <c r="A3096" t="inlineStr">
        <is>
          <t>T-2015-Q4-00033</t>
        </is>
      </c>
      <c r="B3096" t="inlineStr">
        <is>
          <t>SLE</t>
        </is>
      </c>
      <c r="C3096" t="inlineStr">
        <is>
          <t>President</t>
        </is>
      </c>
      <c r="D3096" t="inlineStr">
        <is>
          <t>Président</t>
        </is>
      </c>
      <c r="E3096" t="inlineStr">
        <is>
          <t>Paul J. LeBlanc</t>
        </is>
      </c>
      <c r="F3096" t="inlineStr">
        <is>
          <t>For various meetings and discussions with Agency officials and Government of Canada officials</t>
        </is>
      </c>
      <c r="G3096" t="inlineStr">
        <is>
          <t>Diverses réunions et discussions avec des fonctionnaires de l'Agence et du gouvernement du Canada</t>
        </is>
      </c>
      <c r="H3096" s="1" t="n">
        <v>42018</v>
      </c>
      <c r="I3096" s="1" t="n">
        <v>42020</v>
      </c>
      <c r="J3096" t="inlineStr">
        <is>
          <t>Ottawa, Ontario</t>
        </is>
      </c>
      <c r="K3096" t="inlineStr">
        <is>
          <t>Ottawa (Ontario)</t>
        </is>
      </c>
      <c r="P3096" t="n">
        <v>687.04</v>
      </c>
      <c r="Q3096" t="n">
        <v>0</v>
      </c>
      <c r="R3096" t="n">
        <v>365.46</v>
      </c>
      <c r="S3096" t="n">
        <v>184.15</v>
      </c>
      <c r="T3096" t="n">
        <v>218.45</v>
      </c>
      <c r="U3096" t="n">
        <v>1455.1</v>
      </c>
      <c r="X3096" t="inlineStr">
        <is>
          <t>acoa-apeca</t>
        </is>
      </c>
      <c r="Y3096" t="inlineStr">
        <is>
          <t>Atlantic Canada Opportunities Agency | Agence de promotion économique du Canada atlantique</t>
        </is>
      </c>
    </row>
    <row r="3097">
      <c r="A3097" t="inlineStr">
        <is>
          <t>T-2015-Q1-00005</t>
        </is>
      </c>
      <c r="B3097" t="inlineStr">
        <is>
          <t>MPSES</t>
        </is>
      </c>
      <c r="C3097" t="inlineStr">
        <is>
          <t>Chief of Staff</t>
        </is>
      </c>
      <c r="D3097" t="inlineStr">
        <is>
          <t>Chef de cabinet</t>
        </is>
      </c>
      <c r="E3097" t="inlineStr">
        <is>
          <t>Shane Bourke</t>
        </is>
      </c>
      <c r="F3097" t="inlineStr">
        <is>
          <t>Travel on Government business</t>
        </is>
      </c>
      <c r="G3097" t="inlineStr">
        <is>
          <t>Voyage pour le compte du gouvernement</t>
        </is>
      </c>
      <c r="H3097" s="1" t="n">
        <v>41711</v>
      </c>
      <c r="I3097" s="1" t="n">
        <v>41712</v>
      </c>
      <c r="J3097" t="inlineStr">
        <is>
          <t>Moncton, New Brunswick</t>
        </is>
      </c>
      <c r="K3097" t="inlineStr">
        <is>
          <t>Moncton (Nouveau-Brunswick)</t>
        </is>
      </c>
      <c r="P3097" t="n">
        <v>619.5700000000001</v>
      </c>
      <c r="Q3097" t="n">
        <v>62</v>
      </c>
      <c r="R3097" t="n">
        <v>113</v>
      </c>
      <c r="S3097" t="n">
        <v>0</v>
      </c>
      <c r="T3097" t="n">
        <v>0</v>
      </c>
      <c r="U3097" t="n">
        <v>794.5700000000001</v>
      </c>
      <c r="X3097" t="inlineStr">
        <is>
          <t>acoa-apeca</t>
        </is>
      </c>
      <c r="Y3097" t="inlineStr">
        <is>
          <t>Atlantic Canada Opportunities Agency | Agence de promotion économique du Canada atlantique</t>
        </is>
      </c>
    </row>
    <row r="3098">
      <c r="A3098" t="inlineStr">
        <is>
          <t>T-2015-Q4-00031</t>
        </is>
      </c>
      <c r="B3098" t="inlineStr">
        <is>
          <t>SLE</t>
        </is>
      </c>
      <c r="C3098" t="inlineStr">
        <is>
          <t>Vice-President, Prince Edward Island</t>
        </is>
      </c>
      <c r="D3098" t="inlineStr">
        <is>
          <t>Vice-président, Île-du-Prince-Édouard</t>
        </is>
      </c>
      <c r="E3098" t="inlineStr">
        <is>
          <t>Patrick Dorsey</t>
        </is>
      </c>
      <c r="F3098" t="inlineStr">
        <is>
          <t>Meetings with ACOA Officials</t>
        </is>
      </c>
      <c r="G3098" t="inlineStr">
        <is>
          <t>Réunions avec des représentants de l'APECA</t>
        </is>
      </c>
      <c r="H3098" s="1" t="n">
        <v>42016</v>
      </c>
      <c r="I3098" s="1" t="n">
        <v>42017</v>
      </c>
      <c r="J3098" t="inlineStr">
        <is>
          <t>Moncton, New Brunswick</t>
        </is>
      </c>
      <c r="K3098" t="inlineStr">
        <is>
          <t>Moncton (Nouveau-Brunswick)</t>
        </is>
      </c>
      <c r="P3098" t="n">
        <v>0</v>
      </c>
      <c r="Q3098" t="n">
        <v>71.45</v>
      </c>
      <c r="R3098" t="n">
        <v>134.47</v>
      </c>
      <c r="S3098" t="n">
        <v>92.55</v>
      </c>
      <c r="T3098" t="n">
        <v>0</v>
      </c>
      <c r="U3098" t="n">
        <v>298.47</v>
      </c>
      <c r="X3098" t="inlineStr">
        <is>
          <t>acoa-apeca</t>
        </is>
      </c>
      <c r="Y3098" t="inlineStr">
        <is>
          <t>Atlantic Canada Opportunities Agency | Agence de promotion économique du Canada atlantique</t>
        </is>
      </c>
    </row>
    <row r="3099">
      <c r="A3099" t="inlineStr">
        <is>
          <t>T-2015-Q4-00030</t>
        </is>
      </c>
      <c r="B3099" t="inlineStr">
        <is>
          <t>SLE</t>
        </is>
      </c>
      <c r="C3099" t="inlineStr">
        <is>
          <t>Vice-President, Finance and Corporate Services</t>
        </is>
      </c>
      <c r="D3099" t="inlineStr">
        <is>
          <t>Vice-présidente, Finances et Services corporatifs</t>
        </is>
      </c>
      <c r="E3099" t="inlineStr">
        <is>
          <t>Denise Frenette</t>
        </is>
      </c>
      <c r="F3099" t="inlineStr">
        <is>
          <t>For meeting with Agency officials</t>
        </is>
      </c>
      <c r="G3099" t="inlineStr">
        <is>
          <t>Réunion avec des fonctionnaires de l'Agence</t>
        </is>
      </c>
      <c r="H3099" s="1" t="n">
        <v>42016</v>
      </c>
      <c r="I3099" s="1" t="n">
        <v>42017</v>
      </c>
      <c r="J3099" t="inlineStr">
        <is>
          <t>Ottawa, Ontario</t>
        </is>
      </c>
      <c r="K3099" t="inlineStr">
        <is>
          <t>Ottawa (Ontario)</t>
        </is>
      </c>
      <c r="P3099" t="n">
        <v>702.48</v>
      </c>
      <c r="Q3099" t="n">
        <v>6.93</v>
      </c>
      <c r="R3099" t="n">
        <v>182.73</v>
      </c>
      <c r="S3099" t="n">
        <v>119</v>
      </c>
      <c r="T3099" t="n">
        <v>0</v>
      </c>
      <c r="U3099" t="n">
        <v>1011.14</v>
      </c>
      <c r="X3099" t="inlineStr">
        <is>
          <t>acoa-apeca</t>
        </is>
      </c>
      <c r="Y3099" t="inlineStr">
        <is>
          <t>Atlantic Canada Opportunities Agency | Agence de promotion économique du Canada atlantique</t>
        </is>
      </c>
    </row>
    <row r="3100">
      <c r="A3100" t="inlineStr">
        <is>
          <t>T-2015-Q4-00029</t>
        </is>
      </c>
      <c r="B3100" t="inlineStr">
        <is>
          <t>SLE</t>
        </is>
      </c>
      <c r="C3100" t="inlineStr">
        <is>
          <t>Vice-President, Policy and Programs</t>
        </is>
      </c>
      <c r="D3100" t="inlineStr">
        <is>
          <t>Vice-président, Politiques et Programmes</t>
        </is>
      </c>
      <c r="E3100" t="inlineStr">
        <is>
          <t>Daryell Nowlan</t>
        </is>
      </c>
      <c r="F3100" t="inlineStr">
        <is>
          <t>Meeting with Government of Canada officials</t>
        </is>
      </c>
      <c r="G3100" t="inlineStr">
        <is>
          <t>Réunion avec des fonctionnaires du gouvernement du Canada</t>
        </is>
      </c>
      <c r="H3100" s="1" t="n">
        <v>42016</v>
      </c>
      <c r="I3100" s="1" t="n">
        <v>42017</v>
      </c>
      <c r="J3100" t="inlineStr">
        <is>
          <t>Ottawa, Ontario</t>
        </is>
      </c>
      <c r="K3100" t="inlineStr">
        <is>
          <t>Ottawa (Ontario)</t>
        </is>
      </c>
      <c r="P3100" t="n">
        <v>937.9</v>
      </c>
      <c r="Q3100" t="n">
        <v>85</v>
      </c>
      <c r="R3100" t="n">
        <v>182.73</v>
      </c>
      <c r="S3100" t="n">
        <v>119</v>
      </c>
      <c r="T3100" t="n">
        <v>0</v>
      </c>
      <c r="U3100" t="n">
        <v>1324.63</v>
      </c>
      <c r="X3100" t="inlineStr">
        <is>
          <t>acoa-apeca</t>
        </is>
      </c>
      <c r="Y3100" t="inlineStr">
        <is>
          <t>Atlantic Canada Opportunities Agency | Agence de promotion économique du Canada atlantique</t>
        </is>
      </c>
    </row>
    <row r="3101">
      <c r="A3101" t="inlineStr">
        <is>
          <t>T-2015-Q4-00028</t>
        </is>
      </c>
      <c r="B3101" t="inlineStr">
        <is>
          <t>SLE</t>
        </is>
      </c>
      <c r="C3101" t="inlineStr">
        <is>
          <t>Vice-President, Newfoundland and Labrador</t>
        </is>
      </c>
      <c r="D3101" t="inlineStr">
        <is>
          <t>Vice-président, Terre-Neuve-et-Labrador</t>
        </is>
      </c>
      <c r="E3101" t="inlineStr">
        <is>
          <t>Paul Mills</t>
        </is>
      </c>
      <c r="F3101" t="inlineStr">
        <is>
          <t>Mileage in and around St. John's area for meetings with senior stakeholders from Jan. to Mar. 2015</t>
        </is>
      </c>
      <c r="G3101" t="inlineStr">
        <is>
          <t>Déplacements à St. John's et aux environs pour des réunions avec des intervenants de haut niveau de janvier à mars 2015</t>
        </is>
      </c>
      <c r="H3101" s="1" t="n">
        <v>42005</v>
      </c>
      <c r="I3101" s="1" t="n">
        <v>42094</v>
      </c>
      <c r="J3101" t="inlineStr">
        <is>
          <t>St. John's, Newfoundland and Labrador</t>
        </is>
      </c>
      <c r="K3101" t="inlineStr">
        <is>
          <t>St. John's (Terre-Neuve-et-Labrador)</t>
        </is>
      </c>
      <c r="P3101" t="n">
        <v>0</v>
      </c>
      <c r="Q3101" t="n">
        <v>9.19</v>
      </c>
      <c r="R3101" t="n">
        <v>0</v>
      </c>
      <c r="S3101" t="n">
        <v>0</v>
      </c>
      <c r="T3101" t="n">
        <v>0</v>
      </c>
      <c r="U3101" t="n">
        <v>9.19</v>
      </c>
      <c r="X3101" t="inlineStr">
        <is>
          <t>acoa-apeca</t>
        </is>
      </c>
      <c r="Y3101" t="inlineStr">
        <is>
          <t>Atlantic Canada Opportunities Agency | Agence de promotion économique du Canada atlantique</t>
        </is>
      </c>
    </row>
    <row r="3102">
      <c r="A3102" t="inlineStr">
        <is>
          <t>T-2015-Q4-00027</t>
        </is>
      </c>
      <c r="B3102" t="inlineStr">
        <is>
          <t>SLE</t>
        </is>
      </c>
      <c r="C3102" t="inlineStr">
        <is>
          <t>President</t>
        </is>
      </c>
      <c r="D3102" t="inlineStr">
        <is>
          <t>Président</t>
        </is>
      </c>
      <c r="E3102" t="inlineStr">
        <is>
          <t>Paul J. LeBlanc</t>
        </is>
      </c>
      <c r="F3102" t="inlineStr">
        <is>
          <t>For various meetings and discussions with Agency officials</t>
        </is>
      </c>
      <c r="G3102" t="inlineStr">
        <is>
          <t xml:space="preserve">Diverses réunions et discussions avec des fonctionnaires de l'Agence </t>
        </is>
      </c>
      <c r="H3102" s="1" t="n">
        <v>41991</v>
      </c>
      <c r="I3102" s="1" t="n">
        <v>41991</v>
      </c>
      <c r="J3102" t="inlineStr">
        <is>
          <t>Halifax, Nova Scotia</t>
        </is>
      </c>
      <c r="K3102" t="inlineStr">
        <is>
          <t>Halifax (Nouvelle-Écosse)</t>
        </is>
      </c>
      <c r="P3102" t="n">
        <v>0</v>
      </c>
      <c r="Q3102" t="n">
        <v>0</v>
      </c>
      <c r="R3102" t="n">
        <v>0</v>
      </c>
      <c r="S3102" t="n">
        <v>0</v>
      </c>
      <c r="T3102" t="n">
        <v>8</v>
      </c>
      <c r="U3102" t="n">
        <v>8</v>
      </c>
      <c r="X3102" t="inlineStr">
        <is>
          <t>acoa-apeca</t>
        </is>
      </c>
      <c r="Y3102" t="inlineStr">
        <is>
          <t>Atlantic Canada Opportunities Agency | Agence de promotion économique du Canada atlantique</t>
        </is>
      </c>
    </row>
    <row r="3103">
      <c r="A3103" t="inlineStr">
        <is>
          <t>T-2015-Q4-00025</t>
        </is>
      </c>
      <c r="B3103" t="inlineStr">
        <is>
          <t>MPSES</t>
        </is>
      </c>
      <c r="C3103" t="inlineStr">
        <is>
          <t>Minister of State</t>
        </is>
      </c>
      <c r="D3103" t="inlineStr">
        <is>
          <t>Ministre d'État</t>
        </is>
      </c>
      <c r="E3103" t="inlineStr">
        <is>
          <t>Rob Moore</t>
        </is>
      </c>
      <c r="F3103" t="inlineStr">
        <is>
          <t>Travel to meet with Premier of New Brunswick</t>
        </is>
      </c>
      <c r="G3103" t="inlineStr">
        <is>
          <t>Voyage pour rencontrer le premier ministre du Nouveau-Brunswick</t>
        </is>
      </c>
      <c r="H3103" s="1" t="n">
        <v>41990</v>
      </c>
      <c r="I3103" s="1" t="n">
        <v>41990</v>
      </c>
      <c r="J3103" t="inlineStr">
        <is>
          <t>Fredericton, New Brunswick</t>
        </is>
      </c>
      <c r="K3103" t="inlineStr">
        <is>
          <t>Fredericton (Nouveau-Brunswick)</t>
        </is>
      </c>
      <c r="P3103" t="n">
        <v>0</v>
      </c>
      <c r="Q3103" t="n">
        <v>139.23</v>
      </c>
      <c r="R3103" t="n">
        <v>0</v>
      </c>
      <c r="S3103" t="n">
        <v>16.35</v>
      </c>
      <c r="T3103" t="n">
        <v>0</v>
      </c>
      <c r="U3103" t="n">
        <v>155.58</v>
      </c>
      <c r="X3103" t="inlineStr">
        <is>
          <t>acoa-apeca</t>
        </is>
      </c>
      <c r="Y3103" t="inlineStr">
        <is>
          <t>Atlantic Canada Opportunities Agency | Agence de promotion économique du Canada atlantique</t>
        </is>
      </c>
    </row>
    <row r="3104">
      <c r="A3104" t="inlineStr">
        <is>
          <t>T-2015-Q4-00024</t>
        </is>
      </c>
      <c r="B3104" t="inlineStr">
        <is>
          <t>SLE</t>
        </is>
      </c>
      <c r="C3104" t="inlineStr">
        <is>
          <t>Vice-President, Finance and Corporate Services</t>
        </is>
      </c>
      <c r="D3104" t="inlineStr">
        <is>
          <t>Vice-présidente, Finances et Services corporatifs</t>
        </is>
      </c>
      <c r="E3104" t="inlineStr">
        <is>
          <t>Denise Frenette</t>
        </is>
      </c>
      <c r="F3104" t="inlineStr">
        <is>
          <t>For various meetings Government of Canada officials</t>
        </is>
      </c>
      <c r="G3104" t="inlineStr">
        <is>
          <t>Diverses réunions avec des fonctionnaires du gouvernement du Canada</t>
        </is>
      </c>
      <c r="H3104" s="1" t="n">
        <v>41989</v>
      </c>
      <c r="I3104" s="1" t="n">
        <v>41990</v>
      </c>
      <c r="J3104" t="inlineStr">
        <is>
          <t>Montreal, Quebec</t>
        </is>
      </c>
      <c r="K3104" t="inlineStr">
        <is>
          <t>Montréal (Québec)</t>
        </is>
      </c>
      <c r="P3104" t="n">
        <v>687.04</v>
      </c>
      <c r="Q3104" t="n">
        <v>112</v>
      </c>
      <c r="R3104" t="n">
        <v>165.41</v>
      </c>
      <c r="S3104" t="n">
        <v>157.48</v>
      </c>
      <c r="T3104" t="n">
        <v>0</v>
      </c>
      <c r="U3104" t="n">
        <v>1121.93</v>
      </c>
      <c r="X3104" t="inlineStr">
        <is>
          <t>acoa-apeca</t>
        </is>
      </c>
      <c r="Y3104" t="inlineStr">
        <is>
          <t>Atlantic Canada Opportunities Agency | Agence de promotion économique du Canada atlantique</t>
        </is>
      </c>
    </row>
    <row r="3105">
      <c r="A3105" t="inlineStr">
        <is>
          <t>T-2015-Q4-00023</t>
        </is>
      </c>
      <c r="B3105" t="inlineStr">
        <is>
          <t>MPSES</t>
        </is>
      </c>
      <c r="C3105" t="inlineStr">
        <is>
          <t>Minister of State</t>
        </is>
      </c>
      <c r="D3105" t="inlineStr">
        <is>
          <t>Ministre d'État</t>
        </is>
      </c>
      <c r="E3105" t="inlineStr">
        <is>
          <t>Rob Moore</t>
        </is>
      </c>
      <c r="F3105" t="inlineStr">
        <is>
          <t>Travel for Government of Canada announcement and stakeholder roundtables</t>
        </is>
      </c>
      <c r="G3105" t="inlineStr">
        <is>
          <t>Voyage pour assister à une annonce du gouvernement du Canada et à des réunions avec des intervenants</t>
        </is>
      </c>
      <c r="H3105" s="1" t="n">
        <v>41989</v>
      </c>
      <c r="I3105" s="1" t="n">
        <v>41989</v>
      </c>
      <c r="J3105" t="inlineStr">
        <is>
          <t>Charlottetown, Prince Edward Island</t>
        </is>
      </c>
      <c r="K3105" t="inlineStr">
        <is>
          <t>Charlottetown (Île-du-Prince-Édouard)</t>
        </is>
      </c>
      <c r="P3105" t="n">
        <v>0</v>
      </c>
      <c r="Q3105" t="n">
        <v>349.98</v>
      </c>
      <c r="R3105" t="n">
        <v>0</v>
      </c>
      <c r="S3105" t="n">
        <v>42.2</v>
      </c>
      <c r="T3105" t="n">
        <v>0</v>
      </c>
      <c r="U3105" t="n">
        <v>392.18</v>
      </c>
      <c r="X3105" t="inlineStr">
        <is>
          <t>acoa-apeca</t>
        </is>
      </c>
      <c r="Y3105" t="inlineStr">
        <is>
          <t>Atlantic Canada Opportunities Agency | Agence de promotion économique du Canada atlantique</t>
        </is>
      </c>
    </row>
    <row r="3106">
      <c r="A3106" t="inlineStr">
        <is>
          <t>T-2015-Q4-00022</t>
        </is>
      </c>
      <c r="B3106" t="inlineStr">
        <is>
          <t>SLE</t>
        </is>
      </c>
      <c r="C3106" t="inlineStr">
        <is>
          <t>President</t>
        </is>
      </c>
      <c r="D3106" t="inlineStr">
        <is>
          <t>Président</t>
        </is>
      </c>
      <c r="E3106" t="inlineStr">
        <is>
          <t>Paul J. LeBlanc</t>
        </is>
      </c>
      <c r="F3106" t="inlineStr">
        <is>
          <t>For various meetings and discussions with Agency officials and Government of Canada officials</t>
        </is>
      </c>
      <c r="G3106" t="inlineStr">
        <is>
          <t>Diverses réunions et discussions avec des fonctionnaires de l'Agence et du gouvernement du Canada</t>
        </is>
      </c>
      <c r="H3106" s="1" t="n">
        <v>41989</v>
      </c>
      <c r="I3106" s="1" t="n">
        <v>41990</v>
      </c>
      <c r="J3106" t="inlineStr">
        <is>
          <t>Fredericton, New Brunswick</t>
        </is>
      </c>
      <c r="K3106" t="inlineStr">
        <is>
          <t>Fredericton (Nouveau-Brunswick)</t>
        </is>
      </c>
      <c r="P3106" t="n">
        <v>0</v>
      </c>
      <c r="Q3106" t="n">
        <v>0</v>
      </c>
      <c r="R3106" t="n">
        <v>152.55</v>
      </c>
      <c r="S3106" t="n">
        <v>108.9</v>
      </c>
      <c r="T3106" t="n">
        <v>0</v>
      </c>
      <c r="U3106" t="n">
        <v>261.45</v>
      </c>
      <c r="X3106" t="inlineStr">
        <is>
          <t>acoa-apeca</t>
        </is>
      </c>
      <c r="Y3106" t="inlineStr">
        <is>
          <t>Atlantic Canada Opportunities Agency | Agence de promotion économique du Canada atlantique</t>
        </is>
      </c>
    </row>
    <row r="3107">
      <c r="A3107" t="inlineStr">
        <is>
          <t>T-2015-Q4-00021</t>
        </is>
      </c>
      <c r="B3107" t="inlineStr">
        <is>
          <t>SLE</t>
        </is>
      </c>
      <c r="C3107" t="inlineStr">
        <is>
          <t>Vice-President, Policy and Programs</t>
        </is>
      </c>
      <c r="D3107" t="inlineStr">
        <is>
          <t>Vice-président, Politiques et Programmes</t>
        </is>
      </c>
      <c r="E3107" t="inlineStr">
        <is>
          <t>Daryell Nowlan</t>
        </is>
      </c>
      <c r="F3107" t="inlineStr">
        <is>
          <t>Meetings with Government of Canada officials</t>
        </is>
      </c>
      <c r="G3107" t="inlineStr">
        <is>
          <t>Réunions avec des fonctionnaires du gouvernement du Canada</t>
        </is>
      </c>
      <c r="H3107" s="1" t="n">
        <v>41988</v>
      </c>
      <c r="I3107" s="1" t="n">
        <v>41990</v>
      </c>
      <c r="J3107" t="inlineStr">
        <is>
          <t>Ottawa, Ontario and Montreal, Quebec</t>
        </is>
      </c>
      <c r="K3107" t="inlineStr">
        <is>
          <t>Ottawa (Ontario) et Montréal (Québec)</t>
        </is>
      </c>
      <c r="P3107" t="n">
        <v>1339.05</v>
      </c>
      <c r="Q3107" t="n">
        <v>188.84</v>
      </c>
      <c r="R3107" t="n">
        <v>348.14</v>
      </c>
      <c r="S3107" t="n">
        <v>226.95</v>
      </c>
      <c r="T3107" t="n">
        <v>0</v>
      </c>
      <c r="U3107" t="n">
        <v>2102.98</v>
      </c>
      <c r="X3107" t="inlineStr">
        <is>
          <t>acoa-apeca</t>
        </is>
      </c>
      <c r="Y3107" t="inlineStr">
        <is>
          <t>Atlantic Canada Opportunities Agency | Agence de promotion économique du Canada atlantique</t>
        </is>
      </c>
    </row>
    <row r="3108">
      <c r="A3108" t="inlineStr">
        <is>
          <t>T-2015-Q4-00020</t>
        </is>
      </c>
      <c r="B3108" t="inlineStr">
        <is>
          <t>SLE</t>
        </is>
      </c>
      <c r="C3108" t="inlineStr">
        <is>
          <t>Vice-President, New Brunswick</t>
        </is>
      </c>
      <c r="D3108" t="inlineStr">
        <is>
          <t>Vice-président, Nouveau-Brunswick</t>
        </is>
      </c>
      <c r="E3108" t="inlineStr">
        <is>
          <t>Kent Estabrooks</t>
        </is>
      </c>
      <c r="F3108" t="inlineStr">
        <is>
          <t>Meeting with Agency Officials</t>
        </is>
      </c>
      <c r="G3108" t="inlineStr">
        <is>
          <t>Réunion avec des fonctionnaires de l'Agence</t>
        </is>
      </c>
      <c r="H3108" s="1" t="n">
        <v>41987</v>
      </c>
      <c r="I3108" s="1" t="n">
        <v>41988</v>
      </c>
      <c r="J3108" t="inlineStr">
        <is>
          <t>Moncton, New Brunswick</t>
        </is>
      </c>
      <c r="K3108" t="inlineStr">
        <is>
          <t>Moncton (Nouveau-Brunswick)</t>
        </is>
      </c>
      <c r="P3108" t="n">
        <v>0</v>
      </c>
      <c r="Q3108" t="n">
        <v>0</v>
      </c>
      <c r="R3108" t="n">
        <v>127.63</v>
      </c>
      <c r="S3108" t="n">
        <v>50.95</v>
      </c>
      <c r="T3108" t="n">
        <v>0</v>
      </c>
      <c r="U3108" t="n">
        <v>178.58</v>
      </c>
      <c r="X3108" t="inlineStr">
        <is>
          <t>acoa-apeca</t>
        </is>
      </c>
      <c r="Y3108" t="inlineStr">
        <is>
          <t>Atlantic Canada Opportunities Agency | Agence de promotion économique du Canada atlantique</t>
        </is>
      </c>
    </row>
    <row r="3109">
      <c r="A3109" t="inlineStr">
        <is>
          <t>T-2015-Q4-00019</t>
        </is>
      </c>
      <c r="B3109" t="inlineStr">
        <is>
          <t>MPSES</t>
        </is>
      </c>
      <c r="C3109" t="inlineStr">
        <is>
          <t>Executive Assistant</t>
        </is>
      </c>
      <c r="D3109" t="inlineStr">
        <is>
          <t>Adjoint exécutif</t>
        </is>
      </c>
      <c r="E3109" t="inlineStr">
        <is>
          <t>Josh Hardy</t>
        </is>
      </c>
      <c r="F3109" t="inlineStr">
        <is>
          <t>Travel on Government of Canada business</t>
        </is>
      </c>
      <c r="G3109" t="inlineStr">
        <is>
          <t xml:space="preserve">Voyage pour le compte du gouvernement du Canada </t>
        </is>
      </c>
      <c r="H3109" s="1" t="n">
        <v>41987</v>
      </c>
      <c r="I3109" s="1" t="n">
        <v>41989</v>
      </c>
      <c r="J3109" t="inlineStr">
        <is>
          <t>Moncton, New Brunswick</t>
        </is>
      </c>
      <c r="K3109" t="inlineStr">
        <is>
          <t>Moncton (Nouveau-Brunswick)</t>
        </is>
      </c>
      <c r="P3109" t="n">
        <v>730.45</v>
      </c>
      <c r="Q3109" t="n">
        <v>108.8</v>
      </c>
      <c r="R3109" t="n">
        <v>0</v>
      </c>
      <c r="S3109" t="n">
        <v>0</v>
      </c>
      <c r="T3109" t="n">
        <v>0</v>
      </c>
      <c r="U3109" t="n">
        <v>839.25</v>
      </c>
      <c r="X3109" t="inlineStr">
        <is>
          <t>acoa-apeca</t>
        </is>
      </c>
      <c r="Y3109" t="inlineStr">
        <is>
          <t>Atlantic Canada Opportunities Agency | Agence de promotion économique du Canada atlantique</t>
        </is>
      </c>
    </row>
    <row r="3110">
      <c r="A3110" t="inlineStr">
        <is>
          <t>T-2015-Q4-00017</t>
        </is>
      </c>
      <c r="B3110" t="inlineStr">
        <is>
          <t>SLE</t>
        </is>
      </c>
      <c r="C3110" t="inlineStr">
        <is>
          <t>Vice President, Nova Scotia</t>
        </is>
      </c>
      <c r="D3110" t="inlineStr">
        <is>
          <t>Vice-président, Nouvelle-Écosse</t>
        </is>
      </c>
      <c r="E3110" t="inlineStr">
        <is>
          <t>Peter Hogan</t>
        </is>
      </c>
      <c r="F3110" t="inlineStr">
        <is>
          <t>Various Meetings with Agency and Government of Canada Officials</t>
        </is>
      </c>
      <c r="G3110" t="inlineStr">
        <is>
          <t>Diverses réunions avec des fonctionnaires de l'Agence et du gouvernement du Canada</t>
        </is>
      </c>
      <c r="H3110" s="1" t="n">
        <v>41983</v>
      </c>
      <c r="I3110" s="1" t="n">
        <v>41984</v>
      </c>
      <c r="J3110" t="inlineStr">
        <is>
          <t>Ottawa, Ontario</t>
        </is>
      </c>
      <c r="K3110" t="inlineStr">
        <is>
          <t>Ottawa (Ontario)</t>
        </is>
      </c>
      <c r="P3110" t="n">
        <v>381.62</v>
      </c>
      <c r="Q3110" t="n">
        <v>107.6</v>
      </c>
      <c r="R3110" t="n">
        <v>182.73</v>
      </c>
      <c r="S3110" t="n">
        <v>167.45</v>
      </c>
      <c r="T3110" t="n">
        <v>40</v>
      </c>
      <c r="U3110" t="n">
        <v>879.4</v>
      </c>
      <c r="X3110" t="inlineStr">
        <is>
          <t>acoa-apeca</t>
        </is>
      </c>
      <c r="Y3110" t="inlineStr">
        <is>
          <t>Atlantic Canada Opportunities Agency | Agence de promotion économique du Canada atlantique</t>
        </is>
      </c>
    </row>
    <row r="3111">
      <c r="A3111" t="inlineStr">
        <is>
          <t>T-2015-Q4-00016</t>
        </is>
      </c>
      <c r="B3111" t="inlineStr">
        <is>
          <t>SLE</t>
        </is>
      </c>
      <c r="C3111" t="inlineStr">
        <is>
          <t>Vice-President, Policy and Programs</t>
        </is>
      </c>
      <c r="D3111" t="inlineStr">
        <is>
          <t>Vice-président, Politiques et Programmes</t>
        </is>
      </c>
      <c r="E3111" t="inlineStr">
        <is>
          <t>Daryell Nowlan</t>
        </is>
      </c>
      <c r="F3111" t="inlineStr">
        <is>
          <t>Meetings with Government of Canada officials</t>
        </is>
      </c>
      <c r="G3111" t="inlineStr">
        <is>
          <t>Réunions avec des fonctionnaires du gouvernement du Canada</t>
        </is>
      </c>
      <c r="H3111" s="1" t="n">
        <v>41982</v>
      </c>
      <c r="I3111" s="1" t="n">
        <v>41985</v>
      </c>
      <c r="J3111" t="inlineStr">
        <is>
          <t>Charlottetown, Prince Edward Island</t>
        </is>
      </c>
      <c r="K3111" t="inlineStr">
        <is>
          <t>Charlottetown (Île-du-Prince-Édouard)</t>
        </is>
      </c>
      <c r="P3111" t="n">
        <v>0</v>
      </c>
      <c r="Q3111" t="n">
        <v>212.24</v>
      </c>
      <c r="R3111" t="n">
        <v>352.26</v>
      </c>
      <c r="S3111" t="n">
        <v>194.85</v>
      </c>
      <c r="T3111" t="n">
        <v>0</v>
      </c>
      <c r="U3111" t="n">
        <v>759.35</v>
      </c>
      <c r="X3111" t="inlineStr">
        <is>
          <t>acoa-apeca</t>
        </is>
      </c>
      <c r="Y3111" t="inlineStr">
        <is>
          <t>Atlantic Canada Opportunities Agency | Agence de promotion économique du Canada atlantique</t>
        </is>
      </c>
    </row>
    <row r="3112">
      <c r="A3112" t="inlineStr">
        <is>
          <t>T-2015-Q4-00015</t>
        </is>
      </c>
      <c r="B3112" t="inlineStr">
        <is>
          <t>SLE</t>
        </is>
      </c>
      <c r="C3112" t="inlineStr">
        <is>
          <t>Vice President, Nova Scotia</t>
        </is>
      </c>
      <c r="D3112" t="inlineStr">
        <is>
          <t>Vice-président, Nouvelle-Écosse</t>
        </is>
      </c>
      <c r="E3112" t="inlineStr">
        <is>
          <t>Peter Hogan</t>
        </is>
      </c>
      <c r="F3112" t="inlineStr">
        <is>
          <t>Meeting with Agency and Other Officials</t>
        </is>
      </c>
      <c r="G3112" t="inlineStr">
        <is>
          <t>Réunion avec des fonctionnaires de l'Agence et d'autres représentants</t>
        </is>
      </c>
      <c r="H3112" s="1" t="n">
        <v>41981</v>
      </c>
      <c r="I3112" s="1" t="n">
        <v>41981</v>
      </c>
      <c r="J3112" t="inlineStr">
        <is>
          <t>Moncton, New Brunswick</t>
        </is>
      </c>
      <c r="K3112" t="inlineStr">
        <is>
          <t>Moncton (Nouveau-Brunswick)</t>
        </is>
      </c>
      <c r="P3112" t="n">
        <v>0</v>
      </c>
      <c r="Q3112" t="n">
        <v>262.14</v>
      </c>
      <c r="R3112" t="n">
        <v>50</v>
      </c>
      <c r="S3112" t="n">
        <v>125.25</v>
      </c>
      <c r="T3112" t="n">
        <v>26</v>
      </c>
      <c r="U3112" t="n">
        <v>463.39</v>
      </c>
      <c r="X3112" t="inlineStr">
        <is>
          <t>acoa-apeca</t>
        </is>
      </c>
      <c r="Y3112" t="inlineStr">
        <is>
          <t>Atlantic Canada Opportunities Agency | Agence de promotion économique du Canada atlantique</t>
        </is>
      </c>
    </row>
    <row r="3113">
      <c r="A3113" t="inlineStr">
        <is>
          <t>T-2015-Q4-00013</t>
        </is>
      </c>
      <c r="B3113" t="inlineStr">
        <is>
          <t>MPSES</t>
        </is>
      </c>
      <c r="C3113" t="inlineStr">
        <is>
          <t>Regional Affairs Director - Newfoundland &amp; Labrador</t>
        </is>
      </c>
      <c r="D3113" t="inlineStr">
        <is>
          <t>Directrice des affaires régionales - Terre-Neuve et le Labrador</t>
        </is>
      </c>
      <c r="E3113" t="inlineStr">
        <is>
          <t>Lorraine Barnett</t>
        </is>
      </c>
      <c r="F3113" t="inlineStr">
        <is>
          <t>Travel on Government Business</t>
        </is>
      </c>
      <c r="G3113" t="inlineStr">
        <is>
          <t>Voyage pour le compte du gouvernement</t>
        </is>
      </c>
      <c r="H3113" s="1" t="n">
        <v>41981</v>
      </c>
      <c r="I3113" s="1" t="n">
        <v>41983</v>
      </c>
      <c r="J3113" t="inlineStr">
        <is>
          <t>Ottawa, Ontario</t>
        </is>
      </c>
      <c r="K3113" t="inlineStr">
        <is>
          <t>Ottawa (Ontario)</t>
        </is>
      </c>
      <c r="P3113" t="n">
        <v>482.76</v>
      </c>
      <c r="Q3113" t="n">
        <v>139.5</v>
      </c>
      <c r="R3113" t="n">
        <v>370.12</v>
      </c>
      <c r="S3113" t="n">
        <v>216.85</v>
      </c>
      <c r="T3113" t="n">
        <v>0</v>
      </c>
      <c r="U3113" t="n">
        <v>1209.23</v>
      </c>
      <c r="X3113" t="inlineStr">
        <is>
          <t>acoa-apeca</t>
        </is>
      </c>
      <c r="Y3113" t="inlineStr">
        <is>
          <t>Atlantic Canada Opportunities Agency | Agence de promotion économique du Canada atlantique</t>
        </is>
      </c>
    </row>
    <row r="3114">
      <c r="A3114" t="inlineStr">
        <is>
          <t>T-2015-Q4-00012</t>
        </is>
      </c>
      <c r="B3114" t="inlineStr">
        <is>
          <t>SLE</t>
        </is>
      </c>
      <c r="C3114" t="inlineStr">
        <is>
          <t>Vice-President, Prince Edward Island</t>
        </is>
      </c>
      <c r="D3114" t="inlineStr">
        <is>
          <t>Vice-président, Île-du-Prince-Édouard</t>
        </is>
      </c>
      <c r="E3114" t="inlineStr">
        <is>
          <t>Patrick Dorsey</t>
        </is>
      </c>
      <c r="F3114" t="inlineStr">
        <is>
          <t>To attend Atlantic Canada Tourism Partnership Meeting in Moncton</t>
        </is>
      </c>
      <c r="G3114" t="inlineStr">
        <is>
          <t xml:space="preserve">Assister à une réunion du Partenariat du tourisme du Canada atlantique à Moncton </t>
        </is>
      </c>
      <c r="H3114" s="1" t="n">
        <v>41981</v>
      </c>
      <c r="I3114" s="1" t="n">
        <v>41982</v>
      </c>
      <c r="J3114" t="inlineStr">
        <is>
          <t>Moncton, New Brunswick</t>
        </is>
      </c>
      <c r="K3114" t="inlineStr">
        <is>
          <t>Moncton (Nouveau-Brunswick)</t>
        </is>
      </c>
      <c r="P3114" t="n">
        <v>0</v>
      </c>
      <c r="Q3114" t="n">
        <v>226.28</v>
      </c>
      <c r="R3114" t="n">
        <v>113</v>
      </c>
      <c r="S3114" t="n">
        <v>92.55</v>
      </c>
      <c r="T3114" t="n">
        <v>0</v>
      </c>
      <c r="U3114" t="n">
        <v>431.83</v>
      </c>
      <c r="X3114" t="inlineStr">
        <is>
          <t>acoa-apeca</t>
        </is>
      </c>
      <c r="Y3114" t="inlineStr">
        <is>
          <t>Atlantic Canada Opportunities Agency | Agence de promotion économique du Canada atlantique</t>
        </is>
      </c>
    </row>
    <row r="3115">
      <c r="A3115" t="inlineStr">
        <is>
          <t>T-2015-Q4-00011</t>
        </is>
      </c>
      <c r="B3115" t="inlineStr">
        <is>
          <t>MPSES</t>
        </is>
      </c>
      <c r="C3115" t="inlineStr">
        <is>
          <t>Chief of Staff</t>
        </is>
      </c>
      <c r="D3115" t="inlineStr">
        <is>
          <t>Chef de cabinet</t>
        </is>
      </c>
      <c r="E3115" t="inlineStr">
        <is>
          <t>Shane Bourke</t>
        </is>
      </c>
      <c r="F3115" t="inlineStr">
        <is>
          <t>Travel to accompany Minister of State on Government of Canada business</t>
        </is>
      </c>
      <c r="G3115" t="inlineStr">
        <is>
          <t>Accompagner le ministre d'État lors d'un voyage pour le compte du gouvernement du Canada</t>
        </is>
      </c>
      <c r="H3115" s="1" t="n">
        <v>41980</v>
      </c>
      <c r="I3115" s="1" t="n">
        <v>41981</v>
      </c>
      <c r="J3115" t="inlineStr">
        <is>
          <t>St. John's, Newfoundland and Labrador</t>
        </is>
      </c>
      <c r="K3115" t="inlineStr">
        <is>
          <t>St. John's (Terre-Neuve-et-Labrador)</t>
        </is>
      </c>
      <c r="P3115" t="n">
        <v>912.15</v>
      </c>
      <c r="Q3115" t="n">
        <v>28</v>
      </c>
      <c r="R3115" t="n">
        <v>159.12</v>
      </c>
      <c r="S3115" t="n">
        <v>49.4</v>
      </c>
      <c r="T3115" t="n">
        <v>0</v>
      </c>
      <c r="U3115" t="n">
        <v>1148.67</v>
      </c>
      <c r="X3115" t="inlineStr">
        <is>
          <t>acoa-apeca</t>
        </is>
      </c>
      <c r="Y3115" t="inlineStr">
        <is>
          <t>Atlantic Canada Opportunities Agency | Agence de promotion économique du Canada atlantique</t>
        </is>
      </c>
    </row>
    <row r="3116">
      <c r="A3116" t="inlineStr">
        <is>
          <t>T-2015-Q4-00010</t>
        </is>
      </c>
      <c r="B3116" t="inlineStr">
        <is>
          <t>MPSES</t>
        </is>
      </c>
      <c r="C3116" t="inlineStr">
        <is>
          <t>Special Assistant - New Brunswick</t>
        </is>
      </c>
      <c r="D3116" t="inlineStr">
        <is>
          <t>Adjointe spéciale – Nouveau-Brunswick</t>
        </is>
      </c>
      <c r="E3116" t="inlineStr">
        <is>
          <t>Erika Keirstead</t>
        </is>
      </c>
      <c r="F3116" t="inlineStr">
        <is>
          <t>Travel on Government Business</t>
        </is>
      </c>
      <c r="G3116" t="inlineStr">
        <is>
          <t>Voyage pour le compte du gouvernement</t>
        </is>
      </c>
      <c r="H3116" s="1" t="n">
        <v>41980</v>
      </c>
      <c r="I3116" s="1" t="n">
        <v>41983</v>
      </c>
      <c r="J3116" t="inlineStr">
        <is>
          <t>Ottawa, Ontario</t>
        </is>
      </c>
      <c r="K3116" t="inlineStr">
        <is>
          <t>Ottawa (Ontario)</t>
        </is>
      </c>
      <c r="P3116" t="n">
        <v>455.64</v>
      </c>
      <c r="Q3116" t="n">
        <v>90.34</v>
      </c>
      <c r="R3116" t="n">
        <v>555.1799999999999</v>
      </c>
      <c r="S3116" t="n">
        <v>249.9</v>
      </c>
      <c r="T3116" t="n">
        <v>0</v>
      </c>
      <c r="U3116" t="n">
        <v>1351.06</v>
      </c>
      <c r="X3116" t="inlineStr">
        <is>
          <t>acoa-apeca</t>
        </is>
      </c>
      <c r="Y3116" t="inlineStr">
        <is>
          <t>Atlantic Canada Opportunities Agency | Agence de promotion économique du Canada atlantique</t>
        </is>
      </c>
    </row>
    <row r="3117">
      <c r="A3117" t="inlineStr">
        <is>
          <t>T-2015-Q4-00009</t>
        </is>
      </c>
      <c r="B3117" t="inlineStr">
        <is>
          <t>MPSES</t>
        </is>
      </c>
      <c r="C3117" t="inlineStr">
        <is>
          <t>Minister of State</t>
        </is>
      </c>
      <c r="D3117" t="inlineStr">
        <is>
          <t>Ministre d'État</t>
        </is>
      </c>
      <c r="E3117" t="inlineStr">
        <is>
          <t>Rob Moore</t>
        </is>
      </c>
      <c r="F3117" t="inlineStr">
        <is>
          <t>Travel to meet with Government of Newfoundland and Labrador</t>
        </is>
      </c>
      <c r="G3117" t="inlineStr">
        <is>
          <t>Voyage pour assister à une rencontre avec le gouvernement de Terre-Neuve-et-Labrador</t>
        </is>
      </c>
      <c r="H3117" s="1" t="n">
        <v>41980</v>
      </c>
      <c r="I3117" s="1" t="n">
        <v>41981</v>
      </c>
      <c r="J3117" t="inlineStr">
        <is>
          <t>St. John's, Newfoundland and Labrador and Ottawa, Ontario</t>
        </is>
      </c>
      <c r="K3117" t="inlineStr">
        <is>
          <t>St. John's (Terre-Neuve-et-Labrador) et Ottawa (Ontario)</t>
        </is>
      </c>
      <c r="P3117" t="n">
        <v>820.5700000000001</v>
      </c>
      <c r="Q3117" t="n">
        <v>10.71</v>
      </c>
      <c r="R3117" t="n">
        <v>159.12</v>
      </c>
      <c r="S3117" t="n">
        <v>49.4</v>
      </c>
      <c r="T3117" t="n">
        <v>0</v>
      </c>
      <c r="U3117" t="n">
        <v>1039.8</v>
      </c>
      <c r="X3117" t="inlineStr">
        <is>
          <t>acoa-apeca</t>
        </is>
      </c>
      <c r="Y3117" t="inlineStr">
        <is>
          <t>Atlantic Canada Opportunities Agency | Agence de promotion économique du Canada atlantique</t>
        </is>
      </c>
    </row>
    <row r="3118">
      <c r="A3118" t="inlineStr">
        <is>
          <t>T-2015-Q4-00008</t>
        </is>
      </c>
      <c r="B3118" t="inlineStr">
        <is>
          <t>SLE</t>
        </is>
      </c>
      <c r="C3118" t="inlineStr">
        <is>
          <t>President</t>
        </is>
      </c>
      <c r="D3118" t="inlineStr">
        <is>
          <t>Président</t>
        </is>
      </c>
      <c r="E3118" t="inlineStr">
        <is>
          <t>Paul J. LeBlanc</t>
        </is>
      </c>
      <c r="F3118" t="inlineStr">
        <is>
          <t>For various meetings and discussions with Agency officials and Government of Canada officials</t>
        </is>
      </c>
      <c r="G3118" t="inlineStr">
        <is>
          <t>Diverses réunions et discussions avec des fonctionnaires de l'Agence et du gouvernement du Canada</t>
        </is>
      </c>
      <c r="H3118" s="1" t="n">
        <v>41980</v>
      </c>
      <c r="I3118" s="1" t="n">
        <v>41983</v>
      </c>
      <c r="J3118" t="inlineStr">
        <is>
          <t>St. John's, Newfoundland and Labrador and Ottawa, Ontario</t>
        </is>
      </c>
      <c r="K3118" t="inlineStr">
        <is>
          <t>St. John's (Terre-Neuve-et-Labrador) et Ottawa (Ontario)</t>
        </is>
      </c>
      <c r="P3118" t="n">
        <v>1799.64</v>
      </c>
      <c r="Q3118" t="n">
        <v>0</v>
      </c>
      <c r="R3118" t="n">
        <v>524.58</v>
      </c>
      <c r="S3118" t="n">
        <v>292.7</v>
      </c>
      <c r="T3118" t="n">
        <v>113</v>
      </c>
      <c r="U3118" t="n">
        <v>2729.92</v>
      </c>
      <c r="X3118" t="inlineStr">
        <is>
          <t>acoa-apeca</t>
        </is>
      </c>
      <c r="Y3118" t="inlineStr">
        <is>
          <t>Atlantic Canada Opportunities Agency | Agence de promotion économique du Canada atlantique</t>
        </is>
      </c>
    </row>
    <row r="3119">
      <c r="A3119" t="inlineStr">
        <is>
          <t>T-2015-Q4-00006</t>
        </is>
      </c>
      <c r="B3119" t="inlineStr">
        <is>
          <t>SLE</t>
        </is>
      </c>
      <c r="C3119" t="inlineStr">
        <is>
          <t>Vice-President, Policy and Programs</t>
        </is>
      </c>
      <c r="D3119" t="inlineStr">
        <is>
          <t>Vice-président, Politiques et Programmes</t>
        </is>
      </c>
      <c r="E3119" t="inlineStr">
        <is>
          <t>Daryell Nowlan</t>
        </is>
      </c>
      <c r="F3119" t="inlineStr">
        <is>
          <t>Meeting with Government of Canada officials</t>
        </is>
      </c>
      <c r="G3119" t="inlineStr">
        <is>
          <t>Réunion avec des fonctionnaires du gouvernement du Canada</t>
        </is>
      </c>
      <c r="H3119" s="1" t="n">
        <v>41980</v>
      </c>
      <c r="I3119" s="1" t="n">
        <v>41982</v>
      </c>
      <c r="J3119" t="inlineStr">
        <is>
          <t>Montreal, Quebec</t>
        </is>
      </c>
      <c r="K3119" t="inlineStr">
        <is>
          <t>Montréal (Québec)</t>
        </is>
      </c>
      <c r="P3119" t="n">
        <v>892.7</v>
      </c>
      <c r="Q3119" t="n">
        <v>66</v>
      </c>
      <c r="R3119" t="n">
        <v>400.82</v>
      </c>
      <c r="S3119" t="n">
        <v>168.4</v>
      </c>
      <c r="T3119" t="n">
        <v>0</v>
      </c>
      <c r="U3119" t="n">
        <v>1527.92</v>
      </c>
      <c r="X3119" t="inlineStr">
        <is>
          <t>acoa-apeca</t>
        </is>
      </c>
      <c r="Y3119" t="inlineStr">
        <is>
          <t>Atlantic Canada Opportunities Agency | Agence de promotion économique du Canada atlantique</t>
        </is>
      </c>
    </row>
    <row r="3120">
      <c r="A3120" t="inlineStr">
        <is>
          <t>T-2015-Q4-00005</t>
        </is>
      </c>
      <c r="B3120" t="inlineStr">
        <is>
          <t>SLE</t>
        </is>
      </c>
      <c r="C3120" t="inlineStr">
        <is>
          <t>Vice-President, New Brunswick</t>
        </is>
      </c>
      <c r="D3120" t="inlineStr">
        <is>
          <t>Vice-président, Nouveau-Brunswick</t>
        </is>
      </c>
      <c r="E3120" t="inlineStr">
        <is>
          <t>Kent Estabrooks</t>
        </is>
      </c>
      <c r="F3120" t="inlineStr">
        <is>
          <t>Meeting with stakeholders and Federal Officials</t>
        </is>
      </c>
      <c r="G3120" t="inlineStr">
        <is>
          <t>Réunion avec des intervenants et des fonctionnaires fédéraux</t>
        </is>
      </c>
      <c r="H3120" s="1" t="n">
        <v>41977</v>
      </c>
      <c r="I3120" s="1" t="n">
        <v>41978</v>
      </c>
      <c r="J3120" t="inlineStr">
        <is>
          <t>Ottawa, Ontario</t>
        </is>
      </c>
      <c r="K3120" t="inlineStr">
        <is>
          <t>Ottawa (Ontario)</t>
        </is>
      </c>
      <c r="P3120" t="n">
        <v>892.7</v>
      </c>
      <c r="Q3120" t="n">
        <v>90.5</v>
      </c>
      <c r="R3120" t="n">
        <v>182.73</v>
      </c>
      <c r="S3120" t="n">
        <v>119</v>
      </c>
      <c r="T3120" t="n">
        <v>0</v>
      </c>
      <c r="U3120" t="n">
        <v>1284.93</v>
      </c>
      <c r="X3120" t="inlineStr">
        <is>
          <t>acoa-apeca</t>
        </is>
      </c>
      <c r="Y3120" t="inlineStr">
        <is>
          <t>Atlantic Canada Opportunities Agency | Agence de promotion économique du Canada atlantique</t>
        </is>
      </c>
    </row>
    <row r="3121">
      <c r="A3121" t="inlineStr">
        <is>
          <t>T-2015-Q4-00004</t>
        </is>
      </c>
      <c r="B3121" t="inlineStr">
        <is>
          <t>MPSES</t>
        </is>
      </c>
      <c r="C3121" t="inlineStr">
        <is>
          <t>Chief of Staff</t>
        </is>
      </c>
      <c r="D3121" t="inlineStr">
        <is>
          <t>Chef de cabinet</t>
        </is>
      </c>
      <c r="E3121" t="inlineStr">
        <is>
          <t>Shane Bourke</t>
        </is>
      </c>
      <c r="F3121" t="inlineStr">
        <is>
          <t>Travel on Government Business</t>
        </is>
      </c>
      <c r="G3121" t="inlineStr">
        <is>
          <t>Voyage pour le compte du gouvernement</t>
        </is>
      </c>
      <c r="H3121" s="1" t="n">
        <v>41976</v>
      </c>
      <c r="I3121" s="1" t="n">
        <v>41977</v>
      </c>
      <c r="J3121" t="inlineStr">
        <is>
          <t>St. John's, Newfoundland and Labrador</t>
        </is>
      </c>
      <c r="K3121" t="inlineStr">
        <is>
          <t>St. John's (Terre-Neuve-et-Labrador)</t>
        </is>
      </c>
      <c r="P3121" t="n">
        <v>1127.06</v>
      </c>
      <c r="Q3121" t="n">
        <v>25</v>
      </c>
      <c r="R3121" t="n">
        <v>159.12</v>
      </c>
      <c r="S3121" t="n">
        <v>91.59999999999999</v>
      </c>
      <c r="T3121" t="n">
        <v>0</v>
      </c>
      <c r="U3121" t="n">
        <v>1402.78</v>
      </c>
      <c r="X3121" t="inlineStr">
        <is>
          <t>acoa-apeca</t>
        </is>
      </c>
      <c r="Y3121" t="inlineStr">
        <is>
          <t>Atlantic Canada Opportunities Agency | Agence de promotion économique du Canada atlantique</t>
        </is>
      </c>
    </row>
    <row r="3122">
      <c r="A3122" t="inlineStr">
        <is>
          <t>T-2015-Q4-00003</t>
        </is>
      </c>
      <c r="B3122" t="inlineStr">
        <is>
          <t>MPSES</t>
        </is>
      </c>
      <c r="C3122" t="inlineStr">
        <is>
          <t>Minister of State</t>
        </is>
      </c>
      <c r="D3122" t="inlineStr">
        <is>
          <t>Ministre d'État</t>
        </is>
      </c>
      <c r="E3122" t="inlineStr">
        <is>
          <t>Rob Moore</t>
        </is>
      </c>
      <c r="F3122" t="inlineStr">
        <is>
          <t>Travel to meet with Government of Newfoundland and Labrador</t>
        </is>
      </c>
      <c r="G3122" t="inlineStr">
        <is>
          <t>Voyage pour assister à une rencontre avec le gouvernement de Terre-Neuve-et-Labrador</t>
        </is>
      </c>
      <c r="H3122" s="1" t="n">
        <v>41976</v>
      </c>
      <c r="I3122" s="1" t="n">
        <v>41977</v>
      </c>
      <c r="J3122" t="inlineStr">
        <is>
          <t>St. John's, Newfoundland and Labrador and Quispamsis, New Brunswick</t>
        </is>
      </c>
      <c r="K3122" t="inlineStr">
        <is>
          <t>St. John's (Terre-Neuve-et-Labrador) et Quispamsis (Nouveau-Brunswick)</t>
        </is>
      </c>
      <c r="P3122" t="n">
        <v>1532</v>
      </c>
      <c r="Q3122" t="n">
        <v>10.71</v>
      </c>
      <c r="R3122" t="n">
        <v>159.12</v>
      </c>
      <c r="S3122" t="n">
        <v>91.59999999999999</v>
      </c>
      <c r="T3122" t="n">
        <v>0</v>
      </c>
      <c r="U3122" t="n">
        <v>1793.43</v>
      </c>
      <c r="X3122" t="inlineStr">
        <is>
          <t>acoa-apeca</t>
        </is>
      </c>
      <c r="Y3122" t="inlineStr">
        <is>
          <t>Atlantic Canada Opportunities Agency | Agence de promotion économique du Canada atlantique</t>
        </is>
      </c>
    </row>
    <row r="3123">
      <c r="A3123" t="inlineStr">
        <is>
          <t>T-2015-Q4-00001</t>
        </is>
      </c>
      <c r="B3123" t="inlineStr">
        <is>
          <t>SLE</t>
        </is>
      </c>
      <c r="C3123" t="inlineStr">
        <is>
          <t>President</t>
        </is>
      </c>
      <c r="D3123" t="inlineStr">
        <is>
          <t>Président</t>
        </is>
      </c>
      <c r="E3123" t="inlineStr">
        <is>
          <t>Paul J. LeBlanc</t>
        </is>
      </c>
      <c r="F3123" t="inlineStr">
        <is>
          <t>For various meetings and discussions with Agency officials and Government of Canada officials</t>
        </is>
      </c>
      <c r="G3123" t="inlineStr">
        <is>
          <t>Diverses réunions et discussions avec des fonctionnaires de l'Agence et du gouvernement du Canada</t>
        </is>
      </c>
      <c r="H3123" s="1" t="n">
        <v>41975</v>
      </c>
      <c r="I3123" s="1" t="n">
        <v>41977</v>
      </c>
      <c r="J3123" t="inlineStr">
        <is>
          <t>Ottawa, Ontario and St. John's, Newfoundland and Labrador</t>
        </is>
      </c>
      <c r="K3123" t="inlineStr">
        <is>
          <t>Ottawa (Ontario) et St. John's (Terre-Neuve-et-Labrador)</t>
        </is>
      </c>
      <c r="P3123" t="n">
        <v>511.02</v>
      </c>
      <c r="Q3123" t="n">
        <v>0</v>
      </c>
      <c r="R3123" t="n">
        <v>341.85</v>
      </c>
      <c r="S3123" t="n">
        <v>243.3</v>
      </c>
      <c r="T3123" t="n">
        <v>56.5</v>
      </c>
      <c r="U3123" t="n">
        <v>1152.67</v>
      </c>
      <c r="X3123" t="inlineStr">
        <is>
          <t>acoa-apeca</t>
        </is>
      </c>
      <c r="Y3123" t="inlineStr">
        <is>
          <t>Atlantic Canada Opportunities Agency | Agence de promotion économique du Canada atlantique</t>
        </is>
      </c>
    </row>
    <row r="3124">
      <c r="A3124" t="inlineStr">
        <is>
          <t>T-2015-Q3-00082</t>
        </is>
      </c>
      <c r="B3124" t="inlineStr">
        <is>
          <t>SLE</t>
        </is>
      </c>
      <c r="C3124" t="inlineStr">
        <is>
          <t>Vice-President, Finance and Corporate Services</t>
        </is>
      </c>
      <c r="D3124" t="inlineStr">
        <is>
          <t>Vice-présidente, Finances et Services corporatifs</t>
        </is>
      </c>
      <c r="E3124" t="inlineStr">
        <is>
          <t>Denise Frenette</t>
        </is>
      </c>
      <c r="F3124" t="inlineStr">
        <is>
          <t>For meeting with Agency officials</t>
        </is>
      </c>
      <c r="G3124" t="inlineStr">
        <is>
          <t>Réunion avec des fonctionnaires de l'Agence</t>
        </is>
      </c>
      <c r="H3124" s="1" t="n">
        <v>41974</v>
      </c>
      <c r="I3124" s="1" t="n">
        <v>41974</v>
      </c>
      <c r="J3124" t="inlineStr">
        <is>
          <t>Fredericton, New Brunswick</t>
        </is>
      </c>
      <c r="K3124" t="inlineStr">
        <is>
          <t>Fredericton (Nouveau-Brunswick)</t>
        </is>
      </c>
      <c r="P3124" t="n">
        <v>0</v>
      </c>
      <c r="Q3124" t="n">
        <v>0</v>
      </c>
      <c r="R3124" t="n">
        <v>0</v>
      </c>
      <c r="S3124" t="n">
        <v>16.35</v>
      </c>
      <c r="T3124" t="n">
        <v>0</v>
      </c>
      <c r="U3124" t="n">
        <v>16.35</v>
      </c>
      <c r="X3124" t="inlineStr">
        <is>
          <t>acoa-apeca</t>
        </is>
      </c>
      <c r="Y3124" t="inlineStr">
        <is>
          <t>Atlantic Canada Opportunities Agency | Agence de promotion économique du Canada atlantique</t>
        </is>
      </c>
    </row>
    <row r="3125">
      <c r="A3125" t="inlineStr">
        <is>
          <t>T-2015-Q3-00081</t>
        </is>
      </c>
      <c r="B3125" t="inlineStr">
        <is>
          <t>SLE</t>
        </is>
      </c>
      <c r="C3125" t="inlineStr">
        <is>
          <t>Vice-President, Prince Edward Island</t>
        </is>
      </c>
      <c r="D3125" t="inlineStr">
        <is>
          <t>Vice-président, Île-du-Prince-Édouard</t>
        </is>
      </c>
      <c r="E3125" t="inlineStr">
        <is>
          <t>Patrick Dorsey</t>
        </is>
      </c>
      <c r="F3125" t="inlineStr">
        <is>
          <t>2014 Tourism Congress</t>
        </is>
      </c>
      <c r="G3125" t="inlineStr">
        <is>
          <t>Congrès du tourisme 2014</t>
        </is>
      </c>
      <c r="H3125" s="1" t="n">
        <v>41968</v>
      </c>
      <c r="I3125" s="1" t="n">
        <v>41970</v>
      </c>
      <c r="J3125" t="inlineStr">
        <is>
          <t>Ottawa, Ontario</t>
        </is>
      </c>
      <c r="K3125" t="inlineStr">
        <is>
          <t>Ottawa (Ontario)</t>
        </is>
      </c>
      <c r="P3125" t="n">
        <v>617.1</v>
      </c>
      <c r="Q3125" t="n">
        <v>87</v>
      </c>
      <c r="R3125" t="n">
        <v>365.46</v>
      </c>
      <c r="S3125" t="n">
        <v>184.75</v>
      </c>
      <c r="T3125" t="n">
        <v>0</v>
      </c>
      <c r="U3125" t="n">
        <v>1254.31</v>
      </c>
      <c r="X3125" t="inlineStr">
        <is>
          <t>acoa-apeca</t>
        </is>
      </c>
      <c r="Y3125" t="inlineStr">
        <is>
          <t>Atlantic Canada Opportunities Agency | Agence de promotion économique du Canada atlantique</t>
        </is>
      </c>
    </row>
    <row r="3126">
      <c r="A3126" t="inlineStr">
        <is>
          <t>T-2015-Q3-00080</t>
        </is>
      </c>
      <c r="B3126" t="inlineStr">
        <is>
          <t>SLE</t>
        </is>
      </c>
      <c r="C3126" t="inlineStr">
        <is>
          <t>Vice-President, Finance and Corporate Services</t>
        </is>
      </c>
      <c r="D3126" t="inlineStr">
        <is>
          <t>Vice-présidente, Finances et Services corporatifs</t>
        </is>
      </c>
      <c r="E3126" t="inlineStr">
        <is>
          <t>Denise Frenette</t>
        </is>
      </c>
      <c r="F3126" t="inlineStr">
        <is>
          <t>Meetings with Government of Canada officials</t>
        </is>
      </c>
      <c r="G3126" t="inlineStr">
        <is>
          <t>Réunions avec des fonctionnaires du gouvernement du Canada</t>
        </is>
      </c>
      <c r="H3126" s="1" t="n">
        <v>41968</v>
      </c>
      <c r="I3126" s="1" t="n">
        <v>41969</v>
      </c>
      <c r="J3126" t="inlineStr">
        <is>
          <t>Ottawa, Ontario</t>
        </is>
      </c>
      <c r="K3126" t="inlineStr">
        <is>
          <t>Ottawa (Ontario)</t>
        </is>
      </c>
      <c r="P3126" t="n">
        <v>524.6900000000001</v>
      </c>
      <c r="Q3126" t="n">
        <v>35.5</v>
      </c>
      <c r="R3126" t="n">
        <v>173.42</v>
      </c>
      <c r="S3126" t="n">
        <v>108.9</v>
      </c>
      <c r="T3126" t="n">
        <v>26.92</v>
      </c>
      <c r="U3126" t="n">
        <v>869.4299999999999</v>
      </c>
      <c r="X3126" t="inlineStr">
        <is>
          <t>acoa-apeca</t>
        </is>
      </c>
      <c r="Y3126" t="inlineStr">
        <is>
          <t>Atlantic Canada Opportunities Agency | Agence de promotion économique du Canada atlantique</t>
        </is>
      </c>
    </row>
    <row r="3127">
      <c r="A3127" t="inlineStr">
        <is>
          <t>T-2015-Q3-00078</t>
        </is>
      </c>
      <c r="B3127" t="inlineStr">
        <is>
          <t>MPSES</t>
        </is>
      </c>
      <c r="C3127" t="inlineStr">
        <is>
          <t>Regional Affairs Director - New Brunswick</t>
        </is>
      </c>
      <c r="D3127" t="inlineStr">
        <is>
          <t>Directeur des affaires régionales - Nouveau-Brunswick</t>
        </is>
      </c>
      <c r="E3127" t="inlineStr">
        <is>
          <t>Douglas MacDonald</t>
        </is>
      </c>
      <c r="F3127" t="inlineStr">
        <is>
          <t>Travel on Government Business</t>
        </is>
      </c>
      <c r="G3127" t="inlineStr">
        <is>
          <t>Voyage pour le compte du gouvernement</t>
        </is>
      </c>
      <c r="H3127" s="1" t="n">
        <v>41967</v>
      </c>
      <c r="I3127" s="1" t="n">
        <v>41968</v>
      </c>
      <c r="J3127" t="inlineStr">
        <is>
          <t>Ottawa, Ontario</t>
        </is>
      </c>
      <c r="K3127" t="inlineStr">
        <is>
          <t>Ottawa (Ontario)</t>
        </is>
      </c>
      <c r="P3127" t="n">
        <v>724.72</v>
      </c>
      <c r="Q3127" t="n">
        <v>60.5</v>
      </c>
      <c r="R3127" t="n">
        <v>182.73</v>
      </c>
      <c r="S3127" t="n">
        <v>167.45</v>
      </c>
      <c r="T3127" t="n">
        <v>0</v>
      </c>
      <c r="U3127" t="n">
        <v>1135.4</v>
      </c>
      <c r="X3127" t="inlineStr">
        <is>
          <t>acoa-apeca</t>
        </is>
      </c>
      <c r="Y3127" t="inlineStr">
        <is>
          <t>Atlantic Canada Opportunities Agency | Agence de promotion économique du Canada atlantique</t>
        </is>
      </c>
    </row>
    <row r="3128">
      <c r="A3128" t="inlineStr">
        <is>
          <t>T-2015-Q3-00077</t>
        </is>
      </c>
      <c r="B3128" t="inlineStr">
        <is>
          <t>SLE</t>
        </is>
      </c>
      <c r="C3128" t="inlineStr">
        <is>
          <t>President</t>
        </is>
      </c>
      <c r="D3128" t="inlineStr">
        <is>
          <t>Président</t>
        </is>
      </c>
      <c r="E3128" t="inlineStr">
        <is>
          <t>Paul J. LeBlanc</t>
        </is>
      </c>
      <c r="F3128" t="inlineStr">
        <is>
          <t>For various meetings and discussions with Agency officials and Government of Canada officials</t>
        </is>
      </c>
      <c r="G3128" t="inlineStr">
        <is>
          <t>Diverses réunions et discussions avec des fonctionnaires de l'Agence et du gouvernement du Canada</t>
        </is>
      </c>
      <c r="H3128" s="1" t="n">
        <v>41967</v>
      </c>
      <c r="I3128" s="1" t="n">
        <v>41969</v>
      </c>
      <c r="J3128" t="inlineStr">
        <is>
          <t>Ottawa, Ontario</t>
        </is>
      </c>
      <c r="K3128" t="inlineStr">
        <is>
          <t>Ottawa (Ontario)</t>
        </is>
      </c>
      <c r="P3128" t="n">
        <v>702.4400000000001</v>
      </c>
      <c r="Q3128" t="n">
        <v>0</v>
      </c>
      <c r="R3128" t="n">
        <v>370.12</v>
      </c>
      <c r="S3128" t="n">
        <v>201.1</v>
      </c>
      <c r="T3128" t="n">
        <v>41</v>
      </c>
      <c r="U3128" t="n">
        <v>1314.66</v>
      </c>
      <c r="X3128" t="inlineStr">
        <is>
          <t>acoa-apeca</t>
        </is>
      </c>
      <c r="Y3128" t="inlineStr">
        <is>
          <t>Atlantic Canada Opportunities Agency | Agence de promotion économique du Canada atlantique</t>
        </is>
      </c>
    </row>
    <row r="3129">
      <c r="A3129" t="inlineStr">
        <is>
          <t>T-2015-Q3-00074</t>
        </is>
      </c>
      <c r="B3129" t="inlineStr">
        <is>
          <t>SLE</t>
        </is>
      </c>
      <c r="C3129" t="inlineStr">
        <is>
          <t>Vice-President, Finance and Corporate Services</t>
        </is>
      </c>
      <c r="D3129" t="inlineStr">
        <is>
          <t>Vice-présidente, Finances et Services corporatifs</t>
        </is>
      </c>
      <c r="E3129" t="inlineStr">
        <is>
          <t>Denise Frenette</t>
        </is>
      </c>
      <c r="F3129" t="inlineStr">
        <is>
          <t>Meetings with Government of Canada officials</t>
        </is>
      </c>
      <c r="G3129" t="inlineStr">
        <is>
          <t>Réunions avec des fonctionnaires du gouvernement du Canada</t>
        </is>
      </c>
      <c r="H3129" s="1" t="n">
        <v>41962</v>
      </c>
      <c r="I3129" s="1" t="n">
        <v>41963</v>
      </c>
      <c r="J3129" t="inlineStr">
        <is>
          <t>Ottawa, Ontario</t>
        </is>
      </c>
      <c r="K3129" t="inlineStr">
        <is>
          <t>Ottawa (Ontario)</t>
        </is>
      </c>
      <c r="P3129" t="n">
        <v>613.95</v>
      </c>
      <c r="Q3129" t="n">
        <v>92.34999999999999</v>
      </c>
      <c r="R3129" t="n">
        <v>196.7</v>
      </c>
      <c r="S3129" t="n">
        <v>151.1</v>
      </c>
      <c r="T3129" t="n">
        <v>61.85</v>
      </c>
      <c r="U3129" t="n">
        <v>1115.95</v>
      </c>
      <c r="X3129" t="inlineStr">
        <is>
          <t>acoa-apeca</t>
        </is>
      </c>
      <c r="Y3129" t="inlineStr">
        <is>
          <t>Atlantic Canada Opportunities Agency | Agence de promotion économique du Canada atlantique</t>
        </is>
      </c>
    </row>
    <row r="3130">
      <c r="A3130" t="inlineStr">
        <is>
          <t>T-2015-Q3-00073</t>
        </is>
      </c>
      <c r="B3130" t="inlineStr">
        <is>
          <t>SLE</t>
        </is>
      </c>
      <c r="C3130" t="inlineStr">
        <is>
          <t>Vice-President, Newfoundland and Labrador</t>
        </is>
      </c>
      <c r="D3130" t="inlineStr">
        <is>
          <t>Vice-président, Terre-Neuve-et-Labrador</t>
        </is>
      </c>
      <c r="E3130" t="inlineStr">
        <is>
          <t>Paul Mills</t>
        </is>
      </c>
      <c r="F3130" t="inlineStr">
        <is>
          <t xml:space="preserve">Travel to Ottawa for meetings </t>
        </is>
      </c>
      <c r="G3130" t="inlineStr">
        <is>
          <t>Voyage à Ottawa pour des réunions</t>
        </is>
      </c>
      <c r="H3130" s="1" t="n">
        <v>41962</v>
      </c>
      <c r="I3130" s="1" t="n">
        <v>41964</v>
      </c>
      <c r="J3130" t="inlineStr">
        <is>
          <t>Ottawa, Ontario</t>
        </is>
      </c>
      <c r="K3130" t="inlineStr">
        <is>
          <t>Ottawa (Ontario)</t>
        </is>
      </c>
      <c r="P3130" t="n">
        <v>1426.06</v>
      </c>
      <c r="Q3130" t="n">
        <v>142</v>
      </c>
      <c r="R3130" t="n">
        <v>407.36</v>
      </c>
      <c r="S3130" t="n">
        <v>216.85</v>
      </c>
      <c r="T3130" t="n">
        <v>4.96</v>
      </c>
      <c r="U3130" t="n">
        <v>2197.23</v>
      </c>
      <c r="X3130" t="inlineStr">
        <is>
          <t>acoa-apeca</t>
        </is>
      </c>
      <c r="Y3130" t="inlineStr">
        <is>
          <t>Atlantic Canada Opportunities Agency | Agence de promotion économique du Canada atlantique</t>
        </is>
      </c>
    </row>
    <row r="3131">
      <c r="A3131" t="inlineStr">
        <is>
          <t>T-2015-Q3-00072</t>
        </is>
      </c>
      <c r="B3131" t="inlineStr">
        <is>
          <t>SLE</t>
        </is>
      </c>
      <c r="C3131" t="inlineStr">
        <is>
          <t>Vice-President, Policy and Programs</t>
        </is>
      </c>
      <c r="D3131" t="inlineStr">
        <is>
          <t>Vice-président, Politiques et Programmes</t>
        </is>
      </c>
      <c r="E3131" t="inlineStr">
        <is>
          <t>Daryell Nowlan</t>
        </is>
      </c>
      <c r="F3131" t="inlineStr">
        <is>
          <t>Meetings with Government of Canada officials</t>
        </is>
      </c>
      <c r="G3131" t="inlineStr">
        <is>
          <t>Réunions avec fonctionnaires du gouvernement du Canada</t>
        </is>
      </c>
      <c r="H3131" s="1" t="n">
        <v>41962</v>
      </c>
      <c r="I3131" s="1" t="n">
        <v>41969</v>
      </c>
      <c r="J3131" t="inlineStr">
        <is>
          <t>Ottawa, Ontario</t>
        </is>
      </c>
      <c r="K3131" t="inlineStr">
        <is>
          <t>Ottawa (Ontario)</t>
        </is>
      </c>
      <c r="P3131" t="n">
        <v>892.7</v>
      </c>
      <c r="Q3131" t="n">
        <v>219.91</v>
      </c>
      <c r="R3131" t="n">
        <v>590.1</v>
      </c>
      <c r="S3131" t="n">
        <v>303.75</v>
      </c>
      <c r="T3131" t="n">
        <v>0</v>
      </c>
      <c r="U3131" t="n">
        <v>2006.46</v>
      </c>
      <c r="X3131" t="inlineStr">
        <is>
          <t>acoa-apeca</t>
        </is>
      </c>
      <c r="Y3131" t="inlineStr">
        <is>
          <t>Atlantic Canada Opportunities Agency | Agence de promotion économique du Canada atlantique</t>
        </is>
      </c>
    </row>
    <row r="3132">
      <c r="A3132" t="inlineStr">
        <is>
          <t>T-2015-Q3-00071</t>
        </is>
      </c>
      <c r="B3132" t="inlineStr">
        <is>
          <t>SLE</t>
        </is>
      </c>
      <c r="C3132" t="inlineStr">
        <is>
          <t>President</t>
        </is>
      </c>
      <c r="D3132" t="inlineStr">
        <is>
          <t>Président</t>
        </is>
      </c>
      <c r="E3132" t="inlineStr">
        <is>
          <t>Paul J. LeBlanc</t>
        </is>
      </c>
      <c r="F3132" t="inlineStr">
        <is>
          <t>For various meetings and discussions with Agency officials and Government of Canada officials</t>
        </is>
      </c>
      <c r="G3132" t="inlineStr">
        <is>
          <t>Diverses réunions et discussions avec des fonctionnaires de l'Agence et du gouvernement du Canada</t>
        </is>
      </c>
      <c r="H3132" s="1" t="n">
        <v>41961</v>
      </c>
      <c r="I3132" s="1" t="n">
        <v>41962</v>
      </c>
      <c r="J3132" t="inlineStr">
        <is>
          <t>Ottawa, Ontario</t>
        </is>
      </c>
      <c r="K3132" t="inlineStr">
        <is>
          <t>Ottawa (Ontario)</t>
        </is>
      </c>
      <c r="P3132" t="n">
        <v>883.26</v>
      </c>
      <c r="Q3132" t="n">
        <v>0</v>
      </c>
      <c r="R3132" t="n">
        <v>185.06</v>
      </c>
      <c r="S3132" t="n">
        <v>125.25</v>
      </c>
      <c r="T3132" t="n">
        <v>82.5</v>
      </c>
      <c r="U3132" t="n">
        <v>1276.07</v>
      </c>
      <c r="X3132" t="inlineStr">
        <is>
          <t>acoa-apeca</t>
        </is>
      </c>
      <c r="Y3132" t="inlineStr">
        <is>
          <t>Atlantic Canada Opportunities Agency | Agence de promotion économique du Canada atlantique</t>
        </is>
      </c>
    </row>
    <row r="3133">
      <c r="A3133" t="inlineStr">
        <is>
          <t>T-2015-Q3-00070</t>
        </is>
      </c>
      <c r="B3133" t="inlineStr">
        <is>
          <t>SLE</t>
        </is>
      </c>
      <c r="C3133" t="inlineStr">
        <is>
          <t>Vice President, Nova Scotia</t>
        </is>
      </c>
      <c r="D3133" t="inlineStr">
        <is>
          <t>Vice-président, Nouvelle-Écosse</t>
        </is>
      </c>
      <c r="E3133" t="inlineStr">
        <is>
          <t>Peter Hogan</t>
        </is>
      </c>
      <c r="F3133" t="inlineStr">
        <is>
          <t>Various Client and site visits</t>
        </is>
      </c>
      <c r="G3133" t="inlineStr">
        <is>
          <t>Diverses visites de clients et d’emplacements</t>
        </is>
      </c>
      <c r="H3133" s="1" t="n">
        <v>41957</v>
      </c>
      <c r="I3133" s="1" t="n">
        <v>41957</v>
      </c>
      <c r="J3133" t="inlineStr">
        <is>
          <t>Wolfville</t>
        </is>
      </c>
      <c r="P3133" t="n">
        <v>0</v>
      </c>
      <c r="Q3133" t="n">
        <v>103.52</v>
      </c>
      <c r="R3133" t="n">
        <v>0</v>
      </c>
      <c r="S3133" t="n">
        <v>0</v>
      </c>
      <c r="T3133" t="n">
        <v>0</v>
      </c>
      <c r="U3133" t="n">
        <v>103.52</v>
      </c>
      <c r="X3133" t="inlineStr">
        <is>
          <t>acoa-apeca</t>
        </is>
      </c>
      <c r="Y3133" t="inlineStr">
        <is>
          <t>Atlantic Canada Opportunities Agency | Agence de promotion économique du Canada atlantique</t>
        </is>
      </c>
    </row>
    <row r="3134">
      <c r="A3134" t="inlineStr">
        <is>
          <t>T-2015-Q3-00069</t>
        </is>
      </c>
      <c r="B3134" t="inlineStr">
        <is>
          <t>MPSES</t>
        </is>
      </c>
      <c r="C3134" t="inlineStr">
        <is>
          <t>Regional Affairs Director - New Brunswick</t>
        </is>
      </c>
      <c r="D3134" t="inlineStr">
        <is>
          <t>Directeur des affaires régionales - Nouveau-Brunswick</t>
        </is>
      </c>
      <c r="E3134" t="inlineStr">
        <is>
          <t>Douglas MacDonald</t>
        </is>
      </c>
      <c r="F3134" t="inlineStr">
        <is>
          <t>Travel on government business</t>
        </is>
      </c>
      <c r="G3134" t="inlineStr">
        <is>
          <t>Voyage en service commandé</t>
        </is>
      </c>
      <c r="H3134" s="1" t="n">
        <v>41956</v>
      </c>
      <c r="I3134" s="1" t="n">
        <v>41956</v>
      </c>
      <c r="J3134" t="inlineStr">
        <is>
          <t>Fredericton, New Brunswick</t>
        </is>
      </c>
      <c r="K3134" t="inlineStr">
        <is>
          <t>Fredericton (Nouveau-Brunswick)</t>
        </is>
      </c>
      <c r="P3134" t="n">
        <v>0</v>
      </c>
      <c r="Q3134" t="n">
        <v>33.66</v>
      </c>
      <c r="R3134" t="n">
        <v>0</v>
      </c>
      <c r="S3134" t="n">
        <v>0</v>
      </c>
      <c r="T3134" t="n">
        <v>0</v>
      </c>
      <c r="U3134" t="n">
        <v>33.66</v>
      </c>
      <c r="X3134" t="inlineStr">
        <is>
          <t>acoa-apeca</t>
        </is>
      </c>
      <c r="Y3134" t="inlineStr">
        <is>
          <t>Atlantic Canada Opportunities Agency | Agence de promotion économique du Canada atlantique</t>
        </is>
      </c>
    </row>
    <row r="3135">
      <c r="A3135" t="inlineStr">
        <is>
          <t>T-2015-Q3-00067</t>
        </is>
      </c>
      <c r="B3135" t="inlineStr">
        <is>
          <t>SLE</t>
        </is>
      </c>
      <c r="C3135" t="inlineStr">
        <is>
          <t>Vice-President, Policy and Programs</t>
        </is>
      </c>
      <c r="D3135" t="inlineStr">
        <is>
          <t>Vice-président, Politiques et Programmes</t>
        </is>
      </c>
      <c r="E3135" t="inlineStr">
        <is>
          <t>Daryell Nowlan</t>
        </is>
      </c>
      <c r="F3135" t="inlineStr">
        <is>
          <t>Meetings with Government of Canada officials</t>
        </is>
      </c>
      <c r="G3135" t="inlineStr">
        <is>
          <t>Réunions avec des fonctionnaires du gouvernement du Canada</t>
        </is>
      </c>
      <c r="H3135" s="1" t="n">
        <v>41954</v>
      </c>
      <c r="I3135" s="1" t="n">
        <v>41956</v>
      </c>
      <c r="J3135" t="inlineStr">
        <is>
          <t>Fredericton, New Brunswick</t>
        </is>
      </c>
      <c r="K3135" t="inlineStr">
        <is>
          <t>Fredericton (Nouveau-Brunswick)</t>
        </is>
      </c>
      <c r="P3135" t="n">
        <v>0</v>
      </c>
      <c r="Q3135" t="n">
        <v>185.69</v>
      </c>
      <c r="R3135" t="n">
        <v>305.1</v>
      </c>
      <c r="S3135" t="n">
        <v>169</v>
      </c>
      <c r="T3135" t="n">
        <v>0</v>
      </c>
      <c r="U3135" t="n">
        <v>659.79</v>
      </c>
      <c r="X3135" t="inlineStr">
        <is>
          <t>acoa-apeca</t>
        </is>
      </c>
      <c r="Y3135" t="inlineStr">
        <is>
          <t>Atlantic Canada Opportunities Agency | Agence de promotion économique du Canada atlantique</t>
        </is>
      </c>
    </row>
    <row r="3136">
      <c r="A3136" t="inlineStr">
        <is>
          <t>T-2015-Q3-00066</t>
        </is>
      </c>
      <c r="B3136" t="inlineStr">
        <is>
          <t>SLE</t>
        </is>
      </c>
      <c r="C3136" t="inlineStr">
        <is>
          <t>President</t>
        </is>
      </c>
      <c r="D3136" t="inlineStr">
        <is>
          <t>Président</t>
        </is>
      </c>
      <c r="E3136" t="inlineStr">
        <is>
          <t>Paul J. LeBlanc</t>
        </is>
      </c>
      <c r="F3136" t="inlineStr">
        <is>
          <t>Meal during a meeting with Government of Canada officials</t>
        </is>
      </c>
      <c r="G3136" t="inlineStr">
        <is>
          <t>Repas durant une réunion avec des fonctionnaires du gouvernement du Canada</t>
        </is>
      </c>
      <c r="H3136" s="1" t="n">
        <v>41950</v>
      </c>
      <c r="I3136" s="1" t="n">
        <v>41956</v>
      </c>
      <c r="P3136" t="n">
        <v>0</v>
      </c>
      <c r="Q3136" t="n">
        <v>0</v>
      </c>
      <c r="R3136" t="n">
        <v>0</v>
      </c>
      <c r="S3136" t="n">
        <v>5.55</v>
      </c>
      <c r="T3136" t="n">
        <v>0</v>
      </c>
      <c r="U3136" t="n">
        <v>5.55</v>
      </c>
      <c r="X3136" t="inlineStr">
        <is>
          <t>acoa-apeca</t>
        </is>
      </c>
      <c r="Y3136" t="inlineStr">
        <is>
          <t>Atlantic Canada Opportunities Agency | Agence de promotion économique du Canada atlantique</t>
        </is>
      </c>
    </row>
    <row r="3137">
      <c r="A3137" t="inlineStr">
        <is>
          <t>T-2015-Q3-00065</t>
        </is>
      </c>
      <c r="B3137" t="inlineStr">
        <is>
          <t>SLE</t>
        </is>
      </c>
      <c r="C3137" t="inlineStr">
        <is>
          <t>Vice-President, Finance and Corporate Services</t>
        </is>
      </c>
      <c r="D3137" t="inlineStr">
        <is>
          <t>Vice-présidente, Finances et Services corporatifs</t>
        </is>
      </c>
      <c r="E3137" t="inlineStr">
        <is>
          <t>Denise Frenette</t>
        </is>
      </c>
      <c r="F3137" t="inlineStr">
        <is>
          <t>Meetings with Government of Canada officials</t>
        </is>
      </c>
      <c r="G3137" t="inlineStr">
        <is>
          <t>Réunions avec des fonctionnaires du gouvernement du Canada</t>
        </is>
      </c>
      <c r="H3137" s="1" t="n">
        <v>41948</v>
      </c>
      <c r="I3137" s="1" t="n">
        <v>41948</v>
      </c>
      <c r="J3137" t="inlineStr">
        <is>
          <t>Charlottetown, Prince Edward Island</t>
        </is>
      </c>
      <c r="K3137" t="inlineStr">
        <is>
          <t>Charlottetown (Île-du-Prince-Édouard)</t>
        </is>
      </c>
      <c r="P3137" t="n">
        <v>0</v>
      </c>
      <c r="Q3137" t="n">
        <v>0</v>
      </c>
      <c r="R3137" t="n">
        <v>0</v>
      </c>
      <c r="S3137" t="n">
        <v>16.35</v>
      </c>
      <c r="T3137" t="n">
        <v>4.33</v>
      </c>
      <c r="U3137" t="n">
        <v>20.68</v>
      </c>
      <c r="X3137" t="inlineStr">
        <is>
          <t>acoa-apeca</t>
        </is>
      </c>
      <c r="Y3137" t="inlineStr">
        <is>
          <t>Atlantic Canada Opportunities Agency | Agence de promotion économique du Canada atlantique</t>
        </is>
      </c>
    </row>
    <row r="3138">
      <c r="A3138" t="inlineStr">
        <is>
          <t>T-2015-Q3-00064</t>
        </is>
      </c>
      <c r="B3138" t="inlineStr">
        <is>
          <t>SLE</t>
        </is>
      </c>
      <c r="C3138" t="inlineStr">
        <is>
          <t>Vice-President, Policy and Programs</t>
        </is>
      </c>
      <c r="D3138" t="inlineStr">
        <is>
          <t>Vice-président, Politiques et Programmes</t>
        </is>
      </c>
      <c r="E3138" t="inlineStr">
        <is>
          <t>Daryell Nowlan</t>
        </is>
      </c>
      <c r="F3138" t="inlineStr">
        <is>
          <t>To attend a conference</t>
        </is>
      </c>
      <c r="G3138" t="inlineStr">
        <is>
          <t>Assister à une conférence</t>
        </is>
      </c>
      <c r="H3138" s="1" t="n">
        <v>41948</v>
      </c>
      <c r="I3138" s="1" t="n">
        <v>41949</v>
      </c>
      <c r="J3138" t="inlineStr">
        <is>
          <t>Saint John, New Brunswick</t>
        </is>
      </c>
      <c r="K3138" t="inlineStr">
        <is>
          <t>Saint John (Nouveau-Brunswick)</t>
        </is>
      </c>
      <c r="P3138" t="n">
        <v>0</v>
      </c>
      <c r="Q3138" t="n">
        <v>110.24</v>
      </c>
      <c r="R3138" t="n">
        <v>122.21</v>
      </c>
      <c r="S3138" t="n">
        <v>93.15000000000001</v>
      </c>
      <c r="T3138" t="n">
        <v>0</v>
      </c>
      <c r="U3138" t="n">
        <v>325.6</v>
      </c>
      <c r="X3138" t="inlineStr">
        <is>
          <t>acoa-apeca</t>
        </is>
      </c>
      <c r="Y3138" t="inlineStr">
        <is>
          <t>Atlantic Canada Opportunities Agency | Agence de promotion économique du Canada atlantique</t>
        </is>
      </c>
    </row>
    <row r="3139">
      <c r="A3139" t="inlineStr">
        <is>
          <t>T-2015-Q3-00063</t>
        </is>
      </c>
      <c r="B3139" t="inlineStr">
        <is>
          <t>MPSES</t>
        </is>
      </c>
      <c r="C3139" t="inlineStr">
        <is>
          <t>Minister of State</t>
        </is>
      </c>
      <c r="D3139" t="inlineStr">
        <is>
          <t>Ministre d'État</t>
        </is>
      </c>
      <c r="E3139" t="inlineStr">
        <is>
          <t>Rob Moore</t>
        </is>
      </c>
      <c r="F3139" t="inlineStr">
        <is>
          <t>Speaking engagement at the International Conference on Ocean Energy</t>
        </is>
      </c>
      <c r="G3139" t="inlineStr">
        <is>
          <t>Allocution à la Conférence internationale sur l'énergie marine</t>
        </is>
      </c>
      <c r="H3139" s="1" t="n">
        <v>41947</v>
      </c>
      <c r="I3139" s="1" t="n">
        <v>41947</v>
      </c>
      <c r="J3139" t="inlineStr">
        <is>
          <t>Halifax, Nova Scotia</t>
        </is>
      </c>
      <c r="K3139" t="inlineStr">
        <is>
          <t>Halifax (Nouvelle-Écosse)</t>
        </is>
      </c>
      <c r="P3139" t="n">
        <v>722.89</v>
      </c>
      <c r="Q3139" t="n">
        <v>10.71</v>
      </c>
      <c r="R3139" t="n">
        <v>0</v>
      </c>
      <c r="S3139" t="n">
        <v>15.75</v>
      </c>
      <c r="T3139" t="n">
        <v>0</v>
      </c>
      <c r="U3139" t="n">
        <v>749.35</v>
      </c>
      <c r="X3139" t="inlineStr">
        <is>
          <t>acoa-apeca</t>
        </is>
      </c>
      <c r="Y3139" t="inlineStr">
        <is>
          <t>Atlantic Canada Opportunities Agency | Agence de promotion économique du Canada atlantique</t>
        </is>
      </c>
    </row>
    <row r="3140">
      <c r="A3140" t="inlineStr">
        <is>
          <t>T-2015-Q3-00062</t>
        </is>
      </c>
      <c r="B3140" t="inlineStr">
        <is>
          <t>SLE</t>
        </is>
      </c>
      <c r="C3140" t="inlineStr">
        <is>
          <t>President</t>
        </is>
      </c>
      <c r="D3140" t="inlineStr">
        <is>
          <t>Président</t>
        </is>
      </c>
      <c r="E3140" t="inlineStr">
        <is>
          <t>Paul J. LeBlanc</t>
        </is>
      </c>
      <c r="F3140" t="inlineStr">
        <is>
          <t>For various meetings and discussions with: Agency officials; with Government of Canada officials</t>
        </is>
      </c>
      <c r="G3140" t="inlineStr">
        <is>
          <t>Diverses réunions et discussions avec des fonctionnaires de l'Agence et du gouvernement du canada</t>
        </is>
      </c>
      <c r="H3140" s="1" t="n">
        <v>41947</v>
      </c>
      <c r="I3140" s="1" t="n">
        <v>41948</v>
      </c>
      <c r="J3140" t="inlineStr">
        <is>
          <t>Ottawa, Ontario</t>
        </is>
      </c>
      <c r="K3140" t="inlineStr">
        <is>
          <t>Ottawa (Ontario)</t>
        </is>
      </c>
      <c r="P3140" t="n">
        <v>817.3200000000001</v>
      </c>
      <c r="Q3140" t="n">
        <v>0</v>
      </c>
      <c r="R3140" t="n">
        <v>185.06</v>
      </c>
      <c r="S3140" t="n">
        <v>167.45</v>
      </c>
      <c r="T3140" t="n">
        <v>32</v>
      </c>
      <c r="U3140" t="n">
        <v>1201.83</v>
      </c>
      <c r="X3140" t="inlineStr">
        <is>
          <t>acoa-apeca</t>
        </is>
      </c>
      <c r="Y3140" t="inlineStr">
        <is>
          <t>Atlantic Canada Opportunities Agency | Agence de promotion économique du Canada atlantique</t>
        </is>
      </c>
    </row>
    <row r="3141">
      <c r="A3141" t="inlineStr">
        <is>
          <t>T-2015-Q3-00060</t>
        </is>
      </c>
      <c r="B3141" t="inlineStr">
        <is>
          <t>SLE</t>
        </is>
      </c>
      <c r="C3141" t="inlineStr">
        <is>
          <t>Vice-President, New Brunswick</t>
        </is>
      </c>
      <c r="D3141" t="inlineStr">
        <is>
          <t>Vice-président, Nouveau-Brunswick</t>
        </is>
      </c>
      <c r="E3141" t="inlineStr">
        <is>
          <t>Kent Estabrooks</t>
        </is>
      </c>
      <c r="F3141" t="inlineStr">
        <is>
          <t>Meetings with federal officials and Agency officials</t>
        </is>
      </c>
      <c r="G3141" t="inlineStr">
        <is>
          <t>Réunions avec des fonctionnaires fédéraux et des fonctionnaires de l'Agence</t>
        </is>
      </c>
      <c r="H3141" s="1" t="n">
        <v>41946</v>
      </c>
      <c r="I3141" s="1" t="n">
        <v>41947</v>
      </c>
      <c r="J3141" t="inlineStr">
        <is>
          <t>Ottawa, Ontario</t>
        </is>
      </c>
      <c r="K3141" t="inlineStr">
        <is>
          <t>Ottawa (Ontario)</t>
        </is>
      </c>
      <c r="P3141" t="n">
        <v>892.7</v>
      </c>
      <c r="Q3141" t="n">
        <v>143.92</v>
      </c>
      <c r="R3141" t="n">
        <v>393.4</v>
      </c>
      <c r="S3141" t="n">
        <v>169</v>
      </c>
      <c r="T3141" t="n">
        <v>0</v>
      </c>
      <c r="U3141" t="n">
        <v>1599.02</v>
      </c>
      <c r="X3141" t="inlineStr">
        <is>
          <t>acoa-apeca</t>
        </is>
      </c>
      <c r="Y3141" t="inlineStr">
        <is>
          <t>Atlantic Canada Opportunities Agency | Agence de promotion économique du Canada atlantique</t>
        </is>
      </c>
    </row>
    <row r="3142">
      <c r="A3142" t="inlineStr">
        <is>
          <t>T-2015-Q3-00058</t>
        </is>
      </c>
      <c r="B3142" t="inlineStr">
        <is>
          <t>SLE</t>
        </is>
      </c>
      <c r="C3142" t="inlineStr">
        <is>
          <t>Vice-President, Prince Edward Island</t>
        </is>
      </c>
      <c r="D3142" t="inlineStr">
        <is>
          <t>Vice-président, Île-du-Prince-Édouard</t>
        </is>
      </c>
      <c r="E3142" t="inlineStr">
        <is>
          <t>Patrick Dorsey</t>
        </is>
      </c>
      <c r="F3142" t="inlineStr">
        <is>
          <t>Meeting with Government of Canada officials</t>
        </is>
      </c>
      <c r="G3142" t="inlineStr">
        <is>
          <t>Réunion avec des fonctionnaires du gouvernement du Canada</t>
        </is>
      </c>
      <c r="H3142" s="1" t="n">
        <v>41945</v>
      </c>
      <c r="I3142" s="1" t="n">
        <v>41947</v>
      </c>
      <c r="J3142" t="inlineStr">
        <is>
          <t>Ottawa, Ontario</t>
        </is>
      </c>
      <c r="K3142" t="inlineStr">
        <is>
          <t>Ottawa (Ontario)</t>
        </is>
      </c>
      <c r="P3142" t="n">
        <v>742.16</v>
      </c>
      <c r="Q3142" t="n">
        <v>93</v>
      </c>
      <c r="R3142" t="n">
        <v>365.46</v>
      </c>
      <c r="S3142" t="n">
        <v>201.1</v>
      </c>
      <c r="T3142" t="n">
        <v>0</v>
      </c>
      <c r="U3142" t="n">
        <v>1401.72</v>
      </c>
      <c r="X3142" t="inlineStr">
        <is>
          <t>acoa-apeca</t>
        </is>
      </c>
      <c r="Y3142" t="inlineStr">
        <is>
          <t>Atlantic Canada Opportunities Agency | Agence de promotion économique du Canada atlantique</t>
        </is>
      </c>
    </row>
    <row r="3143">
      <c r="A3143" t="inlineStr">
        <is>
          <t>T-2015-Q3-00056</t>
        </is>
      </c>
      <c r="B3143" t="inlineStr">
        <is>
          <t>SLE</t>
        </is>
      </c>
      <c r="C3143" t="inlineStr">
        <is>
          <t>Vice-President, Newfoundland and Labrador</t>
        </is>
      </c>
      <c r="D3143" t="inlineStr">
        <is>
          <t>Vice-président, Terre-Neuve-et-Labrador</t>
        </is>
      </c>
      <c r="E3143" t="inlineStr">
        <is>
          <t>Paul Mills</t>
        </is>
      </c>
      <c r="F3143" t="inlineStr">
        <is>
          <t>Meetings with senior government officials</t>
        </is>
      </c>
      <c r="G3143" t="inlineStr">
        <is>
          <t>Réunions avec des hauts fonctionnaires</t>
        </is>
      </c>
      <c r="H3143" s="1" t="n">
        <v>41944</v>
      </c>
      <c r="I3143" s="1" t="n">
        <v>41976</v>
      </c>
      <c r="J3143" t="inlineStr">
        <is>
          <t>Ottawa, Ontario</t>
        </is>
      </c>
      <c r="K3143" t="inlineStr">
        <is>
          <t>Ottawa (Ontario)</t>
        </is>
      </c>
      <c r="P3143" t="n">
        <v>1426.06</v>
      </c>
      <c r="Q3143" t="n">
        <v>76.95999999999999</v>
      </c>
      <c r="R3143" t="n">
        <v>365.46</v>
      </c>
      <c r="S3143" t="n">
        <v>216.85</v>
      </c>
      <c r="T3143" t="n">
        <v>5.36</v>
      </c>
      <c r="U3143" t="n">
        <v>2090.69</v>
      </c>
      <c r="X3143" t="inlineStr">
        <is>
          <t>acoa-apeca</t>
        </is>
      </c>
      <c r="Y3143" t="inlineStr">
        <is>
          <t>Atlantic Canada Opportunities Agency | Agence de promotion économique du Canada atlantique</t>
        </is>
      </c>
    </row>
    <row r="3144">
      <c r="A3144" t="inlineStr">
        <is>
          <t>T-2015-Q3-00055</t>
        </is>
      </c>
      <c r="B3144" t="inlineStr">
        <is>
          <t>MPSES</t>
        </is>
      </c>
      <c r="C3144" t="inlineStr">
        <is>
          <t>Minister of State</t>
        </is>
      </c>
      <c r="D3144" t="inlineStr">
        <is>
          <t>Ministre d'État</t>
        </is>
      </c>
      <c r="E3144" t="inlineStr">
        <is>
          <t>Rob Moore</t>
        </is>
      </c>
      <c r="F3144" t="inlineStr">
        <is>
          <t>To attend a Government of Canada announcement</t>
        </is>
      </c>
      <c r="G3144" t="inlineStr">
        <is>
          <t>Assister à une annonce du gouvernement du Canada</t>
        </is>
      </c>
      <c r="H3144" s="1" t="n">
        <v>41943</v>
      </c>
      <c r="I3144" s="1" t="n">
        <v>41943</v>
      </c>
      <c r="J3144" t="inlineStr">
        <is>
          <t>Saint John, New Brunswick</t>
        </is>
      </c>
      <c r="K3144" t="inlineStr">
        <is>
          <t>Saint John (Nouveau-Brunswick)</t>
        </is>
      </c>
      <c r="P3144" t="n">
        <v>0</v>
      </c>
      <c r="Q3144" t="n">
        <v>26.52</v>
      </c>
      <c r="R3144" t="n">
        <v>0</v>
      </c>
      <c r="S3144" t="n">
        <v>0</v>
      </c>
      <c r="T3144" t="n">
        <v>0</v>
      </c>
      <c r="U3144" t="n">
        <v>26.52</v>
      </c>
      <c r="X3144" t="inlineStr">
        <is>
          <t>acoa-apeca</t>
        </is>
      </c>
      <c r="Y3144" t="inlineStr">
        <is>
          <t>Atlantic Canada Opportunities Agency | Agence de promotion économique du Canada atlantique</t>
        </is>
      </c>
    </row>
    <row r="3145">
      <c r="A3145" t="inlineStr">
        <is>
          <t>T-2015-Q3-00054</t>
        </is>
      </c>
      <c r="B3145" t="inlineStr">
        <is>
          <t>MPSES</t>
        </is>
      </c>
      <c r="C3145" t="inlineStr">
        <is>
          <t>Executive Assistant</t>
        </is>
      </c>
      <c r="D3145" t="inlineStr">
        <is>
          <t>Adjoint exécutif</t>
        </is>
      </c>
      <c r="E3145" t="inlineStr">
        <is>
          <t>Josh Hardy</t>
        </is>
      </c>
      <c r="F3145" t="inlineStr">
        <is>
          <t>Travel on government business</t>
        </is>
      </c>
      <c r="G3145" t="inlineStr">
        <is>
          <t>Voyage en service commandé</t>
        </is>
      </c>
      <c r="H3145" s="1" t="n">
        <v>41942</v>
      </c>
      <c r="I3145" s="1" t="n">
        <v>41947</v>
      </c>
      <c r="J3145" t="inlineStr">
        <is>
          <t>Moncton, New Brunswick and Halifax, Nova Scotia</t>
        </is>
      </c>
      <c r="K3145" t="inlineStr">
        <is>
          <t>Moncton (Nouveau-Brunswick) et Halifax (Nouvelle-Écosse)</t>
        </is>
      </c>
      <c r="P3145" t="n">
        <v>1593.5</v>
      </c>
      <c r="Q3145" t="n">
        <v>0</v>
      </c>
      <c r="R3145" t="n">
        <v>0</v>
      </c>
      <c r="S3145" t="n">
        <v>0</v>
      </c>
      <c r="T3145" t="n">
        <v>0</v>
      </c>
      <c r="U3145" t="n">
        <v>1593.5</v>
      </c>
      <c r="X3145" t="inlineStr">
        <is>
          <t>acoa-apeca</t>
        </is>
      </c>
      <c r="Y3145" t="inlineStr">
        <is>
          <t>Atlantic Canada Opportunities Agency | Agence de promotion économique du Canada atlantique</t>
        </is>
      </c>
    </row>
    <row r="3146">
      <c r="A3146" t="inlineStr">
        <is>
          <t>T-2015-Q3-00053</t>
        </is>
      </c>
      <c r="B3146" t="inlineStr">
        <is>
          <t>SLE</t>
        </is>
      </c>
      <c r="C3146" t="inlineStr">
        <is>
          <t>Vice-President, Prince Edward Island</t>
        </is>
      </c>
      <c r="D3146" t="inlineStr">
        <is>
          <t>Vice-président, Île-du-Prince-Édouard</t>
        </is>
      </c>
      <c r="E3146" t="inlineStr">
        <is>
          <t>Patrick Dorsey</t>
        </is>
      </c>
      <c r="F3146" t="inlineStr">
        <is>
          <t>Meeting with Government of Canada officials</t>
        </is>
      </c>
      <c r="G3146" t="inlineStr">
        <is>
          <t>Réunion avec des fonctionnaires du gouvernement du Canada</t>
        </is>
      </c>
      <c r="H3146" s="1" t="n">
        <v>41941</v>
      </c>
      <c r="I3146" s="1" t="n">
        <v>41943</v>
      </c>
      <c r="J3146" t="inlineStr">
        <is>
          <t>Halifax, Nova Scotia</t>
        </is>
      </c>
      <c r="K3146" t="inlineStr">
        <is>
          <t>Halifax (Nouvelle-Écosse)</t>
        </is>
      </c>
      <c r="P3146" t="n">
        <v>0</v>
      </c>
      <c r="Q3146" t="n">
        <v>45</v>
      </c>
      <c r="R3146" t="n">
        <v>349.56</v>
      </c>
      <c r="S3146" t="n">
        <v>216.85</v>
      </c>
      <c r="T3146" t="n">
        <v>0</v>
      </c>
      <c r="U3146" t="n">
        <v>611.41</v>
      </c>
      <c r="X3146" t="inlineStr">
        <is>
          <t>acoa-apeca</t>
        </is>
      </c>
      <c r="Y3146" t="inlineStr">
        <is>
          <t>Atlantic Canada Opportunities Agency | Agence de promotion économique du Canada atlantique</t>
        </is>
      </c>
    </row>
    <row r="3147">
      <c r="A3147" t="inlineStr">
        <is>
          <t>T-2015-Q3-00052</t>
        </is>
      </c>
      <c r="B3147" t="inlineStr">
        <is>
          <t>SLE</t>
        </is>
      </c>
      <c r="C3147" t="inlineStr">
        <is>
          <t>President</t>
        </is>
      </c>
      <c r="D3147" t="inlineStr">
        <is>
          <t>Président</t>
        </is>
      </c>
      <c r="E3147" t="inlineStr">
        <is>
          <t>Paul J. LeBlanc</t>
        </is>
      </c>
      <c r="F3147" t="inlineStr">
        <is>
          <t>For various meetings and discussions with Agency officials; with Government of Canada officials</t>
        </is>
      </c>
      <c r="G3147" t="inlineStr">
        <is>
          <t>Diverses réunions et discussions avec des fonctionnaires de l'Agence et du gouvernement du Canada</t>
        </is>
      </c>
      <c r="H3147" s="1" t="n">
        <v>41940</v>
      </c>
      <c r="I3147" s="1" t="n">
        <v>41941</v>
      </c>
      <c r="J3147" t="inlineStr">
        <is>
          <t>Ottawa, Ontario</t>
        </is>
      </c>
      <c r="K3147" t="inlineStr">
        <is>
          <t>Ottawa (Ontario)</t>
        </is>
      </c>
      <c r="P3147" t="n">
        <v>906.75</v>
      </c>
      <c r="Q3147" t="n">
        <v>0</v>
      </c>
      <c r="R3147" t="n">
        <v>185.06</v>
      </c>
      <c r="S3147" t="n">
        <v>109.5</v>
      </c>
      <c r="T3147" t="n">
        <v>32</v>
      </c>
      <c r="U3147" t="n">
        <v>1233.31</v>
      </c>
      <c r="X3147" t="inlineStr">
        <is>
          <t>acoa-apeca</t>
        </is>
      </c>
      <c r="Y3147" t="inlineStr">
        <is>
          <t>Atlantic Canada Opportunities Agency | Agence de promotion économique du Canada atlantique</t>
        </is>
      </c>
    </row>
    <row r="3148">
      <c r="A3148" t="inlineStr">
        <is>
          <t>T-2015-Q3-00051</t>
        </is>
      </c>
      <c r="B3148" t="inlineStr">
        <is>
          <t>SLE</t>
        </is>
      </c>
      <c r="C3148" t="inlineStr">
        <is>
          <t>Vice-President, Finance and Corporate Services</t>
        </is>
      </c>
      <c r="D3148" t="inlineStr">
        <is>
          <t>Vice-présidente, Finances et Services corporatifs</t>
        </is>
      </c>
      <c r="E3148" t="inlineStr">
        <is>
          <t>Denise Frenette</t>
        </is>
      </c>
      <c r="F3148" t="inlineStr">
        <is>
          <t>Meetings with Government of Canada officials</t>
        </is>
      </c>
      <c r="G3148" t="inlineStr">
        <is>
          <t>Réunions avec des fonctionnaires du gouvernement du Canada</t>
        </is>
      </c>
      <c r="H3148" s="1" t="n">
        <v>41939</v>
      </c>
      <c r="I3148" s="1" t="n">
        <v>41939</v>
      </c>
      <c r="J3148" t="inlineStr">
        <is>
          <t>Halifax, Nova Scotia</t>
        </is>
      </c>
      <c r="K3148" t="inlineStr">
        <is>
          <t>Halifax (Nouvelle-Écosse)</t>
        </is>
      </c>
      <c r="P3148" t="n">
        <v>0</v>
      </c>
      <c r="Q3148" t="n">
        <v>0</v>
      </c>
      <c r="R3148" t="n">
        <v>0</v>
      </c>
      <c r="S3148" t="n">
        <v>16.35</v>
      </c>
      <c r="T3148" t="n">
        <v>0</v>
      </c>
      <c r="U3148" t="n">
        <v>16.35</v>
      </c>
      <c r="X3148" t="inlineStr">
        <is>
          <t>acoa-apeca</t>
        </is>
      </c>
      <c r="Y3148" t="inlineStr">
        <is>
          <t>Atlantic Canada Opportunities Agency | Agence de promotion économique du Canada atlantique</t>
        </is>
      </c>
    </row>
    <row r="3149">
      <c r="A3149" t="inlineStr">
        <is>
          <t>T-2015-Q3-00050</t>
        </is>
      </c>
      <c r="B3149" t="inlineStr">
        <is>
          <t>MPSES</t>
        </is>
      </c>
      <c r="C3149" t="inlineStr">
        <is>
          <t>Regional Affairs Director - New Brunswick</t>
        </is>
      </c>
      <c r="D3149" t="inlineStr">
        <is>
          <t>Directeur des affaires régionales - Nouveau-Brunswick</t>
        </is>
      </c>
      <c r="E3149" t="inlineStr">
        <is>
          <t>Douglas MacDonald</t>
        </is>
      </c>
      <c r="F3149" t="inlineStr">
        <is>
          <t>Travel on government business</t>
        </is>
      </c>
      <c r="G3149" t="inlineStr">
        <is>
          <t>Voyage en service commandé</t>
        </is>
      </c>
      <c r="H3149" s="1" t="n">
        <v>41938</v>
      </c>
      <c r="I3149" s="1" t="n">
        <v>41940</v>
      </c>
      <c r="J3149" t="inlineStr">
        <is>
          <t>Ottawa, Ontario</t>
        </is>
      </c>
      <c r="K3149" t="inlineStr">
        <is>
          <t>Ottawa (Ontario)</t>
        </is>
      </c>
      <c r="P3149" t="n">
        <v>740.39</v>
      </c>
      <c r="Q3149" t="n">
        <v>112.75</v>
      </c>
      <c r="R3149" t="n">
        <v>365.46</v>
      </c>
      <c r="S3149" t="n">
        <v>183.2</v>
      </c>
      <c r="T3149" t="n">
        <v>0</v>
      </c>
      <c r="U3149" t="n">
        <v>1401.8</v>
      </c>
      <c r="X3149" t="inlineStr">
        <is>
          <t>acoa-apeca</t>
        </is>
      </c>
      <c r="Y3149" t="inlineStr">
        <is>
          <t>Atlantic Canada Opportunities Agency | Agence de promotion économique du Canada atlantique</t>
        </is>
      </c>
    </row>
    <row r="3150">
      <c r="A3150" t="inlineStr">
        <is>
          <t>T-2015-Q3-00049</t>
        </is>
      </c>
      <c r="B3150" t="inlineStr">
        <is>
          <t>SLE</t>
        </is>
      </c>
      <c r="C3150" t="inlineStr">
        <is>
          <t>Vice-President, Policy and Programs</t>
        </is>
      </c>
      <c r="D3150" t="inlineStr">
        <is>
          <t>Vice-président, Politiques et Programmes</t>
        </is>
      </c>
      <c r="E3150" t="inlineStr">
        <is>
          <t>Daryell Nowlan</t>
        </is>
      </c>
      <c r="F3150" t="inlineStr">
        <is>
          <t>To take part in the 2014 EuroNaval in LeBourget, Paris, France in support of the Atlantic Shipbuilding Action Plan</t>
        </is>
      </c>
      <c r="G3150" t="inlineStr">
        <is>
          <t>Participer à l'EuroNaval 2014 au Bourget à Paris (France) en appui au Plan d'action pour la construction navale en Atlantique</t>
        </is>
      </c>
      <c r="H3150" s="1" t="n">
        <v>41937</v>
      </c>
      <c r="I3150" s="1" t="n">
        <v>41945</v>
      </c>
      <c r="J3150" t="inlineStr">
        <is>
          <t>Paris, France</t>
        </is>
      </c>
      <c r="K3150" t="inlineStr">
        <is>
          <t>Paris (France)</t>
        </is>
      </c>
      <c r="P3150" t="n">
        <v>980.21</v>
      </c>
      <c r="Q3150" t="n">
        <v>135.96</v>
      </c>
      <c r="R3150" t="n">
        <v>1512.51</v>
      </c>
      <c r="S3150" t="n">
        <v>807.85</v>
      </c>
      <c r="T3150" t="n">
        <v>0</v>
      </c>
      <c r="U3150" t="n">
        <v>3436.53</v>
      </c>
      <c r="X3150" t="inlineStr">
        <is>
          <t>acoa-apeca</t>
        </is>
      </c>
      <c r="Y3150" t="inlineStr">
        <is>
          <t>Atlantic Canada Opportunities Agency | Agence de promotion économique du Canada atlantique</t>
        </is>
      </c>
    </row>
    <row r="3151">
      <c r="A3151" t="inlineStr">
        <is>
          <t>T-2015-Q3-00048</t>
        </is>
      </c>
      <c r="B3151" t="inlineStr">
        <is>
          <t>SLE</t>
        </is>
      </c>
      <c r="C3151" t="inlineStr">
        <is>
          <t>Vice President, Nova Scotia</t>
        </is>
      </c>
      <c r="D3151" t="inlineStr">
        <is>
          <t>Vice-président, Nouvelle-Écosse</t>
        </is>
      </c>
      <c r="E3151" t="inlineStr">
        <is>
          <t>Peter Hogan</t>
        </is>
      </c>
      <c r="F3151" t="inlineStr">
        <is>
          <t>Meeting with Government officials</t>
        </is>
      </c>
      <c r="G3151" t="inlineStr">
        <is>
          <t>Réunion avec des fonctionnaires du gouvernement</t>
        </is>
      </c>
      <c r="H3151" s="1" t="n">
        <v>41934</v>
      </c>
      <c r="I3151" s="1" t="n">
        <v>41936</v>
      </c>
      <c r="J3151" t="inlineStr">
        <is>
          <t>Moncton</t>
        </is>
      </c>
      <c r="P3151" t="n">
        <v>0</v>
      </c>
      <c r="Q3151" t="n">
        <v>240.5</v>
      </c>
      <c r="R3151" t="n">
        <v>100</v>
      </c>
      <c r="S3151" t="n">
        <v>184.15</v>
      </c>
      <c r="T3151" t="n">
        <v>21</v>
      </c>
      <c r="U3151" t="n">
        <v>545.65</v>
      </c>
      <c r="X3151" t="inlineStr">
        <is>
          <t>acoa-apeca</t>
        </is>
      </c>
      <c r="Y3151" t="inlineStr">
        <is>
          <t>Atlantic Canada Opportunities Agency | Agence de promotion économique du Canada atlantique</t>
        </is>
      </c>
    </row>
    <row r="3152">
      <c r="A3152" t="inlineStr">
        <is>
          <t>T-2015-Q3-00047</t>
        </is>
      </c>
      <c r="B3152" t="inlineStr">
        <is>
          <t>SLE</t>
        </is>
      </c>
      <c r="C3152" t="inlineStr">
        <is>
          <t>Vice-President, New Brunswick</t>
        </is>
      </c>
      <c r="D3152" t="inlineStr">
        <is>
          <t>Vice-président, Nouveau-Brunswick</t>
        </is>
      </c>
      <c r="E3152" t="inlineStr">
        <is>
          <t>Kent Estabrooks</t>
        </is>
      </c>
      <c r="F3152" t="inlineStr">
        <is>
          <t xml:space="preserve">Meetings with Agency officials and external stakeholhers </t>
        </is>
      </c>
      <c r="G3152" t="inlineStr">
        <is>
          <t>Réunions avec des fonctionnaires de l'Agence et des parties intéressées externes</t>
        </is>
      </c>
      <c r="H3152" s="1" t="n">
        <v>41934</v>
      </c>
      <c r="I3152" s="1" t="n">
        <v>41936</v>
      </c>
      <c r="J3152" t="inlineStr">
        <is>
          <t>Moncton, New Brunswick</t>
        </is>
      </c>
      <c r="K3152" t="inlineStr">
        <is>
          <t>Moncton (Nouveau-Brunswick)</t>
        </is>
      </c>
      <c r="P3152" t="n">
        <v>0</v>
      </c>
      <c r="Q3152" t="n">
        <v>0</v>
      </c>
      <c r="R3152" t="n">
        <v>226</v>
      </c>
      <c r="S3152" t="n">
        <v>94.09999999999999</v>
      </c>
      <c r="T3152" t="n">
        <v>29.26</v>
      </c>
      <c r="U3152" t="n">
        <v>349.36</v>
      </c>
      <c r="X3152" t="inlineStr">
        <is>
          <t>acoa-apeca</t>
        </is>
      </c>
      <c r="Y3152" t="inlineStr">
        <is>
          <t>Atlantic Canada Opportunities Agency | Agence de promotion économique du Canada atlantique</t>
        </is>
      </c>
    </row>
    <row r="3153">
      <c r="A3153" t="inlineStr">
        <is>
          <t>T-2015-Q3-00046</t>
        </is>
      </c>
      <c r="B3153" t="inlineStr">
        <is>
          <t>SLE</t>
        </is>
      </c>
      <c r="C3153" t="inlineStr">
        <is>
          <t>Vice-President, Prince Edward Island</t>
        </is>
      </c>
      <c r="D3153" t="inlineStr">
        <is>
          <t>Vice-président, Île-du-Prince-Édouard</t>
        </is>
      </c>
      <c r="E3153" t="inlineStr">
        <is>
          <t>Patrick Dorsey</t>
        </is>
      </c>
      <c r="F3153" t="inlineStr">
        <is>
          <t>Meeting with Executive Committee</t>
        </is>
      </c>
      <c r="G3153" t="inlineStr">
        <is>
          <t>Réunion avec le Comité de direction</t>
        </is>
      </c>
      <c r="H3153" s="1" t="n">
        <v>41934</v>
      </c>
      <c r="I3153" s="1" t="n">
        <v>41935</v>
      </c>
      <c r="J3153" t="inlineStr">
        <is>
          <t>Moncton, New Brunswick</t>
        </is>
      </c>
      <c r="K3153" t="inlineStr">
        <is>
          <t>Moncton (Nouveau-Brunswick)</t>
        </is>
      </c>
      <c r="P3153" t="n">
        <v>0</v>
      </c>
      <c r="Q3153" t="n">
        <v>45</v>
      </c>
      <c r="R3153" t="n">
        <v>162.72</v>
      </c>
      <c r="S3153" t="n">
        <v>135.35</v>
      </c>
      <c r="T3153" t="n">
        <v>0</v>
      </c>
      <c r="U3153" t="n">
        <v>343.07</v>
      </c>
      <c r="X3153" t="inlineStr">
        <is>
          <t>acoa-apeca</t>
        </is>
      </c>
      <c r="Y3153" t="inlineStr">
        <is>
          <t>Atlantic Canada Opportunities Agency | Agence de promotion économique du Canada atlantique</t>
        </is>
      </c>
    </row>
    <row r="3154">
      <c r="A3154" t="inlineStr">
        <is>
          <t>T-2015-Q3-00045</t>
        </is>
      </c>
      <c r="B3154" t="inlineStr">
        <is>
          <t>SLE</t>
        </is>
      </c>
      <c r="C3154" t="inlineStr">
        <is>
          <t>President</t>
        </is>
      </c>
      <c r="D3154" t="inlineStr">
        <is>
          <t>Président</t>
        </is>
      </c>
      <c r="E3154" t="inlineStr">
        <is>
          <t>Paul J. LeBlanc</t>
        </is>
      </c>
      <c r="F3154" t="inlineStr">
        <is>
          <t>For various meetings and discussions with: Agency officials; with Government of Canada officials</t>
        </is>
      </c>
      <c r="G3154" t="inlineStr">
        <is>
          <t>Diverses réunions et discussions avec des fonctionnaires de l'Agence et du gouvernement du Canada</t>
        </is>
      </c>
      <c r="H3154" s="1" t="n">
        <v>41933</v>
      </c>
      <c r="I3154" s="1" t="n">
        <v>41934</v>
      </c>
      <c r="J3154" t="inlineStr">
        <is>
          <t>Ottawa, Ontario</t>
        </is>
      </c>
      <c r="K3154" t="inlineStr">
        <is>
          <t>Ottawa (Ontario)</t>
        </is>
      </c>
      <c r="P3154" t="n">
        <v>1213.5</v>
      </c>
      <c r="Q3154" t="n">
        <v>0</v>
      </c>
      <c r="R3154" t="n">
        <v>185.06</v>
      </c>
      <c r="S3154" t="n">
        <v>125.25</v>
      </c>
      <c r="T3154" t="n">
        <v>88.5</v>
      </c>
      <c r="U3154" t="n">
        <v>1612.31</v>
      </c>
      <c r="X3154" t="inlineStr">
        <is>
          <t>acoa-apeca</t>
        </is>
      </c>
      <c r="Y3154" t="inlineStr">
        <is>
          <t>Atlantic Canada Opportunities Agency | Agence de promotion économique du Canada atlantique</t>
        </is>
      </c>
    </row>
    <row r="3155">
      <c r="A3155" t="inlineStr">
        <is>
          <t>T-2015-Q3-00044</t>
        </is>
      </c>
      <c r="B3155" t="inlineStr">
        <is>
          <t>SLE</t>
        </is>
      </c>
      <c r="C3155" t="inlineStr">
        <is>
          <t>Vice-President, Newfoundland and Labrador</t>
        </is>
      </c>
      <c r="D3155" t="inlineStr">
        <is>
          <t>Vice-président, Terre-Neuve-et-Labrador</t>
        </is>
      </c>
      <c r="E3155" t="inlineStr">
        <is>
          <t>Paul Mills</t>
        </is>
      </c>
      <c r="F3155" t="inlineStr">
        <is>
          <t>Meetings with Minister Moore in Ottawa, Ontario, and Executive Committee meeting in Moncton, New Brunswick</t>
        </is>
      </c>
      <c r="G3155" t="inlineStr">
        <is>
          <t>Réunions avec le ministre Moore à Ottawa (Ontario)et réunion du Comité de direction à Moncton (Nouveau-Brunswick)</t>
        </is>
      </c>
      <c r="H3155" s="1" t="n">
        <v>41933</v>
      </c>
      <c r="I3155" s="1" t="n">
        <v>41936</v>
      </c>
      <c r="J3155" t="inlineStr">
        <is>
          <t>Ottawa, Ontario</t>
        </is>
      </c>
      <c r="K3155" t="inlineStr">
        <is>
          <t>Ottawa (Ontario)</t>
        </is>
      </c>
      <c r="P3155" t="n">
        <v>2139.09</v>
      </c>
      <c r="Q3155" t="n">
        <v>252.11</v>
      </c>
      <c r="R3155" t="n">
        <v>577.5</v>
      </c>
      <c r="S3155" t="n">
        <v>292.1</v>
      </c>
      <c r="T3155" t="n">
        <v>83.34</v>
      </c>
      <c r="U3155" t="n">
        <v>3344.14</v>
      </c>
      <c r="X3155" t="inlineStr">
        <is>
          <t>acoa-apeca</t>
        </is>
      </c>
      <c r="Y3155" t="inlineStr">
        <is>
          <t>Atlantic Canada Opportunities Agency | Agence de promotion économique du Canada atlantique</t>
        </is>
      </c>
    </row>
    <row r="3156">
      <c r="A3156" t="inlineStr">
        <is>
          <t>T-2015-Q3-00043</t>
        </is>
      </c>
      <c r="B3156" t="inlineStr">
        <is>
          <t>MPSES</t>
        </is>
      </c>
      <c r="C3156" t="inlineStr">
        <is>
          <t>Parliamentary Secretary</t>
        </is>
      </c>
      <c r="D3156" t="inlineStr">
        <is>
          <t>Secrétaire parlementaire</t>
        </is>
      </c>
      <c r="E3156" t="inlineStr">
        <is>
          <t>Gerald Keddy</t>
        </is>
      </c>
      <c r="F3156" t="inlineStr">
        <is>
          <t>Travel to Chile - cancelled trip - hotel cancellation fees</t>
        </is>
      </c>
      <c r="G3156" t="inlineStr">
        <is>
          <t>Voyage au Chili - voyage annulé - frais d'annulation pour l'hôtel</t>
        </is>
      </c>
      <c r="H3156" s="1" t="n">
        <v>41932</v>
      </c>
      <c r="I3156" s="1" t="n">
        <v>41937</v>
      </c>
      <c r="J3156" t="inlineStr">
        <is>
          <t>Puerto Varas, Chile</t>
        </is>
      </c>
      <c r="K3156" t="inlineStr">
        <is>
          <t>Puerto Varas (Chili)</t>
        </is>
      </c>
      <c r="P3156" t="n">
        <v>0</v>
      </c>
      <c r="Q3156" t="n">
        <v>0</v>
      </c>
      <c r="R3156" t="n">
        <v>252.36</v>
      </c>
      <c r="S3156" t="n">
        <v>0</v>
      </c>
      <c r="T3156" t="n">
        <v>0</v>
      </c>
      <c r="U3156" t="n">
        <v>252.36</v>
      </c>
      <c r="X3156" t="inlineStr">
        <is>
          <t>acoa-apeca</t>
        </is>
      </c>
      <c r="Y3156" t="inlineStr">
        <is>
          <t>Atlantic Canada Opportunities Agency | Agence de promotion économique du Canada atlantique</t>
        </is>
      </c>
    </row>
    <row r="3157">
      <c r="A3157" t="inlineStr">
        <is>
          <t>T-2015-Q3-00042</t>
        </is>
      </c>
      <c r="B3157" t="inlineStr">
        <is>
          <t>MPSES</t>
        </is>
      </c>
      <c r="C3157" t="inlineStr">
        <is>
          <t>Special Assistant (Policy &amp; Caucus Liaison)</t>
        </is>
      </c>
      <c r="D3157" t="inlineStr">
        <is>
          <t>Adjointe spéciale (politiques &amp; liaison avec le caucus)</t>
        </is>
      </c>
      <c r="E3157" t="inlineStr">
        <is>
          <t>Kelsie Corey</t>
        </is>
      </c>
      <c r="F3157" t="inlineStr">
        <is>
          <t>Travel to Chile cancelled (2014/10/20 to 2014/10/25) - Cancelling fees for hotel</t>
        </is>
      </c>
      <c r="G3157" t="inlineStr">
        <is>
          <t>Voyage au Chili annulé (du 2014-10-20 au 2014-10-25) - frais d'annulation pour l'hôtel</t>
        </is>
      </c>
      <c r="H3157" s="1" t="n">
        <v>41932</v>
      </c>
      <c r="I3157" s="1" t="n">
        <v>41937</v>
      </c>
      <c r="J3157" t="inlineStr">
        <is>
          <t>Puerto Varas, Chile</t>
        </is>
      </c>
      <c r="K3157" t="inlineStr">
        <is>
          <t>Puerto Varas (Chili)</t>
        </is>
      </c>
      <c r="P3157" t="n">
        <v>0</v>
      </c>
      <c r="Q3157" t="n">
        <v>0</v>
      </c>
      <c r="R3157" t="n">
        <v>205.78</v>
      </c>
      <c r="S3157" t="n">
        <v>0</v>
      </c>
      <c r="T3157" t="n">
        <v>0</v>
      </c>
      <c r="U3157" t="n">
        <v>205.78</v>
      </c>
      <c r="X3157" t="inlineStr">
        <is>
          <t>acoa-apeca</t>
        </is>
      </c>
      <c r="Y3157" t="inlineStr">
        <is>
          <t>Atlantic Canada Opportunities Agency | Agence de promotion économique du Canada atlantique</t>
        </is>
      </c>
    </row>
    <row r="3158">
      <c r="A3158" t="inlineStr">
        <is>
          <t>T-2015-Q3-00040</t>
        </is>
      </c>
      <c r="B3158" t="inlineStr">
        <is>
          <t>SLE</t>
        </is>
      </c>
      <c r="C3158" t="inlineStr">
        <is>
          <t>President</t>
        </is>
      </c>
      <c r="D3158" t="inlineStr">
        <is>
          <t>Président</t>
        </is>
      </c>
      <c r="E3158" t="inlineStr">
        <is>
          <t>Paul J. LeBlanc</t>
        </is>
      </c>
      <c r="F3158" t="inlineStr">
        <is>
          <t>For meetings and discussions with Agency officials</t>
        </is>
      </c>
      <c r="G3158" t="inlineStr">
        <is>
          <t>Réunions et discussions avec des fonctionnaires de l'Agence</t>
        </is>
      </c>
      <c r="H3158" s="1" t="n">
        <v>41928</v>
      </c>
      <c r="I3158" s="1" t="n">
        <v>41929</v>
      </c>
      <c r="J3158" t="inlineStr">
        <is>
          <t>St. John's, Newfoundland and Labrador</t>
        </is>
      </c>
      <c r="K3158" t="inlineStr">
        <is>
          <t>St. John's (Terre-Neuve-et-Labrador)</t>
        </is>
      </c>
      <c r="P3158" t="n">
        <v>1116.36</v>
      </c>
      <c r="Q3158" t="n">
        <v>0</v>
      </c>
      <c r="R3158" t="n">
        <v>200.07</v>
      </c>
      <c r="S3158" t="n">
        <v>108.9</v>
      </c>
      <c r="T3158" t="n">
        <v>31</v>
      </c>
      <c r="U3158" t="n">
        <v>1456.33</v>
      </c>
      <c r="X3158" t="inlineStr">
        <is>
          <t>acoa-apeca</t>
        </is>
      </c>
      <c r="Y3158" t="inlineStr">
        <is>
          <t>Atlantic Canada Opportunities Agency | Agence de promotion économique du Canada atlantique</t>
        </is>
      </c>
    </row>
    <row r="3159">
      <c r="A3159" t="inlineStr">
        <is>
          <t>T-2015-Q3-00039</t>
        </is>
      </c>
      <c r="B3159" t="inlineStr">
        <is>
          <t>SLE</t>
        </is>
      </c>
      <c r="C3159" t="inlineStr">
        <is>
          <t>Vice-President, Policy and Programs</t>
        </is>
      </c>
      <c r="D3159" t="inlineStr">
        <is>
          <t>Vice-président, Politiques et Programmes</t>
        </is>
      </c>
      <c r="E3159" t="inlineStr">
        <is>
          <t>Daryell Nowlan</t>
        </is>
      </c>
      <c r="F3159" t="inlineStr">
        <is>
          <t>Meeting in St. John's, Newfoundland</t>
        </is>
      </c>
      <c r="G3159" t="inlineStr">
        <is>
          <t>Réunion à St. John's (Terre-Neuve)</t>
        </is>
      </c>
      <c r="H3159" s="1" t="n">
        <v>41928</v>
      </c>
      <c r="I3159" s="1" t="n">
        <v>41929</v>
      </c>
      <c r="J3159" t="inlineStr">
        <is>
          <t>St. John's, Newfoundland and Labrador</t>
        </is>
      </c>
      <c r="K3159" t="inlineStr">
        <is>
          <t>St. John's (Terre-Neuve-et-Labrador)</t>
        </is>
      </c>
      <c r="P3159" t="n">
        <v>1586.88</v>
      </c>
      <c r="Q3159" t="n">
        <v>31</v>
      </c>
      <c r="R3159" t="n">
        <v>200.07</v>
      </c>
      <c r="S3159" t="n">
        <v>93.34999999999999</v>
      </c>
      <c r="T3159" t="n">
        <v>0</v>
      </c>
      <c r="U3159" t="n">
        <v>1911.3</v>
      </c>
      <c r="X3159" t="inlineStr">
        <is>
          <t>acoa-apeca</t>
        </is>
      </c>
      <c r="Y3159" t="inlineStr">
        <is>
          <t>Atlantic Canada Opportunities Agency | Agence de promotion économique du Canada atlantique</t>
        </is>
      </c>
    </row>
    <row r="3160">
      <c r="A3160" t="inlineStr">
        <is>
          <t>T-2015-Q3-00038</t>
        </is>
      </c>
      <c r="B3160" t="inlineStr">
        <is>
          <t>MPSES</t>
        </is>
      </c>
      <c r="C3160" t="inlineStr">
        <is>
          <t>Minister of State</t>
        </is>
      </c>
      <c r="D3160" t="inlineStr">
        <is>
          <t>Ministre d'État</t>
        </is>
      </c>
      <c r="E3160" t="inlineStr">
        <is>
          <t>Rob Moore</t>
        </is>
      </c>
      <c r="F3160" t="inlineStr">
        <is>
          <t>To attend a Government of Canada announcement</t>
        </is>
      </c>
      <c r="G3160" t="inlineStr">
        <is>
          <t>Assister à une annonce du gouvernement du Canada</t>
        </is>
      </c>
      <c r="H3160" s="1" t="n">
        <v>41922</v>
      </c>
      <c r="I3160" s="1" t="n">
        <v>41922</v>
      </c>
      <c r="J3160" t="inlineStr">
        <is>
          <t>Charlottetown, Prince Edward Island</t>
        </is>
      </c>
      <c r="K3160" t="inlineStr">
        <is>
          <t>Charlottetown (Île-du-Prince-Édouard)</t>
        </is>
      </c>
      <c r="P3160" t="n">
        <v>0</v>
      </c>
      <c r="Q3160" t="n">
        <v>346.92</v>
      </c>
      <c r="R3160" t="n">
        <v>0</v>
      </c>
      <c r="S3160" t="n">
        <v>15.25</v>
      </c>
      <c r="T3160" t="n">
        <v>0</v>
      </c>
      <c r="U3160" t="n">
        <v>362.17</v>
      </c>
      <c r="X3160" t="inlineStr">
        <is>
          <t>acoa-apeca</t>
        </is>
      </c>
      <c r="Y3160" t="inlineStr">
        <is>
          <t>Atlantic Canada Opportunities Agency | Agence de promotion économique du Canada atlantique</t>
        </is>
      </c>
    </row>
    <row r="3161">
      <c r="A3161" t="inlineStr">
        <is>
          <t>T-2015-Q3-00037</t>
        </is>
      </c>
      <c r="B3161" t="inlineStr">
        <is>
          <t>MPSES</t>
        </is>
      </c>
      <c r="C3161" t="inlineStr">
        <is>
          <t>Executive Assistant</t>
        </is>
      </c>
      <c r="D3161" t="inlineStr">
        <is>
          <t>Adjoint exécutif</t>
        </is>
      </c>
      <c r="E3161" t="inlineStr">
        <is>
          <t>Josh Hardy</t>
        </is>
      </c>
      <c r="F3161" t="inlineStr">
        <is>
          <t>Travel on government business</t>
        </is>
      </c>
      <c r="G3161" t="inlineStr">
        <is>
          <t>Voyage en service commandé</t>
        </is>
      </c>
      <c r="H3161" s="1" t="n">
        <v>41921</v>
      </c>
      <c r="I3161" s="1" t="n">
        <v>41931</v>
      </c>
      <c r="J3161" t="inlineStr">
        <is>
          <t>Moncton, New Brunswick</t>
        </is>
      </c>
      <c r="K3161" t="inlineStr">
        <is>
          <t>Moncton (Nouveau-Brunswick)</t>
        </is>
      </c>
      <c r="P3161" t="n">
        <v>1401.24</v>
      </c>
      <c r="Q3161" t="n">
        <v>39.69</v>
      </c>
      <c r="R3161" t="n">
        <v>0</v>
      </c>
      <c r="S3161" t="n">
        <v>0</v>
      </c>
      <c r="T3161" t="n">
        <v>0</v>
      </c>
      <c r="U3161" t="n">
        <v>1440.93</v>
      </c>
      <c r="X3161" t="inlineStr">
        <is>
          <t>acoa-apeca</t>
        </is>
      </c>
      <c r="Y3161" t="inlineStr">
        <is>
          <t>Atlantic Canada Opportunities Agency | Agence de promotion économique du Canada atlantique</t>
        </is>
      </c>
    </row>
    <row r="3162">
      <c r="A3162" t="inlineStr">
        <is>
          <t>T-2015-Q3-00036</t>
        </is>
      </c>
      <c r="B3162" t="inlineStr">
        <is>
          <t>SLE</t>
        </is>
      </c>
      <c r="C3162" t="inlineStr">
        <is>
          <t>Vice-President, New Brunswick</t>
        </is>
      </c>
      <c r="D3162" t="inlineStr">
        <is>
          <t>Vice-président, Nouveau-Brunswick</t>
        </is>
      </c>
      <c r="E3162" t="inlineStr">
        <is>
          <t>Kent Estabrooks</t>
        </is>
      </c>
      <c r="F3162" t="inlineStr">
        <is>
          <t xml:space="preserve">Various meetings with federal officials and Agency officials </t>
        </is>
      </c>
      <c r="G3162" t="inlineStr">
        <is>
          <t>Diverses réunions avec des fonctionnaires fédéraux et des fonctionnaires de l'Agence</t>
        </is>
      </c>
      <c r="H3162" s="1" t="n">
        <v>41920</v>
      </c>
      <c r="I3162" s="1" t="n">
        <v>41922</v>
      </c>
      <c r="J3162" t="inlineStr">
        <is>
          <t>Ottawa, Ontario</t>
        </is>
      </c>
      <c r="K3162" t="inlineStr">
        <is>
          <t>Ottawa (Ontario)</t>
        </is>
      </c>
      <c r="P3162" t="n">
        <v>892.7</v>
      </c>
      <c r="Q3162" t="n">
        <v>142.42</v>
      </c>
      <c r="R3162" t="n">
        <v>393.4</v>
      </c>
      <c r="S3162" t="n">
        <v>194.85</v>
      </c>
      <c r="T3162" t="n">
        <v>0</v>
      </c>
      <c r="U3162" t="n">
        <v>1623.37</v>
      </c>
      <c r="X3162" t="inlineStr">
        <is>
          <t>acoa-apeca</t>
        </is>
      </c>
      <c r="Y3162" t="inlineStr">
        <is>
          <t>Atlantic Canada Opportunities Agency | Agence de promotion économique du Canada atlantique</t>
        </is>
      </c>
    </row>
    <row r="3163">
      <c r="A3163" t="inlineStr">
        <is>
          <t>T-2015-Q3-00034</t>
        </is>
      </c>
      <c r="B3163" t="inlineStr">
        <is>
          <t>SLE</t>
        </is>
      </c>
      <c r="C3163" t="inlineStr">
        <is>
          <t>President</t>
        </is>
      </c>
      <c r="D3163" t="inlineStr">
        <is>
          <t>Président</t>
        </is>
      </c>
      <c r="E3163" t="inlineStr">
        <is>
          <t>Paul J. LeBlanc</t>
        </is>
      </c>
      <c r="F3163" t="inlineStr">
        <is>
          <t>For various meetings and discussions with Agency officials; with Government of Canada officials</t>
        </is>
      </c>
      <c r="G3163" t="inlineStr">
        <is>
          <t>Diverses réunions et discussions avec des fonctionnaires de l'Agence et du gouvernement du Canada</t>
        </is>
      </c>
      <c r="H3163" s="1" t="n">
        <v>41919</v>
      </c>
      <c r="I3163" s="1" t="n">
        <v>41921</v>
      </c>
      <c r="J3163" t="inlineStr">
        <is>
          <t>Ottawa, Ontario</t>
        </is>
      </c>
      <c r="K3163" t="inlineStr">
        <is>
          <t>Ottawa (Ontario)</t>
        </is>
      </c>
      <c r="P3163" t="n">
        <v>1213.5</v>
      </c>
      <c r="Q3163" t="n">
        <v>0</v>
      </c>
      <c r="R3163" t="n">
        <v>370.12</v>
      </c>
      <c r="S3163" t="n">
        <v>201.1</v>
      </c>
      <c r="T3163" t="n">
        <v>41</v>
      </c>
      <c r="U3163" t="n">
        <v>1825.72</v>
      </c>
      <c r="X3163" t="inlineStr">
        <is>
          <t>acoa-apeca</t>
        </is>
      </c>
      <c r="Y3163" t="inlineStr">
        <is>
          <t>Atlantic Canada Opportunities Agency | Agence de promotion économique du Canada atlantique</t>
        </is>
      </c>
    </row>
    <row r="3164">
      <c r="A3164" t="inlineStr">
        <is>
          <t>T-2015-Q3-00033</t>
        </is>
      </c>
      <c r="B3164" t="inlineStr">
        <is>
          <t>SLE</t>
        </is>
      </c>
      <c r="C3164" t="inlineStr">
        <is>
          <t>Vice-President, Finance and Corporate Services</t>
        </is>
      </c>
      <c r="D3164" t="inlineStr">
        <is>
          <t>Vice-présidente, Finances et Services corporatifs</t>
        </is>
      </c>
      <c r="E3164" t="inlineStr">
        <is>
          <t>Denise Frenette</t>
        </is>
      </c>
      <c r="F3164" t="inlineStr">
        <is>
          <t>Meeting with Government of Canada officials</t>
        </is>
      </c>
      <c r="G3164" t="inlineStr">
        <is>
          <t>Réunion avec des fonctionnaires du gouvernement du Canada</t>
        </is>
      </c>
      <c r="H3164" s="1" t="n">
        <v>41918</v>
      </c>
      <c r="I3164" s="1" t="n">
        <v>41920</v>
      </c>
      <c r="J3164" t="inlineStr">
        <is>
          <t>Ottawa, Ontario</t>
        </is>
      </c>
      <c r="K3164" t="inlineStr">
        <is>
          <t>Ottawa (Ontario)</t>
        </is>
      </c>
      <c r="P3164" t="n">
        <v>753.39</v>
      </c>
      <c r="Q3164" t="n">
        <v>93.23</v>
      </c>
      <c r="R3164" t="n">
        <v>346.84</v>
      </c>
      <c r="S3164" t="n">
        <v>200.5</v>
      </c>
      <c r="T3164" t="n">
        <v>60.46</v>
      </c>
      <c r="U3164" t="n">
        <v>1454.42</v>
      </c>
      <c r="X3164" t="inlineStr">
        <is>
          <t>acoa-apeca</t>
        </is>
      </c>
      <c r="Y3164" t="inlineStr">
        <is>
          <t>Atlantic Canada Opportunities Agency | Agence de promotion économique du Canada atlantique</t>
        </is>
      </c>
    </row>
    <row r="3165">
      <c r="A3165" t="inlineStr">
        <is>
          <t>T-2015-Q3-00032</t>
        </is>
      </c>
      <c r="B3165" t="inlineStr">
        <is>
          <t>SLE</t>
        </is>
      </c>
      <c r="C3165" t="inlineStr">
        <is>
          <t>Vice-President, Policy and Programs</t>
        </is>
      </c>
      <c r="D3165" t="inlineStr">
        <is>
          <t>Vice-président, Politiques et Programmes</t>
        </is>
      </c>
      <c r="E3165" t="inlineStr">
        <is>
          <t>Daryell Nowlan</t>
        </is>
      </c>
      <c r="F3165" t="inlineStr">
        <is>
          <t>Meetings with Government of Canada officials</t>
        </is>
      </c>
      <c r="G3165" t="inlineStr">
        <is>
          <t>Réunions avec des fonctionnaires du gouvernement du Canada</t>
        </is>
      </c>
      <c r="H3165" s="1" t="n">
        <v>41918</v>
      </c>
      <c r="I3165" s="1" t="n">
        <v>41921</v>
      </c>
      <c r="J3165" t="inlineStr">
        <is>
          <t>Ottawa, Ontario</t>
        </is>
      </c>
      <c r="K3165" t="inlineStr">
        <is>
          <t>Ottawa (Ontario)</t>
        </is>
      </c>
      <c r="P3165" t="n">
        <v>937.9</v>
      </c>
      <c r="Q3165" t="n">
        <v>103.86</v>
      </c>
      <c r="R3165" t="n">
        <v>590.1</v>
      </c>
      <c r="S3165" t="n">
        <v>287.25</v>
      </c>
      <c r="T3165" t="n">
        <v>0</v>
      </c>
      <c r="U3165" t="n">
        <v>1919.11</v>
      </c>
      <c r="X3165" t="inlineStr">
        <is>
          <t>acoa-apeca</t>
        </is>
      </c>
      <c r="Y3165" t="inlineStr">
        <is>
          <t>Atlantic Canada Opportunities Agency | Agence de promotion économique du Canada atlantique</t>
        </is>
      </c>
    </row>
    <row r="3166">
      <c r="A3166" t="inlineStr">
        <is>
          <t>T-2015-Q3-00031</t>
        </is>
      </c>
      <c r="B3166" t="inlineStr">
        <is>
          <t>MPSES</t>
        </is>
      </c>
      <c r="C3166" t="inlineStr">
        <is>
          <t>Minister of State</t>
        </is>
      </c>
      <c r="D3166" t="inlineStr">
        <is>
          <t>Ministre d'État</t>
        </is>
      </c>
      <c r="E3166" t="inlineStr">
        <is>
          <t>Rob Moore</t>
        </is>
      </c>
      <c r="F3166" t="inlineStr">
        <is>
          <t>Speaking event at the Regional Conference of the Union of Municipalities of New Brunswick</t>
        </is>
      </c>
      <c r="G3166" t="inlineStr">
        <is>
          <t>Allocution à la conférence régionale de l'Union des Municipalités du Nouveau-Brunswick</t>
        </is>
      </c>
      <c r="H3166" s="1" t="n">
        <v>41917</v>
      </c>
      <c r="I3166" s="1" t="n">
        <v>41917</v>
      </c>
      <c r="J3166" t="inlineStr">
        <is>
          <t>St. Andrews, New Brunswick</t>
        </is>
      </c>
      <c r="K3166" t="inlineStr">
        <is>
          <t>St. Andrews (Nouveau-Brunswick)</t>
        </is>
      </c>
      <c r="P3166" t="n">
        <v>0</v>
      </c>
      <c r="Q3166" t="n">
        <v>130.56</v>
      </c>
      <c r="R3166" t="n">
        <v>0</v>
      </c>
      <c r="S3166" t="n">
        <v>0</v>
      </c>
      <c r="T3166" t="n">
        <v>0</v>
      </c>
      <c r="U3166" t="n">
        <v>130.56</v>
      </c>
      <c r="X3166" t="inlineStr">
        <is>
          <t>acoa-apeca</t>
        </is>
      </c>
      <c r="Y3166" t="inlineStr">
        <is>
          <t>Atlantic Canada Opportunities Agency | Agence de promotion économique du Canada atlantique</t>
        </is>
      </c>
    </row>
    <row r="3167">
      <c r="A3167" t="inlineStr">
        <is>
          <t>T-2015-Q3-00030</t>
        </is>
      </c>
      <c r="B3167" t="inlineStr">
        <is>
          <t>SLE</t>
        </is>
      </c>
      <c r="C3167" t="inlineStr">
        <is>
          <t>Vice-President, Newfoundland and Labrador</t>
        </is>
      </c>
      <c r="D3167" t="inlineStr">
        <is>
          <t>Vice-président, Terre-Neuve-et-Labrador</t>
        </is>
      </c>
      <c r="E3167" t="inlineStr">
        <is>
          <t>Paul Mills</t>
        </is>
      </c>
      <c r="F3167" t="inlineStr">
        <is>
          <t xml:space="preserve">To participate as a Board member on EX-02 board in Moncton, New Brunswick and Ottawa, Ontario </t>
        </is>
      </c>
      <c r="G3167" t="inlineStr">
        <is>
          <t>Participer, en tant que membre du Conseil, au comité de sélection des EX-02 à Moncton (Nouveau-Brunswick) et à Ottawa (Ontario)</t>
        </is>
      </c>
      <c r="H3167" s="1" t="n">
        <v>41917</v>
      </c>
      <c r="I3167" s="1" t="n">
        <v>41920</v>
      </c>
      <c r="J3167" t="inlineStr">
        <is>
          <t>Moncton, New Brunswick and Ottawa, Ontario</t>
        </is>
      </c>
      <c r="K3167" t="inlineStr">
        <is>
          <t>Moncton (Nouveau-Brunswick) et Ottawa (Ontario)</t>
        </is>
      </c>
      <c r="P3167" t="n">
        <v>2139.09</v>
      </c>
      <c r="Q3167" t="n">
        <v>299.41</v>
      </c>
      <c r="R3167" t="n">
        <v>520.36</v>
      </c>
      <c r="S3167" t="n">
        <v>308.45</v>
      </c>
      <c r="T3167" t="n">
        <v>5.76</v>
      </c>
      <c r="U3167" t="n">
        <v>3273.07</v>
      </c>
      <c r="X3167" t="inlineStr">
        <is>
          <t>acoa-apeca</t>
        </is>
      </c>
      <c r="Y3167" t="inlineStr">
        <is>
          <t>Atlantic Canada Opportunities Agency | Agence de promotion économique du Canada atlantique</t>
        </is>
      </c>
    </row>
    <row r="3168">
      <c r="A3168" t="inlineStr">
        <is>
          <t>T-2015-Q3-00029</t>
        </is>
      </c>
      <c r="B3168" t="inlineStr">
        <is>
          <t>SLE</t>
        </is>
      </c>
      <c r="C3168" t="inlineStr">
        <is>
          <t>Vice-President, Prince Edward Island</t>
        </is>
      </c>
      <c r="D3168" t="inlineStr">
        <is>
          <t>Vice-président, Île-du-Prince-Édouard</t>
        </is>
      </c>
      <c r="E3168" t="inlineStr">
        <is>
          <t>Patrick Dorsey</t>
        </is>
      </c>
      <c r="F3168" t="inlineStr">
        <is>
          <t>Conference Board of Canada sessions</t>
        </is>
      </c>
      <c r="G3168" t="inlineStr">
        <is>
          <t>Séances du Conference Board du Canada</t>
        </is>
      </c>
      <c r="H3168" s="1" t="n">
        <v>41917</v>
      </c>
      <c r="I3168" s="1" t="n">
        <v>41919</v>
      </c>
      <c r="J3168" t="inlineStr">
        <is>
          <t>Ottawa, Ontario</t>
        </is>
      </c>
      <c r="K3168" t="inlineStr">
        <is>
          <t>Ottawa (Ontario)</t>
        </is>
      </c>
      <c r="P3168" t="n">
        <v>1376.51</v>
      </c>
      <c r="Q3168" t="n">
        <v>127.81</v>
      </c>
      <c r="R3168" t="n">
        <v>365.44</v>
      </c>
      <c r="S3168" t="n">
        <v>226.95</v>
      </c>
      <c r="T3168" t="n">
        <v>0</v>
      </c>
      <c r="U3168" t="n">
        <v>2096.71</v>
      </c>
      <c r="X3168" t="inlineStr">
        <is>
          <t>acoa-apeca</t>
        </is>
      </c>
      <c r="Y3168" t="inlineStr">
        <is>
          <t>Atlantic Canada Opportunities Agency | Agence de promotion économique du Canada atlantique</t>
        </is>
      </c>
    </row>
    <row r="3169">
      <c r="A3169" t="inlineStr">
        <is>
          <t>T-2015-Q3-00020</t>
        </is>
      </c>
      <c r="B3169" t="inlineStr">
        <is>
          <t>SLE</t>
        </is>
      </c>
      <c r="C3169" t="inlineStr">
        <is>
          <t>President</t>
        </is>
      </c>
      <c r="D3169" t="inlineStr">
        <is>
          <t>Président</t>
        </is>
      </c>
      <c r="E3169" t="inlineStr">
        <is>
          <t>Paul J. LeBlanc</t>
        </is>
      </c>
      <c r="F3169" t="inlineStr">
        <is>
          <t>For various meetings and discussions with Agency officials; and with Government of Canada officials</t>
        </is>
      </c>
      <c r="G3169" t="inlineStr">
        <is>
          <t>Diverses réunions et discussions avec des fonctionnaires de l'Agence et du gouvernement du Canada</t>
        </is>
      </c>
      <c r="H3169" s="1" t="n">
        <v>41898</v>
      </c>
      <c r="I3169" s="1" t="n">
        <v>41901</v>
      </c>
      <c r="J3169" t="inlineStr">
        <is>
          <t>Ottawa, Ontario</t>
        </is>
      </c>
      <c r="K3169" t="inlineStr">
        <is>
          <t>Ottawa (Ontario)</t>
        </is>
      </c>
      <c r="P3169" t="n">
        <v>1219.61</v>
      </c>
      <c r="Q3169" t="n">
        <v>0</v>
      </c>
      <c r="R3169" t="n">
        <v>555.1799999999999</v>
      </c>
      <c r="S3169" t="n">
        <v>274.2</v>
      </c>
      <c r="T3169" t="n">
        <v>170</v>
      </c>
      <c r="U3169" t="n">
        <v>2218.99</v>
      </c>
      <c r="X3169" t="inlineStr">
        <is>
          <t>acoa-apeca</t>
        </is>
      </c>
      <c r="Y3169" t="inlineStr">
        <is>
          <t>Atlantic Canada Opportunities Agency | Agence de promotion économique du Canada atlantique</t>
        </is>
      </c>
    </row>
    <row r="3170">
      <c r="A3170" t="inlineStr">
        <is>
          <t>T-2015-Q3-00028</t>
        </is>
      </c>
      <c r="B3170" t="inlineStr">
        <is>
          <t>SLE</t>
        </is>
      </c>
      <c r="C3170" t="inlineStr">
        <is>
          <t>Vice-President, Newfoundland and Labrador</t>
        </is>
      </c>
      <c r="D3170" t="inlineStr">
        <is>
          <t>Vice-président, Terre-Neuve-et-Labrador</t>
        </is>
      </c>
      <c r="E3170" t="inlineStr">
        <is>
          <t>Paul Mills</t>
        </is>
      </c>
      <c r="F3170" t="inlineStr">
        <is>
          <t>Mileage claim for meeting in and around Head Quarters region</t>
        </is>
      </c>
      <c r="G3170" t="inlineStr">
        <is>
          <t>Réclamation de frais de kilométrage pour une réunion dans la région du bureau principal</t>
        </is>
      </c>
      <c r="H3170" s="1" t="n">
        <v>41913</v>
      </c>
      <c r="I3170" s="1" t="n">
        <v>42004</v>
      </c>
      <c r="J3170" t="inlineStr">
        <is>
          <t>St. John's, Newfoundland and Labrador</t>
        </is>
      </c>
      <c r="K3170" t="inlineStr">
        <is>
          <t>St. John's (Terre-Neuve-et-Labrador)</t>
        </is>
      </c>
      <c r="P3170" t="n">
        <v>0</v>
      </c>
      <c r="Q3170" t="n">
        <v>84.29000000000001</v>
      </c>
      <c r="R3170" t="n">
        <v>0</v>
      </c>
      <c r="S3170" t="n">
        <v>15.75</v>
      </c>
      <c r="T3170" t="n">
        <v>0</v>
      </c>
      <c r="U3170" t="n">
        <v>100.04</v>
      </c>
      <c r="X3170" t="inlineStr">
        <is>
          <t>acoa-apeca</t>
        </is>
      </c>
      <c r="Y3170" t="inlineStr">
        <is>
          <t>Atlantic Canada Opportunities Agency | Agence de promotion économique du Canada atlantique</t>
        </is>
      </c>
    </row>
    <row r="3171">
      <c r="A3171" t="inlineStr">
        <is>
          <t>T-2015-Q3-00027</t>
        </is>
      </c>
      <c r="B3171" t="inlineStr">
        <is>
          <t>SLE</t>
        </is>
      </c>
      <c r="C3171" t="inlineStr">
        <is>
          <t>Vice President, Nova Scotia</t>
        </is>
      </c>
      <c r="D3171" t="inlineStr">
        <is>
          <t>Vice-président, Nouvelle-Écosse</t>
        </is>
      </c>
      <c r="E3171" t="inlineStr">
        <is>
          <t>Peter Hogan</t>
        </is>
      </c>
      <c r="F3171" t="inlineStr">
        <is>
          <t xml:space="preserve">Client meetings </t>
        </is>
      </c>
      <c r="G3171" t="inlineStr">
        <is>
          <t>Réunion avec des clients</t>
        </is>
      </c>
      <c r="H3171" s="1" t="n">
        <v>41913</v>
      </c>
      <c r="I3171" s="1" t="n">
        <v>41915</v>
      </c>
      <c r="J3171" t="inlineStr">
        <is>
          <t>Baddeck</t>
        </is>
      </c>
      <c r="P3171" t="n">
        <v>0</v>
      </c>
      <c r="Q3171" t="n">
        <v>0</v>
      </c>
      <c r="R3171" t="n">
        <v>302.64</v>
      </c>
      <c r="S3171" t="n">
        <v>110.45</v>
      </c>
      <c r="T3171" t="n">
        <v>0</v>
      </c>
      <c r="U3171" t="n">
        <v>413.09</v>
      </c>
      <c r="X3171" t="inlineStr">
        <is>
          <t>acoa-apeca</t>
        </is>
      </c>
      <c r="Y3171" t="inlineStr">
        <is>
          <t>Atlantic Canada Opportunities Agency | Agence de promotion économique du Canada atlantique</t>
        </is>
      </c>
    </row>
    <row r="3172">
      <c r="A3172" t="inlineStr">
        <is>
          <t>T-2015-Q3-00026</t>
        </is>
      </c>
      <c r="B3172" t="inlineStr">
        <is>
          <t>SLE</t>
        </is>
      </c>
      <c r="C3172" t="inlineStr">
        <is>
          <t>President</t>
        </is>
      </c>
      <c r="D3172" t="inlineStr">
        <is>
          <t>Président</t>
        </is>
      </c>
      <c r="E3172" t="inlineStr">
        <is>
          <t>Paul J. LeBlanc</t>
        </is>
      </c>
      <c r="F3172" t="inlineStr">
        <is>
          <t>For various meetings and discussions with: Government of Canada officials; with Agency officials</t>
        </is>
      </c>
      <c r="G3172" t="inlineStr">
        <is>
          <t>Diverses réunions et discussions avec des fonctionnaires de l'Agence et du gouvernement du Canada</t>
        </is>
      </c>
      <c r="H3172" s="1" t="n">
        <v>41912</v>
      </c>
      <c r="I3172" s="1" t="n">
        <v>41914</v>
      </c>
      <c r="J3172" t="inlineStr">
        <is>
          <t>Ottawa, Ontario</t>
        </is>
      </c>
      <c r="K3172" t="inlineStr">
        <is>
          <t>Ottawa (Ontario)</t>
        </is>
      </c>
      <c r="P3172" t="n">
        <v>697.14</v>
      </c>
      <c r="Q3172" t="n">
        <v>0</v>
      </c>
      <c r="R3172" t="n">
        <v>370.12</v>
      </c>
      <c r="S3172" t="n">
        <v>142.8</v>
      </c>
      <c r="T3172" t="n">
        <v>3</v>
      </c>
      <c r="U3172" t="n">
        <v>1213.06</v>
      </c>
      <c r="X3172" t="inlineStr">
        <is>
          <t>acoa-apeca</t>
        </is>
      </c>
      <c r="Y3172" t="inlineStr">
        <is>
          <t>Atlantic Canada Opportunities Agency | Agence de promotion économique du Canada atlantique</t>
        </is>
      </c>
    </row>
    <row r="3173">
      <c r="A3173" t="inlineStr">
        <is>
          <t>T-2015-Q3-00025</t>
        </is>
      </c>
      <c r="B3173" t="inlineStr">
        <is>
          <t>MPSES</t>
        </is>
      </c>
      <c r="C3173" t="inlineStr">
        <is>
          <t>Regional Affairs Director - Newfoundland &amp; Labrador</t>
        </is>
      </c>
      <c r="D3173" t="inlineStr">
        <is>
          <t>Directrice des affaires régionales - Terre-Neuve et le Labrador</t>
        </is>
      </c>
      <c r="E3173" t="inlineStr">
        <is>
          <t>Lorraine Barnett</t>
        </is>
      </c>
      <c r="F3173" t="inlineStr">
        <is>
          <t>Travel on government business</t>
        </is>
      </c>
      <c r="G3173" t="inlineStr">
        <is>
          <t>Voyage en service commandé</t>
        </is>
      </c>
      <c r="H3173" s="1" t="n">
        <v>41911</v>
      </c>
      <c r="I3173" s="1" t="n">
        <v>41914</v>
      </c>
      <c r="J3173" t="inlineStr">
        <is>
          <t>Ottawa, Ontario</t>
        </is>
      </c>
      <c r="K3173" t="inlineStr">
        <is>
          <t>Ottawa (Ontario)</t>
        </is>
      </c>
      <c r="P3173" t="n">
        <v>485.3</v>
      </c>
      <c r="Q3173" t="n">
        <v>59.91</v>
      </c>
      <c r="R3173" t="n">
        <v>555.1799999999999</v>
      </c>
      <c r="S3173" t="n">
        <v>317.35</v>
      </c>
      <c r="T3173" t="n">
        <v>0</v>
      </c>
      <c r="U3173" t="n">
        <v>1417.74</v>
      </c>
      <c r="X3173" t="inlineStr">
        <is>
          <t>acoa-apeca</t>
        </is>
      </c>
      <c r="Y3173" t="inlineStr">
        <is>
          <t>Atlantic Canada Opportunities Agency | Agence de promotion économique du Canada atlantique</t>
        </is>
      </c>
    </row>
    <row r="3174">
      <c r="A3174" t="inlineStr">
        <is>
          <t>T-2015-Q3-00024</t>
        </is>
      </c>
      <c r="B3174" t="inlineStr">
        <is>
          <t>MPSES</t>
        </is>
      </c>
      <c r="C3174" t="inlineStr">
        <is>
          <t>Regional Affairs Director - New Brunswick</t>
        </is>
      </c>
      <c r="D3174" t="inlineStr">
        <is>
          <t>Directeur des affaires régionales - Nouveau-Brunswick</t>
        </is>
      </c>
      <c r="E3174" t="inlineStr">
        <is>
          <t>Douglas MacDonald</t>
        </is>
      </c>
      <c r="F3174" t="inlineStr">
        <is>
          <t>Travel on government business</t>
        </is>
      </c>
      <c r="G3174" t="inlineStr">
        <is>
          <t>Voyage en service commandé</t>
        </is>
      </c>
      <c r="H3174" s="1" t="n">
        <v>41911</v>
      </c>
      <c r="I3174" s="1" t="n">
        <v>41913</v>
      </c>
      <c r="J3174" t="inlineStr">
        <is>
          <t>Ottawa, Ontario</t>
        </is>
      </c>
      <c r="K3174" t="inlineStr">
        <is>
          <t>Ottawa (Ontario)</t>
        </is>
      </c>
      <c r="P3174" t="n">
        <v>0</v>
      </c>
      <c r="Q3174" t="n">
        <v>530</v>
      </c>
      <c r="R3174" t="n">
        <v>365.46</v>
      </c>
      <c r="S3174" t="n">
        <v>189.75</v>
      </c>
      <c r="T3174" t="n">
        <v>0</v>
      </c>
      <c r="U3174" t="n">
        <v>1085.21</v>
      </c>
      <c r="X3174" t="inlineStr">
        <is>
          <t>acoa-apeca</t>
        </is>
      </c>
      <c r="Y3174" t="inlineStr">
        <is>
          <t>Atlantic Canada Opportunities Agency | Agence de promotion économique du Canada atlantique</t>
        </is>
      </c>
    </row>
    <row r="3175">
      <c r="A3175" t="inlineStr">
        <is>
          <t>T-2015-Q3-00023</t>
        </is>
      </c>
      <c r="B3175" t="inlineStr">
        <is>
          <t>SLE</t>
        </is>
      </c>
      <c r="C3175" t="inlineStr">
        <is>
          <t>Vice-President, Finance and Corporate Services</t>
        </is>
      </c>
      <c r="D3175" t="inlineStr">
        <is>
          <t>Vice-présidente, Finances et Services corporatifs</t>
        </is>
      </c>
      <c r="E3175" t="inlineStr">
        <is>
          <t>Denise Frenette</t>
        </is>
      </c>
      <c r="F3175" t="inlineStr">
        <is>
          <t>Meetings with Government of Canada officials</t>
        </is>
      </c>
      <c r="G3175" t="inlineStr">
        <is>
          <t>Réunions avec des fonctionnaires du gouvernement du Canada</t>
        </is>
      </c>
      <c r="H3175" s="1" t="n">
        <v>41911</v>
      </c>
      <c r="I3175" s="1" t="n">
        <v>41914</v>
      </c>
      <c r="J3175" t="inlineStr">
        <is>
          <t>Ottawa, Ontario and St. John's, Newfoundland and Labrador</t>
        </is>
      </c>
      <c r="K3175" t="inlineStr">
        <is>
          <t>Ottawa (Ontario) et St. John's (Terre-Neuve-et-Labrador)</t>
        </is>
      </c>
      <c r="P3175" t="n">
        <v>1317.94</v>
      </c>
      <c r="Q3175" t="n">
        <v>160.52</v>
      </c>
      <c r="R3175" t="n">
        <v>533.73</v>
      </c>
      <c r="S3175" t="n">
        <v>350.05</v>
      </c>
      <c r="T3175" t="n">
        <v>169.5</v>
      </c>
      <c r="U3175" t="n">
        <v>2531.74</v>
      </c>
      <c r="X3175" t="inlineStr">
        <is>
          <t>acoa-apeca</t>
        </is>
      </c>
      <c r="Y3175" t="inlineStr">
        <is>
          <t>Atlantic Canada Opportunities Agency | Agence de promotion économique du Canada atlantique</t>
        </is>
      </c>
    </row>
    <row r="3176">
      <c r="A3176" t="inlineStr">
        <is>
          <t>T-2015-Q3-00022</t>
        </is>
      </c>
      <c r="B3176" t="inlineStr">
        <is>
          <t>SLE</t>
        </is>
      </c>
      <c r="C3176" t="inlineStr">
        <is>
          <t>Vice President, Nova Scotia</t>
        </is>
      </c>
      <c r="D3176" t="inlineStr">
        <is>
          <t>Vice-président, Nouvelle-Écosse</t>
        </is>
      </c>
      <c r="E3176" t="inlineStr">
        <is>
          <t>Peter Hogan</t>
        </is>
      </c>
      <c r="F3176" t="inlineStr">
        <is>
          <t>Meetings with Government officials</t>
        </is>
      </c>
      <c r="G3176" t="inlineStr">
        <is>
          <t>Réunion avec des fonctionnaires du gouvernement</t>
        </is>
      </c>
      <c r="H3176" s="1" t="n">
        <v>41906</v>
      </c>
      <c r="I3176" s="1" t="n">
        <v>41908</v>
      </c>
      <c r="J3176" t="inlineStr">
        <is>
          <t>Ottawa</t>
        </is>
      </c>
      <c r="P3176" t="n">
        <v>370.62</v>
      </c>
      <c r="Q3176" t="n">
        <v>124.6</v>
      </c>
      <c r="R3176" t="n">
        <v>393.4</v>
      </c>
      <c r="S3176" t="n">
        <v>256.9</v>
      </c>
      <c r="T3176" t="n">
        <v>60</v>
      </c>
      <c r="U3176" t="n">
        <v>1205.52</v>
      </c>
      <c r="X3176" t="inlineStr">
        <is>
          <t>acoa-apeca</t>
        </is>
      </c>
      <c r="Y3176" t="inlineStr">
        <is>
          <t>Atlantic Canada Opportunities Agency | Agence de promotion économique du Canada atlantique</t>
        </is>
      </c>
    </row>
    <row r="3177">
      <c r="A3177" t="inlineStr">
        <is>
          <t>T-2015-Q3-00021</t>
        </is>
      </c>
      <c r="B3177" t="inlineStr">
        <is>
          <t>SLE</t>
        </is>
      </c>
      <c r="C3177" t="inlineStr">
        <is>
          <t>Vice-President, Prince Edward Island</t>
        </is>
      </c>
      <c r="D3177" t="inlineStr">
        <is>
          <t>Vice-président, Île-du-Prince-Édouard</t>
        </is>
      </c>
      <c r="E3177" t="inlineStr">
        <is>
          <t>Patrick Dorsey</t>
        </is>
      </c>
      <c r="F3177" t="inlineStr">
        <is>
          <t>Meetings with Government of Canada officials in Halifax and Ottawa</t>
        </is>
      </c>
      <c r="G3177" t="inlineStr">
        <is>
          <t>Réunions avec des fonctionnaires du gouvernement du Canada à Halifax et à Ottawa</t>
        </is>
      </c>
      <c r="H3177" s="1" t="n">
        <v>41905</v>
      </c>
      <c r="I3177" s="1" t="n">
        <v>41907</v>
      </c>
      <c r="J3177" t="inlineStr">
        <is>
          <t>Ottawa, Ontario</t>
        </is>
      </c>
      <c r="K3177" t="inlineStr">
        <is>
          <t>Ottawa (Ontario)</t>
        </is>
      </c>
      <c r="P3177" t="n">
        <v>673.02</v>
      </c>
      <c r="Q3177" t="n">
        <v>118.53</v>
      </c>
      <c r="R3177" t="n">
        <v>533.35</v>
      </c>
      <c r="S3177" t="n">
        <v>332.6</v>
      </c>
      <c r="T3177" t="n">
        <v>0</v>
      </c>
      <c r="U3177" t="n">
        <v>1657.5</v>
      </c>
      <c r="X3177" t="inlineStr">
        <is>
          <t>acoa-apeca</t>
        </is>
      </c>
      <c r="Y3177" t="inlineStr">
        <is>
          <t>Atlantic Canada Opportunities Agency | Agence de promotion économique du Canada atlantique</t>
        </is>
      </c>
    </row>
    <row r="3178">
      <c r="A3178" t="inlineStr">
        <is>
          <t>T-2014-Q3-00069</t>
        </is>
      </c>
      <c r="B3178" t="inlineStr">
        <is>
          <t>MPSES</t>
        </is>
      </c>
      <c r="C3178" t="inlineStr">
        <is>
          <t>Minister of State</t>
        </is>
      </c>
      <c r="D3178" t="inlineStr">
        <is>
          <t>Ministre d'État</t>
        </is>
      </c>
      <c r="E3178" t="inlineStr">
        <is>
          <t>Rob Moore</t>
        </is>
      </c>
      <c r="F3178" t="inlineStr">
        <is>
          <t>Travel to attend Government of Canada event</t>
        </is>
      </c>
      <c r="G3178" t="inlineStr">
        <is>
          <t>Évènement du gouvernement du Canada</t>
        </is>
      </c>
      <c r="H3178" s="1" t="n">
        <v>41607</v>
      </c>
      <c r="I3178" s="1" t="n">
        <v>41607</v>
      </c>
      <c r="J3178" t="inlineStr">
        <is>
          <t>Bathurst, New Brunswick</t>
        </is>
      </c>
      <c r="K3178" t="inlineStr">
        <is>
          <t>Bathurst (Nouveau-Brunswick)</t>
        </is>
      </c>
      <c r="P3178" t="n">
        <v>0</v>
      </c>
      <c r="Q3178" t="n">
        <v>336.6</v>
      </c>
      <c r="R3178" t="n">
        <v>0</v>
      </c>
      <c r="S3178" t="n">
        <v>57.1</v>
      </c>
      <c r="T3178" t="n">
        <v>0</v>
      </c>
      <c r="U3178" t="n">
        <v>393.7</v>
      </c>
      <c r="X3178" t="inlineStr">
        <is>
          <t>acoa-apeca</t>
        </is>
      </c>
      <c r="Y3178" t="inlineStr">
        <is>
          <t>Atlantic Canada Opportunities Agency | Agence de promotion économique du Canada atlantique</t>
        </is>
      </c>
    </row>
    <row r="3179">
      <c r="A3179" t="inlineStr">
        <is>
          <t>T-2015-Q3-00019</t>
        </is>
      </c>
      <c r="B3179" t="inlineStr">
        <is>
          <t>SLE</t>
        </is>
      </c>
      <c r="C3179" t="inlineStr">
        <is>
          <t>Vice-President, Policy and Programs</t>
        </is>
      </c>
      <c r="D3179" t="inlineStr">
        <is>
          <t>Vice-président, Politiques et Programmes</t>
        </is>
      </c>
      <c r="E3179" t="inlineStr">
        <is>
          <t>Daryell Nowlan</t>
        </is>
      </c>
      <c r="F3179" t="inlineStr">
        <is>
          <t xml:space="preserve">Meetings with Government of Canada and private sector officials </t>
        </is>
      </c>
      <c r="G3179" t="inlineStr">
        <is>
          <t>Réunions avec des fonctionnaires du gouvernement du Canada et des représentants du secteur privé</t>
        </is>
      </c>
      <c r="H3179" s="1" t="n">
        <v>41898</v>
      </c>
      <c r="I3179" s="1" t="n">
        <v>41899</v>
      </c>
      <c r="J3179" t="inlineStr">
        <is>
          <t>Halifax, Nova Scotia</t>
        </is>
      </c>
      <c r="K3179" t="inlineStr">
        <is>
          <t>Halifax (Nouvelle-Écosse)</t>
        </is>
      </c>
      <c r="P3179" t="n">
        <v>0</v>
      </c>
      <c r="Q3179" t="n">
        <v>174.48</v>
      </c>
      <c r="R3179" t="n">
        <v>174.78</v>
      </c>
      <c r="S3179" t="n">
        <v>77.05</v>
      </c>
      <c r="T3179" t="n">
        <v>0</v>
      </c>
      <c r="U3179" t="n">
        <v>426.31</v>
      </c>
      <c r="X3179" t="inlineStr">
        <is>
          <t>acoa-apeca</t>
        </is>
      </c>
      <c r="Y3179" t="inlineStr">
        <is>
          <t>Atlantic Canada Opportunities Agency | Agence de promotion économique du Canada atlantique</t>
        </is>
      </c>
    </row>
    <row r="3180">
      <c r="A3180" t="inlineStr">
        <is>
          <t>T-2015-Q3-00018</t>
        </is>
      </c>
      <c r="B3180" t="inlineStr">
        <is>
          <t>SLE</t>
        </is>
      </c>
      <c r="C3180" t="inlineStr">
        <is>
          <t>Vice President, Nova Scotia</t>
        </is>
      </c>
      <c r="D3180" t="inlineStr">
        <is>
          <t>Vice-président, Nouvelle-Écosse</t>
        </is>
      </c>
      <c r="E3180" t="inlineStr">
        <is>
          <t>Peter Hogan</t>
        </is>
      </c>
      <c r="F3180" t="inlineStr">
        <is>
          <t>Committee Meeting - Sydney</t>
        </is>
      </c>
      <c r="G3180" t="inlineStr">
        <is>
          <t>Réunion de comité – Sydney</t>
        </is>
      </c>
      <c r="H3180" s="1" t="n">
        <v>41897</v>
      </c>
      <c r="I3180" s="1" t="n">
        <v>41897</v>
      </c>
      <c r="J3180" t="inlineStr">
        <is>
          <t>Sydney</t>
        </is>
      </c>
      <c r="P3180" t="n">
        <v>0</v>
      </c>
      <c r="Q3180" t="n">
        <v>81.45</v>
      </c>
      <c r="R3180" t="n">
        <v>0</v>
      </c>
      <c r="S3180" t="n">
        <v>57.7</v>
      </c>
      <c r="T3180" t="n">
        <v>20</v>
      </c>
      <c r="U3180" t="n">
        <v>159.15</v>
      </c>
      <c r="X3180" t="inlineStr">
        <is>
          <t>acoa-apeca</t>
        </is>
      </c>
      <c r="Y3180" t="inlineStr">
        <is>
          <t>Atlantic Canada Opportunities Agency | Agence de promotion économique du Canada atlantique</t>
        </is>
      </c>
    </row>
    <row r="3181">
      <c r="A3181" t="inlineStr">
        <is>
          <t>T-2015-Q3-00017</t>
        </is>
      </c>
      <c r="B3181" t="inlineStr">
        <is>
          <t>MPSES</t>
        </is>
      </c>
      <c r="C3181" t="inlineStr">
        <is>
          <t>Executive Assistant</t>
        </is>
      </c>
      <c r="D3181" t="inlineStr">
        <is>
          <t>Adjoint exécutif</t>
        </is>
      </c>
      <c r="E3181" t="inlineStr">
        <is>
          <t>Josh Hardy</t>
        </is>
      </c>
      <c r="F3181" t="inlineStr">
        <is>
          <t>Travel on government business</t>
        </is>
      </c>
      <c r="G3181" t="inlineStr">
        <is>
          <t>Voyage en service commandé</t>
        </is>
      </c>
      <c r="H3181" s="1" t="n">
        <v>41896</v>
      </c>
      <c r="I3181" s="1" t="n">
        <v>41896</v>
      </c>
      <c r="J3181" t="inlineStr">
        <is>
          <t>Ottawa, Ontario</t>
        </is>
      </c>
      <c r="K3181" t="inlineStr">
        <is>
          <t>Ottawa (Ontario)</t>
        </is>
      </c>
      <c r="P3181" t="n">
        <v>316.51</v>
      </c>
      <c r="Q3181" t="n">
        <v>67.8</v>
      </c>
      <c r="R3181" t="n">
        <v>0</v>
      </c>
      <c r="S3181" t="n">
        <v>0</v>
      </c>
      <c r="T3181" t="n">
        <v>0</v>
      </c>
      <c r="U3181" t="n">
        <v>384.31</v>
      </c>
      <c r="X3181" t="inlineStr">
        <is>
          <t>acoa-apeca</t>
        </is>
      </c>
      <c r="Y3181" t="inlineStr">
        <is>
          <t>Atlantic Canada Opportunities Agency | Agence de promotion économique du Canada atlantique</t>
        </is>
      </c>
    </row>
    <row r="3182">
      <c r="A3182" t="inlineStr">
        <is>
          <t>T-2015-Q3-00016</t>
        </is>
      </c>
      <c r="B3182" t="inlineStr">
        <is>
          <t>SLE</t>
        </is>
      </c>
      <c r="C3182" t="inlineStr">
        <is>
          <t>President</t>
        </is>
      </c>
      <c r="D3182" t="inlineStr">
        <is>
          <t>Président</t>
        </is>
      </c>
      <c r="E3182" t="inlineStr">
        <is>
          <t>Paul J. LeBlanc</t>
        </is>
      </c>
      <c r="F3182" t="inlineStr">
        <is>
          <t>For various meetings and discussions with Agency officials; with Government of Canada officials</t>
        </is>
      </c>
      <c r="G3182" t="inlineStr">
        <is>
          <t>Diverses réunions et discussions avec des fonctionnaires de l'Agence et du gouvernement du Canada</t>
        </is>
      </c>
      <c r="H3182" s="1" t="n">
        <v>41893</v>
      </c>
      <c r="I3182" s="1" t="n">
        <v>41894</v>
      </c>
      <c r="J3182" t="inlineStr">
        <is>
          <t>Ottawa, Ontario</t>
        </is>
      </c>
      <c r="K3182" t="inlineStr">
        <is>
          <t>Ottawa (Ontario)</t>
        </is>
      </c>
      <c r="P3182" t="n">
        <v>697.14</v>
      </c>
      <c r="Q3182" t="n">
        <v>0</v>
      </c>
      <c r="R3182" t="n">
        <v>185.06</v>
      </c>
      <c r="S3182" t="n">
        <v>150.7</v>
      </c>
      <c r="T3182" t="n">
        <v>52</v>
      </c>
      <c r="U3182" t="n">
        <v>1084.9</v>
      </c>
      <c r="X3182" t="inlineStr">
        <is>
          <t>acoa-apeca</t>
        </is>
      </c>
      <c r="Y3182" t="inlineStr">
        <is>
          <t>Atlantic Canada Opportunities Agency | Agence de promotion économique du Canada atlantique</t>
        </is>
      </c>
    </row>
    <row r="3183">
      <c r="A3183" t="inlineStr">
        <is>
          <t>T-2015-Q3-00015</t>
        </is>
      </c>
      <c r="B3183" t="inlineStr">
        <is>
          <t>SLE</t>
        </is>
      </c>
      <c r="C3183" t="inlineStr">
        <is>
          <t>Vice-President, Policy and Programs</t>
        </is>
      </c>
      <c r="D3183" t="inlineStr">
        <is>
          <t>Vice-président, Politiques et Programmes</t>
        </is>
      </c>
      <c r="E3183" t="inlineStr">
        <is>
          <t>Daryell Nowlan</t>
        </is>
      </c>
      <c r="F3183" t="inlineStr">
        <is>
          <t>Meetings with Government of Canada officials</t>
        </is>
      </c>
      <c r="G3183" t="inlineStr">
        <is>
          <t>Réunions avec des fonctionnaires du gouvernement du Canada</t>
        </is>
      </c>
      <c r="H3183" s="1" t="n">
        <v>41893</v>
      </c>
      <c r="I3183" s="1" t="n">
        <v>41894</v>
      </c>
      <c r="J3183" t="inlineStr">
        <is>
          <t>Charlottetown, Prince Edward Island</t>
        </is>
      </c>
      <c r="K3183" t="inlineStr">
        <is>
          <t>Charlottetown (Île-du-Prince-Édouard)</t>
        </is>
      </c>
      <c r="P3183" t="n">
        <v>0</v>
      </c>
      <c r="Q3183" t="n">
        <v>0</v>
      </c>
      <c r="R3183" t="n">
        <v>216.05</v>
      </c>
      <c r="S3183" t="n">
        <v>92.3</v>
      </c>
      <c r="T3183" t="n">
        <v>0</v>
      </c>
      <c r="U3183" t="n">
        <v>308.35</v>
      </c>
      <c r="X3183" t="inlineStr">
        <is>
          <t>acoa-apeca</t>
        </is>
      </c>
      <c r="Y3183" t="inlineStr">
        <is>
          <t>Atlantic Canada Opportunities Agency | Agence de promotion économique du Canada atlantique</t>
        </is>
      </c>
    </row>
    <row r="3184">
      <c r="A3184" t="inlineStr">
        <is>
          <t>T-2015-Q3-00014</t>
        </is>
      </c>
      <c r="B3184" t="inlineStr">
        <is>
          <t>SLE</t>
        </is>
      </c>
      <c r="C3184" t="inlineStr">
        <is>
          <t>Vice President, Nova Scotia</t>
        </is>
      </c>
      <c r="D3184" t="inlineStr">
        <is>
          <t>Vice-président, Nouvelle-Écosse</t>
        </is>
      </c>
      <c r="E3184" t="inlineStr">
        <is>
          <t>Peter Hogan</t>
        </is>
      </c>
      <c r="F3184" t="inlineStr">
        <is>
          <t>Meeting with Government officials</t>
        </is>
      </c>
      <c r="G3184" t="inlineStr">
        <is>
          <t>Réunion avec des fonctionnaires du gouvernement</t>
        </is>
      </c>
      <c r="H3184" s="1" t="n">
        <v>41892</v>
      </c>
      <c r="I3184" s="1" t="n">
        <v>41893</v>
      </c>
      <c r="J3184" t="inlineStr">
        <is>
          <t>Moncton</t>
        </is>
      </c>
      <c r="P3184" t="n">
        <v>0</v>
      </c>
      <c r="Q3184" t="n">
        <v>0</v>
      </c>
      <c r="R3184" t="n">
        <v>50</v>
      </c>
      <c r="S3184" t="n">
        <v>108.25</v>
      </c>
      <c r="T3184" t="n">
        <v>21</v>
      </c>
      <c r="U3184" t="n">
        <v>179.25</v>
      </c>
      <c r="X3184" t="inlineStr">
        <is>
          <t>acoa-apeca</t>
        </is>
      </c>
      <c r="Y3184" t="inlineStr">
        <is>
          <t>Atlantic Canada Opportunities Agency | Agence de promotion économique du Canada atlantique</t>
        </is>
      </c>
    </row>
    <row r="3185">
      <c r="A3185" t="inlineStr">
        <is>
          <t>T-2015-Q3-00012</t>
        </is>
      </c>
      <c r="B3185" t="inlineStr">
        <is>
          <t>SLE</t>
        </is>
      </c>
      <c r="C3185" t="inlineStr">
        <is>
          <t>Vice-President, Prince Edward Island</t>
        </is>
      </c>
      <c r="D3185" t="inlineStr">
        <is>
          <t>Vice-président, Île-du-Prince-Édouard</t>
        </is>
      </c>
      <c r="E3185" t="inlineStr">
        <is>
          <t>Patrick Dorsey</t>
        </is>
      </c>
      <c r="F3185" t="inlineStr">
        <is>
          <t>Meetings with Government of Canada officials in Moncton</t>
        </is>
      </c>
      <c r="G3185" t="inlineStr">
        <is>
          <t>Réunions avec des fonctionnaires du gouvernement du Canada à Moncton</t>
        </is>
      </c>
      <c r="H3185" s="1" t="n">
        <v>41892</v>
      </c>
      <c r="I3185" s="1" t="n">
        <v>41893</v>
      </c>
      <c r="J3185" t="inlineStr">
        <is>
          <t>Moncton, New Brunswick</t>
        </is>
      </c>
      <c r="K3185" t="inlineStr">
        <is>
          <t>Moncton (Nouveau-Brunswick)</t>
        </is>
      </c>
      <c r="P3185" t="n">
        <v>0</v>
      </c>
      <c r="Q3185" t="n">
        <v>102.63</v>
      </c>
      <c r="R3185" t="n">
        <v>113</v>
      </c>
      <c r="S3185" t="n">
        <v>135.45</v>
      </c>
      <c r="T3185" t="n">
        <v>0</v>
      </c>
      <c r="U3185" t="n">
        <v>351.08</v>
      </c>
      <c r="X3185" t="inlineStr">
        <is>
          <t>acoa-apeca</t>
        </is>
      </c>
      <c r="Y3185" t="inlineStr">
        <is>
          <t>Atlantic Canada Opportunities Agency | Agence de promotion économique du Canada atlantique</t>
        </is>
      </c>
    </row>
    <row r="3186">
      <c r="A3186" t="inlineStr">
        <is>
          <t>T-2015-Q3-00011</t>
        </is>
      </c>
      <c r="B3186" t="inlineStr">
        <is>
          <t>SLE</t>
        </is>
      </c>
      <c r="C3186" t="inlineStr">
        <is>
          <t>Vice-President, Newfoundland and Labrador</t>
        </is>
      </c>
      <c r="D3186" t="inlineStr">
        <is>
          <t>Vice-président, Terre-Neuve-et-Labrador</t>
        </is>
      </c>
      <c r="E3186" t="inlineStr">
        <is>
          <t>Paul Mills</t>
        </is>
      </c>
      <c r="F3186" t="inlineStr">
        <is>
          <t xml:space="preserve">Executive Committee meeting </t>
        </is>
      </c>
      <c r="G3186" t="inlineStr">
        <is>
          <t>Réunion du Comité de direction</t>
        </is>
      </c>
      <c r="H3186" s="1" t="n">
        <v>41892</v>
      </c>
      <c r="I3186" s="1" t="n">
        <v>41894</v>
      </c>
      <c r="J3186" t="inlineStr">
        <is>
          <t>Moncton, New Brunswick</t>
        </is>
      </c>
      <c r="K3186" t="inlineStr">
        <is>
          <t>Moncton (Nouveau-Brunwick)</t>
        </is>
      </c>
      <c r="P3186" t="n">
        <v>1369.61</v>
      </c>
      <c r="Q3186" t="n">
        <v>251.22</v>
      </c>
      <c r="R3186" t="n">
        <v>299.51</v>
      </c>
      <c r="S3186" t="n">
        <v>199.2</v>
      </c>
      <c r="T3186" t="n">
        <v>8.140000000000001</v>
      </c>
      <c r="U3186" t="n">
        <v>2127.68</v>
      </c>
      <c r="X3186" t="inlineStr">
        <is>
          <t>acoa-apeca</t>
        </is>
      </c>
      <c r="Y3186" t="inlineStr">
        <is>
          <t>Atlantic Canada Opportunities Agency | Agence de promotion économique du Canada atlantique</t>
        </is>
      </c>
    </row>
    <row r="3187">
      <c r="A3187" t="inlineStr">
        <is>
          <t>T-2015-Q3-00010</t>
        </is>
      </c>
      <c r="B3187" t="inlineStr">
        <is>
          <t>MPSES</t>
        </is>
      </c>
      <c r="C3187" t="inlineStr">
        <is>
          <t>Parliamentary Secretary</t>
        </is>
      </c>
      <c r="D3187" t="inlineStr">
        <is>
          <t>Secrétaire parlementaire</t>
        </is>
      </c>
      <c r="E3187" t="inlineStr">
        <is>
          <t>Gerald Keddy</t>
        </is>
      </c>
      <c r="F3187" t="inlineStr">
        <is>
          <t>Travel on government business</t>
        </is>
      </c>
      <c r="G3187" t="inlineStr">
        <is>
          <t>Voyage en service commandé</t>
        </is>
      </c>
      <c r="H3187" s="1" t="n">
        <v>41890</v>
      </c>
      <c r="I3187" s="1" t="n">
        <v>41891</v>
      </c>
      <c r="J3187" t="inlineStr">
        <is>
          <t>St. John's, Gander, Newfoundland and Labrador</t>
        </is>
      </c>
      <c r="K3187" t="inlineStr">
        <is>
          <t>St. John's et Gander (Terre-Neuve-et-Labrador)</t>
        </is>
      </c>
      <c r="P3187" t="n">
        <v>1061.99</v>
      </c>
      <c r="Q3187" t="n">
        <v>0</v>
      </c>
      <c r="R3187" t="n">
        <v>209.43</v>
      </c>
      <c r="S3187" t="n">
        <v>165.95</v>
      </c>
      <c r="T3187" t="n">
        <v>0</v>
      </c>
      <c r="U3187" t="n">
        <v>1437.37</v>
      </c>
      <c r="X3187" t="inlineStr">
        <is>
          <t>acoa-apeca</t>
        </is>
      </c>
      <c r="Y3187" t="inlineStr">
        <is>
          <t>Atlantic Canada Opportunities Agency | Agence de promotion économique du Canada atlantique</t>
        </is>
      </c>
    </row>
    <row r="3188">
      <c r="A3188" t="inlineStr">
        <is>
          <t>T-2015-Q3-00009</t>
        </is>
      </c>
      <c r="B3188" t="inlineStr">
        <is>
          <t>MPSES</t>
        </is>
      </c>
      <c r="C3188" t="inlineStr">
        <is>
          <t>Executive Assistant</t>
        </is>
      </c>
      <c r="D3188" t="inlineStr">
        <is>
          <t>Adjoint exécutif</t>
        </is>
      </c>
      <c r="E3188" t="inlineStr">
        <is>
          <t>Josh Hardy</t>
        </is>
      </c>
      <c r="F3188" t="inlineStr">
        <is>
          <t>Travel on government business</t>
        </is>
      </c>
      <c r="G3188" t="inlineStr">
        <is>
          <t>Voyage en service commandé</t>
        </is>
      </c>
      <c r="H3188" s="1" t="n">
        <v>41890</v>
      </c>
      <c r="I3188" s="1" t="n">
        <v>41890</v>
      </c>
      <c r="J3188" t="inlineStr">
        <is>
          <t>Halifax, Nova Scotia</t>
        </is>
      </c>
      <c r="K3188" t="inlineStr">
        <is>
          <t>Halifax (Nouvelle-Écosse)</t>
        </is>
      </c>
      <c r="P3188" t="n">
        <v>527.41</v>
      </c>
      <c r="Q3188" t="n">
        <v>150.57</v>
      </c>
      <c r="R3188" t="n">
        <v>0</v>
      </c>
      <c r="S3188" t="n">
        <v>58.4</v>
      </c>
      <c r="T3188" t="n">
        <v>0</v>
      </c>
      <c r="U3188" t="n">
        <v>736.38</v>
      </c>
      <c r="X3188" t="inlineStr">
        <is>
          <t>acoa-apeca</t>
        </is>
      </c>
      <c r="Y3188" t="inlineStr">
        <is>
          <t>Atlantic Canada Opportunities Agency | Agence de promotion économique du Canada atlantique</t>
        </is>
      </c>
    </row>
    <row r="3189">
      <c r="A3189" t="inlineStr">
        <is>
          <t>T-2015-Q3-00008</t>
        </is>
      </c>
      <c r="B3189" t="inlineStr">
        <is>
          <t>MPSES</t>
        </is>
      </c>
      <c r="C3189" t="inlineStr">
        <is>
          <t>Minister of State</t>
        </is>
      </c>
      <c r="D3189" t="inlineStr">
        <is>
          <t>Ministre d'État</t>
        </is>
      </c>
      <c r="E3189" t="inlineStr">
        <is>
          <t>Rob Moore</t>
        </is>
      </c>
      <c r="F3189" t="inlineStr">
        <is>
          <t>To attend two Government of Canada announcements and two stakeholder meetings</t>
        </is>
      </c>
      <c r="G3189" t="inlineStr">
        <is>
          <t>Assister à deux annonces du gouvernement du Canada et à deux réunions avec des parties intéressées</t>
        </is>
      </c>
      <c r="H3189" s="1" t="n">
        <v>41890</v>
      </c>
      <c r="I3189" s="1" t="n">
        <v>41890</v>
      </c>
      <c r="J3189" t="inlineStr">
        <is>
          <t>Halifax, Weymouth, Cornwallis, Annapolis Royal and Berwick, Nova Scotia</t>
        </is>
      </c>
      <c r="K3189" t="inlineStr">
        <is>
          <t>Halifax, Weymouth, Cornwallis, Annapolis Royal et Berwick (Nouvelle-Écosse)</t>
        </is>
      </c>
      <c r="P3189" t="n">
        <v>527.41</v>
      </c>
      <c r="Q3189" t="n">
        <v>21.42</v>
      </c>
      <c r="R3189" t="n">
        <v>0</v>
      </c>
      <c r="S3189" t="n">
        <v>58.4</v>
      </c>
      <c r="T3189" t="n">
        <v>0</v>
      </c>
      <c r="U3189" t="n">
        <v>607.23</v>
      </c>
      <c r="X3189" t="inlineStr">
        <is>
          <t>acoa-apeca</t>
        </is>
      </c>
      <c r="Y3189" t="inlineStr">
        <is>
          <t>Atlantic Canada Opportunities Agency | Agence de promotion économique du Canada atlantique</t>
        </is>
      </c>
    </row>
    <row r="3190">
      <c r="A3190" t="inlineStr">
        <is>
          <t>T-2015-Q3-00007</t>
        </is>
      </c>
      <c r="B3190" t="inlineStr">
        <is>
          <t>SLE</t>
        </is>
      </c>
      <c r="C3190" t="inlineStr">
        <is>
          <t>Vice President, Nova Scotia</t>
        </is>
      </c>
      <c r="D3190" t="inlineStr">
        <is>
          <t>Vice-président, Nouvelle-Écosse</t>
        </is>
      </c>
      <c r="E3190" t="inlineStr">
        <is>
          <t>Peter Hogan</t>
        </is>
      </c>
      <c r="F3190" t="inlineStr">
        <is>
          <t>Meetings with stakeholders, Sydney office</t>
        </is>
      </c>
      <c r="G3190" t="inlineStr">
        <is>
          <t>Réunions avec des intervenants, bureau de Sydney</t>
        </is>
      </c>
      <c r="H3190" s="1" t="n">
        <v>41887</v>
      </c>
      <c r="I3190" s="1" t="n">
        <v>41887</v>
      </c>
      <c r="J3190" t="inlineStr">
        <is>
          <t>Sydney</t>
        </is>
      </c>
      <c r="P3190" t="n">
        <v>88.34999999999999</v>
      </c>
      <c r="Q3190" t="n">
        <v>20.08</v>
      </c>
      <c r="R3190" t="n">
        <v>0</v>
      </c>
      <c r="S3190" t="n">
        <v>15.25</v>
      </c>
      <c r="T3190" t="n">
        <v>20</v>
      </c>
      <c r="U3190" t="n">
        <v>143.68</v>
      </c>
      <c r="X3190" t="inlineStr">
        <is>
          <t>acoa-apeca</t>
        </is>
      </c>
      <c r="Y3190" t="inlineStr">
        <is>
          <t>Atlantic Canada Opportunities Agency | Agence de promotion économique du Canada atlantique</t>
        </is>
      </c>
    </row>
    <row r="3191">
      <c r="A3191" t="inlineStr">
        <is>
          <t>T-2015-Q3-00004</t>
        </is>
      </c>
      <c r="B3191" t="inlineStr">
        <is>
          <t>MPSES</t>
        </is>
      </c>
      <c r="C3191" t="inlineStr">
        <is>
          <t>Minister of State</t>
        </is>
      </c>
      <c r="D3191" t="inlineStr">
        <is>
          <t>Ministre d'État</t>
        </is>
      </c>
      <c r="E3191" t="inlineStr">
        <is>
          <t>Rob Moore</t>
        </is>
      </c>
      <c r="F3191" t="inlineStr">
        <is>
          <t>To attend two Government of Canada announcements and stakeholder meeting</t>
        </is>
      </c>
      <c r="G3191" t="inlineStr">
        <is>
          <t>Assister à deux annonces du gouvernement du Canada et à une réunion avec des parties intéressées</t>
        </is>
      </c>
      <c r="H3191" s="1" t="n">
        <v>41886</v>
      </c>
      <c r="I3191" s="1" t="n">
        <v>41886</v>
      </c>
      <c r="J3191" t="inlineStr">
        <is>
          <t>Halifax, Bridgewater, Liverpool and Caledonia, Nova Scotia</t>
        </is>
      </c>
      <c r="K3191" t="inlineStr">
        <is>
          <t>Halifax, Bridgewater, Liverpool et Caledonia (Nouvelle-Écosse)</t>
        </is>
      </c>
      <c r="P3191" t="n">
        <v>582.16</v>
      </c>
      <c r="Q3191" t="n">
        <v>21.42</v>
      </c>
      <c r="R3191" t="n">
        <v>0</v>
      </c>
      <c r="S3191" t="n">
        <v>57.7</v>
      </c>
      <c r="T3191" t="n">
        <v>0</v>
      </c>
      <c r="U3191" t="n">
        <v>661.28</v>
      </c>
      <c r="X3191" t="inlineStr">
        <is>
          <t>acoa-apeca</t>
        </is>
      </c>
      <c r="Y3191" t="inlineStr">
        <is>
          <t>Atlantic Canada Opportunities Agency | Agence de promotion économique du Canada atlantique</t>
        </is>
      </c>
    </row>
    <row r="3192">
      <c r="A3192" t="inlineStr">
        <is>
          <t>T-2015-Q3-00002</t>
        </is>
      </c>
      <c r="B3192" t="inlineStr">
        <is>
          <t>SLE</t>
        </is>
      </c>
      <c r="C3192" t="inlineStr">
        <is>
          <t>Vice-President, Finance and Corporate Services</t>
        </is>
      </c>
      <c r="D3192" t="inlineStr">
        <is>
          <t>Vice-présidente, Finances et Services corporatifs</t>
        </is>
      </c>
      <c r="E3192" t="inlineStr">
        <is>
          <t>Denise Frenette</t>
        </is>
      </c>
      <c r="F3192" t="inlineStr">
        <is>
          <t>Regional Development Agencies Chief Financial Officers meeting in Ottawa</t>
        </is>
      </c>
      <c r="G3192" t="inlineStr">
        <is>
          <t>Réunion de dirigeants principaux des finances d'organismes de développement régional à Ottawa</t>
        </is>
      </c>
      <c r="H3192" s="1" t="n">
        <v>41884</v>
      </c>
      <c r="I3192" s="1" t="n">
        <v>41885</v>
      </c>
      <c r="J3192" t="inlineStr">
        <is>
          <t>Ottawa, Ontario</t>
        </is>
      </c>
      <c r="K3192" t="inlineStr">
        <is>
          <t>Ottawa (Ontario)</t>
        </is>
      </c>
      <c r="P3192" t="n">
        <v>0</v>
      </c>
      <c r="Q3192" t="n">
        <v>63.64</v>
      </c>
      <c r="R3192" t="n">
        <v>196.7</v>
      </c>
      <c r="S3192" t="n">
        <v>134.75</v>
      </c>
      <c r="T3192" t="n">
        <v>0</v>
      </c>
      <c r="U3192" t="n">
        <v>395.09</v>
      </c>
      <c r="X3192" t="inlineStr">
        <is>
          <t>acoa-apeca</t>
        </is>
      </c>
      <c r="Y3192" t="inlineStr">
        <is>
          <t>Atlantic Canada Opportunities Agency | Agence de promotion économique du Canada atlantique</t>
        </is>
      </c>
    </row>
    <row r="3193">
      <c r="A3193" t="inlineStr">
        <is>
          <t>T-2015-Q3-00001</t>
        </is>
      </c>
      <c r="B3193" t="inlineStr">
        <is>
          <t>SLE</t>
        </is>
      </c>
      <c r="C3193" t="inlineStr">
        <is>
          <t>Vice-President, Policy and Programs</t>
        </is>
      </c>
      <c r="D3193" t="inlineStr">
        <is>
          <t>Vice-président, Politiques et Programmes</t>
        </is>
      </c>
      <c r="E3193" t="inlineStr">
        <is>
          <t>Daryell Nowlan</t>
        </is>
      </c>
      <c r="F3193" t="inlineStr">
        <is>
          <t>Meetings with Government of Canada officials and private sector officials</t>
        </is>
      </c>
      <c r="G3193" t="inlineStr">
        <is>
          <t>Réunions avec des fonctionnaires du gouvernement du Canada et des représentants du secteur privé</t>
        </is>
      </c>
      <c r="H3193" s="1" t="n">
        <v>41884</v>
      </c>
      <c r="I3193" s="1" t="n">
        <v>41887</v>
      </c>
      <c r="J3193" t="inlineStr">
        <is>
          <t>Halifax, Nova Scotia</t>
        </is>
      </c>
      <c r="K3193" t="inlineStr">
        <is>
          <t>Halifax (Nouvelle-Écosse)</t>
        </is>
      </c>
      <c r="P3193" t="n">
        <v>0</v>
      </c>
      <c r="Q3193" t="n">
        <v>346.83</v>
      </c>
      <c r="R3193" t="n">
        <v>524.34</v>
      </c>
      <c r="S3193" t="n">
        <v>167.3</v>
      </c>
      <c r="T3193" t="n">
        <v>0</v>
      </c>
      <c r="U3193" t="n">
        <v>1038.47</v>
      </c>
      <c r="X3193" t="inlineStr">
        <is>
          <t>acoa-apeca</t>
        </is>
      </c>
      <c r="Y3193" t="inlineStr">
        <is>
          <t>Atlantic Canada Opportunities Agency | Agence de promotion économique du Canada atlantique</t>
        </is>
      </c>
    </row>
    <row r="3194">
      <c r="A3194" t="inlineStr">
        <is>
          <t>T-2015-Q2-00061</t>
        </is>
      </c>
      <c r="B3194" t="inlineStr">
        <is>
          <t>SLE</t>
        </is>
      </c>
      <c r="C3194" t="inlineStr">
        <is>
          <t>Vice-President, New Brunswick</t>
        </is>
      </c>
      <c r="D3194" t="inlineStr">
        <is>
          <t>Vice-président, Nouveau-Brunswick</t>
        </is>
      </c>
      <c r="E3194" t="inlineStr">
        <is>
          <t>Kent Estabrooks</t>
        </is>
      </c>
      <c r="F3194" t="inlineStr">
        <is>
          <t>To attend Hong Kong Seafood Expo 2014 with New Brunswick delegation</t>
        </is>
      </c>
      <c r="G3194" t="inlineStr">
        <is>
          <t>Assister à l'exposition Hong Kong Seafood Expo 2014 avec la délégation du Nouveau-Brunswick</t>
        </is>
      </c>
      <c r="H3194" s="1" t="n">
        <v>41881</v>
      </c>
      <c r="I3194" s="1" t="n">
        <v>41888</v>
      </c>
      <c r="J3194" t="inlineStr">
        <is>
          <t>Hong Kong, Hong Kong</t>
        </is>
      </c>
      <c r="K3194" t="inlineStr">
        <is>
          <t>Hong Kong (Hong Kong)</t>
        </is>
      </c>
      <c r="P3194" t="n">
        <v>3555.35</v>
      </c>
      <c r="Q3194" t="n">
        <v>170.07</v>
      </c>
      <c r="R3194" t="n">
        <v>1495.03</v>
      </c>
      <c r="S3194" t="n">
        <v>768.14</v>
      </c>
      <c r="T3194" t="n">
        <v>9.949999999999999</v>
      </c>
      <c r="U3194" t="n">
        <v>5998.54</v>
      </c>
      <c r="X3194" t="inlineStr">
        <is>
          <t>acoa-apeca</t>
        </is>
      </c>
      <c r="Y3194" t="inlineStr">
        <is>
          <t>Atlantic Canada Opportunities Agency | Agence de promotion économique du Canada atlantique</t>
        </is>
      </c>
    </row>
    <row r="3195">
      <c r="A3195" t="inlineStr">
        <is>
          <t>T-2015-Q2-00060</t>
        </is>
      </c>
      <c r="B3195" t="inlineStr">
        <is>
          <t>MPSES</t>
        </is>
      </c>
      <c r="C3195" t="inlineStr">
        <is>
          <t>Executive Assistant</t>
        </is>
      </c>
      <c r="D3195" t="inlineStr">
        <is>
          <t>Adjoint exécutif</t>
        </is>
      </c>
      <c r="E3195" t="inlineStr">
        <is>
          <t>Josh Hardy</t>
        </is>
      </c>
      <c r="F3195" t="inlineStr">
        <is>
          <t>Travel to accompany Minister of State</t>
        </is>
      </c>
      <c r="G3195" t="inlineStr">
        <is>
          <t>Voyage pour accompagner le ministre d'État</t>
        </is>
      </c>
      <c r="H3195" s="1" t="n">
        <v>41879</v>
      </c>
      <c r="I3195" s="1" t="n">
        <v>41880</v>
      </c>
      <c r="J3195" t="inlineStr">
        <is>
          <t>O'Leary, Prince Edward Island</t>
        </is>
      </c>
      <c r="K3195" t="inlineStr">
        <is>
          <t>O'Leary (Île-du-Prince-Édouard)</t>
        </is>
      </c>
      <c r="P3195" t="n">
        <v>0</v>
      </c>
      <c r="Q3195" t="n">
        <v>0</v>
      </c>
      <c r="R3195" t="n">
        <v>153.9</v>
      </c>
      <c r="S3195" t="n">
        <v>122.15</v>
      </c>
      <c r="T3195" t="n">
        <v>0</v>
      </c>
      <c r="U3195" t="n">
        <v>276.05</v>
      </c>
      <c r="X3195" t="inlineStr">
        <is>
          <t>acoa-apeca</t>
        </is>
      </c>
      <c r="Y3195" t="inlineStr">
        <is>
          <t>Atlantic Canada Opportunities Agency | Agence de promotion économique du Canada atlantique</t>
        </is>
      </c>
    </row>
    <row r="3196">
      <c r="A3196" t="inlineStr">
        <is>
          <t>T-2015-Q2-00059</t>
        </is>
      </c>
      <c r="B3196" t="inlineStr">
        <is>
          <t>MPSES</t>
        </is>
      </c>
      <c r="C3196" t="inlineStr">
        <is>
          <t>Chief of Staff</t>
        </is>
      </c>
      <c r="D3196" t="inlineStr">
        <is>
          <t>Chef de cabinet</t>
        </is>
      </c>
      <c r="E3196" t="inlineStr">
        <is>
          <t>Shane Bourke</t>
        </is>
      </c>
      <c r="F3196" t="inlineStr">
        <is>
          <t>Travel on government business</t>
        </is>
      </c>
      <c r="G3196" t="inlineStr">
        <is>
          <t>Voyage en service commandé</t>
        </is>
      </c>
      <c r="H3196" s="1" t="n">
        <v>41878</v>
      </c>
      <c r="I3196" s="1" t="n">
        <v>41880</v>
      </c>
      <c r="J3196" t="inlineStr">
        <is>
          <t>Moncton, New Brunswick</t>
        </is>
      </c>
      <c r="K3196" t="inlineStr">
        <is>
          <t>Moncton (Nouveau-Brunswick)</t>
        </is>
      </c>
      <c r="P3196" t="n">
        <v>565.55</v>
      </c>
      <c r="Q3196" t="n">
        <v>242.36</v>
      </c>
      <c r="R3196" t="n">
        <v>297.76</v>
      </c>
      <c r="S3196" t="n">
        <v>90.95</v>
      </c>
      <c r="T3196" t="n">
        <v>0</v>
      </c>
      <c r="U3196" t="n">
        <v>1196.62</v>
      </c>
      <c r="X3196" t="inlineStr">
        <is>
          <t>acoa-apeca</t>
        </is>
      </c>
      <c r="Y3196" t="inlineStr">
        <is>
          <t>Atlantic Canada Opportunities Agency | Agence de promotion économique du Canada atlantique</t>
        </is>
      </c>
    </row>
    <row r="3197">
      <c r="A3197" t="inlineStr">
        <is>
          <t>T-2015-Q2-00058</t>
        </is>
      </c>
      <c r="B3197" t="inlineStr">
        <is>
          <t>MPSES</t>
        </is>
      </c>
      <c r="C3197" t="inlineStr">
        <is>
          <t>Executive Assistant</t>
        </is>
      </c>
      <c r="D3197" t="inlineStr">
        <is>
          <t>Adjoint exécutif</t>
        </is>
      </c>
      <c r="E3197" t="inlineStr">
        <is>
          <t>Josh Hardy</t>
        </is>
      </c>
      <c r="F3197" t="inlineStr">
        <is>
          <t>Travel on government business</t>
        </is>
      </c>
      <c r="G3197" t="inlineStr">
        <is>
          <t>Voyage en service commandé</t>
        </is>
      </c>
      <c r="H3197" s="1" t="n">
        <v>41878</v>
      </c>
      <c r="I3197" s="1" t="n">
        <v>41878</v>
      </c>
      <c r="J3197" t="inlineStr">
        <is>
          <t>Wolfville, Nova Scotia</t>
        </is>
      </c>
      <c r="K3197" t="inlineStr">
        <is>
          <t>Wolfville (Nouvelle-Écosse)</t>
        </is>
      </c>
      <c r="P3197" t="n">
        <v>0</v>
      </c>
      <c r="Q3197" t="n">
        <v>0</v>
      </c>
      <c r="R3197" t="n">
        <v>0</v>
      </c>
      <c r="S3197" t="n">
        <v>73.65000000000001</v>
      </c>
      <c r="T3197" t="n">
        <v>0</v>
      </c>
      <c r="U3197" t="n">
        <v>73.65000000000001</v>
      </c>
      <c r="X3197" t="inlineStr">
        <is>
          <t>acoa-apeca</t>
        </is>
      </c>
      <c r="Y3197" t="inlineStr">
        <is>
          <t>Atlantic Canada Opportunities Agency | Agence de promotion économique du Canada atlantique</t>
        </is>
      </c>
    </row>
    <row r="3198">
      <c r="A3198" t="inlineStr">
        <is>
          <t>T-2015-Q2-00057</t>
        </is>
      </c>
      <c r="B3198" t="inlineStr">
        <is>
          <t>MPSES</t>
        </is>
      </c>
      <c r="C3198" t="inlineStr">
        <is>
          <t>Minister of State</t>
        </is>
      </c>
      <c r="D3198" t="inlineStr">
        <is>
          <t>Ministre d'État</t>
        </is>
      </c>
      <c r="E3198" t="inlineStr">
        <is>
          <t>Rob Moore</t>
        </is>
      </c>
      <c r="F3198" t="inlineStr">
        <is>
          <t>To attend Government of Canada announcement and pre-budget roundtable</t>
        </is>
      </c>
      <c r="G3198" t="inlineStr">
        <is>
          <t>Assister à une annonce du gouvernement du Canada et à une table ronde prébudgétaire</t>
        </is>
      </c>
      <c r="H3198" s="1" t="n">
        <v>41878</v>
      </c>
      <c r="I3198" s="1" t="n">
        <v>41878</v>
      </c>
      <c r="J3198" t="inlineStr">
        <is>
          <t>Wolfville, Nova Scotia</t>
        </is>
      </c>
      <c r="K3198" t="inlineStr">
        <is>
          <t>Wolfville (Nouvelle-Écosse)</t>
        </is>
      </c>
      <c r="P3198" t="n">
        <v>0</v>
      </c>
      <c r="Q3198" t="n">
        <v>470.06</v>
      </c>
      <c r="R3198" t="n">
        <v>0</v>
      </c>
      <c r="S3198" t="n">
        <v>73.65000000000001</v>
      </c>
      <c r="T3198" t="n">
        <v>0</v>
      </c>
      <c r="U3198" t="n">
        <v>543.71</v>
      </c>
      <c r="X3198" t="inlineStr">
        <is>
          <t>acoa-apeca</t>
        </is>
      </c>
      <c r="Y3198" t="inlineStr">
        <is>
          <t>Atlantic Canada Opportunities Agency | Agence de promotion économique du Canada atlantique</t>
        </is>
      </c>
    </row>
    <row r="3199">
      <c r="A3199" t="inlineStr">
        <is>
          <t>T-2015-Q2-00055</t>
        </is>
      </c>
      <c r="B3199" t="inlineStr">
        <is>
          <t>SLE</t>
        </is>
      </c>
      <c r="C3199" t="inlineStr">
        <is>
          <t>Vice-President, Prince Edward Island</t>
        </is>
      </c>
      <c r="D3199" t="inlineStr">
        <is>
          <t>Vice-président, Île-du-Prince-Édouard</t>
        </is>
      </c>
      <c r="E3199" t="inlineStr">
        <is>
          <t>Patrick Dorsey</t>
        </is>
      </c>
      <c r="F3199" t="inlineStr">
        <is>
          <t>Meetings in Western and Central Prince Edward Island</t>
        </is>
      </c>
      <c r="G3199" t="inlineStr">
        <is>
          <t>Réunions dans l'ouest et le centre de l'Île-du-Prince-Édouard</t>
        </is>
      </c>
      <c r="H3199" s="1" t="n">
        <v>41878</v>
      </c>
      <c r="I3199" s="1" t="n">
        <v>41879</v>
      </c>
      <c r="J3199" t="inlineStr">
        <is>
          <t>Western and Central Prince Edward Island</t>
        </is>
      </c>
      <c r="K3199" t="inlineStr">
        <is>
          <t>Ouest et centre de l'Île-du-Prince-Édouard</t>
        </is>
      </c>
      <c r="P3199" t="n">
        <v>0</v>
      </c>
      <c r="Q3199" t="n">
        <v>0</v>
      </c>
      <c r="R3199" t="n">
        <v>0</v>
      </c>
      <c r="S3199" t="n">
        <v>57.7</v>
      </c>
      <c r="T3199" t="n">
        <v>0</v>
      </c>
      <c r="U3199" t="n">
        <v>57.7</v>
      </c>
      <c r="X3199" t="inlineStr">
        <is>
          <t>acoa-apeca</t>
        </is>
      </c>
      <c r="Y3199" t="inlineStr">
        <is>
          <t>Atlantic Canada Opportunities Agency | Agence de promotion économique du Canada atlantique</t>
        </is>
      </c>
    </row>
    <row r="3200">
      <c r="A3200" t="inlineStr">
        <is>
          <t>T-2015-Q2-00054</t>
        </is>
      </c>
      <c r="B3200" t="inlineStr">
        <is>
          <t>SLE</t>
        </is>
      </c>
      <c r="C3200" t="inlineStr">
        <is>
          <t>Vice-President, Finance and Corporate Services</t>
        </is>
      </c>
      <c r="D3200" t="inlineStr">
        <is>
          <t>Vice-présidente, Finances et Services corporatifs</t>
        </is>
      </c>
      <c r="E3200" t="inlineStr">
        <is>
          <t>Denise Frenette</t>
        </is>
      </c>
      <c r="F3200" t="inlineStr">
        <is>
          <t>Interviews in Ottawa</t>
        </is>
      </c>
      <c r="G3200" t="inlineStr">
        <is>
          <t>Entrevues à Ottawa</t>
        </is>
      </c>
      <c r="H3200" s="1" t="n">
        <v>41877</v>
      </c>
      <c r="I3200" s="1" t="n">
        <v>41878</v>
      </c>
      <c r="J3200" t="inlineStr">
        <is>
          <t>Ottawa, Ontario</t>
        </is>
      </c>
      <c r="K3200" t="inlineStr">
        <is>
          <t>Ottawa (Ontario)</t>
        </is>
      </c>
      <c r="P3200" t="n">
        <v>0</v>
      </c>
      <c r="Q3200" t="n">
        <v>62.14</v>
      </c>
      <c r="R3200" t="n">
        <v>182.73</v>
      </c>
      <c r="S3200" t="n">
        <v>150.7</v>
      </c>
      <c r="T3200" t="n">
        <v>0</v>
      </c>
      <c r="U3200" t="n">
        <v>395.57</v>
      </c>
      <c r="X3200" t="inlineStr">
        <is>
          <t>acoa-apeca</t>
        </is>
      </c>
      <c r="Y3200" t="inlineStr">
        <is>
          <t>Atlantic Canada Opportunities Agency | Agence de promotion économique du Canada atlantique</t>
        </is>
      </c>
    </row>
    <row r="3201">
      <c r="A3201" t="inlineStr">
        <is>
          <t>T-2015-Q2-00051</t>
        </is>
      </c>
      <c r="B3201" t="inlineStr">
        <is>
          <t>MPSES</t>
        </is>
      </c>
      <c r="C3201" t="inlineStr">
        <is>
          <t>Minister of State</t>
        </is>
      </c>
      <c r="D3201" t="inlineStr">
        <is>
          <t>Ministre d'État</t>
        </is>
      </c>
      <c r="E3201" t="inlineStr">
        <is>
          <t>Rob Moore</t>
        </is>
      </c>
      <c r="F3201" t="inlineStr">
        <is>
          <t>To attend Government of Canada announcement</t>
        </is>
      </c>
      <c r="G3201" t="inlineStr">
        <is>
          <t>Assister à une annonce du gouvernement du Canada</t>
        </is>
      </c>
      <c r="H3201" s="1" t="n">
        <v>41869</v>
      </c>
      <c r="I3201" s="1" t="n">
        <v>41869</v>
      </c>
      <c r="J3201" t="inlineStr">
        <is>
          <t>Fredericton, New Brunswick</t>
        </is>
      </c>
      <c r="K3201" t="inlineStr">
        <is>
          <t>Fredericton (Nouveau-Brunswick)</t>
        </is>
      </c>
      <c r="P3201" t="n">
        <v>0</v>
      </c>
      <c r="Q3201" t="n">
        <v>138.72</v>
      </c>
      <c r="R3201" t="n">
        <v>0</v>
      </c>
      <c r="S3201" t="n">
        <v>0</v>
      </c>
      <c r="T3201" t="n">
        <v>0</v>
      </c>
      <c r="U3201" t="n">
        <v>138.72</v>
      </c>
      <c r="X3201" t="inlineStr">
        <is>
          <t>acoa-apeca</t>
        </is>
      </c>
      <c r="Y3201" t="inlineStr">
        <is>
          <t>Atlantic Canada Opportunities Agency | Agence de promotion économique du Canada atlantique</t>
        </is>
      </c>
    </row>
    <row r="3202">
      <c r="A3202" t="inlineStr">
        <is>
          <t>T-2015-Q2-00050</t>
        </is>
      </c>
      <c r="B3202" t="inlineStr">
        <is>
          <t>SLE</t>
        </is>
      </c>
      <c r="C3202" t="inlineStr">
        <is>
          <t>Vice-President, Newfoundland and Labrador</t>
        </is>
      </c>
      <c r="D3202" t="inlineStr">
        <is>
          <t>Vice-président, Terre-Neuve-et-Labrador</t>
        </is>
      </c>
      <c r="E3202" t="inlineStr">
        <is>
          <t>Paul Mills</t>
        </is>
      </c>
      <c r="F3202" t="inlineStr">
        <is>
          <t>Client meetings across Newfoundland and Southern Labrador</t>
        </is>
      </c>
      <c r="G3202" t="inlineStr">
        <is>
          <t>Réunions avec des clients à Terre-Neuve et dans le sud du Labrador</t>
        </is>
      </c>
      <c r="H3202" s="1" t="n">
        <v>41867</v>
      </c>
      <c r="I3202" s="1" t="n">
        <v>41872</v>
      </c>
      <c r="J3202" t="inlineStr">
        <is>
          <t>Battle Harbour, Newfoundland and Labrador</t>
        </is>
      </c>
      <c r="K3202" t="inlineStr">
        <is>
          <t>Battle Harbour (Terre-Neuve-et-Labrador)</t>
        </is>
      </c>
      <c r="P3202" t="n">
        <v>0</v>
      </c>
      <c r="Q3202" t="n">
        <v>1424.33</v>
      </c>
      <c r="R3202" t="n">
        <v>1037.44</v>
      </c>
      <c r="S3202" t="n">
        <v>487.3</v>
      </c>
      <c r="T3202" t="n">
        <v>10.54</v>
      </c>
      <c r="U3202" t="n">
        <v>2959.61</v>
      </c>
      <c r="X3202" t="inlineStr">
        <is>
          <t>acoa-apeca</t>
        </is>
      </c>
      <c r="Y3202" t="inlineStr">
        <is>
          <t>Atlantic Canada Opportunities Agency | Agence de promotion économique du Canada atlantique</t>
        </is>
      </c>
    </row>
    <row r="3203">
      <c r="A3203" t="inlineStr">
        <is>
          <t>T-2015-Q2-00049</t>
        </is>
      </c>
      <c r="B3203" t="inlineStr">
        <is>
          <t>SLE</t>
        </is>
      </c>
      <c r="C3203" t="inlineStr">
        <is>
          <t>Vice-President, Prince Edward Island</t>
        </is>
      </c>
      <c r="D3203" t="inlineStr">
        <is>
          <t>Vice-président, Île-du-Prince-Édouard</t>
        </is>
      </c>
      <c r="E3203" t="inlineStr">
        <is>
          <t>Patrick Dorsey</t>
        </is>
      </c>
      <c r="F3203" t="inlineStr">
        <is>
          <t xml:space="preserve">Meetings - 2014 Annual PEI Aerospace Conference </t>
        </is>
      </c>
      <c r="G3203" t="inlineStr">
        <is>
          <t>Réunions - conférence annuelle de 2014 sur l'aérospatiale à l'Île-du-Prince-Édouard</t>
        </is>
      </c>
      <c r="H3203" s="1" t="n">
        <v>41863</v>
      </c>
      <c r="I3203" s="1" t="n">
        <v>41865</v>
      </c>
      <c r="J3203" t="inlineStr">
        <is>
          <t>Brudenell, Prince Edward Island</t>
        </is>
      </c>
      <c r="K3203" t="inlineStr">
        <is>
          <t>Brudenell (Île-du-Prince-Édouard)</t>
        </is>
      </c>
      <c r="P3203" t="n">
        <v>0</v>
      </c>
      <c r="Q3203" t="n">
        <v>0</v>
      </c>
      <c r="R3203" t="n">
        <v>271.32</v>
      </c>
      <c r="S3203" t="n">
        <v>110.3</v>
      </c>
      <c r="T3203" t="n">
        <v>0</v>
      </c>
      <c r="U3203" t="n">
        <v>381.62</v>
      </c>
      <c r="X3203" t="inlineStr">
        <is>
          <t>acoa-apeca</t>
        </is>
      </c>
      <c r="Y3203" t="inlineStr">
        <is>
          <t>Atlantic Canada Opportunities Agency | Agence de promotion économique du Canada atlantique</t>
        </is>
      </c>
    </row>
    <row r="3204">
      <c r="A3204" t="inlineStr">
        <is>
          <t>T-2015-Q2-00048</t>
        </is>
      </c>
      <c r="B3204" t="inlineStr">
        <is>
          <t>MPSES</t>
        </is>
      </c>
      <c r="C3204" t="inlineStr">
        <is>
          <t>Special Assistant (Policy &amp; Caucus Liaison)</t>
        </is>
      </c>
      <c r="D3204" t="inlineStr">
        <is>
          <t>Adjointe spéciale (politiques &amp; liaison avec le caucus)</t>
        </is>
      </c>
      <c r="E3204" t="inlineStr">
        <is>
          <t>Kelsie Corey</t>
        </is>
      </c>
      <c r="F3204" t="inlineStr">
        <is>
          <t>Travel on government business</t>
        </is>
      </c>
      <c r="G3204" t="inlineStr">
        <is>
          <t>Voyage en service commandé</t>
        </is>
      </c>
      <c r="H3204" s="1" t="n">
        <v>41850</v>
      </c>
      <c r="I3204" s="1" t="n">
        <v>41851</v>
      </c>
      <c r="J3204" t="inlineStr">
        <is>
          <t>Fredericton, New Brunswick</t>
        </is>
      </c>
      <c r="K3204" t="inlineStr">
        <is>
          <t>Fredericton (Nouveau-Brunswick)</t>
        </is>
      </c>
      <c r="P3204" t="n">
        <v>1353.48</v>
      </c>
      <c r="Q3204" t="n">
        <v>67.77</v>
      </c>
      <c r="R3204" t="n">
        <v>163.85</v>
      </c>
      <c r="S3204" t="n">
        <v>90.95</v>
      </c>
      <c r="T3204" t="n">
        <v>0</v>
      </c>
      <c r="U3204" t="n">
        <v>1676.05</v>
      </c>
      <c r="X3204" t="inlineStr">
        <is>
          <t>acoa-apeca</t>
        </is>
      </c>
      <c r="Y3204" t="inlineStr">
        <is>
          <t>Atlantic Canada Opportunities Agency | Agence de promotion économique du Canada atlantique</t>
        </is>
      </c>
    </row>
    <row r="3205">
      <c r="A3205" t="inlineStr">
        <is>
          <t>T-2015-Q2-00047</t>
        </is>
      </c>
      <c r="B3205" t="inlineStr">
        <is>
          <t>MPSES</t>
        </is>
      </c>
      <c r="C3205" t="inlineStr">
        <is>
          <t>Minister of State</t>
        </is>
      </c>
      <c r="D3205" t="inlineStr">
        <is>
          <t>Ministre d'État</t>
        </is>
      </c>
      <c r="E3205" t="inlineStr">
        <is>
          <t>Rob Moore</t>
        </is>
      </c>
      <c r="F3205" t="inlineStr">
        <is>
          <t>Travel to attend Government of Canada announcement</t>
        </is>
      </c>
      <c r="G3205" t="inlineStr">
        <is>
          <t>Assister à une annonce du gouvernement du Canada</t>
        </is>
      </c>
      <c r="H3205" s="1" t="n">
        <v>41845</v>
      </c>
      <c r="I3205" s="1" t="n">
        <v>41845</v>
      </c>
      <c r="J3205" t="inlineStr">
        <is>
          <t>Riverview, New Brunswick</t>
        </is>
      </c>
      <c r="K3205" t="inlineStr">
        <is>
          <t>Riverview (Nouveau-Brunswick)</t>
        </is>
      </c>
      <c r="P3205" t="n">
        <v>0</v>
      </c>
      <c r="Q3205" t="n">
        <v>137.7</v>
      </c>
      <c r="R3205" t="n">
        <v>0</v>
      </c>
      <c r="S3205" t="n">
        <v>0</v>
      </c>
      <c r="T3205" t="n">
        <v>0</v>
      </c>
      <c r="U3205" t="n">
        <v>137.7</v>
      </c>
      <c r="X3205" t="inlineStr">
        <is>
          <t>acoa-apeca</t>
        </is>
      </c>
      <c r="Y3205" t="inlineStr">
        <is>
          <t>Atlantic Canada Opportunities Agency | Agence de promotion économique du Canada atlantique</t>
        </is>
      </c>
    </row>
    <row r="3206">
      <c r="A3206" t="inlineStr">
        <is>
          <t>T-2015-Q2-00045</t>
        </is>
      </c>
      <c r="B3206" t="inlineStr">
        <is>
          <t>MPSES</t>
        </is>
      </c>
      <c r="C3206" t="inlineStr">
        <is>
          <t>Executive Assistant</t>
        </is>
      </c>
      <c r="D3206" t="inlineStr">
        <is>
          <t>Adjoint exécutif</t>
        </is>
      </c>
      <c r="E3206" t="inlineStr">
        <is>
          <t>Josh Hardy</t>
        </is>
      </c>
      <c r="F3206" t="inlineStr">
        <is>
          <t>Travel on government business</t>
        </is>
      </c>
      <c r="G3206" t="inlineStr">
        <is>
          <t>Voyage en service commandé</t>
        </is>
      </c>
      <c r="H3206" s="1" t="n">
        <v>41838</v>
      </c>
      <c r="I3206" s="1" t="n">
        <v>41838</v>
      </c>
      <c r="J3206" t="inlineStr">
        <is>
          <t>Charlottetown, Prince Edward Island</t>
        </is>
      </c>
      <c r="K3206" t="inlineStr">
        <is>
          <t>Charlottetown (Île-du-Prince-Édouard)</t>
        </is>
      </c>
      <c r="P3206" t="n">
        <v>0</v>
      </c>
      <c r="Q3206" t="n">
        <v>0</v>
      </c>
      <c r="R3206" t="n">
        <v>0</v>
      </c>
      <c r="S3206" t="n">
        <v>57.7</v>
      </c>
      <c r="T3206" t="n">
        <v>0</v>
      </c>
      <c r="U3206" t="n">
        <v>57.7</v>
      </c>
      <c r="X3206" t="inlineStr">
        <is>
          <t>acoa-apeca</t>
        </is>
      </c>
      <c r="Y3206" t="inlineStr">
        <is>
          <t>Atlantic Canada Opportunities Agency | Agence de promotion économique du Canada atlantique</t>
        </is>
      </c>
    </row>
    <row r="3207">
      <c r="A3207" t="inlineStr">
        <is>
          <t>T-2015-Q2-00044</t>
        </is>
      </c>
      <c r="B3207" t="inlineStr">
        <is>
          <t>MPSES</t>
        </is>
      </c>
      <c r="C3207" t="inlineStr">
        <is>
          <t>Minister of State</t>
        </is>
      </c>
      <c r="D3207" t="inlineStr">
        <is>
          <t>Ministre d'État</t>
        </is>
      </c>
      <c r="E3207" t="inlineStr">
        <is>
          <t>Rob Moore</t>
        </is>
      </c>
      <c r="F3207" t="inlineStr">
        <is>
          <t>Travel to attend two Government of Canada announcements and stakeholder meeting</t>
        </is>
      </c>
      <c r="G3207" t="inlineStr">
        <is>
          <t>Assister à deux annonces du gouvernement du Canada et à une réunion d'intervenants</t>
        </is>
      </c>
      <c r="H3207" s="1" t="n">
        <v>41838</v>
      </c>
      <c r="I3207" s="1" t="n">
        <v>41838</v>
      </c>
      <c r="J3207" t="inlineStr">
        <is>
          <t>Borden and Charlottetown, Prince Edward Island</t>
        </is>
      </c>
      <c r="K3207" t="inlineStr">
        <is>
          <t>Borden et Charlottetown (Île-du-Prince-Édouard)</t>
        </is>
      </c>
      <c r="P3207" t="n">
        <v>0</v>
      </c>
      <c r="Q3207" t="n">
        <v>353.04</v>
      </c>
      <c r="R3207" t="n">
        <v>0</v>
      </c>
      <c r="S3207" t="n">
        <v>57.7</v>
      </c>
      <c r="T3207" t="n">
        <v>0</v>
      </c>
      <c r="U3207" t="n">
        <v>410.74</v>
      </c>
      <c r="X3207" t="inlineStr">
        <is>
          <t>acoa-apeca</t>
        </is>
      </c>
      <c r="Y3207" t="inlineStr">
        <is>
          <t>Atlantic Canada Opportunities Agency | Agence de promotion économique du Canada atlantique</t>
        </is>
      </c>
    </row>
    <row r="3208">
      <c r="A3208" t="inlineStr">
        <is>
          <t>T-2015-Q2-00043</t>
        </is>
      </c>
      <c r="B3208" t="inlineStr">
        <is>
          <t>MPSES</t>
        </is>
      </c>
      <c r="C3208" t="inlineStr">
        <is>
          <t>Minister of State</t>
        </is>
      </c>
      <c r="D3208" t="inlineStr">
        <is>
          <t>Ministre d'État</t>
        </is>
      </c>
      <c r="E3208" t="inlineStr">
        <is>
          <t>Rob Moore</t>
        </is>
      </c>
      <c r="F3208" t="inlineStr">
        <is>
          <t>To attend Government of Canada announcement and pre-budget roundtable</t>
        </is>
      </c>
      <c r="G3208" t="inlineStr">
        <is>
          <t>Assister à une annonce du gouvernement du Canada et à une table ronde prébudgétaire</t>
        </is>
      </c>
      <c r="H3208" s="1" t="n">
        <v>41836</v>
      </c>
      <c r="I3208" s="1" t="n">
        <v>41836</v>
      </c>
      <c r="J3208" t="inlineStr">
        <is>
          <t>Moncton, New Brunswick</t>
        </is>
      </c>
      <c r="K3208" t="inlineStr">
        <is>
          <t>Moncton (Nouveau-Brunswick)</t>
        </is>
      </c>
      <c r="P3208" t="n">
        <v>0</v>
      </c>
      <c r="Q3208" t="n">
        <v>143.31</v>
      </c>
      <c r="R3208" t="n">
        <v>0</v>
      </c>
      <c r="S3208" t="n">
        <v>15.25</v>
      </c>
      <c r="T3208" t="n">
        <v>0</v>
      </c>
      <c r="U3208" t="n">
        <v>158.56</v>
      </c>
      <c r="X3208" t="inlineStr">
        <is>
          <t>acoa-apeca</t>
        </is>
      </c>
      <c r="Y3208" t="inlineStr">
        <is>
          <t>Atlantic Canada Opportunities Agency | Agence de promotion économique du Canada atlantique</t>
        </is>
      </c>
    </row>
    <row r="3209">
      <c r="A3209" t="inlineStr">
        <is>
          <t>T-2015-Q2-00042</t>
        </is>
      </c>
      <c r="B3209" t="inlineStr">
        <is>
          <t>SLE</t>
        </is>
      </c>
      <c r="C3209" t="inlineStr">
        <is>
          <t>Vice-President, New Brunswick</t>
        </is>
      </c>
      <c r="D3209" t="inlineStr">
        <is>
          <t>Vice-président, Nouveau-Brunswick</t>
        </is>
      </c>
      <c r="E3209" t="inlineStr">
        <is>
          <t>Kent Estabrooks</t>
        </is>
      </c>
      <c r="F3209" t="inlineStr">
        <is>
          <t>Meetings with various federal officials</t>
        </is>
      </c>
      <c r="G3209" t="inlineStr">
        <is>
          <t xml:space="preserve">Réunions avec divers fonctionnaires fédéraux </t>
        </is>
      </c>
      <c r="H3209" s="1" t="n">
        <v>41836</v>
      </c>
      <c r="I3209" s="1" t="n">
        <v>41838</v>
      </c>
      <c r="J3209" t="inlineStr">
        <is>
          <t>Ottawa, Ontario</t>
        </is>
      </c>
      <c r="K3209" t="inlineStr">
        <is>
          <t>Ottawa (Ontario)</t>
        </is>
      </c>
      <c r="P3209" t="n">
        <v>892.7</v>
      </c>
      <c r="Q3209" t="n">
        <v>92.5</v>
      </c>
      <c r="R3209" t="n">
        <v>366.46</v>
      </c>
      <c r="S3209" t="n">
        <v>167.3</v>
      </c>
      <c r="T3209" t="n">
        <v>0</v>
      </c>
      <c r="U3209" t="n">
        <v>1518.96</v>
      </c>
      <c r="X3209" t="inlineStr">
        <is>
          <t>acoa-apeca</t>
        </is>
      </c>
      <c r="Y3209" t="inlineStr">
        <is>
          <t>Atlantic Canada Opportunities Agency | Agence de promotion économique du Canada atlantique</t>
        </is>
      </c>
    </row>
    <row r="3210">
      <c r="A3210" t="inlineStr">
        <is>
          <t>T-2015-Q2-00041</t>
        </is>
      </c>
      <c r="B3210" t="inlineStr">
        <is>
          <t>SLE</t>
        </is>
      </c>
      <c r="C3210" t="inlineStr">
        <is>
          <t>Vice-President, Prince Edward Island</t>
        </is>
      </c>
      <c r="D3210" t="inlineStr">
        <is>
          <t>Vice-président, Île-du-Prince-Édouard</t>
        </is>
      </c>
      <c r="E3210" t="inlineStr">
        <is>
          <t>Patrick Dorsey</t>
        </is>
      </c>
      <c r="F3210" t="inlineStr">
        <is>
          <t>Meetings with Government of Canada officials</t>
        </is>
      </c>
      <c r="G3210" t="inlineStr">
        <is>
          <t>Réunions avec des fonctionnaires du gouvernement du Canada</t>
        </is>
      </c>
      <c r="H3210" s="1" t="n">
        <v>41836</v>
      </c>
      <c r="I3210" s="1" t="n">
        <v>41836</v>
      </c>
      <c r="J3210" t="inlineStr">
        <is>
          <t>Moncton, New Brunswick</t>
        </is>
      </c>
      <c r="K3210" t="inlineStr">
        <is>
          <t>Moncton (Nouveau-Brunswick)</t>
        </is>
      </c>
      <c r="P3210" t="n">
        <v>0</v>
      </c>
      <c r="Q3210" t="n">
        <v>45</v>
      </c>
      <c r="R3210" t="n">
        <v>0</v>
      </c>
      <c r="S3210" t="n">
        <v>15.25</v>
      </c>
      <c r="T3210" t="n">
        <v>0</v>
      </c>
      <c r="U3210" t="n">
        <v>60.25</v>
      </c>
      <c r="X3210" t="inlineStr">
        <is>
          <t>acoa-apeca</t>
        </is>
      </c>
      <c r="Y3210" t="inlineStr">
        <is>
          <t>Atlantic Canada Opportunities Agency | Agence de promotion économique du Canada atlantique</t>
        </is>
      </c>
    </row>
    <row r="3211">
      <c r="A3211" t="inlineStr">
        <is>
          <t>T-2015-Q2-00040</t>
        </is>
      </c>
      <c r="B3211" t="inlineStr">
        <is>
          <t>MPSES</t>
        </is>
      </c>
      <c r="C3211" t="inlineStr">
        <is>
          <t>Executive Assistant</t>
        </is>
      </c>
      <c r="D3211" t="inlineStr">
        <is>
          <t>Adjoint exécutif</t>
        </is>
      </c>
      <c r="E3211" t="inlineStr">
        <is>
          <t>Josh Hardy</t>
        </is>
      </c>
      <c r="F3211" t="inlineStr">
        <is>
          <t>Travel on government business</t>
        </is>
      </c>
      <c r="G3211" t="inlineStr">
        <is>
          <t>Voyage en service commandé</t>
        </is>
      </c>
      <c r="H3211" s="1" t="n">
        <v>41835</v>
      </c>
      <c r="I3211" s="1" t="n">
        <v>41835</v>
      </c>
      <c r="J3211" t="inlineStr">
        <is>
          <t>Woodstock, New Brunswick</t>
        </is>
      </c>
      <c r="K3211" t="inlineStr">
        <is>
          <t>Woodstock (Nouveau-Brunswick)</t>
        </is>
      </c>
      <c r="P3211" t="n">
        <v>0</v>
      </c>
      <c r="Q3211" t="n">
        <v>0</v>
      </c>
      <c r="R3211" t="n">
        <v>0</v>
      </c>
      <c r="S3211" t="n">
        <v>42.45</v>
      </c>
      <c r="T3211" t="n">
        <v>0</v>
      </c>
      <c r="U3211" t="n">
        <v>42.45</v>
      </c>
      <c r="X3211" t="inlineStr">
        <is>
          <t>acoa-apeca</t>
        </is>
      </c>
      <c r="Y3211" t="inlineStr">
        <is>
          <t>Atlantic Canada Opportunities Agency | Agence de promotion économique du Canada atlantique</t>
        </is>
      </c>
    </row>
    <row r="3212">
      <c r="A3212" t="inlineStr">
        <is>
          <t>T-2015-Q2-00039</t>
        </is>
      </c>
      <c r="B3212" t="inlineStr">
        <is>
          <t>MPSES</t>
        </is>
      </c>
      <c r="C3212" t="inlineStr">
        <is>
          <t>Minister of State</t>
        </is>
      </c>
      <c r="D3212" t="inlineStr">
        <is>
          <t>Ministre d'État</t>
        </is>
      </c>
      <c r="E3212" t="inlineStr">
        <is>
          <t>Rob Moore</t>
        </is>
      </c>
      <c r="F3212" t="inlineStr">
        <is>
          <t>Site tour, pre-budget meetings with mayors</t>
        </is>
      </c>
      <c r="G3212" t="inlineStr">
        <is>
          <t>Visite des lieux, rencontres prébudgétaires avec des maires</t>
        </is>
      </c>
      <c r="H3212" s="1" t="n">
        <v>41835</v>
      </c>
      <c r="I3212" s="1" t="n">
        <v>41835</v>
      </c>
      <c r="J3212" t="inlineStr">
        <is>
          <t>Woodstock, New Brunswick</t>
        </is>
      </c>
      <c r="K3212" t="inlineStr">
        <is>
          <t>Woodstock (Nouveau-Brunswick)</t>
        </is>
      </c>
      <c r="P3212" t="n">
        <v>0</v>
      </c>
      <c r="Q3212" t="n">
        <v>256.53</v>
      </c>
      <c r="R3212" t="n">
        <v>0</v>
      </c>
      <c r="S3212" t="n">
        <v>42.45</v>
      </c>
      <c r="T3212" t="n">
        <v>0</v>
      </c>
      <c r="U3212" t="n">
        <v>298.98</v>
      </c>
      <c r="X3212" t="inlineStr">
        <is>
          <t>acoa-apeca</t>
        </is>
      </c>
      <c r="Y3212" t="inlineStr">
        <is>
          <t>Atlantic Canada Opportunities Agency | Agence de promotion économique du Canada atlantique</t>
        </is>
      </c>
    </row>
    <row r="3213">
      <c r="A3213" t="inlineStr">
        <is>
          <t>T-2015-Q2-00038</t>
        </is>
      </c>
      <c r="B3213" t="inlineStr">
        <is>
          <t>MPSES</t>
        </is>
      </c>
      <c r="C3213" t="inlineStr">
        <is>
          <t>Executive Assistant</t>
        </is>
      </c>
      <c r="D3213" t="inlineStr">
        <is>
          <t>Adjoint exécutif</t>
        </is>
      </c>
      <c r="E3213" t="inlineStr">
        <is>
          <t>Josh Hardy</t>
        </is>
      </c>
      <c r="F3213" t="inlineStr">
        <is>
          <t>Travel on government business</t>
        </is>
      </c>
      <c r="G3213" t="inlineStr">
        <is>
          <t>Voyage en service commandé</t>
        </is>
      </c>
      <c r="H3213" s="1" t="n">
        <v>41834</v>
      </c>
      <c r="I3213" s="1" t="n">
        <v>41834</v>
      </c>
      <c r="J3213" t="inlineStr">
        <is>
          <t>Edmundston, New Brunswick</t>
        </is>
      </c>
      <c r="K3213" t="inlineStr">
        <is>
          <t>Edmundston (Nouveau-Brunswick)</t>
        </is>
      </c>
      <c r="P3213" t="n">
        <v>0</v>
      </c>
      <c r="Q3213" t="n">
        <v>0</v>
      </c>
      <c r="R3213" t="n">
        <v>0</v>
      </c>
      <c r="S3213" t="n">
        <v>58.4</v>
      </c>
      <c r="T3213" t="n">
        <v>0</v>
      </c>
      <c r="U3213" t="n">
        <v>58.4</v>
      </c>
      <c r="X3213" t="inlineStr">
        <is>
          <t>acoa-apeca</t>
        </is>
      </c>
      <c r="Y3213" t="inlineStr">
        <is>
          <t>Atlantic Canada Opportunities Agency | Agence de promotion économique du Canada atlantique</t>
        </is>
      </c>
    </row>
    <row r="3214">
      <c r="A3214" t="inlineStr">
        <is>
          <t>T-2015-Q2-00037</t>
        </is>
      </c>
      <c r="B3214" t="inlineStr">
        <is>
          <t>MPSES</t>
        </is>
      </c>
      <c r="C3214" t="inlineStr">
        <is>
          <t>Minister of State</t>
        </is>
      </c>
      <c r="D3214" t="inlineStr">
        <is>
          <t>Ministre d'État</t>
        </is>
      </c>
      <c r="E3214" t="inlineStr">
        <is>
          <t>Rob Moore</t>
        </is>
      </c>
      <c r="F3214" t="inlineStr">
        <is>
          <t>To attend Government of Canada announcement, pre-budget roundtable and stakeholder meetings</t>
        </is>
      </c>
      <c r="G3214" t="inlineStr">
        <is>
          <t>Assister à une annonce du gouvernement du Canada, à une table ronde prébudgétaire et à des réunions d'intervenants</t>
        </is>
      </c>
      <c r="H3214" s="1" t="n">
        <v>41834</v>
      </c>
      <c r="I3214" s="1" t="n">
        <v>41834</v>
      </c>
      <c r="J3214" t="inlineStr">
        <is>
          <t>Edmundston, New Brunswick</t>
        </is>
      </c>
      <c r="K3214" t="inlineStr">
        <is>
          <t>Edmundston (Nouveau-Brunswick)</t>
        </is>
      </c>
      <c r="P3214" t="n">
        <v>0</v>
      </c>
      <c r="Q3214" t="n">
        <v>415.65</v>
      </c>
      <c r="R3214" t="n">
        <v>0</v>
      </c>
      <c r="S3214" t="n">
        <v>58.4</v>
      </c>
      <c r="T3214" t="n">
        <v>0</v>
      </c>
      <c r="U3214" t="n">
        <v>474.05</v>
      </c>
      <c r="X3214" t="inlineStr">
        <is>
          <t>acoa-apeca</t>
        </is>
      </c>
      <c r="Y3214" t="inlineStr">
        <is>
          <t>Atlantic Canada Opportunities Agency | Agence de promotion économique du Canada atlantique</t>
        </is>
      </c>
    </row>
    <row r="3215">
      <c r="A3215" t="inlineStr">
        <is>
          <t>T-2015-Q2-00036</t>
        </is>
      </c>
      <c r="B3215" t="inlineStr">
        <is>
          <t>SLE</t>
        </is>
      </c>
      <c r="C3215" t="inlineStr">
        <is>
          <t>Vice-President, Prince Edward Island</t>
        </is>
      </c>
      <c r="D3215" t="inlineStr">
        <is>
          <t>Vice-président, Île-du-Prince-Édouard</t>
        </is>
      </c>
      <c r="E3215" t="inlineStr">
        <is>
          <t>Patrick Dorsey</t>
        </is>
      </c>
      <c r="F3215" t="inlineStr">
        <is>
          <t>Meetings with Prince County clients and stakeholders</t>
        </is>
      </c>
      <c r="G3215" t="inlineStr">
        <is>
          <t>Réunions avec des clients et des intervenants du comté de Prince</t>
        </is>
      </c>
      <c r="H3215" s="1" t="n">
        <v>41834</v>
      </c>
      <c r="I3215" s="1" t="n">
        <v>41835</v>
      </c>
      <c r="J3215" t="inlineStr">
        <is>
          <t>Mill River, Prince Edward Island</t>
        </is>
      </c>
      <c r="K3215" t="inlineStr">
        <is>
          <t>Mill River (Île-du-Prince-Édouard)</t>
        </is>
      </c>
      <c r="P3215" t="n">
        <v>0</v>
      </c>
      <c r="Q3215" t="n">
        <v>0</v>
      </c>
      <c r="R3215" t="n">
        <v>90.06</v>
      </c>
      <c r="S3215" t="n">
        <v>139.45</v>
      </c>
      <c r="T3215" t="n">
        <v>0</v>
      </c>
      <c r="U3215" t="n">
        <v>229.51</v>
      </c>
      <c r="X3215" t="inlineStr">
        <is>
          <t>acoa-apeca</t>
        </is>
      </c>
      <c r="Y3215" t="inlineStr">
        <is>
          <t>Atlantic Canada Opportunities Agency | Agence de promotion économique du Canada atlantique</t>
        </is>
      </c>
    </row>
    <row r="3216">
      <c r="A3216" t="inlineStr">
        <is>
          <t>T-2015-Q2-00025</t>
        </is>
      </c>
      <c r="B3216" t="inlineStr">
        <is>
          <t>MPSES</t>
        </is>
      </c>
      <c r="C3216" t="inlineStr">
        <is>
          <t>Minister of State</t>
        </is>
      </c>
      <c r="D3216" t="inlineStr">
        <is>
          <t>Ministre d'État</t>
        </is>
      </c>
      <c r="E3216" t="inlineStr">
        <is>
          <t>Rob Moore</t>
        </is>
      </c>
      <c r="F3216" t="inlineStr">
        <is>
          <t>To attend Government of Canada event</t>
        </is>
      </c>
      <c r="G3216" t="inlineStr">
        <is>
          <t>Assister à une activité du gouvernement du Canada</t>
        </is>
      </c>
      <c r="H3216" s="1" t="n">
        <v>41814</v>
      </c>
      <c r="I3216" s="1" t="n">
        <v>41814</v>
      </c>
      <c r="J3216" t="inlineStr">
        <is>
          <t>Fredericton, New Brunswick</t>
        </is>
      </c>
      <c r="K3216" t="inlineStr">
        <is>
          <t>Fredericton (Nouveau-Brunswick)</t>
        </is>
      </c>
      <c r="P3216" t="n">
        <v>0</v>
      </c>
      <c r="Q3216" t="n">
        <v>139.38</v>
      </c>
      <c r="R3216" t="n">
        <v>0</v>
      </c>
      <c r="S3216" t="n">
        <v>15.25</v>
      </c>
      <c r="T3216" t="n">
        <v>0</v>
      </c>
      <c r="U3216" t="n">
        <v>154.63</v>
      </c>
      <c r="X3216" t="inlineStr">
        <is>
          <t>acoa-apeca</t>
        </is>
      </c>
      <c r="Y3216" t="inlineStr">
        <is>
          <t>Atlantic Canada Opportunities Agency | Agence de promotion économique du Canada atlantique</t>
        </is>
      </c>
    </row>
    <row r="3217">
      <c r="A3217" t="inlineStr">
        <is>
          <t>T-2015-Q2-00034</t>
        </is>
      </c>
      <c r="B3217" t="inlineStr">
        <is>
          <t>MPSES</t>
        </is>
      </c>
      <c r="C3217" t="inlineStr">
        <is>
          <t>Minister of State</t>
        </is>
      </c>
      <c r="D3217" t="inlineStr">
        <is>
          <t>Ministre d'État</t>
        </is>
      </c>
      <c r="E3217" t="inlineStr">
        <is>
          <t>Rob Moore</t>
        </is>
      </c>
      <c r="F3217" t="inlineStr">
        <is>
          <t>Five Government of Canada announcements, three stakeholder meetings and site tour of Holyrood Marine Base</t>
        </is>
      </c>
      <c r="G3217" t="inlineStr">
        <is>
          <t>Cinq annonces du gouvernement du Canada, trois réunions d'intervenants et une visite de la base maritime de Holyrood</t>
        </is>
      </c>
      <c r="H3217" s="1" t="n">
        <v>41828</v>
      </c>
      <c r="I3217" s="1" t="n">
        <v>41830</v>
      </c>
      <c r="J3217" t="inlineStr">
        <is>
          <t>Dartmouth, Halifax and Waverly, Nova Scotia and St. John's, Marystown and Holyrood, Newfoundland and Labrador</t>
        </is>
      </c>
      <c r="K3217" t="inlineStr">
        <is>
          <t>Dartmouth, Halifax et Waverly (Nouvelle-Écosse) et St. John's, Marystown et Holyrood (Terre-Neuve-et-Labrador)</t>
        </is>
      </c>
      <c r="P3217" t="n">
        <v>3081.96</v>
      </c>
      <c r="Q3217" t="n">
        <v>21.42</v>
      </c>
      <c r="R3217" t="n">
        <v>585</v>
      </c>
      <c r="S3217" t="n">
        <v>242.35</v>
      </c>
      <c r="T3217" t="n">
        <v>0</v>
      </c>
      <c r="U3217" t="n">
        <v>3930.73</v>
      </c>
      <c r="X3217" t="inlineStr">
        <is>
          <t>acoa-apeca</t>
        </is>
      </c>
      <c r="Y3217" t="inlineStr">
        <is>
          <t>Atlantic Canada Opportunities Agency | Agence de promotion économique du Canada atlantique</t>
        </is>
      </c>
    </row>
    <row r="3218">
      <c r="A3218" t="inlineStr">
        <is>
          <t>T-2015-Q2-00033</t>
        </is>
      </c>
      <c r="B3218" t="inlineStr">
        <is>
          <t>MPSES</t>
        </is>
      </c>
      <c r="C3218" t="inlineStr">
        <is>
          <t>Regional Affairs Director - New Brunswick</t>
        </is>
      </c>
      <c r="D3218" t="inlineStr">
        <is>
          <t>Directeur des affaires régionales - Nouveau-Brunswick</t>
        </is>
      </c>
      <c r="E3218" t="inlineStr">
        <is>
          <t>Douglas MacDonald</t>
        </is>
      </c>
      <c r="F3218" t="inlineStr">
        <is>
          <t>Travel on government business</t>
        </is>
      </c>
      <c r="G3218" t="inlineStr">
        <is>
          <t>Voyage en service commandé</t>
        </is>
      </c>
      <c r="H3218" s="1" t="n">
        <v>41827</v>
      </c>
      <c r="I3218" s="1" t="n">
        <v>41827</v>
      </c>
      <c r="J3218" t="inlineStr">
        <is>
          <t>Saint John, New Brunswick</t>
        </is>
      </c>
      <c r="K3218" t="inlineStr">
        <is>
          <t>Saint John (Nouveau-Brunswick)</t>
        </is>
      </c>
      <c r="P3218" t="n">
        <v>0</v>
      </c>
      <c r="Q3218" t="n">
        <v>70.38</v>
      </c>
      <c r="R3218" t="n">
        <v>0</v>
      </c>
      <c r="S3218" t="n">
        <v>0</v>
      </c>
      <c r="T3218" t="n">
        <v>0</v>
      </c>
      <c r="U3218" t="n">
        <v>70.38</v>
      </c>
      <c r="X3218" t="inlineStr">
        <is>
          <t>acoa-apeca</t>
        </is>
      </c>
      <c r="Y3218" t="inlineStr">
        <is>
          <t>Atlantic Canada Opportunities Agency | Agence de promotion économique du Canada atlantique</t>
        </is>
      </c>
    </row>
    <row r="3219">
      <c r="A3219" t="inlineStr">
        <is>
          <t>T-2015-Q2-00032</t>
        </is>
      </c>
      <c r="B3219" t="inlineStr">
        <is>
          <t>MPSES</t>
        </is>
      </c>
      <c r="C3219" t="inlineStr">
        <is>
          <t>Executive Assistant</t>
        </is>
      </c>
      <c r="D3219" t="inlineStr">
        <is>
          <t>Adjoint exécutif</t>
        </is>
      </c>
      <c r="E3219" t="inlineStr">
        <is>
          <t>Josh Hardy</t>
        </is>
      </c>
      <c r="F3219" t="inlineStr">
        <is>
          <t>Travel on government business</t>
        </is>
      </c>
      <c r="G3219" t="inlineStr">
        <is>
          <t>Voyage en service commandé</t>
        </is>
      </c>
      <c r="H3219" s="1" t="n">
        <v>41827</v>
      </c>
      <c r="I3219" s="1" t="n">
        <v>41830</v>
      </c>
      <c r="J3219" t="inlineStr">
        <is>
          <t>Halifax, Nova Scotia, and St. John's, Newfoundland</t>
        </is>
      </c>
      <c r="K3219" t="inlineStr">
        <is>
          <t>Halifax (Nouvelle-Écosse) et St. John's (Terre-Neuve-et-Labrador)</t>
        </is>
      </c>
      <c r="P3219" t="n">
        <v>2392.13</v>
      </c>
      <c r="Q3219" t="n">
        <v>362.38</v>
      </c>
      <c r="R3219" t="n">
        <v>573.3</v>
      </c>
      <c r="S3219" t="n">
        <v>242.35</v>
      </c>
      <c r="T3219" t="n">
        <v>0</v>
      </c>
      <c r="U3219" t="n">
        <v>3570.16</v>
      </c>
      <c r="X3219" t="inlineStr">
        <is>
          <t>acoa-apeca</t>
        </is>
      </c>
      <c r="Y3219" t="inlineStr">
        <is>
          <t>Atlantic Canada Opportunities Agency | Agence de promotion économique du Canada atlantique</t>
        </is>
      </c>
    </row>
    <row r="3220">
      <c r="A3220" t="inlineStr">
        <is>
          <t>T-2015-Q2-00031</t>
        </is>
      </c>
      <c r="B3220" t="inlineStr">
        <is>
          <t>SLE</t>
        </is>
      </c>
      <c r="C3220" t="inlineStr">
        <is>
          <t>Vice President, Nova Scotia</t>
        </is>
      </c>
      <c r="D3220" t="inlineStr">
        <is>
          <t>Vice-président, Nouvelle-Écosse</t>
        </is>
      </c>
      <c r="E3220" t="inlineStr">
        <is>
          <t>Peter Hogan</t>
        </is>
      </c>
      <c r="F3220" t="inlineStr">
        <is>
          <t>Various meetings with Agency officials</t>
        </is>
      </c>
      <c r="G3220" t="inlineStr">
        <is>
          <t>Diverses réunions avec des fonctionnaires de l'Agence</t>
        </is>
      </c>
      <c r="H3220" s="1" t="n">
        <v>41817</v>
      </c>
      <c r="I3220" s="1" t="n">
        <v>41817</v>
      </c>
      <c r="J3220" t="inlineStr">
        <is>
          <t>Sydney, Nova Scotia</t>
        </is>
      </c>
      <c r="K3220" t="inlineStr">
        <is>
          <t>Sydney (Nouvelle-Écosse)</t>
        </is>
      </c>
      <c r="P3220" t="n">
        <v>1234.24</v>
      </c>
      <c r="Q3220" t="n">
        <v>40.4</v>
      </c>
      <c r="R3220" t="n">
        <v>0</v>
      </c>
      <c r="S3220" t="n">
        <v>15.25</v>
      </c>
      <c r="T3220" t="n">
        <v>0</v>
      </c>
      <c r="U3220" t="n">
        <v>1289.89</v>
      </c>
      <c r="X3220" t="inlineStr">
        <is>
          <t>acoa-apeca</t>
        </is>
      </c>
      <c r="Y3220" t="inlineStr">
        <is>
          <t>Atlantic Canada Opportunities Agency | Agence de promotion économique du Canada atlantique</t>
        </is>
      </c>
    </row>
    <row r="3221">
      <c r="A3221" t="inlineStr">
        <is>
          <t>T-2015-Q2-00030</t>
        </is>
      </c>
      <c r="B3221" t="inlineStr">
        <is>
          <t>MPSES</t>
        </is>
      </c>
      <c r="C3221" t="inlineStr">
        <is>
          <t>Regional Affairs Director - New Brunswick</t>
        </is>
      </c>
      <c r="D3221" t="inlineStr">
        <is>
          <t>Directeur des affaires régionales - Nouveau-Brunswick</t>
        </is>
      </c>
      <c r="E3221" t="inlineStr">
        <is>
          <t>Douglas MacDonald</t>
        </is>
      </c>
      <c r="F3221" t="inlineStr">
        <is>
          <t>Travel on government business</t>
        </is>
      </c>
      <c r="G3221" t="inlineStr">
        <is>
          <t>Voyage en service commandé</t>
        </is>
      </c>
      <c r="H3221" s="1" t="n">
        <v>41816</v>
      </c>
      <c r="I3221" s="1" t="n">
        <v>41816</v>
      </c>
      <c r="J3221" t="inlineStr">
        <is>
          <t>Saint John and Moncton, New Brunswick</t>
        </is>
      </c>
      <c r="K3221" t="inlineStr">
        <is>
          <t>Saint John et Moncton (Nouveau-Brunswick)</t>
        </is>
      </c>
      <c r="P3221" t="n">
        <v>0</v>
      </c>
      <c r="Q3221" t="n">
        <v>171.2</v>
      </c>
      <c r="R3221" t="n">
        <v>0</v>
      </c>
      <c r="S3221" t="n">
        <v>73.65000000000001</v>
      </c>
      <c r="T3221" t="n">
        <v>0</v>
      </c>
      <c r="U3221" t="n">
        <v>244.85</v>
      </c>
      <c r="X3221" t="inlineStr">
        <is>
          <t>acoa-apeca</t>
        </is>
      </c>
      <c r="Y3221" t="inlineStr">
        <is>
          <t>Atlantic Canada Opportunities Agency | Agence de promotion économique du Canada atlantique</t>
        </is>
      </c>
    </row>
    <row r="3222">
      <c r="A3222" t="inlineStr">
        <is>
          <t>T-2015-Q2-00029</t>
        </is>
      </c>
      <c r="B3222" t="inlineStr">
        <is>
          <t>MPSES</t>
        </is>
      </c>
      <c r="C3222" t="inlineStr">
        <is>
          <t>Minister of State</t>
        </is>
      </c>
      <c r="D3222" t="inlineStr">
        <is>
          <t>Ministre d'État</t>
        </is>
      </c>
      <c r="E3222" t="inlineStr">
        <is>
          <t>Rob Moore</t>
        </is>
      </c>
      <c r="F3222" t="inlineStr">
        <is>
          <t>To attend meeting with stakeholders and two Government of Canada announcements</t>
        </is>
      </c>
      <c r="G3222" t="inlineStr">
        <is>
          <t>Assister à une réunion d'intervenants et à deux annonces du gouvernement du Canada</t>
        </is>
      </c>
      <c r="H3222" s="1" t="n">
        <v>41816</v>
      </c>
      <c r="I3222" s="1" t="n">
        <v>41816</v>
      </c>
      <c r="J3222" t="inlineStr">
        <is>
          <t>Saint John and Moncton, New Brunswick</t>
        </is>
      </c>
      <c r="K3222" t="inlineStr">
        <is>
          <t>Saint John et Moncton (Nouveau-Brunswick)</t>
        </is>
      </c>
      <c r="P3222" t="n">
        <v>0</v>
      </c>
      <c r="Q3222" t="n">
        <v>163.62</v>
      </c>
      <c r="R3222" t="n">
        <v>0</v>
      </c>
      <c r="S3222" t="n">
        <v>15.25</v>
      </c>
      <c r="T3222" t="n">
        <v>0</v>
      </c>
      <c r="U3222" t="n">
        <v>178.87</v>
      </c>
      <c r="X3222" t="inlineStr">
        <is>
          <t>acoa-apeca</t>
        </is>
      </c>
      <c r="Y3222" t="inlineStr">
        <is>
          <t>Atlantic Canada Opportunities Agency | Agence de promotion économique du Canada atlantique</t>
        </is>
      </c>
    </row>
    <row r="3223">
      <c r="A3223" t="inlineStr">
        <is>
          <t>T-2015-Q2-00028</t>
        </is>
      </c>
      <c r="B3223" t="inlineStr">
        <is>
          <t>MPSES</t>
        </is>
      </c>
      <c r="C3223" t="inlineStr">
        <is>
          <t>Minister of State</t>
        </is>
      </c>
      <c r="D3223" t="inlineStr">
        <is>
          <t>Ministre d'État</t>
        </is>
      </c>
      <c r="E3223" t="inlineStr">
        <is>
          <t>Rob Moore</t>
        </is>
      </c>
      <c r="F3223" t="inlineStr">
        <is>
          <t>To attend three Government of Canada announcements</t>
        </is>
      </c>
      <c r="G3223" t="inlineStr">
        <is>
          <t>Assister à trois annonces du gouvernement du Canada</t>
        </is>
      </c>
      <c r="H3223" s="1" t="n">
        <v>41815</v>
      </c>
      <c r="I3223" s="1" t="n">
        <v>41815</v>
      </c>
      <c r="J3223" t="inlineStr">
        <is>
          <t>St. Martins, Riverview and Moncton, New Brunswick</t>
        </is>
      </c>
      <c r="K3223" t="inlineStr">
        <is>
          <t>St. Martin's, Riverview et Moncton (Nouveau-Brunswick)</t>
        </is>
      </c>
      <c r="P3223" t="n">
        <v>0</v>
      </c>
      <c r="Q3223" t="n">
        <v>184.33</v>
      </c>
      <c r="R3223" t="n">
        <v>0</v>
      </c>
      <c r="S3223" t="n">
        <v>15.25</v>
      </c>
      <c r="T3223" t="n">
        <v>0</v>
      </c>
      <c r="U3223" t="n">
        <v>199.58</v>
      </c>
      <c r="X3223" t="inlineStr">
        <is>
          <t>acoa-apeca</t>
        </is>
      </c>
      <c r="Y3223" t="inlineStr">
        <is>
          <t>Atlantic Canada Opportunities Agency | Agence de promotion économique du Canada atlantique</t>
        </is>
      </c>
    </row>
    <row r="3224">
      <c r="A3224" t="inlineStr">
        <is>
          <t>T-2015-Q2-00027</t>
        </is>
      </c>
      <c r="B3224" t="inlineStr">
        <is>
          <t>SLE</t>
        </is>
      </c>
      <c r="C3224" t="inlineStr">
        <is>
          <t>Vice-President, New Brunswick</t>
        </is>
      </c>
      <c r="D3224" t="inlineStr">
        <is>
          <t>Vice-président, Nouveau-Brunswick</t>
        </is>
      </c>
      <c r="E3224" t="inlineStr">
        <is>
          <t>Kent Estabrooks</t>
        </is>
      </c>
      <c r="F3224" t="inlineStr">
        <is>
          <t>Meetings with Agency officials and various clients</t>
        </is>
      </c>
      <c r="G3224" t="inlineStr">
        <is>
          <t xml:space="preserve">Réunions avec des fonctionnaires de l'Agence et divers clients </t>
        </is>
      </c>
      <c r="H3224" s="1" t="n">
        <v>41815</v>
      </c>
      <c r="I3224" s="1" t="n">
        <v>41817</v>
      </c>
      <c r="J3224" t="inlineStr">
        <is>
          <t>Bathurst, New Brunswick</t>
        </is>
      </c>
      <c r="K3224" t="inlineStr">
        <is>
          <t>Bathurst (Nouveau-Brunswick)</t>
        </is>
      </c>
      <c r="P3224" t="n">
        <v>0</v>
      </c>
      <c r="Q3224" t="n">
        <v>0</v>
      </c>
      <c r="R3224" t="n">
        <v>225.72</v>
      </c>
      <c r="S3224" t="n">
        <v>194.5</v>
      </c>
      <c r="T3224" t="n">
        <v>0</v>
      </c>
      <c r="U3224" t="n">
        <v>420.22</v>
      </c>
      <c r="X3224" t="inlineStr">
        <is>
          <t>acoa-apeca</t>
        </is>
      </c>
      <c r="Y3224" t="inlineStr">
        <is>
          <t>Atlantic Canada Opportunities Agency | Agence de promotion économique du Canada atlantique</t>
        </is>
      </c>
    </row>
    <row r="3225">
      <c r="A3225" t="inlineStr">
        <is>
          <t>T-2015-Q2-00024</t>
        </is>
      </c>
      <c r="B3225" t="inlineStr">
        <is>
          <t>SLE</t>
        </is>
      </c>
      <c r="C3225" t="inlineStr">
        <is>
          <t>Vice-President, Prince Edward Island</t>
        </is>
      </c>
      <c r="D3225" t="inlineStr">
        <is>
          <t>Vice-président, Île-du-Prince-Édouard</t>
        </is>
      </c>
      <c r="E3225" t="inlineStr">
        <is>
          <t>Patrick Dorsey</t>
        </is>
      </c>
      <c r="F3225" t="inlineStr">
        <is>
          <t>Meetings with Government of Canada officials</t>
        </is>
      </c>
      <c r="G3225" t="inlineStr">
        <is>
          <t>Réunions avec des fonctionnaires du gouvernement du Canada</t>
        </is>
      </c>
      <c r="H3225" s="1" t="n">
        <v>41814</v>
      </c>
      <c r="I3225" s="1" t="n">
        <v>41815</v>
      </c>
      <c r="J3225" t="inlineStr">
        <is>
          <t>Ottawa, Ontario</t>
        </is>
      </c>
      <c r="K3225" t="inlineStr">
        <is>
          <t>Ottawa (Ontario)</t>
        </is>
      </c>
      <c r="P3225" t="n">
        <v>973.38</v>
      </c>
      <c r="Q3225" t="n">
        <v>109.5</v>
      </c>
      <c r="R3225" t="n">
        <v>182.73</v>
      </c>
      <c r="S3225" t="n">
        <v>150</v>
      </c>
      <c r="T3225" t="n">
        <v>0</v>
      </c>
      <c r="U3225" t="n">
        <v>1415.61</v>
      </c>
      <c r="X3225" t="inlineStr">
        <is>
          <t>acoa-apeca</t>
        </is>
      </c>
      <c r="Y3225" t="inlineStr">
        <is>
          <t>Atlantic Canada Opportunities Agency | Agence de promotion économique du Canada atlantique</t>
        </is>
      </c>
    </row>
    <row r="3226">
      <c r="A3226" t="inlineStr">
        <is>
          <t>T-2015-Q2-00023</t>
        </is>
      </c>
      <c r="B3226" t="inlineStr">
        <is>
          <t>MPSES</t>
        </is>
      </c>
      <c r="C3226" t="inlineStr">
        <is>
          <t>Minister of State</t>
        </is>
      </c>
      <c r="D3226" t="inlineStr">
        <is>
          <t>Ministre d'État</t>
        </is>
      </c>
      <c r="E3226" t="inlineStr">
        <is>
          <t>Rob Moore</t>
        </is>
      </c>
      <c r="F3226" t="inlineStr">
        <is>
          <t>To attend meeting with stakeholders and Government of Canada announcement</t>
        </is>
      </c>
      <c r="G3226" t="inlineStr">
        <is>
          <t>Assister à une réunion d'intervenants et à une annonce du gouvernement du Canada</t>
        </is>
      </c>
      <c r="H3226" s="1" t="n">
        <v>41813</v>
      </c>
      <c r="I3226" s="1" t="n">
        <v>41813</v>
      </c>
      <c r="J3226" t="inlineStr">
        <is>
          <t>Saint Andrews, New Brunswick</t>
        </is>
      </c>
      <c r="K3226" t="inlineStr">
        <is>
          <t>Saint Andrews (Nouveau-Brunswick)</t>
        </is>
      </c>
      <c r="P3226" t="n">
        <v>0</v>
      </c>
      <c r="Q3226" t="n">
        <v>150.49</v>
      </c>
      <c r="R3226" t="n">
        <v>0</v>
      </c>
      <c r="S3226" t="n">
        <v>15.25</v>
      </c>
      <c r="T3226" t="n">
        <v>0</v>
      </c>
      <c r="U3226" t="n">
        <v>165.74</v>
      </c>
      <c r="X3226" t="inlineStr">
        <is>
          <t>acoa-apeca</t>
        </is>
      </c>
      <c r="Y3226" t="inlineStr">
        <is>
          <t>Atlantic Canada Opportunities Agency | Agence de promotion économique du Canada atlantique</t>
        </is>
      </c>
    </row>
    <row r="3227">
      <c r="A3227" t="inlineStr">
        <is>
          <t>T-2015-Q2-00022</t>
        </is>
      </c>
      <c r="B3227" t="inlineStr">
        <is>
          <t>SLE</t>
        </is>
      </c>
      <c r="C3227" t="inlineStr">
        <is>
          <t>Vice President, Nova Scotia</t>
        </is>
      </c>
      <c r="D3227" t="inlineStr">
        <is>
          <t>Vice-président, Nouvelle-Écosse</t>
        </is>
      </c>
      <c r="E3227" t="inlineStr">
        <is>
          <t>Peter Hogan</t>
        </is>
      </c>
      <c r="F3227" t="inlineStr">
        <is>
          <t>Various meetings with Agency officials</t>
        </is>
      </c>
      <c r="G3227" t="inlineStr">
        <is>
          <t>Diverses réunions avec des fonctionnaires de l'Agence</t>
        </is>
      </c>
      <c r="H3227" s="1" t="n">
        <v>41810</v>
      </c>
      <c r="I3227" s="1" t="n">
        <v>41810</v>
      </c>
      <c r="J3227" t="inlineStr">
        <is>
          <t>Sydney, Nova Scotia</t>
        </is>
      </c>
      <c r="K3227" t="inlineStr">
        <is>
          <t>Sydney (Nouvelle-Écosse)</t>
        </is>
      </c>
      <c r="P3227" t="n">
        <v>1032.34</v>
      </c>
      <c r="Q3227" t="n">
        <v>39.89</v>
      </c>
      <c r="R3227" t="n">
        <v>0</v>
      </c>
      <c r="S3227" t="n">
        <v>15.25</v>
      </c>
      <c r="T3227" t="n">
        <v>0</v>
      </c>
      <c r="U3227" t="n">
        <v>1087.48</v>
      </c>
      <c r="X3227" t="inlineStr">
        <is>
          <t>acoa-apeca</t>
        </is>
      </c>
      <c r="Y3227" t="inlineStr">
        <is>
          <t>Atlantic Canada Opportunities Agency | Agence de promotion économique du Canada atlantique</t>
        </is>
      </c>
    </row>
    <row r="3228">
      <c r="A3228" t="inlineStr">
        <is>
          <t>T-2015-Q2-00021</t>
        </is>
      </c>
      <c r="B3228" t="inlineStr">
        <is>
          <t>SLE</t>
        </is>
      </c>
      <c r="C3228" t="inlineStr">
        <is>
          <t>President</t>
        </is>
      </c>
      <c r="D3228" t="inlineStr">
        <is>
          <t>Président</t>
        </is>
      </c>
      <c r="E3228" t="inlineStr">
        <is>
          <t>Paul J. LeBlanc</t>
        </is>
      </c>
      <c r="F3228" t="inlineStr">
        <is>
          <t>For meetings and discussions with various Government of Canada officials</t>
        </is>
      </c>
      <c r="G3228" t="inlineStr">
        <is>
          <t>Diverses réunions et discussions avec des fonctionnaires du gouvernement du Canada</t>
        </is>
      </c>
      <c r="H3228" s="1" t="n">
        <v>41810</v>
      </c>
      <c r="I3228" s="1" t="n">
        <v>41810</v>
      </c>
      <c r="J3228" t="inlineStr">
        <is>
          <t>Ottawa, Ontario</t>
        </is>
      </c>
      <c r="K3228" t="inlineStr">
        <is>
          <t>Ottawa (Ontario)</t>
        </is>
      </c>
      <c r="P3228" t="n">
        <v>747.8200000000001</v>
      </c>
      <c r="Q3228" t="n">
        <v>20</v>
      </c>
      <c r="R3228" t="n">
        <v>0</v>
      </c>
      <c r="S3228" t="n">
        <v>31.2</v>
      </c>
      <c r="T3228" t="n">
        <v>129</v>
      </c>
      <c r="U3228" t="n">
        <v>928.02</v>
      </c>
      <c r="X3228" t="inlineStr">
        <is>
          <t>acoa-apeca</t>
        </is>
      </c>
      <c r="Y3228" t="inlineStr">
        <is>
          <t>Atlantic Canada Opportunities Agency | Agence de promotion économique du Canada atlantique</t>
        </is>
      </c>
    </row>
    <row r="3229">
      <c r="A3229" t="inlineStr">
        <is>
          <t>T-2015-Q2-00020</t>
        </is>
      </c>
      <c r="B3229" t="inlineStr">
        <is>
          <t>MPSES</t>
        </is>
      </c>
      <c r="C3229" t="inlineStr">
        <is>
          <t>Executive Assistant</t>
        </is>
      </c>
      <c r="D3229" t="inlineStr">
        <is>
          <t>Adjoint exécutif</t>
        </is>
      </c>
      <c r="E3229" t="inlineStr">
        <is>
          <t>Josh Hardy</t>
        </is>
      </c>
      <c r="F3229" t="inlineStr">
        <is>
          <t>Travel on government business</t>
        </is>
      </c>
      <c r="G3229" t="inlineStr">
        <is>
          <t>Voyage en service commandé</t>
        </is>
      </c>
      <c r="H3229" s="1" t="n">
        <v>41809</v>
      </c>
      <c r="I3229" s="1" t="n">
        <v>41809</v>
      </c>
      <c r="J3229" t="inlineStr">
        <is>
          <t>Moncton, New Brunswick</t>
        </is>
      </c>
      <c r="K3229" t="inlineStr">
        <is>
          <t>Moncton (Nouveau-Brunswick)</t>
        </is>
      </c>
      <c r="P3229" t="n">
        <v>616.95</v>
      </c>
      <c r="Q3229" t="n">
        <v>0</v>
      </c>
      <c r="R3229" t="n">
        <v>0</v>
      </c>
      <c r="S3229" t="n">
        <v>0</v>
      </c>
      <c r="T3229" t="n">
        <v>0</v>
      </c>
      <c r="U3229" t="n">
        <v>616.95</v>
      </c>
      <c r="X3229" t="inlineStr">
        <is>
          <t>acoa-apeca</t>
        </is>
      </c>
      <c r="Y3229" t="inlineStr">
        <is>
          <t>Atlantic Canada Opportunities Agency | Agence de promotion économique du Canada atlantique</t>
        </is>
      </c>
    </row>
    <row r="3230">
      <c r="A3230" t="inlineStr">
        <is>
          <t>T-2015-Q2-00019</t>
        </is>
      </c>
      <c r="B3230" t="inlineStr">
        <is>
          <t>SLE</t>
        </is>
      </c>
      <c r="C3230" t="inlineStr">
        <is>
          <t>Vice-President, Prince Edward Island</t>
        </is>
      </c>
      <c r="D3230" t="inlineStr">
        <is>
          <t>Vice-président, Île-du-Prince-Édouard</t>
        </is>
      </c>
      <c r="E3230" t="inlineStr">
        <is>
          <t>Patrick Dorsey</t>
        </is>
      </c>
      <c r="F3230" t="inlineStr">
        <is>
          <t>Meetings with Government of Canada officials</t>
        </is>
      </c>
      <c r="G3230" t="inlineStr">
        <is>
          <t>Réunions avec des fonctionnaires du gouvernement du Canada</t>
        </is>
      </c>
      <c r="H3230" s="1" t="n">
        <v>41809</v>
      </c>
      <c r="I3230" s="1" t="n">
        <v>41810</v>
      </c>
      <c r="J3230" t="inlineStr">
        <is>
          <t>Moncton, New Brunswick</t>
        </is>
      </c>
      <c r="K3230" t="inlineStr">
        <is>
          <t>Moncton (Nouveau-Brunswick)</t>
        </is>
      </c>
      <c r="P3230" t="n">
        <v>0</v>
      </c>
      <c r="Q3230" t="n">
        <v>64</v>
      </c>
      <c r="R3230" t="n">
        <v>227.98</v>
      </c>
      <c r="S3230" t="n">
        <v>168.7</v>
      </c>
      <c r="T3230" t="n">
        <v>0</v>
      </c>
      <c r="U3230" t="n">
        <v>460.68</v>
      </c>
      <c r="X3230" t="inlineStr">
        <is>
          <t>acoa-apeca</t>
        </is>
      </c>
      <c r="Y3230" t="inlineStr">
        <is>
          <t>Atlantic Canada Opportunities Agency | Agence de promotion économique du Canada atlantique</t>
        </is>
      </c>
    </row>
    <row r="3231">
      <c r="A3231" t="inlineStr">
        <is>
          <t>T-2015-Q2-00017</t>
        </is>
      </c>
      <c r="B3231" t="inlineStr">
        <is>
          <t>SLE</t>
        </is>
      </c>
      <c r="C3231" t="inlineStr">
        <is>
          <t>Vice President, Nova Scotia</t>
        </is>
      </c>
      <c r="D3231" t="inlineStr">
        <is>
          <t>Vice-président, Nouvelle-Écosse</t>
        </is>
      </c>
      <c r="E3231" t="inlineStr">
        <is>
          <t>Peter Hogan</t>
        </is>
      </c>
      <c r="F3231" t="inlineStr">
        <is>
          <t>Meetings with senior Agency officials</t>
        </is>
      </c>
      <c r="G3231" t="inlineStr">
        <is>
          <t>Réunions avec de hauts fonctionnaires de l'Agence</t>
        </is>
      </c>
      <c r="H3231" s="1" t="n">
        <v>41808</v>
      </c>
      <c r="I3231" s="1" t="n">
        <v>41809</v>
      </c>
      <c r="J3231" t="inlineStr">
        <is>
          <t>Moncton, New Brunswick</t>
        </is>
      </c>
      <c r="K3231" t="inlineStr">
        <is>
          <t>Moncton (Nouveau-Brunswick)</t>
        </is>
      </c>
      <c r="P3231" t="n">
        <v>0</v>
      </c>
      <c r="Q3231" t="n">
        <v>0</v>
      </c>
      <c r="R3231" t="n">
        <v>137.86</v>
      </c>
      <c r="S3231" t="n">
        <v>119.5</v>
      </c>
      <c r="T3231" t="n">
        <v>0</v>
      </c>
      <c r="U3231" t="n">
        <v>257.36</v>
      </c>
      <c r="X3231" t="inlineStr">
        <is>
          <t>acoa-apeca</t>
        </is>
      </c>
      <c r="Y3231" t="inlineStr">
        <is>
          <t>Atlantic Canada Opportunities Agency | Agence de promotion économique du Canada atlantique</t>
        </is>
      </c>
    </row>
    <row r="3232">
      <c r="A3232" t="inlineStr">
        <is>
          <t>T-2015-Q2-00016</t>
        </is>
      </c>
      <c r="B3232" t="inlineStr">
        <is>
          <t>SLE</t>
        </is>
      </c>
      <c r="C3232" t="inlineStr">
        <is>
          <t>Vice-President, New Brunswick</t>
        </is>
      </c>
      <c r="D3232" t="inlineStr">
        <is>
          <t>Vice-président, Nouveau-Brunswick</t>
        </is>
      </c>
      <c r="E3232" t="inlineStr">
        <is>
          <t>Kent Estabrooks</t>
        </is>
      </c>
      <c r="F3232" t="inlineStr">
        <is>
          <t>Meeting with Agency officials</t>
        </is>
      </c>
      <c r="G3232" t="inlineStr">
        <is>
          <t>Réunion avec des fonctionnaires de l'Agence</t>
        </is>
      </c>
      <c r="H3232" s="1" t="n">
        <v>41808</v>
      </c>
      <c r="I3232" s="1" t="n">
        <v>41809</v>
      </c>
      <c r="J3232" t="inlineStr">
        <is>
          <t>Moncton, New Brunswick</t>
        </is>
      </c>
      <c r="K3232" t="inlineStr">
        <is>
          <t>Moncton (Nouveau-Brunswick)</t>
        </is>
      </c>
      <c r="P3232" t="n">
        <v>0</v>
      </c>
      <c r="Q3232" t="n">
        <v>0</v>
      </c>
      <c r="R3232" t="n">
        <v>113</v>
      </c>
      <c r="S3232" t="n">
        <v>119.5</v>
      </c>
      <c r="T3232" t="n">
        <v>0</v>
      </c>
      <c r="U3232" t="n">
        <v>232.5</v>
      </c>
      <c r="X3232" t="inlineStr">
        <is>
          <t>acoa-apeca</t>
        </is>
      </c>
      <c r="Y3232" t="inlineStr">
        <is>
          <t>Atlantic Canada Opportunities Agency | Agence de promotion économique du Canada atlantique</t>
        </is>
      </c>
    </row>
    <row r="3233">
      <c r="A3233" t="inlineStr">
        <is>
          <t>T-2015-Q2-00014</t>
        </is>
      </c>
      <c r="B3233" t="inlineStr">
        <is>
          <t>MPSES</t>
        </is>
      </c>
      <c r="C3233" t="inlineStr">
        <is>
          <t>Minister of State</t>
        </is>
      </c>
      <c r="D3233" t="inlineStr">
        <is>
          <t>Ministre d'État</t>
        </is>
      </c>
      <c r="E3233" t="inlineStr">
        <is>
          <t>Rob Moore</t>
        </is>
      </c>
      <c r="F3233" t="inlineStr">
        <is>
          <t>To attend government of Canada announcement</t>
        </is>
      </c>
      <c r="G3233" t="inlineStr">
        <is>
          <t>Assister à une annonce du gouvernement du Canada</t>
        </is>
      </c>
      <c r="H3233" s="1" t="n">
        <v>41803</v>
      </c>
      <c r="I3233" s="1" t="n">
        <v>41803</v>
      </c>
      <c r="J3233" t="inlineStr">
        <is>
          <t>Moncton, New Brunswick</t>
        </is>
      </c>
      <c r="K3233" t="inlineStr">
        <is>
          <t>Moncton (Nouveau-Brunswick)</t>
        </is>
      </c>
      <c r="P3233" t="n">
        <v>0</v>
      </c>
      <c r="Q3233" t="n">
        <v>132.31</v>
      </c>
      <c r="R3233" t="n">
        <v>0</v>
      </c>
      <c r="S3233" t="n">
        <v>15.25</v>
      </c>
      <c r="T3233" t="n">
        <v>0</v>
      </c>
      <c r="U3233" t="n">
        <v>147.56</v>
      </c>
      <c r="X3233" t="inlineStr">
        <is>
          <t>acoa-apeca</t>
        </is>
      </c>
      <c r="Y3233" t="inlineStr">
        <is>
          <t>Atlantic Canada Opportunities Agency | Agence de promotion économique du Canada atlantique</t>
        </is>
      </c>
    </row>
    <row r="3234">
      <c r="A3234" t="inlineStr">
        <is>
          <t>T-2015-Q2-00013</t>
        </is>
      </c>
      <c r="B3234" t="inlineStr">
        <is>
          <t>SLE</t>
        </is>
      </c>
      <c r="C3234" t="inlineStr">
        <is>
          <t>Vice-President, Prince Edward Island</t>
        </is>
      </c>
      <c r="D3234" t="inlineStr">
        <is>
          <t>Vice-président, Île-du-Prince-Édouard</t>
        </is>
      </c>
      <c r="E3234" t="inlineStr">
        <is>
          <t>Patrick Dorsey</t>
        </is>
      </c>
      <c r="F3234" t="inlineStr">
        <is>
          <t>Meetings with Government of Canada officials</t>
        </is>
      </c>
      <c r="G3234" t="inlineStr">
        <is>
          <t>Réunions avec des fonctionnaires du gouvernement du Canada</t>
        </is>
      </c>
      <c r="H3234" s="1" t="n">
        <v>41801</v>
      </c>
      <c r="I3234" s="1" t="n">
        <v>41803</v>
      </c>
      <c r="J3234" t="inlineStr">
        <is>
          <t>Ottawa, Ontario</t>
        </is>
      </c>
      <c r="K3234" t="inlineStr">
        <is>
          <t>Ottawa (Ontario)</t>
        </is>
      </c>
      <c r="P3234" t="n">
        <v>1062.43</v>
      </c>
      <c r="Q3234" t="n">
        <v>70</v>
      </c>
      <c r="R3234" t="n">
        <v>393.4</v>
      </c>
      <c r="S3234" t="n">
        <v>199.2</v>
      </c>
      <c r="T3234" t="n">
        <v>0</v>
      </c>
      <c r="U3234" t="n">
        <v>1725.03</v>
      </c>
      <c r="X3234" t="inlineStr">
        <is>
          <t>acoa-apeca</t>
        </is>
      </c>
      <c r="Y3234" t="inlineStr">
        <is>
          <t>Atlantic Canada Opportunities Agency | Agence de promotion économique du Canada atlantique</t>
        </is>
      </c>
    </row>
    <row r="3235">
      <c r="A3235" t="inlineStr">
        <is>
          <t>T-2015-Q2-00012</t>
        </is>
      </c>
      <c r="B3235" t="inlineStr">
        <is>
          <t>SLE</t>
        </is>
      </c>
      <c r="C3235" t="inlineStr">
        <is>
          <t>Vice-President, Policy and Programs</t>
        </is>
      </c>
      <c r="D3235" t="inlineStr">
        <is>
          <t>Vice-président, Politiques et Programmes</t>
        </is>
      </c>
      <c r="E3235" t="inlineStr">
        <is>
          <t>Daryell Nowlan</t>
        </is>
      </c>
      <c r="F3235" t="inlineStr">
        <is>
          <t>Meeting with Government of Canada officials</t>
        </is>
      </c>
      <c r="G3235" t="inlineStr">
        <is>
          <t>Réunion avec des fonctionnaires du gouvernement du Canada</t>
        </is>
      </c>
      <c r="H3235" s="1" t="n">
        <v>41801</v>
      </c>
      <c r="I3235" s="1" t="n">
        <v>41802</v>
      </c>
      <c r="J3235" t="inlineStr">
        <is>
          <t>Halifax, Nova Scotia</t>
        </is>
      </c>
      <c r="K3235" t="inlineStr">
        <is>
          <t>Halifax (Nouvelle-Écosse)</t>
        </is>
      </c>
      <c r="P3235" t="n">
        <v>0</v>
      </c>
      <c r="Q3235" t="n">
        <v>0</v>
      </c>
      <c r="R3235" t="n">
        <v>181.82</v>
      </c>
      <c r="S3235" t="n">
        <v>77.05</v>
      </c>
      <c r="T3235" t="n">
        <v>0</v>
      </c>
      <c r="U3235" t="n">
        <v>258.87</v>
      </c>
      <c r="X3235" t="inlineStr">
        <is>
          <t>acoa-apeca</t>
        </is>
      </c>
      <c r="Y3235" t="inlineStr">
        <is>
          <t>Atlantic Canada Opportunities Agency | Agence de promotion économique du Canada atlantique</t>
        </is>
      </c>
    </row>
    <row r="3236">
      <c r="A3236" t="inlineStr">
        <is>
          <t>T-2015-Q2-00010</t>
        </is>
      </c>
      <c r="B3236" t="inlineStr">
        <is>
          <t>SLE</t>
        </is>
      </c>
      <c r="C3236" t="inlineStr">
        <is>
          <t>Vice-President, New Brunswick</t>
        </is>
      </c>
      <c r="D3236" t="inlineStr">
        <is>
          <t>Vice-président, Nouveau-Brunswick</t>
        </is>
      </c>
      <c r="E3236" t="inlineStr">
        <is>
          <t>Kent Estabrooks</t>
        </is>
      </c>
      <c r="F3236" t="inlineStr">
        <is>
          <t>External stakeholders meeting/meeting with federal officials</t>
        </is>
      </c>
      <c r="G3236" t="inlineStr">
        <is>
          <t>Réunion avec des intervenants externes/ réunion avec des fonctionnaires fédéraux</t>
        </is>
      </c>
      <c r="H3236" s="1" t="n">
        <v>41799</v>
      </c>
      <c r="I3236" s="1" t="n">
        <v>41801</v>
      </c>
      <c r="J3236" t="inlineStr">
        <is>
          <t>Ottawa, Ontario</t>
        </is>
      </c>
      <c r="K3236" t="inlineStr">
        <is>
          <t>Ottawa (Ontario)</t>
        </is>
      </c>
      <c r="P3236" t="n">
        <v>892.7</v>
      </c>
      <c r="Q3236" t="n">
        <v>91</v>
      </c>
      <c r="R3236" t="n">
        <v>379.43</v>
      </c>
      <c r="S3236" t="n">
        <v>194.5</v>
      </c>
      <c r="T3236" t="n">
        <v>0</v>
      </c>
      <c r="U3236" t="n">
        <v>1557.63</v>
      </c>
      <c r="X3236" t="inlineStr">
        <is>
          <t>acoa-apeca</t>
        </is>
      </c>
      <c r="Y3236" t="inlineStr">
        <is>
          <t>Atlantic Canada Opportunities Agency | Agence de promotion économique du Canada atlantique</t>
        </is>
      </c>
    </row>
    <row r="3237">
      <c r="A3237" t="inlineStr">
        <is>
          <t>T-2015-Q2-00008</t>
        </is>
      </c>
      <c r="B3237" t="inlineStr">
        <is>
          <t>SLE</t>
        </is>
      </c>
      <c r="C3237" t="inlineStr">
        <is>
          <t>President</t>
        </is>
      </c>
      <c r="D3237" t="inlineStr">
        <is>
          <t>Président</t>
        </is>
      </c>
      <c r="E3237" t="inlineStr">
        <is>
          <t>Paul J. LeBlanc</t>
        </is>
      </c>
      <c r="F3237" t="inlineStr">
        <is>
          <t>For various meetings and discussions with Agency officials and with Government of Canada officials</t>
        </is>
      </c>
      <c r="G3237" t="inlineStr">
        <is>
          <t>Diverses réunions et discussions avec des fonctionnaires de l'Agence et du gouvernement du Canada</t>
        </is>
      </c>
      <c r="H3237" s="1" t="n">
        <v>41799</v>
      </c>
      <c r="I3237" s="1" t="n">
        <v>41803</v>
      </c>
      <c r="J3237" t="inlineStr">
        <is>
          <t>Ottawa, Ontario and Halifax, Nova Scotia</t>
        </is>
      </c>
      <c r="K3237" t="inlineStr">
        <is>
          <t>Ottawa (Ontario) et Halifax (Nouvelle-Écosse)</t>
        </is>
      </c>
      <c r="P3237" t="n">
        <v>1395.85</v>
      </c>
      <c r="Q3237" t="n">
        <v>68</v>
      </c>
      <c r="R3237" t="n">
        <v>729.96</v>
      </c>
      <c r="S3237" t="n">
        <v>381.1</v>
      </c>
      <c r="T3237" t="n">
        <v>56.5</v>
      </c>
      <c r="U3237" t="n">
        <v>2631.41</v>
      </c>
      <c r="X3237" t="inlineStr">
        <is>
          <t>acoa-apeca</t>
        </is>
      </c>
      <c r="Y3237" t="inlineStr">
        <is>
          <t>Atlantic Canada Opportunities Agency | Agence de promotion économique du Canada atlantique</t>
        </is>
      </c>
    </row>
    <row r="3238">
      <c r="A3238" t="inlineStr">
        <is>
          <t>T-2015-Q2-00007</t>
        </is>
      </c>
      <c r="B3238" t="inlineStr">
        <is>
          <t>SLE</t>
        </is>
      </c>
      <c r="C3238" t="inlineStr">
        <is>
          <t>Vice-President, Newfoundland and Labrador</t>
        </is>
      </c>
      <c r="D3238" t="inlineStr">
        <is>
          <t>Vice-président, Terre-Neuve-et-Labrador</t>
        </is>
      </c>
      <c r="E3238" t="inlineStr">
        <is>
          <t>Paul Mills</t>
        </is>
      </c>
      <c r="F3238" t="inlineStr">
        <is>
          <t>Meetings with Minister of ACOA and President LeBlanc</t>
        </is>
      </c>
      <c r="G3238" t="inlineStr">
        <is>
          <t>Réunions avec le ministre de l'APECA et le président LeBlanc</t>
        </is>
      </c>
      <c r="H3238" s="1" t="n">
        <v>41799</v>
      </c>
      <c r="I3238" s="1" t="n">
        <v>41802</v>
      </c>
      <c r="J3238" t="inlineStr">
        <is>
          <t>Ottawa, Ontario</t>
        </is>
      </c>
      <c r="K3238" t="inlineStr">
        <is>
          <t>Ottawa (Ontario)</t>
        </is>
      </c>
      <c r="P3238" t="n">
        <v>1369.61</v>
      </c>
      <c r="Q3238" t="n">
        <v>133</v>
      </c>
      <c r="R3238" t="n">
        <v>694.86</v>
      </c>
      <c r="S3238" t="n">
        <v>305.4</v>
      </c>
      <c r="T3238" t="n">
        <v>14.28</v>
      </c>
      <c r="U3238" t="n">
        <v>2517.15</v>
      </c>
      <c r="X3238" t="inlineStr">
        <is>
          <t>acoa-apeca</t>
        </is>
      </c>
      <c r="Y3238" t="inlineStr">
        <is>
          <t>Atlantic Canada Opportunities Agency | Agence de promotion économique du Canada atlantique</t>
        </is>
      </c>
    </row>
    <row r="3239">
      <c r="A3239" t="inlineStr">
        <is>
          <t>T-2015-Q2-00006</t>
        </is>
      </c>
      <c r="B3239" t="inlineStr">
        <is>
          <t>SLE</t>
        </is>
      </c>
      <c r="C3239" t="inlineStr">
        <is>
          <t>Vice-President, Policy and Programs</t>
        </is>
      </c>
      <c r="D3239" t="inlineStr">
        <is>
          <t>Vice-président, Politiques et Programmes</t>
        </is>
      </c>
      <c r="E3239" t="inlineStr">
        <is>
          <t>Daryell Nowlan</t>
        </is>
      </c>
      <c r="F3239" t="inlineStr">
        <is>
          <t>Meeting with Government of Canada officials</t>
        </is>
      </c>
      <c r="G3239" t="inlineStr">
        <is>
          <t>Réunion avec des fonctionnaires du gouvernement du Canada</t>
        </is>
      </c>
      <c r="H3239" s="1" t="n">
        <v>41798</v>
      </c>
      <c r="I3239" s="1" t="n">
        <v>41799</v>
      </c>
      <c r="J3239" t="inlineStr">
        <is>
          <t xml:space="preserve">Halifax, Nova Scotia </t>
        </is>
      </c>
      <c r="K3239" t="inlineStr">
        <is>
          <t>Halifax (Nouvelle-Écosse)</t>
        </is>
      </c>
      <c r="P3239" t="n">
        <v>0</v>
      </c>
      <c r="Q3239" t="n">
        <v>199.4</v>
      </c>
      <c r="R3239" t="n">
        <v>181.82</v>
      </c>
      <c r="S3239" t="n">
        <v>92.3</v>
      </c>
      <c r="T3239" t="n">
        <v>0</v>
      </c>
      <c r="U3239" t="n">
        <v>473.52</v>
      </c>
      <c r="X3239" t="inlineStr">
        <is>
          <t>acoa-apeca</t>
        </is>
      </c>
      <c r="Y3239" t="inlineStr">
        <is>
          <t>Atlantic Canada Opportunities Agency | Agence de promotion économique du Canada atlantique</t>
        </is>
      </c>
    </row>
    <row r="3240">
      <c r="A3240" t="inlineStr">
        <is>
          <t>T-2015-Q2-00005</t>
        </is>
      </c>
      <c r="B3240" t="inlineStr">
        <is>
          <t>SLE</t>
        </is>
      </c>
      <c r="C3240" t="inlineStr">
        <is>
          <t>Vice President, Nova Scotia</t>
        </is>
      </c>
      <c r="D3240" t="inlineStr">
        <is>
          <t>Vice-président, Nouvelle-Écosse</t>
        </is>
      </c>
      <c r="E3240" t="inlineStr">
        <is>
          <t>Peter Hogan</t>
        </is>
      </c>
      <c r="F3240" t="inlineStr">
        <is>
          <t xml:space="preserve">Meetings with Agency officials </t>
        </is>
      </c>
      <c r="G3240" t="inlineStr">
        <is>
          <t>Réunions avec des fonctionnaires de l'Agence</t>
        </is>
      </c>
      <c r="H3240" s="1" t="n">
        <v>41796</v>
      </c>
      <c r="I3240" s="1" t="n">
        <v>41796</v>
      </c>
      <c r="J3240" t="inlineStr">
        <is>
          <t>Moncton, New Brunswick</t>
        </is>
      </c>
      <c r="K3240" t="inlineStr">
        <is>
          <t>Moncton (Nouveau-Brunswick)</t>
        </is>
      </c>
      <c r="P3240" t="n">
        <v>0</v>
      </c>
      <c r="Q3240" t="n">
        <v>246.33</v>
      </c>
      <c r="R3240" t="n">
        <v>0</v>
      </c>
      <c r="S3240" t="n">
        <v>15.25</v>
      </c>
      <c r="T3240" t="n">
        <v>0</v>
      </c>
      <c r="U3240" t="n">
        <v>261.58</v>
      </c>
      <c r="X3240" t="inlineStr">
        <is>
          <t>acoa-apeca</t>
        </is>
      </c>
      <c r="Y3240" t="inlineStr">
        <is>
          <t>Atlantic Canada Opportunities Agency | Agence de promotion économique du Canada atlantique</t>
        </is>
      </c>
    </row>
    <row r="3241">
      <c r="A3241" t="inlineStr">
        <is>
          <t>T-2015-Q2-00004</t>
        </is>
      </c>
      <c r="B3241" t="inlineStr">
        <is>
          <t>SLE</t>
        </is>
      </c>
      <c r="C3241" t="inlineStr">
        <is>
          <t>President</t>
        </is>
      </c>
      <c r="D3241" t="inlineStr">
        <is>
          <t>Président</t>
        </is>
      </c>
      <c r="E3241" t="inlineStr">
        <is>
          <t>Paul J. LeBlanc</t>
        </is>
      </c>
      <c r="F3241" t="inlineStr">
        <is>
          <t>For various meetings and discussions with Agency officials and with Government of Canada officials</t>
        </is>
      </c>
      <c r="G3241" t="inlineStr">
        <is>
          <t>Diverses réunions et discussions avec des fonctionnaires de l'Agence et du gouvernement du Canada</t>
        </is>
      </c>
      <c r="H3241" s="1" t="n">
        <v>41793</v>
      </c>
      <c r="I3241" s="1" t="n">
        <v>41794</v>
      </c>
      <c r="J3241" t="inlineStr">
        <is>
          <t>Ottawa, Ontario</t>
        </is>
      </c>
      <c r="K3241" t="inlineStr">
        <is>
          <t>Ottawa (Ontario)</t>
        </is>
      </c>
      <c r="P3241" t="n">
        <v>1092.64</v>
      </c>
      <c r="Q3241" t="n">
        <v>0</v>
      </c>
      <c r="R3241" t="n">
        <v>185.06</v>
      </c>
      <c r="S3241" t="n">
        <v>123.5</v>
      </c>
      <c r="T3241" t="n">
        <v>0</v>
      </c>
      <c r="U3241" t="n">
        <v>1401.2</v>
      </c>
      <c r="X3241" t="inlineStr">
        <is>
          <t>acoa-apeca</t>
        </is>
      </c>
      <c r="Y3241" t="inlineStr">
        <is>
          <t>Atlantic Canada Opportunities Agency | Agence de promotion économique du Canada atlantique</t>
        </is>
      </c>
    </row>
    <row r="3242">
      <c r="A3242" t="inlineStr">
        <is>
          <t>T-2015-Q2-00003</t>
        </is>
      </c>
      <c r="B3242" t="inlineStr">
        <is>
          <t>SLE</t>
        </is>
      </c>
      <c r="C3242" t="inlineStr">
        <is>
          <t>Vice-President, Finance and Corporate Services</t>
        </is>
      </c>
      <c r="D3242" t="inlineStr">
        <is>
          <t>Vice-présidente, Finances et Services corporatifs</t>
        </is>
      </c>
      <c r="E3242" t="inlineStr">
        <is>
          <t>Denise Frenette</t>
        </is>
      </c>
      <c r="F3242" t="inlineStr">
        <is>
          <t>Meeting between Atlantic Canada Opportunities Agency, Enterprise Cape Breton Corporation and Public Works and Government Services Canada officials</t>
        </is>
      </c>
      <c r="G3242" t="inlineStr">
        <is>
          <t>Réunion de fonctionnaires de l'Agence de promotion économique du Canada atlantique, de la Société d'expansion du Cap-Breton et de Travaux publics et Services gouvernementaux Canada</t>
        </is>
      </c>
      <c r="H3242" s="1" t="n">
        <v>41792</v>
      </c>
      <c r="I3242" s="1" t="n">
        <v>41793</v>
      </c>
      <c r="J3242" t="inlineStr">
        <is>
          <t>Sydney, Nova Scotia</t>
        </is>
      </c>
      <c r="K3242" t="inlineStr">
        <is>
          <t>Sydney (Nouvelle-Écosse)</t>
        </is>
      </c>
      <c r="P3242" t="n">
        <v>687.04</v>
      </c>
      <c r="Q3242" t="n">
        <v>3.96</v>
      </c>
      <c r="R3242" t="n">
        <v>146.63</v>
      </c>
      <c r="S3242" t="n">
        <v>92.3</v>
      </c>
      <c r="T3242" t="n">
        <v>57.5</v>
      </c>
      <c r="U3242" t="n">
        <v>987.4299999999999</v>
      </c>
      <c r="X3242" t="inlineStr">
        <is>
          <t>acoa-apeca</t>
        </is>
      </c>
      <c r="Y3242" t="inlineStr">
        <is>
          <t>Atlantic Canada Opportunities Agency | Agence de promotion économique du Canada atlantique</t>
        </is>
      </c>
    </row>
    <row r="3243">
      <c r="A3243" t="inlineStr">
        <is>
          <t>T-2015-Q2-00002</t>
        </is>
      </c>
      <c r="B3243" t="inlineStr">
        <is>
          <t>SLE</t>
        </is>
      </c>
      <c r="C3243" t="inlineStr">
        <is>
          <t>Vice-President, New Brunswick</t>
        </is>
      </c>
      <c r="D3243" t="inlineStr">
        <is>
          <t>Vice-président, Nouveau-Brunswick</t>
        </is>
      </c>
      <c r="E3243" t="inlineStr">
        <is>
          <t>Kent Estabrooks</t>
        </is>
      </c>
      <c r="F3243" t="inlineStr">
        <is>
          <t>External stakeholders meetings</t>
        </is>
      </c>
      <c r="G3243" t="inlineStr">
        <is>
          <t>Réunions avec des intervenants externes</t>
        </is>
      </c>
      <c r="H3243" s="1" t="n">
        <v>41792</v>
      </c>
      <c r="I3243" s="1" t="n">
        <v>41796</v>
      </c>
      <c r="J3243" t="inlineStr">
        <is>
          <t>Ottawa, Ontario / St. Andrews, New Brunswick</t>
        </is>
      </c>
      <c r="K3243" t="inlineStr">
        <is>
          <t>Ottawa (Ontario) / St. Andrews (Nouveau-Brunswick)</t>
        </is>
      </c>
      <c r="P3243" t="n">
        <v>892.7</v>
      </c>
      <c r="Q3243" t="n">
        <v>364.89</v>
      </c>
      <c r="R3243" t="n">
        <v>715.7</v>
      </c>
      <c r="S3243" t="n">
        <v>245.05</v>
      </c>
      <c r="T3243" t="n">
        <v>0</v>
      </c>
      <c r="U3243" t="n">
        <v>2218.34</v>
      </c>
      <c r="X3243" t="inlineStr">
        <is>
          <t>acoa-apeca</t>
        </is>
      </c>
      <c r="Y3243" t="inlineStr">
        <is>
          <t>Atlantic Canada Opportunities Agency | Agence de promotion économique du Canada atlantique</t>
        </is>
      </c>
    </row>
    <row r="3244">
      <c r="A3244" t="inlineStr">
        <is>
          <t>T-2015-Q2-00001</t>
        </is>
      </c>
      <c r="B3244" t="inlineStr">
        <is>
          <t>SLE</t>
        </is>
      </c>
      <c r="C3244" t="inlineStr">
        <is>
          <t>Vice-President, Finance and Corporate Services</t>
        </is>
      </c>
      <c r="D3244" t="inlineStr">
        <is>
          <t>Vice-présidente, Finances et Services corporatifs</t>
        </is>
      </c>
      <c r="E3244" t="inlineStr">
        <is>
          <t>Denise Frenette</t>
        </is>
      </c>
      <c r="F3244" t="inlineStr">
        <is>
          <t>Meeting with Government of Canada Officials</t>
        </is>
      </c>
      <c r="G3244" t="inlineStr">
        <is>
          <t>Réunion avec des fonctionnaires du gouvernement du Canada</t>
        </is>
      </c>
      <c r="H3244" s="1" t="n">
        <v>41792</v>
      </c>
      <c r="I3244" s="1" t="n">
        <v>41793</v>
      </c>
      <c r="J3244" t="inlineStr">
        <is>
          <t>Sydney, Nova Scotia</t>
        </is>
      </c>
      <c r="K3244" t="inlineStr">
        <is>
          <t>Sydney (Nouvelle-Écosse)</t>
        </is>
      </c>
      <c r="P3244" t="n">
        <v>687.04</v>
      </c>
      <c r="Q3244" t="n">
        <v>0</v>
      </c>
      <c r="R3244" t="n">
        <v>146.63</v>
      </c>
      <c r="S3244" t="n">
        <v>57.5</v>
      </c>
      <c r="T3244" t="n">
        <v>96.06</v>
      </c>
      <c r="U3244" t="n">
        <v>987.23</v>
      </c>
      <c r="X3244" t="inlineStr">
        <is>
          <t>acoa-apeca</t>
        </is>
      </c>
      <c r="Y3244" t="inlineStr">
        <is>
          <t>Atlantic Canada Opportunities Agency | Agence de promotion économique du Canada atlantique</t>
        </is>
      </c>
    </row>
    <row r="3245">
      <c r="A3245" t="inlineStr">
        <is>
          <t>T-2015-Q1-00068</t>
        </is>
      </c>
      <c r="B3245" t="inlineStr">
        <is>
          <t>SLE</t>
        </is>
      </c>
      <c r="C3245" t="inlineStr">
        <is>
          <t>Vice-President, Newfoundland and Labrador</t>
        </is>
      </c>
      <c r="D3245" t="inlineStr">
        <is>
          <t>Vice-président, Terre-Neuve-et-Labrador</t>
        </is>
      </c>
      <c r="E3245" t="inlineStr">
        <is>
          <t>Paul Mills</t>
        </is>
      </c>
      <c r="F3245" t="inlineStr">
        <is>
          <t>Private kilometers claim for travel in the St. John's, NL metro area</t>
        </is>
      </c>
      <c r="G3245" t="inlineStr">
        <is>
          <t>Demande de remboursement de frais de voyage avec véhicule privé pour déplacements dans la région métropolitaine de St. John's (Terre-Neuve)</t>
        </is>
      </c>
      <c r="H3245" s="1" t="n">
        <v>41791</v>
      </c>
      <c r="I3245" s="1" t="n">
        <v>41912</v>
      </c>
      <c r="J3245" t="inlineStr">
        <is>
          <t>St. John's, Newfoundland</t>
        </is>
      </c>
      <c r="K3245" t="inlineStr">
        <is>
          <t>St. John's (Terre-Neuve)</t>
        </is>
      </c>
      <c r="P3245" t="n">
        <v>0</v>
      </c>
      <c r="Q3245" t="n">
        <v>78.31999999999999</v>
      </c>
      <c r="R3245" t="n">
        <v>0</v>
      </c>
      <c r="S3245" t="n">
        <v>0</v>
      </c>
      <c r="T3245" t="n">
        <v>0</v>
      </c>
      <c r="U3245" t="n">
        <v>78.31999999999999</v>
      </c>
      <c r="X3245" t="inlineStr">
        <is>
          <t>acoa-apeca</t>
        </is>
      </c>
      <c r="Y3245" t="inlineStr">
        <is>
          <t>Atlantic Canada Opportunities Agency | Agence de promotion économique du Canada atlantique</t>
        </is>
      </c>
    </row>
    <row r="3246">
      <c r="A3246" t="inlineStr">
        <is>
          <t>T-2015-Q1-00067</t>
        </is>
      </c>
      <c r="B3246" t="inlineStr">
        <is>
          <t>SLE</t>
        </is>
      </c>
      <c r="C3246" t="inlineStr">
        <is>
          <t>Vice-President, Policy and Programs</t>
        </is>
      </c>
      <c r="D3246" t="inlineStr">
        <is>
          <t>Vice-président, Politiques et Programmes</t>
        </is>
      </c>
      <c r="E3246" t="inlineStr">
        <is>
          <t>Daryell Nowlan</t>
        </is>
      </c>
      <c r="F3246" t="inlineStr">
        <is>
          <t>Meetings</t>
        </is>
      </c>
      <c r="G3246" t="inlineStr">
        <is>
          <t>Réunions</t>
        </is>
      </c>
      <c r="H3246" s="1" t="n">
        <v>41791</v>
      </c>
      <c r="I3246" s="1" t="n">
        <v>41793</v>
      </c>
      <c r="J3246" t="inlineStr">
        <is>
          <t>Ottawa, Ontario</t>
        </is>
      </c>
      <c r="K3246" t="inlineStr">
        <is>
          <t>Ottawa (Ontario)</t>
        </is>
      </c>
      <c r="P3246" t="n">
        <v>937.9</v>
      </c>
      <c r="Q3246" t="n">
        <v>90.81999999999999</v>
      </c>
      <c r="R3246" t="n">
        <v>544.71</v>
      </c>
      <c r="S3246" t="n">
        <v>209.75</v>
      </c>
      <c r="T3246" t="n">
        <v>0</v>
      </c>
      <c r="U3246" t="n">
        <v>1783.18</v>
      </c>
      <c r="X3246" t="inlineStr">
        <is>
          <t>acoa-apeca</t>
        </is>
      </c>
      <c r="Y3246" t="inlineStr">
        <is>
          <t>Atlantic Canada Opportunities Agency | Agence de promotion économique du Canada atlantique</t>
        </is>
      </c>
    </row>
    <row r="3247">
      <c r="A3247" t="inlineStr">
        <is>
          <t>T-2015-Q1-00066</t>
        </is>
      </c>
      <c r="B3247" t="inlineStr">
        <is>
          <t>SLE</t>
        </is>
      </c>
      <c r="C3247" t="inlineStr">
        <is>
          <t>President</t>
        </is>
      </c>
      <c r="D3247" t="inlineStr">
        <is>
          <t>Président</t>
        </is>
      </c>
      <c r="E3247" t="inlineStr">
        <is>
          <t>Paul J. LeBlanc</t>
        </is>
      </c>
      <c r="F3247" t="inlineStr">
        <is>
          <t>For various meetings and sessions with Agency officials; government officials; stakeholders</t>
        </is>
      </c>
      <c r="G3247" t="inlineStr">
        <is>
          <t>Diverses réunions et séances avec des fonctionnaires de l'Agence et du gouvernement du Canada, ainsi qu'avec des intervenants</t>
        </is>
      </c>
      <c r="H3247" s="1" t="n">
        <v>41791</v>
      </c>
      <c r="I3247" s="1" t="n">
        <v>41792</v>
      </c>
      <c r="J3247" t="inlineStr">
        <is>
          <t>Charlottetown, Prince Edward Island</t>
        </is>
      </c>
      <c r="K3247" t="inlineStr">
        <is>
          <t>Charlottetown (Île-du-Prince-Édouard)</t>
        </is>
      </c>
      <c r="P3247" t="n">
        <v>0</v>
      </c>
      <c r="Q3247" t="n">
        <v>0</v>
      </c>
      <c r="R3247" t="n">
        <v>233.67</v>
      </c>
      <c r="S3247" t="n">
        <v>119.5</v>
      </c>
      <c r="T3247" t="n">
        <v>64.38</v>
      </c>
      <c r="U3247" t="n">
        <v>417.55</v>
      </c>
      <c r="X3247" t="inlineStr">
        <is>
          <t>acoa-apeca</t>
        </is>
      </c>
      <c r="Y3247" t="inlineStr">
        <is>
          <t>Atlantic Canada Opportunities Agency | Agence de promotion économique du Canada atlantique</t>
        </is>
      </c>
    </row>
    <row r="3248">
      <c r="A3248" t="inlineStr">
        <is>
          <t>T-2015-Q1-00065</t>
        </is>
      </c>
      <c r="B3248" t="inlineStr">
        <is>
          <t>SLE</t>
        </is>
      </c>
      <c r="C3248" t="inlineStr">
        <is>
          <t>Vice-President, Newfoundland and Labrador</t>
        </is>
      </c>
      <c r="D3248" t="inlineStr">
        <is>
          <t>Vice-président, Terre-Neuve-et-Labrador</t>
        </is>
      </c>
      <c r="E3248" t="inlineStr">
        <is>
          <t>Paul Mills</t>
        </is>
      </c>
      <c r="F3248" t="inlineStr">
        <is>
          <t>Travel to Ottawa, Ontario to meet senior officials</t>
        </is>
      </c>
      <c r="G3248" t="inlineStr">
        <is>
          <t>Voyage à Ottawa (Ontario) pour rencontrer des hauts fonctionnaires</t>
        </is>
      </c>
      <c r="H3248" s="1" t="n">
        <v>41791</v>
      </c>
      <c r="I3248" s="1" t="n">
        <v>41794</v>
      </c>
      <c r="J3248" t="inlineStr">
        <is>
          <t>Ottawa, Ontario</t>
        </is>
      </c>
      <c r="K3248" t="inlineStr">
        <is>
          <t>Ottawa (Ontario)</t>
        </is>
      </c>
      <c r="P3248" t="n">
        <v>1369.61</v>
      </c>
      <c r="Q3248" t="n">
        <v>133</v>
      </c>
      <c r="R3248" t="n">
        <v>590.1</v>
      </c>
      <c r="S3248" t="n">
        <v>347.85</v>
      </c>
      <c r="T3248" t="n">
        <v>10.14</v>
      </c>
      <c r="U3248" t="n">
        <v>2450.7</v>
      </c>
      <c r="X3248" t="inlineStr">
        <is>
          <t>acoa-apeca</t>
        </is>
      </c>
      <c r="Y3248" t="inlineStr">
        <is>
          <t>Atlantic Canada Opportunities Agency | Agence de promotion économique du Canada atlantique</t>
        </is>
      </c>
    </row>
    <row r="3249">
      <c r="A3249" t="inlineStr">
        <is>
          <t>T-2015-Q1-00064</t>
        </is>
      </c>
      <c r="B3249" t="inlineStr">
        <is>
          <t>SLE</t>
        </is>
      </c>
      <c r="C3249" t="inlineStr">
        <is>
          <t>Vice President, Nova Scotia</t>
        </is>
      </c>
      <c r="D3249" t="inlineStr">
        <is>
          <t>Vice-président, Nouvelle-Écosse</t>
        </is>
      </c>
      <c r="E3249" t="inlineStr">
        <is>
          <t>Peter Hogan</t>
        </is>
      </c>
      <c r="F3249" t="inlineStr">
        <is>
          <t xml:space="preserve">Meetings with Government of Canada and Agency Officials </t>
        </is>
      </c>
      <c r="G3249" t="inlineStr">
        <is>
          <t>Réunions avec des fonctionnaires du gouvernement du Canada et de l'Agence</t>
        </is>
      </c>
      <c r="H3249" s="1" t="n">
        <v>41787</v>
      </c>
      <c r="I3249" s="1" t="n">
        <v>41788</v>
      </c>
      <c r="J3249" t="inlineStr">
        <is>
          <t>Ottawa, Ontario</t>
        </is>
      </c>
      <c r="K3249" t="inlineStr">
        <is>
          <t>Ottawa (Ontario)</t>
        </is>
      </c>
      <c r="P3249" t="n">
        <v>535.98</v>
      </c>
      <c r="Q3249" t="n">
        <v>132.4</v>
      </c>
      <c r="R3249" t="n">
        <v>182.73</v>
      </c>
      <c r="S3249" t="n">
        <v>181.9</v>
      </c>
      <c r="T3249" t="n">
        <v>40</v>
      </c>
      <c r="U3249" t="n">
        <v>1073.01</v>
      </c>
      <c r="X3249" t="inlineStr">
        <is>
          <t>acoa-apeca</t>
        </is>
      </c>
      <c r="Y3249" t="inlineStr">
        <is>
          <t>Atlantic Canada Opportunities Agency | Agence de promotion économique du Canada atlantique</t>
        </is>
      </c>
    </row>
    <row r="3250">
      <c r="A3250" t="inlineStr">
        <is>
          <t>T-2015-Q1-00063</t>
        </is>
      </c>
      <c r="B3250" t="inlineStr">
        <is>
          <t>SLE</t>
        </is>
      </c>
      <c r="C3250" t="inlineStr">
        <is>
          <t>President</t>
        </is>
      </c>
      <c r="D3250" t="inlineStr">
        <is>
          <t>Président</t>
        </is>
      </c>
      <c r="E3250" t="inlineStr">
        <is>
          <t>Paul J. LeBlanc</t>
        </is>
      </c>
      <c r="F3250" t="inlineStr">
        <is>
          <t>For various meetings and discussions with Agency and Government of Canada officials</t>
        </is>
      </c>
      <c r="G3250" t="inlineStr">
        <is>
          <t>Diverses réunions et discussions avec des fonctionnaires de l'Agence et du gouvernement du Canada</t>
        </is>
      </c>
      <c r="H3250" s="1" t="n">
        <v>41786</v>
      </c>
      <c r="I3250" s="1" t="n">
        <v>41788</v>
      </c>
      <c r="J3250" t="inlineStr">
        <is>
          <t>Ottawa, Ontario</t>
        </is>
      </c>
      <c r="K3250" t="inlineStr">
        <is>
          <t>Ottawa (Ontario)</t>
        </is>
      </c>
      <c r="P3250" t="n">
        <v>1305.08</v>
      </c>
      <c r="Q3250" t="n">
        <v>0</v>
      </c>
      <c r="R3250" t="n">
        <v>393.4</v>
      </c>
      <c r="S3250" t="n">
        <v>198.5</v>
      </c>
      <c r="T3250" t="n">
        <v>170.5</v>
      </c>
      <c r="U3250" t="n">
        <v>2067.48</v>
      </c>
      <c r="X3250" t="inlineStr">
        <is>
          <t>acoa-apeca</t>
        </is>
      </c>
      <c r="Y3250" t="inlineStr">
        <is>
          <t>Atlantic Canada Opportunities Agency | Agence de promotion économique du Canada atlantique</t>
        </is>
      </c>
    </row>
    <row r="3251">
      <c r="A3251" t="inlineStr">
        <is>
          <t>T-2015-Q1-00062</t>
        </is>
      </c>
      <c r="B3251" t="inlineStr">
        <is>
          <t>SLE</t>
        </is>
      </c>
      <c r="C3251" t="inlineStr">
        <is>
          <t>Vice-President, Newfoundland and Labrador</t>
        </is>
      </c>
      <c r="D3251" t="inlineStr">
        <is>
          <t>Vice-président, Terre-Neuve-et-Labrador</t>
        </is>
      </c>
      <c r="E3251" t="inlineStr">
        <is>
          <t>Paul Mills</t>
        </is>
      </c>
      <c r="F3251" t="inlineStr">
        <is>
          <t>Travel to Ottawa, Ontario for meetings with senior officials</t>
        </is>
      </c>
      <c r="G3251" t="inlineStr">
        <is>
          <t>Voyage à Ottawa (Ontario) pour assister à des réunions avec des hauts fonctionnaires</t>
        </is>
      </c>
      <c r="H3251" s="1" t="n">
        <v>41786</v>
      </c>
      <c r="I3251" s="1" t="n">
        <v>41788</v>
      </c>
      <c r="J3251" t="inlineStr">
        <is>
          <t>Ottawa, Ontario</t>
        </is>
      </c>
      <c r="K3251" t="inlineStr">
        <is>
          <t>Ottawa (Ontario)</t>
        </is>
      </c>
      <c r="P3251" t="n">
        <v>1369.61</v>
      </c>
      <c r="Q3251" t="n">
        <v>97</v>
      </c>
      <c r="R3251" t="n">
        <v>558.6799999999999</v>
      </c>
      <c r="S3251" t="n">
        <v>230.4</v>
      </c>
      <c r="T3251" t="n">
        <v>9.74</v>
      </c>
      <c r="U3251" t="n">
        <v>2265.43</v>
      </c>
      <c r="X3251" t="inlineStr">
        <is>
          <t>acoa-apeca</t>
        </is>
      </c>
      <c r="Y3251" t="inlineStr">
        <is>
          <t>Atlantic Canada Opportunities Agency | Agence de promotion économique du Canada atlantique</t>
        </is>
      </c>
    </row>
    <row r="3252">
      <c r="A3252" t="inlineStr">
        <is>
          <t>T-2015-Q1-00061</t>
        </is>
      </c>
      <c r="B3252" t="inlineStr">
        <is>
          <t>SLE</t>
        </is>
      </c>
      <c r="C3252" t="inlineStr">
        <is>
          <t>Vice-President, Finance and Corporate Services</t>
        </is>
      </c>
      <c r="D3252" t="inlineStr">
        <is>
          <t>Vice-présidente, Finances et Services corporatifs</t>
        </is>
      </c>
      <c r="E3252" t="inlineStr">
        <is>
          <t>Denise Frenette</t>
        </is>
      </c>
      <c r="F3252" t="inlineStr">
        <is>
          <t>Meetings with Government of Canada Officials</t>
        </is>
      </c>
      <c r="G3252" t="inlineStr">
        <is>
          <t>Réunions avec des fonctionnaires du gouvernement du Canada</t>
        </is>
      </c>
      <c r="H3252" s="1" t="n">
        <v>41785</v>
      </c>
      <c r="I3252" s="1" t="n">
        <v>41789</v>
      </c>
      <c r="J3252" t="inlineStr">
        <is>
          <t>Sydney, Nova Scotia</t>
        </is>
      </c>
      <c r="K3252" t="inlineStr">
        <is>
          <t>Sydney (Nouvelle-Écosse)</t>
        </is>
      </c>
      <c r="P3252" t="n">
        <v>687.04</v>
      </c>
      <c r="Q3252" t="n">
        <v>122.11</v>
      </c>
      <c r="R3252" t="n">
        <v>733.25</v>
      </c>
      <c r="S3252" t="n">
        <v>381.1</v>
      </c>
      <c r="T3252" t="n">
        <v>64.3</v>
      </c>
      <c r="U3252" t="n">
        <v>1987.8</v>
      </c>
      <c r="X3252" t="inlineStr">
        <is>
          <t>acoa-apeca</t>
        </is>
      </c>
      <c r="Y3252" t="inlineStr">
        <is>
          <t>Atlantic Canada Opportunities Agency | Agence de promotion économique du Canada atlantique</t>
        </is>
      </c>
    </row>
    <row r="3253">
      <c r="A3253" t="inlineStr">
        <is>
          <t>T-2015-Q1-00060</t>
        </is>
      </c>
      <c r="B3253" t="inlineStr">
        <is>
          <t>SLE</t>
        </is>
      </c>
      <c r="C3253" t="inlineStr">
        <is>
          <t>Vice President, Nova Scotia</t>
        </is>
      </c>
      <c r="D3253" t="inlineStr">
        <is>
          <t>Vice-président, Nouvelle-Écosse</t>
        </is>
      </c>
      <c r="E3253" t="inlineStr">
        <is>
          <t>Peter Hogan</t>
        </is>
      </c>
      <c r="F3253" t="inlineStr">
        <is>
          <t xml:space="preserve">Meeting with Government of Canada and Other Officials </t>
        </is>
      </c>
      <c r="G3253" t="inlineStr">
        <is>
          <t>Réunion avec des fonctionnaires du gouvernement du Canada et d'autres représentants</t>
        </is>
      </c>
      <c r="H3253" s="1" t="n">
        <v>41785</v>
      </c>
      <c r="I3253" s="1" t="n">
        <v>41785</v>
      </c>
      <c r="J3253" t="inlineStr">
        <is>
          <t>Moncton, New Brunswick</t>
        </is>
      </c>
      <c r="K3253" t="inlineStr">
        <is>
          <t>Moncton (Nouveau-Brunswick)</t>
        </is>
      </c>
      <c r="P3253" t="n">
        <v>0</v>
      </c>
      <c r="Q3253" t="n">
        <v>245.31</v>
      </c>
      <c r="R3253" t="n">
        <v>0</v>
      </c>
      <c r="S3253" t="n">
        <v>15.25</v>
      </c>
      <c r="T3253" t="n">
        <v>14</v>
      </c>
      <c r="U3253" t="n">
        <v>274.56</v>
      </c>
      <c r="X3253" t="inlineStr">
        <is>
          <t>acoa-apeca</t>
        </is>
      </c>
      <c r="Y3253" t="inlineStr">
        <is>
          <t>Atlantic Canada Opportunities Agency | Agence de promotion économique du Canada atlantique</t>
        </is>
      </c>
    </row>
    <row r="3254">
      <c r="A3254" t="inlineStr">
        <is>
          <t>T-2015-Q1-00050</t>
        </is>
      </c>
      <c r="B3254" t="inlineStr">
        <is>
          <t>SLE</t>
        </is>
      </c>
      <c r="C3254" t="inlineStr">
        <is>
          <t>Vice-President, Newfoundland and Labrador</t>
        </is>
      </c>
      <c r="D3254" t="inlineStr">
        <is>
          <t>Vice-président, Terre-Neuve-et-Labrador</t>
        </is>
      </c>
      <c r="E3254" t="inlineStr">
        <is>
          <t>Paul Mills</t>
        </is>
      </c>
      <c r="F3254" t="inlineStr">
        <is>
          <t>Meeting with Minister Rob Moore and President of ACOA</t>
        </is>
      </c>
      <c r="G3254" t="inlineStr">
        <is>
          <t>Réunion avec le ministre Rob Moore et le président de l'APECA</t>
        </is>
      </c>
      <c r="H3254" s="1" t="n">
        <v>41774</v>
      </c>
      <c r="I3254" s="1" t="n">
        <v>41775</v>
      </c>
      <c r="J3254" t="inlineStr">
        <is>
          <t>Ottawa, Ontario</t>
        </is>
      </c>
      <c r="K3254" t="inlineStr">
        <is>
          <t>Ottawa (Ontario)</t>
        </is>
      </c>
      <c r="P3254" t="n">
        <v>1369.71</v>
      </c>
      <c r="Q3254" t="n">
        <v>55.25</v>
      </c>
      <c r="R3254" t="n">
        <v>113</v>
      </c>
      <c r="S3254" t="n">
        <v>139.45</v>
      </c>
      <c r="T3254" t="n">
        <v>159</v>
      </c>
      <c r="U3254" t="n">
        <v>1836.41</v>
      </c>
      <c r="X3254" t="inlineStr">
        <is>
          <t>acoa-apeca</t>
        </is>
      </c>
      <c r="Y3254" t="inlineStr">
        <is>
          <t>Atlantic Canada Opportunities Agency | Agence de promotion économique du Canada atlantique</t>
        </is>
      </c>
    </row>
    <row r="3255">
      <c r="A3255" t="inlineStr">
        <is>
          <t>T-2015-Q1-00058</t>
        </is>
      </c>
      <c r="B3255" t="inlineStr">
        <is>
          <t>MPSES</t>
        </is>
      </c>
      <c r="C3255" t="inlineStr">
        <is>
          <t>Special Assistant - New Brunswick</t>
        </is>
      </c>
      <c r="D3255" t="inlineStr">
        <is>
          <t>Adjointe spéciale – Nouveau-Brunswick</t>
        </is>
      </c>
      <c r="E3255" t="inlineStr">
        <is>
          <t>Erika Keirstead</t>
        </is>
      </c>
      <c r="F3255" t="inlineStr">
        <is>
          <t>Travel for Government of Canada meetings</t>
        </is>
      </c>
      <c r="G3255" t="inlineStr">
        <is>
          <t>Assister à des réunions du gouvernement du Canada</t>
        </is>
      </c>
      <c r="H3255" s="1" t="n">
        <v>41782</v>
      </c>
      <c r="I3255" s="1" t="n">
        <v>41784</v>
      </c>
      <c r="J3255" t="inlineStr">
        <is>
          <t>Saint John, New Brunswick</t>
        </is>
      </c>
      <c r="K3255" t="inlineStr">
        <is>
          <t>Saint John (Nouveau-Brunswick)</t>
        </is>
      </c>
      <c r="P3255" t="n">
        <v>0</v>
      </c>
      <c r="Q3255" t="n">
        <v>123.7</v>
      </c>
      <c r="R3255" t="n">
        <v>150.14</v>
      </c>
      <c r="S3255" t="n">
        <v>122.15</v>
      </c>
      <c r="T3255" t="n">
        <v>0</v>
      </c>
      <c r="U3255" t="n">
        <v>395.99</v>
      </c>
      <c r="X3255" t="inlineStr">
        <is>
          <t>acoa-apeca</t>
        </is>
      </c>
      <c r="Y3255" t="inlineStr">
        <is>
          <t>Atlantic Canada Opportunities Agency | Agence de promotion économique du Canada atlantique</t>
        </is>
      </c>
    </row>
    <row r="3256">
      <c r="A3256" t="inlineStr">
        <is>
          <t>T-2015-Q1-00057</t>
        </is>
      </c>
      <c r="B3256" t="inlineStr">
        <is>
          <t>SLE</t>
        </is>
      </c>
      <c r="C3256" t="inlineStr">
        <is>
          <t>Vice-President, New Brunswick</t>
        </is>
      </c>
      <c r="D3256" t="inlineStr">
        <is>
          <t>Vice-président, Nouveau-Brunswick</t>
        </is>
      </c>
      <c r="E3256" t="inlineStr">
        <is>
          <t>Kent Estabrooks</t>
        </is>
      </c>
      <c r="F3256" t="inlineStr">
        <is>
          <t>Meeting with stakeholders</t>
        </is>
      </c>
      <c r="G3256" t="inlineStr">
        <is>
          <t>Réunion avec des intervenants</t>
        </is>
      </c>
      <c r="H3256" s="1" t="n">
        <v>41780</v>
      </c>
      <c r="I3256" s="1" t="n">
        <v>41781</v>
      </c>
      <c r="J3256" t="inlineStr">
        <is>
          <t>Moncton, New Brunswick</t>
        </is>
      </c>
      <c r="K3256" t="inlineStr">
        <is>
          <t>Moncton (Nouveau-Brunswick)</t>
        </is>
      </c>
      <c r="P3256" t="n">
        <v>0</v>
      </c>
      <c r="Q3256" t="n">
        <v>0</v>
      </c>
      <c r="R3256" t="n">
        <v>123.17</v>
      </c>
      <c r="S3256" t="n">
        <v>35.6</v>
      </c>
      <c r="T3256" t="n">
        <v>10</v>
      </c>
      <c r="U3256" t="n">
        <v>168.77</v>
      </c>
      <c r="X3256" t="inlineStr">
        <is>
          <t>acoa-apeca</t>
        </is>
      </c>
      <c r="Y3256" t="inlineStr">
        <is>
          <t>Atlantic Canada Opportunities Agency | Agence de promotion économique du Canada atlantique</t>
        </is>
      </c>
    </row>
    <row r="3257">
      <c r="A3257" t="inlineStr">
        <is>
          <t>T-2015-Q1-00055</t>
        </is>
      </c>
      <c r="B3257" t="inlineStr">
        <is>
          <t>MPSES</t>
        </is>
      </c>
      <c r="C3257" t="inlineStr">
        <is>
          <t>Minister of State</t>
        </is>
      </c>
      <c r="D3257" t="inlineStr">
        <is>
          <t>Ministre d'État</t>
        </is>
      </c>
      <c r="E3257" t="inlineStr">
        <is>
          <t>Rob Moore</t>
        </is>
      </c>
      <c r="F3257" t="inlineStr">
        <is>
          <t>Travel to attend Government of Canada announcement</t>
        </is>
      </c>
      <c r="G3257" t="inlineStr">
        <is>
          <t>Voyage pour assister à une annonce du gouvernement du Canada</t>
        </is>
      </c>
      <c r="H3257" s="1" t="n">
        <v>41779</v>
      </c>
      <c r="I3257" s="1" t="n">
        <v>41779</v>
      </c>
      <c r="J3257" t="inlineStr">
        <is>
          <t>Riverview, New Brunswick</t>
        </is>
      </c>
      <c r="K3257" t="inlineStr">
        <is>
          <t>Riverview (Nouveau-Brunswick)</t>
        </is>
      </c>
      <c r="P3257" t="n">
        <v>0</v>
      </c>
      <c r="Q3257" t="n">
        <v>137.36</v>
      </c>
      <c r="R3257" t="n">
        <v>0</v>
      </c>
      <c r="S3257" t="n">
        <v>15.25</v>
      </c>
      <c r="T3257" t="n">
        <v>0</v>
      </c>
      <c r="U3257" t="n">
        <v>152.61</v>
      </c>
      <c r="X3257" t="inlineStr">
        <is>
          <t>acoa-apeca</t>
        </is>
      </c>
      <c r="Y3257" t="inlineStr">
        <is>
          <t>Atlantic Canada Opportunities Agency | Agence de promotion économique du Canada atlantique</t>
        </is>
      </c>
    </row>
    <row r="3258">
      <c r="A3258" t="inlineStr">
        <is>
          <t>T-2015-Q1-00053</t>
        </is>
      </c>
      <c r="B3258" t="inlineStr">
        <is>
          <t>MPSES</t>
        </is>
      </c>
      <c r="C3258" t="inlineStr">
        <is>
          <t>Minister of State</t>
        </is>
      </c>
      <c r="D3258" t="inlineStr">
        <is>
          <t>Ministre d'État</t>
        </is>
      </c>
      <c r="E3258" t="inlineStr">
        <is>
          <t>Rob Moore</t>
        </is>
      </c>
      <c r="F3258" t="inlineStr">
        <is>
          <t>Travel to attend Government of Canada announcement</t>
        </is>
      </c>
      <c r="G3258" t="inlineStr">
        <is>
          <t>Voyage pour assister à une annonce du gouvernement du Canada</t>
        </is>
      </c>
      <c r="H3258" s="1" t="n">
        <v>41775</v>
      </c>
      <c r="I3258" s="1" t="n">
        <v>41775</v>
      </c>
      <c r="J3258" t="inlineStr">
        <is>
          <t>Sussex, New Brunswick</t>
        </is>
      </c>
      <c r="K3258" t="inlineStr">
        <is>
          <t>Sussex (Nouveau-Brunswick)</t>
        </is>
      </c>
      <c r="P3258" t="n">
        <v>0</v>
      </c>
      <c r="Q3258" t="n">
        <v>56.56</v>
      </c>
      <c r="R3258" t="n">
        <v>0</v>
      </c>
      <c r="S3258" t="n">
        <v>0</v>
      </c>
      <c r="T3258" t="n">
        <v>0</v>
      </c>
      <c r="U3258" t="n">
        <v>56.56</v>
      </c>
      <c r="X3258" t="inlineStr">
        <is>
          <t>acoa-apeca</t>
        </is>
      </c>
      <c r="Y3258" t="inlineStr">
        <is>
          <t>Atlantic Canada Opportunities Agency | Agence de promotion économique du Canada atlantique</t>
        </is>
      </c>
    </row>
    <row r="3259">
      <c r="A3259" t="inlineStr">
        <is>
          <t>T-2015-Q1-00052</t>
        </is>
      </c>
      <c r="B3259" t="inlineStr">
        <is>
          <t>MPSES</t>
        </is>
      </c>
      <c r="C3259" t="inlineStr">
        <is>
          <t>Chief of Staff</t>
        </is>
      </c>
      <c r="D3259" t="inlineStr">
        <is>
          <t>Chef de cabinet</t>
        </is>
      </c>
      <c r="E3259" t="inlineStr">
        <is>
          <t>Shane Bourke</t>
        </is>
      </c>
      <c r="F3259" t="inlineStr">
        <is>
          <t>Travel on government business</t>
        </is>
      </c>
      <c r="G3259" t="inlineStr">
        <is>
          <t>Voyage en service commandé</t>
        </is>
      </c>
      <c r="H3259" s="1" t="n">
        <v>41774</v>
      </c>
      <c r="I3259" s="1" t="n">
        <v>41775</v>
      </c>
      <c r="J3259" t="inlineStr">
        <is>
          <t>Moncton, New Brunswick</t>
        </is>
      </c>
      <c r="K3259" t="inlineStr">
        <is>
          <t>Moncton (Nouveau-Brunswick)</t>
        </is>
      </c>
      <c r="P3259" t="n">
        <v>767.15</v>
      </c>
      <c r="Q3259" t="n">
        <v>43</v>
      </c>
      <c r="R3259" t="n">
        <v>113</v>
      </c>
      <c r="S3259" t="n">
        <v>0</v>
      </c>
      <c r="T3259" t="n">
        <v>0</v>
      </c>
      <c r="U3259" t="n">
        <v>923.15</v>
      </c>
      <c r="X3259" t="inlineStr">
        <is>
          <t>acoa-apeca</t>
        </is>
      </c>
      <c r="Y3259" t="inlineStr">
        <is>
          <t>Atlantic Canada Opportunities Agency | Agence de promotion économique du Canada atlantique</t>
        </is>
      </c>
    </row>
    <row r="3260">
      <c r="A3260" t="inlineStr">
        <is>
          <t>T-2015-Q1-00051</t>
        </is>
      </c>
      <c r="B3260" t="inlineStr">
        <is>
          <t>SLE</t>
        </is>
      </c>
      <c r="C3260" t="inlineStr">
        <is>
          <t>President</t>
        </is>
      </c>
      <c r="D3260" t="inlineStr">
        <is>
          <t>Président</t>
        </is>
      </c>
      <c r="E3260" t="inlineStr">
        <is>
          <t>Paul J. LeBlanc</t>
        </is>
      </c>
      <c r="F3260" t="inlineStr">
        <is>
          <t>Meeting with Agency officials</t>
        </is>
      </c>
      <c r="G3260" t="inlineStr">
        <is>
          <t>Réunion avec des fonctionnaires de l'Agence</t>
        </is>
      </c>
      <c r="H3260" s="1" t="n">
        <v>41774</v>
      </c>
      <c r="I3260" s="1" t="n">
        <v>41774</v>
      </c>
      <c r="J3260" t="inlineStr">
        <is>
          <t>Hampton, New Brunswick</t>
        </is>
      </c>
      <c r="K3260" t="inlineStr">
        <is>
          <t>Hampton (Nouveau-Brunswick)</t>
        </is>
      </c>
      <c r="P3260" t="n">
        <v>0</v>
      </c>
      <c r="Q3260" t="n">
        <v>0</v>
      </c>
      <c r="R3260" t="n">
        <v>0</v>
      </c>
      <c r="S3260" t="n">
        <v>42.45</v>
      </c>
      <c r="T3260" t="n">
        <v>0</v>
      </c>
      <c r="U3260" t="n">
        <v>42.45</v>
      </c>
      <c r="X3260" t="inlineStr">
        <is>
          <t>acoa-apeca</t>
        </is>
      </c>
      <c r="Y3260" t="inlineStr">
        <is>
          <t>Atlantic Canada Opportunities Agency | Agence de promotion économique du Canada atlantique</t>
        </is>
      </c>
    </row>
    <row r="3261">
      <c r="A3261" t="inlineStr">
        <is>
          <t>T-2015-Q1-00047</t>
        </is>
      </c>
      <c r="B3261" t="inlineStr">
        <is>
          <t>SLE</t>
        </is>
      </c>
      <c r="C3261" t="inlineStr">
        <is>
          <t>Vice-President, Prince Edward Island</t>
        </is>
      </c>
      <c r="D3261" t="inlineStr">
        <is>
          <t>Vice-président, Île-du-Prince-Édouard</t>
        </is>
      </c>
      <c r="E3261" t="inlineStr">
        <is>
          <t>Patrick Dorsey</t>
        </is>
      </c>
      <c r="F3261" t="inlineStr">
        <is>
          <t xml:space="preserve">Meetings with Government of Canada Officials </t>
        </is>
      </c>
      <c r="G3261" t="inlineStr">
        <is>
          <t>Réunions avec des fonctionnaires du gouvernement du Canada</t>
        </is>
      </c>
      <c r="H3261" s="1" t="n">
        <v>41773</v>
      </c>
      <c r="I3261" s="1" t="n">
        <v>41775</v>
      </c>
      <c r="J3261" t="inlineStr">
        <is>
          <t>Ottawa, Ontario</t>
        </is>
      </c>
      <c r="K3261" t="inlineStr">
        <is>
          <t>Ottawa (Ontario)</t>
        </is>
      </c>
      <c r="P3261" t="n">
        <v>921.1</v>
      </c>
      <c r="Q3261" t="n">
        <v>73</v>
      </c>
      <c r="R3261" t="n">
        <v>365.46</v>
      </c>
      <c r="S3261" t="n">
        <v>183.25</v>
      </c>
      <c r="T3261" t="n">
        <v>0</v>
      </c>
      <c r="U3261" t="n">
        <v>1542.81</v>
      </c>
      <c r="X3261" t="inlineStr">
        <is>
          <t>acoa-apeca</t>
        </is>
      </c>
      <c r="Y3261" t="inlineStr">
        <is>
          <t>Atlantic Canada Opportunities Agency | Agence de promotion économique du Canada atlantique</t>
        </is>
      </c>
    </row>
    <row r="3262">
      <c r="A3262" t="inlineStr">
        <is>
          <t>T-2015-Q1-00045</t>
        </is>
      </c>
      <c r="B3262" t="inlineStr">
        <is>
          <t>MPSES</t>
        </is>
      </c>
      <c r="C3262" t="inlineStr">
        <is>
          <t>Minister of State</t>
        </is>
      </c>
      <c r="D3262" t="inlineStr">
        <is>
          <t>Ministre d'État</t>
        </is>
      </c>
      <c r="E3262" t="inlineStr">
        <is>
          <t>Rob Moore</t>
        </is>
      </c>
      <c r="F3262" t="inlineStr">
        <is>
          <t>Travel to attend National Day of Honour Ceremony</t>
        </is>
      </c>
      <c r="G3262" t="inlineStr">
        <is>
          <t>Voyage pour assister à une cérémonie de la Journée nationale de commémoration</t>
        </is>
      </c>
      <c r="H3262" s="1" t="n">
        <v>41768</v>
      </c>
      <c r="I3262" s="1" t="n">
        <v>41768</v>
      </c>
      <c r="J3262" t="inlineStr">
        <is>
          <t>Gagetown, New Brunswick</t>
        </is>
      </c>
      <c r="K3262" t="inlineStr">
        <is>
          <t>Gagetown (Nouveau-Brunswick)</t>
        </is>
      </c>
      <c r="P3262" t="n">
        <v>0</v>
      </c>
      <c r="Q3262" t="n">
        <v>120.19</v>
      </c>
      <c r="R3262" t="n">
        <v>0</v>
      </c>
      <c r="S3262" t="n">
        <v>0</v>
      </c>
      <c r="T3262" t="n">
        <v>0</v>
      </c>
      <c r="U3262" t="n">
        <v>120.19</v>
      </c>
      <c r="X3262" t="inlineStr">
        <is>
          <t>acoa-apeca</t>
        </is>
      </c>
      <c r="Y3262" t="inlineStr">
        <is>
          <t>Atlantic Canada Opportunities Agency | Agence de promotion économique du Canada atlantique</t>
        </is>
      </c>
    </row>
    <row r="3263">
      <c r="A3263" t="inlineStr">
        <is>
          <t>T-2015-Q1-00044</t>
        </is>
      </c>
      <c r="B3263" t="inlineStr">
        <is>
          <t>MPSES</t>
        </is>
      </c>
      <c r="C3263" t="inlineStr">
        <is>
          <t>Executive Assistant</t>
        </is>
      </c>
      <c r="D3263" t="inlineStr">
        <is>
          <t>Adjoint exécutif</t>
        </is>
      </c>
      <c r="E3263" t="inlineStr">
        <is>
          <t>Josh Hardy</t>
        </is>
      </c>
      <c r="F3263" t="inlineStr">
        <is>
          <t>Travel on Government Business</t>
        </is>
      </c>
      <c r="G3263" t="inlineStr">
        <is>
          <t>Voyage pour le compte du gouvernement</t>
        </is>
      </c>
      <c r="H3263" s="1" t="n">
        <v>41767</v>
      </c>
      <c r="I3263" s="1" t="n">
        <v>41771</v>
      </c>
      <c r="J3263" t="inlineStr">
        <is>
          <t>Moncton and Fredericton, New Brunswick</t>
        </is>
      </c>
      <c r="K3263" t="inlineStr">
        <is>
          <t>Moncton et Fredericton (Nouveau-Brunswick)</t>
        </is>
      </c>
      <c r="P3263" t="n">
        <v>1344.26</v>
      </c>
      <c r="Q3263" t="n">
        <v>153.7</v>
      </c>
      <c r="R3263" t="n">
        <v>0</v>
      </c>
      <c r="S3263" t="n">
        <v>0</v>
      </c>
      <c r="T3263" t="n">
        <v>0</v>
      </c>
      <c r="U3263" t="n">
        <v>1497.96</v>
      </c>
      <c r="X3263" t="inlineStr">
        <is>
          <t>acoa-apeca</t>
        </is>
      </c>
      <c r="Y3263" t="inlineStr">
        <is>
          <t>Atlantic Canada Opportunities Agency | Agence de promotion économique du Canada atlantique</t>
        </is>
      </c>
    </row>
    <row r="3264">
      <c r="A3264" t="inlineStr">
        <is>
          <t>T-2015-Q1-00043</t>
        </is>
      </c>
      <c r="B3264" t="inlineStr">
        <is>
          <t>SLE</t>
        </is>
      </c>
      <c r="C3264" t="inlineStr">
        <is>
          <t>Vice-President, Prince Edward Island</t>
        </is>
      </c>
      <c r="D3264" t="inlineStr">
        <is>
          <t>Vice-président, Île-du-Prince-Édouard</t>
        </is>
      </c>
      <c r="E3264" t="inlineStr">
        <is>
          <t>Patrick Dorsey</t>
        </is>
      </c>
      <c r="F3264" t="inlineStr">
        <is>
          <t>To attend Executive Committee Meeting</t>
        </is>
      </c>
      <c r="G3264" t="inlineStr">
        <is>
          <t>Assister à une réunion du Comité de direction</t>
        </is>
      </c>
      <c r="H3264" s="1" t="n">
        <v>41767</v>
      </c>
      <c r="I3264" s="1" t="n">
        <v>41767</v>
      </c>
      <c r="J3264" t="inlineStr">
        <is>
          <t>Moncton, New Brunswick</t>
        </is>
      </c>
      <c r="K3264" t="inlineStr">
        <is>
          <t>Moncton (Nouveau-Brunswick)</t>
        </is>
      </c>
      <c r="P3264" t="n">
        <v>0</v>
      </c>
      <c r="Q3264" t="n">
        <v>56</v>
      </c>
      <c r="R3264" t="n">
        <v>0</v>
      </c>
      <c r="S3264" t="n">
        <v>15.95</v>
      </c>
      <c r="T3264" t="n">
        <v>0</v>
      </c>
      <c r="U3264" t="n">
        <v>71.95</v>
      </c>
      <c r="X3264" t="inlineStr">
        <is>
          <t>acoa-apeca</t>
        </is>
      </c>
      <c r="Y3264" t="inlineStr">
        <is>
          <t>Atlantic Canada Opportunities Agency | Agence de promotion économique du Canada atlantique</t>
        </is>
      </c>
    </row>
    <row r="3265">
      <c r="A3265" t="inlineStr">
        <is>
          <t>T-2015-Q1-00042</t>
        </is>
      </c>
      <c r="B3265" t="inlineStr">
        <is>
          <t>SLE</t>
        </is>
      </c>
      <c r="C3265" t="inlineStr">
        <is>
          <t>Vice President, Nova Scotia</t>
        </is>
      </c>
      <c r="D3265" t="inlineStr">
        <is>
          <t>Vice-président, Nouvelle-Écosse</t>
        </is>
      </c>
      <c r="E3265" t="inlineStr">
        <is>
          <t>Peter Hogan</t>
        </is>
      </c>
      <c r="F3265" t="inlineStr">
        <is>
          <t xml:space="preserve">Meeting with Senior Agency Officials </t>
        </is>
      </c>
      <c r="G3265" t="inlineStr">
        <is>
          <t>Réunion avec des hauts fonctionnaires de l'Agence</t>
        </is>
      </c>
      <c r="H3265" s="1" t="n">
        <v>41766</v>
      </c>
      <c r="I3265" s="1" t="n">
        <v>41767</v>
      </c>
      <c r="J3265" t="inlineStr">
        <is>
          <t>Moncton, New Brunswick</t>
        </is>
      </c>
      <c r="K3265" t="inlineStr">
        <is>
          <t>Moncton (Nouveau-Brunswick)</t>
        </is>
      </c>
      <c r="P3265" t="n">
        <v>0</v>
      </c>
      <c r="Q3265" t="n">
        <v>117.85</v>
      </c>
      <c r="R3265" t="n">
        <v>50</v>
      </c>
      <c r="S3265" t="n">
        <v>34.6</v>
      </c>
      <c r="T3265" t="n">
        <v>0</v>
      </c>
      <c r="U3265" t="n">
        <v>202.45</v>
      </c>
      <c r="X3265" t="inlineStr">
        <is>
          <t>acoa-apeca</t>
        </is>
      </c>
      <c r="Y3265" t="inlineStr">
        <is>
          <t>Atlantic Canada Opportunities Agency | Agence de promotion économique du Canada atlantique</t>
        </is>
      </c>
    </row>
    <row r="3266">
      <c r="A3266" t="inlineStr">
        <is>
          <t>T-2015-Q1-00041</t>
        </is>
      </c>
      <c r="B3266" t="inlineStr">
        <is>
          <t>SLE</t>
        </is>
      </c>
      <c r="C3266" t="inlineStr">
        <is>
          <t>Vice-President, New Brunswick</t>
        </is>
      </c>
      <c r="D3266" t="inlineStr">
        <is>
          <t>Vice-président, Nouveau-Brunswick</t>
        </is>
      </c>
      <c r="E3266" t="inlineStr">
        <is>
          <t>Kent Estabrooks</t>
        </is>
      </c>
      <c r="F3266" t="inlineStr">
        <is>
          <t>Executive Committee Meeting</t>
        </is>
      </c>
      <c r="G3266" t="inlineStr">
        <is>
          <t>Réunion du Comité de direction</t>
        </is>
      </c>
      <c r="H3266" s="1" t="n">
        <v>41766</v>
      </c>
      <c r="I3266" s="1" t="n">
        <v>41767</v>
      </c>
      <c r="J3266" t="inlineStr">
        <is>
          <t>Moncton, New Brunswick</t>
        </is>
      </c>
      <c r="K3266" t="inlineStr">
        <is>
          <t>Moncton (Nouveau-Brunswick)</t>
        </is>
      </c>
      <c r="P3266" t="n">
        <v>0</v>
      </c>
      <c r="Q3266" t="n">
        <v>0</v>
      </c>
      <c r="R3266" t="n">
        <v>163.85</v>
      </c>
      <c r="S3266" t="n">
        <v>119.5</v>
      </c>
      <c r="T3266" t="n">
        <v>14.41</v>
      </c>
      <c r="U3266" t="n">
        <v>297.76</v>
      </c>
      <c r="X3266" t="inlineStr">
        <is>
          <t>acoa-apeca</t>
        </is>
      </c>
      <c r="Y3266" t="inlineStr">
        <is>
          <t>Atlantic Canada Opportunities Agency | Agence de promotion économique du Canada atlantique</t>
        </is>
      </c>
    </row>
    <row r="3267">
      <c r="A3267" t="inlineStr">
        <is>
          <t>T-2015-Q1-00040</t>
        </is>
      </c>
      <c r="B3267" t="inlineStr">
        <is>
          <t>SLE</t>
        </is>
      </c>
      <c r="C3267" t="inlineStr">
        <is>
          <t>Vice-President, Newfoundland and Labrador</t>
        </is>
      </c>
      <c r="D3267" t="inlineStr">
        <is>
          <t>Vice-président, Terre-Neuve-et-Labrador</t>
        </is>
      </c>
      <c r="E3267" t="inlineStr">
        <is>
          <t>Paul Mills</t>
        </is>
      </c>
      <c r="F3267" t="inlineStr">
        <is>
          <t xml:space="preserve">Executive Committee Meeting in Moncton, New Brunswick </t>
        </is>
      </c>
      <c r="G3267" t="inlineStr">
        <is>
          <t>Réunion du Comité de direction à Moncton (Nouveau-Brunswick)</t>
        </is>
      </c>
      <c r="H3267" s="1" t="n">
        <v>41766</v>
      </c>
      <c r="I3267" s="1" t="n">
        <v>41768</v>
      </c>
      <c r="J3267" t="inlineStr">
        <is>
          <t>Moncton, New Brunswick</t>
        </is>
      </c>
      <c r="K3267" t="inlineStr">
        <is>
          <t>Moncton (Nouveau-Brunswick)</t>
        </is>
      </c>
      <c r="P3267" t="n">
        <v>1376.8</v>
      </c>
      <c r="Q3267" t="n">
        <v>227.17</v>
      </c>
      <c r="R3267" t="n">
        <v>241.33</v>
      </c>
      <c r="S3267" t="n">
        <v>199.2</v>
      </c>
      <c r="T3267" t="n">
        <v>7.54</v>
      </c>
      <c r="U3267" t="n">
        <v>2052.04</v>
      </c>
      <c r="X3267" t="inlineStr">
        <is>
          <t>acoa-apeca</t>
        </is>
      </c>
      <c r="Y3267" t="inlineStr">
        <is>
          <t>Atlantic Canada Opportunities Agency | Agence de promotion économique du Canada atlantique</t>
        </is>
      </c>
    </row>
    <row r="3268">
      <c r="A3268" t="inlineStr">
        <is>
          <t>T-2015-Q1-00039</t>
        </is>
      </c>
      <c r="B3268" t="inlineStr">
        <is>
          <t>SLE</t>
        </is>
      </c>
      <c r="C3268" t="inlineStr">
        <is>
          <t>President</t>
        </is>
      </c>
      <c r="D3268" t="inlineStr">
        <is>
          <t>Président</t>
        </is>
      </c>
      <c r="E3268" t="inlineStr">
        <is>
          <t>Paul J. LeBlanc</t>
        </is>
      </c>
      <c r="F3268" t="inlineStr">
        <is>
          <t>Various meetings and discussions with Agency officials; with Government of Canada officials</t>
        </is>
      </c>
      <c r="G3268" t="inlineStr">
        <is>
          <t>Diverses réunions et discussions avec des fonctionnaires de l'Agence et du gouvernement du Canada</t>
        </is>
      </c>
      <c r="H3268" s="1" t="n">
        <v>41765</v>
      </c>
      <c r="I3268" s="1" t="n">
        <v>41767</v>
      </c>
      <c r="J3268" t="inlineStr">
        <is>
          <t>Ottawa, Ontario</t>
        </is>
      </c>
      <c r="K3268" t="inlineStr">
        <is>
          <t>Ottawa (Ontario)</t>
        </is>
      </c>
      <c r="P3268" t="n">
        <v>707.3</v>
      </c>
      <c r="Q3268" t="n">
        <v>88.5</v>
      </c>
      <c r="R3268" t="n">
        <v>370.12</v>
      </c>
      <c r="S3268" t="n">
        <v>183.25</v>
      </c>
      <c r="T3268" t="n">
        <v>0</v>
      </c>
      <c r="U3268" t="n">
        <v>1349.17</v>
      </c>
      <c r="X3268" t="inlineStr">
        <is>
          <t>acoa-apeca</t>
        </is>
      </c>
      <c r="Y3268" t="inlineStr">
        <is>
          <t>Atlantic Canada Opportunities Agency | Agence de promotion économique du Canada atlantique</t>
        </is>
      </c>
    </row>
    <row r="3269">
      <c r="A3269" t="inlineStr">
        <is>
          <t>T-2015-Q1-00038</t>
        </is>
      </c>
      <c r="B3269" t="inlineStr">
        <is>
          <t>SLE</t>
        </is>
      </c>
      <c r="C3269" t="inlineStr">
        <is>
          <t>Vice-President, Finance and Corporate Services</t>
        </is>
      </c>
      <c r="D3269" t="inlineStr">
        <is>
          <t>Vice-présidente, Finances et Services corporatifs</t>
        </is>
      </c>
      <c r="E3269" t="inlineStr">
        <is>
          <t>Denise Frenette</t>
        </is>
      </c>
      <c r="F3269" t="inlineStr">
        <is>
          <t>Meetings with Government of Canada Officials</t>
        </is>
      </c>
      <c r="G3269" t="inlineStr">
        <is>
          <t>Réunions avec des fonctionnaires du gouvernement du Canada</t>
        </is>
      </c>
      <c r="H3269" s="1" t="n">
        <v>41764</v>
      </c>
      <c r="I3269" s="1" t="n">
        <v>41767</v>
      </c>
      <c r="J3269" t="inlineStr">
        <is>
          <t>Ottawa, Ontario</t>
        </is>
      </c>
      <c r="K3269" t="inlineStr">
        <is>
          <t>Ottawa (Ontario)</t>
        </is>
      </c>
      <c r="P3269" t="n">
        <v>687.04</v>
      </c>
      <c r="Q3269" t="n">
        <v>0</v>
      </c>
      <c r="R3269" t="n">
        <v>538.88</v>
      </c>
      <c r="S3269" t="n">
        <v>274.2</v>
      </c>
      <c r="T3269" t="n">
        <v>109.5</v>
      </c>
      <c r="U3269" t="n">
        <v>1609.62</v>
      </c>
      <c r="X3269" t="inlineStr">
        <is>
          <t>acoa-apeca</t>
        </is>
      </c>
      <c r="Y3269" t="inlineStr">
        <is>
          <t>Atlantic Canada Opportunities Agency | Agence de promotion économique du Canada atlantique</t>
        </is>
      </c>
    </row>
    <row r="3270">
      <c r="A3270" t="inlineStr">
        <is>
          <t>T-2015-Q1-00037</t>
        </is>
      </c>
      <c r="B3270" t="inlineStr">
        <is>
          <t>SLE</t>
        </is>
      </c>
      <c r="C3270" t="inlineStr">
        <is>
          <t>Vice-President, Prince Edward Island</t>
        </is>
      </c>
      <c r="D3270" t="inlineStr">
        <is>
          <t>Vice-président, Île-du-Prince-Édouard</t>
        </is>
      </c>
      <c r="E3270" t="inlineStr">
        <is>
          <t>Patrick Dorsey</t>
        </is>
      </c>
      <c r="F3270" t="inlineStr">
        <is>
          <t>To attend ACTP Management Committee Meeting and Meeting with Industry Officials</t>
        </is>
      </c>
      <c r="G3270" t="inlineStr">
        <is>
          <t>Assister à une réunion du Comité de gestion du PTCA et à une réunion avec des représentants de l'industrie</t>
        </is>
      </c>
      <c r="H3270" s="1" t="n">
        <v>41764</v>
      </c>
      <c r="I3270" s="1" t="n">
        <v>41765</v>
      </c>
      <c r="J3270" t="inlineStr">
        <is>
          <t>St. John's, Newfoundland and Labrador</t>
        </is>
      </c>
      <c r="K3270" t="inlineStr">
        <is>
          <t>St. John's (Terre-Neuve-et-Labrador)</t>
        </is>
      </c>
      <c r="P3270" t="n">
        <v>1599.32</v>
      </c>
      <c r="Q3270" t="n">
        <v>22</v>
      </c>
      <c r="R3270" t="n">
        <v>204.75</v>
      </c>
      <c r="S3270" t="n">
        <v>93</v>
      </c>
      <c r="T3270" t="n">
        <v>0</v>
      </c>
      <c r="U3270" t="n">
        <v>1919.07</v>
      </c>
      <c r="X3270" t="inlineStr">
        <is>
          <t>acoa-apeca</t>
        </is>
      </c>
      <c r="Y3270" t="inlineStr">
        <is>
          <t>Atlantic Canada Opportunities Agency | Agence de promotion économique du Canada atlantique</t>
        </is>
      </c>
    </row>
    <row r="3271">
      <c r="A3271" t="inlineStr">
        <is>
          <t>T-2015-Q1-00035</t>
        </is>
      </c>
      <c r="B3271" t="inlineStr">
        <is>
          <t>SLE</t>
        </is>
      </c>
      <c r="C3271" t="inlineStr">
        <is>
          <t>Vice-President, Finance and Corporate Services</t>
        </is>
      </c>
      <c r="D3271" t="inlineStr">
        <is>
          <t>Vice-présidente, Finances et Services corporatifs</t>
        </is>
      </c>
      <c r="E3271" t="inlineStr">
        <is>
          <t>Denise Frenette</t>
        </is>
      </c>
      <c r="F3271" t="inlineStr">
        <is>
          <t>Meetings with Government of Canada Officials</t>
        </is>
      </c>
      <c r="G3271" t="inlineStr">
        <is>
          <t>Réunions avec des fonctionnaires du gouvernement du Canada</t>
        </is>
      </c>
      <c r="H3271" s="1" t="n">
        <v>41758</v>
      </c>
      <c r="I3271" s="1" t="n">
        <v>41761</v>
      </c>
      <c r="J3271" t="inlineStr">
        <is>
          <t>Ottawa, Ontario</t>
        </is>
      </c>
      <c r="K3271" t="inlineStr">
        <is>
          <t>Ottawa (Ontario)</t>
        </is>
      </c>
      <c r="P3271" t="n">
        <v>687.04</v>
      </c>
      <c r="Q3271" t="n">
        <v>122.04</v>
      </c>
      <c r="R3271" t="n">
        <v>548.1900000000001</v>
      </c>
      <c r="S3271" t="n">
        <v>226.4</v>
      </c>
      <c r="T3271" t="n">
        <v>246.54</v>
      </c>
      <c r="U3271" t="n">
        <v>1830.21</v>
      </c>
      <c r="X3271" t="inlineStr">
        <is>
          <t>acoa-apeca</t>
        </is>
      </c>
      <c r="Y3271" t="inlineStr">
        <is>
          <t>Atlantic Canada Opportunities Agency | Agence de promotion économique du Canada atlantique</t>
        </is>
      </c>
    </row>
    <row r="3272">
      <c r="A3272" t="inlineStr">
        <is>
          <t>T-2015-Q1-00034</t>
        </is>
      </c>
      <c r="B3272" t="inlineStr">
        <is>
          <t>SLE</t>
        </is>
      </c>
      <c r="C3272" t="inlineStr">
        <is>
          <t>President</t>
        </is>
      </c>
      <c r="D3272" t="inlineStr">
        <is>
          <t>Président</t>
        </is>
      </c>
      <c r="E3272" t="inlineStr">
        <is>
          <t>Paul J. LeBlanc</t>
        </is>
      </c>
      <c r="F3272" t="inlineStr">
        <is>
          <t>Various meetings and discussions with Agency officials; and with Government of Canada officials</t>
        </is>
      </c>
      <c r="G3272" t="inlineStr">
        <is>
          <t>Diverses réunions et discussions avec des fonctionnaires de l'Agence et du gouvernement du Canada</t>
        </is>
      </c>
      <c r="H3272" s="1" t="n">
        <v>41758</v>
      </c>
      <c r="I3272" s="1" t="n">
        <v>41761</v>
      </c>
      <c r="J3272" t="inlineStr">
        <is>
          <t>Ottawa, Ontario</t>
        </is>
      </c>
      <c r="K3272" t="inlineStr">
        <is>
          <t>Ottawa (Ontario)</t>
        </is>
      </c>
      <c r="P3272" t="n">
        <v>1386.22</v>
      </c>
      <c r="Q3272" t="n">
        <v>0</v>
      </c>
      <c r="R3272" t="n">
        <v>548.1900000000001</v>
      </c>
      <c r="S3272" t="n">
        <v>289.45</v>
      </c>
      <c r="T3272" t="n">
        <v>0</v>
      </c>
      <c r="U3272" t="n">
        <v>2223.86</v>
      </c>
      <c r="X3272" t="inlineStr">
        <is>
          <t>acoa-apeca</t>
        </is>
      </c>
      <c r="Y3272" t="inlineStr">
        <is>
          <t>Atlantic Canada Opportunities Agency | Agence de promotion économique du Canada atlantique</t>
        </is>
      </c>
    </row>
    <row r="3273">
      <c r="A3273" t="inlineStr">
        <is>
          <t>T-2015-Q1-00033</t>
        </is>
      </c>
      <c r="B3273" t="inlineStr">
        <is>
          <t>SLE</t>
        </is>
      </c>
      <c r="C3273" t="inlineStr">
        <is>
          <t>Vice-President, Finance and Corporate Services</t>
        </is>
      </c>
      <c r="D3273" t="inlineStr">
        <is>
          <t>Vice-présidente, Finances et Services corporatifs</t>
        </is>
      </c>
      <c r="E3273" t="inlineStr">
        <is>
          <t>Denise Frenette</t>
        </is>
      </c>
      <c r="F3273" t="inlineStr">
        <is>
          <t>Meetings with Government of Canada Officials</t>
        </is>
      </c>
      <c r="G3273" t="inlineStr">
        <is>
          <t>Réunions avec des fonctionnaires du gouvernement du Canada</t>
        </is>
      </c>
      <c r="H3273" s="1" t="n">
        <v>41753</v>
      </c>
      <c r="I3273" s="1" t="n">
        <v>41754</v>
      </c>
      <c r="J3273" t="inlineStr">
        <is>
          <t>Sydney, Nova Scotia</t>
        </is>
      </c>
      <c r="K3273" t="inlineStr">
        <is>
          <t>Sydney (Nouvelle-Écosse)</t>
        </is>
      </c>
      <c r="P3273" t="n">
        <v>687.04</v>
      </c>
      <c r="Q3273" t="n">
        <v>0</v>
      </c>
      <c r="R3273" t="n">
        <v>0</v>
      </c>
      <c r="S3273" t="n">
        <v>58.4</v>
      </c>
      <c r="T3273" t="n">
        <v>59.65</v>
      </c>
      <c r="U3273" t="n">
        <v>805.09</v>
      </c>
      <c r="X3273" t="inlineStr">
        <is>
          <t>acoa-apeca</t>
        </is>
      </c>
      <c r="Y3273" t="inlineStr">
        <is>
          <t>Atlantic Canada Opportunities Agency | Agence de promotion économique du Canada atlantique</t>
        </is>
      </c>
    </row>
    <row r="3274">
      <c r="A3274" t="inlineStr">
        <is>
          <t>T-2015-Q1-00030</t>
        </is>
      </c>
      <c r="B3274" t="inlineStr">
        <is>
          <t>SLE</t>
        </is>
      </c>
      <c r="C3274" t="inlineStr">
        <is>
          <t>Vice-President, New Brunswick</t>
        </is>
      </c>
      <c r="D3274" t="inlineStr">
        <is>
          <t>Vice-président, Nouveau-Brunswick</t>
        </is>
      </c>
      <c r="E3274" t="inlineStr">
        <is>
          <t>Kent Estabrooks</t>
        </is>
      </c>
      <c r="F3274" t="inlineStr">
        <is>
          <t>Mandatory Training / Meetings with Agency Officials</t>
        </is>
      </c>
      <c r="G3274" t="inlineStr">
        <is>
          <t>Formation obligatoire / réunions avec des fonctionnaires de l'Agence</t>
        </is>
      </c>
      <c r="H3274" s="1" t="n">
        <v>41752</v>
      </c>
      <c r="I3274" s="1" t="n">
        <v>41754</v>
      </c>
      <c r="J3274" t="inlineStr">
        <is>
          <t>Ottawa, Ontario</t>
        </is>
      </c>
      <c r="K3274" t="inlineStr">
        <is>
          <t>Ottawa (Ontario)</t>
        </is>
      </c>
      <c r="P3274" t="n">
        <v>892.7</v>
      </c>
      <c r="Q3274" t="n">
        <v>110.5</v>
      </c>
      <c r="R3274" t="n">
        <v>365.46</v>
      </c>
      <c r="S3274" t="n">
        <v>225.7</v>
      </c>
      <c r="T3274" t="n">
        <v>10.1</v>
      </c>
      <c r="U3274" t="n">
        <v>1604.46</v>
      </c>
      <c r="X3274" t="inlineStr">
        <is>
          <t>acoa-apeca</t>
        </is>
      </c>
      <c r="Y3274" t="inlineStr">
        <is>
          <t>Atlantic Canada Opportunities Agency | Agence de promotion économique du Canada atlantique</t>
        </is>
      </c>
    </row>
    <row r="3275">
      <c r="A3275" t="inlineStr">
        <is>
          <t>T-2015-Q1-00029</t>
        </is>
      </c>
      <c r="B3275" t="inlineStr">
        <is>
          <t>SLE</t>
        </is>
      </c>
      <c r="C3275" t="inlineStr">
        <is>
          <t>Vice-President, Newfoundland and Labrador</t>
        </is>
      </c>
      <c r="D3275" t="inlineStr">
        <is>
          <t>Vice-président, Terre-Neuve-et-Labrador</t>
        </is>
      </c>
      <c r="E3275" t="inlineStr">
        <is>
          <t>Paul Mills</t>
        </is>
      </c>
      <c r="F3275" t="inlineStr">
        <is>
          <t>To attend Re$earch Money Conference and meetings with senior government officials</t>
        </is>
      </c>
      <c r="G3275" t="inlineStr">
        <is>
          <t>Assister à la conférence de Re$earch Money et à des réunions avec des hauts fonctionnaires</t>
        </is>
      </c>
      <c r="H3275" s="1" t="n">
        <v>41751</v>
      </c>
      <c r="I3275" s="1" t="n">
        <v>41754</v>
      </c>
      <c r="J3275" t="inlineStr">
        <is>
          <t>Ottawa, Ontario and Moncton, New Brunswick</t>
        </is>
      </c>
      <c r="K3275" t="inlineStr">
        <is>
          <t>Ottawa (Ontario) et Moncton (Nouveau-Brunswick)</t>
        </is>
      </c>
      <c r="P3275" t="n">
        <v>2065.2</v>
      </c>
      <c r="Q3275" t="n">
        <v>304.27</v>
      </c>
      <c r="R3275" t="n">
        <v>426.41</v>
      </c>
      <c r="S3275" t="n">
        <v>318.6</v>
      </c>
      <c r="T3275" t="n">
        <v>10.54</v>
      </c>
      <c r="U3275" t="n">
        <v>3125.02</v>
      </c>
      <c r="X3275" t="inlineStr">
        <is>
          <t>acoa-apeca</t>
        </is>
      </c>
      <c r="Y3275" t="inlineStr">
        <is>
          <t>Atlantic Canada Opportunities Agency | Agence de promotion économique du Canada atlantique</t>
        </is>
      </c>
    </row>
    <row r="3276">
      <c r="A3276" t="inlineStr">
        <is>
          <t>T-2015-Q1-00028</t>
        </is>
      </c>
      <c r="B3276" t="inlineStr">
        <is>
          <t>SLE</t>
        </is>
      </c>
      <c r="C3276" t="inlineStr">
        <is>
          <t>Vice-President, Prince Edward Island</t>
        </is>
      </c>
      <c r="D3276" t="inlineStr">
        <is>
          <t>Vice-président, Île-du-Prince-Édouard</t>
        </is>
      </c>
      <c r="E3276" t="inlineStr">
        <is>
          <t>Patrick Dorsey</t>
        </is>
      </c>
      <c r="F3276" t="inlineStr">
        <is>
          <t>Meetings with ECBC officials and Tourism Industry Meetings in Sydney, NS</t>
        </is>
      </c>
      <c r="G3276" t="inlineStr">
        <is>
          <t>Réunions avec des fonctionnaires de la SECB et avec des représentants de l'industrie du tourisme à Sydney (Nouvelle-Écosse)</t>
        </is>
      </c>
      <c r="H3276" s="1" t="n">
        <v>41751</v>
      </c>
      <c r="I3276" s="1" t="n">
        <v>41753</v>
      </c>
      <c r="J3276" t="inlineStr">
        <is>
          <t>Sydney, Nova Scotia</t>
        </is>
      </c>
      <c r="K3276" t="inlineStr">
        <is>
          <t>Sydney (Nouvelle-Écosse)</t>
        </is>
      </c>
      <c r="P3276" t="n">
        <v>0</v>
      </c>
      <c r="Q3276" t="n">
        <v>45</v>
      </c>
      <c r="R3276" t="n">
        <v>238.12</v>
      </c>
      <c r="S3276" t="n">
        <v>199.2</v>
      </c>
      <c r="T3276" t="n">
        <v>0</v>
      </c>
      <c r="U3276" t="n">
        <v>482.32</v>
      </c>
      <c r="X3276" t="inlineStr">
        <is>
          <t>acoa-apeca</t>
        </is>
      </c>
      <c r="Y3276" t="inlineStr">
        <is>
          <t>Atlantic Canada Opportunities Agency | Agence de promotion économique du Canada atlantique</t>
        </is>
      </c>
    </row>
    <row r="3277">
      <c r="A3277" t="inlineStr">
        <is>
          <t>T-2015-Q1-00027</t>
        </is>
      </c>
      <c r="B3277" t="inlineStr">
        <is>
          <t>SLE</t>
        </is>
      </c>
      <c r="C3277" t="inlineStr">
        <is>
          <t>President</t>
        </is>
      </c>
      <c r="D3277" t="inlineStr">
        <is>
          <t>Président</t>
        </is>
      </c>
      <c r="E3277" t="inlineStr">
        <is>
          <t>Paul J. LeBlanc</t>
        </is>
      </c>
      <c r="F3277" t="inlineStr">
        <is>
          <t>Various meetings and discussions with Agency officials</t>
        </is>
      </c>
      <c r="G3277" t="inlineStr">
        <is>
          <t>Diverses réunions et discussions avec des fonctionnaires de l'Agence</t>
        </is>
      </c>
      <c r="H3277" s="1" t="n">
        <v>41751</v>
      </c>
      <c r="I3277" s="1" t="n">
        <v>41752</v>
      </c>
      <c r="J3277" t="inlineStr">
        <is>
          <t>Ottawa, Ontario</t>
        </is>
      </c>
      <c r="K3277" t="inlineStr">
        <is>
          <t>Ottawa (Ontario)</t>
        </is>
      </c>
      <c r="P3277" t="n">
        <v>1329.38</v>
      </c>
      <c r="Q3277" t="n">
        <v>0</v>
      </c>
      <c r="R3277" t="n">
        <v>182.73</v>
      </c>
      <c r="S3277" t="n">
        <v>123.5</v>
      </c>
      <c r="T3277" t="n">
        <v>0</v>
      </c>
      <c r="U3277" t="n">
        <v>1635.61</v>
      </c>
      <c r="X3277" t="inlineStr">
        <is>
          <t>acoa-apeca</t>
        </is>
      </c>
      <c r="Y3277" t="inlineStr">
        <is>
          <t>Atlantic Canada Opportunities Agency | Agence de promotion économique du Canada atlantique</t>
        </is>
      </c>
    </row>
    <row r="3278">
      <c r="A3278" t="inlineStr">
        <is>
          <t>T-2015-Q1-00026</t>
        </is>
      </c>
      <c r="B3278" t="inlineStr">
        <is>
          <t>SLE</t>
        </is>
      </c>
      <c r="C3278" t="inlineStr">
        <is>
          <t>Vice-President, New Brunswick</t>
        </is>
      </c>
      <c r="D3278" t="inlineStr">
        <is>
          <t>Vice-président, Nouveau-Brunswick</t>
        </is>
      </c>
      <c r="E3278" t="inlineStr">
        <is>
          <t>Kent Estabrooks</t>
        </is>
      </c>
      <c r="F3278" t="inlineStr">
        <is>
          <t>Meetings with External Stakeholders and Government of New Brunswick Officials</t>
        </is>
      </c>
      <c r="G3278" t="inlineStr">
        <is>
          <t>Réunions avec des intervenants externes et des fonctionnaires du gouvernement du Nouveau-Brunswick</t>
        </is>
      </c>
      <c r="H3278" s="1" t="n">
        <v>41750</v>
      </c>
      <c r="I3278" s="1" t="n">
        <v>41751</v>
      </c>
      <c r="J3278" t="inlineStr">
        <is>
          <t>Saint John, New Brusnwick</t>
        </is>
      </c>
      <c r="K3278" t="inlineStr">
        <is>
          <t>Saint John (Nouveau-Brunswick)</t>
        </is>
      </c>
      <c r="P3278" t="n">
        <v>0</v>
      </c>
      <c r="Q3278" t="n">
        <v>0</v>
      </c>
      <c r="R3278" t="n">
        <v>144.81</v>
      </c>
      <c r="S3278" t="n">
        <v>92.3</v>
      </c>
      <c r="T3278" t="n">
        <v>1.75</v>
      </c>
      <c r="U3278" t="n">
        <v>238.86</v>
      </c>
      <c r="X3278" t="inlineStr">
        <is>
          <t>acoa-apeca</t>
        </is>
      </c>
      <c r="Y3278" t="inlineStr">
        <is>
          <t>Atlantic Canada Opportunities Agency | Agence de promotion économique du Canada atlantique</t>
        </is>
      </c>
    </row>
    <row r="3279">
      <c r="A3279" t="inlineStr">
        <is>
          <t>T-2015-Q1-00025</t>
        </is>
      </c>
      <c r="B3279" t="inlineStr">
        <is>
          <t>MPSES</t>
        </is>
      </c>
      <c r="C3279" t="inlineStr">
        <is>
          <t>Minister of State</t>
        </is>
      </c>
      <c r="D3279" t="inlineStr">
        <is>
          <t>Ministre d'État</t>
        </is>
      </c>
      <c r="E3279" t="inlineStr">
        <is>
          <t>Rob Moore</t>
        </is>
      </c>
      <c r="F3279" t="inlineStr">
        <is>
          <t>Travel to attend two Government of Canada announcements</t>
        </is>
      </c>
      <c r="G3279" t="inlineStr">
        <is>
          <t>Voyage pour assister à deux annonces du gouvernement du Canada</t>
        </is>
      </c>
      <c r="H3279" s="1" t="n">
        <v>41743</v>
      </c>
      <c r="I3279" s="1" t="n">
        <v>41743</v>
      </c>
      <c r="J3279" t="inlineStr">
        <is>
          <t>Cape Breton, Nova Scotia</t>
        </is>
      </c>
      <c r="K3279" t="inlineStr">
        <is>
          <t>Cap-Breton (Nouvelle-Écosse)</t>
        </is>
      </c>
      <c r="P3279" t="n">
        <v>899.67</v>
      </c>
      <c r="Q3279" t="n">
        <v>21.21</v>
      </c>
      <c r="R3279" t="n">
        <v>0</v>
      </c>
      <c r="S3279" t="n">
        <v>73.65000000000001</v>
      </c>
      <c r="T3279" t="n">
        <v>0</v>
      </c>
      <c r="U3279" t="n">
        <v>994.53</v>
      </c>
      <c r="X3279" t="inlineStr">
        <is>
          <t>acoa-apeca</t>
        </is>
      </c>
      <c r="Y3279" t="inlineStr">
        <is>
          <t>Atlantic Canada Opportunities Agency | Agence de promotion économique du Canada atlantique</t>
        </is>
      </c>
    </row>
    <row r="3280">
      <c r="A3280" t="inlineStr">
        <is>
          <t>T-2015-Q1-00023</t>
        </is>
      </c>
      <c r="B3280" t="inlineStr">
        <is>
          <t>MPSES</t>
        </is>
      </c>
      <c r="C3280" t="inlineStr">
        <is>
          <t>Executive Assistant</t>
        </is>
      </c>
      <c r="D3280" t="inlineStr">
        <is>
          <t>Adjoint exécutif</t>
        </is>
      </c>
      <c r="E3280" t="inlineStr">
        <is>
          <t>Josh Hardy</t>
        </is>
      </c>
      <c r="F3280" t="inlineStr">
        <is>
          <t>Travel on Government business</t>
        </is>
      </c>
      <c r="G3280" t="inlineStr">
        <is>
          <t>Voyage pour le compte du gouvernement</t>
        </is>
      </c>
      <c r="H3280" s="1" t="n">
        <v>41740</v>
      </c>
      <c r="I3280" s="1" t="n">
        <v>41751</v>
      </c>
      <c r="J3280" t="inlineStr">
        <is>
          <t>Moncton and Saint John, New Brunswick and Sydney, Nova Scotia</t>
        </is>
      </c>
      <c r="K3280" t="inlineStr">
        <is>
          <t>Moncton et Saint John (Nouveau-Brunswick); Sydney (Nouvelle-Écosse)</t>
        </is>
      </c>
      <c r="P3280" t="n">
        <v>1281.64</v>
      </c>
      <c r="Q3280" t="n">
        <v>703.5599999999999</v>
      </c>
      <c r="R3280" t="n">
        <v>0</v>
      </c>
      <c r="S3280" t="n">
        <v>73.65000000000001</v>
      </c>
      <c r="T3280" t="n">
        <v>0</v>
      </c>
      <c r="U3280" t="n">
        <v>2058.85</v>
      </c>
      <c r="X3280" t="inlineStr">
        <is>
          <t>acoa-apeca</t>
        </is>
      </c>
      <c r="Y3280" t="inlineStr">
        <is>
          <t>Atlantic Canada Opportunities Agency | Agence de promotion économique du Canada atlantique</t>
        </is>
      </c>
    </row>
    <row r="3281">
      <c r="A3281" t="inlineStr">
        <is>
          <t>T-2015-Q1-00015</t>
        </is>
      </c>
      <c r="B3281" t="inlineStr">
        <is>
          <t>SLE</t>
        </is>
      </c>
      <c r="C3281" t="inlineStr">
        <is>
          <t>President</t>
        </is>
      </c>
      <c r="D3281" t="inlineStr">
        <is>
          <t>Président</t>
        </is>
      </c>
      <c r="E3281" t="inlineStr">
        <is>
          <t>Paul J. LeBlanc</t>
        </is>
      </c>
      <c r="F3281" t="inlineStr">
        <is>
          <t>Various meetings and discussions with Agency officials; with Government of Canada officials</t>
        </is>
      </c>
      <c r="G3281" t="inlineStr">
        <is>
          <t>Diverses réunions et discussions avec des fonctionnaires de l'Agence et du gouvernement du Canada</t>
        </is>
      </c>
      <c r="H3281" s="1" t="n">
        <v>41723</v>
      </c>
      <c r="I3281" s="1" t="n">
        <v>41725</v>
      </c>
      <c r="J3281" t="inlineStr">
        <is>
          <t>Ottawa, Ontario</t>
        </is>
      </c>
      <c r="K3281" t="inlineStr">
        <is>
          <t>Ottawa (Ontario)</t>
        </is>
      </c>
      <c r="P3281" t="n">
        <v>741.74</v>
      </c>
      <c r="Q3281" t="n">
        <v>0</v>
      </c>
      <c r="R3281" t="n">
        <v>365.46</v>
      </c>
      <c r="S3281" t="n">
        <v>181.85</v>
      </c>
      <c r="T3281" t="n">
        <v>0</v>
      </c>
      <c r="U3281" t="n">
        <v>1289.05</v>
      </c>
      <c r="X3281" t="inlineStr">
        <is>
          <t>acoa-apeca</t>
        </is>
      </c>
      <c r="Y3281" t="inlineStr">
        <is>
          <t>Atlantic Canada Opportunities Agency | Agence de promotion économique du Canada atlantique</t>
        </is>
      </c>
    </row>
    <row r="3282">
      <c r="A3282" t="inlineStr">
        <is>
          <t>T-2015-Q1-00022</t>
        </is>
      </c>
      <c r="B3282" t="inlineStr">
        <is>
          <t>SLE</t>
        </is>
      </c>
      <c r="C3282" t="inlineStr">
        <is>
          <t>Vice-President, Policy and Programs</t>
        </is>
      </c>
      <c r="D3282" t="inlineStr">
        <is>
          <t>Vice-président, Politiques et Programmes</t>
        </is>
      </c>
      <c r="E3282" t="inlineStr">
        <is>
          <t>Daryell Nowlan</t>
        </is>
      </c>
      <c r="F3282" t="inlineStr">
        <is>
          <t>Meetings with Government of Canada officials</t>
        </is>
      </c>
      <c r="G3282" t="inlineStr">
        <is>
          <t>Réunions avec des fonctionnaires du gouvernement du Canada</t>
        </is>
      </c>
      <c r="H3282" s="1" t="n">
        <v>41737</v>
      </c>
      <c r="I3282" s="1" t="n">
        <v>41740</v>
      </c>
      <c r="J3282" t="inlineStr">
        <is>
          <t>Ottawa, Ontario and Fredericton, New Brunswick</t>
        </is>
      </c>
      <c r="K3282" t="inlineStr">
        <is>
          <t>Ottawa (Ontario) et Fredericton (Nouveau-Brunswick)</t>
        </is>
      </c>
      <c r="P3282" t="n">
        <v>892.7</v>
      </c>
      <c r="Q3282" t="n">
        <v>271.44</v>
      </c>
      <c r="R3282" t="n">
        <v>518.01</v>
      </c>
      <c r="S3282" t="n">
        <v>257.55</v>
      </c>
      <c r="T3282" t="n">
        <v>0</v>
      </c>
      <c r="U3282" t="n">
        <v>1939.7</v>
      </c>
      <c r="X3282" t="inlineStr">
        <is>
          <t>acoa-apeca</t>
        </is>
      </c>
      <c r="Y3282" t="inlineStr">
        <is>
          <t>Atlantic Canada Opportunities Agency | Agence de promotion économique du Canada atlantique</t>
        </is>
      </c>
    </row>
    <row r="3283">
      <c r="A3283" t="inlineStr">
        <is>
          <t>T-2015-Q1-00021</t>
        </is>
      </c>
      <c r="B3283" t="inlineStr">
        <is>
          <t>SLE</t>
        </is>
      </c>
      <c r="C3283" t="inlineStr">
        <is>
          <t>Vice-President, Finance and Corporate Services</t>
        </is>
      </c>
      <c r="D3283" t="inlineStr">
        <is>
          <t>Vice-présidente, Finances et Services corporatifs</t>
        </is>
      </c>
      <c r="E3283" t="inlineStr">
        <is>
          <t>Denise Frenette</t>
        </is>
      </c>
      <c r="F3283" t="inlineStr">
        <is>
          <t>Meeting with Government of Canada Officials</t>
        </is>
      </c>
      <c r="G3283" t="inlineStr">
        <is>
          <t>Réunion avec des fonctionnaires du gouvernement du Canada</t>
        </is>
      </c>
      <c r="H3283" s="1" t="n">
        <v>41736</v>
      </c>
      <c r="I3283" s="1" t="n">
        <v>41736</v>
      </c>
      <c r="J3283" t="inlineStr">
        <is>
          <t>Halifax, Nova Scotia</t>
        </is>
      </c>
      <c r="K3283" t="inlineStr">
        <is>
          <t>Halifax (Nouvelle-Écosse)</t>
        </is>
      </c>
      <c r="P3283" t="n">
        <v>0</v>
      </c>
      <c r="Q3283" t="n">
        <v>91.7</v>
      </c>
      <c r="R3283" t="n">
        <v>0</v>
      </c>
      <c r="S3283" t="n">
        <v>0</v>
      </c>
      <c r="T3283" t="n">
        <v>0</v>
      </c>
      <c r="U3283" t="n">
        <v>91.7</v>
      </c>
      <c r="X3283" t="inlineStr">
        <is>
          <t>acoa-apeca</t>
        </is>
      </c>
      <c r="Y3283" t="inlineStr">
        <is>
          <t>Atlantic Canada Opportunities Agency | Agence de promotion économique du Canada atlantique</t>
        </is>
      </c>
    </row>
    <row r="3284">
      <c r="A3284" t="inlineStr">
        <is>
          <t>T-2015-Q1-00020</t>
        </is>
      </c>
      <c r="B3284" t="inlineStr">
        <is>
          <t>SLE</t>
        </is>
      </c>
      <c r="C3284" t="inlineStr">
        <is>
          <t>President</t>
        </is>
      </c>
      <c r="D3284" t="inlineStr">
        <is>
          <t>Président</t>
        </is>
      </c>
      <c r="E3284" t="inlineStr">
        <is>
          <t>Paul J. LeBlanc</t>
        </is>
      </c>
      <c r="F3284" t="inlineStr">
        <is>
          <t>Attendance at meetings and sessions of various committees of the Organization for Economic Co-operation and Development (OECD)</t>
        </is>
      </c>
      <c r="G3284" t="inlineStr">
        <is>
          <t>Assister à des réunions et à des séances de divers comités de l'Organisation de coopération et de développement économiques</t>
        </is>
      </c>
      <c r="H3284" s="1" t="n">
        <v>41733</v>
      </c>
      <c r="I3284" s="1" t="n">
        <v>41741</v>
      </c>
      <c r="J3284" t="inlineStr">
        <is>
          <t>Paris, France</t>
        </is>
      </c>
      <c r="K3284" t="inlineStr">
        <is>
          <t>Paris, France</t>
        </is>
      </c>
      <c r="P3284" t="n">
        <v>7746.66</v>
      </c>
      <c r="Q3284" t="n">
        <v>196.64</v>
      </c>
      <c r="R3284" t="n">
        <v>1782.14</v>
      </c>
      <c r="S3284" t="n">
        <v>1325.6</v>
      </c>
      <c r="T3284" t="n">
        <v>61.5</v>
      </c>
      <c r="U3284" t="n">
        <v>11112.54</v>
      </c>
      <c r="X3284" t="inlineStr">
        <is>
          <t>acoa-apeca</t>
        </is>
      </c>
      <c r="Y3284" t="inlineStr">
        <is>
          <t>Atlantic Canada Opportunities Agency | Agence de promotion économique du Canada atlantique</t>
        </is>
      </c>
    </row>
    <row r="3285">
      <c r="A3285" t="inlineStr">
        <is>
          <t>T-2015-Q1-00019</t>
        </is>
      </c>
      <c r="B3285" t="inlineStr">
        <is>
          <t>SLE</t>
        </is>
      </c>
      <c r="C3285" t="inlineStr">
        <is>
          <t>Vice-President, New Brunswick</t>
        </is>
      </c>
      <c r="D3285" t="inlineStr">
        <is>
          <t>Vice-président, Nouveau-Brunswick</t>
        </is>
      </c>
      <c r="E3285" t="inlineStr">
        <is>
          <t>Kent Estabrooks</t>
        </is>
      </c>
      <c r="F3285" t="inlineStr">
        <is>
          <t xml:space="preserve">Various meetings with Agency Officials and External Stakeholders </t>
        </is>
      </c>
      <c r="G3285" t="inlineStr">
        <is>
          <t>Diverses réunions avec des fonctionnaires de l'Agence et des intervenants externes</t>
        </is>
      </c>
      <c r="H3285" s="1" t="n">
        <v>41732</v>
      </c>
      <c r="I3285" s="1" t="n">
        <v>41733</v>
      </c>
      <c r="J3285" t="inlineStr">
        <is>
          <t>Moncton, New Brunswick</t>
        </is>
      </c>
      <c r="K3285" t="inlineStr">
        <is>
          <t>Moncton (Nouveau-Brunswick)</t>
        </is>
      </c>
      <c r="P3285" t="n">
        <v>0</v>
      </c>
      <c r="Q3285" t="n">
        <v>0</v>
      </c>
      <c r="R3285" t="n">
        <v>123.17</v>
      </c>
      <c r="S3285" t="n">
        <v>34.6</v>
      </c>
      <c r="T3285" t="n">
        <v>8.5</v>
      </c>
      <c r="U3285" t="n">
        <v>166.27</v>
      </c>
      <c r="X3285" t="inlineStr">
        <is>
          <t>acoa-apeca</t>
        </is>
      </c>
      <c r="Y3285" t="inlineStr">
        <is>
          <t>Atlantic Canada Opportunities Agency | Agence de promotion économique du Canada atlantique</t>
        </is>
      </c>
    </row>
    <row r="3286">
      <c r="A3286" t="inlineStr">
        <is>
          <t>T-2015-Q1-00018</t>
        </is>
      </c>
      <c r="B3286" t="inlineStr">
        <is>
          <t>MPSES</t>
        </is>
      </c>
      <c r="C3286" t="inlineStr">
        <is>
          <t>Minister of State</t>
        </is>
      </c>
      <c r="D3286" t="inlineStr">
        <is>
          <t>Ministre d'État</t>
        </is>
      </c>
      <c r="E3286" t="inlineStr">
        <is>
          <t>Rob Moore</t>
        </is>
      </c>
      <c r="F3286" t="inlineStr">
        <is>
          <t>Travel to attend Sealers Memorial Ceremony and meetings with stakeholders</t>
        </is>
      </c>
      <c r="G3286" t="inlineStr">
        <is>
          <t>Voyage pour assister à une cérémonie commémorative pour les chasseurs de phoques et à des réunions avec des intervenants</t>
        </is>
      </c>
      <c r="H3286" s="1" t="n">
        <v>41728</v>
      </c>
      <c r="I3286" s="1" t="n">
        <v>41729</v>
      </c>
      <c r="J3286" t="inlineStr">
        <is>
          <t>St. John's, Newfoundland and Labrador</t>
        </is>
      </c>
      <c r="K3286" t="inlineStr">
        <is>
          <t>St. John's (Terre-Neuve-et-Labrador)</t>
        </is>
      </c>
      <c r="P3286" t="n">
        <v>1865.89</v>
      </c>
      <c r="Q3286" t="n">
        <v>20.79</v>
      </c>
      <c r="R3286" t="n">
        <v>156.78</v>
      </c>
      <c r="S3286" t="n">
        <v>132.15</v>
      </c>
      <c r="T3286" t="n">
        <v>0</v>
      </c>
      <c r="U3286" t="n">
        <v>2175.61</v>
      </c>
      <c r="X3286" t="inlineStr">
        <is>
          <t>acoa-apeca</t>
        </is>
      </c>
      <c r="Y3286" t="inlineStr">
        <is>
          <t>Atlantic Canada Opportunities Agency | Agence de promotion économique du Canada atlantique</t>
        </is>
      </c>
    </row>
    <row r="3287">
      <c r="A3287" t="inlineStr">
        <is>
          <t>T-2015-Q1-00017</t>
        </is>
      </c>
      <c r="B3287" t="inlineStr">
        <is>
          <t>SLE</t>
        </is>
      </c>
      <c r="C3287" t="inlineStr">
        <is>
          <t>Vice-President, New Brunswick</t>
        </is>
      </c>
      <c r="D3287" t="inlineStr">
        <is>
          <t>Vice-président, Nouveau-Brunswick</t>
        </is>
      </c>
      <c r="E3287" t="inlineStr">
        <is>
          <t>Kent Estabrooks</t>
        </is>
      </c>
      <c r="F3287" t="inlineStr">
        <is>
          <t>Various meetings with Agency Officials and Government of Canada Officials</t>
        </is>
      </c>
      <c r="G3287" t="inlineStr">
        <is>
          <t xml:space="preserve">Diverses réunions avec des fonctionnaires de l'Agence et du gouvernement du Canada </t>
        </is>
      </c>
      <c r="H3287" s="1" t="n">
        <v>41723</v>
      </c>
      <c r="I3287" s="1" t="n">
        <v>41725</v>
      </c>
      <c r="J3287" t="inlineStr">
        <is>
          <t>Ottawa, Ontario</t>
        </is>
      </c>
      <c r="K3287" t="inlineStr">
        <is>
          <t>Ottawa (Ontario)</t>
        </is>
      </c>
      <c r="P3287" t="n">
        <v>892.7</v>
      </c>
      <c r="Q3287" t="n">
        <v>106.4</v>
      </c>
      <c r="R3287" t="n">
        <v>365.46</v>
      </c>
      <c r="S3287" t="n">
        <v>208.1</v>
      </c>
      <c r="T3287" t="n">
        <v>0</v>
      </c>
      <c r="U3287" t="n">
        <v>1572.66</v>
      </c>
      <c r="X3287" t="inlineStr">
        <is>
          <t>acoa-apeca</t>
        </is>
      </c>
      <c r="Y3287" t="inlineStr">
        <is>
          <t>Atlantic Canada Opportunities Agency | Agence de promotion économique du Canada atlantique</t>
        </is>
      </c>
    </row>
    <row r="3288">
      <c r="A3288" t="inlineStr">
        <is>
          <t>T-2015-Q1-00016</t>
        </is>
      </c>
      <c r="B3288" t="inlineStr">
        <is>
          <t>SLE</t>
        </is>
      </c>
      <c r="C3288" t="inlineStr">
        <is>
          <t>Vice-President, Prince Edward Island</t>
        </is>
      </c>
      <c r="D3288" t="inlineStr">
        <is>
          <t>Vice-président, Île-du-Prince-Édouard</t>
        </is>
      </c>
      <c r="E3288" t="inlineStr">
        <is>
          <t>Patrick Dorsey</t>
        </is>
      </c>
      <c r="F3288" t="inlineStr">
        <is>
          <t xml:space="preserve">To Attend Meetings with the Lobster Council of Canada </t>
        </is>
      </c>
      <c r="G3288" t="inlineStr">
        <is>
          <t>Assister à des réunions avec le Conseil canadien du homard</t>
        </is>
      </c>
      <c r="H3288" s="1" t="n">
        <v>41723</v>
      </c>
      <c r="I3288" s="1" t="n">
        <v>41726</v>
      </c>
      <c r="J3288" t="inlineStr">
        <is>
          <t>Halifax, Nova Scotia</t>
        </is>
      </c>
      <c r="K3288" t="inlineStr">
        <is>
          <t>Halifax (Nouvelle-Écosse)</t>
        </is>
      </c>
      <c r="P3288" t="n">
        <v>0</v>
      </c>
      <c r="Q3288" t="n">
        <v>131.62</v>
      </c>
      <c r="R3288" t="n">
        <v>415.23</v>
      </c>
      <c r="S3288" t="n">
        <v>242.45</v>
      </c>
      <c r="T3288" t="n">
        <v>0</v>
      </c>
      <c r="U3288" t="n">
        <v>789.3</v>
      </c>
      <c r="X3288" t="inlineStr">
        <is>
          <t>acoa-apeca</t>
        </is>
      </c>
      <c r="Y3288" t="inlineStr">
        <is>
          <t>Atlantic Canada Opportunities Agency | Agence de promotion économique du Canada atlantique</t>
        </is>
      </c>
    </row>
    <row r="3289">
      <c r="A3289" t="inlineStr">
        <is>
          <t>T-2014-Q4-00033</t>
        </is>
      </c>
      <c r="B3289" t="inlineStr">
        <is>
          <t>SLE</t>
        </is>
      </c>
      <c r="C3289" t="inlineStr">
        <is>
          <t>Vice-President, Policy and Programs</t>
        </is>
      </c>
      <c r="D3289" t="inlineStr">
        <is>
          <t>Vice-président, Politiques et Programmes</t>
        </is>
      </c>
      <c r="E3289" t="inlineStr">
        <is>
          <t>Daryell Nowlan</t>
        </is>
      </c>
      <c r="F3289" t="inlineStr">
        <is>
          <t>Training</t>
        </is>
      </c>
      <c r="G3289" t="inlineStr">
        <is>
          <t>Formation</t>
        </is>
      </c>
      <c r="H3289" s="1" t="n">
        <v>41662</v>
      </c>
      <c r="I3289" s="1" t="n">
        <v>41669</v>
      </c>
      <c r="J3289" t="inlineStr">
        <is>
          <t>Washington, DC and Ottawa, Ontario</t>
        </is>
      </c>
      <c r="K3289" t="inlineStr">
        <is>
          <t>Washington, D.C.; Ottawa (Ontario)</t>
        </is>
      </c>
      <c r="P3289" t="n">
        <v>1334.91</v>
      </c>
      <c r="Q3289" t="n">
        <v>122.33</v>
      </c>
      <c r="R3289" t="n">
        <v>944.8</v>
      </c>
      <c r="S3289" t="n">
        <v>326.25</v>
      </c>
      <c r="T3289" t="n">
        <v>0</v>
      </c>
      <c r="U3289" t="n">
        <v>2728.29</v>
      </c>
      <c r="X3289" t="inlineStr">
        <is>
          <t>acoa-apeca</t>
        </is>
      </c>
      <c r="Y3289" t="inlineStr">
        <is>
          <t>Atlantic Canada Opportunities Agency | Agence de promotion économique du Canada atlantique</t>
        </is>
      </c>
    </row>
    <row r="3290">
      <c r="A3290" t="inlineStr">
        <is>
          <t>T-2015-Q1-00014</t>
        </is>
      </c>
      <c r="B3290" t="inlineStr">
        <is>
          <t>MPSES</t>
        </is>
      </c>
      <c r="C3290" t="inlineStr">
        <is>
          <t>Regional Affairs Director - New Brunswick</t>
        </is>
      </c>
      <c r="D3290" t="inlineStr">
        <is>
          <t>Directeur des affaires régionales - Nouveau-Brunswick</t>
        </is>
      </c>
      <c r="E3290" t="inlineStr">
        <is>
          <t>Douglas MacDonald</t>
        </is>
      </c>
      <c r="F3290" t="inlineStr">
        <is>
          <t>Travel on Government business</t>
        </is>
      </c>
      <c r="G3290" t="inlineStr">
        <is>
          <t>Voyage pour le compte du gouvernement</t>
        </is>
      </c>
      <c r="H3290" s="1" t="n">
        <v>41721</v>
      </c>
      <c r="I3290" s="1" t="n">
        <v>41723</v>
      </c>
      <c r="J3290" t="inlineStr">
        <is>
          <t>Ottawa, Ontario</t>
        </is>
      </c>
      <c r="K3290" t="inlineStr">
        <is>
          <t>Ottawa (Ontario)</t>
        </is>
      </c>
      <c r="P3290" t="n">
        <v>651.15</v>
      </c>
      <c r="Q3290" t="n">
        <v>106</v>
      </c>
      <c r="R3290" t="n">
        <v>365.46</v>
      </c>
      <c r="S3290" t="n">
        <v>222.3</v>
      </c>
      <c r="T3290" t="n">
        <v>0</v>
      </c>
      <c r="U3290" t="n">
        <v>1344.91</v>
      </c>
      <c r="X3290" t="inlineStr">
        <is>
          <t>acoa-apeca</t>
        </is>
      </c>
      <c r="Y3290" t="inlineStr">
        <is>
          <t>Atlantic Canada Opportunities Agency | Agence de promotion économique du Canada atlantique</t>
        </is>
      </c>
    </row>
    <row r="3291">
      <c r="A3291" t="inlineStr">
        <is>
          <t>T-2015-Q1-00013</t>
        </is>
      </c>
      <c r="B3291" t="inlineStr">
        <is>
          <t>MPSES</t>
        </is>
      </c>
      <c r="C3291" t="inlineStr">
        <is>
          <t>Special Assistant (Policy &amp; Caucus Liaison)</t>
        </is>
      </c>
      <c r="D3291" t="inlineStr">
        <is>
          <t>Adjointe spéciale (politiques &amp; liaison avec le caucus)</t>
        </is>
      </c>
      <c r="E3291" t="inlineStr">
        <is>
          <t>Kelsie Corey</t>
        </is>
      </c>
      <c r="F3291" t="inlineStr">
        <is>
          <t>Travel on Government business</t>
        </is>
      </c>
      <c r="G3291" t="inlineStr">
        <is>
          <t>Voyage pour le compte du gouvernement</t>
        </is>
      </c>
      <c r="H3291" s="1" t="n">
        <v>41716</v>
      </c>
      <c r="I3291" s="1" t="n">
        <v>41718</v>
      </c>
      <c r="J3291" t="inlineStr">
        <is>
          <t>Halifax and Sydney, Nova Scotia</t>
        </is>
      </c>
      <c r="K3291" t="inlineStr">
        <is>
          <t>Halifax et Sydney (Nouvelle-Écosse)</t>
        </is>
      </c>
      <c r="P3291" t="n">
        <v>1560.51</v>
      </c>
      <c r="Q3291" t="n">
        <v>0</v>
      </c>
      <c r="R3291" t="n">
        <v>326.1</v>
      </c>
      <c r="S3291" t="n">
        <v>88.59999999999999</v>
      </c>
      <c r="T3291" t="n">
        <v>0</v>
      </c>
      <c r="U3291" t="n">
        <v>1975.21</v>
      </c>
      <c r="X3291" t="inlineStr">
        <is>
          <t>acoa-apeca</t>
        </is>
      </c>
      <c r="Y3291" t="inlineStr">
        <is>
          <t>Atlantic Canada Opportunities Agency | Agence de promotion économique du Canada atlantique</t>
        </is>
      </c>
    </row>
    <row r="3292">
      <c r="A3292" t="inlineStr">
        <is>
          <t>T-2015-Q1-00012</t>
        </is>
      </c>
      <c r="B3292" t="inlineStr">
        <is>
          <t>MPSES</t>
        </is>
      </c>
      <c r="C3292" t="inlineStr">
        <is>
          <t>Chief of Staff</t>
        </is>
      </c>
      <c r="D3292" t="inlineStr">
        <is>
          <t>Chef de cabinet</t>
        </is>
      </c>
      <c r="E3292" t="inlineStr">
        <is>
          <t>Shane Bourke</t>
        </is>
      </c>
      <c r="F3292" t="inlineStr">
        <is>
          <t>Travel on Government business</t>
        </is>
      </c>
      <c r="G3292" t="inlineStr">
        <is>
          <t>Voyage pour le compte du gouvernement</t>
        </is>
      </c>
      <c r="H3292" s="1" t="n">
        <v>41716</v>
      </c>
      <c r="I3292" s="1" t="n">
        <v>41718</v>
      </c>
      <c r="J3292" t="inlineStr">
        <is>
          <t>Halifax and Sydney, Nova Scotia</t>
        </is>
      </c>
      <c r="K3292" t="inlineStr">
        <is>
          <t>Halifax et Sydney (Nouvelle-Écosse)</t>
        </is>
      </c>
      <c r="P3292" t="n">
        <v>1560.51</v>
      </c>
      <c r="Q3292" t="n">
        <v>20</v>
      </c>
      <c r="R3292" t="n">
        <v>326.1</v>
      </c>
      <c r="S3292" t="n">
        <v>72.84999999999999</v>
      </c>
      <c r="T3292" t="n">
        <v>0</v>
      </c>
      <c r="U3292" t="n">
        <v>1979.46</v>
      </c>
      <c r="X3292" t="inlineStr">
        <is>
          <t>acoa-apeca</t>
        </is>
      </c>
      <c r="Y3292" t="inlineStr">
        <is>
          <t>Atlantic Canada Opportunities Agency | Agence de promotion économique du Canada atlantique</t>
        </is>
      </c>
    </row>
    <row r="3293">
      <c r="A3293" t="inlineStr">
        <is>
          <t>T-2015-Q1-00011</t>
        </is>
      </c>
      <c r="B3293" t="inlineStr">
        <is>
          <t>MPSES</t>
        </is>
      </c>
      <c r="C3293" t="inlineStr">
        <is>
          <t>Minister of State</t>
        </is>
      </c>
      <c r="D3293" t="inlineStr">
        <is>
          <t>Ministre d'État</t>
        </is>
      </c>
      <c r="E3293" t="inlineStr">
        <is>
          <t>Rob Moore</t>
        </is>
      </c>
      <c r="F3293" t="inlineStr">
        <is>
          <t>Travel to attend Enterprise Cape Breton Corporation announcement and meetings with stakeholders</t>
        </is>
      </c>
      <c r="G3293" t="inlineStr">
        <is>
          <t>Voyage pour assister à une annonce de la Société d'expansion du Cap-Breton et à des réunions avec des intervenants</t>
        </is>
      </c>
      <c r="H3293" s="1" t="n">
        <v>41716</v>
      </c>
      <c r="I3293" s="1" t="n">
        <v>41717</v>
      </c>
      <c r="J3293" t="inlineStr">
        <is>
          <t>Sydney, Nova Scotia</t>
        </is>
      </c>
      <c r="K3293" t="inlineStr">
        <is>
          <t>Sydney (Nouvelle-Écosse)</t>
        </is>
      </c>
      <c r="P3293" t="n">
        <v>1452.87</v>
      </c>
      <c r="Q3293" t="n">
        <v>20.79</v>
      </c>
      <c r="R3293" t="n">
        <v>163.05</v>
      </c>
      <c r="S3293" t="n">
        <v>132.15</v>
      </c>
      <c r="T3293" t="n">
        <v>0</v>
      </c>
      <c r="U3293" t="n">
        <v>1768.86</v>
      </c>
      <c r="X3293" t="inlineStr">
        <is>
          <t>acoa-apeca</t>
        </is>
      </c>
      <c r="Y3293" t="inlineStr">
        <is>
          <t>Atlantic Canada Opportunities Agency | Agence de promotion économique du Canada atlantique</t>
        </is>
      </c>
    </row>
    <row r="3294">
      <c r="A3294" t="inlineStr">
        <is>
          <t>T-2015-Q1-00010</t>
        </is>
      </c>
      <c r="B3294" t="inlineStr">
        <is>
          <t>SLE</t>
        </is>
      </c>
      <c r="C3294" t="inlineStr">
        <is>
          <t>President</t>
        </is>
      </c>
      <c r="D3294" t="inlineStr">
        <is>
          <t>Président</t>
        </is>
      </c>
      <c r="E3294" t="inlineStr">
        <is>
          <t>Paul J. LeBlanc</t>
        </is>
      </c>
      <c r="F3294" t="inlineStr">
        <is>
          <t>Various meetings and discussions with Agency officials; and with various stakeholders</t>
        </is>
      </c>
      <c r="G3294" t="inlineStr">
        <is>
          <t>Diverses réunions et discussions avec des fonctionnaires de l'Agence et divers intervenants</t>
        </is>
      </c>
      <c r="H3294" s="1" t="n">
        <v>41716</v>
      </c>
      <c r="I3294" s="1" t="n">
        <v>41719</v>
      </c>
      <c r="J3294" t="inlineStr">
        <is>
          <t>Sydney, Nova Scotia and St. John's, Newfoundland and Labrador</t>
        </is>
      </c>
      <c r="K3294" t="inlineStr">
        <is>
          <t>Sydney (Nouvelle-Écosse) et St. John's (Terre-Neuve-et-Labrador)</t>
        </is>
      </c>
      <c r="P3294" t="n">
        <v>2483.03</v>
      </c>
      <c r="Q3294" t="n">
        <v>311.23</v>
      </c>
      <c r="R3294" t="n">
        <v>521.17</v>
      </c>
      <c r="S3294" t="n">
        <v>272</v>
      </c>
      <c r="T3294" t="n">
        <v>82.5</v>
      </c>
      <c r="U3294" t="n">
        <v>3669.93</v>
      </c>
      <c r="X3294" t="inlineStr">
        <is>
          <t>acoa-apeca</t>
        </is>
      </c>
      <c r="Y3294" t="inlineStr">
        <is>
          <t>Atlantic Canada Opportunities Agency | Agence de promotion économique du Canada atlantique</t>
        </is>
      </c>
    </row>
    <row r="3295">
      <c r="A3295" t="inlineStr">
        <is>
          <t>T-2015-Q1-00009</t>
        </is>
      </c>
      <c r="B3295" t="inlineStr">
        <is>
          <t>SLE</t>
        </is>
      </c>
      <c r="C3295" t="inlineStr">
        <is>
          <t>Vice-President, Policy and Programs</t>
        </is>
      </c>
      <c r="D3295" t="inlineStr">
        <is>
          <t>Vice-président, Politiques et Programmes</t>
        </is>
      </c>
      <c r="E3295" t="inlineStr">
        <is>
          <t>Daryell Nowlan</t>
        </is>
      </c>
      <c r="F3295" t="inlineStr">
        <is>
          <t>Various meetings with Government of Canada officials</t>
        </is>
      </c>
      <c r="G3295" t="inlineStr">
        <is>
          <t>Diverses réunions avec des fonctionnaires du gouvernement du Canada</t>
        </is>
      </c>
      <c r="H3295" s="1" t="n">
        <v>41714</v>
      </c>
      <c r="I3295" s="1" t="n">
        <v>41716</v>
      </c>
      <c r="J3295" t="inlineStr">
        <is>
          <t>Ottawa, Ontario</t>
        </is>
      </c>
      <c r="K3295" t="inlineStr">
        <is>
          <t>Ottawa (Ontario)</t>
        </is>
      </c>
      <c r="P3295" t="n">
        <v>892.7</v>
      </c>
      <c r="Q3295" t="n">
        <v>103.91</v>
      </c>
      <c r="R3295" t="n">
        <v>365.46</v>
      </c>
      <c r="S3295" t="n">
        <v>239.6</v>
      </c>
      <c r="T3295" t="n">
        <v>0</v>
      </c>
      <c r="U3295" t="n">
        <v>1601.67</v>
      </c>
      <c r="X3295" t="inlineStr">
        <is>
          <t>acoa-apeca</t>
        </is>
      </c>
      <c r="Y3295" t="inlineStr">
        <is>
          <t>Atlantic Canada Opportunities Agency | Agence de promotion économique du Canada atlantique</t>
        </is>
      </c>
    </row>
    <row r="3296">
      <c r="A3296" t="inlineStr">
        <is>
          <t>T-2015-Q1-00008</t>
        </is>
      </c>
      <c r="B3296" t="inlineStr">
        <is>
          <t>MPSES</t>
        </is>
      </c>
      <c r="C3296" t="inlineStr">
        <is>
          <t>Minister of State</t>
        </is>
      </c>
      <c r="D3296" t="inlineStr">
        <is>
          <t>Ministre d'État</t>
        </is>
      </c>
      <c r="E3296" t="inlineStr">
        <is>
          <t>Rob Moore</t>
        </is>
      </c>
      <c r="F3296" t="inlineStr">
        <is>
          <t>Travel to attend Government of Canada event</t>
        </is>
      </c>
      <c r="G3296" t="inlineStr">
        <is>
          <t xml:space="preserve">Voyage pour assister à un évènement du gouvernement du Canada </t>
        </is>
      </c>
      <c r="H3296" s="1" t="n">
        <v>41712</v>
      </c>
      <c r="I3296" s="1" t="n">
        <v>41712</v>
      </c>
      <c r="J3296" t="inlineStr">
        <is>
          <t>Saint John, New Brunswick</t>
        </is>
      </c>
      <c r="K3296" t="inlineStr">
        <is>
          <t>Saint John (Nouveau-Brunswick)</t>
        </is>
      </c>
      <c r="P3296" t="n">
        <v>0</v>
      </c>
      <c r="Q3296" t="n">
        <v>25.74</v>
      </c>
      <c r="R3296" t="n">
        <v>0</v>
      </c>
      <c r="S3296" t="n">
        <v>0</v>
      </c>
      <c r="T3296" t="n">
        <v>0</v>
      </c>
      <c r="U3296" t="n">
        <v>25.74</v>
      </c>
      <c r="X3296" t="inlineStr">
        <is>
          <t>acoa-apeca</t>
        </is>
      </c>
      <c r="Y3296" t="inlineStr">
        <is>
          <t>Atlantic Canada Opportunities Agency | Agence de promotion économique du Canada atlantique</t>
        </is>
      </c>
    </row>
    <row r="3297">
      <c r="A3297" t="inlineStr">
        <is>
          <t>T-2015-Q1-00007</t>
        </is>
      </c>
      <c r="B3297" t="inlineStr">
        <is>
          <t>SLE</t>
        </is>
      </c>
      <c r="C3297" t="inlineStr">
        <is>
          <t>Vice-President, Prince Edward Island</t>
        </is>
      </c>
      <c r="D3297" t="inlineStr">
        <is>
          <t>Vice-président, Île-du-Prince-Édouard</t>
        </is>
      </c>
      <c r="E3297" t="inlineStr">
        <is>
          <t>Patrick Dorsey</t>
        </is>
      </c>
      <c r="F3297" t="inlineStr">
        <is>
          <t>To Attend Seafood Expo North America</t>
        </is>
      </c>
      <c r="G3297" t="inlineStr">
        <is>
          <t>Assister à l'Expo des produits de la mer d'Amérique du Nord</t>
        </is>
      </c>
      <c r="H3297" s="1" t="n">
        <v>41712</v>
      </c>
      <c r="I3297" s="1" t="n">
        <v>41717</v>
      </c>
      <c r="J3297" t="inlineStr">
        <is>
          <t>Boston, Massachusetts</t>
        </is>
      </c>
      <c r="K3297" t="inlineStr">
        <is>
          <t>Boston, Massachusetts</t>
        </is>
      </c>
      <c r="P3297" t="n">
        <v>0</v>
      </c>
      <c r="Q3297" t="n">
        <v>417.58</v>
      </c>
      <c r="R3297" t="n">
        <v>1152.79</v>
      </c>
      <c r="S3297" t="n">
        <v>355.93</v>
      </c>
      <c r="T3297" t="n">
        <v>312.09</v>
      </c>
      <c r="U3297" t="n">
        <v>2238.39</v>
      </c>
      <c r="X3297" t="inlineStr">
        <is>
          <t>acoa-apeca</t>
        </is>
      </c>
      <c r="Y3297" t="inlineStr">
        <is>
          <t>Atlantic Canada Opportunities Agency | Agence de promotion économique du Canada atlantique</t>
        </is>
      </c>
    </row>
    <row r="3298">
      <c r="A3298" t="inlineStr">
        <is>
          <t>T-2015-Q1-00004</t>
        </is>
      </c>
      <c r="B3298" t="inlineStr">
        <is>
          <t>MPSES</t>
        </is>
      </c>
      <c r="C3298" t="inlineStr">
        <is>
          <t>Minister of State</t>
        </is>
      </c>
      <c r="D3298" t="inlineStr">
        <is>
          <t>Ministre d'État</t>
        </is>
      </c>
      <c r="E3298" t="inlineStr">
        <is>
          <t>Rob Moore</t>
        </is>
      </c>
      <c r="F3298" t="inlineStr">
        <is>
          <t>Travel to attend Government of Canada announcement and meeting with Premier Robert Ghiz</t>
        </is>
      </c>
      <c r="G3298" t="inlineStr">
        <is>
          <t>Voyage pour assister à une annonce du gouvernement du Canada et à une réunion avec le premier ministre Robert Ghiz</t>
        </is>
      </c>
      <c r="H3298" s="1" t="n">
        <v>41709</v>
      </c>
      <c r="I3298" s="1" t="n">
        <v>41709</v>
      </c>
      <c r="J3298" t="inlineStr">
        <is>
          <t>Charlottetown, Prince Edward Island</t>
        </is>
      </c>
      <c r="K3298" t="inlineStr">
        <is>
          <t>Charlottetown (Île-du-Prince-Édouard)</t>
        </is>
      </c>
      <c r="P3298" t="n">
        <v>0</v>
      </c>
      <c r="Q3298" t="n">
        <v>378.14</v>
      </c>
      <c r="R3298" t="n">
        <v>0</v>
      </c>
      <c r="S3298" t="n">
        <v>72.84999999999999</v>
      </c>
      <c r="T3298" t="n">
        <v>0</v>
      </c>
      <c r="U3298" t="n">
        <v>450.99</v>
      </c>
      <c r="X3298" t="inlineStr">
        <is>
          <t>acoa-apeca</t>
        </is>
      </c>
      <c r="Y3298" t="inlineStr">
        <is>
          <t>Atlantic Canada Opportunities Agency | Agence de promotion économique du Canada atlantique</t>
        </is>
      </c>
    </row>
    <row r="3299">
      <c r="A3299" t="inlineStr">
        <is>
          <t>T-2015-Q1-00003</t>
        </is>
      </c>
      <c r="B3299" t="inlineStr">
        <is>
          <t>SLE</t>
        </is>
      </c>
      <c r="C3299" t="inlineStr">
        <is>
          <t>President</t>
        </is>
      </c>
      <c r="D3299" t="inlineStr">
        <is>
          <t>Président</t>
        </is>
      </c>
      <c r="E3299" t="inlineStr">
        <is>
          <t>Paul J. LeBlanc</t>
        </is>
      </c>
      <c r="F3299" t="inlineStr">
        <is>
          <t>Various meetings and session with the Organization for Economic Co-operation and Development (OECD)</t>
        </is>
      </c>
      <c r="G3299" t="inlineStr">
        <is>
          <t xml:space="preserve">Diverses réunions et séance avec l'Organisation de coopération et de développement économiques </t>
        </is>
      </c>
      <c r="H3299" s="1" t="n">
        <v>41708</v>
      </c>
      <c r="I3299" s="1" t="n">
        <v>41711</v>
      </c>
      <c r="J3299" t="inlineStr">
        <is>
          <t>Paris, France</t>
        </is>
      </c>
      <c r="K3299" t="inlineStr">
        <is>
          <t>Paris, France</t>
        </is>
      </c>
      <c r="P3299" t="n">
        <v>3710.93</v>
      </c>
      <c r="Q3299" t="n">
        <v>205.74</v>
      </c>
      <c r="R3299" t="n">
        <v>625.16</v>
      </c>
      <c r="S3299" t="n">
        <v>622.88</v>
      </c>
      <c r="T3299" t="n">
        <v>0</v>
      </c>
      <c r="U3299" t="n">
        <v>5164.71</v>
      </c>
      <c r="X3299" t="inlineStr">
        <is>
          <t>acoa-apeca</t>
        </is>
      </c>
      <c r="Y3299" t="inlineStr">
        <is>
          <t>Atlantic Canada Opportunities Agency | Agence de promotion économique du Canada atlantique</t>
        </is>
      </c>
    </row>
    <row r="3300">
      <c r="A3300" t="inlineStr">
        <is>
          <t>T-2015-Q1-00002</t>
        </is>
      </c>
      <c r="B3300" t="inlineStr">
        <is>
          <t>MPSES</t>
        </is>
      </c>
      <c r="C3300" t="inlineStr">
        <is>
          <t>Executive Assistant</t>
        </is>
      </c>
      <c r="D3300" t="inlineStr">
        <is>
          <t>Adjoint exécutif</t>
        </is>
      </c>
      <c r="E3300" t="inlineStr">
        <is>
          <t>Josh Hardy</t>
        </is>
      </c>
      <c r="F3300" t="inlineStr">
        <is>
          <t>Travel on Government business</t>
        </is>
      </c>
      <c r="G3300" t="inlineStr">
        <is>
          <t>Voyage pour le compte du gouvernement</t>
        </is>
      </c>
      <c r="H3300" s="1" t="n">
        <v>41705</v>
      </c>
      <c r="I3300" s="1" t="n">
        <v>41714</v>
      </c>
      <c r="J3300" t="inlineStr">
        <is>
          <t>Moncton, New Brunswick</t>
        </is>
      </c>
      <c r="K3300" t="inlineStr">
        <is>
          <t>Moncton (Nouveau-Brunswick)</t>
        </is>
      </c>
      <c r="P3300" t="n">
        <v>736.02</v>
      </c>
      <c r="Q3300" t="n">
        <v>48.87</v>
      </c>
      <c r="R3300" t="n">
        <v>0</v>
      </c>
      <c r="S3300" t="n">
        <v>57.1</v>
      </c>
      <c r="T3300" t="n">
        <v>0</v>
      </c>
      <c r="U3300" t="n">
        <v>841.99</v>
      </c>
      <c r="X3300" t="inlineStr">
        <is>
          <t>acoa-apeca</t>
        </is>
      </c>
      <c r="Y3300" t="inlineStr">
        <is>
          <t>Atlantic Canada Opportunities Agency | Agence de promotion économique du Canada atlantique</t>
        </is>
      </c>
    </row>
    <row r="3301">
      <c r="A3301" t="inlineStr">
        <is>
          <t>T-2015-Q1-00001</t>
        </is>
      </c>
      <c r="B3301" t="inlineStr">
        <is>
          <t>SLE</t>
        </is>
      </c>
      <c r="C3301" t="inlineStr">
        <is>
          <t>Vice-President, Prince Edward Island</t>
        </is>
      </c>
      <c r="D3301" t="inlineStr">
        <is>
          <t>Vice-président, Île-du-Prince-Édouard</t>
        </is>
      </c>
      <c r="E3301" t="inlineStr">
        <is>
          <t>Patrick Dorsey</t>
        </is>
      </c>
      <c r="F3301" t="inlineStr">
        <is>
          <t>Training</t>
        </is>
      </c>
      <c r="G3301" t="inlineStr">
        <is>
          <t>Formation</t>
        </is>
      </c>
      <c r="H3301" s="1" t="n">
        <v>41700</v>
      </c>
      <c r="I3301" s="1" t="n">
        <v>41703</v>
      </c>
      <c r="J3301" t="inlineStr">
        <is>
          <t>Ottawa, Ontario</t>
        </is>
      </c>
      <c r="K3301" t="inlineStr">
        <is>
          <t>Ottawa (Ontario)</t>
        </is>
      </c>
      <c r="P3301" t="n">
        <v>673.91</v>
      </c>
      <c r="Q3301" t="n">
        <v>117</v>
      </c>
      <c r="R3301" t="n">
        <v>548.1900000000001</v>
      </c>
      <c r="S3301" t="n">
        <v>287.3</v>
      </c>
      <c r="T3301" t="n">
        <v>0</v>
      </c>
      <c r="U3301" t="n">
        <v>1626.4</v>
      </c>
      <c r="X3301" t="inlineStr">
        <is>
          <t>acoa-apeca</t>
        </is>
      </c>
      <c r="Y3301" t="inlineStr">
        <is>
          <t>Atlantic Canada Opportunities Agency | Agence de promotion économique du Canada atlantique</t>
        </is>
      </c>
    </row>
    <row r="3302">
      <c r="A3302" t="inlineStr">
        <is>
          <t>T-2014-Q4-00060</t>
        </is>
      </c>
      <c r="B3302" t="inlineStr">
        <is>
          <t>SLE</t>
        </is>
      </c>
      <c r="C3302" t="inlineStr">
        <is>
          <t>Vice-President, Prince Edward Island</t>
        </is>
      </c>
      <c r="D3302" t="inlineStr">
        <is>
          <t>Vice-président, Île-du-Prince-Édouard</t>
        </is>
      </c>
      <c r="E3302" t="inlineStr">
        <is>
          <t>Patrick Dorsey</t>
        </is>
      </c>
      <c r="F3302" t="inlineStr">
        <is>
          <t>Meetings with Government Officials in Ottawa</t>
        </is>
      </c>
      <c r="G3302" t="inlineStr">
        <is>
          <t>Réunions avec des fonctionnaires du gouvernement à Ottawa</t>
        </is>
      </c>
      <c r="H3302" s="1" t="n">
        <v>41695</v>
      </c>
      <c r="I3302" s="1" t="n">
        <v>41697</v>
      </c>
      <c r="J3302" t="inlineStr">
        <is>
          <t>Ottawa, Ontario</t>
        </is>
      </c>
      <c r="K3302" t="inlineStr">
        <is>
          <t>Ottawa (Ontario)</t>
        </is>
      </c>
      <c r="P3302" t="n">
        <v>651.9</v>
      </c>
      <c r="Q3302" t="n">
        <v>71</v>
      </c>
      <c r="R3302" t="n">
        <v>481.86</v>
      </c>
      <c r="S3302" t="n">
        <v>139.2</v>
      </c>
      <c r="T3302" t="n">
        <v>0</v>
      </c>
      <c r="U3302" t="n">
        <v>1343.96</v>
      </c>
      <c r="X3302" t="inlineStr">
        <is>
          <t>acoa-apeca</t>
        </is>
      </c>
      <c r="Y3302" t="inlineStr">
        <is>
          <t>Atlantic Canada Opportunities Agency | Agence de promotion économique du Canada atlantique</t>
        </is>
      </c>
    </row>
    <row r="3303">
      <c r="A3303" t="inlineStr">
        <is>
          <t>T-2014-Q4-00059</t>
        </is>
      </c>
      <c r="B3303" t="inlineStr">
        <is>
          <t>SLE</t>
        </is>
      </c>
      <c r="C3303" t="inlineStr">
        <is>
          <t>President</t>
        </is>
      </c>
      <c r="D3303" t="inlineStr">
        <is>
          <t>Président</t>
        </is>
      </c>
      <c r="E3303" t="inlineStr">
        <is>
          <t>Paul J. LeBlanc</t>
        </is>
      </c>
      <c r="F3303" t="inlineStr">
        <is>
          <t>Various meetings and discussions with Agency officials; with Government of Canada officials</t>
        </is>
      </c>
      <c r="G3303" t="inlineStr">
        <is>
          <t>Diverses réunions et discussions avec des fonctionnaires de l'Agence et du gouvernement du Canada</t>
        </is>
      </c>
      <c r="H3303" s="1" t="n">
        <v>41695</v>
      </c>
      <c r="I3303" s="1" t="n">
        <v>41696</v>
      </c>
      <c r="J3303" t="inlineStr">
        <is>
          <t>Ottawa, Ontario</t>
        </is>
      </c>
      <c r="K3303" t="inlineStr">
        <is>
          <t>Ottawa (Ontario)</t>
        </is>
      </c>
      <c r="P3303" t="n">
        <v>741.74</v>
      </c>
      <c r="Q3303" t="n">
        <v>0</v>
      </c>
      <c r="R3303" t="n">
        <v>196.7</v>
      </c>
      <c r="S3303" t="n">
        <v>106.8</v>
      </c>
      <c r="T3303" t="n">
        <v>0</v>
      </c>
      <c r="U3303" t="n">
        <v>1045.24</v>
      </c>
      <c r="X3303" t="inlineStr">
        <is>
          <t>acoa-apeca</t>
        </is>
      </c>
      <c r="Y3303" t="inlineStr">
        <is>
          <t>Atlantic Canada Opportunities Agency | Agence de promotion économique du Canada atlantique</t>
        </is>
      </c>
    </row>
    <row r="3304">
      <c r="A3304" t="inlineStr">
        <is>
          <t>T-2014-Q4-00058</t>
        </is>
      </c>
      <c r="B3304" t="inlineStr">
        <is>
          <t>SLE</t>
        </is>
      </c>
      <c r="C3304" t="inlineStr">
        <is>
          <t>Vice-President, New Brunswick</t>
        </is>
      </c>
      <c r="D3304" t="inlineStr">
        <is>
          <t>Vice-président, Nouveau-Brunswick</t>
        </is>
      </c>
      <c r="E3304" t="inlineStr">
        <is>
          <t>Kent Estabrooks</t>
        </is>
      </c>
      <c r="F3304" t="inlineStr">
        <is>
          <t xml:space="preserve">External Stakeholders Meeting and Meeting with Government of Canada Officials </t>
        </is>
      </c>
      <c r="G3304" t="inlineStr">
        <is>
          <t>Réunion avec des intervenants externes et réunion avec des fonctionnaires fédéraux</t>
        </is>
      </c>
      <c r="H3304" s="1" t="n">
        <v>41694</v>
      </c>
      <c r="I3304" s="1" t="n">
        <v>41696</v>
      </c>
      <c r="J3304" t="inlineStr">
        <is>
          <t>Moncton, New Brunswick</t>
        </is>
      </c>
      <c r="K3304" t="inlineStr">
        <is>
          <t>Moncton (Nouveau-Brunswick)</t>
        </is>
      </c>
      <c r="P3304" t="n">
        <v>0</v>
      </c>
      <c r="Q3304" t="n">
        <v>0</v>
      </c>
      <c r="R3304" t="n">
        <v>247.47</v>
      </c>
      <c r="S3304" t="n">
        <v>193</v>
      </c>
      <c r="T3304" t="n">
        <v>0</v>
      </c>
      <c r="U3304" t="n">
        <v>440.47</v>
      </c>
      <c r="X3304" t="inlineStr">
        <is>
          <t>acoa-apeca</t>
        </is>
      </c>
      <c r="Y3304" t="inlineStr">
        <is>
          <t>Atlantic Canada Opportunities Agency | Agence de promotion économique du Canada atlantique</t>
        </is>
      </c>
    </row>
    <row r="3305">
      <c r="A3305" t="inlineStr">
        <is>
          <t>T-2014-Q4-00057</t>
        </is>
      </c>
      <c r="B3305" t="inlineStr">
        <is>
          <t>MPSES</t>
        </is>
      </c>
      <c r="C3305" t="inlineStr">
        <is>
          <t>Minister of State</t>
        </is>
      </c>
      <c r="D3305" t="inlineStr">
        <is>
          <t>Ministre d'État</t>
        </is>
      </c>
      <c r="E3305" t="inlineStr">
        <is>
          <t>Rob Moore</t>
        </is>
      </c>
      <c r="F3305" t="inlineStr">
        <is>
          <t>Travel to attend Government of Canada announcement, meeting with Minister Michel Samson and AIF consultation meetings</t>
        </is>
      </c>
      <c r="G3305" t="inlineStr">
        <is>
          <t>Annonce du gouvernement du Canada, réunion avec le ministre Michel Samson et réunions de consultation du FIA</t>
        </is>
      </c>
      <c r="H3305" s="1" t="n">
        <v>41690</v>
      </c>
      <c r="I3305" s="1" t="n">
        <v>41690</v>
      </c>
      <c r="J3305" t="inlineStr">
        <is>
          <t>Halifax, Nova Scotia</t>
        </is>
      </c>
      <c r="K3305" t="inlineStr">
        <is>
          <t>Halifax (Nouvelle-Écosse)</t>
        </is>
      </c>
      <c r="P3305" t="n">
        <v>1005.45</v>
      </c>
      <c r="Q3305" t="n">
        <v>18.81</v>
      </c>
      <c r="R3305" t="n">
        <v>0</v>
      </c>
      <c r="S3305" t="n">
        <v>72.84999999999999</v>
      </c>
      <c r="T3305" t="n">
        <v>0</v>
      </c>
      <c r="U3305" t="n">
        <v>1097.11</v>
      </c>
      <c r="X3305" t="inlineStr">
        <is>
          <t>acoa-apeca</t>
        </is>
      </c>
      <c r="Y3305" t="inlineStr">
        <is>
          <t>Atlantic Canada Opportunities Agency | Agence de promotion économique du Canada atlantique</t>
        </is>
      </c>
    </row>
    <row r="3306">
      <c r="A3306" t="inlineStr">
        <is>
          <t>T-2014-Q4-00055</t>
        </is>
      </c>
      <c r="B3306" t="inlineStr">
        <is>
          <t>SLE</t>
        </is>
      </c>
      <c r="C3306" t="inlineStr">
        <is>
          <t>President</t>
        </is>
      </c>
      <c r="D3306" t="inlineStr">
        <is>
          <t>Président</t>
        </is>
      </c>
      <c r="E3306" t="inlineStr">
        <is>
          <t>Paul J. LeBlanc</t>
        </is>
      </c>
      <c r="F3306" t="inlineStr">
        <is>
          <t>For various meetings with Agency officials and various sector key stakeholders</t>
        </is>
      </c>
      <c r="G3306" t="inlineStr">
        <is>
          <t xml:space="preserve">Diverses réunions avec des fonctionnaires de l'Agence et des intervenants clés de secteurs variés </t>
        </is>
      </c>
      <c r="H3306" s="1" t="n">
        <v>41690</v>
      </c>
      <c r="I3306" s="1" t="n">
        <v>41690</v>
      </c>
      <c r="J3306" t="inlineStr">
        <is>
          <t>Halifax, Nova Scotia</t>
        </is>
      </c>
      <c r="K3306" t="inlineStr">
        <is>
          <t>Halifax (Nouvelle-Écosse)</t>
        </is>
      </c>
      <c r="P3306" t="n">
        <v>0</v>
      </c>
      <c r="Q3306" t="n">
        <v>0</v>
      </c>
      <c r="R3306" t="n">
        <v>0</v>
      </c>
      <c r="S3306" t="n">
        <v>57.1</v>
      </c>
      <c r="T3306" t="n">
        <v>0</v>
      </c>
      <c r="U3306" t="n">
        <v>57.1</v>
      </c>
      <c r="X3306" t="inlineStr">
        <is>
          <t>acoa-apeca</t>
        </is>
      </c>
      <c r="Y3306" t="inlineStr">
        <is>
          <t>Atlantic Canada Opportunities Agency | Agence de promotion économique du Canada atlantique</t>
        </is>
      </c>
    </row>
    <row r="3307">
      <c r="A3307" t="inlineStr">
        <is>
          <t>T-2014-Q4-00054</t>
        </is>
      </c>
      <c r="B3307" t="inlineStr">
        <is>
          <t>MPSES</t>
        </is>
      </c>
      <c r="C3307" t="inlineStr">
        <is>
          <t>Minister of State</t>
        </is>
      </c>
      <c r="D3307" t="inlineStr">
        <is>
          <t>Ministre d'État</t>
        </is>
      </c>
      <c r="E3307" t="inlineStr">
        <is>
          <t>Rob Moore</t>
        </is>
      </c>
      <c r="F3307" t="inlineStr">
        <is>
          <t>Travel to attend Budget roundtable, Government of Canada announcement and meeting with stakeholders</t>
        </is>
      </c>
      <c r="G3307" t="inlineStr">
        <is>
          <t>Table ronde sur le budget, annonce du gouvernement du Canada et réunion avec des intervenants</t>
        </is>
      </c>
      <c r="H3307" s="1" t="n">
        <v>41689</v>
      </c>
      <c r="I3307" s="1" t="n">
        <v>41689</v>
      </c>
      <c r="J3307" t="inlineStr">
        <is>
          <t>Miramichi, New Brunswick</t>
        </is>
      </c>
      <c r="K3307" t="inlineStr">
        <is>
          <t>Miramichi (Nouveau-Brunswick)</t>
        </is>
      </c>
      <c r="P3307" t="n">
        <v>0</v>
      </c>
      <c r="Q3307" t="n">
        <v>245.03</v>
      </c>
      <c r="R3307" t="n">
        <v>0</v>
      </c>
      <c r="S3307" t="n">
        <v>57.75</v>
      </c>
      <c r="T3307" t="n">
        <v>0</v>
      </c>
      <c r="U3307" t="n">
        <v>302.78</v>
      </c>
      <c r="X3307" t="inlineStr">
        <is>
          <t>acoa-apeca</t>
        </is>
      </c>
      <c r="Y3307" t="inlineStr">
        <is>
          <t>Atlantic Canada Opportunities Agency | Agence de promotion économique du Canada atlantique</t>
        </is>
      </c>
    </row>
    <row r="3308">
      <c r="A3308" t="inlineStr">
        <is>
          <t>T-2014-Q4-00053</t>
        </is>
      </c>
      <c r="B3308" t="inlineStr">
        <is>
          <t>MPSES</t>
        </is>
      </c>
      <c r="C3308" t="inlineStr">
        <is>
          <t>Minister of State</t>
        </is>
      </c>
      <c r="D3308" t="inlineStr">
        <is>
          <t>Ministre d'État</t>
        </is>
      </c>
      <c r="E3308" t="inlineStr">
        <is>
          <t>Rob Moore</t>
        </is>
      </c>
      <c r="F3308" t="inlineStr">
        <is>
          <t>Travel to Budget roundtable, luncheon speech to Fredericton Chamber of Commerce and Government of Canada announcement</t>
        </is>
      </c>
      <c r="G3308" t="inlineStr">
        <is>
          <t>Table ronde sur le budget, allocution lors d'un déjeuner de la Chambre de commerce de Fredericton et annonce du gouvernement du Canada</t>
        </is>
      </c>
      <c r="H3308" s="1" t="n">
        <v>41688</v>
      </c>
      <c r="I3308" s="1" t="n">
        <v>41688</v>
      </c>
      <c r="J3308" t="inlineStr">
        <is>
          <t>Fredericton, New Brunswick</t>
        </is>
      </c>
      <c r="K3308" t="inlineStr">
        <is>
          <t>Fredericton (Nouveau-Brunswick)</t>
        </is>
      </c>
      <c r="P3308" t="n">
        <v>0</v>
      </c>
      <c r="Q3308" t="n">
        <v>135.63</v>
      </c>
      <c r="R3308" t="n">
        <v>0</v>
      </c>
      <c r="S3308" t="n">
        <v>57.75</v>
      </c>
      <c r="T3308" t="n">
        <v>0</v>
      </c>
      <c r="U3308" t="n">
        <v>193.38</v>
      </c>
      <c r="X3308" t="inlineStr">
        <is>
          <t>acoa-apeca</t>
        </is>
      </c>
      <c r="Y3308" t="inlineStr">
        <is>
          <t>Atlantic Canada Opportunities Agency | Agence de promotion économique du Canada atlantique</t>
        </is>
      </c>
    </row>
    <row r="3309">
      <c r="A3309" t="inlineStr">
        <is>
          <t>T-2014-Q4-00052</t>
        </is>
      </c>
      <c r="B3309" t="inlineStr">
        <is>
          <t>MPSES</t>
        </is>
      </c>
      <c r="C3309" t="inlineStr">
        <is>
          <t>Minister of State</t>
        </is>
      </c>
      <c r="D3309" t="inlineStr">
        <is>
          <t>Ministre d'État</t>
        </is>
      </c>
      <c r="E3309" t="inlineStr">
        <is>
          <t>Rob Moore</t>
        </is>
      </c>
      <c r="F3309" t="inlineStr">
        <is>
          <t>Travel to attend Budget roundtable, luncheon speech to Greater Moncton Chamber of Commerce and meeting with City of Dieppe</t>
        </is>
      </c>
      <c r="G3309" t="inlineStr">
        <is>
          <t>Table ronde sur le budget, allocution lors d'un déjeuner de la Chambre de commerce du Grand Moncton et réunion avec la Ville de Dieppe</t>
        </is>
      </c>
      <c r="H3309" s="1" t="n">
        <v>41687</v>
      </c>
      <c r="I3309" s="1" t="n">
        <v>41687</v>
      </c>
      <c r="J3309" t="inlineStr">
        <is>
          <t>Moncton, New Brunswick</t>
        </is>
      </c>
      <c r="K3309" t="inlineStr">
        <is>
          <t>Moncton (Nouveau-Brunswick)</t>
        </is>
      </c>
      <c r="P3309" t="n">
        <v>0</v>
      </c>
      <c r="Q3309" t="n">
        <v>135.14</v>
      </c>
      <c r="R3309" t="n">
        <v>0</v>
      </c>
      <c r="S3309" t="n">
        <v>15.75</v>
      </c>
      <c r="T3309" t="n">
        <v>0</v>
      </c>
      <c r="U3309" t="n">
        <v>150.89</v>
      </c>
      <c r="X3309" t="inlineStr">
        <is>
          <t>acoa-apeca</t>
        </is>
      </c>
      <c r="Y3309" t="inlineStr">
        <is>
          <t>Atlantic Canada Opportunities Agency | Agence de promotion économique du Canada atlantique</t>
        </is>
      </c>
    </row>
    <row r="3310">
      <c r="A3310" t="inlineStr">
        <is>
          <t>T-2014-Q4-00050</t>
        </is>
      </c>
      <c r="B3310" t="inlineStr">
        <is>
          <t>MPSES</t>
        </is>
      </c>
      <c r="C3310" t="inlineStr">
        <is>
          <t>Executive Assistant</t>
        </is>
      </c>
      <c r="D3310" t="inlineStr">
        <is>
          <t>Adjoint exécutif</t>
        </is>
      </c>
      <c r="E3310" t="inlineStr">
        <is>
          <t>Josh Hardy</t>
        </is>
      </c>
      <c r="F3310" t="inlineStr">
        <is>
          <t>Travel on Government business</t>
        </is>
      </c>
      <c r="G3310" t="inlineStr">
        <is>
          <t>Voyage pour le compte du gouvernement</t>
        </is>
      </c>
      <c r="H3310" s="1" t="n">
        <v>41683</v>
      </c>
      <c r="I3310" s="1" t="n">
        <v>41693</v>
      </c>
      <c r="J3310" t="inlineStr">
        <is>
          <t>Moncton, New Brunswick and Halifax, Nova Scotia</t>
        </is>
      </c>
      <c r="K3310" t="inlineStr">
        <is>
          <t>Moncton (Nouveau-Brunswick) et Halifax (Nouvelle-Écosse)</t>
        </is>
      </c>
      <c r="P3310" t="n">
        <v>1645.15</v>
      </c>
      <c r="Q3310" t="n">
        <v>413.73</v>
      </c>
      <c r="R3310" t="n">
        <v>0</v>
      </c>
      <c r="S3310" t="n">
        <v>130.6</v>
      </c>
      <c r="T3310" t="n">
        <v>0</v>
      </c>
      <c r="U3310" t="n">
        <v>2189.48</v>
      </c>
      <c r="X3310" t="inlineStr">
        <is>
          <t>acoa-apeca</t>
        </is>
      </c>
      <c r="Y3310" t="inlineStr">
        <is>
          <t>Atlantic Canada Opportunities Agency | Agence de promotion économique du Canada atlantique</t>
        </is>
      </c>
    </row>
    <row r="3311">
      <c r="A3311" t="inlineStr">
        <is>
          <t>T-2014-Q4-00048</t>
        </is>
      </c>
      <c r="B3311" t="inlineStr">
        <is>
          <t>SLE</t>
        </is>
      </c>
      <c r="C3311" t="inlineStr">
        <is>
          <t>President</t>
        </is>
      </c>
      <c r="D3311" t="inlineStr">
        <is>
          <t>Président</t>
        </is>
      </c>
      <c r="E3311" t="inlineStr">
        <is>
          <t>Paul J. LeBlanc</t>
        </is>
      </c>
      <c r="F3311" t="inlineStr">
        <is>
          <t>For various meetings and discussions with: Agency officials; with Government of Canada officials</t>
        </is>
      </c>
      <c r="G3311" t="inlineStr">
        <is>
          <t>Diverses réunions et discussions avec des fonctionnaires de l'Agence et du gouvernement du Canada</t>
        </is>
      </c>
      <c r="H3311" s="1" t="n">
        <v>41681</v>
      </c>
      <c r="I3311" s="1" t="n">
        <v>41684</v>
      </c>
      <c r="J3311" t="inlineStr">
        <is>
          <t>Ottawa, Ontario</t>
        </is>
      </c>
      <c r="K3311" t="inlineStr">
        <is>
          <t>Ottawa (Ontario)</t>
        </is>
      </c>
      <c r="P3311" t="n">
        <v>741.74</v>
      </c>
      <c r="Q3311" t="n">
        <v>0</v>
      </c>
      <c r="R3311" t="n">
        <v>590.1</v>
      </c>
      <c r="S3311" t="n">
        <v>272</v>
      </c>
      <c r="T3311" t="n">
        <v>169.5</v>
      </c>
      <c r="U3311" t="n">
        <v>1773.34</v>
      </c>
      <c r="X3311" t="inlineStr">
        <is>
          <t>acoa-apeca</t>
        </is>
      </c>
      <c r="Y3311" t="inlineStr">
        <is>
          <t>Atlantic Canada Opportunities Agency | Agence de promotion économique du Canada atlantique</t>
        </is>
      </c>
    </row>
    <row r="3312">
      <c r="A3312" t="inlineStr">
        <is>
          <t>T-2014-Q4-00047</t>
        </is>
      </c>
      <c r="B3312" t="inlineStr">
        <is>
          <t>SLE</t>
        </is>
      </c>
      <c r="C3312" t="inlineStr">
        <is>
          <t>Vice-President, Prince Edward Island</t>
        </is>
      </c>
      <c r="D3312" t="inlineStr">
        <is>
          <t>Vice-président, Île-du-Prince-Édouard</t>
        </is>
      </c>
      <c r="E3312" t="inlineStr">
        <is>
          <t>Patrick Dorsey</t>
        </is>
      </c>
      <c r="F3312" t="inlineStr">
        <is>
          <t>Meetings with ACOA Officials in Moncton</t>
        </is>
      </c>
      <c r="G3312" t="inlineStr">
        <is>
          <t>Réunions avec des fonctionnaires de l'Agence de promotion économique du Canada atlantique à Moncton</t>
        </is>
      </c>
      <c r="H3312" s="1" t="n">
        <v>41681</v>
      </c>
      <c r="I3312" s="1" t="n">
        <v>41682</v>
      </c>
      <c r="J3312" t="inlineStr">
        <is>
          <t>Moncton, New Brunswick</t>
        </is>
      </c>
      <c r="K3312" t="inlineStr">
        <is>
          <t>Moncton (Nouveau-Brunswick)</t>
        </is>
      </c>
      <c r="P3312" t="n">
        <v>0</v>
      </c>
      <c r="Q3312" t="n">
        <v>61.95</v>
      </c>
      <c r="R3312" t="n">
        <v>134.47</v>
      </c>
      <c r="S3312" t="n">
        <v>91.7</v>
      </c>
      <c r="T3312" t="n">
        <v>0</v>
      </c>
      <c r="U3312" t="n">
        <v>288.12</v>
      </c>
      <c r="X3312" t="inlineStr">
        <is>
          <t>acoa-apeca</t>
        </is>
      </c>
      <c r="Y3312" t="inlineStr">
        <is>
          <t>Atlantic Canada Opportunities Agency | Agence de promotion économique du Canada atlantique</t>
        </is>
      </c>
    </row>
    <row r="3313">
      <c r="A3313" t="inlineStr">
        <is>
          <t>T-2014-Q4-00046</t>
        </is>
      </c>
      <c r="B3313" t="inlineStr">
        <is>
          <t>MPSES</t>
        </is>
      </c>
      <c r="C3313" t="inlineStr">
        <is>
          <t>Regional Affairs Director - New Brunswick</t>
        </is>
      </c>
      <c r="D3313" t="inlineStr">
        <is>
          <t>Directeur des affaires régionales - Nouveau-Brunswick</t>
        </is>
      </c>
      <c r="E3313" t="inlineStr">
        <is>
          <t>Douglas MacDonald</t>
        </is>
      </c>
      <c r="F3313" t="inlineStr">
        <is>
          <t>Travel on Government business</t>
        </is>
      </c>
      <c r="G3313" t="inlineStr">
        <is>
          <t>Voyage pour le compte du gouvernement</t>
        </is>
      </c>
      <c r="H3313" s="1" t="n">
        <v>41680</v>
      </c>
      <c r="I3313" s="1" t="n">
        <v>41682</v>
      </c>
      <c r="J3313" t="inlineStr">
        <is>
          <t>Ottawa, Ontario</t>
        </is>
      </c>
      <c r="K3313" t="inlineStr">
        <is>
          <t>Ottawa (Ontario)</t>
        </is>
      </c>
      <c r="P3313" t="n">
        <v>614.4299999999999</v>
      </c>
      <c r="Q3313" t="n">
        <v>94</v>
      </c>
      <c r="R3313" t="n">
        <v>182.73</v>
      </c>
      <c r="S3313" t="n">
        <v>180.3</v>
      </c>
      <c r="T3313" t="n">
        <v>0</v>
      </c>
      <c r="U3313" t="n">
        <v>1071.46</v>
      </c>
      <c r="X3313" t="inlineStr">
        <is>
          <t>acoa-apeca</t>
        </is>
      </c>
      <c r="Y3313" t="inlineStr">
        <is>
          <t>Atlantic Canada Opportunities Agency | Agence de promotion économique du Canada atlantique</t>
        </is>
      </c>
    </row>
    <row r="3314">
      <c r="A3314" t="inlineStr">
        <is>
          <t>T-2014-Q4-00045</t>
        </is>
      </c>
      <c r="B3314" t="inlineStr">
        <is>
          <t>SLE</t>
        </is>
      </c>
      <c r="C3314" t="inlineStr">
        <is>
          <t>Vice President, Nova Scotia</t>
        </is>
      </c>
      <c r="D3314" t="inlineStr">
        <is>
          <t>Vice-président, Nouvelle-Écosse</t>
        </is>
      </c>
      <c r="E3314" t="inlineStr">
        <is>
          <t>Peter Hogan</t>
        </is>
      </c>
      <c r="F3314" t="inlineStr">
        <is>
          <t>Meeting with Senior Agency Officials</t>
        </is>
      </c>
      <c r="G3314" t="inlineStr">
        <is>
          <t>Réunion avec des hauts fonctionnaires de l'Agence</t>
        </is>
      </c>
      <c r="H3314" s="1" t="n">
        <v>41675</v>
      </c>
      <c r="I3314" s="1" t="n">
        <v>41676</v>
      </c>
      <c r="J3314" t="inlineStr">
        <is>
          <t>Moncton, New Brunswick</t>
        </is>
      </c>
      <c r="K3314" t="inlineStr">
        <is>
          <t>Moncton (Nouveau-Brunswick)</t>
        </is>
      </c>
      <c r="P3314" t="n">
        <v>0</v>
      </c>
      <c r="Q3314" t="n">
        <v>17</v>
      </c>
      <c r="R3314" t="n">
        <v>50</v>
      </c>
      <c r="S3314" t="n">
        <v>149.45</v>
      </c>
      <c r="T3314" t="n">
        <v>0</v>
      </c>
      <c r="U3314" t="n">
        <v>216.45</v>
      </c>
      <c r="X3314" t="inlineStr">
        <is>
          <t>acoa-apeca</t>
        </is>
      </c>
      <c r="Y3314" t="inlineStr">
        <is>
          <t>Atlantic Canada Opportunities Agency | Agence de promotion économique du Canada atlantique</t>
        </is>
      </c>
    </row>
    <row r="3315">
      <c r="A3315" t="inlineStr">
        <is>
          <t>T-2014-Q4-00044</t>
        </is>
      </c>
      <c r="B3315" t="inlineStr">
        <is>
          <t>SLE</t>
        </is>
      </c>
      <c r="C3315" t="inlineStr">
        <is>
          <t>Vice-President, New Brunswick</t>
        </is>
      </c>
      <c r="D3315" t="inlineStr">
        <is>
          <t>Vice-président, Nouveau-Brunswick</t>
        </is>
      </c>
      <c r="E3315" t="inlineStr">
        <is>
          <t>Kent Estabrooks</t>
        </is>
      </c>
      <c r="F3315" t="inlineStr">
        <is>
          <t>Executive Committee Meeting in Moncton</t>
        </is>
      </c>
      <c r="G3315" t="inlineStr">
        <is>
          <t>Réunion du Comité de direction à Moncton</t>
        </is>
      </c>
      <c r="H3315" s="1" t="n">
        <v>41675</v>
      </c>
      <c r="I3315" s="1" t="n">
        <v>41676</v>
      </c>
      <c r="J3315" t="inlineStr">
        <is>
          <t>Moncton, New Brunswick</t>
        </is>
      </c>
      <c r="K3315" t="inlineStr">
        <is>
          <t>Moncton (Nouveau-Brunswick)</t>
        </is>
      </c>
      <c r="P3315" t="n">
        <v>0</v>
      </c>
      <c r="Q3315" t="n">
        <v>0</v>
      </c>
      <c r="R3315" t="n">
        <v>113</v>
      </c>
      <c r="S3315" t="n">
        <v>118.6</v>
      </c>
      <c r="T3315" t="n">
        <v>0</v>
      </c>
      <c r="U3315" t="n">
        <v>231.6</v>
      </c>
      <c r="X3315" t="inlineStr">
        <is>
          <t>acoa-apeca</t>
        </is>
      </c>
      <c r="Y3315" t="inlineStr">
        <is>
          <t>Atlantic Canada Opportunities Agency | Agence de promotion économique du Canada atlantique</t>
        </is>
      </c>
    </row>
    <row r="3316">
      <c r="A3316" t="inlineStr">
        <is>
          <t>T-2014-Q4-00042</t>
        </is>
      </c>
      <c r="B3316" t="inlineStr">
        <is>
          <t>SLE</t>
        </is>
      </c>
      <c r="C3316" t="inlineStr">
        <is>
          <t>Vice-President, Prince Edward Island</t>
        </is>
      </c>
      <c r="D3316" t="inlineStr">
        <is>
          <t>Vice-président, Île-du-Prince-Édouard</t>
        </is>
      </c>
      <c r="E3316" t="inlineStr">
        <is>
          <t>Patrick Dorsey</t>
        </is>
      </c>
      <c r="F3316" t="inlineStr">
        <is>
          <t>To attend Executive Committee Meeting in Moncton</t>
        </is>
      </c>
      <c r="G3316" t="inlineStr">
        <is>
          <t>Réunion du Comité de direction à Moncton</t>
        </is>
      </c>
      <c r="H3316" s="1" t="n">
        <v>41675</v>
      </c>
      <c r="I3316" s="1" t="n">
        <v>41676</v>
      </c>
      <c r="J3316" t="inlineStr">
        <is>
          <t>Moncton, New Brunswick</t>
        </is>
      </c>
      <c r="K3316" t="inlineStr">
        <is>
          <t>Moncton (Nouveau-Brunswick)</t>
        </is>
      </c>
      <c r="P3316" t="n">
        <v>0</v>
      </c>
      <c r="Q3316" t="n">
        <v>61.95</v>
      </c>
      <c r="R3316" t="n">
        <v>145.77</v>
      </c>
      <c r="S3316" t="n">
        <v>118.6</v>
      </c>
      <c r="T3316" t="n">
        <v>0</v>
      </c>
      <c r="U3316" t="n">
        <v>326.32</v>
      </c>
      <c r="X3316" t="inlineStr">
        <is>
          <t>acoa-apeca</t>
        </is>
      </c>
      <c r="Y3316" t="inlineStr">
        <is>
          <t>Atlantic Canada Opportunities Agency | Agence de promotion économique du Canada atlantique</t>
        </is>
      </c>
    </row>
    <row r="3317">
      <c r="A3317" t="inlineStr">
        <is>
          <t>T-2014-Q4-00041</t>
        </is>
      </c>
      <c r="B3317" t="inlineStr">
        <is>
          <t>SLE</t>
        </is>
      </c>
      <c r="C3317" t="inlineStr">
        <is>
          <t>Vice-President, Newfoundland and Labrador</t>
        </is>
      </c>
      <c r="D3317" t="inlineStr">
        <is>
          <t>Vice-président, Terre-Neuve-et-Labrador</t>
        </is>
      </c>
      <c r="E3317" t="inlineStr">
        <is>
          <t>Paul Mills</t>
        </is>
      </c>
      <c r="F3317" t="inlineStr">
        <is>
          <t>Executive Committee Meeting (EXCOM)</t>
        </is>
      </c>
      <c r="G3317" t="inlineStr">
        <is>
          <t>Réunion du Comité de direction</t>
        </is>
      </c>
      <c r="H3317" s="1" t="n">
        <v>41675</v>
      </c>
      <c r="I3317" s="1" t="n">
        <v>41677</v>
      </c>
      <c r="J3317" t="inlineStr">
        <is>
          <t>Moncton, New Brunswick</t>
        </is>
      </c>
      <c r="K3317" t="inlineStr">
        <is>
          <t>Moncton (Nouveau-Brunswick)</t>
        </is>
      </c>
      <c r="P3317" t="n">
        <v>1376.8</v>
      </c>
      <c r="Q3317" t="n">
        <v>300.37</v>
      </c>
      <c r="R3317" t="n">
        <v>296.66</v>
      </c>
      <c r="S3317" t="n">
        <v>197.6</v>
      </c>
      <c r="T3317" t="n">
        <v>7.34</v>
      </c>
      <c r="U3317" t="n">
        <v>2178.77</v>
      </c>
      <c r="X3317" t="inlineStr">
        <is>
          <t>acoa-apeca</t>
        </is>
      </c>
      <c r="Y3317" t="inlineStr">
        <is>
          <t>Atlantic Canada Opportunities Agency | Agence de promotion économique du Canada atlantique</t>
        </is>
      </c>
    </row>
    <row r="3318">
      <c r="A3318" t="inlineStr">
        <is>
          <t>T-2014-Q4-00040</t>
        </is>
      </c>
      <c r="B3318" t="inlineStr">
        <is>
          <t>SLE</t>
        </is>
      </c>
      <c r="C3318" t="inlineStr">
        <is>
          <t>President</t>
        </is>
      </c>
      <c r="D3318" t="inlineStr">
        <is>
          <t>Président</t>
        </is>
      </c>
      <c r="E3318" t="inlineStr">
        <is>
          <t>Paul J. LeBlanc</t>
        </is>
      </c>
      <c r="F3318" t="inlineStr">
        <is>
          <t>For meeting with various key stakeholders</t>
        </is>
      </c>
      <c r="G3318" t="inlineStr">
        <is>
          <t>Réunion avec divers intervenants clés</t>
        </is>
      </c>
      <c r="H3318" s="1" t="n">
        <v>41674</v>
      </c>
      <c r="I3318" s="1" t="n">
        <v>41675</v>
      </c>
      <c r="J3318" t="inlineStr">
        <is>
          <t>Sydney, Nova Scotia</t>
        </is>
      </c>
      <c r="K3318" t="inlineStr">
        <is>
          <t>Sydney (Nouvelle-Écosse)</t>
        </is>
      </c>
      <c r="P3318" t="n">
        <v>0</v>
      </c>
      <c r="Q3318" t="n">
        <v>0</v>
      </c>
      <c r="R3318" t="n">
        <v>120.82</v>
      </c>
      <c r="S3318" t="n">
        <v>148.8</v>
      </c>
      <c r="T3318" t="n">
        <v>227</v>
      </c>
      <c r="U3318" t="n">
        <v>496.62</v>
      </c>
      <c r="X3318" t="inlineStr">
        <is>
          <t>acoa-apeca</t>
        </is>
      </c>
      <c r="Y3318" t="inlineStr">
        <is>
          <t>Atlantic Canada Opportunities Agency | Agence de promotion économique du Canada atlantique</t>
        </is>
      </c>
    </row>
    <row r="3319">
      <c r="A3319" t="inlineStr">
        <is>
          <t>T-2014-Q4-00039</t>
        </is>
      </c>
      <c r="B3319" t="inlineStr">
        <is>
          <t>SLE</t>
        </is>
      </c>
      <c r="C3319" t="inlineStr">
        <is>
          <t>Vice-President, Newfoundland and Labrador</t>
        </is>
      </c>
      <c r="D3319" t="inlineStr">
        <is>
          <t>Vice-président, Terre-Neuve-et-Labrador</t>
        </is>
      </c>
      <c r="E3319" t="inlineStr">
        <is>
          <t>Paul Mills</t>
        </is>
      </c>
      <c r="F3319" t="inlineStr">
        <is>
          <t xml:space="preserve">To attend the Northern Lights conference </t>
        </is>
      </c>
      <c r="G3319" t="inlineStr">
        <is>
          <t>Assister à la conférence Aurores boréales</t>
        </is>
      </c>
      <c r="H3319" s="1" t="n">
        <v>41668</v>
      </c>
      <c r="I3319" s="1" t="n">
        <v>41670</v>
      </c>
      <c r="J3319" t="inlineStr">
        <is>
          <t>Ottawa, Ontario</t>
        </is>
      </c>
      <c r="K3319" t="inlineStr">
        <is>
          <t>Ottawa (Ontario)</t>
        </is>
      </c>
      <c r="P3319" t="n">
        <v>1376.8</v>
      </c>
      <c r="Q3319" t="n">
        <v>133</v>
      </c>
      <c r="R3319" t="n">
        <v>365.46</v>
      </c>
      <c r="S3319" t="n">
        <v>213.35</v>
      </c>
      <c r="T3319" t="n">
        <v>8.94</v>
      </c>
      <c r="U3319" t="n">
        <v>2097.55</v>
      </c>
      <c r="X3319" t="inlineStr">
        <is>
          <t>acoa-apeca</t>
        </is>
      </c>
      <c r="Y3319" t="inlineStr">
        <is>
          <t>Atlantic Canada Opportunities Agency | Agence de promotion économique du Canada atlantique</t>
        </is>
      </c>
    </row>
    <row r="3320">
      <c r="A3320" t="inlineStr">
        <is>
          <t>T-2014-Q4-00038</t>
        </is>
      </c>
      <c r="B3320" t="inlineStr">
        <is>
          <t>SLE</t>
        </is>
      </c>
      <c r="C3320" t="inlineStr">
        <is>
          <t>Vice-President, Finance and Corporate Services</t>
        </is>
      </c>
      <c r="D3320" t="inlineStr">
        <is>
          <t>Vice-présidente, Finances et Services corporatifs</t>
        </is>
      </c>
      <c r="E3320" t="inlineStr">
        <is>
          <t>Denise Frenette</t>
        </is>
      </c>
      <c r="F3320" t="inlineStr">
        <is>
          <t>Meetings with Government of Canada Officials</t>
        </is>
      </c>
      <c r="G3320" t="inlineStr">
        <is>
          <t>Réunions avec des fonctionnaires du gouvernement du Canada</t>
        </is>
      </c>
      <c r="H3320" s="1" t="n">
        <v>41666</v>
      </c>
      <c r="I3320" s="1" t="n">
        <v>41667</v>
      </c>
      <c r="J3320" t="inlineStr">
        <is>
          <t>Ottawa, Ontario</t>
        </is>
      </c>
      <c r="K3320" t="inlineStr">
        <is>
          <t>Ottawa (Ontario)</t>
        </is>
      </c>
      <c r="P3320" t="n">
        <v>633.53</v>
      </c>
      <c r="Q3320" t="n">
        <v>38.96</v>
      </c>
      <c r="R3320" t="n">
        <v>182.73</v>
      </c>
      <c r="S3320" t="n">
        <v>133.7</v>
      </c>
      <c r="T3320" t="n">
        <v>0</v>
      </c>
      <c r="U3320" t="n">
        <v>988.92</v>
      </c>
      <c r="X3320" t="inlineStr">
        <is>
          <t>acoa-apeca</t>
        </is>
      </c>
      <c r="Y3320" t="inlineStr">
        <is>
          <t>Atlantic Canada Opportunities Agency | Agence de promotion économique du Canada atlantique</t>
        </is>
      </c>
    </row>
    <row r="3321">
      <c r="A3321" t="inlineStr">
        <is>
          <t>T-2014-Q4-00037</t>
        </is>
      </c>
      <c r="B3321" t="inlineStr">
        <is>
          <t>SLE</t>
        </is>
      </c>
      <c r="C3321" t="inlineStr">
        <is>
          <t>Vice-President, Prince Edward Island</t>
        </is>
      </c>
      <c r="D3321" t="inlineStr">
        <is>
          <t>Vice-président, Île-du-Prince-Édouard</t>
        </is>
      </c>
      <c r="E3321" t="inlineStr">
        <is>
          <t>Patrick Dorsey</t>
        </is>
      </c>
      <c r="F3321" t="inlineStr">
        <is>
          <t>Meetings with Government Officials in Ottawa</t>
        </is>
      </c>
      <c r="G3321" t="inlineStr">
        <is>
          <t>Réunions avec des fonctionnaires du gouvernement à Ottawa</t>
        </is>
      </c>
      <c r="H3321" s="1" t="n">
        <v>41666</v>
      </c>
      <c r="I3321" s="1" t="n">
        <v>41668</v>
      </c>
      <c r="J3321" t="inlineStr">
        <is>
          <t>Ottawa, Ontario</t>
        </is>
      </c>
      <c r="K3321" t="inlineStr">
        <is>
          <t>Ottawa (Ontario)</t>
        </is>
      </c>
      <c r="P3321" t="n">
        <v>627.16</v>
      </c>
      <c r="Q3321" t="n">
        <v>85</v>
      </c>
      <c r="R3321" t="n">
        <v>365.46</v>
      </c>
      <c r="S3321" t="n">
        <v>238.95</v>
      </c>
      <c r="T3321" t="n">
        <v>0</v>
      </c>
      <c r="U3321" t="n">
        <v>1316.57</v>
      </c>
      <c r="X3321" t="inlineStr">
        <is>
          <t>acoa-apeca</t>
        </is>
      </c>
      <c r="Y3321" t="inlineStr">
        <is>
          <t>Atlantic Canada Opportunities Agency | Agence de promotion économique du Canada atlantique</t>
        </is>
      </c>
    </row>
    <row r="3322">
      <c r="A3322" t="inlineStr">
        <is>
          <t>T-2014-Q4-00036</t>
        </is>
      </c>
      <c r="B3322" t="inlineStr">
        <is>
          <t>SLE</t>
        </is>
      </c>
      <c r="C3322" t="inlineStr">
        <is>
          <t>President</t>
        </is>
      </c>
      <c r="D3322" t="inlineStr">
        <is>
          <t>Président</t>
        </is>
      </c>
      <c r="E3322" t="inlineStr">
        <is>
          <t>Paul J. LeBlanc</t>
        </is>
      </c>
      <c r="F3322" t="inlineStr">
        <is>
          <t>For various meetings and discussions with: Agency officials; with Government of Canada officials</t>
        </is>
      </c>
      <c r="G3322" t="inlineStr">
        <is>
          <t>Diverses réunions et discussions avec des fonctionnaires de l'Agence et du gouvernement du Canada</t>
        </is>
      </c>
      <c r="H3322" s="1" t="n">
        <v>41666</v>
      </c>
      <c r="I3322" s="1" t="n">
        <v>41669</v>
      </c>
      <c r="J3322" t="inlineStr">
        <is>
          <t>Ottawa, Ontario</t>
        </is>
      </c>
      <c r="K3322" t="inlineStr">
        <is>
          <t>Ottawa (Ontario)</t>
        </is>
      </c>
      <c r="P3322" t="n">
        <v>741.74</v>
      </c>
      <c r="Q3322" t="n">
        <v>0</v>
      </c>
      <c r="R3322" t="n">
        <v>548.1900000000001</v>
      </c>
      <c r="S3322" t="n">
        <v>230</v>
      </c>
      <c r="T3322" t="n">
        <v>0</v>
      </c>
      <c r="U3322" t="n">
        <v>1519.93</v>
      </c>
      <c r="X3322" t="inlineStr">
        <is>
          <t>acoa-apeca</t>
        </is>
      </c>
      <c r="Y3322" t="inlineStr">
        <is>
          <t>Atlantic Canada Opportunities Agency | Agence de promotion économique du Canada atlantique</t>
        </is>
      </c>
    </row>
    <row r="3323">
      <c r="A3323" t="inlineStr">
        <is>
          <t>T-2014-Q4-00032</t>
        </is>
      </c>
      <c r="B3323" t="inlineStr">
        <is>
          <t>SLE</t>
        </is>
      </c>
      <c r="C3323" t="inlineStr">
        <is>
          <t>Vice-President, Prince Edward Island</t>
        </is>
      </c>
      <c r="D3323" t="inlineStr">
        <is>
          <t>Vice-président, Île-du-Prince-Édouard</t>
        </is>
      </c>
      <c r="E3323" t="inlineStr">
        <is>
          <t>Patrick Dorsey</t>
        </is>
      </c>
      <c r="F3323" t="inlineStr">
        <is>
          <t>Meetings with Government Officials in Ottawa</t>
        </is>
      </c>
      <c r="G3323" t="inlineStr">
        <is>
          <t>Réunions avec des fonctionnaires du gouvernement à Ottawa</t>
        </is>
      </c>
      <c r="H3323" s="1" t="n">
        <v>41660</v>
      </c>
      <c r="I3323" s="1" t="n">
        <v>41663</v>
      </c>
      <c r="J3323" t="inlineStr">
        <is>
          <t>Ottawa, Ontario</t>
        </is>
      </c>
      <c r="K3323" t="inlineStr">
        <is>
          <t>Ottawa (Ontario)</t>
        </is>
      </c>
      <c r="P3323" t="n">
        <v>756.64</v>
      </c>
      <c r="Q3323" t="n">
        <v>94</v>
      </c>
      <c r="R3323" t="n">
        <v>548.1900000000001</v>
      </c>
      <c r="S3323" t="n">
        <v>241.15</v>
      </c>
      <c r="T3323" t="n">
        <v>0</v>
      </c>
      <c r="U3323" t="n">
        <v>1639.98</v>
      </c>
      <c r="X3323" t="inlineStr">
        <is>
          <t>acoa-apeca</t>
        </is>
      </c>
      <c r="Y3323" t="inlineStr">
        <is>
          <t>Atlantic Canada Opportunities Agency | Agence de promotion économique du Canada atlantique</t>
        </is>
      </c>
    </row>
    <row r="3324">
      <c r="A3324" t="inlineStr">
        <is>
          <t>T-2014-Q4-00031</t>
        </is>
      </c>
      <c r="B3324" t="inlineStr">
        <is>
          <t>SLE</t>
        </is>
      </c>
      <c r="C3324" t="inlineStr">
        <is>
          <t>Vice President, Nova Scotia</t>
        </is>
      </c>
      <c r="D3324" t="inlineStr">
        <is>
          <t>Vice-président, Nouvelle-Écosse</t>
        </is>
      </c>
      <c r="E3324" t="inlineStr">
        <is>
          <t>Peter Hogan</t>
        </is>
      </c>
      <c r="F3324" t="inlineStr">
        <is>
          <t xml:space="preserve">Various Meetings with Government of Canada and Agency Officials </t>
        </is>
      </c>
      <c r="G3324" t="inlineStr">
        <is>
          <t>Diverses réunions avec des fonctionnaires du gouvernement du Canada et de l'Agence</t>
        </is>
      </c>
      <c r="H3324" s="1" t="n">
        <v>41659</v>
      </c>
      <c r="I3324" s="1" t="n">
        <v>41663</v>
      </c>
      <c r="J3324" t="inlineStr">
        <is>
          <t>Ottawa, Ontario</t>
        </is>
      </c>
      <c r="K3324" t="inlineStr">
        <is>
          <t>Ottawa (Ontario)</t>
        </is>
      </c>
      <c r="P3324" t="n">
        <v>1179.19</v>
      </c>
      <c r="Q3324" t="n">
        <v>229.4</v>
      </c>
      <c r="R3324" t="n">
        <v>730.92</v>
      </c>
      <c r="S3324" t="n">
        <v>347.7</v>
      </c>
      <c r="T3324" t="n">
        <v>0</v>
      </c>
      <c r="U3324" t="n">
        <v>2487.21</v>
      </c>
      <c r="X3324" t="inlineStr">
        <is>
          <t>acoa-apeca</t>
        </is>
      </c>
      <c r="Y3324" t="inlineStr">
        <is>
          <t>Atlantic Canada Opportunities Agency | Agence de promotion économique du Canada atlantique</t>
        </is>
      </c>
    </row>
    <row r="3325">
      <c r="A3325" t="inlineStr">
        <is>
          <t>T-2014-Q4-00030</t>
        </is>
      </c>
      <c r="B3325" t="inlineStr">
        <is>
          <t>SLE</t>
        </is>
      </c>
      <c r="C3325" t="inlineStr">
        <is>
          <t>Vice-President, New Brunswick</t>
        </is>
      </c>
      <c r="D3325" t="inlineStr">
        <is>
          <t>Vice-président, Nouveau-Brunswick</t>
        </is>
      </c>
      <c r="E3325" t="inlineStr">
        <is>
          <t>Kent Estabrooks</t>
        </is>
      </c>
      <c r="F3325" t="inlineStr">
        <is>
          <t>Meeting with various Federal Officials in Ottawa</t>
        </is>
      </c>
      <c r="G3325" t="inlineStr">
        <is>
          <t>Réunion avec divers fonctionnaires fédéraux à Ottawa</t>
        </is>
      </c>
      <c r="H3325" s="1" t="n">
        <v>41659</v>
      </c>
      <c r="I3325" s="1" t="n">
        <v>41663</v>
      </c>
      <c r="J3325" t="inlineStr">
        <is>
          <t>Ottawa, Ontario</t>
        </is>
      </c>
      <c r="K3325" t="inlineStr">
        <is>
          <t>Ottawa (Ontario)</t>
        </is>
      </c>
      <c r="P3325" t="n">
        <v>892.7</v>
      </c>
      <c r="Q3325" t="n">
        <v>154.25</v>
      </c>
      <c r="R3325" t="n">
        <v>730.92</v>
      </c>
      <c r="S3325" t="n">
        <v>284.7</v>
      </c>
      <c r="T3325" t="n">
        <v>0</v>
      </c>
      <c r="U3325" t="n">
        <v>2062.57</v>
      </c>
      <c r="X3325" t="inlineStr">
        <is>
          <t>acoa-apeca</t>
        </is>
      </c>
      <c r="Y3325" t="inlineStr">
        <is>
          <t>Atlantic Canada Opportunities Agency | Agence de promotion économique du Canada atlantique</t>
        </is>
      </c>
    </row>
    <row r="3326">
      <c r="A3326" t="inlineStr">
        <is>
          <t>T-2014-Q4-00029</t>
        </is>
      </c>
      <c r="B3326" t="inlineStr">
        <is>
          <t>MPSES</t>
        </is>
      </c>
      <c r="C3326" t="inlineStr">
        <is>
          <t>Executive Assistant</t>
        </is>
      </c>
      <c r="D3326" t="inlineStr">
        <is>
          <t>Adjoint exécutif</t>
        </is>
      </c>
      <c r="E3326" t="inlineStr">
        <is>
          <t>Josh Hardy</t>
        </is>
      </c>
      <c r="F3326" t="inlineStr">
        <is>
          <t>Travel on Government business</t>
        </is>
      </c>
      <c r="G3326" t="inlineStr">
        <is>
          <t>Voyage pour le compte du gouvernement</t>
        </is>
      </c>
      <c r="H3326" s="1" t="n">
        <v>41659</v>
      </c>
      <c r="I3326" s="1" t="n">
        <v>41663</v>
      </c>
      <c r="J3326" t="inlineStr">
        <is>
          <t>Moncton and Hampton, New Brunswick</t>
        </is>
      </c>
      <c r="K3326" t="inlineStr">
        <is>
          <t>Moncton et Hampton (Nouveau-Brunswick)</t>
        </is>
      </c>
      <c r="P3326" t="n">
        <v>0</v>
      </c>
      <c r="Q3326" t="n">
        <v>236.87</v>
      </c>
      <c r="R3326" t="n">
        <v>0</v>
      </c>
      <c r="S3326" t="n">
        <v>15.1</v>
      </c>
      <c r="T3326" t="n">
        <v>0</v>
      </c>
      <c r="U3326" t="n">
        <v>251.97</v>
      </c>
      <c r="X3326" t="inlineStr">
        <is>
          <t>acoa-apeca</t>
        </is>
      </c>
      <c r="Y3326" t="inlineStr">
        <is>
          <t>Atlantic Canada Opportunities Agency | Agence de promotion économique du Canada atlantique</t>
        </is>
      </c>
    </row>
    <row r="3327">
      <c r="A3327" t="inlineStr">
        <is>
          <t>T-2014-Q4-00028</t>
        </is>
      </c>
      <c r="B3327" t="inlineStr">
        <is>
          <t>MPSES</t>
        </is>
      </c>
      <c r="C3327" t="inlineStr">
        <is>
          <t>Minister of State</t>
        </is>
      </c>
      <c r="D3327" t="inlineStr">
        <is>
          <t>Ministre d'État</t>
        </is>
      </c>
      <c r="E3327" t="inlineStr">
        <is>
          <t>Rob Moore</t>
        </is>
      </c>
      <c r="F3327" t="inlineStr">
        <is>
          <t>Travel to attend Government of Canada announcement, pre-budget consultation and Canada 150 consultation</t>
        </is>
      </c>
      <c r="G3327" t="inlineStr">
        <is>
          <t>Annonce du gouvernement du Canada, consultation prébudgétaire et consultation sur Canada 150</t>
        </is>
      </c>
      <c r="H3327" s="1" t="n">
        <v>41659</v>
      </c>
      <c r="I3327" s="1" t="n">
        <v>41659</v>
      </c>
      <c r="J3327" t="inlineStr">
        <is>
          <t>Riverview, Sussex and Hampton, New Brunswick</t>
        </is>
      </c>
      <c r="K3327" t="inlineStr">
        <is>
          <t>Riverview, Sussex et Hampton (Nouveau-Brunswick)</t>
        </is>
      </c>
      <c r="P3327" t="n">
        <v>0</v>
      </c>
      <c r="Q3327" t="n">
        <v>137.12</v>
      </c>
      <c r="R3327" t="n">
        <v>0</v>
      </c>
      <c r="S3327" t="n">
        <v>30.85</v>
      </c>
      <c r="T3327" t="n">
        <v>0</v>
      </c>
      <c r="U3327" t="n">
        <v>167.97</v>
      </c>
      <c r="X3327" t="inlineStr">
        <is>
          <t>acoa-apeca</t>
        </is>
      </c>
      <c r="Y3327" t="inlineStr">
        <is>
          <t>Atlantic Canada Opportunities Agency | Agence de promotion économique du Canada atlantique</t>
        </is>
      </c>
    </row>
    <row r="3328">
      <c r="A3328" t="inlineStr">
        <is>
          <t>T-2014-Q4-00027</t>
        </is>
      </c>
      <c r="B3328" t="inlineStr">
        <is>
          <t>SLE</t>
        </is>
      </c>
      <c r="C3328" t="inlineStr">
        <is>
          <t>Vice-President, Newfoundland and Labrador</t>
        </is>
      </c>
      <c r="D3328" t="inlineStr">
        <is>
          <t>Vice-président, Terre-Neuve-et-Labrador</t>
        </is>
      </c>
      <c r="E3328" t="inlineStr">
        <is>
          <t>Paul Mills</t>
        </is>
      </c>
      <c r="F3328" t="inlineStr">
        <is>
          <t xml:space="preserve">2014 ADM Forum </t>
        </is>
      </c>
      <c r="G3328" t="inlineStr">
        <is>
          <t>Forum des SMA 2014</t>
        </is>
      </c>
      <c r="H3328" s="1" t="n">
        <v>41659</v>
      </c>
      <c r="I3328" s="1" t="n">
        <v>41662</v>
      </c>
      <c r="J3328" t="inlineStr">
        <is>
          <t>Ottawa, Ontario</t>
        </is>
      </c>
      <c r="K3328" t="inlineStr">
        <is>
          <t>Ottawa (Ontario)</t>
        </is>
      </c>
      <c r="P3328" t="n">
        <v>1376.74</v>
      </c>
      <c r="Q3328" t="n">
        <v>190</v>
      </c>
      <c r="R3328" t="n">
        <v>540.22</v>
      </c>
      <c r="S3328" t="n">
        <v>314.65</v>
      </c>
      <c r="T3328" t="n">
        <v>11.74</v>
      </c>
      <c r="U3328" t="n">
        <v>2433.35</v>
      </c>
      <c r="X3328" t="inlineStr">
        <is>
          <t>acoa-apeca</t>
        </is>
      </c>
      <c r="Y3328" t="inlineStr">
        <is>
          <t>Atlantic Canada Opportunities Agency | Agence de promotion économique du Canada atlantique</t>
        </is>
      </c>
    </row>
    <row r="3329">
      <c r="A3329" t="inlineStr">
        <is>
          <t>T-2014-Q4-00026</t>
        </is>
      </c>
      <c r="B3329" t="inlineStr">
        <is>
          <t>SLE</t>
        </is>
      </c>
      <c r="C3329" t="inlineStr">
        <is>
          <t>Vice President, Nova Scotia</t>
        </is>
      </c>
      <c r="D3329" t="inlineStr">
        <is>
          <t>Vice-président, Nouvelle-Écosse</t>
        </is>
      </c>
      <c r="E3329" t="inlineStr">
        <is>
          <t>Peter Hogan</t>
        </is>
      </c>
      <c r="F3329" t="inlineStr">
        <is>
          <t>Various Client and Site Visits</t>
        </is>
      </c>
      <c r="G3329" t="inlineStr">
        <is>
          <t>Diverses réunions avec des clients et visites sur place</t>
        </is>
      </c>
      <c r="H3329" s="1" t="n">
        <v>41653</v>
      </c>
      <c r="I3329" s="1" t="n">
        <v>41653</v>
      </c>
      <c r="J3329" t="inlineStr">
        <is>
          <t>Lunenburg, Nova Scotia</t>
        </is>
      </c>
      <c r="K3329" t="inlineStr">
        <is>
          <t>Lunenburg (Nouvelle-Écosse)</t>
        </is>
      </c>
      <c r="P3329" t="n">
        <v>0</v>
      </c>
      <c r="Q3329" t="n">
        <v>109.14</v>
      </c>
      <c r="R3329" t="n">
        <v>0</v>
      </c>
      <c r="S3329" t="n">
        <v>15.1</v>
      </c>
      <c r="T3329" t="n">
        <v>0</v>
      </c>
      <c r="U3329" t="n">
        <v>124.24</v>
      </c>
      <c r="X3329" t="inlineStr">
        <is>
          <t>acoa-apeca</t>
        </is>
      </c>
      <c r="Y3329" t="inlineStr">
        <is>
          <t>Atlantic Canada Opportunities Agency | Agence de promotion économique du Canada atlantique</t>
        </is>
      </c>
    </row>
    <row r="3330">
      <c r="A3330" t="inlineStr">
        <is>
          <t>T-2014-Q4-00025</t>
        </is>
      </c>
      <c r="B3330" t="inlineStr">
        <is>
          <t>MPSES</t>
        </is>
      </c>
      <c r="C3330" t="inlineStr">
        <is>
          <t>Chief of Staff</t>
        </is>
      </c>
      <c r="D3330" t="inlineStr">
        <is>
          <t>Chef de cabinet</t>
        </is>
      </c>
      <c r="E3330" t="inlineStr">
        <is>
          <t>Shane Bourke</t>
        </is>
      </c>
      <c r="F3330" t="inlineStr">
        <is>
          <t>Travel on Government business</t>
        </is>
      </c>
      <c r="G3330" t="inlineStr">
        <is>
          <t>Voyage pour le compte du gouvernement</t>
        </is>
      </c>
      <c r="H3330" s="1" t="n">
        <v>41653</v>
      </c>
      <c r="I3330" s="1" t="n">
        <v>41655</v>
      </c>
      <c r="J3330" t="inlineStr">
        <is>
          <t>St. John's, Newfoundland and Labrador</t>
        </is>
      </c>
      <c r="K3330" t="inlineStr">
        <is>
          <t>St. John's (Terre-Neuve-et-Labrador)</t>
        </is>
      </c>
      <c r="P3330" t="n">
        <v>1182.66</v>
      </c>
      <c r="Q3330" t="n">
        <v>63</v>
      </c>
      <c r="R3330" t="n">
        <v>319.83</v>
      </c>
      <c r="S3330" t="n">
        <v>99.75</v>
      </c>
      <c r="T3330" t="n">
        <v>0</v>
      </c>
      <c r="U3330" t="n">
        <v>1665.24</v>
      </c>
      <c r="X3330" t="inlineStr">
        <is>
          <t>acoa-apeca</t>
        </is>
      </c>
      <c r="Y3330" t="inlineStr">
        <is>
          <t>Atlantic Canada Opportunities Agency | Agence de promotion économique du Canada atlantique</t>
        </is>
      </c>
    </row>
    <row r="3331">
      <c r="A3331" t="inlineStr">
        <is>
          <t>T-2014-Q4-00024</t>
        </is>
      </c>
      <c r="B3331" t="inlineStr">
        <is>
          <t>SLE</t>
        </is>
      </c>
      <c r="C3331" t="inlineStr">
        <is>
          <t>President</t>
        </is>
      </c>
      <c r="D3331" t="inlineStr">
        <is>
          <t>Président</t>
        </is>
      </c>
      <c r="E3331" t="inlineStr">
        <is>
          <t>Paul J. LeBlanc</t>
        </is>
      </c>
      <c r="F3331" t="inlineStr">
        <is>
          <t>For meetings and discussions with various Agency officials and key stakeholders</t>
        </is>
      </c>
      <c r="G3331" t="inlineStr">
        <is>
          <t>Réunions et discussions avec divers fonctionnaires de l'Agence et intervenants clés</t>
        </is>
      </c>
      <c r="H3331" s="1" t="n">
        <v>41653</v>
      </c>
      <c r="I3331" s="1" t="n">
        <v>41654</v>
      </c>
      <c r="J3331" t="inlineStr">
        <is>
          <t>St. John's, Newfoundland and Labrador</t>
        </is>
      </c>
      <c r="K3331" t="inlineStr">
        <is>
          <t>St. John's (Terre-Neuve-et-Labrador)</t>
        </is>
      </c>
      <c r="P3331" t="n">
        <v>1114.36</v>
      </c>
      <c r="Q3331" t="n">
        <v>30</v>
      </c>
      <c r="R3331" t="n">
        <v>156.78</v>
      </c>
      <c r="S3331" t="n">
        <v>149.45</v>
      </c>
      <c r="T3331" t="n">
        <v>146</v>
      </c>
      <c r="U3331" t="n">
        <v>1596.59</v>
      </c>
      <c r="X3331" t="inlineStr">
        <is>
          <t>acoa-apeca</t>
        </is>
      </c>
      <c r="Y3331" t="inlineStr">
        <is>
          <t>Atlantic Canada Opportunities Agency | Agence de promotion économique du Canada atlantique</t>
        </is>
      </c>
    </row>
    <row r="3332">
      <c r="A3332" t="inlineStr">
        <is>
          <t>T-2014-Q4-00023</t>
        </is>
      </c>
      <c r="B3332" t="inlineStr">
        <is>
          <t>SLE</t>
        </is>
      </c>
      <c r="C3332" t="inlineStr">
        <is>
          <t>Vice-President, Finance and Corporate Services</t>
        </is>
      </c>
      <c r="D3332" t="inlineStr">
        <is>
          <t>Vice-présidente, Finances et Services corporatifs</t>
        </is>
      </c>
      <c r="E3332" t="inlineStr">
        <is>
          <t>Denise Frenette</t>
        </is>
      </c>
      <c r="F3332" t="inlineStr">
        <is>
          <t>Meeting with Agency Officials</t>
        </is>
      </c>
      <c r="G3332" t="inlineStr">
        <is>
          <t>Réunion avec des fonctionnaires de l'Agence</t>
        </is>
      </c>
      <c r="H3332" s="1" t="n">
        <v>41652</v>
      </c>
      <c r="I3332" s="1" t="n">
        <v>41712</v>
      </c>
      <c r="J3332" t="inlineStr">
        <is>
          <t>Ottawa, Ontario</t>
        </is>
      </c>
      <c r="K3332" t="inlineStr">
        <is>
          <t>Ottawa (Ontario)</t>
        </is>
      </c>
      <c r="P3332" t="n">
        <v>458.16</v>
      </c>
      <c r="Q3332" t="n">
        <v>0</v>
      </c>
      <c r="R3332" t="n">
        <v>182.73</v>
      </c>
      <c r="S3332" t="n">
        <v>118.6</v>
      </c>
      <c r="T3332" t="n">
        <v>32.13</v>
      </c>
      <c r="U3332" t="n">
        <v>791.62</v>
      </c>
      <c r="X3332" t="inlineStr">
        <is>
          <t>acoa-apeca</t>
        </is>
      </c>
      <c r="Y3332" t="inlineStr">
        <is>
          <t>Atlantic Canada Opportunities Agency | Agence de promotion économique du Canada atlantique</t>
        </is>
      </c>
    </row>
    <row r="3333">
      <c r="A3333" t="inlineStr">
        <is>
          <t>T-2014-Q4-00022</t>
        </is>
      </c>
      <c r="B3333" t="inlineStr">
        <is>
          <t>MPSES</t>
        </is>
      </c>
      <c r="C3333" t="inlineStr">
        <is>
          <t>Executive Assistant</t>
        </is>
      </c>
      <c r="D3333" t="inlineStr">
        <is>
          <t>Adjoint exécutif</t>
        </is>
      </c>
      <c r="E3333" t="inlineStr">
        <is>
          <t>Josh Hardy</t>
        </is>
      </c>
      <c r="F3333" t="inlineStr">
        <is>
          <t>Travel on Government business</t>
        </is>
      </c>
      <c r="G3333" t="inlineStr">
        <is>
          <t>Voyage pour le compte du gouvernement</t>
        </is>
      </c>
      <c r="H3333" s="1" t="n">
        <v>41652</v>
      </c>
      <c r="I3333" s="1" t="n">
        <v>41656</v>
      </c>
      <c r="J3333" t="inlineStr">
        <is>
          <t>Halifax and Lunenburg, Nova Scotia</t>
        </is>
      </c>
      <c r="K3333" t="inlineStr">
        <is>
          <t>Halifax et Lunenburg (Nouvelle-Écosse)</t>
        </is>
      </c>
      <c r="P3333" t="n">
        <v>0</v>
      </c>
      <c r="Q3333" t="n">
        <v>516.4</v>
      </c>
      <c r="R3333" t="n">
        <v>163.05</v>
      </c>
      <c r="S3333" t="n">
        <v>99.75</v>
      </c>
      <c r="T3333" t="n">
        <v>0</v>
      </c>
      <c r="U3333" t="n">
        <v>779.2</v>
      </c>
      <c r="X3333" t="inlineStr">
        <is>
          <t>acoa-apeca</t>
        </is>
      </c>
      <c r="Y3333" t="inlineStr">
        <is>
          <t>Atlantic Canada Opportunities Agency | Agence de promotion économique du Canada atlantique</t>
        </is>
      </c>
    </row>
    <row r="3334">
      <c r="A3334" t="inlineStr">
        <is>
          <t>T-2014-Q4-00021</t>
        </is>
      </c>
      <c r="B3334" t="inlineStr">
        <is>
          <t>MPSES</t>
        </is>
      </c>
      <c r="C3334" t="inlineStr">
        <is>
          <t>Minister of State</t>
        </is>
      </c>
      <c r="D3334" t="inlineStr">
        <is>
          <t>Ministre d'État</t>
        </is>
      </c>
      <c r="E3334" t="inlineStr">
        <is>
          <t>Rob Moore</t>
        </is>
      </c>
      <c r="F3334" t="inlineStr">
        <is>
          <t>Travel to attend Government of Canada announcement, pre-budget consultations, speech to St. John’s Board of Trade and various meetings relating to Atlantic Canada Opportunities Agency</t>
        </is>
      </c>
      <c r="G3334" t="inlineStr">
        <is>
          <t>Annonce du gouvernement du Canada, consultations prébudgétaires, allocution à la Chambre de commerce de St. John's et diverses réunions se rapportant à l'Agence de promotion économique du Canada atlantique</t>
        </is>
      </c>
      <c r="H3334" s="1" t="n">
        <v>41652</v>
      </c>
      <c r="I3334" s="1" t="n">
        <v>41654</v>
      </c>
      <c r="J3334" t="inlineStr">
        <is>
          <t>Lunenburg and Halifax, Nova Scotia and St. John's, Newfoundland</t>
        </is>
      </c>
      <c r="K3334" t="inlineStr">
        <is>
          <t>Lunenburg et Halifax (Nouvelle-Écosse) et St. John's (Terre-Neuve-et-Labrador)</t>
        </is>
      </c>
      <c r="P3334" t="n">
        <v>1461.7</v>
      </c>
      <c r="Q3334" t="n">
        <v>10.4</v>
      </c>
      <c r="R3334" t="n">
        <v>319.83</v>
      </c>
      <c r="S3334" t="n">
        <v>108.1</v>
      </c>
      <c r="T3334" t="n">
        <v>0</v>
      </c>
      <c r="U3334" t="n">
        <v>1900.03</v>
      </c>
      <c r="X3334" t="inlineStr">
        <is>
          <t>acoa-apeca</t>
        </is>
      </c>
      <c r="Y3334" t="inlineStr">
        <is>
          <t>Atlantic Canada Opportunities Agency | Agence de promotion économique du Canada atlantique</t>
        </is>
      </c>
    </row>
    <row r="3335">
      <c r="A3335" t="inlineStr">
        <is>
          <t>T-2014-Q4-00020</t>
        </is>
      </c>
      <c r="B3335" t="inlineStr">
        <is>
          <t>SLE</t>
        </is>
      </c>
      <c r="C3335" t="inlineStr">
        <is>
          <t>Vice-President, Policy and Programs</t>
        </is>
      </c>
      <c r="D3335" t="inlineStr">
        <is>
          <t>Vice-président, Politiques et Programmes</t>
        </is>
      </c>
      <c r="E3335" t="inlineStr">
        <is>
          <t>Daryell Nowlan</t>
        </is>
      </c>
      <c r="F3335" t="inlineStr">
        <is>
          <t>Meetings with Government of Canada officials</t>
        </is>
      </c>
      <c r="G3335" t="inlineStr">
        <is>
          <t>Réunions avec des fonctionnaires du gouvernement du Canada</t>
        </is>
      </c>
      <c r="H3335" s="1" t="n">
        <v>41652</v>
      </c>
      <c r="I3335" s="1" t="n">
        <v>41654</v>
      </c>
      <c r="J3335" t="inlineStr">
        <is>
          <t>Ottawa, Ontario</t>
        </is>
      </c>
      <c r="K3335" t="inlineStr">
        <is>
          <t>Ottawa (Ontario)</t>
        </is>
      </c>
      <c r="P3335" t="n">
        <v>790</v>
      </c>
      <c r="Q3335" t="n">
        <v>79.90000000000001</v>
      </c>
      <c r="R3335" t="n">
        <v>365.46</v>
      </c>
      <c r="S3335" t="n">
        <v>193</v>
      </c>
      <c r="T3335" t="n">
        <v>0</v>
      </c>
      <c r="U3335" t="n">
        <v>1428.36</v>
      </c>
      <c r="X3335" t="inlineStr">
        <is>
          <t>acoa-apeca</t>
        </is>
      </c>
      <c r="Y3335" t="inlineStr">
        <is>
          <t>Atlantic Canada Opportunities Agency | Agence de promotion économique du Canada atlantique</t>
        </is>
      </c>
    </row>
    <row r="3336">
      <c r="A3336" t="inlineStr">
        <is>
          <t>T-2014-Q4-00019</t>
        </is>
      </c>
      <c r="B3336" t="inlineStr">
        <is>
          <t>MPSES</t>
        </is>
      </c>
      <c r="C3336" t="inlineStr">
        <is>
          <t>Minister of State</t>
        </is>
      </c>
      <c r="D3336" t="inlineStr">
        <is>
          <t>Ministre d'État</t>
        </is>
      </c>
      <c r="E3336" t="inlineStr">
        <is>
          <t>Rob Moore</t>
        </is>
      </c>
      <c r="F3336" t="inlineStr">
        <is>
          <t>Travel to attend Government of Canada announcement, speech to Greater Charlottetown Area Chamber of Commerce and stakeholder roundtable</t>
        </is>
      </c>
      <c r="G3336" t="inlineStr">
        <is>
          <t>Annonce du gouvernement du Canada, allocution à la Chambre de commerce du Grand Charlottetown et table ronde avec des intervenants</t>
        </is>
      </c>
      <c r="H3336" s="1" t="n">
        <v>41649</v>
      </c>
      <c r="I3336" s="1" t="n">
        <v>41649</v>
      </c>
      <c r="J3336" t="inlineStr">
        <is>
          <t>Charlottetown, Prince Edward Island</t>
        </is>
      </c>
      <c r="K3336" t="inlineStr">
        <is>
          <t>Charlottetown (Île-du-Prince-Édouard)</t>
        </is>
      </c>
      <c r="P3336" t="n">
        <v>0</v>
      </c>
      <c r="Q3336" t="n">
        <v>105.93</v>
      </c>
      <c r="R3336" t="n">
        <v>0</v>
      </c>
      <c r="S3336" t="n">
        <v>57.75</v>
      </c>
      <c r="T3336" t="n">
        <v>0</v>
      </c>
      <c r="U3336" t="n">
        <v>163.68</v>
      </c>
      <c r="X3336" t="inlineStr">
        <is>
          <t>acoa-apeca</t>
        </is>
      </c>
      <c r="Y3336" t="inlineStr">
        <is>
          <t>Atlantic Canada Opportunities Agency | Agence de promotion économique du Canada atlantique</t>
        </is>
      </c>
    </row>
    <row r="3337">
      <c r="A3337" t="inlineStr">
        <is>
          <t>T-2014-Q4-00018</t>
        </is>
      </c>
      <c r="B3337" t="inlineStr">
        <is>
          <t>SLE</t>
        </is>
      </c>
      <c r="C3337" t="inlineStr">
        <is>
          <t>President</t>
        </is>
      </c>
      <c r="D3337" t="inlineStr">
        <is>
          <t>Président</t>
        </is>
      </c>
      <c r="E3337" t="inlineStr">
        <is>
          <t>Paul J. LeBlanc</t>
        </is>
      </c>
      <c r="F3337" t="inlineStr">
        <is>
          <t>For meeting with various key stakeholders</t>
        </is>
      </c>
      <c r="G3337" t="inlineStr">
        <is>
          <t>Réunion avec divers intervenants clés</t>
        </is>
      </c>
      <c r="H3337" s="1" t="n">
        <v>41649</v>
      </c>
      <c r="I3337" s="1" t="n">
        <v>41649</v>
      </c>
      <c r="J3337" t="inlineStr">
        <is>
          <t>Charlottetown, Prince Edward Island</t>
        </is>
      </c>
      <c r="K3337" t="inlineStr">
        <is>
          <t>Charlottetown (Île-du-Prince-Édouard)</t>
        </is>
      </c>
      <c r="P3337" t="n">
        <v>0</v>
      </c>
      <c r="Q3337" t="n">
        <v>0</v>
      </c>
      <c r="R3337" t="n">
        <v>0</v>
      </c>
      <c r="S3337" t="n">
        <v>15.1</v>
      </c>
      <c r="T3337" t="n">
        <v>0</v>
      </c>
      <c r="U3337" t="n">
        <v>15.1</v>
      </c>
      <c r="X3337" t="inlineStr">
        <is>
          <t>acoa-apeca</t>
        </is>
      </c>
      <c r="Y3337" t="inlineStr">
        <is>
          <t>Atlantic Canada Opportunities Agency | Agence de promotion économique du Canada atlantique</t>
        </is>
      </c>
    </row>
    <row r="3338">
      <c r="A3338" t="inlineStr">
        <is>
          <t>T-2014-Q4-00017</t>
        </is>
      </c>
      <c r="B3338" t="inlineStr">
        <is>
          <t>MPSES</t>
        </is>
      </c>
      <c r="C3338" t="inlineStr">
        <is>
          <t>Minister of State</t>
        </is>
      </c>
      <c r="D3338" t="inlineStr">
        <is>
          <t>Ministre d'État</t>
        </is>
      </c>
      <c r="E3338" t="inlineStr">
        <is>
          <t>Rob Moore</t>
        </is>
      </c>
      <c r="F3338" t="inlineStr">
        <is>
          <t>Travel to attend Apex Industries site tour, meeting with Greater Moncton Sewerage Commission, meeting with Atlantic Canada Opportunities Agency officials and stakeholder roundtable</t>
        </is>
      </c>
      <c r="G3338" t="inlineStr">
        <is>
          <t>Visite des installations d'Apex Industries, réunion avec la Commission d'épuration des eaux usées du Grand Moncton, réunion avec des fonctionnaires de l'Agence de promotion économique du Canada atlantique et table ronde avec des intervenants</t>
        </is>
      </c>
      <c r="H3338" s="1" t="n">
        <v>41648</v>
      </c>
      <c r="I3338" s="1" t="n">
        <v>41648</v>
      </c>
      <c r="J3338" t="inlineStr">
        <is>
          <t>Moncton, New Brunswick</t>
        </is>
      </c>
      <c r="K3338" t="inlineStr">
        <is>
          <t>Moncton (Nouveau-Brunswick)</t>
        </is>
      </c>
      <c r="P3338" t="n">
        <v>0</v>
      </c>
      <c r="Q3338" t="n">
        <v>105.93</v>
      </c>
      <c r="R3338" t="n">
        <v>0</v>
      </c>
      <c r="S3338" t="n">
        <v>57.1</v>
      </c>
      <c r="T3338" t="n">
        <v>0</v>
      </c>
      <c r="U3338" t="n">
        <v>163.03</v>
      </c>
      <c r="X3338" t="inlineStr">
        <is>
          <t>acoa-apeca</t>
        </is>
      </c>
      <c r="Y3338" t="inlineStr">
        <is>
          <t>Atlantic Canada Opportunities Agency | Agence de promotion économique du Canada atlantique</t>
        </is>
      </c>
    </row>
    <row r="3339">
      <c r="A3339" t="inlineStr">
        <is>
          <t>T-2014-Q4-00016</t>
        </is>
      </c>
      <c r="B3339" t="inlineStr">
        <is>
          <t>MPSES</t>
        </is>
      </c>
      <c r="C3339" t="inlineStr">
        <is>
          <t>Chief of Staff</t>
        </is>
      </c>
      <c r="D3339" t="inlineStr">
        <is>
          <t>Chef de cabinet</t>
        </is>
      </c>
      <c r="E3339" t="inlineStr">
        <is>
          <t>Shane Bourke</t>
        </is>
      </c>
      <c r="F3339" t="inlineStr">
        <is>
          <t>Travel on Government business</t>
        </is>
      </c>
      <c r="G3339" t="inlineStr">
        <is>
          <t>Voyage pour le compte du gouvernement</t>
        </is>
      </c>
      <c r="H3339" s="1" t="n">
        <v>41647</v>
      </c>
      <c r="I3339" s="1" t="n">
        <v>41648</v>
      </c>
      <c r="J3339" t="inlineStr">
        <is>
          <t>Moncton, New Brunswick</t>
        </is>
      </c>
      <c r="K3339" t="inlineStr">
        <is>
          <t>Moncton (Nouveau-Brunswick)</t>
        </is>
      </c>
      <c r="P3339" t="n">
        <v>685.78</v>
      </c>
      <c r="Q3339" t="n">
        <v>75</v>
      </c>
      <c r="R3339" t="n">
        <v>113</v>
      </c>
      <c r="S3339" t="n">
        <v>107.45</v>
      </c>
      <c r="T3339" t="n">
        <v>0</v>
      </c>
      <c r="U3339" t="n">
        <v>981.23</v>
      </c>
      <c r="X3339" t="inlineStr">
        <is>
          <t>acoa-apeca</t>
        </is>
      </c>
      <c r="Y3339" t="inlineStr">
        <is>
          <t>Atlantic Canada Opportunities Agency | Agence de promotion économique du Canada atlantique</t>
        </is>
      </c>
    </row>
    <row r="3340">
      <c r="A3340" t="inlineStr">
        <is>
          <t>T-2014-Q4-00014</t>
        </is>
      </c>
      <c r="B3340" t="inlineStr">
        <is>
          <t>MPSES</t>
        </is>
      </c>
      <c r="C3340" t="inlineStr">
        <is>
          <t>Executive Assistant</t>
        </is>
      </c>
      <c r="D3340" t="inlineStr">
        <is>
          <t>Adjoint exécutif</t>
        </is>
      </c>
      <c r="E3340" t="inlineStr">
        <is>
          <t>Josh Hardy</t>
        </is>
      </c>
      <c r="F3340" t="inlineStr">
        <is>
          <t>Travel on Government business</t>
        </is>
      </c>
      <c r="G3340" t="inlineStr">
        <is>
          <t>Voyage pour le compte du gouvernement</t>
        </is>
      </c>
      <c r="H3340" s="1" t="n">
        <v>41645</v>
      </c>
      <c r="I3340" s="1" t="n">
        <v>41650</v>
      </c>
      <c r="J3340" t="inlineStr">
        <is>
          <t>Moncton, New Brunswick and Charlottetown, Prince Edward Island</t>
        </is>
      </c>
      <c r="K3340" t="inlineStr">
        <is>
          <t>Moncton (Nouveau-Brunswick) et Charlottetown (Île-du-Prince-Édouard)</t>
        </is>
      </c>
      <c r="P3340" t="n">
        <v>0</v>
      </c>
      <c r="Q3340" t="n">
        <v>340.89</v>
      </c>
      <c r="R3340" t="n">
        <v>0</v>
      </c>
      <c r="S3340" t="n">
        <v>72.84999999999999</v>
      </c>
      <c r="T3340" t="n">
        <v>0</v>
      </c>
      <c r="U3340" t="n">
        <v>413.74</v>
      </c>
      <c r="X3340" t="inlineStr">
        <is>
          <t>acoa-apeca</t>
        </is>
      </c>
      <c r="Y3340" t="inlineStr">
        <is>
          <t>Atlantic Canada Opportunities Agency | Agence de promotion économique du Canada atlantique</t>
        </is>
      </c>
    </row>
    <row r="3341">
      <c r="A3341" t="inlineStr">
        <is>
          <t>T-2014-Q4-00013</t>
        </is>
      </c>
      <c r="B3341" t="inlineStr">
        <is>
          <t>SLE</t>
        </is>
      </c>
      <c r="C3341" t="inlineStr">
        <is>
          <t>Vice-President, Newfoundland and Labrador</t>
        </is>
      </c>
      <c r="D3341" t="inlineStr">
        <is>
          <t>Vice-président, Terre-Neuve-et-Labrador</t>
        </is>
      </c>
      <c r="E3341" t="inlineStr">
        <is>
          <t>Paul Mills</t>
        </is>
      </c>
      <c r="F3341" t="inlineStr">
        <is>
          <t>Mileage claim for travel to meetings in private vehicle from January 3 to March 19, 2014</t>
        </is>
      </c>
      <c r="G3341" t="inlineStr">
        <is>
          <t>Réclamation de frais de kilométrage relatifs à l'utilisation d'un véhicule personnel pour voyager à des réunions du 3 janvier au 19 mars 2014</t>
        </is>
      </c>
      <c r="H3341" s="1" t="n">
        <v>41642</v>
      </c>
      <c r="I3341" s="1" t="n">
        <v>41717</v>
      </c>
      <c r="J3341" t="inlineStr">
        <is>
          <t>St. John's, Newfoundland and Labrador</t>
        </is>
      </c>
      <c r="K3341" t="inlineStr">
        <is>
          <t>St. John's (Terre-Neuve-et-Labrador)</t>
        </is>
      </c>
      <c r="P3341" t="n">
        <v>0</v>
      </c>
      <c r="Q3341" t="n">
        <v>49.29</v>
      </c>
      <c r="R3341" t="n">
        <v>0</v>
      </c>
      <c r="S3341" t="n">
        <v>0</v>
      </c>
      <c r="T3341" t="n">
        <v>0</v>
      </c>
      <c r="U3341" t="n">
        <v>49.29</v>
      </c>
      <c r="X3341" t="inlineStr">
        <is>
          <t>acoa-apeca</t>
        </is>
      </c>
      <c r="Y3341" t="inlineStr">
        <is>
          <t>Atlantic Canada Opportunities Agency | Agence de promotion économique du Canada atlantique</t>
        </is>
      </c>
    </row>
    <row r="3342">
      <c r="A3342" t="inlineStr">
        <is>
          <t>T-2014-Q4-00012</t>
        </is>
      </c>
      <c r="B3342" t="inlineStr">
        <is>
          <t>SLE</t>
        </is>
      </c>
      <c r="C3342" t="inlineStr">
        <is>
          <t>Vice President, Nova Scotia</t>
        </is>
      </c>
      <c r="D3342" t="inlineStr">
        <is>
          <t>Vice-président, Nouvelle-Écosse</t>
        </is>
      </c>
      <c r="E3342" t="inlineStr">
        <is>
          <t>Peter Hogan</t>
        </is>
      </c>
      <c r="F3342" t="inlineStr">
        <is>
          <t xml:space="preserve">Various Site and Client Visits </t>
        </is>
      </c>
      <c r="G3342" t="inlineStr">
        <is>
          <t>Diverses réunions avec des clients et visites sur place</t>
        </is>
      </c>
      <c r="H3342" s="1" t="n">
        <v>41627</v>
      </c>
      <c r="I3342" s="1" t="n">
        <v>41627</v>
      </c>
      <c r="J3342" t="inlineStr">
        <is>
          <t>Bridgewater, Nova Scotia</t>
        </is>
      </c>
      <c r="K3342" t="inlineStr">
        <is>
          <t>Bridgewater (Nouvelle-Écosse)</t>
        </is>
      </c>
      <c r="P3342" t="n">
        <v>0</v>
      </c>
      <c r="Q3342" t="n">
        <v>197.37</v>
      </c>
      <c r="R3342" t="n">
        <v>0</v>
      </c>
      <c r="S3342" t="n">
        <v>42</v>
      </c>
      <c r="T3342" t="n">
        <v>0</v>
      </c>
      <c r="U3342" t="n">
        <v>239.37</v>
      </c>
      <c r="X3342" t="inlineStr">
        <is>
          <t>acoa-apeca</t>
        </is>
      </c>
      <c r="Y3342" t="inlineStr">
        <is>
          <t>Atlantic Canada Opportunities Agency | Agence de promotion économique du Canada atlantique</t>
        </is>
      </c>
    </row>
    <row r="3343">
      <c r="A3343" t="inlineStr">
        <is>
          <t>T-2014-Q4-00011</t>
        </is>
      </c>
      <c r="B3343" t="inlineStr">
        <is>
          <t>MPSES</t>
        </is>
      </c>
      <c r="C3343" t="inlineStr">
        <is>
          <t>Minister of State</t>
        </is>
      </c>
      <c r="D3343" t="inlineStr">
        <is>
          <t>Ministre d'État</t>
        </is>
      </c>
      <c r="E3343" t="inlineStr">
        <is>
          <t>Rob Moore</t>
        </is>
      </c>
      <c r="F3343" t="inlineStr">
        <is>
          <t>Travel to attend Government of Canada announcement and stakeholder roundtable</t>
        </is>
      </c>
      <c r="G3343" t="inlineStr">
        <is>
          <t>Annonce du gouvernement du Canada et table ronde avec des intervenants</t>
        </is>
      </c>
      <c r="H3343" s="1" t="n">
        <v>41621</v>
      </c>
      <c r="I3343" s="1" t="n">
        <v>41621</v>
      </c>
      <c r="J3343" t="inlineStr">
        <is>
          <t>Fredericton, New Brunswick</t>
        </is>
      </c>
      <c r="K3343" t="inlineStr">
        <is>
          <t>Fredericton (Nouveau-Brunswick)</t>
        </is>
      </c>
      <c r="P3343" t="n">
        <v>0</v>
      </c>
      <c r="Q3343" t="n">
        <v>136.62</v>
      </c>
      <c r="R3343" t="n">
        <v>0</v>
      </c>
      <c r="S3343" t="n">
        <v>57.1</v>
      </c>
      <c r="T3343" t="n">
        <v>0</v>
      </c>
      <c r="U3343" t="n">
        <v>193.72</v>
      </c>
      <c r="X3343" t="inlineStr">
        <is>
          <t>acoa-apeca</t>
        </is>
      </c>
      <c r="Y3343" t="inlineStr">
        <is>
          <t>Atlantic Canada Opportunities Agency | Agence de promotion économique du Canada atlantique</t>
        </is>
      </c>
    </row>
    <row r="3344">
      <c r="A3344" t="inlineStr">
        <is>
          <t>T-2014-Q4-00010</t>
        </is>
      </c>
      <c r="B3344" t="inlineStr">
        <is>
          <t>SLE</t>
        </is>
      </c>
      <c r="C3344" t="inlineStr">
        <is>
          <t>Vice President, Nova Scotia</t>
        </is>
      </c>
      <c r="D3344" t="inlineStr">
        <is>
          <t>Vice-président, Nouvelle-Écosse</t>
        </is>
      </c>
      <c r="E3344" t="inlineStr">
        <is>
          <t>Peter Hogan</t>
        </is>
      </c>
      <c r="F3344" t="inlineStr">
        <is>
          <t xml:space="preserve">Meeting with Senior Agency Officials </t>
        </is>
      </c>
      <c r="G3344" t="inlineStr">
        <is>
          <t>Réunion avec des hauts fonctionnaires de l'Agence</t>
        </is>
      </c>
      <c r="H3344" s="1" t="n">
        <v>41619</v>
      </c>
      <c r="I3344" s="1" t="n">
        <v>41620</v>
      </c>
      <c r="J3344" t="inlineStr">
        <is>
          <t>Moncton, New Brunswick</t>
        </is>
      </c>
      <c r="K3344" t="inlineStr">
        <is>
          <t>Moncton (Nouveau-Brunswick)</t>
        </is>
      </c>
      <c r="P3344" t="n">
        <v>0</v>
      </c>
      <c r="Q3344" t="n">
        <v>292.36</v>
      </c>
      <c r="R3344" t="n">
        <v>50</v>
      </c>
      <c r="S3344" t="n">
        <v>134.35</v>
      </c>
      <c r="T3344" t="n">
        <v>0</v>
      </c>
      <c r="U3344" t="n">
        <v>476.71</v>
      </c>
      <c r="X3344" t="inlineStr">
        <is>
          <t>acoa-apeca</t>
        </is>
      </c>
      <c r="Y3344" t="inlineStr">
        <is>
          <t>Atlantic Canada Opportunities Agency | Agence de promotion économique du Canada atlantique</t>
        </is>
      </c>
    </row>
    <row r="3345">
      <c r="A3345" t="inlineStr">
        <is>
          <t>T-2014-Q4-00009</t>
        </is>
      </c>
      <c r="B3345" t="inlineStr">
        <is>
          <t>SLE</t>
        </is>
      </c>
      <c r="C3345" t="inlineStr">
        <is>
          <t>Vice-President, New Brunswick</t>
        </is>
      </c>
      <c r="D3345" t="inlineStr">
        <is>
          <t>Vice-président, Nouveau-Brunswick</t>
        </is>
      </c>
      <c r="E3345" t="inlineStr">
        <is>
          <t>Kent Estabrooks</t>
        </is>
      </c>
      <c r="F3345" t="inlineStr">
        <is>
          <t>Executive Committee Meeting in Moncton</t>
        </is>
      </c>
      <c r="G3345" t="inlineStr">
        <is>
          <t>Réunion du Comité de direction à Moncton</t>
        </is>
      </c>
      <c r="H3345" s="1" t="n">
        <v>41619</v>
      </c>
      <c r="I3345" s="1" t="n">
        <v>41620</v>
      </c>
      <c r="J3345" t="inlineStr">
        <is>
          <t>Moncton, New Brunswick</t>
        </is>
      </c>
      <c r="K3345" t="inlineStr">
        <is>
          <t>Moncton (Nouveau-Brunswick)</t>
        </is>
      </c>
      <c r="P3345" t="n">
        <v>0</v>
      </c>
      <c r="Q3345" t="n">
        <v>181.18</v>
      </c>
      <c r="R3345" t="n">
        <v>0</v>
      </c>
      <c r="S3345" t="n">
        <v>92.34999999999999</v>
      </c>
      <c r="T3345" t="n">
        <v>18</v>
      </c>
      <c r="U3345" t="n">
        <v>291.53</v>
      </c>
      <c r="X3345" t="inlineStr">
        <is>
          <t>acoa-apeca</t>
        </is>
      </c>
      <c r="Y3345" t="inlineStr">
        <is>
          <t>Atlantic Canada Opportunities Agency | Agence de promotion économique du Canada atlantique</t>
        </is>
      </c>
    </row>
    <row r="3346">
      <c r="A3346" t="inlineStr">
        <is>
          <t>T-2014-Q4-00007</t>
        </is>
      </c>
      <c r="B3346" t="inlineStr">
        <is>
          <t>SLE</t>
        </is>
      </c>
      <c r="C3346" t="inlineStr">
        <is>
          <t>Vice-President, Prince Edward Island</t>
        </is>
      </c>
      <c r="D3346" t="inlineStr">
        <is>
          <t>Vice-président, Île-du-Prince-Édouard</t>
        </is>
      </c>
      <c r="E3346" t="inlineStr">
        <is>
          <t>Patrick Dorsey</t>
        </is>
      </c>
      <c r="F3346" t="inlineStr">
        <is>
          <t>To attend meetings with ACTP Management Committee and EXCOMM in Moncton</t>
        </is>
      </c>
      <c r="G3346" t="inlineStr">
        <is>
          <t xml:space="preserve">Réunions du Comité de gestion du Partenariat du tourisme du Canada atlantique et du Comité de direction à Moncton </t>
        </is>
      </c>
      <c r="H3346" s="1" t="n">
        <v>41619</v>
      </c>
      <c r="I3346" s="1" t="n">
        <v>41620</v>
      </c>
      <c r="J3346" t="inlineStr">
        <is>
          <t>Moncton, New Brunswick</t>
        </is>
      </c>
      <c r="K3346" t="inlineStr">
        <is>
          <t>Moncton (Nouveau-Brunswick)</t>
        </is>
      </c>
      <c r="P3346" t="n">
        <v>0</v>
      </c>
      <c r="Q3346" t="n">
        <v>44.5</v>
      </c>
      <c r="R3346" t="n">
        <v>162.72</v>
      </c>
      <c r="S3346" t="n">
        <v>92.34999999999999</v>
      </c>
      <c r="T3346" t="n">
        <v>0</v>
      </c>
      <c r="U3346" t="n">
        <v>299.57</v>
      </c>
      <c r="X3346" t="inlineStr">
        <is>
          <t>acoa-apeca</t>
        </is>
      </c>
      <c r="Y3346" t="inlineStr">
        <is>
          <t>Atlantic Canada Opportunities Agency | Agence de promotion économique du Canada atlantique</t>
        </is>
      </c>
    </row>
    <row r="3347">
      <c r="A3347" t="inlineStr">
        <is>
          <t>T-2014-Q4-00006</t>
        </is>
      </c>
      <c r="B3347" t="inlineStr">
        <is>
          <t>SLE</t>
        </is>
      </c>
      <c r="C3347" t="inlineStr">
        <is>
          <t>Vice-President, Newfoundland and Labrador</t>
        </is>
      </c>
      <c r="D3347" t="inlineStr">
        <is>
          <t>Vice-président, Terre-Neuve-et-Labrador</t>
        </is>
      </c>
      <c r="E3347" t="inlineStr">
        <is>
          <t>Paul Mills</t>
        </is>
      </c>
      <c r="F3347" t="inlineStr">
        <is>
          <t>Executive Committee Meeting (EXCOM)</t>
        </is>
      </c>
      <c r="G3347" t="inlineStr">
        <is>
          <t>Réunion du Comité de direction</t>
        </is>
      </c>
      <c r="H3347" s="1" t="n">
        <v>41619</v>
      </c>
      <c r="I3347" s="1" t="n">
        <v>41621</v>
      </c>
      <c r="J3347" t="inlineStr">
        <is>
          <t>Moncton, New Brunswick</t>
        </is>
      </c>
      <c r="K3347" t="inlineStr">
        <is>
          <t>Moncton (Nouveau-Brunswick)</t>
        </is>
      </c>
      <c r="P3347" t="n">
        <v>1376.74</v>
      </c>
      <c r="Q3347" t="n">
        <v>334.56</v>
      </c>
      <c r="R3347" t="n">
        <v>279.18</v>
      </c>
      <c r="S3347" t="n">
        <v>167.4</v>
      </c>
      <c r="T3347" t="n">
        <v>25.34</v>
      </c>
      <c r="U3347" t="n">
        <v>2183.22</v>
      </c>
      <c r="X3347" t="inlineStr">
        <is>
          <t>acoa-apeca</t>
        </is>
      </c>
      <c r="Y3347" t="inlineStr">
        <is>
          <t>Atlantic Canada Opportunities Agency | Agence de promotion économique du Canada atlantique</t>
        </is>
      </c>
    </row>
    <row r="3348">
      <c r="A3348" t="inlineStr">
        <is>
          <t>T-2014-Q4-00005</t>
        </is>
      </c>
      <c r="B3348" t="inlineStr">
        <is>
          <t>MPSES</t>
        </is>
      </c>
      <c r="C3348" t="inlineStr">
        <is>
          <t>Executive Assistant</t>
        </is>
      </c>
      <c r="D3348" t="inlineStr">
        <is>
          <t>Adjoint exécutif</t>
        </is>
      </c>
      <c r="E3348" t="inlineStr">
        <is>
          <t>Josh Hardy</t>
        </is>
      </c>
      <c r="F3348" t="inlineStr">
        <is>
          <t>Travel on Government business</t>
        </is>
      </c>
      <c r="G3348" t="inlineStr">
        <is>
          <t>Voyage pour le compte du gouvernement</t>
        </is>
      </c>
      <c r="H3348" s="1" t="n">
        <v>41618</v>
      </c>
      <c r="I3348" s="1" t="n">
        <v>41618</v>
      </c>
      <c r="J3348" t="inlineStr">
        <is>
          <t>St. John's, Newfoundland and Labrador</t>
        </is>
      </c>
      <c r="K3348" t="inlineStr">
        <is>
          <t>St. John's (Terre-Neuve-et-Labrador)</t>
        </is>
      </c>
      <c r="P3348" t="n">
        <v>1581.61</v>
      </c>
      <c r="Q3348" t="n">
        <v>19</v>
      </c>
      <c r="R3348" t="n">
        <v>0</v>
      </c>
      <c r="S3348" t="n">
        <v>57.1</v>
      </c>
      <c r="T3348" t="n">
        <v>0</v>
      </c>
      <c r="U3348" t="n">
        <v>1657.71</v>
      </c>
      <c r="X3348" t="inlineStr">
        <is>
          <t>acoa-apeca</t>
        </is>
      </c>
      <c r="Y3348" t="inlineStr">
        <is>
          <t>Atlantic Canada Opportunities Agency | Agence de promotion économique du Canada atlantique</t>
        </is>
      </c>
    </row>
    <row r="3349">
      <c r="A3349" t="inlineStr">
        <is>
          <t>T-2014-Q4-00004</t>
        </is>
      </c>
      <c r="B3349" t="inlineStr">
        <is>
          <t>MPSES</t>
        </is>
      </c>
      <c r="C3349" t="inlineStr">
        <is>
          <t>Minister of State</t>
        </is>
      </c>
      <c r="D3349" t="inlineStr">
        <is>
          <t>Ministre d'État</t>
        </is>
      </c>
      <c r="E3349" t="inlineStr">
        <is>
          <t>Rob Moore</t>
        </is>
      </c>
      <c r="F3349" t="inlineStr">
        <is>
          <t>Travel to attend Government of Canada announcement</t>
        </is>
      </c>
      <c r="G3349" t="inlineStr">
        <is>
          <t>Annonce du gouvernement du Canada</t>
        </is>
      </c>
      <c r="H3349" s="1" t="n">
        <v>41618</v>
      </c>
      <c r="I3349" s="1" t="n">
        <v>41618</v>
      </c>
      <c r="J3349" t="inlineStr">
        <is>
          <t>St. John's, Newfoundland and Labrador</t>
        </is>
      </c>
      <c r="K3349" t="inlineStr">
        <is>
          <t>St. John's (Terre-Neuve-et-Labrador)</t>
        </is>
      </c>
      <c r="P3349" t="n">
        <v>1581.6</v>
      </c>
      <c r="Q3349" t="n">
        <v>0</v>
      </c>
      <c r="R3349" t="n">
        <v>0</v>
      </c>
      <c r="S3349" t="n">
        <v>57.1</v>
      </c>
      <c r="T3349" t="n">
        <v>0</v>
      </c>
      <c r="U3349" t="n">
        <v>1638.7</v>
      </c>
      <c r="X3349" t="inlineStr">
        <is>
          <t>acoa-apeca</t>
        </is>
      </c>
      <c r="Y3349" t="inlineStr">
        <is>
          <t>Atlantic Canada Opportunities Agency | Agence de promotion économique du Canada atlantique</t>
        </is>
      </c>
    </row>
    <row r="3350">
      <c r="A3350" t="inlineStr">
        <is>
          <t>T-2014-Q4-00003</t>
        </is>
      </c>
      <c r="B3350" t="inlineStr">
        <is>
          <t>SLE</t>
        </is>
      </c>
      <c r="C3350" t="inlineStr">
        <is>
          <t>Vice-President, New Brunswick</t>
        </is>
      </c>
      <c r="D3350" t="inlineStr">
        <is>
          <t>Vice-président, Nouveau-Brunswick</t>
        </is>
      </c>
      <c r="E3350" t="inlineStr">
        <is>
          <t>Kent Estabrooks</t>
        </is>
      </c>
      <c r="F3350" t="inlineStr">
        <is>
          <t>External Stakeholders Meeting</t>
        </is>
      </c>
      <c r="G3350" t="inlineStr">
        <is>
          <t>Réunion avec des intervenants externes</t>
        </is>
      </c>
      <c r="H3350" s="1" t="n">
        <v>41613</v>
      </c>
      <c r="I3350" s="1" t="n">
        <v>41614</v>
      </c>
      <c r="J3350" t="inlineStr">
        <is>
          <t>Moncton, New Brunswick</t>
        </is>
      </c>
      <c r="K3350" t="inlineStr">
        <is>
          <t>Moncton (Nouveau-Brunswick)</t>
        </is>
      </c>
      <c r="P3350" t="n">
        <v>0</v>
      </c>
      <c r="Q3350" t="n">
        <v>181.18</v>
      </c>
      <c r="R3350" t="n">
        <v>0</v>
      </c>
      <c r="S3350" t="n">
        <v>92.34999999999999</v>
      </c>
      <c r="T3350" t="n">
        <v>4</v>
      </c>
      <c r="U3350" t="n">
        <v>277.53</v>
      </c>
      <c r="X3350" t="inlineStr">
        <is>
          <t>acoa-apeca</t>
        </is>
      </c>
      <c r="Y3350" t="inlineStr">
        <is>
          <t>Atlantic Canada Opportunities Agency | Agence de promotion économique du Canada atlantique</t>
        </is>
      </c>
    </row>
    <row r="3351">
      <c r="A3351" t="inlineStr">
        <is>
          <t>T-2014-Q4-00002</t>
        </is>
      </c>
      <c r="B3351" t="inlineStr">
        <is>
          <t>SLE</t>
        </is>
      </c>
      <c r="C3351" t="inlineStr">
        <is>
          <t>Vice-President, Prince Edward Island</t>
        </is>
      </c>
      <c r="D3351" t="inlineStr">
        <is>
          <t>Vice-président, Île-du-Prince-Édouard</t>
        </is>
      </c>
      <c r="E3351" t="inlineStr">
        <is>
          <t>Patrick Dorsey</t>
        </is>
      </c>
      <c r="F3351" t="inlineStr">
        <is>
          <t>Meetings with TIAC and Minister's Office in Ottawa</t>
        </is>
      </c>
      <c r="G3351" t="inlineStr">
        <is>
          <t>Réunions avec l'Association de l'industrie touristique du Canada et le cabinet du ministre à Ottawa</t>
        </is>
      </c>
      <c r="H3351" s="1" t="n">
        <v>41611</v>
      </c>
      <c r="I3351" s="1" t="n">
        <v>41613</v>
      </c>
      <c r="J3351" t="inlineStr">
        <is>
          <t>Ottawa, Ontario</t>
        </is>
      </c>
      <c r="K3351" t="inlineStr">
        <is>
          <t>Ottawa (Ontario)</t>
        </is>
      </c>
      <c r="P3351" t="n">
        <v>900.45</v>
      </c>
      <c r="Q3351" t="n">
        <v>73</v>
      </c>
      <c r="R3351" t="n">
        <v>365.46</v>
      </c>
      <c r="S3351" t="n">
        <v>212.7</v>
      </c>
      <c r="T3351" t="n">
        <v>0</v>
      </c>
      <c r="U3351" t="n">
        <v>1551.61</v>
      </c>
      <c r="X3351" t="inlineStr">
        <is>
          <t>acoa-apeca</t>
        </is>
      </c>
      <c r="Y3351" t="inlineStr">
        <is>
          <t>Atlantic Canada Opportunities Agency | Agence de promotion économique du Canada atlantique</t>
        </is>
      </c>
    </row>
    <row r="3352">
      <c r="A3352" t="inlineStr">
        <is>
          <t>T-2014-Q4-00001</t>
        </is>
      </c>
      <c r="B3352" t="inlineStr">
        <is>
          <t>SLE</t>
        </is>
      </c>
      <c r="C3352" t="inlineStr">
        <is>
          <t>President</t>
        </is>
      </c>
      <c r="D3352" t="inlineStr">
        <is>
          <t>Président</t>
        </is>
      </c>
      <c r="E3352" t="inlineStr">
        <is>
          <t>Paul J. LeBlanc</t>
        </is>
      </c>
      <c r="F3352" t="inlineStr">
        <is>
          <t>To take part in sessions and conferences related to the Organisation for Economic Co-operation and Development</t>
        </is>
      </c>
      <c r="G3352" t="inlineStr">
        <is>
          <t>Participer à des séances et à des conférences se rapportant à l'Organisation de coopération et de développement économiques</t>
        </is>
      </c>
      <c r="H3352" s="1" t="n">
        <v>41610</v>
      </c>
      <c r="I3352" s="1" t="n">
        <v>41615</v>
      </c>
      <c r="J3352" t="inlineStr">
        <is>
          <t>Marseille, France</t>
        </is>
      </c>
      <c r="K3352" t="inlineStr">
        <is>
          <t>Marseille, France</t>
        </is>
      </c>
      <c r="P3352" t="n">
        <v>4187.49</v>
      </c>
      <c r="Q3352" t="n">
        <v>172.93</v>
      </c>
      <c r="R3352" t="n">
        <v>700.66</v>
      </c>
      <c r="S3352" t="n">
        <v>687.62</v>
      </c>
      <c r="T3352" t="n">
        <v>231</v>
      </c>
      <c r="U3352" t="n">
        <v>5979.7</v>
      </c>
      <c r="X3352" t="inlineStr">
        <is>
          <t>acoa-apeca</t>
        </is>
      </c>
      <c r="Y3352" t="inlineStr">
        <is>
          <t>Atlantic Canada Opportunities Agency | Agence de promotion économique du Canada atlantique</t>
        </is>
      </c>
    </row>
    <row r="3353">
      <c r="A3353" t="inlineStr">
        <is>
          <t>T-2014-Q3-00070</t>
        </is>
      </c>
      <c r="B3353" t="inlineStr">
        <is>
          <t>SLE</t>
        </is>
      </c>
      <c r="C3353" t="inlineStr">
        <is>
          <t>Vice-President, Policy and Programs</t>
        </is>
      </c>
      <c r="D3353" t="inlineStr">
        <is>
          <t>Vice-président, Politiques et Programmes</t>
        </is>
      </c>
      <c r="E3353" t="inlineStr">
        <is>
          <t>Daryell Nowlan</t>
        </is>
      </c>
      <c r="F3353" t="inlineStr">
        <is>
          <t>Meetings with Government of Canada officials</t>
        </is>
      </c>
      <c r="G3353" t="inlineStr">
        <is>
          <t>Réunions avec des fonctionnaires du gouvernement du Canada</t>
        </is>
      </c>
      <c r="H3353" s="1" t="n">
        <v>41609</v>
      </c>
      <c r="I3353" s="1" t="n">
        <v>41611</v>
      </c>
      <c r="J3353" t="inlineStr">
        <is>
          <t>Ottawa, Ontario</t>
        </is>
      </c>
      <c r="K3353" t="inlineStr">
        <is>
          <t>Ottawa (Ontario)</t>
        </is>
      </c>
      <c r="P3353" t="n">
        <v>899.5599999999999</v>
      </c>
      <c r="Q3353" t="n">
        <v>73</v>
      </c>
      <c r="R3353" t="n">
        <v>365.46</v>
      </c>
      <c r="S3353" t="n">
        <v>208.1</v>
      </c>
      <c r="T3353" t="n">
        <v>0</v>
      </c>
      <c r="U3353" t="n">
        <v>1546.12</v>
      </c>
      <c r="X3353" t="inlineStr">
        <is>
          <t>acoa-apeca</t>
        </is>
      </c>
      <c r="Y3353" t="inlineStr">
        <is>
          <t>Atlantic Canada Opportunities Agency | Agence de promotion économique du Canada atlantique</t>
        </is>
      </c>
    </row>
    <row r="3354">
      <c r="A3354" t="inlineStr">
        <is>
          <t>T-2014-Q3-00066</t>
        </is>
      </c>
      <c r="B3354" t="inlineStr">
        <is>
          <t>SLE</t>
        </is>
      </c>
      <c r="C3354" t="inlineStr">
        <is>
          <t>Vice-President, Prince Edward Island</t>
        </is>
      </c>
      <c r="D3354" t="inlineStr">
        <is>
          <t>Vice-président, Île-du-Prince-Édouard</t>
        </is>
      </c>
      <c r="E3354" t="inlineStr">
        <is>
          <t>Patrick Dorsey</t>
        </is>
      </c>
      <c r="F3354" t="inlineStr">
        <is>
          <t>Meetings with Government of Canada officials in Fredericton and Ottawa</t>
        </is>
      </c>
      <c r="G3354" t="inlineStr">
        <is>
          <t>Réunions avec des fonctionnaires du gouvernement du Canada à Fredericton et à Ottawa</t>
        </is>
      </c>
      <c r="H3354" s="1" t="n">
        <v>41603</v>
      </c>
      <c r="I3354" s="1" t="n">
        <v>41604</v>
      </c>
      <c r="J3354" t="inlineStr">
        <is>
          <t>Fredericton, New Brunswick and Ottawa, Ontario</t>
        </is>
      </c>
      <c r="K3354" t="inlineStr">
        <is>
          <t>Fredericton (Nouveau-Brunswick) et Ottawa (Ontario)</t>
        </is>
      </c>
      <c r="P3354" t="n">
        <v>910.65</v>
      </c>
      <c r="Q3354" t="n">
        <v>85</v>
      </c>
      <c r="R3354" t="n">
        <v>182.73</v>
      </c>
      <c r="S3354" t="n">
        <v>193.3</v>
      </c>
      <c r="T3354" t="n">
        <v>0</v>
      </c>
      <c r="U3354" t="n">
        <v>1371.68</v>
      </c>
      <c r="X3354" t="inlineStr">
        <is>
          <t>acoa-apeca</t>
        </is>
      </c>
      <c r="Y3354" t="inlineStr">
        <is>
          <t>Atlantic Canada Opportunities Agency | Agence de promotion économique du Canada atlantique</t>
        </is>
      </c>
    </row>
    <row r="3355">
      <c r="A3355" t="inlineStr">
        <is>
          <t>T-2014-Q3-00065</t>
        </is>
      </c>
      <c r="B3355" t="inlineStr">
        <is>
          <t>SLE</t>
        </is>
      </c>
      <c r="C3355" t="inlineStr">
        <is>
          <t>Vice-President, Newfoundland and Labrador</t>
        </is>
      </c>
      <c r="D3355" t="inlineStr">
        <is>
          <t>Vice-président, Terre-Neuve-et-Labrador</t>
        </is>
      </c>
      <c r="E3355" t="inlineStr">
        <is>
          <t>Paul Mills</t>
        </is>
      </c>
      <c r="F3355" t="inlineStr">
        <is>
          <t>Ottawa Meetings</t>
        </is>
      </c>
      <c r="G3355" t="inlineStr">
        <is>
          <t>Réunions à Ottawa</t>
        </is>
      </c>
      <c r="H3355" s="1" t="n">
        <v>41598</v>
      </c>
      <c r="I3355" s="1" t="n">
        <v>41600</v>
      </c>
      <c r="J3355" t="inlineStr">
        <is>
          <t>Ottawa, Ontario</t>
        </is>
      </c>
      <c r="K3355" t="inlineStr">
        <is>
          <t>Ottawa (Ontario)</t>
        </is>
      </c>
      <c r="P3355" t="n">
        <v>1376.74</v>
      </c>
      <c r="Q3355" t="n">
        <v>130</v>
      </c>
      <c r="R3355" t="n">
        <v>453.92</v>
      </c>
      <c r="S3355" t="n">
        <v>139.85</v>
      </c>
      <c r="T3355" t="n">
        <v>8.140000000000001</v>
      </c>
      <c r="U3355" t="n">
        <v>2108.65</v>
      </c>
      <c r="X3355" t="inlineStr">
        <is>
          <t>acoa-apeca</t>
        </is>
      </c>
      <c r="Y3355" t="inlineStr">
        <is>
          <t>Atlantic Canada Opportunities Agency | Agence de promotion économique du Canada atlantique</t>
        </is>
      </c>
    </row>
    <row r="3356">
      <c r="A3356" t="inlineStr">
        <is>
          <t>T-2014-Q3-00064</t>
        </is>
      </c>
      <c r="B3356" t="inlineStr">
        <is>
          <t>SLE</t>
        </is>
      </c>
      <c r="C3356" t="inlineStr">
        <is>
          <t>President</t>
        </is>
      </c>
      <c r="D3356" t="inlineStr">
        <is>
          <t>Président</t>
        </is>
      </c>
      <c r="E3356" t="inlineStr">
        <is>
          <t>Paul J. LeBlanc</t>
        </is>
      </c>
      <c r="F3356" t="inlineStr">
        <is>
          <t>For various meetings and discussions with: Agency officials; with Government of Canada officials; to attend a session of a Forum</t>
        </is>
      </c>
      <c r="G3356" t="inlineStr">
        <is>
          <t>Diverses réunions et discussions avec des fonctionnaires de l'Agence et du gouvernement du Canada, et séance dans le cadre d'un forum</t>
        </is>
      </c>
      <c r="H3356" s="1" t="n">
        <v>41597</v>
      </c>
      <c r="I3356" s="1" t="n">
        <v>41600</v>
      </c>
      <c r="J3356" t="inlineStr">
        <is>
          <t>Ottawa, Ontario and Halifax, Nova Scotia</t>
        </is>
      </c>
      <c r="K3356" t="inlineStr">
        <is>
          <t>Ottawa (Ontario) et Halifax (Nouvelle-Écosse)</t>
        </is>
      </c>
      <c r="P3356" t="n">
        <v>741.74</v>
      </c>
      <c r="Q3356" t="n">
        <v>0</v>
      </c>
      <c r="R3356" t="n">
        <v>626.83</v>
      </c>
      <c r="S3356" t="n">
        <v>287.1</v>
      </c>
      <c r="T3356" t="n">
        <v>57.5</v>
      </c>
      <c r="U3356" t="n">
        <v>1713.17</v>
      </c>
      <c r="X3356" t="inlineStr">
        <is>
          <t>acoa-apeca</t>
        </is>
      </c>
      <c r="Y3356" t="inlineStr">
        <is>
          <t>Atlantic Canada Opportunities Agency | Agence de promotion économique du Canada atlantique</t>
        </is>
      </c>
    </row>
    <row r="3357">
      <c r="A3357" t="inlineStr">
        <is>
          <t>T-2014-Q3-00063</t>
        </is>
      </c>
      <c r="B3357" t="inlineStr">
        <is>
          <t>SLE</t>
        </is>
      </c>
      <c r="C3357" t="inlineStr">
        <is>
          <t>Vice-President, Prince Edward Island</t>
        </is>
      </c>
      <c r="D3357" t="inlineStr">
        <is>
          <t>Vice-président, Île-du-Prince-Édouard</t>
        </is>
      </c>
      <c r="E3357" t="inlineStr">
        <is>
          <t>Patrick Dorsey</t>
        </is>
      </c>
      <c r="F3357" t="inlineStr">
        <is>
          <t>Meetings with Government of Canada officials</t>
        </is>
      </c>
      <c r="G3357" t="inlineStr">
        <is>
          <t>Réunions avec des fonctionnaires du gouvernement du Canada</t>
        </is>
      </c>
      <c r="H3357" s="1" t="n">
        <v>41596</v>
      </c>
      <c r="I3357" s="1" t="n">
        <v>41597</v>
      </c>
      <c r="J3357" t="inlineStr">
        <is>
          <t>Ottawa, Ontario</t>
        </is>
      </c>
      <c r="K3357" t="inlineStr">
        <is>
          <t>Ottawa (Ontario)</t>
        </is>
      </c>
      <c r="P3357" t="n">
        <v>679.28</v>
      </c>
      <c r="Q3357" t="n">
        <v>87</v>
      </c>
      <c r="R3357" t="n">
        <v>182.73</v>
      </c>
      <c r="S3357" t="n">
        <v>164.55</v>
      </c>
      <c r="T3357" t="n">
        <v>0</v>
      </c>
      <c r="U3357" t="n">
        <v>1113.56</v>
      </c>
      <c r="X3357" t="inlineStr">
        <is>
          <t>acoa-apeca</t>
        </is>
      </c>
      <c r="Y3357" t="inlineStr">
        <is>
          <t>Atlantic Canada Opportunities Agency | Agence de promotion économique du Canada atlantique</t>
        </is>
      </c>
    </row>
    <row r="3358">
      <c r="A3358" t="inlineStr">
        <is>
          <t>T-2014-Q3-00062</t>
        </is>
      </c>
      <c r="B3358" t="inlineStr">
        <is>
          <t>MPSES</t>
        </is>
      </c>
      <c r="C3358" t="inlineStr">
        <is>
          <t>Minister of State</t>
        </is>
      </c>
      <c r="D3358" t="inlineStr">
        <is>
          <t>Ministre d'État</t>
        </is>
      </c>
      <c r="E3358" t="inlineStr">
        <is>
          <t>Rob Moore</t>
        </is>
      </c>
      <c r="F3358" t="inlineStr">
        <is>
          <t>Meetings to discuss Government of Canada business</t>
        </is>
      </c>
      <c r="G3358" t="inlineStr">
        <is>
          <t>Réunions pour discuter d'enjeux du gouvernement du Canada</t>
        </is>
      </c>
      <c r="H3358" s="1" t="n">
        <v>41593</v>
      </c>
      <c r="I3358" s="1" t="n">
        <v>41593</v>
      </c>
      <c r="J3358" t="inlineStr">
        <is>
          <t>Fredericton, New Brunswick</t>
        </is>
      </c>
      <c r="K3358" t="inlineStr">
        <is>
          <t>Fredericton (Nouveau-Brunswick)</t>
        </is>
      </c>
      <c r="P3358" t="n">
        <v>0</v>
      </c>
      <c r="Q3358" t="n">
        <v>135.63</v>
      </c>
      <c r="R3358" t="n">
        <v>0</v>
      </c>
      <c r="S3358" t="n">
        <v>15.1</v>
      </c>
      <c r="T3358" t="n">
        <v>0</v>
      </c>
      <c r="U3358" t="n">
        <v>150.73</v>
      </c>
      <c r="X3358" t="inlineStr">
        <is>
          <t>acoa-apeca</t>
        </is>
      </c>
      <c r="Y3358" t="inlineStr">
        <is>
          <t>Atlantic Canada Opportunities Agency | Agence de promotion économique du Canada atlantique</t>
        </is>
      </c>
    </row>
    <row r="3359">
      <c r="A3359" t="inlineStr">
        <is>
          <t>T-2014-Q3-00061</t>
        </is>
      </c>
      <c r="B3359" t="inlineStr">
        <is>
          <t>MPSES</t>
        </is>
      </c>
      <c r="C3359" t="inlineStr">
        <is>
          <t>Minister of State</t>
        </is>
      </c>
      <c r="D3359" t="inlineStr">
        <is>
          <t>Ministre d'État</t>
        </is>
      </c>
      <c r="E3359" t="inlineStr">
        <is>
          <t>Rob Moore</t>
        </is>
      </c>
      <c r="F3359" t="inlineStr">
        <is>
          <t>To attend Government of Canada events</t>
        </is>
      </c>
      <c r="G3359" t="inlineStr">
        <is>
          <t>Assister à des activités du gouvernement du Canada</t>
        </is>
      </c>
      <c r="H3359" s="1" t="n">
        <v>41592</v>
      </c>
      <c r="I3359" s="1" t="n">
        <v>41592</v>
      </c>
      <c r="J3359" t="inlineStr">
        <is>
          <t>Fredericton and Welsford, New Brunswick</t>
        </is>
      </c>
      <c r="K3359" t="inlineStr">
        <is>
          <t>Fredericton et Welsford (Nouveau-Brunswick)</t>
        </is>
      </c>
      <c r="P3359" t="n">
        <v>0</v>
      </c>
      <c r="Q3359" t="n">
        <v>135.63</v>
      </c>
      <c r="R3359" t="n">
        <v>0</v>
      </c>
      <c r="S3359" t="n">
        <v>15.1</v>
      </c>
      <c r="T3359" t="n">
        <v>0</v>
      </c>
      <c r="U3359" t="n">
        <v>150.73</v>
      </c>
      <c r="X3359" t="inlineStr">
        <is>
          <t>acoa-apeca</t>
        </is>
      </c>
      <c r="Y3359" t="inlineStr">
        <is>
          <t>Atlantic Canada Opportunities Agency | Agence de promotion économique du Canada atlantique</t>
        </is>
      </c>
    </row>
    <row r="3360">
      <c r="A3360" t="inlineStr">
        <is>
          <t>T-2014-Q3-00059</t>
        </is>
      </c>
      <c r="B3360" t="inlineStr">
        <is>
          <t>MPSES</t>
        </is>
      </c>
      <c r="C3360" t="inlineStr">
        <is>
          <t>Chief of Staff</t>
        </is>
      </c>
      <c r="D3360" t="inlineStr">
        <is>
          <t>Chef de cabinet</t>
        </is>
      </c>
      <c r="E3360" t="inlineStr">
        <is>
          <t>Shane Bourke</t>
        </is>
      </c>
      <c r="F3360" t="inlineStr">
        <is>
          <t>Travel on Government of Canada business</t>
        </is>
      </c>
      <c r="G3360" t="inlineStr">
        <is>
          <t>Voyage pour le compte du gouvernement du Canada</t>
        </is>
      </c>
      <c r="H3360" s="1" t="n">
        <v>41591</v>
      </c>
      <c r="I3360" s="1" t="n">
        <v>41594</v>
      </c>
      <c r="J3360" t="inlineStr">
        <is>
          <t>Fredericton and Saint John, New Brunswick</t>
        </is>
      </c>
      <c r="K3360" t="inlineStr">
        <is>
          <t>Fredericton et Saint John (Nouveau-Brunswick)</t>
        </is>
      </c>
      <c r="P3360" t="n">
        <v>713.0700000000001</v>
      </c>
      <c r="Q3360" t="n">
        <v>366.42</v>
      </c>
      <c r="R3360" t="n">
        <v>454.57</v>
      </c>
      <c r="S3360" t="n">
        <v>121</v>
      </c>
      <c r="T3360" t="n">
        <v>0</v>
      </c>
      <c r="U3360" t="n">
        <v>1655.06</v>
      </c>
      <c r="X3360" t="inlineStr">
        <is>
          <t>acoa-apeca</t>
        </is>
      </c>
      <c r="Y3360" t="inlineStr">
        <is>
          <t>Atlantic Canada Opportunities Agency | Agence de promotion économique du Canada atlantique</t>
        </is>
      </c>
    </row>
    <row r="3361">
      <c r="A3361" t="inlineStr">
        <is>
          <t>T-2014-Q3-00058</t>
        </is>
      </c>
      <c r="B3361" t="inlineStr">
        <is>
          <t>SLE</t>
        </is>
      </c>
      <c r="C3361" t="inlineStr">
        <is>
          <t>Vice-President, New Brunswick</t>
        </is>
      </c>
      <c r="D3361" t="inlineStr">
        <is>
          <t>Vice-président, Nouveau-Brunswick</t>
        </is>
      </c>
      <c r="E3361" t="inlineStr">
        <is>
          <t>Kent Estabrooks</t>
        </is>
      </c>
      <c r="F3361" t="inlineStr">
        <is>
          <t>Various meetings with: Agency officials; Government of Canada officials</t>
        </is>
      </c>
      <c r="G3361" t="inlineStr">
        <is>
          <t>Diverses réunions avec des fonctionnaires de l'Agence et du gouvernement du Canada</t>
        </is>
      </c>
      <c r="H3361" s="1" t="n">
        <v>41590</v>
      </c>
      <c r="I3361" s="1" t="n">
        <v>41593</v>
      </c>
      <c r="J3361" t="inlineStr">
        <is>
          <t>Ottawa, Ontario</t>
        </is>
      </c>
      <c r="K3361" t="inlineStr">
        <is>
          <t>Ottawa (Ontario)</t>
        </is>
      </c>
      <c r="P3361" t="n">
        <v>881.4</v>
      </c>
      <c r="Q3361" t="n">
        <v>129.4</v>
      </c>
      <c r="R3361" t="n">
        <v>548.1900000000001</v>
      </c>
      <c r="S3361" t="n">
        <v>225.4</v>
      </c>
      <c r="T3361" t="n">
        <v>0</v>
      </c>
      <c r="U3361" t="n">
        <v>1784.39</v>
      </c>
      <c r="X3361" t="inlineStr">
        <is>
          <t>acoa-apeca</t>
        </is>
      </c>
      <c r="Y3361" t="inlineStr">
        <is>
          <t>Atlantic Canada Opportunities Agency | Agence de promotion économique du Canada atlantique</t>
        </is>
      </c>
    </row>
    <row r="3362">
      <c r="A3362" t="inlineStr">
        <is>
          <t>T-2014-Q3-00057</t>
        </is>
      </c>
      <c r="B3362" t="inlineStr">
        <is>
          <t>SLE</t>
        </is>
      </c>
      <c r="C3362" t="inlineStr">
        <is>
          <t>Vice-President, Finance and Corporate Services</t>
        </is>
      </c>
      <c r="D3362" t="inlineStr">
        <is>
          <t>Vice-présidente, Finances et Services corporatifs</t>
        </is>
      </c>
      <c r="E3362" t="inlineStr">
        <is>
          <t>Denise Frenette</t>
        </is>
      </c>
      <c r="F3362" t="inlineStr">
        <is>
          <t xml:space="preserve">Meetings with Government of Canada officials </t>
        </is>
      </c>
      <c r="G3362" t="inlineStr">
        <is>
          <t>Réunions avec des fonctionnaires du gouvernement du Canada</t>
        </is>
      </c>
      <c r="H3362" s="1" t="n">
        <v>41590</v>
      </c>
      <c r="I3362" s="1" t="n">
        <v>41593</v>
      </c>
      <c r="J3362" t="inlineStr">
        <is>
          <t>Ottawa, Ontario</t>
        </is>
      </c>
      <c r="K3362" t="inlineStr">
        <is>
          <t>Ottawa (Ontario)</t>
        </is>
      </c>
      <c r="P3362" t="n">
        <v>624.49</v>
      </c>
      <c r="Q3362" t="n">
        <v>108.46</v>
      </c>
      <c r="R3362" t="n">
        <v>548.1900000000001</v>
      </c>
      <c r="S3362" t="n">
        <v>252.3</v>
      </c>
      <c r="T3362" t="n">
        <v>0</v>
      </c>
      <c r="U3362" t="n">
        <v>1533.44</v>
      </c>
      <c r="X3362" t="inlineStr">
        <is>
          <t>acoa-apeca</t>
        </is>
      </c>
      <c r="Y3362" t="inlineStr">
        <is>
          <t>Atlantic Canada Opportunities Agency | Agence de promotion économique du Canada atlantique</t>
        </is>
      </c>
    </row>
    <row r="3363">
      <c r="A3363" t="inlineStr">
        <is>
          <t>T-2014-Q3-00056</t>
        </is>
      </c>
      <c r="B3363" t="inlineStr">
        <is>
          <t>SLE</t>
        </is>
      </c>
      <c r="C3363" t="inlineStr">
        <is>
          <t>President</t>
        </is>
      </c>
      <c r="D3363" t="inlineStr">
        <is>
          <t>Président</t>
        </is>
      </c>
      <c r="E3363" t="inlineStr">
        <is>
          <t>Paul J. LeBlanc</t>
        </is>
      </c>
      <c r="F3363" t="inlineStr">
        <is>
          <t>For various meetings and discussions with Agency officials</t>
        </is>
      </c>
      <c r="G3363" t="inlineStr">
        <is>
          <t>Diverses réunions et discussions avec des fonctionnaires de l'Agence</t>
        </is>
      </c>
      <c r="H3363" s="1" t="n">
        <v>41590</v>
      </c>
      <c r="I3363" s="1" t="n">
        <v>41591</v>
      </c>
      <c r="J3363" t="inlineStr">
        <is>
          <t>St. John's, Newfoundland and Labrador</t>
        </is>
      </c>
      <c r="K3363" t="inlineStr">
        <is>
          <t>St. John's (Terre-Neuve-et-Labrador)</t>
        </is>
      </c>
      <c r="P3363" t="n">
        <v>1821.87</v>
      </c>
      <c r="Q3363" t="n">
        <v>0</v>
      </c>
      <c r="R3363" t="n">
        <v>156.78</v>
      </c>
      <c r="S3363" t="n">
        <v>122.55</v>
      </c>
      <c r="T3363" t="n">
        <v>113</v>
      </c>
      <c r="U3363" t="n">
        <v>2214.2</v>
      </c>
      <c r="X3363" t="inlineStr">
        <is>
          <t>acoa-apeca</t>
        </is>
      </c>
      <c r="Y3363" t="inlineStr">
        <is>
          <t>Atlantic Canada Opportunities Agency | Agence de promotion économique du Canada atlantique</t>
        </is>
      </c>
    </row>
    <row r="3364">
      <c r="A3364" t="inlineStr">
        <is>
          <t>T-2014-Q3-00055</t>
        </is>
      </c>
      <c r="B3364" t="inlineStr">
        <is>
          <t>SLE</t>
        </is>
      </c>
      <c r="C3364" t="inlineStr">
        <is>
          <t>Vice-President, Policy and Programs</t>
        </is>
      </c>
      <c r="D3364" t="inlineStr">
        <is>
          <t>Vice-président, Politiques et Programmes</t>
        </is>
      </c>
      <c r="E3364" t="inlineStr">
        <is>
          <t>Daryell Nowlan</t>
        </is>
      </c>
      <c r="F3364" t="inlineStr">
        <is>
          <t>Training</t>
        </is>
      </c>
      <c r="G3364" t="inlineStr">
        <is>
          <t>Formation</t>
        </is>
      </c>
      <c r="H3364" s="1" t="n">
        <v>41589</v>
      </c>
      <c r="I3364" s="1" t="n">
        <v>41593</v>
      </c>
      <c r="J3364" t="inlineStr">
        <is>
          <t>Toronto, Ontario</t>
        </is>
      </c>
      <c r="K3364" t="inlineStr">
        <is>
          <t>Toronto (Ontario)</t>
        </is>
      </c>
      <c r="P3364" t="n">
        <v>899.5599999999999</v>
      </c>
      <c r="Q3364" t="n">
        <v>95</v>
      </c>
      <c r="R3364" t="n">
        <v>626.4</v>
      </c>
      <c r="S3364" t="n">
        <v>419.9</v>
      </c>
      <c r="T3364" t="n">
        <v>0</v>
      </c>
      <c r="U3364" t="n">
        <v>2040.86</v>
      </c>
      <c r="X3364" t="inlineStr">
        <is>
          <t>acoa-apeca</t>
        </is>
      </c>
      <c r="Y3364" t="inlineStr">
        <is>
          <t>Atlantic Canada Opportunities Agency | Agence de promotion économique du Canada atlantique</t>
        </is>
      </c>
    </row>
    <row r="3365">
      <c r="A3365" t="inlineStr">
        <is>
          <t>T-2014-Q3-00054</t>
        </is>
      </c>
      <c r="B3365" t="inlineStr">
        <is>
          <t>SLE</t>
        </is>
      </c>
      <c r="C3365" t="inlineStr">
        <is>
          <t>Vice-President, Policy and Programs</t>
        </is>
      </c>
      <c r="D3365" t="inlineStr">
        <is>
          <t>Vice-président, Politiques et Programmes</t>
        </is>
      </c>
      <c r="E3365" t="inlineStr">
        <is>
          <t>Daryell Nowlan</t>
        </is>
      </c>
      <c r="F3365" t="inlineStr">
        <is>
          <t xml:space="preserve">Meetings with private industry officials </t>
        </is>
      </c>
      <c r="G3365" t="inlineStr">
        <is>
          <t>Réunions avec des représentants de l'industrie</t>
        </is>
      </c>
      <c r="H3365" s="1" t="n">
        <v>41584</v>
      </c>
      <c r="I3365" s="1" t="n">
        <v>41586</v>
      </c>
      <c r="J3365" t="inlineStr">
        <is>
          <t>Halifax, Nova Scotia</t>
        </is>
      </c>
      <c r="K3365" t="inlineStr">
        <is>
          <t>Halifax (Nouvelle-Écosse)</t>
        </is>
      </c>
      <c r="P3365" t="n">
        <v>0</v>
      </c>
      <c r="Q3365" t="n">
        <v>199.88</v>
      </c>
      <c r="R3365" t="n">
        <v>279.18</v>
      </c>
      <c r="S3365" t="n">
        <v>151</v>
      </c>
      <c r="T3365" t="n">
        <v>0</v>
      </c>
      <c r="U3365" t="n">
        <v>630.0599999999999</v>
      </c>
      <c r="X3365" t="inlineStr">
        <is>
          <t>acoa-apeca</t>
        </is>
      </c>
      <c r="Y3365" t="inlineStr">
        <is>
          <t>Atlantic Canada Opportunities Agency | Agence de promotion économique du Canada atlantique</t>
        </is>
      </c>
    </row>
    <row r="3366">
      <c r="A3366" t="inlineStr">
        <is>
          <t>T-2014-Q3-00053</t>
        </is>
      </c>
      <c r="B3366" t="inlineStr">
        <is>
          <t>SLE</t>
        </is>
      </c>
      <c r="C3366" t="inlineStr">
        <is>
          <t>Vice-President, Newfoundland and Labrador</t>
        </is>
      </c>
      <c r="D3366" t="inlineStr">
        <is>
          <t>Vice-président, Terre-Neuve-et-Labrador</t>
        </is>
      </c>
      <c r="E3366" t="inlineStr">
        <is>
          <t>Paul Mills</t>
        </is>
      </c>
      <c r="F3366" t="inlineStr">
        <is>
          <t>To attend meetings with senior officials in Ottawa</t>
        </is>
      </c>
      <c r="G3366" t="inlineStr">
        <is>
          <t>Assister à des réunions avec des hauts fonctionnaires à Ottawa</t>
        </is>
      </c>
      <c r="H3366" s="1" t="n">
        <v>41584</v>
      </c>
      <c r="I3366" s="1" t="n">
        <v>41586</v>
      </c>
      <c r="J3366" t="inlineStr">
        <is>
          <t>Ottawa, Ontario</t>
        </is>
      </c>
      <c r="K3366" t="inlineStr">
        <is>
          <t>Ottawa (Ontario)</t>
        </is>
      </c>
      <c r="P3366" t="n">
        <v>1376.74</v>
      </c>
      <c r="Q3366" t="n">
        <v>131</v>
      </c>
      <c r="R3366" t="n">
        <v>453.92</v>
      </c>
      <c r="S3366" t="n">
        <v>212.7</v>
      </c>
      <c r="T3366" t="n">
        <v>8.140000000000001</v>
      </c>
      <c r="U3366" t="n">
        <v>2182.5</v>
      </c>
      <c r="X3366" t="inlineStr">
        <is>
          <t>acoa-apeca</t>
        </is>
      </c>
      <c r="Y3366" t="inlineStr">
        <is>
          <t>Atlantic Canada Opportunities Agency | Agence de promotion économique du Canada atlantique</t>
        </is>
      </c>
    </row>
    <row r="3367">
      <c r="A3367" t="inlineStr">
        <is>
          <t>T-2014-Q3-00052</t>
        </is>
      </c>
      <c r="B3367" t="inlineStr">
        <is>
          <t>SLE</t>
        </is>
      </c>
      <c r="C3367" t="inlineStr">
        <is>
          <t>President</t>
        </is>
      </c>
      <c r="D3367" t="inlineStr">
        <is>
          <t>Président</t>
        </is>
      </c>
      <c r="E3367" t="inlineStr">
        <is>
          <t>Paul J. LeBlanc</t>
        </is>
      </c>
      <c r="F3367" t="inlineStr">
        <is>
          <t>For various meetings and discussions with: Agency officials; with Government of Canada officials</t>
        </is>
      </c>
      <c r="G3367" t="inlineStr">
        <is>
          <t>Diverses réunions et discussions avec des fonctionnaires de l'Agence et du gouvernement du Canada</t>
        </is>
      </c>
      <c r="H3367" s="1" t="n">
        <v>41583</v>
      </c>
      <c r="I3367" s="1" t="n">
        <v>41584</v>
      </c>
      <c r="J3367" t="inlineStr">
        <is>
          <t>Ottawa, Ontario</t>
        </is>
      </c>
      <c r="K3367" t="inlineStr">
        <is>
          <t>Ottawa (Ontario)</t>
        </is>
      </c>
      <c r="P3367" t="n">
        <v>741.74</v>
      </c>
      <c r="Q3367" t="n">
        <v>12.87</v>
      </c>
      <c r="R3367" t="n">
        <v>182.73</v>
      </c>
      <c r="S3367" t="n">
        <v>148.8</v>
      </c>
      <c r="T3367" t="n">
        <v>32</v>
      </c>
      <c r="U3367" t="n">
        <v>1118.14</v>
      </c>
      <c r="X3367" t="inlineStr">
        <is>
          <t>acoa-apeca</t>
        </is>
      </c>
      <c r="Y3367" t="inlineStr">
        <is>
          <t>Atlantic Canada Opportunities Agency | Agence de promotion économique du Canada atlantique</t>
        </is>
      </c>
    </row>
    <row r="3368">
      <c r="A3368" t="inlineStr">
        <is>
          <t>T-2014-Q3-00051</t>
        </is>
      </c>
      <c r="B3368" t="inlineStr">
        <is>
          <t>SLE</t>
        </is>
      </c>
      <c r="C3368" t="inlineStr">
        <is>
          <t>Vice-President, Prince Edward Island</t>
        </is>
      </c>
      <c r="D3368" t="inlineStr">
        <is>
          <t>Vice-président, Île-du-Prince-Édouard</t>
        </is>
      </c>
      <c r="E3368" t="inlineStr">
        <is>
          <t>Patrick Dorsey</t>
        </is>
      </c>
      <c r="F3368" t="inlineStr">
        <is>
          <t>To attend EXCOMM and meetings with ACOA officials</t>
        </is>
      </c>
      <c r="G3368" t="inlineStr">
        <is>
          <t>Assister à une réunion du Comité de direction et à des réunions avec des fonctionnaires de l'APECA</t>
        </is>
      </c>
      <c r="H3368" s="1" t="n">
        <v>41578</v>
      </c>
      <c r="I3368" s="1" t="n">
        <v>41579</v>
      </c>
      <c r="J3368" t="inlineStr">
        <is>
          <t>Moncton, New Brunswick</t>
        </is>
      </c>
      <c r="K3368" t="inlineStr">
        <is>
          <t>Moncton (Nouveau-Brunswick)</t>
        </is>
      </c>
      <c r="P3368" t="n">
        <v>0</v>
      </c>
      <c r="Q3368" t="n">
        <v>61.45</v>
      </c>
      <c r="R3368" t="n">
        <v>141.25</v>
      </c>
      <c r="S3368" t="n">
        <v>123.2</v>
      </c>
      <c r="T3368" t="n">
        <v>0</v>
      </c>
      <c r="U3368" t="n">
        <v>325.9</v>
      </c>
      <c r="X3368" t="inlineStr">
        <is>
          <t>acoa-apeca</t>
        </is>
      </c>
      <c r="Y3368" t="inlineStr">
        <is>
          <t>Atlantic Canada Opportunities Agency | Agence de promotion économique du Canada atlantique</t>
        </is>
      </c>
    </row>
    <row r="3369">
      <c r="A3369" t="inlineStr">
        <is>
          <t>T-2014-Q3-00050</t>
        </is>
      </c>
      <c r="B3369" t="inlineStr">
        <is>
          <t>SLE</t>
        </is>
      </c>
      <c r="C3369" t="inlineStr">
        <is>
          <t>Vice President, Nova Scotia</t>
        </is>
      </c>
      <c r="D3369" t="inlineStr">
        <is>
          <t>Vice-président, Nouvelle-Écosse</t>
        </is>
      </c>
      <c r="E3369" t="inlineStr">
        <is>
          <t>Peter Hogan</t>
        </is>
      </c>
      <c r="F3369" t="inlineStr">
        <is>
          <t xml:space="preserve">Meetings with Senior Agency officials </t>
        </is>
      </c>
      <c r="G3369" t="inlineStr">
        <is>
          <t>Réunions avec des hauts fonctionnaires de l'Agence</t>
        </is>
      </c>
      <c r="H3369" s="1" t="n">
        <v>41577</v>
      </c>
      <c r="I3369" s="1" t="n">
        <v>41579</v>
      </c>
      <c r="J3369" t="inlineStr">
        <is>
          <t>Moncton, New Brunswick</t>
        </is>
      </c>
      <c r="K3369" t="inlineStr">
        <is>
          <t>Moncton (Nouveau-Brunswick)</t>
        </is>
      </c>
      <c r="P3369" t="n">
        <v>0</v>
      </c>
      <c r="Q3369" t="n">
        <v>33.9</v>
      </c>
      <c r="R3369" t="n">
        <v>282.5</v>
      </c>
      <c r="S3369" t="n">
        <v>151</v>
      </c>
      <c r="T3369" t="n">
        <v>0</v>
      </c>
      <c r="U3369" t="n">
        <v>467.4</v>
      </c>
      <c r="X3369" t="inlineStr">
        <is>
          <t>acoa-apeca</t>
        </is>
      </c>
      <c r="Y3369" t="inlineStr">
        <is>
          <t>Atlantic Canada Opportunities Agency | Agence de promotion économique du Canada atlantique</t>
        </is>
      </c>
    </row>
    <row r="3370">
      <c r="A3370" t="inlineStr">
        <is>
          <t>T-2014-Q3-00049</t>
        </is>
      </c>
      <c r="B3370" t="inlineStr">
        <is>
          <t>SLE</t>
        </is>
      </c>
      <c r="C3370" t="inlineStr">
        <is>
          <t>Vice-President, Newfoundland and Labrador</t>
        </is>
      </c>
      <c r="D3370" t="inlineStr">
        <is>
          <t>Vice-président, Terre-Neuve-et-Labrador</t>
        </is>
      </c>
      <c r="E3370" t="inlineStr">
        <is>
          <t>Paul Mills</t>
        </is>
      </c>
      <c r="F3370" t="inlineStr">
        <is>
          <t>Executive Committee meeting</t>
        </is>
      </c>
      <c r="G3370" t="inlineStr">
        <is>
          <t>Réunion du Comité de direction</t>
        </is>
      </c>
      <c r="H3370" s="1" t="n">
        <v>41577</v>
      </c>
      <c r="I3370" s="1" t="n">
        <v>41579</v>
      </c>
      <c r="J3370" t="inlineStr">
        <is>
          <t>Moncton, New Brunswick</t>
        </is>
      </c>
      <c r="K3370" t="inlineStr">
        <is>
          <t>Moncton (Nouveau-Brunswick)</t>
        </is>
      </c>
      <c r="P3370" t="n">
        <v>1376.74</v>
      </c>
      <c r="Q3370" t="n">
        <v>356.16</v>
      </c>
      <c r="R3370" t="n">
        <v>276.05</v>
      </c>
      <c r="S3370" t="n">
        <v>239.6</v>
      </c>
      <c r="T3370" t="n">
        <v>21.75</v>
      </c>
      <c r="U3370" t="n">
        <v>2270.3</v>
      </c>
      <c r="X3370" t="inlineStr">
        <is>
          <t>acoa-apeca</t>
        </is>
      </c>
      <c r="Y3370" t="inlineStr">
        <is>
          <t>Atlantic Canada Opportunities Agency | Agence de promotion économique du Canada atlantique</t>
        </is>
      </c>
    </row>
    <row r="3371">
      <c r="A3371" t="inlineStr">
        <is>
          <t>T-2014-Q3-00048</t>
        </is>
      </c>
      <c r="B3371" t="inlineStr">
        <is>
          <t>SLE</t>
        </is>
      </c>
      <c r="C3371" t="inlineStr">
        <is>
          <t>Vice-President, Prince Edward Island</t>
        </is>
      </c>
      <c r="D3371" t="inlineStr">
        <is>
          <t>Vice-président, Île-du-Prince-Édouard</t>
        </is>
      </c>
      <c r="E3371" t="inlineStr">
        <is>
          <t>Patrick Dorsey</t>
        </is>
      </c>
      <c r="F3371" t="inlineStr">
        <is>
          <t>Meetings with Agency officials</t>
        </is>
      </c>
      <c r="G3371" t="inlineStr">
        <is>
          <t>Réunions avec des fonctionnaires de l'Agence</t>
        </is>
      </c>
      <c r="H3371" s="1" t="n">
        <v>41576</v>
      </c>
      <c r="I3371" s="1" t="n">
        <v>41577</v>
      </c>
      <c r="J3371" t="inlineStr">
        <is>
          <t>Halifax, Nova Scotia</t>
        </is>
      </c>
      <c r="K3371" t="inlineStr">
        <is>
          <t>Halifax (Nouvelle-Écosse)</t>
        </is>
      </c>
      <c r="P3371" t="n">
        <v>0</v>
      </c>
      <c r="Q3371" t="n">
        <v>77.44</v>
      </c>
      <c r="R3371" t="n">
        <v>170.09</v>
      </c>
      <c r="S3371" t="n">
        <v>107.45</v>
      </c>
      <c r="T3371" t="n">
        <v>0</v>
      </c>
      <c r="U3371" t="n">
        <v>354.98</v>
      </c>
      <c r="X3371" t="inlineStr">
        <is>
          <t>acoa-apeca</t>
        </is>
      </c>
      <c r="Y3371" t="inlineStr">
        <is>
          <t>Atlantic Canada Opportunities Agency | Agence de promotion économique du Canada atlantique</t>
        </is>
      </c>
    </row>
    <row r="3372">
      <c r="A3372" t="inlineStr">
        <is>
          <t>T-2014-Q3-00047</t>
        </is>
      </c>
      <c r="B3372" t="inlineStr">
        <is>
          <t>SLE</t>
        </is>
      </c>
      <c r="C3372" t="inlineStr">
        <is>
          <t>President</t>
        </is>
      </c>
      <c r="D3372" t="inlineStr">
        <is>
          <t>Président</t>
        </is>
      </c>
      <c r="E3372" t="inlineStr">
        <is>
          <t>Paul J. LeBlanc</t>
        </is>
      </c>
      <c r="F3372" t="inlineStr">
        <is>
          <t>For various meetings and discussions with: Agency officials; with Government of Canada officials</t>
        </is>
      </c>
      <c r="G3372" t="inlineStr">
        <is>
          <t>Diverses réunions et discussions avec des fonctionnaires de l'Agence et du gouvernement du Canada</t>
        </is>
      </c>
      <c r="H3372" s="1" t="n">
        <v>41576</v>
      </c>
      <c r="I3372" s="1" t="n">
        <v>41577</v>
      </c>
      <c r="J3372" t="inlineStr">
        <is>
          <t>Ottawa, Ontario</t>
        </is>
      </c>
      <c r="K3372" t="inlineStr">
        <is>
          <t>Ottawa (Ontario)</t>
        </is>
      </c>
      <c r="P3372" t="n">
        <v>1114.36</v>
      </c>
      <c r="Q3372" t="n">
        <v>12.87</v>
      </c>
      <c r="R3372" t="n">
        <v>182.73</v>
      </c>
      <c r="S3372" t="n">
        <v>133.7</v>
      </c>
      <c r="T3372" t="n">
        <v>32</v>
      </c>
      <c r="U3372" t="n">
        <v>1475.66</v>
      </c>
      <c r="X3372" t="inlineStr">
        <is>
          <t>acoa-apeca</t>
        </is>
      </c>
      <c r="Y3372" t="inlineStr">
        <is>
          <t>Atlantic Canada Opportunities Agency | Agence de promotion économique du Canada atlantique</t>
        </is>
      </c>
    </row>
    <row r="3373">
      <c r="A3373" t="inlineStr">
        <is>
          <t>T-2014-Q3-00046</t>
        </is>
      </c>
      <c r="B3373" t="inlineStr">
        <is>
          <t>SLE</t>
        </is>
      </c>
      <c r="C3373" t="inlineStr">
        <is>
          <t>Vice-President, Policy and Programs</t>
        </is>
      </c>
      <c r="D3373" t="inlineStr">
        <is>
          <t>Vice-président, Politiques et Programmes</t>
        </is>
      </c>
      <c r="E3373" t="inlineStr">
        <is>
          <t>Daryell Nowlan</t>
        </is>
      </c>
      <c r="F3373" t="inlineStr">
        <is>
          <t>Meeting with Government of Canada officials</t>
        </is>
      </c>
      <c r="G3373" t="inlineStr">
        <is>
          <t>Réunion avec des fonctionnaires du gouvernement du Canada</t>
        </is>
      </c>
      <c r="H3373" s="1" t="n">
        <v>41574</v>
      </c>
      <c r="I3373" s="1" t="n">
        <v>41576</v>
      </c>
      <c r="J3373" t="inlineStr">
        <is>
          <t>Ottawa, Ontario</t>
        </is>
      </c>
      <c r="K3373" t="inlineStr">
        <is>
          <t>Ottawa (Ontario)</t>
        </is>
      </c>
      <c r="P3373" t="n">
        <v>899.5599999999999</v>
      </c>
      <c r="Q3373" t="n">
        <v>100</v>
      </c>
      <c r="R3373" t="n">
        <v>365.46</v>
      </c>
      <c r="S3373" t="n">
        <v>208.1</v>
      </c>
      <c r="T3373" t="n">
        <v>0</v>
      </c>
      <c r="U3373" t="n">
        <v>1573.12</v>
      </c>
      <c r="X3373" t="inlineStr">
        <is>
          <t>acoa-apeca</t>
        </is>
      </c>
      <c r="Y3373" t="inlineStr">
        <is>
          <t>Atlantic Canada Opportunities Agency | Agence de promotion économique du Canada atlantique</t>
        </is>
      </c>
    </row>
    <row r="3374">
      <c r="A3374" t="inlineStr">
        <is>
          <t>T-2014-Q3-00045</t>
        </is>
      </c>
      <c r="B3374" t="inlineStr">
        <is>
          <t>MPSES</t>
        </is>
      </c>
      <c r="C3374" t="inlineStr">
        <is>
          <t>Minister of State</t>
        </is>
      </c>
      <c r="D3374" t="inlineStr">
        <is>
          <t>Ministre d'État</t>
        </is>
      </c>
      <c r="E3374" t="inlineStr">
        <is>
          <t>Rob Moore</t>
        </is>
      </c>
      <c r="F3374" t="inlineStr">
        <is>
          <t>Stakeholder meeting and Government of Canada announcement</t>
        </is>
      </c>
      <c r="G3374" t="inlineStr">
        <is>
          <t>Réunion avec intervenants et annonce du gouvernement du Canada</t>
        </is>
      </c>
      <c r="H3374" s="1" t="n">
        <v>41572</v>
      </c>
      <c r="I3374" s="1" t="n">
        <v>41572</v>
      </c>
      <c r="J3374" t="inlineStr">
        <is>
          <t>Saint John and Fredericton, New Brunswick</t>
        </is>
      </c>
      <c r="K3374" t="inlineStr">
        <is>
          <t>Saint John et Fredericton (Nouveau-Brunswick)</t>
        </is>
      </c>
      <c r="P3374" t="n">
        <v>0</v>
      </c>
      <c r="Q3374" t="n">
        <v>135.63</v>
      </c>
      <c r="R3374" t="n">
        <v>0</v>
      </c>
      <c r="S3374" t="n">
        <v>57.1</v>
      </c>
      <c r="T3374" t="n">
        <v>0</v>
      </c>
      <c r="U3374" t="n">
        <v>192.73</v>
      </c>
      <c r="X3374" t="inlineStr">
        <is>
          <t>acoa-apeca</t>
        </is>
      </c>
      <c r="Y3374" t="inlineStr">
        <is>
          <t>Atlantic Canada Opportunities Agency | Agence de promotion économique du Canada atlantique</t>
        </is>
      </c>
    </row>
    <row r="3375">
      <c r="A3375" t="inlineStr">
        <is>
          <t>T-2014-Q3-00044</t>
        </is>
      </c>
      <c r="B3375" t="inlineStr">
        <is>
          <t>SLE</t>
        </is>
      </c>
      <c r="C3375" t="inlineStr">
        <is>
          <t>Vice President, Nova Scotia</t>
        </is>
      </c>
      <c r="D3375" t="inlineStr">
        <is>
          <t>Vice-président, Nouvelle-Écosse</t>
        </is>
      </c>
      <c r="E3375" t="inlineStr">
        <is>
          <t>Peter Hogan</t>
        </is>
      </c>
      <c r="F3375" t="inlineStr">
        <is>
          <t xml:space="preserve">Meeting with client and site visit </t>
        </is>
      </c>
      <c r="G3375" t="inlineStr">
        <is>
          <t>Réunion avec un client et visite des lieux</t>
        </is>
      </c>
      <c r="H3375" s="1" t="n">
        <v>41570</v>
      </c>
      <c r="I3375" s="1" t="n">
        <v>41570</v>
      </c>
      <c r="J3375" t="inlineStr">
        <is>
          <t>Lunenburg, Nova Scotia</t>
        </is>
      </c>
      <c r="K3375" t="inlineStr">
        <is>
          <t>Lunenburg (Nouvelle-Écosse)</t>
        </is>
      </c>
      <c r="P3375" t="n">
        <v>0</v>
      </c>
      <c r="Q3375" t="n">
        <v>107.1</v>
      </c>
      <c r="R3375" t="n">
        <v>0</v>
      </c>
      <c r="S3375" t="n">
        <v>0</v>
      </c>
      <c r="T3375" t="n">
        <v>0</v>
      </c>
      <c r="U3375" t="n">
        <v>107.1</v>
      </c>
      <c r="X3375" t="inlineStr">
        <is>
          <t>acoa-apeca</t>
        </is>
      </c>
      <c r="Y3375" t="inlineStr">
        <is>
          <t>Atlantic Canada Opportunities Agency | Agence de promotion économique du Canada atlantique</t>
        </is>
      </c>
    </row>
    <row r="3376">
      <c r="A3376" t="inlineStr">
        <is>
          <t>T-2014-Q3-00043</t>
        </is>
      </c>
      <c r="B3376" t="inlineStr">
        <is>
          <t>SLE</t>
        </is>
      </c>
      <c r="C3376" t="inlineStr">
        <is>
          <t>President</t>
        </is>
      </c>
      <c r="D3376" t="inlineStr">
        <is>
          <t>Président</t>
        </is>
      </c>
      <c r="E3376" t="inlineStr">
        <is>
          <t>Paul J. LeBlanc</t>
        </is>
      </c>
      <c r="F3376" t="inlineStr">
        <is>
          <t>For various meetings and discussions with: Agency officials; with Government of Canada officials</t>
        </is>
      </c>
      <c r="G3376" t="inlineStr">
        <is>
          <t>Diverses réunions et discussions avec des fonctionnaires de l'Agence et du gouvernement du Canada</t>
        </is>
      </c>
      <c r="H3376" s="1" t="n">
        <v>41568</v>
      </c>
      <c r="I3376" s="1" t="n">
        <v>41570</v>
      </c>
      <c r="J3376" t="inlineStr">
        <is>
          <t>Ottawa, Ontario</t>
        </is>
      </c>
      <c r="K3376" t="inlineStr">
        <is>
          <t>Ottawa (Ontario)</t>
        </is>
      </c>
      <c r="P3376" t="n">
        <v>741.74</v>
      </c>
      <c r="Q3376" t="n">
        <v>12.87</v>
      </c>
      <c r="R3376" t="n">
        <v>393.4</v>
      </c>
      <c r="S3376" t="n">
        <v>196.95</v>
      </c>
      <c r="T3376" t="n">
        <v>104.5</v>
      </c>
      <c r="U3376" t="n">
        <v>1449.46</v>
      </c>
      <c r="X3376" t="inlineStr">
        <is>
          <t>acoa-apeca</t>
        </is>
      </c>
      <c r="Y3376" t="inlineStr">
        <is>
          <t>Atlantic Canada Opportunities Agency | Agence de promotion économique du Canada atlantique</t>
        </is>
      </c>
    </row>
    <row r="3377">
      <c r="A3377" t="inlineStr">
        <is>
          <t>T-2014-Q3-00042</t>
        </is>
      </c>
      <c r="B3377" t="inlineStr">
        <is>
          <t>MPSES</t>
        </is>
      </c>
      <c r="C3377" t="inlineStr">
        <is>
          <t>Regional Affairs Director - New Brunswick</t>
        </is>
      </c>
      <c r="D3377" t="inlineStr">
        <is>
          <t>Directeur des affaires régionales - Nouveau-Brunswick</t>
        </is>
      </c>
      <c r="E3377" t="inlineStr">
        <is>
          <t>Douglas MacDonald</t>
        </is>
      </c>
      <c r="F3377" t="inlineStr">
        <is>
          <t>Travel on Government business</t>
        </is>
      </c>
      <c r="G3377" t="inlineStr">
        <is>
          <t>Voyage pour le compte du gouvernement</t>
        </is>
      </c>
      <c r="H3377" s="1" t="n">
        <v>41567</v>
      </c>
      <c r="I3377" s="1" t="n">
        <v>41569</v>
      </c>
      <c r="J3377" t="inlineStr">
        <is>
          <t>Moncton, New Brunswick and Ottawa, Ontario</t>
        </is>
      </c>
      <c r="K3377" t="inlineStr">
        <is>
          <t>Moncton (Nouveau-Brunswick) et Ottawa (Ontario)</t>
        </is>
      </c>
      <c r="P3377" t="n">
        <v>478.27</v>
      </c>
      <c r="Q3377" t="n">
        <v>261.5</v>
      </c>
      <c r="R3377" t="n">
        <v>365.46</v>
      </c>
      <c r="S3377" t="n">
        <v>145.7</v>
      </c>
      <c r="T3377" t="n">
        <v>0</v>
      </c>
      <c r="U3377" t="n">
        <v>1250.93</v>
      </c>
      <c r="X3377" t="inlineStr">
        <is>
          <t>acoa-apeca</t>
        </is>
      </c>
      <c r="Y3377" t="inlineStr">
        <is>
          <t>Atlantic Canada Opportunities Agency | Agence de promotion économique du Canada atlantique</t>
        </is>
      </c>
    </row>
    <row r="3378">
      <c r="A3378" t="inlineStr">
        <is>
          <t>T-2014-Q3-00040</t>
        </is>
      </c>
      <c r="B3378" t="inlineStr">
        <is>
          <t>MPSES</t>
        </is>
      </c>
      <c r="C3378" t="inlineStr">
        <is>
          <t>Minister of State</t>
        </is>
      </c>
      <c r="D3378" t="inlineStr">
        <is>
          <t>Ministre d'État</t>
        </is>
      </c>
      <c r="E3378" t="inlineStr">
        <is>
          <t>Rob Moore</t>
        </is>
      </c>
      <c r="F3378" t="inlineStr">
        <is>
          <t>Roundtable with stakeholders</t>
        </is>
      </c>
      <c r="G3378" t="inlineStr">
        <is>
          <t>Table ronde avec intervenants</t>
        </is>
      </c>
      <c r="H3378" s="1" t="n">
        <v>41565</v>
      </c>
      <c r="I3378" s="1" t="n">
        <v>41565</v>
      </c>
      <c r="J3378" t="inlineStr">
        <is>
          <t>Fredericton, New Brunswick</t>
        </is>
      </c>
      <c r="K3378" t="inlineStr">
        <is>
          <t>Fredericton (Nouveau-Brunswick)</t>
        </is>
      </c>
      <c r="P3378" t="n">
        <v>0</v>
      </c>
      <c r="Q3378" t="n">
        <v>144.54</v>
      </c>
      <c r="R3378" t="n">
        <v>0</v>
      </c>
      <c r="S3378" t="n">
        <v>57.1</v>
      </c>
      <c r="T3378" t="n">
        <v>0</v>
      </c>
      <c r="U3378" t="n">
        <v>201.64</v>
      </c>
      <c r="X3378" t="inlineStr">
        <is>
          <t>acoa-apeca</t>
        </is>
      </c>
      <c r="Y3378" t="inlineStr">
        <is>
          <t>Atlantic Canada Opportunities Agency | Agence de promotion économique du Canada atlantique</t>
        </is>
      </c>
    </row>
    <row r="3379">
      <c r="A3379" t="inlineStr">
        <is>
          <t>T-2014-Q3-00039</t>
        </is>
      </c>
      <c r="B3379" t="inlineStr">
        <is>
          <t>SLE</t>
        </is>
      </c>
      <c r="C3379" t="inlineStr">
        <is>
          <t>Vice-President, Prince Edward Island</t>
        </is>
      </c>
      <c r="D3379" t="inlineStr">
        <is>
          <t>Vice-président, Île-du-Prince-Édouard</t>
        </is>
      </c>
      <c r="E3379" t="inlineStr">
        <is>
          <t>Patrick Dorsey</t>
        </is>
      </c>
      <c r="F3379" t="inlineStr">
        <is>
          <t>TTRA Annual Conference in Ottawa and meetings with Government of Canada officials</t>
        </is>
      </c>
      <c r="G3379" t="inlineStr">
        <is>
          <t>Conférence annuelle de la TTRA à Ottawa et réunions avec des fonctionnaires du gouvernement du Canada</t>
        </is>
      </c>
      <c r="H3379" s="1" t="n">
        <v>41563</v>
      </c>
      <c r="I3379" s="1" t="n">
        <v>41565</v>
      </c>
      <c r="J3379" t="inlineStr">
        <is>
          <t>Ottawa, Ontario</t>
        </is>
      </c>
      <c r="K3379" t="inlineStr">
        <is>
          <t>Ottawa (Ontario)</t>
        </is>
      </c>
      <c r="P3379" t="n">
        <v>704.15</v>
      </c>
      <c r="Q3379" t="n">
        <v>105.5</v>
      </c>
      <c r="R3379" t="n">
        <v>365.46</v>
      </c>
      <c r="S3379" t="n">
        <v>212.7</v>
      </c>
      <c r="T3379" t="n">
        <v>0</v>
      </c>
      <c r="U3379" t="n">
        <v>1387.81</v>
      </c>
      <c r="X3379" t="inlineStr">
        <is>
          <t>acoa-apeca</t>
        </is>
      </c>
      <c r="Y3379" t="inlineStr">
        <is>
          <t>Atlantic Canada Opportunities Agency | Agence de promotion économique du Canada atlantique</t>
        </is>
      </c>
    </row>
    <row r="3380">
      <c r="A3380" t="inlineStr">
        <is>
          <t>T-2014-Q3-00038</t>
        </is>
      </c>
      <c r="B3380" t="inlineStr">
        <is>
          <t>SLE</t>
        </is>
      </c>
      <c r="C3380" t="inlineStr">
        <is>
          <t>Vice-President, Newfoundland and Labrador</t>
        </is>
      </c>
      <c r="D3380" t="inlineStr">
        <is>
          <t>Vice-président, Terre-Neuve-et-Labrador</t>
        </is>
      </c>
      <c r="E3380" t="inlineStr">
        <is>
          <t>Paul Mills</t>
        </is>
      </c>
      <c r="F3380" t="inlineStr">
        <is>
          <t>Travel to client meetings to Grand Falls-Windsor, Gros Morne and Corner Brook</t>
        </is>
      </c>
      <c r="G3380" t="inlineStr">
        <is>
          <t>Réunions avec des clients à Grand Falls-Windsor, à Gros Morne et à Corner Brook</t>
        </is>
      </c>
      <c r="H3380" s="1" t="n">
        <v>41562</v>
      </c>
      <c r="I3380" s="1" t="n">
        <v>41565</v>
      </c>
      <c r="J3380" t="inlineStr">
        <is>
          <t>Grand Falls, Rocky Harbour and Corner Brook</t>
        </is>
      </c>
      <c r="K3380" t="inlineStr">
        <is>
          <t>Grand Falls, Rocky Harbour et Corner Brook</t>
        </is>
      </c>
      <c r="P3380" t="n">
        <v>0</v>
      </c>
      <c r="Q3380" t="n">
        <v>965.66</v>
      </c>
      <c r="R3380" t="n">
        <v>380.69</v>
      </c>
      <c r="S3380" t="n">
        <v>302.85</v>
      </c>
      <c r="T3380" t="n">
        <v>10.54</v>
      </c>
      <c r="U3380" t="n">
        <v>1659.74</v>
      </c>
      <c r="X3380" t="inlineStr">
        <is>
          <t>acoa-apeca</t>
        </is>
      </c>
      <c r="Y3380" t="inlineStr">
        <is>
          <t>Atlantic Canada Opportunities Agency | Agence de promotion économique du Canada atlantique</t>
        </is>
      </c>
    </row>
    <row r="3381">
      <c r="A3381" t="inlineStr">
        <is>
          <t>T-2014-Q3-00037</t>
        </is>
      </c>
      <c r="B3381" t="inlineStr">
        <is>
          <t>SLE</t>
        </is>
      </c>
      <c r="C3381" t="inlineStr">
        <is>
          <t>President</t>
        </is>
      </c>
      <c r="D3381" t="inlineStr">
        <is>
          <t>Président</t>
        </is>
      </c>
      <c r="E3381" t="inlineStr">
        <is>
          <t>Paul J. LeBlanc</t>
        </is>
      </c>
      <c r="F3381" t="inlineStr">
        <is>
          <t>For various meetings and discussions with: Agency officials; and with Government of Canada officials</t>
        </is>
      </c>
      <c r="G3381" t="inlineStr">
        <is>
          <t>Diverses réunions et discussions avec des fonctionnaires de l'Agence et du gouvernement du Canada</t>
        </is>
      </c>
      <c r="H3381" s="1" t="n">
        <v>41562</v>
      </c>
      <c r="I3381" s="1" t="n">
        <v>41565</v>
      </c>
      <c r="J3381" t="inlineStr">
        <is>
          <t>Ottawa, Ontario</t>
        </is>
      </c>
      <c r="K3381" t="inlineStr">
        <is>
          <t>Ottawa (Ontario)</t>
        </is>
      </c>
      <c r="P3381" t="n">
        <v>1114.36</v>
      </c>
      <c r="Q3381" t="n">
        <v>12.87</v>
      </c>
      <c r="R3381" t="n">
        <v>590.1</v>
      </c>
      <c r="S3381" t="n">
        <v>256.9</v>
      </c>
      <c r="T3381" t="n">
        <v>16</v>
      </c>
      <c r="U3381" t="n">
        <v>1990.23</v>
      </c>
      <c r="X3381" t="inlineStr">
        <is>
          <t>acoa-apeca</t>
        </is>
      </c>
      <c r="Y3381" t="inlineStr">
        <is>
          <t>Atlantic Canada Opportunities Agency | Agence de promotion économique du Canada atlantique</t>
        </is>
      </c>
    </row>
    <row r="3382">
      <c r="A3382" t="inlineStr">
        <is>
          <t>T-2014-Q3-00036</t>
        </is>
      </c>
      <c r="B3382" t="inlineStr">
        <is>
          <t>MPSES</t>
        </is>
      </c>
      <c r="C3382" t="inlineStr">
        <is>
          <t>Regional Affairs Director - New Brunswick</t>
        </is>
      </c>
      <c r="D3382" t="inlineStr">
        <is>
          <t>Directeur des affaires régionales - Nouveau-Brunswick</t>
        </is>
      </c>
      <c r="E3382" t="inlineStr">
        <is>
          <t>Douglas MacDonald</t>
        </is>
      </c>
      <c r="F3382" t="inlineStr">
        <is>
          <t>Travel on Government business</t>
        </is>
      </c>
      <c r="G3382" t="inlineStr">
        <is>
          <t>Voyage pour le compte du gouvernement</t>
        </is>
      </c>
      <c r="H3382" s="1" t="n">
        <v>41558</v>
      </c>
      <c r="I3382" s="1" t="n">
        <v>41558</v>
      </c>
      <c r="J3382" t="inlineStr">
        <is>
          <t>Fredericton and Saint John, New Brunswick</t>
        </is>
      </c>
      <c r="K3382" t="inlineStr">
        <is>
          <t>Fredericton et Sain John (Nouveau-Brunswick)</t>
        </is>
      </c>
      <c r="P3382" t="n">
        <v>0</v>
      </c>
      <c r="Q3382" t="n">
        <v>145.53</v>
      </c>
      <c r="R3382" t="n">
        <v>0</v>
      </c>
      <c r="S3382" t="n">
        <v>0</v>
      </c>
      <c r="T3382" t="n">
        <v>0</v>
      </c>
      <c r="U3382" t="n">
        <v>145.53</v>
      </c>
      <c r="X3382" t="inlineStr">
        <is>
          <t>acoa-apeca</t>
        </is>
      </c>
      <c r="Y3382" t="inlineStr">
        <is>
          <t>Atlantic Canada Opportunities Agency | Agence de promotion économique du Canada atlantique</t>
        </is>
      </c>
    </row>
    <row r="3383">
      <c r="A3383" t="inlineStr">
        <is>
          <t>T-2014-Q3-00034</t>
        </is>
      </c>
      <c r="B3383" t="inlineStr">
        <is>
          <t>MPSES</t>
        </is>
      </c>
      <c r="C3383" t="inlineStr">
        <is>
          <t>Regional Affairs Director - New Brunswick</t>
        </is>
      </c>
      <c r="D3383" t="inlineStr">
        <is>
          <t>Directeur des affaires régionales - Nouveau-Brunswick</t>
        </is>
      </c>
      <c r="E3383" t="inlineStr">
        <is>
          <t>Douglas MacDonald</t>
        </is>
      </c>
      <c r="F3383" t="inlineStr">
        <is>
          <t>Travel on Government business</t>
        </is>
      </c>
      <c r="G3383" t="inlineStr">
        <is>
          <t>Voyage pour le compte du gouvernement</t>
        </is>
      </c>
      <c r="H3383" s="1" t="n">
        <v>41556</v>
      </c>
      <c r="I3383" s="1" t="n">
        <v>41556</v>
      </c>
      <c r="J3383" t="inlineStr">
        <is>
          <t>Moncton and Fredericton, New Brunswick</t>
        </is>
      </c>
      <c r="K3383" t="inlineStr">
        <is>
          <t>Moncton et Fredericton (Nouveau-Brunswick)</t>
        </is>
      </c>
      <c r="P3383" t="n">
        <v>0</v>
      </c>
      <c r="Q3383" t="n">
        <v>235.62</v>
      </c>
      <c r="R3383" t="n">
        <v>0</v>
      </c>
      <c r="S3383" t="n">
        <v>0</v>
      </c>
      <c r="T3383" t="n">
        <v>0</v>
      </c>
      <c r="U3383" t="n">
        <v>235.62</v>
      </c>
      <c r="X3383" t="inlineStr">
        <is>
          <t>acoa-apeca</t>
        </is>
      </c>
      <c r="Y3383" t="inlineStr">
        <is>
          <t>Atlantic Canada Opportunities Agency | Agence de promotion économique du Canada atlantique</t>
        </is>
      </c>
    </row>
    <row r="3384">
      <c r="A3384" t="inlineStr">
        <is>
          <t>T-2014-Q3-00032</t>
        </is>
      </c>
      <c r="B3384" t="inlineStr">
        <is>
          <t>SLE</t>
        </is>
      </c>
      <c r="C3384" t="inlineStr">
        <is>
          <t>President</t>
        </is>
      </c>
      <c r="D3384" t="inlineStr">
        <is>
          <t>Président</t>
        </is>
      </c>
      <c r="E3384" t="inlineStr">
        <is>
          <t>Paul J. LeBlanc</t>
        </is>
      </c>
      <c r="F3384" t="inlineStr">
        <is>
          <t>For various meetings and visits with Agency officials and key stakeholders</t>
        </is>
      </c>
      <c r="G3384" t="inlineStr">
        <is>
          <t>Diverses réunions et visites avec des fonctionnaires de l'Agence et des intervenants clés</t>
        </is>
      </c>
      <c r="H3384" s="1" t="n">
        <v>41555</v>
      </c>
      <c r="I3384" s="1" t="n">
        <v>41558</v>
      </c>
      <c r="J3384" t="inlineStr">
        <is>
          <t>St. John's, Newfoundland and Labrador</t>
        </is>
      </c>
      <c r="K3384" t="inlineStr">
        <is>
          <t>St. John's (Terre-Neuve-et-Labrador)</t>
        </is>
      </c>
      <c r="P3384" t="n">
        <v>1979.22</v>
      </c>
      <c r="Q3384" t="n">
        <v>26</v>
      </c>
      <c r="R3384" t="n">
        <v>675.09</v>
      </c>
      <c r="S3384" t="n">
        <v>272.65</v>
      </c>
      <c r="T3384" t="n">
        <v>0</v>
      </c>
      <c r="U3384" t="n">
        <v>2952.96</v>
      </c>
      <c r="X3384" t="inlineStr">
        <is>
          <t>acoa-apeca</t>
        </is>
      </c>
      <c r="Y3384" t="inlineStr">
        <is>
          <t>Atlantic Canada Opportunities Agency | Agence de promotion économique du Canada atlantique</t>
        </is>
      </c>
    </row>
    <row r="3385">
      <c r="A3385" t="inlineStr">
        <is>
          <t>T-2014-Q3-00031</t>
        </is>
      </c>
      <c r="B3385" t="inlineStr">
        <is>
          <t>SLE</t>
        </is>
      </c>
      <c r="C3385" t="inlineStr">
        <is>
          <t>Vice-President, Prince Edward Island</t>
        </is>
      </c>
      <c r="D3385" t="inlineStr">
        <is>
          <t>Vice-président, Île-du-Prince-Édouard</t>
        </is>
      </c>
      <c r="E3385" t="inlineStr">
        <is>
          <t>Patrick Dorsey</t>
        </is>
      </c>
      <c r="F3385" t="inlineStr">
        <is>
          <t>Meetings with Government of Canada officials in Halifax and St. John's</t>
        </is>
      </c>
      <c r="G3385" t="inlineStr">
        <is>
          <t>Réunions avec des fonctionnaires du gouvernement du Canada à Halifax et à St. John's</t>
        </is>
      </c>
      <c r="H3385" s="1" t="n">
        <v>41553</v>
      </c>
      <c r="I3385" s="1" t="n">
        <v>41555</v>
      </c>
      <c r="J3385" t="inlineStr">
        <is>
          <t>Halifax, Nova Scotia and St. John's, Newfoundland and Labrador</t>
        </is>
      </c>
      <c r="K3385" t="inlineStr">
        <is>
          <t>Halifax (Nouvelle-Écosse) et St. John's (Terre-Neuve-et-Labrador)</t>
        </is>
      </c>
      <c r="P3385" t="n">
        <v>1398.57</v>
      </c>
      <c r="Q3385" t="n">
        <v>93.5</v>
      </c>
      <c r="R3385" t="n">
        <v>367.82</v>
      </c>
      <c r="S3385" t="n">
        <v>197.6</v>
      </c>
      <c r="T3385" t="n">
        <v>57.43</v>
      </c>
      <c r="U3385" t="n">
        <v>2114.92</v>
      </c>
      <c r="X3385" t="inlineStr">
        <is>
          <t>acoa-apeca</t>
        </is>
      </c>
      <c r="Y3385" t="inlineStr">
        <is>
          <t>Atlantic Canada Opportunities Agency | Agence de promotion économique du Canada atlantique</t>
        </is>
      </c>
    </row>
    <row r="3386">
      <c r="A3386" t="inlineStr">
        <is>
          <t>T-2014-Q2-00022</t>
        </is>
      </c>
      <c r="B3386" t="inlineStr">
        <is>
          <t>SLE</t>
        </is>
      </c>
      <c r="C3386" t="inlineStr">
        <is>
          <t>President</t>
        </is>
      </c>
      <c r="D3386" t="inlineStr">
        <is>
          <t>Président</t>
        </is>
      </c>
      <c r="E3386" t="inlineStr">
        <is>
          <t>Paul J. LeBlanc</t>
        </is>
      </c>
      <c r="F3386" t="inlineStr">
        <is>
          <t>For meeting with Agency officials</t>
        </is>
      </c>
      <c r="G3386" t="inlineStr">
        <is>
          <t>Réunion avec des fonctionnaires de l'Agence</t>
        </is>
      </c>
      <c r="H3386" s="1" t="n">
        <v>41460</v>
      </c>
      <c r="I3386" s="1" t="n">
        <v>41460</v>
      </c>
      <c r="J3386" t="inlineStr">
        <is>
          <t>Summerside, Prince Edward Island</t>
        </is>
      </c>
      <c r="K3386" t="inlineStr">
        <is>
          <t>Summerside (Île-du-Prince-Édouard)</t>
        </is>
      </c>
      <c r="P3386" t="n">
        <v>0</v>
      </c>
      <c r="Q3386" t="n">
        <v>0</v>
      </c>
      <c r="R3386" t="n">
        <v>0</v>
      </c>
      <c r="S3386" t="n">
        <v>15.15</v>
      </c>
      <c r="T3386" t="n">
        <v>44.5</v>
      </c>
      <c r="U3386" t="n">
        <v>59.65</v>
      </c>
      <c r="X3386" t="inlineStr">
        <is>
          <t>acoa-apeca</t>
        </is>
      </c>
      <c r="Y3386" t="inlineStr">
        <is>
          <t>Atlantic Canada Opportunities Agency | Agence de promotion économique du Canada atlantique</t>
        </is>
      </c>
    </row>
    <row r="3387">
      <c r="A3387" t="inlineStr">
        <is>
          <t>T-2014-Q3-00014</t>
        </is>
      </c>
      <c r="B3387" t="inlineStr">
        <is>
          <t>SLE</t>
        </is>
      </c>
      <c r="C3387" t="inlineStr">
        <is>
          <t>Vice-President, Policy and Programs</t>
        </is>
      </c>
      <c r="D3387" t="inlineStr">
        <is>
          <t>Vice-président, Politiques et Programmes</t>
        </is>
      </c>
      <c r="E3387" t="inlineStr">
        <is>
          <t>Daryell Nowlan</t>
        </is>
      </c>
      <c r="F3387" t="inlineStr">
        <is>
          <t>Atlantic Association of CBDCs Annual General Meeting</t>
        </is>
      </c>
      <c r="G3387" t="inlineStr">
        <is>
          <t>Assemblée générale annuelle de l'Association atlantique des CBDC</t>
        </is>
      </c>
      <c r="H3387" s="1" t="n">
        <v>41535</v>
      </c>
      <c r="I3387" s="1" t="n">
        <v>41536</v>
      </c>
      <c r="J3387" t="inlineStr">
        <is>
          <t>Fredericton, New Brunswick</t>
        </is>
      </c>
      <c r="K3387" t="inlineStr">
        <is>
          <t>Fredericton (Nouveau-Brunswick)</t>
        </is>
      </c>
      <c r="P3387" t="n">
        <v>0</v>
      </c>
      <c r="Q3387" t="n">
        <v>96.92</v>
      </c>
      <c r="R3387" t="n">
        <v>163.85</v>
      </c>
      <c r="S3387" t="n">
        <v>50.25</v>
      </c>
      <c r="T3387" t="n">
        <v>0</v>
      </c>
      <c r="U3387" t="n">
        <v>311.02</v>
      </c>
      <c r="X3387" t="inlineStr">
        <is>
          <t>acoa-apeca</t>
        </is>
      </c>
      <c r="Y3387" t="inlineStr">
        <is>
          <t>Atlantic Canada Opportunities Agency | Agence de promotion économique du Canada atlantique</t>
        </is>
      </c>
    </row>
    <row r="3388">
      <c r="A3388" t="inlineStr">
        <is>
          <t>T-2014-Q3-00030</t>
        </is>
      </c>
      <c r="B3388" t="inlineStr">
        <is>
          <t>SLE</t>
        </is>
      </c>
      <c r="C3388" t="inlineStr">
        <is>
          <t>Vice-President, Newfoundland and Labrador</t>
        </is>
      </c>
      <c r="D3388" t="inlineStr">
        <is>
          <t>Vice-président, Terre-Neuve-et-Labrador</t>
        </is>
      </c>
      <c r="E3388" t="inlineStr">
        <is>
          <t>Paul Mills</t>
        </is>
      </c>
      <c r="F3388" t="inlineStr">
        <is>
          <t>Mileage claim for travel to meetings in private vehicle from October 1 to December 18, 2013</t>
        </is>
      </c>
      <c r="G3388" t="inlineStr">
        <is>
          <t>Réclamation de frais de kilométrage relatifs à l'utilisation d'un véhicule personnel pour voyager à des réunions du 1er octobre au 18 décembre 2013</t>
        </is>
      </c>
      <c r="H3388" s="1" t="n">
        <v>41548</v>
      </c>
      <c r="I3388" s="1" t="n">
        <v>41626</v>
      </c>
      <c r="J3388" t="inlineStr">
        <is>
          <t>St. John's, Newfoundland and Labrador</t>
        </is>
      </c>
      <c r="K3388" t="inlineStr">
        <is>
          <t>St. John's (Terre-Neuve-et-Labrador)</t>
        </is>
      </c>
      <c r="P3388" t="n">
        <v>0</v>
      </c>
      <c r="Q3388" t="n">
        <v>72.34999999999999</v>
      </c>
      <c r="R3388" t="n">
        <v>0</v>
      </c>
      <c r="S3388" t="n">
        <v>0</v>
      </c>
      <c r="T3388" t="n">
        <v>0</v>
      </c>
      <c r="U3388" t="n">
        <v>72.34999999999999</v>
      </c>
      <c r="X3388" t="inlineStr">
        <is>
          <t>acoa-apeca</t>
        </is>
      </c>
      <c r="Y3388" t="inlineStr">
        <is>
          <t>Atlantic Canada Opportunities Agency | Agence de promotion économique du Canada atlantique</t>
        </is>
      </c>
    </row>
    <row r="3389">
      <c r="A3389" t="inlineStr">
        <is>
          <t>T-2014-Q3-00029</t>
        </is>
      </c>
      <c r="B3389" t="inlineStr">
        <is>
          <t>SLE</t>
        </is>
      </c>
      <c r="C3389" t="inlineStr">
        <is>
          <t>Vice President, Nova Scotia</t>
        </is>
      </c>
      <c r="D3389" t="inlineStr">
        <is>
          <t>Vice-président, Nouvelle-Écosse</t>
        </is>
      </c>
      <c r="E3389" t="inlineStr">
        <is>
          <t>Peter Hogan</t>
        </is>
      </c>
      <c r="F3389" t="inlineStr">
        <is>
          <t>Various meetings with Government of Canada and Agency officials</t>
        </is>
      </c>
      <c r="G3389" t="inlineStr">
        <is>
          <t>Diverses réunions avec des fonctionnaires de l'Agence et du gouvernement du Canada</t>
        </is>
      </c>
      <c r="H3389" s="1" t="n">
        <v>41548</v>
      </c>
      <c r="I3389" s="1" t="n">
        <v>41549</v>
      </c>
      <c r="J3389" t="inlineStr">
        <is>
          <t>Ottawa, Ontario</t>
        </is>
      </c>
      <c r="K3389" t="inlineStr">
        <is>
          <t>Ottawa (Ontario)</t>
        </is>
      </c>
      <c r="P3389" t="n">
        <v>439.82</v>
      </c>
      <c r="Q3389" t="n">
        <v>90.40000000000001</v>
      </c>
      <c r="R3389" t="n">
        <v>231.62</v>
      </c>
      <c r="S3389" t="n">
        <v>122.55</v>
      </c>
      <c r="T3389" t="n">
        <v>38</v>
      </c>
      <c r="U3389" t="n">
        <v>922.39</v>
      </c>
      <c r="X3389" t="inlineStr">
        <is>
          <t>acoa-apeca</t>
        </is>
      </c>
      <c r="Y3389" t="inlineStr">
        <is>
          <t>Atlantic Canada Opportunities Agency | Agence de promotion économique du Canada atlantique</t>
        </is>
      </c>
    </row>
    <row r="3390">
      <c r="A3390" t="inlineStr">
        <is>
          <t>T-2014-Q3-00028</t>
        </is>
      </c>
      <c r="B3390" t="inlineStr">
        <is>
          <t>SLE</t>
        </is>
      </c>
      <c r="C3390" t="inlineStr">
        <is>
          <t>Acting Vice-President, New Brunswick</t>
        </is>
      </c>
      <c r="D3390" t="inlineStr">
        <is>
          <t>Vice-présidente par intérim, Nouveau-Brunswick</t>
        </is>
      </c>
      <c r="E3390" t="inlineStr">
        <is>
          <t>Denise Frenette</t>
        </is>
      </c>
      <c r="F3390" t="inlineStr">
        <is>
          <t>Assignment in Fredericton</t>
        </is>
      </c>
      <c r="G3390" t="inlineStr">
        <is>
          <t>Affectation à Fredericton</t>
        </is>
      </c>
      <c r="H3390" s="1" t="n">
        <v>41548</v>
      </c>
      <c r="I3390" s="1" t="n">
        <v>41578</v>
      </c>
      <c r="J3390" t="inlineStr">
        <is>
          <t>Fredericton, New Brunswick</t>
        </is>
      </c>
      <c r="K3390" t="inlineStr">
        <is>
          <t>Fredericton (Nouveau-Brunswick)</t>
        </is>
      </c>
      <c r="P3390" t="n">
        <v>0</v>
      </c>
      <c r="Q3390" t="n">
        <v>99</v>
      </c>
      <c r="R3390" t="n">
        <v>1825</v>
      </c>
      <c r="S3390" t="n">
        <v>1057</v>
      </c>
      <c r="T3390" t="n">
        <v>0</v>
      </c>
      <c r="U3390" t="n">
        <v>2981</v>
      </c>
      <c r="X3390" t="inlineStr">
        <is>
          <t>acoa-apeca</t>
        </is>
      </c>
      <c r="Y3390" t="inlineStr">
        <is>
          <t>Atlantic Canada Opportunities Agency | Agence de promotion économique du Canada atlantique</t>
        </is>
      </c>
    </row>
    <row r="3391">
      <c r="A3391" t="inlineStr">
        <is>
          <t>T-2014-Q3-00026</t>
        </is>
      </c>
      <c r="B3391" t="inlineStr">
        <is>
          <t>SLE</t>
        </is>
      </c>
      <c r="C3391" t="inlineStr">
        <is>
          <t>Acting Vice-President, New Brunswick</t>
        </is>
      </c>
      <c r="D3391" t="inlineStr">
        <is>
          <t>Vice-présidente par intérim, Nouveau-Brunswick</t>
        </is>
      </c>
      <c r="E3391" t="inlineStr">
        <is>
          <t>Denise Frenette</t>
        </is>
      </c>
      <c r="F3391" t="inlineStr">
        <is>
          <t>25th International Colloquium on Financial Management for National Governments</t>
        </is>
      </c>
      <c r="G3391" t="inlineStr">
        <is>
          <t>25e colloque international sur la gestion financière des gouvernements nationaux</t>
        </is>
      </c>
      <c r="H3391" s="1" t="n">
        <v>41547</v>
      </c>
      <c r="I3391" s="1" t="n">
        <v>41550</v>
      </c>
      <c r="J3391" t="inlineStr">
        <is>
          <t>Ottawa, Ontario</t>
        </is>
      </c>
      <c r="K3391" t="inlineStr">
        <is>
          <t>Ottawa (Ontario)</t>
        </is>
      </c>
      <c r="P3391" t="n">
        <v>891.6799999999999</v>
      </c>
      <c r="Q3391" t="n">
        <v>91</v>
      </c>
      <c r="R3391" t="n">
        <v>548.1900000000001</v>
      </c>
      <c r="S3391" t="n">
        <v>282.85</v>
      </c>
      <c r="T3391" t="n">
        <v>0</v>
      </c>
      <c r="U3391" t="n">
        <v>1813.72</v>
      </c>
      <c r="X3391" t="inlineStr">
        <is>
          <t>acoa-apeca</t>
        </is>
      </c>
      <c r="Y3391" t="inlineStr">
        <is>
          <t>Atlantic Canada Opportunities Agency | Agence de promotion économique du Canada atlantique</t>
        </is>
      </c>
    </row>
    <row r="3392">
      <c r="A3392" t="inlineStr">
        <is>
          <t>T-2014-Q3-00025</t>
        </is>
      </c>
      <c r="B3392" t="inlineStr">
        <is>
          <t>SLE</t>
        </is>
      </c>
      <c r="C3392" t="inlineStr">
        <is>
          <t>President</t>
        </is>
      </c>
      <c r="D3392" t="inlineStr">
        <is>
          <t>Président</t>
        </is>
      </c>
      <c r="E3392" t="inlineStr">
        <is>
          <t>Paul J. LeBlanc</t>
        </is>
      </c>
      <c r="F3392" t="inlineStr">
        <is>
          <t>For various meetings and discussions with: Agency officials; with Government of Canada officials</t>
        </is>
      </c>
      <c r="G3392" t="inlineStr">
        <is>
          <t>Diverses réunions et discussions avec des fonctionnaires de l'Agence et du gouvernement du Canada</t>
        </is>
      </c>
      <c r="H3392" s="1" t="n">
        <v>41546</v>
      </c>
      <c r="I3392" s="1" t="n">
        <v>41550</v>
      </c>
      <c r="J3392" t="inlineStr">
        <is>
          <t>Ottawa, Ontario</t>
        </is>
      </c>
      <c r="K3392" t="inlineStr">
        <is>
          <t>Ottawa (Ontario)</t>
        </is>
      </c>
      <c r="P3392" t="n">
        <v>741.74</v>
      </c>
      <c r="Q3392" t="n">
        <v>0</v>
      </c>
      <c r="R3392" t="n">
        <v>730.92</v>
      </c>
      <c r="S3392" t="n">
        <v>388.45</v>
      </c>
      <c r="T3392" t="n">
        <v>0</v>
      </c>
      <c r="U3392" t="n">
        <v>1861.11</v>
      </c>
      <c r="X3392" t="inlineStr">
        <is>
          <t>acoa-apeca</t>
        </is>
      </c>
      <c r="Y3392" t="inlineStr">
        <is>
          <t>Atlantic Canada Opportunities Agency | Agence de promotion économique du Canada atlantique</t>
        </is>
      </c>
    </row>
    <row r="3393">
      <c r="A3393" t="inlineStr">
        <is>
          <t>T-2014-Q3-00024</t>
        </is>
      </c>
      <c r="B3393" t="inlineStr">
        <is>
          <t>SLE</t>
        </is>
      </c>
      <c r="C3393" t="inlineStr">
        <is>
          <t>Vice-President, Policy and Programs</t>
        </is>
      </c>
      <c r="D3393" t="inlineStr">
        <is>
          <t>Vice-président, Politiques et Programmes</t>
        </is>
      </c>
      <c r="E3393" t="inlineStr">
        <is>
          <t>Daryell Nowlan</t>
        </is>
      </c>
      <c r="F3393" t="inlineStr">
        <is>
          <t>Meeting with Government of Canada officials</t>
        </is>
      </c>
      <c r="G3393" t="inlineStr">
        <is>
          <t>Réunion avec des fonctionnaires du gouvernement du Canada</t>
        </is>
      </c>
      <c r="H3393" s="1" t="n">
        <v>41546</v>
      </c>
      <c r="I3393" s="1" t="n">
        <v>41548</v>
      </c>
      <c r="J3393" t="inlineStr">
        <is>
          <t>Ottawa, Ontario</t>
        </is>
      </c>
      <c r="K3393" t="inlineStr">
        <is>
          <t>Ottawa (Ontario)</t>
        </is>
      </c>
      <c r="P3393" t="n">
        <v>899.5599999999999</v>
      </c>
      <c r="Q3393" t="n">
        <v>93.2</v>
      </c>
      <c r="R3393" t="n">
        <v>365.46</v>
      </c>
      <c r="S3393" t="n">
        <v>223.3</v>
      </c>
      <c r="T3393" t="n">
        <v>0</v>
      </c>
      <c r="U3393" t="n">
        <v>1581.52</v>
      </c>
      <c r="X3393" t="inlineStr">
        <is>
          <t>acoa-apeca</t>
        </is>
      </c>
      <c r="Y3393" t="inlineStr">
        <is>
          <t>Atlantic Canada Opportunities Agency | Agence de promotion économique du Canada atlantique</t>
        </is>
      </c>
    </row>
    <row r="3394">
      <c r="A3394" t="inlineStr">
        <is>
          <t>T-2014-Q3-00023</t>
        </is>
      </c>
      <c r="B3394" t="inlineStr">
        <is>
          <t>SLE</t>
        </is>
      </c>
      <c r="C3394" t="inlineStr">
        <is>
          <t>Vice-President, Prince Edward Island</t>
        </is>
      </c>
      <c r="D3394" t="inlineStr">
        <is>
          <t>Vice-président, Île-du-Prince-Édouard</t>
        </is>
      </c>
      <c r="E3394" t="inlineStr">
        <is>
          <t>Patrick Dorsey</t>
        </is>
      </c>
      <c r="F3394" t="inlineStr">
        <is>
          <t>Meetings with Government of Canada officials in Moncton</t>
        </is>
      </c>
      <c r="G3394" t="inlineStr">
        <is>
          <t>Réunions avec des fonctionnaires du gouvernement du Canada à Moncton</t>
        </is>
      </c>
      <c r="H3394" s="1" t="n">
        <v>41543</v>
      </c>
      <c r="I3394" s="1" t="n">
        <v>41543</v>
      </c>
      <c r="J3394" t="inlineStr">
        <is>
          <t>Moncton, New Brunswick</t>
        </is>
      </c>
      <c r="K3394" t="inlineStr">
        <is>
          <t>Moncton (Nouveau-Brunswick)</t>
        </is>
      </c>
      <c r="P3394" t="n">
        <v>0</v>
      </c>
      <c r="Q3394" t="n">
        <v>51.5</v>
      </c>
      <c r="R3394" t="n">
        <v>0</v>
      </c>
      <c r="S3394" t="n">
        <v>30.8</v>
      </c>
      <c r="T3394" t="n">
        <v>0</v>
      </c>
      <c r="U3394" t="n">
        <v>82.3</v>
      </c>
      <c r="X3394" t="inlineStr">
        <is>
          <t>acoa-apeca</t>
        </is>
      </c>
      <c r="Y3394" t="inlineStr">
        <is>
          <t>Atlantic Canada Opportunities Agency | Agence de promotion économique du Canada atlantique</t>
        </is>
      </c>
    </row>
    <row r="3395">
      <c r="A3395" t="inlineStr">
        <is>
          <t>T-2014-Q3-00022</t>
        </is>
      </c>
      <c r="B3395" t="inlineStr">
        <is>
          <t>SLE</t>
        </is>
      </c>
      <c r="C3395" t="inlineStr">
        <is>
          <t>Acting Vice-President, New Brunswick</t>
        </is>
      </c>
      <c r="D3395" t="inlineStr">
        <is>
          <t>Vice-présidente par intérim, Nouveau-Brunswick</t>
        </is>
      </c>
      <c r="E3395" t="inlineStr">
        <is>
          <t>Denise Frenette</t>
        </is>
      </c>
      <c r="F3395" t="inlineStr">
        <is>
          <t>Minister's staff meeting and CN Rail meeting</t>
        </is>
      </c>
      <c r="G3395" t="inlineStr">
        <is>
          <t>Réunion avec le personnel du ministre et réunion avec des représentants du CN</t>
        </is>
      </c>
      <c r="H3395" s="1" t="n">
        <v>41541</v>
      </c>
      <c r="I3395" s="1" t="n">
        <v>41542</v>
      </c>
      <c r="J3395" t="inlineStr">
        <is>
          <t>Ottawa, Ontario</t>
        </is>
      </c>
      <c r="K3395" t="inlineStr">
        <is>
          <t>Ottawa (Ontario)</t>
        </is>
      </c>
      <c r="P3395" t="n">
        <v>831.0700000000001</v>
      </c>
      <c r="Q3395" t="n">
        <v>69.5</v>
      </c>
      <c r="R3395" t="n">
        <v>182.73</v>
      </c>
      <c r="S3395" t="n">
        <v>144.6</v>
      </c>
      <c r="T3395" t="n">
        <v>22.25</v>
      </c>
      <c r="U3395" t="n">
        <v>1250.15</v>
      </c>
      <c r="X3395" t="inlineStr">
        <is>
          <t>acoa-apeca</t>
        </is>
      </c>
      <c r="Y3395" t="inlineStr">
        <is>
          <t>Atlantic Canada Opportunities Agency | Agence de promotion économique du Canada atlantique</t>
        </is>
      </c>
    </row>
    <row r="3396">
      <c r="A3396" t="inlineStr">
        <is>
          <t>T-2014-Q3-00021</t>
        </is>
      </c>
      <c r="B3396" t="inlineStr">
        <is>
          <t>MPSES</t>
        </is>
      </c>
      <c r="C3396" t="inlineStr">
        <is>
          <t>Chief of Staff</t>
        </is>
      </c>
      <c r="D3396" t="inlineStr">
        <is>
          <t>Chef de cabinet</t>
        </is>
      </c>
      <c r="E3396" t="inlineStr">
        <is>
          <t>Shane Bourke</t>
        </is>
      </c>
      <c r="F3396" t="inlineStr">
        <is>
          <t>Travel to accompany Minister to Atlantic Canada Opportunities Agency events</t>
        </is>
      </c>
      <c r="G3396" t="inlineStr">
        <is>
          <t>Accompagner le ministre à des activités de l'Agence de promotion économique du Canada atlantique</t>
        </is>
      </c>
      <c r="H3396" s="1" t="n">
        <v>41540</v>
      </c>
      <c r="I3396" s="1" t="n">
        <v>41542</v>
      </c>
      <c r="J3396" t="inlineStr">
        <is>
          <t>St. John's, Newfoundland and Labrador - Halifax, Nova Scotia</t>
        </is>
      </c>
      <c r="K3396" t="inlineStr">
        <is>
          <t>St. John's (Terre-Neuve-et-Labrador) et Halifax (Nouvelle-Écosse)</t>
        </is>
      </c>
      <c r="P3396" t="n">
        <v>1021.31</v>
      </c>
      <c r="Q3396" t="n">
        <v>75</v>
      </c>
      <c r="R3396" t="n">
        <v>377.16</v>
      </c>
      <c r="S3396" t="n">
        <v>179.7</v>
      </c>
      <c r="T3396" t="n">
        <v>0</v>
      </c>
      <c r="U3396" t="n">
        <v>1653.17</v>
      </c>
      <c r="X3396" t="inlineStr">
        <is>
          <t>acoa-apeca</t>
        </is>
      </c>
      <c r="Y3396" t="inlineStr">
        <is>
          <t>Atlantic Canada Opportunities Agency | Agence de promotion économique du Canada atlantique</t>
        </is>
      </c>
    </row>
    <row r="3397">
      <c r="A3397" t="inlineStr">
        <is>
          <t>T-2014-Q3-00020</t>
        </is>
      </c>
      <c r="B3397" t="inlineStr">
        <is>
          <t>MPSES</t>
        </is>
      </c>
      <c r="C3397" t="inlineStr">
        <is>
          <t>Minister of State</t>
        </is>
      </c>
      <c r="D3397" t="inlineStr">
        <is>
          <t>Ministre d'État</t>
        </is>
      </c>
      <c r="E3397" t="inlineStr">
        <is>
          <t>Rob Moore</t>
        </is>
      </c>
      <c r="F3397" t="inlineStr">
        <is>
          <t>Government of Canada event, speech at Economic Developers Association of Canada, meeting with regional Atlantic Canada Opportunities Agency officials, speech at Canadian Ferry Operators Association and meeting with Premier Dunderdale</t>
        </is>
      </c>
      <c r="G3397" t="inlineStr">
        <is>
          <t>Activ. du gouv. du Canada, discours à l'Assoc. canad. de dév. écon., réunion avec des fonctionn. région. de l'Agence de promotion écon. du Canada atl., discours à l'Assoc. canad. des opérateurs de traversiers et réunion avec la prem. min. Dunderdale</t>
        </is>
      </c>
      <c r="H3397" s="1" t="n">
        <v>41540</v>
      </c>
      <c r="I3397" s="1" t="n">
        <v>41541</v>
      </c>
      <c r="J3397" t="inlineStr">
        <is>
          <t>Miramichi, New Brunswick and St. John's, Newfoundland and Labrador</t>
        </is>
      </c>
      <c r="K3397" t="inlineStr">
        <is>
          <t>Miramichi (Nouveau-Brunswick) et St. John's (Terre-Neuve-et-Labrador)</t>
        </is>
      </c>
      <c r="P3397" t="n">
        <v>926.88</v>
      </c>
      <c r="Q3397" t="n">
        <v>270.27</v>
      </c>
      <c r="R3397" t="n">
        <v>214.11</v>
      </c>
      <c r="S3397" t="n">
        <v>179.7</v>
      </c>
      <c r="T3397" t="n">
        <v>0</v>
      </c>
      <c r="U3397" t="n">
        <v>1590.96</v>
      </c>
      <c r="X3397" t="inlineStr">
        <is>
          <t>acoa-apeca</t>
        </is>
      </c>
      <c r="Y3397" t="inlineStr">
        <is>
          <t>Atlantic Canada Opportunities Agency | Agence de promotion économique du Canada atlantique</t>
        </is>
      </c>
    </row>
    <row r="3398">
      <c r="A3398" t="inlineStr">
        <is>
          <t>T-2014-Q3-00018</t>
        </is>
      </c>
      <c r="B3398" t="inlineStr">
        <is>
          <t>SLE</t>
        </is>
      </c>
      <c r="C3398" t="inlineStr">
        <is>
          <t>President</t>
        </is>
      </c>
      <c r="D3398" t="inlineStr">
        <is>
          <t>Président</t>
        </is>
      </c>
      <c r="E3398" t="inlineStr">
        <is>
          <t>Paul J. LeBlanc</t>
        </is>
      </c>
      <c r="F3398" t="inlineStr">
        <is>
          <t>For meetings with Agency officials</t>
        </is>
      </c>
      <c r="G3398" t="inlineStr">
        <is>
          <t>Réunions avec des fonctionnaires de l'Agence</t>
        </is>
      </c>
      <c r="H3398" s="1" t="n">
        <v>41540</v>
      </c>
      <c r="I3398" s="1" t="n">
        <v>41541</v>
      </c>
      <c r="J3398" t="inlineStr">
        <is>
          <t>St. John's, Newfoundland and Labrador</t>
        </is>
      </c>
      <c r="K3398" t="inlineStr">
        <is>
          <t>St. John's (Terre-Neuve-et-Labrador)</t>
        </is>
      </c>
      <c r="P3398" t="n">
        <v>1325.97</v>
      </c>
      <c r="Q3398" t="n">
        <v>0</v>
      </c>
      <c r="R3398" t="n">
        <v>207.09</v>
      </c>
      <c r="S3398" t="n">
        <v>107.15</v>
      </c>
      <c r="T3398" t="n">
        <v>0</v>
      </c>
      <c r="U3398" t="n">
        <v>1640.21</v>
      </c>
      <c r="X3398" t="inlineStr">
        <is>
          <t>acoa-apeca</t>
        </is>
      </c>
      <c r="Y3398" t="inlineStr">
        <is>
          <t>Atlantic Canada Opportunities Agency | Agence de promotion économique du Canada atlantique</t>
        </is>
      </c>
    </row>
    <row r="3399">
      <c r="A3399" t="inlineStr">
        <is>
          <t>T-2014-Q3-00017</t>
        </is>
      </c>
      <c r="B3399" t="inlineStr">
        <is>
          <t>SLE</t>
        </is>
      </c>
      <c r="C3399" t="inlineStr">
        <is>
          <t>Vice President, Nova Scotia</t>
        </is>
      </c>
      <c r="D3399" t="inlineStr">
        <is>
          <t>Vice-président, Nouvelle-Écosse</t>
        </is>
      </c>
      <c r="E3399" t="inlineStr">
        <is>
          <t>Peter Hogan</t>
        </is>
      </c>
      <c r="F3399" t="inlineStr">
        <is>
          <t xml:space="preserve">Meetings with senior Agency officials </t>
        </is>
      </c>
      <c r="G3399" t="inlineStr">
        <is>
          <t>Réunions avec des hauts fonctionnaires de l'Agence</t>
        </is>
      </c>
      <c r="H3399" s="1" t="n">
        <v>41535</v>
      </c>
      <c r="I3399" s="1" t="n">
        <v>41536</v>
      </c>
      <c r="J3399" t="inlineStr">
        <is>
          <t>Moncton, New Brunswick</t>
        </is>
      </c>
      <c r="K3399" t="inlineStr">
        <is>
          <t>Moncton (Nouveau-Brunswick)</t>
        </is>
      </c>
      <c r="P3399" t="n">
        <v>0</v>
      </c>
      <c r="Q3399" t="n">
        <v>0</v>
      </c>
      <c r="R3399" t="n">
        <v>113</v>
      </c>
      <c r="S3399" t="n">
        <v>133.75</v>
      </c>
      <c r="T3399" t="n">
        <v>0</v>
      </c>
      <c r="U3399" t="n">
        <v>246.75</v>
      </c>
      <c r="X3399" t="inlineStr">
        <is>
          <t>acoa-apeca</t>
        </is>
      </c>
      <c r="Y3399" t="inlineStr">
        <is>
          <t>Atlantic Canada Opportunities Agency | Agence de promotion économique du Canada atlantique</t>
        </is>
      </c>
    </row>
    <row r="3400">
      <c r="A3400" t="inlineStr">
        <is>
          <t>T-2018-Q2-00053</t>
        </is>
      </c>
      <c r="B3400" t="inlineStr">
        <is>
          <t>SLE</t>
        </is>
      </c>
      <c r="C3400" t="inlineStr">
        <is>
          <t>Vice-President, New Brunswick</t>
        </is>
      </c>
      <c r="D3400" t="inlineStr">
        <is>
          <t>Vice-président, Nouveau-Brunswick</t>
        </is>
      </c>
      <c r="E3400" t="inlineStr">
        <is>
          <t>Kent Estabrooks</t>
        </is>
      </c>
      <c r="F3400" t="inlineStr">
        <is>
          <t>Training and development</t>
        </is>
      </c>
      <c r="G3400" t="inlineStr">
        <is>
          <t>Formation et perfectionnement</t>
        </is>
      </c>
      <c r="H3400" s="1" t="n">
        <v>42920</v>
      </c>
      <c r="I3400" s="1" t="n">
        <v>42921</v>
      </c>
      <c r="J3400" t="inlineStr">
        <is>
          <t>St. Andrews, New Brunswick</t>
        </is>
      </c>
      <c r="K3400" t="inlineStr">
        <is>
          <t>St. Andrews (Nouveau-Brunswick)</t>
        </is>
      </c>
      <c r="P3400" t="n">
        <v>0</v>
      </c>
      <c r="Q3400" t="n">
        <v>0</v>
      </c>
      <c r="R3400" t="n">
        <v>224.04</v>
      </c>
      <c r="S3400" t="n">
        <v>161.7</v>
      </c>
      <c r="T3400" t="n">
        <v>0</v>
      </c>
      <c r="U3400" t="n">
        <v>385.74</v>
      </c>
      <c r="X3400" t="inlineStr">
        <is>
          <t>acoa-apeca</t>
        </is>
      </c>
      <c r="Y3400" t="inlineStr">
        <is>
          <t>Atlantic Canada Opportunities Agency | Agence de promotion économique du Canada atlantique</t>
        </is>
      </c>
    </row>
    <row r="3401">
      <c r="A3401" t="inlineStr">
        <is>
          <t>T-2018-Q2-00052</t>
        </is>
      </c>
      <c r="B3401" t="inlineStr">
        <is>
          <t>SLE</t>
        </is>
      </c>
      <c r="C3401" t="inlineStr">
        <is>
          <t>Vice-President, New Brunswick</t>
        </is>
      </c>
      <c r="D3401" t="inlineStr">
        <is>
          <t>Vice-président, Nouveau-Brunswick</t>
        </is>
      </c>
      <c r="E3401" t="inlineStr">
        <is>
          <t>Kent Estabrooks</t>
        </is>
      </c>
      <c r="F3401" t="inlineStr">
        <is>
          <t>Various meetings with Agency officials</t>
        </is>
      </c>
      <c r="G3401" t="inlineStr">
        <is>
          <t>Diverses réunions avec des fonctionnaires de l'Agence</t>
        </is>
      </c>
      <c r="H3401" s="1" t="n">
        <v>42929</v>
      </c>
      <c r="I3401" s="1" t="n">
        <v>42929</v>
      </c>
      <c r="J3401" t="inlineStr">
        <is>
          <t>Moncton, New Brunswick</t>
        </is>
      </c>
      <c r="K3401" t="inlineStr">
        <is>
          <t>Moncton (Nouveau-Brunswick)</t>
        </is>
      </c>
      <c r="P3401" t="n">
        <v>0</v>
      </c>
      <c r="Q3401" t="n">
        <v>0</v>
      </c>
      <c r="R3401" t="n">
        <v>0</v>
      </c>
      <c r="S3401" t="n">
        <v>64</v>
      </c>
      <c r="T3401" t="n">
        <v>18.5</v>
      </c>
      <c r="U3401" t="n">
        <v>82.5</v>
      </c>
      <c r="X3401" t="inlineStr">
        <is>
          <t>acoa-apeca</t>
        </is>
      </c>
      <c r="Y3401" t="inlineStr">
        <is>
          <t>Atlantic Canada Opportunities Agency | Agence de promotion économique du Canada atlantique</t>
        </is>
      </c>
    </row>
    <row r="3402">
      <c r="A3402" t="inlineStr">
        <is>
          <t>T-2014-Q3-00015</t>
        </is>
      </c>
      <c r="B3402" t="inlineStr">
        <is>
          <t>SLE</t>
        </is>
      </c>
      <c r="C3402" t="inlineStr">
        <is>
          <t>Vice-President, Newfoundland and Labrador</t>
        </is>
      </c>
      <c r="D3402" t="inlineStr">
        <is>
          <t>Vice-président, Terre-Neuve-et-Labrador</t>
        </is>
      </c>
      <c r="E3402" t="inlineStr">
        <is>
          <t>Paul Mills</t>
        </is>
      </c>
      <c r="F3402" t="inlineStr">
        <is>
          <t>Travel to Moncton, New Brunswick for Executive Committee meeting</t>
        </is>
      </c>
      <c r="G3402" t="inlineStr">
        <is>
          <t>Voyage à Moncton (Nouveau-Brunswick) pour une réunion du Comité de direction</t>
        </is>
      </c>
      <c r="H3402" s="1" t="n">
        <v>41535</v>
      </c>
      <c r="I3402" s="1" t="n">
        <v>41537</v>
      </c>
      <c r="J3402" t="inlineStr">
        <is>
          <t>Moncton, New Brunswick</t>
        </is>
      </c>
      <c r="K3402" t="inlineStr">
        <is>
          <t>Moncton (Nouveau-Brunswick)</t>
        </is>
      </c>
      <c r="P3402" t="n">
        <v>1376.8</v>
      </c>
      <c r="Q3402" t="n">
        <v>152.78</v>
      </c>
      <c r="R3402" t="n">
        <v>277.22</v>
      </c>
      <c r="S3402" t="n">
        <v>197</v>
      </c>
      <c r="T3402" t="n">
        <v>101.01</v>
      </c>
      <c r="U3402" t="n">
        <v>2104.81</v>
      </c>
      <c r="X3402" t="inlineStr">
        <is>
          <t>acoa-apeca</t>
        </is>
      </c>
      <c r="Y3402" t="inlineStr">
        <is>
          <t>Atlantic Canada Opportunities Agency | Agence de promotion économique du Canada atlantique</t>
        </is>
      </c>
    </row>
    <row r="3403">
      <c r="A3403" t="inlineStr">
        <is>
          <t>T-2014-Q3-00013</t>
        </is>
      </c>
      <c r="B3403" t="inlineStr">
        <is>
          <t>MPSES</t>
        </is>
      </c>
      <c r="C3403" t="inlineStr">
        <is>
          <t>Minister of State</t>
        </is>
      </c>
      <c r="D3403" t="inlineStr">
        <is>
          <t>Ministre d'État</t>
        </is>
      </c>
      <c r="E3403" t="inlineStr">
        <is>
          <t>Rob Moore</t>
        </is>
      </c>
      <c r="F3403" t="inlineStr">
        <is>
          <t>To attend Government of Canada announcement and meeting with Mayor of Miramichi</t>
        </is>
      </c>
      <c r="G3403" t="inlineStr">
        <is>
          <t>Assister à une annonce du gouvernement du Canada et à une réunion avec le maire de Miramichi</t>
        </is>
      </c>
      <c r="H3403" s="1" t="n">
        <v>41530</v>
      </c>
      <c r="I3403" s="1" t="n">
        <v>41530</v>
      </c>
      <c r="J3403" t="inlineStr">
        <is>
          <t>Miramichi, New Brunswick</t>
        </is>
      </c>
      <c r="K3403" t="inlineStr">
        <is>
          <t>Miramichi (Nouveau-Brunswick)</t>
        </is>
      </c>
      <c r="P3403" t="n">
        <v>0</v>
      </c>
      <c r="Q3403" t="n">
        <v>261.36</v>
      </c>
      <c r="R3403" t="n">
        <v>0</v>
      </c>
      <c r="S3403" t="n">
        <v>15.15</v>
      </c>
      <c r="T3403" t="n">
        <v>0</v>
      </c>
      <c r="U3403" t="n">
        <v>276.51</v>
      </c>
      <c r="X3403" t="inlineStr">
        <is>
          <t>acoa-apeca</t>
        </is>
      </c>
      <c r="Y3403" t="inlineStr">
        <is>
          <t>Atlantic Canada Opportunities Agency | Agence de promotion économique du Canada atlantique</t>
        </is>
      </c>
    </row>
    <row r="3404">
      <c r="A3404" t="inlineStr">
        <is>
          <t>T-2014-Q3-00012</t>
        </is>
      </c>
      <c r="B3404" t="inlineStr">
        <is>
          <t>MPSES</t>
        </is>
      </c>
      <c r="C3404" t="inlineStr">
        <is>
          <t>Minister of State</t>
        </is>
      </c>
      <c r="D3404" t="inlineStr">
        <is>
          <t>Ministre d'État</t>
        </is>
      </c>
      <c r="E3404" t="inlineStr">
        <is>
          <t>Rob Moore</t>
        </is>
      </c>
      <c r="F3404" t="inlineStr">
        <is>
          <t>To attend Government of Canada announcement, meeting with provincial Minister Olscamp, grand opening of Albert County Exhibition</t>
        </is>
      </c>
      <c r="G3404" t="inlineStr">
        <is>
          <t>Asssiter à une annonce du gouvernement du Canada, à une réunion avec le ministre provincial Olscamp et à l'inauguration de l'Albert County Exhibition</t>
        </is>
      </c>
      <c r="H3404" s="1" t="n">
        <v>41529</v>
      </c>
      <c r="I3404" s="1" t="n">
        <v>41529</v>
      </c>
      <c r="J3404" t="inlineStr">
        <is>
          <t>Fredericton, New Brunswick</t>
        </is>
      </c>
      <c r="K3404" t="inlineStr">
        <is>
          <t>Fredericton (Nouveau-Brunswick)</t>
        </is>
      </c>
      <c r="P3404" t="n">
        <v>0</v>
      </c>
      <c r="Q3404" t="n">
        <v>268.29</v>
      </c>
      <c r="R3404" t="n">
        <v>0</v>
      </c>
      <c r="S3404" t="n">
        <v>56.9</v>
      </c>
      <c r="T3404" t="n">
        <v>0</v>
      </c>
      <c r="U3404" t="n">
        <v>325.19</v>
      </c>
      <c r="X3404" t="inlineStr">
        <is>
          <t>acoa-apeca</t>
        </is>
      </c>
      <c r="Y3404" t="inlineStr">
        <is>
          <t>Atlantic Canada Opportunities Agency | Agence de promotion économique du Canada atlantique</t>
        </is>
      </c>
    </row>
    <row r="3405">
      <c r="A3405" t="inlineStr">
        <is>
          <t>T-2014-Q3-00011</t>
        </is>
      </c>
      <c r="B3405" t="inlineStr">
        <is>
          <t>MPSES</t>
        </is>
      </c>
      <c r="C3405" t="inlineStr">
        <is>
          <t>Minister of State</t>
        </is>
      </c>
      <c r="D3405" t="inlineStr">
        <is>
          <t>Ministre d'État</t>
        </is>
      </c>
      <c r="E3405" t="inlineStr">
        <is>
          <t>Rob Moore</t>
        </is>
      </c>
      <c r="F3405" t="inlineStr">
        <is>
          <t>To attend Government of Canada announcement, meeting with stakeholders, speech at the Independent Marine Ports Association of Canada AGM</t>
        </is>
      </c>
      <c r="G3405" t="inlineStr">
        <is>
          <t>Assister à une annonce du gouvernement du Canada et à une réunion avec des intervenants, et discours à l'AGA de l'Independent Marine Ports Association of Canada</t>
        </is>
      </c>
      <c r="H3405" s="1" t="n">
        <v>41528</v>
      </c>
      <c r="I3405" s="1" t="n">
        <v>41528</v>
      </c>
      <c r="J3405" t="inlineStr">
        <is>
          <t>Grand Manan and St. Andrews, New Brunswick</t>
        </is>
      </c>
      <c r="K3405" t="inlineStr">
        <is>
          <t>Grand Manan et St. Andrews (Nouveau-Brunswick)</t>
        </is>
      </c>
      <c r="P3405" t="n">
        <v>0</v>
      </c>
      <c r="Q3405" t="n">
        <v>190.47</v>
      </c>
      <c r="R3405" t="n">
        <v>0</v>
      </c>
      <c r="S3405" t="n">
        <v>30.8</v>
      </c>
      <c r="T3405" t="n">
        <v>0</v>
      </c>
      <c r="U3405" t="n">
        <v>221.27</v>
      </c>
      <c r="X3405" t="inlineStr">
        <is>
          <t>acoa-apeca</t>
        </is>
      </c>
      <c r="Y3405" t="inlineStr">
        <is>
          <t>Atlantic Canada Opportunities Agency | Agence de promotion économique du Canada atlantique</t>
        </is>
      </c>
    </row>
    <row r="3406">
      <c r="A3406" t="inlineStr">
        <is>
          <t>T-2014-Q3-00010</t>
        </is>
      </c>
      <c r="B3406" t="inlineStr">
        <is>
          <t>SLE</t>
        </is>
      </c>
      <c r="C3406" t="inlineStr">
        <is>
          <t>Vice-President, Prince Edward Island</t>
        </is>
      </c>
      <c r="D3406" t="inlineStr">
        <is>
          <t>Vice-président, Île-du-Prince-Édouard</t>
        </is>
      </c>
      <c r="E3406" t="inlineStr">
        <is>
          <t>Patrick Dorsey</t>
        </is>
      </c>
      <c r="F3406" t="inlineStr">
        <is>
          <t>Meetings with Government of Canada officials and Minister's Office in Ottawa</t>
        </is>
      </c>
      <c r="G3406" t="inlineStr">
        <is>
          <t>Réunions avec des fonctionnaires du gouvernement du Canada et du cabinet du ministre à Ottawa</t>
        </is>
      </c>
      <c r="H3406" s="1" t="n">
        <v>41528</v>
      </c>
      <c r="I3406" s="1" t="n">
        <v>41529</v>
      </c>
      <c r="J3406" t="inlineStr">
        <is>
          <t>Ottawa, Ontario</t>
        </is>
      </c>
      <c r="K3406" t="inlineStr">
        <is>
          <t>Ottawa (Ontario)</t>
        </is>
      </c>
      <c r="P3406" t="n">
        <v>592.72</v>
      </c>
      <c r="Q3406" t="n">
        <v>82.5</v>
      </c>
      <c r="R3406" t="n">
        <v>182.73</v>
      </c>
      <c r="S3406" t="n">
        <v>91.5</v>
      </c>
      <c r="T3406" t="n">
        <v>0</v>
      </c>
      <c r="U3406" t="n">
        <v>949.45</v>
      </c>
      <c r="X3406" t="inlineStr">
        <is>
          <t>acoa-apeca</t>
        </is>
      </c>
      <c r="Y3406" t="inlineStr">
        <is>
          <t>Atlantic Canada Opportunities Agency | Agence de promotion économique du Canada atlantique</t>
        </is>
      </c>
    </row>
    <row r="3407">
      <c r="A3407" t="inlineStr">
        <is>
          <t>T-2014-Q3-00009</t>
        </is>
      </c>
      <c r="B3407" t="inlineStr">
        <is>
          <t>MPSES</t>
        </is>
      </c>
      <c r="C3407" t="inlineStr">
        <is>
          <t>Minister of State</t>
        </is>
      </c>
      <c r="D3407" t="inlineStr">
        <is>
          <t>Ministre d'État</t>
        </is>
      </c>
      <c r="E3407" t="inlineStr">
        <is>
          <t>Rob Moore</t>
        </is>
      </c>
      <c r="F3407" t="inlineStr">
        <is>
          <t>To attend Government of Canada announcements, business roundtable, meetings with Mayors of Riverview, Moncton and Dieppe and meeting with Atlantic Canada Opportunities Agency officials</t>
        </is>
      </c>
      <c r="G3407" t="inlineStr">
        <is>
          <t>Assister à des annonces du gouvernement du Canada, à une table ronde de gens d'affaires, à des réunions avec les maires de Riverview, de Moncton et de Dieppe, et à une réunion avec des fonctionnaires de l'Agence de promotion économique du Canada atlantique</t>
        </is>
      </c>
      <c r="H3407" s="1" t="n">
        <v>41527</v>
      </c>
      <c r="I3407" s="1" t="n">
        <v>41527</v>
      </c>
      <c r="J3407" t="inlineStr">
        <is>
          <t>Moncton, New Brunswick</t>
        </is>
      </c>
      <c r="K3407" t="inlineStr">
        <is>
          <t>Moncton (Nouveau-Brunswick)</t>
        </is>
      </c>
      <c r="P3407" t="n">
        <v>0</v>
      </c>
      <c r="Q3407" t="n">
        <v>141.08</v>
      </c>
      <c r="R3407" t="n">
        <v>0</v>
      </c>
      <c r="S3407" t="n">
        <v>30.8</v>
      </c>
      <c r="T3407" t="n">
        <v>0</v>
      </c>
      <c r="U3407" t="n">
        <v>171.88</v>
      </c>
      <c r="X3407" t="inlineStr">
        <is>
          <t>acoa-apeca</t>
        </is>
      </c>
      <c r="Y3407" t="inlineStr">
        <is>
          <t>Atlantic Canada Opportunities Agency | Agence de promotion économique du Canada atlantique</t>
        </is>
      </c>
    </row>
    <row r="3408">
      <c r="A3408" t="inlineStr">
        <is>
          <t>T-2014-Q3-00008</t>
        </is>
      </c>
      <c r="B3408" t="inlineStr">
        <is>
          <t>MPSES</t>
        </is>
      </c>
      <c r="C3408" t="inlineStr">
        <is>
          <t>Minister of State</t>
        </is>
      </c>
      <c r="D3408" t="inlineStr">
        <is>
          <t>Ministre d'État</t>
        </is>
      </c>
      <c r="E3408" t="inlineStr">
        <is>
          <t>Rob Moore</t>
        </is>
      </c>
      <c r="F3408" t="inlineStr">
        <is>
          <t>To attend Government of Canada announcement, business roundable, meeting with Atlantic Canada Opportunities Agency officials</t>
        </is>
      </c>
      <c r="G3408" t="inlineStr">
        <is>
          <t>Assister à une annonce du gouvernement du Canada, à une table ronde de gens d'affaires et à une réunion avec des fonctionnaires de l'Agence de promotion économique du Canada atlantique</t>
        </is>
      </c>
      <c r="H3408" s="1" t="n">
        <v>41522</v>
      </c>
      <c r="I3408" s="1" t="n">
        <v>41522</v>
      </c>
      <c r="J3408" t="inlineStr">
        <is>
          <t>Fredericton, New Brunswick</t>
        </is>
      </c>
      <c r="K3408" t="inlineStr">
        <is>
          <t>Fredericton (Nouveau-Brunswick)</t>
        </is>
      </c>
      <c r="P3408" t="n">
        <v>0</v>
      </c>
      <c r="Q3408" t="n">
        <v>138.6</v>
      </c>
      <c r="R3408" t="n">
        <v>0</v>
      </c>
      <c r="S3408" t="n">
        <v>56.9</v>
      </c>
      <c r="T3408" t="n">
        <v>0</v>
      </c>
      <c r="U3408" t="n">
        <v>195.5</v>
      </c>
      <c r="X3408" t="inlineStr">
        <is>
          <t>acoa-apeca</t>
        </is>
      </c>
      <c r="Y3408" t="inlineStr">
        <is>
          <t>Atlantic Canada Opportunities Agency | Agence de promotion économique du Canada atlantique</t>
        </is>
      </c>
    </row>
    <row r="3409">
      <c r="A3409" t="inlineStr">
        <is>
          <t>T-2014-Q3-00007</t>
        </is>
      </c>
      <c r="B3409" t="inlineStr">
        <is>
          <t>SLE</t>
        </is>
      </c>
      <c r="C3409" t="inlineStr">
        <is>
          <t>President</t>
        </is>
      </c>
      <c r="D3409" t="inlineStr">
        <is>
          <t>Président</t>
        </is>
      </c>
      <c r="E3409" t="inlineStr">
        <is>
          <t>Paul J. LeBlanc</t>
        </is>
      </c>
      <c r="F3409" t="inlineStr">
        <is>
          <t>For meetings with Agency officials</t>
        </is>
      </c>
      <c r="G3409" t="inlineStr">
        <is>
          <t>Réunions avec des fonctionnaires de l'Agence</t>
        </is>
      </c>
      <c r="H3409" s="1" t="n">
        <v>41522</v>
      </c>
      <c r="I3409" s="1" t="n">
        <v>41522</v>
      </c>
      <c r="J3409" t="inlineStr">
        <is>
          <t>Fredericton, New Brunswick</t>
        </is>
      </c>
      <c r="K3409" t="inlineStr">
        <is>
          <t>Fredericton (Nouveau-Brunswick)</t>
        </is>
      </c>
      <c r="P3409" t="n">
        <v>0</v>
      </c>
      <c r="Q3409" t="n">
        <v>0</v>
      </c>
      <c r="R3409" t="n">
        <v>0</v>
      </c>
      <c r="S3409" t="n">
        <v>15.15</v>
      </c>
      <c r="T3409" t="n">
        <v>5</v>
      </c>
      <c r="U3409" t="n">
        <v>20.15</v>
      </c>
      <c r="X3409" t="inlineStr">
        <is>
          <t>acoa-apeca</t>
        </is>
      </c>
      <c r="Y3409" t="inlineStr">
        <is>
          <t>Atlantic Canada Opportunities Agency | Agence de promotion économique du Canada atlantique</t>
        </is>
      </c>
    </row>
    <row r="3410">
      <c r="A3410" t="inlineStr">
        <is>
          <t>T-2014-Q3-00006</t>
        </is>
      </c>
      <c r="B3410" t="inlineStr">
        <is>
          <t>SLE</t>
        </is>
      </c>
      <c r="C3410" t="inlineStr">
        <is>
          <t>Acting Vice-President, Finance and Corporate Services</t>
        </is>
      </c>
      <c r="D3410" t="inlineStr">
        <is>
          <t>Vice-président par intérim, Finances et Services corporatifs</t>
        </is>
      </c>
      <c r="E3410" t="inlineStr">
        <is>
          <t>Kent Estabrooks</t>
        </is>
      </c>
      <c r="F3410" t="inlineStr">
        <is>
          <t>Meeting with Government of Canada officials</t>
        </is>
      </c>
      <c r="G3410" t="inlineStr">
        <is>
          <t>Réunion avec des fonctionnaires du gouvernement du Canada</t>
        </is>
      </c>
      <c r="H3410" s="1" t="n">
        <v>41521</v>
      </c>
      <c r="I3410" s="1" t="n">
        <v>41523</v>
      </c>
      <c r="J3410" t="inlineStr">
        <is>
          <t>Ottawa, Ontario</t>
        </is>
      </c>
      <c r="K3410" t="inlineStr">
        <is>
          <t>Ottawa (Ontario)</t>
        </is>
      </c>
      <c r="P3410" t="n">
        <v>820</v>
      </c>
      <c r="Q3410" t="n">
        <v>130.5</v>
      </c>
      <c r="R3410" t="n">
        <v>365.46</v>
      </c>
      <c r="S3410" t="n">
        <v>165.7</v>
      </c>
      <c r="T3410" t="n">
        <v>0</v>
      </c>
      <c r="U3410" t="n">
        <v>1481.66</v>
      </c>
      <c r="X3410" t="inlineStr">
        <is>
          <t>acoa-apeca</t>
        </is>
      </c>
      <c r="Y3410" t="inlineStr">
        <is>
          <t>Atlantic Canada Opportunities Agency | Agence de promotion économique du Canada atlantique</t>
        </is>
      </c>
    </row>
    <row r="3411">
      <c r="A3411" t="inlineStr">
        <is>
          <t>T-2014-Q3-00005</t>
        </is>
      </c>
      <c r="B3411" t="inlineStr">
        <is>
          <t>SLE</t>
        </is>
      </c>
      <c r="C3411" t="inlineStr">
        <is>
          <t>Vice-President, Newfoundland and Labrador</t>
        </is>
      </c>
      <c r="D3411" t="inlineStr">
        <is>
          <t>Vice-président, Terre-Neuve-et-Labrador</t>
        </is>
      </c>
      <c r="E3411" t="inlineStr">
        <is>
          <t>Paul Mills</t>
        </is>
      </c>
      <c r="F3411" t="inlineStr">
        <is>
          <t>To attend DEFSEC/meetings with senior government officials</t>
        </is>
      </c>
      <c r="G3411" t="inlineStr">
        <is>
          <t>Assister à l'exposition DEFSEC et à des réunions avec des hauts fonctionnaires</t>
        </is>
      </c>
      <c r="H3411" s="1" t="n">
        <v>41521</v>
      </c>
      <c r="I3411" s="1" t="n">
        <v>41523</v>
      </c>
      <c r="J3411" t="inlineStr">
        <is>
          <t>Halifax, Nova Scotia</t>
        </is>
      </c>
      <c r="K3411" t="inlineStr">
        <is>
          <t>Halifax (Nouvelle-Écosse)</t>
        </is>
      </c>
      <c r="P3411" t="n">
        <v>1376.74</v>
      </c>
      <c r="Q3411" t="n">
        <v>221.89</v>
      </c>
      <c r="R3411" t="n">
        <v>328.44</v>
      </c>
      <c r="S3411" t="n">
        <v>155.25</v>
      </c>
      <c r="T3411" t="n">
        <v>7.34</v>
      </c>
      <c r="U3411" t="n">
        <v>2089.66</v>
      </c>
      <c r="X3411" t="inlineStr">
        <is>
          <t>acoa-apeca</t>
        </is>
      </c>
      <c r="Y3411" t="inlineStr">
        <is>
          <t>Atlantic Canada Opportunities Agency | Agence de promotion économique du Canada atlantique</t>
        </is>
      </c>
    </row>
    <row r="3412">
      <c r="A3412" t="inlineStr">
        <is>
          <t>T-2014-Q3-00004</t>
        </is>
      </c>
      <c r="B3412" t="inlineStr">
        <is>
          <t>SLE</t>
        </is>
      </c>
      <c r="C3412" t="inlineStr">
        <is>
          <t>Vice-President, Policy and Programs</t>
        </is>
      </c>
      <c r="D3412" t="inlineStr">
        <is>
          <t>Vice-président, Politiques et Programmes</t>
        </is>
      </c>
      <c r="E3412" t="inlineStr">
        <is>
          <t>Daryell Nowlan</t>
        </is>
      </c>
      <c r="F3412" t="inlineStr">
        <is>
          <t>Attending Defence and Security R&amp;D Connector (DEFSEC) event</t>
        </is>
      </c>
      <c r="G3412" t="inlineStr">
        <is>
          <t>Assister à l'activité Defence and Security R&amp;D Connector (DEFSEC)</t>
        </is>
      </c>
      <c r="H3412" s="1" t="n">
        <v>41521</v>
      </c>
      <c r="I3412" s="1" t="n">
        <v>41523</v>
      </c>
      <c r="J3412" t="inlineStr">
        <is>
          <t>Halifax, Nova Scotia</t>
        </is>
      </c>
      <c r="K3412" t="inlineStr">
        <is>
          <t>Halifax (Nouvelle-Écosse)</t>
        </is>
      </c>
      <c r="P3412" t="n">
        <v>0</v>
      </c>
      <c r="Q3412" t="n">
        <v>336.28</v>
      </c>
      <c r="R3412" t="n">
        <v>349.56</v>
      </c>
      <c r="S3412" t="n">
        <v>123.95</v>
      </c>
      <c r="T3412" t="n">
        <v>0</v>
      </c>
      <c r="U3412" t="n">
        <v>809.79</v>
      </c>
      <c r="X3412" t="inlineStr">
        <is>
          <t>acoa-apeca</t>
        </is>
      </c>
      <c r="Y3412" t="inlineStr">
        <is>
          <t>Atlantic Canada Opportunities Agency | Agence de promotion économique du Canada atlantique</t>
        </is>
      </c>
    </row>
    <row r="3413">
      <c r="A3413" t="inlineStr">
        <is>
          <t>T-2014-Q3-00003</t>
        </is>
      </c>
      <c r="B3413" t="inlineStr">
        <is>
          <t>MPSES</t>
        </is>
      </c>
      <c r="C3413" t="inlineStr">
        <is>
          <t>Minister of State</t>
        </is>
      </c>
      <c r="D3413" t="inlineStr">
        <is>
          <t>Ministre d'État</t>
        </is>
      </c>
      <c r="E3413" t="inlineStr">
        <is>
          <t>Rob Moore</t>
        </is>
      </c>
      <c r="F3413" t="inlineStr">
        <is>
          <t>To attend Government of Canada announcements and meeting with stakeholders</t>
        </is>
      </c>
      <c r="G3413" t="inlineStr">
        <is>
          <t>Assister à des annonces du gouvernement du Canada et à une réunion avec des intervenants</t>
        </is>
      </c>
      <c r="H3413" s="1" t="n">
        <v>41520</v>
      </c>
      <c r="I3413" s="1" t="n">
        <v>41520</v>
      </c>
      <c r="J3413" t="inlineStr">
        <is>
          <t>Black River and St. Leonard, New Brunswick</t>
        </is>
      </c>
      <c r="K3413" t="inlineStr">
        <is>
          <t>Black River et St-Léonard (Nouveau-Brunswick)</t>
        </is>
      </c>
      <c r="P3413" t="n">
        <v>0</v>
      </c>
      <c r="Q3413" t="n">
        <v>361.35</v>
      </c>
      <c r="R3413" t="n">
        <v>0</v>
      </c>
      <c r="S3413" t="n">
        <v>56.9</v>
      </c>
      <c r="T3413" t="n">
        <v>0</v>
      </c>
      <c r="U3413" t="n">
        <v>418.25</v>
      </c>
      <c r="X3413" t="inlineStr">
        <is>
          <t>acoa-apeca</t>
        </is>
      </c>
      <c r="Y3413" t="inlineStr">
        <is>
          <t>Atlantic Canada Opportunities Agency | Agence de promotion économique du Canada atlantique</t>
        </is>
      </c>
    </row>
    <row r="3414">
      <c r="A3414" t="inlineStr">
        <is>
          <t>T-2014-Q3-00001</t>
        </is>
      </c>
      <c r="B3414" t="inlineStr">
        <is>
          <t>SLE</t>
        </is>
      </c>
      <c r="C3414" t="inlineStr">
        <is>
          <t>President</t>
        </is>
      </c>
      <c r="D3414" t="inlineStr">
        <is>
          <t>Président</t>
        </is>
      </c>
      <c r="E3414" t="inlineStr">
        <is>
          <t>Paul J. LeBlanc</t>
        </is>
      </c>
      <c r="F3414" t="inlineStr">
        <is>
          <t>For sessions and meeting with Agency officials; and with Forestry sector stakeholders</t>
        </is>
      </c>
      <c r="G3414" t="inlineStr">
        <is>
          <t>Séances et réunion avec des fonctionnaires de l'Agence, et réunion avec des intervenants du secteur de la foresterie</t>
        </is>
      </c>
      <c r="H3414" s="1" t="n">
        <v>41520</v>
      </c>
      <c r="I3414" s="1" t="n">
        <v>41520</v>
      </c>
      <c r="J3414" t="inlineStr">
        <is>
          <t>Saint Andre and Saint Leonard, New Brunswick</t>
        </is>
      </c>
      <c r="K3414" t="inlineStr">
        <is>
          <t>Saint-André et Saint-Léonard (Nouveau-Brunswick)</t>
        </is>
      </c>
      <c r="P3414" t="n">
        <v>0</v>
      </c>
      <c r="Q3414" t="n">
        <v>0</v>
      </c>
      <c r="R3414" t="n">
        <v>0</v>
      </c>
      <c r="S3414" t="n">
        <v>56.9</v>
      </c>
      <c r="T3414" t="n">
        <v>113</v>
      </c>
      <c r="U3414" t="n">
        <v>169.9</v>
      </c>
      <c r="X3414" t="inlineStr">
        <is>
          <t>acoa-apeca</t>
        </is>
      </c>
      <c r="Y3414" t="inlineStr">
        <is>
          <t>Atlantic Canada Opportunities Agency | Agence de promotion économique du Canada atlantique</t>
        </is>
      </c>
    </row>
    <row r="3415">
      <c r="A3415" t="inlineStr">
        <is>
          <t>T-2014-Q2-00046</t>
        </is>
      </c>
      <c r="B3415" t="inlineStr">
        <is>
          <t>SLE</t>
        </is>
      </c>
      <c r="C3415" t="inlineStr">
        <is>
          <t>Acting Vice-President, New Brunswick</t>
        </is>
      </c>
      <c r="D3415" t="inlineStr">
        <is>
          <t>Vice-présidente par intérim, Nouveau-Brunswick</t>
        </is>
      </c>
      <c r="E3415" t="inlineStr">
        <is>
          <t>Denise Frenette</t>
        </is>
      </c>
      <c r="F3415" t="inlineStr">
        <is>
          <t>Assignment in Fredericton</t>
        </is>
      </c>
      <c r="G3415" t="inlineStr">
        <is>
          <t>Affectation à Fredericton</t>
        </is>
      </c>
      <c r="H3415" s="1" t="n">
        <v>41518</v>
      </c>
      <c r="I3415" s="1" t="n">
        <v>41547</v>
      </c>
      <c r="J3415" t="inlineStr">
        <is>
          <t>Fredericton, New Brunswick</t>
        </is>
      </c>
      <c r="K3415" t="inlineStr">
        <is>
          <t>Fredericton (Nouveau-Brunswick)</t>
        </is>
      </c>
      <c r="P3415" t="n">
        <v>0</v>
      </c>
      <c r="Q3415" t="n">
        <v>50</v>
      </c>
      <c r="R3415" t="n">
        <v>2200</v>
      </c>
      <c r="S3415" t="n">
        <v>926.5</v>
      </c>
      <c r="T3415" t="n">
        <v>0</v>
      </c>
      <c r="U3415" t="n">
        <v>3176.5</v>
      </c>
      <c r="X3415" t="inlineStr">
        <is>
          <t>acoa-apeca</t>
        </is>
      </c>
      <c r="Y3415" t="inlineStr">
        <is>
          <t>Atlantic Canada Opportunities Agency | Agence de promotion économique du Canada atlantique</t>
        </is>
      </c>
    </row>
    <row r="3416">
      <c r="A3416" t="inlineStr">
        <is>
          <t>T-2014-Q2-00044</t>
        </is>
      </c>
      <c r="B3416" t="inlineStr">
        <is>
          <t>MPSES</t>
        </is>
      </c>
      <c r="C3416" t="inlineStr">
        <is>
          <t>Regional Affairs Director - New Brunswick</t>
        </is>
      </c>
      <c r="D3416" t="inlineStr">
        <is>
          <t>Directeur des affaires régionales - Nouveau-Brunswick</t>
        </is>
      </c>
      <c r="E3416" t="inlineStr">
        <is>
          <t>Douglas MacDonald</t>
        </is>
      </c>
      <c r="F3416" t="inlineStr">
        <is>
          <t>Travel on Government business</t>
        </is>
      </c>
      <c r="G3416" t="inlineStr">
        <is>
          <t xml:space="preserve">Voyage pour le compte du gouvernement </t>
        </is>
      </c>
      <c r="H3416" s="1" t="n">
        <v>41515</v>
      </c>
      <c r="I3416" s="1" t="n">
        <v>41515</v>
      </c>
      <c r="J3416" t="inlineStr">
        <is>
          <t>Moncton and Fredericton, New Brunswick</t>
        </is>
      </c>
      <c r="K3416" t="inlineStr">
        <is>
          <t>Moncton et Fredericton (Nouveau-Brunswick)</t>
        </is>
      </c>
      <c r="P3416" t="n">
        <v>0</v>
      </c>
      <c r="Q3416" t="n">
        <v>233.64</v>
      </c>
      <c r="R3416" t="n">
        <v>0</v>
      </c>
      <c r="S3416" t="n">
        <v>0</v>
      </c>
      <c r="T3416" t="n">
        <v>0</v>
      </c>
      <c r="U3416" t="n">
        <v>233.64</v>
      </c>
      <c r="X3416" t="inlineStr">
        <is>
          <t>acoa-apeca</t>
        </is>
      </c>
      <c r="Y3416" t="inlineStr">
        <is>
          <t>Atlantic Canada Opportunities Agency | Agence de promotion économique du Canada atlantique</t>
        </is>
      </c>
    </row>
    <row r="3417">
      <c r="A3417" t="inlineStr">
        <is>
          <t>T-2014-Q2-00043</t>
        </is>
      </c>
      <c r="B3417" t="inlineStr">
        <is>
          <t>SLE</t>
        </is>
      </c>
      <c r="C3417" t="inlineStr">
        <is>
          <t>Vice President, Nova Scotia</t>
        </is>
      </c>
      <c r="D3417" t="inlineStr">
        <is>
          <t>Vice-président, Nouvelle-Écosse</t>
        </is>
      </c>
      <c r="E3417" t="inlineStr">
        <is>
          <t>Peter Hogan</t>
        </is>
      </c>
      <c r="F3417" t="inlineStr">
        <is>
          <t xml:space="preserve">Meeting with clients and Agency officials </t>
        </is>
      </c>
      <c r="G3417" t="inlineStr">
        <is>
          <t>Réunion avec des clients et des fonctionnaires de l'Agence</t>
        </is>
      </c>
      <c r="H3417" s="1" t="n">
        <v>41515</v>
      </c>
      <c r="I3417" s="1" t="n">
        <v>41515</v>
      </c>
      <c r="J3417" t="inlineStr">
        <is>
          <t>Annapolis Royal, Nova Scotia</t>
        </is>
      </c>
      <c r="K3417" t="inlineStr">
        <is>
          <t>Annapolis Royal (Nouvelle-Écosse)</t>
        </is>
      </c>
      <c r="P3417" t="n">
        <v>0</v>
      </c>
      <c r="Q3417" t="n">
        <v>0</v>
      </c>
      <c r="R3417" t="n">
        <v>0</v>
      </c>
      <c r="S3417" t="n">
        <v>15.15</v>
      </c>
      <c r="T3417" t="n">
        <v>0</v>
      </c>
      <c r="U3417" t="n">
        <v>15.15</v>
      </c>
      <c r="X3417" t="inlineStr">
        <is>
          <t>acoa-apeca</t>
        </is>
      </c>
      <c r="Y3417" t="inlineStr">
        <is>
          <t>Atlantic Canada Opportunities Agency | Agence de promotion économique du Canada atlantique</t>
        </is>
      </c>
    </row>
    <row r="3418">
      <c r="A3418" t="inlineStr">
        <is>
          <t>T-2014-Q2-00041</t>
        </is>
      </c>
      <c r="B3418" t="inlineStr">
        <is>
          <t>MPSES</t>
        </is>
      </c>
      <c r="C3418" t="inlineStr">
        <is>
          <t>Minister of State</t>
        </is>
      </c>
      <c r="D3418" t="inlineStr">
        <is>
          <t>Ministre d'État</t>
        </is>
      </c>
      <c r="E3418" t="inlineStr">
        <is>
          <t>Rob Moore</t>
        </is>
      </c>
      <c r="F3418" t="inlineStr">
        <is>
          <t>To attend Government of Canada announcements, meetings with regional Atlantic Canada Opportunities Agency officials, business roundtable, mayors and wardens roundtable</t>
        </is>
      </c>
      <c r="G3418" t="inlineStr">
        <is>
          <t>Assister à des annonces du gouvernement du Canada, à des réunions avec des fonctionnaires régionaux de l'Agence de promotion économique du Canada atlantique, à une table ronde de gens d'affaires et à une table ronde de maires et de préfets</t>
        </is>
      </c>
      <c r="H3418" s="1" t="n">
        <v>41513</v>
      </c>
      <c r="I3418" s="1" t="n">
        <v>41515</v>
      </c>
      <c r="J3418" t="inlineStr">
        <is>
          <t>Bible Hill, Halifax, Sydney and Digby, Nova Scotia</t>
        </is>
      </c>
      <c r="K3418" t="inlineStr">
        <is>
          <t>Bible Hill, Halifax Sydney et Digby (Nouvelle-Écosse)</t>
        </is>
      </c>
      <c r="P3418" t="n">
        <v>1430.89</v>
      </c>
      <c r="Q3418" t="n">
        <v>535.8200000000001</v>
      </c>
      <c r="R3418" t="n">
        <v>300.25</v>
      </c>
      <c r="S3418" t="n">
        <v>223.6</v>
      </c>
      <c r="T3418" t="n">
        <v>0</v>
      </c>
      <c r="U3418" t="n">
        <v>2490.56</v>
      </c>
      <c r="X3418" t="inlineStr">
        <is>
          <t>acoa-apeca</t>
        </is>
      </c>
      <c r="Y3418" t="inlineStr">
        <is>
          <t>Atlantic Canada Opportunities Agency | Agence de promotion économique du Canada atlantique</t>
        </is>
      </c>
    </row>
    <row r="3419">
      <c r="A3419" t="inlineStr">
        <is>
          <t>T-2014-Q2-00040</t>
        </is>
      </c>
      <c r="B3419" t="inlineStr">
        <is>
          <t>MPSES</t>
        </is>
      </c>
      <c r="C3419" t="inlineStr">
        <is>
          <t>Chief of Staff</t>
        </is>
      </c>
      <c r="D3419" t="inlineStr">
        <is>
          <t>Chef de cabinet</t>
        </is>
      </c>
      <c r="E3419" t="inlineStr">
        <is>
          <t>Shane Bourke</t>
        </is>
      </c>
      <c r="F3419" t="inlineStr">
        <is>
          <t>Travel to accompany Minister to Atlantic Canada Opportunities Agency events</t>
        </is>
      </c>
      <c r="G3419" t="inlineStr">
        <is>
          <t>Accompagner le ministre à des activités de l'Agence de promotion économique du Canada atlantique</t>
        </is>
      </c>
      <c r="H3419" s="1" t="n">
        <v>41513</v>
      </c>
      <c r="I3419" s="1" t="n">
        <v>41514</v>
      </c>
      <c r="J3419" t="inlineStr">
        <is>
          <t>Halifax and Sydney, Nova Scotia</t>
        </is>
      </c>
      <c r="K3419" t="inlineStr">
        <is>
          <t>Halifax et Sydney (Nouvelle-Écosse)</t>
        </is>
      </c>
      <c r="P3419" t="n">
        <v>1240.39</v>
      </c>
      <c r="Q3419" t="n">
        <v>90</v>
      </c>
      <c r="R3419" t="n">
        <v>158.36</v>
      </c>
      <c r="S3419" t="n">
        <v>133.25</v>
      </c>
      <c r="T3419" t="n">
        <v>0</v>
      </c>
      <c r="U3419" t="n">
        <v>1622</v>
      </c>
      <c r="X3419" t="inlineStr">
        <is>
          <t>acoa-apeca</t>
        </is>
      </c>
      <c r="Y3419" t="inlineStr">
        <is>
          <t>Atlantic Canada Opportunities Agency | Agence de promotion économique du Canada atlantique</t>
        </is>
      </c>
    </row>
    <row r="3420">
      <c r="A3420" t="inlineStr">
        <is>
          <t>T-2014-Q2-00039</t>
        </is>
      </c>
      <c r="B3420" t="inlineStr">
        <is>
          <t>MPSES</t>
        </is>
      </c>
      <c r="C3420" t="inlineStr">
        <is>
          <t>Minister of State</t>
        </is>
      </c>
      <c r="D3420" t="inlineStr">
        <is>
          <t>Ministre d'État</t>
        </is>
      </c>
      <c r="E3420" t="inlineStr">
        <is>
          <t>Rob Moore</t>
        </is>
      </c>
      <c r="F3420" t="inlineStr">
        <is>
          <t>To attend Government of Canada announcement, speech at the Charlottetown Rotary Club, various meetings on Atlantic Canada Opportunities Agency issues</t>
        </is>
      </c>
      <c r="G3420" t="inlineStr">
        <is>
          <t>Assister à une annonce du gouvernement du Canada, prononcer un discours au Club Rotary de Charlottetown et assister à diverses réunions sur des enjeux de l'Agence de promotion économique du Canada atlantique</t>
        </is>
      </c>
      <c r="H3420" s="1" t="n">
        <v>41512</v>
      </c>
      <c r="I3420" s="1" t="n">
        <v>41512</v>
      </c>
      <c r="J3420" t="inlineStr">
        <is>
          <t>Charlottetown, Prince Edward Island</t>
        </is>
      </c>
      <c r="K3420" t="inlineStr">
        <is>
          <t>Charlottetown (Île-du-Prince-Édouard)</t>
        </is>
      </c>
      <c r="P3420" t="n">
        <v>0</v>
      </c>
      <c r="Q3420" t="n">
        <v>355.36</v>
      </c>
      <c r="R3420" t="n">
        <v>0</v>
      </c>
      <c r="S3420" t="n">
        <v>57.4</v>
      </c>
      <c r="T3420" t="n">
        <v>0</v>
      </c>
      <c r="U3420" t="n">
        <v>412.76</v>
      </c>
      <c r="X3420" t="inlineStr">
        <is>
          <t>acoa-apeca</t>
        </is>
      </c>
      <c r="Y3420" t="inlineStr">
        <is>
          <t>Atlantic Canada Opportunities Agency | Agence de promotion économique du Canada atlantique</t>
        </is>
      </c>
    </row>
    <row r="3421">
      <c r="A3421" t="inlineStr">
        <is>
          <t>T-2014-Q2-00037</t>
        </is>
      </c>
      <c r="B3421" t="inlineStr">
        <is>
          <t>SLE</t>
        </is>
      </c>
      <c r="C3421" t="inlineStr">
        <is>
          <t>President</t>
        </is>
      </c>
      <c r="D3421" t="inlineStr">
        <is>
          <t>Président</t>
        </is>
      </c>
      <c r="E3421" t="inlineStr">
        <is>
          <t>Paul J. LeBlanc</t>
        </is>
      </c>
      <c r="F3421" t="inlineStr">
        <is>
          <t>For various meetings and discussions with: Agency officials; with various stakeholders</t>
        </is>
      </c>
      <c r="G3421" t="inlineStr">
        <is>
          <t>Diverses réunions et discussions avec des fonctionnaires de l'Agence et divers intervenants</t>
        </is>
      </c>
      <c r="H3421" s="1" t="n">
        <v>41512</v>
      </c>
      <c r="I3421" s="1" t="n">
        <v>41515</v>
      </c>
      <c r="J3421" t="inlineStr">
        <is>
          <t>Charlottetown, Prince Edward Island; Halifax and Digby, Nova Scotia</t>
        </is>
      </c>
      <c r="K3421" t="inlineStr">
        <is>
          <t>Charlottetown (Île-du-Prince-Éoudard)/Halifax et Digby (Nouvelle-Écosse)</t>
        </is>
      </c>
      <c r="P3421" t="n">
        <v>0</v>
      </c>
      <c r="Q3421" t="n">
        <v>70</v>
      </c>
      <c r="R3421" t="n">
        <v>337.82</v>
      </c>
      <c r="S3421" t="n">
        <v>236.6</v>
      </c>
      <c r="T3421" t="n">
        <v>113</v>
      </c>
      <c r="U3421" t="n">
        <v>757.42</v>
      </c>
      <c r="X3421" t="inlineStr">
        <is>
          <t>acoa-apeca</t>
        </is>
      </c>
      <c r="Y3421" t="inlineStr">
        <is>
          <t>Atlantic Canada Opportunities Agency | Agence de promotion économique du Canada atlantique</t>
        </is>
      </c>
    </row>
    <row r="3422">
      <c r="A3422" t="inlineStr">
        <is>
          <t>T-2014-Q2-00036</t>
        </is>
      </c>
      <c r="B3422" t="inlineStr">
        <is>
          <t>SLE</t>
        </is>
      </c>
      <c r="C3422" t="inlineStr">
        <is>
          <t>Vice-President, Prince Edward Island</t>
        </is>
      </c>
      <c r="D3422" t="inlineStr">
        <is>
          <t>Vice-président, Île-du-Prince-Édouard</t>
        </is>
      </c>
      <c r="E3422" t="inlineStr">
        <is>
          <t>Patrick Dorsey</t>
        </is>
      </c>
      <c r="F3422" t="inlineStr">
        <is>
          <t>To attend annual Aerospace PEI Conference</t>
        </is>
      </c>
      <c r="G3422" t="inlineStr">
        <is>
          <t>Assister à la conférence annuelle d'Aerospace PEI</t>
        </is>
      </c>
      <c r="H3422" s="1" t="n">
        <v>41507</v>
      </c>
      <c r="I3422" s="1" t="n">
        <v>41509</v>
      </c>
      <c r="J3422" t="inlineStr">
        <is>
          <t>Brudenell, Prince Edward Island</t>
        </is>
      </c>
      <c r="K3422" t="inlineStr">
        <is>
          <t>Brudenell (Île-du-Prince-Édouard)</t>
        </is>
      </c>
      <c r="P3422" t="n">
        <v>0</v>
      </c>
      <c r="Q3422" t="n">
        <v>0</v>
      </c>
      <c r="R3422" t="n">
        <v>305.52</v>
      </c>
      <c r="S3422" t="n">
        <v>124.45</v>
      </c>
      <c r="T3422" t="n">
        <v>0</v>
      </c>
      <c r="U3422" t="n">
        <v>429.97</v>
      </c>
      <c r="X3422" t="inlineStr">
        <is>
          <t>acoa-apeca</t>
        </is>
      </c>
      <c r="Y3422" t="inlineStr">
        <is>
          <t>Atlantic Canada Opportunities Agency | Agence de promotion économique du Canada atlantique</t>
        </is>
      </c>
    </row>
    <row r="3423">
      <c r="A3423" t="inlineStr">
        <is>
          <t>T-2014-Q2-00035</t>
        </is>
      </c>
      <c r="B3423" t="inlineStr">
        <is>
          <t>SLE</t>
        </is>
      </c>
      <c r="C3423" t="inlineStr">
        <is>
          <t>Acting Vice-President, New Brunswick</t>
        </is>
      </c>
      <c r="D3423" t="inlineStr">
        <is>
          <t>Vice-présidente par intérim, Nouveau-Brunswick</t>
        </is>
      </c>
      <c r="E3423" t="inlineStr">
        <is>
          <t>Denise Frenette</t>
        </is>
      </c>
      <c r="F3423" t="inlineStr">
        <is>
          <t>Assignment in Fredericton</t>
        </is>
      </c>
      <c r="G3423" t="inlineStr">
        <is>
          <t>Affectation à Fredericton</t>
        </is>
      </c>
      <c r="H3423" s="1" t="n">
        <v>41505</v>
      </c>
      <c r="I3423" s="1" t="n">
        <v>41516</v>
      </c>
      <c r="J3423" t="inlineStr">
        <is>
          <t>Fredericton, New Brunswick</t>
        </is>
      </c>
      <c r="K3423" t="inlineStr">
        <is>
          <t>Fredericton (Nouveau-Brunswick)</t>
        </is>
      </c>
      <c r="P3423" t="n">
        <v>0</v>
      </c>
      <c r="Q3423" t="n">
        <v>0</v>
      </c>
      <c r="R3423" t="n">
        <v>0</v>
      </c>
      <c r="S3423" t="n">
        <v>551.8</v>
      </c>
      <c r="T3423" t="n">
        <v>0</v>
      </c>
      <c r="U3423" t="n">
        <v>551.8</v>
      </c>
      <c r="X3423" t="inlineStr">
        <is>
          <t>acoa-apeca</t>
        </is>
      </c>
      <c r="Y3423" t="inlineStr">
        <is>
          <t>Atlantic Canada Opportunities Agency | Agence de promotion économique du Canada atlantique</t>
        </is>
      </c>
    </row>
    <row r="3424">
      <c r="A3424" t="inlineStr">
        <is>
          <t>T-2014-Q2-00034</t>
        </is>
      </c>
      <c r="B3424" t="inlineStr">
        <is>
          <t>SLE</t>
        </is>
      </c>
      <c r="C3424" t="inlineStr">
        <is>
          <t>Vice-President, Newfoundland and Labrador</t>
        </is>
      </c>
      <c r="D3424" t="inlineStr">
        <is>
          <t>Vice-président, Terre-Neuve-et-Labrador</t>
        </is>
      </c>
      <c r="E3424" t="inlineStr">
        <is>
          <t>Paul Mills</t>
        </is>
      </c>
      <c r="F3424" t="inlineStr">
        <is>
          <t>To meet with officials on Fogo Island</t>
        </is>
      </c>
      <c r="G3424" t="inlineStr">
        <is>
          <t>Rencontrer des représentants à l'île Fogo</t>
        </is>
      </c>
      <c r="H3424" s="1" t="n">
        <v>41504</v>
      </c>
      <c r="I3424" s="1" t="n">
        <v>41507</v>
      </c>
      <c r="J3424" t="inlineStr">
        <is>
          <t>Fogo Island, Newfoundland and Labrador</t>
        </is>
      </c>
      <c r="K3424" t="inlineStr">
        <is>
          <t>Île Fogo (Terre-Neuve-et-Labrador)</t>
        </is>
      </c>
      <c r="P3424" t="n">
        <v>0</v>
      </c>
      <c r="Q3424" t="n">
        <v>623.9400000000001</v>
      </c>
      <c r="R3424" t="n">
        <v>507.81</v>
      </c>
      <c r="S3424" t="n">
        <v>156.9</v>
      </c>
      <c r="T3424" t="n">
        <v>7.73</v>
      </c>
      <c r="U3424" t="n">
        <v>1296.38</v>
      </c>
      <c r="X3424" t="inlineStr">
        <is>
          <t>acoa-apeca</t>
        </is>
      </c>
      <c r="Y3424" t="inlineStr">
        <is>
          <t>Atlantic Canada Opportunities Agency | Agence de promotion économique du Canada atlantique</t>
        </is>
      </c>
    </row>
    <row r="3425">
      <c r="A3425" t="inlineStr">
        <is>
          <t>T-2014-Q2-00033</t>
        </is>
      </c>
      <c r="B3425" t="inlineStr">
        <is>
          <t>SLE</t>
        </is>
      </c>
      <c r="C3425" t="inlineStr">
        <is>
          <t>Vice-President, Policy and Programs</t>
        </is>
      </c>
      <c r="D3425" t="inlineStr">
        <is>
          <t>Vice-président, Politiques et Programmes</t>
        </is>
      </c>
      <c r="E3425" t="inlineStr">
        <is>
          <t>Daryell Nowlan</t>
        </is>
      </c>
      <c r="F3425" t="inlineStr">
        <is>
          <t>Attending a conference</t>
        </is>
      </c>
      <c r="G3425" t="inlineStr">
        <is>
          <t>Assister à une conférence</t>
        </is>
      </c>
      <c r="H3425" s="1" t="n">
        <v>41502</v>
      </c>
      <c r="I3425" s="1" t="n">
        <v>41507</v>
      </c>
      <c r="J3425" t="inlineStr">
        <is>
          <t>Montreal, Quebec</t>
        </is>
      </c>
      <c r="K3425" t="inlineStr">
        <is>
          <t>Montréal (Québec)</t>
        </is>
      </c>
      <c r="P3425" t="n">
        <v>892.7</v>
      </c>
      <c r="Q3425" t="n">
        <v>136</v>
      </c>
      <c r="R3425" t="n">
        <v>496.26</v>
      </c>
      <c r="S3425" t="n">
        <v>209.6</v>
      </c>
      <c r="T3425" t="n">
        <v>0</v>
      </c>
      <c r="U3425" t="n">
        <v>1734.56</v>
      </c>
      <c r="X3425" t="inlineStr">
        <is>
          <t>acoa-apeca</t>
        </is>
      </c>
      <c r="Y3425" t="inlineStr">
        <is>
          <t>Atlantic Canada Opportunities Agency | Agence de promotion économique du Canada atlantique</t>
        </is>
      </c>
    </row>
    <row r="3426">
      <c r="A3426" t="inlineStr">
        <is>
          <t>T-2014-Q2-00032</t>
        </is>
      </c>
      <c r="B3426" t="inlineStr">
        <is>
          <t>SLE</t>
        </is>
      </c>
      <c r="C3426" t="inlineStr">
        <is>
          <t>Acting Vice-President, New Brunswick</t>
        </is>
      </c>
      <c r="D3426" t="inlineStr">
        <is>
          <t>Vice-présidente par intérim, Nouveau-Brunswick</t>
        </is>
      </c>
      <c r="E3426" t="inlineStr">
        <is>
          <t>Denise Frenette</t>
        </is>
      </c>
      <c r="F3426" t="inlineStr">
        <is>
          <t>Northwest New Brunswick client visits</t>
        </is>
      </c>
      <c r="G3426" t="inlineStr">
        <is>
          <t>Visites des clients du Nord-Ouest du Nouveau-Brunswick</t>
        </is>
      </c>
      <c r="H3426" s="1" t="n">
        <v>41499</v>
      </c>
      <c r="I3426" s="1" t="n">
        <v>41500</v>
      </c>
      <c r="J3426" t="inlineStr">
        <is>
          <t>Edmundston, New Brunswick</t>
        </is>
      </c>
      <c r="K3426" t="inlineStr">
        <is>
          <t>Edmundston (Nouveau-Brunswick)</t>
        </is>
      </c>
      <c r="P3426" t="n">
        <v>0</v>
      </c>
      <c r="Q3426" t="n">
        <v>0</v>
      </c>
      <c r="R3426" t="n">
        <v>134.47</v>
      </c>
      <c r="S3426" t="n">
        <v>165.35</v>
      </c>
      <c r="T3426" t="n">
        <v>0</v>
      </c>
      <c r="U3426" t="n">
        <v>299.82</v>
      </c>
      <c r="X3426" t="inlineStr">
        <is>
          <t>acoa-apeca</t>
        </is>
      </c>
      <c r="Y3426" t="inlineStr">
        <is>
          <t>Atlantic Canada Opportunities Agency | Agence de promotion économique du Canada atlantique</t>
        </is>
      </c>
    </row>
    <row r="3427">
      <c r="A3427" t="inlineStr">
        <is>
          <t>T-2014-Q2-00023</t>
        </is>
      </c>
      <c r="B3427" t="inlineStr">
        <is>
          <t>MPSES</t>
        </is>
      </c>
      <c r="C3427" t="inlineStr">
        <is>
          <t>Minister</t>
        </is>
      </c>
      <c r="D3427" t="inlineStr">
        <is>
          <t>Ministre</t>
        </is>
      </c>
      <c r="E3427" t="inlineStr">
        <is>
          <t>Gail Shea</t>
        </is>
      </c>
      <c r="F3427" t="inlineStr">
        <is>
          <t>To attend the Prince Edward Island BioAlliance Symposium and meeting with stakeholders</t>
        </is>
      </c>
      <c r="G3427" t="inlineStr">
        <is>
          <t>Assister au symposium de Prince Edward Island BioAlliance et à une rencontre avec des intervenants</t>
        </is>
      </c>
      <c r="H3427" s="1" t="n">
        <v>41461</v>
      </c>
      <c r="I3427" s="1" t="n">
        <v>41462</v>
      </c>
      <c r="J3427" t="inlineStr">
        <is>
          <t>Georgetown Royalty, Prince Edward Island</t>
        </is>
      </c>
      <c r="K3427" t="inlineStr">
        <is>
          <t>Georgetown Royalty (Île-du-Prince-Édouard)</t>
        </is>
      </c>
      <c r="P3427" t="n">
        <v>0</v>
      </c>
      <c r="Q3427" t="n">
        <v>189.88</v>
      </c>
      <c r="R3427" t="n">
        <v>204.06</v>
      </c>
      <c r="S3427" t="n">
        <v>74.7</v>
      </c>
      <c r="T3427" t="n">
        <v>0</v>
      </c>
      <c r="U3427" t="n">
        <v>468.64</v>
      </c>
      <c r="X3427" t="inlineStr">
        <is>
          <t>acoa-apeca</t>
        </is>
      </c>
      <c r="Y3427" t="inlineStr">
        <is>
          <t>Atlantic Canada Opportunities Agency | Agence de promotion économique du Canada atlantique</t>
        </is>
      </c>
    </row>
    <row r="3428">
      <c r="A3428" t="inlineStr">
        <is>
          <t>T-2014-Q2-00031</t>
        </is>
      </c>
      <c r="B3428" t="inlineStr">
        <is>
          <t>SLE</t>
        </is>
      </c>
      <c r="C3428" t="inlineStr">
        <is>
          <t>President</t>
        </is>
      </c>
      <c r="D3428" t="inlineStr">
        <is>
          <t>Président</t>
        </is>
      </c>
      <c r="E3428" t="inlineStr">
        <is>
          <t>Paul J. LeBlanc</t>
        </is>
      </c>
      <c r="F3428" t="inlineStr">
        <is>
          <t>For various meetings and discussions with Agency officials; with Government of Canada officials; with stakeholders</t>
        </is>
      </c>
      <c r="G3428" t="inlineStr">
        <is>
          <t>Diverses réunions et discussions avec des fonctionnaires de l'Agence et du gouvernement du Canada et des intervenants</t>
        </is>
      </c>
      <c r="H3428" s="1" t="n">
        <v>41493</v>
      </c>
      <c r="I3428" s="1" t="n">
        <v>41495</v>
      </c>
      <c r="J3428" t="inlineStr">
        <is>
          <t>Halifax, Nova Scotia and St. John's, Newfoundland and Labrador</t>
        </is>
      </c>
      <c r="K3428" t="inlineStr">
        <is>
          <t>Halifax (Nouvelle-Écosse) et St. John's (Terre-Neuve-et-Labrador)</t>
        </is>
      </c>
      <c r="P3428" t="n">
        <v>1114.36</v>
      </c>
      <c r="Q3428" t="n">
        <v>0</v>
      </c>
      <c r="R3428" t="n">
        <v>373.66</v>
      </c>
      <c r="S3428" t="n">
        <v>208.45</v>
      </c>
      <c r="T3428" t="n">
        <v>56.5</v>
      </c>
      <c r="U3428" t="n">
        <v>1752.97</v>
      </c>
      <c r="X3428" t="inlineStr">
        <is>
          <t>acoa-apeca</t>
        </is>
      </c>
      <c r="Y3428" t="inlineStr">
        <is>
          <t>Atlantic Canada Opportunities Agency | Agence de promotion économique du Canada atlantique</t>
        </is>
      </c>
    </row>
    <row r="3429">
      <c r="A3429" t="inlineStr">
        <is>
          <t>T-2014-Q2-00030</t>
        </is>
      </c>
      <c r="B3429" t="inlineStr">
        <is>
          <t>SLE</t>
        </is>
      </c>
      <c r="C3429" t="inlineStr">
        <is>
          <t>Acting Vice-President, New Brunswick</t>
        </is>
      </c>
      <c r="D3429" t="inlineStr">
        <is>
          <t>Vice-présidente par intérim, Nouveau-Brunswick</t>
        </is>
      </c>
      <c r="E3429" t="inlineStr">
        <is>
          <t>Denise Frenette</t>
        </is>
      </c>
      <c r="F3429" t="inlineStr">
        <is>
          <t>Assignment in Fredericton</t>
        </is>
      </c>
      <c r="G3429" t="inlineStr">
        <is>
          <t>Affectation à Fredericton</t>
        </is>
      </c>
      <c r="H3429" s="1" t="n">
        <v>41487</v>
      </c>
      <c r="I3429" s="1" t="n">
        <v>41502</v>
      </c>
      <c r="J3429" t="inlineStr">
        <is>
          <t>Fredericton, New Brunswick</t>
        </is>
      </c>
      <c r="K3429" t="inlineStr">
        <is>
          <t>Fredericton (Nouveau-Brunswick)</t>
        </is>
      </c>
      <c r="P3429" t="n">
        <v>0</v>
      </c>
      <c r="Q3429" t="n">
        <v>182.16</v>
      </c>
      <c r="R3429" t="n">
        <v>1095</v>
      </c>
      <c r="S3429" t="n">
        <v>190.45</v>
      </c>
      <c r="T3429" t="n">
        <v>0</v>
      </c>
      <c r="U3429" t="n">
        <v>1467.61</v>
      </c>
      <c r="X3429" t="inlineStr">
        <is>
          <t>acoa-apeca</t>
        </is>
      </c>
      <c r="Y3429" t="inlineStr">
        <is>
          <t>Atlantic Canada Opportunities Agency | Agence de promotion économique du Canada atlantique</t>
        </is>
      </c>
    </row>
    <row r="3430">
      <c r="A3430" t="inlineStr">
        <is>
          <t>T-2014-Q2-00029</t>
        </is>
      </c>
      <c r="B3430" t="inlineStr">
        <is>
          <t>SLE</t>
        </is>
      </c>
      <c r="C3430" t="inlineStr">
        <is>
          <t>Acting Vice-President, New Brunswick</t>
        </is>
      </c>
      <c r="D3430" t="inlineStr">
        <is>
          <t>Vice-présidente par intérim, Nouveau-Brunswick</t>
        </is>
      </c>
      <c r="E3430" t="inlineStr">
        <is>
          <t>Denise Frenette</t>
        </is>
      </c>
      <c r="F3430" t="inlineStr">
        <is>
          <t>Assignment in Fredericton</t>
        </is>
      </c>
      <c r="G3430" t="inlineStr">
        <is>
          <t>Affectation à Fredericton</t>
        </is>
      </c>
      <c r="H3430" s="1" t="n">
        <v>41470</v>
      </c>
      <c r="I3430" s="1" t="n">
        <v>41486</v>
      </c>
      <c r="J3430" t="inlineStr">
        <is>
          <t>Fredericton, New Brunswick</t>
        </is>
      </c>
      <c r="K3430" t="inlineStr">
        <is>
          <t>Fredericton (Nouveau-Brunswick)</t>
        </is>
      </c>
      <c r="P3430" t="n">
        <v>0</v>
      </c>
      <c r="Q3430" t="n">
        <v>0</v>
      </c>
      <c r="R3430" t="n">
        <v>2200</v>
      </c>
      <c r="S3430" t="n">
        <v>706.15</v>
      </c>
      <c r="T3430" t="n">
        <v>0</v>
      </c>
      <c r="U3430" t="n">
        <v>2906.15</v>
      </c>
      <c r="X3430" t="inlineStr">
        <is>
          <t>acoa-apeca</t>
        </is>
      </c>
      <c r="Y3430" t="inlineStr">
        <is>
          <t>Atlantic Canada Opportunities Agency | Agence de promotion économique du Canada atlantique</t>
        </is>
      </c>
    </row>
    <row r="3431">
      <c r="A3431" t="inlineStr">
        <is>
          <t>T-2014-Q2-00028</t>
        </is>
      </c>
      <c r="B3431" t="inlineStr">
        <is>
          <t>SLE</t>
        </is>
      </c>
      <c r="C3431" t="inlineStr">
        <is>
          <t>President</t>
        </is>
      </c>
      <c r="D3431" t="inlineStr">
        <is>
          <t>Président</t>
        </is>
      </c>
      <c r="E3431" t="inlineStr">
        <is>
          <t>Paul J. LeBlanc</t>
        </is>
      </c>
      <c r="F3431" t="inlineStr">
        <is>
          <t>For various meetings and discussions with: Agency officials; with Government of Canada officials</t>
        </is>
      </c>
      <c r="G3431" t="inlineStr">
        <is>
          <t>Diverses réunions et discussions avec des fonctionnaires de l'Agence et du gouvernement du Canada</t>
        </is>
      </c>
      <c r="H3431" s="1" t="n">
        <v>41469</v>
      </c>
      <c r="I3431" s="1" t="n">
        <v>41472</v>
      </c>
      <c r="J3431" t="inlineStr">
        <is>
          <t>Ottawa, Ontario and Moncton, New Brunswick</t>
        </is>
      </c>
      <c r="K3431" t="inlineStr">
        <is>
          <t>Ottawa (Ontario) et Moncton (Nouveau-Brunswick)</t>
        </is>
      </c>
      <c r="P3431" t="n">
        <v>947.1</v>
      </c>
      <c r="Q3431" t="n">
        <v>35</v>
      </c>
      <c r="R3431" t="n">
        <v>555.1799999999999</v>
      </c>
      <c r="S3431" t="n">
        <v>245.1</v>
      </c>
      <c r="T3431" t="n">
        <v>0</v>
      </c>
      <c r="U3431" t="n">
        <v>1782.38</v>
      </c>
      <c r="X3431" t="inlineStr">
        <is>
          <t>acoa-apeca</t>
        </is>
      </c>
      <c r="Y3431" t="inlineStr">
        <is>
          <t>Atlantic Canada Opportunities Agency | Agence de promotion économique du Canada atlantique</t>
        </is>
      </c>
    </row>
    <row r="3432">
      <c r="A3432" t="inlineStr">
        <is>
          <t>T-2014-Q2-00026</t>
        </is>
      </c>
      <c r="B3432" t="inlineStr">
        <is>
          <t>SLE</t>
        </is>
      </c>
      <c r="C3432" t="inlineStr">
        <is>
          <t>Acting Vice-President, New Brunswick</t>
        </is>
      </c>
      <c r="D3432" t="inlineStr">
        <is>
          <t>Vice-présidente par intérim, Nouveau-Brunswick</t>
        </is>
      </c>
      <c r="E3432" t="inlineStr">
        <is>
          <t>Denise Frenette</t>
        </is>
      </c>
      <c r="F3432" t="inlineStr">
        <is>
          <t>Northeast client visits</t>
        </is>
      </c>
      <c r="G3432" t="inlineStr">
        <is>
          <t>Visites des clients du Nord-Est</t>
        </is>
      </c>
      <c r="H3432" s="1" t="n">
        <v>41466</v>
      </c>
      <c r="I3432" s="1" t="n">
        <v>41467</v>
      </c>
      <c r="J3432" t="inlineStr">
        <is>
          <t>Tracadie-Sheila, New Brunswick</t>
        </is>
      </c>
      <c r="K3432" t="inlineStr">
        <is>
          <t>Tracadie-Sheila (Nouveau-Brunswick)</t>
        </is>
      </c>
      <c r="P3432" t="n">
        <v>0</v>
      </c>
      <c r="Q3432" t="n">
        <v>0</v>
      </c>
      <c r="R3432" t="n">
        <v>111.87</v>
      </c>
      <c r="S3432" t="n">
        <v>106.65</v>
      </c>
      <c r="T3432" t="n">
        <v>0</v>
      </c>
      <c r="U3432" t="n">
        <v>218.52</v>
      </c>
      <c r="X3432" t="inlineStr">
        <is>
          <t>acoa-apeca</t>
        </is>
      </c>
      <c r="Y3432" t="inlineStr">
        <is>
          <t>Atlantic Canada Opportunities Agency | Agence de promotion économique du Canada atlantique</t>
        </is>
      </c>
    </row>
    <row r="3433">
      <c r="A3433" t="inlineStr">
        <is>
          <t>T-2014-Q2-00024</t>
        </is>
      </c>
      <c r="B3433" t="inlineStr">
        <is>
          <t>SLE</t>
        </is>
      </c>
      <c r="C3433" t="inlineStr">
        <is>
          <t>Vice-President, Prince Edward Island</t>
        </is>
      </c>
      <c r="D3433" t="inlineStr">
        <is>
          <t>Vice-président, Île-du-Prince-Édouard</t>
        </is>
      </c>
      <c r="E3433" t="inlineStr">
        <is>
          <t>Patrick Dorsey</t>
        </is>
      </c>
      <c r="F3433" t="inlineStr">
        <is>
          <t>To attend the 4th Annual Biotechnology &amp; Human Health Symposium</t>
        </is>
      </c>
      <c r="G3433" t="inlineStr">
        <is>
          <t>Assister au quatrième Symposium annuel de la biotechnologie et de la santé humaine</t>
        </is>
      </c>
      <c r="H3433" s="1" t="n">
        <v>41463</v>
      </c>
      <c r="I3433" s="1" t="n">
        <v>41464</v>
      </c>
      <c r="J3433" t="inlineStr">
        <is>
          <t>Brudenell, Prince Edward Island</t>
        </is>
      </c>
      <c r="K3433" t="inlineStr">
        <is>
          <t>Brudenell (Île-du-Prince-Édouard)</t>
        </is>
      </c>
      <c r="P3433" t="n">
        <v>0</v>
      </c>
      <c r="Q3433" t="n">
        <v>0</v>
      </c>
      <c r="R3433" t="n">
        <v>226.88</v>
      </c>
      <c r="S3433" t="n">
        <v>65.40000000000001</v>
      </c>
      <c r="T3433" t="n">
        <v>0</v>
      </c>
      <c r="U3433" t="n">
        <v>292.28</v>
      </c>
      <c r="X3433" t="inlineStr">
        <is>
          <t>acoa-apeca</t>
        </is>
      </c>
      <c r="Y3433" t="inlineStr">
        <is>
          <t>Atlantic Canada Opportunities Agency | Agence de promotion économique du Canada atlantique</t>
        </is>
      </c>
    </row>
    <row r="3434">
      <c r="A3434" t="inlineStr">
        <is>
          <t>T-2014-Q2-00021</t>
        </is>
      </c>
      <c r="B3434" t="inlineStr">
        <is>
          <t>SLE</t>
        </is>
      </c>
      <c r="C3434" t="inlineStr">
        <is>
          <t>Vice-President, Policy and Programs</t>
        </is>
      </c>
      <c r="D3434" t="inlineStr">
        <is>
          <t>Vice-président, Politiques et Programmes</t>
        </is>
      </c>
      <c r="E3434" t="inlineStr">
        <is>
          <t>Daryell Nowlan</t>
        </is>
      </c>
      <c r="F3434" t="inlineStr">
        <is>
          <t>Meetings with Government of Canada officials</t>
        </is>
      </c>
      <c r="G3434" t="inlineStr">
        <is>
          <t>Rencontres avec des fonctionnaires du gouvernement du Canada</t>
        </is>
      </c>
      <c r="H3434" s="1" t="n">
        <v>41458</v>
      </c>
      <c r="I3434" s="1" t="n">
        <v>41459</v>
      </c>
      <c r="J3434" t="inlineStr">
        <is>
          <t>Ottawa, Ontario</t>
        </is>
      </c>
      <c r="K3434" t="inlineStr">
        <is>
          <t>Ottawa (Ontario)</t>
        </is>
      </c>
      <c r="P3434" t="n">
        <v>899.5599999999999</v>
      </c>
      <c r="Q3434" t="n">
        <v>118.42</v>
      </c>
      <c r="R3434" t="n">
        <v>182.73</v>
      </c>
      <c r="S3434" t="n">
        <v>148.4</v>
      </c>
      <c r="T3434" t="n">
        <v>0</v>
      </c>
      <c r="U3434" t="n">
        <v>1349.11</v>
      </c>
      <c r="X3434" t="inlineStr">
        <is>
          <t>acoa-apeca</t>
        </is>
      </c>
      <c r="Y3434" t="inlineStr">
        <is>
          <t>Atlantic Canada Opportunities Agency | Agence de promotion économique du Canada atlantique</t>
        </is>
      </c>
    </row>
    <row r="3435">
      <c r="A3435" t="inlineStr">
        <is>
          <t>T-2014-Q2-00020</t>
        </is>
      </c>
      <c r="B3435" t="inlineStr">
        <is>
          <t>SLE</t>
        </is>
      </c>
      <c r="C3435" t="inlineStr">
        <is>
          <t>Vice President, Nova Scotia</t>
        </is>
      </c>
      <c r="D3435" t="inlineStr">
        <is>
          <t>Vice-président, Nouvelle-Écosse</t>
        </is>
      </c>
      <c r="E3435" t="inlineStr">
        <is>
          <t>Peter Hogan</t>
        </is>
      </c>
      <c r="F3435" t="inlineStr">
        <is>
          <t>Meeting with senior Government of Canada  and provincial officials</t>
        </is>
      </c>
      <c r="G3435" t="inlineStr">
        <is>
          <t>Réunion avec des hauts fonctionnaires fédéraux et provinciaux</t>
        </is>
      </c>
      <c r="H3435" s="1" t="n">
        <v>41457</v>
      </c>
      <c r="I3435" s="1" t="n">
        <v>41458</v>
      </c>
      <c r="J3435" t="inlineStr">
        <is>
          <t>Ottawa, Ontario</t>
        </is>
      </c>
      <c r="K3435" t="inlineStr">
        <is>
          <t>Ottawa (Ontario)</t>
        </is>
      </c>
      <c r="P3435" t="n">
        <v>487.88</v>
      </c>
      <c r="Q3435" t="n">
        <v>141.2</v>
      </c>
      <c r="R3435" t="n">
        <v>182.73</v>
      </c>
      <c r="S3435" t="n">
        <v>133.75</v>
      </c>
      <c r="T3435" t="n">
        <v>0</v>
      </c>
      <c r="U3435" t="n">
        <v>945.5599999999999</v>
      </c>
      <c r="X3435" t="inlineStr">
        <is>
          <t>acoa-apeca</t>
        </is>
      </c>
      <c r="Y3435" t="inlineStr">
        <is>
          <t>Atlantic Canada Opportunities Agency | Agence de promotion économique du Canada atlantique</t>
        </is>
      </c>
    </row>
    <row r="3436">
      <c r="A3436" t="inlineStr">
        <is>
          <t>T-2014-Q2-00019</t>
        </is>
      </c>
      <c r="B3436" t="inlineStr">
        <is>
          <t>SLE</t>
        </is>
      </c>
      <c r="C3436" t="inlineStr">
        <is>
          <t>Acting Vice-President, New Brunswick</t>
        </is>
      </c>
      <c r="D3436" t="inlineStr">
        <is>
          <t>Vice-présidente par intérim, Nouveau-Brunswick</t>
        </is>
      </c>
      <c r="E3436" t="inlineStr">
        <is>
          <t>Denise Frenette</t>
        </is>
      </c>
      <c r="F3436" t="inlineStr">
        <is>
          <t>Assignment in Fredericton</t>
        </is>
      </c>
      <c r="G3436" t="inlineStr">
        <is>
          <t>Affectation à Fredericton</t>
        </is>
      </c>
      <c r="H3436" s="1" t="n">
        <v>41457</v>
      </c>
      <c r="I3436" s="1" t="n">
        <v>41467</v>
      </c>
      <c r="J3436" t="inlineStr">
        <is>
          <t>Fredericton, New Brunswick</t>
        </is>
      </c>
      <c r="K3436" t="inlineStr">
        <is>
          <t>Fredericton (Nouveau-Brunswick)</t>
        </is>
      </c>
      <c r="P3436" t="n">
        <v>0</v>
      </c>
      <c r="Q3436" t="n">
        <v>0</v>
      </c>
      <c r="R3436" t="n">
        <v>438</v>
      </c>
      <c r="S3436" t="n">
        <v>460.05</v>
      </c>
      <c r="T3436" t="n">
        <v>0</v>
      </c>
      <c r="U3436" t="n">
        <v>898.05</v>
      </c>
      <c r="X3436" t="inlineStr">
        <is>
          <t>acoa-apeca</t>
        </is>
      </c>
      <c r="Y3436" t="inlineStr">
        <is>
          <t>Atlantic Canada Opportunities Agency | Agence de promotion économique du Canada atlantique</t>
        </is>
      </c>
    </row>
    <row r="3437">
      <c r="A3437" t="inlineStr">
        <is>
          <t>T-2014-Q2-00018</t>
        </is>
      </c>
      <c r="B3437" t="inlineStr">
        <is>
          <t>SLE</t>
        </is>
      </c>
      <c r="C3437" t="inlineStr">
        <is>
          <t>Vice President, Nova Scotia</t>
        </is>
      </c>
      <c r="D3437" t="inlineStr">
        <is>
          <t>Vice-président, Nouvelle-Écosse</t>
        </is>
      </c>
      <c r="E3437" t="inlineStr">
        <is>
          <t>Peter Hogan</t>
        </is>
      </c>
      <c r="F3437" t="inlineStr">
        <is>
          <t xml:space="preserve">Various meetings with Government of Canada and Agency officials </t>
        </is>
      </c>
      <c r="G3437" t="inlineStr">
        <is>
          <t>Diverses réunions avec des fonctionnaires du gouvernement du Canada et de l'Agence</t>
        </is>
      </c>
      <c r="H3437" s="1" t="n">
        <v>41452</v>
      </c>
      <c r="I3437" s="1" t="n">
        <v>41453</v>
      </c>
      <c r="J3437" t="inlineStr">
        <is>
          <t>Ottawa, Ontario</t>
        </is>
      </c>
      <c r="K3437" t="inlineStr">
        <is>
          <t>Ottawa (Ontario)</t>
        </is>
      </c>
      <c r="P3437" t="n">
        <v>492.93</v>
      </c>
      <c r="Q3437" t="n">
        <v>133.2</v>
      </c>
      <c r="R3437" t="n">
        <v>182.73</v>
      </c>
      <c r="S3437" t="n">
        <v>148.9</v>
      </c>
      <c r="T3437" t="n">
        <v>0</v>
      </c>
      <c r="U3437" t="n">
        <v>957.76</v>
      </c>
      <c r="X3437" t="inlineStr">
        <is>
          <t>acoa-apeca</t>
        </is>
      </c>
      <c r="Y3437" t="inlineStr">
        <is>
          <t>Atlantic Canada Opportunities Agency | Agence de promotion économique du Canada atlantique</t>
        </is>
      </c>
    </row>
    <row r="3438">
      <c r="A3438" t="inlineStr">
        <is>
          <t>T-2014-Q2-00017</t>
        </is>
      </c>
      <c r="B3438" t="inlineStr">
        <is>
          <t>SLE</t>
        </is>
      </c>
      <c r="C3438" t="inlineStr">
        <is>
          <t>Vice-President, Prince Edward Island</t>
        </is>
      </c>
      <c r="D3438" t="inlineStr">
        <is>
          <t>Vice-président, Île-du-Prince-Édouard</t>
        </is>
      </c>
      <c r="E3438" t="inlineStr">
        <is>
          <t>Patrick Dorsey</t>
        </is>
      </c>
      <c r="F3438" t="inlineStr">
        <is>
          <t>Meeting with ACOA Officials in Ottawa</t>
        </is>
      </c>
      <c r="G3438" t="inlineStr">
        <is>
          <t>Réunion avec des fonctionnaires de l'APECA à Ottawa</t>
        </is>
      </c>
      <c r="H3438" s="1" t="n">
        <v>41449</v>
      </c>
      <c r="I3438" s="1" t="n">
        <v>41450</v>
      </c>
      <c r="J3438" t="inlineStr">
        <is>
          <t>Ottawa, Ontario</t>
        </is>
      </c>
      <c r="K3438" t="inlineStr">
        <is>
          <t>Ottawa (Ontario)</t>
        </is>
      </c>
      <c r="P3438" t="n">
        <v>696.6799999999999</v>
      </c>
      <c r="Q3438" t="n">
        <v>106.5</v>
      </c>
      <c r="R3438" t="n">
        <v>182.73</v>
      </c>
      <c r="S3438" t="n">
        <v>148.9</v>
      </c>
      <c r="T3438" t="n">
        <v>0</v>
      </c>
      <c r="U3438" t="n">
        <v>1134.81</v>
      </c>
      <c r="X3438" t="inlineStr">
        <is>
          <t>acoa-apeca</t>
        </is>
      </c>
      <c r="Y3438" t="inlineStr">
        <is>
          <t>Atlantic Canada Opportunities Agency | Agence de promotion économique du Canada atlantique</t>
        </is>
      </c>
    </row>
    <row r="3439">
      <c r="A3439" t="inlineStr">
        <is>
          <t>T-2014-Q2-00014</t>
        </is>
      </c>
      <c r="B3439" t="inlineStr">
        <is>
          <t>SLE</t>
        </is>
      </c>
      <c r="C3439" t="inlineStr">
        <is>
          <t>Vice-President, Policy and Programs</t>
        </is>
      </c>
      <c r="D3439" t="inlineStr">
        <is>
          <t>Vice-président, Politiques et Programmes</t>
        </is>
      </c>
      <c r="E3439" t="inlineStr">
        <is>
          <t>Daryell Nowlan</t>
        </is>
      </c>
      <c r="F3439" t="inlineStr">
        <is>
          <t>Attending a course and meetings with private sector and provincial officials</t>
        </is>
      </c>
      <c r="G3439" t="inlineStr">
        <is>
          <t>Assister à un cours et à des réunions avec des représentants du secteur privé et des fonctionnaires provinciaux</t>
        </is>
      </c>
      <c r="H3439" s="1" t="n">
        <v>41443</v>
      </c>
      <c r="I3439" s="1" t="n">
        <v>41445</v>
      </c>
      <c r="J3439" t="inlineStr">
        <is>
          <t>Ottawa, Ontario and Halifax, Nova Scotia</t>
        </is>
      </c>
      <c r="K3439" t="inlineStr">
        <is>
          <t>Ottawa (Ontario) et Halifax (Nouvelle-Écosse)</t>
        </is>
      </c>
      <c r="P3439" t="n">
        <v>899.5599999999999</v>
      </c>
      <c r="Q3439" t="n">
        <v>175</v>
      </c>
      <c r="R3439" t="n">
        <v>352.82</v>
      </c>
      <c r="S3439" t="n">
        <v>222.6</v>
      </c>
      <c r="T3439" t="n">
        <v>0</v>
      </c>
      <c r="U3439" t="n">
        <v>1649.98</v>
      </c>
      <c r="X3439" t="inlineStr">
        <is>
          <t>acoa-apeca</t>
        </is>
      </c>
      <c r="Y3439" t="inlineStr">
        <is>
          <t>Atlantic Canada Opportunities Agency | Agence de promotion économique du Canada atlantique</t>
        </is>
      </c>
    </row>
    <row r="3440">
      <c r="A3440" t="inlineStr">
        <is>
          <t>T-2013-Q2-00027</t>
        </is>
      </c>
      <c r="B3440" t="inlineStr">
        <is>
          <t>SLE</t>
        </is>
      </c>
      <c r="C3440" t="inlineStr">
        <is>
          <t>Vice President, Nova Scotia</t>
        </is>
      </c>
      <c r="D3440" t="inlineStr">
        <is>
          <t>Vice-président, Nouvelle-Écosse</t>
        </is>
      </c>
      <c r="E3440" t="inlineStr">
        <is>
          <t>Peter Hogan</t>
        </is>
      </c>
      <c r="F3440" t="inlineStr">
        <is>
          <t xml:space="preserve">Meeting with Agency officials </t>
        </is>
      </c>
      <c r="G3440" t="inlineStr">
        <is>
          <t>Réunion avec des fonctionnaires de l'Agence</t>
        </is>
      </c>
      <c r="H3440" s="1" t="n">
        <v>41087</v>
      </c>
      <c r="I3440" s="1" t="n">
        <v>41087</v>
      </c>
      <c r="J3440" t="inlineStr">
        <is>
          <t>Moncton, New Brunswick</t>
        </is>
      </c>
      <c r="K3440" t="inlineStr">
        <is>
          <t>Moncton (Nouveau-Brunswick)</t>
        </is>
      </c>
      <c r="P3440" t="n">
        <v>0</v>
      </c>
      <c r="Q3440" t="n">
        <v>267.02</v>
      </c>
      <c r="R3440" t="n">
        <v>0</v>
      </c>
      <c r="S3440" t="n">
        <v>55.7</v>
      </c>
      <c r="T3440" t="n">
        <v>0</v>
      </c>
      <c r="U3440" t="n">
        <v>322.72</v>
      </c>
      <c r="X3440" t="inlineStr">
        <is>
          <t>acoa-apeca</t>
        </is>
      </c>
      <c r="Y3440" t="inlineStr">
        <is>
          <t>Atlantic Canada Opportunities Agency | Agence de promotion économique du Canada atlantique</t>
        </is>
      </c>
    </row>
    <row r="3441">
      <c r="A3441" t="inlineStr">
        <is>
          <t>T-2014-Q2-00013</t>
        </is>
      </c>
      <c r="B3441" t="inlineStr">
        <is>
          <t>SLE</t>
        </is>
      </c>
      <c r="C3441" t="inlineStr">
        <is>
          <t>Vice-President, Newfoundland and Labrador</t>
        </is>
      </c>
      <c r="D3441" t="inlineStr">
        <is>
          <t>Vice-président, Terre-Neuve-et-Labrador</t>
        </is>
      </c>
      <c r="E3441" t="inlineStr">
        <is>
          <t>Paul Mills</t>
        </is>
      </c>
      <c r="F3441" t="inlineStr">
        <is>
          <t>Paul Mills visit to Ottawa on June 18-20, 2013 for meetings with Ottawa's Minister's Office</t>
        </is>
      </c>
      <c r="G3441" t="inlineStr">
        <is>
          <t>Visite de Paul Mills à Ottawa du 18 au 20 juin 2013 pour des réunions avec des responsables du Cabinet du ministre</t>
        </is>
      </c>
      <c r="H3441" s="1" t="n">
        <v>41443</v>
      </c>
      <c r="I3441" s="1" t="n">
        <v>41445</v>
      </c>
      <c r="J3441" t="inlineStr">
        <is>
          <t>Ottawa, Ontario</t>
        </is>
      </c>
      <c r="K3441" t="inlineStr">
        <is>
          <t>Ottawa (Ontario)</t>
        </is>
      </c>
      <c r="P3441" t="n">
        <v>1376.74</v>
      </c>
      <c r="Q3441" t="n">
        <v>175</v>
      </c>
      <c r="R3441" t="n">
        <v>344.92</v>
      </c>
      <c r="S3441" t="n">
        <v>227.8</v>
      </c>
      <c r="T3441" t="n">
        <v>10.13</v>
      </c>
      <c r="U3441" t="n">
        <v>2134.59</v>
      </c>
      <c r="X3441" t="inlineStr">
        <is>
          <t>acoa-apeca</t>
        </is>
      </c>
      <c r="Y3441" t="inlineStr">
        <is>
          <t>Atlantic Canada Opportunities Agency | Agence de promotion économique du Canada atlantique</t>
        </is>
      </c>
    </row>
    <row r="3442">
      <c r="A3442" t="inlineStr">
        <is>
          <t>T-2014-Q2-00012</t>
        </is>
      </c>
      <c r="B3442" t="inlineStr">
        <is>
          <t>SLE</t>
        </is>
      </c>
      <c r="C3442" t="inlineStr">
        <is>
          <t>Vice-President, Prince Edward Island</t>
        </is>
      </c>
      <c r="D3442" t="inlineStr">
        <is>
          <t>Vice-président, Île-du-Prince-Édouard</t>
        </is>
      </c>
      <c r="E3442" t="inlineStr">
        <is>
          <t>Patrick Dorsey</t>
        </is>
      </c>
      <c r="F3442" t="inlineStr">
        <is>
          <t>To attend 2013 World Congress on Industrial Biotechnology Conference in Montreal</t>
        </is>
      </c>
      <c r="G3442" t="inlineStr">
        <is>
          <t>Assister au World Congress on Industrial Biotechnology 2013 à Montréal</t>
        </is>
      </c>
      <c r="H3442" s="1" t="n">
        <v>41440</v>
      </c>
      <c r="I3442" s="1" t="n">
        <v>41444</v>
      </c>
      <c r="J3442" t="inlineStr">
        <is>
          <t>Montreal, Quebec</t>
        </is>
      </c>
      <c r="K3442" t="inlineStr">
        <is>
          <t>Montréal (Québec)</t>
        </is>
      </c>
      <c r="P3442" t="n">
        <v>589.17</v>
      </c>
      <c r="Q3442" t="n">
        <v>144</v>
      </c>
      <c r="R3442" t="n">
        <v>661.64</v>
      </c>
      <c r="S3442" t="n">
        <v>330.25</v>
      </c>
      <c r="T3442" t="n">
        <v>0</v>
      </c>
      <c r="U3442" t="n">
        <v>1725.06</v>
      </c>
      <c r="X3442" t="inlineStr">
        <is>
          <t>acoa-apeca</t>
        </is>
      </c>
      <c r="Y3442" t="inlineStr">
        <is>
          <t>Atlantic Canada Opportunities Agency | Agence de promotion économique du Canada atlantique</t>
        </is>
      </c>
    </row>
    <row r="3443">
      <c r="A3443" t="inlineStr">
        <is>
          <t>T-2014-Q2-00011</t>
        </is>
      </c>
      <c r="B3443" t="inlineStr">
        <is>
          <t>SLE</t>
        </is>
      </c>
      <c r="C3443" t="inlineStr">
        <is>
          <t>President</t>
        </is>
      </c>
      <c r="D3443" t="inlineStr">
        <is>
          <t>Président</t>
        </is>
      </c>
      <c r="E3443" t="inlineStr">
        <is>
          <t>Paul J. LeBlanc</t>
        </is>
      </c>
      <c r="F3443" t="inlineStr">
        <is>
          <t>For OECD's (Organisation for Economic Co-Operation and Development) meetings of the Territorial Development Policy Committee (TDPC) and the Working Party on Territorial Indicators and Working Party on Territorial Policy in Urban Areas</t>
        </is>
      </c>
      <c r="G3443" t="inlineStr">
        <is>
          <t>Réunions du Comité des politiques de développement territorial, du Groupe de travail sur les indicateurs territoriaux et du Groupe de travail sur les politiques territoriales dans les zones urbaines de l'OCDE</t>
        </is>
      </c>
      <c r="H3443" s="1" t="n">
        <v>41439</v>
      </c>
      <c r="I3443" s="1" t="n">
        <v>41443</v>
      </c>
      <c r="J3443" t="inlineStr">
        <is>
          <t>Paris, France</t>
        </is>
      </c>
      <c r="K3443" t="inlineStr">
        <is>
          <t>Paris (France)</t>
        </is>
      </c>
      <c r="P3443" t="n">
        <v>8995.389999999999</v>
      </c>
      <c r="Q3443" t="n">
        <v>209.88</v>
      </c>
      <c r="R3443" t="n">
        <v>858.17</v>
      </c>
      <c r="S3443" t="n">
        <v>759.64</v>
      </c>
      <c r="T3443" t="n">
        <v>5</v>
      </c>
      <c r="U3443" t="n">
        <v>10828.08</v>
      </c>
      <c r="X3443" t="inlineStr">
        <is>
          <t>acoa-apeca</t>
        </is>
      </c>
      <c r="Y3443" t="inlineStr">
        <is>
          <t>Atlantic Canada Opportunities Agency | Agence de promotion économique du Canada atlantique</t>
        </is>
      </c>
    </row>
    <row r="3444">
      <c r="A3444" t="inlineStr">
        <is>
          <t>T-2014-Q2-00010</t>
        </is>
      </c>
      <c r="B3444" t="inlineStr">
        <is>
          <t>SLE</t>
        </is>
      </c>
      <c r="C3444" t="inlineStr">
        <is>
          <t>Acting Vice-President, New Brunswick</t>
        </is>
      </c>
      <c r="D3444" t="inlineStr">
        <is>
          <t>Vice-présidente par intérim, Nouveau-Brunswick</t>
        </is>
      </c>
      <c r="E3444" t="inlineStr">
        <is>
          <t>Denise Frenette</t>
        </is>
      </c>
      <c r="F3444" t="inlineStr">
        <is>
          <t xml:space="preserve">Executive Committee meeting </t>
        </is>
      </c>
      <c r="G3444" t="inlineStr">
        <is>
          <t>Réunion du Comité de direction</t>
        </is>
      </c>
      <c r="H3444" s="1" t="n">
        <v>41438</v>
      </c>
      <c r="I3444" s="1" t="n">
        <v>41438</v>
      </c>
      <c r="J3444" t="inlineStr">
        <is>
          <t>Moncton, New Brunswick</t>
        </is>
      </c>
      <c r="K3444" t="inlineStr">
        <is>
          <t>Moncton (Nouveau-Brunswick)</t>
        </is>
      </c>
      <c r="P3444" t="n">
        <v>0</v>
      </c>
      <c r="Q3444" t="n">
        <v>0</v>
      </c>
      <c r="R3444" t="n">
        <v>0</v>
      </c>
      <c r="S3444" t="n">
        <v>0</v>
      </c>
      <c r="T3444" t="n">
        <v>24</v>
      </c>
      <c r="U3444" t="n">
        <v>24</v>
      </c>
      <c r="X3444" t="inlineStr">
        <is>
          <t>acoa-apeca</t>
        </is>
      </c>
      <c r="Y3444" t="inlineStr">
        <is>
          <t>Atlantic Canada Opportunities Agency | Agence de promotion économique du Canada atlantique</t>
        </is>
      </c>
    </row>
    <row r="3445">
      <c r="A3445" t="inlineStr">
        <is>
          <t>T-2014-Q2-00009</t>
        </is>
      </c>
      <c r="B3445" t="inlineStr">
        <is>
          <t>SLE</t>
        </is>
      </c>
      <c r="C3445" t="inlineStr">
        <is>
          <t>Vice President, Nova Scotia</t>
        </is>
      </c>
      <c r="D3445" t="inlineStr">
        <is>
          <t>Vice-président, Nouvelle-Écosse</t>
        </is>
      </c>
      <c r="E3445" t="inlineStr">
        <is>
          <t>Peter Hogan</t>
        </is>
      </c>
      <c r="F3445" t="inlineStr">
        <is>
          <t xml:space="preserve">Meeting with senior Agency officials </t>
        </is>
      </c>
      <c r="G3445" t="inlineStr">
        <is>
          <t>Réunion avec des hauts fonctionnaires de l'Agence</t>
        </is>
      </c>
      <c r="H3445" s="1" t="n">
        <v>41437</v>
      </c>
      <c r="I3445" s="1" t="n">
        <v>41438</v>
      </c>
      <c r="J3445" t="inlineStr">
        <is>
          <t>Moncton, New Brunswick</t>
        </is>
      </c>
      <c r="K3445" t="inlineStr">
        <is>
          <t>Moncton (Nouveau-Brunswick)</t>
        </is>
      </c>
      <c r="P3445" t="n">
        <v>0</v>
      </c>
      <c r="Q3445" t="n">
        <v>14.69</v>
      </c>
      <c r="R3445" t="n">
        <v>134.47</v>
      </c>
      <c r="S3445" t="n">
        <v>133.25</v>
      </c>
      <c r="T3445" t="n">
        <v>0</v>
      </c>
      <c r="U3445" t="n">
        <v>282.41</v>
      </c>
      <c r="X3445" t="inlineStr">
        <is>
          <t>acoa-apeca</t>
        </is>
      </c>
      <c r="Y3445" t="inlineStr">
        <is>
          <t>Atlantic Canada Opportunities Agency | Agence de promotion économique du Canada atlantique</t>
        </is>
      </c>
    </row>
    <row r="3446">
      <c r="A3446" t="inlineStr">
        <is>
          <t>T-2014-Q2-00007</t>
        </is>
      </c>
      <c r="B3446" t="inlineStr">
        <is>
          <t>SLE</t>
        </is>
      </c>
      <c r="C3446" t="inlineStr">
        <is>
          <t>Vice-President, Prince Edward Island</t>
        </is>
      </c>
      <c r="D3446" t="inlineStr">
        <is>
          <t>Vice-président, Île-du-Prince-Édouard</t>
        </is>
      </c>
      <c r="E3446" t="inlineStr">
        <is>
          <t>Patrick Dorsey</t>
        </is>
      </c>
      <c r="F3446" t="inlineStr">
        <is>
          <t>To attend an Executive Committee meeting</t>
        </is>
      </c>
      <c r="G3446" t="inlineStr">
        <is>
          <t>Assister à une réunion du Comité de direction</t>
        </is>
      </c>
      <c r="H3446" s="1" t="n">
        <v>41437</v>
      </c>
      <c r="I3446" s="1" t="n">
        <v>41438</v>
      </c>
      <c r="J3446" t="inlineStr">
        <is>
          <t>Moncton, New Brunswick</t>
        </is>
      </c>
      <c r="K3446" t="inlineStr">
        <is>
          <t>Moncton (Nouveau-Brunswick)</t>
        </is>
      </c>
      <c r="P3446" t="n">
        <v>0</v>
      </c>
      <c r="Q3446" t="n">
        <v>44.5</v>
      </c>
      <c r="R3446" t="n">
        <v>134.47</v>
      </c>
      <c r="S3446" t="n">
        <v>118.1</v>
      </c>
      <c r="T3446" t="n">
        <v>0</v>
      </c>
      <c r="U3446" t="n">
        <v>297.07</v>
      </c>
      <c r="X3446" t="inlineStr">
        <is>
          <t>acoa-apeca</t>
        </is>
      </c>
      <c r="Y3446" t="inlineStr">
        <is>
          <t>Atlantic Canada Opportunities Agency | Agence de promotion économique du Canada atlantique</t>
        </is>
      </c>
    </row>
    <row r="3447">
      <c r="A3447" t="inlineStr">
        <is>
          <t>T-2014-Q2-00006</t>
        </is>
      </c>
      <c r="B3447" t="inlineStr">
        <is>
          <t>SLE</t>
        </is>
      </c>
      <c r="C3447" t="inlineStr">
        <is>
          <t>Vice-President, Newfoundland and Labrador</t>
        </is>
      </c>
      <c r="D3447" t="inlineStr">
        <is>
          <t>Vice-président, Terre-Neuve-et-Labrador</t>
        </is>
      </c>
      <c r="E3447" t="inlineStr">
        <is>
          <t>Paul Mills</t>
        </is>
      </c>
      <c r="F3447" t="inlineStr">
        <is>
          <t>EXCOM Meeting in Moncton, New Brunswick</t>
        </is>
      </c>
      <c r="G3447" t="inlineStr">
        <is>
          <t>Réunion du Comité de direction à Moncton (Nouveau-Brunswick)</t>
        </is>
      </c>
      <c r="H3447" s="1" t="n">
        <v>41437</v>
      </c>
      <c r="I3447" s="1" t="n">
        <v>41439</v>
      </c>
      <c r="J3447" t="inlineStr">
        <is>
          <t>Moncton, New Brunswick</t>
        </is>
      </c>
      <c r="K3447" t="inlineStr">
        <is>
          <t>Moncton (Nouveau-Brunswick)</t>
        </is>
      </c>
      <c r="P3447" t="n">
        <v>1376.74</v>
      </c>
      <c r="Q3447" t="n">
        <v>191.16</v>
      </c>
      <c r="R3447" t="n">
        <v>226</v>
      </c>
      <c r="S3447" t="n">
        <v>223.6</v>
      </c>
      <c r="T3447" t="n">
        <v>36.15</v>
      </c>
      <c r="U3447" t="n">
        <v>2053.65</v>
      </c>
      <c r="X3447" t="inlineStr">
        <is>
          <t>acoa-apeca</t>
        </is>
      </c>
      <c r="Y3447" t="inlineStr">
        <is>
          <t>Atlantic Canada Opportunities Agency | Agence de promotion économique du Canada atlantique</t>
        </is>
      </c>
    </row>
    <row r="3448">
      <c r="A3448" t="inlineStr">
        <is>
          <t>T-2013-Q2-00062</t>
        </is>
      </c>
      <c r="B3448" t="inlineStr">
        <is>
          <t>SLE</t>
        </is>
      </c>
      <c r="C3448" t="inlineStr">
        <is>
          <t>Vice-President, New Brunswick</t>
        </is>
      </c>
      <c r="D3448" t="inlineStr">
        <is>
          <t>Vice-présidente, Nouveau-Brunswick</t>
        </is>
      </c>
      <c r="E3448" t="inlineStr">
        <is>
          <t>Janet Gagnon</t>
        </is>
      </c>
      <c r="F3448" t="inlineStr">
        <is>
          <t>Meeting with the President in Moncton</t>
        </is>
      </c>
      <c r="G3448" t="inlineStr">
        <is>
          <t>Rencontre avec le président à Moncton</t>
        </is>
      </c>
      <c r="H3448" s="1" t="n">
        <v>41150</v>
      </c>
      <c r="I3448" s="1" t="n">
        <v>41151</v>
      </c>
      <c r="J3448" t="inlineStr">
        <is>
          <t>Moncton, New Brunswick</t>
        </is>
      </c>
      <c r="K3448" t="inlineStr">
        <is>
          <t>Moncton (Nouveau-Brunswick)</t>
        </is>
      </c>
      <c r="P3448" t="n">
        <v>0</v>
      </c>
      <c r="Q3448" t="n">
        <v>0</v>
      </c>
      <c r="R3448" t="n">
        <v>162.72</v>
      </c>
      <c r="S3448" t="n">
        <v>90.3</v>
      </c>
      <c r="T3448" t="n">
        <v>14.13</v>
      </c>
      <c r="U3448" t="n">
        <v>267.15</v>
      </c>
      <c r="X3448" t="inlineStr">
        <is>
          <t>acoa-apeca</t>
        </is>
      </c>
      <c r="Y3448" t="inlineStr">
        <is>
          <t>Atlantic Canada Opportunities Agency | Agence de promotion économique du Canada atlantique</t>
        </is>
      </c>
    </row>
    <row r="3449">
      <c r="A3449" t="inlineStr">
        <is>
          <t>T-2014-Q2-00005</t>
        </is>
      </c>
      <c r="B3449" t="inlineStr">
        <is>
          <t>SLE</t>
        </is>
      </c>
      <c r="C3449" t="inlineStr">
        <is>
          <t>President</t>
        </is>
      </c>
      <c r="D3449" t="inlineStr">
        <is>
          <t>Président</t>
        </is>
      </c>
      <c r="E3449" t="inlineStr">
        <is>
          <t>Paul J. LeBlanc</t>
        </is>
      </c>
      <c r="F3449" t="inlineStr">
        <is>
          <t>For various  meetings and discussions with: Agency officials; with Government of Canada officials</t>
        </is>
      </c>
      <c r="G3449" t="inlineStr">
        <is>
          <t>Diverses réunions et discussions avec des fonctionnaires de l'Agence et du gouvernement du Canada</t>
        </is>
      </c>
      <c r="H3449" s="1" t="n">
        <v>41435</v>
      </c>
      <c r="I3449" s="1" t="n">
        <v>41437</v>
      </c>
      <c r="J3449" t="inlineStr">
        <is>
          <t>Ottawa, Ontario</t>
        </is>
      </c>
      <c r="K3449" t="inlineStr">
        <is>
          <t>Ottawa (Ontario)</t>
        </is>
      </c>
      <c r="P3449" t="n">
        <v>741.74</v>
      </c>
      <c r="Q3449" t="n">
        <v>0</v>
      </c>
      <c r="R3449" t="n">
        <v>393.4</v>
      </c>
      <c r="S3449" t="n">
        <v>181.35</v>
      </c>
      <c r="T3449" t="n">
        <v>1.81</v>
      </c>
      <c r="U3449" t="n">
        <v>1318.3</v>
      </c>
      <c r="X3449" t="inlineStr">
        <is>
          <t>acoa-apeca</t>
        </is>
      </c>
      <c r="Y3449" t="inlineStr">
        <is>
          <t>Atlantic Canada Opportunities Agency | Agence de promotion économique du Canada atlantique</t>
        </is>
      </c>
    </row>
    <row r="3450">
      <c r="A3450" t="inlineStr">
        <is>
          <t>T-2014-Q2-00004</t>
        </is>
      </c>
      <c r="B3450" t="inlineStr">
        <is>
          <t>SLE</t>
        </is>
      </c>
      <c r="C3450" t="inlineStr">
        <is>
          <t>Acting Vice-President, Finance and Corporate Services</t>
        </is>
      </c>
      <c r="D3450" t="inlineStr">
        <is>
          <t>Vice-président par intérim, Finances et Services corporatifs</t>
        </is>
      </c>
      <c r="E3450" t="inlineStr">
        <is>
          <t>Kent Estabrooks</t>
        </is>
      </c>
      <c r="F3450" t="inlineStr">
        <is>
          <t>Meetings with Government of Canada officials</t>
        </is>
      </c>
      <c r="G3450" t="inlineStr">
        <is>
          <t>Réunions avec des fonctionnaires du gouvernement du Canada</t>
        </is>
      </c>
      <c r="H3450" s="1" t="n">
        <v>41430</v>
      </c>
      <c r="I3450" s="1" t="n">
        <v>41432</v>
      </c>
      <c r="J3450" t="inlineStr">
        <is>
          <t>Ottawa, Ontario</t>
        </is>
      </c>
      <c r="K3450" t="inlineStr">
        <is>
          <t>Ottawa (Ontario)</t>
        </is>
      </c>
      <c r="P3450" t="n">
        <v>820</v>
      </c>
      <c r="Q3450" t="n">
        <v>156</v>
      </c>
      <c r="R3450" t="n">
        <v>366.46</v>
      </c>
      <c r="S3450" t="n">
        <v>207.45</v>
      </c>
      <c r="T3450" t="n">
        <v>0</v>
      </c>
      <c r="U3450" t="n">
        <v>1549.91</v>
      </c>
      <c r="X3450" t="inlineStr">
        <is>
          <t>acoa-apeca</t>
        </is>
      </c>
      <c r="Y3450" t="inlineStr">
        <is>
          <t>Atlantic Canada Opportunities Agency | Agence de promotion économique du Canada atlantique</t>
        </is>
      </c>
    </row>
    <row r="3451">
      <c r="A3451" t="inlineStr">
        <is>
          <t>T-2014-Q2-00003</t>
        </is>
      </c>
      <c r="B3451" t="inlineStr">
        <is>
          <t>SLE</t>
        </is>
      </c>
      <c r="C3451" t="inlineStr">
        <is>
          <t>Acting Vice-President, New Brunswick</t>
        </is>
      </c>
      <c r="D3451" t="inlineStr">
        <is>
          <t>Vice-présidente par intérim, Nouveau-Brunswick</t>
        </is>
      </c>
      <c r="E3451" t="inlineStr">
        <is>
          <t>Denise Frenette</t>
        </is>
      </c>
      <c r="F3451" t="inlineStr">
        <is>
          <t>Meeting with client in Saint John</t>
        </is>
      </c>
      <c r="G3451" t="inlineStr">
        <is>
          <t>Réunion avec un client à Saint John</t>
        </is>
      </c>
      <c r="H3451" s="1" t="n">
        <v>41429</v>
      </c>
      <c r="I3451" s="1" t="n">
        <v>41429</v>
      </c>
      <c r="J3451" t="inlineStr">
        <is>
          <t>Saint John, New Brunswick</t>
        </is>
      </c>
      <c r="K3451" t="inlineStr">
        <is>
          <t>Saint John (Nouveau-Brunswick)</t>
        </is>
      </c>
      <c r="P3451" t="n">
        <v>0</v>
      </c>
      <c r="Q3451" t="n">
        <v>0</v>
      </c>
      <c r="R3451" t="n">
        <v>0</v>
      </c>
      <c r="S3451" t="n">
        <v>15.15</v>
      </c>
      <c r="T3451" t="n">
        <v>0</v>
      </c>
      <c r="U3451" t="n">
        <v>15.15</v>
      </c>
      <c r="X3451" t="inlineStr">
        <is>
          <t>acoa-apeca</t>
        </is>
      </c>
      <c r="Y3451" t="inlineStr">
        <is>
          <t>Atlantic Canada Opportunities Agency | Agence de promotion économique du Canada atlantique</t>
        </is>
      </c>
    </row>
    <row r="3452">
      <c r="A3452" t="inlineStr">
        <is>
          <t>T-2014-Q2-00002</t>
        </is>
      </c>
      <c r="B3452" t="inlineStr">
        <is>
          <t>SLE</t>
        </is>
      </c>
      <c r="C3452" t="inlineStr">
        <is>
          <t>Acting Vice-President, New Brunswick</t>
        </is>
      </c>
      <c r="D3452" t="inlineStr">
        <is>
          <t>Vice-présidente par intérim, Nouveau-Brunswick</t>
        </is>
      </c>
      <c r="E3452" t="inlineStr">
        <is>
          <t>Denise Frenette</t>
        </is>
      </c>
      <c r="F3452" t="inlineStr">
        <is>
          <t>Meeting with government officials from Head Office</t>
        </is>
      </c>
      <c r="G3452" t="inlineStr">
        <is>
          <t>Réunion avec des fonctionnaires du siège social</t>
        </is>
      </c>
      <c r="H3452" s="1" t="n">
        <v>41428</v>
      </c>
      <c r="I3452" s="1" t="n">
        <v>41428</v>
      </c>
      <c r="J3452" t="inlineStr">
        <is>
          <t>Moncton, New Brunswick</t>
        </is>
      </c>
      <c r="K3452" t="inlineStr">
        <is>
          <t>Moncton (Nouveau-Brunswick)</t>
        </is>
      </c>
      <c r="P3452" t="n">
        <v>0</v>
      </c>
      <c r="Q3452" t="n">
        <v>0</v>
      </c>
      <c r="R3452" t="n">
        <v>0</v>
      </c>
      <c r="S3452" t="n">
        <v>0</v>
      </c>
      <c r="T3452" t="n">
        <v>6</v>
      </c>
      <c r="U3452" t="n">
        <v>6</v>
      </c>
      <c r="X3452" t="inlineStr">
        <is>
          <t>acoa-apeca</t>
        </is>
      </c>
      <c r="Y3452" t="inlineStr">
        <is>
          <t>Atlantic Canada Opportunities Agency | Agence de promotion économique du Canada atlantique</t>
        </is>
      </c>
    </row>
    <row r="3453">
      <c r="A3453" t="inlineStr">
        <is>
          <t>T-2014-Q2-00001</t>
        </is>
      </c>
      <c r="B3453" t="inlineStr">
        <is>
          <t>SLE</t>
        </is>
      </c>
      <c r="C3453" t="inlineStr">
        <is>
          <t>President</t>
        </is>
      </c>
      <c r="D3453" t="inlineStr">
        <is>
          <t>Président</t>
        </is>
      </c>
      <c r="E3453" t="inlineStr">
        <is>
          <t>Paul J. LeBlanc</t>
        </is>
      </c>
      <c r="F3453" t="inlineStr">
        <is>
          <t>For various meetings and discussions with: Agency officials; with Government of Canada officials</t>
        </is>
      </c>
      <c r="G3453" t="inlineStr">
        <is>
          <t>Diverses réunions et discussions avec des fonctionnaires de l'Agence et du gouvernement du Canada</t>
        </is>
      </c>
      <c r="H3453" s="1" t="n">
        <v>41428</v>
      </c>
      <c r="I3453" s="1" t="n">
        <v>41430</v>
      </c>
      <c r="J3453" t="inlineStr">
        <is>
          <t>Ottawa, Ontario</t>
        </is>
      </c>
      <c r="K3453" t="inlineStr">
        <is>
          <t>Ottawa (Ontario)</t>
        </is>
      </c>
      <c r="P3453" t="n">
        <v>741.74</v>
      </c>
      <c r="Q3453" t="n">
        <v>12.87</v>
      </c>
      <c r="R3453" t="n">
        <v>393.4</v>
      </c>
      <c r="S3453" t="n">
        <v>181.35</v>
      </c>
      <c r="T3453" t="n">
        <v>32</v>
      </c>
      <c r="U3453" t="n">
        <v>1361.36</v>
      </c>
      <c r="X3453" t="inlineStr">
        <is>
          <t>acoa-apeca</t>
        </is>
      </c>
      <c r="Y3453" t="inlineStr">
        <is>
          <t>Atlantic Canada Opportunities Agency | Agence de promotion économique du Canada atlantique</t>
        </is>
      </c>
    </row>
    <row r="3454">
      <c r="A3454" t="inlineStr">
        <is>
          <t>T-2014-Q1-00062</t>
        </is>
      </c>
      <c r="B3454" t="inlineStr">
        <is>
          <t>SLE</t>
        </is>
      </c>
      <c r="C3454" t="inlineStr">
        <is>
          <t>Vice-President, Prince Edward Island</t>
        </is>
      </c>
      <c r="D3454" t="inlineStr">
        <is>
          <t>Vice-président, Île-du-Prince-Édouard</t>
        </is>
      </c>
      <c r="E3454" t="inlineStr">
        <is>
          <t>Patrick Dorsey</t>
        </is>
      </c>
      <c r="F3454" t="inlineStr">
        <is>
          <t>To attend 4Front Conference and meetings with Government of Canada officials in Halifax</t>
        </is>
      </c>
      <c r="G3454" t="inlineStr">
        <is>
          <t>Assister à la conférence Atlantique à l'avant-garde et à des réunions avec des fonctionnaires du gouvernement fédéral à Halifax</t>
        </is>
      </c>
      <c r="H3454" s="1" t="n">
        <v>41423</v>
      </c>
      <c r="I3454" s="1" t="n">
        <v>41425</v>
      </c>
      <c r="J3454" t="inlineStr">
        <is>
          <t>Halifax, Nova Scotia</t>
        </is>
      </c>
      <c r="K3454" t="inlineStr">
        <is>
          <t>Halifax (Nouvelle-Écosse)</t>
        </is>
      </c>
      <c r="P3454" t="n">
        <v>0</v>
      </c>
      <c r="Q3454" t="n">
        <v>100.38</v>
      </c>
      <c r="R3454" t="n">
        <v>349.56</v>
      </c>
      <c r="S3454" t="n">
        <v>135.4</v>
      </c>
      <c r="T3454" t="n">
        <v>0</v>
      </c>
      <c r="U3454" t="n">
        <v>585.34</v>
      </c>
      <c r="X3454" t="inlineStr">
        <is>
          <t>acoa-apeca</t>
        </is>
      </c>
      <c r="Y3454" t="inlineStr">
        <is>
          <t>Atlantic Canada Opportunities Agency | Agence de promotion économique du Canada atlantique</t>
        </is>
      </c>
    </row>
    <row r="3455">
      <c r="A3455" t="inlineStr">
        <is>
          <t>T-2014-Q1-00060</t>
        </is>
      </c>
      <c r="B3455" t="inlineStr">
        <is>
          <t>SLE</t>
        </is>
      </c>
      <c r="C3455" t="inlineStr">
        <is>
          <t>President</t>
        </is>
      </c>
      <c r="D3455" t="inlineStr">
        <is>
          <t>Président</t>
        </is>
      </c>
      <c r="E3455" t="inlineStr">
        <is>
          <t>Paul J. LeBlanc</t>
        </is>
      </c>
      <c r="F3455" t="inlineStr">
        <is>
          <t>For various meetings and discussions with: Agency officials; with Government of Canada officials; to attend the 4Front Atlantic Conference</t>
        </is>
      </c>
      <c r="G3455" t="inlineStr">
        <is>
          <t>Diverses réunions et discussions avec des fonctionnaires de l'Agence et du gouvernement du Canada; assister à la conférence Atlantique à l'avant-garde</t>
        </is>
      </c>
      <c r="H3455" s="1" t="n">
        <v>41421</v>
      </c>
      <c r="I3455" s="1" t="n">
        <v>41425</v>
      </c>
      <c r="J3455" t="inlineStr">
        <is>
          <t>Charlottetown, Prince Edward Island and Halifax, Nova Scotia</t>
        </is>
      </c>
      <c r="K3455" t="inlineStr">
        <is>
          <t>Charlottetown (Île-du-Prince-Édouard) et Halifax (Nouvelle-Écosse)</t>
        </is>
      </c>
      <c r="P3455" t="n">
        <v>0</v>
      </c>
      <c r="Q3455" t="n">
        <v>0</v>
      </c>
      <c r="R3455" t="n">
        <v>711.0700000000001</v>
      </c>
      <c r="S3455" t="n">
        <v>289.5</v>
      </c>
      <c r="T3455" t="n">
        <v>0</v>
      </c>
      <c r="U3455" t="n">
        <v>1000.57</v>
      </c>
      <c r="X3455" t="inlineStr">
        <is>
          <t>acoa-apeca</t>
        </is>
      </c>
      <c r="Y3455" t="inlineStr">
        <is>
          <t>Atlantic Canada Opportunities Agency | Agence de promotion économique du Canada atlantique</t>
        </is>
      </c>
    </row>
    <row r="3456">
      <c r="A3456" t="inlineStr">
        <is>
          <t>T-2013-Q4-00048</t>
        </is>
      </c>
      <c r="B3456" t="inlineStr">
        <is>
          <t>MPSES</t>
        </is>
      </c>
      <c r="C3456" t="inlineStr">
        <is>
          <t>Driver</t>
        </is>
      </c>
      <c r="D3456" t="inlineStr">
        <is>
          <t>Chauffeur</t>
        </is>
      </c>
      <c r="E3456" t="inlineStr">
        <is>
          <t>Denis Legault</t>
        </is>
      </c>
      <c r="F3456" t="inlineStr">
        <is>
          <t>Travel to drive Minister of State to Department of National Defense announcement</t>
        </is>
      </c>
      <c r="G3456" t="inlineStr">
        <is>
          <t>Conduire le minitre d'État à une annonce du ministère de la Défense nationale</t>
        </is>
      </c>
      <c r="H3456" s="1" t="n">
        <v>41316</v>
      </c>
      <c r="I3456" s="1" t="n">
        <v>41316</v>
      </c>
      <c r="J3456" t="inlineStr">
        <is>
          <t>Montreal, Quebec</t>
        </is>
      </c>
      <c r="K3456" t="inlineStr">
        <is>
          <t>Montréal (Québec)</t>
        </is>
      </c>
      <c r="P3456" t="n">
        <v>0</v>
      </c>
      <c r="Q3456" t="n">
        <v>0</v>
      </c>
      <c r="R3456" t="n">
        <v>0</v>
      </c>
      <c r="S3456" t="n">
        <v>30.5</v>
      </c>
      <c r="T3456" t="n">
        <v>0</v>
      </c>
      <c r="U3456" t="n">
        <v>30.5</v>
      </c>
      <c r="X3456" t="inlineStr">
        <is>
          <t>acoa-apeca</t>
        </is>
      </c>
      <c r="Y3456" t="inlineStr">
        <is>
          <t>Atlantic Canada Opportunities Agency | Agence de promotion économique du Canada atlantique</t>
        </is>
      </c>
    </row>
    <row r="3457">
      <c r="A3457" t="inlineStr">
        <is>
          <t>T-2014-Q1-00059</t>
        </is>
      </c>
      <c r="B3457" t="inlineStr">
        <is>
          <t>SLE</t>
        </is>
      </c>
      <c r="C3457" t="inlineStr">
        <is>
          <t>Vice-President, Newfoundland and Labrador</t>
        </is>
      </c>
      <c r="D3457" t="inlineStr">
        <is>
          <t>Vice-président, Terre-Neuve-et-Labrador</t>
        </is>
      </c>
      <c r="E3457" t="inlineStr">
        <is>
          <t>Paul Mills</t>
        </is>
      </c>
      <c r="F3457" t="inlineStr">
        <is>
          <t>To attend the ACO Board meeting in PEI and the 4Front Conference in Halifax</t>
        </is>
      </c>
      <c r="G3457" t="inlineStr">
        <is>
          <t>Participation à la réunion du Conseil de promotion économique du Canada atlantique à l'Île-du-Prince-Édouard et à la Conférenre Atlantique à l'avant-garde à Halifax</t>
        </is>
      </c>
      <c r="H3457" s="1" t="n">
        <v>41421</v>
      </c>
      <c r="I3457" s="1" t="n">
        <v>41426</v>
      </c>
      <c r="J3457" t="inlineStr">
        <is>
          <t>Halifax, Nova Scotia and Charlottetown, Prince Edward Island</t>
        </is>
      </c>
      <c r="K3457" t="inlineStr">
        <is>
          <t>Halifax (Nouvelle-Écosse) et Charlottetown (Île-du-Prince-Édouard)</t>
        </is>
      </c>
      <c r="P3457" t="n">
        <v>1376.74</v>
      </c>
      <c r="Q3457" t="n">
        <v>380.88</v>
      </c>
      <c r="R3457" t="n">
        <v>694.61</v>
      </c>
      <c r="S3457" t="n">
        <v>330.75</v>
      </c>
      <c r="T3457" t="n">
        <v>10.53</v>
      </c>
      <c r="U3457" t="n">
        <v>2793.51</v>
      </c>
      <c r="X3457" t="inlineStr">
        <is>
          <t>acoa-apeca</t>
        </is>
      </c>
      <c r="Y3457" t="inlineStr">
        <is>
          <t>Atlantic Canada Opportunities Agency | Agence de promotion économique du Canada atlantique</t>
        </is>
      </c>
    </row>
    <row r="3458">
      <c r="A3458" t="inlineStr">
        <is>
          <t>T-2014-Q1-00058</t>
        </is>
      </c>
      <c r="B3458" t="inlineStr">
        <is>
          <t>SLE</t>
        </is>
      </c>
      <c r="C3458" t="inlineStr">
        <is>
          <t>Vice President, Nova Scotia</t>
        </is>
      </c>
      <c r="D3458" t="inlineStr">
        <is>
          <t>Vice-président, Nouvelle-Écosse</t>
        </is>
      </c>
      <c r="E3458" t="inlineStr">
        <is>
          <t>Peter Hogan</t>
        </is>
      </c>
      <c r="F3458" t="inlineStr">
        <is>
          <t>Atlantic Canada Opportunities Board Meeting</t>
        </is>
      </c>
      <c r="G3458" t="inlineStr">
        <is>
          <t>Participation à une réunion du Conseil de promotion économique du Canada atlantique</t>
        </is>
      </c>
      <c r="H3458" s="1" t="n">
        <v>41421</v>
      </c>
      <c r="I3458" s="1" t="n">
        <v>41422</v>
      </c>
      <c r="J3458" t="inlineStr">
        <is>
          <t>Charlottetown, Prince Edward Island</t>
        </is>
      </c>
      <c r="K3458" t="inlineStr">
        <is>
          <t>Charlottetown (Île-du-Prince-Édouard)</t>
        </is>
      </c>
      <c r="P3458" t="n">
        <v>0</v>
      </c>
      <c r="Q3458" t="n">
        <v>44.5</v>
      </c>
      <c r="R3458" t="n">
        <v>50</v>
      </c>
      <c r="S3458" t="n">
        <v>133.95</v>
      </c>
      <c r="T3458" t="n">
        <v>0</v>
      </c>
      <c r="U3458" t="n">
        <v>228.45</v>
      </c>
      <c r="X3458" t="inlineStr">
        <is>
          <t>acoa-apeca</t>
        </is>
      </c>
      <c r="Y3458" t="inlineStr">
        <is>
          <t>Atlantic Canada Opportunities Agency | Agence de promotion économique du Canada atlantique</t>
        </is>
      </c>
    </row>
    <row r="3459">
      <c r="A3459" t="inlineStr">
        <is>
          <t>T-2014-Q1-00057</t>
        </is>
      </c>
      <c r="B3459" t="inlineStr">
        <is>
          <t>SLE</t>
        </is>
      </c>
      <c r="C3459" t="inlineStr">
        <is>
          <t>Acting Vice-President, Finance and Corporate Services</t>
        </is>
      </c>
      <c r="D3459" t="inlineStr">
        <is>
          <t>Vice-président par intérim, Finances et Services corporatifs</t>
        </is>
      </c>
      <c r="E3459" t="inlineStr">
        <is>
          <t>Kent Estabrooks</t>
        </is>
      </c>
      <c r="F3459" t="inlineStr">
        <is>
          <t>Meetings with private sector officials and  Agency officials</t>
        </is>
      </c>
      <c r="G3459" t="inlineStr">
        <is>
          <t>Réunions avec des représentants du secteur privé et des fonctionnaires de l'Agence</t>
        </is>
      </c>
      <c r="H3459" s="1" t="n">
        <v>41421</v>
      </c>
      <c r="I3459" s="1" t="n">
        <v>41424</v>
      </c>
      <c r="J3459" t="inlineStr">
        <is>
          <t>Ottawa, Ontario</t>
        </is>
      </c>
      <c r="K3459" t="inlineStr">
        <is>
          <t>Ottawa (Ontario)</t>
        </is>
      </c>
      <c r="P3459" t="n">
        <v>820</v>
      </c>
      <c r="Q3459" t="n">
        <v>124.5</v>
      </c>
      <c r="R3459" t="n">
        <v>532.23</v>
      </c>
      <c r="S3459" t="n">
        <v>239.9</v>
      </c>
      <c r="T3459" t="n">
        <v>0</v>
      </c>
      <c r="U3459" t="n">
        <v>1716.63</v>
      </c>
      <c r="X3459" t="inlineStr">
        <is>
          <t>acoa-apeca</t>
        </is>
      </c>
      <c r="Y3459" t="inlineStr">
        <is>
          <t>Atlantic Canada Opportunities Agency | Agence de promotion économique du Canada atlantique</t>
        </is>
      </c>
    </row>
    <row r="3460">
      <c r="A3460" t="inlineStr">
        <is>
          <t>T-2014-Q1-00056</t>
        </is>
      </c>
      <c r="B3460" t="inlineStr">
        <is>
          <t>SLE</t>
        </is>
      </c>
      <c r="C3460" t="inlineStr">
        <is>
          <t>Vice-President, Policy and Programs</t>
        </is>
      </c>
      <c r="D3460" t="inlineStr">
        <is>
          <t>Vice-président, Politiques et Programmes</t>
        </is>
      </c>
      <c r="E3460" t="inlineStr">
        <is>
          <t>Daryell Nowlan</t>
        </is>
      </c>
      <c r="F3460" t="inlineStr">
        <is>
          <t>Meeting with ACO Board Members and attending 4Front conference</t>
        </is>
      </c>
      <c r="G3460" t="inlineStr">
        <is>
          <t>Réunion avec des membres du Conseil de promotion économique du Canada atlantique et conférence Atlantique à l'avant-garde</t>
        </is>
      </c>
      <c r="H3460" s="1" t="n">
        <v>41421</v>
      </c>
      <c r="I3460" s="1" t="n">
        <v>41425</v>
      </c>
      <c r="J3460" t="inlineStr">
        <is>
          <t>Charlottetown, Prince Edward Island and Halifax, Nova Scotia</t>
        </is>
      </c>
      <c r="K3460" t="inlineStr">
        <is>
          <t>Charlottetown (Île-du-Prince-Édouard) et Halifax (Nouvelle-Écosse)</t>
        </is>
      </c>
      <c r="P3460" t="n">
        <v>345.17</v>
      </c>
      <c r="Q3460" t="n">
        <v>90</v>
      </c>
      <c r="R3460" t="n">
        <v>711.0700000000001</v>
      </c>
      <c r="S3460" t="n">
        <v>242.55</v>
      </c>
      <c r="T3460" t="n">
        <v>0</v>
      </c>
      <c r="U3460" t="n">
        <v>1388.79</v>
      </c>
      <c r="X3460" t="inlineStr">
        <is>
          <t>acoa-apeca</t>
        </is>
      </c>
      <c r="Y3460" t="inlineStr">
        <is>
          <t>Atlantic Canada Opportunities Agency | Agence de promotion économique du Canada atlantique</t>
        </is>
      </c>
    </row>
    <row r="3461">
      <c r="A3461" t="inlineStr">
        <is>
          <t>T-2014-Q1-00055</t>
        </is>
      </c>
      <c r="B3461" t="inlineStr">
        <is>
          <t>SLE</t>
        </is>
      </c>
      <c r="C3461" t="inlineStr">
        <is>
          <t>Acting Vice-President, New Brunswick</t>
        </is>
      </c>
      <c r="D3461" t="inlineStr">
        <is>
          <t>Vice-présidente par intérim, Nouveau-Brunswick</t>
        </is>
      </c>
      <c r="E3461" t="inlineStr">
        <is>
          <t>Denise Frenette</t>
        </is>
      </c>
      <c r="F3461" t="inlineStr">
        <is>
          <t>Assignment in Fredericton</t>
        </is>
      </c>
      <c r="G3461" t="inlineStr">
        <is>
          <t>Affectation à Fredericton</t>
        </is>
      </c>
      <c r="H3461" s="1" t="n">
        <v>41420</v>
      </c>
      <c r="I3461" s="1" t="n">
        <v>41454</v>
      </c>
      <c r="J3461" t="inlineStr">
        <is>
          <t>Fredericton, New Brunswick</t>
        </is>
      </c>
      <c r="K3461" t="inlineStr">
        <is>
          <t>Fredericton (Nouveau-Brunswick)</t>
        </is>
      </c>
      <c r="P3461" t="n">
        <v>0</v>
      </c>
      <c r="Q3461" t="n">
        <v>99</v>
      </c>
      <c r="R3461" t="n">
        <v>2638</v>
      </c>
      <c r="S3461" t="n">
        <v>1434.1</v>
      </c>
      <c r="T3461" t="n">
        <v>0</v>
      </c>
      <c r="U3461" t="n">
        <v>4171.1</v>
      </c>
      <c r="X3461" t="inlineStr">
        <is>
          <t>acoa-apeca</t>
        </is>
      </c>
      <c r="Y3461" t="inlineStr">
        <is>
          <t>Atlantic Canada Opportunities Agency | Agence de promotion économique du Canada atlantique</t>
        </is>
      </c>
    </row>
    <row r="3462">
      <c r="A3462" t="inlineStr">
        <is>
          <t>T-2014-Q1-00053</t>
        </is>
      </c>
      <c r="B3462" t="inlineStr">
        <is>
          <t>SLE</t>
        </is>
      </c>
      <c r="C3462" t="inlineStr">
        <is>
          <t>President</t>
        </is>
      </c>
      <c r="D3462" t="inlineStr">
        <is>
          <t>Président</t>
        </is>
      </c>
      <c r="E3462" t="inlineStr">
        <is>
          <t>Paul J. LeBlanc</t>
        </is>
      </c>
      <c r="F3462" t="inlineStr">
        <is>
          <t>For various meetings and discussions with: Agency officials; with Government of Canada officials</t>
        </is>
      </c>
      <c r="G3462" t="inlineStr">
        <is>
          <t>Diverses réunions et discussions avec des fonctionnaires de l'Agence et du gouvernement du Canada</t>
        </is>
      </c>
      <c r="H3462" s="1" t="n">
        <v>41415</v>
      </c>
      <c r="I3462" s="1" t="n">
        <v>41418</v>
      </c>
      <c r="J3462" t="inlineStr">
        <is>
          <t>Ottawa, Ontario and Toronto, Ontario</t>
        </is>
      </c>
      <c r="K3462" t="inlineStr">
        <is>
          <t>Ottawa (Ontario) et Toronto (Ontario)</t>
        </is>
      </c>
      <c r="P3462" t="n">
        <v>1281.27</v>
      </c>
      <c r="Q3462" t="n">
        <v>97.87</v>
      </c>
      <c r="R3462" t="n">
        <v>612.78</v>
      </c>
      <c r="S3462" t="n">
        <v>297.8</v>
      </c>
      <c r="T3462" t="n">
        <v>64</v>
      </c>
      <c r="U3462" t="n">
        <v>2353.72</v>
      </c>
      <c r="X3462" t="inlineStr">
        <is>
          <t>acoa-apeca</t>
        </is>
      </c>
      <c r="Y3462" t="inlineStr">
        <is>
          <t>Atlantic Canada Opportunities Agency | Agence de promotion économique du Canada atlantique</t>
        </is>
      </c>
    </row>
    <row r="3463">
      <c r="A3463" t="inlineStr">
        <is>
          <t>T-2014-Q1-00052</t>
        </is>
      </c>
      <c r="B3463" t="inlineStr">
        <is>
          <t>SLE</t>
        </is>
      </c>
      <c r="C3463" t="inlineStr">
        <is>
          <t>Vice-President, Prince Edward Island</t>
        </is>
      </c>
      <c r="D3463" t="inlineStr">
        <is>
          <t>Vice-président, Île-du-Prince-Édouard</t>
        </is>
      </c>
      <c r="E3463" t="inlineStr">
        <is>
          <t>Patrick Dorsey</t>
        </is>
      </c>
      <c r="F3463" t="inlineStr">
        <is>
          <t>To attend Invest PEI mission to Scandinavia</t>
        </is>
      </c>
      <c r="G3463" t="inlineStr">
        <is>
          <t>Participer à une mission d'Investir à l'Î.-P.-É. en Scandinavie</t>
        </is>
      </c>
      <c r="H3463" s="1" t="n">
        <v>41412</v>
      </c>
      <c r="I3463" s="1" t="n">
        <v>41419</v>
      </c>
      <c r="J3463" t="inlineStr">
        <is>
          <t>Stockholm, Sweden</t>
        </is>
      </c>
      <c r="K3463" t="inlineStr">
        <is>
          <t>Stockholm (Suède)</t>
        </is>
      </c>
      <c r="P3463" t="n">
        <v>3015.22</v>
      </c>
      <c r="Q3463" t="n">
        <v>110.56</v>
      </c>
      <c r="R3463" t="n">
        <v>931.48</v>
      </c>
      <c r="S3463" t="n">
        <v>533.45</v>
      </c>
      <c r="T3463" t="n">
        <v>0</v>
      </c>
      <c r="U3463" t="n">
        <v>4590.71</v>
      </c>
      <c r="X3463" t="inlineStr">
        <is>
          <t>acoa-apeca</t>
        </is>
      </c>
      <c r="Y3463" t="inlineStr">
        <is>
          <t>Atlantic Canada Opportunities Agency | Agence de promotion économique du Canada atlantique</t>
        </is>
      </c>
    </row>
    <row r="3464">
      <c r="A3464" t="inlineStr">
        <is>
          <t>T-2014-Q1-00050</t>
        </is>
      </c>
      <c r="B3464" t="inlineStr">
        <is>
          <t>MPSES</t>
        </is>
      </c>
      <c r="C3464" t="inlineStr">
        <is>
          <t>Minister</t>
        </is>
      </c>
      <c r="D3464" t="inlineStr">
        <is>
          <t>Ministre</t>
        </is>
      </c>
      <c r="E3464" t="inlineStr">
        <is>
          <t>Gail Shea</t>
        </is>
      </c>
      <c r="F3464" t="inlineStr">
        <is>
          <t>To attend funding announcements and meetings with Atlantic Canada Opportunities Agency staff and stakeholders</t>
        </is>
      </c>
      <c r="G3464" t="inlineStr">
        <is>
          <t xml:space="preserve">Participation à des annonces de financement et à des réunions avec des membres du personnel et des intervenants de l'APECA </t>
        </is>
      </c>
      <c r="H3464" s="1" t="n">
        <v>41409</v>
      </c>
      <c r="I3464" s="1" t="n">
        <v>41411</v>
      </c>
      <c r="J3464" t="inlineStr">
        <is>
          <t>Moncton and Fredericton, New Brunswick</t>
        </is>
      </c>
      <c r="K3464" t="inlineStr">
        <is>
          <t>Moncton et Fredericton (Nouveau-Brunswick)</t>
        </is>
      </c>
      <c r="P3464" t="n">
        <v>0</v>
      </c>
      <c r="Q3464" t="n">
        <v>273.74</v>
      </c>
      <c r="R3464" t="n">
        <v>298.32</v>
      </c>
      <c r="S3464" t="n">
        <v>181.85</v>
      </c>
      <c r="T3464" t="n">
        <v>0</v>
      </c>
      <c r="U3464" t="n">
        <v>753.91</v>
      </c>
      <c r="X3464" t="inlineStr">
        <is>
          <t>acoa-apeca</t>
        </is>
      </c>
      <c r="Y3464" t="inlineStr">
        <is>
          <t>Atlantic Canada Opportunities Agency | Agence de promotion économique du Canada atlantique</t>
        </is>
      </c>
    </row>
    <row r="3465">
      <c r="A3465" t="inlineStr">
        <is>
          <t>T-2014-Q1-00049</t>
        </is>
      </c>
      <c r="B3465" t="inlineStr">
        <is>
          <t>SLE</t>
        </is>
      </c>
      <c r="C3465" t="inlineStr">
        <is>
          <t>President</t>
        </is>
      </c>
      <c r="D3465" t="inlineStr">
        <is>
          <t>Président</t>
        </is>
      </c>
      <c r="E3465" t="inlineStr">
        <is>
          <t>Paul J. LeBlanc</t>
        </is>
      </c>
      <c r="F3465" t="inlineStr">
        <is>
          <t>For various meetings and discussions with: Agency officials; with key stakeholders</t>
        </is>
      </c>
      <c r="G3465" t="inlineStr">
        <is>
          <t>Diverses réunions et discussions avec des fonctionnaires de l'Agence et des intervenants clés</t>
        </is>
      </c>
      <c r="H3465" s="1" t="n">
        <v>41408</v>
      </c>
      <c r="I3465" s="1" t="n">
        <v>41409</v>
      </c>
      <c r="J3465" t="inlineStr">
        <is>
          <t>Summerside, Charlottetown, PEI, and Sydney, Nova Scotia</t>
        </is>
      </c>
      <c r="K3465" t="inlineStr">
        <is>
          <t>Summerside et Charlottetown (Île-du-Prince-Édouard) et Sydney (Nouvelle-Écosse)</t>
        </is>
      </c>
      <c r="P3465" t="n">
        <v>1881.99</v>
      </c>
      <c r="Q3465" t="n">
        <v>0</v>
      </c>
      <c r="R3465" t="n">
        <v>120.82</v>
      </c>
      <c r="S3465" t="n">
        <v>122.3</v>
      </c>
      <c r="T3465" t="n">
        <v>115</v>
      </c>
      <c r="U3465" t="n">
        <v>2240.11</v>
      </c>
      <c r="X3465" t="inlineStr">
        <is>
          <t>acoa-apeca</t>
        </is>
      </c>
      <c r="Y3465" t="inlineStr">
        <is>
          <t>Atlantic Canada Opportunities Agency | Agence de promotion économique du Canada atlantique</t>
        </is>
      </c>
    </row>
    <row r="3466">
      <c r="A3466" t="inlineStr">
        <is>
          <t>T-2014-Q1-00040</t>
        </is>
      </c>
      <c r="B3466" t="inlineStr">
        <is>
          <t>SLE</t>
        </is>
      </c>
      <c r="C3466" t="inlineStr">
        <is>
          <t>Vice-President, New Brunswick</t>
        </is>
      </c>
      <c r="D3466" t="inlineStr">
        <is>
          <t>Vice-présidente, Nouveau-Brunswick</t>
        </is>
      </c>
      <c r="E3466" t="inlineStr">
        <is>
          <t>Janet Gagnon</t>
        </is>
      </c>
      <c r="F3466" t="inlineStr">
        <is>
          <t>Meeting with Minister's Staff (Ottawa)/ Meeting with Denise Frenette (Moncton)</t>
        </is>
      </c>
      <c r="G3466" t="inlineStr">
        <is>
          <t>Réunion avec les employés de la ministre à Ottawa et réunion avec Denise Frenette à  Moncton</t>
        </is>
      </c>
      <c r="H3466" s="1" t="n">
        <v>41396</v>
      </c>
      <c r="I3466" s="1" t="n">
        <v>41397</v>
      </c>
      <c r="J3466" t="inlineStr">
        <is>
          <t>Ottawa, Ontario &amp; Moncton, New Brunswick</t>
        </is>
      </c>
      <c r="K3466" t="inlineStr">
        <is>
          <t>Ottawa (Ontario) et Moncton (Nouveau-Brunswick)</t>
        </is>
      </c>
      <c r="P3466" t="n">
        <v>751.05</v>
      </c>
      <c r="Q3466" t="n">
        <v>96.12</v>
      </c>
      <c r="R3466" t="n">
        <v>169.5</v>
      </c>
      <c r="S3466" t="n">
        <v>122.3</v>
      </c>
      <c r="T3466" t="n">
        <v>0</v>
      </c>
      <c r="U3466" t="n">
        <v>1138.97</v>
      </c>
      <c r="X3466" t="inlineStr">
        <is>
          <t>acoa-apeca</t>
        </is>
      </c>
      <c r="Y3466" t="inlineStr">
        <is>
          <t>Atlantic Canada Opportunities Agency | Agence de promotion économique du Canada atlantique</t>
        </is>
      </c>
    </row>
    <row r="3467">
      <c r="A3467" t="inlineStr">
        <is>
          <t>T-2014-Q1-00047</t>
        </is>
      </c>
      <c r="B3467" t="inlineStr">
        <is>
          <t>MPSES</t>
        </is>
      </c>
      <c r="C3467" t="inlineStr">
        <is>
          <t>Director of Communications</t>
        </is>
      </c>
      <c r="D3467" t="inlineStr">
        <is>
          <t>Directrice des communications</t>
        </is>
      </c>
      <c r="E3467" t="inlineStr">
        <is>
          <t>Sophie Doucet</t>
        </is>
      </c>
      <c r="F3467" t="inlineStr">
        <is>
          <t>To accompany Minister for various Atlantic Canada Opportunities Agency events</t>
        </is>
      </c>
      <c r="G3467" t="inlineStr">
        <is>
          <t>Accompagner la ministre à diverses activités de l'Agence de promotion économique du Canada atlantique</t>
        </is>
      </c>
      <c r="H3467" s="1" t="n">
        <v>41407</v>
      </c>
      <c r="I3467" s="1" t="n">
        <v>41411</v>
      </c>
      <c r="J3467" t="inlineStr">
        <is>
          <t>Charlottetown and Summerside, Prince Edward Island and Moncton and Fredericton, New Brunswick</t>
        </is>
      </c>
      <c r="K3467" t="inlineStr">
        <is>
          <t>Charlottetown et Summerside (Î.-P.-É.) et Moncton et Fredericton (N.-B.)</t>
        </is>
      </c>
      <c r="P3467" t="n">
        <v>874.97</v>
      </c>
      <c r="Q3467" t="n">
        <v>89</v>
      </c>
      <c r="R3467" t="n">
        <v>673.72</v>
      </c>
      <c r="S3467" t="n">
        <v>361.55</v>
      </c>
      <c r="T3467" t="n">
        <v>0</v>
      </c>
      <c r="U3467" t="n">
        <v>1999.24</v>
      </c>
      <c r="X3467" t="inlineStr">
        <is>
          <t>acoa-apeca</t>
        </is>
      </c>
      <c r="Y3467" t="inlineStr">
        <is>
          <t>Atlantic Canada Opportunities Agency | Agence de promotion économique du Canada atlantique</t>
        </is>
      </c>
    </row>
    <row r="3468">
      <c r="A3468" t="inlineStr">
        <is>
          <t>T-2014-Q1-00046</t>
        </is>
      </c>
      <c r="B3468" t="inlineStr">
        <is>
          <t>SLE</t>
        </is>
      </c>
      <c r="C3468" t="inlineStr">
        <is>
          <t>Vice-President, Finance and Corporate Services</t>
        </is>
      </c>
      <c r="D3468" t="inlineStr">
        <is>
          <t>Vice-présidente, Finances et Services corporatifs</t>
        </is>
      </c>
      <c r="E3468" t="inlineStr">
        <is>
          <t>Denise Frenette</t>
        </is>
      </c>
      <c r="F3468" t="inlineStr">
        <is>
          <t>Meetings with Agency officials; provincial government officials and private sector officials</t>
        </is>
      </c>
      <c r="G3468" t="inlineStr">
        <is>
          <t>Participation à des réunions avec des fonctionnaires de l'Agence et du gouvernement provincial et des représentants du secteur privé</t>
        </is>
      </c>
      <c r="H3468" s="1" t="n">
        <v>41404</v>
      </c>
      <c r="I3468" s="1" t="n">
        <v>41404</v>
      </c>
      <c r="J3468" t="inlineStr">
        <is>
          <t>Fredericton, New Brunswick</t>
        </is>
      </c>
      <c r="K3468" t="inlineStr">
        <is>
          <t>Fredericton (Nouveau-Brunswick)</t>
        </is>
      </c>
      <c r="P3468" t="n">
        <v>0</v>
      </c>
      <c r="Q3468" t="n">
        <v>48.68</v>
      </c>
      <c r="R3468" t="n">
        <v>0</v>
      </c>
      <c r="S3468" t="n">
        <v>56.9</v>
      </c>
      <c r="T3468" t="n">
        <v>7</v>
      </c>
      <c r="U3468" t="n">
        <v>112.58</v>
      </c>
      <c r="X3468" t="inlineStr">
        <is>
          <t>acoa-apeca</t>
        </is>
      </c>
      <c r="Y3468" t="inlineStr">
        <is>
          <t>Atlantic Canada Opportunities Agency | Agence de promotion économique du Canada atlantique</t>
        </is>
      </c>
    </row>
    <row r="3469">
      <c r="A3469" t="inlineStr">
        <is>
          <t>T-2014-Q1-00045</t>
        </is>
      </c>
      <c r="B3469" t="inlineStr">
        <is>
          <t>SLE</t>
        </is>
      </c>
      <c r="C3469" t="inlineStr">
        <is>
          <t>Vice-President, Finance and Corporate Services</t>
        </is>
      </c>
      <c r="D3469" t="inlineStr">
        <is>
          <t>Vice-présidente, Finances et Services corporatifs</t>
        </is>
      </c>
      <c r="E3469" t="inlineStr">
        <is>
          <t>Denise Frenette</t>
        </is>
      </c>
      <c r="F3469" t="inlineStr">
        <is>
          <t>Meetings with Government of Canada officials; Agency officials and private sector officials</t>
        </is>
      </c>
      <c r="G3469" t="inlineStr">
        <is>
          <t>Participation à des réunions avec des fonctionnaires du gouvernement du Canada et de l'Agence et avec des représentants du secteur privé</t>
        </is>
      </c>
      <c r="H3469" s="1" t="n">
        <v>41401</v>
      </c>
      <c r="I3469" s="1" t="n">
        <v>41403</v>
      </c>
      <c r="J3469" t="inlineStr">
        <is>
          <t>Ottawa, Ontario</t>
        </is>
      </c>
      <c r="K3469" t="inlineStr">
        <is>
          <t>Ottawa (Ontario)</t>
        </is>
      </c>
      <c r="P3469" t="n">
        <v>499.61</v>
      </c>
      <c r="Q3469" t="n">
        <v>39.77</v>
      </c>
      <c r="R3469" t="n">
        <v>354.82</v>
      </c>
      <c r="S3469" t="n">
        <v>139.1</v>
      </c>
      <c r="T3469" t="n">
        <v>0</v>
      </c>
      <c r="U3469" t="n">
        <v>1033.3</v>
      </c>
      <c r="X3469" t="inlineStr">
        <is>
          <t>acoa-apeca</t>
        </is>
      </c>
      <c r="Y3469" t="inlineStr">
        <is>
          <t>Atlantic Canada Opportunities Agency | Agence de promotion économique du Canada atlantique</t>
        </is>
      </c>
    </row>
    <row r="3470">
      <c r="A3470" t="inlineStr">
        <is>
          <t>T-2012-Q4-00076</t>
        </is>
      </c>
      <c r="B3470" t="inlineStr">
        <is>
          <t>MPSES</t>
        </is>
      </c>
      <c r="C3470" t="inlineStr">
        <is>
          <t>Member of Parliament</t>
        </is>
      </c>
      <c r="D3470" t="inlineStr">
        <is>
          <t>Député</t>
        </is>
      </c>
      <c r="E3470" t="inlineStr">
        <is>
          <t>Greg Kerr</t>
        </is>
      </c>
      <c r="F3470" t="inlineStr">
        <is>
          <t>Travel on behalf of MoS to attend ACOA announcement</t>
        </is>
      </c>
      <c r="G3470" t="inlineStr">
        <is>
          <t>Voyage pour représenter le ministre d'État à une annonce de l'APECA</t>
        </is>
      </c>
      <c r="H3470" s="1" t="n">
        <v>40956</v>
      </c>
      <c r="I3470" s="1" t="n">
        <v>40956</v>
      </c>
      <c r="J3470" t="inlineStr">
        <is>
          <t>Halifax, Nova Scotia</t>
        </is>
      </c>
      <c r="K3470" t="inlineStr">
        <is>
          <t>Halifax (Nouvelle-Écosse)</t>
        </is>
      </c>
      <c r="P3470" t="n">
        <v>0</v>
      </c>
      <c r="Q3470" t="n">
        <v>101</v>
      </c>
      <c r="R3470" t="n">
        <v>0</v>
      </c>
      <c r="S3470" t="n">
        <v>0</v>
      </c>
      <c r="T3470" t="n">
        <v>0</v>
      </c>
      <c r="U3470" t="n">
        <v>101</v>
      </c>
      <c r="X3470" t="inlineStr">
        <is>
          <t>acoa-apeca</t>
        </is>
      </c>
      <c r="Y3470" t="inlineStr">
        <is>
          <t>Atlantic Canada Opportunities Agency | Agence de promotion économique du Canada atlantique</t>
        </is>
      </c>
    </row>
    <row r="3471">
      <c r="A3471" t="inlineStr">
        <is>
          <t>T-2014-Q1-00044</t>
        </is>
      </c>
      <c r="B3471" t="inlineStr">
        <is>
          <t>SLE</t>
        </is>
      </c>
      <c r="C3471" t="inlineStr">
        <is>
          <t>Vice-President, New Brunswick</t>
        </is>
      </c>
      <c r="D3471" t="inlineStr">
        <is>
          <t>Vice-présidente, Nouveau-Brunswick</t>
        </is>
      </c>
      <c r="E3471" t="inlineStr">
        <is>
          <t>Janet Gagnon</t>
        </is>
      </c>
      <c r="F3471" t="inlineStr">
        <is>
          <t>LMCC meeting and Women's Networking Session</t>
        </is>
      </c>
      <c r="G3471" t="inlineStr">
        <is>
          <t>Comité de consultation patronale-syndicale et séance de réseautage pour femmes</t>
        </is>
      </c>
      <c r="H3471" s="1" t="n">
        <v>41400</v>
      </c>
      <c r="I3471" s="1" t="n">
        <v>41402</v>
      </c>
      <c r="J3471" t="inlineStr">
        <is>
          <t>Moncton, New Brunswick</t>
        </is>
      </c>
      <c r="K3471" t="inlineStr">
        <is>
          <t>Moncton (Nouveau-Brunswick)</t>
        </is>
      </c>
      <c r="P3471" t="n">
        <v>0</v>
      </c>
      <c r="Q3471" t="n">
        <v>0</v>
      </c>
      <c r="R3471" t="n">
        <v>50</v>
      </c>
      <c r="S3471" t="n">
        <v>65.40000000000001</v>
      </c>
      <c r="T3471" t="n">
        <v>7</v>
      </c>
      <c r="U3471" t="n">
        <v>122.4</v>
      </c>
      <c r="X3471" t="inlineStr">
        <is>
          <t>acoa-apeca</t>
        </is>
      </c>
      <c r="Y3471" t="inlineStr">
        <is>
          <t>Atlantic Canada Opportunities Agency | Agence de promotion économique du Canada atlantique</t>
        </is>
      </c>
    </row>
    <row r="3472">
      <c r="A3472" t="inlineStr">
        <is>
          <t>T-2014-Q1-00043</t>
        </is>
      </c>
      <c r="B3472" t="inlineStr">
        <is>
          <t>SLE</t>
        </is>
      </c>
      <c r="C3472" t="inlineStr">
        <is>
          <t>President</t>
        </is>
      </c>
      <c r="D3472" t="inlineStr">
        <is>
          <t>Président</t>
        </is>
      </c>
      <c r="E3472" t="inlineStr">
        <is>
          <t>Paul J. LeBlanc</t>
        </is>
      </c>
      <c r="F3472" t="inlineStr">
        <is>
          <t>For various meetings and discussions with: Agency officials; with Government of Canada officials</t>
        </is>
      </c>
      <c r="G3472" t="inlineStr">
        <is>
          <t>Diverses réunions et discussions avec des fonctionnaires de l'Agence et du gouvernement du Canada</t>
        </is>
      </c>
      <c r="H3472" s="1" t="n">
        <v>41400</v>
      </c>
      <c r="I3472" s="1" t="n">
        <v>41402</v>
      </c>
      <c r="J3472" t="inlineStr">
        <is>
          <t>Ottawa, Ontario</t>
        </is>
      </c>
      <c r="K3472" t="inlineStr">
        <is>
          <t>Ottawa (Ontario)</t>
        </is>
      </c>
      <c r="P3472" t="n">
        <v>741.74</v>
      </c>
      <c r="Q3472" t="n">
        <v>0</v>
      </c>
      <c r="R3472" t="n">
        <v>381.94</v>
      </c>
      <c r="S3472" t="n">
        <v>181.35</v>
      </c>
      <c r="T3472" t="n">
        <v>35</v>
      </c>
      <c r="U3472" t="n">
        <v>1340.03</v>
      </c>
      <c r="X3472" t="inlineStr">
        <is>
          <t>acoa-apeca</t>
        </is>
      </c>
      <c r="Y3472" t="inlineStr">
        <is>
          <t>Atlantic Canada Opportunities Agency | Agence de promotion économique du Canada atlantique</t>
        </is>
      </c>
    </row>
    <row r="3473">
      <c r="A3473" t="inlineStr">
        <is>
          <t>T-2014-Q1-00042</t>
        </is>
      </c>
      <c r="B3473" t="inlineStr">
        <is>
          <t>SLE</t>
        </is>
      </c>
      <c r="C3473" t="inlineStr">
        <is>
          <t>Vice-President, Newfoundland and Labrador</t>
        </is>
      </c>
      <c r="D3473" t="inlineStr">
        <is>
          <t>Vice-président, Terre-Neuve-et-Labrador</t>
        </is>
      </c>
      <c r="E3473" t="inlineStr">
        <is>
          <t>Paul Mills</t>
        </is>
      </c>
      <c r="F3473" t="inlineStr">
        <is>
          <t>Speaking engagement in Buncrana, Ireland</t>
        </is>
      </c>
      <c r="G3473" t="inlineStr">
        <is>
          <t>Allocution à prononcer à Buncrana en Irlande</t>
        </is>
      </c>
      <c r="H3473" s="1" t="n">
        <v>41399</v>
      </c>
      <c r="I3473" s="1" t="n">
        <v>41406</v>
      </c>
      <c r="J3473" t="inlineStr">
        <is>
          <t>Buncrana, Ireland</t>
        </is>
      </c>
      <c r="K3473" t="inlineStr">
        <is>
          <t>Buncrana, Irlande</t>
        </is>
      </c>
      <c r="P3473" t="n">
        <v>1934</v>
      </c>
      <c r="Q3473" t="n">
        <v>226.04</v>
      </c>
      <c r="R3473" t="n">
        <v>956.33</v>
      </c>
      <c r="S3473" t="n">
        <v>828.55</v>
      </c>
      <c r="T3473" t="n">
        <v>14.73</v>
      </c>
      <c r="U3473" t="n">
        <v>3959.65</v>
      </c>
      <c r="X3473" t="inlineStr">
        <is>
          <t>acoa-apeca</t>
        </is>
      </c>
      <c r="Y3473" t="inlineStr">
        <is>
          <t>Atlantic Canada Opportunities Agency | Agence de promotion économique du Canada atlantique</t>
        </is>
      </c>
    </row>
    <row r="3474">
      <c r="A3474" t="inlineStr">
        <is>
          <t>T-2014-Q1-00039</t>
        </is>
      </c>
      <c r="B3474" t="inlineStr">
        <is>
          <t>SLE</t>
        </is>
      </c>
      <c r="C3474" t="inlineStr">
        <is>
          <t>Vice-President, Prince Edward Island</t>
        </is>
      </c>
      <c r="D3474" t="inlineStr">
        <is>
          <t>Vice-président, Île-du-Prince-Édouard</t>
        </is>
      </c>
      <c r="E3474" t="inlineStr">
        <is>
          <t>Patrick Dorsey</t>
        </is>
      </c>
      <c r="F3474" t="inlineStr">
        <is>
          <t>Meetings with Government of Canada officials in Ottawa</t>
        </is>
      </c>
      <c r="G3474" t="inlineStr">
        <is>
          <t>Participation à des réunions avec des fonctionnaires du gouvernement du Canada à Ottawa</t>
        </is>
      </c>
      <c r="H3474" s="1" t="n">
        <v>41395</v>
      </c>
      <c r="I3474" s="1" t="n">
        <v>41397</v>
      </c>
      <c r="J3474" t="inlineStr">
        <is>
          <t>Ottawa, Ontario</t>
        </is>
      </c>
      <c r="K3474" t="inlineStr">
        <is>
          <t>Ottawa (Ontario)</t>
        </is>
      </c>
      <c r="P3474" t="n">
        <v>1062.26</v>
      </c>
      <c r="Q3474" t="n">
        <v>96</v>
      </c>
      <c r="R3474" t="n">
        <v>354.82</v>
      </c>
      <c r="S3474" t="n">
        <v>181.85</v>
      </c>
      <c r="T3474" t="n">
        <v>0</v>
      </c>
      <c r="U3474" t="n">
        <v>1694.93</v>
      </c>
      <c r="X3474" t="inlineStr">
        <is>
          <t>acoa-apeca</t>
        </is>
      </c>
      <c r="Y3474" t="inlineStr">
        <is>
          <t>Atlantic Canada Opportunities Agency | Agence de promotion économique du Canada atlantique</t>
        </is>
      </c>
    </row>
    <row r="3475">
      <c r="A3475" t="inlineStr">
        <is>
          <t>T-2014-Q1-00038</t>
        </is>
      </c>
      <c r="B3475" t="inlineStr">
        <is>
          <t>SLE</t>
        </is>
      </c>
      <c r="C3475" t="inlineStr">
        <is>
          <t>President</t>
        </is>
      </c>
      <c r="D3475" t="inlineStr">
        <is>
          <t>Président</t>
        </is>
      </c>
      <c r="E3475" t="inlineStr">
        <is>
          <t>Paul J. LeBlanc</t>
        </is>
      </c>
      <c r="F3475" t="inlineStr">
        <is>
          <t>For various meetings and discussions with: key stakeholders; with Agency officials; with Government of Canada officials</t>
        </is>
      </c>
      <c r="G3475" t="inlineStr">
        <is>
          <t>Diverses réunions et discussions avec des intervenants clés et des fonctionnaires de l'Agence et du gouvernement du Canada</t>
        </is>
      </c>
      <c r="H3475" s="1" t="n">
        <v>41393</v>
      </c>
      <c r="I3475" s="1" t="n">
        <v>41395</v>
      </c>
      <c r="J3475" t="inlineStr">
        <is>
          <t>Sydney, Nova Scotia and Ottawa, Ontario</t>
        </is>
      </c>
      <c r="K3475" t="inlineStr">
        <is>
          <t>Sydney (Nouvelle-Écosse) et Ottawa (Ontario)</t>
        </is>
      </c>
      <c r="P3475" t="n">
        <v>1177.21</v>
      </c>
      <c r="Q3475" t="n">
        <v>0</v>
      </c>
      <c r="R3475" t="n">
        <v>311.79</v>
      </c>
      <c r="S3475" t="n">
        <v>196.5</v>
      </c>
      <c r="T3475" t="n">
        <v>0</v>
      </c>
      <c r="U3475" t="n">
        <v>1685.5</v>
      </c>
      <c r="X3475" t="inlineStr">
        <is>
          <t>acoa-apeca</t>
        </is>
      </c>
      <c r="Y3475" t="inlineStr">
        <is>
          <t>Atlantic Canada Opportunities Agency | Agence de promotion économique du Canada atlantique</t>
        </is>
      </c>
    </row>
    <row r="3476">
      <c r="A3476" t="inlineStr">
        <is>
          <t>T-2014-Q1-00036</t>
        </is>
      </c>
      <c r="B3476" t="inlineStr">
        <is>
          <t>MPSES</t>
        </is>
      </c>
      <c r="C3476" t="inlineStr">
        <is>
          <t>Director of Communications</t>
        </is>
      </c>
      <c r="D3476" t="inlineStr">
        <is>
          <t>Directrice des communications</t>
        </is>
      </c>
      <c r="E3476" t="inlineStr">
        <is>
          <t>Sophie Doucet</t>
        </is>
      </c>
      <c r="F3476" t="inlineStr">
        <is>
          <t>To accompany Minister to various Atlantic Canada Opportunities Agency events</t>
        </is>
      </c>
      <c r="G3476" t="inlineStr">
        <is>
          <t>Accompagner la ministre à diverses activités de l'Agence de promotion économique du Canada atlantique</t>
        </is>
      </c>
      <c r="H3476" s="1" t="n">
        <v>41389</v>
      </c>
      <c r="I3476" s="1" t="n">
        <v>41390</v>
      </c>
      <c r="J3476" t="inlineStr">
        <is>
          <t>Halifax, Nova Scotia</t>
        </is>
      </c>
      <c r="K3476" t="inlineStr">
        <is>
          <t>Halifax (Nouvelle-Écosse)</t>
        </is>
      </c>
      <c r="P3476" t="n">
        <v>781.16</v>
      </c>
      <c r="Q3476" t="n">
        <v>37</v>
      </c>
      <c r="R3476" t="n">
        <v>146.63</v>
      </c>
      <c r="S3476" t="n">
        <v>65.40000000000001</v>
      </c>
      <c r="T3476" t="n">
        <v>0</v>
      </c>
      <c r="U3476" t="n">
        <v>1030.19</v>
      </c>
      <c r="X3476" t="inlineStr">
        <is>
          <t>acoa-apeca</t>
        </is>
      </c>
      <c r="Y3476" t="inlineStr">
        <is>
          <t>Atlantic Canada Opportunities Agency | Agence de promotion économique du Canada atlantique</t>
        </is>
      </c>
    </row>
    <row r="3477">
      <c r="A3477" t="inlineStr">
        <is>
          <t>T-2014-Q1-00035</t>
        </is>
      </c>
      <c r="B3477" t="inlineStr">
        <is>
          <t>MPSES</t>
        </is>
      </c>
      <c r="C3477" t="inlineStr">
        <is>
          <t>Minister</t>
        </is>
      </c>
      <c r="D3477" t="inlineStr">
        <is>
          <t>Ministre</t>
        </is>
      </c>
      <c r="E3477" t="inlineStr">
        <is>
          <t>Gail Shea</t>
        </is>
      </c>
      <c r="F3477" t="inlineStr">
        <is>
          <t>To attend the Marine and Defence Forum and Atlantic Mayors Congress</t>
        </is>
      </c>
      <c r="G3477" t="inlineStr">
        <is>
          <t>Participation au Forum des secteurs de la marine et de la défense et au Congrès des maires de la région de l'Atlantique</t>
        </is>
      </c>
      <c r="H3477" s="1" t="n">
        <v>41389</v>
      </c>
      <c r="I3477" s="1" t="n">
        <v>41390</v>
      </c>
      <c r="J3477" t="inlineStr">
        <is>
          <t>Halifax, Nova Scotia</t>
        </is>
      </c>
      <c r="K3477" t="inlineStr">
        <is>
          <t>Halifax (Nouvelle-Écosse)</t>
        </is>
      </c>
      <c r="P3477" t="n">
        <v>1318.22</v>
      </c>
      <c r="Q3477" t="n">
        <v>137.25</v>
      </c>
      <c r="R3477" t="n">
        <v>146.63</v>
      </c>
      <c r="S3477" t="n">
        <v>32.45</v>
      </c>
      <c r="T3477" t="n">
        <v>0</v>
      </c>
      <c r="U3477" t="n">
        <v>1634.55</v>
      </c>
      <c r="X3477" t="inlineStr">
        <is>
          <t>acoa-apeca</t>
        </is>
      </c>
      <c r="Y3477" t="inlineStr">
        <is>
          <t>Atlantic Canada Opportunities Agency | Agence de promotion économique du Canada atlantique</t>
        </is>
      </c>
    </row>
    <row r="3478">
      <c r="A3478" t="inlineStr">
        <is>
          <t>T-2014-Q1-00019</t>
        </is>
      </c>
      <c r="B3478" t="inlineStr">
        <is>
          <t>MPSES</t>
        </is>
      </c>
      <c r="C3478" t="inlineStr">
        <is>
          <t>Director of Communications</t>
        </is>
      </c>
      <c r="D3478" t="inlineStr">
        <is>
          <t>Directrice des communications</t>
        </is>
      </c>
      <c r="E3478" t="inlineStr">
        <is>
          <t>Sophie Doucet</t>
        </is>
      </c>
      <c r="F3478" t="inlineStr">
        <is>
          <t>To accompany Minister on Newfoundland and Labrador Tour</t>
        </is>
      </c>
      <c r="G3478" t="inlineStr">
        <is>
          <t>Accompagner la ministre à l'occasion d'une visite à Terre-Neuve-et-Labrador</t>
        </is>
      </c>
      <c r="H3478" s="1" t="n">
        <v>41367</v>
      </c>
      <c r="I3478" s="1" t="n">
        <v>41369</v>
      </c>
      <c r="J3478" t="inlineStr">
        <is>
          <t>St. John's and Goose Bay, Newfoundland and Labrador</t>
        </is>
      </c>
      <c r="K3478" t="inlineStr">
        <is>
          <t>St. John's et Goose Bay (Terre-Neuve-et-Labrador)</t>
        </is>
      </c>
      <c r="P3478" t="n">
        <v>1429.05</v>
      </c>
      <c r="Q3478" t="n">
        <v>73</v>
      </c>
      <c r="R3478" t="n">
        <v>291.04</v>
      </c>
      <c r="S3478" t="n">
        <v>181.35</v>
      </c>
      <c r="T3478" t="n">
        <v>0</v>
      </c>
      <c r="U3478" t="n">
        <v>1974.44</v>
      </c>
      <c r="X3478" t="inlineStr">
        <is>
          <t>acoa-apeca</t>
        </is>
      </c>
      <c r="Y3478" t="inlineStr">
        <is>
          <t>Atlantic Canada Opportunities Agency | Agence de promotion économique du Canada atlantique</t>
        </is>
      </c>
    </row>
    <row r="3479">
      <c r="A3479" t="inlineStr">
        <is>
          <t>T-2014-Q1-00034</t>
        </is>
      </c>
      <c r="B3479" t="inlineStr">
        <is>
          <t>SLE</t>
        </is>
      </c>
      <c r="C3479" t="inlineStr">
        <is>
          <t>Vice-President, Newfoundland and Labrador</t>
        </is>
      </c>
      <c r="D3479" t="inlineStr">
        <is>
          <t>Vice-président, Terre-Neuve-et-Labrador</t>
        </is>
      </c>
      <c r="E3479" t="inlineStr">
        <is>
          <t>Paul Mills</t>
        </is>
      </c>
      <c r="F3479" t="inlineStr">
        <is>
          <t>To attend the Atlantic Marine and Defence Industry Forum</t>
        </is>
      </c>
      <c r="G3479" t="inlineStr">
        <is>
          <t xml:space="preserve">Participation au Forum des secteurs de la marine et de la défense dans la région de l’Atlantique </t>
        </is>
      </c>
      <c r="H3479" s="1" t="n">
        <v>41389</v>
      </c>
      <c r="I3479" s="1" t="n">
        <v>41390</v>
      </c>
      <c r="J3479" t="inlineStr">
        <is>
          <t>Halifax, Nova Scotia</t>
        </is>
      </c>
      <c r="K3479" t="inlineStr">
        <is>
          <t>Halifax (Nouvelle-Écosse)</t>
        </is>
      </c>
      <c r="P3479" t="n">
        <v>1376.74</v>
      </c>
      <c r="Q3479" t="n">
        <v>109.86</v>
      </c>
      <c r="R3479" t="n">
        <v>139.59</v>
      </c>
      <c r="S3479" t="n">
        <v>133.75</v>
      </c>
      <c r="T3479" t="n">
        <v>6.13</v>
      </c>
      <c r="U3479" t="n">
        <v>1766.07</v>
      </c>
      <c r="X3479" t="inlineStr">
        <is>
          <t>acoa-apeca</t>
        </is>
      </c>
      <c r="Y3479" t="inlineStr">
        <is>
          <t>Atlantic Canada Opportunities Agency | Agence de promotion économique du Canada atlantique</t>
        </is>
      </c>
    </row>
    <row r="3480">
      <c r="A3480" t="inlineStr">
        <is>
          <t>T-2014-Q1-00033</t>
        </is>
      </c>
      <c r="B3480" t="inlineStr">
        <is>
          <t>SLE</t>
        </is>
      </c>
      <c r="C3480" t="inlineStr">
        <is>
          <t>Vice-President, Policy and Programs</t>
        </is>
      </c>
      <c r="D3480" t="inlineStr">
        <is>
          <t>Vice-président, Politiques et Programmes</t>
        </is>
      </c>
      <c r="E3480" t="inlineStr">
        <is>
          <t>Daryell Nowlan</t>
        </is>
      </c>
      <c r="F3480" t="inlineStr">
        <is>
          <t>Meeting with private sector, provincial and Government of Canada officials</t>
        </is>
      </c>
      <c r="G3480" t="inlineStr">
        <is>
          <t xml:space="preserve">Réunion avec des représentants du secteur privé et des fonctionnaires des gouvernements provincial et fédéral </t>
        </is>
      </c>
      <c r="H3480" s="1" t="n">
        <v>41388</v>
      </c>
      <c r="I3480" s="1" t="n">
        <v>41390</v>
      </c>
      <c r="J3480" t="inlineStr">
        <is>
          <t>Halifax, Nova Scotia</t>
        </is>
      </c>
      <c r="K3480" t="inlineStr">
        <is>
          <t>Halifax (Nouvelle-Écosse)</t>
        </is>
      </c>
      <c r="P3480" t="n">
        <v>0</v>
      </c>
      <c r="Q3480" t="n">
        <v>308.12</v>
      </c>
      <c r="R3480" t="n">
        <v>293.26</v>
      </c>
      <c r="S3480" t="n">
        <v>192.3</v>
      </c>
      <c r="T3480" t="n">
        <v>0</v>
      </c>
      <c r="U3480" t="n">
        <v>793.6799999999999</v>
      </c>
      <c r="X3480" t="inlineStr">
        <is>
          <t>acoa-apeca</t>
        </is>
      </c>
      <c r="Y3480" t="inlineStr">
        <is>
          <t>Atlantic Canada Opportunities Agency | Agence de promotion économique du Canada atlantique</t>
        </is>
      </c>
    </row>
    <row r="3481">
      <c r="A3481" t="inlineStr">
        <is>
          <t>T-2014-Q1-00032</t>
        </is>
      </c>
      <c r="B3481" t="inlineStr">
        <is>
          <t>SLE</t>
        </is>
      </c>
      <c r="C3481" t="inlineStr">
        <is>
          <t>Vice-President, Finance and Corporate Services</t>
        </is>
      </c>
      <c r="D3481" t="inlineStr">
        <is>
          <t>Vice-présidente, Finances et Services corporatifs</t>
        </is>
      </c>
      <c r="E3481" t="inlineStr">
        <is>
          <t>Denise Frenette</t>
        </is>
      </c>
      <c r="F3481" t="inlineStr">
        <is>
          <t>Meeting with Agency officials and private sector official</t>
        </is>
      </c>
      <c r="G3481" t="inlineStr">
        <is>
          <t>Participation à une réunion avec des fonctionnaires de l'Agence et des représentants du secteur privé</t>
        </is>
      </c>
      <c r="H3481" s="1" t="n">
        <v>41386</v>
      </c>
      <c r="I3481" s="1" t="n">
        <v>41387</v>
      </c>
      <c r="J3481" t="inlineStr">
        <is>
          <t>Ottawa, Ontario</t>
        </is>
      </c>
      <c r="K3481" t="inlineStr">
        <is>
          <t>Ottawa (Ontario)</t>
        </is>
      </c>
      <c r="P3481" t="n">
        <v>723.2</v>
      </c>
      <c r="Q3481" t="n">
        <v>94.45999999999999</v>
      </c>
      <c r="R3481" t="n">
        <v>177.41</v>
      </c>
      <c r="S3481" t="n">
        <v>133.25</v>
      </c>
      <c r="T3481" t="n">
        <v>2.12</v>
      </c>
      <c r="U3481" t="n">
        <v>1130.44</v>
      </c>
      <c r="X3481" t="inlineStr">
        <is>
          <t>acoa-apeca</t>
        </is>
      </c>
      <c r="Y3481" t="inlineStr">
        <is>
          <t>Atlantic Canada Opportunities Agency | Agence de promotion économique du Canada atlantique</t>
        </is>
      </c>
    </row>
    <row r="3482">
      <c r="A3482" t="inlineStr">
        <is>
          <t>T-2014-Q1-00031</t>
        </is>
      </c>
      <c r="B3482" t="inlineStr">
        <is>
          <t>SLE</t>
        </is>
      </c>
      <c r="C3482" t="inlineStr">
        <is>
          <t>Vice-President, Prince Edward Island</t>
        </is>
      </c>
      <c r="D3482" t="inlineStr">
        <is>
          <t>Vice-président, Île-du-Prince-Édouard</t>
        </is>
      </c>
      <c r="E3482" t="inlineStr">
        <is>
          <t>Patrick Dorsey</t>
        </is>
      </c>
      <c r="F3482" t="inlineStr">
        <is>
          <t>BIO 2013 Conference, Chicago, Illinois</t>
        </is>
      </c>
      <c r="G3482" t="inlineStr">
        <is>
          <t>Participation à la BIO 2013 Conference, à Chicago en Illinois</t>
        </is>
      </c>
      <c r="H3482" s="1" t="n">
        <v>41385</v>
      </c>
      <c r="I3482" s="1" t="n">
        <v>41390</v>
      </c>
      <c r="J3482" t="inlineStr">
        <is>
          <t>Chicago, Illinois</t>
        </is>
      </c>
      <c r="K3482" t="inlineStr">
        <is>
          <t>Chicago (Illinois)</t>
        </is>
      </c>
      <c r="P3482" t="n">
        <v>973.96</v>
      </c>
      <c r="Q3482" t="n">
        <v>147.01</v>
      </c>
      <c r="R3482" t="n">
        <v>1194.6</v>
      </c>
      <c r="S3482" t="n">
        <v>336.24</v>
      </c>
      <c r="T3482" t="n">
        <v>9.57</v>
      </c>
      <c r="U3482" t="n">
        <v>2661.38</v>
      </c>
      <c r="X3482" t="inlineStr">
        <is>
          <t>acoa-apeca</t>
        </is>
      </c>
      <c r="Y3482" t="inlineStr">
        <is>
          <t>Atlantic Canada Opportunities Agency | Agence de promotion économique du Canada atlantique</t>
        </is>
      </c>
    </row>
    <row r="3483">
      <c r="A3483" t="inlineStr">
        <is>
          <t>T-2014-Q1-00030</t>
        </is>
      </c>
      <c r="B3483" t="inlineStr">
        <is>
          <t>SLE</t>
        </is>
      </c>
      <c r="C3483" t="inlineStr">
        <is>
          <t>Vice-President, New Brunswick</t>
        </is>
      </c>
      <c r="D3483" t="inlineStr">
        <is>
          <t>Vice-présidente, Nouveau-Brunswick</t>
        </is>
      </c>
      <c r="E3483" t="inlineStr">
        <is>
          <t>Janet Gagnon</t>
        </is>
      </c>
      <c r="F3483" t="inlineStr">
        <is>
          <t>Northern Strategy Meeting</t>
        </is>
      </c>
      <c r="G3483" t="inlineStr">
        <is>
          <t>Réunion sur la stratégie du Nord</t>
        </is>
      </c>
      <c r="H3483" s="1" t="n">
        <v>41383</v>
      </c>
      <c r="I3483" s="1" t="n">
        <v>41383</v>
      </c>
      <c r="J3483" t="inlineStr">
        <is>
          <t>Edmundston, New Brunswick</t>
        </is>
      </c>
      <c r="K3483" t="inlineStr">
        <is>
          <t>Edmundston (Nouveau-Brunswick)</t>
        </is>
      </c>
      <c r="P3483" t="n">
        <v>0</v>
      </c>
      <c r="Q3483" t="n">
        <v>0</v>
      </c>
      <c r="R3483" t="n">
        <v>111.87</v>
      </c>
      <c r="S3483" t="n">
        <v>106.4</v>
      </c>
      <c r="T3483" t="n">
        <v>0</v>
      </c>
      <c r="U3483" t="n">
        <v>218.27</v>
      </c>
      <c r="X3483" t="inlineStr">
        <is>
          <t>acoa-apeca</t>
        </is>
      </c>
      <c r="Y3483" t="inlineStr">
        <is>
          <t>Atlantic Canada Opportunities Agency | Agence de promotion économique du Canada atlantique</t>
        </is>
      </c>
    </row>
    <row r="3484">
      <c r="A3484" t="inlineStr">
        <is>
          <t>T-2014-Q1-00028</t>
        </is>
      </c>
      <c r="B3484" t="inlineStr">
        <is>
          <t>SLE</t>
        </is>
      </c>
      <c r="C3484" t="inlineStr">
        <is>
          <t>Vice-President, Policy and Programs</t>
        </is>
      </c>
      <c r="D3484" t="inlineStr">
        <is>
          <t>Vice-président, Politiques et Programmes</t>
        </is>
      </c>
      <c r="E3484" t="inlineStr">
        <is>
          <t>Daryell Nowlan</t>
        </is>
      </c>
      <c r="F3484" t="inlineStr">
        <is>
          <t>Meetings with Government of Canada officials</t>
        </is>
      </c>
      <c r="G3484" t="inlineStr">
        <is>
          <t>Réunions avec des fonctionnaires du gouvernement du Canada</t>
        </is>
      </c>
      <c r="H3484" s="1" t="n">
        <v>41379</v>
      </c>
      <c r="I3484" s="1" t="n">
        <v>41382</v>
      </c>
      <c r="J3484" t="inlineStr">
        <is>
          <t>Ottawa, Ontario</t>
        </is>
      </c>
      <c r="K3484" t="inlineStr">
        <is>
          <t>Ottawa (Ontario)</t>
        </is>
      </c>
      <c r="P3484" t="n">
        <v>899.5599999999999</v>
      </c>
      <c r="Q3484" t="n">
        <v>105.9</v>
      </c>
      <c r="R3484" t="n">
        <v>532.23</v>
      </c>
      <c r="S3484" t="n">
        <v>255.05</v>
      </c>
      <c r="T3484" t="n">
        <v>0</v>
      </c>
      <c r="U3484" t="n">
        <v>1792.74</v>
      </c>
      <c r="X3484" t="inlineStr">
        <is>
          <t>acoa-apeca</t>
        </is>
      </c>
      <c r="Y3484" t="inlineStr">
        <is>
          <t>Atlantic Canada Opportunities Agency | Agence de promotion économique du Canada atlantique</t>
        </is>
      </c>
    </row>
    <row r="3485">
      <c r="A3485" t="inlineStr">
        <is>
          <t>T-2014-Q1-00027</t>
        </is>
      </c>
      <c r="B3485" t="inlineStr">
        <is>
          <t>SLE</t>
        </is>
      </c>
      <c r="C3485" t="inlineStr">
        <is>
          <t>President</t>
        </is>
      </c>
      <c r="D3485" t="inlineStr">
        <is>
          <t>Président</t>
        </is>
      </c>
      <c r="E3485" t="inlineStr">
        <is>
          <t>Paul J. LeBlanc</t>
        </is>
      </c>
      <c r="F3485" t="inlineStr">
        <is>
          <t>For various meetings and discussions with Agency officials; with Government of Canada officials</t>
        </is>
      </c>
      <c r="G3485" t="inlineStr">
        <is>
          <t>Participation à diverses réunions et discussions avec des fonctionnaires de l'Agence et du gouvernement du Canada</t>
        </is>
      </c>
      <c r="H3485" s="1" t="n">
        <v>41379</v>
      </c>
      <c r="I3485" s="1" t="n">
        <v>41380</v>
      </c>
      <c r="J3485" t="inlineStr">
        <is>
          <t>Ottawa, Ontario</t>
        </is>
      </c>
      <c r="K3485" t="inlineStr">
        <is>
          <t>Ottawa (Ontario)</t>
        </is>
      </c>
      <c r="P3485" t="n">
        <v>741.74</v>
      </c>
      <c r="Q3485" t="n">
        <v>12.87</v>
      </c>
      <c r="R3485" t="n">
        <v>190.97</v>
      </c>
      <c r="S3485" t="n">
        <v>122.3</v>
      </c>
      <c r="T3485" t="n">
        <v>201.5</v>
      </c>
      <c r="U3485" t="n">
        <v>1269.38</v>
      </c>
      <c r="X3485" t="inlineStr">
        <is>
          <t>acoa-apeca</t>
        </is>
      </c>
      <c r="Y3485" t="inlineStr">
        <is>
          <t>Atlantic Canada Opportunities Agency | Agence de promotion économique du Canada atlantique</t>
        </is>
      </c>
    </row>
    <row r="3486">
      <c r="A3486" t="inlineStr">
        <is>
          <t>T-2014-Q1-00018</t>
        </is>
      </c>
      <c r="B3486" t="inlineStr">
        <is>
          <t>SLE</t>
        </is>
      </c>
      <c r="C3486" t="inlineStr">
        <is>
          <t>President</t>
        </is>
      </c>
      <c r="D3486" t="inlineStr">
        <is>
          <t>Président</t>
        </is>
      </c>
      <c r="E3486" t="inlineStr">
        <is>
          <t>Paul J. LeBlanc</t>
        </is>
      </c>
      <c r="F3486" t="inlineStr">
        <is>
          <t>For various meetings and discussions with Agency officials</t>
        </is>
      </c>
      <c r="G3486" t="inlineStr">
        <is>
          <t>Participation à diverses réunions et discussions avec des fonctionnaires de l'Agence</t>
        </is>
      </c>
      <c r="H3486" s="1" t="n">
        <v>41367</v>
      </c>
      <c r="I3486" s="1" t="n">
        <v>41368</v>
      </c>
      <c r="J3486" t="inlineStr">
        <is>
          <t>St. John's, Newfoundland and Labrador</t>
        </is>
      </c>
      <c r="K3486" t="inlineStr">
        <is>
          <t>St. John's (Terre-Neuve-et-Labrador)</t>
        </is>
      </c>
      <c r="P3486" t="n">
        <v>1659.68</v>
      </c>
      <c r="Q3486" t="n">
        <v>0</v>
      </c>
      <c r="R3486" t="n">
        <v>155.44</v>
      </c>
      <c r="S3486" t="n">
        <v>107.15</v>
      </c>
      <c r="T3486" t="n">
        <v>0</v>
      </c>
      <c r="U3486" t="n">
        <v>1922.27</v>
      </c>
      <c r="X3486" t="inlineStr">
        <is>
          <t>acoa-apeca</t>
        </is>
      </c>
      <c r="Y3486" t="inlineStr">
        <is>
          <t>Atlantic Canada Opportunities Agency | Agence de promotion économique du Canada atlantique</t>
        </is>
      </c>
    </row>
    <row r="3487">
      <c r="A3487" t="inlineStr">
        <is>
          <t>T-2014-Q1-00026</t>
        </is>
      </c>
      <c r="B3487" t="inlineStr">
        <is>
          <t>SLE</t>
        </is>
      </c>
      <c r="C3487" t="inlineStr">
        <is>
          <t>Vice-President, Finance and Corporate Services</t>
        </is>
      </c>
      <c r="D3487" t="inlineStr">
        <is>
          <t>Vice-présidente, Finances et Services corporatifs</t>
        </is>
      </c>
      <c r="E3487" t="inlineStr">
        <is>
          <t>Denise Frenette</t>
        </is>
      </c>
      <c r="F3487" t="inlineStr">
        <is>
          <t>Meetings with Government of Canada officials; meetings with Agency officials and private sector officials</t>
        </is>
      </c>
      <c r="G3487" t="inlineStr">
        <is>
          <t>Participation à des réunions avec des fonctionnaires du gouvernement du Canada et de l'Agence et avec des représentants du secteur privé</t>
        </is>
      </c>
      <c r="H3487" s="1" t="n">
        <v>41378</v>
      </c>
      <c r="I3487" s="1" t="n">
        <v>41382</v>
      </c>
      <c r="J3487" t="inlineStr">
        <is>
          <t>Ottawa, Ontario</t>
        </is>
      </c>
      <c r="K3487" t="inlineStr">
        <is>
          <t>Ottawa (Ontario)</t>
        </is>
      </c>
      <c r="P3487" t="n">
        <v>602.4299999999999</v>
      </c>
      <c r="Q3487" t="n">
        <v>104.92</v>
      </c>
      <c r="R3487" t="n">
        <v>532.23</v>
      </c>
      <c r="S3487" t="n">
        <v>255.05</v>
      </c>
      <c r="T3487" t="n">
        <v>33.89</v>
      </c>
      <c r="U3487" t="n">
        <v>1528.52</v>
      </c>
      <c r="X3487" t="inlineStr">
        <is>
          <t>acoa-apeca</t>
        </is>
      </c>
      <c r="Y3487" t="inlineStr">
        <is>
          <t>Atlantic Canada Opportunities Agency | Agence de promotion économique du Canada atlantique</t>
        </is>
      </c>
    </row>
    <row r="3488">
      <c r="A3488" t="inlineStr">
        <is>
          <t>T-2013-Q1-00058</t>
        </is>
      </c>
      <c r="B3488" t="inlineStr">
        <is>
          <t>MPSES</t>
        </is>
      </c>
      <c r="C3488" t="inlineStr">
        <is>
          <t>Minister of State</t>
        </is>
      </c>
      <c r="D3488" t="inlineStr">
        <is>
          <t>Ministre d'État</t>
        </is>
      </c>
      <c r="E3488" t="inlineStr">
        <is>
          <t>Bernard Valcourt</t>
        </is>
      </c>
      <c r="F3488" t="inlineStr">
        <is>
          <t>Government of Canada announcement</t>
        </is>
      </c>
      <c r="G3488" t="inlineStr">
        <is>
          <t>Annonce du gouvernement du Canada</t>
        </is>
      </c>
      <c r="H3488" s="1" t="n">
        <v>41025</v>
      </c>
      <c r="I3488" s="1" t="n">
        <v>41027</v>
      </c>
      <c r="J3488" t="inlineStr">
        <is>
          <t>Edmundston, New Brunswick</t>
        </is>
      </c>
      <c r="K3488" t="inlineStr">
        <is>
          <t>Edmundston (Nouveau-Brunswick)</t>
        </is>
      </c>
      <c r="P3488" t="n">
        <v>0</v>
      </c>
      <c r="Q3488" t="n">
        <v>739.53</v>
      </c>
      <c r="R3488" t="n">
        <v>0</v>
      </c>
      <c r="S3488" t="n">
        <v>163.3</v>
      </c>
      <c r="T3488" t="n">
        <v>0</v>
      </c>
      <c r="U3488" t="n">
        <v>902.83</v>
      </c>
      <c r="X3488" t="inlineStr">
        <is>
          <t>acoa-apeca</t>
        </is>
      </c>
      <c r="Y3488" t="inlineStr">
        <is>
          <t>Atlantic Canada Opportunities Agency | Agence de promotion économique du Canada atlantique</t>
        </is>
      </c>
    </row>
    <row r="3489">
      <c r="A3489" t="inlineStr">
        <is>
          <t>T-2014-Q1-00025</t>
        </is>
      </c>
      <c r="B3489" t="inlineStr">
        <is>
          <t>SLE</t>
        </is>
      </c>
      <c r="C3489" t="inlineStr">
        <is>
          <t>Vice-President, Policy and Programs</t>
        </is>
      </c>
      <c r="D3489" t="inlineStr">
        <is>
          <t>Vice-président, Politiques et Programmes</t>
        </is>
      </c>
      <c r="E3489" t="inlineStr">
        <is>
          <t>Daryell Nowlan</t>
        </is>
      </c>
      <c r="F3489" t="inlineStr">
        <is>
          <t>Meetings with Government of Canada officials</t>
        </is>
      </c>
      <c r="G3489" t="inlineStr">
        <is>
          <t>Réunions avec des fonctionnaires du gouvernement du Canada</t>
        </is>
      </c>
      <c r="H3489" s="1" t="n">
        <v>41374</v>
      </c>
      <c r="I3489" s="1" t="n">
        <v>41376</v>
      </c>
      <c r="J3489" t="inlineStr">
        <is>
          <t>Ottawa, Ontario</t>
        </is>
      </c>
      <c r="K3489" t="inlineStr">
        <is>
          <t>Ottawa (Ontario)</t>
        </is>
      </c>
      <c r="P3489" t="n">
        <v>899.5599999999999</v>
      </c>
      <c r="Q3489" t="n">
        <v>115</v>
      </c>
      <c r="R3489" t="n">
        <v>354.82</v>
      </c>
      <c r="S3489" t="n">
        <v>241.77</v>
      </c>
      <c r="T3489" t="n">
        <v>0</v>
      </c>
      <c r="U3489" t="n">
        <v>1611.15</v>
      </c>
      <c r="X3489" t="inlineStr">
        <is>
          <t>acoa-apeca</t>
        </is>
      </c>
      <c r="Y3489" t="inlineStr">
        <is>
          <t>Atlantic Canada Opportunities Agency | Agence de promotion économique du Canada atlantique</t>
        </is>
      </c>
    </row>
    <row r="3490">
      <c r="A3490" t="inlineStr">
        <is>
          <t>T-2014-Q1-00024</t>
        </is>
      </c>
      <c r="B3490" t="inlineStr">
        <is>
          <t>MPSES</t>
        </is>
      </c>
      <c r="C3490" t="inlineStr">
        <is>
          <t>Deputy Chief of Staff and Director of Policy</t>
        </is>
      </c>
      <c r="D3490" t="inlineStr">
        <is>
          <t>Chef de cabinet adjoint et directeur des politiques</t>
        </is>
      </c>
      <c r="E3490" t="inlineStr">
        <is>
          <t>Connor Robinson</t>
        </is>
      </c>
      <c r="F3490" t="inlineStr">
        <is>
          <t>To accompany Minister to various meetings and announcements</t>
        </is>
      </c>
      <c r="G3490" t="inlineStr">
        <is>
          <t>Accompagner la ministre à diverses réunions et annonces</t>
        </is>
      </c>
      <c r="H3490" s="1" t="n">
        <v>41372</v>
      </c>
      <c r="I3490" s="1" t="n">
        <v>41373</v>
      </c>
      <c r="J3490" t="inlineStr">
        <is>
          <t>Halifax and Shelburne, Nova Scotia</t>
        </is>
      </c>
      <c r="K3490" t="inlineStr">
        <is>
          <t>Halifax et Shelburne (Nouvelle-Écosse)</t>
        </is>
      </c>
      <c r="P3490" t="n">
        <v>621.74</v>
      </c>
      <c r="Q3490" t="n">
        <v>356.77</v>
      </c>
      <c r="R3490" t="n">
        <v>103.5</v>
      </c>
      <c r="S3490" t="n">
        <v>148.4</v>
      </c>
      <c r="T3490" t="n">
        <v>0</v>
      </c>
      <c r="U3490" t="n">
        <v>1230.41</v>
      </c>
      <c r="X3490" t="inlineStr">
        <is>
          <t>acoa-apeca</t>
        </is>
      </c>
      <c r="Y3490" t="inlineStr">
        <is>
          <t>Atlantic Canada Opportunities Agency | Agence de promotion économique du Canada atlantique</t>
        </is>
      </c>
    </row>
    <row r="3491">
      <c r="A3491" t="inlineStr">
        <is>
          <t>T-2014-Q1-00023</t>
        </is>
      </c>
      <c r="B3491" t="inlineStr">
        <is>
          <t>MPSES</t>
        </is>
      </c>
      <c r="C3491" t="inlineStr">
        <is>
          <t>Minister</t>
        </is>
      </c>
      <c r="D3491" t="inlineStr">
        <is>
          <t>Ministre</t>
        </is>
      </c>
      <c r="E3491" t="inlineStr">
        <is>
          <t>Gail Shea</t>
        </is>
      </c>
      <c r="F3491" t="inlineStr">
        <is>
          <t>Meeting with Atlantic Canada Opportunities Agency staff, stakeholders and announcements</t>
        </is>
      </c>
      <c r="G3491" t="inlineStr">
        <is>
          <t>Participation à une réunion avec des membres du personnel et des intervenants de l'APECA et à des annonces</t>
        </is>
      </c>
      <c r="H3491" s="1" t="n">
        <v>41372</v>
      </c>
      <c r="I3491" s="1" t="n">
        <v>41376</v>
      </c>
      <c r="J3491" t="inlineStr">
        <is>
          <t>Halifax and Shelbourne, Nova Scotia and Charlottetown, Prince Edward Island</t>
        </is>
      </c>
      <c r="K3491" t="inlineStr">
        <is>
          <t>Halifax et Shelbourne (N.-É.) et Charlottetown (Î.-P.-É.)</t>
        </is>
      </c>
      <c r="P3491" t="n">
        <v>856.51</v>
      </c>
      <c r="Q3491" t="n">
        <v>297</v>
      </c>
      <c r="R3491" t="n">
        <v>143.75</v>
      </c>
      <c r="S3491" t="n">
        <v>148.9</v>
      </c>
      <c r="T3491" t="n">
        <v>0</v>
      </c>
      <c r="U3491" t="n">
        <v>1446.16</v>
      </c>
      <c r="X3491" t="inlineStr">
        <is>
          <t>acoa-apeca</t>
        </is>
      </c>
      <c r="Y3491" t="inlineStr">
        <is>
          <t>Atlantic Canada Opportunities Agency | Agence de promotion économique du Canada atlantique</t>
        </is>
      </c>
    </row>
    <row r="3492">
      <c r="A3492" t="inlineStr">
        <is>
          <t>T-2014-Q1-00021</t>
        </is>
      </c>
      <c r="B3492" t="inlineStr">
        <is>
          <t>SLE</t>
        </is>
      </c>
      <c r="C3492" t="inlineStr">
        <is>
          <t>Vice-President, Newfoundland and Labrador</t>
        </is>
      </c>
      <c r="D3492" t="inlineStr">
        <is>
          <t>Vice-président, Terre-Neuve-et-Labrador</t>
        </is>
      </c>
      <c r="E3492" t="inlineStr">
        <is>
          <t>Paul Mills</t>
        </is>
      </c>
      <c r="F3492" t="inlineStr">
        <is>
          <t>Research Money Conference in Ottawa, Ontario</t>
        </is>
      </c>
      <c r="G3492" t="inlineStr">
        <is>
          <t>Participation à la conférence Research Money à Ottawa, en Ontario</t>
        </is>
      </c>
      <c r="H3492" s="1" t="n">
        <v>41372</v>
      </c>
      <c r="I3492" s="1" t="n">
        <v>41374</v>
      </c>
      <c r="J3492" t="inlineStr">
        <is>
          <t>Ottawa, Ontario</t>
        </is>
      </c>
      <c r="K3492" t="inlineStr">
        <is>
          <t>Ottawa (Ontario)</t>
        </is>
      </c>
      <c r="P3492" t="n">
        <v>1369.14</v>
      </c>
      <c r="Q3492" t="n">
        <v>132</v>
      </c>
      <c r="R3492" t="n">
        <v>354.82</v>
      </c>
      <c r="S3492" t="n">
        <v>212.15</v>
      </c>
      <c r="T3492" t="n">
        <v>9.33</v>
      </c>
      <c r="U3492" t="n">
        <v>2077.44</v>
      </c>
      <c r="X3492" t="inlineStr">
        <is>
          <t>acoa-apeca</t>
        </is>
      </c>
      <c r="Y3492" t="inlineStr">
        <is>
          <t>Atlantic Canada Opportunities Agency | Agence de promotion économique du Canada atlantique</t>
        </is>
      </c>
    </row>
    <row r="3493">
      <c r="A3493" t="inlineStr">
        <is>
          <t>T-2014-Q1-00020</t>
        </is>
      </c>
      <c r="B3493" t="inlineStr">
        <is>
          <t>SLE</t>
        </is>
      </c>
      <c r="C3493" t="inlineStr">
        <is>
          <t>Vice President, Nova Scotia</t>
        </is>
      </c>
      <c r="D3493" t="inlineStr">
        <is>
          <t>Vice-président, Nouvelle-Écosse</t>
        </is>
      </c>
      <c r="E3493" t="inlineStr">
        <is>
          <t>Peter Hogan</t>
        </is>
      </c>
      <c r="F3493" t="inlineStr">
        <is>
          <t>Various meetings with senior Government of Canada officials and clients</t>
        </is>
      </c>
      <c r="G3493" t="inlineStr">
        <is>
          <t xml:space="preserve">Participation à diverses réunions avec des hauts fonctionnaires du gouvernement du Canada et des clients </t>
        </is>
      </c>
      <c r="H3493" s="1" t="n">
        <v>41371</v>
      </c>
      <c r="I3493" s="1" t="n">
        <v>41372</v>
      </c>
      <c r="J3493" t="inlineStr">
        <is>
          <t>Shelburne, Nova Scotia</t>
        </is>
      </c>
      <c r="K3493" t="inlineStr">
        <is>
          <t>Shelburne (Nouvelle-Écosse)</t>
        </is>
      </c>
      <c r="P3493" t="n">
        <v>0</v>
      </c>
      <c r="Q3493" t="n">
        <v>0</v>
      </c>
      <c r="R3493" t="n">
        <v>143.75</v>
      </c>
      <c r="S3493" t="n">
        <v>91.5</v>
      </c>
      <c r="T3493" t="n">
        <v>0</v>
      </c>
      <c r="U3493" t="n">
        <v>235.25</v>
      </c>
      <c r="X3493" t="inlineStr">
        <is>
          <t>acoa-apeca</t>
        </is>
      </c>
      <c r="Y3493" t="inlineStr">
        <is>
          <t>Atlantic Canada Opportunities Agency | Agence de promotion économique du Canada atlantique</t>
        </is>
      </c>
    </row>
    <row r="3494">
      <c r="A3494" t="inlineStr">
        <is>
          <t>T-2013-Q4-00058</t>
        </is>
      </c>
      <c r="B3494" t="inlineStr">
        <is>
          <t>SLE</t>
        </is>
      </c>
      <c r="C3494" t="inlineStr">
        <is>
          <t>Vice President, Nova Scotia</t>
        </is>
      </c>
      <c r="D3494" t="inlineStr">
        <is>
          <t>Vice-président, Nouvelle-Écosse</t>
        </is>
      </c>
      <c r="E3494" t="inlineStr">
        <is>
          <t>Peter Hogan</t>
        </is>
      </c>
      <c r="F3494" t="inlineStr">
        <is>
          <t xml:space="preserve">Meeting with Senior Agency Officials </t>
        </is>
      </c>
      <c r="G3494" t="inlineStr">
        <is>
          <t>Réunion avec des hauts fonctionnaires de l'Agence</t>
        </is>
      </c>
      <c r="H3494" s="1" t="n">
        <v>41326</v>
      </c>
      <c r="I3494" s="1" t="n">
        <v>41326</v>
      </c>
      <c r="J3494" t="inlineStr">
        <is>
          <t>Moncton, New Brunswick</t>
        </is>
      </c>
      <c r="K3494" t="inlineStr">
        <is>
          <t>Moncton (Nouveau-Brunswick)</t>
        </is>
      </c>
      <c r="P3494" t="n">
        <v>0</v>
      </c>
      <c r="Q3494" t="n">
        <v>231.25</v>
      </c>
      <c r="R3494" t="n">
        <v>0</v>
      </c>
      <c r="S3494" t="n">
        <v>36.87</v>
      </c>
      <c r="T3494" t="n">
        <v>0</v>
      </c>
      <c r="U3494" t="n">
        <v>268.12</v>
      </c>
      <c r="X3494" t="inlineStr">
        <is>
          <t>acoa-apeca</t>
        </is>
      </c>
      <c r="Y3494" t="inlineStr">
        <is>
          <t>Atlantic Canada Opportunities Agency | Agence de promotion économique du Canada atlantique</t>
        </is>
      </c>
    </row>
    <row r="3495">
      <c r="A3495" t="inlineStr">
        <is>
          <t>T-2014-Q1-00017</t>
        </is>
      </c>
      <c r="B3495" t="inlineStr">
        <is>
          <t>MPSES</t>
        </is>
      </c>
      <c r="C3495" t="inlineStr">
        <is>
          <t>Minister</t>
        </is>
      </c>
      <c r="D3495" t="inlineStr">
        <is>
          <t>Ministre</t>
        </is>
      </c>
      <c r="E3495" t="inlineStr">
        <is>
          <t>Gail Shea</t>
        </is>
      </c>
      <c r="F3495" t="inlineStr">
        <is>
          <t>Meeting with Atlantic Canada Opportunities Agency staff, stakeholders and announcements</t>
        </is>
      </c>
      <c r="G3495" t="inlineStr">
        <is>
          <t>Participation à une réunion avec des membres du personnel et des intervenants de l'APECA et à des annonces</t>
        </is>
      </c>
      <c r="H3495" s="1" t="n">
        <v>41366</v>
      </c>
      <c r="I3495" s="1" t="n">
        <v>41369</v>
      </c>
      <c r="J3495" t="inlineStr">
        <is>
          <t>Charlottetown, Prince Edward Island and St. John's and Happy Valley-Goose Bay, Newfoundland</t>
        </is>
      </c>
      <c r="K3495" t="inlineStr">
        <is>
          <t>Charlottetown (Î.-P.-É.) et St. John's et Happy Valley-Goose Bay (T.-N.-L.)</t>
        </is>
      </c>
      <c r="P3495" t="n">
        <v>2123.42</v>
      </c>
      <c r="Q3495" t="n">
        <v>173.5</v>
      </c>
      <c r="R3495" t="n">
        <v>407.29</v>
      </c>
      <c r="S3495" t="n">
        <v>244.6</v>
      </c>
      <c r="T3495" t="n">
        <v>0</v>
      </c>
      <c r="U3495" t="n">
        <v>2948.81</v>
      </c>
      <c r="X3495" t="inlineStr">
        <is>
          <t>acoa-apeca</t>
        </is>
      </c>
      <c r="Y3495" t="inlineStr">
        <is>
          <t>Atlantic Canada Opportunities Agency | Agence de promotion économique du Canada atlantique</t>
        </is>
      </c>
    </row>
    <row r="3496">
      <c r="A3496" t="inlineStr">
        <is>
          <t>T-2014-Q1-00016</t>
        </is>
      </c>
      <c r="B3496" t="inlineStr">
        <is>
          <t>SLE</t>
        </is>
      </c>
      <c r="C3496" t="inlineStr">
        <is>
          <t>President</t>
        </is>
      </c>
      <c r="D3496" t="inlineStr">
        <is>
          <t>Président</t>
        </is>
      </c>
      <c r="E3496" t="inlineStr">
        <is>
          <t>Paul J. LeBlanc</t>
        </is>
      </c>
      <c r="F3496" t="inlineStr">
        <is>
          <t>For various meetings and discussions with Agency officials</t>
        </is>
      </c>
      <c r="G3496" t="inlineStr">
        <is>
          <t>Participation à diverses réunions et discussions avec des fonctionnaires de l'Agence</t>
        </is>
      </c>
      <c r="H3496" s="1" t="n">
        <v>41366</v>
      </c>
      <c r="I3496" s="1" t="n">
        <v>41366</v>
      </c>
      <c r="J3496" t="inlineStr">
        <is>
          <t>Charlottetown, Prince Edward Island</t>
        </is>
      </c>
      <c r="K3496" t="inlineStr">
        <is>
          <t>Charlottetown (Île-du-Prince-Édouard)</t>
        </is>
      </c>
      <c r="P3496" t="n">
        <v>0</v>
      </c>
      <c r="Q3496" t="n">
        <v>0</v>
      </c>
      <c r="R3496" t="n">
        <v>0</v>
      </c>
      <c r="S3496" t="n">
        <v>15.15</v>
      </c>
      <c r="T3496" t="n">
        <v>0</v>
      </c>
      <c r="U3496" t="n">
        <v>15.15</v>
      </c>
      <c r="X3496" t="inlineStr">
        <is>
          <t>acoa-apeca</t>
        </is>
      </c>
      <c r="Y3496" t="inlineStr">
        <is>
          <t>Atlantic Canada Opportunities Agency | Agence de promotion économique du Canada atlantique</t>
        </is>
      </c>
    </row>
    <row r="3497">
      <c r="A3497" t="inlineStr">
        <is>
          <t>T-2014-Q1-00015</t>
        </is>
      </c>
      <c r="B3497" t="inlineStr">
        <is>
          <t>SLE</t>
        </is>
      </c>
      <c r="C3497" t="inlineStr">
        <is>
          <t>Vice-President, Newfoundland and Labrador</t>
        </is>
      </c>
      <c r="D3497" t="inlineStr">
        <is>
          <t>Vice-président, Terre-Neuve-et-Labrador</t>
        </is>
      </c>
      <c r="E3497" t="inlineStr">
        <is>
          <t>Paul Mills</t>
        </is>
      </c>
      <c r="F3497" t="inlineStr">
        <is>
          <t>Mileage for meetings in and around St. John's, Newfoundland from April 1 - June 30, 2013</t>
        </is>
      </c>
      <c r="G3497" t="inlineStr">
        <is>
          <t>Kilométrage pour des réunions à St. John's  et à l'extérieur (Terre-Neuve-et-Labrador) du 1er avril au 30 juin 2013</t>
        </is>
      </c>
      <c r="H3497" s="1" t="n">
        <v>41365</v>
      </c>
      <c r="I3497" s="1" t="n">
        <v>41455</v>
      </c>
      <c r="J3497" t="inlineStr">
        <is>
          <t>St. John's, Newfoundland</t>
        </is>
      </c>
      <c r="K3497" t="inlineStr">
        <is>
          <t>St. John's (Terre-Neuve-et-Labrador)</t>
        </is>
      </c>
      <c r="P3497" t="n">
        <v>0</v>
      </c>
      <c r="Q3497" t="n">
        <v>25.73</v>
      </c>
      <c r="R3497" t="n">
        <v>0</v>
      </c>
      <c r="S3497" t="n">
        <v>0</v>
      </c>
      <c r="T3497" t="n">
        <v>0</v>
      </c>
      <c r="U3497" t="n">
        <v>25.73</v>
      </c>
      <c r="X3497" t="inlineStr">
        <is>
          <t>acoa-apeca</t>
        </is>
      </c>
      <c r="Y3497" t="inlineStr">
        <is>
          <t>Atlantic Canada Opportunities Agency | Agence de promotion économique du Canada atlantique</t>
        </is>
      </c>
    </row>
    <row r="3498">
      <c r="A3498" t="inlineStr">
        <is>
          <t>T-2014-Q1-00014</t>
        </is>
      </c>
      <c r="B3498" t="inlineStr">
        <is>
          <t>SLE</t>
        </is>
      </c>
      <c r="C3498" t="inlineStr">
        <is>
          <t>Vice President, Nova Scotia</t>
        </is>
      </c>
      <c r="D3498" t="inlineStr">
        <is>
          <t>Vice-président, Nouvelle-Écosse</t>
        </is>
      </c>
      <c r="E3498" t="inlineStr">
        <is>
          <t>Peter Hogan</t>
        </is>
      </c>
      <c r="F3498" t="inlineStr">
        <is>
          <t xml:space="preserve">Various meetings with Government of Canada officials </t>
        </is>
      </c>
      <c r="G3498" t="inlineStr">
        <is>
          <t>Diverses réunions avec des fonctionnaires du gouvernement du Canada</t>
        </is>
      </c>
      <c r="H3498" s="1" t="n">
        <v>41352</v>
      </c>
      <c r="I3498" s="1" t="n">
        <v>41353</v>
      </c>
      <c r="J3498" t="inlineStr">
        <is>
          <t>Ottawa, Ontario</t>
        </is>
      </c>
      <c r="K3498" t="inlineStr">
        <is>
          <t>Ottawa (Ontario)</t>
        </is>
      </c>
      <c r="P3498" t="n">
        <v>359.72</v>
      </c>
      <c r="Q3498" t="n">
        <v>142.4</v>
      </c>
      <c r="R3498" t="n">
        <v>177.41</v>
      </c>
      <c r="S3498" t="n">
        <v>105.9</v>
      </c>
      <c r="T3498" t="n">
        <v>0</v>
      </c>
      <c r="U3498" t="n">
        <v>785.4299999999999</v>
      </c>
      <c r="X3498" t="inlineStr">
        <is>
          <t>acoa-apeca</t>
        </is>
      </c>
      <c r="Y3498" t="inlineStr">
        <is>
          <t>Atlantic Canada Opportunities Agency | Agence de promotion économique du Canada atlantique</t>
        </is>
      </c>
    </row>
    <row r="3499">
      <c r="A3499" t="inlineStr">
        <is>
          <t>T-2014-Q1-00013</t>
        </is>
      </c>
      <c r="B3499" t="inlineStr">
        <is>
          <t>SLE</t>
        </is>
      </c>
      <c r="C3499" t="inlineStr">
        <is>
          <t>President</t>
        </is>
      </c>
      <c r="D3499" t="inlineStr">
        <is>
          <t>Président</t>
        </is>
      </c>
      <c r="E3499" t="inlineStr">
        <is>
          <t>Paul J. LeBlanc</t>
        </is>
      </c>
      <c r="F3499" t="inlineStr">
        <is>
          <t>For various meetings and discussions with Agency officials; with Government of Canada officials</t>
        </is>
      </c>
      <c r="G3499" t="inlineStr">
        <is>
          <t>Participation à diverses réunions et discussions avec des fonctionnaires de l'Agence et du gouvernement du Canada</t>
        </is>
      </c>
      <c r="H3499" s="1" t="n">
        <v>41351</v>
      </c>
      <c r="I3499" s="1" t="n">
        <v>41354</v>
      </c>
      <c r="J3499" t="inlineStr">
        <is>
          <t>Ottawa, Ontario</t>
        </is>
      </c>
      <c r="K3499" t="inlineStr">
        <is>
          <t>Ottawa (Ontario)</t>
        </is>
      </c>
      <c r="P3499" t="n">
        <v>741.74</v>
      </c>
      <c r="Q3499" t="n">
        <v>0</v>
      </c>
      <c r="R3499" t="n">
        <v>572.91</v>
      </c>
      <c r="S3499" t="n">
        <v>269.1</v>
      </c>
      <c r="T3499" t="n">
        <v>56.5</v>
      </c>
      <c r="U3499" t="n">
        <v>1640.25</v>
      </c>
      <c r="X3499" t="inlineStr">
        <is>
          <t>acoa-apeca</t>
        </is>
      </c>
      <c r="Y3499" t="inlineStr">
        <is>
          <t>Atlantic Canada Opportunities Agency | Agence de promotion économique du Canada atlantique</t>
        </is>
      </c>
    </row>
    <row r="3500">
      <c r="A3500" t="inlineStr">
        <is>
          <t>T-2014-Q1-00011</t>
        </is>
      </c>
      <c r="B3500" t="inlineStr">
        <is>
          <t>MPSES</t>
        </is>
      </c>
      <c r="C3500" t="inlineStr">
        <is>
          <t>Director of Economic Development</t>
        </is>
      </c>
      <c r="D3500" t="inlineStr">
        <is>
          <t>Directrice du développement économique</t>
        </is>
      </c>
      <c r="E3500" t="inlineStr">
        <is>
          <t>Guylaine Le Couteur</t>
        </is>
      </c>
      <c r="F3500" t="inlineStr">
        <is>
          <t>Attend Atlantic Canada Opportunities Agency meetings</t>
        </is>
      </c>
      <c r="G3500" t="inlineStr">
        <is>
          <t>Participation à des réunions de l'Agence de promotion économique du Canada atlantique</t>
        </is>
      </c>
      <c r="H3500" s="1" t="n">
        <v>41342</v>
      </c>
      <c r="I3500" s="1" t="n">
        <v>41346</v>
      </c>
      <c r="J3500" t="inlineStr">
        <is>
          <t>St. John's, Newfoundland and Halifax, Nova Scotia</t>
        </is>
      </c>
      <c r="K3500" t="inlineStr">
        <is>
          <t>St. John's (Terre-Neuve-et-Labrador) et Halifax (Nouvelle-Écosse)</t>
        </is>
      </c>
      <c r="P3500" t="n">
        <v>1024.8</v>
      </c>
      <c r="Q3500" t="n">
        <v>209</v>
      </c>
      <c r="R3500" t="n">
        <v>450.47</v>
      </c>
      <c r="S3500" t="n">
        <v>341.4</v>
      </c>
      <c r="T3500" t="n">
        <v>0</v>
      </c>
      <c r="U3500" t="n">
        <v>2025.67</v>
      </c>
      <c r="X3500" t="inlineStr">
        <is>
          <t>acoa-apeca</t>
        </is>
      </c>
      <c r="Y3500" t="inlineStr">
        <is>
          <t>Atlantic Canada Opportunities Agency | Agence de promotion économique du Canada atlantique</t>
        </is>
      </c>
    </row>
    <row r="3501">
      <c r="A3501" t="inlineStr">
        <is>
          <t>T-2014-Q1-00010</t>
        </is>
      </c>
      <c r="B3501" t="inlineStr">
        <is>
          <t>MPSES</t>
        </is>
      </c>
      <c r="C3501" t="inlineStr">
        <is>
          <t>Director of Communications</t>
        </is>
      </c>
      <c r="D3501" t="inlineStr">
        <is>
          <t>Directrice des communications</t>
        </is>
      </c>
      <c r="E3501" t="inlineStr">
        <is>
          <t>Sophie Doucet</t>
        </is>
      </c>
      <c r="F3501" t="inlineStr">
        <is>
          <t>Accompany Minister to attend Boston Seafood Show</t>
        </is>
      </c>
      <c r="G3501" t="inlineStr">
        <is>
          <t>Accompagner la ministre au Salon international des produits de la mer de Boston</t>
        </is>
      </c>
      <c r="H3501" s="1" t="n">
        <v>41342</v>
      </c>
      <c r="I3501" s="1" t="n">
        <v>41344</v>
      </c>
      <c r="J3501" t="inlineStr">
        <is>
          <t>Boston, Massachussets</t>
        </is>
      </c>
      <c r="K3501" t="inlineStr">
        <is>
          <t>Boston (Massachussets)</t>
        </is>
      </c>
      <c r="P3501" t="n">
        <v>1534.95</v>
      </c>
      <c r="Q3501" t="n">
        <v>98.09</v>
      </c>
      <c r="R3501" t="n">
        <v>550.13</v>
      </c>
      <c r="S3501" t="n">
        <v>232.1</v>
      </c>
      <c r="T3501" t="n">
        <v>0</v>
      </c>
      <c r="U3501" t="n">
        <v>2415.27</v>
      </c>
      <c r="X3501" t="inlineStr">
        <is>
          <t>acoa-apeca</t>
        </is>
      </c>
      <c r="Y3501" t="inlineStr">
        <is>
          <t>Atlantic Canada Opportunities Agency | Agence de promotion économique du Canada atlantique</t>
        </is>
      </c>
    </row>
    <row r="3502">
      <c r="A3502" t="inlineStr">
        <is>
          <t>T-2012-Q4-00073</t>
        </is>
      </c>
      <c r="B3502" t="inlineStr">
        <is>
          <t>SLE</t>
        </is>
      </c>
      <c r="C3502" t="inlineStr">
        <is>
          <t>Vice-President, New Brunswick</t>
        </is>
      </c>
      <c r="D3502" t="inlineStr">
        <is>
          <t>Vice-présidente, Nouveau-Brunswick</t>
        </is>
      </c>
      <c r="E3502" t="inlineStr">
        <is>
          <t>Janet Gagnon</t>
        </is>
      </c>
      <c r="F3502" t="inlineStr">
        <is>
          <t>Northern New Brunswick Focus Meeting</t>
        </is>
      </c>
      <c r="G3502" t="inlineStr">
        <is>
          <t>Réunion axée sur le nord du Nouveau-Brunswick</t>
        </is>
      </c>
      <c r="H3502" s="1" t="n">
        <v>40956</v>
      </c>
      <c r="I3502" s="1" t="n">
        <v>40956</v>
      </c>
      <c r="J3502" t="inlineStr">
        <is>
          <t>Dalhousie, New Brunswick</t>
        </is>
      </c>
      <c r="K3502" t="inlineStr">
        <is>
          <t>Dalhousie (Nouveau-Brunswick)</t>
        </is>
      </c>
      <c r="P3502" t="n">
        <v>0</v>
      </c>
      <c r="Q3502" t="n">
        <v>0</v>
      </c>
      <c r="R3502" t="n">
        <v>0</v>
      </c>
      <c r="S3502" t="n">
        <v>72.95</v>
      </c>
      <c r="T3502" t="n">
        <v>0</v>
      </c>
      <c r="U3502" t="n">
        <v>72.95</v>
      </c>
      <c r="X3502" t="inlineStr">
        <is>
          <t>acoa-apeca</t>
        </is>
      </c>
      <c r="Y3502" t="inlineStr">
        <is>
          <t>Atlantic Canada Opportunities Agency | Agence de promotion économique du Canada atlantique</t>
        </is>
      </c>
    </row>
    <row r="3503">
      <c r="A3503" t="inlineStr">
        <is>
          <t>T-2014-Q1-00009</t>
        </is>
      </c>
      <c r="B3503" t="inlineStr">
        <is>
          <t>MPSES</t>
        </is>
      </c>
      <c r="C3503" t="inlineStr">
        <is>
          <t>Minister</t>
        </is>
      </c>
      <c r="D3503" t="inlineStr">
        <is>
          <t>Ministre</t>
        </is>
      </c>
      <c r="E3503" t="inlineStr">
        <is>
          <t>Gail Shea</t>
        </is>
      </c>
      <c r="F3503" t="inlineStr">
        <is>
          <t>Attend Boston Seafood Show and Atlantic Canada Opportunities Agency meetings</t>
        </is>
      </c>
      <c r="G3503" t="inlineStr">
        <is>
          <t>Participation au Salon international de la mer de Boston et à des réunions de l'Agence de promotion économique du Canada atlantique</t>
        </is>
      </c>
      <c r="H3503" s="1" t="n">
        <v>41341</v>
      </c>
      <c r="I3503" s="1" t="n">
        <v>41344</v>
      </c>
      <c r="J3503" t="inlineStr">
        <is>
          <t>Boston, Massachussets</t>
        </is>
      </c>
      <c r="K3503" t="inlineStr">
        <is>
          <t>Boston (Massachussets)</t>
        </is>
      </c>
      <c r="P3503" t="n">
        <v>1847.86</v>
      </c>
      <c r="Q3503" t="n">
        <v>0</v>
      </c>
      <c r="R3503" t="n">
        <v>825.26</v>
      </c>
      <c r="S3503" t="n">
        <v>276.91</v>
      </c>
      <c r="T3503" t="n">
        <v>0</v>
      </c>
      <c r="U3503" t="n">
        <v>2950.03</v>
      </c>
      <c r="X3503" t="inlineStr">
        <is>
          <t>acoa-apeca</t>
        </is>
      </c>
      <c r="Y3503" t="inlineStr">
        <is>
          <t>Atlantic Canada Opportunities Agency | Agence de promotion économique du Canada atlantique</t>
        </is>
      </c>
    </row>
    <row r="3504">
      <c r="A3504" t="inlineStr">
        <is>
          <t>T-2014-Q1-00007</t>
        </is>
      </c>
      <c r="B3504" t="inlineStr">
        <is>
          <t>SLE</t>
        </is>
      </c>
      <c r="C3504" t="inlineStr">
        <is>
          <t>Vice-President, Finance and Corporate Services</t>
        </is>
      </c>
      <c r="D3504" t="inlineStr">
        <is>
          <t>Vice-présidente, Finances et Services corporatifs</t>
        </is>
      </c>
      <c r="E3504" t="inlineStr">
        <is>
          <t>Denise Frenette</t>
        </is>
      </c>
      <c r="F3504" t="inlineStr">
        <is>
          <t>Meeting with Agency officials and private sector official</t>
        </is>
      </c>
      <c r="G3504" t="inlineStr">
        <is>
          <t>Participation à une réunion avec des fonctionnaires de l'Agence et des représentants du secteur privé</t>
        </is>
      </c>
      <c r="H3504" s="1" t="n">
        <v>41340</v>
      </c>
      <c r="I3504" s="1" t="n">
        <v>41341</v>
      </c>
      <c r="J3504" t="inlineStr">
        <is>
          <t>Ottawa, Ontario</t>
        </is>
      </c>
      <c r="K3504" t="inlineStr">
        <is>
          <t>Ottawa (Ontario)</t>
        </is>
      </c>
      <c r="P3504" t="n">
        <v>723.22</v>
      </c>
      <c r="Q3504" t="n">
        <v>89</v>
      </c>
      <c r="R3504" t="n">
        <v>177.41</v>
      </c>
      <c r="S3504" t="n">
        <v>90.90000000000001</v>
      </c>
      <c r="T3504" t="n">
        <v>2.12</v>
      </c>
      <c r="U3504" t="n">
        <v>1082.65</v>
      </c>
      <c r="X3504" t="inlineStr">
        <is>
          <t>acoa-apeca</t>
        </is>
      </c>
      <c r="Y3504" t="inlineStr">
        <is>
          <t>Atlantic Canada Opportunities Agency | Agence de promotion économique du Canada atlantique</t>
        </is>
      </c>
    </row>
    <row r="3505">
      <c r="A3505" t="inlineStr">
        <is>
          <t>T-2014-Q1-00004</t>
        </is>
      </c>
      <c r="B3505" t="inlineStr">
        <is>
          <t>SLE</t>
        </is>
      </c>
      <c r="C3505" t="inlineStr">
        <is>
          <t>Vice-President, New Brunswick</t>
        </is>
      </c>
      <c r="D3505" t="inlineStr">
        <is>
          <t>Vice-présidente, Nouveau-Brunswick</t>
        </is>
      </c>
      <c r="E3505" t="inlineStr">
        <is>
          <t>Janet Gagnon</t>
        </is>
      </c>
      <c r="F3505" t="inlineStr">
        <is>
          <t>Atlantic Canada Opportunities Board Meeting / Vice Presidents Meeting on AIF (Atlantic Innovation Fund)</t>
        </is>
      </c>
      <c r="G3505" t="inlineStr">
        <is>
          <t>Réunion du Conseil de promotion économique du Canada atlantique et réunion des vice-présidents au sujet du Fonds d'innovation de l'Atlantique (FIA)</t>
        </is>
      </c>
      <c r="H3505" s="1" t="n">
        <v>41339</v>
      </c>
      <c r="I3505" s="1" t="n">
        <v>41340</v>
      </c>
      <c r="J3505" t="inlineStr">
        <is>
          <t>Halifax, Nova Scotia</t>
        </is>
      </c>
      <c r="K3505" t="inlineStr">
        <is>
          <t>Halifax (Nouvelle-Écosse)</t>
        </is>
      </c>
      <c r="P3505" t="n">
        <v>209.54</v>
      </c>
      <c r="Q3505" t="n">
        <v>0</v>
      </c>
      <c r="R3505" t="n">
        <v>127.86</v>
      </c>
      <c r="S3505" t="n">
        <v>147.7</v>
      </c>
      <c r="T3505" t="n">
        <v>158</v>
      </c>
      <c r="U3505" t="n">
        <v>643.1</v>
      </c>
      <c r="X3505" t="inlineStr">
        <is>
          <t>acoa-apeca</t>
        </is>
      </c>
      <c r="Y3505" t="inlineStr">
        <is>
          <t>Atlantic Canada Opportunities Agency | Agence de promotion économique du Canada atlantique</t>
        </is>
      </c>
    </row>
    <row r="3506">
      <c r="A3506" t="inlineStr">
        <is>
          <t>T-2014-Q1-00003</t>
        </is>
      </c>
      <c r="B3506" t="inlineStr">
        <is>
          <t>SLE</t>
        </is>
      </c>
      <c r="C3506" t="inlineStr">
        <is>
          <t>Vice-President, Prince Edward Island</t>
        </is>
      </c>
      <c r="D3506" t="inlineStr">
        <is>
          <t>Vice-président, Île-du-Prince-Édouard</t>
        </is>
      </c>
      <c r="E3506" t="inlineStr">
        <is>
          <t>Patrick Dorsey</t>
        </is>
      </c>
      <c r="F3506" t="inlineStr">
        <is>
          <t>Meeting with ACO Board and meeting with Government of Canada officials</t>
        </is>
      </c>
      <c r="G3506" t="inlineStr">
        <is>
          <t>Participation à une réunion avec le Conseil de promotion économique du Canada atlantique et avec des fonctionnaires du gouvernement du Canada</t>
        </is>
      </c>
      <c r="H3506" s="1" t="n">
        <v>41338</v>
      </c>
      <c r="I3506" s="1" t="n">
        <v>41341</v>
      </c>
      <c r="J3506" t="inlineStr">
        <is>
          <t>Halifax, Nova Scotia</t>
        </is>
      </c>
      <c r="K3506" t="inlineStr">
        <is>
          <t>Halifax (Nouvelle-Écosse)</t>
        </is>
      </c>
      <c r="P3506" t="n">
        <v>0</v>
      </c>
      <c r="Q3506" t="n">
        <v>244.63</v>
      </c>
      <c r="R3506" t="n">
        <v>415.23</v>
      </c>
      <c r="S3506" t="n">
        <v>254.6</v>
      </c>
      <c r="T3506" t="n">
        <v>0</v>
      </c>
      <c r="U3506" t="n">
        <v>914.46</v>
      </c>
      <c r="X3506" t="inlineStr">
        <is>
          <t>acoa-apeca</t>
        </is>
      </c>
      <c r="Y3506" t="inlineStr">
        <is>
          <t>Atlantic Canada Opportunities Agency | Agence de promotion économique du Canada atlantique</t>
        </is>
      </c>
    </row>
    <row r="3507">
      <c r="A3507" t="inlineStr">
        <is>
          <t>T-2014-Q1-00002</t>
        </is>
      </c>
      <c r="B3507" t="inlineStr">
        <is>
          <t>SLE</t>
        </is>
      </c>
      <c r="C3507" t="inlineStr">
        <is>
          <t>Vice-President, Newfoundland and Labrador</t>
        </is>
      </c>
      <c r="D3507" t="inlineStr">
        <is>
          <t>Vice-président, Terre-Neuve-et-Labrador</t>
        </is>
      </c>
      <c r="E3507" t="inlineStr">
        <is>
          <t>Paul Mills</t>
        </is>
      </c>
      <c r="F3507" t="inlineStr">
        <is>
          <t>Travel to Halifax, Nova Scotia, for an Atlantic Innovation Fund Meeting and an Executive Committee Meeting</t>
        </is>
      </c>
      <c r="G3507" t="inlineStr">
        <is>
          <t>Voyage à Halifax, en Nouvelle-Écosse, pour participer à une réunion du Fonds d'innovation de l'Atlantique et à une réunion du Comité de direction</t>
        </is>
      </c>
      <c r="H3507" s="1" t="n">
        <v>41338</v>
      </c>
      <c r="I3507" s="1" t="n">
        <v>41340</v>
      </c>
      <c r="J3507" t="inlineStr">
        <is>
          <t>Halifax, Nova Scotia</t>
        </is>
      </c>
      <c r="K3507" t="inlineStr">
        <is>
          <t>Halifax (Nouvelle-Écosse)</t>
        </is>
      </c>
      <c r="P3507" t="n">
        <v>1369.14</v>
      </c>
      <c r="Q3507" t="n">
        <v>142.78</v>
      </c>
      <c r="R3507" t="n">
        <v>270.97</v>
      </c>
      <c r="S3507" t="n">
        <v>221.8</v>
      </c>
      <c r="T3507" t="n">
        <v>42.67</v>
      </c>
      <c r="U3507" t="n">
        <v>2047.36</v>
      </c>
      <c r="X3507" t="inlineStr">
        <is>
          <t>acoa-apeca</t>
        </is>
      </c>
      <c r="Y3507" t="inlineStr">
        <is>
          <t>Atlantic Canada Opportunities Agency | Agence de promotion économique du Canada atlantique</t>
        </is>
      </c>
    </row>
    <row r="3508">
      <c r="A3508" t="inlineStr">
        <is>
          <t>T-2014-Q1-00001</t>
        </is>
      </c>
      <c r="B3508" t="inlineStr">
        <is>
          <t>SLE</t>
        </is>
      </c>
      <c r="C3508" t="inlineStr">
        <is>
          <t>President</t>
        </is>
      </c>
      <c r="D3508" t="inlineStr">
        <is>
          <t>Président</t>
        </is>
      </c>
      <c r="E3508" t="inlineStr">
        <is>
          <t>Paul J. LeBlanc</t>
        </is>
      </c>
      <c r="F3508" t="inlineStr">
        <is>
          <t>For various meetings and discussions with Agency officials; with Government of Canada officials</t>
        </is>
      </c>
      <c r="G3508" t="inlineStr">
        <is>
          <t>Participation à diverses réunions et discussions avec des fonctionnaires de l'Agence et du gouvernement du Canada</t>
        </is>
      </c>
      <c r="H3508" s="1" t="n">
        <v>41337</v>
      </c>
      <c r="I3508" s="1" t="n">
        <v>41340</v>
      </c>
      <c r="J3508" t="inlineStr">
        <is>
          <t>Ottawa, Ontario and Halifax, Nova Scotia</t>
        </is>
      </c>
      <c r="K3508" t="inlineStr">
        <is>
          <t>Ottawa (Ontario) et Halifax (Nouvelle-Écosse)</t>
        </is>
      </c>
      <c r="P3508" t="n">
        <v>741.74</v>
      </c>
      <c r="Q3508" t="n">
        <v>0</v>
      </c>
      <c r="R3508" t="n">
        <v>521.53</v>
      </c>
      <c r="S3508" t="n">
        <v>254.1</v>
      </c>
      <c r="T3508" t="n">
        <v>0</v>
      </c>
      <c r="U3508" t="n">
        <v>1517.37</v>
      </c>
      <c r="X3508" t="inlineStr">
        <is>
          <t>acoa-apeca</t>
        </is>
      </c>
      <c r="Y3508" t="inlineStr">
        <is>
          <t>Atlantic Canada Opportunities Agency | Agence de promotion économique du Canada atlantique</t>
        </is>
      </c>
    </row>
    <row r="3509">
      <c r="A3509" t="inlineStr">
        <is>
          <t>T-2013-Q4-00059</t>
        </is>
      </c>
      <c r="B3509" t="inlineStr">
        <is>
          <t>SLE</t>
        </is>
      </c>
      <c r="C3509" t="inlineStr">
        <is>
          <t>President</t>
        </is>
      </c>
      <c r="D3509" t="inlineStr">
        <is>
          <t>Président</t>
        </is>
      </c>
      <c r="E3509" t="inlineStr">
        <is>
          <t>Paul J. LeBlanc</t>
        </is>
      </c>
      <c r="F3509" t="inlineStr">
        <is>
          <t>For various meetings and discussions with Agency officials; with Government of Canada officials</t>
        </is>
      </c>
      <c r="G3509" t="inlineStr">
        <is>
          <t>Participation à diverses réunions et discussions avec des fonctionnaires de l'Agence et du gouvernement du Canada</t>
        </is>
      </c>
      <c r="H3509" s="1" t="n">
        <v>41330</v>
      </c>
      <c r="I3509" s="1" t="n">
        <v>41334</v>
      </c>
      <c r="J3509" t="inlineStr">
        <is>
          <t>Ottawa, Ontario</t>
        </is>
      </c>
      <c r="K3509" t="inlineStr">
        <is>
          <t>Ottawa (Ontario)</t>
        </is>
      </c>
      <c r="P3509" t="n">
        <v>1065.25</v>
      </c>
      <c r="Q3509" t="n">
        <v>13</v>
      </c>
      <c r="R3509" t="n">
        <v>763.88</v>
      </c>
      <c r="S3509" t="n">
        <v>388.7</v>
      </c>
      <c r="T3509" t="n">
        <v>56.5</v>
      </c>
      <c r="U3509" t="n">
        <v>2287.33</v>
      </c>
      <c r="X3509" t="inlineStr">
        <is>
          <t>acoa-apeca</t>
        </is>
      </c>
      <c r="Y3509" t="inlineStr">
        <is>
          <t>Atlantic Canada Opportunities Agency | Agence de promotion économique du Canada atlantique</t>
        </is>
      </c>
    </row>
    <row r="3510">
      <c r="A3510" t="inlineStr">
        <is>
          <t>T-2013-Q4-00057</t>
        </is>
      </c>
      <c r="B3510" t="inlineStr">
        <is>
          <t>SLE</t>
        </is>
      </c>
      <c r="C3510" t="inlineStr">
        <is>
          <t>President</t>
        </is>
      </c>
      <c r="D3510" t="inlineStr">
        <is>
          <t>Président</t>
        </is>
      </c>
      <c r="E3510" t="inlineStr">
        <is>
          <t>Paul J. LeBlanc</t>
        </is>
      </c>
      <c r="F3510" t="inlineStr">
        <is>
          <t>For meetings and discussions with Agency officials; with Government of Canada officials</t>
        </is>
      </c>
      <c r="G3510" t="inlineStr">
        <is>
          <t>Participation à des réunions et discussions avec des fonctionnaires de l'Agence et du gouvernement du Canada</t>
        </is>
      </c>
      <c r="H3510" s="1" t="n">
        <v>41326</v>
      </c>
      <c r="I3510" s="1" t="n">
        <v>41327</v>
      </c>
      <c r="J3510" t="inlineStr">
        <is>
          <t>Fredericton, New Brunswick and Ottawa, Ontario</t>
        </is>
      </c>
      <c r="K3510" t="inlineStr">
        <is>
          <t>Fredericton (Nouveau-Brunswick) et Ottawa (Ontario)</t>
        </is>
      </c>
      <c r="P3510" t="n">
        <v>927.86</v>
      </c>
      <c r="Q3510" t="n">
        <v>0</v>
      </c>
      <c r="R3510" t="n">
        <v>152.55</v>
      </c>
      <c r="S3510" t="n">
        <v>106.4</v>
      </c>
      <c r="T3510" t="n">
        <v>0</v>
      </c>
      <c r="U3510" t="n">
        <v>1186.81</v>
      </c>
      <c r="X3510" t="inlineStr">
        <is>
          <t>acoa-apeca</t>
        </is>
      </c>
      <c r="Y3510" t="inlineStr">
        <is>
          <t>Atlantic Canada Opportunities Agency | Agence de promotion économique du Canada atlantique</t>
        </is>
      </c>
    </row>
    <row r="3511">
      <c r="A3511" t="inlineStr">
        <is>
          <t>T-2013-Q4-00056</t>
        </is>
      </c>
      <c r="B3511" t="inlineStr">
        <is>
          <t>SLE</t>
        </is>
      </c>
      <c r="C3511" t="inlineStr">
        <is>
          <t>Vice-President, New Brunswick</t>
        </is>
      </c>
      <c r="D3511" t="inlineStr">
        <is>
          <t>Vice-présidente, Nouveau-Brunswick</t>
        </is>
      </c>
      <c r="E3511" t="inlineStr">
        <is>
          <t>Janet Gagnon</t>
        </is>
      </c>
      <c r="F3511" t="inlineStr">
        <is>
          <t>Special meeting of President and Vice-Presidents / Access to Capital Meeting</t>
        </is>
      </c>
      <c r="G3511" t="inlineStr">
        <is>
          <t>Réunion extraordinaire du président et des vice-présidents; réunion sur l'accès au capital</t>
        </is>
      </c>
      <c r="H3511" s="1" t="n">
        <v>41325</v>
      </c>
      <c r="I3511" s="1" t="n">
        <v>41327</v>
      </c>
      <c r="J3511" t="inlineStr">
        <is>
          <t>Moncton, New Brunswick</t>
        </is>
      </c>
      <c r="K3511" t="inlineStr">
        <is>
          <t>Moncton (Nouveau-Brunswick)</t>
        </is>
      </c>
      <c r="P3511" t="n">
        <v>0</v>
      </c>
      <c r="Q3511" t="n">
        <v>0</v>
      </c>
      <c r="R3511" t="n">
        <v>325.44</v>
      </c>
      <c r="S3511" t="n">
        <v>164.5</v>
      </c>
      <c r="T3511" t="n">
        <v>34.26</v>
      </c>
      <c r="U3511" t="n">
        <v>524.2</v>
      </c>
      <c r="X3511" t="inlineStr">
        <is>
          <t>acoa-apeca</t>
        </is>
      </c>
      <c r="Y3511" t="inlineStr">
        <is>
          <t>Atlantic Canada Opportunities Agency | Agence de promotion économique du Canada atlantique</t>
        </is>
      </c>
    </row>
    <row r="3512">
      <c r="A3512" t="inlineStr">
        <is>
          <t>T-2013-Q1-00057</t>
        </is>
      </c>
      <c r="B3512" t="inlineStr">
        <is>
          <t>SLE</t>
        </is>
      </c>
      <c r="C3512" t="inlineStr">
        <is>
          <t>Vice-President, New Brunswick</t>
        </is>
      </c>
      <c r="D3512" t="inlineStr">
        <is>
          <t>Vice-présidente, Nouveau-Brunswick</t>
        </is>
      </c>
      <c r="E3512" t="inlineStr">
        <is>
          <t>Janet Gagnon</t>
        </is>
      </c>
      <c r="F3512" t="inlineStr">
        <is>
          <t>Executive Committee meeting</t>
        </is>
      </c>
      <c r="G3512" t="inlineStr">
        <is>
          <t>Réunion du Comité de direction</t>
        </is>
      </c>
      <c r="H3512" s="1" t="n">
        <v>41024</v>
      </c>
      <c r="I3512" s="1" t="n">
        <v>41025</v>
      </c>
      <c r="J3512" t="inlineStr">
        <is>
          <t>Moncton, New Brunswick</t>
        </is>
      </c>
      <c r="K3512" t="inlineStr">
        <is>
          <t>Moncton (Nouveau-Brunswick)</t>
        </is>
      </c>
      <c r="P3512" t="n">
        <v>0</v>
      </c>
      <c r="Q3512" t="n">
        <v>0</v>
      </c>
      <c r="R3512" t="n">
        <v>162.72</v>
      </c>
      <c r="S3512" t="n">
        <v>116.3</v>
      </c>
      <c r="T3512" t="n">
        <v>0</v>
      </c>
      <c r="U3512" t="n">
        <v>279.02</v>
      </c>
      <c r="X3512" t="inlineStr">
        <is>
          <t>acoa-apeca</t>
        </is>
      </c>
      <c r="Y3512" t="inlineStr">
        <is>
          <t>Atlantic Canada Opportunities Agency | Agence de promotion économique du Canada atlantique</t>
        </is>
      </c>
    </row>
    <row r="3513">
      <c r="A3513" t="inlineStr">
        <is>
          <t>T-2013-Q4-00054</t>
        </is>
      </c>
      <c r="B3513" t="inlineStr">
        <is>
          <t>SLE</t>
        </is>
      </c>
      <c r="C3513" t="inlineStr">
        <is>
          <t>Vice-President, Prince Edward Island</t>
        </is>
      </c>
      <c r="D3513" t="inlineStr">
        <is>
          <t>Vice-président, Île-du-Prince-Édouard</t>
        </is>
      </c>
      <c r="E3513" t="inlineStr">
        <is>
          <t>Patrick Dorsey</t>
        </is>
      </c>
      <c r="F3513" t="inlineStr">
        <is>
          <t>Meeting with ACOA Officials</t>
        </is>
      </c>
      <c r="G3513" t="inlineStr">
        <is>
          <t>Réunion avec des foncionnaires de l'APECA</t>
        </is>
      </c>
      <c r="H3513" s="1" t="n">
        <v>41325</v>
      </c>
      <c r="I3513" s="1" t="n">
        <v>41327</v>
      </c>
      <c r="J3513" t="inlineStr">
        <is>
          <t>Moncton, New Brunswick</t>
        </is>
      </c>
      <c r="K3513" t="inlineStr">
        <is>
          <t>Moncton (Nouveau-Brunswick)</t>
        </is>
      </c>
      <c r="P3513" t="n">
        <v>0</v>
      </c>
      <c r="Q3513" t="n">
        <v>73.88</v>
      </c>
      <c r="R3513" t="n">
        <v>302.84</v>
      </c>
      <c r="S3513" t="n">
        <v>180</v>
      </c>
      <c r="T3513" t="n">
        <v>0</v>
      </c>
      <c r="U3513" t="n">
        <v>556.72</v>
      </c>
      <c r="X3513" t="inlineStr">
        <is>
          <t>acoa-apeca</t>
        </is>
      </c>
      <c r="Y3513" t="inlineStr">
        <is>
          <t>Atlantic Canada Opportunities Agency | Agence de promotion économique du Canada atlantique</t>
        </is>
      </c>
    </row>
    <row r="3514">
      <c r="A3514" t="inlineStr">
        <is>
          <t>T-2013-Q4-00053</t>
        </is>
      </c>
      <c r="B3514" t="inlineStr">
        <is>
          <t>SLE</t>
        </is>
      </c>
      <c r="C3514" t="inlineStr">
        <is>
          <t>Vice-President, Newfoundland and Labrador</t>
        </is>
      </c>
      <c r="D3514" t="inlineStr">
        <is>
          <t>Vice-président, Terre-Neuve-et-Labrador</t>
        </is>
      </c>
      <c r="E3514" t="inlineStr">
        <is>
          <t>Paul Mills</t>
        </is>
      </c>
      <c r="F3514" t="inlineStr">
        <is>
          <t>Meeting with ACOA President and Vice-Presidents in Moncton, New Brunswick</t>
        </is>
      </c>
      <c r="G3514" t="inlineStr">
        <is>
          <t>Réunion avec le président et les vice-présidents de l'APECA à Moncton, au Nouveau-Brunswick</t>
        </is>
      </c>
      <c r="H3514" s="1" t="n">
        <v>41325</v>
      </c>
      <c r="I3514" s="1" t="n">
        <v>41328</v>
      </c>
      <c r="J3514" t="inlineStr">
        <is>
          <t>Moncton, New Brunswick</t>
        </is>
      </c>
      <c r="K3514" t="inlineStr">
        <is>
          <t>Moncton (Nouveau-Brunswick)</t>
        </is>
      </c>
      <c r="P3514" t="n">
        <v>1369.14</v>
      </c>
      <c r="Q3514" t="n">
        <v>368.81</v>
      </c>
      <c r="R3514" t="n">
        <v>401.92</v>
      </c>
      <c r="S3514" t="n">
        <v>269.6</v>
      </c>
      <c r="T3514" t="n">
        <v>28.27</v>
      </c>
      <c r="U3514" t="n">
        <v>2437.74</v>
      </c>
      <c r="X3514" t="inlineStr">
        <is>
          <t>acoa-apeca</t>
        </is>
      </c>
      <c r="Y3514" t="inlineStr">
        <is>
          <t>Atlantic Canada Opportunities Agency | Agence de promotion économique du Canada atlantique</t>
        </is>
      </c>
    </row>
    <row r="3515">
      <c r="A3515" t="inlineStr">
        <is>
          <t>T-2013-Q4-00051</t>
        </is>
      </c>
      <c r="B3515" t="inlineStr">
        <is>
          <t>SLE</t>
        </is>
      </c>
      <c r="C3515" t="inlineStr">
        <is>
          <t>Vice-President, Prince Edward Island</t>
        </is>
      </c>
      <c r="D3515" t="inlineStr">
        <is>
          <t>Vice-président, Île-du-Prince-Édouard</t>
        </is>
      </c>
      <c r="E3515" t="inlineStr">
        <is>
          <t>Patrick Dorsey</t>
        </is>
      </c>
      <c r="F3515" t="inlineStr">
        <is>
          <t>Meeting with Federal Tourism Strategy Steering Committee</t>
        </is>
      </c>
      <c r="G3515" t="inlineStr">
        <is>
          <t xml:space="preserve">Réunion avec le Comité directeur de la Stratégie fédérale en matière de tourisme </t>
        </is>
      </c>
      <c r="H3515" s="1" t="n">
        <v>41318</v>
      </c>
      <c r="I3515" s="1" t="n">
        <v>41320</v>
      </c>
      <c r="J3515" t="inlineStr">
        <is>
          <t>Ottawa, Ontario</t>
        </is>
      </c>
      <c r="K3515" t="inlineStr">
        <is>
          <t>Ottawa (Ontario)</t>
        </is>
      </c>
      <c r="P3515" t="n">
        <v>686</v>
      </c>
      <c r="Q3515" t="n">
        <v>116.5</v>
      </c>
      <c r="R3515" t="n">
        <v>354.82</v>
      </c>
      <c r="S3515" t="n">
        <v>210.5</v>
      </c>
      <c r="T3515" t="n">
        <v>0</v>
      </c>
      <c r="U3515" t="n">
        <v>1367.82</v>
      </c>
      <c r="X3515" t="inlineStr">
        <is>
          <t>acoa-apeca</t>
        </is>
      </c>
      <c r="Y3515" t="inlineStr">
        <is>
          <t>Atlantic Canada Opportunities Agency | Agence de promotion économique du Canada atlantique</t>
        </is>
      </c>
    </row>
    <row r="3516">
      <c r="A3516" t="inlineStr">
        <is>
          <t>T-2013-Q4-00050</t>
        </is>
      </c>
      <c r="B3516" t="inlineStr">
        <is>
          <t>SLE</t>
        </is>
      </c>
      <c r="C3516" t="inlineStr">
        <is>
          <t>President</t>
        </is>
      </c>
      <c r="D3516" t="inlineStr">
        <is>
          <t>Président</t>
        </is>
      </c>
      <c r="E3516" t="inlineStr">
        <is>
          <t>Paul J. LeBlanc</t>
        </is>
      </c>
      <c r="F3516" t="inlineStr">
        <is>
          <t>For various meetings and discussions with Agency officials; with Government of Canada officials.</t>
        </is>
      </c>
      <c r="G3516" t="inlineStr">
        <is>
          <t>Participation à diverses réunions et discussions avec des fonctionnaires de l'Agence et du gouvernement du Canada</t>
        </is>
      </c>
      <c r="H3516" s="1" t="n">
        <v>41317</v>
      </c>
      <c r="I3516" s="1" t="n">
        <v>41325</v>
      </c>
      <c r="J3516" t="inlineStr">
        <is>
          <t>Ottawa, Ontario</t>
        </is>
      </c>
      <c r="K3516" t="inlineStr">
        <is>
          <t>Ottawa (Ontario)</t>
        </is>
      </c>
      <c r="P3516" t="n">
        <v>747.9400000000001</v>
      </c>
      <c r="Q3516" t="n">
        <v>0</v>
      </c>
      <c r="R3516" t="n">
        <v>354.82</v>
      </c>
      <c r="S3516" t="n">
        <v>154.2</v>
      </c>
      <c r="T3516" t="n">
        <v>0</v>
      </c>
      <c r="U3516" t="n">
        <v>1256.96</v>
      </c>
      <c r="X3516" t="inlineStr">
        <is>
          <t>acoa-apeca</t>
        </is>
      </c>
      <c r="Y3516" t="inlineStr">
        <is>
          <t>Atlantic Canada Opportunities Agency | Agence de promotion économique du Canada atlantique</t>
        </is>
      </c>
    </row>
    <row r="3517">
      <c r="A3517" t="inlineStr">
        <is>
          <t>T-2013-Q4-00049</t>
        </is>
      </c>
      <c r="B3517" t="inlineStr">
        <is>
          <t>SLE</t>
        </is>
      </c>
      <c r="C3517" t="inlineStr">
        <is>
          <t>Vice-President, Newfoundland and Labrador</t>
        </is>
      </c>
      <c r="D3517" t="inlineStr">
        <is>
          <t>Vice-président, Terre-Neuve-et-Labrador</t>
        </is>
      </c>
      <c r="E3517" t="inlineStr">
        <is>
          <t>Paul Mills</t>
        </is>
      </c>
      <c r="F3517" t="inlineStr">
        <is>
          <t>Meetings in Ottawa, February 12-14, 2012</t>
        </is>
      </c>
      <c r="G3517" t="inlineStr">
        <is>
          <t>Réunions à Ottawa du 12 au 14 février 2012</t>
        </is>
      </c>
      <c r="H3517" s="1" t="n">
        <v>41317</v>
      </c>
      <c r="I3517" s="1" t="n">
        <v>41319</v>
      </c>
      <c r="J3517" t="inlineStr">
        <is>
          <t>Ottawa, Ontario</t>
        </is>
      </c>
      <c r="K3517" t="inlineStr">
        <is>
          <t>Ottawa (Ontario)</t>
        </is>
      </c>
      <c r="P3517" t="n">
        <v>1369.14</v>
      </c>
      <c r="Q3517" t="n">
        <v>142</v>
      </c>
      <c r="R3517" t="n">
        <v>374.73</v>
      </c>
      <c r="S3517" t="n">
        <v>210.5</v>
      </c>
      <c r="T3517" t="n">
        <v>9.33</v>
      </c>
      <c r="U3517" t="n">
        <v>2105.7</v>
      </c>
      <c r="X3517" t="inlineStr">
        <is>
          <t>acoa-apeca</t>
        </is>
      </c>
      <c r="Y3517" t="inlineStr">
        <is>
          <t>Atlantic Canada Opportunities Agency | Agence de promotion économique du Canada atlantique</t>
        </is>
      </c>
    </row>
    <row r="3518">
      <c r="A3518" t="inlineStr">
        <is>
          <t>T-2013-Q4-00047</t>
        </is>
      </c>
      <c r="B3518" t="inlineStr">
        <is>
          <t>SLE</t>
        </is>
      </c>
      <c r="C3518" t="inlineStr">
        <is>
          <t>Vice-President, Finance and Corporate Services</t>
        </is>
      </c>
      <c r="D3518" t="inlineStr">
        <is>
          <t>Vice-présidente, Finances et Services corporatifs</t>
        </is>
      </c>
      <c r="E3518" t="inlineStr">
        <is>
          <t>Denise Frenette</t>
        </is>
      </c>
      <c r="F3518" t="inlineStr">
        <is>
          <t>Meetings with Government of Canada Officials</t>
        </is>
      </c>
      <c r="G3518" t="inlineStr">
        <is>
          <t>Réunions avec des fonctionnaires du gouvernement du Canada</t>
        </is>
      </c>
      <c r="H3518" s="1" t="n">
        <v>41316</v>
      </c>
      <c r="I3518" s="1" t="n">
        <v>41345</v>
      </c>
      <c r="J3518" t="inlineStr">
        <is>
          <t>Ottawa, Ontario</t>
        </is>
      </c>
      <c r="K3518" t="inlineStr">
        <is>
          <t>Ottawa (Ontario)</t>
        </is>
      </c>
      <c r="P3518" t="n">
        <v>723.2</v>
      </c>
      <c r="Q3518" t="n">
        <v>61.5</v>
      </c>
      <c r="R3518" t="n">
        <v>177.41</v>
      </c>
      <c r="S3518" t="n">
        <v>90.90000000000001</v>
      </c>
      <c r="T3518" t="n">
        <v>0</v>
      </c>
      <c r="U3518" t="n">
        <v>1053.01</v>
      </c>
      <c r="X3518" t="inlineStr">
        <is>
          <t>acoa-apeca</t>
        </is>
      </c>
      <c r="Y3518" t="inlineStr">
        <is>
          <t>Atlantic Canada Opportunities Agency | Agence de promotion économique du Canada atlantique</t>
        </is>
      </c>
    </row>
    <row r="3519">
      <c r="A3519" t="inlineStr">
        <is>
          <t>T-2013-Q4-00045</t>
        </is>
      </c>
      <c r="B3519" t="inlineStr">
        <is>
          <t>SLE</t>
        </is>
      </c>
      <c r="C3519" t="inlineStr">
        <is>
          <t>Vice-President, Policy and Programs</t>
        </is>
      </c>
      <c r="D3519" t="inlineStr">
        <is>
          <t>Vice-président, Politiques et Programmes</t>
        </is>
      </c>
      <c r="E3519" t="inlineStr">
        <is>
          <t>Daryell Nowlan</t>
        </is>
      </c>
      <c r="F3519" t="inlineStr">
        <is>
          <t>Meetings with Government of Canada officials</t>
        </is>
      </c>
      <c r="G3519" t="inlineStr">
        <is>
          <t>Réunions avec des fonctionnaires du gouvernement du Canada</t>
        </is>
      </c>
      <c r="H3519" s="1" t="n">
        <v>41316</v>
      </c>
      <c r="I3519" s="1" t="n">
        <v>41318</v>
      </c>
      <c r="J3519" t="inlineStr">
        <is>
          <t>Ottawa, Ontario</t>
        </is>
      </c>
      <c r="K3519" t="inlineStr">
        <is>
          <t>Ottawa (Ontatio)</t>
        </is>
      </c>
      <c r="P3519" t="n">
        <v>899.5599999999999</v>
      </c>
      <c r="Q3519" t="n">
        <v>115</v>
      </c>
      <c r="R3519" t="n">
        <v>354.82</v>
      </c>
      <c r="S3519" t="n">
        <v>165</v>
      </c>
      <c r="T3519" t="n">
        <v>0</v>
      </c>
      <c r="U3519" t="n">
        <v>1534.38</v>
      </c>
      <c r="X3519" t="inlineStr">
        <is>
          <t>acoa-apeca</t>
        </is>
      </c>
      <c r="Y3519" t="inlineStr">
        <is>
          <t>Atlantic Canada Opportunities Agency | Agence de promotion économique du Canada atlantique</t>
        </is>
      </c>
    </row>
    <row r="3520">
      <c r="A3520" t="inlineStr">
        <is>
          <t>T-2013-Q4-00044</t>
        </is>
      </c>
      <c r="B3520" t="inlineStr">
        <is>
          <t>SLE</t>
        </is>
      </c>
      <c r="C3520" t="inlineStr">
        <is>
          <t>Vice-President, New Brunswick</t>
        </is>
      </c>
      <c r="D3520" t="inlineStr">
        <is>
          <t>Vice-présidente, Nouveau-Brunswick</t>
        </is>
      </c>
      <c r="E3520" t="inlineStr">
        <is>
          <t>Janet Gagnon</t>
        </is>
      </c>
      <c r="F3520" t="inlineStr">
        <is>
          <t>Meeting with the President</t>
        </is>
      </c>
      <c r="G3520" t="inlineStr">
        <is>
          <t>Réunion avec le président</t>
        </is>
      </c>
      <c r="H3520" s="1" t="n">
        <v>41313</v>
      </c>
      <c r="I3520" s="1" t="n">
        <v>41313</v>
      </c>
      <c r="J3520" t="inlineStr">
        <is>
          <t>Moncton, New Brunswick</t>
        </is>
      </c>
      <c r="K3520" t="inlineStr">
        <is>
          <t>Moncton (Nouveau-Brunswick)</t>
        </is>
      </c>
      <c r="P3520" t="n">
        <v>0</v>
      </c>
      <c r="Q3520" t="n">
        <v>0</v>
      </c>
      <c r="R3520" t="n">
        <v>0</v>
      </c>
      <c r="S3520" t="n">
        <v>15</v>
      </c>
      <c r="T3520" t="n">
        <v>7</v>
      </c>
      <c r="U3520" t="n">
        <v>22</v>
      </c>
      <c r="X3520" t="inlineStr">
        <is>
          <t>acoa-apeca</t>
        </is>
      </c>
      <c r="Y3520" t="inlineStr">
        <is>
          <t>Atlantic Canada Opportunities Agency | Agence de promotion économique du Canada atlantique</t>
        </is>
      </c>
    </row>
    <row r="3521">
      <c r="A3521" t="inlineStr">
        <is>
          <t>T-2013-Q4-00043</t>
        </is>
      </c>
      <c r="B3521" t="inlineStr">
        <is>
          <t>SLE</t>
        </is>
      </c>
      <c r="C3521" t="inlineStr">
        <is>
          <t>Vice-President, Finance and Corporate Services</t>
        </is>
      </c>
      <c r="D3521" t="inlineStr">
        <is>
          <t>Vice-présidente, Finances et Services corporatifs</t>
        </is>
      </c>
      <c r="E3521" t="inlineStr">
        <is>
          <t>Denise Frenette</t>
        </is>
      </c>
      <c r="F3521" t="inlineStr">
        <is>
          <t xml:space="preserve">Meetings with public sector officials </t>
        </is>
      </c>
      <c r="G3521" t="inlineStr">
        <is>
          <t>Réunions avec des fonctionnaires du secteur public</t>
        </is>
      </c>
      <c r="H3521" s="1" t="n">
        <v>41311</v>
      </c>
      <c r="I3521" s="1" t="n">
        <v>41340</v>
      </c>
      <c r="J3521" t="inlineStr">
        <is>
          <t>Ottawa, Ontario</t>
        </is>
      </c>
      <c r="K3521" t="inlineStr">
        <is>
          <t>Ottawa (Ontario)</t>
        </is>
      </c>
      <c r="P3521" t="n">
        <v>723.2</v>
      </c>
      <c r="Q3521" t="n">
        <v>158.55</v>
      </c>
      <c r="R3521" t="n">
        <v>177.41</v>
      </c>
      <c r="S3521" t="n">
        <v>75.90000000000001</v>
      </c>
      <c r="T3521" t="n">
        <v>0</v>
      </c>
      <c r="U3521" t="n">
        <v>1135.06</v>
      </c>
      <c r="X3521" t="inlineStr">
        <is>
          <t>acoa-apeca</t>
        </is>
      </c>
      <c r="Y3521" t="inlineStr">
        <is>
          <t>Atlantic Canada Opportunities Agency | Agence de promotion économique du Canada atlantique</t>
        </is>
      </c>
    </row>
    <row r="3522">
      <c r="A3522" t="inlineStr">
        <is>
          <t>T-2013-Q4-00042</t>
        </is>
      </c>
      <c r="B3522" t="inlineStr">
        <is>
          <t>SLE</t>
        </is>
      </c>
      <c r="C3522" t="inlineStr">
        <is>
          <t>President</t>
        </is>
      </c>
      <c r="D3522" t="inlineStr">
        <is>
          <t>Président</t>
        </is>
      </c>
      <c r="E3522" t="inlineStr">
        <is>
          <t>Paul J. LeBlanc</t>
        </is>
      </c>
      <c r="F3522" t="inlineStr">
        <is>
          <t>For various meetings and discussions with Agency officials; with Government of Canada officials</t>
        </is>
      </c>
      <c r="G3522" t="inlineStr">
        <is>
          <t>Participation à diverses réunions et discussions avec des fonctionnaires de l'Agence et du gouvernement du Canada</t>
        </is>
      </c>
      <c r="H3522" s="1" t="n">
        <v>41310</v>
      </c>
      <c r="I3522" s="1" t="n">
        <v>41312</v>
      </c>
      <c r="J3522" t="inlineStr">
        <is>
          <t>Ottawa, Ontario</t>
        </is>
      </c>
      <c r="K3522" t="inlineStr">
        <is>
          <t>Ottawa (Ontario)</t>
        </is>
      </c>
      <c r="P3522" t="n">
        <v>741.36</v>
      </c>
      <c r="Q3522" t="n">
        <v>0</v>
      </c>
      <c r="R3522" t="n">
        <v>354.82</v>
      </c>
      <c r="S3522" t="n">
        <v>180</v>
      </c>
      <c r="T3522" t="n">
        <v>0</v>
      </c>
      <c r="U3522" t="n">
        <v>1276.18</v>
      </c>
      <c r="X3522" t="inlineStr">
        <is>
          <t>acoa-apeca</t>
        </is>
      </c>
      <c r="Y3522" t="inlineStr">
        <is>
          <t>Atlantic Canada Opportunities Agency | Agence de promotion économique du Canada atlantique</t>
        </is>
      </c>
    </row>
    <row r="3523">
      <c r="A3523" t="inlineStr">
        <is>
          <t>T-2013-Q4-00041</t>
        </is>
      </c>
      <c r="B3523" t="inlineStr">
        <is>
          <t>SLE</t>
        </is>
      </c>
      <c r="C3523" t="inlineStr">
        <is>
          <t>Vice-President, Prince Edward Island</t>
        </is>
      </c>
      <c r="D3523" t="inlineStr">
        <is>
          <t>Vice-président, Île-du-Prince-Édouard</t>
        </is>
      </c>
      <c r="E3523" t="inlineStr">
        <is>
          <t>Patrick Dorsey</t>
        </is>
      </c>
      <c r="F3523" t="inlineStr">
        <is>
          <t>Training course by the Canada School of Public Service</t>
        </is>
      </c>
      <c r="G3523" t="inlineStr">
        <is>
          <t>Formation de l'École de la fonction publique du Canada</t>
        </is>
      </c>
      <c r="H3523" s="1" t="n">
        <v>41308</v>
      </c>
      <c r="I3523" s="1" t="n">
        <v>41312</v>
      </c>
      <c r="J3523" t="inlineStr">
        <is>
          <t>Montreal, Quebec</t>
        </is>
      </c>
      <c r="K3523" t="inlineStr">
        <is>
          <t>Montréal (Québec)</t>
        </is>
      </c>
      <c r="P3523" t="n">
        <v>622.71</v>
      </c>
      <c r="Q3523" t="n">
        <v>129</v>
      </c>
      <c r="R3523" t="n">
        <v>660.2</v>
      </c>
      <c r="S3523" t="n">
        <v>430</v>
      </c>
      <c r="T3523" t="n">
        <v>0</v>
      </c>
      <c r="U3523" t="n">
        <v>1841.91</v>
      </c>
      <c r="X3523" t="inlineStr">
        <is>
          <t>acoa-apeca</t>
        </is>
      </c>
      <c r="Y3523" t="inlineStr">
        <is>
          <t>Atlantic Canada Opportunities Agency | Agence de promotion économique du Canada atlantique</t>
        </is>
      </c>
    </row>
    <row r="3524">
      <c r="A3524" t="inlineStr">
        <is>
          <t>T-2013-Q4-00040</t>
        </is>
      </c>
      <c r="B3524" t="inlineStr">
        <is>
          <t>SLE</t>
        </is>
      </c>
      <c r="C3524" t="inlineStr">
        <is>
          <t>President</t>
        </is>
      </c>
      <c r="D3524" t="inlineStr">
        <is>
          <t>Président</t>
        </is>
      </c>
      <c r="E3524" t="inlineStr">
        <is>
          <t>Paul J. LeBlanc</t>
        </is>
      </c>
      <c r="F3524" t="inlineStr">
        <is>
          <t>For various meetings and discussions with: Agency officials; with Government of Canada officials</t>
        </is>
      </c>
      <c r="G3524" t="inlineStr">
        <is>
          <t>Diverses réunions et discussions avec des fonctionnaires de l'Agence et du gouvernement du Canada</t>
        </is>
      </c>
      <c r="H3524" s="1" t="n">
        <v>41302</v>
      </c>
      <c r="I3524" s="1" t="n">
        <v>41305</v>
      </c>
      <c r="J3524" t="inlineStr">
        <is>
          <t>Ottawa, Ontario</t>
        </is>
      </c>
      <c r="K3524" t="inlineStr">
        <is>
          <t>Ottawa (Ontario)</t>
        </is>
      </c>
      <c r="P3524" t="n">
        <v>1096.62</v>
      </c>
      <c r="Q3524" t="n">
        <v>13</v>
      </c>
      <c r="R3524" t="n">
        <v>532.23</v>
      </c>
      <c r="S3524" t="n">
        <v>254.1</v>
      </c>
      <c r="T3524" t="n">
        <v>48</v>
      </c>
      <c r="U3524" t="n">
        <v>1943.95</v>
      </c>
      <c r="X3524" t="inlineStr">
        <is>
          <t>acoa-apeca</t>
        </is>
      </c>
      <c r="Y3524" t="inlineStr">
        <is>
          <t>Atlantic Canada Opportunities Agency | Agence de promotion économique du Canada atlantique</t>
        </is>
      </c>
    </row>
    <row r="3525">
      <c r="A3525" t="inlineStr">
        <is>
          <t>T-2013-Q4-00039</t>
        </is>
      </c>
      <c r="B3525" t="inlineStr">
        <is>
          <t>SLE</t>
        </is>
      </c>
      <c r="C3525" t="inlineStr">
        <is>
          <t>President</t>
        </is>
      </c>
      <c r="D3525" t="inlineStr">
        <is>
          <t>Président</t>
        </is>
      </c>
      <c r="E3525" t="inlineStr">
        <is>
          <t>Paul J. LeBlanc</t>
        </is>
      </c>
      <c r="F3525" t="inlineStr">
        <is>
          <t>For meeting with a stakeholder from the transportation sector</t>
        </is>
      </c>
      <c r="G3525" t="inlineStr">
        <is>
          <t>Réunion avec des intervenants du secteur des transports</t>
        </is>
      </c>
      <c r="H3525" s="1" t="n">
        <v>41302</v>
      </c>
      <c r="I3525" s="1" t="n">
        <v>41302</v>
      </c>
      <c r="J3525" t="inlineStr">
        <is>
          <t>Miramichi, New Brunswick</t>
        </is>
      </c>
      <c r="K3525" t="inlineStr">
        <is>
          <t>Miramichi (Nouveau-Brunswick)</t>
        </is>
      </c>
      <c r="P3525" t="n">
        <v>0</v>
      </c>
      <c r="Q3525" t="n">
        <v>0</v>
      </c>
      <c r="R3525" t="n">
        <v>0</v>
      </c>
      <c r="S3525" t="n">
        <v>15</v>
      </c>
      <c r="T3525" t="n">
        <v>0</v>
      </c>
      <c r="U3525" t="n">
        <v>15</v>
      </c>
      <c r="X3525" t="inlineStr">
        <is>
          <t>acoa-apeca</t>
        </is>
      </c>
      <c r="Y3525" t="inlineStr">
        <is>
          <t>Atlantic Canada Opportunities Agency | Agence de promotion économique du Canada atlantique</t>
        </is>
      </c>
    </row>
    <row r="3526">
      <c r="A3526" t="inlineStr">
        <is>
          <t>T-2013-Q4-00030</t>
        </is>
      </c>
      <c r="B3526" t="inlineStr">
        <is>
          <t>SLE</t>
        </is>
      </c>
      <c r="C3526" t="inlineStr">
        <is>
          <t>Vice-President, New Brunswick</t>
        </is>
      </c>
      <c r="D3526" t="inlineStr">
        <is>
          <t>Vice-présidente, Nouveau-Brunswick</t>
        </is>
      </c>
      <c r="E3526" t="inlineStr">
        <is>
          <t>Janet Gagnon</t>
        </is>
      </c>
      <c r="F3526" t="inlineStr">
        <is>
          <t>Atlantic Federal Council Chairs meeting</t>
        </is>
      </c>
      <c r="G3526" t="inlineStr">
        <is>
          <t>Réunion des présidents des conseils fédéraux de l'Atlantique</t>
        </is>
      </c>
      <c r="H3526" s="1" t="n">
        <v>41289</v>
      </c>
      <c r="I3526" s="1" t="n">
        <v>41290</v>
      </c>
      <c r="J3526" t="inlineStr">
        <is>
          <t>Halifax, Nova Scotia</t>
        </is>
      </c>
      <c r="K3526" t="inlineStr">
        <is>
          <t>Halifax (Nouvelle-Écosse)</t>
        </is>
      </c>
      <c r="P3526" t="n">
        <v>346.76</v>
      </c>
      <c r="Q3526" t="n">
        <v>70</v>
      </c>
      <c r="R3526" t="n">
        <v>139.59</v>
      </c>
      <c r="S3526" t="n">
        <v>132.7</v>
      </c>
      <c r="T3526" t="n">
        <v>0</v>
      </c>
      <c r="U3526" t="n">
        <v>689.05</v>
      </c>
      <c r="X3526" t="inlineStr">
        <is>
          <t>acoa-apeca</t>
        </is>
      </c>
      <c r="Y3526" t="inlineStr">
        <is>
          <t>Atlantic Canada Opportunities Agency | Agence de promotion économique du Canada atlantique</t>
        </is>
      </c>
    </row>
    <row r="3527">
      <c r="A3527" t="inlineStr">
        <is>
          <t>T-2013-Q4-00038</t>
        </is>
      </c>
      <c r="B3527" t="inlineStr">
        <is>
          <t>MPSES</t>
        </is>
      </c>
      <c r="C3527" t="inlineStr">
        <is>
          <t>Executive Assistant and Press Secretary</t>
        </is>
      </c>
      <c r="D3527" t="inlineStr">
        <is>
          <t>Adjointe exécutive et attaché de presse</t>
        </is>
      </c>
      <c r="E3527" t="inlineStr">
        <is>
          <t>Andrea Richer</t>
        </is>
      </c>
      <c r="F3527" t="inlineStr">
        <is>
          <t>To accompany Minister of State to the Economic Roundtables, various meetings and event at Moncton University</t>
        </is>
      </c>
      <c r="G3527" t="inlineStr">
        <is>
          <t>Pour accompagner le ministre d'État aux tables rondes économiques, à diverses réunions et à une activité à l'Université de Moncton</t>
        </is>
      </c>
      <c r="H3527" s="1" t="n">
        <v>41298</v>
      </c>
      <c r="I3527" s="1" t="n">
        <v>41301</v>
      </c>
      <c r="J3527" t="inlineStr">
        <is>
          <t>Moncton, New-Brunswick</t>
        </is>
      </c>
      <c r="K3527" t="inlineStr">
        <is>
          <t>Moncton (Nouveau-Brunswick)</t>
        </is>
      </c>
      <c r="P3527" t="n">
        <v>609.24</v>
      </c>
      <c r="Q3527" t="n">
        <v>66.83</v>
      </c>
      <c r="R3527" t="n">
        <v>339</v>
      </c>
      <c r="S3527" t="n">
        <v>243.3</v>
      </c>
      <c r="T3527" t="n">
        <v>0</v>
      </c>
      <c r="U3527" t="n">
        <v>1258.37</v>
      </c>
      <c r="X3527" t="inlineStr">
        <is>
          <t>acoa-apeca</t>
        </is>
      </c>
      <c r="Y3527" t="inlineStr">
        <is>
          <t>Atlantic Canada Opportunities Agency | Agence de promotion économique du Canada atlantique</t>
        </is>
      </c>
    </row>
    <row r="3528">
      <c r="A3528" t="inlineStr">
        <is>
          <t>T-2013-Q4-00037</t>
        </is>
      </c>
      <c r="B3528" t="inlineStr">
        <is>
          <t>MPSES</t>
        </is>
      </c>
      <c r="C3528" t="inlineStr">
        <is>
          <t>Minister of State</t>
        </is>
      </c>
      <c r="D3528" t="inlineStr">
        <is>
          <t>Ministre d'État</t>
        </is>
      </c>
      <c r="E3528" t="inlineStr">
        <is>
          <t>Bernard Valcourt</t>
        </is>
      </c>
      <c r="F3528" t="inlineStr">
        <is>
          <t>Various meetings and speeches on behalf of the Government of Canada</t>
        </is>
      </c>
      <c r="G3528" t="inlineStr">
        <is>
          <t>Rencontres et allocutions diverses pour le gouvernement du Canada</t>
        </is>
      </c>
      <c r="H3528" s="1" t="n">
        <v>41297</v>
      </c>
      <c r="I3528" s="1" t="n">
        <v>41301</v>
      </c>
      <c r="J3528" t="inlineStr">
        <is>
          <t>Moncton, Miramichi, Negac, New Brunswick; London, Ontario</t>
        </is>
      </c>
      <c r="K3528" t="inlineStr">
        <is>
          <t>Moncton, Miramichi, Neguac (Nouveau-Brunswick); London (Ontario)</t>
        </is>
      </c>
      <c r="P3528" t="n">
        <v>1182.8</v>
      </c>
      <c r="Q3528" t="n">
        <v>20</v>
      </c>
      <c r="R3528" t="n">
        <v>339</v>
      </c>
      <c r="S3528" t="n">
        <v>243.3</v>
      </c>
      <c r="T3528" t="n">
        <v>0</v>
      </c>
      <c r="U3528" t="n">
        <v>1785.1</v>
      </c>
      <c r="X3528" t="inlineStr">
        <is>
          <t>acoa-apeca</t>
        </is>
      </c>
      <c r="Y3528" t="inlineStr">
        <is>
          <t>Atlantic Canada Opportunities Agency | Agence de promotion économique du Canada atlantique</t>
        </is>
      </c>
    </row>
    <row r="3529">
      <c r="A3529" t="inlineStr">
        <is>
          <t>T-2013-Q4-00035</t>
        </is>
      </c>
      <c r="B3529" t="inlineStr">
        <is>
          <t>SLE</t>
        </is>
      </c>
      <c r="C3529" t="inlineStr">
        <is>
          <t>Vice President, Nova Scotia</t>
        </is>
      </c>
      <c r="D3529" t="inlineStr">
        <is>
          <t>Vice-président, Nouvelle-Écosse</t>
        </is>
      </c>
      <c r="E3529" t="inlineStr">
        <is>
          <t>Peter Hogan</t>
        </is>
      </c>
      <c r="F3529" t="inlineStr">
        <is>
          <t>Various meetings with Agency and Government of Canada Officials</t>
        </is>
      </c>
      <c r="G3529" t="inlineStr">
        <is>
          <t>Diverses réunions avec des fonctionnaires de l'Agence et du gouvernement du Canada</t>
        </is>
      </c>
      <c r="H3529" s="1" t="n">
        <v>41296</v>
      </c>
      <c r="I3529" s="1" t="n">
        <v>41297</v>
      </c>
      <c r="J3529" t="inlineStr">
        <is>
          <t>Ottawa, Ontario</t>
        </is>
      </c>
      <c r="K3529" t="inlineStr">
        <is>
          <t>Ottawa (Ontario)</t>
        </is>
      </c>
      <c r="P3529" t="n">
        <v>319.03</v>
      </c>
      <c r="Q3529" t="n">
        <v>88.72</v>
      </c>
      <c r="R3529" t="n">
        <v>158.4</v>
      </c>
      <c r="S3529" t="n">
        <v>131.87</v>
      </c>
      <c r="T3529" t="n">
        <v>0</v>
      </c>
      <c r="U3529" t="n">
        <v>698.02</v>
      </c>
      <c r="X3529" t="inlineStr">
        <is>
          <t>acoa-apeca</t>
        </is>
      </c>
      <c r="Y3529" t="inlineStr">
        <is>
          <t>Atlantic Canada Opportunities Agency | Agence de promotion économique du Canada atlantique</t>
        </is>
      </c>
    </row>
    <row r="3530">
      <c r="A3530" t="inlineStr">
        <is>
          <t>T-2013-Q4-00034</t>
        </is>
      </c>
      <c r="B3530" t="inlineStr">
        <is>
          <t>SLE</t>
        </is>
      </c>
      <c r="C3530" t="inlineStr">
        <is>
          <t>President</t>
        </is>
      </c>
      <c r="D3530" t="inlineStr">
        <is>
          <t>Président</t>
        </is>
      </c>
      <c r="E3530" t="inlineStr">
        <is>
          <t>Paul J. LeBlanc</t>
        </is>
      </c>
      <c r="F3530" t="inlineStr">
        <is>
          <t>For various meetings and discussions with: Agency officials; with Government of Canada officials</t>
        </is>
      </c>
      <c r="G3530" t="inlineStr">
        <is>
          <t>Diverses réunions et discussions avec des fonctionnaires de l'Agence et du gouvernement du Canada</t>
        </is>
      </c>
      <c r="H3530" s="1" t="n">
        <v>41296</v>
      </c>
      <c r="I3530" s="1" t="n">
        <v>41298</v>
      </c>
      <c r="J3530" t="inlineStr">
        <is>
          <t>Ottawa, Ontario</t>
        </is>
      </c>
      <c r="K3530" t="inlineStr">
        <is>
          <t>Ottawa (Ontario)</t>
        </is>
      </c>
      <c r="P3530" t="n">
        <v>741.36</v>
      </c>
      <c r="Q3530" t="n">
        <v>0</v>
      </c>
      <c r="R3530" t="n">
        <v>354.82</v>
      </c>
      <c r="S3530" t="n">
        <v>195.5</v>
      </c>
      <c r="T3530" t="n">
        <v>170.5</v>
      </c>
      <c r="U3530" t="n">
        <v>1462.18</v>
      </c>
      <c r="X3530" t="inlineStr">
        <is>
          <t>acoa-apeca</t>
        </is>
      </c>
      <c r="Y3530" t="inlineStr">
        <is>
          <t>Atlantic Canada Opportunities Agency | Agence de promotion économique du Canada atlantique</t>
        </is>
      </c>
    </row>
    <row r="3531">
      <c r="A3531" t="inlineStr">
        <is>
          <t>T-2013-Q4-00033</t>
        </is>
      </c>
      <c r="B3531" t="inlineStr">
        <is>
          <t>SLE</t>
        </is>
      </c>
      <c r="C3531" t="inlineStr">
        <is>
          <t>Vice President, Nova Scotia</t>
        </is>
      </c>
      <c r="D3531" t="inlineStr">
        <is>
          <t>Vice-président, Nouvelle-Écosse</t>
        </is>
      </c>
      <c r="E3531" t="inlineStr">
        <is>
          <t>Peter Hogan</t>
        </is>
      </c>
      <c r="F3531" t="inlineStr">
        <is>
          <t xml:space="preserve">Meeting with Agency Officials </t>
        </is>
      </c>
      <c r="G3531" t="inlineStr">
        <is>
          <t>Réunion avec des fonctionnaires de l'Agence</t>
        </is>
      </c>
      <c r="H3531" s="1" t="n">
        <v>41290</v>
      </c>
      <c r="I3531" s="1" t="n">
        <v>41291</v>
      </c>
      <c r="J3531" t="inlineStr">
        <is>
          <t>Moncton, New Brunswick</t>
        </is>
      </c>
      <c r="K3531" t="inlineStr">
        <is>
          <t>Moncton (Nouveau-Brunswick)</t>
        </is>
      </c>
      <c r="P3531" t="n">
        <v>0</v>
      </c>
      <c r="Q3531" t="n">
        <v>12.87</v>
      </c>
      <c r="R3531" t="n">
        <v>100.89</v>
      </c>
      <c r="S3531" t="n">
        <v>81.59999999999999</v>
      </c>
      <c r="T3531" t="n">
        <v>0</v>
      </c>
      <c r="U3531" t="n">
        <v>195.36</v>
      </c>
      <c r="X3531" t="inlineStr">
        <is>
          <t>acoa-apeca</t>
        </is>
      </c>
      <c r="Y3531" t="inlineStr">
        <is>
          <t>Atlantic Canada Opportunities Agency | Agence de promotion économique du Canada atlantique</t>
        </is>
      </c>
    </row>
    <row r="3532">
      <c r="A3532" t="inlineStr">
        <is>
          <t>T-2013-Q4-00032</t>
        </is>
      </c>
      <c r="B3532" t="inlineStr">
        <is>
          <t>SLE</t>
        </is>
      </c>
      <c r="C3532" t="inlineStr">
        <is>
          <t>Vice-President, New Brunswick</t>
        </is>
      </c>
      <c r="D3532" t="inlineStr">
        <is>
          <t>Vice-présidente, Nouveau-Brunswick</t>
        </is>
      </c>
      <c r="E3532" t="inlineStr">
        <is>
          <t>Janet Gagnon</t>
        </is>
      </c>
      <c r="F3532" t="inlineStr">
        <is>
          <t>Executive Committee Meeting</t>
        </is>
      </c>
      <c r="G3532" t="inlineStr">
        <is>
          <t>Réunion du Comité de direction</t>
        </is>
      </c>
      <c r="H3532" s="1" t="n">
        <v>41290</v>
      </c>
      <c r="I3532" s="1" t="n">
        <v>41291</v>
      </c>
      <c r="J3532" t="inlineStr">
        <is>
          <t>Moncton, New Brunswick</t>
        </is>
      </c>
      <c r="K3532" t="inlineStr">
        <is>
          <t>Moncton (Nouveau-Brunswick)</t>
        </is>
      </c>
      <c r="P3532" t="n">
        <v>0</v>
      </c>
      <c r="Q3532" t="n">
        <v>0</v>
      </c>
      <c r="R3532" t="n">
        <v>157.07</v>
      </c>
      <c r="S3532" t="n">
        <v>17.3</v>
      </c>
      <c r="T3532" t="n">
        <v>2</v>
      </c>
      <c r="U3532" t="n">
        <v>176.37</v>
      </c>
      <c r="X3532" t="inlineStr">
        <is>
          <t>acoa-apeca</t>
        </is>
      </c>
      <c r="Y3532" t="inlineStr">
        <is>
          <t>Atlantic Canada Opportunities Agency | Agence de promotion économique du Canada atlantique</t>
        </is>
      </c>
    </row>
    <row r="3533">
      <c r="A3533" t="inlineStr">
        <is>
          <t>T-2013-Q4-00031</t>
        </is>
      </c>
      <c r="B3533" t="inlineStr">
        <is>
          <t>SLE</t>
        </is>
      </c>
      <c r="C3533" t="inlineStr">
        <is>
          <t>Vice-President, Newfoundland and Labrador</t>
        </is>
      </c>
      <c r="D3533" t="inlineStr">
        <is>
          <t>Vice-président, Terre-Neuve-et-Labrador</t>
        </is>
      </c>
      <c r="E3533" t="inlineStr">
        <is>
          <t>Paul Mills</t>
        </is>
      </c>
      <c r="F3533" t="inlineStr">
        <is>
          <t xml:space="preserve">Travel to Moncton, New Brunswick for Executive Committee meeting </t>
        </is>
      </c>
      <c r="G3533" t="inlineStr">
        <is>
          <t>Voyage à Moncton, au Nouveau-Brunswick, pour participer à la réunion du Comité de direction</t>
        </is>
      </c>
      <c r="H3533" s="1" t="n">
        <v>41289</v>
      </c>
      <c r="I3533" s="1" t="n">
        <v>41292</v>
      </c>
      <c r="J3533" t="inlineStr">
        <is>
          <t>Moncton, New Brunswick</t>
        </is>
      </c>
      <c r="K3533" t="inlineStr">
        <is>
          <t>Moncton (Nouveau-Brunswick)</t>
        </is>
      </c>
      <c r="P3533" t="n">
        <v>1368.2</v>
      </c>
      <c r="Q3533" t="n">
        <v>397.79</v>
      </c>
      <c r="R3533" t="n">
        <v>368.72</v>
      </c>
      <c r="S3533" t="n">
        <v>254.6</v>
      </c>
      <c r="T3533" t="n">
        <v>8.93</v>
      </c>
      <c r="U3533" t="n">
        <v>2398.24</v>
      </c>
      <c r="X3533" t="inlineStr">
        <is>
          <t>acoa-apeca</t>
        </is>
      </c>
      <c r="Y3533" t="inlineStr">
        <is>
          <t>Atlantic Canada Opportunities Agency | Agence de promotion économique du Canada atlantique</t>
        </is>
      </c>
    </row>
    <row r="3534">
      <c r="A3534" t="inlineStr">
        <is>
          <t>T-2013-Q4-00006</t>
        </is>
      </c>
      <c r="B3534" t="inlineStr">
        <is>
          <t>SLE</t>
        </is>
      </c>
      <c r="C3534" t="inlineStr">
        <is>
          <t>Vice-President, New Brunswick</t>
        </is>
      </c>
      <c r="D3534" t="inlineStr">
        <is>
          <t>Vice-présidente, Nouveau-Brunswick</t>
        </is>
      </c>
      <c r="E3534" t="inlineStr">
        <is>
          <t>Janet Gagnon</t>
        </is>
      </c>
      <c r="F3534" t="inlineStr">
        <is>
          <t>Meeting with Manager of Fundy District Office</t>
        </is>
      </c>
      <c r="G3534" t="inlineStr">
        <is>
          <t>Réunion avec le gestionnaire du bureau du district de Fundy</t>
        </is>
      </c>
      <c r="H3534" s="1" t="n">
        <v>41249</v>
      </c>
      <c r="I3534" s="1" t="n">
        <v>41249</v>
      </c>
      <c r="J3534" t="inlineStr">
        <is>
          <t>Saint John, New Brunswick</t>
        </is>
      </c>
      <c r="K3534" t="inlineStr">
        <is>
          <t>Saint John (Nouveau-Brunswick)</t>
        </is>
      </c>
      <c r="P3534" t="n">
        <v>0</v>
      </c>
      <c r="Q3534" t="n">
        <v>0</v>
      </c>
      <c r="R3534" t="n">
        <v>0</v>
      </c>
      <c r="S3534" t="n">
        <v>15</v>
      </c>
      <c r="T3534" t="n">
        <v>0</v>
      </c>
      <c r="U3534" t="n">
        <v>15</v>
      </c>
      <c r="X3534" t="inlineStr">
        <is>
          <t>acoa-apeca</t>
        </is>
      </c>
      <c r="Y3534" t="inlineStr">
        <is>
          <t>Atlantic Canada Opportunities Agency | Agence de promotion économique du Canada atlantique</t>
        </is>
      </c>
    </row>
    <row r="3535">
      <c r="A3535" t="inlineStr">
        <is>
          <t>T-2013-Q4-00029</t>
        </is>
      </c>
      <c r="B3535" t="inlineStr">
        <is>
          <t>SLE</t>
        </is>
      </c>
      <c r="C3535" t="inlineStr">
        <is>
          <t>Vice-President, Prince Edward Island</t>
        </is>
      </c>
      <c r="D3535" t="inlineStr">
        <is>
          <t>Vice-président, Île-du-Prince-Édouard</t>
        </is>
      </c>
      <c r="E3535" t="inlineStr">
        <is>
          <t>Patrick Dorsey</t>
        </is>
      </c>
      <c r="F3535" t="inlineStr">
        <is>
          <t xml:space="preserve">Meetings with Atlantic Chairs and ACOA Officials </t>
        </is>
      </c>
      <c r="G3535" t="inlineStr">
        <is>
          <t>Réunions avec des présidents de l'Atlantique et avec des fonctionnaires de l'APECA</t>
        </is>
      </c>
      <c r="H3535" s="1" t="n">
        <v>41289</v>
      </c>
      <c r="I3535" s="1" t="n">
        <v>41291</v>
      </c>
      <c r="J3535" t="inlineStr">
        <is>
          <t>Halifax, Nova Scotia</t>
        </is>
      </c>
      <c r="K3535" t="inlineStr">
        <is>
          <t>Halifax (Nouvelle-Écosse)</t>
        </is>
      </c>
      <c r="P3535" t="n">
        <v>0</v>
      </c>
      <c r="Q3535" t="n">
        <v>95.44</v>
      </c>
      <c r="R3535" t="n">
        <v>247.9</v>
      </c>
      <c r="S3535" t="n">
        <v>165.5</v>
      </c>
      <c r="T3535" t="n">
        <v>0</v>
      </c>
      <c r="U3535" t="n">
        <v>508.84</v>
      </c>
      <c r="X3535" t="inlineStr">
        <is>
          <t>acoa-apeca</t>
        </is>
      </c>
      <c r="Y3535" t="inlineStr">
        <is>
          <t>Atlantic Canada Opportunities Agency | Agence de promotion économique du Canada atlantique</t>
        </is>
      </c>
    </row>
    <row r="3536">
      <c r="A3536" t="inlineStr">
        <is>
          <t>T-2013-Q4-00027</t>
        </is>
      </c>
      <c r="B3536" t="inlineStr">
        <is>
          <t>SLE</t>
        </is>
      </c>
      <c r="C3536" t="inlineStr">
        <is>
          <t>Vice-President, Finance and Corporate Services</t>
        </is>
      </c>
      <c r="D3536" t="inlineStr">
        <is>
          <t>Vice-présidente, Finances et Services corporatifs</t>
        </is>
      </c>
      <c r="E3536" t="inlineStr">
        <is>
          <t>Denise Frenette</t>
        </is>
      </c>
      <c r="F3536" t="inlineStr">
        <is>
          <t xml:space="preserve">Meetings with Agency Officials </t>
        </is>
      </c>
      <c r="G3536" t="inlineStr">
        <is>
          <t>Réunions avec des fonctionnaires de l'Agence</t>
        </is>
      </c>
      <c r="H3536" s="1" t="n">
        <v>41287</v>
      </c>
      <c r="I3536" s="1" t="n">
        <v>41289</v>
      </c>
      <c r="J3536" t="inlineStr">
        <is>
          <t>Ottawa, Ontario</t>
        </is>
      </c>
      <c r="K3536" t="inlineStr">
        <is>
          <t>Ottawa (Ontario)</t>
        </is>
      </c>
      <c r="P3536" t="n">
        <v>723.22</v>
      </c>
      <c r="Q3536" t="n">
        <v>76</v>
      </c>
      <c r="R3536" t="n">
        <v>354.82</v>
      </c>
      <c r="S3536" t="n">
        <v>108.2</v>
      </c>
      <c r="T3536" t="n">
        <v>0</v>
      </c>
      <c r="U3536" t="n">
        <v>1262.24</v>
      </c>
      <c r="X3536" t="inlineStr">
        <is>
          <t>acoa-apeca</t>
        </is>
      </c>
      <c r="Y3536" t="inlineStr">
        <is>
          <t>Atlantic Canada Opportunities Agency | Agence de promotion économique du Canada atlantique</t>
        </is>
      </c>
    </row>
    <row r="3537">
      <c r="A3537" t="inlineStr">
        <is>
          <t>T-2013-Q4-00026</t>
        </is>
      </c>
      <c r="B3537" t="inlineStr">
        <is>
          <t>SLE</t>
        </is>
      </c>
      <c r="C3537" t="inlineStr">
        <is>
          <t>Vice-President, Policy and Programs</t>
        </is>
      </c>
      <c r="D3537" t="inlineStr">
        <is>
          <t>Vice-président, Politiques et Programmes</t>
        </is>
      </c>
      <c r="E3537" t="inlineStr">
        <is>
          <t>Daryell Nowlan</t>
        </is>
      </c>
      <c r="F3537" t="inlineStr">
        <is>
          <t>Meetings with Government of Canada officials</t>
        </is>
      </c>
      <c r="G3537" t="inlineStr">
        <is>
          <t>Réunions avec des fonctionnaires du gouvernement du Canada</t>
        </is>
      </c>
      <c r="H3537" s="1" t="n">
        <v>41287</v>
      </c>
      <c r="I3537" s="1" t="n">
        <v>41289</v>
      </c>
      <c r="J3537" t="inlineStr">
        <is>
          <t>Ottawa, Ontario; Halifax, Nova Scotia</t>
        </is>
      </c>
      <c r="K3537" t="inlineStr">
        <is>
          <t>Ottawa (Ontario); Halifax (Nouvelle-Écosse)</t>
        </is>
      </c>
      <c r="P3537" t="n">
        <v>1349.35</v>
      </c>
      <c r="Q3537" t="n">
        <v>195</v>
      </c>
      <c r="R3537" t="n">
        <v>317</v>
      </c>
      <c r="S3537" t="n">
        <v>133.6</v>
      </c>
      <c r="T3537" t="n">
        <v>0</v>
      </c>
      <c r="U3537" t="n">
        <v>1994.95</v>
      </c>
      <c r="X3537" t="inlineStr">
        <is>
          <t>acoa-apeca</t>
        </is>
      </c>
      <c r="Y3537" t="inlineStr">
        <is>
          <t>Atlantic Canada Opportunities Agency | Agence de promotion économique du Canada atlantique</t>
        </is>
      </c>
    </row>
    <row r="3538">
      <c r="A3538" t="inlineStr">
        <is>
          <t>T-2013-Q4-00025</t>
        </is>
      </c>
      <c r="B3538" t="inlineStr">
        <is>
          <t>SLE</t>
        </is>
      </c>
      <c r="C3538" t="inlineStr">
        <is>
          <t>Vice-President, New Brunswick</t>
        </is>
      </c>
      <c r="D3538" t="inlineStr">
        <is>
          <t>Vice-présidente, Nouveau-Brunswick</t>
        </is>
      </c>
      <c r="E3538" t="inlineStr">
        <is>
          <t>Janet Gagnon</t>
        </is>
      </c>
      <c r="F3538" t="inlineStr">
        <is>
          <t>Public Service Management Advisory Committee (PSMAC) Presentation</t>
        </is>
      </c>
      <c r="G3538" t="inlineStr">
        <is>
          <t>Exposé du Comité consultatif sur la gestion de la fonction publique (CCGFP)</t>
        </is>
      </c>
      <c r="H3538" s="1" t="n">
        <v>41284</v>
      </c>
      <c r="I3538" s="1" t="n">
        <v>41285</v>
      </c>
      <c r="J3538" t="inlineStr">
        <is>
          <t>Ottawa, Ontario</t>
        </is>
      </c>
      <c r="K3538" t="inlineStr">
        <is>
          <t>Ottawa (Ontario)</t>
        </is>
      </c>
      <c r="P3538" t="n">
        <v>459.86</v>
      </c>
      <c r="Q3538" t="n">
        <v>97</v>
      </c>
      <c r="R3538" t="n">
        <v>177.41</v>
      </c>
      <c r="S3538" t="n">
        <v>130.4</v>
      </c>
      <c r="T3538" t="n">
        <v>0</v>
      </c>
      <c r="U3538" t="n">
        <v>864.67</v>
      </c>
      <c r="X3538" t="inlineStr">
        <is>
          <t>acoa-apeca</t>
        </is>
      </c>
      <c r="Y3538" t="inlineStr">
        <is>
          <t>Atlantic Canada Opportunities Agency | Agence de promotion économique du Canada atlantique</t>
        </is>
      </c>
    </row>
    <row r="3539">
      <c r="A3539" t="inlineStr">
        <is>
          <t>T-2013-Q4-00023</t>
        </is>
      </c>
      <c r="B3539" t="inlineStr">
        <is>
          <t>SLE</t>
        </is>
      </c>
      <c r="C3539" t="inlineStr">
        <is>
          <t>Vice-President, Prince Edward Island</t>
        </is>
      </c>
      <c r="D3539" t="inlineStr">
        <is>
          <t>Vice-président, Île-du-Prince-Édouard</t>
        </is>
      </c>
      <c r="E3539" t="inlineStr">
        <is>
          <t>Patrick Dorsey</t>
        </is>
      </c>
      <c r="F3539" t="inlineStr">
        <is>
          <t xml:space="preserve">Meetings with ACOA Officials </t>
        </is>
      </c>
      <c r="G3539" t="inlineStr">
        <is>
          <t>Réunions avec des fonctionnaires de l'APECA</t>
        </is>
      </c>
      <c r="H3539" s="1" t="n">
        <v>41283</v>
      </c>
      <c r="I3539" s="1" t="n">
        <v>41284</v>
      </c>
      <c r="J3539" t="inlineStr">
        <is>
          <t>Moncton, New Brunswick</t>
        </is>
      </c>
      <c r="K3539" t="inlineStr">
        <is>
          <t>Moncton (Nouveau-Brunswick)</t>
        </is>
      </c>
      <c r="P3539" t="n">
        <v>0</v>
      </c>
      <c r="Q3539" t="n">
        <v>58.88</v>
      </c>
      <c r="R3539" t="n">
        <v>113</v>
      </c>
      <c r="S3539" t="n">
        <v>75.90000000000001</v>
      </c>
      <c r="T3539" t="n">
        <v>0</v>
      </c>
      <c r="U3539" t="n">
        <v>247.78</v>
      </c>
      <c r="X3539" t="inlineStr">
        <is>
          <t>acoa-apeca</t>
        </is>
      </c>
      <c r="Y3539" t="inlineStr">
        <is>
          <t>Atlantic Canada Opportunities Agency | Agence de promotion économique du Canada atlantique</t>
        </is>
      </c>
    </row>
    <row r="3540">
      <c r="A3540" t="inlineStr">
        <is>
          <t>T-2013-Q4-00022</t>
        </is>
      </c>
      <c r="B3540" t="inlineStr">
        <is>
          <t>MPSES</t>
        </is>
      </c>
      <c r="C3540" t="inlineStr">
        <is>
          <t>Special Assistant</t>
        </is>
      </c>
      <c r="D3540" t="inlineStr">
        <is>
          <t>Adjointe spéciale</t>
        </is>
      </c>
      <c r="E3540" t="inlineStr">
        <is>
          <t>Melanie Book</t>
        </is>
      </c>
      <c r="F3540" t="inlineStr">
        <is>
          <t>To attend various Atlantic Canada Opportunities Agency meetings</t>
        </is>
      </c>
      <c r="G3540" t="inlineStr">
        <is>
          <t>Pour participer à diverses réunions de l'Agence de promotion économique du Canada atlantique</t>
        </is>
      </c>
      <c r="H3540" s="1" t="n">
        <v>41277</v>
      </c>
      <c r="I3540" s="1" t="n">
        <v>41279</v>
      </c>
      <c r="J3540" t="inlineStr">
        <is>
          <t>Halifax, Nova Scotia</t>
        </is>
      </c>
      <c r="K3540" t="inlineStr">
        <is>
          <t>Halifax (Nouvelle-Écosse)</t>
        </is>
      </c>
      <c r="P3540" t="n">
        <v>72.83</v>
      </c>
      <c r="Q3540" t="n">
        <v>0</v>
      </c>
      <c r="R3540" t="n">
        <v>100</v>
      </c>
      <c r="S3540" t="n">
        <v>34.6</v>
      </c>
      <c r="T3540" t="n">
        <v>0</v>
      </c>
      <c r="U3540" t="n">
        <v>207.43</v>
      </c>
      <c r="X3540" t="inlineStr">
        <is>
          <t>acoa-apeca</t>
        </is>
      </c>
      <c r="Y3540" t="inlineStr">
        <is>
          <t>Atlantic Canada Opportunities Agency | Agence de promotion économique du Canada atlantique</t>
        </is>
      </c>
    </row>
    <row r="3541">
      <c r="A3541" t="inlineStr">
        <is>
          <t>T-2013-Q4-00021</t>
        </is>
      </c>
      <c r="B3541" t="inlineStr">
        <is>
          <t>SLE</t>
        </is>
      </c>
      <c r="C3541" t="inlineStr">
        <is>
          <t>Vice-President, Finance and Corporate Services</t>
        </is>
      </c>
      <c r="D3541" t="inlineStr">
        <is>
          <t>Vice-présidente, Finances et Services corporatifs</t>
        </is>
      </c>
      <c r="E3541" t="inlineStr">
        <is>
          <t>Denise Frenette</t>
        </is>
      </c>
      <c r="F3541" t="inlineStr">
        <is>
          <t xml:space="preserve">Meetings with Government of Canada Officials and Agency Officials </t>
        </is>
      </c>
      <c r="G3541" t="inlineStr">
        <is>
          <t>Réunions avec des fonctionnaires du gouvernement du Canada et de l'Agence</t>
        </is>
      </c>
      <c r="H3541" s="1" t="n">
        <v>41276</v>
      </c>
      <c r="I3541" s="1" t="n">
        <v>41277</v>
      </c>
      <c r="J3541" t="inlineStr">
        <is>
          <t>Ottawa, Ontario</t>
        </is>
      </c>
      <c r="K3541" t="inlineStr">
        <is>
          <t>Ottawa (Ontario)</t>
        </is>
      </c>
      <c r="P3541" t="n">
        <v>723.22</v>
      </c>
      <c r="Q3541" t="n">
        <v>152</v>
      </c>
      <c r="R3541" t="n">
        <v>177.41</v>
      </c>
      <c r="S3541" t="n">
        <v>106.4</v>
      </c>
      <c r="T3541" t="n">
        <v>2.12</v>
      </c>
      <c r="U3541" t="n">
        <v>1161.15</v>
      </c>
      <c r="X3541" t="inlineStr">
        <is>
          <t>acoa-apeca</t>
        </is>
      </c>
      <c r="Y3541" t="inlineStr">
        <is>
          <t>Atlantic Canada Opportunities Agency | Agence de promotion économique du Canada atlantique</t>
        </is>
      </c>
    </row>
    <row r="3542">
      <c r="A3542" t="inlineStr">
        <is>
          <t>T-2013-Q4-00010</t>
        </is>
      </c>
      <c r="B3542" t="inlineStr">
        <is>
          <t>SLE</t>
        </is>
      </c>
      <c r="C3542" t="inlineStr">
        <is>
          <t>Vice-President, New Brunswick</t>
        </is>
      </c>
      <c r="D3542" t="inlineStr">
        <is>
          <t>Vice-présidente, Nouveau-Brunswick</t>
        </is>
      </c>
      <c r="E3542" t="inlineStr">
        <is>
          <t>Janet Gagnon</t>
        </is>
      </c>
      <c r="F3542" t="inlineStr">
        <is>
          <t>New Brunswick Federal Council quarterly meeting</t>
        </is>
      </c>
      <c r="G3542" t="inlineStr">
        <is>
          <t xml:space="preserve">Réunion trimestrielle du Conseil fédéral du Nouveau-Brunswick </t>
        </is>
      </c>
      <c r="H3542" s="1" t="n">
        <v>41254</v>
      </c>
      <c r="I3542" s="1" t="n">
        <v>41256</v>
      </c>
      <c r="J3542" t="inlineStr">
        <is>
          <t>Miramichi, New Brunswick</t>
        </is>
      </c>
      <c r="K3542" t="inlineStr">
        <is>
          <t>Miramichi (Nouveau-Brunswick)</t>
        </is>
      </c>
      <c r="P3542" t="n">
        <v>0</v>
      </c>
      <c r="Q3542" t="n">
        <v>0</v>
      </c>
      <c r="R3542" t="n">
        <v>228.22</v>
      </c>
      <c r="S3542" t="n">
        <v>180.5</v>
      </c>
      <c r="T3542" t="n">
        <v>0</v>
      </c>
      <c r="U3542" t="n">
        <v>408.72</v>
      </c>
      <c r="X3542" t="inlineStr">
        <is>
          <t>acoa-apeca</t>
        </is>
      </c>
      <c r="Y3542" t="inlineStr">
        <is>
          <t>Atlantic Canada Opportunities Agency | Agence de promotion économique du Canada atlantique</t>
        </is>
      </c>
    </row>
    <row r="3543">
      <c r="A3543" t="inlineStr">
        <is>
          <t>T-2013-Q4-00020</t>
        </is>
      </c>
      <c r="B3543" t="inlineStr">
        <is>
          <t>SLE</t>
        </is>
      </c>
      <c r="C3543" t="inlineStr">
        <is>
          <t>Vice-President, Newfoundland and Labrador</t>
        </is>
      </c>
      <c r="D3543" t="inlineStr">
        <is>
          <t>Vice-président, Terre-Neuve-et-Labrador</t>
        </is>
      </c>
      <c r="E3543" t="inlineStr">
        <is>
          <t>Paul Mills</t>
        </is>
      </c>
      <c r="F3543" t="inlineStr">
        <is>
          <t>Mileage for January to March 2013 to travel to meetings outside the St. John's area</t>
        </is>
      </c>
      <c r="G3543" t="inlineStr">
        <is>
          <t>Kilométrage pour les mois de janvier, février et mars 2013 pour participer à des réunions à l'extérieur de la région de St. John's</t>
        </is>
      </c>
      <c r="H3543" s="1" t="n">
        <v>41275</v>
      </c>
      <c r="I3543" s="1" t="n">
        <v>41364</v>
      </c>
      <c r="J3543" t="inlineStr">
        <is>
          <t>St. John's, Newfoundland</t>
        </is>
      </c>
      <c r="K3543" t="inlineStr">
        <is>
          <t>St. John's (Terre-Neuve-et-Labrador)</t>
        </is>
      </c>
      <c r="P3543" t="n">
        <v>0</v>
      </c>
      <c r="Q3543" t="n">
        <v>0</v>
      </c>
      <c r="R3543" t="n">
        <v>0</v>
      </c>
      <c r="S3543" t="n">
        <v>0</v>
      </c>
      <c r="T3543" t="n">
        <v>15.9</v>
      </c>
      <c r="U3543" t="n">
        <v>15.9</v>
      </c>
      <c r="X3543" t="inlineStr">
        <is>
          <t>acoa-apeca</t>
        </is>
      </c>
      <c r="Y3543" t="inlineStr">
        <is>
          <t>Atlantic Canada Opportunities Agency | Agence de promotion économique du Canada atlantique</t>
        </is>
      </c>
    </row>
    <row r="3544">
      <c r="A3544" t="inlineStr">
        <is>
          <t>T-2013-Q4-00019</t>
        </is>
      </c>
      <c r="B3544" t="inlineStr">
        <is>
          <t>SLE</t>
        </is>
      </c>
      <c r="C3544" t="inlineStr">
        <is>
          <t>Vice President, Nova Scotia</t>
        </is>
      </c>
      <c r="D3544" t="inlineStr">
        <is>
          <t>Vice-président, Nouvelle-Écosse</t>
        </is>
      </c>
      <c r="E3544" t="inlineStr">
        <is>
          <t>Peter Hogan</t>
        </is>
      </c>
      <c r="F3544" t="inlineStr">
        <is>
          <t xml:space="preserve">Meetings with Senior Agency Officials </t>
        </is>
      </c>
      <c r="G3544" t="inlineStr">
        <is>
          <t>Réunions avec des hauts fonctionnaires de l'Agence</t>
        </is>
      </c>
      <c r="H3544" s="1" t="n">
        <v>41261</v>
      </c>
      <c r="I3544" s="1" t="n">
        <v>41263</v>
      </c>
      <c r="J3544" t="inlineStr">
        <is>
          <t>Moncton, New Brunswick</t>
        </is>
      </c>
      <c r="K3544" t="inlineStr">
        <is>
          <t>Moncton (Nouveau-Brunswick)</t>
        </is>
      </c>
      <c r="P3544" t="n">
        <v>0</v>
      </c>
      <c r="Q3544" t="n">
        <v>23.71</v>
      </c>
      <c r="R3544" t="n">
        <v>201.78</v>
      </c>
      <c r="S3544" t="n">
        <v>147.77</v>
      </c>
      <c r="T3544" t="n">
        <v>0</v>
      </c>
      <c r="U3544" t="n">
        <v>373.26</v>
      </c>
      <c r="X3544" t="inlineStr">
        <is>
          <t>acoa-apeca</t>
        </is>
      </c>
      <c r="Y3544" t="inlineStr">
        <is>
          <t>Atlantic Canada Opportunities Agency | Agence de promotion économique du Canada atlantique</t>
        </is>
      </c>
    </row>
    <row r="3545">
      <c r="A3545" t="inlineStr">
        <is>
          <t>T-2013-Q4-00018</t>
        </is>
      </c>
      <c r="B3545" t="inlineStr">
        <is>
          <t>SLE</t>
        </is>
      </c>
      <c r="C3545" t="inlineStr">
        <is>
          <t>Vice-President, Newfoundland and Labrador</t>
        </is>
      </c>
      <c r="D3545" t="inlineStr">
        <is>
          <t>Vice-président, Terre-Neuve-et-Labrador</t>
        </is>
      </c>
      <c r="E3545" t="inlineStr">
        <is>
          <t>Paul Mills</t>
        </is>
      </c>
      <c r="F3545" t="inlineStr">
        <is>
          <t>Meeting with President of ACOA and Executive Committee Meetings December 18-21, 2012</t>
        </is>
      </c>
      <c r="G3545" t="inlineStr">
        <is>
          <t>Réunion avec le président de l'APECA et réunions du Comité de direction du 18 au 21 décembre 2012</t>
        </is>
      </c>
      <c r="H3545" s="1" t="n">
        <v>41261</v>
      </c>
      <c r="I3545" s="1" t="n">
        <v>41264</v>
      </c>
      <c r="J3545" t="inlineStr">
        <is>
          <t>Moncton, New Brunswick</t>
        </is>
      </c>
      <c r="K3545" t="inlineStr">
        <is>
          <t>Moncton (Nouveau-Brunswick)</t>
        </is>
      </c>
      <c r="P3545" t="n">
        <v>1369.2</v>
      </c>
      <c r="Q3545" t="n">
        <v>247.8</v>
      </c>
      <c r="R3545" t="n">
        <v>393.86</v>
      </c>
      <c r="S3545" t="n">
        <v>269.6</v>
      </c>
      <c r="T3545" t="n">
        <v>41.09</v>
      </c>
      <c r="U3545" t="n">
        <v>2321.55</v>
      </c>
      <c r="X3545" t="inlineStr">
        <is>
          <t>acoa-apeca</t>
        </is>
      </c>
      <c r="Y3545" t="inlineStr">
        <is>
          <t>Atlantic Canada Opportunities Agency | Agence de promotion économique du Canada atlantique</t>
        </is>
      </c>
    </row>
    <row r="3546">
      <c r="A3546" t="inlineStr">
        <is>
          <t>T-2013-Q4-00016</t>
        </is>
      </c>
      <c r="B3546" t="inlineStr">
        <is>
          <t>SLE</t>
        </is>
      </c>
      <c r="C3546" t="inlineStr">
        <is>
          <t>Vice-President, New Brunswick</t>
        </is>
      </c>
      <c r="D3546" t="inlineStr">
        <is>
          <t>Vice-présidente, Nouveau-Brunswick</t>
        </is>
      </c>
      <c r="E3546" t="inlineStr">
        <is>
          <t>Janet Gagnon</t>
        </is>
      </c>
      <c r="F3546" t="inlineStr">
        <is>
          <t>Meeting of Vice Presidents/Second Vice President meeting on Innovation</t>
        </is>
      </c>
      <c r="G3546" t="inlineStr">
        <is>
          <t>Réunion des vice-présidents et deuxième réunion des vice-présidents sur l'innovation</t>
        </is>
      </c>
      <c r="H3546" s="1" t="n">
        <v>41261</v>
      </c>
      <c r="I3546" s="1" t="n">
        <v>41263</v>
      </c>
      <c r="J3546" t="inlineStr">
        <is>
          <t>Moncton, New Brunswick</t>
        </is>
      </c>
      <c r="K3546" t="inlineStr">
        <is>
          <t>Moncton (Nouveau-Brunswick)</t>
        </is>
      </c>
      <c r="P3546" t="n">
        <v>0</v>
      </c>
      <c r="Q3546" t="n">
        <v>0</v>
      </c>
      <c r="R3546" t="n">
        <v>325.44</v>
      </c>
      <c r="S3546" t="n">
        <v>150</v>
      </c>
      <c r="T3546" t="n">
        <v>28.26</v>
      </c>
      <c r="U3546" t="n">
        <v>503.7</v>
      </c>
      <c r="X3546" t="inlineStr">
        <is>
          <t>acoa-apeca</t>
        </is>
      </c>
      <c r="Y3546" t="inlineStr">
        <is>
          <t>Atlantic Canada Opportunities Agency | Agence de promotion économique du Canada atlantique</t>
        </is>
      </c>
    </row>
    <row r="3547">
      <c r="A3547" t="inlineStr">
        <is>
          <t>T-2013-Q4-00015</t>
        </is>
      </c>
      <c r="B3547" t="inlineStr">
        <is>
          <t>SLE</t>
        </is>
      </c>
      <c r="C3547" t="inlineStr">
        <is>
          <t>Vice-President, Prince Edward Island</t>
        </is>
      </c>
      <c r="D3547" t="inlineStr">
        <is>
          <t>Vice-président, Île-du-Prince-Édouard</t>
        </is>
      </c>
      <c r="E3547" t="inlineStr">
        <is>
          <t>Patrick Dorsey</t>
        </is>
      </c>
      <c r="F3547" t="inlineStr">
        <is>
          <t>Meeting with ACOA Officials</t>
        </is>
      </c>
      <c r="G3547" t="inlineStr">
        <is>
          <t>Réunion avec des fonctionnaires de l'APECA</t>
        </is>
      </c>
      <c r="H3547" s="1" t="n">
        <v>41261</v>
      </c>
      <c r="I3547" s="1" t="n">
        <v>41263</v>
      </c>
      <c r="J3547" t="inlineStr">
        <is>
          <t>Moncton, New Brunswick</t>
        </is>
      </c>
      <c r="K3547" t="inlineStr">
        <is>
          <t>Moncton (Nouveau-Brunswick)</t>
        </is>
      </c>
      <c r="P3547" t="n">
        <v>0</v>
      </c>
      <c r="Q3547" t="n">
        <v>84.09</v>
      </c>
      <c r="R3547" t="n">
        <v>339</v>
      </c>
      <c r="S3547" t="n">
        <v>239.1</v>
      </c>
      <c r="T3547" t="n">
        <v>0</v>
      </c>
      <c r="U3547" t="n">
        <v>662.1900000000001</v>
      </c>
      <c r="X3547" t="inlineStr">
        <is>
          <t>acoa-apeca</t>
        </is>
      </c>
      <c r="Y3547" t="inlineStr">
        <is>
          <t>Atlantic Canada Opportunities Agency | Agence de promotion économique du Canada atlantique</t>
        </is>
      </c>
    </row>
    <row r="3548">
      <c r="A3548" t="inlineStr">
        <is>
          <t>T-2013-Q4-00013</t>
        </is>
      </c>
      <c r="B3548" t="inlineStr">
        <is>
          <t>MPSES</t>
        </is>
      </c>
      <c r="C3548" t="inlineStr">
        <is>
          <t>Chief of Staff</t>
        </is>
      </c>
      <c r="D3548" t="inlineStr">
        <is>
          <t>Chef de cabinet</t>
        </is>
      </c>
      <c r="E3548" t="inlineStr">
        <is>
          <t>Jacques Fauteux</t>
        </is>
      </c>
      <c r="F3548" t="inlineStr">
        <is>
          <t>To attend various Atlantic Canada Opportunities Agency meetings</t>
        </is>
      </c>
      <c r="G3548" t="inlineStr">
        <is>
          <t>Pour participer à diverses réunions de l'Agence de promotion économique du Canada atlantique</t>
        </is>
      </c>
      <c r="H3548" s="1" t="n">
        <v>41257</v>
      </c>
      <c r="I3548" s="1" t="n">
        <v>41261</v>
      </c>
      <c r="J3548" t="inlineStr">
        <is>
          <t>Halifax, Nova Scotia; St. John's, Newfoundland and Labrador</t>
        </is>
      </c>
      <c r="K3548" t="inlineStr">
        <is>
          <t>Halifax (Nouvelle-Écosse); St. John's (Terre-Neuve-et-Labrador)</t>
        </is>
      </c>
      <c r="P3548" t="n">
        <v>1320.93</v>
      </c>
      <c r="Q3548" t="n">
        <v>253.52</v>
      </c>
      <c r="R3548" t="n">
        <v>289.98</v>
      </c>
      <c r="S3548" t="n">
        <v>243.3</v>
      </c>
      <c r="T3548" t="n">
        <v>0</v>
      </c>
      <c r="U3548" t="n">
        <v>2107.73</v>
      </c>
      <c r="X3548" t="inlineStr">
        <is>
          <t>acoa-apeca</t>
        </is>
      </c>
      <c r="Y3548" t="inlineStr">
        <is>
          <t>Atlantic Canada Opportunities Agency | Agence de promotion économique du Canada atlantique</t>
        </is>
      </c>
    </row>
    <row r="3549">
      <c r="A3549" t="inlineStr">
        <is>
          <t>T-2013-Q4-00012</t>
        </is>
      </c>
      <c r="B3549" t="inlineStr">
        <is>
          <t>SLE</t>
        </is>
      </c>
      <c r="C3549" t="inlineStr">
        <is>
          <t>Vice-President, Finance and Corporate Services</t>
        </is>
      </c>
      <c r="D3549" t="inlineStr">
        <is>
          <t>Vice-présidente, Finances et Services corporatifs</t>
        </is>
      </c>
      <c r="E3549" t="inlineStr">
        <is>
          <t>Denise Frenette</t>
        </is>
      </c>
      <c r="F3549" t="inlineStr">
        <is>
          <t>Meetings with Government of Canada Officials</t>
        </is>
      </c>
      <c r="G3549" t="inlineStr">
        <is>
          <t>Réunions avec des fonctionnaires du governement du Canada</t>
        </is>
      </c>
      <c r="H3549" s="1" t="n">
        <v>41255</v>
      </c>
      <c r="I3549" s="1" t="n">
        <v>41346</v>
      </c>
      <c r="J3549" t="inlineStr">
        <is>
          <t>Toronto, Ontario</t>
        </is>
      </c>
      <c r="K3549" t="inlineStr">
        <is>
          <t>Toronto (Ontario)</t>
        </is>
      </c>
      <c r="P3549" t="n">
        <v>723.22</v>
      </c>
      <c r="Q3549" t="n">
        <v>65</v>
      </c>
      <c r="R3549" t="n">
        <v>175.15</v>
      </c>
      <c r="S3549" t="n">
        <v>147.7</v>
      </c>
      <c r="T3549" t="n">
        <v>0</v>
      </c>
      <c r="U3549" t="n">
        <v>1111.07</v>
      </c>
      <c r="X3549" t="inlineStr">
        <is>
          <t>acoa-apeca</t>
        </is>
      </c>
      <c r="Y3549" t="inlineStr">
        <is>
          <t>Atlantic Canada Opportunities Agency | Agence de promotion économique du Canada atlantique</t>
        </is>
      </c>
    </row>
    <row r="3550">
      <c r="A3550" t="inlineStr">
        <is>
          <t>T-2013-Q4-00009</t>
        </is>
      </c>
      <c r="B3550" t="inlineStr">
        <is>
          <t>SLE</t>
        </is>
      </c>
      <c r="C3550" t="inlineStr">
        <is>
          <t>Vice-President, Prince Edward Island</t>
        </is>
      </c>
      <c r="D3550" t="inlineStr">
        <is>
          <t>Vice-président, Île-du-Prince-Édouard</t>
        </is>
      </c>
      <c r="E3550" t="inlineStr">
        <is>
          <t>Patrick Dorsey</t>
        </is>
      </c>
      <c r="F3550" t="inlineStr">
        <is>
          <t>Meetings with ACOA Officials</t>
        </is>
      </c>
      <c r="G3550" t="inlineStr">
        <is>
          <t>Réunions avec des fonctionnaires de l'APECA</t>
        </is>
      </c>
      <c r="H3550" s="1" t="n">
        <v>41254</v>
      </c>
      <c r="I3550" s="1" t="n">
        <v>41255</v>
      </c>
      <c r="J3550" t="inlineStr">
        <is>
          <t>Ottawa, Ontario</t>
        </is>
      </c>
      <c r="K3550" t="inlineStr">
        <is>
          <t>Ottawa (Ontario)</t>
        </is>
      </c>
      <c r="P3550" t="n">
        <v>836.62</v>
      </c>
      <c r="Q3550" t="n">
        <v>90</v>
      </c>
      <c r="R3550" t="n">
        <v>177.41</v>
      </c>
      <c r="S3550" t="n">
        <v>180</v>
      </c>
      <c r="T3550" t="n">
        <v>0</v>
      </c>
      <c r="U3550" t="n">
        <v>1284.03</v>
      </c>
      <c r="X3550" t="inlineStr">
        <is>
          <t>acoa-apeca</t>
        </is>
      </c>
      <c r="Y3550" t="inlineStr">
        <is>
          <t>Atlantic Canada Opportunities Agency | Agence de promotion économique du Canada atlantique</t>
        </is>
      </c>
    </row>
    <row r="3551">
      <c r="A3551" t="inlineStr">
        <is>
          <t>T-2013-Q4-00008</t>
        </is>
      </c>
      <c r="B3551" t="inlineStr">
        <is>
          <t>SLE</t>
        </is>
      </c>
      <c r="C3551" t="inlineStr">
        <is>
          <t>President</t>
        </is>
      </c>
      <c r="D3551" t="inlineStr">
        <is>
          <t>Président</t>
        </is>
      </c>
      <c r="E3551" t="inlineStr">
        <is>
          <t>Paul J. LeBlanc</t>
        </is>
      </c>
      <c r="F3551" t="inlineStr">
        <is>
          <t>For various meetings and discussions with: Agency officials; with Government of Canada officials</t>
        </is>
      </c>
      <c r="G3551" t="inlineStr">
        <is>
          <t xml:space="preserve">Diverses réunions et discussions avec des fonctionnaires de l'Agence et du gouvernement du Canada </t>
        </is>
      </c>
      <c r="H3551" s="1" t="n">
        <v>41253</v>
      </c>
      <c r="I3551" s="1" t="n">
        <v>41255</v>
      </c>
      <c r="J3551" t="inlineStr">
        <is>
          <t>Ottawa, Ontario</t>
        </is>
      </c>
      <c r="K3551" t="inlineStr">
        <is>
          <t>Ottawa (Ontario)</t>
        </is>
      </c>
      <c r="P3551" t="n">
        <v>741.36</v>
      </c>
      <c r="Q3551" t="n">
        <v>12.74</v>
      </c>
      <c r="R3551" t="n">
        <v>359.34</v>
      </c>
      <c r="S3551" t="n">
        <v>180</v>
      </c>
      <c r="T3551" t="n">
        <v>30</v>
      </c>
      <c r="U3551" t="n">
        <v>1323.44</v>
      </c>
      <c r="X3551" t="inlineStr">
        <is>
          <t>acoa-apeca</t>
        </is>
      </c>
      <c r="Y3551" t="inlineStr">
        <is>
          <t>Atlantic Canada Opportunities Agency | Agence de promotion économique du Canada atlantique</t>
        </is>
      </c>
    </row>
    <row r="3552">
      <c r="A3552" t="inlineStr">
        <is>
          <t>T-2013-Q4-00005</t>
        </is>
      </c>
      <c r="B3552" t="inlineStr">
        <is>
          <t>SLE</t>
        </is>
      </c>
      <c r="C3552" t="inlineStr">
        <is>
          <t>Vice-President, Policy and Programs</t>
        </is>
      </c>
      <c r="D3552" t="inlineStr">
        <is>
          <t>Vice-président, Politiques et Programmes</t>
        </is>
      </c>
      <c r="E3552" t="inlineStr">
        <is>
          <t>Daryell Nowlan</t>
        </is>
      </c>
      <c r="F3552" t="inlineStr">
        <is>
          <t>Meeting with Government of Canada officials</t>
        </is>
      </c>
      <c r="G3552" t="inlineStr">
        <is>
          <t>Réunion avec des fonctionnaires du gouvernement du Canada</t>
        </is>
      </c>
      <c r="H3552" s="1" t="n">
        <v>41248</v>
      </c>
      <c r="I3552" s="1" t="n">
        <v>41249</v>
      </c>
      <c r="J3552" t="inlineStr">
        <is>
          <t>Ottawa, Ontario</t>
        </is>
      </c>
      <c r="K3552" t="inlineStr">
        <is>
          <t>Ottawa (Ontario)</t>
        </is>
      </c>
      <c r="P3552" t="n">
        <v>926.6</v>
      </c>
      <c r="Q3552" t="n">
        <v>128.82</v>
      </c>
      <c r="R3552" t="n">
        <v>177.41</v>
      </c>
      <c r="S3552" t="n">
        <v>90.3</v>
      </c>
      <c r="T3552" t="n">
        <v>0</v>
      </c>
      <c r="U3552" t="n">
        <v>1323.13</v>
      </c>
      <c r="X3552" t="inlineStr">
        <is>
          <t>acoa-apeca</t>
        </is>
      </c>
      <c r="Y3552" t="inlineStr">
        <is>
          <t>Atlantic Canada Opportunities Agency | Agence de promotion économique du Canada atlantique</t>
        </is>
      </c>
    </row>
    <row r="3553">
      <c r="A3553" t="inlineStr">
        <is>
          <t>T-2013-Q4-00004</t>
        </is>
      </c>
      <c r="B3553" t="inlineStr">
        <is>
          <t>SLE</t>
        </is>
      </c>
      <c r="C3553" t="inlineStr">
        <is>
          <t>Vice-President, Prince Edward Island</t>
        </is>
      </c>
      <c r="D3553" t="inlineStr">
        <is>
          <t>Vice-président, Île-du-Prince-Édouard</t>
        </is>
      </c>
      <c r="E3553" t="inlineStr">
        <is>
          <t>Patrick Dorsey</t>
        </is>
      </c>
      <c r="F3553" t="inlineStr">
        <is>
          <t>Meeting with ACOA Officials</t>
        </is>
      </c>
      <c r="G3553" t="inlineStr">
        <is>
          <t>Réunion avec des fonctionnaires de l'APECA</t>
        </is>
      </c>
      <c r="H3553" s="1" t="n">
        <v>41247</v>
      </c>
      <c r="I3553" s="1" t="n">
        <v>41248</v>
      </c>
      <c r="J3553" t="inlineStr">
        <is>
          <t>Moncton, New Brunswick</t>
        </is>
      </c>
      <c r="K3553" t="inlineStr">
        <is>
          <t>Moncton (Nouveau-Brunswick)</t>
        </is>
      </c>
      <c r="P3553" t="n">
        <v>0</v>
      </c>
      <c r="Q3553" t="n">
        <v>44.25</v>
      </c>
      <c r="R3553" t="n">
        <v>113</v>
      </c>
      <c r="S3553" t="n">
        <v>106.4</v>
      </c>
      <c r="T3553" t="n">
        <v>0</v>
      </c>
      <c r="U3553" t="n">
        <v>263.65</v>
      </c>
      <c r="X3553" t="inlineStr">
        <is>
          <t>acoa-apeca</t>
        </is>
      </c>
      <c r="Y3553" t="inlineStr">
        <is>
          <t>Atlantic Canada Opportunities Agency | Agence de promotion économique du Canada atlantique</t>
        </is>
      </c>
    </row>
    <row r="3554">
      <c r="A3554" t="inlineStr">
        <is>
          <t>T-2013-Q4-00003</t>
        </is>
      </c>
      <c r="B3554" t="inlineStr">
        <is>
          <t>MPSES</t>
        </is>
      </c>
      <c r="C3554" t="inlineStr">
        <is>
          <t>Director of Communications</t>
        </is>
      </c>
      <c r="D3554" t="inlineStr">
        <is>
          <t>Directrice des communications</t>
        </is>
      </c>
      <c r="E3554" t="inlineStr">
        <is>
          <t>Sophie Doucet</t>
        </is>
      </c>
      <c r="F3554" t="inlineStr">
        <is>
          <t>To accompany Minister of State to the Exponaval Event (travel cancelled - airline penalty)</t>
        </is>
      </c>
      <c r="G3554" t="inlineStr">
        <is>
          <t>Pour accompagner le ministre d'État à l'Exponaval (voyage annulé - pénalité du transporteur aérien)</t>
        </is>
      </c>
      <c r="H3554" s="1" t="n">
        <v>41245</v>
      </c>
      <c r="I3554" s="1" t="n">
        <v>41250</v>
      </c>
      <c r="J3554" t="inlineStr">
        <is>
          <t>Santiago, Chile</t>
        </is>
      </c>
      <c r="K3554" t="inlineStr">
        <is>
          <t>Santiago, Chili</t>
        </is>
      </c>
      <c r="P3554" t="n">
        <v>286.9</v>
      </c>
      <c r="Q3554" t="n">
        <v>0</v>
      </c>
      <c r="R3554" t="n">
        <v>0</v>
      </c>
      <c r="S3554" t="n">
        <v>0</v>
      </c>
      <c r="T3554" t="n">
        <v>0</v>
      </c>
      <c r="U3554" t="n">
        <v>286.9</v>
      </c>
      <c r="X3554" t="inlineStr">
        <is>
          <t>acoa-apeca</t>
        </is>
      </c>
      <c r="Y3554" t="inlineStr">
        <is>
          <t>Atlantic Canada Opportunities Agency | Agence de promotion économique du Canada atlantique</t>
        </is>
      </c>
    </row>
    <row r="3555">
      <c r="A3555" t="inlineStr">
        <is>
          <t>T-2013-Q4-00002</t>
        </is>
      </c>
      <c r="B3555" t="inlineStr">
        <is>
          <t>MPSES</t>
        </is>
      </c>
      <c r="C3555" t="inlineStr">
        <is>
          <t>Chief of Staff</t>
        </is>
      </c>
      <c r="D3555" t="inlineStr">
        <is>
          <t>Chef de cabinet</t>
        </is>
      </c>
      <c r="E3555" t="inlineStr">
        <is>
          <t>Jacques Fauteux</t>
        </is>
      </c>
      <c r="F3555" t="inlineStr">
        <is>
          <t>To accompany Minister of State to the Exponaval Event (travel cancelled - airline penalty)</t>
        </is>
      </c>
      <c r="G3555" t="inlineStr">
        <is>
          <t>Pour accompagner le ministre d'État à l'Exponaval (voyage annulé - pénalité du transporteur aérien)</t>
        </is>
      </c>
      <c r="H3555" s="1" t="n">
        <v>41245</v>
      </c>
      <c r="I3555" s="1" t="n">
        <v>41250</v>
      </c>
      <c r="J3555" t="inlineStr">
        <is>
          <t>Santiago, Chile</t>
        </is>
      </c>
      <c r="K3555" t="inlineStr">
        <is>
          <t>Santiago, Chili</t>
        </is>
      </c>
      <c r="P3555" t="n">
        <v>286.9</v>
      </c>
      <c r="Q3555" t="n">
        <v>0</v>
      </c>
      <c r="R3555" t="n">
        <v>0</v>
      </c>
      <c r="S3555" t="n">
        <v>0</v>
      </c>
      <c r="T3555" t="n">
        <v>0</v>
      </c>
      <c r="U3555" t="n">
        <v>286.9</v>
      </c>
      <c r="X3555" t="inlineStr">
        <is>
          <t>acoa-apeca</t>
        </is>
      </c>
      <c r="Y3555" t="inlineStr">
        <is>
          <t>Atlantic Canada Opportunities Agency | Agence de promotion économique du Canada atlantique</t>
        </is>
      </c>
    </row>
    <row r="3556">
      <c r="A3556" t="inlineStr">
        <is>
          <t>T-2013-Q4-00001</t>
        </is>
      </c>
      <c r="B3556" t="inlineStr">
        <is>
          <t>SLE</t>
        </is>
      </c>
      <c r="C3556" t="inlineStr">
        <is>
          <t>President</t>
        </is>
      </c>
      <c r="D3556" t="inlineStr">
        <is>
          <t>Président</t>
        </is>
      </c>
      <c r="E3556" t="inlineStr">
        <is>
          <t>Paul J. LeBlanc</t>
        </is>
      </c>
      <c r="F3556" t="inlineStr">
        <is>
          <t>To attend sessions of the Organization for Economic Co-operation &amp; Development's Territorial Development Policy Committee</t>
        </is>
      </c>
      <c r="G3556" t="inlineStr">
        <is>
          <t>Participer à des séances du Comité des politiques de développement territorial de l'Organisation de la coopération et du développement économiques</t>
        </is>
      </c>
      <c r="H3556" s="1" t="n">
        <v>41245</v>
      </c>
      <c r="I3556" s="1" t="n">
        <v>41249</v>
      </c>
      <c r="J3556" t="inlineStr">
        <is>
          <t>Paris, France</t>
        </is>
      </c>
      <c r="K3556" t="inlineStr">
        <is>
          <t>Paris, France</t>
        </is>
      </c>
      <c r="P3556" t="n">
        <v>6633.14</v>
      </c>
      <c r="Q3556" t="n">
        <v>206.33</v>
      </c>
      <c r="R3556" t="n">
        <v>732.45</v>
      </c>
      <c r="S3556" t="n">
        <v>518.85</v>
      </c>
      <c r="T3556" t="n">
        <v>20.53</v>
      </c>
      <c r="U3556" t="n">
        <v>8111.3</v>
      </c>
      <c r="X3556" t="inlineStr">
        <is>
          <t>acoa-apeca</t>
        </is>
      </c>
      <c r="Y3556" t="inlineStr">
        <is>
          <t>Atlantic Canada Opportunities Agency | Agence de promotion économique du Canada atlantique</t>
        </is>
      </c>
    </row>
    <row r="3557">
      <c r="A3557" t="inlineStr">
        <is>
          <t>T-2013-Q3-00096</t>
        </is>
      </c>
      <c r="B3557" t="inlineStr">
        <is>
          <t>SLE</t>
        </is>
      </c>
      <c r="C3557" t="inlineStr">
        <is>
          <t>Vice-President, New Brunswick</t>
        </is>
      </c>
      <c r="D3557" t="inlineStr">
        <is>
          <t>Vice-présidente, Nouveau-Brunswick</t>
        </is>
      </c>
      <c r="E3557" t="inlineStr">
        <is>
          <t>Janet Gagnon</t>
        </is>
      </c>
      <c r="F3557" t="inlineStr">
        <is>
          <t>Future NB Board of Directors meeting</t>
        </is>
      </c>
      <c r="G3557" t="inlineStr">
        <is>
          <t>Réunion du conseil d'administration de Futur N.-B.</t>
        </is>
      </c>
      <c r="H3557" s="1" t="n">
        <v>41242</v>
      </c>
      <c r="I3557" s="1" t="n">
        <v>41242</v>
      </c>
      <c r="J3557" t="inlineStr">
        <is>
          <t>Fredericton, New Brunswick</t>
        </is>
      </c>
      <c r="K3557" t="inlineStr">
        <is>
          <t>Fredericton (Nouveau-Brunswick)</t>
        </is>
      </c>
      <c r="P3557" t="n">
        <v>0</v>
      </c>
      <c r="Q3557" t="n">
        <v>0</v>
      </c>
      <c r="R3557" t="n">
        <v>0</v>
      </c>
      <c r="S3557" t="n">
        <v>0</v>
      </c>
      <c r="T3557" t="n">
        <v>4.5</v>
      </c>
      <c r="U3557" t="n">
        <v>4.5</v>
      </c>
      <c r="X3557" t="inlineStr">
        <is>
          <t>acoa-apeca</t>
        </is>
      </c>
      <c r="Y3557" t="inlineStr">
        <is>
          <t>Atlantic Canada Opportunities Agency | Agence de promotion économique du Canada atlantique</t>
        </is>
      </c>
    </row>
    <row r="3558">
      <c r="A3558" t="inlineStr">
        <is>
          <t>T-2013-Q3-00095</t>
        </is>
      </c>
      <c r="B3558" t="inlineStr">
        <is>
          <t>SLE</t>
        </is>
      </c>
      <c r="C3558" t="inlineStr">
        <is>
          <t>President</t>
        </is>
      </c>
      <c r="D3558" t="inlineStr">
        <is>
          <t>Président</t>
        </is>
      </c>
      <c r="E3558" t="inlineStr">
        <is>
          <t>Paul J. LeBlanc</t>
        </is>
      </c>
      <c r="F3558" t="inlineStr">
        <is>
          <t>For various meetings and discussions with Agency officials, with Government of Canada officials</t>
        </is>
      </c>
      <c r="G3558" t="inlineStr">
        <is>
          <t>Diverses réunions et discussions avec des fonctionnaires de l'Agence et du gouvernement du Canada</t>
        </is>
      </c>
      <c r="H3558" s="1" t="n">
        <v>41240</v>
      </c>
      <c r="I3558" s="1" t="n">
        <v>41242</v>
      </c>
      <c r="J3558" t="inlineStr">
        <is>
          <t>Ottawa, Ontario</t>
        </is>
      </c>
      <c r="K3558" t="inlineStr">
        <is>
          <t>Ottawa (Ontario)</t>
        </is>
      </c>
      <c r="P3558" t="n">
        <v>723.5</v>
      </c>
      <c r="Q3558" t="n">
        <v>12.74</v>
      </c>
      <c r="R3558" t="n">
        <v>359.34</v>
      </c>
      <c r="S3558" t="n">
        <v>221.3</v>
      </c>
      <c r="T3558" t="n">
        <v>45</v>
      </c>
      <c r="U3558" t="n">
        <v>1361.88</v>
      </c>
      <c r="X3558" t="inlineStr">
        <is>
          <t>acoa-apeca</t>
        </is>
      </c>
      <c r="Y3558" t="inlineStr">
        <is>
          <t>Atlantic Canada Opportunities Agency | Agence de promotion économique du Canada atlantique</t>
        </is>
      </c>
    </row>
    <row r="3559">
      <c r="A3559" t="inlineStr">
        <is>
          <t>T-2013-Q3-00094</t>
        </is>
      </c>
      <c r="B3559" t="inlineStr">
        <is>
          <t>SLE</t>
        </is>
      </c>
      <c r="C3559" t="inlineStr">
        <is>
          <t>Vice-President, Newfoundland and Labrador</t>
        </is>
      </c>
      <c r="D3559" t="inlineStr">
        <is>
          <t>Vice-président, Terre-Neuve-et-Labrador</t>
        </is>
      </c>
      <c r="E3559" t="inlineStr">
        <is>
          <t>Paul Mills</t>
        </is>
      </c>
      <c r="F3559" t="inlineStr">
        <is>
          <t>Meetings in Trinity Bay, November 26-27</t>
        </is>
      </c>
      <c r="G3559" t="inlineStr">
        <is>
          <t>Réunions à Trinity Bay les 26 et 27 novembre</t>
        </is>
      </c>
      <c r="H3559" s="1" t="n">
        <v>41239</v>
      </c>
      <c r="I3559" s="1" t="n">
        <v>41332</v>
      </c>
      <c r="J3559" t="inlineStr">
        <is>
          <t>Trinity Bay - Port Rexton, Newfoundland and Labrador</t>
        </is>
      </c>
      <c r="K3559" t="inlineStr">
        <is>
          <t>Trinity Bay, Port Rexton (Terre-Neuve-et-Labrador)</t>
        </is>
      </c>
      <c r="P3559" t="n">
        <v>0</v>
      </c>
      <c r="Q3559" t="n">
        <v>0</v>
      </c>
      <c r="R3559" t="n">
        <v>169.5</v>
      </c>
      <c r="S3559" t="n">
        <v>106.4</v>
      </c>
      <c r="T3559" t="n">
        <v>0</v>
      </c>
      <c r="U3559" t="n">
        <v>275.9</v>
      </c>
      <c r="X3559" t="inlineStr">
        <is>
          <t>acoa-apeca</t>
        </is>
      </c>
      <c r="Y3559" t="inlineStr">
        <is>
          <t>Atlantic Canada Opportunities Agency | Agence de promotion économique du Canada atlantique</t>
        </is>
      </c>
    </row>
    <row r="3560">
      <c r="A3560" t="inlineStr">
        <is>
          <t>T-2013-Q3-00093</t>
        </is>
      </c>
      <c r="B3560" t="inlineStr">
        <is>
          <t>SLE</t>
        </is>
      </c>
      <c r="C3560" t="inlineStr">
        <is>
          <t>Vice-President, Policy and Programs</t>
        </is>
      </c>
      <c r="D3560" t="inlineStr">
        <is>
          <t>Vice-président, Politiques et Programmes</t>
        </is>
      </c>
      <c r="E3560" t="inlineStr">
        <is>
          <t>Daryell Nowlan</t>
        </is>
      </c>
      <c r="F3560" t="inlineStr">
        <is>
          <t>Meeting with Government of Canada officials</t>
        </is>
      </c>
      <c r="G3560" t="inlineStr">
        <is>
          <t>Réunion avec des fonctionnaires du gouvernement du Canada</t>
        </is>
      </c>
      <c r="H3560" s="1" t="n">
        <v>41239</v>
      </c>
      <c r="I3560" s="1" t="n">
        <v>41241</v>
      </c>
      <c r="J3560" t="inlineStr">
        <is>
          <t>Ottawa, Ontario</t>
        </is>
      </c>
      <c r="K3560" t="inlineStr">
        <is>
          <t>Ottawa (Ontario)</t>
        </is>
      </c>
      <c r="P3560" t="n">
        <v>926.6</v>
      </c>
      <c r="Q3560" t="n">
        <v>138.08</v>
      </c>
      <c r="R3560" t="n">
        <v>354.82</v>
      </c>
      <c r="S3560" t="n">
        <v>178.15</v>
      </c>
      <c r="T3560" t="n">
        <v>0</v>
      </c>
      <c r="U3560" t="n">
        <v>1597.65</v>
      </c>
      <c r="X3560" t="inlineStr">
        <is>
          <t>acoa-apeca</t>
        </is>
      </c>
      <c r="Y3560" t="inlineStr">
        <is>
          <t>Atlantic Canada Opportunities Agency | Agence de promotion économique du Canada atlantique</t>
        </is>
      </c>
    </row>
    <row r="3561">
      <c r="A3561" t="inlineStr">
        <is>
          <t>T-2013-Q3-00092</t>
        </is>
      </c>
      <c r="B3561" t="inlineStr">
        <is>
          <t>SLE</t>
        </is>
      </c>
      <c r="C3561" t="inlineStr">
        <is>
          <t>Vice-President, New Brunswick</t>
        </is>
      </c>
      <c r="D3561" t="inlineStr">
        <is>
          <t>Vice-présidente, Nouveau-Brunswick</t>
        </is>
      </c>
      <c r="E3561" t="inlineStr">
        <is>
          <t>Janet Gagnon</t>
        </is>
      </c>
      <c r="F3561" t="inlineStr">
        <is>
          <t>Access to capital - Future NB</t>
        </is>
      </c>
      <c r="G3561" t="inlineStr">
        <is>
          <t>Accès au capital - Futur N.-B.</t>
        </is>
      </c>
      <c r="H3561" s="1" t="n">
        <v>41236</v>
      </c>
      <c r="I3561" s="1" t="n">
        <v>41236</v>
      </c>
      <c r="J3561" t="inlineStr">
        <is>
          <t>Moncton, New Brunswick</t>
        </is>
      </c>
      <c r="K3561" t="inlineStr">
        <is>
          <t>Moncton (Nouveau-Brunswick)</t>
        </is>
      </c>
      <c r="P3561" t="n">
        <v>0</v>
      </c>
      <c r="Q3561" t="n">
        <v>0</v>
      </c>
      <c r="R3561" t="n">
        <v>0</v>
      </c>
      <c r="S3561" t="n">
        <v>0</v>
      </c>
      <c r="T3561" t="n">
        <v>8</v>
      </c>
      <c r="U3561" t="n">
        <v>8</v>
      </c>
      <c r="X3561" t="inlineStr">
        <is>
          <t>acoa-apeca</t>
        </is>
      </c>
      <c r="Y3561" t="inlineStr">
        <is>
          <t>Atlantic Canada Opportunities Agency | Agence de promotion économique du Canada atlantique</t>
        </is>
      </c>
    </row>
    <row r="3562">
      <c r="A3562" t="inlineStr">
        <is>
          <t>T-2013-Q3-00091</t>
        </is>
      </c>
      <c r="B3562" t="inlineStr">
        <is>
          <t>SLE</t>
        </is>
      </c>
      <c r="C3562" t="inlineStr">
        <is>
          <t>Vice-President, Finance and Corporate Services</t>
        </is>
      </c>
      <c r="D3562" t="inlineStr">
        <is>
          <t>Vice-présidente, Finances et Services corporatifs</t>
        </is>
      </c>
      <c r="E3562" t="inlineStr">
        <is>
          <t>Denise Frenette</t>
        </is>
      </c>
      <c r="F3562" t="inlineStr">
        <is>
          <t>Meetings with Government of Canada Officials and Agency Officials</t>
        </is>
      </c>
      <c r="G3562" t="inlineStr">
        <is>
          <t>Réunions avec des fonctionnaires du gouvernement du Canada et de l'Agence</t>
        </is>
      </c>
      <c r="H3562" s="1" t="n">
        <v>41233</v>
      </c>
      <c r="I3562" s="1" t="n">
        <v>41235</v>
      </c>
      <c r="J3562" t="inlineStr">
        <is>
          <t>Ottawa, Ontario</t>
        </is>
      </c>
      <c r="K3562" t="inlineStr">
        <is>
          <t>Ottawa (Ontario)</t>
        </is>
      </c>
      <c r="P3562" t="n">
        <v>723.22</v>
      </c>
      <c r="Q3562" t="n">
        <v>115</v>
      </c>
      <c r="R3562" t="n">
        <v>354.82</v>
      </c>
      <c r="S3562" t="n">
        <v>195.5</v>
      </c>
      <c r="T3562" t="n">
        <v>56.5</v>
      </c>
      <c r="U3562" t="n">
        <v>1445.04</v>
      </c>
      <c r="X3562" t="inlineStr">
        <is>
          <t>acoa-apeca</t>
        </is>
      </c>
      <c r="Y3562" t="inlineStr">
        <is>
          <t>Atlantic Canada Opportunities Agency | Agence de promotion économique du Canada atlantique</t>
        </is>
      </c>
    </row>
    <row r="3563">
      <c r="A3563" t="inlineStr">
        <is>
          <t>T-2013-Q3-00089</t>
        </is>
      </c>
      <c r="B3563" t="inlineStr">
        <is>
          <t>SLE</t>
        </is>
      </c>
      <c r="C3563" t="inlineStr">
        <is>
          <t>Vice President, Nova Scotia</t>
        </is>
      </c>
      <c r="D3563" t="inlineStr">
        <is>
          <t>Vice-président, Nouvelle-Écosse</t>
        </is>
      </c>
      <c r="E3563" t="inlineStr">
        <is>
          <t>Peter Hogan</t>
        </is>
      </c>
      <c r="F3563" t="inlineStr">
        <is>
          <t xml:space="preserve">National meeting of Regional Federal Council Chairs </t>
        </is>
      </c>
      <c r="G3563" t="inlineStr">
        <is>
          <t>Réunion nationale des présidents des Conseils fédéraux régionaux</t>
        </is>
      </c>
      <c r="H3563" s="1" t="n">
        <v>41232</v>
      </c>
      <c r="I3563" s="1" t="n">
        <v>41234</v>
      </c>
      <c r="J3563" t="inlineStr">
        <is>
          <t>Ottawa, Ontario</t>
        </is>
      </c>
      <c r="K3563" t="inlineStr">
        <is>
          <t>Ottawa (Ontario)</t>
        </is>
      </c>
      <c r="P3563" t="n">
        <v>582.3200000000001</v>
      </c>
      <c r="Q3563" t="n">
        <v>162.2</v>
      </c>
      <c r="R3563" t="n">
        <v>354.82</v>
      </c>
      <c r="S3563" t="n">
        <v>221.8</v>
      </c>
      <c r="T3563" t="n">
        <v>0</v>
      </c>
      <c r="U3563" t="n">
        <v>1321.14</v>
      </c>
      <c r="X3563" t="inlineStr">
        <is>
          <t>acoa-apeca</t>
        </is>
      </c>
      <c r="Y3563" t="inlineStr">
        <is>
          <t>Atlantic Canada Opportunities Agency | Agence de promotion économique du Canada atlantique</t>
        </is>
      </c>
    </row>
    <row r="3564">
      <c r="A3564" t="inlineStr">
        <is>
          <t>T-2013-Q3-00088</t>
        </is>
      </c>
      <c r="B3564" t="inlineStr">
        <is>
          <t>SLE</t>
        </is>
      </c>
      <c r="C3564" t="inlineStr">
        <is>
          <t>Vice-President, New Brunswick</t>
        </is>
      </c>
      <c r="D3564" t="inlineStr">
        <is>
          <t>Vice-présidente, Nouveau-Brunswick</t>
        </is>
      </c>
      <c r="E3564" t="inlineStr">
        <is>
          <t>Janet Gagnon</t>
        </is>
      </c>
      <c r="F3564" t="inlineStr">
        <is>
          <t>National Regional Federal Council Chairs meeting</t>
        </is>
      </c>
      <c r="G3564" t="inlineStr">
        <is>
          <t xml:space="preserve">Réunion nationale des présidents et présidentes des Conseils fédéraux régionaux </t>
        </is>
      </c>
      <c r="H3564" s="1" t="n">
        <v>41232</v>
      </c>
      <c r="I3564" s="1" t="n">
        <v>41234</v>
      </c>
      <c r="J3564" t="inlineStr">
        <is>
          <t>Ottawa, Ontario</t>
        </is>
      </c>
      <c r="K3564" t="inlineStr">
        <is>
          <t>Ottawa (Ontario)</t>
        </is>
      </c>
      <c r="P3564" t="n">
        <v>1087.17</v>
      </c>
      <c r="Q3564" t="n">
        <v>0</v>
      </c>
      <c r="R3564" t="n">
        <v>354.82</v>
      </c>
      <c r="S3564" t="n">
        <v>221.8</v>
      </c>
      <c r="T3564" t="n">
        <v>99.5</v>
      </c>
      <c r="U3564" t="n">
        <v>1763.29</v>
      </c>
      <c r="X3564" t="inlineStr">
        <is>
          <t>acoa-apeca</t>
        </is>
      </c>
      <c r="Y3564" t="inlineStr">
        <is>
          <t>Atlantic Canada Opportunities Agency | Agence de promotion économique du Canada atlantique</t>
        </is>
      </c>
    </row>
    <row r="3565">
      <c r="A3565" t="inlineStr">
        <is>
          <t>T-2013-Q3-00087</t>
        </is>
      </c>
      <c r="B3565" t="inlineStr">
        <is>
          <t>SLE</t>
        </is>
      </c>
      <c r="C3565" t="inlineStr">
        <is>
          <t>President</t>
        </is>
      </c>
      <c r="D3565" t="inlineStr">
        <is>
          <t>Président</t>
        </is>
      </c>
      <c r="E3565" t="inlineStr">
        <is>
          <t>Paul J. LeBlanc</t>
        </is>
      </c>
      <c r="F3565" t="inlineStr">
        <is>
          <t>For various meetings and discussions with Agency officials, with Government of Canada officials</t>
        </is>
      </c>
      <c r="G3565" t="inlineStr">
        <is>
          <t>Diverses réunions et discussions avec des fonctionnaires de l'Agence et du gouvernement du Canada</t>
        </is>
      </c>
      <c r="H3565" s="1" t="n">
        <v>41232</v>
      </c>
      <c r="I3565" s="1" t="n">
        <v>41236</v>
      </c>
      <c r="J3565" t="inlineStr">
        <is>
          <t>Ottawa, Ontario</t>
        </is>
      </c>
      <c r="K3565" t="inlineStr">
        <is>
          <t>Ottawa (Ontario)</t>
        </is>
      </c>
      <c r="P3565" t="n">
        <v>1114.36</v>
      </c>
      <c r="Q3565" t="n">
        <v>12.74</v>
      </c>
      <c r="R3565" t="n">
        <v>718.6799999999999</v>
      </c>
      <c r="S3565" t="n">
        <v>358.2</v>
      </c>
      <c r="T3565" t="n">
        <v>60</v>
      </c>
      <c r="U3565" t="n">
        <v>2263.98</v>
      </c>
      <c r="X3565" t="inlineStr">
        <is>
          <t>acoa-apeca</t>
        </is>
      </c>
      <c r="Y3565" t="inlineStr">
        <is>
          <t>Atlantic Canada Opportunities Agency | Agence de promotion économique du Canada atlantique</t>
        </is>
      </c>
    </row>
    <row r="3566">
      <c r="A3566" t="inlineStr">
        <is>
          <t>T-2013-Q3-00048</t>
        </is>
      </c>
      <c r="B3566" t="inlineStr">
        <is>
          <t>SLE</t>
        </is>
      </c>
      <c r="C3566" t="inlineStr">
        <is>
          <t>Vice-President, New Brunswick</t>
        </is>
      </c>
      <c r="D3566" t="inlineStr">
        <is>
          <t>Vice-présidente, Nouveau-Brunswick</t>
        </is>
      </c>
      <c r="E3566" t="inlineStr">
        <is>
          <t>Janet Gagnon</t>
        </is>
      </c>
      <c r="F3566" t="inlineStr">
        <is>
          <t>Executive Committee meeting</t>
        </is>
      </c>
      <c r="G3566" t="inlineStr">
        <is>
          <t>Réunion du Comité de direction</t>
        </is>
      </c>
      <c r="H3566" s="1" t="n">
        <v>41192</v>
      </c>
      <c r="I3566" s="1" t="n">
        <v>41193</v>
      </c>
      <c r="J3566" t="inlineStr">
        <is>
          <t>Moncton, New Brunswick</t>
        </is>
      </c>
      <c r="K3566" t="inlineStr">
        <is>
          <t>Moncton (Nouveau-Brunswick)</t>
        </is>
      </c>
      <c r="P3566" t="n">
        <v>0</v>
      </c>
      <c r="Q3566" t="n">
        <v>0</v>
      </c>
      <c r="R3566" t="n">
        <v>162.72</v>
      </c>
      <c r="S3566" t="n">
        <v>117.2</v>
      </c>
      <c r="T3566" t="n">
        <v>0</v>
      </c>
      <c r="U3566" t="n">
        <v>279.92</v>
      </c>
      <c r="X3566" t="inlineStr">
        <is>
          <t>acoa-apeca</t>
        </is>
      </c>
      <c r="Y3566" t="inlineStr">
        <is>
          <t>Atlantic Canada Opportunities Agency | Agence de promotion économique du Canada atlantique</t>
        </is>
      </c>
    </row>
    <row r="3567">
      <c r="A3567" t="inlineStr">
        <is>
          <t>T-2013-Q3-00086</t>
        </is>
      </c>
      <c r="B3567" t="inlineStr">
        <is>
          <t>SLE</t>
        </is>
      </c>
      <c r="C3567" t="inlineStr">
        <is>
          <t>Vice-President, Newfoundland and Labrador</t>
        </is>
      </c>
      <c r="D3567" t="inlineStr">
        <is>
          <t>Vice-président, Terre-Neuve-et-Labrador</t>
        </is>
      </c>
      <c r="E3567" t="inlineStr">
        <is>
          <t>Paul Mills</t>
        </is>
      </c>
      <c r="F3567" t="inlineStr">
        <is>
          <t>Regional Federal Council Chairs Meeting</t>
        </is>
      </c>
      <c r="G3567" t="inlineStr">
        <is>
          <t>Réunion des présidents des conseils fédéraux régionaux</t>
        </is>
      </c>
      <c r="H3567" s="1" t="n">
        <v>41232</v>
      </c>
      <c r="I3567" s="1" t="n">
        <v>41235</v>
      </c>
      <c r="J3567" t="inlineStr">
        <is>
          <t>Ottawa, Ontario</t>
        </is>
      </c>
      <c r="K3567" t="inlineStr">
        <is>
          <t>Ottawa (Ontario)</t>
        </is>
      </c>
      <c r="P3567" t="n">
        <v>1369.2</v>
      </c>
      <c r="Q3567" t="n">
        <v>132</v>
      </c>
      <c r="R3567" t="n">
        <v>532.23</v>
      </c>
      <c r="S3567" t="n">
        <v>269.6</v>
      </c>
      <c r="T3567" t="n">
        <v>10.13</v>
      </c>
      <c r="U3567" t="n">
        <v>2313.16</v>
      </c>
      <c r="X3567" t="inlineStr">
        <is>
          <t>acoa-apeca</t>
        </is>
      </c>
      <c r="Y3567" t="inlineStr">
        <is>
          <t>Atlantic Canada Opportunities Agency | Agence de promotion économique du Canada atlantique</t>
        </is>
      </c>
    </row>
    <row r="3568">
      <c r="A3568" t="inlineStr">
        <is>
          <t>T-2013-Q3-00085</t>
        </is>
      </c>
      <c r="B3568" t="inlineStr">
        <is>
          <t>MPSES</t>
        </is>
      </c>
      <c r="C3568" t="inlineStr">
        <is>
          <t>Executive Assistant and Press Secretary</t>
        </is>
      </c>
      <c r="D3568" t="inlineStr">
        <is>
          <t>Adjointe exécutive et attaché de presse</t>
        </is>
      </c>
      <c r="E3568" t="inlineStr">
        <is>
          <t>Andrea Richer</t>
        </is>
      </c>
      <c r="F3568" t="inlineStr">
        <is>
          <t>To accompany Minister of State to the International Security Forum</t>
        </is>
      </c>
      <c r="G3568" t="inlineStr">
        <is>
          <t>Pour accompagner le ministre d'État au Forum sur la sécurité internationale</t>
        </is>
      </c>
      <c r="H3568" s="1" t="n">
        <v>41228</v>
      </c>
      <c r="I3568" s="1" t="n">
        <v>41230</v>
      </c>
      <c r="J3568" t="inlineStr">
        <is>
          <t>Halifax, Nova Scotia</t>
        </is>
      </c>
      <c r="K3568" t="inlineStr">
        <is>
          <t>Halifax (Nouvelle-Écosse)</t>
        </is>
      </c>
      <c r="P3568" t="n">
        <v>514.49</v>
      </c>
      <c r="Q3568" t="n">
        <v>0</v>
      </c>
      <c r="R3568" t="n">
        <v>0</v>
      </c>
      <c r="S3568" t="n">
        <v>0</v>
      </c>
      <c r="T3568" t="n">
        <v>0</v>
      </c>
      <c r="U3568" t="n">
        <v>514.49</v>
      </c>
      <c r="X3568" t="inlineStr">
        <is>
          <t>acoa-apeca</t>
        </is>
      </c>
      <c r="Y3568" t="inlineStr">
        <is>
          <t>Atlantic Canada Opportunities Agency | Agence de promotion économique du Canada atlantique</t>
        </is>
      </c>
    </row>
    <row r="3569">
      <c r="A3569" t="inlineStr">
        <is>
          <t>T-2013-Q3-00084</t>
        </is>
      </c>
      <c r="B3569" t="inlineStr">
        <is>
          <t>MPSES</t>
        </is>
      </c>
      <c r="C3569" t="inlineStr">
        <is>
          <t>Chief of Staff</t>
        </is>
      </c>
      <c r="D3569" t="inlineStr">
        <is>
          <t>Chef de cabinet</t>
        </is>
      </c>
      <c r="E3569" t="inlineStr">
        <is>
          <t>Jacques Fauteux</t>
        </is>
      </c>
      <c r="F3569" t="inlineStr">
        <is>
          <t>To accompany Minister of State to the International Security Forum</t>
        </is>
      </c>
      <c r="G3569" t="inlineStr">
        <is>
          <t>Pour accompagner le ministre d'État au Forum sur la sécurité internationale</t>
        </is>
      </c>
      <c r="H3569" s="1" t="n">
        <v>41228</v>
      </c>
      <c r="I3569" s="1" t="n">
        <v>41231</v>
      </c>
      <c r="J3569" t="inlineStr">
        <is>
          <t>Halifax, Nova Scotia</t>
        </is>
      </c>
      <c r="K3569" t="inlineStr">
        <is>
          <t>Halifax (Nouvelle-Écosse)</t>
        </is>
      </c>
      <c r="P3569" t="n">
        <v>1018.7</v>
      </c>
      <c r="Q3569" t="n">
        <v>210.35</v>
      </c>
      <c r="R3569" t="n">
        <v>0</v>
      </c>
      <c r="S3569" t="n">
        <v>268.6</v>
      </c>
      <c r="T3569" t="n">
        <v>0</v>
      </c>
      <c r="U3569" t="n">
        <v>1497.65</v>
      </c>
      <c r="X3569" t="inlineStr">
        <is>
          <t>acoa-apeca</t>
        </is>
      </c>
      <c r="Y3569" t="inlineStr">
        <is>
          <t>Atlantic Canada Opportunities Agency | Agence de promotion économique du Canada atlantique</t>
        </is>
      </c>
    </row>
    <row r="3570">
      <c r="A3570" t="inlineStr">
        <is>
          <t>T-2013-Q3-00083</t>
        </is>
      </c>
      <c r="B3570" t="inlineStr">
        <is>
          <t>MPSES</t>
        </is>
      </c>
      <c r="C3570" t="inlineStr">
        <is>
          <t>Minister of State</t>
        </is>
      </c>
      <c r="D3570" t="inlineStr">
        <is>
          <t>Ministre d'État</t>
        </is>
      </c>
      <c r="E3570" t="inlineStr">
        <is>
          <t>Bernard Valcourt</t>
        </is>
      </c>
      <c r="F3570" t="inlineStr">
        <is>
          <t>Attend the International Security Forum</t>
        </is>
      </c>
      <c r="G3570" t="inlineStr">
        <is>
          <t>Participation au Forum sur la sécurité internationale</t>
        </is>
      </c>
      <c r="H3570" s="1" t="n">
        <v>41228</v>
      </c>
      <c r="I3570" s="1" t="n">
        <v>41231</v>
      </c>
      <c r="J3570" t="inlineStr">
        <is>
          <t>Halifax, Nova Scotia</t>
        </is>
      </c>
      <c r="K3570" t="inlineStr">
        <is>
          <t>Halifax (Nouvelle-Écosse)</t>
        </is>
      </c>
      <c r="P3570" t="n">
        <v>804.23</v>
      </c>
      <c r="Q3570" t="n">
        <v>309.08</v>
      </c>
      <c r="R3570" t="n">
        <v>0</v>
      </c>
      <c r="S3570" t="n">
        <v>181.8</v>
      </c>
      <c r="T3570" t="n">
        <v>0</v>
      </c>
      <c r="U3570" t="n">
        <v>1295.11</v>
      </c>
      <c r="X3570" t="inlineStr">
        <is>
          <t>acoa-apeca</t>
        </is>
      </c>
      <c r="Y3570" t="inlineStr">
        <is>
          <t>Atlantic Canada Opportunities Agency | Agence de promotion économique du Canada atlantique</t>
        </is>
      </c>
    </row>
    <row r="3571">
      <c r="A3571" t="inlineStr">
        <is>
          <t>T-2013-Q3-00082</t>
        </is>
      </c>
      <c r="B3571" t="inlineStr">
        <is>
          <t>SLE</t>
        </is>
      </c>
      <c r="C3571" t="inlineStr">
        <is>
          <t>President</t>
        </is>
      </c>
      <c r="D3571" t="inlineStr">
        <is>
          <t>Président</t>
        </is>
      </c>
      <c r="E3571" t="inlineStr">
        <is>
          <t>Paul J. LeBlanc</t>
        </is>
      </c>
      <c r="F3571" t="inlineStr">
        <is>
          <t>For various meetings and discussions with Agency officials, and to attend portions of the Halifax International Security Forum</t>
        </is>
      </c>
      <c r="G3571" t="inlineStr">
        <is>
          <t>Diverses réunions et discussions avec des fonctionnaires de l'Agence, et participation à des parties du Forum sur la sécurité internationale, à Halifax</t>
        </is>
      </c>
      <c r="H3571" s="1" t="n">
        <v>41228</v>
      </c>
      <c r="I3571" s="1" t="n">
        <v>41230</v>
      </c>
      <c r="J3571" t="inlineStr">
        <is>
          <t>Halifax, Nova Scotia</t>
        </is>
      </c>
      <c r="K3571" t="inlineStr">
        <is>
          <t>Halifax (Nouvelle-Écosse)</t>
        </is>
      </c>
      <c r="P3571" t="n">
        <v>0</v>
      </c>
      <c r="Q3571" t="n">
        <v>0</v>
      </c>
      <c r="R3571" t="n">
        <v>466.86</v>
      </c>
      <c r="S3571" t="n">
        <v>108.2</v>
      </c>
      <c r="T3571" t="n">
        <v>0</v>
      </c>
      <c r="U3571" t="n">
        <v>575.0599999999999</v>
      </c>
      <c r="X3571" t="inlineStr">
        <is>
          <t>acoa-apeca</t>
        </is>
      </c>
      <c r="Y3571" t="inlineStr">
        <is>
          <t>Atlantic Canada Opportunities Agency | Agence de promotion économique du Canada atlantique</t>
        </is>
      </c>
    </row>
    <row r="3572">
      <c r="A3572" t="inlineStr">
        <is>
          <t>T-2013-Q3-00081</t>
        </is>
      </c>
      <c r="B3572" t="inlineStr">
        <is>
          <t>SLE</t>
        </is>
      </c>
      <c r="C3572" t="inlineStr">
        <is>
          <t>Vice President, Nova Scotia</t>
        </is>
      </c>
      <c r="D3572" t="inlineStr">
        <is>
          <t>Vice-président, Nouvelle-Écosse</t>
        </is>
      </c>
      <c r="E3572" t="inlineStr">
        <is>
          <t>Peter Hogan</t>
        </is>
      </c>
      <c r="F3572" t="inlineStr">
        <is>
          <t xml:space="preserve">Assistant Deputy Minister Forum </t>
        </is>
      </c>
      <c r="G3572" t="inlineStr">
        <is>
          <t>Forum des sous-ministres adjoints</t>
        </is>
      </c>
      <c r="H3572" s="1" t="n">
        <v>41227</v>
      </c>
      <c r="I3572" s="1" t="n">
        <v>41228</v>
      </c>
      <c r="J3572" t="inlineStr">
        <is>
          <t>Ottawa, Ontario</t>
        </is>
      </c>
      <c r="K3572" t="inlineStr">
        <is>
          <t>Ottawa (Ontario)</t>
        </is>
      </c>
      <c r="P3572" t="n">
        <v>616.28</v>
      </c>
      <c r="Q3572" t="n">
        <v>178.2</v>
      </c>
      <c r="R3572" t="n">
        <v>177.41</v>
      </c>
      <c r="S3572" t="n">
        <v>106.4</v>
      </c>
      <c r="T3572" t="n">
        <v>0</v>
      </c>
      <c r="U3572" t="n">
        <v>1078.29</v>
      </c>
      <c r="X3572" t="inlineStr">
        <is>
          <t>acoa-apeca</t>
        </is>
      </c>
      <c r="Y3572" t="inlineStr">
        <is>
          <t>Atlantic Canada Opportunities Agency | Agence de promotion économique du Canada atlantique</t>
        </is>
      </c>
    </row>
    <row r="3573">
      <c r="A3573" t="inlineStr">
        <is>
          <t>T-2013-Q3-00080</t>
        </is>
      </c>
      <c r="B3573" t="inlineStr">
        <is>
          <t>SLE</t>
        </is>
      </c>
      <c r="C3573" t="inlineStr">
        <is>
          <t>Vice-President, New Brunswick</t>
        </is>
      </c>
      <c r="D3573" t="inlineStr">
        <is>
          <t>Vice-présidente, Nouveau-Brunswick</t>
        </is>
      </c>
      <c r="E3573" t="inlineStr">
        <is>
          <t>Janet Gagnon</t>
        </is>
      </c>
      <c r="F3573" t="inlineStr">
        <is>
          <t>Our Top Talent 2012</t>
        </is>
      </c>
      <c r="G3573" t="inlineStr">
        <is>
          <t>Nos meilleurs talents 2012</t>
        </is>
      </c>
      <c r="H3573" s="1" t="n">
        <v>41226</v>
      </c>
      <c r="I3573" s="1" t="n">
        <v>41227</v>
      </c>
      <c r="J3573" t="inlineStr">
        <is>
          <t>Moncton, New Brunswick</t>
        </is>
      </c>
      <c r="K3573" t="inlineStr">
        <is>
          <t>Moncton (Nouveau-Brunswick)</t>
        </is>
      </c>
      <c r="P3573" t="n">
        <v>0</v>
      </c>
      <c r="Q3573" t="n">
        <v>0</v>
      </c>
      <c r="R3573" t="n">
        <v>134.47</v>
      </c>
      <c r="S3573" t="n">
        <v>106.4</v>
      </c>
      <c r="T3573" t="n">
        <v>13.28</v>
      </c>
      <c r="U3573" t="n">
        <v>254.15</v>
      </c>
      <c r="X3573" t="inlineStr">
        <is>
          <t>acoa-apeca</t>
        </is>
      </c>
      <c r="Y3573" t="inlineStr">
        <is>
          <t>Atlantic Canada Opportunities Agency | Agence de promotion économique du Canada atlantique</t>
        </is>
      </c>
    </row>
    <row r="3574">
      <c r="A3574" t="inlineStr">
        <is>
          <t>T-2013-Q3-00079</t>
        </is>
      </c>
      <c r="B3574" t="inlineStr">
        <is>
          <t>SLE</t>
        </is>
      </c>
      <c r="C3574" t="inlineStr">
        <is>
          <t>Vice-President, Newfoundland and Labrador</t>
        </is>
      </c>
      <c r="D3574" t="inlineStr">
        <is>
          <t>Vice-président, Terre-Neuve-et-Labrador</t>
        </is>
      </c>
      <c r="E3574" t="inlineStr">
        <is>
          <t>Paul Mills</t>
        </is>
      </c>
      <c r="F3574" t="inlineStr">
        <is>
          <t>Travel to Ottawa for Canada Aviation and Space Museum</t>
        </is>
      </c>
      <c r="G3574" t="inlineStr">
        <is>
          <t xml:space="preserve">Voyage à Ottawa au Musée de l'aviation et de l'espace du Canada </t>
        </is>
      </c>
      <c r="H3574" s="1" t="n">
        <v>41226</v>
      </c>
      <c r="I3574" s="1" t="n">
        <v>41229</v>
      </c>
      <c r="P3574" t="n">
        <v>1369.2</v>
      </c>
      <c r="Q3574" t="n">
        <v>158</v>
      </c>
      <c r="R3574" t="n">
        <v>354.82</v>
      </c>
      <c r="S3574" t="n">
        <v>195.5</v>
      </c>
      <c r="T3574" t="n">
        <v>9.73</v>
      </c>
      <c r="U3574" t="n">
        <v>2087.25</v>
      </c>
      <c r="X3574" t="inlineStr">
        <is>
          <t>acoa-apeca</t>
        </is>
      </c>
      <c r="Y3574" t="inlineStr">
        <is>
          <t>Atlantic Canada Opportunities Agency | Agence de promotion économique du Canada atlantique</t>
        </is>
      </c>
    </row>
    <row r="3575">
      <c r="A3575" t="inlineStr">
        <is>
          <t>T-2013-Q3-00078</t>
        </is>
      </c>
      <c r="B3575" t="inlineStr">
        <is>
          <t>SLE</t>
        </is>
      </c>
      <c r="C3575" t="inlineStr">
        <is>
          <t>Vice-President, Policy and Programs</t>
        </is>
      </c>
      <c r="D3575" t="inlineStr">
        <is>
          <t>Vice-président, Politiques et Programmes</t>
        </is>
      </c>
      <c r="E3575" t="inlineStr">
        <is>
          <t>Daryell Nowlan</t>
        </is>
      </c>
      <c r="F3575" t="inlineStr">
        <is>
          <t>Meetings with Government of Canada officials</t>
        </is>
      </c>
      <c r="G3575" t="inlineStr">
        <is>
          <t>Réunions avec des fonctionnaires du gouvernement du Canada</t>
        </is>
      </c>
      <c r="H3575" s="1" t="n">
        <v>41226</v>
      </c>
      <c r="I3575" s="1" t="n">
        <v>41229</v>
      </c>
      <c r="J3575" t="inlineStr">
        <is>
          <t>Ottawa, Ontario</t>
        </is>
      </c>
      <c r="K3575" t="inlineStr">
        <is>
          <t>Ottawa (Ontario)</t>
        </is>
      </c>
      <c r="P3575" t="n">
        <v>926.6</v>
      </c>
      <c r="Q3575" t="n">
        <v>180</v>
      </c>
      <c r="R3575" t="n">
        <v>532.23</v>
      </c>
      <c r="S3575" t="n">
        <v>221.45</v>
      </c>
      <c r="T3575" t="n">
        <v>0</v>
      </c>
      <c r="U3575" t="n">
        <v>1860.28</v>
      </c>
      <c r="X3575" t="inlineStr">
        <is>
          <t>acoa-apeca</t>
        </is>
      </c>
      <c r="Y3575" t="inlineStr">
        <is>
          <t>Atlantic Canada Opportunities Agency | Agence de promotion économique du Canada atlantique</t>
        </is>
      </c>
    </row>
    <row r="3576">
      <c r="A3576" t="inlineStr">
        <is>
          <t>T-2013-Q3-00075</t>
        </is>
      </c>
      <c r="B3576" t="inlineStr">
        <is>
          <t>SLE</t>
        </is>
      </c>
      <c r="C3576" t="inlineStr">
        <is>
          <t>Vice President, Nova Scotia</t>
        </is>
      </c>
      <c r="D3576" t="inlineStr">
        <is>
          <t>Vice-président, Nouvelle-Écosse</t>
        </is>
      </c>
      <c r="E3576" t="inlineStr">
        <is>
          <t>Peter Hogan</t>
        </is>
      </c>
      <c r="F3576" t="inlineStr">
        <is>
          <t xml:space="preserve">Community Outreach Clients Visits to New Glasgow </t>
        </is>
      </c>
      <c r="G3576" t="inlineStr">
        <is>
          <t>Visites de sensibilisation communautaire auprès des clients à New Glasgow</t>
        </is>
      </c>
      <c r="H3576" s="1" t="n">
        <v>41220</v>
      </c>
      <c r="I3576" s="1" t="n">
        <v>41220</v>
      </c>
      <c r="J3576" t="inlineStr">
        <is>
          <t>New Glasgow, Nova Scotia</t>
        </is>
      </c>
      <c r="K3576" t="inlineStr">
        <is>
          <t>New Glasgow (Nouvelle-Écosse)</t>
        </is>
      </c>
      <c r="P3576" t="n">
        <v>0</v>
      </c>
      <c r="Q3576" t="n">
        <v>0</v>
      </c>
      <c r="R3576" t="n">
        <v>0</v>
      </c>
      <c r="S3576" t="n">
        <v>15</v>
      </c>
      <c r="T3576" t="n">
        <v>0</v>
      </c>
      <c r="U3576" t="n">
        <v>15</v>
      </c>
      <c r="X3576" t="inlineStr">
        <is>
          <t>acoa-apeca</t>
        </is>
      </c>
      <c r="Y3576" t="inlineStr">
        <is>
          <t>Atlantic Canada Opportunities Agency | Agence de promotion économique du Canada atlantique</t>
        </is>
      </c>
    </row>
    <row r="3577">
      <c r="A3577" t="inlineStr">
        <is>
          <t>T-2013-Q3-00073</t>
        </is>
      </c>
      <c r="B3577" t="inlineStr">
        <is>
          <t>SLE</t>
        </is>
      </c>
      <c r="C3577" t="inlineStr">
        <is>
          <t>Vice-President, Policy and Programs</t>
        </is>
      </c>
      <c r="D3577" t="inlineStr">
        <is>
          <t>Vice-président, Politiques et Programmes</t>
        </is>
      </c>
      <c r="E3577" t="inlineStr">
        <is>
          <t>Daryell Nowlan</t>
        </is>
      </c>
      <c r="F3577" t="inlineStr">
        <is>
          <t>Attending the 4th Annual NB Health Research Conference as a speaker</t>
        </is>
      </c>
      <c r="G3577" t="inlineStr">
        <is>
          <t>Participer à titre de conférencier à la quatrième conférence annuelle sur la recherche en santé du N.-B.</t>
        </is>
      </c>
      <c r="H3577" s="1" t="n">
        <v>41220</v>
      </c>
      <c r="I3577" s="1" t="n">
        <v>41221</v>
      </c>
      <c r="J3577" t="inlineStr">
        <is>
          <t>Fredericton, New Brunswick</t>
        </is>
      </c>
      <c r="K3577" t="inlineStr">
        <is>
          <t>Fredericton (Nouveau-Brunswick)</t>
        </is>
      </c>
      <c r="P3577" t="n">
        <v>0</v>
      </c>
      <c r="Q3577" t="n">
        <v>153.41</v>
      </c>
      <c r="R3577" t="n">
        <v>163.85</v>
      </c>
      <c r="S3577" t="n">
        <v>75.45</v>
      </c>
      <c r="T3577" t="n">
        <v>0</v>
      </c>
      <c r="U3577" t="n">
        <v>392.71</v>
      </c>
      <c r="X3577" t="inlineStr">
        <is>
          <t>acoa-apeca</t>
        </is>
      </c>
      <c r="Y3577" t="inlineStr">
        <is>
          <t>Atlantic Canada Opportunities Agency | Agence de promotion économique du Canada atlantique</t>
        </is>
      </c>
    </row>
    <row r="3578">
      <c r="A3578" t="inlineStr">
        <is>
          <t>T-2013-Q3-00072</t>
        </is>
      </c>
      <c r="B3578" t="inlineStr">
        <is>
          <t>MPSES</t>
        </is>
      </c>
      <c r="C3578" t="inlineStr">
        <is>
          <t>Executive Assistant and Press Secretary</t>
        </is>
      </c>
      <c r="D3578" t="inlineStr">
        <is>
          <t>Adjointe exécutive et attaché de presse</t>
        </is>
      </c>
      <c r="E3578" t="inlineStr">
        <is>
          <t>Andrea Richer</t>
        </is>
      </c>
      <c r="F3578" t="inlineStr">
        <is>
          <t>Travel to accompany Minister to various events (La Francophonie and Atlantic Canada Opportunities Agency)</t>
        </is>
      </c>
      <c r="G3578" t="inlineStr">
        <is>
          <t>Voyage pour accompagner le ministre à diverses activités (la Francophonie et Agence de promotion économique du Canada atlantique)</t>
        </is>
      </c>
      <c r="H3578" s="1" t="n">
        <v>41217</v>
      </c>
      <c r="I3578" s="1" t="n">
        <v>41218</v>
      </c>
      <c r="J3578" t="inlineStr">
        <is>
          <t>Montréal, Quebec and Halifax, Nova Scotia</t>
        </is>
      </c>
      <c r="K3578" t="inlineStr">
        <is>
          <t>Montréal (Québec) et Halifax (Nouvelle-Écosse)</t>
        </is>
      </c>
      <c r="P3578" t="n">
        <v>1267.53</v>
      </c>
      <c r="Q3578" t="n">
        <v>0</v>
      </c>
      <c r="R3578" t="n">
        <v>146.63</v>
      </c>
      <c r="S3578" t="n">
        <v>121.9</v>
      </c>
      <c r="T3578" t="n">
        <v>0</v>
      </c>
      <c r="U3578" t="n">
        <v>1536.06</v>
      </c>
      <c r="X3578" t="inlineStr">
        <is>
          <t>acoa-apeca</t>
        </is>
      </c>
      <c r="Y3578" t="inlineStr">
        <is>
          <t>Atlantic Canada Opportunities Agency | Agence de promotion économique du Canada atlantique</t>
        </is>
      </c>
    </row>
    <row r="3579">
      <c r="A3579" t="inlineStr">
        <is>
          <t>T-2013-Q3-00071</t>
        </is>
      </c>
      <c r="B3579" t="inlineStr">
        <is>
          <t>MPSES</t>
        </is>
      </c>
      <c r="C3579" t="inlineStr">
        <is>
          <t>Minister of State</t>
        </is>
      </c>
      <c r="D3579" t="inlineStr">
        <is>
          <t>Ministre d'État</t>
        </is>
      </c>
      <c r="E3579" t="inlineStr">
        <is>
          <t>Bernard Valcourt</t>
        </is>
      </c>
      <c r="F3579" t="inlineStr">
        <is>
          <t>Various meetings and speeches for the Government of Canada</t>
        </is>
      </c>
      <c r="G3579" t="inlineStr">
        <is>
          <t>Réunions et allocutions diverses pour le gouvernement du Canada</t>
        </is>
      </c>
      <c r="H3579" s="1" t="n">
        <v>41217</v>
      </c>
      <c r="I3579" s="1" t="n">
        <v>41218</v>
      </c>
      <c r="J3579" t="inlineStr">
        <is>
          <t>Montréal, Quebec and Halifax, Nova Scotia</t>
        </is>
      </c>
      <c r="K3579" t="inlineStr">
        <is>
          <t>Montréal (Québec) et Halifax (Nouvelle-Écosse)</t>
        </is>
      </c>
      <c r="P3579" t="n">
        <v>1156.34</v>
      </c>
      <c r="Q3579" t="n">
        <v>0</v>
      </c>
      <c r="R3579" t="n">
        <v>146.63</v>
      </c>
      <c r="S3579" t="n">
        <v>121.9</v>
      </c>
      <c r="T3579" t="n">
        <v>8.859999999999999</v>
      </c>
      <c r="U3579" t="n">
        <v>1433.73</v>
      </c>
      <c r="X3579" t="inlineStr">
        <is>
          <t>acoa-apeca</t>
        </is>
      </c>
      <c r="Y3579" t="inlineStr">
        <is>
          <t>Atlantic Canada Opportunities Agency | Agence de promotion économique du Canada atlantique</t>
        </is>
      </c>
    </row>
    <row r="3580">
      <c r="A3580" t="inlineStr">
        <is>
          <t>T-2013-Q3-00070</t>
        </is>
      </c>
      <c r="B3580" t="inlineStr">
        <is>
          <t>SLE</t>
        </is>
      </c>
      <c r="C3580" t="inlineStr">
        <is>
          <t>Vice-President, Prince Edward Island</t>
        </is>
      </c>
      <c r="D3580" t="inlineStr">
        <is>
          <t>Vice-président, Île-du-Prince-Édouard</t>
        </is>
      </c>
      <c r="E3580" t="inlineStr">
        <is>
          <t>Patrick Dorsey</t>
        </is>
      </c>
      <c r="F3580" t="inlineStr">
        <is>
          <t>Meetings - Atlantic Canada Tourism Partnership (ACTP) Launch and ACOA Officials</t>
        </is>
      </c>
      <c r="G3580" t="inlineStr">
        <is>
          <t>Réunions - lancement du Partenariat du tourisme du Canada atlantique (PTCA) et fonctionnaires de l'APECA</t>
        </is>
      </c>
      <c r="H3580" s="1" t="n">
        <v>41217</v>
      </c>
      <c r="I3580" s="1" t="n">
        <v>41219</v>
      </c>
      <c r="J3580" t="inlineStr">
        <is>
          <t>Ottawa, Ontario</t>
        </is>
      </c>
      <c r="K3580" t="inlineStr">
        <is>
          <t>Ottawa (Ontario)</t>
        </is>
      </c>
      <c r="P3580" t="n">
        <v>955.17</v>
      </c>
      <c r="Q3580" t="n">
        <v>145</v>
      </c>
      <c r="R3580" t="n">
        <v>324.04</v>
      </c>
      <c r="S3580" t="n">
        <v>195.5</v>
      </c>
      <c r="T3580" t="n">
        <v>0</v>
      </c>
      <c r="U3580" t="n">
        <v>1619.71</v>
      </c>
      <c r="X3580" t="inlineStr">
        <is>
          <t>acoa-apeca</t>
        </is>
      </c>
      <c r="Y3580" t="inlineStr">
        <is>
          <t>Atlantic Canada Opportunities Agency | Agence de promotion économique du Canada atlantique</t>
        </is>
      </c>
    </row>
    <row r="3581">
      <c r="A3581" t="inlineStr">
        <is>
          <t>T-2013-Q3-00069</t>
        </is>
      </c>
      <c r="B3581" t="inlineStr">
        <is>
          <t>MPSES</t>
        </is>
      </c>
      <c r="C3581" t="inlineStr">
        <is>
          <t>Honourable Senator</t>
        </is>
      </c>
      <c r="D3581" t="inlineStr">
        <is>
          <t>Honorable sénateur</t>
        </is>
      </c>
      <c r="E3581" t="inlineStr">
        <is>
          <t>Michael L. MacDonald</t>
        </is>
      </c>
      <c r="F3581" t="inlineStr">
        <is>
          <t>Travel on behalf of Minister of State for Shipbuilding Roundtables</t>
        </is>
      </c>
      <c r="G3581" t="inlineStr">
        <is>
          <t>Voyage au nom du ministre d'État pour les tables rondes sur la construction navale</t>
        </is>
      </c>
      <c r="H3581" s="1" t="n">
        <v>41215</v>
      </c>
      <c r="I3581" s="1" t="n">
        <v>41215</v>
      </c>
      <c r="J3581" t="inlineStr">
        <is>
          <t>Membertou, Nova Scotia</t>
        </is>
      </c>
      <c r="K3581" t="inlineStr">
        <is>
          <t>Membertou (Nouvelle-Écosse)</t>
        </is>
      </c>
      <c r="P3581" t="n">
        <v>0</v>
      </c>
      <c r="Q3581" t="n">
        <v>473.69</v>
      </c>
      <c r="R3581" t="n">
        <v>0</v>
      </c>
      <c r="S3581" t="n">
        <v>71.8</v>
      </c>
      <c r="T3581" t="n">
        <v>0</v>
      </c>
      <c r="U3581" t="n">
        <v>545.49</v>
      </c>
      <c r="X3581" t="inlineStr">
        <is>
          <t>acoa-apeca</t>
        </is>
      </c>
      <c r="Y3581" t="inlineStr">
        <is>
          <t>Atlantic Canada Opportunities Agency | Agence de promotion économique du Canada atlantique</t>
        </is>
      </c>
    </row>
    <row r="3582">
      <c r="A3582" t="inlineStr">
        <is>
          <t>T-2013-Q3-00067</t>
        </is>
      </c>
      <c r="B3582" t="inlineStr">
        <is>
          <t>SLE</t>
        </is>
      </c>
      <c r="C3582" t="inlineStr">
        <is>
          <t>Vice-President, Newfoundland and Labrador</t>
        </is>
      </c>
      <c r="D3582" t="inlineStr">
        <is>
          <t>Vice-président, Terre-Neuve-et-Labrador</t>
        </is>
      </c>
      <c r="E3582" t="inlineStr">
        <is>
          <t>Paul Mills</t>
        </is>
      </c>
      <c r="F3582" t="inlineStr">
        <is>
          <t>To participate in Executive Professional Development (2 days)</t>
        </is>
      </c>
      <c r="G3582" t="inlineStr">
        <is>
          <t>Participer à un cours de perfectionnement professionnel des cadres (deux jours)</t>
        </is>
      </c>
      <c r="H3582" s="1" t="n">
        <v>41213</v>
      </c>
      <c r="I3582" s="1" t="n">
        <v>41215</v>
      </c>
      <c r="J3582" t="inlineStr">
        <is>
          <t>Toronto, Ontario</t>
        </is>
      </c>
      <c r="K3582" t="inlineStr">
        <is>
          <t>Toronto (Ontario)</t>
        </is>
      </c>
      <c r="P3582" t="n">
        <v>1377.02</v>
      </c>
      <c r="Q3582" t="n">
        <v>178</v>
      </c>
      <c r="R3582" t="n">
        <v>350.3</v>
      </c>
      <c r="S3582" t="n">
        <v>236.8</v>
      </c>
      <c r="T3582" t="n">
        <v>10.53</v>
      </c>
      <c r="U3582" t="n">
        <v>2152.65</v>
      </c>
      <c r="X3582" t="inlineStr">
        <is>
          <t>acoa-apeca</t>
        </is>
      </c>
      <c r="Y3582" t="inlineStr">
        <is>
          <t>Atlantic Canada Opportunities Agency | Agence de promotion économique du Canada atlantique</t>
        </is>
      </c>
    </row>
    <row r="3583">
      <c r="A3583" t="inlineStr">
        <is>
          <t>T-2013-Q3-00066</t>
        </is>
      </c>
      <c r="B3583" t="inlineStr">
        <is>
          <t>SLE</t>
        </is>
      </c>
      <c r="C3583" t="inlineStr">
        <is>
          <t>Vice-President, Policy and Programs</t>
        </is>
      </c>
      <c r="D3583" t="inlineStr">
        <is>
          <t>Vice-président, Politiques et Programmes</t>
        </is>
      </c>
      <c r="E3583" t="inlineStr">
        <is>
          <t>Daryell Nowlan</t>
        </is>
      </c>
      <c r="F3583" t="inlineStr">
        <is>
          <t>Meeting with Government of Canada officials</t>
        </is>
      </c>
      <c r="G3583" t="inlineStr">
        <is>
          <t>Réunion avec des fonctionnaires du gouvernement du Canada</t>
        </is>
      </c>
      <c r="H3583" s="1" t="n">
        <v>41213</v>
      </c>
      <c r="I3583" s="1" t="n">
        <v>41214</v>
      </c>
      <c r="J3583" t="inlineStr">
        <is>
          <t>Ottawa, Ontario</t>
        </is>
      </c>
      <c r="K3583" t="inlineStr">
        <is>
          <t>Ottawa (Ontario)</t>
        </is>
      </c>
      <c r="P3583" t="n">
        <v>926.6</v>
      </c>
      <c r="Q3583" t="n">
        <v>120.58</v>
      </c>
      <c r="R3583" t="n">
        <v>177.41</v>
      </c>
      <c r="S3583" t="n">
        <v>146</v>
      </c>
      <c r="T3583" t="n">
        <v>0</v>
      </c>
      <c r="U3583" t="n">
        <v>1370.59</v>
      </c>
      <c r="X3583" t="inlineStr">
        <is>
          <t>acoa-apeca</t>
        </is>
      </c>
      <c r="Y3583" t="inlineStr">
        <is>
          <t>Atlantic Canada Opportunities Agency | Agence de promotion économique du Canada atlantique</t>
        </is>
      </c>
    </row>
    <row r="3584">
      <c r="A3584" t="inlineStr">
        <is>
          <t>T-2013-Q3-00065</t>
        </is>
      </c>
      <c r="B3584" t="inlineStr">
        <is>
          <t>SLE</t>
        </is>
      </c>
      <c r="C3584" t="inlineStr">
        <is>
          <t>Vice President, Nova Scotia</t>
        </is>
      </c>
      <c r="D3584" t="inlineStr">
        <is>
          <t>Vice-président, Nouvelle-Écosse</t>
        </is>
      </c>
      <c r="E3584" t="inlineStr">
        <is>
          <t>Peter Hogan</t>
        </is>
      </c>
      <c r="F3584" t="inlineStr">
        <is>
          <t xml:space="preserve">Atlantic Gateway Federal Provincial Officials Committee </t>
        </is>
      </c>
      <c r="G3584" t="inlineStr">
        <is>
          <t>Comité des représentants fédéraux-provinciaux de la Porte de l'Atlantique</t>
        </is>
      </c>
      <c r="H3584" s="1" t="n">
        <v>41212</v>
      </c>
      <c r="I3584" s="1" t="n">
        <v>41213</v>
      </c>
      <c r="J3584" t="inlineStr">
        <is>
          <t>St. John's, Newfoundland</t>
        </is>
      </c>
      <c r="K3584" t="inlineStr">
        <is>
          <t>St. John's (Terre-Neuve-et-Labrador)</t>
        </is>
      </c>
      <c r="P3584" t="n">
        <v>236.56</v>
      </c>
      <c r="Q3584" t="n">
        <v>92.2</v>
      </c>
      <c r="R3584" t="n">
        <v>207.64</v>
      </c>
      <c r="S3584" t="n">
        <v>91.40000000000001</v>
      </c>
      <c r="T3584" t="n">
        <v>0</v>
      </c>
      <c r="U3584" t="n">
        <v>627.8</v>
      </c>
      <c r="X3584" t="inlineStr">
        <is>
          <t>acoa-apeca</t>
        </is>
      </c>
      <c r="Y3584" t="inlineStr">
        <is>
          <t>Atlantic Canada Opportunities Agency | Agence de promotion économique du Canada atlantique</t>
        </is>
      </c>
    </row>
    <row r="3585">
      <c r="A3585" t="inlineStr">
        <is>
          <t>T-2013-Q3-00063</t>
        </is>
      </c>
      <c r="B3585" t="inlineStr">
        <is>
          <t>SLE</t>
        </is>
      </c>
      <c r="C3585" t="inlineStr">
        <is>
          <t>President</t>
        </is>
      </c>
      <c r="D3585" t="inlineStr">
        <is>
          <t>Président</t>
        </is>
      </c>
      <c r="E3585" t="inlineStr">
        <is>
          <t>Paul J. LeBlanc</t>
        </is>
      </c>
      <c r="F3585" t="inlineStr">
        <is>
          <t>For various meetings and discussions with Government of Canada officials</t>
        </is>
      </c>
      <c r="G3585" t="inlineStr">
        <is>
          <t>Diverses réunions et discussions avec des fonctionnaires du gouvernement du Canada</t>
        </is>
      </c>
      <c r="H3585" s="1" t="n">
        <v>41212</v>
      </c>
      <c r="I3585" s="1" t="n">
        <v>41215</v>
      </c>
      <c r="J3585" t="inlineStr">
        <is>
          <t>Ottawa, Ontario</t>
        </is>
      </c>
      <c r="K3585" t="inlineStr">
        <is>
          <t>Ottawa (Ontario)</t>
        </is>
      </c>
      <c r="P3585" t="n">
        <v>873.46</v>
      </c>
      <c r="Q3585" t="n">
        <v>12.74</v>
      </c>
      <c r="R3585" t="n">
        <v>539.01</v>
      </c>
      <c r="S3585" t="n">
        <v>254.1</v>
      </c>
      <c r="T3585" t="n">
        <v>158</v>
      </c>
      <c r="U3585" t="n">
        <v>1837.31</v>
      </c>
      <c r="X3585" t="inlineStr">
        <is>
          <t>acoa-apeca</t>
        </is>
      </c>
      <c r="Y3585" t="inlineStr">
        <is>
          <t>Atlantic Canada Opportunities Agency | Agence de promotion économique du Canada atlantique</t>
        </is>
      </c>
    </row>
    <row r="3586">
      <c r="A3586" t="inlineStr">
        <is>
          <t>T-2013-Q3-00062</t>
        </is>
      </c>
      <c r="B3586" t="inlineStr">
        <is>
          <t>SLE</t>
        </is>
      </c>
      <c r="C3586" t="inlineStr">
        <is>
          <t>Vice-President, Finance and Corporate Services</t>
        </is>
      </c>
      <c r="D3586" t="inlineStr">
        <is>
          <t>Vice-présidente, Finances et Services corporatifs</t>
        </is>
      </c>
      <c r="E3586" t="inlineStr">
        <is>
          <t>Denise Frenette</t>
        </is>
      </c>
      <c r="F3586" t="inlineStr">
        <is>
          <t>Meetings with Government of Canada Officials and Agency Officials</t>
        </is>
      </c>
      <c r="G3586" t="inlineStr">
        <is>
          <t>Réunions avec des fonctionnaires du gouvernement du Canada et de l'Agence</t>
        </is>
      </c>
      <c r="H3586" s="1" t="n">
        <v>41212</v>
      </c>
      <c r="I3586" s="1" t="n">
        <v>41215</v>
      </c>
      <c r="J3586" t="inlineStr">
        <is>
          <t>Ottawa, Ontario</t>
        </is>
      </c>
      <c r="K3586" t="inlineStr">
        <is>
          <t>Ottawa (Ontario)</t>
        </is>
      </c>
      <c r="P3586" t="n">
        <v>723.22</v>
      </c>
      <c r="Q3586" t="n">
        <v>99.23</v>
      </c>
      <c r="R3586" t="n">
        <v>532.23</v>
      </c>
      <c r="S3586" t="n">
        <v>208.1</v>
      </c>
      <c r="T3586" t="n">
        <v>0</v>
      </c>
      <c r="U3586" t="n">
        <v>1562.78</v>
      </c>
      <c r="X3586" t="inlineStr">
        <is>
          <t>acoa-apeca</t>
        </is>
      </c>
      <c r="Y3586" t="inlineStr">
        <is>
          <t>Atlantic Canada Opportunities Agency | Agence de promotion économique du Canada atlantique</t>
        </is>
      </c>
    </row>
    <row r="3587">
      <c r="A3587" t="inlineStr">
        <is>
          <t>T-2013-Q3-00061</t>
        </is>
      </c>
      <c r="B3587" t="inlineStr">
        <is>
          <t>MPSES</t>
        </is>
      </c>
      <c r="C3587" t="inlineStr">
        <is>
          <t>Chief of Staff</t>
        </is>
      </c>
      <c r="D3587" t="inlineStr">
        <is>
          <t>Chef de cabinet</t>
        </is>
      </c>
      <c r="E3587" t="inlineStr">
        <is>
          <t>Jacques Fauteux</t>
        </is>
      </c>
      <c r="F3587" t="inlineStr">
        <is>
          <t>Travel for various Atlantic Canada Opportunities Agency meetings (amounts have been reduced from previously published numbers to reflect airline rebates.  The airline provided these rebates after travel had occurred.)</t>
        </is>
      </c>
      <c r="G3587" t="inlineStr">
        <is>
          <t>Voyage pour diverses réunions de l'APECA (Les chiffres publiés antérieurement ont été réduits pour refléter des rabais sur les tarifs aériens. Le transporteur aérien a offert ces rabais après le voyage.)</t>
        </is>
      </c>
      <c r="H3587" s="1" t="n">
        <v>41207</v>
      </c>
      <c r="I3587" s="1" t="n">
        <v>41211</v>
      </c>
      <c r="J3587" t="inlineStr">
        <is>
          <t>Moncton and Fredericton, New Brunswick, Halifax, Nova Scotia and St. John's, Newfoundland</t>
        </is>
      </c>
      <c r="K3587" t="inlineStr">
        <is>
          <t>Moncton et Fredericton (Nouveau-Brunswick), Halifax (Nouvelle-Écosse) et St. John's (Terre-Neuve)</t>
        </is>
      </c>
      <c r="P3587" t="n">
        <v>1747.21</v>
      </c>
      <c r="Q3587" t="n">
        <v>575.3</v>
      </c>
      <c r="R3587" t="n">
        <v>111.87</v>
      </c>
      <c r="S3587" t="n">
        <v>121.4</v>
      </c>
      <c r="T3587" t="n">
        <v>0</v>
      </c>
      <c r="U3587" t="n">
        <v>2555.78</v>
      </c>
      <c r="X3587" t="inlineStr">
        <is>
          <t>acoa-apeca</t>
        </is>
      </c>
      <c r="Y3587" t="inlineStr">
        <is>
          <t>Atlantic Canada Opportunities Agency | Agence de promotion économique du Canada atlantique</t>
        </is>
      </c>
    </row>
    <row r="3588">
      <c r="A3588" t="inlineStr">
        <is>
          <t>T-2013-Q3-00060</t>
        </is>
      </c>
      <c r="B3588" t="inlineStr">
        <is>
          <t>SLE</t>
        </is>
      </c>
      <c r="C3588" t="inlineStr">
        <is>
          <t>Vice-President, Policy and Programs</t>
        </is>
      </c>
      <c r="D3588" t="inlineStr">
        <is>
          <t>Vice-président, Politiques et Programmes</t>
        </is>
      </c>
      <c r="E3588" t="inlineStr">
        <is>
          <t>Daryell Nowlan</t>
        </is>
      </c>
      <c r="F3588" t="inlineStr">
        <is>
          <t>Meeting with Government of Canada officials</t>
        </is>
      </c>
      <c r="G3588" t="inlineStr">
        <is>
          <t>Réunion avec des fonctionnaires du gouvernement du Canada</t>
        </is>
      </c>
      <c r="H3588" s="1" t="n">
        <v>41207</v>
      </c>
      <c r="I3588" s="1" t="n">
        <v>41208</v>
      </c>
      <c r="J3588" t="inlineStr">
        <is>
          <t>Charlottetown, Prince Edward Island</t>
        </is>
      </c>
      <c r="K3588" t="inlineStr">
        <is>
          <t>Charlottetown (Île-du-Prince-Édouard)</t>
        </is>
      </c>
      <c r="P3588" t="n">
        <v>0</v>
      </c>
      <c r="Q3588" t="n">
        <v>124.37</v>
      </c>
      <c r="R3588" t="n">
        <v>118.65</v>
      </c>
      <c r="S3588" t="n">
        <v>90.3</v>
      </c>
      <c r="T3588" t="n">
        <v>0</v>
      </c>
      <c r="U3588" t="n">
        <v>333.32</v>
      </c>
      <c r="X3588" t="inlineStr">
        <is>
          <t>acoa-apeca</t>
        </is>
      </c>
      <c r="Y3588" t="inlineStr">
        <is>
          <t>Atlantic Canada Opportunities Agency | Agence de promotion économique du Canada atlantique</t>
        </is>
      </c>
    </row>
    <row r="3589">
      <c r="A3589" t="inlineStr">
        <is>
          <t>T-2013-Q3-00058</t>
        </is>
      </c>
      <c r="B3589" t="inlineStr">
        <is>
          <t>MPSES</t>
        </is>
      </c>
      <c r="C3589" t="inlineStr">
        <is>
          <t>Minister of State</t>
        </is>
      </c>
      <c r="D3589" t="inlineStr">
        <is>
          <t>Ministre d'État</t>
        </is>
      </c>
      <c r="E3589" t="inlineStr">
        <is>
          <t>Bernard Valcourt</t>
        </is>
      </c>
      <c r="F3589" t="inlineStr">
        <is>
          <t>Various meetings and speeches for the Government of Canada</t>
        </is>
      </c>
      <c r="G3589" t="inlineStr">
        <is>
          <t>Réunions et allocutions diverses pour le gouvernement du Canada</t>
        </is>
      </c>
      <c r="H3589" s="1" t="n">
        <v>41204</v>
      </c>
      <c r="I3589" s="1" t="n">
        <v>41205</v>
      </c>
      <c r="J3589" t="inlineStr">
        <is>
          <t>Halifax, Nova Scotia</t>
        </is>
      </c>
      <c r="K3589" t="inlineStr">
        <is>
          <t>Halifax (Nouvelle-Écosse)</t>
        </is>
      </c>
      <c r="P3589" t="n">
        <v>766.72</v>
      </c>
      <c r="Q3589" t="n">
        <v>0</v>
      </c>
      <c r="R3589" t="n">
        <v>166.57</v>
      </c>
      <c r="S3589" t="n">
        <v>106.4</v>
      </c>
      <c r="T3589" t="n">
        <v>0</v>
      </c>
      <c r="U3589" t="n">
        <v>1039.69</v>
      </c>
      <c r="X3589" t="inlineStr">
        <is>
          <t>acoa-apeca</t>
        </is>
      </c>
      <c r="Y3589" t="inlineStr">
        <is>
          <t>Atlantic Canada Opportunities Agency | Agence de promotion économique du Canada atlantique</t>
        </is>
      </c>
    </row>
    <row r="3590">
      <c r="A3590" t="inlineStr">
        <is>
          <t>T-2013-Q3-00057</t>
        </is>
      </c>
      <c r="B3590" t="inlineStr">
        <is>
          <t>SLE</t>
        </is>
      </c>
      <c r="C3590" t="inlineStr">
        <is>
          <t>Vice-President, Prince Edward Island</t>
        </is>
      </c>
      <c r="D3590" t="inlineStr">
        <is>
          <t>Vice-président, Île-du-Prince-Édouard</t>
        </is>
      </c>
      <c r="E3590" t="inlineStr">
        <is>
          <t>Patrick Dorsey</t>
        </is>
      </c>
      <c r="F3590" t="inlineStr">
        <is>
          <t>Meetings with ACOA Officials</t>
        </is>
      </c>
      <c r="G3590" t="inlineStr">
        <is>
          <t>Réunions avec des fonctionnaires de l'APECA</t>
        </is>
      </c>
      <c r="H3590" s="1" t="n">
        <v>41204</v>
      </c>
      <c r="I3590" s="1" t="n">
        <v>41206</v>
      </c>
      <c r="J3590" t="inlineStr">
        <is>
          <t>Ottawa, Ontario</t>
        </is>
      </c>
      <c r="K3590" t="inlineStr">
        <is>
          <t>Ottawa (Ontario)</t>
        </is>
      </c>
      <c r="P3590" t="n">
        <v>837.38</v>
      </c>
      <c r="Q3590" t="n">
        <v>70</v>
      </c>
      <c r="R3590" t="n">
        <v>354.82</v>
      </c>
      <c r="S3590" t="n">
        <v>236.8</v>
      </c>
      <c r="T3590" t="n">
        <v>0</v>
      </c>
      <c r="U3590" t="n">
        <v>1499</v>
      </c>
      <c r="X3590" t="inlineStr">
        <is>
          <t>acoa-apeca</t>
        </is>
      </c>
      <c r="Y3590" t="inlineStr">
        <is>
          <t>Atlantic Canada Opportunities Agency | Agence de promotion économique du Canada atlantique</t>
        </is>
      </c>
    </row>
    <row r="3591">
      <c r="A3591" t="inlineStr">
        <is>
          <t>T-2013-Q3-00056</t>
        </is>
      </c>
      <c r="B3591" t="inlineStr">
        <is>
          <t>SLE</t>
        </is>
      </c>
      <c r="C3591" t="inlineStr">
        <is>
          <t>Vice President, Nova Scotia</t>
        </is>
      </c>
      <c r="D3591" t="inlineStr">
        <is>
          <t>Vice-président, Nouvelle-Écosse</t>
        </is>
      </c>
      <c r="E3591" t="inlineStr">
        <is>
          <t>Peter Hogan</t>
        </is>
      </c>
      <c r="F3591" t="inlineStr">
        <is>
          <t>Persons with Disabilities Champions and Chairs Committee Meeting and Various Meetings with Agency Officials</t>
        </is>
      </c>
      <c r="G3591" t="inlineStr">
        <is>
          <t>Réunion du comité des champions et des présidents des personnes handicapées et diverses réunions avec des fonctionnaires de l'Agence</t>
        </is>
      </c>
      <c r="H3591" s="1" t="n">
        <v>41203</v>
      </c>
      <c r="I3591" s="1" t="n">
        <v>41204</v>
      </c>
      <c r="J3591" t="inlineStr">
        <is>
          <t>Ottawa, Ontario</t>
        </is>
      </c>
      <c r="K3591" t="inlineStr">
        <is>
          <t>Ottawa (Ontario)</t>
        </is>
      </c>
      <c r="P3591" t="n">
        <v>623.98</v>
      </c>
      <c r="Q3591" t="n">
        <v>145.2</v>
      </c>
      <c r="R3591" t="n">
        <v>177.41</v>
      </c>
      <c r="S3591" t="n">
        <v>147.7</v>
      </c>
      <c r="T3591" t="n">
        <v>0</v>
      </c>
      <c r="U3591" t="n">
        <v>1094.29</v>
      </c>
      <c r="X3591" t="inlineStr">
        <is>
          <t>acoa-apeca</t>
        </is>
      </c>
      <c r="Y3591" t="inlineStr">
        <is>
          <t>Atlantic Canada Opportunities Agency | Agence de promotion économique du Canada atlantique</t>
        </is>
      </c>
    </row>
    <row r="3592">
      <c r="A3592" t="inlineStr">
        <is>
          <t>T-2013-Q3-00055</t>
        </is>
      </c>
      <c r="B3592" t="inlineStr">
        <is>
          <t>SLE</t>
        </is>
      </c>
      <c r="C3592" t="inlineStr">
        <is>
          <t>President</t>
        </is>
      </c>
      <c r="D3592" t="inlineStr">
        <is>
          <t>Président</t>
        </is>
      </c>
      <c r="E3592" t="inlineStr">
        <is>
          <t>Paul J. LeBlanc</t>
        </is>
      </c>
      <c r="F3592" t="inlineStr">
        <is>
          <t>For meeting with Agency officials</t>
        </is>
      </c>
      <c r="G3592" t="inlineStr">
        <is>
          <t>Réunion avec des fonctionnaires de l'Agence</t>
        </is>
      </c>
      <c r="H3592" s="1" t="n">
        <v>41203</v>
      </c>
      <c r="I3592" s="1" t="n">
        <v>41204</v>
      </c>
      <c r="J3592" t="inlineStr">
        <is>
          <t>Ottawa, Ontario</t>
        </is>
      </c>
      <c r="K3592" t="inlineStr">
        <is>
          <t>Ottawa (Ontario)</t>
        </is>
      </c>
      <c r="P3592" t="n">
        <v>1114.36</v>
      </c>
      <c r="Q3592" t="n">
        <v>12.74</v>
      </c>
      <c r="R3592" t="n">
        <v>179.67</v>
      </c>
      <c r="S3592" t="n">
        <v>106.4</v>
      </c>
      <c r="T3592" t="n">
        <v>15</v>
      </c>
      <c r="U3592" t="n">
        <v>1428.17</v>
      </c>
      <c r="X3592" t="inlineStr">
        <is>
          <t>acoa-apeca</t>
        </is>
      </c>
      <c r="Y3592" t="inlineStr">
        <is>
          <t>Atlantic Canada Opportunities Agency | Agence de promotion économique du Canada atlantique</t>
        </is>
      </c>
    </row>
    <row r="3593">
      <c r="A3593" t="inlineStr">
        <is>
          <t>T-2013-Q3-00054</t>
        </is>
      </c>
      <c r="B3593" t="inlineStr">
        <is>
          <t>SLE</t>
        </is>
      </c>
      <c r="C3593" t="inlineStr">
        <is>
          <t>Vice-President, Prince Edward Island</t>
        </is>
      </c>
      <c r="D3593" t="inlineStr">
        <is>
          <t>Vice-président, Île-du-Prince-Édouard</t>
        </is>
      </c>
      <c r="E3593" t="inlineStr">
        <is>
          <t>Patrick Dorsey</t>
        </is>
      </c>
      <c r="F3593" t="inlineStr">
        <is>
          <t>Meetings with ACOA Officials</t>
        </is>
      </c>
      <c r="G3593" t="inlineStr">
        <is>
          <t>Réunions avec des fonctionnaires de l'APECA</t>
        </is>
      </c>
      <c r="H3593" s="1" t="n">
        <v>41199</v>
      </c>
      <c r="I3593" s="1" t="n">
        <v>41200</v>
      </c>
      <c r="J3593" t="inlineStr">
        <is>
          <t>Ottawa, Ontario</t>
        </is>
      </c>
      <c r="K3593" t="inlineStr">
        <is>
          <t>Ottawa (Ontario)</t>
        </is>
      </c>
      <c r="P3593" t="n">
        <v>649.0599999999999</v>
      </c>
      <c r="Q3593" t="n">
        <v>35</v>
      </c>
      <c r="R3593" t="n">
        <v>222.61</v>
      </c>
      <c r="S3593" t="n">
        <v>106.4</v>
      </c>
      <c r="T3593" t="n">
        <v>0</v>
      </c>
      <c r="U3593" t="n">
        <v>1013.07</v>
      </c>
      <c r="X3593" t="inlineStr">
        <is>
          <t>acoa-apeca</t>
        </is>
      </c>
      <c r="Y3593" t="inlineStr">
        <is>
          <t>Atlantic Canada Opportunities Agency | Agence de promotion économique du Canada atlantique</t>
        </is>
      </c>
    </row>
    <row r="3594">
      <c r="A3594" t="inlineStr">
        <is>
          <t>T-2013-Q3-00053</t>
        </is>
      </c>
      <c r="B3594" t="inlineStr">
        <is>
          <t>SLE</t>
        </is>
      </c>
      <c r="C3594" t="inlineStr">
        <is>
          <t>Vice President, Nova Scotia</t>
        </is>
      </c>
      <c r="D3594" t="inlineStr">
        <is>
          <t>Vice-président, Nouvelle-Écosse</t>
        </is>
      </c>
      <c r="E3594" t="inlineStr">
        <is>
          <t>Peter Hogan</t>
        </is>
      </c>
      <c r="F3594" t="inlineStr">
        <is>
          <t>Community Outreach Visits to Southwest Nova Scotia</t>
        </is>
      </c>
      <c r="G3594" t="inlineStr">
        <is>
          <t>Visites de sensibilisation communautaire dans le sud-ouest de la Nouvelle-Écosse</t>
        </is>
      </c>
      <c r="H3594" s="1" t="n">
        <v>41198</v>
      </c>
      <c r="I3594" s="1" t="n">
        <v>41199</v>
      </c>
      <c r="J3594" t="inlineStr">
        <is>
          <t>Yarmouth, Nova Scotia</t>
        </is>
      </c>
      <c r="K3594" t="inlineStr">
        <is>
          <t>Yarmouth (Nouvelle-Écosse)</t>
        </is>
      </c>
      <c r="P3594" t="n">
        <v>0</v>
      </c>
      <c r="Q3594" t="n">
        <v>0</v>
      </c>
      <c r="R3594" t="n">
        <v>108.1</v>
      </c>
      <c r="S3594" t="n">
        <v>121.4</v>
      </c>
      <c r="T3594" t="n">
        <v>0</v>
      </c>
      <c r="U3594" t="n">
        <v>229.5</v>
      </c>
      <c r="X3594" t="inlineStr">
        <is>
          <t>acoa-apeca</t>
        </is>
      </c>
      <c r="Y3594" t="inlineStr">
        <is>
          <t>Atlantic Canada Opportunities Agency | Agence de promotion économique du Canada atlantique</t>
        </is>
      </c>
    </row>
    <row r="3595">
      <c r="A3595" t="inlineStr">
        <is>
          <t>T-2013-Q3-00052</t>
        </is>
      </c>
      <c r="B3595" t="inlineStr">
        <is>
          <t>SLE</t>
        </is>
      </c>
      <c r="C3595" t="inlineStr">
        <is>
          <t>President</t>
        </is>
      </c>
      <c r="D3595" t="inlineStr">
        <is>
          <t>Président</t>
        </is>
      </c>
      <c r="E3595" t="inlineStr">
        <is>
          <t>Paul J. LeBlanc</t>
        </is>
      </c>
      <c r="F3595" t="inlineStr">
        <is>
          <t>For various meetings and discussions with Agency officials and Government of Canada officials</t>
        </is>
      </c>
      <c r="G3595" t="inlineStr">
        <is>
          <t>Diverses réunions et discussions avec des fonctionnaires de l'Agence et du gouvernement du Canada</t>
        </is>
      </c>
      <c r="H3595" s="1" t="n">
        <v>41198</v>
      </c>
      <c r="I3595" s="1" t="n">
        <v>41201</v>
      </c>
      <c r="J3595" t="inlineStr">
        <is>
          <t>Ottawa, Ontario</t>
        </is>
      </c>
      <c r="K3595" t="inlineStr">
        <is>
          <t>Ottawa (Ontario)</t>
        </is>
      </c>
      <c r="P3595" t="n">
        <v>741.36</v>
      </c>
      <c r="Q3595" t="n">
        <v>12.74</v>
      </c>
      <c r="R3595" t="n">
        <v>539.01</v>
      </c>
      <c r="S3595" t="n">
        <v>310.4</v>
      </c>
      <c r="T3595" t="n">
        <v>173</v>
      </c>
      <c r="U3595" t="n">
        <v>1776.51</v>
      </c>
      <c r="X3595" t="inlineStr">
        <is>
          <t>acoa-apeca</t>
        </is>
      </c>
      <c r="Y3595" t="inlineStr">
        <is>
          <t>Atlantic Canada Opportunities Agency | Agence de promotion économique du Canada atlantique</t>
        </is>
      </c>
    </row>
    <row r="3596">
      <c r="A3596" t="inlineStr">
        <is>
          <t>T-2013-Q3-00051</t>
        </is>
      </c>
      <c r="B3596" t="inlineStr">
        <is>
          <t>SLE</t>
        </is>
      </c>
      <c r="C3596" t="inlineStr">
        <is>
          <t>Vice-President, Policy and Programs</t>
        </is>
      </c>
      <c r="D3596" t="inlineStr">
        <is>
          <t>Vice-président, Politiques et Programmes</t>
        </is>
      </c>
      <c r="E3596" t="inlineStr">
        <is>
          <t>Daryell Nowlan</t>
        </is>
      </c>
      <c r="F3596" t="inlineStr">
        <is>
          <t>Meeting with Goverment of Canada officials</t>
        </is>
      </c>
      <c r="G3596" t="inlineStr">
        <is>
          <t>Réunion avec des fonctionnaires du gouvernement du Canada</t>
        </is>
      </c>
      <c r="H3596" s="1" t="n">
        <v>41198</v>
      </c>
      <c r="I3596" s="1" t="n">
        <v>41199</v>
      </c>
      <c r="J3596" t="inlineStr">
        <is>
          <t>Ottawa, Ontario</t>
        </is>
      </c>
      <c r="K3596" t="inlineStr">
        <is>
          <t>Ottawa (Ontario)</t>
        </is>
      </c>
      <c r="P3596" t="n">
        <v>1000</v>
      </c>
      <c r="Q3596" t="n">
        <v>144.58</v>
      </c>
      <c r="R3596" t="n">
        <v>177.41</v>
      </c>
      <c r="S3596" t="n">
        <v>131.15</v>
      </c>
      <c r="T3596" t="n">
        <v>0</v>
      </c>
      <c r="U3596" t="n">
        <v>1453.14</v>
      </c>
      <c r="X3596" t="inlineStr">
        <is>
          <t>acoa-apeca</t>
        </is>
      </c>
      <c r="Y3596" t="inlineStr">
        <is>
          <t>Atlantic Canada Opportunities Agency | Agence de promotion économique du Canada atlantique</t>
        </is>
      </c>
    </row>
    <row r="3597">
      <c r="A3597" t="inlineStr">
        <is>
          <t>T-2013-Q3-00050</t>
        </is>
      </c>
      <c r="B3597" t="inlineStr">
        <is>
          <t>SLE</t>
        </is>
      </c>
      <c r="C3597" t="inlineStr">
        <is>
          <t>Vice President, Nova Scotia</t>
        </is>
      </c>
      <c r="D3597" t="inlineStr">
        <is>
          <t>Vice-président, Nouvelle-Écosse</t>
        </is>
      </c>
      <c r="E3597" t="inlineStr">
        <is>
          <t>Peter Hogan</t>
        </is>
      </c>
      <c r="F3597" t="inlineStr">
        <is>
          <t xml:space="preserve">Meeting with Agency Officials </t>
        </is>
      </c>
      <c r="G3597" t="inlineStr">
        <is>
          <t>Réunion avec des fonctionnaires de l'Agence</t>
        </is>
      </c>
      <c r="H3597" s="1" t="n">
        <v>41193</v>
      </c>
      <c r="I3597" s="1" t="n">
        <v>41193</v>
      </c>
      <c r="J3597" t="inlineStr">
        <is>
          <t>Moncton, New Brunswick</t>
        </is>
      </c>
      <c r="K3597" t="inlineStr">
        <is>
          <t>Moncton (Nouveau-Brunswick)</t>
        </is>
      </c>
      <c r="P3597" t="n">
        <v>0</v>
      </c>
      <c r="Q3597" t="n">
        <v>259.88</v>
      </c>
      <c r="R3597" t="n">
        <v>0</v>
      </c>
      <c r="S3597" t="n">
        <v>41.3</v>
      </c>
      <c r="T3597" t="n">
        <v>0</v>
      </c>
      <c r="U3597" t="n">
        <v>301.18</v>
      </c>
      <c r="X3597" t="inlineStr">
        <is>
          <t>acoa-apeca</t>
        </is>
      </c>
      <c r="Y3597" t="inlineStr">
        <is>
          <t>Atlantic Canada Opportunities Agency | Agence de promotion économique du Canada atlantique</t>
        </is>
      </c>
    </row>
    <row r="3598">
      <c r="A3598" t="inlineStr">
        <is>
          <t>T-2013-Q3-00047</t>
        </is>
      </c>
      <c r="B3598" t="inlineStr">
        <is>
          <t>SLE</t>
        </is>
      </c>
      <c r="C3598" t="inlineStr">
        <is>
          <t>Vice-President, Prince Edward Island</t>
        </is>
      </c>
      <c r="D3598" t="inlineStr">
        <is>
          <t>Vice-président, Île-du-Prince-Édouard</t>
        </is>
      </c>
      <c r="E3598" t="inlineStr">
        <is>
          <t>Patrick Dorsey</t>
        </is>
      </c>
      <c r="F3598" t="inlineStr">
        <is>
          <t>Meeting with ACOA Officials</t>
        </is>
      </c>
      <c r="G3598" t="inlineStr">
        <is>
          <t>Réunion avec des fonctionnaires de l'APECA</t>
        </is>
      </c>
      <c r="H3598" s="1" t="n">
        <v>41192</v>
      </c>
      <c r="I3598" s="1" t="n">
        <v>41194</v>
      </c>
      <c r="J3598" t="inlineStr">
        <is>
          <t>Moncton, New Brunswick</t>
        </is>
      </c>
      <c r="K3598" t="inlineStr">
        <is>
          <t>Moncton (Nouveau-Brunswick)</t>
        </is>
      </c>
      <c r="P3598" t="n">
        <v>0</v>
      </c>
      <c r="Q3598" t="n">
        <v>44.25</v>
      </c>
      <c r="R3598" t="n">
        <v>268.94</v>
      </c>
      <c r="S3598" t="n">
        <v>165.5</v>
      </c>
      <c r="T3598" t="n">
        <v>0</v>
      </c>
      <c r="U3598" t="n">
        <v>478.69</v>
      </c>
      <c r="X3598" t="inlineStr">
        <is>
          <t>acoa-apeca</t>
        </is>
      </c>
      <c r="Y3598" t="inlineStr">
        <is>
          <t>Atlantic Canada Opportunities Agency | Agence de promotion économique du Canada atlantique</t>
        </is>
      </c>
    </row>
    <row r="3599">
      <c r="A3599" t="inlineStr">
        <is>
          <t>T-2013-Q3-00039</t>
        </is>
      </c>
      <c r="B3599" t="inlineStr">
        <is>
          <t>SLE</t>
        </is>
      </c>
      <c r="C3599" t="inlineStr">
        <is>
          <t>Vice-President, Prince Edward Island</t>
        </is>
      </c>
      <c r="D3599" t="inlineStr">
        <is>
          <t>Vice-président, Île-du-Prince-Édouard</t>
        </is>
      </c>
      <c r="E3599" t="inlineStr">
        <is>
          <t>Patrick Dorsey</t>
        </is>
      </c>
      <c r="F3599" t="inlineStr">
        <is>
          <t>Meeting with ACTP Management Committee</t>
        </is>
      </c>
      <c r="G3599" t="inlineStr">
        <is>
          <t>Réunion avec le comité de gestion du PTCA</t>
        </is>
      </c>
      <c r="H3599" s="1" t="n">
        <v>41184</v>
      </c>
      <c r="I3599" s="1" t="n">
        <v>41185</v>
      </c>
      <c r="J3599" t="inlineStr">
        <is>
          <t>St. John's, Newfoundland and Labrador</t>
        </is>
      </c>
      <c r="K3599" t="inlineStr">
        <is>
          <t>St. John's (Terre-Neuve-et-Labrador)</t>
        </is>
      </c>
      <c r="P3599" t="n">
        <v>1678.22</v>
      </c>
      <c r="Q3599" t="n">
        <v>38</v>
      </c>
      <c r="R3599" t="n">
        <v>230.84</v>
      </c>
      <c r="S3599" t="n">
        <v>162.7</v>
      </c>
      <c r="T3599" t="n">
        <v>0</v>
      </c>
      <c r="U3599" t="n">
        <v>2109.76</v>
      </c>
      <c r="X3599" t="inlineStr">
        <is>
          <t>acoa-apeca</t>
        </is>
      </c>
      <c r="Y3599" t="inlineStr">
        <is>
          <t>Atlantic Canada Opportunities Agency | Agence de promotion économique du Canada atlantique</t>
        </is>
      </c>
    </row>
    <row r="3600">
      <c r="A3600" t="inlineStr">
        <is>
          <t>T-2013-Q3-00046</t>
        </is>
      </c>
      <c r="B3600" t="inlineStr">
        <is>
          <t>SLE</t>
        </is>
      </c>
      <c r="C3600" t="inlineStr">
        <is>
          <t>Vice-President, Newfoundland and Labrador</t>
        </is>
      </c>
      <c r="D3600" t="inlineStr">
        <is>
          <t>Vice-président, Terre-Neuve-et-Labrador</t>
        </is>
      </c>
      <c r="E3600" t="inlineStr">
        <is>
          <t>Paul Mills</t>
        </is>
      </c>
      <c r="F3600" t="inlineStr">
        <is>
          <t>To attend an Executive Committee meeting in Moncton, October 10-12, 2012</t>
        </is>
      </c>
      <c r="G3600" t="inlineStr">
        <is>
          <t>Assister à une réunion du Comité de direction à Moncton du 10 au 12 octobre 2012</t>
        </is>
      </c>
      <c r="H3600" s="1" t="n">
        <v>41192</v>
      </c>
      <c r="I3600" s="1" t="n">
        <v>41194</v>
      </c>
      <c r="J3600" t="inlineStr">
        <is>
          <t>Moncton, New Brunswick</t>
        </is>
      </c>
      <c r="K3600" t="inlineStr">
        <is>
          <t>Moncton (Nouveau-Brunswick)</t>
        </is>
      </c>
      <c r="P3600" t="n">
        <v>1368.14</v>
      </c>
      <c r="Q3600" t="n">
        <v>286.79</v>
      </c>
      <c r="R3600" t="n">
        <v>309.25</v>
      </c>
      <c r="S3600" t="n">
        <v>195.5</v>
      </c>
      <c r="T3600" t="n">
        <v>6.93</v>
      </c>
      <c r="U3600" t="n">
        <v>2166.61</v>
      </c>
      <c r="X3600" t="inlineStr">
        <is>
          <t>acoa-apeca</t>
        </is>
      </c>
      <c r="Y3600" t="inlineStr">
        <is>
          <t>Atlantic Canada Opportunities Agency | Agence de promotion économique du Canada atlantique</t>
        </is>
      </c>
    </row>
    <row r="3601">
      <c r="A3601" t="inlineStr">
        <is>
          <t>T-2013-Q3-00045</t>
        </is>
      </c>
      <c r="B3601" t="inlineStr">
        <is>
          <t>SLE</t>
        </is>
      </c>
      <c r="C3601" t="inlineStr">
        <is>
          <t>Vice-President, Newfoundland and Labrador</t>
        </is>
      </c>
      <c r="D3601" t="inlineStr">
        <is>
          <t>Vice-président, Terre-Neuve-et-Labrador</t>
        </is>
      </c>
      <c r="E3601" t="inlineStr">
        <is>
          <t>Paul Mills</t>
        </is>
      </c>
      <c r="F3601" t="inlineStr">
        <is>
          <t>To attend an Executive Committee meeting in Moncton, October 10-12, 2012</t>
        </is>
      </c>
      <c r="G3601" t="inlineStr">
        <is>
          <t>Assister à une réunion du Comité de direction à Moncton du 10 au 12 octobre 2012</t>
        </is>
      </c>
      <c r="H3601" s="1" t="n">
        <v>41192</v>
      </c>
      <c r="I3601" s="1" t="n">
        <v>41194</v>
      </c>
      <c r="J3601" t="inlineStr">
        <is>
          <t>Moncton, New Brunswick</t>
        </is>
      </c>
      <c r="K3601" t="inlineStr">
        <is>
          <t>Moncton (Nouveau-Brunswick)</t>
        </is>
      </c>
      <c r="P3601" t="n">
        <v>1368.14</v>
      </c>
      <c r="Q3601" t="n">
        <v>286.79</v>
      </c>
      <c r="R3601" t="n">
        <v>309.25</v>
      </c>
      <c r="S3601" t="n">
        <v>195.5</v>
      </c>
      <c r="T3601" t="n">
        <v>6.93</v>
      </c>
      <c r="U3601" t="n">
        <v>2166.61</v>
      </c>
      <c r="X3601" t="inlineStr">
        <is>
          <t>acoa-apeca</t>
        </is>
      </c>
      <c r="Y3601" t="inlineStr">
        <is>
          <t>Atlantic Canada Opportunities Agency | Agence de promotion économique du Canada atlantique</t>
        </is>
      </c>
    </row>
    <row r="3602">
      <c r="A3602" t="inlineStr">
        <is>
          <t>T-2013-Q3-00044</t>
        </is>
      </c>
      <c r="B3602" t="inlineStr">
        <is>
          <t>MPSES</t>
        </is>
      </c>
      <c r="C3602" t="inlineStr">
        <is>
          <t>Senior Policy Advisor</t>
        </is>
      </c>
      <c r="D3602" t="inlineStr">
        <is>
          <t>Conseiller principal en politiques</t>
        </is>
      </c>
      <c r="E3602" t="inlineStr">
        <is>
          <t>Benoit Violette</t>
        </is>
      </c>
      <c r="F3602" t="inlineStr">
        <is>
          <t>Travel to accompany Minister to the Francophonie Summit and to Dublin, Ireland</t>
        </is>
      </c>
      <c r="G3602" t="inlineStr">
        <is>
          <t>Voyage pour accompagner le ministre au Sommet de la Francophonie et à Dublin, en Irlande</t>
        </is>
      </c>
      <c r="H3602" s="1" t="n">
        <v>41191</v>
      </c>
      <c r="I3602" s="1" t="n">
        <v>41199</v>
      </c>
      <c r="J3602" t="inlineStr">
        <is>
          <t>Kinshasa, Congo and Dublin, Ireland</t>
        </is>
      </c>
      <c r="K3602" t="inlineStr">
        <is>
          <t>Kinshasa (Congo) et Dublin (Irlande)</t>
        </is>
      </c>
      <c r="P3602" t="n">
        <v>2688.86</v>
      </c>
      <c r="Q3602" t="n">
        <v>81.95</v>
      </c>
      <c r="R3602" t="n">
        <v>1854.05</v>
      </c>
      <c r="S3602" t="n">
        <v>908.89</v>
      </c>
      <c r="T3602" t="n">
        <v>0</v>
      </c>
      <c r="U3602" t="n">
        <v>5533.75</v>
      </c>
      <c r="X3602" t="inlineStr">
        <is>
          <t>acoa-apeca</t>
        </is>
      </c>
      <c r="Y3602" t="inlineStr">
        <is>
          <t>Atlantic Canada Opportunities Agency | Agence de promotion économique du Canada atlantique</t>
        </is>
      </c>
    </row>
    <row r="3603">
      <c r="A3603" t="inlineStr">
        <is>
          <t>T-2013-Q3-00043</t>
        </is>
      </c>
      <c r="B3603" t="inlineStr">
        <is>
          <t>MPSES</t>
        </is>
      </c>
      <c r="C3603" t="inlineStr">
        <is>
          <t>Executive Assistant and Press Secretary</t>
        </is>
      </c>
      <c r="D3603" t="inlineStr">
        <is>
          <t>Adjointe exécutive et attaché de presse</t>
        </is>
      </c>
      <c r="E3603" t="inlineStr">
        <is>
          <t>Andrea Richer</t>
        </is>
      </c>
      <c r="F3603" t="inlineStr">
        <is>
          <t>Travel to accompany Minister to the Francophonie Summit and the Conference on Ocean Energy</t>
        </is>
      </c>
      <c r="G3603" t="inlineStr">
        <is>
          <t>Voyage pour accompagner le ministre au Sommet de la Francophonie et à la Conférence sur l'énergie marine</t>
        </is>
      </c>
      <c r="H3603" s="1" t="n">
        <v>41191</v>
      </c>
      <c r="I3603" s="1" t="n">
        <v>41199</v>
      </c>
      <c r="J3603" t="inlineStr">
        <is>
          <t>Kinshasa, Congo and Dublin, Ireland</t>
        </is>
      </c>
      <c r="K3603" t="inlineStr">
        <is>
          <t>Kinshasa (Congo) et Dublin (Irlande)</t>
        </is>
      </c>
      <c r="P3603" t="n">
        <v>2688.86</v>
      </c>
      <c r="Q3603" t="n">
        <v>49</v>
      </c>
      <c r="R3603" t="n">
        <v>1834</v>
      </c>
      <c r="S3603" t="n">
        <v>926.0700000000001</v>
      </c>
      <c r="T3603" t="n">
        <v>0</v>
      </c>
      <c r="U3603" t="n">
        <v>5497.93</v>
      </c>
      <c r="X3603" t="inlineStr">
        <is>
          <t>acoa-apeca</t>
        </is>
      </c>
      <c r="Y3603" t="inlineStr">
        <is>
          <t>Atlantic Canada Opportunities Agency | Agence de promotion économique du Canada atlantique</t>
        </is>
      </c>
    </row>
    <row r="3604">
      <c r="A3604" t="inlineStr">
        <is>
          <t>T-2013-Q3-00042</t>
        </is>
      </c>
      <c r="B3604" t="inlineStr">
        <is>
          <t>MPSES</t>
        </is>
      </c>
      <c r="C3604" t="inlineStr">
        <is>
          <t>Minister of State</t>
        </is>
      </c>
      <c r="D3604" t="inlineStr">
        <is>
          <t>Ministre d'État</t>
        </is>
      </c>
      <c r="E3604" t="inlineStr">
        <is>
          <t>Bernard Valcourt</t>
        </is>
      </c>
      <c r="F3604" t="inlineStr">
        <is>
          <t>Francophonie Summit and Conference on Ocean Energy</t>
        </is>
      </c>
      <c r="G3604" t="inlineStr">
        <is>
          <t>Sommet de la Francophonie et Conférence sur l'énergie marine</t>
        </is>
      </c>
      <c r="H3604" s="1" t="n">
        <v>41191</v>
      </c>
      <c r="I3604" s="1" t="n">
        <v>41199</v>
      </c>
      <c r="J3604" t="inlineStr">
        <is>
          <t>Kinshasa, Democratic Republic of the Congo and Dublin, Ireland</t>
        </is>
      </c>
      <c r="K3604" t="inlineStr">
        <is>
          <t>Kinshasa (République démocratique du Congo) et Dublin (Irlande)</t>
        </is>
      </c>
      <c r="P3604" t="n">
        <v>12752.91</v>
      </c>
      <c r="Q3604" t="n">
        <v>49</v>
      </c>
      <c r="R3604" t="n">
        <v>3471.16</v>
      </c>
      <c r="S3604" t="n">
        <v>908.89</v>
      </c>
      <c r="T3604" t="n">
        <v>38.49</v>
      </c>
      <c r="U3604" t="n">
        <v>17220.45</v>
      </c>
      <c r="X3604" t="inlineStr">
        <is>
          <t>acoa-apeca</t>
        </is>
      </c>
      <c r="Y3604" t="inlineStr">
        <is>
          <t>Atlantic Canada Opportunities Agency | Agence de promotion économique du Canada atlantique</t>
        </is>
      </c>
    </row>
    <row r="3605">
      <c r="A3605" t="inlineStr">
        <is>
          <t>T-2013-Q3-00041</t>
        </is>
      </c>
      <c r="B3605" t="inlineStr">
        <is>
          <t>SLE</t>
        </is>
      </c>
      <c r="C3605" t="inlineStr">
        <is>
          <t>Vice-President, Policy and Programs</t>
        </is>
      </c>
      <c r="D3605" t="inlineStr">
        <is>
          <t>Vice-président, Politiques et Programmes</t>
        </is>
      </c>
      <c r="E3605" t="inlineStr">
        <is>
          <t>Daryell Nowlan</t>
        </is>
      </c>
      <c r="F3605" t="inlineStr">
        <is>
          <t>Meeting with Government of Canada officials</t>
        </is>
      </c>
      <c r="G3605" t="inlineStr">
        <is>
          <t>Réunion avec des fonctionnaires du gouvernement du Canada</t>
        </is>
      </c>
      <c r="H3605" s="1" t="n">
        <v>41190</v>
      </c>
      <c r="I3605" s="1" t="n">
        <v>41192</v>
      </c>
      <c r="J3605" t="inlineStr">
        <is>
          <t>Ottawa, Ontario</t>
        </is>
      </c>
      <c r="K3605" t="inlineStr">
        <is>
          <t>Ottawa (Ontario)</t>
        </is>
      </c>
      <c r="P3605" t="n">
        <v>1000</v>
      </c>
      <c r="Q3605" t="n">
        <v>144.58</v>
      </c>
      <c r="R3605" t="n">
        <v>354.82</v>
      </c>
      <c r="S3605" t="n">
        <v>163.3</v>
      </c>
      <c r="T3605" t="n">
        <v>0</v>
      </c>
      <c r="U3605" t="n">
        <v>1662.7</v>
      </c>
      <c r="X3605" t="inlineStr">
        <is>
          <t>acoa-apeca</t>
        </is>
      </c>
      <c r="Y3605" t="inlineStr">
        <is>
          <t>Atlantic Canada Opportunities Agency | Agence de promotion économique du Canada atlantique</t>
        </is>
      </c>
    </row>
    <row r="3606">
      <c r="A3606" t="inlineStr">
        <is>
          <t>T-2013-Q3-00038</t>
        </is>
      </c>
      <c r="B3606" t="inlineStr">
        <is>
          <t>SLE</t>
        </is>
      </c>
      <c r="C3606" t="inlineStr">
        <is>
          <t>President</t>
        </is>
      </c>
      <c r="D3606" t="inlineStr">
        <is>
          <t>Président</t>
        </is>
      </c>
      <c r="E3606" t="inlineStr">
        <is>
          <t>Paul J. LeBlanc</t>
        </is>
      </c>
      <c r="F3606" t="inlineStr">
        <is>
          <t>For various meetings and discussions with Agency officials and Government of Canada officials</t>
        </is>
      </c>
      <c r="G3606" t="inlineStr">
        <is>
          <t>Diverses réunions et discussions avec des fonctionnaires de l'Agence et du gouvernement du Canada</t>
        </is>
      </c>
      <c r="H3606" s="1" t="n">
        <v>41184</v>
      </c>
      <c r="I3606" s="1" t="n">
        <v>41185</v>
      </c>
      <c r="J3606" t="inlineStr">
        <is>
          <t>Ottawa, Ontario</t>
        </is>
      </c>
      <c r="K3606" t="inlineStr">
        <is>
          <t>Ottawa (Ontario)</t>
        </is>
      </c>
      <c r="P3606" t="n">
        <v>741.36</v>
      </c>
      <c r="Q3606" t="n">
        <v>0</v>
      </c>
      <c r="R3606" t="n">
        <v>179.67</v>
      </c>
      <c r="S3606" t="n">
        <v>90.90000000000001</v>
      </c>
      <c r="T3606" t="n">
        <v>30</v>
      </c>
      <c r="U3606" t="n">
        <v>1041.93</v>
      </c>
      <c r="X3606" t="inlineStr">
        <is>
          <t>acoa-apeca</t>
        </is>
      </c>
      <c r="Y3606" t="inlineStr">
        <is>
          <t>Atlantic Canada Opportunities Agency | Agence de promotion économique du Canada atlantique</t>
        </is>
      </c>
    </row>
    <row r="3607">
      <c r="A3607" t="inlineStr">
        <is>
          <t>T-2013-Q3-00037</t>
        </is>
      </c>
      <c r="B3607" t="inlineStr">
        <is>
          <t>SLE</t>
        </is>
      </c>
      <c r="C3607" t="inlineStr">
        <is>
          <t>Vice-President, Newfoundland and Labrador</t>
        </is>
      </c>
      <c r="D3607" t="inlineStr">
        <is>
          <t>Vice-président, Terre-Neuve-et-Labrador</t>
        </is>
      </c>
      <c r="E3607" t="inlineStr">
        <is>
          <t>Paul Mills</t>
        </is>
      </c>
      <c r="F3607" t="inlineStr">
        <is>
          <t>Mileage for October to December 2012 period</t>
        </is>
      </c>
      <c r="G3607" t="inlineStr">
        <is>
          <t>Kilométrage pour les mois d'octobre à décembre 2012</t>
        </is>
      </c>
      <c r="H3607" s="1" t="n">
        <v>41183</v>
      </c>
      <c r="I3607" s="1" t="n">
        <v>41274</v>
      </c>
      <c r="J3607" t="inlineStr">
        <is>
          <t>Various locations around the Newfoundland region</t>
        </is>
      </c>
      <c r="K3607" t="inlineStr">
        <is>
          <t>Divers endroits dans la région de Terre-Neuve-et-Labrador</t>
        </is>
      </c>
      <c r="P3607" t="n">
        <v>0</v>
      </c>
      <c r="Q3607" t="n">
        <v>23.92</v>
      </c>
      <c r="R3607" t="n">
        <v>0</v>
      </c>
      <c r="S3607" t="n">
        <v>0</v>
      </c>
      <c r="T3607" t="n">
        <v>0</v>
      </c>
      <c r="U3607" t="n">
        <v>23.92</v>
      </c>
      <c r="X3607" t="inlineStr">
        <is>
          <t>acoa-apeca</t>
        </is>
      </c>
      <c r="Y3607" t="inlineStr">
        <is>
          <t>Atlantic Canada Opportunities Agency | Agence de promotion économique du Canada atlantique</t>
        </is>
      </c>
    </row>
    <row r="3608">
      <c r="A3608" t="inlineStr">
        <is>
          <t>T-2013-Q3-00036</t>
        </is>
      </c>
      <c r="B3608" t="inlineStr">
        <is>
          <t>MPSES</t>
        </is>
      </c>
      <c r="C3608" t="inlineStr">
        <is>
          <t>Chief of Staff</t>
        </is>
      </c>
      <c r="D3608" t="inlineStr">
        <is>
          <t>Chef de cabinet</t>
        </is>
      </c>
      <c r="E3608" t="inlineStr">
        <is>
          <t>Jacques Fauteux</t>
        </is>
      </c>
      <c r="F3608" t="inlineStr">
        <is>
          <t>To attend the Aero Montreal Global Supply Chain Summit and bilateral meeting</t>
        </is>
      </c>
      <c r="G3608" t="inlineStr">
        <is>
          <t>Pour participer au Sommet aérospatiale Chaîne mondiale d'approvisionnement d'Aéro Montréal et à une réunion bilatérale</t>
        </is>
      </c>
      <c r="H3608" s="1" t="n">
        <v>41180</v>
      </c>
      <c r="I3608" s="1" t="n">
        <v>41180</v>
      </c>
      <c r="J3608" t="inlineStr">
        <is>
          <t>Montréal, Québec</t>
        </is>
      </c>
      <c r="K3608" t="inlineStr">
        <is>
          <t>Montréal (Québec)</t>
        </is>
      </c>
      <c r="P3608" t="n">
        <v>0</v>
      </c>
      <c r="Q3608" t="n">
        <v>222</v>
      </c>
      <c r="R3608" t="n">
        <v>0</v>
      </c>
      <c r="S3608" t="n">
        <v>15.6</v>
      </c>
      <c r="T3608" t="n">
        <v>0</v>
      </c>
      <c r="U3608" t="n">
        <v>237.6</v>
      </c>
      <c r="X3608" t="inlineStr">
        <is>
          <t>acoa-apeca</t>
        </is>
      </c>
      <c r="Y3608" t="inlineStr">
        <is>
          <t>Atlantic Canada Opportunities Agency | Agence de promotion économique du Canada atlantique</t>
        </is>
      </c>
    </row>
    <row r="3609">
      <c r="A3609" t="inlineStr">
        <is>
          <t>T-2013-Q3-00034</t>
        </is>
      </c>
      <c r="B3609" t="inlineStr">
        <is>
          <t>MPSES</t>
        </is>
      </c>
      <c r="C3609" t="inlineStr">
        <is>
          <t>Executive Assistant and Press Secretary</t>
        </is>
      </c>
      <c r="D3609" t="inlineStr">
        <is>
          <t>Adjointe exécutive et attaché de presse</t>
        </is>
      </c>
      <c r="E3609" t="inlineStr">
        <is>
          <t>Andrea Richer</t>
        </is>
      </c>
      <c r="F3609" t="inlineStr">
        <is>
          <t>Travel to accompany Minister to various Government of Canada events</t>
        </is>
      </c>
      <c r="G3609" t="inlineStr">
        <is>
          <t>Voyage pour accompagner le ministre à diverses activités du gouvernement du Canada</t>
        </is>
      </c>
      <c r="H3609" s="1" t="n">
        <v>41179</v>
      </c>
      <c r="I3609" s="1" t="n">
        <v>41180</v>
      </c>
      <c r="J3609" t="inlineStr">
        <is>
          <t>Montréal, Québec</t>
        </is>
      </c>
      <c r="K3609" t="inlineStr">
        <is>
          <t>Montréal (Québec)</t>
        </is>
      </c>
      <c r="P3609" t="n">
        <v>0</v>
      </c>
      <c r="Q3609" t="n">
        <v>0</v>
      </c>
      <c r="R3609" t="n">
        <v>166.6</v>
      </c>
      <c r="S3609" t="n">
        <v>105.9</v>
      </c>
      <c r="T3609" t="n">
        <v>0</v>
      </c>
      <c r="U3609" t="n">
        <v>272.5</v>
      </c>
      <c r="X3609" t="inlineStr">
        <is>
          <t>acoa-apeca</t>
        </is>
      </c>
      <c r="Y3609" t="inlineStr">
        <is>
          <t>Atlantic Canada Opportunities Agency | Agence de promotion économique du Canada atlantique</t>
        </is>
      </c>
    </row>
    <row r="3610">
      <c r="A3610" t="inlineStr">
        <is>
          <t>T-2013-Q3-00033</t>
        </is>
      </c>
      <c r="B3610" t="inlineStr">
        <is>
          <t>MPSES</t>
        </is>
      </c>
      <c r="C3610" t="inlineStr">
        <is>
          <t>Minister of State</t>
        </is>
      </c>
      <c r="D3610" t="inlineStr">
        <is>
          <t>Ministre d'État</t>
        </is>
      </c>
      <c r="E3610" t="inlineStr">
        <is>
          <t>Bernard Valcourt</t>
        </is>
      </c>
      <c r="F3610" t="inlineStr">
        <is>
          <t>Various meetings and speeches for the Government of Canada</t>
        </is>
      </c>
      <c r="G3610" t="inlineStr">
        <is>
          <t>Réunions et allocutions diverses pour le gouvernement du Canada</t>
        </is>
      </c>
      <c r="H3610" s="1" t="n">
        <v>41179</v>
      </c>
      <c r="I3610" s="1" t="n">
        <v>41180</v>
      </c>
      <c r="J3610" t="inlineStr">
        <is>
          <t>Montréal, Quebec</t>
        </is>
      </c>
      <c r="K3610" t="inlineStr">
        <is>
          <t>Montréal (Québec)</t>
        </is>
      </c>
      <c r="P3610" t="n">
        <v>0</v>
      </c>
      <c r="Q3610" t="n">
        <v>0</v>
      </c>
      <c r="R3610" t="n">
        <v>166.6</v>
      </c>
      <c r="S3610" t="n">
        <v>105.9</v>
      </c>
      <c r="T3610" t="n">
        <v>0</v>
      </c>
      <c r="U3610" t="n">
        <v>272.5</v>
      </c>
      <c r="X3610" t="inlineStr">
        <is>
          <t>acoa-apeca</t>
        </is>
      </c>
      <c r="Y3610" t="inlineStr">
        <is>
          <t>Atlantic Canada Opportunities Agency | Agence de promotion économique du Canada atlantique</t>
        </is>
      </c>
    </row>
    <row r="3611">
      <c r="A3611" t="inlineStr">
        <is>
          <t>T-2013-Q3-00032</t>
        </is>
      </c>
      <c r="B3611" t="inlineStr">
        <is>
          <t>SLE</t>
        </is>
      </c>
      <c r="C3611" t="inlineStr">
        <is>
          <t>Vice-President, Newfoundland and Labrador</t>
        </is>
      </c>
      <c r="D3611" t="inlineStr">
        <is>
          <t>Vice-président, Terre-Neuve-et-Labrador</t>
        </is>
      </c>
      <c r="E3611" t="inlineStr">
        <is>
          <t>Paul Mills</t>
        </is>
      </c>
      <c r="F3611" t="inlineStr">
        <is>
          <t>To attend various meetings with Senior Government of Canada Officials</t>
        </is>
      </c>
      <c r="G3611" t="inlineStr">
        <is>
          <t>Assister à diverses réunions avec des hauts fonctionnaires du gouvernement du Canada</t>
        </is>
      </c>
      <c r="H3611" s="1" t="n">
        <v>41177</v>
      </c>
      <c r="I3611" s="1" t="n">
        <v>41179</v>
      </c>
      <c r="J3611" t="inlineStr">
        <is>
          <t>Ottawa, Ontario</t>
        </is>
      </c>
      <c r="K3611" t="inlineStr">
        <is>
          <t>Ottawa (Ontario)</t>
        </is>
      </c>
      <c r="P3611" t="n">
        <v>1368.14</v>
      </c>
      <c r="Q3611" t="n">
        <v>185</v>
      </c>
      <c r="R3611" t="n">
        <v>354.82</v>
      </c>
      <c r="S3611" t="n">
        <v>235.35</v>
      </c>
      <c r="T3611" t="n">
        <v>10.13</v>
      </c>
      <c r="U3611" t="n">
        <v>2153.44</v>
      </c>
      <c r="X3611" t="inlineStr">
        <is>
          <t>acoa-apeca</t>
        </is>
      </c>
      <c r="Y3611" t="inlineStr">
        <is>
          <t>Atlantic Canada Opportunities Agency | Agence de promotion économique du Canada atlantique</t>
        </is>
      </c>
    </row>
    <row r="3612">
      <c r="A3612" t="inlineStr">
        <is>
          <t>T-2013-Q3-00031</t>
        </is>
      </c>
      <c r="B3612" t="inlineStr">
        <is>
          <t>SLE</t>
        </is>
      </c>
      <c r="C3612" t="inlineStr">
        <is>
          <t>Vice-President, New Brunswick</t>
        </is>
      </c>
      <c r="D3612" t="inlineStr">
        <is>
          <t>Vice-présidente, Nouveau-Brunswick</t>
        </is>
      </c>
      <c r="E3612" t="inlineStr">
        <is>
          <t>Janet Gagnon</t>
        </is>
      </c>
      <c r="F3612" t="inlineStr">
        <is>
          <t>Northern Strategy meeting (Shippagan) / interviews (Moncton)</t>
        </is>
      </c>
      <c r="G3612" t="inlineStr">
        <is>
          <t>Réunion sur la Stratégie du Nord (Shippagan) / entrevues (Moncton)</t>
        </is>
      </c>
      <c r="H3612" s="1" t="n">
        <v>41177</v>
      </c>
      <c r="I3612" s="1" t="n">
        <v>41179</v>
      </c>
      <c r="J3612" t="inlineStr">
        <is>
          <t>Shippagan, New Brunswick / Moncton, New Brunswick</t>
        </is>
      </c>
      <c r="K3612" t="inlineStr">
        <is>
          <t>Shippagan (Nouveau-Brunswick) / Moncton (Nouveau-Brunswick)</t>
        </is>
      </c>
      <c r="P3612" t="n">
        <v>0</v>
      </c>
      <c r="Q3612" t="n">
        <v>0</v>
      </c>
      <c r="R3612" t="n">
        <v>274.59</v>
      </c>
      <c r="S3612" t="n">
        <v>219.75</v>
      </c>
      <c r="T3612" t="n">
        <v>0</v>
      </c>
      <c r="U3612" t="n">
        <v>494.34</v>
      </c>
      <c r="X3612" t="inlineStr">
        <is>
          <t>acoa-apeca</t>
        </is>
      </c>
      <c r="Y3612" t="inlineStr">
        <is>
          <t>Atlantic Canada Opportunities Agency | Agence de promotion économique du Canada atlantique</t>
        </is>
      </c>
    </row>
    <row r="3613">
      <c r="A3613" t="inlineStr">
        <is>
          <t>T-2013-Q3-00010</t>
        </is>
      </c>
      <c r="B3613" t="inlineStr">
        <is>
          <t>SLE</t>
        </is>
      </c>
      <c r="C3613" t="inlineStr">
        <is>
          <t>Vice-President, Prince Edward Island</t>
        </is>
      </c>
      <c r="D3613" t="inlineStr">
        <is>
          <t>Vice-président, Île-du-Prince-Édouard</t>
        </is>
      </c>
      <c r="E3613" t="inlineStr">
        <is>
          <t>Patrick Dorsey</t>
        </is>
      </c>
      <c r="F3613" t="inlineStr">
        <is>
          <t>Meeting with ACOA Officials and EXCOMM</t>
        </is>
      </c>
      <c r="G3613" t="inlineStr">
        <is>
          <t>Réunion avec des fonctionnaires de l'APECA et réunion du Comité de direction</t>
        </is>
      </c>
      <c r="H3613" s="1" t="n">
        <v>41157</v>
      </c>
      <c r="I3613" s="1" t="n">
        <v>41159</v>
      </c>
      <c r="J3613" t="inlineStr">
        <is>
          <t>Halifax, Nova Scotia</t>
        </is>
      </c>
      <c r="K3613" t="inlineStr">
        <is>
          <t>Halifax (Nouvelle-Écosse)</t>
        </is>
      </c>
      <c r="P3613" t="n">
        <v>0</v>
      </c>
      <c r="Q3613" t="n">
        <v>100.13</v>
      </c>
      <c r="R3613" t="n">
        <v>373.02</v>
      </c>
      <c r="S3613" t="n">
        <v>194.5</v>
      </c>
      <c r="T3613" t="n">
        <v>0</v>
      </c>
      <c r="U3613" t="n">
        <v>667.65</v>
      </c>
      <c r="X3613" t="inlineStr">
        <is>
          <t>acoa-apeca</t>
        </is>
      </c>
      <c r="Y3613" t="inlineStr">
        <is>
          <t>Atlantic Canada Opportunities Agency | Agence de promotion économique du Canada atlantique</t>
        </is>
      </c>
    </row>
    <row r="3614">
      <c r="A3614" t="inlineStr">
        <is>
          <t>T-2013-Q3-00029</t>
        </is>
      </c>
      <c r="B3614" t="inlineStr">
        <is>
          <t>SLE</t>
        </is>
      </c>
      <c r="C3614" t="inlineStr">
        <is>
          <t>President</t>
        </is>
      </c>
      <c r="D3614" t="inlineStr">
        <is>
          <t>Président</t>
        </is>
      </c>
      <c r="E3614" t="inlineStr">
        <is>
          <t>Paul J. LeBlanc</t>
        </is>
      </c>
      <c r="F3614" t="inlineStr">
        <is>
          <t>For various meetings and discussions with Agency officials and Government of Canada officials</t>
        </is>
      </c>
      <c r="G3614" t="inlineStr">
        <is>
          <t>Diverses réunions et discussions avec des fonctionnaires de l'Agence et du gouvernement du Canada</t>
        </is>
      </c>
      <c r="H3614" s="1" t="n">
        <v>41176</v>
      </c>
      <c r="I3614" s="1" t="n">
        <v>41180</v>
      </c>
      <c r="J3614" t="inlineStr">
        <is>
          <t>Ottawa, Ontario and Halifax, Nova Scotia</t>
        </is>
      </c>
      <c r="K3614" t="inlineStr">
        <is>
          <t>Ottawa (Ontario) et Halifax (Nouvelle-Écosse)</t>
        </is>
      </c>
      <c r="P3614" t="n">
        <v>370.68</v>
      </c>
      <c r="Q3614" t="n">
        <v>73</v>
      </c>
      <c r="R3614" t="n">
        <v>534.12</v>
      </c>
      <c r="S3614" t="n">
        <v>237.05</v>
      </c>
      <c r="T3614" t="n">
        <v>66</v>
      </c>
      <c r="U3614" t="n">
        <v>1280.85</v>
      </c>
      <c r="X3614" t="inlineStr">
        <is>
          <t>acoa-apeca</t>
        </is>
      </c>
      <c r="Y3614" t="inlineStr">
        <is>
          <t>Atlantic Canada Opportunities Agency | Agence de promotion économique du Canada atlantique</t>
        </is>
      </c>
    </row>
    <row r="3615">
      <c r="A3615" t="inlineStr">
        <is>
          <t>T-2013-Q3-00028</t>
        </is>
      </c>
      <c r="B3615" t="inlineStr">
        <is>
          <t>SLE</t>
        </is>
      </c>
      <c r="C3615" t="inlineStr">
        <is>
          <t>Vice-President, Finance and Corporate Services</t>
        </is>
      </c>
      <c r="D3615" t="inlineStr">
        <is>
          <t>Vice-présidente, Finances et Services corporatifs</t>
        </is>
      </c>
      <c r="E3615" t="inlineStr">
        <is>
          <t>Denise Frenette</t>
        </is>
      </c>
      <c r="F3615" t="inlineStr">
        <is>
          <t>Meetings with National Governments Officials</t>
        </is>
      </c>
      <c r="G3615" t="inlineStr">
        <is>
          <t>Réunions avec des fonctionnaires de gouvernements nationaux</t>
        </is>
      </c>
      <c r="H3615" s="1" t="n">
        <v>41174</v>
      </c>
      <c r="I3615" s="1" t="n">
        <v>41180</v>
      </c>
      <c r="J3615" t="inlineStr">
        <is>
          <t>Chicago, Illinois</t>
        </is>
      </c>
      <c r="K3615" t="inlineStr">
        <is>
          <t>Chicago (Illinois)</t>
        </is>
      </c>
      <c r="P3615" t="n">
        <v>681.13</v>
      </c>
      <c r="Q3615" t="n">
        <v>116.1</v>
      </c>
      <c r="R3615" t="n">
        <v>649.5700000000001</v>
      </c>
      <c r="S3615" t="n">
        <v>233.85</v>
      </c>
      <c r="T3615" t="n">
        <v>5.93</v>
      </c>
      <c r="U3615" t="n">
        <v>1686.58</v>
      </c>
      <c r="X3615" t="inlineStr">
        <is>
          <t>acoa-apeca</t>
        </is>
      </c>
      <c r="Y3615" t="inlineStr">
        <is>
          <t>Atlantic Canada Opportunities Agency | Agence de promotion économique du Canada atlantique</t>
        </is>
      </c>
    </row>
    <row r="3616">
      <c r="A3616" t="inlineStr">
        <is>
          <t>T-2013-Q3-00027</t>
        </is>
      </c>
      <c r="B3616" t="inlineStr">
        <is>
          <t>SLE</t>
        </is>
      </c>
      <c r="C3616" t="inlineStr">
        <is>
          <t>Vice-President, Finance and Corporate Services</t>
        </is>
      </c>
      <c r="D3616" t="inlineStr">
        <is>
          <t>Vice-présidente, Finances et Services corporatifs</t>
        </is>
      </c>
      <c r="E3616" t="inlineStr">
        <is>
          <t>Denise Frenette</t>
        </is>
      </c>
      <c r="F3616" t="inlineStr">
        <is>
          <t>Meetings with Government of Canada Officials</t>
        </is>
      </c>
      <c r="G3616" t="inlineStr">
        <is>
          <t>Réunion avec des fonctionnaires du gouvernement du Canada</t>
        </is>
      </c>
      <c r="H3616" s="1" t="n">
        <v>41172</v>
      </c>
      <c r="I3616" s="1" t="n">
        <v>41173</v>
      </c>
      <c r="J3616" t="inlineStr">
        <is>
          <t>Ottawa, Ontario</t>
        </is>
      </c>
      <c r="K3616" t="inlineStr">
        <is>
          <t>Ottawa (Ontario)</t>
        </is>
      </c>
      <c r="P3616" t="n">
        <v>1075.76</v>
      </c>
      <c r="Q3616" t="n">
        <v>54.5</v>
      </c>
      <c r="R3616" t="n">
        <v>177.41</v>
      </c>
      <c r="S3616" t="n">
        <v>105.15</v>
      </c>
      <c r="T3616" t="n">
        <v>0</v>
      </c>
      <c r="U3616" t="n">
        <v>1412.82</v>
      </c>
      <c r="X3616" t="inlineStr">
        <is>
          <t>acoa-apeca</t>
        </is>
      </c>
      <c r="Y3616" t="inlineStr">
        <is>
          <t>Atlantic Canada Opportunities Agency | Agence de promotion économique du Canada atlantique</t>
        </is>
      </c>
    </row>
    <row r="3617">
      <c r="A3617" t="inlineStr">
        <is>
          <t>T-2013-Q3-00026</t>
        </is>
      </c>
      <c r="B3617" t="inlineStr">
        <is>
          <t>SLE</t>
        </is>
      </c>
      <c r="C3617" t="inlineStr">
        <is>
          <t>Vice President, Nova Scotia</t>
        </is>
      </c>
      <c r="D3617" t="inlineStr">
        <is>
          <t>Vice-président, Nouvelle-Écosse</t>
        </is>
      </c>
      <c r="E3617" t="inlineStr">
        <is>
          <t>Peter Hogan</t>
        </is>
      </c>
      <c r="F3617" t="inlineStr">
        <is>
          <t xml:space="preserve">Atlantic Canada Opportunities Board Meeting </t>
        </is>
      </c>
      <c r="G3617" t="inlineStr">
        <is>
          <t>Réunion du Conseil de promotion économique du Canada atlantique</t>
        </is>
      </c>
      <c r="H3617" s="1" t="n">
        <v>41171</v>
      </c>
      <c r="I3617" s="1" t="n">
        <v>41172</v>
      </c>
      <c r="J3617" t="inlineStr">
        <is>
          <t>St. John's, Newfoundland</t>
        </is>
      </c>
      <c r="K3617" t="inlineStr">
        <is>
          <t>St. John's (Terre-Neuve-et-Labrador)</t>
        </is>
      </c>
      <c r="P3617" t="n">
        <v>803.9400000000001</v>
      </c>
      <c r="Q3617" t="n">
        <v>83.59999999999999</v>
      </c>
      <c r="R3617" t="n">
        <v>203</v>
      </c>
      <c r="S3617" t="n">
        <v>114.6</v>
      </c>
      <c r="T3617" t="n">
        <v>0</v>
      </c>
      <c r="U3617" t="n">
        <v>1205.14</v>
      </c>
      <c r="X3617" t="inlineStr">
        <is>
          <t>acoa-apeca</t>
        </is>
      </c>
      <c r="Y3617" t="inlineStr">
        <is>
          <t>Atlantic Canada Opportunities Agency | Agence de promotion économique du Canada atlantique</t>
        </is>
      </c>
    </row>
    <row r="3618">
      <c r="A3618" t="inlineStr">
        <is>
          <t>T-2013-Q3-00025</t>
        </is>
      </c>
      <c r="B3618" t="inlineStr">
        <is>
          <t>SLE</t>
        </is>
      </c>
      <c r="C3618" t="inlineStr">
        <is>
          <t>Vice President, Nova Scotia</t>
        </is>
      </c>
      <c r="D3618" t="inlineStr">
        <is>
          <t>Vice-président, Nouvelle-Écosse</t>
        </is>
      </c>
      <c r="E3618" t="inlineStr">
        <is>
          <t>Peter Hogan</t>
        </is>
      </c>
      <c r="F3618" t="inlineStr">
        <is>
          <t xml:space="preserve">Meeting with Government of Canada Officials on the Atlantic Gateway </t>
        </is>
      </c>
      <c r="G3618" t="inlineStr">
        <is>
          <t>Réunion avec des fonctionnaires du gouvernement du Canada au sujet de la Porte de l'Atlantique</t>
        </is>
      </c>
      <c r="H3618" s="1" t="n">
        <v>41170</v>
      </c>
      <c r="I3618" s="1" t="n">
        <v>41170</v>
      </c>
      <c r="J3618" t="inlineStr">
        <is>
          <t>Ottawa, Ontario</t>
        </is>
      </c>
      <c r="K3618" t="inlineStr">
        <is>
          <t>Ottawa (Ontario)</t>
        </is>
      </c>
      <c r="P3618" t="n">
        <v>434.95</v>
      </c>
      <c r="Q3618" t="n">
        <v>119.6</v>
      </c>
      <c r="R3618" t="n">
        <v>0</v>
      </c>
      <c r="S3618" t="n">
        <v>55.7</v>
      </c>
      <c r="T3618" t="n">
        <v>0</v>
      </c>
      <c r="U3618" t="n">
        <v>610.25</v>
      </c>
      <c r="X3618" t="inlineStr">
        <is>
          <t>acoa-apeca</t>
        </is>
      </c>
      <c r="Y3618" t="inlineStr">
        <is>
          <t>Atlantic Canada Opportunities Agency | Agence de promotion économique du Canada atlantique</t>
        </is>
      </c>
    </row>
    <row r="3619">
      <c r="A3619" t="inlineStr">
        <is>
          <t>T-2013-Q3-00024</t>
        </is>
      </c>
      <c r="B3619" t="inlineStr">
        <is>
          <t>SLE</t>
        </is>
      </c>
      <c r="C3619" t="inlineStr">
        <is>
          <t>President</t>
        </is>
      </c>
      <c r="D3619" t="inlineStr">
        <is>
          <t>Président</t>
        </is>
      </c>
      <c r="E3619" t="inlineStr">
        <is>
          <t>Paul J. LeBlanc</t>
        </is>
      </c>
      <c r="F3619" t="inlineStr">
        <is>
          <t>For various meetings and discussions with Agency officials and Government of Canada officials</t>
        </is>
      </c>
      <c r="G3619" t="inlineStr">
        <is>
          <t>Diverses réunions et discussions avec des fonctionnaires de l'Agence et du gouvernement du Canada</t>
        </is>
      </c>
      <c r="H3619" s="1" t="n">
        <v>41170</v>
      </c>
      <c r="I3619" s="1" t="n">
        <v>41172</v>
      </c>
      <c r="J3619" t="inlineStr">
        <is>
          <t>Ottawa, Ontario</t>
        </is>
      </c>
      <c r="K3619" t="inlineStr">
        <is>
          <t>Ottawa (Ontario)</t>
        </is>
      </c>
      <c r="P3619" t="n">
        <v>741.36</v>
      </c>
      <c r="Q3619" t="n">
        <v>0</v>
      </c>
      <c r="R3619" t="n">
        <v>404.54</v>
      </c>
      <c r="S3619" t="n">
        <v>193.75</v>
      </c>
      <c r="T3619" t="n">
        <v>158</v>
      </c>
      <c r="U3619" t="n">
        <v>1497.65</v>
      </c>
      <c r="X3619" t="inlineStr">
        <is>
          <t>acoa-apeca</t>
        </is>
      </c>
      <c r="Y3619" t="inlineStr">
        <is>
          <t>Atlantic Canada Opportunities Agency | Agence de promotion économique du Canada atlantique</t>
        </is>
      </c>
    </row>
    <row r="3620">
      <c r="A3620" t="inlineStr">
        <is>
          <t>T-2013-Q3-00015</t>
        </is>
      </c>
      <c r="B3620" t="inlineStr">
        <is>
          <t>MPSES</t>
        </is>
      </c>
      <c r="C3620" t="inlineStr">
        <is>
          <t>Minister of State</t>
        </is>
      </c>
      <c r="D3620" t="inlineStr">
        <is>
          <t>Ministre d'État</t>
        </is>
      </c>
      <c r="E3620" t="inlineStr">
        <is>
          <t>Bernard Valcourt</t>
        </is>
      </c>
      <c r="F3620" t="inlineStr">
        <is>
          <t>Various meetings and speeches for the Government of Canada</t>
        </is>
      </c>
      <c r="G3620" t="inlineStr">
        <is>
          <t>Réunions et allocutions diverses pour le gouvernement du Canada</t>
        </is>
      </c>
      <c r="H3620" s="1" t="n">
        <v>41160</v>
      </c>
      <c r="I3620" s="1" t="n">
        <v>41163</v>
      </c>
      <c r="J3620" t="inlineStr">
        <is>
          <t>Charlottetown, Prince Edward Island and Halifax, Nova Scotia</t>
        </is>
      </c>
      <c r="K3620" t="inlineStr">
        <is>
          <t>Charlottetown (Île-du-Prince-Édouard) et Halifax (Nouvelle-Écosse)</t>
        </is>
      </c>
      <c r="P3620" t="n">
        <v>750.77</v>
      </c>
      <c r="Q3620" t="n">
        <v>20</v>
      </c>
      <c r="R3620" t="n">
        <v>472.24</v>
      </c>
      <c r="S3620" t="n">
        <v>250.95</v>
      </c>
      <c r="T3620" t="n">
        <v>0</v>
      </c>
      <c r="U3620" t="n">
        <v>1493.96</v>
      </c>
      <c r="X3620" t="inlineStr">
        <is>
          <t>acoa-apeca</t>
        </is>
      </c>
      <c r="Y3620" t="inlineStr">
        <is>
          <t>Atlantic Canada Opportunities Agency | Agence de promotion économique du Canada atlantique</t>
        </is>
      </c>
    </row>
    <row r="3621">
      <c r="A3621" t="inlineStr">
        <is>
          <t>T-2013-Q3-00023</t>
        </is>
      </c>
      <c r="B3621" t="inlineStr">
        <is>
          <t>SLE</t>
        </is>
      </c>
      <c r="C3621" t="inlineStr">
        <is>
          <t>Vice-President, New Brunswick</t>
        </is>
      </c>
      <c r="D3621" t="inlineStr">
        <is>
          <t>Vice-présidente, Nouveau-Brunswick</t>
        </is>
      </c>
      <c r="E3621" t="inlineStr">
        <is>
          <t>Janet Gagnon</t>
        </is>
      </c>
      <c r="F3621" t="inlineStr">
        <is>
          <t>Interviews (Ottawa) and Atlantic Canada Opportunities Board meeting (Newfoundland)</t>
        </is>
      </c>
      <c r="G3621" t="inlineStr">
        <is>
          <t>Entrevues à Ottawa et réunion du Conseil  de promotion économique du Canada atlantique à Terre-Neuve</t>
        </is>
      </c>
      <c r="H3621" s="1" t="n">
        <v>41169</v>
      </c>
      <c r="I3621" s="1" t="n">
        <v>41172</v>
      </c>
      <c r="J3621" t="inlineStr">
        <is>
          <t>Ottawa, Ontario / St. John's, Newfoundland and Labrador</t>
        </is>
      </c>
      <c r="K3621" t="inlineStr">
        <is>
          <t>Ottawa (Ontario) / St. John's (Terre-Neuve-et-Labrador)</t>
        </is>
      </c>
      <c r="P3621" t="n">
        <v>1096.1</v>
      </c>
      <c r="Q3621" t="n">
        <v>139.53</v>
      </c>
      <c r="R3621" t="n">
        <v>557.8200000000001</v>
      </c>
      <c r="S3621" t="n">
        <v>309.1</v>
      </c>
      <c r="T3621" t="n">
        <v>35</v>
      </c>
      <c r="U3621" t="n">
        <v>2137.55</v>
      </c>
      <c r="X3621" t="inlineStr">
        <is>
          <t>acoa-apeca</t>
        </is>
      </c>
      <c r="Y3621" t="inlineStr">
        <is>
          <t>Atlantic Canada Opportunities Agency | Agence de promotion économique du Canada atlantique</t>
        </is>
      </c>
    </row>
    <row r="3622">
      <c r="A3622" t="inlineStr">
        <is>
          <t>T-2013-Q3-00022</t>
        </is>
      </c>
      <c r="B3622" t="inlineStr">
        <is>
          <t>SLE</t>
        </is>
      </c>
      <c r="C3622" t="inlineStr">
        <is>
          <t>Vice-President, Policy and Programs</t>
        </is>
      </c>
      <c r="D3622" t="inlineStr">
        <is>
          <t>Vice-président, Politiques et Programmes</t>
        </is>
      </c>
      <c r="E3622" t="inlineStr">
        <is>
          <t>Daryell Nowlan</t>
        </is>
      </c>
      <c r="F3622" t="inlineStr">
        <is>
          <t>Meetings with Government of Canada and private sector officials</t>
        </is>
      </c>
      <c r="G3622" t="inlineStr">
        <is>
          <t>Réunions avec des représentants du gouvernement du Canada et du secteur privé</t>
        </is>
      </c>
      <c r="H3622" s="1" t="n">
        <v>41169</v>
      </c>
      <c r="I3622" s="1" t="n">
        <v>41173</v>
      </c>
      <c r="J3622" t="inlineStr">
        <is>
          <t>Ottawa, Ontario and St. John's, Newfoundland and Labrador</t>
        </is>
      </c>
      <c r="K3622" t="inlineStr">
        <is>
          <t>Ottawa (Ontario) et St. John's (Terre-Neuve-et-Labrador)</t>
        </is>
      </c>
      <c r="P3622" t="n">
        <v>1766.89</v>
      </c>
      <c r="Q3622" t="n">
        <v>171</v>
      </c>
      <c r="R3622" t="n">
        <v>760.8200000000001</v>
      </c>
      <c r="S3622" t="n">
        <v>279.6</v>
      </c>
      <c r="T3622" t="n">
        <v>0</v>
      </c>
      <c r="U3622" t="n">
        <v>2978.31</v>
      </c>
      <c r="X3622" t="inlineStr">
        <is>
          <t>acoa-apeca</t>
        </is>
      </c>
      <c r="Y3622" t="inlineStr">
        <is>
          <t>Atlantic Canada Opportunities Agency | Agence de promotion économique du Canada atlantique</t>
        </is>
      </c>
    </row>
    <row r="3623">
      <c r="A3623" t="inlineStr">
        <is>
          <t>T-2013-Q3-00020</t>
        </is>
      </c>
      <c r="B3623" t="inlineStr">
        <is>
          <t>SLE</t>
        </is>
      </c>
      <c r="C3623" t="inlineStr">
        <is>
          <t>Vice-President, Finance and Corporate Services</t>
        </is>
      </c>
      <c r="D3623" t="inlineStr">
        <is>
          <t>Vice-présidente, Finances et Services corporatifs</t>
        </is>
      </c>
      <c r="E3623" t="inlineStr">
        <is>
          <t>Denise Frenette</t>
        </is>
      </c>
      <c r="F3623" t="inlineStr">
        <is>
          <t>Meetings with Government of Canada Officials and Agency Officials</t>
        </is>
      </c>
      <c r="G3623" t="inlineStr">
        <is>
          <t>Réunions avec des fonctionnaires du gouvernement du Canada et de l'Agence</t>
        </is>
      </c>
      <c r="H3623" s="1" t="n">
        <v>41164</v>
      </c>
      <c r="I3623" s="1" t="n">
        <v>41165</v>
      </c>
      <c r="J3623" t="inlineStr">
        <is>
          <t>Ottawa, Ontario</t>
        </is>
      </c>
      <c r="K3623" t="inlineStr">
        <is>
          <t>Ottawa (Ontario)</t>
        </is>
      </c>
      <c r="P3623" t="n">
        <v>600.99</v>
      </c>
      <c r="Q3623" t="n">
        <v>117.5</v>
      </c>
      <c r="R3623" t="n">
        <v>177.41</v>
      </c>
      <c r="S3623" t="n">
        <v>131.15</v>
      </c>
      <c r="T3623" t="n">
        <v>0</v>
      </c>
      <c r="U3623" t="n">
        <v>1027.05</v>
      </c>
      <c r="X3623" t="inlineStr">
        <is>
          <t>acoa-apeca</t>
        </is>
      </c>
      <c r="Y3623" t="inlineStr">
        <is>
          <t>Atlantic Canada Opportunities Agency | Agence de promotion économique du Canada atlantique</t>
        </is>
      </c>
    </row>
    <row r="3624">
      <c r="A3624" t="inlineStr">
        <is>
          <t>T-2013-Q3-00017</t>
        </is>
      </c>
      <c r="B3624" t="inlineStr">
        <is>
          <t>SLE</t>
        </is>
      </c>
      <c r="C3624" t="inlineStr">
        <is>
          <t>President</t>
        </is>
      </c>
      <c r="D3624" t="inlineStr">
        <is>
          <t>Président</t>
        </is>
      </c>
      <c r="E3624" t="inlineStr">
        <is>
          <t>Paul J. LeBlanc</t>
        </is>
      </c>
      <c r="F3624" t="inlineStr">
        <is>
          <t>For various meetings and discussions with Agency officials and with government officials</t>
        </is>
      </c>
      <c r="G3624" t="inlineStr">
        <is>
          <t>Diverses réunions et discussions avec des fonctionnaires de l'Agence et du gouvernement</t>
        </is>
      </c>
      <c r="H3624" s="1" t="n">
        <v>41161</v>
      </c>
      <c r="I3624" s="1" t="n">
        <v>41162</v>
      </c>
      <c r="J3624" t="inlineStr">
        <is>
          <t>Charlottetown, Prince Edward Island</t>
        </is>
      </c>
      <c r="K3624" t="inlineStr">
        <is>
          <t>Charlottetown (Île-du-Prince-Édouard)</t>
        </is>
      </c>
      <c r="P3624" t="n">
        <v>0</v>
      </c>
      <c r="Q3624" t="n">
        <v>0</v>
      </c>
      <c r="R3624" t="n">
        <v>236.12</v>
      </c>
      <c r="S3624" t="n">
        <v>105.9</v>
      </c>
      <c r="T3624" t="n">
        <v>115.08</v>
      </c>
      <c r="U3624" t="n">
        <v>457.1</v>
      </c>
      <c r="X3624" t="inlineStr">
        <is>
          <t>acoa-apeca</t>
        </is>
      </c>
      <c r="Y3624" t="inlineStr">
        <is>
          <t>Atlantic Canada Opportunities Agency | Agence de promotion économique du Canada atlantique</t>
        </is>
      </c>
    </row>
    <row r="3625">
      <c r="A3625" t="inlineStr">
        <is>
          <t>T-2013-Q3-00009</t>
        </is>
      </c>
      <c r="B3625" t="inlineStr">
        <is>
          <t>SLE</t>
        </is>
      </c>
      <c r="C3625" t="inlineStr">
        <is>
          <t>Vice-President, Newfoundland and Labrador</t>
        </is>
      </c>
      <c r="D3625" t="inlineStr">
        <is>
          <t>Vice-président, Terre-Neuve-et-Labrador</t>
        </is>
      </c>
      <c r="E3625" t="inlineStr">
        <is>
          <t>Paul Mills</t>
        </is>
      </c>
      <c r="F3625" t="inlineStr">
        <is>
          <t>Executive Committee meeting - September 6, 2012 in Moncton, New Brunswick</t>
        </is>
      </c>
      <c r="G3625" t="inlineStr">
        <is>
          <t>Réunion du Comité de direction le 6 septembre 2012 à Moncton (Nouveau-Brunswick)</t>
        </is>
      </c>
      <c r="H3625" s="1" t="n">
        <v>41157</v>
      </c>
      <c r="I3625" s="1" t="n">
        <v>41159</v>
      </c>
      <c r="J3625" t="inlineStr">
        <is>
          <t>Moncton, New Brunswick</t>
        </is>
      </c>
      <c r="K3625" t="inlineStr">
        <is>
          <t>Moncton (Nouveau-Brunswick)</t>
        </is>
      </c>
      <c r="P3625" t="n">
        <v>1368.14</v>
      </c>
      <c r="Q3625" t="n">
        <v>133</v>
      </c>
      <c r="R3625" t="n">
        <v>356.6</v>
      </c>
      <c r="S3625" t="n">
        <v>194.5</v>
      </c>
      <c r="T3625" t="n">
        <v>8.93</v>
      </c>
      <c r="U3625" t="n">
        <v>2061.17</v>
      </c>
      <c r="X3625" t="inlineStr">
        <is>
          <t>acoa-apeca</t>
        </is>
      </c>
      <c r="Y3625" t="inlineStr">
        <is>
          <t>Atlantic Canada Opportunities Agency | Agence de promotion économique du Canada atlantique</t>
        </is>
      </c>
    </row>
    <row r="3626">
      <c r="A3626" t="inlineStr">
        <is>
          <t>T-2013-Q3-00016</t>
        </is>
      </c>
      <c r="B3626" t="inlineStr">
        <is>
          <t>MPSES</t>
        </is>
      </c>
      <c r="C3626" t="inlineStr">
        <is>
          <t>Executive Assistant and Press Secretary</t>
        </is>
      </c>
      <c r="D3626" t="inlineStr">
        <is>
          <t>Adjointe exécutive et attaché de presse</t>
        </is>
      </c>
      <c r="E3626" t="inlineStr">
        <is>
          <t>Andrea Richer</t>
        </is>
      </c>
      <c r="F3626" t="inlineStr">
        <is>
          <t>Travel to accompany Minister to various Atlantic Canada Opportunities Agency meetings</t>
        </is>
      </c>
      <c r="G3626" t="inlineStr">
        <is>
          <t>Voyage pour accompagner le ministre à diverses réunions de l'Agence de promotion économique du Canada atlantique</t>
        </is>
      </c>
      <c r="H3626" s="1" t="n">
        <v>41160</v>
      </c>
      <c r="I3626" s="1" t="n">
        <v>41163</v>
      </c>
      <c r="J3626" t="inlineStr">
        <is>
          <t>Charlottetown, Prince-Edward Island and Halifax, Nova Scotia</t>
        </is>
      </c>
      <c r="K3626" t="inlineStr">
        <is>
          <t>Charlottetown (Île-du-Prince-Édouard) et Halifax (Nouvelle-Écosse)</t>
        </is>
      </c>
      <c r="P3626" t="n">
        <v>750.77</v>
      </c>
      <c r="Q3626" t="n">
        <v>0</v>
      </c>
      <c r="R3626" t="n">
        <v>472.24</v>
      </c>
      <c r="S3626" t="n">
        <v>250.95</v>
      </c>
      <c r="T3626" t="n">
        <v>0</v>
      </c>
      <c r="U3626" t="n">
        <v>1473.96</v>
      </c>
      <c r="X3626" t="inlineStr">
        <is>
          <t>acoa-apeca</t>
        </is>
      </c>
      <c r="Y3626" t="inlineStr">
        <is>
          <t>Atlantic Canada Opportunities Agency | Agence de promotion économique du Canada atlantique</t>
        </is>
      </c>
    </row>
    <row r="3627">
      <c r="A3627" t="inlineStr">
        <is>
          <t>T-2013-Q3-00014</t>
        </is>
      </c>
      <c r="B3627" t="inlineStr">
        <is>
          <t>MPSES</t>
        </is>
      </c>
      <c r="C3627" t="inlineStr">
        <is>
          <t>Chief of Staff</t>
        </is>
      </c>
      <c r="D3627" t="inlineStr">
        <is>
          <t>Chef de cabinet</t>
        </is>
      </c>
      <c r="E3627" t="inlineStr">
        <is>
          <t>Jacques Fauteux</t>
        </is>
      </c>
      <c r="F3627" t="inlineStr">
        <is>
          <t>To attend The Canadian Defence Security and Aerospace Exhibition Atlantic with Minister of State</t>
        </is>
      </c>
      <c r="G3627" t="inlineStr">
        <is>
          <t>Pour participer avec le minitre d'État à la Canadian Defence Security and Aerospace Exhibition Atlantic</t>
        </is>
      </c>
      <c r="H3627" s="1" t="n">
        <v>41157</v>
      </c>
      <c r="I3627" s="1" t="n">
        <v>41163</v>
      </c>
      <c r="J3627" t="inlineStr">
        <is>
          <t>Halifax, Nova Scotia</t>
        </is>
      </c>
      <c r="K3627" t="inlineStr">
        <is>
          <t>Halifax (Nouvelle-Écosse)</t>
        </is>
      </c>
      <c r="P3627" t="n">
        <v>290.3</v>
      </c>
      <c r="Q3627" t="n">
        <v>398.51</v>
      </c>
      <c r="R3627" t="n">
        <v>284.93</v>
      </c>
      <c r="S3627" t="n">
        <v>478.35</v>
      </c>
      <c r="T3627" t="n">
        <v>0</v>
      </c>
      <c r="U3627" t="n">
        <v>1452.09</v>
      </c>
      <c r="X3627" t="inlineStr">
        <is>
          <t>acoa-apeca</t>
        </is>
      </c>
      <c r="Y3627" t="inlineStr">
        <is>
          <t>Atlantic Canada Opportunities Agency | Agence de promotion économique du Canada atlantique</t>
        </is>
      </c>
    </row>
    <row r="3628">
      <c r="A3628" t="inlineStr">
        <is>
          <t>T-2013-Q3-00013</t>
        </is>
      </c>
      <c r="B3628" t="inlineStr">
        <is>
          <t>MPSES</t>
        </is>
      </c>
      <c r="C3628" t="inlineStr">
        <is>
          <t>Senior Policy Advisor</t>
        </is>
      </c>
      <c r="D3628" t="inlineStr">
        <is>
          <t>Conseiller principal en politiques</t>
        </is>
      </c>
      <c r="E3628" t="inlineStr">
        <is>
          <t>Benoit Violette</t>
        </is>
      </c>
      <c r="F3628" t="inlineStr">
        <is>
          <t>Travel to accompany Chief of Staff to various Atlantic Canada Opportunities Agency meetings</t>
        </is>
      </c>
      <c r="G3628" t="inlineStr">
        <is>
          <t>Voyage pour accompagner le chef de cabinet à diverses réunions de l'Agence de promotion économique du Canada atlantique</t>
        </is>
      </c>
      <c r="H3628" s="1" t="n">
        <v>41157</v>
      </c>
      <c r="I3628" s="1" t="n">
        <v>41162</v>
      </c>
      <c r="J3628" t="inlineStr">
        <is>
          <t>Halifax, Nova Scotia, Moncton, New Brunswick and Charlottetown, Prince Edward Island</t>
        </is>
      </c>
      <c r="K3628" t="inlineStr">
        <is>
          <t>Halifax (Nouvelle-Écosse), Moncton (Nouveau-Brunswick) et Charlottetown (Île-du-Prince-Édouard)</t>
        </is>
      </c>
      <c r="P3628" t="n">
        <v>1176.52</v>
      </c>
      <c r="Q3628" t="n">
        <v>32</v>
      </c>
      <c r="R3628" t="n">
        <v>404.93</v>
      </c>
      <c r="S3628" t="n">
        <v>358.55</v>
      </c>
      <c r="T3628" t="n">
        <v>0</v>
      </c>
      <c r="U3628" t="n">
        <v>1972</v>
      </c>
      <c r="X3628" t="inlineStr">
        <is>
          <t>acoa-apeca</t>
        </is>
      </c>
      <c r="Y3628" t="inlineStr">
        <is>
          <t>Atlantic Canada Opportunities Agency | Agence de promotion économique du Canada atlantique</t>
        </is>
      </c>
    </row>
    <row r="3629">
      <c r="A3629" t="inlineStr">
        <is>
          <t>T-2013-Q3-00012</t>
        </is>
      </c>
      <c r="B3629" t="inlineStr">
        <is>
          <t>MPSES</t>
        </is>
      </c>
      <c r="C3629" t="inlineStr">
        <is>
          <t>Chief of Staff</t>
        </is>
      </c>
      <c r="D3629" t="inlineStr">
        <is>
          <t>Chef de cabinet</t>
        </is>
      </c>
      <c r="E3629" t="inlineStr">
        <is>
          <t>Jacques Fauteux</t>
        </is>
      </c>
      <c r="F3629" t="inlineStr">
        <is>
          <t>Travel for various Atlantic Canada Opportunities Agency meetings</t>
        </is>
      </c>
      <c r="G3629" t="inlineStr">
        <is>
          <t>Voyage pour diverses réunions de l'Agence de promotion économique du Canada atlantique</t>
        </is>
      </c>
      <c r="H3629" s="1" t="n">
        <v>41157</v>
      </c>
      <c r="I3629" s="1" t="n">
        <v>41163</v>
      </c>
      <c r="J3629" t="inlineStr">
        <is>
          <t>Charlottetown, Prince Edward Island and Halifax, Nova Scotia</t>
        </is>
      </c>
      <c r="K3629" t="inlineStr">
        <is>
          <t>Charlottetown (Île-du-Prince-Édouard) et Halifax (Nouvelle-Écosse)</t>
        </is>
      </c>
      <c r="P3629" t="n">
        <v>1543.51</v>
      </c>
      <c r="Q3629" t="n">
        <v>0</v>
      </c>
      <c r="R3629" t="n">
        <v>0</v>
      </c>
      <c r="S3629" t="n">
        <v>0</v>
      </c>
      <c r="T3629" t="n">
        <v>0</v>
      </c>
      <c r="U3629" t="n">
        <v>1543.51</v>
      </c>
      <c r="X3629" t="inlineStr">
        <is>
          <t>acoa-apeca</t>
        </is>
      </c>
      <c r="Y3629" t="inlineStr">
        <is>
          <t>Atlantic Canada Opportunities Agency | Agence de promotion économique du Canada atlantique</t>
        </is>
      </c>
    </row>
    <row r="3630">
      <c r="A3630" t="inlineStr">
        <is>
          <t>T-2013-Q3-00011</t>
        </is>
      </c>
      <c r="B3630" t="inlineStr">
        <is>
          <t>SLE</t>
        </is>
      </c>
      <c r="C3630" t="inlineStr">
        <is>
          <t>Vice-President, Finance and Corporate Services</t>
        </is>
      </c>
      <c r="D3630" t="inlineStr">
        <is>
          <t>Vice-présidente, Finances et Services corporatifs</t>
        </is>
      </c>
      <c r="E3630" t="inlineStr">
        <is>
          <t>Denise Frenette</t>
        </is>
      </c>
      <c r="F3630" t="inlineStr">
        <is>
          <t>Meeting with Agency Officials</t>
        </is>
      </c>
      <c r="G3630" t="inlineStr">
        <is>
          <t>Réunion avec des fonctionnaires de l'Agence</t>
        </is>
      </c>
      <c r="H3630" s="1" t="n">
        <v>41157</v>
      </c>
      <c r="I3630" s="1" t="n">
        <v>41158</v>
      </c>
      <c r="J3630" t="inlineStr">
        <is>
          <t>Halifax, Nova Scotia</t>
        </is>
      </c>
      <c r="K3630" t="inlineStr">
        <is>
          <t>Halifax (Nouvelle-Écosse)</t>
        </is>
      </c>
      <c r="P3630" t="n">
        <v>0</v>
      </c>
      <c r="Q3630" t="n">
        <v>0</v>
      </c>
      <c r="R3630" t="n">
        <v>174.78</v>
      </c>
      <c r="S3630" t="n">
        <v>116.3</v>
      </c>
      <c r="T3630" t="n">
        <v>0</v>
      </c>
      <c r="U3630" t="n">
        <v>291.08</v>
      </c>
      <c r="X3630" t="inlineStr">
        <is>
          <t>acoa-apeca</t>
        </is>
      </c>
      <c r="Y3630" t="inlineStr">
        <is>
          <t>Atlantic Canada Opportunities Agency | Agence de promotion économique du Canada atlantique</t>
        </is>
      </c>
    </row>
    <row r="3631">
      <c r="A3631" t="inlineStr">
        <is>
          <t>T-2013-Q1-00048</t>
        </is>
      </c>
      <c r="B3631" t="inlineStr">
        <is>
          <t>SLE</t>
        </is>
      </c>
      <c r="C3631" t="inlineStr">
        <is>
          <t>Vice-President, New Brunswick</t>
        </is>
      </c>
      <c r="D3631" t="inlineStr">
        <is>
          <t>Vice-présidente, Nouveau-Brunswick</t>
        </is>
      </c>
      <c r="E3631" t="inlineStr">
        <is>
          <t>Janet Gagnon</t>
        </is>
      </c>
      <c r="F3631" t="inlineStr">
        <is>
          <t>New Brunswick Federal Council (NBFC) meeting</t>
        </is>
      </c>
      <c r="G3631" t="inlineStr">
        <is>
          <t>Réunion du Conseil fédéral du Nouveau-Brunswick</t>
        </is>
      </c>
      <c r="H3631" s="1" t="n">
        <v>41017</v>
      </c>
      <c r="I3631" s="1" t="n">
        <v>41019</v>
      </c>
      <c r="J3631" t="inlineStr">
        <is>
          <t>Ottawa, Ontario</t>
        </is>
      </c>
      <c r="K3631" t="inlineStr">
        <is>
          <t>Ottawa (Ontario)</t>
        </is>
      </c>
      <c r="P3631" t="n">
        <v>211.65</v>
      </c>
      <c r="Q3631" t="n">
        <v>89.25</v>
      </c>
      <c r="R3631" t="n">
        <v>354.82</v>
      </c>
      <c r="S3631" t="n">
        <v>235.35</v>
      </c>
      <c r="T3631" t="n">
        <v>30</v>
      </c>
      <c r="U3631" t="n">
        <v>921.0700000000001</v>
      </c>
      <c r="X3631" t="inlineStr">
        <is>
          <t>acoa-apeca</t>
        </is>
      </c>
      <c r="Y3631" t="inlineStr">
        <is>
          <t>Atlantic Canada Opportunities Agency | Agence de promotion économique du Canada atlantique</t>
        </is>
      </c>
    </row>
    <row r="3632">
      <c r="A3632" t="inlineStr">
        <is>
          <t>T-2013-Q3-00008</t>
        </is>
      </c>
      <c r="B3632" t="inlineStr">
        <is>
          <t>SLE</t>
        </is>
      </c>
      <c r="C3632" t="inlineStr">
        <is>
          <t>Vice-President, New Brunswick</t>
        </is>
      </c>
      <c r="D3632" t="inlineStr">
        <is>
          <t>Vice-présidente, Nouveau-Brunswick</t>
        </is>
      </c>
      <c r="E3632" t="inlineStr">
        <is>
          <t>Janet Gagnon</t>
        </is>
      </c>
      <c r="F3632" t="inlineStr">
        <is>
          <t>Executive Committee meeting</t>
        </is>
      </c>
      <c r="G3632" t="inlineStr">
        <is>
          <t>Réunion du Comité de direction</t>
        </is>
      </c>
      <c r="H3632" s="1" t="n">
        <v>41157</v>
      </c>
      <c r="I3632" s="1" t="n">
        <v>41158</v>
      </c>
      <c r="J3632" t="inlineStr">
        <is>
          <t>Halifax, Nova Scotia</t>
        </is>
      </c>
      <c r="K3632" t="inlineStr">
        <is>
          <t>Halifax (Nouvelle-Écosse)</t>
        </is>
      </c>
      <c r="P3632" t="n">
        <v>672.8099999999999</v>
      </c>
      <c r="Q3632" t="n">
        <v>60</v>
      </c>
      <c r="R3632" t="n">
        <v>165.39</v>
      </c>
      <c r="S3632" t="n">
        <v>131.9</v>
      </c>
      <c r="T3632" t="n">
        <v>18</v>
      </c>
      <c r="U3632" t="n">
        <v>1048.1</v>
      </c>
      <c r="X3632" t="inlineStr">
        <is>
          <t>acoa-apeca</t>
        </is>
      </c>
      <c r="Y3632" t="inlineStr">
        <is>
          <t>Atlantic Canada Opportunities Agency | Agence de promotion économique du Canada atlantique</t>
        </is>
      </c>
    </row>
    <row r="3633">
      <c r="A3633" t="inlineStr">
        <is>
          <t>T-2013-Q3-00007</t>
        </is>
      </c>
      <c r="B3633" t="inlineStr">
        <is>
          <t>MPSES</t>
        </is>
      </c>
      <c r="C3633" t="inlineStr">
        <is>
          <t>Member of Parliament</t>
        </is>
      </c>
      <c r="D3633" t="inlineStr">
        <is>
          <t>Député</t>
        </is>
      </c>
      <c r="E3633" t="inlineStr">
        <is>
          <t>Christopher Alexander</t>
        </is>
      </c>
      <c r="F3633" t="inlineStr">
        <is>
          <t>Travel on behalf of Minister of State for various Atlantic Canada Opportunities Agency announcements (amounts have been reduced from previously published numbers to reflect airline rebates.  The airline provided these rebates after travel had occurred.)</t>
        </is>
      </c>
      <c r="G3633" t="inlineStr">
        <is>
          <t>Voyage au nom du ministre d'État pour diverses annonces de l'APECA (Les chiffres publiés antérieurement ont été réduits pour refléter des rabais sur les tarifs aériens. Le transporteur aérien a offert ces rabais après le voyage.)</t>
        </is>
      </c>
      <c r="H3633" s="1" t="n">
        <v>41156</v>
      </c>
      <c r="I3633" s="1" t="n">
        <v>41157</v>
      </c>
      <c r="J3633" t="inlineStr">
        <is>
          <t>Halifax, Nova Scotia</t>
        </is>
      </c>
      <c r="K3633" t="inlineStr">
        <is>
          <t>Halifax (Nouvelle-Écosse)</t>
        </is>
      </c>
      <c r="P3633" t="n">
        <v>1257.28</v>
      </c>
      <c r="Q3633" t="n">
        <v>0</v>
      </c>
      <c r="R3633" t="n">
        <v>186.51</v>
      </c>
      <c r="S3633" t="n">
        <v>120.75</v>
      </c>
      <c r="T3633" t="n">
        <v>0</v>
      </c>
      <c r="U3633" t="n">
        <v>1564.54</v>
      </c>
      <c r="X3633" t="inlineStr">
        <is>
          <t>acoa-apeca</t>
        </is>
      </c>
      <c r="Y3633" t="inlineStr">
        <is>
          <t>Atlantic Canada Opportunities Agency | Agence de promotion économique du Canada atlantique</t>
        </is>
      </c>
    </row>
    <row r="3634">
      <c r="A3634" t="inlineStr">
        <is>
          <t>T-2013-Q3-00006</t>
        </is>
      </c>
      <c r="B3634" t="inlineStr">
        <is>
          <t>SLE</t>
        </is>
      </c>
      <c r="C3634" t="inlineStr">
        <is>
          <t>Vice-President, Policy and Programs</t>
        </is>
      </c>
      <c r="D3634" t="inlineStr">
        <is>
          <t>Vice-président, Politiques et Programmes</t>
        </is>
      </c>
      <c r="E3634" t="inlineStr">
        <is>
          <t>Daryell Nowlan</t>
        </is>
      </c>
      <c r="F3634" t="inlineStr">
        <is>
          <t>Meeting with Government of Canada officials</t>
        </is>
      </c>
      <c r="G3634" t="inlineStr">
        <is>
          <t>Réunion avec des fonctionnaires du gouvernement du Canada</t>
        </is>
      </c>
      <c r="H3634" s="1" t="n">
        <v>41156</v>
      </c>
      <c r="I3634" s="1" t="n">
        <v>41159</v>
      </c>
      <c r="J3634" t="inlineStr">
        <is>
          <t>Halifax, Nova Scotia</t>
        </is>
      </c>
      <c r="K3634" t="inlineStr">
        <is>
          <t>Halifax (Nouvelle-Écosse)</t>
        </is>
      </c>
      <c r="P3634" t="n">
        <v>0</v>
      </c>
      <c r="Q3634" t="n">
        <v>270.94</v>
      </c>
      <c r="R3634" t="n">
        <v>349.56</v>
      </c>
      <c r="S3634" t="n">
        <v>148.45</v>
      </c>
      <c r="T3634" t="n">
        <v>0</v>
      </c>
      <c r="U3634" t="n">
        <v>768.95</v>
      </c>
      <c r="X3634" t="inlineStr">
        <is>
          <t>acoa-apeca</t>
        </is>
      </c>
      <c r="Y3634" t="inlineStr">
        <is>
          <t>Atlantic Canada Opportunities Agency | Agence de promotion économique du Canada atlantique</t>
        </is>
      </c>
    </row>
    <row r="3635">
      <c r="A3635" t="inlineStr">
        <is>
          <t>T-2013-Q3-00005</t>
        </is>
      </c>
      <c r="B3635" t="inlineStr">
        <is>
          <t>SLE</t>
        </is>
      </c>
      <c r="C3635" t="inlineStr">
        <is>
          <t>President</t>
        </is>
      </c>
      <c r="D3635" t="inlineStr">
        <is>
          <t>Président</t>
        </is>
      </c>
      <c r="E3635" t="inlineStr">
        <is>
          <t>Paul J. LeBlanc</t>
        </is>
      </c>
      <c r="F3635" t="inlineStr">
        <is>
          <t>For various meetings and discussions with Agency officials and Government of Canada officials</t>
        </is>
      </c>
      <c r="G3635" t="inlineStr">
        <is>
          <t>Diverses réunions et discussions avec des fonctionnaires de l'Agence et du gouvernement du Canada</t>
        </is>
      </c>
      <c r="H3635" s="1" t="n">
        <v>41156</v>
      </c>
      <c r="I3635" s="1" t="n">
        <v>41159</v>
      </c>
      <c r="J3635" t="inlineStr">
        <is>
          <t>Ottawa, Ontario and Halifax, Nova Scotia</t>
        </is>
      </c>
      <c r="K3635" t="inlineStr">
        <is>
          <t>Ottawa (Ontario) et Halifax (Nouvelle-Écosse)</t>
        </is>
      </c>
      <c r="P3635" t="n">
        <v>1112.04</v>
      </c>
      <c r="Q3635" t="n">
        <v>0</v>
      </c>
      <c r="R3635" t="n">
        <v>529.23</v>
      </c>
      <c r="S3635" t="n">
        <v>227.4</v>
      </c>
      <c r="T3635" t="n">
        <v>60</v>
      </c>
      <c r="U3635" t="n">
        <v>1928.67</v>
      </c>
      <c r="X3635" t="inlineStr">
        <is>
          <t>acoa-apeca</t>
        </is>
      </c>
      <c r="Y3635" t="inlineStr">
        <is>
          <t>Atlantic Canada Opportunities Agency | Agence de promotion économique du Canada atlantique</t>
        </is>
      </c>
    </row>
    <row r="3636">
      <c r="A3636" t="inlineStr">
        <is>
          <t>T-2013-Q3-00004</t>
        </is>
      </c>
      <c r="B3636" t="inlineStr">
        <is>
          <t>MPSES</t>
        </is>
      </c>
      <c r="C3636" t="inlineStr">
        <is>
          <t>Member of Parliament for Yellowhead, Alberta</t>
        </is>
      </c>
      <c r="D3636" t="inlineStr">
        <is>
          <t>Membre du parlement, Yellowhead, Alberta</t>
        </is>
      </c>
      <c r="E3636" t="inlineStr">
        <is>
          <t>Robert Merrifield</t>
        </is>
      </c>
      <c r="F3636" t="inlineStr">
        <is>
          <t>Travel to accompany Minister of State for trade mission</t>
        </is>
      </c>
      <c r="G3636" t="inlineStr">
        <is>
          <t>Voyage pour accompagner le ministre d'État à une mission commerciale</t>
        </is>
      </c>
      <c r="H3636" s="1" t="n">
        <v>41154</v>
      </c>
      <c r="I3636" s="1" t="n">
        <v>41160</v>
      </c>
      <c r="J3636" t="inlineStr">
        <is>
          <t>Santo Domingo, Dominican Republic and Port-au-Prince, Haiti</t>
        </is>
      </c>
      <c r="K3636" t="inlineStr">
        <is>
          <t>Saint-Domingue (République dominicaine) et Port-au-Prince (Haïti)</t>
        </is>
      </c>
      <c r="P3636" t="n">
        <v>1586.23</v>
      </c>
      <c r="Q3636" t="n">
        <v>0</v>
      </c>
      <c r="R3636" t="n">
        <v>952.15</v>
      </c>
      <c r="S3636" t="n">
        <v>658.79</v>
      </c>
      <c r="T3636" t="n">
        <v>0</v>
      </c>
      <c r="U3636" t="n">
        <v>3197.17</v>
      </c>
      <c r="X3636" t="inlineStr">
        <is>
          <t>acoa-apeca</t>
        </is>
      </c>
      <c r="Y3636" t="inlineStr">
        <is>
          <t>Atlantic Canada Opportunities Agency | Agence de promotion économique du Canada atlantique</t>
        </is>
      </c>
    </row>
    <row r="3637">
      <c r="A3637" t="inlineStr">
        <is>
          <t>T-2013-Q3-00003</t>
        </is>
      </c>
      <c r="B3637" t="inlineStr">
        <is>
          <t>MPSES</t>
        </is>
      </c>
      <c r="C3637" t="inlineStr">
        <is>
          <t>Chief of Staff</t>
        </is>
      </c>
      <c r="D3637" t="inlineStr">
        <is>
          <t>Chef de cabinet</t>
        </is>
      </c>
      <c r="E3637" t="inlineStr">
        <is>
          <t>Mélisa Leclerc</t>
        </is>
      </c>
      <c r="F3637" t="inlineStr">
        <is>
          <t>Scheduled travel to accompany Minister of State to Trade Mission - but travel was cancelled for administrative reasons</t>
        </is>
      </c>
      <c r="G3637" t="inlineStr">
        <is>
          <t>Voyage prévu pour accompagner le ministre d'État à une mission commerciale, mais le voyage a été annulé pour des raisons administratives</t>
        </is>
      </c>
      <c r="H3637" s="1" t="n">
        <v>41154</v>
      </c>
      <c r="I3637" s="1" t="n">
        <v>41160</v>
      </c>
      <c r="J3637" t="inlineStr">
        <is>
          <t>Santo Domingo, Dominican Republic and Port-au-Prince, Haïti</t>
        </is>
      </c>
      <c r="K3637" t="inlineStr">
        <is>
          <t>Saint-Domingue (République dominicaine) et Port-au-Prince (Haïti)</t>
        </is>
      </c>
      <c r="P3637" t="n">
        <v>792.75</v>
      </c>
      <c r="Q3637" t="n">
        <v>0</v>
      </c>
      <c r="R3637" t="n">
        <v>0</v>
      </c>
      <c r="S3637" t="n">
        <v>0</v>
      </c>
      <c r="T3637" t="n">
        <v>0</v>
      </c>
      <c r="U3637" t="n">
        <v>792.75</v>
      </c>
      <c r="X3637" t="inlineStr">
        <is>
          <t>acoa-apeca</t>
        </is>
      </c>
      <c r="Y3637" t="inlineStr">
        <is>
          <t>Atlantic Canada Opportunities Agency | Agence de promotion économique du Canada atlantique</t>
        </is>
      </c>
    </row>
    <row r="3638">
      <c r="A3638" t="inlineStr">
        <is>
          <t>T-2013-Q3-00002</t>
        </is>
      </c>
      <c r="B3638" t="inlineStr">
        <is>
          <t>MPSES</t>
        </is>
      </c>
      <c r="C3638" t="inlineStr">
        <is>
          <t>Executive Assistant and Press Secretary</t>
        </is>
      </c>
      <c r="D3638" t="inlineStr">
        <is>
          <t>Adjointe exécutive et attaché de presse</t>
        </is>
      </c>
      <c r="E3638" t="inlineStr">
        <is>
          <t>Andrea Richer</t>
        </is>
      </c>
      <c r="F3638" t="inlineStr">
        <is>
          <t>Travel to accompany Minister to trade mission</t>
        </is>
      </c>
      <c r="G3638" t="inlineStr">
        <is>
          <t>Voyage pour accompagner le ministre à une mission commerciale</t>
        </is>
      </c>
      <c r="H3638" s="1" t="n">
        <v>41154</v>
      </c>
      <c r="I3638" s="1" t="n">
        <v>41160</v>
      </c>
      <c r="J3638" t="inlineStr">
        <is>
          <t>Santo Domingo, Dominican Republic and Port-au-Prince, Haiti</t>
        </is>
      </c>
      <c r="K3638" t="inlineStr">
        <is>
          <t>Saint-Domingue (République dominicaine) et Port-au-Prince (Haïti)</t>
        </is>
      </c>
      <c r="P3638" t="n">
        <v>1540.31</v>
      </c>
      <c r="Q3638" t="n">
        <v>0</v>
      </c>
      <c r="R3638" t="n">
        <v>952.15</v>
      </c>
      <c r="S3638" t="n">
        <v>636.5599999999999</v>
      </c>
      <c r="T3638" t="n">
        <v>0</v>
      </c>
      <c r="U3638" t="n">
        <v>3129.02</v>
      </c>
      <c r="X3638" t="inlineStr">
        <is>
          <t>acoa-apeca</t>
        </is>
      </c>
      <c r="Y3638" t="inlineStr">
        <is>
          <t>Atlantic Canada Opportunities Agency | Agence de promotion économique du Canada atlantique</t>
        </is>
      </c>
    </row>
    <row r="3639">
      <c r="A3639" t="inlineStr">
        <is>
          <t>T-2013-Q3-00001</t>
        </is>
      </c>
      <c r="B3639" t="inlineStr">
        <is>
          <t>MPSES</t>
        </is>
      </c>
      <c r="C3639" t="inlineStr">
        <is>
          <t>Minister of State</t>
        </is>
      </c>
      <c r="D3639" t="inlineStr">
        <is>
          <t>Ministre d'État</t>
        </is>
      </c>
      <c r="E3639" t="inlineStr">
        <is>
          <t>Bernard Valcourt</t>
        </is>
      </c>
      <c r="F3639" t="inlineStr">
        <is>
          <t>Various meetings and speeches for the Government of Canada</t>
        </is>
      </c>
      <c r="G3639" t="inlineStr">
        <is>
          <t>Réunions et allocutions diverses pour le gouvernement du Canada</t>
        </is>
      </c>
      <c r="H3639" s="1" t="n">
        <v>41154</v>
      </c>
      <c r="I3639" s="1" t="n">
        <v>41160</v>
      </c>
      <c r="J3639" t="inlineStr">
        <is>
          <t>Santo Domingo, Dominican Republic and Port-au-Prince, Haiti</t>
        </is>
      </c>
      <c r="K3639" t="inlineStr">
        <is>
          <t>Saint-Domingue (République dominicaine) et Port-au-Prince (Haïti)</t>
        </is>
      </c>
      <c r="P3639" t="n">
        <v>1494.71</v>
      </c>
      <c r="Q3639" t="n">
        <v>0</v>
      </c>
      <c r="R3639" t="n">
        <v>952.15</v>
      </c>
      <c r="S3639" t="n">
        <v>560.09</v>
      </c>
      <c r="T3639" t="n">
        <v>132</v>
      </c>
      <c r="U3639" t="n">
        <v>3138.95</v>
      </c>
      <c r="X3639" t="inlineStr">
        <is>
          <t>acoa-apeca</t>
        </is>
      </c>
      <c r="Y3639" t="inlineStr">
        <is>
          <t>Atlantic Canada Opportunities Agency | Agence de promotion économique du Canada atlantique</t>
        </is>
      </c>
    </row>
    <row r="3640">
      <c r="A3640" t="inlineStr">
        <is>
          <t>T-2013-Q2-00064</t>
        </is>
      </c>
      <c r="B3640" t="inlineStr">
        <is>
          <t>SLE</t>
        </is>
      </c>
      <c r="C3640" t="inlineStr">
        <is>
          <t>Vice President, Nova Scotia</t>
        </is>
      </c>
      <c r="D3640" t="inlineStr">
        <is>
          <t>Vice-président, Nouvelle-Écosse</t>
        </is>
      </c>
      <c r="E3640" t="inlineStr">
        <is>
          <t>Peter Hogan</t>
        </is>
      </c>
      <c r="F3640" t="inlineStr">
        <is>
          <t>Various meetings with Agency and Government of Canada officials</t>
        </is>
      </c>
      <c r="G3640" t="inlineStr">
        <is>
          <t>Diverses réunions avec des fonctionnaires de l'Agence et du gouvernement du Canada</t>
        </is>
      </c>
      <c r="H3640" s="1" t="n">
        <v>41151</v>
      </c>
      <c r="I3640" s="1" t="n">
        <v>41151</v>
      </c>
      <c r="J3640" t="inlineStr">
        <is>
          <t>Ottawa, Ontario</t>
        </is>
      </c>
      <c r="K3640" t="inlineStr">
        <is>
          <t>Ottawa (Ontario)</t>
        </is>
      </c>
      <c r="P3640" t="n">
        <v>643.95</v>
      </c>
      <c r="Q3640" t="n">
        <v>109.6</v>
      </c>
      <c r="R3640" t="n">
        <v>0</v>
      </c>
      <c r="S3640" t="n">
        <v>71.3</v>
      </c>
      <c r="T3640" t="n">
        <v>0</v>
      </c>
      <c r="U3640" t="n">
        <v>824.85</v>
      </c>
      <c r="X3640" t="inlineStr">
        <is>
          <t>acoa-apeca</t>
        </is>
      </c>
      <c r="Y3640" t="inlineStr">
        <is>
          <t>Atlantic Canada Opportunities Agency | Agence de promotion économique du Canada atlantique</t>
        </is>
      </c>
    </row>
    <row r="3641">
      <c r="A3641" t="inlineStr">
        <is>
          <t>T-2013-Q2-00063</t>
        </is>
      </c>
      <c r="B3641" t="inlineStr">
        <is>
          <t>SLE</t>
        </is>
      </c>
      <c r="C3641" t="inlineStr">
        <is>
          <t>President</t>
        </is>
      </c>
      <c r="D3641" t="inlineStr">
        <is>
          <t>Président</t>
        </is>
      </c>
      <c r="E3641" t="inlineStr">
        <is>
          <t>Paul J. LeBlanc</t>
        </is>
      </c>
      <c r="F3641" t="inlineStr">
        <is>
          <t>For meeting with Government of Canada official</t>
        </is>
      </c>
      <c r="G3641" t="inlineStr">
        <is>
          <t>Réunion avec un fonctionnaire du gouvernement du Canada</t>
        </is>
      </c>
      <c r="H3641" s="1" t="n">
        <v>41151</v>
      </c>
      <c r="I3641" s="1" t="n">
        <v>41152</v>
      </c>
      <c r="J3641" t="inlineStr">
        <is>
          <t>Ottawa, Ontario</t>
        </is>
      </c>
      <c r="K3641" t="inlineStr">
        <is>
          <t>Ottawa (Ontario)</t>
        </is>
      </c>
      <c r="P3641" t="n">
        <v>741.36</v>
      </c>
      <c r="Q3641" t="n">
        <v>0</v>
      </c>
      <c r="R3641" t="n">
        <v>177.41</v>
      </c>
      <c r="S3641" t="n">
        <v>105.9</v>
      </c>
      <c r="T3641" t="n">
        <v>27</v>
      </c>
      <c r="U3641" t="n">
        <v>1051.67</v>
      </c>
      <c r="X3641" t="inlineStr">
        <is>
          <t>acoa-apeca</t>
        </is>
      </c>
      <c r="Y3641" t="inlineStr">
        <is>
          <t>Atlantic Canada Opportunities Agency | Agence de promotion économique du Canada atlantique</t>
        </is>
      </c>
    </row>
    <row r="3642">
      <c r="A3642" t="inlineStr">
        <is>
          <t>T-2013-Q2-00061</t>
        </is>
      </c>
      <c r="B3642" t="inlineStr">
        <is>
          <t>MPSES</t>
        </is>
      </c>
      <c r="C3642" t="inlineStr">
        <is>
          <t>Executive Assistant and Press Secretary</t>
        </is>
      </c>
      <c r="D3642" t="inlineStr">
        <is>
          <t>Adjointe exécutive et attaché de presse</t>
        </is>
      </c>
      <c r="E3642" t="inlineStr">
        <is>
          <t>Andrea Richer</t>
        </is>
      </c>
      <c r="F3642" t="inlineStr">
        <is>
          <t>Travel to accompany Minister to various Atlantic Canada Opportunities Agency meetings and announcements (amounts have been reduced from previously published numbers to reflect airline rebates.  The airline provided these rebates after travel had occurred.)</t>
        </is>
      </c>
      <c r="G3642" t="inlineStr">
        <is>
          <t>Voyage pour accompagner le ministre à diverses réunions et annonces de l'APECA (Les chiffres publiés antérieurement ont été réduits pour refléter des rabais sur les tarifs aériens. Le transporteur aérien a offert ces rabais après le voyage.)</t>
        </is>
      </c>
      <c r="H3642" s="1" t="n">
        <v>41148</v>
      </c>
      <c r="I3642" s="1" t="n">
        <v>41152</v>
      </c>
      <c r="J3642" t="inlineStr">
        <is>
          <t>Campbellton, Acadian Peninsula, Moncton, Saint John and Fredericton, New Brunswick</t>
        </is>
      </c>
      <c r="K3642" t="inlineStr">
        <is>
          <t>Campbellton, Péninsule acadienne, Moncton, Saint John et Fredericton (Nouveau-Brunswick)</t>
        </is>
      </c>
      <c r="P3642" t="n">
        <v>500.62</v>
      </c>
      <c r="Q3642" t="n">
        <v>43.35</v>
      </c>
      <c r="R3642" t="n">
        <v>380.81</v>
      </c>
      <c r="S3642" t="n">
        <v>308.35</v>
      </c>
      <c r="T3642" t="n">
        <v>0</v>
      </c>
      <c r="U3642" t="n">
        <v>1233.13</v>
      </c>
      <c r="X3642" t="inlineStr">
        <is>
          <t>acoa-apeca</t>
        </is>
      </c>
      <c r="Y3642" t="inlineStr">
        <is>
          <t>Atlantic Canada Opportunities Agency | Agence de promotion économique du Canada atlantique</t>
        </is>
      </c>
    </row>
    <row r="3643">
      <c r="A3643" t="inlineStr">
        <is>
          <t>T-2013-Q2-00060</t>
        </is>
      </c>
      <c r="B3643" t="inlineStr">
        <is>
          <t>SLE</t>
        </is>
      </c>
      <c r="C3643" t="inlineStr">
        <is>
          <t>Vice-President, Policy and Programs</t>
        </is>
      </c>
      <c r="D3643" t="inlineStr">
        <is>
          <t>Vice-président, Politiques et Programmes</t>
        </is>
      </c>
      <c r="E3643" t="inlineStr">
        <is>
          <t>Daryell Nowlan</t>
        </is>
      </c>
      <c r="F3643" t="inlineStr">
        <is>
          <t>Meeting with Government of Canada officials</t>
        </is>
      </c>
      <c r="G3643" t="inlineStr">
        <is>
          <t>Réunion avec des fonctionnaires du gouvernement du Canada</t>
        </is>
      </c>
      <c r="H3643" s="1" t="n">
        <v>41148</v>
      </c>
      <c r="I3643" s="1" t="n">
        <v>41150</v>
      </c>
      <c r="J3643" t="inlineStr">
        <is>
          <t>Ottawa, Ontario</t>
        </is>
      </c>
      <c r="K3643" t="inlineStr">
        <is>
          <t>Ottawa (Ontario)</t>
        </is>
      </c>
      <c r="P3643" t="n">
        <v>944.6</v>
      </c>
      <c r="Q3643" t="n">
        <v>136</v>
      </c>
      <c r="R3643" t="n">
        <v>354.82</v>
      </c>
      <c r="S3643" t="n">
        <v>178.15</v>
      </c>
      <c r="T3643" t="n">
        <v>0</v>
      </c>
      <c r="U3643" t="n">
        <v>1613.57</v>
      </c>
      <c r="X3643" t="inlineStr">
        <is>
          <t>acoa-apeca</t>
        </is>
      </c>
      <c r="Y3643" t="inlineStr">
        <is>
          <t>Atlantic Canada Opportunities Agency | Agence de promotion économique du Canada atlantique</t>
        </is>
      </c>
    </row>
    <row r="3644">
      <c r="A3644" t="inlineStr">
        <is>
          <t>T-2013-Q2-00059</t>
        </is>
      </c>
      <c r="B3644" t="inlineStr">
        <is>
          <t>MPSES</t>
        </is>
      </c>
      <c r="C3644" t="inlineStr">
        <is>
          <t>Minister of State</t>
        </is>
      </c>
      <c r="D3644" t="inlineStr">
        <is>
          <t>Ministre d'État</t>
        </is>
      </c>
      <c r="E3644" t="inlineStr">
        <is>
          <t>Bernard Valcourt</t>
        </is>
      </c>
      <c r="F3644" t="inlineStr">
        <is>
          <t>Various meetings and speeches for the Atlantic Canada Opportunities Agency</t>
        </is>
      </c>
      <c r="G3644" t="inlineStr">
        <is>
          <t>Réunions et allocutions diverses pour l'Agence de promotion économique du Canada atlantique</t>
        </is>
      </c>
      <c r="H3644" s="1" t="n">
        <v>41147</v>
      </c>
      <c r="I3644" s="1" t="n">
        <v>41152</v>
      </c>
      <c r="J3644" t="inlineStr">
        <is>
          <t>Campbellton, Caraquet, Moncton, Sussex and Fredericton, New Brunswick</t>
        </is>
      </c>
      <c r="K3644" t="inlineStr">
        <is>
          <t>Campbellton, Caraquet, Moncton, Sussex et Fredericton (Nouveau-Brunswick)</t>
        </is>
      </c>
      <c r="P3644" t="n">
        <v>0</v>
      </c>
      <c r="Q3644" t="n">
        <v>655.54</v>
      </c>
      <c r="R3644" t="n">
        <v>492.68</v>
      </c>
      <c r="S3644" t="n">
        <v>308.35</v>
      </c>
      <c r="T3644" t="n">
        <v>0</v>
      </c>
      <c r="U3644" t="n">
        <v>1456.57</v>
      </c>
      <c r="X3644" t="inlineStr">
        <is>
          <t>acoa-apeca</t>
        </is>
      </c>
      <c r="Y3644" t="inlineStr">
        <is>
          <t>Atlantic Canada Opportunities Agency | Agence de promotion économique du Canada atlantique</t>
        </is>
      </c>
    </row>
    <row r="3645">
      <c r="A3645" t="inlineStr">
        <is>
          <t>T-2013-Q2-00057</t>
        </is>
      </c>
      <c r="B3645" t="inlineStr">
        <is>
          <t>SLE</t>
        </is>
      </c>
      <c r="C3645" t="inlineStr">
        <is>
          <t>President</t>
        </is>
      </c>
      <c r="D3645" t="inlineStr">
        <is>
          <t>Président</t>
        </is>
      </c>
      <c r="E3645" t="inlineStr">
        <is>
          <t>Paul J. LeBlanc</t>
        </is>
      </c>
      <c r="F3645" t="inlineStr">
        <is>
          <t>For various meetings and discussions with Agency officials and Government of Canada officials</t>
        </is>
      </c>
      <c r="G3645" t="inlineStr">
        <is>
          <t>Diverses réunions et discussions avec des fonctionnaires de l'Agence et du gouvernement du Canada</t>
        </is>
      </c>
      <c r="H3645" s="1" t="n">
        <v>41143</v>
      </c>
      <c r="I3645" s="1" t="n">
        <v>41145</v>
      </c>
      <c r="J3645" t="inlineStr">
        <is>
          <t>Ottawa, Ontario</t>
        </is>
      </c>
      <c r="K3645" t="inlineStr">
        <is>
          <t>Ottawa (Ontario)</t>
        </is>
      </c>
      <c r="P3645" t="n">
        <v>741.36</v>
      </c>
      <c r="Q3645" t="n">
        <v>13</v>
      </c>
      <c r="R3645" t="n">
        <v>354.82</v>
      </c>
      <c r="S3645" t="n">
        <v>179.65</v>
      </c>
      <c r="T3645" t="n">
        <v>30</v>
      </c>
      <c r="U3645" t="n">
        <v>1318.83</v>
      </c>
      <c r="X3645" t="inlineStr">
        <is>
          <t>acoa-apeca</t>
        </is>
      </c>
      <c r="Y3645" t="inlineStr">
        <is>
          <t>Atlantic Canada Opportunities Agency | Agence de promotion économique du Canada atlantique</t>
        </is>
      </c>
    </row>
    <row r="3646">
      <c r="A3646" t="inlineStr">
        <is>
          <t>T-2013-Q2-00056</t>
        </is>
      </c>
      <c r="B3646" t="inlineStr">
        <is>
          <t>SLE</t>
        </is>
      </c>
      <c r="C3646" t="inlineStr">
        <is>
          <t>Vice-President, Newfoundland and Labrador</t>
        </is>
      </c>
      <c r="D3646" t="inlineStr">
        <is>
          <t>Vice-président, Terre-Neuve-et-Labrador</t>
        </is>
      </c>
      <c r="E3646" t="inlineStr">
        <is>
          <t>Paul Mills</t>
        </is>
      </c>
      <c r="F3646" t="inlineStr">
        <is>
          <t>Trip to Trinity Bay August 21-24, 2012</t>
        </is>
      </c>
      <c r="G3646" t="inlineStr">
        <is>
          <t>Voyage à Trinity Bay du 21 au 24 août 2012</t>
        </is>
      </c>
      <c r="H3646" s="1" t="n">
        <v>41142</v>
      </c>
      <c r="I3646" s="1" t="n">
        <v>41145</v>
      </c>
      <c r="J3646" t="inlineStr">
        <is>
          <t>Trinity Bay, Newfoundland and Labrador</t>
        </is>
      </c>
      <c r="K3646" t="inlineStr">
        <is>
          <t>Trinity Bay (Terre-Neuve-et-Labrador)</t>
        </is>
      </c>
      <c r="P3646" t="n">
        <v>0</v>
      </c>
      <c r="Q3646" t="n">
        <v>408.1</v>
      </c>
      <c r="R3646" t="n">
        <v>253.12</v>
      </c>
      <c r="S3646" t="n">
        <v>235.35</v>
      </c>
      <c r="T3646" t="n">
        <v>6.53</v>
      </c>
      <c r="U3646" t="n">
        <v>903.1</v>
      </c>
      <c r="X3646" t="inlineStr">
        <is>
          <t>acoa-apeca</t>
        </is>
      </c>
      <c r="Y3646" t="inlineStr">
        <is>
          <t>Atlantic Canada Opportunities Agency | Agence de promotion économique du Canada atlantique</t>
        </is>
      </c>
    </row>
    <row r="3647">
      <c r="A3647" t="inlineStr">
        <is>
          <t>T-2013-Q2-00055</t>
        </is>
      </c>
      <c r="B3647" t="inlineStr">
        <is>
          <t>SLE</t>
        </is>
      </c>
      <c r="C3647" t="inlineStr">
        <is>
          <t>Vice-President, New Brunswick</t>
        </is>
      </c>
      <c r="D3647" t="inlineStr">
        <is>
          <t>Vice-présidente, Nouveau-Brunswick</t>
        </is>
      </c>
      <c r="E3647" t="inlineStr">
        <is>
          <t>Janet Gagnon</t>
        </is>
      </c>
      <c r="F3647" t="inlineStr">
        <is>
          <t>IPAC Conference (Institute of Public Administration of Canada)</t>
        </is>
      </c>
      <c r="G3647" t="inlineStr">
        <is>
          <t>Conférence de l'IAPC (Institut d'administration publique du Canada)</t>
        </is>
      </c>
      <c r="H3647" s="1" t="n">
        <v>41139</v>
      </c>
      <c r="I3647" s="1" t="n">
        <v>41144</v>
      </c>
      <c r="J3647" t="inlineStr">
        <is>
          <t>St. John's, Newfoundland and Labrador</t>
        </is>
      </c>
      <c r="K3647" t="inlineStr">
        <is>
          <t>St. John's (Terre-Neuve-et-Labrador)</t>
        </is>
      </c>
      <c r="P3647" t="n">
        <v>934.74</v>
      </c>
      <c r="Q3647" t="n">
        <v>0</v>
      </c>
      <c r="R3647" t="n">
        <v>812</v>
      </c>
      <c r="S3647" t="n">
        <v>350.9</v>
      </c>
      <c r="T3647" t="n">
        <v>98</v>
      </c>
      <c r="U3647" t="n">
        <v>2195.64</v>
      </c>
      <c r="X3647" t="inlineStr">
        <is>
          <t>acoa-apeca</t>
        </is>
      </c>
      <c r="Y3647" t="inlineStr">
        <is>
          <t>Atlantic Canada Opportunities Agency | Agence de promotion économique du Canada atlantique</t>
        </is>
      </c>
    </row>
    <row r="3648">
      <c r="A3648" t="inlineStr">
        <is>
          <t>T-2013-Q2-00052</t>
        </is>
      </c>
      <c r="B3648" t="inlineStr">
        <is>
          <t>SLE</t>
        </is>
      </c>
      <c r="C3648" t="inlineStr">
        <is>
          <t>Vice-President, New Brunswick</t>
        </is>
      </c>
      <c r="D3648" t="inlineStr">
        <is>
          <t>Vice-présidente, Nouveau-Brunswick</t>
        </is>
      </c>
      <c r="E3648" t="inlineStr">
        <is>
          <t>Janet Gagnon</t>
        </is>
      </c>
      <c r="F3648" t="inlineStr">
        <is>
          <t>Client visits - Northeastern New Brunswick</t>
        </is>
      </c>
      <c r="G3648" t="inlineStr">
        <is>
          <t>Visites auprès des clients - Nord-Est du Nouveau-Brunswick</t>
        </is>
      </c>
      <c r="H3648" s="1" t="n">
        <v>41137</v>
      </c>
      <c r="I3648" s="1" t="n">
        <v>41138</v>
      </c>
      <c r="J3648" t="inlineStr">
        <is>
          <t>Caraquet, New Brunswick</t>
        </is>
      </c>
      <c r="K3648" t="inlineStr">
        <is>
          <t>Caraquet (Nouveau-Brunswick)</t>
        </is>
      </c>
      <c r="P3648" t="n">
        <v>0</v>
      </c>
      <c r="Q3648" t="n">
        <v>0</v>
      </c>
      <c r="R3648" t="n">
        <v>106.22</v>
      </c>
      <c r="S3648" t="n">
        <v>120.75</v>
      </c>
      <c r="T3648" t="n">
        <v>0</v>
      </c>
      <c r="U3648" t="n">
        <v>226.97</v>
      </c>
      <c r="X3648" t="inlineStr">
        <is>
          <t>acoa-apeca</t>
        </is>
      </c>
      <c r="Y3648" t="inlineStr">
        <is>
          <t>Atlantic Canada Opportunities Agency | Agence de promotion économique du Canada atlantique</t>
        </is>
      </c>
    </row>
    <row r="3649">
      <c r="A3649" t="inlineStr">
        <is>
          <t>T-2013-Q2-00050</t>
        </is>
      </c>
      <c r="B3649" t="inlineStr">
        <is>
          <t>MPSES</t>
        </is>
      </c>
      <c r="C3649" t="inlineStr">
        <is>
          <t>Minister of State</t>
        </is>
      </c>
      <c r="D3649" t="inlineStr">
        <is>
          <t>Ministre d'État</t>
        </is>
      </c>
      <c r="E3649" t="inlineStr">
        <is>
          <t>Bernard Valcourt</t>
        </is>
      </c>
      <c r="F3649" t="inlineStr">
        <is>
          <t>Various meetings and speeches for the Atlantic Canada Opportunities Agency</t>
        </is>
      </c>
      <c r="G3649" t="inlineStr">
        <is>
          <t>Réunions et allocutions diverses pour l'Agence de promotion économique du Canada atlantique</t>
        </is>
      </c>
      <c r="H3649" s="1" t="n">
        <v>41135</v>
      </c>
      <c r="I3649" s="1" t="n">
        <v>41138</v>
      </c>
      <c r="J3649" t="inlineStr">
        <is>
          <t>Halifax and Grand Pré, Nova Scotia and St. John's and Trinity Bay, Newfoundland and Labrador</t>
        </is>
      </c>
      <c r="K3649" t="inlineStr">
        <is>
          <t>Halifax et Grand Pré (Nouvelle-Écosse) et St. John's et Trinity Bay (Terre-Neuve et Labrador)</t>
        </is>
      </c>
      <c r="P3649" t="n">
        <v>1531.97</v>
      </c>
      <c r="Q3649" t="n">
        <v>0</v>
      </c>
      <c r="R3649" t="n">
        <v>560.42</v>
      </c>
      <c r="S3649" t="n">
        <v>207.65</v>
      </c>
      <c r="T3649" t="n">
        <v>14.03</v>
      </c>
      <c r="U3649" t="n">
        <v>2314.07</v>
      </c>
      <c r="X3649" t="inlineStr">
        <is>
          <t>acoa-apeca</t>
        </is>
      </c>
      <c r="Y3649" t="inlineStr">
        <is>
          <t>Atlantic Canada Opportunities Agency | Agence de promotion économique du Canada atlantique</t>
        </is>
      </c>
    </row>
    <row r="3650">
      <c r="A3650" t="inlineStr">
        <is>
          <t>T-2013-Q2-00049</t>
        </is>
      </c>
      <c r="B3650" t="inlineStr">
        <is>
          <t>MPSES</t>
        </is>
      </c>
      <c r="C3650" t="inlineStr">
        <is>
          <t>Student</t>
        </is>
      </c>
      <c r="D3650" t="inlineStr">
        <is>
          <t>Étudiante</t>
        </is>
      </c>
      <c r="E3650" t="inlineStr">
        <is>
          <t>Ariane Hunter-Meunier</t>
        </is>
      </c>
      <c r="F3650" t="inlineStr">
        <is>
          <t>Travel to accompany Minister of State for various ACOA meetings and announcements</t>
        </is>
      </c>
      <c r="G3650" t="inlineStr">
        <is>
          <t>Voyage pour accompagner le ministre d'État à diverses réunions et annonces de l'APECA</t>
        </is>
      </c>
      <c r="H3650" s="1" t="n">
        <v>41135</v>
      </c>
      <c r="I3650" s="1" t="n">
        <v>41137</v>
      </c>
      <c r="J3650" t="inlineStr">
        <is>
          <t>Halifax, Nova Scotia</t>
        </is>
      </c>
      <c r="K3650" t="inlineStr">
        <is>
          <t>Halifax (Nouvelle-Écosse)</t>
        </is>
      </c>
      <c r="P3650" t="n">
        <v>709.08</v>
      </c>
      <c r="Q3650" t="n">
        <v>91.97</v>
      </c>
      <c r="R3650" t="n">
        <v>326.1</v>
      </c>
      <c r="S3650" t="n">
        <v>194.5</v>
      </c>
      <c r="T3650" t="n">
        <v>0</v>
      </c>
      <c r="U3650" t="n">
        <v>1321.65</v>
      </c>
      <c r="X3650" t="inlineStr">
        <is>
          <t>acoa-apeca</t>
        </is>
      </c>
      <c r="Y3650" t="inlineStr">
        <is>
          <t>Atlantic Canada Opportunities Agency | Agence de promotion économique du Canada atlantique</t>
        </is>
      </c>
    </row>
    <row r="3651">
      <c r="A3651" t="inlineStr">
        <is>
          <t>T-2013-Q2-00048</t>
        </is>
      </c>
      <c r="B3651" t="inlineStr">
        <is>
          <t>MPSES</t>
        </is>
      </c>
      <c r="C3651" t="inlineStr">
        <is>
          <t>Executive Assistant and Press Secretary</t>
        </is>
      </c>
      <c r="D3651" t="inlineStr">
        <is>
          <t>Adjointe exécutive et attaché de presse</t>
        </is>
      </c>
      <c r="E3651" t="inlineStr">
        <is>
          <t>Andrea Richer</t>
        </is>
      </c>
      <c r="F3651" t="inlineStr">
        <is>
          <t>Travel to accompany Minister of State for various ACOA meetings and announcements</t>
        </is>
      </c>
      <c r="G3651" t="inlineStr">
        <is>
          <t>Voyage pour accompagner le ministre d'État à diverses réunions et annonces de l'APECA</t>
        </is>
      </c>
      <c r="H3651" s="1" t="n">
        <v>41133</v>
      </c>
      <c r="I3651" s="1" t="n">
        <v>41138</v>
      </c>
      <c r="J3651" t="inlineStr">
        <is>
          <t>Goose Bay/St. John's, Newfoundland, and Halifax, Nova Scotia</t>
        </is>
      </c>
      <c r="K3651" t="inlineStr">
        <is>
          <t>Goose Bay/St. John's (Terre-Neuve-et-Labrador) et Halifax (Nouvelle-Écosse)</t>
        </is>
      </c>
      <c r="P3651" t="n">
        <v>2369.29</v>
      </c>
      <c r="Q3651" t="n">
        <v>87</v>
      </c>
      <c r="R3651" t="n">
        <v>874.5599999999999</v>
      </c>
      <c r="S3651" t="n">
        <v>490.75</v>
      </c>
      <c r="T3651" t="n">
        <v>22.53</v>
      </c>
      <c r="U3651" t="n">
        <v>3844.13</v>
      </c>
      <c r="X3651" t="inlineStr">
        <is>
          <t>acoa-apeca</t>
        </is>
      </c>
      <c r="Y3651" t="inlineStr">
        <is>
          <t>Atlantic Canada Opportunities Agency | Agence de promotion économique du Canada atlantique</t>
        </is>
      </c>
    </row>
    <row r="3652">
      <c r="A3652" t="inlineStr">
        <is>
          <t>T-2013-Q2-00047</t>
        </is>
      </c>
      <c r="B3652" t="inlineStr">
        <is>
          <t>SLE</t>
        </is>
      </c>
      <c r="C3652" t="inlineStr">
        <is>
          <t>Vice-President, Policy and Programs</t>
        </is>
      </c>
      <c r="D3652" t="inlineStr">
        <is>
          <t>Vice-président, Politiques et Programmes</t>
        </is>
      </c>
      <c r="E3652" t="inlineStr">
        <is>
          <t>Daryell Nowlan</t>
        </is>
      </c>
      <c r="F3652" t="inlineStr">
        <is>
          <t>Meeting with Government of Canada officials</t>
        </is>
      </c>
      <c r="G3652" t="inlineStr">
        <is>
          <t>Réunion avec des fonctionnaires du gouvernement du Canada</t>
        </is>
      </c>
      <c r="H3652" s="1" t="n">
        <v>41130</v>
      </c>
      <c r="I3652" s="1" t="n">
        <v>41131</v>
      </c>
      <c r="J3652" t="inlineStr">
        <is>
          <t>Ottawa, Ontario</t>
        </is>
      </c>
      <c r="K3652" t="inlineStr">
        <is>
          <t>Ottawa (Ontario)</t>
        </is>
      </c>
      <c r="P3652" t="n">
        <v>944.6</v>
      </c>
      <c r="Q3652" t="n">
        <v>124</v>
      </c>
      <c r="R3652" t="n">
        <v>177.41</v>
      </c>
      <c r="S3652" t="n">
        <v>146</v>
      </c>
      <c r="T3652" t="n">
        <v>0</v>
      </c>
      <c r="U3652" t="n">
        <v>1392.01</v>
      </c>
      <c r="X3652" t="inlineStr">
        <is>
          <t>acoa-apeca</t>
        </is>
      </c>
      <c r="Y3652" t="inlineStr">
        <is>
          <t>Atlantic Canada Opportunities Agency | Agence de promotion économique du Canada atlantique</t>
        </is>
      </c>
    </row>
    <row r="3653">
      <c r="A3653" t="inlineStr">
        <is>
          <t>T-2013-Q2-00046</t>
        </is>
      </c>
      <c r="B3653" t="inlineStr">
        <is>
          <t>SLE</t>
        </is>
      </c>
      <c r="C3653" t="inlineStr">
        <is>
          <t>Vice-President, Newfoundland and Labrador</t>
        </is>
      </c>
      <c r="D3653" t="inlineStr">
        <is>
          <t>Vice-président, Terre-Neuve-et-Labrador</t>
        </is>
      </c>
      <c r="E3653" t="inlineStr">
        <is>
          <t>Paul Mills</t>
        </is>
      </c>
      <c r="F3653" t="inlineStr">
        <is>
          <t>To attend various meetings in and around Central</t>
        </is>
      </c>
      <c r="G3653" t="inlineStr">
        <is>
          <t>Assister à diverses réunions dans la région du centre et aux environs</t>
        </is>
      </c>
      <c r="H3653" s="1" t="n">
        <v>41120</v>
      </c>
      <c r="I3653" s="1" t="n">
        <v>41124</v>
      </c>
      <c r="J3653" t="inlineStr">
        <is>
          <t>Fogo Island/Gros Morne, Newfoundland and Labrador</t>
        </is>
      </c>
      <c r="K3653" t="inlineStr">
        <is>
          <t>Île Fogo/Gros Morne (Terre-Neuve-et-Labrador)</t>
        </is>
      </c>
      <c r="P3653" t="n">
        <v>0</v>
      </c>
      <c r="Q3653" t="n">
        <v>923.33</v>
      </c>
      <c r="R3653" t="n">
        <v>524.5</v>
      </c>
      <c r="S3653" t="n">
        <v>371.7</v>
      </c>
      <c r="T3653" t="n">
        <v>19.06</v>
      </c>
      <c r="U3653" t="n">
        <v>1838.59</v>
      </c>
      <c r="X3653" t="inlineStr">
        <is>
          <t>acoa-apeca</t>
        </is>
      </c>
      <c r="Y3653" t="inlineStr">
        <is>
          <t>Atlantic Canada Opportunities Agency | Agence de promotion économique du Canada atlantique</t>
        </is>
      </c>
    </row>
    <row r="3654">
      <c r="A3654" t="inlineStr">
        <is>
          <t>T-2013-Q2-00045</t>
        </is>
      </c>
      <c r="B3654" t="inlineStr">
        <is>
          <t>MPSES</t>
        </is>
      </c>
      <c r="C3654" t="inlineStr">
        <is>
          <t>Senator</t>
        </is>
      </c>
      <c r="D3654" t="inlineStr">
        <is>
          <t>Sénatrice</t>
        </is>
      </c>
      <c r="E3654" t="inlineStr">
        <is>
          <t>Rose-May Poirier</t>
        </is>
      </c>
      <c r="F3654" t="inlineStr">
        <is>
          <t>Travel on behalf of Minister of State for Atlantic Canada Opportunities Agency funding announcement</t>
        </is>
      </c>
      <c r="G3654" t="inlineStr">
        <is>
          <t>Voyage au nom du ministre d'État pour une annonce de financement de l'Agence de promotion économique du Canada atlantique</t>
        </is>
      </c>
      <c r="H3654" s="1" t="n">
        <v>41119</v>
      </c>
      <c r="I3654" s="1" t="n">
        <v>41119</v>
      </c>
      <c r="J3654" t="inlineStr">
        <is>
          <t>Shippagan, New Brunswick</t>
        </is>
      </c>
      <c r="K3654" t="inlineStr">
        <is>
          <t>Shippagan (Nouveau-Brunswick)</t>
        </is>
      </c>
      <c r="P3654" t="n">
        <v>0</v>
      </c>
      <c r="Q3654" t="n">
        <v>177.21</v>
      </c>
      <c r="R3654" t="n">
        <v>0</v>
      </c>
      <c r="S3654" t="n">
        <v>71.3</v>
      </c>
      <c r="T3654" t="n">
        <v>0</v>
      </c>
      <c r="U3654" t="n">
        <v>248.51</v>
      </c>
      <c r="X3654" t="inlineStr">
        <is>
          <t>acoa-apeca</t>
        </is>
      </c>
      <c r="Y3654" t="inlineStr">
        <is>
          <t>Atlantic Canada Opportunities Agency | Agence de promotion économique du Canada atlantique</t>
        </is>
      </c>
    </row>
    <row r="3655">
      <c r="A3655" t="inlineStr">
        <is>
          <t>T-2013-Q2-00044</t>
        </is>
      </c>
      <c r="B3655" t="inlineStr">
        <is>
          <t>SLE</t>
        </is>
      </c>
      <c r="C3655" t="inlineStr">
        <is>
          <t>Vice-President, Prince Edward Island</t>
        </is>
      </c>
      <c r="D3655" t="inlineStr">
        <is>
          <t>Vice-président, Île-du-Prince-Édouard</t>
        </is>
      </c>
      <c r="E3655" t="inlineStr">
        <is>
          <t>Patrick Dorsey</t>
        </is>
      </c>
      <c r="F3655" t="inlineStr">
        <is>
          <t>Meetings with Tourism New Brunswick officials and industry representatives</t>
        </is>
      </c>
      <c r="G3655" t="inlineStr">
        <is>
          <t xml:space="preserve">Réunions avec des représentants de Tourisme Nouveau-Brunswick et de l'industrie </t>
        </is>
      </c>
      <c r="H3655" s="1" t="n">
        <v>41115</v>
      </c>
      <c r="I3655" s="1" t="n">
        <v>41117</v>
      </c>
      <c r="J3655" t="inlineStr">
        <is>
          <t>Kedgewick, New Brunswick</t>
        </is>
      </c>
      <c r="K3655" t="inlineStr">
        <is>
          <t>Kedgewick (Nouveau-Brunswick)</t>
        </is>
      </c>
      <c r="P3655" t="n">
        <v>0</v>
      </c>
      <c r="Q3655" t="n">
        <v>44.25</v>
      </c>
      <c r="R3655" t="n">
        <v>0</v>
      </c>
      <c r="S3655" t="n">
        <v>97.2</v>
      </c>
      <c r="T3655" t="n">
        <v>0</v>
      </c>
      <c r="U3655" t="n">
        <v>141.45</v>
      </c>
      <c r="X3655" t="inlineStr">
        <is>
          <t>acoa-apeca</t>
        </is>
      </c>
      <c r="Y3655" t="inlineStr">
        <is>
          <t>Atlantic Canada Opportunities Agency | Agence de promotion économique du Canada atlantique</t>
        </is>
      </c>
    </row>
    <row r="3656">
      <c r="A3656" t="inlineStr">
        <is>
          <t>T-2013-Q2-00043</t>
        </is>
      </c>
      <c r="B3656" t="inlineStr">
        <is>
          <t>SLE</t>
        </is>
      </c>
      <c r="C3656" t="inlineStr">
        <is>
          <t>Vice-President, Newfoundland and Labrador</t>
        </is>
      </c>
      <c r="D3656" t="inlineStr">
        <is>
          <t>Vice-président, Terre-Neuve-et-Labrador</t>
        </is>
      </c>
      <c r="E3656" t="inlineStr">
        <is>
          <t>Paul Mills</t>
        </is>
      </c>
      <c r="F3656" t="inlineStr">
        <is>
          <t>To attend meetings with senior Government of Canada Officials</t>
        </is>
      </c>
      <c r="G3656" t="inlineStr">
        <is>
          <t>Assister à des réunions avec des hauts fonctionnaires du gouvernement du Canada</t>
        </is>
      </c>
      <c r="H3656" s="1" t="n">
        <v>41114</v>
      </c>
      <c r="I3656" s="1" t="n">
        <v>41116</v>
      </c>
      <c r="J3656" t="inlineStr">
        <is>
          <t>Ottawa, Ontario</t>
        </is>
      </c>
      <c r="K3656" t="inlineStr">
        <is>
          <t>Ottawa (Ontario)</t>
        </is>
      </c>
      <c r="P3656" t="n">
        <v>1377.02</v>
      </c>
      <c r="Q3656" t="n">
        <v>130</v>
      </c>
      <c r="R3656" t="n">
        <v>354.82</v>
      </c>
      <c r="S3656" t="n">
        <v>250.2</v>
      </c>
      <c r="T3656" t="n">
        <v>8.93</v>
      </c>
      <c r="U3656" t="n">
        <v>2120.97</v>
      </c>
      <c r="X3656" t="inlineStr">
        <is>
          <t>acoa-apeca</t>
        </is>
      </c>
      <c r="Y3656" t="inlineStr">
        <is>
          <t>Atlantic Canada Opportunities Agency | Agence de promotion économique du Canada atlantique</t>
        </is>
      </c>
    </row>
    <row r="3657">
      <c r="A3657" t="inlineStr">
        <is>
          <t>T-2013-Q2-00041</t>
        </is>
      </c>
      <c r="B3657" t="inlineStr">
        <is>
          <t>MPSES</t>
        </is>
      </c>
      <c r="C3657" t="inlineStr">
        <is>
          <t>Executive Assistant and Press Secretary</t>
        </is>
      </c>
      <c r="D3657" t="inlineStr">
        <is>
          <t>Adjointe exécutive et attaché de presse</t>
        </is>
      </c>
      <c r="E3657" t="inlineStr">
        <is>
          <t>Andrea Richer</t>
        </is>
      </c>
      <c r="F3657" t="inlineStr">
        <is>
          <t>Travel to accompany Minister of State for various ACOA meetings and announcements</t>
        </is>
      </c>
      <c r="G3657" t="inlineStr">
        <is>
          <t>Voyage pour accompagner le ministre d'État à diverses réunions et annonces de l'APECA</t>
        </is>
      </c>
      <c r="H3657" s="1" t="n">
        <v>41113</v>
      </c>
      <c r="I3657" s="1" t="n">
        <v>41114</v>
      </c>
      <c r="J3657" t="inlineStr">
        <is>
          <t>Fredericton and Gagetown, New Brunswick</t>
        </is>
      </c>
      <c r="K3657" t="inlineStr">
        <is>
          <t>Fredericton et Gagetown (Nouveau-Brunswick)</t>
        </is>
      </c>
      <c r="P3657" t="n">
        <v>683.6799999999999</v>
      </c>
      <c r="Q3657" t="n">
        <v>78.51000000000001</v>
      </c>
      <c r="R3657" t="n">
        <v>163.85</v>
      </c>
      <c r="S3657" t="n">
        <v>105.9</v>
      </c>
      <c r="T3657" t="n">
        <v>0</v>
      </c>
      <c r="U3657" t="n">
        <v>1031.94</v>
      </c>
      <c r="X3657" t="inlineStr">
        <is>
          <t>acoa-apeca</t>
        </is>
      </c>
      <c r="Y3657" t="inlineStr">
        <is>
          <t>Atlantic Canada Opportunities Agency | Agence de promotion économique du Canada atlantique</t>
        </is>
      </c>
    </row>
    <row r="3658">
      <c r="A3658" t="inlineStr">
        <is>
          <t>T-2013-Q2-00040</t>
        </is>
      </c>
      <c r="B3658" t="inlineStr">
        <is>
          <t>SLE</t>
        </is>
      </c>
      <c r="C3658" t="inlineStr">
        <is>
          <t>President</t>
        </is>
      </c>
      <c r="D3658" t="inlineStr">
        <is>
          <t>Président</t>
        </is>
      </c>
      <c r="E3658" t="inlineStr">
        <is>
          <t>Paul J. LeBlanc</t>
        </is>
      </c>
      <c r="F3658" t="inlineStr">
        <is>
          <t>For various meetings and discussions with Agency officials</t>
        </is>
      </c>
      <c r="G3658" t="inlineStr">
        <is>
          <t>Diverses réunions et discussions avec des fonctionnaires de l'Agence</t>
        </is>
      </c>
      <c r="H3658" s="1" t="n">
        <v>41113</v>
      </c>
      <c r="I3658" s="1" t="n">
        <v>41114</v>
      </c>
      <c r="J3658" t="inlineStr">
        <is>
          <t>Fredericton, New Brunswick</t>
        </is>
      </c>
      <c r="K3658" t="inlineStr">
        <is>
          <t>Fredericton (Nouveau-Brunswick)</t>
        </is>
      </c>
      <c r="P3658" t="n">
        <v>0</v>
      </c>
      <c r="Q3658" t="n">
        <v>0</v>
      </c>
      <c r="R3658" t="n">
        <v>163.85</v>
      </c>
      <c r="S3658" t="n">
        <v>105.9</v>
      </c>
      <c r="T3658" t="n">
        <v>58</v>
      </c>
      <c r="U3658" t="n">
        <v>327.75</v>
      </c>
      <c r="X3658" t="inlineStr">
        <is>
          <t>acoa-apeca</t>
        </is>
      </c>
      <c r="Y3658" t="inlineStr">
        <is>
          <t>Atlantic Canada Opportunities Agency | Agence de promotion économique du Canada atlantique</t>
        </is>
      </c>
    </row>
    <row r="3659">
      <c r="A3659" t="inlineStr">
        <is>
          <t>T-2013-Q2-00039</t>
        </is>
      </c>
      <c r="B3659" t="inlineStr">
        <is>
          <t>MPSES</t>
        </is>
      </c>
      <c r="C3659" t="inlineStr">
        <is>
          <t>Member of Parliament</t>
        </is>
      </c>
      <c r="D3659" t="inlineStr">
        <is>
          <t>Député</t>
        </is>
      </c>
      <c r="E3659" t="inlineStr">
        <is>
          <t>Robert Goguen</t>
        </is>
      </c>
      <c r="F3659" t="inlineStr">
        <is>
          <t>Travel on behalf of Minister of State for ACOA announcement</t>
        </is>
      </c>
      <c r="G3659" t="inlineStr">
        <is>
          <t>Voyage au nom du ministre d'État pour une annonce de l'APECA</t>
        </is>
      </c>
      <c r="H3659" s="1" t="n">
        <v>41109</v>
      </c>
      <c r="I3659" s="1" t="n">
        <v>41109</v>
      </c>
      <c r="J3659" t="inlineStr">
        <is>
          <t>Lamèque, New Brunswick</t>
        </is>
      </c>
      <c r="K3659" t="inlineStr">
        <is>
          <t>Lamèque (Nouveau-Brunswick)</t>
        </is>
      </c>
      <c r="P3659" t="n">
        <v>0</v>
      </c>
      <c r="Q3659" t="n">
        <v>246.51</v>
      </c>
      <c r="R3659" t="n">
        <v>0</v>
      </c>
      <c r="S3659" t="n">
        <v>14.85</v>
      </c>
      <c r="T3659" t="n">
        <v>0</v>
      </c>
      <c r="U3659" t="n">
        <v>261.36</v>
      </c>
      <c r="X3659" t="inlineStr">
        <is>
          <t>acoa-apeca</t>
        </is>
      </c>
      <c r="Y3659" t="inlineStr">
        <is>
          <t>Atlantic Canada Opportunities Agency | Agence de promotion économique du Canada atlantique</t>
        </is>
      </c>
    </row>
    <row r="3660">
      <c r="A3660" t="inlineStr">
        <is>
          <t>T-2013-Q2-00038</t>
        </is>
      </c>
      <c r="B3660" t="inlineStr">
        <is>
          <t>MPSES</t>
        </is>
      </c>
      <c r="C3660" t="inlineStr">
        <is>
          <t>Constituency Assistant to Robert Goguen</t>
        </is>
      </c>
      <c r="D3660" t="inlineStr">
        <is>
          <t>Adjoint de circonscription pour Robert Goguen</t>
        </is>
      </c>
      <c r="E3660" t="inlineStr">
        <is>
          <t>Mark Doiron</t>
        </is>
      </c>
      <c r="F3660" t="inlineStr">
        <is>
          <t>Travel to accompany Member of Parliament Robert Goguen for ACOA announcement</t>
        </is>
      </c>
      <c r="G3660" t="inlineStr">
        <is>
          <t>Voyage pour accompagner le député fédéral Robert Goguen à une annonce de l'APECA</t>
        </is>
      </c>
      <c r="H3660" s="1" t="n">
        <v>41109</v>
      </c>
      <c r="I3660" s="1" t="n">
        <v>41109</v>
      </c>
      <c r="J3660" t="inlineStr">
        <is>
          <t>Lamèque, New Brunswick</t>
        </is>
      </c>
      <c r="K3660" t="inlineStr">
        <is>
          <t>Lamèque (Nouveau-Brunswick)</t>
        </is>
      </c>
      <c r="P3660" t="n">
        <v>0</v>
      </c>
      <c r="Q3660" t="n">
        <v>0</v>
      </c>
      <c r="R3660" t="n">
        <v>0</v>
      </c>
      <c r="S3660" t="n">
        <v>14.85</v>
      </c>
      <c r="T3660" t="n">
        <v>0</v>
      </c>
      <c r="U3660" t="n">
        <v>14.85</v>
      </c>
      <c r="X3660" t="inlineStr">
        <is>
          <t>acoa-apeca</t>
        </is>
      </c>
      <c r="Y3660" t="inlineStr">
        <is>
          <t>Atlantic Canada Opportunities Agency | Agence de promotion économique du Canada atlantique</t>
        </is>
      </c>
    </row>
    <row r="3661">
      <c r="A3661" t="inlineStr">
        <is>
          <t>T-2013-Q2-00037</t>
        </is>
      </c>
      <c r="B3661" t="inlineStr">
        <is>
          <t>SLE</t>
        </is>
      </c>
      <c r="C3661" t="inlineStr">
        <is>
          <t>Vice-President, Policy and Programs</t>
        </is>
      </c>
      <c r="D3661" t="inlineStr">
        <is>
          <t>Vice-président, Politiques et Programmes</t>
        </is>
      </c>
      <c r="E3661" t="inlineStr">
        <is>
          <t>Daryell Nowlan</t>
        </is>
      </c>
      <c r="F3661" t="inlineStr">
        <is>
          <t>Meeting with Government of Canada officials</t>
        </is>
      </c>
      <c r="G3661" t="inlineStr">
        <is>
          <t>Réunion avec des fonctionnaires du gouvernement du Canada</t>
        </is>
      </c>
      <c r="H3661" s="1" t="n">
        <v>41109</v>
      </c>
      <c r="I3661" s="1" t="n">
        <v>41110</v>
      </c>
      <c r="J3661" t="inlineStr">
        <is>
          <t>Ottawa, Ontario</t>
        </is>
      </c>
      <c r="K3661" t="inlineStr">
        <is>
          <t>Ottawa (Ontario)</t>
        </is>
      </c>
      <c r="P3661" t="n">
        <v>1000</v>
      </c>
      <c r="Q3661" t="n">
        <v>121</v>
      </c>
      <c r="R3661" t="n">
        <v>177.41</v>
      </c>
      <c r="S3661" t="n">
        <v>105.15</v>
      </c>
      <c r="T3661" t="n">
        <v>0</v>
      </c>
      <c r="U3661" t="n">
        <v>1403.56</v>
      </c>
      <c r="X3661" t="inlineStr">
        <is>
          <t>acoa-apeca</t>
        </is>
      </c>
      <c r="Y3661" t="inlineStr">
        <is>
          <t>Atlantic Canada Opportunities Agency | Agence de promotion économique du Canada atlantique</t>
        </is>
      </c>
    </row>
    <row r="3662">
      <c r="A3662" t="inlineStr">
        <is>
          <t>T-2013-Q2-00035</t>
        </is>
      </c>
      <c r="B3662" t="inlineStr">
        <is>
          <t>SLE</t>
        </is>
      </c>
      <c r="C3662" t="inlineStr">
        <is>
          <t>Vice-President, New Brunswick</t>
        </is>
      </c>
      <c r="D3662" t="inlineStr">
        <is>
          <t>Vice-présidente, Nouveau-Brunswick</t>
        </is>
      </c>
      <c r="E3662" t="inlineStr">
        <is>
          <t>Janet Gagnon</t>
        </is>
      </c>
      <c r="F3662" t="inlineStr">
        <is>
          <t xml:space="preserve">Canadian National (CN) Railway meeting </t>
        </is>
      </c>
      <c r="G3662" t="inlineStr">
        <is>
          <t>Réunion au sujet du Canadien National (CN)</t>
        </is>
      </c>
      <c r="H3662" s="1" t="n">
        <v>41108</v>
      </c>
      <c r="I3662" s="1" t="n">
        <v>41109</v>
      </c>
      <c r="J3662" t="inlineStr">
        <is>
          <t>Bathurst, New Brunswick</t>
        </is>
      </c>
      <c r="K3662" t="inlineStr">
        <is>
          <t>Bathurst (Nouveau-Brunswick)</t>
        </is>
      </c>
      <c r="P3662" t="n">
        <v>0</v>
      </c>
      <c r="Q3662" t="n">
        <v>0</v>
      </c>
      <c r="R3662" t="n">
        <v>141.25</v>
      </c>
      <c r="S3662" t="n">
        <v>90.3</v>
      </c>
      <c r="T3662" t="n">
        <v>0</v>
      </c>
      <c r="U3662" t="n">
        <v>231.55</v>
      </c>
      <c r="X3662" t="inlineStr">
        <is>
          <t>acoa-apeca</t>
        </is>
      </c>
      <c r="Y3662" t="inlineStr">
        <is>
          <t>Atlantic Canada Opportunities Agency | Agence de promotion économique du Canada atlantique</t>
        </is>
      </c>
    </row>
    <row r="3663">
      <c r="A3663" t="inlineStr">
        <is>
          <t>T-2013-Q2-00033</t>
        </is>
      </c>
      <c r="B3663" t="inlineStr">
        <is>
          <t>SLE</t>
        </is>
      </c>
      <c r="C3663" t="inlineStr">
        <is>
          <t>Vice-President, Newfoundland and Labrador</t>
        </is>
      </c>
      <c r="D3663" t="inlineStr">
        <is>
          <t>Vice-président, Terre-Neuve-et-Labrador</t>
        </is>
      </c>
      <c r="E3663" t="inlineStr">
        <is>
          <t>Paul Mills</t>
        </is>
      </c>
      <c r="F3663" t="inlineStr">
        <is>
          <t>To attend meetings in rural Newfoundland</t>
        </is>
      </c>
      <c r="G3663" t="inlineStr">
        <is>
          <t>Assister à des réunions dans les régions rurales de Terre-Neuve</t>
        </is>
      </c>
      <c r="H3663" s="1" t="n">
        <v>41100</v>
      </c>
      <c r="I3663" s="1" t="n">
        <v>41102</v>
      </c>
      <c r="J3663" t="inlineStr">
        <is>
          <t>Grand Falls-Windsor, Newfoundland and Labrador</t>
        </is>
      </c>
      <c r="K3663" t="inlineStr">
        <is>
          <t>Grand Falls-Windsor (Terre-Neuve-et-Labrador)</t>
        </is>
      </c>
      <c r="P3663" t="n">
        <v>0</v>
      </c>
      <c r="Q3663" t="n">
        <v>474.88</v>
      </c>
      <c r="R3663" t="n">
        <v>123.17</v>
      </c>
      <c r="S3663" t="n">
        <v>161.6</v>
      </c>
      <c r="T3663" t="n">
        <v>17.46</v>
      </c>
      <c r="U3663" t="n">
        <v>777.11</v>
      </c>
      <c r="X3663" t="inlineStr">
        <is>
          <t>acoa-apeca</t>
        </is>
      </c>
      <c r="Y3663" t="inlineStr">
        <is>
          <t>Atlantic Canada Opportunities Agency | Agence de promotion économique du Canada atlantique</t>
        </is>
      </c>
    </row>
    <row r="3664">
      <c r="A3664" t="inlineStr">
        <is>
          <t>T-2013-Q2-00032</t>
        </is>
      </c>
      <c r="B3664" t="inlineStr">
        <is>
          <t>SLE</t>
        </is>
      </c>
      <c r="C3664" t="inlineStr">
        <is>
          <t>Vice-President, Newfoundland and Labrador</t>
        </is>
      </c>
      <c r="D3664" t="inlineStr">
        <is>
          <t>Vice-président, Terre-Neuve-et-Labrador</t>
        </is>
      </c>
      <c r="E3664" t="inlineStr">
        <is>
          <t>Paul Mills</t>
        </is>
      </c>
      <c r="F3664" t="inlineStr">
        <is>
          <t>Mileage for July to September 2012</t>
        </is>
      </c>
      <c r="G3664" t="inlineStr">
        <is>
          <t>Kilométrage pour les mois de juillet à septembre 2012</t>
        </is>
      </c>
      <c r="H3664" s="1" t="n">
        <v>41097</v>
      </c>
      <c r="I3664" s="1" t="n">
        <v>41182</v>
      </c>
      <c r="J3664" t="inlineStr">
        <is>
          <t>Various locations in Newfoundland region</t>
        </is>
      </c>
      <c r="K3664" t="inlineStr">
        <is>
          <t>Divers endroits dans la région de Terre-Neuve-et-Labrador</t>
        </is>
      </c>
      <c r="P3664" t="n">
        <v>0</v>
      </c>
      <c r="Q3664" t="n">
        <v>25.44</v>
      </c>
      <c r="R3664" t="n">
        <v>0</v>
      </c>
      <c r="S3664" t="n">
        <v>0</v>
      </c>
      <c r="T3664" t="n">
        <v>0</v>
      </c>
      <c r="U3664" t="n">
        <v>25.44</v>
      </c>
      <c r="X3664" t="inlineStr">
        <is>
          <t>acoa-apeca</t>
        </is>
      </c>
      <c r="Y3664" t="inlineStr">
        <is>
          <t>Atlantic Canada Opportunities Agency | Agence de promotion économique du Canada atlantique</t>
        </is>
      </c>
    </row>
    <row r="3665">
      <c r="A3665" t="inlineStr">
        <is>
          <t>T-2013-Q2-00031</t>
        </is>
      </c>
      <c r="B3665" t="inlineStr">
        <is>
          <t>MPSES</t>
        </is>
      </c>
      <c r="C3665" t="inlineStr">
        <is>
          <t>Executive Assistant and Press Secretary</t>
        </is>
      </c>
      <c r="D3665" t="inlineStr">
        <is>
          <t>Adjointe exécutive et attaché de presse</t>
        </is>
      </c>
      <c r="E3665" t="inlineStr">
        <is>
          <t>Andrea Richer</t>
        </is>
      </c>
      <c r="F3665" t="inlineStr">
        <is>
          <t>Travel to accompany Minister of State for various ACOA announcements</t>
        </is>
      </c>
      <c r="G3665" t="inlineStr">
        <is>
          <t>Voyage pour accompagner le ministre d'État à diverses annonces de l'APECA</t>
        </is>
      </c>
      <c r="H3665" s="1" t="n">
        <v>41095</v>
      </c>
      <c r="I3665" s="1" t="n">
        <v>41096</v>
      </c>
      <c r="J3665" t="inlineStr">
        <is>
          <t>Saint-Quentin/Edmundston/Saint-Basile/Grand-Sault, New Brunswick and Dégelis, Quebec</t>
        </is>
      </c>
      <c r="K3665" t="inlineStr">
        <is>
          <t>Saint-Quentin/Edmundston/Saint-Basile/Grand-Sault (Nouveau-Brunswick) et Dégelis (Québec)</t>
        </is>
      </c>
      <c r="P3665" t="n">
        <v>790.04</v>
      </c>
      <c r="Q3665" t="n">
        <v>214.31</v>
      </c>
      <c r="R3665" t="n">
        <v>134.47</v>
      </c>
      <c r="S3665" t="n">
        <v>79.90000000000001</v>
      </c>
      <c r="T3665" t="n">
        <v>0</v>
      </c>
      <c r="U3665" t="n">
        <v>1218.72</v>
      </c>
      <c r="X3665" t="inlineStr">
        <is>
          <t>acoa-apeca</t>
        </is>
      </c>
      <c r="Y3665" t="inlineStr">
        <is>
          <t>Atlantic Canada Opportunities Agency | Agence de promotion économique du Canada atlantique</t>
        </is>
      </c>
    </row>
    <row r="3666">
      <c r="A3666" t="inlineStr">
        <is>
          <t>T-2013-Q2-00030</t>
        </is>
      </c>
      <c r="B3666" t="inlineStr">
        <is>
          <t>SLE</t>
        </is>
      </c>
      <c r="C3666" t="inlineStr">
        <is>
          <t>President</t>
        </is>
      </c>
      <c r="D3666" t="inlineStr">
        <is>
          <t>Président</t>
        </is>
      </c>
      <c r="E3666" t="inlineStr">
        <is>
          <t>Paul J. LeBlanc</t>
        </is>
      </c>
      <c r="F3666" t="inlineStr">
        <is>
          <t>For various meetings and discussions with Agency officials and with Government of Canada officials</t>
        </is>
      </c>
      <c r="G3666" t="inlineStr">
        <is>
          <t>Diverses réunions et discussions avec des fonctionnaires de l'Agence et des fonctionnaires du gouvernement du Canada</t>
        </is>
      </c>
      <c r="H3666" s="1" t="n">
        <v>41094</v>
      </c>
      <c r="I3666" s="1" t="n">
        <v>41096</v>
      </c>
      <c r="J3666" t="inlineStr">
        <is>
          <t>Ottawa, Ontario</t>
        </is>
      </c>
      <c r="K3666" t="inlineStr">
        <is>
          <t>Ottawa (Ontario)</t>
        </is>
      </c>
      <c r="P3666" t="n">
        <v>741.36</v>
      </c>
      <c r="Q3666" t="n">
        <v>0</v>
      </c>
      <c r="R3666" t="n">
        <v>354.82</v>
      </c>
      <c r="S3666" t="n">
        <v>194.5</v>
      </c>
      <c r="T3666" t="n">
        <v>30</v>
      </c>
      <c r="U3666" t="n">
        <v>1320.68</v>
      </c>
      <c r="X3666" t="inlineStr">
        <is>
          <t>acoa-apeca</t>
        </is>
      </c>
      <c r="Y3666" t="inlineStr">
        <is>
          <t>Atlantic Canada Opportunities Agency | Agence de promotion économique du Canada atlantique</t>
        </is>
      </c>
    </row>
    <row r="3667">
      <c r="A3667" t="inlineStr">
        <is>
          <t>T-2013-Q2-00029</t>
        </is>
      </c>
      <c r="B3667" t="inlineStr">
        <is>
          <t>MPSES</t>
        </is>
      </c>
      <c r="C3667" t="inlineStr">
        <is>
          <t>Chief of Staff</t>
        </is>
      </c>
      <c r="D3667" t="inlineStr">
        <is>
          <t>Chef de cabinet</t>
        </is>
      </c>
      <c r="E3667" t="inlineStr">
        <is>
          <t>Mélisa Leclerc</t>
        </is>
      </c>
      <c r="F3667" t="inlineStr">
        <is>
          <t>Travel to accompany the Minister of State to the French Language World Forum</t>
        </is>
      </c>
      <c r="G3667" t="inlineStr">
        <is>
          <t>Voyage pour accompagner le ministre d'État au Forum mondial de la langue française</t>
        </is>
      </c>
      <c r="H3667" s="1" t="n">
        <v>41091</v>
      </c>
      <c r="I3667" s="1" t="n">
        <v>41094</v>
      </c>
      <c r="J3667" t="inlineStr">
        <is>
          <t>Québec, Québec</t>
        </is>
      </c>
      <c r="K3667" t="inlineStr">
        <is>
          <t>Québec (Québec)</t>
        </is>
      </c>
      <c r="P3667" t="n">
        <v>770.1900000000001</v>
      </c>
      <c r="Q3667" t="n">
        <v>125</v>
      </c>
      <c r="R3667" t="n">
        <v>343.44</v>
      </c>
      <c r="S3667" t="n">
        <v>146.75</v>
      </c>
      <c r="T3667" t="n">
        <v>0</v>
      </c>
      <c r="U3667" t="n">
        <v>1385.38</v>
      </c>
      <c r="X3667" t="inlineStr">
        <is>
          <t>acoa-apeca</t>
        </is>
      </c>
      <c r="Y3667" t="inlineStr">
        <is>
          <t>Atlantic Canada Opportunities Agency | Agence de promotion économique du Canada atlantique</t>
        </is>
      </c>
    </row>
    <row r="3668">
      <c r="A3668" t="inlineStr">
        <is>
          <t>T-2013-Q2-00028</t>
        </is>
      </c>
      <c r="B3668" t="inlineStr">
        <is>
          <t>MPSES</t>
        </is>
      </c>
      <c r="C3668" t="inlineStr">
        <is>
          <t>Minister of State</t>
        </is>
      </c>
      <c r="D3668" t="inlineStr">
        <is>
          <t>Ministre d'État</t>
        </is>
      </c>
      <c r="E3668" t="inlineStr">
        <is>
          <t>Bernard Valcourt</t>
        </is>
      </c>
      <c r="F3668" t="inlineStr">
        <is>
          <t>Participate in French Language Forum and ACOA announcements</t>
        </is>
      </c>
      <c r="G3668" t="inlineStr">
        <is>
          <t>Participation au Forum de la langue française et annonces de l'APECA</t>
        </is>
      </c>
      <c r="H3668" s="1" t="n">
        <v>41091</v>
      </c>
      <c r="I3668" s="1" t="n">
        <v>41095</v>
      </c>
      <c r="J3668" t="inlineStr">
        <is>
          <t>Québec, Québec and Saint-Quentin, New Brunswick</t>
        </is>
      </c>
      <c r="K3668" t="inlineStr">
        <is>
          <t>Québec (Québec) et Saint-Quentin (Nouveau-Brunswick)</t>
        </is>
      </c>
      <c r="P3668" t="n">
        <v>0</v>
      </c>
      <c r="Q3668" t="n">
        <v>905.27</v>
      </c>
      <c r="R3668" t="n">
        <v>495.21</v>
      </c>
      <c r="S3668" t="n">
        <v>308.35</v>
      </c>
      <c r="T3668" t="n">
        <v>0</v>
      </c>
      <c r="U3668" t="n">
        <v>1708.83</v>
      </c>
      <c r="X3668" t="inlineStr">
        <is>
          <t>acoa-apeca</t>
        </is>
      </c>
      <c r="Y3668" t="inlineStr">
        <is>
          <t>Atlantic Canada Opportunities Agency | Agence de promotion économique du Canada atlantique</t>
        </is>
      </c>
    </row>
    <row r="3669">
      <c r="A3669" t="inlineStr">
        <is>
          <t>T-2013-Q2-00025</t>
        </is>
      </c>
      <c r="B3669" t="inlineStr">
        <is>
          <t>SLE</t>
        </is>
      </c>
      <c r="C3669" t="inlineStr">
        <is>
          <t>Vice-President, New Brunswick</t>
        </is>
      </c>
      <c r="D3669" t="inlineStr">
        <is>
          <t>Vice-présidente, Nouveau-Brunswick</t>
        </is>
      </c>
      <c r="E3669" t="inlineStr">
        <is>
          <t>Janet Gagnon</t>
        </is>
      </c>
      <c r="F3669" t="inlineStr">
        <is>
          <t>Moncton District Office meeting and site visit. Executive Committee meeting</t>
        </is>
      </c>
      <c r="G3669" t="inlineStr">
        <is>
          <t>Réunion au bureau de district de Moncton et visite des lieux; réunion du Comité de direction</t>
        </is>
      </c>
      <c r="H3669" s="1" t="n">
        <v>41086</v>
      </c>
      <c r="I3669" s="1" t="n">
        <v>41087</v>
      </c>
      <c r="J3669" t="inlineStr">
        <is>
          <t>Moncton, New Brunswick</t>
        </is>
      </c>
      <c r="K3669" t="inlineStr">
        <is>
          <t>Moncton (Nouveau-Brunswick)</t>
        </is>
      </c>
      <c r="P3669" t="n">
        <v>0</v>
      </c>
      <c r="Q3669" t="n">
        <v>0</v>
      </c>
      <c r="R3669" t="n">
        <v>50</v>
      </c>
      <c r="S3669" t="n">
        <v>146.75</v>
      </c>
      <c r="T3669" t="n">
        <v>26</v>
      </c>
      <c r="U3669" t="n">
        <v>222.75</v>
      </c>
      <c r="X3669" t="inlineStr">
        <is>
          <t>acoa-apeca</t>
        </is>
      </c>
      <c r="Y3669" t="inlineStr">
        <is>
          <t>Atlantic Canada Opportunities Agency | Agence de promotion économique du Canada atlantique</t>
        </is>
      </c>
    </row>
    <row r="3670">
      <c r="A3670" t="inlineStr">
        <is>
          <t>T-2013-Q2-00024</t>
        </is>
      </c>
      <c r="B3670" t="inlineStr">
        <is>
          <t>SLE</t>
        </is>
      </c>
      <c r="C3670" t="inlineStr">
        <is>
          <t>Vice-President, Newfoundland and Labrador</t>
        </is>
      </c>
      <c r="D3670" t="inlineStr">
        <is>
          <t>Vice-président, Terre-Neuve-et-Labrador</t>
        </is>
      </c>
      <c r="E3670" t="inlineStr">
        <is>
          <t>Paul Mills</t>
        </is>
      </c>
      <c r="F3670" t="inlineStr">
        <is>
          <t xml:space="preserve">To attend EXCOMM Meeting </t>
        </is>
      </c>
      <c r="G3670" t="inlineStr">
        <is>
          <t>Assister à une réunion du Comité de direction</t>
        </is>
      </c>
      <c r="H3670" s="1" t="n">
        <v>41086</v>
      </c>
      <c r="I3670" s="1" t="n">
        <v>41088</v>
      </c>
      <c r="J3670" t="inlineStr">
        <is>
          <t>Moncton, New Brunswick</t>
        </is>
      </c>
      <c r="K3670" t="inlineStr">
        <is>
          <t>Moncton (Nouveau-Brunswick)</t>
        </is>
      </c>
      <c r="P3670" t="n">
        <v>1368.14</v>
      </c>
      <c r="Q3670" t="n">
        <v>214.06</v>
      </c>
      <c r="R3670" t="n">
        <v>345.56</v>
      </c>
      <c r="S3670" t="n">
        <v>220.5</v>
      </c>
      <c r="T3670" t="n">
        <v>7.73</v>
      </c>
      <c r="U3670" t="n">
        <v>2155.99</v>
      </c>
      <c r="X3670" t="inlineStr">
        <is>
          <t>acoa-apeca</t>
        </is>
      </c>
      <c r="Y3670" t="inlineStr">
        <is>
          <t>Atlantic Canada Opportunities Agency | Agence de promotion économique du Canada atlantique</t>
        </is>
      </c>
    </row>
    <row r="3671">
      <c r="A3671" t="inlineStr">
        <is>
          <t>T-2013-Q2-00023</t>
        </is>
      </c>
      <c r="B3671" t="inlineStr">
        <is>
          <t>SLE</t>
        </is>
      </c>
      <c r="C3671" t="inlineStr">
        <is>
          <t>Vice-President, New Brunswick</t>
        </is>
      </c>
      <c r="D3671" t="inlineStr">
        <is>
          <t>Vice-présidente, Nouveau-Brunswick</t>
        </is>
      </c>
      <c r="E3671" t="inlineStr">
        <is>
          <t>Janet Gagnon</t>
        </is>
      </c>
      <c r="F3671" t="inlineStr">
        <is>
          <t>Saint John District Office meeting and site visit</t>
        </is>
      </c>
      <c r="G3671" t="inlineStr">
        <is>
          <t>Réunion au bureau de district de Saint John et visite des lieux</t>
        </is>
      </c>
      <c r="H3671" s="1" t="n">
        <v>41082</v>
      </c>
      <c r="I3671" s="1" t="n">
        <v>41082</v>
      </c>
      <c r="J3671" t="inlineStr">
        <is>
          <t>Saint John, New Brunswick</t>
        </is>
      </c>
      <c r="K3671" t="inlineStr">
        <is>
          <t>Saint John (Nouveau-Brunswick)</t>
        </is>
      </c>
      <c r="P3671" t="n">
        <v>0</v>
      </c>
      <c r="Q3671" t="n">
        <v>0</v>
      </c>
      <c r="R3671" t="n">
        <v>0</v>
      </c>
      <c r="S3671" t="n">
        <v>55.7</v>
      </c>
      <c r="T3671" t="n">
        <v>0</v>
      </c>
      <c r="U3671" t="n">
        <v>55.7</v>
      </c>
      <c r="X3671" t="inlineStr">
        <is>
          <t>acoa-apeca</t>
        </is>
      </c>
      <c r="Y3671" t="inlineStr">
        <is>
          <t>Atlantic Canada Opportunities Agency | Agence de promotion économique du Canada atlantique</t>
        </is>
      </c>
    </row>
    <row r="3672">
      <c r="A3672" t="inlineStr">
        <is>
          <t>T-2013-Q2-00006</t>
        </is>
      </c>
      <c r="B3672" t="inlineStr">
        <is>
          <t>SLE</t>
        </is>
      </c>
      <c r="C3672" t="inlineStr">
        <is>
          <t>Vice-President, Finance and Corporate Services</t>
        </is>
      </c>
      <c r="D3672" t="inlineStr">
        <is>
          <t>Vice-présidente, Finances et Services corporatifs</t>
        </is>
      </c>
      <c r="E3672" t="inlineStr">
        <is>
          <t>Denise Frenette</t>
        </is>
      </c>
      <c r="F3672" t="inlineStr">
        <is>
          <t>Meetings with Government of Canada officials</t>
        </is>
      </c>
      <c r="G3672" t="inlineStr">
        <is>
          <t xml:space="preserve">Réunions avec des fonctionnaires du gouvernement du Canada </t>
        </is>
      </c>
      <c r="H3672" s="1" t="n">
        <v>41065</v>
      </c>
      <c r="I3672" s="1" t="n">
        <v>41066</v>
      </c>
      <c r="J3672" t="inlineStr">
        <is>
          <t>Ottawa, Ontario</t>
        </is>
      </c>
      <c r="K3672" t="inlineStr">
        <is>
          <t>Ottawa (Ontario)</t>
        </is>
      </c>
      <c r="P3672" t="n">
        <v>1075.76</v>
      </c>
      <c r="Q3672" t="n">
        <v>55.9</v>
      </c>
      <c r="R3672" t="n">
        <v>165.42</v>
      </c>
      <c r="S3672" t="n">
        <v>116.3</v>
      </c>
      <c r="T3672" t="n">
        <v>2.5</v>
      </c>
      <c r="U3672" t="n">
        <v>1415.88</v>
      </c>
      <c r="X3672" t="inlineStr">
        <is>
          <t>acoa-apeca</t>
        </is>
      </c>
      <c r="Y3672" t="inlineStr">
        <is>
          <t>Atlantic Canada Opportunities Agency | Agence de promotion économique du Canada atlantique</t>
        </is>
      </c>
    </row>
    <row r="3673">
      <c r="A3673" t="inlineStr">
        <is>
          <t>T-2013-Q2-00021</t>
        </is>
      </c>
      <c r="B3673" t="inlineStr">
        <is>
          <t>MPSES</t>
        </is>
      </c>
      <c r="C3673" t="inlineStr">
        <is>
          <t>Member of Parliament</t>
        </is>
      </c>
      <c r="D3673" t="inlineStr">
        <is>
          <t>Député</t>
        </is>
      </c>
      <c r="E3673" t="inlineStr">
        <is>
          <t>Bernard Trottier</t>
        </is>
      </c>
      <c r="F3673" t="inlineStr">
        <is>
          <t>Travel to accompany Minister of State on his consultation meetings on Sommet de la Francophonie 2012</t>
        </is>
      </c>
      <c r="G3673" t="inlineStr">
        <is>
          <t>Voyage pour accompagner le ministre d'État à ses réunions de consultation sur le Sommet de la Francophonie 2012</t>
        </is>
      </c>
      <c r="H3673" s="1" t="n">
        <v>41079</v>
      </c>
      <c r="I3673" s="1" t="n">
        <v>41084</v>
      </c>
      <c r="J3673" t="inlineStr">
        <is>
          <t>Kinshasa, Congo - Africa</t>
        </is>
      </c>
      <c r="K3673" t="inlineStr">
        <is>
          <t>Kinshasa (Congo) - Afrique</t>
        </is>
      </c>
      <c r="P3673" t="n">
        <v>6548.73</v>
      </c>
      <c r="Q3673" t="n">
        <v>123.52</v>
      </c>
      <c r="R3673" t="n">
        <v>0</v>
      </c>
      <c r="S3673" t="n">
        <v>402.29</v>
      </c>
      <c r="T3673" t="n">
        <v>61.63</v>
      </c>
      <c r="U3673" t="n">
        <v>7136.17</v>
      </c>
      <c r="X3673" t="inlineStr">
        <is>
          <t>acoa-apeca</t>
        </is>
      </c>
      <c r="Y3673" t="inlineStr">
        <is>
          <t>Atlantic Canada Opportunities Agency | Agence de promotion économique du Canada atlantique</t>
        </is>
      </c>
    </row>
    <row r="3674">
      <c r="A3674" t="inlineStr">
        <is>
          <t>T-2013-Q2-00020</t>
        </is>
      </c>
      <c r="B3674" t="inlineStr">
        <is>
          <t>MPSES</t>
        </is>
      </c>
      <c r="C3674" t="inlineStr">
        <is>
          <t>Member of Parliament</t>
        </is>
      </c>
      <c r="D3674" t="inlineStr">
        <is>
          <t>Député</t>
        </is>
      </c>
      <c r="E3674" t="inlineStr">
        <is>
          <t>Christopher Alexander</t>
        </is>
      </c>
      <c r="F3674" t="inlineStr">
        <is>
          <t>Travel to accompany Minister of State on his consultation meetings on Sommet de la Francophonie 2012</t>
        </is>
      </c>
      <c r="G3674" t="inlineStr">
        <is>
          <t>Voyage pour accompagner le ministre d'État à ses réunions de consultation sur le Sommet de la Francophonie 2012</t>
        </is>
      </c>
      <c r="H3674" s="1" t="n">
        <v>41079</v>
      </c>
      <c r="I3674" s="1" t="n">
        <v>41084</v>
      </c>
      <c r="J3674" t="inlineStr">
        <is>
          <t>Kinshasa, Congo - Africa</t>
        </is>
      </c>
      <c r="K3674" t="inlineStr">
        <is>
          <t>Kinshasa (Congo) - Afrique</t>
        </is>
      </c>
      <c r="P3674" t="n">
        <v>6548.73</v>
      </c>
      <c r="Q3674" t="n">
        <v>51.52</v>
      </c>
      <c r="R3674" t="n">
        <v>0</v>
      </c>
      <c r="S3674" t="n">
        <v>402.29</v>
      </c>
      <c r="T3674" t="n">
        <v>0</v>
      </c>
      <c r="U3674" t="n">
        <v>7002.54</v>
      </c>
      <c r="X3674" t="inlineStr">
        <is>
          <t>acoa-apeca</t>
        </is>
      </c>
      <c r="Y3674" t="inlineStr">
        <is>
          <t>Atlantic Canada Opportunities Agency | Agence de promotion économique du Canada atlantique</t>
        </is>
      </c>
    </row>
    <row r="3675">
      <c r="A3675" t="inlineStr">
        <is>
          <t>T-2013-Q2-00019</t>
        </is>
      </c>
      <c r="B3675" t="inlineStr">
        <is>
          <t>SLE</t>
        </is>
      </c>
      <c r="C3675" t="inlineStr">
        <is>
          <t>Vice-President, Finance and Corporate Services</t>
        </is>
      </c>
      <c r="D3675" t="inlineStr">
        <is>
          <t>Vice-présidente, Finances et Services corporatifs</t>
        </is>
      </c>
      <c r="E3675" t="inlineStr">
        <is>
          <t>Denise Frenette</t>
        </is>
      </c>
      <c r="F3675" t="inlineStr">
        <is>
          <t xml:space="preserve">Meetings with Government of Canada officials </t>
        </is>
      </c>
      <c r="G3675" t="inlineStr">
        <is>
          <t xml:space="preserve">Réunions avec des fonctionnaires du gouvernement du Canada </t>
        </is>
      </c>
      <c r="H3675" s="1" t="n">
        <v>41079</v>
      </c>
      <c r="I3675" s="1" t="n">
        <v>41081</v>
      </c>
      <c r="J3675" t="inlineStr">
        <is>
          <t>Ottawa, Ontario</t>
        </is>
      </c>
      <c r="K3675" t="inlineStr">
        <is>
          <t>Ottawa (Ontario)</t>
        </is>
      </c>
      <c r="P3675" t="n">
        <v>1075.76</v>
      </c>
      <c r="Q3675" t="n">
        <v>116.94</v>
      </c>
      <c r="R3675" t="n">
        <v>354.82</v>
      </c>
      <c r="S3675" t="n">
        <v>204.15</v>
      </c>
      <c r="T3675" t="n">
        <v>0</v>
      </c>
      <c r="U3675" t="n">
        <v>1751.67</v>
      </c>
      <c r="X3675" t="inlineStr">
        <is>
          <t>acoa-apeca</t>
        </is>
      </c>
      <c r="Y3675" t="inlineStr">
        <is>
          <t>Atlantic Canada Opportunities Agency | Agence de promotion économique du Canada atlantique</t>
        </is>
      </c>
    </row>
    <row r="3676">
      <c r="A3676" t="inlineStr">
        <is>
          <t>T-2013-Q2-00018</t>
        </is>
      </c>
      <c r="B3676" t="inlineStr">
        <is>
          <t>MPSES</t>
        </is>
      </c>
      <c r="C3676" t="inlineStr">
        <is>
          <t>Chief of Staff</t>
        </is>
      </c>
      <c r="D3676" t="inlineStr">
        <is>
          <t>Chef de cabinet</t>
        </is>
      </c>
      <c r="E3676" t="inlineStr">
        <is>
          <t>Mélisa Leclerc</t>
        </is>
      </c>
      <c r="F3676" t="inlineStr">
        <is>
          <t>Travel to accompany the Minister on his consultation meetings at the Francophonie Summit</t>
        </is>
      </c>
      <c r="G3676" t="inlineStr">
        <is>
          <t>Voyage pour accompagner le ministre à ses rencontres de consultation au Sommet de la Francophonie</t>
        </is>
      </c>
      <c r="H3676" s="1" t="n">
        <v>41079</v>
      </c>
      <c r="I3676" s="1" t="n">
        <v>41089</v>
      </c>
      <c r="J3676" t="inlineStr">
        <is>
          <t>Kinshasa, Congo, Abidjan, Ivory Coast, and Paris, France</t>
        </is>
      </c>
      <c r="K3676" t="inlineStr">
        <is>
          <t>Kinshasa (Congo), Abidjan (Côte d'Ivoire) et Paris (France)</t>
        </is>
      </c>
      <c r="P3676" t="n">
        <v>4810.71</v>
      </c>
      <c r="Q3676" t="n">
        <v>86.52</v>
      </c>
      <c r="R3676" t="n">
        <v>1667.83</v>
      </c>
      <c r="S3676" t="n">
        <v>638.3099999999999</v>
      </c>
      <c r="T3676" t="n">
        <v>115.98</v>
      </c>
      <c r="U3676" t="n">
        <v>7319.35</v>
      </c>
      <c r="X3676" t="inlineStr">
        <is>
          <t>acoa-apeca</t>
        </is>
      </c>
      <c r="Y3676" t="inlineStr">
        <is>
          <t>Atlantic Canada Opportunities Agency | Agence de promotion économique du Canada atlantique</t>
        </is>
      </c>
    </row>
    <row r="3677">
      <c r="A3677" t="inlineStr">
        <is>
          <t>T-2013-Q2-00017</t>
        </is>
      </c>
      <c r="B3677" t="inlineStr">
        <is>
          <t>MPSES</t>
        </is>
      </c>
      <c r="C3677" t="inlineStr">
        <is>
          <t>Minister of State</t>
        </is>
      </c>
      <c r="D3677" t="inlineStr">
        <is>
          <t>Ministre d'État</t>
        </is>
      </c>
      <c r="E3677" t="inlineStr">
        <is>
          <t>Bernard Valcourt</t>
        </is>
      </c>
      <c r="F3677" t="inlineStr">
        <is>
          <t>Visit and meetings in advance of the Francophonie Summit</t>
        </is>
      </c>
      <c r="G3677" t="inlineStr">
        <is>
          <t>Visite et rencontres précédant le Sommet de la Francophonie</t>
        </is>
      </c>
      <c r="H3677" s="1" t="n">
        <v>41079</v>
      </c>
      <c r="I3677" s="1" t="n">
        <v>41088</v>
      </c>
      <c r="J3677" t="inlineStr">
        <is>
          <t>Kinshasa, Democratic Republic of the Congo, Abidjan, Ivory Coast, and Paris, France</t>
        </is>
      </c>
      <c r="K3677" t="inlineStr">
        <is>
          <t>Kinshasa (République démocratique du Congo), Abidjan (Côte d'Ivoire) et Paris (France)</t>
        </is>
      </c>
      <c r="P3677" t="n">
        <v>8304.040000000001</v>
      </c>
      <c r="Q3677" t="n">
        <v>51.52</v>
      </c>
      <c r="R3677" t="n">
        <v>2495.58</v>
      </c>
      <c r="S3677" t="n">
        <v>632.59</v>
      </c>
      <c r="T3677" t="n">
        <v>72.25</v>
      </c>
      <c r="U3677" t="n">
        <v>11555.98</v>
      </c>
      <c r="X3677" t="inlineStr">
        <is>
          <t>acoa-apeca</t>
        </is>
      </c>
      <c r="Y3677" t="inlineStr">
        <is>
          <t>Atlantic Canada Opportunities Agency | Agence de promotion économique du Canada atlantique</t>
        </is>
      </c>
    </row>
    <row r="3678">
      <c r="A3678" t="inlineStr">
        <is>
          <t>T-2013-Q2-00016</t>
        </is>
      </c>
      <c r="B3678" t="inlineStr">
        <is>
          <t>SLE</t>
        </is>
      </c>
      <c r="C3678" t="inlineStr">
        <is>
          <t>Vice-President, New Brunswick</t>
        </is>
      </c>
      <c r="D3678" t="inlineStr">
        <is>
          <t>Vice-présidente, Nouveau-Brunswick</t>
        </is>
      </c>
      <c r="E3678" t="inlineStr">
        <is>
          <t>Janet Gagnon</t>
        </is>
      </c>
      <c r="F3678" t="inlineStr">
        <is>
          <t>New Brunswick Federal Council (NBFC) meeting</t>
        </is>
      </c>
      <c r="G3678" t="inlineStr">
        <is>
          <t>Réunion du Conseil fédéral du Nouveau-Brunswick (CFNB)</t>
        </is>
      </c>
      <c r="H3678" s="1" t="n">
        <v>41079</v>
      </c>
      <c r="I3678" s="1" t="n">
        <v>41080</v>
      </c>
      <c r="J3678" t="inlineStr">
        <is>
          <t>Moncton, New Brunswick</t>
        </is>
      </c>
      <c r="K3678" t="inlineStr">
        <is>
          <t>Moncton (Nouveau-Brunswick)</t>
        </is>
      </c>
      <c r="P3678" t="n">
        <v>0</v>
      </c>
      <c r="Q3678" t="n">
        <v>0</v>
      </c>
      <c r="R3678" t="n">
        <v>162.72</v>
      </c>
      <c r="S3678" t="n">
        <v>90.3</v>
      </c>
      <c r="T3678" t="n">
        <v>14.13</v>
      </c>
      <c r="U3678" t="n">
        <v>267.15</v>
      </c>
      <c r="X3678" t="inlineStr">
        <is>
          <t>acoa-apeca</t>
        </is>
      </c>
      <c r="Y3678" t="inlineStr">
        <is>
          <t>Atlantic Canada Opportunities Agency | Agence de promotion économique du Canada atlantique</t>
        </is>
      </c>
    </row>
    <row r="3679">
      <c r="A3679" t="inlineStr">
        <is>
          <t>T-2013-Q2-00015</t>
        </is>
      </c>
      <c r="B3679" t="inlineStr">
        <is>
          <t>SLE</t>
        </is>
      </c>
      <c r="C3679" t="inlineStr">
        <is>
          <t>Vice-President, Policy and Programs</t>
        </is>
      </c>
      <c r="D3679" t="inlineStr">
        <is>
          <t>Vice-président, Politiques et Programmes</t>
        </is>
      </c>
      <c r="E3679" t="inlineStr">
        <is>
          <t>Daryell Nowlan</t>
        </is>
      </c>
      <c r="F3679" t="inlineStr">
        <is>
          <t>Meetings with Agency officials</t>
        </is>
      </c>
      <c r="G3679" t="inlineStr">
        <is>
          <t>Réunions avec des fonctionnaires de l'Agence</t>
        </is>
      </c>
      <c r="H3679" s="1" t="n">
        <v>41078</v>
      </c>
      <c r="I3679" s="1" t="n">
        <v>41080</v>
      </c>
      <c r="J3679" t="inlineStr">
        <is>
          <t>Ottawa, Ontario</t>
        </is>
      </c>
      <c r="K3679" t="inlineStr">
        <is>
          <t>Ottawa (Ontario)</t>
        </is>
      </c>
      <c r="P3679" t="n">
        <v>1000</v>
      </c>
      <c r="Q3679" t="n">
        <v>131.8</v>
      </c>
      <c r="R3679" t="n">
        <v>354.82</v>
      </c>
      <c r="S3679" t="n">
        <v>204.15</v>
      </c>
      <c r="T3679" t="n">
        <v>0</v>
      </c>
      <c r="U3679" t="n">
        <v>1690.77</v>
      </c>
      <c r="X3679" t="inlineStr">
        <is>
          <t>acoa-apeca</t>
        </is>
      </c>
      <c r="Y3679" t="inlineStr">
        <is>
          <t>Atlantic Canada Opportunities Agency | Agence de promotion économique du Canada atlantique</t>
        </is>
      </c>
    </row>
    <row r="3680">
      <c r="A3680" t="inlineStr">
        <is>
          <t>T-2013-Q2-00014</t>
        </is>
      </c>
      <c r="B3680" t="inlineStr">
        <is>
          <t>SLE</t>
        </is>
      </c>
      <c r="C3680" t="inlineStr">
        <is>
          <t>Vice-President, Prince Edward Island</t>
        </is>
      </c>
      <c r="D3680" t="inlineStr">
        <is>
          <t>Vice-président, Île-du-Prince-Édouard</t>
        </is>
      </c>
      <c r="E3680" t="inlineStr">
        <is>
          <t>Patrick Dorsey</t>
        </is>
      </c>
      <c r="F3680" t="inlineStr">
        <is>
          <t>ACOA Board Meeting</t>
        </is>
      </c>
      <c r="G3680" t="inlineStr">
        <is>
          <t>Réunion du Conseil de promotion économique du Canada atlantique</t>
        </is>
      </c>
      <c r="H3680" s="1" t="n">
        <v>41073</v>
      </c>
      <c r="I3680" s="1" t="n">
        <v>41074</v>
      </c>
      <c r="J3680" t="inlineStr">
        <is>
          <t>Halifax, Nova Scotia</t>
        </is>
      </c>
      <c r="K3680" t="inlineStr">
        <is>
          <t>Halifax (Nouvelle-Écosse)</t>
        </is>
      </c>
      <c r="P3680" t="n">
        <v>0</v>
      </c>
      <c r="Q3680" t="n">
        <v>77.19</v>
      </c>
      <c r="R3680" t="n">
        <v>181.82</v>
      </c>
      <c r="S3680" t="n">
        <v>146.75</v>
      </c>
      <c r="T3680" t="n">
        <v>0</v>
      </c>
      <c r="U3680" t="n">
        <v>405.76</v>
      </c>
      <c r="X3680" t="inlineStr">
        <is>
          <t>acoa-apeca</t>
        </is>
      </c>
      <c r="Y3680" t="inlineStr">
        <is>
          <t>Atlantic Canada Opportunities Agency | Agence de promotion économique du Canada atlantique</t>
        </is>
      </c>
    </row>
    <row r="3681">
      <c r="A3681" t="inlineStr">
        <is>
          <t>T-2013-Q2-00013</t>
        </is>
      </c>
      <c r="B3681" t="inlineStr">
        <is>
          <t>SLE</t>
        </is>
      </c>
      <c r="C3681" t="inlineStr">
        <is>
          <t>Vice-President, New Brunswick</t>
        </is>
      </c>
      <c r="D3681" t="inlineStr">
        <is>
          <t>Vice-présidente, Nouveau-Brunswick</t>
        </is>
      </c>
      <c r="E3681" t="inlineStr">
        <is>
          <t>Janet Gagnon</t>
        </is>
      </c>
      <c r="F3681" t="inlineStr">
        <is>
          <t>Atlantic Canada Opportunities Board (ACO Board)</t>
        </is>
      </c>
      <c r="G3681" t="inlineStr">
        <is>
          <t>Réunion du Conseil de promotion économique du Canada atlantique</t>
        </is>
      </c>
      <c r="H3681" s="1" t="n">
        <v>41073</v>
      </c>
      <c r="I3681" s="1" t="n">
        <v>41074</v>
      </c>
      <c r="J3681" t="inlineStr">
        <is>
          <t>Halifax, Nova Scotia</t>
        </is>
      </c>
      <c r="K3681" t="inlineStr">
        <is>
          <t>Halifax (Nouvelle-Écosse)</t>
        </is>
      </c>
      <c r="P3681" t="n">
        <v>1097.28</v>
      </c>
      <c r="Q3681" t="n">
        <v>100.83</v>
      </c>
      <c r="R3681" t="n">
        <v>174.78</v>
      </c>
      <c r="S3681" t="n">
        <v>131.9</v>
      </c>
      <c r="T3681" t="n">
        <v>40.94</v>
      </c>
      <c r="U3681" t="n">
        <v>1545.73</v>
      </c>
      <c r="X3681" t="inlineStr">
        <is>
          <t>acoa-apeca</t>
        </is>
      </c>
      <c r="Y3681" t="inlineStr">
        <is>
          <t>Atlantic Canada Opportunities Agency | Agence de promotion économique du Canada atlantique</t>
        </is>
      </c>
    </row>
    <row r="3682">
      <c r="A3682" t="inlineStr">
        <is>
          <t>T-2013-Q2-00012</t>
        </is>
      </c>
      <c r="B3682" t="inlineStr">
        <is>
          <t>SLE</t>
        </is>
      </c>
      <c r="C3682" t="inlineStr">
        <is>
          <t>Vice-President, Policy and Programs</t>
        </is>
      </c>
      <c r="D3682" t="inlineStr">
        <is>
          <t>Vice-président, Politiques et Programmes</t>
        </is>
      </c>
      <c r="E3682" t="inlineStr">
        <is>
          <t>Daryell Nowlan</t>
        </is>
      </c>
      <c r="F3682" t="inlineStr">
        <is>
          <t>ACO Board Meeting</t>
        </is>
      </c>
      <c r="G3682" t="inlineStr">
        <is>
          <t>Réunion du Conseil de promotion économique du Canada atlantique</t>
        </is>
      </c>
      <c r="H3682" s="1" t="n">
        <v>41073</v>
      </c>
      <c r="I3682" s="1" t="n">
        <v>41074</v>
      </c>
      <c r="J3682" t="inlineStr">
        <is>
          <t>Halifax, Nova Scotia</t>
        </is>
      </c>
      <c r="K3682" t="inlineStr">
        <is>
          <t>Halifax (Nouvelle-Écosse)</t>
        </is>
      </c>
      <c r="P3682" t="n">
        <v>0</v>
      </c>
      <c r="Q3682" t="n">
        <v>170.02</v>
      </c>
      <c r="R3682" t="n">
        <v>181.82</v>
      </c>
      <c r="S3682" t="n">
        <v>116.3</v>
      </c>
      <c r="T3682" t="n">
        <v>0</v>
      </c>
      <c r="U3682" t="n">
        <v>468.14</v>
      </c>
      <c r="X3682" t="inlineStr">
        <is>
          <t>acoa-apeca</t>
        </is>
      </c>
      <c r="Y3682" t="inlineStr">
        <is>
          <t>Atlantic Canada Opportunities Agency | Agence de promotion économique du Canada atlantique</t>
        </is>
      </c>
    </row>
    <row r="3683">
      <c r="A3683" t="inlineStr">
        <is>
          <t>T-2013-Q2-00011</t>
        </is>
      </c>
      <c r="B3683" t="inlineStr">
        <is>
          <t>SLE</t>
        </is>
      </c>
      <c r="C3683" t="inlineStr">
        <is>
          <t>Vice-President, Newfoundland and Labrador</t>
        </is>
      </c>
      <c r="D3683" t="inlineStr">
        <is>
          <t>Vice-président, Terre-Neuve-et-Labrador</t>
        </is>
      </c>
      <c r="E3683" t="inlineStr">
        <is>
          <t>Paul Mills</t>
        </is>
      </c>
      <c r="F3683" t="inlineStr">
        <is>
          <t>To attend meetings with ACOA Board</t>
        </is>
      </c>
      <c r="G3683" t="inlineStr">
        <is>
          <t>Assister à des réunions avec le Conseil de promotion économique du Canada atlantique</t>
        </is>
      </c>
      <c r="H3683" s="1" t="n">
        <v>41073</v>
      </c>
      <c r="I3683" s="1" t="n">
        <v>41074</v>
      </c>
      <c r="J3683" t="inlineStr">
        <is>
          <t>Halifax, Nova Scotia</t>
        </is>
      </c>
      <c r="K3683" t="inlineStr">
        <is>
          <t>Halifax (Nouvelle-Écosse)</t>
        </is>
      </c>
      <c r="P3683" t="n">
        <v>1368.14</v>
      </c>
      <c r="Q3683" t="n">
        <v>113</v>
      </c>
      <c r="R3683" t="n">
        <v>198.24</v>
      </c>
      <c r="S3683" t="n">
        <v>131.9</v>
      </c>
      <c r="T3683" t="n">
        <v>7.33</v>
      </c>
      <c r="U3683" t="n">
        <v>1818.61</v>
      </c>
      <c r="X3683" t="inlineStr">
        <is>
          <t>acoa-apeca</t>
        </is>
      </c>
      <c r="Y3683" t="inlineStr">
        <is>
          <t>Atlantic Canada Opportunities Agency | Agence de promotion économique du Canada atlantique</t>
        </is>
      </c>
    </row>
    <row r="3684">
      <c r="A3684" t="inlineStr">
        <is>
          <t>T-2013-Q2-00010</t>
        </is>
      </c>
      <c r="B3684" t="inlineStr">
        <is>
          <t>SLE</t>
        </is>
      </c>
      <c r="C3684" t="inlineStr">
        <is>
          <t>President</t>
        </is>
      </c>
      <c r="D3684" t="inlineStr">
        <is>
          <t>Président</t>
        </is>
      </c>
      <c r="E3684" t="inlineStr">
        <is>
          <t>Paul J. LeBlanc</t>
        </is>
      </c>
      <c r="F3684" t="inlineStr">
        <is>
          <t>To take part in the 2012 Eurosatory Land Defence Exhibition and the OECD Conference in Paris. For various meetings and discussions with Agency officials and with Government of Canada officials</t>
        </is>
      </c>
      <c r="G3684" t="inlineStr">
        <is>
          <t>Participer à l'exposition Eurosatory 2012 sur la défense terrestre et à la conférence de l'OCDE à Paris; diverses réunions et discussions avec des fonctionnaires de l'Agence et des fonctionnaires fédéraux</t>
        </is>
      </c>
      <c r="H3684" s="1" t="n">
        <v>41069</v>
      </c>
      <c r="I3684" s="1" t="n">
        <v>41081</v>
      </c>
      <c r="J3684" t="inlineStr">
        <is>
          <t>Paris, France; Ottawa, Ontario; Toronto, Ontario</t>
        </is>
      </c>
      <c r="K3684" t="inlineStr">
        <is>
          <t>Paris (France); Ottawa (Ontario); Toronto (Ontario)</t>
        </is>
      </c>
      <c r="P3684" t="n">
        <v>5679.55</v>
      </c>
      <c r="Q3684" t="n">
        <v>122.69</v>
      </c>
      <c r="R3684" t="n">
        <v>2933.74</v>
      </c>
      <c r="S3684" t="n">
        <v>1285.65</v>
      </c>
      <c r="T3684" t="n">
        <v>118</v>
      </c>
      <c r="U3684" t="n">
        <v>10139.63</v>
      </c>
      <c r="X3684" t="inlineStr">
        <is>
          <t>acoa-apeca</t>
        </is>
      </c>
      <c r="Y3684" t="inlineStr">
        <is>
          <t>Atlantic Canada Opportunities Agency | Agence de promotion économique du Canada atlantique</t>
        </is>
      </c>
    </row>
    <row r="3685">
      <c r="A3685" t="inlineStr">
        <is>
          <t>T-2013-Q2-00009</t>
        </is>
      </c>
      <c r="B3685" t="inlineStr">
        <is>
          <t>MPSES</t>
        </is>
      </c>
      <c r="C3685" t="inlineStr">
        <is>
          <t>Minister of State</t>
        </is>
      </c>
      <c r="D3685" t="inlineStr">
        <is>
          <t>Ministre d'État</t>
        </is>
      </c>
      <c r="E3685" t="inlineStr">
        <is>
          <t>Bernard Valcourt</t>
        </is>
      </c>
      <c r="F3685" t="inlineStr">
        <is>
          <t>Announcement for ACOA and La Francophonie</t>
        </is>
      </c>
      <c r="G3685" t="inlineStr">
        <is>
          <t>Annonce pour l'APECA et la Francophonie</t>
        </is>
      </c>
      <c r="H3685" s="1" t="n">
        <v>41068</v>
      </c>
      <c r="I3685" s="1" t="n">
        <v>41070</v>
      </c>
      <c r="J3685" t="inlineStr">
        <is>
          <t>Edmundston and Campbellton, New Brunswick</t>
        </is>
      </c>
      <c r="K3685" t="inlineStr">
        <is>
          <t>Edmundston et Campbellton (Nouveau-Brunswick)</t>
        </is>
      </c>
      <c r="P3685" t="n">
        <v>0</v>
      </c>
      <c r="Q3685" t="n">
        <v>937.53</v>
      </c>
      <c r="R3685" t="n">
        <v>0</v>
      </c>
      <c r="S3685" t="n">
        <v>207.65</v>
      </c>
      <c r="T3685" t="n">
        <v>0</v>
      </c>
      <c r="U3685" t="n">
        <v>1145.18</v>
      </c>
      <c r="X3685" t="inlineStr">
        <is>
          <t>acoa-apeca</t>
        </is>
      </c>
      <c r="Y3685" t="inlineStr">
        <is>
          <t>Atlantic Canada Opportunities Agency | Agence de promotion économique du Canada atlantique</t>
        </is>
      </c>
    </row>
    <row r="3686">
      <c r="A3686" t="inlineStr">
        <is>
          <t>T-2013-Q2-00008</t>
        </is>
      </c>
      <c r="B3686" t="inlineStr">
        <is>
          <t>SLE</t>
        </is>
      </c>
      <c r="C3686" t="inlineStr">
        <is>
          <t>Vice-President, Policy and Programs</t>
        </is>
      </c>
      <c r="D3686" t="inlineStr">
        <is>
          <t>Vice-président, Politiques et Programmes</t>
        </is>
      </c>
      <c r="E3686" t="inlineStr">
        <is>
          <t>Daryell Nowlan</t>
        </is>
      </c>
      <c r="F3686" t="inlineStr">
        <is>
          <t>Meeting with Agency officials</t>
        </is>
      </c>
      <c r="G3686" t="inlineStr">
        <is>
          <t>Réunion avec des fonctionnaires de l'Agence</t>
        </is>
      </c>
      <c r="H3686" s="1" t="n">
        <v>41066</v>
      </c>
      <c r="I3686" s="1" t="n">
        <v>41068</v>
      </c>
      <c r="J3686" t="inlineStr">
        <is>
          <t>St. John's, Newfoundland and Labrador</t>
        </is>
      </c>
      <c r="K3686" t="inlineStr">
        <is>
          <t>St. John's (Terre-Neuve-et-Labrador)</t>
        </is>
      </c>
      <c r="P3686" t="n">
        <v>1534.3</v>
      </c>
      <c r="Q3686" t="n">
        <v>106.8</v>
      </c>
      <c r="R3686" t="n">
        <v>406</v>
      </c>
      <c r="S3686" t="n">
        <v>116.3</v>
      </c>
      <c r="T3686" t="n">
        <v>0</v>
      </c>
      <c r="U3686" t="n">
        <v>2163.4</v>
      </c>
      <c r="X3686" t="inlineStr">
        <is>
          <t>acoa-apeca</t>
        </is>
      </c>
      <c r="Y3686" t="inlineStr">
        <is>
          <t>Atlantic Canada Opportunities Agency | Agence de promotion économique du Canada atlantique</t>
        </is>
      </c>
    </row>
    <row r="3687">
      <c r="A3687" t="inlineStr">
        <is>
          <t>T-2013-Q2-00007</t>
        </is>
      </c>
      <c r="B3687" t="inlineStr">
        <is>
          <t>SLE</t>
        </is>
      </c>
      <c r="C3687" t="inlineStr">
        <is>
          <t>Vice President, Nova Scotia</t>
        </is>
      </c>
      <c r="D3687" t="inlineStr">
        <is>
          <t>Vice-président, Nouvelle-Écosse</t>
        </is>
      </c>
      <c r="E3687" t="inlineStr">
        <is>
          <t>Peter Hogan</t>
        </is>
      </c>
      <c r="F3687" t="inlineStr">
        <is>
          <t>National meeting of Regional Federal Council Chairs</t>
        </is>
      </c>
      <c r="G3687" t="inlineStr">
        <is>
          <t>Réunion nationale des présidents des Conseils fédéraux régionaux</t>
        </is>
      </c>
      <c r="H3687" s="1" t="n">
        <v>41065</v>
      </c>
      <c r="I3687" s="1" t="n">
        <v>41068</v>
      </c>
      <c r="J3687" t="inlineStr">
        <is>
          <t>Fort McMurray/Calgary, Alberta</t>
        </is>
      </c>
      <c r="K3687" t="inlineStr">
        <is>
          <t>Fort McMurray/Calgary (Alberta)</t>
        </is>
      </c>
      <c r="P3687" t="n">
        <v>733.11</v>
      </c>
      <c r="Q3687" t="n">
        <v>106.2</v>
      </c>
      <c r="R3687" t="n">
        <v>465.81</v>
      </c>
      <c r="S3687" t="n">
        <v>283.1</v>
      </c>
      <c r="T3687" t="n">
        <v>0</v>
      </c>
      <c r="U3687" t="n">
        <v>1588.22</v>
      </c>
      <c r="X3687" t="inlineStr">
        <is>
          <t>acoa-apeca</t>
        </is>
      </c>
      <c r="Y3687" t="inlineStr">
        <is>
          <t>Atlantic Canada Opportunities Agency | Agence de promotion économique du Canada atlantique</t>
        </is>
      </c>
    </row>
    <row r="3688">
      <c r="A3688" t="inlineStr">
        <is>
          <t>T-2013-Q2-00005</t>
        </is>
      </c>
      <c r="B3688" t="inlineStr">
        <is>
          <t>SLE</t>
        </is>
      </c>
      <c r="C3688" t="inlineStr">
        <is>
          <t>Vice-President, Prince Edward Island</t>
        </is>
      </c>
      <c r="D3688" t="inlineStr">
        <is>
          <t>Vice-président, Île-du-Prince-Édouard</t>
        </is>
      </c>
      <c r="E3688" t="inlineStr">
        <is>
          <t>Patrick Dorsey</t>
        </is>
      </c>
      <c r="F3688" t="inlineStr">
        <is>
          <t xml:space="preserve">Meeting with Regional Federal Council Chairs </t>
        </is>
      </c>
      <c r="G3688" t="inlineStr">
        <is>
          <t xml:space="preserve">Réunion avec les présidents des Conseils fédéraux régionaux </t>
        </is>
      </c>
      <c r="H3688" s="1" t="n">
        <v>41065</v>
      </c>
      <c r="I3688" s="1" t="n">
        <v>41066</v>
      </c>
      <c r="J3688" t="inlineStr">
        <is>
          <t>Fort McMurray, Alberta</t>
        </is>
      </c>
      <c r="K3688" t="inlineStr">
        <is>
          <t>Fort McMurray (Alberta)</t>
        </is>
      </c>
      <c r="P3688" t="n">
        <v>670.01</v>
      </c>
      <c r="Q3688" t="n">
        <v>113</v>
      </c>
      <c r="R3688" t="n">
        <v>303.02</v>
      </c>
      <c r="S3688" t="n">
        <v>252.65</v>
      </c>
      <c r="T3688" t="n">
        <v>0</v>
      </c>
      <c r="U3688" t="n">
        <v>1338.68</v>
      </c>
      <c r="X3688" t="inlineStr">
        <is>
          <t>acoa-apeca</t>
        </is>
      </c>
      <c r="Y3688" t="inlineStr">
        <is>
          <t>Atlantic Canada Opportunities Agency | Agence de promotion économique du Canada atlantique</t>
        </is>
      </c>
    </row>
    <row r="3689">
      <c r="A3689" t="inlineStr">
        <is>
          <t>T-2013-Q2-00003</t>
        </is>
      </c>
      <c r="B3689" t="inlineStr">
        <is>
          <t>SLE</t>
        </is>
      </c>
      <c r="C3689" t="inlineStr">
        <is>
          <t>President</t>
        </is>
      </c>
      <c r="D3689" t="inlineStr">
        <is>
          <t>Président</t>
        </is>
      </c>
      <c r="E3689" t="inlineStr">
        <is>
          <t>Paul J. LeBlanc</t>
        </is>
      </c>
      <c r="F3689" t="inlineStr">
        <is>
          <t>For various meetings and discussions with Agency officials and with Government of Canada officials</t>
        </is>
      </c>
      <c r="G3689" t="inlineStr">
        <is>
          <t>Diverses réunions et discussions avec des fonctionnaires de l'Agence et des fonctionnaires du gouvernement du Canada</t>
        </is>
      </c>
      <c r="H3689" s="1" t="n">
        <v>41064</v>
      </c>
      <c r="I3689" s="1" t="n">
        <v>41066</v>
      </c>
      <c r="J3689" t="inlineStr">
        <is>
          <t>Ottawa, Ontario</t>
        </is>
      </c>
      <c r="K3689" t="inlineStr">
        <is>
          <t>Ottawa (Ontario)</t>
        </is>
      </c>
      <c r="P3689" t="n">
        <v>741.36</v>
      </c>
      <c r="Q3689" t="n">
        <v>25.74</v>
      </c>
      <c r="R3689" t="n">
        <v>359.34</v>
      </c>
      <c r="S3689" t="n">
        <v>178.9</v>
      </c>
      <c r="T3689" t="n">
        <v>0</v>
      </c>
      <c r="U3689" t="n">
        <v>1305.34</v>
      </c>
      <c r="X3689" t="inlineStr">
        <is>
          <t>acoa-apeca</t>
        </is>
      </c>
      <c r="Y3689" t="inlineStr">
        <is>
          <t>Atlantic Canada Opportunities Agency | Agence de promotion économique du Canada atlantique</t>
        </is>
      </c>
    </row>
    <row r="3690">
      <c r="A3690" t="inlineStr">
        <is>
          <t>T-2013-Q2-00002</t>
        </is>
      </c>
      <c r="B3690" t="inlineStr">
        <is>
          <t>SLE</t>
        </is>
      </c>
      <c r="C3690" t="inlineStr">
        <is>
          <t>Vice-President, Newfoundland and Labrador</t>
        </is>
      </c>
      <c r="D3690" t="inlineStr">
        <is>
          <t>Vice-président, Terre-Neuve-et-Labrador</t>
        </is>
      </c>
      <c r="E3690" t="inlineStr">
        <is>
          <t>Paul Mills</t>
        </is>
      </c>
      <c r="F3690" t="inlineStr">
        <is>
          <t>RFC Chairs meeting in Fort McMurray</t>
        </is>
      </c>
      <c r="G3690" t="inlineStr">
        <is>
          <t>Réunion des présidents des conseils fédéraux régionaux à Fort McMurray</t>
        </is>
      </c>
      <c r="H3690" s="1" t="n">
        <v>41064</v>
      </c>
      <c r="I3690" s="1" t="n">
        <v>41068</v>
      </c>
      <c r="J3690" t="inlineStr">
        <is>
          <t>Fort McMurray, Alberta</t>
        </is>
      </c>
      <c r="K3690" t="inlineStr">
        <is>
          <t>Fort McMurray (Alberta)</t>
        </is>
      </c>
      <c r="P3690" t="n">
        <v>1448.64</v>
      </c>
      <c r="Q3690" t="n">
        <v>58</v>
      </c>
      <c r="R3690" t="n">
        <v>649.9</v>
      </c>
      <c r="S3690" t="n">
        <v>412.55</v>
      </c>
      <c r="T3690" t="n">
        <v>13.86</v>
      </c>
      <c r="U3690" t="n">
        <v>2582.95</v>
      </c>
      <c r="X3690" t="inlineStr">
        <is>
          <t>acoa-apeca</t>
        </is>
      </c>
      <c r="Y3690" t="inlineStr">
        <is>
          <t>Atlantic Canada Opportunities Agency | Agence de promotion économique du Canada atlantique</t>
        </is>
      </c>
    </row>
    <row r="3691">
      <c r="A3691" t="inlineStr">
        <is>
          <t>T-2013-Q2-00001</t>
        </is>
      </c>
      <c r="B3691" t="inlineStr">
        <is>
          <t>SLE</t>
        </is>
      </c>
      <c r="C3691" t="inlineStr">
        <is>
          <t>Vice-President, New Brunswick</t>
        </is>
      </c>
      <c r="D3691" t="inlineStr">
        <is>
          <t>Vice-présidente, Nouveau-Brunswick</t>
        </is>
      </c>
      <c r="E3691" t="inlineStr">
        <is>
          <t>Janet Gagnon</t>
        </is>
      </c>
      <c r="F3691" t="inlineStr">
        <is>
          <t>Meetings of Regional Federal Councils</t>
        </is>
      </c>
      <c r="G3691" t="inlineStr">
        <is>
          <t>Réunions des conseils fédéraux régionaux</t>
        </is>
      </c>
      <c r="H3691" s="1" t="n">
        <v>41064</v>
      </c>
      <c r="I3691" s="1" t="n">
        <v>41068</v>
      </c>
      <c r="J3691" t="inlineStr">
        <is>
          <t>Fort McMurray, Alberta</t>
        </is>
      </c>
      <c r="K3691" t="inlineStr">
        <is>
          <t>Fort McMurray (Alberta)</t>
        </is>
      </c>
      <c r="P3691" t="n">
        <v>2095.38</v>
      </c>
      <c r="Q3691" t="n">
        <v>210.65</v>
      </c>
      <c r="R3691" t="n">
        <v>690.41</v>
      </c>
      <c r="S3691" t="n">
        <v>427.4</v>
      </c>
      <c r="T3691" t="n">
        <v>44</v>
      </c>
      <c r="U3691" t="n">
        <v>3467.84</v>
      </c>
      <c r="X3691" t="inlineStr">
        <is>
          <t>acoa-apeca</t>
        </is>
      </c>
      <c r="Y3691" t="inlineStr">
        <is>
          <t>Atlantic Canada Opportunities Agency | Agence de promotion économique du Canada atlantique</t>
        </is>
      </c>
    </row>
    <row r="3692">
      <c r="A3692" t="inlineStr">
        <is>
          <t>T-2013-Q1-00089</t>
        </is>
      </c>
      <c r="B3692" t="inlineStr">
        <is>
          <t>SLE</t>
        </is>
      </c>
      <c r="C3692" t="inlineStr">
        <is>
          <t>President</t>
        </is>
      </c>
      <c r="D3692" t="inlineStr">
        <is>
          <t>Président</t>
        </is>
      </c>
      <c r="E3692" t="inlineStr">
        <is>
          <t>Paul J. LeBlanc</t>
        </is>
      </c>
      <c r="F3692" t="inlineStr">
        <is>
          <t>For meeting with Government of Canada officials and transportation sector officials</t>
        </is>
      </c>
      <c r="G3692" t="inlineStr">
        <is>
          <t>Réunion avec des fonctionnaires du gouvernement du Canada et des représentants du secteur des transports</t>
        </is>
      </c>
      <c r="H3692" s="1" t="n">
        <v>41060</v>
      </c>
      <c r="I3692" s="1" t="n">
        <v>41061</v>
      </c>
      <c r="J3692" t="inlineStr">
        <is>
          <t>Halifax, Nova Scotia</t>
        </is>
      </c>
      <c r="K3692" t="inlineStr">
        <is>
          <t>Halifax (Nouvelle-Écosse)</t>
        </is>
      </c>
      <c r="P3692" t="n">
        <v>0</v>
      </c>
      <c r="Q3692" t="n">
        <v>0</v>
      </c>
      <c r="R3692" t="n">
        <v>263.16</v>
      </c>
      <c r="S3692" t="n">
        <v>131.9</v>
      </c>
      <c r="T3692" t="n">
        <v>0</v>
      </c>
      <c r="U3692" t="n">
        <v>395.06</v>
      </c>
      <c r="X3692" t="inlineStr">
        <is>
          <t>acoa-apeca</t>
        </is>
      </c>
      <c r="Y3692" t="inlineStr">
        <is>
          <t>Atlantic Canada Opportunities Agency | Agence de promotion économique du Canada atlantique</t>
        </is>
      </c>
    </row>
    <row r="3693">
      <c r="A3693" t="inlineStr">
        <is>
          <t>T-2013-Q1-00088</t>
        </is>
      </c>
      <c r="B3693" t="inlineStr">
        <is>
          <t>SLE</t>
        </is>
      </c>
      <c r="C3693" t="inlineStr">
        <is>
          <t>Vice-President, Prince Edward Island</t>
        </is>
      </c>
      <c r="D3693" t="inlineStr">
        <is>
          <t>Vice-président, Île-du-Prince-Édouard</t>
        </is>
      </c>
      <c r="E3693" t="inlineStr">
        <is>
          <t>Patrick Dorsey</t>
        </is>
      </c>
      <c r="F3693" t="inlineStr">
        <is>
          <t>Meetings with Agency and Government of Canada officials</t>
        </is>
      </c>
      <c r="G3693" t="inlineStr">
        <is>
          <t xml:space="preserve">Réunions avec des fonctionnaires de l'Agence et du gouvernement du Canada </t>
        </is>
      </c>
      <c r="H3693" s="1" t="n">
        <v>41059</v>
      </c>
      <c r="I3693" s="1" t="n">
        <v>41060</v>
      </c>
      <c r="J3693" t="inlineStr">
        <is>
          <t>Ottawa, Ontario</t>
        </is>
      </c>
      <c r="K3693" t="inlineStr">
        <is>
          <t>Ottawa (Ontario)</t>
        </is>
      </c>
      <c r="P3693" t="n">
        <v>675.83</v>
      </c>
      <c r="Q3693" t="n">
        <v>49</v>
      </c>
      <c r="R3693" t="n">
        <v>177.41</v>
      </c>
      <c r="S3693" t="n">
        <v>105.9</v>
      </c>
      <c r="T3693" t="n">
        <v>0</v>
      </c>
      <c r="U3693" t="n">
        <v>1008.14</v>
      </c>
      <c r="X3693" t="inlineStr">
        <is>
          <t>acoa-apeca</t>
        </is>
      </c>
      <c r="Y3693" t="inlineStr">
        <is>
          <t>Atlantic Canada Opportunities Agency | Agence de promotion économique du Canada atlantique</t>
        </is>
      </c>
    </row>
    <row r="3694">
      <c r="A3694" t="inlineStr">
        <is>
          <t>T-2013-Q1-00087</t>
        </is>
      </c>
      <c r="B3694" t="inlineStr">
        <is>
          <t>MPSES</t>
        </is>
      </c>
      <c r="C3694" t="inlineStr">
        <is>
          <t>Executive Assistant and Press Secretary</t>
        </is>
      </c>
      <c r="D3694" t="inlineStr">
        <is>
          <t>Adjointe exécutive et attaché de presse</t>
        </is>
      </c>
      <c r="E3694" t="inlineStr">
        <is>
          <t>Andrea Richer</t>
        </is>
      </c>
      <c r="F3694" t="inlineStr">
        <is>
          <t>Travel to accompany Minister of State for AGM-CBDC of Atlantic Speech</t>
        </is>
      </c>
      <c r="G3694" t="inlineStr">
        <is>
          <t>Voyage pour accompagner le ministre d'État en vue d'une allocution à l'AGA des CBDC de l'Atlantique</t>
        </is>
      </c>
      <c r="H3694" s="1" t="n">
        <v>41058</v>
      </c>
      <c r="I3694" s="1" t="n">
        <v>41059</v>
      </c>
      <c r="J3694" t="inlineStr">
        <is>
          <t>Halifax, Nova Scotia</t>
        </is>
      </c>
      <c r="K3694" t="inlineStr">
        <is>
          <t>Halifax (Nouvelle-Écosse)</t>
        </is>
      </c>
      <c r="P3694" t="n">
        <v>1273.65</v>
      </c>
      <c r="Q3694" t="n">
        <v>60</v>
      </c>
      <c r="R3694" t="n">
        <v>303.81</v>
      </c>
      <c r="S3694" t="n">
        <v>91.05</v>
      </c>
      <c r="T3694" t="n">
        <v>0</v>
      </c>
      <c r="U3694" t="n">
        <v>1728.51</v>
      </c>
      <c r="X3694" t="inlineStr">
        <is>
          <t>acoa-apeca</t>
        </is>
      </c>
      <c r="Y3694" t="inlineStr">
        <is>
          <t>Atlantic Canada Opportunities Agency | Agence de promotion économique du Canada atlantique</t>
        </is>
      </c>
    </row>
    <row r="3695">
      <c r="A3695" t="inlineStr">
        <is>
          <t>T-2013-Q1-00086</t>
        </is>
      </c>
      <c r="B3695" t="inlineStr">
        <is>
          <t>MPSES</t>
        </is>
      </c>
      <c r="C3695" t="inlineStr">
        <is>
          <t>Minister of State</t>
        </is>
      </c>
      <c r="D3695" t="inlineStr">
        <is>
          <t>Ministre d'État</t>
        </is>
      </c>
      <c r="E3695" t="inlineStr">
        <is>
          <t>Bernard Valcourt</t>
        </is>
      </c>
      <c r="F3695" t="inlineStr">
        <is>
          <t>Various meetings and speeches for ACOA</t>
        </is>
      </c>
      <c r="G3695" t="inlineStr">
        <is>
          <t>Rencontres et allocutions diverses pour l'APECA</t>
        </is>
      </c>
      <c r="H3695" s="1" t="n">
        <v>41058</v>
      </c>
      <c r="I3695" s="1" t="n">
        <v>41059</v>
      </c>
      <c r="J3695" t="inlineStr">
        <is>
          <t>Halifax, Nova Scotia</t>
        </is>
      </c>
      <c r="K3695" t="inlineStr">
        <is>
          <t>Halifax (Nouvelle-Écosse)</t>
        </is>
      </c>
      <c r="P3695" t="n">
        <v>1175.9</v>
      </c>
      <c r="Q3695" t="n">
        <v>0</v>
      </c>
      <c r="R3695" t="n">
        <v>303.81</v>
      </c>
      <c r="S3695" t="n">
        <v>91.05</v>
      </c>
      <c r="T3695" t="n">
        <v>0</v>
      </c>
      <c r="U3695" t="n">
        <v>1570.76</v>
      </c>
      <c r="X3695" t="inlineStr">
        <is>
          <t>acoa-apeca</t>
        </is>
      </c>
      <c r="Y3695" t="inlineStr">
        <is>
          <t>Atlantic Canada Opportunities Agency | Agence de promotion économique du Canada atlantique</t>
        </is>
      </c>
    </row>
    <row r="3696">
      <c r="A3696" t="inlineStr">
        <is>
          <t>T-2013-Q1-00085</t>
        </is>
      </c>
      <c r="B3696" t="inlineStr">
        <is>
          <t>SLE</t>
        </is>
      </c>
      <c r="C3696" t="inlineStr">
        <is>
          <t>Vice-President, New Brunswick</t>
        </is>
      </c>
      <c r="D3696" t="inlineStr">
        <is>
          <t>Vice-présidente, Nouveau-Brunswick</t>
        </is>
      </c>
      <c r="E3696" t="inlineStr">
        <is>
          <t>Janet Gagnon</t>
        </is>
      </c>
      <c r="F3696" t="inlineStr">
        <is>
          <t>Aquaculture Meeting</t>
        </is>
      </c>
      <c r="G3696" t="inlineStr">
        <is>
          <t>Réunion sur l'aquaculture</t>
        </is>
      </c>
      <c r="H3696" s="1" t="n">
        <v>41057</v>
      </c>
      <c r="I3696" s="1" t="n">
        <v>41059</v>
      </c>
      <c r="J3696" t="inlineStr">
        <is>
          <t>Charlottetown, Prince Edward Island</t>
        </is>
      </c>
      <c r="K3696" t="inlineStr">
        <is>
          <t>Charlottetown (Île-du-Prince-Édouard)</t>
        </is>
      </c>
      <c r="P3696" t="n">
        <v>0</v>
      </c>
      <c r="Q3696" t="n">
        <v>0</v>
      </c>
      <c r="R3696" t="n">
        <v>329.86</v>
      </c>
      <c r="S3696" t="n">
        <v>194.5</v>
      </c>
      <c r="T3696" t="n">
        <v>44.25</v>
      </c>
      <c r="U3696" t="n">
        <v>568.61</v>
      </c>
      <c r="X3696" t="inlineStr">
        <is>
          <t>acoa-apeca</t>
        </is>
      </c>
      <c r="Y3696" t="inlineStr">
        <is>
          <t>Atlantic Canada Opportunities Agency | Agence de promotion économique du Canada atlantique</t>
        </is>
      </c>
    </row>
    <row r="3697">
      <c r="A3697" t="inlineStr">
        <is>
          <t>T-2013-Q1-00084</t>
        </is>
      </c>
      <c r="B3697" t="inlineStr">
        <is>
          <t>SLE</t>
        </is>
      </c>
      <c r="C3697" t="inlineStr">
        <is>
          <t>President</t>
        </is>
      </c>
      <c r="D3697" t="inlineStr">
        <is>
          <t>Président</t>
        </is>
      </c>
      <c r="E3697" t="inlineStr">
        <is>
          <t>Paul J. LeBlanc</t>
        </is>
      </c>
      <c r="F3697" t="inlineStr">
        <is>
          <t>For various meetings and discussions with Agency officials and with Government of Canada officials</t>
        </is>
      </c>
      <c r="G3697" t="inlineStr">
        <is>
          <t>Diverses réunions et discussions avec des fonctionnaires de l'Agence et des fonctionnaires du gouvernement du Canada</t>
        </is>
      </c>
      <c r="H3697" s="1" t="n">
        <v>41057</v>
      </c>
      <c r="I3697" s="1" t="n">
        <v>41059</v>
      </c>
      <c r="J3697" t="inlineStr">
        <is>
          <t>Ottawa, Ontario</t>
        </is>
      </c>
      <c r="K3697" t="inlineStr">
        <is>
          <t>Ottawa (Ontario)</t>
        </is>
      </c>
      <c r="P3697" t="n">
        <v>741.36</v>
      </c>
      <c r="Q3697" t="n">
        <v>0</v>
      </c>
      <c r="R3697" t="n">
        <v>354.82</v>
      </c>
      <c r="S3697" t="n">
        <v>193.75</v>
      </c>
      <c r="T3697" t="n">
        <v>42</v>
      </c>
      <c r="U3697" t="n">
        <v>1331.93</v>
      </c>
      <c r="X3697" t="inlineStr">
        <is>
          <t>acoa-apeca</t>
        </is>
      </c>
      <c r="Y3697" t="inlineStr">
        <is>
          <t>Atlantic Canada Opportunities Agency | Agence de promotion économique du Canada atlantique</t>
        </is>
      </c>
    </row>
    <row r="3698">
      <c r="A3698" t="inlineStr">
        <is>
          <t>T-2013-Q1-00082</t>
        </is>
      </c>
      <c r="B3698" t="inlineStr">
        <is>
          <t>SLE</t>
        </is>
      </c>
      <c r="C3698" t="inlineStr">
        <is>
          <t>Vice-President, Finance and Corporate Services</t>
        </is>
      </c>
      <c r="D3698" t="inlineStr">
        <is>
          <t>Vice-présidente, Finances et Services corporatifs</t>
        </is>
      </c>
      <c r="E3698" t="inlineStr">
        <is>
          <t>Denise Frenette</t>
        </is>
      </c>
      <c r="F3698" t="inlineStr">
        <is>
          <t xml:space="preserve">Meetings with Agency officials </t>
        </is>
      </c>
      <c r="G3698" t="inlineStr">
        <is>
          <t xml:space="preserve">Réunions avec des fonctionnaires de l'Agence </t>
        </is>
      </c>
      <c r="H3698" s="1" t="n">
        <v>41052</v>
      </c>
      <c r="I3698" s="1" t="n">
        <v>41053</v>
      </c>
      <c r="J3698" t="inlineStr">
        <is>
          <t>Halifax, Nova Scotia</t>
        </is>
      </c>
      <c r="K3698" t="inlineStr">
        <is>
          <t>Halifax (Nouvelle-Écosse)</t>
        </is>
      </c>
      <c r="P3698" t="n">
        <v>0</v>
      </c>
      <c r="Q3698" t="n">
        <v>0</v>
      </c>
      <c r="R3698" t="n">
        <v>174.78</v>
      </c>
      <c r="S3698" t="n">
        <v>75.45</v>
      </c>
      <c r="T3698" t="n">
        <v>0</v>
      </c>
      <c r="U3698" t="n">
        <v>250.23</v>
      </c>
      <c r="X3698" t="inlineStr">
        <is>
          <t>acoa-apeca</t>
        </is>
      </c>
      <c r="Y3698" t="inlineStr">
        <is>
          <t>Atlantic Canada Opportunities Agency | Agence de promotion économique du Canada atlantique</t>
        </is>
      </c>
    </row>
    <row r="3699">
      <c r="A3699" t="inlineStr">
        <is>
          <t>T-2013-Q1-00081</t>
        </is>
      </c>
      <c r="B3699" t="inlineStr">
        <is>
          <t>SLE</t>
        </is>
      </c>
      <c r="C3699" t="inlineStr">
        <is>
          <t>Vice-President, Prince Edward Island</t>
        </is>
      </c>
      <c r="D3699" t="inlineStr">
        <is>
          <t>Vice-président, Île-du-Prince-Édouard</t>
        </is>
      </c>
      <c r="E3699" t="inlineStr">
        <is>
          <t>Patrick Dorsey</t>
        </is>
      </c>
      <c r="F3699" t="inlineStr">
        <is>
          <t>4Front Altantic Conference and meetings in Halifax</t>
        </is>
      </c>
      <c r="G3699" t="inlineStr">
        <is>
          <t>Conférence Atlantique à l'avant-garde et réunions à Halifax</t>
        </is>
      </c>
      <c r="H3699" s="1" t="n">
        <v>41052</v>
      </c>
      <c r="I3699" s="1" t="n">
        <v>41055</v>
      </c>
      <c r="J3699" t="inlineStr">
        <is>
          <t>Halifax, Nova Scotia</t>
        </is>
      </c>
      <c r="K3699" t="inlineStr">
        <is>
          <t>Halifax (Nouvelle-Écosse)</t>
        </is>
      </c>
      <c r="P3699" t="n">
        <v>0</v>
      </c>
      <c r="Q3699" t="n">
        <v>471.89</v>
      </c>
      <c r="R3699" t="n">
        <v>399.56</v>
      </c>
      <c r="S3699" t="n">
        <v>353.4</v>
      </c>
      <c r="T3699" t="n">
        <v>0</v>
      </c>
      <c r="U3699" t="n">
        <v>1224.85</v>
      </c>
      <c r="X3699" t="inlineStr">
        <is>
          <t>acoa-apeca</t>
        </is>
      </c>
      <c r="Y3699" t="inlineStr">
        <is>
          <t>Atlantic Canada Opportunities Agency | Agence de promotion économique du Canada atlantique</t>
        </is>
      </c>
    </row>
    <row r="3700">
      <c r="A3700" t="inlineStr">
        <is>
          <t>T-2013-Q1-00080</t>
        </is>
      </c>
      <c r="B3700" t="inlineStr">
        <is>
          <t>SLE</t>
        </is>
      </c>
      <c r="C3700" t="inlineStr">
        <is>
          <t>President</t>
        </is>
      </c>
      <c r="D3700" t="inlineStr">
        <is>
          <t>Président</t>
        </is>
      </c>
      <c r="E3700" t="inlineStr">
        <is>
          <t>Paul J. LeBlanc</t>
        </is>
      </c>
      <c r="F3700" t="inlineStr">
        <is>
          <t>For various meetings and discussions with Agency officials and with Government of Canada officials</t>
        </is>
      </c>
      <c r="G3700" t="inlineStr">
        <is>
          <t>Diverses réunions et discussions avec des fonctionnaires de l'Agence et des fonctionnaires du gouvernement du Canada</t>
        </is>
      </c>
      <c r="H3700" s="1" t="n">
        <v>41052</v>
      </c>
      <c r="I3700" s="1" t="n">
        <v>41054</v>
      </c>
      <c r="J3700" t="inlineStr">
        <is>
          <t>Halifax, Nova Scotia</t>
        </is>
      </c>
      <c r="K3700" t="inlineStr">
        <is>
          <t>Halifax (Nouvelle-Écosse)</t>
        </is>
      </c>
      <c r="P3700" t="n">
        <v>0</v>
      </c>
      <c r="Q3700" t="n">
        <v>0</v>
      </c>
      <c r="R3700" t="n">
        <v>349.56</v>
      </c>
      <c r="S3700" t="n">
        <v>91.05</v>
      </c>
      <c r="T3700" t="n">
        <v>0</v>
      </c>
      <c r="U3700" t="n">
        <v>440.61</v>
      </c>
      <c r="X3700" t="inlineStr">
        <is>
          <t>acoa-apeca</t>
        </is>
      </c>
      <c r="Y3700" t="inlineStr">
        <is>
          <t>Atlantic Canada Opportunities Agency | Agence de promotion économique du Canada atlantique</t>
        </is>
      </c>
    </row>
    <row r="3701">
      <c r="A3701" t="inlineStr">
        <is>
          <t>T-2013-Q1-00079</t>
        </is>
      </c>
      <c r="B3701" t="inlineStr">
        <is>
          <t>SLE</t>
        </is>
      </c>
      <c r="C3701" t="inlineStr">
        <is>
          <t>Vice-President, Newfoundland and Labrador</t>
        </is>
      </c>
      <c r="D3701" t="inlineStr">
        <is>
          <t>Vice-président, Terre-Neuve-et-Labrador</t>
        </is>
      </c>
      <c r="E3701" t="inlineStr">
        <is>
          <t>Paul Mills</t>
        </is>
      </c>
      <c r="F3701" t="inlineStr">
        <is>
          <t>Meeting with President and vice-presidents</t>
        </is>
      </c>
      <c r="G3701" t="inlineStr">
        <is>
          <t>Réunion avec le président et les vice-présidents</t>
        </is>
      </c>
      <c r="H3701" s="1" t="n">
        <v>41052</v>
      </c>
      <c r="I3701" s="1" t="n">
        <v>41054</v>
      </c>
      <c r="J3701" t="inlineStr">
        <is>
          <t>Halifax, Nova Scotia</t>
        </is>
      </c>
      <c r="K3701" t="inlineStr">
        <is>
          <t>Halifax (Nouvelle-Écosse)</t>
        </is>
      </c>
      <c r="P3701" t="n">
        <v>1368.14</v>
      </c>
      <c r="Q3701" t="n">
        <v>141</v>
      </c>
      <c r="R3701" t="n">
        <v>344.87</v>
      </c>
      <c r="S3701" t="n">
        <v>164.8</v>
      </c>
      <c r="T3701" t="n">
        <v>8.529999999999999</v>
      </c>
      <c r="U3701" t="n">
        <v>2027.34</v>
      </c>
      <c r="X3701" t="inlineStr">
        <is>
          <t>acoa-apeca</t>
        </is>
      </c>
      <c r="Y3701" t="inlineStr">
        <is>
          <t>Atlantic Canada Opportunities Agency | Agence de promotion économique du Canada atlantique</t>
        </is>
      </c>
    </row>
    <row r="3702">
      <c r="A3702" t="inlineStr">
        <is>
          <t>T-2013-Q1-00076</t>
        </is>
      </c>
      <c r="B3702" t="inlineStr">
        <is>
          <t>MPSES</t>
        </is>
      </c>
      <c r="C3702" t="inlineStr">
        <is>
          <t>Executive Assistant and Press Secretary</t>
        </is>
      </c>
      <c r="D3702" t="inlineStr">
        <is>
          <t>Adjointe exécutive et attaché de presse</t>
        </is>
      </c>
      <c r="E3702" t="inlineStr">
        <is>
          <t>Andrea Richer</t>
        </is>
      </c>
      <c r="F3702" t="inlineStr">
        <is>
          <t>Travel to accompany Minister of State for various ACOA meetings and announcements (amounts have been reduced from previously published numbers to reflect airline rebates.  The airline provided these rebates after travel had occurred.)</t>
        </is>
      </c>
      <c r="G3702" t="inlineStr">
        <is>
          <t>Voyage pour accompagner le ministre d'État à diverses réunions et annonces de l'APECA (Les chiffres publiés antérieurement ont été réduits pour refléter des rabais sur les tarifs aériens. Le transporteur aérien a offert ces rabais après le voyage.)</t>
        </is>
      </c>
      <c r="H3702" s="1" t="n">
        <v>41050</v>
      </c>
      <c r="I3702" s="1" t="n">
        <v>41053</v>
      </c>
      <c r="J3702" t="inlineStr">
        <is>
          <t>Fredericton, Caraquet and Edmundston, New Brunswick</t>
        </is>
      </c>
      <c r="K3702" t="inlineStr">
        <is>
          <t>Fredericton, Caraquet et Edmundston (Nouveau-Brunswick)</t>
        </is>
      </c>
      <c r="P3702" t="n">
        <v>849.42</v>
      </c>
      <c r="Q3702" t="n">
        <v>73.5</v>
      </c>
      <c r="R3702" t="n">
        <v>384.2</v>
      </c>
      <c r="S3702" t="n">
        <v>272.7</v>
      </c>
      <c r="T3702" t="n">
        <v>0</v>
      </c>
      <c r="U3702" t="n">
        <v>1579.82</v>
      </c>
      <c r="X3702" t="inlineStr">
        <is>
          <t>acoa-apeca</t>
        </is>
      </c>
      <c r="Y3702" t="inlineStr">
        <is>
          <t>Atlantic Canada Opportunities Agency | Agence de promotion économique du Canada atlantique</t>
        </is>
      </c>
    </row>
    <row r="3703">
      <c r="A3703" t="inlineStr">
        <is>
          <t>T-2013-Q1-00075</t>
        </is>
      </c>
      <c r="B3703" t="inlineStr">
        <is>
          <t>MPSES</t>
        </is>
      </c>
      <c r="C3703" t="inlineStr">
        <is>
          <t>Minister of State</t>
        </is>
      </c>
      <c r="D3703" t="inlineStr">
        <is>
          <t>Ministre d'État</t>
        </is>
      </c>
      <c r="E3703" t="inlineStr">
        <is>
          <t>Bernard Valcourt</t>
        </is>
      </c>
      <c r="F3703" t="inlineStr">
        <is>
          <t>Various meetings and speeches for ACOA</t>
        </is>
      </c>
      <c r="G3703" t="inlineStr">
        <is>
          <t>Rencontres et allocutions diverses pour l'APECA</t>
        </is>
      </c>
      <c r="H3703" s="1" t="n">
        <v>41050</v>
      </c>
      <c r="I3703" s="1" t="n">
        <v>41053</v>
      </c>
      <c r="J3703" t="inlineStr">
        <is>
          <t>Fredericton, Shippagan and Edmundston, New Brunswick</t>
        </is>
      </c>
      <c r="K3703" t="inlineStr">
        <is>
          <t>Fredericton, Shippagan et Edmundston (Nouveau-Brunswick)</t>
        </is>
      </c>
      <c r="P3703" t="n">
        <v>0</v>
      </c>
      <c r="Q3703" t="n">
        <v>575.6900000000001</v>
      </c>
      <c r="R3703" t="n">
        <v>275.72</v>
      </c>
      <c r="S3703" t="n">
        <v>313.55</v>
      </c>
      <c r="T3703" t="n">
        <v>0</v>
      </c>
      <c r="U3703" t="n">
        <v>1164.96</v>
      </c>
      <c r="X3703" t="inlineStr">
        <is>
          <t>acoa-apeca</t>
        </is>
      </c>
      <c r="Y3703" t="inlineStr">
        <is>
          <t>Atlantic Canada Opportunities Agency | Agence de promotion économique du Canada atlantique</t>
        </is>
      </c>
    </row>
    <row r="3704">
      <c r="A3704" t="inlineStr">
        <is>
          <t>T-2013-Q1-00074</t>
        </is>
      </c>
      <c r="B3704" t="inlineStr">
        <is>
          <t>SLE</t>
        </is>
      </c>
      <c r="C3704" t="inlineStr">
        <is>
          <t>Vice-President, New Brunswick</t>
        </is>
      </c>
      <c r="D3704" t="inlineStr">
        <is>
          <t>Vice-présidente, Nouveau-Brunswick</t>
        </is>
      </c>
      <c r="E3704" t="inlineStr">
        <is>
          <t>Janet Gagnon</t>
        </is>
      </c>
      <c r="F3704" t="inlineStr">
        <is>
          <t>Meeting regarding rail services in northern and eastern New Brunswick</t>
        </is>
      </c>
      <c r="G3704" t="inlineStr">
        <is>
          <t>Réunion sur les services ferroviaires du Nord et de l'Est du Nouveau-Brunswick</t>
        </is>
      </c>
      <c r="H3704" s="1" t="n">
        <v>41045</v>
      </c>
      <c r="I3704" s="1" t="n">
        <v>41045</v>
      </c>
      <c r="J3704" t="inlineStr">
        <is>
          <t>Moncton, New Brunswick</t>
        </is>
      </c>
      <c r="K3704" t="inlineStr">
        <is>
          <t>Moncton (Nouveau-Brunswick)</t>
        </is>
      </c>
      <c r="P3704" t="n">
        <v>0</v>
      </c>
      <c r="Q3704" t="n">
        <v>0</v>
      </c>
      <c r="R3704" t="n">
        <v>0</v>
      </c>
      <c r="S3704" t="n">
        <v>0</v>
      </c>
      <c r="T3704" t="n">
        <v>3</v>
      </c>
      <c r="U3704" t="n">
        <v>3</v>
      </c>
      <c r="X3704" t="inlineStr">
        <is>
          <t>acoa-apeca</t>
        </is>
      </c>
      <c r="Y3704" t="inlineStr">
        <is>
          <t>Atlantic Canada Opportunities Agency | Agence de promotion économique du Canada atlantique</t>
        </is>
      </c>
    </row>
    <row r="3705">
      <c r="A3705" t="inlineStr">
        <is>
          <t>T-2013-Q1-00073</t>
        </is>
      </c>
      <c r="B3705" t="inlineStr">
        <is>
          <t>SLE</t>
        </is>
      </c>
      <c r="C3705" t="inlineStr">
        <is>
          <t>Vice-President, Finance and Corporate Services</t>
        </is>
      </c>
      <c r="D3705" t="inlineStr">
        <is>
          <t>Vice-présidente, Finances et Services corporatifs</t>
        </is>
      </c>
      <c r="E3705" t="inlineStr">
        <is>
          <t>Denise Frenette</t>
        </is>
      </c>
      <c r="F3705" t="inlineStr">
        <is>
          <t xml:space="preserve">Meetings with Government of Canada officials </t>
        </is>
      </c>
      <c r="G3705" t="inlineStr">
        <is>
          <t xml:space="preserve">Réunions avec des fonctionnaires du gouvernement du Canada </t>
        </is>
      </c>
      <c r="H3705" s="1" t="n">
        <v>41044</v>
      </c>
      <c r="I3705" s="1" t="n">
        <v>41046</v>
      </c>
      <c r="J3705" t="inlineStr">
        <is>
          <t>Sudbury, Ontario</t>
        </is>
      </c>
      <c r="K3705" t="inlineStr">
        <is>
          <t>Sudbury (Ontario)</t>
        </is>
      </c>
      <c r="P3705" t="n">
        <v>974.96</v>
      </c>
      <c r="Q3705" t="n">
        <v>26.94</v>
      </c>
      <c r="R3705" t="n">
        <v>223.74</v>
      </c>
      <c r="S3705" t="n">
        <v>235.35</v>
      </c>
      <c r="T3705" t="n">
        <v>0</v>
      </c>
      <c r="U3705" t="n">
        <v>1460.99</v>
      </c>
      <c r="X3705" t="inlineStr">
        <is>
          <t>acoa-apeca</t>
        </is>
      </c>
      <c r="Y3705" t="inlineStr">
        <is>
          <t>Atlantic Canada Opportunities Agency | Agence de promotion économique du Canada atlantique</t>
        </is>
      </c>
    </row>
    <row r="3706">
      <c r="A3706" t="inlineStr">
        <is>
          <t>T-2013-Q1-00072</t>
        </is>
      </c>
      <c r="B3706" t="inlineStr">
        <is>
          <t>SLE</t>
        </is>
      </c>
      <c r="C3706" t="inlineStr">
        <is>
          <t>President</t>
        </is>
      </c>
      <c r="D3706" t="inlineStr">
        <is>
          <t>Président</t>
        </is>
      </c>
      <c r="E3706" t="inlineStr">
        <is>
          <t>Paul J. LeBlanc</t>
        </is>
      </c>
      <c r="F3706" t="inlineStr">
        <is>
          <t>For various meetings and discussions with Agency officials and with Government of Canada officials</t>
        </is>
      </c>
      <c r="G3706" t="inlineStr">
        <is>
          <t>Diverses réunions et discussions avec des fonctionnaires de l'Agence et des fonctionnaires du gouvernement du Canada</t>
        </is>
      </c>
      <c r="H3706" s="1" t="n">
        <v>41042</v>
      </c>
      <c r="I3706" s="1" t="n">
        <v>41046</v>
      </c>
      <c r="J3706" t="inlineStr">
        <is>
          <t>Ottawa, Ontario</t>
        </is>
      </c>
      <c r="K3706" t="inlineStr">
        <is>
          <t>Ottawa (Ontario)</t>
        </is>
      </c>
      <c r="P3706" t="n">
        <v>741.36</v>
      </c>
      <c r="Q3706" t="n">
        <v>0</v>
      </c>
      <c r="R3706" t="n">
        <v>718.6799999999999</v>
      </c>
      <c r="S3706" t="n">
        <v>315.25</v>
      </c>
      <c r="T3706" t="n">
        <v>0</v>
      </c>
      <c r="U3706" t="n">
        <v>1775.29</v>
      </c>
      <c r="X3706" t="inlineStr">
        <is>
          <t>acoa-apeca</t>
        </is>
      </c>
      <c r="Y3706" t="inlineStr">
        <is>
          <t>Atlantic Canada Opportunities Agency | Agence de promotion économique du Canada atlantique</t>
        </is>
      </c>
    </row>
    <row r="3707">
      <c r="A3707" t="inlineStr">
        <is>
          <t>T-2013-Q1-00070</t>
        </is>
      </c>
      <c r="B3707" t="inlineStr">
        <is>
          <t>SLE</t>
        </is>
      </c>
      <c r="C3707" t="inlineStr">
        <is>
          <t>Vice-President, New Brunswick</t>
        </is>
      </c>
      <c r="D3707" t="inlineStr">
        <is>
          <t>Vice-présidente, Nouveau-Brunswick</t>
        </is>
      </c>
      <c r="E3707" t="inlineStr">
        <is>
          <t>Janet Gagnon</t>
        </is>
      </c>
      <c r="F3707" t="inlineStr">
        <is>
          <t>Northern Action Plan</t>
        </is>
      </c>
      <c r="G3707" t="inlineStr">
        <is>
          <t>Plan d'action pour la région du Nord du Nouveau-Brunswick</t>
        </is>
      </c>
      <c r="H3707" s="1" t="n">
        <v>41038</v>
      </c>
      <c r="I3707" s="1" t="n">
        <v>41039</v>
      </c>
      <c r="J3707" t="inlineStr">
        <is>
          <t>Grand Falls, New Brunswick</t>
        </is>
      </c>
      <c r="K3707" t="inlineStr">
        <is>
          <t>Grand-Sault (Nouveau-Brunswick)</t>
        </is>
      </c>
      <c r="P3707" t="n">
        <v>0</v>
      </c>
      <c r="Q3707" t="n">
        <v>0</v>
      </c>
      <c r="R3707" t="n">
        <v>113</v>
      </c>
      <c r="S3707" t="n">
        <v>136.35</v>
      </c>
      <c r="T3707" t="n">
        <v>0</v>
      </c>
      <c r="U3707" t="n">
        <v>249.35</v>
      </c>
      <c r="X3707" t="inlineStr">
        <is>
          <t>acoa-apeca</t>
        </is>
      </c>
      <c r="Y3707" t="inlineStr">
        <is>
          <t>Atlantic Canada Opportunities Agency | Agence de promotion économique du Canada atlantique</t>
        </is>
      </c>
    </row>
    <row r="3708">
      <c r="A3708" t="inlineStr">
        <is>
          <t>T-2013-Q1-00069</t>
        </is>
      </c>
      <c r="B3708" t="inlineStr">
        <is>
          <t>SLE</t>
        </is>
      </c>
      <c r="C3708" t="inlineStr">
        <is>
          <t>Vice-President, Prince Edward Island</t>
        </is>
      </c>
      <c r="D3708" t="inlineStr">
        <is>
          <t>Vice-président, Île-du-Prince-Édouard</t>
        </is>
      </c>
      <c r="E3708" t="inlineStr">
        <is>
          <t>Patrick Dorsey</t>
        </is>
      </c>
      <c r="F3708" t="inlineStr">
        <is>
          <t>ACTP Meeting in Saint John</t>
        </is>
      </c>
      <c r="G3708" t="inlineStr">
        <is>
          <t>Réunion sur le Partenariat du tourisme du Canada atlantique à Saint John</t>
        </is>
      </c>
      <c r="H3708" s="1" t="n">
        <v>41037</v>
      </c>
      <c r="I3708" s="1" t="n">
        <v>41039</v>
      </c>
      <c r="J3708" t="inlineStr">
        <is>
          <t>Ottawa, Ontario</t>
        </is>
      </c>
      <c r="K3708" t="inlineStr">
        <is>
          <t>Ottawa (Ontario)</t>
        </is>
      </c>
      <c r="P3708" t="n">
        <v>0</v>
      </c>
      <c r="Q3708" t="n">
        <v>44.25</v>
      </c>
      <c r="R3708" t="n">
        <v>274.32</v>
      </c>
      <c r="S3708" t="n">
        <v>168.5</v>
      </c>
      <c r="T3708" t="n">
        <v>0</v>
      </c>
      <c r="U3708" t="n">
        <v>487.07</v>
      </c>
      <c r="X3708" t="inlineStr">
        <is>
          <t>acoa-apeca</t>
        </is>
      </c>
      <c r="Y3708" t="inlineStr">
        <is>
          <t>Atlantic Canada Opportunities Agency | Agence de promotion économique du Canada atlantique</t>
        </is>
      </c>
    </row>
    <row r="3709">
      <c r="A3709" t="inlineStr">
        <is>
          <t>T-2013-Q1-00068</t>
        </is>
      </c>
      <c r="B3709" t="inlineStr">
        <is>
          <t>SLE</t>
        </is>
      </c>
      <c r="C3709" t="inlineStr">
        <is>
          <t>President</t>
        </is>
      </c>
      <c r="D3709" t="inlineStr">
        <is>
          <t>Président</t>
        </is>
      </c>
      <c r="E3709" t="inlineStr">
        <is>
          <t>Paul J. LeBlanc</t>
        </is>
      </c>
      <c r="F3709" t="inlineStr">
        <is>
          <t>For various meetings and discussions with Agency officials and with Government of Canada officials</t>
        </is>
      </c>
      <c r="G3709" t="inlineStr">
        <is>
          <t>Diverses réunions et discussions avec des fonctionnaires de l'Agence et des fonctionnaires du gouvernement du Canada</t>
        </is>
      </c>
      <c r="H3709" s="1" t="n">
        <v>41036</v>
      </c>
      <c r="I3709" s="1" t="n">
        <v>41038</v>
      </c>
      <c r="J3709" t="inlineStr">
        <is>
          <t>Ottawa, Ontario</t>
        </is>
      </c>
      <c r="K3709" t="inlineStr">
        <is>
          <t>Ottawa (Ontario)</t>
        </is>
      </c>
      <c r="P3709" t="n">
        <v>370.68</v>
      </c>
      <c r="Q3709" t="n">
        <v>12.87</v>
      </c>
      <c r="R3709" t="n">
        <v>354.82</v>
      </c>
      <c r="S3709" t="n">
        <v>209.35</v>
      </c>
      <c r="T3709" t="n">
        <v>56.5</v>
      </c>
      <c r="U3709" t="n">
        <v>1004.22</v>
      </c>
      <c r="X3709" t="inlineStr">
        <is>
          <t>acoa-apeca</t>
        </is>
      </c>
      <c r="Y3709" t="inlineStr">
        <is>
          <t>Atlantic Canada Opportunities Agency | Agence de promotion économique du Canada atlantique</t>
        </is>
      </c>
    </row>
    <row r="3710">
      <c r="A3710" t="inlineStr">
        <is>
          <t>T-2013-Q1-00067</t>
        </is>
      </c>
      <c r="B3710" t="inlineStr">
        <is>
          <t>SLE</t>
        </is>
      </c>
      <c r="C3710" t="inlineStr">
        <is>
          <t>Vice-President, Finance and Corporate Services</t>
        </is>
      </c>
      <c r="D3710" t="inlineStr">
        <is>
          <t>Vice-présidente, Finances et Services corporatifs</t>
        </is>
      </c>
      <c r="E3710" t="inlineStr">
        <is>
          <t>Denise Frenette</t>
        </is>
      </c>
      <c r="F3710" t="inlineStr">
        <is>
          <t xml:space="preserve">Meetings with Government of Canada officials and Agency officials </t>
        </is>
      </c>
      <c r="G3710" t="inlineStr">
        <is>
          <t>Réunions avec des fonctionnaires du gouvernement du Canada et de l'Agence</t>
        </is>
      </c>
      <c r="H3710" s="1" t="n">
        <v>41035</v>
      </c>
      <c r="I3710" s="1" t="n">
        <v>41037</v>
      </c>
      <c r="J3710" t="inlineStr">
        <is>
          <t>Ottawa, Ontario</t>
        </is>
      </c>
      <c r="K3710" t="inlineStr">
        <is>
          <t>Ottawa (Ontario)</t>
        </is>
      </c>
      <c r="P3710" t="n">
        <v>1075.76</v>
      </c>
      <c r="Q3710" t="n">
        <v>94.38</v>
      </c>
      <c r="R3710" t="n">
        <v>354.82</v>
      </c>
      <c r="S3710" t="n">
        <v>178.9</v>
      </c>
      <c r="T3710" t="n">
        <v>0</v>
      </c>
      <c r="U3710" t="n">
        <v>1703.86</v>
      </c>
      <c r="X3710" t="inlineStr">
        <is>
          <t>acoa-apeca</t>
        </is>
      </c>
      <c r="Y3710" t="inlineStr">
        <is>
          <t>Atlantic Canada Opportunities Agency | Agence de promotion économique du Canada atlantique</t>
        </is>
      </c>
    </row>
    <row r="3711">
      <c r="A3711" t="inlineStr">
        <is>
          <t>T-2013-Q1-00066</t>
        </is>
      </c>
      <c r="B3711" t="inlineStr">
        <is>
          <t>SLE</t>
        </is>
      </c>
      <c r="C3711" t="inlineStr">
        <is>
          <t>Vice-President, Finance and Corporate Services</t>
        </is>
      </c>
      <c r="D3711" t="inlineStr">
        <is>
          <t>Vice-présidente, Finances et Services corporatifs</t>
        </is>
      </c>
      <c r="E3711" t="inlineStr">
        <is>
          <t>Denise Frenette</t>
        </is>
      </c>
      <c r="F3711" t="inlineStr">
        <is>
          <t xml:space="preserve">Meetings with Government of Canada officials </t>
        </is>
      </c>
      <c r="G3711" t="inlineStr">
        <is>
          <t xml:space="preserve">Réunions avec des fonctionnaires du gouvernement du Canada </t>
        </is>
      </c>
      <c r="H3711" s="1" t="n">
        <v>41032</v>
      </c>
      <c r="I3711" s="1" t="n">
        <v>41033</v>
      </c>
      <c r="J3711" t="inlineStr">
        <is>
          <t>Cornwall, Ontario</t>
        </is>
      </c>
      <c r="K3711" t="inlineStr">
        <is>
          <t>Cornwall (Ontario)</t>
        </is>
      </c>
      <c r="P3711" t="n">
        <v>1075.76</v>
      </c>
      <c r="Q3711" t="n">
        <v>225.3</v>
      </c>
      <c r="R3711" t="n">
        <v>262.44</v>
      </c>
      <c r="S3711" t="n">
        <v>90.3</v>
      </c>
      <c r="T3711" t="n">
        <v>0</v>
      </c>
      <c r="U3711" t="n">
        <v>1653.8</v>
      </c>
      <c r="X3711" t="inlineStr">
        <is>
          <t>acoa-apeca</t>
        </is>
      </c>
      <c r="Y3711" t="inlineStr">
        <is>
          <t>Atlantic Canada Opportunities Agency | Agence de promotion économique du Canada atlantique</t>
        </is>
      </c>
    </row>
    <row r="3712">
      <c r="A3712" t="inlineStr">
        <is>
          <t>T-2013-Q1-00065</t>
        </is>
      </c>
      <c r="B3712" t="inlineStr">
        <is>
          <t>SLE</t>
        </is>
      </c>
      <c r="C3712" t="inlineStr">
        <is>
          <t>President</t>
        </is>
      </c>
      <c r="D3712" t="inlineStr">
        <is>
          <t>Président</t>
        </is>
      </c>
      <c r="E3712" t="inlineStr">
        <is>
          <t>Paul J. LeBlanc</t>
        </is>
      </c>
      <c r="F3712" t="inlineStr">
        <is>
          <t>For various meetings and discussions with Agency officials and with Government of Canada officials</t>
        </is>
      </c>
      <c r="G3712" t="inlineStr">
        <is>
          <t>Diverses réunions et discussions avec des fonctionnaires de l'Agence et des fonctionnaires du gouvernement du Canada</t>
        </is>
      </c>
      <c r="H3712" s="1" t="n">
        <v>41029</v>
      </c>
      <c r="I3712" s="1" t="n">
        <v>41031</v>
      </c>
      <c r="J3712" t="inlineStr">
        <is>
          <t>Ottawa, Ontario</t>
        </is>
      </c>
      <c r="K3712" t="inlineStr">
        <is>
          <t>Ottawa (Ontario)</t>
        </is>
      </c>
      <c r="P3712" t="n">
        <v>741.36</v>
      </c>
      <c r="Q3712" t="n">
        <v>12.87</v>
      </c>
      <c r="R3712" t="n">
        <v>354.82</v>
      </c>
      <c r="S3712" t="n">
        <v>178.9</v>
      </c>
      <c r="T3712" t="n">
        <v>39</v>
      </c>
      <c r="U3712" t="n">
        <v>1326.95</v>
      </c>
      <c r="X3712" t="inlineStr">
        <is>
          <t>acoa-apeca</t>
        </is>
      </c>
      <c r="Y3712" t="inlineStr">
        <is>
          <t>Atlantic Canada Opportunities Agency | Agence de promotion économique du Canada atlantique</t>
        </is>
      </c>
    </row>
    <row r="3713">
      <c r="A3713" t="inlineStr">
        <is>
          <t>T-2013-Q1-00064</t>
        </is>
      </c>
      <c r="B3713" t="inlineStr">
        <is>
          <t>MPSES</t>
        </is>
      </c>
      <c r="C3713" t="inlineStr">
        <is>
          <t>Executive Assistant and Press Secretary</t>
        </is>
      </c>
      <c r="D3713" t="inlineStr">
        <is>
          <t>Adjointe exécutive et attaché de presse</t>
        </is>
      </c>
      <c r="E3713" t="inlineStr">
        <is>
          <t>Andrea Richer</t>
        </is>
      </c>
      <c r="F3713" t="inlineStr">
        <is>
          <t>Travel to Houston, Texas to accompany Minister of State at the Offshore Technology Conference</t>
        </is>
      </c>
      <c r="G3713" t="inlineStr">
        <is>
          <t>Voyage à Houston au Texax pour accompagner le ministre d'État au Salon des technologies extracôtières</t>
        </is>
      </c>
      <c r="H3713" s="1" t="n">
        <v>41028</v>
      </c>
      <c r="I3713" s="1" t="n">
        <v>41030</v>
      </c>
      <c r="J3713" t="inlineStr">
        <is>
          <t>Houston, Texas</t>
        </is>
      </c>
      <c r="K3713" t="inlineStr">
        <is>
          <t>Houston (Texas)</t>
        </is>
      </c>
      <c r="P3713" t="n">
        <v>2492.65</v>
      </c>
      <c r="Q3713" t="n">
        <v>0</v>
      </c>
      <c r="R3713" t="n">
        <v>287.95</v>
      </c>
      <c r="S3713" t="n">
        <v>145.06</v>
      </c>
      <c r="T3713" t="n">
        <v>0</v>
      </c>
      <c r="U3713" t="n">
        <v>2925.66</v>
      </c>
      <c r="X3713" t="inlineStr">
        <is>
          <t>acoa-apeca</t>
        </is>
      </c>
      <c r="Y3713" t="inlineStr">
        <is>
          <t>Atlantic Canada Opportunities Agency | Agence de promotion économique du Canada atlantique</t>
        </is>
      </c>
    </row>
    <row r="3714">
      <c r="A3714" t="inlineStr">
        <is>
          <t>T-2013-Q1-00063</t>
        </is>
      </c>
      <c r="B3714" t="inlineStr">
        <is>
          <t>MPSES</t>
        </is>
      </c>
      <c r="C3714" t="inlineStr">
        <is>
          <t>Minister of State</t>
        </is>
      </c>
      <c r="D3714" t="inlineStr">
        <is>
          <t>Ministre d'État</t>
        </is>
      </c>
      <c r="E3714" t="inlineStr">
        <is>
          <t>Bernard Valcourt</t>
        </is>
      </c>
      <c r="F3714" t="inlineStr">
        <is>
          <t>Attend the Offshore Technology Conference</t>
        </is>
      </c>
      <c r="G3714" t="inlineStr">
        <is>
          <t>Participation au Salon des technologies extracôtières</t>
        </is>
      </c>
      <c r="H3714" s="1" t="n">
        <v>41028</v>
      </c>
      <c r="I3714" s="1" t="n">
        <v>41030</v>
      </c>
      <c r="J3714" t="inlineStr">
        <is>
          <t>Houston, Texas</t>
        </is>
      </c>
      <c r="K3714" t="inlineStr">
        <is>
          <t>Houston (Texas)</t>
        </is>
      </c>
      <c r="P3714" t="n">
        <v>2492.65</v>
      </c>
      <c r="Q3714" t="n">
        <v>49.61</v>
      </c>
      <c r="R3714" t="n">
        <v>287.95</v>
      </c>
      <c r="S3714" t="n">
        <v>145.06</v>
      </c>
      <c r="T3714" t="n">
        <v>0</v>
      </c>
      <c r="U3714" t="n">
        <v>2975.27</v>
      </c>
      <c r="X3714" t="inlineStr">
        <is>
          <t>acoa-apeca</t>
        </is>
      </c>
      <c r="Y3714" t="inlineStr">
        <is>
          <t>Atlantic Canada Opportunities Agency | Agence de promotion économique du Canada atlantique</t>
        </is>
      </c>
    </row>
    <row r="3715">
      <c r="A3715" t="inlineStr">
        <is>
          <t>T-2013-Q1-00060</t>
        </is>
      </c>
      <c r="B3715" t="inlineStr">
        <is>
          <t>SLE</t>
        </is>
      </c>
      <c r="C3715" t="inlineStr">
        <is>
          <t>Vice President, Nova Scotia</t>
        </is>
      </c>
      <c r="D3715" t="inlineStr">
        <is>
          <t>Vice-président, Nouvelle-Écosse</t>
        </is>
      </c>
      <c r="E3715" t="inlineStr">
        <is>
          <t>Peter Hogan</t>
        </is>
      </c>
      <c r="F3715" t="inlineStr">
        <is>
          <t>Various meetings with Agency and Government of Canada officials</t>
        </is>
      </c>
      <c r="G3715" t="inlineStr">
        <is>
          <t>Diverses réunions avec des fonctionnaires de l'Agence et du gouvernement du Canada</t>
        </is>
      </c>
      <c r="H3715" s="1" t="n">
        <v>41025</v>
      </c>
      <c r="I3715" s="1" t="n">
        <v>41026</v>
      </c>
      <c r="J3715" t="inlineStr">
        <is>
          <t>Moncton, New Brunswick and Ottawa, Ontario</t>
        </is>
      </c>
      <c r="K3715" t="inlineStr">
        <is>
          <t>Moncton (Nouveau-Brunswick) et Ottawa (Ontario)</t>
        </is>
      </c>
      <c r="P3715" t="n">
        <v>1712.98</v>
      </c>
      <c r="Q3715" t="n">
        <v>128</v>
      </c>
      <c r="R3715" t="n">
        <v>0</v>
      </c>
      <c r="S3715" t="n">
        <v>96.55</v>
      </c>
      <c r="T3715" t="n">
        <v>0</v>
      </c>
      <c r="U3715" t="n">
        <v>1937.53</v>
      </c>
      <c r="X3715" t="inlineStr">
        <is>
          <t>acoa-apeca</t>
        </is>
      </c>
      <c r="Y3715" t="inlineStr">
        <is>
          <t>Atlantic Canada Opportunities Agency | Agence de promotion économique du Canada atlantique</t>
        </is>
      </c>
    </row>
    <row r="3716">
      <c r="A3716" t="inlineStr">
        <is>
          <t>T-2013-Q1-00059</t>
        </is>
      </c>
      <c r="B3716" t="inlineStr">
        <is>
          <t>MPSES</t>
        </is>
      </c>
      <c r="C3716" t="inlineStr">
        <is>
          <t>Executive Assistant and Press Secretary</t>
        </is>
      </c>
      <c r="D3716" t="inlineStr">
        <is>
          <t>Adjointe exécutive et attaché de presse</t>
        </is>
      </c>
      <c r="E3716" t="inlineStr">
        <is>
          <t>Andrea Richer</t>
        </is>
      </c>
      <c r="F3716" t="inlineStr">
        <is>
          <t>Travel to accompany Minister of State and to attend announcement and meetings for ACOA</t>
        </is>
      </c>
      <c r="G3716" t="inlineStr">
        <is>
          <t>Voyage pour accompagner le ministre d'État et pour assiter à des annonces et réunions de l'APECA</t>
        </is>
      </c>
      <c r="H3716" s="1" t="n">
        <v>41025</v>
      </c>
      <c r="I3716" s="1" t="n">
        <v>41027</v>
      </c>
      <c r="J3716" t="inlineStr">
        <is>
          <t>Edmundston, New-Brunswick</t>
        </is>
      </c>
      <c r="K3716" t="inlineStr">
        <is>
          <t>Edmundston (Nouveau-Brunswick)</t>
        </is>
      </c>
      <c r="P3716" t="n">
        <v>0</v>
      </c>
      <c r="Q3716" t="n">
        <v>0</v>
      </c>
      <c r="R3716" t="n">
        <v>216.96</v>
      </c>
      <c r="S3716" t="n">
        <v>163.3</v>
      </c>
      <c r="T3716" t="n">
        <v>0</v>
      </c>
      <c r="U3716" t="n">
        <v>380.26</v>
      </c>
      <c r="X3716" t="inlineStr">
        <is>
          <t>acoa-apeca</t>
        </is>
      </c>
      <c r="Y3716" t="inlineStr">
        <is>
          <t>Atlantic Canada Opportunities Agency | Agence de promotion économique du Canada atlantique</t>
        </is>
      </c>
    </row>
    <row r="3717">
      <c r="A3717" t="inlineStr">
        <is>
          <t>T-2013-Q1-00055</t>
        </is>
      </c>
      <c r="B3717" t="inlineStr">
        <is>
          <t>SLE</t>
        </is>
      </c>
      <c r="C3717" t="inlineStr">
        <is>
          <t>Vice-President, Newfoundland and Labrador</t>
        </is>
      </c>
      <c r="D3717" t="inlineStr">
        <is>
          <t>Vice-président, Terre-Neuve-et-Labrador</t>
        </is>
      </c>
      <c r="E3717" t="inlineStr">
        <is>
          <t>Paul Mills</t>
        </is>
      </c>
      <c r="F3717" t="inlineStr">
        <is>
          <t>Meeting with senior officials in Moncton</t>
        </is>
      </c>
      <c r="G3717" t="inlineStr">
        <is>
          <t>Réunion avec de hauts fonctionnaires à Moncton</t>
        </is>
      </c>
      <c r="H3717" s="1" t="n">
        <v>41024</v>
      </c>
      <c r="I3717" s="1" t="n">
        <v>41026</v>
      </c>
      <c r="J3717" t="inlineStr">
        <is>
          <t>Moncton, New Brunswick</t>
        </is>
      </c>
      <c r="K3717" t="inlineStr">
        <is>
          <t>Moncton (Nouveau-Brunswick)</t>
        </is>
      </c>
      <c r="P3717" t="n">
        <v>1377.02</v>
      </c>
      <c r="Q3717" t="n">
        <v>240.93</v>
      </c>
      <c r="R3717" t="n">
        <v>304.5</v>
      </c>
      <c r="S3717" t="n">
        <v>194.5</v>
      </c>
      <c r="T3717" t="n">
        <v>7.33</v>
      </c>
      <c r="U3717" t="n">
        <v>2124.28</v>
      </c>
      <c r="X3717" t="inlineStr">
        <is>
          <t>acoa-apeca</t>
        </is>
      </c>
      <c r="Y3717" t="inlineStr">
        <is>
          <t>Atlantic Canada Opportunities Agency | Agence de promotion économique du Canada atlantique</t>
        </is>
      </c>
    </row>
    <row r="3718">
      <c r="A3718" t="inlineStr">
        <is>
          <t>T-2013-Q1-00054</t>
        </is>
      </c>
      <c r="B3718" t="inlineStr">
        <is>
          <t>SLE</t>
        </is>
      </c>
      <c r="C3718" t="inlineStr">
        <is>
          <t>Vice-President, Prince Edward Island</t>
        </is>
      </c>
      <c r="D3718" t="inlineStr">
        <is>
          <t>Vice-président, Île-du-Prince-Édouard</t>
        </is>
      </c>
      <c r="E3718" t="inlineStr">
        <is>
          <t>Patrick Dorsey</t>
        </is>
      </c>
      <c r="F3718" t="inlineStr">
        <is>
          <t>Meeting with Agency and Government of Canada officials</t>
        </is>
      </c>
      <c r="G3718" t="inlineStr">
        <is>
          <t xml:space="preserve">Réunion avec des fonctionnaires de l'Agence et du gouvernement du Canada </t>
        </is>
      </c>
      <c r="H3718" s="1" t="n">
        <v>41023</v>
      </c>
      <c r="I3718" s="1" t="n">
        <v>41025</v>
      </c>
      <c r="J3718" t="inlineStr">
        <is>
          <t>Halifax, Nova Scotia</t>
        </is>
      </c>
      <c r="K3718" t="inlineStr">
        <is>
          <t>Halifax (Nouvelle-Écosse)</t>
        </is>
      </c>
      <c r="P3718" t="n">
        <v>0</v>
      </c>
      <c r="Q3718" t="n">
        <v>90.47</v>
      </c>
      <c r="R3718" t="n">
        <v>292.4</v>
      </c>
      <c r="S3718" t="n">
        <v>265.8</v>
      </c>
      <c r="T3718" t="n">
        <v>0</v>
      </c>
      <c r="U3718" t="n">
        <v>648.67</v>
      </c>
      <c r="X3718" t="inlineStr">
        <is>
          <t>acoa-apeca</t>
        </is>
      </c>
      <c r="Y3718" t="inlineStr">
        <is>
          <t>Atlantic Canada Opportunities Agency | Agence de promotion économique du Canada atlantique</t>
        </is>
      </c>
    </row>
    <row r="3719">
      <c r="A3719" t="inlineStr">
        <is>
          <t>T-2013-Q1-00053</t>
        </is>
      </c>
      <c r="B3719" t="inlineStr">
        <is>
          <t>SLE</t>
        </is>
      </c>
      <c r="C3719" t="inlineStr">
        <is>
          <t>President</t>
        </is>
      </c>
      <c r="D3719" t="inlineStr">
        <is>
          <t>Président</t>
        </is>
      </c>
      <c r="E3719" t="inlineStr">
        <is>
          <t>Paul J. LeBlanc</t>
        </is>
      </c>
      <c r="F3719" t="inlineStr">
        <is>
          <t>Various meetings and discussions with Agency officials and Government of Canada officials</t>
        </is>
      </c>
      <c r="G3719" t="inlineStr">
        <is>
          <t>Diverses réunions et discussions avec des fonctionnaires de l'Agence et du gouvernement du Canada</t>
        </is>
      </c>
      <c r="H3719" s="1" t="n">
        <v>41022</v>
      </c>
      <c r="I3719" s="1" t="n">
        <v>41024</v>
      </c>
      <c r="J3719" t="inlineStr">
        <is>
          <t>Ottawa, Ontario</t>
        </is>
      </c>
      <c r="K3719" t="inlineStr">
        <is>
          <t>Ottawa (Ontario)</t>
        </is>
      </c>
      <c r="P3719" t="n">
        <v>741.36</v>
      </c>
      <c r="Q3719" t="n">
        <v>0</v>
      </c>
      <c r="R3719" t="n">
        <v>359.34</v>
      </c>
      <c r="S3719" t="n">
        <v>193.75</v>
      </c>
      <c r="T3719" t="n">
        <v>0</v>
      </c>
      <c r="U3719" t="n">
        <v>1294.45</v>
      </c>
      <c r="X3719" t="inlineStr">
        <is>
          <t>acoa-apeca</t>
        </is>
      </c>
      <c r="Y3719" t="inlineStr">
        <is>
          <t>Atlantic Canada Opportunities Agency | Agence de promotion économique du Canada atlantique</t>
        </is>
      </c>
    </row>
    <row r="3720">
      <c r="A3720" t="inlineStr">
        <is>
          <t>T-2013-Q1-00051</t>
        </is>
      </c>
      <c r="B3720" t="inlineStr">
        <is>
          <t>SLE</t>
        </is>
      </c>
      <c r="C3720" t="inlineStr">
        <is>
          <t>Vice-President, Finance and Corporate Services</t>
        </is>
      </c>
      <c r="D3720" t="inlineStr">
        <is>
          <t>Vice-présidente, Finances et Services corporatifs</t>
        </is>
      </c>
      <c r="E3720" t="inlineStr">
        <is>
          <t>Denise Frenette</t>
        </is>
      </c>
      <c r="F3720" t="inlineStr">
        <is>
          <t xml:space="preserve">Meetings with Government of Canada officials  </t>
        </is>
      </c>
      <c r="G3720" t="inlineStr">
        <is>
          <t xml:space="preserve">Réunions avec des fonctionnaires du gouvernement du Canada </t>
        </is>
      </c>
      <c r="H3720" s="1" t="n">
        <v>41021</v>
      </c>
      <c r="I3720" s="1" t="n">
        <v>41022</v>
      </c>
      <c r="J3720" t="inlineStr">
        <is>
          <t>Ottawa, Ontario</t>
        </is>
      </c>
      <c r="K3720" t="inlineStr">
        <is>
          <t>Ottawa (Ontario)</t>
        </is>
      </c>
      <c r="P3720" t="n">
        <v>1075.76</v>
      </c>
      <c r="Q3720" t="n">
        <v>90.88</v>
      </c>
      <c r="R3720" t="n">
        <v>177.41</v>
      </c>
      <c r="S3720" t="n">
        <v>131.15</v>
      </c>
      <c r="T3720" t="n">
        <v>0</v>
      </c>
      <c r="U3720" t="n">
        <v>1475.2</v>
      </c>
      <c r="X3720" t="inlineStr">
        <is>
          <t>acoa-apeca</t>
        </is>
      </c>
      <c r="Y3720" t="inlineStr">
        <is>
          <t>Atlantic Canada Opportunities Agency | Agence de promotion économique du Canada atlantique</t>
        </is>
      </c>
    </row>
    <row r="3721">
      <c r="A3721" t="inlineStr">
        <is>
          <t>T-2013-Q1-00050</t>
        </is>
      </c>
      <c r="B3721" t="inlineStr">
        <is>
          <t>SLE</t>
        </is>
      </c>
      <c r="C3721" t="inlineStr">
        <is>
          <t>Vice President, Nova Scotia</t>
        </is>
      </c>
      <c r="D3721" t="inlineStr">
        <is>
          <t>Vice-président, Nouvelle-Écosse</t>
        </is>
      </c>
      <c r="E3721" t="inlineStr">
        <is>
          <t>Peter Hogan</t>
        </is>
      </c>
      <c r="F3721" t="inlineStr">
        <is>
          <t>Various mMeetings with Agency and Government of Canada officials</t>
        </is>
      </c>
      <c r="G3721" t="inlineStr">
        <is>
          <t xml:space="preserve">Diverses réunions avec des fonctionnaires de l'Agence et du gouvernement du Canada </t>
        </is>
      </c>
      <c r="H3721" s="1" t="n">
        <v>41017</v>
      </c>
      <c r="I3721" s="1" t="n">
        <v>41019</v>
      </c>
      <c r="J3721" t="inlineStr">
        <is>
          <t>Ottawa, Ontario</t>
        </is>
      </c>
      <c r="K3721" t="inlineStr">
        <is>
          <t>Ottawa (Ontario)</t>
        </is>
      </c>
      <c r="P3721" t="n">
        <v>723.37</v>
      </c>
      <c r="Q3721" t="n">
        <v>145.7</v>
      </c>
      <c r="R3721" t="n">
        <v>354.82</v>
      </c>
      <c r="S3721" t="n">
        <v>220.5</v>
      </c>
      <c r="T3721" t="n">
        <v>22.48</v>
      </c>
      <c r="U3721" t="n">
        <v>1466.87</v>
      </c>
      <c r="X3721" t="inlineStr">
        <is>
          <t>acoa-apeca</t>
        </is>
      </c>
      <c r="Y3721" t="inlineStr">
        <is>
          <t>Atlantic Canada Opportunities Agency | Agence de promotion économique du Canada atlantique</t>
        </is>
      </c>
    </row>
    <row r="3722">
      <c r="A3722" t="inlineStr">
        <is>
          <t>T-2013-Q1-00049</t>
        </is>
      </c>
      <c r="B3722" t="inlineStr">
        <is>
          <t>SLE</t>
        </is>
      </c>
      <c r="C3722" t="inlineStr">
        <is>
          <t>Vice-President, Prince Edward Island</t>
        </is>
      </c>
      <c r="D3722" t="inlineStr">
        <is>
          <t>Vice-président, Île-du-Prince-Édouard</t>
        </is>
      </c>
      <c r="E3722" t="inlineStr">
        <is>
          <t>Patrick Dorsey</t>
        </is>
      </c>
      <c r="F3722" t="inlineStr">
        <is>
          <t>Meetings with Agency and Government of Canada officials</t>
        </is>
      </c>
      <c r="G3722" t="inlineStr">
        <is>
          <t>Réunions avec des fonctionnaires de l'Agence et du gouvernement du Canada</t>
        </is>
      </c>
      <c r="H3722" s="1" t="n">
        <v>41017</v>
      </c>
      <c r="I3722" s="1" t="n">
        <v>41019</v>
      </c>
      <c r="J3722" t="inlineStr">
        <is>
          <t>Ottawa, Ontario</t>
        </is>
      </c>
      <c r="K3722" t="inlineStr">
        <is>
          <t>Ottawa (Ontario)</t>
        </is>
      </c>
      <c r="P3722" t="n">
        <v>603.3</v>
      </c>
      <c r="Q3722" t="n">
        <v>90</v>
      </c>
      <c r="R3722" t="n">
        <v>354.82</v>
      </c>
      <c r="S3722" t="n">
        <v>194.5</v>
      </c>
      <c r="T3722" t="n">
        <v>0</v>
      </c>
      <c r="U3722" t="n">
        <v>1242.62</v>
      </c>
      <c r="X3722" t="inlineStr">
        <is>
          <t>acoa-apeca</t>
        </is>
      </c>
      <c r="Y3722" t="inlineStr">
        <is>
          <t>Atlantic Canada Opportunities Agency | Agence de promotion économique du Canada atlantique</t>
        </is>
      </c>
    </row>
    <row r="3723">
      <c r="A3723" t="inlineStr">
        <is>
          <t>T-2013-Q1-00047</t>
        </is>
      </c>
      <c r="B3723" t="inlineStr">
        <is>
          <t>SLE</t>
        </is>
      </c>
      <c r="C3723" t="inlineStr">
        <is>
          <t>Vice-President, Newfoundland and Labrador</t>
        </is>
      </c>
      <c r="D3723" t="inlineStr">
        <is>
          <t>Vice-président, Terre-Neuve-et-Labrador</t>
        </is>
      </c>
      <c r="E3723" t="inlineStr">
        <is>
          <t>Paul Mills</t>
        </is>
      </c>
      <c r="F3723" t="inlineStr">
        <is>
          <t>Meetings in Ottawa and training in Toronto</t>
        </is>
      </c>
      <c r="G3723" t="inlineStr">
        <is>
          <t>Réunions à Ottawa et séance de formation à Toronto</t>
        </is>
      </c>
      <c r="H3723" s="1" t="n">
        <v>41017</v>
      </c>
      <c r="I3723" s="1" t="n">
        <v>41022</v>
      </c>
      <c r="J3723" t="inlineStr">
        <is>
          <t>Ottawa and Toronto, Ontario</t>
        </is>
      </c>
      <c r="K3723" t="inlineStr">
        <is>
          <t>Ottawa et Toronto (Ontario)</t>
        </is>
      </c>
      <c r="P3723" t="n">
        <v>1377.02</v>
      </c>
      <c r="Q3723" t="n">
        <v>250</v>
      </c>
      <c r="R3723" t="n">
        <v>816.99</v>
      </c>
      <c r="S3723" t="n">
        <v>374.9</v>
      </c>
      <c r="T3723" t="n">
        <v>17.06</v>
      </c>
      <c r="U3723" t="n">
        <v>2835.97</v>
      </c>
      <c r="X3723" t="inlineStr">
        <is>
          <t>acoa-apeca</t>
        </is>
      </c>
      <c r="Y3723" t="inlineStr">
        <is>
          <t>Atlantic Canada Opportunities Agency | Agence de promotion économique du Canada atlantique</t>
        </is>
      </c>
    </row>
    <row r="3724">
      <c r="A3724" t="inlineStr">
        <is>
          <t>T-2013-Q1-00046</t>
        </is>
      </c>
      <c r="B3724" t="inlineStr">
        <is>
          <t>SLE</t>
        </is>
      </c>
      <c r="C3724" t="inlineStr">
        <is>
          <t>President</t>
        </is>
      </c>
      <c r="D3724" t="inlineStr">
        <is>
          <t>Président</t>
        </is>
      </c>
      <c r="E3724" t="inlineStr">
        <is>
          <t>Paul J. LeBlanc</t>
        </is>
      </c>
      <c r="F3724" t="inlineStr">
        <is>
          <t>Meeting with Government of Canada officials</t>
        </is>
      </c>
      <c r="G3724" t="inlineStr">
        <is>
          <t>Réunion avec des fonctionnaires du gouvernement du Canada</t>
        </is>
      </c>
      <c r="H3724" s="1" t="n">
        <v>41016</v>
      </c>
      <c r="I3724" s="1" t="n">
        <v>41017</v>
      </c>
      <c r="J3724" t="inlineStr">
        <is>
          <t>Ottawa, Ontario</t>
        </is>
      </c>
      <c r="K3724" t="inlineStr">
        <is>
          <t>Ottawa (Ontario)</t>
        </is>
      </c>
      <c r="P3724" t="n">
        <v>1452.67</v>
      </c>
      <c r="Q3724" t="n">
        <v>0</v>
      </c>
      <c r="R3724" t="n">
        <v>179.67</v>
      </c>
      <c r="S3724" t="n">
        <v>105.15</v>
      </c>
      <c r="T3724" t="n">
        <v>168.25</v>
      </c>
      <c r="U3724" t="n">
        <v>1905.74</v>
      </c>
      <c r="X3724" t="inlineStr">
        <is>
          <t>acoa-apeca</t>
        </is>
      </c>
      <c r="Y3724" t="inlineStr">
        <is>
          <t>Atlantic Canada Opportunities Agency | Agence de promotion économique du Canada atlantique</t>
        </is>
      </c>
    </row>
    <row r="3725">
      <c r="A3725" t="inlineStr">
        <is>
          <t>T-2013-Q1-00045</t>
        </is>
      </c>
      <c r="B3725" t="inlineStr">
        <is>
          <t>SLE</t>
        </is>
      </c>
      <c r="C3725" t="inlineStr">
        <is>
          <t>President</t>
        </is>
      </c>
      <c r="D3725" t="inlineStr">
        <is>
          <t>Président</t>
        </is>
      </c>
      <c r="E3725" t="inlineStr">
        <is>
          <t>Paul J. LeBlanc</t>
        </is>
      </c>
      <c r="F3725" t="inlineStr">
        <is>
          <t>Various meetings and discussions with Agency officials and provincial governments officials</t>
        </is>
      </c>
      <c r="G3725" t="inlineStr">
        <is>
          <t>Diverses réunions et discussions avec des fonctionnaires de l'Agence et des gouvernements provinciaux</t>
        </is>
      </c>
      <c r="H3725" s="1" t="n">
        <v>41011</v>
      </c>
      <c r="I3725" s="1" t="n">
        <v>41012</v>
      </c>
      <c r="J3725" t="inlineStr">
        <is>
          <t>Charlottetown, Prince Edward Island and St. John's, Newfoundland and Labrador</t>
        </is>
      </c>
      <c r="K3725" t="inlineStr">
        <is>
          <t>Charlottetown (Île-du-Prince-Édouard) et St. John's (Terre-Neuve-et-Labrador)</t>
        </is>
      </c>
      <c r="P3725" t="n">
        <v>2325.96</v>
      </c>
      <c r="Q3725" t="n">
        <v>0</v>
      </c>
      <c r="R3725" t="n">
        <v>151.96</v>
      </c>
      <c r="S3725" t="n">
        <v>120.75</v>
      </c>
      <c r="T3725" t="n">
        <v>0</v>
      </c>
      <c r="U3725" t="n">
        <v>2598.67</v>
      </c>
      <c r="X3725" t="inlineStr">
        <is>
          <t>acoa-apeca</t>
        </is>
      </c>
      <c r="Y3725" t="inlineStr">
        <is>
          <t>Atlantic Canada Opportunities Agency | Agence de promotion économique du Canada atlantique</t>
        </is>
      </c>
    </row>
    <row r="3726">
      <c r="A3726" t="inlineStr">
        <is>
          <t>T-2013-Q1-00044</t>
        </is>
      </c>
      <c r="B3726" t="inlineStr">
        <is>
          <t>MPSES</t>
        </is>
      </c>
      <c r="C3726" t="inlineStr">
        <is>
          <t>Executive Assistant and Press Secretary</t>
        </is>
      </c>
      <c r="D3726" t="inlineStr">
        <is>
          <t>Adjointe exécutive et attaché de presse</t>
        </is>
      </c>
      <c r="E3726" t="inlineStr">
        <is>
          <t>Andrea Richer</t>
        </is>
      </c>
      <c r="F3726" t="inlineStr">
        <is>
          <t>Travel to accompany Minister of State at various ACOA meetings and announcements</t>
        </is>
      </c>
      <c r="G3726" t="inlineStr">
        <is>
          <t>Voyage pour accompagner le ministre d'État à diverses réunions et annonces de l'APECA</t>
        </is>
      </c>
      <c r="H3726" s="1" t="n">
        <v>41009</v>
      </c>
      <c r="I3726" s="1" t="n">
        <v>41013</v>
      </c>
      <c r="J3726" t="inlineStr">
        <is>
          <t>Fredericton, NB; Halifax, NS; Charlottetown, PEI, St. John's, NL</t>
        </is>
      </c>
      <c r="K3726" t="inlineStr">
        <is>
          <t>Fredericton (N.-B.); Halifax (N.-É.); Charlottetown (Î.-P.-É.), St. John's (T.-N.-L.)</t>
        </is>
      </c>
      <c r="P3726" t="n">
        <v>3872.16</v>
      </c>
      <c r="Q3726" t="n">
        <v>69</v>
      </c>
      <c r="R3726" t="n">
        <v>561.9299999999999</v>
      </c>
      <c r="S3726" t="n">
        <v>412.55</v>
      </c>
      <c r="T3726" t="n">
        <v>0</v>
      </c>
      <c r="U3726" t="n">
        <v>4915.64</v>
      </c>
      <c r="X3726" t="inlineStr">
        <is>
          <t>acoa-apeca</t>
        </is>
      </c>
      <c r="Y3726" t="inlineStr">
        <is>
          <t>Atlantic Canada Opportunities Agency | Agence de promotion économique du Canada atlantique</t>
        </is>
      </c>
    </row>
    <row r="3727">
      <c r="A3727" t="inlineStr">
        <is>
          <t>T-2013-Q1-00043</t>
        </is>
      </c>
      <c r="B3727" t="inlineStr">
        <is>
          <t>MPSES</t>
        </is>
      </c>
      <c r="C3727" t="inlineStr">
        <is>
          <t>Minister of State</t>
        </is>
      </c>
      <c r="D3727" t="inlineStr">
        <is>
          <t>Ministre d'État</t>
        </is>
      </c>
      <c r="E3727" t="inlineStr">
        <is>
          <t>Bernard Valcourt</t>
        </is>
      </c>
      <c r="F3727" t="inlineStr">
        <is>
          <t>Various meetings and speeches for ACOA</t>
        </is>
      </c>
      <c r="G3727" t="inlineStr">
        <is>
          <t>Diverses rencontres et allocutions pour l'APECA</t>
        </is>
      </c>
      <c r="H3727" s="1" t="n">
        <v>41009</v>
      </c>
      <c r="I3727" s="1" t="n">
        <v>41013</v>
      </c>
      <c r="J3727" t="inlineStr">
        <is>
          <t>Fredericton, NB; Halifax, NS; Charlottetown, PEI; St. John's, NL</t>
        </is>
      </c>
      <c r="K3727" t="inlineStr">
        <is>
          <t>Fredericton (N.-B.), Halifax (N.-É.), Charlottetown (Î.-P.-É.), St. John's (T.-N.-L.)</t>
        </is>
      </c>
      <c r="P3727" t="n">
        <v>3448.56</v>
      </c>
      <c r="Q3727" t="n">
        <v>371.6</v>
      </c>
      <c r="R3727" t="n">
        <v>561.9299999999999</v>
      </c>
      <c r="S3727" t="n">
        <v>412.55</v>
      </c>
      <c r="T3727" t="n">
        <v>0</v>
      </c>
      <c r="U3727" t="n">
        <v>4794.64</v>
      </c>
      <c r="X3727" t="inlineStr">
        <is>
          <t>acoa-apeca</t>
        </is>
      </c>
      <c r="Y3727" t="inlineStr">
        <is>
          <t>Atlantic Canada Opportunities Agency | Agence de promotion économique du Canada atlantique</t>
        </is>
      </c>
    </row>
    <row r="3728">
      <c r="A3728" t="inlineStr">
        <is>
          <t>T-2013-Q1-00042</t>
        </is>
      </c>
      <c r="B3728" t="inlineStr">
        <is>
          <t>SLE</t>
        </is>
      </c>
      <c r="C3728" t="inlineStr">
        <is>
          <t>President</t>
        </is>
      </c>
      <c r="D3728" t="inlineStr">
        <is>
          <t>Président</t>
        </is>
      </c>
      <c r="E3728" t="inlineStr">
        <is>
          <t>Paul J. LeBlanc</t>
        </is>
      </c>
      <c r="F3728" t="inlineStr">
        <is>
          <t>Various meetings and discussions with Agency officials and provincial governments officials</t>
        </is>
      </c>
      <c r="G3728" t="inlineStr">
        <is>
          <t>Diverses réunions et discussions avec des fonctionnaires de l'Agence et des gouvernements provinciaux</t>
        </is>
      </c>
      <c r="H3728" s="1" t="n">
        <v>41009</v>
      </c>
      <c r="I3728" s="1" t="n">
        <v>41010</v>
      </c>
      <c r="J3728" t="inlineStr">
        <is>
          <t>Fredericton, New Brunswick and Halifax, Nova Scotia</t>
        </is>
      </c>
      <c r="K3728" t="inlineStr">
        <is>
          <t>Fredericton (Nouveau-Brunswick) et Halifax (Nouvelle-Écosse)</t>
        </is>
      </c>
      <c r="P3728" t="n">
        <v>370.68</v>
      </c>
      <c r="Q3728" t="n">
        <v>0</v>
      </c>
      <c r="R3728" t="n">
        <v>146.63</v>
      </c>
      <c r="S3728" t="n">
        <v>105.9</v>
      </c>
      <c r="T3728" t="n">
        <v>0</v>
      </c>
      <c r="U3728" t="n">
        <v>623.21</v>
      </c>
      <c r="X3728" t="inlineStr">
        <is>
          <t>acoa-apeca</t>
        </is>
      </c>
      <c r="Y3728" t="inlineStr">
        <is>
          <t>Atlantic Canada Opportunities Agency | Agence de promotion économique du Canada atlantique</t>
        </is>
      </c>
    </row>
    <row r="3729">
      <c r="A3729" t="inlineStr">
        <is>
          <t>T-2013-Q1-00041</t>
        </is>
      </c>
      <c r="B3729" t="inlineStr">
        <is>
          <t>MPSES</t>
        </is>
      </c>
      <c r="C3729" t="inlineStr">
        <is>
          <t>Senior Policy Advisor</t>
        </is>
      </c>
      <c r="D3729" t="inlineStr">
        <is>
          <t>Conseiller principal en politiques</t>
        </is>
      </c>
      <c r="E3729" t="inlineStr">
        <is>
          <t>Guy Lévesque</t>
        </is>
      </c>
      <c r="F3729" t="inlineStr">
        <is>
          <t>Travel to accompany Minister of State for various ACOA meetings</t>
        </is>
      </c>
      <c r="G3729" t="inlineStr">
        <is>
          <t>Voyage pour accompagner le ministre d'État à diverses réunions de l'APECA</t>
        </is>
      </c>
      <c r="H3729" s="1" t="n">
        <v>41008</v>
      </c>
      <c r="I3729" s="1" t="n">
        <v>41009</v>
      </c>
      <c r="J3729" t="inlineStr">
        <is>
          <t>Fredericton, New Brunswick</t>
        </is>
      </c>
      <c r="K3729" t="inlineStr">
        <is>
          <t>Fredericton (Nouveau-Brunswick)</t>
        </is>
      </c>
      <c r="P3729" t="n">
        <v>1163.99</v>
      </c>
      <c r="Q3729" t="n">
        <v>83.98999999999999</v>
      </c>
      <c r="R3729" t="n">
        <v>123.17</v>
      </c>
      <c r="S3729" t="n">
        <v>161.6</v>
      </c>
      <c r="T3729" t="n">
        <v>0</v>
      </c>
      <c r="U3729" t="n">
        <v>1532.75</v>
      </c>
      <c r="X3729" t="inlineStr">
        <is>
          <t>acoa-apeca</t>
        </is>
      </c>
      <c r="Y3729" t="inlineStr">
        <is>
          <t>Atlantic Canada Opportunities Agency | Agence de promotion économique du Canada atlantique</t>
        </is>
      </c>
    </row>
    <row r="3730">
      <c r="A3730" t="inlineStr">
        <is>
          <t>T-2013-Q1-00039</t>
        </is>
      </c>
      <c r="B3730" t="inlineStr">
        <is>
          <t>SLE</t>
        </is>
      </c>
      <c r="C3730" t="inlineStr">
        <is>
          <t>Vice-President, New Brunswick</t>
        </is>
      </c>
      <c r="D3730" t="inlineStr">
        <is>
          <t>Vice-présidente, Nouveau-Brunswick</t>
        </is>
      </c>
      <c r="E3730" t="inlineStr">
        <is>
          <t>Janet Gagnon</t>
        </is>
      </c>
      <c r="F3730" t="inlineStr">
        <is>
          <t>Staff meeting</t>
        </is>
      </c>
      <c r="G3730" t="inlineStr">
        <is>
          <t>Réunion du personnel</t>
        </is>
      </c>
      <c r="H3730" s="1" t="n">
        <v>41003</v>
      </c>
      <c r="I3730" s="1" t="n">
        <v>41003</v>
      </c>
      <c r="J3730" t="inlineStr">
        <is>
          <t>Fredericton, New Brunswick</t>
        </is>
      </c>
      <c r="K3730" t="inlineStr">
        <is>
          <t>Fredericton (Nouveau-Brunswick)</t>
        </is>
      </c>
      <c r="P3730" t="n">
        <v>0</v>
      </c>
      <c r="Q3730" t="n">
        <v>0</v>
      </c>
      <c r="R3730" t="n">
        <v>0</v>
      </c>
      <c r="S3730" t="n">
        <v>0</v>
      </c>
      <c r="T3730" t="n">
        <v>4</v>
      </c>
      <c r="U3730" t="n">
        <v>4</v>
      </c>
      <c r="X3730" t="inlineStr">
        <is>
          <t>acoa-apeca</t>
        </is>
      </c>
      <c r="Y3730" t="inlineStr">
        <is>
          <t>Atlantic Canada Opportunities Agency | Agence de promotion économique du Canada atlantique</t>
        </is>
      </c>
    </row>
    <row r="3731">
      <c r="A3731" t="inlineStr">
        <is>
          <t>T-2013-Q1-00038</t>
        </is>
      </c>
      <c r="B3731" t="inlineStr">
        <is>
          <t>MPSES</t>
        </is>
      </c>
      <c r="C3731" t="inlineStr">
        <is>
          <t>Executive Assistant and Press Secretary</t>
        </is>
      </c>
      <c r="D3731" t="inlineStr">
        <is>
          <t>Adjointe exécutive et attaché de presse</t>
        </is>
      </c>
      <c r="E3731" t="inlineStr">
        <is>
          <t>Andrea Richer</t>
        </is>
      </c>
      <c r="F3731" t="inlineStr">
        <is>
          <t>Travel to accompany Minister of State at various La Francophonie related announcements and meetings</t>
        </is>
      </c>
      <c r="G3731" t="inlineStr">
        <is>
          <t>Voyage pour accompagner le ministre d'État à diverses annonces et réunions liées au dossier de la Francophonie</t>
        </is>
      </c>
      <c r="H3731" s="1" t="n">
        <v>41002</v>
      </c>
      <c r="I3731" s="1" t="n">
        <v>41002</v>
      </c>
      <c r="J3731" t="inlineStr">
        <is>
          <t>Quebec, Quebec</t>
        </is>
      </c>
      <c r="K3731" t="inlineStr">
        <is>
          <t>Québec (Québec)</t>
        </is>
      </c>
      <c r="P3731" t="n">
        <v>637.3200000000001</v>
      </c>
      <c r="Q3731" t="n">
        <v>86.90000000000001</v>
      </c>
      <c r="R3731" t="n">
        <v>0</v>
      </c>
      <c r="S3731" t="n">
        <v>0</v>
      </c>
      <c r="T3731" t="n">
        <v>0</v>
      </c>
      <c r="U3731" t="n">
        <v>724.22</v>
      </c>
      <c r="X3731" t="inlineStr">
        <is>
          <t>acoa-apeca</t>
        </is>
      </c>
      <c r="Y3731" t="inlineStr">
        <is>
          <t>Atlantic Canada Opportunities Agency | Agence de promotion économique du Canada atlantique</t>
        </is>
      </c>
    </row>
    <row r="3732">
      <c r="A3732" t="inlineStr">
        <is>
          <t>T-2013-Q1-00037</t>
        </is>
      </c>
      <c r="B3732" t="inlineStr">
        <is>
          <t>MPSES</t>
        </is>
      </c>
      <c r="C3732" t="inlineStr">
        <is>
          <t>Minister of State</t>
        </is>
      </c>
      <c r="D3732" t="inlineStr">
        <is>
          <t>Ministre d'État</t>
        </is>
      </c>
      <c r="E3732" t="inlineStr">
        <is>
          <t>Bernard Valcourt</t>
        </is>
      </c>
      <c r="F3732" t="inlineStr">
        <is>
          <t>Announcement for the French Language Forum and various meetings for the Francophonie file</t>
        </is>
      </c>
      <c r="G3732" t="inlineStr">
        <is>
          <t>Annonce pour le Forum de la langue française et diverses rencontres pour le dossier de la Francophonie</t>
        </is>
      </c>
      <c r="H3732" s="1" t="n">
        <v>41002</v>
      </c>
      <c r="I3732" s="1" t="n">
        <v>41002</v>
      </c>
      <c r="J3732" t="inlineStr">
        <is>
          <t>Quebec, Quebec</t>
        </is>
      </c>
      <c r="K3732" t="inlineStr">
        <is>
          <t>Québec (Québec)</t>
        </is>
      </c>
      <c r="P3732" t="n">
        <v>1699.17</v>
      </c>
      <c r="Q3732" t="n">
        <v>0</v>
      </c>
      <c r="R3732" t="n">
        <v>0</v>
      </c>
      <c r="S3732" t="n">
        <v>0</v>
      </c>
      <c r="T3732" t="n">
        <v>0</v>
      </c>
      <c r="U3732" t="n">
        <v>1699.17</v>
      </c>
      <c r="X3732" t="inlineStr">
        <is>
          <t>acoa-apeca</t>
        </is>
      </c>
      <c r="Y3732" t="inlineStr">
        <is>
          <t>Atlantic Canada Opportunities Agency | Agence de promotion économique du Canada atlantique</t>
        </is>
      </c>
    </row>
    <row r="3733">
      <c r="A3733" t="inlineStr">
        <is>
          <t>T-2013-Q1-00036</t>
        </is>
      </c>
      <c r="B3733" t="inlineStr">
        <is>
          <t>SLE</t>
        </is>
      </c>
      <c r="C3733" t="inlineStr">
        <is>
          <t>President</t>
        </is>
      </c>
      <c r="D3733" t="inlineStr">
        <is>
          <t>Président</t>
        </is>
      </c>
      <c r="E3733" t="inlineStr">
        <is>
          <t>Paul J. LeBlanc</t>
        </is>
      </c>
      <c r="F3733" t="inlineStr">
        <is>
          <t>Meeting with various Government of Canada officials</t>
        </is>
      </c>
      <c r="G3733" t="inlineStr">
        <is>
          <t>Réunion avec divers fonctionnaires du gouvernement du Canada</t>
        </is>
      </c>
      <c r="H3733" s="1" t="n">
        <v>41002</v>
      </c>
      <c r="I3733" s="1" t="n">
        <v>41003</v>
      </c>
      <c r="J3733" t="inlineStr">
        <is>
          <t>Ottawa, Ontario</t>
        </is>
      </c>
      <c r="K3733" t="inlineStr">
        <is>
          <t>Ottawa (Ontario)</t>
        </is>
      </c>
      <c r="P3733" t="n">
        <v>741.36</v>
      </c>
      <c r="Q3733" t="n">
        <v>0</v>
      </c>
      <c r="R3733" t="n">
        <v>179.67</v>
      </c>
      <c r="S3733" t="n">
        <v>90.3</v>
      </c>
      <c r="T3733" t="n">
        <v>113</v>
      </c>
      <c r="U3733" t="n">
        <v>1124.33</v>
      </c>
      <c r="X3733" t="inlineStr">
        <is>
          <t>acoa-apeca</t>
        </is>
      </c>
      <c r="Y3733" t="inlineStr">
        <is>
          <t>Atlantic Canada Opportunities Agency | Agence de promotion économique du Canada atlantique</t>
        </is>
      </c>
    </row>
    <row r="3734">
      <c r="A3734" t="inlineStr">
        <is>
          <t>T-2013-Q1-00035</t>
        </is>
      </c>
      <c r="B3734" t="inlineStr">
        <is>
          <t>SLE</t>
        </is>
      </c>
      <c r="C3734" t="inlineStr">
        <is>
          <t>Vice President, Nova Scotia</t>
        </is>
      </c>
      <c r="D3734" t="inlineStr">
        <is>
          <t>Vice-président, Nouvelle-Écosse</t>
        </is>
      </c>
      <c r="E3734" t="inlineStr">
        <is>
          <t>Peter Hogan</t>
        </is>
      </c>
      <c r="F3734" t="inlineStr">
        <is>
          <t>Various meetings with Agency and Government of Canada officials</t>
        </is>
      </c>
      <c r="G3734" t="inlineStr">
        <is>
          <t>Diverses réunions avec des fonctionnaires de l'Agence et du gouvernement du Canada</t>
        </is>
      </c>
      <c r="H3734" s="1" t="n">
        <v>40995</v>
      </c>
      <c r="I3734" s="1" t="n">
        <v>40995</v>
      </c>
      <c r="J3734" t="inlineStr">
        <is>
          <t>Ottawa, Ontario</t>
        </is>
      </c>
      <c r="K3734" t="inlineStr">
        <is>
          <t>Ottawa (Ontario)</t>
        </is>
      </c>
      <c r="P3734" t="n">
        <v>680.73</v>
      </c>
      <c r="Q3734" t="n">
        <v>128.2</v>
      </c>
      <c r="R3734" t="n">
        <v>177.41</v>
      </c>
      <c r="S3734" t="n">
        <v>145.15</v>
      </c>
      <c r="T3734" t="n">
        <v>0</v>
      </c>
      <c r="U3734" t="n">
        <v>1131.49</v>
      </c>
      <c r="X3734" t="inlineStr">
        <is>
          <t>acoa-apeca</t>
        </is>
      </c>
      <c r="Y3734" t="inlineStr">
        <is>
          <t>Atlantic Canada Opportunities Agency | Agence de promotion économique du Canada atlantique</t>
        </is>
      </c>
    </row>
    <row r="3735">
      <c r="A3735" t="inlineStr">
        <is>
          <t>T-2013-Q1-00034</t>
        </is>
      </c>
      <c r="B3735" t="inlineStr">
        <is>
          <t>SLE</t>
        </is>
      </c>
      <c r="C3735" t="inlineStr">
        <is>
          <t>Vice-President, Finance and Corporate Services</t>
        </is>
      </c>
      <c r="D3735" t="inlineStr">
        <is>
          <t>Vice-présidente, Finances et Services corporatifs</t>
        </is>
      </c>
      <c r="E3735" t="inlineStr">
        <is>
          <t>Denise Frenette</t>
        </is>
      </c>
      <c r="F3735" t="inlineStr">
        <is>
          <t xml:space="preserve">Meetings with Government of Canada officials and Agency officials </t>
        </is>
      </c>
      <c r="G3735" t="inlineStr">
        <is>
          <t xml:space="preserve">Réunions avec des fonctionnaires du gouvernement du Canada et de l'Agence </t>
        </is>
      </c>
      <c r="H3735" s="1" t="n">
        <v>40995</v>
      </c>
      <c r="I3735" s="1" t="n">
        <v>40996</v>
      </c>
      <c r="J3735" t="inlineStr">
        <is>
          <t>Ottawa, Ontario</t>
        </is>
      </c>
      <c r="K3735" t="inlineStr">
        <is>
          <t>Ottawa (Ontario)</t>
        </is>
      </c>
      <c r="P3735" t="n">
        <v>1075.76</v>
      </c>
      <c r="Q3735" t="n">
        <v>54.88</v>
      </c>
      <c r="R3735" t="n">
        <v>177.41</v>
      </c>
      <c r="S3735" t="n">
        <v>89.5</v>
      </c>
      <c r="T3735" t="n">
        <v>0</v>
      </c>
      <c r="U3735" t="n">
        <v>1397.55</v>
      </c>
      <c r="X3735" t="inlineStr">
        <is>
          <t>acoa-apeca</t>
        </is>
      </c>
      <c r="Y3735" t="inlineStr">
        <is>
          <t>Atlantic Canada Opportunities Agency | Agence de promotion économique du Canada atlantique</t>
        </is>
      </c>
    </row>
    <row r="3736">
      <c r="A3736" t="inlineStr">
        <is>
          <t>T-2013-Q1-00033</t>
        </is>
      </c>
      <c r="B3736" t="inlineStr">
        <is>
          <t>SLE</t>
        </is>
      </c>
      <c r="C3736" t="inlineStr">
        <is>
          <t>Vice-President, Prince Edward Island</t>
        </is>
      </c>
      <c r="D3736" t="inlineStr">
        <is>
          <t>Vice-président, Île-du-Prince-Édouard</t>
        </is>
      </c>
      <c r="E3736" t="inlineStr">
        <is>
          <t>Patrick Dorsey</t>
        </is>
      </c>
      <c r="F3736" t="inlineStr">
        <is>
          <t>ACO Board Meeting</t>
        </is>
      </c>
      <c r="G3736" t="inlineStr">
        <is>
          <t>Réunion du Conseil de promotion économique du Canada atlantique</t>
        </is>
      </c>
      <c r="H3736" s="1" t="n">
        <v>40995</v>
      </c>
      <c r="I3736" s="1" t="n">
        <v>40997</v>
      </c>
      <c r="J3736" t="inlineStr">
        <is>
          <t>Ottawa, Ontario</t>
        </is>
      </c>
      <c r="K3736" t="inlineStr">
        <is>
          <t>Ottawa (Ontario)</t>
        </is>
      </c>
      <c r="P3736" t="n">
        <v>622.28</v>
      </c>
      <c r="Q3736" t="n">
        <v>87</v>
      </c>
      <c r="R3736" t="n">
        <v>354.82</v>
      </c>
      <c r="S3736" t="n">
        <v>192.4</v>
      </c>
      <c r="T3736" t="n">
        <v>0</v>
      </c>
      <c r="U3736" t="n">
        <v>1256.5</v>
      </c>
      <c r="X3736" t="inlineStr">
        <is>
          <t>acoa-apeca</t>
        </is>
      </c>
      <c r="Y3736" t="inlineStr">
        <is>
          <t>Atlantic Canada Opportunities Agency | Agence de promotion économique du Canada atlantique</t>
        </is>
      </c>
    </row>
    <row r="3737">
      <c r="A3737" t="inlineStr">
        <is>
          <t>T-2012-Q2-00064</t>
        </is>
      </c>
      <c r="B3737" t="inlineStr">
        <is>
          <t>SLE</t>
        </is>
      </c>
      <c r="C3737" t="inlineStr">
        <is>
          <t>President</t>
        </is>
      </c>
      <c r="D3737" t="inlineStr">
        <is>
          <t>Président</t>
        </is>
      </c>
      <c r="E3737" t="inlineStr">
        <is>
          <t>Paul J. LeBlanc</t>
        </is>
      </c>
      <c r="F3737" t="inlineStr">
        <is>
          <t>For various meetings and discussions with Agency officials</t>
        </is>
      </c>
      <c r="G3737" t="inlineStr">
        <is>
          <t>Diverses réunions et discussions avec des fonctionnaires de l'Agence</t>
        </is>
      </c>
      <c r="H3737" s="1" t="n">
        <v>40773</v>
      </c>
      <c r="I3737" s="1" t="n">
        <v>40774</v>
      </c>
      <c r="J3737" t="inlineStr">
        <is>
          <t>Ottawa, Ontario</t>
        </is>
      </c>
      <c r="K3737" t="inlineStr">
        <is>
          <t>Ottawa (Ontario)</t>
        </is>
      </c>
      <c r="P3737" t="n">
        <v>727.36</v>
      </c>
      <c r="Q3737" t="n">
        <v>0</v>
      </c>
      <c r="R3737" t="n">
        <v>174.02</v>
      </c>
      <c r="S3737" t="n">
        <v>143.5</v>
      </c>
      <c r="T3737" t="n">
        <v>30</v>
      </c>
      <c r="U3737" t="n">
        <v>1074.88</v>
      </c>
      <c r="X3737" t="inlineStr">
        <is>
          <t>acoa-apeca</t>
        </is>
      </c>
      <c r="Y3737" t="inlineStr">
        <is>
          <t>Atlantic Canada Opportunities Agency | Agence de promotion économique du Canada atlantique</t>
        </is>
      </c>
    </row>
    <row r="3738">
      <c r="A3738" t="inlineStr">
        <is>
          <t>T-2013-Q1-00030</t>
        </is>
      </c>
      <c r="B3738" t="inlineStr">
        <is>
          <t>SLE</t>
        </is>
      </c>
      <c r="C3738" t="inlineStr">
        <is>
          <t>Vice-President, New Brunswick</t>
        </is>
      </c>
      <c r="D3738" t="inlineStr">
        <is>
          <t>Vice-présidente, Nouveau-Brunswick</t>
        </is>
      </c>
      <c r="E3738" t="inlineStr">
        <is>
          <t>Janet Gagnon</t>
        </is>
      </c>
      <c r="F3738" t="inlineStr">
        <is>
          <t>ACO Board meeting</t>
        </is>
      </c>
      <c r="G3738" t="inlineStr">
        <is>
          <t>Réunion du Conseil de promotion économique du Canada atlantique</t>
        </is>
      </c>
      <c r="H3738" s="1" t="n">
        <v>40994</v>
      </c>
      <c r="I3738" s="1" t="n">
        <v>40996</v>
      </c>
      <c r="J3738" t="inlineStr">
        <is>
          <t>Ottawa, Ontario</t>
        </is>
      </c>
      <c r="K3738" t="inlineStr">
        <is>
          <t>Ottawa (Ontario)</t>
        </is>
      </c>
      <c r="P3738" t="n">
        <v>1207.21</v>
      </c>
      <c r="Q3738" t="n">
        <v>74.47</v>
      </c>
      <c r="R3738" t="n">
        <v>354.82</v>
      </c>
      <c r="S3738" t="n">
        <v>232.7</v>
      </c>
      <c r="T3738" t="n">
        <v>32</v>
      </c>
      <c r="U3738" t="n">
        <v>1901.2</v>
      </c>
      <c r="X3738" t="inlineStr">
        <is>
          <t>acoa-apeca</t>
        </is>
      </c>
      <c r="Y3738" t="inlineStr">
        <is>
          <t>Atlantic Canada Opportunities Agency | Agence de promotion économique du Canada atlantique</t>
        </is>
      </c>
    </row>
    <row r="3739">
      <c r="A3739" t="inlineStr">
        <is>
          <t>T-2013-Q1-00029</t>
        </is>
      </c>
      <c r="B3739" t="inlineStr">
        <is>
          <t>SLE</t>
        </is>
      </c>
      <c r="C3739" t="inlineStr">
        <is>
          <t>President</t>
        </is>
      </c>
      <c r="D3739" t="inlineStr">
        <is>
          <t>Président</t>
        </is>
      </c>
      <c r="E3739" t="inlineStr">
        <is>
          <t>Paul J. LeBlanc</t>
        </is>
      </c>
      <c r="F3739" t="inlineStr">
        <is>
          <t>Various meetings and discussions with Agency officials and Government of Canada officials</t>
        </is>
      </c>
      <c r="G3739" t="inlineStr">
        <is>
          <t>Diverses réunions et discussions avec des fonctionnaires de l'Agence et du gouvernement du Canada</t>
        </is>
      </c>
      <c r="H3739" s="1" t="n">
        <v>40994</v>
      </c>
      <c r="I3739" s="1" t="n">
        <v>40998</v>
      </c>
      <c r="J3739" t="inlineStr">
        <is>
          <t>Ottawa, Ontario</t>
        </is>
      </c>
      <c r="K3739" t="inlineStr">
        <is>
          <t>Ottawa (Ontario)</t>
        </is>
      </c>
      <c r="P3739" t="n">
        <v>741.36</v>
      </c>
      <c r="Q3739" t="n">
        <v>12.87</v>
      </c>
      <c r="R3739" t="n">
        <v>718.6799999999999</v>
      </c>
      <c r="S3739" t="n">
        <v>377.85</v>
      </c>
      <c r="T3739" t="n">
        <v>0</v>
      </c>
      <c r="U3739" t="n">
        <v>1850.76</v>
      </c>
      <c r="X3739" t="inlineStr">
        <is>
          <t>acoa-apeca</t>
        </is>
      </c>
      <c r="Y3739" t="inlineStr">
        <is>
          <t>Atlantic Canada Opportunities Agency | Agence de promotion économique du Canada atlantique</t>
        </is>
      </c>
    </row>
    <row r="3740">
      <c r="A3740" t="inlineStr">
        <is>
          <t>T-2013-Q1-00028</t>
        </is>
      </c>
      <c r="B3740" t="inlineStr">
        <is>
          <t>SLE</t>
        </is>
      </c>
      <c r="C3740" t="inlineStr">
        <is>
          <t>Vice-President, Newfoundland and Labrador</t>
        </is>
      </c>
      <c r="D3740" t="inlineStr">
        <is>
          <t>Vice-président, Terre-Neuve-et-Labrador</t>
        </is>
      </c>
      <c r="E3740" t="inlineStr">
        <is>
          <t>Paul Mills</t>
        </is>
      </c>
      <c r="F3740" t="inlineStr">
        <is>
          <t>Meetings with President and vice-presidents</t>
        </is>
      </c>
      <c r="G3740" t="inlineStr">
        <is>
          <t>Réunions avec le président et les vice-présidents</t>
        </is>
      </c>
      <c r="H3740" s="1" t="n">
        <v>40994</v>
      </c>
      <c r="I3740" s="1" t="n">
        <v>40995</v>
      </c>
      <c r="J3740" t="inlineStr">
        <is>
          <t>Ottawa, Ontario</t>
        </is>
      </c>
      <c r="K3740" t="inlineStr">
        <is>
          <t>Ottawa (Ontario)</t>
        </is>
      </c>
      <c r="P3740" t="n">
        <v>1368.14</v>
      </c>
      <c r="Q3740" t="n">
        <v>129</v>
      </c>
      <c r="R3740" t="n">
        <v>177.41</v>
      </c>
      <c r="S3740" t="n">
        <v>159.75</v>
      </c>
      <c r="T3740" t="n">
        <v>8.529999999999999</v>
      </c>
      <c r="U3740" t="n">
        <v>1842.83</v>
      </c>
      <c r="X3740" t="inlineStr">
        <is>
          <t>acoa-apeca</t>
        </is>
      </c>
      <c r="Y3740" t="inlineStr">
        <is>
          <t>Atlantic Canada Opportunities Agency | Agence de promotion économique du Canada atlantique</t>
        </is>
      </c>
    </row>
    <row r="3741">
      <c r="A3741" t="inlineStr">
        <is>
          <t>T-2013-Q1-00026</t>
        </is>
      </c>
      <c r="B3741" t="inlineStr">
        <is>
          <t>SLE</t>
        </is>
      </c>
      <c r="C3741" t="inlineStr">
        <is>
          <t>Vice-President, New Brunswick</t>
        </is>
      </c>
      <c r="D3741" t="inlineStr">
        <is>
          <t>Vice-présidente, Nouveau-Brunswick</t>
        </is>
      </c>
      <c r="E3741" t="inlineStr">
        <is>
          <t>Janet Gagnon</t>
        </is>
      </c>
      <c r="F3741" t="inlineStr">
        <is>
          <t>Meeting with New Brunswick Economic Council</t>
        </is>
      </c>
      <c r="G3741" t="inlineStr">
        <is>
          <t>Réunion avec le Conseil économique du Nouveau-Brunswick</t>
        </is>
      </c>
      <c r="H3741" s="1" t="n">
        <v>40988</v>
      </c>
      <c r="I3741" s="1" t="n">
        <v>40989</v>
      </c>
      <c r="J3741" t="inlineStr">
        <is>
          <t>Moncton, New Brunswick</t>
        </is>
      </c>
      <c r="K3741" t="inlineStr">
        <is>
          <t>Moncton (Nouveau-Brunswick)</t>
        </is>
      </c>
      <c r="P3741" t="n">
        <v>0</v>
      </c>
      <c r="Q3741" t="n">
        <v>0</v>
      </c>
      <c r="R3741" t="n">
        <v>162.72</v>
      </c>
      <c r="S3741" t="n">
        <v>89.5</v>
      </c>
      <c r="T3741" t="n">
        <v>44.14</v>
      </c>
      <c r="U3741" t="n">
        <v>296.36</v>
      </c>
      <c r="X3741" t="inlineStr">
        <is>
          <t>acoa-apeca</t>
        </is>
      </c>
      <c r="Y3741" t="inlineStr">
        <is>
          <t>Atlantic Canada Opportunities Agency | Agence de promotion économique du Canada atlantique</t>
        </is>
      </c>
    </row>
    <row r="3742">
      <c r="A3742" t="inlineStr">
        <is>
          <t>T-2013-Q1-00025</t>
        </is>
      </c>
      <c r="B3742" t="inlineStr">
        <is>
          <t>SLE</t>
        </is>
      </c>
      <c r="C3742" t="inlineStr">
        <is>
          <t>Vice-President, Prince Edward Island</t>
        </is>
      </c>
      <c r="D3742" t="inlineStr">
        <is>
          <t>Vice-président, Île-du-Prince-Édouard</t>
        </is>
      </c>
      <c r="E3742" t="inlineStr">
        <is>
          <t>Patrick Dorsey</t>
        </is>
      </c>
      <c r="F3742" t="inlineStr">
        <is>
          <t>Meetings with Agency officials</t>
        </is>
      </c>
      <c r="G3742" t="inlineStr">
        <is>
          <t>Réunions avec des fonctionnaires de l'Agence</t>
        </is>
      </c>
      <c r="H3742" s="1" t="n">
        <v>40988</v>
      </c>
      <c r="I3742" s="1" t="n">
        <v>40988</v>
      </c>
      <c r="J3742" t="inlineStr">
        <is>
          <t>Moncton, New Brunswick</t>
        </is>
      </c>
      <c r="K3742" t="inlineStr">
        <is>
          <t>Moncton (Nouveau-Brunswick)</t>
        </is>
      </c>
      <c r="P3742" t="n">
        <v>0</v>
      </c>
      <c r="Q3742" t="n">
        <v>52.25</v>
      </c>
      <c r="R3742" t="n">
        <v>0</v>
      </c>
      <c r="S3742" t="n">
        <v>0</v>
      </c>
      <c r="T3742" t="n">
        <v>0</v>
      </c>
      <c r="U3742" t="n">
        <v>52.25</v>
      </c>
      <c r="X3742" t="inlineStr">
        <is>
          <t>acoa-apeca</t>
        </is>
      </c>
      <c r="Y3742" t="inlineStr">
        <is>
          <t>Atlantic Canada Opportunities Agency | Agence de promotion économique du Canada atlantique</t>
        </is>
      </c>
    </row>
    <row r="3743">
      <c r="A3743" t="inlineStr">
        <is>
          <t>T-2013-Q1-00024</t>
        </is>
      </c>
      <c r="B3743" t="inlineStr">
        <is>
          <t>SLE</t>
        </is>
      </c>
      <c r="C3743" t="inlineStr">
        <is>
          <t>President</t>
        </is>
      </c>
      <c r="D3743" t="inlineStr">
        <is>
          <t>Président</t>
        </is>
      </c>
      <c r="E3743" t="inlineStr">
        <is>
          <t>Paul J. LeBlanc</t>
        </is>
      </c>
      <c r="F3743" t="inlineStr">
        <is>
          <t>Various meetings and discussions with Agency officials and Government of Canada officials</t>
        </is>
      </c>
      <c r="G3743" t="inlineStr">
        <is>
          <t>Diverses réunions et discussions avec des fonctionnaires de l'Agence et du gouvernement du Canada</t>
        </is>
      </c>
      <c r="H3743" s="1" t="n">
        <v>40988</v>
      </c>
      <c r="I3743" s="1" t="n">
        <v>40989</v>
      </c>
      <c r="J3743" t="inlineStr">
        <is>
          <t>Ottawa, Ontario</t>
        </is>
      </c>
      <c r="K3743" t="inlineStr">
        <is>
          <t>Ottawa (Ontario)</t>
        </is>
      </c>
      <c r="P3743" t="n">
        <v>741.36</v>
      </c>
      <c r="Q3743" t="n">
        <v>0</v>
      </c>
      <c r="R3743" t="n">
        <v>179.67</v>
      </c>
      <c r="S3743" t="n">
        <v>129.8</v>
      </c>
      <c r="T3743" t="n">
        <v>30</v>
      </c>
      <c r="U3743" t="n">
        <v>1080.83</v>
      </c>
      <c r="X3743" t="inlineStr">
        <is>
          <t>acoa-apeca</t>
        </is>
      </c>
      <c r="Y3743" t="inlineStr">
        <is>
          <t>Atlantic Canada Opportunities Agency | Agence de promotion économique du Canada atlantique</t>
        </is>
      </c>
    </row>
    <row r="3744">
      <c r="A3744" t="inlineStr">
        <is>
          <t>T-2013-Q1-00023</t>
        </is>
      </c>
      <c r="B3744" t="inlineStr">
        <is>
          <t>MPSES</t>
        </is>
      </c>
      <c r="C3744" t="inlineStr">
        <is>
          <t>Executive Assistant and Press Secretary</t>
        </is>
      </c>
      <c r="D3744" t="inlineStr">
        <is>
          <t>Adjointe exécutive et attaché de presse</t>
        </is>
      </c>
      <c r="E3744" t="inlineStr">
        <is>
          <t>Andrea Richer</t>
        </is>
      </c>
      <c r="F3744" t="inlineStr">
        <is>
          <t>Travel to attend various ACOA related meetings/events and to attend activities for la Francophonie</t>
        </is>
      </c>
      <c r="G3744" t="inlineStr">
        <is>
          <t>Voyage pour participer à diverses réunions et activités de l'APECA et à des activités liées au dossier de la Francophonie</t>
        </is>
      </c>
      <c r="H3744" s="1" t="n">
        <v>40987</v>
      </c>
      <c r="I3744" s="1" t="n">
        <v>40990</v>
      </c>
      <c r="J3744" t="inlineStr">
        <is>
          <t>Moncton, New Brunswick and Winnipeg, Manitoba</t>
        </is>
      </c>
      <c r="K3744" t="inlineStr">
        <is>
          <t>Moncton (Nouveau-Brunswick) et Winnipeg (Manitoba)</t>
        </is>
      </c>
      <c r="P3744" t="n">
        <v>1912.82</v>
      </c>
      <c r="Q3744" t="n">
        <v>106.56</v>
      </c>
      <c r="R3744" t="n">
        <v>445.14</v>
      </c>
      <c r="S3744" t="n">
        <v>355.1</v>
      </c>
      <c r="T3744" t="n">
        <v>0</v>
      </c>
      <c r="U3744" t="n">
        <v>2819.62</v>
      </c>
      <c r="X3744" t="inlineStr">
        <is>
          <t>acoa-apeca</t>
        </is>
      </c>
      <c r="Y3744" t="inlineStr">
        <is>
          <t>Atlantic Canada Opportunities Agency | Agence de promotion économique du Canada atlantique</t>
        </is>
      </c>
    </row>
    <row r="3745">
      <c r="A3745" t="inlineStr">
        <is>
          <t>T-2013-Q1-00022</t>
        </is>
      </c>
      <c r="B3745" t="inlineStr">
        <is>
          <t>MPSES</t>
        </is>
      </c>
      <c r="C3745" t="inlineStr">
        <is>
          <t>Minister of State</t>
        </is>
      </c>
      <c r="D3745" t="inlineStr">
        <is>
          <t>Ministre d'État</t>
        </is>
      </c>
      <c r="E3745" t="inlineStr">
        <is>
          <t>Bernard Valcourt</t>
        </is>
      </c>
      <c r="F3745" t="inlineStr">
        <is>
          <t>Meetings and annoucements for the International Francophonie Week</t>
        </is>
      </c>
      <c r="G3745" t="inlineStr">
        <is>
          <t>Rencontres et annonces dans le cadre de la Semaine internationale de la Francophonie</t>
        </is>
      </c>
      <c r="H3745" s="1" t="n">
        <v>40987</v>
      </c>
      <c r="I3745" s="1" t="n">
        <v>40990</v>
      </c>
      <c r="J3745" t="inlineStr">
        <is>
          <t>Moncton, New Brunswick and Winnipeg, Manitoba</t>
        </is>
      </c>
      <c r="K3745" t="inlineStr">
        <is>
          <t>Moncton (Nouveau-Brunswick) et Winnipeg (Manitoba)</t>
        </is>
      </c>
      <c r="P3745" t="n">
        <v>3417.07</v>
      </c>
      <c r="Q3745" t="n">
        <v>0</v>
      </c>
      <c r="R3745" t="n">
        <v>445.14</v>
      </c>
      <c r="S3745" t="n">
        <v>320.25</v>
      </c>
      <c r="T3745" t="n">
        <v>0</v>
      </c>
      <c r="U3745" t="n">
        <v>4182.46</v>
      </c>
      <c r="X3745" t="inlineStr">
        <is>
          <t>acoa-apeca</t>
        </is>
      </c>
      <c r="Y3745" t="inlineStr">
        <is>
          <t>Atlantic Canada Opportunities Agency | Agence de promotion économique du Canada atlantique</t>
        </is>
      </c>
    </row>
    <row r="3746">
      <c r="A3746" t="inlineStr">
        <is>
          <t>T-2013-Q1-00020</t>
        </is>
      </c>
      <c r="B3746" t="inlineStr">
        <is>
          <t>SLE</t>
        </is>
      </c>
      <c r="C3746" t="inlineStr">
        <is>
          <t>Vice-President, New Brunswick</t>
        </is>
      </c>
      <c r="D3746" t="inlineStr">
        <is>
          <t>Vice-présidente, Nouveau-Brunswick</t>
        </is>
      </c>
      <c r="E3746" t="inlineStr">
        <is>
          <t>Janet Gagnon</t>
        </is>
      </c>
      <c r="F3746" t="inlineStr">
        <is>
          <t>Executive Committee meeting at Head Office</t>
        </is>
      </c>
      <c r="G3746" t="inlineStr">
        <is>
          <t>Réunion du Comité de direction au siège social</t>
        </is>
      </c>
      <c r="H3746" s="1" t="n">
        <v>40983</v>
      </c>
      <c r="I3746" s="1" t="n">
        <v>40983</v>
      </c>
      <c r="J3746" t="inlineStr">
        <is>
          <t>Moncton, New Brunswick</t>
        </is>
      </c>
      <c r="K3746" t="inlineStr">
        <is>
          <t>Moncton (Nouveau-Brunswick)</t>
        </is>
      </c>
      <c r="P3746" t="n">
        <v>0</v>
      </c>
      <c r="Q3746" t="n">
        <v>0</v>
      </c>
      <c r="R3746" t="n">
        <v>0</v>
      </c>
      <c r="S3746" t="n">
        <v>40.3</v>
      </c>
      <c r="T3746" t="n">
        <v>13</v>
      </c>
      <c r="U3746" t="n">
        <v>53.3</v>
      </c>
      <c r="X3746" t="inlineStr">
        <is>
          <t>acoa-apeca</t>
        </is>
      </c>
      <c r="Y3746" t="inlineStr">
        <is>
          <t>Atlantic Canada Opportunities Agency | Agence de promotion économique du Canada atlantique</t>
        </is>
      </c>
    </row>
    <row r="3747">
      <c r="A3747" t="inlineStr">
        <is>
          <t>T-2013-Q1-00019</t>
        </is>
      </c>
      <c r="B3747" t="inlineStr">
        <is>
          <t>SLE</t>
        </is>
      </c>
      <c r="C3747" t="inlineStr">
        <is>
          <t>Vice President, Nova Scotia</t>
        </is>
      </c>
      <c r="D3747" t="inlineStr">
        <is>
          <t>Vice-président, Nouvelle-Écosse</t>
        </is>
      </c>
      <c r="E3747" t="inlineStr">
        <is>
          <t>Peter Hogan</t>
        </is>
      </c>
      <c r="F3747" t="inlineStr">
        <is>
          <t>Meeting with senior Agency officials</t>
        </is>
      </c>
      <c r="G3747" t="inlineStr">
        <is>
          <t>Réunion avec des hauts fonctionnaires de l'Agence</t>
        </is>
      </c>
      <c r="H3747" s="1" t="n">
        <v>40982</v>
      </c>
      <c r="I3747" s="1" t="n">
        <v>40983</v>
      </c>
      <c r="J3747" t="inlineStr">
        <is>
          <t>Moncton, New Brunswick</t>
        </is>
      </c>
      <c r="K3747" t="inlineStr">
        <is>
          <t>Moncton (Nouveau-Brunswick)</t>
        </is>
      </c>
      <c r="P3747" t="n">
        <v>0</v>
      </c>
      <c r="Q3747" t="n">
        <v>45</v>
      </c>
      <c r="R3747" t="n">
        <v>145.77</v>
      </c>
      <c r="S3747" t="n">
        <v>130.55</v>
      </c>
      <c r="T3747" t="n">
        <v>0</v>
      </c>
      <c r="U3747" t="n">
        <v>321.32</v>
      </c>
      <c r="X3747" t="inlineStr">
        <is>
          <t>acoa-apeca</t>
        </is>
      </c>
      <c r="Y3747" t="inlineStr">
        <is>
          <t>Atlantic Canada Opportunities Agency | Agence de promotion économique du Canada atlantique</t>
        </is>
      </c>
    </row>
    <row r="3748">
      <c r="A3748" t="inlineStr">
        <is>
          <t>T-2013-Q1-00018</t>
        </is>
      </c>
      <c r="B3748" t="inlineStr">
        <is>
          <t>SLE</t>
        </is>
      </c>
      <c r="C3748" t="inlineStr">
        <is>
          <t>Vice-President, Prince Edward Island</t>
        </is>
      </c>
      <c r="D3748" t="inlineStr">
        <is>
          <t>Vice-président, Île-du-Prince-Édouard</t>
        </is>
      </c>
      <c r="E3748" t="inlineStr">
        <is>
          <t>Patrick Dorsey</t>
        </is>
      </c>
      <c r="F3748" t="inlineStr">
        <is>
          <t>Executive Committee meeting</t>
        </is>
      </c>
      <c r="G3748" t="inlineStr">
        <is>
          <t>Réunion du Comité de direction</t>
        </is>
      </c>
      <c r="H3748" s="1" t="n">
        <v>40982</v>
      </c>
      <c r="I3748" s="1" t="n">
        <v>40983</v>
      </c>
      <c r="J3748" t="inlineStr">
        <is>
          <t>Moncton, New Brunswick</t>
        </is>
      </c>
      <c r="K3748" t="inlineStr">
        <is>
          <t>Moncton (Nouveau-Brunswick)</t>
        </is>
      </c>
      <c r="P3748" t="n">
        <v>0</v>
      </c>
      <c r="Q3748" t="n">
        <v>44.25</v>
      </c>
      <c r="R3748" t="n">
        <v>159.05</v>
      </c>
      <c r="S3748" t="n">
        <v>90.25</v>
      </c>
      <c r="T3748" t="n">
        <v>0</v>
      </c>
      <c r="U3748" t="n">
        <v>293.55</v>
      </c>
      <c r="X3748" t="inlineStr">
        <is>
          <t>acoa-apeca</t>
        </is>
      </c>
      <c r="Y3748" t="inlineStr">
        <is>
          <t>Atlantic Canada Opportunities Agency | Agence de promotion économique du Canada atlantique</t>
        </is>
      </c>
    </row>
    <row r="3749">
      <c r="A3749" t="inlineStr">
        <is>
          <t>T-2012-Q4-00062</t>
        </is>
      </c>
      <c r="B3749" t="inlineStr">
        <is>
          <t>SLE</t>
        </is>
      </c>
      <c r="C3749" t="inlineStr">
        <is>
          <t>Vice-President, New Brunswick</t>
        </is>
      </c>
      <c r="D3749" t="inlineStr">
        <is>
          <t>Vice-présidente, Nouveau-Brunswick</t>
        </is>
      </c>
      <c r="E3749" t="inlineStr">
        <is>
          <t>Janet Gagnon</t>
        </is>
      </c>
      <c r="F3749" t="inlineStr">
        <is>
          <t>Shipbuilding meeting</t>
        </is>
      </c>
      <c r="G3749" t="inlineStr">
        <is>
          <t>Réunion sur la construction navale</t>
        </is>
      </c>
      <c r="H3749" s="1" t="n">
        <v>40948</v>
      </c>
      <c r="I3749" s="1" t="n">
        <v>40949</v>
      </c>
      <c r="J3749" t="inlineStr">
        <is>
          <t>Halifax, Nova Scotia</t>
        </is>
      </c>
      <c r="K3749" t="inlineStr">
        <is>
          <t>Halifax (Nouvelle-Écosse)</t>
        </is>
      </c>
      <c r="P3749" t="n">
        <v>0</v>
      </c>
      <c r="Q3749" t="n">
        <v>77.29000000000001</v>
      </c>
      <c r="R3749" t="n">
        <v>50</v>
      </c>
      <c r="S3749" t="n">
        <v>142.45</v>
      </c>
      <c r="T3749" t="n">
        <v>39.25</v>
      </c>
      <c r="U3749" t="n">
        <v>308.99</v>
      </c>
      <c r="X3749" t="inlineStr">
        <is>
          <t>acoa-apeca</t>
        </is>
      </c>
      <c r="Y3749" t="inlineStr">
        <is>
          <t>Atlantic Canada Opportunities Agency | Agence de promotion économique du Canada atlantique</t>
        </is>
      </c>
    </row>
    <row r="3750">
      <c r="A3750" t="inlineStr">
        <is>
          <t>T-2013-Q1-00016</t>
        </is>
      </c>
      <c r="B3750" t="inlineStr">
        <is>
          <t>SLE</t>
        </is>
      </c>
      <c r="C3750" t="inlineStr">
        <is>
          <t>Vice-President, Newfoundland and Labrador</t>
        </is>
      </c>
      <c r="D3750" t="inlineStr">
        <is>
          <t>Vice-président, Terre-Neuve-et-Labrador</t>
        </is>
      </c>
      <c r="E3750" t="inlineStr">
        <is>
          <t>Paul Mills</t>
        </is>
      </c>
      <c r="F3750" t="inlineStr">
        <is>
          <t>Meeting of President and vice-presidents</t>
        </is>
      </c>
      <c r="G3750" t="inlineStr">
        <is>
          <t>Réunion du président et des vice-présidents</t>
        </is>
      </c>
      <c r="H3750" s="1" t="n">
        <v>40982</v>
      </c>
      <c r="I3750" s="1" t="n">
        <v>40984</v>
      </c>
      <c r="J3750" t="inlineStr">
        <is>
          <t>Moncton, New Brunswick</t>
        </is>
      </c>
      <c r="K3750" t="inlineStr">
        <is>
          <t>Moncton (Nouveau-Brunswick)</t>
        </is>
      </c>
      <c r="P3750" t="n">
        <v>1368.14</v>
      </c>
      <c r="Q3750" t="n">
        <v>212.61</v>
      </c>
      <c r="R3750" t="n">
        <v>285.36</v>
      </c>
      <c r="S3750" t="n">
        <v>202.75</v>
      </c>
      <c r="T3750" t="n">
        <v>109.44</v>
      </c>
      <c r="U3750" t="n">
        <v>2178.3</v>
      </c>
      <c r="X3750" t="inlineStr">
        <is>
          <t>acoa-apeca</t>
        </is>
      </c>
      <c r="Y3750" t="inlineStr">
        <is>
          <t>Atlantic Canada Opportunities Agency | Agence de promotion économique du Canada atlantique</t>
        </is>
      </c>
    </row>
    <row r="3751">
      <c r="A3751" t="inlineStr">
        <is>
          <t>T-2013-Q1-00015</t>
        </is>
      </c>
      <c r="B3751" t="inlineStr">
        <is>
          <t>SLE</t>
        </is>
      </c>
      <c r="C3751" t="inlineStr">
        <is>
          <t>Vice-President, Finance and Corporate Services</t>
        </is>
      </c>
      <c r="D3751" t="inlineStr">
        <is>
          <t>Vice-présidente, Finances et Services corporatifs</t>
        </is>
      </c>
      <c r="E3751" t="inlineStr">
        <is>
          <t>Denise Frenette</t>
        </is>
      </c>
      <c r="F3751" t="inlineStr">
        <is>
          <t xml:space="preserve">Meetings with Government of Canada officials and Agency officials </t>
        </is>
      </c>
      <c r="G3751" t="inlineStr">
        <is>
          <t xml:space="preserve">Réunions avec des fonctionnaires du gouvernement du Canada et de l'Agence </t>
        </is>
      </c>
      <c r="H3751" s="1" t="n">
        <v>40980</v>
      </c>
      <c r="I3751" s="1" t="n">
        <v>40981</v>
      </c>
      <c r="J3751" t="inlineStr">
        <is>
          <t>Ottawa, Ontario</t>
        </is>
      </c>
      <c r="K3751" t="inlineStr">
        <is>
          <t>Ottawa (Ontario)</t>
        </is>
      </c>
      <c r="P3751" t="n">
        <v>1075.76</v>
      </c>
      <c r="Q3751" t="n">
        <v>95.97</v>
      </c>
      <c r="R3751" t="n">
        <v>177.41</v>
      </c>
      <c r="S3751" t="n">
        <v>119.45</v>
      </c>
      <c r="T3751" t="n">
        <v>0</v>
      </c>
      <c r="U3751" t="n">
        <v>1468.59</v>
      </c>
      <c r="X3751" t="inlineStr">
        <is>
          <t>acoa-apeca</t>
        </is>
      </c>
      <c r="Y3751" t="inlineStr">
        <is>
          <t>Atlantic Canada Opportunities Agency | Agence de promotion économique du Canada atlantique</t>
        </is>
      </c>
    </row>
    <row r="3752">
      <c r="A3752" t="inlineStr">
        <is>
          <t>T-2013-Q1-00014</t>
        </is>
      </c>
      <c r="B3752" t="inlineStr">
        <is>
          <t>SLE</t>
        </is>
      </c>
      <c r="C3752" t="inlineStr">
        <is>
          <t>President</t>
        </is>
      </c>
      <c r="D3752" t="inlineStr">
        <is>
          <t>Président</t>
        </is>
      </c>
      <c r="E3752" t="inlineStr">
        <is>
          <t>Paul J. LeBlanc</t>
        </is>
      </c>
      <c r="F3752" t="inlineStr">
        <is>
          <t>Various meetings and discussions with Agency officials and Government of Canada officials</t>
        </is>
      </c>
      <c r="G3752" t="inlineStr">
        <is>
          <t>Diverses réunions et discussions avec des fonctionnaires de l'Agence et du gouvernement du Canada</t>
        </is>
      </c>
      <c r="H3752" s="1" t="n">
        <v>40980</v>
      </c>
      <c r="I3752" s="1" t="n">
        <v>40982</v>
      </c>
      <c r="J3752" t="inlineStr">
        <is>
          <t>Ottawa, Ontario</t>
        </is>
      </c>
      <c r="K3752" t="inlineStr">
        <is>
          <t>Ottawa (Ontario)</t>
        </is>
      </c>
      <c r="P3752" t="n">
        <v>1269.22</v>
      </c>
      <c r="Q3752" t="n">
        <v>33</v>
      </c>
      <c r="R3752" t="n">
        <v>359.34</v>
      </c>
      <c r="S3752" t="n">
        <v>217.35</v>
      </c>
      <c r="T3752" t="n">
        <v>45</v>
      </c>
      <c r="U3752" t="n">
        <v>1923.91</v>
      </c>
      <c r="X3752" t="inlineStr">
        <is>
          <t>acoa-apeca</t>
        </is>
      </c>
      <c r="Y3752" t="inlineStr">
        <is>
          <t>Atlantic Canada Opportunities Agency | Agence de promotion économique du Canada atlantique</t>
        </is>
      </c>
    </row>
    <row r="3753">
      <c r="A3753" t="inlineStr">
        <is>
          <t>T-2013-Q1-00013</t>
        </is>
      </c>
      <c r="B3753" t="inlineStr">
        <is>
          <t>SLE</t>
        </is>
      </c>
      <c r="C3753" t="inlineStr">
        <is>
          <t>Vice President, Nova Scotia</t>
        </is>
      </c>
      <c r="D3753" t="inlineStr">
        <is>
          <t>Vice-président, Nouvelle-Écosse</t>
        </is>
      </c>
      <c r="E3753" t="inlineStr">
        <is>
          <t>Peter Hogan</t>
        </is>
      </c>
      <c r="F3753" t="inlineStr">
        <is>
          <t>Atlantic Shipbuilding Action Plan information session</t>
        </is>
      </c>
      <c r="G3753" t="inlineStr">
        <is>
          <t>Séance d'information sur le Plan d'action pour la construction navale en Atlantique</t>
        </is>
      </c>
      <c r="H3753" s="1" t="n">
        <v>40979</v>
      </c>
      <c r="I3753" s="1" t="n">
        <v>40980</v>
      </c>
      <c r="J3753" t="inlineStr">
        <is>
          <t>Shelburne, Nova Scotia</t>
        </is>
      </c>
      <c r="K3753" t="inlineStr">
        <is>
          <t>Shelburne (Nouvelle-Écosse)</t>
        </is>
      </c>
      <c r="P3753" t="n">
        <v>0</v>
      </c>
      <c r="Q3753" t="n">
        <v>0</v>
      </c>
      <c r="R3753" t="n">
        <v>113.85</v>
      </c>
      <c r="S3753" t="n">
        <v>89.5</v>
      </c>
      <c r="T3753" t="n">
        <v>0</v>
      </c>
      <c r="U3753" t="n">
        <v>203.35</v>
      </c>
      <c r="X3753" t="inlineStr">
        <is>
          <t>acoa-apeca</t>
        </is>
      </c>
      <c r="Y3753" t="inlineStr">
        <is>
          <t>Atlantic Canada Opportunities Agency | Agence de promotion économique du Canada atlantique</t>
        </is>
      </c>
    </row>
    <row r="3754">
      <c r="A3754" t="inlineStr">
        <is>
          <t>T-2013-Q1-00012</t>
        </is>
      </c>
      <c r="B3754" t="inlineStr">
        <is>
          <t>MPSES</t>
        </is>
      </c>
      <c r="C3754" t="inlineStr">
        <is>
          <t>Member of Parliament</t>
        </is>
      </c>
      <c r="D3754" t="inlineStr">
        <is>
          <t>Député</t>
        </is>
      </c>
      <c r="E3754" t="inlineStr">
        <is>
          <t>Greg Kerr</t>
        </is>
      </c>
      <c r="F3754" t="inlineStr">
        <is>
          <t>Travel on behalf of MoS to attend ACOA event</t>
        </is>
      </c>
      <c r="G3754" t="inlineStr">
        <is>
          <t>Voyage pour représenter le ministre d'État à une activité de l'APECA</t>
        </is>
      </c>
      <c r="H3754" s="1" t="n">
        <v>40977</v>
      </c>
      <c r="I3754" s="1" t="n">
        <v>40978</v>
      </c>
      <c r="J3754" t="inlineStr">
        <is>
          <t>Sydney, Nova Scotia</t>
        </is>
      </c>
      <c r="K3754" t="inlineStr">
        <is>
          <t>Sydney (Nouvelle-Écosse)</t>
        </is>
      </c>
      <c r="P3754" t="n">
        <v>0</v>
      </c>
      <c r="Q3754" t="n">
        <v>609.54</v>
      </c>
      <c r="R3754" t="n">
        <v>116.13</v>
      </c>
      <c r="S3754" t="n">
        <v>134.8</v>
      </c>
      <c r="T3754" t="n">
        <v>0</v>
      </c>
      <c r="U3754" t="n">
        <v>860.47</v>
      </c>
      <c r="X3754" t="inlineStr">
        <is>
          <t>acoa-apeca</t>
        </is>
      </c>
      <c r="Y3754" t="inlineStr">
        <is>
          <t>Atlantic Canada Opportunities Agency | Agence de promotion économique du Canada atlantique</t>
        </is>
      </c>
    </row>
    <row r="3755">
      <c r="A3755" t="inlineStr">
        <is>
          <t>T-2013-Q1-00009</t>
        </is>
      </c>
      <c r="B3755" t="inlineStr">
        <is>
          <t>MPSES</t>
        </is>
      </c>
      <c r="C3755" t="inlineStr">
        <is>
          <t>Executive Assistant and Press Secretary</t>
        </is>
      </c>
      <c r="D3755" t="inlineStr">
        <is>
          <t>Adjointe exécutive et attaché de presse</t>
        </is>
      </c>
      <c r="E3755" t="inlineStr">
        <is>
          <t>Andrea Richer</t>
        </is>
      </c>
      <c r="F3755" t="inlineStr">
        <is>
          <t>Travel to accompany MoS at Boston International Seafood Show and to attend ACOA related meetings</t>
        </is>
      </c>
      <c r="G3755" t="inlineStr">
        <is>
          <t>Voyage pour accompagner le ministre d'État au Salon international des produits de la mer de Boston et à des réunions de l'APECA</t>
        </is>
      </c>
      <c r="H3755" s="1" t="n">
        <v>40977</v>
      </c>
      <c r="I3755" s="1" t="n">
        <v>40980</v>
      </c>
      <c r="J3755" t="inlineStr">
        <is>
          <t>Boston, Massachussetts</t>
        </is>
      </c>
      <c r="K3755" t="inlineStr">
        <is>
          <t>Boston (Massachussetts)</t>
        </is>
      </c>
      <c r="P3755" t="n">
        <v>1761.22</v>
      </c>
      <c r="Q3755" t="n">
        <v>0</v>
      </c>
      <c r="R3755" t="n">
        <v>780.12</v>
      </c>
      <c r="S3755" t="n">
        <v>191.68</v>
      </c>
      <c r="T3755" t="n">
        <v>0</v>
      </c>
      <c r="U3755" t="n">
        <v>2733.02</v>
      </c>
      <c r="X3755" t="inlineStr">
        <is>
          <t>acoa-apeca</t>
        </is>
      </c>
      <c r="Y3755" t="inlineStr">
        <is>
          <t>Atlantic Canada Opportunities Agency | Agence de promotion économique du Canada atlantique</t>
        </is>
      </c>
    </row>
    <row r="3756">
      <c r="A3756" t="inlineStr">
        <is>
          <t>T-2013-Q1-00008</t>
        </is>
      </c>
      <c r="B3756" t="inlineStr">
        <is>
          <t>MPSES</t>
        </is>
      </c>
      <c r="C3756" t="inlineStr">
        <is>
          <t>Minister of State</t>
        </is>
      </c>
      <c r="D3756" t="inlineStr">
        <is>
          <t>Ministre d'État</t>
        </is>
      </c>
      <c r="E3756" t="inlineStr">
        <is>
          <t>Bernard Valcourt</t>
        </is>
      </c>
      <c r="F3756" t="inlineStr">
        <is>
          <t>To attend the International Boston Seafood Show</t>
        </is>
      </c>
      <c r="G3756" t="inlineStr">
        <is>
          <t>Pour participer au Salon international des produits de la mer de Boston</t>
        </is>
      </c>
      <c r="H3756" s="1" t="n">
        <v>40977</v>
      </c>
      <c r="I3756" s="1" t="n">
        <v>40980</v>
      </c>
      <c r="J3756" t="inlineStr">
        <is>
          <t>Boston, Massachussetts</t>
        </is>
      </c>
      <c r="K3756" t="inlineStr">
        <is>
          <t>Boston (Massachussets)</t>
        </is>
      </c>
      <c r="P3756" t="n">
        <v>1761.22</v>
      </c>
      <c r="Q3756" t="n">
        <v>0</v>
      </c>
      <c r="R3756" t="n">
        <v>780.12</v>
      </c>
      <c r="S3756" t="n">
        <v>191.68</v>
      </c>
      <c r="T3756" t="n">
        <v>27.34</v>
      </c>
      <c r="U3756" t="n">
        <v>2760.36</v>
      </c>
      <c r="X3756" t="inlineStr">
        <is>
          <t>acoa-apeca</t>
        </is>
      </c>
      <c r="Y3756" t="inlineStr">
        <is>
          <t>Atlantic Canada Opportunities Agency | Agence de promotion économique du Canada atlantique</t>
        </is>
      </c>
    </row>
    <row r="3757">
      <c r="A3757" t="inlineStr">
        <is>
          <t>T-2013-Q1-00007</t>
        </is>
      </c>
      <c r="B3757" t="inlineStr">
        <is>
          <t>SLE</t>
        </is>
      </c>
      <c r="C3757" t="inlineStr">
        <is>
          <t>Vice-President, New Brunswick</t>
        </is>
      </c>
      <c r="D3757" t="inlineStr">
        <is>
          <t>Vice-présidente, Nouveau-Brunswick</t>
        </is>
      </c>
      <c r="E3757" t="inlineStr">
        <is>
          <t>Janet Gagnon</t>
        </is>
      </c>
      <c r="F3757" t="inlineStr">
        <is>
          <t>National Managers Community meeting and Assistant Deputy Ministers' Board meeting</t>
        </is>
      </c>
      <c r="G3757" t="inlineStr">
        <is>
          <t>Réunion de la Communauté nationale des gestionnaires et réunion du conseil des sous-ministres adjoints</t>
        </is>
      </c>
      <c r="H3757" s="1" t="n">
        <v>40975</v>
      </c>
      <c r="I3757" s="1" t="n">
        <v>40976</v>
      </c>
      <c r="J3757" t="inlineStr">
        <is>
          <t>Ottawa, Ontario</t>
        </is>
      </c>
      <c r="K3757" t="inlineStr">
        <is>
          <t>Ottawa (Ontario)</t>
        </is>
      </c>
      <c r="P3757" t="n">
        <v>230</v>
      </c>
      <c r="Q3757" t="n">
        <v>20</v>
      </c>
      <c r="R3757" t="n">
        <v>177.41</v>
      </c>
      <c r="S3757" t="n">
        <v>159.75</v>
      </c>
      <c r="T3757" t="n">
        <v>86.53</v>
      </c>
      <c r="U3757" t="n">
        <v>673.6900000000001</v>
      </c>
      <c r="X3757" t="inlineStr">
        <is>
          <t>acoa-apeca</t>
        </is>
      </c>
      <c r="Y3757" t="inlineStr">
        <is>
          <t>Atlantic Canada Opportunities Agency | Agence de promotion économique du Canada atlantique</t>
        </is>
      </c>
    </row>
    <row r="3758">
      <c r="A3758" t="inlineStr">
        <is>
          <t>T-2013-Q1-00005</t>
        </is>
      </c>
      <c r="B3758" t="inlineStr">
        <is>
          <t>SLE</t>
        </is>
      </c>
      <c r="C3758" t="inlineStr">
        <is>
          <t>Vice-President, New Brunswick</t>
        </is>
      </c>
      <c r="D3758" t="inlineStr">
        <is>
          <t>Vice-présidente, Nouveau-Brunswick</t>
        </is>
      </c>
      <c r="E3758" t="inlineStr">
        <is>
          <t>Janet Gagnon</t>
        </is>
      </c>
      <c r="F3758" t="inlineStr">
        <is>
          <t>Northern NB Strategy meeting</t>
        </is>
      </c>
      <c r="G3758" t="inlineStr">
        <is>
          <t>Réunion sur la stratégie pour la région du Nord du Nouveau-Brunswick</t>
        </is>
      </c>
      <c r="H3758" s="1" t="n">
        <v>40974</v>
      </c>
      <c r="I3758" s="1" t="n">
        <v>40974</v>
      </c>
      <c r="J3758" t="inlineStr">
        <is>
          <t>Fredericton, New Brunswick</t>
        </is>
      </c>
      <c r="K3758" t="inlineStr">
        <is>
          <t>Fredericton (Nouveau-Brunswick)</t>
        </is>
      </c>
      <c r="P3758" t="n">
        <v>0</v>
      </c>
      <c r="Q3758" t="n">
        <v>0</v>
      </c>
      <c r="R3758" t="n">
        <v>0</v>
      </c>
      <c r="S3758" t="n">
        <v>12.76</v>
      </c>
      <c r="T3758" t="n">
        <v>0</v>
      </c>
      <c r="U3758" t="n">
        <v>12.76</v>
      </c>
      <c r="X3758" t="inlineStr">
        <is>
          <t>acoa-apeca</t>
        </is>
      </c>
      <c r="Y3758" t="inlineStr">
        <is>
          <t>Atlantic Canada Opportunities Agency | Agence de promotion économique du Canada atlantique</t>
        </is>
      </c>
    </row>
    <row r="3759">
      <c r="A3759" t="inlineStr">
        <is>
          <t>T-2013-Q1-00003</t>
        </is>
      </c>
      <c r="B3759" t="inlineStr">
        <is>
          <t>SLE</t>
        </is>
      </c>
      <c r="C3759" t="inlineStr">
        <is>
          <t>President</t>
        </is>
      </c>
      <c r="D3759" t="inlineStr">
        <is>
          <t>Président</t>
        </is>
      </c>
      <c r="E3759" t="inlineStr">
        <is>
          <t>Paul J. LeBlanc</t>
        </is>
      </c>
      <c r="F3759" t="inlineStr">
        <is>
          <t>Various meetings and discussions with Agency officials and Government of Canada officials</t>
        </is>
      </c>
      <c r="G3759" t="inlineStr">
        <is>
          <t>Diverses réunions et discussions avec des fonctionnaires de l'Agence et du gouvernement du Canada</t>
        </is>
      </c>
      <c r="H3759" s="1" t="n">
        <v>40973</v>
      </c>
      <c r="I3759" s="1" t="n">
        <v>40976</v>
      </c>
      <c r="J3759" t="inlineStr">
        <is>
          <t>Ottawa, Ontario</t>
        </is>
      </c>
      <c r="K3759" t="inlineStr">
        <is>
          <t>Ottawa (Ontario)</t>
        </is>
      </c>
      <c r="P3759" t="n">
        <v>1740.55</v>
      </c>
      <c r="Q3759" t="n">
        <v>25.74</v>
      </c>
      <c r="R3759" t="n">
        <v>539.01</v>
      </c>
      <c r="S3759" t="n">
        <v>289.55</v>
      </c>
      <c r="T3759" t="n">
        <v>0</v>
      </c>
      <c r="U3759" t="n">
        <v>2594.85</v>
      </c>
      <c r="X3759" t="inlineStr">
        <is>
          <t>acoa-apeca</t>
        </is>
      </c>
      <c r="Y3759" t="inlineStr">
        <is>
          <t>Atlantic Canada Opportunities Agency | Agence de promotion économique du Canada atlantique</t>
        </is>
      </c>
    </row>
    <row r="3760">
      <c r="A3760" t="inlineStr">
        <is>
          <t>T-2013-Q1-00002</t>
        </is>
      </c>
      <c r="B3760" t="inlineStr">
        <is>
          <t>MPSES</t>
        </is>
      </c>
      <c r="C3760" t="inlineStr">
        <is>
          <t>Executive Assistant and Press Secretary</t>
        </is>
      </c>
      <c r="D3760" t="inlineStr">
        <is>
          <t>Adjointe exécutive et attaché de presse</t>
        </is>
      </c>
      <c r="E3760" t="inlineStr">
        <is>
          <t>Andrea Richer</t>
        </is>
      </c>
      <c r="F3760" t="inlineStr">
        <is>
          <t>Travel to accompany MoS at ACOA related meetings and announcements</t>
        </is>
      </c>
      <c r="G3760" t="inlineStr">
        <is>
          <t>Voyage pour accompagner le ministre d'État à des réunions et à des annonces de l'APECA</t>
        </is>
      </c>
      <c r="H3760" s="1" t="n">
        <v>40972</v>
      </c>
      <c r="I3760" s="1" t="n">
        <v>40973</v>
      </c>
      <c r="J3760" t="inlineStr">
        <is>
          <t>St. John's,  Newfoundland and Labrador</t>
        </is>
      </c>
      <c r="K3760" t="inlineStr">
        <is>
          <t>St. John's (Terre-Neuve-et-Labrador)</t>
        </is>
      </c>
      <c r="P3760" t="n">
        <v>1329.99</v>
      </c>
      <c r="Q3760" t="n">
        <v>31</v>
      </c>
      <c r="R3760" t="n">
        <v>151.96</v>
      </c>
      <c r="S3760" t="n">
        <v>87.55</v>
      </c>
      <c r="T3760" t="n">
        <v>0</v>
      </c>
      <c r="U3760" t="n">
        <v>1600.5</v>
      </c>
      <c r="X3760" t="inlineStr">
        <is>
          <t>acoa-apeca</t>
        </is>
      </c>
      <c r="Y3760" t="inlineStr">
        <is>
          <t>Atlantic Canada Opportunities Agency | Agence de promotion économique du Canada atlantique</t>
        </is>
      </c>
    </row>
    <row r="3761">
      <c r="A3761" t="inlineStr">
        <is>
          <t>T-2013-Q1-00001</t>
        </is>
      </c>
      <c r="B3761" t="inlineStr">
        <is>
          <t>MPSES</t>
        </is>
      </c>
      <c r="C3761" t="inlineStr">
        <is>
          <t>Minister of State</t>
        </is>
      </c>
      <c r="D3761" t="inlineStr">
        <is>
          <t>Ministre d'État</t>
        </is>
      </c>
      <c r="E3761" t="inlineStr">
        <is>
          <t>Bernard Valcourt</t>
        </is>
      </c>
      <c r="F3761" t="inlineStr">
        <is>
          <t>Travel for ACOA annoucements</t>
        </is>
      </c>
      <c r="G3761" t="inlineStr">
        <is>
          <t>Voyage pour annonces de l'APECA</t>
        </is>
      </c>
      <c r="H3761" s="1" t="n">
        <v>40972</v>
      </c>
      <c r="I3761" s="1" t="n">
        <v>40973</v>
      </c>
      <c r="J3761" t="inlineStr">
        <is>
          <t>St. John's, Newfoundland and Labrador</t>
        </is>
      </c>
      <c r="K3761" t="inlineStr">
        <is>
          <t>St. John's (Terre-Neuve-et-Labrador)</t>
        </is>
      </c>
      <c r="P3761" t="n">
        <v>1817.02</v>
      </c>
      <c r="Q3761" t="n">
        <v>0</v>
      </c>
      <c r="R3761" t="n">
        <v>151.96</v>
      </c>
      <c r="S3761" t="n">
        <v>87.55</v>
      </c>
      <c r="T3761" t="n">
        <v>0</v>
      </c>
      <c r="U3761" t="n">
        <v>2056.53</v>
      </c>
      <c r="X3761" t="inlineStr">
        <is>
          <t>acoa-apeca</t>
        </is>
      </c>
      <c r="Y3761" t="inlineStr">
        <is>
          <t>Atlantic Canada Opportunities Agency | Agence de promotion économique du Canada atlantique</t>
        </is>
      </c>
    </row>
    <row r="3762">
      <c r="A3762" t="inlineStr">
        <is>
          <t>T-2012-Q4-00084</t>
        </is>
      </c>
      <c r="B3762" t="inlineStr">
        <is>
          <t>SLE</t>
        </is>
      </c>
      <c r="C3762" t="inlineStr">
        <is>
          <t>Vice President, Nova Scotia</t>
        </is>
      </c>
      <c r="D3762" t="inlineStr">
        <is>
          <t>Vice-président, Nouvelle-Écosse</t>
        </is>
      </c>
      <c r="E3762" t="inlineStr">
        <is>
          <t>Peter Hogan</t>
        </is>
      </c>
      <c r="F3762" t="inlineStr">
        <is>
          <t>Meeting with Agency officials</t>
        </is>
      </c>
      <c r="G3762" t="inlineStr">
        <is>
          <t>Réunion avec des fonctionnaires de l'Agence</t>
        </is>
      </c>
      <c r="H3762" s="1" t="n">
        <v>40969</v>
      </c>
      <c r="I3762" s="1" t="n">
        <v>40969</v>
      </c>
      <c r="J3762" t="inlineStr">
        <is>
          <t>Moncton, New Brunswick</t>
        </is>
      </c>
      <c r="K3762" t="inlineStr">
        <is>
          <t>Moncton (Nouveau-Brunswick)</t>
        </is>
      </c>
      <c r="P3762" t="n">
        <v>0</v>
      </c>
      <c r="Q3762" t="n">
        <v>6</v>
      </c>
      <c r="R3762" t="n">
        <v>0</v>
      </c>
      <c r="S3762" t="n">
        <v>54.9</v>
      </c>
      <c r="T3762" t="n">
        <v>0</v>
      </c>
      <c r="U3762" t="n">
        <v>60.9</v>
      </c>
      <c r="X3762" t="inlineStr">
        <is>
          <t>acoa-apeca</t>
        </is>
      </c>
      <c r="Y3762" t="inlineStr">
        <is>
          <t>Atlantic Canada Opportunities Agency | Agence de promotion économique du Canada atlantique</t>
        </is>
      </c>
    </row>
    <row r="3763">
      <c r="A3763" t="inlineStr">
        <is>
          <t>T-2012-Q4-00082</t>
        </is>
      </c>
      <c r="B3763" t="inlineStr">
        <is>
          <t>SLE</t>
        </is>
      </c>
      <c r="C3763" t="inlineStr">
        <is>
          <t>President</t>
        </is>
      </c>
      <c r="D3763" t="inlineStr">
        <is>
          <t>Président</t>
        </is>
      </c>
      <c r="E3763" t="inlineStr">
        <is>
          <t>Paul J. LeBlanc</t>
        </is>
      </c>
      <c r="F3763" t="inlineStr">
        <is>
          <t>Various meetings and discussions with Agency officials and Government of Canada officials</t>
        </is>
      </c>
      <c r="G3763" t="inlineStr">
        <is>
          <t>Diverses réunions et discussions avec des fonctionnaires de l'Agence et du gouvernement du Canada</t>
        </is>
      </c>
      <c r="H3763" s="1" t="n">
        <v>40965</v>
      </c>
      <c r="I3763" s="1" t="n">
        <v>40968</v>
      </c>
      <c r="J3763" t="inlineStr">
        <is>
          <t>Ottawa, Ontario</t>
        </is>
      </c>
      <c r="K3763" t="inlineStr">
        <is>
          <t>Ottawa (Ontario)</t>
        </is>
      </c>
      <c r="P3763" t="n">
        <v>775.6799999999999</v>
      </c>
      <c r="Q3763" t="n">
        <v>25.74</v>
      </c>
      <c r="R3763" t="n">
        <v>539.01</v>
      </c>
      <c r="S3763" t="n">
        <v>304.9</v>
      </c>
      <c r="T3763" t="n">
        <v>56.5</v>
      </c>
      <c r="U3763" t="n">
        <v>1701.83</v>
      </c>
      <c r="X3763" t="inlineStr">
        <is>
          <t>acoa-apeca</t>
        </is>
      </c>
      <c r="Y3763" t="inlineStr">
        <is>
          <t>Atlantic Canada Opportunities Agency | Agence de promotion économique du Canada atlantique</t>
        </is>
      </c>
    </row>
    <row r="3764">
      <c r="A3764" t="inlineStr">
        <is>
          <t>T-2012-Q4-00081</t>
        </is>
      </c>
      <c r="B3764" t="inlineStr">
        <is>
          <t>SLE</t>
        </is>
      </c>
      <c r="C3764" t="inlineStr">
        <is>
          <t>Vice-President, New Brunswick</t>
        </is>
      </c>
      <c r="D3764" t="inlineStr">
        <is>
          <t>Vice-présidente, Nouveau-Brunswick</t>
        </is>
      </c>
      <c r="E3764" t="inlineStr">
        <is>
          <t>Janet Gagnon</t>
        </is>
      </c>
      <c r="F3764" t="inlineStr">
        <is>
          <t>Meeting with ACOA President</t>
        </is>
      </c>
      <c r="G3764" t="inlineStr">
        <is>
          <t>Réunion avec le président de l'APECA</t>
        </is>
      </c>
      <c r="H3764" s="1" t="n">
        <v>40962</v>
      </c>
      <c r="I3764" s="1" t="n">
        <v>40962</v>
      </c>
      <c r="J3764" t="inlineStr">
        <is>
          <t>Moncton, New Brunswick</t>
        </is>
      </c>
      <c r="K3764" t="inlineStr">
        <is>
          <t>Moncton (Nouveau-Brunswick)</t>
        </is>
      </c>
      <c r="P3764" t="n">
        <v>0</v>
      </c>
      <c r="Q3764" t="n">
        <v>0</v>
      </c>
      <c r="R3764" t="n">
        <v>0</v>
      </c>
      <c r="S3764" t="n">
        <v>54.9</v>
      </c>
      <c r="T3764" t="n">
        <v>7</v>
      </c>
      <c r="U3764" t="n">
        <v>61.9</v>
      </c>
      <c r="X3764" t="inlineStr">
        <is>
          <t>acoa-apeca</t>
        </is>
      </c>
      <c r="Y3764" t="inlineStr">
        <is>
          <t>Atlantic Canada Opportunities Agency | Agence de promotion économique du Canada atlantique</t>
        </is>
      </c>
    </row>
    <row r="3765">
      <c r="A3765" t="inlineStr">
        <is>
          <t>T-2012-Q4-00080</t>
        </is>
      </c>
      <c r="B3765" t="inlineStr">
        <is>
          <t>SLE</t>
        </is>
      </c>
      <c r="C3765" t="inlineStr">
        <is>
          <t>Vice President, Nova Scotia</t>
        </is>
      </c>
      <c r="D3765" t="inlineStr">
        <is>
          <t>Vice-président, Nouvelle-Écosse</t>
        </is>
      </c>
      <c r="E3765" t="inlineStr">
        <is>
          <t>Peter Hogan</t>
        </is>
      </c>
      <c r="F3765" t="inlineStr">
        <is>
          <t>Various meetings with Agency officials in Ottawa and Canadian Embassy information sessions in Washington, DC.</t>
        </is>
      </c>
      <c r="G3765" t="inlineStr">
        <is>
          <t>Diverses réunions avec des fonctionnaires de l'APECA à Ottawa et séances d'information de l'ambassade du Canada à Washington (D.C.)</t>
        </is>
      </c>
      <c r="H3765" s="1" t="n">
        <v>40960</v>
      </c>
      <c r="I3765" s="1" t="n">
        <v>40963</v>
      </c>
      <c r="J3765" t="inlineStr">
        <is>
          <t>Ottawa, Ontario; Washington, DC, USA and Ottawa, Ontario</t>
        </is>
      </c>
      <c r="K3765" t="inlineStr">
        <is>
          <t>Ottawa (Ontario); Washington, D.C. (É.-U.) et Ottawa (Ontario)</t>
        </is>
      </c>
      <c r="P3765" t="n">
        <v>2337.45</v>
      </c>
      <c r="Q3765" t="n">
        <v>297.21</v>
      </c>
      <c r="R3765" t="n">
        <v>781.87</v>
      </c>
      <c r="S3765" t="n">
        <v>338.75</v>
      </c>
      <c r="T3765" t="n">
        <v>0</v>
      </c>
      <c r="U3765" t="n">
        <v>3755.28</v>
      </c>
      <c r="X3765" t="inlineStr">
        <is>
          <t>acoa-apeca</t>
        </is>
      </c>
      <c r="Y3765" t="inlineStr">
        <is>
          <t>Atlantic Canada Opportunities Agency | Agence de promotion économique du Canada atlantique</t>
        </is>
      </c>
    </row>
    <row r="3766">
      <c r="A3766" t="inlineStr">
        <is>
          <t>T-2012-Q4-00079</t>
        </is>
      </c>
      <c r="B3766" t="inlineStr">
        <is>
          <t>SLE</t>
        </is>
      </c>
      <c r="C3766" t="inlineStr">
        <is>
          <t>Vice-President, New Brunswick</t>
        </is>
      </c>
      <c r="D3766" t="inlineStr">
        <is>
          <t>Vice-présidente, Nouveau-Brunswick</t>
        </is>
      </c>
      <c r="E3766" t="inlineStr">
        <is>
          <t>Janet Gagnon</t>
        </is>
      </c>
      <c r="F3766" t="inlineStr">
        <is>
          <t>Northern New Brunswick Focus Meeting in Bathurst</t>
        </is>
      </c>
      <c r="G3766" t="inlineStr">
        <is>
          <t>Réunion axée sur le nord du Nouveau-Brunswick à Bathurst</t>
        </is>
      </c>
      <c r="H3766" s="1" t="n">
        <v>40959</v>
      </c>
      <c r="I3766" s="1" t="n">
        <v>40960</v>
      </c>
      <c r="J3766" t="inlineStr">
        <is>
          <t>Bathurst, New Brunswick</t>
        </is>
      </c>
      <c r="K3766" t="inlineStr">
        <is>
          <t>Bathurst (Nouveau-Brunswick)</t>
        </is>
      </c>
      <c r="P3766" t="n">
        <v>0</v>
      </c>
      <c r="Q3766" t="n">
        <v>91.3</v>
      </c>
      <c r="R3766" t="n">
        <v>100.57</v>
      </c>
      <c r="S3766" t="n">
        <v>145.15</v>
      </c>
      <c r="T3766" t="n">
        <v>0</v>
      </c>
      <c r="U3766" t="n">
        <v>337.02</v>
      </c>
      <c r="X3766" t="inlineStr">
        <is>
          <t>acoa-apeca</t>
        </is>
      </c>
      <c r="Y3766" t="inlineStr">
        <is>
          <t>Atlantic Canada Opportunities Agency | Agence de promotion économique du Canada atlantique</t>
        </is>
      </c>
    </row>
    <row r="3767">
      <c r="A3767" t="inlineStr">
        <is>
          <t>T-2012-Q4-00077</t>
        </is>
      </c>
      <c r="B3767" t="inlineStr">
        <is>
          <t>MPSES</t>
        </is>
      </c>
      <c r="C3767" t="inlineStr">
        <is>
          <t>Executive Assistant and Press Secretary</t>
        </is>
      </c>
      <c r="D3767" t="inlineStr">
        <is>
          <t>Adjointe exécutive et attaché de presse</t>
        </is>
      </c>
      <c r="E3767" t="inlineStr">
        <is>
          <t>Andrea Richer</t>
        </is>
      </c>
      <c r="F3767" t="inlineStr">
        <is>
          <t>Travel with MoS to attend ACOA meetings and announcement</t>
        </is>
      </c>
      <c r="G3767" t="inlineStr">
        <is>
          <t>Voyage pour assister à des réunions et à une annonce de l'APECA avec le ministre d'État</t>
        </is>
      </c>
      <c r="H3767" s="1" t="n">
        <v>40959</v>
      </c>
      <c r="I3767" s="1" t="n">
        <v>40960</v>
      </c>
      <c r="J3767" t="inlineStr">
        <is>
          <t>Bathurst, New Brunswick</t>
        </is>
      </c>
      <c r="K3767" t="inlineStr">
        <is>
          <t>Bathurst (Nouveau-Brunswick)</t>
        </is>
      </c>
      <c r="P3767" t="n">
        <v>941.9</v>
      </c>
      <c r="Q3767" t="n">
        <v>57.35</v>
      </c>
      <c r="R3767" t="n">
        <v>99.44</v>
      </c>
      <c r="S3767" t="n">
        <v>113.25</v>
      </c>
      <c r="T3767" t="n">
        <v>0</v>
      </c>
      <c r="U3767" t="n">
        <v>1211.94</v>
      </c>
      <c r="X3767" t="inlineStr">
        <is>
          <t>acoa-apeca</t>
        </is>
      </c>
      <c r="Y3767" t="inlineStr">
        <is>
          <t>Atlantic Canada Opportunities Agency | Agence de promotion économique du Canada atlantique</t>
        </is>
      </c>
    </row>
    <row r="3768">
      <c r="A3768" t="inlineStr">
        <is>
          <t>T-2012-Q4-00072</t>
        </is>
      </c>
      <c r="B3768" t="inlineStr">
        <is>
          <t>SLE</t>
        </is>
      </c>
      <c r="C3768" t="inlineStr">
        <is>
          <t>Vice-President, New Brunswick</t>
        </is>
      </c>
      <c r="D3768" t="inlineStr">
        <is>
          <t>Vice-présidente, Nouveau-Brunswick</t>
        </is>
      </c>
      <c r="E3768" t="inlineStr">
        <is>
          <t>Janet Gagnon</t>
        </is>
      </c>
      <c r="F3768" t="inlineStr">
        <is>
          <t>Executive Committee meeting</t>
        </is>
      </c>
      <c r="G3768" t="inlineStr">
        <is>
          <t>Réunion du Comité de direction</t>
        </is>
      </c>
      <c r="H3768" s="1" t="n">
        <v>40955</v>
      </c>
      <c r="I3768" s="1" t="n">
        <v>40955</v>
      </c>
      <c r="J3768" t="inlineStr">
        <is>
          <t>Moncton, New Brunswick</t>
        </is>
      </c>
      <c r="K3768" t="inlineStr">
        <is>
          <t>Moncton (Nouveau-Brunswick)</t>
        </is>
      </c>
      <c r="P3768" t="n">
        <v>0</v>
      </c>
      <c r="Q3768" t="n">
        <v>82.77</v>
      </c>
      <c r="R3768" t="n">
        <v>107.34</v>
      </c>
      <c r="S3768" t="n">
        <v>72.95</v>
      </c>
      <c r="T3768" t="n">
        <v>14</v>
      </c>
      <c r="U3768" t="n">
        <v>277.06</v>
      </c>
      <c r="X3768" t="inlineStr">
        <is>
          <t>acoa-apeca</t>
        </is>
      </c>
      <c r="Y3768" t="inlineStr">
        <is>
          <t>Atlantic Canada Opportunities Agency | Agence de promotion économique du Canada atlantique</t>
        </is>
      </c>
    </row>
    <row r="3769">
      <c r="A3769" t="inlineStr">
        <is>
          <t>T-2012-Q4-00071</t>
        </is>
      </c>
      <c r="B3769" t="inlineStr">
        <is>
          <t>SLE</t>
        </is>
      </c>
      <c r="C3769" t="inlineStr">
        <is>
          <t>Vice-President, Prince Edward Island</t>
        </is>
      </c>
      <c r="D3769" t="inlineStr">
        <is>
          <t>Vice-président, Île-du-Prince-Édouard</t>
        </is>
      </c>
      <c r="E3769" t="inlineStr">
        <is>
          <t>Patrick Dorsey</t>
        </is>
      </c>
      <c r="F3769" t="inlineStr">
        <is>
          <t>To attend an Executive Committee meeting with Agency officials</t>
        </is>
      </c>
      <c r="G3769" t="inlineStr">
        <is>
          <t>Assister à une réunion du Comité de direction avec des fonctionnaires de l'Agence</t>
        </is>
      </c>
      <c r="H3769" s="1" t="n">
        <v>40954</v>
      </c>
      <c r="I3769" s="1" t="n">
        <v>40955</v>
      </c>
      <c r="J3769" t="inlineStr">
        <is>
          <t>Moncton, New Brunswick</t>
        </is>
      </c>
      <c r="K3769" t="inlineStr">
        <is>
          <t>Moncton (Nouveau-Brunswick)</t>
        </is>
      </c>
      <c r="P3769" t="n">
        <v>0</v>
      </c>
      <c r="Q3769" t="n">
        <v>57.53</v>
      </c>
      <c r="R3769" t="n">
        <v>145.77</v>
      </c>
      <c r="S3769" t="n">
        <v>130.55</v>
      </c>
      <c r="T3769" t="n">
        <v>0</v>
      </c>
      <c r="U3769" t="n">
        <v>333.85</v>
      </c>
      <c r="X3769" t="inlineStr">
        <is>
          <t>acoa-apeca</t>
        </is>
      </c>
      <c r="Y3769" t="inlineStr">
        <is>
          <t>Atlantic Canada Opportunities Agency | Agence de promotion économique du Canada atlantique</t>
        </is>
      </c>
    </row>
    <row r="3770">
      <c r="A3770" t="inlineStr">
        <is>
          <t>T-2012-Q4-00070</t>
        </is>
      </c>
      <c r="B3770" t="inlineStr">
        <is>
          <t>SLE</t>
        </is>
      </c>
      <c r="C3770" t="inlineStr">
        <is>
          <t>Vice President, Nova Scotia</t>
        </is>
      </c>
      <c r="D3770" t="inlineStr">
        <is>
          <t>Vice-président, Nouvelle-Écosse</t>
        </is>
      </c>
      <c r="E3770" t="inlineStr">
        <is>
          <t>Peter Hogan</t>
        </is>
      </c>
      <c r="F3770" t="inlineStr">
        <is>
          <t xml:space="preserve">Executive Committee meeting </t>
        </is>
      </c>
      <c r="G3770" t="inlineStr">
        <is>
          <t>Réunion du Comité de direction</t>
        </is>
      </c>
      <c r="H3770" s="1" t="n">
        <v>40954</v>
      </c>
      <c r="I3770" s="1" t="n">
        <v>40955</v>
      </c>
      <c r="J3770" t="inlineStr">
        <is>
          <t>Moncton, New Brunswick</t>
        </is>
      </c>
      <c r="K3770" t="inlineStr">
        <is>
          <t>Moncton (Nouveau-Brunswick)</t>
        </is>
      </c>
      <c r="P3770" t="n">
        <v>0</v>
      </c>
      <c r="Q3770" t="n">
        <v>18</v>
      </c>
      <c r="R3770" t="n">
        <v>0</v>
      </c>
      <c r="S3770" t="n">
        <v>40.3</v>
      </c>
      <c r="T3770" t="n">
        <v>0</v>
      </c>
      <c r="U3770" t="n">
        <v>58.3</v>
      </c>
      <c r="X3770" t="inlineStr">
        <is>
          <t>acoa-apeca</t>
        </is>
      </c>
      <c r="Y3770" t="inlineStr">
        <is>
          <t>Atlantic Canada Opportunities Agency | Agence de promotion économique du Canada atlantique</t>
        </is>
      </c>
    </row>
    <row r="3771">
      <c r="A3771" t="inlineStr">
        <is>
          <t>T-2012-Q4-00069</t>
        </is>
      </c>
      <c r="B3771" t="inlineStr">
        <is>
          <t>SLE</t>
        </is>
      </c>
      <c r="C3771" t="inlineStr">
        <is>
          <t>Vice-President, Newfoundland and Labrador</t>
        </is>
      </c>
      <c r="D3771" t="inlineStr">
        <is>
          <t>Vice-président, Terre-Neuve-et-Labrador</t>
        </is>
      </c>
      <c r="E3771" t="inlineStr">
        <is>
          <t>Paul Mills</t>
        </is>
      </c>
      <c r="F3771" t="inlineStr">
        <is>
          <t>To attend Executive Committee meeting</t>
        </is>
      </c>
      <c r="G3771" t="inlineStr">
        <is>
          <t>Assister à une réunion du Comité de direction</t>
        </is>
      </c>
      <c r="H3771" s="1" t="n">
        <v>40954</v>
      </c>
      <c r="I3771" s="1" t="n">
        <v>40956</v>
      </c>
      <c r="J3771" t="inlineStr">
        <is>
          <t>Moncton, New Brunswick</t>
        </is>
      </c>
      <c r="K3771" t="inlineStr">
        <is>
          <t>Moncton (Nouveau-Brunswick)</t>
        </is>
      </c>
      <c r="P3771" t="n">
        <v>1377.02</v>
      </c>
      <c r="Q3771" t="n">
        <v>204.61</v>
      </c>
      <c r="R3771" t="n">
        <v>285.36</v>
      </c>
      <c r="S3771" t="n">
        <v>177.8</v>
      </c>
      <c r="T3771" t="n">
        <v>108.19</v>
      </c>
      <c r="U3771" t="n">
        <v>2152.98</v>
      </c>
      <c r="X3771" t="inlineStr">
        <is>
          <t>acoa-apeca</t>
        </is>
      </c>
      <c r="Y3771" t="inlineStr">
        <is>
          <t>Atlantic Canada Opportunities Agency | Agence de promotion économique du Canada atlantique</t>
        </is>
      </c>
    </row>
    <row r="3772">
      <c r="A3772" t="inlineStr">
        <is>
          <t>T-2012-Q4-00067</t>
        </is>
      </c>
      <c r="B3772" t="inlineStr">
        <is>
          <t>SLE</t>
        </is>
      </c>
      <c r="C3772" t="inlineStr">
        <is>
          <t>Vice-President, Finance and Corporate Services</t>
        </is>
      </c>
      <c r="D3772" t="inlineStr">
        <is>
          <t>Vice-présidente, Finances et Services corporatifs</t>
        </is>
      </c>
      <c r="E3772" t="inlineStr">
        <is>
          <t>Denise Frenette</t>
        </is>
      </c>
      <c r="F3772" t="inlineStr">
        <is>
          <t xml:space="preserve">Meetings with Government of Canada officials and Agency officials </t>
        </is>
      </c>
      <c r="G3772" t="inlineStr">
        <is>
          <t xml:space="preserve">Réunions avec des fonctionnaires du gouvernement du Canada et de l'Agence </t>
        </is>
      </c>
      <c r="H3772" s="1" t="n">
        <v>40952</v>
      </c>
      <c r="I3772" s="1" t="n">
        <v>40953</v>
      </c>
      <c r="J3772" t="inlineStr">
        <is>
          <t>Ottawa, Ontario</t>
        </is>
      </c>
      <c r="K3772" t="inlineStr">
        <is>
          <t>Ottawa (Ontario)</t>
        </is>
      </c>
      <c r="P3772" t="n">
        <v>1075.76</v>
      </c>
      <c r="Q3772" t="n">
        <v>119.44</v>
      </c>
      <c r="R3772" t="n">
        <v>177.41</v>
      </c>
      <c r="S3772" t="n">
        <v>144.4</v>
      </c>
      <c r="T3772" t="n">
        <v>0</v>
      </c>
      <c r="U3772" t="n">
        <v>1517.01</v>
      </c>
      <c r="X3772" t="inlineStr">
        <is>
          <t>acoa-apeca</t>
        </is>
      </c>
      <c r="Y3772" t="inlineStr">
        <is>
          <t>Atlantic Canada Opportunities Agency | Agence de promotion économique du Canada atlantique</t>
        </is>
      </c>
    </row>
    <row r="3773">
      <c r="A3773" t="inlineStr">
        <is>
          <t>T-2012-Q4-00066</t>
        </is>
      </c>
      <c r="B3773" t="inlineStr">
        <is>
          <t>MPSES</t>
        </is>
      </c>
      <c r="C3773" t="inlineStr">
        <is>
          <t>Minister of State</t>
        </is>
      </c>
      <c r="D3773" t="inlineStr">
        <is>
          <t>Ministre d'État</t>
        </is>
      </c>
      <c r="E3773" t="inlineStr">
        <is>
          <t>Bernard Valcourt</t>
        </is>
      </c>
      <c r="F3773" t="inlineStr">
        <is>
          <t>ACOA announcements</t>
        </is>
      </c>
      <c r="G3773" t="inlineStr">
        <is>
          <t>Annonces de l'APECA</t>
        </is>
      </c>
      <c r="H3773" s="1" t="n">
        <v>40951</v>
      </c>
      <c r="I3773" s="1" t="n">
        <v>40952</v>
      </c>
      <c r="J3773" t="inlineStr">
        <is>
          <t>Halifax, Nova Scotia</t>
        </is>
      </c>
      <c r="K3773" t="inlineStr">
        <is>
          <t>Halifax (Nouvelle-Ecosse)</t>
        </is>
      </c>
      <c r="P3773" t="n">
        <v>868.78</v>
      </c>
      <c r="Q3773" t="n">
        <v>0</v>
      </c>
      <c r="R3773" t="n">
        <v>139.59</v>
      </c>
      <c r="S3773" t="n">
        <v>72.95</v>
      </c>
      <c r="T3773" t="n">
        <v>0</v>
      </c>
      <c r="U3773" t="n">
        <v>1081.32</v>
      </c>
      <c r="X3773" t="inlineStr">
        <is>
          <t>acoa-apeca</t>
        </is>
      </c>
      <c r="Y3773" t="inlineStr">
        <is>
          <t>Atlantic Canada Opportunities Agency | Agence de promotion économique du Canada atlantique</t>
        </is>
      </c>
    </row>
    <row r="3774">
      <c r="A3774" t="inlineStr">
        <is>
          <t>T-2012-Q4-00065</t>
        </is>
      </c>
      <c r="B3774" t="inlineStr">
        <is>
          <t>MPSES</t>
        </is>
      </c>
      <c r="C3774" t="inlineStr">
        <is>
          <t>Executive Assistant and Press Secretary</t>
        </is>
      </c>
      <c r="D3774" t="inlineStr">
        <is>
          <t>Adjointe exécutive et attaché de presse</t>
        </is>
      </c>
      <c r="E3774" t="inlineStr">
        <is>
          <t>Andrea Richer</t>
        </is>
      </c>
      <c r="F3774" t="inlineStr">
        <is>
          <t>Travel with MoS to attend ACOA announcement</t>
        </is>
      </c>
      <c r="G3774" t="inlineStr">
        <is>
          <t>Voyage pour assister à une annonce de l'APECA avec le ministre d'État</t>
        </is>
      </c>
      <c r="H3774" s="1" t="n">
        <v>40951</v>
      </c>
      <c r="I3774" s="1" t="n">
        <v>40952</v>
      </c>
      <c r="J3774" t="inlineStr">
        <is>
          <t>Halifax, Nova Scotia</t>
        </is>
      </c>
      <c r="K3774" t="inlineStr">
        <is>
          <t>Halifax (Nouvelle-Écosse)</t>
        </is>
      </c>
      <c r="P3774" t="n">
        <v>1087.33</v>
      </c>
      <c r="Q3774" t="n">
        <v>56</v>
      </c>
      <c r="R3774" t="n">
        <v>139.59</v>
      </c>
      <c r="S3774" t="n">
        <v>72.95</v>
      </c>
      <c r="T3774" t="n">
        <v>0</v>
      </c>
      <c r="U3774" t="n">
        <v>1355.87</v>
      </c>
      <c r="X3774" t="inlineStr">
        <is>
          <t>acoa-apeca</t>
        </is>
      </c>
      <c r="Y3774" t="inlineStr">
        <is>
          <t>Atlantic Canada Opportunities Agency | Agence de promotion économique du Canada atlantique</t>
        </is>
      </c>
    </row>
    <row r="3775">
      <c r="A3775" t="inlineStr">
        <is>
          <t>T-2012-Q4-00064</t>
        </is>
      </c>
      <c r="B3775" t="inlineStr">
        <is>
          <t>SLE</t>
        </is>
      </c>
      <c r="C3775" t="inlineStr">
        <is>
          <t>President</t>
        </is>
      </c>
      <c r="D3775" t="inlineStr">
        <is>
          <t>Président</t>
        </is>
      </c>
      <c r="E3775" t="inlineStr">
        <is>
          <t>Paul J. LeBlanc</t>
        </is>
      </c>
      <c r="F3775" t="inlineStr">
        <is>
          <t>Various meetings and discussions with Agency officials and Government of Canada officials</t>
        </is>
      </c>
      <c r="G3775" t="inlineStr">
        <is>
          <t>Diverses réunions et discussions avec des fonctionnaires de l'Agence et du gouvernement du Canada</t>
        </is>
      </c>
      <c r="H3775" s="1" t="n">
        <v>40951</v>
      </c>
      <c r="I3775" s="1" t="n">
        <v>40954</v>
      </c>
      <c r="J3775" t="inlineStr">
        <is>
          <t>Halifax, Nova Scotia and Ottawa, Ontario</t>
        </is>
      </c>
      <c r="K3775" t="inlineStr">
        <is>
          <t>Halifax (Nouvelle-Écosse) et Ottawa (Ontario)</t>
        </is>
      </c>
      <c r="P3775" t="n">
        <v>1254.2</v>
      </c>
      <c r="Q3775" t="n">
        <v>83.73999999999999</v>
      </c>
      <c r="R3775" t="n">
        <v>498.93</v>
      </c>
      <c r="S3775" t="n">
        <v>289.55</v>
      </c>
      <c r="T3775" t="n">
        <v>113</v>
      </c>
      <c r="U3775" t="n">
        <v>2239.42</v>
      </c>
      <c r="X3775" t="inlineStr">
        <is>
          <t>acoa-apeca</t>
        </is>
      </c>
      <c r="Y3775" t="inlineStr">
        <is>
          <t>Atlantic Canada Opportunities Agency | Agence de promotion économique du Canada atlantique</t>
        </is>
      </c>
    </row>
    <row r="3776">
      <c r="A3776" t="inlineStr">
        <is>
          <t>T-2012-Q4-00060</t>
        </is>
      </c>
      <c r="B3776" t="inlineStr">
        <is>
          <t>SLE</t>
        </is>
      </c>
      <c r="C3776" t="inlineStr">
        <is>
          <t>Vice-President, New Brunswick</t>
        </is>
      </c>
      <c r="D3776" t="inlineStr">
        <is>
          <t>Vice-présidente, Nouveau-Brunswick</t>
        </is>
      </c>
      <c r="E3776" t="inlineStr">
        <is>
          <t>Janet Gagnon</t>
        </is>
      </c>
      <c r="F3776" t="inlineStr">
        <is>
          <t>Meeting with Vice-President, Finance &amp; Corporate Services D. Frenette</t>
        </is>
      </c>
      <c r="G3776" t="inlineStr">
        <is>
          <t>Réunion avec la vice-présidente des Finances et Services corporatifs, D. Frenette</t>
        </is>
      </c>
      <c r="H3776" s="1" t="n">
        <v>40947</v>
      </c>
      <c r="I3776" s="1" t="n">
        <v>40948</v>
      </c>
      <c r="J3776" t="inlineStr">
        <is>
          <t>Moncton, New Brunswick</t>
        </is>
      </c>
      <c r="K3776" t="inlineStr">
        <is>
          <t>Moncton (Nouveau-Brunswick)</t>
        </is>
      </c>
      <c r="P3776" t="n">
        <v>0</v>
      </c>
      <c r="Q3776" t="n">
        <v>29</v>
      </c>
      <c r="R3776" t="n">
        <v>162.72</v>
      </c>
      <c r="S3776" t="n">
        <v>74.90000000000001</v>
      </c>
      <c r="T3776" t="n">
        <v>4</v>
      </c>
      <c r="U3776" t="n">
        <v>270.62</v>
      </c>
      <c r="X3776" t="inlineStr">
        <is>
          <t>acoa-apeca</t>
        </is>
      </c>
      <c r="Y3776" t="inlineStr">
        <is>
          <t>Atlantic Canada Opportunities Agency | Agence de promotion économique du Canada atlantique</t>
        </is>
      </c>
    </row>
    <row r="3777">
      <c r="A3777" t="inlineStr">
        <is>
          <t>T-2012-Q4-00059</t>
        </is>
      </c>
      <c r="B3777" t="inlineStr">
        <is>
          <t>SLE</t>
        </is>
      </c>
      <c r="C3777" t="inlineStr">
        <is>
          <t>Vice-President, Newfoundland and Labrador</t>
        </is>
      </c>
      <c r="D3777" t="inlineStr">
        <is>
          <t>Vice-président, Terre-Neuve-et-Labrador</t>
        </is>
      </c>
      <c r="E3777" t="inlineStr">
        <is>
          <t>Paul Mills</t>
        </is>
      </c>
      <c r="F3777" t="inlineStr">
        <is>
          <t>To attend Directors Education Program Training</t>
        </is>
      </c>
      <c r="G3777" t="inlineStr">
        <is>
          <t>Suivre une formation du Directors Education Program</t>
        </is>
      </c>
      <c r="H3777" s="1" t="n">
        <v>40947</v>
      </c>
      <c r="I3777" s="1" t="n">
        <v>40952</v>
      </c>
      <c r="J3777" t="inlineStr">
        <is>
          <t>Toronto, Ontario</t>
        </is>
      </c>
      <c r="K3777" t="inlineStr">
        <is>
          <t>Toronto (Ontario)</t>
        </is>
      </c>
      <c r="P3777" t="n">
        <v>1377.02</v>
      </c>
      <c r="Q3777" t="n">
        <v>178</v>
      </c>
      <c r="R3777" t="n">
        <v>841.85</v>
      </c>
      <c r="S3777" t="n">
        <v>425.85</v>
      </c>
      <c r="T3777" t="n">
        <v>16.66</v>
      </c>
      <c r="U3777" t="n">
        <v>2839.38</v>
      </c>
      <c r="X3777" t="inlineStr">
        <is>
          <t>acoa-apeca</t>
        </is>
      </c>
      <c r="Y3777" t="inlineStr">
        <is>
          <t>Atlantic Canada Opportunities Agency | Agence de promotion économique du Canada atlantique</t>
        </is>
      </c>
    </row>
    <row r="3778">
      <c r="A3778" t="inlineStr">
        <is>
          <t>T-2012-Q4-00057</t>
        </is>
      </c>
      <c r="B3778" t="inlineStr">
        <is>
          <t>SLE</t>
        </is>
      </c>
      <c r="C3778" t="inlineStr">
        <is>
          <t>Vice-President, Finance and Corporate Services</t>
        </is>
      </c>
      <c r="D3778" t="inlineStr">
        <is>
          <t>Vice-présidente, Finances et Services corporatifs</t>
        </is>
      </c>
      <c r="E3778" t="inlineStr">
        <is>
          <t>Denise Frenette</t>
        </is>
      </c>
      <c r="F3778" t="inlineStr">
        <is>
          <t xml:space="preserve">Meetings with Government of Canada officials  </t>
        </is>
      </c>
      <c r="G3778" t="inlineStr">
        <is>
          <t>Réunions avec des fonctionnaires du gouvernement du Canada</t>
        </is>
      </c>
      <c r="H3778" s="1" t="n">
        <v>40946</v>
      </c>
      <c r="I3778" s="1" t="n">
        <v>40946</v>
      </c>
      <c r="J3778" t="inlineStr">
        <is>
          <t>Ottawa, Ontario</t>
        </is>
      </c>
      <c r="K3778" t="inlineStr">
        <is>
          <t>Ottawa (Ontario)</t>
        </is>
      </c>
      <c r="P3778" t="n">
        <v>1075.76</v>
      </c>
      <c r="Q3778" t="n">
        <v>84.91</v>
      </c>
      <c r="R3778" t="n">
        <v>0</v>
      </c>
      <c r="S3778" t="n">
        <v>54.9</v>
      </c>
      <c r="T3778" t="n">
        <v>0</v>
      </c>
      <c r="U3778" t="n">
        <v>1215.57</v>
      </c>
      <c r="X3778" t="inlineStr">
        <is>
          <t>acoa-apeca</t>
        </is>
      </c>
      <c r="Y3778" t="inlineStr">
        <is>
          <t>Atlantic Canada Opportunities Agency | Agence de promotion économique du Canada atlantique</t>
        </is>
      </c>
    </row>
    <row r="3779">
      <c r="A3779" t="inlineStr">
        <is>
          <t>T-2012-Q4-00056</t>
        </is>
      </c>
      <c r="B3779" t="inlineStr">
        <is>
          <t>SLE</t>
        </is>
      </c>
      <c r="C3779" t="inlineStr">
        <is>
          <t>President</t>
        </is>
      </c>
      <c r="D3779" t="inlineStr">
        <is>
          <t>Président</t>
        </is>
      </c>
      <c r="E3779" t="inlineStr">
        <is>
          <t>Paul J. LeBlanc</t>
        </is>
      </c>
      <c r="F3779" t="inlineStr">
        <is>
          <t>For various meetings and discussions with: Agency officials; with Government of Canada officials; with provincial government officials.</t>
        </is>
      </c>
      <c r="G3779" t="inlineStr">
        <is>
          <t>Diverses réunions et discussions avec des fonctionnaires de l'Agence ainsi que des fonctionnaires fédéraux et provinciaux</t>
        </is>
      </c>
      <c r="H3779" s="1" t="n">
        <v>40945</v>
      </c>
      <c r="I3779" s="1" t="n">
        <v>40949</v>
      </c>
      <c r="J3779" t="inlineStr">
        <is>
          <t>Ottawa, Ontario and Halifax, Nova Scotia</t>
        </is>
      </c>
      <c r="K3779" t="inlineStr">
        <is>
          <t>Ottawa (Ontario) et Halifax (Nouvelle-Écosse)</t>
        </is>
      </c>
      <c r="P3779" t="n">
        <v>741.36</v>
      </c>
      <c r="Q3779" t="n">
        <v>167.66</v>
      </c>
      <c r="R3779" t="n">
        <v>678.6</v>
      </c>
      <c r="S3779" t="n">
        <v>366.75</v>
      </c>
      <c r="T3779" t="n">
        <v>0</v>
      </c>
      <c r="U3779" t="n">
        <v>1954.37</v>
      </c>
      <c r="X3779" t="inlineStr">
        <is>
          <t>acoa-apeca</t>
        </is>
      </c>
      <c r="Y3779" t="inlineStr">
        <is>
          <t>Atlantic Canada Opportunities Agency | Agence de promotion économique du Canada atlantique</t>
        </is>
      </c>
    </row>
    <row r="3780">
      <c r="A3780" t="inlineStr">
        <is>
          <t>T-2012-Q4-00055</t>
        </is>
      </c>
      <c r="B3780" t="inlineStr">
        <is>
          <t>MPSES</t>
        </is>
      </c>
      <c r="C3780" t="inlineStr">
        <is>
          <t>Constituency Assistant to Robert Goguen</t>
        </is>
      </c>
      <c r="D3780" t="inlineStr">
        <is>
          <t>Adjoint de circonscription pour Robert Goguen</t>
        </is>
      </c>
      <c r="E3780" t="inlineStr">
        <is>
          <t>Mark Doiron</t>
        </is>
      </c>
      <c r="F3780" t="inlineStr">
        <is>
          <t>Travel to accompany MP Goguen for various ACOA meetings and announcements</t>
        </is>
      </c>
      <c r="G3780" t="inlineStr">
        <is>
          <t>Voyage pour accompagner le député Goguen à diverses réunions et annonces de l'APECA</t>
        </is>
      </c>
      <c r="H3780" s="1" t="n">
        <v>40941</v>
      </c>
      <c r="I3780" s="1" t="n">
        <v>40942</v>
      </c>
      <c r="J3780" t="inlineStr">
        <is>
          <t>St. John's, Newfoundland and Labrador</t>
        </is>
      </c>
      <c r="K3780" t="inlineStr">
        <is>
          <t>St. John's (Terre-Neuve-et-Labrador)</t>
        </is>
      </c>
      <c r="P3780" t="n">
        <v>1250.12</v>
      </c>
      <c r="Q3780" t="n">
        <v>0</v>
      </c>
      <c r="R3780" t="n">
        <v>149.64</v>
      </c>
      <c r="S3780" t="n">
        <v>145.15</v>
      </c>
      <c r="T3780" t="n">
        <v>0</v>
      </c>
      <c r="U3780" t="n">
        <v>1544.91</v>
      </c>
      <c r="X3780" t="inlineStr">
        <is>
          <t>acoa-apeca</t>
        </is>
      </c>
      <c r="Y3780" t="inlineStr">
        <is>
          <t>Atlantic Canada Opportunities Agency | Agence de promotion économique du Canada atlantique</t>
        </is>
      </c>
    </row>
    <row r="3781">
      <c r="A3781" t="inlineStr">
        <is>
          <t>T-2012-Q4-00054</t>
        </is>
      </c>
      <c r="B3781" t="inlineStr">
        <is>
          <t>MPSES</t>
        </is>
      </c>
      <c r="C3781" t="inlineStr">
        <is>
          <t>Member of Parliament</t>
        </is>
      </c>
      <c r="D3781" t="inlineStr">
        <is>
          <t>Député</t>
        </is>
      </c>
      <c r="E3781" t="inlineStr">
        <is>
          <t>Robert Goguen</t>
        </is>
      </c>
      <c r="F3781" t="inlineStr">
        <is>
          <t>Travel on behalf on MoS for various ACOA meetings and announcements</t>
        </is>
      </c>
      <c r="G3781" t="inlineStr">
        <is>
          <t>Voyage pour représenter le ministre d'État à diverses réunions et annonces de l'APECA</t>
        </is>
      </c>
      <c r="H3781" s="1" t="n">
        <v>40941</v>
      </c>
      <c r="I3781" s="1" t="n">
        <v>40942</v>
      </c>
      <c r="J3781" t="inlineStr">
        <is>
          <t>St. John's, Newfoundland and Labrador</t>
        </is>
      </c>
      <c r="K3781" t="inlineStr">
        <is>
          <t>St. John's (Terre-Neuve-et-Labrador)</t>
        </is>
      </c>
      <c r="P3781" t="n">
        <v>1698.08</v>
      </c>
      <c r="Q3781" t="n">
        <v>30</v>
      </c>
      <c r="R3781" t="n">
        <v>149.64</v>
      </c>
      <c r="S3781" t="n">
        <v>47.25</v>
      </c>
      <c r="T3781" t="n">
        <v>0</v>
      </c>
      <c r="U3781" t="n">
        <v>1924.97</v>
      </c>
      <c r="X3781" t="inlineStr">
        <is>
          <t>acoa-apeca</t>
        </is>
      </c>
      <c r="Y3781" t="inlineStr">
        <is>
          <t>Atlantic Canada Opportunities Agency | Agence de promotion économique du Canada atlantique</t>
        </is>
      </c>
    </row>
    <row r="3782">
      <c r="A3782" t="inlineStr">
        <is>
          <t>T-2012-Q4-00051</t>
        </is>
      </c>
      <c r="B3782" t="inlineStr">
        <is>
          <t>MPSES</t>
        </is>
      </c>
      <c r="C3782" t="inlineStr">
        <is>
          <t>Minister of State</t>
        </is>
      </c>
      <c r="D3782" t="inlineStr">
        <is>
          <t>Ministre d'État</t>
        </is>
      </c>
      <c r="E3782" t="inlineStr">
        <is>
          <t>Bernard Valcourt</t>
        </is>
      </c>
      <c r="F3782" t="inlineStr">
        <is>
          <t>Various meetings and announcements for ACOA</t>
        </is>
      </c>
      <c r="G3782" t="inlineStr">
        <is>
          <t>Diverses rencontres et annonces pour l'APECA</t>
        </is>
      </c>
      <c r="H3782" s="1" t="n">
        <v>40941</v>
      </c>
      <c r="I3782" s="1" t="n">
        <v>40943</v>
      </c>
      <c r="J3782" t="inlineStr">
        <is>
          <t>Fredericton, New Brunswick</t>
        </is>
      </c>
      <c r="K3782" t="inlineStr">
        <is>
          <t>Fredericton (Nouveau-Brunswick)</t>
        </is>
      </c>
      <c r="P3782" t="n">
        <v>952.66</v>
      </c>
      <c r="Q3782" t="n">
        <v>334.88</v>
      </c>
      <c r="R3782" t="n">
        <v>152.55</v>
      </c>
      <c r="S3782" t="n">
        <v>143.2</v>
      </c>
      <c r="T3782" t="n">
        <v>0</v>
      </c>
      <c r="U3782" t="n">
        <v>1583.29</v>
      </c>
      <c r="X3782" t="inlineStr">
        <is>
          <t>acoa-apeca</t>
        </is>
      </c>
      <c r="Y3782" t="inlineStr">
        <is>
          <t>Atlantic Canada Opportunities Agency | Agence de promotion économique du Canada atlantique</t>
        </is>
      </c>
    </row>
    <row r="3783">
      <c r="A3783" t="inlineStr">
        <is>
          <t>T-2012-Q4-00050</t>
        </is>
      </c>
      <c r="B3783" t="inlineStr">
        <is>
          <t>MPSES</t>
        </is>
      </c>
      <c r="C3783" t="inlineStr">
        <is>
          <t>Executive Assistant and Press Secretary</t>
        </is>
      </c>
      <c r="D3783" t="inlineStr">
        <is>
          <t>Adjointe exécutive et attaché de presse</t>
        </is>
      </c>
      <c r="E3783" t="inlineStr">
        <is>
          <t>Andrea Richer</t>
        </is>
      </c>
      <c r="F3783" t="inlineStr">
        <is>
          <t>Travel with MoS to attend ACOA announcements</t>
        </is>
      </c>
      <c r="G3783" t="inlineStr">
        <is>
          <t>Voyage pour assister à des annonces de l'APECA avec le ministre d'État</t>
        </is>
      </c>
      <c r="H3783" s="1" t="n">
        <v>40941</v>
      </c>
      <c r="I3783" s="1" t="n">
        <v>40943</v>
      </c>
      <c r="J3783" t="inlineStr">
        <is>
          <t>Fredericton and Edmundston, New Brunswick</t>
        </is>
      </c>
      <c r="K3783" t="inlineStr">
        <is>
          <t>Fredericton et Edmundston (Nouveau-Brunswick)</t>
        </is>
      </c>
      <c r="P3783" t="n">
        <v>952.66</v>
      </c>
      <c r="Q3783" t="n">
        <v>57.5</v>
      </c>
      <c r="R3783" t="n">
        <v>261.03</v>
      </c>
      <c r="S3783" t="n">
        <v>120.2</v>
      </c>
      <c r="T3783" t="n">
        <v>0</v>
      </c>
      <c r="U3783" t="n">
        <v>1391.39</v>
      </c>
      <c r="X3783" t="inlineStr">
        <is>
          <t>acoa-apeca</t>
        </is>
      </c>
      <c r="Y3783" t="inlineStr">
        <is>
          <t>Atlantic Canada Opportunities Agency | Agence de promotion économique du Canada atlantique</t>
        </is>
      </c>
    </row>
    <row r="3784">
      <c r="A3784" t="inlineStr">
        <is>
          <t>T-2012-Q4-00049</t>
        </is>
      </c>
      <c r="B3784" t="inlineStr">
        <is>
          <t>SLE</t>
        </is>
      </c>
      <c r="C3784" t="inlineStr">
        <is>
          <t>Vice-President, Prince Edward Island</t>
        </is>
      </c>
      <c r="D3784" t="inlineStr">
        <is>
          <t>Vice-président, Île-du-Prince-Édouard</t>
        </is>
      </c>
      <c r="E3784" t="inlineStr">
        <is>
          <t>Patrick Dorsey</t>
        </is>
      </c>
      <c r="F3784" t="inlineStr">
        <is>
          <t>To attend a meeting with Agency officials</t>
        </is>
      </c>
      <c r="G3784" t="inlineStr">
        <is>
          <t>Assister à une réunion avec des fonctionnaires de l'Agence</t>
        </is>
      </c>
      <c r="H3784" s="1" t="n">
        <v>40940</v>
      </c>
      <c r="I3784" s="1" t="n">
        <v>40942</v>
      </c>
      <c r="J3784" t="inlineStr">
        <is>
          <t>Moncton, New Brunswick</t>
        </is>
      </c>
      <c r="K3784" t="inlineStr">
        <is>
          <t>Moncton (Nouveau-Brunswick)</t>
        </is>
      </c>
      <c r="P3784" t="n">
        <v>0</v>
      </c>
      <c r="Q3784" t="n">
        <v>44.25</v>
      </c>
      <c r="R3784" t="n">
        <v>291.54</v>
      </c>
      <c r="S3784" t="n">
        <v>177.8</v>
      </c>
      <c r="T3784" t="n">
        <v>0</v>
      </c>
      <c r="U3784" t="n">
        <v>513.59</v>
      </c>
      <c r="X3784" t="inlineStr">
        <is>
          <t>acoa-apeca</t>
        </is>
      </c>
      <c r="Y3784" t="inlineStr">
        <is>
          <t>Atlantic Canada Opportunities Agency | Agence de promotion économique du Canada atlantique</t>
        </is>
      </c>
    </row>
    <row r="3785">
      <c r="A3785" t="inlineStr">
        <is>
          <t>T-2012-Q4-00047</t>
        </is>
      </c>
      <c r="B3785" t="inlineStr">
        <is>
          <t>SLE</t>
        </is>
      </c>
      <c r="C3785" t="inlineStr">
        <is>
          <t>Vice-President, Newfoundland and Labrador</t>
        </is>
      </c>
      <c r="D3785" t="inlineStr">
        <is>
          <t>Vice-président, Terre-Neuve-et-Labrador</t>
        </is>
      </c>
      <c r="E3785" t="inlineStr">
        <is>
          <t>Paul Mills</t>
        </is>
      </c>
      <c r="F3785" t="inlineStr">
        <is>
          <t>To attend meeting with President and Vice Presidents</t>
        </is>
      </c>
      <c r="G3785" t="inlineStr">
        <is>
          <t>Assister à une réunion avec le président et les vice-présidents</t>
        </is>
      </c>
      <c r="H3785" s="1" t="n">
        <v>40940</v>
      </c>
      <c r="I3785" s="1" t="n">
        <v>40942</v>
      </c>
      <c r="J3785" t="inlineStr">
        <is>
          <t>Moncton, New Brunswick</t>
        </is>
      </c>
      <c r="K3785" t="inlineStr">
        <is>
          <t>Moncton (Nouveau-Brunswick)</t>
        </is>
      </c>
      <c r="P3785" t="n">
        <v>1377.02</v>
      </c>
      <c r="Q3785" t="n">
        <v>310.34</v>
      </c>
      <c r="R3785" t="n">
        <v>285.36</v>
      </c>
      <c r="S3785" t="n">
        <v>177.8</v>
      </c>
      <c r="T3785" t="n">
        <v>21.01</v>
      </c>
      <c r="U3785" t="n">
        <v>2171.53</v>
      </c>
      <c r="X3785" t="inlineStr">
        <is>
          <t>acoa-apeca</t>
        </is>
      </c>
      <c r="Y3785" t="inlineStr">
        <is>
          <t>Atlantic Canada Opportunities Agency | Agence de promotion économique du Canada atlantique</t>
        </is>
      </c>
    </row>
    <row r="3786">
      <c r="A3786" t="inlineStr">
        <is>
          <t>T-2012-Q4-00046</t>
        </is>
      </c>
      <c r="B3786" t="inlineStr">
        <is>
          <t>SLE</t>
        </is>
      </c>
      <c r="C3786" t="inlineStr">
        <is>
          <t>Vice President, Nova Scotia</t>
        </is>
      </c>
      <c r="D3786" t="inlineStr">
        <is>
          <t>Vice-président, Nouvelle-Écosse</t>
        </is>
      </c>
      <c r="E3786" t="inlineStr">
        <is>
          <t>Peter Hogan</t>
        </is>
      </c>
      <c r="F3786" t="inlineStr">
        <is>
          <t>Various meetings with Government of Canada and Agency officials</t>
        </is>
      </c>
      <c r="G3786" t="inlineStr">
        <is>
          <t>Diverses réunions avec des fonctionnaires du gouvernement du Canada et de l'Agence</t>
        </is>
      </c>
      <c r="H3786" s="1" t="n">
        <v>40938</v>
      </c>
      <c r="I3786" s="1" t="n">
        <v>40940</v>
      </c>
      <c r="J3786" t="inlineStr">
        <is>
          <t xml:space="preserve">Ottawa, Ontario and Moncton, New Brunswick </t>
        </is>
      </c>
      <c r="K3786" t="inlineStr">
        <is>
          <t>Ottawa (Ontario) et Moncton (Nouveau-Brunswick)</t>
        </is>
      </c>
      <c r="P3786" t="n">
        <v>1656.54</v>
      </c>
      <c r="Q3786" t="n">
        <v>221.2</v>
      </c>
      <c r="R3786" t="n">
        <v>320.92</v>
      </c>
      <c r="S3786" t="n">
        <v>218.1</v>
      </c>
      <c r="T3786" t="n">
        <v>0</v>
      </c>
      <c r="U3786" t="n">
        <v>2416.76</v>
      </c>
      <c r="X3786" t="inlineStr">
        <is>
          <t>acoa-apeca</t>
        </is>
      </c>
      <c r="Y3786" t="inlineStr">
        <is>
          <t>Atlantic Canada Opportunities Agency | Agence de promotion économique du Canada atlantique</t>
        </is>
      </c>
    </row>
    <row r="3787">
      <c r="A3787" t="inlineStr">
        <is>
          <t>T-2012-Q4-00045</t>
        </is>
      </c>
      <c r="B3787" t="inlineStr">
        <is>
          <t>SLE</t>
        </is>
      </c>
      <c r="C3787" t="inlineStr">
        <is>
          <t>President</t>
        </is>
      </c>
      <c r="D3787" t="inlineStr">
        <is>
          <t>Président</t>
        </is>
      </c>
      <c r="E3787" t="inlineStr">
        <is>
          <t>Paul J. LeBlanc</t>
        </is>
      </c>
      <c r="F3787" t="inlineStr">
        <is>
          <t>For various meetings and discussions with: Agency officials; with Government of Canada officials</t>
        </is>
      </c>
      <c r="G3787" t="inlineStr">
        <is>
          <t>Diverses réunions et discussions avec des fonctionnaires de l'Agence et du gouvernement du Canada</t>
        </is>
      </c>
      <c r="H3787" s="1" t="n">
        <v>40938</v>
      </c>
      <c r="I3787" s="1" t="n">
        <v>40939</v>
      </c>
      <c r="J3787" t="inlineStr">
        <is>
          <t>Ottawa, Ontario</t>
        </is>
      </c>
      <c r="K3787" t="inlineStr">
        <is>
          <t>Ottawa (Ontario)</t>
        </is>
      </c>
      <c r="P3787" t="n">
        <v>763.88</v>
      </c>
      <c r="Q3787" t="n">
        <v>0</v>
      </c>
      <c r="R3787" t="n">
        <v>179.67</v>
      </c>
      <c r="S3787" t="n">
        <v>145.15</v>
      </c>
      <c r="T3787" t="n">
        <v>56.5</v>
      </c>
      <c r="U3787" t="n">
        <v>1145.2</v>
      </c>
      <c r="X3787" t="inlineStr">
        <is>
          <t>acoa-apeca</t>
        </is>
      </c>
      <c r="Y3787" t="inlineStr">
        <is>
          <t>Atlantic Canada Opportunities Agency | Agence de promotion économique du Canada atlantique</t>
        </is>
      </c>
    </row>
    <row r="3788">
      <c r="A3788" t="inlineStr">
        <is>
          <t>T-2012-Q4-00043</t>
        </is>
      </c>
      <c r="B3788" t="inlineStr">
        <is>
          <t>SLE</t>
        </is>
      </c>
      <c r="C3788" t="inlineStr">
        <is>
          <t>Vice President, Nova Scotia</t>
        </is>
      </c>
      <c r="D3788" t="inlineStr">
        <is>
          <t>Vice-président, Nouvelle-Écosse</t>
        </is>
      </c>
      <c r="E3788" t="inlineStr">
        <is>
          <t>Peter Hogan</t>
        </is>
      </c>
      <c r="F3788" t="inlineStr">
        <is>
          <t>Various meetings with Government of Canada officials</t>
        </is>
      </c>
      <c r="G3788" t="inlineStr">
        <is>
          <t>Diverses réunions avec des fonctionnaires du gouvernement du Canada</t>
        </is>
      </c>
      <c r="H3788" s="1" t="n">
        <v>40932</v>
      </c>
      <c r="I3788" s="1" t="n">
        <v>40933</v>
      </c>
      <c r="J3788" t="inlineStr">
        <is>
          <t>Ottawa, Ontario</t>
        </is>
      </c>
      <c r="K3788" t="inlineStr">
        <is>
          <t>Ottawa (Ontario)</t>
        </is>
      </c>
      <c r="P3788" t="n">
        <v>590.12</v>
      </c>
      <c r="Q3788" t="n">
        <v>127.2</v>
      </c>
      <c r="R3788" t="n">
        <v>175.15</v>
      </c>
      <c r="S3788" t="n">
        <v>145.15</v>
      </c>
      <c r="T3788" t="n">
        <v>0</v>
      </c>
      <c r="U3788" t="n">
        <v>1037.62</v>
      </c>
      <c r="X3788" t="inlineStr">
        <is>
          <t>acoa-apeca</t>
        </is>
      </c>
      <c r="Y3788" t="inlineStr">
        <is>
          <t>Atlantic Canada Opportunities Agency | Agence de promotion économique du Canada atlantique</t>
        </is>
      </c>
    </row>
    <row r="3789">
      <c r="A3789" t="inlineStr">
        <is>
          <t>T-2012-Q4-00042</t>
        </is>
      </c>
      <c r="B3789" t="inlineStr">
        <is>
          <t>SLE</t>
        </is>
      </c>
      <c r="C3789" t="inlineStr">
        <is>
          <t>Vice-President, Prince Edward Island</t>
        </is>
      </c>
      <c r="D3789" t="inlineStr">
        <is>
          <t>Vice-président, Île-du-Prince-Édouard</t>
        </is>
      </c>
      <c r="E3789" t="inlineStr">
        <is>
          <t>Patrick Dorsey</t>
        </is>
      </c>
      <c r="F3789" t="inlineStr">
        <is>
          <t>To attend Atlantic Canada Tourism Partnership meetings</t>
        </is>
      </c>
      <c r="G3789" t="inlineStr">
        <is>
          <t>Assister à des réunions du Partenariat du tourisme du Canada atlantique</t>
        </is>
      </c>
      <c r="H3789" s="1" t="n">
        <v>40932</v>
      </c>
      <c r="I3789" s="1" t="n">
        <v>40933</v>
      </c>
      <c r="J3789" t="inlineStr">
        <is>
          <t>Halifax, Nova Scotia</t>
        </is>
      </c>
      <c r="K3789" t="inlineStr">
        <is>
          <t>Halifax (Nouvelle-Écosse)</t>
        </is>
      </c>
      <c r="P3789" t="n">
        <v>0</v>
      </c>
      <c r="Q3789" t="n">
        <v>52.25</v>
      </c>
      <c r="R3789" t="n">
        <v>186.16</v>
      </c>
      <c r="S3789" t="n">
        <v>104.85</v>
      </c>
      <c r="T3789" t="n">
        <v>0</v>
      </c>
      <c r="U3789" t="n">
        <v>343.26</v>
      </c>
      <c r="X3789" t="inlineStr">
        <is>
          <t>acoa-apeca</t>
        </is>
      </c>
      <c r="Y3789" t="inlineStr">
        <is>
          <t>Atlantic Canada Opportunities Agency | Agence de promotion économique du Canada atlantique</t>
        </is>
      </c>
    </row>
    <row r="3790">
      <c r="A3790" t="inlineStr">
        <is>
          <t>T-2012-Q4-00041</t>
        </is>
      </c>
      <c r="B3790" t="inlineStr">
        <is>
          <t>SLE</t>
        </is>
      </c>
      <c r="C3790" t="inlineStr">
        <is>
          <t>Vice-President, Finance and Corporate Services</t>
        </is>
      </c>
      <c r="D3790" t="inlineStr">
        <is>
          <t>Vice-présidente, Finances et Services corporatifs</t>
        </is>
      </c>
      <c r="E3790" t="inlineStr">
        <is>
          <t>Denise Frenette</t>
        </is>
      </c>
      <c r="F3790" t="inlineStr">
        <is>
          <t xml:space="preserve">Meetings with Agency officials </t>
        </is>
      </c>
      <c r="G3790" t="inlineStr">
        <is>
          <t xml:space="preserve">Réunions avec des fonctionnaires de l'Agence </t>
        </is>
      </c>
      <c r="H3790" s="1" t="n">
        <v>40931</v>
      </c>
      <c r="I3790" s="1" t="n">
        <v>40932</v>
      </c>
      <c r="J3790" t="inlineStr">
        <is>
          <t>Charlottetown, Prince Edward Island and St. John's, Newfoundland and Labrador</t>
        </is>
      </c>
      <c r="K3790" t="inlineStr">
        <is>
          <t>Charlottetown (Île-du-Prince-Édouard) et St. John's (Terre-Neuve-et-Labrador)</t>
        </is>
      </c>
      <c r="P3790" t="n">
        <v>1006.71</v>
      </c>
      <c r="Q3790" t="n">
        <v>18</v>
      </c>
      <c r="R3790" t="n">
        <v>149.64</v>
      </c>
      <c r="S3790" t="n">
        <v>119.45</v>
      </c>
      <c r="T3790" t="n">
        <v>0</v>
      </c>
      <c r="U3790" t="n">
        <v>1293.8</v>
      </c>
      <c r="X3790" t="inlineStr">
        <is>
          <t>acoa-apeca</t>
        </is>
      </c>
      <c r="Y3790" t="inlineStr">
        <is>
          <t>Atlantic Canada Opportunities Agency | Agence de promotion économique du Canada atlantique</t>
        </is>
      </c>
    </row>
    <row r="3791">
      <c r="A3791" t="inlineStr">
        <is>
          <t>T-2012-Q4-00040</t>
        </is>
      </c>
      <c r="B3791" t="inlineStr">
        <is>
          <t>SLE</t>
        </is>
      </c>
      <c r="C3791" t="inlineStr">
        <is>
          <t>Vice-President, New Brunswick</t>
        </is>
      </c>
      <c r="D3791" t="inlineStr">
        <is>
          <t>Vice-présidente, Nouveau-Brunswick</t>
        </is>
      </c>
      <c r="E3791" t="inlineStr">
        <is>
          <t>Janet Gagnon</t>
        </is>
      </c>
      <c r="F3791" t="inlineStr">
        <is>
          <t>Minister's tour</t>
        </is>
      </c>
      <c r="G3791" t="inlineStr">
        <is>
          <t>Tournée du ministre</t>
        </is>
      </c>
      <c r="H3791" s="1" t="n">
        <v>40931</v>
      </c>
      <c r="I3791" s="1" t="n">
        <v>40931</v>
      </c>
      <c r="J3791" t="inlineStr">
        <is>
          <t>Moncton, New Brunswick</t>
        </is>
      </c>
      <c r="K3791" t="inlineStr">
        <is>
          <t>Moncton (Nouveau-Brunswick)</t>
        </is>
      </c>
      <c r="P3791" t="n">
        <v>0</v>
      </c>
      <c r="Q3791" t="n">
        <v>6</v>
      </c>
      <c r="R3791" t="n">
        <v>0</v>
      </c>
      <c r="S3791" t="n">
        <v>70.25</v>
      </c>
      <c r="T3791" t="n">
        <v>0</v>
      </c>
      <c r="U3791" t="n">
        <v>76.25</v>
      </c>
      <c r="X3791" t="inlineStr">
        <is>
          <t>acoa-apeca</t>
        </is>
      </c>
      <c r="Y3791" t="inlineStr">
        <is>
          <t>Atlantic Canada Opportunities Agency | Agence de promotion économique du Canada atlantique</t>
        </is>
      </c>
    </row>
    <row r="3792">
      <c r="A3792" t="inlineStr">
        <is>
          <t>T-2012-Q4-00038</t>
        </is>
      </c>
      <c r="B3792" t="inlineStr">
        <is>
          <t>SLE</t>
        </is>
      </c>
      <c r="C3792" t="inlineStr">
        <is>
          <t>President</t>
        </is>
      </c>
      <c r="D3792" t="inlineStr">
        <is>
          <t>Président</t>
        </is>
      </c>
      <c r="E3792" t="inlineStr">
        <is>
          <t>Paul J. LeBlanc</t>
        </is>
      </c>
      <c r="F3792" t="inlineStr">
        <is>
          <t>For various meetings and discussions with: Agency officials; with Government of Canada officials</t>
        </is>
      </c>
      <c r="G3792" t="inlineStr">
        <is>
          <t>Diverses réunions et discussions avec des fonctionnaires de l'Agence et du gouvernement du Canada</t>
        </is>
      </c>
      <c r="H3792" s="1" t="n">
        <v>40931</v>
      </c>
      <c r="I3792" s="1" t="n">
        <v>40934</v>
      </c>
      <c r="J3792" t="inlineStr">
        <is>
          <t>Ottawa, Ontario</t>
        </is>
      </c>
      <c r="K3792" t="inlineStr">
        <is>
          <t>Ottawa (Ontario)</t>
        </is>
      </c>
      <c r="P3792" t="n">
        <v>727.36</v>
      </c>
      <c r="Q3792" t="n">
        <v>25.74</v>
      </c>
      <c r="R3792" t="n">
        <v>539.01</v>
      </c>
      <c r="S3792" t="n">
        <v>184.75</v>
      </c>
      <c r="T3792" t="n">
        <v>0</v>
      </c>
      <c r="U3792" t="n">
        <v>1476.86</v>
      </c>
      <c r="X3792" t="inlineStr">
        <is>
          <t>acoa-apeca</t>
        </is>
      </c>
      <c r="Y3792" t="inlineStr">
        <is>
          <t>Atlantic Canada Opportunities Agency | Agence de promotion économique du Canada atlantique</t>
        </is>
      </c>
    </row>
    <row r="3793">
      <c r="A3793" t="inlineStr">
        <is>
          <t>T-2012-Q4-00037</t>
        </is>
      </c>
      <c r="B3793" t="inlineStr">
        <is>
          <t>MPSES</t>
        </is>
      </c>
      <c r="C3793" t="inlineStr">
        <is>
          <t>Minister of State</t>
        </is>
      </c>
      <c r="D3793" t="inlineStr">
        <is>
          <t>Ministre d'État</t>
        </is>
      </c>
      <c r="E3793" t="inlineStr">
        <is>
          <t>Bernard Valcourt</t>
        </is>
      </c>
      <c r="F3793" t="inlineStr">
        <is>
          <t>Various meetings and announcements for ACOA</t>
        </is>
      </c>
      <c r="G3793" t="inlineStr">
        <is>
          <t>Diverses rencontres et annonces pour l'APECA</t>
        </is>
      </c>
      <c r="H3793" s="1" t="n">
        <v>40930</v>
      </c>
      <c r="I3793" s="1" t="n">
        <v>40931</v>
      </c>
      <c r="J3793" t="inlineStr">
        <is>
          <t>Moncton and Fredericton, New Brunswick</t>
        </is>
      </c>
      <c r="K3793" t="inlineStr">
        <is>
          <t>Moncton et Fredericton (Nouveau-Brunswick)</t>
        </is>
      </c>
      <c r="P3793" t="n">
        <v>508.01</v>
      </c>
      <c r="Q3793" t="n">
        <v>0</v>
      </c>
      <c r="R3793" t="n">
        <v>152.55</v>
      </c>
      <c r="S3793" t="n">
        <v>127.85</v>
      </c>
      <c r="T3793" t="n">
        <v>0</v>
      </c>
      <c r="U3793" t="n">
        <v>788.41</v>
      </c>
      <c r="X3793" t="inlineStr">
        <is>
          <t>acoa-apeca</t>
        </is>
      </c>
      <c r="Y3793" t="inlineStr">
        <is>
          <t>Atlantic Canada Opportunities Agency | Agence de promotion économique du Canada atlantique</t>
        </is>
      </c>
    </row>
    <row r="3794">
      <c r="A3794" t="inlineStr">
        <is>
          <t>T-2012-Q4-00036</t>
        </is>
      </c>
      <c r="B3794" t="inlineStr">
        <is>
          <t>MPSES</t>
        </is>
      </c>
      <c r="C3794" t="inlineStr">
        <is>
          <t>Executive Assistant and Press Secretary</t>
        </is>
      </c>
      <c r="D3794" t="inlineStr">
        <is>
          <t>Adjointe exécutive et attaché de presse</t>
        </is>
      </c>
      <c r="E3794" t="inlineStr">
        <is>
          <t>Andrea Richer</t>
        </is>
      </c>
      <c r="F3794" t="inlineStr">
        <is>
          <t>Travel with MoS to attend ACOA meetings and announcements</t>
        </is>
      </c>
      <c r="G3794" t="inlineStr">
        <is>
          <t>Voyage pour assister à des réunions et à des annonces de l'APECA avec le ministre d'État</t>
        </is>
      </c>
      <c r="H3794" s="1" t="n">
        <v>40930</v>
      </c>
      <c r="I3794" s="1" t="n">
        <v>40931</v>
      </c>
      <c r="J3794" t="inlineStr">
        <is>
          <t>Fredericton and Moncton, New Brunswick</t>
        </is>
      </c>
      <c r="K3794" t="inlineStr">
        <is>
          <t>Fredericton et Moncton (Nouveau-Brunswick)</t>
        </is>
      </c>
      <c r="P3794" t="n">
        <v>1486.18</v>
      </c>
      <c r="Q3794" t="n">
        <v>26</v>
      </c>
      <c r="R3794" t="n">
        <v>152.55</v>
      </c>
      <c r="S3794" t="n">
        <v>87.55</v>
      </c>
      <c r="T3794" t="n">
        <v>0</v>
      </c>
      <c r="U3794" t="n">
        <v>1752.28</v>
      </c>
      <c r="X3794" t="inlineStr">
        <is>
          <t>acoa-apeca</t>
        </is>
      </c>
      <c r="Y3794" t="inlineStr">
        <is>
          <t>Atlantic Canada Opportunities Agency | Agence de promotion économique du Canada atlantique</t>
        </is>
      </c>
    </row>
    <row r="3795">
      <c r="A3795" t="inlineStr">
        <is>
          <t>T-2012-Q4-00035</t>
        </is>
      </c>
      <c r="B3795" t="inlineStr">
        <is>
          <t>SLE</t>
        </is>
      </c>
      <c r="C3795" t="inlineStr">
        <is>
          <t>Vice-President, Finance and Corporate Services</t>
        </is>
      </c>
      <c r="D3795" t="inlineStr">
        <is>
          <t>Vice-présidente, Finances et Services corporatifs</t>
        </is>
      </c>
      <c r="E3795" t="inlineStr">
        <is>
          <t>Denise Frenette</t>
        </is>
      </c>
      <c r="F3795" t="inlineStr">
        <is>
          <t xml:space="preserve">Meetings with Agency officials </t>
        </is>
      </c>
      <c r="G3795" t="inlineStr">
        <is>
          <t xml:space="preserve">Réunions avec des fonctionnaires de l'Agence </t>
        </is>
      </c>
      <c r="H3795" s="1" t="n">
        <v>40927</v>
      </c>
      <c r="I3795" s="1" t="n">
        <v>40928</v>
      </c>
      <c r="J3795" t="inlineStr">
        <is>
          <t>Halifax, Nova Scotia and Fredericton, New Brunswick</t>
        </is>
      </c>
      <c r="K3795" t="inlineStr">
        <is>
          <t>Halifax (Nouvelle-Écosse) et Fredericton (Nouveau-Brunswick)</t>
        </is>
      </c>
      <c r="P3795" t="n">
        <v>1075.76</v>
      </c>
      <c r="Q3795" t="n">
        <v>0</v>
      </c>
      <c r="R3795" t="n">
        <v>134.9</v>
      </c>
      <c r="S3795" t="n">
        <v>104.85</v>
      </c>
      <c r="T3795" t="n">
        <v>0</v>
      </c>
      <c r="U3795" t="n">
        <v>1315.51</v>
      </c>
      <c r="X3795" t="inlineStr">
        <is>
          <t>acoa-apeca</t>
        </is>
      </c>
      <c r="Y3795" t="inlineStr">
        <is>
          <t>Atlantic Canada Opportunities Agency | Agence de promotion économique du Canada atlantique</t>
        </is>
      </c>
    </row>
    <row r="3796">
      <c r="A3796" t="inlineStr">
        <is>
          <t>T-2012-Q4-00034</t>
        </is>
      </c>
      <c r="B3796" t="inlineStr">
        <is>
          <t>SLE</t>
        </is>
      </c>
      <c r="C3796" t="inlineStr">
        <is>
          <t>Vice President, Nova Scotia</t>
        </is>
      </c>
      <c r="D3796" t="inlineStr">
        <is>
          <t>Vice-président, Nouvelle-Écosse</t>
        </is>
      </c>
      <c r="E3796" t="inlineStr">
        <is>
          <t>Peter Hogan</t>
        </is>
      </c>
      <c r="F3796" t="inlineStr">
        <is>
          <t>Executive Committee meeting</t>
        </is>
      </c>
      <c r="G3796" t="inlineStr">
        <is>
          <t>Réunion du Comité de direction</t>
        </is>
      </c>
      <c r="H3796" s="1" t="n">
        <v>40925</v>
      </c>
      <c r="I3796" s="1" t="n">
        <v>40926</v>
      </c>
      <c r="J3796" t="inlineStr">
        <is>
          <t>Ottawa, Ontario</t>
        </is>
      </c>
      <c r="K3796" t="inlineStr">
        <is>
          <t>Ottawa (Ontario)</t>
        </is>
      </c>
      <c r="P3796" t="n">
        <v>377.13</v>
      </c>
      <c r="Q3796" t="n">
        <v>199.7</v>
      </c>
      <c r="R3796" t="n">
        <v>354.82</v>
      </c>
      <c r="S3796" t="n">
        <v>177.8</v>
      </c>
      <c r="T3796" t="n">
        <v>0</v>
      </c>
      <c r="U3796" t="n">
        <v>1109.45</v>
      </c>
      <c r="X3796" t="inlineStr">
        <is>
          <t>acoa-apeca</t>
        </is>
      </c>
      <c r="Y3796" t="inlineStr">
        <is>
          <t>Atlantic Canada Opportunities Agency | Agence de promotion économique du Canada atlantique</t>
        </is>
      </c>
    </row>
    <row r="3797">
      <c r="A3797" t="inlineStr">
        <is>
          <t>T-2012-Q4-00033</t>
        </is>
      </c>
      <c r="B3797" t="inlineStr">
        <is>
          <t>SLE</t>
        </is>
      </c>
      <c r="C3797" t="inlineStr">
        <is>
          <t>Vice-President, Finance and Corporate Services</t>
        </is>
      </c>
      <c r="D3797" t="inlineStr">
        <is>
          <t>Vice-présidente, Finances et Services corporatifs</t>
        </is>
      </c>
      <c r="E3797" t="inlineStr">
        <is>
          <t>Denise Frenette</t>
        </is>
      </c>
      <c r="F3797" t="inlineStr">
        <is>
          <t xml:space="preserve">Meetings with Agency officials </t>
        </is>
      </c>
      <c r="G3797" t="inlineStr">
        <is>
          <t xml:space="preserve">Réunions avec des fonctionnaires de l'Agence </t>
        </is>
      </c>
      <c r="H3797" s="1" t="n">
        <v>40924</v>
      </c>
      <c r="I3797" s="1" t="n">
        <v>40925</v>
      </c>
      <c r="J3797" t="inlineStr">
        <is>
          <t>Ottawa, Ontario</t>
        </is>
      </c>
      <c r="K3797" t="inlineStr">
        <is>
          <t>Ottawa (Ontario)</t>
        </is>
      </c>
      <c r="P3797" t="n">
        <v>1075.76</v>
      </c>
      <c r="Q3797" t="n">
        <v>25.94</v>
      </c>
      <c r="R3797" t="n">
        <v>177.41</v>
      </c>
      <c r="S3797" t="n">
        <v>115.2</v>
      </c>
      <c r="T3797" t="n">
        <v>0</v>
      </c>
      <c r="U3797" t="n">
        <v>1394.31</v>
      </c>
      <c r="X3797" t="inlineStr">
        <is>
          <t>acoa-apeca</t>
        </is>
      </c>
      <c r="Y3797" t="inlineStr">
        <is>
          <t>Atlantic Canada Opportunities Agency | Agence de promotion économique du Canada atlantique</t>
        </is>
      </c>
    </row>
    <row r="3798">
      <c r="A3798" t="inlineStr">
        <is>
          <t>T-2012-Q4-00032</t>
        </is>
      </c>
      <c r="B3798" t="inlineStr">
        <is>
          <t>SLE</t>
        </is>
      </c>
      <c r="C3798" t="inlineStr">
        <is>
          <t>Vice-President, Prince Edward Island</t>
        </is>
      </c>
      <c r="D3798" t="inlineStr">
        <is>
          <t>Vice-président, Île-du-Prince-Édouard</t>
        </is>
      </c>
      <c r="E3798" t="inlineStr">
        <is>
          <t>Patrick Dorsey</t>
        </is>
      </c>
      <c r="F3798" t="inlineStr">
        <is>
          <t>To attend an Executive Committee meeting</t>
        </is>
      </c>
      <c r="G3798" t="inlineStr">
        <is>
          <t>Assister à une réunion du Comité de direction</t>
        </is>
      </c>
      <c r="H3798" s="1" t="n">
        <v>40924</v>
      </c>
      <c r="I3798" s="1" t="n">
        <v>40926</v>
      </c>
      <c r="J3798" t="inlineStr">
        <is>
          <t>Ottawa, Ontario</t>
        </is>
      </c>
      <c r="K3798" t="inlineStr">
        <is>
          <t>Ottawa (Ontario)</t>
        </is>
      </c>
      <c r="P3798" t="n">
        <v>796.4</v>
      </c>
      <c r="Q3798" t="n">
        <v>75</v>
      </c>
      <c r="R3798" t="n">
        <v>406.8</v>
      </c>
      <c r="S3798" t="n">
        <v>177.8</v>
      </c>
      <c r="T3798" t="n">
        <v>0</v>
      </c>
      <c r="U3798" t="n">
        <v>1456</v>
      </c>
      <c r="X3798" t="inlineStr">
        <is>
          <t>acoa-apeca</t>
        </is>
      </c>
      <c r="Y3798" t="inlineStr">
        <is>
          <t>Atlantic Canada Opportunities Agency | Agence de promotion économique du Canada atlantique</t>
        </is>
      </c>
    </row>
    <row r="3799">
      <c r="A3799" t="inlineStr">
        <is>
          <t>T-2012-Q4-00031</t>
        </is>
      </c>
      <c r="B3799" t="inlineStr">
        <is>
          <t>SLE</t>
        </is>
      </c>
      <c r="C3799" t="inlineStr">
        <is>
          <t>Vice-President, New Brunswick</t>
        </is>
      </c>
      <c r="D3799" t="inlineStr">
        <is>
          <t>Vice-présidente, Nouveau-Brunswick</t>
        </is>
      </c>
      <c r="E3799" t="inlineStr">
        <is>
          <t>Janet Gagnon</t>
        </is>
      </c>
      <c r="F3799" t="inlineStr">
        <is>
          <t>Minister's Tour - Northern New Brunswick</t>
        </is>
      </c>
      <c r="G3799" t="inlineStr">
        <is>
          <t>Tournée du ministre dans le nord du Nouveau-Brunswick</t>
        </is>
      </c>
      <c r="H3799" s="1" t="n">
        <v>40924</v>
      </c>
      <c r="I3799" s="1" t="n">
        <v>40926</v>
      </c>
      <c r="J3799" t="inlineStr">
        <is>
          <t>Campbellton, New Brunswick</t>
        </is>
      </c>
      <c r="K3799" t="inlineStr">
        <is>
          <t>Campbellton (Nouveau-Brunswick)</t>
        </is>
      </c>
      <c r="P3799" t="n">
        <v>0</v>
      </c>
      <c r="Q3799" t="n">
        <v>14</v>
      </c>
      <c r="R3799" t="n">
        <v>207.92</v>
      </c>
      <c r="S3799" t="n">
        <v>192.4</v>
      </c>
      <c r="T3799" t="n">
        <v>0</v>
      </c>
      <c r="U3799" t="n">
        <v>414.32</v>
      </c>
      <c r="X3799" t="inlineStr">
        <is>
          <t>acoa-apeca</t>
        </is>
      </c>
      <c r="Y3799" t="inlineStr">
        <is>
          <t>Atlantic Canada Opportunities Agency | Agence de promotion économique du Canada atlantique</t>
        </is>
      </c>
    </row>
    <row r="3800">
      <c r="A3800" t="inlineStr">
        <is>
          <t>T-2012-Q4-00029</t>
        </is>
      </c>
      <c r="B3800" t="inlineStr">
        <is>
          <t>SLE</t>
        </is>
      </c>
      <c r="C3800" t="inlineStr">
        <is>
          <t>President</t>
        </is>
      </c>
      <c r="D3800" t="inlineStr">
        <is>
          <t>Président</t>
        </is>
      </c>
      <c r="E3800" t="inlineStr">
        <is>
          <t>Paul J. LeBlanc</t>
        </is>
      </c>
      <c r="F3800" t="inlineStr">
        <is>
          <t>For various meetings with Agency officials; with Government of Canada officials</t>
        </is>
      </c>
      <c r="G3800" t="inlineStr">
        <is>
          <t>Diverses réunions avec des fonctionnaires de l'Agence et du gouvernement du Canada</t>
        </is>
      </c>
      <c r="H3800" s="1" t="n">
        <v>40924</v>
      </c>
      <c r="I3800" s="1" t="n">
        <v>40929</v>
      </c>
      <c r="J3800" t="inlineStr">
        <is>
          <t>Ottawa, Ontario and Vancouver, British Columbia</t>
        </is>
      </c>
      <c r="K3800" t="inlineStr">
        <is>
          <t>Ottawa (Ontario) et Vancouver (Colombie-Britannique)</t>
        </is>
      </c>
      <c r="P3800" t="n">
        <v>1552.66</v>
      </c>
      <c r="Q3800" t="n">
        <v>42.5</v>
      </c>
      <c r="R3800" t="n">
        <v>842.01</v>
      </c>
      <c r="S3800" t="n">
        <v>425.1</v>
      </c>
      <c r="T3800" t="n">
        <v>56.5</v>
      </c>
      <c r="U3800" t="n">
        <v>2918.77</v>
      </c>
      <c r="X3800" t="inlineStr">
        <is>
          <t>acoa-apeca</t>
        </is>
      </c>
      <c r="Y3800" t="inlineStr">
        <is>
          <t>Atlantic Canada Opportunities Agency | Agence de promotion économique du Canada atlantique</t>
        </is>
      </c>
    </row>
    <row r="3801">
      <c r="A3801" t="inlineStr">
        <is>
          <t>T-2012-Q4-00027</t>
        </is>
      </c>
      <c r="B3801" t="inlineStr">
        <is>
          <t>SLE</t>
        </is>
      </c>
      <c r="C3801" t="inlineStr">
        <is>
          <t>Vice-President, Newfoundland and Labrador</t>
        </is>
      </c>
      <c r="D3801" t="inlineStr">
        <is>
          <t>Vice-président, Terre-Neuve-et-Labrador</t>
        </is>
      </c>
      <c r="E3801" t="inlineStr">
        <is>
          <t>Paul Mills</t>
        </is>
      </c>
      <c r="F3801" t="inlineStr">
        <is>
          <t>To attend Executive Committee meeting</t>
        </is>
      </c>
      <c r="G3801" t="inlineStr">
        <is>
          <t>Assister à une réunion du Comité de direction</t>
        </is>
      </c>
      <c r="H3801" s="1" t="n">
        <v>40924</v>
      </c>
      <c r="I3801" s="1" t="n">
        <v>40926</v>
      </c>
      <c r="J3801" t="inlineStr">
        <is>
          <t>Ottawa, Ontario</t>
        </is>
      </c>
      <c r="K3801" t="inlineStr">
        <is>
          <t>Ottawa (Ontario)</t>
        </is>
      </c>
      <c r="P3801" t="n">
        <v>1329.26</v>
      </c>
      <c r="Q3801" t="n">
        <v>129</v>
      </c>
      <c r="R3801" t="n">
        <v>359.34</v>
      </c>
      <c r="S3801" t="n">
        <v>202.75</v>
      </c>
      <c r="T3801" t="n">
        <v>9.33</v>
      </c>
      <c r="U3801" t="n">
        <v>2029.68</v>
      </c>
      <c r="X3801" t="inlineStr">
        <is>
          <t>acoa-apeca</t>
        </is>
      </c>
      <c r="Y3801" t="inlineStr">
        <is>
          <t>Atlantic Canada Opportunities Agency | Agence de promotion économique du Canada atlantique</t>
        </is>
      </c>
    </row>
    <row r="3802">
      <c r="A3802" t="inlineStr">
        <is>
          <t>T-2012-Q4-00026</t>
        </is>
      </c>
      <c r="B3802" t="inlineStr">
        <is>
          <t>MPSES</t>
        </is>
      </c>
      <c r="C3802" t="inlineStr">
        <is>
          <t>Minister of State</t>
        </is>
      </c>
      <c r="D3802" t="inlineStr">
        <is>
          <t>Ministre d'État</t>
        </is>
      </c>
      <c r="E3802" t="inlineStr">
        <is>
          <t>Bernard Valcourt</t>
        </is>
      </c>
      <c r="F3802" t="inlineStr">
        <is>
          <t>Various meetings and announcements for ACOA and Transport Canada</t>
        </is>
      </c>
      <c r="G3802" t="inlineStr">
        <is>
          <t>Diverses rencontres et annonces pour l'APECA et Transports Canada</t>
        </is>
      </c>
      <c r="H3802" s="1" t="n">
        <v>40923</v>
      </c>
      <c r="I3802" s="1" t="n">
        <v>40927</v>
      </c>
      <c r="J3802" t="inlineStr">
        <is>
          <t>Shippagan, Campbellton and Fredericton, New Brunswick</t>
        </is>
      </c>
      <c r="K3802" t="inlineStr">
        <is>
          <t>Shippagan, Campbellton et Fredericton (Nouveau-Brunswick)</t>
        </is>
      </c>
      <c r="P3802" t="n">
        <v>325.62</v>
      </c>
      <c r="Q3802" t="n">
        <v>0</v>
      </c>
      <c r="R3802" t="n">
        <v>360.47</v>
      </c>
      <c r="S3802" t="n">
        <v>292.6</v>
      </c>
      <c r="T3802" t="n">
        <v>0</v>
      </c>
      <c r="U3802" t="n">
        <v>978.6900000000001</v>
      </c>
      <c r="X3802" t="inlineStr">
        <is>
          <t>acoa-apeca</t>
        </is>
      </c>
      <c r="Y3802" t="inlineStr">
        <is>
          <t>Atlantic Canada Opportunities Agency | Agence de promotion économique du Canada atlantique</t>
        </is>
      </c>
    </row>
    <row r="3803">
      <c r="A3803" t="inlineStr">
        <is>
          <t>T-2012-Q4-00025</t>
        </is>
      </c>
      <c r="B3803" t="inlineStr">
        <is>
          <t>MPSES</t>
        </is>
      </c>
      <c r="C3803" t="inlineStr">
        <is>
          <t>Executive Assistant and Press Secretary</t>
        </is>
      </c>
      <c r="D3803" t="inlineStr">
        <is>
          <t>Adjointe exécutive et attaché de presse</t>
        </is>
      </c>
      <c r="E3803" t="inlineStr">
        <is>
          <t>Andrea Richer</t>
        </is>
      </c>
      <c r="F3803" t="inlineStr">
        <is>
          <t>Travel with MoS to attend ACOA meetings and announcements</t>
        </is>
      </c>
      <c r="G3803" t="inlineStr">
        <is>
          <t>Voyage pour assister à des réunions et à des annonces de l'APECA avec le ministre d'État</t>
        </is>
      </c>
      <c r="H3803" s="1" t="n">
        <v>40923</v>
      </c>
      <c r="I3803" s="1" t="n">
        <v>40927</v>
      </c>
      <c r="J3803" t="inlineStr">
        <is>
          <t>Edmundston, Shippagan, Bathurst, Campbellton and Fredericton, New Brunswick</t>
        </is>
      </c>
      <c r="K3803" t="inlineStr">
        <is>
          <t>Edmundston, Shippagan, Bathurst, Campbellton et Fredericton (Nouveau-Brunswick)</t>
        </is>
      </c>
      <c r="P3803" t="n">
        <v>325.62</v>
      </c>
      <c r="Q3803" t="n">
        <v>0</v>
      </c>
      <c r="R3803" t="n">
        <v>468.95</v>
      </c>
      <c r="S3803" t="n">
        <v>309.9</v>
      </c>
      <c r="T3803" t="n">
        <v>0</v>
      </c>
      <c r="U3803" t="n">
        <v>1104.47</v>
      </c>
      <c r="X3803" t="inlineStr">
        <is>
          <t>acoa-apeca</t>
        </is>
      </c>
      <c r="Y3803" t="inlineStr">
        <is>
          <t>Atlantic Canada Opportunities Agency | Agence de promotion économique du Canada atlantique</t>
        </is>
      </c>
    </row>
    <row r="3804">
      <c r="A3804" t="inlineStr">
        <is>
          <t>T-2012-Q4-00024</t>
        </is>
      </c>
      <c r="B3804" t="inlineStr">
        <is>
          <t>SLE</t>
        </is>
      </c>
      <c r="C3804" t="inlineStr">
        <is>
          <t>Vice-President, Prince Edward Island</t>
        </is>
      </c>
      <c r="D3804" t="inlineStr">
        <is>
          <t>Vice-président, Île-du-Prince-Édouard</t>
        </is>
      </c>
      <c r="E3804" t="inlineStr">
        <is>
          <t>Patrick Dorsey</t>
        </is>
      </c>
      <c r="F3804" t="inlineStr">
        <is>
          <t>To attend an Atlantic Canada Tourism Partnership briefing</t>
        </is>
      </c>
      <c r="G3804" t="inlineStr">
        <is>
          <t>Assister à une séance d'information sur le Partenariat du tourisme du Canada atlantique</t>
        </is>
      </c>
      <c r="H3804" s="1" t="n">
        <v>40920</v>
      </c>
      <c r="I3804" s="1" t="n">
        <v>40921</v>
      </c>
      <c r="J3804" t="inlineStr">
        <is>
          <t>Ottawa, Ontario</t>
        </is>
      </c>
      <c r="K3804" t="inlineStr">
        <is>
          <t>Ottawa (Ontario)</t>
        </is>
      </c>
      <c r="P3804" t="n">
        <v>701.73</v>
      </c>
      <c r="Q3804" t="n">
        <v>10</v>
      </c>
      <c r="R3804" t="n">
        <v>312.31</v>
      </c>
      <c r="S3804" t="n">
        <v>207</v>
      </c>
      <c r="T3804" t="n">
        <v>0</v>
      </c>
      <c r="U3804" t="n">
        <v>1231.04</v>
      </c>
      <c r="X3804" t="inlineStr">
        <is>
          <t>acoa-apeca</t>
        </is>
      </c>
      <c r="Y3804" t="inlineStr">
        <is>
          <t>Atlantic Canada Opportunities Agency | Agence de promotion économique du Canada atlantique</t>
        </is>
      </c>
    </row>
    <row r="3805">
      <c r="A3805" t="inlineStr">
        <is>
          <t>T-2012-Q4-00023</t>
        </is>
      </c>
      <c r="B3805" t="inlineStr">
        <is>
          <t>SLE</t>
        </is>
      </c>
      <c r="C3805" t="inlineStr">
        <is>
          <t>President</t>
        </is>
      </c>
      <c r="D3805" t="inlineStr">
        <is>
          <t>Président</t>
        </is>
      </c>
      <c r="E3805" t="inlineStr">
        <is>
          <t>Paul J. LeBlanc</t>
        </is>
      </c>
      <c r="F3805" t="inlineStr">
        <is>
          <t>For various meetings and discussions with Agency officials; with stakeholders; with Government of Canada officials</t>
        </is>
      </c>
      <c r="G3805" t="inlineStr">
        <is>
          <t>Diverses réunions et discussions avec des fonctionnaires de l'Agence, des intervenants et des fonctionnaires du gouvernement du Canada</t>
        </is>
      </c>
      <c r="H3805" s="1" t="n">
        <v>40919</v>
      </c>
      <c r="I3805" s="1" t="n">
        <v>40921</v>
      </c>
      <c r="J3805" t="inlineStr">
        <is>
          <t>Halifax, Nova Scotia and Ottawa, Ontario</t>
        </is>
      </c>
      <c r="K3805" t="inlineStr">
        <is>
          <t>Halifax (Nouvelle-Écosse) et Ottawa (Ontario)</t>
        </is>
      </c>
      <c r="P3805" t="n">
        <v>1091.04</v>
      </c>
      <c r="Q3805" t="n">
        <v>0</v>
      </c>
      <c r="R3805" t="n">
        <v>314.57</v>
      </c>
      <c r="S3805" t="n">
        <v>218.1</v>
      </c>
      <c r="T3805" t="n">
        <v>317.84</v>
      </c>
      <c r="U3805" t="n">
        <v>1941.55</v>
      </c>
      <c r="X3805" t="inlineStr">
        <is>
          <t>acoa-apeca</t>
        </is>
      </c>
      <c r="Y3805" t="inlineStr">
        <is>
          <t>Atlantic Canada Opportunities Agency | Agence de promotion économique du Canada atlantique</t>
        </is>
      </c>
    </row>
    <row r="3806">
      <c r="A3806" t="inlineStr">
        <is>
          <t>T-2012-Q4-00022</t>
        </is>
      </c>
      <c r="B3806" t="inlineStr">
        <is>
          <t>SLE</t>
        </is>
      </c>
      <c r="C3806" t="inlineStr">
        <is>
          <t>Vice-President, Finance and Corporate Services</t>
        </is>
      </c>
      <c r="D3806" t="inlineStr">
        <is>
          <t>Vice-présidente, Finances et Services corporatifs</t>
        </is>
      </c>
      <c r="E3806" t="inlineStr">
        <is>
          <t>Denise Frenette</t>
        </is>
      </c>
      <c r="F3806" t="inlineStr">
        <is>
          <t xml:space="preserve">Meetings with Government of Canada officials and Agency officials </t>
        </is>
      </c>
      <c r="G3806" t="inlineStr">
        <is>
          <t xml:space="preserve">Réunions avec des fonctionnaires du gouvernement du Canada et de l'Agence </t>
        </is>
      </c>
      <c r="H3806" s="1" t="n">
        <v>40918</v>
      </c>
      <c r="I3806" s="1" t="n">
        <v>40919</v>
      </c>
      <c r="J3806" t="inlineStr">
        <is>
          <t>Ottawa, Ontario</t>
        </is>
      </c>
      <c r="K3806" t="inlineStr">
        <is>
          <t>Ottawa (Ontario)</t>
        </is>
      </c>
      <c r="P3806" t="n">
        <v>1075.76</v>
      </c>
      <c r="Q3806" t="n">
        <v>94.88</v>
      </c>
      <c r="R3806" t="n">
        <v>177.41</v>
      </c>
      <c r="S3806" t="n">
        <v>159.75</v>
      </c>
      <c r="T3806" t="n">
        <v>0</v>
      </c>
      <c r="U3806" t="n">
        <v>1507.8</v>
      </c>
      <c r="X3806" t="inlineStr">
        <is>
          <t>acoa-apeca</t>
        </is>
      </c>
      <c r="Y3806" t="inlineStr">
        <is>
          <t>Atlantic Canada Opportunities Agency | Agence de promotion économique du Canada atlantique</t>
        </is>
      </c>
    </row>
    <row r="3807">
      <c r="A3807" t="inlineStr">
        <is>
          <t>T-2012-Q4-00021</t>
        </is>
      </c>
      <c r="B3807" t="inlineStr">
        <is>
          <t>SLE</t>
        </is>
      </c>
      <c r="C3807" t="inlineStr">
        <is>
          <t>Vice-President, New Brunswick</t>
        </is>
      </c>
      <c r="D3807" t="inlineStr">
        <is>
          <t>Vice-présidente, Nouveau-Brunswick</t>
        </is>
      </c>
      <c r="E3807" t="inlineStr">
        <is>
          <t>Janet Gagnon</t>
        </is>
      </c>
      <c r="F3807" t="inlineStr">
        <is>
          <t>New Brunswick Federal Youth Network</t>
        </is>
      </c>
      <c r="G3807" t="inlineStr">
        <is>
          <t>Réseau des jeunes fonctionnaires fédéraux du Nouveau-Brunswick</t>
        </is>
      </c>
      <c r="H3807" s="1" t="n">
        <v>40918</v>
      </c>
      <c r="I3807" s="1" t="n">
        <v>40919</v>
      </c>
      <c r="J3807" t="inlineStr">
        <is>
          <t>Moncton, New Brunswick</t>
        </is>
      </c>
      <c r="K3807" t="inlineStr">
        <is>
          <t>Moncton (Nouveau-Brunswick)</t>
        </is>
      </c>
      <c r="P3807" t="n">
        <v>0</v>
      </c>
      <c r="Q3807" t="n">
        <v>0</v>
      </c>
      <c r="R3807" t="n">
        <v>50</v>
      </c>
      <c r="S3807" t="n">
        <v>90.25</v>
      </c>
      <c r="T3807" t="n">
        <v>0</v>
      </c>
      <c r="U3807" t="n">
        <v>140.25</v>
      </c>
      <c r="X3807" t="inlineStr">
        <is>
          <t>acoa-apeca</t>
        </is>
      </c>
      <c r="Y3807" t="inlineStr">
        <is>
          <t>Atlantic Canada Opportunities Agency | Agence de promotion économique du Canada atlantique</t>
        </is>
      </c>
    </row>
    <row r="3808">
      <c r="A3808" t="inlineStr">
        <is>
          <t>T-2012-Q3-00084</t>
        </is>
      </c>
      <c r="B3808" t="inlineStr">
        <is>
          <t>MPSES</t>
        </is>
      </c>
      <c r="C3808" t="inlineStr">
        <is>
          <t>Minister of State</t>
        </is>
      </c>
      <c r="D3808" t="inlineStr">
        <is>
          <t>Ministre d'État</t>
        </is>
      </c>
      <c r="E3808" t="inlineStr">
        <is>
          <t>Bernard Valcourt</t>
        </is>
      </c>
      <c r="F3808" t="inlineStr">
        <is>
          <t>Various events and meetings for the Francophonie</t>
        </is>
      </c>
      <c r="G3808" t="inlineStr">
        <is>
          <t>Rencontres et évènements divers pour la Francophonie</t>
        </is>
      </c>
      <c r="H3808" s="1" t="n">
        <v>40876</v>
      </c>
      <c r="I3808" s="1" t="n">
        <v>40884</v>
      </c>
      <c r="J3808" t="inlineStr">
        <is>
          <t>Paris, France</t>
        </is>
      </c>
      <c r="K3808" t="inlineStr">
        <is>
          <t>Paris (France)</t>
        </is>
      </c>
      <c r="P3808" t="n">
        <v>1323.34</v>
      </c>
      <c r="Q3808" t="n">
        <v>0</v>
      </c>
      <c r="R3808" t="n">
        <v>2363.64</v>
      </c>
      <c r="S3808" t="n">
        <v>921.13</v>
      </c>
      <c r="T3808" t="n">
        <v>0</v>
      </c>
      <c r="U3808" t="n">
        <v>4608.11</v>
      </c>
      <c r="X3808" t="inlineStr">
        <is>
          <t>acoa-apeca</t>
        </is>
      </c>
      <c r="Y3808" t="inlineStr">
        <is>
          <t>Atlantic Canada Opportunities Agency | Agence de promotion économique du Canada atlantique</t>
        </is>
      </c>
    </row>
    <row r="3809">
      <c r="A3809" t="inlineStr">
        <is>
          <t>T-2012-Q4-00019</t>
        </is>
      </c>
      <c r="B3809" t="inlineStr">
        <is>
          <t>MPSES</t>
        </is>
      </c>
      <c r="C3809" t="inlineStr">
        <is>
          <t>Minister of State</t>
        </is>
      </c>
      <c r="D3809" t="inlineStr">
        <is>
          <t>Ministre d'État</t>
        </is>
      </c>
      <c r="E3809" t="inlineStr">
        <is>
          <t>Bernard Valcourt</t>
        </is>
      </c>
      <c r="F3809" t="inlineStr">
        <is>
          <t>Various meetings and announcements for ACOA</t>
        </is>
      </c>
      <c r="G3809" t="inlineStr">
        <is>
          <t>Diverses rencontres et annonces pour l'APECA</t>
        </is>
      </c>
      <c r="H3809" s="1" t="n">
        <v>40917</v>
      </c>
      <c r="I3809" s="1" t="n">
        <v>40920</v>
      </c>
      <c r="J3809" t="inlineStr">
        <is>
          <t>Charlottetown, Prince Edward Island and Halifax, Nova Scotia</t>
        </is>
      </c>
      <c r="K3809" t="inlineStr">
        <is>
          <t>Chalottetown (Île-du-Prince-Édouard) et Halifax (Nouvelle-Écosse)</t>
        </is>
      </c>
      <c r="P3809" t="n">
        <v>1896.54</v>
      </c>
      <c r="Q3809" t="n">
        <v>0</v>
      </c>
      <c r="R3809" t="n">
        <v>367.55</v>
      </c>
      <c r="S3809" t="n">
        <v>248.05</v>
      </c>
      <c r="T3809" t="n">
        <v>0</v>
      </c>
      <c r="U3809" t="n">
        <v>2512.14</v>
      </c>
      <c r="X3809" t="inlineStr">
        <is>
          <t>acoa-apeca</t>
        </is>
      </c>
      <c r="Y3809" t="inlineStr">
        <is>
          <t>Atlantic Canada Opportunities Agency | Agence de promotion économique du Canada atlantique</t>
        </is>
      </c>
    </row>
    <row r="3810">
      <c r="A3810" t="inlineStr">
        <is>
          <t>T-2012-Q4-00018</t>
        </is>
      </c>
      <c r="B3810" t="inlineStr">
        <is>
          <t>MPSES</t>
        </is>
      </c>
      <c r="C3810" t="inlineStr">
        <is>
          <t>Executive Assistant and Press Secretary</t>
        </is>
      </c>
      <c r="D3810" t="inlineStr">
        <is>
          <t>Adjointe exécutive et attaché de presse</t>
        </is>
      </c>
      <c r="E3810" t="inlineStr">
        <is>
          <t>Andrea Richer</t>
        </is>
      </c>
      <c r="F3810" t="inlineStr">
        <is>
          <t>Travel with MoS to attend ACOA meetings and announcements</t>
        </is>
      </c>
      <c r="G3810" t="inlineStr">
        <is>
          <t>Voyage pour assister à des réunions et à des annonces de l'APECA avec le ministre d'État</t>
        </is>
      </c>
      <c r="H3810" s="1" t="n">
        <v>40917</v>
      </c>
      <c r="I3810" s="1" t="n">
        <v>40920</v>
      </c>
      <c r="J3810" t="inlineStr">
        <is>
          <t>Charlottetown, Prince Edward Island - Halifax, Nova Scotia - St. John's, Newfoundland</t>
        </is>
      </c>
      <c r="K3810" t="inlineStr">
        <is>
          <t>Charlottetown (Île-du-Prince-Édouard), Halifax (Nouvelle-Écosse) et St. John's (Terre-Neuve-et-Labrador)</t>
        </is>
      </c>
      <c r="P3810" t="n">
        <v>1673.59</v>
      </c>
      <c r="Q3810" t="n">
        <v>42</v>
      </c>
      <c r="R3810" t="n">
        <v>367.55</v>
      </c>
      <c r="S3810" t="n">
        <v>265.35</v>
      </c>
      <c r="T3810" t="n">
        <v>0</v>
      </c>
      <c r="U3810" t="n">
        <v>2348.49</v>
      </c>
      <c r="X3810" t="inlineStr">
        <is>
          <t>acoa-apeca</t>
        </is>
      </c>
      <c r="Y3810" t="inlineStr">
        <is>
          <t>Atlantic Canada Opportunities Agency | Agence de promotion économique du Canada atlantique</t>
        </is>
      </c>
    </row>
    <row r="3811">
      <c r="A3811" t="inlineStr">
        <is>
          <t>T-2012-Q4-00017</t>
        </is>
      </c>
      <c r="B3811" t="inlineStr">
        <is>
          <t>SLE</t>
        </is>
      </c>
      <c r="C3811" t="inlineStr">
        <is>
          <t>Vice-President, Prince Edward Island</t>
        </is>
      </c>
      <c r="D3811" t="inlineStr">
        <is>
          <t>Vice-président, Île-du-Prince-Édouard</t>
        </is>
      </c>
      <c r="E3811" t="inlineStr">
        <is>
          <t>Patrick Dorsey</t>
        </is>
      </c>
      <c r="F3811" t="inlineStr">
        <is>
          <t>Drove Minister to meetings in Amherst</t>
        </is>
      </c>
      <c r="G3811" t="inlineStr">
        <is>
          <t>Conduire le ministre à des réunions à Amherst</t>
        </is>
      </c>
      <c r="H3811" s="1" t="n">
        <v>40917</v>
      </c>
      <c r="I3811" s="1" t="n">
        <v>40917</v>
      </c>
      <c r="J3811" t="inlineStr">
        <is>
          <t>Amherst, Nova Scotia</t>
        </is>
      </c>
      <c r="K3811" t="inlineStr">
        <is>
          <t>Amherst (Nouvelle-Écosse)</t>
        </is>
      </c>
      <c r="P3811" t="n">
        <v>0</v>
      </c>
      <c r="Q3811" t="n">
        <v>84.55</v>
      </c>
      <c r="R3811" t="n">
        <v>0</v>
      </c>
      <c r="S3811" t="n">
        <v>0</v>
      </c>
      <c r="T3811" t="n">
        <v>0</v>
      </c>
      <c r="U3811" t="n">
        <v>84.55</v>
      </c>
      <c r="X3811" t="inlineStr">
        <is>
          <t>acoa-apeca</t>
        </is>
      </c>
      <c r="Y3811" t="inlineStr">
        <is>
          <t>Atlantic Canada Opportunities Agency | Agence de promotion économique du Canada atlantique</t>
        </is>
      </c>
    </row>
    <row r="3812">
      <c r="A3812" t="inlineStr">
        <is>
          <t>T-2012-Q4-00016</t>
        </is>
      </c>
      <c r="B3812" t="inlineStr">
        <is>
          <t>SLE</t>
        </is>
      </c>
      <c r="C3812" t="inlineStr">
        <is>
          <t>President</t>
        </is>
      </c>
      <c r="D3812" t="inlineStr">
        <is>
          <t>Président</t>
        </is>
      </c>
      <c r="E3812" t="inlineStr">
        <is>
          <t>Paul J. LeBlanc</t>
        </is>
      </c>
      <c r="F3812" t="inlineStr">
        <is>
          <t>For meetings with Agency officials and various stakeholders</t>
        </is>
      </c>
      <c r="G3812" t="inlineStr">
        <is>
          <t>Réunions avec des fonctionnaires de l'Agence et divers intervenants</t>
        </is>
      </c>
      <c r="H3812" s="1" t="n">
        <v>40917</v>
      </c>
      <c r="I3812" s="1" t="n">
        <v>40917</v>
      </c>
      <c r="J3812" t="inlineStr">
        <is>
          <t>Charlottetown, Prince Edward Island</t>
        </is>
      </c>
      <c r="K3812" t="inlineStr">
        <is>
          <t>Charlottetown (Île-du-Prince-Édouard)</t>
        </is>
      </c>
      <c r="P3812" t="n">
        <v>0</v>
      </c>
      <c r="Q3812" t="n">
        <v>0</v>
      </c>
      <c r="R3812" t="n">
        <v>0</v>
      </c>
      <c r="S3812" t="n">
        <v>54.9</v>
      </c>
      <c r="T3812" t="n">
        <v>0</v>
      </c>
      <c r="U3812" t="n">
        <v>54.9</v>
      </c>
      <c r="X3812" t="inlineStr">
        <is>
          <t>acoa-apeca</t>
        </is>
      </c>
      <c r="Y3812" t="inlineStr">
        <is>
          <t>Atlantic Canada Opportunities Agency | Agence de promotion économique du Canada atlantique</t>
        </is>
      </c>
    </row>
    <row r="3813">
      <c r="A3813" t="inlineStr">
        <is>
          <t>T-2012-Q4-00015</t>
        </is>
      </c>
      <c r="B3813" t="inlineStr">
        <is>
          <t>SLE</t>
        </is>
      </c>
      <c r="C3813" t="inlineStr">
        <is>
          <t>Vice-President, Newfoundland and Labrador</t>
        </is>
      </c>
      <c r="D3813" t="inlineStr">
        <is>
          <t>Vice-président, Terre-Neuve-et-Labrador</t>
        </is>
      </c>
      <c r="E3813" t="inlineStr">
        <is>
          <t>Paul Mills</t>
        </is>
      </c>
      <c r="F3813" t="inlineStr">
        <is>
          <t>Mileage for meetings in St. John's, Newfoundland and Labrador</t>
        </is>
      </c>
      <c r="G3813" t="inlineStr">
        <is>
          <t>Kilométrage pour réunions à St. John's (Terre-Neuve-et-Labrador)</t>
        </is>
      </c>
      <c r="H3813" s="1" t="n">
        <v>40909</v>
      </c>
      <c r="I3813" s="1" t="n">
        <v>41089</v>
      </c>
      <c r="J3813" t="inlineStr">
        <is>
          <t>St. John's, Newfoundland and Labrador</t>
        </is>
      </c>
      <c r="K3813" t="inlineStr">
        <is>
          <t>St. John's (Terre-Neuve-et-Labrador)</t>
        </is>
      </c>
      <c r="P3813" t="n">
        <v>0</v>
      </c>
      <c r="Q3813" t="n">
        <v>65.16</v>
      </c>
      <c r="R3813" t="n">
        <v>0</v>
      </c>
      <c r="S3813" t="n">
        <v>0</v>
      </c>
      <c r="T3813" t="n">
        <v>0</v>
      </c>
      <c r="U3813" t="n">
        <v>65.16</v>
      </c>
      <c r="X3813" t="inlineStr">
        <is>
          <t>acoa-apeca</t>
        </is>
      </c>
      <c r="Y3813" t="inlineStr">
        <is>
          <t>Atlantic Canada Opportunities Agency | Agence de promotion économique du Canada atlantique</t>
        </is>
      </c>
    </row>
    <row r="3814">
      <c r="A3814" t="inlineStr">
        <is>
          <t>T-2012-Q4-00014</t>
        </is>
      </c>
      <c r="B3814" t="inlineStr">
        <is>
          <t>SLE</t>
        </is>
      </c>
      <c r="C3814" t="inlineStr">
        <is>
          <t>Vice President, Nova Scotia</t>
        </is>
      </c>
      <c r="D3814" t="inlineStr">
        <is>
          <t>Vice-président, Nouvelle-Écosse</t>
        </is>
      </c>
      <c r="E3814" t="inlineStr">
        <is>
          <t>Peter Hogan</t>
        </is>
      </c>
      <c r="F3814" t="inlineStr">
        <is>
          <t xml:space="preserve">National meeting of the Labour Management Consultation Committee </t>
        </is>
      </c>
      <c r="G3814" t="inlineStr">
        <is>
          <t>Réunion nationale du Comité consultatif patronal-syndical</t>
        </is>
      </c>
      <c r="H3814" s="1" t="n">
        <v>40896</v>
      </c>
      <c r="I3814" s="1" t="n">
        <v>40896</v>
      </c>
      <c r="J3814" t="inlineStr">
        <is>
          <t>Moncton, New Brunswick</t>
        </is>
      </c>
      <c r="K3814" t="inlineStr">
        <is>
          <t>Moncton (Nouveau-Brunswick)</t>
        </is>
      </c>
      <c r="P3814" t="n">
        <v>0</v>
      </c>
      <c r="Q3814" t="n">
        <v>8</v>
      </c>
      <c r="R3814" t="n">
        <v>0</v>
      </c>
      <c r="S3814" t="n">
        <v>14.6</v>
      </c>
      <c r="T3814" t="n">
        <v>0</v>
      </c>
      <c r="U3814" t="n">
        <v>22.6</v>
      </c>
      <c r="X3814" t="inlineStr">
        <is>
          <t>acoa-apeca</t>
        </is>
      </c>
      <c r="Y3814" t="inlineStr">
        <is>
          <t>Atlantic Canada Opportunities Agency | Agence de promotion économique du Canada atlantique</t>
        </is>
      </c>
    </row>
    <row r="3815">
      <c r="A3815" t="inlineStr">
        <is>
          <t>T-2012-Q4-00013</t>
        </is>
      </c>
      <c r="B3815" t="inlineStr">
        <is>
          <t>SLE</t>
        </is>
      </c>
      <c r="C3815" t="inlineStr">
        <is>
          <t>Vice President, Nova Scotia</t>
        </is>
      </c>
      <c r="D3815" t="inlineStr">
        <is>
          <t>Vice-président, Nouvelle-Écosse</t>
        </is>
      </c>
      <c r="E3815" t="inlineStr">
        <is>
          <t>Peter Hogan</t>
        </is>
      </c>
      <c r="F3815" t="inlineStr">
        <is>
          <t>Senior executives meeting</t>
        </is>
      </c>
      <c r="G3815" t="inlineStr">
        <is>
          <t>Réunion des cadres supérieurs</t>
        </is>
      </c>
      <c r="H3815" s="1" t="n">
        <v>40891</v>
      </c>
      <c r="I3815" s="1" t="n">
        <v>40892</v>
      </c>
      <c r="J3815" t="inlineStr">
        <is>
          <t>Moncton, New Brunswick</t>
        </is>
      </c>
      <c r="K3815" t="inlineStr">
        <is>
          <t>Moncton (Nouveau-Brunswick)</t>
        </is>
      </c>
      <c r="P3815" t="n">
        <v>0</v>
      </c>
      <c r="Q3815" t="n">
        <v>13.28</v>
      </c>
      <c r="R3815" t="n">
        <v>145.77</v>
      </c>
      <c r="S3815" t="n">
        <v>90.25</v>
      </c>
      <c r="T3815" t="n">
        <v>0</v>
      </c>
      <c r="U3815" t="n">
        <v>249.3</v>
      </c>
      <c r="X3815" t="inlineStr">
        <is>
          <t>acoa-apeca</t>
        </is>
      </c>
      <c r="Y3815" t="inlineStr">
        <is>
          <t>Atlantic Canada Opportunities Agency | Agence de promotion économique du Canada atlantique</t>
        </is>
      </c>
    </row>
    <row r="3816">
      <c r="A3816" t="inlineStr">
        <is>
          <t>T-2012-Q4-00011</t>
        </is>
      </c>
      <c r="B3816" t="inlineStr">
        <is>
          <t>SLE</t>
        </is>
      </c>
      <c r="C3816" t="inlineStr">
        <is>
          <t>Vice-President, Prince Edward Island</t>
        </is>
      </c>
      <c r="D3816" t="inlineStr">
        <is>
          <t>Vice-président, Île-du-Prince-Édouard</t>
        </is>
      </c>
      <c r="E3816" t="inlineStr">
        <is>
          <t>Patrick Dorsey</t>
        </is>
      </c>
      <c r="F3816" t="inlineStr">
        <is>
          <t xml:space="preserve">To attend an Executive Committee meeting </t>
        </is>
      </c>
      <c r="G3816" t="inlineStr">
        <is>
          <t>Assister à une réunion du Comité de direction</t>
        </is>
      </c>
      <c r="H3816" s="1" t="n">
        <v>40891</v>
      </c>
      <c r="I3816" s="1" t="n">
        <v>40892</v>
      </c>
      <c r="J3816" t="inlineStr">
        <is>
          <t>Moncton, New Brunswick</t>
        </is>
      </c>
      <c r="K3816" t="inlineStr">
        <is>
          <t>Moncton (Nouveau-Brunswick)</t>
        </is>
      </c>
      <c r="P3816" t="n">
        <v>0</v>
      </c>
      <c r="Q3816" t="n">
        <v>43.35</v>
      </c>
      <c r="R3816" t="n">
        <v>145.77</v>
      </c>
      <c r="S3816" t="n">
        <v>90.25</v>
      </c>
      <c r="T3816" t="n">
        <v>0</v>
      </c>
      <c r="U3816" t="n">
        <v>279.37</v>
      </c>
      <c r="X3816" t="inlineStr">
        <is>
          <t>acoa-apeca</t>
        </is>
      </c>
      <c r="Y3816" t="inlineStr">
        <is>
          <t>Atlantic Canada Opportunities Agency | Agence de promotion économique du Canada atlantique</t>
        </is>
      </c>
    </row>
    <row r="3817">
      <c r="A3817" t="inlineStr">
        <is>
          <t>T-2012-Q4-00009</t>
        </is>
      </c>
      <c r="B3817" t="inlineStr">
        <is>
          <t>SLE</t>
        </is>
      </c>
      <c r="C3817" t="inlineStr">
        <is>
          <t>Vice-President, New Brunswick</t>
        </is>
      </c>
      <c r="D3817" t="inlineStr">
        <is>
          <t>Vice-présidente, Nouveau-Brunswick</t>
        </is>
      </c>
      <c r="E3817" t="inlineStr">
        <is>
          <t>Janet Gagnon</t>
        </is>
      </c>
      <c r="F3817" t="inlineStr">
        <is>
          <t>Executive Committee meeting and New Brunswick Federal Council meeting</t>
        </is>
      </c>
      <c r="G3817" t="inlineStr">
        <is>
          <t>Réunion du Comité de direction et réunion du Conseil fédéral du Nouveau-Brunswick</t>
        </is>
      </c>
      <c r="H3817" s="1" t="n">
        <v>40890</v>
      </c>
      <c r="I3817" s="1" t="n">
        <v>40892</v>
      </c>
      <c r="J3817" t="inlineStr">
        <is>
          <t>Moncton, New Brunswick</t>
        </is>
      </c>
      <c r="K3817" t="inlineStr">
        <is>
          <t>Moncton (Nouveau-Brunswick)</t>
        </is>
      </c>
      <c r="P3817" t="n">
        <v>0</v>
      </c>
      <c r="Q3817" t="n">
        <v>0</v>
      </c>
      <c r="R3817" t="n">
        <v>291.54</v>
      </c>
      <c r="S3817" t="n">
        <v>187.4</v>
      </c>
      <c r="T3817" t="n">
        <v>18</v>
      </c>
      <c r="U3817" t="n">
        <v>496.94</v>
      </c>
      <c r="X3817" t="inlineStr">
        <is>
          <t>acoa-apeca</t>
        </is>
      </c>
      <c r="Y3817" t="inlineStr">
        <is>
          <t>Atlantic Canada Opportunities Agency | Agence de promotion économique du Canada atlantique</t>
        </is>
      </c>
    </row>
    <row r="3818">
      <c r="A3818" t="inlineStr">
        <is>
          <t>T-2012-Q4-00008</t>
        </is>
      </c>
      <c r="B3818" t="inlineStr">
        <is>
          <t>SLE</t>
        </is>
      </c>
      <c r="C3818" t="inlineStr">
        <is>
          <t>Vice-President, Newfoundland and Labrador</t>
        </is>
      </c>
      <c r="D3818" t="inlineStr">
        <is>
          <t>Vice-président, Terre-Neuve-et-Labrador</t>
        </is>
      </c>
      <c r="E3818" t="inlineStr">
        <is>
          <t>Paul Mills</t>
        </is>
      </c>
      <c r="F3818" t="inlineStr">
        <is>
          <t>To attend meeting with senior government officials and Executive Committee meeting</t>
        </is>
      </c>
      <c r="G3818" t="inlineStr">
        <is>
          <t>Assister à une réunion avec des hauts fonctionnaires et à une réunion du Comité de direction</t>
        </is>
      </c>
      <c r="H3818" s="1" t="n">
        <v>40890</v>
      </c>
      <c r="I3818" s="1" t="n">
        <v>40892</v>
      </c>
      <c r="J3818" t="inlineStr">
        <is>
          <t>Ottawa, Ontario and Moncton, New Brunswick</t>
        </is>
      </c>
      <c r="K3818" t="inlineStr">
        <is>
          <t>Ottawa (Ontario) et Moncton (Nouveau-Brunswick)</t>
        </is>
      </c>
      <c r="P3818" t="n">
        <v>1377.02</v>
      </c>
      <c r="Q3818" t="n">
        <v>306.19</v>
      </c>
      <c r="R3818" t="n">
        <v>319.26</v>
      </c>
      <c r="S3818" t="n">
        <v>248.05</v>
      </c>
      <c r="T3818" t="n">
        <v>54.53</v>
      </c>
      <c r="U3818" t="n">
        <v>2305.05</v>
      </c>
      <c r="X3818" t="inlineStr">
        <is>
          <t>acoa-apeca</t>
        </is>
      </c>
      <c r="Y3818" t="inlineStr">
        <is>
          <t>Atlantic Canada Opportunities Agency | Agence de promotion économique du Canada atlantique</t>
        </is>
      </c>
    </row>
    <row r="3819">
      <c r="A3819" t="inlineStr">
        <is>
          <t>T-2012-Q4-00007</t>
        </is>
      </c>
      <c r="B3819" t="inlineStr">
        <is>
          <t>SLE</t>
        </is>
      </c>
      <c r="C3819" t="inlineStr">
        <is>
          <t>President</t>
        </is>
      </c>
      <c r="D3819" t="inlineStr">
        <is>
          <t>Président</t>
        </is>
      </c>
      <c r="E3819" t="inlineStr">
        <is>
          <t>Paul J. LeBlanc</t>
        </is>
      </c>
      <c r="F3819" t="inlineStr">
        <is>
          <t>For various meetings and discussions with: Agency officials; with Government of Canada officials</t>
        </is>
      </c>
      <c r="G3819" t="inlineStr">
        <is>
          <t>Diverses réunions et discussions avec des fonctionnaires de l'Agence et du gouvernement du Canada</t>
        </is>
      </c>
      <c r="H3819" s="1" t="n">
        <v>40890</v>
      </c>
      <c r="I3819" s="1" t="n">
        <v>40891</v>
      </c>
      <c r="J3819" t="inlineStr">
        <is>
          <t>Ottawa, Ontario</t>
        </is>
      </c>
      <c r="K3819" t="inlineStr">
        <is>
          <t>Ottawa (Ontario)</t>
        </is>
      </c>
      <c r="P3819" t="n">
        <v>727.36</v>
      </c>
      <c r="Q3819" t="n">
        <v>0</v>
      </c>
      <c r="R3819" t="n">
        <v>174.02</v>
      </c>
      <c r="S3819" t="n">
        <v>89.5</v>
      </c>
      <c r="T3819" t="n">
        <v>139.77</v>
      </c>
      <c r="U3819" t="n">
        <v>1130.65</v>
      </c>
      <c r="X3819" t="inlineStr">
        <is>
          <t>acoa-apeca</t>
        </is>
      </c>
      <c r="Y3819" t="inlineStr">
        <is>
          <t>Atlantic Canada Opportunities Agency | Agence de promotion économique du Canada atlantique</t>
        </is>
      </c>
    </row>
    <row r="3820">
      <c r="A3820" t="inlineStr">
        <is>
          <t>T-2012-Q4-00004</t>
        </is>
      </c>
      <c r="B3820" t="inlineStr">
        <is>
          <t>SLE</t>
        </is>
      </c>
      <c r="C3820" t="inlineStr">
        <is>
          <t>President</t>
        </is>
      </c>
      <c r="D3820" t="inlineStr">
        <is>
          <t>Président</t>
        </is>
      </c>
      <c r="E3820" t="inlineStr">
        <is>
          <t>Paul J. LeBlanc</t>
        </is>
      </c>
      <c r="F3820" t="inlineStr">
        <is>
          <t>For various meetings and discussions with Agency officials; and with Government of Canada officials</t>
        </is>
      </c>
      <c r="G3820" t="inlineStr">
        <is>
          <t>Diverses réunions et discussions avec des fonctionnaires de l'Agence et du gouvernement du Canada</t>
        </is>
      </c>
      <c r="H3820" s="1" t="n">
        <v>40883</v>
      </c>
      <c r="I3820" s="1" t="n">
        <v>40886</v>
      </c>
      <c r="J3820" t="inlineStr">
        <is>
          <t>Ottawa, Ontario</t>
        </is>
      </c>
      <c r="K3820" t="inlineStr">
        <is>
          <t>Ottawa (Ontario)</t>
        </is>
      </c>
      <c r="P3820" t="n">
        <v>727.36</v>
      </c>
      <c r="Q3820" t="n">
        <v>0</v>
      </c>
      <c r="R3820" t="n">
        <v>522.0599999999999</v>
      </c>
      <c r="S3820" t="n">
        <v>304.9</v>
      </c>
      <c r="T3820" t="n">
        <v>60</v>
      </c>
      <c r="U3820" t="n">
        <v>1614.32</v>
      </c>
      <c r="X3820" t="inlineStr">
        <is>
          <t>acoa-apeca</t>
        </is>
      </c>
      <c r="Y3820" t="inlineStr">
        <is>
          <t>Atlantic Canada Opportunities Agency | Agence de promotion économique du Canada atlantique</t>
        </is>
      </c>
    </row>
    <row r="3821">
      <c r="A3821" t="inlineStr">
        <is>
          <t>T-2012-Q4-00003</t>
        </is>
      </c>
      <c r="B3821" t="inlineStr">
        <is>
          <t>SLE</t>
        </is>
      </c>
      <c r="C3821" t="inlineStr">
        <is>
          <t>Vice-President, Prince Edward Island</t>
        </is>
      </c>
      <c r="D3821" t="inlineStr">
        <is>
          <t>Vice-président, Île-du-Prince-Édouard</t>
        </is>
      </c>
      <c r="E3821" t="inlineStr">
        <is>
          <t>Patrick Dorsey</t>
        </is>
      </c>
      <c r="F3821" t="inlineStr">
        <is>
          <t>To attend meetings in Ottawa</t>
        </is>
      </c>
      <c r="G3821" t="inlineStr">
        <is>
          <t>Assister à des réunions à Ottawa</t>
        </is>
      </c>
      <c r="H3821" s="1" t="n">
        <v>40882</v>
      </c>
      <c r="I3821" s="1" t="n">
        <v>40883</v>
      </c>
      <c r="J3821" t="inlineStr">
        <is>
          <t>Ottawa, Ontario</t>
        </is>
      </c>
      <c r="K3821" t="inlineStr">
        <is>
          <t>Ottawa (Ontario)</t>
        </is>
      </c>
      <c r="P3821" t="n">
        <v>643.17</v>
      </c>
      <c r="Q3821" t="n">
        <v>74</v>
      </c>
      <c r="R3821" t="n">
        <v>175.15</v>
      </c>
      <c r="S3821" t="n">
        <v>119.45</v>
      </c>
      <c r="T3821" t="n">
        <v>0</v>
      </c>
      <c r="U3821" t="n">
        <v>1011.77</v>
      </c>
      <c r="X3821" t="inlineStr">
        <is>
          <t>acoa-apeca</t>
        </is>
      </c>
      <c r="Y3821" t="inlineStr">
        <is>
          <t>Atlantic Canada Opportunities Agency | Agence de promotion économique du Canada atlantique</t>
        </is>
      </c>
    </row>
    <row r="3822">
      <c r="A3822" t="inlineStr">
        <is>
          <t>T-2012-Q3-00089</t>
        </is>
      </c>
      <c r="B3822" t="inlineStr">
        <is>
          <t>SLE</t>
        </is>
      </c>
      <c r="C3822" t="inlineStr">
        <is>
          <t>Vice-President, Finance and Corporate Services</t>
        </is>
      </c>
      <c r="D3822" t="inlineStr">
        <is>
          <t>Vice-présidente, Finances et Services corporatifs</t>
        </is>
      </c>
      <c r="E3822" t="inlineStr">
        <is>
          <t>Denise Frenette</t>
        </is>
      </c>
      <c r="F3822" t="inlineStr">
        <is>
          <t xml:space="preserve">Meetings with Agency officials </t>
        </is>
      </c>
      <c r="G3822" t="inlineStr">
        <is>
          <t>Réunions avec des fonctionnaires de l'Agence</t>
        </is>
      </c>
      <c r="H3822" s="1" t="n">
        <v>40878</v>
      </c>
      <c r="I3822" s="1" t="n">
        <v>40879</v>
      </c>
      <c r="J3822" t="inlineStr">
        <is>
          <t>Fredericton, New Brunswick</t>
        </is>
      </c>
      <c r="K3822" t="inlineStr">
        <is>
          <t>Fredericton (Nouveau-Brunswick)</t>
        </is>
      </c>
      <c r="P3822" t="n">
        <v>0</v>
      </c>
      <c r="Q3822" t="n">
        <v>0</v>
      </c>
      <c r="R3822" t="n">
        <v>162.72</v>
      </c>
      <c r="S3822" t="n">
        <v>89.5</v>
      </c>
      <c r="T3822" t="n">
        <v>0</v>
      </c>
      <c r="U3822" t="n">
        <v>252.22</v>
      </c>
      <c r="X3822" t="inlineStr">
        <is>
          <t>acoa-apeca</t>
        </is>
      </c>
      <c r="Y3822" t="inlineStr">
        <is>
          <t>Atlantic Canada Opportunities Agency | Agence de promotion économique du Canada atlantique</t>
        </is>
      </c>
    </row>
    <row r="3823">
      <c r="A3823" t="inlineStr">
        <is>
          <t>T-2012-Q3-00088</t>
        </is>
      </c>
      <c r="B3823" t="inlineStr">
        <is>
          <t>SLE</t>
        </is>
      </c>
      <c r="C3823" t="inlineStr">
        <is>
          <t>Vice President, Nova Scotia</t>
        </is>
      </c>
      <c r="D3823" t="inlineStr">
        <is>
          <t>Vice-président, Nouvelle-Écosse</t>
        </is>
      </c>
      <c r="E3823" t="inlineStr">
        <is>
          <t>Peter Hogan</t>
        </is>
      </c>
      <c r="F3823" t="inlineStr">
        <is>
          <t>Atlantic Canada Opportunities Board meeting and meeting with the President and Regional Vice-Presidents</t>
        </is>
      </c>
      <c r="G3823" t="inlineStr">
        <is>
          <t>Réunion du Conseil de promotion économique du Canada atlantique et réunion avec le président et les vice-présidents régionaux</t>
        </is>
      </c>
      <c r="H3823" s="1" t="n">
        <v>40877</v>
      </c>
      <c r="I3823" s="1" t="n">
        <v>40879</v>
      </c>
      <c r="J3823" t="inlineStr">
        <is>
          <t>Fredericton and Moncton, New Brunswick</t>
        </is>
      </c>
      <c r="K3823" t="inlineStr">
        <is>
          <t>Fredericton et Moncton (Nouveau-Brunswick)</t>
        </is>
      </c>
      <c r="P3823" t="n">
        <v>868.4400000000001</v>
      </c>
      <c r="Q3823" t="n">
        <v>107.2</v>
      </c>
      <c r="R3823" t="n">
        <v>302.84</v>
      </c>
      <c r="S3823" t="n">
        <v>177.8</v>
      </c>
      <c r="T3823" t="n">
        <v>0</v>
      </c>
      <c r="U3823" t="n">
        <v>1456.28</v>
      </c>
      <c r="X3823" t="inlineStr">
        <is>
          <t>acoa-apeca</t>
        </is>
      </c>
      <c r="Y3823" t="inlineStr">
        <is>
          <t>Atlantic Canada Opportunities Agency | Agence de promotion économique du Canada atlantique</t>
        </is>
      </c>
    </row>
    <row r="3824">
      <c r="A3824" t="inlineStr">
        <is>
          <t>T-2012-Q3-00085</t>
        </is>
      </c>
      <c r="B3824" t="inlineStr">
        <is>
          <t>SLE</t>
        </is>
      </c>
      <c r="C3824" t="inlineStr">
        <is>
          <t>President</t>
        </is>
      </c>
      <c r="D3824" t="inlineStr">
        <is>
          <t>Président</t>
        </is>
      </c>
      <c r="E3824" t="inlineStr">
        <is>
          <t>Paul J. LeBlanc</t>
        </is>
      </c>
      <c r="F3824" t="inlineStr">
        <is>
          <t>For various meetings and discussions with Agency officials</t>
        </is>
      </c>
      <c r="G3824" t="inlineStr">
        <is>
          <t>Diverses réunions et discussions avec des fonctionnaires de l'Agence</t>
        </is>
      </c>
      <c r="H3824" s="1" t="n">
        <v>40877</v>
      </c>
      <c r="I3824" s="1" t="n">
        <v>40879</v>
      </c>
      <c r="J3824" t="inlineStr">
        <is>
          <t>Fredericton, New Brunswick</t>
        </is>
      </c>
      <c r="K3824" t="inlineStr">
        <is>
          <t>Fredericton (Nouveau-Brunswick)</t>
        </is>
      </c>
      <c r="P3824" t="n">
        <v>0</v>
      </c>
      <c r="Q3824" t="n">
        <v>0</v>
      </c>
      <c r="R3824" t="n">
        <v>325.44</v>
      </c>
      <c r="S3824" t="n">
        <v>177.8</v>
      </c>
      <c r="T3824" t="n">
        <v>179.5</v>
      </c>
      <c r="U3824" t="n">
        <v>682.74</v>
      </c>
      <c r="X3824" t="inlineStr">
        <is>
          <t>acoa-apeca</t>
        </is>
      </c>
      <c r="Y3824" t="inlineStr">
        <is>
          <t>Atlantic Canada Opportunities Agency | Agence de promotion économique du Canada atlantique</t>
        </is>
      </c>
    </row>
    <row r="3825">
      <c r="A3825" t="inlineStr">
        <is>
          <t>T-2012-Q3-00083</t>
        </is>
      </c>
      <c r="B3825" t="inlineStr">
        <is>
          <t>MPSES</t>
        </is>
      </c>
      <c r="C3825" t="inlineStr">
        <is>
          <t>Chief of Staff</t>
        </is>
      </c>
      <c r="D3825" t="inlineStr">
        <is>
          <t>Chef de cabinet</t>
        </is>
      </c>
      <c r="E3825" t="inlineStr">
        <is>
          <t>Mélisa Leclerc</t>
        </is>
      </c>
      <c r="F3825" t="inlineStr">
        <is>
          <t>Travel with MoS to attend various Francophonie related events and meetings</t>
        </is>
      </c>
      <c r="G3825" t="inlineStr">
        <is>
          <t>Voyage pour assister à diveres activités et réunions liées à la Francophonie avec le ministre d'État</t>
        </is>
      </c>
      <c r="H3825" s="1" t="n">
        <v>40876</v>
      </c>
      <c r="I3825" s="1" t="n">
        <v>40884</v>
      </c>
      <c r="J3825" t="inlineStr">
        <is>
          <t>Paris, France</t>
        </is>
      </c>
      <c r="K3825" t="inlineStr">
        <is>
          <t>Paris (France)</t>
        </is>
      </c>
      <c r="P3825" t="n">
        <v>1323.34</v>
      </c>
      <c r="Q3825" t="n">
        <v>84</v>
      </c>
      <c r="R3825" t="n">
        <v>2268.89</v>
      </c>
      <c r="S3825" t="n">
        <v>967.62</v>
      </c>
      <c r="T3825" t="n">
        <v>0</v>
      </c>
      <c r="U3825" t="n">
        <v>4643.85</v>
      </c>
      <c r="X3825" t="inlineStr">
        <is>
          <t>acoa-apeca</t>
        </is>
      </c>
      <c r="Y3825" t="inlineStr">
        <is>
          <t>Atlantic Canada Opportunities Agency | Agence de promotion économique du Canada atlantique</t>
        </is>
      </c>
    </row>
    <row r="3826">
      <c r="A3826" t="inlineStr">
        <is>
          <t>T-2012-Q3-00082</t>
        </is>
      </c>
      <c r="B3826" t="inlineStr">
        <is>
          <t>SLE</t>
        </is>
      </c>
      <c r="C3826" t="inlineStr">
        <is>
          <t>Vice-President, Prince Edward Island</t>
        </is>
      </c>
      <c r="D3826" t="inlineStr">
        <is>
          <t>Vice-président, Île-du-Prince-Édouard</t>
        </is>
      </c>
      <c r="E3826" t="inlineStr">
        <is>
          <t>Patrick Dorsey</t>
        </is>
      </c>
      <c r="F3826" t="inlineStr">
        <is>
          <t>Meetings Tourism Industry Association NS Conference and ACOA Board Meeting and Executive Committee</t>
        </is>
      </c>
      <c r="G3826" t="inlineStr">
        <is>
          <t>Réunions, conférence de l'association de l'industrie touristique de la Nouvelle-Écosse et réunions du Conseil de promotion économique du Canada atlantique et du Comité de direction</t>
        </is>
      </c>
      <c r="H3826" s="1" t="n">
        <v>40875</v>
      </c>
      <c r="I3826" s="1" t="n">
        <v>40879</v>
      </c>
      <c r="J3826" t="inlineStr">
        <is>
          <t>Halifax, Nova Scotia and Fredericton, New Brunswick</t>
        </is>
      </c>
      <c r="K3826" t="inlineStr">
        <is>
          <t>Halifax (Nouvelle-Écosse) / Fredericton (Nouveau-Brunswick)</t>
        </is>
      </c>
      <c r="P3826" t="n">
        <v>0</v>
      </c>
      <c r="Q3826" t="n">
        <v>114.13</v>
      </c>
      <c r="R3826" t="n">
        <v>618.7</v>
      </c>
      <c r="S3826" t="n">
        <v>272.3</v>
      </c>
      <c r="T3826" t="n">
        <v>0</v>
      </c>
      <c r="U3826" t="n">
        <v>1005.13</v>
      </c>
      <c r="X3826" t="inlineStr">
        <is>
          <t>acoa-apeca</t>
        </is>
      </c>
      <c r="Y3826" t="inlineStr">
        <is>
          <t>Atlantic Canada Opportunities Agency | Agence de promotion économique du Canada atlantique</t>
        </is>
      </c>
    </row>
    <row r="3827">
      <c r="A3827" t="inlineStr">
        <is>
          <t>T-2012-Q3-00079</t>
        </is>
      </c>
      <c r="B3827" t="inlineStr">
        <is>
          <t>SLE</t>
        </is>
      </c>
      <c r="C3827" t="inlineStr">
        <is>
          <t>Vice-President, New Brunswick</t>
        </is>
      </c>
      <c r="D3827" t="inlineStr">
        <is>
          <t>Vice-présidente, Nouveau-Brunswick</t>
        </is>
      </c>
      <c r="E3827" t="inlineStr">
        <is>
          <t>Janet Gagnon</t>
        </is>
      </c>
      <c r="F3827" t="inlineStr">
        <is>
          <t>Member of interview board during interview process for ACOA Nova Scotia</t>
        </is>
      </c>
      <c r="G3827" t="inlineStr">
        <is>
          <t>Faire partie du comité de sélection dans le cadre d'un processus de sélection du bureau de l'APECA en Nouvelle-Écosse</t>
        </is>
      </c>
      <c r="H3827" s="1" t="n">
        <v>40868</v>
      </c>
      <c r="I3827" s="1" t="n">
        <v>40869</v>
      </c>
      <c r="J3827" t="inlineStr">
        <is>
          <t>Halifax, Nova Scotia</t>
        </is>
      </c>
      <c r="K3827" t="inlineStr">
        <is>
          <t>Halifax (Nouvelle-Écosse)</t>
        </is>
      </c>
      <c r="P3827" t="n">
        <v>643.99</v>
      </c>
      <c r="Q3827" t="n">
        <v>116</v>
      </c>
      <c r="R3827" t="n">
        <v>139.59</v>
      </c>
      <c r="S3827" t="n">
        <v>145.15</v>
      </c>
      <c r="T3827" t="n">
        <v>18</v>
      </c>
      <c r="U3827" t="n">
        <v>1062.73</v>
      </c>
      <c r="X3827" t="inlineStr">
        <is>
          <t>acoa-apeca</t>
        </is>
      </c>
      <c r="Y3827" t="inlineStr">
        <is>
          <t>Atlantic Canada Opportunities Agency | Agence de promotion économique du Canada atlantique</t>
        </is>
      </c>
    </row>
    <row r="3828">
      <c r="A3828" t="inlineStr">
        <is>
          <t>T-2012-Q3-00078</t>
        </is>
      </c>
      <c r="B3828" t="inlineStr">
        <is>
          <t>SLE</t>
        </is>
      </c>
      <c r="C3828" t="inlineStr">
        <is>
          <t>President</t>
        </is>
      </c>
      <c r="D3828" t="inlineStr">
        <is>
          <t>Président</t>
        </is>
      </c>
      <c r="E3828" t="inlineStr">
        <is>
          <t>Paul J. LeBlanc</t>
        </is>
      </c>
      <c r="F3828" t="inlineStr">
        <is>
          <t>For various meetings and discussions with Agency officials; and with Government of Canada officials</t>
        </is>
      </c>
      <c r="G3828" t="inlineStr">
        <is>
          <t>Diverses réunions et discussions avec des fonctionnaires de l'Agence et des fonctionnaires du gouvernement du Canada</t>
        </is>
      </c>
      <c r="H3828" s="1" t="n">
        <v>40868</v>
      </c>
      <c r="I3828" s="1" t="n">
        <v>40871</v>
      </c>
      <c r="J3828" t="inlineStr">
        <is>
          <t>Ottawa, Ontario</t>
        </is>
      </c>
      <c r="K3828" t="inlineStr">
        <is>
          <t>Ottawa (Ontario)</t>
        </is>
      </c>
      <c r="P3828" t="n">
        <v>727.36</v>
      </c>
      <c r="Q3828" t="n">
        <v>0</v>
      </c>
      <c r="R3828" t="n">
        <v>522.0599999999999</v>
      </c>
      <c r="S3828" t="n">
        <v>304.9</v>
      </c>
      <c r="T3828" t="n">
        <v>185.5</v>
      </c>
      <c r="U3828" t="n">
        <v>1739.82</v>
      </c>
      <c r="X3828" t="inlineStr">
        <is>
          <t>acoa-apeca</t>
        </is>
      </c>
      <c r="Y3828" t="inlineStr">
        <is>
          <t>Atlantic Canada Opportunities Agency | Agence de promotion économique du Canada atlantique</t>
        </is>
      </c>
    </row>
    <row r="3829">
      <c r="A3829" t="inlineStr">
        <is>
          <t>T-2012-Q3-00077</t>
        </is>
      </c>
      <c r="B3829" t="inlineStr">
        <is>
          <t>SLE</t>
        </is>
      </c>
      <c r="C3829" t="inlineStr">
        <is>
          <t>Vice-President, Newfoundland and Labrador</t>
        </is>
      </c>
      <c r="D3829" t="inlineStr">
        <is>
          <t>Vice-président, Terre-Neuve-et-Labrador</t>
        </is>
      </c>
      <c r="E3829" t="inlineStr">
        <is>
          <t>Paul Mills</t>
        </is>
      </c>
      <c r="F3829" t="inlineStr">
        <is>
          <t>To participate in DG OPS interviews in Halifax, NS</t>
        </is>
      </c>
      <c r="G3829" t="inlineStr">
        <is>
          <t>Participer aux entrevues des directeurs généraux des Opérations à Halifax (Nouvelle-Écosse)</t>
        </is>
      </c>
      <c r="H3829" s="1" t="n">
        <v>40868</v>
      </c>
      <c r="I3829" s="1" t="n">
        <v>40869</v>
      </c>
      <c r="J3829" t="inlineStr">
        <is>
          <t>Halifax, NS</t>
        </is>
      </c>
      <c r="K3829" t="inlineStr">
        <is>
          <t>Halifax (Nouvelle-Écosse)</t>
        </is>
      </c>
      <c r="P3829" t="n">
        <v>1377.02</v>
      </c>
      <c r="Q3829" t="n">
        <v>168</v>
      </c>
      <c r="R3829" t="n">
        <v>139.59</v>
      </c>
      <c r="S3829" t="n">
        <v>130.55</v>
      </c>
      <c r="T3829" t="n">
        <v>8.529999999999999</v>
      </c>
      <c r="U3829" t="n">
        <v>1823.69</v>
      </c>
      <c r="X3829" t="inlineStr">
        <is>
          <t>acoa-apeca</t>
        </is>
      </c>
      <c r="Y3829" t="inlineStr">
        <is>
          <t>Atlantic Canada Opportunities Agency | Agence de promotion économique du Canada atlantique</t>
        </is>
      </c>
    </row>
    <row r="3830">
      <c r="A3830" t="inlineStr">
        <is>
          <t>T-2012-Q3-00075</t>
        </is>
      </c>
      <c r="B3830" t="inlineStr">
        <is>
          <t>MPSES</t>
        </is>
      </c>
      <c r="C3830" t="inlineStr">
        <is>
          <t>Minister of State</t>
        </is>
      </c>
      <c r="D3830" t="inlineStr">
        <is>
          <t>Ministre d'État</t>
        </is>
      </c>
      <c r="E3830" t="inlineStr">
        <is>
          <t>Bernard Valcourt</t>
        </is>
      </c>
      <c r="F3830" t="inlineStr">
        <is>
          <t>Various meetings and announcements for ACOA</t>
        </is>
      </c>
      <c r="G3830" t="inlineStr">
        <is>
          <t>Diverses rencontres et annonces pour l'APECA</t>
        </is>
      </c>
      <c r="H3830" s="1" t="n">
        <v>40865</v>
      </c>
      <c r="I3830" s="1" t="n">
        <v>40867</v>
      </c>
      <c r="J3830" t="inlineStr">
        <is>
          <t>Moncton, New Brunswick</t>
        </is>
      </c>
      <c r="K3830" t="inlineStr">
        <is>
          <t>Moncton (Nouveau-Brunswick)</t>
        </is>
      </c>
      <c r="P3830" t="n">
        <v>703.6799999999999</v>
      </c>
      <c r="Q3830" t="n">
        <v>0</v>
      </c>
      <c r="R3830" t="n">
        <v>291.54</v>
      </c>
      <c r="S3830" t="n">
        <v>119.45</v>
      </c>
      <c r="T3830" t="n">
        <v>0</v>
      </c>
      <c r="U3830" t="n">
        <v>1114.67</v>
      </c>
      <c r="X3830" t="inlineStr">
        <is>
          <t>acoa-apeca</t>
        </is>
      </c>
      <c r="Y3830" t="inlineStr">
        <is>
          <t>Atlantic Canada Opportunities Agency | Agence de promotion économique du Canada atlantique</t>
        </is>
      </c>
    </row>
    <row r="3831">
      <c r="A3831" t="inlineStr">
        <is>
          <t>T-2012-Q3-00074</t>
        </is>
      </c>
      <c r="B3831" t="inlineStr">
        <is>
          <t>MPSES</t>
        </is>
      </c>
      <c r="C3831" t="inlineStr">
        <is>
          <t>Executive Assistant and Press Secretary</t>
        </is>
      </c>
      <c r="D3831" t="inlineStr">
        <is>
          <t>Adjointe exécutive et attaché de presse</t>
        </is>
      </c>
      <c r="E3831" t="inlineStr">
        <is>
          <t>Andrea Richer</t>
        </is>
      </c>
      <c r="F3831" t="inlineStr">
        <is>
          <t>Travel with MoS to attend ACOA meetings and events</t>
        </is>
      </c>
      <c r="G3831" t="inlineStr">
        <is>
          <t>Voyage pour assister à des réunions et à des évènements de l'APECA avec le ministre d'État</t>
        </is>
      </c>
      <c r="H3831" s="1" t="n">
        <v>40865</v>
      </c>
      <c r="I3831" s="1" t="n">
        <v>40867</v>
      </c>
      <c r="J3831" t="inlineStr">
        <is>
          <t>Moncton, New Brunswick</t>
        </is>
      </c>
      <c r="K3831" t="inlineStr">
        <is>
          <t>Moncton (Nouveau-Brunswick)</t>
        </is>
      </c>
      <c r="P3831" t="n">
        <v>703.6799999999999</v>
      </c>
      <c r="Q3831" t="n">
        <v>20.41</v>
      </c>
      <c r="R3831" t="n">
        <v>291.54</v>
      </c>
      <c r="S3831" t="n">
        <v>119.45</v>
      </c>
      <c r="T3831" t="n">
        <v>0</v>
      </c>
      <c r="U3831" t="n">
        <v>1135.08</v>
      </c>
      <c r="X3831" t="inlineStr">
        <is>
          <t>acoa-apeca</t>
        </is>
      </c>
      <c r="Y3831" t="inlineStr">
        <is>
          <t>Atlantic Canada Opportunities Agency | Agence de promotion économique du Canada atlantique</t>
        </is>
      </c>
    </row>
    <row r="3832">
      <c r="A3832" t="inlineStr">
        <is>
          <t>T-2012-Q3-00073</t>
        </is>
      </c>
      <c r="B3832" t="inlineStr">
        <is>
          <t>SLE</t>
        </is>
      </c>
      <c r="C3832" t="inlineStr">
        <is>
          <t>President</t>
        </is>
      </c>
      <c r="D3832" t="inlineStr">
        <is>
          <t>Président</t>
        </is>
      </c>
      <c r="E3832" t="inlineStr">
        <is>
          <t>Paul J. LeBlanc</t>
        </is>
      </c>
      <c r="F3832" t="inlineStr">
        <is>
          <t>To attend the Halifax International Security Forum</t>
        </is>
      </c>
      <c r="G3832" t="inlineStr">
        <is>
          <t>Assister au Forum international sur la sécurité d'Halifax</t>
        </is>
      </c>
      <c r="H3832" s="1" t="n">
        <v>40865</v>
      </c>
      <c r="I3832" s="1" t="n">
        <v>40866</v>
      </c>
      <c r="J3832" t="inlineStr">
        <is>
          <t>Halifax, Nova Scotia</t>
        </is>
      </c>
      <c r="K3832" t="inlineStr">
        <is>
          <t>Halifax (Nouvelle-Écosse)</t>
        </is>
      </c>
      <c r="P3832" t="n">
        <v>727.36</v>
      </c>
      <c r="Q3832" t="n">
        <v>0</v>
      </c>
      <c r="R3832" t="n">
        <v>0</v>
      </c>
      <c r="S3832" t="n">
        <v>34.6</v>
      </c>
      <c r="T3832" t="n">
        <v>258</v>
      </c>
      <c r="U3832" t="n">
        <v>1019.96</v>
      </c>
      <c r="X3832" t="inlineStr">
        <is>
          <t>acoa-apeca</t>
        </is>
      </c>
      <c r="Y3832" t="inlineStr">
        <is>
          <t>Atlantic Canada Opportunities Agency | Agence de promotion économique du Canada atlantique</t>
        </is>
      </c>
    </row>
    <row r="3833">
      <c r="A3833" t="inlineStr">
        <is>
          <t>T-2012-Q3-00072</t>
        </is>
      </c>
      <c r="B3833" t="inlineStr">
        <is>
          <t>SLE</t>
        </is>
      </c>
      <c r="C3833" t="inlineStr">
        <is>
          <t>Vice-President, Finance and Corporate Services</t>
        </is>
      </c>
      <c r="D3833" t="inlineStr">
        <is>
          <t>Vice-présidente, Finances et Services corporatifs</t>
        </is>
      </c>
      <c r="E3833" t="inlineStr">
        <is>
          <t>Denise Frenette</t>
        </is>
      </c>
      <c r="F3833" t="inlineStr">
        <is>
          <t xml:space="preserve">Meetings with Government of Canada officials and Agency officials </t>
        </is>
      </c>
      <c r="G3833" t="inlineStr">
        <is>
          <t xml:space="preserve">Réunions avec des fonctionnaires du gouvernement du Canada et de l'Agence </t>
        </is>
      </c>
      <c r="H3833" s="1" t="n">
        <v>40862</v>
      </c>
      <c r="I3833" s="1" t="n">
        <v>40864</v>
      </c>
      <c r="J3833" t="inlineStr">
        <is>
          <t>Ottawa, Ontario</t>
        </is>
      </c>
      <c r="K3833" t="inlineStr">
        <is>
          <t>Ottawa (Ontario)</t>
        </is>
      </c>
      <c r="P3833" t="n">
        <v>1075.76</v>
      </c>
      <c r="Q3833" t="n">
        <v>79</v>
      </c>
      <c r="R3833" t="n">
        <v>348.04</v>
      </c>
      <c r="S3833" t="n">
        <v>202</v>
      </c>
      <c r="T3833" t="n">
        <v>0</v>
      </c>
      <c r="U3833" t="n">
        <v>1704.8</v>
      </c>
      <c r="X3833" t="inlineStr">
        <is>
          <t>acoa-apeca</t>
        </is>
      </c>
      <c r="Y3833" t="inlineStr">
        <is>
          <t>Atlantic Canada Opportunities Agency | Agence de promotion économique du Canada atlantique</t>
        </is>
      </c>
    </row>
    <row r="3834">
      <c r="A3834" t="inlineStr">
        <is>
          <t>T-2012-Q3-00071</t>
        </is>
      </c>
      <c r="B3834" t="inlineStr">
        <is>
          <t>SLE</t>
        </is>
      </c>
      <c r="C3834" t="inlineStr">
        <is>
          <t>Vice-President, New Brunswick</t>
        </is>
      </c>
      <c r="D3834" t="inlineStr">
        <is>
          <t>Vice-présidente, Nouveau-Brunswick</t>
        </is>
      </c>
      <c r="E3834" t="inlineStr">
        <is>
          <t>Janet Gagnon</t>
        </is>
      </c>
      <c r="F3834" t="inlineStr">
        <is>
          <t>Executive Committee meeting and New Brunswick Federal Council Board meeting</t>
        </is>
      </c>
      <c r="G3834" t="inlineStr">
        <is>
          <t>Réunion du Comité de direction et réunion du Conseil fédéral du Nouveau-Brunswick</t>
        </is>
      </c>
      <c r="H3834" s="1" t="n">
        <v>40861</v>
      </c>
      <c r="I3834" s="1" t="n">
        <v>40862</v>
      </c>
      <c r="J3834" t="inlineStr">
        <is>
          <t>Moncton, New Brunswick</t>
        </is>
      </c>
      <c r="K3834" t="inlineStr">
        <is>
          <t>Moncton (Nouveau-Brunswick)</t>
        </is>
      </c>
      <c r="P3834" t="n">
        <v>0</v>
      </c>
      <c r="Q3834" t="n">
        <v>0</v>
      </c>
      <c r="R3834" t="n">
        <v>145.77</v>
      </c>
      <c r="S3834" t="n">
        <v>144.4</v>
      </c>
      <c r="T3834" t="n">
        <v>14</v>
      </c>
      <c r="U3834" t="n">
        <v>304.17</v>
      </c>
      <c r="X3834" t="inlineStr">
        <is>
          <t>acoa-apeca</t>
        </is>
      </c>
      <c r="Y3834" t="inlineStr">
        <is>
          <t>Atlantic Canada Opportunities Agency | Agence de promotion économique du Canada atlantique</t>
        </is>
      </c>
    </row>
    <row r="3835">
      <c r="A3835" t="inlineStr">
        <is>
          <t>T-2012-Q3-00069</t>
        </is>
      </c>
      <c r="B3835" t="inlineStr">
        <is>
          <t>SLE</t>
        </is>
      </c>
      <c r="C3835" t="inlineStr">
        <is>
          <t>Vice-President, Prince Edward Island</t>
        </is>
      </c>
      <c r="D3835" t="inlineStr">
        <is>
          <t>Vice-président, Île-du-Prince-Édouard</t>
        </is>
      </c>
      <c r="E3835" t="inlineStr">
        <is>
          <t>Patrick Dorsey</t>
        </is>
      </c>
      <c r="F3835" t="inlineStr">
        <is>
          <t>Executive Committee Meeting</t>
        </is>
      </c>
      <c r="G3835" t="inlineStr">
        <is>
          <t>Réunion du Comité de direction</t>
        </is>
      </c>
      <c r="H3835" s="1" t="n">
        <v>40861</v>
      </c>
      <c r="I3835" s="1" t="n">
        <v>40861</v>
      </c>
      <c r="J3835" t="inlineStr">
        <is>
          <t>Moncton, New Brunswick</t>
        </is>
      </c>
      <c r="K3835" t="inlineStr">
        <is>
          <t>Moncton (Nouveau-Brunswick)</t>
        </is>
      </c>
      <c r="P3835" t="n">
        <v>0</v>
      </c>
      <c r="Q3835" t="n">
        <v>56.25</v>
      </c>
      <c r="R3835" t="n">
        <v>0</v>
      </c>
      <c r="S3835" t="n">
        <v>0</v>
      </c>
      <c r="T3835" t="n">
        <v>0</v>
      </c>
      <c r="U3835" t="n">
        <v>56.25</v>
      </c>
      <c r="X3835" t="inlineStr">
        <is>
          <t>acoa-apeca</t>
        </is>
      </c>
      <c r="Y3835" t="inlineStr">
        <is>
          <t>Atlantic Canada Opportunities Agency | Agence de promotion économique du Canada atlantique</t>
        </is>
      </c>
    </row>
    <row r="3836">
      <c r="A3836" t="inlineStr">
        <is>
          <t>T-2012-Q3-00068</t>
        </is>
      </c>
      <c r="B3836" t="inlineStr">
        <is>
          <t>SLE</t>
        </is>
      </c>
      <c r="C3836" t="inlineStr">
        <is>
          <t>Vice President, Nova Scotia</t>
        </is>
      </c>
      <c r="D3836" t="inlineStr">
        <is>
          <t>Vice-président, Nouvelle-Écosse</t>
        </is>
      </c>
      <c r="E3836" t="inlineStr">
        <is>
          <t>Peter Hogan</t>
        </is>
      </c>
      <c r="F3836" t="inlineStr">
        <is>
          <t>Executive Committee meeting</t>
        </is>
      </c>
      <c r="G3836" t="inlineStr">
        <is>
          <t>Réunion du Comité de direction</t>
        </is>
      </c>
      <c r="H3836" s="1" t="n">
        <v>40861</v>
      </c>
      <c r="I3836" s="1" t="n">
        <v>40861</v>
      </c>
      <c r="J3836" t="inlineStr">
        <is>
          <t>Moncton, New Brunswick</t>
        </is>
      </c>
      <c r="K3836" t="inlineStr">
        <is>
          <t>Moncton (Nouveau-Brunswick)</t>
        </is>
      </c>
      <c r="P3836" t="n">
        <v>0</v>
      </c>
      <c r="Q3836" t="n">
        <v>265.51</v>
      </c>
      <c r="R3836" t="n">
        <v>0</v>
      </c>
      <c r="S3836" t="n">
        <v>40.3</v>
      </c>
      <c r="T3836" t="n">
        <v>0</v>
      </c>
      <c r="U3836" t="n">
        <v>305.81</v>
      </c>
      <c r="X3836" t="inlineStr">
        <is>
          <t>acoa-apeca</t>
        </is>
      </c>
      <c r="Y3836" t="inlineStr">
        <is>
          <t>Atlantic Canada Opportunities Agency | Agence de promotion économique du Canada atlantique</t>
        </is>
      </c>
    </row>
    <row r="3837">
      <c r="A3837" t="inlineStr">
        <is>
          <t>T-2012-Q3-00067</t>
        </is>
      </c>
      <c r="B3837" t="inlineStr">
        <is>
          <t>SLE</t>
        </is>
      </c>
      <c r="C3837" t="inlineStr">
        <is>
          <t>President</t>
        </is>
      </c>
      <c r="D3837" t="inlineStr">
        <is>
          <t>Président</t>
        </is>
      </c>
      <c r="E3837" t="inlineStr">
        <is>
          <t>Paul J. LeBlanc</t>
        </is>
      </c>
      <c r="F3837" t="inlineStr">
        <is>
          <t>For various meetings and discussions with Agency officials; with Government of Canada officials</t>
        </is>
      </c>
      <c r="G3837" t="inlineStr">
        <is>
          <t>Diverses réunions et discussions avec des fonctionnaires de l'Agence et du gouvernement du Canada</t>
        </is>
      </c>
      <c r="H3837" s="1" t="n">
        <v>40861</v>
      </c>
      <c r="I3837" s="1" t="n">
        <v>40864</v>
      </c>
      <c r="J3837" t="inlineStr">
        <is>
          <t>Ottawa, Ontario</t>
        </is>
      </c>
      <c r="K3837" t="inlineStr">
        <is>
          <t>Ottawa (Ontario)</t>
        </is>
      </c>
      <c r="P3837" t="n">
        <v>727.36</v>
      </c>
      <c r="Q3837" t="n">
        <v>34</v>
      </c>
      <c r="R3837" t="n">
        <v>522.0599999999999</v>
      </c>
      <c r="S3837" t="n">
        <v>209.7</v>
      </c>
      <c r="T3837" t="n">
        <v>0</v>
      </c>
      <c r="U3837" t="n">
        <v>1493.12</v>
      </c>
      <c r="X3837" t="inlineStr">
        <is>
          <t>acoa-apeca</t>
        </is>
      </c>
      <c r="Y3837" t="inlineStr">
        <is>
          <t>Atlantic Canada Opportunities Agency | Agence de promotion économique du Canada atlantique</t>
        </is>
      </c>
    </row>
    <row r="3838">
      <c r="A3838" t="inlineStr">
        <is>
          <t>T-2012-Q2-00012</t>
        </is>
      </c>
      <c r="B3838" t="inlineStr">
        <is>
          <t>SLE</t>
        </is>
      </c>
      <c r="C3838" t="inlineStr">
        <is>
          <t>Vice President, Nova Scotia</t>
        </is>
      </c>
      <c r="D3838" t="inlineStr">
        <is>
          <t>Vice-président, Nouvelle-Écosse</t>
        </is>
      </c>
      <c r="E3838" t="inlineStr">
        <is>
          <t>Peter Hogan</t>
        </is>
      </c>
      <c r="F3838" t="inlineStr">
        <is>
          <t xml:space="preserve">Executive Committee Meeting </t>
        </is>
      </c>
      <c r="G3838" t="inlineStr">
        <is>
          <t>Réunion du Comité de direction</t>
        </is>
      </c>
      <c r="H3838" s="1" t="n">
        <v>40709</v>
      </c>
      <c r="I3838" s="1" t="n">
        <v>40710</v>
      </c>
      <c r="J3838" t="inlineStr">
        <is>
          <t>Moncton, NB</t>
        </is>
      </c>
      <c r="K3838" t="inlineStr">
        <is>
          <t>Moncton (Nouveau-Brunswick)</t>
        </is>
      </c>
      <c r="P3838" t="n">
        <v>0</v>
      </c>
      <c r="Q3838" t="n">
        <v>0</v>
      </c>
      <c r="R3838" t="n">
        <v>145.77</v>
      </c>
      <c r="S3838" t="n">
        <v>129.35</v>
      </c>
      <c r="T3838" t="n">
        <v>12.15</v>
      </c>
      <c r="U3838" t="n">
        <v>287.27</v>
      </c>
      <c r="X3838" t="inlineStr">
        <is>
          <t>acoa-apeca</t>
        </is>
      </c>
      <c r="Y3838" t="inlineStr">
        <is>
          <t>Atlantic Canada Opportunities Agency | Agence de promotion économique du Canada atlantique</t>
        </is>
      </c>
    </row>
    <row r="3839">
      <c r="A3839" t="inlineStr">
        <is>
          <t>T-2012-Q3-00065</t>
        </is>
      </c>
      <c r="B3839" t="inlineStr">
        <is>
          <t>SLE</t>
        </is>
      </c>
      <c r="C3839" t="inlineStr">
        <is>
          <t>Vice-President, Newfoundland and Labrador</t>
        </is>
      </c>
      <c r="D3839" t="inlineStr">
        <is>
          <t>Vice-président, Terre-Neuve-et-Labrador</t>
        </is>
      </c>
      <c r="E3839" t="inlineStr">
        <is>
          <t>Paul Mills</t>
        </is>
      </c>
      <c r="F3839" t="inlineStr">
        <is>
          <t xml:space="preserve">To attend Executive Committee meeting </t>
        </is>
      </c>
      <c r="G3839" t="inlineStr">
        <is>
          <t>Assister à une réunion du Comité de direction</t>
        </is>
      </c>
      <c r="H3839" s="1" t="n">
        <v>40860</v>
      </c>
      <c r="I3839" s="1" t="n">
        <v>40862</v>
      </c>
      <c r="J3839" t="inlineStr">
        <is>
          <t>Moncton, NB</t>
        </is>
      </c>
      <c r="K3839" t="inlineStr">
        <is>
          <t>Moncton (Nouveau-Brunswick)</t>
        </is>
      </c>
      <c r="P3839" t="n">
        <v>1377.02</v>
      </c>
      <c r="Q3839" t="n">
        <v>180.2</v>
      </c>
      <c r="R3839" t="n">
        <v>285.36</v>
      </c>
      <c r="S3839" t="n">
        <v>177.8</v>
      </c>
      <c r="T3839" t="n">
        <v>125.69</v>
      </c>
      <c r="U3839" t="n">
        <v>2146.07</v>
      </c>
      <c r="X3839" t="inlineStr">
        <is>
          <t>acoa-apeca</t>
        </is>
      </c>
      <c r="Y3839" t="inlineStr">
        <is>
          <t>Atlantic Canada Opportunities Agency | Agence de promotion économique du Canada atlantique</t>
        </is>
      </c>
    </row>
    <row r="3840">
      <c r="A3840" t="inlineStr">
        <is>
          <t>T-2012-Q3-00064</t>
        </is>
      </c>
      <c r="B3840" t="inlineStr">
        <is>
          <t>MPSES</t>
        </is>
      </c>
      <c r="C3840" t="inlineStr">
        <is>
          <t>Minister of State</t>
        </is>
      </c>
      <c r="D3840" t="inlineStr">
        <is>
          <t>Ministre d'État</t>
        </is>
      </c>
      <c r="E3840" t="inlineStr">
        <is>
          <t>Bernard Valcourt</t>
        </is>
      </c>
      <c r="F3840" t="inlineStr">
        <is>
          <t>Various announcements and meetings for ACOA</t>
        </is>
      </c>
      <c r="G3840" t="inlineStr">
        <is>
          <t>Annonces et rencontres diverses pour l'APECA</t>
        </is>
      </c>
      <c r="H3840" s="1" t="n">
        <v>40855</v>
      </c>
      <c r="I3840" s="1" t="n">
        <v>40856</v>
      </c>
      <c r="J3840" t="inlineStr">
        <is>
          <t>Edmundston, Bathurst, Beresford, Atholville, St-Arthur, New Brunswick</t>
        </is>
      </c>
      <c r="K3840" t="inlineStr">
        <is>
          <t>Edmundston, Bathurst, Beresford, Atholville, St-Arthur (Nouveau-Brunswick)</t>
        </is>
      </c>
      <c r="P3840" t="n">
        <v>0</v>
      </c>
      <c r="Q3840" t="n">
        <v>371.8</v>
      </c>
      <c r="R3840" t="n">
        <v>232.78</v>
      </c>
      <c r="S3840" t="n">
        <v>79.90000000000001</v>
      </c>
      <c r="T3840" t="n">
        <v>0</v>
      </c>
      <c r="U3840" t="n">
        <v>684.48</v>
      </c>
      <c r="X3840" t="inlineStr">
        <is>
          <t>acoa-apeca</t>
        </is>
      </c>
      <c r="Y3840" t="inlineStr">
        <is>
          <t>Atlantic Canada Opportunities Agency | Agence de promotion économique du Canada atlantique</t>
        </is>
      </c>
    </row>
    <row r="3841">
      <c r="A3841" t="inlineStr">
        <is>
          <t>T-2012-Q3-00063</t>
        </is>
      </c>
      <c r="B3841" t="inlineStr">
        <is>
          <t>SLE</t>
        </is>
      </c>
      <c r="C3841" t="inlineStr">
        <is>
          <t>Vice-President, New Brunswick</t>
        </is>
      </c>
      <c r="D3841" t="inlineStr">
        <is>
          <t>Vice-présidente, Nouveau-Brunswick</t>
        </is>
      </c>
      <c r="E3841" t="inlineStr">
        <is>
          <t>Janet Gagnon</t>
        </is>
      </c>
      <c r="F3841" t="inlineStr">
        <is>
          <t xml:space="preserve">Atlantic Provinces Economic Council's Outlook Conference </t>
        </is>
      </c>
      <c r="G3841" t="inlineStr">
        <is>
          <t xml:space="preserve">Conférence sur les perspectives du Conseil économique des provinces de l'Atlantique </t>
        </is>
      </c>
      <c r="H3841" s="1" t="n">
        <v>40854</v>
      </c>
      <c r="I3841" s="1" t="n">
        <v>40854</v>
      </c>
      <c r="J3841" t="inlineStr">
        <is>
          <t>Saint John, New Brunswick</t>
        </is>
      </c>
      <c r="K3841" t="inlineStr">
        <is>
          <t>Saint John (Nouveau-Brunswick)</t>
        </is>
      </c>
      <c r="P3841" t="n">
        <v>0</v>
      </c>
      <c r="Q3841" t="n">
        <v>0</v>
      </c>
      <c r="R3841" t="n">
        <v>0</v>
      </c>
      <c r="S3841" t="n">
        <v>14.6</v>
      </c>
      <c r="T3841" t="n">
        <v>11</v>
      </c>
      <c r="U3841" t="n">
        <v>25.6</v>
      </c>
      <c r="X3841" t="inlineStr">
        <is>
          <t>acoa-apeca</t>
        </is>
      </c>
      <c r="Y3841" t="inlineStr">
        <is>
          <t>Atlantic Canada Opportunities Agency | Agence de promotion économique du Canada atlantique</t>
        </is>
      </c>
    </row>
    <row r="3842">
      <c r="A3842" t="inlineStr">
        <is>
          <t>T-2012-Q3-00062</t>
        </is>
      </c>
      <c r="B3842" t="inlineStr">
        <is>
          <t>MPSES</t>
        </is>
      </c>
      <c r="C3842" t="inlineStr">
        <is>
          <t>Chief of Staff</t>
        </is>
      </c>
      <c r="D3842" t="inlineStr">
        <is>
          <t>Chef de cabinet</t>
        </is>
      </c>
      <c r="E3842" t="inlineStr">
        <is>
          <t>Mélisa Leclerc</t>
        </is>
      </c>
      <c r="F3842" t="inlineStr">
        <is>
          <t>Travel to attend ACOA meetings at ACOA regional offices</t>
        </is>
      </c>
      <c r="G3842" t="inlineStr">
        <is>
          <t>Voyage pour assister à des réunions de l'APECA aux bureaux régionaux de l'APECA</t>
        </is>
      </c>
      <c r="H3842" s="1" t="n">
        <v>40849</v>
      </c>
      <c r="I3842" s="1" t="n">
        <v>40857</v>
      </c>
      <c r="J3842" t="inlineStr">
        <is>
          <t>Moncton and Fredericton, New Brunswick - Charlottetown, Prince Edward Island - St. John's, Newfoundland</t>
        </is>
      </c>
      <c r="K3842" t="inlineStr">
        <is>
          <t>Moncton et Fredericton (Nouveau-Brunswick), Charlottetown (Île-du-Prince-Édouard) et St. John's (Terre-Neuve-et-Labrador)</t>
        </is>
      </c>
      <c r="P3842" t="n">
        <v>1847.06</v>
      </c>
      <c r="Q3842" t="n">
        <v>182</v>
      </c>
      <c r="R3842" t="n">
        <v>1169.32</v>
      </c>
      <c r="S3842" t="n">
        <v>436.95</v>
      </c>
      <c r="T3842" t="n">
        <v>0</v>
      </c>
      <c r="U3842" t="n">
        <v>3635.33</v>
      </c>
      <c r="X3842" t="inlineStr">
        <is>
          <t>acoa-apeca</t>
        </is>
      </c>
      <c r="Y3842" t="inlineStr">
        <is>
          <t>Atlantic Canada Opportunities Agency | Agence de promotion économique du Canada atlantique</t>
        </is>
      </c>
    </row>
    <row r="3843">
      <c r="A3843" t="inlineStr">
        <is>
          <t>T-2012-Q3-00059</t>
        </is>
      </c>
      <c r="B3843" t="inlineStr">
        <is>
          <t>SLE</t>
        </is>
      </c>
      <c r="C3843" t="inlineStr">
        <is>
          <t>Vice-President, Newfoundland and Labrador</t>
        </is>
      </c>
      <c r="D3843" t="inlineStr">
        <is>
          <t>Vice-président, Terre-Neuve-et-Labrador</t>
        </is>
      </c>
      <c r="E3843" t="inlineStr">
        <is>
          <t>Paul Mills</t>
        </is>
      </c>
      <c r="F3843" t="inlineStr">
        <is>
          <t>To attend meetings with senior government officials</t>
        </is>
      </c>
      <c r="G3843" t="inlineStr">
        <is>
          <t>Assister à des réunions avec de hauts fonctionnaires</t>
        </is>
      </c>
      <c r="H3843" s="1" t="n">
        <v>40848</v>
      </c>
      <c r="I3843" s="1" t="n">
        <v>40849</v>
      </c>
      <c r="J3843" t="inlineStr">
        <is>
          <t>Ottawa, ON</t>
        </is>
      </c>
      <c r="K3843" t="inlineStr">
        <is>
          <t>Ottawa (Ontario)</t>
        </is>
      </c>
      <c r="P3843" t="n">
        <v>1377.02</v>
      </c>
      <c r="Q3843" t="n">
        <v>130</v>
      </c>
      <c r="R3843" t="n">
        <v>179.67</v>
      </c>
      <c r="S3843" t="n">
        <v>160.5</v>
      </c>
      <c r="T3843" t="n">
        <v>7.73</v>
      </c>
      <c r="U3843" t="n">
        <v>1854.92</v>
      </c>
      <c r="X3843" t="inlineStr">
        <is>
          <t>acoa-apeca</t>
        </is>
      </c>
      <c r="Y3843" t="inlineStr">
        <is>
          <t>Atlantic Canada Opportunities Agency | Agence de promotion économique du Canada atlantique</t>
        </is>
      </c>
    </row>
    <row r="3844">
      <c r="A3844" t="inlineStr">
        <is>
          <t>T-2012-Q3-00058</t>
        </is>
      </c>
      <c r="B3844" t="inlineStr">
        <is>
          <t>SLE</t>
        </is>
      </c>
      <c r="C3844" t="inlineStr">
        <is>
          <t>Vice-President, New Brunswick</t>
        </is>
      </c>
      <c r="D3844" t="inlineStr">
        <is>
          <t>Vice-présidente, Nouveau-Brunswick</t>
        </is>
      </c>
      <c r="E3844" t="inlineStr">
        <is>
          <t>Janet Gagnon</t>
        </is>
      </c>
      <c r="F3844" t="inlineStr">
        <is>
          <t>National Federal Chairs meeting</t>
        </is>
      </c>
      <c r="G3844" t="inlineStr">
        <is>
          <t>Réunion nationale des présidents fédéraux</t>
        </is>
      </c>
      <c r="H3844" s="1" t="n">
        <v>40847</v>
      </c>
      <c r="I3844" s="1" t="n">
        <v>40849</v>
      </c>
      <c r="J3844" t="inlineStr">
        <is>
          <t>Ottawa, Ontario</t>
        </is>
      </c>
      <c r="K3844" t="inlineStr">
        <is>
          <t>Ottawa (Ontario)</t>
        </is>
      </c>
      <c r="P3844" t="n">
        <v>532.29</v>
      </c>
      <c r="Q3844" t="n">
        <v>39.03</v>
      </c>
      <c r="R3844" t="n">
        <v>359.34</v>
      </c>
      <c r="S3844" t="n">
        <v>218.1</v>
      </c>
      <c r="T3844" t="n">
        <v>30</v>
      </c>
      <c r="U3844" t="n">
        <v>1178.76</v>
      </c>
      <c r="X3844" t="inlineStr">
        <is>
          <t>acoa-apeca</t>
        </is>
      </c>
      <c r="Y3844" t="inlineStr">
        <is>
          <t>Atlantic Canada Opportunities Agency | Agence de promotion économique du Canada atlantique</t>
        </is>
      </c>
    </row>
    <row r="3845">
      <c r="A3845" t="inlineStr">
        <is>
          <t>T-2012-Q3-00057</t>
        </is>
      </c>
      <c r="B3845" t="inlineStr">
        <is>
          <t>SLE</t>
        </is>
      </c>
      <c r="C3845" t="inlineStr">
        <is>
          <t>Vice-President, Prince Edward Island</t>
        </is>
      </c>
      <c r="D3845" t="inlineStr">
        <is>
          <t>Vice-président, Île-du-Prince-Édouard</t>
        </is>
      </c>
      <c r="E3845" t="inlineStr">
        <is>
          <t>Patrick Dorsey</t>
        </is>
      </c>
      <c r="F3845" t="inlineStr">
        <is>
          <t>To attend National Federal Council Chairs Meeting</t>
        </is>
      </c>
      <c r="G3845" t="inlineStr">
        <is>
          <t>Assister à une réunion nationale des présidents du Conseil fédéral</t>
        </is>
      </c>
      <c r="H3845" s="1" t="n">
        <v>40847</v>
      </c>
      <c r="I3845" s="1" t="n">
        <v>40849</v>
      </c>
      <c r="J3845" t="inlineStr">
        <is>
          <t>Ottawa, Ontario</t>
        </is>
      </c>
      <c r="K3845" t="inlineStr">
        <is>
          <t>Ottawa (Ontario)</t>
        </is>
      </c>
      <c r="P3845" t="n">
        <v>632.51</v>
      </c>
      <c r="Q3845" t="n">
        <v>97</v>
      </c>
      <c r="R3845" t="n">
        <v>350.3</v>
      </c>
      <c r="S3845" t="n">
        <v>218.1</v>
      </c>
      <c r="T3845" t="n">
        <v>0</v>
      </c>
      <c r="U3845" t="n">
        <v>1297.91</v>
      </c>
      <c r="X3845" t="inlineStr">
        <is>
          <t>acoa-apeca</t>
        </is>
      </c>
      <c r="Y3845" t="inlineStr">
        <is>
          <t>Atlantic Canada Opportunities Agency | Agence de promotion économique du Canada atlantique</t>
        </is>
      </c>
    </row>
    <row r="3846">
      <c r="A3846" t="inlineStr">
        <is>
          <t>T-2012-Q2-00011</t>
        </is>
      </c>
      <c r="B3846" t="inlineStr">
        <is>
          <t>SLE</t>
        </is>
      </c>
      <c r="C3846" t="inlineStr">
        <is>
          <t>Vice-President, New Brunswick</t>
        </is>
      </c>
      <c r="D3846" t="inlineStr">
        <is>
          <t>Vice-présidente, Nouveau-Brunswick</t>
        </is>
      </c>
      <c r="E3846" t="inlineStr">
        <is>
          <t>Janet Gagnon</t>
        </is>
      </c>
      <c r="F3846" t="inlineStr">
        <is>
          <t>Executive Committee Meeting</t>
        </is>
      </c>
      <c r="G3846" t="inlineStr">
        <is>
          <t>Réunion du Comité de direction</t>
        </is>
      </c>
      <c r="H3846" s="1" t="n">
        <v>40709</v>
      </c>
      <c r="I3846" s="1" t="n">
        <v>40710</v>
      </c>
      <c r="J3846" t="inlineStr">
        <is>
          <t>Moncton, New Brunswick</t>
        </is>
      </c>
      <c r="K3846" t="inlineStr">
        <is>
          <t>Moncton (Nouveau-Brunswick)</t>
        </is>
      </c>
      <c r="P3846" t="n">
        <v>0</v>
      </c>
      <c r="Q3846" t="n">
        <v>0</v>
      </c>
      <c r="R3846" t="n">
        <v>50</v>
      </c>
      <c r="S3846" t="n">
        <v>129.35</v>
      </c>
      <c r="T3846" t="n">
        <v>18</v>
      </c>
      <c r="U3846" t="n">
        <v>197.35</v>
      </c>
      <c r="X3846" t="inlineStr">
        <is>
          <t>acoa-apeca</t>
        </is>
      </c>
      <c r="Y3846" t="inlineStr">
        <is>
          <t>Atlantic Canada Opportunities Agency | Agence de promotion économique du Canada atlantique</t>
        </is>
      </c>
    </row>
    <row r="3847">
      <c r="A3847" t="inlineStr">
        <is>
          <t>T-2012-Q3-00056</t>
        </is>
      </c>
      <c r="B3847" t="inlineStr">
        <is>
          <t>SLE</t>
        </is>
      </c>
      <c r="C3847" t="inlineStr">
        <is>
          <t>Vice President, Nova Scotia</t>
        </is>
      </c>
      <c r="D3847" t="inlineStr">
        <is>
          <t>Vice-président, Nouvelle-Écosse</t>
        </is>
      </c>
      <c r="E3847" t="inlineStr">
        <is>
          <t>Peter Hogan</t>
        </is>
      </c>
      <c r="F3847" t="inlineStr">
        <is>
          <t>National meeting of Regional Federal Council Chairs</t>
        </is>
      </c>
      <c r="G3847" t="inlineStr">
        <is>
          <t>Réunion nationale des présidents des Conseil fédéraux régionaux</t>
        </is>
      </c>
      <c r="H3847" s="1" t="n">
        <v>40847</v>
      </c>
      <c r="I3847" s="1" t="n">
        <v>40850</v>
      </c>
      <c r="J3847" t="inlineStr">
        <is>
          <t>Ottawa, Ontario</t>
        </is>
      </c>
      <c r="K3847" t="inlineStr">
        <is>
          <t>Ottawa (Ontario)</t>
        </is>
      </c>
      <c r="P3847" t="n">
        <v>528.77</v>
      </c>
      <c r="Q3847" t="n">
        <v>190.2</v>
      </c>
      <c r="R3847" t="n">
        <v>532.23</v>
      </c>
      <c r="S3847" t="n">
        <v>305.65</v>
      </c>
      <c r="T3847" t="n">
        <v>0</v>
      </c>
      <c r="U3847" t="n">
        <v>1556.85</v>
      </c>
      <c r="X3847" t="inlineStr">
        <is>
          <t>acoa-apeca</t>
        </is>
      </c>
      <c r="Y3847" t="inlineStr">
        <is>
          <t>Atlantic Canada Opportunities Agency | Agence de promotion économique du Canada atlantique</t>
        </is>
      </c>
    </row>
    <row r="3848">
      <c r="A3848" t="inlineStr">
        <is>
          <t>T-2012-Q3-00055</t>
        </is>
      </c>
      <c r="B3848" t="inlineStr">
        <is>
          <t>SLE</t>
        </is>
      </c>
      <c r="C3848" t="inlineStr">
        <is>
          <t>President</t>
        </is>
      </c>
      <c r="D3848" t="inlineStr">
        <is>
          <t>Président</t>
        </is>
      </c>
      <c r="E3848" t="inlineStr">
        <is>
          <t>Paul J. LeBlanc</t>
        </is>
      </c>
      <c r="F3848" t="inlineStr">
        <is>
          <t>For various meetings and discussions with: Agency officials; with Government of Canada officials</t>
        </is>
      </c>
      <c r="G3848" t="inlineStr">
        <is>
          <t>Diverses réunions et discussions avec des fonctionnaires de l'Agence et des fonctionnaires du gouvernement fédéral</t>
        </is>
      </c>
      <c r="H3848" s="1" t="n">
        <v>40847</v>
      </c>
      <c r="I3848" s="1" t="n">
        <v>40848</v>
      </c>
      <c r="J3848" t="inlineStr">
        <is>
          <t>Ottawa, Ontario</t>
        </is>
      </c>
      <c r="K3848" t="inlineStr">
        <is>
          <t>Ottawa (Ontario)</t>
        </is>
      </c>
      <c r="P3848" t="n">
        <v>727.36</v>
      </c>
      <c r="Q3848" t="n">
        <v>13.52</v>
      </c>
      <c r="R3848" t="n">
        <v>174.02</v>
      </c>
      <c r="S3848" t="n">
        <v>159.75</v>
      </c>
      <c r="T3848" t="n">
        <v>86.5</v>
      </c>
      <c r="U3848" t="n">
        <v>1161.15</v>
      </c>
      <c r="X3848" t="inlineStr">
        <is>
          <t>acoa-apeca</t>
        </is>
      </c>
      <c r="Y3848" t="inlineStr">
        <is>
          <t>Atlantic Canada Opportunities Agency | Agence de promotion économique du Canada atlantique</t>
        </is>
      </c>
    </row>
    <row r="3849">
      <c r="A3849" t="inlineStr">
        <is>
          <t>T-2012-Q3-00053</t>
        </is>
      </c>
      <c r="B3849" t="inlineStr">
        <is>
          <t>MPSES</t>
        </is>
      </c>
      <c r="C3849" t="inlineStr">
        <is>
          <t>Honourable Senator</t>
        </is>
      </c>
      <c r="D3849" t="inlineStr">
        <is>
          <t>Honorable sénateur</t>
        </is>
      </c>
      <c r="E3849" t="inlineStr">
        <is>
          <t>Michael L. MacDonald</t>
        </is>
      </c>
      <c r="F3849" t="inlineStr">
        <is>
          <t>To attend announcement on behalf of Minister Valcourt</t>
        </is>
      </c>
      <c r="G3849" t="inlineStr">
        <is>
          <t>Assister à une annonce au nom du ministre Valcourt</t>
        </is>
      </c>
      <c r="H3849" s="1" t="n">
        <v>40844</v>
      </c>
      <c r="I3849" s="1" t="n">
        <v>40844</v>
      </c>
      <c r="J3849" t="inlineStr">
        <is>
          <t>Sydney, Mabou, Nova Scotia</t>
        </is>
      </c>
      <c r="K3849" t="inlineStr">
        <is>
          <t>Sydney, Mabou (Nouvelle-Écosse)</t>
        </is>
      </c>
      <c r="P3849" t="n">
        <v>0</v>
      </c>
      <c r="Q3849" t="n">
        <v>498.2</v>
      </c>
      <c r="R3849" t="n">
        <v>0</v>
      </c>
      <c r="S3849" t="n">
        <v>70.25</v>
      </c>
      <c r="T3849" t="n">
        <v>0</v>
      </c>
      <c r="U3849" t="n">
        <v>568.45</v>
      </c>
      <c r="X3849" t="inlineStr">
        <is>
          <t>acoa-apeca</t>
        </is>
      </c>
      <c r="Y3849" t="inlineStr">
        <is>
          <t>Atlantic Canada Opportunities Agency | Agence de promotion économique du Canada atlantique</t>
        </is>
      </c>
    </row>
    <row r="3850">
      <c r="A3850" t="inlineStr">
        <is>
          <t>T-2012-Q3-00052</t>
        </is>
      </c>
      <c r="B3850" t="inlineStr">
        <is>
          <t>SLE</t>
        </is>
      </c>
      <c r="C3850" t="inlineStr">
        <is>
          <t>President</t>
        </is>
      </c>
      <c r="D3850" t="inlineStr">
        <is>
          <t>Président</t>
        </is>
      </c>
      <c r="E3850" t="inlineStr">
        <is>
          <t>Paul J. LeBlanc</t>
        </is>
      </c>
      <c r="F3850" t="inlineStr">
        <is>
          <t>For meeting and discussions with Agency officials and transportation sector officials</t>
        </is>
      </c>
      <c r="G3850" t="inlineStr">
        <is>
          <t>Réunion et discussions avec des fonctionnaires de l'Agence et des représentants du secteur des transports</t>
        </is>
      </c>
      <c r="H3850" s="1" t="n">
        <v>40844</v>
      </c>
      <c r="I3850" s="1" t="n">
        <v>40844</v>
      </c>
      <c r="J3850" t="inlineStr">
        <is>
          <t>Halifax, Nova Scotia</t>
        </is>
      </c>
      <c r="K3850" t="inlineStr">
        <is>
          <t>Halifax (Nouvelle-Écosse)</t>
        </is>
      </c>
      <c r="P3850" t="n">
        <v>1222.87</v>
      </c>
      <c r="Q3850" t="n">
        <v>13.52</v>
      </c>
      <c r="R3850" t="n">
        <v>0</v>
      </c>
      <c r="S3850" t="n">
        <v>0</v>
      </c>
      <c r="T3850" t="n">
        <v>15</v>
      </c>
      <c r="U3850" t="n">
        <v>1251.39</v>
      </c>
      <c r="X3850" t="inlineStr">
        <is>
          <t>acoa-apeca</t>
        </is>
      </c>
      <c r="Y3850" t="inlineStr">
        <is>
          <t>Atlantic Canada Opportunities Agency | Agence de promotion économique du Canada atlantique</t>
        </is>
      </c>
    </row>
    <row r="3851">
      <c r="A3851" t="inlineStr">
        <is>
          <t>T-2012-Q3-00051</t>
        </is>
      </c>
      <c r="B3851" t="inlineStr">
        <is>
          <t>SLE</t>
        </is>
      </c>
      <c r="C3851" t="inlineStr">
        <is>
          <t>President</t>
        </is>
      </c>
      <c r="D3851" t="inlineStr">
        <is>
          <t>Président</t>
        </is>
      </c>
      <c r="E3851" t="inlineStr">
        <is>
          <t>Paul J. LeBlanc</t>
        </is>
      </c>
      <c r="F3851" t="inlineStr">
        <is>
          <t>To attend sessions with energy sector stakeholders; for various meetings and discussions with Agency officials; with Government of Canada officials</t>
        </is>
      </c>
      <c r="G3851" t="inlineStr">
        <is>
          <t>Assister à des réunions avec des intervenants du secteur de l'énergie et à des réunions et discussions avec des fonctionnaires de l'Agence et du fédéral</t>
        </is>
      </c>
      <c r="H3851" s="1" t="n">
        <v>40841</v>
      </c>
      <c r="I3851" s="1" t="n">
        <v>40842</v>
      </c>
      <c r="J3851" t="inlineStr">
        <is>
          <t>Rothesay, New Brunswick / Ottawa, Ontario</t>
        </is>
      </c>
      <c r="K3851" t="inlineStr">
        <is>
          <t>Rothesay (Nouveau-Brunswick) / Ottawa (Ontario)</t>
        </is>
      </c>
      <c r="P3851" t="n">
        <v>1025.68</v>
      </c>
      <c r="Q3851" t="n">
        <v>0</v>
      </c>
      <c r="R3851" t="n">
        <v>174.02</v>
      </c>
      <c r="S3851" t="n">
        <v>145.15</v>
      </c>
      <c r="T3851" t="n">
        <v>71.5</v>
      </c>
      <c r="U3851" t="n">
        <v>1416.35</v>
      </c>
      <c r="X3851" t="inlineStr">
        <is>
          <t>acoa-apeca</t>
        </is>
      </c>
      <c r="Y3851" t="inlineStr">
        <is>
          <t>Atlantic Canada Opportunities Agency | Agence de promotion économique du Canada atlantique</t>
        </is>
      </c>
    </row>
    <row r="3852">
      <c r="A3852" t="inlineStr">
        <is>
          <t>T-2012-Q3-00040</t>
        </is>
      </c>
      <c r="B3852" t="inlineStr">
        <is>
          <t>SLE</t>
        </is>
      </c>
      <c r="C3852" t="inlineStr">
        <is>
          <t>Vice-President, New Brunswick</t>
        </is>
      </c>
      <c r="D3852" t="inlineStr">
        <is>
          <t>Vice-présidente, Nouveau-Brunswick</t>
        </is>
      </c>
      <c r="E3852" t="inlineStr">
        <is>
          <t>Janet Gagnon</t>
        </is>
      </c>
      <c r="F3852" t="inlineStr">
        <is>
          <t>Executive Committee meeting</t>
        </is>
      </c>
      <c r="G3852" t="inlineStr">
        <is>
          <t>Réunion du Comité de direction</t>
        </is>
      </c>
      <c r="H3852" s="1" t="n">
        <v>40821</v>
      </c>
      <c r="I3852" s="1" t="n">
        <v>40821</v>
      </c>
      <c r="J3852" t="inlineStr">
        <is>
          <t>Halifax, Nova Scotia</t>
        </is>
      </c>
      <c r="K3852" t="inlineStr">
        <is>
          <t>Halifax (Nouvelle-Écosse)</t>
        </is>
      </c>
      <c r="P3852" t="n">
        <v>634.39</v>
      </c>
      <c r="Q3852" t="n">
        <v>59</v>
      </c>
      <c r="R3852" t="n">
        <v>0</v>
      </c>
      <c r="S3852" t="n">
        <v>55.65</v>
      </c>
      <c r="T3852" t="n">
        <v>10</v>
      </c>
      <c r="U3852" t="n">
        <v>759.04</v>
      </c>
      <c r="X3852" t="inlineStr">
        <is>
          <t>acoa-apeca</t>
        </is>
      </c>
      <c r="Y3852" t="inlineStr">
        <is>
          <t>Atlantic Canada Opportunities Agency | Agence de promotion économique du Canada atlantique</t>
        </is>
      </c>
    </row>
    <row r="3853">
      <c r="A3853" t="inlineStr">
        <is>
          <t>T-2012-Q3-00047</t>
        </is>
      </c>
      <c r="B3853" t="inlineStr">
        <is>
          <t>SLE</t>
        </is>
      </c>
      <c r="C3853" t="inlineStr">
        <is>
          <t>President</t>
        </is>
      </c>
      <c r="D3853" t="inlineStr">
        <is>
          <t>Président</t>
        </is>
      </c>
      <c r="E3853" t="inlineStr">
        <is>
          <t>Paul J. LeBlanc</t>
        </is>
      </c>
      <c r="F3853" t="inlineStr">
        <is>
          <t>For various meetings and discussions with Agency officials; and with Government of Canada official</t>
        </is>
      </c>
      <c r="G3853" t="inlineStr">
        <is>
          <t>Diverses réunions et discussions avec des fonctionnaires de l'Agence et un fonctionnaire du gouvernement fédéral</t>
        </is>
      </c>
      <c r="H3853" s="1" t="n">
        <v>40834</v>
      </c>
      <c r="I3853" s="1" t="n">
        <v>40835</v>
      </c>
      <c r="J3853" t="inlineStr">
        <is>
          <t>Ottawa, Ontario</t>
        </is>
      </c>
      <c r="K3853" t="inlineStr">
        <is>
          <t>Ottawa (Ontario)</t>
        </is>
      </c>
      <c r="P3853" t="n">
        <v>1025.68</v>
      </c>
      <c r="Q3853" t="n">
        <v>0</v>
      </c>
      <c r="R3853" t="n">
        <v>174.02</v>
      </c>
      <c r="S3853" t="n">
        <v>104.1</v>
      </c>
      <c r="T3853" t="n">
        <v>0</v>
      </c>
      <c r="U3853" t="n">
        <v>1303.8</v>
      </c>
      <c r="X3853" t="inlineStr">
        <is>
          <t>acoa-apeca</t>
        </is>
      </c>
      <c r="Y3853" t="inlineStr">
        <is>
          <t>Atlantic Canada Opportunities Agency | Agence de promotion économique du Canada atlantique</t>
        </is>
      </c>
    </row>
    <row r="3854">
      <c r="A3854" t="inlineStr">
        <is>
          <t>T-2012-Q3-00046</t>
        </is>
      </c>
      <c r="B3854" t="inlineStr">
        <is>
          <t>SLE</t>
        </is>
      </c>
      <c r="C3854" t="inlineStr">
        <is>
          <t>Vice President, Nova Scotia</t>
        </is>
      </c>
      <c r="D3854" t="inlineStr">
        <is>
          <t>Vice-président, Nouvelle-Écosse</t>
        </is>
      </c>
      <c r="E3854" t="inlineStr">
        <is>
          <t>Peter Hogan</t>
        </is>
      </c>
      <c r="F3854" t="inlineStr">
        <is>
          <t xml:space="preserve">Assistant Deputy Minister Forum </t>
        </is>
      </c>
      <c r="G3854" t="inlineStr">
        <is>
          <t>Forum des sous-ministres adjoints</t>
        </is>
      </c>
      <c r="H3854" s="1" t="n">
        <v>40828</v>
      </c>
      <c r="I3854" s="1" t="n">
        <v>40830</v>
      </c>
      <c r="J3854" t="inlineStr">
        <is>
          <t>Ottawa, Ontario</t>
        </is>
      </c>
      <c r="K3854" t="inlineStr">
        <is>
          <t>Ottawa (Ontario)</t>
        </is>
      </c>
      <c r="P3854" t="n">
        <v>893.66</v>
      </c>
      <c r="Q3854" t="n">
        <v>210.2</v>
      </c>
      <c r="R3854" t="n">
        <v>391.62</v>
      </c>
      <c r="S3854" t="n">
        <v>203.5</v>
      </c>
      <c r="T3854" t="n">
        <v>9.06</v>
      </c>
      <c r="U3854" t="n">
        <v>1708.04</v>
      </c>
      <c r="X3854" t="inlineStr">
        <is>
          <t>acoa-apeca</t>
        </is>
      </c>
      <c r="Y3854" t="inlineStr">
        <is>
          <t>Atlantic Canada Opportunities Agency | Agence de promotion économique du Canada atlantique</t>
        </is>
      </c>
    </row>
    <row r="3855">
      <c r="A3855" t="inlineStr">
        <is>
          <t>T-2012-Q3-00044</t>
        </is>
      </c>
      <c r="B3855" t="inlineStr">
        <is>
          <t>SLE</t>
        </is>
      </c>
      <c r="C3855" t="inlineStr">
        <is>
          <t>President</t>
        </is>
      </c>
      <c r="D3855" t="inlineStr">
        <is>
          <t>Président</t>
        </is>
      </c>
      <c r="E3855" t="inlineStr">
        <is>
          <t>Paul J. LeBlanc</t>
        </is>
      </c>
      <c r="F3855" t="inlineStr">
        <is>
          <t>For various meetings and discussions with Agency officials; and with Government of Canada officials</t>
        </is>
      </c>
      <c r="G3855" t="inlineStr">
        <is>
          <t>Diverses réunions et discussions avec des fonctionnaires de l'Agence et du gouvernement fédéral</t>
        </is>
      </c>
      <c r="H3855" s="1" t="n">
        <v>40828</v>
      </c>
      <c r="I3855" s="1" t="n">
        <v>40829</v>
      </c>
      <c r="J3855" t="inlineStr">
        <is>
          <t>Ottawa, Ontario</t>
        </is>
      </c>
      <c r="K3855" t="inlineStr">
        <is>
          <t>Ottawa (Ontario)</t>
        </is>
      </c>
      <c r="P3855" t="n">
        <v>1025.68</v>
      </c>
      <c r="Q3855" t="n">
        <v>0</v>
      </c>
      <c r="R3855" t="n">
        <v>174.02</v>
      </c>
      <c r="S3855" t="n">
        <v>104.85</v>
      </c>
      <c r="T3855" t="n">
        <v>71.5</v>
      </c>
      <c r="U3855" t="n">
        <v>1376.05</v>
      </c>
      <c r="X3855" t="inlineStr">
        <is>
          <t>acoa-apeca</t>
        </is>
      </c>
      <c r="Y3855" t="inlineStr">
        <is>
          <t>Atlantic Canada Opportunities Agency | Agence de promotion économique du Canada atlantique</t>
        </is>
      </c>
    </row>
    <row r="3856">
      <c r="A3856" t="inlineStr">
        <is>
          <t>T-2012-Q3-00043</t>
        </is>
      </c>
      <c r="B3856" t="inlineStr">
        <is>
          <t>SLE</t>
        </is>
      </c>
      <c r="C3856" t="inlineStr">
        <is>
          <t>Vice-President, Newfoundland and Labrador</t>
        </is>
      </c>
      <c r="D3856" t="inlineStr">
        <is>
          <t>Vice-président, Terre-Neuve-et-Labrador</t>
        </is>
      </c>
      <c r="E3856" t="inlineStr">
        <is>
          <t>Paul Mills</t>
        </is>
      </c>
      <c r="F3856" t="inlineStr">
        <is>
          <t>To attend ADM Forum</t>
        </is>
      </c>
      <c r="G3856" t="inlineStr">
        <is>
          <t>Assister au Forum des sous-ministres adjoints</t>
        </is>
      </c>
      <c r="H3856" s="1" t="n">
        <v>40828</v>
      </c>
      <c r="I3856" s="1" t="n">
        <v>40830</v>
      </c>
      <c r="J3856" t="inlineStr">
        <is>
          <t>Ottawa, ON</t>
        </is>
      </c>
      <c r="K3856" t="inlineStr">
        <is>
          <t>Ottawa (Ontario)</t>
        </is>
      </c>
      <c r="P3856" t="n">
        <v>1329.26</v>
      </c>
      <c r="Q3856" t="n">
        <v>190</v>
      </c>
      <c r="R3856" t="n">
        <v>539.01</v>
      </c>
      <c r="S3856" t="n">
        <v>207.75</v>
      </c>
      <c r="T3856" t="n">
        <v>8.529999999999999</v>
      </c>
      <c r="U3856" t="n">
        <v>2274.55</v>
      </c>
      <c r="X3856" t="inlineStr">
        <is>
          <t>acoa-apeca</t>
        </is>
      </c>
      <c r="Y3856" t="inlineStr">
        <is>
          <t>Atlantic Canada Opportunities Agency | Agence de promotion économique du Canada atlantique</t>
        </is>
      </c>
    </row>
    <row r="3857">
      <c r="A3857" t="inlineStr">
        <is>
          <t>T-2012-Q3-00042</t>
        </is>
      </c>
      <c r="B3857" t="inlineStr">
        <is>
          <t>SLE</t>
        </is>
      </c>
      <c r="C3857" t="inlineStr">
        <is>
          <t>Vice-President, New Brunswick</t>
        </is>
      </c>
      <c r="D3857" t="inlineStr">
        <is>
          <t>Vice-présidente, Nouveau-Brunswick</t>
        </is>
      </c>
      <c r="E3857" t="inlineStr">
        <is>
          <t>Janet Gagnon</t>
        </is>
      </c>
      <c r="F3857" t="inlineStr">
        <is>
          <t>2011 Assistant Deputy Ministers Forum</t>
        </is>
      </c>
      <c r="G3857" t="inlineStr">
        <is>
          <t>Forum des sous-ministres adjoints 2011</t>
        </is>
      </c>
      <c r="H3857" s="1" t="n">
        <v>40827</v>
      </c>
      <c r="I3857" s="1" t="n">
        <v>40829</v>
      </c>
      <c r="J3857" t="inlineStr">
        <is>
          <t>Ottawa, Ontario</t>
        </is>
      </c>
      <c r="K3857" t="inlineStr">
        <is>
          <t>Ottawa (Ontario)</t>
        </is>
      </c>
      <c r="P3857" t="n">
        <v>726.87</v>
      </c>
      <c r="Q3857" t="n">
        <v>141.31</v>
      </c>
      <c r="R3857" t="n">
        <v>217.6</v>
      </c>
      <c r="S3857" t="n">
        <v>185.45</v>
      </c>
      <c r="T3857" t="n">
        <v>33</v>
      </c>
      <c r="U3857" t="n">
        <v>1304.23</v>
      </c>
      <c r="X3857" t="inlineStr">
        <is>
          <t>acoa-apeca</t>
        </is>
      </c>
      <c r="Y3857" t="inlineStr">
        <is>
          <t>Atlantic Canada Opportunities Agency | Agence de promotion économique du Canada atlantique</t>
        </is>
      </c>
    </row>
    <row r="3858">
      <c r="A3858" t="inlineStr">
        <is>
          <t>T-2012-Q3-00041</t>
        </is>
      </c>
      <c r="B3858" t="inlineStr">
        <is>
          <t>SLE</t>
        </is>
      </c>
      <c r="C3858" t="inlineStr">
        <is>
          <t>Vice-President, Finance and Corporate Services</t>
        </is>
      </c>
      <c r="D3858" t="inlineStr">
        <is>
          <t>Vice-présidente, Finances et Services corporatifs</t>
        </is>
      </c>
      <c r="E3858" t="inlineStr">
        <is>
          <t>Denise Frenette</t>
        </is>
      </c>
      <c r="F3858" t="inlineStr">
        <is>
          <t xml:space="preserve">Meetings with Government of Canada officials and Agency officials </t>
        </is>
      </c>
      <c r="G3858" t="inlineStr">
        <is>
          <t xml:space="preserve">Réunions avec des fonctionnaires du gouvernement du Canada et de l'Agence </t>
        </is>
      </c>
      <c r="H3858" s="1" t="n">
        <v>40826</v>
      </c>
      <c r="I3858" s="1" t="n">
        <v>40829</v>
      </c>
      <c r="J3858" t="inlineStr">
        <is>
          <t>Ottawa, Ontario</t>
        </is>
      </c>
      <c r="K3858" t="inlineStr">
        <is>
          <t>Ottawa (Ontario)</t>
        </is>
      </c>
      <c r="P3858" t="n">
        <v>1075.76</v>
      </c>
      <c r="Q3858" t="n">
        <v>49.56</v>
      </c>
      <c r="R3858" t="n">
        <v>522.0599999999999</v>
      </c>
      <c r="S3858" t="n">
        <v>274.2</v>
      </c>
      <c r="T3858" t="n">
        <v>0</v>
      </c>
      <c r="U3858" t="n">
        <v>1921.58</v>
      </c>
      <c r="X3858" t="inlineStr">
        <is>
          <t>acoa-apeca</t>
        </is>
      </c>
      <c r="Y3858" t="inlineStr">
        <is>
          <t>Atlantic Canada Opportunities Agency | Agence de promotion économique du Canada atlantique</t>
        </is>
      </c>
    </row>
    <row r="3859">
      <c r="A3859" t="inlineStr">
        <is>
          <t>T-2012-Q3-00039</t>
        </is>
      </c>
      <c r="B3859" t="inlineStr">
        <is>
          <t>SLE</t>
        </is>
      </c>
      <c r="C3859" t="inlineStr">
        <is>
          <t>Vice-President, Finance and Corporate Services</t>
        </is>
      </c>
      <c r="D3859" t="inlineStr">
        <is>
          <t>Vice-présidente, Finances et Services corporatifs</t>
        </is>
      </c>
      <c r="E3859" t="inlineStr">
        <is>
          <t>Denise Frenette</t>
        </is>
      </c>
      <c r="F3859" t="inlineStr">
        <is>
          <t xml:space="preserve">Meetings with Government of Canada officials and Agency officials </t>
        </is>
      </c>
      <c r="G3859" t="inlineStr">
        <is>
          <t xml:space="preserve">Réunions avec des fonctionnaires du gouvernement du Canada et de l'Agence </t>
        </is>
      </c>
      <c r="H3859" s="1" t="n">
        <v>40821</v>
      </c>
      <c r="I3859" s="1" t="n">
        <v>40822</v>
      </c>
      <c r="J3859" t="inlineStr">
        <is>
          <t>Halifax, Nova Scotia</t>
        </is>
      </c>
      <c r="K3859" t="inlineStr">
        <is>
          <t>Halifax (Nouvelle-Écosse)</t>
        </is>
      </c>
      <c r="P3859" t="n">
        <v>0</v>
      </c>
      <c r="Q3859" t="n">
        <v>97.05</v>
      </c>
      <c r="R3859" t="n">
        <v>174.78</v>
      </c>
      <c r="S3859" t="n">
        <v>74.90000000000001</v>
      </c>
      <c r="T3859" t="n">
        <v>10</v>
      </c>
      <c r="U3859" t="n">
        <v>356.73</v>
      </c>
      <c r="X3859" t="inlineStr">
        <is>
          <t>acoa-apeca</t>
        </is>
      </c>
      <c r="Y3859" t="inlineStr">
        <is>
          <t>Atlantic Canada Opportunities Agency | Agence de promotion économique du Canada atlantique</t>
        </is>
      </c>
    </row>
    <row r="3860">
      <c r="A3860" t="inlineStr">
        <is>
          <t>T-2012-Q3-00038</t>
        </is>
      </c>
      <c r="B3860" t="inlineStr">
        <is>
          <t>SLE</t>
        </is>
      </c>
      <c r="C3860" t="inlineStr">
        <is>
          <t>Vice-President, Prince Edward Island</t>
        </is>
      </c>
      <c r="D3860" t="inlineStr">
        <is>
          <t>Vice-président, Île-du-Prince-Édouard</t>
        </is>
      </c>
      <c r="E3860" t="inlineStr">
        <is>
          <t>Patrick Dorsey</t>
        </is>
      </c>
      <c r="F3860" t="inlineStr">
        <is>
          <t>Attend Executive Committee Meeting</t>
        </is>
      </c>
      <c r="G3860" t="inlineStr">
        <is>
          <t>Assister à une réunion du Comité de direction</t>
        </is>
      </c>
      <c r="H3860" s="1" t="n">
        <v>40820</v>
      </c>
      <c r="I3860" s="1" t="n">
        <v>40821</v>
      </c>
      <c r="J3860" t="inlineStr">
        <is>
          <t>Halifax, Nova Scotia</t>
        </is>
      </c>
      <c r="K3860" t="inlineStr">
        <is>
          <t>Halifax (Nouvelle-Écosse)</t>
        </is>
      </c>
      <c r="P3860" t="n">
        <v>858.85</v>
      </c>
      <c r="Q3860" t="n">
        <v>136</v>
      </c>
      <c r="R3860" t="n">
        <v>166.57</v>
      </c>
      <c r="S3860" t="n">
        <v>130.55</v>
      </c>
      <c r="T3860" t="n">
        <v>0</v>
      </c>
      <c r="U3860" t="n">
        <v>1291.97</v>
      </c>
      <c r="X3860" t="inlineStr">
        <is>
          <t>acoa-apeca</t>
        </is>
      </c>
      <c r="Y3860" t="inlineStr">
        <is>
          <t>Atlantic Canada Opportunities Agency | Agence de promotion économique du Canada atlantique</t>
        </is>
      </c>
    </row>
    <row r="3861">
      <c r="A3861" t="inlineStr">
        <is>
          <t>T-2012-Q3-00037</t>
        </is>
      </c>
      <c r="B3861" t="inlineStr">
        <is>
          <t>SLE</t>
        </is>
      </c>
      <c r="C3861" t="inlineStr">
        <is>
          <t>Vice-President, Newfoundland and Labrador</t>
        </is>
      </c>
      <c r="D3861" t="inlineStr">
        <is>
          <t>Vice-président, Terre-Neuve-et-Labrador</t>
        </is>
      </c>
      <c r="E3861" t="inlineStr">
        <is>
          <t>Paul Mills</t>
        </is>
      </c>
      <c r="F3861" t="inlineStr">
        <is>
          <t>To attend meeting with senior government officials and conference</t>
        </is>
      </c>
      <c r="G3861" t="inlineStr">
        <is>
          <t>Assister à une réunion avec de hauts fonctionnaires ainsi qu'à une conférence</t>
        </is>
      </c>
      <c r="H3861" s="1" t="n">
        <v>40820</v>
      </c>
      <c r="I3861" s="1" t="n">
        <v>40823</v>
      </c>
      <c r="J3861" t="inlineStr">
        <is>
          <t>Halifax, NS</t>
        </is>
      </c>
      <c r="K3861" t="inlineStr">
        <is>
          <t>Halifax (Nouvelle-Écosse)</t>
        </is>
      </c>
      <c r="P3861" t="n">
        <v>1329.26</v>
      </c>
      <c r="Q3861" t="n">
        <v>168</v>
      </c>
      <c r="R3861" t="n">
        <v>510.27</v>
      </c>
      <c r="S3861" t="n">
        <v>163.2</v>
      </c>
      <c r="T3861" t="n">
        <v>10.53</v>
      </c>
      <c r="U3861" t="n">
        <v>2181.26</v>
      </c>
      <c r="X3861" t="inlineStr">
        <is>
          <t>acoa-apeca</t>
        </is>
      </c>
      <c r="Y3861" t="inlineStr">
        <is>
          <t>Atlantic Canada Opportunities Agency | Agence de promotion économique du Canada atlantique</t>
        </is>
      </c>
    </row>
    <row r="3862">
      <c r="A3862" t="inlineStr">
        <is>
          <t>T-2012-Q3-00034</t>
        </is>
      </c>
      <c r="B3862" t="inlineStr">
        <is>
          <t>SLE</t>
        </is>
      </c>
      <c r="C3862" t="inlineStr">
        <is>
          <t>Vice President, Nova Scotia</t>
        </is>
      </c>
      <c r="D3862" t="inlineStr">
        <is>
          <t>Vice-président, Nouvelle-Écosse</t>
        </is>
      </c>
      <c r="E3862" t="inlineStr">
        <is>
          <t>Peter Hogan</t>
        </is>
      </c>
      <c r="F3862" t="inlineStr">
        <is>
          <t>Meeting with the Minister and various other meetings with Government Officials</t>
        </is>
      </c>
      <c r="G3862" t="inlineStr">
        <is>
          <t>Réunion avec le ministre et autres réunions avec des fonctionnaires gouvernementaux</t>
        </is>
      </c>
      <c r="H3862" s="1" t="n">
        <v>40819</v>
      </c>
      <c r="I3862" s="1" t="n">
        <v>40820</v>
      </c>
      <c r="J3862" t="inlineStr">
        <is>
          <t>Ottawa, Ontario</t>
        </is>
      </c>
      <c r="K3862" t="inlineStr">
        <is>
          <t>Ottawa (Ontario)</t>
        </is>
      </c>
      <c r="P3862" t="n">
        <v>594.67</v>
      </c>
      <c r="Q3862" t="n">
        <v>132.2</v>
      </c>
      <c r="R3862" t="n">
        <v>177.41</v>
      </c>
      <c r="S3862" t="n">
        <v>145.15</v>
      </c>
      <c r="T3862" t="n">
        <v>0</v>
      </c>
      <c r="U3862" t="n">
        <v>1049.43</v>
      </c>
      <c r="X3862" t="inlineStr">
        <is>
          <t>acoa-apeca</t>
        </is>
      </c>
      <c r="Y3862" t="inlineStr">
        <is>
          <t>Atlantic Canada Opportunities Agency | Agence de promotion économique du Canada atlantique</t>
        </is>
      </c>
    </row>
    <row r="3863">
      <c r="A3863" t="inlineStr">
        <is>
          <t>T-2012-Q3-00033</t>
        </is>
      </c>
      <c r="B3863" t="inlineStr">
        <is>
          <t>SLE</t>
        </is>
      </c>
      <c r="C3863" t="inlineStr">
        <is>
          <t>President</t>
        </is>
      </c>
      <c r="D3863" t="inlineStr">
        <is>
          <t>Président</t>
        </is>
      </c>
      <c r="E3863" t="inlineStr">
        <is>
          <t>Paul J. LeBlanc</t>
        </is>
      </c>
      <c r="F3863" t="inlineStr">
        <is>
          <t>For various meetings and discussions with Agency officials; with Government of Canada officials; to attend the 4Front Atlantic Conference</t>
        </is>
      </c>
      <c r="G3863" t="inlineStr">
        <is>
          <t>Diverses réunions et discussions avec des fonctionnaires de l'Agence et du fédéral, et participation à la conférence Atlantique à l'avant-garde</t>
        </is>
      </c>
      <c r="H3863" s="1" t="n">
        <v>40819</v>
      </c>
      <c r="I3863" s="1" t="n">
        <v>40823</v>
      </c>
      <c r="J3863" t="inlineStr">
        <is>
          <t>Ottawa, Ontario / Halifax, Nova Scotia</t>
        </is>
      </c>
      <c r="K3863" t="inlineStr">
        <is>
          <t>Ottawa (Ontario) / Halifax (Nouvelle-Écosse)</t>
        </is>
      </c>
      <c r="P3863" t="n">
        <v>876.52</v>
      </c>
      <c r="Q3863" t="n">
        <v>0</v>
      </c>
      <c r="R3863" t="n">
        <v>592.79</v>
      </c>
      <c r="S3863" t="n">
        <v>396.3</v>
      </c>
      <c r="T3863" t="n">
        <v>0</v>
      </c>
      <c r="U3863" t="n">
        <v>1865.61</v>
      </c>
      <c r="X3863" t="inlineStr">
        <is>
          <t>acoa-apeca</t>
        </is>
      </c>
      <c r="Y3863" t="inlineStr">
        <is>
          <t>Atlantic Canada Opportunities Agency | Agence de promotion économique du Canada atlantique</t>
        </is>
      </c>
    </row>
    <row r="3864">
      <c r="A3864" t="inlineStr">
        <is>
          <t>T-2012-Q3-00024</t>
        </is>
      </c>
      <c r="B3864" t="inlineStr">
        <is>
          <t>SLE</t>
        </is>
      </c>
      <c r="C3864" t="inlineStr">
        <is>
          <t>Vice-President, Finance and Corporate Services</t>
        </is>
      </c>
      <c r="D3864" t="inlineStr">
        <is>
          <t>Vice-présidente, Finances et Services corporatifs</t>
        </is>
      </c>
      <c r="E3864" t="inlineStr">
        <is>
          <t>Denise Frenette</t>
        </is>
      </c>
      <c r="F3864" t="inlineStr">
        <is>
          <t xml:space="preserve">Meetings with Government of Canada officials and Agency officials </t>
        </is>
      </c>
      <c r="G3864" t="inlineStr">
        <is>
          <t xml:space="preserve">Réunions avec des fonctionnaires du gouvernement du Canada et de l'Agence </t>
        </is>
      </c>
      <c r="H3864" s="1" t="n">
        <v>40805</v>
      </c>
      <c r="I3864" s="1" t="n">
        <v>40806</v>
      </c>
      <c r="J3864" t="inlineStr">
        <is>
          <t>Ottawa, Ontario</t>
        </is>
      </c>
      <c r="K3864" t="inlineStr">
        <is>
          <t>Ottawa (Ontario)</t>
        </is>
      </c>
      <c r="P3864" t="n">
        <v>1075.76</v>
      </c>
      <c r="Q3864" t="n">
        <v>144.28</v>
      </c>
      <c r="R3864" t="n">
        <v>186.51</v>
      </c>
      <c r="S3864" t="n">
        <v>142.6</v>
      </c>
      <c r="T3864" t="n">
        <v>0</v>
      </c>
      <c r="U3864" t="n">
        <v>1549.15</v>
      </c>
      <c r="X3864" t="inlineStr">
        <is>
          <t>acoa-apeca</t>
        </is>
      </c>
      <c r="Y3864" t="inlineStr">
        <is>
          <t>Atlantic Canada Opportunities Agency | Agence de promotion économique du Canada atlantique</t>
        </is>
      </c>
    </row>
    <row r="3865">
      <c r="A3865" t="inlineStr">
        <is>
          <t>T-2012-Q3-00031</t>
        </is>
      </c>
      <c r="B3865" t="inlineStr">
        <is>
          <t>SLE</t>
        </is>
      </c>
      <c r="C3865" t="inlineStr">
        <is>
          <t>Vice President, Nova Scotia</t>
        </is>
      </c>
      <c r="D3865" t="inlineStr">
        <is>
          <t>Vice-président, Nouvelle-Écosse</t>
        </is>
      </c>
      <c r="E3865" t="inlineStr">
        <is>
          <t>Peter Hogan</t>
        </is>
      </c>
      <c r="F3865" t="inlineStr">
        <is>
          <t>Various meetings with senior Agency and Government of Canada officials</t>
        </is>
      </c>
      <c r="G3865" t="inlineStr">
        <is>
          <t>Diverses réunions avec des hauts fonctionnaires de l'Agence et du gouvernement fédéral</t>
        </is>
      </c>
      <c r="H3865" s="1" t="n">
        <v>40813</v>
      </c>
      <c r="I3865" s="1" t="n">
        <v>40814</v>
      </c>
      <c r="J3865" t="inlineStr">
        <is>
          <t>Ottawa, Ontario</t>
        </is>
      </c>
      <c r="K3865" t="inlineStr">
        <is>
          <t>Ottawa (Ontario)</t>
        </is>
      </c>
      <c r="P3865" t="n">
        <v>631.92</v>
      </c>
      <c r="Q3865" t="n">
        <v>132.4</v>
      </c>
      <c r="R3865" t="n">
        <v>177.41</v>
      </c>
      <c r="S3865" t="n">
        <v>143.5</v>
      </c>
      <c r="T3865" t="n">
        <v>0</v>
      </c>
      <c r="U3865" t="n">
        <v>1085.23</v>
      </c>
      <c r="X3865" t="inlineStr">
        <is>
          <t>acoa-apeca</t>
        </is>
      </c>
      <c r="Y3865" t="inlineStr">
        <is>
          <t>Atlantic Canada Opportunities Agency | Agence de promotion économique du Canada atlantique</t>
        </is>
      </c>
    </row>
    <row r="3866">
      <c r="A3866" t="inlineStr">
        <is>
          <t>T-2012-Q3-00029</t>
        </is>
      </c>
      <c r="B3866" t="inlineStr">
        <is>
          <t>SLE</t>
        </is>
      </c>
      <c r="C3866" t="inlineStr">
        <is>
          <t>Vice-President, Prince Edward Island</t>
        </is>
      </c>
      <c r="D3866" t="inlineStr">
        <is>
          <t>Vice-président, Île-du-Prince-Édouard</t>
        </is>
      </c>
      <c r="E3866" t="inlineStr">
        <is>
          <t>Patrick Dorsey</t>
        </is>
      </c>
      <c r="F3866" t="inlineStr">
        <is>
          <t>Meetings in the ACOA Ottawa Office</t>
        </is>
      </c>
      <c r="G3866" t="inlineStr">
        <is>
          <t>Réunions au bureau de l'APECA à Ottawa</t>
        </is>
      </c>
      <c r="H3866" s="1" t="n">
        <v>40812</v>
      </c>
      <c r="I3866" s="1" t="n">
        <v>40813</v>
      </c>
      <c r="J3866" t="inlineStr">
        <is>
          <t>Ottawa, Ontario</t>
        </is>
      </c>
      <c r="K3866" t="inlineStr">
        <is>
          <t>Ottawa (Ontario)</t>
        </is>
      </c>
      <c r="P3866" t="n">
        <v>1074.69</v>
      </c>
      <c r="Q3866" t="n">
        <v>91</v>
      </c>
      <c r="R3866" t="n">
        <v>303.97</v>
      </c>
      <c r="S3866" t="n">
        <v>117.8</v>
      </c>
      <c r="T3866" t="n">
        <v>0</v>
      </c>
      <c r="U3866" t="n">
        <v>1587.46</v>
      </c>
      <c r="X3866" t="inlineStr">
        <is>
          <t>acoa-apeca</t>
        </is>
      </c>
      <c r="Y3866" t="inlineStr">
        <is>
          <t>Atlantic Canada Opportunities Agency | Agence de promotion économique du Canada atlantique</t>
        </is>
      </c>
    </row>
    <row r="3867">
      <c r="A3867" t="inlineStr">
        <is>
          <t>T-2012-Q3-00028</t>
        </is>
      </c>
      <c r="B3867" t="inlineStr">
        <is>
          <t>SLE</t>
        </is>
      </c>
      <c r="C3867" t="inlineStr">
        <is>
          <t>President</t>
        </is>
      </c>
      <c r="D3867" t="inlineStr">
        <is>
          <t>Président</t>
        </is>
      </c>
      <c r="E3867" t="inlineStr">
        <is>
          <t>Paul J. LeBlanc</t>
        </is>
      </c>
      <c r="F3867" t="inlineStr">
        <is>
          <t>For various meetings and discussions with Agency officials; with Government of Canada officials</t>
        </is>
      </c>
      <c r="G3867" t="inlineStr">
        <is>
          <t>Diverses réunions et discussions avec des fonctionnaires de l'Agence et des fonctionnaires du gouvernement fédéral</t>
        </is>
      </c>
      <c r="H3867" s="1" t="n">
        <v>40812</v>
      </c>
      <c r="I3867" s="1" t="n">
        <v>40815</v>
      </c>
      <c r="J3867" t="inlineStr">
        <is>
          <t>Ottawa, Ontario</t>
        </is>
      </c>
      <c r="K3867" t="inlineStr">
        <is>
          <t>Ottawa (Ontario)</t>
        </is>
      </c>
      <c r="P3867" t="n">
        <v>727.36</v>
      </c>
      <c r="Q3867" t="n">
        <v>13.52</v>
      </c>
      <c r="R3867" t="n">
        <v>522.0599999999999</v>
      </c>
      <c r="S3867" t="n">
        <v>261.3</v>
      </c>
      <c r="T3867" t="n">
        <v>101.5</v>
      </c>
      <c r="U3867" t="n">
        <v>1625.74</v>
      </c>
      <c r="X3867" t="inlineStr">
        <is>
          <t>acoa-apeca</t>
        </is>
      </c>
      <c r="Y3867" t="inlineStr">
        <is>
          <t>Atlantic Canada Opportunities Agency | Agence de promotion économique du Canada atlantique</t>
        </is>
      </c>
    </row>
    <row r="3868">
      <c r="A3868" t="inlineStr">
        <is>
          <t>T-2012-Q3-00027</t>
        </is>
      </c>
      <c r="B3868" t="inlineStr">
        <is>
          <t>SLE</t>
        </is>
      </c>
      <c r="C3868" t="inlineStr">
        <is>
          <t>Vice President, Nova Scotia</t>
        </is>
      </c>
      <c r="D3868" t="inlineStr">
        <is>
          <t>Vice-président, Nouvelle-Écosse</t>
        </is>
      </c>
      <c r="E3868" t="inlineStr">
        <is>
          <t>Peter Hogan</t>
        </is>
      </c>
      <c r="F3868" t="inlineStr">
        <is>
          <t>Various meetings with Government of Canada officials</t>
        </is>
      </c>
      <c r="G3868" t="inlineStr">
        <is>
          <t>Diverses réunions avec des fonctionnaires du gouvernement fédéral</t>
        </is>
      </c>
      <c r="H3868" s="1" t="n">
        <v>40807</v>
      </c>
      <c r="I3868" s="1" t="n">
        <v>40808</v>
      </c>
      <c r="J3868" t="inlineStr">
        <is>
          <t>Ottawa, Ontario</t>
        </is>
      </c>
      <c r="K3868" t="inlineStr">
        <is>
          <t>Ottawa (Ontario)</t>
        </is>
      </c>
      <c r="P3868" t="n">
        <v>1172.68</v>
      </c>
      <c r="Q3868" t="n">
        <v>129.4</v>
      </c>
      <c r="R3868" t="n">
        <v>174.02</v>
      </c>
      <c r="S3868" t="n">
        <v>103.65</v>
      </c>
      <c r="T3868" t="n">
        <v>0</v>
      </c>
      <c r="U3868" t="n">
        <v>1579.75</v>
      </c>
      <c r="X3868" t="inlineStr">
        <is>
          <t>acoa-apeca</t>
        </is>
      </c>
      <c r="Y3868" t="inlineStr">
        <is>
          <t>Atlantic Canada Opportunities Agency | Agence de promotion économique du Canada atlantique</t>
        </is>
      </c>
    </row>
    <row r="3869">
      <c r="A3869" t="inlineStr">
        <is>
          <t>T-2012-Q3-00025</t>
        </is>
      </c>
      <c r="B3869" t="inlineStr">
        <is>
          <t>MPSES</t>
        </is>
      </c>
      <c r="C3869" t="inlineStr">
        <is>
          <t>Chief of Staff</t>
        </is>
      </c>
      <c r="D3869" t="inlineStr">
        <is>
          <t>Chef de cabinet</t>
        </is>
      </c>
      <c r="E3869" t="inlineStr">
        <is>
          <t>Mélisa Leclerc</t>
        </is>
      </c>
      <c r="F3869" t="inlineStr">
        <is>
          <t>Travel with MoS to attend various events and meetings on ACOA and the Francophonie</t>
        </is>
      </c>
      <c r="G3869" t="inlineStr">
        <is>
          <t>Voyage avec le ministre d'État pour assister à diverses activités et réunions liées à l'APECA et à la Francophonie</t>
        </is>
      </c>
      <c r="H3869" s="1" t="n">
        <v>40805</v>
      </c>
      <c r="I3869" s="1" t="n">
        <v>40806</v>
      </c>
      <c r="J3869" t="inlineStr">
        <is>
          <t>New York, New York - United States of America</t>
        </is>
      </c>
      <c r="K3869" t="inlineStr">
        <is>
          <t>New York, État de New York (États-Unis)</t>
        </is>
      </c>
      <c r="P3869" t="n">
        <v>628.89</v>
      </c>
      <c r="Q3869" t="n">
        <v>0</v>
      </c>
      <c r="R3869" t="n">
        <v>564.6799999999999</v>
      </c>
      <c r="S3869" t="n">
        <v>88.67</v>
      </c>
      <c r="T3869" t="n">
        <v>0</v>
      </c>
      <c r="U3869" t="n">
        <v>1282.24</v>
      </c>
      <c r="X3869" t="inlineStr">
        <is>
          <t>acoa-apeca</t>
        </is>
      </c>
      <c r="Y3869" t="inlineStr">
        <is>
          <t>Atlantic Canada Opportunities Agency | Agence de promotion économique du Canada atlantique</t>
        </is>
      </c>
    </row>
    <row r="3870">
      <c r="A3870" t="inlineStr">
        <is>
          <t>T-2012-Q3-00023</t>
        </is>
      </c>
      <c r="B3870" t="inlineStr">
        <is>
          <t>SLE</t>
        </is>
      </c>
      <c r="C3870" t="inlineStr">
        <is>
          <t>Vice-President, Prince Edward Island</t>
        </is>
      </c>
      <c r="D3870" t="inlineStr">
        <is>
          <t>Vice-président, Île-du-Prince-Édouard</t>
        </is>
      </c>
      <c r="E3870" t="inlineStr">
        <is>
          <t>Patrick Dorsey</t>
        </is>
      </c>
      <c r="F3870" t="inlineStr">
        <is>
          <t>Meeting with ACOA Officials</t>
        </is>
      </c>
      <c r="G3870" t="inlineStr">
        <is>
          <t>Réunion avec des fonctionnaires de l'APECA</t>
        </is>
      </c>
      <c r="H3870" s="1" t="n">
        <v>40805</v>
      </c>
      <c r="I3870" s="1" t="n">
        <v>40805</v>
      </c>
      <c r="J3870" t="inlineStr">
        <is>
          <t>Halifax, Nova Scotia</t>
        </is>
      </c>
      <c r="K3870" t="inlineStr">
        <is>
          <t>Halifax (Nouvelle-Écosse)</t>
        </is>
      </c>
      <c r="P3870" t="n">
        <v>0</v>
      </c>
      <c r="Q3870" t="n">
        <v>65.25</v>
      </c>
      <c r="R3870" t="n">
        <v>0</v>
      </c>
      <c r="S3870" t="n">
        <v>54</v>
      </c>
      <c r="T3870" t="n">
        <v>0</v>
      </c>
      <c r="U3870" t="n">
        <v>119.25</v>
      </c>
      <c r="X3870" t="inlineStr">
        <is>
          <t>acoa-apeca</t>
        </is>
      </c>
      <c r="Y3870" t="inlineStr">
        <is>
          <t>Atlantic Canada Opportunities Agency | Agence de promotion économique du Canada atlantique</t>
        </is>
      </c>
    </row>
    <row r="3871">
      <c r="A3871" t="inlineStr">
        <is>
          <t>T-2012-Q3-00022</t>
        </is>
      </c>
      <c r="B3871" t="inlineStr">
        <is>
          <t>MPSES</t>
        </is>
      </c>
      <c r="C3871" t="inlineStr">
        <is>
          <t>Minister of State</t>
        </is>
      </c>
      <c r="D3871" t="inlineStr">
        <is>
          <t>Ministre d'État</t>
        </is>
      </c>
      <c r="E3871" t="inlineStr">
        <is>
          <t>Bernard Valcourt</t>
        </is>
      </c>
      <c r="F3871" t="inlineStr">
        <is>
          <t>Francophonie's ministerial co-operation</t>
        </is>
      </c>
      <c r="G3871" t="inlineStr">
        <is>
          <t>Concertation ministérielle de la Francophonie</t>
        </is>
      </c>
      <c r="H3871" s="1" t="n">
        <v>40805</v>
      </c>
      <c r="I3871" s="1" t="n">
        <v>40806</v>
      </c>
      <c r="J3871" t="inlineStr">
        <is>
          <t>New York, New York - U.S.A.</t>
        </is>
      </c>
      <c r="K3871" t="inlineStr">
        <is>
          <t>New York (New York) - États-Unis</t>
        </is>
      </c>
      <c r="P3871" t="n">
        <v>628.89</v>
      </c>
      <c r="Q3871" t="n">
        <v>0</v>
      </c>
      <c r="R3871" t="n">
        <v>564.6799999999999</v>
      </c>
      <c r="S3871" t="n">
        <v>88.67</v>
      </c>
      <c r="T3871" t="n">
        <v>0</v>
      </c>
      <c r="U3871" t="n">
        <v>1282.24</v>
      </c>
      <c r="X3871" t="inlineStr">
        <is>
          <t>acoa-apeca</t>
        </is>
      </c>
      <c r="Y3871" t="inlineStr">
        <is>
          <t>Atlantic Canada Opportunities Agency | Agence de promotion économique du Canada atlantique</t>
        </is>
      </c>
    </row>
    <row r="3872">
      <c r="A3872" t="inlineStr">
        <is>
          <t>T-2012-Q3-00020</t>
        </is>
      </c>
      <c r="B3872" t="inlineStr">
        <is>
          <t>SLE</t>
        </is>
      </c>
      <c r="C3872" t="inlineStr">
        <is>
          <t>Vice-President, Newfoundland and Labrador</t>
        </is>
      </c>
      <c r="D3872" t="inlineStr">
        <is>
          <t>Vice-président, Terre-Neuve-et-Labrador</t>
        </is>
      </c>
      <c r="E3872" t="inlineStr">
        <is>
          <t>Paul Mills</t>
        </is>
      </c>
      <c r="F3872" t="inlineStr">
        <is>
          <t>To attend meetings with senior government officials</t>
        </is>
      </c>
      <c r="G3872" t="inlineStr">
        <is>
          <t>Assister à des réunions avec de hauts fonctionnaires</t>
        </is>
      </c>
      <c r="H3872" s="1" t="n">
        <v>40805</v>
      </c>
      <c r="I3872" s="1" t="n">
        <v>40808</v>
      </c>
      <c r="J3872" t="inlineStr">
        <is>
          <t>Ottawa, ON</t>
        </is>
      </c>
      <c r="K3872" t="inlineStr">
        <is>
          <t>Ottawa (Ontario)</t>
        </is>
      </c>
      <c r="P3872" t="n">
        <v>1993.69</v>
      </c>
      <c r="Q3872" t="n">
        <v>231</v>
      </c>
      <c r="R3872" t="n">
        <v>638.51</v>
      </c>
      <c r="S3872" t="n">
        <v>250.65</v>
      </c>
      <c r="T3872" t="n">
        <v>15.06</v>
      </c>
      <c r="U3872" t="n">
        <v>3128.91</v>
      </c>
      <c r="X3872" t="inlineStr">
        <is>
          <t>acoa-apeca</t>
        </is>
      </c>
      <c r="Y3872" t="inlineStr">
        <is>
          <t>Atlantic Canada Opportunities Agency | Agence de promotion économique du Canada atlantique</t>
        </is>
      </c>
    </row>
    <row r="3873">
      <c r="A3873" t="inlineStr">
        <is>
          <t>T-2012-Q3-00018</t>
        </is>
      </c>
      <c r="B3873" t="inlineStr">
        <is>
          <t>SLE</t>
        </is>
      </c>
      <c r="C3873" t="inlineStr">
        <is>
          <t>President</t>
        </is>
      </c>
      <c r="D3873" t="inlineStr">
        <is>
          <t>Président</t>
        </is>
      </c>
      <c r="E3873" t="inlineStr">
        <is>
          <t>Paul J. LeBlanc</t>
        </is>
      </c>
      <c r="F3873" t="inlineStr">
        <is>
          <t>To take part in various meetings and sessions with Agency officials and investment stakeholders; to take part in meetings and discussions with Agency officials and Government of Canada officials</t>
        </is>
      </c>
      <c r="G3873" t="inlineStr">
        <is>
          <t>Participer à diverses réunions et séances avec des représentants de l'Agence et des investisseurs; participer à des réunions et à des discussions avec des fonctionnaires de l'Agence et du fédéral</t>
        </is>
      </c>
      <c r="H3873" s="1" t="n">
        <v>40804</v>
      </c>
      <c r="I3873" s="1" t="n">
        <v>40807</v>
      </c>
      <c r="J3873" t="inlineStr">
        <is>
          <t>Ottawa, Ontario; New York, New York; Ottawa, Ontario</t>
        </is>
      </c>
      <c r="K3873" t="inlineStr">
        <is>
          <t>Ottawa (Ontario) / New York (New York) / Ottawa (Ontario)</t>
        </is>
      </c>
      <c r="P3873" t="n">
        <v>2400.4</v>
      </c>
      <c r="Q3873" t="n">
        <v>0</v>
      </c>
      <c r="R3873" t="n">
        <v>1147.53</v>
      </c>
      <c r="S3873" t="n">
        <v>212.55</v>
      </c>
      <c r="T3873" t="n">
        <v>122.99</v>
      </c>
      <c r="U3873" t="n">
        <v>3883.47</v>
      </c>
      <c r="X3873" t="inlineStr">
        <is>
          <t>acoa-apeca</t>
        </is>
      </c>
      <c r="Y3873" t="inlineStr">
        <is>
          <t>Atlantic Canada Opportunities Agency | Agence de promotion économique du Canada atlantique</t>
        </is>
      </c>
    </row>
    <row r="3874">
      <c r="A3874" t="inlineStr">
        <is>
          <t>T-2012-Q3-00016</t>
        </is>
      </c>
      <c r="B3874" t="inlineStr">
        <is>
          <t>MPSES</t>
        </is>
      </c>
      <c r="C3874" t="inlineStr">
        <is>
          <t>Chief of Staff</t>
        </is>
      </c>
      <c r="D3874" t="inlineStr">
        <is>
          <t>Chef de cabinet</t>
        </is>
      </c>
      <c r="E3874" t="inlineStr">
        <is>
          <t>Mélisa Leclerc</t>
        </is>
      </c>
      <c r="F3874" t="inlineStr">
        <is>
          <t>Atlantic Canada Mission to DSEI and various Governement of Canada events and meetings</t>
        </is>
      </c>
      <c r="G3874" t="inlineStr">
        <is>
          <t>Mission du Canada atlantique à DSEI et diverses activités et réunions du gouvernement du Canada</t>
        </is>
      </c>
      <c r="H3874" s="1" t="n">
        <v>40799</v>
      </c>
      <c r="I3874" s="1" t="n">
        <v>40802</v>
      </c>
      <c r="J3874" t="inlineStr">
        <is>
          <t>London, England / Paris, France</t>
        </is>
      </c>
      <c r="K3874" t="inlineStr">
        <is>
          <t>Londres (Angleterre) / Paris (France)</t>
        </is>
      </c>
      <c r="P3874" t="n">
        <v>3140.6</v>
      </c>
      <c r="Q3874" t="n">
        <v>0</v>
      </c>
      <c r="R3874" t="n">
        <v>1816.74</v>
      </c>
      <c r="S3874" t="n">
        <v>308.64</v>
      </c>
      <c r="T3874" t="n">
        <v>0</v>
      </c>
      <c r="U3874" t="n">
        <v>5265.98</v>
      </c>
      <c r="X3874" t="inlineStr">
        <is>
          <t>acoa-apeca</t>
        </is>
      </c>
      <c r="Y3874" t="inlineStr">
        <is>
          <t>Atlantic Canada Opportunities Agency | Agence de promotion économique du Canada atlantique</t>
        </is>
      </c>
    </row>
    <row r="3875">
      <c r="A3875" t="inlineStr">
        <is>
          <t>T-2012-Q3-00015</t>
        </is>
      </c>
      <c r="B3875" t="inlineStr">
        <is>
          <t>SLE</t>
        </is>
      </c>
      <c r="C3875" t="inlineStr">
        <is>
          <t>Vice-President, New Brunswick</t>
        </is>
      </c>
      <c r="D3875" t="inlineStr">
        <is>
          <t>Vice-présidente, Nouveau-Brunswick</t>
        </is>
      </c>
      <c r="E3875" t="inlineStr">
        <is>
          <t>Janet Gagnon</t>
        </is>
      </c>
      <c r="F3875" t="inlineStr">
        <is>
          <t>To attend the Aquaculture Showcase 2011</t>
        </is>
      </c>
      <c r="G3875" t="inlineStr">
        <is>
          <t>Assister à l'Aquaculture Showcase 2011</t>
        </is>
      </c>
      <c r="H3875" s="1" t="n">
        <v>40799</v>
      </c>
      <c r="I3875" s="1" t="n">
        <v>40801</v>
      </c>
      <c r="J3875" t="inlineStr">
        <is>
          <t>St. Alban, Newfoundland</t>
        </is>
      </c>
      <c r="K3875" t="inlineStr">
        <is>
          <t>St. Alban (Terre-Neuve-et-Labrador)</t>
        </is>
      </c>
      <c r="P3875" t="n">
        <v>1280.35</v>
      </c>
      <c r="Q3875" t="n">
        <v>0</v>
      </c>
      <c r="R3875" t="n">
        <v>224.87</v>
      </c>
      <c r="S3875" t="n">
        <v>190</v>
      </c>
      <c r="T3875" t="n">
        <v>22</v>
      </c>
      <c r="U3875" t="n">
        <v>1717.22</v>
      </c>
      <c r="X3875" t="inlineStr">
        <is>
          <t>acoa-apeca</t>
        </is>
      </c>
      <c r="Y3875" t="inlineStr">
        <is>
          <t>Atlantic Canada Opportunities Agency | Agence de promotion économique du Canada atlantique</t>
        </is>
      </c>
    </row>
    <row r="3876">
      <c r="A3876" t="inlineStr">
        <is>
          <t>T-2012-Q3-00014</t>
        </is>
      </c>
      <c r="B3876" t="inlineStr">
        <is>
          <t>SLE</t>
        </is>
      </c>
      <c r="C3876" t="inlineStr">
        <is>
          <t>Vice-President, Finance and Corporate Services</t>
        </is>
      </c>
      <c r="D3876" t="inlineStr">
        <is>
          <t>Vice-présidente, Finances et Services corporatifs</t>
        </is>
      </c>
      <c r="E3876" t="inlineStr">
        <is>
          <t>Denise Frenette</t>
        </is>
      </c>
      <c r="F3876" t="inlineStr">
        <is>
          <t xml:space="preserve">Meetings with Government of Canada officials and Agency officials </t>
        </is>
      </c>
      <c r="G3876" t="inlineStr">
        <is>
          <t xml:space="preserve">Réunions avec des fonctionnaires du gouvernement du Canada et de l'Agence </t>
        </is>
      </c>
      <c r="H3876" s="1" t="n">
        <v>40798</v>
      </c>
      <c r="I3876" s="1" t="n">
        <v>40799</v>
      </c>
      <c r="J3876" t="inlineStr">
        <is>
          <t>Ottawa, Ontario</t>
        </is>
      </c>
      <c r="K3876" t="inlineStr">
        <is>
          <t>Ottawa (Ontario)</t>
        </is>
      </c>
      <c r="P3876" t="n">
        <v>1075.76</v>
      </c>
      <c r="Q3876" t="n">
        <v>7.28</v>
      </c>
      <c r="R3876" t="n">
        <v>174.02</v>
      </c>
      <c r="S3876" t="n">
        <v>143.5</v>
      </c>
      <c r="T3876" t="n">
        <v>0</v>
      </c>
      <c r="U3876" t="n">
        <v>1400.56</v>
      </c>
      <c r="X3876" t="inlineStr">
        <is>
          <t>acoa-apeca</t>
        </is>
      </c>
      <c r="Y3876" t="inlineStr">
        <is>
          <t>Atlantic Canada Opportunities Agency | Agence de promotion économique du Canada atlantique</t>
        </is>
      </c>
    </row>
    <row r="3877">
      <c r="A3877" t="inlineStr">
        <is>
          <t>T-2012-Q3-00012</t>
        </is>
      </c>
      <c r="B3877" t="inlineStr">
        <is>
          <t>MPSES</t>
        </is>
      </c>
      <c r="C3877" t="inlineStr">
        <is>
          <t>Minister of State</t>
        </is>
      </c>
      <c r="D3877" t="inlineStr">
        <is>
          <t>Ministre d'État</t>
        </is>
      </c>
      <c r="E3877" t="inlineStr">
        <is>
          <t>Bernard Valcourt</t>
        </is>
      </c>
      <c r="F3877" t="inlineStr">
        <is>
          <t>Meeting and roundtable for ACOA and various meetings for the Francophonie</t>
        </is>
      </c>
      <c r="G3877" t="inlineStr">
        <is>
          <t>Rencontre et table ronde pour l'APECA et rencontres diverses pour la Francophonie</t>
        </is>
      </c>
      <c r="H3877" s="1" t="n">
        <v>40797</v>
      </c>
      <c r="I3877" s="1" t="n">
        <v>40803</v>
      </c>
      <c r="J3877" t="inlineStr">
        <is>
          <t>London, England / Paris, France</t>
        </is>
      </c>
      <c r="K3877" t="inlineStr">
        <is>
          <t>Londres (Angleterre) / Paris (France)</t>
        </is>
      </c>
      <c r="P3877" t="n">
        <v>2823.4</v>
      </c>
      <c r="Q3877" t="n">
        <v>317.2</v>
      </c>
      <c r="R3877" t="n">
        <v>1883.25</v>
      </c>
      <c r="S3877" t="n">
        <v>308.64</v>
      </c>
      <c r="T3877" t="n">
        <v>0</v>
      </c>
      <c r="U3877" t="n">
        <v>5332.49</v>
      </c>
      <c r="X3877" t="inlineStr">
        <is>
          <t>acoa-apeca</t>
        </is>
      </c>
      <c r="Y3877" t="inlineStr">
        <is>
          <t>Atlantic Canada Opportunities Agency | Agence de promotion économique du Canada atlantique</t>
        </is>
      </c>
    </row>
    <row r="3878">
      <c r="A3878" t="inlineStr">
        <is>
          <t>T-2012-Q3-00011</t>
        </is>
      </c>
      <c r="B3878" t="inlineStr">
        <is>
          <t>SLE</t>
        </is>
      </c>
      <c r="C3878" t="inlineStr">
        <is>
          <t>President</t>
        </is>
      </c>
      <c r="D3878" t="inlineStr">
        <is>
          <t>Président</t>
        </is>
      </c>
      <c r="E3878" t="inlineStr">
        <is>
          <t>Paul J. LeBlanc</t>
        </is>
      </c>
      <c r="F3878" t="inlineStr">
        <is>
          <t>To take part in the Defence and Security Equipment International Exhibition; to take part in meetings and sessions with Agency officials and investment stakeholders</t>
        </is>
      </c>
      <c r="G3878" t="inlineStr">
        <is>
          <t>Participer au salon Defence and Security Equipment International; participer à des réunions et à des séances avec des fonctionnaires de l'Agence et des investisseurs</t>
        </is>
      </c>
      <c r="H3878" s="1" t="n">
        <v>40796</v>
      </c>
      <c r="I3878" s="1" t="n">
        <v>40804</v>
      </c>
      <c r="J3878" t="inlineStr">
        <is>
          <t>London, United Kingdom; Paris, France; Ottawa, Ontario</t>
        </is>
      </c>
      <c r="K3878" t="inlineStr">
        <is>
          <t>Londres (Royaume-Uni) / Paris (France) / Ottawa (Ontario)</t>
        </is>
      </c>
      <c r="P3878" t="n">
        <v>5363.64</v>
      </c>
      <c r="Q3878" t="n">
        <v>170.25</v>
      </c>
      <c r="R3878" t="n">
        <v>3142.47</v>
      </c>
      <c r="S3878" t="n">
        <v>1049.2</v>
      </c>
      <c r="T3878" t="n">
        <v>0</v>
      </c>
      <c r="U3878" t="n">
        <v>9725.559999999999</v>
      </c>
      <c r="X3878" t="inlineStr">
        <is>
          <t>acoa-apeca</t>
        </is>
      </c>
      <c r="Y3878" t="inlineStr">
        <is>
          <t>Atlantic Canada Opportunities Agency | Agence de promotion économique du Canada atlantique</t>
        </is>
      </c>
    </row>
    <row r="3879">
      <c r="A3879" t="inlineStr">
        <is>
          <t>T-2012-Q3-00010</t>
        </is>
      </c>
      <c r="B3879" t="inlineStr">
        <is>
          <t>MPSES</t>
        </is>
      </c>
      <c r="C3879" t="inlineStr">
        <is>
          <t>Minister of State</t>
        </is>
      </c>
      <c r="D3879" t="inlineStr">
        <is>
          <t>Ministre d'État</t>
        </is>
      </c>
      <c r="E3879" t="inlineStr">
        <is>
          <t>Bernard Valcourt</t>
        </is>
      </c>
      <c r="F3879" t="inlineStr">
        <is>
          <t>Various announcements and meetings for ACOA</t>
        </is>
      </c>
      <c r="G3879" t="inlineStr">
        <is>
          <t>Annonces et rencontres diverses pour l'APECA</t>
        </is>
      </c>
      <c r="H3879" s="1" t="n">
        <v>40794</v>
      </c>
      <c r="I3879" s="1" t="n">
        <v>40795</v>
      </c>
      <c r="J3879" t="inlineStr">
        <is>
          <t>Fredericton and Eel River, New Brunswick</t>
        </is>
      </c>
      <c r="K3879" t="inlineStr">
        <is>
          <t>Fredericton et Eel River (Nouveau-Brunswick)</t>
        </is>
      </c>
      <c r="P3879" t="n">
        <v>401.03</v>
      </c>
      <c r="Q3879" t="n">
        <v>332.8</v>
      </c>
      <c r="R3879" t="n">
        <v>120.91</v>
      </c>
      <c r="S3879" t="n">
        <v>71.3</v>
      </c>
      <c r="T3879" t="n">
        <v>0</v>
      </c>
      <c r="U3879" t="n">
        <v>926.04</v>
      </c>
      <c r="X3879" t="inlineStr">
        <is>
          <t>acoa-apeca</t>
        </is>
      </c>
      <c r="Y3879" t="inlineStr">
        <is>
          <t>Atlantic Canada Opportunities Agency | Agence de promotion économique du Canada atlantique</t>
        </is>
      </c>
    </row>
    <row r="3880">
      <c r="A3880" t="inlineStr">
        <is>
          <t>T-2012-Q3-00008</t>
        </is>
      </c>
      <c r="B3880" t="inlineStr">
        <is>
          <t>SLE</t>
        </is>
      </c>
      <c r="C3880" t="inlineStr">
        <is>
          <t>Vice-President, Finance and Corporate Services</t>
        </is>
      </c>
      <c r="D3880" t="inlineStr">
        <is>
          <t>Vice-présidente, Finances et Services corporatifs</t>
        </is>
      </c>
      <c r="E3880" t="inlineStr">
        <is>
          <t>Denise Frenette</t>
        </is>
      </c>
      <c r="F3880" t="inlineStr">
        <is>
          <t xml:space="preserve">Meetings with Government of Canada officials and Agency officials </t>
        </is>
      </c>
      <c r="G3880" t="inlineStr">
        <is>
          <t>Réunions avec des fonctionnaires du gouvernement du Canada et de l'Agence</t>
        </is>
      </c>
      <c r="H3880" s="1" t="n">
        <v>40792</v>
      </c>
      <c r="I3880" s="1" t="n">
        <v>40793</v>
      </c>
      <c r="J3880" t="inlineStr">
        <is>
          <t>Ottawa, Ontario</t>
        </is>
      </c>
      <c r="K3880" t="inlineStr">
        <is>
          <t>Ottawa (Ontario)</t>
        </is>
      </c>
      <c r="P3880" t="n">
        <v>1075.76</v>
      </c>
      <c r="Q3880" t="n">
        <v>88</v>
      </c>
      <c r="R3880" t="n">
        <v>174.02</v>
      </c>
      <c r="S3880" t="n">
        <v>114.3</v>
      </c>
      <c r="T3880" t="n">
        <v>1.75</v>
      </c>
      <c r="U3880" t="n">
        <v>1453.83</v>
      </c>
      <c r="X3880" t="inlineStr">
        <is>
          <t>acoa-apeca</t>
        </is>
      </c>
      <c r="Y3880" t="inlineStr">
        <is>
          <t>Atlantic Canada Opportunities Agency | Agence de promotion économique du Canada atlantique</t>
        </is>
      </c>
    </row>
    <row r="3881">
      <c r="A3881" t="inlineStr">
        <is>
          <t>T-2012-Q3-00007</t>
        </is>
      </c>
      <c r="B3881" t="inlineStr">
        <is>
          <t>SLE</t>
        </is>
      </c>
      <c r="C3881" t="inlineStr">
        <is>
          <t>Vice-President, Prince Edward Island</t>
        </is>
      </c>
      <c r="D3881" t="inlineStr">
        <is>
          <t>Vice-président, Île-du-Prince-Édouard</t>
        </is>
      </c>
      <c r="E3881" t="inlineStr">
        <is>
          <t>Patrick Dorsey</t>
        </is>
      </c>
      <c r="F3881" t="inlineStr">
        <is>
          <t>Meeting with ACOA Officials</t>
        </is>
      </c>
      <c r="G3881" t="inlineStr">
        <is>
          <t>Réunion avec des fonctionnaires de l'APECA</t>
        </is>
      </c>
      <c r="H3881" s="1" t="n">
        <v>40792</v>
      </c>
      <c r="I3881" s="1" t="n">
        <v>40793</v>
      </c>
      <c r="J3881" t="inlineStr">
        <is>
          <t>Ottawa, Ontario</t>
        </is>
      </c>
      <c r="K3881" t="inlineStr">
        <is>
          <t>Ottawa (Ontario)</t>
        </is>
      </c>
      <c r="P3881" t="n">
        <v>2191.99</v>
      </c>
      <c r="Q3881" t="n">
        <v>97</v>
      </c>
      <c r="R3881" t="n">
        <v>175.15</v>
      </c>
      <c r="S3881" t="n">
        <v>103.65</v>
      </c>
      <c r="T3881" t="n">
        <v>0</v>
      </c>
      <c r="U3881" t="n">
        <v>2567.79</v>
      </c>
      <c r="X3881" t="inlineStr">
        <is>
          <t>acoa-apeca</t>
        </is>
      </c>
      <c r="Y3881" t="inlineStr">
        <is>
          <t>Atlantic Canada Opportunities Agency | Agence de promotion économique du Canada atlantique</t>
        </is>
      </c>
    </row>
    <row r="3882">
      <c r="A3882" t="inlineStr">
        <is>
          <t>T-2012-Q3-00006</t>
        </is>
      </c>
      <c r="B3882" t="inlineStr">
        <is>
          <t>SLE</t>
        </is>
      </c>
      <c r="C3882" t="inlineStr">
        <is>
          <t>Vice President, Nova Scotia</t>
        </is>
      </c>
      <c r="D3882" t="inlineStr">
        <is>
          <t>Vice-président, Nouvelle-Écosse</t>
        </is>
      </c>
      <c r="E3882" t="inlineStr">
        <is>
          <t>Peter Hogan</t>
        </is>
      </c>
      <c r="F3882" t="inlineStr">
        <is>
          <t xml:space="preserve">Meeting with Agency officials </t>
        </is>
      </c>
      <c r="G3882" t="inlineStr">
        <is>
          <t>Réunion avec des fonctionnaires de l'Agence</t>
        </is>
      </c>
      <c r="H3882" s="1" t="n">
        <v>40792</v>
      </c>
      <c r="I3882" s="1" t="n">
        <v>40793</v>
      </c>
      <c r="J3882" t="inlineStr">
        <is>
          <t>Ottawa, Ontario</t>
        </is>
      </c>
      <c r="K3882" t="inlineStr">
        <is>
          <t>Ottawa (Ontario)</t>
        </is>
      </c>
      <c r="P3882" t="n">
        <v>862.05</v>
      </c>
      <c r="Q3882" t="n">
        <v>125.4</v>
      </c>
      <c r="R3882" t="n">
        <v>174.02</v>
      </c>
      <c r="S3882" t="n">
        <v>129.35</v>
      </c>
      <c r="T3882" t="n">
        <v>0</v>
      </c>
      <c r="U3882" t="n">
        <v>1290.82</v>
      </c>
      <c r="X3882" t="inlineStr">
        <is>
          <t>acoa-apeca</t>
        </is>
      </c>
      <c r="Y3882" t="inlineStr">
        <is>
          <t>Atlantic Canada Opportunities Agency | Agence de promotion économique du Canada atlantique</t>
        </is>
      </c>
    </row>
    <row r="3883">
      <c r="A3883" t="inlineStr">
        <is>
          <t>T-2012-Q3-00005</t>
        </is>
      </c>
      <c r="B3883" t="inlineStr">
        <is>
          <t>SLE</t>
        </is>
      </c>
      <c r="C3883" t="inlineStr">
        <is>
          <t>Vice-President, New Brunswick</t>
        </is>
      </c>
      <c r="D3883" t="inlineStr">
        <is>
          <t>Vice-présidente, Nouveau-Brunswick</t>
        </is>
      </c>
      <c r="E3883" t="inlineStr">
        <is>
          <t>Janet Gagnon</t>
        </is>
      </c>
      <c r="F3883" t="inlineStr">
        <is>
          <t>To attend the Strategic Operating Review meeting</t>
        </is>
      </c>
      <c r="G3883" t="inlineStr">
        <is>
          <t>Assister à la réunion sur l'Examen stratégique et fonctionnel</t>
        </is>
      </c>
      <c r="H3883" s="1" t="n">
        <v>40792</v>
      </c>
      <c r="I3883" s="1" t="n">
        <v>40793</v>
      </c>
      <c r="J3883" t="inlineStr">
        <is>
          <t>Ottawa, Ontario</t>
        </is>
      </c>
      <c r="K3883" t="inlineStr">
        <is>
          <t>Ottawa (Ontario)</t>
        </is>
      </c>
      <c r="P3883" t="n">
        <v>662.91</v>
      </c>
      <c r="Q3883" t="n">
        <v>39.55</v>
      </c>
      <c r="R3883" t="n">
        <v>174.02</v>
      </c>
      <c r="S3883" t="n">
        <v>129.35</v>
      </c>
      <c r="T3883" t="n">
        <v>20</v>
      </c>
      <c r="U3883" t="n">
        <v>1025.83</v>
      </c>
      <c r="X3883" t="inlineStr">
        <is>
          <t>acoa-apeca</t>
        </is>
      </c>
      <c r="Y3883" t="inlineStr">
        <is>
          <t>Atlantic Canada Opportunities Agency | Agence de promotion économique du Canada atlantique</t>
        </is>
      </c>
    </row>
    <row r="3884">
      <c r="A3884" t="inlineStr">
        <is>
          <t>T-2012-Q3-00004</t>
        </is>
      </c>
      <c r="B3884" t="inlineStr">
        <is>
          <t>SLE</t>
        </is>
      </c>
      <c r="C3884" t="inlineStr">
        <is>
          <t>President</t>
        </is>
      </c>
      <c r="D3884" t="inlineStr">
        <is>
          <t>Président</t>
        </is>
      </c>
      <c r="E3884" t="inlineStr">
        <is>
          <t>Paul J. LeBlanc</t>
        </is>
      </c>
      <c r="F3884" t="inlineStr">
        <is>
          <t>For various meetings and discussions with Agency officials</t>
        </is>
      </c>
      <c r="G3884" t="inlineStr">
        <is>
          <t>Diverses réunions et discussions avec des fonctionnaires de l'Agence</t>
        </is>
      </c>
      <c r="H3884" s="1" t="n">
        <v>40792</v>
      </c>
      <c r="I3884" s="1" t="n">
        <v>40794</v>
      </c>
      <c r="J3884" t="inlineStr">
        <is>
          <t>Ottawa, Ontario</t>
        </is>
      </c>
      <c r="K3884" t="inlineStr">
        <is>
          <t>Ottawa (Ontario)</t>
        </is>
      </c>
      <c r="P3884" t="n">
        <v>727.36</v>
      </c>
      <c r="Q3884" t="n">
        <v>30</v>
      </c>
      <c r="R3884" t="n">
        <v>348.04</v>
      </c>
      <c r="S3884" t="n">
        <v>160.8</v>
      </c>
      <c r="T3884" t="n">
        <v>113</v>
      </c>
      <c r="U3884" t="n">
        <v>1379.2</v>
      </c>
      <c r="X3884" t="inlineStr">
        <is>
          <t>acoa-apeca</t>
        </is>
      </c>
      <c r="Y3884" t="inlineStr">
        <is>
          <t>Atlantic Canada Opportunities Agency | Agence de promotion économique du Canada atlantique</t>
        </is>
      </c>
    </row>
    <row r="3885">
      <c r="A3885" t="inlineStr">
        <is>
          <t>T-2012-Q3-00002</t>
        </is>
      </c>
      <c r="B3885" t="inlineStr">
        <is>
          <t>SLE</t>
        </is>
      </c>
      <c r="C3885" t="inlineStr">
        <is>
          <t>Vice-President, Newfoundland and Labrador</t>
        </is>
      </c>
      <c r="D3885" t="inlineStr">
        <is>
          <t>Vice-président, Terre-Neuve-et-Labrador</t>
        </is>
      </c>
      <c r="E3885" t="inlineStr">
        <is>
          <t>Paul Mills</t>
        </is>
      </c>
      <c r="F3885" t="inlineStr">
        <is>
          <t>To attend meetings with senior government officials and training session</t>
        </is>
      </c>
      <c r="G3885" t="inlineStr">
        <is>
          <t>Assister à des réunions avec des hauts fonctionnaires du gouvernement et à une séance de formation</t>
        </is>
      </c>
      <c r="H3885" s="1" t="n">
        <v>40792</v>
      </c>
      <c r="I3885" s="1" t="n">
        <v>40798</v>
      </c>
      <c r="J3885" t="inlineStr">
        <is>
          <t>Toronto, ON</t>
        </is>
      </c>
      <c r="K3885" t="inlineStr">
        <is>
          <t>Toronto (Ontario)</t>
        </is>
      </c>
      <c r="P3885" t="n">
        <v>1993.69</v>
      </c>
      <c r="Q3885" t="n">
        <v>151</v>
      </c>
      <c r="R3885" t="n">
        <v>879.14</v>
      </c>
      <c r="S3885" t="n">
        <v>478.8</v>
      </c>
      <c r="T3885" t="n">
        <v>19.06</v>
      </c>
      <c r="U3885" t="n">
        <v>3521.69</v>
      </c>
      <c r="X3885" t="inlineStr">
        <is>
          <t>acoa-apeca</t>
        </is>
      </c>
      <c r="Y3885" t="inlineStr">
        <is>
          <t>Atlantic Canada Opportunities Agency | Agence de promotion économique du Canada atlantique</t>
        </is>
      </c>
    </row>
    <row r="3886">
      <c r="A3886" t="inlineStr">
        <is>
          <t>T-2012-Q2-00074</t>
        </is>
      </c>
      <c r="B3886" t="inlineStr">
        <is>
          <t>SLE</t>
        </is>
      </c>
      <c r="C3886" t="inlineStr">
        <is>
          <t>Vice-President, Finance and Corporate Services</t>
        </is>
      </c>
      <c r="D3886" t="inlineStr">
        <is>
          <t>Vice-présidente, Finances et Services corporatifs</t>
        </is>
      </c>
      <c r="E3886" t="inlineStr">
        <is>
          <t>Denise Frenette</t>
        </is>
      </c>
      <c r="F3886" t="inlineStr">
        <is>
          <t>For meetings and discussions with Agency officials</t>
        </is>
      </c>
      <c r="G3886" t="inlineStr">
        <is>
          <t xml:space="preserve">Réunions et discussions avec des fonctionnaires de l'Agence </t>
        </is>
      </c>
      <c r="H3886" s="1" t="n">
        <v>40785</v>
      </c>
      <c r="I3886" s="1" t="n">
        <v>40788</v>
      </c>
      <c r="J3886" t="inlineStr">
        <is>
          <t>Fredricton, New Brunswick; Halifax, Nova Scotia; St. John's, Newfoundland and Labrador; Charlottetown, Prince Edward Island</t>
        </is>
      </c>
      <c r="K3886" t="inlineStr">
        <is>
          <t>Fredericton (Nouveau-Brunswick) / Halifax (Nouvelle-Écosse) / St. John's (Terre-Neuve-et-Labrador) / Charlottetown (Île-du-Prince-Édouard)</t>
        </is>
      </c>
      <c r="P3886" t="n">
        <v>1500.53</v>
      </c>
      <c r="Q3886" t="n">
        <v>7.28</v>
      </c>
      <c r="R3886" t="n">
        <v>357.4</v>
      </c>
      <c r="S3886" t="n">
        <v>218.3</v>
      </c>
      <c r="T3886" t="n">
        <v>45</v>
      </c>
      <c r="U3886" t="n">
        <v>2128.51</v>
      </c>
      <c r="X3886" t="inlineStr">
        <is>
          <t>acoa-apeca</t>
        </is>
      </c>
      <c r="Y3886" t="inlineStr">
        <is>
          <t>Atlantic Canada Opportunities Agency | Agence de promotion économique du Canada atlantique</t>
        </is>
      </c>
    </row>
    <row r="3887">
      <c r="A3887" t="inlineStr">
        <is>
          <t>T-2012-Q2-00073</t>
        </is>
      </c>
      <c r="B3887" t="inlineStr">
        <is>
          <t>MPSES</t>
        </is>
      </c>
      <c r="C3887" t="inlineStr">
        <is>
          <t>Minister of State</t>
        </is>
      </c>
      <c r="D3887" t="inlineStr">
        <is>
          <t>Ministre d'État</t>
        </is>
      </c>
      <c r="E3887" t="inlineStr">
        <is>
          <t>Bernard Valcourt</t>
        </is>
      </c>
      <c r="F3887" t="inlineStr">
        <is>
          <t>Various meetings and announcements for ACOA</t>
        </is>
      </c>
      <c r="G3887" t="inlineStr">
        <is>
          <t>Rencontres diverses et annonces pour l'APECA</t>
        </is>
      </c>
      <c r="H3887" s="1" t="n">
        <v>40785</v>
      </c>
      <c r="I3887" s="1" t="n">
        <v>40787</v>
      </c>
      <c r="J3887" t="inlineStr">
        <is>
          <t>Moncton, New Brunswick</t>
        </is>
      </c>
      <c r="K3887" t="inlineStr">
        <is>
          <t>Moncton (Nouveau-Brunswick)</t>
        </is>
      </c>
      <c r="P3887" t="n">
        <v>0</v>
      </c>
      <c r="Q3887" t="n">
        <v>436.8</v>
      </c>
      <c r="R3887" t="n">
        <v>291.54</v>
      </c>
      <c r="S3887" t="n">
        <v>89.5</v>
      </c>
      <c r="T3887" t="n">
        <v>0</v>
      </c>
      <c r="U3887" t="n">
        <v>817.84</v>
      </c>
      <c r="X3887" t="inlineStr">
        <is>
          <t>acoa-apeca</t>
        </is>
      </c>
      <c r="Y3887" t="inlineStr">
        <is>
          <t>Atlantic Canada Opportunities Agency | Agence de promotion économique du Canada atlantique</t>
        </is>
      </c>
    </row>
    <row r="3888">
      <c r="A3888" t="inlineStr">
        <is>
          <t>T-2012-Q2-00072</t>
        </is>
      </c>
      <c r="B3888" t="inlineStr">
        <is>
          <t>SLE</t>
        </is>
      </c>
      <c r="C3888" t="inlineStr">
        <is>
          <t>Vice President, Nova Scotia</t>
        </is>
      </c>
      <c r="D3888" t="inlineStr">
        <is>
          <t>Vice-président, Nouvelle-Écosse</t>
        </is>
      </c>
      <c r="E3888" t="inlineStr">
        <is>
          <t>Peter Hogan</t>
        </is>
      </c>
      <c r="F3888" t="inlineStr">
        <is>
          <t xml:space="preserve">Meeting with Senior Government of Canada Officials </t>
        </is>
      </c>
      <c r="G3888" t="inlineStr">
        <is>
          <t>Réunion avec des hauts fonctionnaires du gouvernement du Canada</t>
        </is>
      </c>
      <c r="H3888" s="1" t="n">
        <v>40780</v>
      </c>
      <c r="I3888" s="1" t="n">
        <v>40780</v>
      </c>
      <c r="J3888" t="inlineStr">
        <is>
          <t>Moncton, NB</t>
        </is>
      </c>
      <c r="K3888" t="inlineStr">
        <is>
          <t>Moncton (Nouveau-Brunswick)</t>
        </is>
      </c>
      <c r="P3888" t="n">
        <v>0</v>
      </c>
      <c r="Q3888" t="n">
        <v>251.45</v>
      </c>
      <c r="R3888" t="n">
        <v>0</v>
      </c>
      <c r="S3888" t="n">
        <v>0</v>
      </c>
      <c r="T3888" t="n">
        <v>16</v>
      </c>
      <c r="U3888" t="n">
        <v>267.45</v>
      </c>
      <c r="X3888" t="inlineStr">
        <is>
          <t>acoa-apeca</t>
        </is>
      </c>
      <c r="Y3888" t="inlineStr">
        <is>
          <t>Atlantic Canada Opportunities Agency | Agence de promotion économique du Canada atlantique</t>
        </is>
      </c>
    </row>
    <row r="3889">
      <c r="A3889" t="inlineStr">
        <is>
          <t>T-2012-Q2-00071</t>
        </is>
      </c>
      <c r="B3889" t="inlineStr">
        <is>
          <t>MPSES</t>
        </is>
      </c>
      <c r="C3889" t="inlineStr">
        <is>
          <t>Chief of Staff</t>
        </is>
      </c>
      <c r="D3889" t="inlineStr">
        <is>
          <t>Chef de cabinet</t>
        </is>
      </c>
      <c r="E3889" t="inlineStr">
        <is>
          <t>Mélisa Leclerc</t>
        </is>
      </c>
      <c r="F3889" t="inlineStr">
        <is>
          <t>Attend various announcements and ACOA related meetings with MOS</t>
        </is>
      </c>
      <c r="G3889" t="inlineStr">
        <is>
          <t>Assister à diverses annonces et à des réunions de l'APECA avec le ministre d'État</t>
        </is>
      </c>
      <c r="H3889" s="1" t="n">
        <v>40779</v>
      </c>
      <c r="I3889" s="1" t="n">
        <v>40791</v>
      </c>
      <c r="J3889" t="inlineStr">
        <is>
          <t>Rivière-du-Loup, Trois-Pistoles, Québec / Moncton, New Brunswick</t>
        </is>
      </c>
      <c r="K3889" t="inlineStr">
        <is>
          <t>Rivière-du-Loup, Trois-Pistoles (Québec) / Moncton (Nouveau-Brunswick)</t>
        </is>
      </c>
      <c r="P3889" t="n">
        <v>199.22</v>
      </c>
      <c r="Q3889" t="n">
        <v>0</v>
      </c>
      <c r="R3889" t="n">
        <v>386.31</v>
      </c>
      <c r="S3889" t="n">
        <v>207.3</v>
      </c>
      <c r="T3889" t="n">
        <v>0</v>
      </c>
      <c r="U3889" t="n">
        <v>792.83</v>
      </c>
      <c r="X3889" t="inlineStr">
        <is>
          <t>acoa-apeca</t>
        </is>
      </c>
      <c r="Y3889" t="inlineStr">
        <is>
          <t>Atlantic Canada Opportunities Agency | Agence de promotion économique du Canada atlantique</t>
        </is>
      </c>
    </row>
    <row r="3890">
      <c r="A3890" t="inlineStr">
        <is>
          <t>T-2012-Q2-00070</t>
        </is>
      </c>
      <c r="B3890" t="inlineStr">
        <is>
          <t>MPSES</t>
        </is>
      </c>
      <c r="C3890" t="inlineStr">
        <is>
          <t>Minister of State</t>
        </is>
      </c>
      <c r="D3890" t="inlineStr">
        <is>
          <t>Ministre d'État</t>
        </is>
      </c>
      <c r="E3890" t="inlineStr">
        <is>
          <t>Bernard Valcourt</t>
        </is>
      </c>
      <c r="F3890" t="inlineStr">
        <is>
          <t>Various meetings and announcements for ACOA and Transport Canada</t>
        </is>
      </c>
      <c r="G3890" t="inlineStr">
        <is>
          <t>Rencontres diverses et annonces pour l'APECA et Transports Canada</t>
        </is>
      </c>
      <c r="H3890" s="1" t="n">
        <v>40779</v>
      </c>
      <c r="I3890" s="1" t="n">
        <v>40781</v>
      </c>
      <c r="J3890" t="inlineStr">
        <is>
          <t>Rivière-du-Loup, Trois-Pistoles, Québec</t>
        </is>
      </c>
      <c r="K3890" t="inlineStr">
        <is>
          <t>Rivière-du-Loup, Trois-Pistoles (Québec)</t>
        </is>
      </c>
      <c r="P3890" t="n">
        <v>128.33</v>
      </c>
      <c r="Q3890" t="n">
        <v>324.48</v>
      </c>
      <c r="R3890" t="n">
        <v>240.64</v>
      </c>
      <c r="S3890" t="n">
        <v>143.6</v>
      </c>
      <c r="T3890" t="n">
        <v>0</v>
      </c>
      <c r="U3890" t="n">
        <v>837.05</v>
      </c>
      <c r="X3890" t="inlineStr">
        <is>
          <t>acoa-apeca</t>
        </is>
      </c>
      <c r="Y3890" t="inlineStr">
        <is>
          <t>Atlantic Canada Opportunities Agency | Agence de promotion économique du Canada atlantique</t>
        </is>
      </c>
    </row>
    <row r="3891">
      <c r="A3891" t="inlineStr">
        <is>
          <t>T-2012-Q2-00068</t>
        </is>
      </c>
      <c r="B3891" t="inlineStr">
        <is>
          <t>SLE</t>
        </is>
      </c>
      <c r="C3891" t="inlineStr">
        <is>
          <t>Vice-President, New Brunswick</t>
        </is>
      </c>
      <c r="D3891" t="inlineStr">
        <is>
          <t>Vice-présidente, Nouveau-Brunswick</t>
        </is>
      </c>
      <c r="E3891" t="inlineStr">
        <is>
          <t>Janet Gagnon</t>
        </is>
      </c>
      <c r="F3891" t="inlineStr">
        <is>
          <t>To attend a meeting with the ACOA President</t>
        </is>
      </c>
      <c r="G3891" t="inlineStr">
        <is>
          <t>Assister à une réunion avec le président de l'APECA</t>
        </is>
      </c>
      <c r="H3891" s="1" t="n">
        <v>40779</v>
      </c>
      <c r="I3891" s="1" t="n">
        <v>40780</v>
      </c>
      <c r="J3891" t="inlineStr">
        <is>
          <t>Moncton, New Brunswick</t>
        </is>
      </c>
      <c r="K3891" t="inlineStr">
        <is>
          <t>Moncton (Nouveau-Brunswick)</t>
        </is>
      </c>
      <c r="P3891" t="n">
        <v>0</v>
      </c>
      <c r="Q3891" t="n">
        <v>0</v>
      </c>
      <c r="R3891" t="n">
        <v>50</v>
      </c>
      <c r="S3891" t="n">
        <v>129.35</v>
      </c>
      <c r="T3891" t="n">
        <v>17</v>
      </c>
      <c r="U3891" t="n">
        <v>196.35</v>
      </c>
      <c r="X3891" t="inlineStr">
        <is>
          <t>acoa-apeca</t>
        </is>
      </c>
      <c r="Y3891" t="inlineStr">
        <is>
          <t>Atlantic Canada Opportunities Agency | Agence de promotion économique du Canada atlantique</t>
        </is>
      </c>
    </row>
    <row r="3892">
      <c r="A3892" t="inlineStr">
        <is>
          <t>T-2012-Q2-00066</t>
        </is>
      </c>
      <c r="B3892" t="inlineStr">
        <is>
          <t>SLE</t>
        </is>
      </c>
      <c r="C3892" t="inlineStr">
        <is>
          <t>Vice-President, Newfoundland and Labrador</t>
        </is>
      </c>
      <c r="D3892" t="inlineStr">
        <is>
          <t>Vice-président, Terre-Neuve-et-Labrador</t>
        </is>
      </c>
      <c r="E3892" t="inlineStr">
        <is>
          <t>Paul Mills</t>
        </is>
      </c>
      <c r="F3892" t="inlineStr">
        <is>
          <t>To attend meeting with senior Agency officials</t>
        </is>
      </c>
      <c r="G3892" t="inlineStr">
        <is>
          <t>Assister à une réunion avec des hauts fonctionnaires de l'Agence</t>
        </is>
      </c>
      <c r="H3892" s="1" t="n">
        <v>40779</v>
      </c>
      <c r="I3892" s="1" t="n">
        <v>40781</v>
      </c>
      <c r="J3892" t="inlineStr">
        <is>
          <t>Moncton, New Brunswick</t>
        </is>
      </c>
      <c r="K3892" t="inlineStr">
        <is>
          <t>Moncton (Nouveau-Brunswick)</t>
        </is>
      </c>
      <c r="P3892" t="n">
        <v>1329.26</v>
      </c>
      <c r="Q3892" t="n">
        <v>320.55</v>
      </c>
      <c r="R3892" t="n">
        <v>175.85</v>
      </c>
      <c r="S3892" t="n">
        <v>291.27</v>
      </c>
      <c r="T3892" t="n">
        <v>7.33</v>
      </c>
      <c r="U3892" t="n">
        <v>2124.26</v>
      </c>
      <c r="X3892" t="inlineStr">
        <is>
          <t>acoa-apeca</t>
        </is>
      </c>
      <c r="Y3892" t="inlineStr">
        <is>
          <t>Atlantic Canada Opportunities Agency | Agence de promotion économique du Canada atlantique</t>
        </is>
      </c>
    </row>
    <row r="3893">
      <c r="A3893" t="inlineStr">
        <is>
          <t>T-2012-Q2-00062</t>
        </is>
      </c>
      <c r="B3893" t="inlineStr">
        <is>
          <t>SLE</t>
        </is>
      </c>
      <c r="C3893" t="inlineStr">
        <is>
          <t>Vice President, Nova Scotia</t>
        </is>
      </c>
      <c r="D3893" t="inlineStr">
        <is>
          <t>Vice-président, Nouvelle-Écosse</t>
        </is>
      </c>
      <c r="E3893" t="inlineStr">
        <is>
          <t>Peter Hogan</t>
        </is>
      </c>
      <c r="F3893" t="inlineStr">
        <is>
          <t>Attend various meetings and annoucements with Minister</t>
        </is>
      </c>
      <c r="G3893" t="inlineStr">
        <is>
          <t>Assister à diverses réunions et annonces avec le ministre</t>
        </is>
      </c>
      <c r="H3893" s="1" t="n">
        <v>40772</v>
      </c>
      <c r="I3893" s="1" t="n">
        <v>40773</v>
      </c>
      <c r="J3893" t="inlineStr">
        <is>
          <t>Yarmouth, NS</t>
        </is>
      </c>
      <c r="K3893" t="inlineStr">
        <is>
          <t>Yarmouth (Nouvelle-Écosse)</t>
        </is>
      </c>
      <c r="P3893" t="n">
        <v>0</v>
      </c>
      <c r="Q3893" t="n">
        <v>0</v>
      </c>
      <c r="R3893" t="n">
        <v>123.05</v>
      </c>
      <c r="S3893" t="n">
        <v>103.65</v>
      </c>
      <c r="T3893" t="n">
        <v>0</v>
      </c>
      <c r="U3893" t="n">
        <v>226.7</v>
      </c>
      <c r="X3893" t="inlineStr">
        <is>
          <t>acoa-apeca</t>
        </is>
      </c>
      <c r="Y3893" t="inlineStr">
        <is>
          <t>Atlantic Canada Opportunities Agency | Agence de promotion économique du Canada atlantique</t>
        </is>
      </c>
    </row>
    <row r="3894">
      <c r="A3894" t="inlineStr">
        <is>
          <t>T-2012-Q2-00061</t>
        </is>
      </c>
      <c r="B3894" t="inlineStr">
        <is>
          <t>MPSES</t>
        </is>
      </c>
      <c r="C3894" t="inlineStr">
        <is>
          <t>Minister of State</t>
        </is>
      </c>
      <c r="D3894" t="inlineStr">
        <is>
          <t>Ministre d'État</t>
        </is>
      </c>
      <c r="E3894" t="inlineStr">
        <is>
          <t>Bernard Valcourt</t>
        </is>
      </c>
      <c r="F3894" t="inlineStr">
        <is>
          <t>Atlantic caucus meeting and various meetings and announcements for ACOA</t>
        </is>
      </c>
      <c r="G3894" t="inlineStr">
        <is>
          <t>Rencontre du caucus de l'Atlantique et diverses rencontres et annonces pour l'APECA</t>
        </is>
      </c>
      <c r="H3894" s="1" t="n">
        <v>40771</v>
      </c>
      <c r="I3894" s="1" t="n">
        <v>40773</v>
      </c>
      <c r="J3894" t="inlineStr">
        <is>
          <t>Halifax and Digby, Nova Scotia</t>
        </is>
      </c>
      <c r="K3894" t="inlineStr">
        <is>
          <t>Halifax et Digby (Nouvelle-Écosse)</t>
        </is>
      </c>
      <c r="P3894" t="n">
        <v>1672.43</v>
      </c>
      <c r="Q3894" t="n">
        <v>0</v>
      </c>
      <c r="R3894" t="n">
        <v>111.55</v>
      </c>
      <c r="S3894" t="n">
        <v>103.65</v>
      </c>
      <c r="T3894" t="n">
        <v>4.36</v>
      </c>
      <c r="U3894" t="n">
        <v>1891.99</v>
      </c>
      <c r="X3894" t="inlineStr">
        <is>
          <t>acoa-apeca</t>
        </is>
      </c>
      <c r="Y3894" t="inlineStr">
        <is>
          <t>Atlantic Canada Opportunities Agency | Agence de promotion économique du Canada atlantique</t>
        </is>
      </c>
    </row>
    <row r="3895">
      <c r="A3895" t="inlineStr">
        <is>
          <t>T-2012-Q2-00060</t>
        </is>
      </c>
      <c r="B3895" t="inlineStr">
        <is>
          <t>MPSES</t>
        </is>
      </c>
      <c r="C3895" t="inlineStr">
        <is>
          <t>Executive Assistant and Press Secretary</t>
        </is>
      </c>
      <c r="D3895" t="inlineStr">
        <is>
          <t>Adjointe exécutive et attaché de presse</t>
        </is>
      </c>
      <c r="E3895" t="inlineStr">
        <is>
          <t>Andrea Richer</t>
        </is>
      </c>
      <c r="F3895" t="inlineStr">
        <is>
          <t>Travel to attend various ACOA meetings &amp; announcements with MoS</t>
        </is>
      </c>
      <c r="G3895" t="inlineStr">
        <is>
          <t>Assister à diverses réunions et annonces de l'APECA avec le ministre d'État</t>
        </is>
      </c>
      <c r="H3895" s="1" t="n">
        <v>40771</v>
      </c>
      <c r="I3895" s="1" t="n">
        <v>40773</v>
      </c>
      <c r="J3895" t="inlineStr">
        <is>
          <t>Halifax, Digby County and Yarmouth, Nova Scotia</t>
        </is>
      </c>
      <c r="K3895" t="inlineStr">
        <is>
          <t>Halifax, comté de Digby et Yarmouth (Nouvelle-Écosse)</t>
        </is>
      </c>
      <c r="P3895" t="n">
        <v>628.4299999999999</v>
      </c>
      <c r="Q3895" t="n">
        <v>0</v>
      </c>
      <c r="R3895" t="n">
        <v>306.06</v>
      </c>
      <c r="S3895" t="n">
        <v>103.65</v>
      </c>
      <c r="T3895" t="n">
        <v>0</v>
      </c>
      <c r="U3895" t="n">
        <v>1038.14</v>
      </c>
      <c r="X3895" t="inlineStr">
        <is>
          <t>acoa-apeca</t>
        </is>
      </c>
      <c r="Y3895" t="inlineStr">
        <is>
          <t>Atlantic Canada Opportunities Agency | Agence de promotion économique du Canada atlantique</t>
        </is>
      </c>
    </row>
    <row r="3896">
      <c r="A3896" t="inlineStr">
        <is>
          <t>T-2012-Q2-00059</t>
        </is>
      </c>
      <c r="B3896" t="inlineStr">
        <is>
          <t>SLE</t>
        </is>
      </c>
      <c r="C3896" t="inlineStr">
        <is>
          <t>President</t>
        </is>
      </c>
      <c r="D3896" t="inlineStr">
        <is>
          <t>Président</t>
        </is>
      </c>
      <c r="E3896" t="inlineStr">
        <is>
          <t>Paul J. LeBlanc</t>
        </is>
      </c>
      <c r="F3896" t="inlineStr">
        <is>
          <t>For various meetings and discussions with Agency officials</t>
        </is>
      </c>
      <c r="G3896" t="inlineStr">
        <is>
          <t>Diverses réunions et discussions avec des fonctionnaires de l'Agence</t>
        </is>
      </c>
      <c r="H3896" s="1" t="n">
        <v>40770</v>
      </c>
      <c r="I3896" s="1" t="n">
        <v>40771</v>
      </c>
      <c r="J3896" t="inlineStr">
        <is>
          <t>Halifax, Nova Scotia</t>
        </is>
      </c>
      <c r="K3896" t="inlineStr">
        <is>
          <t>Halifax (Nouvelle-Écosse)</t>
        </is>
      </c>
      <c r="P3896" t="n">
        <v>0</v>
      </c>
      <c r="Q3896" t="n">
        <v>0</v>
      </c>
      <c r="R3896" t="n">
        <v>174.78</v>
      </c>
      <c r="S3896" t="n">
        <v>129.35</v>
      </c>
      <c r="T3896" t="n">
        <v>80.77</v>
      </c>
      <c r="U3896" t="n">
        <v>384.9</v>
      </c>
      <c r="X3896" t="inlineStr">
        <is>
          <t>acoa-apeca</t>
        </is>
      </c>
      <c r="Y3896" t="inlineStr">
        <is>
          <t>Atlantic Canada Opportunities Agency | Agence de promotion économique du Canada atlantique</t>
        </is>
      </c>
    </row>
    <row r="3897">
      <c r="A3897" t="inlineStr">
        <is>
          <t>T-2012-Q2-00057</t>
        </is>
      </c>
      <c r="B3897" t="inlineStr">
        <is>
          <t>SLE</t>
        </is>
      </c>
      <c r="C3897" t="inlineStr">
        <is>
          <t>Vice-President, Prince Edward Island</t>
        </is>
      </c>
      <c r="D3897" t="inlineStr">
        <is>
          <t>Vice-président, Île-du-Prince-Édouard</t>
        </is>
      </c>
      <c r="E3897" t="inlineStr">
        <is>
          <t>Patrick Dorsey</t>
        </is>
      </c>
      <c r="F3897" t="inlineStr">
        <is>
          <t>Meeting with ACOA Officials</t>
        </is>
      </c>
      <c r="G3897" t="inlineStr">
        <is>
          <t>Réunion avec des fonctionnaires de l'APECA</t>
        </is>
      </c>
      <c r="H3897" s="1" t="n">
        <v>40763</v>
      </c>
      <c r="I3897" s="1" t="n">
        <v>40763</v>
      </c>
      <c r="J3897" t="inlineStr">
        <is>
          <t>Moncton, New Brunswick</t>
        </is>
      </c>
      <c r="K3897" t="inlineStr">
        <is>
          <t>Moncton (Nouveau-Brunswick)</t>
        </is>
      </c>
      <c r="P3897" t="n">
        <v>0</v>
      </c>
      <c r="Q3897" t="n">
        <v>62.25</v>
      </c>
      <c r="R3897" t="n">
        <v>0</v>
      </c>
      <c r="S3897" t="n">
        <v>15.05</v>
      </c>
      <c r="T3897" t="n">
        <v>0</v>
      </c>
      <c r="U3897" t="n">
        <v>77.3</v>
      </c>
      <c r="X3897" t="inlineStr">
        <is>
          <t>acoa-apeca</t>
        </is>
      </c>
      <c r="Y3897" t="inlineStr">
        <is>
          <t>Atlantic Canada Opportunities Agency | Agence de promotion économique du Canada atlantique</t>
        </is>
      </c>
    </row>
    <row r="3898">
      <c r="A3898" t="inlineStr">
        <is>
          <t>T-2012-Q2-00055</t>
        </is>
      </c>
      <c r="B3898" t="inlineStr">
        <is>
          <t>SLE</t>
        </is>
      </c>
      <c r="C3898" t="inlineStr">
        <is>
          <t>Vice-President, Newfoundland and Labrador</t>
        </is>
      </c>
      <c r="D3898" t="inlineStr">
        <is>
          <t>Vice-président, Terre-Neuve-et-Labrador</t>
        </is>
      </c>
      <c r="E3898" t="inlineStr">
        <is>
          <t>Paul Mills</t>
        </is>
      </c>
      <c r="F3898" t="inlineStr">
        <is>
          <t>To participate in Field Office Site Visit</t>
        </is>
      </c>
      <c r="G3898" t="inlineStr">
        <is>
          <t>Participer à une visite de bureau régional</t>
        </is>
      </c>
      <c r="H3898" s="1" t="n">
        <v>40756</v>
      </c>
      <c r="I3898" s="1" t="n">
        <v>40759</v>
      </c>
      <c r="J3898" t="inlineStr">
        <is>
          <t>Corner Brook, Newfoundland</t>
        </is>
      </c>
      <c r="K3898" t="inlineStr">
        <is>
          <t>Corner Brook (Terre-Neuve-et-Labrador)</t>
        </is>
      </c>
      <c r="P3898" t="n">
        <v>0</v>
      </c>
      <c r="Q3898" t="n">
        <v>927.96</v>
      </c>
      <c r="R3898" t="n">
        <v>511.42</v>
      </c>
      <c r="S3898" t="n">
        <v>330.35</v>
      </c>
      <c r="T3898" t="n">
        <v>10.53</v>
      </c>
      <c r="U3898" t="n">
        <v>1780.26</v>
      </c>
      <c r="X3898" t="inlineStr">
        <is>
          <t>acoa-apeca</t>
        </is>
      </c>
      <c r="Y3898" t="inlineStr">
        <is>
          <t>Atlantic Canada Opportunities Agency | Agence de promotion économique du Canada atlantique</t>
        </is>
      </c>
    </row>
    <row r="3899">
      <c r="A3899" t="inlineStr">
        <is>
          <t>T-2012-Q2-00054</t>
        </is>
      </c>
      <c r="B3899" t="inlineStr">
        <is>
          <t>SLE</t>
        </is>
      </c>
      <c r="C3899" t="inlineStr">
        <is>
          <t>Vice President, Nova Scotia</t>
        </is>
      </c>
      <c r="D3899" t="inlineStr">
        <is>
          <t>Vice-président, Nouvelle-Écosse</t>
        </is>
      </c>
      <c r="E3899" t="inlineStr">
        <is>
          <t>Peter Hogan</t>
        </is>
      </c>
      <c r="F3899" t="inlineStr">
        <is>
          <t>Meeting with Senior Government of Canada Officials</t>
        </is>
      </c>
      <c r="G3899" t="inlineStr">
        <is>
          <t>Réunion avec des hauts fonctionnaires du gouvernement du Canada</t>
        </is>
      </c>
      <c r="H3899" s="1" t="n">
        <v>40752</v>
      </c>
      <c r="I3899" s="1" t="n">
        <v>40752</v>
      </c>
      <c r="J3899" t="inlineStr">
        <is>
          <t>Moncton, NB</t>
        </is>
      </c>
      <c r="K3899" t="inlineStr">
        <is>
          <t>Moncton (Nouveau-Brunswick)</t>
        </is>
      </c>
      <c r="P3899" t="n">
        <v>0</v>
      </c>
      <c r="Q3899" t="n">
        <v>288.36</v>
      </c>
      <c r="R3899" t="n">
        <v>0</v>
      </c>
      <c r="S3899" t="n">
        <v>0</v>
      </c>
      <c r="T3899" t="n">
        <v>22</v>
      </c>
      <c r="U3899" t="n">
        <v>310.36</v>
      </c>
      <c r="X3899" t="inlineStr">
        <is>
          <t>acoa-apeca</t>
        </is>
      </c>
      <c r="Y3899" t="inlineStr">
        <is>
          <t>Atlantic Canada Opportunities Agency | Agence de promotion économique du Canada atlantique</t>
        </is>
      </c>
    </row>
    <row r="3900">
      <c r="A3900" t="inlineStr">
        <is>
          <t>T-2012-Q2-00053</t>
        </is>
      </c>
      <c r="B3900" t="inlineStr">
        <is>
          <t>SLE</t>
        </is>
      </c>
      <c r="C3900" t="inlineStr">
        <is>
          <t>Vice-President, Prince Edward Island</t>
        </is>
      </c>
      <c r="D3900" t="inlineStr">
        <is>
          <t>Vice-président, Île-du-Prince-Édouard</t>
        </is>
      </c>
      <c r="E3900" t="inlineStr">
        <is>
          <t>Patrick Dorsey</t>
        </is>
      </c>
      <c r="F3900" t="inlineStr">
        <is>
          <t>Meeting with ACOA officials in Moncton</t>
        </is>
      </c>
      <c r="G3900" t="inlineStr">
        <is>
          <t>Réunion avec des fonctionnaires de l'APECA à Moncton</t>
        </is>
      </c>
      <c r="H3900" s="1" t="n">
        <v>40751</v>
      </c>
      <c r="I3900" s="1" t="n">
        <v>40752</v>
      </c>
      <c r="J3900" t="inlineStr">
        <is>
          <t>Moncton, New Brunswick</t>
        </is>
      </c>
      <c r="K3900" t="inlineStr">
        <is>
          <t>Moncton (Nouveau-Brunswick)</t>
        </is>
      </c>
      <c r="P3900" t="n">
        <v>0</v>
      </c>
      <c r="Q3900" t="n">
        <v>43.25</v>
      </c>
      <c r="R3900" t="n">
        <v>157.92</v>
      </c>
      <c r="S3900" t="n">
        <v>89.5</v>
      </c>
      <c r="T3900" t="n">
        <v>0</v>
      </c>
      <c r="U3900" t="n">
        <v>290.67</v>
      </c>
      <c r="X3900" t="inlineStr">
        <is>
          <t>acoa-apeca</t>
        </is>
      </c>
      <c r="Y3900" t="inlineStr">
        <is>
          <t>Atlantic Canada Opportunities Agency | Agence de promotion économique du Canada atlantique</t>
        </is>
      </c>
    </row>
    <row r="3901">
      <c r="A3901" t="inlineStr">
        <is>
          <t>T-2012-Q2-00051</t>
        </is>
      </c>
      <c r="B3901" t="inlineStr">
        <is>
          <t>SLE</t>
        </is>
      </c>
      <c r="C3901" t="inlineStr">
        <is>
          <t>Vice-President, Newfoundland and Labrador</t>
        </is>
      </c>
      <c r="D3901" t="inlineStr">
        <is>
          <t>Vice-président, Terre-Neuve-et-Labrador</t>
        </is>
      </c>
      <c r="E3901" t="inlineStr">
        <is>
          <t>Paul Mills</t>
        </is>
      </c>
      <c r="F3901" t="inlineStr">
        <is>
          <t>To attend meeting with Senior Government of Canada Officials</t>
        </is>
      </c>
      <c r="G3901" t="inlineStr">
        <is>
          <t>Assister à une réunion avec des hauts fonctionnaires du gouvernement du Canada</t>
        </is>
      </c>
      <c r="H3901" s="1" t="n">
        <v>40751</v>
      </c>
      <c r="I3901" s="1" t="n">
        <v>40753</v>
      </c>
      <c r="J3901" t="inlineStr">
        <is>
          <t>Moncton, NB</t>
        </is>
      </c>
      <c r="K3901" t="inlineStr">
        <is>
          <t>Moncton (Nouveau-Brunswick)</t>
        </is>
      </c>
      <c r="P3901" t="n">
        <v>1329.26</v>
      </c>
      <c r="Q3901" t="n">
        <v>210</v>
      </c>
      <c r="R3901" t="n">
        <v>349.56</v>
      </c>
      <c r="S3901" t="n">
        <v>190</v>
      </c>
      <c r="T3901" t="n">
        <v>7.33</v>
      </c>
      <c r="U3901" t="n">
        <v>2086.15</v>
      </c>
      <c r="X3901" t="inlineStr">
        <is>
          <t>acoa-apeca</t>
        </is>
      </c>
      <c r="Y3901" t="inlineStr">
        <is>
          <t>Atlantic Canada Opportunities Agency | Agence de promotion économique du Canada atlantique</t>
        </is>
      </c>
    </row>
    <row r="3902">
      <c r="A3902" t="inlineStr">
        <is>
          <t>T-2012-Q2-00050</t>
        </is>
      </c>
      <c r="B3902" t="inlineStr">
        <is>
          <t>SLE</t>
        </is>
      </c>
      <c r="C3902" t="inlineStr">
        <is>
          <t>President</t>
        </is>
      </c>
      <c r="D3902" t="inlineStr">
        <is>
          <t>Président</t>
        </is>
      </c>
      <c r="E3902" t="inlineStr">
        <is>
          <t>Paul J. LeBlanc</t>
        </is>
      </c>
      <c r="F3902" t="inlineStr">
        <is>
          <t>For various meetings and discussions with Agency officials; with Government of Canada officials</t>
        </is>
      </c>
      <c r="G3902" t="inlineStr">
        <is>
          <t>Diverses réunions et discussions avec des fonctionnaires de l'Agence et du gouvernement du Canada</t>
        </is>
      </c>
      <c r="H3902" s="1" t="n">
        <v>40749</v>
      </c>
      <c r="I3902" s="1" t="n">
        <v>40750</v>
      </c>
      <c r="J3902" t="inlineStr">
        <is>
          <t>Ottawa, Ontario</t>
        </is>
      </c>
      <c r="K3902" t="inlineStr">
        <is>
          <t>Ottawa (Ontario)</t>
        </is>
      </c>
      <c r="P3902" t="n">
        <v>727.36</v>
      </c>
      <c r="Q3902" t="n">
        <v>13.52</v>
      </c>
      <c r="R3902" t="n">
        <v>174.02</v>
      </c>
      <c r="S3902" t="n">
        <v>117.8</v>
      </c>
      <c r="T3902" t="n">
        <v>86.5</v>
      </c>
      <c r="U3902" t="n">
        <v>1119.2</v>
      </c>
      <c r="X3902" t="inlineStr">
        <is>
          <t>acoa-apeca</t>
        </is>
      </c>
      <c r="Y3902" t="inlineStr">
        <is>
          <t>Atlantic Canada Opportunities Agency | Agence de promotion économique du Canada atlantique</t>
        </is>
      </c>
    </row>
    <row r="3903">
      <c r="A3903" t="inlineStr">
        <is>
          <t>T-2012-Q2-00034</t>
        </is>
      </c>
      <c r="B3903" t="inlineStr">
        <is>
          <t>SLE</t>
        </is>
      </c>
      <c r="C3903" t="inlineStr">
        <is>
          <t>Vice-President, New Brunswick</t>
        </is>
      </c>
      <c r="D3903" t="inlineStr">
        <is>
          <t>Vice-présidente, Nouveau-Brunswick</t>
        </is>
      </c>
      <c r="E3903" t="inlineStr">
        <is>
          <t>Janet Gagnon</t>
        </is>
      </c>
      <c r="F3903" t="inlineStr">
        <is>
          <t>Attend various announcements with Minister</t>
        </is>
      </c>
      <c r="G3903" t="inlineStr">
        <is>
          <t>Assister à diverses annonces avec le ministre</t>
        </is>
      </c>
      <c r="H3903" s="1" t="n">
        <v>40728</v>
      </c>
      <c r="I3903" s="1" t="n">
        <v>40729</v>
      </c>
      <c r="J3903" t="inlineStr">
        <is>
          <t>Saint John, New Brunswick</t>
        </is>
      </c>
      <c r="K3903" t="inlineStr">
        <is>
          <t>Saint John (Nouveau-Brunswick)</t>
        </is>
      </c>
      <c r="P3903" t="n">
        <v>0</v>
      </c>
      <c r="Q3903" t="n">
        <v>0</v>
      </c>
      <c r="R3903" t="n">
        <v>132.55</v>
      </c>
      <c r="S3903" t="n">
        <v>125.3</v>
      </c>
      <c r="T3903" t="n">
        <v>11</v>
      </c>
      <c r="U3903" t="n">
        <v>268.85</v>
      </c>
      <c r="X3903" t="inlineStr">
        <is>
          <t>acoa-apeca</t>
        </is>
      </c>
      <c r="Y3903" t="inlineStr">
        <is>
          <t>Atlantic Canada Opportunities Agency | Agence de promotion économique du Canada atlantique</t>
        </is>
      </c>
    </row>
    <row r="3904">
      <c r="A3904" t="inlineStr">
        <is>
          <t>T-2012-Q2-00048</t>
        </is>
      </c>
      <c r="B3904" t="inlineStr">
        <is>
          <t>MPSES</t>
        </is>
      </c>
      <c r="C3904" t="inlineStr">
        <is>
          <t>Student</t>
        </is>
      </c>
      <c r="D3904" t="inlineStr">
        <is>
          <t>Étudiante</t>
        </is>
      </c>
      <c r="E3904" t="inlineStr">
        <is>
          <t>Stephanie Keron</t>
        </is>
      </c>
      <c r="F3904" t="inlineStr">
        <is>
          <t>Travel to attend various ACOA related meetings &amp; announcements with MoS</t>
        </is>
      </c>
      <c r="G3904" t="inlineStr">
        <is>
          <t>Assister à diverses réunions et annonces de l'APECA avec le ministre d'État</t>
        </is>
      </c>
      <c r="H3904" s="1" t="n">
        <v>40744</v>
      </c>
      <c r="I3904" s="1" t="n">
        <v>40745</v>
      </c>
      <c r="J3904" t="inlineStr">
        <is>
          <t>Charlottetown, Prince Edward Island</t>
        </is>
      </c>
      <c r="K3904" t="inlineStr">
        <is>
          <t>Charlottetown (Île-du-Prince-Édouard)</t>
        </is>
      </c>
      <c r="P3904" t="n">
        <v>746.6</v>
      </c>
      <c r="Q3904" t="n">
        <v>0</v>
      </c>
      <c r="R3904" t="n">
        <v>247.98</v>
      </c>
      <c r="S3904" t="n">
        <v>74.45</v>
      </c>
      <c r="T3904" t="n">
        <v>0</v>
      </c>
      <c r="U3904" t="n">
        <v>1069.03</v>
      </c>
      <c r="X3904" t="inlineStr">
        <is>
          <t>acoa-apeca</t>
        </is>
      </c>
      <c r="Y3904" t="inlineStr">
        <is>
          <t>Atlantic Canada Opportunities Agency | Agence de promotion économique du Canada atlantique</t>
        </is>
      </c>
    </row>
    <row r="3905">
      <c r="A3905" t="inlineStr">
        <is>
          <t>T-2012-Q2-00047</t>
        </is>
      </c>
      <c r="B3905" t="inlineStr">
        <is>
          <t>SLE</t>
        </is>
      </c>
      <c r="C3905" t="inlineStr">
        <is>
          <t>Vice President, Nova Scotia</t>
        </is>
      </c>
      <c r="D3905" t="inlineStr">
        <is>
          <t>Vice-président, Nouvelle-Écosse</t>
        </is>
      </c>
      <c r="E3905" t="inlineStr">
        <is>
          <t>Peter Hogan</t>
        </is>
      </c>
      <c r="F3905" t="inlineStr">
        <is>
          <t>Community Outreach Visit in Windsor, NS</t>
        </is>
      </c>
      <c r="G3905" t="inlineStr">
        <is>
          <t>Visite de sensibilisation communautaire à Windsor (Nouvelle-Écosse)</t>
        </is>
      </c>
      <c r="H3905" s="1" t="n">
        <v>40743</v>
      </c>
      <c r="I3905" s="1" t="n">
        <v>40743</v>
      </c>
      <c r="J3905" t="inlineStr">
        <is>
          <t>Windsor, NS</t>
        </is>
      </c>
      <c r="K3905" t="inlineStr">
        <is>
          <t>Windsor (Nouvelle-Écosse)</t>
        </is>
      </c>
      <c r="P3905" t="n">
        <v>0</v>
      </c>
      <c r="Q3905" t="n">
        <v>72.76000000000001</v>
      </c>
      <c r="R3905" t="n">
        <v>0</v>
      </c>
      <c r="S3905" t="n">
        <v>0</v>
      </c>
      <c r="T3905" t="n">
        <v>0</v>
      </c>
      <c r="U3905" t="n">
        <v>72.76000000000001</v>
      </c>
      <c r="X3905" t="inlineStr">
        <is>
          <t>acoa-apeca</t>
        </is>
      </c>
      <c r="Y3905" t="inlineStr">
        <is>
          <t>Atlantic Canada Opportunities Agency | Agence de promotion économique du Canada atlantique</t>
        </is>
      </c>
    </row>
    <row r="3906">
      <c r="A3906" t="inlineStr">
        <is>
          <t>T-2012-Q2-00046</t>
        </is>
      </c>
      <c r="B3906" t="inlineStr">
        <is>
          <t>SLE</t>
        </is>
      </c>
      <c r="C3906" t="inlineStr">
        <is>
          <t>President</t>
        </is>
      </c>
      <c r="D3906" t="inlineStr">
        <is>
          <t>Président</t>
        </is>
      </c>
      <c r="E3906" t="inlineStr">
        <is>
          <t>Paul J. LeBlanc</t>
        </is>
      </c>
      <c r="F3906" t="inlineStr">
        <is>
          <t>For various meetings and discussions with: Agency officials</t>
        </is>
      </c>
      <c r="G3906" t="inlineStr">
        <is>
          <t>Diverses réunions et discussions avec des focntionnaires de l'Agence</t>
        </is>
      </c>
      <c r="H3906" s="1" t="n">
        <v>40742</v>
      </c>
      <c r="I3906" s="1" t="n">
        <v>40743</v>
      </c>
      <c r="J3906" t="inlineStr">
        <is>
          <t>St. John's, Newfoundland and Labrador</t>
        </is>
      </c>
      <c r="K3906" t="inlineStr">
        <is>
          <t>St. John's (Terre-Neuve-et-Labrador)</t>
        </is>
      </c>
      <c r="P3906" t="n">
        <v>1814.22</v>
      </c>
      <c r="Q3906" t="n">
        <v>0</v>
      </c>
      <c r="R3906" t="n">
        <v>196.04</v>
      </c>
      <c r="S3906" t="n">
        <v>157.75</v>
      </c>
      <c r="T3906" t="n">
        <v>0</v>
      </c>
      <c r="U3906" t="n">
        <v>2168.01</v>
      </c>
      <c r="X3906" t="inlineStr">
        <is>
          <t>acoa-apeca</t>
        </is>
      </c>
      <c r="Y3906" t="inlineStr">
        <is>
          <t>Atlantic Canada Opportunities Agency | Agence de promotion économique du Canada atlantique</t>
        </is>
      </c>
    </row>
    <row r="3907">
      <c r="A3907" t="inlineStr">
        <is>
          <t>T-2012-Q2-00045</t>
        </is>
      </c>
      <c r="B3907" t="inlineStr">
        <is>
          <t>MPSES</t>
        </is>
      </c>
      <c r="C3907" t="inlineStr">
        <is>
          <t>Executive Assistant and Press Secretary</t>
        </is>
      </c>
      <c r="D3907" t="inlineStr">
        <is>
          <t>Adjointe exécutive et attaché de presse</t>
        </is>
      </c>
      <c r="E3907" t="inlineStr">
        <is>
          <t>Andrea Richer</t>
        </is>
      </c>
      <c r="F3907" t="inlineStr">
        <is>
          <t>Travel to attend various ACOA meetings &amp; announcements with MoS</t>
        </is>
      </c>
      <c r="G3907" t="inlineStr">
        <is>
          <t>Assister à diverses réunions et annonces de l'APECA avec le ministre d'État</t>
        </is>
      </c>
      <c r="H3907" s="1" t="n">
        <v>40741</v>
      </c>
      <c r="I3907" s="1" t="n">
        <v>40745</v>
      </c>
      <c r="J3907" t="inlineStr">
        <is>
          <t>Halifax, Nova Scotia ,St. John's, Newfoundland &amp; Labrador, Charlottetown, Prince Edward Island</t>
        </is>
      </c>
      <c r="K3907" t="inlineStr">
        <is>
          <t>Halifax (Nouvelle-Écosse)/St. John's (Terre-Neuve-et-Labrador)/Charlottetown (Île-du-Prince-Édouard)</t>
        </is>
      </c>
      <c r="P3907" t="n">
        <v>1428.72</v>
      </c>
      <c r="Q3907" t="n">
        <v>0</v>
      </c>
      <c r="R3907" t="n">
        <v>821.65</v>
      </c>
      <c r="S3907" t="n">
        <v>330</v>
      </c>
      <c r="T3907" t="n">
        <v>0</v>
      </c>
      <c r="U3907" t="n">
        <v>2580.37</v>
      </c>
      <c r="X3907" t="inlineStr">
        <is>
          <t>acoa-apeca</t>
        </is>
      </c>
      <c r="Y3907" t="inlineStr">
        <is>
          <t>Atlantic Canada Opportunities Agency | Agence de promotion économique du Canada atlantique</t>
        </is>
      </c>
    </row>
    <row r="3908">
      <c r="A3908" t="inlineStr">
        <is>
          <t>T-2012-Q1-00062</t>
        </is>
      </c>
      <c r="B3908" t="inlineStr">
        <is>
          <t>SLE</t>
        </is>
      </c>
      <c r="C3908" t="inlineStr">
        <is>
          <t>Vice-President, New Brunswick</t>
        </is>
      </c>
      <c r="D3908" t="inlineStr">
        <is>
          <t>Vice-présidente, Nouveau-Brunswick</t>
        </is>
      </c>
      <c r="E3908" t="inlineStr">
        <is>
          <t>Janet Gagnon</t>
        </is>
      </c>
      <c r="F3908" t="inlineStr">
        <is>
          <t>Meeting with Western Economic Diversification representative</t>
        </is>
      </c>
      <c r="G3908" t="inlineStr">
        <is>
          <t xml:space="preserve">Réunion avec un fonctionnaire de Diversification de l'économie de l'Ouest Canada </t>
        </is>
      </c>
      <c r="H3908" s="1" t="n">
        <v>40687</v>
      </c>
      <c r="I3908" s="1" t="n">
        <v>40690</v>
      </c>
      <c r="J3908" t="inlineStr">
        <is>
          <t>Moncton, New Brunswick</t>
        </is>
      </c>
      <c r="K3908" t="inlineStr">
        <is>
          <t>Moncton (Nouveau-Brunswick)</t>
        </is>
      </c>
      <c r="P3908" t="n">
        <v>0</v>
      </c>
      <c r="Q3908" t="n">
        <v>0</v>
      </c>
      <c r="R3908" t="n">
        <v>123.17</v>
      </c>
      <c r="S3908" t="n">
        <v>143.5</v>
      </c>
      <c r="T3908" t="n">
        <v>13</v>
      </c>
      <c r="U3908" t="n">
        <v>279.67</v>
      </c>
      <c r="X3908" t="inlineStr">
        <is>
          <t>acoa-apeca</t>
        </is>
      </c>
      <c r="Y3908" t="inlineStr">
        <is>
          <t>Atlantic Canada Opportunities Agency | Agence de promotion économique du Canada atlantique</t>
        </is>
      </c>
    </row>
    <row r="3909">
      <c r="A3909" t="inlineStr">
        <is>
          <t>T-2012-Q2-00044</t>
        </is>
      </c>
      <c r="B3909" t="inlineStr">
        <is>
          <t>MPSES</t>
        </is>
      </c>
      <c r="C3909" t="inlineStr">
        <is>
          <t>Minister of State</t>
        </is>
      </c>
      <c r="D3909" t="inlineStr">
        <is>
          <t>Ministre d'État</t>
        </is>
      </c>
      <c r="E3909" t="inlineStr">
        <is>
          <t>Bernard Valcourt</t>
        </is>
      </c>
      <c r="F3909" t="inlineStr">
        <is>
          <t>Travel to attend ACOA funding announcements and various meetings</t>
        </is>
      </c>
      <c r="G3909" t="inlineStr">
        <is>
          <t>Assister à des annonces de financement et à diverses réunions de l'APECA</t>
        </is>
      </c>
      <c r="H3909" s="1" t="n">
        <v>40741</v>
      </c>
      <c r="I3909" s="1" t="n">
        <v>40745</v>
      </c>
      <c r="J3909" t="inlineStr">
        <is>
          <t>St. John's &amp; Trinity, Newfoundland and Labrador - Summerside &amp; Charlottetown, Prince Edward Island</t>
        </is>
      </c>
      <c r="K3909" t="inlineStr">
        <is>
          <t>St. John's et Trinity (Terre-Neuve-et-Labrador)/Summerside et Charlottetown (Île-du-Prince-Édouard)</t>
        </is>
      </c>
      <c r="P3909" t="n">
        <v>1266.18</v>
      </c>
      <c r="Q3909" t="n">
        <v>592.8</v>
      </c>
      <c r="R3909" t="n">
        <v>821.65</v>
      </c>
      <c r="S3909" t="n">
        <v>298.55</v>
      </c>
      <c r="T3909" t="n">
        <v>0</v>
      </c>
      <c r="U3909" t="n">
        <v>2979.18</v>
      </c>
      <c r="X3909" t="inlineStr">
        <is>
          <t>acoa-apeca</t>
        </is>
      </c>
      <c r="Y3909" t="inlineStr">
        <is>
          <t>Atlantic Canada Opportunities Agency | Agence de promotion économique du Canada atlantique</t>
        </is>
      </c>
    </row>
    <row r="3910">
      <c r="A3910" t="inlineStr">
        <is>
          <t>T-2012-Q2-00043</t>
        </is>
      </c>
      <c r="B3910" t="inlineStr">
        <is>
          <t>SLE</t>
        </is>
      </c>
      <c r="C3910" t="inlineStr">
        <is>
          <t>Vice-President, Newfoundland and Labrador</t>
        </is>
      </c>
      <c r="D3910" t="inlineStr">
        <is>
          <t>Vice-président, Terre-Neuve-et-Labrador</t>
        </is>
      </c>
      <c r="E3910" t="inlineStr">
        <is>
          <t>Paul Mills</t>
        </is>
      </c>
      <c r="F3910" t="inlineStr">
        <is>
          <t>Attend various meetings with Minister's</t>
        </is>
      </c>
      <c r="G3910" t="inlineStr">
        <is>
          <t>Assister à diverses réunions avec le ministre</t>
        </is>
      </c>
      <c r="H3910" s="1" t="n">
        <v>40741</v>
      </c>
      <c r="I3910" s="1" t="n">
        <v>40743</v>
      </c>
      <c r="J3910" t="inlineStr">
        <is>
          <t>Clarenville, NL</t>
        </is>
      </c>
      <c r="K3910" t="inlineStr">
        <is>
          <t>Clarenville (Terre-Neuve-et-Labrador)</t>
        </is>
      </c>
      <c r="P3910" t="n">
        <v>0</v>
      </c>
      <c r="Q3910" t="n">
        <v>0</v>
      </c>
      <c r="R3910" t="n">
        <v>141.25</v>
      </c>
      <c r="S3910" t="n">
        <v>143.5</v>
      </c>
      <c r="T3910" t="n">
        <v>0</v>
      </c>
      <c r="U3910" t="n">
        <v>284.75</v>
      </c>
      <c r="X3910" t="inlineStr">
        <is>
          <t>acoa-apeca</t>
        </is>
      </c>
      <c r="Y3910" t="inlineStr">
        <is>
          <t>Atlantic Canada Opportunities Agency | Agence de promotion économique du Canada atlantique</t>
        </is>
      </c>
    </row>
    <row r="3911">
      <c r="A3911" t="inlineStr">
        <is>
          <t>T-2012-Q2-00042</t>
        </is>
      </c>
      <c r="B3911" t="inlineStr">
        <is>
          <t>SLE</t>
        </is>
      </c>
      <c r="C3911" t="inlineStr">
        <is>
          <t>Vice President, Nova Scotia</t>
        </is>
      </c>
      <c r="D3911" t="inlineStr">
        <is>
          <t>Vice-président, Nouvelle-Écosse</t>
        </is>
      </c>
      <c r="E3911" t="inlineStr">
        <is>
          <t>Peter Hogan</t>
        </is>
      </c>
      <c r="F3911" t="inlineStr">
        <is>
          <t xml:space="preserve">Meeting with Officials from ACOA and Memorial University </t>
        </is>
      </c>
      <c r="G3911" t="inlineStr">
        <is>
          <t>Réunion avec des fonctionnaires de l'APECA et des représentants de l'Université Memorial</t>
        </is>
      </c>
      <c r="H3911" s="1" t="n">
        <v>40738</v>
      </c>
      <c r="I3911" s="1" t="n">
        <v>40738</v>
      </c>
      <c r="J3911" t="inlineStr">
        <is>
          <t>St. John's, NL</t>
        </is>
      </c>
      <c r="K3911" t="inlineStr">
        <is>
          <t>St. John's (Terre-Neuve-et-Labrador)</t>
        </is>
      </c>
      <c r="P3911" t="n">
        <v>172.4</v>
      </c>
      <c r="Q3911" t="n">
        <v>61.4</v>
      </c>
      <c r="R3911" t="n">
        <v>184.44</v>
      </c>
      <c r="S3911" t="n">
        <v>143.4</v>
      </c>
      <c r="T3911" t="n">
        <v>30</v>
      </c>
      <c r="U3911" t="n">
        <v>591.64</v>
      </c>
      <c r="X3911" t="inlineStr">
        <is>
          <t>acoa-apeca</t>
        </is>
      </c>
      <c r="Y3911" t="inlineStr">
        <is>
          <t>Atlantic Canada Opportunities Agency | Agence de promotion économique du Canada atlantique</t>
        </is>
      </c>
    </row>
    <row r="3912">
      <c r="A3912" t="inlineStr">
        <is>
          <t>T-2012-Q2-00041</t>
        </is>
      </c>
      <c r="B3912" t="inlineStr">
        <is>
          <t>SLE</t>
        </is>
      </c>
      <c r="C3912" t="inlineStr">
        <is>
          <t>Vice-President, Finance and Corporate Services</t>
        </is>
      </c>
      <c r="D3912" t="inlineStr">
        <is>
          <t>Vice-présidente, Finances et Services corporatifs</t>
        </is>
      </c>
      <c r="E3912" t="inlineStr">
        <is>
          <t>Denise Frenette</t>
        </is>
      </c>
      <c r="F3912" t="inlineStr">
        <is>
          <t>For various meetings and discussions with Agency officials; and Governemnt of Canada officials</t>
        </is>
      </c>
      <c r="G3912" t="inlineStr">
        <is>
          <t>Diverses réunions et discussions avec des fonctionnaires de l'Agence et du gouvernement du Canada</t>
        </is>
      </c>
      <c r="H3912" s="1" t="n">
        <v>40737</v>
      </c>
      <c r="I3912" s="1" t="n">
        <v>40739</v>
      </c>
      <c r="J3912" t="inlineStr">
        <is>
          <t>Ottawa, Ontario and Sydney, Nova Scotia</t>
        </is>
      </c>
      <c r="K3912" t="inlineStr">
        <is>
          <t>Ottawa (Ontario)/Sydney (Nouvelle-Écosse)</t>
        </is>
      </c>
      <c r="P3912" t="n">
        <v>1613.64</v>
      </c>
      <c r="Q3912" t="n">
        <v>121.84</v>
      </c>
      <c r="R3912" t="n">
        <v>246.34</v>
      </c>
      <c r="S3912" t="n">
        <v>136</v>
      </c>
      <c r="T3912" t="n">
        <v>35</v>
      </c>
      <c r="U3912" t="n">
        <v>2152.82</v>
      </c>
      <c r="X3912" t="inlineStr">
        <is>
          <t>acoa-apeca</t>
        </is>
      </c>
      <c r="Y3912" t="inlineStr">
        <is>
          <t>Atlantic Canada Opportunities Agency | Agence de promotion économique du Canada atlantique</t>
        </is>
      </c>
    </row>
    <row r="3913">
      <c r="A3913" t="inlineStr">
        <is>
          <t>T-2012-Q2-00040</t>
        </is>
      </c>
      <c r="B3913" t="inlineStr">
        <is>
          <t>SLE</t>
        </is>
      </c>
      <c r="C3913" t="inlineStr">
        <is>
          <t>Vice-President, Prince Edward Island</t>
        </is>
      </c>
      <c r="D3913" t="inlineStr">
        <is>
          <t>Vice-président, Île-du-Prince-Édouard</t>
        </is>
      </c>
      <c r="E3913" t="inlineStr">
        <is>
          <t>Patrick Dorsey</t>
        </is>
      </c>
      <c r="F3913" t="inlineStr">
        <is>
          <t>To attend Atlantic Canada Tourism Partnership (ACTP) Meeting in Halifax, NS</t>
        </is>
      </c>
      <c r="G3913" t="inlineStr">
        <is>
          <t>Assister à une réunion du Partenariat du tourisme du Canada atlantique (PTCA) à Halifax (Nouvelle-Écosse)</t>
        </is>
      </c>
      <c r="H3913" s="1" t="n">
        <v>40735</v>
      </c>
      <c r="I3913" s="1" t="n">
        <v>40736</v>
      </c>
      <c r="J3913" t="inlineStr">
        <is>
          <t>Halifax, Nova Scotia</t>
        </is>
      </c>
      <c r="K3913" t="inlineStr">
        <is>
          <t>Halifax (Nouvelle-Écosse)</t>
        </is>
      </c>
      <c r="P3913" t="n">
        <v>0</v>
      </c>
      <c r="Q3913" t="n">
        <v>73.19</v>
      </c>
      <c r="R3913" t="n">
        <v>174.78</v>
      </c>
      <c r="S3913" t="n">
        <v>49.65</v>
      </c>
      <c r="T3913" t="n">
        <v>0</v>
      </c>
      <c r="U3913" t="n">
        <v>297.62</v>
      </c>
      <c r="X3913" t="inlineStr">
        <is>
          <t>acoa-apeca</t>
        </is>
      </c>
      <c r="Y3913" t="inlineStr">
        <is>
          <t>Atlantic Canada Opportunities Agency | Agence de promotion économique du Canada atlantique</t>
        </is>
      </c>
    </row>
    <row r="3914">
      <c r="A3914" t="inlineStr">
        <is>
          <t>T-2012-Q2-00039</t>
        </is>
      </c>
      <c r="B3914" t="inlineStr">
        <is>
          <t>SLE</t>
        </is>
      </c>
      <c r="C3914" t="inlineStr">
        <is>
          <t>President</t>
        </is>
      </c>
      <c r="D3914" t="inlineStr">
        <is>
          <t>Président</t>
        </is>
      </c>
      <c r="E3914" t="inlineStr">
        <is>
          <t>Paul J. LeBlanc</t>
        </is>
      </c>
      <c r="F3914" t="inlineStr">
        <is>
          <t>For various meetings and discussions with: Agency officials; with Government of Canada officials</t>
        </is>
      </c>
      <c r="G3914" t="inlineStr">
        <is>
          <t>Diverses réunions et discussions avec des fonctionnaires de l'Agence et du gouvernement du Canada</t>
        </is>
      </c>
      <c r="H3914" s="1" t="n">
        <v>40735</v>
      </c>
      <c r="I3914" s="1" t="n">
        <v>40738</v>
      </c>
      <c r="J3914" t="inlineStr">
        <is>
          <t>Ottawa, Ontario and Iqaluit, Nunavut</t>
        </is>
      </c>
      <c r="K3914" t="inlineStr">
        <is>
          <t>Ottawa (Ontario)/Iqaluit (Nunavut)</t>
        </is>
      </c>
      <c r="P3914" t="n">
        <v>1355.23</v>
      </c>
      <c r="Q3914" t="n">
        <v>0</v>
      </c>
      <c r="R3914" t="n">
        <v>558.03</v>
      </c>
      <c r="S3914" t="n">
        <v>344.85</v>
      </c>
      <c r="T3914" t="n">
        <v>60</v>
      </c>
      <c r="U3914" t="n">
        <v>2318.11</v>
      </c>
      <c r="X3914" t="inlineStr">
        <is>
          <t>acoa-apeca</t>
        </is>
      </c>
      <c r="Y3914" t="inlineStr">
        <is>
          <t>Atlantic Canada Opportunities Agency | Agence de promotion économique du Canada atlantique</t>
        </is>
      </c>
    </row>
    <row r="3915">
      <c r="A3915" t="inlineStr">
        <is>
          <t>T-2012-Q2-00036</t>
        </is>
      </c>
      <c r="B3915" t="inlineStr">
        <is>
          <t>SLE</t>
        </is>
      </c>
      <c r="C3915" t="inlineStr">
        <is>
          <t>President</t>
        </is>
      </c>
      <c r="D3915" t="inlineStr">
        <is>
          <t>Président</t>
        </is>
      </c>
      <c r="E3915" t="inlineStr">
        <is>
          <t>Paul J. LeBlanc</t>
        </is>
      </c>
      <c r="F3915" t="inlineStr">
        <is>
          <t>For various meetings and discussions with Agency officials</t>
        </is>
      </c>
      <c r="G3915" t="inlineStr">
        <is>
          <t>Diverses réunions et discussions avec des fonctionnaires de l'Agence</t>
        </is>
      </c>
      <c r="H3915" s="1" t="n">
        <v>40730</v>
      </c>
      <c r="I3915" s="1" t="n">
        <v>40731</v>
      </c>
      <c r="J3915" t="inlineStr">
        <is>
          <t>Fredericton, New Brunswick</t>
        </is>
      </c>
      <c r="K3915" t="inlineStr">
        <is>
          <t>Fredericton (Nouveau-Brunswick)</t>
        </is>
      </c>
      <c r="P3915" t="n">
        <v>0</v>
      </c>
      <c r="Q3915" t="n">
        <v>0</v>
      </c>
      <c r="R3915" t="n">
        <v>151.42</v>
      </c>
      <c r="S3915" t="n">
        <v>103.65</v>
      </c>
      <c r="T3915" t="n">
        <v>3</v>
      </c>
      <c r="U3915" t="n">
        <v>258.07</v>
      </c>
      <c r="X3915" t="inlineStr">
        <is>
          <t>acoa-apeca</t>
        </is>
      </c>
      <c r="Y3915" t="inlineStr">
        <is>
          <t>Atlantic Canada Opportunities Agency | Agence de promotion économique du Canada atlantique</t>
        </is>
      </c>
    </row>
    <row r="3916">
      <c r="A3916" t="inlineStr">
        <is>
          <t>T-2012-Q2-00035</t>
        </is>
      </c>
      <c r="B3916" t="inlineStr">
        <is>
          <t>MPSES</t>
        </is>
      </c>
      <c r="C3916" t="inlineStr">
        <is>
          <t>Minister of State</t>
        </is>
      </c>
      <c r="D3916" t="inlineStr">
        <is>
          <t>Ministre d'État</t>
        </is>
      </c>
      <c r="E3916" t="inlineStr">
        <is>
          <t>Bernard Valcourt</t>
        </is>
      </c>
      <c r="F3916" t="inlineStr">
        <is>
          <t>Travel to attend ACOA funding announcements and various meetings</t>
        </is>
      </c>
      <c r="G3916" t="inlineStr">
        <is>
          <t>Assister à des annonces de financement et à diverses réunions de l'APECA</t>
        </is>
      </c>
      <c r="H3916" s="1" t="n">
        <v>40728</v>
      </c>
      <c r="I3916" s="1" t="n">
        <v>40731</v>
      </c>
      <c r="J3916" t="inlineStr">
        <is>
          <t>Edmundston, Saint John, Saint-Quentin, New Brunswick</t>
        </is>
      </c>
      <c r="K3916" t="inlineStr">
        <is>
          <t>Edmundston, Saint John, Saint-Quentin (Nouveau-Brunswick)</t>
        </is>
      </c>
      <c r="P3916" t="n">
        <v>0</v>
      </c>
      <c r="Q3916" t="n">
        <v>281.69</v>
      </c>
      <c r="R3916" t="n">
        <v>400.45</v>
      </c>
      <c r="S3916" t="n">
        <v>34.6</v>
      </c>
      <c r="T3916" t="n">
        <v>0</v>
      </c>
      <c r="U3916" t="n">
        <v>716.74</v>
      </c>
      <c r="X3916" t="inlineStr">
        <is>
          <t>acoa-apeca</t>
        </is>
      </c>
      <c r="Y3916" t="inlineStr">
        <is>
          <t>Atlantic Canada Opportunities Agency | Agence de promotion économique du Canada atlantique</t>
        </is>
      </c>
    </row>
    <row r="3917">
      <c r="A3917" t="inlineStr">
        <is>
          <t>T-2012-Q2-00033</t>
        </is>
      </c>
      <c r="B3917" t="inlineStr">
        <is>
          <t>MPSES</t>
        </is>
      </c>
      <c r="C3917" t="inlineStr">
        <is>
          <t>Executive Assistant and Press Secretary</t>
        </is>
      </c>
      <c r="D3917" t="inlineStr">
        <is>
          <t>Adjointe exécutive et attaché de presse</t>
        </is>
      </c>
      <c r="E3917" t="inlineStr">
        <is>
          <t>Andrea Richer</t>
        </is>
      </c>
      <c r="F3917" t="inlineStr">
        <is>
          <t>Travel to attend various ACOA meetings &amp; announcements with MOS</t>
        </is>
      </c>
      <c r="G3917" t="inlineStr">
        <is>
          <t>Assister à diverses réunions et annonces de l'APECA avec le ministre d'État</t>
        </is>
      </c>
      <c r="H3917" s="1" t="n">
        <v>40727</v>
      </c>
      <c r="I3917" s="1" t="n">
        <v>40730</v>
      </c>
      <c r="J3917" t="inlineStr">
        <is>
          <t>Fredericton, Moncton and Saint John, New Brunswick</t>
        </is>
      </c>
      <c r="K3917" t="inlineStr">
        <is>
          <t>Fredericton, Moncton et Saint John (Nouveau-Brunswick)</t>
        </is>
      </c>
      <c r="P3917" t="n">
        <v>1159.58</v>
      </c>
      <c r="Q3917" t="n">
        <v>0</v>
      </c>
      <c r="R3917" t="n">
        <v>412.88</v>
      </c>
      <c r="S3917" t="n">
        <v>177.95</v>
      </c>
      <c r="T3917" t="n">
        <v>0</v>
      </c>
      <c r="U3917" t="n">
        <v>1750.41</v>
      </c>
      <c r="X3917" t="inlineStr">
        <is>
          <t>acoa-apeca</t>
        </is>
      </c>
      <c r="Y3917" t="inlineStr">
        <is>
          <t>Atlantic Canada Opportunities Agency | Agence de promotion économique du Canada atlantique</t>
        </is>
      </c>
    </row>
    <row r="3918">
      <c r="A3918" t="inlineStr">
        <is>
          <t>T-2012-Q2-00032</t>
        </is>
      </c>
      <c r="B3918" t="inlineStr">
        <is>
          <t>SLE</t>
        </is>
      </c>
      <c r="C3918" t="inlineStr">
        <is>
          <t>Vice-President, New Brunswick</t>
        </is>
      </c>
      <c r="D3918" t="inlineStr">
        <is>
          <t>Vice-présidente, Nouveau-Brunswick</t>
        </is>
      </c>
      <c r="E3918" t="inlineStr">
        <is>
          <t>Janet Gagnon</t>
        </is>
      </c>
      <c r="F3918" t="inlineStr">
        <is>
          <t>Attend various announcements with Minister</t>
        </is>
      </c>
      <c r="G3918" t="inlineStr">
        <is>
          <t>Assister à diverses annonces avec le ministre</t>
        </is>
      </c>
      <c r="H3918" s="1" t="n">
        <v>40727</v>
      </c>
      <c r="I3918" s="1" t="n">
        <v>40728</v>
      </c>
      <c r="J3918" t="inlineStr">
        <is>
          <t>Edmundston, New Brunswick</t>
        </is>
      </c>
      <c r="K3918" t="inlineStr">
        <is>
          <t>Edmundston (Nouveau-Brunswick)</t>
        </is>
      </c>
      <c r="P3918" t="n">
        <v>0</v>
      </c>
      <c r="Q3918" t="n">
        <v>0</v>
      </c>
      <c r="R3918" t="n">
        <v>133.34</v>
      </c>
      <c r="S3918" t="n">
        <v>88.59999999999999</v>
      </c>
      <c r="T3918" t="n">
        <v>0</v>
      </c>
      <c r="U3918" t="n">
        <v>221.94</v>
      </c>
      <c r="X3918" t="inlineStr">
        <is>
          <t>acoa-apeca</t>
        </is>
      </c>
      <c r="Y3918" t="inlineStr">
        <is>
          <t>Atlantic Canada Opportunities Agency | Agence de promotion économique du Canada atlantique</t>
        </is>
      </c>
    </row>
    <row r="3919">
      <c r="A3919" t="inlineStr">
        <is>
          <t>T-2012-Q2-00031</t>
        </is>
      </c>
      <c r="B3919" t="inlineStr">
        <is>
          <t>SLE</t>
        </is>
      </c>
      <c r="C3919" t="inlineStr">
        <is>
          <t>President</t>
        </is>
      </c>
      <c r="D3919" t="inlineStr">
        <is>
          <t>Président</t>
        </is>
      </c>
      <c r="E3919" t="inlineStr">
        <is>
          <t>Paul J. LeBlanc</t>
        </is>
      </c>
      <c r="F3919" t="inlineStr">
        <is>
          <t>For various meetings and discussions with Agency officials</t>
        </is>
      </c>
      <c r="G3919" t="inlineStr">
        <is>
          <t>Diverses réunions et discussions avec des fonctionnaires de l'Agence</t>
        </is>
      </c>
      <c r="H3919" s="1" t="n">
        <v>40727</v>
      </c>
      <c r="I3919" s="1" t="n">
        <v>40729</v>
      </c>
      <c r="J3919" t="inlineStr">
        <is>
          <t>Edmundston, St. Quentin, Saint John and Sussex, New Brunswick</t>
        </is>
      </c>
      <c r="K3919" t="inlineStr">
        <is>
          <t>Edmundston, Saint-Quentin, Saint John et Sussex (Nouveau-Brunswick)</t>
        </is>
      </c>
      <c r="P3919" t="n">
        <v>0</v>
      </c>
      <c r="Q3919" t="n">
        <v>0</v>
      </c>
      <c r="R3919" t="n">
        <v>256.85</v>
      </c>
      <c r="S3919" t="n">
        <v>190</v>
      </c>
      <c r="T3919" t="n">
        <v>98.42</v>
      </c>
      <c r="U3919" t="n">
        <v>545.27</v>
      </c>
      <c r="X3919" t="inlineStr">
        <is>
          <t>acoa-apeca</t>
        </is>
      </c>
      <c r="Y3919" t="inlineStr">
        <is>
          <t>Atlantic Canada Opportunities Agency | Agence de promotion économique du Canada atlantique</t>
        </is>
      </c>
    </row>
    <row r="3920">
      <c r="A3920" t="inlineStr">
        <is>
          <t>T-2012-Q2-00030</t>
        </is>
      </c>
      <c r="B3920" t="inlineStr">
        <is>
          <t>SLE</t>
        </is>
      </c>
      <c r="C3920" t="inlineStr">
        <is>
          <t>Vice-President, Newfoundland and Labrador</t>
        </is>
      </c>
      <c r="D3920" t="inlineStr">
        <is>
          <t>Vice-président, Terre-Neuve-et-Labrador</t>
        </is>
      </c>
      <c r="E3920" t="inlineStr">
        <is>
          <t>Paul Mills</t>
        </is>
      </c>
      <c r="F3920" t="inlineStr">
        <is>
          <t>Various travel in the St. John's area</t>
        </is>
      </c>
      <c r="G3920" t="inlineStr">
        <is>
          <t>Voyages divers dans la région de St. John's</t>
        </is>
      </c>
      <c r="H3920" s="1" t="n">
        <v>40722</v>
      </c>
      <c r="I3920" s="1" t="n">
        <v>40899</v>
      </c>
      <c r="J3920" t="inlineStr">
        <is>
          <t>St. John's, Newfoundland and Labrador</t>
        </is>
      </c>
      <c r="K3920" t="inlineStr">
        <is>
          <t>St. John's (Terre-Neuve-et-Labrador)</t>
        </is>
      </c>
      <c r="P3920" t="n">
        <v>0</v>
      </c>
      <c r="Q3920" t="n">
        <v>57.24</v>
      </c>
      <c r="R3920" t="n">
        <v>0</v>
      </c>
      <c r="S3920" t="n">
        <v>0</v>
      </c>
      <c r="T3920" t="n">
        <v>0</v>
      </c>
      <c r="U3920" t="n">
        <v>57.24</v>
      </c>
      <c r="X3920" t="inlineStr">
        <is>
          <t>acoa-apeca</t>
        </is>
      </c>
      <c r="Y3920" t="inlineStr">
        <is>
          <t>Atlantic Canada Opportunities Agency | Agence de promotion économique du Canada atlantique</t>
        </is>
      </c>
    </row>
    <row r="3921">
      <c r="A3921" t="inlineStr">
        <is>
          <t>T-2012-Q2-00028</t>
        </is>
      </c>
      <c r="B3921" t="inlineStr">
        <is>
          <t>SLE</t>
        </is>
      </c>
      <c r="C3921" t="inlineStr">
        <is>
          <t>Vice-President, New Brunswick</t>
        </is>
      </c>
      <c r="D3921" t="inlineStr">
        <is>
          <t>Vice-présidente, Nouveau-Brunswick</t>
        </is>
      </c>
      <c r="E3921" t="inlineStr">
        <is>
          <t>Janet Gagnon</t>
        </is>
      </c>
      <c r="F3921" t="inlineStr">
        <is>
          <t>New Brunswick Federal Council (NBFC)Quarterly Meeting</t>
        </is>
      </c>
      <c r="G3921" t="inlineStr">
        <is>
          <t>Réunion trimestrielle du Conseil fédéral du Nouveau-Brunswick (CFNB)</t>
        </is>
      </c>
      <c r="H3921" s="1" t="n">
        <v>40721</v>
      </c>
      <c r="I3921" s="1" t="n">
        <v>40723</v>
      </c>
      <c r="J3921" t="inlineStr">
        <is>
          <t>Sackville, New Brunswick</t>
        </is>
      </c>
      <c r="K3921" t="inlineStr">
        <is>
          <t>Sackville (Nouveau-Brunswick)</t>
        </is>
      </c>
      <c r="P3921" t="n">
        <v>0</v>
      </c>
      <c r="Q3921" t="n">
        <v>0</v>
      </c>
      <c r="R3921" t="n">
        <v>189.84</v>
      </c>
      <c r="S3921" t="n">
        <v>215.7</v>
      </c>
      <c r="T3921" t="n">
        <v>0</v>
      </c>
      <c r="U3921" t="n">
        <v>405.54</v>
      </c>
      <c r="X3921" t="inlineStr">
        <is>
          <t>acoa-apeca</t>
        </is>
      </c>
      <c r="Y3921" t="inlineStr">
        <is>
          <t>Atlantic Canada Opportunities Agency | Agence de promotion économique du Canada atlantique</t>
        </is>
      </c>
    </row>
    <row r="3922">
      <c r="A3922" t="inlineStr">
        <is>
          <t>T-2012-Q2-00026</t>
        </is>
      </c>
      <c r="B3922" t="inlineStr">
        <is>
          <t>SLE</t>
        </is>
      </c>
      <c r="C3922" t="inlineStr">
        <is>
          <t>President</t>
        </is>
      </c>
      <c r="D3922" t="inlineStr">
        <is>
          <t>Président</t>
        </is>
      </c>
      <c r="E3922" t="inlineStr">
        <is>
          <t>Paul J. LeBlanc</t>
        </is>
      </c>
      <c r="F3922" t="inlineStr">
        <is>
          <t>For various meetings and discussions with: Agency officials; with Government of Canada officials</t>
        </is>
      </c>
      <c r="G3922" t="inlineStr">
        <is>
          <t>Diverses réunions et discussions avec des fonctionnaires de l'Agence et du gouvernement du Canada</t>
        </is>
      </c>
      <c r="H3922" s="1" t="n">
        <v>40721</v>
      </c>
      <c r="I3922" s="1" t="n">
        <v>40724</v>
      </c>
      <c r="J3922" t="inlineStr">
        <is>
          <t>Ottawa, Ontario</t>
        </is>
      </c>
      <c r="K3922" t="inlineStr">
        <is>
          <t>Ottawa (Ontario)</t>
        </is>
      </c>
      <c r="P3922" t="n">
        <v>727.36</v>
      </c>
      <c r="Q3922" t="n">
        <v>13.13</v>
      </c>
      <c r="R3922" t="n">
        <v>522.0599999999999</v>
      </c>
      <c r="S3922" t="n">
        <v>222.35</v>
      </c>
      <c r="T3922" t="n">
        <v>45</v>
      </c>
      <c r="U3922" t="n">
        <v>1529.9</v>
      </c>
      <c r="X3922" t="inlineStr">
        <is>
          <t>acoa-apeca</t>
        </is>
      </c>
      <c r="Y3922" t="inlineStr">
        <is>
          <t>Atlantic Canada Opportunities Agency | Agence de promotion économique du Canada atlantique</t>
        </is>
      </c>
    </row>
    <row r="3923">
      <c r="A3923" t="inlineStr">
        <is>
          <t>T-2012-Q2-00023</t>
        </is>
      </c>
      <c r="B3923" t="inlineStr">
        <is>
          <t>SLE</t>
        </is>
      </c>
      <c r="C3923" t="inlineStr">
        <is>
          <t>Vice-President, Prince Edward Island</t>
        </is>
      </c>
      <c r="D3923" t="inlineStr">
        <is>
          <t>Vice-président, Île-du-Prince-Édouard</t>
        </is>
      </c>
      <c r="E3923" t="inlineStr">
        <is>
          <t>Patrick Dorsey</t>
        </is>
      </c>
      <c r="F3923" t="inlineStr">
        <is>
          <t>To attend the BIO2011 World Congress on Biotechnology in Washington, DC</t>
        </is>
      </c>
      <c r="G3923" t="inlineStr">
        <is>
          <t>Assister au congrès mondial sur la biotechnologie BIO2011 à Washington (district de Columbia)</t>
        </is>
      </c>
      <c r="H3923" s="1" t="n">
        <v>40720</v>
      </c>
      <c r="I3923" s="1" t="n">
        <v>40723</v>
      </c>
      <c r="J3923" t="inlineStr">
        <is>
          <t>Washington, District of Columbia, USA</t>
        </is>
      </c>
      <c r="K3923" t="inlineStr">
        <is>
          <t>Washington (district de Columbia - États-Unis)</t>
        </is>
      </c>
      <c r="P3923" t="n">
        <v>1540.02</v>
      </c>
      <c r="Q3923" t="n">
        <v>419.89</v>
      </c>
      <c r="R3923" t="n">
        <v>849.6799999999999</v>
      </c>
      <c r="S3923" t="n">
        <v>219.54</v>
      </c>
      <c r="T3923" t="n">
        <v>0</v>
      </c>
      <c r="U3923" t="n">
        <v>3029.13</v>
      </c>
      <c r="X3923" t="inlineStr">
        <is>
          <t>acoa-apeca</t>
        </is>
      </c>
      <c r="Y3923" t="inlineStr">
        <is>
          <t>Atlantic Canada Opportunities Agency | Agence de promotion économique du Canada atlantique</t>
        </is>
      </c>
    </row>
    <row r="3924">
      <c r="A3924" t="inlineStr">
        <is>
          <t>T-2012-Q2-00022</t>
        </is>
      </c>
      <c r="B3924" t="inlineStr">
        <is>
          <t>SLE</t>
        </is>
      </c>
      <c r="C3924" t="inlineStr">
        <is>
          <t>Vice-President, Prince Edward Island</t>
        </is>
      </c>
      <c r="D3924" t="inlineStr">
        <is>
          <t>Vice-président, Île-du-Prince-Édouard</t>
        </is>
      </c>
      <c r="E3924" t="inlineStr">
        <is>
          <t>Patrick Dorsey</t>
        </is>
      </c>
      <c r="F3924" t="inlineStr">
        <is>
          <t>To attend a Federal Regional Council Chairs Meeting in Charlottetown, PEI</t>
        </is>
      </c>
      <c r="G3924" t="inlineStr">
        <is>
          <t>Assister à une réunion des présidents des Conseils fédéraux régionaux à Charlottetown (Île-du-Prince-Édouard)</t>
        </is>
      </c>
      <c r="H3924" s="1" t="n">
        <v>40716</v>
      </c>
      <c r="I3924" s="1" t="n">
        <v>40716</v>
      </c>
      <c r="J3924" t="inlineStr">
        <is>
          <t>Charlottetown, Prince Edward Island</t>
        </is>
      </c>
      <c r="K3924" t="inlineStr">
        <is>
          <t>Charlottetown (Île-du-Prince-Édouard)</t>
        </is>
      </c>
      <c r="P3924" t="n">
        <v>0</v>
      </c>
      <c r="Q3924" t="n">
        <v>0</v>
      </c>
      <c r="R3924" t="n">
        <v>0</v>
      </c>
      <c r="S3924" t="n">
        <v>39.85</v>
      </c>
      <c r="T3924" t="n">
        <v>0</v>
      </c>
      <c r="U3924" t="n">
        <v>39.85</v>
      </c>
      <c r="X3924" t="inlineStr">
        <is>
          <t>acoa-apeca</t>
        </is>
      </c>
      <c r="Y3924" t="inlineStr">
        <is>
          <t>Atlantic Canada Opportunities Agency | Agence de promotion économique du Canada atlantique</t>
        </is>
      </c>
    </row>
    <row r="3925">
      <c r="A3925" t="inlineStr">
        <is>
          <t>T-2012-Q2-00021</t>
        </is>
      </c>
      <c r="B3925" t="inlineStr">
        <is>
          <t>SLE</t>
        </is>
      </c>
      <c r="C3925" t="inlineStr">
        <is>
          <t>Vice President, Nova Scotia</t>
        </is>
      </c>
      <c r="D3925" t="inlineStr">
        <is>
          <t>Vice-président, Nouvelle-Écosse</t>
        </is>
      </c>
      <c r="E3925" t="inlineStr">
        <is>
          <t>Peter Hogan</t>
        </is>
      </c>
      <c r="F3925" t="inlineStr">
        <is>
          <t>National Federal Council Chairs Meeting</t>
        </is>
      </c>
      <c r="G3925" t="inlineStr">
        <is>
          <t>Réunion nationale des présidents des Conseils fédéraux</t>
        </is>
      </c>
      <c r="H3925" s="1" t="n">
        <v>40715</v>
      </c>
      <c r="I3925" s="1" t="n">
        <v>40717</v>
      </c>
      <c r="J3925" t="inlineStr">
        <is>
          <t>Charlottetown, PE</t>
        </is>
      </c>
      <c r="K3925" t="inlineStr">
        <is>
          <t>Charlottetown (Île-du-Prince-Édouard)</t>
        </is>
      </c>
      <c r="P3925" t="n">
        <v>490.35</v>
      </c>
      <c r="Q3925" t="n">
        <v>34.8</v>
      </c>
      <c r="R3925" t="n">
        <v>472.24</v>
      </c>
      <c r="S3925" t="n">
        <v>175.85</v>
      </c>
      <c r="T3925" t="n">
        <v>36</v>
      </c>
      <c r="U3925" t="n">
        <v>1209.24</v>
      </c>
      <c r="X3925" t="inlineStr">
        <is>
          <t>acoa-apeca</t>
        </is>
      </c>
      <c r="Y3925" t="inlineStr">
        <is>
          <t>Atlantic Canada Opportunities Agency | Agence de promotion économique du Canada atlantique</t>
        </is>
      </c>
    </row>
    <row r="3926">
      <c r="A3926" t="inlineStr">
        <is>
          <t>T-2012-Q2-00020</t>
        </is>
      </c>
      <c r="B3926" t="inlineStr">
        <is>
          <t>SLE</t>
        </is>
      </c>
      <c r="C3926" t="inlineStr">
        <is>
          <t>Vice-President, New Brunswick</t>
        </is>
      </c>
      <c r="D3926" t="inlineStr">
        <is>
          <t>Vice-présidente, Nouveau-Brunswick</t>
        </is>
      </c>
      <c r="E3926" t="inlineStr">
        <is>
          <t>Janet Gagnon</t>
        </is>
      </c>
      <c r="F3926" t="inlineStr">
        <is>
          <t>Regional Federal Council Chairs Meeting</t>
        </is>
      </c>
      <c r="G3926" t="inlineStr">
        <is>
          <t>Réunion des présidents des Conseils fédéraux régionaux</t>
        </is>
      </c>
      <c r="H3926" s="1" t="n">
        <v>40715</v>
      </c>
      <c r="I3926" s="1" t="n">
        <v>40717</v>
      </c>
      <c r="J3926" t="inlineStr">
        <is>
          <t>Charlottetown, Prince Edward Island</t>
        </is>
      </c>
      <c r="K3926" t="inlineStr">
        <is>
          <t>Charlottetown (Île-du-Prince-Édouard)</t>
        </is>
      </c>
      <c r="P3926" t="n">
        <v>0</v>
      </c>
      <c r="Q3926" t="n">
        <v>0</v>
      </c>
      <c r="R3926" t="n">
        <v>481.72</v>
      </c>
      <c r="S3926" t="n">
        <v>215.7</v>
      </c>
      <c r="T3926" t="n">
        <v>56.25</v>
      </c>
      <c r="U3926" t="n">
        <v>753.67</v>
      </c>
      <c r="X3926" t="inlineStr">
        <is>
          <t>acoa-apeca</t>
        </is>
      </c>
      <c r="Y3926" t="inlineStr">
        <is>
          <t>Atlantic Canada Opportunities Agency | Agence de promotion économique du Canada atlantique</t>
        </is>
      </c>
    </row>
    <row r="3927">
      <c r="A3927" t="inlineStr">
        <is>
          <t>T-2012-Q2-00019</t>
        </is>
      </c>
      <c r="B3927" t="inlineStr">
        <is>
          <t>SLE</t>
        </is>
      </c>
      <c r="C3927" t="inlineStr">
        <is>
          <t>Vice-President, Newfoundland and Labrador</t>
        </is>
      </c>
      <c r="D3927" t="inlineStr">
        <is>
          <t>Vice-président, Terre-Neuve-et-Labrador</t>
        </is>
      </c>
      <c r="E3927" t="inlineStr">
        <is>
          <t>Paul Mills</t>
        </is>
      </c>
      <c r="F3927" t="inlineStr">
        <is>
          <t>To Attend National Regional Federal Council Chairs Meeting in PEI and meetings with senior officials in Halifax</t>
        </is>
      </c>
      <c r="G3927" t="inlineStr">
        <is>
          <t>Réunion nationale des présidents des Conseils fédéraux régionaux à l'Île-du-Prince-Édouard; réunions avec des hauts fonctionnaires à Halifax</t>
        </is>
      </c>
      <c r="H3927" s="1" t="n">
        <v>40715</v>
      </c>
      <c r="I3927" s="1" t="n">
        <v>40718</v>
      </c>
      <c r="J3927" t="inlineStr">
        <is>
          <t>Charlottetown, PE</t>
        </is>
      </c>
      <c r="K3927" t="inlineStr">
        <is>
          <t>Charlottetown (Île-du-Prince-Édouard)</t>
        </is>
      </c>
      <c r="P3927" t="n">
        <v>1329.26</v>
      </c>
      <c r="Q3927" t="n">
        <v>403.23</v>
      </c>
      <c r="R3927" t="n">
        <v>647.02</v>
      </c>
      <c r="S3927" t="n">
        <v>276.35</v>
      </c>
      <c r="T3927" t="n">
        <v>62.63</v>
      </c>
      <c r="U3927" t="n">
        <v>2718.49</v>
      </c>
      <c r="X3927" t="inlineStr">
        <is>
          <t>acoa-apeca</t>
        </is>
      </c>
      <c r="Y3927" t="inlineStr">
        <is>
          <t>Atlantic Canada Opportunities Agency | Agence de promotion économique du Canada atlantique</t>
        </is>
      </c>
    </row>
    <row r="3928">
      <c r="A3928" t="inlineStr">
        <is>
          <t>T-2012-Q2-00018</t>
        </is>
      </c>
      <c r="B3928" t="inlineStr">
        <is>
          <t>SLE</t>
        </is>
      </c>
      <c r="C3928" t="inlineStr">
        <is>
          <t>Vice-President, Prince Edward Island</t>
        </is>
      </c>
      <c r="D3928" t="inlineStr">
        <is>
          <t>Vice-président, Île-du-Prince-Édouard</t>
        </is>
      </c>
      <c r="E3928" t="inlineStr">
        <is>
          <t>Patrick Dorsey</t>
        </is>
      </c>
      <c r="F3928" t="inlineStr">
        <is>
          <t>To attend Briefing for Minister Valcourt in Ottawa, ON</t>
        </is>
      </c>
      <c r="G3928" t="inlineStr">
        <is>
          <t>Assister à une séance d'information pour le ministre Valcourt à Ottawa (Ontario)</t>
        </is>
      </c>
      <c r="H3928" s="1" t="n">
        <v>40714</v>
      </c>
      <c r="I3928" s="1" t="n">
        <v>40715</v>
      </c>
      <c r="J3928" t="inlineStr">
        <is>
          <t>Ottawa, Ontario</t>
        </is>
      </c>
      <c r="K3928" t="inlineStr">
        <is>
          <t>Ottawa (Ontario)</t>
        </is>
      </c>
      <c r="P3928" t="n">
        <v>1490.33</v>
      </c>
      <c r="Q3928" t="n">
        <v>84</v>
      </c>
      <c r="R3928" t="n">
        <v>175.15</v>
      </c>
      <c r="S3928" t="n">
        <v>103.65</v>
      </c>
      <c r="T3928" t="n">
        <v>0</v>
      </c>
      <c r="U3928" t="n">
        <v>1853.13</v>
      </c>
      <c r="X3928" t="inlineStr">
        <is>
          <t>acoa-apeca</t>
        </is>
      </c>
      <c r="Y3928" t="inlineStr">
        <is>
          <t>Atlantic Canada Opportunities Agency | Agence de promotion économique du Canada atlantique</t>
        </is>
      </c>
    </row>
    <row r="3929">
      <c r="A3929" t="inlineStr">
        <is>
          <t>T-2012-Q2-00017</t>
        </is>
      </c>
      <c r="B3929" t="inlineStr">
        <is>
          <t>SLE</t>
        </is>
      </c>
      <c r="C3929" t="inlineStr">
        <is>
          <t>Vice-President, New Brunswick</t>
        </is>
      </c>
      <c r="D3929" t="inlineStr">
        <is>
          <t>Vice-présidente, Nouveau-Brunswick</t>
        </is>
      </c>
      <c r="E3929" t="inlineStr">
        <is>
          <t>Janet Gagnon</t>
        </is>
      </c>
      <c r="F3929" t="inlineStr">
        <is>
          <t>Visit the Grand Falls District Office</t>
        </is>
      </c>
      <c r="G3929" t="inlineStr">
        <is>
          <t>Visite du bureau de district de Grand-Sault</t>
        </is>
      </c>
      <c r="H3929" s="1" t="n">
        <v>40714</v>
      </c>
      <c r="I3929" s="1" t="n">
        <v>40714</v>
      </c>
      <c r="J3929" t="inlineStr">
        <is>
          <t>Grand Falls, New Brunswick</t>
        </is>
      </c>
      <c r="K3929" t="inlineStr">
        <is>
          <t>Grand-Sault (Nouveau-Brunswick)</t>
        </is>
      </c>
      <c r="P3929" t="n">
        <v>0</v>
      </c>
      <c r="Q3929" t="n">
        <v>0</v>
      </c>
      <c r="R3929" t="n">
        <v>0</v>
      </c>
      <c r="S3929" t="n">
        <v>54.9</v>
      </c>
      <c r="T3929" t="n">
        <v>0</v>
      </c>
      <c r="U3929" t="n">
        <v>54.9</v>
      </c>
      <c r="X3929" t="inlineStr">
        <is>
          <t>acoa-apeca</t>
        </is>
      </c>
      <c r="Y3929" t="inlineStr">
        <is>
          <t>Atlantic Canada Opportunities Agency | Agence de promotion économique du Canada atlantique</t>
        </is>
      </c>
    </row>
    <row r="3930">
      <c r="A3930" t="inlineStr">
        <is>
          <t>T-2012-Q2-00015</t>
        </is>
      </c>
      <c r="B3930" t="inlineStr">
        <is>
          <t>SLE</t>
        </is>
      </c>
      <c r="C3930" t="inlineStr">
        <is>
          <t>President</t>
        </is>
      </c>
      <c r="D3930" t="inlineStr">
        <is>
          <t>Président</t>
        </is>
      </c>
      <c r="E3930" t="inlineStr">
        <is>
          <t>Paul J. LeBlanc</t>
        </is>
      </c>
      <c r="F3930" t="inlineStr">
        <is>
          <t>To take part in the 2011 International Paris Airshow</t>
        </is>
      </c>
      <c r="G3930" t="inlineStr">
        <is>
          <t>Participer au Salon international de l'aéronautique de Paris 2011</t>
        </is>
      </c>
      <c r="H3930" s="1" t="n">
        <v>40711</v>
      </c>
      <c r="I3930" s="1" t="n">
        <v>40720</v>
      </c>
      <c r="J3930" t="inlineStr">
        <is>
          <t>Paris, France</t>
        </is>
      </c>
      <c r="K3930" t="inlineStr">
        <is>
          <t>Paris (France)</t>
        </is>
      </c>
      <c r="P3930" t="n">
        <v>6724.36</v>
      </c>
      <c r="Q3930" t="n">
        <v>40</v>
      </c>
      <c r="R3930" t="n">
        <v>1646.06</v>
      </c>
      <c r="S3930" t="n">
        <v>844.78</v>
      </c>
      <c r="T3930" t="n">
        <v>0</v>
      </c>
      <c r="U3930" t="n">
        <v>9255.200000000001</v>
      </c>
      <c r="X3930" t="inlineStr">
        <is>
          <t>acoa-apeca</t>
        </is>
      </c>
      <c r="Y3930" t="inlineStr">
        <is>
          <t>Atlantic Canada Opportunities Agency | Agence de promotion économique du Canada atlantique</t>
        </is>
      </c>
    </row>
    <row r="3931">
      <c r="A3931" t="inlineStr">
        <is>
          <t>T-2012-Q2-00014</t>
        </is>
      </c>
      <c r="B3931" t="inlineStr">
        <is>
          <t>MPSES</t>
        </is>
      </c>
      <c r="C3931" t="inlineStr">
        <is>
          <t>Minister of State</t>
        </is>
      </c>
      <c r="D3931" t="inlineStr">
        <is>
          <t>Ministre d'État</t>
        </is>
      </c>
      <c r="E3931" t="inlineStr">
        <is>
          <t>Bernard Valcourt</t>
        </is>
      </c>
      <c r="F3931" t="inlineStr">
        <is>
          <t>Travel to speak at the Conférence ministérielle sur la francophonie canadienne</t>
        </is>
      </c>
      <c r="G3931" t="inlineStr">
        <is>
          <t>Prendre la parole à la Conférence ministérielle sur la francophonie canadienne</t>
        </is>
      </c>
      <c r="H3931" s="1" t="n">
        <v>40710</v>
      </c>
      <c r="I3931" s="1" t="n">
        <v>40711</v>
      </c>
      <c r="J3931" t="inlineStr">
        <is>
          <t>Moncton, New Brunswick</t>
        </is>
      </c>
      <c r="K3931" t="inlineStr">
        <is>
          <t>Moncton (Nouveau-Brunswick)</t>
        </is>
      </c>
      <c r="P3931" t="n">
        <v>0</v>
      </c>
      <c r="Q3931" t="n">
        <v>215.94</v>
      </c>
      <c r="R3931" t="n">
        <v>0</v>
      </c>
      <c r="S3931" t="n">
        <v>0</v>
      </c>
      <c r="T3931" t="n">
        <v>0</v>
      </c>
      <c r="U3931" t="n">
        <v>215.94</v>
      </c>
      <c r="X3931" t="inlineStr">
        <is>
          <t>acoa-apeca</t>
        </is>
      </c>
      <c r="Y3931" t="inlineStr">
        <is>
          <t>Atlantic Canada Opportunities Agency | Agence de promotion économique du Canada atlantique</t>
        </is>
      </c>
    </row>
    <row r="3932">
      <c r="A3932" t="inlineStr">
        <is>
          <t>T-2012-Q2-00010</t>
        </is>
      </c>
      <c r="B3932" t="inlineStr">
        <is>
          <t>SLE</t>
        </is>
      </c>
      <c r="C3932" t="inlineStr">
        <is>
          <t>Vice-President, Prince Edward Island</t>
        </is>
      </c>
      <c r="D3932" t="inlineStr">
        <is>
          <t>Vice-président, Île-du-Prince-Édouard</t>
        </is>
      </c>
      <c r="E3932" t="inlineStr">
        <is>
          <t>Patrick Dorsey</t>
        </is>
      </c>
      <c r="F3932" t="inlineStr">
        <is>
          <t>To attend Executive Committee Meeting in Moncton and Meetings in Ottawa, ON</t>
        </is>
      </c>
      <c r="G3932" t="inlineStr">
        <is>
          <t>Assister à une réunion du Comité de direction à Moncton et à des réunions à Ottawa (Ontario)</t>
        </is>
      </c>
      <c r="H3932" s="1" t="n">
        <v>40708</v>
      </c>
      <c r="I3932" s="1" t="n">
        <v>40710</v>
      </c>
      <c r="J3932" t="inlineStr">
        <is>
          <t>Ottawa, Ontario</t>
        </is>
      </c>
      <c r="K3932" t="inlineStr">
        <is>
          <t>Ottawa (Ontario)</t>
        </is>
      </c>
      <c r="P3932" t="n">
        <v>700.39</v>
      </c>
      <c r="Q3932" t="n">
        <v>249.54</v>
      </c>
      <c r="R3932" t="n">
        <v>319.79</v>
      </c>
      <c r="S3932" t="n">
        <v>215.7</v>
      </c>
      <c r="T3932" t="n">
        <v>0</v>
      </c>
      <c r="U3932" t="n">
        <v>1485.42</v>
      </c>
      <c r="X3932" t="inlineStr">
        <is>
          <t>acoa-apeca</t>
        </is>
      </c>
      <c r="Y3932" t="inlineStr">
        <is>
          <t>Atlantic Canada Opportunities Agency | Agence de promotion économique du Canada atlantique</t>
        </is>
      </c>
    </row>
    <row r="3933">
      <c r="A3933" t="inlineStr">
        <is>
          <t>T-2012-Q2-00009</t>
        </is>
      </c>
      <c r="B3933" t="inlineStr">
        <is>
          <t>SLE</t>
        </is>
      </c>
      <c r="C3933" t="inlineStr">
        <is>
          <t>Vice-President, Newfoundland and Labrador</t>
        </is>
      </c>
      <c r="D3933" t="inlineStr">
        <is>
          <t>Vice-président, Terre-Neuve-et-Labrador</t>
        </is>
      </c>
      <c r="E3933" t="inlineStr">
        <is>
          <t>Paul Mills</t>
        </is>
      </c>
      <c r="F3933" t="inlineStr">
        <is>
          <t>Meeting to Brief the Minister in Ottawa and EXCOM in Moncton</t>
        </is>
      </c>
      <c r="G3933" t="inlineStr">
        <is>
          <t>Réunion pour informer le ministre à Ottawa et réunion du Comité de direction à Moncton</t>
        </is>
      </c>
      <c r="H3933" s="1" t="n">
        <v>40707</v>
      </c>
      <c r="I3933" s="1" t="n">
        <v>40711</v>
      </c>
      <c r="J3933" t="inlineStr">
        <is>
          <t>Ottawa, ON</t>
        </is>
      </c>
      <c r="K3933" t="inlineStr">
        <is>
          <t>Ottawa (Ontario)</t>
        </is>
      </c>
      <c r="P3933" t="n">
        <v>1993.89</v>
      </c>
      <c r="Q3933" t="n">
        <v>265.29</v>
      </c>
      <c r="R3933" t="n">
        <v>669.35</v>
      </c>
      <c r="S3933" t="n">
        <v>348.55</v>
      </c>
      <c r="T3933" t="n">
        <v>157.47</v>
      </c>
      <c r="U3933" t="n">
        <v>3434.55</v>
      </c>
      <c r="X3933" t="inlineStr">
        <is>
          <t>acoa-apeca</t>
        </is>
      </c>
      <c r="Y3933" t="inlineStr">
        <is>
          <t>Atlantic Canada Opportunities Agency | Agence de promotion économique du Canada atlantique</t>
        </is>
      </c>
    </row>
    <row r="3934">
      <c r="A3934" t="inlineStr">
        <is>
          <t>T-2012-Q2-00008</t>
        </is>
      </c>
      <c r="B3934" t="inlineStr">
        <is>
          <t>SLE</t>
        </is>
      </c>
      <c r="C3934" t="inlineStr">
        <is>
          <t>President</t>
        </is>
      </c>
      <c r="D3934" t="inlineStr">
        <is>
          <t>Président</t>
        </is>
      </c>
      <c r="E3934" t="inlineStr">
        <is>
          <t>Paul J. LeBlanc</t>
        </is>
      </c>
      <c r="F3934" t="inlineStr">
        <is>
          <t>For various meetings and discussions with: Agency officials; and with Government of Canada officials</t>
        </is>
      </c>
      <c r="G3934" t="inlineStr">
        <is>
          <t>Diverses réunions et discussions avec des fonctionnaires de l'Agence et du gouvernement du Canada</t>
        </is>
      </c>
      <c r="H3934" s="1" t="n">
        <v>40707</v>
      </c>
      <c r="I3934" s="1" t="n">
        <v>40709</v>
      </c>
      <c r="J3934" t="inlineStr">
        <is>
          <t>Ottawa, Ontario</t>
        </is>
      </c>
      <c r="K3934" t="inlineStr">
        <is>
          <t>Ottawa (Ontario)</t>
        </is>
      </c>
      <c r="P3934" t="n">
        <v>741.24</v>
      </c>
      <c r="Q3934" t="n">
        <v>48.13</v>
      </c>
      <c r="R3934" t="n">
        <v>348.04</v>
      </c>
      <c r="S3934" t="n">
        <v>214.8</v>
      </c>
      <c r="T3934" t="n">
        <v>158</v>
      </c>
      <c r="U3934" t="n">
        <v>1510.21</v>
      </c>
      <c r="X3934" t="inlineStr">
        <is>
          <t>acoa-apeca</t>
        </is>
      </c>
      <c r="Y3934" t="inlineStr">
        <is>
          <t>Atlantic Canada Opportunities Agency | Agence de promotion économique du Canada atlantique</t>
        </is>
      </c>
    </row>
    <row r="3935">
      <c r="A3935" t="inlineStr">
        <is>
          <t>T-2012-Q1-00054</t>
        </is>
      </c>
      <c r="B3935" t="inlineStr">
        <is>
          <t>SLE</t>
        </is>
      </c>
      <c r="C3935" t="inlineStr">
        <is>
          <t>Vice President, Nova Scotia</t>
        </is>
      </c>
      <c r="D3935" t="inlineStr">
        <is>
          <t>Vice-président, Nouvelle-Écosse</t>
        </is>
      </c>
      <c r="E3935" t="inlineStr">
        <is>
          <t>Peter Hogan</t>
        </is>
      </c>
      <c r="F3935" t="inlineStr">
        <is>
          <t>Halifax Gateway Council Event</t>
        </is>
      </c>
      <c r="G3935" t="inlineStr">
        <is>
          <t>Activité du Halifax Gateway Council</t>
        </is>
      </c>
      <c r="H3935" s="1" t="n">
        <v>40673</v>
      </c>
      <c r="I3935" s="1" t="n">
        <v>40674</v>
      </c>
      <c r="J3935" t="inlineStr">
        <is>
          <t>Toronto, Ontario</t>
        </is>
      </c>
      <c r="K3935" t="inlineStr">
        <is>
          <t>Toronto (Ontario)</t>
        </is>
      </c>
      <c r="P3935" t="n">
        <v>712.62</v>
      </c>
      <c r="Q3935" t="n">
        <v>76.8</v>
      </c>
      <c r="R3935" t="n">
        <v>171.76</v>
      </c>
      <c r="S3935" t="n">
        <v>89.5</v>
      </c>
      <c r="T3935" t="n">
        <v>0</v>
      </c>
      <c r="U3935" t="n">
        <v>1050.68</v>
      </c>
      <c r="X3935" t="inlineStr">
        <is>
          <t>acoa-apeca</t>
        </is>
      </c>
      <c r="Y3935" t="inlineStr">
        <is>
          <t>Atlantic Canada Opportunities Agency | Agence de promotion économique du Canada atlantique</t>
        </is>
      </c>
    </row>
    <row r="3936">
      <c r="A3936" t="inlineStr">
        <is>
          <t>T-2012-Q2-00006</t>
        </is>
      </c>
      <c r="B3936" t="inlineStr">
        <is>
          <t>SLE</t>
        </is>
      </c>
      <c r="C3936" t="inlineStr">
        <is>
          <t>Vice-President, Prince Edward Island</t>
        </is>
      </c>
      <c r="D3936" t="inlineStr">
        <is>
          <t>Vice-président, Île-du-Prince-Édouard</t>
        </is>
      </c>
      <c r="E3936" t="inlineStr">
        <is>
          <t>Patrick Dorsey</t>
        </is>
      </c>
      <c r="F3936" t="inlineStr">
        <is>
          <t>Meeting to attend an ACOA Board Meeting in St. John's, Newfoundland</t>
        </is>
      </c>
      <c r="G3936" t="inlineStr">
        <is>
          <t>Assister à une réunion du Conseil de promotion économique du Canada atlantique à St. John's (Terre-Neuve-et-Labrador)</t>
        </is>
      </c>
      <c r="H3936" s="1" t="n">
        <v>40700</v>
      </c>
      <c r="I3936" s="1" t="n">
        <v>40701</v>
      </c>
      <c r="J3936" t="inlineStr">
        <is>
          <t>St. John's, Newfoundland and Labrador</t>
        </is>
      </c>
      <c r="K3936" t="inlineStr">
        <is>
          <t>St. John's (Terre-Neuve-et-Labrador)</t>
        </is>
      </c>
      <c r="P3936" t="n">
        <v>1203.03</v>
      </c>
      <c r="Q3936" t="n">
        <v>35</v>
      </c>
      <c r="R3936" t="n">
        <v>199.52</v>
      </c>
      <c r="S3936" t="n">
        <v>128.35</v>
      </c>
      <c r="T3936" t="n">
        <v>0</v>
      </c>
      <c r="U3936" t="n">
        <v>1565.9</v>
      </c>
      <c r="X3936" t="inlineStr">
        <is>
          <t>acoa-apeca</t>
        </is>
      </c>
      <c r="Y3936" t="inlineStr">
        <is>
          <t>Atlantic Canada Opportunities Agency | Agence de promotion économique du Canada atlantique</t>
        </is>
      </c>
    </row>
    <row r="3937">
      <c r="A3937" t="inlineStr">
        <is>
          <t>T-2012-Q2-00005</t>
        </is>
      </c>
      <c r="B3937" t="inlineStr">
        <is>
          <t>SLE</t>
        </is>
      </c>
      <c r="C3937" t="inlineStr">
        <is>
          <t>Vice President, Nova Scotia</t>
        </is>
      </c>
      <c r="D3937" t="inlineStr">
        <is>
          <t>Vice-président, Nouvelle-Écosse</t>
        </is>
      </c>
      <c r="E3937" t="inlineStr">
        <is>
          <t>Peter Hogan</t>
        </is>
      </c>
      <c r="F3937" t="inlineStr">
        <is>
          <t>Atlantic Canada Opportunities Board meeting</t>
        </is>
      </c>
      <c r="G3937" t="inlineStr">
        <is>
          <t>Réunion du Conseil de promotion économique du Canada atlantique</t>
        </is>
      </c>
      <c r="H3937" s="1" t="n">
        <v>40700</v>
      </c>
      <c r="I3937" s="1" t="n">
        <v>40702</v>
      </c>
      <c r="J3937" t="inlineStr">
        <is>
          <t>St. John's, NL</t>
        </is>
      </c>
      <c r="K3937" t="inlineStr">
        <is>
          <t>St.John's (Terre-Neuve-et-Labrador)</t>
        </is>
      </c>
      <c r="P3937" t="n">
        <v>1184.75</v>
      </c>
      <c r="Q3937" t="n">
        <v>129.05</v>
      </c>
      <c r="R3937" t="n">
        <v>394.98</v>
      </c>
      <c r="S3937" t="n">
        <v>215.7</v>
      </c>
      <c r="T3937" t="n">
        <v>59</v>
      </c>
      <c r="U3937" t="n">
        <v>1983.48</v>
      </c>
      <c r="X3937" t="inlineStr">
        <is>
          <t>acoa-apeca</t>
        </is>
      </c>
      <c r="Y3937" t="inlineStr">
        <is>
          <t>Atlantic Canada Opportunities Agency | Agence de promotion économique du Canada atlantique</t>
        </is>
      </c>
    </row>
    <row r="3938">
      <c r="A3938" t="inlineStr">
        <is>
          <t>T-2012-Q2-00004</t>
        </is>
      </c>
      <c r="B3938" t="inlineStr">
        <is>
          <t>SLE</t>
        </is>
      </c>
      <c r="C3938" t="inlineStr">
        <is>
          <t>Vice-President, Finance and Corporate Services</t>
        </is>
      </c>
      <c r="D3938" t="inlineStr">
        <is>
          <t>Vice-présidente, Finances et Services corporatifs</t>
        </is>
      </c>
      <c r="E3938" t="inlineStr">
        <is>
          <t>Denise Frenette</t>
        </is>
      </c>
      <c r="F3938" t="inlineStr">
        <is>
          <t>Participation in APEX Symposium</t>
        </is>
      </c>
      <c r="G3938" t="inlineStr">
        <is>
          <t>Participation au symposium de l'APEX</t>
        </is>
      </c>
      <c r="H3938" s="1" t="n">
        <v>40700</v>
      </c>
      <c r="I3938" s="1" t="n">
        <v>40702</v>
      </c>
      <c r="J3938" t="inlineStr">
        <is>
          <t>Ottawa, Ontario</t>
        </is>
      </c>
      <c r="K3938" t="inlineStr">
        <is>
          <t>Ottawa (Ontario)</t>
        </is>
      </c>
      <c r="P3938" t="n">
        <v>1075.6</v>
      </c>
      <c r="Q3938" t="n">
        <v>102.08</v>
      </c>
      <c r="R3938" t="n">
        <v>348.04</v>
      </c>
      <c r="S3938" t="n">
        <v>131.6</v>
      </c>
      <c r="T3938" t="n">
        <v>45</v>
      </c>
      <c r="U3938" t="n">
        <v>1702.32</v>
      </c>
      <c r="X3938" t="inlineStr">
        <is>
          <t>acoa-apeca</t>
        </is>
      </c>
      <c r="Y3938" t="inlineStr">
        <is>
          <t>Atlantic Canada Opportunities Agency | Agence de promotion économique du Canada atlantique</t>
        </is>
      </c>
    </row>
    <row r="3939">
      <c r="A3939" t="inlineStr">
        <is>
          <t>T-2012-Q2-00003</t>
        </is>
      </c>
      <c r="B3939" t="inlineStr">
        <is>
          <t>SLE</t>
        </is>
      </c>
      <c r="C3939" t="inlineStr">
        <is>
          <t>Vice-President, New Brunswick</t>
        </is>
      </c>
      <c r="D3939" t="inlineStr">
        <is>
          <t>Vice-présidente, Nouveau-Brunswick</t>
        </is>
      </c>
      <c r="E3939" t="inlineStr">
        <is>
          <t>Janet Gagnon</t>
        </is>
      </c>
      <c r="F3939" t="inlineStr">
        <is>
          <t>ACOA Board Meeting</t>
        </is>
      </c>
      <c r="G3939" t="inlineStr">
        <is>
          <t>Réunion du Conseil de promotion économique du Canada atlantique</t>
        </is>
      </c>
      <c r="H3939" s="1" t="n">
        <v>40700</v>
      </c>
      <c r="I3939" s="1" t="n">
        <v>40702</v>
      </c>
      <c r="J3939" t="inlineStr">
        <is>
          <t>St. John's, Newfoundland</t>
        </is>
      </c>
      <c r="K3939" t="inlineStr">
        <is>
          <t>St. John's (Terre-Neuve-et-Labrador)</t>
        </is>
      </c>
      <c r="P3939" t="n">
        <v>1293.99</v>
      </c>
      <c r="Q3939" t="n">
        <v>18</v>
      </c>
      <c r="R3939" t="n">
        <v>396.72</v>
      </c>
      <c r="S3939" t="n">
        <v>175.85</v>
      </c>
      <c r="T3939" t="n">
        <v>22</v>
      </c>
      <c r="U3939" t="n">
        <v>1906.56</v>
      </c>
      <c r="X3939" t="inlineStr">
        <is>
          <t>acoa-apeca</t>
        </is>
      </c>
      <c r="Y3939" t="inlineStr">
        <is>
          <t>Atlantic Canada Opportunities Agency | Agence de promotion économique du Canada atlantique</t>
        </is>
      </c>
    </row>
    <row r="3940">
      <c r="A3940" t="inlineStr">
        <is>
          <t>T-2012-Q2-00002</t>
        </is>
      </c>
      <c r="B3940" t="inlineStr">
        <is>
          <t>SLE</t>
        </is>
      </c>
      <c r="C3940" t="inlineStr">
        <is>
          <t>President</t>
        </is>
      </c>
      <c r="D3940" t="inlineStr">
        <is>
          <t>Président</t>
        </is>
      </c>
      <c r="E3940" t="inlineStr">
        <is>
          <t>Paul J. LeBlanc</t>
        </is>
      </c>
      <c r="F3940" t="inlineStr">
        <is>
          <t>For various meetings and discussions with: Agency officials; with Government of Canada officials</t>
        </is>
      </c>
      <c r="G3940" t="inlineStr">
        <is>
          <t>Diverses réunions et discussions avec des fonctionnaires de l'Agence et du gouvernement du Canada</t>
        </is>
      </c>
      <c r="H3940" s="1" t="n">
        <v>40700</v>
      </c>
      <c r="I3940" s="1" t="n">
        <v>40704</v>
      </c>
      <c r="J3940" t="inlineStr">
        <is>
          <t>St. John's, Newfoundland and Labrador / Ottawa, Ontario</t>
        </is>
      </c>
      <c r="K3940" t="inlineStr">
        <is>
          <t>St. John's (Terre-Neuve-et-Labrador)/Ottawa (Ontario)</t>
        </is>
      </c>
      <c r="P3940" t="n">
        <v>1334.78</v>
      </c>
      <c r="Q3940" t="n">
        <v>0</v>
      </c>
      <c r="R3940" t="n">
        <v>787.7</v>
      </c>
      <c r="S3940" t="n">
        <v>304.3</v>
      </c>
      <c r="T3940" t="n">
        <v>169.5</v>
      </c>
      <c r="U3940" t="n">
        <v>2596.28</v>
      </c>
      <c r="X3940" t="inlineStr">
        <is>
          <t>acoa-apeca</t>
        </is>
      </c>
      <c r="Y3940" t="inlineStr">
        <is>
          <t>Atlantic Canada Opportunities Agency | Agence de promotion économique du Canada atlantique</t>
        </is>
      </c>
    </row>
    <row r="3941">
      <c r="A3941" t="inlineStr">
        <is>
          <t>T-2012-Q1-00045</t>
        </is>
      </c>
      <c r="B3941" t="inlineStr">
        <is>
          <t>SLE</t>
        </is>
      </c>
      <c r="C3941" t="inlineStr">
        <is>
          <t>President</t>
        </is>
      </c>
      <c r="D3941" t="inlineStr">
        <is>
          <t>Président</t>
        </is>
      </c>
      <c r="E3941" t="inlineStr">
        <is>
          <t>Paul J. LeBlanc</t>
        </is>
      </c>
      <c r="F3941" t="inlineStr">
        <is>
          <t>For a meeting with Agency official</t>
        </is>
      </c>
      <c r="G3941" t="inlineStr">
        <is>
          <t>Réunon avec un fonctionnaire de l'Agence</t>
        </is>
      </c>
      <c r="H3941" s="1" t="n">
        <v>40661</v>
      </c>
      <c r="I3941" s="1" t="n">
        <v>40661</v>
      </c>
      <c r="J3941" t="inlineStr">
        <is>
          <t>Charlottetown, Prince Edward Island</t>
        </is>
      </c>
      <c r="K3941" t="inlineStr">
        <is>
          <t>Charlottetown (Île-du-Prince-Édouard)</t>
        </is>
      </c>
      <c r="P3941" t="n">
        <v>0</v>
      </c>
      <c r="Q3941" t="n">
        <v>0</v>
      </c>
      <c r="R3941" t="n">
        <v>0</v>
      </c>
      <c r="S3941" t="n">
        <v>0</v>
      </c>
      <c r="T3941" t="n">
        <v>46.25</v>
      </c>
      <c r="U3941" t="n">
        <v>46.25</v>
      </c>
      <c r="X3941" t="inlineStr">
        <is>
          <t>acoa-apeca</t>
        </is>
      </c>
      <c r="Y3941" t="inlineStr">
        <is>
          <t>Atlantic Canada Opportunities Agency | Agence de promotion économique du Canada atlantique</t>
        </is>
      </c>
    </row>
    <row r="3942">
      <c r="A3942" t="inlineStr">
        <is>
          <t>T-2012-Q1-00070</t>
        </is>
      </c>
      <c r="B3942" t="inlineStr">
        <is>
          <t>SLE</t>
        </is>
      </c>
      <c r="C3942" t="inlineStr">
        <is>
          <t>Vice-President, Finance and Corporate Services</t>
        </is>
      </c>
      <c r="D3942" t="inlineStr">
        <is>
          <t>Vice-présidente, Finances et Services corporatifs</t>
        </is>
      </c>
      <c r="E3942" t="inlineStr">
        <is>
          <t>Denise Frenette</t>
        </is>
      </c>
      <c r="F3942" t="inlineStr">
        <is>
          <t xml:space="preserve">Meetings with Government of Canada Officials and Agency Officials </t>
        </is>
      </c>
      <c r="G3942" t="inlineStr">
        <is>
          <t xml:space="preserve">Réunions avec des fonctionnaires du gouvernement du Canada et de l'Agence </t>
        </is>
      </c>
      <c r="H3942" s="1" t="n">
        <v>40693</v>
      </c>
      <c r="I3942" s="1" t="n">
        <v>40695</v>
      </c>
      <c r="J3942" t="inlineStr">
        <is>
          <t>Ottawa, Ontario</t>
        </is>
      </c>
      <c r="K3942" t="inlineStr">
        <is>
          <t>Ottawa (Ontario)</t>
        </is>
      </c>
      <c r="P3942" t="n">
        <v>1075.6</v>
      </c>
      <c r="Q3942" t="n">
        <v>0</v>
      </c>
      <c r="R3942" t="n">
        <v>348.04</v>
      </c>
      <c r="S3942" t="n">
        <v>160.8</v>
      </c>
      <c r="T3942" t="n">
        <v>0</v>
      </c>
      <c r="U3942" t="n">
        <v>1584.44</v>
      </c>
      <c r="X3942" t="inlineStr">
        <is>
          <t>acoa-apeca</t>
        </is>
      </c>
      <c r="Y3942" t="inlineStr">
        <is>
          <t>Atlantic Canada Opportunities Agency | Agence de promotion économique du Canada atlantique</t>
        </is>
      </c>
    </row>
    <row r="3943">
      <c r="A3943" t="inlineStr">
        <is>
          <t>T-2012-Q1-00069</t>
        </is>
      </c>
      <c r="B3943" t="inlineStr">
        <is>
          <t>SLE</t>
        </is>
      </c>
      <c r="C3943" t="inlineStr">
        <is>
          <t>President</t>
        </is>
      </c>
      <c r="D3943" t="inlineStr">
        <is>
          <t>Président</t>
        </is>
      </c>
      <c r="E3943" t="inlineStr">
        <is>
          <t>Paul J. LeBlanc</t>
        </is>
      </c>
      <c r="F3943" t="inlineStr">
        <is>
          <t>For various meetings and discussions with Agency officials; and with Government of Canada officials</t>
        </is>
      </c>
      <c r="G3943" t="inlineStr">
        <is>
          <t>Diverses réunions et discussions avec des fonctionnaires de l'Agence et du gouvernement du Canada</t>
        </is>
      </c>
      <c r="H3943" s="1" t="n">
        <v>40693</v>
      </c>
      <c r="I3943" s="1" t="n">
        <v>40697</v>
      </c>
      <c r="J3943" t="inlineStr">
        <is>
          <t>Ottawa, Ontario</t>
        </is>
      </c>
      <c r="K3943" t="inlineStr">
        <is>
          <t>Ottawa (Ontario)</t>
        </is>
      </c>
      <c r="P3943" t="n">
        <v>727.36</v>
      </c>
      <c r="Q3943" t="n">
        <v>13.13</v>
      </c>
      <c r="R3943" t="n">
        <v>696.08</v>
      </c>
      <c r="S3943" t="n">
        <v>333.5</v>
      </c>
      <c r="T3943" t="n">
        <v>63</v>
      </c>
      <c r="U3943" t="n">
        <v>1833.07</v>
      </c>
      <c r="X3943" t="inlineStr">
        <is>
          <t>acoa-apeca</t>
        </is>
      </c>
      <c r="Y3943" t="inlineStr">
        <is>
          <t>Atlantic Canada Opportunities Agency | Agence de promotion économique du Canada atlantique</t>
        </is>
      </c>
    </row>
    <row r="3944">
      <c r="A3944" t="inlineStr">
        <is>
          <t>T-2012-Q1-00068</t>
        </is>
      </c>
      <c r="B3944" t="inlineStr">
        <is>
          <t>SLE</t>
        </is>
      </c>
      <c r="C3944" t="inlineStr">
        <is>
          <t>Vice-President, New Brunswick</t>
        </is>
      </c>
      <c r="D3944" t="inlineStr">
        <is>
          <t>Vice-présidente, Nouveau-Brunswick</t>
        </is>
      </c>
      <c r="E3944" t="inlineStr">
        <is>
          <t>Janet Gagnon</t>
        </is>
      </c>
      <c r="F3944" t="inlineStr">
        <is>
          <t>Executive Committee Meeting &amp; Meeting with new Minister</t>
        </is>
      </c>
      <c r="G3944" t="inlineStr">
        <is>
          <t>Réunion du Comité de direction et réunion avec le nouveau ministre</t>
        </is>
      </c>
      <c r="H3944" s="1" t="n">
        <v>40693</v>
      </c>
      <c r="I3944" s="1" t="n">
        <v>40695</v>
      </c>
      <c r="J3944" t="inlineStr">
        <is>
          <t>Ottawa, Ontario</t>
        </is>
      </c>
      <c r="K3944" t="inlineStr">
        <is>
          <t>Ottawa (Ontario)</t>
        </is>
      </c>
      <c r="P3944" t="n">
        <v>1442.92</v>
      </c>
      <c r="Q3944" t="n">
        <v>83</v>
      </c>
      <c r="R3944" t="n">
        <v>348.04</v>
      </c>
      <c r="S3944" t="n">
        <v>229.85</v>
      </c>
      <c r="T3944" t="n">
        <v>30</v>
      </c>
      <c r="U3944" t="n">
        <v>2133.81</v>
      </c>
      <c r="X3944" t="inlineStr">
        <is>
          <t>acoa-apeca</t>
        </is>
      </c>
      <c r="Y3944" t="inlineStr">
        <is>
          <t>Atlantic Canada Opportunities Agency | Agence de promotion économique du Canada atlantique</t>
        </is>
      </c>
    </row>
    <row r="3945">
      <c r="A3945" t="inlineStr">
        <is>
          <t>T-2012-Q1-00066</t>
        </is>
      </c>
      <c r="B3945" t="inlineStr">
        <is>
          <t>SLE</t>
        </is>
      </c>
      <c r="C3945" t="inlineStr">
        <is>
          <t>Vice-President, Newfoundland and Labrador</t>
        </is>
      </c>
      <c r="D3945" t="inlineStr">
        <is>
          <t>Vice-président, Terre-Neuve-et-Labrador</t>
        </is>
      </c>
      <c r="E3945" t="inlineStr">
        <is>
          <t>Paul Mills</t>
        </is>
      </c>
      <c r="F3945" t="inlineStr">
        <is>
          <t>To Attend EXCOM Meeting with Minister</t>
        </is>
      </c>
      <c r="G3945" t="inlineStr">
        <is>
          <t>Réunion du Comité de direction avec le ministre</t>
        </is>
      </c>
      <c r="H3945" s="1" t="n">
        <v>40693</v>
      </c>
      <c r="I3945" s="1" t="n">
        <v>40695</v>
      </c>
      <c r="J3945" t="inlineStr">
        <is>
          <t>Ottawa, Ontario</t>
        </is>
      </c>
      <c r="K3945" t="inlineStr">
        <is>
          <t>Ottawa (Ontario)</t>
        </is>
      </c>
      <c r="P3945" t="n">
        <v>1329.26</v>
      </c>
      <c r="Q3945" t="n">
        <v>151</v>
      </c>
      <c r="R3945" t="n">
        <v>355.16</v>
      </c>
      <c r="S3945" t="n">
        <v>190</v>
      </c>
      <c r="T3945" t="n">
        <v>9.73</v>
      </c>
      <c r="U3945" t="n">
        <v>2035.15</v>
      </c>
      <c r="X3945" t="inlineStr">
        <is>
          <t>acoa-apeca</t>
        </is>
      </c>
      <c r="Y3945" t="inlineStr">
        <is>
          <t>Atlantic Canada Opportunities Agency | Agence de promotion économique du Canada atlantique</t>
        </is>
      </c>
    </row>
    <row r="3946">
      <c r="A3946" t="inlineStr">
        <is>
          <t>T-2012-Q1-00064</t>
        </is>
      </c>
      <c r="B3946" t="inlineStr">
        <is>
          <t>SLE</t>
        </is>
      </c>
      <c r="C3946" t="inlineStr">
        <is>
          <t>Vice President, Nova Scotia</t>
        </is>
      </c>
      <c r="D3946" t="inlineStr">
        <is>
          <t>Vice-président, Nouvelle-Écosse</t>
        </is>
      </c>
      <c r="E3946" t="inlineStr">
        <is>
          <t>Peter Hogan</t>
        </is>
      </c>
      <c r="F3946" t="inlineStr">
        <is>
          <t>NS Day in Ottawa and Executive Committee Meeting</t>
        </is>
      </c>
      <c r="G3946" t="inlineStr">
        <is>
          <t>Journée de la Nouvelle-Écosse à Ottawa et réunion du Comité de direction</t>
        </is>
      </c>
      <c r="H3946" s="1" t="n">
        <v>40692</v>
      </c>
      <c r="I3946" s="1" t="n">
        <v>40694</v>
      </c>
      <c r="J3946" t="inlineStr">
        <is>
          <t>Ottawa, Ontatio</t>
        </is>
      </c>
      <c r="K3946" t="inlineStr">
        <is>
          <t>Ottawa (Ontario)</t>
        </is>
      </c>
      <c r="P3946" t="n">
        <v>1362.19</v>
      </c>
      <c r="Q3946" t="n">
        <v>224.8</v>
      </c>
      <c r="R3946" t="n">
        <v>348.04</v>
      </c>
      <c r="S3946" t="n">
        <v>186.5</v>
      </c>
      <c r="T3946" t="n">
        <v>0</v>
      </c>
      <c r="U3946" t="n">
        <v>2121.53</v>
      </c>
      <c r="X3946" t="inlineStr">
        <is>
          <t>acoa-apeca</t>
        </is>
      </c>
      <c r="Y3946" t="inlineStr">
        <is>
          <t>Atlantic Canada Opportunities Agency | Agence de promotion économique du Canada atlantique</t>
        </is>
      </c>
    </row>
    <row r="3947">
      <c r="A3947" t="inlineStr">
        <is>
          <t>T-2012-Q1-00063</t>
        </is>
      </c>
      <c r="B3947" t="inlineStr">
        <is>
          <t>SLE</t>
        </is>
      </c>
      <c r="C3947" t="inlineStr">
        <is>
          <t>Vice-President, New Brunswick</t>
        </is>
      </c>
      <c r="D3947" t="inlineStr">
        <is>
          <t>Vice-présidente, Nouveau-Brunswick</t>
        </is>
      </c>
      <c r="E3947" t="inlineStr">
        <is>
          <t>Janet Gagnon</t>
        </is>
      </c>
      <c r="F3947" t="inlineStr">
        <is>
          <t>Meeting-Labour Management Consultation Committee (LMCC)</t>
        </is>
      </c>
      <c r="G3947" t="inlineStr">
        <is>
          <t>Réunion du Comité de consultation patronale-syndicale</t>
        </is>
      </c>
      <c r="H3947" s="1" t="n">
        <v>40690</v>
      </c>
      <c r="I3947" s="1" t="n">
        <v>40690</v>
      </c>
      <c r="J3947" t="inlineStr">
        <is>
          <t>Moncton, New Brunswick</t>
        </is>
      </c>
      <c r="K3947" t="inlineStr">
        <is>
          <t>Moncton (Nouveau-Brunswick)</t>
        </is>
      </c>
      <c r="P3947" t="n">
        <v>0</v>
      </c>
      <c r="Q3947" t="n">
        <v>0</v>
      </c>
      <c r="R3947" t="n">
        <v>0</v>
      </c>
      <c r="S3947" t="n">
        <v>69.05</v>
      </c>
      <c r="T3947" t="n">
        <v>16</v>
      </c>
      <c r="U3947" t="n">
        <v>85.05</v>
      </c>
      <c r="X3947" t="inlineStr">
        <is>
          <t>acoa-apeca</t>
        </is>
      </c>
      <c r="Y3947" t="inlineStr">
        <is>
          <t>Atlantic Canada Opportunities Agency | Agence de promotion économique du Canada atlantique</t>
        </is>
      </c>
    </row>
    <row r="3948">
      <c r="A3948" t="inlineStr">
        <is>
          <t>T-2012-Q1-00061</t>
        </is>
      </c>
      <c r="B3948" t="inlineStr">
        <is>
          <t>SLE</t>
        </is>
      </c>
      <c r="C3948" t="inlineStr">
        <is>
          <t>President</t>
        </is>
      </c>
      <c r="D3948" t="inlineStr">
        <is>
          <t>Président</t>
        </is>
      </c>
      <c r="E3948" t="inlineStr">
        <is>
          <t>Paul J. LeBlanc</t>
        </is>
      </c>
      <c r="F3948" t="inlineStr">
        <is>
          <t>for various meetings and discussions with: Agency officials; Government of Canada officials</t>
        </is>
      </c>
      <c r="G3948" t="inlineStr">
        <is>
          <t>Diverses réunions et discussions avec des fonctionnaires de l'Agence et du gouvernement du Canada</t>
        </is>
      </c>
      <c r="H3948" s="1" t="n">
        <v>40687</v>
      </c>
      <c r="I3948" s="1" t="n">
        <v>40689</v>
      </c>
      <c r="J3948" t="inlineStr">
        <is>
          <t>Ottawa, Ontario</t>
        </is>
      </c>
      <c r="K3948" t="inlineStr">
        <is>
          <t>Ottawa (Ontario)</t>
        </is>
      </c>
      <c r="P3948" t="n">
        <v>727.36</v>
      </c>
      <c r="Q3948" t="n">
        <v>0</v>
      </c>
      <c r="R3948" t="n">
        <v>348.04</v>
      </c>
      <c r="S3948" t="n">
        <v>174.95</v>
      </c>
      <c r="T3948" t="n">
        <v>0</v>
      </c>
      <c r="U3948" t="n">
        <v>1250.35</v>
      </c>
      <c r="X3948" t="inlineStr">
        <is>
          <t>acoa-apeca</t>
        </is>
      </c>
      <c r="Y3948" t="inlineStr">
        <is>
          <t>Atlantic Canada Opportunities Agency | Agence de promotion économique du Canada atlantique</t>
        </is>
      </c>
    </row>
    <row r="3949">
      <c r="A3949" t="inlineStr">
        <is>
          <t>T-2012-Q1-00060</t>
        </is>
      </c>
      <c r="B3949" t="inlineStr">
        <is>
          <t>SLE</t>
        </is>
      </c>
      <c r="C3949" t="inlineStr">
        <is>
          <t>Vice-President, Finance and Corporate Services</t>
        </is>
      </c>
      <c r="D3949" t="inlineStr">
        <is>
          <t>Vice-présidente, Finances et Services corporatifs</t>
        </is>
      </c>
      <c r="E3949" t="inlineStr">
        <is>
          <t>Denise Frenette</t>
        </is>
      </c>
      <c r="F3949" t="inlineStr">
        <is>
          <t xml:space="preserve">Meetings with Government of Canada Officials and Agency Officials </t>
        </is>
      </c>
      <c r="G3949" t="inlineStr">
        <is>
          <t xml:space="preserve">Réunions avec des fonctionnaires du gouvernement du Canada et de l'Agence </t>
        </is>
      </c>
      <c r="H3949" s="1" t="n">
        <v>40682</v>
      </c>
      <c r="I3949" s="1" t="n">
        <v>40683</v>
      </c>
      <c r="J3949" t="inlineStr">
        <is>
          <t>Ottawa, Ontario</t>
        </is>
      </c>
      <c r="K3949" t="inlineStr">
        <is>
          <t>Ottawa (Ontario)</t>
        </is>
      </c>
      <c r="P3949" t="n">
        <v>1075.6</v>
      </c>
      <c r="Q3949" t="n">
        <v>80.59</v>
      </c>
      <c r="R3949" t="n">
        <v>174.02</v>
      </c>
      <c r="S3949" t="n">
        <v>117.8</v>
      </c>
      <c r="T3949" t="n">
        <v>30</v>
      </c>
      <c r="U3949" t="n">
        <v>1478.01</v>
      </c>
      <c r="X3949" t="inlineStr">
        <is>
          <t>acoa-apeca</t>
        </is>
      </c>
      <c r="Y3949" t="inlineStr">
        <is>
          <t>Atlantic Canada Opportunities Agency | Agence de promotion économique du Canada atlantique</t>
        </is>
      </c>
    </row>
    <row r="3950">
      <c r="A3950" t="inlineStr">
        <is>
          <t>T-2012-Q1-00059</t>
        </is>
      </c>
      <c r="B3950" t="inlineStr">
        <is>
          <t>SLE</t>
        </is>
      </c>
      <c r="C3950" t="inlineStr">
        <is>
          <t>Vice President, Nova Scotia</t>
        </is>
      </c>
      <c r="D3950" t="inlineStr">
        <is>
          <t>Vice-président, Nouvelle-Écosse</t>
        </is>
      </c>
      <c r="E3950" t="inlineStr">
        <is>
          <t>Peter Hogan</t>
        </is>
      </c>
      <c r="F3950" t="inlineStr">
        <is>
          <t>Atlantic Gateway Federal Provincial Officials Committee</t>
        </is>
      </c>
      <c r="G3950" t="inlineStr">
        <is>
          <t xml:space="preserve">Comité des représentants fédéraux-provinciaux de la Porte de l'Atlantique </t>
        </is>
      </c>
      <c r="H3950" s="1" t="n">
        <v>40682</v>
      </c>
      <c r="I3950" s="1" t="n">
        <v>40683</v>
      </c>
      <c r="J3950" t="inlineStr">
        <is>
          <t>Moncton, New Brunswick</t>
        </is>
      </c>
      <c r="K3950" t="inlineStr">
        <is>
          <t>Moncton (Nouveau-Brunswick)</t>
        </is>
      </c>
      <c r="P3950" t="n">
        <v>0</v>
      </c>
      <c r="Q3950" t="n">
        <v>258.47</v>
      </c>
      <c r="R3950" t="n">
        <v>145.77</v>
      </c>
      <c r="S3950" t="n">
        <v>89.5</v>
      </c>
      <c r="T3950" t="n">
        <v>0</v>
      </c>
      <c r="U3950" t="n">
        <v>493.74</v>
      </c>
      <c r="X3950" t="inlineStr">
        <is>
          <t>acoa-apeca</t>
        </is>
      </c>
      <c r="Y3950" t="inlineStr">
        <is>
          <t>Atlantic Canada Opportunities Agency | Agence de promotion économique du Canada atlantique</t>
        </is>
      </c>
    </row>
    <row r="3951">
      <c r="A3951" t="inlineStr">
        <is>
          <t>T-2012-Q1-00057</t>
        </is>
      </c>
      <c r="B3951" t="inlineStr">
        <is>
          <t>MPSES</t>
        </is>
      </c>
      <c r="C3951" t="inlineStr">
        <is>
          <t>Policy Advisor</t>
        </is>
      </c>
      <c r="D3951" t="inlineStr">
        <is>
          <t>Conseillère en politique</t>
        </is>
      </c>
      <c r="E3951" t="inlineStr">
        <is>
          <t>Guylaine Le Couteur</t>
        </is>
      </c>
      <c r="F3951" t="inlineStr">
        <is>
          <t>Travel to Moncton, NB for ACOA related Meetings</t>
        </is>
      </c>
      <c r="G3951" t="inlineStr">
        <is>
          <t>Voyage à Moncton, au Nouveau-Brunswick, pour participer à des réunions de l'APECA</t>
        </is>
      </c>
      <c r="H3951" s="1" t="n">
        <v>40678</v>
      </c>
      <c r="I3951" s="1" t="n">
        <v>40680</v>
      </c>
      <c r="J3951" t="inlineStr">
        <is>
          <t>Moncton, New Burnswick</t>
        </is>
      </c>
      <c r="K3951" t="inlineStr">
        <is>
          <t>Moncton (Nouveau-Brunswick)</t>
        </is>
      </c>
      <c r="P3951" t="n">
        <v>0</v>
      </c>
      <c r="Q3951" t="n">
        <v>1290.93</v>
      </c>
      <c r="R3951" t="n">
        <v>100</v>
      </c>
      <c r="S3951" t="n">
        <v>190</v>
      </c>
      <c r="T3951" t="n">
        <v>0</v>
      </c>
      <c r="U3951" t="n">
        <v>1580.93</v>
      </c>
      <c r="X3951" t="inlineStr">
        <is>
          <t>acoa-apeca</t>
        </is>
      </c>
      <c r="Y3951" t="inlineStr">
        <is>
          <t>Atlantic Canada Opportunities Agency | Agence de promotion économique du Canada atlantique</t>
        </is>
      </c>
    </row>
    <row r="3952">
      <c r="A3952" t="inlineStr">
        <is>
          <t>T-2012-Q1-00056</t>
        </is>
      </c>
      <c r="B3952" t="inlineStr">
        <is>
          <t>SLE</t>
        </is>
      </c>
      <c r="C3952" t="inlineStr">
        <is>
          <t>President</t>
        </is>
      </c>
      <c r="D3952" t="inlineStr">
        <is>
          <t>Président</t>
        </is>
      </c>
      <c r="E3952" t="inlineStr">
        <is>
          <t>Paul J. LeBlanc</t>
        </is>
      </c>
      <c r="F3952" t="inlineStr">
        <is>
          <t>For various meetings and discussions with: Agency officials; with Government of Canada officials</t>
        </is>
      </c>
      <c r="G3952" t="inlineStr">
        <is>
          <t>Diverses réunons et discussions avec des fonctionnaires de l'Agence et du gouvernement du Canada</t>
        </is>
      </c>
      <c r="H3952" s="1" t="n">
        <v>40678</v>
      </c>
      <c r="I3952" s="1" t="n">
        <v>40683</v>
      </c>
      <c r="J3952" t="inlineStr">
        <is>
          <t>Ottawa, Ontario</t>
        </is>
      </c>
      <c r="K3952" t="inlineStr">
        <is>
          <t>Ottawa (Ontario)</t>
        </is>
      </c>
      <c r="P3952" t="n">
        <v>727.36</v>
      </c>
      <c r="Q3952" t="n">
        <v>13.13</v>
      </c>
      <c r="R3952" t="n">
        <v>870.1</v>
      </c>
      <c r="S3952" t="n">
        <v>434</v>
      </c>
      <c r="T3952" t="n">
        <v>126.5</v>
      </c>
      <c r="U3952" t="n">
        <v>2171.09</v>
      </c>
      <c r="X3952" t="inlineStr">
        <is>
          <t>acoa-apeca</t>
        </is>
      </c>
      <c r="Y3952" t="inlineStr">
        <is>
          <t>Atlantic Canada Opportunities Agency | Agence de promotion économique du Canada atlantique</t>
        </is>
      </c>
    </row>
    <row r="3953">
      <c r="A3953" t="inlineStr">
        <is>
          <t>T-2012-Q1-00055</t>
        </is>
      </c>
      <c r="B3953" t="inlineStr">
        <is>
          <t>MPSES</t>
        </is>
      </c>
      <c r="C3953" t="inlineStr">
        <is>
          <t>Regional Special Assistant</t>
        </is>
      </c>
      <c r="D3953" t="inlineStr">
        <is>
          <t>Adjointe spéciale régionale</t>
        </is>
      </c>
      <c r="E3953" t="inlineStr">
        <is>
          <t>Neyda Long</t>
        </is>
      </c>
      <c r="F3953" t="inlineStr">
        <is>
          <t>Travel to Minto, NB on regional affairs</t>
        </is>
      </c>
      <c r="G3953" t="inlineStr">
        <is>
          <t>Voyage à Minto, au Nouveau-Brunswick, pour des questions de nature régionale</t>
        </is>
      </c>
      <c r="H3953" s="1" t="n">
        <v>40675</v>
      </c>
      <c r="I3953" s="1" t="n">
        <v>40675</v>
      </c>
      <c r="J3953" t="inlineStr">
        <is>
          <t>Minto, New Brunswick</t>
        </is>
      </c>
      <c r="K3953" t="inlineStr">
        <is>
          <t>Minto (Nouveau-Brunswick)</t>
        </is>
      </c>
      <c r="P3953" t="n">
        <v>0</v>
      </c>
      <c r="Q3953" t="n">
        <v>74.23999999999999</v>
      </c>
      <c r="R3953" t="n">
        <v>0</v>
      </c>
      <c r="S3953" t="n">
        <v>14.15</v>
      </c>
      <c r="T3953" t="n">
        <v>0</v>
      </c>
      <c r="U3953" t="n">
        <v>88.39</v>
      </c>
      <c r="X3953" t="inlineStr">
        <is>
          <t>acoa-apeca</t>
        </is>
      </c>
      <c r="Y3953" t="inlineStr">
        <is>
          <t>Atlantic Canada Opportunities Agency | Agence de promotion économique du Canada atlantique</t>
        </is>
      </c>
    </row>
    <row r="3954">
      <c r="A3954" t="inlineStr">
        <is>
          <t>T-2012-Q1-00053</t>
        </is>
      </c>
      <c r="B3954" t="inlineStr">
        <is>
          <t>SLE</t>
        </is>
      </c>
      <c r="C3954" t="inlineStr">
        <is>
          <t>President</t>
        </is>
      </c>
      <c r="D3954" t="inlineStr">
        <is>
          <t>Président</t>
        </is>
      </c>
      <c r="E3954" t="inlineStr">
        <is>
          <t>Paul J. LeBlanc</t>
        </is>
      </c>
      <c r="F3954" t="inlineStr">
        <is>
          <t>For various meetings and discussions with: Agency officials; with Government of Canada officials</t>
        </is>
      </c>
      <c r="G3954" t="inlineStr">
        <is>
          <t>Diverses réunons et discussions avec des fonctionnaires de l'Agence et du gouvernement du Canada</t>
        </is>
      </c>
      <c r="H3954" s="1" t="n">
        <v>40673</v>
      </c>
      <c r="I3954" s="1" t="n">
        <v>40676</v>
      </c>
      <c r="J3954" t="inlineStr">
        <is>
          <t>Ottawa, Ontario</t>
        </is>
      </c>
      <c r="K3954" t="inlineStr">
        <is>
          <t>Ottawa (Ontario)</t>
        </is>
      </c>
      <c r="P3954" t="n">
        <v>727.36</v>
      </c>
      <c r="Q3954" t="n">
        <v>13.13</v>
      </c>
      <c r="R3954" t="n">
        <v>522.0599999999999</v>
      </c>
      <c r="S3954" t="n">
        <v>261.3</v>
      </c>
      <c r="T3954" t="n">
        <v>104.5</v>
      </c>
      <c r="U3954" t="n">
        <v>1628.35</v>
      </c>
      <c r="X3954" t="inlineStr">
        <is>
          <t>acoa-apeca</t>
        </is>
      </c>
      <c r="Y3954" t="inlineStr">
        <is>
          <t>Atlantic Canada Opportunities Agency | Agence de promotion économique du Canada atlantique</t>
        </is>
      </c>
    </row>
    <row r="3955">
      <c r="A3955" t="inlineStr">
        <is>
          <t>T-2012-Q1-00052</t>
        </is>
      </c>
      <c r="B3955" t="inlineStr">
        <is>
          <t>SLE</t>
        </is>
      </c>
      <c r="C3955" t="inlineStr">
        <is>
          <t>Vice-President, Prince Edward Island</t>
        </is>
      </c>
      <c r="D3955" t="inlineStr">
        <is>
          <t>Vice-président, Île-du-Prince-Édouard</t>
        </is>
      </c>
      <c r="E3955" t="inlineStr">
        <is>
          <t>Patrick Dorsey</t>
        </is>
      </c>
      <c r="F3955" t="inlineStr">
        <is>
          <t>Various meetings and discussions with Agency and Government of Canada officials</t>
        </is>
      </c>
      <c r="G3955" t="inlineStr">
        <is>
          <t xml:space="preserve">Diverses réunions et discussions avec des fonctionnaires de l'Agence et du gouvernement du Canada </t>
        </is>
      </c>
      <c r="H3955" s="1" t="n">
        <v>40672</v>
      </c>
      <c r="I3955" s="1" t="n">
        <v>40672</v>
      </c>
      <c r="J3955" t="inlineStr">
        <is>
          <t>Moncton, New Brunswick</t>
        </is>
      </c>
      <c r="K3955" t="inlineStr">
        <is>
          <t>Moncton (Nouveau-Brunswick)</t>
        </is>
      </c>
      <c r="P3955" t="n">
        <v>0</v>
      </c>
      <c r="Q3955" t="n">
        <v>48.75</v>
      </c>
      <c r="R3955" t="n">
        <v>0</v>
      </c>
      <c r="S3955" t="n">
        <v>0</v>
      </c>
      <c r="T3955" t="n">
        <v>0</v>
      </c>
      <c r="U3955" t="n">
        <v>48.75</v>
      </c>
      <c r="X3955" t="inlineStr">
        <is>
          <t>acoa-apeca</t>
        </is>
      </c>
      <c r="Y3955" t="inlineStr">
        <is>
          <t>Atlantic Canada Opportunities Agency | Agence de promotion économique du Canada atlantique</t>
        </is>
      </c>
    </row>
    <row r="3956">
      <c r="A3956" t="inlineStr">
        <is>
          <t>T-2012-Q1-00051</t>
        </is>
      </c>
      <c r="B3956" t="inlineStr">
        <is>
          <t>SLE</t>
        </is>
      </c>
      <c r="C3956" t="inlineStr">
        <is>
          <t>President</t>
        </is>
      </c>
      <c r="D3956" t="inlineStr">
        <is>
          <t>Président</t>
        </is>
      </c>
      <c r="E3956" t="inlineStr">
        <is>
          <t>Paul J. LeBlanc</t>
        </is>
      </c>
      <c r="F3956" t="inlineStr">
        <is>
          <t>For various meetings and discussions with: Agency officials; with Government of Canada officials</t>
        </is>
      </c>
      <c r="G3956" t="inlineStr">
        <is>
          <t>Diverses réunons et discussions avec des fonctionnaires de l'Agence et du gouvernement du Canada</t>
        </is>
      </c>
      <c r="H3956" s="1" t="n">
        <v>40666</v>
      </c>
      <c r="I3956" s="1" t="n">
        <v>40670</v>
      </c>
      <c r="J3956" t="inlineStr">
        <is>
          <t>Ottawa and Kitchener, Ontario</t>
        </is>
      </c>
      <c r="K3956" t="inlineStr">
        <is>
          <t>Ottawa et Kitchener (Ontario)</t>
        </is>
      </c>
      <c r="P3956" t="n">
        <v>1658.28</v>
      </c>
      <c r="Q3956" t="n">
        <v>80.13</v>
      </c>
      <c r="R3956" t="n">
        <v>663.3099999999999</v>
      </c>
      <c r="S3956" t="n">
        <v>278.6</v>
      </c>
      <c r="T3956" t="n">
        <v>119.5</v>
      </c>
      <c r="U3956" t="n">
        <v>2799.82</v>
      </c>
      <c r="X3956" t="inlineStr">
        <is>
          <t>acoa-apeca</t>
        </is>
      </c>
      <c r="Y3956" t="inlineStr">
        <is>
          <t>Atlantic Canada Opportunities Agency | Agence de promotion économique du Canada atlantique</t>
        </is>
      </c>
    </row>
    <row r="3957">
      <c r="A3957" t="inlineStr">
        <is>
          <t>T-2012-Q1-00050</t>
        </is>
      </c>
      <c r="B3957" t="inlineStr">
        <is>
          <t>SLE</t>
        </is>
      </c>
      <c r="C3957" t="inlineStr">
        <is>
          <t>Vice-President, Prince Edward Island</t>
        </is>
      </c>
      <c r="D3957" t="inlineStr">
        <is>
          <t>Vice-président, Île-du-Prince-Édouard</t>
        </is>
      </c>
      <c r="E3957" t="inlineStr">
        <is>
          <t>Patrick Dorsey</t>
        </is>
      </c>
      <c r="F3957" t="inlineStr">
        <is>
          <t>To attend middle managers forum and Convention Centre Best Practices Mission</t>
        </is>
      </c>
      <c r="G3957" t="inlineStr">
        <is>
          <t>Participation au forum des gestionnaires intermédiaires et à la mission sur les pratiques exemplaires des centres de congrès</t>
        </is>
      </c>
      <c r="H3957" s="1" t="n">
        <v>40665</v>
      </c>
      <c r="I3957" s="1" t="n">
        <v>40667</v>
      </c>
      <c r="J3957" t="inlineStr">
        <is>
          <t>Toronto, Ontario</t>
        </is>
      </c>
      <c r="K3957" t="inlineStr">
        <is>
          <t>Toronto (Ontario)</t>
        </is>
      </c>
      <c r="P3957" t="n">
        <v>603.7</v>
      </c>
      <c r="Q3957" t="n">
        <v>175</v>
      </c>
      <c r="R3957" t="n">
        <v>307.36</v>
      </c>
      <c r="S3957" t="n">
        <v>204.15</v>
      </c>
      <c r="T3957" t="n">
        <v>4.5</v>
      </c>
      <c r="U3957" t="n">
        <v>1294.71</v>
      </c>
      <c r="X3957" t="inlineStr">
        <is>
          <t>acoa-apeca</t>
        </is>
      </c>
      <c r="Y3957" t="inlineStr">
        <is>
          <t>Atlantic Canada Opportunities Agency | Agence de promotion économique du Canada atlantique</t>
        </is>
      </c>
    </row>
    <row r="3958">
      <c r="A3958" t="inlineStr">
        <is>
          <t>T-2012-Q1-00049</t>
        </is>
      </c>
      <c r="B3958" t="inlineStr">
        <is>
          <t>SLE</t>
        </is>
      </c>
      <c r="C3958" t="inlineStr">
        <is>
          <t>Vice-President, New Brunswick</t>
        </is>
      </c>
      <c r="D3958" t="inlineStr">
        <is>
          <t>Vice-présidente, Nouveau-Brunswick</t>
        </is>
      </c>
      <c r="E3958" t="inlineStr">
        <is>
          <t>Janet Gagnon</t>
        </is>
      </c>
      <c r="F3958" t="inlineStr">
        <is>
          <t>National Manager's Community Professional Development Forum</t>
        </is>
      </c>
      <c r="G3958" t="inlineStr">
        <is>
          <t>Forum de perfectionnement professionnel de la Communauté nationale des gestionnaires</t>
        </is>
      </c>
      <c r="H3958" s="1" t="n">
        <v>40664</v>
      </c>
      <c r="I3958" s="1" t="n">
        <v>40667</v>
      </c>
      <c r="J3958" t="inlineStr">
        <is>
          <t>Toronto, Ontario</t>
        </is>
      </c>
      <c r="K3958" t="inlineStr">
        <is>
          <t>Toronto (Ontario)</t>
        </is>
      </c>
      <c r="P3958" t="n">
        <v>692.04</v>
      </c>
      <c r="Q3958" t="n">
        <v>150.14</v>
      </c>
      <c r="R3958" t="n">
        <v>655.4</v>
      </c>
      <c r="S3958" t="n">
        <v>294.55</v>
      </c>
      <c r="T3958" t="n">
        <v>0</v>
      </c>
      <c r="U3958" t="n">
        <v>1792.13</v>
      </c>
      <c r="X3958" t="inlineStr">
        <is>
          <t>acoa-apeca</t>
        </is>
      </c>
      <c r="Y3958" t="inlineStr">
        <is>
          <t>Atlantic Canada Opportunities Agency | Agence de promotion économique du Canada atlantique</t>
        </is>
      </c>
    </row>
    <row r="3959">
      <c r="A3959" t="inlineStr">
        <is>
          <t>T-2012-Q1-00047</t>
        </is>
      </c>
      <c r="B3959" t="inlineStr">
        <is>
          <t>SLE</t>
        </is>
      </c>
      <c r="C3959" t="inlineStr">
        <is>
          <t>Vice-President, New Brunswick</t>
        </is>
      </c>
      <c r="D3959" t="inlineStr">
        <is>
          <t>Vice-présidente, Nouveau-Brunswick</t>
        </is>
      </c>
      <c r="E3959" t="inlineStr">
        <is>
          <t>Janet Gagnon</t>
        </is>
      </c>
      <c r="F3959" t="inlineStr">
        <is>
          <t>Visit with Moncton District Office</t>
        </is>
      </c>
      <c r="G3959" t="inlineStr">
        <is>
          <t>Visite au bureau de district de Moncton</t>
        </is>
      </c>
      <c r="H3959" s="1" t="n">
        <v>40661</v>
      </c>
      <c r="I3959" s="1" t="n">
        <v>40661</v>
      </c>
      <c r="J3959" t="inlineStr">
        <is>
          <t>Moncton, New Brunswick</t>
        </is>
      </c>
      <c r="K3959" t="inlineStr">
        <is>
          <t>Moncton (Nouveau-Brunswick)</t>
        </is>
      </c>
      <c r="P3959" t="n">
        <v>0</v>
      </c>
      <c r="Q3959" t="n">
        <v>0</v>
      </c>
      <c r="R3959" t="n">
        <v>0</v>
      </c>
      <c r="S3959" t="n">
        <v>0</v>
      </c>
      <c r="T3959" t="n">
        <v>10</v>
      </c>
      <c r="U3959" t="n">
        <v>10</v>
      </c>
      <c r="X3959" t="inlineStr">
        <is>
          <t>acoa-apeca</t>
        </is>
      </c>
      <c r="Y3959" t="inlineStr">
        <is>
          <t>Atlantic Canada Opportunities Agency | Agence de promotion économique du Canada atlantique</t>
        </is>
      </c>
    </row>
    <row r="3960">
      <c r="A3960" t="inlineStr">
        <is>
          <t>T-2012-Q1-00046</t>
        </is>
      </c>
      <c r="B3960" t="inlineStr">
        <is>
          <t>SLE</t>
        </is>
      </c>
      <c r="C3960" t="inlineStr">
        <is>
          <t>Vice-President, Newfoundland and Labrador</t>
        </is>
      </c>
      <c r="D3960" t="inlineStr">
        <is>
          <t>Vice-président, Terre-Neuve-et-Labrador</t>
        </is>
      </c>
      <c r="E3960" t="inlineStr">
        <is>
          <t>Paul Mills</t>
        </is>
      </c>
      <c r="F3960" t="inlineStr">
        <is>
          <t>To participate in Training and National Managers Forum</t>
        </is>
      </c>
      <c r="G3960" t="inlineStr">
        <is>
          <t>Pour participer à une formation et au Forum de la Communauté nationale des gestionnaires</t>
        </is>
      </c>
      <c r="H3960" s="1" t="n">
        <v>40661</v>
      </c>
      <c r="I3960" s="1" t="n">
        <v>40668</v>
      </c>
      <c r="J3960" t="inlineStr">
        <is>
          <t>Toronto, Ontario</t>
        </is>
      </c>
      <c r="K3960" t="inlineStr">
        <is>
          <t>Toronto (Ontario)</t>
        </is>
      </c>
      <c r="P3960" t="n">
        <v>1329.26</v>
      </c>
      <c r="Q3960" t="n">
        <v>173</v>
      </c>
      <c r="R3960" t="n">
        <v>1246.39</v>
      </c>
      <c r="S3960" t="n">
        <v>605</v>
      </c>
      <c r="T3960" t="n">
        <v>19.06</v>
      </c>
      <c r="U3960" t="n">
        <v>3372.71</v>
      </c>
      <c r="X3960" t="inlineStr">
        <is>
          <t>acoa-apeca</t>
        </is>
      </c>
      <c r="Y3960" t="inlineStr">
        <is>
          <t>Atlantic Canada Opportunities Agency | Agence de promotion économique du Canada atlantique</t>
        </is>
      </c>
    </row>
    <row r="3961">
      <c r="A3961" t="inlineStr">
        <is>
          <t>T-2012-Q1-00044</t>
        </is>
      </c>
      <c r="B3961" t="inlineStr">
        <is>
          <t>SLE</t>
        </is>
      </c>
      <c r="C3961" t="inlineStr">
        <is>
          <t>Vice President, Nova Scotia</t>
        </is>
      </c>
      <c r="D3961" t="inlineStr">
        <is>
          <t>Vice-président, Nouvelle-Écosse</t>
        </is>
      </c>
      <c r="E3961" t="inlineStr">
        <is>
          <t>Peter Hogan</t>
        </is>
      </c>
      <c r="F3961" t="inlineStr">
        <is>
          <t>Meeting with Agency Officials</t>
        </is>
      </c>
      <c r="G3961" t="inlineStr">
        <is>
          <t>Réunion avec des fonctionnaires de l'Agence</t>
        </is>
      </c>
      <c r="H3961" s="1" t="n">
        <v>40659</v>
      </c>
      <c r="I3961" s="1" t="n">
        <v>40659</v>
      </c>
      <c r="J3961" t="inlineStr">
        <is>
          <t>Moncton, New Brunswick</t>
        </is>
      </c>
      <c r="K3961" t="inlineStr">
        <is>
          <t>Moncton (Nouveau-Brunswick)</t>
        </is>
      </c>
      <c r="P3961" t="n">
        <v>0</v>
      </c>
      <c r="Q3961" t="n">
        <v>93.34</v>
      </c>
      <c r="R3961" t="n">
        <v>0</v>
      </c>
      <c r="S3961" t="n">
        <v>14.15</v>
      </c>
      <c r="T3961" t="n">
        <v>0</v>
      </c>
      <c r="U3961" t="n">
        <v>107.49</v>
      </c>
      <c r="X3961" t="inlineStr">
        <is>
          <t>acoa-apeca</t>
        </is>
      </c>
      <c r="Y3961" t="inlineStr">
        <is>
          <t>Atlantic Canada Opportunities Agency | Agence de promotion économique du Canada atlantique</t>
        </is>
      </c>
    </row>
    <row r="3962">
      <c r="A3962" t="inlineStr">
        <is>
          <t>T-2012-Q1-00043</t>
        </is>
      </c>
      <c r="B3962" t="inlineStr">
        <is>
          <t>SLE</t>
        </is>
      </c>
      <c r="C3962" t="inlineStr">
        <is>
          <t>President</t>
        </is>
      </c>
      <c r="D3962" t="inlineStr">
        <is>
          <t>Président</t>
        </is>
      </c>
      <c r="E3962" t="inlineStr">
        <is>
          <t>Paul J. LeBlanc</t>
        </is>
      </c>
      <c r="F3962" t="inlineStr">
        <is>
          <t>For various meetings and discussions with Government of Canada officials</t>
        </is>
      </c>
      <c r="G3962" t="inlineStr">
        <is>
          <t>Diverses réunons et discussions avec des fonctionnaires du gouvernement du Canada</t>
        </is>
      </c>
      <c r="H3962" s="1" t="n">
        <v>40659</v>
      </c>
      <c r="I3962" s="1" t="n">
        <v>40660</v>
      </c>
      <c r="J3962" t="inlineStr">
        <is>
          <t>Ottawa, Ontario</t>
        </is>
      </c>
      <c r="K3962" t="inlineStr">
        <is>
          <t>Ottawa (Ontario)</t>
        </is>
      </c>
      <c r="P3962" t="n">
        <v>727.36</v>
      </c>
      <c r="Q3962" t="n">
        <v>13.13</v>
      </c>
      <c r="R3962" t="n">
        <v>174.02</v>
      </c>
      <c r="S3962" t="n">
        <v>88.59999999999999</v>
      </c>
      <c r="T3962" t="n">
        <v>15</v>
      </c>
      <c r="U3962" t="n">
        <v>1018.11</v>
      </c>
      <c r="X3962" t="inlineStr">
        <is>
          <t>acoa-apeca</t>
        </is>
      </c>
      <c r="Y3962" t="inlineStr">
        <is>
          <t>Atlantic Canada Opportunities Agency | Agence de promotion économique du Canada atlantique</t>
        </is>
      </c>
    </row>
    <row r="3963">
      <c r="A3963" t="inlineStr">
        <is>
          <t>T-2012-Q1-00042</t>
        </is>
      </c>
      <c r="B3963" t="inlineStr">
        <is>
          <t>SLE</t>
        </is>
      </c>
      <c r="C3963" t="inlineStr">
        <is>
          <t>Vice-President, Finance and Corporate Services</t>
        </is>
      </c>
      <c r="D3963" t="inlineStr">
        <is>
          <t>Vice-présidente, Finances et Services corporatifs</t>
        </is>
      </c>
      <c r="E3963" t="inlineStr">
        <is>
          <t>Denise Frenette</t>
        </is>
      </c>
      <c r="F3963" t="inlineStr">
        <is>
          <t xml:space="preserve">Meetings with Government of Canada Officials and Agency Officials </t>
        </is>
      </c>
      <c r="G3963" t="inlineStr">
        <is>
          <t xml:space="preserve">Réunions avec des fonctionnaires du gouvernement du Canada et de l'Agence </t>
        </is>
      </c>
      <c r="H3963" s="1" t="n">
        <v>40653</v>
      </c>
      <c r="I3963" s="1" t="n">
        <v>40654</v>
      </c>
      <c r="J3963" t="inlineStr">
        <is>
          <t>Ottawa, Ontario</t>
        </is>
      </c>
      <c r="K3963" t="inlineStr">
        <is>
          <t>Ottawa (Ontario)</t>
        </is>
      </c>
      <c r="P3963" t="n">
        <v>1075.6</v>
      </c>
      <c r="Q3963" t="n">
        <v>95.58</v>
      </c>
      <c r="R3963" t="n">
        <v>174.02</v>
      </c>
      <c r="S3963" t="n">
        <v>77.95</v>
      </c>
      <c r="T3963" t="n">
        <v>30</v>
      </c>
      <c r="U3963" t="n">
        <v>1453.15</v>
      </c>
      <c r="X3963" t="inlineStr">
        <is>
          <t>acoa-apeca</t>
        </is>
      </c>
      <c r="Y3963" t="inlineStr">
        <is>
          <t>Atlantic Canada Opportunities Agency | Agence de promotion économique du Canada atlantique</t>
        </is>
      </c>
    </row>
    <row r="3964">
      <c r="A3964" t="inlineStr">
        <is>
          <t>T-2012-Q1-00041</t>
        </is>
      </c>
      <c r="B3964" t="inlineStr">
        <is>
          <t>SLE</t>
        </is>
      </c>
      <c r="C3964" t="inlineStr">
        <is>
          <t>Vice-President, New Brunswick</t>
        </is>
      </c>
      <c r="D3964" t="inlineStr">
        <is>
          <t>Vice-présidente, Nouveau-Brunswick</t>
        </is>
      </c>
      <c r="E3964" t="inlineStr">
        <is>
          <t>Janet Gagnon</t>
        </is>
      </c>
      <c r="F3964" t="inlineStr">
        <is>
          <t>National meeting of the Regional Federal Council Chairs and Executive Committee Meeting</t>
        </is>
      </c>
      <c r="G3964" t="inlineStr">
        <is>
          <t>Rencontre nationale des présidents des conseils fédéraux régionaux et réunion du Comité de direction</t>
        </is>
      </c>
      <c r="H3964" s="1" t="n">
        <v>40652</v>
      </c>
      <c r="I3964" s="1" t="n">
        <v>40654</v>
      </c>
      <c r="J3964" t="inlineStr">
        <is>
          <t>Ottawa, Ontario</t>
        </is>
      </c>
      <c r="K3964" t="inlineStr">
        <is>
          <t>Ottawa (Ontario)</t>
        </is>
      </c>
      <c r="P3964" t="n">
        <v>1297.92</v>
      </c>
      <c r="Q3964" t="n">
        <v>76.33</v>
      </c>
      <c r="R3964" t="n">
        <v>522.0599999999999</v>
      </c>
      <c r="S3964" t="n">
        <v>262.2</v>
      </c>
      <c r="T3964" t="n">
        <v>32</v>
      </c>
      <c r="U3964" t="n">
        <v>2190.51</v>
      </c>
      <c r="X3964" t="inlineStr">
        <is>
          <t>acoa-apeca</t>
        </is>
      </c>
      <c r="Y3964" t="inlineStr">
        <is>
          <t>Atlantic Canada Opportunities Agency | Agence de promotion économique du Canada atlantique</t>
        </is>
      </c>
    </row>
    <row r="3965">
      <c r="A3965" t="inlineStr">
        <is>
          <t>T-2012-Q1-00039</t>
        </is>
      </c>
      <c r="B3965" t="inlineStr">
        <is>
          <t>SLE</t>
        </is>
      </c>
      <c r="C3965" t="inlineStr">
        <is>
          <t>Vice-President, Prince Edward Island</t>
        </is>
      </c>
      <c r="D3965" t="inlineStr">
        <is>
          <t>Vice-président, Île-du-Prince-Édouard</t>
        </is>
      </c>
      <c r="E3965" t="inlineStr">
        <is>
          <t>Patrick Dorsey</t>
        </is>
      </c>
      <c r="F3965" t="inlineStr">
        <is>
          <t>Federal Regional Council Chairs meeting and meeting of Executive Committee</t>
        </is>
      </c>
      <c r="G3965" t="inlineStr">
        <is>
          <t>Réunion des présidents des conseils fédéraux régionaux et réunion du Comité de direction</t>
        </is>
      </c>
      <c r="H3965" s="1" t="n">
        <v>40651</v>
      </c>
      <c r="I3965" s="1" t="n">
        <v>40654</v>
      </c>
      <c r="J3965" t="inlineStr">
        <is>
          <t>Ottawa, Ontario</t>
        </is>
      </c>
      <c r="K3965" t="inlineStr">
        <is>
          <t>Ottawa (Ontario)</t>
        </is>
      </c>
      <c r="P3965" t="n">
        <v>1476.21</v>
      </c>
      <c r="Q3965" t="n">
        <v>78</v>
      </c>
      <c r="R3965" t="n">
        <v>525.45</v>
      </c>
      <c r="S3965" t="n">
        <v>222.35</v>
      </c>
      <c r="T3965" t="n">
        <v>58</v>
      </c>
      <c r="U3965" t="n">
        <v>2360.01</v>
      </c>
      <c r="X3965" t="inlineStr">
        <is>
          <t>acoa-apeca</t>
        </is>
      </c>
      <c r="Y3965" t="inlineStr">
        <is>
          <t>Atlantic Canada Opportunities Agency | Agence de promotion économique du Canada atlantique</t>
        </is>
      </c>
    </row>
    <row r="3966">
      <c r="A3966" t="inlineStr">
        <is>
          <t>T-2012-Q1-00038</t>
        </is>
      </c>
      <c r="B3966" t="inlineStr">
        <is>
          <t>SLE</t>
        </is>
      </c>
      <c r="C3966" t="inlineStr">
        <is>
          <t>Vice President, Nova Scotia</t>
        </is>
      </c>
      <c r="D3966" t="inlineStr">
        <is>
          <t>Vice-président, Nouvelle-Écosse</t>
        </is>
      </c>
      <c r="E3966" t="inlineStr">
        <is>
          <t>Peter Hogan</t>
        </is>
      </c>
      <c r="F3966" t="inlineStr">
        <is>
          <t>National Regional Federal Council Chairs and Executive Committee</t>
        </is>
      </c>
      <c r="G3966" t="inlineStr">
        <is>
          <t>Rencontre nationale des présidents des conseils fédéraux régionaux et réunion du Comité de direction</t>
        </is>
      </c>
      <c r="H3966" s="1" t="n">
        <v>40651</v>
      </c>
      <c r="I3966" s="1" t="n">
        <v>40654</v>
      </c>
      <c r="J3966" t="inlineStr">
        <is>
          <t>Ottawa, Ontario</t>
        </is>
      </c>
      <c r="K3966" t="inlineStr">
        <is>
          <t>Ottawa (Ontario)</t>
        </is>
      </c>
      <c r="P3966" t="n">
        <v>187.7</v>
      </c>
      <c r="Q3966" t="n">
        <v>170.8</v>
      </c>
      <c r="R3966" t="n">
        <v>522.0599999999999</v>
      </c>
      <c r="S3966" t="n">
        <v>236.5</v>
      </c>
      <c r="T3966" t="n">
        <v>0</v>
      </c>
      <c r="U3966" t="n">
        <v>1117.06</v>
      </c>
      <c r="X3966" t="inlineStr">
        <is>
          <t>acoa-apeca</t>
        </is>
      </c>
      <c r="Y3966" t="inlineStr">
        <is>
          <t>Atlantic Canada Opportunities Agency | Agence de promotion économique du Canada atlantique</t>
        </is>
      </c>
    </row>
    <row r="3967">
      <c r="A3967" t="inlineStr">
        <is>
          <t>T-2012-Q1-00037</t>
        </is>
      </c>
      <c r="B3967" t="inlineStr">
        <is>
          <t>SLE</t>
        </is>
      </c>
      <c r="C3967" t="inlineStr">
        <is>
          <t>President</t>
        </is>
      </c>
      <c r="D3967" t="inlineStr">
        <is>
          <t>Président</t>
        </is>
      </c>
      <c r="E3967" t="inlineStr">
        <is>
          <t>Paul J. LeBlanc</t>
        </is>
      </c>
      <c r="F3967" t="inlineStr">
        <is>
          <t>For various meetings and discussions with Agency officials; and Governemnt of Canada officials</t>
        </is>
      </c>
      <c r="G3967" t="inlineStr">
        <is>
          <t>Diverses réunons et discussions avec des fonctionnaires de l'Agence et du gouvernement du Canada</t>
        </is>
      </c>
      <c r="H3967" s="1" t="n">
        <v>40651</v>
      </c>
      <c r="I3967" s="1" t="n">
        <v>40654</v>
      </c>
      <c r="J3967" t="inlineStr">
        <is>
          <t>Ottawa, Ontario</t>
        </is>
      </c>
      <c r="K3967" t="inlineStr">
        <is>
          <t>Ottawa (Ontario)</t>
        </is>
      </c>
      <c r="P3967" t="n">
        <v>727.36</v>
      </c>
      <c r="Q3967" t="n">
        <v>0</v>
      </c>
      <c r="R3967" t="n">
        <v>522.0599999999999</v>
      </c>
      <c r="S3967" t="n">
        <v>222.35</v>
      </c>
      <c r="T3967" t="n">
        <v>61.13</v>
      </c>
      <c r="U3967" t="n">
        <v>1532.9</v>
      </c>
      <c r="X3967" t="inlineStr">
        <is>
          <t>acoa-apeca</t>
        </is>
      </c>
      <c r="Y3967" t="inlineStr">
        <is>
          <t>Atlantic Canada Opportunities Agency | Agence de promotion économique du Canada atlantique</t>
        </is>
      </c>
    </row>
    <row r="3968">
      <c r="A3968" t="inlineStr">
        <is>
          <t>T-2012-Q1-00036</t>
        </is>
      </c>
      <c r="B3968" t="inlineStr">
        <is>
          <t>SLE</t>
        </is>
      </c>
      <c r="C3968" t="inlineStr">
        <is>
          <t>Vice-President, Newfoundland and Labrador</t>
        </is>
      </c>
      <c r="D3968" t="inlineStr">
        <is>
          <t>Vice-président, Terre-Neuve-et-Labrador</t>
        </is>
      </c>
      <c r="E3968" t="inlineStr">
        <is>
          <t>Paul Mills</t>
        </is>
      </c>
      <c r="F3968" t="inlineStr">
        <is>
          <t>To attend National Meeting of Regional Federal Council Chairs and Executive Committee Meeting</t>
        </is>
      </c>
      <c r="G3968" t="inlineStr">
        <is>
          <t>Réunion nationale des présidents des conseils fédéraux régionaux et réunion du Comité de direction</t>
        </is>
      </c>
      <c r="H3968" s="1" t="n">
        <v>40651</v>
      </c>
      <c r="I3968" s="1" t="n">
        <v>40654</v>
      </c>
      <c r="J3968" t="inlineStr">
        <is>
          <t>Ottawa, Ontario</t>
        </is>
      </c>
      <c r="K3968" t="inlineStr">
        <is>
          <t>Ottawa (Ontario)</t>
        </is>
      </c>
      <c r="P3968" t="n">
        <v>1329.26</v>
      </c>
      <c r="Q3968" t="n">
        <v>128</v>
      </c>
      <c r="R3968" t="n">
        <v>522.0599999999999</v>
      </c>
      <c r="S3968" t="n">
        <v>247.15</v>
      </c>
      <c r="T3968" t="n">
        <v>9.73</v>
      </c>
      <c r="U3968" t="n">
        <v>2236.2</v>
      </c>
      <c r="X3968" t="inlineStr">
        <is>
          <t>acoa-apeca</t>
        </is>
      </c>
      <c r="Y3968" t="inlineStr">
        <is>
          <t>Atlantic Canada Opportunities Agency | Agence de promotion économique du Canada atlantique</t>
        </is>
      </c>
    </row>
    <row r="3969">
      <c r="A3969" t="inlineStr">
        <is>
          <t>T-2012-Q1-00035</t>
        </is>
      </c>
      <c r="B3969" t="inlineStr">
        <is>
          <t>SLE</t>
        </is>
      </c>
      <c r="C3969" t="inlineStr">
        <is>
          <t>Vice-President, New Brunswick</t>
        </is>
      </c>
      <c r="D3969" t="inlineStr">
        <is>
          <t>Vice-présidente, Nouveau-Brunswick</t>
        </is>
      </c>
      <c r="E3969" t="inlineStr">
        <is>
          <t>Janet Gagnon</t>
        </is>
      </c>
      <c r="F3969" t="inlineStr">
        <is>
          <t>ACOA Committee on Information Management and Technology Meeting</t>
        </is>
      </c>
      <c r="G3969" t="inlineStr">
        <is>
          <t>Réunion du Comité sur la gestion de l'information et la technologie de l'APECA</t>
        </is>
      </c>
      <c r="H3969" s="1" t="n">
        <v>40648</v>
      </c>
      <c r="I3969" s="1" t="n">
        <v>40648</v>
      </c>
      <c r="J3969" t="inlineStr">
        <is>
          <t>Moncton, New Brunswick</t>
        </is>
      </c>
      <c r="K3969" t="inlineStr">
        <is>
          <t>Moncton (Nouveau-Brunswick)</t>
        </is>
      </c>
      <c r="P3969" t="n">
        <v>0</v>
      </c>
      <c r="Q3969" t="n">
        <v>0</v>
      </c>
      <c r="R3969" t="n">
        <v>0</v>
      </c>
      <c r="S3969" t="n">
        <v>54</v>
      </c>
      <c r="T3969" t="n">
        <v>6</v>
      </c>
      <c r="U3969" t="n">
        <v>60</v>
      </c>
      <c r="X3969" t="inlineStr">
        <is>
          <t>acoa-apeca</t>
        </is>
      </c>
      <c r="Y3969" t="inlineStr">
        <is>
          <t>Atlantic Canada Opportunities Agency | Agence de promotion économique du Canada atlantique</t>
        </is>
      </c>
    </row>
    <row r="3970">
      <c r="A3970" t="inlineStr">
        <is>
          <t>T-2012-Q1-00033</t>
        </is>
      </c>
      <c r="B3970" t="inlineStr">
        <is>
          <t>SLE</t>
        </is>
      </c>
      <c r="C3970" t="inlineStr">
        <is>
          <t>Vice-President, Finance and Corporate Services</t>
        </is>
      </c>
      <c r="D3970" t="inlineStr">
        <is>
          <t>Vice-présidente, Finances et Services corporatifs</t>
        </is>
      </c>
      <c r="E3970" t="inlineStr">
        <is>
          <t>Denise Frenette</t>
        </is>
      </c>
      <c r="F3970" t="inlineStr">
        <is>
          <t xml:space="preserve">Meetings with Agency Officials </t>
        </is>
      </c>
      <c r="G3970" t="inlineStr">
        <is>
          <t xml:space="preserve">Réunions avec des fonctionnaires de l'Agence </t>
        </is>
      </c>
      <c r="H3970" s="1" t="n">
        <v>40645</v>
      </c>
      <c r="I3970" s="1" t="n">
        <v>40645</v>
      </c>
      <c r="J3970" t="inlineStr">
        <is>
          <t>Sydney, Nova Scotia</t>
        </is>
      </c>
      <c r="K3970" t="inlineStr">
        <is>
          <t>Sydney (Nouvelle-Écosse)</t>
        </is>
      </c>
      <c r="P3970" t="n">
        <v>1075.6</v>
      </c>
      <c r="Q3970" t="n">
        <v>21.08</v>
      </c>
      <c r="R3970" t="n">
        <v>0</v>
      </c>
      <c r="S3970" t="n">
        <v>54</v>
      </c>
      <c r="T3970" t="n">
        <v>15</v>
      </c>
      <c r="U3970" t="n">
        <v>1165.68</v>
      </c>
      <c r="X3970" t="inlineStr">
        <is>
          <t>acoa-apeca</t>
        </is>
      </c>
      <c r="Y3970" t="inlineStr">
        <is>
          <t>Atlantic Canada Opportunities Agency | Agence de promotion économique du Canada atlantique</t>
        </is>
      </c>
    </row>
    <row r="3971">
      <c r="A3971" t="inlineStr">
        <is>
          <t>T-2011-Q4-00064</t>
        </is>
      </c>
      <c r="B3971" t="inlineStr">
        <is>
          <t>MPSES</t>
        </is>
      </c>
      <c r="C3971" t="inlineStr">
        <is>
          <t>Regional Affairs Director</t>
        </is>
      </c>
      <c r="D3971" t="inlineStr">
        <is>
          <t>Directeur des affaires régionales</t>
        </is>
      </c>
      <c r="E3971" t="inlineStr">
        <is>
          <t>Raymond Vogan</t>
        </is>
      </c>
      <c r="F3971" t="inlineStr">
        <is>
          <t>Travel to attend regional affairs meeting</t>
        </is>
      </c>
      <c r="G3971" t="inlineStr">
        <is>
          <t>Voyage pour participer à des réunions sur des questions de nature régionale</t>
        </is>
      </c>
      <c r="H3971" s="1" t="n">
        <v>40590</v>
      </c>
      <c r="I3971" s="1" t="n">
        <v>40591</v>
      </c>
      <c r="J3971" t="inlineStr">
        <is>
          <t>Ottawa, Ontario</t>
        </is>
      </c>
      <c r="K3971" t="inlineStr">
        <is>
          <t>Ottawa (Ontario)</t>
        </is>
      </c>
      <c r="P3971" t="n">
        <v>969</v>
      </c>
      <c r="Q3971" t="n">
        <v>60</v>
      </c>
      <c r="R3971" t="n">
        <v>174.02</v>
      </c>
      <c r="S3971" t="n">
        <v>170.4</v>
      </c>
      <c r="T3971" t="n">
        <v>0</v>
      </c>
      <c r="U3971" t="n">
        <v>1373.42</v>
      </c>
      <c r="X3971" t="inlineStr">
        <is>
          <t>acoa-apeca</t>
        </is>
      </c>
      <c r="Y3971" t="inlineStr">
        <is>
          <t>Atlantic Canada Opportunities Agency | Agence de promotion économique du Canada atlantique</t>
        </is>
      </c>
    </row>
    <row r="3972">
      <c r="A3972" t="inlineStr">
        <is>
          <t>T-2012-Q1-00032</t>
        </is>
      </c>
      <c r="B3972" t="inlineStr">
        <is>
          <t>SLE</t>
        </is>
      </c>
      <c r="C3972" t="inlineStr">
        <is>
          <t>Vice President, Nova Scotia</t>
        </is>
      </c>
      <c r="D3972" t="inlineStr">
        <is>
          <t>Vice-président, Nouvelle-Écosse</t>
        </is>
      </c>
      <c r="E3972" t="inlineStr">
        <is>
          <t>Peter Hogan</t>
        </is>
      </c>
      <c r="F3972" t="inlineStr">
        <is>
          <t>Various Meetings Government of Canada Officials</t>
        </is>
      </c>
      <c r="G3972" t="inlineStr">
        <is>
          <t>Diverses réunions avec des fonctionnaires du gouvernement du Canada</t>
        </is>
      </c>
      <c r="H3972" s="1" t="n">
        <v>40645</v>
      </c>
      <c r="I3972" s="1" t="n">
        <v>40646</v>
      </c>
      <c r="J3972" t="inlineStr">
        <is>
          <t>Ottawa, Ontario</t>
        </is>
      </c>
      <c r="K3972" t="inlineStr">
        <is>
          <t>Ottawa (Ontario)</t>
        </is>
      </c>
      <c r="P3972" t="n">
        <v>643.4299999999999</v>
      </c>
      <c r="Q3972" t="n">
        <v>91.8</v>
      </c>
      <c r="R3972" t="n">
        <v>174.02</v>
      </c>
      <c r="S3972" t="n">
        <v>143.5</v>
      </c>
      <c r="T3972" t="n">
        <v>0</v>
      </c>
      <c r="U3972" t="n">
        <v>1052.75</v>
      </c>
      <c r="X3972" t="inlineStr">
        <is>
          <t>acoa-apeca</t>
        </is>
      </c>
      <c r="Y3972" t="inlineStr">
        <is>
          <t>Atlantic Canada Opportunities Agency | Agence de promotion économique du Canada atlantique</t>
        </is>
      </c>
    </row>
    <row r="3973">
      <c r="A3973" t="inlineStr">
        <is>
          <t>T-2012-Q1-00030</t>
        </is>
      </c>
      <c r="B3973" t="inlineStr">
        <is>
          <t>SLE</t>
        </is>
      </c>
      <c r="C3973" t="inlineStr">
        <is>
          <t>Vice-President, Finance and Corporate Services</t>
        </is>
      </c>
      <c r="D3973" t="inlineStr">
        <is>
          <t>Vice-présidente, Finances et Services corporatifs</t>
        </is>
      </c>
      <c r="E3973" t="inlineStr">
        <is>
          <t>Denise Frenette</t>
        </is>
      </c>
      <c r="F3973" t="inlineStr">
        <is>
          <t xml:space="preserve">Meetings with Agency Officials </t>
        </is>
      </c>
      <c r="G3973" t="inlineStr">
        <is>
          <t xml:space="preserve">Réunions avec des fonctionnaires de l'Agence </t>
        </is>
      </c>
      <c r="H3973" s="1" t="n">
        <v>40638</v>
      </c>
      <c r="I3973" s="1" t="n">
        <v>40638</v>
      </c>
      <c r="J3973" t="inlineStr">
        <is>
          <t>Sydney, Nova Scotia</t>
        </is>
      </c>
      <c r="K3973" t="inlineStr">
        <is>
          <t>Sydney (Nouvelle-Écosse)</t>
        </is>
      </c>
      <c r="P3973" t="n">
        <v>1075.6</v>
      </c>
      <c r="Q3973" t="n">
        <v>11.12</v>
      </c>
      <c r="R3973" t="n">
        <v>0</v>
      </c>
      <c r="S3973" t="n">
        <v>29.2</v>
      </c>
      <c r="T3973" t="n">
        <v>15</v>
      </c>
      <c r="U3973" t="n">
        <v>1130.92</v>
      </c>
      <c r="X3973" t="inlineStr">
        <is>
          <t>acoa-apeca</t>
        </is>
      </c>
      <c r="Y3973" t="inlineStr">
        <is>
          <t>Atlantic Canada Opportunities Agency | Agence de promotion économique du Canada atlantique</t>
        </is>
      </c>
    </row>
    <row r="3974">
      <c r="A3974" t="inlineStr">
        <is>
          <t>T-2012-Q1-00029</t>
        </is>
      </c>
      <c r="B3974" t="inlineStr">
        <is>
          <t>SLE</t>
        </is>
      </c>
      <c r="C3974" t="inlineStr">
        <is>
          <t>Vice-President, New Brunswick</t>
        </is>
      </c>
      <c r="D3974" t="inlineStr">
        <is>
          <t>Vice-présidente, Nouveau-Brunswick</t>
        </is>
      </c>
      <c r="E3974" t="inlineStr">
        <is>
          <t>Janet Gagnon</t>
        </is>
      </c>
      <c r="F3974" t="inlineStr">
        <is>
          <t>NB Energy Meeting</t>
        </is>
      </c>
      <c r="G3974" t="inlineStr">
        <is>
          <t>Réunion sur l'énergie du Nouveau-Brunswick</t>
        </is>
      </c>
      <c r="H3974" s="1" t="n">
        <v>40638</v>
      </c>
      <c r="I3974" s="1" t="n">
        <v>40638</v>
      </c>
      <c r="J3974" t="inlineStr">
        <is>
          <t>Saint John, New Brunswick</t>
        </is>
      </c>
      <c r="K3974" t="inlineStr">
        <is>
          <t>Saint John (Nouveau-Brunswick)</t>
        </is>
      </c>
      <c r="P3974" t="n">
        <v>0</v>
      </c>
      <c r="Q3974" t="n">
        <v>0</v>
      </c>
      <c r="R3974" t="n">
        <v>0</v>
      </c>
      <c r="S3974" t="n">
        <v>46.5</v>
      </c>
      <c r="T3974" t="n">
        <v>8.75</v>
      </c>
      <c r="U3974" t="n">
        <v>55.25</v>
      </c>
      <c r="X3974" t="inlineStr">
        <is>
          <t>acoa-apeca</t>
        </is>
      </c>
      <c r="Y3974" t="inlineStr">
        <is>
          <t>Atlantic Canada Opportunities Agency | Agence de promotion économique du Canada atlantique</t>
        </is>
      </c>
    </row>
    <row r="3975">
      <c r="A3975" t="inlineStr">
        <is>
          <t>T-2012-Q1-00028</t>
        </is>
      </c>
      <c r="B3975" t="inlineStr">
        <is>
          <t>SLE</t>
        </is>
      </c>
      <c r="C3975" t="inlineStr">
        <is>
          <t>Vice-President, New Brunswick</t>
        </is>
      </c>
      <c r="D3975" t="inlineStr">
        <is>
          <t>Vice-présidente, Nouveau-Brunswick</t>
        </is>
      </c>
      <c r="E3975" t="inlineStr">
        <is>
          <t>Janet Gagnon</t>
        </is>
      </c>
      <c r="F3975" t="inlineStr">
        <is>
          <t>ACOA Committee on Information Management and Technology Meeting</t>
        </is>
      </c>
      <c r="G3975" t="inlineStr">
        <is>
          <t>Réunion du Comité sur la gestion de l'information et la technologie de l'APECA</t>
        </is>
      </c>
      <c r="H3975" s="1" t="n">
        <v>40637</v>
      </c>
      <c r="I3975" s="1" t="n">
        <v>40637</v>
      </c>
      <c r="J3975" t="inlineStr">
        <is>
          <t>Moncton, New Brunswick</t>
        </is>
      </c>
      <c r="K3975" t="inlineStr">
        <is>
          <t>Moncton (Nouveau-Brunswick)</t>
        </is>
      </c>
      <c r="P3975" t="n">
        <v>0</v>
      </c>
      <c r="Q3975" t="n">
        <v>0</v>
      </c>
      <c r="R3975" t="n">
        <v>50</v>
      </c>
      <c r="S3975" t="n">
        <v>31.45</v>
      </c>
      <c r="T3975" t="n">
        <v>7</v>
      </c>
      <c r="U3975" t="n">
        <v>88.45</v>
      </c>
      <c r="X3975" t="inlineStr">
        <is>
          <t>acoa-apeca</t>
        </is>
      </c>
      <c r="Y3975" t="inlineStr">
        <is>
          <t>Atlantic Canada Opportunities Agency | Agence de promotion économique du Canada atlantique</t>
        </is>
      </c>
    </row>
    <row r="3976">
      <c r="A3976" t="inlineStr">
        <is>
          <t>T-2012-Q1-00027</t>
        </is>
      </c>
      <c r="B3976" t="inlineStr">
        <is>
          <t>SLE</t>
        </is>
      </c>
      <c r="C3976" t="inlineStr">
        <is>
          <t>President</t>
        </is>
      </c>
      <c r="D3976" t="inlineStr">
        <is>
          <t>Président</t>
        </is>
      </c>
      <c r="E3976" t="inlineStr">
        <is>
          <t>Paul J. LeBlanc</t>
        </is>
      </c>
      <c r="F3976" t="inlineStr">
        <is>
          <t>For various meetings and discussions with Agency and Government of Canada officials</t>
        </is>
      </c>
      <c r="G3976" t="inlineStr">
        <is>
          <t>Diverses réunons et discussions avec des fonctionnaires de l'Agence et du gouvernement du Canada</t>
        </is>
      </c>
      <c r="H3976" s="1" t="n">
        <v>40629</v>
      </c>
      <c r="I3976" s="1" t="n">
        <v>40633</v>
      </c>
      <c r="J3976" t="inlineStr">
        <is>
          <t>Ottawa, Ontario</t>
        </is>
      </c>
      <c r="K3976" t="inlineStr">
        <is>
          <t>Ottawa (Ontario)</t>
        </is>
      </c>
      <c r="P3976" t="n">
        <v>863.9299999999999</v>
      </c>
      <c r="Q3976" t="n">
        <v>12.87</v>
      </c>
      <c r="R3976" t="n">
        <v>696.08</v>
      </c>
      <c r="S3976" t="n">
        <v>343.3</v>
      </c>
      <c r="T3976" t="n">
        <v>60</v>
      </c>
      <c r="U3976" t="n">
        <v>1976.18</v>
      </c>
      <c r="X3976" t="inlineStr">
        <is>
          <t>acoa-apeca</t>
        </is>
      </c>
      <c r="Y3976" t="inlineStr">
        <is>
          <t>Atlantic Canada Opportunities Agency | Agence de promotion économique du Canada atlantique</t>
        </is>
      </c>
    </row>
    <row r="3977">
      <c r="A3977" t="inlineStr">
        <is>
          <t>T-2012-Q1-00026</t>
        </is>
      </c>
      <c r="B3977" t="inlineStr">
        <is>
          <t>SLE</t>
        </is>
      </c>
      <c r="C3977" t="inlineStr">
        <is>
          <t>Vice-President, Prince Edward Island</t>
        </is>
      </c>
      <c r="D3977" t="inlineStr">
        <is>
          <t>Vice-président, Île-du-Prince-Édouard</t>
        </is>
      </c>
      <c r="E3977" t="inlineStr">
        <is>
          <t>Patrick Dorsey</t>
        </is>
      </c>
      <c r="F3977" t="inlineStr">
        <is>
          <t>Executive Committee Meeting</t>
        </is>
      </c>
      <c r="G3977" t="inlineStr">
        <is>
          <t>Réunion du Comité de direction</t>
        </is>
      </c>
      <c r="H3977" s="1" t="n">
        <v>40627</v>
      </c>
      <c r="I3977" s="1" t="n">
        <v>40627</v>
      </c>
      <c r="J3977" t="inlineStr">
        <is>
          <t>Moncton, New Brunswick</t>
        </is>
      </c>
      <c r="K3977" t="inlineStr">
        <is>
          <t>Moncton (Nouveau-Brunswick)</t>
        </is>
      </c>
      <c r="P3977" t="n">
        <v>0</v>
      </c>
      <c r="Q3977" t="n">
        <v>0</v>
      </c>
      <c r="R3977" t="n">
        <v>0</v>
      </c>
      <c r="S3977" t="n">
        <v>13.9</v>
      </c>
      <c r="T3977" t="n">
        <v>55.25</v>
      </c>
      <c r="U3977" t="n">
        <v>69.15000000000001</v>
      </c>
      <c r="X3977" t="inlineStr">
        <is>
          <t>acoa-apeca</t>
        </is>
      </c>
      <c r="Y3977" t="inlineStr">
        <is>
          <t>Atlantic Canada Opportunities Agency | Agence de promotion économique du Canada atlantique</t>
        </is>
      </c>
    </row>
    <row r="3978">
      <c r="A3978" t="inlineStr">
        <is>
          <t>T-2012-Q1-00025</t>
        </is>
      </c>
      <c r="B3978" t="inlineStr">
        <is>
          <t>SLE</t>
        </is>
      </c>
      <c r="C3978" t="inlineStr">
        <is>
          <t>Vice-President, New Brunswick</t>
        </is>
      </c>
      <c r="D3978" t="inlineStr">
        <is>
          <t>Vice-présidente, Nouveau-Brunswick</t>
        </is>
      </c>
      <c r="E3978" t="inlineStr">
        <is>
          <t>Janet Gagnon</t>
        </is>
      </c>
      <c r="F3978" t="inlineStr">
        <is>
          <t>Executive Committee Meeting</t>
        </is>
      </c>
      <c r="G3978" t="inlineStr">
        <is>
          <t>Réunion du Comité de direction</t>
        </is>
      </c>
      <c r="H3978" s="1" t="n">
        <v>40627</v>
      </c>
      <c r="I3978" s="1" t="n">
        <v>40627</v>
      </c>
      <c r="J3978" t="inlineStr">
        <is>
          <t>Moncton, New Brunswick</t>
        </is>
      </c>
      <c r="K3978" t="inlineStr">
        <is>
          <t>Moncton (Nouveau-Brunswick)</t>
        </is>
      </c>
      <c r="P3978" t="n">
        <v>0</v>
      </c>
      <c r="Q3978" t="n">
        <v>0</v>
      </c>
      <c r="R3978" t="n">
        <v>0</v>
      </c>
      <c r="S3978" t="n">
        <v>67.90000000000001</v>
      </c>
      <c r="T3978" t="n">
        <v>14</v>
      </c>
      <c r="U3978" t="n">
        <v>81.90000000000001</v>
      </c>
      <c r="X3978" t="inlineStr">
        <is>
          <t>acoa-apeca</t>
        </is>
      </c>
      <c r="Y3978" t="inlineStr">
        <is>
          <t>Atlantic Canada Opportunities Agency | Agence de promotion économique du Canada atlantique</t>
        </is>
      </c>
    </row>
    <row r="3979">
      <c r="A3979" t="inlineStr">
        <is>
          <t>T-2012-Q1-00024</t>
        </is>
      </c>
      <c r="B3979" t="inlineStr">
        <is>
          <t>SLE</t>
        </is>
      </c>
      <c r="C3979" t="inlineStr">
        <is>
          <t>Vice President, Nova Scotia</t>
        </is>
      </c>
      <c r="D3979" t="inlineStr">
        <is>
          <t>Vice-président, Nouvelle-Écosse</t>
        </is>
      </c>
      <c r="E3979" t="inlineStr">
        <is>
          <t>Peter Hogan</t>
        </is>
      </c>
      <c r="F3979" t="inlineStr">
        <is>
          <t>Executive Committee Meeting</t>
        </is>
      </c>
      <c r="G3979" t="inlineStr">
        <is>
          <t>Réunion du Comité de direction</t>
        </is>
      </c>
      <c r="H3979" s="1" t="n">
        <v>40626</v>
      </c>
      <c r="I3979" s="1" t="n">
        <v>40627</v>
      </c>
      <c r="J3979" t="inlineStr">
        <is>
          <t>Moncton, New Brunswick</t>
        </is>
      </c>
      <c r="K3979" t="inlineStr">
        <is>
          <t>Moncton (Nouveau-Brunswick)</t>
        </is>
      </c>
      <c r="P3979" t="n">
        <v>0</v>
      </c>
      <c r="Q3979" t="n">
        <v>48.15</v>
      </c>
      <c r="R3979" t="n">
        <v>145.77</v>
      </c>
      <c r="S3979" t="n">
        <v>127.8</v>
      </c>
      <c r="T3979" t="n">
        <v>0</v>
      </c>
      <c r="U3979" t="n">
        <v>321.72</v>
      </c>
      <c r="X3979" t="inlineStr">
        <is>
          <t>acoa-apeca</t>
        </is>
      </c>
      <c r="Y3979" t="inlineStr">
        <is>
          <t>Atlantic Canada Opportunities Agency | Agence de promotion économique du Canada atlantique</t>
        </is>
      </c>
    </row>
    <row r="3980">
      <c r="A3980" t="inlineStr">
        <is>
          <t>T-2012-Q1-00023</t>
        </is>
      </c>
      <c r="B3980" t="inlineStr">
        <is>
          <t>SLE</t>
        </is>
      </c>
      <c r="C3980" t="inlineStr">
        <is>
          <t>Vice-President, Newfoundland and Labrador</t>
        </is>
      </c>
      <c r="D3980" t="inlineStr">
        <is>
          <t>Vice-président, Terre-Neuve-et-Labrador</t>
        </is>
      </c>
      <c r="E3980" t="inlineStr">
        <is>
          <t>Paul Mills</t>
        </is>
      </c>
      <c r="F3980" t="inlineStr">
        <is>
          <t>To Attend Executive Committee Meeting in Moncton</t>
        </is>
      </c>
      <c r="G3980" t="inlineStr">
        <is>
          <t>Réunion du Comité de direction à Moncton</t>
        </is>
      </c>
      <c r="H3980" s="1" t="n">
        <v>40626</v>
      </c>
      <c r="I3980" s="1" t="n">
        <v>40628</v>
      </c>
      <c r="J3980" t="inlineStr">
        <is>
          <t>Moncton, New Brunswick</t>
        </is>
      </c>
      <c r="K3980" t="inlineStr">
        <is>
          <t>Moncton (Nouveau-Brunswick)</t>
        </is>
      </c>
      <c r="P3980" t="n">
        <v>1264.76</v>
      </c>
      <c r="Q3980" t="n">
        <v>280.45</v>
      </c>
      <c r="R3980" t="n">
        <v>284.18</v>
      </c>
      <c r="S3980" t="n">
        <v>173.8</v>
      </c>
      <c r="T3980" t="n">
        <v>7.33</v>
      </c>
      <c r="U3980" t="n">
        <v>2010.52</v>
      </c>
      <c r="X3980" t="inlineStr">
        <is>
          <t>acoa-apeca</t>
        </is>
      </c>
      <c r="Y3980" t="inlineStr">
        <is>
          <t>Atlantic Canada Opportunities Agency | Agence de promotion économique du Canada atlantique</t>
        </is>
      </c>
    </row>
    <row r="3981">
      <c r="A3981" t="inlineStr">
        <is>
          <t>T-2012-Q1-00022</t>
        </is>
      </c>
      <c r="B3981" t="inlineStr">
        <is>
          <t>SLE</t>
        </is>
      </c>
      <c r="C3981" t="inlineStr">
        <is>
          <t>Vice President, Nova Scotia</t>
        </is>
      </c>
      <c r="D3981" t="inlineStr">
        <is>
          <t>Vice-président, Nouvelle-Écosse</t>
        </is>
      </c>
      <c r="E3981" t="inlineStr">
        <is>
          <t>Peter Hogan</t>
        </is>
      </c>
      <c r="F3981" t="inlineStr">
        <is>
          <t>Various Meetings with Officials on the Atlantic Gateway</t>
        </is>
      </c>
      <c r="G3981" t="inlineStr">
        <is>
          <t>Diverses réunions avec des réprésentants de la Porte de l'Atlantique</t>
        </is>
      </c>
      <c r="H3981" s="1" t="n">
        <v>40625</v>
      </c>
      <c r="I3981" s="1" t="n">
        <v>40626</v>
      </c>
      <c r="J3981" t="inlineStr">
        <is>
          <t>New York, USA</t>
        </is>
      </c>
      <c r="K3981" t="inlineStr">
        <is>
          <t>New York, États-Unis</t>
        </is>
      </c>
      <c r="P3981" t="n">
        <v>708.48</v>
      </c>
      <c r="Q3981" t="n">
        <v>0</v>
      </c>
      <c r="R3981" t="n">
        <v>231.85</v>
      </c>
      <c r="S3981" t="n">
        <v>46.9</v>
      </c>
      <c r="T3981" t="n">
        <v>0</v>
      </c>
      <c r="U3981" t="n">
        <v>987.23</v>
      </c>
      <c r="X3981" t="inlineStr">
        <is>
          <t>acoa-apeca</t>
        </is>
      </c>
      <c r="Y3981" t="inlineStr">
        <is>
          <t>Atlantic Canada Opportunities Agency | Agence de promotion économique du Canada atlantique</t>
        </is>
      </c>
    </row>
    <row r="3982">
      <c r="A3982" t="inlineStr">
        <is>
          <t>T-2012-Q1-00018</t>
        </is>
      </c>
      <c r="B3982" t="inlineStr">
        <is>
          <t>SLE</t>
        </is>
      </c>
      <c r="C3982" t="inlineStr">
        <is>
          <t>President</t>
        </is>
      </c>
      <c r="D3982" t="inlineStr">
        <is>
          <t>Président</t>
        </is>
      </c>
      <c r="E3982" t="inlineStr">
        <is>
          <t>Paul J. LeBlanc</t>
        </is>
      </c>
      <c r="F3982" t="inlineStr">
        <is>
          <t>For various meetings and discussions with Agency and Government of Canada officials</t>
        </is>
      </c>
      <c r="G3982" t="inlineStr">
        <is>
          <t>Diverses réunons et discussions avec des fonctionnaires de l'Agence et du gouvernement du Canada</t>
        </is>
      </c>
      <c r="H3982" s="1" t="n">
        <v>40623</v>
      </c>
      <c r="I3982" s="1" t="n">
        <v>40625</v>
      </c>
      <c r="J3982" t="inlineStr">
        <is>
          <t>Ottawa, Ontario</t>
        </is>
      </c>
      <c r="K3982" t="inlineStr">
        <is>
          <t>Ottawa (Ontario)</t>
        </is>
      </c>
      <c r="P3982" t="n">
        <v>727.36</v>
      </c>
      <c r="Q3982" t="n">
        <v>0</v>
      </c>
      <c r="R3982" t="n">
        <v>348.04</v>
      </c>
      <c r="S3982" t="n">
        <v>172.9</v>
      </c>
      <c r="T3982" t="n">
        <v>86.5</v>
      </c>
      <c r="U3982" t="n">
        <v>1334.8</v>
      </c>
      <c r="X3982" t="inlineStr">
        <is>
          <t>acoa-apeca</t>
        </is>
      </c>
      <c r="Y3982" t="inlineStr">
        <is>
          <t>Atlantic Canada Opportunities Agency | Agence de promotion économique du Canada atlantique</t>
        </is>
      </c>
    </row>
    <row r="3983">
      <c r="A3983" t="inlineStr">
        <is>
          <t>T-2012-Q1-00017</t>
        </is>
      </c>
      <c r="B3983" t="inlineStr">
        <is>
          <t>MPSES</t>
        </is>
      </c>
      <c r="C3983" t="inlineStr">
        <is>
          <t>Policy Advisor</t>
        </is>
      </c>
      <c r="D3983" t="inlineStr">
        <is>
          <t>Conseillère en politique</t>
        </is>
      </c>
      <c r="E3983" t="inlineStr">
        <is>
          <t>Guylaine Le Couteur</t>
        </is>
      </c>
      <c r="F3983" t="inlineStr">
        <is>
          <t>Travel with Minister to attend Boston seafood show</t>
        </is>
      </c>
      <c r="G3983" t="inlineStr">
        <is>
          <t>Voyage avec le ministre pour assister au Salon des produits de la mer de Boston</t>
        </is>
      </c>
      <c r="H3983" s="1" t="n">
        <v>40621</v>
      </c>
      <c r="I3983" s="1" t="n">
        <v>40623</v>
      </c>
      <c r="J3983" t="inlineStr">
        <is>
          <t>Boston, Massachusetts, USA</t>
        </is>
      </c>
      <c r="K3983" t="inlineStr">
        <is>
          <t>Boston, Massachusetts, É.-U.</t>
        </is>
      </c>
      <c r="P3983" t="n">
        <v>1367.43</v>
      </c>
      <c r="Q3983" t="n">
        <v>54</v>
      </c>
      <c r="R3983" t="n">
        <v>419.2</v>
      </c>
      <c r="S3983" t="n">
        <v>177.49</v>
      </c>
      <c r="T3983" t="n">
        <v>0</v>
      </c>
      <c r="U3983" t="n">
        <v>2018.12</v>
      </c>
      <c r="X3983" t="inlineStr">
        <is>
          <t>acoa-apeca</t>
        </is>
      </c>
      <c r="Y3983" t="inlineStr">
        <is>
          <t>Atlantic Canada Opportunities Agency | Agence de promotion économique du Canada atlantique</t>
        </is>
      </c>
    </row>
    <row r="3984">
      <c r="A3984" t="inlineStr">
        <is>
          <t>T-2012-Q1-00016</t>
        </is>
      </c>
      <c r="B3984" t="inlineStr">
        <is>
          <t>SLE</t>
        </is>
      </c>
      <c r="C3984" t="inlineStr">
        <is>
          <t>Vice-President, Finance and Corporate Services</t>
        </is>
      </c>
      <c r="D3984" t="inlineStr">
        <is>
          <t>Vice-présidente, Finances et Services corporatifs</t>
        </is>
      </c>
      <c r="E3984" t="inlineStr">
        <is>
          <t>Denise Frenette</t>
        </is>
      </c>
      <c r="F3984" t="inlineStr">
        <is>
          <t xml:space="preserve">Meeting with Agency Officials </t>
        </is>
      </c>
      <c r="G3984" t="inlineStr">
        <is>
          <t xml:space="preserve">Réunion avec des fonctionnaires de l'Agence </t>
        </is>
      </c>
      <c r="H3984" s="1" t="n">
        <v>40620</v>
      </c>
      <c r="I3984" s="1" t="n">
        <v>40620</v>
      </c>
      <c r="J3984" t="inlineStr">
        <is>
          <t>Charlottetown, Prince Edward Island</t>
        </is>
      </c>
      <c r="K3984" t="inlineStr">
        <is>
          <t>Charlottetown (Île-du-Prince-Édouard)</t>
        </is>
      </c>
      <c r="P3984" t="n">
        <v>0</v>
      </c>
      <c r="Q3984" t="n">
        <v>0</v>
      </c>
      <c r="R3984" t="n">
        <v>0</v>
      </c>
      <c r="S3984" t="n">
        <v>13.9</v>
      </c>
      <c r="T3984" t="n">
        <v>0</v>
      </c>
      <c r="U3984" t="n">
        <v>13.9</v>
      </c>
      <c r="X3984" t="inlineStr">
        <is>
          <t>acoa-apeca</t>
        </is>
      </c>
      <c r="Y3984" t="inlineStr">
        <is>
          <t>Atlantic Canada Opportunities Agency | Agence de promotion économique du Canada atlantique</t>
        </is>
      </c>
    </row>
    <row r="3985">
      <c r="A3985" t="inlineStr">
        <is>
          <t>T-2012-Q1-00015</t>
        </is>
      </c>
      <c r="B3985" t="inlineStr">
        <is>
          <t>SLE</t>
        </is>
      </c>
      <c r="C3985" t="inlineStr">
        <is>
          <t>Vice-President, Prince Edward Island</t>
        </is>
      </c>
      <c r="D3985" t="inlineStr">
        <is>
          <t>Vice-président, Île-du-Prince-Édouard</t>
        </is>
      </c>
      <c r="E3985" t="inlineStr">
        <is>
          <t>Patrick Dorsey</t>
        </is>
      </c>
      <c r="F3985" t="inlineStr">
        <is>
          <t>Boston Seafood Trade Show and Conference</t>
        </is>
      </c>
      <c r="G3985" t="inlineStr">
        <is>
          <t>Salon international et conférence sur les produits de la mer à Boston</t>
        </is>
      </c>
      <c r="H3985" s="1" t="n">
        <v>40620</v>
      </c>
      <c r="I3985" s="1" t="n">
        <v>40623</v>
      </c>
      <c r="J3985" t="inlineStr">
        <is>
          <t>Boston, Massachusetts, USA</t>
        </is>
      </c>
      <c r="K3985" t="inlineStr">
        <is>
          <t>Boston, Massachussets, États-Unis</t>
        </is>
      </c>
      <c r="P3985" t="n">
        <v>1871.28</v>
      </c>
      <c r="Q3985" t="n">
        <v>87.91</v>
      </c>
      <c r="R3985" t="n">
        <v>616.8</v>
      </c>
      <c r="S3985" t="n">
        <v>208.86</v>
      </c>
      <c r="T3985" t="n">
        <v>14.87</v>
      </c>
      <c r="U3985" t="n">
        <v>2799.72</v>
      </c>
      <c r="X3985" t="inlineStr">
        <is>
          <t>acoa-apeca</t>
        </is>
      </c>
      <c r="Y3985" t="inlineStr">
        <is>
          <t>Atlantic Canada Opportunities Agency | Agence de promotion économique du Canada atlantique</t>
        </is>
      </c>
    </row>
    <row r="3986">
      <c r="A3986" t="inlineStr">
        <is>
          <t>T-2012-Q1-00014</t>
        </is>
      </c>
      <c r="B3986" t="inlineStr">
        <is>
          <t>MPSES</t>
        </is>
      </c>
      <c r="C3986" t="inlineStr">
        <is>
          <t>Regional Affairs Director</t>
        </is>
      </c>
      <c r="D3986" t="inlineStr">
        <is>
          <t>Directeur des affaires régionales</t>
        </is>
      </c>
      <c r="E3986" t="inlineStr">
        <is>
          <t>Raymond Vogan</t>
        </is>
      </c>
      <c r="F3986" t="inlineStr">
        <is>
          <t>Travel to attend regional affairs meetings</t>
        </is>
      </c>
      <c r="G3986" t="inlineStr">
        <is>
          <t>Voyage pour participer à des réunions sur des questions de nature régionale</t>
        </is>
      </c>
      <c r="H3986" s="1" t="n">
        <v>40617</v>
      </c>
      <c r="I3986" s="1" t="n">
        <v>40619</v>
      </c>
      <c r="J3986" t="inlineStr">
        <is>
          <t>Edmunston, Cambellton, Caraquet, Shippagan, New Brunswick</t>
        </is>
      </c>
      <c r="K3986" t="inlineStr">
        <is>
          <t>Edmundston, Cambellton, Caraquet et Shippagan (N.-B.)</t>
        </is>
      </c>
      <c r="P3986" t="n">
        <v>0</v>
      </c>
      <c r="Q3986" t="n">
        <v>0</v>
      </c>
      <c r="R3986" t="n">
        <v>223.74</v>
      </c>
      <c r="S3986" t="n">
        <v>216.4</v>
      </c>
      <c r="T3986" t="n">
        <v>0</v>
      </c>
      <c r="U3986" t="n">
        <v>440.14</v>
      </c>
      <c r="X3986" t="inlineStr">
        <is>
          <t>acoa-apeca</t>
        </is>
      </c>
      <c r="Y3986" t="inlineStr">
        <is>
          <t>Atlantic Canada Opportunities Agency | Agence de promotion économique du Canada atlantique</t>
        </is>
      </c>
    </row>
    <row r="3987">
      <c r="A3987" t="inlineStr">
        <is>
          <t>T-2012-Q1-00013</t>
        </is>
      </c>
      <c r="B3987" t="inlineStr">
        <is>
          <t>MPSES</t>
        </is>
      </c>
      <c r="C3987" t="inlineStr">
        <is>
          <t>Policy Advisor</t>
        </is>
      </c>
      <c r="D3987" t="inlineStr">
        <is>
          <t>Conseillère en politique</t>
        </is>
      </c>
      <c r="E3987" t="inlineStr">
        <is>
          <t>Guylaine Le Couteur</t>
        </is>
      </c>
      <c r="F3987" t="inlineStr">
        <is>
          <t>Travel for attending ACOA-PEI regional meetings</t>
        </is>
      </c>
      <c r="G3987" t="inlineStr">
        <is>
          <t>Voyage pour participer à des réunions régionales du bureau de l'APECA à l'Île-du-Prince-Édouard</t>
        </is>
      </c>
      <c r="H3987" s="1" t="n">
        <v>40616</v>
      </c>
      <c r="I3987" s="1" t="n">
        <v>40617</v>
      </c>
      <c r="J3987" t="inlineStr">
        <is>
          <t>Charlottetown, Prince Edward Island</t>
        </is>
      </c>
      <c r="K3987" t="inlineStr">
        <is>
          <t>Charlottetown (Île-du-Prince-Édouard)</t>
        </is>
      </c>
      <c r="P3987" t="n">
        <v>645.92</v>
      </c>
      <c r="Q3987" t="n">
        <v>36</v>
      </c>
      <c r="R3987" t="n">
        <v>117.6</v>
      </c>
      <c r="S3987" t="n">
        <v>77.2</v>
      </c>
      <c r="T3987" t="n">
        <v>0</v>
      </c>
      <c r="U3987" t="n">
        <v>876.72</v>
      </c>
      <c r="X3987" t="inlineStr">
        <is>
          <t>acoa-apeca</t>
        </is>
      </c>
      <c r="Y3987" t="inlineStr">
        <is>
          <t>Atlantic Canada Opportunities Agency | Agence de promotion économique du Canada atlantique</t>
        </is>
      </c>
    </row>
    <row r="3988">
      <c r="A3988" t="inlineStr">
        <is>
          <t>T-2012-Q1-00012</t>
        </is>
      </c>
      <c r="B3988" t="inlineStr">
        <is>
          <t>SLE</t>
        </is>
      </c>
      <c r="C3988" t="inlineStr">
        <is>
          <t>Vice President, Nova Scotia</t>
        </is>
      </c>
      <c r="D3988" t="inlineStr">
        <is>
          <t>Vice-président, Nouvelle-Écosse</t>
        </is>
      </c>
      <c r="E3988" t="inlineStr">
        <is>
          <t>Peter Hogan</t>
        </is>
      </c>
      <c r="F3988" t="inlineStr">
        <is>
          <t>Atlantic Canada Opportunities Board Meeting</t>
        </is>
      </c>
      <c r="G3988" t="inlineStr">
        <is>
          <t>Réunion du Conseil de promotion économique du Canada atlantique</t>
        </is>
      </c>
      <c r="H3988" s="1" t="n">
        <v>40615</v>
      </c>
      <c r="I3988" s="1" t="n">
        <v>40616</v>
      </c>
      <c r="J3988" t="inlineStr">
        <is>
          <t>Charlottetown, Prince Edward Island</t>
        </is>
      </c>
      <c r="K3988" t="inlineStr">
        <is>
          <t>Charlottetown (Île-du-Prince-Édouard)</t>
        </is>
      </c>
      <c r="P3988" t="n">
        <v>0</v>
      </c>
      <c r="Q3988" t="n">
        <v>58.25</v>
      </c>
      <c r="R3988" t="n">
        <v>50</v>
      </c>
      <c r="S3988" t="n">
        <v>127.8</v>
      </c>
      <c r="T3988" t="n">
        <v>0</v>
      </c>
      <c r="U3988" t="n">
        <v>236.05</v>
      </c>
      <c r="X3988" t="inlineStr">
        <is>
          <t>acoa-apeca</t>
        </is>
      </c>
      <c r="Y3988" t="inlineStr">
        <is>
          <t>Atlantic Canada Opportunities Agency | Agence de promotion économique du Canada atlantique</t>
        </is>
      </c>
    </row>
    <row r="3989">
      <c r="A3989" t="inlineStr">
        <is>
          <t>T-2011-Q4-00069</t>
        </is>
      </c>
      <c r="B3989" t="inlineStr">
        <is>
          <t>MPSES</t>
        </is>
      </c>
      <c r="C3989" t="inlineStr">
        <is>
          <t>Regional Affairs Director</t>
        </is>
      </c>
      <c r="D3989" t="inlineStr">
        <is>
          <t>Directeur des affaires régionales</t>
        </is>
      </c>
      <c r="E3989" t="inlineStr">
        <is>
          <t>Raymond Vogan</t>
        </is>
      </c>
      <c r="F3989" t="inlineStr">
        <is>
          <t>Travel to attend regional affairs meetings</t>
        </is>
      </c>
      <c r="G3989" t="inlineStr">
        <is>
          <t>Voyage pour participer à des réunions sur des questions de nature régionale</t>
        </is>
      </c>
      <c r="H3989" s="1" t="n">
        <v>40597</v>
      </c>
      <c r="I3989" s="1" t="n">
        <v>40597</v>
      </c>
      <c r="J3989" t="inlineStr">
        <is>
          <t>Moncton, New Brunswick</t>
        </is>
      </c>
      <c r="K3989" t="inlineStr">
        <is>
          <t>Moncton (Nouveau-Brunswick)</t>
        </is>
      </c>
      <c r="P3989" t="n">
        <v>0</v>
      </c>
      <c r="Q3989" t="n">
        <v>339.08</v>
      </c>
      <c r="R3989" t="n">
        <v>0</v>
      </c>
      <c r="S3989" t="n">
        <v>67.90000000000001</v>
      </c>
      <c r="T3989" t="n">
        <v>0</v>
      </c>
      <c r="U3989" t="n">
        <v>406.98</v>
      </c>
      <c r="X3989" t="inlineStr">
        <is>
          <t>acoa-apeca</t>
        </is>
      </c>
      <c r="Y3989" t="inlineStr">
        <is>
          <t>Atlantic Canada Opportunities Agency | Agence de promotion économique du Canada atlantique</t>
        </is>
      </c>
    </row>
    <row r="3990">
      <c r="A3990" t="inlineStr">
        <is>
          <t>T-2012-Q1-00010</t>
        </is>
      </c>
      <c r="B3990" t="inlineStr">
        <is>
          <t>SLE</t>
        </is>
      </c>
      <c r="C3990" t="inlineStr">
        <is>
          <t>President</t>
        </is>
      </c>
      <c r="D3990" t="inlineStr">
        <is>
          <t>Président</t>
        </is>
      </c>
      <c r="E3990" t="inlineStr">
        <is>
          <t>Paul J. LeBlanc</t>
        </is>
      </c>
      <c r="F3990" t="inlineStr">
        <is>
          <t>For meeting with Agency and private sector officials</t>
        </is>
      </c>
      <c r="G3990" t="inlineStr">
        <is>
          <t>Réunion avec des fonctionnaires de l'Agence et des représentants du secteur privé</t>
        </is>
      </c>
      <c r="H3990" s="1" t="n">
        <v>40615</v>
      </c>
      <c r="I3990" s="1" t="n">
        <v>40616</v>
      </c>
      <c r="J3990" t="inlineStr">
        <is>
          <t>Charlottetown, Prince Edward Island</t>
        </is>
      </c>
      <c r="K3990" t="inlineStr">
        <is>
          <t>Charlottetown (Île-du-Prince-Édouard)</t>
        </is>
      </c>
      <c r="P3990" t="n">
        <v>0</v>
      </c>
      <c r="Q3990" t="n">
        <v>0</v>
      </c>
      <c r="R3990" t="n">
        <v>117.6</v>
      </c>
      <c r="S3990" t="n">
        <v>34.6</v>
      </c>
      <c r="T3990" t="n">
        <v>0</v>
      </c>
      <c r="U3990" t="n">
        <v>152.2</v>
      </c>
      <c r="X3990" t="inlineStr">
        <is>
          <t>acoa-apeca</t>
        </is>
      </c>
      <c r="Y3990" t="inlineStr">
        <is>
          <t>Atlantic Canada Opportunities Agency | Agence de promotion économique du Canada atlantique</t>
        </is>
      </c>
    </row>
    <row r="3991">
      <c r="A3991" t="inlineStr">
        <is>
          <t>T-2012-Q1-00009</t>
        </is>
      </c>
      <c r="B3991" t="inlineStr">
        <is>
          <t>MPSES</t>
        </is>
      </c>
      <c r="C3991" t="inlineStr">
        <is>
          <t>Policy Advisor</t>
        </is>
      </c>
      <c r="D3991" t="inlineStr">
        <is>
          <t>Conseiller politique</t>
        </is>
      </c>
      <c r="E3991" t="inlineStr">
        <is>
          <t>Terry Andow</t>
        </is>
      </c>
      <c r="F3991" t="inlineStr">
        <is>
          <t xml:space="preserve">Travel to attend various ACOA meetings </t>
        </is>
      </c>
      <c r="G3991" t="inlineStr">
        <is>
          <t>Voyage pour participer à diverses réunions de l'APECA</t>
        </is>
      </c>
      <c r="H3991" s="1" t="n">
        <v>40613</v>
      </c>
      <c r="I3991" s="1" t="n">
        <v>40627</v>
      </c>
      <c r="J3991" t="inlineStr">
        <is>
          <t>Fredericton, New Brunswick</t>
        </is>
      </c>
      <c r="K3991" t="inlineStr">
        <is>
          <t>Fredericton (Nouveau-Brunswick)</t>
        </is>
      </c>
      <c r="P3991" t="n">
        <v>354.96</v>
      </c>
      <c r="Q3991" t="n">
        <v>66</v>
      </c>
      <c r="R3991" t="n">
        <v>0</v>
      </c>
      <c r="S3991" t="n">
        <v>0</v>
      </c>
      <c r="T3991" t="n">
        <v>0</v>
      </c>
      <c r="U3991" t="n">
        <v>420.96</v>
      </c>
      <c r="X3991" t="inlineStr">
        <is>
          <t>acoa-apeca</t>
        </is>
      </c>
      <c r="Y3991" t="inlineStr">
        <is>
          <t>Atlantic Canada Opportunities Agency | Agence de promotion économique du Canada atlantique</t>
        </is>
      </c>
    </row>
    <row r="3992">
      <c r="A3992" t="inlineStr">
        <is>
          <t>T-2012-Q1-00008</t>
        </is>
      </c>
      <c r="B3992" t="inlineStr">
        <is>
          <t>SLE</t>
        </is>
      </c>
      <c r="C3992" t="inlineStr">
        <is>
          <t>President</t>
        </is>
      </c>
      <c r="D3992" t="inlineStr">
        <is>
          <t>Président</t>
        </is>
      </c>
      <c r="E3992" t="inlineStr">
        <is>
          <t>Paul J. LeBlanc</t>
        </is>
      </c>
      <c r="F3992" t="inlineStr">
        <is>
          <t>For various meetings and discussions with Agency and Government officials</t>
        </is>
      </c>
      <c r="G3992" t="inlineStr">
        <is>
          <t>Diverses réunons et discussions avec des fonctionnaires de l'Agence et du gouvernement du Canada</t>
        </is>
      </c>
      <c r="H3992" s="1" t="n">
        <v>40612</v>
      </c>
      <c r="I3992" s="1" t="n">
        <v>40613</v>
      </c>
      <c r="J3992" t="inlineStr">
        <is>
          <t>Halifax, Nova Scotia</t>
        </is>
      </c>
      <c r="K3992" t="inlineStr">
        <is>
          <t>Halifax (Nouvelle-Écosse)</t>
        </is>
      </c>
      <c r="P3992" t="n">
        <v>0</v>
      </c>
      <c r="Q3992" t="n">
        <v>0</v>
      </c>
      <c r="R3992" t="n">
        <v>139.59</v>
      </c>
      <c r="S3992" t="n">
        <v>127.8</v>
      </c>
      <c r="T3992" t="n">
        <v>0</v>
      </c>
      <c r="U3992" t="n">
        <v>267.39</v>
      </c>
      <c r="X3992" t="inlineStr">
        <is>
          <t>acoa-apeca</t>
        </is>
      </c>
      <c r="Y3992" t="inlineStr">
        <is>
          <t>Atlantic Canada Opportunities Agency | Agence de promotion économique du Canada atlantique</t>
        </is>
      </c>
    </row>
    <row r="3993">
      <c r="A3993" t="inlineStr">
        <is>
          <t>T-2012-Q1-00007</t>
        </is>
      </c>
      <c r="B3993" t="inlineStr">
        <is>
          <t>SLE</t>
        </is>
      </c>
      <c r="C3993" t="inlineStr">
        <is>
          <t>Vice President, Nova Scotia</t>
        </is>
      </c>
      <c r="D3993" t="inlineStr">
        <is>
          <t>Vice-président, Nouvelle-Écosse</t>
        </is>
      </c>
      <c r="E3993" t="inlineStr">
        <is>
          <t>Peter Hogan</t>
        </is>
      </c>
      <c r="F3993" t="inlineStr">
        <is>
          <t>Parliamentary Standing Committee</t>
        </is>
      </c>
      <c r="G3993" t="inlineStr">
        <is>
          <t>Comité permanent du Parlement</t>
        </is>
      </c>
      <c r="H3993" s="1" t="n">
        <v>40611</v>
      </c>
      <c r="I3993" s="1" t="n">
        <v>40612</v>
      </c>
      <c r="J3993" t="inlineStr">
        <is>
          <t>Ottawa</t>
        </is>
      </c>
      <c r="K3993" t="inlineStr">
        <is>
          <t>Ottawa (Ontario)</t>
        </is>
      </c>
      <c r="P3993" t="n">
        <v>1564.74</v>
      </c>
      <c r="Q3993" t="n">
        <v>126.4</v>
      </c>
      <c r="R3993" t="n">
        <v>157.07</v>
      </c>
      <c r="S3993" t="n">
        <v>141.7</v>
      </c>
      <c r="T3993" t="n">
        <v>0</v>
      </c>
      <c r="U3993" t="n">
        <v>1989.91</v>
      </c>
      <c r="X3993" t="inlineStr">
        <is>
          <t>acoa-apeca</t>
        </is>
      </c>
      <c r="Y3993" t="inlineStr">
        <is>
          <t>Atlantic Canada Opportunities Agency | Agence de promotion économique du Canada atlantique</t>
        </is>
      </c>
    </row>
    <row r="3994">
      <c r="A3994" t="inlineStr">
        <is>
          <t>T-2012-Q1-00006</t>
        </is>
      </c>
      <c r="B3994" t="inlineStr">
        <is>
          <t>SLE</t>
        </is>
      </c>
      <c r="C3994" t="inlineStr">
        <is>
          <t>Vice-President, New Brunswick</t>
        </is>
      </c>
      <c r="D3994" t="inlineStr">
        <is>
          <t>Vice-présidente, Nouveau-Brunswick</t>
        </is>
      </c>
      <c r="E3994" t="inlineStr">
        <is>
          <t>Janet Gagnon</t>
        </is>
      </c>
      <c r="F3994" t="inlineStr">
        <is>
          <t>Economic Development meeting with City Council</t>
        </is>
      </c>
      <c r="G3994" t="inlineStr">
        <is>
          <t>Réunion sur le développement économique avec conseil municipal</t>
        </is>
      </c>
      <c r="H3994" s="1" t="n">
        <v>40611</v>
      </c>
      <c r="I3994" s="1" t="n">
        <v>40612</v>
      </c>
      <c r="J3994" t="inlineStr">
        <is>
          <t>Bathurst, New Brunswick</t>
        </is>
      </c>
      <c r="K3994" t="inlineStr">
        <is>
          <t>Bathurst (Nouveau-Brunswick)</t>
        </is>
      </c>
      <c r="P3994" t="n">
        <v>0</v>
      </c>
      <c r="Q3994" t="n">
        <v>0</v>
      </c>
      <c r="R3994" t="n">
        <v>120.91</v>
      </c>
      <c r="S3994" t="n">
        <v>102.5</v>
      </c>
      <c r="T3994" t="n">
        <v>0</v>
      </c>
      <c r="U3994" t="n">
        <v>223.41</v>
      </c>
      <c r="X3994" t="inlineStr">
        <is>
          <t>acoa-apeca</t>
        </is>
      </c>
      <c r="Y3994" t="inlineStr">
        <is>
          <t>Atlantic Canada Opportunities Agency | Agence de promotion économique du Canada atlantique</t>
        </is>
      </c>
    </row>
    <row r="3995">
      <c r="A3995" t="inlineStr">
        <is>
          <t>T-2012-Q1-00005</t>
        </is>
      </c>
      <c r="B3995" t="inlineStr">
        <is>
          <t>SLE</t>
        </is>
      </c>
      <c r="C3995" t="inlineStr">
        <is>
          <t>President</t>
        </is>
      </c>
      <c r="D3995" t="inlineStr">
        <is>
          <t>Président</t>
        </is>
      </c>
      <c r="E3995" t="inlineStr">
        <is>
          <t>Paul J. LeBlanc</t>
        </is>
      </c>
      <c r="F3995" t="inlineStr">
        <is>
          <t>For various meetings and discussions with Agency and Government of Canada officials</t>
        </is>
      </c>
      <c r="G3995" t="inlineStr">
        <is>
          <t>Diverses réunions et discussions avec des fonctionnaires de l'Agence et du gouvernement du Canada</t>
        </is>
      </c>
      <c r="H3995" s="1" t="n">
        <v>40610</v>
      </c>
      <c r="I3995" s="1" t="n">
        <v>40611</v>
      </c>
      <c r="J3995" t="inlineStr">
        <is>
          <t>Ottawa, Ontario</t>
        </is>
      </c>
      <c r="K3995" t="inlineStr">
        <is>
          <t>Ottawa (Ontario)</t>
        </is>
      </c>
      <c r="P3995" t="n">
        <v>1000.5</v>
      </c>
      <c r="Q3995" t="n">
        <v>0</v>
      </c>
      <c r="R3995" t="n">
        <v>174.02</v>
      </c>
      <c r="S3995" t="n">
        <v>102.5</v>
      </c>
      <c r="T3995" t="n">
        <v>71.5</v>
      </c>
      <c r="U3995" t="n">
        <v>1348.52</v>
      </c>
      <c r="X3995" t="inlineStr">
        <is>
          <t>acoa-apeca</t>
        </is>
      </c>
      <c r="Y3995" t="inlineStr">
        <is>
          <t>Atlantic Canada Opportunities Agency | Agence de promotion économique du Canada atlantique</t>
        </is>
      </c>
    </row>
    <row r="3996">
      <c r="A3996" t="inlineStr">
        <is>
          <t>T-2012-Q1-00004</t>
        </is>
      </c>
      <c r="B3996" t="inlineStr">
        <is>
          <t>SLE</t>
        </is>
      </c>
      <c r="C3996" t="inlineStr">
        <is>
          <t>Vice-President, Newfoundland and Labrador</t>
        </is>
      </c>
      <c r="D3996" t="inlineStr">
        <is>
          <t>Vice-président, Terre-Neuve-et-Labrador</t>
        </is>
      </c>
      <c r="E3996" t="inlineStr">
        <is>
          <t>Paul Mills</t>
        </is>
      </c>
      <c r="F3996" t="inlineStr">
        <is>
          <t>Meetings with senior government officials in Ottawa</t>
        </is>
      </c>
      <c r="G3996" t="inlineStr">
        <is>
          <t>Réunions avec des hauts fonctionnaires à Ottawa</t>
        </is>
      </c>
      <c r="H3996" s="1" t="n">
        <v>40610</v>
      </c>
      <c r="I3996" s="1" t="n">
        <v>40612</v>
      </c>
      <c r="J3996" t="inlineStr">
        <is>
          <t>Ottawa, Ontario</t>
        </is>
      </c>
      <c r="K3996" t="inlineStr">
        <is>
          <t>Ottawa (Ontario)</t>
        </is>
      </c>
      <c r="P3996" t="n">
        <v>1264.76</v>
      </c>
      <c r="Q3996" t="n">
        <v>126</v>
      </c>
      <c r="R3996" t="n">
        <v>348.04</v>
      </c>
      <c r="S3996" t="n">
        <v>187.7</v>
      </c>
      <c r="T3996" t="n">
        <v>14.26</v>
      </c>
      <c r="U3996" t="n">
        <v>1940.76</v>
      </c>
      <c r="X3996" t="inlineStr">
        <is>
          <t>acoa-apeca</t>
        </is>
      </c>
      <c r="Y3996" t="inlineStr">
        <is>
          <t>Atlantic Canada Opportunities Agency | Agence de promotion économique du Canada atlantique</t>
        </is>
      </c>
    </row>
    <row r="3997">
      <c r="A3997" t="inlineStr">
        <is>
          <t>T-2011-Q4-00065</t>
        </is>
      </c>
      <c r="B3997" t="inlineStr">
        <is>
          <t>SLE</t>
        </is>
      </c>
      <c r="C3997" t="inlineStr">
        <is>
          <t>Vice President, Nova Scotia</t>
        </is>
      </c>
      <c r="D3997" t="inlineStr">
        <is>
          <t>Vice-président, Nouvelle-Écosse</t>
        </is>
      </c>
      <c r="E3997" t="inlineStr">
        <is>
          <t>Peter Hogan</t>
        </is>
      </c>
      <c r="F3997" t="inlineStr">
        <is>
          <t>Meeting with Government of Canada and private sector officials</t>
        </is>
      </c>
      <c r="G3997" t="inlineStr">
        <is>
          <t>Réunion avec des fonctionnaires du gouvernement du Canada et des représentants du secteur privé</t>
        </is>
      </c>
      <c r="H3997" s="1" t="n">
        <v>40595</v>
      </c>
      <c r="I3997" s="1" t="n">
        <v>40595</v>
      </c>
      <c r="J3997" t="inlineStr">
        <is>
          <t>Halifax, Nova Scotia</t>
        </is>
      </c>
      <c r="K3997" t="inlineStr">
        <is>
          <t>Halifax (Nouvelle-Écosse)</t>
        </is>
      </c>
      <c r="P3997" t="n">
        <v>0</v>
      </c>
      <c r="Q3997" t="n">
        <v>12</v>
      </c>
      <c r="R3997" t="n">
        <v>0</v>
      </c>
      <c r="S3997" t="n">
        <v>0</v>
      </c>
      <c r="T3997" t="n">
        <v>0</v>
      </c>
      <c r="U3997" t="n">
        <v>12</v>
      </c>
      <c r="X3997" t="inlineStr">
        <is>
          <t>acoa-apeca</t>
        </is>
      </c>
      <c r="Y3997" t="inlineStr">
        <is>
          <t>Atlantic Canada Opportunities Agency | Agence de promotion économique du Canada atlantique</t>
        </is>
      </c>
    </row>
    <row r="3998">
      <c r="A3998" t="inlineStr">
        <is>
          <t>T-2012-Q1-00003</t>
        </is>
      </c>
      <c r="B3998" t="inlineStr">
        <is>
          <t>SLE</t>
        </is>
      </c>
      <c r="C3998" t="inlineStr">
        <is>
          <t>Vice-President, Prince Edward Island</t>
        </is>
      </c>
      <c r="D3998" t="inlineStr">
        <is>
          <t>Vice-président, Île-du-Prince-Édouard</t>
        </is>
      </c>
      <c r="E3998" t="inlineStr">
        <is>
          <t>Patrick Dorsey</t>
        </is>
      </c>
      <c r="F3998" t="inlineStr">
        <is>
          <t>Various Meetings and Discussions with Agency and Government of Canada Officials</t>
        </is>
      </c>
      <c r="G3998" t="inlineStr">
        <is>
          <t>Diverses réunions et discussions avec des fonctionnaires de l'Agence et du gouvernement du Canada</t>
        </is>
      </c>
      <c r="H3998" s="1" t="n">
        <v>40609</v>
      </c>
      <c r="I3998" s="1" t="n">
        <v>40611</v>
      </c>
      <c r="J3998" t="inlineStr">
        <is>
          <t>Ottawa, Ontario</t>
        </is>
      </c>
      <c r="K3998" t="inlineStr">
        <is>
          <t>Ottawa (Ontario)</t>
        </is>
      </c>
      <c r="P3998" t="n">
        <v>704.85</v>
      </c>
      <c r="Q3998" t="n">
        <v>78.75</v>
      </c>
      <c r="R3998" t="n">
        <v>350.3</v>
      </c>
      <c r="S3998" t="n">
        <v>134.6</v>
      </c>
      <c r="T3998" t="n">
        <v>0</v>
      </c>
      <c r="U3998" t="n">
        <v>1268.5</v>
      </c>
      <c r="X3998" t="inlineStr">
        <is>
          <t>acoa-apeca</t>
        </is>
      </c>
      <c r="Y3998" t="inlineStr">
        <is>
          <t>Atlantic Canada Opportunities Agency | Agence de promotion économique du Canada atlantique</t>
        </is>
      </c>
    </row>
    <row r="3999">
      <c r="A3999" t="inlineStr">
        <is>
          <t>T-2012-Q1-00002</t>
        </is>
      </c>
      <c r="B3999" t="inlineStr">
        <is>
          <t>SLE</t>
        </is>
      </c>
      <c r="C3999" t="inlineStr">
        <is>
          <t>Vice-President, Prince Edward Island</t>
        </is>
      </c>
      <c r="D3999" t="inlineStr">
        <is>
          <t>Vice-président, Île-du-Prince-Édouard</t>
        </is>
      </c>
      <c r="E3999" t="inlineStr">
        <is>
          <t>Patrick Dorsey</t>
        </is>
      </c>
      <c r="F3999" t="inlineStr">
        <is>
          <t>Various Meetings and Discussions with Agency and Government of Canada Officials</t>
        </is>
      </c>
      <c r="G3999" t="inlineStr">
        <is>
          <t>Diverses réunions et discussions avec des fonctionnaires de l'Agence et du gouvernement du Canada</t>
        </is>
      </c>
      <c r="H3999" s="1" t="n">
        <v>40604</v>
      </c>
      <c r="I3999" s="1" t="n">
        <v>40605</v>
      </c>
      <c r="J3999" t="inlineStr">
        <is>
          <t>Ottawa, Ontario</t>
        </is>
      </c>
      <c r="K3999" t="inlineStr">
        <is>
          <t>Ottawa (Ontario)</t>
        </is>
      </c>
      <c r="P3999" t="n">
        <v>1624.36</v>
      </c>
      <c r="Q3999" t="n">
        <v>95.5</v>
      </c>
      <c r="R3999" t="n">
        <v>175.15</v>
      </c>
      <c r="S3999" t="n">
        <v>102.5</v>
      </c>
      <c r="T3999" t="n">
        <v>0</v>
      </c>
      <c r="U3999" t="n">
        <v>1997.51</v>
      </c>
      <c r="X3999" t="inlineStr">
        <is>
          <t>acoa-apeca</t>
        </is>
      </c>
      <c r="Y3999" t="inlineStr">
        <is>
          <t>Atlantic Canada Opportunities Agency | Agence de promotion économique du Canada atlantique</t>
        </is>
      </c>
    </row>
    <row r="4000">
      <c r="A4000" t="inlineStr">
        <is>
          <t>T-2012-Q1-00001</t>
        </is>
      </c>
      <c r="B4000" t="inlineStr">
        <is>
          <t>SLE</t>
        </is>
      </c>
      <c r="C4000" t="inlineStr">
        <is>
          <t>Vice-President, New Brunswick</t>
        </is>
      </c>
      <c r="D4000" t="inlineStr">
        <is>
          <t>Vice-présidente, Nouveau-Brunswick</t>
        </is>
      </c>
      <c r="E4000" t="inlineStr">
        <is>
          <t>Janet Gagnon</t>
        </is>
      </c>
      <c r="F4000" t="inlineStr">
        <is>
          <t xml:space="preserve">Interviews for Director General position in Newfoundland </t>
        </is>
      </c>
      <c r="G4000" t="inlineStr">
        <is>
          <t>Entrevues pour le poste de directeur général à Terre-Neuve-et-Labrador</t>
        </is>
      </c>
      <c r="H4000" s="1" t="n">
        <v>40604</v>
      </c>
      <c r="I4000" s="1" t="n">
        <v>40606</v>
      </c>
      <c r="J4000" t="inlineStr">
        <is>
          <t>St. John's, Newfoundland</t>
        </is>
      </c>
      <c r="K4000" t="inlineStr">
        <is>
          <t>St. John's (Terre-Neuve-et-Labrador)</t>
        </is>
      </c>
      <c r="P4000" t="n">
        <v>1139.17</v>
      </c>
      <c r="Q4000" t="n">
        <v>53</v>
      </c>
      <c r="R4000" t="n">
        <v>290</v>
      </c>
      <c r="S4000" t="n">
        <v>201.6</v>
      </c>
      <c r="T4000" t="n">
        <v>30</v>
      </c>
      <c r="U4000" t="n">
        <v>1713.77</v>
      </c>
      <c r="X4000" t="inlineStr">
        <is>
          <t>acoa-apeca</t>
        </is>
      </c>
      <c r="Y4000" t="inlineStr">
        <is>
          <t>Atlantic Canada Opportunities Agency | Agence de promotion économique du Canada atlantique</t>
        </is>
      </c>
    </row>
    <row r="4001">
      <c r="A4001" t="inlineStr">
        <is>
          <t>T-2011-Q4-00072</t>
        </is>
      </c>
      <c r="B4001" t="inlineStr">
        <is>
          <t>SLE</t>
        </is>
      </c>
      <c r="C4001" t="inlineStr">
        <is>
          <t>President</t>
        </is>
      </c>
      <c r="D4001" t="inlineStr">
        <is>
          <t>Président</t>
        </is>
      </c>
      <c r="E4001" t="inlineStr">
        <is>
          <t>Paul J. LeBlanc</t>
        </is>
      </c>
      <c r="F4001" t="inlineStr">
        <is>
          <t>For various meetings and discussions with Agency and Government of Canada officials</t>
        </is>
      </c>
      <c r="G4001" t="inlineStr">
        <is>
          <t>Diverses réunions et discussions avec des fonctionnaires de l'Agence et du gouvernement du Canada</t>
        </is>
      </c>
      <c r="H4001" s="1" t="n">
        <v>40603</v>
      </c>
      <c r="I4001" s="1" t="n">
        <v>40606</v>
      </c>
      <c r="J4001" t="inlineStr">
        <is>
          <t>Ottawa, Ontario</t>
        </is>
      </c>
      <c r="K4001" t="inlineStr">
        <is>
          <t>Ottawwa (Ontario)</t>
        </is>
      </c>
      <c r="P4001" t="n">
        <v>1000.5</v>
      </c>
      <c r="Q4001" t="n">
        <v>0</v>
      </c>
      <c r="R4001" t="n">
        <v>522.0599999999999</v>
      </c>
      <c r="S4001" t="n">
        <v>258.1</v>
      </c>
      <c r="T4001" t="n">
        <v>45</v>
      </c>
      <c r="U4001" t="n">
        <v>1825.66</v>
      </c>
      <c r="X4001" t="inlineStr">
        <is>
          <t>acoa-apeca</t>
        </is>
      </c>
      <c r="Y4001" t="inlineStr">
        <is>
          <t>Atlantic Canada Opportunities Agency | Agence de promotion économique du Canada atlantique</t>
        </is>
      </c>
    </row>
    <row r="4002">
      <c r="A4002" t="inlineStr">
        <is>
          <t>T-2011-Q4-00071</t>
        </is>
      </c>
      <c r="B4002" t="inlineStr">
        <is>
          <t>SLE</t>
        </is>
      </c>
      <c r="C4002" t="inlineStr">
        <is>
          <t>Vice-President, New Brunswick</t>
        </is>
      </c>
      <c r="D4002" t="inlineStr">
        <is>
          <t>Vice-présidente, Nouveau-Brunswick</t>
        </is>
      </c>
      <c r="E4002" t="inlineStr">
        <is>
          <t>Janet Gagnon</t>
        </is>
      </c>
      <c r="F4002" t="inlineStr">
        <is>
          <t>Meeting with the Minister</t>
        </is>
      </c>
      <c r="G4002" t="inlineStr">
        <is>
          <t>Réunion avec le ministre</t>
        </is>
      </c>
      <c r="H4002" s="1" t="n">
        <v>40601</v>
      </c>
      <c r="I4002" s="1" t="n">
        <v>40603</v>
      </c>
      <c r="J4002" t="inlineStr">
        <is>
          <t>Ottawa, Ontario</t>
        </is>
      </c>
      <c r="K4002" t="inlineStr">
        <is>
          <t>Ottawa (Ontario)</t>
        </is>
      </c>
      <c r="P4002" t="n">
        <v>747.3</v>
      </c>
      <c r="Q4002" t="n">
        <v>83</v>
      </c>
      <c r="R4002" t="n">
        <v>348.04</v>
      </c>
      <c r="S4002" t="n">
        <v>226.9</v>
      </c>
      <c r="T4002" t="n">
        <v>30</v>
      </c>
      <c r="U4002" t="n">
        <v>1435.24</v>
      </c>
      <c r="X4002" t="inlineStr">
        <is>
          <t>acoa-apeca</t>
        </is>
      </c>
      <c r="Y4002" t="inlineStr">
        <is>
          <t>Atlantic Canada Opportunities Agency | Agence de promotion économique du Canada atlantique</t>
        </is>
      </c>
    </row>
    <row r="4003">
      <c r="A4003" t="inlineStr">
        <is>
          <t>T-2011-Q4-00070</t>
        </is>
      </c>
      <c r="B4003" t="inlineStr">
        <is>
          <t>SLE</t>
        </is>
      </c>
      <c r="C4003" t="inlineStr">
        <is>
          <t>President</t>
        </is>
      </c>
      <c r="D4003" t="inlineStr">
        <is>
          <t>Président</t>
        </is>
      </c>
      <c r="E4003" t="inlineStr">
        <is>
          <t>Paul J. LeBlanc</t>
        </is>
      </c>
      <c r="F4003" t="inlineStr">
        <is>
          <t>For various meetings and discussions with Agency, Government and Industry officials</t>
        </is>
      </c>
      <c r="G4003" t="inlineStr">
        <is>
          <t>Diverses réunions et discussions avec des fonctionnaires de l'Agence et du gouvernement du Canada et des représentants de l'industrie</t>
        </is>
      </c>
      <c r="H4003" s="1" t="n">
        <v>40598</v>
      </c>
      <c r="I4003" s="1" t="n">
        <v>40599</v>
      </c>
      <c r="J4003" t="inlineStr">
        <is>
          <t>Charlottetown, Prince Edward Island</t>
        </is>
      </c>
      <c r="K4003" t="inlineStr">
        <is>
          <t>Charlottetown (Île-du-Prince-Édouard)</t>
        </is>
      </c>
      <c r="P4003" t="n">
        <v>0</v>
      </c>
      <c r="Q4003" t="n">
        <v>0</v>
      </c>
      <c r="R4003" t="n">
        <v>117.6</v>
      </c>
      <c r="S4003" t="n">
        <v>113</v>
      </c>
      <c r="T4003" t="n">
        <v>0</v>
      </c>
      <c r="U4003" t="n">
        <v>230.6</v>
      </c>
      <c r="X4003" t="inlineStr">
        <is>
          <t>acoa-apeca</t>
        </is>
      </c>
      <c r="Y4003" t="inlineStr">
        <is>
          <t>Atlantic Canada Opportunities Agency | Agence de promotion économique du Canada atlantique</t>
        </is>
      </c>
    </row>
    <row r="4004">
      <c r="A4004" t="inlineStr">
        <is>
          <t>T-2018-Q1-00023</t>
        </is>
      </c>
      <c r="B4004" t="inlineStr">
        <is>
          <t>SLE</t>
        </is>
      </c>
      <c r="C4004" t="inlineStr">
        <is>
          <t>Senior Advisor (Energy)</t>
        </is>
      </c>
      <c r="D4004" t="inlineStr">
        <is>
          <t>Conseiller spécial (energie)</t>
        </is>
      </c>
      <c r="E4004" t="inlineStr">
        <is>
          <t>Andrew F. Noseworthy</t>
        </is>
      </c>
      <c r="F4004" t="inlineStr">
        <is>
          <t>Attend the Offshore Technology Conference 2017</t>
        </is>
      </c>
      <c r="G4004" t="inlineStr">
        <is>
          <t>Assister à l'Offshore Technology Conference 2017</t>
        </is>
      </c>
      <c r="H4004" s="1" t="n">
        <v>42853</v>
      </c>
      <c r="I4004" s="1" t="n">
        <v>42861</v>
      </c>
      <c r="J4004" t="inlineStr">
        <is>
          <t>Houston, Texas</t>
        </is>
      </c>
      <c r="K4004" t="inlineStr">
        <is>
          <t>Houston, Texas</t>
        </is>
      </c>
      <c r="P4004" t="n">
        <v>1244.39</v>
      </c>
      <c r="Q4004" t="n">
        <v>782.98</v>
      </c>
      <c r="R4004" t="n">
        <v>2796.07</v>
      </c>
      <c r="S4004" t="n">
        <v>760.62</v>
      </c>
      <c r="T4004" t="n">
        <v>19.75</v>
      </c>
      <c r="U4004" t="n">
        <v>5603.81</v>
      </c>
      <c r="X4004" t="inlineStr">
        <is>
          <t>acoa-apeca</t>
        </is>
      </c>
      <c r="Y4004" t="inlineStr">
        <is>
          <t>Atlantic Canada Opportunities Agency | Agence de promotion économique du Canada atlantique</t>
        </is>
      </c>
    </row>
    <row r="4005">
      <c r="A4005" t="inlineStr">
        <is>
          <t>T-2011-Q4-00068</t>
        </is>
      </c>
      <c r="B4005" t="inlineStr">
        <is>
          <t>MPSES</t>
        </is>
      </c>
      <c r="C4005" t="inlineStr">
        <is>
          <t>Policy Advisor</t>
        </is>
      </c>
      <c r="D4005" t="inlineStr">
        <is>
          <t>Conseillère en politique</t>
        </is>
      </c>
      <c r="E4005" t="inlineStr">
        <is>
          <t>Guylaine Le Couteur</t>
        </is>
      </c>
      <c r="F4005" t="inlineStr">
        <is>
          <t>Travel for various ACOA meetings</t>
        </is>
      </c>
      <c r="G4005" t="inlineStr">
        <is>
          <t>Voyage pour diverses réunions de l'APECA</t>
        </is>
      </c>
      <c r="H4005" s="1" t="n">
        <v>40597</v>
      </c>
      <c r="I4005" s="1" t="n">
        <v>40599</v>
      </c>
      <c r="J4005" t="inlineStr">
        <is>
          <t>Fredericton and Moncton, New Brusnwick</t>
        </is>
      </c>
      <c r="K4005" t="inlineStr">
        <is>
          <t>Fredericton et Moncton (Nouveau-Brunswick)</t>
        </is>
      </c>
      <c r="P4005" t="n">
        <v>852.67</v>
      </c>
      <c r="Q4005" t="n">
        <v>0</v>
      </c>
      <c r="R4005" t="n">
        <v>302.84</v>
      </c>
      <c r="S4005" t="n">
        <v>199.1</v>
      </c>
      <c r="T4005" t="n">
        <v>0</v>
      </c>
      <c r="U4005" t="n">
        <v>1354.61</v>
      </c>
      <c r="X4005" t="inlineStr">
        <is>
          <t>acoa-apeca</t>
        </is>
      </c>
      <c r="Y4005" t="inlineStr">
        <is>
          <t>Atlantic Canada Opportunities Agency | Agence de promotion économique du Canada atlantique</t>
        </is>
      </c>
    </row>
    <row r="4006">
      <c r="A4006" t="inlineStr">
        <is>
          <t>T-2011-Q4-00063</t>
        </is>
      </c>
      <c r="B4006" t="inlineStr">
        <is>
          <t>SLE</t>
        </is>
      </c>
      <c r="C4006" t="inlineStr">
        <is>
          <t>Vice-President, New Brunswick</t>
        </is>
      </c>
      <c r="D4006" t="inlineStr">
        <is>
          <t>Vice-présidente, Nouveau-Brunswick</t>
        </is>
      </c>
      <c r="E4006" t="inlineStr">
        <is>
          <t>Janet Gagnon</t>
        </is>
      </c>
      <c r="F4006" t="inlineStr">
        <is>
          <t>Executive Committee Meeting</t>
        </is>
      </c>
      <c r="G4006" t="inlineStr">
        <is>
          <t>Réunion du Comité de direction</t>
        </is>
      </c>
      <c r="H4006" s="1" t="n">
        <v>40589</v>
      </c>
      <c r="I4006" s="1" t="n">
        <v>40591</v>
      </c>
      <c r="J4006" t="inlineStr">
        <is>
          <t>Ottawa, Ontario</t>
        </is>
      </c>
      <c r="K4006" t="inlineStr">
        <is>
          <t>Ottawa (Ontario)</t>
        </is>
      </c>
      <c r="P4006" t="n">
        <v>1624.93</v>
      </c>
      <c r="Q4006" t="n">
        <v>103.5</v>
      </c>
      <c r="R4006" t="n">
        <v>404.54</v>
      </c>
      <c r="S4006" t="n">
        <v>213</v>
      </c>
      <c r="T4006" t="n">
        <v>30</v>
      </c>
      <c r="U4006" t="n">
        <v>2375.97</v>
      </c>
      <c r="X4006" t="inlineStr">
        <is>
          <t>acoa-apeca</t>
        </is>
      </c>
      <c r="Y4006" t="inlineStr">
        <is>
          <t>Atlantic Canada Opportunities Agency | Agence de promotion économique du Canada atlantique</t>
        </is>
      </c>
    </row>
    <row r="4007">
      <c r="A4007" t="inlineStr">
        <is>
          <t>T-2011-Q4-00062</t>
        </is>
      </c>
      <c r="B4007" t="inlineStr">
        <is>
          <t>SLE</t>
        </is>
      </c>
      <c r="C4007" t="inlineStr">
        <is>
          <t>Vice-President, Prince Edward Island</t>
        </is>
      </c>
      <c r="D4007" t="inlineStr">
        <is>
          <t>Vice-président, Île-du-Prince-Édouard</t>
        </is>
      </c>
      <c r="E4007" t="inlineStr">
        <is>
          <t>Patrick Dorsey</t>
        </is>
      </c>
      <c r="F4007" t="inlineStr">
        <is>
          <t xml:space="preserve">Executive Committee Meeting </t>
        </is>
      </c>
      <c r="G4007" t="inlineStr">
        <is>
          <t>Réunion du Comité de direction</t>
        </is>
      </c>
      <c r="H4007" s="1" t="n">
        <v>40589</v>
      </c>
      <c r="I4007" s="1" t="n">
        <v>40591</v>
      </c>
      <c r="J4007" t="inlineStr">
        <is>
          <t>Ottawa, Ontario</t>
        </is>
      </c>
      <c r="K4007" t="inlineStr">
        <is>
          <t>Ottawa (Ontario)</t>
        </is>
      </c>
      <c r="P4007" t="n">
        <v>1492.08</v>
      </c>
      <c r="Q4007" t="n">
        <v>93</v>
      </c>
      <c r="R4007" t="n">
        <v>350.3</v>
      </c>
      <c r="S4007" t="n">
        <v>173.8</v>
      </c>
      <c r="T4007" t="n">
        <v>0</v>
      </c>
      <c r="U4007" t="n">
        <v>2109.18</v>
      </c>
      <c r="X4007" t="inlineStr">
        <is>
          <t>acoa-apeca</t>
        </is>
      </c>
      <c r="Y4007" t="inlineStr">
        <is>
          <t>Atlantic Canada Opportunities Agency | Agence de promotion économique du Canada atlantique</t>
        </is>
      </c>
    </row>
    <row r="4008">
      <c r="A4008" t="inlineStr">
        <is>
          <t>T-2011-Q4-00061</t>
        </is>
      </c>
      <c r="B4008" t="inlineStr">
        <is>
          <t>SLE</t>
        </is>
      </c>
      <c r="C4008" t="inlineStr">
        <is>
          <t>Vice-President, Finance and Corporate Services</t>
        </is>
      </c>
      <c r="D4008" t="inlineStr">
        <is>
          <t>Vice-présidente, Finances et Services corporatifs</t>
        </is>
      </c>
      <c r="E4008" t="inlineStr">
        <is>
          <t>Denise Frenette</t>
        </is>
      </c>
      <c r="F4008" t="inlineStr">
        <is>
          <t xml:space="preserve">Meetings with Government of Canada Officials and Agency Officials </t>
        </is>
      </c>
      <c r="G4008" t="inlineStr">
        <is>
          <t xml:space="preserve">Réunions avec des fonctionnaires du gouvernement du Canada et de l'Agence </t>
        </is>
      </c>
      <c r="H4008" s="1" t="n">
        <v>40589</v>
      </c>
      <c r="I4008" s="1" t="n">
        <v>40591</v>
      </c>
      <c r="J4008" t="inlineStr">
        <is>
          <t>Ottawa, Ontario</t>
        </is>
      </c>
      <c r="K4008" t="inlineStr">
        <is>
          <t>Ottawa (Ontario)</t>
        </is>
      </c>
      <c r="P4008" t="n">
        <v>966</v>
      </c>
      <c r="Q4008" t="n">
        <v>73</v>
      </c>
      <c r="R4008" t="n">
        <v>348.04</v>
      </c>
      <c r="S4008" t="n">
        <v>183.4</v>
      </c>
      <c r="T4008" t="n">
        <v>0</v>
      </c>
      <c r="U4008" t="n">
        <v>1570.44</v>
      </c>
      <c r="X4008" t="inlineStr">
        <is>
          <t>acoa-apeca</t>
        </is>
      </c>
      <c r="Y4008" t="inlineStr">
        <is>
          <t>Atlantic Canada Opportunities Agency | Agence de promotion économique du Canada atlantique</t>
        </is>
      </c>
    </row>
    <row r="4009">
      <c r="A4009" t="inlineStr">
        <is>
          <t>T-2011-Q4-00059</t>
        </is>
      </c>
      <c r="B4009" t="inlineStr">
        <is>
          <t>SLE</t>
        </is>
      </c>
      <c r="C4009" t="inlineStr">
        <is>
          <t>Vice-President, Newfoundland and Labrador</t>
        </is>
      </c>
      <c r="D4009" t="inlineStr">
        <is>
          <t>Vice-président, Terre-Neuve-et-Labrador</t>
        </is>
      </c>
      <c r="E4009" t="inlineStr">
        <is>
          <t>Paul Mills</t>
        </is>
      </c>
      <c r="F4009" t="inlineStr">
        <is>
          <t>To attend EXCOM Meeting in Ottawa, Feb. 15-17, 2011</t>
        </is>
      </c>
      <c r="G4009" t="inlineStr">
        <is>
          <t>Pour participer à la réunion du Comité de direction, du 15 au 17 février 2011, à Ottawa</t>
        </is>
      </c>
      <c r="H4009" s="1" t="n">
        <v>40589</v>
      </c>
      <c r="I4009" s="1" t="n">
        <v>40591</v>
      </c>
      <c r="J4009" t="inlineStr">
        <is>
          <t>Ottawa, ON</t>
        </is>
      </c>
      <c r="K4009" t="inlineStr">
        <is>
          <t>Ottawa (Ontario)</t>
        </is>
      </c>
      <c r="P4009" t="n">
        <v>1264.76</v>
      </c>
      <c r="Q4009" t="n">
        <v>152</v>
      </c>
      <c r="R4009" t="n">
        <v>348.04</v>
      </c>
      <c r="S4009" t="n">
        <v>207.64</v>
      </c>
      <c r="T4009" t="n">
        <v>8.93</v>
      </c>
      <c r="U4009" t="n">
        <v>1981.37</v>
      </c>
      <c r="X4009" t="inlineStr">
        <is>
          <t>acoa-apeca</t>
        </is>
      </c>
      <c r="Y4009" t="inlineStr">
        <is>
          <t>Atlantic Canada Opportunities Agency | Agence de promotion économique du Canada atlantique</t>
        </is>
      </c>
    </row>
    <row r="4010">
      <c r="A4010" t="inlineStr">
        <is>
          <t>T-2011-Q4-00058</t>
        </is>
      </c>
      <c r="B4010" t="inlineStr">
        <is>
          <t>SLE</t>
        </is>
      </c>
      <c r="C4010" t="inlineStr">
        <is>
          <t>President</t>
        </is>
      </c>
      <c r="D4010" t="inlineStr">
        <is>
          <t>Président</t>
        </is>
      </c>
      <c r="E4010" t="inlineStr">
        <is>
          <t>Paul J. LeBlanc</t>
        </is>
      </c>
      <c r="F4010" t="inlineStr">
        <is>
          <t>For various meetings and discussions with Agency and Government of Canada officials</t>
        </is>
      </c>
      <c r="G4010" t="inlineStr">
        <is>
          <t>Diverses réunions et discussions avec des fonctionnaires de l'Agence et du gouvernement du Canada</t>
        </is>
      </c>
      <c r="H4010" s="1" t="n">
        <v>40589</v>
      </c>
      <c r="I4010" s="1" t="n">
        <v>40591</v>
      </c>
      <c r="J4010" t="inlineStr">
        <is>
          <t>Ottawa, Ontario</t>
        </is>
      </c>
      <c r="K4010" t="inlineStr">
        <is>
          <t>Ottawa (Onratio)</t>
        </is>
      </c>
      <c r="P4010" t="n">
        <v>881.85</v>
      </c>
      <c r="Q4010" t="n">
        <v>0</v>
      </c>
      <c r="R4010" t="n">
        <v>348.04</v>
      </c>
      <c r="S4010" t="n">
        <v>198.2</v>
      </c>
      <c r="T4010" t="n">
        <v>99.38</v>
      </c>
      <c r="U4010" t="n">
        <v>1527.47</v>
      </c>
      <c r="X4010" t="inlineStr">
        <is>
          <t>acoa-apeca</t>
        </is>
      </c>
      <c r="Y4010" t="inlineStr">
        <is>
          <t>Atlantic Canada Opportunities Agency | Agence de promotion économique du Canada atlantique</t>
        </is>
      </c>
    </row>
    <row r="4011">
      <c r="A4011" t="inlineStr">
        <is>
          <t>T-2011-Q4-00056</t>
        </is>
      </c>
      <c r="B4011" t="inlineStr">
        <is>
          <t>SLE</t>
        </is>
      </c>
      <c r="C4011" t="inlineStr">
        <is>
          <t>Vice President, Nova Scotia</t>
        </is>
      </c>
      <c r="D4011" t="inlineStr">
        <is>
          <t>Vice-président, Nouvelle-Écosse</t>
        </is>
      </c>
      <c r="E4011" t="inlineStr">
        <is>
          <t>Peter Hogan</t>
        </is>
      </c>
      <c r="F4011" t="inlineStr">
        <is>
          <t>Atlantic Gateway Officials Committee and Various Meetings with Agency and Goverment of Canada Officials</t>
        </is>
      </c>
      <c r="G4011" t="inlineStr">
        <is>
          <t>Comité des représentants de la Porte de l'Atlantique et diverses réunions avec des fonctionnaires de l'Agence et du gouvernement du Canada</t>
        </is>
      </c>
      <c r="H4011" s="1" t="n">
        <v>40588</v>
      </c>
      <c r="I4011" s="1" t="n">
        <v>40591</v>
      </c>
      <c r="J4011" t="inlineStr">
        <is>
          <t>Moncton, New Brunswick; Ottawa, Ontario</t>
        </is>
      </c>
      <c r="K4011" t="inlineStr">
        <is>
          <t>Moncton (Nouveau-Brusnwick), Ottawa (Ontario)</t>
        </is>
      </c>
      <c r="P4011" t="n">
        <v>1749.99</v>
      </c>
      <c r="Q4011" t="n">
        <v>218.4</v>
      </c>
      <c r="R4011" t="n">
        <v>493.81</v>
      </c>
      <c r="S4011" t="n">
        <v>205.9</v>
      </c>
      <c r="T4011" t="n">
        <v>0</v>
      </c>
      <c r="U4011" t="n">
        <v>2668.1</v>
      </c>
      <c r="X4011" t="inlineStr">
        <is>
          <t>acoa-apeca</t>
        </is>
      </c>
      <c r="Y4011" t="inlineStr">
        <is>
          <t>Atlantic Canada Opportunities Agency | Agence de promotion économique du Canada atlantique</t>
        </is>
      </c>
    </row>
    <row r="4012">
      <c r="A4012" t="inlineStr">
        <is>
          <t>T-2011-Q4-00055</t>
        </is>
      </c>
      <c r="B4012" t="inlineStr">
        <is>
          <t>SLE</t>
        </is>
      </c>
      <c r="C4012" t="inlineStr">
        <is>
          <t>Vice-President, Finance and Corporate Services</t>
        </is>
      </c>
      <c r="D4012" t="inlineStr">
        <is>
          <t>Vice-présidente, Finances et Services corporatifs</t>
        </is>
      </c>
      <c r="E4012" t="inlineStr">
        <is>
          <t>Denise Frenette</t>
        </is>
      </c>
      <c r="F4012" t="inlineStr">
        <is>
          <t xml:space="preserve">Meetings with Agency Officials </t>
        </is>
      </c>
      <c r="G4012" t="inlineStr">
        <is>
          <t xml:space="preserve">Réunions avec des fonctionnaires de l'Agence </t>
        </is>
      </c>
      <c r="H4012" s="1" t="n">
        <v>40588</v>
      </c>
      <c r="I4012" s="1" t="n">
        <v>40588</v>
      </c>
      <c r="J4012" t="inlineStr">
        <is>
          <t>Fredericton, New Brunswick</t>
        </is>
      </c>
      <c r="K4012" t="inlineStr">
        <is>
          <t>Fredericton (Nouveau-Brunswick)</t>
        </is>
      </c>
      <c r="P4012" t="n">
        <v>0</v>
      </c>
      <c r="Q4012" t="n">
        <v>0</v>
      </c>
      <c r="R4012" t="n">
        <v>0</v>
      </c>
      <c r="S4012" t="n">
        <v>13.9</v>
      </c>
      <c r="T4012" t="n">
        <v>0</v>
      </c>
      <c r="U4012" t="n">
        <v>13.9</v>
      </c>
      <c r="X4012" t="inlineStr">
        <is>
          <t>acoa-apeca</t>
        </is>
      </c>
      <c r="Y4012" t="inlineStr">
        <is>
          <t>Atlantic Canada Opportunities Agency | Agence de promotion économique du Canada atlantique</t>
        </is>
      </c>
    </row>
    <row r="4013">
      <c r="A4013" t="inlineStr">
        <is>
          <t>T-2011-Q4-00054</t>
        </is>
      </c>
      <c r="B4013" t="inlineStr">
        <is>
          <t>SLE</t>
        </is>
      </c>
      <c r="C4013" t="inlineStr">
        <is>
          <t>Vice President, Nova Scotia</t>
        </is>
      </c>
      <c r="D4013" t="inlineStr">
        <is>
          <t>Vice-président, Nouvelle-Écosse</t>
        </is>
      </c>
      <c r="E4013" t="inlineStr">
        <is>
          <t>Peter Hogan</t>
        </is>
      </c>
      <c r="F4013" t="inlineStr">
        <is>
          <t>Meeting with Government of Canada Officials</t>
        </is>
      </c>
      <c r="G4013" t="inlineStr">
        <is>
          <t>Réunion avec des fonctionnaires du gouvernement du Canada</t>
        </is>
      </c>
      <c r="H4013" s="1" t="n">
        <v>40583</v>
      </c>
      <c r="I4013" s="1" t="n">
        <v>40584</v>
      </c>
      <c r="J4013" t="inlineStr">
        <is>
          <t>Ottawa, Ontario</t>
        </is>
      </c>
      <c r="K4013" t="inlineStr">
        <is>
          <t>Ottawa (Ontario)</t>
        </is>
      </c>
      <c r="P4013" t="n">
        <v>173.25</v>
      </c>
      <c r="Q4013" t="n">
        <v>206.4</v>
      </c>
      <c r="R4013" t="n">
        <v>174.02</v>
      </c>
      <c r="S4013" t="n">
        <v>131.2</v>
      </c>
      <c r="T4013" t="n">
        <v>0</v>
      </c>
      <c r="U4013" t="n">
        <v>684.87</v>
      </c>
      <c r="X4013" t="inlineStr">
        <is>
          <t>acoa-apeca</t>
        </is>
      </c>
      <c r="Y4013" t="inlineStr">
        <is>
          <t>Atlantic Canada Opportunities Agency | Agence de promotion économique du Canada atlantique</t>
        </is>
      </c>
    </row>
    <row r="4014">
      <c r="A4014" t="inlineStr">
        <is>
          <t>T-2011-Q4-00053</t>
        </is>
      </c>
      <c r="B4014" t="inlineStr">
        <is>
          <t>SLE</t>
        </is>
      </c>
      <c r="C4014" t="inlineStr">
        <is>
          <t>President</t>
        </is>
      </c>
      <c r="D4014" t="inlineStr">
        <is>
          <t>Président</t>
        </is>
      </c>
      <c r="E4014" t="inlineStr">
        <is>
          <t>Paul J. LeBlanc</t>
        </is>
      </c>
      <c r="F4014" t="inlineStr">
        <is>
          <t>For meetings and discussions with various Agency and Government of Canada officials</t>
        </is>
      </c>
      <c r="G4014" t="inlineStr">
        <is>
          <t>Réunions et discussions avec divers fonctionnaires de l'Agence et du gouvernement du Canada</t>
        </is>
      </c>
      <c r="H4014" s="1" t="n">
        <v>40582</v>
      </c>
      <c r="I4014" s="1" t="n">
        <v>40584</v>
      </c>
      <c r="J4014" t="inlineStr">
        <is>
          <t>Ottawa, Ontario</t>
        </is>
      </c>
      <c r="K4014" t="inlineStr">
        <is>
          <t>Ottawa (Ontario)</t>
        </is>
      </c>
      <c r="P4014" t="n">
        <v>763.2</v>
      </c>
      <c r="Q4014" t="n">
        <v>0</v>
      </c>
      <c r="R4014" t="n">
        <v>348.04</v>
      </c>
      <c r="S4014" t="n">
        <v>158.1</v>
      </c>
      <c r="T4014" t="n">
        <v>0</v>
      </c>
      <c r="U4014" t="n">
        <v>1269.34</v>
      </c>
      <c r="X4014" t="inlineStr">
        <is>
          <t>acoa-apeca</t>
        </is>
      </c>
      <c r="Y4014" t="inlineStr">
        <is>
          <t>Atlantic Canada Opportunities Agency | Agence de promotion économique du Canada atlantique</t>
        </is>
      </c>
    </row>
    <row r="4015">
      <c r="A4015" t="inlineStr">
        <is>
          <t>T-2011-Q4-00051</t>
        </is>
      </c>
      <c r="B4015" t="inlineStr">
        <is>
          <t>SLE</t>
        </is>
      </c>
      <c r="C4015" t="inlineStr">
        <is>
          <t>Vice President, Nova Scotia</t>
        </is>
      </c>
      <c r="D4015" t="inlineStr">
        <is>
          <t>Vice-président, Nouvelle-Écosse</t>
        </is>
      </c>
      <c r="E4015" t="inlineStr">
        <is>
          <t>Peter Hogan</t>
        </is>
      </c>
      <c r="F4015" t="inlineStr">
        <is>
          <t>Nova Scotia Federal Council Event</t>
        </is>
      </c>
      <c r="G4015" t="inlineStr">
        <is>
          <t>Activité du Conseil fédéral de la Nouvelle-Écosse</t>
        </is>
      </c>
      <c r="H4015" s="1" t="n">
        <v>40576</v>
      </c>
      <c r="I4015" s="1" t="n">
        <v>40576</v>
      </c>
      <c r="J4015" t="inlineStr">
        <is>
          <t>Halifax, Nova Scotia</t>
        </is>
      </c>
      <c r="K4015" t="inlineStr">
        <is>
          <t>Halifax (Nouvelle-Écosse)</t>
        </is>
      </c>
      <c r="P4015" t="n">
        <v>0</v>
      </c>
      <c r="Q4015" t="n">
        <v>8</v>
      </c>
      <c r="R4015" t="n">
        <v>0</v>
      </c>
      <c r="S4015" t="n">
        <v>0</v>
      </c>
      <c r="T4015" t="n">
        <v>0</v>
      </c>
      <c r="U4015" t="n">
        <v>8</v>
      </c>
      <c r="X4015" t="inlineStr">
        <is>
          <t>acoa-apeca</t>
        </is>
      </c>
      <c r="Y4015" t="inlineStr">
        <is>
          <t>Atlantic Canada Opportunities Agency | Agence de promotion économique du Canada atlantique</t>
        </is>
      </c>
    </row>
    <row r="4016">
      <c r="A4016" t="inlineStr">
        <is>
          <t>T-2011-Q4-00049</t>
        </is>
      </c>
      <c r="B4016" t="inlineStr">
        <is>
          <t>MPSES</t>
        </is>
      </c>
      <c r="C4016" t="inlineStr">
        <is>
          <t>Regional Affairs Director</t>
        </is>
      </c>
      <c r="D4016" t="inlineStr">
        <is>
          <t>Directeur des affaires régionales</t>
        </is>
      </c>
      <c r="E4016" t="inlineStr">
        <is>
          <t>Raymond Vogan</t>
        </is>
      </c>
      <c r="F4016" t="inlineStr">
        <is>
          <t>To attend regional related meetings</t>
        </is>
      </c>
      <c r="G4016" t="inlineStr">
        <is>
          <t>Pour participer à des réunions régionales sur des sujets connexes</t>
        </is>
      </c>
      <c r="H4016" s="1" t="n">
        <v>40574</v>
      </c>
      <c r="I4016" s="1" t="n">
        <v>40576</v>
      </c>
      <c r="J4016" t="inlineStr">
        <is>
          <t>Ottawa, Ontario</t>
        </is>
      </c>
      <c r="K4016" t="inlineStr">
        <is>
          <t>Ottawa (Ontario)</t>
        </is>
      </c>
      <c r="P4016" t="n">
        <v>661.08</v>
      </c>
      <c r="Q4016" t="n">
        <v>110</v>
      </c>
      <c r="R4016" t="n">
        <v>348.04</v>
      </c>
      <c r="S4016" t="n">
        <v>255.6</v>
      </c>
      <c r="T4016" t="n">
        <v>0</v>
      </c>
      <c r="U4016" t="n">
        <v>1374.72</v>
      </c>
      <c r="X4016" t="inlineStr">
        <is>
          <t>acoa-apeca</t>
        </is>
      </c>
      <c r="Y4016" t="inlineStr">
        <is>
          <t>Atlantic Canada Opportunities Agency | Agence de promotion économique du Canada atlantique</t>
        </is>
      </c>
    </row>
    <row r="4017">
      <c r="A4017" t="inlineStr">
        <is>
          <t>T-2011-Q4-00048</t>
        </is>
      </c>
      <c r="B4017" t="inlineStr">
        <is>
          <t>SLE</t>
        </is>
      </c>
      <c r="C4017" t="inlineStr">
        <is>
          <t>Vice-President, Finance and Corporate Services</t>
        </is>
      </c>
      <c r="D4017" t="inlineStr">
        <is>
          <t>Vice-présidente, Finances et Services corporatifs</t>
        </is>
      </c>
      <c r="E4017" t="inlineStr">
        <is>
          <t>Denise Frenette</t>
        </is>
      </c>
      <c r="F4017" t="inlineStr">
        <is>
          <t xml:space="preserve">Meetings with Government of Canada Officials and Agency Officials </t>
        </is>
      </c>
      <c r="G4017" t="inlineStr">
        <is>
          <t xml:space="preserve">Réunions avec des fonctionnaires du gouvernement du Canada et de l'Agence </t>
        </is>
      </c>
      <c r="H4017" s="1" t="n">
        <v>40569</v>
      </c>
      <c r="I4017" s="1" t="n">
        <v>40570</v>
      </c>
      <c r="J4017" t="inlineStr">
        <is>
          <t>Ottawa, Ontario</t>
        </is>
      </c>
      <c r="K4017" t="inlineStr">
        <is>
          <t>Ottawa (Ontario)</t>
        </is>
      </c>
      <c r="P4017" t="n">
        <v>966</v>
      </c>
      <c r="Q4017" t="n">
        <v>318</v>
      </c>
      <c r="R4017" t="n">
        <v>174.02</v>
      </c>
      <c r="S4017" t="n">
        <v>113</v>
      </c>
      <c r="T4017" t="n">
        <v>31.75</v>
      </c>
      <c r="U4017" t="n">
        <v>1602.77</v>
      </c>
      <c r="X4017" t="inlineStr">
        <is>
          <t>acoa-apeca</t>
        </is>
      </c>
      <c r="Y4017" t="inlineStr">
        <is>
          <t>Atlantic Canada Opportunities Agency | Agence de promotion économique du Canada atlantique</t>
        </is>
      </c>
    </row>
    <row r="4018">
      <c r="A4018" t="inlineStr">
        <is>
          <t>T-2011-Q4-00046</t>
        </is>
      </c>
      <c r="B4018" t="inlineStr">
        <is>
          <t>MPSES</t>
        </is>
      </c>
      <c r="C4018" t="inlineStr">
        <is>
          <t>Policy Advisor</t>
        </is>
      </c>
      <c r="D4018" t="inlineStr">
        <is>
          <t>Conseillère en politique</t>
        </is>
      </c>
      <c r="E4018" t="inlineStr">
        <is>
          <t>Guylaine Le Couteur</t>
        </is>
      </c>
      <c r="F4018" t="inlineStr">
        <is>
          <t>To attend various ACOA related meetings</t>
        </is>
      </c>
      <c r="G4018" t="inlineStr">
        <is>
          <t>Pour participer à diverses réunions de l'APECA</t>
        </is>
      </c>
      <c r="H4018" s="1" t="n">
        <v>40569</v>
      </c>
      <c r="I4018" s="1" t="n">
        <v>40572</v>
      </c>
      <c r="J4018" t="inlineStr">
        <is>
          <t>Fredericton and Bathurst. New Brunswick</t>
        </is>
      </c>
      <c r="K4018" t="inlineStr">
        <is>
          <t>Fredericton et Bathurst (Nouveau-Brunswick)</t>
        </is>
      </c>
      <c r="P4018" t="n">
        <v>1672.16</v>
      </c>
      <c r="Q4018" t="n">
        <v>289.8</v>
      </c>
      <c r="R4018" t="n">
        <v>296.34</v>
      </c>
      <c r="S4018" t="n">
        <v>286.8</v>
      </c>
      <c r="T4018" t="n">
        <v>0</v>
      </c>
      <c r="U4018" t="n">
        <v>2545.1</v>
      </c>
      <c r="X4018" t="inlineStr">
        <is>
          <t>acoa-apeca</t>
        </is>
      </c>
      <c r="Y4018" t="inlineStr">
        <is>
          <t>Atlantic Canada Opportunities Agency | Agence de promotion économique du Canada atlantique</t>
        </is>
      </c>
    </row>
    <row r="4019">
      <c r="A4019" t="inlineStr">
        <is>
          <t>T-2011-Q4-00045</t>
        </is>
      </c>
      <c r="B4019" t="inlineStr">
        <is>
          <t>SLE</t>
        </is>
      </c>
      <c r="C4019" t="inlineStr">
        <is>
          <t>President</t>
        </is>
      </c>
      <c r="D4019" t="inlineStr">
        <is>
          <t>Président</t>
        </is>
      </c>
      <c r="E4019" t="inlineStr">
        <is>
          <t>Paul J. LeBlanc</t>
        </is>
      </c>
      <c r="F4019" t="inlineStr">
        <is>
          <t>For meetings with Agency officials</t>
        </is>
      </c>
      <c r="G4019" t="inlineStr">
        <is>
          <t>Réunions avec des fonctionnaires de l'Agence</t>
        </is>
      </c>
      <c r="H4019" s="1" t="n">
        <v>40569</v>
      </c>
      <c r="I4019" s="1" t="n">
        <v>40571</v>
      </c>
      <c r="J4019" t="inlineStr">
        <is>
          <t>Fredericton, New Brunswick</t>
        </is>
      </c>
      <c r="K4019" t="inlineStr">
        <is>
          <t>Fredericton (Nouveau-Brunswick)</t>
        </is>
      </c>
      <c r="P4019" t="n">
        <v>0</v>
      </c>
      <c r="Q4019" t="n">
        <v>0</v>
      </c>
      <c r="R4019" t="n">
        <v>291.54</v>
      </c>
      <c r="S4019" t="n">
        <v>176.76</v>
      </c>
      <c r="T4019" t="n">
        <v>113</v>
      </c>
      <c r="U4019" t="n">
        <v>581.3</v>
      </c>
      <c r="X4019" t="inlineStr">
        <is>
          <t>acoa-apeca</t>
        </is>
      </c>
      <c r="Y4019" t="inlineStr">
        <is>
          <t>Atlantic Canada Opportunities Agency | Agence de promotion économique du Canada atlantique</t>
        </is>
      </c>
    </row>
    <row r="4020">
      <c r="A4020" t="inlineStr">
        <is>
          <t>T-2011-Q4-00044</t>
        </is>
      </c>
      <c r="B4020" t="inlineStr">
        <is>
          <t>MPSES</t>
        </is>
      </c>
      <c r="C4020" t="inlineStr">
        <is>
          <t>Deputy Chief of Staff</t>
        </is>
      </c>
      <c r="D4020" t="inlineStr">
        <is>
          <t>Chef de cabinet adjoint</t>
        </is>
      </c>
      <c r="E4020" t="inlineStr">
        <is>
          <t>Kevin MacAdam</t>
        </is>
      </c>
      <c r="F4020" t="inlineStr">
        <is>
          <t>To attend meetings on regional priorities with provinces of NS, NFLD and meetings with ACOA officials</t>
        </is>
      </c>
      <c r="G4020" t="inlineStr">
        <is>
          <t>Réunions sur les priorités régionales avec la N.-É. et T.-N.-L.; et réunions avec des fonctionnaires de l'Agence</t>
        </is>
      </c>
      <c r="H4020" s="1" t="n">
        <v>40568</v>
      </c>
      <c r="I4020" s="1" t="n">
        <v>40573</v>
      </c>
      <c r="J4020" t="inlineStr">
        <is>
          <t>Halifax, Nova Scotia -  Charlottetown, Prince Edward Island</t>
        </is>
      </c>
      <c r="K4020" t="inlineStr">
        <is>
          <t>Halifax (Nouvelle-Écosse), Charlottetown (Île-du-Prince-Édouard)</t>
        </is>
      </c>
      <c r="P4020" t="n">
        <v>697.9</v>
      </c>
      <c r="Q4020" t="n">
        <v>0</v>
      </c>
      <c r="R4020" t="n">
        <v>352.49</v>
      </c>
      <c r="S4020" t="n">
        <v>116.4</v>
      </c>
      <c r="T4020" t="n">
        <v>0</v>
      </c>
      <c r="U4020" t="n">
        <v>1166.79</v>
      </c>
      <c r="X4020" t="inlineStr">
        <is>
          <t>acoa-apeca</t>
        </is>
      </c>
      <c r="Y4020" t="inlineStr">
        <is>
          <t>Atlantic Canada Opportunities Agency | Agence de promotion économique du Canada atlantique</t>
        </is>
      </c>
    </row>
    <row r="4021">
      <c r="A4021" t="inlineStr">
        <is>
          <t>T-2011-Q4-00043</t>
        </is>
      </c>
      <c r="B4021" t="inlineStr">
        <is>
          <t>SLE</t>
        </is>
      </c>
      <c r="C4021" t="inlineStr">
        <is>
          <t>Vice-President, New Brunswick</t>
        </is>
      </c>
      <c r="D4021" t="inlineStr">
        <is>
          <t>Vice-présidente, Nouveau-Brunswick</t>
        </is>
      </c>
      <c r="E4021" t="inlineStr">
        <is>
          <t>Janet Gagnon</t>
        </is>
      </c>
      <c r="F4021" t="inlineStr">
        <is>
          <t>To attend the Official Languages Event "Dialoguing With the Community"</t>
        </is>
      </c>
      <c r="G4021" t="inlineStr">
        <is>
          <t>Pour partifciper à l'activité "En dialogue avec la communauté" portant sur les langues officielles</t>
        </is>
      </c>
      <c r="H4021" s="1" t="n">
        <v>40568</v>
      </c>
      <c r="I4021" s="1" t="n">
        <v>40569</v>
      </c>
      <c r="J4021" t="inlineStr">
        <is>
          <t>Moncton, New Brunswick</t>
        </is>
      </c>
      <c r="K4021" t="inlineStr">
        <is>
          <t>Moncton (Nouveau-Brunswick)</t>
        </is>
      </c>
      <c r="P4021" t="n">
        <v>0</v>
      </c>
      <c r="Q4021" t="n">
        <v>0</v>
      </c>
      <c r="R4021" t="n">
        <v>124.24</v>
      </c>
      <c r="S4021" t="n">
        <v>127.8</v>
      </c>
      <c r="T4021" t="n">
        <v>0</v>
      </c>
      <c r="U4021" t="n">
        <v>252.04</v>
      </c>
      <c r="X4021" t="inlineStr">
        <is>
          <t>acoa-apeca</t>
        </is>
      </c>
      <c r="Y4021" t="inlineStr">
        <is>
          <t>Atlantic Canada Opportunities Agency | Agence de promotion économique du Canada atlantique</t>
        </is>
      </c>
    </row>
    <row r="4022">
      <c r="A4022" t="inlineStr">
        <is>
          <t>T-2011-Q4-00042</t>
        </is>
      </c>
      <c r="B4022" t="inlineStr">
        <is>
          <t>MPSES</t>
        </is>
      </c>
      <c r="C4022" t="inlineStr">
        <is>
          <t>Special Assistant</t>
        </is>
      </c>
      <c r="D4022" t="inlineStr">
        <is>
          <t>Adjointe spéciale</t>
        </is>
      </c>
      <c r="E4022" t="inlineStr">
        <is>
          <t>Heather Domereckyj</t>
        </is>
      </c>
      <c r="F4022" t="inlineStr">
        <is>
          <t>To attend Elekta Neuromag Official Opening with Minister</t>
        </is>
      </c>
      <c r="G4022" t="inlineStr">
        <is>
          <t>Pour participer l'inauguration de Elekta Neuromag en compagnie du ministre</t>
        </is>
      </c>
      <c r="H4022" s="1" t="n">
        <v>40566</v>
      </c>
      <c r="I4022" s="1" t="n">
        <v>40569</v>
      </c>
      <c r="J4022" t="inlineStr">
        <is>
          <t>Halifax, Nova Scotia</t>
        </is>
      </c>
      <c r="K4022" t="inlineStr">
        <is>
          <t>Halifax (Nouvelle-Écosse)</t>
        </is>
      </c>
      <c r="P4022" t="n">
        <v>1404.15</v>
      </c>
      <c r="Q4022" t="n">
        <v>69.43000000000001</v>
      </c>
      <c r="R4022" t="n">
        <v>404.7</v>
      </c>
      <c r="S4022" t="n">
        <v>326</v>
      </c>
      <c r="T4022" t="n">
        <v>0</v>
      </c>
      <c r="U4022" t="n">
        <v>2204.28</v>
      </c>
      <c r="X4022" t="inlineStr">
        <is>
          <t>acoa-apeca</t>
        </is>
      </c>
      <c r="Y4022" t="inlineStr">
        <is>
          <t>Atlantic Canada Opportunities Agency | Agence de promotion économique du Canada atlantique</t>
        </is>
      </c>
    </row>
    <row r="4023">
      <c r="A4023" t="inlineStr">
        <is>
          <t>T-2011-Q4-00041</t>
        </is>
      </c>
      <c r="B4023" t="inlineStr">
        <is>
          <t>MPSES</t>
        </is>
      </c>
      <c r="C4023" t="inlineStr">
        <is>
          <t>Regional Affairs Director</t>
        </is>
      </c>
      <c r="D4023" t="inlineStr">
        <is>
          <t>Directeur des affaires régionales</t>
        </is>
      </c>
      <c r="E4023" t="inlineStr">
        <is>
          <t>Raymond Vogan</t>
        </is>
      </c>
      <c r="F4023" t="inlineStr">
        <is>
          <t>To attend Regional Affairs meetings with Minister</t>
        </is>
      </c>
      <c r="G4023" t="inlineStr">
        <is>
          <t>Pour participer à des réunions sur des questions régionales en compagnie du ministre</t>
        </is>
      </c>
      <c r="H4023" s="1" t="n">
        <v>40566</v>
      </c>
      <c r="I4023" s="1" t="n">
        <v>40569</v>
      </c>
      <c r="J4023" t="inlineStr">
        <is>
          <t>Halifax, Nova Scotia</t>
        </is>
      </c>
      <c r="K4023" t="inlineStr">
        <is>
          <t>Halifax (Nouvelle-Écosse)</t>
        </is>
      </c>
      <c r="P4023" t="n">
        <v>0</v>
      </c>
      <c r="Q4023" t="n">
        <v>0</v>
      </c>
      <c r="R4023" t="n">
        <v>404.7</v>
      </c>
      <c r="S4023" t="n">
        <v>262.4</v>
      </c>
      <c r="T4023" t="n">
        <v>0</v>
      </c>
      <c r="U4023" t="n">
        <v>667.1</v>
      </c>
      <c r="X4023" t="inlineStr">
        <is>
          <t>acoa-apeca</t>
        </is>
      </c>
      <c r="Y4023" t="inlineStr">
        <is>
          <t>Atlantic Canada Opportunities Agency | Agence de promotion économique du Canada atlantique</t>
        </is>
      </c>
    </row>
    <row r="4024">
      <c r="A4024" t="inlineStr">
        <is>
          <t>T-2011-Q4-00038</t>
        </is>
      </c>
      <c r="B4024" t="inlineStr">
        <is>
          <t>SLE</t>
        </is>
      </c>
      <c r="C4024" t="inlineStr">
        <is>
          <t>Vice-President, New Brunswick</t>
        </is>
      </c>
      <c r="D4024" t="inlineStr">
        <is>
          <t>Vice-présidente, Nouveau-Brunswick</t>
        </is>
      </c>
      <c r="E4024" t="inlineStr">
        <is>
          <t>Janet Gagnon</t>
        </is>
      </c>
      <c r="F4024" t="inlineStr">
        <is>
          <t>To attend a meeting with the City of Moncton</t>
        </is>
      </c>
      <c r="G4024" t="inlineStr">
        <is>
          <t>Pour participer à une réunion avec la Ville de Moncton</t>
        </is>
      </c>
      <c r="H4024" s="1" t="n">
        <v>40561</v>
      </c>
      <c r="I4024" s="1" t="n">
        <v>40561</v>
      </c>
      <c r="J4024" t="inlineStr">
        <is>
          <t>Moncton, New Brunswick</t>
        </is>
      </c>
      <c r="K4024" t="inlineStr">
        <is>
          <t>Moncton (Nouveau-Brunswick)</t>
        </is>
      </c>
      <c r="P4024" t="n">
        <v>0</v>
      </c>
      <c r="Q4024" t="n">
        <v>0</v>
      </c>
      <c r="R4024" t="n">
        <v>0</v>
      </c>
      <c r="S4024" t="n">
        <v>13.9</v>
      </c>
      <c r="T4024" t="n">
        <v>0</v>
      </c>
      <c r="U4024" t="n">
        <v>13.9</v>
      </c>
      <c r="X4024" t="inlineStr">
        <is>
          <t>acoa-apeca</t>
        </is>
      </c>
      <c r="Y4024" t="inlineStr">
        <is>
          <t>Atlantic Canada Opportunities Agency | Agence de promotion économique du Canada atlantique</t>
        </is>
      </c>
    </row>
    <row r="4025">
      <c r="A4025" t="inlineStr">
        <is>
          <t>T-2011-Q4-00037</t>
        </is>
      </c>
      <c r="B4025" t="inlineStr">
        <is>
          <t>SLE</t>
        </is>
      </c>
      <c r="C4025" t="inlineStr">
        <is>
          <t>President</t>
        </is>
      </c>
      <c r="D4025" t="inlineStr">
        <is>
          <t>Président</t>
        </is>
      </c>
      <c r="E4025" t="inlineStr">
        <is>
          <t>Paul J. LeBlanc</t>
        </is>
      </c>
      <c r="F4025" t="inlineStr">
        <is>
          <t>For meetings and discussions with various Agency and Government of Canada officials</t>
        </is>
      </c>
      <c r="G4025" t="inlineStr">
        <is>
          <t>Réunions et discussions avec divers fonctionnaires de l'Agence et du gouvernement du Canada</t>
        </is>
      </c>
      <c r="H4025" s="1" t="n">
        <v>40561</v>
      </c>
      <c r="I4025" s="1" t="n">
        <v>40564</v>
      </c>
      <c r="J4025" t="inlineStr">
        <is>
          <t>Ottawa, Ontario</t>
        </is>
      </c>
      <c r="K4025" t="inlineStr">
        <is>
          <t>Ottawa (Ontario)</t>
        </is>
      </c>
      <c r="P4025" t="n">
        <v>763.2</v>
      </c>
      <c r="Q4025" t="n">
        <v>0</v>
      </c>
      <c r="R4025" t="n">
        <v>522.0599999999999</v>
      </c>
      <c r="S4025" t="n">
        <v>218.9</v>
      </c>
      <c r="T4025" t="n">
        <v>169.5</v>
      </c>
      <c r="U4025" t="n">
        <v>1673.66</v>
      </c>
      <c r="X4025" t="inlineStr">
        <is>
          <t>acoa-apeca</t>
        </is>
      </c>
      <c r="Y4025" t="inlineStr">
        <is>
          <t>Atlantic Canada Opportunities Agency | Agence de promotion économique du Canada atlantique</t>
        </is>
      </c>
    </row>
    <row r="4026">
      <c r="A4026" t="inlineStr">
        <is>
          <t>T-2011-Q4-00036</t>
        </is>
      </c>
      <c r="B4026" t="inlineStr">
        <is>
          <t>SLE</t>
        </is>
      </c>
      <c r="C4026" t="inlineStr">
        <is>
          <t>President</t>
        </is>
      </c>
      <c r="D4026" t="inlineStr">
        <is>
          <t>Président</t>
        </is>
      </c>
      <c r="E4026" t="inlineStr">
        <is>
          <t>Paul J. LeBlanc</t>
        </is>
      </c>
      <c r="F4026" t="inlineStr">
        <is>
          <t>For meetings and discussions with Agency and various government and private-sector officials</t>
        </is>
      </c>
      <c r="G4026" t="inlineStr">
        <is>
          <t>Réunions et discussions avec fonctionnaires de l'Agence et du gouvernement du Canada et des représentants du secteur privé</t>
        </is>
      </c>
      <c r="H4026" s="1" t="n">
        <v>40560</v>
      </c>
      <c r="I4026" s="1" t="n">
        <v>40560</v>
      </c>
      <c r="J4026" t="inlineStr">
        <is>
          <t>Fredericton, New Brunswick</t>
        </is>
      </c>
      <c r="K4026" t="inlineStr">
        <is>
          <t>Fredericton (Nouveau-Brunswick)</t>
        </is>
      </c>
      <c r="P4026" t="n">
        <v>0</v>
      </c>
      <c r="Q4026" t="n">
        <v>0</v>
      </c>
      <c r="R4026" t="n">
        <v>0</v>
      </c>
      <c r="S4026" t="n">
        <v>39.2</v>
      </c>
      <c r="T4026" t="n">
        <v>0</v>
      </c>
      <c r="U4026" t="n">
        <v>39.2</v>
      </c>
      <c r="X4026" t="inlineStr">
        <is>
          <t>acoa-apeca</t>
        </is>
      </c>
      <c r="Y4026" t="inlineStr">
        <is>
          <t>Atlantic Canada Opportunities Agency | Agence de promotion économique du Canada atlantique</t>
        </is>
      </c>
    </row>
    <row r="4027">
      <c r="A4027" t="inlineStr">
        <is>
          <t>T-2011-Q4-00034</t>
        </is>
      </c>
      <c r="B4027" t="inlineStr">
        <is>
          <t>MPSES</t>
        </is>
      </c>
      <c r="C4027" t="inlineStr">
        <is>
          <t>Regional Affairs Director</t>
        </is>
      </c>
      <c r="D4027" t="inlineStr">
        <is>
          <t>Directeur des affaires régionales</t>
        </is>
      </c>
      <c r="E4027" t="inlineStr">
        <is>
          <t>Raymond Vogan</t>
        </is>
      </c>
      <c r="F4027" t="inlineStr">
        <is>
          <t>To attend regional affairs meetings with Minister</t>
        </is>
      </c>
      <c r="G4027" t="inlineStr">
        <is>
          <t>Pour participer à des réunions sur des questions régionales en compagnie du ministre</t>
        </is>
      </c>
      <c r="H4027" s="1" t="n">
        <v>40557</v>
      </c>
      <c r="I4027" s="1" t="n">
        <v>40559</v>
      </c>
      <c r="J4027" t="inlineStr">
        <is>
          <t>Grand Falls, St. Andre, St. Leonard, Campbellton, Charlo, Belledune, Nigadoo, Beresford and Miramichi, New Brunswick</t>
        </is>
      </c>
      <c r="K4027" t="inlineStr">
        <is>
          <t>Grand-Sault, Saint-André, Saint-Léonard, Campbellton, Charlo, Belledune, Nigadoo, Beresford et Miramichi (Nouveau-Brunswick)</t>
        </is>
      </c>
      <c r="P4027" t="n">
        <v>0</v>
      </c>
      <c r="Q4027" t="n">
        <v>0</v>
      </c>
      <c r="R4027" t="n">
        <v>111.87</v>
      </c>
      <c r="S4027" t="n">
        <v>170.4</v>
      </c>
      <c r="T4027" t="n">
        <v>0</v>
      </c>
      <c r="U4027" t="n">
        <v>282.27</v>
      </c>
      <c r="X4027" t="inlineStr">
        <is>
          <t>acoa-apeca</t>
        </is>
      </c>
      <c r="Y4027" t="inlineStr">
        <is>
          <t>Atlantic Canada Opportunities Agency | Agence de promotion économique du Canada atlantique</t>
        </is>
      </c>
    </row>
    <row r="4028">
      <c r="A4028" t="inlineStr">
        <is>
          <t>T-2011-Q4-00033</t>
        </is>
      </c>
      <c r="B4028" t="inlineStr">
        <is>
          <t>MPSES</t>
        </is>
      </c>
      <c r="C4028" t="inlineStr">
        <is>
          <t>Policy Advisor</t>
        </is>
      </c>
      <c r="D4028" t="inlineStr">
        <is>
          <t>Conseillère en politique</t>
        </is>
      </c>
      <c r="E4028" t="inlineStr">
        <is>
          <t>Guylaine Le Couteur</t>
        </is>
      </c>
      <c r="F4028" t="inlineStr">
        <is>
          <t>To attend ACOA meetings</t>
        </is>
      </c>
      <c r="G4028" t="inlineStr">
        <is>
          <t>Pour participer à des réunions de l'APECA</t>
        </is>
      </c>
      <c r="H4028" s="1" t="n">
        <v>40555</v>
      </c>
      <c r="I4028" s="1" t="n">
        <v>40559</v>
      </c>
      <c r="J4028" t="inlineStr">
        <is>
          <t>Edmundston, New Brunswick</t>
        </is>
      </c>
      <c r="K4028" t="inlineStr">
        <is>
          <t>Edmundston (Nouveau-Brunswick)</t>
        </is>
      </c>
      <c r="P4028" t="n">
        <v>0</v>
      </c>
      <c r="Q4028" t="n">
        <v>1338.7</v>
      </c>
      <c r="R4028" t="n">
        <v>466.68</v>
      </c>
      <c r="S4028" t="n">
        <v>321.18</v>
      </c>
      <c r="T4028" t="n">
        <v>0</v>
      </c>
      <c r="U4028" t="n">
        <v>2126.56</v>
      </c>
      <c r="X4028" t="inlineStr">
        <is>
          <t>acoa-apeca</t>
        </is>
      </c>
      <c r="Y4028" t="inlineStr">
        <is>
          <t>Atlantic Canada Opportunities Agency | Agence de promotion économique du Canada atlantique</t>
        </is>
      </c>
    </row>
    <row r="4029">
      <c r="A4029" t="inlineStr">
        <is>
          <t>T-2011-Q4-00032</t>
        </is>
      </c>
      <c r="B4029" t="inlineStr">
        <is>
          <t>SLE</t>
        </is>
      </c>
      <c r="C4029" t="inlineStr">
        <is>
          <t>Vice President, Nova Scotia</t>
        </is>
      </c>
      <c r="D4029" t="inlineStr">
        <is>
          <t>Vice-président, Nouvelle-Écosse</t>
        </is>
      </c>
      <c r="E4029" t="inlineStr">
        <is>
          <t>Peter Hogan</t>
        </is>
      </c>
      <c r="F4029" t="inlineStr">
        <is>
          <t>Executive Committee (Nancy Ives, Director, Corporate Services attended  meeting in Mr. Hogan's stead)</t>
        </is>
      </c>
      <c r="G4029" t="inlineStr">
        <is>
          <t>Comité de direction (Nancy Ives, directrice des finances et des services de gestion a assisté à la réunion pour M. Hogan)</t>
        </is>
      </c>
      <c r="H4029" s="1" t="n">
        <v>40553</v>
      </c>
      <c r="I4029" s="1" t="n">
        <v>40554</v>
      </c>
      <c r="J4029" t="inlineStr">
        <is>
          <t>Moncton, New Brunswick</t>
        </is>
      </c>
      <c r="K4029" t="inlineStr">
        <is>
          <t>Moncton (Nouveau-Brunswick)</t>
        </is>
      </c>
      <c r="P4029" t="n">
        <v>877.27</v>
      </c>
      <c r="Q4029" t="n">
        <v>102.4</v>
      </c>
      <c r="R4029" t="n">
        <v>145.77</v>
      </c>
      <c r="S4029" t="n">
        <v>88.59999999999999</v>
      </c>
      <c r="T4029" t="n">
        <v>0</v>
      </c>
      <c r="U4029" t="n">
        <v>1214.04</v>
      </c>
      <c r="X4029" t="inlineStr">
        <is>
          <t>acoa-apeca</t>
        </is>
      </c>
      <c r="Y4029" t="inlineStr">
        <is>
          <t>Atlantic Canada Opportunities Agency | Agence de promotion économique du Canada atlantique</t>
        </is>
      </c>
    </row>
    <row r="4030">
      <c r="A4030" t="inlineStr">
        <is>
          <t>T-2011-Q4-00029</t>
        </is>
      </c>
      <c r="B4030" t="inlineStr">
        <is>
          <t>SLE</t>
        </is>
      </c>
      <c r="C4030" t="inlineStr">
        <is>
          <t>Vice President, Nova Scotia</t>
        </is>
      </c>
      <c r="D4030" t="inlineStr">
        <is>
          <t>Vice-président, Nouvelle-Écosse</t>
        </is>
      </c>
      <c r="E4030" t="inlineStr">
        <is>
          <t>Peter Hogan</t>
        </is>
      </c>
      <c r="F4030" t="inlineStr">
        <is>
          <t>Meeting with Agency Officials</t>
        </is>
      </c>
      <c r="G4030" t="inlineStr">
        <is>
          <t>Réunion avec des fonctionnaires de l'Agence</t>
        </is>
      </c>
      <c r="H4030" s="1" t="n">
        <v>40553</v>
      </c>
      <c r="I4030" s="1" t="n">
        <v>40553</v>
      </c>
      <c r="J4030" t="inlineStr">
        <is>
          <t>Moncton, New Brunswick</t>
        </is>
      </c>
      <c r="K4030" t="inlineStr">
        <is>
          <t>Moncton (Nouveau-Brunswick)</t>
        </is>
      </c>
      <c r="P4030" t="n">
        <v>0</v>
      </c>
      <c r="Q4030" t="n">
        <v>10</v>
      </c>
      <c r="R4030" t="n">
        <v>0</v>
      </c>
      <c r="S4030" t="n">
        <v>13.9</v>
      </c>
      <c r="T4030" t="n">
        <v>0</v>
      </c>
      <c r="U4030" t="n">
        <v>23.9</v>
      </c>
      <c r="X4030" t="inlineStr">
        <is>
          <t>acoa-apeca</t>
        </is>
      </c>
      <c r="Y4030" t="inlineStr">
        <is>
          <t>Atlantic Canada Opportunities Agency | Agence de promotion économique du Canada atlantique</t>
        </is>
      </c>
    </row>
    <row r="4031">
      <c r="A4031" t="inlineStr">
        <is>
          <t>T-2011-Q4-00027</t>
        </is>
      </c>
      <c r="B4031" t="inlineStr">
        <is>
          <t>SLE</t>
        </is>
      </c>
      <c r="C4031" t="inlineStr">
        <is>
          <t>Vice-President, New Brunswick</t>
        </is>
      </c>
      <c r="D4031" t="inlineStr">
        <is>
          <t>Vice-présidente, Nouveau-Brunswick</t>
        </is>
      </c>
      <c r="E4031" t="inlineStr">
        <is>
          <t>Janet Gagnon</t>
        </is>
      </c>
      <c r="F4031" t="inlineStr">
        <is>
          <t>To attend an Executive Committee meeting in Moncton</t>
        </is>
      </c>
      <c r="G4031" t="inlineStr">
        <is>
          <t>Pour participer à la réunion du Comité de direction à Moncton</t>
        </is>
      </c>
      <c r="H4031" s="1" t="n">
        <v>40553</v>
      </c>
      <c r="I4031" s="1" t="n">
        <v>40554</v>
      </c>
      <c r="J4031" t="inlineStr">
        <is>
          <t>Moncton, New Brunswick</t>
        </is>
      </c>
      <c r="K4031" t="inlineStr">
        <is>
          <t>Moncton (Nouveau-Brunswick)</t>
        </is>
      </c>
      <c r="P4031" t="n">
        <v>0</v>
      </c>
      <c r="Q4031" t="n">
        <v>0</v>
      </c>
      <c r="R4031" t="n">
        <v>145.77</v>
      </c>
      <c r="S4031" t="n">
        <v>127.8</v>
      </c>
      <c r="T4031" t="n">
        <v>12.15</v>
      </c>
      <c r="U4031" t="n">
        <v>285.72</v>
      </c>
      <c r="X4031" t="inlineStr">
        <is>
          <t>acoa-apeca</t>
        </is>
      </c>
      <c r="Y4031" t="inlineStr">
        <is>
          <t>Atlantic Canada Opportunities Agency | Agence de promotion économique du Canada atlantique</t>
        </is>
      </c>
    </row>
    <row r="4032">
      <c r="A4032" t="inlineStr">
        <is>
          <t>T-2011-Q4-00026</t>
        </is>
      </c>
      <c r="B4032" t="inlineStr">
        <is>
          <t>SLE</t>
        </is>
      </c>
      <c r="C4032" t="inlineStr">
        <is>
          <t>Vice-President, Newfoundland and Labrador</t>
        </is>
      </c>
      <c r="D4032" t="inlineStr">
        <is>
          <t>Vice-président, Terre-Neuve-et-Labrador</t>
        </is>
      </c>
      <c r="E4032" t="inlineStr">
        <is>
          <t>Paul Mills</t>
        </is>
      </c>
      <c r="F4032" t="inlineStr">
        <is>
          <t xml:space="preserve">To attend Executive Committee Meeting </t>
        </is>
      </c>
      <c r="G4032" t="inlineStr">
        <is>
          <t>Pour participer à la réunion du Comité de direction</t>
        </is>
      </c>
      <c r="H4032" s="1" t="n">
        <v>40553</v>
      </c>
      <c r="I4032" s="1" t="n">
        <v>40555</v>
      </c>
      <c r="J4032" t="inlineStr">
        <is>
          <t>Moncton, NB</t>
        </is>
      </c>
      <c r="K4032" t="inlineStr">
        <is>
          <t>Moncton (Nouveau-Brunswick)</t>
        </is>
      </c>
      <c r="P4032" t="n">
        <v>1264.76</v>
      </c>
      <c r="Q4032" t="n">
        <v>325.88</v>
      </c>
      <c r="R4032" t="n">
        <v>284.18</v>
      </c>
      <c r="S4032" t="n">
        <v>249.11</v>
      </c>
      <c r="T4032" t="n">
        <v>7.33</v>
      </c>
      <c r="U4032" t="n">
        <v>2131.26</v>
      </c>
      <c r="X4032" t="inlineStr">
        <is>
          <t>acoa-apeca</t>
        </is>
      </c>
      <c r="Y4032" t="inlineStr">
        <is>
          <t>Atlantic Canada Opportunities Agency | Agence de promotion économique du Canada atlantique</t>
        </is>
      </c>
    </row>
    <row r="4033">
      <c r="A4033" t="inlineStr">
        <is>
          <t>T-2011-Q4-00025</t>
        </is>
      </c>
      <c r="B4033" t="inlineStr">
        <is>
          <t>SLE</t>
        </is>
      </c>
      <c r="C4033" t="inlineStr">
        <is>
          <t>President</t>
        </is>
      </c>
      <c r="D4033" t="inlineStr">
        <is>
          <t>Président</t>
        </is>
      </c>
      <c r="E4033" t="inlineStr">
        <is>
          <t>Paul J. LeBlanc</t>
        </is>
      </c>
      <c r="F4033" t="inlineStr">
        <is>
          <t>For meetings and discussions with various Agency, Government and private-sector officials</t>
        </is>
      </c>
      <c r="G4033" t="inlineStr">
        <is>
          <t>Réunions et discussions avec divers fonctionnaires de l'Agence et du gouvernement du Canada et des représentants du secteur privé</t>
        </is>
      </c>
      <c r="H4033" s="1" t="n">
        <v>40549</v>
      </c>
      <c r="I4033" s="1" t="n">
        <v>40550</v>
      </c>
      <c r="J4033" t="inlineStr">
        <is>
          <t>St. John's, Newfoundland and Labrador</t>
        </is>
      </c>
      <c r="K4033" t="inlineStr">
        <is>
          <t>St. John's (Terre-Neuve-et-Labrador)</t>
        </is>
      </c>
      <c r="P4033" t="n">
        <v>1000.5</v>
      </c>
      <c r="Q4033" t="n">
        <v>0</v>
      </c>
      <c r="R4033" t="n">
        <v>145</v>
      </c>
      <c r="S4033" t="n">
        <v>101.6</v>
      </c>
      <c r="T4033" t="n">
        <v>8.75</v>
      </c>
      <c r="U4033" t="n">
        <v>1255.85</v>
      </c>
      <c r="X4033" t="inlineStr">
        <is>
          <t>acoa-apeca</t>
        </is>
      </c>
      <c r="Y4033" t="inlineStr">
        <is>
          <t>Atlantic Canada Opportunities Agency | Agence de promotion économique du Canada atlantique</t>
        </is>
      </c>
    </row>
    <row r="4034">
      <c r="A4034" t="inlineStr">
        <is>
          <t>T-2011-Q4-00024</t>
        </is>
      </c>
      <c r="B4034" t="inlineStr">
        <is>
          <t>MPSES</t>
        </is>
      </c>
      <c r="C4034" t="inlineStr">
        <is>
          <t>Support Staff</t>
        </is>
      </c>
      <c r="D4034" t="inlineStr">
        <is>
          <t>Soutien administratif</t>
        </is>
      </c>
      <c r="E4034" t="inlineStr">
        <is>
          <t>Jill Drury</t>
        </is>
      </c>
      <c r="F4034" t="inlineStr">
        <is>
          <t>Travel for ACOA related meetings</t>
        </is>
      </c>
      <c r="G4034" t="inlineStr">
        <is>
          <t>Voyage pour participer à des réunions de l'APECA</t>
        </is>
      </c>
      <c r="H4034" s="1" t="n">
        <v>40544</v>
      </c>
      <c r="I4034" s="1" t="n">
        <v>40633</v>
      </c>
      <c r="J4034" t="inlineStr">
        <is>
          <t>Fredericton, New Brusnwick</t>
        </is>
      </c>
      <c r="K4034" t="inlineStr">
        <is>
          <t>Fredericton (Nouveau-Brunswick)</t>
        </is>
      </c>
      <c r="P4034" t="n">
        <v>0</v>
      </c>
      <c r="Q4034" t="n">
        <v>301.95</v>
      </c>
      <c r="R4034" t="n">
        <v>0</v>
      </c>
      <c r="S4034" t="n">
        <v>0</v>
      </c>
      <c r="T4034" t="n">
        <v>0</v>
      </c>
      <c r="U4034" t="n">
        <v>301.95</v>
      </c>
      <c r="X4034" t="inlineStr">
        <is>
          <t>acoa-apeca</t>
        </is>
      </c>
      <c r="Y4034" t="inlineStr">
        <is>
          <t>Atlantic Canada Opportunities Agency | Agence de promotion économique du Canada atlantique</t>
        </is>
      </c>
    </row>
    <row r="4035">
      <c r="A4035" t="inlineStr">
        <is>
          <t>T-2011-Q4-00023</t>
        </is>
      </c>
      <c r="B4035" t="inlineStr">
        <is>
          <t>SLE</t>
        </is>
      </c>
      <c r="C4035" t="inlineStr">
        <is>
          <t>President</t>
        </is>
      </c>
      <c r="D4035" t="inlineStr">
        <is>
          <t>Président</t>
        </is>
      </c>
      <c r="E4035" t="inlineStr">
        <is>
          <t>Paul J. LeBlanc</t>
        </is>
      </c>
      <c r="F4035" t="inlineStr">
        <is>
          <t>For meetings and discussions with various government and private-sector officials</t>
        </is>
      </c>
      <c r="G4035" t="inlineStr">
        <is>
          <t>Réunions et discussions avec divers fonctionnaires du gouvernement du Canada et représentants du secteur privé</t>
        </is>
      </c>
      <c r="H4035" s="1" t="n">
        <v>40532</v>
      </c>
      <c r="I4035" s="1" t="n">
        <v>40533</v>
      </c>
      <c r="J4035" t="inlineStr">
        <is>
          <t>Halifax, Nova Scotia</t>
        </is>
      </c>
      <c r="K4035" t="inlineStr">
        <is>
          <t>Halifax (Nouvelle-Écosse)</t>
        </is>
      </c>
      <c r="P4035" t="n">
        <v>0</v>
      </c>
      <c r="Q4035" t="n">
        <v>0</v>
      </c>
      <c r="R4035" t="n">
        <v>163.05</v>
      </c>
      <c r="S4035" t="n">
        <v>127.8</v>
      </c>
      <c r="T4035" t="n">
        <v>0</v>
      </c>
      <c r="U4035" t="n">
        <v>290.85</v>
      </c>
      <c r="X4035" t="inlineStr">
        <is>
          <t>acoa-apeca</t>
        </is>
      </c>
      <c r="Y4035" t="inlineStr">
        <is>
          <t>Atlantic Canada Opportunities Agency | Agence de promotion économique du Canada atlantique</t>
        </is>
      </c>
    </row>
    <row r="4036">
      <c r="A4036" t="inlineStr">
        <is>
          <t>T-2011-Q4-00022</t>
        </is>
      </c>
      <c r="B4036" t="inlineStr">
        <is>
          <t>SLE</t>
        </is>
      </c>
      <c r="C4036" t="inlineStr">
        <is>
          <t>Vice-President, Finance and Corporate Services</t>
        </is>
      </c>
      <c r="D4036" t="inlineStr">
        <is>
          <t>Vice-présidente, Finances et Services corporatifs</t>
        </is>
      </c>
      <c r="E4036" t="inlineStr">
        <is>
          <t>Denise Frenette</t>
        </is>
      </c>
      <c r="F4036" t="inlineStr">
        <is>
          <t xml:space="preserve">Meetings with  Agency Officials </t>
        </is>
      </c>
      <c r="G4036" t="inlineStr">
        <is>
          <t xml:space="preserve">Réunions avec des fonctionnaires  de l'Agence </t>
        </is>
      </c>
      <c r="H4036" s="1" t="n">
        <v>40528</v>
      </c>
      <c r="I4036" s="1" t="n">
        <v>40528</v>
      </c>
      <c r="J4036" t="inlineStr">
        <is>
          <t>Halifax, Nova Scotia</t>
        </is>
      </c>
      <c r="K4036" t="inlineStr">
        <is>
          <t>Halifax (Nouvelle-Écosse)</t>
        </is>
      </c>
      <c r="P4036" t="n">
        <v>0</v>
      </c>
      <c r="Q4036" t="n">
        <v>0</v>
      </c>
      <c r="R4036" t="n">
        <v>0</v>
      </c>
      <c r="S4036" t="n">
        <v>53.1</v>
      </c>
      <c r="T4036" t="n">
        <v>0</v>
      </c>
      <c r="U4036" t="n">
        <v>53.1</v>
      </c>
      <c r="X4036" t="inlineStr">
        <is>
          <t>acoa-apeca</t>
        </is>
      </c>
      <c r="Y4036" t="inlineStr">
        <is>
          <t>Atlantic Canada Opportunities Agency | Agence de promotion économique du Canada atlantique</t>
        </is>
      </c>
    </row>
    <row r="4037">
      <c r="A4037" t="inlineStr">
        <is>
          <t>T-2011-Q4-00021</t>
        </is>
      </c>
      <c r="B4037" t="inlineStr">
        <is>
          <t>MPSES</t>
        </is>
      </c>
      <c r="C4037" t="inlineStr">
        <is>
          <t>Deputy Chief of Staff</t>
        </is>
      </c>
      <c r="D4037" t="inlineStr">
        <is>
          <t>Chef de cabinet adjoint</t>
        </is>
      </c>
      <c r="E4037" t="inlineStr">
        <is>
          <t>Kevin MacAdam</t>
        </is>
      </c>
      <c r="F4037" t="inlineStr">
        <is>
          <t>To attend various ACOA meetings</t>
        </is>
      </c>
      <c r="G4037" t="inlineStr">
        <is>
          <t>Pour participer à diverses réunions de l'APECA</t>
        </is>
      </c>
      <c r="H4037" s="1" t="n">
        <v>40526</v>
      </c>
      <c r="I4037" s="1" t="n">
        <v>40531</v>
      </c>
      <c r="J4037" t="inlineStr">
        <is>
          <t>Charlottetown, Prince Edward Island</t>
        </is>
      </c>
      <c r="K4037" t="inlineStr">
        <is>
          <t>Charlottetown (Île-du-Prince-Édouard)</t>
        </is>
      </c>
      <c r="P4037" t="n">
        <v>929.4299999999999</v>
      </c>
      <c r="Q4037" t="n">
        <v>0</v>
      </c>
      <c r="R4037" t="n">
        <v>0</v>
      </c>
      <c r="S4037" t="n">
        <v>326</v>
      </c>
      <c r="T4037" t="n">
        <v>0</v>
      </c>
      <c r="U4037" t="n">
        <v>1255.43</v>
      </c>
      <c r="X4037" t="inlineStr">
        <is>
          <t>acoa-apeca</t>
        </is>
      </c>
      <c r="Y4037" t="inlineStr">
        <is>
          <t>Atlantic Canada Opportunities Agency | Agence de promotion économique du Canada atlantique</t>
        </is>
      </c>
    </row>
    <row r="4038">
      <c r="A4038" t="inlineStr">
        <is>
          <t>T-2011-Q4-00020</t>
        </is>
      </c>
      <c r="B4038" t="inlineStr">
        <is>
          <t>SLE</t>
        </is>
      </c>
      <c r="C4038" t="inlineStr">
        <is>
          <t>Vice-President, New Brunswick</t>
        </is>
      </c>
      <c r="D4038" t="inlineStr">
        <is>
          <t>Vice-présidente, Nouveau-Brunswick</t>
        </is>
      </c>
      <c r="E4038" t="inlineStr">
        <is>
          <t>Janet Gagnon</t>
        </is>
      </c>
      <c r="F4038" t="inlineStr">
        <is>
          <t>New Brunswick Federal Council Meeting</t>
        </is>
      </c>
      <c r="G4038" t="inlineStr">
        <is>
          <t>Réunion du Conseil fédéral du Nouveau-Brunswick</t>
        </is>
      </c>
      <c r="H4038" s="1" t="n">
        <v>40526</v>
      </c>
      <c r="I4038" s="1" t="n">
        <v>40527</v>
      </c>
      <c r="J4038" t="inlineStr">
        <is>
          <t>Saint John, New Brunswick</t>
        </is>
      </c>
      <c r="K4038" t="inlineStr">
        <is>
          <t>Saint John (Nouveau-Brunswick)</t>
        </is>
      </c>
      <c r="P4038" t="n">
        <v>0</v>
      </c>
      <c r="Q4038" t="n">
        <v>0</v>
      </c>
      <c r="R4038" t="n">
        <v>111.87</v>
      </c>
      <c r="S4038" t="n">
        <v>102.5</v>
      </c>
      <c r="T4038" t="n">
        <v>0</v>
      </c>
      <c r="U4038" t="n">
        <v>214.37</v>
      </c>
      <c r="X4038" t="inlineStr">
        <is>
          <t>acoa-apeca</t>
        </is>
      </c>
      <c r="Y4038" t="inlineStr">
        <is>
          <t>Atlantic Canada Opportunities Agency | Agence de promotion économique du Canada atlantique</t>
        </is>
      </c>
    </row>
    <row r="4039">
      <c r="A4039" t="inlineStr">
        <is>
          <t>T-2011-Q4-00019</t>
        </is>
      </c>
      <c r="B4039" t="inlineStr">
        <is>
          <t>SLE</t>
        </is>
      </c>
      <c r="C4039" t="inlineStr">
        <is>
          <t>President</t>
        </is>
      </c>
      <c r="D4039" t="inlineStr">
        <is>
          <t>Président</t>
        </is>
      </c>
      <c r="E4039" t="inlineStr">
        <is>
          <t>Paul J. LeBlanc</t>
        </is>
      </c>
      <c r="F4039" t="inlineStr">
        <is>
          <t>For various meetings and discussions with Agency and Government of Canada officials</t>
        </is>
      </c>
      <c r="G4039" t="inlineStr">
        <is>
          <t>Diverses réunions et discussions avec des fonctionnaires de l'Agence et du gouvernement du Canada</t>
        </is>
      </c>
      <c r="H4039" s="1" t="n">
        <v>40526</v>
      </c>
      <c r="I4039" s="1" t="n">
        <v>40529</v>
      </c>
      <c r="J4039" t="inlineStr">
        <is>
          <t>Ottawa, Ontario</t>
        </is>
      </c>
      <c r="K4039" t="inlineStr">
        <is>
          <t>Ottawa (Ontario)</t>
        </is>
      </c>
      <c r="P4039" t="n">
        <v>763.2</v>
      </c>
      <c r="Q4039" t="n">
        <v>0</v>
      </c>
      <c r="R4039" t="n">
        <v>505.11</v>
      </c>
      <c r="S4039" t="n">
        <v>258.1</v>
      </c>
      <c r="T4039" t="n">
        <v>38.5</v>
      </c>
      <c r="U4039" t="n">
        <v>1564.91</v>
      </c>
      <c r="X4039" t="inlineStr">
        <is>
          <t>acoa-apeca</t>
        </is>
      </c>
      <c r="Y4039" t="inlineStr">
        <is>
          <t>Atlantic Canada Opportunities Agency | Agence de promotion économique du Canada atlantique</t>
        </is>
      </c>
    </row>
    <row r="4040">
      <c r="A4040" t="inlineStr">
        <is>
          <t>T-2011-Q4-00017</t>
        </is>
      </c>
      <c r="B4040" t="inlineStr">
        <is>
          <t>SLE</t>
        </is>
      </c>
      <c r="C4040" t="inlineStr">
        <is>
          <t>Vice-President, Prince Edward Island</t>
        </is>
      </c>
      <c r="D4040" t="inlineStr">
        <is>
          <t>Vice-président, Île-du-Prince-Édouard</t>
        </is>
      </c>
      <c r="E4040" t="inlineStr">
        <is>
          <t>Patrick Dorsey</t>
        </is>
      </c>
      <c r="F4040" t="inlineStr">
        <is>
          <t>Atlantic Canada Tourism Partnership (ACTP) Managment Committee Meeting</t>
        </is>
      </c>
      <c r="G4040" t="inlineStr">
        <is>
          <t xml:space="preserve">Réunion du Comité de gestion du Partenariat du tourisme du Canada atlantique (PTCA) </t>
        </is>
      </c>
      <c r="H4040" s="1" t="n">
        <v>40525</v>
      </c>
      <c r="I4040" s="1" t="n">
        <v>40526</v>
      </c>
      <c r="J4040" t="inlineStr">
        <is>
          <t>Moncton, New Brunswick</t>
        </is>
      </c>
      <c r="K4040" t="inlineStr">
        <is>
          <t>Moncton (Nouveau-Brunswick)</t>
        </is>
      </c>
      <c r="P4040" t="n">
        <v>0</v>
      </c>
      <c r="Q4040" t="n">
        <v>54.65</v>
      </c>
      <c r="R4040" t="n">
        <v>145.77</v>
      </c>
      <c r="S4040" t="n">
        <v>102.5</v>
      </c>
      <c r="T4040" t="n">
        <v>0</v>
      </c>
      <c r="U4040" t="n">
        <v>302.92</v>
      </c>
      <c r="X4040" t="inlineStr">
        <is>
          <t>acoa-apeca</t>
        </is>
      </c>
      <c r="Y4040" t="inlineStr">
        <is>
          <t>Atlantic Canada Opportunities Agency | Agence de promotion économique du Canada atlantique</t>
        </is>
      </c>
    </row>
    <row r="4041">
      <c r="A4041" t="inlineStr">
        <is>
          <t>T-2011-Q4-00015</t>
        </is>
      </c>
      <c r="B4041" t="inlineStr">
        <is>
          <t>SLE</t>
        </is>
      </c>
      <c r="C4041" t="inlineStr">
        <is>
          <t>President</t>
        </is>
      </c>
      <c r="D4041" t="inlineStr">
        <is>
          <t>Président</t>
        </is>
      </c>
      <c r="E4041" t="inlineStr">
        <is>
          <t>Paul J. LeBlanc</t>
        </is>
      </c>
      <c r="F4041" t="inlineStr">
        <is>
          <t>For various meetings and discussions with Agency officials</t>
        </is>
      </c>
      <c r="G4041" t="inlineStr">
        <is>
          <t>Diverses réunions et discussions avec des fonctionnaires de l'Agence</t>
        </is>
      </c>
      <c r="H4041" s="1" t="n">
        <v>40524</v>
      </c>
      <c r="I4041" s="1" t="n">
        <v>40525</v>
      </c>
      <c r="J4041" t="inlineStr">
        <is>
          <t>Halifax, Nova Scotia</t>
        </is>
      </c>
      <c r="K4041" t="inlineStr">
        <is>
          <t>Halifax (Nouvelle-Écosse)</t>
        </is>
      </c>
      <c r="P4041" t="n">
        <v>0</v>
      </c>
      <c r="Q4041" t="n">
        <v>0</v>
      </c>
      <c r="R4041" t="n">
        <v>174.78</v>
      </c>
      <c r="S4041" t="n">
        <v>88.59999999999999</v>
      </c>
      <c r="T4041" t="n">
        <v>82.09</v>
      </c>
      <c r="U4041" t="n">
        <v>345.47</v>
      </c>
      <c r="X4041" t="inlineStr">
        <is>
          <t>acoa-apeca</t>
        </is>
      </c>
      <c r="Y4041" t="inlineStr">
        <is>
          <t>Atlantic Canada Opportunities Agency | Agence de promotion économique du Canada atlantique</t>
        </is>
      </c>
    </row>
    <row r="4042">
      <c r="A4042" t="inlineStr">
        <is>
          <t>T-2011-Q4-00013</t>
        </is>
      </c>
      <c r="B4042" t="inlineStr">
        <is>
          <t>MPSES</t>
        </is>
      </c>
      <c r="C4042" t="inlineStr">
        <is>
          <t>Policy Advisor</t>
        </is>
      </c>
      <c r="D4042" t="inlineStr">
        <is>
          <t>Conseillère en politique</t>
        </is>
      </c>
      <c r="E4042" t="inlineStr">
        <is>
          <t>Guylaine Le Couteur</t>
        </is>
      </c>
      <c r="F4042" t="inlineStr">
        <is>
          <t>To attend various ACOA related meetings</t>
        </is>
      </c>
      <c r="G4042" t="inlineStr">
        <is>
          <t>Pour participer à diverses réunions de l'APECA</t>
        </is>
      </c>
      <c r="H4042" s="1" t="n">
        <v>40521</v>
      </c>
      <c r="I4042" s="1" t="n">
        <v>40525</v>
      </c>
      <c r="J4042" t="inlineStr">
        <is>
          <t>Shippagan, New Brunswick</t>
        </is>
      </c>
      <c r="K4042" t="inlineStr">
        <is>
          <t>Shippagan (Nouveau-Brunswick)</t>
        </is>
      </c>
      <c r="P4042" t="n">
        <v>0</v>
      </c>
      <c r="Q4042" t="n">
        <v>1444.85</v>
      </c>
      <c r="R4042" t="n">
        <v>242.55</v>
      </c>
      <c r="S4042" t="n">
        <v>397.3</v>
      </c>
      <c r="T4042" t="n">
        <v>0</v>
      </c>
      <c r="U4042" t="n">
        <v>2084.7</v>
      </c>
      <c r="X4042" t="inlineStr">
        <is>
          <t>acoa-apeca</t>
        </is>
      </c>
      <c r="Y4042" t="inlineStr">
        <is>
          <t>Atlantic Canada Opportunities Agency | Agence de promotion économique du Canada atlantique</t>
        </is>
      </c>
    </row>
    <row r="4043">
      <c r="A4043" t="inlineStr">
        <is>
          <t>T-2011-Q4-00012</t>
        </is>
      </c>
      <c r="B4043" t="inlineStr">
        <is>
          <t>SLE</t>
        </is>
      </c>
      <c r="C4043" t="inlineStr">
        <is>
          <t>Vice-President, Finance and Corporate Services</t>
        </is>
      </c>
      <c r="D4043" t="inlineStr">
        <is>
          <t>Vice-présidente, Finances et Services corporatifs</t>
        </is>
      </c>
      <c r="E4043" t="inlineStr">
        <is>
          <t>Denise Frenette</t>
        </is>
      </c>
      <c r="F4043" t="inlineStr">
        <is>
          <t xml:space="preserve">Meetings with Government of Canada Officials and Agency Officials </t>
        </is>
      </c>
      <c r="G4043" t="inlineStr">
        <is>
          <t xml:space="preserve">Réunions avec des fonctionnaires du gouvernement du Canada et de l'Agence </t>
        </is>
      </c>
      <c r="H4043" s="1" t="n">
        <v>40519</v>
      </c>
      <c r="I4043" s="1" t="n">
        <v>40520</v>
      </c>
      <c r="J4043" t="inlineStr">
        <is>
          <t>Ottawa, Ontario</t>
        </is>
      </c>
      <c r="K4043" t="inlineStr">
        <is>
          <t>Ottawa (Ontario)</t>
        </is>
      </c>
      <c r="P4043" t="n">
        <v>966</v>
      </c>
      <c r="Q4043" t="n">
        <v>69.94</v>
      </c>
      <c r="R4043" t="n">
        <v>174.02</v>
      </c>
      <c r="S4043" t="n">
        <v>85.2</v>
      </c>
      <c r="T4043" t="n">
        <v>24</v>
      </c>
      <c r="U4043" t="n">
        <v>1319.16</v>
      </c>
      <c r="X4043" t="inlineStr">
        <is>
          <t>acoa-apeca</t>
        </is>
      </c>
      <c r="Y4043" t="inlineStr">
        <is>
          <t>Atlantic Canada Opportunities Agency | Agence de promotion économique du Canada atlantique</t>
        </is>
      </c>
    </row>
    <row r="4044">
      <c r="A4044" t="inlineStr">
        <is>
          <t>T-2011-Q4-00011</t>
        </is>
      </c>
      <c r="B4044" t="inlineStr">
        <is>
          <t>SLE</t>
        </is>
      </c>
      <c r="C4044" t="inlineStr">
        <is>
          <t>Vice-President, New Brunswick</t>
        </is>
      </c>
      <c r="D4044" t="inlineStr">
        <is>
          <t>Vice-présidente, Nouveau-Brunswick</t>
        </is>
      </c>
      <c r="E4044" t="inlineStr">
        <is>
          <t>Janet Gagnon</t>
        </is>
      </c>
      <c r="F4044" t="inlineStr">
        <is>
          <t>Executive Committee Meeting</t>
        </is>
      </c>
      <c r="G4044" t="inlineStr">
        <is>
          <t>Réunion du Comité de direction</t>
        </is>
      </c>
      <c r="H4044" s="1" t="n">
        <v>40519</v>
      </c>
      <c r="I4044" s="1" t="n">
        <v>40520</v>
      </c>
      <c r="J4044" t="inlineStr">
        <is>
          <t>Ottawa, Ontario</t>
        </is>
      </c>
      <c r="K4044" t="inlineStr">
        <is>
          <t>Ottawa (Ontario)</t>
        </is>
      </c>
      <c r="P4044" t="n">
        <v>696.3099999999999</v>
      </c>
      <c r="Q4044" t="n">
        <v>75.37</v>
      </c>
      <c r="R4044" t="n">
        <v>174.02</v>
      </c>
      <c r="S4044" t="n">
        <v>156.5</v>
      </c>
      <c r="T4044" t="n">
        <v>20</v>
      </c>
      <c r="U4044" t="n">
        <v>1122.2</v>
      </c>
      <c r="X4044" t="inlineStr">
        <is>
          <t>acoa-apeca</t>
        </is>
      </c>
      <c r="Y4044" t="inlineStr">
        <is>
          <t>Atlantic Canada Opportunities Agency | Agence de promotion économique du Canada atlantique</t>
        </is>
      </c>
    </row>
    <row r="4045">
      <c r="A4045" t="inlineStr">
        <is>
          <t>T-2011-Q4-00009</t>
        </is>
      </c>
      <c r="B4045" t="inlineStr">
        <is>
          <t>SLE</t>
        </is>
      </c>
      <c r="C4045" t="inlineStr">
        <is>
          <t>Vice President, Nova Scotia</t>
        </is>
      </c>
      <c r="D4045" t="inlineStr">
        <is>
          <t>Vice-président, Nouvelle-Écosse</t>
        </is>
      </c>
      <c r="E4045" t="inlineStr">
        <is>
          <t>Peter Hogan</t>
        </is>
      </c>
      <c r="F4045" t="inlineStr">
        <is>
          <t>Various Meetings with Agency Officials</t>
        </is>
      </c>
      <c r="G4045" t="inlineStr">
        <is>
          <t>Diverses réunions avec des fonctionnaires de l'Agence</t>
        </is>
      </c>
      <c r="H4045" s="1" t="n">
        <v>40518</v>
      </c>
      <c r="I4045" s="1" t="n">
        <v>40520</v>
      </c>
      <c r="J4045" t="inlineStr">
        <is>
          <t>Ottawa, Ontario</t>
        </is>
      </c>
      <c r="K4045" t="inlineStr">
        <is>
          <t>Ottawa (Ontario)</t>
        </is>
      </c>
      <c r="P4045" t="n">
        <v>571.09</v>
      </c>
      <c r="Q4045" t="n">
        <v>168.4</v>
      </c>
      <c r="R4045" t="n">
        <v>348.04</v>
      </c>
      <c r="S4045" t="n">
        <v>134.6</v>
      </c>
      <c r="T4045" t="n">
        <v>0</v>
      </c>
      <c r="U4045" t="n">
        <v>1222.13</v>
      </c>
      <c r="X4045" t="inlineStr">
        <is>
          <t>acoa-apeca</t>
        </is>
      </c>
      <c r="Y4045" t="inlineStr">
        <is>
          <t>Atlantic Canada Opportunities Agency | Agence de promotion économique du Canada atlantique</t>
        </is>
      </c>
    </row>
    <row r="4046">
      <c r="A4046" t="inlineStr">
        <is>
          <t>T-2011-Q4-00008</t>
        </is>
      </c>
      <c r="B4046" t="inlineStr">
        <is>
          <t>MPSES</t>
        </is>
      </c>
      <c r="C4046" t="inlineStr">
        <is>
          <t>Regional Affairs Director</t>
        </is>
      </c>
      <c r="D4046" t="inlineStr">
        <is>
          <t>Directeur des affaires régionales</t>
        </is>
      </c>
      <c r="E4046" t="inlineStr">
        <is>
          <t>Raymond Vogan</t>
        </is>
      </c>
      <c r="F4046" t="inlineStr">
        <is>
          <t>To attend meetings with Minister</t>
        </is>
      </c>
      <c r="G4046" t="inlineStr">
        <is>
          <t>Pour participer à des réunions avec le ministre</t>
        </is>
      </c>
      <c r="H4046" s="1" t="n">
        <v>40518</v>
      </c>
      <c r="I4046" s="1" t="n">
        <v>40522</v>
      </c>
      <c r="J4046" t="inlineStr">
        <is>
          <t>Ottawa, Ontario</t>
        </is>
      </c>
      <c r="K4046" t="inlineStr">
        <is>
          <t>Ottawa (Ontario)</t>
        </is>
      </c>
      <c r="P4046" t="n">
        <v>735.25</v>
      </c>
      <c r="Q4046" t="n">
        <v>32</v>
      </c>
      <c r="R4046" t="n">
        <v>628.28</v>
      </c>
      <c r="S4046" t="n">
        <v>352</v>
      </c>
      <c r="T4046" t="n">
        <v>0</v>
      </c>
      <c r="U4046" t="n">
        <v>1747.53</v>
      </c>
      <c r="X4046" t="inlineStr">
        <is>
          <t>acoa-apeca</t>
        </is>
      </c>
      <c r="Y4046" t="inlineStr">
        <is>
          <t>Atlantic Canada Opportunities Agency | Agence de promotion économique du Canada atlantique</t>
        </is>
      </c>
    </row>
    <row r="4047">
      <c r="A4047" t="inlineStr">
        <is>
          <t>T-2011-Q4-00007</t>
        </is>
      </c>
      <c r="B4047" t="inlineStr">
        <is>
          <t>SLE</t>
        </is>
      </c>
      <c r="C4047" t="inlineStr">
        <is>
          <t>Vice-President, Prince Edward Island</t>
        </is>
      </c>
      <c r="D4047" t="inlineStr">
        <is>
          <t>Vice-président, Île-du-Prince-Édouard</t>
        </is>
      </c>
      <c r="E4047" t="inlineStr">
        <is>
          <t>Patrick Dorsey</t>
        </is>
      </c>
      <c r="F4047" t="inlineStr">
        <is>
          <t>Executive Committee Meeting</t>
        </is>
      </c>
      <c r="G4047" t="inlineStr">
        <is>
          <t>Réunion du Comité de direction</t>
        </is>
      </c>
      <c r="H4047" s="1" t="n">
        <v>40518</v>
      </c>
      <c r="I4047" s="1" t="n">
        <v>40520</v>
      </c>
      <c r="J4047" t="inlineStr">
        <is>
          <t>Ottawa, Ontario</t>
        </is>
      </c>
      <c r="K4047" t="inlineStr">
        <is>
          <t>Ottawa (Ontario)</t>
        </is>
      </c>
      <c r="P4047" t="n">
        <v>546.5</v>
      </c>
      <c r="Q4047" t="n">
        <v>341.56</v>
      </c>
      <c r="R4047" t="n">
        <v>348.04</v>
      </c>
      <c r="S4047" t="n">
        <v>148.5</v>
      </c>
      <c r="T4047" t="n">
        <v>0</v>
      </c>
      <c r="U4047" t="n">
        <v>1384.6</v>
      </c>
      <c r="X4047" t="inlineStr">
        <is>
          <t>acoa-apeca</t>
        </is>
      </c>
      <c r="Y4047" t="inlineStr">
        <is>
          <t>Atlantic Canada Opportunities Agency | Agence de promotion économique du Canada atlantique</t>
        </is>
      </c>
    </row>
    <row r="4048">
      <c r="A4048" t="inlineStr">
        <is>
          <t>T-2011-Q4-00005</t>
        </is>
      </c>
      <c r="B4048" t="inlineStr">
        <is>
          <t>SLE</t>
        </is>
      </c>
      <c r="C4048" t="inlineStr">
        <is>
          <t>President</t>
        </is>
      </c>
      <c r="D4048" t="inlineStr">
        <is>
          <t>Président</t>
        </is>
      </c>
      <c r="E4048" t="inlineStr">
        <is>
          <t>Paul J. LeBlanc</t>
        </is>
      </c>
      <c r="F4048" t="inlineStr">
        <is>
          <t>For various meetings and discussions with Agency and Government of Canada official</t>
        </is>
      </c>
      <c r="G4048" t="inlineStr">
        <is>
          <t>Diverses réunions et discussions avec des fonctionnaires de l'Agence et du gouvernement du Canada</t>
        </is>
      </c>
      <c r="H4048" s="1" t="n">
        <v>40518</v>
      </c>
      <c r="I4048" s="1" t="n">
        <v>40521</v>
      </c>
      <c r="J4048" t="inlineStr">
        <is>
          <t>Ottawa, Ontario</t>
        </is>
      </c>
      <c r="K4048" t="inlineStr">
        <is>
          <t>Ottawa (Ontario)</t>
        </is>
      </c>
      <c r="P4048" t="n">
        <v>278.79</v>
      </c>
      <c r="Q4048" t="n">
        <v>56.5</v>
      </c>
      <c r="R4048" t="n">
        <v>505.11</v>
      </c>
      <c r="S4048" t="n">
        <v>172.9</v>
      </c>
      <c r="T4048" t="n">
        <v>131.47</v>
      </c>
      <c r="U4048" t="n">
        <v>1144.77</v>
      </c>
      <c r="X4048" t="inlineStr">
        <is>
          <t>acoa-apeca</t>
        </is>
      </c>
      <c r="Y4048" t="inlineStr">
        <is>
          <t>Atlantic Canada Opportunities Agency | Agence de promotion économique du Canada atlantique</t>
        </is>
      </c>
    </row>
    <row r="4049">
      <c r="A4049" t="inlineStr">
        <is>
          <t>T-2011-Q4-00004</t>
        </is>
      </c>
      <c r="B4049" t="inlineStr">
        <is>
          <t>SLE</t>
        </is>
      </c>
      <c r="C4049" t="inlineStr">
        <is>
          <t>Vice-President, Newfoundland and Labrador</t>
        </is>
      </c>
      <c r="D4049" t="inlineStr">
        <is>
          <t>Vice-président, Terre-Neuve-et-Labrador</t>
        </is>
      </c>
      <c r="E4049" t="inlineStr">
        <is>
          <t>Paul Mills</t>
        </is>
      </c>
      <c r="F4049" t="inlineStr">
        <is>
          <t xml:space="preserve">To attend the Executive Committee Meeting;  VMT-CAE Simulation Meeting; and meetings with senior government officials </t>
        </is>
      </c>
      <c r="G4049" t="inlineStr">
        <is>
          <t>Réunion du Comité de direction, réunion sur les VMT/simulateurs CAE et réunions avec des hauts fonctionnaires</t>
        </is>
      </c>
      <c r="H4049" s="1" t="n">
        <v>40518</v>
      </c>
      <c r="I4049" s="1" t="n">
        <v>40520</v>
      </c>
      <c r="J4049" t="inlineStr">
        <is>
          <t>Ottawa, Ontario</t>
        </is>
      </c>
      <c r="K4049" t="inlineStr">
        <is>
          <t>Ottawa (Ontario)</t>
        </is>
      </c>
      <c r="P4049" t="n">
        <v>1264.76</v>
      </c>
      <c r="Q4049" t="n">
        <v>143</v>
      </c>
      <c r="R4049" t="n">
        <v>348.04</v>
      </c>
      <c r="S4049" t="n">
        <v>201.6</v>
      </c>
      <c r="T4049" t="n">
        <v>7.73</v>
      </c>
      <c r="U4049" t="n">
        <v>1965.13</v>
      </c>
      <c r="X4049" t="inlineStr">
        <is>
          <t>acoa-apeca</t>
        </is>
      </c>
      <c r="Y4049" t="inlineStr">
        <is>
          <t>Atlantic Canada Opportunities Agency | Agence de promotion économique du Canada atlantique</t>
        </is>
      </c>
    </row>
    <row r="4050">
      <c r="A4050" t="inlineStr">
        <is>
          <t>T-2011-Q4-00003</t>
        </is>
      </c>
      <c r="B4050" t="inlineStr">
        <is>
          <t>MPSES</t>
        </is>
      </c>
      <c r="C4050" t="inlineStr">
        <is>
          <t>Regional Affairs Director</t>
        </is>
      </c>
      <c r="D4050" t="inlineStr">
        <is>
          <t>Directeur des affaires régionales</t>
        </is>
      </c>
      <c r="E4050" t="inlineStr">
        <is>
          <t>Raymond Vogan</t>
        </is>
      </c>
      <c r="F4050" t="inlineStr">
        <is>
          <t>To attend meetings on regional issues</t>
        </is>
      </c>
      <c r="G4050" t="inlineStr">
        <is>
          <t>Pour participer à des réunions sur des enjeux régionaux</t>
        </is>
      </c>
      <c r="H4050" s="1" t="n">
        <v>40517</v>
      </c>
      <c r="I4050" s="1" t="n">
        <v>40517</v>
      </c>
      <c r="J4050" t="inlineStr">
        <is>
          <t>Moncton, New Brunswick</t>
        </is>
      </c>
      <c r="K4050" t="inlineStr">
        <is>
          <t>Moncton (Nouveau-Brunswick)</t>
        </is>
      </c>
      <c r="P4050" t="n">
        <v>0</v>
      </c>
      <c r="Q4050" t="n">
        <v>185.63</v>
      </c>
      <c r="R4050" t="n">
        <v>0</v>
      </c>
      <c r="S4050" t="n">
        <v>28.7</v>
      </c>
      <c r="T4050" t="n">
        <v>0</v>
      </c>
      <c r="U4050" t="n">
        <v>214.33</v>
      </c>
      <c r="X4050" t="inlineStr">
        <is>
          <t>acoa-apeca</t>
        </is>
      </c>
      <c r="Y4050" t="inlineStr">
        <is>
          <t>Atlantic Canada Opportunities Agency | Agence de promotion économique du Canada atlantique</t>
        </is>
      </c>
    </row>
    <row r="4051">
      <c r="A4051" t="inlineStr">
        <is>
          <t>T-2011-Q4-00002</t>
        </is>
      </c>
      <c r="B4051" t="inlineStr">
        <is>
          <t>MPSES</t>
        </is>
      </c>
      <c r="C4051" t="inlineStr">
        <is>
          <t>Regional Special Assistant</t>
        </is>
      </c>
      <c r="D4051" t="inlineStr">
        <is>
          <t>Adjointe spéciale régionale</t>
        </is>
      </c>
      <c r="E4051" t="inlineStr">
        <is>
          <t>Neyda Long</t>
        </is>
      </c>
      <c r="F4051" t="inlineStr">
        <is>
          <t>To attend meetings - regional issues</t>
        </is>
      </c>
      <c r="G4051" t="inlineStr">
        <is>
          <t>Pour participer à des réunions sur des enjeux régionaux</t>
        </is>
      </c>
      <c r="H4051" s="1" t="n">
        <v>40517</v>
      </c>
      <c r="I4051" s="1" t="n">
        <v>40517</v>
      </c>
      <c r="J4051" t="inlineStr">
        <is>
          <t>Moncton, New Brunswick</t>
        </is>
      </c>
      <c r="K4051" t="inlineStr">
        <is>
          <t>Moncton (Nouveau-Brunswick)</t>
        </is>
      </c>
      <c r="P4051" t="n">
        <v>0</v>
      </c>
      <c r="Q4051" t="n">
        <v>0</v>
      </c>
      <c r="R4051" t="n">
        <v>0</v>
      </c>
      <c r="S4051" t="n">
        <v>28.7</v>
      </c>
      <c r="T4051" t="n">
        <v>0</v>
      </c>
      <c r="U4051" t="n">
        <v>28.7</v>
      </c>
      <c r="X4051" t="inlineStr">
        <is>
          <t>acoa-apeca</t>
        </is>
      </c>
      <c r="Y4051" t="inlineStr">
        <is>
          <t>Atlantic Canada Opportunities Agency | Agence de promotion économique du Canada atlantique</t>
        </is>
      </c>
    </row>
    <row r="4052">
      <c r="A4052" t="inlineStr">
        <is>
          <t>T-2017-Q4-00041</t>
        </is>
      </c>
      <c r="B4052" t="inlineStr">
        <is>
          <t>SLE</t>
        </is>
      </c>
      <c r="C4052" t="inlineStr">
        <is>
          <t>Vice President, Nova Scotia</t>
        </is>
      </c>
      <c r="D4052" t="inlineStr">
        <is>
          <t>Vice-président, Nouvelle-Écosse</t>
        </is>
      </c>
      <c r="E4052" t="inlineStr">
        <is>
          <t>Peter Hogan</t>
        </is>
      </c>
      <c r="F4052" t="inlineStr">
        <is>
          <t>Meeting with Agency officials</t>
        </is>
      </c>
      <c r="G4052" t="inlineStr">
        <is>
          <t>Réunion avec des fonctionnaires de l'Agence</t>
        </is>
      </c>
      <c r="H4052" s="1" t="n">
        <v>42711</v>
      </c>
      <c r="I4052" s="1" t="n">
        <v>42712</v>
      </c>
      <c r="J4052" t="inlineStr">
        <is>
          <t>Moncton, New Brunswick</t>
        </is>
      </c>
      <c r="K4052" t="inlineStr">
        <is>
          <t>Moncton (Nouveau-Brunswick)</t>
        </is>
      </c>
      <c r="P4052" t="n">
        <v>0</v>
      </c>
      <c r="Q4052" t="n">
        <v>16.1</v>
      </c>
      <c r="R4052" t="n">
        <v>121.9</v>
      </c>
      <c r="S4052" t="n">
        <v>177.2</v>
      </c>
      <c r="T4052" t="n">
        <v>0</v>
      </c>
      <c r="U4052" t="n">
        <v>315.2</v>
      </c>
      <c r="X4052" t="inlineStr">
        <is>
          <t>acoa-apeca</t>
        </is>
      </c>
      <c r="Y4052" t="inlineStr">
        <is>
          <t>Atlantic Canada Opportunities Agency | Agence de promotion économique du Canada atlantique</t>
        </is>
      </c>
    </row>
    <row r="4053">
      <c r="A4053" t="inlineStr">
        <is>
          <t>T-2017-Q4-00040</t>
        </is>
      </c>
      <c r="B4053" t="inlineStr">
        <is>
          <t>SLE</t>
        </is>
      </c>
      <c r="C4053" t="inlineStr">
        <is>
          <t>Acting Vice-President, Nova-Scotia</t>
        </is>
      </c>
      <c r="D4053" t="inlineStr">
        <is>
          <t>Vice-président par intérim, Nouvelle-Écosse</t>
        </is>
      </c>
      <c r="E4053" t="inlineStr">
        <is>
          <t>Patrick Dorsey</t>
        </is>
      </c>
      <c r="F4053" t="inlineStr">
        <is>
          <t xml:space="preserve">Assignment in Halifax </t>
        </is>
      </c>
      <c r="G4053" t="inlineStr">
        <is>
          <t>Affectation à Halifax</t>
        </is>
      </c>
      <c r="H4053" s="1" t="n">
        <v>42767</v>
      </c>
      <c r="I4053" s="1" t="n">
        <v>42794</v>
      </c>
      <c r="J4053" t="inlineStr">
        <is>
          <t>Halifax, Nova Scotia</t>
        </is>
      </c>
      <c r="K4053" t="inlineStr">
        <is>
          <t>Halifax (Nouvelle-Écosse)</t>
        </is>
      </c>
      <c r="P4053" t="n">
        <v>0</v>
      </c>
      <c r="Q4053" t="n">
        <v>0</v>
      </c>
      <c r="R4053" t="n">
        <v>3080</v>
      </c>
      <c r="S4053" t="n">
        <v>1083.05</v>
      </c>
      <c r="T4053" t="n">
        <v>0</v>
      </c>
      <c r="U4053" t="n">
        <v>4163.05</v>
      </c>
      <c r="X4053" t="inlineStr">
        <is>
          <t>acoa-apeca</t>
        </is>
      </c>
      <c r="Y4053" t="inlineStr">
        <is>
          <t>Atlantic Canada Opportunities Agency | Agence de promotion économique du Canada atlantique</t>
        </is>
      </c>
    </row>
    <row r="4054">
      <c r="A4054" t="inlineStr">
        <is>
          <t>T-2017-Q4-00039</t>
        </is>
      </c>
      <c r="B4054" t="inlineStr">
        <is>
          <t>SLE</t>
        </is>
      </c>
      <c r="C4054" t="inlineStr">
        <is>
          <t>Acting Vice-President, Nova-Scotia</t>
        </is>
      </c>
      <c r="D4054" t="inlineStr">
        <is>
          <t>Vice-président par intérim, Nouvelle-Écosse</t>
        </is>
      </c>
      <c r="E4054" t="inlineStr">
        <is>
          <t>Patrick Dorsey</t>
        </is>
      </c>
      <c r="F4054" t="inlineStr">
        <is>
          <t xml:space="preserve">Assignment in Halifax </t>
        </is>
      </c>
      <c r="G4054" t="inlineStr">
        <is>
          <t>Affectation à Halifax</t>
        </is>
      </c>
      <c r="H4054" s="1" t="n">
        <v>42737</v>
      </c>
      <c r="I4054" s="1" t="n">
        <v>42766</v>
      </c>
      <c r="J4054" t="inlineStr">
        <is>
          <t>Halifax, Nova Scotia</t>
        </is>
      </c>
      <c r="K4054" t="inlineStr">
        <is>
          <t>Halifax (Nouvelle-Écosse)</t>
        </is>
      </c>
      <c r="P4054" t="n">
        <v>0</v>
      </c>
      <c r="Q4054" t="n">
        <v>843.64</v>
      </c>
      <c r="R4054" t="n">
        <v>3336.21</v>
      </c>
      <c r="S4054" t="n">
        <v>2045.2</v>
      </c>
      <c r="T4054" t="n">
        <v>0</v>
      </c>
      <c r="U4054" t="n">
        <v>6225.05</v>
      </c>
      <c r="X4054" t="inlineStr">
        <is>
          <t>acoa-apeca</t>
        </is>
      </c>
      <c r="Y4054" t="inlineStr">
        <is>
          <t>Atlantic Canada Opportunities Agency | Agence de promotion économique du Canada atlantique</t>
        </is>
      </c>
    </row>
    <row r="4055">
      <c r="A4055" t="inlineStr">
        <is>
          <t>T-2017-Q4-00019</t>
        </is>
      </c>
      <c r="B4055" t="inlineStr">
        <is>
          <t>SLE</t>
        </is>
      </c>
      <c r="C4055" t="inlineStr">
        <is>
          <t>Vice-President, Newfoundland and Labrador</t>
        </is>
      </c>
      <c r="D4055" t="inlineStr">
        <is>
          <t>Vice-président, Terre-Neuve-et-Labrador</t>
        </is>
      </c>
      <c r="E4055" t="inlineStr">
        <is>
          <t>Ken Martin</t>
        </is>
      </c>
      <c r="F4055" t="inlineStr">
        <is>
          <t xml:space="preserve">Attend Executive Committee Meeting </t>
        </is>
      </c>
      <c r="G4055" t="inlineStr">
        <is>
          <t>Assister à une réunion du Comité de direction</t>
        </is>
      </c>
      <c r="H4055" s="1" t="n">
        <v>42767</v>
      </c>
      <c r="I4055" s="1" t="n">
        <v>42768</v>
      </c>
      <c r="J4055" t="inlineStr">
        <is>
          <t>Moncton, New-Brunswick</t>
        </is>
      </c>
      <c r="K4055" t="inlineStr">
        <is>
          <t>Moncton (Nouveau-Brunswick)</t>
        </is>
      </c>
      <c r="P4055" t="n">
        <v>986.79</v>
      </c>
      <c r="Q4055" t="n">
        <v>40.54</v>
      </c>
      <c r="R4055" t="n">
        <v>119.6</v>
      </c>
      <c r="S4055" t="n">
        <v>159.95</v>
      </c>
      <c r="T4055" t="n">
        <v>0</v>
      </c>
      <c r="U4055" t="n">
        <v>1306.88</v>
      </c>
      <c r="X4055" t="inlineStr">
        <is>
          <t>acoa-apeca</t>
        </is>
      </c>
      <c r="Y4055" t="inlineStr">
        <is>
          <t>Atlantic Canada Opportunities Agency | Agence de promotion économique du Canada atlantique</t>
        </is>
      </c>
    </row>
    <row r="4056">
      <c r="A4056" t="inlineStr">
        <is>
          <t>T-2017-Q4-00038</t>
        </is>
      </c>
      <c r="B4056" t="inlineStr">
        <is>
          <t>SLE</t>
        </is>
      </c>
      <c r="C4056" t="inlineStr">
        <is>
          <t>Acting Vice-President, Nova-Scotia</t>
        </is>
      </c>
      <c r="D4056" t="inlineStr">
        <is>
          <t>Vice-président par intérim, Nouvelle-Écosse</t>
        </is>
      </c>
      <c r="E4056" t="inlineStr">
        <is>
          <t>Patrick Dorsey</t>
        </is>
      </c>
      <c r="F4056" t="inlineStr">
        <is>
          <t>Various meetings with Agency and Government of Canada officials</t>
        </is>
      </c>
      <c r="G4056" t="inlineStr">
        <is>
          <t>Diverses réunions avec des fonctionnaires de l'Agence et du gouvernement du Canada</t>
        </is>
      </c>
      <c r="H4056" s="1" t="n">
        <v>42773</v>
      </c>
      <c r="I4056" s="1" t="n">
        <v>42774</v>
      </c>
      <c r="J4056" t="inlineStr">
        <is>
          <t>Ottawa, Ontario</t>
        </is>
      </c>
      <c r="K4056" t="inlineStr">
        <is>
          <t>Ottawa (Ontario)</t>
        </is>
      </c>
      <c r="P4056" t="n">
        <v>690.46</v>
      </c>
      <c r="Q4056" t="n">
        <v>213.93</v>
      </c>
      <c r="R4056" t="n">
        <v>231.62</v>
      </c>
      <c r="S4056" t="n">
        <v>120</v>
      </c>
      <c r="T4056" t="n">
        <v>0</v>
      </c>
      <c r="U4056" t="n">
        <v>1256.01</v>
      </c>
      <c r="X4056" t="inlineStr">
        <is>
          <t>acoa-apeca</t>
        </is>
      </c>
      <c r="Y4056" t="inlineStr">
        <is>
          <t>Atlantic Canada Opportunities Agency | Agence de promotion économique du Canada atlantique</t>
        </is>
      </c>
    </row>
    <row r="4057">
      <c r="A4057" t="inlineStr">
        <is>
          <t>T-2017-Q4-00037</t>
        </is>
      </c>
      <c r="B4057" t="inlineStr">
        <is>
          <t>SLE</t>
        </is>
      </c>
      <c r="C4057" t="inlineStr">
        <is>
          <t>Acting Vice-President, Nova-Scotia</t>
        </is>
      </c>
      <c r="D4057" t="inlineStr">
        <is>
          <t>Vice-président par intérim, Nouvelle-Écosse</t>
        </is>
      </c>
      <c r="E4057" t="inlineStr">
        <is>
          <t>Patrick Dorsey</t>
        </is>
      </c>
      <c r="F4057" t="inlineStr">
        <is>
          <t>Meeting with Agency officials</t>
        </is>
      </c>
      <c r="G4057" t="inlineStr">
        <is>
          <t>Réunion avec des fonctionnaires de l'Agence</t>
        </is>
      </c>
      <c r="H4057" s="1" t="n">
        <v>42767</v>
      </c>
      <c r="I4057" s="1" t="n">
        <v>42768</v>
      </c>
      <c r="J4057" t="inlineStr">
        <is>
          <t>Moncton, New Brunswick</t>
        </is>
      </c>
      <c r="K4057" t="inlineStr">
        <is>
          <t>Moncton (Nouveau-Brunswick)</t>
        </is>
      </c>
      <c r="P4057" t="n">
        <v>0</v>
      </c>
      <c r="Q4057" t="n">
        <v>16.1</v>
      </c>
      <c r="R4057" t="n">
        <v>119.6</v>
      </c>
      <c r="S4057" t="n">
        <v>107.05</v>
      </c>
      <c r="T4057" t="n">
        <v>0</v>
      </c>
      <c r="U4057" t="n">
        <v>242.75</v>
      </c>
      <c r="X4057" t="inlineStr">
        <is>
          <t>acoa-apeca</t>
        </is>
      </c>
      <c r="Y4057" t="inlineStr">
        <is>
          <t>Atlantic Canada Opportunities Agency | Agence de promotion économique du Canada atlantique</t>
        </is>
      </c>
    </row>
    <row r="4058">
      <c r="A4058" t="inlineStr">
        <is>
          <t>T-2017-Q4-00036</t>
        </is>
      </c>
      <c r="B4058" t="inlineStr">
        <is>
          <t>SLE</t>
        </is>
      </c>
      <c r="C4058" t="inlineStr">
        <is>
          <t>Acting Vice-President, Nova-Scotia</t>
        </is>
      </c>
      <c r="D4058" t="inlineStr">
        <is>
          <t>Vice-président par intérim, Nouvelle-Écosse</t>
        </is>
      </c>
      <c r="E4058" t="inlineStr">
        <is>
          <t>Patrick Dorsey</t>
        </is>
      </c>
      <c r="F4058" t="inlineStr">
        <is>
          <t>Professional development</t>
        </is>
      </c>
      <c r="G4058" t="inlineStr">
        <is>
          <t>Perfectionnement professionnel</t>
        </is>
      </c>
      <c r="H4058" s="1" t="n">
        <v>42757</v>
      </c>
      <c r="I4058" s="1" t="n">
        <v>42760</v>
      </c>
      <c r="J4058" t="inlineStr">
        <is>
          <t>Toronto, Ontario</t>
        </is>
      </c>
      <c r="K4058" t="inlineStr">
        <is>
          <t>Toronto (Ontario)</t>
        </is>
      </c>
      <c r="P4058" t="n">
        <v>686.9400000000001</v>
      </c>
      <c r="Q4058" t="n">
        <v>172</v>
      </c>
      <c r="R4058" t="n">
        <v>518.52</v>
      </c>
      <c r="S4058" t="n">
        <v>285.65</v>
      </c>
      <c r="T4058" t="n">
        <v>0</v>
      </c>
      <c r="U4058" t="n">
        <v>1663.11</v>
      </c>
      <c r="X4058" t="inlineStr">
        <is>
          <t>acoa-apeca</t>
        </is>
      </c>
      <c r="Y4058" t="inlineStr">
        <is>
          <t>Atlantic Canada Opportunities Agency | Agence de promotion économique du Canada atlantique</t>
        </is>
      </c>
    </row>
    <row r="4059">
      <c r="A4059" t="inlineStr">
        <is>
          <t>T-2017-Q4-00035</t>
        </is>
      </c>
      <c r="B4059" t="inlineStr">
        <is>
          <t>SLE</t>
        </is>
      </c>
      <c r="C4059" t="inlineStr">
        <is>
          <t>Acting Vice-President, Nova-Scotia</t>
        </is>
      </c>
      <c r="D4059" t="inlineStr">
        <is>
          <t>Vice-président par intérim, Nouvelle-Écosse</t>
        </is>
      </c>
      <c r="E4059" t="inlineStr">
        <is>
          <t>Patrick Dorsey</t>
        </is>
      </c>
      <c r="F4059" t="inlineStr">
        <is>
          <t>Various meetings with Agency officials and clients</t>
        </is>
      </c>
      <c r="G4059" t="inlineStr">
        <is>
          <t>Diverses réunions avec des fonctionnaires de l'Agence et des clients</t>
        </is>
      </c>
      <c r="H4059" s="1" t="n">
        <v>42745</v>
      </c>
      <c r="I4059" s="1" t="n">
        <v>42745</v>
      </c>
      <c r="J4059" t="inlineStr">
        <is>
          <t>Sydney, Nova Scotia</t>
        </is>
      </c>
      <c r="K4059" t="inlineStr">
        <is>
          <t>Sydney (Nouvelle-Écosse)</t>
        </is>
      </c>
      <c r="P4059" t="n">
        <v>477.75</v>
      </c>
      <c r="Q4059" t="n">
        <v>168</v>
      </c>
      <c r="R4059" t="n">
        <v>0</v>
      </c>
      <c r="S4059" t="n">
        <v>79.8</v>
      </c>
      <c r="T4059" t="n">
        <v>0</v>
      </c>
      <c r="U4059" t="n">
        <v>725.55</v>
      </c>
      <c r="X4059" t="inlineStr">
        <is>
          <t>acoa-apeca</t>
        </is>
      </c>
      <c r="Y4059" t="inlineStr">
        <is>
          <t>Atlantic Canada Opportunities Agency | Agence de promotion économique du Canada atlantique</t>
        </is>
      </c>
    </row>
    <row r="4060">
      <c r="A4060" t="inlineStr">
        <is>
          <t>T-2017-Q4-00024</t>
        </is>
      </c>
      <c r="B4060" t="inlineStr">
        <is>
          <t>SLE</t>
        </is>
      </c>
      <c r="C4060" t="inlineStr">
        <is>
          <t>Acting Vice-President, Nova-Scotia</t>
        </is>
      </c>
      <c r="D4060" t="inlineStr">
        <is>
          <t>Vice-président par intérim, Nouvelle-Écosse</t>
        </is>
      </c>
      <c r="E4060" t="inlineStr">
        <is>
          <t>Patrick Dorsey</t>
        </is>
      </c>
      <c r="F4060" t="inlineStr">
        <is>
          <t xml:space="preserve">Assignment in Halifax </t>
        </is>
      </c>
      <c r="G4060" t="inlineStr">
        <is>
          <t>Affectation à Halifax</t>
        </is>
      </c>
      <c r="H4060" s="1" t="n">
        <v>42723</v>
      </c>
      <c r="I4060" s="1" t="n">
        <v>42727</v>
      </c>
      <c r="J4060" t="inlineStr">
        <is>
          <t>Halifax, Nova Scotia</t>
        </is>
      </c>
      <c r="K4060" t="inlineStr">
        <is>
          <t>Halifax (Nouvelle-Écosse)</t>
        </is>
      </c>
      <c r="P4060" t="n">
        <v>0</v>
      </c>
      <c r="Q4060" t="n">
        <v>449.63</v>
      </c>
      <c r="R4060" t="n">
        <v>703.8</v>
      </c>
      <c r="S4060" t="n">
        <v>520.05</v>
      </c>
      <c r="T4060" t="n">
        <v>55</v>
      </c>
      <c r="U4060" t="n">
        <v>1728.48</v>
      </c>
      <c r="X4060" t="inlineStr">
        <is>
          <t>acoa-apeca</t>
        </is>
      </c>
      <c r="Y4060" t="inlineStr">
        <is>
          <t>Atlantic Canada Opportunities Agency | Agence de promotion économique du Canada atlantique</t>
        </is>
      </c>
    </row>
    <row r="4061">
      <c r="A4061" t="inlineStr">
        <is>
          <t>T-2017-Q4-00022</t>
        </is>
      </c>
      <c r="B4061" t="inlineStr">
        <is>
          <t>SLE</t>
        </is>
      </c>
      <c r="C4061" t="inlineStr">
        <is>
          <t>Vice-President, Newfoundland and Labrador</t>
        </is>
      </c>
      <c r="D4061" t="inlineStr">
        <is>
          <t>Vice-président, Terre-Neuve-et-Labrador</t>
        </is>
      </c>
      <c r="E4061" t="inlineStr">
        <is>
          <t>Ken Martin</t>
        </is>
      </c>
      <c r="F4061" t="inlineStr">
        <is>
          <t>Meeting with senior government officials</t>
        </is>
      </c>
      <c r="G4061" t="inlineStr">
        <is>
          <t xml:space="preserve">Réunion avec des hauts fonctionnaires </t>
        </is>
      </c>
      <c r="H4061" s="1" t="n">
        <v>42773</v>
      </c>
      <c r="I4061" s="1" t="n">
        <v>42773</v>
      </c>
      <c r="J4061" t="inlineStr">
        <is>
          <t>Chapel's Cove, Newfoundland and Labrador</t>
        </is>
      </c>
      <c r="K4061" t="inlineStr">
        <is>
          <t>Chapel's Cove (Terre-Neuve-et-Labrador)</t>
        </is>
      </c>
      <c r="P4061" t="n">
        <v>0</v>
      </c>
      <c r="Q4061" t="n">
        <v>81.03</v>
      </c>
      <c r="R4061" t="n">
        <v>0</v>
      </c>
      <c r="S4061" t="n">
        <v>17.25</v>
      </c>
      <c r="T4061" t="n">
        <v>0</v>
      </c>
      <c r="U4061" t="n">
        <v>98.28</v>
      </c>
      <c r="X4061" t="inlineStr">
        <is>
          <t>acoa-apeca</t>
        </is>
      </c>
      <c r="Y4061" t="inlineStr">
        <is>
          <t>Atlantic Canada Opportunities Agency | Agence de promotion économique du Canada atlantique</t>
        </is>
      </c>
    </row>
    <row r="4062">
      <c r="A4062" t="inlineStr">
        <is>
          <t>T-2017-Q4-00021</t>
        </is>
      </c>
      <c r="B4062" t="inlineStr">
        <is>
          <t>SLE</t>
        </is>
      </c>
      <c r="C4062" t="inlineStr">
        <is>
          <t>Vice-President, New Brunswick</t>
        </is>
      </c>
      <c r="D4062" t="inlineStr">
        <is>
          <t>Vice-président, Nouveau-Brunswick</t>
        </is>
      </c>
      <c r="E4062" t="inlineStr">
        <is>
          <t>Kent Estabrooks</t>
        </is>
      </c>
      <c r="F4062" t="inlineStr">
        <is>
          <t>Agency Executive Committee Meeting</t>
        </is>
      </c>
      <c r="G4062" t="inlineStr">
        <is>
          <t>Réunion du Comité de direction de l'Agence</t>
        </is>
      </c>
      <c r="H4062" s="1" t="n">
        <v>42767</v>
      </c>
      <c r="I4062" s="1" t="n">
        <v>42768</v>
      </c>
      <c r="J4062" t="inlineStr">
        <is>
          <t>Moncton, New Brunswick</t>
        </is>
      </c>
      <c r="K4062" t="inlineStr">
        <is>
          <t>Moncton (Nouveau-Brunswick)</t>
        </is>
      </c>
      <c r="P4062" t="n">
        <v>0</v>
      </c>
      <c r="Q4062" t="n">
        <v>0</v>
      </c>
      <c r="R4062" t="n">
        <v>119.6</v>
      </c>
      <c r="S4062" t="n">
        <v>142.95</v>
      </c>
      <c r="T4062" t="n">
        <v>16.1</v>
      </c>
      <c r="U4062" t="n">
        <v>278.65</v>
      </c>
      <c r="X4062" t="inlineStr">
        <is>
          <t>acoa-apeca</t>
        </is>
      </c>
      <c r="Y4062" t="inlineStr">
        <is>
          <t>Atlantic Canada Opportunities Agency | Agence de promotion économique du Canada atlantique</t>
        </is>
      </c>
    </row>
    <row r="4063">
      <c r="A4063" t="inlineStr">
        <is>
          <t>T-2017-Q4-00001</t>
        </is>
      </c>
      <c r="B4063" t="inlineStr">
        <is>
          <t>SLE</t>
        </is>
      </c>
      <c r="C4063" t="inlineStr">
        <is>
          <t>President</t>
        </is>
      </c>
      <c r="D4063" t="inlineStr">
        <is>
          <t>Président</t>
        </is>
      </c>
      <c r="E4063" t="inlineStr">
        <is>
          <t>Paul J. LeBlanc</t>
        </is>
      </c>
      <c r="F4063" t="inlineStr">
        <is>
          <t>Meeting with Agency officials</t>
        </is>
      </c>
      <c r="G4063" t="inlineStr">
        <is>
          <t>Réunion avec des fonctionnaires de l'Agence</t>
        </is>
      </c>
      <c r="H4063" s="1" t="n">
        <v>42706</v>
      </c>
      <c r="I4063" s="1" t="n">
        <v>42706</v>
      </c>
      <c r="J4063" t="inlineStr">
        <is>
          <t>Charlottetown, Prince Edward Island</t>
        </is>
      </c>
      <c r="K4063" t="inlineStr">
        <is>
          <t>Charlottetown (Île-du-Prince-Édouard)</t>
        </is>
      </c>
      <c r="P4063" t="n">
        <v>0</v>
      </c>
      <c r="Q4063" t="n">
        <v>0</v>
      </c>
      <c r="R4063" t="n">
        <v>0</v>
      </c>
      <c r="S4063" t="n">
        <v>0</v>
      </c>
      <c r="T4063" t="n">
        <v>46</v>
      </c>
      <c r="U4063" t="n">
        <v>46</v>
      </c>
      <c r="X4063" t="inlineStr">
        <is>
          <t>acoa-apeca</t>
        </is>
      </c>
      <c r="Y4063" t="inlineStr">
        <is>
          <t>Atlantic Canada Opportunities Agency | Agence de promotion économique du Canada atlantique</t>
        </is>
      </c>
    </row>
    <row r="4064">
      <c r="A4064" t="inlineStr">
        <is>
          <t>T-2018-Q2-00055</t>
        </is>
      </c>
      <c r="B4064" t="inlineStr">
        <is>
          <t>SLE</t>
        </is>
      </c>
      <c r="C4064" t="inlineStr">
        <is>
          <t>Vice-President, New Brunswick</t>
        </is>
      </c>
      <c r="D4064" t="inlineStr">
        <is>
          <t>Vice-président, Nouveau-Brunswick</t>
        </is>
      </c>
      <c r="E4064" t="inlineStr">
        <is>
          <t>Kent Estabrooks</t>
        </is>
      </c>
      <c r="F4064" t="inlineStr">
        <is>
          <t>Interview board member</t>
        </is>
      </c>
      <c r="G4064" t="inlineStr">
        <is>
          <t>Membre d'un comité d'entrevue</t>
        </is>
      </c>
      <c r="H4064" s="1" t="n">
        <v>42912</v>
      </c>
      <c r="I4064" s="1" t="n">
        <v>42912</v>
      </c>
      <c r="J4064" t="inlineStr">
        <is>
          <t>Moncton, New Brunswick</t>
        </is>
      </c>
      <c r="K4064" t="inlineStr">
        <is>
          <t>Moncton (Nouveau-Brunswick)</t>
        </is>
      </c>
      <c r="P4064" t="n">
        <v>0</v>
      </c>
      <c r="Q4064" t="n">
        <v>0</v>
      </c>
      <c r="R4064" t="n">
        <v>0</v>
      </c>
      <c r="S4064" t="n">
        <v>64</v>
      </c>
      <c r="T4064" t="n">
        <v>21.5</v>
      </c>
      <c r="U4064" t="n">
        <v>85.5</v>
      </c>
      <c r="X4064" t="inlineStr">
        <is>
          <t>acoa-apeca</t>
        </is>
      </c>
      <c r="Y4064" t="inlineStr">
        <is>
          <t>Atlantic Canada Opportunities Agency | Agence de promotion économique du Canada atlantique</t>
        </is>
      </c>
    </row>
    <row r="4065">
      <c r="A4065" t="inlineStr">
        <is>
          <t>T-2017-Q4-00017</t>
        </is>
      </c>
      <c r="B4065" t="inlineStr">
        <is>
          <t>SLE</t>
        </is>
      </c>
      <c r="C4065" t="inlineStr">
        <is>
          <t>Vice-President, Policy and Programs</t>
        </is>
      </c>
      <c r="D4065" t="inlineStr">
        <is>
          <t>Vice-président, Politiques et Programmes</t>
        </is>
      </c>
      <c r="E4065" t="inlineStr">
        <is>
          <t>Daryell Nowlan</t>
        </is>
      </c>
      <c r="F4065" t="inlineStr">
        <is>
          <t>Meetings with Government of Canada officials</t>
        </is>
      </c>
      <c r="G4065" t="inlineStr">
        <is>
          <t>Réunions avec des fonctionnaires du gouvernement du Canada</t>
        </is>
      </c>
      <c r="H4065" s="1" t="n">
        <v>42760</v>
      </c>
      <c r="I4065" s="1" t="n">
        <v>42762</v>
      </c>
      <c r="J4065" t="inlineStr">
        <is>
          <t>Halifax and Wolfville, Nova Scotia</t>
        </is>
      </c>
      <c r="K4065" t="inlineStr">
        <is>
          <t>Halifax et Wolfville (Nouvelle-Écosse)</t>
        </is>
      </c>
      <c r="P4065" t="n">
        <v>0</v>
      </c>
      <c r="Q4065" t="n">
        <v>360.6</v>
      </c>
      <c r="R4065" t="n">
        <v>273.13</v>
      </c>
      <c r="S4065" t="n">
        <v>160.2</v>
      </c>
      <c r="T4065" t="n">
        <v>0</v>
      </c>
      <c r="U4065" t="n">
        <v>793.9299999999999</v>
      </c>
      <c r="X4065" t="inlineStr">
        <is>
          <t>acoa-apeca</t>
        </is>
      </c>
      <c r="Y4065" t="inlineStr">
        <is>
          <t>Atlantic Canada Opportunities Agency | Agence de promotion économique du Canada atlantique</t>
        </is>
      </c>
    </row>
    <row r="4066">
      <c r="A4066" t="inlineStr">
        <is>
          <t>T-2017-Q4-00016</t>
        </is>
      </c>
      <c r="B4066" t="inlineStr">
        <is>
          <t>SLE</t>
        </is>
      </c>
      <c r="C4066" t="inlineStr">
        <is>
          <t>President</t>
        </is>
      </c>
      <c r="D4066" t="inlineStr">
        <is>
          <t>Président</t>
        </is>
      </c>
      <c r="E4066" t="inlineStr">
        <is>
          <t>Paul J. LeBlanc</t>
        </is>
      </c>
      <c r="F4066" t="inlineStr">
        <is>
          <t>Various meetings and discussions with Agency and Government of Canada officials</t>
        </is>
      </c>
      <c r="G4066" t="inlineStr">
        <is>
          <t>Diverses réunions et discussions avec des fonctionnaires de l'Agence et du gouvernement du Canada</t>
        </is>
      </c>
      <c r="H4066" s="1" t="n">
        <v>42760</v>
      </c>
      <c r="I4066" s="1" t="n">
        <v>42762</v>
      </c>
      <c r="J4066" t="inlineStr">
        <is>
          <t>Halifax and Wolfville, Nova Scotia</t>
        </is>
      </c>
      <c r="K4066" t="inlineStr">
        <is>
          <t>Halifax et Wolfville (Nouvelle-Écosse)</t>
        </is>
      </c>
      <c r="P4066" t="n">
        <v>0</v>
      </c>
      <c r="Q4066" t="n">
        <v>0</v>
      </c>
      <c r="R4066" t="n">
        <v>324.74</v>
      </c>
      <c r="S4066" t="n">
        <v>114.45</v>
      </c>
      <c r="T4066" t="n">
        <v>34.5</v>
      </c>
      <c r="U4066" t="n">
        <v>473.69</v>
      </c>
      <c r="X4066" t="inlineStr">
        <is>
          <t>acoa-apeca</t>
        </is>
      </c>
      <c r="Y4066" t="inlineStr">
        <is>
          <t>Atlantic Canada Opportunities Agency | Agence de promotion économique du Canada atlantique</t>
        </is>
      </c>
    </row>
    <row r="4067">
      <c r="A4067" t="inlineStr">
        <is>
          <t>T-2017-Q4-00015</t>
        </is>
      </c>
      <c r="B4067" t="inlineStr">
        <is>
          <t>SLE</t>
        </is>
      </c>
      <c r="C4067" t="inlineStr">
        <is>
          <t>Vice-President, New Brunswick</t>
        </is>
      </c>
      <c r="D4067" t="inlineStr">
        <is>
          <t>Vice-président, Nouveau-Brunswick</t>
        </is>
      </c>
      <c r="E4067" t="inlineStr">
        <is>
          <t>Kent Estabrooks</t>
        </is>
      </c>
      <c r="F4067" t="inlineStr">
        <is>
          <t>Meeting with Agency officials and other government officials</t>
        </is>
      </c>
      <c r="G4067" t="inlineStr">
        <is>
          <t>Réunion avec des fonctionnaires de l'Agence et d'autres organismes gouvernementaux</t>
        </is>
      </c>
      <c r="H4067" s="1" t="n">
        <v>42759</v>
      </c>
      <c r="I4067" s="1" t="n">
        <v>42760</v>
      </c>
      <c r="J4067" t="inlineStr">
        <is>
          <t>Moncton, New Brunswick</t>
        </is>
      </c>
      <c r="K4067" t="inlineStr">
        <is>
          <t>Moncton (Nouveau-Brunswick)</t>
        </is>
      </c>
      <c r="P4067" t="n">
        <v>0</v>
      </c>
      <c r="Q4067" t="n">
        <v>0</v>
      </c>
      <c r="R4067" t="n">
        <v>119.6</v>
      </c>
      <c r="S4067" t="n">
        <v>114.65</v>
      </c>
      <c r="T4067" t="n">
        <v>16.1</v>
      </c>
      <c r="U4067" t="n">
        <v>250.35</v>
      </c>
      <c r="X4067" t="inlineStr">
        <is>
          <t>acoa-apeca</t>
        </is>
      </c>
      <c r="Y4067" t="inlineStr">
        <is>
          <t>Atlantic Canada Opportunities Agency | Agence de promotion économique du Canada atlantique</t>
        </is>
      </c>
    </row>
    <row r="4068">
      <c r="A4068" t="inlineStr">
        <is>
          <t>T-2017-Q4-00014</t>
        </is>
      </c>
      <c r="B4068" t="inlineStr">
        <is>
          <t>SLE</t>
        </is>
      </c>
      <c r="C4068" t="inlineStr">
        <is>
          <t>Vice-President, Policy and Programs</t>
        </is>
      </c>
      <c r="D4068" t="inlineStr">
        <is>
          <t>Vice-président, Politiques et Programmes</t>
        </is>
      </c>
      <c r="E4068" t="inlineStr">
        <is>
          <t>Daryell Nowlan</t>
        </is>
      </c>
      <c r="F4068" t="inlineStr">
        <is>
          <t>Meetings with Government of Canada officials</t>
        </is>
      </c>
      <c r="G4068" t="inlineStr">
        <is>
          <t>Réunions avec des fonctionnaires du gouvernement du Canada</t>
        </is>
      </c>
      <c r="H4068" s="1" t="n">
        <v>42752</v>
      </c>
      <c r="I4068" s="1" t="n">
        <v>42754</v>
      </c>
      <c r="J4068" t="inlineStr">
        <is>
          <t>Ottawa, Ontario</t>
        </is>
      </c>
      <c r="K4068" t="inlineStr">
        <is>
          <t>Ottawa (Ontario)</t>
        </is>
      </c>
      <c r="P4068" t="n">
        <v>694.6</v>
      </c>
      <c r="Q4068" t="n">
        <v>229</v>
      </c>
      <c r="R4068" t="n">
        <v>407.36</v>
      </c>
      <c r="S4068" t="n">
        <v>188.55</v>
      </c>
      <c r="T4068" t="n">
        <v>0</v>
      </c>
      <c r="U4068" t="n">
        <v>1519.51</v>
      </c>
      <c r="X4068" t="inlineStr">
        <is>
          <t>acoa-apeca</t>
        </is>
      </c>
      <c r="Y4068" t="inlineStr">
        <is>
          <t>Atlantic Canada Opportunities Agency | Agence de promotion économique du Canada atlantique</t>
        </is>
      </c>
    </row>
    <row r="4069">
      <c r="A4069" t="inlineStr">
        <is>
          <t>T-2017-Q4-00013</t>
        </is>
      </c>
      <c r="B4069" t="inlineStr">
        <is>
          <t>SLE</t>
        </is>
      </c>
      <c r="C4069" t="inlineStr">
        <is>
          <t>Vice-President, New Brunswick</t>
        </is>
      </c>
      <c r="D4069" t="inlineStr">
        <is>
          <t>Vice-président, Nouveau-Brunswick</t>
        </is>
      </c>
      <c r="E4069" t="inlineStr">
        <is>
          <t>Kent Estabrooks</t>
        </is>
      </c>
      <c r="F4069" t="inlineStr">
        <is>
          <t>Various meetings with federal officials</t>
        </is>
      </c>
      <c r="G4069" t="inlineStr">
        <is>
          <t>Diverses réunions avec des fonctionnaires fédéraux</t>
        </is>
      </c>
      <c r="H4069" s="1" t="n">
        <v>42751</v>
      </c>
      <c r="I4069" s="1" t="n">
        <v>42754</v>
      </c>
      <c r="J4069" t="inlineStr">
        <is>
          <t>Ottawa, Ontario</t>
        </is>
      </c>
      <c r="K4069" t="inlineStr">
        <is>
          <t>Ottawa (Ontario)</t>
        </is>
      </c>
      <c r="P4069" t="n">
        <v>673.9</v>
      </c>
      <c r="Q4069" t="n">
        <v>191.49</v>
      </c>
      <c r="R4069" t="n">
        <v>640.15</v>
      </c>
      <c r="S4069" t="n">
        <v>268.65</v>
      </c>
      <c r="T4069" t="n">
        <v>14.63</v>
      </c>
      <c r="U4069" t="n">
        <v>1788.82</v>
      </c>
      <c r="X4069" t="inlineStr">
        <is>
          <t>acoa-apeca</t>
        </is>
      </c>
      <c r="Y4069" t="inlineStr">
        <is>
          <t>Atlantic Canada Opportunities Agency | Agence de promotion économique du Canada atlantique</t>
        </is>
      </c>
    </row>
    <row r="4070">
      <c r="A4070" t="inlineStr">
        <is>
          <t>T-2017-Q4-00012</t>
        </is>
      </c>
      <c r="B4070" t="inlineStr">
        <is>
          <t>SLE</t>
        </is>
      </c>
      <c r="C4070" t="inlineStr">
        <is>
          <t>Vice-President, New Brunswick</t>
        </is>
      </c>
      <c r="D4070" t="inlineStr">
        <is>
          <t>Vice-président, Nouveau-Brunswick</t>
        </is>
      </c>
      <c r="E4070" t="inlineStr">
        <is>
          <t>Kent Estabrooks</t>
        </is>
      </c>
      <c r="F4070" t="inlineStr">
        <is>
          <t>Client meeting</t>
        </is>
      </c>
      <c r="G4070" t="inlineStr">
        <is>
          <t>Réunion avec un client</t>
        </is>
      </c>
      <c r="H4070" s="1" t="n">
        <v>42724</v>
      </c>
      <c r="I4070" s="1" t="n">
        <v>42724</v>
      </c>
      <c r="J4070" t="inlineStr">
        <is>
          <t>Saint John, New Brunswick</t>
        </is>
      </c>
      <c r="K4070" t="inlineStr">
        <is>
          <t>Saint John (Nouveau-Brunswick)</t>
        </is>
      </c>
      <c r="P4070" t="n">
        <v>0</v>
      </c>
      <c r="Q4070" t="n">
        <v>0</v>
      </c>
      <c r="R4070" t="n">
        <v>0</v>
      </c>
      <c r="S4070" t="n">
        <v>17.25</v>
      </c>
      <c r="T4070" t="n">
        <v>0</v>
      </c>
      <c r="U4070" t="n">
        <v>17.25</v>
      </c>
      <c r="X4070" t="inlineStr">
        <is>
          <t>acoa-apeca</t>
        </is>
      </c>
      <c r="Y4070" t="inlineStr">
        <is>
          <t>Atlantic Canada Opportunities Agency | Agence de promotion économique du Canada atlantique</t>
        </is>
      </c>
    </row>
    <row r="4071">
      <c r="A4071" t="inlineStr">
        <is>
          <t>T-2017-Q4-00011</t>
        </is>
      </c>
      <c r="B4071" t="inlineStr">
        <is>
          <t>SLE</t>
        </is>
      </c>
      <c r="C4071" t="inlineStr">
        <is>
          <t>President</t>
        </is>
      </c>
      <c r="D4071" t="inlineStr">
        <is>
          <t>Président</t>
        </is>
      </c>
      <c r="E4071" t="inlineStr">
        <is>
          <t>Paul J. LeBlanc</t>
        </is>
      </c>
      <c r="F4071" t="inlineStr">
        <is>
          <t>Site visit with key stakeholder</t>
        </is>
      </c>
      <c r="G4071" t="inlineStr">
        <is>
          <t>Visite des lieux avec un intervenant clé</t>
        </is>
      </c>
      <c r="H4071" s="1" t="n">
        <v>42724</v>
      </c>
      <c r="I4071" s="1" t="n">
        <v>42724</v>
      </c>
      <c r="J4071" t="inlineStr">
        <is>
          <t>Saint John, New Brunswick</t>
        </is>
      </c>
      <c r="K4071" t="inlineStr">
        <is>
          <t>Saint John (Nouveau-Brunswick)</t>
        </is>
      </c>
      <c r="P4071" t="n">
        <v>0</v>
      </c>
      <c r="Q4071" t="n">
        <v>0</v>
      </c>
      <c r="R4071" t="n">
        <v>0</v>
      </c>
      <c r="S4071" t="n">
        <v>17.25</v>
      </c>
      <c r="T4071" t="n">
        <v>0</v>
      </c>
      <c r="U4071" t="n">
        <v>17.25</v>
      </c>
      <c r="X4071" t="inlineStr">
        <is>
          <t>acoa-apeca</t>
        </is>
      </c>
      <c r="Y4071" t="inlineStr">
        <is>
          <t>Atlantic Canada Opportunities Agency | Agence de promotion économique du Canada atlantique</t>
        </is>
      </c>
    </row>
    <row r="4072">
      <c r="A4072" t="inlineStr">
        <is>
          <t>T-2017-Q4-00010</t>
        </is>
      </c>
      <c r="B4072" t="inlineStr">
        <is>
          <t>SLE</t>
        </is>
      </c>
      <c r="C4072" t="inlineStr">
        <is>
          <t>Vice-President, New Brunswick</t>
        </is>
      </c>
      <c r="D4072" t="inlineStr">
        <is>
          <t>Vice-président, Nouveau-Brunswick</t>
        </is>
      </c>
      <c r="E4072" t="inlineStr">
        <is>
          <t>Kent Estabrooks</t>
        </is>
      </c>
      <c r="F4072" t="inlineStr">
        <is>
          <t>Training and development</t>
        </is>
      </c>
      <c r="G4072" t="inlineStr">
        <is>
          <t>Formation et perfectionnement</t>
        </is>
      </c>
      <c r="H4072" s="1" t="n">
        <v>42719</v>
      </c>
      <c r="I4072" s="1" t="n">
        <v>42721</v>
      </c>
      <c r="J4072" t="inlineStr">
        <is>
          <t>Ottawa, Ontario</t>
        </is>
      </c>
      <c r="K4072" t="inlineStr">
        <is>
          <t>Ottawa (Ontario)</t>
        </is>
      </c>
      <c r="P4072" t="n">
        <v>673</v>
      </c>
      <c r="Q4072" t="n">
        <v>113.74</v>
      </c>
      <c r="R4072" t="n">
        <v>196.7</v>
      </c>
      <c r="S4072" t="n">
        <v>205.8</v>
      </c>
      <c r="T4072" t="n">
        <v>14.63</v>
      </c>
      <c r="U4072" t="n">
        <v>1203.87</v>
      </c>
      <c r="X4072" t="inlineStr">
        <is>
          <t>acoa-apeca</t>
        </is>
      </c>
      <c r="Y4072" t="inlineStr">
        <is>
          <t>Atlantic Canada Opportunities Agency | Agence de promotion économique du Canada atlantique</t>
        </is>
      </c>
    </row>
    <row r="4073">
      <c r="A4073" t="inlineStr">
        <is>
          <t>T-2017-Q4-00009</t>
        </is>
      </c>
      <c r="B4073" t="inlineStr">
        <is>
          <t>SLE</t>
        </is>
      </c>
      <c r="C4073" t="inlineStr">
        <is>
          <t>Vice-President, Finance and Corporate Services</t>
        </is>
      </c>
      <c r="D4073" t="inlineStr">
        <is>
          <t>Vice-présidente, Finances et Services corporatifs</t>
        </is>
      </c>
      <c r="E4073" t="inlineStr">
        <is>
          <t>Denise Frenette</t>
        </is>
      </c>
      <c r="F4073" t="inlineStr">
        <is>
          <t>Numerous meetings with various Government of Canada officials</t>
        </is>
      </c>
      <c r="G4073" t="inlineStr">
        <is>
          <t>Plusieurs réunions avec divers fonctionnaires du gouvernement du Canada</t>
        </is>
      </c>
      <c r="H4073" s="1" t="n">
        <v>42718</v>
      </c>
      <c r="I4073" s="1" t="n">
        <v>42719</v>
      </c>
      <c r="J4073" t="inlineStr">
        <is>
          <t>Ottawa, Ontario</t>
        </is>
      </c>
      <c r="K4073" t="inlineStr">
        <is>
          <t>Ottawa (Ontario)</t>
        </is>
      </c>
      <c r="P4073" t="n">
        <v>588.8</v>
      </c>
      <c r="Q4073" t="n">
        <v>87.39</v>
      </c>
      <c r="R4073" t="n">
        <v>173.42</v>
      </c>
      <c r="S4073" t="n">
        <v>159.95</v>
      </c>
      <c r="T4073" t="n">
        <v>0</v>
      </c>
      <c r="U4073" t="n">
        <v>1009.56</v>
      </c>
      <c r="X4073" t="inlineStr">
        <is>
          <t>acoa-apeca</t>
        </is>
      </c>
      <c r="Y4073" t="inlineStr">
        <is>
          <t>Atlantic Canada Opportunities Agency | Agence de promotion économique du Canada atlantique</t>
        </is>
      </c>
    </row>
    <row r="4074">
      <c r="A4074" t="inlineStr">
        <is>
          <t>T-2017-Q4-00008</t>
        </is>
      </c>
      <c r="B4074" t="inlineStr">
        <is>
          <t>SLE</t>
        </is>
      </c>
      <c r="C4074" t="inlineStr">
        <is>
          <t>Vice-President, Policy and Programs</t>
        </is>
      </c>
      <c r="D4074" t="inlineStr">
        <is>
          <t>Vice-président, Politiques et Programmes</t>
        </is>
      </c>
      <c r="E4074" t="inlineStr">
        <is>
          <t>Daryell Nowlan</t>
        </is>
      </c>
      <c r="F4074" t="inlineStr">
        <is>
          <t>Meetings with Government of Canada officials</t>
        </is>
      </c>
      <c r="G4074" t="inlineStr">
        <is>
          <t>Réunions avec des fonctionnaires du gouvernement du Canada</t>
        </is>
      </c>
      <c r="H4074" s="1" t="n">
        <v>42718</v>
      </c>
      <c r="I4074" s="1" t="n">
        <v>42720</v>
      </c>
      <c r="J4074" t="inlineStr">
        <is>
          <t>Ottawa, Ontario</t>
        </is>
      </c>
      <c r="K4074" t="inlineStr">
        <is>
          <t>Ottawa (Ontario)</t>
        </is>
      </c>
      <c r="P4074" t="n">
        <v>694.6</v>
      </c>
      <c r="Q4074" t="n">
        <v>281</v>
      </c>
      <c r="R4074" t="n">
        <v>393.4</v>
      </c>
      <c r="S4074" t="n">
        <v>205.8</v>
      </c>
      <c r="T4074" t="n">
        <v>0</v>
      </c>
      <c r="U4074" t="n">
        <v>1574.8</v>
      </c>
      <c r="X4074" t="inlineStr">
        <is>
          <t>acoa-apeca</t>
        </is>
      </c>
      <c r="Y4074" t="inlineStr">
        <is>
          <t>Atlantic Canada Opportunities Agency | Agence de promotion économique du Canada atlantique</t>
        </is>
      </c>
    </row>
    <row r="4075">
      <c r="A4075" t="inlineStr">
        <is>
          <t>T-2017-Q4-00007</t>
        </is>
      </c>
      <c r="B4075" t="inlineStr">
        <is>
          <t>SLE</t>
        </is>
      </c>
      <c r="C4075" t="inlineStr">
        <is>
          <t>Vice-President, New Brunswick</t>
        </is>
      </c>
      <c r="D4075" t="inlineStr">
        <is>
          <t>Vice-président, Nouveau-Brunswick</t>
        </is>
      </c>
      <c r="E4075" t="inlineStr">
        <is>
          <t>Kent Estabrooks</t>
        </is>
      </c>
      <c r="F4075" t="inlineStr">
        <is>
          <t>Mentorship Initiative Meeting</t>
        </is>
      </c>
      <c r="G4075" t="inlineStr">
        <is>
          <t>Réunion dans le cadre d'une initiative de mentorat</t>
        </is>
      </c>
      <c r="H4075" s="1" t="n">
        <v>42717</v>
      </c>
      <c r="I4075" s="1" t="n">
        <v>42717</v>
      </c>
      <c r="J4075" t="inlineStr">
        <is>
          <t>Moncton, New Brunswick</t>
        </is>
      </c>
      <c r="K4075" t="inlineStr">
        <is>
          <t>Moncton (Nouveau-Brunswick)</t>
        </is>
      </c>
      <c r="P4075" t="n">
        <v>0</v>
      </c>
      <c r="Q4075" t="n">
        <v>0</v>
      </c>
      <c r="R4075" t="n">
        <v>0</v>
      </c>
      <c r="S4075" t="n">
        <v>45.55</v>
      </c>
      <c r="T4075" t="n">
        <v>10</v>
      </c>
      <c r="U4075" t="n">
        <v>55.55</v>
      </c>
      <c r="X4075" t="inlineStr">
        <is>
          <t>acoa-apeca</t>
        </is>
      </c>
      <c r="Y4075" t="inlineStr">
        <is>
          <t>Atlantic Canada Opportunities Agency | Agence de promotion économique du Canada atlantique</t>
        </is>
      </c>
    </row>
    <row r="4076">
      <c r="A4076" t="inlineStr">
        <is>
          <t>T-2017-Q4-00006</t>
        </is>
      </c>
      <c r="B4076" t="inlineStr">
        <is>
          <t>SLE</t>
        </is>
      </c>
      <c r="C4076" t="inlineStr">
        <is>
          <t>Vice-President, Newfoundland and Labrador</t>
        </is>
      </c>
      <c r="D4076" t="inlineStr">
        <is>
          <t>Vice-président, Terre-Neuve-et-Labrador</t>
        </is>
      </c>
      <c r="E4076" t="inlineStr">
        <is>
          <t>Ken Martin</t>
        </is>
      </c>
      <c r="F4076" t="inlineStr">
        <is>
          <t>Attend National Labour Management Consultation Committee (NLMCC) meeting in Moncton</t>
        </is>
      </c>
      <c r="G4076" t="inlineStr">
        <is>
          <t>Assister à un réunion du Comité national de consultation patronale-syndicale (CNCPS) à Moncton</t>
        </is>
      </c>
      <c r="H4076" s="1" t="n">
        <v>42715</v>
      </c>
      <c r="I4076" s="1" t="n">
        <v>42716</v>
      </c>
      <c r="J4076" t="inlineStr">
        <is>
          <t>Moncton, New Brunswick</t>
        </is>
      </c>
      <c r="K4076" t="inlineStr">
        <is>
          <t>Moncton (Nouveau-Brunswick)</t>
        </is>
      </c>
      <c r="P4076" t="n">
        <v>750.4400000000001</v>
      </c>
      <c r="Q4076" t="n">
        <v>65.84</v>
      </c>
      <c r="R4076" t="n">
        <v>121.9</v>
      </c>
      <c r="S4076" t="n">
        <v>159.95</v>
      </c>
      <c r="T4076" t="n">
        <v>0</v>
      </c>
      <c r="U4076" t="n">
        <v>1098.13</v>
      </c>
      <c r="X4076" t="inlineStr">
        <is>
          <t>acoa-apeca</t>
        </is>
      </c>
      <c r="Y4076" t="inlineStr">
        <is>
          <t>Atlantic Canada Opportunities Agency | Agence de promotion économique du Canada atlantique</t>
        </is>
      </c>
    </row>
    <row r="4077">
      <c r="A4077" t="inlineStr">
        <is>
          <t>T-2017-Q4-00005</t>
        </is>
      </c>
      <c r="B4077" t="inlineStr">
        <is>
          <t>SLE</t>
        </is>
      </c>
      <c r="C4077" t="inlineStr">
        <is>
          <t>Vice-President, New Brunswick</t>
        </is>
      </c>
      <c r="D4077" t="inlineStr">
        <is>
          <t>Vice-président, Nouveau-Brunswick</t>
        </is>
      </c>
      <c r="E4077" t="inlineStr">
        <is>
          <t>Kent Estabrooks</t>
        </is>
      </c>
      <c r="F4077" t="inlineStr">
        <is>
          <t>Meetings with Agency officials</t>
        </is>
      </c>
      <c r="G4077" t="inlineStr">
        <is>
          <t>Réunions avec des fonctionnaires de l'Agence</t>
        </is>
      </c>
      <c r="H4077" s="1" t="n">
        <v>42711</v>
      </c>
      <c r="I4077" s="1" t="n">
        <v>42712</v>
      </c>
      <c r="J4077" t="inlineStr">
        <is>
          <t>Moncton, New Brunswick</t>
        </is>
      </c>
      <c r="K4077" t="inlineStr">
        <is>
          <t>Moncton (Nouveau-Brunswick)</t>
        </is>
      </c>
      <c r="P4077" t="n">
        <v>0</v>
      </c>
      <c r="Q4077" t="n">
        <v>0</v>
      </c>
      <c r="R4077" t="n">
        <v>121.9</v>
      </c>
      <c r="S4077" t="n">
        <v>142.95</v>
      </c>
      <c r="T4077" t="n">
        <v>16.1</v>
      </c>
      <c r="U4077" t="n">
        <v>280.95</v>
      </c>
      <c r="X4077" t="inlineStr">
        <is>
          <t>acoa-apeca</t>
        </is>
      </c>
      <c r="Y4077" t="inlineStr">
        <is>
          <t>Atlantic Canada Opportunities Agency | Agence de promotion économique du Canada atlantique</t>
        </is>
      </c>
    </row>
    <row r="4078">
      <c r="A4078" t="inlineStr">
        <is>
          <t>T-2017-Q4-00004</t>
        </is>
      </c>
      <c r="B4078" t="inlineStr">
        <is>
          <t>SLE</t>
        </is>
      </c>
      <c r="C4078" t="inlineStr">
        <is>
          <t>Vice-President, Prince Edward Island</t>
        </is>
      </c>
      <c r="D4078" t="inlineStr">
        <is>
          <t>Vice-président, Île-du-Prince-Édouard</t>
        </is>
      </c>
      <c r="E4078" t="inlineStr">
        <is>
          <t>Patrick Dorsey</t>
        </is>
      </c>
      <c r="F4078" t="inlineStr">
        <is>
          <t>Meetings with Government of Canada officials</t>
        </is>
      </c>
      <c r="G4078" t="inlineStr">
        <is>
          <t>Réunions avec des fonctionnaires du gouvernement du Canada</t>
        </is>
      </c>
      <c r="H4078" s="1" t="n">
        <v>42711</v>
      </c>
      <c r="I4078" s="1" t="n">
        <v>42712</v>
      </c>
      <c r="J4078" t="inlineStr">
        <is>
          <t>Moncton, New Brunswick</t>
        </is>
      </c>
      <c r="K4078" t="inlineStr">
        <is>
          <t>Moncton (Nouveau-Brunswick)</t>
        </is>
      </c>
      <c r="P4078" t="n">
        <v>0</v>
      </c>
      <c r="Q4078" t="n">
        <v>62.1</v>
      </c>
      <c r="R4078" t="n">
        <v>121.9</v>
      </c>
      <c r="S4078" t="n">
        <v>142.7</v>
      </c>
      <c r="T4078" t="n">
        <v>0</v>
      </c>
      <c r="U4078" t="n">
        <v>326.7</v>
      </c>
      <c r="X4078" t="inlineStr">
        <is>
          <t>acoa-apeca</t>
        </is>
      </c>
      <c r="Y4078" t="inlineStr">
        <is>
          <t>Atlantic Canada Opportunities Agency | Agence de promotion économique du Canada atlantique</t>
        </is>
      </c>
    </row>
    <row r="4079">
      <c r="A4079" t="inlineStr">
        <is>
          <t>T-2017-Q4-00003</t>
        </is>
      </c>
      <c r="B4079" t="inlineStr">
        <is>
          <t>SLE</t>
        </is>
      </c>
      <c r="C4079" t="inlineStr">
        <is>
          <t>Vice-President, Newfoundland and Labrador</t>
        </is>
      </c>
      <c r="D4079" t="inlineStr">
        <is>
          <t>Vice-président, Terre-Neuve-et-Labrador</t>
        </is>
      </c>
      <c r="E4079" t="inlineStr">
        <is>
          <t>Ken Martin</t>
        </is>
      </c>
      <c r="F4079" t="inlineStr">
        <is>
          <t>Attend Executive Committee meeting in Moncton</t>
        </is>
      </c>
      <c r="G4079" t="inlineStr">
        <is>
          <t>Assister à une réunion du Comité de direction à Moncton</t>
        </is>
      </c>
      <c r="H4079" s="1" t="n">
        <v>42711</v>
      </c>
      <c r="I4079" s="1" t="n">
        <v>42713</v>
      </c>
      <c r="J4079" t="inlineStr">
        <is>
          <t>Moncton, New Brunswick</t>
        </is>
      </c>
      <c r="K4079" t="inlineStr">
        <is>
          <t>Moncton (Nouveau-Brunswick)</t>
        </is>
      </c>
      <c r="P4079" t="n">
        <v>882.55</v>
      </c>
      <c r="Q4079" t="n">
        <v>64.84</v>
      </c>
      <c r="R4079" t="n">
        <v>243.8</v>
      </c>
      <c r="S4079" t="n">
        <v>211.5</v>
      </c>
      <c r="T4079" t="n">
        <v>0</v>
      </c>
      <c r="U4079" t="n">
        <v>1402.69</v>
      </c>
      <c r="X4079" t="inlineStr">
        <is>
          <t>acoa-apeca</t>
        </is>
      </c>
      <c r="Y4079" t="inlineStr">
        <is>
          <t>Atlantic Canada Opportunities Agency | Agence de promotion économique du Canada atlantique</t>
        </is>
      </c>
    </row>
    <row r="4080">
      <c r="A4080" t="inlineStr">
        <is>
          <t>T-2017-Q4-00002</t>
        </is>
      </c>
      <c r="B4080" t="inlineStr">
        <is>
          <t>SLE</t>
        </is>
      </c>
      <c r="C4080" t="inlineStr">
        <is>
          <t>Vice-President, Policy and Programs</t>
        </is>
      </c>
      <c r="D4080" t="inlineStr">
        <is>
          <t>Vice-président, Politiques et Programmes</t>
        </is>
      </c>
      <c r="E4080" t="inlineStr">
        <is>
          <t>Daryell Nowlan</t>
        </is>
      </c>
      <c r="F4080" t="inlineStr">
        <is>
          <t>Meetings with Government of Canada officials</t>
        </is>
      </c>
      <c r="G4080" t="inlineStr">
        <is>
          <t>Réunions avec des fonctionnaires du gouvernement du Canada</t>
        </is>
      </c>
      <c r="H4080" s="1" t="n">
        <v>42709</v>
      </c>
      <c r="I4080" s="1" t="n">
        <v>42710</v>
      </c>
      <c r="J4080" t="inlineStr">
        <is>
          <t>Halifax, Nova Scotia</t>
        </is>
      </c>
      <c r="K4080" t="inlineStr">
        <is>
          <t>Halifax (Nouvelle-Écosse)</t>
        </is>
      </c>
      <c r="P4080" t="n">
        <v>0</v>
      </c>
      <c r="Q4080" t="n">
        <v>0</v>
      </c>
      <c r="R4080" t="n">
        <v>154.84</v>
      </c>
      <c r="S4080" t="n">
        <v>114.65</v>
      </c>
      <c r="T4080" t="n">
        <v>0</v>
      </c>
      <c r="U4080" t="n">
        <v>269.49</v>
      </c>
      <c r="X4080" t="inlineStr">
        <is>
          <t>acoa-apeca</t>
        </is>
      </c>
      <c r="Y4080" t="inlineStr">
        <is>
          <t>Atlantic Canada Opportunities Agency | Agence de promotion économique du Canada atlantique</t>
        </is>
      </c>
    </row>
    <row r="4081">
      <c r="A4081" t="inlineStr">
        <is>
          <t>T-2017-Q4-00020</t>
        </is>
      </c>
      <c r="B4081" t="inlineStr">
        <is>
          <t>SLE</t>
        </is>
      </c>
      <c r="C4081" t="inlineStr">
        <is>
          <t>Acting Vice-President Prince Edward Island and Tourism</t>
        </is>
      </c>
      <c r="D4081" t="inlineStr">
        <is>
          <t xml:space="preserve">Vice-présidente par intérim, Île-du-Prince-Édouard </t>
        </is>
      </c>
      <c r="E4081" t="inlineStr">
        <is>
          <t>Sandra Lambe</t>
        </is>
      </c>
      <c r="F4081" t="inlineStr">
        <is>
          <t>Attend Executive Committee Meeting</t>
        </is>
      </c>
      <c r="G4081" t="inlineStr">
        <is>
          <t>Assister à une réunion du Comité de direction</t>
        </is>
      </c>
      <c r="H4081" s="1" t="n">
        <v>42767</v>
      </c>
      <c r="I4081" s="1" t="n">
        <v>42768</v>
      </c>
      <c r="J4081" t="inlineStr">
        <is>
          <t>Moncton, New Brunswick</t>
        </is>
      </c>
      <c r="K4081" t="inlineStr">
        <is>
          <t>Moncton (Nouveau-Brunswick)</t>
        </is>
      </c>
      <c r="P4081" t="n">
        <v>0</v>
      </c>
      <c r="Q4081" t="n">
        <v>62.6</v>
      </c>
      <c r="R4081" t="n">
        <v>119.6</v>
      </c>
      <c r="S4081" t="n">
        <v>97.15000000000001</v>
      </c>
      <c r="T4081" t="n">
        <v>0</v>
      </c>
      <c r="U4081" t="n">
        <v>279.35</v>
      </c>
      <c r="X4081" t="inlineStr">
        <is>
          <t>acoa-apeca</t>
        </is>
      </c>
      <c r="Y4081" t="inlineStr">
        <is>
          <t>Atlantic Canada Opportunities Agency | Agence de promotion économique du Canada atlantique</t>
        </is>
      </c>
    </row>
    <row r="4082">
      <c r="A4082" t="inlineStr">
        <is>
          <t>T-2017-Q3-00057</t>
        </is>
      </c>
      <c r="B4082" t="inlineStr">
        <is>
          <t>SLE</t>
        </is>
      </c>
      <c r="C4082" t="inlineStr">
        <is>
          <t>Vice-President, New Brunswick</t>
        </is>
      </c>
      <c r="D4082" t="inlineStr">
        <is>
          <t>Vice-président, Nouveau-Brunswick</t>
        </is>
      </c>
      <c r="E4082" t="inlineStr">
        <is>
          <t>Kent Estabrooks</t>
        </is>
      </c>
      <c r="F4082" t="inlineStr">
        <is>
          <t>Meetings with entrepreneurial ecosystem organizations in the Toronto and Waterloo area</t>
        </is>
      </c>
      <c r="G4082" t="inlineStr">
        <is>
          <t>Réunions avec des organismes de l'écosystème entrepreneurial des régions de Toronto et de Waterloo</t>
        </is>
      </c>
      <c r="H4082" s="1" t="n">
        <v>42702</v>
      </c>
      <c r="I4082" s="1" t="n">
        <v>42704</v>
      </c>
      <c r="J4082" t="inlineStr">
        <is>
          <t>Toronto, Ontario</t>
        </is>
      </c>
      <c r="K4082" t="inlineStr">
        <is>
          <t>Toronto (Ontario)</t>
        </is>
      </c>
      <c r="P4082" t="n">
        <v>673</v>
      </c>
      <c r="Q4082" t="n">
        <v>61.9</v>
      </c>
      <c r="R4082" t="n">
        <v>299.28</v>
      </c>
      <c r="S4082" t="n">
        <v>257.05</v>
      </c>
      <c r="T4082" t="n">
        <v>0</v>
      </c>
      <c r="U4082" t="n">
        <v>1291.23</v>
      </c>
      <c r="X4082" t="inlineStr">
        <is>
          <t>acoa-apeca</t>
        </is>
      </c>
      <c r="Y4082" t="inlineStr">
        <is>
          <t>Atlantic Canada Opportunities Agency | Agence de promotion économique du Canada atlantique</t>
        </is>
      </c>
    </row>
    <row r="4083">
      <c r="A4083" t="inlineStr">
        <is>
          <t>T-2017-Q3-00056</t>
        </is>
      </c>
      <c r="B4083" t="inlineStr">
        <is>
          <t>SLE</t>
        </is>
      </c>
      <c r="C4083" t="inlineStr">
        <is>
          <t>Vice-President, Prince Edward Island</t>
        </is>
      </c>
      <c r="D4083" t="inlineStr">
        <is>
          <t>Vice-président, Île-du-Prince-Édouard</t>
        </is>
      </c>
      <c r="E4083" t="inlineStr">
        <is>
          <t>Patrick Dorsey</t>
        </is>
      </c>
      <c r="F4083" t="inlineStr">
        <is>
          <t>Tourism Atlantic Association Congress and meetings with Government of Canada officials</t>
        </is>
      </c>
      <c r="G4083" t="inlineStr">
        <is>
          <t>Congrès de l'Association de l'industrie touristique de l'Atlantique et réunions avec des fonctionnaires du gouvernement du Canada</t>
        </is>
      </c>
      <c r="H4083" s="1" t="n">
        <v>42702</v>
      </c>
      <c r="I4083" s="1" t="n">
        <v>42704</v>
      </c>
      <c r="J4083" t="inlineStr">
        <is>
          <t>Ottawa, Ontario</t>
        </is>
      </c>
      <c r="K4083" t="inlineStr">
        <is>
          <t>Ottawa (Ontario)</t>
        </is>
      </c>
      <c r="P4083" t="n">
        <v>675.5700000000001</v>
      </c>
      <c r="Q4083" t="n">
        <v>136.58</v>
      </c>
      <c r="R4083" t="n">
        <v>372.44</v>
      </c>
      <c r="S4083" t="n">
        <v>257.05</v>
      </c>
      <c r="T4083" t="n">
        <v>0</v>
      </c>
      <c r="U4083" t="n">
        <v>1441.64</v>
      </c>
      <c r="X4083" t="inlineStr">
        <is>
          <t>acoa-apeca</t>
        </is>
      </c>
      <c r="Y4083" t="inlineStr">
        <is>
          <t>Atlantic Canada Opportunities Agency | Agence de promotion économique du Canada atlantique</t>
        </is>
      </c>
    </row>
    <row r="4084">
      <c r="A4084" t="inlineStr">
        <is>
          <t>T-2017-Q3-00055</t>
        </is>
      </c>
      <c r="B4084" t="inlineStr">
        <is>
          <t>SLE</t>
        </is>
      </c>
      <c r="C4084" t="inlineStr">
        <is>
          <t>Vice-President, Prince Edward Island</t>
        </is>
      </c>
      <c r="D4084" t="inlineStr">
        <is>
          <t>Vice-président, Île-du-Prince-Édouard</t>
        </is>
      </c>
      <c r="E4084" t="inlineStr">
        <is>
          <t>Patrick Dorsey</t>
        </is>
      </c>
      <c r="F4084" t="inlineStr">
        <is>
          <t>Meeting with government official in Alberton</t>
        </is>
      </c>
      <c r="G4084" t="inlineStr">
        <is>
          <t>Réunion avec un fonctionnaire à Alberton</t>
        </is>
      </c>
      <c r="H4084" s="1" t="n">
        <v>42699</v>
      </c>
      <c r="I4084" s="1" t="n">
        <v>42699</v>
      </c>
      <c r="J4084" t="inlineStr">
        <is>
          <t xml:space="preserve">Alberton, Prince Edward Island </t>
        </is>
      </c>
      <c r="K4084" t="inlineStr">
        <is>
          <t>Alberton (Île-du-Prince-Édouard)</t>
        </is>
      </c>
      <c r="P4084" t="n">
        <v>0</v>
      </c>
      <c r="Q4084" t="n">
        <v>0</v>
      </c>
      <c r="R4084" t="n">
        <v>0</v>
      </c>
      <c r="S4084" t="n">
        <v>17.25</v>
      </c>
      <c r="T4084" t="n">
        <v>0</v>
      </c>
      <c r="U4084" t="n">
        <v>17.25</v>
      </c>
      <c r="X4084" t="inlineStr">
        <is>
          <t>acoa-apeca</t>
        </is>
      </c>
      <c r="Y4084" t="inlineStr">
        <is>
          <t>Atlantic Canada Opportunities Agency | Agence de promotion économique du Canada atlantique</t>
        </is>
      </c>
    </row>
    <row r="4085">
      <c r="A4085" t="inlineStr">
        <is>
          <t>T-2017-Q3-00053</t>
        </is>
      </c>
      <c r="B4085" t="inlineStr">
        <is>
          <t>SLE</t>
        </is>
      </c>
      <c r="C4085" t="inlineStr">
        <is>
          <t>President</t>
        </is>
      </c>
      <c r="D4085" t="inlineStr">
        <is>
          <t>Président</t>
        </is>
      </c>
      <c r="E4085" t="inlineStr">
        <is>
          <t>Paul J. LeBlanc</t>
        </is>
      </c>
      <c r="F4085" t="inlineStr">
        <is>
          <t>Various meetings and discussions with Agency and Government of Canada officials</t>
        </is>
      </c>
      <c r="G4085" t="inlineStr">
        <is>
          <t>Diverses réunions et discussions avec des fonctionnaires de l'Agence et du gouvernement du Canada</t>
        </is>
      </c>
      <c r="H4085" s="1" t="n">
        <v>42696</v>
      </c>
      <c r="I4085" s="1" t="n">
        <v>42698</v>
      </c>
      <c r="J4085" t="inlineStr">
        <is>
          <t>Ottawa, Ontario</t>
        </is>
      </c>
      <c r="K4085" t="inlineStr">
        <is>
          <t>Ottawa (Ontario)</t>
        </is>
      </c>
      <c r="P4085" t="n">
        <v>598.0599999999999</v>
      </c>
      <c r="Q4085" t="n">
        <v>0</v>
      </c>
      <c r="R4085" t="n">
        <v>393.4</v>
      </c>
      <c r="S4085" t="n">
        <v>194.5</v>
      </c>
      <c r="T4085" t="n">
        <v>66.20999999999999</v>
      </c>
      <c r="U4085" t="n">
        <v>1252.17</v>
      </c>
      <c r="X4085" t="inlineStr">
        <is>
          <t>acoa-apeca</t>
        </is>
      </c>
      <c r="Y4085" t="inlineStr">
        <is>
          <t>Atlantic Canada Opportunities Agency | Agence de promotion économique du Canada atlantique</t>
        </is>
      </c>
    </row>
    <row r="4086">
      <c r="A4086" t="inlineStr">
        <is>
          <t>T-2017-Q3-00051</t>
        </is>
      </c>
      <c r="B4086" t="inlineStr">
        <is>
          <t>SLE</t>
        </is>
      </c>
      <c r="C4086" t="inlineStr">
        <is>
          <t>President</t>
        </is>
      </c>
      <c r="D4086" t="inlineStr">
        <is>
          <t>Président</t>
        </is>
      </c>
      <c r="E4086" t="inlineStr">
        <is>
          <t>Paul J. LeBlanc</t>
        </is>
      </c>
      <c r="F4086" t="inlineStr">
        <is>
          <t>Various meetings and discussions with Agency and Government of Canada officials</t>
        </is>
      </c>
      <c r="G4086" t="inlineStr">
        <is>
          <t>Diverses réunions et discussions avec des fonctionnaires de l'Agence et du gouvernement du Canada</t>
        </is>
      </c>
      <c r="H4086" s="1" t="n">
        <v>42690</v>
      </c>
      <c r="I4086" s="1" t="n">
        <v>42692</v>
      </c>
      <c r="J4086" t="inlineStr">
        <is>
          <t>Ottawa, Ontario</t>
        </is>
      </c>
      <c r="K4086" t="inlineStr">
        <is>
          <t>Ottawa (Ontario)</t>
        </is>
      </c>
      <c r="P4086" t="n">
        <v>1156.73</v>
      </c>
      <c r="Q4086" t="n">
        <v>0</v>
      </c>
      <c r="R4086" t="n">
        <v>365.46</v>
      </c>
      <c r="S4086" t="n">
        <v>194.25</v>
      </c>
      <c r="T4086" t="n">
        <v>576.71</v>
      </c>
      <c r="U4086" t="n">
        <v>2293.15</v>
      </c>
      <c r="X4086" t="inlineStr">
        <is>
          <t>acoa-apeca</t>
        </is>
      </c>
      <c r="Y4086" t="inlineStr">
        <is>
          <t>Atlantic Canada Opportunities Agency | Agence de promotion économique du Canada atlantique</t>
        </is>
      </c>
    </row>
    <row r="4087">
      <c r="A4087" t="inlineStr">
        <is>
          <t>T-2017-Q1-00050</t>
        </is>
      </c>
      <c r="B4087" t="inlineStr">
        <is>
          <t>SLE</t>
        </is>
      </c>
      <c r="C4087" t="inlineStr">
        <is>
          <t>Vice-President, Newfoundland and Labrador</t>
        </is>
      </c>
      <c r="D4087" t="inlineStr">
        <is>
          <t>Vice-président, Terre-Neuve-et-Labrador</t>
        </is>
      </c>
      <c r="E4087" t="inlineStr">
        <is>
          <t>Ken Martin</t>
        </is>
      </c>
      <c r="F4087" t="inlineStr">
        <is>
          <t xml:space="preserve">Various meetings and discussions with senior government and private sector officials </t>
        </is>
      </c>
      <c r="G4087" t="inlineStr">
        <is>
          <t>Diverses réunions et discussions avec des hauts fonctionnaires et des représentants du secteur privé</t>
        </is>
      </c>
      <c r="H4087" s="1" t="n">
        <v>42522</v>
      </c>
      <c r="I4087" s="1" t="n">
        <v>42734</v>
      </c>
      <c r="J4087" t="inlineStr">
        <is>
          <t>St. John's, Newfoundland and Labrador</t>
        </is>
      </c>
      <c r="K4087" t="inlineStr">
        <is>
          <t>St. John's (Terre-Neuve-et-Labrador)</t>
        </is>
      </c>
      <c r="P4087" t="n">
        <v>0</v>
      </c>
      <c r="Q4087" t="n">
        <v>100.7</v>
      </c>
      <c r="R4087" t="n">
        <v>0</v>
      </c>
      <c r="S4087" t="n">
        <v>0</v>
      </c>
      <c r="T4087" t="n">
        <v>0</v>
      </c>
      <c r="U4087" t="n">
        <v>100.7</v>
      </c>
      <c r="X4087" t="inlineStr">
        <is>
          <t>acoa-apeca</t>
        </is>
      </c>
      <c r="Y4087" t="inlineStr">
        <is>
          <t>Atlantic Canada Opportunities Agency | Agence de promotion économique du Canada atlantique</t>
        </is>
      </c>
    </row>
    <row r="4088">
      <c r="A4088" t="inlineStr">
        <is>
          <t>T-2018-Q1-00053</t>
        </is>
      </c>
      <c r="B4088" t="inlineStr">
        <is>
          <t>SLE</t>
        </is>
      </c>
      <c r="C4088" t="inlineStr">
        <is>
          <t>Vice-President, New Brunswick</t>
        </is>
      </c>
      <c r="D4088" t="inlineStr">
        <is>
          <t>Vice-président, Nouveau-Brunswick</t>
        </is>
      </c>
      <c r="E4088" t="inlineStr">
        <is>
          <t>Kent Estabrooks</t>
        </is>
      </c>
      <c r="F4088" t="inlineStr">
        <is>
          <t>Training and Development</t>
        </is>
      </c>
      <c r="G4088" t="inlineStr">
        <is>
          <t>Formation et perfectionnement</t>
        </is>
      </c>
      <c r="H4088" s="1" t="n">
        <v>42869</v>
      </c>
      <c r="I4088" s="1" t="n">
        <v>42873</v>
      </c>
      <c r="J4088" t="inlineStr">
        <is>
          <t>Washington, DC</t>
        </is>
      </c>
      <c r="K4088" t="inlineStr">
        <is>
          <t>Washington, DC</t>
        </is>
      </c>
      <c r="P4088" t="n">
        <v>972.51</v>
      </c>
      <c r="Q4088" t="n">
        <v>98.73</v>
      </c>
      <c r="R4088" t="n">
        <v>1508.92</v>
      </c>
      <c r="S4088" t="n">
        <v>497.25</v>
      </c>
      <c r="T4088" t="n">
        <v>4.77</v>
      </c>
      <c r="U4088" t="n">
        <v>3082.18</v>
      </c>
      <c r="X4088" t="inlineStr">
        <is>
          <t>acoa-apeca</t>
        </is>
      </c>
      <c r="Y4088" t="inlineStr">
        <is>
          <t>Atlantic Canada Opportunities Agency | Agence de promotion économique du Canada atlantique</t>
        </is>
      </c>
    </row>
    <row r="4089">
      <c r="A4089" t="inlineStr">
        <is>
          <t>T-2018-Q1-00052</t>
        </is>
      </c>
      <c r="B4089" t="inlineStr">
        <is>
          <t>SLE</t>
        </is>
      </c>
      <c r="C4089" t="inlineStr">
        <is>
          <t>Vice-President, New Brunswick</t>
        </is>
      </c>
      <c r="D4089" t="inlineStr">
        <is>
          <t>Vice-président, Nouveau-Brunswick</t>
        </is>
      </c>
      <c r="E4089" t="inlineStr">
        <is>
          <t>Kent Estabrooks</t>
        </is>
      </c>
      <c r="F4089" t="inlineStr">
        <is>
          <t>Various meetings with Government of Canada officials</t>
        </is>
      </c>
      <c r="G4089" t="inlineStr">
        <is>
          <t>Réunions diverses avec des fonctionnaires du gouvernement du Canada</t>
        </is>
      </c>
      <c r="H4089" s="1" t="n">
        <v>42886</v>
      </c>
      <c r="I4089" s="1" t="n">
        <v>42887</v>
      </c>
      <c r="J4089" t="inlineStr">
        <is>
          <t>Ottawa, Ontario</t>
        </is>
      </c>
      <c r="K4089" t="inlineStr">
        <is>
          <t>Ottawa (Ontario)</t>
        </is>
      </c>
      <c r="P4089" t="n">
        <v>673.9</v>
      </c>
      <c r="Q4089" t="n">
        <v>109.94</v>
      </c>
      <c r="R4089" t="n">
        <v>230.84</v>
      </c>
      <c r="S4089" t="n">
        <v>162.6</v>
      </c>
      <c r="T4089" t="n">
        <v>0</v>
      </c>
      <c r="U4089" t="n">
        <v>1177.28</v>
      </c>
      <c r="X4089" t="inlineStr">
        <is>
          <t>acoa-apeca</t>
        </is>
      </c>
      <c r="Y4089" t="inlineStr">
        <is>
          <t>Atlantic Canada Opportunities Agency | Agence de promotion économique du Canada atlantique</t>
        </is>
      </c>
    </row>
    <row r="4090">
      <c r="A4090" t="inlineStr">
        <is>
          <t>T-2018-Q1-00051</t>
        </is>
      </c>
      <c r="B4090" t="inlineStr">
        <is>
          <t>SLE</t>
        </is>
      </c>
      <c r="C4090" t="inlineStr">
        <is>
          <t>Vice-President, New Brunswick</t>
        </is>
      </c>
      <c r="D4090" t="inlineStr">
        <is>
          <t>Vice-président, Nouveau-Brunswick</t>
        </is>
      </c>
      <c r="E4090" t="inlineStr">
        <is>
          <t>Kent Estabrooks</t>
        </is>
      </c>
      <c r="F4090" t="inlineStr">
        <is>
          <t>Executive Committee meeting and mentorship initiative meeting</t>
        </is>
      </c>
      <c r="G4090" t="inlineStr">
        <is>
          <t>Réunion du Comité de direction de l'Agence et réunion dans le cadre d'une initiative de mentorat</t>
        </is>
      </c>
      <c r="H4090" s="1" t="n">
        <v>42879</v>
      </c>
      <c r="I4090" s="1" t="n">
        <v>42880</v>
      </c>
      <c r="J4090" t="inlineStr">
        <is>
          <t>Moncton, New Brunswick</t>
        </is>
      </c>
      <c r="K4090" t="inlineStr">
        <is>
          <t>Moncton (Nouveau-Brunswick)</t>
        </is>
      </c>
      <c r="P4090" t="n">
        <v>0</v>
      </c>
      <c r="Q4090" t="n">
        <v>0</v>
      </c>
      <c r="R4090" t="n">
        <v>121.9</v>
      </c>
      <c r="S4090" t="n">
        <v>144.55</v>
      </c>
      <c r="T4090" t="n">
        <v>16.1</v>
      </c>
      <c r="U4090" t="n">
        <v>282.55</v>
      </c>
      <c r="X4090" t="inlineStr">
        <is>
          <t>acoa-apeca</t>
        </is>
      </c>
      <c r="Y4090" t="inlineStr">
        <is>
          <t>Atlantic Canada Opportunities Agency | Agence de promotion économique du Canada atlantique</t>
        </is>
      </c>
    </row>
    <row r="4091">
      <c r="A4091" t="inlineStr">
        <is>
          <t>T-2018-Q1-00050</t>
        </is>
      </c>
      <c r="B4091" t="inlineStr">
        <is>
          <t>SLE</t>
        </is>
      </c>
      <c r="C4091" t="inlineStr">
        <is>
          <t>Vice-President, New Brunswick</t>
        </is>
      </c>
      <c r="D4091" t="inlineStr">
        <is>
          <t>Vice-président, Nouveau-Brunswick</t>
        </is>
      </c>
      <c r="E4091" t="inlineStr">
        <is>
          <t>Kent Estabrooks</t>
        </is>
      </c>
      <c r="F4091" t="inlineStr">
        <is>
          <t>Training and development</t>
        </is>
      </c>
      <c r="G4091" t="inlineStr">
        <is>
          <t>Formation et perfectionnement</t>
        </is>
      </c>
      <c r="H4091" s="1" t="n">
        <v>42824</v>
      </c>
      <c r="I4091" s="1" t="n">
        <v>42825</v>
      </c>
      <c r="J4091" t="inlineStr">
        <is>
          <t>Montreal, Quebec</t>
        </is>
      </c>
      <c r="K4091" t="inlineStr">
        <is>
          <t>Montréal (Québec)</t>
        </is>
      </c>
      <c r="P4091" t="n">
        <v>673.9</v>
      </c>
      <c r="Q4091" t="n">
        <v>134.65</v>
      </c>
      <c r="R4091" t="n">
        <v>165.41</v>
      </c>
      <c r="S4091" t="n">
        <v>142.95</v>
      </c>
      <c r="T4091" t="n">
        <v>0</v>
      </c>
      <c r="U4091" t="n">
        <v>1116.91</v>
      </c>
      <c r="X4091" t="inlineStr">
        <is>
          <t>acoa-apeca</t>
        </is>
      </c>
      <c r="Y4091" t="inlineStr">
        <is>
          <t>Atlantic Canada Opportunities Agency | Agence de promotion économique du Canada atlantique</t>
        </is>
      </c>
    </row>
    <row r="4092">
      <c r="A4092" t="inlineStr">
        <is>
          <t>T-2018-Q1-00049</t>
        </is>
      </c>
      <c r="B4092" t="inlineStr">
        <is>
          <t>SLE</t>
        </is>
      </c>
      <c r="C4092" t="inlineStr">
        <is>
          <t>Vice-President, New Brunswick</t>
        </is>
      </c>
      <c r="D4092" t="inlineStr">
        <is>
          <t>Vice-président, Nouveau-Brunswick</t>
        </is>
      </c>
      <c r="E4092" t="inlineStr">
        <is>
          <t>Kent Estabrooks</t>
        </is>
      </c>
      <c r="F4092" t="inlineStr">
        <is>
          <t>Training and development and meeting with Government of Canada officials</t>
        </is>
      </c>
      <c r="G4092" t="inlineStr">
        <is>
          <t>Formation et perfectionnement et réunion avec des fonctionnaires du gouvernement du Canada</t>
        </is>
      </c>
      <c r="H4092" s="1" t="n">
        <v>42829</v>
      </c>
      <c r="I4092" s="1" t="n">
        <v>42832</v>
      </c>
      <c r="J4092" t="inlineStr">
        <is>
          <t>Ottawa, Ontario</t>
        </is>
      </c>
      <c r="K4092" t="inlineStr">
        <is>
          <t>Ottawa (Ontario)</t>
        </is>
      </c>
      <c r="P4092" t="n">
        <v>678.5</v>
      </c>
      <c r="Q4092" t="n">
        <v>125</v>
      </c>
      <c r="R4092" t="n">
        <v>694.86</v>
      </c>
      <c r="S4092" t="n">
        <v>261.2</v>
      </c>
      <c r="T4092" t="n">
        <v>0</v>
      </c>
      <c r="U4092" t="n">
        <v>1759.56</v>
      </c>
      <c r="X4092" t="inlineStr">
        <is>
          <t>acoa-apeca</t>
        </is>
      </c>
      <c r="Y4092" t="inlineStr">
        <is>
          <t>Atlantic Canada Opportunities Agency | Agence de promotion économique du Canada atlantique</t>
        </is>
      </c>
    </row>
    <row r="4093">
      <c r="A4093" t="inlineStr">
        <is>
          <t>T-2018-Q1-00047</t>
        </is>
      </c>
      <c r="B4093" t="inlineStr">
        <is>
          <t>SLE</t>
        </is>
      </c>
      <c r="C4093" t="inlineStr">
        <is>
          <t>Vice-President, New Brunswick</t>
        </is>
      </c>
      <c r="D4093" t="inlineStr">
        <is>
          <t>Vice-président, Nouveau-Brunswick</t>
        </is>
      </c>
      <c r="E4093" t="inlineStr">
        <is>
          <t>Kent Estabrooks</t>
        </is>
      </c>
      <c r="F4093" t="inlineStr">
        <is>
          <t>Training and development</t>
        </is>
      </c>
      <c r="G4093" t="inlineStr">
        <is>
          <t>Formation et perfectionnement</t>
        </is>
      </c>
      <c r="H4093" s="1" t="n">
        <v>42858</v>
      </c>
      <c r="I4093" s="1" t="n">
        <v>42859</v>
      </c>
      <c r="J4093" t="inlineStr">
        <is>
          <t>Ottawa, Ontario</t>
        </is>
      </c>
      <c r="K4093" t="inlineStr">
        <is>
          <t>Ottawa (Ontario)</t>
        </is>
      </c>
      <c r="P4093" t="n">
        <v>673.9</v>
      </c>
      <c r="Q4093" t="n">
        <v>143.09</v>
      </c>
      <c r="R4093" t="n">
        <v>213.62</v>
      </c>
      <c r="S4093" t="n">
        <v>144.55</v>
      </c>
      <c r="T4093" t="n">
        <v>0</v>
      </c>
      <c r="U4093" t="n">
        <v>1175.16</v>
      </c>
      <c r="X4093" t="inlineStr">
        <is>
          <t>acoa-apeca</t>
        </is>
      </c>
      <c r="Y4093" t="inlineStr">
        <is>
          <t>Atlantic Canada Opportunities Agency | Agence de promotion économique du Canada atlantique</t>
        </is>
      </c>
    </row>
    <row r="4094">
      <c r="A4094" t="inlineStr">
        <is>
          <t>T-2018-Q1-00046</t>
        </is>
      </c>
      <c r="B4094" t="inlineStr">
        <is>
          <t>SLE</t>
        </is>
      </c>
      <c r="C4094" t="inlineStr">
        <is>
          <t>Vice-President, New Brunswick</t>
        </is>
      </c>
      <c r="D4094" t="inlineStr">
        <is>
          <t>Vice-président, Nouveau-Brunswick</t>
        </is>
      </c>
      <c r="E4094" t="inlineStr">
        <is>
          <t>Kent Estabrooks</t>
        </is>
      </c>
      <c r="F4094" t="inlineStr">
        <is>
          <t>Various meetings with Agency officials</t>
        </is>
      </c>
      <c r="G4094" t="inlineStr">
        <is>
          <t>Réunions diverses avec des fonctionnaires de l'Agence</t>
        </is>
      </c>
      <c r="H4094" s="1" t="n">
        <v>42863</v>
      </c>
      <c r="I4094" s="1" t="n">
        <v>42864</v>
      </c>
      <c r="J4094" t="inlineStr">
        <is>
          <t>Moncton, New Brunswick</t>
        </is>
      </c>
      <c r="K4094" t="inlineStr">
        <is>
          <t>Moncton (Nouveau-Brunswick)</t>
        </is>
      </c>
      <c r="P4094" t="n">
        <v>0</v>
      </c>
      <c r="Q4094" t="n">
        <v>0</v>
      </c>
      <c r="R4094" t="n">
        <v>125.35</v>
      </c>
      <c r="S4094" t="n">
        <v>126.5</v>
      </c>
      <c r="T4094" t="n">
        <v>16.1</v>
      </c>
      <c r="U4094" t="n">
        <v>267.95</v>
      </c>
      <c r="X4094" t="inlineStr">
        <is>
          <t>acoa-apeca</t>
        </is>
      </c>
      <c r="Y4094" t="inlineStr">
        <is>
          <t>Atlantic Canada Opportunities Agency | Agence de promotion économique du Canada atlantique</t>
        </is>
      </c>
    </row>
    <row r="4095">
      <c r="A4095" t="inlineStr">
        <is>
          <t>T-2018-Q1-00044</t>
        </is>
      </c>
      <c r="B4095" t="inlineStr">
        <is>
          <t>SLE</t>
        </is>
      </c>
      <c r="C4095" t="inlineStr">
        <is>
          <t>Acting Vice-President, Nova-Scotia</t>
        </is>
      </c>
      <c r="D4095" t="inlineStr">
        <is>
          <t>Vice-président par intérim, Nouvelle-Écosse</t>
        </is>
      </c>
      <c r="E4095" t="inlineStr">
        <is>
          <t>Ken Martin</t>
        </is>
      </c>
      <c r="F4095" t="inlineStr">
        <is>
          <t>Assignment in Halifax</t>
        </is>
      </c>
      <c r="G4095" t="inlineStr">
        <is>
          <t>Affectation à Halifax</t>
        </is>
      </c>
      <c r="H4095" s="1" t="n">
        <v>42870</v>
      </c>
      <c r="I4095" s="1" t="n">
        <v>42886</v>
      </c>
      <c r="J4095" t="inlineStr">
        <is>
          <t>Halifax, Nova Scotia</t>
        </is>
      </c>
      <c r="K4095" t="inlineStr">
        <is>
          <t>Halifax (Nouvelle-Écosse)</t>
        </is>
      </c>
      <c r="P4095" t="n">
        <v>1467.28</v>
      </c>
      <c r="Q4095" t="n">
        <v>38.85</v>
      </c>
      <c r="R4095" t="n">
        <v>2090</v>
      </c>
      <c r="S4095" t="n">
        <v>950.2</v>
      </c>
      <c r="T4095" t="n">
        <v>0</v>
      </c>
      <c r="U4095" t="n">
        <v>4546.33</v>
      </c>
      <c r="X4095" t="inlineStr">
        <is>
          <t>acoa-apeca</t>
        </is>
      </c>
      <c r="Y4095" t="inlineStr">
        <is>
          <t>Atlantic Canada Opportunities Agency | Agence de promotion économique du Canada atlantique</t>
        </is>
      </c>
    </row>
    <row r="4096">
      <c r="A4096" t="inlineStr">
        <is>
          <t>T-2018-Q1-00042</t>
        </is>
      </c>
      <c r="B4096" t="inlineStr">
        <is>
          <t>SLE</t>
        </is>
      </c>
      <c r="C4096" t="inlineStr">
        <is>
          <t>Acting Vice-President, Nova-Scotia</t>
        </is>
      </c>
      <c r="D4096" t="inlineStr">
        <is>
          <t>Vice-président par intérim, Nouvelle-Écosse</t>
        </is>
      </c>
      <c r="E4096" t="inlineStr">
        <is>
          <t>Ken Martin</t>
        </is>
      </c>
      <c r="F4096" t="inlineStr">
        <is>
          <t>Meeting with Agency officials</t>
        </is>
      </c>
      <c r="G4096" t="inlineStr">
        <is>
          <t>Réunion avec des fonctionnaires de l'Agence</t>
        </is>
      </c>
      <c r="H4096" s="1" t="n">
        <v>42879</v>
      </c>
      <c r="I4096" s="1" t="n">
        <v>42880</v>
      </c>
      <c r="J4096" t="inlineStr">
        <is>
          <t>Moncton, New-Brunswick</t>
        </is>
      </c>
      <c r="K4096" t="inlineStr">
        <is>
          <t>Moncton (Nouveau-Brunswick)</t>
        </is>
      </c>
      <c r="P4096" t="n">
        <v>0</v>
      </c>
      <c r="Q4096" t="n">
        <v>0</v>
      </c>
      <c r="R4096" t="n">
        <v>125.35</v>
      </c>
      <c r="S4096" t="n">
        <v>161.7</v>
      </c>
      <c r="T4096" t="n">
        <v>21.85</v>
      </c>
      <c r="U4096" t="n">
        <v>308.9</v>
      </c>
      <c r="X4096" t="inlineStr">
        <is>
          <t>acoa-apeca</t>
        </is>
      </c>
      <c r="Y4096" t="inlineStr">
        <is>
          <t>Atlantic Canada Opportunities Agency | Agence de promotion économique du Canada atlantique</t>
        </is>
      </c>
    </row>
    <row r="4097">
      <c r="A4097" t="inlineStr">
        <is>
          <t>T-2018-Q1-00040</t>
        </is>
      </c>
      <c r="B4097" t="inlineStr">
        <is>
          <t>SLE</t>
        </is>
      </c>
      <c r="C4097" t="inlineStr">
        <is>
          <t>Vice-President, Prince Edward Island</t>
        </is>
      </c>
      <c r="D4097" t="inlineStr">
        <is>
          <t>Vice-président, Île-du-Prince-Édouard</t>
        </is>
      </c>
      <c r="E4097" t="inlineStr">
        <is>
          <t>Patrick Dorsey</t>
        </is>
      </c>
      <c r="F4097" t="inlineStr">
        <is>
          <t>Meeting with Government of Canada officials</t>
        </is>
      </c>
      <c r="G4097" t="inlineStr">
        <is>
          <t>Réunion avec des fonctionnaires du gouvernement du Canada</t>
        </is>
      </c>
      <c r="H4097" s="1" t="n">
        <v>42879</v>
      </c>
      <c r="I4097" s="1" t="n">
        <v>42880</v>
      </c>
      <c r="J4097" t="inlineStr">
        <is>
          <t>Moncton, New Brunswick</t>
        </is>
      </c>
      <c r="K4097" t="inlineStr">
        <is>
          <t>Moncton (Nouveau-Brunswick)</t>
        </is>
      </c>
      <c r="P4097" t="n">
        <v>0</v>
      </c>
      <c r="Q4097" t="n">
        <v>62.6</v>
      </c>
      <c r="R4097" t="n">
        <v>125.35</v>
      </c>
      <c r="S4097" t="n">
        <v>126.5</v>
      </c>
      <c r="T4097" t="n">
        <v>0</v>
      </c>
      <c r="U4097" t="n">
        <v>314.45</v>
      </c>
      <c r="X4097" t="inlineStr">
        <is>
          <t>acoa-apeca</t>
        </is>
      </c>
      <c r="Y4097" t="inlineStr">
        <is>
          <t>Atlantic Canada Opportunities Agency | Agence de promotion économique du Canada atlantique</t>
        </is>
      </c>
    </row>
    <row r="4098">
      <c r="A4098" t="inlineStr">
        <is>
          <t>T-2018-Q1-00039</t>
        </is>
      </c>
      <c r="B4098" t="inlineStr">
        <is>
          <t>SLE</t>
        </is>
      </c>
      <c r="C4098" t="inlineStr">
        <is>
          <t>Vice-President, Prince Edward Island</t>
        </is>
      </c>
      <c r="D4098" t="inlineStr">
        <is>
          <t>Vice-président, Île-du-Prince-Édouard</t>
        </is>
      </c>
      <c r="E4098" t="inlineStr">
        <is>
          <t>Patrick Dorsey</t>
        </is>
      </c>
      <c r="F4098" t="inlineStr">
        <is>
          <t xml:space="preserve">Professional development </t>
        </is>
      </c>
      <c r="G4098" t="inlineStr">
        <is>
          <t>Perfectionnement professionnel</t>
        </is>
      </c>
      <c r="H4098" s="1" t="n">
        <v>42870</v>
      </c>
      <c r="I4098" s="1" t="n">
        <v>42873</v>
      </c>
      <c r="J4098" t="inlineStr">
        <is>
          <t>Toronto, Ontario</t>
        </is>
      </c>
      <c r="K4098" t="inlineStr">
        <is>
          <t>Toronto (Ontario)</t>
        </is>
      </c>
      <c r="P4098" t="n">
        <v>927.84</v>
      </c>
      <c r="Q4098" t="n">
        <v>92.62</v>
      </c>
      <c r="R4098" t="n">
        <v>830.5599999999999</v>
      </c>
      <c r="S4098" t="n">
        <v>341.6</v>
      </c>
      <c r="T4098" t="n">
        <v>0</v>
      </c>
      <c r="U4098" t="n">
        <v>2192.62</v>
      </c>
      <c r="X4098" t="inlineStr">
        <is>
          <t>acoa-apeca</t>
        </is>
      </c>
      <c r="Y4098" t="inlineStr">
        <is>
          <t>Atlantic Canada Opportunities Agency | Agence de promotion économique du Canada atlantique</t>
        </is>
      </c>
    </row>
    <row r="4099">
      <c r="A4099" t="inlineStr">
        <is>
          <t>T-2018-Q1-00038</t>
        </is>
      </c>
      <c r="B4099" t="inlineStr">
        <is>
          <t>SLE</t>
        </is>
      </c>
      <c r="C4099" t="inlineStr">
        <is>
          <t>Acting Vice-President, Newfoundland and Labrador</t>
        </is>
      </c>
      <c r="D4099" t="inlineStr">
        <is>
          <t>Vice-présidente par intérim, Terre-Neuve-et-Labrador</t>
        </is>
      </c>
      <c r="E4099" t="inlineStr">
        <is>
          <t>Karen Skinner</t>
        </is>
      </c>
      <c r="F4099" t="inlineStr">
        <is>
          <t>Attend Executive Committee meeting in Moncton</t>
        </is>
      </c>
      <c r="G4099" t="inlineStr">
        <is>
          <t>Assister à une réunion du Comité de direction à Moncton</t>
        </is>
      </c>
      <c r="H4099" s="1" t="n">
        <v>42879</v>
      </c>
      <c r="I4099" s="1" t="n">
        <v>42880</v>
      </c>
      <c r="J4099" t="inlineStr">
        <is>
          <t>Moncton, New-Brunswick</t>
        </is>
      </c>
      <c r="K4099" t="inlineStr">
        <is>
          <t>Moncton (Nouveau-Brunswick)</t>
        </is>
      </c>
      <c r="P4099" t="n">
        <v>842.61</v>
      </c>
      <c r="Q4099" t="n">
        <v>52.76</v>
      </c>
      <c r="R4099" t="n">
        <v>159.85</v>
      </c>
      <c r="S4099" t="n">
        <v>126.5</v>
      </c>
      <c r="T4099" t="n">
        <v>0</v>
      </c>
      <c r="U4099" t="n">
        <v>1181.72</v>
      </c>
      <c r="X4099" t="inlineStr">
        <is>
          <t>acoa-apeca</t>
        </is>
      </c>
      <c r="Y4099" t="inlineStr">
        <is>
          <t>Atlantic Canada Opportunities Agency | Agence de promotion économique du Canada atlantique</t>
        </is>
      </c>
    </row>
    <row r="4100">
      <c r="A4100" t="inlineStr">
        <is>
          <t>T-2018-Q1-00037</t>
        </is>
      </c>
      <c r="B4100" t="inlineStr">
        <is>
          <t>SLE</t>
        </is>
      </c>
      <c r="C4100" t="inlineStr">
        <is>
          <t>Acting Vice-President, Policy and Programs</t>
        </is>
      </c>
      <c r="D4100" t="inlineStr">
        <is>
          <t>Vice-présidente, Politiques et Programmes par intérim</t>
        </is>
      </c>
      <c r="E4100" t="inlineStr">
        <is>
          <t>Denise Frenette</t>
        </is>
      </c>
      <c r="F4100" t="inlineStr">
        <is>
          <t>Meeting with Government of Canada officials</t>
        </is>
      </c>
      <c r="G4100" t="inlineStr">
        <is>
          <t>Réunion avec des fonctionnaires du gouvernement du Canada</t>
        </is>
      </c>
      <c r="H4100" s="1" t="n">
        <v>42884</v>
      </c>
      <c r="I4100" s="1" t="n">
        <v>42885</v>
      </c>
      <c r="J4100" t="inlineStr">
        <is>
          <t>Halifax, Nova Scotia</t>
        </is>
      </c>
      <c r="K4100" t="inlineStr">
        <is>
          <t>Halifax (Nouvelle-Écosse)</t>
        </is>
      </c>
      <c r="P4100" t="n">
        <v>0</v>
      </c>
      <c r="Q4100" t="n">
        <v>30.3</v>
      </c>
      <c r="R4100" t="n">
        <v>198.24</v>
      </c>
      <c r="S4100" t="n">
        <v>126.5</v>
      </c>
      <c r="T4100" t="n">
        <v>3</v>
      </c>
      <c r="U4100" t="n">
        <v>358.04</v>
      </c>
      <c r="X4100" t="inlineStr">
        <is>
          <t>acoa-apeca</t>
        </is>
      </c>
      <c r="Y4100" t="inlineStr">
        <is>
          <t>Atlantic Canada Opportunities Agency | Agence de promotion économique du Canada atlantique</t>
        </is>
      </c>
    </row>
    <row r="4101">
      <c r="A4101" t="inlineStr">
        <is>
          <t>T-2018-Q1-00036</t>
        </is>
      </c>
      <c r="B4101" t="inlineStr">
        <is>
          <t>SLE</t>
        </is>
      </c>
      <c r="C4101" t="inlineStr">
        <is>
          <t>Acting Vice-President, Nova-Scotia</t>
        </is>
      </c>
      <c r="D4101" t="inlineStr">
        <is>
          <t>Vice-président par intérim, Nouvelle-Écosse</t>
        </is>
      </c>
      <c r="E4101" t="inlineStr">
        <is>
          <t>Patrick Dorsey</t>
        </is>
      </c>
      <c r="F4101" t="inlineStr">
        <is>
          <t xml:space="preserve">Various meetings with Agency officials </t>
        </is>
      </c>
      <c r="G4101" t="inlineStr">
        <is>
          <t xml:space="preserve">Réunions diverses avec des fonctionnaires de l'Agence </t>
        </is>
      </c>
      <c r="H4101" s="1" t="n">
        <v>42863</v>
      </c>
      <c r="I4101" s="1" t="n">
        <v>42864</v>
      </c>
      <c r="J4101" t="inlineStr">
        <is>
          <t xml:space="preserve">Moncton, New Brunswick </t>
        </is>
      </c>
      <c r="K4101" t="inlineStr">
        <is>
          <t>Moncton (Nouveau-Brunswick)</t>
        </is>
      </c>
      <c r="P4101" t="n">
        <v>0</v>
      </c>
      <c r="Q4101" t="n">
        <v>16.1</v>
      </c>
      <c r="R4101" t="n">
        <v>125.35</v>
      </c>
      <c r="S4101" t="n">
        <v>115.75</v>
      </c>
      <c r="T4101" t="n">
        <v>0</v>
      </c>
      <c r="U4101" t="n">
        <v>257.2</v>
      </c>
      <c r="X4101" t="inlineStr">
        <is>
          <t>acoa-apeca</t>
        </is>
      </c>
      <c r="Y4101" t="inlineStr">
        <is>
          <t>Atlantic Canada Opportunities Agency | Agence de promotion économique du Canada atlantique</t>
        </is>
      </c>
    </row>
    <row r="4102">
      <c r="A4102" t="inlineStr">
        <is>
          <t>T-2018-Q1-00035</t>
        </is>
      </c>
      <c r="B4102" t="inlineStr">
        <is>
          <t>SLE</t>
        </is>
      </c>
      <c r="C4102" t="inlineStr">
        <is>
          <t>Acting Vice-President, Nova-Scotia</t>
        </is>
      </c>
      <c r="D4102" t="inlineStr">
        <is>
          <t>Vice-président par intérim, Nouvelle-Écosse</t>
        </is>
      </c>
      <c r="E4102" t="inlineStr">
        <is>
          <t>Patrick Dorsey</t>
        </is>
      </c>
      <c r="F4102" t="inlineStr">
        <is>
          <t>Attend various meetings on the Atlantic Canada Tourism Partnership</t>
        </is>
      </c>
      <c r="G4102" t="inlineStr">
        <is>
          <t>Assister à des réunions diverses au sujet du Partenariat du tourisme du Canada atlantique</t>
        </is>
      </c>
      <c r="H4102" s="1" t="n">
        <v>42858</v>
      </c>
      <c r="I4102" s="1" t="n">
        <v>42859</v>
      </c>
      <c r="J4102" t="inlineStr">
        <is>
          <t>St. John's, Newfoundland and Labrador</t>
        </is>
      </c>
      <c r="K4102" t="inlineStr">
        <is>
          <t>St. John's (Terre-Neuve-et-Labrador)</t>
        </is>
      </c>
      <c r="P4102" t="n">
        <v>630.95</v>
      </c>
      <c r="Q4102" t="n">
        <v>26.5</v>
      </c>
      <c r="R4102" t="n">
        <v>172.55</v>
      </c>
      <c r="S4102" t="n">
        <v>115.75</v>
      </c>
      <c r="T4102" t="n">
        <v>0</v>
      </c>
      <c r="U4102" t="n">
        <v>945.75</v>
      </c>
      <c r="X4102" t="inlineStr">
        <is>
          <t>acoa-apeca</t>
        </is>
      </c>
      <c r="Y4102" t="inlineStr">
        <is>
          <t>Atlantic Canada Opportunities Agency | Agence de promotion économique du Canada atlantique</t>
        </is>
      </c>
    </row>
    <row r="4103">
      <c r="A4103" t="inlineStr">
        <is>
          <t>T-2017-Q1-00002</t>
        </is>
      </c>
      <c r="B4103" t="inlineStr">
        <is>
          <t>SLE</t>
        </is>
      </c>
      <c r="C4103" t="inlineStr">
        <is>
          <t>Senior Advisor (Energy)</t>
        </is>
      </c>
      <c r="D4103" t="inlineStr">
        <is>
          <t>Conseiller spécial (energie)</t>
        </is>
      </c>
      <c r="E4103" t="inlineStr">
        <is>
          <t>Andrew F. Noseworthy</t>
        </is>
      </c>
      <c r="F4103" t="inlineStr">
        <is>
          <t>Attend Executive Committee meeting</t>
        </is>
      </c>
      <c r="G4103" t="inlineStr">
        <is>
          <t>Assister à une réunion du Comité de direction</t>
        </is>
      </c>
      <c r="H4103" s="1" t="n">
        <v>42431</v>
      </c>
      <c r="I4103" s="1" t="n">
        <v>42432</v>
      </c>
      <c r="J4103" t="inlineStr">
        <is>
          <t>Moncton, New Brunswick</t>
        </is>
      </c>
      <c r="K4103" t="inlineStr">
        <is>
          <t>Moncton (Nouveau-Brunswick)</t>
        </is>
      </c>
      <c r="P4103" t="n">
        <v>1063.56</v>
      </c>
      <c r="Q4103" t="n">
        <v>24</v>
      </c>
      <c r="R4103" t="n">
        <v>145.77</v>
      </c>
      <c r="S4103" t="n">
        <v>123.4</v>
      </c>
      <c r="T4103" t="n">
        <v>38.75</v>
      </c>
      <c r="U4103" t="n">
        <v>1395.48</v>
      </c>
      <c r="X4103" t="inlineStr">
        <is>
          <t>acoa-apeca</t>
        </is>
      </c>
      <c r="Y4103" t="inlineStr">
        <is>
          <t>Atlantic Canada Opportunities Agency | Agence de promotion économique du Canada atlantique</t>
        </is>
      </c>
    </row>
    <row r="4104">
      <c r="A4104" t="inlineStr">
        <is>
          <t>T-2018-Q1-00034</t>
        </is>
      </c>
      <c r="B4104" t="inlineStr">
        <is>
          <t>SLE</t>
        </is>
      </c>
      <c r="C4104" t="inlineStr">
        <is>
          <t>Acting Vice-President, Nova-Scotia</t>
        </is>
      </c>
      <c r="D4104" t="inlineStr">
        <is>
          <t>Vice-président par intérim, Nouvelle-Écosse</t>
        </is>
      </c>
      <c r="E4104" t="inlineStr">
        <is>
          <t>Patrick Dorsey</t>
        </is>
      </c>
      <c r="F4104" t="inlineStr">
        <is>
          <t>Meeting with Agency official</t>
        </is>
      </c>
      <c r="G4104" t="inlineStr">
        <is>
          <t>Réunion avec un fonctionnaire de l'Agence</t>
        </is>
      </c>
      <c r="H4104" s="1" t="n">
        <v>42838</v>
      </c>
      <c r="I4104" s="1" t="n">
        <v>42838</v>
      </c>
      <c r="J4104" t="inlineStr">
        <is>
          <t xml:space="preserve">Moncton, New Brunswick </t>
        </is>
      </c>
      <c r="K4104" t="inlineStr">
        <is>
          <t>Moncton (Nouveau-Brunswick)</t>
        </is>
      </c>
      <c r="P4104" t="n">
        <v>0</v>
      </c>
      <c r="Q4104" t="n">
        <v>0</v>
      </c>
      <c r="R4104" t="n">
        <v>0</v>
      </c>
      <c r="S4104" t="n">
        <v>18.05</v>
      </c>
      <c r="T4104" t="n">
        <v>0</v>
      </c>
      <c r="U4104" t="n">
        <v>18.05</v>
      </c>
      <c r="X4104" t="inlineStr">
        <is>
          <t>acoa-apeca</t>
        </is>
      </c>
      <c r="Y4104" t="inlineStr">
        <is>
          <t>Atlantic Canada Opportunities Agency | Agence de promotion économique du Canada atlantique</t>
        </is>
      </c>
    </row>
    <row r="4105">
      <c r="A4105" t="inlineStr">
        <is>
          <t>T-2018-Q1-00033</t>
        </is>
      </c>
      <c r="B4105" t="inlineStr">
        <is>
          <t>SLE</t>
        </is>
      </c>
      <c r="C4105" t="inlineStr">
        <is>
          <t>Acting Vice-President, Nova-Scotia</t>
        </is>
      </c>
      <c r="D4105" t="inlineStr">
        <is>
          <t>Vice-président par intérim, Nouvelle-Écosse</t>
        </is>
      </c>
      <c r="E4105" t="inlineStr">
        <is>
          <t>Patrick Dorsey</t>
        </is>
      </c>
      <c r="F4105" t="inlineStr">
        <is>
          <t>Various meetings with senior Agency officials</t>
        </is>
      </c>
      <c r="G4105" t="inlineStr">
        <is>
          <t>Réunions diverses avec des hauts fonctionnaires de l'Agence</t>
        </is>
      </c>
      <c r="H4105" s="1" t="n">
        <v>42834</v>
      </c>
      <c r="I4105" s="1" t="n">
        <v>42836</v>
      </c>
      <c r="J4105" t="inlineStr">
        <is>
          <t>Ottawa, Ontario</t>
        </is>
      </c>
      <c r="K4105" t="inlineStr">
        <is>
          <t>Ottawa (Ontario)</t>
        </is>
      </c>
      <c r="P4105" t="n">
        <v>1188.89</v>
      </c>
      <c r="Q4105" t="n">
        <v>171.15</v>
      </c>
      <c r="R4105" t="n">
        <v>645.0599999999999</v>
      </c>
      <c r="S4105" t="n">
        <v>225.85</v>
      </c>
      <c r="T4105" t="n">
        <v>0</v>
      </c>
      <c r="U4105" t="n">
        <v>2230.95</v>
      </c>
      <c r="X4105" t="inlineStr">
        <is>
          <t>acoa-apeca</t>
        </is>
      </c>
      <c r="Y4105" t="inlineStr">
        <is>
          <t>Atlantic Canada Opportunities Agency | Agence de promotion économique du Canada atlantique</t>
        </is>
      </c>
    </row>
    <row r="4106">
      <c r="A4106" t="inlineStr">
        <is>
          <t>T-2012-Q1-00048</t>
        </is>
      </c>
      <c r="B4106" t="inlineStr">
        <is>
          <t>SLE</t>
        </is>
      </c>
      <c r="C4106" t="inlineStr">
        <is>
          <t>Senior Advisor (Energy)</t>
        </is>
      </c>
      <c r="D4106" t="inlineStr">
        <is>
          <t>Conseiller spécial (energie)</t>
        </is>
      </c>
      <c r="E4106" t="inlineStr">
        <is>
          <t>Andrew F. Noseworthy</t>
        </is>
      </c>
      <c r="F4106" t="inlineStr">
        <is>
          <t>Attend Offshore Technology Conference 2011</t>
        </is>
      </c>
      <c r="G4106" t="inlineStr">
        <is>
          <t>Participer à la Offshore Technology Conference 2011</t>
        </is>
      </c>
      <c r="H4106" s="1" t="n">
        <v>40663</v>
      </c>
      <c r="I4106" s="1" t="n">
        <v>40670</v>
      </c>
      <c r="J4106" t="inlineStr">
        <is>
          <t>Houston, Texas</t>
        </is>
      </c>
      <c r="K4106" t="inlineStr">
        <is>
          <t>Houston, Texas</t>
        </is>
      </c>
      <c r="P4106" t="n">
        <v>1217.27</v>
      </c>
      <c r="Q4106" t="n">
        <v>327.65</v>
      </c>
      <c r="R4106" t="n">
        <v>1912.68</v>
      </c>
      <c r="S4106" t="n">
        <v>558.12</v>
      </c>
      <c r="T4106" t="n">
        <v>0</v>
      </c>
      <c r="U4106" t="n">
        <v>4015.72</v>
      </c>
      <c r="X4106" t="inlineStr">
        <is>
          <t>acoa-apeca</t>
        </is>
      </c>
      <c r="Y4106" t="inlineStr">
        <is>
          <t>Atlantic Canada Opportunities Agency | Agence de promotion économique du Canada atlantique</t>
        </is>
      </c>
    </row>
    <row r="4107">
      <c r="A4107" t="inlineStr">
        <is>
          <t>T-2018-Q1-00032</t>
        </is>
      </c>
      <c r="B4107" t="inlineStr">
        <is>
          <t>SLE</t>
        </is>
      </c>
      <c r="C4107" t="inlineStr">
        <is>
          <t>Acting Vice-President, Nova-Scotia</t>
        </is>
      </c>
      <c r="D4107" t="inlineStr">
        <is>
          <t>Vice-président par intérim, Nouvelle-Écosse</t>
        </is>
      </c>
      <c r="E4107" t="inlineStr">
        <is>
          <t>Patrick Dorsey</t>
        </is>
      </c>
      <c r="F4107" t="inlineStr">
        <is>
          <t>Various meetings with Agency and Government of Canada officials</t>
        </is>
      </c>
      <c r="G4107" t="inlineStr">
        <is>
          <t xml:space="preserve">Réunions diverses avec des fonctionnaires de l'Agence et du gouvernement du Canada </t>
        </is>
      </c>
      <c r="H4107" s="1" t="n">
        <v>42830</v>
      </c>
      <c r="I4107" s="1" t="n">
        <v>42831</v>
      </c>
      <c r="J4107" t="inlineStr">
        <is>
          <t>Ottawa, Ontario</t>
        </is>
      </c>
      <c r="K4107" t="inlineStr">
        <is>
          <t>Ottawa (Ontario)</t>
        </is>
      </c>
      <c r="P4107" t="n">
        <v>396.29</v>
      </c>
      <c r="Q4107" t="n">
        <v>55.31</v>
      </c>
      <c r="R4107" t="n">
        <v>231.62</v>
      </c>
      <c r="S4107" t="n">
        <v>179.75</v>
      </c>
      <c r="T4107" t="n">
        <v>0</v>
      </c>
      <c r="U4107" t="n">
        <v>862.97</v>
      </c>
      <c r="X4107" t="inlineStr">
        <is>
          <t>acoa-apeca</t>
        </is>
      </c>
      <c r="Y4107" t="inlineStr">
        <is>
          <t>Atlantic Canada Opportunities Agency | Agence de promotion économique du Canada atlantique</t>
        </is>
      </c>
    </row>
    <row r="4108">
      <c r="A4108" t="inlineStr">
        <is>
          <t>T-2018-Q1-00031</t>
        </is>
      </c>
      <c r="B4108" t="inlineStr">
        <is>
          <t>SLE</t>
        </is>
      </c>
      <c r="C4108" t="inlineStr">
        <is>
          <t>Acting Vice-President, Nova-Scotia</t>
        </is>
      </c>
      <c r="D4108" t="inlineStr">
        <is>
          <t>Vice-président par intérim, Nouvelle-Écosse</t>
        </is>
      </c>
      <c r="E4108" t="inlineStr">
        <is>
          <t>Patrick Dorsey</t>
        </is>
      </c>
      <c r="F4108" t="inlineStr">
        <is>
          <t>Various meetings with Agency officials and clients</t>
        </is>
      </c>
      <c r="G4108" t="inlineStr">
        <is>
          <t>Réunions diverses avec des fonctionnaires de l'Agence et des clients</t>
        </is>
      </c>
      <c r="H4108" s="1" t="n">
        <v>42829</v>
      </c>
      <c r="I4108" s="1" t="n">
        <v>42829</v>
      </c>
      <c r="J4108" t="inlineStr">
        <is>
          <t>Sydney, Nova Scotia</t>
        </is>
      </c>
      <c r="K4108" t="inlineStr">
        <is>
          <t>Sydney (Nouvelle-Écosse)</t>
        </is>
      </c>
      <c r="P4108" t="n">
        <v>488.07</v>
      </c>
      <c r="Q4108" t="n">
        <v>14</v>
      </c>
      <c r="R4108" t="n">
        <v>0</v>
      </c>
      <c r="S4108" t="n">
        <v>52.5</v>
      </c>
      <c r="T4108" t="n">
        <v>0</v>
      </c>
      <c r="U4108" t="n">
        <v>554.5700000000001</v>
      </c>
      <c r="X4108" t="inlineStr">
        <is>
          <t>acoa-apeca</t>
        </is>
      </c>
      <c r="Y4108" t="inlineStr">
        <is>
          <t>Atlantic Canada Opportunities Agency | Agence de promotion économique du Canada atlantique</t>
        </is>
      </c>
    </row>
    <row r="4109">
      <c r="A4109" t="inlineStr">
        <is>
          <t>T-2018-Q1-00030</t>
        </is>
      </c>
      <c r="B4109" t="inlineStr">
        <is>
          <t>SLE</t>
        </is>
      </c>
      <c r="C4109" t="inlineStr">
        <is>
          <t>Acting Vice-President, Nova-Scotia</t>
        </is>
      </c>
      <c r="D4109" t="inlineStr">
        <is>
          <t>Vice-président par intérim, Nouvelle-Écosse</t>
        </is>
      </c>
      <c r="E4109" t="inlineStr">
        <is>
          <t>Patrick Dorsey</t>
        </is>
      </c>
      <c r="F4109" t="inlineStr">
        <is>
          <t xml:space="preserve">Professional development </t>
        </is>
      </c>
      <c r="G4109" t="inlineStr">
        <is>
          <t>Perfectionnement professionnel</t>
        </is>
      </c>
      <c r="H4109" s="1" t="n">
        <v>42799</v>
      </c>
      <c r="I4109" s="1" t="n">
        <v>42802</v>
      </c>
      <c r="J4109" t="inlineStr">
        <is>
          <t>Toronto, Ontario</t>
        </is>
      </c>
      <c r="K4109" t="inlineStr">
        <is>
          <t>Toronto (Ontario)</t>
        </is>
      </c>
      <c r="P4109" t="n">
        <v>626.35</v>
      </c>
      <c r="Q4109" t="n">
        <v>130.35</v>
      </c>
      <c r="R4109" t="n">
        <v>622.95</v>
      </c>
      <c r="S4109" t="n">
        <v>337.4</v>
      </c>
      <c r="T4109" t="n">
        <v>0</v>
      </c>
      <c r="U4109" t="n">
        <v>1717.05</v>
      </c>
      <c r="X4109" t="inlineStr">
        <is>
          <t>acoa-apeca</t>
        </is>
      </c>
      <c r="Y4109" t="inlineStr">
        <is>
          <t>Atlantic Canada Opportunities Agency | Agence de promotion économique du Canada atlantique</t>
        </is>
      </c>
    </row>
    <row r="4110">
      <c r="A4110" t="inlineStr">
        <is>
          <t>T-2018-Q1-00027</t>
        </is>
      </c>
      <c r="B4110" t="inlineStr">
        <is>
          <t>SLE</t>
        </is>
      </c>
      <c r="C4110" t="inlineStr">
        <is>
          <t>Acting Vice-President, Nova-Scotia</t>
        </is>
      </c>
      <c r="D4110" t="inlineStr">
        <is>
          <t>Vice-président par intérim, Nouvelle-Écosse</t>
        </is>
      </c>
      <c r="E4110" t="inlineStr">
        <is>
          <t>Patrick Dorsey</t>
        </is>
      </c>
      <c r="F4110" t="inlineStr">
        <is>
          <t xml:space="preserve">Assignment in Halifax </t>
        </is>
      </c>
      <c r="G4110" t="inlineStr">
        <is>
          <t>Affectation à Halifax</t>
        </is>
      </c>
      <c r="H4110" s="1" t="n">
        <v>42856</v>
      </c>
      <c r="I4110" s="1" t="n">
        <v>42867</v>
      </c>
      <c r="J4110" t="inlineStr">
        <is>
          <t>Halifax, Nova Scotia</t>
        </is>
      </c>
      <c r="K4110" t="inlineStr">
        <is>
          <t>Halifax (Nouvelle-Écosse)</t>
        </is>
      </c>
      <c r="P4110" t="n">
        <v>0</v>
      </c>
      <c r="Q4110" t="n">
        <v>249.73</v>
      </c>
      <c r="R4110" t="n">
        <v>1320</v>
      </c>
      <c r="S4110" t="n">
        <v>416.55</v>
      </c>
      <c r="T4110" t="n">
        <v>0</v>
      </c>
      <c r="U4110" t="n">
        <v>1986.28</v>
      </c>
      <c r="X4110" t="inlineStr">
        <is>
          <t>acoa-apeca</t>
        </is>
      </c>
      <c r="Y4110" t="inlineStr">
        <is>
          <t>Atlantic Canada Opportunities Agency | Agence de promotion économique du Canada atlantique</t>
        </is>
      </c>
    </row>
    <row r="4111">
      <c r="A4111" t="inlineStr">
        <is>
          <t>T-2018-Q1-00026</t>
        </is>
      </c>
      <c r="B4111" t="inlineStr">
        <is>
          <t>SLE</t>
        </is>
      </c>
      <c r="C4111" t="inlineStr">
        <is>
          <t>Acting Vice-President, Nova-Scotia</t>
        </is>
      </c>
      <c r="D4111" t="inlineStr">
        <is>
          <t>Vice-président par intérim, Nouvelle-Écosse</t>
        </is>
      </c>
      <c r="E4111" t="inlineStr">
        <is>
          <t>Patrick Dorsey</t>
        </is>
      </c>
      <c r="F4111" t="inlineStr">
        <is>
          <t>Assignment in Halifax</t>
        </is>
      </c>
      <c r="G4111" t="inlineStr">
        <is>
          <t>Affectation à Halifax</t>
        </is>
      </c>
      <c r="H4111" s="1" t="n">
        <v>42826</v>
      </c>
      <c r="I4111" s="1" t="n">
        <v>42855</v>
      </c>
      <c r="J4111" t="inlineStr">
        <is>
          <t>Halifax, Nova Scotia</t>
        </is>
      </c>
      <c r="K4111" t="inlineStr">
        <is>
          <t>Halifax (Nouvelle-Écosse)</t>
        </is>
      </c>
      <c r="P4111" t="n">
        <v>431.25</v>
      </c>
      <c r="Q4111" t="n">
        <v>16.1</v>
      </c>
      <c r="R4111" t="n">
        <v>3300</v>
      </c>
      <c r="S4111" t="n">
        <v>964.6</v>
      </c>
      <c r="T4111" t="n">
        <v>0</v>
      </c>
      <c r="U4111" t="n">
        <v>4711.95</v>
      </c>
      <c r="X4111" t="inlineStr">
        <is>
          <t>acoa-apeca</t>
        </is>
      </c>
      <c r="Y4111" t="inlineStr">
        <is>
          <t>Atlantic Canada Opportunities Agency | Agence de promotion économique du Canada atlantique</t>
        </is>
      </c>
    </row>
    <row r="4112">
      <c r="A4112" t="inlineStr">
        <is>
          <t>T-2018-Q1-00025</t>
        </is>
      </c>
      <c r="B4112" t="inlineStr">
        <is>
          <t>SLE</t>
        </is>
      </c>
      <c r="C4112" t="inlineStr">
        <is>
          <t>Acting Vice-President, Policy and Programs</t>
        </is>
      </c>
      <c r="D4112" t="inlineStr">
        <is>
          <t>Vice-présidente, Politiques et Programmes par intérim</t>
        </is>
      </c>
      <c r="E4112" t="inlineStr">
        <is>
          <t>Denise Frenette</t>
        </is>
      </c>
      <c r="F4112" t="inlineStr">
        <is>
          <t>Meetings with Government of Canada officials</t>
        </is>
      </c>
      <c r="G4112" t="inlineStr">
        <is>
          <t>Réunions avec des fonctionnaires du gouvernement du Canada</t>
        </is>
      </c>
      <c r="H4112" s="1" t="n">
        <v>42870</v>
      </c>
      <c r="I4112" s="1" t="n">
        <v>42873</v>
      </c>
      <c r="J4112" t="inlineStr">
        <is>
          <t>Ottawa, Ontario</t>
        </is>
      </c>
      <c r="K4112" t="inlineStr">
        <is>
          <t>Ottawa (Ontario)</t>
        </is>
      </c>
      <c r="P4112" t="n">
        <v>1159.33</v>
      </c>
      <c r="Q4112" t="n">
        <v>112.98</v>
      </c>
      <c r="R4112" t="n">
        <v>694.86</v>
      </c>
      <c r="S4112" t="n">
        <v>358.6</v>
      </c>
      <c r="T4112" t="n">
        <v>25.86</v>
      </c>
      <c r="U4112" t="n">
        <v>2351.63</v>
      </c>
      <c r="X4112" t="inlineStr">
        <is>
          <t>acoa-apeca</t>
        </is>
      </c>
      <c r="Y4112" t="inlineStr">
        <is>
          <t>Atlantic Canada Opportunities Agency | Agence de promotion économique du Canada atlantique</t>
        </is>
      </c>
    </row>
    <row r="4113">
      <c r="A4113" t="inlineStr">
        <is>
          <t>T-2018-Q1-00024</t>
        </is>
      </c>
      <c r="B4113" t="inlineStr">
        <is>
          <t>SLE</t>
        </is>
      </c>
      <c r="C4113" t="inlineStr">
        <is>
          <t>Acting President</t>
        </is>
      </c>
      <c r="D4113" t="inlineStr">
        <is>
          <t>Président par intérim</t>
        </is>
      </c>
      <c r="E4113" t="inlineStr">
        <is>
          <t>Daryell Nowlan</t>
        </is>
      </c>
      <c r="F4113" t="inlineStr">
        <is>
          <t>Training and development</t>
        </is>
      </c>
      <c r="G4113" t="inlineStr">
        <is>
          <t>Formation et perfectionnement</t>
        </is>
      </c>
      <c r="H4113" s="1" t="n">
        <v>42869</v>
      </c>
      <c r="I4113" s="1" t="n">
        <v>42872</v>
      </c>
      <c r="J4113" t="inlineStr">
        <is>
          <t>Washington D.C.</t>
        </is>
      </c>
      <c r="K4113" t="inlineStr">
        <is>
          <t>Washington D.C.</t>
        </is>
      </c>
      <c r="P4113" t="n">
        <v>714.24</v>
      </c>
      <c r="Q4113" t="n">
        <v>82.70999999999999</v>
      </c>
      <c r="R4113" t="n">
        <v>1488.72</v>
      </c>
      <c r="S4113" t="n">
        <v>368.99</v>
      </c>
      <c r="T4113" t="n">
        <v>25.3</v>
      </c>
      <c r="U4113" t="n">
        <v>2679.96</v>
      </c>
      <c r="X4113" t="inlineStr">
        <is>
          <t>acoa-apeca</t>
        </is>
      </c>
      <c r="Y4113" t="inlineStr">
        <is>
          <t>Atlantic Canada Opportunities Agency | Agence de promotion économique du Canada atlantique</t>
        </is>
      </c>
    </row>
    <row r="4114">
      <c r="A4114" t="inlineStr">
        <is>
          <t>T-2018-Q1-00022</t>
        </is>
      </c>
      <c r="B4114" t="inlineStr">
        <is>
          <t>SLE</t>
        </is>
      </c>
      <c r="C4114" t="inlineStr">
        <is>
          <t>Vice-President, Newfoundland and Labrador</t>
        </is>
      </c>
      <c r="D4114" t="inlineStr">
        <is>
          <t>Vice-président, Terre-Neuve-et-Labrador</t>
        </is>
      </c>
      <c r="E4114" t="inlineStr">
        <is>
          <t>Ken Martin</t>
        </is>
      </c>
      <c r="F4114" t="inlineStr">
        <is>
          <t>Attend meetings with senior government officials in Moncton</t>
        </is>
      </c>
      <c r="G4114" t="inlineStr">
        <is>
          <t>Assister à des réunions avec des hauts fonctionnaires du gouvernement à Moncton</t>
        </is>
      </c>
      <c r="H4114" s="1" t="n">
        <v>42863</v>
      </c>
      <c r="I4114" s="1" t="n">
        <v>42864</v>
      </c>
      <c r="J4114" t="inlineStr">
        <is>
          <t>Moncton, New-Brunswick</t>
        </is>
      </c>
      <c r="K4114" t="inlineStr">
        <is>
          <t>Moncton (Nouveau-Brunswick)</t>
        </is>
      </c>
      <c r="P4114" t="n">
        <v>769.04</v>
      </c>
      <c r="Q4114" t="n">
        <v>38.54</v>
      </c>
      <c r="R4114" t="n">
        <v>125.35</v>
      </c>
      <c r="S4114" t="n">
        <v>143.65</v>
      </c>
      <c r="T4114" t="n">
        <v>0</v>
      </c>
      <c r="U4114" t="n">
        <v>1076.58</v>
      </c>
      <c r="X4114" t="inlineStr">
        <is>
          <t>acoa-apeca</t>
        </is>
      </c>
      <c r="Y4114" t="inlineStr">
        <is>
          <t>Atlantic Canada Opportunities Agency | Agence de promotion économique du Canada atlantique</t>
        </is>
      </c>
    </row>
    <row r="4115">
      <c r="A4115" t="inlineStr">
        <is>
          <t>T-2011-Q4-00028</t>
        </is>
      </c>
      <c r="B4115" t="inlineStr">
        <is>
          <t>SLE</t>
        </is>
      </c>
      <c r="C4115" t="inlineStr">
        <is>
          <t>Senior Advisor (Energy)</t>
        </is>
      </c>
      <c r="D4115" t="inlineStr">
        <is>
          <t>Conseiller spécial (energie)</t>
        </is>
      </c>
      <c r="E4115" t="inlineStr">
        <is>
          <t>Andrew F. Noseworthy</t>
        </is>
      </c>
      <c r="F4115" t="inlineStr">
        <is>
          <t>Executive Committee Meeting</t>
        </is>
      </c>
      <c r="G4115" t="inlineStr">
        <is>
          <t>Réunion du Comité de direction</t>
        </is>
      </c>
      <c r="H4115" s="1" t="n">
        <v>40553</v>
      </c>
      <c r="I4115" s="1" t="n">
        <v>40554</v>
      </c>
      <c r="J4115" t="inlineStr">
        <is>
          <t>Monton, NB</t>
        </is>
      </c>
      <c r="K4115" t="inlineStr">
        <is>
          <t>Moncton (Nouveau-Brunswick)</t>
        </is>
      </c>
      <c r="P4115" t="n">
        <v>1587.54</v>
      </c>
      <c r="Q4115" t="n">
        <v>47</v>
      </c>
      <c r="R4115" t="n">
        <v>145.77</v>
      </c>
      <c r="S4115" t="n">
        <v>127.8</v>
      </c>
      <c r="T4115" t="n">
        <v>109.94</v>
      </c>
      <c r="U4115" t="n">
        <v>2018.05</v>
      </c>
      <c r="X4115" t="inlineStr">
        <is>
          <t>acoa-apeca</t>
        </is>
      </c>
      <c r="Y4115" t="inlineStr">
        <is>
          <t>Atlantic Canada Opportunities Agency | Agence de promotion économique du Canada atlantique</t>
        </is>
      </c>
    </row>
    <row r="4116">
      <c r="A4116" t="inlineStr">
        <is>
          <t>T-2018-Q1-00021</t>
        </is>
      </c>
      <c r="B4116" t="inlineStr">
        <is>
          <t>SLE</t>
        </is>
      </c>
      <c r="C4116" t="inlineStr">
        <is>
          <t>Acting President</t>
        </is>
      </c>
      <c r="D4116" t="inlineStr">
        <is>
          <t>Président par intérim</t>
        </is>
      </c>
      <c r="E4116" t="inlineStr">
        <is>
          <t>Daryell Nowlan</t>
        </is>
      </c>
      <c r="F4116" t="inlineStr">
        <is>
          <t>Various meetings and discussions with Agency officials and Government of Canada officials</t>
        </is>
      </c>
      <c r="G4116" t="inlineStr">
        <is>
          <t>Diverses réunions et discussions avec des fonctionnaires de l'Agence et du gouvernement du Canada</t>
        </is>
      </c>
      <c r="H4116" s="1" t="n">
        <v>42864</v>
      </c>
      <c r="I4116" s="1" t="n">
        <v>42866</v>
      </c>
      <c r="J4116" t="inlineStr">
        <is>
          <t>Ottawa, Ontario</t>
        </is>
      </c>
      <c r="K4116" t="inlineStr">
        <is>
          <t>Ottawa (Ontario)</t>
        </is>
      </c>
      <c r="P4116" t="n">
        <v>685.4</v>
      </c>
      <c r="Q4116" t="n">
        <v>82.31</v>
      </c>
      <c r="R4116" t="n">
        <v>407.36</v>
      </c>
      <c r="S4116" t="n">
        <v>189.75</v>
      </c>
      <c r="T4116" t="n">
        <v>0</v>
      </c>
      <c r="U4116" t="n">
        <v>1364.82</v>
      </c>
      <c r="X4116" t="inlineStr">
        <is>
          <t>acoa-apeca</t>
        </is>
      </c>
      <c r="Y4116" t="inlineStr">
        <is>
          <t>Atlantic Canada Opportunities Agency | Agence de promotion économique du Canada atlantique</t>
        </is>
      </c>
    </row>
    <row r="4117">
      <c r="A4117" t="inlineStr">
        <is>
          <t>T-2018-Q1-00020</t>
        </is>
      </c>
      <c r="B4117" t="inlineStr">
        <is>
          <t>SLE</t>
        </is>
      </c>
      <c r="C4117" t="inlineStr">
        <is>
          <t>Acting Vice-President Prince Edward Island and Tourism</t>
        </is>
      </c>
      <c r="D4117" t="inlineStr">
        <is>
          <t xml:space="preserve">Vice-présidente par intérim, Île-du-Prince-Édouard </t>
        </is>
      </c>
      <c r="E4117" t="inlineStr">
        <is>
          <t>Sandra Lambe</t>
        </is>
      </c>
      <c r="F4117" t="inlineStr">
        <is>
          <t>Meetings with Government of Canada officials</t>
        </is>
      </c>
      <c r="G4117" t="inlineStr">
        <is>
          <t>Réunions avec des fonctionnaires du gouvernement du Canada</t>
        </is>
      </c>
      <c r="H4117" s="1" t="n">
        <v>42863</v>
      </c>
      <c r="I4117" s="1" t="n">
        <v>42864</v>
      </c>
      <c r="J4117" t="inlineStr">
        <is>
          <t>Moncton, New Brunswick</t>
        </is>
      </c>
      <c r="K4117" t="inlineStr">
        <is>
          <t>Moncton (Nouveau-Brunswick)</t>
        </is>
      </c>
      <c r="P4117" t="n">
        <v>0</v>
      </c>
      <c r="Q4117" t="n">
        <v>57.75</v>
      </c>
      <c r="R4117" t="n">
        <v>0</v>
      </c>
      <c r="S4117" t="n">
        <v>18.05</v>
      </c>
      <c r="T4117" t="n">
        <v>0</v>
      </c>
      <c r="U4117" t="n">
        <v>75.8</v>
      </c>
      <c r="X4117" t="inlineStr">
        <is>
          <t>acoa-apeca</t>
        </is>
      </c>
      <c r="Y4117" t="inlineStr">
        <is>
          <t>Atlantic Canada Opportunities Agency | Agence de promotion économique du Canada atlantique</t>
        </is>
      </c>
    </row>
    <row r="4118">
      <c r="A4118" t="inlineStr">
        <is>
          <t>T-2018-Q1-00019</t>
        </is>
      </c>
      <c r="B4118" t="inlineStr">
        <is>
          <t>SLE</t>
        </is>
      </c>
      <c r="C4118" t="inlineStr">
        <is>
          <t>Acting President</t>
        </is>
      </c>
      <c r="D4118" t="inlineStr">
        <is>
          <t>Président par intérim</t>
        </is>
      </c>
      <c r="E4118" t="inlineStr">
        <is>
          <t>Daryell Nowlan</t>
        </is>
      </c>
      <c r="F4118" t="inlineStr">
        <is>
          <t>Various meetings and discussions with Agency officials and Government of Canada officials</t>
        </is>
      </c>
      <c r="G4118" t="inlineStr">
        <is>
          <t xml:space="preserve">Diverses réunions et discussions avec des fonctionnaires de l'Agence et du gouvernement du Canada </t>
        </is>
      </c>
      <c r="H4118" s="1" t="n">
        <v>42857</v>
      </c>
      <c r="I4118" s="1" t="n">
        <v>42860</v>
      </c>
      <c r="J4118" t="inlineStr">
        <is>
          <t>Ottawa, Ontario</t>
        </is>
      </c>
      <c r="K4118" t="inlineStr">
        <is>
          <t>Ottawa (Ontario)</t>
        </is>
      </c>
      <c r="P4118" t="n">
        <v>685.4</v>
      </c>
      <c r="Q4118" t="n">
        <v>82</v>
      </c>
      <c r="R4118" t="n">
        <v>694.86</v>
      </c>
      <c r="S4118" t="n">
        <v>307.15</v>
      </c>
      <c r="T4118" t="n">
        <v>171.5</v>
      </c>
      <c r="U4118" t="n">
        <v>1940.91</v>
      </c>
      <c r="X4118" t="inlineStr">
        <is>
          <t>acoa-apeca</t>
        </is>
      </c>
      <c r="Y4118" t="inlineStr">
        <is>
          <t>Atlantic Canada Opportunities Agency | Agence de promotion économique du Canada atlantique</t>
        </is>
      </c>
    </row>
    <row r="4119">
      <c r="A4119" t="inlineStr">
        <is>
          <t>T-2018-Q1-00018</t>
        </is>
      </c>
      <c r="B4119" t="inlineStr">
        <is>
          <t>SLE</t>
        </is>
      </c>
      <c r="C4119" t="inlineStr">
        <is>
          <t>Acting Vice-President, Policy and Programs</t>
        </is>
      </c>
      <c r="D4119" t="inlineStr">
        <is>
          <t>Vice-présidente, Politiques et Programmes par intérim</t>
        </is>
      </c>
      <c r="E4119" t="inlineStr">
        <is>
          <t>Denise Frenette</t>
        </is>
      </c>
      <c r="F4119" t="inlineStr">
        <is>
          <t>Meetings with Government of Canada officials</t>
        </is>
      </c>
      <c r="G4119" t="inlineStr">
        <is>
          <t>Réunions avec des fonctionnaires du gouvernement du Canada</t>
        </is>
      </c>
      <c r="H4119" s="1" t="n">
        <v>42856</v>
      </c>
      <c r="I4119" s="1" t="n">
        <v>42858</v>
      </c>
      <c r="J4119" t="inlineStr">
        <is>
          <t>Ottawa, Ontario</t>
        </is>
      </c>
      <c r="K4119" t="inlineStr">
        <is>
          <t>Ottawa (Ontario)</t>
        </is>
      </c>
      <c r="P4119" t="n">
        <v>794.9400000000001</v>
      </c>
      <c r="Q4119" t="n">
        <v>115.4</v>
      </c>
      <c r="R4119" t="n">
        <v>393.38</v>
      </c>
      <c r="S4119" t="n">
        <v>214.2</v>
      </c>
      <c r="T4119" t="n">
        <v>0</v>
      </c>
      <c r="U4119" t="n">
        <v>1517.92</v>
      </c>
      <c r="X4119" t="inlineStr">
        <is>
          <t>acoa-apeca</t>
        </is>
      </c>
      <c r="Y4119" t="inlineStr">
        <is>
          <t>Atlantic Canada Opportunities Agency | Agence de promotion économique du Canada atlantique</t>
        </is>
      </c>
    </row>
    <row r="4120">
      <c r="A4120" t="inlineStr">
        <is>
          <t>T-2018-Q1-00017</t>
        </is>
      </c>
      <c r="B4120" t="inlineStr">
        <is>
          <t>SLE</t>
        </is>
      </c>
      <c r="C4120" t="inlineStr">
        <is>
          <t>Acting Vice-President Prince Edward Island and Tourism</t>
        </is>
      </c>
      <c r="D4120" t="inlineStr">
        <is>
          <t xml:space="preserve">Vice-présidente par intérim, Île-du-Prince-Édouard </t>
        </is>
      </c>
      <c r="E4120" t="inlineStr">
        <is>
          <t>Sandra Lambe</t>
        </is>
      </c>
      <c r="F4120" t="inlineStr">
        <is>
          <t>Meetings with Government of Canada officials</t>
        </is>
      </c>
      <c r="G4120" t="inlineStr">
        <is>
          <t>Réunions avec des fonctionnaires du gouvernement du Canada</t>
        </is>
      </c>
      <c r="H4120" s="1" t="n">
        <v>42845</v>
      </c>
      <c r="I4120" s="1" t="n">
        <v>42846</v>
      </c>
      <c r="J4120" t="inlineStr">
        <is>
          <t>Moncton, New Brunswick</t>
        </is>
      </c>
      <c r="K4120" t="inlineStr">
        <is>
          <t>Moncton (Nouveau-Brunswick)</t>
        </is>
      </c>
      <c r="P4120" t="n">
        <v>0</v>
      </c>
      <c r="Q4120" t="n">
        <v>58.85</v>
      </c>
      <c r="R4120" t="n">
        <v>129.1</v>
      </c>
      <c r="S4120" t="n">
        <v>98.59999999999999</v>
      </c>
      <c r="T4120" t="n">
        <v>0</v>
      </c>
      <c r="U4120" t="n">
        <v>286.55</v>
      </c>
      <c r="X4120" t="inlineStr">
        <is>
          <t>acoa-apeca</t>
        </is>
      </c>
      <c r="Y4120" t="inlineStr">
        <is>
          <t>Atlantic Canada Opportunities Agency | Agence de promotion économique du Canada atlantique</t>
        </is>
      </c>
    </row>
    <row r="4121">
      <c r="A4121" t="inlineStr">
        <is>
          <t>T-2018-Q1-00016</t>
        </is>
      </c>
      <c r="B4121" t="inlineStr">
        <is>
          <t>SLE</t>
        </is>
      </c>
      <c r="C4121" t="inlineStr">
        <is>
          <t>Acting Vice-President, Policy and Programs</t>
        </is>
      </c>
      <c r="D4121" t="inlineStr">
        <is>
          <t>Vice-présidente, Politiques et Programmes par intérim</t>
        </is>
      </c>
      <c r="E4121" t="inlineStr">
        <is>
          <t>Denise Frenette</t>
        </is>
      </c>
      <c r="F4121" t="inlineStr">
        <is>
          <t>Meetings with Government of Canada officials</t>
        </is>
      </c>
      <c r="G4121" t="inlineStr">
        <is>
          <t>Réunions avec des fonctionnaires du gouvernement du Canada</t>
        </is>
      </c>
      <c r="H4121" s="1" t="n">
        <v>42851</v>
      </c>
      <c r="I4121" s="1" t="n">
        <v>42854</v>
      </c>
      <c r="J4121" t="inlineStr">
        <is>
          <t>Ottawa, Ontario and Halifax, Nova Scotia</t>
        </is>
      </c>
      <c r="K4121" t="inlineStr">
        <is>
          <t>Ottawa (Ontario) et Halifax (Nouvelle-Écosse)</t>
        </is>
      </c>
      <c r="P4121" t="n">
        <v>667.8099999999999</v>
      </c>
      <c r="Q4121" t="n">
        <v>301.65</v>
      </c>
      <c r="R4121" t="n">
        <v>595.17</v>
      </c>
      <c r="S4121" t="n">
        <v>340.55</v>
      </c>
      <c r="T4121" t="n">
        <v>2.1</v>
      </c>
      <c r="U4121" t="n">
        <v>1907.28</v>
      </c>
      <c r="X4121" t="inlineStr">
        <is>
          <t>acoa-apeca</t>
        </is>
      </c>
      <c r="Y4121" t="inlineStr">
        <is>
          <t>Atlantic Canada Opportunities Agency | Agence de promotion économique du Canada atlantique</t>
        </is>
      </c>
    </row>
    <row r="4122">
      <c r="A4122" t="inlineStr">
        <is>
          <t>T-2013-Q3-00040</t>
        </is>
      </c>
      <c r="B4122" t="inlineStr">
        <is>
          <t>SLE</t>
        </is>
      </c>
      <c r="C4122" t="inlineStr">
        <is>
          <t>Senior Advisor (Energy)</t>
        </is>
      </c>
      <c r="D4122" t="inlineStr">
        <is>
          <t>Conseiller spécial (energie)</t>
        </is>
      </c>
      <c r="E4122" t="inlineStr">
        <is>
          <t>Andrew F. Noseworthy</t>
        </is>
      </c>
      <c r="F4122" t="inlineStr">
        <is>
          <t>New England Canada Business Council meetings</t>
        </is>
      </c>
      <c r="G4122" t="inlineStr">
        <is>
          <t>Réunions du New England Canada Business Council</t>
        </is>
      </c>
      <c r="H4122" s="1" t="n">
        <v>41186</v>
      </c>
      <c r="I4122" s="1" t="n">
        <v>41187</v>
      </c>
      <c r="J4122" t="inlineStr">
        <is>
          <t>Halifax, Nova Scotia</t>
        </is>
      </c>
      <c r="K4122" t="inlineStr">
        <is>
          <t>Halifax (Nouvelle-Écosse)</t>
        </is>
      </c>
      <c r="P4122" t="n">
        <v>882.5700000000001</v>
      </c>
      <c r="Q4122" t="n">
        <v>140</v>
      </c>
      <c r="R4122" t="n">
        <v>174.78</v>
      </c>
      <c r="S4122" t="n">
        <v>49.6</v>
      </c>
      <c r="T4122" t="n">
        <v>28</v>
      </c>
      <c r="U4122" t="n">
        <v>1274.95</v>
      </c>
      <c r="X4122" t="inlineStr">
        <is>
          <t>acoa-apeca</t>
        </is>
      </c>
      <c r="Y4122" t="inlineStr">
        <is>
          <t>Atlantic Canada Opportunities Agency | Agence de promotion économique du Canada atlantique</t>
        </is>
      </c>
    </row>
    <row r="4123">
      <c r="A4123" t="inlineStr">
        <is>
          <t>T-2018-Q1-00015</t>
        </is>
      </c>
      <c r="B4123" t="inlineStr">
        <is>
          <t>SLE</t>
        </is>
      </c>
      <c r="C4123" t="inlineStr">
        <is>
          <t>Vice-President, Newfoundland and Labrador</t>
        </is>
      </c>
      <c r="D4123" t="inlineStr">
        <is>
          <t>Vice-président, Terre-Neuve-et-Labrador</t>
        </is>
      </c>
      <c r="E4123" t="inlineStr">
        <is>
          <t>Ken Martin</t>
        </is>
      </c>
      <c r="F4123" t="inlineStr">
        <is>
          <t>Attend a vice-presidents' meeting along with various meetings with senior government officials in Ottawa</t>
        </is>
      </c>
      <c r="G4123" t="inlineStr">
        <is>
          <t>Assister à une réunion des vice-présidents et à des réunions diverses avec des hauts fonctionnaires à Ottawa</t>
        </is>
      </c>
      <c r="H4123" s="1" t="n">
        <v>42835</v>
      </c>
      <c r="I4123" s="1" t="n">
        <v>42838</v>
      </c>
      <c r="J4123" t="inlineStr">
        <is>
          <t>Ottawa, Ontario</t>
        </is>
      </c>
      <c r="K4123" t="inlineStr">
        <is>
          <t>Ottawa (Ontario)</t>
        </is>
      </c>
      <c r="P4123" t="n">
        <v>1451.39</v>
      </c>
      <c r="Q4123" t="n">
        <v>68.77</v>
      </c>
      <c r="R4123" t="n">
        <v>659.9400000000001</v>
      </c>
      <c r="S4123" t="n">
        <v>289.1</v>
      </c>
      <c r="T4123" t="n">
        <v>0</v>
      </c>
      <c r="U4123" t="n">
        <v>2469.2</v>
      </c>
      <c r="X4123" t="inlineStr">
        <is>
          <t>acoa-apeca</t>
        </is>
      </c>
      <c r="Y4123" t="inlineStr">
        <is>
          <t>Atlantic Canada Opportunities Agency | Agence de promotion économique du Canada atlantique</t>
        </is>
      </c>
    </row>
    <row r="4124">
      <c r="A4124" t="inlineStr">
        <is>
          <t>T-2018-Q1-00014</t>
        </is>
      </c>
      <c r="B4124" t="inlineStr">
        <is>
          <t>SLE</t>
        </is>
      </c>
      <c r="C4124" t="inlineStr">
        <is>
          <t>Acting Vice-President Prince Edward Island and Tourism</t>
        </is>
      </c>
      <c r="D4124" t="inlineStr">
        <is>
          <t xml:space="preserve">Vice-présidente par intérim, Île-du-Prince-Édouard </t>
        </is>
      </c>
      <c r="E4124" t="inlineStr">
        <is>
          <t>Sandra Lambe</t>
        </is>
      </c>
      <c r="F4124" t="inlineStr">
        <is>
          <t>Meetings with Government of Canada officials</t>
        </is>
      </c>
      <c r="G4124" t="inlineStr">
        <is>
          <t>Réunions avec des fonctionnaires du gouvernement du Canada</t>
        </is>
      </c>
      <c r="H4124" s="1" t="n">
        <v>42835</v>
      </c>
      <c r="I4124" s="1" t="n">
        <v>42837</v>
      </c>
      <c r="J4124" t="inlineStr">
        <is>
          <t>Ottawa, Ontario</t>
        </is>
      </c>
      <c r="K4124" t="inlineStr">
        <is>
          <t>Ottawa (Ontario)</t>
        </is>
      </c>
      <c r="P4124" t="n">
        <v>836.99</v>
      </c>
      <c r="Q4124" t="n">
        <v>86.51000000000001</v>
      </c>
      <c r="R4124" t="n">
        <v>416.68</v>
      </c>
      <c r="S4124" t="n">
        <v>196.15</v>
      </c>
      <c r="T4124" t="n">
        <v>0</v>
      </c>
      <c r="U4124" t="n">
        <v>1536.33</v>
      </c>
      <c r="X4124" t="inlineStr">
        <is>
          <t>acoa-apeca</t>
        </is>
      </c>
      <c r="Y4124" t="inlineStr">
        <is>
          <t>Atlantic Canada Opportunities Agency | Agence de promotion économique du Canada atlantique</t>
        </is>
      </c>
    </row>
    <row r="4125">
      <c r="A4125" t="inlineStr">
        <is>
          <t>T-2018-Q1-00013</t>
        </is>
      </c>
      <c r="B4125" t="inlineStr">
        <is>
          <t>SLE</t>
        </is>
      </c>
      <c r="C4125" t="inlineStr">
        <is>
          <t>Acting Vice-President, Policy and Programs</t>
        </is>
      </c>
      <c r="D4125" t="inlineStr">
        <is>
          <t>Vice-présidente, Politiques et Programmes par intérim</t>
        </is>
      </c>
      <c r="E4125" t="inlineStr">
        <is>
          <t>Denise Frenette</t>
        </is>
      </c>
      <c r="F4125" t="inlineStr">
        <is>
          <t>Meeting with Government of Canada officials</t>
        </is>
      </c>
      <c r="G4125" t="inlineStr">
        <is>
          <t>Réunion avec des fonctionnaires du gouvernement du Canada</t>
        </is>
      </c>
      <c r="H4125" s="1" t="n">
        <v>42843</v>
      </c>
      <c r="I4125" s="1" t="n">
        <v>42844</v>
      </c>
      <c r="J4125" t="inlineStr">
        <is>
          <t>Halifax, Nova Scotia</t>
        </is>
      </c>
      <c r="K4125" t="inlineStr">
        <is>
          <t>Halifax (Nouvelle-Écosse)</t>
        </is>
      </c>
      <c r="P4125" t="n">
        <v>0</v>
      </c>
      <c r="Q4125" t="n">
        <v>0</v>
      </c>
      <c r="R4125" t="n">
        <v>204.1</v>
      </c>
      <c r="S4125" t="n">
        <v>97.7</v>
      </c>
      <c r="T4125" t="n">
        <v>0</v>
      </c>
      <c r="U4125" t="n">
        <v>301.8</v>
      </c>
      <c r="X4125" t="inlineStr">
        <is>
          <t>acoa-apeca</t>
        </is>
      </c>
      <c r="Y4125" t="inlineStr">
        <is>
          <t>Atlantic Canada Opportunities Agency | Agence de promotion économique du Canada atlantique</t>
        </is>
      </c>
    </row>
    <row r="4126">
      <c r="A4126" t="inlineStr">
        <is>
          <t>T-2018-Q1-00012</t>
        </is>
      </c>
      <c r="B4126" t="inlineStr">
        <is>
          <t>SLE</t>
        </is>
      </c>
      <c r="C4126" t="inlineStr">
        <is>
          <t>Acting Vice-President, Policy and Programs</t>
        </is>
      </c>
      <c r="D4126" t="inlineStr">
        <is>
          <t>Vice-présidente, Politiques et Programmes par intérim</t>
        </is>
      </c>
      <c r="E4126" t="inlineStr">
        <is>
          <t>Denise Frenette</t>
        </is>
      </c>
      <c r="F4126" t="inlineStr">
        <is>
          <t>Meeting with Government of Canada officials</t>
        </is>
      </c>
      <c r="G4126" t="inlineStr">
        <is>
          <t>Réunion avec des fonctionnaires du gouvernement du Canada</t>
        </is>
      </c>
      <c r="H4126" s="1" t="n">
        <v>42835</v>
      </c>
      <c r="I4126" s="1" t="n">
        <v>42836</v>
      </c>
      <c r="J4126" t="inlineStr">
        <is>
          <t>Ottawa, Ontario</t>
        </is>
      </c>
      <c r="K4126" t="inlineStr">
        <is>
          <t>Ottawa (Ontario)</t>
        </is>
      </c>
      <c r="P4126" t="n">
        <v>0</v>
      </c>
      <c r="Q4126" t="n">
        <v>63.77</v>
      </c>
      <c r="R4126" t="n">
        <v>231.62</v>
      </c>
      <c r="S4126" t="n">
        <v>143.65</v>
      </c>
      <c r="T4126" t="n">
        <v>0</v>
      </c>
      <c r="U4126" t="n">
        <v>439.04</v>
      </c>
      <c r="X4126" t="inlineStr">
        <is>
          <t>acoa-apeca</t>
        </is>
      </c>
      <c r="Y4126" t="inlineStr">
        <is>
          <t>Atlantic Canada Opportunities Agency | Agence de promotion économique du Canada atlantique</t>
        </is>
      </c>
    </row>
    <row r="4127">
      <c r="A4127" t="inlineStr">
        <is>
          <t>T-2018-Q1-00011</t>
        </is>
      </c>
      <c r="B4127" t="inlineStr">
        <is>
          <t>SLE</t>
        </is>
      </c>
      <c r="C4127" t="inlineStr">
        <is>
          <t>Acting President</t>
        </is>
      </c>
      <c r="D4127" t="inlineStr">
        <is>
          <t>Président par intérim</t>
        </is>
      </c>
      <c r="E4127" t="inlineStr">
        <is>
          <t>Daryell Nowlan</t>
        </is>
      </c>
      <c r="F4127" t="inlineStr">
        <is>
          <t>Various meetings and discussions with Agency officials and Government of Canada Officials</t>
        </is>
      </c>
      <c r="G4127" t="inlineStr">
        <is>
          <t xml:space="preserve">Diverses réunions et discussions avec des fonctionnaires de l'Agence et du gouvernement du Canada </t>
        </is>
      </c>
      <c r="H4127" s="1" t="n">
        <v>42834</v>
      </c>
      <c r="I4127" s="1" t="n">
        <v>42837</v>
      </c>
      <c r="J4127" t="inlineStr">
        <is>
          <t>Ottawa, Ontario</t>
        </is>
      </c>
      <c r="K4127" t="inlineStr">
        <is>
          <t>Ottawa (Ontario)</t>
        </is>
      </c>
      <c r="P4127" t="n">
        <v>685.4</v>
      </c>
      <c r="Q4127" t="n">
        <v>60</v>
      </c>
      <c r="R4127" t="n">
        <v>694.86</v>
      </c>
      <c r="S4127" t="n">
        <v>197.2</v>
      </c>
      <c r="T4127" t="n">
        <v>115</v>
      </c>
      <c r="U4127" t="n">
        <v>1752.46</v>
      </c>
      <c r="X4127" t="inlineStr">
        <is>
          <t>acoa-apeca</t>
        </is>
      </c>
      <c r="Y4127" t="inlineStr">
        <is>
          <t>Atlantic Canada Opportunities Agency | Agence de promotion économique du Canada atlantique</t>
        </is>
      </c>
    </row>
    <row r="4128">
      <c r="A4128" t="inlineStr">
        <is>
          <t>T-2018-Q1-00010</t>
        </is>
      </c>
      <c r="B4128" t="inlineStr">
        <is>
          <t>SLE</t>
        </is>
      </c>
      <c r="C4128" t="inlineStr">
        <is>
          <t>Acting President</t>
        </is>
      </c>
      <c r="D4128" t="inlineStr">
        <is>
          <t>Président par intérim</t>
        </is>
      </c>
      <c r="E4128" t="inlineStr">
        <is>
          <t>Daryell Nowlan</t>
        </is>
      </c>
      <c r="F4128" t="inlineStr">
        <is>
          <t>Various meetings and discussions with Agency officials and Government of Canada officials</t>
        </is>
      </c>
      <c r="G4128" t="inlineStr">
        <is>
          <t xml:space="preserve">Diverses réunions et discussions avec des fonctionnaires de l'Agence et du gouvernement du Canada </t>
        </is>
      </c>
      <c r="H4128" s="1" t="n">
        <v>42829</v>
      </c>
      <c r="I4128" s="1" t="n">
        <v>42831</v>
      </c>
      <c r="J4128" t="inlineStr">
        <is>
          <t>Ottawa, Ontario</t>
        </is>
      </c>
      <c r="K4128" t="inlineStr">
        <is>
          <t>Ottawa (Ontario)</t>
        </is>
      </c>
      <c r="P4128" t="n">
        <v>685.4</v>
      </c>
      <c r="Q4128" t="n">
        <v>51</v>
      </c>
      <c r="R4128" t="n">
        <v>463.24</v>
      </c>
      <c r="S4128" t="n">
        <v>207.8</v>
      </c>
      <c r="T4128" t="n">
        <v>56.5</v>
      </c>
      <c r="U4128" t="n">
        <v>1463.94</v>
      </c>
      <c r="X4128" t="inlineStr">
        <is>
          <t>acoa-apeca</t>
        </is>
      </c>
      <c r="Y4128" t="inlineStr">
        <is>
          <t>Atlantic Canada Opportunities Agency | Agence de promotion économique du Canada atlantique</t>
        </is>
      </c>
    </row>
    <row r="4129">
      <c r="A4129" t="inlineStr">
        <is>
          <t>T-2018-Q1-00009</t>
        </is>
      </c>
      <c r="B4129" t="inlineStr">
        <is>
          <t>SLE</t>
        </is>
      </c>
      <c r="C4129" t="inlineStr">
        <is>
          <t>Acting Vice-President, Policy and Programs</t>
        </is>
      </c>
      <c r="D4129" t="inlineStr">
        <is>
          <t>Vice-présidente, Politiques et Programmes par intérim</t>
        </is>
      </c>
      <c r="E4129" t="inlineStr">
        <is>
          <t>Denise Frenette</t>
        </is>
      </c>
      <c r="F4129" t="inlineStr">
        <is>
          <t>Meetings with Government of Canada officials</t>
        </is>
      </c>
      <c r="G4129" t="inlineStr">
        <is>
          <t>Réunions avec des fonctionnaires du gouvernement du Canada</t>
        </is>
      </c>
      <c r="H4129" s="1" t="n">
        <v>42829</v>
      </c>
      <c r="I4129" s="1" t="n">
        <v>42832</v>
      </c>
      <c r="J4129" t="inlineStr">
        <is>
          <t>Ottawa, Ontario and Halifax, Nova Scotia</t>
        </is>
      </c>
      <c r="K4129" t="inlineStr">
        <is>
          <t>Ottawa (Ontario) et Halifax (Nouvelle-Écosse)</t>
        </is>
      </c>
      <c r="P4129" t="n">
        <v>1620.56</v>
      </c>
      <c r="Q4129" t="n">
        <v>265.8</v>
      </c>
      <c r="R4129" t="n">
        <v>626.24</v>
      </c>
      <c r="S4129" t="n">
        <v>294.6</v>
      </c>
      <c r="T4129" t="n">
        <v>0</v>
      </c>
      <c r="U4129" t="n">
        <v>2807.2</v>
      </c>
      <c r="X4129" t="inlineStr">
        <is>
          <t>acoa-apeca</t>
        </is>
      </c>
      <c r="Y4129" t="inlineStr">
        <is>
          <t>Atlantic Canada Opportunities Agency | Agence de promotion économique du Canada atlantique</t>
        </is>
      </c>
    </row>
    <row r="4130">
      <c r="A4130" t="inlineStr">
        <is>
          <t>T-2015-Q2-00009</t>
        </is>
      </c>
      <c r="B4130" t="inlineStr">
        <is>
          <t>SLE</t>
        </is>
      </c>
      <c r="C4130" t="inlineStr">
        <is>
          <t>Senior Advisor (Energy)</t>
        </is>
      </c>
      <c r="D4130" t="inlineStr">
        <is>
          <t>Conseiller spécial (energie)</t>
        </is>
      </c>
      <c r="E4130" t="inlineStr">
        <is>
          <t>Andrew F. Noseworthy</t>
        </is>
      </c>
      <c r="F4130" t="inlineStr">
        <is>
          <t>Attend Global Petroleum Show 2014; meetings with industry officials</t>
        </is>
      </c>
      <c r="G4130" t="inlineStr">
        <is>
          <t>Assister au Global Petroleum Show 2014; réunions avec des représentants de l'industrie</t>
        </is>
      </c>
      <c r="H4130" s="1" t="n">
        <v>41799</v>
      </c>
      <c r="I4130" s="1" t="n">
        <v>41803</v>
      </c>
      <c r="J4130" t="inlineStr">
        <is>
          <t>Calgary, Alberta</t>
        </is>
      </c>
      <c r="K4130" t="inlineStr">
        <is>
          <t>Calgary (Alberta)</t>
        </is>
      </c>
      <c r="P4130" t="n">
        <v>1177.42</v>
      </c>
      <c r="Q4130" t="n">
        <v>164</v>
      </c>
      <c r="R4130" t="n">
        <v>1252.92</v>
      </c>
      <c r="S4130" t="n">
        <v>316.65</v>
      </c>
      <c r="T4130" t="n">
        <v>0</v>
      </c>
      <c r="U4130" t="n">
        <v>2910.99</v>
      </c>
      <c r="X4130" t="inlineStr">
        <is>
          <t>acoa-apeca</t>
        </is>
      </c>
      <c r="Y4130" t="inlineStr">
        <is>
          <t>Atlantic Canada Opportunities Agency | Agence de promotion économique du Canada atlantique</t>
        </is>
      </c>
    </row>
    <row r="4131">
      <c r="A4131" t="inlineStr">
        <is>
          <t>T-2018-Q1-00007</t>
        </is>
      </c>
      <c r="B4131" t="inlineStr">
        <is>
          <t>SLE</t>
        </is>
      </c>
      <c r="C4131" t="inlineStr">
        <is>
          <t>Acting President</t>
        </is>
      </c>
      <c r="D4131" t="inlineStr">
        <is>
          <t>Président par intérim</t>
        </is>
      </c>
      <c r="E4131" t="inlineStr">
        <is>
          <t>Daryell Nowlan</t>
        </is>
      </c>
      <c r="F4131" t="inlineStr">
        <is>
          <t>Meeting with an Agency official and Government of Canada officials</t>
        </is>
      </c>
      <c r="G4131" t="inlineStr">
        <is>
          <t xml:space="preserve">Réunion avec un fonctionnaire de l'Agence et des fonctionnaires du gouvernement du Canada </t>
        </is>
      </c>
      <c r="H4131" s="1" t="n">
        <v>42824</v>
      </c>
      <c r="I4131" s="1" t="n">
        <v>42825</v>
      </c>
      <c r="J4131" t="inlineStr">
        <is>
          <t>Montreal, Quebec</t>
        </is>
      </c>
      <c r="K4131" t="inlineStr">
        <is>
          <t>Montréal (Québec)</t>
        </is>
      </c>
      <c r="P4131" t="n">
        <v>685.4</v>
      </c>
      <c r="Q4131" t="n">
        <v>115</v>
      </c>
      <c r="R4131" t="n">
        <v>208.26</v>
      </c>
      <c r="S4131" t="n">
        <v>142.95</v>
      </c>
      <c r="T4131" t="n">
        <v>0</v>
      </c>
      <c r="U4131" t="n">
        <v>1151.61</v>
      </c>
      <c r="X4131" t="inlineStr">
        <is>
          <t>acoa-apeca</t>
        </is>
      </c>
      <c r="Y4131" t="inlineStr">
        <is>
          <t>Atlantic Canada Opportunities Agency | Agence de promotion économique du Canada atlantique</t>
        </is>
      </c>
    </row>
    <row r="4132">
      <c r="A4132" t="inlineStr">
        <is>
          <t>T-2018-Q1-00006</t>
        </is>
      </c>
      <c r="B4132" t="inlineStr">
        <is>
          <t>SLE</t>
        </is>
      </c>
      <c r="C4132" t="inlineStr">
        <is>
          <t>Acting President</t>
        </is>
      </c>
      <c r="D4132" t="inlineStr">
        <is>
          <t>Président par intérim</t>
        </is>
      </c>
      <c r="E4132" t="inlineStr">
        <is>
          <t>Daryell Nowlan</t>
        </is>
      </c>
      <c r="F4132" t="inlineStr">
        <is>
          <t>Various meetings and discussions with Agency officials and Government of Canada officials</t>
        </is>
      </c>
      <c r="G4132" t="inlineStr">
        <is>
          <t xml:space="preserve">Diverses réunions et discussions avec des fonctionnaires de l'Agence et du gouvernement du Canada </t>
        </is>
      </c>
      <c r="H4132" s="1" t="n">
        <v>42815</v>
      </c>
      <c r="I4132" s="1" t="n">
        <v>42819</v>
      </c>
      <c r="J4132" t="inlineStr">
        <is>
          <t>Ottawa, Ontario</t>
        </is>
      </c>
      <c r="K4132" t="inlineStr">
        <is>
          <t>Ottawa (Ontario)</t>
        </is>
      </c>
      <c r="P4132" t="n">
        <v>644.1</v>
      </c>
      <c r="Q4132" t="n">
        <v>85</v>
      </c>
      <c r="R4132" t="n">
        <v>694.86</v>
      </c>
      <c r="S4132" t="n">
        <v>274.9</v>
      </c>
      <c r="T4132" t="n">
        <v>56.5</v>
      </c>
      <c r="U4132" t="n">
        <v>1755.36</v>
      </c>
      <c r="X4132" t="inlineStr">
        <is>
          <t>acoa-apeca</t>
        </is>
      </c>
      <c r="Y4132" t="inlineStr">
        <is>
          <t>Atlantic Canada Opportunities Agency | Agence de promotion économique du Canada atlantique</t>
        </is>
      </c>
    </row>
    <row r="4133">
      <c r="A4133" t="inlineStr">
        <is>
          <t>T-2018-Q1-00005</t>
        </is>
      </c>
      <c r="B4133" t="inlineStr">
        <is>
          <t>SLE</t>
        </is>
      </c>
      <c r="C4133" t="inlineStr">
        <is>
          <t>Acting Vice-President, Policy and Programs</t>
        </is>
      </c>
      <c r="D4133" t="inlineStr">
        <is>
          <t>Vice-présidente, Politiques et Programmes par intérim</t>
        </is>
      </c>
      <c r="E4133" t="inlineStr">
        <is>
          <t>Denise Frenette</t>
        </is>
      </c>
      <c r="F4133" t="inlineStr">
        <is>
          <t>Meeting with Government of Canada officials</t>
        </is>
      </c>
      <c r="G4133" t="inlineStr">
        <is>
          <t>Réunion avec des fonctionnaires du gouvernement du Canada</t>
        </is>
      </c>
      <c r="H4133" s="1" t="n">
        <v>42800</v>
      </c>
      <c r="I4133" s="1" t="n">
        <v>42801</v>
      </c>
      <c r="J4133" t="inlineStr">
        <is>
          <t>Halifax, Nova Scotia</t>
        </is>
      </c>
      <c r="K4133" t="inlineStr">
        <is>
          <t>Halifax (Nouvelle-Écosse)</t>
        </is>
      </c>
      <c r="P4133" t="n">
        <v>0</v>
      </c>
      <c r="Q4133" t="n">
        <v>86.33</v>
      </c>
      <c r="R4133" t="n">
        <v>157.18</v>
      </c>
      <c r="S4133" t="n">
        <v>114.4</v>
      </c>
      <c r="T4133" t="n">
        <v>0</v>
      </c>
      <c r="U4133" t="n">
        <v>357.91</v>
      </c>
      <c r="X4133" t="inlineStr">
        <is>
          <t>acoa-apeca</t>
        </is>
      </c>
      <c r="Y4133" t="inlineStr">
        <is>
          <t>Atlantic Canada Opportunities Agency | Agence de promotion économique du Canada atlantique</t>
        </is>
      </c>
    </row>
    <row r="4134">
      <c r="A4134" t="inlineStr">
        <is>
          <t>T-2018-Q1-00002</t>
        </is>
      </c>
      <c r="B4134" t="inlineStr">
        <is>
          <t>SLE</t>
        </is>
      </c>
      <c r="C4134" t="inlineStr">
        <is>
          <t>Acting President</t>
        </is>
      </c>
      <c r="D4134" t="inlineStr">
        <is>
          <t>Président par intérim</t>
        </is>
      </c>
      <c r="E4134" t="inlineStr">
        <is>
          <t>Daryell Nowlan</t>
        </is>
      </c>
      <c r="F4134" t="inlineStr">
        <is>
          <t>Meetings and discussions with Agency officials and Government of Canada officials</t>
        </is>
      </c>
      <c r="G4134" t="inlineStr">
        <is>
          <t>Réunions et discussions avec des fonctionnaires de l'Agence et du gouvernement du Canada</t>
        </is>
      </c>
      <c r="H4134" s="1" t="n">
        <v>42800</v>
      </c>
      <c r="I4134" s="1" t="n">
        <v>42802</v>
      </c>
      <c r="J4134" t="inlineStr">
        <is>
          <t>Halifax, Nova Scotia and Ottawa, Ontario</t>
        </is>
      </c>
      <c r="K4134" t="inlineStr">
        <is>
          <t>Halifax (Nouvelle-Écosse) et Ottawa (Ontario)</t>
        </is>
      </c>
      <c r="P4134" t="n">
        <v>1013.16</v>
      </c>
      <c r="Q4134" t="n">
        <v>105</v>
      </c>
      <c r="R4134" t="n">
        <v>383.03</v>
      </c>
      <c r="S4134" t="n">
        <v>160.25</v>
      </c>
      <c r="T4134" t="n">
        <v>0</v>
      </c>
      <c r="U4134" t="n">
        <v>1661.44</v>
      </c>
      <c r="X4134" t="inlineStr">
        <is>
          <t>acoa-apeca</t>
        </is>
      </c>
      <c r="Y4134" t="inlineStr">
        <is>
          <t>Atlantic Canada Opportunities Agency | Agence de promotion économique du Canada atlantique</t>
        </is>
      </c>
    </row>
    <row r="4135">
      <c r="A4135" t="inlineStr">
        <is>
          <t>T-2018-Q1-00001</t>
        </is>
      </c>
      <c r="B4135" t="inlineStr">
        <is>
          <t>SLE</t>
        </is>
      </c>
      <c r="C4135" t="inlineStr">
        <is>
          <t>Acting President</t>
        </is>
      </c>
      <c r="D4135" t="inlineStr">
        <is>
          <t>Président par intérim</t>
        </is>
      </c>
      <c r="E4135" t="inlineStr">
        <is>
          <t>Daryell Nowlan</t>
        </is>
      </c>
      <c r="F4135" t="inlineStr">
        <is>
          <t>Meeting and discussions with Government of Canada officials</t>
        </is>
      </c>
      <c r="G4135" t="inlineStr">
        <is>
          <t>Réunion et discussions avec des fonctionnaires du gouvernement du Canada</t>
        </is>
      </c>
      <c r="H4135" s="1" t="n">
        <v>42796</v>
      </c>
      <c r="I4135" s="1" t="n">
        <v>42797</v>
      </c>
      <c r="J4135" t="inlineStr">
        <is>
          <t>Ottawa, Ontario</t>
        </is>
      </c>
      <c r="K4135" t="inlineStr">
        <is>
          <t>Ottawa (Ontario)</t>
        </is>
      </c>
      <c r="P4135" t="n">
        <v>838.33</v>
      </c>
      <c r="Q4135" t="n">
        <v>80</v>
      </c>
      <c r="R4135" t="n">
        <v>231.62</v>
      </c>
      <c r="S4135" t="n">
        <v>142.95</v>
      </c>
      <c r="T4135" t="n">
        <v>34.21</v>
      </c>
      <c r="U4135" t="n">
        <v>1327.11</v>
      </c>
      <c r="X4135" t="inlineStr">
        <is>
          <t>acoa-apeca</t>
        </is>
      </c>
      <c r="Y4135" t="inlineStr">
        <is>
          <t>Atlantic Canada Opportunities Agency | Agence de promotion économique du Canada atlantique</t>
        </is>
      </c>
    </row>
    <row r="4136">
      <c r="A4136" t="inlineStr">
        <is>
          <t>T-2017-Q4-00042</t>
        </is>
      </c>
      <c r="B4136" t="inlineStr">
        <is>
          <t>SLE</t>
        </is>
      </c>
      <c r="C4136" t="inlineStr">
        <is>
          <t>Acting Vice-President, Nova-Scotia</t>
        </is>
      </c>
      <c r="D4136" t="inlineStr">
        <is>
          <t>Vice-président par intérim, Nouvelle-Écosse</t>
        </is>
      </c>
      <c r="E4136" t="inlineStr">
        <is>
          <t>Patrick Dorsey</t>
        </is>
      </c>
      <c r="F4136" t="inlineStr">
        <is>
          <t>Assignment in Halifax</t>
        </is>
      </c>
      <c r="G4136" t="inlineStr">
        <is>
          <t>Affectation à Halifax</t>
        </is>
      </c>
      <c r="H4136" s="1" t="n">
        <v>42795</v>
      </c>
      <c r="I4136" s="1" t="n">
        <v>42825</v>
      </c>
      <c r="J4136" t="inlineStr">
        <is>
          <t>Halifax, Nova Scotia</t>
        </is>
      </c>
      <c r="K4136" t="inlineStr">
        <is>
          <t>Halifax (Nouvelle-Écosse)</t>
        </is>
      </c>
      <c r="P4136" t="n">
        <v>374.75</v>
      </c>
      <c r="Q4136" t="n">
        <v>84.56999999999999</v>
      </c>
      <c r="R4136" t="n">
        <v>3410</v>
      </c>
      <c r="S4136" t="n">
        <v>1558.1</v>
      </c>
      <c r="T4136" t="n">
        <v>0</v>
      </c>
      <c r="U4136" t="n">
        <v>5427.42</v>
      </c>
      <c r="X4136" t="inlineStr">
        <is>
          <t>acoa-apeca</t>
        </is>
      </c>
      <c r="Y4136" t="inlineStr">
        <is>
          <t>Atlantic Canada Opportunities Agency | Agence de promotion économique du Canada atlantique</t>
        </is>
      </c>
    </row>
    <row r="4137">
      <c r="A4137" t="inlineStr">
        <is>
          <t>T-2017-Q3-00052</t>
        </is>
      </c>
      <c r="B4137" t="inlineStr">
        <is>
          <t>SLE</t>
        </is>
      </c>
      <c r="C4137" t="inlineStr">
        <is>
          <t>Senior Advisor (Energy)</t>
        </is>
      </c>
      <c r="D4137" t="inlineStr">
        <is>
          <t>Conseiller spécial (energie)</t>
        </is>
      </c>
      <c r="E4137" t="inlineStr">
        <is>
          <t>Andrew F. Noseworthy</t>
        </is>
      </c>
      <c r="F4137" t="inlineStr">
        <is>
          <t>Attend the 2016 Canada-Europe Energy Summit</t>
        </is>
      </c>
      <c r="G4137" t="inlineStr">
        <is>
          <t>Assister au Sommet canado-européen sur l'énergie de 2016</t>
        </is>
      </c>
      <c r="H4137" s="1" t="n">
        <v>42693</v>
      </c>
      <c r="I4137" s="1" t="n">
        <v>42697</v>
      </c>
      <c r="J4137" t="inlineStr">
        <is>
          <t>London, United Kingdom</t>
        </is>
      </c>
      <c r="K4137" t="inlineStr">
        <is>
          <t>Londres (Royaume-Uni)</t>
        </is>
      </c>
      <c r="P4137" t="n">
        <v>960.61</v>
      </c>
      <c r="Q4137" t="n">
        <v>351.1</v>
      </c>
      <c r="R4137" t="n">
        <v>1109.89</v>
      </c>
      <c r="S4137" t="n">
        <v>614.49</v>
      </c>
      <c r="T4137" t="n">
        <v>5.25</v>
      </c>
      <c r="U4137" t="n">
        <v>3041.34</v>
      </c>
      <c r="X4137" t="inlineStr">
        <is>
          <t>acoa-apeca</t>
        </is>
      </c>
      <c r="Y4137" t="inlineStr">
        <is>
          <t>Atlantic Canada Opportunities Agency | Agence de promotion économique du Canada atlantique</t>
        </is>
      </c>
    </row>
    <row r="4138">
      <c r="A4138" t="inlineStr">
        <is>
          <t>T-2017-Q3-00048</t>
        </is>
      </c>
      <c r="B4138" t="inlineStr">
        <is>
          <t>SLE</t>
        </is>
      </c>
      <c r="C4138" t="inlineStr">
        <is>
          <t>Senior Advisor (Energy)</t>
        </is>
      </c>
      <c r="D4138" t="inlineStr">
        <is>
          <t>Conseiller spécial (energie)</t>
        </is>
      </c>
      <c r="E4138" t="inlineStr">
        <is>
          <t>Andrew F. Noseworthy</t>
        </is>
      </c>
      <c r="F4138" t="inlineStr">
        <is>
          <t>Attend the New England-Canada Business Council's Energy, Trade and Technology Conference; meetings with Canadian Consulate and industry officials in Boston</t>
        </is>
      </c>
      <c r="G4138" t="inlineStr">
        <is>
          <t>Conférence sur l'énergie, le commerce et la technologie du New England-Canada Business Council; réunions avec le Consulat du Canada et des représentants de l'industrie à Boston</t>
        </is>
      </c>
      <c r="H4138" s="1" t="n">
        <v>42687</v>
      </c>
      <c r="I4138" s="1" t="n">
        <v>42692</v>
      </c>
      <c r="J4138" t="inlineStr">
        <is>
          <t>Boston, Massachusetts and Ottawa, Ontario</t>
        </is>
      </c>
      <c r="K4138" t="inlineStr">
        <is>
          <t>Boston (Massachusetts) et Ottawa (Ontario)</t>
        </is>
      </c>
      <c r="P4138" t="n">
        <v>1402.06</v>
      </c>
      <c r="Q4138" t="n">
        <v>194.9</v>
      </c>
      <c r="R4138" t="n">
        <v>947.73</v>
      </c>
      <c r="S4138" t="n">
        <v>438.98</v>
      </c>
      <c r="T4138" t="n">
        <v>58.75</v>
      </c>
      <c r="U4138" t="n">
        <v>3042.42</v>
      </c>
      <c r="X4138" t="inlineStr">
        <is>
          <t>acoa-apeca</t>
        </is>
      </c>
      <c r="Y4138" t="inlineStr">
        <is>
          <t>Atlantic Canada Opportunities Agency | Agence de promotion économique du Canada atlantique</t>
        </is>
      </c>
    </row>
    <row r="4139">
      <c r="A4139" t="inlineStr">
        <is>
          <t>T-2012-Q1-00071</t>
        </is>
      </c>
      <c r="B4139" t="inlineStr">
        <is>
          <t>SLE</t>
        </is>
      </c>
      <c r="C4139" t="inlineStr">
        <is>
          <t>Acting Senior Vice-President</t>
        </is>
      </c>
      <c r="D4139" t="inlineStr">
        <is>
          <t>Vice-président principal par intérim</t>
        </is>
      </c>
      <c r="E4139" t="inlineStr">
        <is>
          <t>David Slade</t>
        </is>
      </c>
      <c r="F4139" t="inlineStr">
        <is>
          <t>Meeting with Government of Canada officials</t>
        </is>
      </c>
      <c r="G4139" t="inlineStr">
        <is>
          <t>Réunion avec des fonctionnaires du gouvernement du Canada</t>
        </is>
      </c>
      <c r="H4139" s="1" t="n">
        <v>40693</v>
      </c>
      <c r="I4139" s="1" t="n">
        <v>40695</v>
      </c>
      <c r="J4139" t="inlineStr">
        <is>
          <t>Ottawa, Ontario</t>
        </is>
      </c>
      <c r="K4139" t="inlineStr">
        <is>
          <t>Ottawa (Ontario)</t>
        </is>
      </c>
      <c r="P4139" t="n">
        <v>645.1900000000001</v>
      </c>
      <c r="Q4139" t="n">
        <v>68.90000000000001</v>
      </c>
      <c r="R4139" t="n">
        <v>348.04</v>
      </c>
      <c r="S4139" t="n">
        <v>195.87</v>
      </c>
      <c r="T4139" t="n">
        <v>0</v>
      </c>
      <c r="U4139" t="n">
        <v>1258</v>
      </c>
      <c r="X4139" t="inlineStr">
        <is>
          <t>acoa-apeca</t>
        </is>
      </c>
      <c r="Y4139" t="inlineStr">
        <is>
          <t>Atlantic Canada Opportunities Agency | Agence de promotion économique du Canada atlantique</t>
        </is>
      </c>
    </row>
    <row r="4140">
      <c r="A4140" t="inlineStr">
        <is>
          <t>T-2017-Q2-00034</t>
        </is>
      </c>
      <c r="B4140" t="inlineStr">
        <is>
          <t>SLE</t>
        </is>
      </c>
      <c r="C4140" t="inlineStr">
        <is>
          <t>Senior Advisor (Energy)</t>
        </is>
      </c>
      <c r="D4140" t="inlineStr">
        <is>
          <t>Conseiller spécial (energie)</t>
        </is>
      </c>
      <c r="E4140" t="inlineStr">
        <is>
          <t>Andrew F. Noseworthy</t>
        </is>
      </c>
      <c r="F4140" t="inlineStr">
        <is>
          <t>Attend Offshore Northern Seas 2016 Conference, and attend industry meetings in Norway; meeting with High Commission officials in London</t>
        </is>
      </c>
      <c r="G4140" t="inlineStr">
        <is>
          <t>Assister à la conférence Offshore Northern Seas 2016 et à des réunions de l'industrie en Norvège; réunion avec des représentants du Haut-Commissariat à Londres</t>
        </is>
      </c>
      <c r="H4140" s="1" t="n">
        <v>42608</v>
      </c>
      <c r="I4140" s="1" t="n">
        <v>42616</v>
      </c>
      <c r="J4140" t="inlineStr">
        <is>
          <t>Stavanger, Norway; Bergen, Norway; London, United Kingdom</t>
        </is>
      </c>
      <c r="K4140" t="inlineStr">
        <is>
          <t>Stavanger (Norvège); Bergen (Norvège); Londres (Royaume-Uni)</t>
        </is>
      </c>
      <c r="P4140" t="n">
        <v>2237.16</v>
      </c>
      <c r="Q4140" t="n">
        <v>951.09</v>
      </c>
      <c r="R4140" t="n">
        <v>2443.06</v>
      </c>
      <c r="S4140" t="n">
        <v>1157.08</v>
      </c>
      <c r="T4140" t="n">
        <v>0</v>
      </c>
      <c r="U4140" t="n">
        <v>6788.39</v>
      </c>
      <c r="X4140" t="inlineStr">
        <is>
          <t>acoa-apeca</t>
        </is>
      </c>
      <c r="Y4140" t="inlineStr">
        <is>
          <t>Atlantic Canada Opportunities Agency | Agence de promotion économique du Canada atlantique</t>
        </is>
      </c>
    </row>
    <row r="4141">
      <c r="A4141" t="inlineStr">
        <is>
          <t>T-2017-Q1-00034</t>
        </is>
      </c>
      <c r="B4141" t="inlineStr">
        <is>
          <t>SLE</t>
        </is>
      </c>
      <c r="C4141" t="inlineStr">
        <is>
          <t>Senior Advisor (Energy)</t>
        </is>
      </c>
      <c r="D4141" t="inlineStr">
        <is>
          <t>Conseiller spécial (energie)</t>
        </is>
      </c>
      <c r="E4141" t="inlineStr">
        <is>
          <t>Andrew F. Noseworthy</t>
        </is>
      </c>
      <c r="F4141" t="inlineStr">
        <is>
          <t>Attend Offshore Technology Conference 2016</t>
        </is>
      </c>
      <c r="G4141" t="inlineStr">
        <is>
          <t>Assister à l'Offshore Technology Conference 2016</t>
        </is>
      </c>
      <c r="H4141" s="1" t="n">
        <v>42489</v>
      </c>
      <c r="I4141" s="1" t="n">
        <v>42497</v>
      </c>
      <c r="J4141" t="inlineStr">
        <is>
          <t>Houston, Texas</t>
        </is>
      </c>
      <c r="K4141" t="inlineStr">
        <is>
          <t>Houston, Texas</t>
        </is>
      </c>
      <c r="P4141" t="n">
        <v>1319.94</v>
      </c>
      <c r="Q4141" t="n">
        <v>590.3099999999999</v>
      </c>
      <c r="R4141" t="n">
        <v>3288.14</v>
      </c>
      <c r="S4141" t="n">
        <v>794.7</v>
      </c>
      <c r="T4141" t="n">
        <v>0</v>
      </c>
      <c r="U4141" t="n">
        <v>5993.09</v>
      </c>
      <c r="X4141" t="inlineStr">
        <is>
          <t>acoa-apeca</t>
        </is>
      </c>
      <c r="Y4141" t="inlineStr">
        <is>
          <t>Atlantic Canada Opportunities Agency | Agence de promotion économique du Canada atlantique</t>
        </is>
      </c>
    </row>
    <row r="4142">
      <c r="A4142" t="inlineStr">
        <is>
          <t>T-2017-Q1-00021</t>
        </is>
      </c>
      <c r="B4142" t="inlineStr">
        <is>
          <t>SLE</t>
        </is>
      </c>
      <c r="C4142" t="inlineStr">
        <is>
          <t>Senior Advisor (Energy)</t>
        </is>
      </c>
      <c r="D4142" t="inlineStr">
        <is>
          <t>Conseiller spécial (energie)</t>
        </is>
      </c>
      <c r="E4142" t="inlineStr">
        <is>
          <t>Andrew F. Noseworthy</t>
        </is>
      </c>
      <c r="F4142" t="inlineStr">
        <is>
          <t>Meetings with First Ministers' Working Group on Clean Technology, Innovation and Jobs</t>
        </is>
      </c>
      <c r="G4142" t="inlineStr">
        <is>
          <t>Réunions avec le Groupe de travail des premiers ministres sur les technologies propres, l'innovation et l'emploi</t>
        </is>
      </c>
      <c r="H4142" s="1" t="n">
        <v>42471</v>
      </c>
      <c r="I4142" s="1" t="n">
        <v>42472</v>
      </c>
      <c r="J4142" t="inlineStr">
        <is>
          <t>Ottawa, Ontario</t>
        </is>
      </c>
      <c r="K4142" t="inlineStr">
        <is>
          <t>Ottawa (Ontario)</t>
        </is>
      </c>
      <c r="P4142" t="n">
        <v>830.8200000000001</v>
      </c>
      <c r="Q4142" t="n">
        <v>78</v>
      </c>
      <c r="R4142" t="n">
        <v>181.57</v>
      </c>
      <c r="S4142" t="n">
        <v>175.4</v>
      </c>
      <c r="T4142" t="n">
        <v>28</v>
      </c>
      <c r="U4142" t="n">
        <v>1293.79</v>
      </c>
      <c r="X4142" t="inlineStr">
        <is>
          <t>acoa-apeca</t>
        </is>
      </c>
      <c r="Y4142" t="inlineStr">
        <is>
          <t>Atlantic Canada Opportunities Agency | Agence de promotion économique du Canada atlantique</t>
        </is>
      </c>
    </row>
    <row r="4143">
      <c r="A4143" t="inlineStr">
        <is>
          <t>T-2017-Q1-00018</t>
        </is>
      </c>
      <c r="B4143" t="inlineStr">
        <is>
          <t>SLE</t>
        </is>
      </c>
      <c r="C4143" t="inlineStr">
        <is>
          <t>Senior Advisor (Energy)</t>
        </is>
      </c>
      <c r="D4143" t="inlineStr">
        <is>
          <t>Conseiller spécial (energie)</t>
        </is>
      </c>
      <c r="E4143" t="inlineStr">
        <is>
          <t>Andrew F. Noseworthy</t>
        </is>
      </c>
      <c r="F4143" t="inlineStr">
        <is>
          <t>Meetings with First Ministers' Working Group on Clean Technology, Innovation and Jobs</t>
        </is>
      </c>
      <c r="G4143" t="inlineStr">
        <is>
          <t>Réunions avec le Groupe de travail des premiers ministres sur les technologies propres, l'innovation et l'emploi</t>
        </is>
      </c>
      <c r="H4143" s="1" t="n">
        <v>42465</v>
      </c>
      <c r="I4143" s="1" t="n">
        <v>42467</v>
      </c>
      <c r="J4143" t="inlineStr">
        <is>
          <t>Ottawa, Ontario</t>
        </is>
      </c>
      <c r="K4143" t="inlineStr">
        <is>
          <t>Ottawa (Ontario)</t>
        </is>
      </c>
      <c r="P4143" t="n">
        <v>1057</v>
      </c>
      <c r="Q4143" t="n">
        <v>70</v>
      </c>
      <c r="R4143" t="n">
        <v>447.21</v>
      </c>
      <c r="S4143" t="n">
        <v>181.5</v>
      </c>
      <c r="T4143" t="n">
        <v>44.26</v>
      </c>
      <c r="U4143" t="n">
        <v>1799.97</v>
      </c>
      <c r="X4143" t="inlineStr">
        <is>
          <t>acoa-apeca</t>
        </is>
      </c>
      <c r="Y4143" t="inlineStr">
        <is>
          <t>Atlantic Canada Opportunities Agency | Agence de promotion économique du Canada atlantique</t>
        </is>
      </c>
    </row>
    <row r="4144">
      <c r="A4144" t="inlineStr">
        <is>
          <t>T-2017-Q1-00014</t>
        </is>
      </c>
      <c r="B4144" t="inlineStr">
        <is>
          <t>SLE</t>
        </is>
      </c>
      <c r="C4144" t="inlineStr">
        <is>
          <t>Senior Advisor (Energy)</t>
        </is>
      </c>
      <c r="D4144" t="inlineStr">
        <is>
          <t>Conseiller spécial (energie)</t>
        </is>
      </c>
      <c r="E4144" t="inlineStr">
        <is>
          <t>Andrew F. Noseworthy</t>
        </is>
      </c>
      <c r="F4144" t="inlineStr">
        <is>
          <t>Energy meetings with officials from Nova Scotia Department of Energy; meeting with Nova Scotia Agency staff</t>
        </is>
      </c>
      <c r="G4144" t="inlineStr">
        <is>
          <t>Réunions sur l'énergie avec des fonctionnaires du ministère de l'Énergie de la Nouvelle-Écosse; réunion avec des employés de l'Agence en Nouvelle-Écosse</t>
        </is>
      </c>
      <c r="H4144" s="1" t="n">
        <v>42458</v>
      </c>
      <c r="I4144" s="1" t="n">
        <v>42459</v>
      </c>
      <c r="J4144" t="inlineStr">
        <is>
          <t>Halifax, Nova Scotia</t>
        </is>
      </c>
      <c r="K4144" t="inlineStr">
        <is>
          <t>Halifax (Nouvelle-Écosse)</t>
        </is>
      </c>
      <c r="P4144" t="n">
        <v>1295.32</v>
      </c>
      <c r="Q4144" t="n">
        <v>150</v>
      </c>
      <c r="R4144" t="n">
        <v>151.32</v>
      </c>
      <c r="S4144" t="n">
        <v>95.8</v>
      </c>
      <c r="T4144" t="n">
        <v>24.75</v>
      </c>
      <c r="U4144" t="n">
        <v>1717.19</v>
      </c>
      <c r="X4144" t="inlineStr">
        <is>
          <t>acoa-apeca</t>
        </is>
      </c>
      <c r="Y4144" t="inlineStr">
        <is>
          <t>Atlantic Canada Opportunities Agency | Agence de promotion économique du Canada atlantique</t>
        </is>
      </c>
    </row>
    <row r="4145">
      <c r="A4145" t="inlineStr">
        <is>
          <t>T-2017-Q1-00010</t>
        </is>
      </c>
      <c r="B4145" t="inlineStr">
        <is>
          <t>SLE</t>
        </is>
      </c>
      <c r="C4145" t="inlineStr">
        <is>
          <t>Senior Advisor (Energy)</t>
        </is>
      </c>
      <c r="D4145" t="inlineStr">
        <is>
          <t>Conseiller spécial (energie)</t>
        </is>
      </c>
      <c r="E4145" t="inlineStr">
        <is>
          <t>Andrew F. Noseworthy</t>
        </is>
      </c>
      <c r="F4145" t="inlineStr">
        <is>
          <t>Meetings with officials from the Department of Innovation, Science and Economic Development and Natural Resources Canada</t>
        </is>
      </c>
      <c r="G4145" t="inlineStr">
        <is>
          <t>Réunions avec des fonctionnaires du ministère de l'Innovation, des Sciences et du Développement économique et de Ressources naturelles Canada</t>
        </is>
      </c>
      <c r="H4145" s="1" t="n">
        <v>42450</v>
      </c>
      <c r="I4145" s="1" t="n">
        <v>42451</v>
      </c>
      <c r="J4145" t="inlineStr">
        <is>
          <t>Ottawa, Ontario</t>
        </is>
      </c>
      <c r="K4145" t="inlineStr">
        <is>
          <t>Ottawa (Ontario)</t>
        </is>
      </c>
      <c r="P4145" t="n">
        <v>1294.67</v>
      </c>
      <c r="Q4145" t="n">
        <v>97.5</v>
      </c>
      <c r="R4145" t="n">
        <v>196.7</v>
      </c>
      <c r="S4145" t="n">
        <v>190.1</v>
      </c>
      <c r="T4145" t="n">
        <v>28</v>
      </c>
      <c r="U4145" t="n">
        <v>1806.97</v>
      </c>
      <c r="X4145" t="inlineStr">
        <is>
          <t>acoa-apeca</t>
        </is>
      </c>
      <c r="Y4145" t="inlineStr">
        <is>
          <t>Atlantic Canada Opportunities Agency | Agence de promotion économique du Canada atlantique</t>
        </is>
      </c>
    </row>
    <row r="4146">
      <c r="A4146" t="inlineStr">
        <is>
          <t>T-2017-Q1-00007</t>
        </is>
      </c>
      <c r="B4146" t="inlineStr">
        <is>
          <t>SLE</t>
        </is>
      </c>
      <c r="C4146" t="inlineStr">
        <is>
          <t>Senior Advisor (Energy)</t>
        </is>
      </c>
      <c r="D4146" t="inlineStr">
        <is>
          <t>Conseiller spécial (energie)</t>
        </is>
      </c>
      <c r="E4146" t="inlineStr">
        <is>
          <t>Andrew F. Noseworthy</t>
        </is>
      </c>
      <c r="F4146" t="inlineStr">
        <is>
          <t>Meetings with officials from the Department of Innovation, Science and Economic Development and Natural Resources Canada</t>
        </is>
      </c>
      <c r="G4146" t="inlineStr">
        <is>
          <t>Réunions avec des fonctionnaires du ministère de l'Innovation, des Sciences et du Développement économique et de Ressources naturelles Canada</t>
        </is>
      </c>
      <c r="H4146" s="1" t="n">
        <v>42443</v>
      </c>
      <c r="I4146" s="1" t="n">
        <v>42444</v>
      </c>
      <c r="J4146" t="inlineStr">
        <is>
          <t>Ottawa, Ontario</t>
        </is>
      </c>
      <c r="K4146" t="inlineStr">
        <is>
          <t>Ottawa (Ontario)</t>
        </is>
      </c>
      <c r="P4146" t="n">
        <v>817.3200000000001</v>
      </c>
      <c r="Q4146" t="n">
        <v>100</v>
      </c>
      <c r="R4146" t="n">
        <v>176.91</v>
      </c>
      <c r="S4146" t="n">
        <v>173.55</v>
      </c>
      <c r="T4146" t="n">
        <v>28</v>
      </c>
      <c r="U4146" t="n">
        <v>1295.78</v>
      </c>
      <c r="X4146" t="inlineStr">
        <is>
          <t>acoa-apeca</t>
        </is>
      </c>
      <c r="Y4146" t="inlineStr">
        <is>
          <t>Atlantic Canada Opportunities Agency | Agence de promotion économique du Canada atlantique</t>
        </is>
      </c>
    </row>
    <row r="4147">
      <c r="A4147" t="inlineStr">
        <is>
          <t>T-2016-Q4-00042</t>
        </is>
      </c>
      <c r="B4147" t="inlineStr">
        <is>
          <t>SLE</t>
        </is>
      </c>
      <c r="C4147" t="inlineStr">
        <is>
          <t>Senior Advisor (Energy)</t>
        </is>
      </c>
      <c r="D4147" t="inlineStr">
        <is>
          <t>Conseiller spécial (energie)</t>
        </is>
      </c>
      <c r="E4147" t="inlineStr">
        <is>
          <t>Andrew F. Noseworthy</t>
        </is>
      </c>
      <c r="F4147" t="inlineStr">
        <is>
          <t>Atlantic Canada Energy Sector Trade-Related Events in Edinburgh and Aberdeen; and Atlantic Energy meetings with Canadian High Commission</t>
        </is>
      </c>
      <c r="G4147" t="inlineStr">
        <is>
          <t>Activités commerciales liés au secteur de l'énergie du Canada atlantique à Édimbourg et à Aberdeen; réunions sur l'énergie de l'Atlantique avec le Haut-commissariat du Canada</t>
        </is>
      </c>
      <c r="H4147" s="1" t="n">
        <v>42420</v>
      </c>
      <c r="I4147" s="1" t="n">
        <v>42427</v>
      </c>
      <c r="J4147" t="inlineStr">
        <is>
          <t>London, United Kingdom; Edinburgh, United Kingdom; Aberdeen, United Kingdom; London, United Kingdom</t>
        </is>
      </c>
      <c r="K4147" t="inlineStr">
        <is>
          <t>Londres, Royaume-Uni; Édimbourg, Royaume-Uni; Aberdeen, Royaume-Uni; Londres, Royaume-Uni</t>
        </is>
      </c>
      <c r="P4147" t="n">
        <v>1828.22</v>
      </c>
      <c r="Q4147" t="n">
        <v>438.73</v>
      </c>
      <c r="R4147" t="n">
        <v>1915.68</v>
      </c>
      <c r="S4147" t="n">
        <v>1372.52</v>
      </c>
      <c r="T4147" t="n">
        <v>0</v>
      </c>
      <c r="U4147" t="n">
        <v>5555.15</v>
      </c>
      <c r="X4147" t="inlineStr">
        <is>
          <t>acoa-apeca</t>
        </is>
      </c>
      <c r="Y4147" t="inlineStr">
        <is>
          <t>Atlantic Canada Opportunities Agency | Agence de promotion économique du Canada atlantique</t>
        </is>
      </c>
    </row>
    <row r="4148">
      <c r="A4148" t="inlineStr">
        <is>
          <t>T-2016-Q4-00039</t>
        </is>
      </c>
      <c r="B4148" t="inlineStr">
        <is>
          <t>SLE</t>
        </is>
      </c>
      <c r="C4148" t="inlineStr">
        <is>
          <t>Senior Advisor (Energy)</t>
        </is>
      </c>
      <c r="D4148" t="inlineStr">
        <is>
          <t>Conseiller spécial (energie)</t>
        </is>
      </c>
      <c r="E4148" t="inlineStr">
        <is>
          <t>Andrew F. Noseworthy</t>
        </is>
      </c>
      <c r="F4148" t="inlineStr">
        <is>
          <t>Meeting with Agency and other government officials</t>
        </is>
      </c>
      <c r="G4148" t="inlineStr">
        <is>
          <t>Réunion avec des fonctionnaires de l'Agence et du gouvernement</t>
        </is>
      </c>
      <c r="H4148" s="1" t="n">
        <v>42417</v>
      </c>
      <c r="I4148" s="1" t="n">
        <v>42418</v>
      </c>
      <c r="J4148" t="inlineStr">
        <is>
          <t>Ottawa, Ontario</t>
        </is>
      </c>
      <c r="K4148" t="inlineStr">
        <is>
          <t>Ottawa (Ontario)</t>
        </is>
      </c>
      <c r="P4148" t="n">
        <v>830.85</v>
      </c>
      <c r="Q4148" t="n">
        <v>106</v>
      </c>
      <c r="R4148" t="n">
        <v>196.7</v>
      </c>
      <c r="S4148" t="n">
        <v>129.15</v>
      </c>
      <c r="T4148" t="n">
        <v>9</v>
      </c>
      <c r="U4148" t="n">
        <v>1271.7</v>
      </c>
      <c r="X4148" t="inlineStr">
        <is>
          <t>acoa-apeca</t>
        </is>
      </c>
      <c r="Y4148" t="inlineStr">
        <is>
          <t>Atlantic Canada Opportunities Agency | Agence de promotion économique du Canada atlantique</t>
        </is>
      </c>
    </row>
    <row r="4149">
      <c r="A4149" t="inlineStr">
        <is>
          <t>T-2016-Q4-00028</t>
        </is>
      </c>
      <c r="B4149" t="inlineStr">
        <is>
          <t>SLE</t>
        </is>
      </c>
      <c r="C4149" t="inlineStr">
        <is>
          <t>Senior Advisor (Energy)</t>
        </is>
      </c>
      <c r="D4149" t="inlineStr">
        <is>
          <t>Conseiller spécial (energie)</t>
        </is>
      </c>
      <c r="E4149" t="inlineStr">
        <is>
          <t>Andrew F. Noseworthy</t>
        </is>
      </c>
      <c r="F4149" t="inlineStr">
        <is>
          <t>Executive Committee Meeting</t>
        </is>
      </c>
      <c r="G4149" t="inlineStr">
        <is>
          <t>Réunion du Comité de direction</t>
        </is>
      </c>
      <c r="H4149" s="1" t="n">
        <v>42396</v>
      </c>
      <c r="I4149" s="1" t="n">
        <v>42397</v>
      </c>
      <c r="J4149" t="inlineStr">
        <is>
          <t>Moncton, New Brunswick</t>
        </is>
      </c>
      <c r="K4149" t="inlineStr">
        <is>
          <t>Moncton (Nouveau-Brunswick)</t>
        </is>
      </c>
      <c r="P4149" t="n">
        <v>842.36</v>
      </c>
      <c r="Q4149" t="n">
        <v>50</v>
      </c>
      <c r="R4149" t="n">
        <v>113</v>
      </c>
      <c r="S4149" t="n">
        <v>139.95</v>
      </c>
      <c r="T4149" t="n">
        <v>49.25</v>
      </c>
      <c r="U4149" t="n">
        <v>1194.56</v>
      </c>
      <c r="X4149" t="inlineStr">
        <is>
          <t>acoa-apeca</t>
        </is>
      </c>
      <c r="Y4149" t="inlineStr">
        <is>
          <t>Atlantic Canada Opportunities Agency | Agence de promotion économique du Canada atlantique</t>
        </is>
      </c>
    </row>
    <row r="4150">
      <c r="A4150" t="inlineStr">
        <is>
          <t>T-2016-Q4-00020</t>
        </is>
      </c>
      <c r="B4150" t="inlineStr">
        <is>
          <t>SLE</t>
        </is>
      </c>
      <c r="C4150" t="inlineStr">
        <is>
          <t>Senior Advisor (Energy)</t>
        </is>
      </c>
      <c r="D4150" t="inlineStr">
        <is>
          <t>Conseiller spécial (energie)</t>
        </is>
      </c>
      <c r="E4150" t="inlineStr">
        <is>
          <t>Andrew F. Noseworthy</t>
        </is>
      </c>
      <c r="F4150" t="inlineStr">
        <is>
          <t>Natural Resources Canada Ministerial Roundtable and meetings with Industry</t>
        </is>
      </c>
      <c r="G4150" t="inlineStr">
        <is>
          <t>Table ronde ministérielle de Ressources naturelles Canada et réunions avec l'industrie</t>
        </is>
      </c>
      <c r="H4150" s="1" t="n">
        <v>42389</v>
      </c>
      <c r="I4150" s="1" t="n">
        <v>42389</v>
      </c>
      <c r="J4150" t="inlineStr">
        <is>
          <t>Halifax, Nova Scotia</t>
        </is>
      </c>
      <c r="K4150" t="inlineStr">
        <is>
          <t>Halifax (Nouvelle-Écosse)</t>
        </is>
      </c>
      <c r="P4150" t="n">
        <v>937.67</v>
      </c>
      <c r="Q4150" t="n">
        <v>157.54</v>
      </c>
      <c r="R4150" t="n">
        <v>0</v>
      </c>
      <c r="S4150" t="n">
        <v>61.2</v>
      </c>
      <c r="T4150" t="n">
        <v>14</v>
      </c>
      <c r="U4150" t="n">
        <v>1170.41</v>
      </c>
      <c r="X4150" t="inlineStr">
        <is>
          <t>acoa-apeca</t>
        </is>
      </c>
      <c r="Y4150" t="inlineStr">
        <is>
          <t>Atlantic Canada Opportunities Agency | Agence de promotion économique du Canada atlantique</t>
        </is>
      </c>
    </row>
    <row r="4151">
      <c r="A4151" t="inlineStr">
        <is>
          <t>T-2016-Q4-00018</t>
        </is>
      </c>
      <c r="B4151" t="inlineStr">
        <is>
          <t>SLE</t>
        </is>
      </c>
      <c r="C4151" t="inlineStr">
        <is>
          <t>Senior Advisor (Energy)</t>
        </is>
      </c>
      <c r="D4151" t="inlineStr">
        <is>
          <t>Conseiller spécial (energie)</t>
        </is>
      </c>
      <c r="E4151" t="inlineStr">
        <is>
          <t>Andrew F. Noseworthy</t>
        </is>
      </c>
      <c r="F4151" t="inlineStr">
        <is>
          <t>Energy meetings with provincial Energy  and association officials; Clean Tech meeting and Pictou site visit</t>
        </is>
      </c>
      <c r="G4151" t="inlineStr">
        <is>
          <t>Réunions sur l'énergie avec des fonctionnaires provinciaux et des représentants de l'association; réunion sur les technologies propres et visite des lieux à Pictou</t>
        </is>
      </c>
      <c r="H4151" s="1" t="n">
        <v>42382</v>
      </c>
      <c r="I4151" s="1" t="n">
        <v>42383</v>
      </c>
      <c r="J4151" t="inlineStr">
        <is>
          <t>Halifax, Nova Scotia; Pictou, Nova Scotia</t>
        </is>
      </c>
      <c r="K4151" t="inlineStr">
        <is>
          <t>Halifax (Nouvelle-Écosse); Pictou (Nouvelle-Écosse)</t>
        </is>
      </c>
      <c r="P4151" t="n">
        <v>953.15</v>
      </c>
      <c r="Q4151" t="n">
        <v>70</v>
      </c>
      <c r="R4151" t="n">
        <v>146.63</v>
      </c>
      <c r="S4151" t="n">
        <v>173.55</v>
      </c>
      <c r="T4151" t="n">
        <v>28</v>
      </c>
      <c r="U4151" t="n">
        <v>1371.33</v>
      </c>
      <c r="X4151" t="inlineStr">
        <is>
          <t>acoa-apeca</t>
        </is>
      </c>
      <c r="Y4151" t="inlineStr">
        <is>
          <t>Atlantic Canada Opportunities Agency | Agence de promotion économique du Canada atlantique</t>
        </is>
      </c>
    </row>
    <row r="4152">
      <c r="A4152" t="inlineStr">
        <is>
          <t>T-2016-Q4-00016</t>
        </is>
      </c>
      <c r="B4152" t="inlineStr">
        <is>
          <t>SLE</t>
        </is>
      </c>
      <c r="C4152" t="inlineStr">
        <is>
          <t>Senior Advisor (Energy)</t>
        </is>
      </c>
      <c r="D4152" t="inlineStr">
        <is>
          <t>Conseiller spécial (energie)</t>
        </is>
      </c>
      <c r="E4152" t="inlineStr">
        <is>
          <t>Andrew F. Noseworthy</t>
        </is>
      </c>
      <c r="F4152" t="inlineStr">
        <is>
          <t>Meeting with government, utilities and Agency staff in New Brunswick on Clean Tech Sector; meetings with Energy industry and association officials</t>
        </is>
      </c>
      <c r="G4152" t="inlineStr">
        <is>
          <t>Réunion sur le secteur des technologies propres avec des employés de l'Agence, du gouvernement et des services publics du Nouveau-Brunswick; réunions avec des représentants de l'industrie et de l'association de l'énergie</t>
        </is>
      </c>
      <c r="H4152" s="1" t="n">
        <v>42375</v>
      </c>
      <c r="I4152" s="1" t="n">
        <v>42376</v>
      </c>
      <c r="J4152" t="inlineStr">
        <is>
          <t>Fredericton, New Brunswick; Saint John, New Brunswick</t>
        </is>
      </c>
      <c r="K4152" t="inlineStr">
        <is>
          <t>Fredericton (Nouveau-Brunswick); Saint John (Nouveau-Brunswick)</t>
        </is>
      </c>
      <c r="P4152" t="n">
        <v>746.99</v>
      </c>
      <c r="Q4152" t="n">
        <v>0</v>
      </c>
      <c r="R4152" t="n">
        <v>122.21</v>
      </c>
      <c r="S4152" t="n">
        <v>112.35</v>
      </c>
      <c r="T4152" t="n">
        <v>39</v>
      </c>
      <c r="U4152" t="n">
        <v>1020.55</v>
      </c>
      <c r="X4152" t="inlineStr">
        <is>
          <t>acoa-apeca</t>
        </is>
      </c>
      <c r="Y4152" t="inlineStr">
        <is>
          <t>Atlantic Canada Opportunities Agency | Agence de promotion économique du Canada atlantique</t>
        </is>
      </c>
    </row>
    <row r="4153">
      <c r="A4153" t="inlineStr">
        <is>
          <t>T-2018-Q2-00054</t>
        </is>
      </c>
      <c r="B4153" t="inlineStr">
        <is>
          <t>SLE</t>
        </is>
      </c>
      <c r="C4153" t="inlineStr">
        <is>
          <t>Vice-President, New Brunswick</t>
        </is>
      </c>
      <c r="D4153" t="inlineStr">
        <is>
          <t>Vice-président, Nouveau-Brunswick</t>
        </is>
      </c>
      <c r="E4153" t="inlineStr">
        <is>
          <t>Kent Estabrooks</t>
        </is>
      </c>
      <c r="F4153" t="inlineStr">
        <is>
          <t>Meeting with a client</t>
        </is>
      </c>
      <c r="G4153" t="inlineStr">
        <is>
          <t>Réunion avec un client</t>
        </is>
      </c>
      <c r="H4153" s="1" t="n">
        <v>42914</v>
      </c>
      <c r="I4153" s="1" t="n">
        <v>42914</v>
      </c>
      <c r="J4153" t="inlineStr">
        <is>
          <t>Saint John, New Brunswick</t>
        </is>
      </c>
      <c r="K4153" t="inlineStr">
        <is>
          <t>Saint John (Nouveau-Brunswick)</t>
        </is>
      </c>
      <c r="P4153" t="n">
        <v>0</v>
      </c>
      <c r="Q4153" t="n">
        <v>0</v>
      </c>
      <c r="R4153" t="n">
        <v>0</v>
      </c>
      <c r="S4153" t="n">
        <v>18.05</v>
      </c>
      <c r="T4153" t="n">
        <v>0</v>
      </c>
      <c r="U4153" t="n">
        <v>18.05</v>
      </c>
      <c r="X4153" t="inlineStr">
        <is>
          <t>acoa-apeca</t>
        </is>
      </c>
      <c r="Y4153" t="inlineStr">
        <is>
          <t>Atlantic Canada Opportunities Agency | Agence de promotion économique du Canada atlantique</t>
        </is>
      </c>
    </row>
    <row r="4154">
      <c r="A4154" t="inlineStr">
        <is>
          <t>T-2016-Q4-00003</t>
        </is>
      </c>
      <c r="B4154" t="inlineStr">
        <is>
          <t>SLE</t>
        </is>
      </c>
      <c r="C4154" t="inlineStr">
        <is>
          <t>Senior Advisor (Energy)</t>
        </is>
      </c>
      <c r="D4154" t="inlineStr">
        <is>
          <t>Conseiller spécial (energie)</t>
        </is>
      </c>
      <c r="E4154" t="inlineStr">
        <is>
          <t>Andrew F. Noseworthy</t>
        </is>
      </c>
      <c r="F4154" t="inlineStr">
        <is>
          <t>Executive Committee meeting; meeting with Agency's International Business Development group</t>
        </is>
      </c>
      <c r="G4154" t="inlineStr">
        <is>
          <t>Réunion du Comité de direction; réunion avec le groupe de Promotion du commerce extérieur de l'Agence</t>
        </is>
      </c>
      <c r="H4154" s="1" t="n">
        <v>42340</v>
      </c>
      <c r="I4154" s="1" t="n">
        <v>42342</v>
      </c>
      <c r="J4154" t="inlineStr">
        <is>
          <t>Moncton, New Brunswick</t>
        </is>
      </c>
      <c r="K4154" t="inlineStr">
        <is>
          <t>Moncton (Nouveau-Brunswick)</t>
        </is>
      </c>
      <c r="P4154" t="n">
        <v>666.98</v>
      </c>
      <c r="Q4154" t="n">
        <v>85</v>
      </c>
      <c r="R4154" t="n">
        <v>246.34</v>
      </c>
      <c r="S4154" t="n">
        <v>190.6</v>
      </c>
      <c r="T4154" t="n">
        <v>54.5</v>
      </c>
      <c r="U4154" t="n">
        <v>1243.42</v>
      </c>
      <c r="X4154" t="inlineStr">
        <is>
          <t>acoa-apeca</t>
        </is>
      </c>
      <c r="Y4154" t="inlineStr">
        <is>
          <t>Atlantic Canada Opportunities Agency | Agence de promotion économique du Canada atlantique</t>
        </is>
      </c>
    </row>
    <row r="4155">
      <c r="A4155" t="inlineStr">
        <is>
          <t>T-2016-Q3-00046</t>
        </is>
      </c>
      <c r="B4155" t="inlineStr">
        <is>
          <t>SLE</t>
        </is>
      </c>
      <c r="C4155" t="inlineStr">
        <is>
          <t>Senior Advisor (Energy)</t>
        </is>
      </c>
      <c r="D4155" t="inlineStr">
        <is>
          <t>Conseiller spécial (energie)</t>
        </is>
      </c>
      <c r="E4155" t="inlineStr">
        <is>
          <t>Andrew F. Noseworthy</t>
        </is>
      </c>
      <c r="F4155" t="inlineStr">
        <is>
          <t>Attend Energy, Trade and Technology Conference; meetings with Canadian Consulate and industry officials in Boston</t>
        </is>
      </c>
      <c r="G4155" t="inlineStr">
        <is>
          <t>Assister à la conférence sur l'énergie, le commerce et la technologie; réunions avec des représentants du consulat canadien et de l'industrie à Boston</t>
        </is>
      </c>
      <c r="H4155" s="1" t="n">
        <v>42318</v>
      </c>
      <c r="I4155" s="1" t="n">
        <v>42322</v>
      </c>
      <c r="J4155" t="inlineStr">
        <is>
          <t>Boston, Massachusetts</t>
        </is>
      </c>
      <c r="K4155" t="inlineStr">
        <is>
          <t>Boston (Massachusetts)</t>
        </is>
      </c>
      <c r="P4155" t="n">
        <v>794.62</v>
      </c>
      <c r="Q4155" t="n">
        <v>169.44</v>
      </c>
      <c r="R4155" t="n">
        <v>1959.2</v>
      </c>
      <c r="S4155" t="n">
        <v>483.76</v>
      </c>
      <c r="T4155" t="n">
        <v>85.75</v>
      </c>
      <c r="U4155" t="n">
        <v>3492.77</v>
      </c>
      <c r="X4155" t="inlineStr">
        <is>
          <t>acoa-apeca</t>
        </is>
      </c>
      <c r="Y4155" t="inlineStr">
        <is>
          <t>Atlantic Canada Opportunities Agency | Agence de promotion économique du Canada atlantique</t>
        </is>
      </c>
    </row>
    <row r="4156">
      <c r="A4156" t="inlineStr">
        <is>
          <t>T-2016-Q3-00037</t>
        </is>
      </c>
      <c r="B4156" t="inlineStr">
        <is>
          <t>SLE</t>
        </is>
      </c>
      <c r="C4156" t="inlineStr">
        <is>
          <t>Senior Advisor (Energy)</t>
        </is>
      </c>
      <c r="D4156" t="inlineStr">
        <is>
          <t>Conseiller spécial (energie)</t>
        </is>
      </c>
      <c r="E4156" t="inlineStr">
        <is>
          <t>Andrew F. Noseworthy</t>
        </is>
      </c>
      <c r="F4156" t="inlineStr">
        <is>
          <t>Attend Executive Committee meeting</t>
        </is>
      </c>
      <c r="G4156" t="inlineStr">
        <is>
          <t>Assister à une réunion du Comité de direction</t>
        </is>
      </c>
      <c r="H4156" s="1" t="n">
        <v>42305</v>
      </c>
      <c r="I4156" s="1" t="n">
        <v>42306</v>
      </c>
      <c r="J4156" t="inlineStr">
        <is>
          <t>Moncton, New Brunswick</t>
        </is>
      </c>
      <c r="K4156" t="inlineStr">
        <is>
          <t>Moncton (Nouveau-Brunswick)</t>
        </is>
      </c>
      <c r="P4156" t="n">
        <v>1218.69</v>
      </c>
      <c r="Q4156" t="n">
        <v>48</v>
      </c>
      <c r="R4156" t="n">
        <v>123.17</v>
      </c>
      <c r="S4156" t="n">
        <v>156.75</v>
      </c>
      <c r="T4156" t="n">
        <v>35</v>
      </c>
      <c r="U4156" t="n">
        <v>1581.61</v>
      </c>
      <c r="X4156" t="inlineStr">
        <is>
          <t>acoa-apeca</t>
        </is>
      </c>
      <c r="Y4156" t="inlineStr">
        <is>
          <t>Atlantic Canada Opportunities Agency | Agence de promotion économique du Canada atlantique</t>
        </is>
      </c>
    </row>
    <row r="4157">
      <c r="A4157" t="inlineStr">
        <is>
          <t>T-2016-Q3-00035</t>
        </is>
      </c>
      <c r="B4157" t="inlineStr">
        <is>
          <t>SLE</t>
        </is>
      </c>
      <c r="C4157" t="inlineStr">
        <is>
          <t>Senior Advisor (Energy)</t>
        </is>
      </c>
      <c r="D4157" t="inlineStr">
        <is>
          <t>Conseiller spécial (energie)</t>
        </is>
      </c>
      <c r="E4157" t="inlineStr">
        <is>
          <t>Andrew F. Noseworthy</t>
        </is>
      </c>
      <c r="F4157" t="inlineStr">
        <is>
          <t>Meetings with Energy Industry and Association officials; meeting with Nova Scotia Agency staff</t>
        </is>
      </c>
      <c r="G4157" t="inlineStr">
        <is>
          <t>Réunions avec des représentants de l'association et de l'industrie de l'énergie; réunion avec des employés du bureau de l'APECA en Nouvelle-Écosse</t>
        </is>
      </c>
      <c r="H4157" s="1" t="n">
        <v>42302</v>
      </c>
      <c r="I4157" s="1" t="n">
        <v>42303</v>
      </c>
      <c r="J4157" t="inlineStr">
        <is>
          <t>Halifax, Nova Scotia</t>
        </is>
      </c>
      <c r="K4157" t="inlineStr">
        <is>
          <t>Halifax (Nouvelle-Écosse)</t>
        </is>
      </c>
      <c r="P4157" t="n">
        <v>731.8099999999999</v>
      </c>
      <c r="Q4157" t="n">
        <v>140</v>
      </c>
      <c r="R4157" t="n">
        <v>174.78</v>
      </c>
      <c r="S4157" t="n">
        <v>112.35</v>
      </c>
      <c r="T4157" t="n">
        <v>61.3</v>
      </c>
      <c r="U4157" t="n">
        <v>1220.24</v>
      </c>
      <c r="X4157" t="inlineStr">
        <is>
          <t>acoa-apeca</t>
        </is>
      </c>
      <c r="Y4157" t="inlineStr">
        <is>
          <t>Atlantic Canada Opportunities Agency | Agence de promotion économique du Canada atlantique</t>
        </is>
      </c>
    </row>
    <row r="4158">
      <c r="A4158" t="inlineStr">
        <is>
          <t>T-2016-Q3-00019</t>
        </is>
      </c>
      <c r="B4158" t="inlineStr">
        <is>
          <t>SLE</t>
        </is>
      </c>
      <c r="C4158" t="inlineStr">
        <is>
          <t>Senior Advisor (Energy)</t>
        </is>
      </c>
      <c r="D4158" t="inlineStr">
        <is>
          <t>Conseiller spécial (energie)</t>
        </is>
      </c>
      <c r="E4158" t="inlineStr">
        <is>
          <t>Andrew F. Noseworthy</t>
        </is>
      </c>
      <c r="F4158" t="inlineStr">
        <is>
          <t>Attend Core Energy Conference 2015; various energy related meetings with industry officials; meeting with Agency staff</t>
        </is>
      </c>
      <c r="G4158" t="inlineStr">
        <is>
          <t>Assister à la conférence sur l'énergie 2015 de Core; réunions liées à l'énergie avec des représentants de l'industrie; réunion avec des employés de l'Agence</t>
        </is>
      </c>
      <c r="H4158" s="1" t="n">
        <v>42275</v>
      </c>
      <c r="I4158" s="1" t="n">
        <v>42277</v>
      </c>
      <c r="J4158" t="inlineStr">
        <is>
          <t>Halifax, Nova Scotia</t>
        </is>
      </c>
      <c r="K4158" t="inlineStr">
        <is>
          <t>Halifax (Nouvelle-Écosse)</t>
        </is>
      </c>
      <c r="P4158" t="n">
        <v>734.15</v>
      </c>
      <c r="Q4158" t="n">
        <v>140</v>
      </c>
      <c r="R4158" t="n">
        <v>373.02</v>
      </c>
      <c r="S4158" t="n">
        <v>137.5</v>
      </c>
      <c r="T4158" t="n">
        <v>67</v>
      </c>
      <c r="U4158" t="n">
        <v>1451.67</v>
      </c>
      <c r="X4158" t="inlineStr">
        <is>
          <t>acoa-apeca</t>
        </is>
      </c>
      <c r="Y4158" t="inlineStr">
        <is>
          <t>Atlantic Canada Opportunities Agency | Agence de promotion économique du Canada atlantique</t>
        </is>
      </c>
    </row>
    <row r="4159">
      <c r="A4159" t="inlineStr">
        <is>
          <t>T-2016-Q2-00052</t>
        </is>
      </c>
      <c r="B4159" t="inlineStr">
        <is>
          <t>SLE</t>
        </is>
      </c>
      <c r="C4159" t="inlineStr">
        <is>
          <t>Senior Advisor (Energy)</t>
        </is>
      </c>
      <c r="D4159" t="inlineStr">
        <is>
          <t>Conseiller spécial (energie)</t>
        </is>
      </c>
      <c r="E4159" t="inlineStr">
        <is>
          <t>Andrew F. Noseworthy</t>
        </is>
      </c>
      <c r="F4159" t="inlineStr">
        <is>
          <t>Deepwater Steering Committee Study Tour visits to Harstad and Stavanger, Norway; Offshore Europe 2015 conference in Aberdeen; meetings with High Commission staff in London</t>
        </is>
      </c>
      <c r="G4159" t="inlineStr">
        <is>
          <t xml:space="preserve">Voyage d'observation du comité directeur d'activités en eaux profondes à Harstad et Stavanger (Norvège); conférence Offshore Europe 2015 à Aberdeen; réunions avec le personnel du Haut-commissariat à Londres </t>
        </is>
      </c>
      <c r="H4159" s="1" t="n">
        <v>42248</v>
      </c>
      <c r="I4159" s="1" t="n">
        <v>42259</v>
      </c>
      <c r="J4159" t="inlineStr">
        <is>
          <t>Harstad, Norway; Stavanger, Norway; Aberdeen, Scotland; London, United Kingdom</t>
        </is>
      </c>
      <c r="K4159" t="inlineStr">
        <is>
          <t>Harstad (Norvège); Stavanger (Norvège); Aberdeen (Écosse); Londres (Royaume-Uni)</t>
        </is>
      </c>
      <c r="P4159" t="n">
        <v>2846.11</v>
      </c>
      <c r="Q4159" t="n">
        <v>690.5700000000001</v>
      </c>
      <c r="R4159" t="n">
        <v>4683.22</v>
      </c>
      <c r="S4159" t="n">
        <v>1963.1</v>
      </c>
      <c r="T4159" t="n">
        <v>0</v>
      </c>
      <c r="U4159" t="n">
        <v>10183</v>
      </c>
      <c r="X4159" t="inlineStr">
        <is>
          <t>acoa-apeca</t>
        </is>
      </c>
      <c r="Y4159" t="inlineStr">
        <is>
          <t>Atlantic Canada Opportunities Agency | Agence de promotion économique du Canada atlantique</t>
        </is>
      </c>
    </row>
    <row r="4160">
      <c r="A4160" t="inlineStr">
        <is>
          <t>T-2016-Q2-00039</t>
        </is>
      </c>
      <c r="B4160" t="inlineStr">
        <is>
          <t>SLE</t>
        </is>
      </c>
      <c r="C4160" t="inlineStr">
        <is>
          <t>Senior Advisor (Energy)</t>
        </is>
      </c>
      <c r="D4160" t="inlineStr">
        <is>
          <t>Conseiller spécial (energie)</t>
        </is>
      </c>
      <c r="E4160" t="inlineStr">
        <is>
          <t>Andrew F. Noseworthy</t>
        </is>
      </c>
      <c r="F4160" t="inlineStr">
        <is>
          <t>Attend the Energy and Mines Ministers' Conference; meeting with Energy office staff; meetings with Industry officials</t>
        </is>
      </c>
      <c r="G4160" t="inlineStr">
        <is>
          <t>Assister à la conférence des ministres de l'Énergie et des Mines; réunion avec le personnel de l'office de l'énergie; réunions avec des représentants d'Industrie</t>
        </is>
      </c>
      <c r="H4160" s="1" t="n">
        <v>42205</v>
      </c>
      <c r="I4160" s="1" t="n">
        <v>42205</v>
      </c>
      <c r="J4160" t="inlineStr">
        <is>
          <t>Halifax, Nova Scotia</t>
        </is>
      </c>
      <c r="K4160" t="inlineStr">
        <is>
          <t>Halifax (Nouvelle-Écosse)</t>
        </is>
      </c>
      <c r="P4160" t="n">
        <v>969.87</v>
      </c>
      <c r="Q4160" t="n">
        <v>140</v>
      </c>
      <c r="R4160" t="n">
        <v>0</v>
      </c>
      <c r="S4160" t="n">
        <v>42.8</v>
      </c>
      <c r="T4160" t="n">
        <v>0</v>
      </c>
      <c r="U4160" t="n">
        <v>1152.67</v>
      </c>
      <c r="X4160" t="inlineStr">
        <is>
          <t>acoa-apeca</t>
        </is>
      </c>
      <c r="Y4160" t="inlineStr">
        <is>
          <t>Atlantic Canada Opportunities Agency | Agence de promotion économique du Canada atlantique</t>
        </is>
      </c>
    </row>
    <row r="4161">
      <c r="A4161" t="inlineStr">
        <is>
          <t>T-2016-Q2-00030</t>
        </is>
      </c>
      <c r="B4161" t="inlineStr">
        <is>
          <t>SLE</t>
        </is>
      </c>
      <c r="C4161" t="inlineStr">
        <is>
          <t>Senior Advisor (Energy)</t>
        </is>
      </c>
      <c r="D4161" t="inlineStr">
        <is>
          <t>Conseiller spécial (energie)</t>
        </is>
      </c>
      <c r="E4161" t="inlineStr">
        <is>
          <t>Andrew F. Noseworthy</t>
        </is>
      </c>
      <c r="F4161" t="inlineStr">
        <is>
          <t>Meetings with senior officials from Natural Resources Canada; and senior Agency officials</t>
        </is>
      </c>
      <c r="G4161" t="inlineStr">
        <is>
          <t>Réunions avec des hauts fonctionnaires de Ressources naturelles Canada et de l'Agence</t>
        </is>
      </c>
      <c r="H4161" s="1" t="n">
        <v>42193</v>
      </c>
      <c r="I4161" s="1" t="n">
        <v>42194</v>
      </c>
      <c r="J4161" t="inlineStr">
        <is>
          <t>Ottawa, Ontario</t>
        </is>
      </c>
      <c r="K4161" t="inlineStr">
        <is>
          <t>Ottawa (Ontario)</t>
        </is>
      </c>
      <c r="P4161" t="n">
        <v>657.8099999999999</v>
      </c>
      <c r="Q4161" t="n">
        <v>91</v>
      </c>
      <c r="R4161" t="n">
        <v>182.73</v>
      </c>
      <c r="S4161" t="n">
        <v>110</v>
      </c>
      <c r="T4161" t="n">
        <v>47.25</v>
      </c>
      <c r="U4161" t="n">
        <v>1088.79</v>
      </c>
      <c r="X4161" t="inlineStr">
        <is>
          <t>acoa-apeca</t>
        </is>
      </c>
      <c r="Y4161" t="inlineStr">
        <is>
          <t>Atlantic Canada Opportunities Agency | Agence de promotion économique du Canada atlantique</t>
        </is>
      </c>
    </row>
    <row r="4162">
      <c r="A4162" t="inlineStr">
        <is>
          <t>T-2016-Q2-00008</t>
        </is>
      </c>
      <c r="B4162" t="inlineStr">
        <is>
          <t>SLE</t>
        </is>
      </c>
      <c r="C4162" t="inlineStr">
        <is>
          <t>Senior Advisor (Energy)</t>
        </is>
      </c>
      <c r="D4162" t="inlineStr">
        <is>
          <t>Conseiller spécial (energie)</t>
        </is>
      </c>
      <c r="E4162" t="inlineStr">
        <is>
          <t>Andrew F. Noseworthy</t>
        </is>
      </c>
      <c r="F4162" t="inlineStr">
        <is>
          <t>Atlantic Energy Gateway meeting; East Coast Energy Connection conference; meeting with senior Agency officials</t>
        </is>
      </c>
      <c r="G4162" t="inlineStr">
        <is>
          <t>Réunion avec des représentants de la Porte d'entrée de l'énergie de l'Atlantique; conférence East Coast Energy Connection; réunion avec des hauts fonctionnaires de l'Agence</t>
        </is>
      </c>
      <c r="H4162" s="1" t="n">
        <v>42163</v>
      </c>
      <c r="I4162" s="1" t="n">
        <v>42167</v>
      </c>
      <c r="J4162" t="inlineStr">
        <is>
          <t>Saint John, New Brunswick, and Moncton, New Brunswick</t>
        </is>
      </c>
      <c r="K4162" t="inlineStr">
        <is>
          <t>Saint John (Nouveau-Brunswick) et Moncton (Nouveau-Brunswick)</t>
        </is>
      </c>
      <c r="P4162" t="n">
        <v>856.51</v>
      </c>
      <c r="Q4162" t="n">
        <v>338.04</v>
      </c>
      <c r="R4162" t="n">
        <v>526.28</v>
      </c>
      <c r="S4162" t="n">
        <v>305.7</v>
      </c>
      <c r="T4162" t="n">
        <v>87.41</v>
      </c>
      <c r="U4162" t="n">
        <v>2113.94</v>
      </c>
      <c r="X4162" t="inlineStr">
        <is>
          <t>acoa-apeca</t>
        </is>
      </c>
      <c r="Y4162" t="inlineStr">
        <is>
          <t>Atlantic Canada Opportunities Agency | Agence de promotion économique du Canada atlantique</t>
        </is>
      </c>
    </row>
    <row r="4163">
      <c r="A4163" t="inlineStr">
        <is>
          <t>T-2016-Q1-00068</t>
        </is>
      </c>
      <c r="B4163" t="inlineStr">
        <is>
          <t>SLE</t>
        </is>
      </c>
      <c r="C4163" t="inlineStr">
        <is>
          <t>Senior Advisor (Energy)</t>
        </is>
      </c>
      <c r="D4163" t="inlineStr">
        <is>
          <t>Conseiller spécial (energie)</t>
        </is>
      </c>
      <c r="E4163" t="inlineStr">
        <is>
          <t>Andrew F. Noseworthy</t>
        </is>
      </c>
      <c r="F4163" t="inlineStr">
        <is>
          <t>Agency interview board; Cape Breton site visits</t>
        </is>
      </c>
      <c r="G4163" t="inlineStr">
        <is>
          <t>Jury d'entrevue pour l'Agence; visites des lieux au Cap-Breton</t>
        </is>
      </c>
      <c r="H4163" s="1" t="n">
        <v>42156</v>
      </c>
      <c r="I4163" s="1" t="n">
        <v>42159</v>
      </c>
      <c r="J4163" t="inlineStr">
        <is>
          <t>Halifax, Nova Scotia; Port Hawkesbury, Nova Scotia; Antigonish, Nova Scotia</t>
        </is>
      </c>
      <c r="K4163" t="inlineStr">
        <is>
          <t>Halifax (Nouvelle-Écosse); Port Hawkesbury (Nouvelle-Écosse); Antigonish (Nouvelle-Écosse)</t>
        </is>
      </c>
      <c r="P4163" t="n">
        <v>585.86</v>
      </c>
      <c r="Q4163" t="n">
        <v>70</v>
      </c>
      <c r="R4163" t="n">
        <v>476.77</v>
      </c>
      <c r="S4163" t="n">
        <v>278.8</v>
      </c>
      <c r="T4163" t="n">
        <v>61.25</v>
      </c>
      <c r="U4163" t="n">
        <v>1472.68</v>
      </c>
      <c r="X4163" t="inlineStr">
        <is>
          <t>acoa-apeca</t>
        </is>
      </c>
      <c r="Y4163" t="inlineStr">
        <is>
          <t>Atlantic Canada Opportunities Agency | Agence de promotion économique du Canada atlantique</t>
        </is>
      </c>
    </row>
    <row r="4164">
      <c r="A4164" t="inlineStr">
        <is>
          <t>T-2016-Q1-00062</t>
        </is>
      </c>
      <c r="B4164" t="inlineStr">
        <is>
          <t>SLE</t>
        </is>
      </c>
      <c r="C4164" t="inlineStr">
        <is>
          <t>Senior Advisor (Energy)</t>
        </is>
      </c>
      <c r="D4164" t="inlineStr">
        <is>
          <t>Conseiller spécial (energie)</t>
        </is>
      </c>
      <c r="E4164" t="inlineStr">
        <is>
          <t>Andrew F. Noseworthy</t>
        </is>
      </c>
      <c r="F4164" t="inlineStr">
        <is>
          <t>Energy discussions with officials from the Agency and other Government Departments</t>
        </is>
      </c>
      <c r="G4164" t="inlineStr">
        <is>
          <t xml:space="preserve">Discussions sur l'énergie avec des fonctionnaires de l'Agence et d'autres organismes gouvernementaux </t>
        </is>
      </c>
      <c r="H4164" s="1" t="n">
        <v>42151</v>
      </c>
      <c r="I4164" s="1" t="n">
        <v>42152</v>
      </c>
      <c r="J4164" t="inlineStr">
        <is>
          <t>Ottawa, Ontario</t>
        </is>
      </c>
      <c r="K4164" t="inlineStr">
        <is>
          <t>Ottawa (Ontario)</t>
        </is>
      </c>
      <c r="P4164" t="n">
        <v>1279.08</v>
      </c>
      <c r="Q4164" t="n">
        <v>110</v>
      </c>
      <c r="R4164" t="n">
        <v>186.22</v>
      </c>
      <c r="S4164" t="n">
        <v>110</v>
      </c>
      <c r="T4164" t="n">
        <v>28</v>
      </c>
      <c r="U4164" t="n">
        <v>1713.3</v>
      </c>
      <c r="X4164" t="inlineStr">
        <is>
          <t>acoa-apeca</t>
        </is>
      </c>
      <c r="Y4164" t="inlineStr">
        <is>
          <t>Atlantic Canada Opportunities Agency | Agence de promotion économique du Canada atlantique</t>
        </is>
      </c>
    </row>
    <row r="4165">
      <c r="A4165" t="inlineStr">
        <is>
          <t>T-2016-Q1-00050</t>
        </is>
      </c>
      <c r="B4165" t="inlineStr">
        <is>
          <t>SLE</t>
        </is>
      </c>
      <c r="C4165" t="inlineStr">
        <is>
          <t>Senior Advisor (Energy)</t>
        </is>
      </c>
      <c r="D4165" t="inlineStr">
        <is>
          <t>Conseiller spécial (energie)</t>
        </is>
      </c>
      <c r="E4165" t="inlineStr">
        <is>
          <t>Andrew F. Noseworthy</t>
        </is>
      </c>
      <c r="F4165" t="inlineStr">
        <is>
          <t>Energy meetings with Agency staff in Halifax and Fredericton; meetings with officials from Nova Scotia Department of Energy and NB Power</t>
        </is>
      </c>
      <c r="G4165" t="inlineStr">
        <is>
          <t>Réunions sur l'énergie avec des employés de l'Agence à Halifax et à Fredericton; réunions avec des représentants du ministère de l'Énergie de la Nouvelle-Écosse et d'Énergie NB</t>
        </is>
      </c>
      <c r="H4165" s="1" t="n">
        <v>42137</v>
      </c>
      <c r="I4165" s="1" t="n">
        <v>42139</v>
      </c>
      <c r="J4165" t="inlineStr">
        <is>
          <t>Halifax, Nova Scotia; Fredericton, New Brunswick</t>
        </is>
      </c>
      <c r="K4165" t="inlineStr">
        <is>
          <t>Halifax (Nouvelle-Écosse); Fredericton (Nouveau-Brunswick)</t>
        </is>
      </c>
      <c r="P4165" t="n">
        <v>1690.55</v>
      </c>
      <c r="Q4165" t="n">
        <v>70</v>
      </c>
      <c r="R4165" t="n">
        <v>309.25</v>
      </c>
      <c r="S4165" t="n">
        <v>219.3</v>
      </c>
      <c r="T4165" t="n">
        <v>42</v>
      </c>
      <c r="U4165" t="n">
        <v>2331.1</v>
      </c>
      <c r="X4165" t="inlineStr">
        <is>
          <t>acoa-apeca</t>
        </is>
      </c>
      <c r="Y4165" t="inlineStr">
        <is>
          <t>Atlantic Canada Opportunities Agency | Agence de promotion économique du Canada atlantique</t>
        </is>
      </c>
    </row>
    <row r="4166">
      <c r="A4166" t="inlineStr">
        <is>
          <t>T-2013-Q1-00031</t>
        </is>
      </c>
      <c r="B4166" t="inlineStr">
        <is>
          <t>SLE</t>
        </is>
      </c>
      <c r="C4166" t="inlineStr">
        <is>
          <t>Senior Advisor (Energy)</t>
        </is>
      </c>
      <c r="D4166" t="inlineStr">
        <is>
          <t>Conseiller spécial (energie)</t>
        </is>
      </c>
      <c r="E4166" t="inlineStr">
        <is>
          <t>Andrew F. Noseworthy</t>
        </is>
      </c>
      <c r="F4166" t="inlineStr">
        <is>
          <t>Atlantic Canada Opportunities Board meeting</t>
        </is>
      </c>
      <c r="G4166" t="inlineStr">
        <is>
          <t>Réunion du Conseil de promotion économique du Canada atlantique</t>
        </is>
      </c>
      <c r="H4166" s="1" t="n">
        <v>40995</v>
      </c>
      <c r="I4166" s="1" t="n">
        <v>40996</v>
      </c>
      <c r="J4166" t="inlineStr">
        <is>
          <t>Ottawa, Ontario</t>
        </is>
      </c>
      <c r="K4166" t="inlineStr">
        <is>
          <t>Ottawa (Ontario)</t>
        </is>
      </c>
      <c r="P4166" t="n">
        <v>1357.13</v>
      </c>
      <c r="Q4166" t="n">
        <v>140</v>
      </c>
      <c r="R4166" t="n">
        <v>177.41</v>
      </c>
      <c r="S4166" t="n">
        <v>130.55</v>
      </c>
      <c r="T4166" t="n">
        <v>0</v>
      </c>
      <c r="U4166" t="n">
        <v>1805.09</v>
      </c>
      <c r="X4166" t="inlineStr">
        <is>
          <t>acoa-apeca</t>
        </is>
      </c>
      <c r="Y4166" t="inlineStr">
        <is>
          <t>Atlantic Canada Opportunities Agency | Agence de promotion économique du Canada atlantique</t>
        </is>
      </c>
    </row>
    <row r="4167">
      <c r="A4167" t="inlineStr">
        <is>
          <t>T-2016-Q1-00036</t>
        </is>
      </c>
      <c r="B4167" t="inlineStr">
        <is>
          <t>SLE</t>
        </is>
      </c>
      <c r="C4167" t="inlineStr">
        <is>
          <t>Senior Advisor (Energy)</t>
        </is>
      </c>
      <c r="D4167" t="inlineStr">
        <is>
          <t>Conseiller spécial (energie)</t>
        </is>
      </c>
      <c r="E4167" t="inlineStr">
        <is>
          <t>Andrew F. Noseworthy</t>
        </is>
      </c>
      <c r="F4167" t="inlineStr">
        <is>
          <t>Attend Offshore Technology Conference 2015 in Houston; meeting with industry officials</t>
        </is>
      </c>
      <c r="G4167" t="inlineStr">
        <is>
          <t>Assister au salon des technologies extracôtières 2015 à Houston et à des réunions avec des représentants de l'industrie</t>
        </is>
      </c>
      <c r="H4167" s="1" t="n">
        <v>42125</v>
      </c>
      <c r="I4167" s="1" t="n">
        <v>42133</v>
      </c>
      <c r="J4167" t="inlineStr">
        <is>
          <t>Houston, Texas</t>
        </is>
      </c>
      <c r="K4167" t="inlineStr">
        <is>
          <t>Houston, Texas</t>
        </is>
      </c>
      <c r="P4167" t="n">
        <v>1087.01</v>
      </c>
      <c r="Q4167" t="n">
        <v>471.65</v>
      </c>
      <c r="R4167" t="n">
        <v>2978.5</v>
      </c>
      <c r="S4167" t="n">
        <v>663.1799999999999</v>
      </c>
      <c r="T4167" t="n">
        <v>0</v>
      </c>
      <c r="U4167" t="n">
        <v>5200.34</v>
      </c>
      <c r="X4167" t="inlineStr">
        <is>
          <t>acoa-apeca</t>
        </is>
      </c>
      <c r="Y4167" t="inlineStr">
        <is>
          <t>Atlantic Canada Opportunities Agency | Agence de promotion économique du Canada atlantique</t>
        </is>
      </c>
    </row>
    <row r="4168">
      <c r="A4168" t="inlineStr">
        <is>
          <t>T-2016-Q1-00029</t>
        </is>
      </c>
      <c r="B4168" t="inlineStr">
        <is>
          <t>SLE</t>
        </is>
      </c>
      <c r="C4168" t="inlineStr">
        <is>
          <t>Senior Advisor (Energy)</t>
        </is>
      </c>
      <c r="D4168" t="inlineStr">
        <is>
          <t>Conseiller spécial (energie)</t>
        </is>
      </c>
      <c r="E4168" t="inlineStr">
        <is>
          <t>Andrew F. Noseworthy</t>
        </is>
      </c>
      <c r="F4168" t="inlineStr">
        <is>
          <t>Attend National Policy Symposium on Energy Delivery and Management; meeting with Government of Nova Scotia officials</t>
        </is>
      </c>
      <c r="G4168" t="inlineStr">
        <is>
          <t>Assister au symposium stratégique national sur la distribution et la gestion de l'énergie ainsi qu'à une réunion avec des fonctionnaires du gouvernement de la Nouvelle-Écosse</t>
        </is>
      </c>
      <c r="H4168" s="1" t="n">
        <v>42109</v>
      </c>
      <c r="I4168" s="1" t="n">
        <v>42110</v>
      </c>
      <c r="J4168" t="inlineStr">
        <is>
          <t>Halifax, Nova Scotia</t>
        </is>
      </c>
      <c r="K4168" t="inlineStr">
        <is>
          <t>Halifax (Nouvelle-Écosse)</t>
        </is>
      </c>
      <c r="P4168" t="n">
        <v>555.1799999999999</v>
      </c>
      <c r="Q4168" t="n">
        <v>140</v>
      </c>
      <c r="R4168" t="n">
        <v>140.76</v>
      </c>
      <c r="S4168" t="n">
        <v>93.40000000000001</v>
      </c>
      <c r="T4168" t="n">
        <v>28</v>
      </c>
      <c r="U4168" t="n">
        <v>957.34</v>
      </c>
      <c r="X4168" t="inlineStr">
        <is>
          <t>acoa-apeca</t>
        </is>
      </c>
      <c r="Y4168" t="inlineStr">
        <is>
          <t>Atlantic Canada Opportunities Agency | Agence de promotion économique du Canada atlantique</t>
        </is>
      </c>
    </row>
    <row r="4169">
      <c r="A4169" t="inlineStr">
        <is>
          <t>T-2016-Q1-00024</t>
        </is>
      </c>
      <c r="B4169" t="inlineStr">
        <is>
          <t>SLE</t>
        </is>
      </c>
      <c r="C4169" t="inlineStr">
        <is>
          <t>Senior Advisor (Energy)</t>
        </is>
      </c>
      <c r="D4169" t="inlineStr">
        <is>
          <t>Conseiller spécial (energie)</t>
        </is>
      </c>
      <c r="E4169" t="inlineStr">
        <is>
          <t>Andrew F. Noseworthy</t>
        </is>
      </c>
      <c r="F4169" t="inlineStr">
        <is>
          <t>Attend Canadian Association of Petroleum Producers (CAPP) Investment Symposium; meeting with CAPP officials</t>
        </is>
      </c>
      <c r="G4169" t="inlineStr">
        <is>
          <t>Assister au symposium sur les investissements de l'Association canadienne des producteurs pétroliers (ACPP) ainsi qu'à une réunion avec des représentants de l'ACPP</t>
        </is>
      </c>
      <c r="H4169" s="1" t="n">
        <v>42101</v>
      </c>
      <c r="I4169" s="1" t="n">
        <v>42103</v>
      </c>
      <c r="J4169" t="inlineStr">
        <is>
          <t>Toronto, Ontario</t>
        </is>
      </c>
      <c r="K4169" t="inlineStr">
        <is>
          <t>Toronto (Ontario)</t>
        </is>
      </c>
      <c r="P4169" t="n">
        <v>1210.81</v>
      </c>
      <c r="Q4169" t="n">
        <v>165</v>
      </c>
      <c r="R4169" t="n">
        <v>290</v>
      </c>
      <c r="S4169" t="n">
        <v>180.3</v>
      </c>
      <c r="T4169" t="n">
        <v>40.5</v>
      </c>
      <c r="U4169" t="n">
        <v>1886.61</v>
      </c>
      <c r="X4169" t="inlineStr">
        <is>
          <t>acoa-apeca</t>
        </is>
      </c>
      <c r="Y4169" t="inlineStr">
        <is>
          <t>Atlantic Canada Opportunities Agency | Agence de promotion économique du Canada atlantique</t>
        </is>
      </c>
    </row>
    <row r="4170">
      <c r="A4170" t="inlineStr">
        <is>
          <t>T-2016-Q1-00015</t>
        </is>
      </c>
      <c r="B4170" t="inlineStr">
        <is>
          <t>SLE</t>
        </is>
      </c>
      <c r="C4170" t="inlineStr">
        <is>
          <t>Senior Advisor (Energy)</t>
        </is>
      </c>
      <c r="D4170" t="inlineStr">
        <is>
          <t>Conseiller spécial (energie)</t>
        </is>
      </c>
      <c r="E4170" t="inlineStr">
        <is>
          <t>Andrew F. Noseworthy</t>
        </is>
      </c>
      <c r="F4170" t="inlineStr">
        <is>
          <t>Host and speak at Arctic Oil and Gas Technology Seminars in Reykjavik and Copenhagen; Natural Gas Sessions in Warsaw and London; and attend the Arctic Technology Conference in Copenhagen</t>
        </is>
      </c>
      <c r="G4170" t="inlineStr">
        <is>
          <t>Prononcer un discours/animer des séminaires sur les technologies pétrolières et gazières dans l'Arctique à Reykjavik/Copenhague; assister à des séances sur le gaz nat. à Varsovie/Londres; assister à la conférence sur les technologies arctiques à Copenhague</t>
        </is>
      </c>
      <c r="H4170" s="1" t="n">
        <v>42082</v>
      </c>
      <c r="I4170" s="1" t="n">
        <v>42093</v>
      </c>
      <c r="J4170" t="inlineStr">
        <is>
          <t>Reykjavik, Iceland; Warsaw, Poland; Copenhagen, Denmark; London, United Kingdom</t>
        </is>
      </c>
      <c r="K4170" t="inlineStr">
        <is>
          <t>Reykjavik, Islande; Varsovie, Pologne; Copenhague, Danemark; Londres, Royaume-Uni</t>
        </is>
      </c>
      <c r="P4170" t="n">
        <v>2335.7</v>
      </c>
      <c r="Q4170" t="n">
        <v>528.91</v>
      </c>
      <c r="R4170" t="n">
        <v>2707.44</v>
      </c>
      <c r="S4170" t="n">
        <v>1164.7</v>
      </c>
      <c r="T4170" t="n">
        <v>144.94</v>
      </c>
      <c r="U4170" t="n">
        <v>6881.69</v>
      </c>
      <c r="X4170" t="inlineStr">
        <is>
          <t>acoa-apeca</t>
        </is>
      </c>
      <c r="Y4170" t="inlineStr">
        <is>
          <t>Atlantic Canada Opportunities Agency | Agence de promotion économique du Canada atlantique</t>
        </is>
      </c>
    </row>
    <row r="4171">
      <c r="A4171" t="inlineStr">
        <is>
          <t>T-2015-Q4-00068</t>
        </is>
      </c>
      <c r="B4171" t="inlineStr">
        <is>
          <t>SLE</t>
        </is>
      </c>
      <c r="C4171" t="inlineStr">
        <is>
          <t>Senior Advisor (Energy)</t>
        </is>
      </c>
      <c r="D4171" t="inlineStr">
        <is>
          <t>Conseiller spécial (energie)</t>
        </is>
      </c>
      <c r="E4171" t="inlineStr">
        <is>
          <t>Andrew F. Noseworthy</t>
        </is>
      </c>
      <c r="F4171" t="inlineStr">
        <is>
          <t>Attend Energy Geoscience Network meeting; attend Atlantic Energy Gateway meeting</t>
        </is>
      </c>
      <c r="G4171" t="inlineStr">
        <is>
          <t>Assister à une réunion du Réseau des géosciences énergétiques et à une réunion sur la Porte d'entrée de l'énergie de l'Atlantique</t>
        </is>
      </c>
      <c r="H4171" s="1" t="n">
        <v>42058</v>
      </c>
      <c r="I4171" s="1" t="n">
        <v>42059</v>
      </c>
      <c r="J4171" t="inlineStr">
        <is>
          <t>Halifax, Nova Scotia</t>
        </is>
      </c>
      <c r="K4171" t="inlineStr">
        <is>
          <t>Halifax (Nouvelle-Écosse)</t>
        </is>
      </c>
      <c r="P4171" t="n">
        <v>607.1</v>
      </c>
      <c r="Q4171" t="n">
        <v>160</v>
      </c>
      <c r="R4171" t="n">
        <v>139.59</v>
      </c>
      <c r="S4171" t="n">
        <v>92.55</v>
      </c>
      <c r="T4171" t="n">
        <v>38</v>
      </c>
      <c r="U4171" t="n">
        <v>1037.24</v>
      </c>
      <c r="X4171" t="inlineStr">
        <is>
          <t>acoa-apeca</t>
        </is>
      </c>
      <c r="Y4171" t="inlineStr">
        <is>
          <t>Atlantic Canada Opportunities Agency | Agence de promotion économique du Canada atlantique</t>
        </is>
      </c>
    </row>
    <row r="4172">
      <c r="A4172" t="inlineStr">
        <is>
          <t>T-2015-Q4-00056</t>
        </is>
      </c>
      <c r="B4172" t="inlineStr">
        <is>
          <t>SLE</t>
        </is>
      </c>
      <c r="C4172" t="inlineStr">
        <is>
          <t>Senior Advisor (Energy)</t>
        </is>
      </c>
      <c r="D4172" t="inlineStr">
        <is>
          <t>Conseiller spécial (energie)</t>
        </is>
      </c>
      <c r="E4172" t="inlineStr">
        <is>
          <t>Andrew F. Noseworthy</t>
        </is>
      </c>
      <c r="F4172" t="inlineStr">
        <is>
          <t>Meetings with Agency, Nova Scotia Department of Energy, and Industry officials</t>
        </is>
      </c>
      <c r="G4172" t="inlineStr">
        <is>
          <t>Réunions avec des fonctionnaires de l'Agence et du ministère de l'Énergie de la Nouvelle-Écosse et des représentants de l'industrie</t>
        </is>
      </c>
      <c r="H4172" s="1" t="n">
        <v>42045</v>
      </c>
      <c r="I4172" s="1" t="n">
        <v>42046</v>
      </c>
      <c r="J4172" t="inlineStr">
        <is>
          <t>Halifax, Nova Scotia</t>
        </is>
      </c>
      <c r="K4172" t="inlineStr">
        <is>
          <t>Halifax (Nouvelle-Écosse)</t>
        </is>
      </c>
      <c r="P4172" t="n">
        <v>589.09</v>
      </c>
      <c r="Q4172" t="n">
        <v>157</v>
      </c>
      <c r="R4172" t="n">
        <v>139.59</v>
      </c>
      <c r="S4172" t="n">
        <v>135.35</v>
      </c>
      <c r="T4172" t="n">
        <v>37</v>
      </c>
      <c r="U4172" t="n">
        <v>1058.03</v>
      </c>
      <c r="X4172" t="inlineStr">
        <is>
          <t>acoa-apeca</t>
        </is>
      </c>
      <c r="Y4172" t="inlineStr">
        <is>
          <t>Atlantic Canada Opportunities Agency | Agence de promotion économique du Canada atlantique</t>
        </is>
      </c>
    </row>
    <row r="4173">
      <c r="A4173" t="inlineStr">
        <is>
          <t>T-2015-Q4-00038</t>
        </is>
      </c>
      <c r="B4173" t="inlineStr">
        <is>
          <t>SLE</t>
        </is>
      </c>
      <c r="C4173" t="inlineStr">
        <is>
          <t>Senior Advisor (Energy)</t>
        </is>
      </c>
      <c r="D4173" t="inlineStr">
        <is>
          <t>Conseiller spécial (energie)</t>
        </is>
      </c>
      <c r="E4173" t="inlineStr">
        <is>
          <t>Andrew F. Noseworthy</t>
        </is>
      </c>
      <c r="F4173" t="inlineStr">
        <is>
          <t>Attend Assistant Deputy Minister Forum in Ottawa; attend Executive Committee Meeting in Moncton</t>
        </is>
      </c>
      <c r="G4173" t="inlineStr">
        <is>
          <t>Assister au Forum des sous-ministres adjoints à Ottawa et à une réunion du Comité de direction à Moncton</t>
        </is>
      </c>
      <c r="H4173" s="1" t="n">
        <v>42023</v>
      </c>
      <c r="I4173" s="1" t="n">
        <v>42026</v>
      </c>
      <c r="J4173" t="inlineStr">
        <is>
          <t>Ottawa, Ontario; Moncton, New Brunswick</t>
        </is>
      </c>
      <c r="K4173" t="inlineStr">
        <is>
          <t>Ottawa (Ontario) et Moncton (Nouveau-Brunswick)</t>
        </is>
      </c>
      <c r="P4173" t="n">
        <v>1052.33</v>
      </c>
      <c r="Q4173" t="n">
        <v>172</v>
      </c>
      <c r="R4173" t="n">
        <v>478.46</v>
      </c>
      <c r="S4173" t="n">
        <v>301.6</v>
      </c>
      <c r="T4173" t="n">
        <v>63.25</v>
      </c>
      <c r="U4173" t="n">
        <v>2067.64</v>
      </c>
      <c r="X4173" t="inlineStr">
        <is>
          <t>acoa-apeca</t>
        </is>
      </c>
      <c r="Y4173" t="inlineStr">
        <is>
          <t>Atlantic Canada Opportunities Agency | Agence de promotion économique du Canada atlantique</t>
        </is>
      </c>
    </row>
    <row r="4174">
      <c r="A4174" t="inlineStr">
        <is>
          <t>T-2015-Q4-00032</t>
        </is>
      </c>
      <c r="B4174" t="inlineStr">
        <is>
          <t>SLE</t>
        </is>
      </c>
      <c r="C4174" t="inlineStr">
        <is>
          <t>Senior Advisor (Energy)</t>
        </is>
      </c>
      <c r="D4174" t="inlineStr">
        <is>
          <t>Conseiller spécial (energie)</t>
        </is>
      </c>
      <c r="E4174" t="inlineStr">
        <is>
          <t>Andrew F. Noseworthy</t>
        </is>
      </c>
      <c r="F4174" t="inlineStr">
        <is>
          <t>Meetings with officials from Nova Scotia Department of Energy</t>
        </is>
      </c>
      <c r="G4174" t="inlineStr">
        <is>
          <t>Réunions avec des fonctionnaires du ministère de l'Énergie de la Nouvelle-Écosse</t>
        </is>
      </c>
      <c r="H4174" s="1" t="n">
        <v>42016</v>
      </c>
      <c r="I4174" s="1" t="n">
        <v>42017</v>
      </c>
      <c r="J4174" t="inlineStr">
        <is>
          <t>Halifax, Nova Scotia</t>
        </is>
      </c>
      <c r="K4174" t="inlineStr">
        <is>
          <t>Halifax (Nouvelle-Écosse)</t>
        </is>
      </c>
      <c r="P4174" t="n">
        <v>1090.67</v>
      </c>
      <c r="Q4174" t="n">
        <v>140</v>
      </c>
      <c r="R4174" t="n">
        <v>139.59</v>
      </c>
      <c r="S4174" t="n">
        <v>119</v>
      </c>
      <c r="T4174" t="n">
        <v>46</v>
      </c>
      <c r="U4174" t="n">
        <v>1535.26</v>
      </c>
      <c r="X4174" t="inlineStr">
        <is>
          <t>acoa-apeca</t>
        </is>
      </c>
      <c r="Y4174" t="inlineStr">
        <is>
          <t>Atlantic Canada Opportunities Agency | Agence de promotion économique du Canada atlantique</t>
        </is>
      </c>
    </row>
    <row r="4175">
      <c r="A4175" t="inlineStr">
        <is>
          <t>T-2015-Q4-00002</t>
        </is>
      </c>
      <c r="B4175" t="inlineStr">
        <is>
          <t>SLE</t>
        </is>
      </c>
      <c r="C4175" t="inlineStr">
        <is>
          <t>Senior Advisor (Energy)</t>
        </is>
      </c>
      <c r="D4175" t="inlineStr">
        <is>
          <t>Conseiller spécial (energie)</t>
        </is>
      </c>
      <c r="E4175" t="inlineStr">
        <is>
          <t>Andrew F. Noseworthy</t>
        </is>
      </c>
      <c r="F4175" t="inlineStr">
        <is>
          <t>Meetings with senior provincial energy officials; Energy meeting with Agency staff in Nova Scotia</t>
        </is>
      </c>
      <c r="G4175" t="inlineStr">
        <is>
          <t>Réunions avec des hauts fonctionnaires provinciaux du secteur de l'énergie et réunion sur l'énergie avec des employés de l'Agence en Nouvelle-Écosse</t>
        </is>
      </c>
      <c r="H4175" s="1" t="n">
        <v>41975</v>
      </c>
      <c r="I4175" s="1" t="n">
        <v>41976</v>
      </c>
      <c r="J4175" t="inlineStr">
        <is>
          <t>Halifax, Nova Scotia</t>
        </is>
      </c>
      <c r="K4175" t="inlineStr">
        <is>
          <t>Halifax (Nouvelle-Écosse)</t>
        </is>
      </c>
      <c r="P4175" t="n">
        <v>473.83</v>
      </c>
      <c r="Q4175" t="n">
        <v>70</v>
      </c>
      <c r="R4175" t="n">
        <v>139.59</v>
      </c>
      <c r="S4175" t="n">
        <v>92.55</v>
      </c>
      <c r="T4175" t="n">
        <v>28</v>
      </c>
      <c r="U4175" t="n">
        <v>803.97</v>
      </c>
      <c r="X4175" t="inlineStr">
        <is>
          <t>acoa-apeca</t>
        </is>
      </c>
      <c r="Y4175" t="inlineStr">
        <is>
          <t>Atlantic Canada Opportunities Agency | Agence de promotion économique du Canada atlantique</t>
        </is>
      </c>
    </row>
    <row r="4176">
      <c r="A4176" t="inlineStr">
        <is>
          <t>T-2015-Q3-00076</t>
        </is>
      </c>
      <c r="B4176" t="inlineStr">
        <is>
          <t>SLE</t>
        </is>
      </c>
      <c r="C4176" t="inlineStr">
        <is>
          <t>Senior Advisor (Energy)</t>
        </is>
      </c>
      <c r="D4176" t="inlineStr">
        <is>
          <t>Conseiller spécial (energie)</t>
        </is>
      </c>
      <c r="E4176" t="inlineStr">
        <is>
          <t>Andrew F. Noseworthy</t>
        </is>
      </c>
      <c r="F4176" t="inlineStr">
        <is>
          <t>Various meetings with senior officials from the Agency and other government departments</t>
        </is>
      </c>
      <c r="G4176" t="inlineStr">
        <is>
          <t>Diverses réunions avec des hauts fonctionnaires de l'Agence et d'autres ministères</t>
        </is>
      </c>
      <c r="H4176" s="1" t="n">
        <v>41966</v>
      </c>
      <c r="I4176" s="1" t="n">
        <v>41967</v>
      </c>
      <c r="J4176" t="inlineStr">
        <is>
          <t>Ottawa, Ontario</t>
        </is>
      </c>
      <c r="K4176" t="inlineStr">
        <is>
          <t>Ottawa (Ontario)</t>
        </is>
      </c>
      <c r="P4176" t="n">
        <v>1650.64</v>
      </c>
      <c r="Q4176" t="n">
        <v>115</v>
      </c>
      <c r="R4176" t="n">
        <v>182.73</v>
      </c>
      <c r="S4176" t="n">
        <v>167.45</v>
      </c>
      <c r="T4176" t="n">
        <v>50.25</v>
      </c>
      <c r="U4176" t="n">
        <v>2166.07</v>
      </c>
      <c r="X4176" t="inlineStr">
        <is>
          <t>acoa-apeca</t>
        </is>
      </c>
      <c r="Y4176" t="inlineStr">
        <is>
          <t>Atlantic Canada Opportunities Agency | Agence de promotion économique du Canada atlantique</t>
        </is>
      </c>
    </row>
    <row r="4177">
      <c r="A4177" t="inlineStr">
        <is>
          <t>T-2015-Q3-00068</t>
        </is>
      </c>
      <c r="B4177" t="inlineStr">
        <is>
          <t>SLE</t>
        </is>
      </c>
      <c r="C4177" t="inlineStr">
        <is>
          <t>Senior Advisor (Energy)</t>
        </is>
      </c>
      <c r="D4177" t="inlineStr">
        <is>
          <t>Conseiller spécial (energie)</t>
        </is>
      </c>
      <c r="E4177" t="inlineStr">
        <is>
          <t>Andrew F. Noseworthy</t>
        </is>
      </c>
      <c r="F4177" t="inlineStr">
        <is>
          <t>Attend the New England-Canada Business Council's Energy, Trade and Technology Conference; meeting with Canadian Consulate and Industry officials</t>
        </is>
      </c>
      <c r="G4177" t="inlineStr">
        <is>
          <t>Conférence sur l'énergie, le commerce et la technologie du New England-Canada Business Council; réunion avec le Consulat du Canada et des représentants d'Industrie</t>
        </is>
      </c>
      <c r="H4177" s="1" t="n">
        <v>41954</v>
      </c>
      <c r="I4177" s="1" t="n">
        <v>41958</v>
      </c>
      <c r="J4177" t="inlineStr">
        <is>
          <t>Boston, Massachusetts</t>
        </is>
      </c>
      <c r="K4177" t="inlineStr">
        <is>
          <t>Boston (Massachusetts)</t>
        </is>
      </c>
      <c r="P4177" t="n">
        <v>760.24</v>
      </c>
      <c r="Q4177" t="n">
        <v>214.7</v>
      </c>
      <c r="R4177" t="n">
        <v>1221.51</v>
      </c>
      <c r="S4177" t="n">
        <v>226.29</v>
      </c>
      <c r="T4177" t="n">
        <v>0</v>
      </c>
      <c r="U4177" t="n">
        <v>2422.74</v>
      </c>
      <c r="X4177" t="inlineStr">
        <is>
          <t>acoa-apeca</t>
        </is>
      </c>
      <c r="Y4177" t="inlineStr">
        <is>
          <t>Atlantic Canada Opportunities Agency | Agence de promotion économique du Canada atlantique</t>
        </is>
      </c>
    </row>
    <row r="4178">
      <c r="A4178" t="inlineStr">
        <is>
          <t>T-2015-Q3-00059</t>
        </is>
      </c>
      <c r="B4178" t="inlineStr">
        <is>
          <t>SLE</t>
        </is>
      </c>
      <c r="C4178" t="inlineStr">
        <is>
          <t>Senior Advisor (Energy)</t>
        </is>
      </c>
      <c r="D4178" t="inlineStr">
        <is>
          <t>Conseiller spécial (energie)</t>
        </is>
      </c>
      <c r="E4178" t="inlineStr">
        <is>
          <t>Andrew F. Noseworthy</t>
        </is>
      </c>
      <c r="F4178" t="inlineStr">
        <is>
          <t>Attend International Conference on Ocean Energy; Meeting with Nova Scotia Department of Energy and Marine Renewables Canada officials</t>
        </is>
      </c>
      <c r="G4178" t="inlineStr">
        <is>
          <t>Conférence internationale sur l'énergie marine; réunion avec des représentants du ministère de l'Énergie de la Nouvelle-Écosse et de Marine Renewables Canada</t>
        </is>
      </c>
      <c r="H4178" s="1" t="n">
        <v>41946</v>
      </c>
      <c r="I4178" s="1" t="n">
        <v>41947</v>
      </c>
      <c r="J4178" t="inlineStr">
        <is>
          <t>Halifax, Nova Scotia</t>
        </is>
      </c>
      <c r="K4178" t="inlineStr">
        <is>
          <t>Halifax (Nouvelle-Écosse)</t>
        </is>
      </c>
      <c r="P4178" t="n">
        <v>826.96</v>
      </c>
      <c r="Q4178" t="n">
        <v>70</v>
      </c>
      <c r="R4178" t="n">
        <v>139.59</v>
      </c>
      <c r="S4178" t="n">
        <v>66.7</v>
      </c>
      <c r="T4178" t="n">
        <v>28</v>
      </c>
      <c r="U4178" t="n">
        <v>1131.25</v>
      </c>
      <c r="X4178" t="inlineStr">
        <is>
          <t>acoa-apeca</t>
        </is>
      </c>
      <c r="Y4178" t="inlineStr">
        <is>
          <t>Atlantic Canada Opportunities Agency | Agence de promotion économique du Canada atlantique</t>
        </is>
      </c>
    </row>
    <row r="4179">
      <c r="A4179" t="inlineStr">
        <is>
          <t>T-2014-Q4-00043</t>
        </is>
      </c>
      <c r="B4179" t="inlineStr">
        <is>
          <t>SLE</t>
        </is>
      </c>
      <c r="C4179" t="inlineStr">
        <is>
          <t>Senior Advisor (Energy)</t>
        </is>
      </c>
      <c r="D4179" t="inlineStr">
        <is>
          <t>Conseiller spécial (energie)</t>
        </is>
      </c>
      <c r="E4179" t="inlineStr">
        <is>
          <t>Andrew F. Noseworthy</t>
        </is>
      </c>
      <c r="F4179" t="inlineStr">
        <is>
          <t>Executive Committee meeting, and meeting with Senior Agency officials</t>
        </is>
      </c>
      <c r="G4179" t="inlineStr">
        <is>
          <t>Réunion du Comité de direction et réunion avec des hauts fonctionnaires de l'Agence</t>
        </is>
      </c>
      <c r="H4179" s="1" t="n">
        <v>41675</v>
      </c>
      <c r="I4179" s="1" t="n">
        <v>41677</v>
      </c>
      <c r="J4179" t="inlineStr">
        <is>
          <t>Moncton, New Brunswick</t>
        </is>
      </c>
      <c r="K4179" t="inlineStr">
        <is>
          <t>Moncton (Nouveau-Brunswick)</t>
        </is>
      </c>
      <c r="P4179" t="n">
        <v>1358.2</v>
      </c>
      <c r="Q4179" t="n">
        <v>50</v>
      </c>
      <c r="R4179" t="n">
        <v>276.05</v>
      </c>
      <c r="S4179" t="n">
        <v>167.4</v>
      </c>
      <c r="T4179" t="n">
        <v>0</v>
      </c>
      <c r="U4179" t="n">
        <v>1851.65</v>
      </c>
      <c r="X4179" t="inlineStr">
        <is>
          <t>acoa-apeca</t>
        </is>
      </c>
      <c r="Y4179" t="inlineStr">
        <is>
          <t>Atlantic Canada Opportunities Agency | Agence de promotion économique du Canada atlantique</t>
        </is>
      </c>
    </row>
    <row r="4180">
      <c r="A4180" t="inlineStr">
        <is>
          <t>T-2015-Q3-00041</t>
        </is>
      </c>
      <c r="B4180" t="inlineStr">
        <is>
          <t>SLE</t>
        </is>
      </c>
      <c r="C4180" t="inlineStr">
        <is>
          <t>Senior Advisor (Energy)</t>
        </is>
      </c>
      <c r="D4180" t="inlineStr">
        <is>
          <t>Conseiller spécial (energie)</t>
        </is>
      </c>
      <c r="E4180" t="inlineStr">
        <is>
          <t>Andrew F. Noseworthy</t>
        </is>
      </c>
      <c r="F4180" t="inlineStr">
        <is>
          <t>Participate on interview board; various meetings with officials from other government departments and private sector representatives; Executive Committee meeting in Moncton</t>
        </is>
      </c>
      <c r="G4180" t="inlineStr">
        <is>
          <t>Comité d'entrevue; diverses réunions avec des représentants d'autres ministères et du secteur privé; réunion du Comité de direction à Moncton</t>
        </is>
      </c>
      <c r="H4180" s="1" t="n">
        <v>41932</v>
      </c>
      <c r="I4180" s="1" t="n">
        <v>41935</v>
      </c>
      <c r="J4180" t="inlineStr">
        <is>
          <t>Halifax, Nova Scotia and Moncton, New Brunswick</t>
        </is>
      </c>
      <c r="K4180" t="inlineStr">
        <is>
          <t>Halifax (Nouvelle-Écosse) et Moncton (Nouveau-Brunswick)</t>
        </is>
      </c>
      <c r="P4180" t="n">
        <v>956.54</v>
      </c>
      <c r="Q4180" t="n">
        <v>383.68</v>
      </c>
      <c r="R4180" t="n">
        <v>439.1</v>
      </c>
      <c r="S4180" t="n">
        <v>334.3</v>
      </c>
      <c r="T4180" t="n">
        <v>152.55</v>
      </c>
      <c r="U4180" t="n">
        <v>2266.17</v>
      </c>
      <c r="X4180" t="inlineStr">
        <is>
          <t>acoa-apeca</t>
        </is>
      </c>
      <c r="Y4180" t="inlineStr">
        <is>
          <t>Atlantic Canada Opportunities Agency | Agence de promotion économique du Canada atlantique</t>
        </is>
      </c>
    </row>
    <row r="4181">
      <c r="A4181" t="inlineStr">
        <is>
          <t>T-2015-Q3-00035</t>
        </is>
      </c>
      <c r="B4181" t="inlineStr">
        <is>
          <t>SLE</t>
        </is>
      </c>
      <c r="C4181" t="inlineStr">
        <is>
          <t>Senior Advisor (Energy)</t>
        </is>
      </c>
      <c r="D4181" t="inlineStr">
        <is>
          <t>Conseiller spécial (energie)</t>
        </is>
      </c>
      <c r="E4181" t="inlineStr">
        <is>
          <t>Andrew F. Noseworthy</t>
        </is>
      </c>
      <c r="F4181" t="inlineStr">
        <is>
          <t>Attend the Core Energy Conference; various meetings with private sector representatives</t>
        </is>
      </c>
      <c r="G4181" t="inlineStr">
        <is>
          <t>Assister à la conférence sur l'énergie de Core; diverses réunions avec des représentants du secteur privé</t>
        </is>
      </c>
      <c r="H4181" s="1" t="n">
        <v>41919</v>
      </c>
      <c r="I4181" s="1" t="n">
        <v>41922</v>
      </c>
      <c r="J4181" t="inlineStr">
        <is>
          <t>Halifax, Nova Scotia</t>
        </is>
      </c>
      <c r="K4181" t="inlineStr">
        <is>
          <t>Halifax (Nouvelle-Écosse)</t>
        </is>
      </c>
      <c r="P4181" t="n">
        <v>522.9</v>
      </c>
      <c r="Q4181" t="n">
        <v>148</v>
      </c>
      <c r="R4181" t="n">
        <v>328.44</v>
      </c>
      <c r="S4181" t="n">
        <v>260</v>
      </c>
      <c r="T4181" t="n">
        <v>76.25</v>
      </c>
      <c r="U4181" t="n">
        <v>1335.59</v>
      </c>
      <c r="X4181" t="inlineStr">
        <is>
          <t>acoa-apeca</t>
        </is>
      </c>
      <c r="Y4181" t="inlineStr">
        <is>
          <t>Atlantic Canada Opportunities Agency | Agence de promotion économique du Canada atlantique</t>
        </is>
      </c>
    </row>
    <row r="4182">
      <c r="A4182" t="inlineStr">
        <is>
          <t>T-2015-Q3-00013</t>
        </is>
      </c>
      <c r="B4182" t="inlineStr">
        <is>
          <t>SLE</t>
        </is>
      </c>
      <c r="C4182" t="inlineStr">
        <is>
          <t>Senior Advisor (Energy)</t>
        </is>
      </c>
      <c r="D4182" t="inlineStr">
        <is>
          <t>Conseiller spécial (energie)</t>
        </is>
      </c>
      <c r="E4182" t="inlineStr">
        <is>
          <t>Andrew F. Noseworthy</t>
        </is>
      </c>
      <c r="F4182" t="inlineStr">
        <is>
          <t>Attend Executive Committee meeting</t>
        </is>
      </c>
      <c r="G4182" t="inlineStr">
        <is>
          <t>Assister à une réunion du Comité de direction</t>
        </is>
      </c>
      <c r="H4182" s="1" t="n">
        <v>41892</v>
      </c>
      <c r="I4182" s="1" t="n">
        <v>41893</v>
      </c>
      <c r="J4182" t="inlineStr">
        <is>
          <t>Moncton, New Brunswick</t>
        </is>
      </c>
      <c r="K4182" t="inlineStr">
        <is>
          <t>Moncton (Nouveau-Brunswick)</t>
        </is>
      </c>
      <c r="P4182" t="n">
        <v>648.5599999999999</v>
      </c>
      <c r="Q4182" t="n">
        <v>47</v>
      </c>
      <c r="R4182" t="n">
        <v>113</v>
      </c>
      <c r="S4182" t="n">
        <v>135.45</v>
      </c>
      <c r="T4182" t="n">
        <v>28</v>
      </c>
      <c r="U4182" t="n">
        <v>972.01</v>
      </c>
      <c r="X4182" t="inlineStr">
        <is>
          <t>acoa-apeca</t>
        </is>
      </c>
      <c r="Y4182" t="inlineStr">
        <is>
          <t>Atlantic Canada Opportunities Agency | Agence de promotion économique du Canada atlantique</t>
        </is>
      </c>
    </row>
    <row r="4183">
      <c r="A4183" t="inlineStr">
        <is>
          <t>T-2015-Q2-00052</t>
        </is>
      </c>
      <c r="B4183" t="inlineStr">
        <is>
          <t>SLE</t>
        </is>
      </c>
      <c r="C4183" t="inlineStr">
        <is>
          <t>Senior Advisor (Energy)</t>
        </is>
      </c>
      <c r="D4183" t="inlineStr">
        <is>
          <t>Conseiller spécial (energie)</t>
        </is>
      </c>
      <c r="E4183" t="inlineStr">
        <is>
          <t>Andrew F. Noseworthy</t>
        </is>
      </c>
      <c r="F4183" t="inlineStr">
        <is>
          <t>Attend International Upstream Forum; attend Offshore Northern Seas Conference in Norway. Meeting with High Commission officials in London</t>
        </is>
      </c>
      <c r="G4183" t="inlineStr">
        <is>
          <t>Assister au International Upstream Forum; assister à la Offshore Northern Seas Conference en Norvège; réunion avec des représentants du Haut-Commissariat à Londres</t>
        </is>
      </c>
      <c r="H4183" s="1" t="n">
        <v>41872</v>
      </c>
      <c r="I4183" s="1" t="n">
        <v>41890</v>
      </c>
      <c r="J4183" t="inlineStr">
        <is>
          <t>Stavanger, Norway and London, United Kingdom</t>
        </is>
      </c>
      <c r="K4183" t="inlineStr">
        <is>
          <t>Stavanger (Norvège) et Londres (Royaume-Uni)</t>
        </is>
      </c>
      <c r="P4183" t="n">
        <v>1588.39</v>
      </c>
      <c r="Q4183" t="n">
        <v>541.3200000000001</v>
      </c>
      <c r="R4183" t="n">
        <v>3187.27</v>
      </c>
      <c r="S4183" t="n">
        <v>1308.51</v>
      </c>
      <c r="T4183" t="n">
        <v>8.75</v>
      </c>
      <c r="U4183" t="n">
        <v>6634.24</v>
      </c>
      <c r="X4183" t="inlineStr">
        <is>
          <t>acoa-apeca</t>
        </is>
      </c>
      <c r="Y4183" t="inlineStr">
        <is>
          <t>Atlantic Canada Opportunities Agency | Agence de promotion économique du Canada atlantique</t>
        </is>
      </c>
    </row>
    <row r="4184">
      <c r="A4184" t="inlineStr">
        <is>
          <t>T-2015-Q2-00035</t>
        </is>
      </c>
      <c r="B4184" t="inlineStr">
        <is>
          <t>SLE</t>
        </is>
      </c>
      <c r="C4184" t="inlineStr">
        <is>
          <t>Senior Advisor (Energy)</t>
        </is>
      </c>
      <c r="D4184" t="inlineStr">
        <is>
          <t>Conseiller spécial (energie)</t>
        </is>
      </c>
      <c r="E4184" t="inlineStr">
        <is>
          <t>Andrew F. Noseworthy</t>
        </is>
      </c>
      <c r="F4184" t="inlineStr">
        <is>
          <t>Atlantic Energy Gateway meeting; energy-related site visits</t>
        </is>
      </c>
      <c r="G4184" t="inlineStr">
        <is>
          <t>Réunion de la Porte d'entrée de l'énergie de l'Atlantique; visites sur place liées à l'énergie</t>
        </is>
      </c>
      <c r="H4184" s="1" t="n">
        <v>41829</v>
      </c>
      <c r="I4184" s="1" t="n">
        <v>41830</v>
      </c>
      <c r="J4184" t="inlineStr">
        <is>
          <t>Halifax, Nova Scotia</t>
        </is>
      </c>
      <c r="K4184" t="inlineStr">
        <is>
          <t>Halifax (Nouvelle-Écosse)</t>
        </is>
      </c>
      <c r="P4184" t="n">
        <v>618.55</v>
      </c>
      <c r="Q4184" t="n">
        <v>89</v>
      </c>
      <c r="R4184" t="n">
        <v>174.78</v>
      </c>
      <c r="S4184" t="n">
        <v>134.75</v>
      </c>
      <c r="T4184" t="n">
        <v>28</v>
      </c>
      <c r="U4184" t="n">
        <v>1045.08</v>
      </c>
      <c r="X4184" t="inlineStr">
        <is>
          <t>acoa-apeca</t>
        </is>
      </c>
      <c r="Y4184" t="inlineStr">
        <is>
          <t>Atlantic Canada Opportunities Agency | Agence de promotion économique du Canada atlantique</t>
        </is>
      </c>
    </row>
    <row r="4185">
      <c r="A4185" t="inlineStr">
        <is>
          <t>T-2015-Q2-00026</t>
        </is>
      </c>
      <c r="B4185" t="inlineStr">
        <is>
          <t>SLE</t>
        </is>
      </c>
      <c r="C4185" t="inlineStr">
        <is>
          <t>Senior Advisor (Energy)</t>
        </is>
      </c>
      <c r="D4185" t="inlineStr">
        <is>
          <t>Conseiller spécial (energie)</t>
        </is>
      </c>
      <c r="E4185" t="inlineStr">
        <is>
          <t>Andrew F. Noseworthy</t>
        </is>
      </c>
      <c r="F4185" t="inlineStr">
        <is>
          <t>Various meetings with senior officials of other government departments, and private sector representatives</t>
        </is>
      </c>
      <c r="G4185" t="inlineStr">
        <is>
          <t>Diverses réunions avec des hauts fonctionnaires d'autres ministères et des représentants du secteur privé</t>
        </is>
      </c>
      <c r="H4185" s="1" t="n">
        <v>41815</v>
      </c>
      <c r="I4185" s="1" t="n">
        <v>41816</v>
      </c>
      <c r="J4185" t="inlineStr">
        <is>
          <t>Ottawa, Ontario; Toronto, Ontario</t>
        </is>
      </c>
      <c r="K4185" t="inlineStr">
        <is>
          <t>Ottawa (Ontario) et Toronto (Ontario)</t>
        </is>
      </c>
      <c r="P4185" t="n">
        <v>868.26</v>
      </c>
      <c r="Q4185" t="n">
        <v>170</v>
      </c>
      <c r="R4185" t="n">
        <v>182.83</v>
      </c>
      <c r="S4185" t="n">
        <v>139.45</v>
      </c>
      <c r="T4185" t="n">
        <v>0</v>
      </c>
      <c r="U4185" t="n">
        <v>1360.54</v>
      </c>
      <c r="X4185" t="inlineStr">
        <is>
          <t>acoa-apeca</t>
        </is>
      </c>
      <c r="Y4185" t="inlineStr">
        <is>
          <t>Atlantic Canada Opportunities Agency | Agence de promotion économique du Canada atlantique</t>
        </is>
      </c>
    </row>
    <row r="4186">
      <c r="A4186" t="inlineStr">
        <is>
          <t>T-2015-Q2-00015</t>
        </is>
      </c>
      <c r="B4186" t="inlineStr">
        <is>
          <t>SLE</t>
        </is>
      </c>
      <c r="C4186" t="inlineStr">
        <is>
          <t>Senior Advisor (Energy)</t>
        </is>
      </c>
      <c r="D4186" t="inlineStr">
        <is>
          <t>Conseiller spécial (energie)</t>
        </is>
      </c>
      <c r="E4186" t="inlineStr">
        <is>
          <t>Andrew F. Noseworthy</t>
        </is>
      </c>
      <c r="F4186" t="inlineStr">
        <is>
          <t>Executive Committee meeting</t>
        </is>
      </c>
      <c r="G4186" t="inlineStr">
        <is>
          <t>Réunion du Comité de direction</t>
        </is>
      </c>
      <c r="H4186" s="1" t="n">
        <v>41808</v>
      </c>
      <c r="I4186" s="1" t="n">
        <v>41809</v>
      </c>
      <c r="J4186" t="inlineStr">
        <is>
          <t>Moncton, New Brunswick</t>
        </is>
      </c>
      <c r="K4186" t="inlineStr">
        <is>
          <t>Moncton (Nouveau-Brunswick)</t>
        </is>
      </c>
      <c r="P4186" t="n">
        <v>951.09</v>
      </c>
      <c r="Q4186" t="n">
        <v>261.86</v>
      </c>
      <c r="R4186" t="n">
        <v>137.86</v>
      </c>
      <c r="S4186" t="n">
        <v>135.45</v>
      </c>
      <c r="T4186" t="n">
        <v>109.36</v>
      </c>
      <c r="U4186" t="n">
        <v>1595.62</v>
      </c>
      <c r="X4186" t="inlineStr">
        <is>
          <t>acoa-apeca</t>
        </is>
      </c>
      <c r="Y4186" t="inlineStr">
        <is>
          <t>Atlantic Canada Opportunities Agency | Agence de promotion économique du Canada atlantique</t>
        </is>
      </c>
    </row>
    <row r="4187">
      <c r="A4187" t="inlineStr">
        <is>
          <t>T-2015-Q1-00059</t>
        </is>
      </c>
      <c r="B4187" t="inlineStr">
        <is>
          <t>SLE</t>
        </is>
      </c>
      <c r="C4187" t="inlineStr">
        <is>
          <t>Senior Advisor (Energy)</t>
        </is>
      </c>
      <c r="D4187" t="inlineStr">
        <is>
          <t>Conseiller spécial (energie)</t>
        </is>
      </c>
      <c r="E4187" t="inlineStr">
        <is>
          <t>Andrew F. Noseworthy</t>
        </is>
      </c>
      <c r="F4187" t="inlineStr">
        <is>
          <t>Atlantic Innovation Fund board meeting and Atlantic Energy Gateway Steering Committee meeting</t>
        </is>
      </c>
      <c r="G4187" t="inlineStr">
        <is>
          <t>Réunions du Conseil du Fonds d'innovation de l'Atlantique et du Comité directeur de la Porte d'entrée de l'énergie de l'Atlantique</t>
        </is>
      </c>
      <c r="H4187" s="1" t="n">
        <v>41785</v>
      </c>
      <c r="I4187" s="1" t="n">
        <v>41788</v>
      </c>
      <c r="J4187" t="inlineStr">
        <is>
          <t>Moncton, New Brunswick</t>
        </is>
      </c>
      <c r="K4187" t="inlineStr">
        <is>
          <t>Moncton (Nouveau-Brunswick)</t>
        </is>
      </c>
      <c r="P4187" t="n">
        <v>1459.62</v>
      </c>
      <c r="Q4187" t="n">
        <v>161.75</v>
      </c>
      <c r="R4187" t="n">
        <v>339</v>
      </c>
      <c r="S4187" t="n">
        <v>190</v>
      </c>
      <c r="T4187" t="n">
        <v>71.73999999999999</v>
      </c>
      <c r="U4187" t="n">
        <v>2222.11</v>
      </c>
      <c r="X4187" t="inlineStr">
        <is>
          <t>acoa-apeca</t>
        </is>
      </c>
      <c r="Y4187" t="inlineStr">
        <is>
          <t>Atlantic Canada Opportunities Agency | Agence de promotion économique du Canada atlantique</t>
        </is>
      </c>
    </row>
    <row r="4188">
      <c r="A4188" t="inlineStr">
        <is>
          <t>T-2015-Q1-00054</t>
        </is>
      </c>
      <c r="B4188" t="inlineStr">
        <is>
          <t>SLE</t>
        </is>
      </c>
      <c r="C4188" t="inlineStr">
        <is>
          <t>Senior Advisor (Energy)</t>
        </is>
      </c>
      <c r="D4188" t="inlineStr">
        <is>
          <t>Conseiller spécial (energie)</t>
        </is>
      </c>
      <c r="E4188" t="inlineStr">
        <is>
          <t>Andrew F. Noseworthy</t>
        </is>
      </c>
      <c r="F4188" t="inlineStr">
        <is>
          <t>Attend Nova Scotia Energy Research and Development Forum 2014 and meetings with Nova Scotia Energy and Industry officials</t>
        </is>
      </c>
      <c r="G4188" t="inlineStr">
        <is>
          <t>Assister au Forum sur la recherche-développement énergétique de la Nouvelle-Écosse de 2014 et à des réunions avec des représentants de l'industrie de l'énergie de la Nouvelle-Écosse</t>
        </is>
      </c>
      <c r="H4188" s="1" t="n">
        <v>41779</v>
      </c>
      <c r="I4188" s="1" t="n">
        <v>41781</v>
      </c>
      <c r="J4188" t="inlineStr">
        <is>
          <t>Halifax, Nova Scotia</t>
        </is>
      </c>
      <c r="K4188" t="inlineStr">
        <is>
          <t>Halifax (Nouvelle-Écosse)</t>
        </is>
      </c>
      <c r="P4188" t="n">
        <v>730.65</v>
      </c>
      <c r="Q4188" t="n">
        <v>140</v>
      </c>
      <c r="R4188" t="n">
        <v>326.1</v>
      </c>
      <c r="S4188" t="n">
        <v>226.4</v>
      </c>
      <c r="T4188" t="n">
        <v>42</v>
      </c>
      <c r="U4188" t="n">
        <v>1465.15</v>
      </c>
      <c r="X4188" t="inlineStr">
        <is>
          <t>acoa-apeca</t>
        </is>
      </c>
      <c r="Y4188" t="inlineStr">
        <is>
          <t>Atlantic Canada Opportunities Agency | Agence de promotion économique du Canada atlantique</t>
        </is>
      </c>
    </row>
    <row r="4189">
      <c r="A4189" t="inlineStr">
        <is>
          <t>T-2015-Q1-00036</t>
        </is>
      </c>
      <c r="B4189" t="inlineStr">
        <is>
          <t>SLE</t>
        </is>
      </c>
      <c r="C4189" t="inlineStr">
        <is>
          <t>Senior Advisor (Energy)</t>
        </is>
      </c>
      <c r="D4189" t="inlineStr">
        <is>
          <t>Conseiller spécial (energie)</t>
        </is>
      </c>
      <c r="E4189" t="inlineStr">
        <is>
          <t>Andrew F. Noseworthy</t>
        </is>
      </c>
      <c r="F4189" t="inlineStr">
        <is>
          <t>Attend Offshore Technology Conference 2014 and meetings with Consular and Industry officials</t>
        </is>
      </c>
      <c r="G4189" t="inlineStr">
        <is>
          <t>Assister à la conférence Offshore Technology de 2014 et à des réunions avec des représentants du consulat et de l'industrie</t>
        </is>
      </c>
      <c r="H4189" s="1" t="n">
        <v>41761</v>
      </c>
      <c r="I4189" s="1" t="n">
        <v>41770</v>
      </c>
      <c r="J4189" t="inlineStr">
        <is>
          <t>Houston, Texas</t>
        </is>
      </c>
      <c r="K4189" t="inlineStr">
        <is>
          <t>Houston, Texas</t>
        </is>
      </c>
      <c r="P4189" t="n">
        <v>1183.89</v>
      </c>
      <c r="Q4189" t="n">
        <v>629.15</v>
      </c>
      <c r="R4189" t="n">
        <v>2221.58</v>
      </c>
      <c r="S4189" t="n">
        <v>435.7</v>
      </c>
      <c r="T4189" t="n">
        <v>0</v>
      </c>
      <c r="U4189" t="n">
        <v>4470.32</v>
      </c>
      <c r="X4189" t="inlineStr">
        <is>
          <t>acoa-apeca</t>
        </is>
      </c>
      <c r="Y4189" t="inlineStr">
        <is>
          <t>Atlantic Canada Opportunities Agency | Agence de promotion économique du Canada atlantique</t>
        </is>
      </c>
    </row>
    <row r="4190">
      <c r="A4190" t="inlineStr">
        <is>
          <t>T-2015-Q1-00024</t>
        </is>
      </c>
      <c r="B4190" t="inlineStr">
        <is>
          <t>SLE</t>
        </is>
      </c>
      <c r="C4190" t="inlineStr">
        <is>
          <t>Senior Advisor (Energy)</t>
        </is>
      </c>
      <c r="D4190" t="inlineStr">
        <is>
          <t>Conseiller spécial (energie)</t>
        </is>
      </c>
      <c r="E4190" t="inlineStr">
        <is>
          <t>Andrew F. Noseworthy</t>
        </is>
      </c>
      <c r="F4190" t="inlineStr">
        <is>
          <t>Meeting with Senior Federal and Provincial Officials in Halifax and Energy Meetings in Fredericton and Saint John</t>
        </is>
      </c>
      <c r="G4190" t="inlineStr">
        <is>
          <t>Réunions avec des hauts fonctionnaires fédéraux et provinciaux à Halifax et réunions liées à l'énergie à Fredericton et à Saint John</t>
        </is>
      </c>
      <c r="H4190" s="1" t="n">
        <v>41742</v>
      </c>
      <c r="I4190" s="1" t="n">
        <v>41745</v>
      </c>
      <c r="J4190" t="inlineStr">
        <is>
          <t>Halifax, Nova Scotia; Fredericton, New Brunswick; Saint John, New Brunswick</t>
        </is>
      </c>
      <c r="K4190" t="inlineStr">
        <is>
          <t>Halifax (Nouvelle-Écosse); Fredericton et Saint John (Nouveau-Brunswick)</t>
        </is>
      </c>
      <c r="P4190" t="n">
        <v>1069.04</v>
      </c>
      <c r="Q4190" t="n">
        <v>529.4400000000001</v>
      </c>
      <c r="R4190" t="n">
        <v>414.35</v>
      </c>
      <c r="S4190" t="n">
        <v>316.65</v>
      </c>
      <c r="T4190" t="n">
        <v>90.53</v>
      </c>
      <c r="U4190" t="n">
        <v>2420.01</v>
      </c>
      <c r="X4190" t="inlineStr">
        <is>
          <t>acoa-apeca</t>
        </is>
      </c>
      <c r="Y4190" t="inlineStr">
        <is>
          <t>Atlantic Canada Opportunities Agency | Agence de promotion économique du Canada atlantique</t>
        </is>
      </c>
    </row>
    <row r="4191">
      <c r="A4191" t="inlineStr">
        <is>
          <t>T-2014-Q4-00056</t>
        </is>
      </c>
      <c r="B4191" t="inlineStr">
        <is>
          <t>SLE</t>
        </is>
      </c>
      <c r="C4191" t="inlineStr">
        <is>
          <t>Senior Advisor (Energy)</t>
        </is>
      </c>
      <c r="D4191" t="inlineStr">
        <is>
          <t>Conseiller spécial (energie)</t>
        </is>
      </c>
      <c r="E4191" t="inlineStr">
        <is>
          <t>Andrew F. Noseworthy</t>
        </is>
      </c>
      <c r="F4191" t="inlineStr">
        <is>
          <t>Meeting with officials of the Association of Atlantic Universities and senior Agency officials</t>
        </is>
      </c>
      <c r="G4191" t="inlineStr">
        <is>
          <t>Réunion avec des représentants de l'Association des universités de l'Atlantique et des hauts fonctionnaires de l'Agence</t>
        </is>
      </c>
      <c r="H4191" s="1" t="n">
        <v>41690</v>
      </c>
      <c r="I4191" s="1" t="n">
        <v>41690</v>
      </c>
      <c r="J4191" t="inlineStr">
        <is>
          <t>Halifax, Nova Scotia</t>
        </is>
      </c>
      <c r="K4191" t="inlineStr">
        <is>
          <t>Halifax (Nouvelle-Écosse)</t>
        </is>
      </c>
      <c r="P4191" t="n">
        <v>1358.2</v>
      </c>
      <c r="Q4191" t="n">
        <v>214</v>
      </c>
      <c r="R4191" t="n">
        <v>0</v>
      </c>
      <c r="S4191" t="n">
        <v>57.1</v>
      </c>
      <c r="T4191" t="n">
        <v>24.5</v>
      </c>
      <c r="U4191" t="n">
        <v>1653.8</v>
      </c>
      <c r="X4191" t="inlineStr">
        <is>
          <t>acoa-apeca</t>
        </is>
      </c>
      <c r="Y4191" t="inlineStr">
        <is>
          <t>Atlantic Canada Opportunities Agency | Agence de promotion économique du Canada atlantique</t>
        </is>
      </c>
    </row>
    <row r="4192">
      <c r="A4192" t="inlineStr">
        <is>
          <t>T-2014-Q4-00051</t>
        </is>
      </c>
      <c r="B4192" t="inlineStr">
        <is>
          <t>SLE</t>
        </is>
      </c>
      <c r="C4192" t="inlineStr">
        <is>
          <t>Senior Advisor (Energy)</t>
        </is>
      </c>
      <c r="D4192" t="inlineStr">
        <is>
          <t>Conseiller spécial (energie)</t>
        </is>
      </c>
      <c r="E4192" t="inlineStr">
        <is>
          <t>Andrew F. Noseworthy</t>
        </is>
      </c>
      <c r="F4192" t="inlineStr">
        <is>
          <t>Various meetings with senior Agency officials, and with senior officials from other government departments</t>
        </is>
      </c>
      <c r="G4192" t="inlineStr">
        <is>
          <t>Diverses réunions avec des hauts fonctionnaires de l'Agence et d'autres ministères</t>
        </is>
      </c>
      <c r="H4192" s="1" t="n">
        <v>41684</v>
      </c>
      <c r="I4192" s="1" t="n">
        <v>41687</v>
      </c>
      <c r="J4192" t="inlineStr">
        <is>
          <t>Ottawa, Ontario</t>
        </is>
      </c>
      <c r="K4192" t="inlineStr">
        <is>
          <t>Ottawa (Ontario)</t>
        </is>
      </c>
      <c r="P4192" t="n">
        <v>1358.2</v>
      </c>
      <c r="Q4192" t="n">
        <v>250</v>
      </c>
      <c r="R4192" t="n">
        <v>182.73</v>
      </c>
      <c r="S4192" t="n">
        <v>164.55</v>
      </c>
      <c r="T4192" t="n">
        <v>28.25</v>
      </c>
      <c r="U4192" t="n">
        <v>1983.73</v>
      </c>
      <c r="X4192" t="inlineStr">
        <is>
          <t>acoa-apeca</t>
        </is>
      </c>
      <c r="Y4192" t="inlineStr">
        <is>
          <t>Atlantic Canada Opportunities Agency | Agence de promotion économique du Canada atlantique</t>
        </is>
      </c>
    </row>
    <row r="4193">
      <c r="A4193" t="inlineStr">
        <is>
          <t>T-2013-Q3-00068</t>
        </is>
      </c>
      <c r="B4193" t="inlineStr">
        <is>
          <t>SLE</t>
        </is>
      </c>
      <c r="C4193" t="inlineStr">
        <is>
          <t>Senior Advisor (Energy)</t>
        </is>
      </c>
      <c r="D4193" t="inlineStr">
        <is>
          <t>Conseiller spécial (energie)</t>
        </is>
      </c>
      <c r="E4193" t="inlineStr">
        <is>
          <t>Andrew F. Noseworthy</t>
        </is>
      </c>
      <c r="F4193" t="inlineStr">
        <is>
          <t>Attend Energy, Trade and Technology Conference</t>
        </is>
      </c>
      <c r="G4193" t="inlineStr">
        <is>
          <t>Assister à l'Energy, Trade and Technology Conference</t>
        </is>
      </c>
      <c r="H4193" s="1" t="n">
        <v>41213</v>
      </c>
      <c r="I4193" s="1" t="n">
        <v>41216</v>
      </c>
      <c r="J4193" t="inlineStr">
        <is>
          <t>Boston, Massachusetts</t>
        </is>
      </c>
      <c r="K4193" t="inlineStr">
        <is>
          <t>Boston (Massachusetts)</t>
        </is>
      </c>
      <c r="P4193" t="n">
        <v>955.0700000000001</v>
      </c>
      <c r="Q4193" t="n">
        <v>152.92</v>
      </c>
      <c r="R4193" t="n">
        <v>961</v>
      </c>
      <c r="S4193" t="n">
        <v>238.51</v>
      </c>
      <c r="T4193" t="n">
        <v>0</v>
      </c>
      <c r="U4193" t="n">
        <v>2307.5</v>
      </c>
      <c r="X4193" t="inlineStr">
        <is>
          <t>acoa-apeca</t>
        </is>
      </c>
      <c r="Y4193" t="inlineStr">
        <is>
          <t>Atlantic Canada Opportunities Agency | Agence de promotion économique du Canada atlantique</t>
        </is>
      </c>
    </row>
    <row r="4194">
      <c r="A4194" t="inlineStr">
        <is>
          <t>T-2014-Q4-00035</t>
        </is>
      </c>
      <c r="B4194" t="inlineStr">
        <is>
          <t>SLE</t>
        </is>
      </c>
      <c r="C4194" t="inlineStr">
        <is>
          <t>Senior Advisor (Energy)</t>
        </is>
      </c>
      <c r="D4194" t="inlineStr">
        <is>
          <t>Conseiller spécial (energie)</t>
        </is>
      </c>
      <c r="E4194" t="inlineStr">
        <is>
          <t>Andrew F. Noseworthy</t>
        </is>
      </c>
      <c r="F4194" t="inlineStr">
        <is>
          <t>Meeting with senior Agency officials; meetings with senior provincial officials, and private sector representatives</t>
        </is>
      </c>
      <c r="G4194" t="inlineStr">
        <is>
          <t>Réunion avec des hauts fonctionnaires de l'Agence et réunions avec des hauts fonctionnaires provinciaux et des représentants du secteur privé</t>
        </is>
      </c>
      <c r="H4194" s="1" t="n">
        <v>41666</v>
      </c>
      <c r="I4194" s="1" t="n">
        <v>41668</v>
      </c>
      <c r="J4194" t="inlineStr">
        <is>
          <t>Halifax, Nova Scotia</t>
        </is>
      </c>
      <c r="K4194" t="inlineStr">
        <is>
          <t>Halifax (Nouvelle-Écosse)</t>
        </is>
      </c>
      <c r="P4194" t="n">
        <v>1358.2</v>
      </c>
      <c r="Q4194" t="n">
        <v>202</v>
      </c>
      <c r="R4194" t="n">
        <v>279.18</v>
      </c>
      <c r="S4194" t="n">
        <v>198.25</v>
      </c>
      <c r="T4194" t="n">
        <v>7.25</v>
      </c>
      <c r="U4194" t="n">
        <v>2044.88</v>
      </c>
      <c r="X4194" t="inlineStr">
        <is>
          <t>acoa-apeca</t>
        </is>
      </c>
      <c r="Y4194" t="inlineStr">
        <is>
          <t>Atlantic Canada Opportunities Agency | Agence de promotion économique du Canada atlantique</t>
        </is>
      </c>
    </row>
    <row r="4195">
      <c r="A4195" t="inlineStr">
        <is>
          <t>T-2014-Q4-00015</t>
        </is>
      </c>
      <c r="B4195" t="inlineStr">
        <is>
          <t>SLE</t>
        </is>
      </c>
      <c r="C4195" t="inlineStr">
        <is>
          <t>Senior Advisor (Energy)</t>
        </is>
      </c>
      <c r="D4195" t="inlineStr">
        <is>
          <t>Conseiller spécial (energie)</t>
        </is>
      </c>
      <c r="E4195" t="inlineStr">
        <is>
          <t>Andrew F. Noseworthy</t>
        </is>
      </c>
      <c r="F4195" t="inlineStr">
        <is>
          <t>Meeting with Atlantic Innovation Fund board and senior Agency officials</t>
        </is>
      </c>
      <c r="G4195" t="inlineStr">
        <is>
          <t>Réunion avec le Conseil consultatif du Fonds d'innovation de l'Atlantique et des hauts fonctionnaires de l'Agence</t>
        </is>
      </c>
      <c r="H4195" s="1" t="n">
        <v>41647</v>
      </c>
      <c r="I4195" s="1" t="n">
        <v>41648</v>
      </c>
      <c r="J4195" t="inlineStr">
        <is>
          <t>Halifax, Nova Scotia</t>
        </is>
      </c>
      <c r="K4195" t="inlineStr">
        <is>
          <t>Halifax (Nouvelle-Écosse)</t>
        </is>
      </c>
      <c r="P4195" t="n">
        <v>1358.2</v>
      </c>
      <c r="Q4195" t="n">
        <v>105</v>
      </c>
      <c r="R4195" t="n">
        <v>113</v>
      </c>
      <c r="S4195" t="n">
        <v>149.45</v>
      </c>
      <c r="T4195" t="n">
        <v>37.25</v>
      </c>
      <c r="U4195" t="n">
        <v>1762.9</v>
      </c>
      <c r="X4195" t="inlineStr">
        <is>
          <t>acoa-apeca</t>
        </is>
      </c>
      <c r="Y4195" t="inlineStr">
        <is>
          <t>Atlantic Canada Opportunities Agency | Agence de promotion économique du Canada atlantique</t>
        </is>
      </c>
    </row>
    <row r="4196">
      <c r="A4196" t="inlineStr">
        <is>
          <t>T-2014-Q3-00027</t>
        </is>
      </c>
      <c r="B4196" t="inlineStr">
        <is>
          <t>SLE</t>
        </is>
      </c>
      <c r="C4196" t="inlineStr">
        <is>
          <t>Senior Advisor (Energy)</t>
        </is>
      </c>
      <c r="D4196" t="inlineStr">
        <is>
          <t>Conseiller spécial (energie)</t>
        </is>
      </c>
      <c r="E4196" t="inlineStr">
        <is>
          <t>Andrew F. Noseworthy</t>
        </is>
      </c>
      <c r="F4196" t="inlineStr">
        <is>
          <t>Various meetings with senior Agency officials, senior officials from other government departments, and senior industry officials; attend CORE Energy Conference;  Energy and Atlantic Innovation Fund meetings with senior Agency officials</t>
        </is>
      </c>
      <c r="G4196" t="inlineStr">
        <is>
          <t>Diverses réunions avec des hauts fonctionnaires de l'Agence et d'autres ministères et des cadres de l'industrie; assister à la conférence de CORE; réunions sur l'énergie et le Fonds d'innovation de l'Atlantique avec des hauts fonctionnaires de l'Agence</t>
        </is>
      </c>
      <c r="H4196" s="1" t="n">
        <v>41547</v>
      </c>
      <c r="I4196" s="1" t="n">
        <v>41550</v>
      </c>
      <c r="J4196" t="inlineStr">
        <is>
          <t>Fredericton, New Brunswick; Saint John, New Brunswick; Halifax, Nova Scotia; Ottawa, Ontario</t>
        </is>
      </c>
      <c r="K4196" t="inlineStr">
        <is>
          <t>Fredericton (Nouveau-Brunswick)/Saint John (Nouveau-Brunswick)/Halifax (Nouvelle-Écosse)/Ottawa (Ontario)</t>
        </is>
      </c>
      <c r="P4196" t="n">
        <v>1279.69</v>
      </c>
      <c r="Q4196" t="n">
        <v>303</v>
      </c>
      <c r="R4196" t="n">
        <v>475.98</v>
      </c>
      <c r="S4196" t="n">
        <v>314.95</v>
      </c>
      <c r="T4196" t="n">
        <v>61.25</v>
      </c>
      <c r="U4196" t="n">
        <v>2434.87</v>
      </c>
      <c r="X4196" t="inlineStr">
        <is>
          <t>acoa-apeca</t>
        </is>
      </c>
      <c r="Y4196" t="inlineStr">
        <is>
          <t>Atlantic Canada Opportunities Agency | Agence de promotion économique du Canada atlantique</t>
        </is>
      </c>
    </row>
    <row r="4197">
      <c r="A4197" t="inlineStr">
        <is>
          <t>T-2014-Q3-00019</t>
        </is>
      </c>
      <c r="B4197" t="inlineStr">
        <is>
          <t>SLE</t>
        </is>
      </c>
      <c r="C4197" t="inlineStr">
        <is>
          <t>Senior Advisor (Energy)</t>
        </is>
      </c>
      <c r="D4197" t="inlineStr">
        <is>
          <t>Conseiller spécial (energie)</t>
        </is>
      </c>
      <c r="E4197" t="inlineStr">
        <is>
          <t>Andrew F. Noseworthy</t>
        </is>
      </c>
      <c r="F4197" t="inlineStr">
        <is>
          <t>Attend the 5th International Upstream Forum; attend meeting on offshore licencing and industrial benefit issues</t>
        </is>
      </c>
      <c r="G4197" t="inlineStr">
        <is>
          <t>Assister au cinquième International Upstream Forum; assister à une réunion sur l'octroi de permis d'exploitation extracôtière et les retombées industrielles</t>
        </is>
      </c>
      <c r="H4197" s="1" t="n">
        <v>41540</v>
      </c>
      <c r="I4197" s="1" t="n">
        <v>41543</v>
      </c>
      <c r="J4197" t="inlineStr">
        <is>
          <t>Washington, District of Columbia, United States</t>
        </is>
      </c>
      <c r="K4197" t="inlineStr">
        <is>
          <t>Washington, district de Columbia (États-Unis)</t>
        </is>
      </c>
      <c r="P4197" t="n">
        <v>1809.59</v>
      </c>
      <c r="Q4197" t="n">
        <v>108.09</v>
      </c>
      <c r="R4197" t="n">
        <v>1237.28</v>
      </c>
      <c r="S4197" t="n">
        <v>308.97</v>
      </c>
      <c r="T4197" t="n">
        <v>56</v>
      </c>
      <c r="U4197" t="n">
        <v>3519.93</v>
      </c>
      <c r="X4197" t="inlineStr">
        <is>
          <t>acoa-apeca</t>
        </is>
      </c>
      <c r="Y4197" t="inlineStr">
        <is>
          <t>Atlantic Canada Opportunities Agency | Agence de promotion économique du Canada atlantique</t>
        </is>
      </c>
    </row>
    <row r="4198">
      <c r="A4198" t="inlineStr">
        <is>
          <t>T-2014-Q3-00016</t>
        </is>
      </c>
      <c r="B4198" t="inlineStr">
        <is>
          <t>SLE</t>
        </is>
      </c>
      <c r="C4198" t="inlineStr">
        <is>
          <t>Senior Advisor (Energy)</t>
        </is>
      </c>
      <c r="D4198" t="inlineStr">
        <is>
          <t>Conseiller spécial (energie)</t>
        </is>
      </c>
      <c r="E4198" t="inlineStr">
        <is>
          <t>Andrew F. Noseworthy</t>
        </is>
      </c>
      <c r="F4198" t="inlineStr">
        <is>
          <t>Meetings with senior Agency officials</t>
        </is>
      </c>
      <c r="G4198" t="inlineStr">
        <is>
          <t>Réunions avec des hauts fonctionnaires de l'Agence</t>
        </is>
      </c>
      <c r="H4198" s="1" t="n">
        <v>41535</v>
      </c>
      <c r="I4198" s="1" t="n">
        <v>41536</v>
      </c>
      <c r="J4198" t="inlineStr">
        <is>
          <t>Moncton, New Brunswick</t>
        </is>
      </c>
      <c r="K4198" t="inlineStr">
        <is>
          <t>Moncton (Nouveau-Brunswick)</t>
        </is>
      </c>
      <c r="P4198" t="n">
        <v>393.52</v>
      </c>
      <c r="Q4198" t="n">
        <v>128.89</v>
      </c>
      <c r="R4198" t="n">
        <v>113</v>
      </c>
      <c r="S4198" t="n">
        <v>164.55</v>
      </c>
      <c r="T4198" t="n">
        <v>50.41</v>
      </c>
      <c r="U4198" t="n">
        <v>850.37</v>
      </c>
      <c r="X4198" t="inlineStr">
        <is>
          <t>acoa-apeca</t>
        </is>
      </c>
      <c r="Y4198" t="inlineStr">
        <is>
          <t>Atlantic Canada Opportunities Agency | Agence de promotion économique du Canada atlantique</t>
        </is>
      </c>
    </row>
    <row r="4199">
      <c r="A4199" t="inlineStr">
        <is>
          <t>T-2014-Q2-00045</t>
        </is>
      </c>
      <c r="B4199" t="inlineStr">
        <is>
          <t>SLE</t>
        </is>
      </c>
      <c r="C4199" t="inlineStr">
        <is>
          <t>Senior Advisor (Energy)</t>
        </is>
      </c>
      <c r="D4199" t="inlineStr">
        <is>
          <t>Conseiller spécial (energie)</t>
        </is>
      </c>
      <c r="E4199" t="inlineStr">
        <is>
          <t>Andrew F. Noseworthy</t>
        </is>
      </c>
      <c r="F4199" t="inlineStr">
        <is>
          <t>Participate in trade mission to Offshore Europe 2013 Conference; meeting with Canadian High Commission officials</t>
        </is>
      </c>
      <c r="G4199" t="inlineStr">
        <is>
          <t>Participer à une mission commerciale à la conférence Offshore Europe 2013; réunion avec des représentants du Haut-commissariat du Canada</t>
        </is>
      </c>
      <c r="H4199" s="1" t="n">
        <v>41516</v>
      </c>
      <c r="I4199" s="1" t="n">
        <v>41524</v>
      </c>
      <c r="J4199" t="inlineStr">
        <is>
          <t>Aberdeen, United Kingdom; London, United Kingdom</t>
        </is>
      </c>
      <c r="K4199" t="inlineStr">
        <is>
          <t>Aberdeen (Royaume-Uni)/Londres (Royaume-Uni)</t>
        </is>
      </c>
      <c r="P4199" t="n">
        <v>1565.55</v>
      </c>
      <c r="Q4199" t="n">
        <v>533.51</v>
      </c>
      <c r="R4199" t="n">
        <v>1847.17</v>
      </c>
      <c r="S4199" t="n">
        <v>1021.8</v>
      </c>
      <c r="T4199" t="n">
        <v>0</v>
      </c>
      <c r="U4199" t="n">
        <v>4968.03</v>
      </c>
      <c r="X4199" t="inlineStr">
        <is>
          <t>acoa-apeca</t>
        </is>
      </c>
      <c r="Y4199" t="inlineStr">
        <is>
          <t>Atlantic Canada Opportunities Agency | Agence de promotion économique du Canada atlantique</t>
        </is>
      </c>
    </row>
    <row r="4200">
      <c r="A4200" t="inlineStr">
        <is>
          <t>T-2014-Q2-00027</t>
        </is>
      </c>
      <c r="B4200" t="inlineStr">
        <is>
          <t>SLE</t>
        </is>
      </c>
      <c r="C4200" t="inlineStr">
        <is>
          <t>Senior Advisor (Energy)</t>
        </is>
      </c>
      <c r="D4200" t="inlineStr">
        <is>
          <t>Conseiller spécial (energie)</t>
        </is>
      </c>
      <c r="E4200" t="inlineStr">
        <is>
          <t>Andrew F. Noseworthy</t>
        </is>
      </c>
      <c r="F4200" t="inlineStr">
        <is>
          <t>Energy Ministers' meeting</t>
        </is>
      </c>
      <c r="G4200" t="inlineStr">
        <is>
          <t>Réunion avec des ministres de l'énergie</t>
        </is>
      </c>
      <c r="H4200" s="1" t="n">
        <v>41469</v>
      </c>
      <c r="I4200" s="1" t="n">
        <v>41470</v>
      </c>
      <c r="J4200" t="inlineStr">
        <is>
          <t>Pictou, Nova Scotia</t>
        </is>
      </c>
      <c r="K4200" t="inlineStr">
        <is>
          <t>Pictou (Nouvelle-Écosse)</t>
        </is>
      </c>
      <c r="P4200" t="n">
        <v>681.14</v>
      </c>
      <c r="Q4200" t="n">
        <v>84.95</v>
      </c>
      <c r="R4200" t="n">
        <v>142.47</v>
      </c>
      <c r="S4200" t="n">
        <v>92</v>
      </c>
      <c r="T4200" t="n">
        <v>27.5</v>
      </c>
      <c r="U4200" t="n">
        <v>1028.06</v>
      </c>
      <c r="X4200" t="inlineStr">
        <is>
          <t>acoa-apeca</t>
        </is>
      </c>
      <c r="Y4200" t="inlineStr">
        <is>
          <t>Atlantic Canada Opportunities Agency | Agence de promotion économique du Canada atlantique</t>
        </is>
      </c>
    </row>
    <row r="4201">
      <c r="A4201" t="inlineStr">
        <is>
          <t>T-2014-Q2-00025</t>
        </is>
      </c>
      <c r="B4201" t="inlineStr">
        <is>
          <t>SLE</t>
        </is>
      </c>
      <c r="C4201" t="inlineStr">
        <is>
          <t>Senior Advisor (Energy)</t>
        </is>
      </c>
      <c r="D4201" t="inlineStr">
        <is>
          <t>Conseiller spécial (energie)</t>
        </is>
      </c>
      <c r="E4201" t="inlineStr">
        <is>
          <t>Andrew F. Noseworthy</t>
        </is>
      </c>
      <c r="F4201" t="inlineStr">
        <is>
          <t>Various meetings with senior Agency officials, and officials from other federal government departments</t>
        </is>
      </c>
      <c r="G4201" t="inlineStr">
        <is>
          <t xml:space="preserve">Diverses réunions avec des hauts fonctionnaires de l'Agence et des fonctionnaires d'autres ministères fédéraux </t>
        </is>
      </c>
      <c r="H4201" s="1" t="n">
        <v>41463</v>
      </c>
      <c r="I4201" s="1" t="n">
        <v>41464</v>
      </c>
      <c r="J4201" t="inlineStr">
        <is>
          <t>Ottawa, Ontario</t>
        </is>
      </c>
      <c r="K4201" t="inlineStr">
        <is>
          <t>Ottawa (Ontario)</t>
        </is>
      </c>
      <c r="P4201" t="n">
        <v>594.66</v>
      </c>
      <c r="Q4201" t="n">
        <v>168</v>
      </c>
      <c r="R4201" t="n">
        <v>182.73</v>
      </c>
      <c r="S4201" t="n">
        <v>179.7</v>
      </c>
      <c r="T4201" t="n">
        <v>0</v>
      </c>
      <c r="U4201" t="n">
        <v>1125.09</v>
      </c>
      <c r="X4201" t="inlineStr">
        <is>
          <t>acoa-apeca</t>
        </is>
      </c>
      <c r="Y4201" t="inlineStr">
        <is>
          <t>Atlantic Canada Opportunities Agency | Agence de promotion économique du Canada atlantique</t>
        </is>
      </c>
    </row>
    <row r="4202">
      <c r="A4202" t="inlineStr">
        <is>
          <t>T-2014-Q2-00015</t>
        </is>
      </c>
      <c r="B4202" t="inlineStr">
        <is>
          <t>SLE</t>
        </is>
      </c>
      <c r="C4202" t="inlineStr">
        <is>
          <t>Senior Advisor (Energy)</t>
        </is>
      </c>
      <c r="D4202" t="inlineStr">
        <is>
          <t>Conseiller spécial (energie)</t>
        </is>
      </c>
      <c r="E4202" t="inlineStr">
        <is>
          <t>Andrew F. Noseworthy</t>
        </is>
      </c>
      <c r="F4202" t="inlineStr">
        <is>
          <t>Various meetings with senior federal government officials and provincial and private sector representatives. Meeting with Agency officials and senior provincial government officials</t>
        </is>
      </c>
      <c r="G4202" t="inlineStr">
        <is>
          <t>Diverses réunions avec des hauts fonctionnaires fédéraux et des représentants du provincial et du privé. Réunion avec des fonctionnaires de l'Agence et des hauts fonctionnaires provinciaux</t>
        </is>
      </c>
      <c r="H4202" s="1" t="n">
        <v>41444</v>
      </c>
      <c r="I4202" s="1" t="n">
        <v>41446</v>
      </c>
      <c r="J4202" t="inlineStr">
        <is>
          <t>Halifax, Nova Scotia</t>
        </is>
      </c>
      <c r="K4202" t="inlineStr">
        <is>
          <t>Halifax (Nouvelle-Écosse)</t>
        </is>
      </c>
      <c r="P4202" t="n">
        <v>415.36</v>
      </c>
      <c r="Q4202" t="n">
        <v>140</v>
      </c>
      <c r="R4202" t="n">
        <v>363.64</v>
      </c>
      <c r="S4202" t="n">
        <v>196.5</v>
      </c>
      <c r="T4202" t="n">
        <v>13.5</v>
      </c>
      <c r="U4202" t="n">
        <v>1129</v>
      </c>
      <c r="X4202" t="inlineStr">
        <is>
          <t>acoa-apeca</t>
        </is>
      </c>
      <c r="Y4202" t="inlineStr">
        <is>
          <t>Atlantic Canada Opportunities Agency | Agence de promotion économique du Canada atlantique</t>
        </is>
      </c>
    </row>
    <row r="4203">
      <c r="A4203" t="inlineStr">
        <is>
          <t>T-2014-Q2-00008</t>
        </is>
      </c>
      <c r="B4203" t="inlineStr">
        <is>
          <t>SLE</t>
        </is>
      </c>
      <c r="C4203" t="inlineStr">
        <is>
          <t>Senior Advisor (Energy)</t>
        </is>
      </c>
      <c r="D4203" t="inlineStr">
        <is>
          <t>Conseiller spécial (energie)</t>
        </is>
      </c>
      <c r="E4203" t="inlineStr">
        <is>
          <t>Andrew F. Noseworthy</t>
        </is>
      </c>
      <c r="F4203" t="inlineStr">
        <is>
          <t>Meeting with senior Agency officials</t>
        </is>
      </c>
      <c r="G4203" t="inlineStr">
        <is>
          <t>Réunion avec des hauts fonctionnaires de l'Agence</t>
        </is>
      </c>
      <c r="H4203" s="1" t="n">
        <v>41437</v>
      </c>
      <c r="I4203" s="1" t="n">
        <v>41439</v>
      </c>
      <c r="J4203" t="inlineStr">
        <is>
          <t>Moncton, New Brunswick</t>
        </is>
      </c>
      <c r="K4203" t="inlineStr">
        <is>
          <t>Moncton (Nouveau-Brunswick)</t>
        </is>
      </c>
      <c r="P4203" t="n">
        <v>496.9</v>
      </c>
      <c r="Q4203" t="n">
        <v>196.01</v>
      </c>
      <c r="R4203" t="n">
        <v>226</v>
      </c>
      <c r="S4203" t="n">
        <v>181.85</v>
      </c>
      <c r="T4203" t="n">
        <v>72.56999999999999</v>
      </c>
      <c r="U4203" t="n">
        <v>1173.33</v>
      </c>
      <c r="X4203" t="inlineStr">
        <is>
          <t>acoa-apeca</t>
        </is>
      </c>
      <c r="Y4203" t="inlineStr">
        <is>
          <t>Atlantic Canada Opportunities Agency | Agence de promotion économique du Canada atlantique</t>
        </is>
      </c>
    </row>
    <row r="4204">
      <c r="A4204" t="inlineStr">
        <is>
          <t>T-2014-Q1-00054</t>
        </is>
      </c>
      <c r="B4204" t="inlineStr">
        <is>
          <t>SLE</t>
        </is>
      </c>
      <c r="C4204" t="inlineStr">
        <is>
          <t>Senior Advisor (Energy)</t>
        </is>
      </c>
      <c r="D4204" t="inlineStr">
        <is>
          <t>Conseiller spécial (energie)</t>
        </is>
      </c>
      <c r="E4204" t="inlineStr">
        <is>
          <t>Andrew F. Noseworthy</t>
        </is>
      </c>
      <c r="F4204" t="inlineStr">
        <is>
          <t>Various meetings with senior officials of  the Agency and other government departments</t>
        </is>
      </c>
      <c r="G4204" t="inlineStr">
        <is>
          <t>Participation à diverses réunions avec des hauts fonctionnaires de l'Agence et d'autres ministères</t>
        </is>
      </c>
      <c r="H4204" s="1" t="n">
        <v>41417</v>
      </c>
      <c r="I4204" s="1" t="n">
        <v>41418</v>
      </c>
      <c r="J4204" t="inlineStr">
        <is>
          <t>Ottawa, Ontario</t>
        </is>
      </c>
      <c r="K4204" t="inlineStr">
        <is>
          <t>Ottawa (Ontario)</t>
        </is>
      </c>
      <c r="P4204" t="n">
        <v>767.3099999999999</v>
      </c>
      <c r="Q4204" t="n">
        <v>161</v>
      </c>
      <c r="R4204" t="n">
        <v>177.41</v>
      </c>
      <c r="S4204" t="n">
        <v>122.8</v>
      </c>
      <c r="T4204" t="n">
        <v>0</v>
      </c>
      <c r="U4204" t="n">
        <v>1228.52</v>
      </c>
      <c r="X4204" t="inlineStr">
        <is>
          <t>acoa-apeca</t>
        </is>
      </c>
      <c r="Y4204" t="inlineStr">
        <is>
          <t>Atlantic Canada Opportunities Agency | Agence de promotion économique du Canada atlantique</t>
        </is>
      </c>
    </row>
    <row r="4205">
      <c r="A4205" t="inlineStr">
        <is>
          <t>T-2014-Q1-00048</t>
        </is>
      </c>
      <c r="B4205" t="inlineStr">
        <is>
          <t>SLE</t>
        </is>
      </c>
      <c r="C4205" t="inlineStr">
        <is>
          <t>Senior Advisor (Energy)</t>
        </is>
      </c>
      <c r="D4205" t="inlineStr">
        <is>
          <t>Conseiller spécial (energie)</t>
        </is>
      </c>
      <c r="E4205" t="inlineStr">
        <is>
          <t>Andrew F. Noseworthy</t>
        </is>
      </c>
      <c r="F4205" t="inlineStr">
        <is>
          <t>Various meetings with senior Agency officials, senior officials from other government departments, and private sector representatives in Halifax and Ottawa</t>
        </is>
      </c>
      <c r="G4205" t="inlineStr">
        <is>
          <t>Participation à diverses réunions avec des hauts fonctionnaires de l'Agence et d'autres ministères et des représentants du secteur privé à Halifax et à Ottawa</t>
        </is>
      </c>
      <c r="H4205" s="1" t="n">
        <v>41408</v>
      </c>
      <c r="I4205" s="1" t="n">
        <v>41409</v>
      </c>
      <c r="J4205" t="inlineStr">
        <is>
          <t>Halifax, Nova Scotia; Ottawa, Ontario</t>
        </is>
      </c>
      <c r="K4205" t="inlineStr">
        <is>
          <t>Halifax (Nouvelle-Écosse); Ottawa (Ontario)</t>
        </is>
      </c>
      <c r="P4205" t="n">
        <v>1125.69</v>
      </c>
      <c r="Q4205" t="n">
        <v>176</v>
      </c>
      <c r="R4205" t="n">
        <v>169.5</v>
      </c>
      <c r="S4205" t="n">
        <v>179.7</v>
      </c>
      <c r="T4205" t="n">
        <v>37.5</v>
      </c>
      <c r="U4205" t="n">
        <v>1688.39</v>
      </c>
      <c r="X4205" t="inlineStr">
        <is>
          <t>acoa-apeca</t>
        </is>
      </c>
      <c r="Y4205" t="inlineStr">
        <is>
          <t>Atlantic Canada Opportunities Agency | Agence de promotion économique du Canada atlantique</t>
        </is>
      </c>
    </row>
    <row r="4206">
      <c r="A4206" t="inlineStr">
        <is>
          <t>T-2014-Q1-00041</t>
        </is>
      </c>
      <c r="B4206" t="inlineStr">
        <is>
          <t>SLE</t>
        </is>
      </c>
      <c r="C4206" t="inlineStr">
        <is>
          <t>Senior Advisor (Energy)</t>
        </is>
      </c>
      <c r="D4206" t="inlineStr">
        <is>
          <t>Conseiller spécial (energie)</t>
        </is>
      </c>
      <c r="E4206" t="inlineStr">
        <is>
          <t>Andrew F. Noseworthy</t>
        </is>
      </c>
      <c r="F4206" t="inlineStr">
        <is>
          <t>Participate in Trade Mission to Offshore Technology Conference, meetings with private sector representatives, Houston, Texas</t>
        </is>
      </c>
      <c r="G4206" t="inlineStr">
        <is>
          <t>Participation à une mission commerciale au Salon des technologies extracôtières et à des réunions avec des représentants du secteur privé à Houston, au Texas</t>
        </is>
      </c>
      <c r="H4206" s="1" t="n">
        <v>41397</v>
      </c>
      <c r="I4206" s="1" t="n">
        <v>41405</v>
      </c>
      <c r="J4206" t="inlineStr">
        <is>
          <t>Houston, Texas</t>
        </is>
      </c>
      <c r="K4206" t="inlineStr">
        <is>
          <t>Houston (Texas)</t>
        </is>
      </c>
      <c r="P4206" t="n">
        <v>337.15</v>
      </c>
      <c r="Q4206" t="n">
        <v>694.3200000000001</v>
      </c>
      <c r="R4206" t="n">
        <v>1144.64</v>
      </c>
      <c r="S4206" t="n">
        <v>604.0599999999999</v>
      </c>
      <c r="T4206" t="n">
        <v>0</v>
      </c>
      <c r="U4206" t="n">
        <v>2780.17</v>
      </c>
      <c r="X4206" t="inlineStr">
        <is>
          <t>acoa-apeca</t>
        </is>
      </c>
      <c r="Y4206" t="inlineStr">
        <is>
          <t>Atlantic Canada Opportunities Agency | Agence de promotion économique du Canada atlantique</t>
        </is>
      </c>
    </row>
    <row r="4207">
      <c r="A4207" t="inlineStr">
        <is>
          <t>T-2014-Q1-00037</t>
        </is>
      </c>
      <c r="B4207" t="inlineStr">
        <is>
          <t>SLE</t>
        </is>
      </c>
      <c r="C4207" t="inlineStr">
        <is>
          <t>Senior Advisor (Energy)</t>
        </is>
      </c>
      <c r="D4207" t="inlineStr">
        <is>
          <t>Conseiller spécial (energie)</t>
        </is>
      </c>
      <c r="E4207" t="inlineStr">
        <is>
          <t>Andrew F. Noseworthy</t>
        </is>
      </c>
      <c r="F4207" t="inlineStr">
        <is>
          <t>Attend Marine and Defence Industry Forum</t>
        </is>
      </c>
      <c r="G4207" t="inlineStr">
        <is>
          <t>Participation au Forum des secteurs de la marine et de la défence</t>
        </is>
      </c>
      <c r="H4207" s="1" t="n">
        <v>41390</v>
      </c>
      <c r="I4207" s="1" t="n">
        <v>41390</v>
      </c>
      <c r="J4207" t="inlineStr">
        <is>
          <t>Halifax, Nova Scotia</t>
        </is>
      </c>
      <c r="K4207" t="inlineStr">
        <is>
          <t>Halifax (Nouvelle-Écosse)</t>
        </is>
      </c>
      <c r="P4207" t="n">
        <v>112.42</v>
      </c>
      <c r="Q4207" t="n">
        <v>150</v>
      </c>
      <c r="R4207" t="n">
        <v>0</v>
      </c>
      <c r="S4207" t="n">
        <v>72.55</v>
      </c>
      <c r="T4207" t="n">
        <v>28</v>
      </c>
      <c r="U4207" t="n">
        <v>362.97</v>
      </c>
      <c r="X4207" t="inlineStr">
        <is>
          <t>acoa-apeca</t>
        </is>
      </c>
      <c r="Y4207" t="inlineStr">
        <is>
          <t>Atlantic Canada Opportunities Agency | Agence de promotion économique du Canada atlantique</t>
        </is>
      </c>
    </row>
    <row r="4208">
      <c r="A4208" t="inlineStr">
        <is>
          <t>T-2014-Q1-00029</t>
        </is>
      </c>
      <c r="B4208" t="inlineStr">
        <is>
          <t>SLE</t>
        </is>
      </c>
      <c r="C4208" t="inlineStr">
        <is>
          <t>Senior Advisor (Energy)</t>
        </is>
      </c>
      <c r="D4208" t="inlineStr">
        <is>
          <t>Conseiller spécial (energie)</t>
        </is>
      </c>
      <c r="E4208" t="inlineStr">
        <is>
          <t>Andrew F. Noseworthy</t>
        </is>
      </c>
      <c r="F4208" t="inlineStr">
        <is>
          <t>Various meetings with senior officials of Agency and other government departments; attend mandatory Human Resources training</t>
        </is>
      </c>
      <c r="G4208" t="inlineStr">
        <is>
          <t>Participation à diverses réunions avec des hauts fonctionnaires de l'Agence et d'autres ministères et à une formation obligatoire en ressources humaines</t>
        </is>
      </c>
      <c r="H4208" s="1" t="n">
        <v>41380</v>
      </c>
      <c r="I4208" s="1" t="n">
        <v>41381</v>
      </c>
      <c r="J4208" t="inlineStr">
        <is>
          <t>Ottawa, Ontario; Halifax, Nova Scotia</t>
        </is>
      </c>
      <c r="K4208" t="inlineStr">
        <is>
          <t>Ottawa (Ontario); Halifax (Nouvelle-Écosse)</t>
        </is>
      </c>
      <c r="P4208" t="n">
        <v>1263.89</v>
      </c>
      <c r="Q4208" t="n">
        <v>80</v>
      </c>
      <c r="R4208" t="n">
        <v>146.63</v>
      </c>
      <c r="S4208" t="n">
        <v>122.8</v>
      </c>
      <c r="T4208" t="n">
        <v>46.75</v>
      </c>
      <c r="U4208" t="n">
        <v>1660.07</v>
      </c>
      <c r="X4208" t="inlineStr">
        <is>
          <t>acoa-apeca</t>
        </is>
      </c>
      <c r="Y4208" t="inlineStr">
        <is>
          <t>Atlantic Canada Opportunities Agency | Agence de promotion économique du Canada atlantique</t>
        </is>
      </c>
    </row>
    <row r="4209">
      <c r="A4209" t="inlineStr">
        <is>
          <t>T-2014-Q1-00022</t>
        </is>
      </c>
      <c r="B4209" t="inlineStr">
        <is>
          <t>SLE</t>
        </is>
      </c>
      <c r="C4209" t="inlineStr">
        <is>
          <t>Senior Advisor (Energy)</t>
        </is>
      </c>
      <c r="D4209" t="inlineStr">
        <is>
          <t>Conseiller spécial (energie)</t>
        </is>
      </c>
      <c r="E4209" t="inlineStr">
        <is>
          <t>Andrew F. Noseworthy</t>
        </is>
      </c>
      <c r="F4209" t="inlineStr">
        <is>
          <t>Meeting of Atlantic Innovation Fund Advisory Board and various meetings with senior officials of Agency</t>
        </is>
      </c>
      <c r="G4209" t="inlineStr">
        <is>
          <t>Participation à une réunion du Conseil consultatif du Fonds d'innovation de l'Atlantique et à diverses réunions avec des hauts fonctionnaires de l'Agence</t>
        </is>
      </c>
      <c r="H4209" s="1" t="n">
        <v>41372</v>
      </c>
      <c r="I4209" s="1" t="n">
        <v>41374</v>
      </c>
      <c r="J4209" t="inlineStr">
        <is>
          <t>Moncton, New Brunswick</t>
        </is>
      </c>
      <c r="K4209" t="inlineStr">
        <is>
          <t>Moncton (Nouveau-Brunswick)</t>
        </is>
      </c>
      <c r="P4209" t="n">
        <v>559.04</v>
      </c>
      <c r="Q4209" t="n">
        <v>163.33</v>
      </c>
      <c r="R4209" t="n">
        <v>291.54</v>
      </c>
      <c r="S4209" t="n">
        <v>197</v>
      </c>
      <c r="T4209" t="n">
        <v>68.12</v>
      </c>
      <c r="U4209" t="n">
        <v>1279.03</v>
      </c>
      <c r="X4209" t="inlineStr">
        <is>
          <t>acoa-apeca</t>
        </is>
      </c>
      <c r="Y4209" t="inlineStr">
        <is>
          <t>Atlantic Canada Opportunities Agency | Agence de promotion économique du Canada atlantique</t>
        </is>
      </c>
    </row>
    <row r="4210">
      <c r="A4210" t="inlineStr">
        <is>
          <t>T-2014-Q1-00012</t>
        </is>
      </c>
      <c r="B4210" t="inlineStr">
        <is>
          <t>SLE</t>
        </is>
      </c>
      <c r="C4210" t="inlineStr">
        <is>
          <t>Senior Advisor (Energy)</t>
        </is>
      </c>
      <c r="D4210" t="inlineStr">
        <is>
          <t>Conseiller spécial (energie)</t>
        </is>
      </c>
      <c r="E4210" t="inlineStr">
        <is>
          <t>Andrew F. Noseworthy</t>
        </is>
      </c>
      <c r="F4210" t="inlineStr">
        <is>
          <t>Meeting of Federal Assistant Deputy Minister, Science and Technology Committee and various meetings with other senior Agency and government officials</t>
        </is>
      </c>
      <c r="G4210" t="inlineStr">
        <is>
          <t>Réunion du comité des sous-ministres adjoints fédéraux des sciences et de la technologie; réunions avec des hauts fonctionnaires de l'Agence et du gouvernement</t>
        </is>
      </c>
      <c r="H4210" s="1" t="n">
        <v>41346</v>
      </c>
      <c r="I4210" s="1" t="n">
        <v>41347</v>
      </c>
      <c r="J4210" t="inlineStr">
        <is>
          <t>Ottawa, Ontario</t>
        </is>
      </c>
      <c r="K4210" t="inlineStr">
        <is>
          <t>Ottawa (Ontario)</t>
        </is>
      </c>
      <c r="P4210" t="n">
        <v>716.12</v>
      </c>
      <c r="Q4210" t="n">
        <v>73</v>
      </c>
      <c r="R4210" t="n">
        <v>177.41</v>
      </c>
      <c r="S4210" t="n">
        <v>121.4</v>
      </c>
      <c r="T4210" t="n">
        <v>28</v>
      </c>
      <c r="U4210" t="n">
        <v>1115.93</v>
      </c>
      <c r="X4210" t="inlineStr">
        <is>
          <t>acoa-apeca</t>
        </is>
      </c>
      <c r="Y4210" t="inlineStr">
        <is>
          <t>Atlantic Canada Opportunities Agency | Agence de promotion économique du Canada atlantique</t>
        </is>
      </c>
    </row>
    <row r="4211">
      <c r="A4211" t="inlineStr">
        <is>
          <t>T-2014-Q1-00005</t>
        </is>
      </c>
      <c r="B4211" t="inlineStr">
        <is>
          <t>SLE</t>
        </is>
      </c>
      <c r="C4211" t="inlineStr">
        <is>
          <t>Senior Advisor (Energy)</t>
        </is>
      </c>
      <c r="D4211" t="inlineStr">
        <is>
          <t>Conseiller spécial (energie)</t>
        </is>
      </c>
      <c r="E4211" t="inlineStr">
        <is>
          <t>Andrew F. Noseworthy</t>
        </is>
      </c>
      <c r="F4211" t="inlineStr">
        <is>
          <t>Various meetings with senior officials of the Agency</t>
        </is>
      </c>
      <c r="G4211" t="inlineStr">
        <is>
          <t>Diverses réunions avec des hauts fonctionnaires de l'Agence</t>
        </is>
      </c>
      <c r="H4211" s="1" t="n">
        <v>41339</v>
      </c>
      <c r="I4211" s="1" t="n">
        <v>41340</v>
      </c>
      <c r="J4211" t="inlineStr">
        <is>
          <t>Halifax, Nova Scotia</t>
        </is>
      </c>
      <c r="K4211" t="inlineStr">
        <is>
          <t>Halifax (Nouvelle-Écosse)</t>
        </is>
      </c>
      <c r="P4211" t="n">
        <v>514.8</v>
      </c>
      <c r="Q4211" t="n">
        <v>140</v>
      </c>
      <c r="R4211" t="n">
        <v>139.59</v>
      </c>
      <c r="S4211" t="n">
        <v>147.7</v>
      </c>
      <c r="T4211" t="n">
        <v>32.5</v>
      </c>
      <c r="U4211" t="n">
        <v>974.59</v>
      </c>
      <c r="X4211" t="inlineStr">
        <is>
          <t>acoa-apeca</t>
        </is>
      </c>
      <c r="Y4211" t="inlineStr">
        <is>
          <t>Atlantic Canada Opportunities Agency | Agence de promotion économique du Canada atlantique</t>
        </is>
      </c>
    </row>
    <row r="4212">
      <c r="A4212" t="inlineStr">
        <is>
          <t>T-2013-Q4-00055</t>
        </is>
      </c>
      <c r="B4212" t="inlineStr">
        <is>
          <t>SLE</t>
        </is>
      </c>
      <c r="C4212" t="inlineStr">
        <is>
          <t>Senior Advisor (Energy)</t>
        </is>
      </c>
      <c r="D4212" t="inlineStr">
        <is>
          <t>Conseiller spécial (energie)</t>
        </is>
      </c>
      <c r="E4212" t="inlineStr">
        <is>
          <t>Andrew F. Noseworthy</t>
        </is>
      </c>
      <c r="F4212" t="inlineStr">
        <is>
          <t>Meetings with Senior Agency Officials</t>
        </is>
      </c>
      <c r="G4212" t="inlineStr">
        <is>
          <t>Réunions avec des hauts fonctionnaires de l'Agence</t>
        </is>
      </c>
      <c r="H4212" s="1" t="n">
        <v>41325</v>
      </c>
      <c r="I4212" s="1" t="n">
        <v>41326</v>
      </c>
      <c r="J4212" t="inlineStr">
        <is>
          <t>Moncton, New Brunswick</t>
        </is>
      </c>
      <c r="K4212" t="inlineStr">
        <is>
          <t>Moncton (Nouveau-Brunswick)</t>
        </is>
      </c>
      <c r="P4212" t="n">
        <v>1524.58</v>
      </c>
      <c r="Q4212" t="n">
        <v>259.45</v>
      </c>
      <c r="R4212" t="n">
        <v>134.47</v>
      </c>
      <c r="S4212" t="n">
        <v>147.7</v>
      </c>
      <c r="T4212" t="n">
        <v>22.41</v>
      </c>
      <c r="U4212" t="n">
        <v>2088.61</v>
      </c>
      <c r="X4212" t="inlineStr">
        <is>
          <t>acoa-apeca</t>
        </is>
      </c>
      <c r="Y4212" t="inlineStr">
        <is>
          <t>Atlantic Canada Opportunities Agency | Agence de promotion économique du Canada atlantique</t>
        </is>
      </c>
    </row>
    <row r="4213">
      <c r="A4213" t="inlineStr">
        <is>
          <t>T-2013-Q4-00052</t>
        </is>
      </c>
      <c r="B4213" t="inlineStr">
        <is>
          <t>SLE</t>
        </is>
      </c>
      <c r="C4213" t="inlineStr">
        <is>
          <t>Senior Advisor (Energy)</t>
        </is>
      </c>
      <c r="D4213" t="inlineStr">
        <is>
          <t>Conseiller spécial (energie)</t>
        </is>
      </c>
      <c r="E4213" t="inlineStr">
        <is>
          <t>Andrew F. Noseworthy</t>
        </is>
      </c>
      <c r="F4213" t="inlineStr">
        <is>
          <t>Atlantic Conference on Public Administration panelist</t>
        </is>
      </c>
      <c r="G4213" t="inlineStr">
        <is>
          <t>Expert d'un groupe de discussion à la Conférence atlantique sur l'administration publique</t>
        </is>
      </c>
      <c r="H4213" s="1" t="n">
        <v>41319</v>
      </c>
      <c r="I4213" s="1" t="n">
        <v>41320</v>
      </c>
      <c r="J4213" t="inlineStr">
        <is>
          <t>Halifax, Nova Scotia</t>
        </is>
      </c>
      <c r="K4213" t="inlineStr">
        <is>
          <t>Halifax (Nouvelle-Écosse)</t>
        </is>
      </c>
      <c r="P4213" t="n">
        <v>1796.08</v>
      </c>
      <c r="Q4213" t="n">
        <v>213</v>
      </c>
      <c r="R4213" t="n">
        <v>127.86</v>
      </c>
      <c r="S4213" t="n">
        <v>132.7</v>
      </c>
      <c r="T4213" t="n">
        <v>18.5</v>
      </c>
      <c r="U4213" t="n">
        <v>2288.14</v>
      </c>
      <c r="X4213" t="inlineStr">
        <is>
          <t>acoa-apeca</t>
        </is>
      </c>
      <c r="Y4213" t="inlineStr">
        <is>
          <t>Atlantic Canada Opportunities Agency | Agence de promotion économique du Canada atlantique</t>
        </is>
      </c>
    </row>
    <row r="4214">
      <c r="A4214" t="inlineStr">
        <is>
          <t>T-2013-Q3-00049</t>
        </is>
      </c>
      <c r="B4214" t="inlineStr">
        <is>
          <t>SLE</t>
        </is>
      </c>
      <c r="C4214" t="inlineStr">
        <is>
          <t>Senior Advisor (Energy)</t>
        </is>
      </c>
      <c r="D4214" t="inlineStr">
        <is>
          <t>Conseiller spécial (energie)</t>
        </is>
      </c>
      <c r="E4214" t="inlineStr">
        <is>
          <t>Andrew F. Noseworthy</t>
        </is>
      </c>
      <c r="F4214" t="inlineStr">
        <is>
          <t>Meetings with Senior Agency officials</t>
        </is>
      </c>
      <c r="G4214" t="inlineStr">
        <is>
          <t>Réunions avec des hauts fonctionnaires de l'Agence</t>
        </is>
      </c>
      <c r="H4214" s="1" t="n">
        <v>41193</v>
      </c>
      <c r="I4214" s="1" t="n">
        <v>41193</v>
      </c>
      <c r="J4214" t="inlineStr">
        <is>
          <t>Moncton, New Brunswick</t>
        </is>
      </c>
      <c r="K4214" t="inlineStr">
        <is>
          <t>Moncton (Nouveau-Brunswick)</t>
        </is>
      </c>
      <c r="P4214" t="n">
        <v>865.51</v>
      </c>
      <c r="Q4214" t="n">
        <v>51</v>
      </c>
      <c r="R4214" t="n">
        <v>0</v>
      </c>
      <c r="S4214" t="n">
        <v>56.8</v>
      </c>
      <c r="T4214" t="n">
        <v>14</v>
      </c>
      <c r="U4214" t="n">
        <v>987.3099999999999</v>
      </c>
      <c r="X4214" t="inlineStr">
        <is>
          <t>acoa-apeca</t>
        </is>
      </c>
      <c r="Y4214" t="inlineStr">
        <is>
          <t>Atlantic Canada Opportunities Agency | Agence de promotion économique du Canada atlantique</t>
        </is>
      </c>
    </row>
    <row r="4215">
      <c r="A4215" t="inlineStr">
        <is>
          <t>T-2013-Q4-00036</t>
        </is>
      </c>
      <c r="B4215" t="inlineStr">
        <is>
          <t>SLE</t>
        </is>
      </c>
      <c r="C4215" t="inlineStr">
        <is>
          <t>Senior Advisor (Energy)</t>
        </is>
      </c>
      <c r="D4215" t="inlineStr">
        <is>
          <t>Conseiller spécial (energie)</t>
        </is>
      </c>
      <c r="E4215" t="inlineStr">
        <is>
          <t>Andrew F. Noseworthy</t>
        </is>
      </c>
      <c r="F4215" t="inlineStr">
        <is>
          <t>Energy and skills meetings; Atlantic Canada Opportunities Board meeting; Atlantic Innovation Fund meetings</t>
        </is>
      </c>
      <c r="G4215" t="inlineStr">
        <is>
          <t>Réunions sur l'énergie et les compétences; réunion du Conseil de promotion économique du Canada atlantique; réunions du Fonds d'innovation de l'Atlantique</t>
        </is>
      </c>
      <c r="H4215" s="1" t="n">
        <v>41297</v>
      </c>
      <c r="I4215" s="1" t="n">
        <v>41297</v>
      </c>
      <c r="J4215" t="inlineStr">
        <is>
          <t>Ottawa, Ontario; Moncton, New Brunswick; Halifax, Nova Scotia</t>
        </is>
      </c>
      <c r="K4215" t="inlineStr">
        <is>
          <t>Ottawa (Ontario); Moncton (Nouveau-Brunswick); Halifax (Nouvelle-Écosse)</t>
        </is>
      </c>
      <c r="P4215" t="n">
        <v>1707.08</v>
      </c>
      <c r="Q4215" t="n">
        <v>499</v>
      </c>
      <c r="R4215" t="n">
        <v>505.18</v>
      </c>
      <c r="S4215" t="n">
        <v>358.7</v>
      </c>
      <c r="T4215" t="n">
        <v>6.25</v>
      </c>
      <c r="U4215" t="n">
        <v>3076.21</v>
      </c>
      <c r="X4215" t="inlineStr">
        <is>
          <t>acoa-apeca</t>
        </is>
      </c>
      <c r="Y4215" t="inlineStr">
        <is>
          <t>Atlantic Canada Opportunities Agency | Agence de promotion économique du Canada atlantique</t>
        </is>
      </c>
    </row>
    <row r="4216">
      <c r="A4216" t="inlineStr">
        <is>
          <t>T-2013-Q4-00028</t>
        </is>
      </c>
      <c r="B4216" t="inlineStr">
        <is>
          <t>SLE</t>
        </is>
      </c>
      <c r="C4216" t="inlineStr">
        <is>
          <t>Senior Advisor (Energy)</t>
        </is>
      </c>
      <c r="D4216" t="inlineStr">
        <is>
          <t>Conseiller spécial (energie)</t>
        </is>
      </c>
      <c r="E4216" t="inlineStr">
        <is>
          <t>Andrew F. Noseworthy</t>
        </is>
      </c>
      <c r="F4216" t="inlineStr">
        <is>
          <t>Atlantic Workforce Partnership meeting;  energy meetings; meeting with Senior Agency Officials</t>
        </is>
      </c>
      <c r="G4216" t="inlineStr">
        <is>
          <t>Réunion du Partenariat pour la main-d'oeuvre de l'Atlantique; réunion portant sur l'énergie; réunion avec des hauts fonctionnaires de l'Agence</t>
        </is>
      </c>
      <c r="H4216" s="1" t="n">
        <v>41289</v>
      </c>
      <c r="I4216" s="1" t="n">
        <v>41291</v>
      </c>
      <c r="J4216" t="inlineStr">
        <is>
          <t>Halifax, Nova Scotia; Moncton, New Brunswick</t>
        </is>
      </c>
      <c r="K4216" t="inlineStr">
        <is>
          <t>Halifax (Nouvelle-Écosse); Moncton (Nouveau-Brunswick)</t>
        </is>
      </c>
      <c r="P4216" t="n">
        <v>1044.4</v>
      </c>
      <c r="Q4216" t="n">
        <v>179</v>
      </c>
      <c r="R4216" t="n">
        <v>252.59</v>
      </c>
      <c r="S4216" t="n">
        <v>221.8</v>
      </c>
      <c r="T4216" t="n">
        <v>29.25</v>
      </c>
      <c r="U4216" t="n">
        <v>1727.04</v>
      </c>
      <c r="X4216" t="inlineStr">
        <is>
          <t>acoa-apeca</t>
        </is>
      </c>
      <c r="Y4216" t="inlineStr">
        <is>
          <t>Atlantic Canada Opportunities Agency | Agence de promotion économique du Canada atlantique</t>
        </is>
      </c>
    </row>
    <row r="4217">
      <c r="A4217" t="inlineStr">
        <is>
          <t>T-2013-Q4-00017</t>
        </is>
      </c>
      <c r="B4217" t="inlineStr">
        <is>
          <t>SLE</t>
        </is>
      </c>
      <c r="C4217" t="inlineStr">
        <is>
          <t>Senior Advisor (Energy)</t>
        </is>
      </c>
      <c r="D4217" t="inlineStr">
        <is>
          <t>Conseiller spécial (energie)</t>
        </is>
      </c>
      <c r="E4217" t="inlineStr">
        <is>
          <t>Andrew F. Noseworthy</t>
        </is>
      </c>
      <c r="F4217" t="inlineStr">
        <is>
          <t>Meetings with Senior Agency Officials</t>
        </is>
      </c>
      <c r="G4217" t="inlineStr">
        <is>
          <t>Réunions avec des hauts fonctionnaires de l'Agence</t>
        </is>
      </c>
      <c r="H4217" s="1" t="n">
        <v>41261</v>
      </c>
      <c r="I4217" s="1" t="n">
        <v>41263</v>
      </c>
      <c r="J4217" t="inlineStr">
        <is>
          <t>Moncton, New Brunswick</t>
        </is>
      </c>
      <c r="K4217" t="inlineStr">
        <is>
          <t>Moncton (Nouveau-Brunswick)</t>
        </is>
      </c>
      <c r="P4217" t="n">
        <v>1048.24</v>
      </c>
      <c r="Q4217" t="n">
        <v>50</v>
      </c>
      <c r="R4217" t="n">
        <v>226</v>
      </c>
      <c r="S4217" t="n">
        <v>221.8</v>
      </c>
      <c r="T4217" t="n">
        <v>42</v>
      </c>
      <c r="U4217" t="n">
        <v>1588.04</v>
      </c>
      <c r="X4217" t="inlineStr">
        <is>
          <t>acoa-apeca</t>
        </is>
      </c>
      <c r="Y4217" t="inlineStr">
        <is>
          <t>Atlantic Canada Opportunities Agency | Agence de promotion économique du Canada atlantique</t>
        </is>
      </c>
    </row>
    <row r="4218">
      <c r="A4218" t="inlineStr">
        <is>
          <t>T-2013-Q4-00011</t>
        </is>
      </c>
      <c r="B4218" t="inlineStr">
        <is>
          <t>SLE</t>
        </is>
      </c>
      <c r="C4218" t="inlineStr">
        <is>
          <t>Senior Advisor (Energy)</t>
        </is>
      </c>
      <c r="D4218" t="inlineStr">
        <is>
          <t>Conseiller spécial (energie)</t>
        </is>
      </c>
      <c r="E4218" t="inlineStr">
        <is>
          <t>Andrew F. Noseworthy</t>
        </is>
      </c>
      <c r="F4218" t="inlineStr">
        <is>
          <t>Atlantic Innovation Fund meetings</t>
        </is>
      </c>
      <c r="G4218" t="inlineStr">
        <is>
          <t>Réunions du Fonds d'innovation de l'Atlantique</t>
        </is>
      </c>
      <c r="H4218" s="1" t="n">
        <v>41255</v>
      </c>
      <c r="I4218" s="1" t="n">
        <v>41256</v>
      </c>
      <c r="J4218" t="inlineStr">
        <is>
          <t>Halifax, Nova Scotia; Moncton, New Brunswick</t>
        </is>
      </c>
      <c r="K4218" t="inlineStr">
        <is>
          <t>Halifax (Nouvelle-Écosse); Moncton (Nouveau-Brunswick)</t>
        </is>
      </c>
      <c r="P4218" t="n">
        <v>906.5</v>
      </c>
      <c r="Q4218" t="n">
        <v>25</v>
      </c>
      <c r="R4218" t="n">
        <v>113</v>
      </c>
      <c r="S4218" t="n">
        <v>147.7</v>
      </c>
      <c r="T4218" t="n">
        <v>28</v>
      </c>
      <c r="U4218" t="n">
        <v>1220.2</v>
      </c>
      <c r="X4218" t="inlineStr">
        <is>
          <t>acoa-apeca</t>
        </is>
      </c>
      <c r="Y4218" t="inlineStr">
        <is>
          <t>Atlantic Canada Opportunities Agency | Agence de promotion économique du Canada atlantique</t>
        </is>
      </c>
    </row>
    <row r="4219">
      <c r="A4219" t="inlineStr">
        <is>
          <t>T-2013-Q3-00090</t>
        </is>
      </c>
      <c r="B4219" t="inlineStr">
        <is>
          <t>SLE</t>
        </is>
      </c>
      <c r="C4219" t="inlineStr">
        <is>
          <t>Senior Advisor (Energy)</t>
        </is>
      </c>
      <c r="D4219" t="inlineStr">
        <is>
          <t>Conseiller spécial (energie)</t>
        </is>
      </c>
      <c r="E4219" t="inlineStr">
        <is>
          <t>Andrew F. Noseworthy</t>
        </is>
      </c>
      <c r="F4219" t="inlineStr">
        <is>
          <t>Atlantic Innovation Fund Board meeting; Meetings with Agency staff</t>
        </is>
      </c>
      <c r="G4219" t="inlineStr">
        <is>
          <t>Réunion du Conseil du Fonds d'innovation de l'Atlantique; réunions avec le personnel de l'Agence</t>
        </is>
      </c>
      <c r="H4219" s="1" t="n">
        <v>41233</v>
      </c>
      <c r="I4219" s="1" t="n">
        <v>41234</v>
      </c>
      <c r="J4219" t="inlineStr">
        <is>
          <t>Moncton, New Brunswick</t>
        </is>
      </c>
      <c r="K4219" t="inlineStr">
        <is>
          <t>Moncton (Nouveau-Brunswick)</t>
        </is>
      </c>
      <c r="P4219" t="n">
        <v>1146.09</v>
      </c>
      <c r="Q4219" t="n">
        <v>43</v>
      </c>
      <c r="R4219" t="n">
        <v>134.47</v>
      </c>
      <c r="S4219" t="n">
        <v>163.2</v>
      </c>
      <c r="T4219" t="n">
        <v>28</v>
      </c>
      <c r="U4219" t="n">
        <v>1514.76</v>
      </c>
      <c r="X4219" t="inlineStr">
        <is>
          <t>acoa-apeca</t>
        </is>
      </c>
      <c r="Y4219" t="inlineStr">
        <is>
          <t>Atlantic Canada Opportunities Agency | Agence de promotion économique du Canada atlantique</t>
        </is>
      </c>
    </row>
    <row r="4220">
      <c r="A4220" t="inlineStr">
        <is>
          <t>T-2013-Q3-00077</t>
        </is>
      </c>
      <c r="B4220" t="inlineStr">
        <is>
          <t>SLE</t>
        </is>
      </c>
      <c r="C4220" t="inlineStr">
        <is>
          <t>Senior Advisor (Energy)</t>
        </is>
      </c>
      <c r="D4220" t="inlineStr">
        <is>
          <t>Conseiller spécial (energie)</t>
        </is>
      </c>
      <c r="E4220" t="inlineStr">
        <is>
          <t>Andrew F. Noseworthy</t>
        </is>
      </c>
      <c r="F4220" t="inlineStr">
        <is>
          <t>Meet with senior Agency officials; meet with officials from Natural Resources Canada and Industry Canada</t>
        </is>
      </c>
      <c r="G4220" t="inlineStr">
        <is>
          <t>Réunion avec des hauts fonctionnaires de l'Agence; réunion avec des fonctionnaires de Ressources naturelles Canada et d'Industrie Canada</t>
        </is>
      </c>
      <c r="H4220" s="1" t="n">
        <v>41226</v>
      </c>
      <c r="I4220" s="1" t="n">
        <v>41227</v>
      </c>
      <c r="J4220" t="inlineStr">
        <is>
          <t>Ottawa, Ontario</t>
        </is>
      </c>
      <c r="K4220" t="inlineStr">
        <is>
          <t>Ottawa (Ontario)</t>
        </is>
      </c>
      <c r="P4220" t="n">
        <v>1357.13</v>
      </c>
      <c r="Q4220" t="n">
        <v>94</v>
      </c>
      <c r="R4220" t="n">
        <v>177.41</v>
      </c>
      <c r="S4220" t="n">
        <v>121.9</v>
      </c>
      <c r="T4220" t="n">
        <v>32.5</v>
      </c>
      <c r="U4220" t="n">
        <v>1782.94</v>
      </c>
      <c r="X4220" t="inlineStr">
        <is>
          <t>acoa-apeca</t>
        </is>
      </c>
      <c r="Y4220" t="inlineStr">
        <is>
          <t>Atlantic Canada Opportunities Agency | Agence de promotion économique du Canada atlantique</t>
        </is>
      </c>
    </row>
    <row r="4221">
      <c r="A4221" t="inlineStr">
        <is>
          <t>T-2013-Q3-00074</t>
        </is>
      </c>
      <c r="B4221" t="inlineStr">
        <is>
          <t>SLE</t>
        </is>
      </c>
      <c r="C4221" t="inlineStr">
        <is>
          <t>Senior Advisor (Energy)</t>
        </is>
      </c>
      <c r="D4221" t="inlineStr">
        <is>
          <t>Conseiller spécial (energie)</t>
        </is>
      </c>
      <c r="E4221" t="inlineStr">
        <is>
          <t>Andrew F. Noseworthy</t>
        </is>
      </c>
      <c r="F4221" t="inlineStr">
        <is>
          <t>Meet with officials from the New Brunswick Department of Energy; Atlantic Innovation Fund meeting; Energy meeting</t>
        </is>
      </c>
      <c r="G4221" t="inlineStr">
        <is>
          <t>Réunion avec des fonctionnaires du ministère de l'Énergie du Nouveau-Brunswick; réunion du Fonds d'innovation de l'Atlantique; réunion sur l'énergie</t>
        </is>
      </c>
      <c r="H4221" s="1" t="n">
        <v>41220</v>
      </c>
      <c r="I4221" s="1" t="n">
        <v>41220</v>
      </c>
      <c r="J4221" t="inlineStr">
        <is>
          <t>Fredericton, New Brunswick; Saint John, New Brunswick</t>
        </is>
      </c>
      <c r="K4221" t="inlineStr">
        <is>
          <t>Fredericton et Saint John (Nouveau-Brunswick)</t>
        </is>
      </c>
      <c r="P4221" t="n">
        <v>1720.11</v>
      </c>
      <c r="Q4221" t="n">
        <v>231.77</v>
      </c>
      <c r="R4221" t="n">
        <v>0</v>
      </c>
      <c r="S4221" t="n">
        <v>71.8</v>
      </c>
      <c r="T4221" t="n">
        <v>13.5</v>
      </c>
      <c r="U4221" t="n">
        <v>2037.18</v>
      </c>
      <c r="X4221" t="inlineStr">
        <is>
          <t>acoa-apeca</t>
        </is>
      </c>
      <c r="Y4221" t="inlineStr">
        <is>
          <t>Atlantic Canada Opportunities Agency | Agence de promotion économique du Canada atlantique</t>
        </is>
      </c>
    </row>
    <row r="4222">
      <c r="A4222" t="inlineStr">
        <is>
          <t>T-2013-Q3-00030</t>
        </is>
      </c>
      <c r="B4222" t="inlineStr">
        <is>
          <t>SLE</t>
        </is>
      </c>
      <c r="C4222" t="inlineStr">
        <is>
          <t>Senior Advisor (Energy)</t>
        </is>
      </c>
      <c r="D4222" t="inlineStr">
        <is>
          <t>Conseiller spécial (energie)</t>
        </is>
      </c>
      <c r="E4222" t="inlineStr">
        <is>
          <t>Andrew F. Noseworthy</t>
        </is>
      </c>
      <c r="F4222" t="inlineStr">
        <is>
          <t>Meeting with Senior Agency Officials; energy meeting with Senior Officials from Natural Resources Canada; Atlantic Energy Gateway meeting</t>
        </is>
      </c>
      <c r="G4222" t="inlineStr">
        <is>
          <t>Réunion avec des hauts fonctionnaires de l'Agence; réunion sur l'énergie avec des hauts fonctionnaires de Ressources naturelles Canada; réunion sur la Porte d'entrée de l'énergie de l'Atlantique</t>
        </is>
      </c>
      <c r="H4222" s="1" t="n">
        <v>41176</v>
      </c>
      <c r="I4222" s="1" t="n">
        <v>41178</v>
      </c>
      <c r="J4222" t="inlineStr">
        <is>
          <t>Ottawa, Ontario and Halifax, Nova Scotia</t>
        </is>
      </c>
      <c r="K4222" t="inlineStr">
        <is>
          <t>Ottawa (Ontario) et Halifax (Nouvelle-Écosse)</t>
        </is>
      </c>
      <c r="P4222" t="n">
        <v>1043.55</v>
      </c>
      <c r="Q4222" t="n">
        <v>142</v>
      </c>
      <c r="R4222" t="n">
        <v>340.46</v>
      </c>
      <c r="S4222" t="n">
        <v>220.5</v>
      </c>
      <c r="T4222" t="n">
        <v>63.25</v>
      </c>
      <c r="U4222" t="n">
        <v>1809.76</v>
      </c>
      <c r="X4222" t="inlineStr">
        <is>
          <t>acoa-apeca</t>
        </is>
      </c>
      <c r="Y4222" t="inlineStr">
        <is>
          <t>Atlantic Canada Opportunities Agency | Agence de promotion économique du Canada atlantique</t>
        </is>
      </c>
    </row>
    <row r="4223">
      <c r="A4223" t="inlineStr">
        <is>
          <t>T-2013-Q3-00021</t>
        </is>
      </c>
      <c r="B4223" t="inlineStr">
        <is>
          <t>SLE</t>
        </is>
      </c>
      <c r="C4223" t="inlineStr">
        <is>
          <t>Senior Advisor (Energy)</t>
        </is>
      </c>
      <c r="D4223" t="inlineStr">
        <is>
          <t>Conseiller spécial (energie)</t>
        </is>
      </c>
      <c r="E4223" t="inlineStr">
        <is>
          <t>Andrew F. Noseworthy</t>
        </is>
      </c>
      <c r="F4223" t="inlineStr">
        <is>
          <t>Energy and Atlantic Innovation meetings; meetings with senior Agency officials; meeting with senior industry officials</t>
        </is>
      </c>
      <c r="G4223" t="inlineStr">
        <is>
          <t>Réunions sur l'énergie et le Fonds d'innovation de l'Atlantique; réunions avec des hauts fonctionnaires de l'Agence; réunion avec des cadres supérieurs de l'industrie</t>
        </is>
      </c>
      <c r="H4223" s="1" t="n">
        <v>41168</v>
      </c>
      <c r="I4223" s="1" t="n">
        <v>41171</v>
      </c>
      <c r="J4223" t="inlineStr">
        <is>
          <t>Ottawa, Ontario and Halifax, Nova Scotia</t>
        </is>
      </c>
      <c r="K4223" t="inlineStr">
        <is>
          <t>Ottawa (Ontario) et Halifax (Nouvelle-Écosse)</t>
        </is>
      </c>
      <c r="P4223" t="n">
        <v>1327.4</v>
      </c>
      <c r="Q4223" t="n">
        <v>70</v>
      </c>
      <c r="R4223" t="n">
        <v>532.23</v>
      </c>
      <c r="S4223" t="n">
        <v>268.25</v>
      </c>
      <c r="T4223" t="n">
        <v>56</v>
      </c>
      <c r="U4223" t="n">
        <v>2253.88</v>
      </c>
      <c r="X4223" t="inlineStr">
        <is>
          <t>acoa-apeca</t>
        </is>
      </c>
      <c r="Y4223" t="inlineStr">
        <is>
          <t>Atlantic Canada Opportunities Agency | Agence de promotion économique du Canada atlantique</t>
        </is>
      </c>
    </row>
    <row r="4224">
      <c r="A4224" t="inlineStr">
        <is>
          <t>T-2013-Q3-00018</t>
        </is>
      </c>
      <c r="B4224" t="inlineStr">
        <is>
          <t>SLE</t>
        </is>
      </c>
      <c r="C4224" t="inlineStr">
        <is>
          <t>Senior Advisor (Energy)</t>
        </is>
      </c>
      <c r="D4224" t="inlineStr">
        <is>
          <t>Conseiller spécial (energie)</t>
        </is>
      </c>
      <c r="E4224" t="inlineStr">
        <is>
          <t>Andrew F. Noseworthy</t>
        </is>
      </c>
      <c r="F4224" t="inlineStr">
        <is>
          <t>Atlantic Energy Gateway announcement</t>
        </is>
      </c>
      <c r="G4224" t="inlineStr">
        <is>
          <t>Annonce liée à la Porte d'entrée de l'énergie de l'Atlantique</t>
        </is>
      </c>
      <c r="H4224" s="1" t="n">
        <v>41161</v>
      </c>
      <c r="I4224" s="1" t="n">
        <v>41162</v>
      </c>
      <c r="J4224" t="inlineStr">
        <is>
          <t>Charlottetown, Prince Edward Island</t>
        </is>
      </c>
      <c r="K4224" t="inlineStr">
        <is>
          <t>Charlottetown (Île-du-Prince-Édouard)</t>
        </is>
      </c>
      <c r="P4224" t="n">
        <v>1204.18</v>
      </c>
      <c r="Q4224" t="n">
        <v>28</v>
      </c>
      <c r="R4224" t="n">
        <v>236.12</v>
      </c>
      <c r="S4224" t="n">
        <v>177.2</v>
      </c>
      <c r="T4224" t="n">
        <v>28</v>
      </c>
      <c r="U4224" t="n">
        <v>1673.5</v>
      </c>
      <c r="X4224" t="inlineStr">
        <is>
          <t>acoa-apeca</t>
        </is>
      </c>
      <c r="Y4224" t="inlineStr">
        <is>
          <t>Atlantic Canada Opportunities Agency | Agence de promotion économique du Canada atlantique</t>
        </is>
      </c>
    </row>
    <row r="4225">
      <c r="A4225" t="inlineStr">
        <is>
          <t>T-2013-Q2-00058</t>
        </is>
      </c>
      <c r="B4225" t="inlineStr">
        <is>
          <t>SLE</t>
        </is>
      </c>
      <c r="C4225" t="inlineStr">
        <is>
          <t>Senior Advisor (Energy)</t>
        </is>
      </c>
      <c r="D4225" t="inlineStr">
        <is>
          <t>Conseiller spécial (energie)</t>
        </is>
      </c>
      <c r="E4225" t="inlineStr">
        <is>
          <t>Andrew F. Noseworthy</t>
        </is>
      </c>
      <c r="F4225" t="inlineStr">
        <is>
          <t>Upstream Forum; Offshore Northern Seas 2012 conference; Meetings with High Commission</t>
        </is>
      </c>
      <c r="G4225" t="inlineStr">
        <is>
          <t>Assister à l'Upstream Forum; assister à la conférence Offshore Northern Seas 2012; réunions avec le Haut-commissariat</t>
        </is>
      </c>
      <c r="H4225" s="1" t="n">
        <v>41143</v>
      </c>
      <c r="I4225" s="1" t="n">
        <v>41153</v>
      </c>
      <c r="J4225" t="inlineStr">
        <is>
          <t>Aberdeen, Scotland, Stavanger, Norway and London, England</t>
        </is>
      </c>
      <c r="K4225" t="inlineStr">
        <is>
          <t>Aberdeen (Écosse), Stavanger (Norvège) et Londres (Angleterre)</t>
        </is>
      </c>
      <c r="P4225" t="n">
        <v>2395.61</v>
      </c>
      <c r="Q4225" t="n">
        <v>685.64</v>
      </c>
      <c r="R4225" t="n">
        <v>3233.44</v>
      </c>
      <c r="S4225" t="n">
        <v>1521</v>
      </c>
      <c r="T4225" t="n">
        <v>0</v>
      </c>
      <c r="U4225" t="n">
        <v>7835.69</v>
      </c>
      <c r="X4225" t="inlineStr">
        <is>
          <t>acoa-apeca</t>
        </is>
      </c>
      <c r="Y4225" t="inlineStr">
        <is>
          <t>Atlantic Canada Opportunities Agency | Agence de promotion économique du Canada atlantique</t>
        </is>
      </c>
    </row>
    <row r="4226">
      <c r="A4226" t="inlineStr">
        <is>
          <t>T-2013-Q2-00051</t>
        </is>
      </c>
      <c r="B4226" t="inlineStr">
        <is>
          <t>SLE</t>
        </is>
      </c>
      <c r="C4226" t="inlineStr">
        <is>
          <t>Senior Advisor (Energy)</t>
        </is>
      </c>
      <c r="D4226" t="inlineStr">
        <is>
          <t>Conseiller spécial (energie)</t>
        </is>
      </c>
      <c r="E4226" t="inlineStr">
        <is>
          <t>Andrew F. Noseworthy</t>
        </is>
      </c>
      <c r="F4226" t="inlineStr">
        <is>
          <t>Tidal energy meetings</t>
        </is>
      </c>
      <c r="G4226" t="inlineStr">
        <is>
          <t>Réunions sur l'énergie marémotrice</t>
        </is>
      </c>
      <c r="H4226" s="1" t="n">
        <v>41136</v>
      </c>
      <c r="I4226" s="1" t="n">
        <v>41136</v>
      </c>
      <c r="J4226" t="inlineStr">
        <is>
          <t>Halifax, Nova Scotia</t>
        </is>
      </c>
      <c r="K4226" t="inlineStr">
        <is>
          <t>Halifax (Nouvelle-Écosse)</t>
        </is>
      </c>
      <c r="P4226" t="n">
        <v>589.17</v>
      </c>
      <c r="Q4226" t="n">
        <v>59.58</v>
      </c>
      <c r="R4226" t="n">
        <v>0</v>
      </c>
      <c r="S4226" t="n">
        <v>55.7</v>
      </c>
      <c r="T4226" t="n">
        <v>58.07</v>
      </c>
      <c r="U4226" t="n">
        <v>762.52</v>
      </c>
      <c r="X4226" t="inlineStr">
        <is>
          <t>acoa-apeca</t>
        </is>
      </c>
      <c r="Y4226" t="inlineStr">
        <is>
          <t>Atlantic Canada Opportunities Agency | Agence de promotion économique du Canada atlantique</t>
        </is>
      </c>
    </row>
    <row r="4227">
      <c r="A4227" t="inlineStr">
        <is>
          <t>T-2013-Q2-00036</t>
        </is>
      </c>
      <c r="B4227" t="inlineStr">
        <is>
          <t>SLE</t>
        </is>
      </c>
      <c r="C4227" t="inlineStr">
        <is>
          <t>Senior Advisor (Energy)</t>
        </is>
      </c>
      <c r="D4227" t="inlineStr">
        <is>
          <t>Conseiller spécial (energie)</t>
        </is>
      </c>
      <c r="E4227" t="inlineStr">
        <is>
          <t>Andrew F. Noseworthy</t>
        </is>
      </c>
      <c r="F4227" t="inlineStr">
        <is>
          <t>Meeting with Atlantic Innovation Fund Team</t>
        </is>
      </c>
      <c r="G4227" t="inlineStr">
        <is>
          <t>Réunion avec l'équipe du Fonds d'innovation de l'Atlantique</t>
        </is>
      </c>
      <c r="H4227" s="1" t="n">
        <v>41108</v>
      </c>
      <c r="I4227" s="1" t="n">
        <v>41109</v>
      </c>
      <c r="J4227" t="inlineStr">
        <is>
          <t>Charlottetown, Prince Edward Island</t>
        </is>
      </c>
      <c r="K4227" t="inlineStr">
        <is>
          <t>Charlottetown (Île-du-Prince-Édouard)</t>
        </is>
      </c>
      <c r="P4227" t="n">
        <v>1134.77</v>
      </c>
      <c r="Q4227" t="n">
        <v>15</v>
      </c>
      <c r="R4227" t="n">
        <v>164.93</v>
      </c>
      <c r="S4227" t="n">
        <v>146.75</v>
      </c>
      <c r="T4227" t="n">
        <v>28</v>
      </c>
      <c r="U4227" t="n">
        <v>1489.45</v>
      </c>
      <c r="X4227" t="inlineStr">
        <is>
          <t>acoa-apeca</t>
        </is>
      </c>
      <c r="Y4227" t="inlineStr">
        <is>
          <t>Atlantic Canada Opportunities Agency | Agence de promotion économique du Canada atlantique</t>
        </is>
      </c>
    </row>
    <row r="4228">
      <c r="A4228" t="inlineStr">
        <is>
          <t>T-2012-Q3-00070</t>
        </is>
      </c>
      <c r="B4228" t="inlineStr">
        <is>
          <t>SLE</t>
        </is>
      </c>
      <c r="C4228" t="inlineStr">
        <is>
          <t>Senior Advisor (Energy)</t>
        </is>
      </c>
      <c r="D4228" t="inlineStr">
        <is>
          <t>Conseiller spécial (energie)</t>
        </is>
      </c>
      <c r="E4228" t="inlineStr">
        <is>
          <t>Andrew F. Noseworthy</t>
        </is>
      </c>
      <c r="F4228" t="inlineStr">
        <is>
          <t>Executive Committee meeting; meeting with senior departmental official</t>
        </is>
      </c>
      <c r="G4228" t="inlineStr">
        <is>
          <t>Réunion du Comité de direction et réunion avec un haut fonctionnaire de l'Agence</t>
        </is>
      </c>
      <c r="H4228" s="1" t="n">
        <v>40861</v>
      </c>
      <c r="I4228" s="1" t="n">
        <v>40862</v>
      </c>
      <c r="J4228" t="inlineStr">
        <is>
          <t>Moncton, New Brunswick; Ottawa, Ontario</t>
        </is>
      </c>
      <c r="K4228" t="inlineStr">
        <is>
          <t>Moncton (Nouveau-Brunswick) et Ottawa (Ontario)</t>
        </is>
      </c>
      <c r="P4228" t="n">
        <v>2796.07</v>
      </c>
      <c r="Q4228" t="n">
        <v>121</v>
      </c>
      <c r="R4228" t="n">
        <v>174.02</v>
      </c>
      <c r="S4228" t="n">
        <v>160.5</v>
      </c>
      <c r="T4228" t="n">
        <v>37.5</v>
      </c>
      <c r="U4228" t="n">
        <v>3289.09</v>
      </c>
      <c r="X4228" t="inlineStr">
        <is>
          <t>acoa-apeca</t>
        </is>
      </c>
      <c r="Y4228" t="inlineStr">
        <is>
          <t>Atlantic Canada Opportunities Agency | Agence de promotion économique du Canada atlantique</t>
        </is>
      </c>
    </row>
    <row r="4229">
      <c r="A4229" t="inlineStr">
        <is>
          <t>T-2013-Q2-00034</t>
        </is>
      </c>
      <c r="B4229" t="inlineStr">
        <is>
          <t>SLE</t>
        </is>
      </c>
      <c r="C4229" t="inlineStr">
        <is>
          <t>Senior Advisor (Energy)</t>
        </is>
      </c>
      <c r="D4229" t="inlineStr">
        <is>
          <t>Conseiller spécial (energie)</t>
        </is>
      </c>
      <c r="E4229" t="inlineStr">
        <is>
          <t>Andrew F. Noseworthy</t>
        </is>
      </c>
      <c r="F4229" t="inlineStr">
        <is>
          <t xml:space="preserve">Meetings with Atlantic Innovation Fund Teams </t>
        </is>
      </c>
      <c r="G4229" t="inlineStr">
        <is>
          <t>Réunions avec les équipes du Fonds d'innovation de l'Atlantique</t>
        </is>
      </c>
      <c r="H4229" s="1" t="n">
        <v>41100</v>
      </c>
      <c r="I4229" s="1" t="n">
        <v>41105</v>
      </c>
      <c r="J4229" t="inlineStr">
        <is>
          <t>Fredericton, New Brunswick; Sydney, Nova Scotia; Halifax, Nova Scotia; Saint John, New Brunswick</t>
        </is>
      </c>
      <c r="K4229" t="inlineStr">
        <is>
          <t>Fredericton (Nouveau-Brunswick); Sydney (Nouvelle-Écosse); Halifax (Nouvelle-Écosse); Saint John (Nouveau-Brunswick)</t>
        </is>
      </c>
      <c r="P4229" t="n">
        <v>2732.4</v>
      </c>
      <c r="Q4229" t="n">
        <v>486.67</v>
      </c>
      <c r="R4229" t="n">
        <v>572.0599999999999</v>
      </c>
      <c r="S4229" t="n">
        <v>445.45</v>
      </c>
      <c r="T4229" t="n">
        <v>53.11</v>
      </c>
      <c r="U4229" t="n">
        <v>4289.69</v>
      </c>
      <c r="X4229" t="inlineStr">
        <is>
          <t>acoa-apeca</t>
        </is>
      </c>
      <c r="Y4229" t="inlineStr">
        <is>
          <t>Atlantic Canada Opportunities Agency | Agence de promotion économique du Canada atlantique</t>
        </is>
      </c>
    </row>
    <row r="4230">
      <c r="A4230" t="inlineStr">
        <is>
          <t>T-2013-Q2-00026</t>
        </is>
      </c>
      <c r="B4230" t="inlineStr">
        <is>
          <t>SLE</t>
        </is>
      </c>
      <c r="C4230" t="inlineStr">
        <is>
          <t>Senior Advisor (Energy)</t>
        </is>
      </c>
      <c r="D4230" t="inlineStr">
        <is>
          <t>Conseiller spécial (energie)</t>
        </is>
      </c>
      <c r="E4230" t="inlineStr">
        <is>
          <t>Andrew F. Noseworthy</t>
        </is>
      </c>
      <c r="F4230" t="inlineStr">
        <is>
          <t>Atlantic Innovation Fund meetings; Executive Committee meeting</t>
        </is>
      </c>
      <c r="G4230" t="inlineStr">
        <is>
          <t>Réunions du Fonds d'innovation de l'Atlantique; réunion du Comité de direction</t>
        </is>
      </c>
      <c r="H4230" s="1" t="n">
        <v>41086</v>
      </c>
      <c r="I4230" s="1" t="n">
        <v>41089</v>
      </c>
      <c r="J4230" t="inlineStr">
        <is>
          <t>Moncton, New Brunswick</t>
        </is>
      </c>
      <c r="K4230" t="inlineStr">
        <is>
          <t>Moncton (Nouveau-Brunswick)</t>
        </is>
      </c>
      <c r="P4230" t="n">
        <v>557.1</v>
      </c>
      <c r="Q4230" t="n">
        <v>114</v>
      </c>
      <c r="R4230" t="n">
        <v>437.31</v>
      </c>
      <c r="S4230" t="n">
        <v>205.65</v>
      </c>
      <c r="T4230" t="n">
        <v>0</v>
      </c>
      <c r="U4230" t="n">
        <v>1314.06</v>
      </c>
      <c r="X4230" t="inlineStr">
        <is>
          <t>acoa-apeca</t>
        </is>
      </c>
      <c r="Y4230" t="inlineStr">
        <is>
          <t>Atlantic Canada Opportunities Agency | Agence de promotion économique du Canada atlantique</t>
        </is>
      </c>
    </row>
    <row r="4231">
      <c r="A4231" t="inlineStr">
        <is>
          <t>T-2013-Q2-00022</t>
        </is>
      </c>
      <c r="B4231" t="inlineStr">
        <is>
          <t>SLE</t>
        </is>
      </c>
      <c r="C4231" t="inlineStr">
        <is>
          <t>Senior Advisor (Energy)</t>
        </is>
      </c>
      <c r="D4231" t="inlineStr">
        <is>
          <t>Conseiller spécial (energie)</t>
        </is>
      </c>
      <c r="E4231" t="inlineStr">
        <is>
          <t>Andrew F. Noseworthy</t>
        </is>
      </c>
      <c r="F4231" t="inlineStr">
        <is>
          <t>Atlantic Energy Gateway Deputy Ministers' meeting</t>
        </is>
      </c>
      <c r="G4231" t="inlineStr">
        <is>
          <t>Réunion des sous-ministres de la Porte d'entrée de l'énergie de l'Atlantique</t>
        </is>
      </c>
      <c r="H4231" s="1" t="n">
        <v>41080</v>
      </c>
      <c r="I4231" s="1" t="n">
        <v>41081</v>
      </c>
      <c r="J4231" t="inlineStr">
        <is>
          <t>Toronto, Ontario</t>
        </is>
      </c>
      <c r="K4231" t="inlineStr">
        <is>
          <t>Toronto (Ontario)</t>
        </is>
      </c>
      <c r="P4231" t="n">
        <v>592.98</v>
      </c>
      <c r="Q4231" t="n">
        <v>0</v>
      </c>
      <c r="R4231" t="n">
        <v>168.37</v>
      </c>
      <c r="S4231" t="n">
        <v>105.9</v>
      </c>
      <c r="T4231" t="n">
        <v>68</v>
      </c>
      <c r="U4231" t="n">
        <v>935.25</v>
      </c>
      <c r="X4231" t="inlineStr">
        <is>
          <t>acoa-apeca</t>
        </is>
      </c>
      <c r="Y4231" t="inlineStr">
        <is>
          <t>Atlantic Canada Opportunities Agency | Agence de promotion économique du Canada atlantique</t>
        </is>
      </c>
    </row>
    <row r="4232">
      <c r="A4232" t="inlineStr">
        <is>
          <t>T-2013-Q2-00004</t>
        </is>
      </c>
      <c r="B4232" t="inlineStr">
        <is>
          <t>SLE</t>
        </is>
      </c>
      <c r="C4232" t="inlineStr">
        <is>
          <t>Senior Advisor (Energy)</t>
        </is>
      </c>
      <c r="D4232" t="inlineStr">
        <is>
          <t>Conseiller spécial (energie)</t>
        </is>
      </c>
      <c r="E4232" t="inlineStr">
        <is>
          <t>Andrew F. Noseworthy</t>
        </is>
      </c>
      <c r="F4232" t="inlineStr">
        <is>
          <t>Atlantic Energy Gateway meetings</t>
        </is>
      </c>
      <c r="G4232" t="inlineStr">
        <is>
          <t>Réunions de la Porte d'entrée de l'énergie de l'Atlantique</t>
        </is>
      </c>
      <c r="H4232" s="1" t="n">
        <v>41064</v>
      </c>
      <c r="I4232" s="1" t="n">
        <v>41066</v>
      </c>
      <c r="J4232" t="inlineStr">
        <is>
          <t>Ottawa, Ontario</t>
        </is>
      </c>
      <c r="K4232" t="inlineStr">
        <is>
          <t>Ottawa (Ontario)</t>
        </is>
      </c>
      <c r="P4232" t="n">
        <v>1025.54</v>
      </c>
      <c r="Q4232" t="n">
        <v>113</v>
      </c>
      <c r="R4232" t="n">
        <v>177.41</v>
      </c>
      <c r="S4232" t="n">
        <v>194.5</v>
      </c>
      <c r="T4232" t="n">
        <v>12.5</v>
      </c>
      <c r="U4232" t="n">
        <v>1522.95</v>
      </c>
      <c r="X4232" t="inlineStr">
        <is>
          <t>acoa-apeca</t>
        </is>
      </c>
      <c r="Y4232" t="inlineStr">
        <is>
          <t>Atlantic Canada Opportunities Agency | Agence de promotion économique du Canada atlantique</t>
        </is>
      </c>
    </row>
    <row r="4233">
      <c r="A4233" t="inlineStr">
        <is>
          <t>T-2013-Q1-00083</t>
        </is>
      </c>
      <c r="B4233" t="inlineStr">
        <is>
          <t>SLE</t>
        </is>
      </c>
      <c r="C4233" t="inlineStr">
        <is>
          <t>Senior Advisor (Energy)</t>
        </is>
      </c>
      <c r="D4233" t="inlineStr">
        <is>
          <t>Conseiller spécial (energie)</t>
        </is>
      </c>
      <c r="E4233" t="inlineStr">
        <is>
          <t>Andrew F. Noseworthy</t>
        </is>
      </c>
      <c r="F4233" t="inlineStr">
        <is>
          <t>Meeting with senior Agency official</t>
        </is>
      </c>
      <c r="G4233" t="inlineStr">
        <is>
          <t>Réunion avec un haut fonctionnaire de l'Agence</t>
        </is>
      </c>
      <c r="H4233" s="1" t="n">
        <v>41057</v>
      </c>
      <c r="I4233" s="1" t="n">
        <v>41058</v>
      </c>
      <c r="J4233" t="inlineStr">
        <is>
          <t>Ottawa, Ontario</t>
        </is>
      </c>
      <c r="K4233" t="inlineStr">
        <is>
          <t>Ottawa (Ontario)</t>
        </is>
      </c>
      <c r="P4233" t="n">
        <v>1357.13</v>
      </c>
      <c r="Q4233" t="n">
        <v>84</v>
      </c>
      <c r="R4233" t="n">
        <v>177.41</v>
      </c>
      <c r="S4233" t="n">
        <v>146.75</v>
      </c>
      <c r="T4233" t="n">
        <v>28</v>
      </c>
      <c r="U4233" t="n">
        <v>1793.29</v>
      </c>
      <c r="X4233" t="inlineStr">
        <is>
          <t>acoa-apeca</t>
        </is>
      </c>
      <c r="Y4233" t="inlineStr">
        <is>
          <t>Atlantic Canada Opportunities Agency | Agence de promotion économique du Canada atlantique</t>
        </is>
      </c>
    </row>
    <row r="4234">
      <c r="A4234" t="inlineStr">
        <is>
          <t>T-2013-Q1-00077</t>
        </is>
      </c>
      <c r="B4234" t="inlineStr">
        <is>
          <t>SLE</t>
        </is>
      </c>
      <c r="C4234" t="inlineStr">
        <is>
          <t>Senior Advisor (Energy)</t>
        </is>
      </c>
      <c r="D4234" t="inlineStr">
        <is>
          <t>Conseiller spécial (energie)</t>
        </is>
      </c>
      <c r="E4234" t="inlineStr">
        <is>
          <t>Andrew F. Noseworthy</t>
        </is>
      </c>
      <c r="F4234" t="inlineStr">
        <is>
          <t>Energy Meetings; meeting with senior Agency officials</t>
        </is>
      </c>
      <c r="G4234" t="inlineStr">
        <is>
          <t>Réunions sur l'énergie; réunion avec de hauts fonctionnaires de l'Agence</t>
        </is>
      </c>
      <c r="H4234" s="1" t="n">
        <v>41051</v>
      </c>
      <c r="I4234" s="1" t="n">
        <v>41053</v>
      </c>
      <c r="J4234" t="inlineStr">
        <is>
          <t>Saint John and Fredericton, New Brunswick</t>
        </is>
      </c>
      <c r="K4234" t="inlineStr">
        <is>
          <t>Saint John et Fredericton (Nouveau-Brunswick)</t>
        </is>
      </c>
      <c r="P4234" t="n">
        <v>1120.58</v>
      </c>
      <c r="Q4234" t="n">
        <v>343.47</v>
      </c>
      <c r="R4234" t="n">
        <v>338.63</v>
      </c>
      <c r="S4234" t="n">
        <v>250.95</v>
      </c>
      <c r="T4234" t="n">
        <v>34.76</v>
      </c>
      <c r="U4234" t="n">
        <v>2088.39</v>
      </c>
      <c r="X4234" t="inlineStr">
        <is>
          <t>acoa-apeca</t>
        </is>
      </c>
      <c r="Y4234" t="inlineStr">
        <is>
          <t>Atlantic Canada Opportunities Agency | Agence de promotion économique du Canada atlantique</t>
        </is>
      </c>
    </row>
    <row r="4235">
      <c r="A4235" t="inlineStr">
        <is>
          <t>T-2013-Q1-00062</t>
        </is>
      </c>
      <c r="B4235" t="inlineStr">
        <is>
          <t>SLE</t>
        </is>
      </c>
      <c r="C4235" t="inlineStr">
        <is>
          <t>Senior Advisor (Energy)</t>
        </is>
      </c>
      <c r="D4235" t="inlineStr">
        <is>
          <t>Conseiller spécial (energie)</t>
        </is>
      </c>
      <c r="E4235" t="inlineStr">
        <is>
          <t>Andrew F. Noseworthy</t>
        </is>
      </c>
      <c r="F4235" t="inlineStr">
        <is>
          <t>Offshore Technology Conference 2012</t>
        </is>
      </c>
      <c r="G4235" t="inlineStr">
        <is>
          <t>Salon des technologies extracôtières de 2012</t>
        </is>
      </c>
      <c r="H4235" s="1" t="n">
        <v>41027</v>
      </c>
      <c r="I4235" s="1" t="n">
        <v>41034</v>
      </c>
      <c r="J4235" t="inlineStr">
        <is>
          <t>Houston, Texas</t>
        </is>
      </c>
      <c r="K4235" t="inlineStr">
        <is>
          <t>Houston (Texas)</t>
        </is>
      </c>
      <c r="P4235" t="n">
        <v>1628.23</v>
      </c>
      <c r="Q4235" t="n">
        <v>446.63</v>
      </c>
      <c r="R4235" t="n">
        <v>2030.27</v>
      </c>
      <c r="S4235" t="n">
        <v>541.52</v>
      </c>
      <c r="T4235" t="n">
        <v>0</v>
      </c>
      <c r="U4235" t="n">
        <v>4646.65</v>
      </c>
      <c r="X4235" t="inlineStr">
        <is>
          <t>acoa-apeca</t>
        </is>
      </c>
      <c r="Y4235" t="inlineStr">
        <is>
          <t>Atlantic Canada Opportunities Agency | Agence de promotion économique du Canada atlantique</t>
        </is>
      </c>
    </row>
    <row r="4236">
      <c r="A4236" t="inlineStr">
        <is>
          <t>T-2013-Q1-00056</t>
        </is>
      </c>
      <c r="B4236" t="inlineStr">
        <is>
          <t>SLE</t>
        </is>
      </c>
      <c r="C4236" t="inlineStr">
        <is>
          <t>Senior Advisor (Energy)</t>
        </is>
      </c>
      <c r="D4236" t="inlineStr">
        <is>
          <t>Conseiller spécial (energie)</t>
        </is>
      </c>
      <c r="E4236" t="inlineStr">
        <is>
          <t>Andrew F. Noseworthy</t>
        </is>
      </c>
      <c r="F4236" t="inlineStr">
        <is>
          <t>Executive Committee meeting; meeting with energy officials</t>
        </is>
      </c>
      <c r="G4236" t="inlineStr">
        <is>
          <t>Réunion du Comité de direction; réunion avec des représentants du secteur de l'énergie</t>
        </is>
      </c>
      <c r="H4236" s="1" t="n">
        <v>41024</v>
      </c>
      <c r="I4236" s="1" t="n">
        <v>41026</v>
      </c>
      <c r="J4236" t="inlineStr">
        <is>
          <t>Moncton, New Brunswick; Halifax, Nova Scotia</t>
        </is>
      </c>
      <c r="K4236" t="inlineStr">
        <is>
          <t>Moncton (Nouveau-Brunswick); Halifax (Nouvelle-Écosse)</t>
        </is>
      </c>
      <c r="P4236" t="n">
        <v>1275.52</v>
      </c>
      <c r="Q4236" t="n">
        <v>168</v>
      </c>
      <c r="R4236" t="n">
        <v>291.22</v>
      </c>
      <c r="S4236" t="n">
        <v>164.8</v>
      </c>
      <c r="T4236" t="n">
        <v>43.5</v>
      </c>
      <c r="U4236" t="n">
        <v>1943.04</v>
      </c>
      <c r="X4236" t="inlineStr">
        <is>
          <t>acoa-apeca</t>
        </is>
      </c>
      <c r="Y4236" t="inlineStr">
        <is>
          <t>Atlantic Canada Opportunities Agency | Agence de promotion économique du Canada atlantique</t>
        </is>
      </c>
    </row>
    <row r="4237">
      <c r="A4237" t="inlineStr">
        <is>
          <t>T-2013-Q1-00021</t>
        </is>
      </c>
      <c r="B4237" t="inlineStr">
        <is>
          <t>SLE</t>
        </is>
      </c>
      <c r="C4237" t="inlineStr">
        <is>
          <t>Senior Advisor (Energy)</t>
        </is>
      </c>
      <c r="D4237" t="inlineStr">
        <is>
          <t>Conseiller spécial (energie)</t>
        </is>
      </c>
      <c r="E4237" t="inlineStr">
        <is>
          <t>Andrew F. Noseworthy</t>
        </is>
      </c>
      <c r="F4237" t="inlineStr">
        <is>
          <t>Natural gas workshop; Atlantic Energy Gateway meeting</t>
        </is>
      </c>
      <c r="G4237" t="inlineStr">
        <is>
          <t>Atelier sur le gaz naturel; réunion de la Porte d'entrée de l'énergie de l'Atlantique</t>
        </is>
      </c>
      <c r="H4237" s="1" t="n">
        <v>40986</v>
      </c>
      <c r="I4237" s="1" t="n">
        <v>40989</v>
      </c>
      <c r="J4237" t="inlineStr">
        <is>
          <t>Halifax, Nova Scotia; Charlottetown, Prince Edward Island</t>
        </is>
      </c>
      <c r="K4237" t="inlineStr">
        <is>
          <t>Halifax (Nouvelle-Écosse); Charlottetown (Île-du-Prince-Édouard)</t>
        </is>
      </c>
      <c r="P4237" t="n">
        <v>2102.08</v>
      </c>
      <c r="Q4237" t="n">
        <v>160</v>
      </c>
      <c r="R4237" t="n">
        <v>431.59</v>
      </c>
      <c r="S4237" t="n">
        <v>195.1</v>
      </c>
      <c r="T4237" t="n">
        <v>42</v>
      </c>
      <c r="U4237" t="n">
        <v>2930.77</v>
      </c>
      <c r="X4237" t="inlineStr">
        <is>
          <t>acoa-apeca</t>
        </is>
      </c>
      <c r="Y4237" t="inlineStr">
        <is>
          <t>Atlantic Canada Opportunities Agency | Agence de promotion économique du Canada atlantique</t>
        </is>
      </c>
    </row>
    <row r="4238">
      <c r="A4238" t="inlineStr">
        <is>
          <t>T-2013-Q1-00017</t>
        </is>
      </c>
      <c r="B4238" t="inlineStr">
        <is>
          <t>SLE</t>
        </is>
      </c>
      <c r="C4238" t="inlineStr">
        <is>
          <t>Senior Advisor (Energy)</t>
        </is>
      </c>
      <c r="D4238" t="inlineStr">
        <is>
          <t>Conseiller spécial (energie)</t>
        </is>
      </c>
      <c r="E4238" t="inlineStr">
        <is>
          <t>Andrew F. Noseworthy</t>
        </is>
      </c>
      <c r="F4238" t="inlineStr">
        <is>
          <t>Energy meetings; meeting with senior Agency staff</t>
        </is>
      </c>
      <c r="G4238" t="inlineStr">
        <is>
          <t>Réunions sur l'énergie; réunion avec de hauts fonctionnaires de l'Agence</t>
        </is>
      </c>
      <c r="H4238" s="1" t="n">
        <v>40982</v>
      </c>
      <c r="I4238" s="1" t="n">
        <v>40983</v>
      </c>
      <c r="J4238" t="inlineStr">
        <is>
          <t>Saint John and Moncton, New Brunswick</t>
        </is>
      </c>
      <c r="K4238" t="inlineStr">
        <is>
          <t>Saint John et Moncton (Nouveau-Brunswick)</t>
        </is>
      </c>
      <c r="P4238" t="n">
        <v>2311.78</v>
      </c>
      <c r="Q4238" t="n">
        <v>326.9</v>
      </c>
      <c r="R4238" t="n">
        <v>145.77</v>
      </c>
      <c r="S4238" t="n">
        <v>160.5</v>
      </c>
      <c r="T4238" t="n">
        <v>0</v>
      </c>
      <c r="U4238" t="n">
        <v>2944.95</v>
      </c>
      <c r="X4238" t="inlineStr">
        <is>
          <t>acoa-apeca</t>
        </is>
      </c>
      <c r="Y4238" t="inlineStr">
        <is>
          <t>Atlantic Canada Opportunities Agency | Agence de promotion économique du Canada atlantique</t>
        </is>
      </c>
    </row>
    <row r="4239">
      <c r="A4239" t="inlineStr">
        <is>
          <t>T-2013-Q1-00004</t>
        </is>
      </c>
      <c r="B4239" t="inlineStr">
        <is>
          <t>SLE</t>
        </is>
      </c>
      <c r="C4239" t="inlineStr">
        <is>
          <t>Senior Advisor (Energy)</t>
        </is>
      </c>
      <c r="D4239" t="inlineStr">
        <is>
          <t>Conseiller spécial (energie)</t>
        </is>
      </c>
      <c r="E4239" t="inlineStr">
        <is>
          <t>Andrew F. Noseworthy</t>
        </is>
      </c>
      <c r="F4239" t="inlineStr">
        <is>
          <t>Energy briefings to senior Agency officials</t>
        </is>
      </c>
      <c r="G4239" t="inlineStr">
        <is>
          <t>Réunions d'information sur l'énergie avec de hauts fonctionnaires de l'Agence</t>
        </is>
      </c>
      <c r="H4239" s="1" t="n">
        <v>40973</v>
      </c>
      <c r="I4239" s="1" t="n">
        <v>40975</v>
      </c>
      <c r="J4239" t="inlineStr">
        <is>
          <t>Ottawa, Ontario</t>
        </is>
      </c>
      <c r="K4239" t="inlineStr">
        <is>
          <t>Ottawa (Ontario)</t>
        </is>
      </c>
      <c r="P4239" t="n">
        <v>1329.93</v>
      </c>
      <c r="Q4239" t="n">
        <v>150</v>
      </c>
      <c r="R4239" t="n">
        <v>177.41</v>
      </c>
      <c r="S4239" t="n">
        <v>177.8</v>
      </c>
      <c r="T4239" t="n">
        <v>28</v>
      </c>
      <c r="U4239" t="n">
        <v>1863.14</v>
      </c>
      <c r="X4239" t="inlineStr">
        <is>
          <t>acoa-apeca</t>
        </is>
      </c>
      <c r="Y4239" t="inlineStr">
        <is>
          <t>Atlantic Canada Opportunities Agency | Agence de promotion économique du Canada atlantique</t>
        </is>
      </c>
    </row>
    <row r="4240">
      <c r="A4240" t="inlineStr">
        <is>
          <t>T-2012-Q4-00083</t>
        </is>
      </c>
      <c r="B4240" t="inlineStr">
        <is>
          <t>SLE</t>
        </is>
      </c>
      <c r="C4240" t="inlineStr">
        <is>
          <t>Senior Advisor (Energy)</t>
        </is>
      </c>
      <c r="D4240" t="inlineStr">
        <is>
          <t>Conseiller spécial (energie)</t>
        </is>
      </c>
      <c r="E4240" t="inlineStr">
        <is>
          <t>Andrew F. Noseworthy</t>
        </is>
      </c>
      <c r="F4240" t="inlineStr">
        <is>
          <t>Halifax Energy Dialogue</t>
        </is>
      </c>
      <c r="G4240" t="inlineStr">
        <is>
          <t>Dialogue sur l'énergie à Halifax</t>
        </is>
      </c>
      <c r="H4240" s="1" t="n">
        <v>40966</v>
      </c>
      <c r="I4240" s="1" t="n">
        <v>40967</v>
      </c>
      <c r="J4240" t="inlineStr">
        <is>
          <t>Halifax, Nova Scotia</t>
        </is>
      </c>
      <c r="K4240" t="inlineStr">
        <is>
          <t>Halifax (Nouvelle-Écosse)</t>
        </is>
      </c>
      <c r="P4240" t="n">
        <v>746.23</v>
      </c>
      <c r="Q4240" t="n">
        <v>120</v>
      </c>
      <c r="R4240" t="n">
        <v>139.59</v>
      </c>
      <c r="S4240" t="n">
        <v>49.95</v>
      </c>
      <c r="T4240" t="n">
        <v>24</v>
      </c>
      <c r="U4240" t="n">
        <v>1079.77</v>
      </c>
      <c r="X4240" t="inlineStr">
        <is>
          <t>acoa-apeca</t>
        </is>
      </c>
      <c r="Y4240" t="inlineStr">
        <is>
          <t>Atlantic Canada Opportunities Agency | Agence de promotion économique du Canada atlantique</t>
        </is>
      </c>
    </row>
    <row r="4241">
      <c r="A4241" t="inlineStr">
        <is>
          <t>T-2012-Q4-00068</t>
        </is>
      </c>
      <c r="B4241" t="inlineStr">
        <is>
          <t>SLE</t>
        </is>
      </c>
      <c r="C4241" t="inlineStr">
        <is>
          <t>Senior Advisor (Energy)</t>
        </is>
      </c>
      <c r="D4241" t="inlineStr">
        <is>
          <t>Conseiller spécial (energie)</t>
        </is>
      </c>
      <c r="E4241" t="inlineStr">
        <is>
          <t>Andrew F. Noseworthy</t>
        </is>
      </c>
      <c r="F4241" t="inlineStr">
        <is>
          <t>Meeting with senior Agengy officials</t>
        </is>
      </c>
      <c r="G4241" t="inlineStr">
        <is>
          <t>Réunion avec des hauts fonctionnaires de l'Agence</t>
        </is>
      </c>
      <c r="H4241" s="1" t="n">
        <v>40952</v>
      </c>
      <c r="I4241" s="1" t="n">
        <v>40953</v>
      </c>
      <c r="J4241" t="inlineStr">
        <is>
          <t>Ottawa, Ontario</t>
        </is>
      </c>
      <c r="K4241" t="inlineStr">
        <is>
          <t>Ottawa (Ontario)</t>
        </is>
      </c>
      <c r="P4241" t="n">
        <v>1357.13</v>
      </c>
      <c r="Q4241" t="n">
        <v>138</v>
      </c>
      <c r="R4241" t="n">
        <v>177.41</v>
      </c>
      <c r="S4241" t="n">
        <v>159.75</v>
      </c>
      <c r="T4241" t="n">
        <v>0</v>
      </c>
      <c r="U4241" t="n">
        <v>1832.29</v>
      </c>
      <c r="X4241" t="inlineStr">
        <is>
          <t>acoa-apeca</t>
        </is>
      </c>
      <c r="Y4241" t="inlineStr">
        <is>
          <t>Atlantic Canada Opportunities Agency | Agence de promotion économique du Canada atlantique</t>
        </is>
      </c>
    </row>
    <row r="4242">
      <c r="A4242" t="inlineStr">
        <is>
          <t>T-2012-Q4-00058</t>
        </is>
      </c>
      <c r="B4242" t="inlineStr">
        <is>
          <t>SLE</t>
        </is>
      </c>
      <c r="C4242" t="inlineStr">
        <is>
          <t>Senior Advisor (Energy)</t>
        </is>
      </c>
      <c r="D4242" t="inlineStr">
        <is>
          <t>Conseiller spécial (energie)</t>
        </is>
      </c>
      <c r="E4242" t="inlineStr">
        <is>
          <t>Andrew F. Noseworthy</t>
        </is>
      </c>
      <c r="F4242" t="inlineStr">
        <is>
          <t>Atlantic Energy Gateway meetings; meeting with senior Agency staff; meeting with Nova Scotia Department of Energy officials</t>
        </is>
      </c>
      <c r="G4242" t="inlineStr">
        <is>
          <t>Réunions sur la Porte d'entrée de l'énergie de l'Atlantique, réunion avec des hauts fonctionnaires de l'Agence et réunion avec des fonctionnaires du ministère de l'Énergie de la Nouvelle-Écosse</t>
        </is>
      </c>
      <c r="H4242" s="1" t="n">
        <v>40946</v>
      </c>
      <c r="I4242" s="1" t="n">
        <v>40949</v>
      </c>
      <c r="J4242" t="inlineStr">
        <is>
          <t>Halifax, Nova Scotia</t>
        </is>
      </c>
      <c r="K4242" t="inlineStr">
        <is>
          <t>Halifax (Nouvelle-Écosse)</t>
        </is>
      </c>
      <c r="P4242" t="n">
        <v>1357.13</v>
      </c>
      <c r="Q4242" t="n">
        <v>227</v>
      </c>
      <c r="R4242" t="n">
        <v>418.77</v>
      </c>
      <c r="S4242" t="n">
        <v>295.3</v>
      </c>
      <c r="T4242" t="n">
        <v>0</v>
      </c>
      <c r="U4242" t="n">
        <v>2298.2</v>
      </c>
      <c r="X4242" t="inlineStr">
        <is>
          <t>acoa-apeca</t>
        </is>
      </c>
      <c r="Y4242" t="inlineStr">
        <is>
          <t>Atlantic Canada Opportunities Agency | Agence de promotion économique du Canada atlantique</t>
        </is>
      </c>
    </row>
    <row r="4243">
      <c r="A4243" t="inlineStr">
        <is>
          <t>T-2012-Q4-00048</t>
        </is>
      </c>
      <c r="B4243" t="inlineStr">
        <is>
          <t>SLE</t>
        </is>
      </c>
      <c r="C4243" t="inlineStr">
        <is>
          <t>Senior Advisor (Energy)</t>
        </is>
      </c>
      <c r="D4243" t="inlineStr">
        <is>
          <t>Conseiller spécial (energie)</t>
        </is>
      </c>
      <c r="E4243" t="inlineStr">
        <is>
          <t>Andrew F. Noseworthy</t>
        </is>
      </c>
      <c r="F4243" t="inlineStr">
        <is>
          <t>Senior ACOA executives meeting</t>
        </is>
      </c>
      <c r="G4243" t="inlineStr">
        <is>
          <t>Réunion des cadres supérieurs de l'APECA</t>
        </is>
      </c>
      <c r="H4243" s="1" t="n">
        <v>40940</v>
      </c>
      <c r="I4243" s="1" t="n">
        <v>40941</v>
      </c>
      <c r="J4243" t="inlineStr">
        <is>
          <t>Moncton, New Brunwick</t>
        </is>
      </c>
      <c r="K4243" t="inlineStr">
        <is>
          <t>Moncton (Nouveau-Brunswick)</t>
        </is>
      </c>
      <c r="P4243" t="n">
        <v>589.38</v>
      </c>
      <c r="Q4243" t="n">
        <v>100</v>
      </c>
      <c r="R4243" t="n">
        <v>145.77</v>
      </c>
      <c r="S4243" t="n">
        <v>130.55</v>
      </c>
      <c r="T4243" t="n">
        <v>9.25</v>
      </c>
      <c r="U4243" t="n">
        <v>974.95</v>
      </c>
      <c r="X4243" t="inlineStr">
        <is>
          <t>acoa-apeca</t>
        </is>
      </c>
      <c r="Y4243" t="inlineStr">
        <is>
          <t>Atlantic Canada Opportunities Agency | Agence de promotion économique du Canada atlantique</t>
        </is>
      </c>
    </row>
    <row r="4244">
      <c r="A4244" t="inlineStr">
        <is>
          <t>T-2012-Q2-00067</t>
        </is>
      </c>
      <c r="B4244" t="inlineStr">
        <is>
          <t>SLE</t>
        </is>
      </c>
      <c r="C4244" t="inlineStr">
        <is>
          <t>Senior Advisor (Energy)</t>
        </is>
      </c>
      <c r="D4244" t="inlineStr">
        <is>
          <t>Conseiller spécial (energie)</t>
        </is>
      </c>
      <c r="E4244" t="inlineStr">
        <is>
          <t>Andrew F. Noseworthy</t>
        </is>
      </c>
      <c r="F4244" t="inlineStr">
        <is>
          <t>Attend meeting of senior Agency officials</t>
        </is>
      </c>
      <c r="G4244" t="inlineStr">
        <is>
          <t>Assister à une réunion avec des hauts fonctionnaires de l'Agence</t>
        </is>
      </c>
      <c r="H4244" s="1" t="n">
        <v>40779</v>
      </c>
      <c r="I4244" s="1" t="n">
        <v>40780</v>
      </c>
      <c r="J4244" t="inlineStr">
        <is>
          <t>Moncton, New Brunswick</t>
        </is>
      </c>
      <c r="K4244" t="inlineStr">
        <is>
          <t>Moncton (Nouveau-Brunswick)</t>
        </is>
      </c>
      <c r="P4244" t="n">
        <v>1317.58</v>
      </c>
      <c r="Q4244" t="n">
        <v>48</v>
      </c>
      <c r="R4244" t="n">
        <v>145.77</v>
      </c>
      <c r="S4244" t="n">
        <v>129.35</v>
      </c>
      <c r="T4244" t="n">
        <v>24</v>
      </c>
      <c r="U4244" t="n">
        <v>1664.7</v>
      </c>
      <c r="X4244" t="inlineStr">
        <is>
          <t>acoa-apeca</t>
        </is>
      </c>
      <c r="Y4244" t="inlineStr">
        <is>
          <t>Atlantic Canada Opportunities Agency | Agence de promotion économique du Canada atlantique</t>
        </is>
      </c>
    </row>
    <row r="4245">
      <c r="A4245" t="inlineStr">
        <is>
          <t>T-2012-Q4-00039</t>
        </is>
      </c>
      <c r="B4245" t="inlineStr">
        <is>
          <t>SLE</t>
        </is>
      </c>
      <c r="C4245" t="inlineStr">
        <is>
          <t>Senior Advisor (Energy)</t>
        </is>
      </c>
      <c r="D4245" t="inlineStr">
        <is>
          <t>Conseiller spécial (energie)</t>
        </is>
      </c>
      <c r="E4245" t="inlineStr">
        <is>
          <t>Andrew F. Noseworthy</t>
        </is>
      </c>
      <c r="F4245" t="inlineStr">
        <is>
          <t>Meeting with senior Agency official, meeting with senior industry officials; Atlantica Centre for Energy Board meeting</t>
        </is>
      </c>
      <c r="G4245" t="inlineStr">
        <is>
          <t>Réunion avec un haut fonctionnaire de l'Agence; réunion avec des représentants de l'industrie; réunion du conseil du Atlantica Centre for Energy</t>
        </is>
      </c>
      <c r="H4245" s="1" t="n">
        <v>40931</v>
      </c>
      <c r="I4245" s="1" t="n">
        <v>40932</v>
      </c>
      <c r="J4245" t="inlineStr">
        <is>
          <t>Moncton and Saint John, New Brunswick</t>
        </is>
      </c>
      <c r="K4245" t="inlineStr">
        <is>
          <t>Moncton et Saint John (Nouveau-Brunswick)</t>
        </is>
      </c>
      <c r="P4245" t="n">
        <v>1625.12</v>
      </c>
      <c r="Q4245" t="n">
        <v>207.68</v>
      </c>
      <c r="R4245" t="n">
        <v>145.77</v>
      </c>
      <c r="S4245" t="n">
        <v>175.1</v>
      </c>
      <c r="T4245" t="n">
        <v>29.25</v>
      </c>
      <c r="U4245" t="n">
        <v>2182.92</v>
      </c>
      <c r="X4245" t="inlineStr">
        <is>
          <t>acoa-apeca</t>
        </is>
      </c>
      <c r="Y4245" t="inlineStr">
        <is>
          <t>Atlantic Canada Opportunities Agency | Agence de promotion économique du Canada atlantique</t>
        </is>
      </c>
    </row>
    <row r="4246">
      <c r="A4246" t="inlineStr">
        <is>
          <t>T-2012-Q4-00030</t>
        </is>
      </c>
      <c r="B4246" t="inlineStr">
        <is>
          <t>SLE</t>
        </is>
      </c>
      <c r="C4246" t="inlineStr">
        <is>
          <t>Senior Advisor (Energy)</t>
        </is>
      </c>
      <c r="D4246" t="inlineStr">
        <is>
          <t>Conseiller spécial (energie)</t>
        </is>
      </c>
      <c r="E4246" t="inlineStr">
        <is>
          <t>Andrew F. Noseworthy</t>
        </is>
      </c>
      <c r="F4246" t="inlineStr">
        <is>
          <t>Executive Committee meeting</t>
        </is>
      </c>
      <c r="G4246" t="inlineStr">
        <is>
          <t>Réunion du Comité de direction</t>
        </is>
      </c>
      <c r="H4246" s="1" t="n">
        <v>40924</v>
      </c>
      <c r="I4246" s="1" t="n">
        <v>40926</v>
      </c>
      <c r="J4246" t="inlineStr">
        <is>
          <t>Ottawa, Ontario</t>
        </is>
      </c>
      <c r="K4246" t="inlineStr">
        <is>
          <t>Ottawa (Ontario)</t>
        </is>
      </c>
      <c r="P4246" t="n">
        <v>2508.68</v>
      </c>
      <c r="Q4246" t="n">
        <v>95</v>
      </c>
      <c r="R4246" t="n">
        <v>333.51</v>
      </c>
      <c r="S4246" t="n">
        <v>177.8</v>
      </c>
      <c r="T4246" t="n">
        <v>43.5</v>
      </c>
      <c r="U4246" t="n">
        <v>3158.49</v>
      </c>
      <c r="X4246" t="inlineStr">
        <is>
          <t>acoa-apeca</t>
        </is>
      </c>
      <c r="Y4246" t="inlineStr">
        <is>
          <t>Atlantic Canada Opportunities Agency | Agence de promotion économique du Canada atlantique</t>
        </is>
      </c>
    </row>
    <row r="4247">
      <c r="A4247" t="inlineStr">
        <is>
          <t>T-2012-Q4-00010</t>
        </is>
      </c>
      <c r="B4247" t="inlineStr">
        <is>
          <t>SLE</t>
        </is>
      </c>
      <c r="C4247" t="inlineStr">
        <is>
          <t>Senior Advisor (Energy)</t>
        </is>
      </c>
      <c r="D4247" t="inlineStr">
        <is>
          <t>Conseiller spécial (energie)</t>
        </is>
      </c>
      <c r="E4247" t="inlineStr">
        <is>
          <t>Andrew F. Noseworthy</t>
        </is>
      </c>
      <c r="F4247" t="inlineStr">
        <is>
          <t>Meeting with senior Agency officials; meeting with senior industry official</t>
        </is>
      </c>
      <c r="G4247" t="inlineStr">
        <is>
          <t>Réunion avec des hauts fonctionnaires de l'Agence; réunion avec un représentant  de l'industrie</t>
        </is>
      </c>
      <c r="H4247" s="1" t="n">
        <v>40891</v>
      </c>
      <c r="I4247" s="1" t="n">
        <v>40892</v>
      </c>
      <c r="J4247" t="inlineStr">
        <is>
          <t>Moncton and Saint John, New Brunswick</t>
        </is>
      </c>
      <c r="K4247" t="inlineStr">
        <is>
          <t>Moncton et Saint John (Nouveau-Brunswick)</t>
        </is>
      </c>
      <c r="P4247" t="n">
        <v>1899.41</v>
      </c>
      <c r="Q4247" t="n">
        <v>317.49</v>
      </c>
      <c r="R4247" t="n">
        <v>111.8</v>
      </c>
      <c r="S4247" t="n">
        <v>145.15</v>
      </c>
      <c r="T4247" t="n">
        <v>50.74</v>
      </c>
      <c r="U4247" t="n">
        <v>2524.59</v>
      </c>
      <c r="X4247" t="inlineStr">
        <is>
          <t>acoa-apeca</t>
        </is>
      </c>
      <c r="Y4247" t="inlineStr">
        <is>
          <t>Atlantic Canada Opportunities Agency | Agence de promotion économique du Canada atlantique</t>
        </is>
      </c>
    </row>
    <row r="4248">
      <c r="A4248" t="inlineStr">
        <is>
          <t>T-2012-Q4-00006</t>
        </is>
      </c>
      <c r="B4248" t="inlineStr">
        <is>
          <t>SLE</t>
        </is>
      </c>
      <c r="C4248" t="inlineStr">
        <is>
          <t>Senior Advisor (Energy)</t>
        </is>
      </c>
      <c r="D4248" t="inlineStr">
        <is>
          <t>Conseiller spécial (energie)</t>
        </is>
      </c>
      <c r="E4248" t="inlineStr">
        <is>
          <t>Andrew F. Noseworthy</t>
        </is>
      </c>
      <c r="F4248" t="inlineStr">
        <is>
          <t>Meeting with Transport Canada official; meeting with senior industry officials</t>
        </is>
      </c>
      <c r="G4248" t="inlineStr">
        <is>
          <t>Réunion avec un fonctionnaire de Transports Canada; réunion avec des représentants de l'industrie</t>
        </is>
      </c>
      <c r="H4248" s="1" t="n">
        <v>40889</v>
      </c>
      <c r="I4248" s="1" t="n">
        <v>40889</v>
      </c>
      <c r="J4248" t="inlineStr">
        <is>
          <t>Ottawa, Ontario</t>
        </is>
      </c>
      <c r="K4248" t="inlineStr">
        <is>
          <t>Ottawa (Ontario)</t>
        </is>
      </c>
      <c r="P4248" t="n">
        <v>1445.73</v>
      </c>
      <c r="Q4248" t="n">
        <v>80</v>
      </c>
      <c r="R4248" t="n">
        <v>0</v>
      </c>
      <c r="S4248" t="n">
        <v>70.25</v>
      </c>
      <c r="T4248" t="n">
        <v>12</v>
      </c>
      <c r="U4248" t="n">
        <v>1607.98</v>
      </c>
      <c r="X4248" t="inlineStr">
        <is>
          <t>acoa-apeca</t>
        </is>
      </c>
      <c r="Y4248" t="inlineStr">
        <is>
          <t>Atlantic Canada Opportunities Agency | Agence de promotion économique du Canada atlantique</t>
        </is>
      </c>
    </row>
    <row r="4249">
      <c r="A4249" t="inlineStr">
        <is>
          <t>T-2012-Q4-00002</t>
        </is>
      </c>
      <c r="B4249" t="inlineStr">
        <is>
          <t>SLE</t>
        </is>
      </c>
      <c r="C4249" t="inlineStr">
        <is>
          <t>Senior Advisor (Energy)</t>
        </is>
      </c>
      <c r="D4249" t="inlineStr">
        <is>
          <t>Conseiller spécial (energie)</t>
        </is>
      </c>
      <c r="E4249" t="inlineStr">
        <is>
          <t>Andrew F. Noseworthy</t>
        </is>
      </c>
      <c r="F4249" t="inlineStr">
        <is>
          <t>Atlantic Energy Gateway meeting in Halifax; meeting with Agency officials in Moncton</t>
        </is>
      </c>
      <c r="G4249" t="inlineStr">
        <is>
          <t>Réunion sur la Porte d'entrée de l'énergie de l'Atlantique à Halifax et réunion avec des fonctionnaires de l'Agence à Moncton</t>
        </is>
      </c>
      <c r="H4249" s="1" t="n">
        <v>40882</v>
      </c>
      <c r="I4249" s="1" t="n">
        <v>40884</v>
      </c>
      <c r="J4249" t="inlineStr">
        <is>
          <t>Halifax, Nova Scotia; Moncton, New Brunswick</t>
        </is>
      </c>
      <c r="K4249" t="inlineStr">
        <is>
          <t>Halifax (Nouvelle-Écosse) et Moncton (Nouveau-Brunswick)</t>
        </is>
      </c>
      <c r="P4249" t="n">
        <v>2323.23</v>
      </c>
      <c r="Q4249" t="n">
        <v>338.13</v>
      </c>
      <c r="R4249" t="n">
        <v>272.14</v>
      </c>
      <c r="S4249" t="n">
        <v>247.3</v>
      </c>
      <c r="T4249" t="n">
        <v>61.84</v>
      </c>
      <c r="U4249" t="n">
        <v>3242.64</v>
      </c>
      <c r="X4249" t="inlineStr">
        <is>
          <t>acoa-apeca</t>
        </is>
      </c>
      <c r="Y4249" t="inlineStr">
        <is>
          <t>Atlantic Canada Opportunities Agency | Agence de promotion économique du Canada atlantique</t>
        </is>
      </c>
    </row>
    <row r="4250">
      <c r="A4250" t="inlineStr">
        <is>
          <t>T-2012-Q4-00001</t>
        </is>
      </c>
      <c r="B4250" t="inlineStr">
        <is>
          <t>SLE</t>
        </is>
      </c>
      <c r="C4250" t="inlineStr">
        <is>
          <t>Senior Advisor (Energy)</t>
        </is>
      </c>
      <c r="D4250" t="inlineStr">
        <is>
          <t>Conseiller spécial (energie)</t>
        </is>
      </c>
      <c r="E4250" t="inlineStr">
        <is>
          <t>Andrew F. Noseworthy</t>
        </is>
      </c>
      <c r="F4250" t="inlineStr">
        <is>
          <t>Meeting with senior Agency officials</t>
        </is>
      </c>
      <c r="G4250" t="inlineStr">
        <is>
          <t>Réunion avec des hauts fonctionnaires de l'Agence</t>
        </is>
      </c>
      <c r="H4250" s="1" t="n">
        <v>40879</v>
      </c>
      <c r="I4250" s="1" t="n">
        <v>40879</v>
      </c>
      <c r="J4250" t="inlineStr">
        <is>
          <t>Fredericton, New Brunswick</t>
        </is>
      </c>
      <c r="K4250" t="inlineStr">
        <is>
          <t>Fredericton (Nouveau-Brunswick)</t>
        </is>
      </c>
      <c r="P4250" t="n">
        <v>1013.73</v>
      </c>
      <c r="Q4250" t="n">
        <v>55</v>
      </c>
      <c r="R4250" t="n">
        <v>0</v>
      </c>
      <c r="S4250" t="n">
        <v>54.9</v>
      </c>
      <c r="T4250" t="n">
        <v>12</v>
      </c>
      <c r="U4250" t="n">
        <v>1135.63</v>
      </c>
      <c r="X4250" t="inlineStr">
        <is>
          <t>acoa-apeca</t>
        </is>
      </c>
      <c r="Y4250" t="inlineStr">
        <is>
          <t>Atlantic Canada Opportunities Agency | Agence de promotion économique du Canada atlantique</t>
        </is>
      </c>
    </row>
    <row r="4251">
      <c r="A4251" t="inlineStr">
        <is>
          <t>T-2012-Q3-00086</t>
        </is>
      </c>
      <c r="B4251" t="inlineStr">
        <is>
          <t>SLE</t>
        </is>
      </c>
      <c r="C4251" t="inlineStr">
        <is>
          <t>Senior Advisor (Energy)</t>
        </is>
      </c>
      <c r="D4251" t="inlineStr">
        <is>
          <t>Conseiller spécial (energie)</t>
        </is>
      </c>
      <c r="E4251" t="inlineStr">
        <is>
          <t>Andrew F. Noseworthy</t>
        </is>
      </c>
      <c r="F4251" t="inlineStr">
        <is>
          <t>National Roundtable on the Environment and the Economy Halifax Round Table session</t>
        </is>
      </c>
      <c r="G4251" t="inlineStr">
        <is>
          <t>Table ronde nationale sur l'environnement et l'économie, table ronde d'Halifax</t>
        </is>
      </c>
      <c r="H4251" s="1" t="n">
        <v>40877</v>
      </c>
      <c r="I4251" s="1" t="n">
        <v>40877</v>
      </c>
      <c r="J4251" t="inlineStr">
        <is>
          <t>Halifax, Nova Scotia</t>
        </is>
      </c>
      <c r="K4251" t="inlineStr">
        <is>
          <t>Halifax (Nouvelle-Écosse)</t>
        </is>
      </c>
      <c r="P4251" t="n">
        <v>1357.13</v>
      </c>
      <c r="Q4251" t="n">
        <v>137</v>
      </c>
      <c r="R4251" t="n">
        <v>0</v>
      </c>
      <c r="S4251" t="n">
        <v>70.25</v>
      </c>
      <c r="T4251" t="n">
        <v>12</v>
      </c>
      <c r="U4251" t="n">
        <v>1576.38</v>
      </c>
      <c r="X4251" t="inlineStr">
        <is>
          <t>acoa-apeca</t>
        </is>
      </c>
      <c r="Y4251" t="inlineStr">
        <is>
          <t>Atlantic Canada Opportunities Agency | Agence de promotion économique du Canada atlantique</t>
        </is>
      </c>
    </row>
    <row r="4252">
      <c r="A4252" t="inlineStr">
        <is>
          <t>T-2012-Q3-00081</t>
        </is>
      </c>
      <c r="B4252" t="inlineStr">
        <is>
          <t>SLE</t>
        </is>
      </c>
      <c r="C4252" t="inlineStr">
        <is>
          <t>Senior Advisor (Energy)</t>
        </is>
      </c>
      <c r="D4252" t="inlineStr">
        <is>
          <t>Conseiller spécial (energie)</t>
        </is>
      </c>
      <c r="E4252" t="inlineStr">
        <is>
          <t>Andrew F. Noseworthy</t>
        </is>
      </c>
      <c r="F4252" t="inlineStr">
        <is>
          <t>Meeting with officials from Natural Resources Canada</t>
        </is>
      </c>
      <c r="G4252" t="inlineStr">
        <is>
          <t>Réunion avec des fonctionnaires de Ressources naturelles Canada</t>
        </is>
      </c>
      <c r="H4252" s="1" t="n">
        <v>40870</v>
      </c>
      <c r="I4252" s="1" t="n">
        <v>40870</v>
      </c>
      <c r="J4252" t="inlineStr">
        <is>
          <t>Ottawa, Ontario</t>
        </is>
      </c>
      <c r="K4252" t="inlineStr">
        <is>
          <t>Ottawa (Ontario)</t>
        </is>
      </c>
      <c r="P4252" t="n">
        <v>1357.13</v>
      </c>
      <c r="Q4252" t="n">
        <v>120</v>
      </c>
      <c r="R4252" t="n">
        <v>0</v>
      </c>
      <c r="S4252" t="n">
        <v>54.9</v>
      </c>
      <c r="T4252" t="n">
        <v>12</v>
      </c>
      <c r="U4252" t="n">
        <v>1544.03</v>
      </c>
      <c r="X4252" t="inlineStr">
        <is>
          <t>acoa-apeca</t>
        </is>
      </c>
      <c r="Y4252" t="inlineStr">
        <is>
          <t>Atlantic Canada Opportunities Agency | Agence de promotion économique du Canada atlantique</t>
        </is>
      </c>
    </row>
    <row r="4253">
      <c r="A4253" t="inlineStr">
        <is>
          <t>T-2012-Q3-00061</t>
        </is>
      </c>
      <c r="B4253" t="inlineStr">
        <is>
          <t>SLE</t>
        </is>
      </c>
      <c r="C4253" t="inlineStr">
        <is>
          <t>Senior Advisor (Energy)</t>
        </is>
      </c>
      <c r="D4253" t="inlineStr">
        <is>
          <t>Conseiller spécial (energie)</t>
        </is>
      </c>
      <c r="E4253" t="inlineStr">
        <is>
          <t>Andrew F. Noseworthy</t>
        </is>
      </c>
      <c r="F4253" t="inlineStr">
        <is>
          <t>Attend United States-Canada Energy Trade and Technology Conference; meetings with Canadian Embassy official</t>
        </is>
      </c>
      <c r="G4253" t="inlineStr">
        <is>
          <t>Assister à la conférence sur les échanges et les technologies énergétiques États-Unis – Canada; réunions avec un fonctionnaire de l'ambassade du Canada</t>
        </is>
      </c>
      <c r="H4253" s="1" t="n">
        <v>40849</v>
      </c>
      <c r="I4253" s="1" t="n">
        <v>40852</v>
      </c>
      <c r="J4253" t="inlineStr">
        <is>
          <t>Boston, Massachusetts</t>
        </is>
      </c>
      <c r="K4253" t="inlineStr">
        <is>
          <t>Boston (Massachusetts)</t>
        </is>
      </c>
      <c r="P4253" t="n">
        <v>1939.59</v>
      </c>
      <c r="Q4253" t="n">
        <v>152.39</v>
      </c>
      <c r="R4253" t="n">
        <v>877.25</v>
      </c>
      <c r="S4253" t="n">
        <v>242.12</v>
      </c>
      <c r="T4253" t="n">
        <v>90.84</v>
      </c>
      <c r="U4253" t="n">
        <v>3302.19</v>
      </c>
      <c r="X4253" t="inlineStr">
        <is>
          <t>acoa-apeca</t>
        </is>
      </c>
      <c r="Y4253" t="inlineStr">
        <is>
          <t>Atlantic Canada Opportunities Agency | Agence de promotion économique du Canada atlantique</t>
        </is>
      </c>
    </row>
    <row r="4254">
      <c r="A4254" t="inlineStr">
        <is>
          <t>T-2012-Q3-00050</t>
        </is>
      </c>
      <c r="B4254" t="inlineStr">
        <is>
          <t>SLE</t>
        </is>
      </c>
      <c r="C4254" t="inlineStr">
        <is>
          <t>Senior Advisor (Energy)</t>
        </is>
      </c>
      <c r="D4254" t="inlineStr">
        <is>
          <t>Conseiller spécial (energie)</t>
        </is>
      </c>
      <c r="E4254" t="inlineStr">
        <is>
          <t>Andrew F. Noseworthy</t>
        </is>
      </c>
      <c r="F4254" t="inlineStr">
        <is>
          <t>Attend Rothesay Energy Dialogue; attend Atlantica Centre for Energy Board meeting</t>
        </is>
      </c>
      <c r="G4254" t="inlineStr">
        <is>
          <t>Assister au dialogue sur l'énergie de Rothesay; assister à une réunion du conseil d'administration d'Atlantica Centre for Energy</t>
        </is>
      </c>
      <c r="H4254" s="1" t="n">
        <v>40840</v>
      </c>
      <c r="I4254" s="1" t="n">
        <v>40843</v>
      </c>
      <c r="J4254" t="inlineStr">
        <is>
          <t>Saint John, New Brunswick</t>
        </is>
      </c>
      <c r="K4254" t="inlineStr">
        <is>
          <t>Saint John (Nouveau-Brunswick)</t>
        </is>
      </c>
      <c r="P4254" t="n">
        <v>1357.13</v>
      </c>
      <c r="Q4254" t="n">
        <v>216.02</v>
      </c>
      <c r="R4254" t="n">
        <v>416.9</v>
      </c>
      <c r="S4254" t="n">
        <v>179.75</v>
      </c>
      <c r="T4254" t="n">
        <v>71.95</v>
      </c>
      <c r="U4254" t="n">
        <v>2241.75</v>
      </c>
      <c r="X4254" t="inlineStr">
        <is>
          <t>acoa-apeca</t>
        </is>
      </c>
      <c r="Y4254" t="inlineStr">
        <is>
          <t>Atlantic Canada Opportunities Agency | Agence de promotion économique du Canada atlantique</t>
        </is>
      </c>
    </row>
    <row r="4255">
      <c r="A4255" t="inlineStr">
        <is>
          <t>T-2012-Q3-00045</t>
        </is>
      </c>
      <c r="B4255" t="inlineStr">
        <is>
          <t>SLE</t>
        </is>
      </c>
      <c r="C4255" t="inlineStr">
        <is>
          <t>Senior Advisor (Energy)</t>
        </is>
      </c>
      <c r="D4255" t="inlineStr">
        <is>
          <t>Conseiller spécial (energie)</t>
        </is>
      </c>
      <c r="E4255" t="inlineStr">
        <is>
          <t>Andrew F. Noseworthy</t>
        </is>
      </c>
      <c r="F4255" t="inlineStr">
        <is>
          <t>Attend ADM Forum</t>
        </is>
      </c>
      <c r="G4255" t="inlineStr">
        <is>
          <t>Assister au Forum des sous-ministres adjoints</t>
        </is>
      </c>
      <c r="H4255" s="1" t="n">
        <v>40828</v>
      </c>
      <c r="I4255" s="1" t="n">
        <v>40829</v>
      </c>
      <c r="J4255" t="inlineStr">
        <is>
          <t>Ottawa, Ontario</t>
        </is>
      </c>
      <c r="K4255" t="inlineStr">
        <is>
          <t>Ottawa (Ontario)</t>
        </is>
      </c>
      <c r="P4255" t="n">
        <v>1855.66</v>
      </c>
      <c r="Q4255" t="n">
        <v>120</v>
      </c>
      <c r="R4255" t="n">
        <v>217.6</v>
      </c>
      <c r="S4255" t="n">
        <v>104.85</v>
      </c>
      <c r="T4255" t="n">
        <v>24</v>
      </c>
      <c r="U4255" t="n">
        <v>2322.11</v>
      </c>
      <c r="X4255" t="inlineStr">
        <is>
          <t>acoa-apeca</t>
        </is>
      </c>
      <c r="Y4255" t="inlineStr">
        <is>
          <t>Atlantic Canada Opportunities Agency | Agence de promotion économique du Canada atlantique</t>
        </is>
      </c>
    </row>
    <row r="4256">
      <c r="A4256" t="inlineStr">
        <is>
          <t>T-2012-Q3-00021</t>
        </is>
      </c>
      <c r="B4256" t="inlineStr">
        <is>
          <t>SLE</t>
        </is>
      </c>
      <c r="C4256" t="inlineStr">
        <is>
          <t>Senior Advisor (Energy)</t>
        </is>
      </c>
      <c r="D4256" t="inlineStr">
        <is>
          <t>Conseiller spécial (energie)</t>
        </is>
      </c>
      <c r="E4256" t="inlineStr">
        <is>
          <t>Andrew F. Noseworthy</t>
        </is>
      </c>
      <c r="F4256" t="inlineStr">
        <is>
          <t>Meeting with Agency officials; Energy meetings with Industry and provincial Energy officials</t>
        </is>
      </c>
      <c r="G4256" t="inlineStr">
        <is>
          <t>Réunion avec des fonctionnaires de l'Agence; réunions sur l'énergie avec des représentants de l'industrie et des fonctionnaires provinciaux de l'énergie</t>
        </is>
      </c>
      <c r="H4256" s="1" t="n">
        <v>40805</v>
      </c>
      <c r="I4256" s="1" t="n">
        <v>40806</v>
      </c>
      <c r="J4256" t="inlineStr">
        <is>
          <t>Halifax, Nova Scotia</t>
        </is>
      </c>
      <c r="K4256" t="inlineStr">
        <is>
          <t>Halifax (Nouvelle-Écosse)</t>
        </is>
      </c>
      <c r="P4256" t="n">
        <v>1697.83</v>
      </c>
      <c r="Q4256" t="n">
        <v>120</v>
      </c>
      <c r="R4256" t="n">
        <v>174.78</v>
      </c>
      <c r="S4256" t="n">
        <v>102.75</v>
      </c>
      <c r="T4256" t="n">
        <v>24</v>
      </c>
      <c r="U4256" t="n">
        <v>2119.36</v>
      </c>
      <c r="X4256" t="inlineStr">
        <is>
          <t>acoa-apeca</t>
        </is>
      </c>
      <c r="Y4256" t="inlineStr">
        <is>
          <t>Atlantic Canada Opportunities Agency | Agence de promotion économique du Canada atlantique</t>
        </is>
      </c>
    </row>
    <row r="4257">
      <c r="A4257" t="inlineStr">
        <is>
          <t>T-2012-Q3-00001</t>
        </is>
      </c>
      <c r="B4257" t="inlineStr">
        <is>
          <t>SLE</t>
        </is>
      </c>
      <c r="C4257" t="inlineStr">
        <is>
          <t>Senior Advisor (Energy)</t>
        </is>
      </c>
      <c r="D4257" t="inlineStr">
        <is>
          <t>Conseiller spécial (energie)</t>
        </is>
      </c>
      <c r="E4257" t="inlineStr">
        <is>
          <t>Andrew F. Noseworthy</t>
        </is>
      </c>
      <c r="F4257" t="inlineStr">
        <is>
          <t>Attend Offshore Europe conference in Aberdeen; meeting with Canadian Embassy officials in London</t>
        </is>
      </c>
      <c r="G4257" t="inlineStr">
        <is>
          <t>Assister à la conférence Offshore Europe à Aberdeen; réunion avec des fonctionnaires de l'ambassade du Canada à Londres</t>
        </is>
      </c>
      <c r="H4257" s="1" t="n">
        <v>40788</v>
      </c>
      <c r="I4257" s="1" t="n">
        <v>40796</v>
      </c>
      <c r="J4257" t="inlineStr">
        <is>
          <t>Aberdeen, UK and London, UK</t>
        </is>
      </c>
      <c r="K4257" t="inlineStr">
        <is>
          <t>Aberdeen et Londres (Royaume-Uni)</t>
        </is>
      </c>
      <c r="P4257" t="n">
        <v>1457.72</v>
      </c>
      <c r="Q4257" t="n">
        <v>483.34</v>
      </c>
      <c r="R4257" t="n">
        <v>1683.94</v>
      </c>
      <c r="S4257" t="n">
        <v>1079.71</v>
      </c>
      <c r="T4257" t="n">
        <v>0</v>
      </c>
      <c r="U4257" t="n">
        <v>4704.71</v>
      </c>
      <c r="X4257" t="inlineStr">
        <is>
          <t>acoa-apeca</t>
        </is>
      </c>
      <c r="Y4257" t="inlineStr">
        <is>
          <t>Atlantic Canada Opportunities Agency | Agence de promotion économique du Canada atlantique</t>
        </is>
      </c>
    </row>
    <row r="4258">
      <c r="A4258" t="inlineStr">
        <is>
          <t>T-2012-Q2-00065</t>
        </is>
      </c>
      <c r="B4258" t="inlineStr">
        <is>
          <t>SLE</t>
        </is>
      </c>
      <c r="C4258" t="inlineStr">
        <is>
          <t>Senior Advisor (Energy)</t>
        </is>
      </c>
      <c r="D4258" t="inlineStr">
        <is>
          <t>Conseiller spécial (energie)</t>
        </is>
      </c>
      <c r="E4258" t="inlineStr">
        <is>
          <t>Andrew F. Noseworthy</t>
        </is>
      </c>
      <c r="F4258" t="inlineStr">
        <is>
          <t>To attend the 2011 Palmer Conference on Building a Canadian Energy Strategy</t>
        </is>
      </c>
      <c r="G4258" t="inlineStr">
        <is>
          <t>Assister à la conférence Palmer 2011 sur l'élaboration d'une stratégie énergétique canadienne</t>
        </is>
      </c>
      <c r="H4258" s="1" t="n">
        <v>40773</v>
      </c>
      <c r="I4258" s="1" t="n">
        <v>40774</v>
      </c>
      <c r="J4258" t="inlineStr">
        <is>
          <t>Charlottetown, Prince Edward Island</t>
        </is>
      </c>
      <c r="K4258" t="inlineStr">
        <is>
          <t>Charlottetown (Île-du-Prince-Édouard)</t>
        </is>
      </c>
      <c r="P4258" t="n">
        <v>1317.58</v>
      </c>
      <c r="Q4258" t="n">
        <v>92</v>
      </c>
      <c r="R4258" t="n">
        <v>164.93</v>
      </c>
      <c r="S4258" t="n">
        <v>88.59999999999999</v>
      </c>
      <c r="T4258" t="n">
        <v>0</v>
      </c>
      <c r="U4258" t="n">
        <v>1663.11</v>
      </c>
      <c r="X4258" t="inlineStr">
        <is>
          <t>acoa-apeca</t>
        </is>
      </c>
      <c r="Y4258" t="inlineStr">
        <is>
          <t>Atlantic Canada Opportunities Agency | Agence de promotion économique du Canada atlantique</t>
        </is>
      </c>
    </row>
    <row r="4259">
      <c r="A4259" t="inlineStr">
        <is>
          <t>T-2012-Q2-00056</t>
        </is>
      </c>
      <c r="B4259" t="inlineStr">
        <is>
          <t>SLE</t>
        </is>
      </c>
      <c r="C4259" t="inlineStr">
        <is>
          <t>Senior Advisor (Energy)</t>
        </is>
      </c>
      <c r="D4259" t="inlineStr">
        <is>
          <t>Conseiller spécial (energie)</t>
        </is>
      </c>
      <c r="E4259" t="inlineStr">
        <is>
          <t>Andrew F. Noseworthy</t>
        </is>
      </c>
      <c r="F4259" t="inlineStr">
        <is>
          <t>Energy discussion with departmental official</t>
        </is>
      </c>
      <c r="G4259" t="inlineStr">
        <is>
          <t>Discussion sur l'énergie avec un fonctionnaire ministériel</t>
        </is>
      </c>
      <c r="H4259" s="1" t="n">
        <v>40757</v>
      </c>
      <c r="I4259" s="1" t="n">
        <v>40757</v>
      </c>
      <c r="J4259" t="inlineStr">
        <is>
          <t>Ottawa, Ontario</t>
        </is>
      </c>
      <c r="K4259" t="inlineStr">
        <is>
          <t>Ottawa (Ontario)</t>
        </is>
      </c>
      <c r="P4259" t="n">
        <v>1317.58</v>
      </c>
      <c r="Q4259" t="n">
        <v>78</v>
      </c>
      <c r="R4259" t="n">
        <v>0</v>
      </c>
      <c r="S4259" t="n">
        <v>54</v>
      </c>
      <c r="T4259" t="n">
        <v>12</v>
      </c>
      <c r="U4259" t="n">
        <v>1461.58</v>
      </c>
      <c r="X4259" t="inlineStr">
        <is>
          <t>acoa-apeca</t>
        </is>
      </c>
      <c r="Y4259" t="inlineStr">
        <is>
          <t>Atlantic Canada Opportunities Agency | Agence de promotion économique du Canada atlantique</t>
        </is>
      </c>
    </row>
    <row r="4260">
      <c r="A4260" t="inlineStr">
        <is>
          <t>T-2012-Q2-00049</t>
        </is>
      </c>
      <c r="B4260" t="inlineStr">
        <is>
          <t>SLE</t>
        </is>
      </c>
      <c r="C4260" t="inlineStr">
        <is>
          <t>Senior Advisor (Energy)</t>
        </is>
      </c>
      <c r="D4260" t="inlineStr">
        <is>
          <t>Conseiller spécial (energie)</t>
        </is>
      </c>
      <c r="E4260" t="inlineStr">
        <is>
          <t>Andrew F. Noseworthy</t>
        </is>
      </c>
      <c r="F4260" t="inlineStr">
        <is>
          <t>Meeting with Associate Deputy Minister, Natural Resources Canada; Meeting with officials from Nova Scotia Department of Energy</t>
        </is>
      </c>
      <c r="G4260" t="inlineStr">
        <is>
          <t>Réunion avec le sous-minitre délégué de Ressources naturelles Canada; réunion avec des fonctionnaires du ministère de l'Énergie de la Nouvelle-Écosse</t>
        </is>
      </c>
      <c r="H4260" s="1" t="n">
        <v>40746</v>
      </c>
      <c r="I4260" s="1" t="n">
        <v>40746</v>
      </c>
      <c r="J4260" t="inlineStr">
        <is>
          <t>Halifax, Nova Scotia</t>
        </is>
      </c>
      <c r="K4260" t="inlineStr">
        <is>
          <t>Halifax (Nouvelle-Écosse)</t>
        </is>
      </c>
      <c r="P4260" t="n">
        <v>1317.58</v>
      </c>
      <c r="Q4260" t="n">
        <v>120</v>
      </c>
      <c r="R4260" t="n">
        <v>0</v>
      </c>
      <c r="S4260" t="n">
        <v>54</v>
      </c>
      <c r="T4260" t="n">
        <v>19.75</v>
      </c>
      <c r="U4260" t="n">
        <v>1511.33</v>
      </c>
      <c r="X4260" t="inlineStr">
        <is>
          <t>acoa-apeca</t>
        </is>
      </c>
      <c r="Y4260" t="inlineStr">
        <is>
          <t>Atlantic Canada Opportunities Agency | Agence de promotion économique du Canada atlantique</t>
        </is>
      </c>
    </row>
    <row r="4261">
      <c r="A4261" t="inlineStr">
        <is>
          <t>T-2012-Q2-00038</t>
        </is>
      </c>
      <c r="B4261" t="inlineStr">
        <is>
          <t>SLE</t>
        </is>
      </c>
      <c r="C4261" t="inlineStr">
        <is>
          <t>Senior Advisor (Energy)</t>
        </is>
      </c>
      <c r="D4261" t="inlineStr">
        <is>
          <t>Conseiller spécial (energie)</t>
        </is>
      </c>
      <c r="E4261" t="inlineStr">
        <is>
          <t>Andrew F. Noseworthy</t>
        </is>
      </c>
      <c r="F4261" t="inlineStr">
        <is>
          <t>Meeting with department staff; meeting with New Brunswick Energy Committee; Energy meetings in Saint John</t>
        </is>
      </c>
      <c r="G4261" t="inlineStr">
        <is>
          <t>Réunion avec du personnel ministériel; réunion avec le comité de l'énergie du Nouveau-Brunswick; réunions sur l'énergie à Saint John</t>
        </is>
      </c>
      <c r="H4261" s="1" t="n">
        <v>40735</v>
      </c>
      <c r="I4261" s="1" t="n">
        <v>40736</v>
      </c>
      <c r="J4261" t="inlineStr">
        <is>
          <t>Fredericton, New Brunswick; Saint John, New Brunswick</t>
        </is>
      </c>
      <c r="K4261" t="inlineStr">
        <is>
          <t>Fredericton et Saint John (Nouveau-Brunswick)</t>
        </is>
      </c>
      <c r="P4261" t="n">
        <v>1317.58</v>
      </c>
      <c r="Q4261" t="n">
        <v>113.53</v>
      </c>
      <c r="R4261" t="n">
        <v>132.55</v>
      </c>
      <c r="S4261" t="n">
        <v>158.55</v>
      </c>
      <c r="T4261" t="n">
        <v>207.45</v>
      </c>
      <c r="U4261" t="n">
        <v>1929.66</v>
      </c>
      <c r="X4261" t="inlineStr">
        <is>
          <t>acoa-apeca</t>
        </is>
      </c>
      <c r="Y4261" t="inlineStr">
        <is>
          <t>Atlantic Canada Opportunities Agency | Agence de promotion économique du Canada atlantique</t>
        </is>
      </c>
    </row>
    <row r="4262">
      <c r="A4262" t="inlineStr">
        <is>
          <t>T-2012-Q2-00037</t>
        </is>
      </c>
      <c r="B4262" t="inlineStr">
        <is>
          <t>SLE</t>
        </is>
      </c>
      <c r="C4262" t="inlineStr">
        <is>
          <t>Senior Advisor (Energy)</t>
        </is>
      </c>
      <c r="D4262" t="inlineStr">
        <is>
          <t>Conseiller spécial (energie)</t>
        </is>
      </c>
      <c r="E4262" t="inlineStr">
        <is>
          <t>Andrew F. Noseworthy</t>
        </is>
      </c>
      <c r="F4262" t="inlineStr">
        <is>
          <t>Attend Nova Scotia Tidal Symposium; Energy meetings</t>
        </is>
      </c>
      <c r="G4262" t="inlineStr">
        <is>
          <t>Assister au Nova Scotia Tidal Symposium; réunions sur l'énergie</t>
        </is>
      </c>
      <c r="H4262" s="1" t="n">
        <v>40731</v>
      </c>
      <c r="I4262" s="1" t="n">
        <v>40732</v>
      </c>
      <c r="J4262" t="inlineStr">
        <is>
          <t>Halifax, Nova Scotia</t>
        </is>
      </c>
      <c r="K4262" t="inlineStr">
        <is>
          <t>Halifax (Nouvelle-Écosse)</t>
        </is>
      </c>
      <c r="P4262" t="n">
        <v>1317.52</v>
      </c>
      <c r="Q4262" t="n">
        <v>120</v>
      </c>
      <c r="R4262" t="n">
        <v>174.78</v>
      </c>
      <c r="S4262" t="n">
        <v>129.35</v>
      </c>
      <c r="T4262" t="n">
        <v>111.85</v>
      </c>
      <c r="U4262" t="n">
        <v>1853.5</v>
      </c>
      <c r="X4262" t="inlineStr">
        <is>
          <t>acoa-apeca</t>
        </is>
      </c>
      <c r="Y4262" t="inlineStr">
        <is>
          <t>Atlantic Canada Opportunities Agency | Agence de promotion économique du Canada atlantique</t>
        </is>
      </c>
    </row>
    <row r="4263">
      <c r="A4263" t="inlineStr">
        <is>
          <t>T-2012-Q2-00029</t>
        </is>
      </c>
      <c r="B4263" t="inlineStr">
        <is>
          <t>SLE</t>
        </is>
      </c>
      <c r="C4263" t="inlineStr">
        <is>
          <t>Senior Advisor (Energy)</t>
        </is>
      </c>
      <c r="D4263" t="inlineStr">
        <is>
          <t>Conseiller spécial (energie)</t>
        </is>
      </c>
      <c r="E4263" t="inlineStr">
        <is>
          <t>Andrew F. Noseworthy</t>
        </is>
      </c>
      <c r="F4263" t="inlineStr">
        <is>
          <t>Meetings with officials from Nova Scotia Department of Energy</t>
        </is>
      </c>
      <c r="G4263" t="inlineStr">
        <is>
          <t>Réunions avec des fonctionnaires du ministère de l'Énergie de la Nouvelle-Écosse</t>
        </is>
      </c>
      <c r="H4263" s="1" t="n">
        <v>40722</v>
      </c>
      <c r="I4263" s="1" t="n">
        <v>40723</v>
      </c>
      <c r="J4263" t="inlineStr">
        <is>
          <t>Halifax, Nova Scotia</t>
        </is>
      </c>
      <c r="K4263" t="inlineStr">
        <is>
          <t>Halifax (Nouvelle-Écosse)</t>
        </is>
      </c>
      <c r="P4263" t="n">
        <v>661.22</v>
      </c>
      <c r="Q4263" t="n">
        <v>60</v>
      </c>
      <c r="R4263" t="n">
        <v>186.51</v>
      </c>
      <c r="S4263" t="n">
        <v>103.65</v>
      </c>
      <c r="T4263" t="n">
        <v>15.75</v>
      </c>
      <c r="U4263" t="n">
        <v>1027.13</v>
      </c>
      <c r="X4263" t="inlineStr">
        <is>
          <t>acoa-apeca</t>
        </is>
      </c>
      <c r="Y4263" t="inlineStr">
        <is>
          <t>Atlantic Canada Opportunities Agency | Agence de promotion économique du Canada atlantique</t>
        </is>
      </c>
    </row>
    <row r="4264">
      <c r="A4264" t="inlineStr">
        <is>
          <t>T-2012-Q2-00016</t>
        </is>
      </c>
      <c r="B4264" t="inlineStr">
        <is>
          <t>SLE</t>
        </is>
      </c>
      <c r="C4264" t="inlineStr">
        <is>
          <t>Senior Advisor (Energy)</t>
        </is>
      </c>
      <c r="D4264" t="inlineStr">
        <is>
          <t>Conseiller spécial (energie)</t>
        </is>
      </c>
      <c r="E4264" t="inlineStr">
        <is>
          <t>Andrew F. Noseworthy</t>
        </is>
      </c>
      <c r="F4264" t="inlineStr">
        <is>
          <t>Energy briefing for Minister.  Meeting with NRCan officials</t>
        </is>
      </c>
      <c r="G4264" t="inlineStr">
        <is>
          <t>Séance d'information sur l'énergie pour le ministre; réunion avec des fonctionnaires de Ressources naturelles Canada</t>
        </is>
      </c>
      <c r="H4264" s="1" t="n">
        <v>40714</v>
      </c>
      <c r="I4264" s="1" t="n">
        <v>40714</v>
      </c>
      <c r="J4264" t="inlineStr">
        <is>
          <t>Ottawa, Ontario</t>
        </is>
      </c>
      <c r="K4264" t="inlineStr">
        <is>
          <t>Ottawa (Ontario)</t>
        </is>
      </c>
      <c r="P4264" t="n">
        <v>1317.58</v>
      </c>
      <c r="Q4264" t="n">
        <v>152</v>
      </c>
      <c r="R4264" t="n">
        <v>0</v>
      </c>
      <c r="S4264" t="n">
        <v>54</v>
      </c>
      <c r="T4264" t="n">
        <v>88.59999999999999</v>
      </c>
      <c r="U4264" t="n">
        <v>1612.18</v>
      </c>
      <c r="X4264" t="inlineStr">
        <is>
          <t>acoa-apeca</t>
        </is>
      </c>
      <c r="Y4264" t="inlineStr">
        <is>
          <t>Atlantic Canada Opportunities Agency | Agence de promotion économique du Canada atlantique</t>
        </is>
      </c>
    </row>
    <row r="4265">
      <c r="A4265" t="inlineStr">
        <is>
          <t>T-2012-Q2-00007</t>
        </is>
      </c>
      <c r="B4265" t="inlineStr">
        <is>
          <t>SLE</t>
        </is>
      </c>
      <c r="C4265" t="inlineStr">
        <is>
          <t>Senior Advisor (Energy)</t>
        </is>
      </c>
      <c r="D4265" t="inlineStr">
        <is>
          <t>Conseiller spécial (energie)</t>
        </is>
      </c>
      <c r="E4265" t="inlineStr">
        <is>
          <t>Andrew F. Noseworthy</t>
        </is>
      </c>
      <c r="F4265" t="inlineStr">
        <is>
          <t>Atlantic Energy briefing to Minister</t>
        </is>
      </c>
      <c r="G4265" t="inlineStr">
        <is>
          <t>Séance d'information sur la porte d'entrée de l'énergie de l'Atlantique pour le ministre</t>
        </is>
      </c>
      <c r="H4265" s="1" t="n">
        <v>40702</v>
      </c>
      <c r="I4265" s="1" t="n">
        <v>40703</v>
      </c>
      <c r="J4265" t="inlineStr">
        <is>
          <t>Ottawa, Ontario</t>
        </is>
      </c>
      <c r="K4265" t="inlineStr">
        <is>
          <t>Ottawa (Ontario)</t>
        </is>
      </c>
      <c r="P4265" t="n">
        <v>857.73</v>
      </c>
      <c r="Q4265" t="n">
        <v>151</v>
      </c>
      <c r="R4265" t="n">
        <v>168.37</v>
      </c>
      <c r="S4265" t="n">
        <v>71.3</v>
      </c>
      <c r="T4265" t="n">
        <v>51</v>
      </c>
      <c r="U4265" t="n">
        <v>1299.4</v>
      </c>
      <c r="X4265" t="inlineStr">
        <is>
          <t>acoa-apeca</t>
        </is>
      </c>
      <c r="Y4265" t="inlineStr">
        <is>
          <t>Atlantic Canada Opportunities Agency | Agence de promotion économique du Canada atlantique</t>
        </is>
      </c>
    </row>
    <row r="4266">
      <c r="A4266" t="inlineStr">
        <is>
          <t>T-2012-Q1-00065</t>
        </is>
      </c>
      <c r="B4266" t="inlineStr">
        <is>
          <t>SLE</t>
        </is>
      </c>
      <c r="C4266" t="inlineStr">
        <is>
          <t>Senior Advisor (Energy)</t>
        </is>
      </c>
      <c r="D4266" t="inlineStr">
        <is>
          <t>Conseiller spécial (energie)</t>
        </is>
      </c>
      <c r="E4266" t="inlineStr">
        <is>
          <t>Andrew F. Noseworthy</t>
        </is>
      </c>
      <c r="F4266" t="inlineStr">
        <is>
          <t>Executive Committee Meeting; Atlantic Energy Gateway Federal Team Meeting</t>
        </is>
      </c>
      <c r="G4266" t="inlineStr">
        <is>
          <t>Réunion du Comité de direction et réunion de l'équipe fédérale de la Porte d'entrée de l'énergie de l'Atlantique</t>
        </is>
      </c>
      <c r="H4266" s="1" t="n">
        <v>40693</v>
      </c>
      <c r="I4266" s="1" t="n">
        <v>40695</v>
      </c>
      <c r="J4266" t="inlineStr">
        <is>
          <t>Ottawa, Ontario</t>
        </is>
      </c>
      <c r="K4266" t="inlineStr">
        <is>
          <t>Ottawa (Ontario)</t>
        </is>
      </c>
      <c r="P4266" t="n">
        <v>1317.58</v>
      </c>
      <c r="Q4266" t="n">
        <v>47</v>
      </c>
      <c r="R4266" t="n">
        <v>393.24</v>
      </c>
      <c r="S4266" t="n">
        <v>175.85</v>
      </c>
      <c r="T4266" t="n">
        <v>123.85</v>
      </c>
      <c r="U4266" t="n">
        <v>2057.52</v>
      </c>
      <c r="X4266" t="inlineStr">
        <is>
          <t>acoa-apeca</t>
        </is>
      </c>
      <c r="Y4266" t="inlineStr">
        <is>
          <t>Atlantic Canada Opportunities Agency | Agence de promotion économique du Canada atlantique</t>
        </is>
      </c>
    </row>
    <row r="4267">
      <c r="A4267" t="inlineStr">
        <is>
          <t>T-2012-Q1-00031</t>
        </is>
      </c>
      <c r="B4267" t="inlineStr">
        <is>
          <t>SLE</t>
        </is>
      </c>
      <c r="C4267" t="inlineStr">
        <is>
          <t>Senior Advisor (Energy)</t>
        </is>
      </c>
      <c r="D4267" t="inlineStr">
        <is>
          <t>Conseiller spécial (energie)</t>
        </is>
      </c>
      <c r="E4267" t="inlineStr">
        <is>
          <t>Andrew F. Noseworthy</t>
        </is>
      </c>
      <c r="F4267" t="inlineStr">
        <is>
          <t>Atlantic Energy Gateway Federal Team meeting; Energy meetings with Natural Resources Canada officials</t>
        </is>
      </c>
      <c r="G4267" t="inlineStr">
        <is>
          <t>Réunion de l'équipe fédérale de la Porte d'entrée de l'énergie de l'Atlantique; réunions sur l'énergie avec RNC</t>
        </is>
      </c>
      <c r="H4267" s="1" t="n">
        <v>40644</v>
      </c>
      <c r="I4267" s="1" t="n">
        <v>40645</v>
      </c>
      <c r="J4267" t="inlineStr">
        <is>
          <t>Ottawa, Ontario</t>
        </is>
      </c>
      <c r="K4267" t="inlineStr">
        <is>
          <t>Ottawa (Ontario)</t>
        </is>
      </c>
      <c r="P4267" t="n">
        <v>1317.58</v>
      </c>
      <c r="Q4267" t="n">
        <v>107</v>
      </c>
      <c r="R4267" t="n">
        <v>175.15</v>
      </c>
      <c r="S4267" t="n">
        <v>143.5</v>
      </c>
      <c r="T4267" t="n">
        <v>127.6</v>
      </c>
      <c r="U4267" t="n">
        <v>1870.83</v>
      </c>
      <c r="X4267" t="inlineStr">
        <is>
          <t>acoa-apeca</t>
        </is>
      </c>
      <c r="Y4267" t="inlineStr">
        <is>
          <t>Atlantic Canada Opportunities Agency | Agence de promotion économique du Canada atlantique</t>
        </is>
      </c>
    </row>
    <row r="4268">
      <c r="A4268" t="inlineStr">
        <is>
          <t>T-2012-Q1-00020</t>
        </is>
      </c>
      <c r="B4268" t="inlineStr">
        <is>
          <t>SLE</t>
        </is>
      </c>
      <c r="C4268" t="inlineStr">
        <is>
          <t>Senior Advisor (Energy)</t>
        </is>
      </c>
      <c r="D4268" t="inlineStr">
        <is>
          <t>Conseiller spécial (energie)</t>
        </is>
      </c>
      <c r="E4268" t="inlineStr">
        <is>
          <t>Andrew F. Noseworthy</t>
        </is>
      </c>
      <c r="F4268" t="inlineStr">
        <is>
          <t>Meeting with New Brunswick Energy Commission; Atlantica Centre for Energy Board Meeting; Executive Committee Meeting.</t>
        </is>
      </c>
      <c r="G4268" t="inlineStr">
        <is>
          <t>Réunion avec la Commission de l'énergie du N.-B.; avec le conseil du Atlantica Centre for Energy; avec le Comité de direction</t>
        </is>
      </c>
      <c r="H4268" s="1" t="n">
        <v>40624</v>
      </c>
      <c r="I4268" s="1" t="n">
        <v>40627</v>
      </c>
      <c r="J4268" t="inlineStr">
        <is>
          <t>Fredericton, Saint John, and Moncton, New Brunswick</t>
        </is>
      </c>
      <c r="K4268" t="inlineStr">
        <is>
          <t>Fredericton, Saint John et Moncton (Nouveau-Brunswick)</t>
        </is>
      </c>
      <c r="P4268" t="n">
        <v>1686.28</v>
      </c>
      <c r="Q4268" t="n">
        <v>502.47</v>
      </c>
      <c r="R4268" t="n">
        <v>412.45</v>
      </c>
      <c r="S4268" t="n">
        <v>284.3</v>
      </c>
      <c r="T4268" t="n">
        <v>26.84</v>
      </c>
      <c r="U4268" t="n">
        <v>2912.34</v>
      </c>
      <c r="X4268" t="inlineStr">
        <is>
          <t>acoa-apeca</t>
        </is>
      </c>
      <c r="Y4268" t="inlineStr">
        <is>
          <t>Atlantic Canada Opportunities Agency | Agence de promotion économique du Canada atlantique</t>
        </is>
      </c>
    </row>
    <row r="4269">
      <c r="A4269" t="inlineStr">
        <is>
          <t>T-2011-Q4-00073</t>
        </is>
      </c>
      <c r="B4269" t="inlineStr">
        <is>
          <t>SLE</t>
        </is>
      </c>
      <c r="C4269" t="inlineStr">
        <is>
          <t>Senior Advisor (Energy)</t>
        </is>
      </c>
      <c r="D4269" t="inlineStr">
        <is>
          <t>Conseiller spécial (energie)</t>
        </is>
      </c>
      <c r="E4269" t="inlineStr">
        <is>
          <t>Andrew F. Noseworthy</t>
        </is>
      </c>
      <c r="F4269" t="inlineStr">
        <is>
          <t>Appearance at the Senate Standing Committee on Energy, the Environment and Natural Resources</t>
        </is>
      </c>
      <c r="G4269" t="inlineStr">
        <is>
          <t>Comparution devant le Comité sénatorial permanent de l'énergie, de l'environnement et des ressources naturelles</t>
        </is>
      </c>
      <c r="H4269" s="1" t="n">
        <v>40603</v>
      </c>
      <c r="I4269" s="1" t="n">
        <v>40604</v>
      </c>
      <c r="J4269" t="inlineStr">
        <is>
          <t>Charlottetown, Prince Edward Island</t>
        </is>
      </c>
      <c r="K4269" t="inlineStr">
        <is>
          <t>Charlottetown (Île-du-Prince-Édouard)</t>
        </is>
      </c>
      <c r="P4269" t="n">
        <v>2296.06</v>
      </c>
      <c r="Q4269" t="n">
        <v>90</v>
      </c>
      <c r="R4269" t="n">
        <v>117.6</v>
      </c>
      <c r="S4269" t="n">
        <v>141.7</v>
      </c>
      <c r="T4269" t="n">
        <v>0</v>
      </c>
      <c r="U4269" t="n">
        <v>2645.36</v>
      </c>
      <c r="X4269" t="inlineStr">
        <is>
          <t>acoa-apeca</t>
        </is>
      </c>
      <c r="Y4269" t="inlineStr">
        <is>
          <t>Atlantic Canada Opportunities Agency | Agence de promotion économique du Canada atlantique</t>
        </is>
      </c>
    </row>
    <row r="4270">
      <c r="A4270" t="inlineStr">
        <is>
          <t>T-2011-Q4-00066</t>
        </is>
      </c>
      <c r="B4270" t="inlineStr">
        <is>
          <t>SLE</t>
        </is>
      </c>
      <c r="C4270" t="inlineStr">
        <is>
          <t>Senior Advisor (Energy)</t>
        </is>
      </c>
      <c r="D4270" t="inlineStr">
        <is>
          <t>Conseiller spécial (energie)</t>
        </is>
      </c>
      <c r="E4270" t="inlineStr">
        <is>
          <t>Andrew F. Noseworthy</t>
        </is>
      </c>
      <c r="F4270" t="inlineStr">
        <is>
          <t>Energy meeting with NB officials; Atlantica Centre for Energy Board Meeting and AGM.</t>
        </is>
      </c>
      <c r="G4270" t="inlineStr">
        <is>
          <t>Réunion sur l'énergie avec fonctionnaires provinciaux; réunion du conseil et AGA du Atlantica Centre for Energy</t>
        </is>
      </c>
      <c r="H4270" s="1" t="n">
        <v>40597</v>
      </c>
      <c r="I4270" s="1" t="n">
        <v>40598</v>
      </c>
      <c r="J4270" t="inlineStr">
        <is>
          <t>Fredericton, New Brunswick; Saint John, New Brunswick</t>
        </is>
      </c>
      <c r="K4270" t="inlineStr">
        <is>
          <t>Fredericton et Saint John (Nouveau-Brunswick)</t>
        </is>
      </c>
      <c r="P4270" t="n">
        <v>1189.38</v>
      </c>
      <c r="Q4270" t="n">
        <v>254.22</v>
      </c>
      <c r="R4270" t="n">
        <v>123.17</v>
      </c>
      <c r="S4270" t="n">
        <v>141.7</v>
      </c>
      <c r="T4270" t="n">
        <v>20.24</v>
      </c>
      <c r="U4270" t="n">
        <v>1728.71</v>
      </c>
      <c r="X4270" t="inlineStr">
        <is>
          <t>acoa-apeca</t>
        </is>
      </c>
      <c r="Y4270" t="inlineStr">
        <is>
          <t>Atlantic Canada Opportunities Agency | Agence de promotion économique du Canada atlantique</t>
        </is>
      </c>
    </row>
    <row r="4271">
      <c r="A4271" t="inlineStr">
        <is>
          <t>T-2011-Q4-00057</t>
        </is>
      </c>
      <c r="B4271" t="inlineStr">
        <is>
          <t>SLE</t>
        </is>
      </c>
      <c r="C4271" t="inlineStr">
        <is>
          <t>Senior Advisor (Energy)</t>
        </is>
      </c>
      <c r="D4271" t="inlineStr">
        <is>
          <t>Conseiller spécial (energie)</t>
        </is>
      </c>
      <c r="E4271" t="inlineStr">
        <is>
          <t>Andrew F. Noseworthy</t>
        </is>
      </c>
      <c r="F4271" t="inlineStr">
        <is>
          <t>Energy Meetings; Executive Committee Meeting; Meeting with PCO Officials</t>
        </is>
      </c>
      <c r="G4271" t="inlineStr">
        <is>
          <t>Réunions sur l'énergie; réunion du Comité de direction; et réunion avec des fonctionnaires du BCP</t>
        </is>
      </c>
      <c r="H4271" s="1" t="n">
        <v>40589</v>
      </c>
      <c r="I4271" s="1" t="n">
        <v>40591</v>
      </c>
      <c r="J4271" t="inlineStr">
        <is>
          <t>Ottawa, Ontario</t>
        </is>
      </c>
      <c r="K4271" t="inlineStr">
        <is>
          <t>Ottawa (Ontario)</t>
        </is>
      </c>
      <c r="P4271" t="n">
        <v>1506.45</v>
      </c>
      <c r="Q4271" t="n">
        <v>175</v>
      </c>
      <c r="R4271" t="n">
        <v>350.3</v>
      </c>
      <c r="S4271" t="n">
        <v>240.8</v>
      </c>
      <c r="T4271" t="n">
        <v>0</v>
      </c>
      <c r="U4271" t="n">
        <v>2272.55</v>
      </c>
      <c r="X4271" t="inlineStr">
        <is>
          <t>acoa-apeca</t>
        </is>
      </c>
      <c r="Y4271" t="inlineStr">
        <is>
          <t>Atlantic Canada Opportunities Agency | Agence de promotion économique du Canada atlantique</t>
        </is>
      </c>
    </row>
    <row r="4272">
      <c r="A4272" t="inlineStr">
        <is>
          <t>T-2011-Q4-00050</t>
        </is>
      </c>
      <c r="B4272" t="inlineStr">
        <is>
          <t>SLE</t>
        </is>
      </c>
      <c r="C4272" t="inlineStr">
        <is>
          <t>Senior Advisor (Energy)</t>
        </is>
      </c>
      <c r="D4272" t="inlineStr">
        <is>
          <t>Conseiller spécial (energie)</t>
        </is>
      </c>
      <c r="E4272" t="inlineStr">
        <is>
          <t>Andrew F. Noseworthy</t>
        </is>
      </c>
      <c r="F4272" t="inlineStr">
        <is>
          <t>Science and Technology Panelist on the Dalhousie conference on Public Administration; Energy meetings</t>
        </is>
      </c>
      <c r="G4272" t="inlineStr">
        <is>
          <t>Table ronde des sciences et technologies à la conférence de Dalhousie sur l'admin. publique; réunions sur l'énergie</t>
        </is>
      </c>
      <c r="H4272" s="1" t="n">
        <v>40576</v>
      </c>
      <c r="I4272" s="1" t="n">
        <v>40577</v>
      </c>
      <c r="J4272" t="inlineStr">
        <is>
          <t>Halifax, Nova Scotia</t>
        </is>
      </c>
      <c r="K4272" t="inlineStr">
        <is>
          <t>Halifax (Nouvelle-Écosse)</t>
        </is>
      </c>
      <c r="P4272" t="n">
        <v>318.39</v>
      </c>
      <c r="Q4272" t="n">
        <v>209</v>
      </c>
      <c r="R4272" t="n">
        <v>139.59</v>
      </c>
      <c r="S4272" t="n">
        <v>155.6</v>
      </c>
      <c r="T4272" t="n">
        <v>0</v>
      </c>
      <c r="U4272" t="n">
        <v>822.58</v>
      </c>
      <c r="X4272" t="inlineStr">
        <is>
          <t>acoa-apeca</t>
        </is>
      </c>
      <c r="Y4272" t="inlineStr">
        <is>
          <t>Atlantic Canada Opportunities Agency | Agence de promotion économique du Canada atlantique</t>
        </is>
      </c>
    </row>
    <row r="4273">
      <c r="A4273" t="inlineStr">
        <is>
          <t>T-2011-Q4-00035</t>
        </is>
      </c>
      <c r="B4273" t="inlineStr">
        <is>
          <t>SLE</t>
        </is>
      </c>
      <c r="C4273" t="inlineStr">
        <is>
          <t>Senior Advisor (Energy)</t>
        </is>
      </c>
      <c r="D4273" t="inlineStr">
        <is>
          <t>Conseiller spécial (energie)</t>
        </is>
      </c>
      <c r="E4273" t="inlineStr">
        <is>
          <t>Andrew F. Noseworthy</t>
        </is>
      </c>
      <c r="F4273" t="inlineStr">
        <is>
          <t>Atlantic Energy Gateway (AEG) Steering Committee Meeting</t>
        </is>
      </c>
      <c r="G4273" t="inlineStr">
        <is>
          <t>Réunion du Comité directeur de la Porte d'entrée de l'énergie de l'Atlantique</t>
        </is>
      </c>
      <c r="H4273" s="1" t="n">
        <v>40559</v>
      </c>
      <c r="I4273" s="1" t="n">
        <v>40560</v>
      </c>
      <c r="J4273" t="inlineStr">
        <is>
          <t>Toronto, Ontario</t>
        </is>
      </c>
      <c r="K4273" t="inlineStr">
        <is>
          <t>Toronto (Ontario)</t>
        </is>
      </c>
      <c r="P4273" t="n">
        <v>841.34</v>
      </c>
      <c r="Q4273" t="n">
        <v>0</v>
      </c>
      <c r="R4273" t="n">
        <v>168.37</v>
      </c>
      <c r="S4273" t="n">
        <v>102.5</v>
      </c>
      <c r="T4273" t="n">
        <v>24</v>
      </c>
      <c r="U4273" t="n">
        <v>1136.21</v>
      </c>
      <c r="X4273" t="inlineStr">
        <is>
          <t>acoa-apeca</t>
        </is>
      </c>
      <c r="Y4273" t="inlineStr">
        <is>
          <t>Atlantic Canada Opportunities Agency | Agence de promotion économique du Canada atlantique</t>
        </is>
      </c>
    </row>
    <row r="4274">
      <c r="A4274" t="inlineStr">
        <is>
          <t>T-2011-Q4-00018</t>
        </is>
      </c>
      <c r="B4274" t="inlineStr">
        <is>
          <t>SLE</t>
        </is>
      </c>
      <c r="C4274" t="inlineStr">
        <is>
          <t>Senior Advisor (Energy)</t>
        </is>
      </c>
      <c r="D4274" t="inlineStr">
        <is>
          <t>Conseiller spécial (energie)</t>
        </is>
      </c>
      <c r="E4274" t="inlineStr">
        <is>
          <t>Andrew F. Noseworthy</t>
        </is>
      </c>
      <c r="F4274" t="inlineStr">
        <is>
          <t>Atlantic Energy Gateway (AEG) Steering Committee meetings</t>
        </is>
      </c>
      <c r="G4274" t="inlineStr">
        <is>
          <t>Réunions du Comité directeur de la Porte d'entrée de l'énergie de l'Atlantique</t>
        </is>
      </c>
      <c r="H4274" s="1" t="n">
        <v>40525</v>
      </c>
      <c r="I4274" s="1" t="n">
        <v>40526</v>
      </c>
      <c r="J4274" t="inlineStr">
        <is>
          <t>Halifax, Nova Scotia</t>
        </is>
      </c>
      <c r="K4274" t="inlineStr">
        <is>
          <t>Halifax (Nouvelle-Écosse)</t>
        </is>
      </c>
      <c r="P4274" t="n">
        <v>384.3</v>
      </c>
      <c r="Q4274" t="n">
        <v>127</v>
      </c>
      <c r="R4274" t="n">
        <v>139.59</v>
      </c>
      <c r="S4274" t="n">
        <v>126.9</v>
      </c>
      <c r="T4274" t="n">
        <v>24</v>
      </c>
      <c r="U4274" t="n">
        <v>801.79</v>
      </c>
      <c r="X4274" t="inlineStr">
        <is>
          <t>acoa-apeca</t>
        </is>
      </c>
      <c r="Y4274" t="inlineStr">
        <is>
          <t>Atlantic Canada Opportunities Agency | Agence de promotion économique du Canada atlantique</t>
        </is>
      </c>
    </row>
    <row r="4275">
      <c r="A4275" t="inlineStr">
        <is>
          <t>T-2011-Q4-00010</t>
        </is>
      </c>
      <c r="B4275" t="inlineStr">
        <is>
          <t>SLE</t>
        </is>
      </c>
      <c r="C4275" t="inlineStr">
        <is>
          <t>Senior Advisor (Energy)</t>
        </is>
      </c>
      <c r="D4275" t="inlineStr">
        <is>
          <t>Conseiller spécial (energie)</t>
        </is>
      </c>
      <c r="E4275" t="inlineStr">
        <is>
          <t>Andrew F. Noseworthy</t>
        </is>
      </c>
      <c r="F4275" t="inlineStr">
        <is>
          <t>Executive Committee meeting; participate on an Interview Board</t>
        </is>
      </c>
      <c r="G4275" t="inlineStr">
        <is>
          <t>Réunion du Comité de direction; participation à un comité de sélection</t>
        </is>
      </c>
      <c r="H4275" s="1" t="n">
        <v>40519</v>
      </c>
      <c r="I4275" s="1" t="n">
        <v>40520</v>
      </c>
      <c r="J4275" t="inlineStr">
        <is>
          <t>Ottawa, Ontario</t>
        </is>
      </c>
      <c r="K4275" t="inlineStr">
        <is>
          <t>Ottawa (Ontario)</t>
        </is>
      </c>
      <c r="P4275" t="n">
        <v>714.78</v>
      </c>
      <c r="Q4275" t="n">
        <v>115</v>
      </c>
      <c r="R4275" t="n">
        <v>174.02</v>
      </c>
      <c r="S4275" t="n">
        <v>117.3</v>
      </c>
      <c r="T4275" t="n">
        <v>24</v>
      </c>
      <c r="U4275" t="n">
        <v>1145.1</v>
      </c>
      <c r="X4275" t="inlineStr">
        <is>
          <t>acoa-apeca</t>
        </is>
      </c>
      <c r="Y4275" t="inlineStr">
        <is>
          <t>Atlantic Canada Opportunities Agency | Agence de promotion économique du Canada atlantique</t>
        </is>
      </c>
    </row>
    <row r="4276">
      <c r="A4276" t="inlineStr">
        <is>
          <t>T-2011-Q4-00001</t>
        </is>
      </c>
      <c r="B4276" t="inlineStr">
        <is>
          <t>SLE</t>
        </is>
      </c>
      <c r="C4276" t="inlineStr">
        <is>
          <t>Senior Advisor (Energy)</t>
        </is>
      </c>
      <c r="D4276" t="inlineStr">
        <is>
          <t>Conseiller spécial (energie)</t>
        </is>
      </c>
      <c r="E4276" t="inlineStr">
        <is>
          <t>Andrew F. Noseworthy</t>
        </is>
      </c>
      <c r="F4276" t="inlineStr">
        <is>
          <t>Participate on an Interview Board</t>
        </is>
      </c>
      <c r="G4276" t="inlineStr">
        <is>
          <t>Participation à un comité de sélection</t>
        </is>
      </c>
      <c r="H4276" s="1" t="n">
        <v>40515</v>
      </c>
      <c r="I4276" s="1" t="n">
        <v>40515</v>
      </c>
      <c r="J4276" t="inlineStr">
        <is>
          <t>Moncton, New Brunswick</t>
        </is>
      </c>
      <c r="K4276" t="inlineStr">
        <is>
          <t>Moncton (Nouveau-Brunswick)</t>
        </is>
      </c>
      <c r="P4276" t="n">
        <v>810.1</v>
      </c>
      <c r="Q4276" t="n">
        <v>23</v>
      </c>
      <c r="R4276" t="n">
        <v>0</v>
      </c>
      <c r="S4276" t="n">
        <v>0</v>
      </c>
      <c r="T4276" t="n">
        <v>22.5</v>
      </c>
      <c r="U4276" t="n">
        <v>855.6</v>
      </c>
      <c r="X4276" t="inlineStr">
        <is>
          <t>acoa-apeca</t>
        </is>
      </c>
      <c r="Y4276" t="inlineStr">
        <is>
          <t>Atlantic Canada Opportunities Agency | Agence de promotion économique du Canada atlantique</t>
        </is>
      </c>
    </row>
    <row r="4277">
      <c r="A4277" t="inlineStr">
        <is>
          <t>T-2018-Q1-00048</t>
        </is>
      </c>
      <c r="B4277" t="inlineStr">
        <is>
          <t>SLE</t>
        </is>
      </c>
      <c r="C4277" t="inlineStr">
        <is>
          <t>Vice-President, New Brunswick</t>
        </is>
      </c>
      <c r="D4277" t="inlineStr">
        <is>
          <t>Vice-président, Nouveau-Brunswick</t>
        </is>
      </c>
      <c r="E4277" t="inlineStr">
        <is>
          <t>Kent Estabrooks</t>
        </is>
      </c>
      <c r="F4277" t="inlineStr">
        <is>
          <t>Training and development and meetings with Agency officials</t>
        </is>
      </c>
      <c r="G4277" t="inlineStr">
        <is>
          <t xml:space="preserve">Formation et perfectionnement et réunions avec des fonctionnaires de l'Agence </t>
        </is>
      </c>
      <c r="H4277" s="1" t="n">
        <v>42850</v>
      </c>
      <c r="I4277" s="1" t="n">
        <v>42852</v>
      </c>
      <c r="J4277" t="inlineStr">
        <is>
          <t>Ottawa, Ontario</t>
        </is>
      </c>
      <c r="K4277" t="inlineStr">
        <is>
          <t>Ottawa (Ontario)</t>
        </is>
      </c>
      <c r="P4277" t="n">
        <v>673.9</v>
      </c>
      <c r="Q4277" t="n">
        <v>161</v>
      </c>
      <c r="R4277" t="n">
        <v>463.24</v>
      </c>
      <c r="S4277" t="n">
        <v>225.85</v>
      </c>
      <c r="T4277" t="n">
        <v>172.5</v>
      </c>
      <c r="U4277" t="n">
        <v>1696.49</v>
      </c>
      <c r="X4277" t="inlineStr">
        <is>
          <t>acoa-apeca</t>
        </is>
      </c>
      <c r="Y4277" t="inlineStr">
        <is>
          <t>Atlantic Canada Opportunities Agency | Agence de promotion économique du Canada atlantique</t>
        </is>
      </c>
    </row>
    <row r="4278">
      <c r="A4278" t="inlineStr">
        <is>
          <t>T-2018-Q1-00008</t>
        </is>
      </c>
      <c r="B4278" t="inlineStr">
        <is>
          <t>SLE</t>
        </is>
      </c>
      <c r="C4278" t="inlineStr">
        <is>
          <t>Senior Advisor (Energy)</t>
        </is>
      </c>
      <c r="D4278" t="inlineStr">
        <is>
          <t>Conseiller spécial (energie)</t>
        </is>
      </c>
      <c r="E4278" t="inlineStr">
        <is>
          <t>Andrew F. Noseworthy</t>
        </is>
      </c>
      <c r="F4278" t="inlineStr">
        <is>
          <t>Attend Atlantic Energy Deputies meeting</t>
        </is>
      </c>
      <c r="G4278" t="inlineStr">
        <is>
          <t>Assister à la réunion des sous-ministres sur l'énergie de l'Atlantique</t>
        </is>
      </c>
      <c r="H4278" s="1" t="n">
        <v>42822</v>
      </c>
      <c r="I4278" s="1" t="n">
        <v>42822</v>
      </c>
      <c r="J4278" t="inlineStr">
        <is>
          <t>Charlottetown, Prince Edward Island</t>
        </is>
      </c>
      <c r="K4278" t="inlineStr">
        <is>
          <t>Charlottetown (Île-du-Prince-Édouard)</t>
        </is>
      </c>
      <c r="P4278" t="n">
        <v>484.18</v>
      </c>
      <c r="Q4278" t="n">
        <v>0</v>
      </c>
      <c r="R4278" t="n">
        <v>0</v>
      </c>
      <c r="S4278" t="n">
        <v>17</v>
      </c>
      <c r="T4278" t="n">
        <v>25.75</v>
      </c>
      <c r="U4278" t="n">
        <v>526.9299999999999</v>
      </c>
      <c r="X4278" t="inlineStr">
        <is>
          <t>acoa-apeca</t>
        </is>
      </c>
      <c r="Y4278" t="inlineStr">
        <is>
          <t>Atlantic Canada Opportunities Agency | Agence de promotion économique du Canada atlantique</t>
        </is>
      </c>
    </row>
    <row r="4279">
      <c r="A4279" t="inlineStr">
        <is>
          <t>T-2017-Q4-00018</t>
        </is>
      </c>
      <c r="B4279" t="inlineStr">
        <is>
          <t>SLE</t>
        </is>
      </c>
      <c r="C4279" t="inlineStr">
        <is>
          <t>Senior Advisor (Energy)</t>
        </is>
      </c>
      <c r="D4279" t="inlineStr">
        <is>
          <t>Conseiller spécial (energie)</t>
        </is>
      </c>
      <c r="E4279" t="inlineStr">
        <is>
          <t>Andrew F. Noseworthy</t>
        </is>
      </c>
      <c r="F4279" t="inlineStr">
        <is>
          <t>Attend Executive Committee Meeting</t>
        </is>
      </c>
      <c r="G4279" t="inlineStr">
        <is>
          <t>Assister à une réunion du Comité de direction</t>
        </is>
      </c>
      <c r="H4279" s="1" t="n">
        <v>42766</v>
      </c>
      <c r="I4279" s="1" t="n">
        <v>42768</v>
      </c>
      <c r="J4279" t="inlineStr">
        <is>
          <t>Moncton, New Brunswick</t>
        </is>
      </c>
      <c r="K4279" t="inlineStr">
        <is>
          <t>Moncton (Nouveau-Brunswick)</t>
        </is>
      </c>
      <c r="P4279" t="n">
        <v>985.67</v>
      </c>
      <c r="Q4279" t="n">
        <v>23</v>
      </c>
      <c r="R4279" t="n">
        <v>239.2</v>
      </c>
      <c r="S4279" t="n">
        <v>176.95</v>
      </c>
      <c r="T4279" t="n">
        <v>33.25</v>
      </c>
      <c r="U4279" t="n">
        <v>1458.07</v>
      </c>
      <c r="X4279" t="inlineStr">
        <is>
          <t>acoa-apeca</t>
        </is>
      </c>
      <c r="Y4279" t="inlineStr">
        <is>
          <t>Atlantic Canada Opportunities Agency | Agence de promotion économique du Canada atlantique</t>
        </is>
      </c>
    </row>
    <row r="4280">
      <c r="A4280" t="inlineStr">
        <is>
          <t>T-2014-Q1-00061</t>
        </is>
      </c>
      <c r="B4280" t="inlineStr">
        <is>
          <t>SLE</t>
        </is>
      </c>
      <c r="C4280" t="inlineStr">
        <is>
          <t>Acting Vice-President, New Brunswick</t>
        </is>
      </c>
      <c r="D4280" t="inlineStr">
        <is>
          <t>Vice-présidente par intérim, Nouveau-Brunswick</t>
        </is>
      </c>
      <c r="E4280" t="inlineStr">
        <is>
          <t>Denise Frenette</t>
        </is>
      </c>
      <c r="F4280" t="inlineStr">
        <is>
          <t>Atlantic Canada Opportunities Board Meeting</t>
        </is>
      </c>
      <c r="G4280" t="inlineStr">
        <is>
          <t>Réunion du Conseil de promotion économique du Canada atlantique</t>
        </is>
      </c>
      <c r="H4280" s="1" t="n">
        <v>41422</v>
      </c>
      <c r="I4280" s="1" t="n">
        <v>41422</v>
      </c>
      <c r="J4280" t="inlineStr">
        <is>
          <t>Charlottetown, Prince Edward Island</t>
        </is>
      </c>
      <c r="K4280" t="inlineStr">
        <is>
          <t>Charlottetown (Île-du-Prince-Edouard)</t>
        </is>
      </c>
      <c r="P4280" t="n">
        <v>0</v>
      </c>
      <c r="Q4280" t="n">
        <v>44.5</v>
      </c>
      <c r="R4280" t="n">
        <v>0</v>
      </c>
      <c r="S4280" t="n">
        <v>0</v>
      </c>
      <c r="T4280" t="n">
        <v>7.58</v>
      </c>
      <c r="U4280" t="n">
        <v>52.08</v>
      </c>
      <c r="X4280" t="inlineStr">
        <is>
          <t>acoa-apeca</t>
        </is>
      </c>
      <c r="Y4280" t="inlineStr">
        <is>
          <t>Atlantic Canada Opportunities Agency | Agence de promotion économique du Canada atlantique</t>
        </is>
      </c>
    </row>
    <row r="4281">
      <c r="A4281" t="inlineStr">
        <is>
          <t>T-2011-Q4-00006</t>
        </is>
      </c>
      <c r="B4281" t="inlineStr">
        <is>
          <t>SLE</t>
        </is>
      </c>
      <c r="C4281" t="inlineStr">
        <is>
          <t>Acting Senior Vice-President</t>
        </is>
      </c>
      <c r="D4281" t="inlineStr">
        <is>
          <t>Vice-président principal par intérim</t>
        </is>
      </c>
      <c r="E4281" t="inlineStr">
        <is>
          <t>David Slade</t>
        </is>
      </c>
      <c r="F4281" t="inlineStr">
        <is>
          <t>Meeting with Government of Canada officials</t>
        </is>
      </c>
      <c r="G4281" t="inlineStr">
        <is>
          <t>Réunion avec des fonctionnaires du gouvernement du Canada</t>
        </is>
      </c>
      <c r="H4281" s="1" t="n">
        <v>40518</v>
      </c>
      <c r="I4281" s="1" t="n">
        <v>40520</v>
      </c>
      <c r="J4281" t="inlineStr">
        <is>
          <t>Ottawa, Ontario</t>
        </is>
      </c>
      <c r="K4281" t="inlineStr">
        <is>
          <t>Ottawa (Ontario)</t>
        </is>
      </c>
      <c r="P4281" t="n">
        <v>968.15</v>
      </c>
      <c r="Q4281" t="n">
        <v>41.93</v>
      </c>
      <c r="R4281" t="n">
        <v>348.04</v>
      </c>
      <c r="S4281" t="n">
        <v>95.40000000000001</v>
      </c>
      <c r="T4281" t="n">
        <v>0</v>
      </c>
      <c r="U4281" t="n">
        <v>1453.52</v>
      </c>
      <c r="X4281" t="inlineStr">
        <is>
          <t>acoa-apeca</t>
        </is>
      </c>
      <c r="Y4281" t="inlineStr">
        <is>
          <t>Atlantic Canada Opportunities Agency | Agence de promotion économique du Canada atlantique</t>
        </is>
      </c>
    </row>
    <row r="4282">
      <c r="A4282" t="inlineStr">
        <is>
          <t>T-2011-Q4-00014</t>
        </is>
      </c>
      <c r="B4282" t="inlineStr">
        <is>
          <t>SLE</t>
        </is>
      </c>
      <c r="C4282" t="inlineStr">
        <is>
          <t>Acting Senior Vice-President</t>
        </is>
      </c>
      <c r="D4282" t="inlineStr">
        <is>
          <t>Vice-président principal par intérim</t>
        </is>
      </c>
      <c r="E4282" t="inlineStr">
        <is>
          <t>David Slade</t>
        </is>
      </c>
      <c r="F4282" t="inlineStr">
        <is>
          <t>Meeting with Government of Canada and private sector officials</t>
        </is>
      </c>
      <c r="G4282" t="inlineStr">
        <is>
          <t>Réunion avec des fonctionnaires du gouvernerment du Canada et des représentants du secteur privé</t>
        </is>
      </c>
      <c r="H4282" s="1" t="n">
        <v>40522</v>
      </c>
      <c r="I4282" s="1" t="n">
        <v>40522</v>
      </c>
      <c r="J4282" t="inlineStr">
        <is>
          <t>Charlottetown, Prince Edward Island</t>
        </is>
      </c>
      <c r="K4282" t="inlineStr">
        <is>
          <t>Charlottetown (Île-du-Prince-Édouard)</t>
        </is>
      </c>
      <c r="P4282" t="n">
        <v>0</v>
      </c>
      <c r="Q4282" t="n">
        <v>133.7</v>
      </c>
      <c r="R4282" t="n">
        <v>0</v>
      </c>
      <c r="S4282" t="n">
        <v>0</v>
      </c>
      <c r="T4282" t="n">
        <v>0</v>
      </c>
      <c r="U4282" t="n">
        <v>133.7</v>
      </c>
      <c r="X4282" t="inlineStr">
        <is>
          <t>acoa-apeca</t>
        </is>
      </c>
      <c r="Y4282" t="inlineStr">
        <is>
          <t>Atlantic Canada Opportunities Agency | Agence de promotion économique du Canada atlantique</t>
        </is>
      </c>
    </row>
    <row r="4283">
      <c r="A4283" t="inlineStr">
        <is>
          <t>T-2011-Q4-00016</t>
        </is>
      </c>
      <c r="B4283" t="inlineStr">
        <is>
          <t>SLE</t>
        </is>
      </c>
      <c r="C4283" t="inlineStr">
        <is>
          <t>Acting Senior Vice-President</t>
        </is>
      </c>
      <c r="D4283" t="inlineStr">
        <is>
          <t>Vice-président principal par intérim</t>
        </is>
      </c>
      <c r="E4283" t="inlineStr">
        <is>
          <t>David Slade</t>
        </is>
      </c>
      <c r="F4283" t="inlineStr">
        <is>
          <t>Meeting with Government of Canada officials and private sector officials</t>
        </is>
      </c>
      <c r="G4283" t="inlineStr">
        <is>
          <t>Réunion avec des fonctionnaires du gouvernement du Canada et des représentants du secteur privé</t>
        </is>
      </c>
      <c r="H4283" s="1" t="n">
        <v>40524</v>
      </c>
      <c r="I4283" s="1" t="n">
        <v>40525</v>
      </c>
      <c r="J4283" t="inlineStr">
        <is>
          <t>Halifax, Nova Scotia</t>
        </is>
      </c>
      <c r="K4283" t="inlineStr">
        <is>
          <t>Halifax (Nouvelle-Écosse)</t>
        </is>
      </c>
      <c r="P4283" t="n">
        <v>0</v>
      </c>
      <c r="Q4283" t="n">
        <v>0</v>
      </c>
      <c r="R4283" t="n">
        <v>134.9</v>
      </c>
      <c r="S4283" t="n">
        <v>73.8</v>
      </c>
      <c r="T4283" t="n">
        <v>0</v>
      </c>
      <c r="U4283" t="n">
        <v>208.7</v>
      </c>
      <c r="X4283" t="inlineStr">
        <is>
          <t>acoa-apeca</t>
        </is>
      </c>
      <c r="Y4283" t="inlineStr">
        <is>
          <t>Atlantic Canada Opportunities Agency | Agence de promotion économique du Canada atlantique</t>
        </is>
      </c>
    </row>
    <row r="4284">
      <c r="A4284" t="inlineStr">
        <is>
          <t>T-2011-Q4-00039</t>
        </is>
      </c>
      <c r="B4284" t="inlineStr">
        <is>
          <t>SLE</t>
        </is>
      </c>
      <c r="C4284" t="inlineStr">
        <is>
          <t>Acting Senior Vice-President</t>
        </is>
      </c>
      <c r="D4284" t="inlineStr">
        <is>
          <t>Vice-président principal par intérim</t>
        </is>
      </c>
      <c r="E4284" t="inlineStr">
        <is>
          <t>David Slade</t>
        </is>
      </c>
      <c r="F4284" t="inlineStr">
        <is>
          <t>Meetings with Government of Canada officials</t>
        </is>
      </c>
      <c r="G4284" t="inlineStr">
        <is>
          <t>Réunions avec des fonctionnaires du gouvernement du Canada</t>
        </is>
      </c>
      <c r="H4284" s="1" t="n">
        <v>40562</v>
      </c>
      <c r="I4284" s="1" t="n">
        <v>40564</v>
      </c>
      <c r="J4284" t="inlineStr">
        <is>
          <t>Ottawa, Ontario</t>
        </is>
      </c>
      <c r="K4284" t="inlineStr">
        <is>
          <t>Ottawa (Ontario)</t>
        </is>
      </c>
      <c r="P4284" t="n">
        <v>1061.07</v>
      </c>
      <c r="Q4284" t="n">
        <v>71</v>
      </c>
      <c r="R4284" t="n">
        <v>348.04</v>
      </c>
      <c r="S4284" t="n">
        <v>201.6</v>
      </c>
      <c r="T4284" t="n">
        <v>0</v>
      </c>
      <c r="U4284" t="n">
        <v>1681.71</v>
      </c>
      <c r="X4284" t="inlineStr">
        <is>
          <t>acoa-apeca</t>
        </is>
      </c>
      <c r="Y4284" t="inlineStr">
        <is>
          <t>Atlantic Canada Opportunities Agency | Agence de promotion économique du Canada atlantique</t>
        </is>
      </c>
    </row>
    <row r="4285">
      <c r="A4285" t="inlineStr">
        <is>
          <t>T-2011-Q4-00060</t>
        </is>
      </c>
      <c r="B4285" t="inlineStr">
        <is>
          <t>SLE</t>
        </is>
      </c>
      <c r="C4285" t="inlineStr">
        <is>
          <t>Acting Senior Vice-President</t>
        </is>
      </c>
      <c r="D4285" t="inlineStr">
        <is>
          <t>Vice-président principal par intérim</t>
        </is>
      </c>
      <c r="E4285" t="inlineStr">
        <is>
          <t>David Slade</t>
        </is>
      </c>
      <c r="F4285" t="inlineStr">
        <is>
          <t>Meetings with Government of Canada Officials</t>
        </is>
      </c>
      <c r="G4285" t="inlineStr">
        <is>
          <t>Réunions avec des fonctionnaires du gouvernement du Canada</t>
        </is>
      </c>
      <c r="H4285" s="1" t="n">
        <v>40589</v>
      </c>
      <c r="I4285" s="1" t="n">
        <v>40591</v>
      </c>
      <c r="J4285" t="inlineStr">
        <is>
          <t>Ottawa, Ontario</t>
        </is>
      </c>
      <c r="K4285" t="inlineStr">
        <is>
          <t>Ottawa (Ontario)</t>
        </is>
      </c>
      <c r="P4285" t="n">
        <v>1075.76</v>
      </c>
      <c r="Q4285" t="n">
        <v>43.37</v>
      </c>
      <c r="R4285" t="n">
        <v>348.04</v>
      </c>
      <c r="S4285" t="n">
        <v>252.2</v>
      </c>
      <c r="T4285" t="n">
        <v>0</v>
      </c>
      <c r="U4285" t="n">
        <v>1719.37</v>
      </c>
      <c r="X4285" t="inlineStr">
        <is>
          <t>acoa-apeca</t>
        </is>
      </c>
      <c r="Y4285" t="inlineStr">
        <is>
          <t>Atlantic Canada Opportunities Agency | Agence de promotion économique du Canada atlantique</t>
        </is>
      </c>
    </row>
    <row r="4286">
      <c r="A4286" t="inlineStr">
        <is>
          <t>T-2012-Q1-00011</t>
        </is>
      </c>
      <c r="B4286" t="inlineStr">
        <is>
          <t>SLE</t>
        </is>
      </c>
      <c r="C4286" t="inlineStr">
        <is>
          <t>Acting Senior Vice-President</t>
        </is>
      </c>
      <c r="D4286" t="inlineStr">
        <is>
          <t>Vice-président principal par intérim</t>
        </is>
      </c>
      <c r="E4286" t="inlineStr">
        <is>
          <t>David Slade</t>
        </is>
      </c>
      <c r="F4286" t="inlineStr">
        <is>
          <t>Meeting with Private Sector and Government of Canada officials</t>
        </is>
      </c>
      <c r="G4286" t="inlineStr">
        <is>
          <t>Réunion avec des représentants du secteur privé et des fonctionnaires du gouvernement du Canada</t>
        </is>
      </c>
      <c r="H4286" s="1" t="n">
        <v>40615</v>
      </c>
      <c r="I4286" s="1" t="n">
        <v>40616</v>
      </c>
      <c r="J4286" t="inlineStr">
        <is>
          <t>Charlottetown, Prince Edward Island</t>
        </is>
      </c>
      <c r="K4286" t="inlineStr">
        <is>
          <t>Charlottetown (Île-du-Prince-Édouard)</t>
        </is>
      </c>
      <c r="P4286" t="n">
        <v>0</v>
      </c>
      <c r="Q4286" t="n">
        <v>204.01</v>
      </c>
      <c r="R4286" t="n">
        <v>117.6</v>
      </c>
      <c r="S4286" t="n">
        <v>49.4</v>
      </c>
      <c r="T4286" t="n">
        <v>20.5</v>
      </c>
      <c r="U4286" t="n">
        <v>391.51</v>
      </c>
      <c r="X4286" t="inlineStr">
        <is>
          <t>acoa-apeca</t>
        </is>
      </c>
      <c r="Y4286" t="inlineStr">
        <is>
          <t>Atlantic Canada Opportunities Agency | Agence de promotion économique du Canada atlantique</t>
        </is>
      </c>
    </row>
    <row r="4287">
      <c r="A4287" t="inlineStr">
        <is>
          <t>T-2012-Q1-00019</t>
        </is>
      </c>
      <c r="B4287" t="inlineStr">
        <is>
          <t>SLE</t>
        </is>
      </c>
      <c r="C4287" t="inlineStr">
        <is>
          <t>Acting Senior Vice-President</t>
        </is>
      </c>
      <c r="D4287" t="inlineStr">
        <is>
          <t>Vice-président principal par intérim</t>
        </is>
      </c>
      <c r="E4287" t="inlineStr">
        <is>
          <t>David Slade</t>
        </is>
      </c>
      <c r="F4287" t="inlineStr">
        <is>
          <t>Meeting with Government of Canada Officials</t>
        </is>
      </c>
      <c r="G4287" t="inlineStr">
        <is>
          <t>Réunion avec des fonctionnaires du gouvernement du Canada</t>
        </is>
      </c>
      <c r="H4287" s="1" t="n">
        <v>40623</v>
      </c>
      <c r="I4287" s="1" t="n">
        <v>40626</v>
      </c>
      <c r="J4287" t="inlineStr">
        <is>
          <t>Ottawa, Ontario</t>
        </is>
      </c>
      <c r="K4287" t="inlineStr">
        <is>
          <t>Ottawa (Ontario)</t>
        </is>
      </c>
      <c r="P4287" t="n">
        <v>1075.76</v>
      </c>
      <c r="Q4287" t="n">
        <v>51.37</v>
      </c>
      <c r="R4287" t="n">
        <v>674.61</v>
      </c>
      <c r="S4287" t="n">
        <v>272.9</v>
      </c>
      <c r="T4287" t="n">
        <v>0</v>
      </c>
      <c r="U4287" t="n">
        <v>2074.64</v>
      </c>
      <c r="X4287" t="inlineStr">
        <is>
          <t>acoa-apeca</t>
        </is>
      </c>
      <c r="Y4287" t="inlineStr">
        <is>
          <t>Atlantic Canada Opportunities Agency | Agence de promotion économique du Canada atlantique</t>
        </is>
      </c>
    </row>
    <row r="4288">
      <c r="A4288" t="inlineStr">
        <is>
          <t>T-2012-Q1-00040</t>
        </is>
      </c>
      <c r="B4288" t="inlineStr">
        <is>
          <t>SLE</t>
        </is>
      </c>
      <c r="C4288" t="inlineStr">
        <is>
          <t>Acting Senior Vice-President</t>
        </is>
      </c>
      <c r="D4288" t="inlineStr">
        <is>
          <t>Vice-président principal par intérim</t>
        </is>
      </c>
      <c r="E4288" t="inlineStr">
        <is>
          <t>David Slade</t>
        </is>
      </c>
      <c r="F4288" t="inlineStr">
        <is>
          <t>Meeting with Government of Canada officials</t>
        </is>
      </c>
      <c r="G4288" t="inlineStr">
        <is>
          <t>Réunion avec des fonctionnaires du gouvernement du Canada</t>
        </is>
      </c>
      <c r="H4288" s="1" t="n">
        <v>40652</v>
      </c>
      <c r="I4288" s="1" t="n">
        <v>40654</v>
      </c>
      <c r="J4288" t="inlineStr">
        <is>
          <t>Ottawa, Ontario</t>
        </is>
      </c>
      <c r="K4288" t="inlineStr">
        <is>
          <t>Ottawa (Ontario)</t>
        </is>
      </c>
      <c r="P4288" t="n">
        <v>1075.76</v>
      </c>
      <c r="Q4288" t="n">
        <v>51.64</v>
      </c>
      <c r="R4288" t="n">
        <v>449.74</v>
      </c>
      <c r="S4288" t="n">
        <v>150.15</v>
      </c>
      <c r="T4288" t="n">
        <v>0</v>
      </c>
      <c r="U4288" t="n">
        <v>1727.29</v>
      </c>
      <c r="X4288" t="inlineStr">
        <is>
          <t>acoa-apeca</t>
        </is>
      </c>
      <c r="Y4288" t="inlineStr">
        <is>
          <t>Atlantic Canada Opportunities Agency | Agence de promotion économique du Canada atlantique</t>
        </is>
      </c>
    </row>
    <row r="4289">
      <c r="A4289" t="inlineStr">
        <is>
          <t>T-2012-Q1-00058</t>
        </is>
      </c>
      <c r="B4289" t="inlineStr">
        <is>
          <t>SLE</t>
        </is>
      </c>
      <c r="C4289" t="inlineStr">
        <is>
          <t>Acting Senior Vice-President</t>
        </is>
      </c>
      <c r="D4289" t="inlineStr">
        <is>
          <t>Vice-président principal par intérim</t>
        </is>
      </c>
      <c r="E4289" t="inlineStr">
        <is>
          <t>David Slade</t>
        </is>
      </c>
      <c r="F4289" t="inlineStr">
        <is>
          <t>Meetings with Government of Canada officials</t>
        </is>
      </c>
      <c r="G4289" t="inlineStr">
        <is>
          <t xml:space="preserve">Réunions avec des fonctionnaires du gouvernement du Canada </t>
        </is>
      </c>
      <c r="H4289" s="1" t="n">
        <v>40679</v>
      </c>
      <c r="I4289" s="1" t="n">
        <v>40680</v>
      </c>
      <c r="J4289" t="inlineStr">
        <is>
          <t>Ottawa, Ontario</t>
        </is>
      </c>
      <c r="K4289" t="inlineStr">
        <is>
          <t>Ottawa (Ontario)</t>
        </is>
      </c>
      <c r="P4289" t="n">
        <v>1075.76</v>
      </c>
      <c r="Q4289" t="n">
        <v>112.23</v>
      </c>
      <c r="R4289" t="n">
        <v>197.75</v>
      </c>
      <c r="S4289" t="n">
        <v>143.5</v>
      </c>
      <c r="T4289" t="n">
        <v>0</v>
      </c>
      <c r="U4289" t="n">
        <v>1529.24</v>
      </c>
      <c r="X4289" t="inlineStr">
        <is>
          <t>acoa-apeca</t>
        </is>
      </c>
      <c r="Y4289" t="inlineStr">
        <is>
          <t>Atlantic Canada Opportunities Agency | Agence de promotion économique du Canada atlantique</t>
        </is>
      </c>
    </row>
    <row r="4290">
      <c r="A4290" t="inlineStr">
        <is>
          <t>T-2012-Q2-00001</t>
        </is>
      </c>
      <c r="B4290" t="inlineStr">
        <is>
          <t>SLE</t>
        </is>
      </c>
      <c r="C4290" t="inlineStr">
        <is>
          <t>Acting Senior Vice-President</t>
        </is>
      </c>
      <c r="D4290" t="inlineStr">
        <is>
          <t>Vice-président principal par intérim</t>
        </is>
      </c>
      <c r="E4290" t="inlineStr">
        <is>
          <t>David Slade</t>
        </is>
      </c>
      <c r="F4290" t="inlineStr">
        <is>
          <t>Meeting with Government of Canada and Private Sector officials</t>
        </is>
      </c>
      <c r="G4290" t="inlineStr">
        <is>
          <t>Réunion avec des fonctionnaires du gouvernement du Canada et des représentants du secteur privé</t>
        </is>
      </c>
      <c r="H4290" s="1" t="n">
        <v>40699</v>
      </c>
      <c r="I4290" s="1" t="n">
        <v>40702</v>
      </c>
      <c r="J4290" t="inlineStr">
        <is>
          <t>St. John's, Newfoundland and Labrador</t>
        </is>
      </c>
      <c r="K4290" t="inlineStr">
        <is>
          <t>St. John's (Terre-Neuve-et-Labrador)</t>
        </is>
      </c>
      <c r="P4290" t="n">
        <v>1151.27</v>
      </c>
      <c r="Q4290" t="n">
        <v>275.15</v>
      </c>
      <c r="R4290" t="n">
        <v>276.08</v>
      </c>
      <c r="S4290" t="n">
        <v>205.05</v>
      </c>
      <c r="T4290" t="n">
        <v>0</v>
      </c>
      <c r="U4290" t="n">
        <v>1907.55</v>
      </c>
      <c r="X4290" t="inlineStr">
        <is>
          <t>acoa-apeca</t>
        </is>
      </c>
      <c r="Y4290" t="inlineStr">
        <is>
          <t>Atlantic Canada Opportunities Agency | Agence de promotion économique du Canada atlantique</t>
        </is>
      </c>
    </row>
    <row r="4291">
      <c r="A4291" t="inlineStr">
        <is>
          <t>T-2012-Q2-00027</t>
        </is>
      </c>
      <c r="B4291" t="inlineStr">
        <is>
          <t>SLE</t>
        </is>
      </c>
      <c r="C4291" t="inlineStr">
        <is>
          <t>Acting Senior Vice-President</t>
        </is>
      </c>
      <c r="D4291" t="inlineStr">
        <is>
          <t>Vice-président principal par intérim</t>
        </is>
      </c>
      <c r="E4291" t="inlineStr">
        <is>
          <t>David Slade</t>
        </is>
      </c>
      <c r="F4291" t="inlineStr">
        <is>
          <t>Meeting with Government of Canada officials</t>
        </is>
      </c>
      <c r="G4291" t="inlineStr">
        <is>
          <t>Réunion avec des fonctionnaires du gouvernement du Canada</t>
        </is>
      </c>
      <c r="H4291" s="1" t="n">
        <v>40721</v>
      </c>
      <c r="I4291" s="1" t="n">
        <v>40723</v>
      </c>
      <c r="J4291" t="inlineStr">
        <is>
          <t>Winnipeg, Manitoba</t>
        </is>
      </c>
      <c r="K4291" t="inlineStr">
        <is>
          <t>Winnipeg (Manitoba)</t>
        </is>
      </c>
      <c r="P4291" t="n">
        <v>2383.44</v>
      </c>
      <c r="Q4291" t="n">
        <v>65.56999999999999</v>
      </c>
      <c r="R4291" t="n">
        <v>372.86</v>
      </c>
      <c r="S4291" t="n">
        <v>244</v>
      </c>
      <c r="T4291" t="n">
        <v>2.46</v>
      </c>
      <c r="U4291" t="n">
        <v>3068.33</v>
      </c>
      <c r="X4291" t="inlineStr">
        <is>
          <t>acoa-apeca</t>
        </is>
      </c>
      <c r="Y4291" t="inlineStr">
        <is>
          <t>Atlantic Canada Opportunities Agency | Agence de promotion économique du Canada atlantique</t>
        </is>
      </c>
    </row>
    <row r="4292">
      <c r="A4292" t="inlineStr">
        <is>
          <t>T-2012-Q2-00052</t>
        </is>
      </c>
      <c r="B4292" t="inlineStr">
        <is>
          <t>SLE</t>
        </is>
      </c>
      <c r="C4292" t="inlineStr">
        <is>
          <t>Acting Senior Vice-President</t>
        </is>
      </c>
      <c r="D4292" t="inlineStr">
        <is>
          <t>Vice-président principal par intérim</t>
        </is>
      </c>
      <c r="E4292" t="inlineStr">
        <is>
          <t>David Slade</t>
        </is>
      </c>
      <c r="F4292" t="inlineStr">
        <is>
          <t>Meeting with Government of Canada officials</t>
        </is>
      </c>
      <c r="G4292" t="inlineStr">
        <is>
          <t>Réunion avec des fonctionnaires du gouvernement du Canada</t>
        </is>
      </c>
      <c r="H4292" s="1" t="n">
        <v>40751</v>
      </c>
      <c r="I4292" s="1" t="n">
        <v>40752</v>
      </c>
      <c r="J4292" t="inlineStr">
        <is>
          <t>Summerside, Prince Edward Island</t>
        </is>
      </c>
      <c r="K4292" t="inlineStr">
        <is>
          <t>Summerside (Île-du-Prince-Édouard)</t>
        </is>
      </c>
      <c r="P4292" t="n">
        <v>0</v>
      </c>
      <c r="Q4292" t="n">
        <v>161.83</v>
      </c>
      <c r="R4292" t="n">
        <v>0</v>
      </c>
      <c r="S4292" t="n">
        <v>0</v>
      </c>
      <c r="T4292" t="n">
        <v>0</v>
      </c>
      <c r="U4292" t="n">
        <v>161.83</v>
      </c>
      <c r="X4292" t="inlineStr">
        <is>
          <t>acoa-apeca</t>
        </is>
      </c>
      <c r="Y4292" t="inlineStr">
        <is>
          <t>Atlantic Canada Opportunities Agency | Agence de promotion économique du Canada atlantique</t>
        </is>
      </c>
    </row>
    <row r="4293">
      <c r="A4293" t="inlineStr">
        <is>
          <t>T-2012-Q2-00058</t>
        </is>
      </c>
      <c r="B4293" t="inlineStr">
        <is>
          <t>SLE</t>
        </is>
      </c>
      <c r="C4293" t="inlineStr">
        <is>
          <t>Acting Senior Vice-President</t>
        </is>
      </c>
      <c r="D4293" t="inlineStr">
        <is>
          <t>Vice-président principal par intérim</t>
        </is>
      </c>
      <c r="E4293" t="inlineStr">
        <is>
          <t>David Slade</t>
        </is>
      </c>
      <c r="F4293" t="inlineStr">
        <is>
          <t>Meeting with Government of Canada officials</t>
        </is>
      </c>
      <c r="G4293" t="inlineStr">
        <is>
          <t>Réunion avec des fonctionnaires du gouvernement du Canada</t>
        </is>
      </c>
      <c r="H4293" s="1" t="n">
        <v>40766</v>
      </c>
      <c r="I4293" s="1" t="n">
        <v>40767</v>
      </c>
      <c r="J4293" t="inlineStr">
        <is>
          <t>Ottawa, Ontario</t>
        </is>
      </c>
      <c r="K4293" t="inlineStr">
        <is>
          <t>Ottawa (Ontario)</t>
        </is>
      </c>
      <c r="P4293" t="n">
        <v>847.75</v>
      </c>
      <c r="Q4293" t="n">
        <v>14.04</v>
      </c>
      <c r="R4293" t="n">
        <v>174.02</v>
      </c>
      <c r="S4293" t="n">
        <v>117.8</v>
      </c>
      <c r="T4293" t="n">
        <v>0</v>
      </c>
      <c r="U4293" t="n">
        <v>1153.61</v>
      </c>
      <c r="X4293" t="inlineStr">
        <is>
          <t>acoa-apeca</t>
        </is>
      </c>
      <c r="Y4293" t="inlineStr">
        <is>
          <t>Atlantic Canada Opportunities Agency | Agence de promotion économique du Canada atlantique</t>
        </is>
      </c>
    </row>
    <row r="4294">
      <c r="A4294" t="inlineStr">
        <is>
          <t>T-2012-Q2-00063</t>
        </is>
      </c>
      <c r="B4294" t="inlineStr">
        <is>
          <t>SLE</t>
        </is>
      </c>
      <c r="C4294" t="inlineStr">
        <is>
          <t>Acting Senior Vice-President</t>
        </is>
      </c>
      <c r="D4294" t="inlineStr">
        <is>
          <t>Vice-président principal par intérim</t>
        </is>
      </c>
      <c r="E4294" t="inlineStr">
        <is>
          <t>David Slade</t>
        </is>
      </c>
      <c r="F4294" t="inlineStr">
        <is>
          <t>Meeting with Government of Canada officials</t>
        </is>
      </c>
      <c r="G4294" t="inlineStr">
        <is>
          <t>Réunion avec des fonctionnaires du gouvernement du Canada</t>
        </is>
      </c>
      <c r="H4294" s="1" t="n">
        <v>40773</v>
      </c>
      <c r="I4294" s="1" t="n">
        <v>40774</v>
      </c>
      <c r="J4294" t="inlineStr">
        <is>
          <t>Ottawa, Ontario</t>
        </is>
      </c>
      <c r="K4294" t="inlineStr">
        <is>
          <t>Ottawa (Ontario)</t>
        </is>
      </c>
      <c r="P4294" t="n">
        <v>1117.74</v>
      </c>
      <c r="Q4294" t="n">
        <v>14.04</v>
      </c>
      <c r="R4294" t="n">
        <v>157.07</v>
      </c>
      <c r="S4294" t="n">
        <v>143.5</v>
      </c>
      <c r="T4294" t="n">
        <v>0</v>
      </c>
      <c r="U4294" t="n">
        <v>1432.35</v>
      </c>
      <c r="X4294" t="inlineStr">
        <is>
          <t>acoa-apeca</t>
        </is>
      </c>
      <c r="Y4294" t="inlineStr">
        <is>
          <t>Atlantic Canada Opportunities Agency | Agence de promotion économique du Canada atlantique</t>
        </is>
      </c>
    </row>
    <row r="4295">
      <c r="A4295" t="inlineStr">
        <is>
          <t>T-2012-Q3-00003</t>
        </is>
      </c>
      <c r="B4295" t="inlineStr">
        <is>
          <t>SLE</t>
        </is>
      </c>
      <c r="C4295" t="inlineStr">
        <is>
          <t>Acting Senior Vice-President</t>
        </is>
      </c>
      <c r="D4295" t="inlineStr">
        <is>
          <t>Vice-président principal par intérim</t>
        </is>
      </c>
      <c r="E4295" t="inlineStr">
        <is>
          <t>David Slade</t>
        </is>
      </c>
      <c r="F4295" t="inlineStr">
        <is>
          <t>Meeting with Government of Canada officials</t>
        </is>
      </c>
      <c r="G4295" t="inlineStr">
        <is>
          <t>Réunion avec des fonctionnaires du gouvernement du Canada</t>
        </is>
      </c>
      <c r="H4295" s="1" t="n">
        <v>40792</v>
      </c>
      <c r="I4295" s="1" t="n">
        <v>40793</v>
      </c>
      <c r="J4295" t="inlineStr">
        <is>
          <t>Ottawa, Ontario</t>
        </is>
      </c>
      <c r="K4295" t="inlineStr">
        <is>
          <t>Ottawa (Ontario)</t>
        </is>
      </c>
      <c r="P4295" t="n">
        <v>764.1900000000001</v>
      </c>
      <c r="Q4295" t="n">
        <v>54.04</v>
      </c>
      <c r="R4295" t="n">
        <v>174.02</v>
      </c>
      <c r="S4295" t="n">
        <v>129.35</v>
      </c>
      <c r="T4295" t="n">
        <v>0</v>
      </c>
      <c r="U4295" t="n">
        <v>1121.6</v>
      </c>
      <c r="X4295" t="inlineStr">
        <is>
          <t>acoa-apeca</t>
        </is>
      </c>
      <c r="Y4295" t="inlineStr">
        <is>
          <t>Atlantic Canada Opportunities Agency | Agence de promotion économique du Canada atlantique</t>
        </is>
      </c>
    </row>
    <row r="4296">
      <c r="A4296" t="inlineStr">
        <is>
          <t>T-2012-Q3-00013</t>
        </is>
      </c>
      <c r="B4296" t="inlineStr">
        <is>
          <t>SLE</t>
        </is>
      </c>
      <c r="C4296" t="inlineStr">
        <is>
          <t>Acting Senior Vice-President</t>
        </is>
      </c>
      <c r="D4296" t="inlineStr">
        <is>
          <t>Vice-président principal par intérim</t>
        </is>
      </c>
      <c r="E4296" t="inlineStr">
        <is>
          <t>David Slade</t>
        </is>
      </c>
      <c r="F4296" t="inlineStr">
        <is>
          <t>Meeting with Government of Canada officials</t>
        </is>
      </c>
      <c r="G4296" t="inlineStr">
        <is>
          <t>Réunion avec des fonctionnaires du gouvernement du Canada</t>
        </is>
      </c>
      <c r="H4296" s="1" t="n">
        <v>40798</v>
      </c>
      <c r="I4296" s="1" t="n">
        <v>40800</v>
      </c>
      <c r="J4296" t="inlineStr">
        <is>
          <t>Ottawa, Ontario</t>
        </is>
      </c>
      <c r="K4296" t="inlineStr">
        <is>
          <t>Ottawa (Ontario)</t>
        </is>
      </c>
      <c r="P4296" t="n">
        <v>864.05</v>
      </c>
      <c r="Q4296" t="n">
        <v>52.04</v>
      </c>
      <c r="R4296" t="n">
        <v>348.04</v>
      </c>
      <c r="S4296" t="n">
        <v>229.85</v>
      </c>
      <c r="T4296" t="n">
        <v>0</v>
      </c>
      <c r="U4296" t="n">
        <v>1493.98</v>
      </c>
      <c r="X4296" t="inlineStr">
        <is>
          <t>acoa-apeca</t>
        </is>
      </c>
      <c r="Y4296" t="inlineStr">
        <is>
          <t>Atlantic Canada Opportunities Agency | Agence de promotion économique du Canada atlantique</t>
        </is>
      </c>
    </row>
    <row r="4297">
      <c r="A4297" t="inlineStr">
        <is>
          <t>T-2012-Q3-00019</t>
        </is>
      </c>
      <c r="B4297" t="inlineStr">
        <is>
          <t>SLE</t>
        </is>
      </c>
      <c r="C4297" t="inlineStr">
        <is>
          <t>Acting Senior Vice-President</t>
        </is>
      </c>
      <c r="D4297" t="inlineStr">
        <is>
          <t>Vice-président principal par intérim</t>
        </is>
      </c>
      <c r="E4297" t="inlineStr">
        <is>
          <t>David Slade</t>
        </is>
      </c>
      <c r="F4297" t="inlineStr">
        <is>
          <t>Meeting with Government of Canada and private sector officials</t>
        </is>
      </c>
      <c r="G4297" t="inlineStr">
        <is>
          <t>Réunion avec des représentants du gouvernement fédéral et du secteur privé</t>
        </is>
      </c>
      <c r="H4297" s="1" t="n">
        <v>40805</v>
      </c>
      <c r="I4297" s="1" t="n">
        <v>40806</v>
      </c>
      <c r="J4297" t="inlineStr">
        <is>
          <t>Halifax, Nova Scotia</t>
        </is>
      </c>
      <c r="K4297" t="inlineStr">
        <is>
          <t>Halifax (Nouvelle-Écosse)</t>
        </is>
      </c>
      <c r="P4297" t="n">
        <v>0</v>
      </c>
      <c r="Q4297" t="n">
        <v>193.78</v>
      </c>
      <c r="R4297" t="n">
        <v>186.51</v>
      </c>
      <c r="S4297" t="n">
        <v>143.5</v>
      </c>
      <c r="T4297" t="n">
        <v>0</v>
      </c>
      <c r="U4297" t="n">
        <v>523.79</v>
      </c>
      <c r="X4297" t="inlineStr">
        <is>
          <t>acoa-apeca</t>
        </is>
      </c>
      <c r="Y4297" t="inlineStr">
        <is>
          <t>Atlantic Canada Opportunities Agency | Agence de promotion économique du Canada atlantique</t>
        </is>
      </c>
    </row>
    <row r="4298">
      <c r="A4298" t="inlineStr">
        <is>
          <t>T-2012-Q3-00030</t>
        </is>
      </c>
      <c r="B4298" t="inlineStr">
        <is>
          <t>SLE</t>
        </is>
      </c>
      <c r="C4298" t="inlineStr">
        <is>
          <t>Acting Senior Vice-President</t>
        </is>
      </c>
      <c r="D4298" t="inlineStr">
        <is>
          <t>Vice-président principal par intérim</t>
        </is>
      </c>
      <c r="E4298" t="inlineStr">
        <is>
          <t>David Slade</t>
        </is>
      </c>
      <c r="F4298" t="inlineStr">
        <is>
          <t>Meeting with Government of Canada officials</t>
        </is>
      </c>
      <c r="G4298" t="inlineStr">
        <is>
          <t>Réunion avec des fonctionnaires du gouvernement fédéral</t>
        </is>
      </c>
      <c r="H4298" s="1" t="n">
        <v>40813</v>
      </c>
      <c r="I4298" s="1" t="n">
        <v>40815</v>
      </c>
      <c r="J4298" t="inlineStr">
        <is>
          <t>Ottawa, Ontario</t>
        </is>
      </c>
      <c r="K4298" t="inlineStr">
        <is>
          <t>Ottawa (Ontario)</t>
        </is>
      </c>
      <c r="P4298" t="n">
        <v>832.6799999999999</v>
      </c>
      <c r="Q4298" t="n">
        <v>52.04</v>
      </c>
      <c r="R4298" t="n">
        <v>585.34</v>
      </c>
      <c r="S4298" t="n">
        <v>204.15</v>
      </c>
      <c r="T4298" t="n">
        <v>4.75</v>
      </c>
      <c r="U4298" t="n">
        <v>1678.96</v>
      </c>
      <c r="X4298" t="inlineStr">
        <is>
          <t>acoa-apeca</t>
        </is>
      </c>
      <c r="Y4298" t="inlineStr">
        <is>
          <t>Atlantic Canada Opportunities Agency | Agence de promotion économique du Canada atlantique</t>
        </is>
      </c>
    </row>
    <row r="4299">
      <c r="A4299" t="inlineStr">
        <is>
          <t>T-2012-Q3-00036</t>
        </is>
      </c>
      <c r="B4299" t="inlineStr">
        <is>
          <t>SLE</t>
        </is>
      </c>
      <c r="C4299" t="inlineStr">
        <is>
          <t>Acting Senior Vice-President</t>
        </is>
      </c>
      <c r="D4299" t="inlineStr">
        <is>
          <t>Vice-président principal par intérim</t>
        </is>
      </c>
      <c r="E4299" t="inlineStr">
        <is>
          <t>David Slade</t>
        </is>
      </c>
      <c r="F4299" t="inlineStr">
        <is>
          <t>Meeting with Government of Canada officials</t>
        </is>
      </c>
      <c r="G4299" t="inlineStr">
        <is>
          <t>Réunion avec des fonctionnaires du gouvernement fédéral</t>
        </is>
      </c>
      <c r="H4299" s="1" t="n">
        <v>40820</v>
      </c>
      <c r="I4299" s="1" t="n">
        <v>40821</v>
      </c>
      <c r="J4299" t="inlineStr">
        <is>
          <t>Halifax, Nova Scotia</t>
        </is>
      </c>
      <c r="K4299" t="inlineStr">
        <is>
          <t>Halifax (Nouvelle-Écosse)</t>
        </is>
      </c>
      <c r="P4299" t="n">
        <v>0</v>
      </c>
      <c r="Q4299" t="n">
        <v>187.86</v>
      </c>
      <c r="R4299" t="n">
        <v>218.18</v>
      </c>
      <c r="S4299" t="n">
        <v>130.55</v>
      </c>
      <c r="T4299" t="n">
        <v>0</v>
      </c>
      <c r="U4299" t="n">
        <v>536.59</v>
      </c>
      <c r="X4299" t="inlineStr">
        <is>
          <t>acoa-apeca</t>
        </is>
      </c>
      <c r="Y4299" t="inlineStr">
        <is>
          <t>Atlantic Canada Opportunities Agency | Agence de promotion économique du Canada atlantique</t>
        </is>
      </c>
    </row>
    <row r="4300">
      <c r="A4300" t="inlineStr">
        <is>
          <t>T-2012-Q3-00049</t>
        </is>
      </c>
      <c r="B4300" t="inlineStr">
        <is>
          <t>SLE</t>
        </is>
      </c>
      <c r="C4300" t="inlineStr">
        <is>
          <t>Acting Senior Vice-President</t>
        </is>
      </c>
      <c r="D4300" t="inlineStr">
        <is>
          <t>Vice-président principal par intérim</t>
        </is>
      </c>
      <c r="E4300" t="inlineStr">
        <is>
          <t>David Slade</t>
        </is>
      </c>
      <c r="F4300" t="inlineStr">
        <is>
          <t>Meeting with Government of Canada and private sector officials</t>
        </is>
      </c>
      <c r="G4300" t="inlineStr">
        <is>
          <t>Réunion avec des représentants du gouvernement fédéral et du secteur privé</t>
        </is>
      </c>
      <c r="H4300" s="1" t="n">
        <v>40840</v>
      </c>
      <c r="I4300" s="1" t="n">
        <v>40842</v>
      </c>
      <c r="J4300" t="inlineStr">
        <is>
          <t>Rothesay, New Brunswick</t>
        </is>
      </c>
      <c r="K4300" t="inlineStr">
        <is>
          <t>Rothesay (Nouveau-Brunswick)</t>
        </is>
      </c>
      <c r="P4300" t="n">
        <v>0</v>
      </c>
      <c r="Q4300" t="n">
        <v>209.13</v>
      </c>
      <c r="R4300" t="n">
        <v>223.74</v>
      </c>
      <c r="S4300" t="n">
        <v>192.4</v>
      </c>
      <c r="T4300" t="n">
        <v>0</v>
      </c>
      <c r="U4300" t="n">
        <v>625.27</v>
      </c>
      <c r="X4300" t="inlineStr">
        <is>
          <t>acoa-apeca</t>
        </is>
      </c>
      <c r="Y4300" t="inlineStr">
        <is>
          <t>Atlantic Canada Opportunities Agency | Agence de promotion économique du Canada atlantique</t>
        </is>
      </c>
    </row>
    <row r="4301">
      <c r="A4301" t="inlineStr">
        <is>
          <t>T-2012-Q3-00087</t>
        </is>
      </c>
      <c r="B4301" t="inlineStr">
        <is>
          <t>SLE</t>
        </is>
      </c>
      <c r="C4301" t="inlineStr">
        <is>
          <t>Acting Senior Vice-President</t>
        </is>
      </c>
      <c r="D4301" t="inlineStr">
        <is>
          <t>Vice-président principal par intérim</t>
        </is>
      </c>
      <c r="E4301" t="inlineStr">
        <is>
          <t>David Slade</t>
        </is>
      </c>
      <c r="F4301" t="inlineStr">
        <is>
          <t>Meetings with Private Sector and Government of Canada officials</t>
        </is>
      </c>
      <c r="G4301" t="inlineStr">
        <is>
          <t>Réunions avec des représentants du secteur privé et des fonctionnaires du gouvernement du Canada</t>
        </is>
      </c>
      <c r="H4301" s="1" t="n">
        <v>40877</v>
      </c>
      <c r="I4301" s="1" t="n">
        <v>40879</v>
      </c>
      <c r="J4301" t="inlineStr">
        <is>
          <t>Fredericton, New Brunswick</t>
        </is>
      </c>
      <c r="K4301" t="inlineStr">
        <is>
          <t>Fredericton (Nouveau-Brunswick)</t>
        </is>
      </c>
      <c r="P4301" t="n">
        <v>0</v>
      </c>
      <c r="Q4301" t="n">
        <v>199.47</v>
      </c>
      <c r="R4301" t="n">
        <v>325.44</v>
      </c>
      <c r="S4301" t="n">
        <v>137.5</v>
      </c>
      <c r="T4301" t="n">
        <v>0</v>
      </c>
      <c r="U4301" t="n">
        <v>662.41</v>
      </c>
      <c r="X4301" t="inlineStr">
        <is>
          <t>acoa-apeca</t>
        </is>
      </c>
      <c r="Y4301" t="inlineStr">
        <is>
          <t>Atlantic Canada Opportunities Agency | Agence de promotion économique du Canada atlantique</t>
        </is>
      </c>
    </row>
    <row r="4302">
      <c r="A4302" t="inlineStr">
        <is>
          <t>T-2012-Q4-00020</t>
        </is>
      </c>
      <c r="B4302" t="inlineStr">
        <is>
          <t>SLE</t>
        </is>
      </c>
      <c r="C4302" t="inlineStr">
        <is>
          <t>Acting Senior Vice-President</t>
        </is>
      </c>
      <c r="D4302" t="inlineStr">
        <is>
          <t>Vice-président principal par intérim</t>
        </is>
      </c>
      <c r="E4302" t="inlineStr">
        <is>
          <t>David Slade</t>
        </is>
      </c>
      <c r="F4302" t="inlineStr">
        <is>
          <t>Meetings with Government of Canada officials</t>
        </is>
      </c>
      <c r="G4302" t="inlineStr">
        <is>
          <t>Réunions avec des fonctionnaires du gouvernement du Canada</t>
        </is>
      </c>
      <c r="H4302" s="1" t="n">
        <v>40918</v>
      </c>
      <c r="I4302" s="1" t="n">
        <v>40921</v>
      </c>
      <c r="J4302" t="inlineStr">
        <is>
          <t>Ottawa, Ontario</t>
        </is>
      </c>
      <c r="K4302" t="inlineStr">
        <is>
          <t>Otawa (Ontario)</t>
        </is>
      </c>
      <c r="P4302" t="n">
        <v>604.75</v>
      </c>
      <c r="Q4302" t="n">
        <v>120.37</v>
      </c>
      <c r="R4302" t="n">
        <v>522.0599999999999</v>
      </c>
      <c r="S4302" t="n">
        <v>279.95</v>
      </c>
      <c r="T4302" t="n">
        <v>0</v>
      </c>
      <c r="U4302" t="n">
        <v>1527.13</v>
      </c>
      <c r="X4302" t="inlineStr">
        <is>
          <t>acoa-apeca</t>
        </is>
      </c>
      <c r="Y4302" t="inlineStr">
        <is>
          <t>Atlantic Canada Opportunities Agency | Agence de promotion économique du Canada atlantique</t>
        </is>
      </c>
    </row>
    <row r="4303">
      <c r="A4303" t="inlineStr">
        <is>
          <t>T-2012-Q4-00028</t>
        </is>
      </c>
      <c r="B4303" t="inlineStr">
        <is>
          <t>SLE</t>
        </is>
      </c>
      <c r="C4303" t="inlineStr">
        <is>
          <t>Acting Senior Vice-President</t>
        </is>
      </c>
      <c r="D4303" t="inlineStr">
        <is>
          <t>Vice-président principal par intérim</t>
        </is>
      </c>
      <c r="E4303" t="inlineStr">
        <is>
          <t>David Slade</t>
        </is>
      </c>
      <c r="F4303" t="inlineStr">
        <is>
          <t>Meeting with Government of Canada officials</t>
        </is>
      </c>
      <c r="G4303" t="inlineStr">
        <is>
          <t>Réunion avec des fonctionnaires du gouvernement du Canada</t>
        </is>
      </c>
      <c r="H4303" s="1" t="n">
        <v>40924</v>
      </c>
      <c r="I4303" s="1" t="n">
        <v>40926</v>
      </c>
      <c r="J4303" t="inlineStr">
        <is>
          <t>Ottawa, Ontario</t>
        </is>
      </c>
      <c r="K4303" t="inlineStr">
        <is>
          <t>Ottawa (Ontario)</t>
        </is>
      </c>
      <c r="P4303" t="n">
        <v>704.15</v>
      </c>
      <c r="Q4303" t="n">
        <v>58.37</v>
      </c>
      <c r="R4303" t="n">
        <v>359.34</v>
      </c>
      <c r="S4303" t="n">
        <v>177.8</v>
      </c>
      <c r="T4303" t="n">
        <v>0</v>
      </c>
      <c r="U4303" t="n">
        <v>1299.66</v>
      </c>
      <c r="X4303" t="inlineStr">
        <is>
          <t>acoa-apeca</t>
        </is>
      </c>
      <c r="Y4303" t="inlineStr">
        <is>
          <t>Atlantic Canada Opportunities Agency | Agence de promotion économique du Canada atlantique</t>
        </is>
      </c>
    </row>
    <row r="4304">
      <c r="A4304" t="inlineStr">
        <is>
          <t>T-2012-Q4-00061</t>
        </is>
      </c>
      <c r="B4304" t="inlineStr">
        <is>
          <t>SLE</t>
        </is>
      </c>
      <c r="C4304" t="inlineStr">
        <is>
          <t>Acting Senior Vice-President</t>
        </is>
      </c>
      <c r="D4304" t="inlineStr">
        <is>
          <t>Vice-président principal par intérim</t>
        </is>
      </c>
      <c r="E4304" t="inlineStr">
        <is>
          <t>David Slade</t>
        </is>
      </c>
      <c r="F4304" t="inlineStr">
        <is>
          <t>Meetings with Government of Canada and provincial officials</t>
        </is>
      </c>
      <c r="G4304" t="inlineStr">
        <is>
          <t>Réunions avec des fonctionnaires fédéraux et provinciaux</t>
        </is>
      </c>
      <c r="H4304" s="1" t="n">
        <v>40948</v>
      </c>
      <c r="I4304" s="1" t="n">
        <v>40949</v>
      </c>
      <c r="J4304" t="inlineStr">
        <is>
          <t>Halifax, Nova Scotia</t>
        </is>
      </c>
      <c r="K4304" t="inlineStr">
        <is>
          <t>Halifax (Nouvelle-Écosse)</t>
        </is>
      </c>
      <c r="P4304" t="n">
        <v>0</v>
      </c>
      <c r="Q4304" t="n">
        <v>221.7</v>
      </c>
      <c r="R4304" t="n">
        <v>139.59</v>
      </c>
      <c r="S4304" t="n">
        <v>159.75</v>
      </c>
      <c r="T4304" t="n">
        <v>0</v>
      </c>
      <c r="U4304" t="n">
        <v>521.04</v>
      </c>
      <c r="X4304" t="inlineStr">
        <is>
          <t>acoa-apeca</t>
        </is>
      </c>
      <c r="Y4304" t="inlineStr">
        <is>
          <t>Atlantic Canada Opportunities Agency | Agence de promotion économique du Canada atlantique</t>
        </is>
      </c>
    </row>
    <row r="4305">
      <c r="A4305" t="inlineStr">
        <is>
          <t>T-2013-Q1-00006</t>
        </is>
      </c>
      <c r="B4305" t="inlineStr">
        <is>
          <t>SLE</t>
        </is>
      </c>
      <c r="C4305" t="inlineStr">
        <is>
          <t>Acting Senior Vice-President</t>
        </is>
      </c>
      <c r="D4305" t="inlineStr">
        <is>
          <t>Vice-président principal par intérim</t>
        </is>
      </c>
      <c r="E4305" t="inlineStr">
        <is>
          <t>David Slade</t>
        </is>
      </c>
      <c r="F4305" t="inlineStr">
        <is>
          <t>Meeting with Government of Canada officials</t>
        </is>
      </c>
      <c r="G4305" t="inlineStr">
        <is>
          <t xml:space="preserve">Réunion avec des fonctionnaires du gouvernement du Canada </t>
        </is>
      </c>
      <c r="H4305" s="1" t="n">
        <v>40974</v>
      </c>
      <c r="I4305" s="1" t="n">
        <v>40976</v>
      </c>
      <c r="J4305" t="inlineStr">
        <is>
          <t>Ottawa, Ontario</t>
        </is>
      </c>
      <c r="K4305" t="inlineStr">
        <is>
          <t>Ottawa (Ontario)</t>
        </is>
      </c>
      <c r="P4305" t="n">
        <v>784.37</v>
      </c>
      <c r="Q4305" t="n">
        <v>48.37</v>
      </c>
      <c r="R4305" t="n">
        <v>354.82</v>
      </c>
      <c r="S4305" t="n">
        <v>232.7</v>
      </c>
      <c r="T4305" t="n">
        <v>0</v>
      </c>
      <c r="U4305" t="n">
        <v>1420.26</v>
      </c>
      <c r="X4305" t="inlineStr">
        <is>
          <t>acoa-apeca</t>
        </is>
      </c>
      <c r="Y4305" t="inlineStr">
        <is>
          <t>Atlantic Canada Opportunities Agency | Agence de promotion économique du Canada atlantique</t>
        </is>
      </c>
    </row>
    <row r="4306">
      <c r="A4306" t="inlineStr">
        <is>
          <t>T-2013-Q1-00027</t>
        </is>
      </c>
      <c r="B4306" t="inlineStr">
        <is>
          <t>SLE</t>
        </is>
      </c>
      <c r="C4306" t="inlineStr">
        <is>
          <t>Acting Senior Vice-President</t>
        </is>
      </c>
      <c r="D4306" t="inlineStr">
        <is>
          <t>Vice-président principal par intérim</t>
        </is>
      </c>
      <c r="E4306" t="inlineStr">
        <is>
          <t>David Slade</t>
        </is>
      </c>
      <c r="F4306" t="inlineStr">
        <is>
          <t>Meeting with Government of Canada officials</t>
        </is>
      </c>
      <c r="G4306" t="inlineStr">
        <is>
          <t>Réunion avec des fonctionnaires du gouvernement du Canada</t>
        </is>
      </c>
      <c r="H4306" s="1" t="n">
        <v>40989</v>
      </c>
      <c r="I4306" s="1" t="n">
        <v>40993</v>
      </c>
      <c r="J4306" t="inlineStr">
        <is>
          <t>St. John's, Newfoundland and Labrador</t>
        </is>
      </c>
      <c r="K4306" t="inlineStr">
        <is>
          <t>St. John's (Terre-Neuve-et-Labrador)</t>
        </is>
      </c>
      <c r="P4306" t="n">
        <v>668.1</v>
      </c>
      <c r="Q4306" t="n">
        <v>251.67</v>
      </c>
      <c r="R4306" t="n">
        <v>294.64</v>
      </c>
      <c r="S4306" t="n">
        <v>232.7</v>
      </c>
      <c r="T4306" t="n">
        <v>0</v>
      </c>
      <c r="U4306" t="n">
        <v>1447.11</v>
      </c>
      <c r="X4306" t="inlineStr">
        <is>
          <t>acoa-apeca</t>
        </is>
      </c>
      <c r="Y4306" t="inlineStr">
        <is>
          <t>Atlantic Canada Opportunities Agency | Agence de promotion économique du Canada atlantique</t>
        </is>
      </c>
    </row>
    <row r="4307">
      <c r="A4307" t="inlineStr">
        <is>
          <t>T-2013-Q1-00032</t>
        </is>
      </c>
      <c r="B4307" t="inlineStr">
        <is>
          <t>SLE</t>
        </is>
      </c>
      <c r="C4307" t="inlineStr">
        <is>
          <t>Acting Senior Vice-President</t>
        </is>
      </c>
      <c r="D4307" t="inlineStr">
        <is>
          <t>Vice-président principal par intérim</t>
        </is>
      </c>
      <c r="E4307" t="inlineStr">
        <is>
          <t>David Slade</t>
        </is>
      </c>
      <c r="F4307" t="inlineStr">
        <is>
          <t>Meeting with private sector officials</t>
        </is>
      </c>
      <c r="G4307" t="inlineStr">
        <is>
          <t>Réunion avec des représentants du secteur privé</t>
        </is>
      </c>
      <c r="H4307" s="1" t="n">
        <v>40995</v>
      </c>
      <c r="I4307" s="1" t="n">
        <v>40998</v>
      </c>
      <c r="J4307" t="inlineStr">
        <is>
          <t>Ottawa, Ontario</t>
        </is>
      </c>
      <c r="K4307" t="inlineStr">
        <is>
          <t>Ottawa (Ontario)</t>
        </is>
      </c>
      <c r="P4307" t="n">
        <v>575.34</v>
      </c>
      <c r="Q4307" t="n">
        <v>91.37</v>
      </c>
      <c r="R4307" t="n">
        <v>532.23</v>
      </c>
      <c r="S4307" t="n">
        <v>265.35</v>
      </c>
      <c r="T4307" t="n">
        <v>0</v>
      </c>
      <c r="U4307" t="n">
        <v>1464.29</v>
      </c>
      <c r="X4307" t="inlineStr">
        <is>
          <t>acoa-apeca</t>
        </is>
      </c>
      <c r="Y4307" t="inlineStr">
        <is>
          <t>Atlantic Canada Opportunities Agency | Agence de promotion économique du Canada atlantique</t>
        </is>
      </c>
    </row>
    <row r="4308">
      <c r="A4308" t="inlineStr">
        <is>
          <t>T-2013-Q1-00040</t>
        </is>
      </c>
      <c r="B4308" t="inlineStr">
        <is>
          <t>SLE</t>
        </is>
      </c>
      <c r="C4308" t="inlineStr">
        <is>
          <t>Acting Senior Vice-President</t>
        </is>
      </c>
      <c r="D4308" t="inlineStr">
        <is>
          <t>Vice-président principal par intérim</t>
        </is>
      </c>
      <c r="E4308" t="inlineStr">
        <is>
          <t>David Slade</t>
        </is>
      </c>
      <c r="F4308" t="inlineStr">
        <is>
          <t>Meeting with Government of Canada officials</t>
        </is>
      </c>
      <c r="G4308" t="inlineStr">
        <is>
          <t xml:space="preserve">Réunion avec des fonctionnaires du gouvernement du Canada </t>
        </is>
      </c>
      <c r="H4308" s="1" t="n">
        <v>41008</v>
      </c>
      <c r="I4308" s="1" t="n">
        <v>41009</v>
      </c>
      <c r="J4308" t="inlineStr">
        <is>
          <t>Fredericton, New Brunswick</t>
        </is>
      </c>
      <c r="K4308" t="inlineStr">
        <is>
          <t>Fredericton (Nouveau-Brunswick)</t>
        </is>
      </c>
      <c r="P4308" t="n">
        <v>0</v>
      </c>
      <c r="Q4308" t="n">
        <v>185.24</v>
      </c>
      <c r="R4308" t="n">
        <v>123.17</v>
      </c>
      <c r="S4308" t="n">
        <v>91.05</v>
      </c>
      <c r="T4308" t="n">
        <v>0</v>
      </c>
      <c r="U4308" t="n">
        <v>399.46</v>
      </c>
      <c r="X4308" t="inlineStr">
        <is>
          <t>acoa-apeca</t>
        </is>
      </c>
      <c r="Y4308" t="inlineStr">
        <is>
          <t>Atlantic Canada Opportunities Agency | Agence de promotion économique du Canada atlantique</t>
        </is>
      </c>
    </row>
    <row r="4309">
      <c r="A4309" t="inlineStr">
        <is>
          <t>T-2013-Q1-00052</t>
        </is>
      </c>
      <c r="B4309" t="inlineStr">
        <is>
          <t>SLE</t>
        </is>
      </c>
      <c r="C4309" t="inlineStr">
        <is>
          <t>Acting Senior Vice-President</t>
        </is>
      </c>
      <c r="D4309" t="inlineStr">
        <is>
          <t>Vice-président principal par intérim</t>
        </is>
      </c>
      <c r="E4309" t="inlineStr">
        <is>
          <t>David Slade</t>
        </is>
      </c>
      <c r="F4309" t="inlineStr">
        <is>
          <t>Meeting with Government of Canada officials</t>
        </is>
      </c>
      <c r="G4309" t="inlineStr">
        <is>
          <t>Réunion avec des fonctionnaires du gouvernement du Canada</t>
        </is>
      </c>
      <c r="H4309" s="1" t="n">
        <v>41022</v>
      </c>
      <c r="I4309" s="1" t="n">
        <v>41023</v>
      </c>
      <c r="J4309" t="inlineStr">
        <is>
          <t>Ottawa, Ontario</t>
        </is>
      </c>
      <c r="K4309" t="inlineStr">
        <is>
          <t>Ottawa (Ontario)</t>
        </is>
      </c>
      <c r="P4309" t="n">
        <v>989.1799999999999</v>
      </c>
      <c r="Q4309" t="n">
        <v>53.37</v>
      </c>
      <c r="R4309" t="n">
        <v>177.41</v>
      </c>
      <c r="S4309" t="n">
        <v>120.75</v>
      </c>
      <c r="T4309" t="n">
        <v>0</v>
      </c>
      <c r="U4309" t="n">
        <v>1340.71</v>
      </c>
      <c r="X4309" t="inlineStr">
        <is>
          <t>acoa-apeca</t>
        </is>
      </c>
      <c r="Y4309" t="inlineStr">
        <is>
          <t>Atlantic Canada Opportunities Agency | Agence de promotion économique du Canada atlantique</t>
        </is>
      </c>
    </row>
    <row r="4310">
      <c r="A4310" t="inlineStr">
        <is>
          <t>T-2013-Q1-00071</t>
        </is>
      </c>
      <c r="B4310" t="inlineStr">
        <is>
          <t>SLE</t>
        </is>
      </c>
      <c r="C4310" t="inlineStr">
        <is>
          <t>Acting Senior Vice-President</t>
        </is>
      </c>
      <c r="D4310" t="inlineStr">
        <is>
          <t>Vice-président principal par intérim</t>
        </is>
      </c>
      <c r="E4310" t="inlineStr">
        <is>
          <t>David Slade</t>
        </is>
      </c>
      <c r="F4310" t="inlineStr">
        <is>
          <t>Meeting with private sector officials</t>
        </is>
      </c>
      <c r="G4310" t="inlineStr">
        <is>
          <t>Réunion avec des représentants du secteur privé</t>
        </is>
      </c>
      <c r="H4310" s="1" t="n">
        <v>41040</v>
      </c>
      <c r="I4310" s="1" t="n">
        <v>41040</v>
      </c>
      <c r="J4310" t="inlineStr">
        <is>
          <t>Fredericton, New Brunswick</t>
        </is>
      </c>
      <c r="K4310" t="inlineStr">
        <is>
          <t>Fredericton (Nouveau-Brunswick)</t>
        </is>
      </c>
      <c r="P4310" t="n">
        <v>0</v>
      </c>
      <c r="Q4310" t="n">
        <v>169.29</v>
      </c>
      <c r="R4310" t="n">
        <v>0</v>
      </c>
      <c r="S4310" t="n">
        <v>14.85</v>
      </c>
      <c r="T4310" t="n">
        <v>0</v>
      </c>
      <c r="U4310" t="n">
        <v>184.14</v>
      </c>
      <c r="X4310" t="inlineStr">
        <is>
          <t>acoa-apeca</t>
        </is>
      </c>
      <c r="Y4310" t="inlineStr">
        <is>
          <t>Atlantic Canada Opportunities Agency | Agence de promotion économique du Canada atlantique</t>
        </is>
      </c>
    </row>
    <row r="4311">
      <c r="A4311" t="inlineStr">
        <is>
          <t>T-2013-Q1-00078</t>
        </is>
      </c>
      <c r="B4311" t="inlineStr">
        <is>
          <t>SLE</t>
        </is>
      </c>
      <c r="C4311" t="inlineStr">
        <is>
          <t>Acting Senior Vice-President</t>
        </is>
      </c>
      <c r="D4311" t="inlineStr">
        <is>
          <t>Vice-président principal par intérim</t>
        </is>
      </c>
      <c r="E4311" t="inlineStr">
        <is>
          <t>David Slade</t>
        </is>
      </c>
      <c r="F4311" t="inlineStr">
        <is>
          <t>Meeting with Government of Canada officials</t>
        </is>
      </c>
      <c r="G4311" t="inlineStr">
        <is>
          <t>Réunion avec des fonctionnaires du gouvernement du Canada</t>
        </is>
      </c>
      <c r="H4311" s="1" t="n">
        <v>41052</v>
      </c>
      <c r="I4311" s="1" t="n">
        <v>41053</v>
      </c>
      <c r="J4311" t="inlineStr">
        <is>
          <t>Halifax, Nova Scotia</t>
        </is>
      </c>
      <c r="K4311" t="inlineStr">
        <is>
          <t>Halifax (Nouvelle-Écosse)</t>
        </is>
      </c>
      <c r="P4311" t="n">
        <v>0</v>
      </c>
      <c r="Q4311" t="n">
        <v>168.14</v>
      </c>
      <c r="R4311" t="n">
        <v>174.78</v>
      </c>
      <c r="S4311" t="n">
        <v>91.05</v>
      </c>
      <c r="T4311" t="n">
        <v>28</v>
      </c>
      <c r="U4311" t="n">
        <v>461.97</v>
      </c>
      <c r="X4311" t="inlineStr">
        <is>
          <t>acoa-apeca</t>
        </is>
      </c>
      <c r="Y4311" t="inlineStr">
        <is>
          <t>Atlantic Canada Opportunities Agency | Agence de promotion économique du Canada atlantique</t>
        </is>
      </c>
    </row>
    <row r="4312">
      <c r="A4312" t="inlineStr">
        <is>
          <t>T-2013-Q2-00042</t>
        </is>
      </c>
      <c r="B4312" t="inlineStr">
        <is>
          <t>MPSES</t>
        </is>
      </c>
      <c r="C4312" t="inlineStr">
        <is>
          <t>Minister of State</t>
        </is>
      </c>
      <c r="D4312" t="inlineStr">
        <is>
          <t>Ministre d'État</t>
        </is>
      </c>
      <c r="E4312" t="inlineStr">
        <is>
          <t>Bernard Valcourt</t>
        </is>
      </c>
      <c r="F4312" t="inlineStr">
        <is>
          <t>Various meetings and speeches for the Atlantic Canada Opportunities Agency and the Department of National Defence</t>
        </is>
      </c>
      <c r="G4312" t="inlineStr">
        <is>
          <t>Réunions et allocutions diverses pour l'Agence de promotion économique du Canada atlantique et le ministère de la Défense nationale</t>
        </is>
      </c>
      <c r="H4312" s="1" t="n">
        <v>41113</v>
      </c>
      <c r="I4312" s="1" t="n">
        <v>41114</v>
      </c>
      <c r="J4312" t="inlineStr">
        <is>
          <t>Fredericton and Gagetown, New Brunswick</t>
        </is>
      </c>
      <c r="K4312" t="inlineStr">
        <is>
          <t>Fredericton et Gagetown (Nouveau-Brunswick)</t>
        </is>
      </c>
      <c r="P4312" t="n">
        <v>0</v>
      </c>
      <c r="Q4312" t="n">
        <v>270.27</v>
      </c>
      <c r="R4312" t="n">
        <v>163.85</v>
      </c>
      <c r="S4312" t="n">
        <v>120.75</v>
      </c>
      <c r="T4312" t="n">
        <v>0</v>
      </c>
      <c r="U4312" t="n">
        <v>554.87</v>
      </c>
      <c r="X4312" t="inlineStr">
        <is>
          <t>acoa-apeca</t>
        </is>
      </c>
      <c r="Y4312" t="inlineStr">
        <is>
          <t>Atlantic Canada Opportunities Agency | Agence de promotion économique du Canada atlantique</t>
        </is>
      </c>
    </row>
    <row r="4313">
      <c r="A4313" t="inlineStr">
        <is>
          <t>T-2013-Q2-00054</t>
        </is>
      </c>
      <c r="B4313" t="inlineStr">
        <is>
          <t>MPSES</t>
        </is>
      </c>
      <c r="C4313" t="inlineStr">
        <is>
          <t>Honourable Senator</t>
        </is>
      </c>
      <c r="D4313" t="inlineStr">
        <is>
          <t>Honorable sénateur</t>
        </is>
      </c>
      <c r="E4313" t="inlineStr">
        <is>
          <t>Michael L. MacDonald</t>
        </is>
      </c>
      <c r="F4313" t="inlineStr">
        <is>
          <t>Travel on behalf of Minister of State for Atlantic Canada Opportunities Agency announcement</t>
        </is>
      </c>
      <c r="G4313" t="inlineStr">
        <is>
          <t>Voyage au nom du ministre d'État pour une annonce de l'Agence de promotion économique du Canada atlantique</t>
        </is>
      </c>
      <c r="H4313" s="1" t="n">
        <v>41138</v>
      </c>
      <c r="I4313" s="1" t="n">
        <v>41140</v>
      </c>
      <c r="J4313" t="inlineStr">
        <is>
          <t>Cape Breton, Nova Scotia</t>
        </is>
      </c>
      <c r="K4313" t="inlineStr">
        <is>
          <t>Cap-Breton (Nouvelle-Écosse)</t>
        </is>
      </c>
      <c r="P4313" t="n">
        <v>0</v>
      </c>
      <c r="Q4313" t="n">
        <v>366.63</v>
      </c>
      <c r="R4313" t="n">
        <v>100</v>
      </c>
      <c r="S4313" t="n">
        <v>179.65</v>
      </c>
      <c r="T4313" t="n">
        <v>0</v>
      </c>
      <c r="U4313" t="n">
        <v>646.28</v>
      </c>
      <c r="X4313" t="inlineStr">
        <is>
          <t>acoa-apeca</t>
        </is>
      </c>
      <c r="Y4313" t="inlineStr">
        <is>
          <t>Atlantic Canada Opportunities Agency | Agence de promotion économique du Canada atlantique</t>
        </is>
      </c>
    </row>
    <row r="4314">
      <c r="A4314" t="inlineStr">
        <is>
          <t>T-2013-Q3-00059</t>
        </is>
      </c>
      <c r="B4314" t="inlineStr">
        <is>
          <t>MPSES</t>
        </is>
      </c>
      <c r="C4314" t="inlineStr">
        <is>
          <t>Executive Assistant and Press Secretary</t>
        </is>
      </c>
      <c r="D4314" t="inlineStr">
        <is>
          <t>Adjointe exécutive et attaché de presse</t>
        </is>
      </c>
      <c r="E4314" t="inlineStr">
        <is>
          <t>Andrea Richer</t>
        </is>
      </c>
      <c r="F4314" t="inlineStr">
        <is>
          <t>Travel to accompany Minister to various Atlantic Canada Opportunities Agency and Department of National Defense meetings</t>
        </is>
      </c>
      <c r="G4314" t="inlineStr">
        <is>
          <t>Voyage pour accompagner le ministre à diverses réunions de l'Agence de promotion économique du Canada atlantique et du ministère de la Défense nationale</t>
        </is>
      </c>
      <c r="H4314" s="1" t="n">
        <v>41204</v>
      </c>
      <c r="I4314" s="1" t="n">
        <v>41205</v>
      </c>
      <c r="J4314" t="inlineStr">
        <is>
          <t>Halifax, Nova Scotia</t>
        </is>
      </c>
      <c r="K4314" t="inlineStr">
        <is>
          <t>Halifax (Nouvelle-Écosse)</t>
        </is>
      </c>
      <c r="P4314" t="n">
        <v>766.72</v>
      </c>
      <c r="Q4314" t="n">
        <v>65.5</v>
      </c>
      <c r="R4314" t="n">
        <v>166.57</v>
      </c>
      <c r="S4314" t="n">
        <v>106.4</v>
      </c>
      <c r="T4314" t="n">
        <v>0</v>
      </c>
      <c r="U4314" t="n">
        <v>1105.19</v>
      </c>
      <c r="X4314" t="inlineStr">
        <is>
          <t>acoa-apeca</t>
        </is>
      </c>
      <c r="Y4314" t="inlineStr">
        <is>
          <t>Atlantic Canada Opportunities Agency | Agence de promotion économique du Canada atlantique</t>
        </is>
      </c>
    </row>
    <row r="4315">
      <c r="A4315" t="inlineStr">
        <is>
          <t>T-2013-Q3-00064</t>
        </is>
      </c>
      <c r="B4315" t="inlineStr">
        <is>
          <t>SLE</t>
        </is>
      </c>
      <c r="C4315" t="inlineStr">
        <is>
          <t>Vice-President, New Brunswick</t>
        </is>
      </c>
      <c r="D4315" t="inlineStr">
        <is>
          <t>Vice-présidente, Nouveau-Brunswick</t>
        </is>
      </c>
      <c r="E4315" t="inlineStr">
        <is>
          <t>Janet Gagnon</t>
        </is>
      </c>
      <c r="F4315" t="inlineStr">
        <is>
          <t>Pan-Canadian Forum for economic development in Francophone Canada</t>
        </is>
      </c>
      <c r="G4315" t="inlineStr">
        <is>
          <t>Forum pancanadien sur le développement économique en francophonie canadienne</t>
        </is>
      </c>
      <c r="H4315" s="1" t="n">
        <v>41212</v>
      </c>
      <c r="I4315" s="1" t="n">
        <v>41214</v>
      </c>
      <c r="J4315" t="inlineStr">
        <is>
          <t>Ottawa, Ontario</t>
        </is>
      </c>
      <c r="K4315" t="inlineStr">
        <is>
          <t>Ottawa (Ontario)</t>
        </is>
      </c>
      <c r="P4315" t="n">
        <v>676.36</v>
      </c>
      <c r="Q4315" t="n">
        <v>121.78</v>
      </c>
      <c r="R4315" t="n">
        <v>354.82</v>
      </c>
      <c r="S4315" t="n">
        <v>236.8</v>
      </c>
      <c r="T4315" t="n">
        <v>30</v>
      </c>
      <c r="U4315" t="n">
        <v>1419.76</v>
      </c>
      <c r="X4315" t="inlineStr">
        <is>
          <t>acoa-apeca</t>
        </is>
      </c>
      <c r="Y4315" t="inlineStr">
        <is>
          <t>Atlantic Canada Opportunities Agency | Agence de promotion économique du Canada atlantique</t>
        </is>
      </c>
    </row>
    <row r="4316">
      <c r="A4316" t="inlineStr">
        <is>
          <t>T-2013-Q4-00014</t>
        </is>
      </c>
      <c r="B4316" t="inlineStr">
        <is>
          <t>SLE</t>
        </is>
      </c>
      <c r="C4316" t="inlineStr">
        <is>
          <t>Vice-President, New Brunswick</t>
        </is>
      </c>
      <c r="D4316" t="inlineStr">
        <is>
          <t>Vice-présidente, Nouveau-Brunswick</t>
        </is>
      </c>
      <c r="E4316" t="inlineStr">
        <is>
          <t>Janet Gagnon</t>
        </is>
      </c>
      <c r="F4316" t="inlineStr">
        <is>
          <t>Labour Management Consultation Committee meeting</t>
        </is>
      </c>
      <c r="G4316" t="inlineStr">
        <is>
          <t>Réunion du Comité de consultation patronale-syndicale</t>
        </is>
      </c>
      <c r="H4316" s="1" t="n">
        <v>41260</v>
      </c>
      <c r="I4316" s="1" t="n">
        <v>41260</v>
      </c>
      <c r="J4316" t="inlineStr">
        <is>
          <t>Moncton, New Brunswick</t>
        </is>
      </c>
      <c r="K4316" t="inlineStr">
        <is>
          <t>Moncton (Nouveau-Brunswick)</t>
        </is>
      </c>
      <c r="P4316" t="n">
        <v>0</v>
      </c>
      <c r="Q4316" t="n">
        <v>0</v>
      </c>
      <c r="R4316" t="n">
        <v>0</v>
      </c>
      <c r="S4316" t="n">
        <v>56.3</v>
      </c>
      <c r="T4316" t="n">
        <v>6</v>
      </c>
      <c r="U4316" t="n">
        <v>62.3</v>
      </c>
      <c r="X4316" t="inlineStr">
        <is>
          <t>acoa-apeca</t>
        </is>
      </c>
      <c r="Y4316" t="inlineStr">
        <is>
          <t>Atlantic Canada Opportunities Agency | Agence de promotion économique du Canada atlantique</t>
        </is>
      </c>
    </row>
    <row r="4317">
      <c r="A4317" t="inlineStr">
        <is>
          <t>T-2013-Q4-00024</t>
        </is>
      </c>
      <c r="B4317" t="inlineStr">
        <is>
          <t>SLE</t>
        </is>
      </c>
      <c r="C4317" t="inlineStr">
        <is>
          <t>Vice-President, New Brunswick</t>
        </is>
      </c>
      <c r="D4317" t="inlineStr">
        <is>
          <t>Vice-présidente, Nouveau-Brunswick</t>
        </is>
      </c>
      <c r="E4317" t="inlineStr">
        <is>
          <t>Janet Gagnon</t>
        </is>
      </c>
      <c r="F4317" t="inlineStr">
        <is>
          <t>Atlantic Canada Opportunities Board Meeting</t>
        </is>
      </c>
      <c r="G4317" t="inlineStr">
        <is>
          <t>Réunion de Conseil de promotion économique du Canada atlantique</t>
        </is>
      </c>
      <c r="H4317" s="1" t="n">
        <v>41283</v>
      </c>
      <c r="I4317" s="1" t="n">
        <v>41284</v>
      </c>
      <c r="J4317" t="inlineStr">
        <is>
          <t>Moncton, New Brunswick</t>
        </is>
      </c>
      <c r="K4317" t="inlineStr">
        <is>
          <t>Moncton (Nouveau-Brunswick)</t>
        </is>
      </c>
      <c r="P4317" t="n">
        <v>0</v>
      </c>
      <c r="Q4317" t="n">
        <v>22</v>
      </c>
      <c r="R4317" t="n">
        <v>157.07</v>
      </c>
      <c r="S4317" t="n">
        <v>75.90000000000001</v>
      </c>
      <c r="T4317" t="n">
        <v>0</v>
      </c>
      <c r="U4317" t="n">
        <v>254.97</v>
      </c>
      <c r="X4317" t="inlineStr">
        <is>
          <t>acoa-apeca</t>
        </is>
      </c>
      <c r="Y4317" t="inlineStr">
        <is>
          <t>Atlantic Canada Opportunities Agency | Agence de promotion économique du Canada atlantique</t>
        </is>
      </c>
    </row>
    <row r="4318">
      <c r="A4318" t="inlineStr">
        <is>
          <t>T-2012-Q3-00032</t>
        </is>
      </c>
      <c r="B4318" t="inlineStr">
        <is>
          <t>SLE</t>
        </is>
      </c>
      <c r="C4318" t="inlineStr">
        <is>
          <t>Senior Advisor (Energy)</t>
        </is>
      </c>
      <c r="D4318" t="inlineStr">
        <is>
          <t>Conseiller spécial (energie)</t>
        </is>
      </c>
      <c r="E4318" t="inlineStr">
        <is>
          <t>Andrew F. Noseworthy</t>
        </is>
      </c>
      <c r="F4318" t="inlineStr">
        <is>
          <t>Organisation for Economic Co-operation and Development (OECD) meeting in Ottawa; meeting with NRCan officials in Ottawa;  CORE Conference (Canadian Offshore Resources Exhibition) in Halifax; Trudeau Foundation Mentors meeting in Montreal</t>
        </is>
      </c>
      <c r="G4318" t="inlineStr">
        <is>
          <t>Réunion de l'Organisation de coopération et de développement économiques à Ottawa; réunion avec des fonctionnaires de RNCan à Ottawa; conférence de Canadian Offshore Resources Exhibition à Halifax; réunion des mentors de la Fondation Trudeau à Montréal</t>
        </is>
      </c>
      <c r="H4318" s="1" t="n">
        <v>40818</v>
      </c>
      <c r="I4318" s="1" t="n">
        <v>40823</v>
      </c>
      <c r="J4318" t="inlineStr">
        <is>
          <t>Ottawa, Ontario; Halifax, Nova Scotia; Montreal, Quebec</t>
        </is>
      </c>
      <c r="K4318" t="inlineStr">
        <is>
          <t>Ottawa (Ontario) / Halifax (Nouvelle-Écosse) / Montréal (Québec)</t>
        </is>
      </c>
      <c r="P4318" t="n">
        <v>2891.46</v>
      </c>
      <c r="Q4318" t="n">
        <v>330</v>
      </c>
      <c r="R4318" t="n">
        <v>836.08</v>
      </c>
      <c r="S4318" t="n">
        <v>340.25</v>
      </c>
      <c r="T4318" t="n">
        <v>60</v>
      </c>
      <c r="U4318" t="n">
        <v>4457.79</v>
      </c>
      <c r="X4318" t="inlineStr">
        <is>
          <t>acoa-apeca</t>
        </is>
      </c>
      <c r="Y4318" t="inlineStr">
        <is>
          <t>Atlantic Canada Opportunities Agency | Agence de promotion économique du Canada atlantique</t>
        </is>
      </c>
    </row>
    <row r="4319">
      <c r="A4319" t="inlineStr">
        <is>
          <t>T-2018-Q3-00003</t>
        </is>
      </c>
      <c r="B4319" t="inlineStr">
        <is>
          <t>SLE</t>
        </is>
      </c>
      <c r="C4319" t="inlineStr">
        <is>
          <t>Vice-President, New Brunswick</t>
        </is>
      </c>
      <c r="D4319" t="inlineStr">
        <is>
          <t>Vice-président, Nouveau-Brunswick</t>
        </is>
      </c>
      <c r="E4319" t="inlineStr">
        <is>
          <t>Kent Estabrooks</t>
        </is>
      </c>
      <c r="F4319" t="inlineStr">
        <is>
          <t>Meeting with Agency officials</t>
        </is>
      </c>
      <c r="G4319" t="inlineStr">
        <is>
          <t>Réunion avec des fonctionnaires de l'Agence</t>
        </is>
      </c>
      <c r="H4319" s="1" t="n">
        <v>42908</v>
      </c>
      <c r="I4319" s="1" t="n">
        <v>42909</v>
      </c>
      <c r="J4319" t="inlineStr">
        <is>
          <t>Moncton, New Brunswick</t>
        </is>
      </c>
      <c r="K4319" t="inlineStr">
        <is>
          <t>Moncton (Nouveau-Brunswick)</t>
        </is>
      </c>
      <c r="P4319" t="n">
        <v>0</v>
      </c>
      <c r="Q4319" t="n">
        <v>0</v>
      </c>
      <c r="R4319" t="n">
        <v>159.85</v>
      </c>
      <c r="S4319" t="n">
        <v>98.59999999999999</v>
      </c>
      <c r="T4319" t="n">
        <v>0</v>
      </c>
      <c r="U4319" t="n">
        <v>258.45</v>
      </c>
      <c r="X4319" t="inlineStr">
        <is>
          <t>acoa-apeca</t>
        </is>
      </c>
      <c r="Y4319" t="inlineStr">
        <is>
          <t>Atlantic Canada Opportunities Agency | Agence de promotion économique du Canada atlantique</t>
        </is>
      </c>
    </row>
    <row r="4320">
      <c r="A4320" t="inlineStr">
        <is>
          <t>T-2018-Q3-00002</t>
        </is>
      </c>
      <c r="B4320" t="inlineStr">
        <is>
          <t>SLE</t>
        </is>
      </c>
      <c r="C4320" t="inlineStr">
        <is>
          <t>Vice-President, New Brunswick</t>
        </is>
      </c>
      <c r="D4320" t="inlineStr">
        <is>
          <t>Vice-président, Nouveau-Brunswick</t>
        </is>
      </c>
      <c r="E4320" t="inlineStr">
        <is>
          <t>Kent Estabrooks</t>
        </is>
      </c>
      <c r="F4320" t="inlineStr">
        <is>
          <t>Meetings with various Government of Canada officials</t>
        </is>
      </c>
      <c r="G4320" t="inlineStr">
        <is>
          <t>Réunions avec divers fonctionnaires fédéraux</t>
        </is>
      </c>
      <c r="H4320" s="1" t="n">
        <v>42933</v>
      </c>
      <c r="I4320" s="1" t="n">
        <v>42935</v>
      </c>
      <c r="J4320" t="inlineStr">
        <is>
          <t>Ottawa, Ontario</t>
        </is>
      </c>
      <c r="K4320" t="inlineStr">
        <is>
          <t>Ottawa (Ontario)</t>
        </is>
      </c>
      <c r="P4320" t="n">
        <v>673.9</v>
      </c>
      <c r="Q4320" t="n">
        <v>173</v>
      </c>
      <c r="R4320" t="n">
        <v>463.24</v>
      </c>
      <c r="S4320" t="n">
        <v>225.85</v>
      </c>
      <c r="T4320" t="n">
        <v>0</v>
      </c>
      <c r="U4320" t="n">
        <v>1535.99</v>
      </c>
      <c r="X4320" t="inlineStr">
        <is>
          <t>acoa-apeca</t>
        </is>
      </c>
      <c r="Y4320" t="inlineStr">
        <is>
          <t>Atlantic Canada Opportunities Agency | Agence de promotion économique du Canada atlantique</t>
        </is>
      </c>
    </row>
    <row r="4321">
      <c r="A4321" t="inlineStr">
        <is>
          <t>T-2018-Q3-00001</t>
        </is>
      </c>
      <c r="B4321" t="inlineStr">
        <is>
          <t>SLE</t>
        </is>
      </c>
      <c r="C4321" t="inlineStr">
        <is>
          <t>Vice-President, New Brunswick</t>
        </is>
      </c>
      <c r="D4321" t="inlineStr">
        <is>
          <t>Vice-président, Nouveau-Brunswick</t>
        </is>
      </c>
      <c r="E4321" t="inlineStr">
        <is>
          <t>Kent Estabrooks</t>
        </is>
      </c>
      <c r="F4321" t="inlineStr">
        <is>
          <t>Meetings with Agency officials and meetings with various Government of Canada officials</t>
        </is>
      </c>
      <c r="G4321" t="inlineStr">
        <is>
          <t>Réunions avec des fonctionnaires de l'Agence et réunions avec divers fonctionnaires fédéraux</t>
        </is>
      </c>
      <c r="H4321" s="1" t="n">
        <v>42976</v>
      </c>
      <c r="I4321" s="1" t="n">
        <v>42978</v>
      </c>
      <c r="J4321" t="inlineStr">
        <is>
          <t>Ottawa, Ontario</t>
        </is>
      </c>
      <c r="K4321" t="inlineStr">
        <is>
          <t>Ottawa (Ontario)</t>
        </is>
      </c>
      <c r="P4321" t="n">
        <v>673.9</v>
      </c>
      <c r="Q4321" t="n">
        <v>130</v>
      </c>
      <c r="R4321" t="n">
        <v>407.36</v>
      </c>
      <c r="S4321" t="n">
        <v>197.95</v>
      </c>
      <c r="T4321" t="n">
        <v>0</v>
      </c>
      <c r="U4321" t="n">
        <v>1409.21</v>
      </c>
      <c r="X4321" t="inlineStr">
        <is>
          <t>acoa-apeca</t>
        </is>
      </c>
      <c r="Y4321" t="inlineStr">
        <is>
          <t>Atlantic Canada Opportunities Agency | Agence de promotion économique du Canada atlantique</t>
        </is>
      </c>
    </row>
    <row r="4322">
      <c r="A4322" t="inlineStr">
        <is>
          <t>T-2018-Q2-00056</t>
        </is>
      </c>
      <c r="B4322" t="inlineStr">
        <is>
          <t>SLE</t>
        </is>
      </c>
      <c r="C4322" t="inlineStr">
        <is>
          <t>Vice-President, New Brunswick</t>
        </is>
      </c>
      <c r="D4322" t="inlineStr">
        <is>
          <t>Vice-président, Nouveau-Brunswick</t>
        </is>
      </c>
      <c r="E4322" t="inlineStr">
        <is>
          <t>Kent Estabrooks</t>
        </is>
      </c>
      <c r="F4322" t="inlineStr">
        <is>
          <t>Meetings with Agency officials and meetings with Government of Canada officials</t>
        </is>
      </c>
      <c r="G4322" t="inlineStr">
        <is>
          <t>Réunions avec des fonctionnaires de l'Agence et réunions avec des fonctionnaires fédéraux</t>
        </is>
      </c>
      <c r="H4322" s="1" t="n">
        <v>42905</v>
      </c>
      <c r="I4322" s="1" t="n">
        <v>42906</v>
      </c>
      <c r="J4322" t="inlineStr">
        <is>
          <t>Ottawa, Ontario</t>
        </is>
      </c>
      <c r="K4322" t="inlineStr">
        <is>
          <t>Ottawa (Ontario)</t>
        </is>
      </c>
      <c r="P4322" t="n">
        <v>673.9</v>
      </c>
      <c r="Q4322" t="n">
        <v>124</v>
      </c>
      <c r="R4322" t="n">
        <v>231.62</v>
      </c>
      <c r="S4322" t="n">
        <v>162.6</v>
      </c>
      <c r="T4322" t="n">
        <v>7.99</v>
      </c>
      <c r="U4322" t="n">
        <v>1200.11</v>
      </c>
      <c r="X4322" t="inlineStr">
        <is>
          <t>acoa-apeca</t>
        </is>
      </c>
      <c r="Y4322" t="inlineStr">
        <is>
          <t>Atlantic Canada Opportunities Agency | Agence de promotion économique du Canada atlantique</t>
        </is>
      </c>
    </row>
    <row r="4323">
      <c r="A4323" t="inlineStr">
        <is>
          <t>T-2018-Q2-00051</t>
        </is>
      </c>
      <c r="B4323" t="inlineStr">
        <is>
          <t>SLE</t>
        </is>
      </c>
      <c r="C4323" t="inlineStr">
        <is>
          <t>Vice-President, Nova Scotia</t>
        </is>
      </c>
      <c r="D4323" t="inlineStr">
        <is>
          <t>Vice-président, Nouvelle-Écosse</t>
        </is>
      </c>
      <c r="E4323" t="inlineStr">
        <is>
          <t>Chuck Maillet</t>
        </is>
      </c>
      <c r="F4323" t="inlineStr">
        <is>
          <t>Various meetings with Agency officials and stakeholders</t>
        </is>
      </c>
      <c r="G4323" t="inlineStr">
        <is>
          <t>Diverses réunions avec des fonctionnaires de l'Agence et des intervenants</t>
        </is>
      </c>
      <c r="H4323" s="1" t="n">
        <v>42969</v>
      </c>
      <c r="I4323" s="1" t="n">
        <v>42972</v>
      </c>
      <c r="J4323" t="inlineStr">
        <is>
          <t>Sydney, Nova Scotia</t>
        </is>
      </c>
      <c r="K4323" t="inlineStr">
        <is>
          <t>Sydney (Nouvelle-Écosse)</t>
        </is>
      </c>
      <c r="P4323" t="n">
        <v>464.8</v>
      </c>
      <c r="Q4323" t="n">
        <v>130</v>
      </c>
      <c r="R4323" t="n">
        <v>401.16</v>
      </c>
      <c r="S4323" t="n">
        <v>233.3</v>
      </c>
      <c r="T4323" t="n">
        <v>0</v>
      </c>
      <c r="U4323" t="n">
        <v>1229.26</v>
      </c>
      <c r="X4323" t="inlineStr">
        <is>
          <t>acoa-apeca</t>
        </is>
      </c>
      <c r="Y4323" t="inlineStr">
        <is>
          <t>Atlantic Canada Opportunities Agency | Agence de promotion économique du Canada atlantique</t>
        </is>
      </c>
    </row>
    <row r="4324">
      <c r="A4324" t="inlineStr">
        <is>
          <t>T-2018-Q2-00050</t>
        </is>
      </c>
      <c r="B4324" t="inlineStr">
        <is>
          <t>SLE</t>
        </is>
      </c>
      <c r="C4324" t="inlineStr">
        <is>
          <t>Vice-President, Nova Scotia</t>
        </is>
      </c>
      <c r="D4324" t="inlineStr">
        <is>
          <t>Vice-président, Nouvelle-Écosse</t>
        </is>
      </c>
      <c r="E4324" t="inlineStr">
        <is>
          <t>Chuck Maillet</t>
        </is>
      </c>
      <c r="F4324" t="inlineStr">
        <is>
          <t>Meetings with Agency officials and stakeholders</t>
        </is>
      </c>
      <c r="G4324" t="inlineStr">
        <is>
          <t>Réunions avec des fonctionnaires de l'Agence et des intervenants</t>
        </is>
      </c>
      <c r="H4324" s="1" t="n">
        <v>42947</v>
      </c>
      <c r="I4324" s="1" t="n">
        <v>42947</v>
      </c>
      <c r="J4324" t="inlineStr">
        <is>
          <t>Antigonish, Nova Scotia</t>
        </is>
      </c>
      <c r="K4324" t="inlineStr">
        <is>
          <t>Antigonish (Nouvelle-Écosse)</t>
        </is>
      </c>
      <c r="P4324" t="n">
        <v>0</v>
      </c>
      <c r="Q4324" t="n">
        <v>0</v>
      </c>
      <c r="R4324" t="n">
        <v>0</v>
      </c>
      <c r="S4324" t="n">
        <v>18.05</v>
      </c>
      <c r="T4324" t="n">
        <v>0</v>
      </c>
      <c r="U4324" t="n">
        <v>18.05</v>
      </c>
      <c r="X4324" t="inlineStr">
        <is>
          <t>acoa-apeca</t>
        </is>
      </c>
      <c r="Y4324" t="inlineStr">
        <is>
          <t>Atlantic Canada Opportunities Agency | Agence de promotion économique du Canada atlantique</t>
        </is>
      </c>
    </row>
    <row r="4325">
      <c r="A4325" t="inlineStr">
        <is>
          <t>T-2018-Q2-00049</t>
        </is>
      </c>
      <c r="B4325" t="inlineStr">
        <is>
          <t>SLE</t>
        </is>
      </c>
      <c r="C4325" t="inlineStr">
        <is>
          <t>Vice-President, Nova Scotia</t>
        </is>
      </c>
      <c r="D4325" t="inlineStr">
        <is>
          <t>Vice-président, Nouvelle-Écosse</t>
        </is>
      </c>
      <c r="E4325" t="inlineStr">
        <is>
          <t>Chuck Maillet</t>
        </is>
      </c>
      <c r="F4325" t="inlineStr">
        <is>
          <t>Meetings with Agency officials and stakeholders</t>
        </is>
      </c>
      <c r="G4325" t="inlineStr">
        <is>
          <t>Réunions avec des fonctionnaires de l'Agence et des intervenants</t>
        </is>
      </c>
      <c r="H4325" s="1" t="n">
        <v>42923</v>
      </c>
      <c r="I4325" s="1" t="n">
        <v>42923</v>
      </c>
      <c r="J4325" t="inlineStr">
        <is>
          <t>Wolfville, Nova Scotia</t>
        </is>
      </c>
      <c r="K4325" t="inlineStr">
        <is>
          <t>Wolfville (Nouvelle-Écosse)</t>
        </is>
      </c>
      <c r="P4325" t="n">
        <v>0</v>
      </c>
      <c r="Q4325" t="n">
        <v>92</v>
      </c>
      <c r="R4325" t="n">
        <v>0</v>
      </c>
      <c r="S4325" t="n">
        <v>18.05</v>
      </c>
      <c r="T4325" t="n">
        <v>0</v>
      </c>
      <c r="U4325" t="n">
        <v>110.05</v>
      </c>
      <c r="X4325" t="inlineStr">
        <is>
          <t>acoa-apeca</t>
        </is>
      </c>
      <c r="Y4325" t="inlineStr">
        <is>
          <t>Atlantic Canada Opportunities Agency | Agence de promotion économique du Canada atlantique</t>
        </is>
      </c>
    </row>
    <row r="4326">
      <c r="A4326" t="inlineStr">
        <is>
          <t>T-2018-Q2-00048</t>
        </is>
      </c>
      <c r="B4326" t="inlineStr">
        <is>
          <t>SLE</t>
        </is>
      </c>
      <c r="C4326" t="inlineStr">
        <is>
          <t>Acting Vice-President, Nova-Scotia</t>
        </is>
      </c>
      <c r="D4326" t="inlineStr">
        <is>
          <t>Vice-président par intérim, Nouvelle-Écosse</t>
        </is>
      </c>
      <c r="E4326" t="inlineStr">
        <is>
          <t>Ken Martin</t>
        </is>
      </c>
      <c r="F4326" t="inlineStr">
        <is>
          <t>Various meetings with Agency officials and stakeholders</t>
        </is>
      </c>
      <c r="G4326" t="inlineStr">
        <is>
          <t>Diverses réunions avec des fonctionnaires de l'Agence et des intervenants</t>
        </is>
      </c>
      <c r="H4326" s="1" t="n">
        <v>42898</v>
      </c>
      <c r="I4326" s="1" t="n">
        <v>42899</v>
      </c>
      <c r="J4326" t="inlineStr">
        <is>
          <t>Sydney, Nova Scotia</t>
        </is>
      </c>
      <c r="K4326" t="inlineStr">
        <is>
          <t>Sydney (Nouvelle-Écosse)</t>
        </is>
      </c>
      <c r="P4326" t="n">
        <v>1121.68</v>
      </c>
      <c r="Q4326" t="n">
        <v>0</v>
      </c>
      <c r="R4326" t="n">
        <v>248.68</v>
      </c>
      <c r="S4326" t="n">
        <v>161.1</v>
      </c>
      <c r="T4326" t="n">
        <v>0</v>
      </c>
      <c r="U4326" t="n">
        <v>1531.46</v>
      </c>
      <c r="X4326" t="inlineStr">
        <is>
          <t>acoa-apeca</t>
        </is>
      </c>
      <c r="Y4326" t="inlineStr">
        <is>
          <t>Atlantic Canada Opportunities Agency | Agence de promotion économique du Canada atlantique</t>
        </is>
      </c>
    </row>
    <row r="4327">
      <c r="A4327" t="inlineStr">
        <is>
          <t>T-2018-Q2-00047</t>
        </is>
      </c>
      <c r="B4327" t="inlineStr">
        <is>
          <t>SLE</t>
        </is>
      </c>
      <c r="C4327" t="inlineStr">
        <is>
          <t>Acting Vice-President, Nova-Scotia</t>
        </is>
      </c>
      <c r="D4327" t="inlineStr">
        <is>
          <t>Vice-président par intérim, Nouvelle-Écosse</t>
        </is>
      </c>
      <c r="E4327" t="inlineStr">
        <is>
          <t>Ken Martin</t>
        </is>
      </c>
      <c r="F4327" t="inlineStr">
        <is>
          <t>Attendance at the Symposium for the Association of Professional Executives of the Public Service of Canada</t>
        </is>
      </c>
      <c r="G4327" t="inlineStr">
        <is>
          <t>Assister au Symposium de l'Association professionnelle des cadres supérieurs de la fonction publique du Canada</t>
        </is>
      </c>
      <c r="H4327" s="1" t="n">
        <v>42892</v>
      </c>
      <c r="I4327" s="1" t="n">
        <v>42894</v>
      </c>
      <c r="J4327" t="inlineStr">
        <is>
          <t xml:space="preserve">Ottawa, Ontario </t>
        </is>
      </c>
      <c r="K4327" t="inlineStr">
        <is>
          <t>Ottawa (Ontario)</t>
        </is>
      </c>
      <c r="P4327" t="n">
        <v>790.3</v>
      </c>
      <c r="Q4327" t="n">
        <v>72</v>
      </c>
      <c r="R4327" t="n">
        <v>879.92</v>
      </c>
      <c r="S4327" t="n">
        <v>356.16</v>
      </c>
      <c r="T4327" t="n">
        <v>0</v>
      </c>
      <c r="U4327" t="n">
        <v>2098.38</v>
      </c>
      <c r="X4327" t="inlineStr">
        <is>
          <t>acoa-apeca</t>
        </is>
      </c>
      <c r="Y4327" t="inlineStr">
        <is>
          <t>Atlantic Canada Opportunities Agency | Agence de promotion économique du Canada atlantique</t>
        </is>
      </c>
    </row>
    <row r="4328">
      <c r="A4328" t="inlineStr">
        <is>
          <t>T-2018-Q2-00046</t>
        </is>
      </c>
      <c r="B4328" t="inlineStr">
        <is>
          <t>SLE</t>
        </is>
      </c>
      <c r="C4328" t="inlineStr">
        <is>
          <t>Vice-President, Prince Edward Island</t>
        </is>
      </c>
      <c r="D4328" t="inlineStr">
        <is>
          <t>Vice-président, Île-du-Prince-Édouard</t>
        </is>
      </c>
      <c r="E4328" t="inlineStr">
        <is>
          <t>Patrick Dorsey</t>
        </is>
      </c>
      <c r="F4328" t="inlineStr">
        <is>
          <t>Meeting with seafood industry stakeholder</t>
        </is>
      </c>
      <c r="G4328" t="inlineStr">
        <is>
          <t>Réunion avec un intervenant de l'industrie des produits de la mer</t>
        </is>
      </c>
      <c r="H4328" s="1" t="n">
        <v>42976</v>
      </c>
      <c r="I4328" s="1" t="n">
        <v>42976</v>
      </c>
      <c r="J4328" t="inlineStr">
        <is>
          <t>Cap-Pelé, New Brunswick</t>
        </is>
      </c>
      <c r="K4328" t="inlineStr">
        <is>
          <t>Cap-Pelé (Nouveau-Brunswick)</t>
        </is>
      </c>
      <c r="P4328" t="n">
        <v>0</v>
      </c>
      <c r="Q4328" t="n">
        <v>66.5</v>
      </c>
      <c r="R4328" t="n">
        <v>0</v>
      </c>
      <c r="S4328" t="n">
        <v>18.05</v>
      </c>
      <c r="T4328" t="n">
        <v>0</v>
      </c>
      <c r="U4328" t="n">
        <v>84.55</v>
      </c>
      <c r="X4328" t="inlineStr">
        <is>
          <t>acoa-apeca</t>
        </is>
      </c>
      <c r="Y4328" t="inlineStr">
        <is>
          <t>Atlantic Canada Opportunities Agency | Agence de promotion économique du Canada atlantique</t>
        </is>
      </c>
    </row>
    <row r="4329">
      <c r="A4329" t="inlineStr">
        <is>
          <t>T-2018-Q2-00043</t>
        </is>
      </c>
      <c r="B4329" t="inlineStr">
        <is>
          <t>SLE</t>
        </is>
      </c>
      <c r="C4329" t="inlineStr">
        <is>
          <t>Vice-President, Policy and Programs</t>
        </is>
      </c>
      <c r="D4329" t="inlineStr">
        <is>
          <t>Vice-président, Politiques et Programmes</t>
        </is>
      </c>
      <c r="E4329" t="inlineStr">
        <is>
          <t>Daryell Nowlan</t>
        </is>
      </c>
      <c r="F4329" t="inlineStr">
        <is>
          <t>Meetings with Government of Canada officials</t>
        </is>
      </c>
      <c r="G4329" t="inlineStr">
        <is>
          <t>Réunions avec des fonctionnaires du gouvernement du Canada</t>
        </is>
      </c>
      <c r="H4329" s="1" t="n">
        <v>42977</v>
      </c>
      <c r="I4329" s="1" t="n">
        <v>42979</v>
      </c>
      <c r="J4329" t="inlineStr">
        <is>
          <t>Ottawa, Ontario</t>
        </is>
      </c>
      <c r="K4329" t="inlineStr">
        <is>
          <t>Ottawa (Ontario)</t>
        </is>
      </c>
      <c r="P4329" t="n">
        <v>692.3</v>
      </c>
      <c r="Q4329" t="n">
        <v>117</v>
      </c>
      <c r="R4329" t="n">
        <v>407.36</v>
      </c>
      <c r="S4329" t="n">
        <v>179.9</v>
      </c>
      <c r="T4329" t="n">
        <v>0</v>
      </c>
      <c r="U4329" t="n">
        <v>1396.56</v>
      </c>
      <c r="X4329" t="inlineStr">
        <is>
          <t>acoa-apeca</t>
        </is>
      </c>
      <c r="Y4329" t="inlineStr">
        <is>
          <t>Atlantic Canada Opportunities Agency | Agence de promotion économique du Canada atlantique</t>
        </is>
      </c>
    </row>
    <row r="4330">
      <c r="A4330" t="inlineStr">
        <is>
          <t>T-2018-Q2-00039</t>
        </is>
      </c>
      <c r="B4330" t="inlineStr">
        <is>
          <t>SLE</t>
        </is>
      </c>
      <c r="C4330" t="inlineStr">
        <is>
          <t>Senior Advisor (Energy)</t>
        </is>
      </c>
      <c r="D4330" t="inlineStr">
        <is>
          <t>Conseiller spécial (energie)</t>
        </is>
      </c>
      <c r="E4330" t="inlineStr">
        <is>
          <t>Andrew F. Noseworthy</t>
        </is>
      </c>
      <c r="F4330" t="inlineStr">
        <is>
          <t>Meetings with energy industry officials in Saint John, New Brunswick</t>
        </is>
      </c>
      <c r="G4330" t="inlineStr">
        <is>
          <t>Réunions avec des représentants de l'industrie de l'énergie à Saint John, au Nouveau-Brunswick</t>
        </is>
      </c>
      <c r="H4330" s="1" t="n">
        <v>42926</v>
      </c>
      <c r="I4330" s="1" t="n">
        <v>42927</v>
      </c>
      <c r="J4330" t="inlineStr">
        <is>
          <t>Saint John, New Brunswick</t>
        </is>
      </c>
      <c r="K4330" t="inlineStr">
        <is>
          <t>Saint John (Nouveau-Brunswick)</t>
        </is>
      </c>
      <c r="P4330" t="n">
        <v>810.9</v>
      </c>
      <c r="Q4330" t="n">
        <v>48.9</v>
      </c>
      <c r="R4330" t="n">
        <v>142.14</v>
      </c>
      <c r="S4330" t="n">
        <v>161.7</v>
      </c>
      <c r="T4330" t="n">
        <v>106.59</v>
      </c>
      <c r="U4330" t="n">
        <v>1270.23</v>
      </c>
      <c r="X4330" t="inlineStr">
        <is>
          <t>acoa-apeca</t>
        </is>
      </c>
      <c r="Y4330" t="inlineStr">
        <is>
          <t>Atlantic Canada Opportunities Agency | Agence de promotion économique du Canada atlantique</t>
        </is>
      </c>
    </row>
    <row r="4331">
      <c r="A4331" t="inlineStr">
        <is>
          <t>T-2018-Q2-00038</t>
        </is>
      </c>
      <c r="B4331" t="inlineStr">
        <is>
          <t>SLE</t>
        </is>
      </c>
      <c r="C4331" t="inlineStr">
        <is>
          <t>Vice-President, Prince Edward Island</t>
        </is>
      </c>
      <c r="D4331" t="inlineStr">
        <is>
          <t>Vice-président, Île-du-Prince-Édouard</t>
        </is>
      </c>
      <c r="E4331" t="inlineStr">
        <is>
          <t>Patrick Dorsey</t>
        </is>
      </c>
      <c r="F4331" t="inlineStr">
        <is>
          <t>Meetings with Government of Canada officials</t>
        </is>
      </c>
      <c r="G4331" t="inlineStr">
        <is>
          <t>Réunions avec des fonctionnaires du gouvernement du Canada</t>
        </is>
      </c>
      <c r="H4331" s="1" t="n">
        <v>42955</v>
      </c>
      <c r="I4331" s="1" t="n">
        <v>42955</v>
      </c>
      <c r="J4331" t="inlineStr">
        <is>
          <t>Moncton, New Brunswick</t>
        </is>
      </c>
      <c r="K4331" t="inlineStr">
        <is>
          <t>Moncton (Nouveau-Brunswick)</t>
        </is>
      </c>
      <c r="P4331" t="n">
        <v>0</v>
      </c>
      <c r="Q4331" t="n">
        <v>224.15</v>
      </c>
      <c r="R4331" t="n">
        <v>0</v>
      </c>
      <c r="S4331" t="n">
        <v>64</v>
      </c>
      <c r="T4331" t="n">
        <v>0</v>
      </c>
      <c r="U4331" t="n">
        <v>288.15</v>
      </c>
      <c r="X4331" t="inlineStr">
        <is>
          <t>acoa-apeca</t>
        </is>
      </c>
      <c r="Y4331" t="inlineStr">
        <is>
          <t>Atlantic Canada Opportunities Agency | Agence de promotion économique du Canada atlantique</t>
        </is>
      </c>
    </row>
    <row r="4332">
      <c r="A4332" t="inlineStr">
        <is>
          <t>T-2018-Q2-00037</t>
        </is>
      </c>
      <c r="B4332" t="inlineStr">
        <is>
          <t>SLE</t>
        </is>
      </c>
      <c r="C4332" t="inlineStr">
        <is>
          <t>Vice-President, Prince Edward Island</t>
        </is>
      </c>
      <c r="D4332" t="inlineStr">
        <is>
          <t>Vice-président, Île-du-Prince-Édouard</t>
        </is>
      </c>
      <c r="E4332" t="inlineStr">
        <is>
          <t>Patrick Dorsey</t>
        </is>
      </c>
      <c r="F4332" t="inlineStr">
        <is>
          <t>Various meetings with stakeholders</t>
        </is>
      </c>
      <c r="G4332" t="inlineStr">
        <is>
          <t>Diverses réunions avec des intervenants</t>
        </is>
      </c>
      <c r="H4332" s="1" t="n">
        <v>42961</v>
      </c>
      <c r="I4332" s="1" t="n">
        <v>42963</v>
      </c>
      <c r="J4332" t="inlineStr">
        <is>
          <t>Halifax, Nova Scotia</t>
        </is>
      </c>
      <c r="K4332" t="inlineStr">
        <is>
          <t>Halifax (Nouvelle-Écosse)</t>
        </is>
      </c>
      <c r="P4332" t="n">
        <v>0</v>
      </c>
      <c r="Q4332" t="n">
        <v>79.25</v>
      </c>
      <c r="R4332" t="n">
        <v>352.49</v>
      </c>
      <c r="S4332" t="n">
        <v>161.85</v>
      </c>
      <c r="T4332" t="n">
        <v>0</v>
      </c>
      <c r="U4332" t="n">
        <v>593.59</v>
      </c>
      <c r="X4332" t="inlineStr">
        <is>
          <t>acoa-apeca</t>
        </is>
      </c>
      <c r="Y4332" t="inlineStr">
        <is>
          <t>Atlantic Canada Opportunities Agency | Agence de promotion économique du Canada atlantique</t>
        </is>
      </c>
    </row>
    <row r="4333">
      <c r="A4333" t="inlineStr">
        <is>
          <t>T-2018-Q2-00036</t>
        </is>
      </c>
      <c r="B4333" t="inlineStr">
        <is>
          <t>SLE</t>
        </is>
      </c>
      <c r="C4333" t="inlineStr">
        <is>
          <t>Vice-President, Prince Edward Island</t>
        </is>
      </c>
      <c r="D4333" t="inlineStr">
        <is>
          <t>Vice-président, Île-du-Prince-Édouard</t>
        </is>
      </c>
      <c r="E4333" t="inlineStr">
        <is>
          <t>Patrick Dorsey</t>
        </is>
      </c>
      <c r="F4333" t="inlineStr">
        <is>
          <t>Sea to Sky Conference</t>
        </is>
      </c>
      <c r="G4333" t="inlineStr">
        <is>
          <t>Conférence Sea to Sky</t>
        </is>
      </c>
      <c r="H4333" s="1" t="n">
        <v>42956</v>
      </c>
      <c r="I4333" s="1" t="n">
        <v>42957</v>
      </c>
      <c r="J4333" t="inlineStr">
        <is>
          <t>Brudenell, Prince Edward Island</t>
        </is>
      </c>
      <c r="K4333" t="inlineStr">
        <is>
          <t>Brudenell (Île-du-Prince-Édouard)</t>
        </is>
      </c>
      <c r="P4333" t="n">
        <v>0</v>
      </c>
      <c r="Q4333" t="n">
        <v>0</v>
      </c>
      <c r="R4333" t="n">
        <v>227.7</v>
      </c>
      <c r="S4333" t="n">
        <v>69.8</v>
      </c>
      <c r="T4333" t="n">
        <v>0</v>
      </c>
      <c r="U4333" t="n">
        <v>297.5</v>
      </c>
      <c r="X4333" t="inlineStr">
        <is>
          <t>acoa-apeca</t>
        </is>
      </c>
      <c r="Y4333" t="inlineStr">
        <is>
          <t>Atlantic Canada Opportunities Agency | Agence de promotion économique du Canada atlantique</t>
        </is>
      </c>
    </row>
    <row r="4334">
      <c r="A4334" t="inlineStr">
        <is>
          <t>T-2018-Q2-00035</t>
        </is>
      </c>
      <c r="B4334" t="inlineStr">
        <is>
          <t>SLE</t>
        </is>
      </c>
      <c r="C4334" t="inlineStr">
        <is>
          <t>Vice-President, Newfoundland and Labrador</t>
        </is>
      </c>
      <c r="D4334" t="inlineStr">
        <is>
          <t>Vice-président, Terre-Neuve-et-Labrador</t>
        </is>
      </c>
      <c r="E4334" t="inlineStr">
        <is>
          <t>Ken Martin</t>
        </is>
      </c>
      <c r="F4334" t="inlineStr">
        <is>
          <t>Client site visit</t>
        </is>
      </c>
      <c r="G4334" t="inlineStr">
        <is>
          <t>Visite chez un client</t>
        </is>
      </c>
      <c r="H4334" s="1" t="n">
        <v>42968</v>
      </c>
      <c r="I4334" s="1" t="n">
        <v>42968</v>
      </c>
      <c r="J4334" t="inlineStr">
        <is>
          <t>Harbour Main, Newfoundland and Labrador</t>
        </is>
      </c>
      <c r="K4334" t="inlineStr">
        <is>
          <t>Harbour Main (Terre-Neuve-et-Labrador)</t>
        </is>
      </c>
      <c r="P4334" t="n">
        <v>0</v>
      </c>
      <c r="Q4334" t="n">
        <v>58.28</v>
      </c>
      <c r="R4334" t="n">
        <v>0</v>
      </c>
      <c r="S4334" t="n">
        <v>0</v>
      </c>
      <c r="T4334" t="n">
        <v>0</v>
      </c>
      <c r="U4334" t="n">
        <v>58.28</v>
      </c>
      <c r="X4334" t="inlineStr">
        <is>
          <t>acoa-apeca</t>
        </is>
      </c>
      <c r="Y4334" t="inlineStr">
        <is>
          <t>Atlantic Canada Opportunities Agency | Agence de promotion économique du Canada atlantique</t>
        </is>
      </c>
    </row>
    <row r="4335">
      <c r="A4335" t="inlineStr">
        <is>
          <t>T-2018-Q2-00034</t>
        </is>
      </c>
      <c r="B4335" t="inlineStr">
        <is>
          <t>SLE</t>
        </is>
      </c>
      <c r="C4335" t="inlineStr">
        <is>
          <t>President</t>
        </is>
      </c>
      <c r="D4335" t="inlineStr">
        <is>
          <t>Président</t>
        </is>
      </c>
      <c r="E4335" t="inlineStr">
        <is>
          <t>Francis McGuire</t>
        </is>
      </c>
      <c r="F4335" t="inlineStr">
        <is>
          <t>For various meetings with Government officials and key stakeholders</t>
        </is>
      </c>
      <c r="G4335" t="inlineStr">
        <is>
          <t>Diverses réunions avec des fonctionnaires et des intervenants clés</t>
        </is>
      </c>
      <c r="H4335" s="1" t="n">
        <v>42942</v>
      </c>
      <c r="I4335" s="1" t="n">
        <v>42944</v>
      </c>
      <c r="J4335" t="inlineStr">
        <is>
          <t>Halifax, Nova Scotia</t>
        </is>
      </c>
      <c r="K4335" t="inlineStr">
        <is>
          <t>Halifax (Nouvelle-Écosse)</t>
        </is>
      </c>
      <c r="P4335" t="n">
        <v>0</v>
      </c>
      <c r="Q4335" t="n">
        <v>0</v>
      </c>
      <c r="R4335" t="n">
        <v>419.94</v>
      </c>
      <c r="S4335" t="n">
        <v>260.15</v>
      </c>
      <c r="T4335" t="n">
        <v>0</v>
      </c>
      <c r="U4335" t="n">
        <v>680.09</v>
      </c>
      <c r="X4335" t="inlineStr">
        <is>
          <t>acoa-apeca</t>
        </is>
      </c>
      <c r="Y4335" t="inlineStr">
        <is>
          <t>Atlantic Canada Opportunities Agency | Agence de promotion économique du Canada atlantique</t>
        </is>
      </c>
    </row>
    <row r="4336">
      <c r="A4336" t="inlineStr">
        <is>
          <t>T-2018-Q2-00033</t>
        </is>
      </c>
      <c r="B4336" t="inlineStr">
        <is>
          <t>SLE</t>
        </is>
      </c>
      <c r="C4336" t="inlineStr">
        <is>
          <t>President</t>
        </is>
      </c>
      <c r="D4336" t="inlineStr">
        <is>
          <t>Président</t>
        </is>
      </c>
      <c r="E4336" t="inlineStr">
        <is>
          <t>Francis McGuire</t>
        </is>
      </c>
      <c r="F4336" t="inlineStr">
        <is>
          <t>For meetings with Government officials and key stakeholders</t>
        </is>
      </c>
      <c r="G4336" t="inlineStr">
        <is>
          <t>Réunions avec des fonctionnaires et des intervenants clés</t>
        </is>
      </c>
      <c r="H4336" s="1" t="n">
        <v>42957</v>
      </c>
      <c r="I4336" s="1" t="n">
        <v>42957</v>
      </c>
      <c r="J4336" t="inlineStr">
        <is>
          <t>Oxford, Nova Scotia</t>
        </is>
      </c>
      <c r="K4336" t="inlineStr">
        <is>
          <t>Oxford (Nouvelle-Écosse)</t>
        </is>
      </c>
      <c r="P4336" t="n">
        <v>0</v>
      </c>
      <c r="Q4336" t="n">
        <v>0</v>
      </c>
      <c r="R4336" t="n">
        <v>0</v>
      </c>
      <c r="S4336" t="n">
        <v>0</v>
      </c>
      <c r="T4336" t="n">
        <v>98.98</v>
      </c>
      <c r="U4336" t="n">
        <v>98.98</v>
      </c>
      <c r="X4336" t="inlineStr">
        <is>
          <t>acoa-apeca</t>
        </is>
      </c>
      <c r="Y4336" t="inlineStr">
        <is>
          <t>Atlantic Canada Opportunities Agency | Agence de promotion économique du Canada atlantique</t>
        </is>
      </c>
    </row>
    <row r="4337">
      <c r="A4337" t="inlineStr">
        <is>
          <t>T-2018-Q2-00032</t>
        </is>
      </c>
      <c r="B4337" t="inlineStr">
        <is>
          <t>SLE</t>
        </is>
      </c>
      <c r="C4337" t="inlineStr">
        <is>
          <t>President</t>
        </is>
      </c>
      <c r="D4337" t="inlineStr">
        <is>
          <t>Président</t>
        </is>
      </c>
      <c r="E4337" t="inlineStr">
        <is>
          <t>Francis McGuire</t>
        </is>
      </c>
      <c r="F4337" t="inlineStr">
        <is>
          <t>For various meetings and discussions with Government of Canada officials and key stakeholders</t>
        </is>
      </c>
      <c r="G4337" t="inlineStr">
        <is>
          <t>Diverses réunions et discussions avec des fonctionnaires du gouvernement du Canada et des intervenants clés</t>
        </is>
      </c>
      <c r="H4337" s="1" t="n">
        <v>42947</v>
      </c>
      <c r="I4337" s="1" t="n">
        <v>42949</v>
      </c>
      <c r="J4337" t="inlineStr">
        <is>
          <t>Montreal, Quebec</t>
        </is>
      </c>
      <c r="K4337" t="inlineStr">
        <is>
          <t>Montréal (Québec)</t>
        </is>
      </c>
      <c r="P4337" t="n">
        <v>588.9400000000001</v>
      </c>
      <c r="Q4337" t="n">
        <v>92.09999999999999</v>
      </c>
      <c r="R4337" t="n">
        <v>232.05</v>
      </c>
      <c r="S4337" t="n">
        <v>186.3</v>
      </c>
      <c r="T4337" t="n">
        <v>25.3</v>
      </c>
      <c r="U4337" t="n">
        <v>1124.69</v>
      </c>
      <c r="X4337" t="inlineStr">
        <is>
          <t>acoa-apeca</t>
        </is>
      </c>
      <c r="Y4337" t="inlineStr">
        <is>
          <t>Atlantic Canada Opportunities Agency | Agence de promotion économique du Canada atlantique</t>
        </is>
      </c>
    </row>
    <row r="4338">
      <c r="A4338" t="inlineStr">
        <is>
          <t>T-2018-Q2-00031</t>
        </is>
      </c>
      <c r="B4338" t="inlineStr">
        <is>
          <t>SLE</t>
        </is>
      </c>
      <c r="C4338" t="inlineStr">
        <is>
          <t>Vice-President, Newfoundland and Labrador</t>
        </is>
      </c>
      <c r="D4338" t="inlineStr">
        <is>
          <t>Vice-président, Terre-Neuve-et-Labrador</t>
        </is>
      </c>
      <c r="E4338" t="inlineStr">
        <is>
          <t>Ken Martin</t>
        </is>
      </c>
      <c r="F4338" t="inlineStr">
        <is>
          <t>Business and Indigenous client meetings in Southern Labrador</t>
        </is>
      </c>
      <c r="G4338" t="inlineStr">
        <is>
          <t>Réunions avec des clients commerciaux et autochtones dans le Sud du Labrador</t>
        </is>
      </c>
      <c r="H4338" s="1" t="n">
        <v>42961</v>
      </c>
      <c r="I4338" s="1" t="n">
        <v>42963</v>
      </c>
      <c r="J4338" t="inlineStr">
        <is>
          <t>Southern Labrador</t>
        </is>
      </c>
      <c r="K4338" t="inlineStr">
        <is>
          <t>Sud du Labrador</t>
        </is>
      </c>
      <c r="P4338" t="n">
        <v>1085.76</v>
      </c>
      <c r="Q4338" t="n">
        <v>113.29</v>
      </c>
      <c r="R4338" t="n">
        <v>258.75</v>
      </c>
      <c r="S4338" t="n">
        <v>277.3</v>
      </c>
      <c r="T4338" t="n">
        <v>0</v>
      </c>
      <c r="U4338" t="n">
        <v>1735.1</v>
      </c>
      <c r="X4338" t="inlineStr">
        <is>
          <t>acoa-apeca</t>
        </is>
      </c>
      <c r="Y4338" t="inlineStr">
        <is>
          <t>Atlantic Canada Opportunities Agency | Agence de promotion économique du Canada atlantique</t>
        </is>
      </c>
    </row>
    <row r="4339">
      <c r="A4339" t="inlineStr">
        <is>
          <t>T-2018-Q2-00030</t>
        </is>
      </c>
      <c r="B4339" t="inlineStr">
        <is>
          <t>SLE</t>
        </is>
      </c>
      <c r="C4339" t="inlineStr">
        <is>
          <t>Vice-President, Policy and Programs</t>
        </is>
      </c>
      <c r="D4339" t="inlineStr">
        <is>
          <t>Vice-président, Politiques et Programmes</t>
        </is>
      </c>
      <c r="E4339" t="inlineStr">
        <is>
          <t>Daryell Nowlan</t>
        </is>
      </c>
      <c r="F4339" t="inlineStr">
        <is>
          <t>Meetings with Government of Canada officials</t>
        </is>
      </c>
      <c r="G4339" t="inlineStr">
        <is>
          <t>Réunions avec des fonctionnaires du gouvernement du Canada</t>
        </is>
      </c>
      <c r="H4339" s="1" t="n">
        <v>42947</v>
      </c>
      <c r="I4339" s="1" t="n">
        <v>42948</v>
      </c>
      <c r="J4339" t="inlineStr">
        <is>
          <t>Ottawa, Ontario</t>
        </is>
      </c>
      <c r="K4339" t="inlineStr">
        <is>
          <t>Ottawa (Ontario)</t>
        </is>
      </c>
      <c r="P4339" t="n">
        <v>692.3</v>
      </c>
      <c r="Q4339" t="n">
        <v>110.04</v>
      </c>
      <c r="R4339" t="n">
        <v>187.39</v>
      </c>
      <c r="S4339" t="n">
        <v>144.55</v>
      </c>
      <c r="T4339" t="n">
        <v>0</v>
      </c>
      <c r="U4339" t="n">
        <v>1134.28</v>
      </c>
      <c r="X4339" t="inlineStr">
        <is>
          <t>acoa-apeca</t>
        </is>
      </c>
      <c r="Y4339" t="inlineStr">
        <is>
          <t>Atlantic Canada Opportunities Agency | Agence de promotion économique du Canada atlantique</t>
        </is>
      </c>
    </row>
    <row r="4340">
      <c r="A4340" t="inlineStr">
        <is>
          <t>T-2018-Q2-00029</t>
        </is>
      </c>
      <c r="B4340" t="inlineStr">
        <is>
          <t>SLE</t>
        </is>
      </c>
      <c r="C4340" t="inlineStr">
        <is>
          <t>Vice President, Finance and Corporate Services</t>
        </is>
      </c>
      <c r="D4340" t="inlineStr">
        <is>
          <t>Vice-présidente, Finances et Services corporatifs</t>
        </is>
      </c>
      <c r="E4340" t="inlineStr">
        <is>
          <t>Denise Frenette</t>
        </is>
      </c>
      <c r="F4340" t="inlineStr">
        <is>
          <t>Meeting with Government of Canada officials</t>
        </is>
      </c>
      <c r="G4340" t="inlineStr">
        <is>
          <t>Réunion avec des fonctionnaires du gouvernement du Canada</t>
        </is>
      </c>
      <c r="H4340" s="1" t="n">
        <v>42942</v>
      </c>
      <c r="I4340" s="1" t="n">
        <v>42943</v>
      </c>
      <c r="J4340" t="inlineStr">
        <is>
          <t>Halifax, Nova Scotia</t>
        </is>
      </c>
      <c r="K4340" t="inlineStr">
        <is>
          <t>Halifax (Nouvelle-Écosse)</t>
        </is>
      </c>
      <c r="P4340" t="n">
        <v>0</v>
      </c>
      <c r="Q4340" t="n">
        <v>110.69</v>
      </c>
      <c r="R4340" t="n">
        <v>238.72</v>
      </c>
      <c r="S4340" t="n">
        <v>161.7</v>
      </c>
      <c r="T4340" t="n">
        <v>50.85</v>
      </c>
      <c r="U4340" t="n">
        <v>561.96</v>
      </c>
      <c r="X4340" t="inlineStr">
        <is>
          <t>acoa-apeca</t>
        </is>
      </c>
      <c r="Y4340" t="inlineStr">
        <is>
          <t>Atlantic Canada Opportunities Agency | Agence de promotion économique du Canada atlantique</t>
        </is>
      </c>
    </row>
    <row r="4341">
      <c r="A4341" t="inlineStr">
        <is>
          <t>T-2018-Q2-00028</t>
        </is>
      </c>
      <c r="B4341" t="inlineStr">
        <is>
          <t>SLE</t>
        </is>
      </c>
      <c r="C4341" t="inlineStr">
        <is>
          <t>Vice-President, Newfoundland and Labrador</t>
        </is>
      </c>
      <c r="D4341" t="inlineStr">
        <is>
          <t>Vice-président, Terre-Neuve-et-Labrador</t>
        </is>
      </c>
      <c r="E4341" t="inlineStr">
        <is>
          <t>Ken Martin</t>
        </is>
      </c>
      <c r="F4341" t="inlineStr">
        <is>
          <t>Attend client meetings around Avalon Peninsula</t>
        </is>
      </c>
      <c r="G4341" t="inlineStr">
        <is>
          <t>Assister à des réunions avec des clients dans la presqu'île Avalon</t>
        </is>
      </c>
      <c r="H4341" s="1" t="n">
        <v>42928</v>
      </c>
      <c r="I4341" s="1" t="n">
        <v>42930</v>
      </c>
      <c r="J4341" t="inlineStr">
        <is>
          <t>Avalon Peninsula, Newfoundland and Labrador</t>
        </is>
      </c>
      <c r="K4341" t="inlineStr">
        <is>
          <t>Presqu'île Avalon (Terre-Neuve-et-Labrador)</t>
        </is>
      </c>
      <c r="P4341" t="n">
        <v>0</v>
      </c>
      <c r="Q4341" t="n">
        <v>459.17</v>
      </c>
      <c r="R4341" t="n">
        <v>0</v>
      </c>
      <c r="S4341" t="n">
        <v>64</v>
      </c>
      <c r="T4341" t="n">
        <v>0</v>
      </c>
      <c r="U4341" t="n">
        <v>523.17</v>
      </c>
      <c r="X4341" t="inlineStr">
        <is>
          <t>acoa-apeca</t>
        </is>
      </c>
      <c r="Y4341" t="inlineStr">
        <is>
          <t>Atlantic Canada Opportunities Agency | Agence de promotion économique du Canada atlantique</t>
        </is>
      </c>
    </row>
    <row r="4342">
      <c r="A4342" t="inlineStr">
        <is>
          <t>T-2018-Q2-00027</t>
        </is>
      </c>
      <c r="B4342" t="inlineStr">
        <is>
          <t>SLE</t>
        </is>
      </c>
      <c r="C4342" t="inlineStr">
        <is>
          <t>Vice-President, Policy and Programs</t>
        </is>
      </c>
      <c r="D4342" t="inlineStr">
        <is>
          <t>Vice-président, Politiques et Programmes</t>
        </is>
      </c>
      <c r="E4342" t="inlineStr">
        <is>
          <t>Daryell Nowlan</t>
        </is>
      </c>
      <c r="F4342" t="inlineStr">
        <is>
          <t>Meetings with private sector officials and Government of Canada officials</t>
        </is>
      </c>
      <c r="G4342" t="inlineStr">
        <is>
          <t>Réunions avec des représentants du secteur privé et des fonctionnaires du gouvernement du Canada</t>
        </is>
      </c>
      <c r="H4342" s="1" t="n">
        <v>42937</v>
      </c>
      <c r="I4342" s="1" t="n">
        <v>42937</v>
      </c>
      <c r="J4342" t="inlineStr">
        <is>
          <t>Halifax, Nova Scotia</t>
        </is>
      </c>
      <c r="K4342" t="inlineStr">
        <is>
          <t>Halifax (Nouvelle-Écosse)</t>
        </is>
      </c>
      <c r="P4342" t="n">
        <v>0</v>
      </c>
      <c r="Q4342" t="n">
        <v>210</v>
      </c>
      <c r="R4342" t="n">
        <v>0</v>
      </c>
      <c r="S4342" t="n">
        <v>18.05</v>
      </c>
      <c r="T4342" t="n">
        <v>0</v>
      </c>
      <c r="U4342" t="n">
        <v>228.05</v>
      </c>
      <c r="X4342" t="inlineStr">
        <is>
          <t>acoa-apeca</t>
        </is>
      </c>
      <c r="Y4342" t="inlineStr">
        <is>
          <t>Atlantic Canada Opportunities Agency | Agence de promotion économique du Canada atlantique</t>
        </is>
      </c>
    </row>
    <row r="4343">
      <c r="A4343" t="inlineStr">
        <is>
          <t>T-2018-Q2-00026</t>
        </is>
      </c>
      <c r="B4343" t="inlineStr">
        <is>
          <t>SLE</t>
        </is>
      </c>
      <c r="C4343" t="inlineStr">
        <is>
          <t>President</t>
        </is>
      </c>
      <c r="D4343" t="inlineStr">
        <is>
          <t>Président</t>
        </is>
      </c>
      <c r="E4343" t="inlineStr">
        <is>
          <t>Francis McGuire</t>
        </is>
      </c>
      <c r="F4343" t="inlineStr">
        <is>
          <t>For various meetings and discussions with Agency officials, Government of Canada officials and key stakeholders</t>
        </is>
      </c>
      <c r="G4343" t="inlineStr">
        <is>
          <t>Diverses réunions et discussions avec des fonctionnaires de l'Agence, des fonctionnaires du gouvernement du Canada et des intervenants clés</t>
        </is>
      </c>
      <c r="H4343" s="1" t="n">
        <v>42936</v>
      </c>
      <c r="I4343" s="1" t="n">
        <v>42937</v>
      </c>
      <c r="J4343" t="inlineStr">
        <is>
          <t>Halifax, Nova Scotia</t>
        </is>
      </c>
      <c r="K4343" t="inlineStr">
        <is>
          <t>Halifax (Nouvelle-Écosse)</t>
        </is>
      </c>
      <c r="P4343" t="n">
        <v>0</v>
      </c>
      <c r="Q4343" t="n">
        <v>267.14</v>
      </c>
      <c r="R4343" t="n">
        <v>212.87</v>
      </c>
      <c r="S4343" t="n">
        <v>115.75</v>
      </c>
      <c r="T4343" t="n">
        <v>39.05</v>
      </c>
      <c r="U4343" t="n">
        <v>634.8099999999999</v>
      </c>
      <c r="X4343" t="inlineStr">
        <is>
          <t>acoa-apeca</t>
        </is>
      </c>
      <c r="Y4343" t="inlineStr">
        <is>
          <t>Atlantic Canada Opportunities Agency | Agence de promotion économique du Canada atlantique</t>
        </is>
      </c>
    </row>
    <row r="4344">
      <c r="A4344" t="inlineStr">
        <is>
          <t>T-2018-Q2-00025</t>
        </is>
      </c>
      <c r="B4344" t="inlineStr">
        <is>
          <t>SLE</t>
        </is>
      </c>
      <c r="C4344" t="inlineStr">
        <is>
          <t>Vice President, Finance and Corporate Services</t>
        </is>
      </c>
      <c r="D4344" t="inlineStr">
        <is>
          <t>Vice-présidente, Finances et Services corporatifs</t>
        </is>
      </c>
      <c r="E4344" t="inlineStr">
        <is>
          <t>Denise Frenette</t>
        </is>
      </c>
      <c r="F4344" t="inlineStr">
        <is>
          <t>Meeting with Government of Canada officials</t>
        </is>
      </c>
      <c r="G4344" t="inlineStr">
        <is>
          <t>Réunion avec des fonctionnaires du gouvernement du Canada</t>
        </is>
      </c>
      <c r="H4344" s="1" t="n">
        <v>42933</v>
      </c>
      <c r="I4344" s="1" t="n">
        <v>42934</v>
      </c>
      <c r="J4344" t="inlineStr">
        <is>
          <t>Ottawa, Ontario</t>
        </is>
      </c>
      <c r="K4344" t="inlineStr">
        <is>
          <t>Ottawa (Ontario)</t>
        </is>
      </c>
      <c r="P4344" t="n">
        <v>227.7</v>
      </c>
      <c r="Q4344" t="n">
        <v>40.25</v>
      </c>
      <c r="R4344" t="n">
        <v>203.68</v>
      </c>
      <c r="S4344" t="n">
        <v>144.55</v>
      </c>
      <c r="T4344" t="n">
        <v>7.07</v>
      </c>
      <c r="U4344" t="n">
        <v>623.25</v>
      </c>
      <c r="X4344" t="inlineStr">
        <is>
          <t>acoa-apeca</t>
        </is>
      </c>
      <c r="Y4344" t="inlineStr">
        <is>
          <t>Atlantic Canada Opportunities Agency | Agence de promotion économique du Canada atlantique</t>
        </is>
      </c>
    </row>
    <row r="4345">
      <c r="A4345" t="inlineStr">
        <is>
          <t>T-2018-Q2-00024</t>
        </is>
      </c>
      <c r="B4345" t="inlineStr">
        <is>
          <t>SLE</t>
        </is>
      </c>
      <c r="C4345" t="inlineStr">
        <is>
          <t>Vice-President, Policy and Programs</t>
        </is>
      </c>
      <c r="D4345" t="inlineStr">
        <is>
          <t>Vice-président, Politiques et Programmes</t>
        </is>
      </c>
      <c r="E4345" t="inlineStr">
        <is>
          <t>Daryell Nowlan</t>
        </is>
      </c>
      <c r="F4345" t="inlineStr">
        <is>
          <t>Meeting with Government of Canada officials</t>
        </is>
      </c>
      <c r="G4345" t="inlineStr">
        <is>
          <t>Réunion avec des fonctionnaires du gouvernement du Canada</t>
        </is>
      </c>
      <c r="H4345" s="1" t="n">
        <v>42933</v>
      </c>
      <c r="I4345" s="1" t="n">
        <v>42934</v>
      </c>
      <c r="J4345" t="inlineStr">
        <is>
          <t>Ottawa, Ontario</t>
        </is>
      </c>
      <c r="K4345" t="inlineStr">
        <is>
          <t>Ottawa (Ontario)</t>
        </is>
      </c>
      <c r="P4345" t="n">
        <v>692.3</v>
      </c>
      <c r="Q4345" t="n">
        <v>79</v>
      </c>
      <c r="R4345" t="n">
        <v>197.86</v>
      </c>
      <c r="S4345" t="n">
        <v>144.55</v>
      </c>
      <c r="T4345" t="n">
        <v>0</v>
      </c>
      <c r="U4345" t="n">
        <v>1113.71</v>
      </c>
      <c r="X4345" t="inlineStr">
        <is>
          <t>acoa-apeca</t>
        </is>
      </c>
      <c r="Y4345" t="inlineStr">
        <is>
          <t>Atlantic Canada Opportunities Agency | Agence de promotion économique du Canada atlantique</t>
        </is>
      </c>
    </row>
    <row r="4346">
      <c r="A4346" t="inlineStr">
        <is>
          <t>T-2018-Q2-00023</t>
        </is>
      </c>
      <c r="B4346" t="inlineStr">
        <is>
          <t>SLE</t>
        </is>
      </c>
      <c r="C4346" t="inlineStr">
        <is>
          <t>President</t>
        </is>
      </c>
      <c r="D4346" t="inlineStr">
        <is>
          <t>Président</t>
        </is>
      </c>
      <c r="E4346" t="inlineStr">
        <is>
          <t>Francis McGuire</t>
        </is>
      </c>
      <c r="F4346" t="inlineStr">
        <is>
          <t>For various meetings and discussions with Agency officials, Government of Canada officials, Provincial Government officials and key stakeholders</t>
        </is>
      </c>
      <c r="G4346" t="inlineStr">
        <is>
          <t>Diverses réunions et discussions avec des fonctionnaires de l'Agence, des fonctionnaires du gouvernement du Canada, des fonctionnaires du gouvernement provincial et des intervenants clés</t>
        </is>
      </c>
      <c r="H4346" s="1" t="n">
        <v>42933</v>
      </c>
      <c r="I4346" s="1" t="n">
        <v>42934</v>
      </c>
      <c r="J4346" t="inlineStr">
        <is>
          <t>Saint Andrews and St. Stephen, New Brunswick</t>
        </is>
      </c>
      <c r="K4346" t="inlineStr">
        <is>
          <t>Saint Andrews et St. Stephen (Nouveau-Brunswick)</t>
        </is>
      </c>
      <c r="P4346" t="n">
        <v>0</v>
      </c>
      <c r="Q4346" t="n">
        <v>143.42</v>
      </c>
      <c r="R4346" t="n">
        <v>233.43</v>
      </c>
      <c r="S4346" t="n">
        <v>97.7</v>
      </c>
      <c r="T4346" t="n">
        <v>0</v>
      </c>
      <c r="U4346" t="n">
        <v>474.55</v>
      </c>
      <c r="X4346" t="inlineStr">
        <is>
          <t>acoa-apeca</t>
        </is>
      </c>
      <c r="Y4346" t="inlineStr">
        <is>
          <t>Atlantic Canada Opportunities Agency | Agence de promotion économique du Canada atlantique</t>
        </is>
      </c>
    </row>
    <row r="4347">
      <c r="A4347" t="inlineStr">
        <is>
          <t>T-2018-Q2-00008</t>
        </is>
      </c>
      <c r="B4347" t="inlineStr">
        <is>
          <t>SLE</t>
        </is>
      </c>
      <c r="C4347" t="inlineStr">
        <is>
          <t>Vice-President, Prince Edward Island</t>
        </is>
      </c>
      <c r="D4347" t="inlineStr">
        <is>
          <t>Vice-président, Île-du-Prince-Édouard</t>
        </is>
      </c>
      <c r="E4347" t="inlineStr">
        <is>
          <t>Patrick Dorsey</t>
        </is>
      </c>
      <c r="F4347" t="inlineStr">
        <is>
          <t>APEX meetings</t>
        </is>
      </c>
      <c r="G4347" t="inlineStr">
        <is>
          <t>Réunions de l'APEX</t>
        </is>
      </c>
      <c r="H4347" s="1" t="n">
        <v>42892</v>
      </c>
      <c r="I4347" s="1" t="n">
        <v>42894</v>
      </c>
      <c r="J4347" t="inlineStr">
        <is>
          <t>Ottawa, Ontario</t>
        </is>
      </c>
      <c r="K4347" t="inlineStr">
        <is>
          <t>Ottawa (Ontario)</t>
        </is>
      </c>
      <c r="P4347" t="n">
        <v>667.4299999999999</v>
      </c>
      <c r="Q4347" t="n">
        <v>101.84</v>
      </c>
      <c r="R4347" t="n">
        <v>439.96</v>
      </c>
      <c r="S4347" t="n">
        <v>242.1</v>
      </c>
      <c r="T4347" t="n">
        <v>0</v>
      </c>
      <c r="U4347" t="n">
        <v>1451.33</v>
      </c>
      <c r="X4347" t="inlineStr">
        <is>
          <t>acoa-apeca</t>
        </is>
      </c>
      <c r="Y4347" t="inlineStr">
        <is>
          <t>Atlantic Canada Opportunities Agency | Agence de promotion économique du Canada atlantique</t>
        </is>
      </c>
    </row>
    <row r="4348">
      <c r="A4348" t="inlineStr">
        <is>
          <t>T-2018-Q2-00022</t>
        </is>
      </c>
      <c r="B4348" t="inlineStr">
        <is>
          <t>SLE</t>
        </is>
      </c>
      <c r="C4348" t="inlineStr">
        <is>
          <t>President</t>
        </is>
      </c>
      <c r="D4348" t="inlineStr">
        <is>
          <t>Président</t>
        </is>
      </c>
      <c r="E4348" t="inlineStr">
        <is>
          <t>Francis McGuire</t>
        </is>
      </c>
      <c r="F4348" t="inlineStr">
        <is>
          <t>For various meetings and discussions with Agency officials, Government of Canada officials, Provincial Government officials and key stakeholders</t>
        </is>
      </c>
      <c r="G4348" t="inlineStr">
        <is>
          <t>Diverses réunions et discussions avec des fonctionnaires de l'Agence, des fonctionnaires du gouvernement du Canada, des fonctionnaires du gouvernement provincial et des intervenants clés</t>
        </is>
      </c>
      <c r="H4348" s="1" t="n">
        <v>42926</v>
      </c>
      <c r="I4348" s="1" t="n">
        <v>42930</v>
      </c>
      <c r="J4348" t="inlineStr">
        <is>
          <t>Deer Lake and St. John's, Newfoundland and Labrador</t>
        </is>
      </c>
      <c r="K4348" t="inlineStr">
        <is>
          <t>Deer Lake et St. John's (Terre-Neuve-et-Labrador)</t>
        </is>
      </c>
      <c r="P4348" t="n">
        <v>838.3200000000001</v>
      </c>
      <c r="Q4348" t="n">
        <v>0</v>
      </c>
      <c r="R4348" t="n">
        <v>832.9</v>
      </c>
      <c r="S4348" t="n">
        <v>405</v>
      </c>
      <c r="T4348" t="n">
        <v>25.3</v>
      </c>
      <c r="U4348" t="n">
        <v>2101.52</v>
      </c>
      <c r="X4348" t="inlineStr">
        <is>
          <t>acoa-apeca</t>
        </is>
      </c>
      <c r="Y4348" t="inlineStr">
        <is>
          <t>Atlantic Canada Opportunities Agency | Agence de promotion économique du Canada atlantique</t>
        </is>
      </c>
    </row>
    <row r="4349">
      <c r="A4349" t="inlineStr">
        <is>
          <t>T-2018-Q2-00021</t>
        </is>
      </c>
      <c r="B4349" t="inlineStr">
        <is>
          <t>SLE</t>
        </is>
      </c>
      <c r="C4349" t="inlineStr">
        <is>
          <t>Vice-President, Newfoundland and Labrador</t>
        </is>
      </c>
      <c r="D4349" t="inlineStr">
        <is>
          <t>Vice-président, Terre-Neuve-et-Labrador</t>
        </is>
      </c>
      <c r="E4349" t="inlineStr">
        <is>
          <t>Ken Martin</t>
        </is>
      </c>
      <c r="F4349" t="inlineStr">
        <is>
          <t>Attend meetings with senior government officials in Steady Brook</t>
        </is>
      </c>
      <c r="G4349" t="inlineStr">
        <is>
          <t>Assister à des réunions avec de hauts fonctionnaires à Steady Brook</t>
        </is>
      </c>
      <c r="H4349" s="1" t="n">
        <v>42926</v>
      </c>
      <c r="I4349" s="1" t="n">
        <v>42927</v>
      </c>
      <c r="J4349" t="inlineStr">
        <is>
          <t>Steady Brook, Newfoundland and Labrador</t>
        </is>
      </c>
      <c r="K4349" t="inlineStr">
        <is>
          <t>Steady Brook (Terre-Neuve-et-Labrador)</t>
        </is>
      </c>
      <c r="P4349" t="n">
        <v>797.5599999999999</v>
      </c>
      <c r="Q4349" t="n">
        <v>159.23</v>
      </c>
      <c r="R4349" t="n">
        <v>171.35</v>
      </c>
      <c r="S4349" t="n">
        <v>115.75</v>
      </c>
      <c r="T4349" t="n">
        <v>32</v>
      </c>
      <c r="U4349" t="n">
        <v>1275.89</v>
      </c>
      <c r="X4349" t="inlineStr">
        <is>
          <t>acoa-apeca</t>
        </is>
      </c>
      <c r="Y4349" t="inlineStr">
        <is>
          <t>Atlantic Canada Opportunities Agency | Agence de promotion économique du Canada atlantique</t>
        </is>
      </c>
    </row>
    <row r="4350">
      <c r="A4350" t="inlineStr">
        <is>
          <t>T-2018-Q2-00020</t>
        </is>
      </c>
      <c r="B4350" t="inlineStr">
        <is>
          <t>SLE</t>
        </is>
      </c>
      <c r="C4350" t="inlineStr">
        <is>
          <t>Vice-President, Policy and Programs</t>
        </is>
      </c>
      <c r="D4350" t="inlineStr">
        <is>
          <t>Vice-président, Politiques et Programmes</t>
        </is>
      </c>
      <c r="E4350" t="inlineStr">
        <is>
          <t>Daryell Nowlan</t>
        </is>
      </c>
      <c r="F4350" t="inlineStr">
        <is>
          <t>Meetings with Government of Canada, provincial government and industry officials</t>
        </is>
      </c>
      <c r="G4350" t="inlineStr">
        <is>
          <t>Réunions avec des fonctionnaires des gouvernements fédéral et provincial et des représentants de l'industrie</t>
        </is>
      </c>
      <c r="H4350" s="1" t="n">
        <v>42926</v>
      </c>
      <c r="I4350" s="1" t="n">
        <v>42930</v>
      </c>
      <c r="J4350" t="inlineStr">
        <is>
          <t>Steady Brook, Newfoundland and Labrador and St. John's, Newfoundland and Labrador</t>
        </is>
      </c>
      <c r="K4350" t="inlineStr">
        <is>
          <t>Steady Brook (Terre-Neuve-et-Labrador) et St. John's (Terre-Neuve-et-Labrador)</t>
        </is>
      </c>
      <c r="P4350" t="n">
        <v>2220.94</v>
      </c>
      <c r="Q4350" t="n">
        <v>204.97</v>
      </c>
      <c r="R4350" t="n">
        <v>765.63</v>
      </c>
      <c r="S4350" t="n">
        <v>359.65</v>
      </c>
      <c r="T4350" t="n">
        <v>0</v>
      </c>
      <c r="U4350" t="n">
        <v>3551.19</v>
      </c>
      <c r="X4350" t="inlineStr">
        <is>
          <t>acoa-apeca</t>
        </is>
      </c>
      <c r="Y4350" t="inlineStr">
        <is>
          <t>Atlantic Canada Opportunities Agency | Agence de promotion économique du Canada atlantique</t>
        </is>
      </c>
    </row>
    <row r="4351">
      <c r="A4351" t="inlineStr">
        <is>
          <t>T-2018-Q2-00019</t>
        </is>
      </c>
      <c r="B4351" t="inlineStr">
        <is>
          <t>SLE</t>
        </is>
      </c>
      <c r="C4351" t="inlineStr">
        <is>
          <t>Vice-President, Prince Edward Island</t>
        </is>
      </c>
      <c r="D4351" t="inlineStr">
        <is>
          <t>Vice-président, Île-du-Prince-Édouard</t>
        </is>
      </c>
      <c r="E4351" t="inlineStr">
        <is>
          <t>Patrick Dorsey</t>
        </is>
      </c>
      <c r="F4351" t="inlineStr">
        <is>
          <t>Meetings of the AGS Leadership Committee</t>
        </is>
      </c>
      <c r="G4351" t="inlineStr">
        <is>
          <t>Réunions avec le Comité de direction de la SCA</t>
        </is>
      </c>
      <c r="H4351" s="1" t="n">
        <v>42926</v>
      </c>
      <c r="I4351" s="1" t="n">
        <v>42928</v>
      </c>
      <c r="J4351" t="inlineStr">
        <is>
          <t>Corner Brook, Newfoundland and Labrador</t>
        </is>
      </c>
      <c r="K4351" t="inlineStr">
        <is>
          <t>Corner Brook (Terre-Neuve-et-Labrador)</t>
        </is>
      </c>
      <c r="P4351" t="n">
        <v>1014.59</v>
      </c>
      <c r="Q4351" t="n">
        <v>45</v>
      </c>
      <c r="R4351" t="n">
        <v>489.3</v>
      </c>
      <c r="S4351" t="n">
        <v>213.45</v>
      </c>
      <c r="T4351" t="n">
        <v>0</v>
      </c>
      <c r="U4351" t="n">
        <v>1762.34</v>
      </c>
      <c r="X4351" t="inlineStr">
        <is>
          <t>acoa-apeca</t>
        </is>
      </c>
      <c r="Y4351" t="inlineStr">
        <is>
          <t>Atlantic Canada Opportunities Agency | Agence de promotion économique du Canada atlantique</t>
        </is>
      </c>
    </row>
    <row r="4352">
      <c r="A4352" t="inlineStr">
        <is>
          <t>T-2018-Q2-00012</t>
        </is>
      </c>
      <c r="B4352" t="inlineStr">
        <is>
          <t>SLE</t>
        </is>
      </c>
      <c r="C4352" t="inlineStr">
        <is>
          <t>Vice-President, Policy and Programs</t>
        </is>
      </c>
      <c r="D4352" t="inlineStr">
        <is>
          <t>Vice-président, Politiques et Programmes</t>
        </is>
      </c>
      <c r="E4352" t="inlineStr">
        <is>
          <t>Daryell Nowlan</t>
        </is>
      </c>
      <c r="F4352" t="inlineStr">
        <is>
          <t>Meetings with Government of Canada officials</t>
        </is>
      </c>
      <c r="G4352" t="inlineStr">
        <is>
          <t>Réunions avec des fonctionnaires du gouvernement du Canada</t>
        </is>
      </c>
      <c r="H4352" s="1" t="n">
        <v>42906</v>
      </c>
      <c r="I4352" s="1" t="n">
        <v>42909</v>
      </c>
      <c r="J4352" t="inlineStr">
        <is>
          <t>Halifax, Nova Scotia and Ottawa, Ontario</t>
        </is>
      </c>
      <c r="K4352" t="inlineStr">
        <is>
          <t>Halifax (Nouvelle-Écosse) et Ottawa (Ontario)</t>
        </is>
      </c>
      <c r="P4352" t="n">
        <v>692.3</v>
      </c>
      <c r="Q4352" t="n">
        <v>65.23</v>
      </c>
      <c r="R4352" t="n">
        <v>691.73</v>
      </c>
      <c r="S4352" t="n">
        <v>243.15</v>
      </c>
      <c r="T4352" t="n">
        <v>0</v>
      </c>
      <c r="U4352" t="n">
        <v>1692.41</v>
      </c>
      <c r="X4352" t="inlineStr">
        <is>
          <t>acoa-apeca</t>
        </is>
      </c>
      <c r="Y4352" t="inlineStr">
        <is>
          <t>Atlantic Canada Opportunities Agency | Agence de promotion économique du Canada atlantique</t>
        </is>
      </c>
    </row>
    <row r="4353">
      <c r="A4353" t="inlineStr">
        <is>
          <t>T-2018-Q2-00018</t>
        </is>
      </c>
      <c r="B4353" t="inlineStr">
        <is>
          <t>SLE</t>
        </is>
      </c>
      <c r="C4353" t="inlineStr">
        <is>
          <t>President</t>
        </is>
      </c>
      <c r="D4353" t="inlineStr">
        <is>
          <t>Président</t>
        </is>
      </c>
      <c r="E4353" t="inlineStr">
        <is>
          <t>Francis McGuire</t>
        </is>
      </c>
      <c r="F4353" t="inlineStr">
        <is>
          <t>For various meetings and discussions with Agency officials, Government of Canada officials, Provincial Government officials and key stakeholders</t>
        </is>
      </c>
      <c r="G4353" t="inlineStr">
        <is>
          <t>Diverses réunions et discussions avec des fonctionnaires de l'Agence, des fonctionnaires du gouvernement du Canada, des fonctionnaires du gouvernement provincial et des intervenants clés</t>
        </is>
      </c>
      <c r="H4353" s="1" t="n">
        <v>42920</v>
      </c>
      <c r="I4353" s="1" t="n">
        <v>42922</v>
      </c>
      <c r="J4353" t="inlineStr">
        <is>
          <t>Saint John, New Brunswick and Summerside, Prince Edward Island</t>
        </is>
      </c>
      <c r="K4353" t="inlineStr">
        <is>
          <t>Saint John (Nouveau-Brunswick) et Summerside (Île-du-Prince-Édouard)</t>
        </is>
      </c>
      <c r="P4353" t="n">
        <v>0</v>
      </c>
      <c r="Q4353" t="n">
        <v>0</v>
      </c>
      <c r="R4353" t="n">
        <v>406.87</v>
      </c>
      <c r="S4353" t="n">
        <v>214.2</v>
      </c>
      <c r="T4353" t="n">
        <v>268.16</v>
      </c>
      <c r="U4353" t="n">
        <v>889.23</v>
      </c>
      <c r="X4353" t="inlineStr">
        <is>
          <t>acoa-apeca</t>
        </is>
      </c>
      <c r="Y4353" t="inlineStr">
        <is>
          <t>Atlantic Canada Opportunities Agency | Agence de promotion économique du Canada atlantique</t>
        </is>
      </c>
    </row>
    <row r="4354">
      <c r="A4354" t="inlineStr">
        <is>
          <t>T-2018-Q2-00017</t>
        </is>
      </c>
      <c r="B4354" t="inlineStr">
        <is>
          <t>SLE</t>
        </is>
      </c>
      <c r="C4354" t="inlineStr">
        <is>
          <t>President</t>
        </is>
      </c>
      <c r="D4354" t="inlineStr">
        <is>
          <t>Président</t>
        </is>
      </c>
      <c r="E4354" t="inlineStr">
        <is>
          <t>Francis McGuire</t>
        </is>
      </c>
      <c r="F4354" t="inlineStr">
        <is>
          <t>For a meeting and discussion with Agency official and key stakeholders</t>
        </is>
      </c>
      <c r="G4354" t="inlineStr">
        <is>
          <t>Réunion et discussion avec un fonctionnaire de l'Agence et des intervenants clés</t>
        </is>
      </c>
      <c r="H4354" s="1" t="n">
        <v>42914</v>
      </c>
      <c r="I4354" s="1" t="n">
        <v>42914</v>
      </c>
      <c r="J4354" t="inlineStr">
        <is>
          <t>Saint John, New Brunswick</t>
        </is>
      </c>
      <c r="K4354" t="inlineStr">
        <is>
          <t>Saint John (Nouveau-Brunswick)</t>
        </is>
      </c>
      <c r="P4354" t="n">
        <v>0</v>
      </c>
      <c r="Q4354" t="n">
        <v>0</v>
      </c>
      <c r="R4354" t="n">
        <v>0</v>
      </c>
      <c r="S4354" t="n">
        <v>18.05</v>
      </c>
      <c r="T4354" t="n">
        <v>0</v>
      </c>
      <c r="U4354" t="n">
        <v>18.05</v>
      </c>
      <c r="X4354" t="inlineStr">
        <is>
          <t>acoa-apeca</t>
        </is>
      </c>
      <c r="Y4354" t="inlineStr">
        <is>
          <t>Atlantic Canada Opportunities Agency | Agence de promotion économique du Canada atlantique</t>
        </is>
      </c>
    </row>
    <row r="4355">
      <c r="A4355" t="inlineStr">
        <is>
          <t>T-2018-Q2-00007</t>
        </is>
      </c>
      <c r="B4355" t="inlineStr">
        <is>
          <t>SLE</t>
        </is>
      </c>
      <c r="C4355" t="inlineStr">
        <is>
          <t>Vice-President, Prince Edward Island</t>
        </is>
      </c>
      <c r="D4355" t="inlineStr">
        <is>
          <t>Vice-président, Île-du-Prince-Édouard</t>
        </is>
      </c>
      <c r="E4355" t="inlineStr">
        <is>
          <t>Patrick Dorsey</t>
        </is>
      </c>
      <c r="F4355" t="inlineStr">
        <is>
          <t>ICD evaluation</t>
        </is>
      </c>
      <c r="G4355" t="inlineStr">
        <is>
          <t>Évaluation de l'IAS</t>
        </is>
      </c>
      <c r="H4355" s="1" t="n">
        <v>42898</v>
      </c>
      <c r="I4355" s="1" t="n">
        <v>42899</v>
      </c>
      <c r="J4355" t="inlineStr">
        <is>
          <t>Toronto, Ontario</t>
        </is>
      </c>
      <c r="K4355" t="inlineStr">
        <is>
          <t>Toronto (Ontario)</t>
        </is>
      </c>
      <c r="P4355" t="n">
        <v>881.49</v>
      </c>
      <c r="Q4355" t="n">
        <v>56.29</v>
      </c>
      <c r="R4355" t="n">
        <v>230.34</v>
      </c>
      <c r="S4355" t="n">
        <v>179.75</v>
      </c>
      <c r="T4355" t="n">
        <v>0</v>
      </c>
      <c r="U4355" t="n">
        <v>1347.87</v>
      </c>
      <c r="X4355" t="inlineStr">
        <is>
          <t>acoa-apeca</t>
        </is>
      </c>
      <c r="Y4355" t="inlineStr">
        <is>
          <t>Atlantic Canada Opportunities Agency | Agence de promotion économique du Canada atlantique</t>
        </is>
      </c>
    </row>
    <row r="4356">
      <c r="A4356" t="inlineStr">
        <is>
          <t>T-2018-Q2-00016</t>
        </is>
      </c>
      <c r="B4356" t="inlineStr">
        <is>
          <t>SLE</t>
        </is>
      </c>
      <c r="C4356" t="inlineStr">
        <is>
          <t>Vice President, Finance and Corporate Services</t>
        </is>
      </c>
      <c r="D4356" t="inlineStr">
        <is>
          <t>Vice-présidente, Finances et Services corporatifs</t>
        </is>
      </c>
      <c r="E4356" t="inlineStr">
        <is>
          <t>Denise Frenette</t>
        </is>
      </c>
      <c r="F4356" t="inlineStr">
        <is>
          <t>Meeting with Government of Canada officials, provincial government officials and private sector officials</t>
        </is>
      </c>
      <c r="G4356" t="inlineStr">
        <is>
          <t xml:space="preserve">Réunion avec des fonctionnaires des gouvernements fédéral et provincial et des représentants du secteur privé </t>
        </is>
      </c>
      <c r="H4356" s="1" t="n">
        <v>42925</v>
      </c>
      <c r="I4356" s="1" t="n">
        <v>42926</v>
      </c>
      <c r="J4356" t="inlineStr">
        <is>
          <t>Halifax, Nova Scotia</t>
        </is>
      </c>
      <c r="K4356" t="inlineStr">
        <is>
          <t>Halifax (Nouvelle-Écosse)</t>
        </is>
      </c>
      <c r="P4356" t="n">
        <v>0</v>
      </c>
      <c r="Q4356" t="n">
        <v>0</v>
      </c>
      <c r="R4356" t="n">
        <v>209.97</v>
      </c>
      <c r="S4356" t="n">
        <v>143.65</v>
      </c>
      <c r="T4356" t="n">
        <v>0</v>
      </c>
      <c r="U4356" t="n">
        <v>353.62</v>
      </c>
      <c r="X4356" t="inlineStr">
        <is>
          <t>acoa-apeca</t>
        </is>
      </c>
      <c r="Y4356" t="inlineStr">
        <is>
          <t>Atlantic Canada Opportunities Agency | Agence de promotion économique du Canada atlantique</t>
        </is>
      </c>
    </row>
    <row r="4357">
      <c r="A4357" t="inlineStr">
        <is>
          <t>T-2018-Q2-00015</t>
        </is>
      </c>
      <c r="B4357" t="inlineStr">
        <is>
          <t>SLE</t>
        </is>
      </c>
      <c r="C4357" t="inlineStr">
        <is>
          <t>Vice President, Finance and Corporate Services</t>
        </is>
      </c>
      <c r="D4357" t="inlineStr">
        <is>
          <t>Vice-présidente, Finances et Services corporatifs</t>
        </is>
      </c>
      <c r="E4357" t="inlineStr">
        <is>
          <t>Denise Frenette</t>
        </is>
      </c>
      <c r="F4357" t="inlineStr">
        <is>
          <t>Meeting with Government of Canada officials, provincial government officials and private sector officials</t>
        </is>
      </c>
      <c r="G4357" t="inlineStr">
        <is>
          <t xml:space="preserve">Réunion avec des fonctionnaires des gouvernements fédéral et provincial et des représentants du secteur privé </t>
        </is>
      </c>
      <c r="H4357" s="1" t="n">
        <v>42924</v>
      </c>
      <c r="I4357" s="1" t="n">
        <v>42925</v>
      </c>
      <c r="J4357" t="inlineStr">
        <is>
          <t>Halifax, Nova Scotia</t>
        </is>
      </c>
      <c r="K4357" t="inlineStr">
        <is>
          <t>Halifax (Nouvelle-Écosse)</t>
        </is>
      </c>
      <c r="P4357" t="n">
        <v>0</v>
      </c>
      <c r="Q4357" t="n">
        <v>0</v>
      </c>
      <c r="R4357" t="n">
        <v>238.72</v>
      </c>
      <c r="S4357" t="n">
        <v>97.7</v>
      </c>
      <c r="T4357" t="n">
        <v>8</v>
      </c>
      <c r="U4357" t="n">
        <v>344.42</v>
      </c>
      <c r="X4357" t="inlineStr">
        <is>
          <t>acoa-apeca</t>
        </is>
      </c>
      <c r="Y4357" t="inlineStr">
        <is>
          <t>Atlantic Canada Opportunities Agency | Agence de promotion économique du Canada atlantique</t>
        </is>
      </c>
    </row>
    <row r="4358">
      <c r="A4358" t="inlineStr">
        <is>
          <t>T-2018-Q2-00014</t>
        </is>
      </c>
      <c r="B4358" t="inlineStr">
        <is>
          <t>SLE</t>
        </is>
      </c>
      <c r="C4358" t="inlineStr">
        <is>
          <t>Vice-President, Policy and Programs</t>
        </is>
      </c>
      <c r="D4358" t="inlineStr">
        <is>
          <t>Vice-président, Politiques et Programmes</t>
        </is>
      </c>
      <c r="E4358" t="inlineStr">
        <is>
          <t>Daryell Nowlan</t>
        </is>
      </c>
      <c r="F4358" t="inlineStr">
        <is>
          <t>Meeting with Government of Canada officials and private sector officials</t>
        </is>
      </c>
      <c r="G4358" t="inlineStr">
        <is>
          <t>Réunion avec des fonctionnaires du gouvernement du Canada et des représentants du secteur privé</t>
        </is>
      </c>
      <c r="H4358" s="1" t="n">
        <v>42920</v>
      </c>
      <c r="I4358" s="1" t="n">
        <v>42920</v>
      </c>
      <c r="J4358" t="inlineStr">
        <is>
          <t>Saint John, New Brunswick</t>
        </is>
      </c>
      <c r="K4358" t="inlineStr">
        <is>
          <t>Saint John (Nouveau-Brunswick)</t>
        </is>
      </c>
      <c r="P4358" t="n">
        <v>0</v>
      </c>
      <c r="Q4358" t="n">
        <v>0</v>
      </c>
      <c r="R4358" t="n">
        <v>0</v>
      </c>
      <c r="S4358" t="n">
        <v>64</v>
      </c>
      <c r="T4358" t="n">
        <v>0</v>
      </c>
      <c r="U4358" t="n">
        <v>64</v>
      </c>
      <c r="X4358" t="inlineStr">
        <is>
          <t>acoa-apeca</t>
        </is>
      </c>
      <c r="Y4358" t="inlineStr">
        <is>
          <t>Atlantic Canada Opportunities Agency | Agence de promotion économique du Canada atlantique</t>
        </is>
      </c>
    </row>
    <row r="4359">
      <c r="A4359" t="inlineStr">
        <is>
          <t>T-2018-Q2-00013</t>
        </is>
      </c>
      <c r="B4359" t="inlineStr">
        <is>
          <t>SLE</t>
        </is>
      </c>
      <c r="C4359" t="inlineStr">
        <is>
          <t>Vice-President, Policy and Programs</t>
        </is>
      </c>
      <c r="D4359" t="inlineStr">
        <is>
          <t>Vice-président, Politiques et Programmes</t>
        </is>
      </c>
      <c r="E4359" t="inlineStr">
        <is>
          <t>Daryell Nowlan</t>
        </is>
      </c>
      <c r="F4359" t="inlineStr">
        <is>
          <t>Meeting with private sector officials</t>
        </is>
      </c>
      <c r="G4359" t="inlineStr">
        <is>
          <t>Réunion avec des représentants du secteur privé</t>
        </is>
      </c>
      <c r="H4359" s="1" t="n">
        <v>42914</v>
      </c>
      <c r="I4359" s="1" t="n">
        <v>42914</v>
      </c>
      <c r="J4359" t="inlineStr">
        <is>
          <t>Saint John, New Brunswick</t>
        </is>
      </c>
      <c r="K4359" t="inlineStr">
        <is>
          <t>Saint John (Nouveau-Brunswick)</t>
        </is>
      </c>
      <c r="P4359" t="n">
        <v>0</v>
      </c>
      <c r="Q4359" t="n">
        <v>130.25</v>
      </c>
      <c r="R4359" t="n">
        <v>0</v>
      </c>
      <c r="S4359" t="n">
        <v>18.05</v>
      </c>
      <c r="T4359" t="n">
        <v>0</v>
      </c>
      <c r="U4359" t="n">
        <v>148.3</v>
      </c>
      <c r="X4359" t="inlineStr">
        <is>
          <t>acoa-apeca</t>
        </is>
      </c>
      <c r="Y4359" t="inlineStr">
        <is>
          <t>Atlantic Canada Opportunities Agency | Agence de promotion économique du Canada atlantique</t>
        </is>
      </c>
    </row>
    <row r="4360">
      <c r="A4360" t="inlineStr">
        <is>
          <t>T-2018-Q2-00011</t>
        </is>
      </c>
      <c r="B4360" t="inlineStr">
        <is>
          <t>SLE</t>
        </is>
      </c>
      <c r="C4360" t="inlineStr">
        <is>
          <t>President</t>
        </is>
      </c>
      <c r="D4360" t="inlineStr">
        <is>
          <t>Président</t>
        </is>
      </c>
      <c r="E4360" t="inlineStr">
        <is>
          <t>Francis McGuire</t>
        </is>
      </c>
      <c r="F4360" t="inlineStr">
        <is>
          <t>For various meetings and discussions with Agency officials, Government of Canada officials and key stakeholders</t>
        </is>
      </c>
      <c r="G4360" t="inlineStr">
        <is>
          <t>Diverses réunions et discussions avec des fonctionnaires de l'Agence, des fonctionnaires du gouvernement du Canada et des intervenants clés</t>
        </is>
      </c>
      <c r="H4360" s="1" t="n">
        <v>42906</v>
      </c>
      <c r="I4360" s="1" t="n">
        <v>42909</v>
      </c>
      <c r="J4360" t="inlineStr">
        <is>
          <t>Halifax, Nova Scotia and Ottawa, Ontario</t>
        </is>
      </c>
      <c r="K4360" t="inlineStr">
        <is>
          <t>Halifax (Nouvelle-Écosse) et Ottawa (Ontario)</t>
        </is>
      </c>
      <c r="P4360" t="n">
        <v>748.1</v>
      </c>
      <c r="Q4360" t="n">
        <v>275.73</v>
      </c>
      <c r="R4360" t="n">
        <v>682.34</v>
      </c>
      <c r="S4360" t="n">
        <v>304.45</v>
      </c>
      <c r="T4360" t="n">
        <v>25.3</v>
      </c>
      <c r="U4360" t="n">
        <v>2035.92</v>
      </c>
      <c r="X4360" t="inlineStr">
        <is>
          <t>acoa-apeca</t>
        </is>
      </c>
      <c r="Y4360" t="inlineStr">
        <is>
          <t>Atlantic Canada Opportunities Agency | Agence de promotion économique du Canada atlantique</t>
        </is>
      </c>
    </row>
    <row r="4361">
      <c r="A4361" t="inlineStr">
        <is>
          <t>T-2018-Q2-00009</t>
        </is>
      </c>
      <c r="B4361" t="inlineStr">
        <is>
          <t>SLE</t>
        </is>
      </c>
      <c r="C4361" t="inlineStr">
        <is>
          <t>Vice-President, Prince Edward Island</t>
        </is>
      </c>
      <c r="D4361" t="inlineStr">
        <is>
          <t>Vice-président, Île-du-Prince-Édouard</t>
        </is>
      </c>
      <c r="E4361" t="inlineStr">
        <is>
          <t>Patrick Dorsey</t>
        </is>
      </c>
      <c r="F4361" t="inlineStr">
        <is>
          <t>Meetings with Government of Canada officials</t>
        </is>
      </c>
      <c r="G4361" t="inlineStr">
        <is>
          <t>Réunions avec des fonctionnaires du gouvernement du Canada</t>
        </is>
      </c>
      <c r="H4361" s="1" t="n">
        <v>42907</v>
      </c>
      <c r="I4361" s="1" t="n">
        <v>42908</v>
      </c>
      <c r="J4361" t="inlineStr">
        <is>
          <t>Ottawa, Ontario</t>
        </is>
      </c>
      <c r="K4361" t="inlineStr">
        <is>
          <t>Ottawa (Ontario)</t>
        </is>
      </c>
      <c r="P4361" t="n">
        <v>644.21</v>
      </c>
      <c r="Q4361" t="n">
        <v>54.03</v>
      </c>
      <c r="R4361" t="n">
        <v>219.98</v>
      </c>
      <c r="S4361" t="n">
        <v>143.65</v>
      </c>
      <c r="T4361" t="n">
        <v>0</v>
      </c>
      <c r="U4361" t="n">
        <v>1061.87</v>
      </c>
      <c r="X4361" t="inlineStr">
        <is>
          <t>acoa-apeca</t>
        </is>
      </c>
      <c r="Y4361" t="inlineStr">
        <is>
          <t>Atlantic Canada Opportunities Agency | Agence de promotion économique du Canada atlantique</t>
        </is>
      </c>
    </row>
    <row r="4362">
      <c r="A4362" t="inlineStr">
        <is>
          <t>T-2018-Q2-00006</t>
        </is>
      </c>
      <c r="B4362" t="inlineStr">
        <is>
          <t>SLE</t>
        </is>
      </c>
      <c r="C4362" t="inlineStr">
        <is>
          <t>Vice-President, Policy and Programs</t>
        </is>
      </c>
      <c r="D4362" t="inlineStr">
        <is>
          <t>Vice-président, Politiques et Programmes</t>
        </is>
      </c>
      <c r="E4362" t="inlineStr">
        <is>
          <t>Daryell Nowlan</t>
        </is>
      </c>
      <c r="F4362" t="inlineStr">
        <is>
          <t>Meetings with Government of Canada officials</t>
        </is>
      </c>
      <c r="G4362" t="inlineStr">
        <is>
          <t>Réunions avec des fonctionnaires du gouvernement du Canada</t>
        </is>
      </c>
      <c r="H4362" s="1" t="n">
        <v>42899</v>
      </c>
      <c r="I4362" s="1" t="n">
        <v>42900</v>
      </c>
      <c r="J4362" t="inlineStr">
        <is>
          <t>Ottawa, Ontario</t>
        </is>
      </c>
      <c r="K4362" t="inlineStr">
        <is>
          <t>Ottawa (Ontario)</t>
        </is>
      </c>
      <c r="P4362" t="n">
        <v>1384.6</v>
      </c>
      <c r="Q4362" t="n">
        <v>81</v>
      </c>
      <c r="R4362" t="n">
        <v>579.62</v>
      </c>
      <c r="S4362" t="n">
        <v>323.4</v>
      </c>
      <c r="T4362" t="n">
        <v>0</v>
      </c>
      <c r="U4362" t="n">
        <v>2368.62</v>
      </c>
      <c r="X4362" t="inlineStr">
        <is>
          <t>acoa-apeca</t>
        </is>
      </c>
      <c r="Y4362" t="inlineStr">
        <is>
          <t>Atlantic Canada Opportunities Agency | Agence de promotion économique du Canada atlantique</t>
        </is>
      </c>
    </row>
    <row r="4363">
      <c r="A4363" t="inlineStr">
        <is>
          <t>T-2018-Q2-00005</t>
        </is>
      </c>
      <c r="B4363" t="inlineStr">
        <is>
          <t>SLE</t>
        </is>
      </c>
      <c r="C4363" t="inlineStr">
        <is>
          <t>President</t>
        </is>
      </c>
      <c r="D4363" t="inlineStr">
        <is>
          <t>Président</t>
        </is>
      </c>
      <c r="E4363" t="inlineStr">
        <is>
          <t>Francis McGuire</t>
        </is>
      </c>
      <c r="F4363" t="inlineStr">
        <is>
          <t>For various meetings and discussions with Agency officials and Government of Canada officials</t>
        </is>
      </c>
      <c r="G4363" t="inlineStr">
        <is>
          <t>Diverses réunions et discussions avec des fonctionnaires de l'Agence et des fonctionnaires du gouvernement du Canada</t>
        </is>
      </c>
      <c r="H4363" s="1" t="n">
        <v>42899</v>
      </c>
      <c r="I4363" s="1" t="n">
        <v>42900</v>
      </c>
      <c r="J4363" t="inlineStr">
        <is>
          <t>Ottawa, Ontario</t>
        </is>
      </c>
      <c r="K4363" t="inlineStr">
        <is>
          <t>Ottawa (Ontario)</t>
        </is>
      </c>
      <c r="P4363" t="n">
        <v>647.74</v>
      </c>
      <c r="Q4363" t="n">
        <v>0</v>
      </c>
      <c r="R4363" t="n">
        <v>161.7</v>
      </c>
      <c r="S4363" t="n">
        <v>231.62</v>
      </c>
      <c r="T4363" t="n">
        <v>25.3</v>
      </c>
      <c r="U4363" t="n">
        <v>1066.36</v>
      </c>
      <c r="X4363" t="inlineStr">
        <is>
          <t>acoa-apeca</t>
        </is>
      </c>
      <c r="Y4363" t="inlineStr">
        <is>
          <t>Atlantic Canada Opportunities Agency | Agence de promotion économique du Canada atlantique</t>
        </is>
      </c>
    </row>
    <row r="4364">
      <c r="A4364" t="inlineStr">
        <is>
          <t>T-2018-Q2-00004</t>
        </is>
      </c>
      <c r="B4364" t="inlineStr">
        <is>
          <t>SLE</t>
        </is>
      </c>
      <c r="C4364" t="inlineStr">
        <is>
          <t>President</t>
        </is>
      </c>
      <c r="D4364" t="inlineStr">
        <is>
          <t>Président</t>
        </is>
      </c>
      <c r="E4364" t="inlineStr">
        <is>
          <t>Francis McGuire</t>
        </is>
      </c>
      <c r="F4364" t="inlineStr">
        <is>
          <t>For various meetings and discussions with Agency officials and Provincial Government officials</t>
        </is>
      </c>
      <c r="G4364" t="inlineStr">
        <is>
          <t>Diverses réunions et discussions avec des fonctionnaires de l'Agence et des fonctionnaires du gouvernement provincial</t>
        </is>
      </c>
      <c r="H4364" s="1" t="n">
        <v>42901</v>
      </c>
      <c r="I4364" s="1" t="n">
        <v>42902</v>
      </c>
      <c r="J4364" t="inlineStr">
        <is>
          <t>Charlottetown and Summerside, Prince Edward Island</t>
        </is>
      </c>
      <c r="K4364" t="inlineStr">
        <is>
          <t>Charlottetown et Summerside (Île-du-Prince-Édouard)</t>
        </is>
      </c>
      <c r="P4364" t="n">
        <v>0</v>
      </c>
      <c r="Q4364" t="n">
        <v>0</v>
      </c>
      <c r="R4364" t="n">
        <v>259.41</v>
      </c>
      <c r="S4364" t="n">
        <v>97.7</v>
      </c>
      <c r="T4364" t="n">
        <v>191.9</v>
      </c>
      <c r="U4364" t="n">
        <v>549.01</v>
      </c>
      <c r="X4364" t="inlineStr">
        <is>
          <t>acoa-apeca</t>
        </is>
      </c>
      <c r="Y4364" t="inlineStr">
        <is>
          <t>Atlantic Canada Opportunities Agency | Agence de promotion économique du Canada atlantique</t>
        </is>
      </c>
    </row>
    <row r="4365">
      <c r="A4365" t="inlineStr">
        <is>
          <t>T-2018-Q2-00003</t>
        </is>
      </c>
      <c r="B4365" t="inlineStr">
        <is>
          <t>SLE</t>
        </is>
      </c>
      <c r="C4365" t="inlineStr">
        <is>
          <t>Vice-President, New Brunswick</t>
        </is>
      </c>
      <c r="D4365" t="inlineStr">
        <is>
          <t>Vice-président, Nouveau-Brunswick</t>
        </is>
      </c>
      <c r="E4365" t="inlineStr">
        <is>
          <t>Kent Estabrooks</t>
        </is>
      </c>
      <c r="F4365" t="inlineStr">
        <is>
          <t>Training and development / Various  meetings with Government of Canada officials</t>
        </is>
      </c>
      <c r="G4365" t="inlineStr">
        <is>
          <t>Formation et perfectionnement / diverses réunions avec des fonctionnaires fédéraux_x005f_x000D_</t>
        </is>
      </c>
      <c r="H4365" s="1" t="n">
        <v>42890</v>
      </c>
      <c r="I4365" s="1" t="n">
        <v>42894</v>
      </c>
      <c r="J4365" t="inlineStr">
        <is>
          <t>Ottawa, Ontario</t>
        </is>
      </c>
      <c r="K4365" t="inlineStr">
        <is>
          <t>Ottawa (Ontario)</t>
        </is>
      </c>
      <c r="P4365" t="n">
        <v>678.5</v>
      </c>
      <c r="Q4365" t="n">
        <v>118.38</v>
      </c>
      <c r="R4365" t="n">
        <v>926.48</v>
      </c>
      <c r="S4365" t="n">
        <v>288.35</v>
      </c>
      <c r="T4365" t="n">
        <v>17.39</v>
      </c>
      <c r="U4365" t="n">
        <v>2029.1</v>
      </c>
      <c r="X4365" t="inlineStr">
        <is>
          <t>acoa-apeca</t>
        </is>
      </c>
      <c r="Y4365" t="inlineStr">
        <is>
          <t>Atlantic Canada Opportunities Agency | Agence de promotion économique du Canada atlantique</t>
        </is>
      </c>
    </row>
    <row r="4366">
      <c r="A4366" t="inlineStr">
        <is>
          <t>T-2018-Q2-00002</t>
        </is>
      </c>
      <c r="B4366" t="inlineStr">
        <is>
          <t>SLE</t>
        </is>
      </c>
      <c r="C4366" t="inlineStr">
        <is>
          <t>Acting President</t>
        </is>
      </c>
      <c r="D4366" t="inlineStr">
        <is>
          <t>Président par intérim</t>
        </is>
      </c>
      <c r="E4366" t="inlineStr">
        <is>
          <t>Daryell Nowlan</t>
        </is>
      </c>
      <c r="F4366" t="inlineStr">
        <is>
          <t>For various meetings and discussions with Agency officials and Government of Canada officials</t>
        </is>
      </c>
      <c r="G4366" t="inlineStr">
        <is>
          <t>Diverses réunions et discussions avec des fonctionnaires de l'Agence et du gouvernement du Canada</t>
        </is>
      </c>
      <c r="H4366" s="1" t="n">
        <v>42891</v>
      </c>
      <c r="I4366" s="1" t="n">
        <v>42893</v>
      </c>
      <c r="J4366" t="inlineStr">
        <is>
          <t>Ottawa, Ontario</t>
        </is>
      </c>
      <c r="K4366" t="inlineStr">
        <is>
          <t>Ottawa (Ontario)</t>
        </is>
      </c>
      <c r="P4366" t="n">
        <v>657.9400000000001</v>
      </c>
      <c r="Q4366" t="n">
        <v>104</v>
      </c>
      <c r="R4366" t="n">
        <v>579.62</v>
      </c>
      <c r="S4366" t="n">
        <v>224.95</v>
      </c>
      <c r="T4366" t="n">
        <v>113</v>
      </c>
      <c r="U4366" t="n">
        <v>1679.51</v>
      </c>
      <c r="X4366" t="inlineStr">
        <is>
          <t>acoa-apeca</t>
        </is>
      </c>
      <c r="Y4366" t="inlineStr">
        <is>
          <t>Atlantic Canada Opportunities Agency | Agence de promotion économique du Canada atlantique</t>
        </is>
      </c>
    </row>
    <row r="4367">
      <c r="A4367" t="inlineStr">
        <is>
          <t>T-2018-Q3-00070</t>
        </is>
      </c>
      <c r="B4367" t="inlineStr">
        <is>
          <t>SLE</t>
        </is>
      </c>
      <c r="C4367" t="inlineStr">
        <is>
          <t>Vice-President, New Brunswick</t>
        </is>
      </c>
      <c r="D4367" t="inlineStr">
        <is>
          <t>Vice-président, Nouveau-Brunswick</t>
        </is>
      </c>
      <c r="E4367" t="inlineStr">
        <is>
          <t>Kent Estabrooks</t>
        </is>
      </c>
      <c r="F4367" t="inlineStr">
        <is>
          <t>Meetings with various federal officials / training and development</t>
        </is>
      </c>
      <c r="G4367" t="inlineStr">
        <is>
          <t>Réunions avec divers fonctionnaires fédéraux / formation et perfectionnement</t>
        </is>
      </c>
      <c r="H4367" s="1" t="n">
        <v>43010</v>
      </c>
      <c r="I4367" s="1" t="n">
        <v>43011</v>
      </c>
      <c r="J4367" t="inlineStr">
        <is>
          <t>Ottawa, Ontario</t>
        </is>
      </c>
      <c r="K4367" t="inlineStr">
        <is>
          <t>Ottawa (Ontario)</t>
        </is>
      </c>
      <c r="P4367" t="n">
        <v>658.55</v>
      </c>
      <c r="Q4367" t="n">
        <v>123.5</v>
      </c>
      <c r="R4367" t="n">
        <v>231.62</v>
      </c>
      <c r="S4367" t="n">
        <v>148.2</v>
      </c>
      <c r="T4367" t="n">
        <v>24</v>
      </c>
      <c r="U4367" t="n">
        <v>1185.87</v>
      </c>
      <c r="X4367" t="inlineStr">
        <is>
          <t>acoa-apeca</t>
        </is>
      </c>
      <c r="Y4367" t="inlineStr">
        <is>
          <t>Atlantic Canada Opportunities Agency | Agence de promotion économique du Canada atlantique</t>
        </is>
      </c>
    </row>
    <row r="4368">
      <c r="A4368" t="inlineStr">
        <is>
          <t>T-2018-Q2-00001</t>
        </is>
      </c>
      <c r="B4368" t="inlineStr">
        <is>
          <t>SLE</t>
        </is>
      </c>
      <c r="C4368" t="inlineStr">
        <is>
          <t>Acting Vice-President, Policy and Programs</t>
        </is>
      </c>
      <c r="D4368" t="inlineStr">
        <is>
          <t>Vice-présidente, Politiques et Programmes par intérim</t>
        </is>
      </c>
      <c r="E4368" t="inlineStr">
        <is>
          <t>Denise Frenette</t>
        </is>
      </c>
      <c r="F4368" t="inlineStr">
        <is>
          <t>Meetings with Government of Canada and private sector officials</t>
        </is>
      </c>
      <c r="G4368" t="inlineStr">
        <is>
          <t xml:space="preserve">Réunions avec des fonctionnaires du gouvermement du Canada et des représentants du secteur privé </t>
        </is>
      </c>
      <c r="H4368" s="1" t="n">
        <v>42892</v>
      </c>
      <c r="I4368" s="1" t="n">
        <v>42893</v>
      </c>
      <c r="J4368" t="inlineStr">
        <is>
          <t>Halifax, Nova Scotia</t>
        </is>
      </c>
      <c r="K4368" t="inlineStr">
        <is>
          <t>Halifax (Nouvelle-Écosse)</t>
        </is>
      </c>
      <c r="P4368" t="n">
        <v>0</v>
      </c>
      <c r="Q4368" t="n">
        <v>22.94</v>
      </c>
      <c r="R4368" t="n">
        <v>222.86</v>
      </c>
      <c r="S4368" t="n">
        <v>98.59999999999999</v>
      </c>
      <c r="T4368" t="n">
        <v>0</v>
      </c>
      <c r="U4368" t="n">
        <v>344.4</v>
      </c>
      <c r="X4368" t="inlineStr">
        <is>
          <t>acoa-apeca</t>
        </is>
      </c>
      <c r="Y4368" t="inlineStr">
        <is>
          <t>Atlantic Canada Opportunities Agency | Agence de promotion économique du Canada atlantique</t>
        </is>
      </c>
    </row>
    <row r="4369">
      <c r="A4369" t="inlineStr">
        <is>
          <t>T-2018-Q1-00054</t>
        </is>
      </c>
      <c r="B4369" t="inlineStr">
        <is>
          <t>SLE</t>
        </is>
      </c>
      <c r="C4369" t="inlineStr">
        <is>
          <t>Acting Vice-President, Nova-Scotia</t>
        </is>
      </c>
      <c r="D4369" t="inlineStr">
        <is>
          <t>Vice-président par intérim, Nouvelle-Écosse</t>
        </is>
      </c>
      <c r="E4369" t="inlineStr">
        <is>
          <t>Ken Martin</t>
        </is>
      </c>
      <c r="F4369" t="inlineStr">
        <is>
          <t>Assignment in Halifax</t>
        </is>
      </c>
      <c r="G4369" t="inlineStr">
        <is>
          <t>Affectation à Halifax</t>
        </is>
      </c>
      <c r="H4369" s="1" t="n">
        <v>42887</v>
      </c>
      <c r="I4369" s="1" t="n">
        <v>42916</v>
      </c>
      <c r="J4369" t="inlineStr">
        <is>
          <t>Halifax, Nova Scotia</t>
        </is>
      </c>
      <c r="K4369" t="inlineStr">
        <is>
          <t>Halifax (Nouvelle-Écosse)</t>
        </is>
      </c>
      <c r="P4369" t="n">
        <v>5432</v>
      </c>
      <c r="Q4369" t="n">
        <v>619.96</v>
      </c>
      <c r="R4369" t="n">
        <v>6600</v>
      </c>
      <c r="S4369" t="n">
        <v>2857.1</v>
      </c>
      <c r="T4369" t="n">
        <v>0</v>
      </c>
      <c r="U4369" t="n">
        <v>15509.06</v>
      </c>
      <c r="X4369" t="inlineStr">
        <is>
          <t>acoa-apeca</t>
        </is>
      </c>
      <c r="Y4369" t="inlineStr">
        <is>
          <t>Atlantic Canada Opportunities Agency | Agence de promotion économique du Canada atlantique</t>
        </is>
      </c>
    </row>
    <row r="4370">
      <c r="A4370" t="inlineStr">
        <is>
          <t>T-2018-Q1-00045</t>
        </is>
      </c>
      <c r="B4370" t="inlineStr">
        <is>
          <t>SLE</t>
        </is>
      </c>
      <c r="C4370" t="inlineStr">
        <is>
          <t>Acting President</t>
        </is>
      </c>
      <c r="D4370" t="inlineStr">
        <is>
          <t>Président par intérim</t>
        </is>
      </c>
      <c r="E4370" t="inlineStr">
        <is>
          <t>Daryell Nowlan</t>
        </is>
      </c>
      <c r="F4370" t="inlineStr">
        <is>
          <t>For various meetings and discussions with Agency officials and Government of Canada officials</t>
        </is>
      </c>
      <c r="G4370" t="inlineStr">
        <is>
          <t>Diverses réunions et discussions avec des fonctionnaires de l'Agence et du gouvernement du Canada</t>
        </is>
      </c>
      <c r="H4370" s="1" t="n">
        <v>42884</v>
      </c>
      <c r="I4370" s="1" t="n">
        <v>42886</v>
      </c>
      <c r="J4370" t="inlineStr">
        <is>
          <t>Halifax, Nova Scotia and Ottawa, Ontario</t>
        </is>
      </c>
      <c r="K4370" t="inlineStr">
        <is>
          <t>Halifax (Nouvelle-Écosse) et Ottawa (Ontario)</t>
        </is>
      </c>
      <c r="P4370" t="n">
        <v>605.97</v>
      </c>
      <c r="Q4370" t="n">
        <v>139.39</v>
      </c>
      <c r="R4370" t="n">
        <v>441.5</v>
      </c>
      <c r="S4370" t="n">
        <v>224.95</v>
      </c>
      <c r="T4370" t="n">
        <v>232.49</v>
      </c>
      <c r="U4370" t="n">
        <v>1644.3</v>
      </c>
      <c r="X4370" t="inlineStr">
        <is>
          <t>acoa-apeca</t>
        </is>
      </c>
      <c r="Y4370" t="inlineStr">
        <is>
          <t>Atlantic Canada Opportunities Agency | Agence de promotion économique du Canada atlantique</t>
        </is>
      </c>
    </row>
    <row r="4371">
      <c r="A4371" t="inlineStr">
        <is>
          <t>T-2018-Q3-00075</t>
        </is>
      </c>
      <c r="B4371" t="inlineStr">
        <is>
          <t>SLE</t>
        </is>
      </c>
      <c r="C4371" t="inlineStr">
        <is>
          <t>Vice-President, Prince Edward Island</t>
        </is>
      </c>
      <c r="D4371" t="inlineStr">
        <is>
          <t>Vice-président, Île-du-Prince-Édouard</t>
        </is>
      </c>
      <c r="E4371" t="inlineStr">
        <is>
          <t>Patrick Dorsey</t>
        </is>
      </c>
      <c r="F4371" t="inlineStr">
        <is>
          <t>Meetings with Government of Canada officials and provincial government officials</t>
        </is>
      </c>
      <c r="G4371" t="inlineStr">
        <is>
          <t>Réunions avec des fonctionnaires des gouvernements fédéral et provincial</t>
        </is>
      </c>
      <c r="H4371" s="1" t="n">
        <v>43066</v>
      </c>
      <c r="I4371" s="1" t="n">
        <v>43067</v>
      </c>
      <c r="J4371" t="inlineStr">
        <is>
          <t>St. John's, Newfoundland</t>
        </is>
      </c>
      <c r="K4371" t="inlineStr">
        <is>
          <t>St. John's (Terre-Neuve-et-Labrador)</t>
        </is>
      </c>
      <c r="P4371" t="n">
        <v>1406.12</v>
      </c>
      <c r="Q4371" t="n">
        <v>34</v>
      </c>
      <c r="R4371" t="n">
        <v>169.65</v>
      </c>
      <c r="S4371" t="n">
        <v>205.3</v>
      </c>
      <c r="T4371" t="n">
        <v>0</v>
      </c>
      <c r="U4371" t="n">
        <v>1815.07</v>
      </c>
      <c r="X4371" t="inlineStr">
        <is>
          <t>acoa-apeca</t>
        </is>
      </c>
      <c r="Y4371" t="inlineStr">
        <is>
          <t>Atlantic Canada Opportunities Agency | Agence de promotion économique du Canada atlantique</t>
        </is>
      </c>
    </row>
    <row r="4372">
      <c r="A4372" t="inlineStr">
        <is>
          <t>T-2018-Q3-00074</t>
        </is>
      </c>
      <c r="B4372" t="inlineStr">
        <is>
          <t>SLE</t>
        </is>
      </c>
      <c r="C4372" t="inlineStr">
        <is>
          <t>Vice-President, New Brunswick</t>
        </is>
      </c>
      <c r="D4372" t="inlineStr">
        <is>
          <t>Vice-président, Nouveau-Brunswick</t>
        </is>
      </c>
      <c r="E4372" t="inlineStr">
        <is>
          <t>Kent Estabrooks</t>
        </is>
      </c>
      <c r="F4372" t="inlineStr">
        <is>
          <t>Agency Executive Committee meeting / mentorship initiative meeting</t>
        </is>
      </c>
      <c r="G4372" t="inlineStr">
        <is>
          <t>Réunion du Comité de direction de l'Agence / réunion dans le cadre d'une initiative de mentorat</t>
        </is>
      </c>
      <c r="H4372" s="1" t="n">
        <v>42990</v>
      </c>
      <c r="I4372" s="1" t="n">
        <v>42992</v>
      </c>
      <c r="J4372" t="inlineStr">
        <is>
          <t>Moncton, New Brunswick</t>
        </is>
      </c>
      <c r="K4372" t="inlineStr">
        <is>
          <t>Moncton (Nouveau-Brunswick)</t>
        </is>
      </c>
      <c r="P4372" t="n">
        <v>0</v>
      </c>
      <c r="Q4372" t="n">
        <v>0</v>
      </c>
      <c r="R4372" t="n">
        <v>188</v>
      </c>
      <c r="S4372" t="n">
        <v>179</v>
      </c>
      <c r="T4372" t="n">
        <v>4</v>
      </c>
      <c r="U4372" t="n">
        <v>371</v>
      </c>
      <c r="X4372" t="inlineStr">
        <is>
          <t>acoa-apeca</t>
        </is>
      </c>
      <c r="Y4372" t="inlineStr">
        <is>
          <t>Atlantic Canada Opportunities Agency | Agence de promotion économique du Canada atlantique</t>
        </is>
      </c>
    </row>
    <row r="4373">
      <c r="A4373" t="inlineStr">
        <is>
          <t>T-2018-Q3-00073</t>
        </is>
      </c>
      <c r="B4373" t="inlineStr">
        <is>
          <t>SLE</t>
        </is>
      </c>
      <c r="C4373" t="inlineStr">
        <is>
          <t>Vice-President, New Brunswick</t>
        </is>
      </c>
      <c r="D4373" t="inlineStr">
        <is>
          <t>Vice-président, Nouveau-Brunswick</t>
        </is>
      </c>
      <c r="E4373" t="inlineStr">
        <is>
          <t>Kent Estabrooks</t>
        </is>
      </c>
      <c r="F4373" t="inlineStr">
        <is>
          <t>Training and development, study tour of Atlantic Canada</t>
        </is>
      </c>
      <c r="G4373" t="inlineStr">
        <is>
          <t>Formation et perfectionnement, voyage d'étude au Canada atlantique</t>
        </is>
      </c>
      <c r="H4373" s="1" t="n">
        <v>42994</v>
      </c>
      <c r="I4373" s="1" t="n">
        <v>42998</v>
      </c>
      <c r="J4373" t="inlineStr">
        <is>
          <t>St. John's, Newfoundland and Labrador</t>
        </is>
      </c>
      <c r="K4373" t="inlineStr">
        <is>
          <t>St. John's (Terre-Neuve-et-Labrador)</t>
        </is>
      </c>
      <c r="P4373" t="n">
        <v>726.15</v>
      </c>
      <c r="Q4373" t="n">
        <v>200.72</v>
      </c>
      <c r="R4373" t="n">
        <v>677.53</v>
      </c>
      <c r="S4373" t="n">
        <v>307.15</v>
      </c>
      <c r="T4373" t="n">
        <v>14.89</v>
      </c>
      <c r="U4373" t="n">
        <v>1926.44</v>
      </c>
      <c r="X4373" t="inlineStr">
        <is>
          <t>acoa-apeca</t>
        </is>
      </c>
      <c r="Y4373" t="inlineStr">
        <is>
          <t>Atlantic Canada Opportunities Agency | Agence de promotion économique du Canada atlantique</t>
        </is>
      </c>
    </row>
    <row r="4374">
      <c r="A4374" t="inlineStr">
        <is>
          <t>T-2018-Q3-00072</t>
        </is>
      </c>
      <c r="B4374" t="inlineStr">
        <is>
          <t>SLE</t>
        </is>
      </c>
      <c r="C4374" t="inlineStr">
        <is>
          <t>Vice-President, New Brunswick</t>
        </is>
      </c>
      <c r="D4374" t="inlineStr">
        <is>
          <t>Vice-président, Nouveau-Brunswick</t>
        </is>
      </c>
      <c r="E4374" t="inlineStr">
        <is>
          <t>Kent Estabrooks</t>
        </is>
      </c>
      <c r="F4374" t="inlineStr">
        <is>
          <t>Training and development, Canada/North study tour</t>
        </is>
      </c>
      <c r="G4374" t="inlineStr">
        <is>
          <t>Formation et perfectionnement, voyage d'étude au Canada/Nord</t>
        </is>
      </c>
      <c r="H4374" s="1" t="n">
        <v>42999</v>
      </c>
      <c r="I4374" s="1" t="n">
        <v>43001</v>
      </c>
      <c r="J4374" t="inlineStr">
        <is>
          <t>Iqaluit, Nunavut</t>
        </is>
      </c>
      <c r="K4374" t="inlineStr">
        <is>
          <t>Iqaluit (Nunavut)</t>
        </is>
      </c>
      <c r="P4374" t="n">
        <v>1233.41</v>
      </c>
      <c r="Q4374" t="n">
        <v>106</v>
      </c>
      <c r="R4374" t="n">
        <v>627.28</v>
      </c>
      <c r="S4374" t="n">
        <v>408.1</v>
      </c>
      <c r="T4374" t="n">
        <v>3</v>
      </c>
      <c r="U4374" t="n">
        <v>2377.79</v>
      </c>
      <c r="X4374" t="inlineStr">
        <is>
          <t>acoa-apeca</t>
        </is>
      </c>
      <c r="Y4374" t="inlineStr">
        <is>
          <t>Atlantic Canada Opportunities Agency | Agence de promotion économique du Canada atlantique</t>
        </is>
      </c>
    </row>
    <row r="4375">
      <c r="A4375" t="inlineStr">
        <is>
          <t>T-2018-Q3-00071</t>
        </is>
      </c>
      <c r="B4375" t="inlineStr">
        <is>
          <t>SLE</t>
        </is>
      </c>
      <c r="C4375" t="inlineStr">
        <is>
          <t>Vice-President, New Brunswick</t>
        </is>
      </c>
      <c r="D4375" t="inlineStr">
        <is>
          <t>Vice-président, Nouveau-Brunswick</t>
        </is>
      </c>
      <c r="E4375" t="inlineStr">
        <is>
          <t>Kent Estabrooks</t>
        </is>
      </c>
      <c r="F4375" t="inlineStr">
        <is>
          <t>Training and development</t>
        </is>
      </c>
      <c r="G4375" t="inlineStr">
        <is>
          <t>Formation et perfectionnement</t>
        </is>
      </c>
      <c r="H4375" s="1" t="n">
        <v>43004</v>
      </c>
      <c r="I4375" s="1" t="n">
        <v>43006</v>
      </c>
      <c r="J4375" t="inlineStr">
        <is>
          <t>Ottawa, Ontario</t>
        </is>
      </c>
      <c r="K4375" t="inlineStr">
        <is>
          <t>Ottawa (Ontario)</t>
        </is>
      </c>
      <c r="P4375" t="n">
        <v>692.3</v>
      </c>
      <c r="Q4375" t="n">
        <v>190</v>
      </c>
      <c r="R4375" t="n">
        <v>219.98</v>
      </c>
      <c r="S4375" t="n">
        <v>225.85</v>
      </c>
      <c r="T4375" t="n">
        <v>56.5</v>
      </c>
      <c r="U4375" t="n">
        <v>1384.63</v>
      </c>
      <c r="X4375" t="inlineStr">
        <is>
          <t>acoa-apeca</t>
        </is>
      </c>
      <c r="Y4375" t="inlineStr">
        <is>
          <t>Atlantic Canada Opportunities Agency | Agence de promotion économique du Canada atlantique</t>
        </is>
      </c>
    </row>
    <row r="4376">
      <c r="A4376" t="inlineStr">
        <is>
          <t>T-2018-Q3-00069</t>
        </is>
      </c>
      <c r="B4376" t="inlineStr">
        <is>
          <t>SLE</t>
        </is>
      </c>
      <c r="C4376" t="inlineStr">
        <is>
          <t>Vice-President, New Brunswick</t>
        </is>
      </c>
      <c r="D4376" t="inlineStr">
        <is>
          <t>Vice-président, Nouveau-Brunswick</t>
        </is>
      </c>
      <c r="E4376" t="inlineStr">
        <is>
          <t>Kent Estabrooks</t>
        </is>
      </c>
      <c r="F4376" t="inlineStr">
        <is>
          <t>Champion file client meetings - Nova Scotia</t>
        </is>
      </c>
      <c r="G4376" t="inlineStr">
        <is>
          <t>Réunions avec des clients sur les dossiers des champions - Nouvelle-Écosse</t>
        </is>
      </c>
      <c r="H4376" s="1" t="n">
        <v>43018</v>
      </c>
      <c r="I4376" s="1" t="n">
        <v>43020</v>
      </c>
      <c r="J4376" t="inlineStr">
        <is>
          <t>Halifax, Nova Scotia</t>
        </is>
      </c>
      <c r="K4376" t="inlineStr">
        <is>
          <t>Halifax (Nouvelle-Écosse)</t>
        </is>
      </c>
      <c r="P4376" t="n">
        <v>0</v>
      </c>
      <c r="Q4376" t="n">
        <v>0</v>
      </c>
      <c r="R4376" t="n">
        <v>393.28</v>
      </c>
      <c r="S4376" t="n">
        <v>203.3</v>
      </c>
      <c r="T4376" t="n">
        <v>30.6</v>
      </c>
      <c r="U4376" t="n">
        <v>627.1799999999999</v>
      </c>
      <c r="X4376" t="inlineStr">
        <is>
          <t>acoa-apeca</t>
        </is>
      </c>
      <c r="Y4376" t="inlineStr">
        <is>
          <t>Atlantic Canada Opportunities Agency | Agence de promotion économique du Canada atlantique</t>
        </is>
      </c>
    </row>
    <row r="4377">
      <c r="A4377" t="inlineStr">
        <is>
          <t>T-2018-Q3-00068</t>
        </is>
      </c>
      <c r="B4377" t="inlineStr">
        <is>
          <t>SLE</t>
        </is>
      </c>
      <c r="C4377" t="inlineStr">
        <is>
          <t>Vice-President, New Brunswick</t>
        </is>
      </c>
      <c r="D4377" t="inlineStr">
        <is>
          <t>Vice-président, Nouveau-Brunswick</t>
        </is>
      </c>
      <c r="E4377" t="inlineStr">
        <is>
          <t>Kent Estabrooks</t>
        </is>
      </c>
      <c r="F4377" t="inlineStr">
        <is>
          <t>Meeting with President and other Vice-Presidents</t>
        </is>
      </c>
      <c r="G4377" t="inlineStr">
        <is>
          <t>Réunion avec le président et les autres vice-présidents</t>
        </is>
      </c>
      <c r="H4377" s="1" t="n">
        <v>43024</v>
      </c>
      <c r="I4377" s="1" t="n">
        <v>43026</v>
      </c>
      <c r="J4377" t="inlineStr">
        <is>
          <t>Wolfville, Nova Scotia</t>
        </is>
      </c>
      <c r="K4377" t="inlineStr">
        <is>
          <t>Wolfville (Nouvelle-Écosse)</t>
        </is>
      </c>
      <c r="P4377" t="n">
        <v>0</v>
      </c>
      <c r="Q4377" t="n">
        <v>0</v>
      </c>
      <c r="R4377" t="n">
        <v>257.6</v>
      </c>
      <c r="S4377" t="n">
        <v>222.6</v>
      </c>
      <c r="T4377" t="n">
        <v>8</v>
      </c>
      <c r="U4377" t="n">
        <v>488.2</v>
      </c>
      <c r="X4377" t="inlineStr">
        <is>
          <t>acoa-apeca</t>
        </is>
      </c>
      <c r="Y4377" t="inlineStr">
        <is>
          <t>Atlantic Canada Opportunities Agency | Agence de promotion économique du Canada atlantique</t>
        </is>
      </c>
    </row>
    <row r="4378">
      <c r="A4378" t="inlineStr">
        <is>
          <t>T-2018-Q3-00067</t>
        </is>
      </c>
      <c r="B4378" t="inlineStr">
        <is>
          <t>SLE</t>
        </is>
      </c>
      <c r="C4378" t="inlineStr">
        <is>
          <t>Vice-President, New Brunswick</t>
        </is>
      </c>
      <c r="D4378" t="inlineStr">
        <is>
          <t>Vice-président, Nouveau-Brunswick</t>
        </is>
      </c>
      <c r="E4378" t="inlineStr">
        <is>
          <t>Kent Estabrooks</t>
        </is>
      </c>
      <c r="F4378" t="inlineStr">
        <is>
          <t>Champion file client meetings - Newfoundland and Labrador</t>
        </is>
      </c>
      <c r="G4378" t="inlineStr">
        <is>
          <t>Réunions avec des clients sur les dossiers des champions - Terre-Neuve-et-Labrador</t>
        </is>
      </c>
      <c r="H4378" s="1" t="n">
        <v>43032</v>
      </c>
      <c r="I4378" s="1" t="n">
        <v>43034</v>
      </c>
      <c r="J4378" t="inlineStr">
        <is>
          <t>St. John's, Newfoundland and Labrador</t>
        </is>
      </c>
      <c r="K4378" t="inlineStr">
        <is>
          <t>St. John's (Terre-Neuve-et-Labrador)</t>
        </is>
      </c>
      <c r="P4378" t="n">
        <v>744.4</v>
      </c>
      <c r="Q4378" t="n">
        <v>434.12</v>
      </c>
      <c r="R4378" t="n">
        <v>0</v>
      </c>
      <c r="S4378" t="n">
        <v>325.05</v>
      </c>
      <c r="T4378" t="n">
        <v>4</v>
      </c>
      <c r="U4378" t="n">
        <v>1507.57</v>
      </c>
      <c r="X4378" t="inlineStr">
        <is>
          <t>acoa-apeca</t>
        </is>
      </c>
      <c r="Y4378" t="inlineStr">
        <is>
          <t>Atlantic Canada Opportunities Agency | Agence de promotion économique du Canada atlantique</t>
        </is>
      </c>
    </row>
    <row r="4379">
      <c r="A4379" t="inlineStr">
        <is>
          <t>T-2018-Q3-00065</t>
        </is>
      </c>
      <c r="B4379" t="inlineStr">
        <is>
          <t>SLE</t>
        </is>
      </c>
      <c r="C4379" t="inlineStr">
        <is>
          <t>Vice-President, New Brunswick</t>
        </is>
      </c>
      <c r="D4379" t="inlineStr">
        <is>
          <t>Vice-président, Nouveau-Brunswick</t>
        </is>
      </c>
      <c r="E4379" t="inlineStr">
        <is>
          <t>Kent Estabrooks</t>
        </is>
      </c>
      <c r="F4379" t="inlineStr">
        <is>
          <t>Meeting with Agency officials / training and development</t>
        </is>
      </c>
      <c r="G4379" t="inlineStr">
        <is>
          <t>Réunion avec des fonctionnaires de l'Agence / formation et perfectionnement</t>
        </is>
      </c>
      <c r="H4379" s="1" t="n">
        <v>43038</v>
      </c>
      <c r="I4379" s="1" t="n">
        <v>43040</v>
      </c>
      <c r="J4379" t="inlineStr">
        <is>
          <t>Ottawa, Ontario</t>
        </is>
      </c>
      <c r="K4379" t="inlineStr">
        <is>
          <t>Ottawa (Ontario)</t>
        </is>
      </c>
      <c r="P4379" t="n">
        <v>678.5</v>
      </c>
      <c r="Q4379" t="n">
        <v>173.5</v>
      </c>
      <c r="R4379" t="n">
        <v>656.45</v>
      </c>
      <c r="S4379" t="n">
        <v>230.15</v>
      </c>
      <c r="T4379" t="n">
        <v>0</v>
      </c>
      <c r="U4379" t="n">
        <v>1738.6</v>
      </c>
      <c r="X4379" t="inlineStr">
        <is>
          <t>acoa-apeca</t>
        </is>
      </c>
      <c r="Y4379" t="inlineStr">
        <is>
          <t>Atlantic Canada Opportunities Agency | Agence de promotion économique du Canada atlantique</t>
        </is>
      </c>
    </row>
    <row r="4380">
      <c r="A4380" t="inlineStr">
        <is>
          <t>T-2018-Q3-00064</t>
        </is>
      </c>
      <c r="B4380" t="inlineStr">
        <is>
          <t>SLE</t>
        </is>
      </c>
      <c r="C4380" t="inlineStr">
        <is>
          <t>Vice-President, New Brunswick</t>
        </is>
      </c>
      <c r="D4380" t="inlineStr">
        <is>
          <t>Vice-président, Nouveau-Brunswick</t>
        </is>
      </c>
      <c r="E4380" t="inlineStr">
        <is>
          <t>Kent Estabrooks</t>
        </is>
      </c>
      <c r="F4380" t="inlineStr">
        <is>
          <t>Meeting with various federal officials</t>
        </is>
      </c>
      <c r="G4380" t="inlineStr">
        <is>
          <t>Réunion avec divers fonctionnaires fédéraux</t>
        </is>
      </c>
      <c r="H4380" s="1" t="n">
        <v>43041</v>
      </c>
      <c r="I4380" s="1" t="n">
        <v>43041</v>
      </c>
      <c r="J4380" t="inlineStr">
        <is>
          <t>Moncton, New Brunswick</t>
        </is>
      </c>
      <c r="K4380" t="inlineStr">
        <is>
          <t>Moncton (Nouveau-Brunswick)</t>
        </is>
      </c>
      <c r="P4380" t="n">
        <v>0</v>
      </c>
      <c r="Q4380" t="n">
        <v>0</v>
      </c>
      <c r="R4380" t="n">
        <v>0</v>
      </c>
      <c r="S4380" t="n">
        <v>66.25</v>
      </c>
      <c r="T4380" t="n">
        <v>14.25</v>
      </c>
      <c r="U4380" t="n">
        <v>80.5</v>
      </c>
      <c r="X4380" t="inlineStr">
        <is>
          <t>acoa-apeca</t>
        </is>
      </c>
      <c r="Y4380" t="inlineStr">
        <is>
          <t>Atlantic Canada Opportunities Agency | Agence de promotion économique du Canada atlantique</t>
        </is>
      </c>
    </row>
    <row r="4381">
      <c r="A4381" t="inlineStr">
        <is>
          <t>T-2018-Q3-00063</t>
        </is>
      </c>
      <c r="B4381" t="inlineStr">
        <is>
          <t>SLE</t>
        </is>
      </c>
      <c r="C4381" t="inlineStr">
        <is>
          <t>Vice-President, New Brunswick</t>
        </is>
      </c>
      <c r="D4381" t="inlineStr">
        <is>
          <t>Vice-président, Nouveau-Brunswick</t>
        </is>
      </c>
      <c r="E4381" t="inlineStr">
        <is>
          <t>Kent Estabrooks</t>
        </is>
      </c>
      <c r="F4381" t="inlineStr">
        <is>
          <t>External stakeholders meeting</t>
        </is>
      </c>
      <c r="G4381" t="inlineStr">
        <is>
          <t>Réunion avec des intervenants externes</t>
        </is>
      </c>
      <c r="H4381" s="1" t="n">
        <v>43042</v>
      </c>
      <c r="I4381" s="1" t="n">
        <v>43042</v>
      </c>
      <c r="J4381" t="inlineStr">
        <is>
          <t>Saint John, New Brunswick</t>
        </is>
      </c>
      <c r="K4381" t="inlineStr">
        <is>
          <t>Saint John (Nouveau-Brunswick)</t>
        </is>
      </c>
      <c r="P4381" t="n">
        <v>0</v>
      </c>
      <c r="Q4381" t="n">
        <v>0</v>
      </c>
      <c r="R4381" t="n">
        <v>0</v>
      </c>
      <c r="S4381" t="n">
        <v>18.9</v>
      </c>
      <c r="T4381" t="n">
        <v>7</v>
      </c>
      <c r="U4381" t="n">
        <v>25.9</v>
      </c>
      <c r="X4381" t="inlineStr">
        <is>
          <t>acoa-apeca</t>
        </is>
      </c>
      <c r="Y4381" t="inlineStr">
        <is>
          <t>Atlantic Canada Opportunities Agency | Agence de promotion économique du Canada atlantique</t>
        </is>
      </c>
    </row>
    <row r="4382">
      <c r="A4382" t="inlineStr">
        <is>
          <t>T-2018-Q3-00062</t>
        </is>
      </c>
      <c r="B4382" t="inlineStr">
        <is>
          <t>SLE</t>
        </is>
      </c>
      <c r="C4382" t="inlineStr">
        <is>
          <t>Vice-President, New Brunswick</t>
        </is>
      </c>
      <c r="D4382" t="inlineStr">
        <is>
          <t>Vice-président, Nouveau-Brunswick</t>
        </is>
      </c>
      <c r="E4382" t="inlineStr">
        <is>
          <t>Kent Estabrooks</t>
        </is>
      </c>
      <c r="F4382" t="inlineStr">
        <is>
          <t>Meeting with federal officials</t>
        </is>
      </c>
      <c r="G4382" t="inlineStr">
        <is>
          <t>Réunion avec des fonctionnaires fédéraux</t>
        </is>
      </c>
      <c r="H4382" s="1" t="n">
        <v>43046</v>
      </c>
      <c r="I4382" s="1" t="n">
        <v>43048</v>
      </c>
      <c r="J4382" t="inlineStr">
        <is>
          <t>Ottawa, Ontario</t>
        </is>
      </c>
      <c r="K4382" t="inlineStr">
        <is>
          <t>Ottawa (Ontario)</t>
        </is>
      </c>
      <c r="P4382" t="n">
        <v>678.5</v>
      </c>
      <c r="Q4382" t="n">
        <v>99</v>
      </c>
      <c r="R4382" t="n">
        <v>463.24</v>
      </c>
      <c r="S4382" t="n">
        <v>165.5</v>
      </c>
      <c r="T4382" t="n">
        <v>18.23</v>
      </c>
      <c r="U4382" t="n">
        <v>1424.47</v>
      </c>
      <c r="X4382" t="inlineStr">
        <is>
          <t>acoa-apeca</t>
        </is>
      </c>
      <c r="Y4382" t="inlineStr">
        <is>
          <t>Atlantic Canada Opportunities Agency | Agence de promotion économique du Canada atlantique</t>
        </is>
      </c>
    </row>
    <row r="4383">
      <c r="A4383" t="inlineStr">
        <is>
          <t>T-2018-Q3-00061</t>
        </is>
      </c>
      <c r="B4383" t="inlineStr">
        <is>
          <t>SLE</t>
        </is>
      </c>
      <c r="C4383" t="inlineStr">
        <is>
          <t>President</t>
        </is>
      </c>
      <c r="D4383" t="inlineStr">
        <is>
          <t>Président</t>
        </is>
      </c>
      <c r="E4383" t="inlineStr">
        <is>
          <t>Francis McGuire</t>
        </is>
      </c>
      <c r="F4383" t="inlineStr">
        <is>
          <t>For various meetings and discussions with Agency officials and key stakeholders</t>
        </is>
      </c>
      <c r="G4383" t="inlineStr">
        <is>
          <t>Diverses réunions et discussions avec des fonctionnaires de l'Agence et des intervenants clés</t>
        </is>
      </c>
      <c r="H4383" s="1" t="n">
        <v>42989</v>
      </c>
      <c r="I4383" s="1" t="n">
        <v>42991</v>
      </c>
      <c r="J4383" t="inlineStr">
        <is>
          <t>St. John's, Newfoundland and Labrador</t>
        </is>
      </c>
      <c r="K4383" t="inlineStr">
        <is>
          <t>St. John's (Terre-Neuve-et-Labrador)</t>
        </is>
      </c>
      <c r="P4383" t="n">
        <v>856.62</v>
      </c>
      <c r="Q4383" t="n">
        <v>0</v>
      </c>
      <c r="R4383" t="n">
        <v>416.5</v>
      </c>
      <c r="S4383" t="n">
        <v>278.2</v>
      </c>
      <c r="T4383" t="n">
        <v>109.28</v>
      </c>
      <c r="U4383" t="n">
        <v>1660.6</v>
      </c>
      <c r="X4383" t="inlineStr">
        <is>
          <t>acoa-apeca</t>
        </is>
      </c>
      <c r="Y4383" t="inlineStr">
        <is>
          <t>Atlantic Canada Opportunities Agency | Agence de promotion économique du Canada atlantique</t>
        </is>
      </c>
    </row>
    <row r="4384">
      <c r="A4384" t="inlineStr">
        <is>
          <t>T-2018-Q3-00027</t>
        </is>
      </c>
      <c r="B4384" t="inlineStr">
        <is>
          <t>SLE</t>
        </is>
      </c>
      <c r="C4384" t="inlineStr">
        <is>
          <t>President</t>
        </is>
      </c>
      <c r="D4384" t="inlineStr">
        <is>
          <t>Président</t>
        </is>
      </c>
      <c r="E4384" t="inlineStr">
        <is>
          <t>Francis McGuire</t>
        </is>
      </c>
      <c r="F4384" t="inlineStr">
        <is>
          <t>For a meeting with Government of Canada officials</t>
        </is>
      </c>
      <c r="G4384" t="inlineStr">
        <is>
          <t>Réunion avec des fonctionnaires du gouvernement du Canada</t>
        </is>
      </c>
      <c r="H4384" s="1" t="n">
        <v>43031</v>
      </c>
      <c r="I4384" s="1" t="n">
        <v>43032</v>
      </c>
      <c r="J4384" t="inlineStr">
        <is>
          <t>Ottawa, Ontario</t>
        </is>
      </c>
      <c r="K4384" t="inlineStr">
        <is>
          <t>Ottawa (Ontario)</t>
        </is>
      </c>
      <c r="P4384" t="n">
        <v>543.25</v>
      </c>
      <c r="Q4384" t="n">
        <v>33</v>
      </c>
      <c r="R4384" t="n">
        <v>196.97</v>
      </c>
      <c r="S4384" t="n">
        <v>101.05</v>
      </c>
      <c r="T4384" t="n">
        <v>217.55</v>
      </c>
      <c r="U4384" t="n">
        <v>1091.82</v>
      </c>
      <c r="X4384" t="inlineStr">
        <is>
          <t>acoa-apeca</t>
        </is>
      </c>
      <c r="Y4384" t="inlineStr">
        <is>
          <t>Atlantic Canada Opportunities Agency | Agence de promotion économique du Canada atlantique</t>
        </is>
      </c>
    </row>
    <row r="4385">
      <c r="A4385" t="inlineStr">
        <is>
          <t>T-2018-Q3-00060</t>
        </is>
      </c>
      <c r="B4385" t="inlineStr">
        <is>
          <t>SLE</t>
        </is>
      </c>
      <c r="C4385" t="inlineStr">
        <is>
          <t>President</t>
        </is>
      </c>
      <c r="D4385" t="inlineStr">
        <is>
          <t>Président</t>
        </is>
      </c>
      <c r="E4385" t="inlineStr">
        <is>
          <t>Francis McGuire</t>
        </is>
      </c>
      <c r="F4385" t="inlineStr">
        <is>
          <t>For various meetings and discussions with Agency officials and key stakeholders</t>
        </is>
      </c>
      <c r="G4385" t="inlineStr">
        <is>
          <t>Diveses réunions et discussions avec des fonctionnaires de l'Agence et des intervenants clés</t>
        </is>
      </c>
      <c r="H4385" s="1" t="n">
        <v>42985</v>
      </c>
      <c r="I4385" s="1" t="n">
        <v>42986</v>
      </c>
      <c r="J4385" t="inlineStr">
        <is>
          <t>Charlottetown, Prince Edward Island</t>
        </is>
      </c>
      <c r="K4385" t="inlineStr">
        <is>
          <t>Charlottetown (Île-du-Prince-Édouard)</t>
        </is>
      </c>
      <c r="P4385" t="n">
        <v>0</v>
      </c>
      <c r="Q4385" t="n">
        <v>38</v>
      </c>
      <c r="R4385" t="n">
        <v>283.1</v>
      </c>
      <c r="S4385" t="n">
        <v>97.7</v>
      </c>
      <c r="T4385" t="n">
        <v>240.92</v>
      </c>
      <c r="U4385" t="n">
        <v>659.72</v>
      </c>
      <c r="X4385" t="inlineStr">
        <is>
          <t>acoa-apeca</t>
        </is>
      </c>
      <c r="Y4385" t="inlineStr">
        <is>
          <t>Atlantic Canada Opportunities Agency | Agence de promotion économique du Canada atlantique</t>
        </is>
      </c>
    </row>
    <row r="4386">
      <c r="A4386" t="inlineStr">
        <is>
          <t>T-2018-Q3-00059</t>
        </is>
      </c>
      <c r="B4386" t="inlineStr">
        <is>
          <t>SLE</t>
        </is>
      </c>
      <c r="C4386" t="inlineStr">
        <is>
          <t>Vice-President, Policy and Programs</t>
        </is>
      </c>
      <c r="D4386" t="inlineStr">
        <is>
          <t>Vice-président, Politiques et Programmes</t>
        </is>
      </c>
      <c r="E4386" t="inlineStr">
        <is>
          <t>Daryell Nowlan</t>
        </is>
      </c>
      <c r="F4386" t="inlineStr">
        <is>
          <t>Meetings with Government of Canada officials</t>
        </is>
      </c>
      <c r="G4386" t="inlineStr">
        <is>
          <t>Réunions avec des fonctionnaires du gouvernement du Canada</t>
        </is>
      </c>
      <c r="H4386" s="1" t="n">
        <v>43066</v>
      </c>
      <c r="I4386" s="1" t="n">
        <v>43068</v>
      </c>
      <c r="J4386" t="inlineStr">
        <is>
          <t>Ottawa, Ontario</t>
        </is>
      </c>
      <c r="K4386" t="inlineStr">
        <is>
          <t>Ottawa (Ontario)</t>
        </is>
      </c>
      <c r="P4386" t="n">
        <v>556.05</v>
      </c>
      <c r="Q4386" t="n">
        <v>119.52</v>
      </c>
      <c r="R4386" t="n">
        <v>439.96</v>
      </c>
      <c r="S4386" t="n">
        <v>231.95</v>
      </c>
      <c r="T4386" t="n">
        <v>57.5</v>
      </c>
      <c r="U4386" t="n">
        <v>1404.98</v>
      </c>
      <c r="X4386" t="inlineStr">
        <is>
          <t>acoa-apeca</t>
        </is>
      </c>
      <c r="Y4386" t="inlineStr">
        <is>
          <t>Atlantic Canada Opportunities Agency | Agence de promotion économique du Canada atlantique</t>
        </is>
      </c>
    </row>
    <row r="4387">
      <c r="A4387" t="inlineStr">
        <is>
          <t>T-2018-Q3-00057</t>
        </is>
      </c>
      <c r="B4387" t="inlineStr">
        <is>
          <t>SLE</t>
        </is>
      </c>
      <c r="C4387" t="inlineStr">
        <is>
          <t>Vice-President, Nova Scotia</t>
        </is>
      </c>
      <c r="D4387" t="inlineStr">
        <is>
          <t>Vice-président, Nouvelle-Écosse</t>
        </is>
      </c>
      <c r="E4387" t="inlineStr">
        <is>
          <t>Chuck Maillet</t>
        </is>
      </c>
      <c r="F4387" t="inlineStr">
        <is>
          <t>Annual committee meeting of the 19th Canada-France Regional Joint Cooperation Commission</t>
        </is>
      </c>
      <c r="G4387" t="inlineStr">
        <is>
          <t>Réunion annuelle du comité de la 19e Commission mixte de coopération régionale Canada-France</t>
        </is>
      </c>
      <c r="H4387" s="1" t="n">
        <v>43058</v>
      </c>
      <c r="I4387" s="1" t="n">
        <v>43060</v>
      </c>
      <c r="J4387" t="inlineStr">
        <is>
          <t>St. John's, Newfoundland and Labrador</t>
        </is>
      </c>
      <c r="K4387" t="inlineStr">
        <is>
          <t>St. John's (Terre-Neuve-et-Labrador)</t>
        </is>
      </c>
      <c r="P4387" t="n">
        <v>347.39</v>
      </c>
      <c r="Q4387" t="n">
        <v>185</v>
      </c>
      <c r="R4387" t="n">
        <v>340.34</v>
      </c>
      <c r="S4387" t="n">
        <v>241.7</v>
      </c>
      <c r="T4387" t="n">
        <v>28.75</v>
      </c>
      <c r="U4387" t="n">
        <v>1143.18</v>
      </c>
      <c r="X4387" t="inlineStr">
        <is>
          <t>acoa-apeca</t>
        </is>
      </c>
      <c r="Y4387" t="inlineStr">
        <is>
          <t>Atlantic Canada Opportunities Agency | Agence de promotion économique du Canada atlantique</t>
        </is>
      </c>
    </row>
    <row r="4388">
      <c r="A4388" t="inlineStr">
        <is>
          <t>T-2018-Q3-00056</t>
        </is>
      </c>
      <c r="B4388" t="inlineStr">
        <is>
          <t>SLE</t>
        </is>
      </c>
      <c r="C4388" t="inlineStr">
        <is>
          <t>Vice-President, Nova Scotia</t>
        </is>
      </c>
      <c r="D4388" t="inlineStr">
        <is>
          <t>Vice-président, Nouvelle-Écosse</t>
        </is>
      </c>
      <c r="E4388" t="inlineStr">
        <is>
          <t>Chuck Maillet</t>
        </is>
      </c>
      <c r="F4388" t="inlineStr">
        <is>
          <t xml:space="preserve">Various meetings with Agency staff and stakeholders </t>
        </is>
      </c>
      <c r="G4388" t="inlineStr">
        <is>
          <t>Diverses réunions avec des fonctionnaires de l'Agence et des intervenants</t>
        </is>
      </c>
      <c r="H4388" s="1" t="n">
        <v>43048</v>
      </c>
      <c r="I4388" s="1" t="n">
        <v>43049</v>
      </c>
      <c r="J4388" t="inlineStr">
        <is>
          <t>Sydney, Nova Scotia</t>
        </is>
      </c>
      <c r="K4388" t="inlineStr">
        <is>
          <t>Sydney (Nouvelle-Écosse)</t>
        </is>
      </c>
      <c r="P4388" t="n">
        <v>476.94</v>
      </c>
      <c r="Q4388" t="n">
        <v>0</v>
      </c>
      <c r="R4388" t="n">
        <v>123.17</v>
      </c>
      <c r="S4388" t="n">
        <v>119.75</v>
      </c>
      <c r="T4388" t="n">
        <v>0</v>
      </c>
      <c r="U4388" t="n">
        <v>719.86</v>
      </c>
      <c r="X4388" t="inlineStr">
        <is>
          <t>acoa-apeca</t>
        </is>
      </c>
      <c r="Y4388" t="inlineStr">
        <is>
          <t>Atlantic Canada Opportunities Agency | Agence de promotion économique du Canada atlantique</t>
        </is>
      </c>
    </row>
    <row r="4389">
      <c r="A4389" t="inlineStr">
        <is>
          <t>T-2018-Q3-00055</t>
        </is>
      </c>
      <c r="B4389" t="inlineStr">
        <is>
          <t>SLE</t>
        </is>
      </c>
      <c r="C4389" t="inlineStr">
        <is>
          <t>Vice-President, Nova Scotia</t>
        </is>
      </c>
      <c r="D4389" t="inlineStr">
        <is>
          <t>Vice-président, Nouvelle-Écosse</t>
        </is>
      </c>
      <c r="E4389" t="inlineStr">
        <is>
          <t>Chuck Maillet</t>
        </is>
      </c>
      <c r="F4389" t="inlineStr">
        <is>
          <t xml:space="preserve">Various meetings with Agency officials and training </t>
        </is>
      </c>
      <c r="G4389" t="inlineStr">
        <is>
          <t>Diverses réunions avec des fonctionnaires de l'Agence et formation</t>
        </is>
      </c>
      <c r="H4389" s="1" t="n">
        <v>43046</v>
      </c>
      <c r="I4389" s="1" t="n">
        <v>43047</v>
      </c>
      <c r="J4389" t="inlineStr">
        <is>
          <t xml:space="preserve">Moncton, New Brunswick </t>
        </is>
      </c>
      <c r="K4389" t="inlineStr">
        <is>
          <t>Moncton (Nouveau-Brunswick)</t>
        </is>
      </c>
      <c r="P4389" t="n">
        <v>0</v>
      </c>
      <c r="Q4389" t="n">
        <v>0</v>
      </c>
      <c r="R4389" t="n">
        <v>132.25</v>
      </c>
      <c r="S4389" t="n">
        <v>186.2</v>
      </c>
      <c r="T4389" t="n">
        <v>16.1</v>
      </c>
      <c r="U4389" t="n">
        <v>334.55</v>
      </c>
      <c r="X4389" t="inlineStr">
        <is>
          <t>acoa-apeca</t>
        </is>
      </c>
      <c r="Y4389" t="inlineStr">
        <is>
          <t>Atlantic Canada Opportunities Agency | Agence de promotion économique du Canada atlantique</t>
        </is>
      </c>
    </row>
    <row r="4390">
      <c r="A4390" t="inlineStr">
        <is>
          <t>T-2018-Q3-00054</t>
        </is>
      </c>
      <c r="B4390" t="inlineStr">
        <is>
          <t>SLE</t>
        </is>
      </c>
      <c r="C4390" t="inlineStr">
        <is>
          <t>Vice-President, Nova Scotia</t>
        </is>
      </c>
      <c r="D4390" t="inlineStr">
        <is>
          <t>Vice-président, Nouvelle-Écosse</t>
        </is>
      </c>
      <c r="E4390" t="inlineStr">
        <is>
          <t>Chuck Maillet</t>
        </is>
      </c>
      <c r="F4390" t="inlineStr">
        <is>
          <t xml:space="preserve">Meeting with Agency officials </t>
        </is>
      </c>
      <c r="G4390" t="inlineStr">
        <is>
          <t>Réunion avec des fonctionnaires de l'Agence</t>
        </is>
      </c>
      <c r="H4390" s="1" t="n">
        <v>42991</v>
      </c>
      <c r="I4390" s="1" t="n">
        <v>42992</v>
      </c>
      <c r="J4390" t="inlineStr">
        <is>
          <t>Moncton, New Brunswick</t>
        </is>
      </c>
      <c r="K4390" t="inlineStr">
        <is>
          <t>Moncton (Nouveau-Brunswick)</t>
        </is>
      </c>
      <c r="P4390" t="n">
        <v>0</v>
      </c>
      <c r="Q4390" t="n">
        <v>0</v>
      </c>
      <c r="R4390" t="n">
        <v>132.25</v>
      </c>
      <c r="S4390" t="n">
        <v>143.65</v>
      </c>
      <c r="T4390" t="n">
        <v>16.1</v>
      </c>
      <c r="U4390" t="n">
        <v>292</v>
      </c>
      <c r="X4390" t="inlineStr">
        <is>
          <t>acoa-apeca</t>
        </is>
      </c>
      <c r="Y4390" t="inlineStr">
        <is>
          <t>Atlantic Canada Opportunities Agency | Agence de promotion économique du Canada atlantique</t>
        </is>
      </c>
    </row>
    <row r="4391">
      <c r="A4391" t="inlineStr">
        <is>
          <t>T-2018-Q3-00053</t>
        </is>
      </c>
      <c r="B4391" t="inlineStr">
        <is>
          <t>SLE</t>
        </is>
      </c>
      <c r="C4391" t="inlineStr">
        <is>
          <t>Vice-President, Nova Scotia</t>
        </is>
      </c>
      <c r="D4391" t="inlineStr">
        <is>
          <t>Vice-président, Nouvelle-Écosse</t>
        </is>
      </c>
      <c r="E4391" t="inlineStr">
        <is>
          <t>Chuck Maillet</t>
        </is>
      </c>
      <c r="F4391" t="inlineStr">
        <is>
          <t>Various meetings with Agency officials</t>
        </is>
      </c>
      <c r="G4391" t="inlineStr">
        <is>
          <t>Diverses réunions avec des fonctionnaires de l'Agence</t>
        </is>
      </c>
      <c r="H4391" s="1" t="n">
        <v>43019</v>
      </c>
      <c r="I4391" s="1" t="n">
        <v>43020</v>
      </c>
      <c r="J4391" t="inlineStr">
        <is>
          <t>Moncton, New Brunswick</t>
        </is>
      </c>
      <c r="K4391" t="inlineStr">
        <is>
          <t>Moncton (Nouveau-Brunswick)</t>
        </is>
      </c>
      <c r="P4391" t="n">
        <v>0</v>
      </c>
      <c r="Q4391" t="n">
        <v>0</v>
      </c>
      <c r="R4391" t="n">
        <v>132.25</v>
      </c>
      <c r="S4391" t="n">
        <v>167.3</v>
      </c>
      <c r="T4391" t="n">
        <v>16.1</v>
      </c>
      <c r="U4391" t="n">
        <v>315.65</v>
      </c>
      <c r="X4391" t="inlineStr">
        <is>
          <t>acoa-apeca</t>
        </is>
      </c>
      <c r="Y4391" t="inlineStr">
        <is>
          <t>Atlantic Canada Opportunities Agency | Agence de promotion économique du Canada atlantique</t>
        </is>
      </c>
    </row>
    <row r="4392">
      <c r="A4392" t="inlineStr">
        <is>
          <t>T-2018-Q3-00052</t>
        </is>
      </c>
      <c r="B4392" t="inlineStr">
        <is>
          <t>SLE</t>
        </is>
      </c>
      <c r="C4392" t="inlineStr">
        <is>
          <t>Vice-President, Nova Scotia</t>
        </is>
      </c>
      <c r="D4392" t="inlineStr">
        <is>
          <t>Vice-président, Nouvelle-Écosse</t>
        </is>
      </c>
      <c r="E4392" t="inlineStr">
        <is>
          <t>Chuck Maillet</t>
        </is>
      </c>
      <c r="F4392" t="inlineStr">
        <is>
          <t>Meeting with stakeholders</t>
        </is>
      </c>
      <c r="G4392" t="inlineStr">
        <is>
          <t>Réunion avec des intervenants</t>
        </is>
      </c>
      <c r="H4392" s="1" t="n">
        <v>43021</v>
      </c>
      <c r="I4392" s="1" t="n">
        <v>43021</v>
      </c>
      <c r="J4392" t="inlineStr">
        <is>
          <t>Truro, Nova Scotia</t>
        </is>
      </c>
      <c r="K4392" t="inlineStr">
        <is>
          <t>Truro (Nouvelle-Écosse)</t>
        </is>
      </c>
      <c r="P4392" t="n">
        <v>0</v>
      </c>
      <c r="Q4392" t="n">
        <v>0</v>
      </c>
      <c r="R4392" t="n">
        <v>0</v>
      </c>
      <c r="S4392" t="n">
        <v>18.9</v>
      </c>
      <c r="T4392" t="n">
        <v>0</v>
      </c>
      <c r="U4392" t="n">
        <v>18.9</v>
      </c>
      <c r="X4392" t="inlineStr">
        <is>
          <t>acoa-apeca</t>
        </is>
      </c>
      <c r="Y4392" t="inlineStr">
        <is>
          <t>Atlantic Canada Opportunities Agency | Agence de promotion économique du Canada atlantique</t>
        </is>
      </c>
    </row>
    <row r="4393">
      <c r="A4393" t="inlineStr">
        <is>
          <t>T-2018-Q3-00051</t>
        </is>
      </c>
      <c r="B4393" t="inlineStr">
        <is>
          <t>SLE</t>
        </is>
      </c>
      <c r="C4393" t="inlineStr">
        <is>
          <t>Vice-President, Nova Scotia</t>
        </is>
      </c>
      <c r="D4393" t="inlineStr">
        <is>
          <t>Vice-président, Nouvelle-Écosse</t>
        </is>
      </c>
      <c r="E4393" t="inlineStr">
        <is>
          <t>Chuck Maillet</t>
        </is>
      </c>
      <c r="F4393" t="inlineStr">
        <is>
          <t>Meeting with Agency officials and various meetings with stakeholders</t>
        </is>
      </c>
      <c r="G4393" t="inlineStr">
        <is>
          <t>Réunion avec des fonctionnaires de l'Agence et diverses réunions avec des intervenants</t>
        </is>
      </c>
      <c r="H4393" s="1" t="n">
        <v>43024</v>
      </c>
      <c r="I4393" s="1" t="n">
        <v>43026</v>
      </c>
      <c r="J4393" t="inlineStr">
        <is>
          <t>Wolfville, Nova Scotia</t>
        </is>
      </c>
      <c r="K4393" t="inlineStr">
        <is>
          <t>Wolfville (Nouvelle-Écosse)</t>
        </is>
      </c>
      <c r="P4393" t="n">
        <v>0</v>
      </c>
      <c r="Q4393" t="n">
        <v>0</v>
      </c>
      <c r="R4393" t="n">
        <v>257.6</v>
      </c>
      <c r="S4393" t="n">
        <v>203.7</v>
      </c>
      <c r="T4393" t="n">
        <v>0</v>
      </c>
      <c r="U4393" t="n">
        <v>461.3</v>
      </c>
      <c r="X4393" t="inlineStr">
        <is>
          <t>acoa-apeca</t>
        </is>
      </c>
      <c r="Y4393" t="inlineStr">
        <is>
          <t>Atlantic Canada Opportunities Agency | Agence de promotion économique du Canada atlantique</t>
        </is>
      </c>
    </row>
    <row r="4394">
      <c r="A4394" t="inlineStr">
        <is>
          <t>T-2018-Q3-00050</t>
        </is>
      </c>
      <c r="B4394" t="inlineStr">
        <is>
          <t>SLE</t>
        </is>
      </c>
      <c r="C4394" t="inlineStr">
        <is>
          <t>Vice-President, Nova Scotia</t>
        </is>
      </c>
      <c r="D4394" t="inlineStr">
        <is>
          <t>Vice-président, Nouvelle-Écosse</t>
        </is>
      </c>
      <c r="E4394" t="inlineStr">
        <is>
          <t>Chuck Maillet</t>
        </is>
      </c>
      <c r="F4394" t="inlineStr">
        <is>
          <t>Various events with stakeholders</t>
        </is>
      </c>
      <c r="G4394" t="inlineStr">
        <is>
          <t>Diverses activités avec des intervenants</t>
        </is>
      </c>
      <c r="H4394" s="1" t="n">
        <v>43062</v>
      </c>
      <c r="I4394" s="1" t="n">
        <v>43062</v>
      </c>
      <c r="J4394" t="inlineStr">
        <is>
          <t>Truro, Nova Scotia</t>
        </is>
      </c>
      <c r="K4394" t="inlineStr">
        <is>
          <t>Truro (Nouvelle-Écosse)</t>
        </is>
      </c>
      <c r="P4394" t="n">
        <v>0</v>
      </c>
      <c r="Q4394" t="n">
        <v>0</v>
      </c>
      <c r="R4394" t="n">
        <v>0</v>
      </c>
      <c r="S4394" t="n">
        <v>66.25</v>
      </c>
      <c r="T4394" t="n">
        <v>0</v>
      </c>
      <c r="U4394" t="n">
        <v>66.25</v>
      </c>
      <c r="X4394" t="inlineStr">
        <is>
          <t>acoa-apeca</t>
        </is>
      </c>
      <c r="Y4394" t="inlineStr">
        <is>
          <t>Atlantic Canada Opportunities Agency | Agence de promotion économique du Canada atlantique</t>
        </is>
      </c>
    </row>
    <row r="4395">
      <c r="A4395" t="inlineStr">
        <is>
          <t>T-2018-Q3-00048</t>
        </is>
      </c>
      <c r="B4395" t="inlineStr">
        <is>
          <t>SLE</t>
        </is>
      </c>
      <c r="C4395" t="inlineStr">
        <is>
          <t>A/Vice-President, Finance and Corporate Services</t>
        </is>
      </c>
      <c r="D4395" t="inlineStr">
        <is>
          <t>Vice-président par intérim, Finances et Services corporatifs</t>
        </is>
      </c>
      <c r="E4395" t="inlineStr">
        <is>
          <t>Stephane Lagace</t>
        </is>
      </c>
      <c r="F4395" t="inlineStr">
        <is>
          <t>Meetings with Government of Canada officials</t>
        </is>
      </c>
      <c r="G4395" t="inlineStr">
        <is>
          <t>Réunions avec des fonctionnaires du gouvernement du Canada</t>
        </is>
      </c>
      <c r="H4395" s="1" t="n">
        <v>43049</v>
      </c>
      <c r="I4395" s="1" t="n">
        <v>43049</v>
      </c>
      <c r="J4395" t="inlineStr">
        <is>
          <t>Fredericton, New Brunswick</t>
        </is>
      </c>
      <c r="K4395" t="inlineStr">
        <is>
          <t>Fredericton (Nouveau-Brunswick)</t>
        </is>
      </c>
      <c r="P4395" t="n">
        <v>66.25</v>
      </c>
      <c r="Q4395" t="n">
        <v>0</v>
      </c>
      <c r="R4395" t="n">
        <v>0</v>
      </c>
      <c r="S4395" t="n">
        <v>0</v>
      </c>
      <c r="T4395" t="n">
        <v>4</v>
      </c>
      <c r="U4395" t="n">
        <v>70.25</v>
      </c>
      <c r="X4395" t="inlineStr">
        <is>
          <t>acoa-apeca</t>
        </is>
      </c>
      <c r="Y4395" t="inlineStr">
        <is>
          <t>Atlantic Canada Opportunities Agency | Agence de promotion économique du Canada atlantique</t>
        </is>
      </c>
    </row>
    <row r="4396">
      <c r="A4396" t="inlineStr">
        <is>
          <t>T-2018-Q3-00047</t>
        </is>
      </c>
      <c r="B4396" t="inlineStr">
        <is>
          <t>SLE</t>
        </is>
      </c>
      <c r="C4396" t="inlineStr">
        <is>
          <t>A/Vice-President, Finance and Corporate Services</t>
        </is>
      </c>
      <c r="D4396" t="inlineStr">
        <is>
          <t>Vice-président par intérim, Finances et Services corporatifs</t>
        </is>
      </c>
      <c r="E4396" t="inlineStr">
        <is>
          <t>Stephane Lagace</t>
        </is>
      </c>
      <c r="F4396" t="inlineStr">
        <is>
          <t>Meetings with Government of Canada officials</t>
        </is>
      </c>
      <c r="G4396" t="inlineStr">
        <is>
          <t>Réunions avec des fonctionnaires du gouvernement du Canada</t>
        </is>
      </c>
      <c r="H4396" s="1" t="n">
        <v>43024</v>
      </c>
      <c r="I4396" s="1" t="n">
        <v>43026</v>
      </c>
      <c r="J4396" t="inlineStr">
        <is>
          <t>Wolfville, Nova Scotia</t>
        </is>
      </c>
      <c r="K4396" t="inlineStr">
        <is>
          <t>Wolfville (Nouvelle-Écosse)</t>
        </is>
      </c>
      <c r="P4396" t="n">
        <v>0</v>
      </c>
      <c r="Q4396" t="n">
        <v>155.42</v>
      </c>
      <c r="R4396" t="n">
        <v>257.6</v>
      </c>
      <c r="S4396" t="n">
        <v>222.6</v>
      </c>
      <c r="T4396" t="n">
        <v>84.48999999999999</v>
      </c>
      <c r="U4396" t="n">
        <v>720.11</v>
      </c>
      <c r="X4396" t="inlineStr">
        <is>
          <t>acoa-apeca</t>
        </is>
      </c>
      <c r="Y4396" t="inlineStr">
        <is>
          <t>Atlantic Canada Opportunities Agency | Agence de promotion économique du Canada atlantique</t>
        </is>
      </c>
    </row>
    <row r="4397">
      <c r="A4397" t="inlineStr">
        <is>
          <t>T-2018-Q3-00046</t>
        </is>
      </c>
      <c r="B4397" t="inlineStr">
        <is>
          <t>SLE</t>
        </is>
      </c>
      <c r="C4397" t="inlineStr">
        <is>
          <t>Senior Advisor (Energy)</t>
        </is>
      </c>
      <c r="D4397" t="inlineStr">
        <is>
          <t>Conseiller spécial (energie)</t>
        </is>
      </c>
      <c r="E4397" t="inlineStr">
        <is>
          <t>Andrew F. Noseworthy</t>
        </is>
      </c>
      <c r="F4397" t="inlineStr">
        <is>
          <t>Newfoundland and Labrador subsea cost reduction group visit to Norway and the United Kingdom</t>
        </is>
      </c>
      <c r="G4397" t="inlineStr">
        <is>
          <t>Visite du groupe de réduction des coûts d'opérations sous-marines de Terre-Neuve-et-Labrador en Norvège et au Royaume-Uni</t>
        </is>
      </c>
      <c r="H4397" s="1" t="n">
        <v>42994</v>
      </c>
      <c r="I4397" s="1" t="n">
        <v>43001</v>
      </c>
      <c r="J4397" t="inlineStr">
        <is>
          <t>Oslo, Norway; Stavanger, Norway; Aberdeen, United Kingdom; London, United Kingdom</t>
        </is>
      </c>
      <c r="K4397" t="inlineStr">
        <is>
          <t>Oslo et Stavanger, Norvège; Aberdeen et Londres (Royaume-Uni)</t>
        </is>
      </c>
      <c r="P4397" t="n">
        <v>1929.36</v>
      </c>
      <c r="Q4397" t="n">
        <v>524.28</v>
      </c>
      <c r="R4397" t="n">
        <v>1942.76</v>
      </c>
      <c r="S4397" t="n">
        <v>1029.19</v>
      </c>
      <c r="T4397" t="n">
        <v>0</v>
      </c>
      <c r="U4397" t="n">
        <v>5425.59</v>
      </c>
      <c r="X4397" t="inlineStr">
        <is>
          <t>acoa-apeca</t>
        </is>
      </c>
      <c r="Y4397" t="inlineStr">
        <is>
          <t>Atlantic Canada Opportunities Agency | Agence de promotion économique du Canada atlantique</t>
        </is>
      </c>
    </row>
    <row r="4398">
      <c r="A4398" t="inlineStr">
        <is>
          <t>T-2018-Q3-00045</t>
        </is>
      </c>
      <c r="B4398" t="inlineStr">
        <is>
          <t>SLE</t>
        </is>
      </c>
      <c r="C4398" t="inlineStr">
        <is>
          <t>Senior Advisor (Energy)</t>
        </is>
      </c>
      <c r="D4398" t="inlineStr">
        <is>
          <t>Conseiller spécial (energie)</t>
        </is>
      </c>
      <c r="E4398" t="inlineStr">
        <is>
          <t>Andrew F. Noseworthy</t>
        </is>
      </c>
      <c r="F4398" t="inlineStr">
        <is>
          <t>Attend Offshore Europe Conference and the International Upstream Forum 2017</t>
        </is>
      </c>
      <c r="G4398" t="inlineStr">
        <is>
          <t>Assister à la conférence Offshore Europe et à l'International Upstream Forum 2017</t>
        </is>
      </c>
      <c r="H4398" s="1" t="n">
        <v>42980</v>
      </c>
      <c r="I4398" s="1" t="n">
        <v>42988</v>
      </c>
      <c r="J4398" t="inlineStr">
        <is>
          <t>Aberdeen, United Kingdom</t>
        </is>
      </c>
      <c r="K4398" t="inlineStr">
        <is>
          <t>Aberdeen (Royaume-Uni)</t>
        </is>
      </c>
      <c r="P4398" t="n">
        <v>2080.56</v>
      </c>
      <c r="Q4398" t="n">
        <v>438.14</v>
      </c>
      <c r="R4398" t="n">
        <v>1903.58</v>
      </c>
      <c r="S4398" t="n">
        <v>898.59</v>
      </c>
      <c r="T4398" t="n">
        <v>0</v>
      </c>
      <c r="U4398" t="n">
        <v>5320.87</v>
      </c>
      <c r="X4398" t="inlineStr">
        <is>
          <t>acoa-apeca</t>
        </is>
      </c>
      <c r="Y4398" t="inlineStr">
        <is>
          <t>Atlantic Canada Opportunities Agency | Agence de promotion économique du Canada atlantique</t>
        </is>
      </c>
    </row>
    <row r="4399">
      <c r="A4399" t="inlineStr">
        <is>
          <t>T-2018-Q3-00044</t>
        </is>
      </c>
      <c r="B4399" t="inlineStr">
        <is>
          <t>SLE</t>
        </is>
      </c>
      <c r="C4399" t="inlineStr">
        <is>
          <t>Senior Advisor (Energy)</t>
        </is>
      </c>
      <c r="D4399" t="inlineStr">
        <is>
          <t>Conseiller spécial (energie)</t>
        </is>
      </c>
      <c r="E4399" t="inlineStr">
        <is>
          <t>Andrew F. Noseworthy</t>
        </is>
      </c>
      <c r="F4399" t="inlineStr">
        <is>
          <t>Attend Vice-Presidents' Retreat</t>
        </is>
      </c>
      <c r="G4399" t="inlineStr">
        <is>
          <t>Assister à la retraite des vice-présidents</t>
        </is>
      </c>
      <c r="H4399" s="1" t="n">
        <v>43025</v>
      </c>
      <c r="I4399" s="1" t="n">
        <v>43026</v>
      </c>
      <c r="J4399" t="inlineStr">
        <is>
          <t>Greenwich, Nova Scotia</t>
        </is>
      </c>
      <c r="K4399" t="inlineStr">
        <is>
          <t>Greenwich (Nouvelle-Écosse)</t>
        </is>
      </c>
      <c r="P4399" t="n">
        <v>708.46</v>
      </c>
      <c r="Q4399" t="n">
        <v>122.45</v>
      </c>
      <c r="R4399" t="n">
        <v>128.8</v>
      </c>
      <c r="S4399" t="n">
        <v>139.05</v>
      </c>
      <c r="T4399" t="n">
        <v>53</v>
      </c>
      <c r="U4399" t="n">
        <v>1151.76</v>
      </c>
      <c r="X4399" t="inlineStr">
        <is>
          <t>acoa-apeca</t>
        </is>
      </c>
      <c r="Y4399" t="inlineStr">
        <is>
          <t>Atlantic Canada Opportunities Agency | Agence de promotion économique du Canada atlantique</t>
        </is>
      </c>
    </row>
    <row r="4400">
      <c r="A4400" t="inlineStr">
        <is>
          <t>T-2018-Q3-00043</t>
        </is>
      </c>
      <c r="B4400" t="inlineStr">
        <is>
          <t>SLE</t>
        </is>
      </c>
      <c r="C4400" t="inlineStr">
        <is>
          <t>Senior Advisor (Energy)</t>
        </is>
      </c>
      <c r="D4400" t="inlineStr">
        <is>
          <t>Conseiller spécial (energie)</t>
        </is>
      </c>
      <c r="E4400" t="inlineStr">
        <is>
          <t>Andrew F. Noseworthy</t>
        </is>
      </c>
      <c r="F4400" t="inlineStr">
        <is>
          <t>Attend Executive Committee meeting</t>
        </is>
      </c>
      <c r="G4400" t="inlineStr">
        <is>
          <t>Assister à une réunion du Comité de direction</t>
        </is>
      </c>
      <c r="H4400" s="1" t="n">
        <v>42991</v>
      </c>
      <c r="I4400" s="1" t="n">
        <v>42992</v>
      </c>
      <c r="J4400" t="inlineStr">
        <is>
          <t>Moncton, New Brunswick</t>
        </is>
      </c>
      <c r="K4400" t="inlineStr">
        <is>
          <t>Moncton (Nouveau-Brunswick)</t>
        </is>
      </c>
      <c r="P4400" t="n">
        <v>926.26</v>
      </c>
      <c r="Q4400" t="n">
        <v>131.57</v>
      </c>
      <c r="R4400" t="n">
        <v>132.25</v>
      </c>
      <c r="S4400" t="n">
        <v>115.75</v>
      </c>
      <c r="T4400" t="n">
        <v>56.1</v>
      </c>
      <c r="U4400" t="n">
        <v>1361.93</v>
      </c>
      <c r="X4400" t="inlineStr">
        <is>
          <t>acoa-apeca</t>
        </is>
      </c>
      <c r="Y4400" t="inlineStr">
        <is>
          <t>Atlantic Canada Opportunities Agency | Agence de promotion économique du Canada atlantique</t>
        </is>
      </c>
    </row>
    <row r="4401">
      <c r="A4401" t="inlineStr">
        <is>
          <t>T-2018-Q3-00042</t>
        </is>
      </c>
      <c r="B4401" t="inlineStr">
        <is>
          <t>SLE</t>
        </is>
      </c>
      <c r="C4401" t="inlineStr">
        <is>
          <t>Vice-President, Newfoundland and Labrador</t>
        </is>
      </c>
      <c r="D4401" t="inlineStr">
        <is>
          <t>Vice-président, Terre-Neuve-et-Labrador</t>
        </is>
      </c>
      <c r="E4401" t="inlineStr">
        <is>
          <t>Ken Martin</t>
        </is>
      </c>
      <c r="F4401" t="inlineStr">
        <is>
          <t>Meetings and discussions with key community stakeholders</t>
        </is>
      </c>
      <c r="G4401" t="inlineStr">
        <is>
          <t>Réunions et discussions avec des intervenants clés de la collectivité</t>
        </is>
      </c>
      <c r="H4401" s="1" t="n">
        <v>43061</v>
      </c>
      <c r="I4401" s="1" t="n">
        <v>43062</v>
      </c>
      <c r="J4401" t="inlineStr">
        <is>
          <t>Goose Bay, Newfoundland and Labrador</t>
        </is>
      </c>
      <c r="K4401" t="inlineStr">
        <is>
          <t>Goose Bay (Terre-Neuve-et-Labrador)</t>
        </is>
      </c>
      <c r="P4401" t="n">
        <v>1107.73</v>
      </c>
      <c r="Q4401" t="n">
        <v>15.12</v>
      </c>
      <c r="R4401" t="n">
        <v>166.75</v>
      </c>
      <c r="S4401" t="n">
        <v>167.3</v>
      </c>
      <c r="T4401" t="n">
        <v>0</v>
      </c>
      <c r="U4401" t="n">
        <v>1456.9</v>
      </c>
      <c r="X4401" t="inlineStr">
        <is>
          <t>acoa-apeca</t>
        </is>
      </c>
      <c r="Y4401" t="inlineStr">
        <is>
          <t>Atlantic Canada Opportunities Agency | Agence de promotion économique du Canada atlantique</t>
        </is>
      </c>
    </row>
    <row r="4402">
      <c r="A4402" t="inlineStr">
        <is>
          <t>T-2018-Q3-00024</t>
        </is>
      </c>
      <c r="B4402" t="inlineStr">
        <is>
          <t>SLE</t>
        </is>
      </c>
      <c r="C4402" t="inlineStr">
        <is>
          <t>Vice-President, Newfoundland and Labrador</t>
        </is>
      </c>
      <c r="D4402" t="inlineStr">
        <is>
          <t>Vice-président, Terre-Neuve-et-Labrador</t>
        </is>
      </c>
      <c r="E4402" t="inlineStr">
        <is>
          <t>Ken Martin</t>
        </is>
      </c>
      <c r="F4402" t="inlineStr">
        <is>
          <t>Attend client meeting in Holyrood</t>
        </is>
      </c>
      <c r="G4402" t="inlineStr">
        <is>
          <t>Assister à une réunion avec un client à Holyrood</t>
        </is>
      </c>
      <c r="H4402" s="1" t="n">
        <v>43014</v>
      </c>
      <c r="I4402" s="1" t="n">
        <v>43014</v>
      </c>
      <c r="J4402" t="inlineStr">
        <is>
          <t>Holyrood, Newfoundland and Labrador</t>
        </is>
      </c>
      <c r="K4402" t="inlineStr">
        <is>
          <t>Holyrood (Terre-Neuve-et-Labrador)</t>
        </is>
      </c>
      <c r="P4402" t="n">
        <v>0</v>
      </c>
      <c r="Q4402" t="n">
        <v>48.6</v>
      </c>
      <c r="R4402" t="n">
        <v>0</v>
      </c>
      <c r="S4402" t="n">
        <v>0</v>
      </c>
      <c r="T4402" t="n">
        <v>0</v>
      </c>
      <c r="U4402" t="n">
        <v>48.6</v>
      </c>
      <c r="X4402" t="inlineStr">
        <is>
          <t>acoa-apeca</t>
        </is>
      </c>
      <c r="Y4402" t="inlineStr">
        <is>
          <t>Atlantic Canada Opportunities Agency | Agence de promotion économique du Canada atlantique</t>
        </is>
      </c>
    </row>
    <row r="4403">
      <c r="A4403" t="inlineStr">
        <is>
          <t>T-2018-Q3-00041</t>
        </is>
      </c>
      <c r="B4403" t="inlineStr">
        <is>
          <t>SLE</t>
        </is>
      </c>
      <c r="C4403" t="inlineStr">
        <is>
          <t>Vice-President, Prince Edward Island</t>
        </is>
      </c>
      <c r="D4403" t="inlineStr">
        <is>
          <t>Vice-président, Île-du-Prince-Édouard</t>
        </is>
      </c>
      <c r="E4403" t="inlineStr">
        <is>
          <t>Patrick Dorsey</t>
        </is>
      </c>
      <c r="F4403" t="inlineStr">
        <is>
          <t>Meetings with Government of Canada officials</t>
        </is>
      </c>
      <c r="G4403" t="inlineStr">
        <is>
          <t>Réunions avec des fonctionnaires du gouvernement du Canada</t>
        </is>
      </c>
      <c r="H4403" s="1" t="n">
        <v>43060</v>
      </c>
      <c r="I4403" s="1" t="n">
        <v>43061</v>
      </c>
      <c r="J4403" t="inlineStr">
        <is>
          <t>Moncton, New Brunswick</t>
        </is>
      </c>
      <c r="K4403" t="inlineStr">
        <is>
          <t>Moncton (Nouveau-Brunswick)</t>
        </is>
      </c>
      <c r="P4403" t="n">
        <v>0</v>
      </c>
      <c r="Q4403" t="n">
        <v>57.5</v>
      </c>
      <c r="R4403" t="n">
        <v>148.35</v>
      </c>
      <c r="S4403" t="n">
        <v>167.3</v>
      </c>
      <c r="T4403" t="n">
        <v>0</v>
      </c>
      <c r="U4403" t="n">
        <v>373.15</v>
      </c>
      <c r="X4403" t="inlineStr">
        <is>
          <t>acoa-apeca</t>
        </is>
      </c>
      <c r="Y4403" t="inlineStr">
        <is>
          <t>Atlantic Canada Opportunities Agency | Agence de promotion économique du Canada atlantique</t>
        </is>
      </c>
    </row>
    <row r="4404">
      <c r="A4404" t="inlineStr">
        <is>
          <t>T-2018-Q3-00039</t>
        </is>
      </c>
      <c r="B4404" t="inlineStr">
        <is>
          <t>SLE</t>
        </is>
      </c>
      <c r="C4404" t="inlineStr">
        <is>
          <t>Vice-President, Newfoundland and Labrador</t>
        </is>
      </c>
      <c r="D4404" t="inlineStr">
        <is>
          <t>Vice-président, Terre-Neuve-et-Labrador</t>
        </is>
      </c>
      <c r="E4404" t="inlineStr">
        <is>
          <t>Ken Martin</t>
        </is>
      </c>
      <c r="F4404" t="inlineStr">
        <is>
          <t>Attend meetings with clients and senior government officials</t>
        </is>
      </c>
      <c r="G4404" t="inlineStr">
        <is>
          <t>Assister à des réunions avec des clients et des hauts fonctionnaires</t>
        </is>
      </c>
      <c r="H4404" s="1" t="n">
        <v>43053</v>
      </c>
      <c r="I4404" s="1" t="n">
        <v>43055</v>
      </c>
      <c r="J4404" t="inlineStr">
        <is>
          <t>St. John's and surrounding area, Newfoundland and Labrador</t>
        </is>
      </c>
      <c r="K4404" t="inlineStr">
        <is>
          <t>St. John's et environs (Terre-Neuve-et-Labrador)</t>
        </is>
      </c>
      <c r="P4404" t="n">
        <v>0</v>
      </c>
      <c r="Q4404" t="n">
        <v>43.74</v>
      </c>
      <c r="R4404" t="n">
        <v>0</v>
      </c>
      <c r="S4404" t="n">
        <v>113.6</v>
      </c>
      <c r="T4404" t="n">
        <v>0</v>
      </c>
      <c r="U4404" t="n">
        <v>157.34</v>
      </c>
      <c r="X4404" t="inlineStr">
        <is>
          <t>acoa-apeca</t>
        </is>
      </c>
      <c r="Y4404" t="inlineStr">
        <is>
          <t>Atlantic Canada Opportunities Agency | Agence de promotion économique du Canada atlantique</t>
        </is>
      </c>
    </row>
    <row r="4405">
      <c r="A4405" t="inlineStr">
        <is>
          <t>T-2018-Q3-00038</t>
        </is>
      </c>
      <c r="B4405" t="inlineStr">
        <is>
          <t>SLE</t>
        </is>
      </c>
      <c r="C4405" t="inlineStr">
        <is>
          <t>Vice-President, Newfoundland and Labrador</t>
        </is>
      </c>
      <c r="D4405" t="inlineStr">
        <is>
          <t>Vice-président, Terre-Neuve-et-Labrador</t>
        </is>
      </c>
      <c r="E4405" t="inlineStr">
        <is>
          <t>Ken Martin</t>
        </is>
      </c>
      <c r="F4405" t="inlineStr">
        <is>
          <t>Attend client meetings</t>
        </is>
      </c>
      <c r="G4405" t="inlineStr">
        <is>
          <t>Assister à des réunions avec des clients</t>
        </is>
      </c>
      <c r="H4405" s="1" t="n">
        <v>43052</v>
      </c>
      <c r="I4405" s="1" t="n">
        <v>43053</v>
      </c>
      <c r="J4405" t="inlineStr">
        <is>
          <t>Conne River, Newfoundland and Labrador</t>
        </is>
      </c>
      <c r="K4405" t="inlineStr">
        <is>
          <t>Conne River (Terre-Neuve-et-Labrador)</t>
        </is>
      </c>
      <c r="P4405" t="n">
        <v>1349.18</v>
      </c>
      <c r="Q4405" t="n">
        <v>20.4</v>
      </c>
      <c r="R4405" t="n">
        <v>126</v>
      </c>
      <c r="S4405" t="n">
        <v>72.59999999999999</v>
      </c>
      <c r="T4405" t="n">
        <v>16</v>
      </c>
      <c r="U4405" t="n">
        <v>1584.18</v>
      </c>
      <c r="X4405" t="inlineStr">
        <is>
          <t>acoa-apeca</t>
        </is>
      </c>
      <c r="Y4405" t="inlineStr">
        <is>
          <t>Atlantic Canada Opportunities Agency | Agence de promotion économique du Canada atlantique</t>
        </is>
      </c>
    </row>
    <row r="4406">
      <c r="A4406" t="inlineStr">
        <is>
          <t>T-2018-Q3-00037</t>
        </is>
      </c>
      <c r="B4406" t="inlineStr">
        <is>
          <t>SLE</t>
        </is>
      </c>
      <c r="C4406" t="inlineStr">
        <is>
          <t>Vice-President, Newfoundland and Labrador</t>
        </is>
      </c>
      <c r="D4406" t="inlineStr">
        <is>
          <t>Vice-président, Terre-Neuve-et-Labrador</t>
        </is>
      </c>
      <c r="E4406" t="inlineStr">
        <is>
          <t>Ken Martin</t>
        </is>
      </c>
      <c r="F4406" t="inlineStr">
        <is>
          <t>To attend meeting with senior officials in Ottawa</t>
        </is>
      </c>
      <c r="G4406" t="inlineStr">
        <is>
          <t>Assister à une réunion avec des hauts fonctionnaires à Ottawa</t>
        </is>
      </c>
      <c r="H4406" s="1" t="n">
        <v>43045</v>
      </c>
      <c r="I4406" s="1" t="n">
        <v>43045</v>
      </c>
      <c r="J4406" t="inlineStr">
        <is>
          <t>Ottawa, Ontario</t>
        </is>
      </c>
      <c r="K4406" t="inlineStr">
        <is>
          <t>Ottawa (Ontario)</t>
        </is>
      </c>
      <c r="P4406" t="n">
        <v>869.7</v>
      </c>
      <c r="Q4406" t="n">
        <v>86.12</v>
      </c>
      <c r="R4406" t="n">
        <v>0</v>
      </c>
      <c r="S4406" t="n">
        <v>85.34999999999999</v>
      </c>
      <c r="T4406" t="n">
        <v>0</v>
      </c>
      <c r="U4406" t="n">
        <v>1041.17</v>
      </c>
      <c r="X4406" t="inlineStr">
        <is>
          <t>acoa-apeca</t>
        </is>
      </c>
      <c r="Y4406" t="inlineStr">
        <is>
          <t>Atlantic Canada Opportunities Agency | Agence de promotion économique du Canada atlantique</t>
        </is>
      </c>
    </row>
    <row r="4407">
      <c r="A4407" t="inlineStr">
        <is>
          <t>T-2018-Q3-00036</t>
        </is>
      </c>
      <c r="B4407" t="inlineStr">
        <is>
          <t>SLE</t>
        </is>
      </c>
      <c r="C4407" t="inlineStr">
        <is>
          <t>Vice-President, Policy and Programs</t>
        </is>
      </c>
      <c r="D4407" t="inlineStr">
        <is>
          <t>Vice-président, Politiques et Programmes</t>
        </is>
      </c>
      <c r="E4407" t="inlineStr">
        <is>
          <t>Daryell Nowlan</t>
        </is>
      </c>
      <c r="F4407" t="inlineStr">
        <is>
          <t>Meeting with official</t>
        </is>
      </c>
      <c r="G4407" t="inlineStr">
        <is>
          <t>Réunion avec un représentant</t>
        </is>
      </c>
      <c r="H4407" s="1" t="n">
        <v>43051</v>
      </c>
      <c r="I4407" s="1" t="n">
        <v>43053</v>
      </c>
      <c r="J4407" t="inlineStr">
        <is>
          <t>Toronto, Ontario</t>
        </is>
      </c>
      <c r="K4407" t="inlineStr">
        <is>
          <t>Toronto (Ontario)</t>
        </is>
      </c>
      <c r="P4407" t="n">
        <v>477.96</v>
      </c>
      <c r="Q4407" t="n">
        <v>62</v>
      </c>
      <c r="R4407" t="n">
        <v>207.64</v>
      </c>
      <c r="S4407" t="n">
        <v>167.3</v>
      </c>
      <c r="T4407" t="n">
        <v>0</v>
      </c>
      <c r="U4407" t="n">
        <v>914.9</v>
      </c>
      <c r="X4407" t="inlineStr">
        <is>
          <t>acoa-apeca</t>
        </is>
      </c>
      <c r="Y4407" t="inlineStr">
        <is>
          <t>Atlantic Canada Opportunities Agency | Agence de promotion économique du Canada atlantique</t>
        </is>
      </c>
    </row>
    <row r="4408">
      <c r="A4408" t="inlineStr">
        <is>
          <t>T-2018-Q3-00035</t>
        </is>
      </c>
      <c r="B4408" t="inlineStr">
        <is>
          <t>SLE</t>
        </is>
      </c>
      <c r="C4408" t="inlineStr">
        <is>
          <t>Vice-President, Newfoundland and Labrador</t>
        </is>
      </c>
      <c r="D4408" t="inlineStr">
        <is>
          <t>Vice-président, Terre-Neuve-et-Labrador</t>
        </is>
      </c>
      <c r="E4408" t="inlineStr">
        <is>
          <t>Ken Martin</t>
        </is>
      </c>
      <c r="F4408" t="inlineStr">
        <is>
          <t>Attend meetings with Newfoundland and Labrador Federal Caucus</t>
        </is>
      </c>
      <c r="G4408" t="inlineStr">
        <is>
          <t>Assister à des réunions avec le caucus libéral de Terre-Neuve-et-Labrador</t>
        </is>
      </c>
      <c r="H4408" s="1" t="n">
        <v>43039</v>
      </c>
      <c r="I4408" s="1" t="n">
        <v>43041</v>
      </c>
      <c r="J4408" t="inlineStr">
        <is>
          <t>Ottawa, Ontario</t>
        </is>
      </c>
      <c r="K4408" t="inlineStr">
        <is>
          <t>Ottawa (Ontario)</t>
        </is>
      </c>
      <c r="P4408" t="n">
        <v>885.35</v>
      </c>
      <c r="Q4408" t="n">
        <v>98.40000000000001</v>
      </c>
      <c r="R4408" t="n">
        <v>439.96</v>
      </c>
      <c r="S4408" t="n">
        <v>222.4</v>
      </c>
      <c r="T4408" t="n">
        <v>0</v>
      </c>
      <c r="U4408" t="n">
        <v>1646.11</v>
      </c>
      <c r="X4408" t="inlineStr">
        <is>
          <t>acoa-apeca</t>
        </is>
      </c>
      <c r="Y4408" t="inlineStr">
        <is>
          <t>Atlantic Canada Opportunities Agency | Agence de promotion économique du Canada atlantique</t>
        </is>
      </c>
    </row>
    <row r="4409">
      <c r="A4409" t="inlineStr">
        <is>
          <t>T-2018-Q3-00034</t>
        </is>
      </c>
      <c r="B4409" t="inlineStr">
        <is>
          <t>SLE</t>
        </is>
      </c>
      <c r="C4409" t="inlineStr">
        <is>
          <t>President</t>
        </is>
      </c>
      <c r="D4409" t="inlineStr">
        <is>
          <t>Président</t>
        </is>
      </c>
      <c r="E4409" t="inlineStr">
        <is>
          <t>Francis McGuire</t>
        </is>
      </c>
      <c r="F4409" t="inlineStr">
        <is>
          <t>For various meetings and discussions with Agency officials, provincial government officials and key stakeholders</t>
        </is>
      </c>
      <c r="G4409" t="inlineStr">
        <is>
          <t>Diverses réunions et discussions avec des fonctionnaires de l'Agence et du gouvernement provincial et des intervenants clés</t>
        </is>
      </c>
      <c r="H4409" s="1" t="n">
        <v>43053</v>
      </c>
      <c r="I4409" s="1" t="n">
        <v>43055</v>
      </c>
      <c r="J4409" t="inlineStr">
        <is>
          <t>St. John's, Newfoundland and Labrador</t>
        </is>
      </c>
      <c r="K4409" t="inlineStr">
        <is>
          <t>St. John's (Terre-Neuve-et-Labrador)</t>
        </is>
      </c>
      <c r="P4409" t="n">
        <v>655.79</v>
      </c>
      <c r="Q4409" t="n">
        <v>0</v>
      </c>
      <c r="R4409" t="n">
        <v>340.34</v>
      </c>
      <c r="S4409" t="n">
        <v>222.6</v>
      </c>
      <c r="T4409" t="n">
        <v>121.4</v>
      </c>
      <c r="U4409" t="n">
        <v>1340.13</v>
      </c>
      <c r="X4409" t="inlineStr">
        <is>
          <t>acoa-apeca</t>
        </is>
      </c>
      <c r="Y4409" t="inlineStr">
        <is>
          <t>Atlantic Canada Opportunities Agency | Agence de promotion économique du Canada atlantique</t>
        </is>
      </c>
    </row>
    <row r="4410">
      <c r="A4410" t="inlineStr">
        <is>
          <t>T-2018-Q3-00033</t>
        </is>
      </c>
      <c r="B4410" t="inlineStr">
        <is>
          <t>SLE</t>
        </is>
      </c>
      <c r="C4410" t="inlineStr">
        <is>
          <t>President</t>
        </is>
      </c>
      <c r="D4410" t="inlineStr">
        <is>
          <t>Président</t>
        </is>
      </c>
      <c r="E4410" t="inlineStr">
        <is>
          <t>Francis McGuire</t>
        </is>
      </c>
      <c r="F4410" t="inlineStr">
        <is>
          <t>For meetings with Agency officials, Government of Canada officials and key stakeholders</t>
        </is>
      </c>
      <c r="G4410" t="inlineStr">
        <is>
          <t>Diverses réunions avec des fonctionnaires de l'Agence et du gouvernement du Canada et des intervenants clés</t>
        </is>
      </c>
      <c r="H4410" s="1" t="n">
        <v>43044</v>
      </c>
      <c r="I4410" s="1" t="n">
        <v>43047</v>
      </c>
      <c r="J4410" t="inlineStr">
        <is>
          <t>Ottawa, Ontario and Montreal, Quebec</t>
        </is>
      </c>
      <c r="K4410" t="inlineStr">
        <is>
          <t>Ottawa (Ontario) et Montréal (Québec)</t>
        </is>
      </c>
      <c r="P4410" t="n">
        <v>1925.97</v>
      </c>
      <c r="Q4410" t="n">
        <v>128</v>
      </c>
      <c r="R4410" t="n">
        <v>608.48</v>
      </c>
      <c r="S4410" t="n">
        <v>258.8</v>
      </c>
      <c r="T4410" t="n">
        <v>588.33</v>
      </c>
      <c r="U4410" t="n">
        <v>3509.58</v>
      </c>
      <c r="X4410" t="inlineStr">
        <is>
          <t>acoa-apeca</t>
        </is>
      </c>
      <c r="Y4410" t="inlineStr">
        <is>
          <t>Atlantic Canada Opportunities Agency | Agence de promotion économique du Canada atlantique</t>
        </is>
      </c>
    </row>
    <row r="4411">
      <c r="A4411" t="inlineStr">
        <is>
          <t>T-2018-Q3-00032</t>
        </is>
      </c>
      <c r="B4411" t="inlineStr">
        <is>
          <t>SLE</t>
        </is>
      </c>
      <c r="C4411" t="inlineStr">
        <is>
          <t>Vice-President, Prince Edward Island</t>
        </is>
      </c>
      <c r="D4411" t="inlineStr">
        <is>
          <t>Vice-président, Île-du-Prince-Édouard</t>
        </is>
      </c>
      <c r="E4411" t="inlineStr">
        <is>
          <t>Patrick Dorsey</t>
        </is>
      </c>
      <c r="F4411" t="inlineStr">
        <is>
          <t>Meeting with Government of Canada officials</t>
        </is>
      </c>
      <c r="G4411" t="inlineStr">
        <is>
          <t>Réunion avec des fonctionnaires du gouvernement du Canada</t>
        </is>
      </c>
      <c r="H4411" s="1" t="n">
        <v>43040</v>
      </c>
      <c r="I4411" s="1" t="n">
        <v>43040</v>
      </c>
      <c r="J4411" t="inlineStr">
        <is>
          <t>Moncton, New Brunswick</t>
        </is>
      </c>
      <c r="K4411" t="inlineStr">
        <is>
          <t>Moncton (Nouveau-Brunswick)</t>
        </is>
      </c>
      <c r="P4411" t="n">
        <v>0</v>
      </c>
      <c r="Q4411" t="n">
        <v>0</v>
      </c>
      <c r="R4411" t="n">
        <v>0</v>
      </c>
      <c r="S4411" t="n">
        <v>47.35</v>
      </c>
      <c r="T4411" t="n">
        <v>0</v>
      </c>
      <c r="U4411" t="n">
        <v>47.35</v>
      </c>
      <c r="X4411" t="inlineStr">
        <is>
          <t>acoa-apeca</t>
        </is>
      </c>
      <c r="Y4411" t="inlineStr">
        <is>
          <t>Atlantic Canada Opportunities Agency | Agence de promotion économique du Canada atlantique</t>
        </is>
      </c>
    </row>
    <row r="4412">
      <c r="A4412" t="inlineStr">
        <is>
          <t>T-2018-Q3-00031</t>
        </is>
      </c>
      <c r="B4412" t="inlineStr">
        <is>
          <t>SLE</t>
        </is>
      </c>
      <c r="C4412" t="inlineStr">
        <is>
          <t>Vice-President, Prince Edward Island</t>
        </is>
      </c>
      <c r="D4412" t="inlineStr">
        <is>
          <t>Vice-président, Île-du-Prince-Édouard</t>
        </is>
      </c>
      <c r="E4412" t="inlineStr">
        <is>
          <t>Patrick Dorsey</t>
        </is>
      </c>
      <c r="F4412" t="inlineStr">
        <is>
          <t>Meetings with Government of Canada officials and Food Summit</t>
        </is>
      </c>
      <c r="G4412" t="inlineStr">
        <is>
          <t>Réunions avec des fonctionnaires du gouvernement du Canada, et Sommet mondial de l'alimentation</t>
        </is>
      </c>
      <c r="H4412" s="1" t="n">
        <v>43031</v>
      </c>
      <c r="I4412" s="1" t="n">
        <v>43034</v>
      </c>
      <c r="J4412" t="inlineStr">
        <is>
          <t>Ottawa, Ontario / Truro, Nova Scotia</t>
        </is>
      </c>
      <c r="K4412" t="inlineStr">
        <is>
          <t>Ottawa (Ontario) et Truro (Nouvelle-Écosse)</t>
        </is>
      </c>
      <c r="P4412" t="n">
        <v>951.83</v>
      </c>
      <c r="Q4412" t="n">
        <v>165.62</v>
      </c>
      <c r="R4412" t="n">
        <v>575.4299999999999</v>
      </c>
      <c r="S4412" t="n">
        <v>259</v>
      </c>
      <c r="T4412" t="n">
        <v>0</v>
      </c>
      <c r="U4412" t="n">
        <v>1951.88</v>
      </c>
      <c r="X4412" t="inlineStr">
        <is>
          <t>acoa-apeca</t>
        </is>
      </c>
      <c r="Y4412" t="inlineStr">
        <is>
          <t>Atlantic Canada Opportunities Agency | Agence de promotion économique du Canada atlantique</t>
        </is>
      </c>
    </row>
    <row r="4413">
      <c r="A4413" t="inlineStr">
        <is>
          <t>T-2018-Q3-00030</t>
        </is>
      </c>
      <c r="B4413" t="inlineStr">
        <is>
          <t>SLE</t>
        </is>
      </c>
      <c r="C4413" t="inlineStr">
        <is>
          <t>Vice-President, Policy and Programs</t>
        </is>
      </c>
      <c r="D4413" t="inlineStr">
        <is>
          <t>Vice-président, Politiques et Programmes</t>
        </is>
      </c>
      <c r="E4413" t="inlineStr">
        <is>
          <t>Daryell Nowlan</t>
        </is>
      </c>
      <c r="F4413" t="inlineStr">
        <is>
          <t>Meetings with Government of Canada officials</t>
        </is>
      </c>
      <c r="G4413" t="inlineStr">
        <is>
          <t>Réunions avec des fonctionnaires du gouvernement du Canada</t>
        </is>
      </c>
      <c r="H4413" s="1" t="n">
        <v>43045</v>
      </c>
      <c r="I4413" s="1" t="n">
        <v>43046</v>
      </c>
      <c r="J4413" t="inlineStr">
        <is>
          <t>Ottawa, Ontario</t>
        </is>
      </c>
      <c r="K4413" t="inlineStr">
        <is>
          <t>Ottawa (Ontario)</t>
        </is>
      </c>
      <c r="P4413" t="n">
        <v>584.12</v>
      </c>
      <c r="Q4413" t="n">
        <v>91</v>
      </c>
      <c r="R4413" t="n">
        <v>203.68</v>
      </c>
      <c r="S4413" t="n">
        <v>167.1</v>
      </c>
      <c r="T4413" t="n">
        <v>0</v>
      </c>
      <c r="U4413" t="n">
        <v>1045.9</v>
      </c>
      <c r="X4413" t="inlineStr">
        <is>
          <t>acoa-apeca</t>
        </is>
      </c>
      <c r="Y4413" t="inlineStr">
        <is>
          <t>Atlantic Canada Opportunities Agency | Agence de promotion économique du Canada atlantique</t>
        </is>
      </c>
    </row>
    <row r="4414">
      <c r="A4414" t="inlineStr">
        <is>
          <t>T-2018-Q3-00029</t>
        </is>
      </c>
      <c r="B4414" t="inlineStr">
        <is>
          <t>SLE</t>
        </is>
      </c>
      <c r="C4414" t="inlineStr">
        <is>
          <t>President</t>
        </is>
      </c>
      <c r="D4414" t="inlineStr">
        <is>
          <t>Président</t>
        </is>
      </c>
      <c r="E4414" t="inlineStr">
        <is>
          <t>Francis McGuire</t>
        </is>
      </c>
      <c r="F4414" t="inlineStr">
        <is>
          <t>For various meetings and discussions with Agency officials, provincial government officials, key stakeholders and Government of Canada officials</t>
        </is>
      </c>
      <c r="G4414" t="inlineStr">
        <is>
          <t>Diverses réunions et discussions avec des fonctionnaires de l'Agence et du gouvernement provincial, des intervenants clés et des fonctionnaires du gouvernement du Canada</t>
        </is>
      </c>
      <c r="H4414" s="1" t="n">
        <v>43033</v>
      </c>
      <c r="I4414" s="1" t="n">
        <v>43034</v>
      </c>
      <c r="J4414" t="inlineStr">
        <is>
          <t>Halifax, Nova Scotia</t>
        </is>
      </c>
      <c r="K4414" t="inlineStr">
        <is>
          <t>Halifax (Nouvelle-Écosse)</t>
        </is>
      </c>
      <c r="P4414" t="n">
        <v>201.25</v>
      </c>
      <c r="Q4414" t="n">
        <v>0</v>
      </c>
      <c r="R4414" t="n">
        <v>209.97</v>
      </c>
      <c r="S4414" t="n">
        <v>186.4</v>
      </c>
      <c r="T4414" t="n">
        <v>78.54000000000001</v>
      </c>
      <c r="U4414" t="n">
        <v>676.16</v>
      </c>
      <c r="X4414" t="inlineStr">
        <is>
          <t>acoa-apeca</t>
        </is>
      </c>
      <c r="Y4414" t="inlineStr">
        <is>
          <t>Atlantic Canada Opportunities Agency | Agence de promotion économique du Canada atlantique</t>
        </is>
      </c>
    </row>
    <row r="4415">
      <c r="A4415" t="inlineStr">
        <is>
          <t>T-2018-Q3-00028</t>
        </is>
      </c>
      <c r="B4415" t="inlineStr">
        <is>
          <t>SLE</t>
        </is>
      </c>
      <c r="C4415" t="inlineStr">
        <is>
          <t>President</t>
        </is>
      </c>
      <c r="D4415" t="inlineStr">
        <is>
          <t>Président</t>
        </is>
      </c>
      <c r="E4415" t="inlineStr">
        <is>
          <t>Francis McGuire</t>
        </is>
      </c>
      <c r="F4415" t="inlineStr">
        <is>
          <t>For various meetings and discussions with officials from the Education sector, Agency officials and key stakeholders</t>
        </is>
      </c>
      <c r="G4415" t="inlineStr">
        <is>
          <t>Diverses réunions et discussions avec des représentants du secteur de l'éducation, des fonctionnaires de l'Agence et des intervenants clés</t>
        </is>
      </c>
      <c r="H4415" s="1" t="n">
        <v>43039</v>
      </c>
      <c r="I4415" s="1" t="n">
        <v>43042</v>
      </c>
      <c r="J4415" t="inlineStr">
        <is>
          <t>Sackville, New Brunswick and Saint John, New Brunswick</t>
        </is>
      </c>
      <c r="K4415" t="inlineStr">
        <is>
          <t>Sackville (Nouveau-Brunswick) et Saint John (Nouveau-Brunswick)</t>
        </is>
      </c>
      <c r="P4415" t="n">
        <v>0</v>
      </c>
      <c r="Q4415" t="n">
        <v>0</v>
      </c>
      <c r="R4415" t="n">
        <v>0</v>
      </c>
      <c r="S4415" t="n">
        <v>0</v>
      </c>
      <c r="T4415" t="n">
        <v>192.91</v>
      </c>
      <c r="U4415" t="n">
        <v>192.91</v>
      </c>
      <c r="X4415" t="inlineStr">
        <is>
          <t>acoa-apeca</t>
        </is>
      </c>
      <c r="Y4415" t="inlineStr">
        <is>
          <t>Atlantic Canada Opportunities Agency | Agence de promotion économique du Canada atlantique</t>
        </is>
      </c>
    </row>
    <row r="4416">
      <c r="A4416" t="inlineStr">
        <is>
          <t>T-2018-Q3-00026</t>
        </is>
      </c>
      <c r="B4416" t="inlineStr">
        <is>
          <t>SLE</t>
        </is>
      </c>
      <c r="C4416" t="inlineStr">
        <is>
          <t>Vice-President, Policy and Programs</t>
        </is>
      </c>
      <c r="D4416" t="inlineStr">
        <is>
          <t>Vice-président, Politiques et Programmes</t>
        </is>
      </c>
      <c r="E4416" t="inlineStr">
        <is>
          <t>Daryell Nowlan</t>
        </is>
      </c>
      <c r="F4416" t="inlineStr">
        <is>
          <t>Meetings with Government of Canada officials</t>
        </is>
      </c>
      <c r="G4416" t="inlineStr">
        <is>
          <t>Réunions avec des fonctionnaires du gouvernement du Canada</t>
        </is>
      </c>
      <c r="H4416" s="1" t="n">
        <v>43037</v>
      </c>
      <c r="I4416" s="1" t="n">
        <v>43039</v>
      </c>
      <c r="J4416" t="inlineStr">
        <is>
          <t>Ottawa, Ontario</t>
        </is>
      </c>
      <c r="K4416" t="inlineStr">
        <is>
          <t>Ottawa (Ontario)</t>
        </is>
      </c>
      <c r="P4416" t="n">
        <v>692.3</v>
      </c>
      <c r="Q4416" t="n">
        <v>145</v>
      </c>
      <c r="R4416" t="n">
        <v>400.38</v>
      </c>
      <c r="S4416" t="n">
        <v>212.85</v>
      </c>
      <c r="T4416" t="n">
        <v>0</v>
      </c>
      <c r="U4416" t="n">
        <v>1450.53</v>
      </c>
      <c r="X4416" t="inlineStr">
        <is>
          <t>acoa-apeca</t>
        </is>
      </c>
      <c r="Y4416" t="inlineStr">
        <is>
          <t>Atlantic Canada Opportunities Agency | Agence de promotion économique du Canada atlantique</t>
        </is>
      </c>
    </row>
    <row r="4417">
      <c r="A4417" t="inlineStr">
        <is>
          <t>T-2018-Q3-00025</t>
        </is>
      </c>
      <c r="B4417" t="inlineStr">
        <is>
          <t>SLE</t>
        </is>
      </c>
      <c r="C4417" t="inlineStr">
        <is>
          <t>President</t>
        </is>
      </c>
      <c r="D4417" t="inlineStr">
        <is>
          <t>Président</t>
        </is>
      </c>
      <c r="E4417" t="inlineStr">
        <is>
          <t>Francis McGuire</t>
        </is>
      </c>
      <c r="F4417" t="inlineStr">
        <is>
          <t>For a meeting with the Northern Economic Development Group</t>
        </is>
      </c>
      <c r="G4417" t="inlineStr">
        <is>
          <t>Réunion avec le groupe de développement économique pour le nord</t>
        </is>
      </c>
      <c r="H4417" s="1" t="n">
        <v>43038</v>
      </c>
      <c r="I4417" s="1" t="n">
        <v>43038</v>
      </c>
      <c r="J4417" t="inlineStr">
        <is>
          <t>Miramichi, New Brunswick</t>
        </is>
      </c>
      <c r="K4417" t="inlineStr">
        <is>
          <t>Miramichi (Nouveau-Brunswick)</t>
        </is>
      </c>
      <c r="P4417" t="n">
        <v>0</v>
      </c>
      <c r="Q4417" t="n">
        <v>0</v>
      </c>
      <c r="R4417" t="n">
        <v>0</v>
      </c>
      <c r="S4417" t="n">
        <v>0</v>
      </c>
      <c r="T4417" t="n">
        <v>152.51</v>
      </c>
      <c r="U4417" t="n">
        <v>152.51</v>
      </c>
      <c r="X4417" t="inlineStr">
        <is>
          <t>acoa-apeca</t>
        </is>
      </c>
      <c r="Y4417" t="inlineStr">
        <is>
          <t>Atlantic Canada Opportunities Agency | Agence de promotion économique du Canada atlantique</t>
        </is>
      </c>
    </row>
    <row r="4418">
      <c r="A4418" t="inlineStr">
        <is>
          <t>T-2018-Q3-00023</t>
        </is>
      </c>
      <c r="B4418" t="inlineStr">
        <is>
          <t>SLE</t>
        </is>
      </c>
      <c r="C4418" t="inlineStr">
        <is>
          <t>Vice-President, Newfoundland and Labrador</t>
        </is>
      </c>
      <c r="D4418" t="inlineStr">
        <is>
          <t>Vice-président, Terre-Neuve-et-Labrador</t>
        </is>
      </c>
      <c r="E4418" t="inlineStr">
        <is>
          <t>Ken Martin</t>
        </is>
      </c>
      <c r="F4418" t="inlineStr">
        <is>
          <t>Attend meeting with Indigenous leaders</t>
        </is>
      </c>
      <c r="G4418" t="inlineStr">
        <is>
          <t>Assister à une réunion avec des dirigeants autochtones</t>
        </is>
      </c>
      <c r="H4418" s="1" t="n">
        <v>43021</v>
      </c>
      <c r="I4418" s="1" t="n">
        <v>43021</v>
      </c>
      <c r="J4418" t="inlineStr">
        <is>
          <t>Corner Brook, Newfoundland and Labrador</t>
        </is>
      </c>
      <c r="K4418" t="inlineStr">
        <is>
          <t>Corner Brook (Terre-Neuve-et-Labrador)</t>
        </is>
      </c>
      <c r="P4418" t="n">
        <v>737.4400000000001</v>
      </c>
      <c r="Q4418" t="n">
        <v>7.56</v>
      </c>
      <c r="R4418" t="n">
        <v>0</v>
      </c>
      <c r="S4418" t="n">
        <v>38</v>
      </c>
      <c r="T4418" t="n">
        <v>16</v>
      </c>
      <c r="U4418" t="n">
        <v>799</v>
      </c>
      <c r="X4418" t="inlineStr">
        <is>
          <t>acoa-apeca</t>
        </is>
      </c>
      <c r="Y4418" t="inlineStr">
        <is>
          <t>Atlantic Canada Opportunities Agency | Agence de promotion économique du Canada atlantique</t>
        </is>
      </c>
    </row>
    <row r="4419">
      <c r="A4419" t="inlineStr">
        <is>
          <t>T-2018-Q3-00022</t>
        </is>
      </c>
      <c r="B4419" t="inlineStr">
        <is>
          <t>SLE</t>
        </is>
      </c>
      <c r="C4419" t="inlineStr">
        <is>
          <t>Vice-President, Newfoundland and Labrador</t>
        </is>
      </c>
      <c r="D4419" t="inlineStr">
        <is>
          <t>Vice-président, Terre-Neuve-et-Labrador</t>
        </is>
      </c>
      <c r="E4419" t="inlineStr">
        <is>
          <t>Ken Martin</t>
        </is>
      </c>
      <c r="F4419" t="inlineStr">
        <is>
          <t>Attend executive planning session</t>
        </is>
      </c>
      <c r="G4419" t="inlineStr">
        <is>
          <t>Assister à une séance de planification de la haute direction</t>
        </is>
      </c>
      <c r="H4419" s="1" t="n">
        <v>43023</v>
      </c>
      <c r="I4419" s="1" t="n">
        <v>43026</v>
      </c>
      <c r="J4419" t="inlineStr">
        <is>
          <t>Wolfville, Nova Scotia</t>
        </is>
      </c>
      <c r="K4419" t="inlineStr">
        <is>
          <t>Wolfville (Nouvelle-Écosse)</t>
        </is>
      </c>
      <c r="P4419" t="n">
        <v>777.4</v>
      </c>
      <c r="Q4419" t="n">
        <v>282.43</v>
      </c>
      <c r="R4419" t="n">
        <v>420.65</v>
      </c>
      <c r="S4419" t="n">
        <v>372.6</v>
      </c>
      <c r="T4419" t="n">
        <v>23</v>
      </c>
      <c r="U4419" t="n">
        <v>1876.08</v>
      </c>
      <c r="X4419" t="inlineStr">
        <is>
          <t>acoa-apeca</t>
        </is>
      </c>
      <c r="Y4419" t="inlineStr">
        <is>
          <t>Atlantic Canada Opportunities Agency | Agence de promotion économique du Canada atlantique</t>
        </is>
      </c>
    </row>
    <row r="4420">
      <c r="A4420" t="inlineStr">
        <is>
          <t>T-2018-Q3-00021</t>
        </is>
      </c>
      <c r="B4420" t="inlineStr">
        <is>
          <t>SLE</t>
        </is>
      </c>
      <c r="C4420" t="inlineStr">
        <is>
          <t>President</t>
        </is>
      </c>
      <c r="D4420" t="inlineStr">
        <is>
          <t>Président</t>
        </is>
      </c>
      <c r="E4420" t="inlineStr">
        <is>
          <t>Francis McGuire</t>
        </is>
      </c>
      <c r="F4420" t="inlineStr">
        <is>
          <t>For various meetings and discussions with Agency officials, provincial government officials, key stakeholders and Government of Canada officials</t>
        </is>
      </c>
      <c r="G4420" t="inlineStr">
        <is>
          <t>Diverses réunions et discussions avec des fonctionnaires de l'Agence et du gouvernement provincial, des intervenants clés et des fonctionnaires du gouvernement du Canada</t>
        </is>
      </c>
      <c r="H4420" s="1" t="n">
        <v>43023</v>
      </c>
      <c r="I4420" s="1" t="n">
        <v>43026</v>
      </c>
      <c r="J4420" t="inlineStr">
        <is>
          <t>Halifax, Nova Scotia</t>
        </is>
      </c>
      <c r="K4420" t="inlineStr">
        <is>
          <t>Halifax (Nouvelle-Écosse)</t>
        </is>
      </c>
      <c r="P4420" t="n">
        <v>94.90000000000001</v>
      </c>
      <c r="Q4420" t="n">
        <v>70</v>
      </c>
      <c r="R4420" t="n">
        <v>467.57</v>
      </c>
      <c r="S4420" t="n">
        <v>323.16</v>
      </c>
      <c r="T4420" t="n">
        <v>278.98</v>
      </c>
      <c r="U4420" t="n">
        <v>1234.61</v>
      </c>
      <c r="X4420" t="inlineStr">
        <is>
          <t>acoa-apeca</t>
        </is>
      </c>
      <c r="Y4420" t="inlineStr">
        <is>
          <t>Atlantic Canada Opportunities Agency | Agence de promotion économique du Canada atlantique</t>
        </is>
      </c>
    </row>
    <row r="4421">
      <c r="A4421" t="inlineStr">
        <is>
          <t>T-2018-Q3-00020</t>
        </is>
      </c>
      <c r="B4421" t="inlineStr">
        <is>
          <t>SLE</t>
        </is>
      </c>
      <c r="C4421" t="inlineStr">
        <is>
          <t>Vice-President, Policy and Programs</t>
        </is>
      </c>
      <c r="D4421" t="inlineStr">
        <is>
          <t>Vice-président, Politiques et Programmes</t>
        </is>
      </c>
      <c r="E4421" t="inlineStr">
        <is>
          <t>Daryell Nowlan</t>
        </is>
      </c>
      <c r="F4421" t="inlineStr">
        <is>
          <t>Meeting with Government of Canada officials</t>
        </is>
      </c>
      <c r="G4421" t="inlineStr">
        <is>
          <t>Réunion avec des fonctionnaires du gouvernement du Canada</t>
        </is>
      </c>
      <c r="H4421" s="1" t="n">
        <v>43031</v>
      </c>
      <c r="I4421" s="1" t="n">
        <v>43032</v>
      </c>
      <c r="J4421" t="inlineStr">
        <is>
          <t>Fredericton, New Brunswick</t>
        </is>
      </c>
      <c r="K4421" t="inlineStr">
        <is>
          <t>Fredericton (Nouveau-Brunswick)</t>
        </is>
      </c>
      <c r="P4421" t="n">
        <v>0</v>
      </c>
      <c r="Q4421" t="n">
        <v>162.1</v>
      </c>
      <c r="R4421" t="n">
        <v>159.85</v>
      </c>
      <c r="S4421" t="n">
        <v>101.05</v>
      </c>
      <c r="T4421" t="n">
        <v>0</v>
      </c>
      <c r="U4421" t="n">
        <v>423</v>
      </c>
      <c r="X4421" t="inlineStr">
        <is>
          <t>acoa-apeca</t>
        </is>
      </c>
      <c r="Y4421" t="inlineStr">
        <is>
          <t>Atlantic Canada Opportunities Agency | Agence de promotion économique du Canada atlantique</t>
        </is>
      </c>
    </row>
    <row r="4422">
      <c r="A4422" t="inlineStr">
        <is>
          <t>T-2018-Q3-00019</t>
        </is>
      </c>
      <c r="B4422" t="inlineStr">
        <is>
          <t>SLE</t>
        </is>
      </c>
      <c r="C4422" t="inlineStr">
        <is>
          <t>Vice-President, Prince Edward Island</t>
        </is>
      </c>
      <c r="D4422" t="inlineStr">
        <is>
          <t>Vice-président, Île-du-Prince-Édouard</t>
        </is>
      </c>
      <c r="E4422" t="inlineStr">
        <is>
          <t>Patrick Dorsey</t>
        </is>
      </c>
      <c r="F4422" t="inlineStr">
        <is>
          <t>Atlantic Canada Tourism Partnership Management Committee and meetings with Government of Canada officials</t>
        </is>
      </c>
      <c r="G4422" t="inlineStr">
        <is>
          <t>Comité de gestion du Partenariat du tourisme du Canada atlantique et réunions avec des fonctionnaires du gouvernement du Canada</t>
        </is>
      </c>
      <c r="H4422" s="1" t="n">
        <v>43023</v>
      </c>
      <c r="I4422" s="1" t="n">
        <v>43026</v>
      </c>
      <c r="J4422" t="inlineStr">
        <is>
          <t>Halifax and Annapolis Valley, Nova Scotia</t>
        </is>
      </c>
      <c r="K4422" t="inlineStr">
        <is>
          <t>Halifax et vallée de l'Annapolis (Nouvelle-Écosse)</t>
        </is>
      </c>
      <c r="P4422" t="n">
        <v>0</v>
      </c>
      <c r="Q4422" t="n">
        <v>56.5</v>
      </c>
      <c r="R4422" t="n">
        <v>466.99</v>
      </c>
      <c r="S4422" t="n">
        <v>259</v>
      </c>
      <c r="T4422" t="n">
        <v>0</v>
      </c>
      <c r="U4422" t="n">
        <v>782.49</v>
      </c>
      <c r="X4422" t="inlineStr">
        <is>
          <t>acoa-apeca</t>
        </is>
      </c>
      <c r="Y4422" t="inlineStr">
        <is>
          <t>Atlantic Canada Opportunities Agency | Agence de promotion économique du Canada atlantique</t>
        </is>
      </c>
    </row>
    <row r="4423">
      <c r="A4423" t="inlineStr">
        <is>
          <t>T-2018-Q3-00010</t>
        </is>
      </c>
      <c r="B4423" t="inlineStr">
        <is>
          <t>SLE</t>
        </is>
      </c>
      <c r="C4423" t="inlineStr">
        <is>
          <t>Vice-President, Newfoundland and Labrador</t>
        </is>
      </c>
      <c r="D4423" t="inlineStr">
        <is>
          <t>Vice-président, Terre-Neuve-et-Labrador</t>
        </is>
      </c>
      <c r="E4423" t="inlineStr">
        <is>
          <t>Ken Martin</t>
        </is>
      </c>
      <c r="F4423" t="inlineStr">
        <is>
          <t>Attend client meetings</t>
        </is>
      </c>
      <c r="G4423" t="inlineStr">
        <is>
          <t>Assister à des réunions avec des clients</t>
        </is>
      </c>
      <c r="H4423" s="1" t="n">
        <v>42999</v>
      </c>
      <c r="I4423" s="1" t="n">
        <v>42999</v>
      </c>
      <c r="J4423" t="inlineStr">
        <is>
          <t>Holyrood, Newfoundland and Labrador</t>
        </is>
      </c>
      <c r="K4423" t="inlineStr">
        <is>
          <t>Holyrood (Terre-Neuve-et-Labrador)</t>
        </is>
      </c>
      <c r="P4423" t="n">
        <v>0</v>
      </c>
      <c r="Q4423" t="n">
        <v>61.05</v>
      </c>
      <c r="R4423" t="n">
        <v>0</v>
      </c>
      <c r="S4423" t="n">
        <v>0</v>
      </c>
      <c r="T4423" t="n">
        <v>0</v>
      </c>
      <c r="U4423" t="n">
        <v>61.05</v>
      </c>
      <c r="X4423" t="inlineStr">
        <is>
          <t>acoa-apeca</t>
        </is>
      </c>
      <c r="Y4423" t="inlineStr">
        <is>
          <t>Atlantic Canada Opportunities Agency | Agence de promotion économique du Canada atlantique</t>
        </is>
      </c>
    </row>
    <row r="4424">
      <c r="A4424" t="inlineStr">
        <is>
          <t>T-2018-Q3-00018</t>
        </is>
      </c>
      <c r="B4424" t="inlineStr">
        <is>
          <t>SLE</t>
        </is>
      </c>
      <c r="C4424" t="inlineStr">
        <is>
          <t>Vice-President, Prince Edward Island</t>
        </is>
      </c>
      <c r="D4424" t="inlineStr">
        <is>
          <t>Vice-président, Île-du-Prince-Édouard</t>
        </is>
      </c>
      <c r="E4424" t="inlineStr">
        <is>
          <t>Patrick Dorsey</t>
        </is>
      </c>
      <c r="F4424" t="inlineStr">
        <is>
          <t>Meetings with Government of Canada officials</t>
        </is>
      </c>
      <c r="G4424" t="inlineStr">
        <is>
          <t>Réunions avec des fonctionnaires du gouvernement du Canada</t>
        </is>
      </c>
      <c r="H4424" s="1" t="n">
        <v>43019</v>
      </c>
      <c r="I4424" s="1" t="n">
        <v>43021</v>
      </c>
      <c r="J4424" t="inlineStr">
        <is>
          <t>Ottawa, Ontario</t>
        </is>
      </c>
      <c r="K4424" t="inlineStr">
        <is>
          <t>Ottawa (Ontario)</t>
        </is>
      </c>
      <c r="P4424" t="n">
        <v>717.29</v>
      </c>
      <c r="Q4424" t="n">
        <v>67.90000000000001</v>
      </c>
      <c r="R4424" t="n">
        <v>439.96</v>
      </c>
      <c r="S4424" t="n">
        <v>241.5</v>
      </c>
      <c r="T4424" t="n">
        <v>42</v>
      </c>
      <c r="U4424" t="n">
        <v>1508.65</v>
      </c>
      <c r="X4424" t="inlineStr">
        <is>
          <t>acoa-apeca</t>
        </is>
      </c>
      <c r="Y4424" t="inlineStr">
        <is>
          <t>Atlantic Canada Opportunities Agency | Agence de promotion économique du Canada atlantique</t>
        </is>
      </c>
    </row>
    <row r="4425">
      <c r="A4425" t="inlineStr">
        <is>
          <t>T-2018-Q3-00017</t>
        </is>
      </c>
      <c r="B4425" t="inlineStr">
        <is>
          <t>SLE</t>
        </is>
      </c>
      <c r="C4425" t="inlineStr">
        <is>
          <t>Vice-President, Policy and Programs</t>
        </is>
      </c>
      <c r="D4425" t="inlineStr">
        <is>
          <t>Vice-président, Politiques et Programmes</t>
        </is>
      </c>
      <c r="E4425" t="inlineStr">
        <is>
          <t>Daryell Nowlan</t>
        </is>
      </c>
      <c r="F4425" t="inlineStr">
        <is>
          <t>Meetings with Government of Canada officials</t>
        </is>
      </c>
      <c r="G4425" t="inlineStr">
        <is>
          <t>Réunions avec des fonctionnaires du gouvernement du Canada</t>
        </is>
      </c>
      <c r="H4425" s="1" t="n">
        <v>43023</v>
      </c>
      <c r="I4425" s="1" t="n">
        <v>43026</v>
      </c>
      <c r="J4425" t="inlineStr">
        <is>
          <t>Halifax and Wolfville, Nova Scotia</t>
        </is>
      </c>
      <c r="K4425" t="inlineStr">
        <is>
          <t>Halifax et Wolfville (Nouvelle-Écosse)</t>
        </is>
      </c>
      <c r="P4425" t="n">
        <v>0</v>
      </c>
      <c r="Q4425" t="n">
        <v>249.91</v>
      </c>
      <c r="R4425" t="n">
        <v>312.51</v>
      </c>
      <c r="S4425" t="n">
        <v>222.6</v>
      </c>
      <c r="T4425" t="n">
        <v>0</v>
      </c>
      <c r="U4425" t="n">
        <v>785.02</v>
      </c>
      <c r="X4425" t="inlineStr">
        <is>
          <t>acoa-apeca</t>
        </is>
      </c>
      <c r="Y4425" t="inlineStr">
        <is>
          <t>Atlantic Canada Opportunities Agency | Agence de promotion économique du Canada atlantique</t>
        </is>
      </c>
    </row>
    <row r="4426">
      <c r="A4426" t="inlineStr">
        <is>
          <t>T-2018-Q3-00016</t>
        </is>
      </c>
      <c r="B4426" t="inlineStr">
        <is>
          <t>SLE</t>
        </is>
      </c>
      <c r="C4426" t="inlineStr">
        <is>
          <t>Vice-President, Newfoundland and Labrador</t>
        </is>
      </c>
      <c r="D4426" t="inlineStr">
        <is>
          <t>Vice-président, Terre-Neuve-et-Labrador</t>
        </is>
      </c>
      <c r="E4426" t="inlineStr">
        <is>
          <t>Ken Martin</t>
        </is>
      </c>
      <c r="F4426" t="inlineStr">
        <is>
          <t>Attend meeting with senior government officials from Department of Fisheries and Oceans</t>
        </is>
      </c>
      <c r="G4426" t="inlineStr">
        <is>
          <t xml:space="preserve">Assister à une réunion avec des hauts fonctionnaires du ministère des Pêches et des Océans </t>
        </is>
      </c>
      <c r="H4426" s="1" t="n">
        <v>43017</v>
      </c>
      <c r="I4426" s="1" t="n">
        <v>43018</v>
      </c>
      <c r="J4426" t="inlineStr">
        <is>
          <t>Dartmouth, Nova Scotia</t>
        </is>
      </c>
      <c r="K4426" t="inlineStr">
        <is>
          <t>Dartmouth (Nouvelle-Écosse)</t>
        </is>
      </c>
      <c r="P4426" t="n">
        <v>692.36</v>
      </c>
      <c r="Q4426" t="n">
        <v>127.12</v>
      </c>
      <c r="R4426" t="n">
        <v>209.97</v>
      </c>
      <c r="S4426" t="n">
        <v>167.3</v>
      </c>
      <c r="T4426" t="n">
        <v>0</v>
      </c>
      <c r="U4426" t="n">
        <v>1196.75</v>
      </c>
      <c r="X4426" t="inlineStr">
        <is>
          <t>acoa-apeca</t>
        </is>
      </c>
      <c r="Y4426" t="inlineStr">
        <is>
          <t>Atlantic Canada Opportunities Agency | Agence de promotion économique du Canada atlantique</t>
        </is>
      </c>
    </row>
    <row r="4427">
      <c r="A4427" t="inlineStr">
        <is>
          <t>T-2018-Q3-00015</t>
        </is>
      </c>
      <c r="B4427" t="inlineStr">
        <is>
          <t>SLE</t>
        </is>
      </c>
      <c r="C4427" t="inlineStr">
        <is>
          <t>Vice-President, Policy and Programs</t>
        </is>
      </c>
      <c r="D4427" t="inlineStr">
        <is>
          <t>Vice-président, Politiques et Programmes</t>
        </is>
      </c>
      <c r="E4427" t="inlineStr">
        <is>
          <t>Daryell Nowlan</t>
        </is>
      </c>
      <c r="F4427" t="inlineStr">
        <is>
          <t>Meetings with Government of Canada officials</t>
        </is>
      </c>
      <c r="G4427" t="inlineStr">
        <is>
          <t>Réunions avec des fonctionnaires du gouvernement du Canada</t>
        </is>
      </c>
      <c r="H4427" s="1" t="n">
        <v>43018</v>
      </c>
      <c r="I4427" s="1" t="n">
        <v>43019</v>
      </c>
      <c r="J4427" t="inlineStr">
        <is>
          <t>Halifax, Nova Scotia</t>
        </is>
      </c>
      <c r="K4427" t="inlineStr">
        <is>
          <t>Halifax (Nouvelle-Écosse)</t>
        </is>
      </c>
      <c r="P4427" t="n">
        <v>0</v>
      </c>
      <c r="Q4427" t="n">
        <v>0</v>
      </c>
      <c r="R4427" t="n">
        <v>218.18</v>
      </c>
      <c r="S4427" t="n">
        <v>167.1</v>
      </c>
      <c r="T4427" t="n">
        <v>0</v>
      </c>
      <c r="U4427" t="n">
        <v>385.28</v>
      </c>
      <c r="X4427" t="inlineStr">
        <is>
          <t>acoa-apeca</t>
        </is>
      </c>
      <c r="Y4427" t="inlineStr">
        <is>
          <t>Atlantic Canada Opportunities Agency | Agence de promotion économique du Canada atlantique</t>
        </is>
      </c>
    </row>
    <row r="4428">
      <c r="A4428" t="inlineStr">
        <is>
          <t>T-2018-Q3-00014</t>
        </is>
      </c>
      <c r="B4428" t="inlineStr">
        <is>
          <t>SLE</t>
        </is>
      </c>
      <c r="C4428" t="inlineStr">
        <is>
          <t>Vice-President, Prince Edward Island</t>
        </is>
      </c>
      <c r="D4428" t="inlineStr">
        <is>
          <t>Vice-président, Île-du-Prince-Édouard</t>
        </is>
      </c>
      <c r="E4428" t="inlineStr">
        <is>
          <t>Patrick Dorsey</t>
        </is>
      </c>
      <c r="F4428" t="inlineStr">
        <is>
          <t>Policy, Advocacy and Coordination Forum</t>
        </is>
      </c>
      <c r="G4428" t="inlineStr">
        <is>
          <t xml:space="preserve">Forum de Politiques, défense des intérêts et coordination </t>
        </is>
      </c>
      <c r="H4428" s="1" t="n">
        <v>43010</v>
      </c>
      <c r="I4428" s="1" t="n">
        <v>43010</v>
      </c>
      <c r="J4428" t="inlineStr">
        <is>
          <t>Moncton, New Brunswick</t>
        </is>
      </c>
      <c r="K4428" t="inlineStr">
        <is>
          <t>Moncton (Nouveau-Brunswick)</t>
        </is>
      </c>
      <c r="P4428" t="n">
        <v>0</v>
      </c>
      <c r="Q4428" t="n">
        <v>46.5</v>
      </c>
      <c r="R4428" t="n">
        <v>0</v>
      </c>
      <c r="S4428" t="n">
        <v>66.25</v>
      </c>
      <c r="T4428" t="n">
        <v>0</v>
      </c>
      <c r="U4428" t="n">
        <v>112.75</v>
      </c>
      <c r="X4428" t="inlineStr">
        <is>
          <t>acoa-apeca</t>
        </is>
      </c>
      <c r="Y4428" t="inlineStr">
        <is>
          <t>Atlantic Canada Opportunities Agency | Agence de promotion économique du Canada atlantique</t>
        </is>
      </c>
    </row>
    <row r="4429">
      <c r="A4429" t="inlineStr">
        <is>
          <t>T-2018-Q3-00013</t>
        </is>
      </c>
      <c r="B4429" t="inlineStr">
        <is>
          <t>SLE</t>
        </is>
      </c>
      <c r="C4429" t="inlineStr">
        <is>
          <t>Vice-President, Policy and Programs</t>
        </is>
      </c>
      <c r="D4429" t="inlineStr">
        <is>
          <t>Vice-président, Politiques et Programmes</t>
        </is>
      </c>
      <c r="E4429" t="inlineStr">
        <is>
          <t>Daryell Nowlan</t>
        </is>
      </c>
      <c r="F4429" t="inlineStr">
        <is>
          <t>Meetings with Government of Canada officials</t>
        </is>
      </c>
      <c r="G4429" t="inlineStr">
        <is>
          <t>Réunions avec des fonctionnaires du gouvernement du Canada</t>
        </is>
      </c>
      <c r="H4429" s="1" t="n">
        <v>43012</v>
      </c>
      <c r="I4429" s="1" t="n">
        <v>43013</v>
      </c>
      <c r="J4429" t="inlineStr">
        <is>
          <t>Ottawa, Ontario</t>
        </is>
      </c>
      <c r="K4429" t="inlineStr">
        <is>
          <t>Ottawa (Ontario)</t>
        </is>
      </c>
      <c r="P4429" t="n">
        <v>1041.43</v>
      </c>
      <c r="Q4429" t="n">
        <v>107.12</v>
      </c>
      <c r="R4429" t="n">
        <v>203.68</v>
      </c>
      <c r="S4429" t="n">
        <v>205.3</v>
      </c>
      <c r="T4429" t="n">
        <v>0</v>
      </c>
      <c r="U4429" t="n">
        <v>1557.53</v>
      </c>
      <c r="X4429" t="inlineStr">
        <is>
          <t>acoa-apeca</t>
        </is>
      </c>
      <c r="Y4429" t="inlineStr">
        <is>
          <t>Atlantic Canada Opportunities Agency | Agence de promotion économique du Canada atlantique</t>
        </is>
      </c>
    </row>
    <row r="4430">
      <c r="A4430" t="inlineStr">
        <is>
          <t>T-2018-Q3-00012</t>
        </is>
      </c>
      <c r="B4430" t="inlineStr">
        <is>
          <t>SLE</t>
        </is>
      </c>
      <c r="C4430" t="inlineStr">
        <is>
          <t>Vice-President, Policy and Programs</t>
        </is>
      </c>
      <c r="D4430" t="inlineStr">
        <is>
          <t>Vice-président, Politiques et Programmes</t>
        </is>
      </c>
      <c r="E4430" t="inlineStr">
        <is>
          <t>Daryell Nowlan</t>
        </is>
      </c>
      <c r="F4430" t="inlineStr">
        <is>
          <t>Meetings with Government of Canada officials</t>
        </is>
      </c>
      <c r="G4430" t="inlineStr">
        <is>
          <t>Réunions avec des fonctionnaires du gouvernement du Canada</t>
        </is>
      </c>
      <c r="H4430" s="1" t="n">
        <v>43010</v>
      </c>
      <c r="I4430" s="1" t="n">
        <v>43010</v>
      </c>
      <c r="J4430" t="inlineStr">
        <is>
          <t>Ottawa, Ontario</t>
        </is>
      </c>
      <c r="K4430" t="inlineStr">
        <is>
          <t>Ottawa (Ontario)</t>
        </is>
      </c>
      <c r="P4430" t="n">
        <v>692.3</v>
      </c>
      <c r="Q4430" t="n">
        <v>120.83</v>
      </c>
      <c r="R4430" t="n">
        <v>0</v>
      </c>
      <c r="S4430" t="n">
        <v>85.34999999999999</v>
      </c>
      <c r="T4430" t="n">
        <v>0</v>
      </c>
      <c r="U4430" t="n">
        <v>898.48</v>
      </c>
      <c r="X4430" t="inlineStr">
        <is>
          <t>acoa-apeca</t>
        </is>
      </c>
      <c r="Y4430" t="inlineStr">
        <is>
          <t>Atlantic Canada Opportunities Agency | Agence de promotion économique du Canada atlantique</t>
        </is>
      </c>
    </row>
    <row r="4431">
      <c r="A4431" t="inlineStr">
        <is>
          <t>T-2018-Q3-00011</t>
        </is>
      </c>
      <c r="B4431" t="inlineStr">
        <is>
          <t>SLE</t>
        </is>
      </c>
      <c r="C4431" t="inlineStr">
        <is>
          <t>President</t>
        </is>
      </c>
      <c r="D4431" t="inlineStr">
        <is>
          <t>Président</t>
        </is>
      </c>
      <c r="E4431" t="inlineStr">
        <is>
          <t>Francis McGuire</t>
        </is>
      </c>
      <c r="F4431" t="inlineStr">
        <is>
          <t>For various meetings and discussions with Agency officials, provincial government officials, key stakeholders and Government of Canada officials</t>
        </is>
      </c>
      <c r="G4431" t="inlineStr">
        <is>
          <t>Diverses réunions et discussions avec des fonctionnaires de l'Agence et du gouvernement provincial, des intervenants clés et des fonctionnaires du gouvernement du Canada</t>
        </is>
      </c>
      <c r="H4431" s="1" t="n">
        <v>43011</v>
      </c>
      <c r="I4431" s="1" t="n">
        <v>43013</v>
      </c>
      <c r="J4431" t="inlineStr">
        <is>
          <t>Ottawa, Ontario</t>
        </is>
      </c>
      <c r="K4431" t="inlineStr">
        <is>
          <t>Ottawa (Ontario)</t>
        </is>
      </c>
      <c r="P4431" t="n">
        <v>328.73</v>
      </c>
      <c r="Q4431" t="n">
        <v>35</v>
      </c>
      <c r="R4431" t="n">
        <v>439.96</v>
      </c>
      <c r="S4431" t="n">
        <v>175.25</v>
      </c>
      <c r="T4431" t="n">
        <v>0</v>
      </c>
      <c r="U4431" t="n">
        <v>978.9400000000001</v>
      </c>
      <c r="X4431" t="inlineStr">
        <is>
          <t>acoa-apeca</t>
        </is>
      </c>
      <c r="Y4431" t="inlineStr">
        <is>
          <t>Atlantic Canada Opportunities Agency | Agence de promotion économique du Canada atlantique</t>
        </is>
      </c>
    </row>
    <row r="4432">
      <c r="A4432" t="inlineStr">
        <is>
          <t>T-2018-Q3-00009</t>
        </is>
      </c>
      <c r="B4432" t="inlineStr">
        <is>
          <t>SLE</t>
        </is>
      </c>
      <c r="C4432" t="inlineStr">
        <is>
          <t>Vice-President, Newfoundland and Labrador</t>
        </is>
      </c>
      <c r="D4432" t="inlineStr">
        <is>
          <t>Vice-président, Terre-Neuve-et-Labrador</t>
        </is>
      </c>
      <c r="E4432" t="inlineStr">
        <is>
          <t>Ken Martin</t>
        </is>
      </c>
      <c r="F4432" t="inlineStr">
        <is>
          <t>Attend forward agenda planning session</t>
        </is>
      </c>
      <c r="G4432" t="inlineStr">
        <is>
          <t>Assister à une séance de planification de l'ordre du jour à long terme</t>
        </is>
      </c>
      <c r="H4432" s="1" t="n">
        <v>43003</v>
      </c>
      <c r="I4432" s="1" t="n">
        <v>43003</v>
      </c>
      <c r="J4432" t="inlineStr">
        <is>
          <t>Chapel's Cove-Harbour Main, Newfoundland and Labrador</t>
        </is>
      </c>
      <c r="K4432" t="inlineStr">
        <is>
          <t>Chapel's Cove-Harbour Main (Terre-Neuve-et-Labrador)</t>
        </is>
      </c>
      <c r="P4432" t="n">
        <v>0</v>
      </c>
      <c r="Q4432" t="n">
        <v>80.48</v>
      </c>
      <c r="R4432" t="n">
        <v>0</v>
      </c>
      <c r="S4432" t="n">
        <v>18.05</v>
      </c>
      <c r="T4432" t="n">
        <v>0</v>
      </c>
      <c r="U4432" t="n">
        <v>98.53</v>
      </c>
      <c r="X4432" t="inlineStr">
        <is>
          <t>acoa-apeca</t>
        </is>
      </c>
      <c r="Y4432" t="inlineStr">
        <is>
          <t>Atlantic Canada Opportunities Agency | Agence de promotion économique du Canada atlantique</t>
        </is>
      </c>
    </row>
    <row r="4433">
      <c r="A4433" t="inlineStr">
        <is>
          <t>T-2018-Q3-00008</t>
        </is>
      </c>
      <c r="B4433" t="inlineStr">
        <is>
          <t>SLE</t>
        </is>
      </c>
      <c r="C4433" t="inlineStr">
        <is>
          <t>Vice-President, Policy and Programs</t>
        </is>
      </c>
      <c r="D4433" t="inlineStr">
        <is>
          <t>Vice-président, Politiques et Programmes</t>
        </is>
      </c>
      <c r="E4433" t="inlineStr">
        <is>
          <t>Daryell Nowlan</t>
        </is>
      </c>
      <c r="F4433" t="inlineStr">
        <is>
          <t>Meetings with Government of Canada officials</t>
        </is>
      </c>
      <c r="G4433" t="inlineStr">
        <is>
          <t>Réunions avec des fonctionnaires du gouvernement du Canada</t>
        </is>
      </c>
      <c r="H4433" s="1" t="n">
        <v>43003</v>
      </c>
      <c r="I4433" s="1" t="n">
        <v>43004</v>
      </c>
      <c r="J4433" t="inlineStr">
        <is>
          <t>Halifax, Nova Scotia</t>
        </is>
      </c>
      <c r="K4433" t="inlineStr">
        <is>
          <t>Halifax (Nouvelle-Écosse)</t>
        </is>
      </c>
      <c r="P4433" t="n">
        <v>0</v>
      </c>
      <c r="Q4433" t="n">
        <v>4</v>
      </c>
      <c r="R4433" t="n">
        <v>198.24</v>
      </c>
      <c r="S4433" t="n">
        <v>161.7</v>
      </c>
      <c r="T4433" t="n">
        <v>0</v>
      </c>
      <c r="U4433" t="n">
        <v>363.94</v>
      </c>
      <c r="X4433" t="inlineStr">
        <is>
          <t>acoa-apeca</t>
        </is>
      </c>
      <c r="Y4433" t="inlineStr">
        <is>
          <t>Atlantic Canada Opportunities Agency | Agence de promotion économique du Canada atlantique</t>
        </is>
      </c>
    </row>
    <row r="4434">
      <c r="A4434" t="inlineStr">
        <is>
          <t>T-2018-Q3-00007</t>
        </is>
      </c>
      <c r="B4434" t="inlineStr">
        <is>
          <t>SLE</t>
        </is>
      </c>
      <c r="C4434" t="inlineStr">
        <is>
          <t>Vice-President, Policy and Programs</t>
        </is>
      </c>
      <c r="D4434" t="inlineStr">
        <is>
          <t>Vice-président, Politiques et Programmes</t>
        </is>
      </c>
      <c r="E4434" t="inlineStr">
        <is>
          <t>Daryell Nowlan</t>
        </is>
      </c>
      <c r="F4434" t="inlineStr">
        <is>
          <t xml:space="preserve">Canada/North Study Tour </t>
        </is>
      </c>
      <c r="G4434" t="inlineStr">
        <is>
          <t>Voyage d'étude au Canada/Nord</t>
        </is>
      </c>
      <c r="H4434" s="1" t="n">
        <v>42995</v>
      </c>
      <c r="I4434" s="1" t="n">
        <v>43001</v>
      </c>
      <c r="J4434" t="inlineStr">
        <is>
          <t>Vancouver, British Columbia and Yellowknife, Northwest Territories</t>
        </is>
      </c>
      <c r="K4434" t="inlineStr">
        <is>
          <t>Vancouver (Colombie-Britannique) et Yellowknife (Territoires du Nord-Ouest)</t>
        </is>
      </c>
      <c r="P4434" t="n">
        <v>1806.5</v>
      </c>
      <c r="Q4434" t="n">
        <v>126</v>
      </c>
      <c r="R4434" t="n">
        <v>993.3</v>
      </c>
      <c r="S4434" t="n">
        <v>706.55</v>
      </c>
      <c r="T4434" t="n">
        <v>0</v>
      </c>
      <c r="U4434" t="n">
        <v>3632.35</v>
      </c>
      <c r="X4434" t="inlineStr">
        <is>
          <t>acoa-apeca</t>
        </is>
      </c>
      <c r="Y4434" t="inlineStr">
        <is>
          <t>Atlantic Canada Opportunities Agency | Agence de promotion économique du Canada atlantique</t>
        </is>
      </c>
    </row>
    <row r="4435">
      <c r="A4435" t="inlineStr">
        <is>
          <t>T-2018-Q3-00006</t>
        </is>
      </c>
      <c r="B4435" t="inlineStr">
        <is>
          <t>SLE</t>
        </is>
      </c>
      <c r="C4435" t="inlineStr">
        <is>
          <t>Vice-President, Newfoundland and Labrador</t>
        </is>
      </c>
      <c r="D4435" t="inlineStr">
        <is>
          <t>Vice-président, Terre-Neuve-et-Labrador</t>
        </is>
      </c>
      <c r="E4435" t="inlineStr">
        <is>
          <t>Ken Martin</t>
        </is>
      </c>
      <c r="F4435" t="inlineStr">
        <is>
          <t xml:space="preserve">Attend client meetings on Avalon Peninsula </t>
        </is>
      </c>
      <c r="G4435" t="inlineStr">
        <is>
          <t>Assister à des réunions avec des clients dans la presqu'île Avalon</t>
        </is>
      </c>
      <c r="H4435" s="1" t="n">
        <v>42989</v>
      </c>
      <c r="I4435" s="1" t="n">
        <v>42991</v>
      </c>
      <c r="J4435" t="inlineStr">
        <is>
          <t>Avalon Peninsula, Newfoundland and Labrador</t>
        </is>
      </c>
      <c r="K4435" t="inlineStr">
        <is>
          <t>Presqu'île Avalon (Terre-Neuve-et-Labrador)</t>
        </is>
      </c>
      <c r="P4435" t="n">
        <v>0</v>
      </c>
      <c r="Q4435" t="n">
        <v>24.42</v>
      </c>
      <c r="R4435" t="n">
        <v>0</v>
      </c>
      <c r="S4435" t="n">
        <v>128</v>
      </c>
      <c r="T4435" t="n">
        <v>0</v>
      </c>
      <c r="U4435" t="n">
        <v>152.42</v>
      </c>
      <c r="X4435" t="inlineStr">
        <is>
          <t>acoa-apeca</t>
        </is>
      </c>
      <c r="Y4435" t="inlineStr">
        <is>
          <t>Atlantic Canada Opportunities Agency | Agence de promotion économique du Canada atlantique</t>
        </is>
      </c>
    </row>
    <row r="4436">
      <c r="A4436" t="inlineStr">
        <is>
          <t>T-2018-Q3-00005</t>
        </is>
      </c>
      <c r="B4436" t="inlineStr">
        <is>
          <t>SLE</t>
        </is>
      </c>
      <c r="C4436" t="inlineStr">
        <is>
          <t>Vice-President, Newfoundland and Labrador</t>
        </is>
      </c>
      <c r="D4436" t="inlineStr">
        <is>
          <t>Vice-président, Terre-Neuve-et-Labrador</t>
        </is>
      </c>
      <c r="E4436" t="inlineStr">
        <is>
          <t>Ken Martin</t>
        </is>
      </c>
      <c r="F4436" t="inlineStr">
        <is>
          <t>Attend Executive Committee meeting</t>
        </is>
      </c>
      <c r="G4436" t="inlineStr">
        <is>
          <t>Assister à une réunion du Comité de direction</t>
        </is>
      </c>
      <c r="H4436" s="1" t="n">
        <v>42991</v>
      </c>
      <c r="I4436" s="1" t="n">
        <v>42992</v>
      </c>
      <c r="J4436" t="inlineStr">
        <is>
          <t>Moncton, New Brunswick</t>
        </is>
      </c>
      <c r="K4436" t="inlineStr">
        <is>
          <t>Moncton (Nouveau-Brunswick)</t>
        </is>
      </c>
      <c r="P4436" t="n">
        <v>1180.8</v>
      </c>
      <c r="Q4436" t="n">
        <v>125.19</v>
      </c>
      <c r="R4436" t="n">
        <v>132.25</v>
      </c>
      <c r="S4436" t="n">
        <v>143.65</v>
      </c>
      <c r="T4436" t="n">
        <v>16.1</v>
      </c>
      <c r="U4436" t="n">
        <v>1597.99</v>
      </c>
      <c r="X4436" t="inlineStr">
        <is>
          <t>acoa-apeca</t>
        </is>
      </c>
      <c r="Y4436" t="inlineStr">
        <is>
          <t>Atlantic Canada Opportunities Agency | Agence de promotion économique du Canada atlantique</t>
        </is>
      </c>
    </row>
    <row r="4437">
      <c r="A4437" t="inlineStr">
        <is>
          <t>T-2018-Q3-00004</t>
        </is>
      </c>
      <c r="B4437" t="inlineStr">
        <is>
          <t>SLE</t>
        </is>
      </c>
      <c r="C4437" t="inlineStr">
        <is>
          <t>Vice-President, Policy and Programs</t>
        </is>
      </c>
      <c r="D4437" t="inlineStr">
        <is>
          <t>Vice-président, Politiques et Programmes</t>
        </is>
      </c>
      <c r="E4437" t="inlineStr">
        <is>
          <t>Daryell Nowlan</t>
        </is>
      </c>
      <c r="F4437" t="inlineStr">
        <is>
          <t>Attending the Defence Security and Equipment International (DSEi) exhibition in London, United Kingdom</t>
        </is>
      </c>
      <c r="G4437" t="inlineStr">
        <is>
          <t>Assister au salon Defence Security and Equipment International (DSEi) à Londres, au Royaume-Uni</t>
        </is>
      </c>
      <c r="H4437" s="1" t="n">
        <v>42988</v>
      </c>
      <c r="I4437" s="1" t="n">
        <v>42993</v>
      </c>
      <c r="J4437" t="inlineStr">
        <is>
          <t>London, United Kingdom</t>
        </is>
      </c>
      <c r="K4437" t="inlineStr">
        <is>
          <t>Londres (Royaume-Uni)</t>
        </is>
      </c>
      <c r="P4437" t="n">
        <v>1048.01</v>
      </c>
      <c r="Q4437" t="n">
        <v>316.04</v>
      </c>
      <c r="R4437" t="n">
        <v>2365.13</v>
      </c>
      <c r="S4437" t="n">
        <v>854.15</v>
      </c>
      <c r="T4437" t="n">
        <v>0</v>
      </c>
      <c r="U4437" t="n">
        <v>4583.33</v>
      </c>
      <c r="X4437" t="inlineStr">
        <is>
          <t>acoa-apeca</t>
        </is>
      </c>
      <c r="Y4437" t="inlineStr">
        <is>
          <t>Atlantic Canada Opportunities Agency | Agence de promotion économique du Canada atlantique</t>
        </is>
      </c>
    </row>
    <row r="4438">
      <c r="A4438" t="inlineStr">
        <is>
          <t>T-2018-Q2-00045</t>
        </is>
      </c>
      <c r="B4438" t="inlineStr">
        <is>
          <t>SLE</t>
        </is>
      </c>
      <c r="C4438" t="inlineStr">
        <is>
          <t>President</t>
        </is>
      </c>
      <c r="D4438" t="inlineStr">
        <is>
          <t>Président</t>
        </is>
      </c>
      <c r="E4438" t="inlineStr">
        <is>
          <t>Francis McGuire</t>
        </is>
      </c>
      <c r="F4438" t="inlineStr">
        <is>
          <t>For various meetings and discussions with Agency officials and Government of Canada officials</t>
        </is>
      </c>
      <c r="G4438" t="inlineStr">
        <is>
          <t>Diverses réunions et discussions avec des fonctionnaires de l'Agence et du gouvernement du Canada</t>
        </is>
      </c>
      <c r="H4438" s="1" t="n">
        <v>42976</v>
      </c>
      <c r="I4438" s="1" t="n">
        <v>42979</v>
      </c>
      <c r="J4438" t="inlineStr">
        <is>
          <t>Ottawa, Ontario</t>
        </is>
      </c>
      <c r="K4438" t="inlineStr">
        <is>
          <t>Ottawa (Ontario)</t>
        </is>
      </c>
      <c r="P4438" t="n">
        <v>515.03</v>
      </c>
      <c r="Q4438" t="n">
        <v>0</v>
      </c>
      <c r="R4438" t="n">
        <v>694.86</v>
      </c>
      <c r="S4438" t="n">
        <v>340.55</v>
      </c>
      <c r="T4438" t="n">
        <v>126.5</v>
      </c>
      <c r="U4438" t="n">
        <v>1676.94</v>
      </c>
      <c r="X4438" t="inlineStr">
        <is>
          <t>acoa-apeca</t>
        </is>
      </c>
      <c r="Y4438" t="inlineStr">
        <is>
          <t>Atlantic Canada Opportunities Agency | Agence de promotion économique du Canada atlantique</t>
        </is>
      </c>
    </row>
    <row r="4439">
      <c r="A4439" t="inlineStr">
        <is>
          <t>T-2018-Q4-00020</t>
        </is>
      </c>
      <c r="B4439" t="inlineStr">
        <is>
          <t>SLE</t>
        </is>
      </c>
      <c r="C4439" t="inlineStr">
        <is>
          <t>President</t>
        </is>
      </c>
      <c r="D4439" t="inlineStr">
        <is>
          <t>Président</t>
        </is>
      </c>
      <c r="E4439" t="inlineStr">
        <is>
          <t>Francis McGuire</t>
        </is>
      </c>
      <c r="F4439" t="inlineStr">
        <is>
          <t>Various meetings with Agency officials and key stakeholders</t>
        </is>
      </c>
      <c r="G4439" t="inlineStr">
        <is>
          <t>Diverses réunions avec des fonctionnaires de l'Agence et des intervenants clés</t>
        </is>
      </c>
      <c r="H4439" s="1" t="n">
        <v>43136</v>
      </c>
      <c r="I4439" s="1" t="n">
        <v>43137</v>
      </c>
      <c r="J4439" t="inlineStr">
        <is>
          <t>Halifax, Nova Scotia</t>
        </is>
      </c>
      <c r="K4439" t="inlineStr">
        <is>
          <t>Halifax (Nouvelle-Écosse)</t>
        </is>
      </c>
      <c r="P4439" t="n">
        <v>0</v>
      </c>
      <c r="Q4439" t="n">
        <v>226.6</v>
      </c>
      <c r="R4439" t="n">
        <v>50</v>
      </c>
      <c r="S4439" t="n">
        <v>17.3</v>
      </c>
      <c r="T4439" t="n">
        <v>0</v>
      </c>
      <c r="U4439" t="n">
        <v>293.9</v>
      </c>
      <c r="X4439" t="inlineStr">
        <is>
          <t>acoa-apeca</t>
        </is>
      </c>
      <c r="Y4439" t="inlineStr">
        <is>
          <t>Atlantic Canada Opportunities Agency | Agence de promotion économique du Canada atlantique</t>
        </is>
      </c>
    </row>
    <row r="4440">
      <c r="A4440" t="inlineStr">
        <is>
          <t>T-2018-Q2-00044</t>
        </is>
      </c>
      <c r="B4440" t="inlineStr">
        <is>
          <t>SLE</t>
        </is>
      </c>
      <c r="C4440" t="inlineStr">
        <is>
          <t>President</t>
        </is>
      </c>
      <c r="D4440" t="inlineStr">
        <is>
          <t>Président</t>
        </is>
      </c>
      <c r="E4440" t="inlineStr">
        <is>
          <t>Francis McGuire</t>
        </is>
      </c>
      <c r="F4440" t="inlineStr">
        <is>
          <t>For various meetings and discussions with provincial government officials and key stakeholders</t>
        </is>
      </c>
      <c r="G4440" t="inlineStr">
        <is>
          <t>Diverses réunions et discussions avec des fonctionnaires du gouvernement provincial et des intervenants clés</t>
        </is>
      </c>
      <c r="H4440" s="1" t="n">
        <v>42974</v>
      </c>
      <c r="I4440" s="1" t="n">
        <v>42976</v>
      </c>
      <c r="J4440" t="inlineStr">
        <is>
          <t>Charlottetown, Prince Edward Island</t>
        </is>
      </c>
      <c r="K4440" t="inlineStr">
        <is>
          <t>Charlottetown (Île-du-Prince-Édouard)</t>
        </is>
      </c>
      <c r="P4440" t="n">
        <v>0</v>
      </c>
      <c r="Q4440" t="n">
        <v>0</v>
      </c>
      <c r="R4440" t="n">
        <v>589.88</v>
      </c>
      <c r="S4440" t="n">
        <v>114.85</v>
      </c>
      <c r="T4440" t="n">
        <v>277.72</v>
      </c>
      <c r="U4440" t="n">
        <v>982.45</v>
      </c>
      <c r="X4440" t="inlineStr">
        <is>
          <t>acoa-apeca</t>
        </is>
      </c>
      <c r="Y4440" t="inlineStr">
        <is>
          <t>Atlantic Canada Opportunities Agency | Agence de promotion économique du Canada atlantique</t>
        </is>
      </c>
    </row>
    <row r="4441">
      <c r="A4441" t="inlineStr">
        <is>
          <t>T-2018-Q2-00042</t>
        </is>
      </c>
      <c r="B4441" t="inlineStr">
        <is>
          <t>SLE</t>
        </is>
      </c>
      <c r="C4441" t="inlineStr">
        <is>
          <t>President</t>
        </is>
      </c>
      <c r="D4441" t="inlineStr">
        <is>
          <t>Président</t>
        </is>
      </c>
      <c r="E4441" t="inlineStr">
        <is>
          <t>Francis McGuire</t>
        </is>
      </c>
      <c r="F4441" t="inlineStr">
        <is>
          <t>For various meetings and discussions with Agency officials and key stakeholders</t>
        </is>
      </c>
      <c r="G4441" t="inlineStr">
        <is>
          <t>Diverses réunions et discussions avec des fonctionnaires de l'Agence et des intervenants clés</t>
        </is>
      </c>
      <c r="H4441" s="1" t="n">
        <v>42967</v>
      </c>
      <c r="I4441" s="1" t="n">
        <v>42972</v>
      </c>
      <c r="J4441" t="inlineStr">
        <is>
          <t>Sydney, Nova Scotia</t>
        </is>
      </c>
      <c r="K4441" t="inlineStr">
        <is>
          <t>Sydney (Nouvelle-Écosse)</t>
        </is>
      </c>
      <c r="P4441" t="n">
        <v>516.64</v>
      </c>
      <c r="Q4441" t="n">
        <v>0</v>
      </c>
      <c r="R4441" t="n">
        <v>729.6</v>
      </c>
      <c r="S4441" t="n">
        <v>412.15</v>
      </c>
      <c r="T4441" t="n">
        <v>24.86</v>
      </c>
      <c r="U4441" t="n">
        <v>1683.25</v>
      </c>
      <c r="X4441" t="inlineStr">
        <is>
          <t>acoa-apeca</t>
        </is>
      </c>
      <c r="Y4441" t="inlineStr">
        <is>
          <t>Atlantic Canada Opportunities Agency | Agence de promotion économique du Canada atlantique</t>
        </is>
      </c>
    </row>
    <row r="4442">
      <c r="A4442" t="inlineStr">
        <is>
          <t>T-2018-Q2-00041</t>
        </is>
      </c>
      <c r="B4442" t="inlineStr">
        <is>
          <t>SLE</t>
        </is>
      </c>
      <c r="C4442" t="inlineStr">
        <is>
          <t>President</t>
        </is>
      </c>
      <c r="D4442" t="inlineStr">
        <is>
          <t>Président</t>
        </is>
      </c>
      <c r="E4442" t="inlineStr">
        <is>
          <t>Francis McGuire</t>
        </is>
      </c>
      <c r="F4442" t="inlineStr">
        <is>
          <t>For various meetings and discussions with provincial government officials and key stakeholders</t>
        </is>
      </c>
      <c r="G4442" t="inlineStr">
        <is>
          <t>Diverses réunions et discussions avec des fonctionnaires du gouvernement provincial et des intervenants clés</t>
        </is>
      </c>
      <c r="H4442" s="1" t="n">
        <v>42964</v>
      </c>
      <c r="I4442" s="1" t="n">
        <v>42965</v>
      </c>
      <c r="J4442" t="inlineStr">
        <is>
          <t>St. Andrews, New Brunswick</t>
        </is>
      </c>
      <c r="K4442" t="inlineStr">
        <is>
          <t>St. Andrews (Nouveau-Brunswick)</t>
        </is>
      </c>
      <c r="P4442" t="n">
        <v>0</v>
      </c>
      <c r="Q4442" t="n">
        <v>0</v>
      </c>
      <c r="R4442" t="n">
        <v>233.43</v>
      </c>
      <c r="S4442" t="n">
        <v>116.65</v>
      </c>
      <c r="T4442" t="n">
        <v>137.36</v>
      </c>
      <c r="U4442" t="n">
        <v>487.44</v>
      </c>
      <c r="X4442" t="inlineStr">
        <is>
          <t>acoa-apeca</t>
        </is>
      </c>
      <c r="Y4442" t="inlineStr">
        <is>
          <t>Atlantic Canada Opportunities Agency | Agence de promotion économique du Canada atlantique</t>
        </is>
      </c>
    </row>
    <row r="4443">
      <c r="A4443" t="inlineStr">
        <is>
          <t>T-2018-Q2-00040</t>
        </is>
      </c>
      <c r="B4443" t="inlineStr">
        <is>
          <t>SLE</t>
        </is>
      </c>
      <c r="C4443" t="inlineStr">
        <is>
          <t>President</t>
        </is>
      </c>
      <c r="D4443" t="inlineStr">
        <is>
          <t>Président</t>
        </is>
      </c>
      <c r="E4443" t="inlineStr">
        <is>
          <t>Francis McGuire</t>
        </is>
      </c>
      <c r="F4443" t="inlineStr">
        <is>
          <t>For various meetings and discussions with Agency officials, provincial government officials and key stakeholders</t>
        </is>
      </c>
      <c r="G4443" t="inlineStr">
        <is>
          <t>Diverses réunions et discussions avec des fonctionnaires de l'Agence et du gouvernement provincial et des intervenants clés</t>
        </is>
      </c>
      <c r="H4443" s="1" t="n">
        <v>42961</v>
      </c>
      <c r="I4443" s="1" t="n">
        <v>42963</v>
      </c>
      <c r="J4443" t="inlineStr">
        <is>
          <t>Fox Harbour, Nova Scotia, and Halifax, Nova Scotia</t>
        </is>
      </c>
      <c r="K4443" t="inlineStr">
        <is>
          <t>Fox Harbour et Halifax (Nouvelle-Écosse)</t>
        </is>
      </c>
      <c r="P4443" t="n">
        <v>0</v>
      </c>
      <c r="Q4443" t="n">
        <v>0</v>
      </c>
      <c r="R4443" t="n">
        <v>466.86</v>
      </c>
      <c r="S4443" t="n">
        <v>232.25</v>
      </c>
      <c r="T4443" t="n">
        <v>657.01</v>
      </c>
      <c r="U4443" t="n">
        <v>1356.12</v>
      </c>
      <c r="X4443" t="inlineStr">
        <is>
          <t>acoa-apeca</t>
        </is>
      </c>
      <c r="Y4443" t="inlineStr">
        <is>
          <t>Atlantic Canada Opportunities Agency | Agence de promotion économique du Canada atlantique</t>
        </is>
      </c>
    </row>
    <row r="4444">
      <c r="A4444" t="inlineStr">
        <is>
          <t>T-2018-Q1-00055</t>
        </is>
      </c>
      <c r="B4444" t="inlineStr">
        <is>
          <t>SLE</t>
        </is>
      </c>
      <c r="C4444" t="inlineStr">
        <is>
          <t>Vice-President, Prince Edward Island</t>
        </is>
      </c>
      <c r="D4444" t="inlineStr">
        <is>
          <t>Vice-président, Île-du-Prince-Édouard</t>
        </is>
      </c>
      <c r="E4444" t="inlineStr">
        <is>
          <t>Patrick Dorsey</t>
        </is>
      </c>
      <c r="F4444" t="inlineStr">
        <is>
          <t>Executive Committee meeting</t>
        </is>
      </c>
      <c r="G4444" t="inlineStr">
        <is>
          <t>Réunion du Comité de direction</t>
        </is>
      </c>
      <c r="H4444" s="1" t="n">
        <v>42992</v>
      </c>
      <c r="I4444" s="1" t="n">
        <v>42992</v>
      </c>
      <c r="J4444" t="inlineStr">
        <is>
          <t>Moncton, New Brunswick</t>
        </is>
      </c>
      <c r="K4444" t="inlineStr">
        <is>
          <t>Moncton (Nouveau-Brunswick)</t>
        </is>
      </c>
      <c r="P4444" t="n">
        <v>0</v>
      </c>
      <c r="Q4444" t="n">
        <v>61</v>
      </c>
      <c r="R4444" t="n">
        <v>0</v>
      </c>
      <c r="S4444" t="n">
        <v>17.15</v>
      </c>
      <c r="T4444" t="n">
        <v>0</v>
      </c>
      <c r="U4444" t="n">
        <v>78.15000000000001</v>
      </c>
      <c r="X4444" t="inlineStr">
        <is>
          <t>acoa-apeca</t>
        </is>
      </c>
      <c r="Y4444" t="inlineStr">
        <is>
          <t>Atlantic Canada Opportunities Agency | Agence de promotion économique du Canada atlantique</t>
        </is>
      </c>
    </row>
    <row r="4445">
      <c r="A4445" t="inlineStr">
        <is>
          <t>T-2018-Q4-00042</t>
        </is>
      </c>
      <c r="B4445" t="inlineStr">
        <is>
          <t>SLE</t>
        </is>
      </c>
      <c r="C4445" t="inlineStr">
        <is>
          <t>Vice-President, New Brunswick</t>
        </is>
      </c>
      <c r="D4445" t="inlineStr">
        <is>
          <t>Vice-président, Nouveau-Brunswick</t>
        </is>
      </c>
      <c r="E4445" t="inlineStr">
        <is>
          <t>Kent Estabrooks</t>
        </is>
      </c>
      <c r="F4445" t="inlineStr">
        <is>
          <t>Champion file meeting</t>
        </is>
      </c>
      <c r="G4445" t="inlineStr">
        <is>
          <t>Réunion sur un dossier de champion</t>
        </is>
      </c>
      <c r="H4445" s="1" t="n">
        <v>43089</v>
      </c>
      <c r="I4445" s="1" t="n">
        <v>43090</v>
      </c>
      <c r="J4445" t="inlineStr">
        <is>
          <t>Moncton, New Brunswick</t>
        </is>
      </c>
      <c r="K4445" t="inlineStr">
        <is>
          <t>Moncton (Nouveau-Brunswick)</t>
        </is>
      </c>
      <c r="P4445" t="n">
        <v>0</v>
      </c>
      <c r="Q4445" t="n">
        <v>0</v>
      </c>
      <c r="R4445" t="n">
        <v>125.35</v>
      </c>
      <c r="S4445" t="n">
        <v>129.3</v>
      </c>
      <c r="T4445" t="n">
        <v>16.1</v>
      </c>
      <c r="U4445" t="n">
        <v>270.75</v>
      </c>
      <c r="X4445" t="inlineStr">
        <is>
          <t>acoa-apeca</t>
        </is>
      </c>
      <c r="Y4445" t="inlineStr">
        <is>
          <t>Atlantic Canada Opportunities Agency | Agence de promotion économique du Canada atlantique</t>
        </is>
      </c>
    </row>
    <row r="4446">
      <c r="A4446" t="inlineStr">
        <is>
          <t>T-2018-Q4-00041</t>
        </is>
      </c>
      <c r="B4446" t="inlineStr">
        <is>
          <t>SLE</t>
        </is>
      </c>
      <c r="C4446" t="inlineStr">
        <is>
          <t>Vice-President, New Brunswick</t>
        </is>
      </c>
      <c r="D4446" t="inlineStr">
        <is>
          <t>Vice-président, Nouveau-Brunswick</t>
        </is>
      </c>
      <c r="E4446" t="inlineStr">
        <is>
          <t>Kent Estabrooks</t>
        </is>
      </c>
      <c r="F4446" t="inlineStr">
        <is>
          <t>Various meetings with Agency officials</t>
        </is>
      </c>
      <c r="G4446" t="inlineStr">
        <is>
          <t>Diverses réunions avec des fonctionnaires de l'Agence</t>
        </is>
      </c>
      <c r="H4446" s="1" t="n">
        <v>43075</v>
      </c>
      <c r="I4446" s="1" t="n">
        <v>43076</v>
      </c>
      <c r="J4446" t="inlineStr">
        <is>
          <t>Moncton, New Brunswick</t>
        </is>
      </c>
      <c r="K4446" t="inlineStr">
        <is>
          <t>Moncton (Nouveau-Brunswick)</t>
        </is>
      </c>
      <c r="P4446" t="n">
        <v>0</v>
      </c>
      <c r="Q4446" t="n">
        <v>0</v>
      </c>
      <c r="R4446" t="n">
        <v>141.45</v>
      </c>
      <c r="S4446" t="n">
        <v>129.3</v>
      </c>
      <c r="T4446" t="n">
        <v>0</v>
      </c>
      <c r="U4446" t="n">
        <v>270.75</v>
      </c>
      <c r="X4446" t="inlineStr">
        <is>
          <t>acoa-apeca</t>
        </is>
      </c>
      <c r="Y4446" t="inlineStr">
        <is>
          <t>Atlantic Canada Opportunities Agency | Agence de promotion économique du Canada atlantique</t>
        </is>
      </c>
    </row>
    <row r="4447">
      <c r="A4447" t="inlineStr">
        <is>
          <t>T-2018-Q4-00040</t>
        </is>
      </c>
      <c r="B4447" t="inlineStr">
        <is>
          <t>SLE</t>
        </is>
      </c>
      <c r="C4447" t="inlineStr">
        <is>
          <t>Vice-President, Nova Scotia</t>
        </is>
      </c>
      <c r="D4447" t="inlineStr">
        <is>
          <t>Vice-président, Nouvelle-Écosse</t>
        </is>
      </c>
      <c r="E4447" t="inlineStr">
        <is>
          <t>Chuck Maillet</t>
        </is>
      </c>
      <c r="F4447" t="inlineStr">
        <is>
          <t xml:space="preserve">Assistant deputy minister orientation and meeting with Government of Canada officials </t>
        </is>
      </c>
      <c r="G4447" t="inlineStr">
        <is>
          <t>Séance d'orientation pour les sous-ministres et réunion avec des fonctionnaires du gouvernement du Canada</t>
        </is>
      </c>
      <c r="H4447" s="1" t="n">
        <v>43136</v>
      </c>
      <c r="I4447" s="1" t="n">
        <v>43137</v>
      </c>
      <c r="J4447" t="inlineStr">
        <is>
          <t>Ottawa, Ontario</t>
        </is>
      </c>
      <c r="K4447" t="inlineStr">
        <is>
          <t>Ottawa (Ontario)</t>
        </is>
      </c>
      <c r="P4447" t="n">
        <v>1101.53</v>
      </c>
      <c r="Q4447" t="n">
        <v>141.63</v>
      </c>
      <c r="R4447" t="n">
        <v>366.66</v>
      </c>
      <c r="S4447" t="n">
        <v>184.8</v>
      </c>
      <c r="T4447" t="n">
        <v>0</v>
      </c>
      <c r="U4447" t="n">
        <v>1794.62</v>
      </c>
      <c r="X4447" t="inlineStr">
        <is>
          <t>acoa-apeca</t>
        </is>
      </c>
      <c r="Y4447" t="inlineStr">
        <is>
          <t>Atlantic Canada Opportunities Agency | Agence de promotion économique du Canada atlantique</t>
        </is>
      </c>
    </row>
    <row r="4448">
      <c r="A4448" t="inlineStr">
        <is>
          <t>T-2018-Q4-00039</t>
        </is>
      </c>
      <c r="B4448" t="inlineStr">
        <is>
          <t>SLE</t>
        </is>
      </c>
      <c r="C4448" t="inlineStr">
        <is>
          <t>Vice-President, Nova Scotia</t>
        </is>
      </c>
      <c r="D4448" t="inlineStr">
        <is>
          <t>Vice-président, Nouvelle-Écosse</t>
        </is>
      </c>
      <c r="E4448" t="inlineStr">
        <is>
          <t>Chuck Maillet</t>
        </is>
      </c>
      <c r="F4448" t="inlineStr">
        <is>
          <t>Various meetings with Government of Canada and Agency officials, and private sector representatives</t>
        </is>
      </c>
      <c r="G4448" t="inlineStr">
        <is>
          <t>Diverses réunions avec des fonctionnaires du gouvernement du Canada et de l'Agence, ainsi que des représentants du secteur privé</t>
        </is>
      </c>
      <c r="H4448" s="1" t="n">
        <v>43129</v>
      </c>
      <c r="I4448" s="1" t="n">
        <v>43133</v>
      </c>
      <c r="J4448" t="inlineStr">
        <is>
          <t>Toronto, Waterloo and Hamilton, Ontario</t>
        </is>
      </c>
      <c r="K4448" t="inlineStr">
        <is>
          <t>Toronto, Waterloo et Hamilton (Ontario)</t>
        </is>
      </c>
      <c r="P4448" t="n">
        <v>1264.17</v>
      </c>
      <c r="Q4448" t="n">
        <v>98.93000000000001</v>
      </c>
      <c r="R4448" t="n">
        <v>754.53</v>
      </c>
      <c r="S4448" t="n">
        <v>418.35</v>
      </c>
      <c r="T4448" t="n">
        <v>0</v>
      </c>
      <c r="U4448" t="n">
        <v>2535.98</v>
      </c>
      <c r="X4448" t="inlineStr">
        <is>
          <t>acoa-apeca</t>
        </is>
      </c>
      <c r="Y4448" t="inlineStr">
        <is>
          <t>Atlantic Canada Opportunities Agency | Agence de promotion économique du Canada atlantique</t>
        </is>
      </c>
    </row>
    <row r="4449">
      <c r="A4449" t="inlineStr">
        <is>
          <t>T-2018-Q4-00038</t>
        </is>
      </c>
      <c r="B4449" t="inlineStr">
        <is>
          <t>SLE</t>
        </is>
      </c>
      <c r="C4449" t="inlineStr">
        <is>
          <t>Vice-President, Nova Scotia</t>
        </is>
      </c>
      <c r="D4449" t="inlineStr">
        <is>
          <t>Vice-président, Nouvelle-Écosse</t>
        </is>
      </c>
      <c r="E4449" t="inlineStr">
        <is>
          <t>Chuck Maillet</t>
        </is>
      </c>
      <c r="F4449" t="inlineStr">
        <is>
          <t>Various meetings with Agency officials and stakeholders</t>
        </is>
      </c>
      <c r="G4449" t="inlineStr">
        <is>
          <t>Diverses réunions avec des fonctionnaires de l'Agence et des intervenants</t>
        </is>
      </c>
      <c r="H4449" s="1" t="n">
        <v>43089</v>
      </c>
      <c r="I4449" s="1" t="n">
        <v>43090</v>
      </c>
      <c r="J4449" t="inlineStr">
        <is>
          <t>Sydney, Nova Scotia</t>
        </is>
      </c>
      <c r="K4449" t="inlineStr">
        <is>
          <t>Sydney (Nouvelle-Écosse)</t>
        </is>
      </c>
      <c r="P4449" t="n">
        <v>540.42</v>
      </c>
      <c r="Q4449" t="n">
        <v>0</v>
      </c>
      <c r="R4449" t="n">
        <v>123.17</v>
      </c>
      <c r="S4449" t="n">
        <v>138.85</v>
      </c>
      <c r="T4449" t="n">
        <v>0</v>
      </c>
      <c r="U4449" t="n">
        <v>802.4400000000001</v>
      </c>
      <c r="X4449" t="inlineStr">
        <is>
          <t>acoa-apeca</t>
        </is>
      </c>
      <c r="Y4449" t="inlineStr">
        <is>
          <t>Atlantic Canada Opportunities Agency | Agence de promotion économique du Canada atlantique</t>
        </is>
      </c>
    </row>
    <row r="4450">
      <c r="A4450" t="inlineStr">
        <is>
          <t>T-2018-Q4-00037</t>
        </is>
      </c>
      <c r="B4450" t="inlineStr">
        <is>
          <t>SLE</t>
        </is>
      </c>
      <c r="C4450" t="inlineStr">
        <is>
          <t>Vice-President, Nova Scotia</t>
        </is>
      </c>
      <c r="D4450" t="inlineStr">
        <is>
          <t>Vice-président, Nouvelle-Écosse</t>
        </is>
      </c>
      <c r="E4450" t="inlineStr">
        <is>
          <t>Chuck Maillet</t>
        </is>
      </c>
      <c r="F4450" t="inlineStr">
        <is>
          <t xml:space="preserve">Meetings with senior Agency officials </t>
        </is>
      </c>
      <c r="G4450" t="inlineStr">
        <is>
          <t>Réunions avec des hauts fonctionnaires de l'Agence</t>
        </is>
      </c>
      <c r="H4450" s="1" t="n">
        <v>43075</v>
      </c>
      <c r="I4450" s="1" t="n">
        <v>43076</v>
      </c>
      <c r="J4450" t="inlineStr">
        <is>
          <t>Moncton, New Brunswick</t>
        </is>
      </c>
      <c r="K4450" t="inlineStr">
        <is>
          <t>Moncton (Nouveau-Brunswick)</t>
        </is>
      </c>
      <c r="P4450" t="n">
        <v>0</v>
      </c>
      <c r="Q4450" t="n">
        <v>16.1</v>
      </c>
      <c r="R4450" t="n">
        <v>125.35</v>
      </c>
      <c r="S4450" t="n">
        <v>101.05</v>
      </c>
      <c r="T4450" t="n">
        <v>0</v>
      </c>
      <c r="U4450" t="n">
        <v>242.5</v>
      </c>
      <c r="X4450" t="inlineStr">
        <is>
          <t>acoa-apeca</t>
        </is>
      </c>
      <c r="Y4450" t="inlineStr">
        <is>
          <t>Atlantic Canada Opportunities Agency | Agence de promotion économique du Canada atlantique</t>
        </is>
      </c>
    </row>
    <row r="4451">
      <c r="A4451" t="inlineStr">
        <is>
          <t>T-2018-Q4-00036</t>
        </is>
      </c>
      <c r="B4451" t="inlineStr">
        <is>
          <t>SLE</t>
        </is>
      </c>
      <c r="C4451" t="inlineStr">
        <is>
          <t>Vice-President, New Brunswick</t>
        </is>
      </c>
      <c r="D4451" t="inlineStr">
        <is>
          <t>Vice-président, Nouveau-Brunswick</t>
        </is>
      </c>
      <c r="E4451" t="inlineStr">
        <is>
          <t>Kent Estabrooks</t>
        </is>
      </c>
      <c r="F4451" t="inlineStr">
        <is>
          <t>Meetings with union officials and interviews</t>
        </is>
      </c>
      <c r="G4451" t="inlineStr">
        <is>
          <t>Réunions avec des représentants syndicaux et entrevues</t>
        </is>
      </c>
      <c r="H4451" s="1" t="n">
        <v>43080</v>
      </c>
      <c r="I4451" s="1" t="n">
        <v>43081</v>
      </c>
      <c r="J4451" t="inlineStr">
        <is>
          <t>Moncton, New Brunswick</t>
        </is>
      </c>
      <c r="K4451" t="inlineStr">
        <is>
          <t>Moncton (Nouveau-Brunswick)</t>
        </is>
      </c>
      <c r="P4451" t="n">
        <v>0</v>
      </c>
      <c r="Q4451" t="n">
        <v>0</v>
      </c>
      <c r="R4451" t="n">
        <v>125.35</v>
      </c>
      <c r="S4451" t="n">
        <v>119.75</v>
      </c>
      <c r="T4451" t="n">
        <v>16.1</v>
      </c>
      <c r="U4451" t="n">
        <v>261.2</v>
      </c>
      <c r="X4451" t="inlineStr">
        <is>
          <t>acoa-apeca</t>
        </is>
      </c>
      <c r="Y4451" t="inlineStr">
        <is>
          <t>Atlantic Canada Opportunities Agency | Agence de promotion économique du Canada atlantique</t>
        </is>
      </c>
    </row>
    <row r="4452">
      <c r="A4452" t="inlineStr">
        <is>
          <t>T-2018-Q4-00035</t>
        </is>
      </c>
      <c r="B4452" t="inlineStr">
        <is>
          <t>SLE</t>
        </is>
      </c>
      <c r="C4452" t="inlineStr">
        <is>
          <t>Vice-President, New Brunswick</t>
        </is>
      </c>
      <c r="D4452" t="inlineStr">
        <is>
          <t>Vice-président, Nouveau-Brunswick</t>
        </is>
      </c>
      <c r="E4452" t="inlineStr">
        <is>
          <t>Kent Estabrooks</t>
        </is>
      </c>
      <c r="F4452" t="inlineStr">
        <is>
          <t>Mentorship initiative meeting</t>
        </is>
      </c>
      <c r="G4452" t="inlineStr">
        <is>
          <t>Réunion dans le cadre d'une initiative de mentorat</t>
        </is>
      </c>
      <c r="H4452" s="1" t="n">
        <v>43084</v>
      </c>
      <c r="I4452" s="1" t="n">
        <v>43084</v>
      </c>
      <c r="J4452" t="inlineStr">
        <is>
          <t>Moncton, New Brunswick</t>
        </is>
      </c>
      <c r="K4452" t="inlineStr">
        <is>
          <t>Moncton (Nouveau-Brunswick)</t>
        </is>
      </c>
      <c r="P4452" t="n">
        <v>0</v>
      </c>
      <c r="Q4452" t="n">
        <v>7.21</v>
      </c>
      <c r="R4452" t="n">
        <v>0</v>
      </c>
      <c r="S4452" t="n">
        <v>18.9</v>
      </c>
      <c r="T4452" t="n">
        <v>18.5</v>
      </c>
      <c r="U4452" t="n">
        <v>44.61</v>
      </c>
      <c r="X4452" t="inlineStr">
        <is>
          <t>acoa-apeca</t>
        </is>
      </c>
      <c r="Y4452" t="inlineStr">
        <is>
          <t>Atlantic Canada Opportunities Agency | Agence de promotion économique du Canada atlantique</t>
        </is>
      </c>
    </row>
    <row r="4453">
      <c r="A4453" t="inlineStr">
        <is>
          <t>T-2018-Q4-00034</t>
        </is>
      </c>
      <c r="B4453" t="inlineStr">
        <is>
          <t>SLE</t>
        </is>
      </c>
      <c r="C4453" t="inlineStr">
        <is>
          <t>Vice-President, New Brunswick</t>
        </is>
      </c>
      <c r="D4453" t="inlineStr">
        <is>
          <t>Vice-président, Nouveau-Brunswick</t>
        </is>
      </c>
      <c r="E4453" t="inlineStr">
        <is>
          <t>Kent Estabrooks</t>
        </is>
      </c>
      <c r="F4453" t="inlineStr">
        <is>
          <t>Meetings with various federal officials</t>
        </is>
      </c>
      <c r="G4453" t="inlineStr">
        <is>
          <t>Réunions avec divers fonctionnaires fédéraux</t>
        </is>
      </c>
      <c r="H4453" s="1" t="n">
        <v>43116</v>
      </c>
      <c r="I4453" s="1" t="n">
        <v>43118</v>
      </c>
      <c r="J4453" t="inlineStr">
        <is>
          <t>Ottawa, Ontario</t>
        </is>
      </c>
      <c r="K4453" t="inlineStr">
        <is>
          <t>Ottawa (Ontario)</t>
        </is>
      </c>
      <c r="P4453" t="n">
        <v>692.3</v>
      </c>
      <c r="Q4453" t="n">
        <v>171.96</v>
      </c>
      <c r="R4453" t="n">
        <v>411.32</v>
      </c>
      <c r="S4453" t="n">
        <v>267.95</v>
      </c>
      <c r="T4453" t="n">
        <v>17.25</v>
      </c>
      <c r="U4453" t="n">
        <v>1560.78</v>
      </c>
      <c r="X4453" t="inlineStr">
        <is>
          <t>acoa-apeca</t>
        </is>
      </c>
      <c r="Y4453" t="inlineStr">
        <is>
          <t>Atlantic Canada Opportunities Agency | Agence de promotion économique du Canada atlantique</t>
        </is>
      </c>
    </row>
    <row r="4454">
      <c r="A4454" t="inlineStr">
        <is>
          <t>T-2018-Q4-00033</t>
        </is>
      </c>
      <c r="B4454" t="inlineStr">
        <is>
          <t>SLE</t>
        </is>
      </c>
      <c r="C4454" t="inlineStr">
        <is>
          <t>Vice-President, New Brunswick</t>
        </is>
      </c>
      <c r="D4454" t="inlineStr">
        <is>
          <t>Vice-président, Nouveau-Brunswick</t>
        </is>
      </c>
      <c r="E4454" t="inlineStr">
        <is>
          <t>Kent Estabrooks</t>
        </is>
      </c>
      <c r="F4454" t="inlineStr">
        <is>
          <t>Various meetings with Agency officials</t>
        </is>
      </c>
      <c r="G4454" t="inlineStr">
        <is>
          <t>Diverses réunions avec des fonctionnaires de l'Agence</t>
        </is>
      </c>
      <c r="H4454" s="1" t="n">
        <v>43123</v>
      </c>
      <c r="I4454" s="1" t="n">
        <v>43124</v>
      </c>
      <c r="J4454" t="inlineStr">
        <is>
          <t>Moncton, New Brunswick</t>
        </is>
      </c>
      <c r="K4454" t="inlineStr">
        <is>
          <t>Moncton (Nouveau-Brunswick)</t>
        </is>
      </c>
      <c r="P4454" t="n">
        <v>0</v>
      </c>
      <c r="Q4454" t="n">
        <v>0</v>
      </c>
      <c r="R4454" t="n">
        <v>165.6</v>
      </c>
      <c r="S4454" t="n">
        <v>119.75</v>
      </c>
      <c r="T4454" t="n">
        <v>0</v>
      </c>
      <c r="U4454" t="n">
        <v>285.35</v>
      </c>
      <c r="X4454" t="inlineStr">
        <is>
          <t>acoa-apeca</t>
        </is>
      </c>
      <c r="Y4454" t="inlineStr">
        <is>
          <t>Atlantic Canada Opportunities Agency | Agence de promotion économique du Canada atlantique</t>
        </is>
      </c>
    </row>
    <row r="4455">
      <c r="A4455" t="inlineStr">
        <is>
          <t>T-2018-Q4-00032</t>
        </is>
      </c>
      <c r="B4455" t="inlineStr">
        <is>
          <t>SLE</t>
        </is>
      </c>
      <c r="C4455" t="inlineStr">
        <is>
          <t>Vice-President, New Brunswick</t>
        </is>
      </c>
      <c r="D4455" t="inlineStr">
        <is>
          <t>Vice-président, Nouveau-Brunswick</t>
        </is>
      </c>
      <c r="E4455" t="inlineStr">
        <is>
          <t>Kent Estabrooks</t>
        </is>
      </c>
      <c r="F4455" t="inlineStr">
        <is>
          <t>Meeting with a client</t>
        </is>
      </c>
      <c r="G4455" t="inlineStr">
        <is>
          <t>Réunion avec un client</t>
        </is>
      </c>
      <c r="H4455" s="1" t="n">
        <v>43129</v>
      </c>
      <c r="I4455" s="1" t="n">
        <v>43129</v>
      </c>
      <c r="J4455" t="inlineStr">
        <is>
          <t>Woodstock, New Brunswick</t>
        </is>
      </c>
      <c r="K4455" t="inlineStr">
        <is>
          <t>Woodstock (Nouveau-Brunswick)</t>
        </is>
      </c>
      <c r="P4455" t="n">
        <v>0</v>
      </c>
      <c r="Q4455" t="n">
        <v>0</v>
      </c>
      <c r="R4455" t="n">
        <v>0</v>
      </c>
      <c r="S4455" t="n">
        <v>18.9</v>
      </c>
      <c r="T4455" t="n">
        <v>0</v>
      </c>
      <c r="U4455" t="n">
        <v>18.9</v>
      </c>
      <c r="X4455" t="inlineStr">
        <is>
          <t>acoa-apeca</t>
        </is>
      </c>
      <c r="Y4455" t="inlineStr">
        <is>
          <t>Atlantic Canada Opportunities Agency | Agence de promotion économique du Canada atlantique</t>
        </is>
      </c>
    </row>
    <row r="4456">
      <c r="A4456" t="inlineStr">
        <is>
          <t>T-2018-Q4-00031</t>
        </is>
      </c>
      <c r="B4456" t="inlineStr">
        <is>
          <t>SLE</t>
        </is>
      </c>
      <c r="C4456" t="inlineStr">
        <is>
          <t>Vice-President, New Brunswick</t>
        </is>
      </c>
      <c r="D4456" t="inlineStr">
        <is>
          <t>Vice-président, Nouveau-Brunswick</t>
        </is>
      </c>
      <c r="E4456" t="inlineStr">
        <is>
          <t>Kent Estabrooks</t>
        </is>
      </c>
      <c r="F4456" t="inlineStr">
        <is>
          <t>Agency Executive Committee meeting and various meetings with federal officials</t>
        </is>
      </c>
      <c r="G4456" t="inlineStr">
        <is>
          <t>Réunion du Comité de direction de l'Agence et diverses réunions avec des fonctionnaires fédéraux</t>
        </is>
      </c>
      <c r="H4456" s="1" t="n">
        <v>43131</v>
      </c>
      <c r="I4456" s="1" t="n">
        <v>43133</v>
      </c>
      <c r="J4456" t="inlineStr">
        <is>
          <t>Hamilton, Ontario</t>
        </is>
      </c>
      <c r="K4456" t="inlineStr">
        <is>
          <t>Hamilton (Ontario)</t>
        </is>
      </c>
      <c r="P4456" t="n">
        <v>692.3</v>
      </c>
      <c r="Q4456" t="n">
        <v>197.23</v>
      </c>
      <c r="R4456" t="n">
        <v>315.69</v>
      </c>
      <c r="S4456" t="n">
        <v>212.85</v>
      </c>
      <c r="T4456" t="n">
        <v>0</v>
      </c>
      <c r="U4456" t="n">
        <v>1418.07</v>
      </c>
      <c r="X4456" t="inlineStr">
        <is>
          <t>acoa-apeca</t>
        </is>
      </c>
      <c r="Y4456" t="inlineStr">
        <is>
          <t>Atlantic Canada Opportunities Agency | Agence de promotion économique du Canada atlantique</t>
        </is>
      </c>
    </row>
    <row r="4457">
      <c r="A4457" t="inlineStr">
        <is>
          <t>T-2018-Q4-00030</t>
        </is>
      </c>
      <c r="B4457" t="inlineStr">
        <is>
          <t>SLE</t>
        </is>
      </c>
      <c r="C4457" t="inlineStr">
        <is>
          <t>Vice-President, New Brunswick</t>
        </is>
      </c>
      <c r="D4457" t="inlineStr">
        <is>
          <t>Vice-président, Nouveau-Brunswick</t>
        </is>
      </c>
      <c r="E4457" t="inlineStr">
        <is>
          <t>Kent Estabrooks</t>
        </is>
      </c>
      <c r="F4457" t="inlineStr">
        <is>
          <t>Meetings with various federal officials</t>
        </is>
      </c>
      <c r="G4457" t="inlineStr">
        <is>
          <t>Réunions avec divers fonctionnaires fédéraux</t>
        </is>
      </c>
      <c r="H4457" s="1" t="n">
        <v>43144</v>
      </c>
      <c r="I4457" s="1" t="n">
        <v>43145</v>
      </c>
      <c r="J4457" t="inlineStr">
        <is>
          <t>Ottawa, Ontario</t>
        </is>
      </c>
      <c r="K4457" t="inlineStr">
        <is>
          <t>Ottawa (Ontario)</t>
        </is>
      </c>
      <c r="P4457" t="n">
        <v>692.3</v>
      </c>
      <c r="Q4457" t="n">
        <v>127.1</v>
      </c>
      <c r="R4457" t="n">
        <v>205.66</v>
      </c>
      <c r="S4457" t="n">
        <v>167.1</v>
      </c>
      <c r="T4457" t="n">
        <v>0</v>
      </c>
      <c r="U4457" t="n">
        <v>1192.16</v>
      </c>
      <c r="X4457" t="inlineStr">
        <is>
          <t>acoa-apeca</t>
        </is>
      </c>
      <c r="Y4457" t="inlineStr">
        <is>
          <t>Atlantic Canada Opportunities Agency | Agence de promotion économique du Canada atlantique</t>
        </is>
      </c>
    </row>
    <row r="4458">
      <c r="A4458" t="inlineStr">
        <is>
          <t>T-2018-Q4-00029</t>
        </is>
      </c>
      <c r="B4458" t="inlineStr">
        <is>
          <t>SLE</t>
        </is>
      </c>
      <c r="C4458" t="inlineStr">
        <is>
          <t>Vice-President, New Brunswick</t>
        </is>
      </c>
      <c r="D4458" t="inlineStr">
        <is>
          <t>Vice-président, Nouveau-Brunswick</t>
        </is>
      </c>
      <c r="E4458" t="inlineStr">
        <is>
          <t>Kent Estabrooks</t>
        </is>
      </c>
      <c r="F4458" t="inlineStr">
        <is>
          <t>Meeting with Agency officials</t>
        </is>
      </c>
      <c r="G4458" t="inlineStr">
        <is>
          <t>Réunion avec des fonctionnaires de l'Agence</t>
        </is>
      </c>
      <c r="H4458" s="1" t="n">
        <v>43146</v>
      </c>
      <c r="I4458" s="1" t="n">
        <v>43146</v>
      </c>
      <c r="J4458" t="inlineStr">
        <is>
          <t>Moncton, New Brunswick</t>
        </is>
      </c>
      <c r="K4458" t="inlineStr">
        <is>
          <t>Moncton (Nouveau-Brunswick)</t>
        </is>
      </c>
      <c r="P4458" t="n">
        <v>0</v>
      </c>
      <c r="Q4458" t="n">
        <v>0</v>
      </c>
      <c r="R4458" t="n">
        <v>0</v>
      </c>
      <c r="S4458" t="n">
        <v>18.9</v>
      </c>
      <c r="T4458" t="n">
        <v>9</v>
      </c>
      <c r="U4458" t="n">
        <v>27.9</v>
      </c>
      <c r="X4458" t="inlineStr">
        <is>
          <t>acoa-apeca</t>
        </is>
      </c>
      <c r="Y4458" t="inlineStr">
        <is>
          <t>Atlantic Canada Opportunities Agency | Agence de promotion économique du Canada atlantique</t>
        </is>
      </c>
    </row>
    <row r="4459">
      <c r="A4459" t="inlineStr">
        <is>
          <t>T-2018-Q4-00025</t>
        </is>
      </c>
      <c r="B4459" t="inlineStr">
        <is>
          <t>SLE</t>
        </is>
      </c>
      <c r="C4459" t="inlineStr">
        <is>
          <t>Vice-President, Prince Edward Island</t>
        </is>
      </c>
      <c r="D4459" t="inlineStr">
        <is>
          <t>Vice-président, Île-du-Prince-Édouard</t>
        </is>
      </c>
      <c r="E4459" t="inlineStr">
        <is>
          <t>Patrick Dorsey</t>
        </is>
      </c>
      <c r="F4459" t="inlineStr">
        <is>
          <t>Various meetings with Government of Canada officials</t>
        </is>
      </c>
      <c r="G4459" t="inlineStr">
        <is>
          <t>Diverses réunions avec des fonctionnaires du gouvernement du Canada</t>
        </is>
      </c>
      <c r="H4459" s="1" t="n">
        <v>43143</v>
      </c>
      <c r="I4459" s="1" t="n">
        <v>43145</v>
      </c>
      <c r="J4459" t="inlineStr">
        <is>
          <t>Ottawa, Ontario</t>
        </is>
      </c>
      <c r="K4459" t="inlineStr">
        <is>
          <t>Ottawa (Ontario)</t>
        </is>
      </c>
      <c r="P4459" t="n">
        <v>635.78</v>
      </c>
      <c r="Q4459" t="n">
        <v>144.21</v>
      </c>
      <c r="R4459" t="n">
        <v>411.32</v>
      </c>
      <c r="S4459" t="n">
        <v>222.4</v>
      </c>
      <c r="T4459" t="n">
        <v>271.4</v>
      </c>
      <c r="U4459" t="n">
        <v>1685.11</v>
      </c>
      <c r="X4459" t="inlineStr">
        <is>
          <t>acoa-apeca</t>
        </is>
      </c>
      <c r="Y4459" t="inlineStr">
        <is>
          <t>Atlantic Canada Opportunities Agency | Agence de promotion économique du Canada atlantique</t>
        </is>
      </c>
    </row>
    <row r="4460">
      <c r="A4460" t="inlineStr">
        <is>
          <t>T-2018-Q4-00024</t>
        </is>
      </c>
      <c r="B4460" t="inlineStr">
        <is>
          <t>SLE</t>
        </is>
      </c>
      <c r="C4460" t="inlineStr">
        <is>
          <t>Vice-President, Prince Edward Island</t>
        </is>
      </c>
      <c r="D4460" t="inlineStr">
        <is>
          <t>Vice-président, Île-du-Prince-Édouard</t>
        </is>
      </c>
      <c r="E4460" t="inlineStr">
        <is>
          <t>Patrick Dorsey</t>
        </is>
      </c>
      <c r="F4460" t="inlineStr">
        <is>
          <t xml:space="preserve">Federal/provincial food sector working group meeting </t>
        </is>
      </c>
      <c r="G4460" t="inlineStr">
        <is>
          <t>Réunion du groupe de travail fédéral-provincial sur l'alimentation</t>
        </is>
      </c>
      <c r="H4460" s="1" t="n">
        <v>43138</v>
      </c>
      <c r="I4460" s="1" t="n">
        <v>43140</v>
      </c>
      <c r="J4460" t="inlineStr">
        <is>
          <t>Halifax, Nova Scotia</t>
        </is>
      </c>
      <c r="K4460" t="inlineStr">
        <is>
          <t>Halifax (Nouvelle-Écosse)</t>
        </is>
      </c>
      <c r="P4460" t="n">
        <v>0</v>
      </c>
      <c r="Q4460" t="n">
        <v>57</v>
      </c>
      <c r="R4460" t="n">
        <v>302.64</v>
      </c>
      <c r="S4460" t="n">
        <v>241.5</v>
      </c>
      <c r="T4460" t="n">
        <v>52.78</v>
      </c>
      <c r="U4460" t="n">
        <v>653.92</v>
      </c>
      <c r="X4460" t="inlineStr">
        <is>
          <t>acoa-apeca</t>
        </is>
      </c>
      <c r="Y4460" t="inlineStr">
        <is>
          <t>Atlantic Canada Opportunities Agency | Agence de promotion économique du Canada atlantique</t>
        </is>
      </c>
    </row>
    <row r="4461">
      <c r="A4461" t="inlineStr">
        <is>
          <t>T-2018-Q4-00023</t>
        </is>
      </c>
      <c r="B4461" t="inlineStr">
        <is>
          <t>SLE</t>
        </is>
      </c>
      <c r="C4461" t="inlineStr">
        <is>
          <t>President</t>
        </is>
      </c>
      <c r="D4461" t="inlineStr">
        <is>
          <t>Président</t>
        </is>
      </c>
      <c r="E4461" t="inlineStr">
        <is>
          <t>Francis McGuire</t>
        </is>
      </c>
      <c r="F4461" t="inlineStr">
        <is>
          <t>Various meetings with Agency and Government of Canada officials, and key stakeholders</t>
        </is>
      </c>
      <c r="G4461" t="inlineStr">
        <is>
          <t xml:space="preserve">Diverses réunions avec des fonctionnaires de l'Agence et du gouvernement du Canada, ainsi que des intervenants clés </t>
        </is>
      </c>
      <c r="H4461" s="1" t="n">
        <v>43143</v>
      </c>
      <c r="I4461" s="1" t="n">
        <v>43146</v>
      </c>
      <c r="J4461" t="inlineStr">
        <is>
          <t>Ottawa, Ontario</t>
        </is>
      </c>
      <c r="K4461" t="inlineStr">
        <is>
          <t>Ottawa (Ontario)</t>
        </is>
      </c>
      <c r="P4461" t="n">
        <v>1661.41</v>
      </c>
      <c r="Q4461" t="n">
        <v>58.24</v>
      </c>
      <c r="R4461" t="n">
        <v>646.3200000000001</v>
      </c>
      <c r="S4461" t="n">
        <v>372.6</v>
      </c>
      <c r="T4461" t="n">
        <v>0</v>
      </c>
      <c r="U4461" t="n">
        <v>2738.57</v>
      </c>
      <c r="X4461" t="inlineStr">
        <is>
          <t>acoa-apeca</t>
        </is>
      </c>
      <c r="Y4461" t="inlineStr">
        <is>
          <t>Atlantic Canada Opportunities Agency | Agence de promotion économique du Canada atlantique</t>
        </is>
      </c>
    </row>
    <row r="4462">
      <c r="A4462" t="inlineStr">
        <is>
          <t>T-2018-Q4-00022</t>
        </is>
      </c>
      <c r="B4462" t="inlineStr">
        <is>
          <t>SLE</t>
        </is>
      </c>
      <c r="C4462" t="inlineStr">
        <is>
          <t>Vice-President, Policy and Programs</t>
        </is>
      </c>
      <c r="D4462" t="inlineStr">
        <is>
          <t>Vice-président, Politiques et Programmes</t>
        </is>
      </c>
      <c r="E4462" t="inlineStr">
        <is>
          <t>Daryell Nowlan</t>
        </is>
      </c>
      <c r="F4462" t="inlineStr">
        <is>
          <t>Meetings with Government of Canada officials</t>
        </is>
      </c>
      <c r="G4462" t="inlineStr">
        <is>
          <t>Réunions avec des fonctionnaires du gouvernement du Canada</t>
        </is>
      </c>
      <c r="H4462" s="1" t="n">
        <v>43142</v>
      </c>
      <c r="I4462" s="1" t="n">
        <v>43144</v>
      </c>
      <c r="J4462" t="inlineStr">
        <is>
          <t>Ottawa, Ontario</t>
        </is>
      </c>
      <c r="K4462" t="inlineStr">
        <is>
          <t>Ottawa (Ontario)</t>
        </is>
      </c>
      <c r="P4462" t="n">
        <v>692.3</v>
      </c>
      <c r="Q4462" t="n">
        <v>103.84</v>
      </c>
      <c r="R4462" t="n">
        <v>447.75</v>
      </c>
      <c r="S4462" t="n">
        <v>184.4</v>
      </c>
      <c r="T4462" t="n">
        <v>0</v>
      </c>
      <c r="U4462" t="n">
        <v>1428.29</v>
      </c>
      <c r="X4462" t="inlineStr">
        <is>
          <t>acoa-apeca</t>
        </is>
      </c>
      <c r="Y4462" t="inlineStr">
        <is>
          <t>Atlantic Canada Opportunities Agency | Agence de promotion économique du Canada atlantique</t>
        </is>
      </c>
    </row>
    <row r="4463">
      <c r="A4463" t="inlineStr">
        <is>
          <t>T-2018-Q4-00021</t>
        </is>
      </c>
      <c r="B4463" t="inlineStr">
        <is>
          <t>SLE</t>
        </is>
      </c>
      <c r="C4463" t="inlineStr">
        <is>
          <t>Vice-President, Prince Edward Island</t>
        </is>
      </c>
      <c r="D4463" t="inlineStr">
        <is>
          <t>Vice-président, Île-du-Prince-Édouard</t>
        </is>
      </c>
      <c r="E4463" t="inlineStr">
        <is>
          <t>Patrick Dorsey</t>
        </is>
      </c>
      <c r="F4463" t="inlineStr">
        <is>
          <t>Meetings with advanced manufacturing stakeholders and Government of Canada officials</t>
        </is>
      </c>
      <c r="G4463" t="inlineStr">
        <is>
          <t>Réunions avec des intervenants du secteur de la fabrication de pointe et des fonctionnaires du gouvernement du Canada</t>
        </is>
      </c>
      <c r="H4463" s="1" t="n">
        <v>43131</v>
      </c>
      <c r="I4463" s="1" t="n">
        <v>43134</v>
      </c>
      <c r="J4463" t="inlineStr">
        <is>
          <t>Hamilton, Waterloo and Mississauga, Ontario</t>
        </is>
      </c>
      <c r="K4463" t="inlineStr">
        <is>
          <t>Hamilton, Waterloo et Mississauga (Ontario)</t>
        </is>
      </c>
      <c r="P4463" t="n">
        <v>652.99</v>
      </c>
      <c r="Q4463" t="n">
        <v>31</v>
      </c>
      <c r="R4463" t="n">
        <v>318.01</v>
      </c>
      <c r="S4463" t="n">
        <v>230.15</v>
      </c>
      <c r="T4463" t="n">
        <v>0</v>
      </c>
      <c r="U4463" t="n">
        <v>1232.15</v>
      </c>
      <c r="X4463" t="inlineStr">
        <is>
          <t>acoa-apeca</t>
        </is>
      </c>
      <c r="Y4463" t="inlineStr">
        <is>
          <t>Atlantic Canada Opportunities Agency | Agence de promotion économique du Canada atlantique</t>
        </is>
      </c>
    </row>
    <row r="4464">
      <c r="A4464" t="inlineStr">
        <is>
          <t>T-2018-Q4-00019</t>
        </is>
      </c>
      <c r="B4464" t="inlineStr">
        <is>
          <t>SLE</t>
        </is>
      </c>
      <c r="C4464" t="inlineStr">
        <is>
          <t>Vice-President, Finance and Corporate Services</t>
        </is>
      </c>
      <c r="D4464" t="inlineStr">
        <is>
          <t>Vice-président, Finance et Services corporatifs</t>
        </is>
      </c>
      <c r="E4464" t="inlineStr">
        <is>
          <t>Stephane Lagace</t>
        </is>
      </c>
      <c r="F4464" t="inlineStr">
        <is>
          <t>Meetings with Government of Canada officials and private sector representatives</t>
        </is>
      </c>
      <c r="G4464" t="inlineStr">
        <is>
          <t>Réunions avec des fonctionnaires du gouvernement du Canada et des représentants du secteur privé</t>
        </is>
      </c>
      <c r="H4464" s="1" t="n">
        <v>43129</v>
      </c>
      <c r="I4464" s="1" t="n">
        <v>43133</v>
      </c>
      <c r="J4464" t="inlineStr">
        <is>
          <t>Ottawa, Hamilton, Waterloo and Mississauga, Ontario</t>
        </is>
      </c>
      <c r="K4464" t="inlineStr">
        <is>
          <t>Ottawa, Hamilton, Waterloo et Mississauga (Ontario)</t>
        </is>
      </c>
      <c r="P4464" t="n">
        <v>576.79</v>
      </c>
      <c r="Q4464" t="n">
        <v>316.62</v>
      </c>
      <c r="R4464" t="n">
        <v>729.33</v>
      </c>
      <c r="S4464" t="n">
        <v>456.35</v>
      </c>
      <c r="T4464" t="n">
        <v>0</v>
      </c>
      <c r="U4464" t="n">
        <v>2079.09</v>
      </c>
      <c r="X4464" t="inlineStr">
        <is>
          <t>acoa-apeca</t>
        </is>
      </c>
      <c r="Y4464" t="inlineStr">
        <is>
          <t>Atlantic Canada Opportunities Agency | Agence de promotion économique du Canada atlantique</t>
        </is>
      </c>
    </row>
    <row r="4465">
      <c r="A4465" t="inlineStr">
        <is>
          <t>T-2018-Q4-00018</t>
        </is>
      </c>
      <c r="B4465" t="inlineStr">
        <is>
          <t>SLE</t>
        </is>
      </c>
      <c r="C4465" t="inlineStr">
        <is>
          <t>President</t>
        </is>
      </c>
      <c r="D4465" t="inlineStr">
        <is>
          <t>Président</t>
        </is>
      </c>
      <c r="E4465" t="inlineStr">
        <is>
          <t>Francis McGuire</t>
        </is>
      </c>
      <c r="F4465" t="inlineStr">
        <is>
          <t>Various meetings/tour with Agency and Government of Canada officials, and key stakeholders</t>
        </is>
      </c>
      <c r="G4465" t="inlineStr">
        <is>
          <t>Diverses réunions et tournée avec des fonctionnaires de l'Agence et du gouvernement du Canada, ainsi que des intervenants clés</t>
        </is>
      </c>
      <c r="H4465" s="1" t="n">
        <v>43130</v>
      </c>
      <c r="I4465" s="1" t="n">
        <v>43135</v>
      </c>
      <c r="J4465" t="inlineStr">
        <is>
          <t>Ottawa, Toronto and Hamilton, Ontario</t>
        </is>
      </c>
      <c r="K4465" t="inlineStr">
        <is>
          <t>Ottawa, Toronto et Hamilton (Ontario)</t>
        </is>
      </c>
      <c r="P4465" t="n">
        <v>1120.46</v>
      </c>
      <c r="Q4465" t="n">
        <v>229.32</v>
      </c>
      <c r="R4465" t="n">
        <v>589.09</v>
      </c>
      <c r="S4465" t="n">
        <v>221</v>
      </c>
      <c r="T4465" t="n">
        <v>24</v>
      </c>
      <c r="U4465" t="n">
        <v>2183.87</v>
      </c>
      <c r="X4465" t="inlineStr">
        <is>
          <t>acoa-apeca</t>
        </is>
      </c>
      <c r="Y4465" t="inlineStr">
        <is>
          <t>Atlantic Canada Opportunities Agency | Agence de promotion économique du Canada atlantique</t>
        </is>
      </c>
    </row>
    <row r="4466">
      <c r="A4466" t="inlineStr">
        <is>
          <t>T-2018-Q4-00017</t>
        </is>
      </c>
      <c r="B4466" t="inlineStr">
        <is>
          <t>SLE</t>
        </is>
      </c>
      <c r="C4466" t="inlineStr">
        <is>
          <t>Vice-President, Policy and Programs</t>
        </is>
      </c>
      <c r="D4466" t="inlineStr">
        <is>
          <t>Vice-président, Politiques et Programmes</t>
        </is>
      </c>
      <c r="E4466" t="inlineStr">
        <is>
          <t>Daryell Nowlan</t>
        </is>
      </c>
      <c r="F4466" t="inlineStr">
        <is>
          <t>Meetings with Government of Canada officials and private sector representatives</t>
        </is>
      </c>
      <c r="G4466" t="inlineStr">
        <is>
          <t>Réunions avec des fonctionnaires du gouvernement du Canada et des représentants du secteur privé</t>
        </is>
      </c>
      <c r="H4466" s="1" t="n">
        <v>43129</v>
      </c>
      <c r="I4466" s="1" t="n">
        <v>43133</v>
      </c>
      <c r="J4466" t="inlineStr">
        <is>
          <t>Ottawa, Toronto and Waterloo, Ontario</t>
        </is>
      </c>
      <c r="K4466" t="inlineStr">
        <is>
          <t>Ottawa, Toronto et Waterloo (Ontario)</t>
        </is>
      </c>
      <c r="P4466" t="n">
        <v>1038.45</v>
      </c>
      <c r="Q4466" t="n">
        <v>230.64</v>
      </c>
      <c r="R4466" t="n">
        <v>824.9</v>
      </c>
      <c r="S4466" t="n">
        <v>398.85</v>
      </c>
      <c r="T4466" t="n">
        <v>0</v>
      </c>
      <c r="U4466" t="n">
        <v>2492.84</v>
      </c>
      <c r="X4466" t="inlineStr">
        <is>
          <t>acoa-apeca</t>
        </is>
      </c>
      <c r="Y4466" t="inlineStr">
        <is>
          <t>Atlantic Canada Opportunities Agency | Agence de promotion économique du Canada atlantique</t>
        </is>
      </c>
    </row>
    <row r="4467">
      <c r="A4467" t="inlineStr">
        <is>
          <t>T-2018-Q4-00016</t>
        </is>
      </c>
      <c r="B4467" t="inlineStr">
        <is>
          <t>SLE</t>
        </is>
      </c>
      <c r="C4467" t="inlineStr">
        <is>
          <t>Vice-President, Newfoundland and Labrador</t>
        </is>
      </c>
      <c r="D4467" t="inlineStr">
        <is>
          <t>Vice-président, Terre-Neuve-et-Labrador</t>
        </is>
      </c>
      <c r="E4467" t="inlineStr">
        <is>
          <t>Ken Martin</t>
        </is>
      </c>
      <c r="F4467" t="inlineStr">
        <is>
          <t>ACOA executive team meetings</t>
        </is>
      </c>
      <c r="G4467" t="inlineStr">
        <is>
          <t>Réunions de l'équipe de la haute direction de l'APECA</t>
        </is>
      </c>
      <c r="H4467" s="1" t="n">
        <v>43132</v>
      </c>
      <c r="I4467" s="1" t="n">
        <v>43133</v>
      </c>
      <c r="J4467" t="inlineStr">
        <is>
          <t>Toronto, Ontario</t>
        </is>
      </c>
      <c r="K4467" t="inlineStr">
        <is>
          <t>Toronto (Ontario)</t>
        </is>
      </c>
      <c r="P4467" t="n">
        <v>633.12</v>
      </c>
      <c r="Q4467" t="n">
        <v>73.65000000000001</v>
      </c>
      <c r="R4467" t="n">
        <v>318.01</v>
      </c>
      <c r="S4467" t="n">
        <v>232.15</v>
      </c>
      <c r="T4467" t="n">
        <v>0</v>
      </c>
      <c r="U4467" t="n">
        <v>1256.93</v>
      </c>
      <c r="X4467" t="inlineStr">
        <is>
          <t>acoa-apeca</t>
        </is>
      </c>
      <c r="Y4467" t="inlineStr">
        <is>
          <t>Atlantic Canada Opportunities Agency | Agence de promotion économique du Canada atlantique</t>
        </is>
      </c>
    </row>
    <row r="4468">
      <c r="A4468" t="inlineStr">
        <is>
          <t>T-2018-Q4-00015</t>
        </is>
      </c>
      <c r="B4468" t="inlineStr">
        <is>
          <t>SLE</t>
        </is>
      </c>
      <c r="C4468" t="inlineStr">
        <is>
          <t>Senior Advisor (Energy)</t>
        </is>
      </c>
      <c r="D4468" t="inlineStr">
        <is>
          <t>Conseiller spécial (energie)</t>
        </is>
      </c>
      <c r="E4468" t="inlineStr">
        <is>
          <t>Andrew F. Noseworthy</t>
        </is>
      </c>
      <c r="F4468" t="inlineStr">
        <is>
          <t>Meetings with Agency and provincial government officials, and key stakeholders</t>
        </is>
      </c>
      <c r="G4468" t="inlineStr">
        <is>
          <t>Réunions avec des fonctionnaires de l'Agence et du gouvernement provincial, ainsi que des intervenants clés</t>
        </is>
      </c>
      <c r="H4468" s="1" t="n">
        <v>43088</v>
      </c>
      <c r="I4468" s="1" t="n">
        <v>43088</v>
      </c>
      <c r="J4468" t="inlineStr">
        <is>
          <t>Fredericton, New Brunswick</t>
        </is>
      </c>
      <c r="K4468" t="inlineStr">
        <is>
          <t>Fredericton (Nouveau-Brunswick)</t>
        </is>
      </c>
      <c r="P4468" t="n">
        <v>1368.01</v>
      </c>
      <c r="Q4468" t="n">
        <v>298.67</v>
      </c>
      <c r="R4468" t="n">
        <v>0</v>
      </c>
      <c r="S4468" t="n">
        <v>83.75</v>
      </c>
      <c r="T4468" t="n">
        <v>26.25</v>
      </c>
      <c r="U4468" t="n">
        <v>1776.68</v>
      </c>
      <c r="X4468" t="inlineStr">
        <is>
          <t>acoa-apeca</t>
        </is>
      </c>
      <c r="Y4468" t="inlineStr">
        <is>
          <t>Atlantic Canada Opportunities Agency | Agence de promotion économique du Canada atlantique</t>
        </is>
      </c>
    </row>
    <row r="4469">
      <c r="A4469" t="inlineStr">
        <is>
          <t>T-2018-Q4-00014</t>
        </is>
      </c>
      <c r="B4469" t="inlineStr">
        <is>
          <t>SLE</t>
        </is>
      </c>
      <c r="C4469" t="inlineStr">
        <is>
          <t>President</t>
        </is>
      </c>
      <c r="D4469" t="inlineStr">
        <is>
          <t>Président</t>
        </is>
      </c>
      <c r="E4469" t="inlineStr">
        <is>
          <t>Francis McGuire</t>
        </is>
      </c>
      <c r="F4469" t="inlineStr">
        <is>
          <t>Site visit with proponent</t>
        </is>
      </c>
      <c r="G4469" t="inlineStr">
        <is>
          <t>Visite des lieux avec un promoteur</t>
        </is>
      </c>
      <c r="H4469" s="1" t="n">
        <v>43129</v>
      </c>
      <c r="I4469" s="1" t="n">
        <v>43129</v>
      </c>
      <c r="J4469" t="inlineStr">
        <is>
          <t>Woodstock, New Brunswick</t>
        </is>
      </c>
      <c r="K4469" t="inlineStr">
        <is>
          <t>Woodstock (Nouveau-Brunswick)</t>
        </is>
      </c>
      <c r="P4469" t="n">
        <v>0</v>
      </c>
      <c r="Q4469" t="n">
        <v>110.76</v>
      </c>
      <c r="R4469" t="n">
        <v>0</v>
      </c>
      <c r="S4469" t="n">
        <v>18.9</v>
      </c>
      <c r="T4469" t="n">
        <v>0</v>
      </c>
      <c r="U4469" t="n">
        <v>129.66</v>
      </c>
      <c r="X4469" t="inlineStr">
        <is>
          <t>acoa-apeca</t>
        </is>
      </c>
      <c r="Y4469" t="inlineStr">
        <is>
          <t>Atlantic Canada Opportunities Agency | Agence de promotion économique du Canada atlantique</t>
        </is>
      </c>
    </row>
    <row r="4470">
      <c r="A4470" t="inlineStr">
        <is>
          <t>T-2018-Q4-00013</t>
        </is>
      </c>
      <c r="B4470" t="inlineStr">
        <is>
          <t>SLE</t>
        </is>
      </c>
      <c r="C4470" t="inlineStr">
        <is>
          <t>President</t>
        </is>
      </c>
      <c r="D4470" t="inlineStr">
        <is>
          <t>Président</t>
        </is>
      </c>
      <c r="E4470" t="inlineStr">
        <is>
          <t>Francis McGuire</t>
        </is>
      </c>
      <c r="F4470" t="inlineStr">
        <is>
          <t>Various meetings with Agency, Government of Canada and provincial government officials, and key stakeholders</t>
        </is>
      </c>
      <c r="G4470" t="inlineStr">
        <is>
          <t>Diverses réunions avec des fonctionnaires de l'Agence, du gouvernement du Canada et du gouvernement provincial, ainsi que des intervenants clés</t>
        </is>
      </c>
      <c r="H4470" s="1" t="n">
        <v>43122</v>
      </c>
      <c r="I4470" s="1" t="n">
        <v>43124</v>
      </c>
      <c r="J4470" t="inlineStr">
        <is>
          <t>Halifax, Nova Scotia and Ottawa, Ontario</t>
        </is>
      </c>
      <c r="K4470" t="inlineStr">
        <is>
          <t>Halifax (Nouvelle-Écosse) et Ottawa (Ontario)</t>
        </is>
      </c>
      <c r="P4470" t="n">
        <v>1131.59</v>
      </c>
      <c r="Q4470" t="n">
        <v>147.12</v>
      </c>
      <c r="R4470" t="n">
        <v>372.36</v>
      </c>
      <c r="S4470" t="n">
        <v>232.15</v>
      </c>
      <c r="T4470" t="n">
        <v>0</v>
      </c>
      <c r="U4470" t="n">
        <v>1883.22</v>
      </c>
      <c r="X4470" t="inlineStr">
        <is>
          <t>acoa-apeca</t>
        </is>
      </c>
      <c r="Y4470" t="inlineStr">
        <is>
          <t>Atlantic Canada Opportunities Agency | Agence de promotion économique du Canada atlantique</t>
        </is>
      </c>
    </row>
    <row r="4471">
      <c r="A4471" t="inlineStr">
        <is>
          <t>T-2018-Q4-00012</t>
        </is>
      </c>
      <c r="B4471" t="inlineStr">
        <is>
          <t>SLE</t>
        </is>
      </c>
      <c r="C4471" t="inlineStr">
        <is>
          <t>Vice-President, Prince Edward Island</t>
        </is>
      </c>
      <c r="D4471" t="inlineStr">
        <is>
          <t>Vice-président, Île-du-Prince-Édouard</t>
        </is>
      </c>
      <c r="E4471" t="inlineStr">
        <is>
          <t>Patrick Dorsey</t>
        </is>
      </c>
      <c r="F4471" t="inlineStr">
        <is>
          <t>Food &amp; Beverage Atlantic conference and annual general meeting, and meeting with Government of Canada officials</t>
        </is>
      </c>
      <c r="G4471" t="inlineStr">
        <is>
          <t>Conférence et assemblée générale annuelle d'Aliments et Boissons Atlantique, et réunion avec des fonctionnaires du gouvernement du Canada</t>
        </is>
      </c>
      <c r="H4471" s="1" t="n">
        <v>43117</v>
      </c>
      <c r="I4471" s="1" t="n">
        <v>43118</v>
      </c>
      <c r="J4471" t="inlineStr">
        <is>
          <t>Moncton, New Brunswick</t>
        </is>
      </c>
      <c r="K4471" t="inlineStr">
        <is>
          <t>Moncton (Nouveau-Brunswick)</t>
        </is>
      </c>
      <c r="P4471" t="n">
        <v>0</v>
      </c>
      <c r="Q4471" t="n">
        <v>0</v>
      </c>
      <c r="R4471" t="n">
        <v>158.7</v>
      </c>
      <c r="S4471" t="n">
        <v>167.3</v>
      </c>
      <c r="T4471" t="n">
        <v>49</v>
      </c>
      <c r="U4471" t="n">
        <v>375</v>
      </c>
      <c r="X4471" t="inlineStr">
        <is>
          <t>acoa-apeca</t>
        </is>
      </c>
      <c r="Y4471" t="inlineStr">
        <is>
          <t>Atlantic Canada Opportunities Agency | Agence de promotion économique du Canada atlantique</t>
        </is>
      </c>
    </row>
    <row r="4472">
      <c r="A4472" t="inlineStr">
        <is>
          <t>T-2018-Q4-00011</t>
        </is>
      </c>
      <c r="B4472" t="inlineStr">
        <is>
          <t>SLE</t>
        </is>
      </c>
      <c r="C4472" t="inlineStr">
        <is>
          <t>Vice-President, Policy and Programs</t>
        </is>
      </c>
      <c r="D4472" t="inlineStr">
        <is>
          <t>Vice-président, Politiques et Programmes</t>
        </is>
      </c>
      <c r="E4472" t="inlineStr">
        <is>
          <t>Daryell Nowlan</t>
        </is>
      </c>
      <c r="F4472" t="inlineStr">
        <is>
          <t>Meetings with Government of Canada officials</t>
        </is>
      </c>
      <c r="G4472" t="inlineStr">
        <is>
          <t>Réunions avec des fonctionnaires du gouvernement du Canada</t>
        </is>
      </c>
      <c r="H4472" s="1" t="n">
        <v>43117</v>
      </c>
      <c r="I4472" s="1" t="n">
        <v>43122</v>
      </c>
      <c r="J4472" t="inlineStr">
        <is>
          <t>Halifax,Nova Scotia and Ottawa,Ontario</t>
        </is>
      </c>
      <c r="K4472" t="inlineStr">
        <is>
          <t>Halifax (Nouvelle-Écosse) et Ottawa (Ontario)</t>
        </is>
      </c>
      <c r="P4472" t="n">
        <v>1384.6</v>
      </c>
      <c r="Q4472" t="n">
        <v>276.5</v>
      </c>
      <c r="R4472" t="n">
        <v>570.46</v>
      </c>
      <c r="S4472" t="n">
        <v>351.7</v>
      </c>
      <c r="T4472" t="n">
        <v>0</v>
      </c>
      <c r="U4472" t="n">
        <v>2583.26</v>
      </c>
      <c r="X4472" t="inlineStr">
        <is>
          <t>acoa-apeca</t>
        </is>
      </c>
      <c r="Y4472" t="inlineStr">
        <is>
          <t>Atlantic Canada Opportunities Agency | Agence de promotion économique du Canada atlantique</t>
        </is>
      </c>
    </row>
    <row r="4473">
      <c r="A4473" t="inlineStr">
        <is>
          <t>T-2018-Q4-00010</t>
        </is>
      </c>
      <c r="B4473" t="inlineStr">
        <is>
          <t>SLE</t>
        </is>
      </c>
      <c r="C4473" t="inlineStr">
        <is>
          <t>President</t>
        </is>
      </c>
      <c r="D4473" t="inlineStr">
        <is>
          <t>Président</t>
        </is>
      </c>
      <c r="E4473" t="inlineStr">
        <is>
          <t>Francis McGuire</t>
        </is>
      </c>
      <c r="F4473" t="inlineStr">
        <is>
          <t>Chair an Atlantic Federal Council meeting</t>
        </is>
      </c>
      <c r="G4473" t="inlineStr">
        <is>
          <t>Présider une réunion du Conseil fédéral de l'Atlantique</t>
        </is>
      </c>
      <c r="H4473" s="1" t="n">
        <v>43117</v>
      </c>
      <c r="I4473" s="1" t="n">
        <v>43118</v>
      </c>
      <c r="J4473" t="inlineStr">
        <is>
          <t>Halifax, Nova Scotia</t>
        </is>
      </c>
      <c r="K4473" t="inlineStr">
        <is>
          <t>Halifax (Nouvelle-Écosse)</t>
        </is>
      </c>
      <c r="P4473" t="n">
        <v>0</v>
      </c>
      <c r="Q4473" t="n">
        <v>268.32</v>
      </c>
      <c r="R4473" t="n">
        <v>146.63</v>
      </c>
      <c r="S4473" t="n">
        <v>167.3</v>
      </c>
      <c r="T4473" t="n">
        <v>0</v>
      </c>
      <c r="U4473" t="n">
        <v>582.25</v>
      </c>
      <c r="X4473" t="inlineStr">
        <is>
          <t>acoa-apeca</t>
        </is>
      </c>
      <c r="Y4473" t="inlineStr">
        <is>
          <t>Atlantic Canada Opportunities Agency | Agence de promotion économique du Canada atlantique</t>
        </is>
      </c>
    </row>
    <row r="4474">
      <c r="A4474" t="inlineStr">
        <is>
          <t>T-2018-Q4-00009</t>
        </is>
      </c>
      <c r="B4474" t="inlineStr">
        <is>
          <t>SLE</t>
        </is>
      </c>
      <c r="C4474" t="inlineStr">
        <is>
          <t>President</t>
        </is>
      </c>
      <c r="D4474" t="inlineStr">
        <is>
          <t>Président</t>
        </is>
      </c>
      <c r="E4474" t="inlineStr">
        <is>
          <t>Francis McGuire</t>
        </is>
      </c>
      <c r="F4474" t="inlineStr">
        <is>
          <t>Various meetings with Government officials and key stakeholders</t>
        </is>
      </c>
      <c r="G4474" t="inlineStr">
        <is>
          <t>Diverses réunions avec des fonctionnaires du gouvernement et des intervenants clés</t>
        </is>
      </c>
      <c r="H4474" s="1" t="n">
        <v>43116</v>
      </c>
      <c r="I4474" s="1" t="n">
        <v>43116</v>
      </c>
      <c r="J4474" t="inlineStr">
        <is>
          <t>Miramichi, New Brunswick</t>
        </is>
      </c>
      <c r="K4474" t="inlineStr">
        <is>
          <t>Miramichi (Nouveau-Brunswick)</t>
        </is>
      </c>
      <c r="P4474" t="n">
        <v>0</v>
      </c>
      <c r="Q4474" t="n">
        <v>152.88</v>
      </c>
      <c r="R4474" t="n">
        <v>0</v>
      </c>
      <c r="S4474" t="n">
        <v>0</v>
      </c>
      <c r="T4474" t="n">
        <v>0</v>
      </c>
      <c r="U4474" t="n">
        <v>152.88</v>
      </c>
      <c r="X4474" t="inlineStr">
        <is>
          <t>acoa-apeca</t>
        </is>
      </c>
      <c r="Y4474" t="inlineStr">
        <is>
          <t>Atlantic Canada Opportunities Agency | Agence de promotion économique du Canada atlantique</t>
        </is>
      </c>
    </row>
    <row r="4475">
      <c r="A4475" t="inlineStr">
        <is>
          <t>T-2018-Q4-00008</t>
        </is>
      </c>
      <c r="B4475" t="inlineStr">
        <is>
          <t>SLE</t>
        </is>
      </c>
      <c r="C4475" t="inlineStr">
        <is>
          <t>President</t>
        </is>
      </c>
      <c r="D4475" t="inlineStr">
        <is>
          <t>Président</t>
        </is>
      </c>
      <c r="E4475" t="inlineStr">
        <is>
          <t>Francis McGuire</t>
        </is>
      </c>
      <c r="F4475" t="inlineStr">
        <is>
          <t>Meetings with proponents</t>
        </is>
      </c>
      <c r="G4475" t="inlineStr">
        <is>
          <t>Réunions avec des promoteurs</t>
        </is>
      </c>
      <c r="H4475" s="1" t="n">
        <v>43109</v>
      </c>
      <c r="I4475" s="1" t="n">
        <v>43109</v>
      </c>
      <c r="J4475" t="inlineStr">
        <is>
          <t>Saint John, New Brunswick</t>
        </is>
      </c>
      <c r="K4475" t="inlineStr">
        <is>
          <t>Saint John (Nouveau-Brunswick)</t>
        </is>
      </c>
      <c r="P4475" t="n">
        <v>0</v>
      </c>
      <c r="Q4475" t="n">
        <v>114.92</v>
      </c>
      <c r="R4475" t="n">
        <v>0</v>
      </c>
      <c r="S4475" t="n">
        <v>18.9</v>
      </c>
      <c r="T4475" t="n">
        <v>7.5</v>
      </c>
      <c r="U4475" t="n">
        <v>141.32</v>
      </c>
      <c r="X4475" t="inlineStr">
        <is>
          <t>acoa-apeca</t>
        </is>
      </c>
      <c r="Y4475" t="inlineStr">
        <is>
          <t>Atlantic Canada Opportunities Agency | Agence de promotion économique du Canada atlantique</t>
        </is>
      </c>
    </row>
    <row r="4476">
      <c r="A4476" t="inlineStr">
        <is>
          <t>T-2018-Q4-00007</t>
        </is>
      </c>
      <c r="B4476" t="inlineStr">
        <is>
          <t>SLE</t>
        </is>
      </c>
      <c r="C4476" t="inlineStr">
        <is>
          <t>Vice-President, Prince Edward Island</t>
        </is>
      </c>
      <c r="D4476" t="inlineStr">
        <is>
          <t>Vice-président, Île-du-Prince-Édouard</t>
        </is>
      </c>
      <c r="E4476" t="inlineStr">
        <is>
          <t>Patrick Dorsey</t>
        </is>
      </c>
      <c r="F4476" t="inlineStr">
        <is>
          <t>Federal/provincial meetings</t>
        </is>
      </c>
      <c r="G4476" t="inlineStr">
        <is>
          <t>Réunions fédérales-provinciales</t>
        </is>
      </c>
      <c r="H4476" s="1" t="n">
        <v>43083</v>
      </c>
      <c r="I4476" s="1" t="n">
        <v>43084</v>
      </c>
      <c r="J4476" t="inlineStr">
        <is>
          <t>Halifax, Nova Scotia</t>
        </is>
      </c>
      <c r="K4476" t="inlineStr">
        <is>
          <t>Halifax (Nouvelle-Écosse)</t>
        </is>
      </c>
      <c r="P4476" t="n">
        <v>0</v>
      </c>
      <c r="Q4476" t="n">
        <v>84.5</v>
      </c>
      <c r="R4476" t="n">
        <v>163.05</v>
      </c>
      <c r="S4476" t="n">
        <v>186.2</v>
      </c>
      <c r="T4476" t="n">
        <v>0</v>
      </c>
      <c r="U4476" t="n">
        <v>433.75</v>
      </c>
      <c r="X4476" t="inlineStr">
        <is>
          <t>acoa-apeca</t>
        </is>
      </c>
      <c r="Y4476" t="inlineStr">
        <is>
          <t>Atlantic Canada Opportunities Agency | Agence de promotion économique du Canada atlantique</t>
        </is>
      </c>
    </row>
    <row r="4477">
      <c r="A4477" t="inlineStr">
        <is>
          <t>T-2018-Q4-00006</t>
        </is>
      </c>
      <c r="B4477" t="inlineStr">
        <is>
          <t>SLE</t>
        </is>
      </c>
      <c r="C4477" t="inlineStr">
        <is>
          <t>President</t>
        </is>
      </c>
      <c r="D4477" t="inlineStr">
        <is>
          <t>Président</t>
        </is>
      </c>
      <c r="E4477" t="inlineStr">
        <is>
          <t>Francis McGuire</t>
        </is>
      </c>
      <c r="F4477" t="inlineStr">
        <is>
          <t>Various meetings with Agency and provincial government officials, and key stakeholders</t>
        </is>
      </c>
      <c r="G4477" t="inlineStr">
        <is>
          <t>Diverses réunions avec des fonctionnaires de l'Agence et du gouvernement provincial, ainsi que des intervenants clés</t>
        </is>
      </c>
      <c r="H4477" s="1" t="n">
        <v>43089</v>
      </c>
      <c r="I4477" s="1" t="n">
        <v>43090</v>
      </c>
      <c r="J4477" t="inlineStr">
        <is>
          <t>Charlottetown and Albany, Prince Edward Island</t>
        </is>
      </c>
      <c r="K4477" t="inlineStr">
        <is>
          <t>Charlottetown et Albany (Île-du-Prince-Édouard)</t>
        </is>
      </c>
      <c r="P4477" t="n">
        <v>0</v>
      </c>
      <c r="Q4477" t="n">
        <v>189.14</v>
      </c>
      <c r="R4477" t="n">
        <v>150.43</v>
      </c>
      <c r="S4477" t="n">
        <v>119.95</v>
      </c>
      <c r="T4477" t="n">
        <v>0</v>
      </c>
      <c r="U4477" t="n">
        <v>459.52</v>
      </c>
      <c r="X4477" t="inlineStr">
        <is>
          <t>acoa-apeca</t>
        </is>
      </c>
      <c r="Y4477" t="inlineStr">
        <is>
          <t>Atlantic Canada Opportunities Agency | Agence de promotion économique du Canada atlantique</t>
        </is>
      </c>
    </row>
    <row r="4478">
      <c r="A4478" t="inlineStr">
        <is>
          <t>T-2018-Q4-00005</t>
        </is>
      </c>
      <c r="B4478" t="inlineStr">
        <is>
          <t>SLE</t>
        </is>
      </c>
      <c r="C4478" t="inlineStr">
        <is>
          <t>President</t>
        </is>
      </c>
      <c r="D4478" t="inlineStr">
        <is>
          <t>Président</t>
        </is>
      </c>
      <c r="E4478" t="inlineStr">
        <is>
          <t>Francis McGuire</t>
        </is>
      </c>
      <c r="F4478" t="inlineStr">
        <is>
          <t>Meetings and discussions with Agency and provincial government officials, and key stakeholders</t>
        </is>
      </c>
      <c r="G4478" t="inlineStr">
        <is>
          <t>Réunions et discussions avec des fonctionnaires de l'Agence et du gouvernement provincial, ainsi que des intervenants clés</t>
        </is>
      </c>
      <c r="H4478" s="1" t="n">
        <v>43083</v>
      </c>
      <c r="I4478" s="1" t="n">
        <v>43084</v>
      </c>
      <c r="J4478" t="inlineStr">
        <is>
          <t>Halifax, Nova Scotia</t>
        </is>
      </c>
      <c r="K4478" t="inlineStr">
        <is>
          <t>Halifax (Nouvelle-Écosse)</t>
        </is>
      </c>
      <c r="P4478" t="n">
        <v>682.24</v>
      </c>
      <c r="Q4478" t="n">
        <v>98.28</v>
      </c>
      <c r="R4478" t="n">
        <v>163.05</v>
      </c>
      <c r="S4478" t="n">
        <v>101.05</v>
      </c>
      <c r="T4478" t="n">
        <v>0</v>
      </c>
      <c r="U4478" t="n">
        <v>1044.62</v>
      </c>
      <c r="X4478" t="inlineStr">
        <is>
          <t>acoa-apeca</t>
        </is>
      </c>
      <c r="Y4478" t="inlineStr">
        <is>
          <t>Atlantic Canada Opportunities Agency | Agence de promotion économique du Canada atlantique</t>
        </is>
      </c>
    </row>
    <row r="4479">
      <c r="A4479" t="inlineStr">
        <is>
          <t>T-2018-Q4-00004</t>
        </is>
      </c>
      <c r="B4479" t="inlineStr">
        <is>
          <t>SLE</t>
        </is>
      </c>
      <c r="C4479" t="inlineStr">
        <is>
          <t>Vice-President, Policy and Programs</t>
        </is>
      </c>
      <c r="D4479" t="inlineStr">
        <is>
          <t>Vice-président, Politiques et Programmes</t>
        </is>
      </c>
      <c r="E4479" t="inlineStr">
        <is>
          <t>Daryell Nowlan</t>
        </is>
      </c>
      <c r="F4479" t="inlineStr">
        <is>
          <t>Meetings with Government of Canada officials</t>
        </is>
      </c>
      <c r="G4479" t="inlineStr">
        <is>
          <t>Réunions avec des fonctionnaires du gouvernement du Canada</t>
        </is>
      </c>
      <c r="H4479" s="1" t="n">
        <v>43082</v>
      </c>
      <c r="I4479" s="1" t="n">
        <v>43083</v>
      </c>
      <c r="J4479" t="inlineStr">
        <is>
          <t>Ottawa, Ontario</t>
        </is>
      </c>
      <c r="K4479" t="inlineStr">
        <is>
          <t>Ottawa (Ontario)</t>
        </is>
      </c>
      <c r="P4479" t="n">
        <v>692.3</v>
      </c>
      <c r="Q4479" t="n">
        <v>216.56</v>
      </c>
      <c r="R4479" t="n">
        <v>203.68</v>
      </c>
      <c r="S4479" t="n">
        <v>148.2</v>
      </c>
      <c r="T4479" t="n">
        <v>0</v>
      </c>
      <c r="U4479" t="n">
        <v>1260.74</v>
      </c>
      <c r="X4479" t="inlineStr">
        <is>
          <t>acoa-apeca</t>
        </is>
      </c>
      <c r="Y4479" t="inlineStr">
        <is>
          <t>Atlantic Canada Opportunities Agency | Agence de promotion économique du Canada atlantique</t>
        </is>
      </c>
    </row>
    <row r="4480">
      <c r="A4480" t="inlineStr">
        <is>
          <t>T-2018-Q4-00003</t>
        </is>
      </c>
      <c r="B4480" t="inlineStr">
        <is>
          <t>SLE</t>
        </is>
      </c>
      <c r="C4480" t="inlineStr">
        <is>
          <t>Vice-President, Newfoundland and Labrador</t>
        </is>
      </c>
      <c r="D4480" t="inlineStr">
        <is>
          <t>Vice-président, Terre-Neuve-et-Labrador</t>
        </is>
      </c>
      <c r="E4480" t="inlineStr">
        <is>
          <t>Ken Martin</t>
        </is>
      </c>
      <c r="F4480" t="inlineStr">
        <is>
          <t>Meeting with senior ACOA officials</t>
        </is>
      </c>
      <c r="G4480" t="inlineStr">
        <is>
          <t>Réunion avec des hauts fonctionnaires de l'APECA</t>
        </is>
      </c>
      <c r="H4480" s="1" t="n">
        <v>43075</v>
      </c>
      <c r="I4480" s="1" t="n">
        <v>43076</v>
      </c>
      <c r="J4480" t="inlineStr">
        <is>
          <t>Moncton, New Brunswick</t>
        </is>
      </c>
      <c r="K4480" t="inlineStr">
        <is>
          <t>Moncton (Nouveau-Brunswick)</t>
        </is>
      </c>
      <c r="P4480" t="n">
        <v>728.5599999999999</v>
      </c>
      <c r="Q4480" t="n">
        <v>54.56</v>
      </c>
      <c r="R4480" t="n">
        <v>125.35</v>
      </c>
      <c r="S4480" t="n">
        <v>148.4</v>
      </c>
      <c r="T4480" t="n">
        <v>0</v>
      </c>
      <c r="U4480" t="n">
        <v>1056.87</v>
      </c>
      <c r="X4480" t="inlineStr">
        <is>
          <t>acoa-apeca</t>
        </is>
      </c>
      <c r="Y4480" t="inlineStr">
        <is>
          <t>Atlantic Canada Opportunities Agency | Agence de promotion économique du Canada atlantique</t>
        </is>
      </c>
    </row>
    <row r="4481">
      <c r="A4481" t="inlineStr">
        <is>
          <t>T-2018-Q4-00002</t>
        </is>
      </c>
      <c r="B4481" t="inlineStr">
        <is>
          <t>SLE</t>
        </is>
      </c>
      <c r="C4481" t="inlineStr">
        <is>
          <t>Vice-President, Prince Edward Island</t>
        </is>
      </c>
      <c r="D4481" t="inlineStr">
        <is>
          <t>Vice-président, Île-du-Prince-Édouard</t>
        </is>
      </c>
      <c r="E4481" t="inlineStr">
        <is>
          <t>Patrick Dorsey</t>
        </is>
      </c>
      <c r="F4481" t="inlineStr">
        <is>
          <t>Atlantic Canada Agreement on Tourism meeting and meetings with Government of Canada officials</t>
        </is>
      </c>
      <c r="G4481" t="inlineStr">
        <is>
          <t>Réunion concernant l'Entente sur le tourisme dans la région de l'Atlantique et réunions avec des fonctionnaires du gouvernement du Canada</t>
        </is>
      </c>
      <c r="H4481" s="1" t="n">
        <v>43074</v>
      </c>
      <c r="I4481" s="1" t="n">
        <v>43076</v>
      </c>
      <c r="J4481" t="inlineStr">
        <is>
          <t>Halifax, Nova Scotia and Moncton, New Brunswick</t>
        </is>
      </c>
      <c r="K4481" t="inlineStr">
        <is>
          <t>Halifax (Nouvelle-Écosse) et Moncton (Nouveau-Brunswick)</t>
        </is>
      </c>
      <c r="P4481" t="n">
        <v>0</v>
      </c>
      <c r="Q4481" t="n">
        <v>88</v>
      </c>
      <c r="R4481" t="n">
        <v>304.5</v>
      </c>
      <c r="S4481" t="n">
        <v>231.95</v>
      </c>
      <c r="T4481" t="n">
        <v>0</v>
      </c>
      <c r="U4481" t="n">
        <v>624.45</v>
      </c>
      <c r="X4481" t="inlineStr">
        <is>
          <t>acoa-apeca</t>
        </is>
      </c>
      <c r="Y4481" t="inlineStr">
        <is>
          <t>Atlantic Canada Opportunities Agency | Agence de promotion économique du Canada atlantique</t>
        </is>
      </c>
    </row>
    <row r="4482">
      <c r="A4482" t="inlineStr">
        <is>
          <t>T-2018-Q4-00001</t>
        </is>
      </c>
      <c r="B4482" t="inlineStr">
        <is>
          <t>SLE</t>
        </is>
      </c>
      <c r="C4482" t="inlineStr">
        <is>
          <t>President</t>
        </is>
      </c>
      <c r="D4482" t="inlineStr">
        <is>
          <t>Président</t>
        </is>
      </c>
      <c r="E4482" t="inlineStr">
        <is>
          <t>Francis McGuire</t>
        </is>
      </c>
      <c r="F4482" t="inlineStr">
        <is>
          <t>Meeting and discussions with provincial government officials</t>
        </is>
      </c>
      <c r="G4482" t="inlineStr">
        <is>
          <t>Réunion et discussions avec des fonctionnaires du gouvernement provincial</t>
        </is>
      </c>
      <c r="H4482" s="1" t="n">
        <v>43079</v>
      </c>
      <c r="I4482" s="1" t="n">
        <v>43080</v>
      </c>
      <c r="J4482" t="inlineStr">
        <is>
          <t>Halifax, Nova Scotia</t>
        </is>
      </c>
      <c r="K4482" t="inlineStr">
        <is>
          <t>Halifax (Nouvelle-Écosse)</t>
        </is>
      </c>
      <c r="P4482" t="n">
        <v>0</v>
      </c>
      <c r="Q4482" t="n">
        <v>264.82</v>
      </c>
      <c r="R4482" t="n">
        <v>192.38</v>
      </c>
      <c r="S4482" t="n">
        <v>101.05</v>
      </c>
      <c r="T4482" t="n">
        <v>0</v>
      </c>
      <c r="U4482" t="n">
        <v>558.25</v>
      </c>
      <c r="X4482" t="inlineStr">
        <is>
          <t>acoa-apeca</t>
        </is>
      </c>
      <c r="Y4482" t="inlineStr">
        <is>
          <t>Atlantic Canada Opportunities Agency | Agence de promotion économique du Canada atlantique</t>
        </is>
      </c>
    </row>
    <row r="4483">
      <c r="A4483" t="inlineStr">
        <is>
          <t>T-2018-Q3-00079</t>
        </is>
      </c>
      <c r="B4483" t="inlineStr">
        <is>
          <t>SLE</t>
        </is>
      </c>
      <c r="C4483" t="inlineStr">
        <is>
          <t>President</t>
        </is>
      </c>
      <c r="D4483" t="inlineStr">
        <is>
          <t>Président</t>
        </is>
      </c>
      <c r="E4483" t="inlineStr">
        <is>
          <t>Francis McGuire</t>
        </is>
      </c>
      <c r="F4483" t="inlineStr">
        <is>
          <t>Attend a session with participants of the Wallace McCain Institute ELP10 group</t>
        </is>
      </c>
      <c r="G4483" t="inlineStr">
        <is>
          <t>Assister à une séance avec les participants du groupe ELP10 du Wallace McCain Institute</t>
        </is>
      </c>
      <c r="H4483" s="1" t="n">
        <v>43028</v>
      </c>
      <c r="I4483" s="1" t="n">
        <v>43028</v>
      </c>
      <c r="J4483" t="inlineStr">
        <is>
          <t>Sillikers, New Brunswick</t>
        </is>
      </c>
      <c r="K4483" t="inlineStr">
        <is>
          <t>Sillikers (Nouveau-Brunswick)</t>
        </is>
      </c>
      <c r="P4483" t="n">
        <v>0</v>
      </c>
      <c r="Q4483" t="n">
        <v>156.55</v>
      </c>
      <c r="R4483" t="n">
        <v>0</v>
      </c>
      <c r="S4483" t="n">
        <v>0</v>
      </c>
      <c r="T4483" t="n">
        <v>0</v>
      </c>
      <c r="U4483" t="n">
        <v>156.55</v>
      </c>
      <c r="X4483" t="inlineStr">
        <is>
          <t>acoa-apeca</t>
        </is>
      </c>
      <c r="Y4483" t="inlineStr">
        <is>
          <t>Atlantic Canada Opportunities Agency | Agence de promotion économique du Canada atlantique</t>
        </is>
      </c>
    </row>
    <row r="4484">
      <c r="A4484" t="inlineStr">
        <is>
          <t>T-2018-Q3-00078</t>
        </is>
      </c>
      <c r="B4484" t="inlineStr">
        <is>
          <t>SLE</t>
        </is>
      </c>
      <c r="C4484" t="inlineStr">
        <is>
          <t>Vice-President, New Brunswick</t>
        </is>
      </c>
      <c r="D4484" t="inlineStr">
        <is>
          <t>Vice-président, Nouveau-Brunswick</t>
        </is>
      </c>
      <c r="E4484" t="inlineStr">
        <is>
          <t>Kent Estabrooks</t>
        </is>
      </c>
      <c r="F4484" t="inlineStr">
        <is>
          <t>Mentorship initiative meeting</t>
        </is>
      </c>
      <c r="G4484" t="inlineStr">
        <is>
          <t>Réunion dans le cadre d'une initiative de mentorat</t>
        </is>
      </c>
      <c r="H4484" s="1" t="n">
        <v>43055</v>
      </c>
      <c r="I4484" s="1" t="n">
        <v>43055</v>
      </c>
      <c r="J4484" t="inlineStr">
        <is>
          <t>Moncton, New Brunswick</t>
        </is>
      </c>
      <c r="K4484" t="inlineStr">
        <is>
          <t>Moncton (Nouveau-Brunswick)</t>
        </is>
      </c>
      <c r="P4484" t="n">
        <v>0</v>
      </c>
      <c r="Q4484" t="n">
        <v>0</v>
      </c>
      <c r="R4484" t="n">
        <v>0</v>
      </c>
      <c r="S4484" t="n">
        <v>66.25</v>
      </c>
      <c r="T4484" t="n">
        <v>18.5</v>
      </c>
      <c r="U4484" t="n">
        <v>84.75</v>
      </c>
      <c r="X4484" t="inlineStr">
        <is>
          <t>acoa-apeca</t>
        </is>
      </c>
      <c r="Y4484" t="inlineStr">
        <is>
          <t>Atlantic Canada Opportunities Agency | Agence de promotion économique du Canada atlantique</t>
        </is>
      </c>
    </row>
    <row r="4485">
      <c r="A4485" t="inlineStr">
        <is>
          <t>T-2018-Q3-00077</t>
        </is>
      </c>
      <c r="B4485" t="inlineStr">
        <is>
          <t>SLE</t>
        </is>
      </c>
      <c r="C4485" t="inlineStr">
        <is>
          <t>Vice-President, New Brunswick</t>
        </is>
      </c>
      <c r="D4485" t="inlineStr">
        <is>
          <t>Vice-président, Nouveau-Brunswick</t>
        </is>
      </c>
      <c r="E4485" t="inlineStr">
        <is>
          <t>Kent Estabrooks</t>
        </is>
      </c>
      <c r="F4485" t="inlineStr">
        <is>
          <t>Meetings with German government officials, private sector representatives and other stakeholders on a champion file</t>
        </is>
      </c>
      <c r="G4485" t="inlineStr">
        <is>
          <t xml:space="preserve">Réunions avec des fonctionnaires du gouvernement allemand, des représentants du secteur privé et d'autres intervenants sur un dossier de champion </t>
        </is>
      </c>
      <c r="H4485" s="1" t="n">
        <v>43057</v>
      </c>
      <c r="I4485" s="1" t="n">
        <v>43064</v>
      </c>
      <c r="J4485" t="inlineStr">
        <is>
          <t>Stuttgart, Germany</t>
        </is>
      </c>
      <c r="K4485" t="inlineStr">
        <is>
          <t>Stuttgart, Allemagne</t>
        </is>
      </c>
      <c r="P4485" t="n">
        <v>2968.73</v>
      </c>
      <c r="Q4485" t="n">
        <v>118.14</v>
      </c>
      <c r="R4485" t="n">
        <v>986.0700000000001</v>
      </c>
      <c r="S4485" t="n">
        <v>940.65</v>
      </c>
      <c r="T4485" t="n">
        <v>77.27</v>
      </c>
      <c r="U4485" t="n">
        <v>5090.86</v>
      </c>
      <c r="X4485" t="inlineStr">
        <is>
          <t>acoa-apeca</t>
        </is>
      </c>
      <c r="Y4485" t="inlineStr">
        <is>
          <t>Atlantic Canada Opportunities Agency | Agence de promotion économique du Canada atlantique</t>
        </is>
      </c>
    </row>
    <row r="4486">
      <c r="A4486" t="inlineStr">
        <is>
          <t>T-2018-Q3-00076</t>
        </is>
      </c>
      <c r="B4486" t="inlineStr">
        <is>
          <t>SLE</t>
        </is>
      </c>
      <c r="C4486" t="inlineStr">
        <is>
          <t>Vice-President, New Brunswick</t>
        </is>
      </c>
      <c r="D4486" t="inlineStr">
        <is>
          <t>Vice-président, Nouveau-Brunswick</t>
        </is>
      </c>
      <c r="E4486" t="inlineStr">
        <is>
          <t>Kent Estabrooks</t>
        </is>
      </c>
      <c r="F4486" t="inlineStr">
        <is>
          <t>Training and development/interviews</t>
        </is>
      </c>
      <c r="G4486" t="inlineStr">
        <is>
          <t>Formation et perfectionnement/entrevues</t>
        </is>
      </c>
      <c r="H4486" s="1" t="n">
        <v>43067</v>
      </c>
      <c r="I4486" s="1" t="n">
        <v>43069</v>
      </c>
      <c r="J4486" t="inlineStr">
        <is>
          <t>Ottawa, Ontario</t>
        </is>
      </c>
      <c r="K4486" t="inlineStr">
        <is>
          <t>Ottawa (Ontario)</t>
        </is>
      </c>
      <c r="P4486" t="n">
        <v>692.3</v>
      </c>
      <c r="Q4486" t="n">
        <v>132</v>
      </c>
      <c r="R4486" t="n">
        <v>463.24</v>
      </c>
      <c r="S4486" t="n">
        <v>231.75</v>
      </c>
      <c r="T4486" t="n">
        <v>0</v>
      </c>
      <c r="U4486" t="n">
        <v>1519.29</v>
      </c>
      <c r="X4486" t="inlineStr">
        <is>
          <t>acoa-apeca</t>
        </is>
      </c>
      <c r="Y4486" t="inlineStr">
        <is>
          <t>Atlantic Canada Opportunities Agency | Agence de promotion économique du Canada atlantique</t>
        </is>
      </c>
    </row>
    <row r="4487">
      <c r="A4487" t="inlineStr">
        <is>
          <t>T-2018-Q3-00066</t>
        </is>
      </c>
      <c r="B4487" t="inlineStr">
        <is>
          <t>SLE</t>
        </is>
      </c>
      <c r="C4487" t="inlineStr">
        <is>
          <t>President</t>
        </is>
      </c>
      <c r="D4487" t="inlineStr">
        <is>
          <t>Président</t>
        </is>
      </c>
      <c r="E4487" t="inlineStr">
        <is>
          <t>Francis McGuire</t>
        </is>
      </c>
      <c r="F4487" t="inlineStr">
        <is>
          <t>Various meetings and discussions with Agency and Government of Canada officials, and key stakeholders</t>
        </is>
      </c>
      <c r="G4487" t="inlineStr">
        <is>
          <t>Diverses réunions et discussions avec des fonctionnaires de l'Agence et du gouvernement du Canada, ainsi que des intervenants clés</t>
        </is>
      </c>
      <c r="H4487" s="1" t="n">
        <v>43067</v>
      </c>
      <c r="I4487" s="1" t="n">
        <v>43070</v>
      </c>
      <c r="J4487" t="inlineStr">
        <is>
          <t>Ottawa and Toronto, Ontario</t>
        </is>
      </c>
      <c r="K4487" t="inlineStr">
        <is>
          <t>Ottawa et Toronto (Ontario)</t>
        </is>
      </c>
      <c r="P4487" t="n">
        <v>836.34</v>
      </c>
      <c r="Q4487" t="n">
        <v>208.28</v>
      </c>
      <c r="R4487" t="n">
        <v>531.29</v>
      </c>
      <c r="S4487" t="n">
        <v>222.6</v>
      </c>
      <c r="T4487" t="n">
        <v>0</v>
      </c>
      <c r="U4487" t="n">
        <v>1798.51</v>
      </c>
      <c r="X4487" t="inlineStr">
        <is>
          <t>acoa-apeca</t>
        </is>
      </c>
      <c r="Y4487" t="inlineStr">
        <is>
          <t>Atlantic Canada Opportunities Agency | Agence de promotion économique du Canada atlantique</t>
        </is>
      </c>
    </row>
    <row r="4488">
      <c r="A4488" t="inlineStr">
        <is>
          <t>T-2018-Q3-00049</t>
        </is>
      </c>
      <c r="B4488" t="inlineStr">
        <is>
          <t>SLE</t>
        </is>
      </c>
      <c r="C4488" t="inlineStr">
        <is>
          <t>President</t>
        </is>
      </c>
      <c r="D4488" t="inlineStr">
        <is>
          <t>Président</t>
        </is>
      </c>
      <c r="E4488" t="inlineStr">
        <is>
          <t>Francis McGuire</t>
        </is>
      </c>
      <c r="F4488" t="inlineStr">
        <is>
          <t>Various meetings and discussions with Agency officials and key stakeholders</t>
        </is>
      </c>
      <c r="G4488" t="inlineStr">
        <is>
          <t>Diverses réunions et discussions avec des fonctionnaires de l'Agence et des intervenants clés</t>
        </is>
      </c>
      <c r="H4488" s="1" t="n">
        <v>43066</v>
      </c>
      <c r="I4488" s="1" t="n">
        <v>43067</v>
      </c>
      <c r="J4488" t="inlineStr">
        <is>
          <t>Edmundston, New Brunswick</t>
        </is>
      </c>
      <c r="K4488" t="inlineStr">
        <is>
          <t>Edmundston (Nouveau-Brunswick)</t>
        </is>
      </c>
      <c r="P4488" t="n">
        <v>0</v>
      </c>
      <c r="Q4488" t="n">
        <v>275.22</v>
      </c>
      <c r="R4488" t="n">
        <v>129.8</v>
      </c>
      <c r="S4488" t="n">
        <v>119.95</v>
      </c>
      <c r="T4488" t="n">
        <v>0</v>
      </c>
      <c r="U4488" t="n">
        <v>524.97</v>
      </c>
      <c r="X4488" t="inlineStr">
        <is>
          <t>acoa-apeca</t>
        </is>
      </c>
      <c r="Y4488" t="inlineStr">
        <is>
          <t>Atlantic Canada Opportunities Agency | Agence de promotion économique du Canada atlantique</t>
        </is>
      </c>
    </row>
    <row r="4489">
      <c r="A4489" t="inlineStr">
        <is>
          <t>T-2018-Q3-00040</t>
        </is>
      </c>
      <c r="B4489" t="inlineStr">
        <is>
          <t>SLE</t>
        </is>
      </c>
      <c r="C4489" t="inlineStr">
        <is>
          <t>President</t>
        </is>
      </c>
      <c r="D4489" t="inlineStr">
        <is>
          <t>Président</t>
        </is>
      </c>
      <c r="E4489" t="inlineStr">
        <is>
          <t>Francis McGuire</t>
        </is>
      </c>
      <c r="F4489" t="inlineStr">
        <is>
          <t>Accompany Minister Bains on his regional tour</t>
        </is>
      </c>
      <c r="G4489" t="inlineStr">
        <is>
          <t>Accompagner le ministre Bains lors de sa tournée régionale</t>
        </is>
      </c>
      <c r="H4489" s="1" t="n">
        <v>43062</v>
      </c>
      <c r="I4489" s="1" t="n">
        <v>43063</v>
      </c>
      <c r="J4489" t="inlineStr">
        <is>
          <t>Truro, Nova Scotia and Sussex, New Brunswick</t>
        </is>
      </c>
      <c r="K4489" t="inlineStr">
        <is>
          <t>Truro (Nouvelle-Écosse) et Sussex (Nouveau-Brunswick)</t>
        </is>
      </c>
      <c r="P4489" t="n">
        <v>0</v>
      </c>
      <c r="Q4489" t="n">
        <v>311.86</v>
      </c>
      <c r="R4489" t="n">
        <v>0</v>
      </c>
      <c r="S4489" t="n">
        <v>37.8</v>
      </c>
      <c r="T4489" t="n">
        <v>0</v>
      </c>
      <c r="U4489" t="n">
        <v>349.66</v>
      </c>
      <c r="X4489" t="inlineStr">
        <is>
          <t>acoa-apeca</t>
        </is>
      </c>
      <c r="Y4489" t="inlineStr">
        <is>
          <t>Atlantic Canada Opportunities Agency | Agence de promotion économique du Canada atlantique</t>
        </is>
      </c>
    </row>
    <row r="4490">
      <c r="A4490" t="inlineStr">
        <is>
          <t>T-2017-Q4-00043</t>
        </is>
      </c>
      <c r="B4490" t="inlineStr">
        <is>
          <t>SLE</t>
        </is>
      </c>
      <c r="C4490" t="inlineStr">
        <is>
          <t>Vice-President, Newfoundland and Labrador</t>
        </is>
      </c>
      <c r="D4490" t="inlineStr">
        <is>
          <t>Vice-président, Terre-Neuve-et-Labrador</t>
        </is>
      </c>
      <c r="E4490" t="inlineStr">
        <is>
          <t>Ken Martin</t>
        </is>
      </c>
      <c r="F4490" t="inlineStr">
        <is>
          <t>Meetings with clients and senior officials</t>
        </is>
      </c>
      <c r="G4490" t="inlineStr">
        <is>
          <t>Réunions avec des clients et des hauts fonctionnaires</t>
        </is>
      </c>
      <c r="H4490" s="1" t="n">
        <v>43070</v>
      </c>
      <c r="I4490" s="1" t="n">
        <v>43089</v>
      </c>
      <c r="J4490" t="inlineStr">
        <is>
          <t>St. John's and surrounding area, Newfoundland and Labrador</t>
        </is>
      </c>
      <c r="K4490" t="inlineStr">
        <is>
          <t>St. John's et environs (Terre-Neuve-et-et-Labrador)</t>
        </is>
      </c>
      <c r="P4490" t="n">
        <v>0</v>
      </c>
      <c r="Q4490" t="n">
        <v>137.16</v>
      </c>
      <c r="R4490" t="n">
        <v>0</v>
      </c>
      <c r="S4490" t="n">
        <v>0</v>
      </c>
      <c r="T4490" t="n">
        <v>0</v>
      </c>
      <c r="U4490" t="n">
        <v>137.16</v>
      </c>
      <c r="X4490" t="inlineStr">
        <is>
          <t>acoa-apeca</t>
        </is>
      </c>
      <c r="Y4490" t="inlineStr">
        <is>
          <t>Atlantic Canada Opportunities Agency | Agence de promotion économique du Canada atlantique</t>
        </is>
      </c>
    </row>
    <row r="4491">
      <c r="A4491" t="inlineStr">
        <is>
          <t>T-2019-Q1-00026</t>
        </is>
      </c>
      <c r="B4491" t="inlineStr">
        <is>
          <t>SLE</t>
        </is>
      </c>
      <c r="C4491" t="inlineStr">
        <is>
          <t>Senior Advisor (Energy)</t>
        </is>
      </c>
      <c r="D4491" t="inlineStr">
        <is>
          <t>Conseiller spécial (energie)</t>
        </is>
      </c>
      <c r="E4491" t="inlineStr">
        <is>
          <t>Andrew F. Noseworthy</t>
        </is>
      </c>
      <c r="F4491" t="inlineStr">
        <is>
          <t>Attend Offshore Technology Conference 2018</t>
        </is>
      </c>
      <c r="G4491" t="inlineStr">
        <is>
          <t>Assister à l'Offshore Technology Conference 2018</t>
        </is>
      </c>
      <c r="H4491" s="1" t="n">
        <v>43217</v>
      </c>
      <c r="I4491" s="1" t="n">
        <v>43226</v>
      </c>
      <c r="J4491" t="inlineStr">
        <is>
          <t>Houston, Texas</t>
        </is>
      </c>
      <c r="K4491" t="inlineStr">
        <is>
          <t>Houston, Texas</t>
        </is>
      </c>
      <c r="P4491" t="n">
        <v>1585.71</v>
      </c>
      <c r="Q4491" t="n">
        <v>423.3</v>
      </c>
      <c r="R4491" t="n">
        <v>2295.87</v>
      </c>
      <c r="S4491" t="n">
        <v>694.27</v>
      </c>
      <c r="T4491" t="n">
        <v>0</v>
      </c>
      <c r="U4491" t="n">
        <v>4999.15</v>
      </c>
      <c r="X4491" t="inlineStr">
        <is>
          <t>acoa-apeca</t>
        </is>
      </c>
      <c r="Y4491" t="inlineStr">
        <is>
          <t>Atlantic Canada Opportunities Agency | Agence de promotion économique du Canada atlantique</t>
        </is>
      </c>
    </row>
    <row r="4492">
      <c r="A4492" t="inlineStr">
        <is>
          <t>T-2019-Q1-00012</t>
        </is>
      </c>
      <c r="B4492" t="inlineStr">
        <is>
          <t>SLE</t>
        </is>
      </c>
      <c r="C4492" t="inlineStr">
        <is>
          <t>Senior Advisor (Energy)</t>
        </is>
      </c>
      <c r="D4492" t="inlineStr">
        <is>
          <t>Conseiller spécial (energie)</t>
        </is>
      </c>
      <c r="E4492" t="inlineStr">
        <is>
          <t>Andrew F. Noseworthy</t>
        </is>
      </c>
      <c r="F4492" t="inlineStr">
        <is>
          <t>Attend Executive Committee meeting</t>
        </is>
      </c>
      <c r="G4492" t="inlineStr">
        <is>
          <t>Assister à une réunion du Comité de direction</t>
        </is>
      </c>
      <c r="H4492" s="1" t="n">
        <v>43185</v>
      </c>
      <c r="I4492" s="1" t="n">
        <v>43186</v>
      </c>
      <c r="J4492" t="inlineStr">
        <is>
          <t>Ottawa, Ontario</t>
        </is>
      </c>
      <c r="K4492" t="inlineStr">
        <is>
          <t>Ottawa (Ontario)</t>
        </is>
      </c>
      <c r="P4492" t="n">
        <v>1286.84</v>
      </c>
      <c r="Q4492" t="n">
        <v>86</v>
      </c>
      <c r="R4492" t="n">
        <v>233.86</v>
      </c>
      <c r="S4492" t="n">
        <v>148.4</v>
      </c>
      <c r="T4492" t="n">
        <v>84.75</v>
      </c>
      <c r="U4492" t="n">
        <v>1839.85</v>
      </c>
      <c r="X4492" t="inlineStr">
        <is>
          <t>acoa-apeca</t>
        </is>
      </c>
      <c r="Y4492" t="inlineStr">
        <is>
          <t>Atlantic Canada Opportunities Agency | Agence de promotion économique du Canada atlantique</t>
        </is>
      </c>
    </row>
    <row r="4493">
      <c r="A4493" t="inlineStr">
        <is>
          <t>T-2019-Q1-00042</t>
        </is>
      </c>
      <c r="B4493" t="inlineStr">
        <is>
          <t>SLE</t>
        </is>
      </c>
      <c r="C4493" t="inlineStr">
        <is>
          <t>Vice-President, Policy, Programs and Communications</t>
        </is>
      </c>
      <c r="D4493" t="inlineStr">
        <is>
          <t>Vice-président, Politiques et Programmes</t>
        </is>
      </c>
      <c r="E4493" t="inlineStr">
        <is>
          <t>Daryell Nowlan</t>
        </is>
      </c>
      <c r="F4493" t="inlineStr">
        <is>
          <t>Meetings with Government of Canada officials and private sector officials</t>
        </is>
      </c>
      <c r="G4493" t="inlineStr">
        <is>
          <t>Réunions avec des fonctionnaires du gouvernement du Canada et des représentants du secteur privé</t>
        </is>
      </c>
      <c r="H4493" s="1" t="n">
        <v>43248</v>
      </c>
      <c r="I4493" s="1" t="n">
        <v>43251</v>
      </c>
      <c r="J4493" t="inlineStr">
        <is>
          <t>Ottawa, Ontario</t>
        </is>
      </c>
      <c r="K4493" t="inlineStr">
        <is>
          <t>Ottawa (Ontario)</t>
        </is>
      </c>
      <c r="P4493" t="n">
        <v>824.24</v>
      </c>
      <c r="Q4493" t="n">
        <v>273.52</v>
      </c>
      <c r="R4493" t="n">
        <v>701.58</v>
      </c>
      <c r="S4493" t="n">
        <v>319.4</v>
      </c>
      <c r="T4493" t="n">
        <v>0</v>
      </c>
      <c r="U4493" t="n">
        <v>2118.74</v>
      </c>
      <c r="X4493" t="inlineStr">
        <is>
          <t>acoa-apeca</t>
        </is>
      </c>
      <c r="Y4493" t="inlineStr">
        <is>
          <t>Atlantic Canada Opportunities Agency | Agence de promotion économique du Canada atlantique</t>
        </is>
      </c>
    </row>
    <row r="4494">
      <c r="A4494" t="inlineStr">
        <is>
          <t>T-2019-Q1-00030</t>
        </is>
      </c>
      <c r="B4494" t="inlineStr">
        <is>
          <t>SLE</t>
        </is>
      </c>
      <c r="C4494" t="inlineStr">
        <is>
          <t>Vice-President, Policy, Programs and Communications</t>
        </is>
      </c>
      <c r="D4494" t="inlineStr">
        <is>
          <t>Vice-président, Politiques et Programmes</t>
        </is>
      </c>
      <c r="E4494" t="inlineStr">
        <is>
          <t>Daryell Nowlan</t>
        </is>
      </c>
      <c r="F4494" t="inlineStr">
        <is>
          <t>Meetings with Government of Canada officials</t>
        </is>
      </c>
      <c r="G4494" t="inlineStr">
        <is>
          <t>Réunions avec des fonctionnaires du gouvernement du Canada</t>
        </is>
      </c>
      <c r="H4494" s="1" t="n">
        <v>43227</v>
      </c>
      <c r="I4494" s="1" t="n">
        <v>43230</v>
      </c>
      <c r="J4494" t="inlineStr">
        <is>
          <t>Fredericton, New Brunswick and Ottawa, Ontario</t>
        </is>
      </c>
      <c r="K4494" t="inlineStr">
        <is>
          <t>Fredericton (Nouveau-Brunswick) et Ottawa (Ontario)</t>
        </is>
      </c>
      <c r="P4494" t="n">
        <v>726.42</v>
      </c>
      <c r="Q4494" t="n">
        <v>448.33</v>
      </c>
      <c r="R4494" t="n">
        <v>475.22</v>
      </c>
      <c r="S4494" t="n">
        <v>319.4</v>
      </c>
      <c r="T4494" t="n">
        <v>0</v>
      </c>
      <c r="U4494" t="n">
        <v>1969.37</v>
      </c>
      <c r="X4494" t="inlineStr">
        <is>
          <t>acoa-apeca</t>
        </is>
      </c>
      <c r="Y4494" t="inlineStr">
        <is>
          <t>Atlantic Canada Opportunities Agency | Agence de promotion économique du Canada atlantique</t>
        </is>
      </c>
    </row>
    <row r="4495">
      <c r="A4495" t="inlineStr">
        <is>
          <t>T-2019-Q1-00027</t>
        </is>
      </c>
      <c r="B4495" t="inlineStr">
        <is>
          <t>SLE</t>
        </is>
      </c>
      <c r="C4495" t="inlineStr">
        <is>
          <t>Vice-President, Policy, Programs and Communications</t>
        </is>
      </c>
      <c r="D4495" t="inlineStr">
        <is>
          <t>Vice-président, Politiques et Programmes</t>
        </is>
      </c>
      <c r="E4495" t="inlineStr">
        <is>
          <t>Daryell Nowlan</t>
        </is>
      </c>
      <c r="F4495" t="inlineStr">
        <is>
          <t>Meetings with Government of Canada and industry officials</t>
        </is>
      </c>
      <c r="G4495" t="inlineStr">
        <is>
          <t>Réunions avec des fonctionnaires du gouvernement du Canada et des représentants de l'industrie</t>
        </is>
      </c>
      <c r="H4495" s="1" t="n">
        <v>43221</v>
      </c>
      <c r="I4495" s="1" t="n">
        <v>43223</v>
      </c>
      <c r="J4495" t="inlineStr">
        <is>
          <t>Ottawa, Ontario</t>
        </is>
      </c>
      <c r="K4495" t="inlineStr">
        <is>
          <t>Ottawa (Ontario)</t>
        </is>
      </c>
      <c r="P4495" t="n">
        <v>692.3</v>
      </c>
      <c r="Q4495" t="n">
        <v>62.84</v>
      </c>
      <c r="R4495" t="n">
        <v>467.72</v>
      </c>
      <c r="S4495" t="n">
        <v>253.95</v>
      </c>
      <c r="T4495" t="n">
        <v>0</v>
      </c>
      <c r="U4495" t="n">
        <v>1476.81</v>
      </c>
      <c r="X4495" t="inlineStr">
        <is>
          <t>acoa-apeca</t>
        </is>
      </c>
      <c r="Y4495" t="inlineStr">
        <is>
          <t>Atlantic Canada Opportunities Agency | Agence de promotion économique du Canada atlantique</t>
        </is>
      </c>
    </row>
    <row r="4496">
      <c r="A4496" t="inlineStr">
        <is>
          <t>T-2019-Q1-00022</t>
        </is>
      </c>
      <c r="B4496" t="inlineStr">
        <is>
          <t>SLE</t>
        </is>
      </c>
      <c r="C4496" t="inlineStr">
        <is>
          <t>Vice-President, Policy, Programs and Communications</t>
        </is>
      </c>
      <c r="D4496" t="inlineStr">
        <is>
          <t>Vice-président, Politiques et Programmes</t>
        </is>
      </c>
      <c r="E4496" t="inlineStr">
        <is>
          <t>Daryell Nowlan</t>
        </is>
      </c>
      <c r="F4496" t="inlineStr">
        <is>
          <t>Meeting with Government of Canada officials</t>
        </is>
      </c>
      <c r="G4496" t="inlineStr">
        <is>
          <t>Réunion avec des fonctionnaires du gouvernement du Canada</t>
        </is>
      </c>
      <c r="H4496" s="1" t="n">
        <v>43214</v>
      </c>
      <c r="I4496" s="1" t="n">
        <v>43215</v>
      </c>
      <c r="J4496" t="inlineStr">
        <is>
          <t>Fredericton, New Brunswick</t>
        </is>
      </c>
      <c r="K4496" t="inlineStr">
        <is>
          <t>Fredericton (Nouveau-Brunswick)</t>
        </is>
      </c>
      <c r="P4496" t="n">
        <v>0</v>
      </c>
      <c r="Q4496" t="n">
        <v>89.7</v>
      </c>
      <c r="R4496" t="n">
        <v>171.35</v>
      </c>
      <c r="S4496" t="n">
        <v>121.4</v>
      </c>
      <c r="T4496" t="n">
        <v>0</v>
      </c>
      <c r="U4496" t="n">
        <v>382.45</v>
      </c>
      <c r="X4496" t="inlineStr">
        <is>
          <t>acoa-apeca</t>
        </is>
      </c>
      <c r="Y4496" t="inlineStr">
        <is>
          <t>Atlantic Canada Opportunities Agency | Agence de promotion économique du Canada atlantique</t>
        </is>
      </c>
    </row>
    <row r="4497">
      <c r="A4497" t="inlineStr">
        <is>
          <t>T-2019-Q1-00017</t>
        </is>
      </c>
      <c r="B4497" t="inlineStr">
        <is>
          <t>SLE</t>
        </is>
      </c>
      <c r="C4497" t="inlineStr">
        <is>
          <t>Vice-President, Policy, Programs and Communications</t>
        </is>
      </c>
      <c r="D4497" t="inlineStr">
        <is>
          <t>Vice-président, Politiques et Programmes</t>
        </is>
      </c>
      <c r="E4497" t="inlineStr">
        <is>
          <t>Daryell Nowlan</t>
        </is>
      </c>
      <c r="F4497" t="inlineStr">
        <is>
          <t>Meetings with Government of Canada officials</t>
        </is>
      </c>
      <c r="G4497" t="inlineStr">
        <is>
          <t>Réunions avec des fonctionnaires du gouvernement du Canada</t>
        </is>
      </c>
      <c r="H4497" s="1" t="n">
        <v>43200</v>
      </c>
      <c r="I4497" s="1" t="n">
        <v>43205</v>
      </c>
      <c r="J4497" t="inlineStr">
        <is>
          <t>Ottawa, Ontario</t>
        </is>
      </c>
      <c r="K4497" t="inlineStr">
        <is>
          <t>Ottawa (Ontario)</t>
        </is>
      </c>
      <c r="P4497" t="n">
        <v>692.3</v>
      </c>
      <c r="Q4497" t="n">
        <v>133.68</v>
      </c>
      <c r="R4497" t="n">
        <v>467.72</v>
      </c>
      <c r="S4497" t="n">
        <v>186.6</v>
      </c>
      <c r="T4497" t="n">
        <v>0</v>
      </c>
      <c r="U4497" t="n">
        <v>1480.3</v>
      </c>
      <c r="X4497" t="inlineStr">
        <is>
          <t>acoa-apeca</t>
        </is>
      </c>
      <c r="Y4497" t="inlineStr">
        <is>
          <t>Atlantic Canada Opportunities Agency | Agence de promotion économique du Canada atlantique</t>
        </is>
      </c>
    </row>
    <row r="4498">
      <c r="A4498" t="inlineStr">
        <is>
          <t>T-2019-Q1-00014</t>
        </is>
      </c>
      <c r="B4498" t="inlineStr">
        <is>
          <t>SLE</t>
        </is>
      </c>
      <c r="C4498" t="inlineStr">
        <is>
          <t>Vice-President, Policy, Programs and Communications</t>
        </is>
      </c>
      <c r="D4498" t="inlineStr">
        <is>
          <t>Vice-président, Politiques et Programmes</t>
        </is>
      </c>
      <c r="E4498" t="inlineStr">
        <is>
          <t>Daryell Nowlan</t>
        </is>
      </c>
      <c r="F4498" t="inlineStr">
        <is>
          <t>Meetings with Government of Canada officials</t>
        </is>
      </c>
      <c r="G4498" t="inlineStr">
        <is>
          <t>Réunions avec des fonctionnaires du gouvernement du Canada</t>
        </is>
      </c>
      <c r="H4498" s="1" t="n">
        <v>43185</v>
      </c>
      <c r="I4498" s="1" t="n">
        <v>43188</v>
      </c>
      <c r="J4498" t="inlineStr">
        <is>
          <t>Ottawa, Ontario</t>
        </is>
      </c>
      <c r="K4498" t="inlineStr">
        <is>
          <t>Ottawa (Ontario)</t>
        </is>
      </c>
      <c r="P4498" t="n">
        <v>692.3</v>
      </c>
      <c r="Q4498" t="n">
        <v>80</v>
      </c>
      <c r="R4498" t="n">
        <v>616.98</v>
      </c>
      <c r="S4498" t="n">
        <v>267.95</v>
      </c>
      <c r="T4498" t="n">
        <v>0</v>
      </c>
      <c r="U4498" t="n">
        <v>1657.23</v>
      </c>
      <c r="X4498" t="inlineStr">
        <is>
          <t>acoa-apeca</t>
        </is>
      </c>
      <c r="Y4498" t="inlineStr">
        <is>
          <t>Atlantic Canada Opportunities Agency | Agence de promotion économique du Canada atlantique</t>
        </is>
      </c>
    </row>
    <row r="4499">
      <c r="A4499" t="inlineStr">
        <is>
          <t>T-2019-Q2-00001</t>
        </is>
      </c>
      <c r="B4499" t="inlineStr">
        <is>
          <t>SLE</t>
        </is>
      </c>
      <c r="C4499" t="inlineStr">
        <is>
          <t>Vice-President, New Brunswick</t>
        </is>
      </c>
      <c r="D4499" t="inlineStr">
        <is>
          <t>Vice-président, Nouveau-Brunswick</t>
        </is>
      </c>
      <c r="E4499" t="inlineStr">
        <is>
          <t>Kent Estabrooks</t>
        </is>
      </c>
      <c r="F4499" t="inlineStr">
        <is>
          <t>Meetings with Agency officials and various Government of Canada officials</t>
        </is>
      </c>
      <c r="G4499" t="inlineStr">
        <is>
          <t>Réunions avec des fonctionnaires de l'Agence et divers fonctionnaires du gouvernement fédéral</t>
        </is>
      </c>
      <c r="H4499" s="1" t="n">
        <v>43199</v>
      </c>
      <c r="I4499" s="1" t="n">
        <v>43202</v>
      </c>
      <c r="J4499" t="inlineStr">
        <is>
          <t>Ottawa, Ontario</t>
        </is>
      </c>
      <c r="K4499" t="inlineStr">
        <is>
          <t>Ottawa (Ontario)</t>
        </is>
      </c>
      <c r="P4499" t="n">
        <v>692.3</v>
      </c>
      <c r="Q4499" t="n">
        <v>126.7</v>
      </c>
      <c r="R4499" t="n">
        <v>439.52</v>
      </c>
      <c r="S4499" t="n">
        <v>271.25</v>
      </c>
      <c r="T4499" t="n">
        <v>128.89</v>
      </c>
      <c r="U4499" t="n">
        <v>1658.66</v>
      </c>
      <c r="X4499" t="inlineStr">
        <is>
          <t>acoa-apeca</t>
        </is>
      </c>
      <c r="Y4499" t="inlineStr">
        <is>
          <t>Atlantic Canada Opportunities Agency | Agence de promotion économique du Canada atlantique</t>
        </is>
      </c>
    </row>
    <row r="4500">
      <c r="A4500" t="inlineStr">
        <is>
          <t>T-2019-Q1-00062</t>
        </is>
      </c>
      <c r="B4500" t="inlineStr">
        <is>
          <t>SLE</t>
        </is>
      </c>
      <c r="C4500" t="inlineStr">
        <is>
          <t>Vice-President, New Brunswick</t>
        </is>
      </c>
      <c r="D4500" t="inlineStr">
        <is>
          <t>Vice-président, Nouveau-Brunswick</t>
        </is>
      </c>
      <c r="E4500" t="inlineStr">
        <is>
          <t>Kent Estabrooks</t>
        </is>
      </c>
      <c r="F4500" t="inlineStr">
        <is>
          <t>Meeting with Agency officials, and training and development</t>
        </is>
      </c>
      <c r="G4500" t="inlineStr">
        <is>
          <t>Réunion avec des fonctionnaires de l'Agence, et formation et perfectionnement</t>
        </is>
      </c>
      <c r="H4500" s="1" t="n">
        <v>43247</v>
      </c>
      <c r="I4500" s="1" t="n">
        <v>43251</v>
      </c>
      <c r="J4500" t="inlineStr">
        <is>
          <t>Ottawa, Ontario</t>
        </is>
      </c>
      <c r="K4500" t="inlineStr">
        <is>
          <t>Ottawa (Ontario)</t>
        </is>
      </c>
      <c r="P4500" t="n">
        <v>1038.45</v>
      </c>
      <c r="Q4500" t="n">
        <v>268.65</v>
      </c>
      <c r="R4500" t="n">
        <v>935.01</v>
      </c>
      <c r="S4500" t="n">
        <v>404.3</v>
      </c>
      <c r="T4500" t="n">
        <v>132.2</v>
      </c>
      <c r="U4500" t="n">
        <v>2778.61</v>
      </c>
      <c r="X4500" t="inlineStr">
        <is>
          <t>acoa-apeca</t>
        </is>
      </c>
      <c r="Y4500" t="inlineStr">
        <is>
          <t>Atlantic Canada Opportunities Agency | Agence de promotion économique du Canada atlantique</t>
        </is>
      </c>
    </row>
    <row r="4501">
      <c r="A4501" t="inlineStr">
        <is>
          <t>T-2019-Q1-00061</t>
        </is>
      </c>
      <c r="B4501" t="inlineStr">
        <is>
          <t>SLE</t>
        </is>
      </c>
      <c r="C4501" t="inlineStr">
        <is>
          <t>Vice-President, New Brunswick</t>
        </is>
      </c>
      <c r="D4501" t="inlineStr">
        <is>
          <t>Vice-président, Nouveau-Brunswick</t>
        </is>
      </c>
      <c r="E4501" t="inlineStr">
        <is>
          <t>Kent Estabrooks</t>
        </is>
      </c>
      <c r="F4501" t="inlineStr">
        <is>
          <t>Various meetings with Agency officials</t>
        </is>
      </c>
      <c r="G4501" t="inlineStr">
        <is>
          <t>Diverses réunions avec des fonctionnaires de l'Agence</t>
        </is>
      </c>
      <c r="H4501" s="1" t="n">
        <v>43242</v>
      </c>
      <c r="I4501" s="1" t="n">
        <v>43243</v>
      </c>
      <c r="J4501" t="inlineStr">
        <is>
          <t>Moncton, New Brunswick</t>
        </is>
      </c>
      <c r="K4501" t="inlineStr">
        <is>
          <t>Moncton (Nouveau-Brunswick)</t>
        </is>
      </c>
      <c r="P4501" t="n">
        <v>0</v>
      </c>
      <c r="Q4501" t="n">
        <v>0</v>
      </c>
      <c r="R4501" t="n">
        <v>167.9</v>
      </c>
      <c r="S4501" t="n">
        <v>130.9</v>
      </c>
      <c r="T4501" t="n">
        <v>0</v>
      </c>
      <c r="U4501" t="n">
        <v>298.8</v>
      </c>
      <c r="X4501" t="inlineStr">
        <is>
          <t>acoa-apeca</t>
        </is>
      </c>
      <c r="Y4501" t="inlineStr">
        <is>
          <t>Atlantic Canada Opportunities Agency | Agence de promotion économique du Canada atlantique</t>
        </is>
      </c>
    </row>
    <row r="4502">
      <c r="A4502" t="inlineStr">
        <is>
          <t>T-2019-Q1-00060</t>
        </is>
      </c>
      <c r="B4502" t="inlineStr">
        <is>
          <t>SLE</t>
        </is>
      </c>
      <c r="C4502" t="inlineStr">
        <is>
          <t>Vice-President, New Brunswick</t>
        </is>
      </c>
      <c r="D4502" t="inlineStr">
        <is>
          <t>Vice-président, Nouveau-Brunswick</t>
        </is>
      </c>
      <c r="E4502" t="inlineStr">
        <is>
          <t>Kent Estabrooks</t>
        </is>
      </c>
      <c r="F4502" t="inlineStr">
        <is>
          <t>Various meetings with Agency officials</t>
        </is>
      </c>
      <c r="G4502" t="inlineStr">
        <is>
          <t>Diverses réunions avec des fonctionnaires de l'Agence</t>
        </is>
      </c>
      <c r="H4502" s="1" t="n">
        <v>43237</v>
      </c>
      <c r="I4502" s="1" t="n">
        <v>43238</v>
      </c>
      <c r="J4502" t="inlineStr">
        <is>
          <t>Moncton, New Brunswick</t>
        </is>
      </c>
      <c r="K4502" t="inlineStr">
        <is>
          <t>Moncton (Nouveau-Brunswick)</t>
        </is>
      </c>
      <c r="P4502" t="n">
        <v>0</v>
      </c>
      <c r="Q4502" t="n">
        <v>0</v>
      </c>
      <c r="R4502" t="n">
        <v>167.9</v>
      </c>
      <c r="S4502" t="n">
        <v>101.95</v>
      </c>
      <c r="T4502" t="n">
        <v>0</v>
      </c>
      <c r="U4502" t="n">
        <v>269.85</v>
      </c>
      <c r="X4502" t="inlineStr">
        <is>
          <t>acoa-apeca</t>
        </is>
      </c>
      <c r="Y4502" t="inlineStr">
        <is>
          <t>Atlantic Canada Opportunities Agency | Agence de promotion économique du Canada atlantique</t>
        </is>
      </c>
    </row>
    <row r="4503">
      <c r="A4503" t="inlineStr">
        <is>
          <t>T-2019-Q1-00059</t>
        </is>
      </c>
      <c r="B4503" t="inlineStr">
        <is>
          <t>SLE</t>
        </is>
      </c>
      <c r="C4503" t="inlineStr">
        <is>
          <t>Vice-President, New Brunswick</t>
        </is>
      </c>
      <c r="D4503" t="inlineStr">
        <is>
          <t>Vice-président, Nouveau-Brunswick</t>
        </is>
      </c>
      <c r="E4503" t="inlineStr">
        <is>
          <t>Kent Estabrooks</t>
        </is>
      </c>
      <c r="F4503" t="inlineStr">
        <is>
          <t>Meetings with various Government of Canada officials; Food sector working group; Training and Development</t>
        </is>
      </c>
      <c r="G4503" t="inlineStr">
        <is>
          <t>Réunions avec divers fonctionnaires du gouvernement du Canada; Groupe de travail du secteur alimentaire; formation et perfectionnement</t>
        </is>
      </c>
      <c r="H4503" s="1" t="n">
        <v>43220</v>
      </c>
      <c r="I4503" s="1" t="n">
        <v>43223</v>
      </c>
      <c r="J4503" t="inlineStr">
        <is>
          <t>Halifax, Nova Scotia</t>
        </is>
      </c>
      <c r="K4503" t="inlineStr">
        <is>
          <t>Halifax (Nouvelle-Écosse)</t>
        </is>
      </c>
      <c r="P4503" t="n">
        <v>346.15</v>
      </c>
      <c r="Q4503" t="n">
        <v>347.44</v>
      </c>
      <c r="R4503" t="n">
        <v>672.16</v>
      </c>
      <c r="S4503" t="n">
        <v>271.25</v>
      </c>
      <c r="T4503" t="n">
        <v>18.2</v>
      </c>
      <c r="U4503" t="n">
        <v>1655.2</v>
      </c>
      <c r="X4503" t="inlineStr">
        <is>
          <t>acoa-apeca</t>
        </is>
      </c>
      <c r="Y4503" t="inlineStr">
        <is>
          <t>Atlantic Canada Opportunities Agency | Agence de promotion économique du Canada atlantique</t>
        </is>
      </c>
    </row>
    <row r="4504">
      <c r="A4504" t="inlineStr">
        <is>
          <t>T-2019-Q1-00058</t>
        </is>
      </c>
      <c r="B4504" t="inlineStr">
        <is>
          <t>SLE</t>
        </is>
      </c>
      <c r="C4504" t="inlineStr">
        <is>
          <t>Vice-President, New Brunswick</t>
        </is>
      </c>
      <c r="D4504" t="inlineStr">
        <is>
          <t>Vice-président, Nouveau-Brunswick</t>
        </is>
      </c>
      <c r="E4504" t="inlineStr">
        <is>
          <t>Kent Estabrooks</t>
        </is>
      </c>
      <c r="F4504" t="inlineStr">
        <is>
          <t>Meetings with Agency officials, various federal and provincial officials, and other stakeholders</t>
        </is>
      </c>
      <c r="G4504" t="inlineStr">
        <is>
          <t xml:space="preserve">Réunions avec des fonctionnaires de l'Agence, divers fonctionnaires fédéraux et provinciaux, et d'autres intervenants </t>
        </is>
      </c>
      <c r="H4504" s="1" t="n">
        <v>43213</v>
      </c>
      <c r="I4504" s="1" t="n">
        <v>43217</v>
      </c>
      <c r="J4504" t="inlineStr">
        <is>
          <t>Ottawa, Ontario</t>
        </is>
      </c>
      <c r="K4504" t="inlineStr">
        <is>
          <t>Ottawa (Ontario)</t>
        </is>
      </c>
      <c r="P4504" t="n">
        <v>1038.45</v>
      </c>
      <c r="Q4504" t="n">
        <v>103.5</v>
      </c>
      <c r="R4504" t="n">
        <v>891.41</v>
      </c>
      <c r="S4504" t="n">
        <v>288.55</v>
      </c>
      <c r="T4504" t="n">
        <v>66.2</v>
      </c>
      <c r="U4504" t="n">
        <v>2388.11</v>
      </c>
      <c r="X4504" t="inlineStr">
        <is>
          <t>acoa-apeca</t>
        </is>
      </c>
      <c r="Y4504" t="inlineStr">
        <is>
          <t>Atlantic Canada Opportunities Agency | Agence de promotion économique du Canada atlantique</t>
        </is>
      </c>
    </row>
    <row r="4505">
      <c r="A4505" t="inlineStr">
        <is>
          <t>T-2019-Q1-00055</t>
        </is>
      </c>
      <c r="B4505" t="inlineStr">
        <is>
          <t>SLE</t>
        </is>
      </c>
      <c r="C4505" t="inlineStr">
        <is>
          <t>Vice-President, New Brunswick</t>
        </is>
      </c>
      <c r="D4505" t="inlineStr">
        <is>
          <t>Vice-président, Nouveau-Brunswick</t>
        </is>
      </c>
      <c r="E4505" t="inlineStr">
        <is>
          <t>Kent Estabrooks</t>
        </is>
      </c>
      <c r="F4505" t="inlineStr">
        <is>
          <t xml:space="preserve">Various meetings with Agency officials, Government of Canada and provincial government officials </t>
        </is>
      </c>
      <c r="G4505" t="inlineStr">
        <is>
          <t>Diverses réunions avec des fonctionnaires de l'Agence et des gouvernements fédéral et provinciaux</t>
        </is>
      </c>
      <c r="H4505" s="1" t="n">
        <v>43192</v>
      </c>
      <c r="I4505" s="1" t="n">
        <v>43196</v>
      </c>
      <c r="J4505" t="inlineStr">
        <is>
          <t>Atlantic regions</t>
        </is>
      </c>
      <c r="K4505" t="inlineStr">
        <is>
          <t>Régions de l'Atlantique</t>
        </is>
      </c>
      <c r="P4505" t="n">
        <v>1275.21</v>
      </c>
      <c r="Q4505" t="n">
        <v>412.64</v>
      </c>
      <c r="R4505" t="n">
        <v>769.78</v>
      </c>
      <c r="S4505" t="n">
        <v>288.55</v>
      </c>
      <c r="T4505" t="n">
        <v>0</v>
      </c>
      <c r="U4505" t="n">
        <v>2746.18</v>
      </c>
      <c r="X4505" t="inlineStr">
        <is>
          <t>acoa-apeca</t>
        </is>
      </c>
      <c r="Y4505" t="inlineStr">
        <is>
          <t>Atlantic Canada Opportunities Agency | Agence de promotion économique du Canada atlantique</t>
        </is>
      </c>
    </row>
    <row r="4506">
      <c r="A4506" t="inlineStr">
        <is>
          <t>T-2019-Q1-00054</t>
        </is>
      </c>
      <c r="B4506" t="inlineStr">
        <is>
          <t>SLE</t>
        </is>
      </c>
      <c r="C4506" t="inlineStr">
        <is>
          <t>Vice-President, New Brunswick</t>
        </is>
      </c>
      <c r="D4506" t="inlineStr">
        <is>
          <t>Vice-président, Nouveau-Brunswick</t>
        </is>
      </c>
      <c r="E4506" t="inlineStr">
        <is>
          <t>Kent Estabrooks</t>
        </is>
      </c>
      <c r="F4506" t="inlineStr">
        <is>
          <t>Meetings with Government of Canada officials</t>
        </is>
      </c>
      <c r="G4506" t="inlineStr">
        <is>
          <t>Réunions avec des fonctionnaires du gouvernement du Canada</t>
        </is>
      </c>
      <c r="H4506" s="1" t="n">
        <v>43188</v>
      </c>
      <c r="I4506" s="1" t="n">
        <v>43189</v>
      </c>
      <c r="J4506" t="inlineStr">
        <is>
          <t>Ottawa, Ontario</t>
        </is>
      </c>
      <c r="K4506" t="inlineStr">
        <is>
          <t>Ottawa (Ontario)</t>
        </is>
      </c>
      <c r="P4506" t="n">
        <v>692.3</v>
      </c>
      <c r="Q4506" t="n">
        <v>113.13</v>
      </c>
      <c r="R4506" t="n">
        <v>0</v>
      </c>
      <c r="S4506" t="n">
        <v>66.25</v>
      </c>
      <c r="T4506" t="n">
        <v>0</v>
      </c>
      <c r="U4506" t="n">
        <v>871.6799999999999</v>
      </c>
      <c r="X4506" t="inlineStr">
        <is>
          <t>acoa-apeca</t>
        </is>
      </c>
      <c r="Y4506" t="inlineStr">
        <is>
          <t>Atlantic Canada Opportunities Agency | Agence de promotion économique du Canada atlantique</t>
        </is>
      </c>
    </row>
    <row r="4507">
      <c r="A4507" t="inlineStr">
        <is>
          <t>T-2019-Q1-00053</t>
        </is>
      </c>
      <c r="B4507" t="inlineStr">
        <is>
          <t>SLE</t>
        </is>
      </c>
      <c r="C4507" t="inlineStr">
        <is>
          <t>Vice-President, New Brunswick</t>
        </is>
      </c>
      <c r="D4507" t="inlineStr">
        <is>
          <t>Vice-président, Nouveau-Brunswick</t>
        </is>
      </c>
      <c r="E4507" t="inlineStr">
        <is>
          <t>Kent Estabrooks</t>
        </is>
      </c>
      <c r="F4507" t="inlineStr">
        <is>
          <t>Agency Executive Committee meeting and meetings with other federal officials</t>
        </is>
      </c>
      <c r="G4507" t="inlineStr">
        <is>
          <t>Réunion du Comité de direction de l'Agence et réunions avec d'autres fonctionnaires fédéraux</t>
        </is>
      </c>
      <c r="H4507" s="1" t="n">
        <v>43184</v>
      </c>
      <c r="I4507" s="1" t="n">
        <v>43186</v>
      </c>
      <c r="J4507" t="inlineStr">
        <is>
          <t>Ottawa, Ontario</t>
        </is>
      </c>
      <c r="K4507" t="inlineStr">
        <is>
          <t>Ottawa (Ontario)</t>
        </is>
      </c>
      <c r="P4507" t="n">
        <v>692.3</v>
      </c>
      <c r="Q4507" t="n">
        <v>111.2</v>
      </c>
      <c r="R4507" t="n">
        <v>411.32</v>
      </c>
      <c r="S4507" t="n">
        <v>212.85</v>
      </c>
      <c r="T4507" t="n">
        <v>0</v>
      </c>
      <c r="U4507" t="n">
        <v>1427.67</v>
      </c>
      <c r="X4507" t="inlineStr">
        <is>
          <t>acoa-apeca</t>
        </is>
      </c>
      <c r="Y4507" t="inlineStr">
        <is>
          <t>Atlantic Canada Opportunities Agency | Agence de promotion économique du Canada atlantique</t>
        </is>
      </c>
    </row>
    <row r="4508">
      <c r="A4508" t="inlineStr">
        <is>
          <t>T-2019-Q1-00052</t>
        </is>
      </c>
      <c r="B4508" t="inlineStr">
        <is>
          <t>SLE</t>
        </is>
      </c>
      <c r="C4508" t="inlineStr">
        <is>
          <t>Vice-President, New Brunswick</t>
        </is>
      </c>
      <c r="D4508" t="inlineStr">
        <is>
          <t>Vice-président, Nouveau-Brunswick</t>
        </is>
      </c>
      <c r="E4508" t="inlineStr">
        <is>
          <t>Kent Estabrooks</t>
        </is>
      </c>
      <c r="F4508" t="inlineStr">
        <is>
          <t>Various meetings with Agency officials and clients on a champion file</t>
        </is>
      </c>
      <c r="G4508" t="inlineStr">
        <is>
          <t>Diverses réunions avec des fonctionnaires de l'Agence et des clients sur un dossier de champion</t>
        </is>
      </c>
      <c r="H4508" s="1" t="n">
        <v>43179</v>
      </c>
      <c r="I4508" s="1" t="n">
        <v>43180</v>
      </c>
      <c r="J4508" t="inlineStr">
        <is>
          <t>Charlottetown, Prince Edward Island</t>
        </is>
      </c>
      <c r="K4508" t="inlineStr">
        <is>
          <t xml:space="preserve">Charlottetown (Île-du-Prince-Édouard) </t>
        </is>
      </c>
      <c r="P4508" t="n">
        <v>0</v>
      </c>
      <c r="Q4508" t="n">
        <v>47</v>
      </c>
      <c r="R4508" t="n">
        <v>336.69</v>
      </c>
      <c r="S4508" t="n">
        <v>184.4</v>
      </c>
      <c r="T4508" t="n">
        <v>20.7</v>
      </c>
      <c r="U4508" t="n">
        <v>588.79</v>
      </c>
      <c r="X4508" t="inlineStr">
        <is>
          <t>acoa-apeca</t>
        </is>
      </c>
      <c r="Y4508" t="inlineStr">
        <is>
          <t>Atlantic Canada Opportunities Agency | Agence de promotion économique du Canada atlantique</t>
        </is>
      </c>
    </row>
    <row r="4509">
      <c r="A4509" t="inlineStr">
        <is>
          <t>T-2019-Q1-00056</t>
        </is>
      </c>
      <c r="B4509" t="inlineStr">
        <is>
          <t>SLE</t>
        </is>
      </c>
      <c r="C4509" t="inlineStr">
        <is>
          <t>Vice-President, Prince Edward Island</t>
        </is>
      </c>
      <c r="D4509" t="inlineStr">
        <is>
          <t>Vice-président, Île-du-Prince-Édouard</t>
        </is>
      </c>
      <c r="E4509" t="inlineStr">
        <is>
          <t>Patrick Dorsey</t>
        </is>
      </c>
      <c r="F4509" t="inlineStr">
        <is>
          <t>Attend meetings</t>
        </is>
      </c>
      <c r="G4509" t="inlineStr">
        <is>
          <t>Assister à des réunions</t>
        </is>
      </c>
      <c r="H4509" s="1" t="n">
        <v>43248</v>
      </c>
      <c r="I4509" s="1" t="n">
        <v>43249</v>
      </c>
      <c r="J4509" t="inlineStr">
        <is>
          <t>Ottawa, Ontario</t>
        </is>
      </c>
      <c r="K4509" t="inlineStr">
        <is>
          <t>Ottawa (Ontario)</t>
        </is>
      </c>
      <c r="P4509" t="n">
        <v>786.01</v>
      </c>
      <c r="Q4509" t="n">
        <v>200</v>
      </c>
      <c r="R4509" t="n">
        <v>201.25</v>
      </c>
      <c r="S4509" t="n">
        <v>208.2</v>
      </c>
      <c r="T4509" t="n">
        <v>0</v>
      </c>
      <c r="U4509" t="n">
        <v>1395.46</v>
      </c>
      <c r="X4509" t="inlineStr">
        <is>
          <t>acoa-apeca</t>
        </is>
      </c>
      <c r="Y4509" t="inlineStr">
        <is>
          <t>Atlantic Canada Opportunities Agency | Agence de promotion économique du Canada atlantique</t>
        </is>
      </c>
    </row>
    <row r="4510">
      <c r="A4510" t="inlineStr">
        <is>
          <t>T-2019-Q1-00041</t>
        </is>
      </c>
      <c r="B4510" t="inlineStr">
        <is>
          <t>SLE</t>
        </is>
      </c>
      <c r="C4510" t="inlineStr">
        <is>
          <t>Vice-President, Prince Edward Island</t>
        </is>
      </c>
      <c r="D4510" t="inlineStr">
        <is>
          <t>Vice-président, Île-du-Prince-Édouard</t>
        </is>
      </c>
      <c r="E4510" t="inlineStr">
        <is>
          <t>Patrick Dorsey</t>
        </is>
      </c>
      <c r="F4510" t="inlineStr">
        <is>
          <t>Meetings with ACOA President</t>
        </is>
      </c>
      <c r="G4510" t="inlineStr">
        <is>
          <t>Réunions avec le président de l'APECA</t>
        </is>
      </c>
      <c r="H4510" s="1" t="n">
        <v>43243</v>
      </c>
      <c r="I4510" s="1" t="n">
        <v>43244</v>
      </c>
      <c r="J4510" t="inlineStr">
        <is>
          <t>Moncton, New Brunswick</t>
        </is>
      </c>
      <c r="K4510" t="inlineStr">
        <is>
          <t>Moncton (Nouveau-Brunswick)</t>
        </is>
      </c>
      <c r="P4510" t="n">
        <v>0</v>
      </c>
      <c r="Q4510" t="n">
        <v>63.1</v>
      </c>
      <c r="R4510" t="n">
        <v>151.8</v>
      </c>
      <c r="S4510" t="n">
        <v>82.75</v>
      </c>
      <c r="T4510" t="n">
        <v>0</v>
      </c>
      <c r="U4510" t="n">
        <v>297.65</v>
      </c>
      <c r="X4510" t="inlineStr">
        <is>
          <t>acoa-apeca</t>
        </is>
      </c>
      <c r="Y4510" t="inlineStr">
        <is>
          <t>Atlantic Canada Opportunities Agency | Agence de promotion économique du Canada atlantique</t>
        </is>
      </c>
    </row>
    <row r="4511">
      <c r="A4511" t="inlineStr">
        <is>
          <t>T-2019-Q1-00040</t>
        </is>
      </c>
      <c r="B4511" t="inlineStr">
        <is>
          <t>SLE</t>
        </is>
      </c>
      <c r="C4511" t="inlineStr">
        <is>
          <t>Vice-President, Prince Edward Island</t>
        </is>
      </c>
      <c r="D4511" t="inlineStr">
        <is>
          <t>Vice-président, Île-du-Prince-Édouard</t>
        </is>
      </c>
      <c r="E4511" t="inlineStr">
        <is>
          <t>Patrick Dorsey</t>
        </is>
      </c>
      <c r="F4511" t="inlineStr">
        <is>
          <t>Attend Atlantic Canada Agreement on Tourism meetings</t>
        </is>
      </c>
      <c r="G4511" t="inlineStr">
        <is>
          <t>Assister à des réunions sur l'Entente sur le tourisme dans la région de l’Atlantique</t>
        </is>
      </c>
      <c r="H4511" s="1" t="n">
        <v>43235</v>
      </c>
      <c r="I4511" s="1" t="n">
        <v>43236</v>
      </c>
      <c r="J4511" t="inlineStr">
        <is>
          <t>Halifax, Nova Scotia</t>
        </is>
      </c>
      <c r="K4511" t="inlineStr">
        <is>
          <t>Halifax (Nouvelle-Écosse)</t>
        </is>
      </c>
      <c r="P4511" t="n">
        <v>0</v>
      </c>
      <c r="Q4511" t="n">
        <v>119.1</v>
      </c>
      <c r="R4511" t="n">
        <v>436.36</v>
      </c>
      <c r="S4511" t="n">
        <v>167.4</v>
      </c>
      <c r="T4511" t="n">
        <v>0</v>
      </c>
      <c r="U4511" t="n">
        <v>722.86</v>
      </c>
      <c r="X4511" t="inlineStr">
        <is>
          <t>acoa-apeca</t>
        </is>
      </c>
      <c r="Y4511" t="inlineStr">
        <is>
          <t>Atlantic Canada Opportunities Agency | Agence de promotion économique du Canada atlantique</t>
        </is>
      </c>
    </row>
    <row r="4512">
      <c r="A4512" t="inlineStr">
        <is>
          <t>T-2019-Q1-00028</t>
        </is>
      </c>
      <c r="B4512" t="inlineStr">
        <is>
          <t>SLE</t>
        </is>
      </c>
      <c r="C4512" t="inlineStr">
        <is>
          <t>Vice-President, Prince Edward Island</t>
        </is>
      </c>
      <c r="D4512" t="inlineStr">
        <is>
          <t>Vice-président, Île-du-Prince-Édouard</t>
        </is>
      </c>
      <c r="E4512" t="inlineStr">
        <is>
          <t>Patrick Dorsey</t>
        </is>
      </c>
      <c r="F4512" t="inlineStr">
        <is>
          <t xml:space="preserve">Federal-provincial Atlantic Canada Food Working Group meeting </t>
        </is>
      </c>
      <c r="G4512" t="inlineStr">
        <is>
          <t xml:space="preserve">Réunion du groupe de travail fédéral-provincial sur les aliments du Canada atlantique </t>
        </is>
      </c>
      <c r="H4512" s="1" t="n">
        <v>43221</v>
      </c>
      <c r="I4512" s="1" t="n">
        <v>43223</v>
      </c>
      <c r="J4512" t="inlineStr">
        <is>
          <t>Halifax, Nova Scotia</t>
        </is>
      </c>
      <c r="K4512" t="inlineStr">
        <is>
          <t>Halifax (Nouvelle-Écosse)</t>
        </is>
      </c>
      <c r="P4512" t="n">
        <v>0</v>
      </c>
      <c r="Q4512" t="n">
        <v>57</v>
      </c>
      <c r="R4512" t="n">
        <v>460.98</v>
      </c>
      <c r="S4512" t="n">
        <v>206.3</v>
      </c>
      <c r="T4512" t="n">
        <v>0</v>
      </c>
      <c r="U4512" t="n">
        <v>724.28</v>
      </c>
      <c r="X4512" t="inlineStr">
        <is>
          <t>acoa-apeca</t>
        </is>
      </c>
      <c r="Y4512" t="inlineStr">
        <is>
          <t>Atlantic Canada Opportunities Agency | Agence de promotion économique du Canada atlantique</t>
        </is>
      </c>
    </row>
    <row r="4513">
      <c r="A4513" t="inlineStr">
        <is>
          <t>T-2019-Q1-00025</t>
        </is>
      </c>
      <c r="B4513" t="inlineStr">
        <is>
          <t>SLE</t>
        </is>
      </c>
      <c r="C4513" t="inlineStr">
        <is>
          <t>Vice-President, Prince Edward Island</t>
        </is>
      </c>
      <c r="D4513" t="inlineStr">
        <is>
          <t>Vice-président, Île-du-Prince-Édouard</t>
        </is>
      </c>
      <c r="E4513" t="inlineStr">
        <is>
          <t>Patrick Dorsey</t>
        </is>
      </c>
      <c r="F4513" t="inlineStr">
        <is>
          <t xml:space="preserve">Face to face meetings with various deputy ministers and other government officials </t>
        </is>
      </c>
      <c r="G4513" t="inlineStr">
        <is>
          <t>Rencontres en personne avec divers sous-ministres et autres fonctionnaires</t>
        </is>
      </c>
      <c r="H4513" s="1" t="n">
        <v>43206</v>
      </c>
      <c r="I4513" s="1" t="n">
        <v>43208</v>
      </c>
      <c r="J4513" t="inlineStr">
        <is>
          <t>Ottawa, Ontario</t>
        </is>
      </c>
      <c r="K4513" t="inlineStr">
        <is>
          <t>Ottawa (Ontario)</t>
        </is>
      </c>
      <c r="P4513" t="n">
        <v>1101.87</v>
      </c>
      <c r="Q4513" t="n">
        <v>184.55</v>
      </c>
      <c r="R4513" t="n">
        <v>561.74</v>
      </c>
      <c r="S4513" t="n">
        <v>253.95</v>
      </c>
      <c r="T4513" t="n">
        <v>0</v>
      </c>
      <c r="U4513" t="n">
        <v>2102.11</v>
      </c>
      <c r="X4513" t="inlineStr">
        <is>
          <t>acoa-apeca</t>
        </is>
      </c>
      <c r="Y4513" t="inlineStr">
        <is>
          <t>Atlantic Canada Opportunities Agency | Agence de promotion économique du Canada atlantique</t>
        </is>
      </c>
    </row>
    <row r="4514">
      <c r="A4514" t="inlineStr">
        <is>
          <t>T-2019-Q1-00011</t>
        </is>
      </c>
      <c r="B4514" t="inlineStr">
        <is>
          <t>SLE</t>
        </is>
      </c>
      <c r="C4514" t="inlineStr">
        <is>
          <t>Vice-President, Prince Edward Island</t>
        </is>
      </c>
      <c r="D4514" t="inlineStr">
        <is>
          <t>Vice-président, Île-du-Prince-Édouard</t>
        </is>
      </c>
      <c r="E4514" t="inlineStr">
        <is>
          <t>Patrick Dorsey</t>
        </is>
      </c>
      <c r="F4514" t="inlineStr">
        <is>
          <t>Two face to face meetings with ACOA president</t>
        </is>
      </c>
      <c r="G4514" t="inlineStr">
        <is>
          <t>Deux rencontres en personne avec le président de l'APECA</t>
        </is>
      </c>
      <c r="H4514" s="1" t="n">
        <v>43172</v>
      </c>
      <c r="I4514" s="1" t="n">
        <v>43174</v>
      </c>
      <c r="J4514" t="inlineStr">
        <is>
          <t>Fredericton, New-Brunswick</t>
        </is>
      </c>
      <c r="K4514" t="inlineStr">
        <is>
          <t>Fredericton (Nouveau-Brunswick)</t>
        </is>
      </c>
      <c r="P4514" t="n">
        <v>0</v>
      </c>
      <c r="Q4514" t="n">
        <v>94.15000000000001</v>
      </c>
      <c r="R4514" t="n">
        <v>342.7</v>
      </c>
      <c r="S4514" t="n">
        <v>222.4</v>
      </c>
      <c r="T4514" t="n">
        <v>0</v>
      </c>
      <c r="U4514" t="n">
        <v>659.25</v>
      </c>
      <c r="X4514" t="inlineStr">
        <is>
          <t>acoa-apeca</t>
        </is>
      </c>
      <c r="Y4514" t="inlineStr">
        <is>
          <t>Atlantic Canada Opportunities Agency | Agence de promotion économique du Canada atlantique</t>
        </is>
      </c>
    </row>
    <row r="4515">
      <c r="A4515" t="inlineStr">
        <is>
          <t>T-2019-Q1-00039</t>
        </is>
      </c>
      <c r="B4515" t="inlineStr">
        <is>
          <t>SLE</t>
        </is>
      </c>
      <c r="C4515" t="inlineStr">
        <is>
          <t>Vice-President, Newfoundland and Labrador</t>
        </is>
      </c>
      <c r="D4515" t="inlineStr">
        <is>
          <t>Vice-président, Terre-Neuve-et-Labrador</t>
        </is>
      </c>
      <c r="E4515" t="inlineStr">
        <is>
          <t>Ken Martin</t>
        </is>
      </c>
      <c r="F4515" t="inlineStr">
        <is>
          <t>Meetings in Corner Brook</t>
        </is>
      </c>
      <c r="G4515" t="inlineStr">
        <is>
          <t>Réunions à Corner Brook</t>
        </is>
      </c>
      <c r="H4515" s="1" t="n">
        <v>43249</v>
      </c>
      <c r="I4515" s="1" t="n">
        <v>43249</v>
      </c>
      <c r="J4515" t="inlineStr">
        <is>
          <t>Corner Brook, Newfoundland and Labrador</t>
        </is>
      </c>
      <c r="K4515" t="inlineStr">
        <is>
          <t>Corner Brook (Terre-Neuve-et-Labrador)</t>
        </is>
      </c>
      <c r="P4515" t="n">
        <v>839.4</v>
      </c>
      <c r="Q4515" t="n">
        <v>34</v>
      </c>
      <c r="R4515" t="n">
        <v>0</v>
      </c>
      <c r="S4515" t="n">
        <v>48.15</v>
      </c>
      <c r="T4515" t="n">
        <v>0</v>
      </c>
      <c r="U4515" t="n">
        <v>921.55</v>
      </c>
      <c r="X4515" t="inlineStr">
        <is>
          <t>acoa-apeca</t>
        </is>
      </c>
      <c r="Y4515" t="inlineStr">
        <is>
          <t>Atlantic Canada Opportunities Agency | Agence de promotion économique du Canada atlantique</t>
        </is>
      </c>
    </row>
    <row r="4516">
      <c r="A4516" t="inlineStr">
        <is>
          <t>T-2019-Q1-00038</t>
        </is>
      </c>
      <c r="B4516" t="inlineStr">
        <is>
          <t>SLE</t>
        </is>
      </c>
      <c r="C4516" t="inlineStr">
        <is>
          <t>Vice-President, Newfoundland and Labrador</t>
        </is>
      </c>
      <c r="D4516" t="inlineStr">
        <is>
          <t>Vice-président, Terre-Neuve-et-Labrador</t>
        </is>
      </c>
      <c r="E4516" t="inlineStr">
        <is>
          <t>Ken Martin</t>
        </is>
      </c>
      <c r="F4516" t="inlineStr">
        <is>
          <t xml:space="preserve">Attend Performance Management Review Panel and Executive Committee meetings </t>
        </is>
      </c>
      <c r="G4516" t="inlineStr">
        <is>
          <t>Assister à des réunions du comité d'examen de la gestion du rendement et du Comité de direction</t>
        </is>
      </c>
      <c r="H4516" s="1" t="n">
        <v>43242</v>
      </c>
      <c r="I4516" s="1" t="n">
        <v>43243</v>
      </c>
      <c r="J4516" t="inlineStr">
        <is>
          <t>Moncton, New Brunswick</t>
        </is>
      </c>
      <c r="K4516" t="inlineStr">
        <is>
          <t>Moncton (Nouveau-Brunswick)</t>
        </is>
      </c>
      <c r="P4516" t="n">
        <v>900.98</v>
      </c>
      <c r="Q4516" t="n">
        <v>172.38</v>
      </c>
      <c r="R4516" t="n">
        <v>151.8</v>
      </c>
      <c r="S4516" t="n">
        <v>150.35</v>
      </c>
      <c r="T4516" t="n">
        <v>0</v>
      </c>
      <c r="U4516" t="n">
        <v>1375.51</v>
      </c>
      <c r="X4516" t="inlineStr">
        <is>
          <t>acoa-apeca</t>
        </is>
      </c>
      <c r="Y4516" t="inlineStr">
        <is>
          <t>Atlantic Canada Opportunities Agency | Agence de promotion économique du Canada atlantique</t>
        </is>
      </c>
    </row>
    <row r="4517">
      <c r="A4517" t="inlineStr">
        <is>
          <t>T-2019-Q1-00037</t>
        </is>
      </c>
      <c r="B4517" t="inlineStr">
        <is>
          <t>SLE</t>
        </is>
      </c>
      <c r="C4517" t="inlineStr">
        <is>
          <t>Vice-President, Newfoundland and Labrador</t>
        </is>
      </c>
      <c r="D4517" t="inlineStr">
        <is>
          <t>Vice-président, Terre-Neuve-et-Labrador</t>
        </is>
      </c>
      <c r="E4517" t="inlineStr">
        <is>
          <t>Ken Martin</t>
        </is>
      </c>
      <c r="F4517" t="inlineStr">
        <is>
          <t>Attend meeting with Town of Holyrood</t>
        </is>
      </c>
      <c r="G4517" t="inlineStr">
        <is>
          <t>Assister à une réunion avec la Ville de Holyrood</t>
        </is>
      </c>
      <c r="H4517" s="1" t="n">
        <v>43238</v>
      </c>
      <c r="I4517" s="1" t="n">
        <v>43238</v>
      </c>
      <c r="J4517" t="inlineStr">
        <is>
          <t>Holyrood, Newfoundland and Labrador</t>
        </is>
      </c>
      <c r="K4517" t="inlineStr">
        <is>
          <t>Holyrood (Terre-Neuve-et-Labrador)</t>
        </is>
      </c>
      <c r="P4517" t="n">
        <v>0</v>
      </c>
      <c r="Q4517" t="n">
        <v>52.64</v>
      </c>
      <c r="R4517" t="n">
        <v>0</v>
      </c>
      <c r="S4517" t="n">
        <v>0</v>
      </c>
      <c r="T4517" t="n">
        <v>0</v>
      </c>
      <c r="U4517" t="n">
        <v>52.64</v>
      </c>
      <c r="X4517" t="inlineStr">
        <is>
          <t>acoa-apeca</t>
        </is>
      </c>
      <c r="Y4517" t="inlineStr">
        <is>
          <t>Atlantic Canada Opportunities Agency | Agence de promotion économique du Canada atlantique</t>
        </is>
      </c>
    </row>
    <row r="4518">
      <c r="A4518" t="inlineStr">
        <is>
          <t>T-2019-Q1-00036</t>
        </is>
      </c>
      <c r="B4518" t="inlineStr">
        <is>
          <t>SLE</t>
        </is>
      </c>
      <c r="C4518" t="inlineStr">
        <is>
          <t>Vice-President, Newfoundland and Labrador</t>
        </is>
      </c>
      <c r="D4518" t="inlineStr">
        <is>
          <t>Vice-président, Terre-Neuve-et-Labrador</t>
        </is>
      </c>
      <c r="E4518" t="inlineStr">
        <is>
          <t>Ken Martin</t>
        </is>
      </c>
      <c r="F4518" t="inlineStr">
        <is>
          <t>Attend client site visits in Holyrood and Conception Bay South</t>
        </is>
      </c>
      <c r="G4518" t="inlineStr">
        <is>
          <t>Assister à des visites des lieux chez des clients à Holyrood et à Conception Bay South</t>
        </is>
      </c>
      <c r="H4518" s="1" t="n">
        <v>43234</v>
      </c>
      <c r="I4518" s="1" t="n">
        <v>43235</v>
      </c>
      <c r="J4518" t="inlineStr">
        <is>
          <t>Holyrood and Conception Bay South, Newfoundland and Labrador</t>
        </is>
      </c>
      <c r="K4518" t="inlineStr">
        <is>
          <t>Holyrood etConception Bay South (Terre-Neuve-et-Labrador)</t>
        </is>
      </c>
      <c r="P4518" t="n">
        <v>0</v>
      </c>
      <c r="Q4518" t="n">
        <v>0</v>
      </c>
      <c r="R4518" t="n">
        <v>0</v>
      </c>
      <c r="S4518" t="n">
        <v>86.8</v>
      </c>
      <c r="T4518" t="n">
        <v>0</v>
      </c>
      <c r="U4518" t="n">
        <v>86.8</v>
      </c>
      <c r="X4518" t="inlineStr">
        <is>
          <t>acoa-apeca</t>
        </is>
      </c>
      <c r="Y4518" t="inlineStr">
        <is>
          <t>Atlantic Canada Opportunities Agency | Agence de promotion économique du Canada atlantique</t>
        </is>
      </c>
    </row>
    <row r="4519">
      <c r="A4519" t="inlineStr">
        <is>
          <t>T-2019-Q1-00035</t>
        </is>
      </c>
      <c r="B4519" t="inlineStr">
        <is>
          <t>SLE</t>
        </is>
      </c>
      <c r="C4519" t="inlineStr">
        <is>
          <t>Vice-President, Newfoundland and Labrador</t>
        </is>
      </c>
      <c r="D4519" t="inlineStr">
        <is>
          <t>Vice-président, Terre-Neuve-et-Labrador</t>
        </is>
      </c>
      <c r="E4519" t="inlineStr">
        <is>
          <t>Ken Martin</t>
        </is>
      </c>
      <c r="F4519" t="inlineStr">
        <is>
          <t>Client site visits in Holyrood</t>
        </is>
      </c>
      <c r="G4519" t="inlineStr">
        <is>
          <t>Visites des lieux chez des clients à Holyrood</t>
        </is>
      </c>
      <c r="H4519" s="1" t="n">
        <v>43238</v>
      </c>
      <c r="I4519" s="1" t="n">
        <v>43238</v>
      </c>
      <c r="J4519" t="inlineStr">
        <is>
          <t>Holyrood, Newfoundland and Labrador</t>
        </is>
      </c>
      <c r="K4519" t="inlineStr">
        <is>
          <t>Holyrood (Terre-Neuve-et-Labrador)</t>
        </is>
      </c>
      <c r="P4519" t="n">
        <v>0</v>
      </c>
      <c r="Q4519" t="n">
        <v>0</v>
      </c>
      <c r="R4519" t="n">
        <v>0</v>
      </c>
      <c r="S4519" t="n">
        <v>86.8</v>
      </c>
      <c r="T4519" t="n">
        <v>0</v>
      </c>
      <c r="U4519" t="n">
        <v>86.8</v>
      </c>
      <c r="X4519" t="inlineStr">
        <is>
          <t>acoa-apeca</t>
        </is>
      </c>
      <c r="Y4519" t="inlineStr">
        <is>
          <t>Atlantic Canada Opportunities Agency | Agence de promotion économique du Canada atlantique</t>
        </is>
      </c>
    </row>
    <row r="4520">
      <c r="A4520" t="inlineStr">
        <is>
          <t>T-2019-Q1-00034</t>
        </is>
      </c>
      <c r="B4520" t="inlineStr">
        <is>
          <t>SLE</t>
        </is>
      </c>
      <c r="C4520" t="inlineStr">
        <is>
          <t>Vice-President, Newfoundland and Labrador</t>
        </is>
      </c>
      <c r="D4520" t="inlineStr">
        <is>
          <t>Vice-président, Terre-Neuve-et-Labrador</t>
        </is>
      </c>
      <c r="E4520" t="inlineStr">
        <is>
          <t>Ken Martin</t>
        </is>
      </c>
      <c r="F4520" t="inlineStr">
        <is>
          <t>Client announcement in Holyrood</t>
        </is>
      </c>
      <c r="G4520" t="inlineStr">
        <is>
          <t>Annonce relative à un client à Holyrood</t>
        </is>
      </c>
      <c r="H4520" s="1" t="n">
        <v>43238</v>
      </c>
      <c r="I4520" s="1" t="n">
        <v>43243</v>
      </c>
      <c r="J4520" t="inlineStr">
        <is>
          <t>Holyrood, Newfoundland and Labrador</t>
        </is>
      </c>
      <c r="K4520" t="inlineStr">
        <is>
          <t>Holyrood (Terre-Neuve-et-Labrador)</t>
        </is>
      </c>
      <c r="P4520" t="n">
        <v>0</v>
      </c>
      <c r="Q4520" t="n">
        <v>52.64</v>
      </c>
      <c r="R4520" t="n">
        <v>0</v>
      </c>
      <c r="S4520" t="n">
        <v>0</v>
      </c>
      <c r="T4520" t="n">
        <v>0</v>
      </c>
      <c r="U4520" t="n">
        <v>52.64</v>
      </c>
      <c r="X4520" t="inlineStr">
        <is>
          <t>acoa-apeca</t>
        </is>
      </c>
      <c r="Y4520" t="inlineStr">
        <is>
          <t>Atlantic Canada Opportunities Agency | Agence de promotion économique du Canada atlantique</t>
        </is>
      </c>
    </row>
    <row r="4521">
      <c r="A4521" t="inlineStr">
        <is>
          <t>T-2019-Q1-00033</t>
        </is>
      </c>
      <c r="B4521" t="inlineStr">
        <is>
          <t>SLE</t>
        </is>
      </c>
      <c r="C4521" t="inlineStr">
        <is>
          <t>Vice-President, Newfoundland and Labrador</t>
        </is>
      </c>
      <c r="D4521" t="inlineStr">
        <is>
          <t>Vice-président, Terre-Neuve-et-Labrador</t>
        </is>
      </c>
      <c r="E4521" t="inlineStr">
        <is>
          <t>Ken Martin</t>
        </is>
      </c>
      <c r="F4521" t="inlineStr">
        <is>
          <t>Various meetings with senior provincial government and private sector officials</t>
        </is>
      </c>
      <c r="G4521" t="inlineStr">
        <is>
          <t>Diverses réunions avec de hauts fonctionnaires provinciaux et des représentants du secteur privé</t>
        </is>
      </c>
      <c r="H4521" s="1" t="n">
        <v>43101</v>
      </c>
      <c r="I4521" s="1" t="n">
        <v>43189</v>
      </c>
      <c r="J4521" t="inlineStr">
        <is>
          <t>St. John's, Newfoundland and Labrador</t>
        </is>
      </c>
      <c r="K4521" t="inlineStr">
        <is>
          <t>St. John's (Terre-Neuve-et-Labrador)</t>
        </is>
      </c>
      <c r="P4521" t="n">
        <v>0</v>
      </c>
      <c r="Q4521" t="n">
        <v>49.44</v>
      </c>
      <c r="R4521" t="n">
        <v>0</v>
      </c>
      <c r="S4521" t="n">
        <v>0</v>
      </c>
      <c r="T4521" t="n">
        <v>0</v>
      </c>
      <c r="U4521" t="n">
        <v>49.44</v>
      </c>
      <c r="X4521" t="inlineStr">
        <is>
          <t>acoa-apeca</t>
        </is>
      </c>
      <c r="Y4521" t="inlineStr">
        <is>
          <t>Atlantic Canada Opportunities Agency | Agence de promotion économique du Canada atlantique</t>
        </is>
      </c>
    </row>
    <row r="4522">
      <c r="A4522" t="inlineStr">
        <is>
          <t>T-2019-Q1-00024</t>
        </is>
      </c>
      <c r="B4522" t="inlineStr">
        <is>
          <t>SLE</t>
        </is>
      </c>
      <c r="C4522" t="inlineStr">
        <is>
          <t>Vice-President, Newfoundland and Labrador</t>
        </is>
      </c>
      <c r="D4522" t="inlineStr">
        <is>
          <t>Vice-président, Terre-Neuve-et-Labrador</t>
        </is>
      </c>
      <c r="E4522" t="inlineStr">
        <is>
          <t>Ken Martin</t>
        </is>
      </c>
      <c r="F4522" t="inlineStr">
        <is>
          <t>Meeting with senior Government of Canada officials</t>
        </is>
      </c>
      <c r="G4522" t="inlineStr">
        <is>
          <t>Réunion avec de hauts fonctionnaires du gouvernement du Canada</t>
        </is>
      </c>
      <c r="H4522" s="1" t="n">
        <v>43213</v>
      </c>
      <c r="I4522" s="1" t="n">
        <v>43214</v>
      </c>
      <c r="J4522" t="inlineStr">
        <is>
          <t>Halifax, Nova Scotia</t>
        </is>
      </c>
      <c r="K4522" t="inlineStr">
        <is>
          <t>Halifax (Nouvelle-Écosse)</t>
        </is>
      </c>
      <c r="P4522" t="n">
        <v>487.89</v>
      </c>
      <c r="Q4522" t="n">
        <v>15.68</v>
      </c>
      <c r="R4522" t="n">
        <v>181.82</v>
      </c>
      <c r="S4522" t="n">
        <v>169.55</v>
      </c>
      <c r="T4522" t="n">
        <v>0</v>
      </c>
      <c r="U4522" t="n">
        <v>854.9400000000001</v>
      </c>
      <c r="X4522" t="inlineStr">
        <is>
          <t>acoa-apeca</t>
        </is>
      </c>
      <c r="Y4522" t="inlineStr">
        <is>
          <t>Atlantic Canada Opportunities Agency | Agence de promotion économique du Canada atlantique</t>
        </is>
      </c>
    </row>
    <row r="4523">
      <c r="A4523" t="inlineStr">
        <is>
          <t>T-2019-Q1-00013</t>
        </is>
      </c>
      <c r="B4523" t="inlineStr">
        <is>
          <t>SLE</t>
        </is>
      </c>
      <c r="C4523" t="inlineStr">
        <is>
          <t>Vice-President, Newfoundland and Labrador</t>
        </is>
      </c>
      <c r="D4523" t="inlineStr">
        <is>
          <t>Vice-président, Terre-Neuve-et-Labrador</t>
        </is>
      </c>
      <c r="E4523" t="inlineStr">
        <is>
          <t>Ken Martin</t>
        </is>
      </c>
      <c r="F4523" t="inlineStr">
        <is>
          <t>Meetings with senior Government of Canada officials</t>
        </is>
      </c>
      <c r="G4523" t="inlineStr">
        <is>
          <t>Réunions avec de hauts fonctionnaires du gouvernement du Canada</t>
        </is>
      </c>
      <c r="H4523" s="1" t="n">
        <v>43185</v>
      </c>
      <c r="I4523" s="1" t="n">
        <v>43186</v>
      </c>
      <c r="J4523" t="inlineStr">
        <is>
          <t>Ottawa, Ontario</t>
        </is>
      </c>
      <c r="K4523" t="inlineStr">
        <is>
          <t>Ottawa (Ontario)</t>
        </is>
      </c>
      <c r="P4523" t="n">
        <v>1428.84</v>
      </c>
      <c r="Q4523" t="n">
        <v>61.91</v>
      </c>
      <c r="R4523" t="n">
        <v>233.86</v>
      </c>
      <c r="S4523" t="n">
        <v>186.4</v>
      </c>
      <c r="T4523" t="n">
        <v>0</v>
      </c>
      <c r="U4523" t="n">
        <v>1911.01</v>
      </c>
      <c r="X4523" t="inlineStr">
        <is>
          <t>acoa-apeca</t>
        </is>
      </c>
      <c r="Y4523" t="inlineStr">
        <is>
          <t>Atlantic Canada Opportunities Agency | Agence de promotion économique du Canada atlantique</t>
        </is>
      </c>
    </row>
    <row r="4524">
      <c r="A4524" t="inlineStr">
        <is>
          <t>T-2019-Q1-00009</t>
        </is>
      </c>
      <c r="B4524" t="inlineStr">
        <is>
          <t>SLE</t>
        </is>
      </c>
      <c r="C4524" t="inlineStr">
        <is>
          <t>Vice-President, Newfoundland and Labrador</t>
        </is>
      </c>
      <c r="D4524" t="inlineStr">
        <is>
          <t>Vice-président, Terre-Neuve-et-Labrador</t>
        </is>
      </c>
      <c r="E4524" t="inlineStr">
        <is>
          <t>Ken Martin</t>
        </is>
      </c>
      <c r="F4524" t="inlineStr">
        <is>
          <t>Seafood Expo North America</t>
        </is>
      </c>
      <c r="G4524" t="inlineStr">
        <is>
          <t>Expo des produits de la mer d'Amérique du Nord</t>
        </is>
      </c>
      <c r="H4524" s="1" t="n">
        <v>43169</v>
      </c>
      <c r="I4524" s="1" t="n">
        <v>43171</v>
      </c>
      <c r="J4524" t="inlineStr">
        <is>
          <t>Boston, Massachusetts</t>
        </is>
      </c>
      <c r="K4524" t="inlineStr">
        <is>
          <t>Boston, Massachusetts</t>
        </is>
      </c>
      <c r="P4524" t="n">
        <v>1190.21</v>
      </c>
      <c r="Q4524" t="n">
        <v>174.75</v>
      </c>
      <c r="R4524" t="n">
        <v>736.98</v>
      </c>
      <c r="S4524" t="n">
        <v>375.97</v>
      </c>
      <c r="T4524" t="n">
        <v>0</v>
      </c>
      <c r="U4524" t="n">
        <v>2477.91</v>
      </c>
      <c r="X4524" t="inlineStr">
        <is>
          <t>acoa-apeca</t>
        </is>
      </c>
      <c r="Y4524" t="inlineStr">
        <is>
          <t>Atlantic Canada Opportunities Agency | Agence de promotion économique du Canada atlantique</t>
        </is>
      </c>
    </row>
    <row r="4525">
      <c r="A4525" t="inlineStr">
        <is>
          <t>T-2019-Q1-00051</t>
        </is>
      </c>
      <c r="B4525" t="inlineStr">
        <is>
          <t>SLE</t>
        </is>
      </c>
      <c r="C4525" t="inlineStr">
        <is>
          <t>Vice-President, Nova Scotia</t>
        </is>
      </c>
      <c r="D4525" t="inlineStr">
        <is>
          <t>Vice-président, Nouvelle-Écosse</t>
        </is>
      </c>
      <c r="E4525" t="inlineStr">
        <is>
          <t>Chuck Maillet</t>
        </is>
      </c>
      <c r="F4525" t="inlineStr">
        <is>
          <t>Various meetings with Agency officials</t>
        </is>
      </c>
      <c r="G4525" t="inlineStr">
        <is>
          <t>Diverses réunions avec des fonctionnaires de l'Agence</t>
        </is>
      </c>
      <c r="H4525" s="1" t="n">
        <v>43244</v>
      </c>
      <c r="I4525" s="1" t="n">
        <v>43245</v>
      </c>
      <c r="J4525" t="inlineStr">
        <is>
          <t>Sydney, Nova Scotia</t>
        </is>
      </c>
      <c r="K4525" t="inlineStr">
        <is>
          <t>Sydney (Nouvelle-Écosse)</t>
        </is>
      </c>
      <c r="P4525" t="n">
        <v>370.59</v>
      </c>
      <c r="Q4525" t="n">
        <v>183.17</v>
      </c>
      <c r="R4525" t="n">
        <v>134.9</v>
      </c>
      <c r="S4525" t="n">
        <v>101.95</v>
      </c>
      <c r="T4525" t="n">
        <v>0</v>
      </c>
      <c r="U4525" t="n">
        <v>790.61</v>
      </c>
      <c r="X4525" t="inlineStr">
        <is>
          <t>acoa-apeca</t>
        </is>
      </c>
      <c r="Y4525" t="inlineStr">
        <is>
          <t>Atlantic Canada Opportunities Agency | Agence de promotion économique du Canada atlantique</t>
        </is>
      </c>
    </row>
    <row r="4526">
      <c r="A4526" t="inlineStr">
        <is>
          <t>T-2019-Q1-00050</t>
        </is>
      </c>
      <c r="B4526" t="inlineStr">
        <is>
          <t>SLE</t>
        </is>
      </c>
      <c r="C4526" t="inlineStr">
        <is>
          <t>Vice-President, Nova Scotia</t>
        </is>
      </c>
      <c r="D4526" t="inlineStr">
        <is>
          <t>Vice-président, Nouvelle-Écosse</t>
        </is>
      </c>
      <c r="E4526" t="inlineStr">
        <is>
          <t>Chuck Maillet</t>
        </is>
      </c>
      <c r="F4526" t="inlineStr">
        <is>
          <t xml:space="preserve">Meeting with senior Agency officials </t>
        </is>
      </c>
      <c r="G4526" t="inlineStr">
        <is>
          <t>Réunion avec de hauts fonctionnaires de l'Agence</t>
        </is>
      </c>
      <c r="H4526" s="1" t="n">
        <v>43242</v>
      </c>
      <c r="I4526" s="1" t="n">
        <v>43243</v>
      </c>
      <c r="J4526" t="inlineStr">
        <is>
          <t>Moncton, New Brunswick</t>
        </is>
      </c>
      <c r="K4526" t="inlineStr">
        <is>
          <t>Moncton (Nouveau-Brunswick)</t>
        </is>
      </c>
      <c r="P4526" t="n">
        <v>0</v>
      </c>
      <c r="Q4526" t="n">
        <v>0</v>
      </c>
      <c r="R4526" t="n">
        <v>167.9</v>
      </c>
      <c r="S4526" t="n">
        <v>150.35</v>
      </c>
      <c r="T4526" t="n">
        <v>0</v>
      </c>
      <c r="U4526" t="n">
        <v>318.25</v>
      </c>
      <c r="X4526" t="inlineStr">
        <is>
          <t>acoa-apeca</t>
        </is>
      </c>
      <c r="Y4526" t="inlineStr">
        <is>
          <t>Atlantic Canada Opportunities Agency | Agence de promotion économique du Canada atlantique</t>
        </is>
      </c>
    </row>
    <row r="4527">
      <c r="A4527" t="inlineStr">
        <is>
          <t>T-2019-Q1-00049</t>
        </is>
      </c>
      <c r="B4527" t="inlineStr">
        <is>
          <t>SLE</t>
        </is>
      </c>
      <c r="C4527" t="inlineStr">
        <is>
          <t>Vice-President, Nova Scotia</t>
        </is>
      </c>
      <c r="D4527" t="inlineStr">
        <is>
          <t>Vice-président, Nouvelle-Écosse</t>
        </is>
      </c>
      <c r="E4527" t="inlineStr">
        <is>
          <t>Chuck Maillet</t>
        </is>
      </c>
      <c r="F4527" t="inlineStr">
        <is>
          <t xml:space="preserve">Various meetings with Agency officials and stakeholder </t>
        </is>
      </c>
      <c r="G4527" t="inlineStr">
        <is>
          <t>Diverses réunions avec des fonctionnaires de l'Agence et un intervenant</t>
        </is>
      </c>
      <c r="H4527" s="1" t="n">
        <v>43238</v>
      </c>
      <c r="I4527" s="1" t="n">
        <v>43238</v>
      </c>
      <c r="J4527" t="inlineStr">
        <is>
          <t>Moncton, New Brunswick</t>
        </is>
      </c>
      <c r="K4527" t="inlineStr">
        <is>
          <t>Moncton (Nouveau-Brunswick)</t>
        </is>
      </c>
      <c r="P4527" t="n">
        <v>0</v>
      </c>
      <c r="Q4527" t="n">
        <v>260.59</v>
      </c>
      <c r="R4527" t="n">
        <v>0</v>
      </c>
      <c r="S4527" t="n">
        <v>67.34999999999999</v>
      </c>
      <c r="T4527" t="n">
        <v>14</v>
      </c>
      <c r="U4527" t="n">
        <v>341.94</v>
      </c>
      <c r="X4527" t="inlineStr">
        <is>
          <t>acoa-apeca</t>
        </is>
      </c>
      <c r="Y4527" t="inlineStr">
        <is>
          <t>Atlantic Canada Opportunities Agency | Agence de promotion économique du Canada atlantique</t>
        </is>
      </c>
    </row>
    <row r="4528">
      <c r="A4528" t="inlineStr">
        <is>
          <t>T-2019-Q1-00048</t>
        </is>
      </c>
      <c r="B4528" t="inlineStr">
        <is>
          <t>SLE</t>
        </is>
      </c>
      <c r="C4528" t="inlineStr">
        <is>
          <t>Vice-President, Nova Scotia</t>
        </is>
      </c>
      <c r="D4528" t="inlineStr">
        <is>
          <t>Vice-président, Nouvelle-Écosse</t>
        </is>
      </c>
      <c r="E4528" t="inlineStr">
        <is>
          <t>Chuck Maillet</t>
        </is>
      </c>
      <c r="F4528" t="inlineStr">
        <is>
          <t>Various meetings with Agency and Government of Canada officials</t>
        </is>
      </c>
      <c r="G4528" t="inlineStr">
        <is>
          <t>Diverses réunions avec des fonctionnaires de l'Agence et du gouvernement du Canada</t>
        </is>
      </c>
      <c r="H4528" s="1" t="n">
        <v>43229</v>
      </c>
      <c r="I4528" s="1" t="n">
        <v>43230</v>
      </c>
      <c r="J4528" t="inlineStr">
        <is>
          <t>Ottawa, Ontario</t>
        </is>
      </c>
      <c r="K4528" t="inlineStr">
        <is>
          <t>Ottawa (Ontario)</t>
        </is>
      </c>
      <c r="P4528" t="n">
        <v>679.42</v>
      </c>
      <c r="Q4528" t="n">
        <v>185.81</v>
      </c>
      <c r="R4528" t="n">
        <v>304.38</v>
      </c>
      <c r="S4528" t="n">
        <v>169.55</v>
      </c>
      <c r="T4528" t="n">
        <v>0</v>
      </c>
      <c r="U4528" t="n">
        <v>1339.16</v>
      </c>
      <c r="X4528" t="inlineStr">
        <is>
          <t>acoa-apeca</t>
        </is>
      </c>
      <c r="Y4528" t="inlineStr">
        <is>
          <t>Atlantic Canada Opportunities Agency | Agence de promotion économique du Canada atlantique</t>
        </is>
      </c>
    </row>
    <row r="4529">
      <c r="A4529" t="inlineStr">
        <is>
          <t>T-2019-Q1-00047</t>
        </is>
      </c>
      <c r="B4529" t="inlineStr">
        <is>
          <t>SLE</t>
        </is>
      </c>
      <c r="C4529" t="inlineStr">
        <is>
          <t>Vice-President, Nova Scotia</t>
        </is>
      </c>
      <c r="D4529" t="inlineStr">
        <is>
          <t>Vice-président, Nouvelle-Écosse</t>
        </is>
      </c>
      <c r="E4529" t="inlineStr">
        <is>
          <t>Chuck Maillet</t>
        </is>
      </c>
      <c r="F4529" t="inlineStr">
        <is>
          <t>Attend various meetings with Government of Canada Officials; conduct interviews; and attend an Indigenous Symposium</t>
        </is>
      </c>
      <c r="G4529" t="inlineStr">
        <is>
          <t>Assister à diverses réunions avec des fonctionnaires du gouvernement du Canada; faire passer des entrevues; et assister à un symposium autochtone</t>
        </is>
      </c>
      <c r="H4529" s="1" t="n">
        <v>43213</v>
      </c>
      <c r="I4529" s="1" t="n">
        <v>43215</v>
      </c>
      <c r="J4529" t="inlineStr">
        <is>
          <t>Ottawa, Ontario</t>
        </is>
      </c>
      <c r="K4529" t="inlineStr">
        <is>
          <t>Ottawa (Ontario)</t>
        </is>
      </c>
      <c r="P4529" t="n">
        <v>1392.02</v>
      </c>
      <c r="Q4529" t="n">
        <v>185.26</v>
      </c>
      <c r="R4529" t="n">
        <v>467.72</v>
      </c>
      <c r="S4529" t="n">
        <v>273.65</v>
      </c>
      <c r="T4529" t="n">
        <v>0</v>
      </c>
      <c r="U4529" t="n">
        <v>2318.65</v>
      </c>
      <c r="X4529" t="inlineStr">
        <is>
          <t>acoa-apeca</t>
        </is>
      </c>
      <c r="Y4529" t="inlineStr">
        <is>
          <t>Atlantic Canada Opportunities Agency | Agence de promotion économique du Canada atlantique</t>
        </is>
      </c>
    </row>
    <row r="4530">
      <c r="A4530" t="inlineStr">
        <is>
          <t>T-2019-Q1-00046</t>
        </is>
      </c>
      <c r="B4530" t="inlineStr">
        <is>
          <t>SLE</t>
        </is>
      </c>
      <c r="C4530" t="inlineStr">
        <is>
          <t>Vice-President, Nova Scotia</t>
        </is>
      </c>
      <c r="D4530" t="inlineStr">
        <is>
          <t>Vice-président, Nouvelle-Écosse</t>
        </is>
      </c>
      <c r="E4530" t="inlineStr">
        <is>
          <t>Chuck Maillet</t>
        </is>
      </c>
      <c r="F4530" t="inlineStr">
        <is>
          <t xml:space="preserve">Various meetings with Agency officials, clients and stakeholders </t>
        </is>
      </c>
      <c r="G4530" t="inlineStr">
        <is>
          <t>Diverses réunions avec des fonctionnaires de l'Agence, des clients et des intervenants</t>
        </is>
      </c>
      <c r="H4530" s="1" t="n">
        <v>43206</v>
      </c>
      <c r="I4530" s="1" t="n">
        <v>43208</v>
      </c>
      <c r="J4530" t="inlineStr">
        <is>
          <t xml:space="preserve">Southwest Nova Scotia </t>
        </is>
      </c>
      <c r="K4530" t="inlineStr">
        <is>
          <t>Sud-ouest de la Nouvelle-Écosse</t>
        </is>
      </c>
      <c r="P4530" t="n">
        <v>0</v>
      </c>
      <c r="Q4530" t="n">
        <v>0</v>
      </c>
      <c r="R4530" t="n">
        <v>236.9</v>
      </c>
      <c r="S4530" t="n">
        <v>157.9</v>
      </c>
      <c r="T4530" t="n">
        <v>0</v>
      </c>
      <c r="U4530" t="n">
        <v>394.8</v>
      </c>
      <c r="X4530" t="inlineStr">
        <is>
          <t>acoa-apeca</t>
        </is>
      </c>
      <c r="Y4530" t="inlineStr">
        <is>
          <t>Atlantic Canada Opportunities Agency | Agence de promotion économique du Canada atlantique</t>
        </is>
      </c>
    </row>
    <row r="4531">
      <c r="A4531" t="inlineStr">
        <is>
          <t>T-2019-Q1-00045</t>
        </is>
      </c>
      <c r="B4531" t="inlineStr">
        <is>
          <t>SLE</t>
        </is>
      </c>
      <c r="C4531" t="inlineStr">
        <is>
          <t>Vice-President, Nova Scotia</t>
        </is>
      </c>
      <c r="D4531" t="inlineStr">
        <is>
          <t>Vice-président, Nouvelle-Écosse</t>
        </is>
      </c>
      <c r="E4531" t="inlineStr">
        <is>
          <t>Chuck Maillet</t>
        </is>
      </c>
      <c r="F4531" t="inlineStr">
        <is>
          <t>Attend various meetings with Government of Canada officials and the Assistant Deputy Minister Forum</t>
        </is>
      </c>
      <c r="G4531" t="inlineStr">
        <is>
          <t>Assister à diverses réunions avec des fonctionnaires du gouvernement du Canada et au forum des sous-ministres adjoints</t>
        </is>
      </c>
      <c r="H4531" s="1" t="n">
        <v>43200</v>
      </c>
      <c r="I4531" s="1" t="n">
        <v>43201</v>
      </c>
      <c r="J4531" t="inlineStr">
        <is>
          <t>Ottawa, Ontario</t>
        </is>
      </c>
      <c r="K4531" t="inlineStr">
        <is>
          <t>Ottawa (Ontario)</t>
        </is>
      </c>
      <c r="P4531" t="n">
        <v>438.55</v>
      </c>
      <c r="Q4531" t="n">
        <v>212.14</v>
      </c>
      <c r="R4531" t="n">
        <v>233.86</v>
      </c>
      <c r="S4531" t="n">
        <v>169.55</v>
      </c>
      <c r="T4531" t="n">
        <v>0</v>
      </c>
      <c r="U4531" t="n">
        <v>1054.1</v>
      </c>
      <c r="X4531" t="inlineStr">
        <is>
          <t>acoa-apeca</t>
        </is>
      </c>
      <c r="Y4531" t="inlineStr">
        <is>
          <t>Atlantic Canada Opportunities Agency | Agence de promotion économique du Canada atlantique</t>
        </is>
      </c>
    </row>
    <row r="4532">
      <c r="A4532" t="inlineStr">
        <is>
          <t>T-2019-Q1-00044</t>
        </is>
      </c>
      <c r="B4532" t="inlineStr">
        <is>
          <t>SLE</t>
        </is>
      </c>
      <c r="C4532" t="inlineStr">
        <is>
          <t>Vice-President, Nova Scotia</t>
        </is>
      </c>
      <c r="D4532" t="inlineStr">
        <is>
          <t>Vice-président, Nouvelle-Écosse</t>
        </is>
      </c>
      <c r="E4532" t="inlineStr">
        <is>
          <t>Chuck Maillet</t>
        </is>
      </c>
      <c r="F4532" t="inlineStr">
        <is>
          <t>Various meetings with senior Agency and Government of Canada officials</t>
        </is>
      </c>
      <c r="G4532" t="inlineStr">
        <is>
          <t>Diverses réunions avec de hauts fonctionnaires de l'Agence et du gouvernement du Canada</t>
        </is>
      </c>
      <c r="H4532" s="1" t="n">
        <v>43185</v>
      </c>
      <c r="I4532" s="1" t="n">
        <v>43186</v>
      </c>
      <c r="J4532" t="inlineStr">
        <is>
          <t>Ottawa, Ontario</t>
        </is>
      </c>
      <c r="K4532" t="inlineStr">
        <is>
          <t>Ottawa (Ontario)</t>
        </is>
      </c>
      <c r="P4532" t="n">
        <v>664.53</v>
      </c>
      <c r="Q4532" t="n">
        <v>125</v>
      </c>
      <c r="R4532" t="n">
        <v>233.86</v>
      </c>
      <c r="S4532" t="n">
        <v>186.4</v>
      </c>
      <c r="T4532" t="n">
        <v>0</v>
      </c>
      <c r="U4532" t="n">
        <v>1209.79</v>
      </c>
      <c r="X4532" t="inlineStr">
        <is>
          <t>acoa-apeca</t>
        </is>
      </c>
      <c r="Y4532" t="inlineStr">
        <is>
          <t>Atlantic Canada Opportunities Agency | Agence de promotion économique du Canada atlantique</t>
        </is>
      </c>
    </row>
    <row r="4533">
      <c r="A4533" t="inlineStr">
        <is>
          <t>T-2019-Q1-00043</t>
        </is>
      </c>
      <c r="B4533" t="inlineStr">
        <is>
          <t>SLE</t>
        </is>
      </c>
      <c r="C4533" t="inlineStr">
        <is>
          <t>Vice-President, Nova Scotia</t>
        </is>
      </c>
      <c r="D4533" t="inlineStr">
        <is>
          <t>Vice-président, Nouvelle-Écosse</t>
        </is>
      </c>
      <c r="E4533" t="inlineStr">
        <is>
          <t>Chuck Maillet</t>
        </is>
      </c>
      <c r="F4533" t="inlineStr">
        <is>
          <t>Attend Strategic Connections Conference</t>
        </is>
      </c>
      <c r="G4533" t="inlineStr">
        <is>
          <t>Assister à la conférence Strategic Connections</t>
        </is>
      </c>
      <c r="H4533" s="1" t="n">
        <v>43164</v>
      </c>
      <c r="I4533" s="1" t="n">
        <v>43164</v>
      </c>
      <c r="J4533" t="inlineStr">
        <is>
          <t xml:space="preserve">Millbrook, Nova Scotia </t>
        </is>
      </c>
      <c r="K4533" t="inlineStr">
        <is>
          <t>Millbrook (Nouvelle-Écosse)</t>
        </is>
      </c>
      <c r="P4533" t="n">
        <v>0</v>
      </c>
      <c r="Q4533" t="n">
        <v>93.22</v>
      </c>
      <c r="R4533" t="n">
        <v>0</v>
      </c>
      <c r="S4533" t="n">
        <v>0</v>
      </c>
      <c r="T4533" t="n">
        <v>7</v>
      </c>
      <c r="U4533" t="n">
        <v>100.22</v>
      </c>
      <c r="X4533" t="inlineStr">
        <is>
          <t>acoa-apeca</t>
        </is>
      </c>
      <c r="Y4533" t="inlineStr">
        <is>
          <t>Atlantic Canada Opportunities Agency | Agence de promotion économique du Canada atlantique</t>
        </is>
      </c>
    </row>
    <row r="4534">
      <c r="A4534" t="inlineStr">
        <is>
          <t>T-2019-Q1-00032</t>
        </is>
      </c>
      <c r="B4534" t="inlineStr">
        <is>
          <t>SLE</t>
        </is>
      </c>
      <c r="C4534" t="inlineStr">
        <is>
          <t>President</t>
        </is>
      </c>
      <c r="D4534" t="inlineStr">
        <is>
          <t>Président</t>
        </is>
      </c>
      <c r="E4534" t="inlineStr">
        <is>
          <t>Francis McGuire</t>
        </is>
      </c>
      <c r="F4534" t="inlineStr">
        <is>
          <t>Meetings with Government of Canada officials and key stakeholders</t>
        </is>
      </c>
      <c r="G4534" t="inlineStr">
        <is>
          <t>Réunions avec des fonctionnaires du gouvernement du Canada et des intervenants clés</t>
        </is>
      </c>
      <c r="H4534" s="1" t="n">
        <v>43234</v>
      </c>
      <c r="I4534" s="1" t="n">
        <v>43236</v>
      </c>
      <c r="J4534" t="inlineStr">
        <is>
          <t>Halifax, Nova Scotia</t>
        </is>
      </c>
      <c r="K4534" t="inlineStr">
        <is>
          <t>Halifax (Nouvelle-Écosse)</t>
        </is>
      </c>
      <c r="P4534" t="n">
        <v>0</v>
      </c>
      <c r="Q4534" t="n">
        <v>270.92</v>
      </c>
      <c r="R4534" t="n">
        <v>466.86</v>
      </c>
      <c r="S4534" t="n">
        <v>177.35</v>
      </c>
      <c r="T4534" t="n">
        <v>0</v>
      </c>
      <c r="U4534" t="n">
        <v>915.13</v>
      </c>
      <c r="X4534" t="inlineStr">
        <is>
          <t>acoa-apeca</t>
        </is>
      </c>
      <c r="Y4534" t="inlineStr">
        <is>
          <t>Atlantic Canada Opportunities Agency | Agence de promotion économique du Canada atlantique</t>
        </is>
      </c>
    </row>
    <row r="4535">
      <c r="A4535" t="inlineStr">
        <is>
          <t>T-2019-Q1-00031</t>
        </is>
      </c>
      <c r="B4535" t="inlineStr">
        <is>
          <t>SLE</t>
        </is>
      </c>
      <c r="C4535" t="inlineStr">
        <is>
          <t>President</t>
        </is>
      </c>
      <c r="D4535" t="inlineStr">
        <is>
          <t>Président</t>
        </is>
      </c>
      <c r="E4535" t="inlineStr">
        <is>
          <t>Francis McGuire</t>
        </is>
      </c>
      <c r="F4535" t="inlineStr">
        <is>
          <t>Meetings with Government of Canada officials and key stakeholder</t>
        </is>
      </c>
      <c r="G4535" t="inlineStr">
        <is>
          <t>Réunions avec des fonctionnaires du gouvernement du Canada et un intervenant clé</t>
        </is>
      </c>
      <c r="H4535" s="1" t="n">
        <v>43228</v>
      </c>
      <c r="I4535" s="1" t="n">
        <v>43230</v>
      </c>
      <c r="J4535" t="inlineStr">
        <is>
          <t>Ottawa, Ontario</t>
        </is>
      </c>
      <c r="K4535" t="inlineStr">
        <is>
          <t>Ottawa (Ontario)</t>
        </is>
      </c>
      <c r="P4535" t="n">
        <v>1004.31</v>
      </c>
      <c r="Q4535" t="n">
        <v>63.56</v>
      </c>
      <c r="R4535" t="n">
        <v>561.74</v>
      </c>
      <c r="S4535" t="n">
        <v>273.4</v>
      </c>
      <c r="T4535" t="n">
        <v>36</v>
      </c>
      <c r="U4535" t="n">
        <v>1939.01</v>
      </c>
      <c r="X4535" t="inlineStr">
        <is>
          <t>acoa-apeca</t>
        </is>
      </c>
      <c r="Y4535" t="inlineStr">
        <is>
          <t>Atlantic Canada Opportunities Agency | Agence de promotion économique du Canada atlantique</t>
        </is>
      </c>
    </row>
    <row r="4536">
      <c r="A4536" t="inlineStr">
        <is>
          <t>T-2019-Q1-00023</t>
        </is>
      </c>
      <c r="B4536" t="inlineStr">
        <is>
          <t>SLE</t>
        </is>
      </c>
      <c r="C4536" t="inlineStr">
        <is>
          <t>President</t>
        </is>
      </c>
      <c r="D4536" t="inlineStr">
        <is>
          <t>Président</t>
        </is>
      </c>
      <c r="E4536" t="inlineStr">
        <is>
          <t>Francis McGuire</t>
        </is>
      </c>
      <c r="F4536" t="inlineStr">
        <is>
          <t>Miramichi Chamber of Commerce AGM</t>
        </is>
      </c>
      <c r="G4536" t="inlineStr">
        <is>
          <t>Assemblée générale annuelle de la Chambre de commerce de Miramichi</t>
        </is>
      </c>
      <c r="H4536" s="1" t="n">
        <v>43216</v>
      </c>
      <c r="I4536" s="1" t="n">
        <v>43217</v>
      </c>
      <c r="J4536" t="inlineStr">
        <is>
          <t>Miramichi and Fredericton, New Brunswick</t>
        </is>
      </c>
      <c r="K4536" t="inlineStr">
        <is>
          <t>Miramichi et Fredericton (Nouveau-Brunswick)</t>
        </is>
      </c>
      <c r="P4536" t="n">
        <v>0</v>
      </c>
      <c r="Q4536" t="n">
        <v>162.24</v>
      </c>
      <c r="R4536" t="n">
        <v>140.76</v>
      </c>
      <c r="S4536" t="n">
        <v>54.05</v>
      </c>
      <c r="T4536" t="n">
        <v>0</v>
      </c>
      <c r="U4536" t="n">
        <v>357.05</v>
      </c>
      <c r="X4536" t="inlineStr">
        <is>
          <t>acoa-apeca</t>
        </is>
      </c>
      <c r="Y4536" t="inlineStr">
        <is>
          <t>Atlantic Canada Opportunities Agency | Agence de promotion économique du Canada atlantique</t>
        </is>
      </c>
    </row>
    <row r="4537">
      <c r="A4537" t="inlineStr">
        <is>
          <t>T-2019-Q1-00021</t>
        </is>
      </c>
      <c r="B4537" t="inlineStr">
        <is>
          <t>SLE</t>
        </is>
      </c>
      <c r="C4537" t="inlineStr">
        <is>
          <t>President</t>
        </is>
      </c>
      <c r="D4537" t="inlineStr">
        <is>
          <t>Président</t>
        </is>
      </c>
      <c r="E4537" t="inlineStr">
        <is>
          <t>Francis McGuire</t>
        </is>
      </c>
      <c r="F4537" t="inlineStr">
        <is>
          <t>Meetings with Government officials and key stakeholders</t>
        </is>
      </c>
      <c r="G4537" t="inlineStr">
        <is>
          <t>Réunions avec des fonctionnaires et des intervenants clés</t>
        </is>
      </c>
      <c r="H4537" s="1" t="n">
        <v>43208</v>
      </c>
      <c r="I4537" s="1" t="n">
        <v>43211</v>
      </c>
      <c r="J4537" t="inlineStr">
        <is>
          <t>Charlottetown, Prince Edward Island and Fredericton, New Brunswick</t>
        </is>
      </c>
      <c r="K4537" t="inlineStr">
        <is>
          <t>Charlottetown (Île-du-Prince-Édouard) et Fredericton (Nouveau-Brunswick)</t>
        </is>
      </c>
      <c r="P4537" t="n">
        <v>346.15</v>
      </c>
      <c r="Q4537" t="n">
        <v>370.6</v>
      </c>
      <c r="R4537" t="n">
        <v>565.02</v>
      </c>
      <c r="S4537" t="n">
        <v>244.95</v>
      </c>
      <c r="T4537" t="n">
        <v>133.25</v>
      </c>
      <c r="U4537" t="n">
        <v>1659.97</v>
      </c>
      <c r="X4537" t="inlineStr">
        <is>
          <t>acoa-apeca</t>
        </is>
      </c>
      <c r="Y4537" t="inlineStr">
        <is>
          <t>Atlantic Canada Opportunities Agency | Agence de promotion économique du Canada atlantique</t>
        </is>
      </c>
    </row>
    <row r="4538">
      <c r="A4538" t="inlineStr">
        <is>
          <t>T-2019-Q1-00020</t>
        </is>
      </c>
      <c r="B4538" t="inlineStr">
        <is>
          <t>SLE</t>
        </is>
      </c>
      <c r="C4538" t="inlineStr">
        <is>
          <t>President</t>
        </is>
      </c>
      <c r="D4538" t="inlineStr">
        <is>
          <t>Président</t>
        </is>
      </c>
      <c r="E4538" t="inlineStr">
        <is>
          <t>Francis McGuire</t>
        </is>
      </c>
      <c r="F4538" t="inlineStr">
        <is>
          <t>Southwest Nova Scotia tour</t>
        </is>
      </c>
      <c r="G4538" t="inlineStr">
        <is>
          <t>Visite du sud-ouest de la Nouvelle-Écosse</t>
        </is>
      </c>
      <c r="H4538" s="1" t="n">
        <v>43205</v>
      </c>
      <c r="I4538" s="1" t="n">
        <v>43208</v>
      </c>
      <c r="J4538" t="inlineStr">
        <is>
          <t>Halifax, Nova Scotia</t>
        </is>
      </c>
      <c r="K4538" t="inlineStr">
        <is>
          <t>Halifax (Nouvelle-Écosse)</t>
        </is>
      </c>
      <c r="P4538" t="n">
        <v>403.65</v>
      </c>
      <c r="Q4538" t="n">
        <v>84.56</v>
      </c>
      <c r="R4538" t="n">
        <v>398.16</v>
      </c>
      <c r="S4538" t="n">
        <v>242.8</v>
      </c>
      <c r="T4538" t="n">
        <v>0</v>
      </c>
      <c r="U4538" t="n">
        <v>1129.17</v>
      </c>
      <c r="X4538" t="inlineStr">
        <is>
          <t>acoa-apeca</t>
        </is>
      </c>
      <c r="Y4538" t="inlineStr">
        <is>
          <t>Atlantic Canada Opportunities Agency | Agence de promotion économique du Canada atlantique</t>
        </is>
      </c>
    </row>
    <row r="4539">
      <c r="A4539" t="inlineStr">
        <is>
          <t>T-2019-Q1-00019</t>
        </is>
      </c>
      <c r="B4539" t="inlineStr">
        <is>
          <t>SLE</t>
        </is>
      </c>
      <c r="C4539" t="inlineStr">
        <is>
          <t>President</t>
        </is>
      </c>
      <c r="D4539" t="inlineStr">
        <is>
          <t>Président</t>
        </is>
      </c>
      <c r="E4539" t="inlineStr">
        <is>
          <t>Francis McGuire</t>
        </is>
      </c>
      <c r="F4539" t="inlineStr">
        <is>
          <t>Meeting with Agency officials and key stakeholder</t>
        </is>
      </c>
      <c r="G4539" t="inlineStr">
        <is>
          <t>Réunion avec des fonctionnaires de l'Agence et un intervenant clé</t>
        </is>
      </c>
      <c r="H4539" s="1" t="n">
        <v>43203</v>
      </c>
      <c r="I4539" s="1" t="n">
        <v>43203</v>
      </c>
      <c r="J4539" t="inlineStr">
        <is>
          <t>Saint John, New Brunswick</t>
        </is>
      </c>
      <c r="K4539" t="inlineStr">
        <is>
          <t>Saint John (Nouveau-Brunswick)</t>
        </is>
      </c>
      <c r="P4539" t="n">
        <v>0</v>
      </c>
      <c r="Q4539" t="n">
        <v>119.08</v>
      </c>
      <c r="R4539" t="n">
        <v>0</v>
      </c>
      <c r="S4539" t="n">
        <v>19.2</v>
      </c>
      <c r="T4539" t="n">
        <v>0</v>
      </c>
      <c r="U4539" t="n">
        <v>138.28</v>
      </c>
      <c r="X4539" t="inlineStr">
        <is>
          <t>acoa-apeca</t>
        </is>
      </c>
      <c r="Y4539" t="inlineStr">
        <is>
          <t>Atlantic Canada Opportunities Agency | Agence de promotion économique du Canada atlantique</t>
        </is>
      </c>
    </row>
    <row r="4540">
      <c r="A4540" t="inlineStr">
        <is>
          <t>T-2019-Q1-00018</t>
        </is>
      </c>
      <c r="B4540" t="inlineStr">
        <is>
          <t>SLE</t>
        </is>
      </c>
      <c r="C4540" t="inlineStr">
        <is>
          <t>President</t>
        </is>
      </c>
      <c r="D4540" t="inlineStr">
        <is>
          <t>Président</t>
        </is>
      </c>
      <c r="E4540" t="inlineStr">
        <is>
          <t>Francis McGuire</t>
        </is>
      </c>
      <c r="F4540" t="inlineStr">
        <is>
          <t>Northeastern tour of New Brunswick</t>
        </is>
      </c>
      <c r="G4540" t="inlineStr">
        <is>
          <t>Visite du nord-est du Nouveau-Brunswick</t>
        </is>
      </c>
      <c r="H4540" s="1" t="n">
        <v>43200</v>
      </c>
      <c r="I4540" s="1" t="n">
        <v>43202</v>
      </c>
      <c r="J4540" t="inlineStr">
        <is>
          <t>Caraquet, New Brunswick</t>
        </is>
      </c>
      <c r="K4540" t="inlineStr">
        <is>
          <t>Caraquet (Nouveau-Brunswick)</t>
        </is>
      </c>
      <c r="P4540" t="n">
        <v>0</v>
      </c>
      <c r="Q4540" t="n">
        <v>306.28</v>
      </c>
      <c r="R4540" t="n">
        <v>113.85</v>
      </c>
      <c r="S4540" t="n">
        <v>244.7</v>
      </c>
      <c r="T4540" t="n">
        <v>0</v>
      </c>
      <c r="U4540" t="n">
        <v>664.83</v>
      </c>
      <c r="X4540" t="inlineStr">
        <is>
          <t>acoa-apeca</t>
        </is>
      </c>
      <c r="Y4540" t="inlineStr">
        <is>
          <t>Atlantic Canada Opportunities Agency | Agence de promotion économique du Canada atlantique</t>
        </is>
      </c>
    </row>
    <row r="4541">
      <c r="A4541" t="inlineStr">
        <is>
          <t>T-2019-Q1-00016</t>
        </is>
      </c>
      <c r="B4541" t="inlineStr">
        <is>
          <t>SLE</t>
        </is>
      </c>
      <c r="C4541" t="inlineStr">
        <is>
          <t>President</t>
        </is>
      </c>
      <c r="D4541" t="inlineStr">
        <is>
          <t>Président</t>
        </is>
      </c>
      <c r="E4541" t="inlineStr">
        <is>
          <t>Francis McGuire</t>
        </is>
      </c>
      <c r="F4541" t="inlineStr">
        <is>
          <t>To attend meetings/site visits with Agency and government officials and key stakeholders</t>
        </is>
      </c>
      <c r="G4541" t="inlineStr">
        <is>
          <t>Assister à des réunions et à des visites des lieux avec des fonctionnaires de l'Agence et du gouvernement et des intervenants clés</t>
        </is>
      </c>
      <c r="H4541" s="1" t="n">
        <v>43195</v>
      </c>
      <c r="I4541" s="1" t="n">
        <v>43196</v>
      </c>
      <c r="J4541" t="inlineStr">
        <is>
          <t>Halifax, Nova Scotia</t>
        </is>
      </c>
      <c r="K4541" t="inlineStr">
        <is>
          <t>Halifax (Nouvelle-Écosse)</t>
        </is>
      </c>
      <c r="P4541" t="n">
        <v>0</v>
      </c>
      <c r="Q4541" t="n">
        <v>356.89</v>
      </c>
      <c r="R4541" t="n">
        <v>181.82</v>
      </c>
      <c r="S4541" t="n">
        <v>169.55</v>
      </c>
      <c r="T4541" t="n">
        <v>0</v>
      </c>
      <c r="U4541" t="n">
        <v>708.26</v>
      </c>
      <c r="X4541" t="inlineStr">
        <is>
          <t>acoa-apeca</t>
        </is>
      </c>
      <c r="Y4541" t="inlineStr">
        <is>
          <t>Atlantic Canada Opportunities Agency | Agence de promotion économique du Canada atlantique</t>
        </is>
      </c>
    </row>
    <row r="4542">
      <c r="A4542" t="inlineStr">
        <is>
          <t>T-2019-Q1-00015</t>
        </is>
      </c>
      <c r="B4542" t="inlineStr">
        <is>
          <t>SLE</t>
        </is>
      </c>
      <c r="C4542" t="inlineStr">
        <is>
          <t>President</t>
        </is>
      </c>
      <c r="D4542" t="inlineStr">
        <is>
          <t>Président</t>
        </is>
      </c>
      <c r="E4542" t="inlineStr">
        <is>
          <t>Francis McGuire</t>
        </is>
      </c>
      <c r="F4542" t="inlineStr">
        <is>
          <t>Attend meetings with government officials and key stakeholders</t>
        </is>
      </c>
      <c r="G4542" t="inlineStr">
        <is>
          <t>Assister à des réunions avec des fonctionnaires et des intervenants clés</t>
        </is>
      </c>
      <c r="H4542" s="1" t="n">
        <v>43184</v>
      </c>
      <c r="I4542" s="1" t="n">
        <v>43188</v>
      </c>
      <c r="J4542" t="inlineStr">
        <is>
          <t>Ottawa, Ontario</t>
        </is>
      </c>
      <c r="K4542" t="inlineStr">
        <is>
          <t>Ottawa (Ontario)</t>
        </is>
      </c>
      <c r="P4542" t="n">
        <v>624.9</v>
      </c>
      <c r="Q4542" t="n">
        <v>102.12</v>
      </c>
      <c r="R4542" t="n">
        <v>1052.44</v>
      </c>
      <c r="S4542" t="n">
        <v>437.25</v>
      </c>
      <c r="T4542" t="n">
        <v>40</v>
      </c>
      <c r="U4542" t="n">
        <v>2256.71</v>
      </c>
      <c r="X4542" t="inlineStr">
        <is>
          <t>acoa-apeca</t>
        </is>
      </c>
      <c r="Y4542" t="inlineStr">
        <is>
          <t>Atlantic Canada Opportunities Agency | Agence de promotion économique du Canada atlantique</t>
        </is>
      </c>
    </row>
    <row r="4543">
      <c r="A4543" t="inlineStr">
        <is>
          <t>T-2019-Q1-00007</t>
        </is>
      </c>
      <c r="B4543" t="inlineStr">
        <is>
          <t>SLE</t>
        </is>
      </c>
      <c r="C4543" t="inlineStr">
        <is>
          <t>President</t>
        </is>
      </c>
      <c r="D4543" t="inlineStr">
        <is>
          <t>Président</t>
        </is>
      </c>
      <c r="E4543" t="inlineStr">
        <is>
          <t>Francis McGuire</t>
        </is>
      </c>
      <c r="F4543" t="inlineStr">
        <is>
          <t>Attend meetings with Agency, government officials and key stakeholders</t>
        </is>
      </c>
      <c r="G4543" t="inlineStr">
        <is>
          <t>Assister à des réunions avec des fonctionnaires de l'Agence et du gouvernement et des intervenants clés</t>
        </is>
      </c>
      <c r="H4543" s="1" t="n">
        <v>43178</v>
      </c>
      <c r="I4543" s="1" t="n">
        <v>43179</v>
      </c>
      <c r="J4543" t="inlineStr">
        <is>
          <t>Halifax, Nova Scotia</t>
        </is>
      </c>
      <c r="K4543" t="inlineStr">
        <is>
          <t>Halifax (Nouvelle-Écosse)</t>
        </is>
      </c>
      <c r="P4543" t="n">
        <v>0</v>
      </c>
      <c r="Q4543" t="n">
        <v>450.23</v>
      </c>
      <c r="R4543" t="n">
        <v>181.82</v>
      </c>
      <c r="S4543" t="n">
        <v>119.95</v>
      </c>
      <c r="T4543" t="n">
        <v>0</v>
      </c>
      <c r="U4543" t="n">
        <v>752</v>
      </c>
      <c r="X4543" t="inlineStr">
        <is>
          <t>acoa-apeca</t>
        </is>
      </c>
      <c r="Y4543" t="inlineStr">
        <is>
          <t>Atlantic Canada Opportunities Agency | Agence de promotion économique du Canada atlantique</t>
        </is>
      </c>
    </row>
    <row r="4544">
      <c r="A4544" t="inlineStr">
        <is>
          <t>T-2019-Q1-00006</t>
        </is>
      </c>
      <c r="B4544" t="inlineStr">
        <is>
          <t>SLE</t>
        </is>
      </c>
      <c r="C4544" t="inlineStr">
        <is>
          <t>President</t>
        </is>
      </c>
      <c r="D4544" t="inlineStr">
        <is>
          <t>Président</t>
        </is>
      </c>
      <c r="E4544" t="inlineStr">
        <is>
          <t>Francis McGuire</t>
        </is>
      </c>
      <c r="F4544" t="inlineStr">
        <is>
          <t xml:space="preserve">Attend Seafood Expo North America </t>
        </is>
      </c>
      <c r="G4544" t="inlineStr">
        <is>
          <t>Assister à l'Expo des produits de la mer d'Amérique du Nord</t>
        </is>
      </c>
      <c r="H4544" s="1" t="n">
        <v>43168</v>
      </c>
      <c r="I4544" s="1" t="n">
        <v>43171</v>
      </c>
      <c r="J4544" t="inlineStr">
        <is>
          <t>Boston, Massachusetts</t>
        </is>
      </c>
      <c r="K4544" t="inlineStr">
        <is>
          <t>Boston, Massachusetts</t>
        </is>
      </c>
      <c r="P4544" t="n">
        <v>0</v>
      </c>
      <c r="Q4544" t="n">
        <v>806.15</v>
      </c>
      <c r="R4544" t="n">
        <v>875.86</v>
      </c>
      <c r="S4544" t="n">
        <v>459.28</v>
      </c>
      <c r="T4544" t="n">
        <v>123.17</v>
      </c>
      <c r="U4544" t="n">
        <v>2264.46</v>
      </c>
      <c r="X4544" t="inlineStr">
        <is>
          <t>acoa-apeca</t>
        </is>
      </c>
      <c r="Y4544" t="inlineStr">
        <is>
          <t>Atlantic Canada Opportunities Agency | Agence de promotion économique du Canada atlantique</t>
        </is>
      </c>
    </row>
    <row r="4545">
      <c r="A4545" t="inlineStr">
        <is>
          <t>T-2019-Q1-00005</t>
        </is>
      </c>
      <c r="B4545" t="inlineStr">
        <is>
          <t>SLE</t>
        </is>
      </c>
      <c r="C4545" t="inlineStr">
        <is>
          <t>President</t>
        </is>
      </c>
      <c r="D4545" t="inlineStr">
        <is>
          <t>Président</t>
        </is>
      </c>
      <c r="E4545" t="inlineStr">
        <is>
          <t>Francis McGuire</t>
        </is>
      </c>
      <c r="F4545" t="inlineStr">
        <is>
          <t xml:space="preserve">Various meetings with Agency officials and Government of Canada officials  </t>
        </is>
      </c>
      <c r="G4545" t="inlineStr">
        <is>
          <t>Diverses réunions avec des fonctionnaires de l'Agence et du gouvernement du Canada</t>
        </is>
      </c>
      <c r="H4545" s="1" t="n">
        <v>43164</v>
      </c>
      <c r="I4545" s="1" t="n">
        <v>43166</v>
      </c>
      <c r="J4545" t="inlineStr">
        <is>
          <t>Ottawa, Ontario</t>
        </is>
      </c>
      <c r="K4545" t="inlineStr">
        <is>
          <t>Ottawa (Ontario)</t>
        </is>
      </c>
      <c r="P4545" t="n">
        <v>1095.95</v>
      </c>
      <c r="Q4545" t="n">
        <v>124.56</v>
      </c>
      <c r="R4545" t="n">
        <v>429.9</v>
      </c>
      <c r="S4545" t="n">
        <v>251.05</v>
      </c>
      <c r="T4545" t="n">
        <v>36</v>
      </c>
      <c r="U4545" t="n">
        <v>1937.46</v>
      </c>
      <c r="X4545" t="inlineStr">
        <is>
          <t>acoa-apeca</t>
        </is>
      </c>
      <c r="Y4545" t="inlineStr">
        <is>
          <t>Atlantic Canada Opportunities Agency | Agence de promotion économique du Canada atlantique</t>
        </is>
      </c>
    </row>
    <row r="4546">
      <c r="A4546" t="inlineStr">
        <is>
          <t>T-2019-Q1-00001</t>
        </is>
      </c>
      <c r="B4546" t="inlineStr">
        <is>
          <t>SLE</t>
        </is>
      </c>
      <c r="C4546" t="inlineStr">
        <is>
          <t>President</t>
        </is>
      </c>
      <c r="D4546" t="inlineStr">
        <is>
          <t>Président</t>
        </is>
      </c>
      <c r="E4546" t="inlineStr">
        <is>
          <t>Francis McGuire</t>
        </is>
      </c>
      <c r="F4546" t="inlineStr">
        <is>
          <t>Various meetings with Agency officials and Government of Canada officials</t>
        </is>
      </c>
      <c r="G4546" t="inlineStr">
        <is>
          <t>Diverses réunions avec des fonctionnaires de l'Agence et du gouvernement du Canada</t>
        </is>
      </c>
      <c r="H4546" s="1" t="n">
        <v>43186</v>
      </c>
      <c r="I4546" s="1" t="n">
        <v>43187</v>
      </c>
      <c r="J4546" t="inlineStr">
        <is>
          <t>Ottawa, Ontario</t>
        </is>
      </c>
      <c r="K4546" t="inlineStr">
        <is>
          <t>Ottawa (Ontario)</t>
        </is>
      </c>
      <c r="P4546" t="n">
        <v>692.3</v>
      </c>
      <c r="Q4546" t="n">
        <v>52.56</v>
      </c>
      <c r="R4546" t="n">
        <v>233.86</v>
      </c>
      <c r="S4546" t="n">
        <v>148.2</v>
      </c>
      <c r="T4546" t="n">
        <v>24</v>
      </c>
      <c r="U4546" t="n">
        <v>1150.92</v>
      </c>
      <c r="X4546" t="inlineStr">
        <is>
          <t>acoa-apeca</t>
        </is>
      </c>
      <c r="Y4546" t="inlineStr">
        <is>
          <t>Atlantic Canada Opportunities Agency | Agence de promotion économique du Canada atlantique</t>
        </is>
      </c>
    </row>
    <row r="4547">
      <c r="A4547" t="inlineStr">
        <is>
          <t>T-2018-Q4-00027</t>
        </is>
      </c>
      <c r="B4547" t="inlineStr">
        <is>
          <t>SLE</t>
        </is>
      </c>
      <c r="C4547" t="inlineStr">
        <is>
          <t>President</t>
        </is>
      </c>
      <c r="D4547" t="inlineStr">
        <is>
          <t>Président</t>
        </is>
      </c>
      <c r="E4547" t="inlineStr">
        <is>
          <t>Francis McGuire</t>
        </is>
      </c>
      <c r="F4547" t="inlineStr">
        <is>
          <t>Various meetings with key stakeholders</t>
        </is>
      </c>
      <c r="G4547" t="inlineStr">
        <is>
          <t>Diverses réunions avec des intervenants clés</t>
        </is>
      </c>
      <c r="H4547" s="1" t="n">
        <v>43157</v>
      </c>
      <c r="I4547" s="1" t="n">
        <v>43157</v>
      </c>
      <c r="J4547" t="inlineStr">
        <is>
          <t>Saint John, New Brunswick</t>
        </is>
      </c>
      <c r="K4547" t="inlineStr">
        <is>
          <t>Saint John (Nouveau-Brunswick)</t>
        </is>
      </c>
      <c r="P4547" t="n">
        <v>0</v>
      </c>
      <c r="Q4547" t="n">
        <v>179.92</v>
      </c>
      <c r="R4547" t="n">
        <v>0</v>
      </c>
      <c r="S4547" t="n">
        <v>18.9</v>
      </c>
      <c r="T4547" t="n">
        <v>0</v>
      </c>
      <c r="U4547" t="n">
        <v>198.82</v>
      </c>
      <c r="X4547" t="inlineStr">
        <is>
          <t>acoa-apeca</t>
        </is>
      </c>
      <c r="Y4547" t="inlineStr">
        <is>
          <t>Atlantic Canada Opportunities Agency | Agence de promotion économique du Canada atlantique</t>
        </is>
      </c>
    </row>
    <row r="4548">
      <c r="A4548" t="inlineStr">
        <is>
          <t>T-2018-Q4-00026</t>
        </is>
      </c>
      <c r="B4548" t="inlineStr">
        <is>
          <t>SLE</t>
        </is>
      </c>
      <c r="C4548" t="inlineStr">
        <is>
          <t>President</t>
        </is>
      </c>
      <c r="D4548" t="inlineStr">
        <is>
          <t>Président</t>
        </is>
      </c>
      <c r="E4548" t="inlineStr">
        <is>
          <t>Francis McGuire</t>
        </is>
      </c>
      <c r="F4548" t="inlineStr">
        <is>
          <t>Various meetings with Government of Canada officials</t>
        </is>
      </c>
      <c r="G4548" t="inlineStr">
        <is>
          <t>Diverses réunions avec des fonctionnaires du gouvernement du Canada</t>
        </is>
      </c>
      <c r="H4548" s="1" t="n">
        <v>43152</v>
      </c>
      <c r="I4548" s="1" t="n">
        <v>43153</v>
      </c>
      <c r="J4548" t="inlineStr">
        <is>
          <t>Ottawa, Ontario</t>
        </is>
      </c>
      <c r="K4548" t="inlineStr">
        <is>
          <t>Ottawa (Ontario)</t>
        </is>
      </c>
      <c r="P4548" t="n">
        <v>794.02</v>
      </c>
      <c r="Q4548" t="n">
        <v>54.9</v>
      </c>
      <c r="R4548" t="n">
        <v>210.36</v>
      </c>
      <c r="S4548" t="n">
        <v>167.3</v>
      </c>
      <c r="T4548" t="n">
        <v>0</v>
      </c>
      <c r="U4548" t="n">
        <v>1226.58</v>
      </c>
      <c r="X4548" t="inlineStr">
        <is>
          <t>acoa-apeca</t>
        </is>
      </c>
      <c r="Y4548" t="inlineStr">
        <is>
          <t>Atlantic Canada Opportunities Agency | Agence de promotion économique du Canada atlantique</t>
        </is>
      </c>
    </row>
    <row r="4549">
      <c r="A4549" t="inlineStr">
        <is>
          <t>T-2019-Q1-00029</t>
        </is>
      </c>
      <c r="B4549" t="inlineStr">
        <is>
          <t>SLE</t>
        </is>
      </c>
      <c r="C4549" t="inlineStr">
        <is>
          <t>Vice-President, Finance and Corporate Services</t>
        </is>
      </c>
      <c r="D4549" t="inlineStr">
        <is>
          <t>Vice-président, Finance et Services corporatifs</t>
        </is>
      </c>
      <c r="E4549" t="inlineStr">
        <is>
          <t>Stephane Lagace</t>
        </is>
      </c>
      <c r="F4549" t="inlineStr">
        <is>
          <t>Meetings with Government of Canada officials</t>
        </is>
      </c>
      <c r="G4549" t="inlineStr">
        <is>
          <t>Réunions avec des fonctionnaires du gouvernement du Canada</t>
        </is>
      </c>
      <c r="H4549" s="1" t="n">
        <v>43227</v>
      </c>
      <c r="I4549" s="1" t="n">
        <v>43228</v>
      </c>
      <c r="J4549" t="inlineStr">
        <is>
          <t>Ottawa, Ontario</t>
        </is>
      </c>
      <c r="K4549" t="inlineStr">
        <is>
          <t>Ottawa (Ontario)</t>
        </is>
      </c>
      <c r="P4549" t="n">
        <v>698.11</v>
      </c>
      <c r="Q4549" t="n">
        <v>79.64</v>
      </c>
      <c r="R4549" t="n">
        <v>233.86</v>
      </c>
      <c r="S4549" t="n">
        <v>188.75</v>
      </c>
      <c r="T4549" t="n">
        <v>32</v>
      </c>
      <c r="U4549" t="n">
        <v>1232.36</v>
      </c>
      <c r="X4549" t="inlineStr">
        <is>
          <t>acoa-apeca</t>
        </is>
      </c>
      <c r="Y4549" t="inlineStr">
        <is>
          <t>Atlantic Canada Opportunities Agency | Agence de promotion économique du Canada atlantique</t>
        </is>
      </c>
    </row>
    <row r="4550">
      <c r="A4550" t="inlineStr">
        <is>
          <t>T-2019-Q1-00010</t>
        </is>
      </c>
      <c r="B4550" t="inlineStr">
        <is>
          <t>SLE</t>
        </is>
      </c>
      <c r="C4550" t="inlineStr">
        <is>
          <t>Vice-President, Finance and Corporate Services</t>
        </is>
      </c>
      <c r="D4550" t="inlineStr">
        <is>
          <t>Vice-président, Finance et Services corporatifs</t>
        </is>
      </c>
      <c r="E4550" t="inlineStr">
        <is>
          <t>Stephane Lagace</t>
        </is>
      </c>
      <c r="F4550" t="inlineStr">
        <is>
          <t>Various meetings with Agency officials and Government of Canada officials</t>
        </is>
      </c>
      <c r="G4550" t="inlineStr">
        <is>
          <t>Diverses réunions avec des fonctionnaires de l'Agence et du gouvernement du Canada</t>
        </is>
      </c>
      <c r="H4550" s="1" t="n">
        <v>43185</v>
      </c>
      <c r="I4550" s="1" t="n">
        <v>43186</v>
      </c>
      <c r="J4550" t="inlineStr">
        <is>
          <t>Ottawa, Ontario</t>
        </is>
      </c>
      <c r="K4550" t="inlineStr">
        <is>
          <t>Ottawa (Ontario)</t>
        </is>
      </c>
      <c r="P4550" t="n">
        <v>843.47</v>
      </c>
      <c r="Q4550" t="n">
        <v>73.64</v>
      </c>
      <c r="R4550" t="n">
        <v>233.86</v>
      </c>
      <c r="S4550" t="n">
        <v>167.3</v>
      </c>
      <c r="T4550" t="n">
        <v>32</v>
      </c>
      <c r="U4550" t="n">
        <v>1350.27</v>
      </c>
      <c r="X4550" t="inlineStr">
        <is>
          <t>acoa-apeca</t>
        </is>
      </c>
      <c r="Y4550" t="inlineStr">
        <is>
          <t>Atlantic Canada Opportunities Agency | Agence de promotion économique du Canada atlantique</t>
        </is>
      </c>
    </row>
    <row r="4551">
      <c r="A4551" t="inlineStr">
        <is>
          <t>T-2019-Q1-00008</t>
        </is>
      </c>
      <c r="B4551" t="inlineStr">
        <is>
          <t>SLE</t>
        </is>
      </c>
      <c r="C4551" t="inlineStr">
        <is>
          <t>Vice-President, Finance and Corporate Services</t>
        </is>
      </c>
      <c r="D4551" t="inlineStr">
        <is>
          <t>Vice-président, Finance et Services corporatifs</t>
        </is>
      </c>
      <c r="E4551" t="inlineStr">
        <is>
          <t>Stephane Lagace</t>
        </is>
      </c>
      <c r="F4551" t="inlineStr">
        <is>
          <t>Meetings with Agency officials</t>
        </is>
      </c>
      <c r="G4551" t="inlineStr">
        <is>
          <t>Réunions avec des fonctionnaires de l'Agence</t>
        </is>
      </c>
      <c r="H4551" s="1" t="n">
        <v>43178</v>
      </c>
      <c r="I4551" s="1" t="n">
        <v>43178</v>
      </c>
      <c r="J4551" t="inlineStr">
        <is>
          <t>Fredericton, New Brunswick</t>
        </is>
      </c>
      <c r="K4551" t="inlineStr">
        <is>
          <t>Fredericton (Nouveau-Brunswick)</t>
        </is>
      </c>
      <c r="P4551" t="n">
        <v>0</v>
      </c>
      <c r="Q4551" t="n">
        <v>0</v>
      </c>
      <c r="R4551" t="n">
        <v>0</v>
      </c>
      <c r="S4551" t="n">
        <v>18.9</v>
      </c>
      <c r="T4551" t="n">
        <v>3</v>
      </c>
      <c r="U4551" t="n">
        <v>21.9</v>
      </c>
      <c r="X4551" t="inlineStr">
        <is>
          <t>acoa-apeca</t>
        </is>
      </c>
      <c r="Y4551" t="inlineStr">
        <is>
          <t>Atlantic Canada Opportunities Agency | Agence de promotion économique du Canada atlantique</t>
        </is>
      </c>
    </row>
    <row r="4552">
      <c r="A4552" t="inlineStr">
        <is>
          <t>T-2019-Q1-00002</t>
        </is>
      </c>
      <c r="B4552" t="inlineStr">
        <is>
          <t>SLE</t>
        </is>
      </c>
      <c r="C4552" t="inlineStr">
        <is>
          <t>Vice-President, Finance and Corporate Services</t>
        </is>
      </c>
      <c r="D4552" t="inlineStr">
        <is>
          <t>Vice-président, Finance et Services corporatifs</t>
        </is>
      </c>
      <c r="E4552" t="inlineStr">
        <is>
          <t>Stephane Lagace</t>
        </is>
      </c>
      <c r="F4552" t="inlineStr">
        <is>
          <t>Meetings with Agency officials</t>
        </is>
      </c>
      <c r="G4552" t="inlineStr">
        <is>
          <t>Réunions avec des fonctionnaires de l'Agence</t>
        </is>
      </c>
      <c r="H4552" s="1" t="n">
        <v>43168</v>
      </c>
      <c r="I4552" s="1" t="n">
        <v>43168</v>
      </c>
      <c r="J4552" t="inlineStr">
        <is>
          <t>Charlottetown, Prince Edward Island</t>
        </is>
      </c>
      <c r="K4552" t="inlineStr">
        <is>
          <t>Charlottetown (Île-du-Prince-Édouard)</t>
        </is>
      </c>
      <c r="P4552" t="n">
        <v>0</v>
      </c>
      <c r="Q4552" t="n">
        <v>47</v>
      </c>
      <c r="R4552" t="n">
        <v>0</v>
      </c>
      <c r="S4552" t="n">
        <v>18.9</v>
      </c>
      <c r="T4552" t="n">
        <v>3.75</v>
      </c>
      <c r="U4552" t="n">
        <v>69.65000000000001</v>
      </c>
      <c r="X4552" t="inlineStr">
        <is>
          <t>acoa-apeca</t>
        </is>
      </c>
      <c r="Y4552" t="inlineStr">
        <is>
          <t>Atlantic Canada Opportunities Agency | Agence de promotion économique du Canada atlantique</t>
        </is>
      </c>
    </row>
    <row r="4553">
      <c r="A4553" t="inlineStr">
        <is>
          <t>T-2018-Q4-00028</t>
        </is>
      </c>
      <c r="B4553" t="inlineStr">
        <is>
          <t>SLE</t>
        </is>
      </c>
      <c r="C4553" t="inlineStr">
        <is>
          <t>Vice-President, Finance and Corporate Services</t>
        </is>
      </c>
      <c r="D4553" t="inlineStr">
        <is>
          <t>Vice-président, Finance et Services corporatifs</t>
        </is>
      </c>
      <c r="E4553" t="inlineStr">
        <is>
          <t>Stephane Lagace</t>
        </is>
      </c>
      <c r="F4553" t="inlineStr">
        <is>
          <t>Meetings with Government of Canada officials</t>
        </is>
      </c>
      <c r="G4553" t="inlineStr">
        <is>
          <t>Réunions avec des fonctionnaires du gouvernement du Canada</t>
        </is>
      </c>
      <c r="H4553" s="1" t="n">
        <v>43157</v>
      </c>
      <c r="I4553" s="1" t="n">
        <v>43158</v>
      </c>
      <c r="J4553" t="inlineStr">
        <is>
          <t>Ottawa, Ontario</t>
        </is>
      </c>
      <c r="K4553" t="inlineStr">
        <is>
          <t>Ottawa (Ontario)</t>
        </is>
      </c>
      <c r="P4553" t="n">
        <v>935.0700000000001</v>
      </c>
      <c r="Q4553" t="n">
        <v>80</v>
      </c>
      <c r="R4553" t="n">
        <v>205.66</v>
      </c>
      <c r="S4553" t="n">
        <v>167.3</v>
      </c>
      <c r="T4553" t="n">
        <v>36.16</v>
      </c>
      <c r="U4553" t="n">
        <v>1424.19</v>
      </c>
      <c r="X4553" t="inlineStr">
        <is>
          <t>acoa-apeca</t>
        </is>
      </c>
      <c r="Y4553" t="inlineStr">
        <is>
          <t>Atlantic Canada Opportunities Agency | Agence de promotion économique du Canada atlantique</t>
        </is>
      </c>
    </row>
    <row r="4554">
      <c r="A4554" t="inlineStr">
        <is>
          <t>T-2019-Q2-00051</t>
        </is>
      </c>
      <c r="B4554" t="inlineStr">
        <is>
          <t>SLE</t>
        </is>
      </c>
      <c r="C4554" t="inlineStr">
        <is>
          <t>Vice-President, New Brunswick</t>
        </is>
      </c>
      <c r="D4554" t="inlineStr">
        <is>
          <t>Vice-président, Nouveau-Brunswick</t>
        </is>
      </c>
      <c r="E4554" t="inlineStr">
        <is>
          <t>Kent Estabrooks</t>
        </is>
      </c>
      <c r="F4554" t="inlineStr">
        <is>
          <t>Various meetings with Agency officials on champion file</t>
        </is>
      </c>
      <c r="G4554" t="inlineStr">
        <is>
          <t>Diverses réunions avec des fonctionnaires de l'Agence sur un dossier de champion</t>
        </is>
      </c>
      <c r="H4554" s="1" t="n">
        <v>43254</v>
      </c>
      <c r="I4554" s="1" t="n">
        <v>43257</v>
      </c>
      <c r="J4554" t="inlineStr">
        <is>
          <t>Charlottetown, Prince Edward Island</t>
        </is>
      </c>
      <c r="K4554" t="inlineStr">
        <is>
          <t>Charlottetown (Île-du-Prince-Édouard)</t>
        </is>
      </c>
      <c r="P4554" t="n">
        <v>346.15</v>
      </c>
      <c r="Q4554" t="n">
        <v>62.15</v>
      </c>
      <c r="R4554" t="n">
        <v>585.72</v>
      </c>
      <c r="S4554" t="n">
        <v>358.3</v>
      </c>
      <c r="T4554" t="n">
        <v>0</v>
      </c>
      <c r="U4554" t="n">
        <v>1352.32</v>
      </c>
      <c r="X4554" t="inlineStr">
        <is>
          <t>acoa-apeca</t>
        </is>
      </c>
      <c r="Y4554" t="inlineStr">
        <is>
          <t>Atlantic Canada Opportunities Agency | Agence de promotion économique du Canada atlantique</t>
        </is>
      </c>
    </row>
    <row r="4555">
      <c r="A4555" t="inlineStr">
        <is>
          <t>T-2019-Q2-00050</t>
        </is>
      </c>
      <c r="B4555" t="inlineStr">
        <is>
          <t>SLE</t>
        </is>
      </c>
      <c r="C4555" t="inlineStr">
        <is>
          <t>Vice-President, New Brunswick</t>
        </is>
      </c>
      <c r="D4555" t="inlineStr">
        <is>
          <t>Vice-président, Nouveau-Brunswick</t>
        </is>
      </c>
      <c r="E4555" t="inlineStr">
        <is>
          <t>Kent Estabrooks</t>
        </is>
      </c>
      <c r="F4555" t="inlineStr">
        <is>
          <t>Agency senior management meeting</t>
        </is>
      </c>
      <c r="G4555" t="inlineStr">
        <is>
          <t>Réunion de la haute direction de l'Agence</t>
        </is>
      </c>
      <c r="H4555" s="1" t="n">
        <v>43261</v>
      </c>
      <c r="I4555" s="1" t="n">
        <v>43264</v>
      </c>
      <c r="J4555" t="inlineStr">
        <is>
          <t>Bonavista, Newfoundland and Labrador</t>
        </is>
      </c>
      <c r="K4555" t="inlineStr">
        <is>
          <t>Bonavista (Terre-Neuve-et-Labrador)</t>
        </is>
      </c>
      <c r="P4555" t="n">
        <v>941.58</v>
      </c>
      <c r="Q4555" t="n">
        <v>30</v>
      </c>
      <c r="R4555" t="n">
        <v>721.55</v>
      </c>
      <c r="S4555" t="n">
        <v>319.9</v>
      </c>
      <c r="T4555" t="n">
        <v>80.31</v>
      </c>
      <c r="U4555" t="n">
        <v>2093.34</v>
      </c>
      <c r="X4555" t="inlineStr">
        <is>
          <t>acoa-apeca</t>
        </is>
      </c>
      <c r="Y4555" t="inlineStr">
        <is>
          <t>Atlantic Canada Opportunities Agency | Agence de promotion économique du Canada atlantique</t>
        </is>
      </c>
    </row>
    <row r="4556">
      <c r="A4556" t="inlineStr">
        <is>
          <t>T-2019-Q2-00049</t>
        </is>
      </c>
      <c r="B4556" t="inlineStr">
        <is>
          <t>SLE</t>
        </is>
      </c>
      <c r="C4556" t="inlineStr">
        <is>
          <t>Vice-President, New Brunswick</t>
        </is>
      </c>
      <c r="D4556" t="inlineStr">
        <is>
          <t>Vice-président, Nouveau-Brunswick</t>
        </is>
      </c>
      <c r="E4556" t="inlineStr">
        <is>
          <t>Kent Estabrooks</t>
        </is>
      </c>
      <c r="F4556" t="inlineStr">
        <is>
          <t>Meetings with various federal officials</t>
        </is>
      </c>
      <c r="G4556" t="inlineStr">
        <is>
          <t>Réunions avec divers fonctionnaires fédéraux</t>
        </is>
      </c>
      <c r="H4556" s="1" t="n">
        <v>43269</v>
      </c>
      <c r="I4556" s="1" t="n">
        <v>43270</v>
      </c>
      <c r="J4556" t="inlineStr">
        <is>
          <t>Ottawa, Ontario</t>
        </is>
      </c>
      <c r="K4556" t="inlineStr">
        <is>
          <t>Ottawa (Ontario)</t>
        </is>
      </c>
      <c r="P4556" t="n">
        <v>692.3</v>
      </c>
      <c r="Q4556" t="n">
        <v>126.01</v>
      </c>
      <c r="R4556" t="n">
        <v>233.86</v>
      </c>
      <c r="S4556" t="n">
        <v>169.3</v>
      </c>
      <c r="T4556" t="n">
        <v>56.5</v>
      </c>
      <c r="U4556" t="n">
        <v>1277.97</v>
      </c>
      <c r="X4556" t="inlineStr">
        <is>
          <t>acoa-apeca</t>
        </is>
      </c>
      <c r="Y4556" t="inlineStr">
        <is>
          <t>Atlantic Canada Opportunities Agency | Agence de promotion économique du Canada atlantique</t>
        </is>
      </c>
    </row>
    <row r="4557">
      <c r="A4557" t="inlineStr">
        <is>
          <t>T-2019-Q2-00048</t>
        </is>
      </c>
      <c r="B4557" t="inlineStr">
        <is>
          <t>SLE</t>
        </is>
      </c>
      <c r="C4557" t="inlineStr">
        <is>
          <t>Vice-President, New Brunswick</t>
        </is>
      </c>
      <c r="D4557" t="inlineStr">
        <is>
          <t>Vice-président, Nouveau-Brunswick</t>
        </is>
      </c>
      <c r="E4557" t="inlineStr">
        <is>
          <t>Kent Estabrooks</t>
        </is>
      </c>
      <c r="F4557" t="inlineStr">
        <is>
          <t>Agency Executive Committee meeting</t>
        </is>
      </c>
      <c r="G4557" t="inlineStr">
        <is>
          <t>Réunion du Comité de direction de l'Agence</t>
        </is>
      </c>
      <c r="H4557" s="1" t="n">
        <v>43271</v>
      </c>
      <c r="I4557" s="1" t="n">
        <v>43272</v>
      </c>
      <c r="J4557" t="inlineStr">
        <is>
          <t>Moncton, New Brunswick</t>
        </is>
      </c>
      <c r="K4557" t="inlineStr">
        <is>
          <t>Moncton (Nouveau-Brunswick)</t>
        </is>
      </c>
      <c r="P4557" t="n">
        <v>0</v>
      </c>
      <c r="Q4557" t="n">
        <v>0</v>
      </c>
      <c r="R4557" t="n">
        <v>163.3</v>
      </c>
      <c r="S4557" t="n">
        <v>130.9</v>
      </c>
      <c r="T4557" t="n">
        <v>16.1</v>
      </c>
      <c r="U4557" t="n">
        <v>310.3</v>
      </c>
      <c r="X4557" t="inlineStr">
        <is>
          <t>acoa-apeca</t>
        </is>
      </c>
      <c r="Y4557" t="inlineStr">
        <is>
          <t>Atlantic Canada Opportunities Agency | Agence de promotion économique du Canada atlantique</t>
        </is>
      </c>
    </row>
    <row r="4558">
      <c r="A4558" t="inlineStr">
        <is>
          <t>T-2019-Q2-00047</t>
        </is>
      </c>
      <c r="B4558" t="inlineStr">
        <is>
          <t>SLE</t>
        </is>
      </c>
      <c r="C4558" t="inlineStr">
        <is>
          <t>Vice-President, New Brunswick</t>
        </is>
      </c>
      <c r="D4558" t="inlineStr">
        <is>
          <t>Vice-président, Nouveau-Brunswick</t>
        </is>
      </c>
      <c r="E4558" t="inlineStr">
        <is>
          <t>Kent Estabrooks</t>
        </is>
      </c>
      <c r="F4558" t="inlineStr">
        <is>
          <t>Meeting with various federal officials in Ottawa / Atlantic Regional Seminar in Halifax</t>
        </is>
      </c>
      <c r="G4558" t="inlineStr">
        <is>
          <t>Réunion avec divers fonctionnaires fédéraux à Ottawa / séminaire régional du Canada atlantique à Halifax</t>
        </is>
      </c>
      <c r="H4558" s="1" t="n">
        <v>43276</v>
      </c>
      <c r="I4558" s="1" t="n">
        <v>43278</v>
      </c>
      <c r="J4558" t="inlineStr">
        <is>
          <t>Ottawa, Ontario / Halifax, Nova Scotia</t>
        </is>
      </c>
      <c r="K4558" t="inlineStr">
        <is>
          <t>Ottawa (Ontario) / Halifax (Nouvelle-Écosse)</t>
        </is>
      </c>
      <c r="P4558" t="n">
        <v>1038.45</v>
      </c>
      <c r="Q4558" t="n">
        <v>263.57</v>
      </c>
      <c r="R4558" t="n">
        <v>467.29</v>
      </c>
      <c r="S4558" t="n">
        <v>253.95</v>
      </c>
      <c r="T4558" t="n">
        <v>64.34999999999999</v>
      </c>
      <c r="U4558" t="n">
        <v>2087.61</v>
      </c>
      <c r="X4558" t="inlineStr">
        <is>
          <t>acoa-apeca</t>
        </is>
      </c>
      <c r="Y4558" t="inlineStr">
        <is>
          <t>Atlantic Canada Opportunities Agency | Agence de promotion économique du Canada atlantique</t>
        </is>
      </c>
    </row>
    <row r="4559">
      <c r="A4559" t="inlineStr">
        <is>
          <t>T-2019-Q2-00046</t>
        </is>
      </c>
      <c r="B4559" t="inlineStr">
        <is>
          <t>SLE</t>
        </is>
      </c>
      <c r="C4559" t="inlineStr">
        <is>
          <t>Vice-President, New Brunswick</t>
        </is>
      </c>
      <c r="D4559" t="inlineStr">
        <is>
          <t>Vice-président, Nouveau-Brunswick</t>
        </is>
      </c>
      <c r="E4559" t="inlineStr">
        <is>
          <t>Kent Estabrooks</t>
        </is>
      </c>
      <c r="F4559" t="inlineStr">
        <is>
          <t>APEX interview board / Various meetings with Government of Canada officials and Agency officials</t>
        </is>
      </c>
      <c r="G4559" t="inlineStr">
        <is>
          <t>Comité d'entrevue de l'APEX / diverses réunions avec des fonctionnaires du gouvernement du Canada et de l'Agence</t>
        </is>
      </c>
      <c r="H4559" s="1" t="n">
        <v>43290</v>
      </c>
      <c r="I4559" s="1" t="n">
        <v>43292</v>
      </c>
      <c r="J4559" t="inlineStr">
        <is>
          <t>Ottawa, Ontario</t>
        </is>
      </c>
      <c r="K4559" t="inlineStr">
        <is>
          <t>Ottawa (Ontario)</t>
        </is>
      </c>
      <c r="P4559" t="n">
        <v>692.3</v>
      </c>
      <c r="Q4559" t="n">
        <v>135.86</v>
      </c>
      <c r="R4559" t="n">
        <v>467.72</v>
      </c>
      <c r="S4559" t="n">
        <v>253.95</v>
      </c>
      <c r="T4559" t="n">
        <v>0</v>
      </c>
      <c r="U4559" t="n">
        <v>1549.83</v>
      </c>
      <c r="X4559" t="inlineStr">
        <is>
          <t>acoa-apeca</t>
        </is>
      </c>
      <c r="Y4559" t="inlineStr">
        <is>
          <t>Atlantic Canada Opportunities Agency | Agence de promotion économique du Canada atlantique</t>
        </is>
      </c>
    </row>
    <row r="4560">
      <c r="A4560" t="inlineStr">
        <is>
          <t>T-2019-Q2-00045</t>
        </is>
      </c>
      <c r="B4560" t="inlineStr">
        <is>
          <t>SLE</t>
        </is>
      </c>
      <c r="C4560" t="inlineStr">
        <is>
          <t>Vice-President, New Brunswick</t>
        </is>
      </c>
      <c r="D4560" t="inlineStr">
        <is>
          <t>Vice-président, Nouveau-Brunswick</t>
        </is>
      </c>
      <c r="E4560" t="inlineStr">
        <is>
          <t>Kent Estabrooks</t>
        </is>
      </c>
      <c r="F4560" t="inlineStr">
        <is>
          <t>Various meetings with Agency officials on champion file</t>
        </is>
      </c>
      <c r="G4560" t="inlineStr">
        <is>
          <t>Diverses réunions avec des fonctionnaires de l'Agence sur un dossier de champion</t>
        </is>
      </c>
      <c r="H4560" s="1" t="n">
        <v>43293</v>
      </c>
      <c r="I4560" s="1" t="n">
        <v>43294</v>
      </c>
      <c r="J4560" t="inlineStr">
        <is>
          <t>Moncton, New Brunswick</t>
        </is>
      </c>
      <c r="K4560" t="inlineStr">
        <is>
          <t>Moncton (Nouveau-Brunswick)</t>
        </is>
      </c>
      <c r="P4560" t="n">
        <v>0</v>
      </c>
      <c r="Q4560" t="n">
        <v>0</v>
      </c>
      <c r="R4560" t="n">
        <v>163.3</v>
      </c>
      <c r="S4560" t="n">
        <v>97.79000000000001</v>
      </c>
      <c r="T4560" t="n">
        <v>16.1</v>
      </c>
      <c r="U4560" t="n">
        <v>277.19</v>
      </c>
      <c r="X4560" t="inlineStr">
        <is>
          <t>acoa-apeca</t>
        </is>
      </c>
      <c r="Y4560" t="inlineStr">
        <is>
          <t>Atlantic Canada Opportunities Agency | Agence de promotion économique du Canada atlantique</t>
        </is>
      </c>
    </row>
    <row r="4561">
      <c r="A4561" t="inlineStr">
        <is>
          <t>T-2019-Q2-00044</t>
        </is>
      </c>
      <c r="B4561" t="inlineStr">
        <is>
          <t>SLE</t>
        </is>
      </c>
      <c r="C4561" t="inlineStr">
        <is>
          <t>Vice-President, New Brunswick</t>
        </is>
      </c>
      <c r="D4561" t="inlineStr">
        <is>
          <t>Vice-président, Nouveau-Brunswick</t>
        </is>
      </c>
      <c r="E4561" t="inlineStr">
        <is>
          <t>Kent Estabrooks</t>
        </is>
      </c>
      <c r="F4561" t="inlineStr">
        <is>
          <t>Meeting with Agency officials and the Canadian Ambassador to Israel</t>
        </is>
      </c>
      <c r="G4561" t="inlineStr">
        <is>
          <t>Réunion avec des fonctionnaires de l'Agence et l'ambassadeur du Canada à Israël</t>
        </is>
      </c>
      <c r="H4561" s="1" t="n">
        <v>43338</v>
      </c>
      <c r="I4561" s="1" t="n">
        <v>43340</v>
      </c>
      <c r="J4561" t="inlineStr">
        <is>
          <t>Halifax, Nova Scotia</t>
        </is>
      </c>
      <c r="K4561" t="inlineStr">
        <is>
          <t>Halifax (Nouvelle-Écosse)</t>
        </is>
      </c>
      <c r="P4561" t="n">
        <v>0</v>
      </c>
      <c r="Q4561" t="n">
        <v>243.12</v>
      </c>
      <c r="R4561" t="n">
        <v>457.48</v>
      </c>
      <c r="S4561" t="n">
        <v>186.6</v>
      </c>
      <c r="T4561" t="n">
        <v>66.5</v>
      </c>
      <c r="U4561" t="n">
        <v>953.7</v>
      </c>
      <c r="X4561" t="inlineStr">
        <is>
          <t>acoa-apeca</t>
        </is>
      </c>
      <c r="Y4561" t="inlineStr">
        <is>
          <t>Atlantic Canada Opportunities Agency | Agence de promotion économique du Canada atlantique</t>
        </is>
      </c>
    </row>
    <row r="4562">
      <c r="A4562" t="inlineStr">
        <is>
          <t>T-2019-Q2-00043</t>
        </is>
      </c>
      <c r="B4562" t="inlineStr">
        <is>
          <t>SLE</t>
        </is>
      </c>
      <c r="C4562" t="inlineStr">
        <is>
          <t>Vice-President, New Brunswick</t>
        </is>
      </c>
      <c r="D4562" t="inlineStr">
        <is>
          <t>Vice-président, Nouveau-Brunswick</t>
        </is>
      </c>
      <c r="E4562" t="inlineStr">
        <is>
          <t>Kent Estabrooks</t>
        </is>
      </c>
      <c r="F4562" t="inlineStr">
        <is>
          <t>Meetings with various federal officials and Agency officials</t>
        </is>
      </c>
      <c r="G4562" t="inlineStr">
        <is>
          <t>Réunions avec divers fonctionnaires fédéraux et de l'Agence</t>
        </is>
      </c>
      <c r="H4562" s="1" t="n">
        <v>43335</v>
      </c>
      <c r="I4562" s="1" t="n">
        <v>43336</v>
      </c>
      <c r="J4562" t="inlineStr">
        <is>
          <t>Ottawa, Ontario</t>
        </is>
      </c>
      <c r="K4562" t="inlineStr">
        <is>
          <t>Ottawa (Ontario)</t>
        </is>
      </c>
      <c r="P4562" t="n">
        <v>692.3</v>
      </c>
      <c r="Q4562" t="n">
        <v>99</v>
      </c>
      <c r="R4562" t="n">
        <v>233.86</v>
      </c>
      <c r="S4562" t="n">
        <v>150.1</v>
      </c>
      <c r="T4562" t="n">
        <v>0</v>
      </c>
      <c r="U4562" t="n">
        <v>1175.26</v>
      </c>
      <c r="X4562" t="inlineStr">
        <is>
          <t>acoa-apeca</t>
        </is>
      </c>
      <c r="Y4562" t="inlineStr">
        <is>
          <t>Atlantic Canada Opportunities Agency | Agence de promotion économique du Canada atlantique</t>
        </is>
      </c>
    </row>
    <row r="4563">
      <c r="A4563" t="inlineStr">
        <is>
          <t>T-2019-Q2-00040</t>
        </is>
      </c>
      <c r="B4563" t="inlineStr">
        <is>
          <t>SLE</t>
        </is>
      </c>
      <c r="C4563" t="inlineStr">
        <is>
          <t>Vice-President, Newfoundland and Labrador</t>
        </is>
      </c>
      <c r="D4563" t="inlineStr">
        <is>
          <t>Vice-président, Terre-Neuve-et-Labrador</t>
        </is>
      </c>
      <c r="E4563" t="inlineStr">
        <is>
          <t>Ken Martin</t>
        </is>
      </c>
      <c r="F4563" t="inlineStr">
        <is>
          <t>Attend Executive Committee meeting</t>
        </is>
      </c>
      <c r="G4563" t="inlineStr">
        <is>
          <t>Assister à une réunion du Comité de direction</t>
        </is>
      </c>
      <c r="H4563" s="1" t="n">
        <v>43271</v>
      </c>
      <c r="I4563" s="1" t="n">
        <v>43272</v>
      </c>
      <c r="J4563" t="inlineStr">
        <is>
          <t>Moncton, New Brunswick</t>
        </is>
      </c>
      <c r="K4563" t="inlineStr">
        <is>
          <t>Moncton (Nouveau-Brunswick)</t>
        </is>
      </c>
      <c r="P4563" t="n">
        <v>1075.88</v>
      </c>
      <c r="Q4563" t="n">
        <v>191.63</v>
      </c>
      <c r="R4563" t="n">
        <v>179.4</v>
      </c>
      <c r="S4563" t="n">
        <v>150.35</v>
      </c>
      <c r="T4563" t="n">
        <v>0</v>
      </c>
      <c r="U4563" t="n">
        <v>1597.26</v>
      </c>
      <c r="X4563" t="inlineStr">
        <is>
          <t>acoa-apeca</t>
        </is>
      </c>
      <c r="Y4563" t="inlineStr">
        <is>
          <t>Atlantic Canada Opportunities Agency | Agence de promotion économique du Canada atlantique</t>
        </is>
      </c>
    </row>
    <row r="4564">
      <c r="A4564" t="inlineStr">
        <is>
          <t>T-2019-Q2-00039</t>
        </is>
      </c>
      <c r="B4564" t="inlineStr">
        <is>
          <t>SLE</t>
        </is>
      </c>
      <c r="C4564" t="inlineStr">
        <is>
          <t>Vice-President, Nova Scotia</t>
        </is>
      </c>
      <c r="D4564" t="inlineStr">
        <is>
          <t>Vice-président, Nouvelle-Écosse</t>
        </is>
      </c>
      <c r="E4564" t="inlineStr">
        <is>
          <t>Chuck Maillet</t>
        </is>
      </c>
      <c r="F4564" t="inlineStr">
        <is>
          <t>Various meetings with Government of Norway officials, Government of Canada officials and stakeholders</t>
        </is>
      </c>
      <c r="G4564" t="inlineStr">
        <is>
          <t>Diverses réunions avec des fonctionnaires des gouvernements norvégien et canadien et des intervenants</t>
        </is>
      </c>
      <c r="H4564" s="1" t="n">
        <v>43275</v>
      </c>
      <c r="I4564" s="1" t="n">
        <v>43281</v>
      </c>
      <c r="J4564" t="inlineStr">
        <is>
          <t>Oslo and Bergen, Norway</t>
        </is>
      </c>
      <c r="K4564" t="inlineStr">
        <is>
          <t>Oslo et Bergen (Norvège)</t>
        </is>
      </c>
      <c r="P4564" t="n">
        <v>3105.03</v>
      </c>
      <c r="Q4564" t="n">
        <v>351.28</v>
      </c>
      <c r="R4564" t="n">
        <v>1624.44</v>
      </c>
      <c r="S4564" t="n">
        <v>987.17</v>
      </c>
      <c r="T4564" t="n">
        <v>0</v>
      </c>
      <c r="U4564" t="n">
        <v>6067.92</v>
      </c>
      <c r="X4564" t="inlineStr">
        <is>
          <t>acoa-apeca</t>
        </is>
      </c>
      <c r="Y4564" t="inlineStr">
        <is>
          <t>Atlantic Canada Opportunities Agency | Agence de promotion économique du Canada atlantique</t>
        </is>
      </c>
    </row>
    <row r="4565">
      <c r="A4565" t="inlineStr">
        <is>
          <t>T-2019-Q2-00038</t>
        </is>
      </c>
      <c r="B4565" t="inlineStr">
        <is>
          <t>SLE</t>
        </is>
      </c>
      <c r="C4565" t="inlineStr">
        <is>
          <t>Vice-President, Nova Scotia</t>
        </is>
      </c>
      <c r="D4565" t="inlineStr">
        <is>
          <t>Vice-président, Nouvelle-Écosse</t>
        </is>
      </c>
      <c r="E4565" t="inlineStr">
        <is>
          <t>Chuck Maillet</t>
        </is>
      </c>
      <c r="F4565" t="inlineStr">
        <is>
          <t>Various meetings with Agency officials and stakeholders</t>
        </is>
      </c>
      <c r="G4565" t="inlineStr">
        <is>
          <t>Diverses réunions avec des fonctionnaires de l'Agence et des intervenants</t>
        </is>
      </c>
      <c r="H4565" s="1" t="n">
        <v>43341</v>
      </c>
      <c r="I4565" s="1" t="n">
        <v>43342</v>
      </c>
      <c r="J4565" t="inlineStr">
        <is>
          <t>Sydney, Nova Scotia</t>
        </is>
      </c>
      <c r="K4565" t="inlineStr">
        <is>
          <t>Sydney (Nouvelle-Écosse)</t>
        </is>
      </c>
      <c r="P4565" t="n">
        <v>560.5700000000001</v>
      </c>
      <c r="Q4565" t="n">
        <v>15</v>
      </c>
      <c r="R4565" t="n">
        <v>164.47</v>
      </c>
      <c r="S4565" t="n">
        <v>140.85</v>
      </c>
      <c r="T4565" t="n">
        <v>0</v>
      </c>
      <c r="U4565" t="n">
        <v>880.89</v>
      </c>
      <c r="X4565" t="inlineStr">
        <is>
          <t>acoa-apeca</t>
        </is>
      </c>
      <c r="Y4565" t="inlineStr">
        <is>
          <t>Atlantic Canada Opportunities Agency | Agence de promotion économique du Canada atlantique</t>
        </is>
      </c>
    </row>
    <row r="4566">
      <c r="A4566" t="inlineStr">
        <is>
          <t>T-2019-Q2-00037</t>
        </is>
      </c>
      <c r="B4566" t="inlineStr">
        <is>
          <t>SLE</t>
        </is>
      </c>
      <c r="C4566" t="inlineStr">
        <is>
          <t>Vice-President, Nova Scotia</t>
        </is>
      </c>
      <c r="D4566" t="inlineStr">
        <is>
          <t>Vice-président, Nouvelle-Écosse</t>
        </is>
      </c>
      <c r="E4566" t="inlineStr">
        <is>
          <t>Chuck Maillet</t>
        </is>
      </c>
      <c r="F4566" t="inlineStr">
        <is>
          <t>Various meetings with Agency and Government of Canada officials</t>
        </is>
      </c>
      <c r="G4566" t="inlineStr">
        <is>
          <t>Diverses réunions avec des fonctionnaires de l'Agence et du gouvernement du Canada</t>
        </is>
      </c>
      <c r="H4566" s="1" t="n">
        <v>43271</v>
      </c>
      <c r="I4566" s="1" t="n">
        <v>43273</v>
      </c>
      <c r="J4566" t="inlineStr">
        <is>
          <t>Moncton, New Brunswick</t>
        </is>
      </c>
      <c r="K4566" t="inlineStr">
        <is>
          <t>Moncton (Nouveau-Brunswick)</t>
        </is>
      </c>
      <c r="P4566" t="n">
        <v>0</v>
      </c>
      <c r="Q4566" t="n">
        <v>32.2</v>
      </c>
      <c r="R4566" t="n">
        <v>326.6</v>
      </c>
      <c r="S4566" t="n">
        <v>206.3</v>
      </c>
      <c r="T4566" t="n">
        <v>0</v>
      </c>
      <c r="U4566" t="n">
        <v>565.1</v>
      </c>
      <c r="X4566" t="inlineStr">
        <is>
          <t>acoa-apeca</t>
        </is>
      </c>
      <c r="Y4566" t="inlineStr">
        <is>
          <t>Atlantic Canada Opportunities Agency | Agence de promotion économique du Canada atlantique</t>
        </is>
      </c>
    </row>
    <row r="4567">
      <c r="A4567" t="inlineStr">
        <is>
          <t>T-2019-Q2-00036</t>
        </is>
      </c>
      <c r="B4567" t="inlineStr">
        <is>
          <t>SLE</t>
        </is>
      </c>
      <c r="C4567" t="inlineStr">
        <is>
          <t>Vice-President, Nova Scotia</t>
        </is>
      </c>
      <c r="D4567" t="inlineStr">
        <is>
          <t>Vice-président, Nouvelle-Écosse</t>
        </is>
      </c>
      <c r="E4567" t="inlineStr">
        <is>
          <t>Chuck Maillet</t>
        </is>
      </c>
      <c r="F4567" t="inlineStr">
        <is>
          <t>Various meetings and a regional tour with Government of Canada officials and stakeholders</t>
        </is>
      </c>
      <c r="G4567" t="inlineStr">
        <is>
          <t>Diverses réunions et visite régionale avec des fonctionnaires du gouvernement du Canada et des intervenants</t>
        </is>
      </c>
      <c r="H4567" s="1" t="n">
        <v>43261</v>
      </c>
      <c r="I4567" s="1" t="n">
        <v>43264</v>
      </c>
      <c r="J4567" t="inlineStr">
        <is>
          <t>St. John's, Port Rexton and Bonavista, Newfoundland and Labrador</t>
        </is>
      </c>
      <c r="K4567" t="inlineStr">
        <is>
          <t>St. John's, Port Rexton et Bonavista (Terre-Neuve-et-Labrador)</t>
        </is>
      </c>
      <c r="P4567" t="n">
        <v>736.75</v>
      </c>
      <c r="Q4567" t="n">
        <v>155</v>
      </c>
      <c r="R4567" t="n">
        <v>721.55</v>
      </c>
      <c r="S4567" t="n">
        <v>365.1</v>
      </c>
      <c r="T4567" t="n">
        <v>0</v>
      </c>
      <c r="U4567" t="n">
        <v>1978.4</v>
      </c>
      <c r="X4567" t="inlineStr">
        <is>
          <t>acoa-apeca</t>
        </is>
      </c>
      <c r="Y4567" t="inlineStr">
        <is>
          <t>Atlantic Canada Opportunities Agency | Agence de promotion économique du Canada atlantique</t>
        </is>
      </c>
    </row>
    <row r="4568">
      <c r="A4568" t="inlineStr">
        <is>
          <t>T-2019-Q2-00033</t>
        </is>
      </c>
      <c r="B4568" t="inlineStr">
        <is>
          <t>SLE</t>
        </is>
      </c>
      <c r="C4568" t="inlineStr">
        <is>
          <t>Vice-President, Newfoundland and Labrador</t>
        </is>
      </c>
      <c r="D4568" t="inlineStr">
        <is>
          <t>Vice-président, Terre-Neuve-et-Labrador</t>
        </is>
      </c>
      <c r="E4568" t="inlineStr">
        <is>
          <t>Ken Martin</t>
        </is>
      </c>
      <c r="F4568" t="inlineStr">
        <is>
          <t>Attend meetings with senior government and industry officials in Ottawa and Halifax</t>
        </is>
      </c>
      <c r="G4568" t="inlineStr">
        <is>
          <t>Assister à des réunions  avec des cadres supérieurs du gouvernement et de l'industrie à Ottawa et à Halifax</t>
        </is>
      </c>
      <c r="H4568" s="1" t="n">
        <v>43334</v>
      </c>
      <c r="I4568" s="1" t="n">
        <v>43335</v>
      </c>
      <c r="J4568" t="inlineStr">
        <is>
          <t>Ottawa, Ontario / Halifax, Nova Scotia</t>
        </is>
      </c>
      <c r="K4568" t="inlineStr">
        <is>
          <t>Ottawa (Ontario) / Halifax (Nouvelle-Écosse)</t>
        </is>
      </c>
      <c r="P4568" t="n">
        <v>1417.59</v>
      </c>
      <c r="Q4568" t="n">
        <v>229</v>
      </c>
      <c r="R4568" t="n">
        <v>209.43</v>
      </c>
      <c r="S4568" t="n">
        <v>188.75</v>
      </c>
      <c r="T4568" t="n">
        <v>0</v>
      </c>
      <c r="U4568" t="n">
        <v>2044.77</v>
      </c>
      <c r="X4568" t="inlineStr">
        <is>
          <t>acoa-apeca</t>
        </is>
      </c>
      <c r="Y4568" t="inlineStr">
        <is>
          <t>Atlantic Canada Opportunities Agency | Agence de promotion économique du Canada atlantique</t>
        </is>
      </c>
    </row>
    <row r="4569">
      <c r="A4569" t="inlineStr">
        <is>
          <t>T-2019-Q2-00032</t>
        </is>
      </c>
      <c r="B4569" t="inlineStr">
        <is>
          <t>SLE</t>
        </is>
      </c>
      <c r="C4569" t="inlineStr">
        <is>
          <t>Vice-President, Finance and Corporate Services</t>
        </is>
      </c>
      <c r="D4569" t="inlineStr">
        <is>
          <t>Vice-président, Finance et Services corporatifs</t>
        </is>
      </c>
      <c r="E4569" t="inlineStr">
        <is>
          <t>Stephane Lagace</t>
        </is>
      </c>
      <c r="F4569" t="inlineStr">
        <is>
          <t>Meeting with Agency officials and officials from other federal departments</t>
        </is>
      </c>
      <c r="G4569" t="inlineStr">
        <is>
          <t>Réunion avec des fonctionnaires de l'Agence et d'autres ministères fédéraux</t>
        </is>
      </c>
      <c r="H4569" s="1" t="n">
        <v>43342</v>
      </c>
      <c r="I4569" s="1" t="n">
        <v>43342</v>
      </c>
      <c r="J4569" t="inlineStr">
        <is>
          <t>Ottawa, Ontario</t>
        </is>
      </c>
      <c r="K4569" t="inlineStr">
        <is>
          <t>Ottawa (Ontario)</t>
        </is>
      </c>
      <c r="P4569" t="n">
        <v>448.33</v>
      </c>
      <c r="Q4569" t="n">
        <v>0</v>
      </c>
      <c r="R4569" t="n">
        <v>0</v>
      </c>
      <c r="S4569" t="n">
        <v>67.34999999999999</v>
      </c>
      <c r="T4569" t="n">
        <v>16</v>
      </c>
      <c r="U4569" t="n">
        <v>531.6799999999999</v>
      </c>
      <c r="X4569" t="inlineStr">
        <is>
          <t>acoa-apeca</t>
        </is>
      </c>
      <c r="Y4569" t="inlineStr">
        <is>
          <t>Atlantic Canada Opportunities Agency | Agence de promotion économique du Canada atlantique</t>
        </is>
      </c>
    </row>
    <row r="4570">
      <c r="A4570" t="inlineStr">
        <is>
          <t>T-2019-Q2-00031</t>
        </is>
      </c>
      <c r="B4570" t="inlineStr">
        <is>
          <t>SLE</t>
        </is>
      </c>
      <c r="C4570" t="inlineStr">
        <is>
          <t>Vice-President, Prince Edward Island</t>
        </is>
      </c>
      <c r="D4570" t="inlineStr">
        <is>
          <t>Vice-président, Île-du-Prince-Édouard</t>
        </is>
      </c>
      <c r="E4570" t="inlineStr">
        <is>
          <t>Patrick Dorsey</t>
        </is>
      </c>
      <c r="F4570" t="inlineStr">
        <is>
          <t>Meetings with Agency officials and key stakeholders</t>
        </is>
      </c>
      <c r="G4570" t="inlineStr">
        <is>
          <t>Réunions avec des fonctionnaires de l'Agence et des intervenants clés</t>
        </is>
      </c>
      <c r="H4570" s="1" t="n">
        <v>43319</v>
      </c>
      <c r="I4570" s="1" t="n">
        <v>43321</v>
      </c>
      <c r="J4570" t="inlineStr">
        <is>
          <t>Brudenell, Prince Edward Island</t>
        </is>
      </c>
      <c r="K4570" t="inlineStr">
        <is>
          <t>Brudenell (Île-du-Prince-Édouard)</t>
        </is>
      </c>
      <c r="P4570" t="n">
        <v>0</v>
      </c>
      <c r="Q4570" t="n">
        <v>0</v>
      </c>
      <c r="R4570" t="n">
        <v>464.6</v>
      </c>
      <c r="S4570" t="n">
        <v>51.9</v>
      </c>
      <c r="T4570" t="n">
        <v>69.05</v>
      </c>
      <c r="U4570" t="n">
        <v>585.55</v>
      </c>
      <c r="X4570" t="inlineStr">
        <is>
          <t>acoa-apeca</t>
        </is>
      </c>
      <c r="Y4570" t="inlineStr">
        <is>
          <t>Atlantic Canada Opportunities Agency | Agence de promotion économique du Canada atlantique</t>
        </is>
      </c>
    </row>
    <row r="4571">
      <c r="A4571" t="inlineStr">
        <is>
          <t>T-2019-Q2-00030</t>
        </is>
      </c>
      <c r="B4571" t="inlineStr">
        <is>
          <t>SLE</t>
        </is>
      </c>
      <c r="C4571" t="inlineStr">
        <is>
          <t>Vice-President, Newfoundland and Labrador</t>
        </is>
      </c>
      <c r="D4571" t="inlineStr">
        <is>
          <t>Vice-président, Terre-Neuve-et-Labrador</t>
        </is>
      </c>
      <c r="E4571" t="inlineStr">
        <is>
          <t>Ken Martin</t>
        </is>
      </c>
      <c r="F4571" t="inlineStr">
        <is>
          <t>Attend client site visit in Holyrood</t>
        </is>
      </c>
      <c r="G4571" t="inlineStr">
        <is>
          <t>Assister à une visite chez un client à Holyrood</t>
        </is>
      </c>
      <c r="H4571" s="1" t="n">
        <v>43301</v>
      </c>
      <c r="I4571" s="1" t="n">
        <v>43301</v>
      </c>
      <c r="J4571" t="inlineStr">
        <is>
          <t>Holyrood, Newfoundland and Labrador</t>
        </is>
      </c>
      <c r="K4571" t="inlineStr">
        <is>
          <t>Holyrood (Terre-Neuve-et-Labrador)</t>
        </is>
      </c>
      <c r="P4571" t="n">
        <v>0</v>
      </c>
      <c r="Q4571" t="n">
        <v>53.58</v>
      </c>
      <c r="R4571" t="n">
        <v>0</v>
      </c>
      <c r="S4571" t="n">
        <v>19.2</v>
      </c>
      <c r="T4571" t="n">
        <v>0</v>
      </c>
      <c r="U4571" t="n">
        <v>72.78</v>
      </c>
      <c r="X4571" t="inlineStr">
        <is>
          <t>acoa-apeca</t>
        </is>
      </c>
      <c r="Y4571" t="inlineStr">
        <is>
          <t>Atlantic Canada Opportunities Agency | Agence de promotion économique du Canada atlantique</t>
        </is>
      </c>
    </row>
    <row r="4572">
      <c r="A4572" t="inlineStr">
        <is>
          <t>T-2019-Q2-00029</t>
        </is>
      </c>
      <c r="B4572" t="inlineStr">
        <is>
          <t>SLE</t>
        </is>
      </c>
      <c r="C4572" t="inlineStr">
        <is>
          <t>Vice-President, Newfoundland and Labrador</t>
        </is>
      </c>
      <c r="D4572" t="inlineStr">
        <is>
          <t>Vice-président, Terre-Neuve-et-Labrador</t>
        </is>
      </c>
      <c r="E4572" t="inlineStr">
        <is>
          <t>Ken Martin</t>
        </is>
      </c>
      <c r="F4572" t="inlineStr">
        <is>
          <t>Travel to Norway for various meetings with Government of Norway officials, Government of Canada officials and key stakeholders</t>
        </is>
      </c>
      <c r="G4572" t="inlineStr">
        <is>
          <t>Aller en Norvège pour des réunions avec des fonctionnaires des gouvernements norvégien et canadien et des intervenants clés</t>
        </is>
      </c>
      <c r="H4572" s="1" t="n">
        <v>43275</v>
      </c>
      <c r="I4572" s="1" t="n">
        <v>43282</v>
      </c>
      <c r="J4572" t="inlineStr">
        <is>
          <t>Bergen, Norway and Oslo, Norway</t>
        </is>
      </c>
      <c r="K4572" t="inlineStr">
        <is>
          <t>Bergen (Norvège) et Oslo (Norvège)</t>
        </is>
      </c>
      <c r="P4572" t="n">
        <v>4446.91</v>
      </c>
      <c r="Q4572" t="n">
        <v>242.65</v>
      </c>
      <c r="R4572" t="n">
        <v>2197.88</v>
      </c>
      <c r="S4572" t="n">
        <v>1404.52</v>
      </c>
      <c r="T4572" t="n">
        <v>5</v>
      </c>
      <c r="U4572" t="n">
        <v>8296.959999999999</v>
      </c>
      <c r="X4572" t="inlineStr">
        <is>
          <t>acoa-apeca</t>
        </is>
      </c>
      <c r="Y4572" t="inlineStr">
        <is>
          <t>Atlantic Canada Opportunities Agency | Agence de promotion économique du Canada atlantique</t>
        </is>
      </c>
    </row>
    <row r="4573">
      <c r="A4573" t="inlineStr">
        <is>
          <t>T-2019-Q2-00027</t>
        </is>
      </c>
      <c r="B4573" t="inlineStr">
        <is>
          <t>SLE</t>
        </is>
      </c>
      <c r="C4573" t="inlineStr">
        <is>
          <t>Vice-President, Finance and Corporate Services</t>
        </is>
      </c>
      <c r="D4573" t="inlineStr">
        <is>
          <t>Vice-président, Finance et Services corporatifs</t>
        </is>
      </c>
      <c r="E4573" t="inlineStr">
        <is>
          <t>Stephane Lagace</t>
        </is>
      </c>
      <c r="F4573" t="inlineStr">
        <is>
          <t>Meetings with Government of Canada officials</t>
        </is>
      </c>
      <c r="G4573" t="inlineStr">
        <is>
          <t>Réunions avec des fonctionnaires du gouvernement du Canada</t>
        </is>
      </c>
      <c r="H4573" s="1" t="n">
        <v>43291</v>
      </c>
      <c r="I4573" s="1" t="n">
        <v>43292</v>
      </c>
      <c r="J4573" t="inlineStr">
        <is>
          <t>Ottawa, Ontario</t>
        </is>
      </c>
      <c r="K4573" t="inlineStr">
        <is>
          <t>Ottawa (Ontario)</t>
        </is>
      </c>
      <c r="P4573" t="n">
        <v>415.1</v>
      </c>
      <c r="Q4573" t="n">
        <v>123</v>
      </c>
      <c r="R4573" t="n">
        <v>222.11</v>
      </c>
      <c r="S4573" t="n">
        <v>160.05</v>
      </c>
      <c r="T4573" t="n">
        <v>32</v>
      </c>
      <c r="U4573" t="n">
        <v>952.26</v>
      </c>
      <c r="X4573" t="inlineStr">
        <is>
          <t>acoa-apeca</t>
        </is>
      </c>
      <c r="Y4573" t="inlineStr">
        <is>
          <t>Atlantic Canada Opportunities Agency | Agence de promotion économique du Canada atlantique</t>
        </is>
      </c>
    </row>
    <row r="4574">
      <c r="A4574" t="inlineStr">
        <is>
          <t>T-2019-Q2-00026</t>
        </is>
      </c>
      <c r="B4574" t="inlineStr">
        <is>
          <t>SLE</t>
        </is>
      </c>
      <c r="C4574" t="inlineStr">
        <is>
          <t>Vice-President, Finance and Corporate Services</t>
        </is>
      </c>
      <c r="D4574" t="inlineStr">
        <is>
          <t>Vice-président, Finance et Services corporatifs</t>
        </is>
      </c>
      <c r="E4574" t="inlineStr">
        <is>
          <t>Stephane Lagace</t>
        </is>
      </c>
      <c r="F4574" t="inlineStr">
        <is>
          <t>Various meetings with Agency officials</t>
        </is>
      </c>
      <c r="G4574" t="inlineStr">
        <is>
          <t>Diverses réunions avec des fonctionnaires de l'Agence</t>
        </is>
      </c>
      <c r="H4574" s="1" t="n">
        <v>43284</v>
      </c>
      <c r="I4574" s="1" t="n">
        <v>43285</v>
      </c>
      <c r="J4574" t="inlineStr">
        <is>
          <t>St. John's, Newfoundland and Labrador</t>
        </is>
      </c>
      <c r="K4574" t="inlineStr">
        <is>
          <t>St. John's (Terre-Neuve-et-Labrador)</t>
        </is>
      </c>
      <c r="P4574" t="n">
        <v>896.71</v>
      </c>
      <c r="Q4574" t="n">
        <v>37.31</v>
      </c>
      <c r="R4574" t="n">
        <v>220.15</v>
      </c>
      <c r="S4574" t="n">
        <v>160.05</v>
      </c>
      <c r="T4574" t="n">
        <v>32</v>
      </c>
      <c r="U4574" t="n">
        <v>1346.22</v>
      </c>
      <c r="X4574" t="inlineStr">
        <is>
          <t>acoa-apeca</t>
        </is>
      </c>
      <c r="Y4574" t="inlineStr">
        <is>
          <t>Atlantic Canada Opportunities Agency | Agence de promotion économique du Canada atlantique</t>
        </is>
      </c>
    </row>
    <row r="4575">
      <c r="A4575" t="inlineStr">
        <is>
          <t>T-2019-Q2-00024</t>
        </is>
      </c>
      <c r="B4575" t="inlineStr">
        <is>
          <t>SLE</t>
        </is>
      </c>
      <c r="C4575" t="inlineStr">
        <is>
          <t>Vice-President, Prince Edward Island</t>
        </is>
      </c>
      <c r="D4575" t="inlineStr">
        <is>
          <t>Vice-président, Île-du-Prince-Édouard</t>
        </is>
      </c>
      <c r="E4575" t="inlineStr">
        <is>
          <t>Patrick Dorsey</t>
        </is>
      </c>
      <c r="F4575" t="inlineStr">
        <is>
          <t>Meeting with provincial stakeholders</t>
        </is>
      </c>
      <c r="G4575" t="inlineStr">
        <is>
          <t>Réunion avec des intervenants provinciaux</t>
        </is>
      </c>
      <c r="H4575" s="1" t="n">
        <v>43305</v>
      </c>
      <c r="I4575" s="1" t="n">
        <v>43306</v>
      </c>
      <c r="J4575" t="inlineStr">
        <is>
          <t>Mill River, Prince Edward Island</t>
        </is>
      </c>
      <c r="K4575" t="inlineStr">
        <is>
          <t>Mill River (Île-du-Prince-Édouard)</t>
        </is>
      </c>
      <c r="P4575" t="n">
        <v>0</v>
      </c>
      <c r="Q4575" t="n">
        <v>0</v>
      </c>
      <c r="R4575" t="n">
        <v>0</v>
      </c>
      <c r="S4575" t="n">
        <v>101.95</v>
      </c>
      <c r="T4575" t="n">
        <v>0</v>
      </c>
      <c r="U4575" t="n">
        <v>101.95</v>
      </c>
      <c r="X4575" t="inlineStr">
        <is>
          <t>acoa-apeca</t>
        </is>
      </c>
      <c r="Y4575" t="inlineStr">
        <is>
          <t>Atlantic Canada Opportunities Agency | Agence de promotion économique du Canada atlantique</t>
        </is>
      </c>
    </row>
    <row r="4576">
      <c r="A4576" t="inlineStr">
        <is>
          <t>T-2019-Q2-00023</t>
        </is>
      </c>
      <c r="B4576" t="inlineStr">
        <is>
          <t>SLE</t>
        </is>
      </c>
      <c r="C4576" t="inlineStr">
        <is>
          <t>Vice-President, Policy, Programs and Communications</t>
        </is>
      </c>
      <c r="D4576" t="inlineStr">
        <is>
          <t>Vice-président, Politiques et Programmes</t>
        </is>
      </c>
      <c r="E4576" t="inlineStr">
        <is>
          <t>Daryell Nowlan</t>
        </is>
      </c>
      <c r="F4576" t="inlineStr">
        <is>
          <t>Meeting with Government of Canada officials</t>
        </is>
      </c>
      <c r="G4576" t="inlineStr">
        <is>
          <t>Réunion avec des fonctionnaires du gouvernement du Canada</t>
        </is>
      </c>
      <c r="H4576" s="1" t="n">
        <v>43308</v>
      </c>
      <c r="I4576" s="1" t="n">
        <v>43308</v>
      </c>
      <c r="J4576" t="inlineStr">
        <is>
          <t>Halifax, Nova Scotia</t>
        </is>
      </c>
      <c r="K4576" t="inlineStr">
        <is>
          <t>Halifax (Nouvelle-Écosse)</t>
        </is>
      </c>
      <c r="P4576" t="n">
        <v>0</v>
      </c>
      <c r="Q4576" t="n">
        <v>94.91</v>
      </c>
      <c r="R4576" t="n">
        <v>0</v>
      </c>
      <c r="S4576" t="n">
        <v>67.34999999999999</v>
      </c>
      <c r="T4576" t="n">
        <v>0</v>
      </c>
      <c r="U4576" t="n">
        <v>162.26</v>
      </c>
      <c r="X4576" t="inlineStr">
        <is>
          <t>acoa-apeca</t>
        </is>
      </c>
      <c r="Y4576" t="inlineStr">
        <is>
          <t>Atlantic Canada Opportunities Agency | Agence de promotion économique du Canada atlantique</t>
        </is>
      </c>
    </row>
    <row r="4577">
      <c r="A4577" t="inlineStr">
        <is>
          <t>T-2019-Q2-00022</t>
        </is>
      </c>
      <c r="B4577" t="inlineStr">
        <is>
          <t>SLE</t>
        </is>
      </c>
      <c r="C4577" t="inlineStr">
        <is>
          <t>President</t>
        </is>
      </c>
      <c r="D4577" t="inlineStr">
        <is>
          <t>Président</t>
        </is>
      </c>
      <c r="E4577" t="inlineStr">
        <is>
          <t>Francis McGuire</t>
        </is>
      </c>
      <c r="F4577" t="inlineStr">
        <is>
          <t>Travel to Norway for various meetings with Government of Norway officials, Government of Canada officials and key stakeholders</t>
        </is>
      </c>
      <c r="G4577" t="inlineStr">
        <is>
          <t>Voyage en Norvège pour diverses réunions  avec des fonctionnaires des gouvernements norvégien et canadien et des intervenants clés</t>
        </is>
      </c>
      <c r="H4577" s="1" t="n">
        <v>43275</v>
      </c>
      <c r="I4577" s="1" t="n">
        <v>43281</v>
      </c>
      <c r="J4577" t="inlineStr">
        <is>
          <t>Bergen, Norway and Oslo, Norway</t>
        </is>
      </c>
      <c r="K4577" t="inlineStr">
        <is>
          <t>Bergen (Norvège) et Oslo (Norvège)</t>
        </is>
      </c>
      <c r="P4577" t="n">
        <v>11442.42</v>
      </c>
      <c r="Q4577" t="n">
        <v>331.7</v>
      </c>
      <c r="R4577" t="n">
        <v>1571.13</v>
      </c>
      <c r="S4577" t="n">
        <v>1078.35</v>
      </c>
      <c r="T4577" t="n">
        <v>0</v>
      </c>
      <c r="U4577" t="n">
        <v>14423.6</v>
      </c>
      <c r="X4577" t="inlineStr">
        <is>
          <t>acoa-apeca</t>
        </is>
      </c>
      <c r="Y4577" t="inlineStr">
        <is>
          <t>Atlantic Canada Opportunities Agency | Agence de promotion économique du Canada atlantique</t>
        </is>
      </c>
    </row>
    <row r="4578">
      <c r="A4578" t="inlineStr">
        <is>
          <t>T-2019-Q2-00021</t>
        </is>
      </c>
      <c r="B4578" t="inlineStr">
        <is>
          <t>SLE</t>
        </is>
      </c>
      <c r="C4578" t="inlineStr">
        <is>
          <t>Vice-President, Policy, Programs and Communications</t>
        </is>
      </c>
      <c r="D4578" t="inlineStr">
        <is>
          <t>Vice-président, Politiques et Programmes</t>
        </is>
      </c>
      <c r="E4578" t="inlineStr">
        <is>
          <t>Daryell Nowlan</t>
        </is>
      </c>
      <c r="F4578" t="inlineStr">
        <is>
          <t>Farnborough International Airshow 2018</t>
        </is>
      </c>
      <c r="G4578" t="inlineStr">
        <is>
          <t>Salon international de l'aéronautique de Farnborough 2018</t>
        </is>
      </c>
      <c r="H4578" s="1" t="n">
        <v>43292</v>
      </c>
      <c r="I4578" s="1" t="n">
        <v>43300</v>
      </c>
      <c r="J4578" t="inlineStr">
        <is>
          <t>London, United Kingdom</t>
        </is>
      </c>
      <c r="K4578" t="inlineStr">
        <is>
          <t>Londres (Royaume-Uni)</t>
        </is>
      </c>
      <c r="P4578" t="n">
        <v>1382.76</v>
      </c>
      <c r="Q4578" t="n">
        <v>358.29</v>
      </c>
      <c r="R4578" t="n">
        <v>2472.25</v>
      </c>
      <c r="S4578" t="n">
        <v>1048.41</v>
      </c>
      <c r="T4578" t="n">
        <v>0</v>
      </c>
      <c r="U4578" t="n">
        <v>5261.71</v>
      </c>
      <c r="X4578" t="inlineStr">
        <is>
          <t>acoa-apeca</t>
        </is>
      </c>
      <c r="Y4578" t="inlineStr">
        <is>
          <t>Atlantic Canada Opportunities Agency | Agence de promotion économique du Canada atlantique</t>
        </is>
      </c>
    </row>
    <row r="4579">
      <c r="A4579" t="inlineStr">
        <is>
          <t>T-2019-Q2-00020</t>
        </is>
      </c>
      <c r="B4579" t="inlineStr">
        <is>
          <t>SLE</t>
        </is>
      </c>
      <c r="C4579" t="inlineStr">
        <is>
          <t>President</t>
        </is>
      </c>
      <c r="D4579" t="inlineStr">
        <is>
          <t>Président</t>
        </is>
      </c>
      <c r="E4579" t="inlineStr">
        <is>
          <t>Francis McGuire</t>
        </is>
      </c>
      <c r="F4579" t="inlineStr">
        <is>
          <t>N.B. event with key stakeholders</t>
        </is>
      </c>
      <c r="G4579" t="inlineStr">
        <is>
          <t>Activité du N.-B. avec des intervenants clés</t>
        </is>
      </c>
      <c r="H4579" s="1" t="n">
        <v>43298</v>
      </c>
      <c r="I4579" s="1" t="n">
        <v>43298</v>
      </c>
      <c r="J4579" t="inlineStr">
        <is>
          <t>Saint John, New Brunswick</t>
        </is>
      </c>
      <c r="K4579" t="inlineStr">
        <is>
          <t>Saint John (Nouveau-Brunswick)</t>
        </is>
      </c>
      <c r="P4579" t="n">
        <v>0</v>
      </c>
      <c r="Q4579" t="n">
        <v>118.19</v>
      </c>
      <c r="R4579" t="n">
        <v>0</v>
      </c>
      <c r="S4579" t="n">
        <v>19.2</v>
      </c>
      <c r="T4579" t="n">
        <v>7.5</v>
      </c>
      <c r="U4579" t="n">
        <v>144.89</v>
      </c>
      <c r="X4579" t="inlineStr">
        <is>
          <t>acoa-apeca</t>
        </is>
      </c>
      <c r="Y4579" t="inlineStr">
        <is>
          <t>Atlantic Canada Opportunities Agency | Agence de promotion économique du Canada atlantique</t>
        </is>
      </c>
    </row>
    <row r="4580">
      <c r="A4580" t="inlineStr">
        <is>
          <t>T-2019-Q2-00019</t>
        </is>
      </c>
      <c r="B4580" t="inlineStr">
        <is>
          <t>SLE</t>
        </is>
      </c>
      <c r="C4580" t="inlineStr">
        <is>
          <t>President</t>
        </is>
      </c>
      <c r="D4580" t="inlineStr">
        <is>
          <t>Président</t>
        </is>
      </c>
      <c r="E4580" t="inlineStr">
        <is>
          <t>Francis McGuire</t>
        </is>
      </c>
      <c r="F4580" t="inlineStr">
        <is>
          <t>Networking events with Government of Canada officials and key stakeholders</t>
        </is>
      </c>
      <c r="G4580" t="inlineStr">
        <is>
          <t>Activités de réseautage avec des fonctionnaires du gouvernement du Canada et des intervenants clés</t>
        </is>
      </c>
      <c r="H4580" s="1" t="n">
        <v>43289</v>
      </c>
      <c r="I4580" s="1" t="n">
        <v>43291</v>
      </c>
      <c r="J4580" t="inlineStr">
        <is>
          <t>Fox Harbour, Nova Scotia / Summerside, Prince Edward Island</t>
        </is>
      </c>
      <c r="K4580" t="inlineStr">
        <is>
          <t>Fox Harbour (Nouvelle-Écosse) / Summerside (Île-du-Prince-Édouard)</t>
        </is>
      </c>
      <c r="P4580" t="n">
        <v>0</v>
      </c>
      <c r="Q4580" t="n">
        <v>325.42</v>
      </c>
      <c r="R4580" t="n">
        <v>474.75</v>
      </c>
      <c r="S4580" t="n">
        <v>138.7</v>
      </c>
      <c r="T4580" t="n">
        <v>0</v>
      </c>
      <c r="U4580" t="n">
        <v>938.87</v>
      </c>
      <c r="X4580" t="inlineStr">
        <is>
          <t>acoa-apeca</t>
        </is>
      </c>
      <c r="Y4580" t="inlineStr">
        <is>
          <t>Atlantic Canada Opportunities Agency | Agence de promotion économique du Canada atlantique</t>
        </is>
      </c>
    </row>
    <row r="4581">
      <c r="A4581" t="inlineStr">
        <is>
          <t>T-2019-Q2-00018</t>
        </is>
      </c>
      <c r="B4581" t="inlineStr">
        <is>
          <t>SLE</t>
        </is>
      </c>
      <c r="C4581" t="inlineStr">
        <is>
          <t>Vice-President, Prince Edward Island</t>
        </is>
      </c>
      <c r="D4581" t="inlineStr">
        <is>
          <t>Vice-président, Île-du-Prince-Édouard</t>
        </is>
      </c>
      <c r="E4581" t="inlineStr">
        <is>
          <t>Patrick Dorsey</t>
        </is>
      </c>
      <c r="F4581" t="inlineStr">
        <is>
          <t>Meetings with provincial and Government of Canada officials</t>
        </is>
      </c>
      <c r="G4581" t="inlineStr">
        <is>
          <t>Réunions avec des fonctionnaires provinciaux et du gouvernement du Canada</t>
        </is>
      </c>
      <c r="H4581" s="1" t="n">
        <v>43290</v>
      </c>
      <c r="I4581" s="1" t="n">
        <v>43291</v>
      </c>
      <c r="J4581" t="inlineStr">
        <is>
          <t>Summerside, Prince Edward Island</t>
        </is>
      </c>
      <c r="K4581" t="inlineStr">
        <is>
          <t>Summerside (Île-du-Prince-Édouard)</t>
        </is>
      </c>
      <c r="P4581" t="n">
        <v>0</v>
      </c>
      <c r="Q4581" t="n">
        <v>0</v>
      </c>
      <c r="R4581" t="n">
        <v>138.59</v>
      </c>
      <c r="S4581" t="n">
        <v>34.6</v>
      </c>
      <c r="T4581" t="n">
        <v>0</v>
      </c>
      <c r="U4581" t="n">
        <v>173.19</v>
      </c>
      <c r="X4581" t="inlineStr">
        <is>
          <t>acoa-apeca</t>
        </is>
      </c>
      <c r="Y4581" t="inlineStr">
        <is>
          <t>Atlantic Canada Opportunities Agency | Agence de promotion économique du Canada atlantique</t>
        </is>
      </c>
    </row>
    <row r="4582">
      <c r="A4582" t="inlineStr">
        <is>
          <t>T-2019-Q2-00017</t>
        </is>
      </c>
      <c r="B4582" t="inlineStr">
        <is>
          <t>SLE</t>
        </is>
      </c>
      <c r="C4582" t="inlineStr">
        <is>
          <t>Vice-President, Newfoundland and Labrador</t>
        </is>
      </c>
      <c r="D4582" t="inlineStr">
        <is>
          <t>Vice-président, Terre-Neuve-et-Labrador</t>
        </is>
      </c>
      <c r="E4582" t="inlineStr">
        <is>
          <t>Ken Martin</t>
        </is>
      </c>
      <c r="F4582" t="inlineStr">
        <is>
          <t>Attend client site visit in Arnold's Cove</t>
        </is>
      </c>
      <c r="G4582" t="inlineStr">
        <is>
          <t>Assister à une visite chez un client à Arnold's Cove</t>
        </is>
      </c>
      <c r="H4582" s="1" t="n">
        <v>43287</v>
      </c>
      <c r="I4582" s="1" t="n">
        <v>43287</v>
      </c>
      <c r="J4582" t="inlineStr">
        <is>
          <t>Arnold's Cove, Newfoundland and Labrador</t>
        </is>
      </c>
      <c r="K4582" t="inlineStr">
        <is>
          <t>Arnold's Cove (Terre-Neuve-et-Labrador)</t>
        </is>
      </c>
      <c r="P4582" t="n">
        <v>0</v>
      </c>
      <c r="Q4582" t="n">
        <v>0</v>
      </c>
      <c r="R4582" t="n">
        <v>0</v>
      </c>
      <c r="S4582" t="n">
        <v>19.2</v>
      </c>
      <c r="T4582" t="n">
        <v>0</v>
      </c>
      <c r="U4582" t="n">
        <v>19.2</v>
      </c>
      <c r="X4582" t="inlineStr">
        <is>
          <t>acoa-apeca</t>
        </is>
      </c>
      <c r="Y4582" t="inlineStr">
        <is>
          <t>Atlantic Canada Opportunities Agency | Agence de promotion économique du Canada atlantique</t>
        </is>
      </c>
    </row>
    <row r="4583">
      <c r="A4583" t="inlineStr">
        <is>
          <t>T-2019-Q2-00016</t>
        </is>
      </c>
      <c r="B4583" t="inlineStr">
        <is>
          <t>SLE</t>
        </is>
      </c>
      <c r="C4583" t="inlineStr">
        <is>
          <t>Vice-President, Policy, Programs and Communications</t>
        </is>
      </c>
      <c r="D4583" t="inlineStr">
        <is>
          <t>Vice-président, Politiques et Programmes</t>
        </is>
      </c>
      <c r="E4583" t="inlineStr">
        <is>
          <t>Daryell Nowlan</t>
        </is>
      </c>
      <c r="F4583" t="inlineStr">
        <is>
          <t>Meetings with private sector and Government of Canada officials</t>
        </is>
      </c>
      <c r="G4583" t="inlineStr">
        <is>
          <t>Réunions avec des représentants du secteur privé et du gouvernement du Canada</t>
        </is>
      </c>
      <c r="H4583" s="1" t="n">
        <v>43289</v>
      </c>
      <c r="I4583" s="1" t="n">
        <v>43291</v>
      </c>
      <c r="J4583" t="inlineStr">
        <is>
          <t>Summerside, Prince Edward Island</t>
        </is>
      </c>
      <c r="K4583" t="inlineStr">
        <is>
          <t>Summerside (Île-du-Prince-Édouard)</t>
        </is>
      </c>
      <c r="P4583" t="n">
        <v>0</v>
      </c>
      <c r="Q4583" t="n">
        <v>211.3</v>
      </c>
      <c r="R4583" t="n">
        <v>100</v>
      </c>
      <c r="S4583" t="n">
        <v>138.7</v>
      </c>
      <c r="T4583" t="n">
        <v>0</v>
      </c>
      <c r="U4583" t="n">
        <v>450</v>
      </c>
      <c r="X4583" t="inlineStr">
        <is>
          <t>acoa-apeca</t>
        </is>
      </c>
      <c r="Y4583" t="inlineStr">
        <is>
          <t>Atlantic Canada Opportunities Agency | Agence de promotion économique du Canada atlantique</t>
        </is>
      </c>
    </row>
    <row r="4584">
      <c r="A4584" t="inlineStr">
        <is>
          <t>T-2019-Q2-00015</t>
        </is>
      </c>
      <c r="B4584" t="inlineStr">
        <is>
          <t>SLE</t>
        </is>
      </c>
      <c r="C4584" t="inlineStr">
        <is>
          <t>President</t>
        </is>
      </c>
      <c r="D4584" t="inlineStr">
        <is>
          <t>Président</t>
        </is>
      </c>
      <c r="E4584" t="inlineStr">
        <is>
          <t>Francis McGuire</t>
        </is>
      </c>
      <c r="F4584" t="inlineStr">
        <is>
          <t>Meetings with Government of Canada officials and key stakeholders</t>
        </is>
      </c>
      <c r="G4584" t="inlineStr">
        <is>
          <t>Réunions avec des fonctionnaires du gouvernement du Canada et des intervenants clés</t>
        </is>
      </c>
      <c r="H4584" s="1" t="n">
        <v>43284</v>
      </c>
      <c r="I4584" s="1" t="n">
        <v>43285</v>
      </c>
      <c r="J4584" t="inlineStr">
        <is>
          <t>Ottawa, Ontario</t>
        </is>
      </c>
      <c r="K4584" t="inlineStr">
        <is>
          <t>Ottawa (Ontario)</t>
        </is>
      </c>
      <c r="P4584" t="n">
        <v>748.8</v>
      </c>
      <c r="Q4584" t="n">
        <v>47.84</v>
      </c>
      <c r="R4584" t="n">
        <v>233.86</v>
      </c>
      <c r="S4584" t="n">
        <v>188.75</v>
      </c>
      <c r="T4584" t="n">
        <v>24</v>
      </c>
      <c r="U4584" t="n">
        <v>1243.25</v>
      </c>
      <c r="X4584" t="inlineStr">
        <is>
          <t>acoa-apeca</t>
        </is>
      </c>
      <c r="Y4584" t="inlineStr">
        <is>
          <t>Atlantic Canada Opportunities Agency | Agence de promotion économique du Canada atlantique</t>
        </is>
      </c>
    </row>
    <row r="4585">
      <c r="A4585" t="inlineStr">
        <is>
          <t>T-2019-Q2-00014</t>
        </is>
      </c>
      <c r="B4585" t="inlineStr">
        <is>
          <t>SLE</t>
        </is>
      </c>
      <c r="C4585" t="inlineStr">
        <is>
          <t>Senior Advisor (Energy)</t>
        </is>
      </c>
      <c r="D4585" t="inlineStr">
        <is>
          <t>Conseiller spécial (energie)</t>
        </is>
      </c>
      <c r="E4585" t="inlineStr">
        <is>
          <t>Andrew F. Noseworthy</t>
        </is>
      </c>
      <c r="F4585" t="inlineStr">
        <is>
          <t>Meetings with Nova Scotia Energy officials; meeting with Nova Scotia Energy Working Group</t>
        </is>
      </c>
      <c r="G4585" t="inlineStr">
        <is>
          <t>Réunions avec des représentants d'Énergie Nouvelle-Écosse; réunion avec le groupe de travail de la Nouvelle-Écosse sur l'énergie</t>
        </is>
      </c>
      <c r="H4585" s="1" t="n">
        <v>43258</v>
      </c>
      <c r="I4585" s="1" t="n">
        <v>43261</v>
      </c>
      <c r="J4585" t="inlineStr">
        <is>
          <t>Halifax, Nova Scotia</t>
        </is>
      </c>
      <c r="K4585" t="inlineStr">
        <is>
          <t>Halifax (Nouvelle-Écosse)</t>
        </is>
      </c>
      <c r="P4585" t="n">
        <v>1162.76</v>
      </c>
      <c r="Q4585" t="n">
        <v>223</v>
      </c>
      <c r="R4585" t="n">
        <v>229.91</v>
      </c>
      <c r="S4585" t="n">
        <v>227.4</v>
      </c>
      <c r="T4585" t="n">
        <v>0</v>
      </c>
      <c r="U4585" t="n">
        <v>1843.07</v>
      </c>
      <c r="X4585" t="inlineStr">
        <is>
          <t>acoa-apeca</t>
        </is>
      </c>
      <c r="Y4585" t="inlineStr">
        <is>
          <t>Atlantic Canada Opportunities Agency | Agence de promotion économique du Canada atlantique</t>
        </is>
      </c>
    </row>
    <row r="4586">
      <c r="A4586" t="inlineStr">
        <is>
          <t>T-2019-Q2-00013</t>
        </is>
      </c>
      <c r="B4586" t="inlineStr">
        <is>
          <t>SLE</t>
        </is>
      </c>
      <c r="C4586" t="inlineStr">
        <is>
          <t>Senior Advisor (Energy)</t>
        </is>
      </c>
      <c r="D4586" t="inlineStr">
        <is>
          <t>Conseiller spécial (energie)</t>
        </is>
      </c>
      <c r="E4586" t="inlineStr">
        <is>
          <t>Andrew F. Noseworthy</t>
        </is>
      </c>
      <c r="F4586" t="inlineStr">
        <is>
          <t>Meetings with energy and clean technology industry officials</t>
        </is>
      </c>
      <c r="G4586" t="inlineStr">
        <is>
          <t>Réunions avec des représentants de l'industrie de l'énergie et des technologies propres</t>
        </is>
      </c>
      <c r="H4586" s="1" t="n">
        <v>43279</v>
      </c>
      <c r="I4586" s="1" t="n">
        <v>43282</v>
      </c>
      <c r="J4586" t="inlineStr">
        <is>
          <t>Halifax, Nova Scotia</t>
        </is>
      </c>
      <c r="K4586" t="inlineStr">
        <is>
          <t>Halifax (Nouvelle-Écosse)</t>
        </is>
      </c>
      <c r="P4586" t="n">
        <v>562.55</v>
      </c>
      <c r="Q4586" t="n">
        <v>201</v>
      </c>
      <c r="R4586" t="n">
        <v>221.7</v>
      </c>
      <c r="S4586" t="n">
        <v>177.1</v>
      </c>
      <c r="T4586" t="n">
        <v>64</v>
      </c>
      <c r="U4586" t="n">
        <v>1226.35</v>
      </c>
      <c r="X4586" t="inlineStr">
        <is>
          <t>acoa-apeca</t>
        </is>
      </c>
      <c r="Y4586" t="inlineStr">
        <is>
          <t>Atlantic Canada Opportunities Agency | Agence de promotion économique du Canada atlantique</t>
        </is>
      </c>
    </row>
    <row r="4587">
      <c r="A4587" t="inlineStr">
        <is>
          <t>T-2019-Q2-00028</t>
        </is>
      </c>
      <c r="B4587" t="inlineStr">
        <is>
          <t>SLE</t>
        </is>
      </c>
      <c r="C4587" t="inlineStr">
        <is>
          <t>President</t>
        </is>
      </c>
      <c r="D4587" t="inlineStr">
        <is>
          <t>Président</t>
        </is>
      </c>
      <c r="E4587" t="inlineStr">
        <is>
          <t>Francis McGuire</t>
        </is>
      </c>
      <c r="F4587" t="inlineStr">
        <is>
          <t>Meetings with Agency officials and key stakeholders</t>
        </is>
      </c>
      <c r="G4587" t="inlineStr">
        <is>
          <t>Réunions avec des fonctionnaires de l'Agence et des intervenants clés</t>
        </is>
      </c>
      <c r="H4587" s="1" t="n">
        <v>43319</v>
      </c>
      <c r="I4587" s="1" t="n">
        <v>43321</v>
      </c>
      <c r="J4587" t="inlineStr">
        <is>
          <t>Cardigan, Prince Edward Island</t>
        </is>
      </c>
      <c r="K4587" t="inlineStr">
        <is>
          <t>Cardigan (Île-du-Prince-Édouard)</t>
        </is>
      </c>
      <c r="P4587" t="n">
        <v>0</v>
      </c>
      <c r="Q4587" t="n">
        <v>459.34</v>
      </c>
      <c r="R4587" t="n">
        <v>349.6</v>
      </c>
      <c r="S4587" t="n">
        <v>90.55</v>
      </c>
      <c r="T4587" t="n">
        <v>0</v>
      </c>
      <c r="U4587" t="n">
        <v>899.49</v>
      </c>
      <c r="X4587" t="inlineStr">
        <is>
          <t>acoa-apeca</t>
        </is>
      </c>
      <c r="Y4587" t="inlineStr">
        <is>
          <t>Atlantic Canada Opportunities Agency | Agence de promotion économique du Canada atlantique</t>
        </is>
      </c>
    </row>
    <row r="4588">
      <c r="A4588" t="inlineStr">
        <is>
          <t>T-2019-Q2-00012</t>
        </is>
      </c>
      <c r="B4588" t="inlineStr">
        <is>
          <t>SLE</t>
        </is>
      </c>
      <c r="C4588" t="inlineStr">
        <is>
          <t>Vice-President, Prince Edward Island</t>
        </is>
      </c>
      <c r="D4588" t="inlineStr">
        <is>
          <t>Vice-président, Île-du-Prince-Édouard</t>
        </is>
      </c>
      <c r="E4588" t="inlineStr">
        <is>
          <t>Patrick Dorsey</t>
        </is>
      </c>
      <c r="F4588" t="inlineStr">
        <is>
          <t>To attend BIO International Convention and meetings with local partners and stakeholders in Boston, Massachusetts</t>
        </is>
      </c>
      <c r="G4588" t="inlineStr">
        <is>
          <t>Assister au congrès BIO International et à des réunions avec des partenaires et intervenants locaux à Boston (Massachusetts)</t>
        </is>
      </c>
      <c r="H4588" s="1" t="n">
        <v>43254</v>
      </c>
      <c r="I4588" s="1" t="n">
        <v>43258</v>
      </c>
      <c r="J4588" t="inlineStr">
        <is>
          <t>Boston, Massachusetts</t>
        </is>
      </c>
      <c r="K4588" t="inlineStr">
        <is>
          <t>Boston (Massachusetts)</t>
        </is>
      </c>
      <c r="P4588" t="n">
        <v>1760.64</v>
      </c>
      <c r="Q4588" t="n">
        <v>188.66</v>
      </c>
      <c r="R4588" t="n">
        <v>1400.03</v>
      </c>
      <c r="S4588" t="n">
        <v>452.09</v>
      </c>
      <c r="T4588" t="n">
        <v>39.1</v>
      </c>
      <c r="U4588" t="n">
        <v>3840.52</v>
      </c>
      <c r="X4588" t="inlineStr">
        <is>
          <t>acoa-apeca</t>
        </is>
      </c>
      <c r="Y4588" t="inlineStr">
        <is>
          <t>Atlantic Canada Opportunities Agency | Agence de promotion économique du Canada atlantique</t>
        </is>
      </c>
    </row>
    <row r="4589">
      <c r="A4589" t="inlineStr">
        <is>
          <t>T-2019-Q2-00011</t>
        </is>
      </c>
      <c r="B4589" t="inlineStr">
        <is>
          <t>SLE</t>
        </is>
      </c>
      <c r="C4589" t="inlineStr">
        <is>
          <t>Vice-President, Prince Edward Island</t>
        </is>
      </c>
      <c r="D4589" t="inlineStr">
        <is>
          <t>Vice-président, Île-du-Prince-Édouard</t>
        </is>
      </c>
      <c r="E4589" t="inlineStr">
        <is>
          <t>Patrick Dorsey</t>
        </is>
      </c>
      <c r="F4589" t="inlineStr">
        <is>
          <t>Meetings with senior ACOA officials in Moncton, New Brunswick</t>
        </is>
      </c>
      <c r="G4589" t="inlineStr">
        <is>
          <t>Réunions avec des cadres supérieurs de l'APECA à Moncton (Nouveau-Brunswick)</t>
        </is>
      </c>
      <c r="H4589" s="1" t="n">
        <v>43271</v>
      </c>
      <c r="I4589" s="1" t="n">
        <v>43273</v>
      </c>
      <c r="J4589" t="inlineStr">
        <is>
          <t>Moncton, New Brunswick</t>
        </is>
      </c>
      <c r="K4589" t="inlineStr">
        <is>
          <t>Moncton (Nouveau-Brunswick)</t>
        </is>
      </c>
      <c r="P4589" t="n">
        <v>0</v>
      </c>
      <c r="Q4589" t="n">
        <v>79.2</v>
      </c>
      <c r="R4589" t="n">
        <v>326.6</v>
      </c>
      <c r="S4589" t="n">
        <v>205.8</v>
      </c>
      <c r="T4589" t="n">
        <v>0</v>
      </c>
      <c r="U4589" t="n">
        <v>611.6</v>
      </c>
      <c r="X4589" t="inlineStr">
        <is>
          <t>acoa-apeca</t>
        </is>
      </c>
      <c r="Y4589" t="inlineStr">
        <is>
          <t>Atlantic Canada Opportunities Agency | Agence de promotion économique du Canada atlantique</t>
        </is>
      </c>
    </row>
    <row r="4590">
      <c r="A4590" t="inlineStr">
        <is>
          <t>T-2019-Q2-00010</t>
        </is>
      </c>
      <c r="B4590" t="inlineStr">
        <is>
          <t>SLE</t>
        </is>
      </c>
      <c r="C4590" t="inlineStr">
        <is>
          <t>Vice-President, Newfoundland and Labrador</t>
        </is>
      </c>
      <c r="D4590" t="inlineStr">
        <is>
          <t>Vice-président, Terre-Neuve-et-Labrador</t>
        </is>
      </c>
      <c r="E4590" t="inlineStr">
        <is>
          <t>Ken Martin</t>
        </is>
      </c>
      <c r="F4590" t="inlineStr">
        <is>
          <t>Attend H2O Conference in Halifax</t>
        </is>
      </c>
      <c r="G4590" t="inlineStr">
        <is>
          <t>Assister à la conférence H2O à Halifax</t>
        </is>
      </c>
      <c r="H4590" s="1" t="n">
        <v>43258</v>
      </c>
      <c r="I4590" s="1" t="n">
        <v>43259</v>
      </c>
      <c r="J4590" t="inlineStr">
        <is>
          <t>Halifax, Nova Scotia</t>
        </is>
      </c>
      <c r="K4590" t="inlineStr">
        <is>
          <t>Halifax (Nouvelle-Écosse)</t>
        </is>
      </c>
      <c r="P4590" t="n">
        <v>562.1799999999999</v>
      </c>
      <c r="Q4590" t="n">
        <v>70.66</v>
      </c>
      <c r="R4590" t="n">
        <v>218.18</v>
      </c>
      <c r="S4590" t="n">
        <v>92.45</v>
      </c>
      <c r="T4590" t="n">
        <v>31.05</v>
      </c>
      <c r="U4590" t="n">
        <v>974.52</v>
      </c>
      <c r="X4590" t="inlineStr">
        <is>
          <t>acoa-apeca</t>
        </is>
      </c>
      <c r="Y4590" t="inlineStr">
        <is>
          <t>Atlantic Canada Opportunities Agency | Agence de promotion économique du Canada atlantique</t>
        </is>
      </c>
    </row>
    <row r="4591">
      <c r="A4591" t="inlineStr">
        <is>
          <t>T-2019-Q2-00009</t>
        </is>
      </c>
      <c r="B4591" t="inlineStr">
        <is>
          <t>SLE</t>
        </is>
      </c>
      <c r="C4591" t="inlineStr">
        <is>
          <t>Vice-President, Policy, Programs and Communications</t>
        </is>
      </c>
      <c r="D4591" t="inlineStr">
        <is>
          <t>Vice-président, Politiques et Programmes</t>
        </is>
      </c>
      <c r="E4591" t="inlineStr">
        <is>
          <t>Daryell Nowlan</t>
        </is>
      </c>
      <c r="F4591" t="inlineStr">
        <is>
          <t>Meeting with industry sector officials</t>
        </is>
      </c>
      <c r="G4591" t="inlineStr">
        <is>
          <t>Réunion avec des représentants du secteur industriel</t>
        </is>
      </c>
      <c r="H4591" s="1" t="n">
        <v>43278</v>
      </c>
      <c r="I4591" s="1" t="n">
        <v>43279</v>
      </c>
      <c r="J4591" t="inlineStr">
        <is>
          <t>Halifax, Nova Scotia</t>
        </is>
      </c>
      <c r="K4591" t="inlineStr">
        <is>
          <t>Halifax (Nouvelle-Écosse)</t>
        </is>
      </c>
      <c r="P4591" t="n">
        <v>0</v>
      </c>
      <c r="Q4591" t="n">
        <v>205.23</v>
      </c>
      <c r="R4591" t="n">
        <v>204.1</v>
      </c>
      <c r="S4591" t="n">
        <v>169.55</v>
      </c>
      <c r="T4591" t="n">
        <v>0</v>
      </c>
      <c r="U4591" t="n">
        <v>578.88</v>
      </c>
      <c r="X4591" t="inlineStr">
        <is>
          <t>acoa-apeca</t>
        </is>
      </c>
      <c r="Y4591" t="inlineStr">
        <is>
          <t>Atlantic Canada Opportunities Agency | Agence de promotion économique du Canada atlantique</t>
        </is>
      </c>
    </row>
    <row r="4592">
      <c r="A4592" t="inlineStr">
        <is>
          <t>T-2019-Q2-00008</t>
        </is>
      </c>
      <c r="B4592" t="inlineStr">
        <is>
          <t>SLE</t>
        </is>
      </c>
      <c r="C4592" t="inlineStr">
        <is>
          <t>Vice-President, Prince Edward Island</t>
        </is>
      </c>
      <c r="D4592" t="inlineStr">
        <is>
          <t>Vice-président, Île-du-Prince-Édouard</t>
        </is>
      </c>
      <c r="E4592" t="inlineStr">
        <is>
          <t>Patrick Dorsey</t>
        </is>
      </c>
      <c r="F4592" t="inlineStr">
        <is>
          <t>Face-to-face meetings with ACOA President and other vice-presidents</t>
        </is>
      </c>
      <c r="G4592" t="inlineStr">
        <is>
          <t>Réunions individuelles avec le président de l'APECA et d'autres vice-présidents</t>
        </is>
      </c>
      <c r="H4592" s="1" t="n">
        <v>43261</v>
      </c>
      <c r="I4592" s="1" t="n">
        <v>43265</v>
      </c>
      <c r="J4592" t="inlineStr">
        <is>
          <t>Rexton, Newfoundland and Labrador</t>
        </is>
      </c>
      <c r="K4592" t="inlineStr">
        <is>
          <t>Rexton (Terre-Neuve-et-Labrador)</t>
        </is>
      </c>
      <c r="P4592" t="n">
        <v>1399.11</v>
      </c>
      <c r="Q4592" t="n">
        <v>327.85</v>
      </c>
      <c r="R4592" t="n">
        <v>814.5599999999999</v>
      </c>
      <c r="S4592" t="n">
        <v>376.1</v>
      </c>
      <c r="T4592" t="n">
        <v>0</v>
      </c>
      <c r="U4592" t="n">
        <v>2917.62</v>
      </c>
      <c r="X4592" t="inlineStr">
        <is>
          <t>acoa-apeca</t>
        </is>
      </c>
      <c r="Y4592" t="inlineStr">
        <is>
          <t>Atlantic Canada Opportunities Agency | Agence de promotion économique du Canada atlantique</t>
        </is>
      </c>
    </row>
    <row r="4593">
      <c r="A4593" t="inlineStr">
        <is>
          <t>T-2019-Q2-00007</t>
        </is>
      </c>
      <c r="B4593" t="inlineStr">
        <is>
          <t>SLE</t>
        </is>
      </c>
      <c r="C4593" t="inlineStr">
        <is>
          <t>Vice-President, Newfoundland and Labrador</t>
        </is>
      </c>
      <c r="D4593" t="inlineStr">
        <is>
          <t>Vice-président, Terre-Neuve-et-Labrador</t>
        </is>
      </c>
      <c r="E4593" t="inlineStr">
        <is>
          <t>Ken Martin</t>
        </is>
      </c>
      <c r="F4593" t="inlineStr">
        <is>
          <t>Attend client site visits with senior government officials</t>
        </is>
      </c>
      <c r="G4593" t="inlineStr">
        <is>
          <t xml:space="preserve">Assister à des visites des lieux chez des clients avec de hauts fonctionnaires </t>
        </is>
      </c>
      <c r="H4593" s="1" t="n">
        <v>43262</v>
      </c>
      <c r="I4593" s="1" t="n">
        <v>43264</v>
      </c>
      <c r="J4593" t="inlineStr">
        <is>
          <t>Bonavista, Newfoundland and Labrador</t>
        </is>
      </c>
      <c r="K4593" t="inlineStr">
        <is>
          <t>Bonavista (Terre-Neuve-et-Labrador)</t>
        </is>
      </c>
      <c r="P4593" t="n">
        <v>0</v>
      </c>
      <c r="Q4593" t="n">
        <v>4</v>
      </c>
      <c r="R4593" t="n">
        <v>501.4</v>
      </c>
      <c r="S4593" t="n">
        <v>235.25</v>
      </c>
      <c r="T4593" t="n">
        <v>0</v>
      </c>
      <c r="U4593" t="n">
        <v>740.65</v>
      </c>
      <c r="X4593" t="inlineStr">
        <is>
          <t>acoa-apeca</t>
        </is>
      </c>
      <c r="Y4593" t="inlineStr">
        <is>
          <t>Atlantic Canada Opportunities Agency | Agence de promotion économique du Canada atlantique</t>
        </is>
      </c>
    </row>
    <row r="4594">
      <c r="A4594" t="inlineStr">
        <is>
          <t>T-2019-Q2-00006</t>
        </is>
      </c>
      <c r="B4594" t="inlineStr">
        <is>
          <t>SLE</t>
        </is>
      </c>
      <c r="C4594" t="inlineStr">
        <is>
          <t>President</t>
        </is>
      </c>
      <c r="D4594" t="inlineStr">
        <is>
          <t>Président</t>
        </is>
      </c>
      <c r="E4594" t="inlineStr">
        <is>
          <t>Francis McGuire</t>
        </is>
      </c>
      <c r="F4594" t="inlineStr">
        <is>
          <t>Meetings/regional tour with Government of Canada officials and key stakeholders</t>
        </is>
      </c>
      <c r="G4594" t="inlineStr">
        <is>
          <t>Réunions/visite régionale avec des fonctionnaires du gouvernement du Canada et des intervenants clés</t>
        </is>
      </c>
      <c r="H4594" s="1" t="n">
        <v>43262</v>
      </c>
      <c r="I4594" s="1" t="n">
        <v>43266</v>
      </c>
      <c r="J4594" t="inlineStr">
        <is>
          <t>Saint John's and Bonavista, Newfoundland and Labrador</t>
        </is>
      </c>
      <c r="K4594" t="inlineStr">
        <is>
          <t>Saint John's et Bonavista (Terre-Neuve-et-Labrador)</t>
        </is>
      </c>
      <c r="P4594" t="n">
        <v>597.14</v>
      </c>
      <c r="Q4594" t="n">
        <v>29.12</v>
      </c>
      <c r="R4594" t="n">
        <v>846.5</v>
      </c>
      <c r="S4594" t="n">
        <v>440.95</v>
      </c>
      <c r="T4594" t="n">
        <v>0</v>
      </c>
      <c r="U4594" t="n">
        <v>1913.71</v>
      </c>
      <c r="X4594" t="inlineStr">
        <is>
          <t>acoa-apeca</t>
        </is>
      </c>
      <c r="Y4594" t="inlineStr">
        <is>
          <t>Atlantic Canada Opportunities Agency | Agence de promotion économique du Canada atlantique</t>
        </is>
      </c>
    </row>
    <row r="4595">
      <c r="A4595" t="inlineStr">
        <is>
          <t>T-2019-Q2-00005</t>
        </is>
      </c>
      <c r="B4595" t="inlineStr">
        <is>
          <t>SLE</t>
        </is>
      </c>
      <c r="C4595" t="inlineStr">
        <is>
          <t>Vice-President, Policy, Programs and Communications</t>
        </is>
      </c>
      <c r="D4595" t="inlineStr">
        <is>
          <t>Vice-président, Politiques et Programmes</t>
        </is>
      </c>
      <c r="E4595" t="inlineStr">
        <is>
          <t>Daryell Nowlan</t>
        </is>
      </c>
      <c r="F4595" t="inlineStr">
        <is>
          <t>Meetings with Government of Canada official and private sector officials</t>
        </is>
      </c>
      <c r="G4595" t="inlineStr">
        <is>
          <t>Réunions avec un fonctionnaire du gouvernement du Canada et des représentants du secteur privé</t>
        </is>
      </c>
      <c r="H4595" s="1" t="n">
        <v>43260</v>
      </c>
      <c r="I4595" s="1" t="n">
        <v>43266</v>
      </c>
      <c r="J4595" t="inlineStr">
        <is>
          <t xml:space="preserve">St. John's and Bonavista, Newfoundland and Labrador </t>
        </is>
      </c>
      <c r="K4595" t="inlineStr">
        <is>
          <t>St. John's et Bonavista (Terre-Neuve-et-Labrador)</t>
        </is>
      </c>
      <c r="P4595" t="n">
        <v>822.4</v>
      </c>
      <c r="Q4595" t="n">
        <v>116.34</v>
      </c>
      <c r="R4595" t="n">
        <v>1147.57</v>
      </c>
      <c r="S4595" t="n">
        <v>441.55</v>
      </c>
      <c r="T4595" t="n">
        <v>0</v>
      </c>
      <c r="U4595" t="n">
        <v>2527.86</v>
      </c>
      <c r="X4595" t="inlineStr">
        <is>
          <t>acoa-apeca</t>
        </is>
      </c>
      <c r="Y4595" t="inlineStr">
        <is>
          <t>Atlantic Canada Opportunities Agency | Agence de promotion économique du Canada atlantique</t>
        </is>
      </c>
    </row>
    <row r="4596">
      <c r="A4596" t="inlineStr">
        <is>
          <t>T-2019-Q2-00004</t>
        </is>
      </c>
      <c r="B4596" t="inlineStr">
        <is>
          <t>SLE</t>
        </is>
      </c>
      <c r="C4596" t="inlineStr">
        <is>
          <t>Vice-President, Finance and Corporate Services</t>
        </is>
      </c>
      <c r="D4596" t="inlineStr">
        <is>
          <t>Vice-président, Finance et Services corporatifs</t>
        </is>
      </c>
      <c r="E4596" t="inlineStr">
        <is>
          <t>Stephane Lagace</t>
        </is>
      </c>
      <c r="F4596" t="inlineStr">
        <is>
          <t>Various meetings with Agency officials and private sector officials</t>
        </is>
      </c>
      <c r="G4596" t="inlineStr">
        <is>
          <t>Diverses réunions avec des représentants de l'Agence et du secteur privé</t>
        </is>
      </c>
      <c r="H4596" s="1" t="n">
        <v>43262</v>
      </c>
      <c r="I4596" s="1" t="n">
        <v>43264</v>
      </c>
      <c r="J4596" t="inlineStr">
        <is>
          <t>St. John's, Newfoundland and Labrador</t>
        </is>
      </c>
      <c r="K4596" t="inlineStr">
        <is>
          <t>St. John's (Terre-Neuve-et-Labrador)</t>
        </is>
      </c>
      <c r="P4596" t="n">
        <v>781.14</v>
      </c>
      <c r="Q4596" t="n">
        <v>172.89</v>
      </c>
      <c r="R4596" t="n">
        <v>425.5</v>
      </c>
      <c r="S4596" t="n">
        <v>254.7</v>
      </c>
      <c r="T4596" t="n">
        <v>76.5</v>
      </c>
      <c r="U4596" t="n">
        <v>1710.73</v>
      </c>
      <c r="X4596" t="inlineStr">
        <is>
          <t>acoa-apeca</t>
        </is>
      </c>
      <c r="Y4596" t="inlineStr">
        <is>
          <t>Atlantic Canada Opportunities Agency | Agence de promotion économique du Canada atlantique</t>
        </is>
      </c>
    </row>
    <row r="4597">
      <c r="A4597" t="inlineStr">
        <is>
          <t>T-2019-Q2-00003</t>
        </is>
      </c>
      <c r="B4597" t="inlineStr">
        <is>
          <t>SLE</t>
        </is>
      </c>
      <c r="C4597" t="inlineStr">
        <is>
          <t>President</t>
        </is>
      </c>
      <c r="D4597" t="inlineStr">
        <is>
          <t>Président</t>
        </is>
      </c>
      <c r="E4597" t="inlineStr">
        <is>
          <t>Francis McGuire</t>
        </is>
      </c>
      <c r="F4597" t="inlineStr">
        <is>
          <t>Meetings with Government of Canada officials and key stakeholders</t>
        </is>
      </c>
      <c r="G4597" t="inlineStr">
        <is>
          <t>Réunions avec des fonctionnaires du gouvernement du Canada et des intervenants clés</t>
        </is>
      </c>
      <c r="H4597" s="1" t="n">
        <v>43255</v>
      </c>
      <c r="I4597" s="1" t="n">
        <v>43257</v>
      </c>
      <c r="J4597" t="inlineStr">
        <is>
          <t>Charlottetown, Prince Edward Island / Moncton and Chipman, New Brunswick</t>
        </is>
      </c>
      <c r="K4597" t="inlineStr">
        <is>
          <t>Charlottetown (Île-du-Prince-Édouard) / Moncton et Chipman (Nouveau-Brunswick)</t>
        </is>
      </c>
      <c r="P4597" t="n">
        <v>0</v>
      </c>
      <c r="Q4597" t="n">
        <v>373.88</v>
      </c>
      <c r="R4597" t="n">
        <v>176.49</v>
      </c>
      <c r="S4597" t="n">
        <v>101.95</v>
      </c>
      <c r="T4597" t="n">
        <v>47</v>
      </c>
      <c r="U4597" t="n">
        <v>699.3200000000001</v>
      </c>
      <c r="X4597" t="inlineStr">
        <is>
          <t>acoa-apeca</t>
        </is>
      </c>
      <c r="Y4597" t="inlineStr">
        <is>
          <t>Atlantic Canada Opportunities Agency | Agence de promotion économique du Canada atlantique</t>
        </is>
      </c>
    </row>
    <row r="4598">
      <c r="A4598" t="inlineStr">
        <is>
          <t>T-2019-Q2-00002</t>
        </is>
      </c>
      <c r="B4598" t="inlineStr">
        <is>
          <t>SLE</t>
        </is>
      </c>
      <c r="C4598" t="inlineStr">
        <is>
          <t>President</t>
        </is>
      </c>
      <c r="D4598" t="inlineStr">
        <is>
          <t>Président</t>
        </is>
      </c>
      <c r="E4598" t="inlineStr">
        <is>
          <t>Francis McGuire</t>
        </is>
      </c>
      <c r="F4598" t="inlineStr">
        <is>
          <t>Meeting with a key stakeholder</t>
        </is>
      </c>
      <c r="G4598" t="inlineStr">
        <is>
          <t>Réunion avec un intervenant clé</t>
        </is>
      </c>
      <c r="H4598" s="1" t="n">
        <v>43259</v>
      </c>
      <c r="I4598" s="1" t="n">
        <v>43259</v>
      </c>
      <c r="J4598" t="inlineStr">
        <is>
          <t>Sussex, New Brunswick</t>
        </is>
      </c>
      <c r="K4598" t="inlineStr">
        <is>
          <t>Sussex (Nouveau-Brunswick)</t>
        </is>
      </c>
      <c r="P4598" t="n">
        <v>0</v>
      </c>
      <c r="Q4598" t="n">
        <v>157.56</v>
      </c>
      <c r="R4598" t="n">
        <v>0</v>
      </c>
      <c r="S4598" t="n">
        <v>0</v>
      </c>
      <c r="T4598" t="n">
        <v>0</v>
      </c>
      <c r="U4598" t="n">
        <v>157.56</v>
      </c>
      <c r="X4598" t="inlineStr">
        <is>
          <t>acoa-apeca</t>
        </is>
      </c>
      <c r="Y4598" t="inlineStr">
        <is>
          <t>Atlantic Canada Opportunities Agency | Agence de promotion économique du Canada atlantique</t>
        </is>
      </c>
    </row>
    <row r="4599">
      <c r="A4599" t="inlineStr">
        <is>
          <t>T-2019-Q1-00063</t>
        </is>
      </c>
      <c r="B4599" t="inlineStr">
        <is>
          <t>SLE</t>
        </is>
      </c>
      <c r="C4599" t="inlineStr">
        <is>
          <t>Vice-President, Newfoundland and Labrador</t>
        </is>
      </c>
      <c r="D4599" t="inlineStr">
        <is>
          <t>Vice-président, Terre-Neuve-et-Labrador</t>
        </is>
      </c>
      <c r="E4599" t="inlineStr">
        <is>
          <t>Ken Martin</t>
        </is>
      </c>
      <c r="F4599" t="inlineStr">
        <is>
          <t>Attend various meetings and discussions with senior government and private sector officials in St. John's and surrounding area</t>
        </is>
      </c>
      <c r="G4599" t="inlineStr">
        <is>
          <t>Assister à des réunions et discussions avec des cadres supérieurs du gouvernement et de l'industrie à St. John's  et aux environs</t>
        </is>
      </c>
      <c r="H4599" s="1" t="n">
        <v>43192</v>
      </c>
      <c r="I4599" s="1" t="n">
        <v>43281</v>
      </c>
      <c r="J4599" t="inlineStr">
        <is>
          <t>St. John's, Newfoundland and Labrador</t>
        </is>
      </c>
      <c r="K4599" t="inlineStr">
        <is>
          <t>St. John's (Terre-Neuve-et-Labrador)</t>
        </is>
      </c>
      <c r="P4599" t="n">
        <v>0</v>
      </c>
      <c r="Q4599" t="n">
        <v>34.77</v>
      </c>
      <c r="R4599" t="n">
        <v>0</v>
      </c>
      <c r="S4599" t="n">
        <v>0</v>
      </c>
      <c r="T4599" t="n">
        <v>0</v>
      </c>
      <c r="U4599" t="n">
        <v>34.77</v>
      </c>
      <c r="X4599" t="inlineStr">
        <is>
          <t>acoa-apeca</t>
        </is>
      </c>
      <c r="Y4599" t="inlineStr">
        <is>
          <t>Atlantic Canada Opportunities Agency | Agence de promotion économique du Canada atlantique</t>
        </is>
      </c>
    </row>
    <row r="4600">
      <c r="A4600" t="inlineStr">
        <is>
          <t>T-2019-Q1-00057</t>
        </is>
      </c>
      <c r="B4600" t="inlineStr">
        <is>
          <t>SLE</t>
        </is>
      </c>
      <c r="C4600" t="inlineStr">
        <is>
          <t>President</t>
        </is>
      </c>
      <c r="D4600" t="inlineStr">
        <is>
          <t>Président</t>
        </is>
      </c>
      <c r="E4600" t="inlineStr">
        <is>
          <t>Francis McGuire</t>
        </is>
      </c>
      <c r="F4600" t="inlineStr">
        <is>
          <t>Meetings with Government of Canada officials and key stakeholders</t>
        </is>
      </c>
      <c r="G4600" t="inlineStr">
        <is>
          <t>Réunions avec des fonctionnaires du gouvernement du Canada et des intervenants clés</t>
        </is>
      </c>
      <c r="H4600" s="1" t="n">
        <v>43249</v>
      </c>
      <c r="I4600" s="1" t="n">
        <v>43252</v>
      </c>
      <c r="J4600" t="inlineStr">
        <is>
          <t>Truro/Halifax, Nova Scotia / Ottawa/Toronto/Ottawa, Ontario</t>
        </is>
      </c>
      <c r="K4600" t="inlineStr">
        <is>
          <t>Truro/Halifax (Nouvelle-Écosse) / Ottawa/Toronto/Ottawa (Ontario)</t>
        </is>
      </c>
      <c r="P4600" t="n">
        <v>1807.11</v>
      </c>
      <c r="Q4600" t="n">
        <v>462.9</v>
      </c>
      <c r="R4600" t="n">
        <v>696.58</v>
      </c>
      <c r="S4600" t="n">
        <v>290.95</v>
      </c>
      <c r="T4600" t="n">
        <v>0</v>
      </c>
      <c r="U4600" t="n">
        <v>3257.54</v>
      </c>
      <c r="X4600" t="inlineStr">
        <is>
          <t>acoa-apeca</t>
        </is>
      </c>
      <c r="Y4600" t="inlineStr">
        <is>
          <t>Atlantic Canada Opportunities Agency | Agence de promotion économique du Canada atlantique</t>
        </is>
      </c>
    </row>
    <row r="4601">
      <c r="A4601" t="inlineStr">
        <is>
          <t>T-2019-Q3-00042</t>
        </is>
      </c>
      <c r="B4601" t="inlineStr">
        <is>
          <t>SLE</t>
        </is>
      </c>
      <c r="C4601" t="inlineStr">
        <is>
          <t>Senior Advisor (Energy)</t>
        </is>
      </c>
      <c r="D4601" t="inlineStr">
        <is>
          <t>Conseiller spécial (energie)</t>
        </is>
      </c>
      <c r="E4601" t="inlineStr">
        <is>
          <t>Andrew F. Noseworthy</t>
        </is>
      </c>
      <c r="F4601" t="inlineStr">
        <is>
          <t>To speak at the Canada-United Kingdom Energy Summit</t>
        </is>
      </c>
      <c r="G4601" t="inlineStr">
        <is>
          <t>Prendre la parole au sommet sur l'énergie entre le Canada et le Royaume-Uni</t>
        </is>
      </c>
      <c r="H4601" s="1" t="n">
        <v>43427</v>
      </c>
      <c r="I4601" s="1" t="n">
        <v>43432</v>
      </c>
      <c r="J4601" t="inlineStr">
        <is>
          <t>London, United Kingdom</t>
        </is>
      </c>
      <c r="K4601" t="inlineStr">
        <is>
          <t>Londres (Royaume-Uni)</t>
        </is>
      </c>
      <c r="P4601" t="n">
        <v>1212.58</v>
      </c>
      <c r="Q4601" t="n">
        <v>348.54</v>
      </c>
      <c r="R4601" t="n">
        <v>1124.33</v>
      </c>
      <c r="S4601" t="n">
        <v>761.15</v>
      </c>
      <c r="T4601" t="n">
        <v>0</v>
      </c>
      <c r="U4601" t="n">
        <v>3446.6</v>
      </c>
      <c r="X4601" t="inlineStr">
        <is>
          <t>acoa-apeca</t>
        </is>
      </c>
      <c r="Y4601" t="inlineStr">
        <is>
          <t>Atlantic Canada Opportunities Agency | Agence de promotion économique du Canada atlantique</t>
        </is>
      </c>
    </row>
    <row r="4602">
      <c r="A4602" t="inlineStr">
        <is>
          <t>T-2019-Q3-00041</t>
        </is>
      </c>
      <c r="B4602" t="inlineStr">
        <is>
          <t>SLE</t>
        </is>
      </c>
      <c r="C4602" t="inlineStr">
        <is>
          <t>Senior Advisor (Energy)</t>
        </is>
      </c>
      <c r="D4602" t="inlineStr">
        <is>
          <t>Conseiller spécial (energie)</t>
        </is>
      </c>
      <c r="E4602" t="inlineStr">
        <is>
          <t>Andrew F. Noseworthy</t>
        </is>
      </c>
      <c r="F4602" t="inlineStr">
        <is>
          <t>To attend the United States-Canada Energy, Trade and Technology Conference, and attend other meetings</t>
        </is>
      </c>
      <c r="G4602" t="inlineStr">
        <is>
          <t>Assister à la conférence canado-américaine sur l'énergie, le commerce et la technologie et assister à d'autres réunions</t>
        </is>
      </c>
      <c r="H4602" s="1" t="n">
        <v>43403</v>
      </c>
      <c r="I4602" s="1" t="n">
        <v>43407</v>
      </c>
      <c r="J4602" t="inlineStr">
        <is>
          <t>Boston, Massachusetts, USA</t>
        </is>
      </c>
      <c r="K4602" t="inlineStr">
        <is>
          <t>Boston, au Massachusetts (É.-U.)</t>
        </is>
      </c>
      <c r="P4602" t="n">
        <v>456.92</v>
      </c>
      <c r="Q4602" t="n">
        <v>241.14</v>
      </c>
      <c r="R4602" t="n">
        <v>1584</v>
      </c>
      <c r="S4602" t="n">
        <v>666.48</v>
      </c>
      <c r="T4602" t="n">
        <v>0</v>
      </c>
      <c r="U4602" t="n">
        <v>2948.54</v>
      </c>
      <c r="X4602" t="inlineStr">
        <is>
          <t>acoa-apeca</t>
        </is>
      </c>
      <c r="Y4602" t="inlineStr">
        <is>
          <t>Atlantic Canada Opportunities Agency | Agence de promotion économique du Canada atlantique</t>
        </is>
      </c>
    </row>
    <row r="4603">
      <c r="A4603" t="inlineStr">
        <is>
          <t>T-2019-Q3-00040</t>
        </is>
      </c>
      <c r="B4603" t="inlineStr">
        <is>
          <t>SLE</t>
        </is>
      </c>
      <c r="C4603" t="inlineStr">
        <is>
          <t>Senior Advisor (Energy)</t>
        </is>
      </c>
      <c r="D4603" t="inlineStr">
        <is>
          <t>Conseiller spécial (energie)</t>
        </is>
      </c>
      <c r="E4603" t="inlineStr">
        <is>
          <t>Andrew F. Noseworthy</t>
        </is>
      </c>
      <c r="F4603" t="inlineStr">
        <is>
          <t>To attend Agency Executive Committee meeting</t>
        </is>
      </c>
      <c r="G4603" t="inlineStr">
        <is>
          <t>Assister à une réunion du Comité de direction de l'Agence</t>
        </is>
      </c>
      <c r="H4603" s="1" t="n">
        <v>43390</v>
      </c>
      <c r="I4603" s="1" t="n">
        <v>43391</v>
      </c>
      <c r="J4603" t="inlineStr">
        <is>
          <t>Moncton, New Brunswick</t>
        </is>
      </c>
      <c r="K4603" t="inlineStr">
        <is>
          <t>Moncton (Nouveau-Brunswick)</t>
        </is>
      </c>
      <c r="P4603" t="n">
        <v>730.8099999999999</v>
      </c>
      <c r="Q4603" t="n">
        <v>63.8</v>
      </c>
      <c r="R4603" t="n">
        <v>151.8</v>
      </c>
      <c r="S4603" t="n">
        <v>104.85</v>
      </c>
      <c r="T4603" t="n">
        <v>40.75</v>
      </c>
      <c r="U4603" t="n">
        <v>1092.01</v>
      </c>
      <c r="X4603" t="inlineStr">
        <is>
          <t>acoa-apeca</t>
        </is>
      </c>
      <c r="Y4603" t="inlineStr">
        <is>
          <t>Atlantic Canada Opportunities Agency | Agence de promotion économique du Canada atlantique</t>
        </is>
      </c>
    </row>
    <row r="4604">
      <c r="A4604" t="inlineStr">
        <is>
          <t>T-2019-Q3-00039</t>
        </is>
      </c>
      <c r="B4604" t="inlineStr">
        <is>
          <t>SLE</t>
        </is>
      </c>
      <c r="C4604" t="inlineStr">
        <is>
          <t>Senior Advisor (Energy)</t>
        </is>
      </c>
      <c r="D4604" t="inlineStr">
        <is>
          <t>Conseiller spécial (energie)</t>
        </is>
      </c>
      <c r="E4604" t="inlineStr">
        <is>
          <t>Andrew F. Noseworthy</t>
        </is>
      </c>
      <c r="F4604" t="inlineStr">
        <is>
          <t>To speak at the Energy Innovation Forum</t>
        </is>
      </c>
      <c r="G4604" t="inlineStr">
        <is>
          <t>Prendre la parole au forum sur les innovations énergétiques</t>
        </is>
      </c>
      <c r="H4604" s="1" t="n">
        <v>43374</v>
      </c>
      <c r="I4604" s="1" t="n">
        <v>43374</v>
      </c>
      <c r="J4604" t="inlineStr">
        <is>
          <t>Fredericton, New Brunswick</t>
        </is>
      </c>
      <c r="K4604" t="inlineStr">
        <is>
          <t>Fredericton (Nouveau-Brunswick)</t>
        </is>
      </c>
      <c r="P4604" t="n">
        <v>741.7</v>
      </c>
      <c r="Q4604" t="n">
        <v>66.84</v>
      </c>
      <c r="R4604" t="n">
        <v>0</v>
      </c>
      <c r="S4604" t="n">
        <v>40.1</v>
      </c>
      <c r="T4604" t="n">
        <v>0</v>
      </c>
      <c r="U4604" t="n">
        <v>848.64</v>
      </c>
      <c r="X4604" t="inlineStr">
        <is>
          <t>acoa-apeca</t>
        </is>
      </c>
      <c r="Y4604" t="inlineStr">
        <is>
          <t>Atlantic Canada Opportunities Agency | Agence de promotion économique du Canada atlantique</t>
        </is>
      </c>
    </row>
    <row r="4605">
      <c r="A4605" t="inlineStr">
        <is>
          <t>T-2019-Q3-00038</t>
        </is>
      </c>
      <c r="B4605" t="inlineStr">
        <is>
          <t>SLE</t>
        </is>
      </c>
      <c r="C4605" t="inlineStr">
        <is>
          <t>Senior Advisor (Energy)</t>
        </is>
      </c>
      <c r="D4605" t="inlineStr">
        <is>
          <t>Conseiller spécial (energie)</t>
        </is>
      </c>
      <c r="E4605" t="inlineStr">
        <is>
          <t>Andrew F. Noseworthy</t>
        </is>
      </c>
      <c r="F4605" t="inlineStr">
        <is>
          <t>To attend the Canada China Track II Energy Dialogue, and to attend stakeholder engagement meetings</t>
        </is>
      </c>
      <c r="G4605" t="inlineStr">
        <is>
          <t>Assister au dialogue officieux Canada-Chine en matière d’énergie et assister à des réunions d'engagement des parties intéressées</t>
        </is>
      </c>
      <c r="H4605" s="1" t="n">
        <v>43368</v>
      </c>
      <c r="I4605" s="1" t="n">
        <v>43369</v>
      </c>
      <c r="J4605" t="inlineStr">
        <is>
          <t>Halifax, Nova Scotia</t>
        </is>
      </c>
      <c r="K4605" t="inlineStr">
        <is>
          <t>Halifax (Nouvelle-Écosse)</t>
        </is>
      </c>
      <c r="P4605" t="n">
        <v>827.14</v>
      </c>
      <c r="Q4605" t="n">
        <v>154.25</v>
      </c>
      <c r="R4605" t="n">
        <v>228.74</v>
      </c>
      <c r="S4605" t="n">
        <v>140.6</v>
      </c>
      <c r="T4605" t="n">
        <v>32</v>
      </c>
      <c r="U4605" t="n">
        <v>1382.73</v>
      </c>
      <c r="X4605" t="inlineStr">
        <is>
          <t>acoa-apeca</t>
        </is>
      </c>
      <c r="Y4605" t="inlineStr">
        <is>
          <t>Atlantic Canada Opportunities Agency | Agence de promotion économique du Canada atlantique</t>
        </is>
      </c>
    </row>
    <row r="4606">
      <c r="A4606" t="inlineStr">
        <is>
          <t>T-2019-Q2-00053</t>
        </is>
      </c>
      <c r="B4606" t="inlineStr">
        <is>
          <t>SLE</t>
        </is>
      </c>
      <c r="C4606" t="inlineStr">
        <is>
          <t>Senior Advisor (Energy)</t>
        </is>
      </c>
      <c r="D4606" t="inlineStr">
        <is>
          <t>Conseiller spécial (energie)</t>
        </is>
      </c>
      <c r="E4606" t="inlineStr">
        <is>
          <t>Andrew F. Noseworthy</t>
        </is>
      </c>
      <c r="F4606" t="inlineStr">
        <is>
          <t>To attend the Offshore Northern Seas conference; to attend the International Upstream Forum; and to attend the Institute of Corporate Directors training program</t>
        </is>
      </c>
      <c r="G4606" t="inlineStr">
        <is>
          <t>Assister à la conférence Offshore Northern Seas, assister à l'International Upstream Forum et assister au programme de formation de l'Institut des administrateurs de sociétés</t>
        </is>
      </c>
      <c r="H4606" s="1" t="n">
        <v>43336</v>
      </c>
      <c r="I4606" s="1" t="n">
        <v>43353</v>
      </c>
      <c r="J4606" t="inlineStr">
        <is>
          <t>Stavanger, Norway; Dublin, Ireland; Toronto, Ontario</t>
        </is>
      </c>
      <c r="K4606" t="inlineStr">
        <is>
          <t>Stavanger (Norvège); Dublin (Irlande); Toronto (Ontario)</t>
        </is>
      </c>
      <c r="P4606" t="n">
        <v>3107.56</v>
      </c>
      <c r="Q4606" t="n">
        <v>1010.33</v>
      </c>
      <c r="R4606" t="n">
        <v>3387.79</v>
      </c>
      <c r="S4606" t="n">
        <v>1701.73</v>
      </c>
      <c r="T4606" t="n">
        <v>12.5</v>
      </c>
      <c r="U4606" t="n">
        <v>9219.91</v>
      </c>
      <c r="X4606" t="inlineStr">
        <is>
          <t>acoa-apeca</t>
        </is>
      </c>
      <c r="Y4606" t="inlineStr">
        <is>
          <t>Atlantic Canada Opportunities Agency | Agence de promotion économique du Canada atlantique</t>
        </is>
      </c>
    </row>
    <row r="4607">
      <c r="A4607" t="inlineStr">
        <is>
          <t>T-2019-Q3-00037</t>
        </is>
      </c>
      <c r="B4607" t="inlineStr">
        <is>
          <t>SLE</t>
        </is>
      </c>
      <c r="C4607" t="inlineStr">
        <is>
          <t>Senior Advisor (Energy)</t>
        </is>
      </c>
      <c r="D4607" t="inlineStr">
        <is>
          <t>Conseiller spécial (energie)</t>
        </is>
      </c>
      <c r="E4607" t="inlineStr">
        <is>
          <t>Andrew F. Noseworthy</t>
        </is>
      </c>
      <c r="F4607" t="inlineStr">
        <is>
          <t>To attend the Newfoundland and Labrador Oil and Gas Industry Association Seminar in Ottawa</t>
        </is>
      </c>
      <c r="G4607" t="inlineStr">
        <is>
          <t>Assister au séminaire de la Newfoundland and Labrador Oil and Gas Industry Association à Ottawa</t>
        </is>
      </c>
      <c r="H4607" s="1" t="n">
        <v>43355</v>
      </c>
      <c r="I4607" s="1" t="n">
        <v>43356</v>
      </c>
      <c r="J4607" t="inlineStr">
        <is>
          <t>Ottawa, Ontario</t>
        </is>
      </c>
      <c r="K4607" t="inlineStr">
        <is>
          <t>Ottawa (Ontario)</t>
        </is>
      </c>
      <c r="P4607" t="n">
        <v>1002.8</v>
      </c>
      <c r="Q4607" t="n">
        <v>92</v>
      </c>
      <c r="R4607" t="n">
        <v>233.86</v>
      </c>
      <c r="S4607" t="n">
        <v>208.2</v>
      </c>
      <c r="T4607" t="n">
        <v>32</v>
      </c>
      <c r="U4607" t="n">
        <v>1568.86</v>
      </c>
      <c r="X4607" t="inlineStr">
        <is>
          <t>acoa-apeca</t>
        </is>
      </c>
      <c r="Y4607" t="inlineStr">
        <is>
          <t>Atlantic Canada Opportunities Agency | Agence de promotion économique du Canada atlantique</t>
        </is>
      </c>
    </row>
    <row r="4608">
      <c r="A4608" t="inlineStr">
        <is>
          <t>T-2019-Q3-00058</t>
        </is>
      </c>
      <c r="B4608" t="inlineStr">
        <is>
          <t>SLE</t>
        </is>
      </c>
      <c r="C4608" t="inlineStr">
        <is>
          <t>Vice-President, Nova Scotia</t>
        </is>
      </c>
      <c r="D4608" t="inlineStr">
        <is>
          <t>Vice-président, Nouvelle-Écosse</t>
        </is>
      </c>
      <c r="E4608" t="inlineStr">
        <is>
          <t>Chuck Maillet</t>
        </is>
      </c>
      <c r="F4608" t="inlineStr">
        <is>
          <t xml:space="preserve">Annual committee meeting of the Canada-France Regional Joint Cooperation Commission </t>
        </is>
      </c>
      <c r="G4608" t="inlineStr">
        <is>
          <t>Réunion annuelle du comité de la Commission mixte de coopération régionale Canada-France</t>
        </is>
      </c>
      <c r="H4608" s="1" t="n">
        <v>43409</v>
      </c>
      <c r="I4608" s="1" t="n">
        <v>43411</v>
      </c>
      <c r="J4608" t="inlineStr">
        <is>
          <t>Saint-Pierre et Miquelon, France</t>
        </is>
      </c>
      <c r="K4608" t="inlineStr">
        <is>
          <t>Saint-Pierre et Miquelon (France)</t>
        </is>
      </c>
      <c r="P4608" t="n">
        <v>423.96</v>
      </c>
      <c r="Q4608" t="n">
        <v>60</v>
      </c>
      <c r="R4608" t="n">
        <v>357.31</v>
      </c>
      <c r="S4608" t="n">
        <v>51.9</v>
      </c>
      <c r="T4608" t="n">
        <v>0</v>
      </c>
      <c r="U4608" t="n">
        <v>893.17</v>
      </c>
      <c r="X4608" t="inlineStr">
        <is>
          <t>acoa-apeca</t>
        </is>
      </c>
      <c r="Y4608" t="inlineStr">
        <is>
          <t>Atlantic Canada Opportunities Agency | Agence de promotion économique du Canada atlantique</t>
        </is>
      </c>
    </row>
    <row r="4609">
      <c r="A4609" t="inlineStr">
        <is>
          <t>T-2019-Q3-00057</t>
        </is>
      </c>
      <c r="B4609" t="inlineStr">
        <is>
          <t>SLE</t>
        </is>
      </c>
      <c r="C4609" t="inlineStr">
        <is>
          <t>Vice-President, Nova Scotia</t>
        </is>
      </c>
      <c r="D4609" t="inlineStr">
        <is>
          <t>Vice-président, Nouvelle-Écosse</t>
        </is>
      </c>
      <c r="E4609" t="inlineStr">
        <is>
          <t>Chuck Maillet</t>
        </is>
      </c>
      <c r="F4609" t="inlineStr">
        <is>
          <t>Various meetings with Agency officials, Government of Canada officials, clients and stakeholders</t>
        </is>
      </c>
      <c r="G4609" t="inlineStr">
        <is>
          <t>Diverses réunions avec des fonctionnaires de l'Agence et du gouvernement fédéral, des clients et des intervenants</t>
        </is>
      </c>
      <c r="H4609" s="1" t="n">
        <v>43416</v>
      </c>
      <c r="I4609" s="1" t="n">
        <v>43419</v>
      </c>
      <c r="J4609" t="inlineStr">
        <is>
          <t xml:space="preserve">Moncton, New Brunswick and Sydney, Nova Scotia </t>
        </is>
      </c>
      <c r="K4609" t="inlineStr">
        <is>
          <t>Moncton (Nouveau-Brunswick) et Sydney (Nouvelle-Écosse)</t>
        </is>
      </c>
      <c r="P4609" t="n">
        <v>542.67</v>
      </c>
      <c r="Q4609" t="n">
        <v>133.88</v>
      </c>
      <c r="R4609" t="n">
        <v>438.5</v>
      </c>
      <c r="S4609" t="n">
        <v>349.4</v>
      </c>
      <c r="T4609" t="n">
        <v>0</v>
      </c>
      <c r="U4609" t="n">
        <v>1464.45</v>
      </c>
      <c r="X4609" t="inlineStr">
        <is>
          <t>acoa-apeca</t>
        </is>
      </c>
      <c r="Y4609" t="inlineStr">
        <is>
          <t>Atlantic Canada Opportunities Agency | Agence de promotion économique du Canada atlantique</t>
        </is>
      </c>
    </row>
    <row r="4610">
      <c r="A4610" t="inlineStr">
        <is>
          <t>T-2019-Q3-00056</t>
        </is>
      </c>
      <c r="B4610" t="inlineStr">
        <is>
          <t>SLE</t>
        </is>
      </c>
      <c r="C4610" t="inlineStr">
        <is>
          <t>Vice-President, Nova Scotia</t>
        </is>
      </c>
      <c r="D4610" t="inlineStr">
        <is>
          <t>Vice-président, Nouvelle-Écosse</t>
        </is>
      </c>
      <c r="E4610" t="inlineStr">
        <is>
          <t>Chuck Maillet</t>
        </is>
      </c>
      <c r="F4610" t="inlineStr">
        <is>
          <t xml:space="preserve">Various meetings with Agency and Government of Canada officials </t>
        </is>
      </c>
      <c r="G4610" t="inlineStr">
        <is>
          <t>Diverses réunions avec des fonctionnaires de l'Agence et du gouvernement fédéral</t>
        </is>
      </c>
      <c r="H4610" s="1" t="n">
        <v>43402</v>
      </c>
      <c r="I4610" s="1" t="n">
        <v>43403</v>
      </c>
      <c r="J4610" t="inlineStr">
        <is>
          <t>Ottawa, Ontario</t>
        </is>
      </c>
      <c r="K4610" t="inlineStr">
        <is>
          <t>Ottawa (Ontario)</t>
        </is>
      </c>
      <c r="P4610" t="n">
        <v>478.75</v>
      </c>
      <c r="Q4610" t="n">
        <v>173.59</v>
      </c>
      <c r="R4610" t="n">
        <v>280.87</v>
      </c>
      <c r="S4610" t="n">
        <v>214.8</v>
      </c>
      <c r="T4610" t="n">
        <v>0</v>
      </c>
      <c r="U4610" t="n">
        <v>1148.01</v>
      </c>
      <c r="X4610" t="inlineStr">
        <is>
          <t>acoa-apeca</t>
        </is>
      </c>
      <c r="Y4610" t="inlineStr">
        <is>
          <t>Atlantic Canada Opportunities Agency | Agence de promotion économique du Canada atlantique</t>
        </is>
      </c>
    </row>
    <row r="4611">
      <c r="A4611" t="inlineStr">
        <is>
          <t>T-2019-Q3-00055</t>
        </is>
      </c>
      <c r="B4611" t="inlineStr">
        <is>
          <t>SLE</t>
        </is>
      </c>
      <c r="C4611" t="inlineStr">
        <is>
          <t>Vice-President, Nova Scotia</t>
        </is>
      </c>
      <c r="D4611" t="inlineStr">
        <is>
          <t>Vice-président, Nouvelle-Écosse</t>
        </is>
      </c>
      <c r="E4611" t="inlineStr">
        <is>
          <t>Chuck Maillet</t>
        </is>
      </c>
      <c r="F4611" t="inlineStr">
        <is>
          <t>Various meetings with Agency officials, clients and stakeholders</t>
        </is>
      </c>
      <c r="G4611" t="inlineStr">
        <is>
          <t>Diverses réunions avec des fonctionnaires de l'Agence, des clients et des intervenants</t>
        </is>
      </c>
      <c r="H4611" s="1" t="n">
        <v>43397</v>
      </c>
      <c r="I4611" s="1" t="n">
        <v>43398</v>
      </c>
      <c r="J4611" t="inlineStr">
        <is>
          <t>St. John's, Newfoundland and Labrador</t>
        </is>
      </c>
      <c r="K4611" t="inlineStr">
        <is>
          <t>St. John's (Terre-Neuve-et-Labrador)</t>
        </is>
      </c>
      <c r="P4611" t="n">
        <v>809.2</v>
      </c>
      <c r="Q4611" t="n">
        <v>392.29</v>
      </c>
      <c r="R4611" t="n">
        <v>184.45</v>
      </c>
      <c r="S4611" t="n">
        <v>134.6</v>
      </c>
      <c r="T4611" t="n">
        <v>62.2</v>
      </c>
      <c r="U4611" t="n">
        <v>1582.74</v>
      </c>
      <c r="X4611" t="inlineStr">
        <is>
          <t>acoa-apeca</t>
        </is>
      </c>
      <c r="Y4611" t="inlineStr">
        <is>
          <t>Atlantic Canada Opportunities Agency | Agence de promotion économique du Canada atlantique</t>
        </is>
      </c>
    </row>
    <row r="4612">
      <c r="A4612" t="inlineStr">
        <is>
          <t>T-2019-Q3-00054</t>
        </is>
      </c>
      <c r="B4612" t="inlineStr">
        <is>
          <t>SLE</t>
        </is>
      </c>
      <c r="C4612" t="inlineStr">
        <is>
          <t>Vice-President, Nova Scotia</t>
        </is>
      </c>
      <c r="D4612" t="inlineStr">
        <is>
          <t>Vice-président, Nouvelle-Écosse</t>
        </is>
      </c>
      <c r="E4612" t="inlineStr">
        <is>
          <t>Chuck Maillet</t>
        </is>
      </c>
      <c r="F4612" t="inlineStr">
        <is>
          <t>Various meetings with clients and stakeholders in Northern Nova Scotia</t>
        </is>
      </c>
      <c r="G4612" t="inlineStr">
        <is>
          <t>Diverses réunions avec des clients et des intervenants dans le nord de la Nouvelle-Écosse</t>
        </is>
      </c>
      <c r="H4612" s="1" t="n">
        <v>43396</v>
      </c>
      <c r="I4612" s="1" t="n">
        <v>43397</v>
      </c>
      <c r="J4612" t="inlineStr">
        <is>
          <t>Pictou, Antigonish, Guysborough and Strait, Nova Scotia</t>
        </is>
      </c>
      <c r="K4612" t="inlineStr">
        <is>
          <t>Pictou, Antigonish, Guysborough et détroit de Canso (Nouvelle-Écosse)</t>
        </is>
      </c>
      <c r="P4612" t="n">
        <v>0</v>
      </c>
      <c r="Q4612" t="n">
        <v>0</v>
      </c>
      <c r="R4612" t="n">
        <v>185.15</v>
      </c>
      <c r="S4612" t="n">
        <v>87.55</v>
      </c>
      <c r="T4612" t="n">
        <v>0</v>
      </c>
      <c r="U4612" t="n">
        <v>272.7</v>
      </c>
      <c r="X4612" t="inlineStr">
        <is>
          <t>acoa-apeca</t>
        </is>
      </c>
      <c r="Y4612" t="inlineStr">
        <is>
          <t>Atlantic Canada Opportunities Agency | Agence de promotion économique du Canada atlantique</t>
        </is>
      </c>
    </row>
    <row r="4613">
      <c r="A4613" t="inlineStr">
        <is>
          <t>T-2019-Q3-00052</t>
        </is>
      </c>
      <c r="B4613" t="inlineStr">
        <is>
          <t>SLE</t>
        </is>
      </c>
      <c r="C4613" t="inlineStr">
        <is>
          <t>Vice-President, Nova Scotia</t>
        </is>
      </c>
      <c r="D4613" t="inlineStr">
        <is>
          <t>Vice-président, Nouvelle-Écosse</t>
        </is>
      </c>
      <c r="E4613" t="inlineStr">
        <is>
          <t>Chuck Maillet</t>
        </is>
      </c>
      <c r="F4613" t="inlineStr">
        <is>
          <t xml:space="preserve">Meetings with Agency officials </t>
        </is>
      </c>
      <c r="G4613" t="inlineStr">
        <is>
          <t>Réunions avec des fonctionnaires de l'Agence</t>
        </is>
      </c>
      <c r="H4613" s="1" t="n">
        <v>43389</v>
      </c>
      <c r="I4613" s="1" t="n">
        <v>43391</v>
      </c>
      <c r="J4613" t="inlineStr">
        <is>
          <t xml:space="preserve">Moncton, New Brunswick </t>
        </is>
      </c>
      <c r="K4613" t="inlineStr">
        <is>
          <t>Moncton (Nouveau-Brunswick)</t>
        </is>
      </c>
      <c r="P4613" t="n">
        <v>0</v>
      </c>
      <c r="Q4613" t="n">
        <v>34.5</v>
      </c>
      <c r="R4613" t="n">
        <v>303.6</v>
      </c>
      <c r="S4613" t="n">
        <v>172.15</v>
      </c>
      <c r="T4613" t="n">
        <v>0</v>
      </c>
      <c r="U4613" t="n">
        <v>510.25</v>
      </c>
      <c r="X4613" t="inlineStr">
        <is>
          <t>acoa-apeca</t>
        </is>
      </c>
      <c r="Y4613" t="inlineStr">
        <is>
          <t>Atlantic Canada Opportunities Agency | Agence de promotion économique du Canada atlantique</t>
        </is>
      </c>
    </row>
    <row r="4614">
      <c r="A4614" t="inlineStr">
        <is>
          <t>T-2019-Q3-00051</t>
        </is>
      </c>
      <c r="B4614" t="inlineStr">
        <is>
          <t>SLE</t>
        </is>
      </c>
      <c r="C4614" t="inlineStr">
        <is>
          <t>Vice-President, Nova Scotia</t>
        </is>
      </c>
      <c r="D4614" t="inlineStr">
        <is>
          <t>Vice-président, Nouvelle-Écosse</t>
        </is>
      </c>
      <c r="E4614" t="inlineStr">
        <is>
          <t>Chuck Maillet</t>
        </is>
      </c>
      <c r="F4614" t="inlineStr">
        <is>
          <t>Various meetings with stakeholders</t>
        </is>
      </c>
      <c r="G4614" t="inlineStr">
        <is>
          <t>Diverses réunions avec des intervenants</t>
        </is>
      </c>
      <c r="H4614" s="1" t="n">
        <v>43363</v>
      </c>
      <c r="I4614" s="1" t="n">
        <v>43364</v>
      </c>
      <c r="J4614" t="inlineStr">
        <is>
          <t>Corner Brook and Deer Lake, Newfoundland and Labrador</t>
        </is>
      </c>
      <c r="K4614" t="inlineStr">
        <is>
          <t>Corner Brook et Deer Lake (Terre-Neuve-et-Labrador)</t>
        </is>
      </c>
      <c r="P4614" t="n">
        <v>448.79</v>
      </c>
      <c r="Q4614" t="n">
        <v>79.13</v>
      </c>
      <c r="R4614" t="n">
        <v>174.9</v>
      </c>
      <c r="S4614" t="n">
        <v>73.25</v>
      </c>
      <c r="T4614" t="n">
        <v>0</v>
      </c>
      <c r="U4614" t="n">
        <v>776.0700000000001</v>
      </c>
      <c r="X4614" t="inlineStr">
        <is>
          <t>acoa-apeca</t>
        </is>
      </c>
      <c r="Y4614" t="inlineStr">
        <is>
          <t>Atlantic Canada Opportunities Agency | Agence de promotion économique du Canada atlantique</t>
        </is>
      </c>
    </row>
    <row r="4615">
      <c r="A4615" t="inlineStr">
        <is>
          <t>T-2019-Q2-00055</t>
        </is>
      </c>
      <c r="B4615" t="inlineStr">
        <is>
          <t>SLE</t>
        </is>
      </c>
      <c r="C4615" t="inlineStr">
        <is>
          <t>Vice-President, Nova Scotia</t>
        </is>
      </c>
      <c r="D4615" t="inlineStr">
        <is>
          <t>Vice-président, Nouvelle-Écosse</t>
        </is>
      </c>
      <c r="E4615" t="inlineStr">
        <is>
          <t>Chuck Maillet</t>
        </is>
      </c>
      <c r="F4615" t="inlineStr">
        <is>
          <t>Various meetings with Agency officials and clients</t>
        </is>
      </c>
      <c r="G4615" t="inlineStr">
        <is>
          <t>Diverses réunions avec des fonctionnaires de l'Agence et des clients</t>
        </is>
      </c>
      <c r="H4615" s="1" t="n">
        <v>43341</v>
      </c>
      <c r="I4615" s="1" t="n">
        <v>43342</v>
      </c>
      <c r="J4615" t="inlineStr">
        <is>
          <t>Sydney, Nova Scotia</t>
        </is>
      </c>
      <c r="K4615" t="inlineStr">
        <is>
          <t>Sydney (Nouvelle-Écosse)</t>
        </is>
      </c>
      <c r="P4615" t="n">
        <v>560.5700000000001</v>
      </c>
      <c r="Q4615" t="n">
        <v>15</v>
      </c>
      <c r="R4615" t="n">
        <v>164.47</v>
      </c>
      <c r="S4615" t="n">
        <v>140.85</v>
      </c>
      <c r="T4615" t="n">
        <v>0</v>
      </c>
      <c r="U4615" t="n">
        <v>880.89</v>
      </c>
      <c r="X4615" t="inlineStr">
        <is>
          <t>acoa-apeca</t>
        </is>
      </c>
      <c r="Y4615" t="inlineStr">
        <is>
          <t>Atlantic Canada Opportunities Agency | Agence de promotion économique du Canada atlantique</t>
        </is>
      </c>
    </row>
    <row r="4616">
      <c r="A4616" t="inlineStr">
        <is>
          <t>T-2019-Q3-00049</t>
        </is>
      </c>
      <c r="B4616" t="inlineStr">
        <is>
          <t>SLE</t>
        </is>
      </c>
      <c r="C4616" t="inlineStr">
        <is>
          <t>Vice-President, Nova Scotia</t>
        </is>
      </c>
      <c r="D4616" t="inlineStr">
        <is>
          <t>Vice-président, Nouvelle-Écosse</t>
        </is>
      </c>
      <c r="E4616" t="inlineStr">
        <is>
          <t>Chuck Maillet</t>
        </is>
      </c>
      <c r="F4616" t="inlineStr">
        <is>
          <t xml:space="preserve">Various meetings with Government of Canada officials and key stakeholders </t>
        </is>
      </c>
      <c r="G4616" t="inlineStr">
        <is>
          <t>Diverses réunions avec des fonctionnaires fédéraux et des intervenants clés</t>
        </is>
      </c>
      <c r="H4616" s="1" t="n">
        <v>43360</v>
      </c>
      <c r="I4616" s="1" t="n">
        <v>43362</v>
      </c>
      <c r="J4616" t="inlineStr">
        <is>
          <t>Montreal, Quebec</t>
        </is>
      </c>
      <c r="K4616" t="inlineStr">
        <is>
          <t>Montréal (Québec)</t>
        </is>
      </c>
      <c r="P4616" t="n">
        <v>1122.63</v>
      </c>
      <c r="Q4616" t="n">
        <v>99.5</v>
      </c>
      <c r="R4616" t="n">
        <v>473.64</v>
      </c>
      <c r="S4616" t="n">
        <v>273.65</v>
      </c>
      <c r="T4616" t="n">
        <v>0</v>
      </c>
      <c r="U4616" t="n">
        <v>1969.42</v>
      </c>
      <c r="X4616" t="inlineStr">
        <is>
          <t>acoa-apeca</t>
        </is>
      </c>
      <c r="Y4616" t="inlineStr">
        <is>
          <t>Atlantic Canada Opportunities Agency | Agence de promotion économique du Canada atlantique</t>
        </is>
      </c>
    </row>
    <row r="4617">
      <c r="A4617" t="inlineStr">
        <is>
          <t>T-2019-Q3-00048</t>
        </is>
      </c>
      <c r="B4617" t="inlineStr">
        <is>
          <t>SLE</t>
        </is>
      </c>
      <c r="C4617" t="inlineStr">
        <is>
          <t>Vice-President, Nova Scotia</t>
        </is>
      </c>
      <c r="D4617" t="inlineStr">
        <is>
          <t>Vice-président, Nouvelle-Écosse</t>
        </is>
      </c>
      <c r="E4617" t="inlineStr">
        <is>
          <t>Chuck Maillet</t>
        </is>
      </c>
      <c r="F4617" t="inlineStr">
        <is>
          <t>Various meetings with bilateral stakeholders</t>
        </is>
      </c>
      <c r="G4617" t="inlineStr">
        <is>
          <t>Diverses réunions avec des intervenants bilatéraux</t>
        </is>
      </c>
      <c r="H4617" s="1" t="n">
        <v>43346</v>
      </c>
      <c r="I4617" s="1" t="n">
        <v>43349</v>
      </c>
      <c r="J4617" t="inlineStr">
        <is>
          <t>St. John's, Newfoundland and Labrador; Saint-Pierre et Miquelon, France</t>
        </is>
      </c>
      <c r="K4617" t="inlineStr">
        <is>
          <t>St. John's (Terre-Neuve-et-Labrador); Saint-Pierre et Miquelon (France)</t>
        </is>
      </c>
      <c r="P4617" t="n">
        <v>881.66</v>
      </c>
      <c r="Q4617" t="n">
        <v>579.3099999999999</v>
      </c>
      <c r="R4617" t="n">
        <v>555.08</v>
      </c>
      <c r="S4617" t="n">
        <v>393.53</v>
      </c>
      <c r="T4617" t="n">
        <v>53.51</v>
      </c>
      <c r="U4617" t="n">
        <v>2463.09</v>
      </c>
      <c r="X4617" t="inlineStr">
        <is>
          <t>acoa-apeca</t>
        </is>
      </c>
      <c r="Y4617" t="inlineStr">
        <is>
          <t>Atlantic Canada Opportunities Agency | Agence de promotion économique du Canada atlantique</t>
        </is>
      </c>
    </row>
    <row r="4618">
      <c r="A4618" t="inlineStr">
        <is>
          <t>T-2019-Q3-00033</t>
        </is>
      </c>
      <c r="B4618" t="inlineStr">
        <is>
          <t>SLE</t>
        </is>
      </c>
      <c r="C4618" t="inlineStr">
        <is>
          <t>Vice-President, Policy, Programs and Communications</t>
        </is>
      </c>
      <c r="D4618" t="inlineStr">
        <is>
          <t>Vice-président, Politiques et Programmes</t>
        </is>
      </c>
      <c r="E4618" t="inlineStr">
        <is>
          <t>Daryell Nowlan</t>
        </is>
      </c>
      <c r="F4618" t="inlineStr">
        <is>
          <t>Trade mission to China</t>
        </is>
      </c>
      <c r="G4618" t="inlineStr">
        <is>
          <t>Mission commerciale en Chine</t>
        </is>
      </c>
      <c r="H4618" s="1" t="n">
        <v>43409</v>
      </c>
      <c r="I4618" s="1" t="n">
        <v>43417</v>
      </c>
      <c r="J4618" t="inlineStr">
        <is>
          <t>Qingdao, Shanghai and Beijing, China</t>
        </is>
      </c>
      <c r="K4618" t="inlineStr">
        <is>
          <t>Qingdao, Shanghai et Beijing (Chine)</t>
        </is>
      </c>
      <c r="P4618" t="n">
        <v>8695.17</v>
      </c>
      <c r="Q4618" t="n">
        <v>45</v>
      </c>
      <c r="R4618" t="n">
        <v>2271.57</v>
      </c>
      <c r="S4618" t="n">
        <v>928.33</v>
      </c>
      <c r="T4618" t="n">
        <v>163.28</v>
      </c>
      <c r="U4618" t="n">
        <v>12103.35</v>
      </c>
      <c r="X4618" t="inlineStr">
        <is>
          <t>acoa-apeca</t>
        </is>
      </c>
      <c r="Y4618" t="inlineStr">
        <is>
          <t>Atlantic Canada Opportunities Agency | Agence de promotion économique du Canada atlantique</t>
        </is>
      </c>
    </row>
    <row r="4619">
      <c r="A4619" t="inlineStr">
        <is>
          <t>T-2019-Q3-00031</t>
        </is>
      </c>
      <c r="B4619" t="inlineStr">
        <is>
          <t>SLE</t>
        </is>
      </c>
      <c r="C4619" t="inlineStr">
        <is>
          <t>Vice-President, Policy, Programs and Communications</t>
        </is>
      </c>
      <c r="D4619" t="inlineStr">
        <is>
          <t>Vice-président, Politiques et Programmes</t>
        </is>
      </c>
      <c r="E4619" t="inlineStr">
        <is>
          <t>Daryell Nowlan</t>
        </is>
      </c>
      <c r="F4619" t="inlineStr">
        <is>
          <t>Meetings with Government of Canada officials</t>
        </is>
      </c>
      <c r="G4619" t="inlineStr">
        <is>
          <t>Réunions avec des fonctionnaires fédéraux</t>
        </is>
      </c>
      <c r="H4619" s="1" t="n">
        <v>43402</v>
      </c>
      <c r="I4619" s="1" t="n">
        <v>43404</v>
      </c>
      <c r="J4619" t="inlineStr">
        <is>
          <t>Ottawa, Ontario</t>
        </is>
      </c>
      <c r="K4619" t="inlineStr">
        <is>
          <t>Ottawa (Ontario)</t>
        </is>
      </c>
      <c r="P4619" t="n">
        <v>726.8</v>
      </c>
      <c r="Q4619" t="n">
        <v>108.49</v>
      </c>
      <c r="R4619" t="n">
        <v>467.72</v>
      </c>
      <c r="S4619" t="n">
        <v>241.6</v>
      </c>
      <c r="T4619" t="n">
        <v>0</v>
      </c>
      <c r="U4619" t="n">
        <v>1544.61</v>
      </c>
      <c r="X4619" t="inlineStr">
        <is>
          <t>acoa-apeca</t>
        </is>
      </c>
      <c r="Y4619" t="inlineStr">
        <is>
          <t>Atlantic Canada Opportunities Agency | Agence de promotion économique du Canada atlantique</t>
        </is>
      </c>
    </row>
    <row r="4620">
      <c r="A4620" t="inlineStr">
        <is>
          <t>T-2019-Q3-00012</t>
        </is>
      </c>
      <c r="B4620" t="inlineStr">
        <is>
          <t>SLE</t>
        </is>
      </c>
      <c r="C4620" t="inlineStr">
        <is>
          <t>Vice-President, Policy, Programs and Communications</t>
        </is>
      </c>
      <c r="D4620" t="inlineStr">
        <is>
          <t>Vice-président, Politiques et Programmes</t>
        </is>
      </c>
      <c r="E4620" t="inlineStr">
        <is>
          <t>Daryell Nowlan</t>
        </is>
      </c>
      <c r="F4620" t="inlineStr">
        <is>
          <t>Meetings with Government of Canada officials and private sector officials</t>
        </is>
      </c>
      <c r="G4620" t="inlineStr">
        <is>
          <t>Réunions avec des fonctionnaires fédéraux et des représentants du secteur privé</t>
        </is>
      </c>
      <c r="H4620" s="1" t="n">
        <v>43367</v>
      </c>
      <c r="I4620" s="1" t="n">
        <v>43371</v>
      </c>
      <c r="J4620" t="inlineStr">
        <is>
          <t>Halifax, Nova Scotia and Ottawa, Ontario</t>
        </is>
      </c>
      <c r="K4620" t="inlineStr">
        <is>
          <t>Halifax (Nouvelle-Écosse) et Ottawa (Ontario)</t>
        </is>
      </c>
      <c r="P4620" t="n">
        <v>1090.2</v>
      </c>
      <c r="Q4620" t="n">
        <v>141.5</v>
      </c>
      <c r="R4620" t="n">
        <v>901.74</v>
      </c>
      <c r="S4620" t="n">
        <v>423.75</v>
      </c>
      <c r="T4620" t="n">
        <v>0</v>
      </c>
      <c r="U4620" t="n">
        <v>2557.19</v>
      </c>
      <c r="X4620" t="inlineStr">
        <is>
          <t>acoa-apeca</t>
        </is>
      </c>
      <c r="Y4620" t="inlineStr">
        <is>
          <t>Atlantic Canada Opportunities Agency | Agence de promotion économique du Canada atlantique</t>
        </is>
      </c>
    </row>
    <row r="4621">
      <c r="A4621" t="inlineStr">
        <is>
          <t>T-2019-Q3-00011</t>
        </is>
      </c>
      <c r="B4621" t="inlineStr">
        <is>
          <t>SLE</t>
        </is>
      </c>
      <c r="C4621" t="inlineStr">
        <is>
          <t>Vice-President, Policy, Programs and Communications</t>
        </is>
      </c>
      <c r="D4621" t="inlineStr">
        <is>
          <t>Vice-président, Politiques et Programmes</t>
        </is>
      </c>
      <c r="E4621" t="inlineStr">
        <is>
          <t>Daryell Nowlan</t>
        </is>
      </c>
      <c r="F4621" t="inlineStr">
        <is>
          <t xml:space="preserve">Meetings with Government of Canada officials </t>
        </is>
      </c>
      <c r="G4621" t="inlineStr">
        <is>
          <t>Réunions avec des fonctionnaires fédéraux</t>
        </is>
      </c>
      <c r="H4621" s="1" t="n">
        <v>43360</v>
      </c>
      <c r="I4621" s="1" t="n">
        <v>43363</v>
      </c>
      <c r="J4621" t="inlineStr">
        <is>
          <t>Ottawa, Ontario</t>
        </is>
      </c>
      <c r="K4621" t="inlineStr">
        <is>
          <t>Ottawa (Ontario)</t>
        </is>
      </c>
      <c r="P4621" t="n">
        <v>803.17</v>
      </c>
      <c r="Q4621" t="n">
        <v>121.08</v>
      </c>
      <c r="R4621" t="n">
        <v>842.61</v>
      </c>
      <c r="S4621" t="n">
        <v>319.65</v>
      </c>
      <c r="T4621" t="n">
        <v>0</v>
      </c>
      <c r="U4621" t="n">
        <v>2086.51</v>
      </c>
      <c r="X4621" t="inlineStr">
        <is>
          <t>acoa-apeca</t>
        </is>
      </c>
      <c r="Y4621" t="inlineStr">
        <is>
          <t>Atlantic Canada Opportunities Agency | Agence de promotion économique du Canada atlantique</t>
        </is>
      </c>
    </row>
    <row r="4622">
      <c r="A4622" t="inlineStr">
        <is>
          <t>T-2019-Q3-00005</t>
        </is>
      </c>
      <c r="B4622" t="inlineStr">
        <is>
          <t>SLE</t>
        </is>
      </c>
      <c r="C4622" t="inlineStr">
        <is>
          <t>Vice-President, Policy, Programs and Communications</t>
        </is>
      </c>
      <c r="D4622" t="inlineStr">
        <is>
          <t>Vice-président, Politiques et Programmes</t>
        </is>
      </c>
      <c r="E4622" t="inlineStr">
        <is>
          <t>Daryell Nowlan</t>
        </is>
      </c>
      <c r="F4622" t="inlineStr">
        <is>
          <t>Atlantic Federal Council</t>
        </is>
      </c>
      <c r="G4622" t="inlineStr">
        <is>
          <t>Conseil fédéral de l'Atlantique</t>
        </is>
      </c>
      <c r="H4622" s="1" t="n">
        <v>43355</v>
      </c>
      <c r="I4622" s="1" t="n">
        <v>43356</v>
      </c>
      <c r="J4622" t="inlineStr">
        <is>
          <t>Charlottetown, Prince Edward Island</t>
        </is>
      </c>
      <c r="K4622" t="inlineStr">
        <is>
          <t>Charlottetown (Île-du-Prince-Édouard)</t>
        </is>
      </c>
      <c r="P4622" t="n">
        <v>0</v>
      </c>
      <c r="Q4622" t="n">
        <v>202.48</v>
      </c>
      <c r="R4622" t="n">
        <v>330.48</v>
      </c>
      <c r="S4622" t="n">
        <v>102.2</v>
      </c>
      <c r="T4622" t="n">
        <v>0</v>
      </c>
      <c r="U4622" t="n">
        <v>635.16</v>
      </c>
      <c r="X4622" t="inlineStr">
        <is>
          <t>acoa-apeca</t>
        </is>
      </c>
      <c r="Y4622" t="inlineStr">
        <is>
          <t>Atlantic Canada Opportunities Agency | Agence de promotion économique du Canada atlantique</t>
        </is>
      </c>
    </row>
    <row r="4623">
      <c r="A4623" t="inlineStr">
        <is>
          <t>T-2019-Q3-00004</t>
        </is>
      </c>
      <c r="B4623" t="inlineStr">
        <is>
          <t>SLE</t>
        </is>
      </c>
      <c r="C4623" t="inlineStr">
        <is>
          <t>Vice-President, Policy, Programs and Communications</t>
        </is>
      </c>
      <c r="D4623" t="inlineStr">
        <is>
          <t>Vice-président, Politiques et Programmes</t>
        </is>
      </c>
      <c r="E4623" t="inlineStr">
        <is>
          <t>Daryell Nowlan</t>
        </is>
      </c>
      <c r="F4623" t="inlineStr">
        <is>
          <t>Meetings with Government of Canada officials</t>
        </is>
      </c>
      <c r="G4623" t="inlineStr">
        <is>
          <t>Réunions avec des fonctionnaires du gouvernement du Canada</t>
        </is>
      </c>
      <c r="H4623" s="1" t="n">
        <v>43349</v>
      </c>
      <c r="I4623" s="1" t="n">
        <v>43350</v>
      </c>
      <c r="J4623" t="inlineStr">
        <is>
          <t>Ottawa, Ontario</t>
        </is>
      </c>
      <c r="K4623" t="inlineStr">
        <is>
          <t>Ottawa (Ontario)</t>
        </is>
      </c>
      <c r="P4623" t="n">
        <v>726.8</v>
      </c>
      <c r="Q4623" t="n">
        <v>99.84999999999999</v>
      </c>
      <c r="R4623" t="n">
        <v>222.11</v>
      </c>
      <c r="S4623" t="n">
        <v>169.3</v>
      </c>
      <c r="T4623" t="n">
        <v>0</v>
      </c>
      <c r="U4623" t="n">
        <v>1218.06</v>
      </c>
      <c r="X4623" t="inlineStr">
        <is>
          <t>acoa-apeca</t>
        </is>
      </c>
      <c r="Y4623" t="inlineStr">
        <is>
          <t>Atlantic Canada Opportunities Agency | Agence de promotion économique du Canada atlantique</t>
        </is>
      </c>
    </row>
    <row r="4624">
      <c r="A4624" t="inlineStr">
        <is>
          <t>T-2019-Q2-00025</t>
        </is>
      </c>
      <c r="B4624" t="inlineStr">
        <is>
          <t>SLE</t>
        </is>
      </c>
      <c r="C4624" t="inlineStr">
        <is>
          <t>President</t>
        </is>
      </c>
      <c r="D4624" t="inlineStr">
        <is>
          <t>Président</t>
        </is>
      </c>
      <c r="E4624" t="inlineStr">
        <is>
          <t>Francis McGuire</t>
        </is>
      </c>
      <c r="F4624" t="inlineStr">
        <is>
          <t>Meetings with Agency officials and key stakeholders</t>
        </is>
      </c>
      <c r="G4624" t="inlineStr">
        <is>
          <t>Réunions avec des fonctionnaires de l'Agence et des intervenants clés</t>
        </is>
      </c>
      <c r="H4624" s="1" t="n">
        <v>43311</v>
      </c>
      <c r="I4624" s="1" t="n">
        <v>43314</v>
      </c>
      <c r="J4624" t="inlineStr">
        <is>
          <t>Nackawic, New Brunswick; Halifax, Nova Scotia</t>
        </is>
      </c>
      <c r="K4624" t="inlineStr">
        <is>
          <t>Nackawic (Nouveau-Brunswick); Halifax (Nouvelle-Écosse)</t>
        </is>
      </c>
      <c r="P4624" t="n">
        <v>0</v>
      </c>
      <c r="Q4624" t="n">
        <v>448.96</v>
      </c>
      <c r="R4624" t="n">
        <v>228.74</v>
      </c>
      <c r="S4624" t="n">
        <v>140.6</v>
      </c>
      <c r="T4624" t="n">
        <v>0</v>
      </c>
      <c r="U4624" t="n">
        <v>818.3</v>
      </c>
      <c r="X4624" t="inlineStr">
        <is>
          <t>acoa-apeca</t>
        </is>
      </c>
      <c r="Y4624" t="inlineStr">
        <is>
          <t>Atlantic Canada Opportunities Agency | Agence de promotion économique du Canada atlantique</t>
        </is>
      </c>
    </row>
    <row r="4625">
      <c r="A4625" t="inlineStr">
        <is>
          <t>T-2019-Q2-00035</t>
        </is>
      </c>
      <c r="B4625" t="inlineStr">
        <is>
          <t>SLE</t>
        </is>
      </c>
      <c r="C4625" t="inlineStr">
        <is>
          <t>President</t>
        </is>
      </c>
      <c r="D4625" t="inlineStr">
        <is>
          <t>Président</t>
        </is>
      </c>
      <c r="E4625" t="inlineStr">
        <is>
          <t>Francis McGuire</t>
        </is>
      </c>
      <c r="F4625" t="inlineStr">
        <is>
          <t>For meetings with Agency officials and officials from the education sector</t>
        </is>
      </c>
      <c r="G4625" t="inlineStr">
        <is>
          <t xml:space="preserve">Réunions avec des fonctionnaires de l'Agence et des représentants du secteur de l'éducation </t>
        </is>
      </c>
      <c r="H4625" s="1" t="n">
        <v>43332</v>
      </c>
      <c r="I4625" s="1" t="n">
        <v>43333</v>
      </c>
      <c r="J4625" t="inlineStr">
        <is>
          <t>Charlottetown, Prince Edward Island</t>
        </is>
      </c>
      <c r="K4625" t="inlineStr">
        <is>
          <t>Charlottetown (Île-du-Prince-Édouard)</t>
        </is>
      </c>
      <c r="P4625" t="n">
        <v>0</v>
      </c>
      <c r="Q4625" t="n">
        <v>299.28</v>
      </c>
      <c r="R4625" t="n">
        <v>354.17</v>
      </c>
      <c r="S4625" t="n">
        <v>73.25</v>
      </c>
      <c r="T4625" t="n">
        <v>0</v>
      </c>
      <c r="U4625" t="n">
        <v>726.7</v>
      </c>
      <c r="X4625" t="inlineStr">
        <is>
          <t>acoa-apeca</t>
        </is>
      </c>
      <c r="Y4625" t="inlineStr">
        <is>
          <t>Atlantic Canada Opportunities Agency | Agence de promotion économique du Canada atlantique</t>
        </is>
      </c>
    </row>
    <row r="4626">
      <c r="A4626" t="inlineStr">
        <is>
          <t>T-2019-Q2-00034</t>
        </is>
      </c>
      <c r="B4626" t="inlineStr">
        <is>
          <t>SLE</t>
        </is>
      </c>
      <c r="C4626" t="inlineStr">
        <is>
          <t>President</t>
        </is>
      </c>
      <c r="D4626" t="inlineStr">
        <is>
          <t>Président</t>
        </is>
      </c>
      <c r="E4626" t="inlineStr">
        <is>
          <t>Francis McGuire</t>
        </is>
      </c>
      <c r="F4626" t="inlineStr">
        <is>
          <t>Meetings with Agency officials and key stakeholders</t>
        </is>
      </c>
      <c r="G4626" t="inlineStr">
        <is>
          <t>Réunions avec des fonctionnaires de l'Agence et des intervenants clés</t>
        </is>
      </c>
      <c r="H4626" s="1" t="n">
        <v>43326</v>
      </c>
      <c r="I4626" s="1" t="n">
        <v>43328</v>
      </c>
      <c r="J4626" t="inlineStr">
        <is>
          <t>Halifax, Nova Scotia; Saint John, New Brunswick</t>
        </is>
      </c>
      <c r="K4626" t="inlineStr">
        <is>
          <t>Halifax (Nouvelle-Écosse); Saint John (Nouveau-Brunswick)</t>
        </is>
      </c>
      <c r="P4626" t="n">
        <v>0</v>
      </c>
      <c r="Q4626" t="n">
        <v>580.88</v>
      </c>
      <c r="R4626" t="n">
        <v>205.28</v>
      </c>
      <c r="S4626" t="n">
        <v>121.15</v>
      </c>
      <c r="T4626" t="n">
        <v>5.5</v>
      </c>
      <c r="U4626" t="n">
        <v>912.8099999999999</v>
      </c>
      <c r="X4626" t="inlineStr">
        <is>
          <t>acoa-apeca</t>
        </is>
      </c>
      <c r="Y4626" t="inlineStr">
        <is>
          <t>Atlantic Canada Opportunities Agency | Agence de promotion économique du Canada atlantique</t>
        </is>
      </c>
    </row>
    <row r="4627">
      <c r="A4627" t="inlineStr">
        <is>
          <t>T-2019-Q3-00032</t>
        </is>
      </c>
      <c r="B4627" t="inlineStr">
        <is>
          <t>SLE</t>
        </is>
      </c>
      <c r="C4627" t="inlineStr">
        <is>
          <t>President</t>
        </is>
      </c>
      <c r="D4627" t="inlineStr">
        <is>
          <t>Président</t>
        </is>
      </c>
      <c r="E4627" t="inlineStr">
        <is>
          <t>Francis McGuire</t>
        </is>
      </c>
      <c r="F4627" t="inlineStr">
        <is>
          <t>Various meetings with Government of Canada officials</t>
        </is>
      </c>
      <c r="G4627" t="inlineStr">
        <is>
          <t>Diverses réunions avec des fonctionnaires fédéraux</t>
        </is>
      </c>
      <c r="H4627" s="1" t="n">
        <v>43403</v>
      </c>
      <c r="I4627" s="1" t="n">
        <v>43404</v>
      </c>
      <c r="J4627" t="inlineStr">
        <is>
          <t>Ottawa, Ontario</t>
        </is>
      </c>
      <c r="K4627" t="inlineStr">
        <is>
          <t>Ottawa (Ontario)</t>
        </is>
      </c>
      <c r="P4627" t="n">
        <v>937.49</v>
      </c>
      <c r="Q4627" t="n">
        <v>14.98</v>
      </c>
      <c r="R4627" t="n">
        <v>233.86</v>
      </c>
      <c r="S4627" t="n">
        <v>124.3</v>
      </c>
      <c r="T4627" t="n">
        <v>24</v>
      </c>
      <c r="U4627" t="n">
        <v>1334.63</v>
      </c>
      <c r="X4627" t="inlineStr">
        <is>
          <t>acoa-apeca</t>
        </is>
      </c>
      <c r="Y4627" t="inlineStr">
        <is>
          <t>Atlantic Canada Opportunities Agency | Agence de promotion économique du Canada atlantique</t>
        </is>
      </c>
    </row>
    <row r="4628">
      <c r="A4628" t="inlineStr">
        <is>
          <t>T-2019-Q3-00028</t>
        </is>
      </c>
      <c r="B4628" t="inlineStr">
        <is>
          <t>SLE</t>
        </is>
      </c>
      <c r="C4628" t="inlineStr">
        <is>
          <t>President</t>
        </is>
      </c>
      <c r="D4628" t="inlineStr">
        <is>
          <t>Président</t>
        </is>
      </c>
      <c r="E4628" t="inlineStr">
        <is>
          <t>Francis McGuire</t>
        </is>
      </c>
      <c r="F4628" t="inlineStr">
        <is>
          <t>Northern Nova Scotia tour and site visits in St. John's, Newfoundland and Labrador</t>
        </is>
      </c>
      <c r="G4628" t="inlineStr">
        <is>
          <t>Tournée du nord de la Nouvelle-Écosse et visites des lieux à St. John's (Terre-Neuve-et-Labrador)</t>
        </is>
      </c>
      <c r="H4628" s="1" t="n">
        <v>43395</v>
      </c>
      <c r="I4628" s="1" t="n">
        <v>43399</v>
      </c>
      <c r="J4628" t="inlineStr">
        <is>
          <t>Halifax, Nova Scotia and St. John's, Newfoundland and Labrador</t>
        </is>
      </c>
      <c r="K4628" t="inlineStr">
        <is>
          <t>Halifax (Nouvelle-Écosse) et St. John's (Terre-Neuve-et-Labrador)</t>
        </is>
      </c>
      <c r="P4628" t="n">
        <v>974.51</v>
      </c>
      <c r="Q4628" t="n">
        <v>98.62</v>
      </c>
      <c r="R4628" t="n">
        <v>740.9299999999999</v>
      </c>
      <c r="S4628" t="n">
        <v>386.95</v>
      </c>
      <c r="T4628" t="n">
        <v>0</v>
      </c>
      <c r="U4628" t="n">
        <v>2201.01</v>
      </c>
      <c r="X4628" t="inlineStr">
        <is>
          <t>acoa-apeca</t>
        </is>
      </c>
      <c r="Y4628" t="inlineStr">
        <is>
          <t>Atlantic Canada Opportunities Agency | Agence de promotion économique du Canada atlantique</t>
        </is>
      </c>
    </row>
    <row r="4629">
      <c r="A4629" t="inlineStr">
        <is>
          <t>T-2019-Q2-00042</t>
        </is>
      </c>
      <c r="B4629" t="inlineStr">
        <is>
          <t>SLE</t>
        </is>
      </c>
      <c r="C4629" t="inlineStr">
        <is>
          <t>President</t>
        </is>
      </c>
      <c r="D4629" t="inlineStr">
        <is>
          <t>Président</t>
        </is>
      </c>
      <c r="E4629" t="inlineStr">
        <is>
          <t>Francis McGuire</t>
        </is>
      </c>
      <c r="F4629" t="inlineStr">
        <is>
          <t>Meetings with Government of Canada officials</t>
        </is>
      </c>
      <c r="G4629" t="inlineStr">
        <is>
          <t>Réunions avec des fonctionnaires fédéraux</t>
        </is>
      </c>
      <c r="H4629" s="1" t="n">
        <v>43339</v>
      </c>
      <c r="I4629" s="1" t="n">
        <v>43341</v>
      </c>
      <c r="J4629" t="inlineStr">
        <is>
          <t>Ottawa, Ontario</t>
        </is>
      </c>
      <c r="K4629" t="inlineStr">
        <is>
          <t>Ottawa (Ontario)</t>
        </is>
      </c>
      <c r="P4629" t="n">
        <v>580.72</v>
      </c>
      <c r="Q4629" t="n">
        <v>40.14</v>
      </c>
      <c r="R4629" t="n">
        <v>467.72</v>
      </c>
      <c r="S4629" t="n">
        <v>225.25</v>
      </c>
      <c r="T4629" t="n">
        <v>36</v>
      </c>
      <c r="U4629" t="n">
        <v>1349.83</v>
      </c>
      <c r="X4629" t="inlineStr">
        <is>
          <t>acoa-apeca</t>
        </is>
      </c>
      <c r="Y4629" t="inlineStr">
        <is>
          <t>Atlantic Canada Opportunities Agency | Agence de promotion économique du Canada atlantique</t>
        </is>
      </c>
    </row>
    <row r="4630">
      <c r="A4630" t="inlineStr">
        <is>
          <t>T-2019-Q3-00023</t>
        </is>
      </c>
      <c r="B4630" t="inlineStr">
        <is>
          <t>SLE</t>
        </is>
      </c>
      <c r="C4630" t="inlineStr">
        <is>
          <t>President</t>
        </is>
      </c>
      <c r="D4630" t="inlineStr">
        <is>
          <t>Président</t>
        </is>
      </c>
      <c r="E4630" t="inlineStr">
        <is>
          <t>Francis McGuire</t>
        </is>
      </c>
      <c r="F4630" t="inlineStr">
        <is>
          <t>Various events with key stakeholders</t>
        </is>
      </c>
      <c r="G4630" t="inlineStr">
        <is>
          <t>Diverses activités avec des intervenants clés</t>
        </is>
      </c>
      <c r="H4630" s="1" t="n">
        <v>43391</v>
      </c>
      <c r="I4630" s="1" t="n">
        <v>43393</v>
      </c>
      <c r="J4630" t="inlineStr">
        <is>
          <t>Sillikers, New Brunswick and Halifax, Nova Scotia</t>
        </is>
      </c>
      <c r="K4630" t="inlineStr">
        <is>
          <t>Sillikers (Nouveau-Brunswick) et Halifax (Nouvelle-Écosse)</t>
        </is>
      </c>
      <c r="P4630" t="n">
        <v>0</v>
      </c>
      <c r="Q4630" t="n">
        <v>546.6</v>
      </c>
      <c r="R4630" t="n">
        <v>205.28</v>
      </c>
      <c r="S4630" t="n">
        <v>142</v>
      </c>
      <c r="T4630" t="n">
        <v>31.05</v>
      </c>
      <c r="U4630" t="n">
        <v>924.9299999999999</v>
      </c>
      <c r="X4630" t="inlineStr">
        <is>
          <t>acoa-apeca</t>
        </is>
      </c>
      <c r="Y4630" t="inlineStr">
        <is>
          <t>Atlantic Canada Opportunities Agency | Agence de promotion économique du Canada atlantique</t>
        </is>
      </c>
    </row>
    <row r="4631">
      <c r="A4631" t="inlineStr">
        <is>
          <t>T-2019-Q3-00013</t>
        </is>
      </c>
      <c r="B4631" t="inlineStr">
        <is>
          <t>SLE</t>
        </is>
      </c>
      <c r="C4631" t="inlineStr">
        <is>
          <t>President</t>
        </is>
      </c>
      <c r="D4631" t="inlineStr">
        <is>
          <t>Président</t>
        </is>
      </c>
      <c r="E4631" t="inlineStr">
        <is>
          <t>Francis McGuire</t>
        </is>
      </c>
      <c r="F4631" t="inlineStr">
        <is>
          <t>Various meetings with Government of Canada officials</t>
        </is>
      </c>
      <c r="G4631" t="inlineStr">
        <is>
          <t>Diverses réunions avec des fonctionnaires fédéraux</t>
        </is>
      </c>
      <c r="H4631" s="1" t="n">
        <v>43369</v>
      </c>
      <c r="I4631" s="1" t="n">
        <v>43370</v>
      </c>
      <c r="J4631" t="inlineStr">
        <is>
          <t xml:space="preserve">Charlottetown, Prince Edward Island </t>
        </is>
      </c>
      <c r="K4631" t="inlineStr">
        <is>
          <t>Charlottetown (Île-du-Prince-Édouard)</t>
        </is>
      </c>
      <c r="P4631" t="n">
        <v>0</v>
      </c>
      <c r="Q4631" t="n">
        <v>313.59</v>
      </c>
      <c r="R4631" t="n">
        <v>354.17</v>
      </c>
      <c r="S4631" t="n">
        <v>121.4</v>
      </c>
      <c r="T4631" t="n">
        <v>28.75</v>
      </c>
      <c r="U4631" t="n">
        <v>817.91</v>
      </c>
      <c r="X4631" t="inlineStr">
        <is>
          <t>acoa-apeca</t>
        </is>
      </c>
      <c r="Y4631" t="inlineStr">
        <is>
          <t>Atlantic Canada Opportunities Agency | Agence de promotion économique du Canada atlantique</t>
        </is>
      </c>
    </row>
    <row r="4632">
      <c r="A4632" t="inlineStr">
        <is>
          <t>T-2019-Q2-00041</t>
        </is>
      </c>
      <c r="B4632" t="inlineStr">
        <is>
          <t>SLE</t>
        </is>
      </c>
      <c r="C4632" t="inlineStr">
        <is>
          <t>President</t>
        </is>
      </c>
      <c r="D4632" t="inlineStr">
        <is>
          <t>Président</t>
        </is>
      </c>
      <c r="E4632" t="inlineStr">
        <is>
          <t>Francis McGuire</t>
        </is>
      </c>
      <c r="F4632" t="inlineStr">
        <is>
          <t>Meetings with Government of Canada officials</t>
        </is>
      </c>
      <c r="G4632" t="inlineStr">
        <is>
          <t>Réunions avec des fonctionnaires fédéraux</t>
        </is>
      </c>
      <c r="H4632" s="1" t="n">
        <v>43334</v>
      </c>
      <c r="I4632" s="1" t="n">
        <v>43334</v>
      </c>
      <c r="J4632" t="inlineStr">
        <is>
          <t>Truro, Nova Scotia</t>
        </is>
      </c>
      <c r="K4632" t="inlineStr">
        <is>
          <t>Truro (Nouvelle-Écosse)</t>
        </is>
      </c>
      <c r="P4632" t="n">
        <v>0</v>
      </c>
      <c r="Q4632" t="n">
        <v>304.32</v>
      </c>
      <c r="R4632" t="n">
        <v>0</v>
      </c>
      <c r="S4632" t="n">
        <v>0</v>
      </c>
      <c r="T4632" t="n">
        <v>0</v>
      </c>
      <c r="U4632" t="n">
        <v>304.32</v>
      </c>
      <c r="X4632" t="inlineStr">
        <is>
          <t>acoa-apeca</t>
        </is>
      </c>
      <c r="Y4632" t="inlineStr">
        <is>
          <t>Atlantic Canada Opportunities Agency | Agence de promotion économique du Canada atlantique</t>
        </is>
      </c>
    </row>
    <row r="4633">
      <c r="A4633" t="inlineStr">
        <is>
          <t>T-2019-Q3-00006</t>
        </is>
      </c>
      <c r="B4633" t="inlineStr">
        <is>
          <t>SLE</t>
        </is>
      </c>
      <c r="C4633" t="inlineStr">
        <is>
          <t>President</t>
        </is>
      </c>
      <c r="D4633" t="inlineStr">
        <is>
          <t>Président</t>
        </is>
      </c>
      <c r="E4633" t="inlineStr">
        <is>
          <t>Francis McGuire</t>
        </is>
      </c>
      <c r="F4633" t="inlineStr">
        <is>
          <t>Meetings with Government of Canada officials and key stakeholders</t>
        </is>
      </c>
      <c r="G4633" t="inlineStr">
        <is>
          <t>Réunions avec des fonctionnaires fédéraux et des intervenants clés</t>
        </is>
      </c>
      <c r="H4633" s="1" t="n">
        <v>43362</v>
      </c>
      <c r="I4633" s="1" t="n">
        <v>43363</v>
      </c>
      <c r="J4633" t="inlineStr">
        <is>
          <t>Halifax, Nova Scotia</t>
        </is>
      </c>
      <c r="K4633" t="inlineStr">
        <is>
          <t>Halifax (Nouvelle-Écosse)</t>
        </is>
      </c>
      <c r="P4633" t="n">
        <v>0</v>
      </c>
      <c r="Q4633" t="n">
        <v>367.29</v>
      </c>
      <c r="R4633" t="n">
        <v>228.74</v>
      </c>
      <c r="S4633" t="n">
        <v>140.6</v>
      </c>
      <c r="T4633" t="n">
        <v>0</v>
      </c>
      <c r="U4633" t="n">
        <v>736.63</v>
      </c>
      <c r="X4633" t="inlineStr">
        <is>
          <t>acoa-apeca</t>
        </is>
      </c>
      <c r="Y4633" t="inlineStr">
        <is>
          <t>Atlantic Canada Opportunities Agency | Agence de promotion économique du Canada atlantique</t>
        </is>
      </c>
    </row>
    <row r="4634">
      <c r="A4634" t="inlineStr">
        <is>
          <t>T-2019-Q3-00003</t>
        </is>
      </c>
      <c r="B4634" t="inlineStr">
        <is>
          <t>SLE</t>
        </is>
      </c>
      <c r="C4634" t="inlineStr">
        <is>
          <t>President</t>
        </is>
      </c>
      <c r="D4634" t="inlineStr">
        <is>
          <t>Président</t>
        </is>
      </c>
      <c r="E4634" t="inlineStr">
        <is>
          <t>Francis McGuire</t>
        </is>
      </c>
      <c r="F4634" t="inlineStr">
        <is>
          <t>Meeting with Government of Canada officials and key stakeholders</t>
        </is>
      </c>
      <c r="G4634" t="inlineStr">
        <is>
          <t>Réunion avec des fonctionnaires fédéraux et des intervenants clés</t>
        </is>
      </c>
      <c r="H4634" s="1" t="n">
        <v>43360</v>
      </c>
      <c r="I4634" s="1" t="n">
        <v>43360</v>
      </c>
      <c r="J4634" t="inlineStr">
        <is>
          <t>Grand Falls, New Brunswick</t>
        </is>
      </c>
      <c r="K4634" t="inlineStr">
        <is>
          <t>Grand-Sault (Nouveau-Brunswick)</t>
        </is>
      </c>
      <c r="P4634" t="n">
        <v>0</v>
      </c>
      <c r="Q4634" t="n">
        <v>226.31</v>
      </c>
      <c r="R4634" t="n">
        <v>0</v>
      </c>
      <c r="S4634" t="n">
        <v>0</v>
      </c>
      <c r="T4634" t="n">
        <v>0</v>
      </c>
      <c r="U4634" t="n">
        <v>226.31</v>
      </c>
      <c r="X4634" t="inlineStr">
        <is>
          <t>acoa-apeca</t>
        </is>
      </c>
      <c r="Y4634" t="inlineStr">
        <is>
          <t>Atlantic Canada Opportunities Agency | Agence de promotion économique du Canada atlantique</t>
        </is>
      </c>
    </row>
    <row r="4635">
      <c r="A4635" t="inlineStr">
        <is>
          <t>T-2019-Q3-00002</t>
        </is>
      </c>
      <c r="B4635" t="inlineStr">
        <is>
          <t>SLE</t>
        </is>
      </c>
      <c r="C4635" t="inlineStr">
        <is>
          <t>President</t>
        </is>
      </c>
      <c r="D4635" t="inlineStr">
        <is>
          <t>Président</t>
        </is>
      </c>
      <c r="E4635" t="inlineStr">
        <is>
          <t>Francis McGuire</t>
        </is>
      </c>
      <c r="F4635" t="inlineStr">
        <is>
          <t>Various meetings with Government of Canada officials and key stakeholders</t>
        </is>
      </c>
      <c r="G4635" t="inlineStr">
        <is>
          <t>Diverses réunions avec des fonctionnaires fédéraux et des intervenants clés</t>
        </is>
      </c>
      <c r="H4635" s="1" t="n">
        <v>43354</v>
      </c>
      <c r="I4635" s="1" t="n">
        <v>43357</v>
      </c>
      <c r="J4635" t="inlineStr">
        <is>
          <t>Halifax, Nova Scotia and Charlottetown, Prince Edward Island</t>
        </is>
      </c>
      <c r="K4635" t="inlineStr">
        <is>
          <t>Halifax (Nouvelle-Écosse) et Charlottetown (Île-du-Prince-Édouard)</t>
        </is>
      </c>
      <c r="P4635" t="n">
        <v>0</v>
      </c>
      <c r="Q4635" t="n">
        <v>631.59</v>
      </c>
      <c r="R4635" t="n">
        <v>783.3200000000001</v>
      </c>
      <c r="S4635" t="n">
        <v>262.25</v>
      </c>
      <c r="T4635" t="n">
        <v>0</v>
      </c>
      <c r="U4635" t="n">
        <v>1677.16</v>
      </c>
      <c r="X4635" t="inlineStr">
        <is>
          <t>acoa-apeca</t>
        </is>
      </c>
      <c r="Y4635" t="inlineStr">
        <is>
          <t>Atlantic Canada Opportunities Agency | Agence de promotion économique du Canada atlantique</t>
        </is>
      </c>
    </row>
    <row r="4636">
      <c r="A4636" t="inlineStr">
        <is>
          <t>T-2019-Q3-00001</t>
        </is>
      </c>
      <c r="B4636" t="inlineStr">
        <is>
          <t>SLE</t>
        </is>
      </c>
      <c r="C4636" t="inlineStr">
        <is>
          <t>President</t>
        </is>
      </c>
      <c r="D4636" t="inlineStr">
        <is>
          <t>Président</t>
        </is>
      </c>
      <c r="E4636" t="inlineStr">
        <is>
          <t>Francis McGuire</t>
        </is>
      </c>
      <c r="F4636" t="inlineStr">
        <is>
          <t>Meetings with Government of Canada officials and an official from the education sector</t>
        </is>
      </c>
      <c r="G4636" t="inlineStr">
        <is>
          <t>Réunions avec des fonctionnaires fédéraux et un représentant du secteur de l'éducation</t>
        </is>
      </c>
      <c r="H4636" s="1" t="n">
        <v>43348</v>
      </c>
      <c r="I4636" s="1" t="n">
        <v>43350</v>
      </c>
      <c r="J4636" t="inlineStr">
        <is>
          <t>Sackville, New Brunswick; Ottawa, Ontario</t>
        </is>
      </c>
      <c r="K4636" t="inlineStr">
        <is>
          <t>Sackville (Nouveau-Brunswick); Ottawa (Ontario)</t>
        </is>
      </c>
      <c r="P4636" t="n">
        <v>819.76</v>
      </c>
      <c r="Q4636" t="n">
        <v>110.26</v>
      </c>
      <c r="R4636" t="n">
        <v>356.09</v>
      </c>
      <c r="S4636" t="n">
        <v>101.95</v>
      </c>
      <c r="T4636" t="n">
        <v>0</v>
      </c>
      <c r="U4636" t="n">
        <v>1388.06</v>
      </c>
      <c r="X4636" t="inlineStr">
        <is>
          <t>acoa-apeca</t>
        </is>
      </c>
      <c r="Y4636" t="inlineStr">
        <is>
          <t>Atlantic Canada Opportunities Agency | Agence de promotion économique du Canada atlantique</t>
        </is>
      </c>
    </row>
    <row r="4637">
      <c r="A4637" t="inlineStr">
        <is>
          <t>T-2019-Q3-00067</t>
        </is>
      </c>
      <c r="B4637" t="inlineStr">
        <is>
          <t>SLE</t>
        </is>
      </c>
      <c r="C4637" t="inlineStr">
        <is>
          <t>Vice-President, Newfoundland and Labrador</t>
        </is>
      </c>
      <c r="D4637" t="inlineStr">
        <is>
          <t>Vice-président, Terre-Neuve-et-Labrador</t>
        </is>
      </c>
      <c r="E4637" t="inlineStr">
        <is>
          <t>Ken Martin</t>
        </is>
      </c>
      <c r="F4637" t="inlineStr">
        <is>
          <t xml:space="preserve">Attend Ocean Supercluster Working Group meeting </t>
        </is>
      </c>
      <c r="G4637" t="inlineStr">
        <is>
          <t>Assister à une réunion du groupe de travail sur la supergrappe de l'économie océanique</t>
        </is>
      </c>
      <c r="H4637" s="1" t="n">
        <v>43410</v>
      </c>
      <c r="I4637" s="1" t="n">
        <v>43412</v>
      </c>
      <c r="J4637" t="inlineStr">
        <is>
          <t>St. Andrews, New Brunswick</t>
        </is>
      </c>
      <c r="K4637" t="inlineStr">
        <is>
          <t>St. Andrews (Nouveau-Brunswick)</t>
        </is>
      </c>
      <c r="P4637" t="n">
        <v>784.91</v>
      </c>
      <c r="Q4637" t="n">
        <v>391.12</v>
      </c>
      <c r="R4637" t="n">
        <v>298.99</v>
      </c>
      <c r="S4637" t="n">
        <v>262.25</v>
      </c>
      <c r="T4637" t="n">
        <v>0</v>
      </c>
      <c r="U4637" t="n">
        <v>1737.27</v>
      </c>
      <c r="X4637" t="inlineStr">
        <is>
          <t>acoa-apeca</t>
        </is>
      </c>
      <c r="Y4637" t="inlineStr">
        <is>
          <t>Atlantic Canada Opportunities Agency | Agence de promotion économique du Canada atlantique</t>
        </is>
      </c>
    </row>
    <row r="4638">
      <c r="A4638" t="inlineStr">
        <is>
          <t>T-2019-Q3-00045</t>
        </is>
      </c>
      <c r="B4638" t="inlineStr">
        <is>
          <t>SLE</t>
        </is>
      </c>
      <c r="C4638" t="inlineStr">
        <is>
          <t>Vice-President, Newfoundland and Labrador</t>
        </is>
      </c>
      <c r="D4638" t="inlineStr">
        <is>
          <t>Vice-président, Terre-Neuve-et-Labrador</t>
        </is>
      </c>
      <c r="E4638" t="inlineStr">
        <is>
          <t>Ken Martin</t>
        </is>
      </c>
      <c r="F4638" t="inlineStr">
        <is>
          <t>Meetings with senior government officials in Ottawa</t>
        </is>
      </c>
      <c r="G4638" t="inlineStr">
        <is>
          <t>Réunions avec des hauts fonctionnaires à Ottawa</t>
        </is>
      </c>
      <c r="H4638" s="1" t="n">
        <v>43424</v>
      </c>
      <c r="I4638" s="1" t="n">
        <v>43426</v>
      </c>
      <c r="J4638" t="inlineStr">
        <is>
          <t>Ottawa, Ontario</t>
        </is>
      </c>
      <c r="K4638" t="inlineStr">
        <is>
          <t>Ottawa (Ontario)</t>
        </is>
      </c>
      <c r="P4638" t="n">
        <v>851.01</v>
      </c>
      <c r="Q4638" t="n">
        <v>49.45</v>
      </c>
      <c r="R4638" t="n">
        <v>322</v>
      </c>
      <c r="S4638" t="n">
        <v>282.1</v>
      </c>
      <c r="T4638" t="n">
        <v>0</v>
      </c>
      <c r="U4638" t="n">
        <v>1504.56</v>
      </c>
      <c r="X4638" t="inlineStr">
        <is>
          <t>acoa-apeca</t>
        </is>
      </c>
      <c r="Y4638" t="inlineStr">
        <is>
          <t>Atlantic Canada Opportunities Agency | Agence de promotion économique du Canada atlantique</t>
        </is>
      </c>
    </row>
    <row r="4639">
      <c r="A4639" t="inlineStr">
        <is>
          <t>T-2019-Q3-00044</t>
        </is>
      </c>
      <c r="B4639" t="inlineStr">
        <is>
          <t>SLE</t>
        </is>
      </c>
      <c r="C4639" t="inlineStr">
        <is>
          <t>Vice-President, Newfoundland and Labrador</t>
        </is>
      </c>
      <c r="D4639" t="inlineStr">
        <is>
          <t>Vice-président, Terre-Neuve-et-Labrador</t>
        </is>
      </c>
      <c r="E4639" t="inlineStr">
        <is>
          <t>Ken Martin</t>
        </is>
      </c>
      <c r="F4639" t="inlineStr">
        <is>
          <t>Attend client meetings in Labrador City</t>
        </is>
      </c>
      <c r="G4639" t="inlineStr">
        <is>
          <t>Assister à des réunions avec des clients à Labrador City</t>
        </is>
      </c>
      <c r="H4639" s="1" t="n">
        <v>43430</v>
      </c>
      <c r="I4639" s="1" t="n">
        <v>43431</v>
      </c>
      <c r="J4639" t="inlineStr">
        <is>
          <t>Labrador City, Newfoundland and Labrador</t>
        </is>
      </c>
      <c r="K4639" t="inlineStr">
        <is>
          <t>Labrador City (Terre-Neuve-et-Labrador)</t>
        </is>
      </c>
      <c r="P4639" t="n">
        <v>1338.52</v>
      </c>
      <c r="Q4639" t="n">
        <v>16.1</v>
      </c>
      <c r="R4639" t="n">
        <v>172.5</v>
      </c>
      <c r="S4639" t="n">
        <v>174.7</v>
      </c>
      <c r="T4639" t="n">
        <v>0</v>
      </c>
      <c r="U4639" t="n">
        <v>1701.82</v>
      </c>
      <c r="X4639" t="inlineStr">
        <is>
          <t>acoa-apeca</t>
        </is>
      </c>
      <c r="Y4639" t="inlineStr">
        <is>
          <t>Atlantic Canada Opportunities Agency | Agence de promotion économique du Canada atlantique</t>
        </is>
      </c>
    </row>
    <row r="4640">
      <c r="A4640" t="inlineStr">
        <is>
          <t>T-2019-Q3-00029</t>
        </is>
      </c>
      <c r="B4640" t="inlineStr">
        <is>
          <t>SLE</t>
        </is>
      </c>
      <c r="C4640" t="inlineStr">
        <is>
          <t>Vice-President, Newfoundland and Labrador</t>
        </is>
      </c>
      <c r="D4640" t="inlineStr">
        <is>
          <t>Vice-président, Terre-Neuve-et-Labrador</t>
        </is>
      </c>
      <c r="E4640" t="inlineStr">
        <is>
          <t>Ken Martin</t>
        </is>
      </c>
      <c r="F4640" t="inlineStr">
        <is>
          <t>Attend Department of Fisheries and Oceans Joint Senior Management meeting in Ottawa</t>
        </is>
      </c>
      <c r="G4640" t="inlineStr">
        <is>
          <t xml:space="preserve">Assister à une réunion conjointe des cadres du ministère des Pêches et des Océans à Ottawa </t>
        </is>
      </c>
      <c r="H4640" s="1" t="n">
        <v>43402</v>
      </c>
      <c r="I4640" s="1" t="n">
        <v>43403</v>
      </c>
      <c r="J4640" t="inlineStr">
        <is>
          <t>Ottawa, Ontario</t>
        </is>
      </c>
      <c r="K4640" t="inlineStr">
        <is>
          <t>Ottawa (Ontario)</t>
        </is>
      </c>
      <c r="P4640" t="n">
        <v>676.03</v>
      </c>
      <c r="Q4640" t="n">
        <v>61.05</v>
      </c>
      <c r="R4640" t="n">
        <v>233.86</v>
      </c>
      <c r="S4640" t="n">
        <v>174.7</v>
      </c>
      <c r="T4640" t="n">
        <v>0</v>
      </c>
      <c r="U4640" t="n">
        <v>1145.64</v>
      </c>
      <c r="X4640" t="inlineStr">
        <is>
          <t>acoa-apeca</t>
        </is>
      </c>
      <c r="Y4640" t="inlineStr">
        <is>
          <t>Atlantic Canada Opportunities Agency | Agence de promotion économique du Canada atlantique</t>
        </is>
      </c>
    </row>
    <row r="4641">
      <c r="A4641" t="inlineStr">
        <is>
          <t>T-2019-Q3-00026</t>
        </is>
      </c>
      <c r="B4641" t="inlineStr">
        <is>
          <t>SLE</t>
        </is>
      </c>
      <c r="C4641" t="inlineStr">
        <is>
          <t>Vice-President, Newfoundland and Labrador</t>
        </is>
      </c>
      <c r="D4641" t="inlineStr">
        <is>
          <t>Vice-président, Terre-Neuve-et-Labrador</t>
        </is>
      </c>
      <c r="E4641" t="inlineStr">
        <is>
          <t>Ken Martin</t>
        </is>
      </c>
      <c r="F4641" t="inlineStr">
        <is>
          <t>Attend meetings with clients in St. John's and surrounding area</t>
        </is>
      </c>
      <c r="G4641" t="inlineStr">
        <is>
          <t>Assister à des réunions avec des clients à St. John's et aux environs</t>
        </is>
      </c>
      <c r="H4641" s="1" t="n">
        <v>43397</v>
      </c>
      <c r="I4641" s="1" t="n">
        <v>43399</v>
      </c>
      <c r="J4641" t="inlineStr">
        <is>
          <t>St. John's and surrounding area, Newfoundland and Labrador</t>
        </is>
      </c>
      <c r="K4641" t="inlineStr">
        <is>
          <t>St. John's et environs (Terre-Neuve-et-Labrador)</t>
        </is>
      </c>
      <c r="P4641" t="n">
        <v>0</v>
      </c>
      <c r="Q4641" t="n">
        <v>32.1</v>
      </c>
      <c r="R4641" t="n">
        <v>0</v>
      </c>
      <c r="S4641" t="n">
        <v>50</v>
      </c>
      <c r="T4641" t="n">
        <v>0</v>
      </c>
      <c r="U4641" t="n">
        <v>82.09999999999999</v>
      </c>
      <c r="X4641" t="inlineStr">
        <is>
          <t>acoa-apeca</t>
        </is>
      </c>
      <c r="Y4641" t="inlineStr">
        <is>
          <t>Atlantic Canada Opportunities Agency | Agence de promotion économique du Canada atlantique</t>
        </is>
      </c>
    </row>
    <row r="4642">
      <c r="A4642" t="inlineStr">
        <is>
          <t>T-2019-Q3-00025</t>
        </is>
      </c>
      <c r="B4642" t="inlineStr">
        <is>
          <t>SLE</t>
        </is>
      </c>
      <c r="C4642" t="inlineStr">
        <is>
          <t>Vice-President, Newfoundland and Labrador</t>
        </is>
      </c>
      <c r="D4642" t="inlineStr">
        <is>
          <t>Vice-président, Terre-Neuve-et-Labrador</t>
        </is>
      </c>
      <c r="E4642" t="inlineStr">
        <is>
          <t>Ken Martin</t>
        </is>
      </c>
      <c r="F4642" t="inlineStr">
        <is>
          <t>Attend EX engagement and EXCOM meetings in Moncton</t>
        </is>
      </c>
      <c r="G4642" t="inlineStr">
        <is>
          <t>Assister à une séance d'engagement pour cadres supérieurs et à une réunion du Comité de direction à Moncton</t>
        </is>
      </c>
      <c r="H4642" s="1" t="n">
        <v>43389</v>
      </c>
      <c r="I4642" s="1" t="n">
        <v>43391</v>
      </c>
      <c r="J4642" t="inlineStr">
        <is>
          <t>Moncton, New Brunswick</t>
        </is>
      </c>
      <c r="K4642" t="inlineStr">
        <is>
          <t>Moncton (Nouveau-Brunswick)</t>
        </is>
      </c>
      <c r="P4642" t="n">
        <v>755.0599999999999</v>
      </c>
      <c r="Q4642" t="n">
        <v>73.09999999999999</v>
      </c>
      <c r="R4642" t="n">
        <v>303.6</v>
      </c>
      <c r="S4642" t="n">
        <v>122.15</v>
      </c>
      <c r="T4642" t="n">
        <v>0</v>
      </c>
      <c r="U4642" t="n">
        <v>1253.91</v>
      </c>
      <c r="X4642" t="inlineStr">
        <is>
          <t>acoa-apeca</t>
        </is>
      </c>
      <c r="Y4642" t="inlineStr">
        <is>
          <t>Atlantic Canada Opportunities Agency | Agence de promotion économique du Canada atlantique</t>
        </is>
      </c>
    </row>
    <row r="4643">
      <c r="A4643" t="inlineStr">
        <is>
          <t>T-2019-Q3-00024</t>
        </is>
      </c>
      <c r="B4643" t="inlineStr">
        <is>
          <t>SLE</t>
        </is>
      </c>
      <c r="C4643" t="inlineStr">
        <is>
          <t>Vice-President, Newfoundland and Labrador</t>
        </is>
      </c>
      <c r="D4643" t="inlineStr">
        <is>
          <t>Vice-président, Terre-Neuve-et-Labrador</t>
        </is>
      </c>
      <c r="E4643" t="inlineStr">
        <is>
          <t>Ken Martin</t>
        </is>
      </c>
      <c r="F4643" t="inlineStr">
        <is>
          <t>Attend meetings with senior representatives of the Norwegian Embassy in Ottawa</t>
        </is>
      </c>
      <c r="G4643" t="inlineStr">
        <is>
          <t>Assister à des réunions avec des hauts représentants de l'ambassade de la Norvège à Ottawa</t>
        </is>
      </c>
      <c r="H4643" s="1" t="n">
        <v>43349</v>
      </c>
      <c r="I4643" s="1" t="n">
        <v>43350</v>
      </c>
      <c r="J4643" t="inlineStr">
        <is>
          <t>Ottawa, Ontario</t>
        </is>
      </c>
      <c r="K4643" t="inlineStr">
        <is>
          <t>Ottawa (Ontario)</t>
        </is>
      </c>
      <c r="P4643" t="n">
        <v>862.16</v>
      </c>
      <c r="Q4643" t="n">
        <v>90.95999999999999</v>
      </c>
      <c r="R4643" t="n">
        <v>233.86</v>
      </c>
      <c r="S4643" t="n">
        <v>150.1</v>
      </c>
      <c r="T4643" t="n">
        <v>0</v>
      </c>
      <c r="U4643" t="n">
        <v>1337.08</v>
      </c>
      <c r="X4643" t="inlineStr">
        <is>
          <t>acoa-apeca</t>
        </is>
      </c>
      <c r="Y4643" t="inlineStr">
        <is>
          <t>Atlantic Canada Opportunities Agency | Agence de promotion économique du Canada atlantique</t>
        </is>
      </c>
    </row>
    <row r="4644">
      <c r="A4644" t="inlineStr">
        <is>
          <t>T-2019-Q2-00054</t>
        </is>
      </c>
      <c r="B4644" t="inlineStr">
        <is>
          <t>SLE</t>
        </is>
      </c>
      <c r="C4644" t="inlineStr">
        <is>
          <t>Vice-President, Newfoundland and Labrador</t>
        </is>
      </c>
      <c r="D4644" t="inlineStr">
        <is>
          <t>Vice-président, Terre-Neuve-et-Labrador</t>
        </is>
      </c>
      <c r="E4644" t="inlineStr">
        <is>
          <t>Ken Martin</t>
        </is>
      </c>
      <c r="F4644" t="inlineStr">
        <is>
          <t xml:space="preserve">Attend various meetings and discussions with senior government and private sector officials in St. John's and surrounding area </t>
        </is>
      </c>
      <c r="G4644" t="inlineStr">
        <is>
          <t>Assister à diverses réunions et discussions avec des cadres supérieurs des secteurs privé et public à St. John's et aux environs</t>
        </is>
      </c>
      <c r="H4644" s="1" t="n">
        <v>43283</v>
      </c>
      <c r="I4644" s="1" t="n">
        <v>43371</v>
      </c>
      <c r="J4644" t="inlineStr">
        <is>
          <t>St. John's and surrounding area, Newfoundland and Labrador</t>
        </is>
      </c>
      <c r="K4644" t="inlineStr">
        <is>
          <t>St. John's et environs (Terre-Neuve-et-Labrador)</t>
        </is>
      </c>
      <c r="P4644" t="n">
        <v>0</v>
      </c>
      <c r="Q4644" t="n">
        <v>23.37</v>
      </c>
      <c r="R4644" t="n">
        <v>0</v>
      </c>
      <c r="S4644" t="n">
        <v>0</v>
      </c>
      <c r="T4644" t="n">
        <v>0</v>
      </c>
      <c r="U4644" t="n">
        <v>23.37</v>
      </c>
      <c r="X4644" t="inlineStr">
        <is>
          <t>acoa-apeca</t>
        </is>
      </c>
      <c r="Y4644" t="inlineStr">
        <is>
          <t>Atlantic Canada Opportunities Agency | Agence de promotion économique du Canada atlantique</t>
        </is>
      </c>
    </row>
    <row r="4645">
      <c r="A4645" t="inlineStr">
        <is>
          <t>T-2019-Q3-00010</t>
        </is>
      </c>
      <c r="B4645" t="inlineStr">
        <is>
          <t>SLE</t>
        </is>
      </c>
      <c r="C4645" t="inlineStr">
        <is>
          <t>Vice-President, Newfoundland and Labrador</t>
        </is>
      </c>
      <c r="D4645" t="inlineStr">
        <is>
          <t>Vice-président, Terre-Neuve-et-Labrador</t>
        </is>
      </c>
      <c r="E4645" t="inlineStr">
        <is>
          <t>Ken Martin</t>
        </is>
      </c>
      <c r="F4645" t="inlineStr">
        <is>
          <t>Attend forward agenda planning session</t>
        </is>
      </c>
      <c r="G4645" t="inlineStr">
        <is>
          <t>Assister à une séance de planification de l'ordre du jour à long terme</t>
        </is>
      </c>
      <c r="H4645" s="1" t="n">
        <v>43361</v>
      </c>
      <c r="I4645" s="1" t="n">
        <v>43361</v>
      </c>
      <c r="J4645" t="inlineStr">
        <is>
          <t>Chapel's Cove, Newfoundland and Labrador</t>
        </is>
      </c>
      <c r="K4645" t="inlineStr">
        <is>
          <t>Chapel's Cove (Terre-Neuve-et-Labrador)</t>
        </is>
      </c>
      <c r="P4645" t="n">
        <v>0</v>
      </c>
      <c r="Q4645" t="n">
        <v>76.95</v>
      </c>
      <c r="R4645" t="n">
        <v>0</v>
      </c>
      <c r="S4645" t="n">
        <v>19.2</v>
      </c>
      <c r="T4645" t="n">
        <v>0</v>
      </c>
      <c r="U4645" t="n">
        <v>96.15000000000001</v>
      </c>
      <c r="X4645" t="inlineStr">
        <is>
          <t>acoa-apeca</t>
        </is>
      </c>
      <c r="Y4645" t="inlineStr">
        <is>
          <t>Atlantic Canada Opportunities Agency | Agence de promotion économique du Canada atlantique</t>
        </is>
      </c>
    </row>
    <row r="4646">
      <c r="A4646" t="inlineStr">
        <is>
          <t>T-2019-Q3-00009</t>
        </is>
      </c>
      <c r="B4646" t="inlineStr">
        <is>
          <t>SLE</t>
        </is>
      </c>
      <c r="C4646" t="inlineStr">
        <is>
          <t>Vice-President, Newfoundland and Labrador</t>
        </is>
      </c>
      <c r="D4646" t="inlineStr">
        <is>
          <t>Vice-président, Terre-Neuve-et-Labrador</t>
        </is>
      </c>
      <c r="E4646" t="inlineStr">
        <is>
          <t>Ken Martin</t>
        </is>
      </c>
      <c r="F4646" t="inlineStr">
        <is>
          <t>Attend project announcement in Marystown</t>
        </is>
      </c>
      <c r="G4646" t="inlineStr">
        <is>
          <t>Assister à une annonce de projet à Marystown</t>
        </is>
      </c>
      <c r="H4646" s="1" t="n">
        <v>43357</v>
      </c>
      <c r="I4646" s="1" t="n">
        <v>43357</v>
      </c>
      <c r="J4646" t="inlineStr">
        <is>
          <t>Marystown, Newfoundland and Labrador</t>
        </is>
      </c>
      <c r="K4646" t="inlineStr">
        <is>
          <t>Marystown (Terre-Neuve-et-Labrador)</t>
        </is>
      </c>
      <c r="P4646" t="n">
        <v>0</v>
      </c>
      <c r="Q4646" t="n">
        <v>348.27</v>
      </c>
      <c r="R4646" t="n">
        <v>0</v>
      </c>
      <c r="S4646" t="n">
        <v>19.2</v>
      </c>
      <c r="T4646" t="n">
        <v>0</v>
      </c>
      <c r="U4646" t="n">
        <v>367.47</v>
      </c>
      <c r="X4646" t="inlineStr">
        <is>
          <t>acoa-apeca</t>
        </is>
      </c>
      <c r="Y4646" t="inlineStr">
        <is>
          <t>Atlantic Canada Opportunities Agency | Agence de promotion économique du Canada atlantique</t>
        </is>
      </c>
    </row>
    <row r="4647">
      <c r="A4647" t="inlineStr">
        <is>
          <t>T-2019-Q3-00008</t>
        </is>
      </c>
      <c r="B4647" t="inlineStr">
        <is>
          <t>SLE</t>
        </is>
      </c>
      <c r="C4647" t="inlineStr">
        <is>
          <t>Vice-President, Newfoundland and Labrador</t>
        </is>
      </c>
      <c r="D4647" t="inlineStr">
        <is>
          <t>Vice-président, Terre-Neuve-et-Labrador</t>
        </is>
      </c>
      <c r="E4647" t="inlineStr">
        <is>
          <t>Ken Martin</t>
        </is>
      </c>
      <c r="F4647" t="inlineStr">
        <is>
          <t>Attend client meetings in Corner Brook</t>
        </is>
      </c>
      <c r="G4647" t="inlineStr">
        <is>
          <t>Assister à des réunions avec des clients à Corner Brook</t>
        </is>
      </c>
      <c r="H4647" s="1" t="n">
        <v>43354</v>
      </c>
      <c r="I4647" s="1" t="n">
        <v>43355</v>
      </c>
      <c r="J4647" t="inlineStr">
        <is>
          <t>Corner Brook, Newfoundland and Labrador</t>
        </is>
      </c>
      <c r="K4647" t="inlineStr">
        <is>
          <t>Corner Brook (Terre-Neuve-et-Labrador)</t>
        </is>
      </c>
      <c r="P4647" t="n">
        <v>1122.75</v>
      </c>
      <c r="Q4647" t="n">
        <v>83.63</v>
      </c>
      <c r="R4647" t="n">
        <v>152.95</v>
      </c>
      <c r="S4647" t="n">
        <v>102.2</v>
      </c>
      <c r="T4647" t="n">
        <v>0</v>
      </c>
      <c r="U4647" t="n">
        <v>1461.53</v>
      </c>
      <c r="X4647" t="inlineStr">
        <is>
          <t>acoa-apeca</t>
        </is>
      </c>
      <c r="Y4647" t="inlineStr">
        <is>
          <t>Atlantic Canada Opportunities Agency | Agence de promotion économique du Canada atlantique</t>
        </is>
      </c>
    </row>
    <row r="4648">
      <c r="A4648" t="inlineStr">
        <is>
          <t>T-2019-Q3-00065</t>
        </is>
      </c>
      <c r="B4648" t="inlineStr">
        <is>
          <t>SLE</t>
        </is>
      </c>
      <c r="C4648" t="inlineStr">
        <is>
          <t>Vice-President, New Brunswick</t>
        </is>
      </c>
      <c r="D4648" t="inlineStr">
        <is>
          <t>Vice-président, Nouveau-Brunswick</t>
        </is>
      </c>
      <c r="E4648" t="inlineStr">
        <is>
          <t>Kent Estabrooks</t>
        </is>
      </c>
      <c r="F4648" t="inlineStr">
        <is>
          <t>Meeting with various officials</t>
        </is>
      </c>
      <c r="G4648" t="inlineStr">
        <is>
          <t>Réunion avec divers fonctionnaires</t>
        </is>
      </c>
      <c r="H4648" s="1" t="n">
        <v>43431</v>
      </c>
      <c r="I4648" s="1" t="n">
        <v>43432</v>
      </c>
      <c r="J4648" t="inlineStr">
        <is>
          <t>Halifax, Nova Scotia</t>
        </is>
      </c>
      <c r="K4648" t="inlineStr">
        <is>
          <t>Halifax (Nouvelle-Écosse)</t>
        </is>
      </c>
      <c r="P4648" t="n">
        <v>363.4</v>
      </c>
      <c r="Q4648" t="n">
        <v>29.9</v>
      </c>
      <c r="R4648" t="n">
        <v>198.24</v>
      </c>
      <c r="S4648" t="n">
        <v>174.7</v>
      </c>
      <c r="T4648" t="n">
        <v>0</v>
      </c>
      <c r="U4648" t="n">
        <v>766.24</v>
      </c>
      <c r="X4648" t="inlineStr">
        <is>
          <t>acoa-apeca</t>
        </is>
      </c>
      <c r="Y4648" t="inlineStr">
        <is>
          <t>Atlantic Canada Opportunities Agency | Agence de promotion économique du Canada atlantique</t>
        </is>
      </c>
    </row>
    <row r="4649">
      <c r="A4649" t="inlineStr">
        <is>
          <t>T-2019-Q3-00064</t>
        </is>
      </c>
      <c r="B4649" t="inlineStr">
        <is>
          <t>SLE</t>
        </is>
      </c>
      <c r="C4649" t="inlineStr">
        <is>
          <t>Vice-President, New Brunswick</t>
        </is>
      </c>
      <c r="D4649" t="inlineStr">
        <is>
          <t>Vice-président, Nouveau-Brunswick</t>
        </is>
      </c>
      <c r="E4649" t="inlineStr">
        <is>
          <t>Kent Estabrooks</t>
        </is>
      </c>
      <c r="F4649" t="inlineStr">
        <is>
          <t>Meeting with various officials</t>
        </is>
      </c>
      <c r="G4649" t="inlineStr">
        <is>
          <t>Réunion avec divers fonctionnaires</t>
        </is>
      </c>
      <c r="H4649" s="1" t="n">
        <v>43430</v>
      </c>
      <c r="I4649" s="1" t="n">
        <v>43431</v>
      </c>
      <c r="J4649" t="inlineStr">
        <is>
          <t>Moncton, New Brunswick</t>
        </is>
      </c>
      <c r="K4649" t="inlineStr">
        <is>
          <t>Moncton (Nouveau-Brunswick)</t>
        </is>
      </c>
      <c r="P4649" t="n">
        <v>0</v>
      </c>
      <c r="Q4649" t="n">
        <v>0</v>
      </c>
      <c r="R4649" t="n">
        <v>151.8</v>
      </c>
      <c r="S4649" t="n">
        <v>37.15</v>
      </c>
      <c r="T4649" t="n">
        <v>17.25</v>
      </c>
      <c r="U4649" t="n">
        <v>206.2</v>
      </c>
      <c r="X4649" t="inlineStr">
        <is>
          <t>acoa-apeca</t>
        </is>
      </c>
      <c r="Y4649" t="inlineStr">
        <is>
          <t>Atlantic Canada Opportunities Agency | Agence de promotion économique du Canada atlantique</t>
        </is>
      </c>
    </row>
    <row r="4650">
      <c r="A4650" t="inlineStr">
        <is>
          <t>T-2019-Q3-00063</t>
        </is>
      </c>
      <c r="B4650" t="inlineStr">
        <is>
          <t>SLE</t>
        </is>
      </c>
      <c r="C4650" t="inlineStr">
        <is>
          <t>Vice-President, New Brunswick</t>
        </is>
      </c>
      <c r="D4650" t="inlineStr">
        <is>
          <t>Vice-président, Nouveau-Brunswick</t>
        </is>
      </c>
      <c r="E4650" t="inlineStr">
        <is>
          <t>Kent Estabrooks</t>
        </is>
      </c>
      <c r="F4650" t="inlineStr">
        <is>
          <t>Meeting with Agency officials</t>
        </is>
      </c>
      <c r="G4650" t="inlineStr">
        <is>
          <t>Réunion avec des fonctionnaires de l'Agence</t>
        </is>
      </c>
      <c r="H4650" s="1" t="n">
        <v>43425</v>
      </c>
      <c r="I4650" s="1" t="n">
        <v>43426</v>
      </c>
      <c r="J4650" t="inlineStr">
        <is>
          <t>Moncton, New Brunswick</t>
        </is>
      </c>
      <c r="K4650" t="inlineStr">
        <is>
          <t>Moncton (Nouveau-Brunswick)</t>
        </is>
      </c>
      <c r="P4650" t="n">
        <v>0</v>
      </c>
      <c r="Q4650" t="n">
        <v>0</v>
      </c>
      <c r="R4650" t="n">
        <v>151.8</v>
      </c>
      <c r="S4650" t="n">
        <v>37.15</v>
      </c>
      <c r="T4650" t="n">
        <v>0</v>
      </c>
      <c r="U4650" t="n">
        <v>188.95</v>
      </c>
      <c r="X4650" t="inlineStr">
        <is>
          <t>acoa-apeca</t>
        </is>
      </c>
      <c r="Y4650" t="inlineStr">
        <is>
          <t>Atlantic Canada Opportunities Agency | Agence de promotion économique du Canada atlantique</t>
        </is>
      </c>
    </row>
    <row r="4651">
      <c r="A4651" t="inlineStr">
        <is>
          <t>T-2019-Q3-00062</t>
        </is>
      </c>
      <c r="B4651" t="inlineStr">
        <is>
          <t>SLE</t>
        </is>
      </c>
      <c r="C4651" t="inlineStr">
        <is>
          <t>Vice-President, New Brunswick</t>
        </is>
      </c>
      <c r="D4651" t="inlineStr">
        <is>
          <t>Vice-président, Nouveau-Brunswick</t>
        </is>
      </c>
      <c r="E4651" t="inlineStr">
        <is>
          <t>Kent Estabrooks</t>
        </is>
      </c>
      <c r="F4651" t="inlineStr">
        <is>
          <t>Meeting/Presentation with various federal officials</t>
        </is>
      </c>
      <c r="G4651" t="inlineStr">
        <is>
          <t>Réunion/exposé avec divers fonctionnaires fédéraux</t>
        </is>
      </c>
      <c r="H4651" s="1" t="n">
        <v>43424</v>
      </c>
      <c r="I4651" s="1" t="n">
        <v>43425</v>
      </c>
      <c r="J4651" t="inlineStr">
        <is>
          <t>Moncton and Saint John, New Brunswick</t>
        </is>
      </c>
      <c r="K4651" t="inlineStr">
        <is>
          <t>Moncton et Saint John (Nouveau-Brunswick)</t>
        </is>
      </c>
      <c r="P4651" t="n">
        <v>0</v>
      </c>
      <c r="Q4651" t="n">
        <v>0</v>
      </c>
      <c r="R4651" t="n">
        <v>148.35</v>
      </c>
      <c r="S4651" t="n">
        <v>87.15000000000001</v>
      </c>
      <c r="T4651" t="n">
        <v>17.25</v>
      </c>
      <c r="U4651" t="n">
        <v>252.75</v>
      </c>
      <c r="X4651" t="inlineStr">
        <is>
          <t>acoa-apeca</t>
        </is>
      </c>
      <c r="Y4651" t="inlineStr">
        <is>
          <t>Atlantic Canada Opportunities Agency | Agence de promotion économique du Canada atlantique</t>
        </is>
      </c>
    </row>
    <row r="4652">
      <c r="A4652" t="inlineStr">
        <is>
          <t>T-2019-Q3-00061</t>
        </is>
      </c>
      <c r="B4652" t="inlineStr">
        <is>
          <t>SLE</t>
        </is>
      </c>
      <c r="C4652" t="inlineStr">
        <is>
          <t>Vice-President, New Brunswick</t>
        </is>
      </c>
      <c r="D4652" t="inlineStr">
        <is>
          <t>Vice-président, Nouveau-Brunswick</t>
        </is>
      </c>
      <c r="E4652" t="inlineStr">
        <is>
          <t>Kent Estabrooks</t>
        </is>
      </c>
      <c r="F4652" t="inlineStr">
        <is>
          <t>Meeting/Presentation with various federal officials</t>
        </is>
      </c>
      <c r="G4652" t="inlineStr">
        <is>
          <t>Réunion/exposé avec divers fonctionnaires fédéraux</t>
        </is>
      </c>
      <c r="H4652" s="1" t="n">
        <v>43423</v>
      </c>
      <c r="I4652" s="1" t="n">
        <v>43424</v>
      </c>
      <c r="J4652" t="inlineStr">
        <is>
          <t>Charlottetown, Prince Edward Island</t>
        </is>
      </c>
      <c r="K4652" t="inlineStr">
        <is>
          <t>Charlottetown (Île-du-Prince-Édouard)</t>
        </is>
      </c>
      <c r="P4652" t="n">
        <v>0</v>
      </c>
      <c r="Q4652" t="n">
        <v>0</v>
      </c>
      <c r="R4652" t="n">
        <v>181.23</v>
      </c>
      <c r="S4652" t="n">
        <v>87.15000000000001</v>
      </c>
      <c r="T4652" t="n">
        <v>67.7</v>
      </c>
      <c r="U4652" t="n">
        <v>336.08</v>
      </c>
      <c r="X4652" t="inlineStr">
        <is>
          <t>acoa-apeca</t>
        </is>
      </c>
      <c r="Y4652" t="inlineStr">
        <is>
          <t>Atlantic Canada Opportunities Agency | Agence de promotion économique du Canada atlantique</t>
        </is>
      </c>
    </row>
    <row r="4653">
      <c r="A4653" t="inlineStr">
        <is>
          <t>T-2019-Q3-00060</t>
        </is>
      </c>
      <c r="B4653" t="inlineStr">
        <is>
          <t>SLE</t>
        </is>
      </c>
      <c r="C4653" t="inlineStr">
        <is>
          <t>Vice-President, New Brunswick</t>
        </is>
      </c>
      <c r="D4653" t="inlineStr">
        <is>
          <t>Vice-président, Nouveau-Brunswick</t>
        </is>
      </c>
      <c r="E4653" t="inlineStr">
        <is>
          <t>Kent Estabrooks</t>
        </is>
      </c>
      <c r="F4653" t="inlineStr">
        <is>
          <t>Meeting/Presentation with various federal officials</t>
        </is>
      </c>
      <c r="G4653" t="inlineStr">
        <is>
          <t>Réunion/exposé avec divers fonctionnaires fédéraux</t>
        </is>
      </c>
      <c r="H4653" s="1" t="n">
        <v>43422</v>
      </c>
      <c r="I4653" s="1" t="n">
        <v>43423</v>
      </c>
      <c r="J4653" t="inlineStr">
        <is>
          <t>Saint John, New Brunswick</t>
        </is>
      </c>
      <c r="K4653" t="inlineStr">
        <is>
          <t>Saint John (Nouveau-Brunswick)</t>
        </is>
      </c>
      <c r="P4653" t="n">
        <v>0</v>
      </c>
      <c r="Q4653" t="n">
        <v>0</v>
      </c>
      <c r="R4653" t="n">
        <v>125.56</v>
      </c>
      <c r="S4653" t="n">
        <v>134.6</v>
      </c>
      <c r="T4653" t="n">
        <v>18.34</v>
      </c>
      <c r="U4653" t="n">
        <v>278.5</v>
      </c>
      <c r="X4653" t="inlineStr">
        <is>
          <t>acoa-apeca</t>
        </is>
      </c>
      <c r="Y4653" t="inlineStr">
        <is>
          <t>Atlantic Canada Opportunities Agency | Agence de promotion économique du Canada atlantique</t>
        </is>
      </c>
    </row>
    <row r="4654">
      <c r="A4654" t="inlineStr">
        <is>
          <t>T-2019-Q3-00053</t>
        </is>
      </c>
      <c r="B4654" t="inlineStr">
        <is>
          <t>SLE</t>
        </is>
      </c>
      <c r="C4654" t="inlineStr">
        <is>
          <t>Vice-President, New Brunswick</t>
        </is>
      </c>
      <c r="D4654" t="inlineStr">
        <is>
          <t>Vice-président, Nouveau-Brunswick</t>
        </is>
      </c>
      <c r="E4654" t="inlineStr">
        <is>
          <t>Kent Estabrooks</t>
        </is>
      </c>
      <c r="F4654" t="inlineStr">
        <is>
          <t>Meeting with Agency officials</t>
        </is>
      </c>
      <c r="G4654" t="inlineStr">
        <is>
          <t>Réunion avec des fonctionnaires de l'Agence</t>
        </is>
      </c>
      <c r="H4654" s="1" t="n">
        <v>43413</v>
      </c>
      <c r="I4654" s="1" t="n">
        <v>43413</v>
      </c>
      <c r="J4654" t="inlineStr">
        <is>
          <t>Saint John, New Brunswick</t>
        </is>
      </c>
      <c r="K4654" t="inlineStr">
        <is>
          <t>Saint John (Nouveau-Brunswick)</t>
        </is>
      </c>
      <c r="P4654" t="n">
        <v>0</v>
      </c>
      <c r="Q4654" t="n">
        <v>34</v>
      </c>
      <c r="R4654" t="n">
        <v>130.3</v>
      </c>
      <c r="S4654" t="n">
        <v>37.15</v>
      </c>
      <c r="T4654" t="n">
        <v>0</v>
      </c>
      <c r="U4654" t="n">
        <v>201.45</v>
      </c>
      <c r="X4654" t="inlineStr">
        <is>
          <t>acoa-apeca</t>
        </is>
      </c>
      <c r="Y4654" t="inlineStr">
        <is>
          <t>Atlantic Canada Opportunities Agency | Agence de promotion économique du Canada atlantique</t>
        </is>
      </c>
    </row>
    <row r="4655">
      <c r="A4655" t="inlineStr">
        <is>
          <t>T-2019-Q3-00050</t>
        </is>
      </c>
      <c r="B4655" t="inlineStr">
        <is>
          <t>SLE</t>
        </is>
      </c>
      <c r="C4655" t="inlineStr">
        <is>
          <t>Vice-President, New Brunswick</t>
        </is>
      </c>
      <c r="D4655" t="inlineStr">
        <is>
          <t>Vice-président, Nouveau-Brunswick</t>
        </is>
      </c>
      <c r="E4655" t="inlineStr">
        <is>
          <t>Kent Estabrooks</t>
        </is>
      </c>
      <c r="F4655" t="inlineStr">
        <is>
          <t>Event with provincial/federal officials</t>
        </is>
      </c>
      <c r="G4655" t="inlineStr">
        <is>
          <t>Activité avec des fonctionnaires provinciaux/fédéraux</t>
        </is>
      </c>
      <c r="H4655" s="1" t="n">
        <v>43411</v>
      </c>
      <c r="I4655" s="1" t="n">
        <v>43412</v>
      </c>
      <c r="J4655" t="inlineStr">
        <is>
          <t xml:space="preserve">Halifax, Nova Scotia </t>
        </is>
      </c>
      <c r="K4655" t="inlineStr">
        <is>
          <t>Halifax (Nouvelle-Écosse)</t>
        </is>
      </c>
      <c r="P4655" t="n">
        <v>784.3</v>
      </c>
      <c r="Q4655" t="n">
        <v>120.7</v>
      </c>
      <c r="R4655" t="n">
        <v>238.72</v>
      </c>
      <c r="S4655" t="n">
        <v>174.3</v>
      </c>
      <c r="T4655" t="n">
        <v>0</v>
      </c>
      <c r="U4655" t="n">
        <v>1318.02</v>
      </c>
      <c r="X4655" t="inlineStr">
        <is>
          <t>acoa-apeca</t>
        </is>
      </c>
      <c r="Y4655" t="inlineStr">
        <is>
          <t>Atlantic Canada Opportunities Agency | Agence de promotion économique du Canada atlantique</t>
        </is>
      </c>
    </row>
    <row r="4656">
      <c r="A4656" t="inlineStr">
        <is>
          <t>T-2019-Q3-00036</t>
        </is>
      </c>
      <c r="B4656" t="inlineStr">
        <is>
          <t>SLE</t>
        </is>
      </c>
      <c r="C4656" t="inlineStr">
        <is>
          <t>Vice-President, Finance and Corporate Services</t>
        </is>
      </c>
      <c r="D4656" t="inlineStr">
        <is>
          <t>Vice-président, Finance et Services corporatifs</t>
        </is>
      </c>
      <c r="E4656" t="inlineStr">
        <is>
          <t>Stephane Lagace</t>
        </is>
      </c>
      <c r="F4656" t="inlineStr">
        <is>
          <t>APEX recognition ceremony</t>
        </is>
      </c>
      <c r="G4656" t="inlineStr">
        <is>
          <t>Cérémonie de reconnaissance de l'APEX</t>
        </is>
      </c>
      <c r="H4656" s="1" t="n">
        <v>43411</v>
      </c>
      <c r="I4656" s="1" t="n">
        <v>43412</v>
      </c>
      <c r="J4656" t="inlineStr">
        <is>
          <t>Ottawa, Ontario</t>
        </is>
      </c>
      <c r="K4656" t="inlineStr">
        <is>
          <t>Ottawa (Ontario)</t>
        </is>
      </c>
      <c r="P4656" t="n">
        <v>626.35</v>
      </c>
      <c r="Q4656" t="n">
        <v>77.44</v>
      </c>
      <c r="R4656" t="n">
        <v>225.64</v>
      </c>
      <c r="S4656" t="n">
        <v>74.7</v>
      </c>
      <c r="T4656" t="n">
        <v>28</v>
      </c>
      <c r="U4656" t="n">
        <v>1032.13</v>
      </c>
      <c r="X4656" t="inlineStr">
        <is>
          <t>acoa-apeca</t>
        </is>
      </c>
      <c r="Y4656" t="inlineStr">
        <is>
          <t>Atlantic Canada Opportunities Agency | Agence de promotion économique du Canada atlantique</t>
        </is>
      </c>
    </row>
    <row r="4657">
      <c r="A4657" t="inlineStr">
        <is>
          <t>T-2019-Q3-00047</t>
        </is>
      </c>
      <c r="B4657" t="inlineStr">
        <is>
          <t>SLE</t>
        </is>
      </c>
      <c r="C4657" t="inlineStr">
        <is>
          <t>Vice-President, New Brunswick</t>
        </is>
      </c>
      <c r="D4657" t="inlineStr">
        <is>
          <t>Vice-président, Nouveau-Brunswick</t>
        </is>
      </c>
      <c r="E4657" t="inlineStr">
        <is>
          <t>Kent Estabrooks</t>
        </is>
      </c>
      <c r="F4657" t="inlineStr">
        <is>
          <t>Meeting with federal official and client meeting</t>
        </is>
      </c>
      <c r="G4657" t="inlineStr">
        <is>
          <t>Réunion avec un fonctionnaire fédéral et réunion avec un client</t>
        </is>
      </c>
      <c r="H4657" s="1" t="n">
        <v>43401</v>
      </c>
      <c r="I4657" s="1" t="n">
        <v>43404</v>
      </c>
      <c r="J4657" t="inlineStr">
        <is>
          <t>Ottawa, Ontario</t>
        </is>
      </c>
      <c r="K4657" t="inlineStr">
        <is>
          <t>Ottawa (Ontario)</t>
        </is>
      </c>
      <c r="P4657" t="n">
        <v>784.3</v>
      </c>
      <c r="Q4657" t="n">
        <v>148.76</v>
      </c>
      <c r="R4657" t="n">
        <v>701.58</v>
      </c>
      <c r="S4657" t="n">
        <v>348.6</v>
      </c>
      <c r="T4657" t="n">
        <v>0</v>
      </c>
      <c r="U4657" t="n">
        <v>1983.24</v>
      </c>
      <c r="X4657" t="inlineStr">
        <is>
          <t>acoa-apeca</t>
        </is>
      </c>
      <c r="Y4657" t="inlineStr">
        <is>
          <t>Atlantic Canada Opportunities Agency | Agence de promotion économique du Canada atlantique</t>
        </is>
      </c>
    </row>
    <row r="4658">
      <c r="A4658" t="inlineStr">
        <is>
          <t>T-2019-Q3-00046</t>
        </is>
      </c>
      <c r="B4658" t="inlineStr">
        <is>
          <t>SLE</t>
        </is>
      </c>
      <c r="C4658" t="inlineStr">
        <is>
          <t>Vice-President, New Brunswick</t>
        </is>
      </c>
      <c r="D4658" t="inlineStr">
        <is>
          <t>Vice-président, Nouveau-Brunswick</t>
        </is>
      </c>
      <c r="E4658" t="inlineStr">
        <is>
          <t>Kent Estabrooks</t>
        </is>
      </c>
      <c r="F4658" t="inlineStr">
        <is>
          <t>Executive development and Agency Executive Committee meeting</t>
        </is>
      </c>
      <c r="G4658" t="inlineStr">
        <is>
          <t>Perfectionnement des cadres supérieurs et réunion du Comité de direction de l'Agence</t>
        </is>
      </c>
      <c r="H4658" s="1" t="n">
        <v>43389</v>
      </c>
      <c r="I4658" s="1" t="n">
        <v>43392</v>
      </c>
      <c r="J4658" t="inlineStr">
        <is>
          <t>Moncton, New Brunswick</t>
        </is>
      </c>
      <c r="K4658" t="inlineStr">
        <is>
          <t>Moncton (Nouveau-Brunswick)</t>
        </is>
      </c>
      <c r="P4658" t="n">
        <v>0</v>
      </c>
      <c r="Q4658" t="n">
        <v>0</v>
      </c>
      <c r="R4658" t="n">
        <v>507.15</v>
      </c>
      <c r="S4658" t="n">
        <v>169.2</v>
      </c>
      <c r="T4658" t="n">
        <v>1.85</v>
      </c>
      <c r="U4658" t="n">
        <v>678.2</v>
      </c>
      <c r="X4658" t="inlineStr">
        <is>
          <t>acoa-apeca</t>
        </is>
      </c>
      <c r="Y4658" t="inlineStr">
        <is>
          <t>Atlantic Canada Opportunities Agency | Agence de promotion économique du Canada atlantique</t>
        </is>
      </c>
    </row>
    <row r="4659">
      <c r="A4659" t="inlineStr">
        <is>
          <t>T-2019-Q3-00018</t>
        </is>
      </c>
      <c r="B4659" t="inlineStr">
        <is>
          <t>SLE</t>
        </is>
      </c>
      <c r="C4659" t="inlineStr">
        <is>
          <t>Vice-President, New Brunswick</t>
        </is>
      </c>
      <c r="D4659" t="inlineStr">
        <is>
          <t>Vice-président, Nouveau-Brunswick</t>
        </is>
      </c>
      <c r="E4659" t="inlineStr">
        <is>
          <t>Kent Estabrooks</t>
        </is>
      </c>
      <c r="F4659" t="inlineStr">
        <is>
          <t>Meeting with a client</t>
        </is>
      </c>
      <c r="G4659" t="inlineStr">
        <is>
          <t>Réunion avec un client</t>
        </is>
      </c>
      <c r="H4659" s="1" t="n">
        <v>43370</v>
      </c>
      <c r="I4659" s="1" t="n">
        <v>43370</v>
      </c>
      <c r="J4659" t="inlineStr">
        <is>
          <t>Saint John, New Brunswick</t>
        </is>
      </c>
      <c r="K4659" t="inlineStr">
        <is>
          <t>Saint John (Nouveau-Brunswick)</t>
        </is>
      </c>
      <c r="P4659" t="n">
        <v>0</v>
      </c>
      <c r="Q4659" t="n">
        <v>0</v>
      </c>
      <c r="R4659" t="n">
        <v>19.2</v>
      </c>
      <c r="S4659" t="n">
        <v>0</v>
      </c>
      <c r="T4659" t="n">
        <v>0</v>
      </c>
      <c r="U4659" t="n">
        <v>19.2</v>
      </c>
      <c r="X4659" t="inlineStr">
        <is>
          <t>acoa-apeca</t>
        </is>
      </c>
      <c r="Y4659" t="inlineStr">
        <is>
          <t>Atlantic Canada Opportunities Agency | Agence de promotion économique du Canada atlantique</t>
        </is>
      </c>
    </row>
    <row r="4660">
      <c r="A4660" t="inlineStr">
        <is>
          <t>T-2019-Q3-00017</t>
        </is>
      </c>
      <c r="B4660" t="inlineStr">
        <is>
          <t>SLE</t>
        </is>
      </c>
      <c r="C4660" t="inlineStr">
        <is>
          <t>Vice-President, New Brunswick</t>
        </is>
      </c>
      <c r="D4660" t="inlineStr">
        <is>
          <t>Vice-président, Nouveau-Brunswick</t>
        </is>
      </c>
      <c r="E4660" t="inlineStr">
        <is>
          <t>Kent Estabrooks</t>
        </is>
      </c>
      <c r="F4660" t="inlineStr">
        <is>
          <t>Champion file meetings</t>
        </is>
      </c>
      <c r="G4660" t="inlineStr">
        <is>
          <t>Réunions sur les dossiers des champions</t>
        </is>
      </c>
      <c r="H4660" s="1" t="n">
        <v>43384</v>
      </c>
      <c r="I4660" s="1" t="n">
        <v>43385</v>
      </c>
      <c r="J4660" t="inlineStr">
        <is>
          <t>Halifax, Nova Scotia</t>
        </is>
      </c>
      <c r="K4660" t="inlineStr">
        <is>
          <t>Halifax (Nouvelle-Écosse)</t>
        </is>
      </c>
      <c r="P4660" t="n">
        <v>726.8</v>
      </c>
      <c r="Q4660" t="n">
        <v>105.38</v>
      </c>
      <c r="R4660" t="n">
        <v>233.43</v>
      </c>
      <c r="S4660" t="n">
        <v>154.45</v>
      </c>
      <c r="T4660" t="n">
        <v>9.5</v>
      </c>
      <c r="U4660" t="n">
        <v>1229.56</v>
      </c>
      <c r="X4660" t="inlineStr">
        <is>
          <t>acoa-apeca</t>
        </is>
      </c>
      <c r="Y4660" t="inlineStr">
        <is>
          <t>Atlantic Canada Opportunities Agency | Agence de promotion économique du Canada atlantique</t>
        </is>
      </c>
    </row>
    <row r="4661">
      <c r="A4661" t="inlineStr">
        <is>
          <t>T-2019-Q3-00016</t>
        </is>
      </c>
      <c r="B4661" t="inlineStr">
        <is>
          <t>SLE</t>
        </is>
      </c>
      <c r="C4661" t="inlineStr">
        <is>
          <t>Vice-President, New Brunswick</t>
        </is>
      </c>
      <c r="D4661" t="inlineStr">
        <is>
          <t>Vice-président, Nouveau-Brunswick</t>
        </is>
      </c>
      <c r="E4661" t="inlineStr">
        <is>
          <t>Kent Estabrooks</t>
        </is>
      </c>
      <c r="F4661" t="inlineStr">
        <is>
          <t>Champion file meetings</t>
        </is>
      </c>
      <c r="G4661" t="inlineStr">
        <is>
          <t>Réunions sur les dossiers des champions</t>
        </is>
      </c>
      <c r="H4661" s="1" t="n">
        <v>43368</v>
      </c>
      <c r="I4661" s="1" t="n">
        <v>43369</v>
      </c>
      <c r="J4661" t="inlineStr">
        <is>
          <t>Halifax, Nova Scotia</t>
        </is>
      </c>
      <c r="K4661" t="inlineStr">
        <is>
          <t>Halifax (Nouvelle-Écosse)</t>
        </is>
      </c>
      <c r="P4661" t="n">
        <v>726.8</v>
      </c>
      <c r="Q4661" t="n">
        <v>154.5</v>
      </c>
      <c r="R4661" t="n">
        <v>251.76</v>
      </c>
      <c r="S4661" t="n">
        <v>188.75</v>
      </c>
      <c r="T4661" t="n">
        <v>0</v>
      </c>
      <c r="U4661" t="n">
        <v>1321.81</v>
      </c>
      <c r="X4661" t="inlineStr">
        <is>
          <t>acoa-apeca</t>
        </is>
      </c>
      <c r="Y4661" t="inlineStr">
        <is>
          <t>Atlantic Canada Opportunities Agency | Agence de promotion économique du Canada atlantique</t>
        </is>
      </c>
    </row>
    <row r="4662">
      <c r="A4662" t="inlineStr">
        <is>
          <t>T-2019-Q3-00015</t>
        </is>
      </c>
      <c r="B4662" t="inlineStr">
        <is>
          <t>SLE</t>
        </is>
      </c>
      <c r="C4662" t="inlineStr">
        <is>
          <t>Vice-President, New Brunswick</t>
        </is>
      </c>
      <c r="D4662" t="inlineStr">
        <is>
          <t>Vice-président, Nouveau-Brunswick</t>
        </is>
      </c>
      <c r="E4662" t="inlineStr">
        <is>
          <t>Kent Estabrooks</t>
        </is>
      </c>
      <c r="F4662" t="inlineStr">
        <is>
          <t>Various meetings with stakeholders</t>
        </is>
      </c>
      <c r="G4662" t="inlineStr">
        <is>
          <t>Diverses réunions avec des intervenants</t>
        </is>
      </c>
      <c r="H4662" s="1" t="n">
        <v>43360</v>
      </c>
      <c r="I4662" s="1" t="n">
        <v>43362</v>
      </c>
      <c r="J4662" t="inlineStr">
        <is>
          <t>Montreal, Quebec</t>
        </is>
      </c>
      <c r="K4662" t="inlineStr">
        <is>
          <t>Montréal (Québec)</t>
        </is>
      </c>
      <c r="P4662" t="n">
        <v>726.8</v>
      </c>
      <c r="Q4662" t="n">
        <v>144.33</v>
      </c>
      <c r="R4662" t="n">
        <v>473.64</v>
      </c>
      <c r="S4662" t="n">
        <v>215.55</v>
      </c>
      <c r="T4662" t="n">
        <v>57.49</v>
      </c>
      <c r="U4662" t="n">
        <v>1617.81</v>
      </c>
      <c r="X4662" t="inlineStr">
        <is>
          <t>acoa-apeca</t>
        </is>
      </c>
      <c r="Y4662" t="inlineStr">
        <is>
          <t>Atlantic Canada Opportunities Agency | Agence de promotion économique du Canada atlantique</t>
        </is>
      </c>
    </row>
    <row r="4663">
      <c r="A4663" t="inlineStr">
        <is>
          <t>T-2019-Q3-00014</t>
        </is>
      </c>
      <c r="B4663" t="inlineStr">
        <is>
          <t>SLE</t>
        </is>
      </c>
      <c r="C4663" t="inlineStr">
        <is>
          <t>Vice-President, New Brunswick</t>
        </is>
      </c>
      <c r="D4663" t="inlineStr">
        <is>
          <t>Vice-président, Nouveau-Brunswick</t>
        </is>
      </c>
      <c r="E4663" t="inlineStr">
        <is>
          <t>Kent Estabrooks</t>
        </is>
      </c>
      <c r="F4663" t="inlineStr">
        <is>
          <t>Speaking engagement at stakeholder event/various meetings with Agency officials</t>
        </is>
      </c>
      <c r="G4663" t="inlineStr">
        <is>
          <t>Allocution lors d'une activité avec un intervenant/diverses réunions avec des fonctionnaires de l'Agence</t>
        </is>
      </c>
      <c r="H4663" s="1" t="n">
        <v>43354</v>
      </c>
      <c r="I4663" s="1" t="n">
        <v>43355</v>
      </c>
      <c r="J4663" t="inlineStr">
        <is>
          <t>Moncton, New Brunswick</t>
        </is>
      </c>
      <c r="K4663" t="inlineStr">
        <is>
          <t>Moncton (Nouveau-Brunswick)</t>
        </is>
      </c>
      <c r="P4663" t="n">
        <v>0</v>
      </c>
      <c r="Q4663" t="n">
        <v>0</v>
      </c>
      <c r="R4663" t="n">
        <v>152.95</v>
      </c>
      <c r="S4663" t="n">
        <v>150.1</v>
      </c>
      <c r="T4663" t="n">
        <v>3.55</v>
      </c>
      <c r="U4663" t="n">
        <v>306.6</v>
      </c>
      <c r="X4663" t="inlineStr">
        <is>
          <t>acoa-apeca</t>
        </is>
      </c>
      <c r="Y4663" t="inlineStr">
        <is>
          <t>Atlantic Canada Opportunities Agency | Agence de promotion économique du Canada atlantique</t>
        </is>
      </c>
    </row>
    <row r="4664">
      <c r="A4664" t="inlineStr">
        <is>
          <t>T-2019-Q3-00071</t>
        </is>
      </c>
      <c r="B4664" t="inlineStr">
        <is>
          <t>SLE</t>
        </is>
      </c>
      <c r="C4664" t="inlineStr">
        <is>
          <t>Vice-President, Prince Edward Island</t>
        </is>
      </c>
      <c r="D4664" t="inlineStr">
        <is>
          <t>Vice-président, Île-du-Prince-Édouard</t>
        </is>
      </c>
      <c r="E4664" t="inlineStr">
        <is>
          <t>Patrick Dorsey</t>
        </is>
      </c>
      <c r="F4664" t="inlineStr">
        <is>
          <t>Trade mission to China</t>
        </is>
      </c>
      <c r="G4664" t="inlineStr">
        <is>
          <t>Mission commerciale en Chine</t>
        </is>
      </c>
      <c r="H4664" s="1" t="n">
        <v>43410</v>
      </c>
      <c r="I4664" s="1" t="n">
        <v>43417</v>
      </c>
      <c r="J4664" t="inlineStr">
        <is>
          <t>Shanghai, China</t>
        </is>
      </c>
      <c r="K4664" t="inlineStr">
        <is>
          <t>Shanghai (Chine)</t>
        </is>
      </c>
      <c r="P4664" t="n">
        <v>5525.63</v>
      </c>
      <c r="Q4664" t="n">
        <v>88.43000000000001</v>
      </c>
      <c r="R4664" t="n">
        <v>1874.57</v>
      </c>
      <c r="S4664" t="n">
        <v>1077</v>
      </c>
      <c r="T4664" t="n">
        <v>209.26</v>
      </c>
      <c r="U4664" t="n">
        <v>8774.889999999999</v>
      </c>
      <c r="X4664" t="inlineStr">
        <is>
          <t>acoa-apeca</t>
        </is>
      </c>
      <c r="Y4664" t="inlineStr">
        <is>
          <t>Atlantic Canada Opportunities Agency | Agence de promotion économique du Canada atlantique</t>
        </is>
      </c>
    </row>
    <row r="4665">
      <c r="A4665" t="inlineStr">
        <is>
          <t>T-2019-Q3-00069</t>
        </is>
      </c>
      <c r="B4665" t="inlineStr">
        <is>
          <t>SLE</t>
        </is>
      </c>
      <c r="C4665" t="inlineStr">
        <is>
          <t>Vice-President, Prince Edward Island</t>
        </is>
      </c>
      <c r="D4665" t="inlineStr">
        <is>
          <t>Vice-président, Île-du-Prince-Édouard</t>
        </is>
      </c>
      <c r="E4665" t="inlineStr">
        <is>
          <t>Patrick Dorsey</t>
        </is>
      </c>
      <c r="F4665" t="inlineStr">
        <is>
          <t>Meetings with government officials</t>
        </is>
      </c>
      <c r="G4665" t="inlineStr">
        <is>
          <t>Réunions avec des fonctionnaires</t>
        </is>
      </c>
      <c r="H4665" s="1" t="n">
        <v>43429</v>
      </c>
      <c r="I4665" s="1" t="n">
        <v>43432</v>
      </c>
      <c r="J4665" t="inlineStr">
        <is>
          <t>Ottawa, Ontario</t>
        </is>
      </c>
      <c r="K4665" t="inlineStr">
        <is>
          <t>Ottawa (Ontario)</t>
        </is>
      </c>
      <c r="P4665" t="n">
        <v>995.86</v>
      </c>
      <c r="Q4665" t="n">
        <v>129.87</v>
      </c>
      <c r="R4665" t="n">
        <v>701.58</v>
      </c>
      <c r="S4665" t="n">
        <v>369.25</v>
      </c>
      <c r="T4665" t="n">
        <v>0</v>
      </c>
      <c r="U4665" t="n">
        <v>2196.56</v>
      </c>
      <c r="X4665" t="inlineStr">
        <is>
          <t>acoa-apeca</t>
        </is>
      </c>
      <c r="Y4665" t="inlineStr">
        <is>
          <t>Atlantic Canada Opportunities Agency | Agence de promotion économique du Canada atlantique</t>
        </is>
      </c>
    </row>
    <row r="4666">
      <c r="A4666" t="inlineStr">
        <is>
          <t>T-2019-Q2-00052</t>
        </is>
      </c>
      <c r="B4666" t="inlineStr">
        <is>
          <t>SLE</t>
        </is>
      </c>
      <c r="C4666" t="inlineStr">
        <is>
          <t>Vice-President, Prince Edward Island</t>
        </is>
      </c>
      <c r="D4666" t="inlineStr">
        <is>
          <t>Vice-président, Île-du-Prince-Édouard</t>
        </is>
      </c>
      <c r="E4666" t="inlineStr">
        <is>
          <t>Patrick Dorsey</t>
        </is>
      </c>
      <c r="F4666" t="inlineStr">
        <is>
          <t>Meetings with various government officials</t>
        </is>
      </c>
      <c r="G4666" t="inlineStr">
        <is>
          <t>Réunions avec divers fonctionnaires</t>
        </is>
      </c>
      <c r="H4666" s="1" t="n">
        <v>43334</v>
      </c>
      <c r="I4666" s="1" t="n">
        <v>43336</v>
      </c>
      <c r="J4666" t="inlineStr">
        <is>
          <t>Ottawa, Ontario</t>
        </is>
      </c>
      <c r="K4666" t="inlineStr">
        <is>
          <t>Ottawa (Ontario)</t>
        </is>
      </c>
      <c r="P4666" t="n">
        <v>0</v>
      </c>
      <c r="Q4666" t="n">
        <v>476.36</v>
      </c>
      <c r="R4666" t="n">
        <v>467.72</v>
      </c>
      <c r="S4666" t="n">
        <v>67.34999999999999</v>
      </c>
      <c r="T4666" t="n">
        <v>0</v>
      </c>
      <c r="U4666" t="n">
        <v>1011.43</v>
      </c>
      <c r="X4666" t="inlineStr">
        <is>
          <t>acoa-apeca</t>
        </is>
      </c>
      <c r="Y4666" t="inlineStr">
        <is>
          <t>Atlantic Canada Opportunities Agency | Agence de promotion économique du Canada atlantique</t>
        </is>
      </c>
    </row>
    <row r="4667">
      <c r="A4667" t="inlineStr">
        <is>
          <t>T-2019-Q3-00043</t>
        </is>
      </c>
      <c r="B4667" t="inlineStr">
        <is>
          <t>SLE</t>
        </is>
      </c>
      <c r="C4667" t="inlineStr">
        <is>
          <t>Vice-President, Prince Edward Island</t>
        </is>
      </c>
      <c r="D4667" t="inlineStr">
        <is>
          <t>Vice-président, Île-du-Prince-Édouard</t>
        </is>
      </c>
      <c r="E4667" t="inlineStr">
        <is>
          <t>Patrick Dorsey</t>
        </is>
      </c>
      <c r="F4667" t="inlineStr">
        <is>
          <t>Meetings with government officials and key stakeholders</t>
        </is>
      </c>
      <c r="G4667" t="inlineStr">
        <is>
          <t>Réunions avec des fonctionnaires et des intervenants clés</t>
        </is>
      </c>
      <c r="H4667" s="1" t="n">
        <v>43424</v>
      </c>
      <c r="I4667" s="1" t="n">
        <v>43426</v>
      </c>
      <c r="J4667" t="inlineStr">
        <is>
          <t>Ottawa, Ontario</t>
        </is>
      </c>
      <c r="K4667" t="inlineStr">
        <is>
          <t>Ottawa (Ontario)</t>
        </is>
      </c>
      <c r="P4667" t="n">
        <v>1364.75</v>
      </c>
      <c r="Q4667" t="n">
        <v>187.2</v>
      </c>
      <c r="R4667" t="n">
        <v>350.2</v>
      </c>
      <c r="S4667" t="n">
        <v>301.95</v>
      </c>
      <c r="T4667" t="n">
        <v>0</v>
      </c>
      <c r="U4667" t="n">
        <v>2204.1</v>
      </c>
      <c r="X4667" t="inlineStr">
        <is>
          <t>acoa-apeca</t>
        </is>
      </c>
      <c r="Y4667" t="inlineStr">
        <is>
          <t>Atlantic Canada Opportunities Agency | Agence de promotion économique du Canada atlantique</t>
        </is>
      </c>
    </row>
    <row r="4668">
      <c r="A4668" t="inlineStr">
        <is>
          <t>T-2019-Q3-00030</t>
        </is>
      </c>
      <c r="B4668" t="inlineStr">
        <is>
          <t>SLE</t>
        </is>
      </c>
      <c r="C4668" t="inlineStr">
        <is>
          <t>Vice-President, Prince Edward Island</t>
        </is>
      </c>
      <c r="D4668" t="inlineStr">
        <is>
          <t>Vice-président, Île-du-Prince-Édouard</t>
        </is>
      </c>
      <c r="E4668" t="inlineStr">
        <is>
          <t>Patrick Dorsey</t>
        </is>
      </c>
      <c r="F4668" t="inlineStr">
        <is>
          <t>Meetings with various government officials in Ottawa October 29-30, 2018</t>
        </is>
      </c>
      <c r="G4668" t="inlineStr">
        <is>
          <t>Réunions avec divers fonctionnaires à Ottawa les 29 et 30 octobre 2018</t>
        </is>
      </c>
      <c r="H4668" s="1" t="n">
        <v>43406</v>
      </c>
      <c r="I4668" s="1" t="n">
        <v>43406</v>
      </c>
      <c r="J4668" t="inlineStr">
        <is>
          <t>Ottawa, Ontario</t>
        </is>
      </c>
      <c r="K4668" t="inlineStr">
        <is>
          <t>Ottawa (Ontario)</t>
        </is>
      </c>
      <c r="P4668" t="n">
        <v>1404.82</v>
      </c>
      <c r="Q4668" t="n">
        <v>89.7</v>
      </c>
      <c r="R4668" t="n">
        <v>467.72</v>
      </c>
      <c r="S4668" t="n">
        <v>301.95</v>
      </c>
      <c r="T4668" t="n">
        <v>0</v>
      </c>
      <c r="U4668" t="n">
        <v>2264.19</v>
      </c>
      <c r="X4668" t="inlineStr">
        <is>
          <t>acoa-apeca</t>
        </is>
      </c>
      <c r="Y4668" t="inlineStr">
        <is>
          <t>Atlantic Canada Opportunities Agency | Agence de promotion économique du Canada atlantique</t>
        </is>
      </c>
    </row>
    <row r="4669">
      <c r="A4669" t="inlineStr">
        <is>
          <t>T-2019-Q3-00022</t>
        </is>
      </c>
      <c r="B4669" t="inlineStr">
        <is>
          <t>SLE</t>
        </is>
      </c>
      <c r="C4669" t="inlineStr">
        <is>
          <t>Vice-President, Prince Edward Island</t>
        </is>
      </c>
      <c r="D4669" t="inlineStr">
        <is>
          <t>Vice-président, Île-du-Prince-Édouard</t>
        </is>
      </c>
      <c r="E4669" t="inlineStr">
        <is>
          <t>Patrick Dorsey</t>
        </is>
      </c>
      <c r="F4669" t="inlineStr">
        <is>
          <t>To attend meetings with senior Atlantic Canada Opportunities Agency officials</t>
        </is>
      </c>
      <c r="G4669" t="inlineStr">
        <is>
          <t>Assister à des réunions avec des hauts fonctionnaires de l'Agende de promotion économique du Canada atlantique</t>
        </is>
      </c>
      <c r="H4669" s="1" t="n">
        <v>43389</v>
      </c>
      <c r="I4669" s="1" t="n">
        <v>43391</v>
      </c>
      <c r="J4669" t="inlineStr">
        <is>
          <t>Moncton, New Brunswick</t>
        </is>
      </c>
      <c r="K4669" t="inlineStr">
        <is>
          <t>Moncton (Nouveau-Brunswick)</t>
        </is>
      </c>
      <c r="P4669" t="n">
        <v>0</v>
      </c>
      <c r="Q4669" t="n">
        <v>47</v>
      </c>
      <c r="R4669" t="n">
        <v>338.1</v>
      </c>
      <c r="S4669" t="n">
        <v>151.9</v>
      </c>
      <c r="T4669" t="n">
        <v>0</v>
      </c>
      <c r="U4669" t="n">
        <v>537</v>
      </c>
      <c r="X4669" t="inlineStr">
        <is>
          <t>acoa-apeca</t>
        </is>
      </c>
      <c r="Y4669" t="inlineStr">
        <is>
          <t>Atlantic Canada Opportunities Agency | Agence de promotion économique du Canada atlantique</t>
        </is>
      </c>
    </row>
    <row r="4670">
      <c r="A4670" t="inlineStr">
        <is>
          <t>T-2019-Q3-00021</t>
        </is>
      </c>
      <c r="B4670" t="inlineStr">
        <is>
          <t>SLE</t>
        </is>
      </c>
      <c r="C4670" t="inlineStr">
        <is>
          <t>Vice-President, Prince Edward Island</t>
        </is>
      </c>
      <c r="D4670" t="inlineStr">
        <is>
          <t>Vice-président, Île-du-Prince-Édouard</t>
        </is>
      </c>
      <c r="E4670" t="inlineStr">
        <is>
          <t>Patrick Dorsey</t>
        </is>
      </c>
      <c r="F4670" t="inlineStr">
        <is>
          <t>To attend meetings with government officials</t>
        </is>
      </c>
      <c r="G4670" t="inlineStr">
        <is>
          <t>Assister à des réunions avec des fonctionnaires</t>
        </is>
      </c>
      <c r="H4670" s="1" t="n">
        <v>43370</v>
      </c>
      <c r="I4670" s="1" t="n">
        <v>43371</v>
      </c>
      <c r="J4670" t="inlineStr">
        <is>
          <t>Halifax, Nova Scotia</t>
        </is>
      </c>
      <c r="K4670" t="inlineStr">
        <is>
          <t>Halifax (Nouvelle-Écosse)</t>
        </is>
      </c>
      <c r="P4670" t="n">
        <v>0</v>
      </c>
      <c r="Q4670" t="n">
        <v>75</v>
      </c>
      <c r="R4670" t="n">
        <v>217.01</v>
      </c>
      <c r="S4670" t="n">
        <v>121.4</v>
      </c>
      <c r="T4670" t="n">
        <v>0</v>
      </c>
      <c r="U4670" t="n">
        <v>413.41</v>
      </c>
      <c r="X4670" t="inlineStr">
        <is>
          <t>acoa-apeca</t>
        </is>
      </c>
      <c r="Y4670" t="inlineStr">
        <is>
          <t>Atlantic Canada Opportunities Agency | Agence de promotion économique du Canada atlantique</t>
        </is>
      </c>
    </row>
    <row r="4671">
      <c r="A4671" t="inlineStr">
        <is>
          <t>T-2019-Q3-00019</t>
        </is>
      </c>
      <c r="B4671" t="inlineStr">
        <is>
          <t>SLE</t>
        </is>
      </c>
      <c r="C4671" t="inlineStr">
        <is>
          <t>Vice-President, Prince Edward Island</t>
        </is>
      </c>
      <c r="D4671" t="inlineStr">
        <is>
          <t>Vice-président, Île-du-Prince-Édouard</t>
        </is>
      </c>
      <c r="E4671" t="inlineStr">
        <is>
          <t>Patrick Dorsey</t>
        </is>
      </c>
      <c r="F4671" t="inlineStr">
        <is>
          <t>To attend Food Symposium with government officials</t>
        </is>
      </c>
      <c r="G4671" t="inlineStr">
        <is>
          <t>Assister au symposium sur les produits alimentaires avec des fonctionnaires</t>
        </is>
      </c>
      <c r="H4671" s="1" t="n">
        <v>43375</v>
      </c>
      <c r="I4671" s="1" t="n">
        <v>43376</v>
      </c>
      <c r="J4671" t="inlineStr">
        <is>
          <t>Ottawa, Ontario</t>
        </is>
      </c>
      <c r="K4671" t="inlineStr">
        <is>
          <t>Ottawa (Ontario)</t>
        </is>
      </c>
      <c r="P4671" t="n">
        <v>1343.26</v>
      </c>
      <c r="Q4671" t="n">
        <v>107.31</v>
      </c>
      <c r="R4671" t="n">
        <v>245.62</v>
      </c>
      <c r="S4671" t="n">
        <v>174.7</v>
      </c>
      <c r="T4671" t="n">
        <v>0</v>
      </c>
      <c r="U4671" t="n">
        <v>1870.89</v>
      </c>
      <c r="X4671" t="inlineStr">
        <is>
          <t>acoa-apeca</t>
        </is>
      </c>
      <c r="Y4671" t="inlineStr">
        <is>
          <t>Atlantic Canada Opportunities Agency | Agence de promotion économique du Canada atlantique</t>
        </is>
      </c>
    </row>
    <row r="4672">
      <c r="A4672" t="inlineStr">
        <is>
          <t>T-2019-Q3-00007</t>
        </is>
      </c>
      <c r="B4672" t="inlineStr">
        <is>
          <t>SLE</t>
        </is>
      </c>
      <c r="C4672" t="inlineStr">
        <is>
          <t>Vice-President, Prince Edward Island</t>
        </is>
      </c>
      <c r="D4672" t="inlineStr">
        <is>
          <t>Vice-président, Île-du-Prince-Édouard</t>
        </is>
      </c>
      <c r="E4672" t="inlineStr">
        <is>
          <t>Patrick Dorsey</t>
        </is>
      </c>
      <c r="F4672" t="inlineStr">
        <is>
          <t>Various meetings/events with Government of Canada officials and key stakeholders</t>
        </is>
      </c>
      <c r="G4672" t="inlineStr">
        <is>
          <t>Diverses réunions/activités avec des fonctionnaires du gouvernement du Canada et des intervenants clés</t>
        </is>
      </c>
      <c r="H4672" s="1" t="n">
        <v>43355</v>
      </c>
      <c r="I4672" s="1" t="n">
        <v>43356</v>
      </c>
      <c r="J4672" t="inlineStr">
        <is>
          <t>Halifax, Nova Scotia</t>
        </is>
      </c>
      <c r="K4672" t="inlineStr">
        <is>
          <t>Halifax (Nouvelle-Écosse)</t>
        </is>
      </c>
      <c r="P4672" t="n">
        <v>0</v>
      </c>
      <c r="Q4672" t="n">
        <v>0</v>
      </c>
      <c r="R4672" t="n">
        <v>217.01</v>
      </c>
      <c r="S4672" t="n">
        <v>169.55</v>
      </c>
      <c r="T4672" t="n">
        <v>0</v>
      </c>
      <c r="U4672" t="n">
        <v>386.56</v>
      </c>
      <c r="X4672" t="inlineStr">
        <is>
          <t>acoa-apeca</t>
        </is>
      </c>
      <c r="Y4672" t="inlineStr">
        <is>
          <t>Atlantic Canada Opportunities Agency | Agence de promotion économique du Canada atlantique</t>
        </is>
      </c>
    </row>
    <row r="4673">
      <c r="A4673" t="inlineStr">
        <is>
          <t>T-2019-Q3-00027</t>
        </is>
      </c>
      <c r="B4673" t="inlineStr">
        <is>
          <t>SLE</t>
        </is>
      </c>
      <c r="C4673" t="inlineStr">
        <is>
          <t>Vice-President, Finance and Corporate Services</t>
        </is>
      </c>
      <c r="D4673" t="inlineStr">
        <is>
          <t>Vice-président, Finance et Services corporatifs</t>
        </is>
      </c>
      <c r="E4673" t="inlineStr">
        <is>
          <t>Stephane Lagace</t>
        </is>
      </c>
      <c r="F4673" t="inlineStr">
        <is>
          <t>Various meetings with Government of Canada officials</t>
        </is>
      </c>
      <c r="G4673" t="inlineStr">
        <is>
          <t>Diverses réunions avec des fonctionnaires fédéraux</t>
        </is>
      </c>
      <c r="H4673" s="1" t="n">
        <v>43402</v>
      </c>
      <c r="I4673" s="1" t="n">
        <v>43403</v>
      </c>
      <c r="J4673" t="inlineStr">
        <is>
          <t>Ottawa, Ontario</t>
        </is>
      </c>
      <c r="K4673" t="inlineStr">
        <is>
          <t>Ottawa (Ontario)</t>
        </is>
      </c>
      <c r="P4673" t="n">
        <v>580.27</v>
      </c>
      <c r="Q4673" t="n">
        <v>69.23</v>
      </c>
      <c r="R4673" t="n">
        <v>233.86</v>
      </c>
      <c r="S4673" t="n">
        <v>174.7</v>
      </c>
      <c r="T4673" t="n">
        <v>32</v>
      </c>
      <c r="U4673" t="n">
        <v>1090.06</v>
      </c>
      <c r="X4673" t="inlineStr">
        <is>
          <t>acoa-apeca</t>
        </is>
      </c>
      <c r="Y4673" t="inlineStr">
        <is>
          <t>Atlantic Canada Opportunities Agency | Agence de promotion économique du Canada atlantique</t>
        </is>
      </c>
    </row>
    <row r="4674">
      <c r="A4674" t="inlineStr">
        <is>
          <t>T-2019-Q3-00020</t>
        </is>
      </c>
      <c r="B4674" t="inlineStr">
        <is>
          <t>SLE</t>
        </is>
      </c>
      <c r="C4674" t="inlineStr">
        <is>
          <t>Vice-President, Finance and Corporate Services</t>
        </is>
      </c>
      <c r="D4674" t="inlineStr">
        <is>
          <t>Vice-président, Finance et Services corporatifs</t>
        </is>
      </c>
      <c r="E4674" t="inlineStr">
        <is>
          <t>Stephane Lagace</t>
        </is>
      </c>
      <c r="F4674" t="inlineStr">
        <is>
          <t>Various meetings with Government of Canada officials</t>
        </is>
      </c>
      <c r="G4674" t="inlineStr">
        <is>
          <t>Diverses réunions avec des fonctionnaires fédéraux</t>
        </is>
      </c>
      <c r="H4674" s="1" t="n">
        <v>43389</v>
      </c>
      <c r="I4674" s="1" t="n">
        <v>43389</v>
      </c>
      <c r="J4674" t="inlineStr">
        <is>
          <t>Ottawa, Ontario</t>
        </is>
      </c>
      <c r="K4674" t="inlineStr">
        <is>
          <t>Ottawa (Ontario)</t>
        </is>
      </c>
      <c r="P4674" t="n">
        <v>412.9</v>
      </c>
      <c r="Q4674" t="n">
        <v>78.73999999999999</v>
      </c>
      <c r="R4674" t="n">
        <v>0</v>
      </c>
      <c r="S4674" t="n">
        <v>69.84999999999999</v>
      </c>
      <c r="T4674" t="n">
        <v>16</v>
      </c>
      <c r="U4674" t="n">
        <v>577.49</v>
      </c>
      <c r="X4674" t="inlineStr">
        <is>
          <t>acoa-apeca</t>
        </is>
      </c>
      <c r="Y4674" t="inlineStr">
        <is>
          <t>Atlantic Canada Opportunities Agency | Agence de promotion économique du Canada atlantique</t>
        </is>
      </c>
    </row>
    <row r="4675">
      <c r="A4675" t="inlineStr">
        <is>
          <t>T-2020-Q1-00001</t>
        </is>
      </c>
      <c r="B4675" t="inlineStr">
        <is>
          <t>SLE</t>
        </is>
      </c>
      <c r="C4675" t="inlineStr">
        <is>
          <t>Vice-President, Finance and Corporate Services</t>
        </is>
      </c>
      <c r="D4675" t="inlineStr">
        <is>
          <t>Vice-président, Finance et Services corporatifs</t>
        </is>
      </c>
      <c r="E4675" t="inlineStr">
        <is>
          <t>Stephane Lagace</t>
        </is>
      </c>
      <c r="F4675" t="inlineStr">
        <is>
          <t>Meeting with Agency officials</t>
        </is>
      </c>
      <c r="G4675" t="inlineStr">
        <is>
          <t>Réunion avec des fonctionnaires de l'Agence</t>
        </is>
      </c>
      <c r="H4675" s="1" t="n">
        <v>43537</v>
      </c>
      <c r="I4675" s="1" t="n">
        <v>43537</v>
      </c>
      <c r="J4675" t="inlineStr">
        <is>
          <t>Halifax, Nova Scotia</t>
        </is>
      </c>
      <c r="K4675" t="inlineStr">
        <is>
          <t>Halifax (Nouvelle-Écosse)</t>
        </is>
      </c>
      <c r="P4675" t="n">
        <v>0</v>
      </c>
      <c r="Q4675" t="n">
        <v>46.44</v>
      </c>
      <c r="R4675" t="n">
        <v>0</v>
      </c>
      <c r="S4675" t="n">
        <v>69.84999999999999</v>
      </c>
      <c r="T4675" t="n">
        <v>71.91</v>
      </c>
      <c r="U4675" t="n">
        <v>188.2</v>
      </c>
      <c r="X4675" t="inlineStr">
        <is>
          <t>acoa-apeca</t>
        </is>
      </c>
      <c r="Y4675" t="inlineStr">
        <is>
          <t>Atlantic Canada Opportunities Agency | Agence de promotion économique du Canada atlantique</t>
        </is>
      </c>
    </row>
    <row r="4676">
      <c r="A4676" t="inlineStr">
        <is>
          <t>T-2019-Q4-00039</t>
        </is>
      </c>
      <c r="B4676" t="inlineStr">
        <is>
          <t>SLE</t>
        </is>
      </c>
      <c r="C4676" t="inlineStr">
        <is>
          <t>Vice-President, Policy, Programs and Communications</t>
        </is>
      </c>
      <c r="D4676" t="inlineStr">
        <is>
          <t>Vice-président, Politiques et Programmes</t>
        </is>
      </c>
      <c r="E4676" t="inlineStr">
        <is>
          <t>Daryell Nowlan</t>
        </is>
      </c>
      <c r="F4676" t="inlineStr">
        <is>
          <t>Meetings with Government of Canada officials</t>
        </is>
      </c>
      <c r="G4676" t="inlineStr">
        <is>
          <t>Réunions avec des fonctionnaires du gouvernement du Canada</t>
        </is>
      </c>
      <c r="H4676" s="1" t="n">
        <v>43524</v>
      </c>
      <c r="I4676" s="1" t="n">
        <v>43525</v>
      </c>
      <c r="J4676" t="inlineStr">
        <is>
          <t>Halifax, Nova Scotia</t>
        </is>
      </c>
      <c r="K4676" t="inlineStr">
        <is>
          <t>Halifax (Nouvelle-Écosse)</t>
        </is>
      </c>
      <c r="P4676" t="n">
        <v>0</v>
      </c>
      <c r="Q4676" t="n">
        <v>321.91</v>
      </c>
      <c r="R4676" t="n">
        <v>174.78</v>
      </c>
      <c r="S4676" t="n">
        <v>104.85</v>
      </c>
      <c r="T4676" t="n">
        <v>0</v>
      </c>
      <c r="U4676" t="n">
        <v>601.54</v>
      </c>
      <c r="X4676" t="inlineStr">
        <is>
          <t>acoa-apeca</t>
        </is>
      </c>
      <c r="Y4676" t="inlineStr">
        <is>
          <t>Atlantic Canada Opportunities Agency | Agence de promotion économique du Canada atlantique</t>
        </is>
      </c>
    </row>
    <row r="4677">
      <c r="A4677" t="inlineStr">
        <is>
          <t>T-2019-Q4-00036</t>
        </is>
      </c>
      <c r="B4677" t="inlineStr">
        <is>
          <t>SLE</t>
        </is>
      </c>
      <c r="C4677" t="inlineStr">
        <is>
          <t>Vice-President, Nova Scotia</t>
        </is>
      </c>
      <c r="D4677" t="inlineStr">
        <is>
          <t>Vice-président, Nouvelle-Écosse</t>
        </is>
      </c>
      <c r="E4677" t="inlineStr">
        <is>
          <t>Chuck Maillet</t>
        </is>
      </c>
      <c r="F4677" t="inlineStr">
        <is>
          <t xml:space="preserve">Various meetings with stakeholders in Fredericton and Atlantic Federal Council meeting in Moncton </t>
        </is>
      </c>
      <c r="G4677" t="inlineStr">
        <is>
          <t>Diverses réunions avec des intervenants à Fredericton et réunion du Conseil fédéral de l'Atlantique à Moncton</t>
        </is>
      </c>
      <c r="H4677" s="1" t="n">
        <v>43438</v>
      </c>
      <c r="I4677" s="1" t="n">
        <v>43440</v>
      </c>
      <c r="J4677" t="inlineStr">
        <is>
          <t xml:space="preserve">Fredericton and Moncton, New Brunswick </t>
        </is>
      </c>
      <c r="K4677" t="inlineStr">
        <is>
          <t>Fredericton et Moncton (Nouveau-Brunswick)</t>
        </is>
      </c>
      <c r="P4677" t="n">
        <v>0</v>
      </c>
      <c r="Q4677" t="n">
        <v>0</v>
      </c>
      <c r="R4677" t="n">
        <v>303.6</v>
      </c>
      <c r="S4677" t="n">
        <v>242.4</v>
      </c>
      <c r="T4677" t="n">
        <v>10</v>
      </c>
      <c r="U4677" t="n">
        <v>556</v>
      </c>
      <c r="X4677" t="inlineStr">
        <is>
          <t>acoa-apeca</t>
        </is>
      </c>
      <c r="Y4677" t="inlineStr">
        <is>
          <t>Atlantic Canada Opportunities Agency | Agence de promotion économique du Canada atlantique</t>
        </is>
      </c>
    </row>
    <row r="4678">
      <c r="A4678" t="inlineStr">
        <is>
          <t>T-2019-Q4-00034</t>
        </is>
      </c>
      <c r="B4678" t="inlineStr">
        <is>
          <t>SLE</t>
        </is>
      </c>
      <c r="C4678" t="inlineStr">
        <is>
          <t>Vice-President, Nova Scotia</t>
        </is>
      </c>
      <c r="D4678" t="inlineStr">
        <is>
          <t>Vice-président, Nouvelle-Écosse</t>
        </is>
      </c>
      <c r="E4678" t="inlineStr">
        <is>
          <t>Chuck Maillet</t>
        </is>
      </c>
      <c r="F4678" t="inlineStr">
        <is>
          <t>Clients visits and meeting with stakeholders</t>
        </is>
      </c>
      <c r="G4678" t="inlineStr">
        <is>
          <t>Visites de clients et réunion avec des intervenants</t>
        </is>
      </c>
      <c r="H4678" s="1" t="n">
        <v>43475</v>
      </c>
      <c r="I4678" s="1" t="n">
        <v>43476</v>
      </c>
      <c r="J4678" t="inlineStr">
        <is>
          <t>Masstown/New Glasgow/Masstown, Nova Scotia and Moncton, New Brunswick</t>
        </is>
      </c>
      <c r="K4678" t="inlineStr">
        <is>
          <t>Masstown/New Glasgow/Masstown (Nouvelle-Écosse) et Moncton (Nouveau-Brunswick)</t>
        </is>
      </c>
      <c r="P4678" t="n">
        <v>0</v>
      </c>
      <c r="Q4678" t="n">
        <v>265.12</v>
      </c>
      <c r="R4678" t="n">
        <v>144.9</v>
      </c>
      <c r="S4678" t="n">
        <v>124.7</v>
      </c>
      <c r="T4678" t="n">
        <v>17.25</v>
      </c>
      <c r="U4678" t="n">
        <v>551.97</v>
      </c>
      <c r="X4678" t="inlineStr">
        <is>
          <t>acoa-apeca</t>
        </is>
      </c>
      <c r="Y4678" t="inlineStr">
        <is>
          <t>Atlantic Canada Opportunities Agency | Agence de promotion économique du Canada atlantique</t>
        </is>
      </c>
    </row>
    <row r="4679">
      <c r="A4679" t="inlineStr">
        <is>
          <t>T-2019-Q4-00025</t>
        </is>
      </c>
      <c r="B4679" t="inlineStr">
        <is>
          <t>SLE</t>
        </is>
      </c>
      <c r="C4679" t="inlineStr">
        <is>
          <t>Vice-President, New Brunswick</t>
        </is>
      </c>
      <c r="D4679" t="inlineStr">
        <is>
          <t>Vice-président, Nouveau-Brunswick</t>
        </is>
      </c>
      <c r="E4679" t="inlineStr">
        <is>
          <t>Kent Estabrooks</t>
        </is>
      </c>
      <c r="F4679" t="inlineStr">
        <is>
          <t>Meeting with various federal officials</t>
        </is>
      </c>
      <c r="G4679" t="inlineStr">
        <is>
          <t>Réunion avec divers fonctionnaires fédéraux</t>
        </is>
      </c>
      <c r="H4679" s="1" t="n">
        <v>43444</v>
      </c>
      <c r="I4679" s="1" t="n">
        <v>43445</v>
      </c>
      <c r="J4679" t="inlineStr">
        <is>
          <t>Mississauga, Ontario</t>
        </is>
      </c>
      <c r="K4679" t="inlineStr">
        <is>
          <t>Mississauga (Ontario)</t>
        </is>
      </c>
      <c r="P4679" t="n">
        <v>363.4</v>
      </c>
      <c r="Q4679" t="n">
        <v>14.98</v>
      </c>
      <c r="R4679" t="n">
        <v>175.1</v>
      </c>
      <c r="S4679" t="n">
        <v>154.45</v>
      </c>
      <c r="T4679" t="n">
        <v>0</v>
      </c>
      <c r="U4679" t="n">
        <v>707.9299999999999</v>
      </c>
      <c r="X4679" t="inlineStr">
        <is>
          <t>acoa-apeca</t>
        </is>
      </c>
      <c r="Y4679" t="inlineStr">
        <is>
          <t>Atlantic Canada Opportunities Agency | Agence de promotion économique du Canada atlantique</t>
        </is>
      </c>
    </row>
    <row r="4680">
      <c r="A4680" t="inlineStr">
        <is>
          <t>T-2019-Q4-00033</t>
        </is>
      </c>
      <c r="B4680" t="inlineStr">
        <is>
          <t>SLE</t>
        </is>
      </c>
      <c r="C4680" t="inlineStr">
        <is>
          <t>Vice-President, Nova Scotia</t>
        </is>
      </c>
      <c r="D4680" t="inlineStr">
        <is>
          <t>Vice-président, Nouvelle-Écosse</t>
        </is>
      </c>
      <c r="E4680" t="inlineStr">
        <is>
          <t>Chuck Maillet</t>
        </is>
      </c>
      <c r="F4680" t="inlineStr">
        <is>
          <t>Various meetings with senior Agency officials and stakeholders</t>
        </is>
      </c>
      <c r="G4680" t="inlineStr">
        <is>
          <t>Diverses réunions avec de hauts fonctionnaires de l'Agence et des intervenants clés</t>
        </is>
      </c>
      <c r="H4680" s="1" t="n">
        <v>43481</v>
      </c>
      <c r="I4680" s="1" t="n">
        <v>43484</v>
      </c>
      <c r="J4680" t="inlineStr">
        <is>
          <t>Moncton, New Brunswick and Charlottetown, Prince Edward Island</t>
        </is>
      </c>
      <c r="K4680" t="inlineStr">
        <is>
          <t>Moncton (Nouveau-Brunswick) et Charlottetown (Île-du-Prince-Édouard)</t>
        </is>
      </c>
      <c r="P4680" t="n">
        <v>0</v>
      </c>
      <c r="Q4680" t="n">
        <v>285.65</v>
      </c>
      <c r="R4680" t="n">
        <v>305.99</v>
      </c>
      <c r="S4680" t="n">
        <v>319.65</v>
      </c>
      <c r="T4680" t="n">
        <v>0</v>
      </c>
      <c r="U4680" t="n">
        <v>911.29</v>
      </c>
      <c r="X4680" t="inlineStr">
        <is>
          <t>acoa-apeca</t>
        </is>
      </c>
      <c r="Y4680" t="inlineStr">
        <is>
          <t>Atlantic Canada Opportunities Agency | Agence de promotion économique du Canada atlantique</t>
        </is>
      </c>
    </row>
    <row r="4681">
      <c r="A4681" t="inlineStr">
        <is>
          <t>T-2019-Q4-00032</t>
        </is>
      </c>
      <c r="B4681" t="inlineStr">
        <is>
          <t>SLE</t>
        </is>
      </c>
      <c r="C4681" t="inlineStr">
        <is>
          <t>Vice-President, Nova Scotia</t>
        </is>
      </c>
      <c r="D4681" t="inlineStr">
        <is>
          <t>Vice-président, Nouvelle-Écosse</t>
        </is>
      </c>
      <c r="E4681" t="inlineStr">
        <is>
          <t>Chuck Maillet</t>
        </is>
      </c>
      <c r="F4681" t="inlineStr">
        <is>
          <t>Meetings with client and stakeholder</t>
        </is>
      </c>
      <c r="G4681" t="inlineStr">
        <is>
          <t>Réunions avec un client et un intervenant</t>
        </is>
      </c>
      <c r="H4681" s="1" t="n">
        <v>43507</v>
      </c>
      <c r="I4681" s="1" t="n">
        <v>43508</v>
      </c>
      <c r="J4681" t="inlineStr">
        <is>
          <t xml:space="preserve">Cape Breton, Nova Scotia </t>
        </is>
      </c>
      <c r="K4681" t="inlineStr">
        <is>
          <t>Cap-Breton (Nouvelle-Écosse)</t>
        </is>
      </c>
      <c r="P4681" t="n">
        <v>0</v>
      </c>
      <c r="Q4681" t="n">
        <v>0</v>
      </c>
      <c r="R4681" t="n">
        <v>174.78</v>
      </c>
      <c r="S4681" t="n">
        <v>174.7</v>
      </c>
      <c r="T4681" t="n">
        <v>0</v>
      </c>
      <c r="U4681" t="n">
        <v>349.48</v>
      </c>
      <c r="X4681" t="inlineStr">
        <is>
          <t>acoa-apeca</t>
        </is>
      </c>
      <c r="Y4681" t="inlineStr">
        <is>
          <t>Atlantic Canada Opportunities Agency | Agence de promotion économique du Canada atlantique</t>
        </is>
      </c>
    </row>
    <row r="4682">
      <c r="A4682" t="inlineStr">
        <is>
          <t>T-2019-Q4-00031</t>
        </is>
      </c>
      <c r="B4682" t="inlineStr">
        <is>
          <t>SLE</t>
        </is>
      </c>
      <c r="C4682" t="inlineStr">
        <is>
          <t>Vice-President, Nova Scotia</t>
        </is>
      </c>
      <c r="D4682" t="inlineStr">
        <is>
          <t>Vice-président, Nouvelle-Écosse</t>
        </is>
      </c>
      <c r="E4682" t="inlineStr">
        <is>
          <t>Chuck Maillet</t>
        </is>
      </c>
      <c r="F4682" t="inlineStr">
        <is>
          <t xml:space="preserve">Meetings with Agency officials and to attend the First Nations Renewable Energy Conference </t>
        </is>
      </c>
      <c r="G4682" t="inlineStr">
        <is>
          <t xml:space="preserve">Assister à des réunions avec des fonctionnaires de l'Agence et à la Conférence sur l’énergie propre des Premières Nations </t>
        </is>
      </c>
      <c r="H4682" s="1" t="n">
        <v>43521</v>
      </c>
      <c r="I4682" s="1" t="n">
        <v>43522</v>
      </c>
      <c r="J4682" t="inlineStr">
        <is>
          <t>Fredericton, New Brunswick</t>
        </is>
      </c>
      <c r="K4682" t="inlineStr">
        <is>
          <t>Fredericton (Nouveau-Brunswick)</t>
        </is>
      </c>
      <c r="P4682" t="n">
        <v>668.38</v>
      </c>
      <c r="Q4682" t="n">
        <v>138</v>
      </c>
      <c r="R4682" t="n">
        <v>326.6</v>
      </c>
      <c r="S4682" t="n">
        <v>122.15</v>
      </c>
      <c r="T4682" t="n">
        <v>0</v>
      </c>
      <c r="U4682" t="n">
        <v>1255.13</v>
      </c>
      <c r="X4682" t="inlineStr">
        <is>
          <t>acoa-apeca</t>
        </is>
      </c>
      <c r="Y4682" t="inlineStr">
        <is>
          <t>Atlantic Canada Opportunities Agency | Agence de promotion économique du Canada atlantique</t>
        </is>
      </c>
    </row>
    <row r="4683">
      <c r="A4683" t="inlineStr">
        <is>
          <t>T-2019-Q4-00030</t>
        </is>
      </c>
      <c r="B4683" t="inlineStr">
        <is>
          <t>SLE</t>
        </is>
      </c>
      <c r="C4683" t="inlineStr">
        <is>
          <t>Vice-President, Prince Edward Island</t>
        </is>
      </c>
      <c r="D4683" t="inlineStr">
        <is>
          <t>Vice-président, Île-du-Prince-Édouard</t>
        </is>
      </c>
      <c r="E4683" t="inlineStr">
        <is>
          <t>Patrick Dorsey</t>
        </is>
      </c>
      <c r="F4683" t="inlineStr">
        <is>
          <t>Meetings with government officials</t>
        </is>
      </c>
      <c r="G4683" t="inlineStr">
        <is>
          <t>Réunions avec des fonctionnaires</t>
        </is>
      </c>
      <c r="H4683" s="1" t="n">
        <v>43524</v>
      </c>
      <c r="I4683" s="1" t="n">
        <v>43525</v>
      </c>
      <c r="J4683" t="inlineStr">
        <is>
          <t>Halifax, Nova Scotia</t>
        </is>
      </c>
      <c r="K4683" t="inlineStr">
        <is>
          <t>Halifax (Nouvelle-Écosse)</t>
        </is>
      </c>
      <c r="P4683" t="n">
        <v>0</v>
      </c>
      <c r="Q4683" t="n">
        <v>176.59</v>
      </c>
      <c r="R4683" t="n">
        <v>157.18</v>
      </c>
      <c r="S4683" t="n">
        <v>174.7</v>
      </c>
      <c r="T4683" t="n">
        <v>0</v>
      </c>
      <c r="U4683" t="n">
        <v>508.47</v>
      </c>
      <c r="X4683" t="inlineStr">
        <is>
          <t>acoa-apeca</t>
        </is>
      </c>
      <c r="Y4683" t="inlineStr">
        <is>
          <t>Atlantic Canada Opportunities Agency | Agence de promotion économique du Canada atlantique</t>
        </is>
      </c>
    </row>
    <row r="4684">
      <c r="A4684" t="inlineStr">
        <is>
          <t>T-2019-Q4-00029</t>
        </is>
      </c>
      <c r="B4684" t="inlineStr">
        <is>
          <t>SLE</t>
        </is>
      </c>
      <c r="C4684" t="inlineStr">
        <is>
          <t>Vice-President, New Brunswick</t>
        </is>
      </c>
      <c r="D4684" t="inlineStr">
        <is>
          <t>Vice-président, Nouveau-Brunswick</t>
        </is>
      </c>
      <c r="E4684" t="inlineStr">
        <is>
          <t>Kent Estabrooks</t>
        </is>
      </c>
      <c r="F4684" t="inlineStr">
        <is>
          <t>Agency Executive Committee meeting and meeting with Agency officials</t>
        </is>
      </c>
      <c r="G4684" t="inlineStr">
        <is>
          <t>Réunion du Comité de direction de l'Agence et réunion avec des fonctionnaires de l'Agence</t>
        </is>
      </c>
      <c r="H4684" s="1" t="n">
        <v>43480</v>
      </c>
      <c r="I4684" s="1" t="n">
        <v>43483</v>
      </c>
      <c r="J4684" t="inlineStr">
        <is>
          <t>Moncton, New Brunswick</t>
        </is>
      </c>
      <c r="K4684" t="inlineStr">
        <is>
          <t>Moncton (Nouveau-Brunswick)</t>
        </is>
      </c>
      <c r="P4684" t="n">
        <v>0</v>
      </c>
      <c r="Q4684" t="n">
        <v>237.17</v>
      </c>
      <c r="R4684" t="n">
        <v>434.7</v>
      </c>
      <c r="S4684" t="n">
        <v>191.6</v>
      </c>
      <c r="T4684" t="n">
        <v>0</v>
      </c>
      <c r="U4684" t="n">
        <v>863.47</v>
      </c>
      <c r="X4684" t="inlineStr">
        <is>
          <t>acoa-apeca</t>
        </is>
      </c>
      <c r="Y4684" t="inlineStr">
        <is>
          <t>Atlantic Canada Opportunities Agency | Agence de promotion économique du Canada atlantique</t>
        </is>
      </c>
    </row>
    <row r="4685">
      <c r="A4685" t="inlineStr">
        <is>
          <t>T-2019-Q4-00028</t>
        </is>
      </c>
      <c r="B4685" t="inlineStr">
        <is>
          <t>SLE</t>
        </is>
      </c>
      <c r="C4685" t="inlineStr">
        <is>
          <t>Vice-President, New Brunswick</t>
        </is>
      </c>
      <c r="D4685" t="inlineStr">
        <is>
          <t>Vice-président, Nouveau-Brunswick</t>
        </is>
      </c>
      <c r="E4685" t="inlineStr">
        <is>
          <t>Kent Estabrooks</t>
        </is>
      </c>
      <c r="F4685" t="inlineStr">
        <is>
          <t>Interviews with management candidates</t>
        </is>
      </c>
      <c r="G4685" t="inlineStr">
        <is>
          <t>Entrevues avec des candidats à la direction</t>
        </is>
      </c>
      <c r="H4685" s="1" t="n">
        <v>43479</v>
      </c>
      <c r="I4685" s="1" t="n">
        <v>43480</v>
      </c>
      <c r="J4685" t="inlineStr">
        <is>
          <t>Toronto and Ottawa, Ontario</t>
        </is>
      </c>
      <c r="K4685" t="inlineStr">
        <is>
          <t>Toronto et Ottawa (Ontario)</t>
        </is>
      </c>
      <c r="P4685" t="n">
        <v>1090.2</v>
      </c>
      <c r="Q4685" t="n">
        <v>148.35</v>
      </c>
      <c r="R4685" t="n">
        <v>210.36</v>
      </c>
      <c r="S4685" t="n">
        <v>174.3</v>
      </c>
      <c r="T4685" t="n">
        <v>0</v>
      </c>
      <c r="U4685" t="n">
        <v>1623.21</v>
      </c>
      <c r="X4685" t="inlineStr">
        <is>
          <t>acoa-apeca</t>
        </is>
      </c>
      <c r="Y4685" t="inlineStr">
        <is>
          <t>Atlantic Canada Opportunities Agency | Agence de promotion économique du Canada atlantique</t>
        </is>
      </c>
    </row>
    <row r="4686">
      <c r="A4686" t="inlineStr">
        <is>
          <t>T-2019-Q4-00027</t>
        </is>
      </c>
      <c r="B4686" t="inlineStr">
        <is>
          <t>SLE</t>
        </is>
      </c>
      <c r="C4686" t="inlineStr">
        <is>
          <t>Vice-President, New Brunswick</t>
        </is>
      </c>
      <c r="D4686" t="inlineStr">
        <is>
          <t>Vice-président, Nouveau-Brunswick</t>
        </is>
      </c>
      <c r="E4686" t="inlineStr">
        <is>
          <t>Kent Estabrooks</t>
        </is>
      </c>
      <c r="F4686" t="inlineStr">
        <is>
          <t>Meeting with a client</t>
        </is>
      </c>
      <c r="G4686" t="inlineStr">
        <is>
          <t>Réunion avec un client</t>
        </is>
      </c>
      <c r="H4686" s="1" t="n">
        <v>43453</v>
      </c>
      <c r="I4686" s="1" t="n">
        <v>43453</v>
      </c>
      <c r="J4686" t="inlineStr">
        <is>
          <t>Sackville, New Brunswick</t>
        </is>
      </c>
      <c r="K4686" t="inlineStr">
        <is>
          <t>Sackville (Nouveau-Brunswick)</t>
        </is>
      </c>
      <c r="P4686" t="n">
        <v>0</v>
      </c>
      <c r="Q4686" t="n">
        <v>0</v>
      </c>
      <c r="R4686" t="n">
        <v>0</v>
      </c>
      <c r="S4686" t="n">
        <v>69.84999999999999</v>
      </c>
      <c r="T4686" t="n">
        <v>0</v>
      </c>
      <c r="U4686" t="n">
        <v>69.84999999999999</v>
      </c>
      <c r="X4686" t="inlineStr">
        <is>
          <t>acoa-apeca</t>
        </is>
      </c>
      <c r="Y4686" t="inlineStr">
        <is>
          <t>Atlantic Canada Opportunities Agency | Agence de promotion économique du Canada atlantique</t>
        </is>
      </c>
    </row>
    <row r="4687">
      <c r="A4687" t="inlineStr">
        <is>
          <t>T-2019-Q4-00026</t>
        </is>
      </c>
      <c r="B4687" t="inlineStr">
        <is>
          <t>SLE</t>
        </is>
      </c>
      <c r="C4687" t="inlineStr">
        <is>
          <t>Vice-President, New Brunswick</t>
        </is>
      </c>
      <c r="D4687" t="inlineStr">
        <is>
          <t>Vice-président, Nouveau-Brunswick</t>
        </is>
      </c>
      <c r="E4687" t="inlineStr">
        <is>
          <t>Kent Estabrooks</t>
        </is>
      </c>
      <c r="F4687" t="inlineStr">
        <is>
          <t>Meeting with client and mentorship meeting</t>
        </is>
      </c>
      <c r="G4687" t="inlineStr">
        <is>
          <t>Réunion avec un client et rencontre de mentorat</t>
        </is>
      </c>
      <c r="H4687" s="1" t="n">
        <v>43445</v>
      </c>
      <c r="I4687" s="1" t="n">
        <v>43446</v>
      </c>
      <c r="J4687" t="inlineStr">
        <is>
          <t>Fredericton, New Brunswick</t>
        </is>
      </c>
      <c r="K4687" t="inlineStr">
        <is>
          <t>Fredericton (Nouveau-Brunswick)</t>
        </is>
      </c>
      <c r="P4687" t="n">
        <v>726.8</v>
      </c>
      <c r="Q4687" t="n">
        <v>129.45</v>
      </c>
      <c r="R4687" t="n">
        <v>233.86</v>
      </c>
      <c r="S4687" t="n">
        <v>87.15000000000001</v>
      </c>
      <c r="T4687" t="n">
        <v>57.5</v>
      </c>
      <c r="U4687" t="n">
        <v>1234.76</v>
      </c>
      <c r="X4687" t="inlineStr">
        <is>
          <t>acoa-apeca</t>
        </is>
      </c>
      <c r="Y4687" t="inlineStr">
        <is>
          <t>Atlantic Canada Opportunities Agency | Agence de promotion économique du Canada atlantique</t>
        </is>
      </c>
    </row>
    <row r="4688">
      <c r="A4688" t="inlineStr">
        <is>
          <t>T-2019-Q4-00024</t>
        </is>
      </c>
      <c r="B4688" t="inlineStr">
        <is>
          <t>SLE</t>
        </is>
      </c>
      <c r="C4688" t="inlineStr">
        <is>
          <t>Vice-President, New Brunswick</t>
        </is>
      </c>
      <c r="D4688" t="inlineStr">
        <is>
          <t>Vice-président, Nouveau-Brunswick</t>
        </is>
      </c>
      <c r="E4688" t="inlineStr">
        <is>
          <t>Kent Estabrooks</t>
        </is>
      </c>
      <c r="F4688" t="inlineStr">
        <is>
          <t>Mentorship initiative meeting</t>
        </is>
      </c>
      <c r="G4688" t="inlineStr">
        <is>
          <t xml:space="preserve">Réunion dans le cadre d'une initiative de mentorat </t>
        </is>
      </c>
      <c r="H4688" s="1" t="n">
        <v>43437</v>
      </c>
      <c r="I4688" s="1" t="n">
        <v>43437</v>
      </c>
      <c r="J4688" t="inlineStr">
        <is>
          <t>Moncton, New Brunswick</t>
        </is>
      </c>
      <c r="K4688" t="inlineStr">
        <is>
          <t>Moncton (Nouveau-Brunswick)</t>
        </is>
      </c>
      <c r="P4688" t="n">
        <v>0</v>
      </c>
      <c r="Q4688" t="n">
        <v>0</v>
      </c>
      <c r="R4688" t="n">
        <v>0</v>
      </c>
      <c r="S4688" t="n">
        <v>50</v>
      </c>
      <c r="T4688" t="n">
        <v>74.45</v>
      </c>
      <c r="U4688" t="n">
        <v>124.45</v>
      </c>
      <c r="X4688" t="inlineStr">
        <is>
          <t>acoa-apeca</t>
        </is>
      </c>
      <c r="Y4688" t="inlineStr">
        <is>
          <t>Atlantic Canada Opportunities Agency | Agence de promotion économique du Canada atlantique</t>
        </is>
      </c>
    </row>
    <row r="4689">
      <c r="A4689" t="inlineStr">
        <is>
          <t>T-2019-Q4-00023</t>
        </is>
      </c>
      <c r="B4689" t="inlineStr">
        <is>
          <t>SLE</t>
        </is>
      </c>
      <c r="C4689" t="inlineStr">
        <is>
          <t>Vice-President, Prince Edward Island</t>
        </is>
      </c>
      <c r="D4689" t="inlineStr">
        <is>
          <t>Vice-président, Île-du-Prince-Édouard</t>
        </is>
      </c>
      <c r="E4689" t="inlineStr">
        <is>
          <t>Patrick Dorsey</t>
        </is>
      </c>
      <c r="F4689" t="inlineStr">
        <is>
          <t xml:space="preserve">To attend food automation workshop and meet with Agency officials </t>
        </is>
      </c>
      <c r="G4689" t="inlineStr">
        <is>
          <t xml:space="preserve">Assister à un atelier sur l'automatisation de la transformation alimentaire et rencontrer des fonctionnaires de l'Agence </t>
        </is>
      </c>
      <c r="H4689" s="1" t="n">
        <v>43521</v>
      </c>
      <c r="I4689" s="1" t="n">
        <v>43522</v>
      </c>
      <c r="J4689" t="inlineStr">
        <is>
          <t>St. John's, Newfoundland</t>
        </is>
      </c>
      <c r="K4689" t="inlineStr">
        <is>
          <t>St. John's (Terre-Neuve-et-Labrador)</t>
        </is>
      </c>
      <c r="P4689" t="n">
        <v>847.45</v>
      </c>
      <c r="Q4689" t="n">
        <v>69.66</v>
      </c>
      <c r="R4689" t="n">
        <v>153.51</v>
      </c>
      <c r="S4689" t="n">
        <v>174.7</v>
      </c>
      <c r="T4689" t="n">
        <v>0</v>
      </c>
      <c r="U4689" t="n">
        <v>1245.32</v>
      </c>
      <c r="X4689" t="inlineStr">
        <is>
          <t>acoa-apeca</t>
        </is>
      </c>
      <c r="Y4689" t="inlineStr">
        <is>
          <t>Atlantic Canada Opportunities Agency | Agence de promotion économique du Canada atlantique</t>
        </is>
      </c>
    </row>
    <row r="4690">
      <c r="A4690" t="inlineStr">
        <is>
          <t>T-2019-Q4-00022</t>
        </is>
      </c>
      <c r="B4690" t="inlineStr">
        <is>
          <t>SLE</t>
        </is>
      </c>
      <c r="C4690" t="inlineStr">
        <is>
          <t>Vice-President, Prince Edward Island</t>
        </is>
      </c>
      <c r="D4690" t="inlineStr">
        <is>
          <t>Vice-président, Île-du-Prince-Édouard</t>
        </is>
      </c>
      <c r="E4690" t="inlineStr">
        <is>
          <t>Patrick Dorsey</t>
        </is>
      </c>
      <c r="F4690" t="inlineStr">
        <is>
          <t>Meetings with Agency officials</t>
        </is>
      </c>
      <c r="G4690" t="inlineStr">
        <is>
          <t>Réunions avec des fonctionnaires de l'Agence</t>
        </is>
      </c>
      <c r="H4690" s="1" t="n">
        <v>43518</v>
      </c>
      <c r="I4690" s="1" t="n">
        <v>43518</v>
      </c>
      <c r="J4690" t="inlineStr">
        <is>
          <t>Moncton, New Brunswick</t>
        </is>
      </c>
      <c r="K4690" t="inlineStr">
        <is>
          <t>Moncton (Nouveau-Brunswick)</t>
        </is>
      </c>
      <c r="P4690" t="n">
        <v>0</v>
      </c>
      <c r="Q4690" t="n">
        <v>56.75</v>
      </c>
      <c r="R4690" t="n">
        <v>0</v>
      </c>
      <c r="S4690" t="n">
        <v>19.85</v>
      </c>
      <c r="T4690" t="n">
        <v>0</v>
      </c>
      <c r="U4690" t="n">
        <v>76.59999999999999</v>
      </c>
      <c r="X4690" t="inlineStr">
        <is>
          <t>acoa-apeca</t>
        </is>
      </c>
      <c r="Y4690" t="inlineStr">
        <is>
          <t>Atlantic Canada Opportunities Agency | Agence de promotion économique du Canada atlantique</t>
        </is>
      </c>
    </row>
    <row r="4691">
      <c r="A4691" t="inlineStr">
        <is>
          <t>T-2019-Q4-00021</t>
        </is>
      </c>
      <c r="B4691" t="inlineStr">
        <is>
          <t>SLE</t>
        </is>
      </c>
      <c r="C4691" t="inlineStr">
        <is>
          <t>Vice-President, Newfoundland and Labrador</t>
        </is>
      </c>
      <c r="D4691" t="inlineStr">
        <is>
          <t>Vice-président, Terre-Neuve-et-Labrador</t>
        </is>
      </c>
      <c r="E4691" t="inlineStr">
        <is>
          <t>Ken Martin</t>
        </is>
      </c>
      <c r="F4691" t="inlineStr">
        <is>
          <t>Attend personal training and development seminar</t>
        </is>
      </c>
      <c r="G4691" t="inlineStr">
        <is>
          <t>Assister à un séminaire de formation personnelle et de perfectionnement</t>
        </is>
      </c>
      <c r="H4691" s="1" t="n">
        <v>43515</v>
      </c>
      <c r="I4691" s="1" t="n">
        <v>43518</v>
      </c>
      <c r="J4691" t="inlineStr">
        <is>
          <t>Halifax, Nova Scotia</t>
        </is>
      </c>
      <c r="K4691" t="inlineStr">
        <is>
          <t>Halifax (Nouvelle-Écosse)</t>
        </is>
      </c>
      <c r="P4691" t="n">
        <v>540.79</v>
      </c>
      <c r="Q4691" t="n">
        <v>139.87</v>
      </c>
      <c r="R4691" t="n">
        <v>524.34</v>
      </c>
      <c r="S4691" t="n">
        <v>389.5</v>
      </c>
      <c r="T4691" t="n">
        <v>75.33</v>
      </c>
      <c r="U4691" t="n">
        <v>1669.83</v>
      </c>
      <c r="X4691" t="inlineStr">
        <is>
          <t>acoa-apeca</t>
        </is>
      </c>
      <c r="Y4691" t="inlineStr">
        <is>
          <t>Atlantic Canada Opportunities Agency | Agence de promotion économique du Canada atlantique</t>
        </is>
      </c>
    </row>
    <row r="4692">
      <c r="A4692" t="inlineStr">
        <is>
          <t>T-2019-Q4-00020</t>
        </is>
      </c>
      <c r="B4692" t="inlineStr">
        <is>
          <t>SLE</t>
        </is>
      </c>
      <c r="C4692" t="inlineStr">
        <is>
          <t>Vice-President, Prince Edward Island</t>
        </is>
      </c>
      <c r="D4692" t="inlineStr">
        <is>
          <t>Vice-président, Île-du-Prince-Édouard</t>
        </is>
      </c>
      <c r="E4692" t="inlineStr">
        <is>
          <t>Patrick Dorsey</t>
        </is>
      </c>
      <c r="F4692" t="inlineStr">
        <is>
          <t xml:space="preserve">Meetings with Agency officials </t>
        </is>
      </c>
      <c r="G4692" t="inlineStr">
        <is>
          <t>Réunions avec des fonctionnaires de l'Agence</t>
        </is>
      </c>
      <c r="H4692" s="1" t="n">
        <v>43514</v>
      </c>
      <c r="I4692" s="1" t="n">
        <v>43515</v>
      </c>
      <c r="J4692" t="inlineStr">
        <is>
          <t>Fredericton, New Brunswick</t>
        </is>
      </c>
      <c r="K4692" t="inlineStr">
        <is>
          <t>Fredericton (Nouveau-Brunswick)</t>
        </is>
      </c>
      <c r="P4692" t="n">
        <v>0</v>
      </c>
      <c r="Q4692" t="n">
        <v>69.75</v>
      </c>
      <c r="R4692" t="n">
        <v>163.3</v>
      </c>
      <c r="S4692" t="n">
        <v>144.55</v>
      </c>
      <c r="T4692" t="n">
        <v>0</v>
      </c>
      <c r="U4692" t="n">
        <v>377.6</v>
      </c>
      <c r="X4692" t="inlineStr">
        <is>
          <t>acoa-apeca</t>
        </is>
      </c>
      <c r="Y4692" t="inlineStr">
        <is>
          <t>Atlantic Canada Opportunities Agency | Agence de promotion économique du Canada atlantique</t>
        </is>
      </c>
    </row>
    <row r="4693">
      <c r="A4693" t="inlineStr">
        <is>
          <t>T-2019-Q4-00019</t>
        </is>
      </c>
      <c r="B4693" t="inlineStr">
        <is>
          <t>SLE</t>
        </is>
      </c>
      <c r="C4693" t="inlineStr">
        <is>
          <t>Senior Advisor (Energy)</t>
        </is>
      </c>
      <c r="D4693" t="inlineStr">
        <is>
          <t>Conseiller spécial (energie)</t>
        </is>
      </c>
      <c r="E4693" t="inlineStr">
        <is>
          <t>Andrew F. Noseworthy</t>
        </is>
      </c>
      <c r="F4693" t="inlineStr">
        <is>
          <t>To attend meeting of Agency officials</t>
        </is>
      </c>
      <c r="G4693" t="inlineStr">
        <is>
          <t>Assister à une réunion avec des fonctionnaires de l'Agence</t>
        </is>
      </c>
      <c r="H4693" s="1" t="n">
        <v>43481</v>
      </c>
      <c r="I4693" s="1" t="n">
        <v>43482</v>
      </c>
      <c r="J4693" t="inlineStr">
        <is>
          <t>Moncton, New Brunswick</t>
        </is>
      </c>
      <c r="K4693" t="inlineStr">
        <is>
          <t>Moncton (Nouveau-Brunswick)</t>
        </is>
      </c>
      <c r="P4693" t="n">
        <v>1155.94</v>
      </c>
      <c r="Q4693" t="n">
        <v>83</v>
      </c>
      <c r="R4693" t="n">
        <v>144.9</v>
      </c>
      <c r="S4693" t="n">
        <v>174.7</v>
      </c>
      <c r="T4693" t="n">
        <v>13.5</v>
      </c>
      <c r="U4693" t="n">
        <v>1572.04</v>
      </c>
      <c r="X4693" t="inlineStr">
        <is>
          <t>acoa-apeca</t>
        </is>
      </c>
      <c r="Y4693" t="inlineStr">
        <is>
          <t>Atlantic Canada Opportunities Agency | Agence de promotion économique du Canada atlantique</t>
        </is>
      </c>
    </row>
    <row r="4694">
      <c r="A4694" t="inlineStr">
        <is>
          <t>T-2019-Q4-00018</t>
        </is>
      </c>
      <c r="B4694" t="inlineStr">
        <is>
          <t>SLE</t>
        </is>
      </c>
      <c r="C4694" t="inlineStr">
        <is>
          <t>Senior Advisor (Energy)</t>
        </is>
      </c>
      <c r="D4694" t="inlineStr">
        <is>
          <t>Conseiller spécial (energie)</t>
        </is>
      </c>
      <c r="E4694" t="inlineStr">
        <is>
          <t>Andrew F. Noseworthy</t>
        </is>
      </c>
      <c r="F4694" t="inlineStr">
        <is>
          <t>Attend Institute of Corporate Directors Program - Module 3</t>
        </is>
      </c>
      <c r="G4694" t="inlineStr">
        <is>
          <t>Participer au programme de l'Institut des administrateurs de sociétés (module 3)</t>
        </is>
      </c>
      <c r="H4694" s="1" t="n">
        <v>43496</v>
      </c>
      <c r="I4694" s="1" t="n">
        <v>43499</v>
      </c>
      <c r="J4694" t="inlineStr">
        <is>
          <t>Toronto, Ontario</t>
        </is>
      </c>
      <c r="K4694" t="inlineStr">
        <is>
          <t>Toronto (Ontario)</t>
        </is>
      </c>
      <c r="P4694" t="n">
        <v>391.11</v>
      </c>
      <c r="Q4694" t="n">
        <v>253</v>
      </c>
      <c r="R4694" t="n">
        <v>666.33</v>
      </c>
      <c r="S4694" t="n">
        <v>269.2</v>
      </c>
      <c r="T4694" t="n">
        <v>77</v>
      </c>
      <c r="U4694" t="n">
        <v>1656.64</v>
      </c>
      <c r="X4694" t="inlineStr">
        <is>
          <t>acoa-apeca</t>
        </is>
      </c>
      <c r="Y4694" t="inlineStr">
        <is>
          <t>Atlantic Canada Opportunities Agency | Agence de promotion économique du Canada atlantique</t>
        </is>
      </c>
    </row>
    <row r="4695">
      <c r="A4695" t="inlineStr">
        <is>
          <t>T-2019-Q4-00017</t>
        </is>
      </c>
      <c r="B4695" t="inlineStr">
        <is>
          <t>SLE</t>
        </is>
      </c>
      <c r="C4695" t="inlineStr">
        <is>
          <t>Vice-President, Policy, Programs and Communications</t>
        </is>
      </c>
      <c r="D4695" t="inlineStr">
        <is>
          <t>Vice-président, Politiques et Programmes</t>
        </is>
      </c>
      <c r="E4695" t="inlineStr">
        <is>
          <t>Daryell Nowlan</t>
        </is>
      </c>
      <c r="F4695" t="inlineStr">
        <is>
          <t>Meeting with Government of Canada officials</t>
        </is>
      </c>
      <c r="G4695" t="inlineStr">
        <is>
          <t>Réunions avec des fonctionnaires du gouvernement du Canada</t>
        </is>
      </c>
      <c r="H4695" s="1" t="n">
        <v>43497</v>
      </c>
      <c r="I4695" s="1" t="n">
        <v>43497</v>
      </c>
      <c r="J4695" t="inlineStr">
        <is>
          <t>Halifax, Nova Scotia</t>
        </is>
      </c>
      <c r="K4695" t="inlineStr">
        <is>
          <t>Halifax (Nouvelle-Écosse)</t>
        </is>
      </c>
      <c r="P4695" t="n">
        <v>363.4</v>
      </c>
      <c r="Q4695" t="n">
        <v>20</v>
      </c>
      <c r="R4695" t="n">
        <v>0</v>
      </c>
      <c r="S4695" t="n">
        <v>57.4</v>
      </c>
      <c r="T4695" t="n">
        <v>0</v>
      </c>
      <c r="U4695" t="n">
        <v>440.8</v>
      </c>
      <c r="X4695" t="inlineStr">
        <is>
          <t>acoa-apeca</t>
        </is>
      </c>
      <c r="Y4695" t="inlineStr">
        <is>
          <t>Atlantic Canada Opportunities Agency | Agence de promotion économique du Canada atlantique</t>
        </is>
      </c>
    </row>
    <row r="4696">
      <c r="A4696" t="inlineStr">
        <is>
          <t>T-2019-Q4-00016</t>
        </is>
      </c>
      <c r="B4696" t="inlineStr">
        <is>
          <t>SLE</t>
        </is>
      </c>
      <c r="C4696" t="inlineStr">
        <is>
          <t>Vice-President, Prince Edward Island</t>
        </is>
      </c>
      <c r="D4696" t="inlineStr">
        <is>
          <t>Vice-président, Île-du-Prince-Édouard</t>
        </is>
      </c>
      <c r="E4696" t="inlineStr">
        <is>
          <t>Patrick Dorsey</t>
        </is>
      </c>
      <c r="F4696" t="inlineStr">
        <is>
          <t>Various meetings with government officials</t>
        </is>
      </c>
      <c r="G4696" t="inlineStr">
        <is>
          <t>Diverses réunions avec des fonctionnaires</t>
        </is>
      </c>
      <c r="H4696" s="1" t="n">
        <v>43493</v>
      </c>
      <c r="I4696" s="1" t="n">
        <v>43497</v>
      </c>
      <c r="J4696" t="inlineStr">
        <is>
          <t>Halifax, Nova Scotia</t>
        </is>
      </c>
      <c r="K4696" t="inlineStr">
        <is>
          <t>Halifax (Nouvelle-Écosse)</t>
        </is>
      </c>
      <c r="P4696" t="n">
        <v>0</v>
      </c>
      <c r="Q4696" t="n">
        <v>143.25</v>
      </c>
      <c r="R4696" t="n">
        <v>598.27</v>
      </c>
      <c r="S4696" t="n">
        <v>456.8</v>
      </c>
      <c r="T4696" t="n">
        <v>0</v>
      </c>
      <c r="U4696" t="n">
        <v>1198.32</v>
      </c>
      <c r="X4696" t="inlineStr">
        <is>
          <t>acoa-apeca</t>
        </is>
      </c>
      <c r="Y4696" t="inlineStr">
        <is>
          <t>Atlantic Canada Opportunities Agency | Agence de promotion économique du Canada atlantique</t>
        </is>
      </c>
    </row>
    <row r="4697">
      <c r="A4697" t="inlineStr">
        <is>
          <t>T-2019-Q4-00015</t>
        </is>
      </c>
      <c r="B4697" t="inlineStr">
        <is>
          <t>SLE</t>
        </is>
      </c>
      <c r="C4697" t="inlineStr">
        <is>
          <t>Vice-President, Finance and Corporate Services</t>
        </is>
      </c>
      <c r="D4697" t="inlineStr">
        <is>
          <t>Vice-président, Finance et Services corporatifs</t>
        </is>
      </c>
      <c r="E4697" t="inlineStr">
        <is>
          <t>Stephane Lagace</t>
        </is>
      </c>
      <c r="F4697" t="inlineStr">
        <is>
          <t xml:space="preserve">Training - Financial Management Institute of Canada </t>
        </is>
      </c>
      <c r="G4697" t="inlineStr">
        <is>
          <t>Formation - Institut de la gestion financière du Canada</t>
        </is>
      </c>
      <c r="H4697" s="1" t="n">
        <v>43488</v>
      </c>
      <c r="I4697" s="1" t="n">
        <v>43490</v>
      </c>
      <c r="J4697" t="inlineStr">
        <is>
          <t>Ottawa, Ontario</t>
        </is>
      </c>
      <c r="K4697" t="inlineStr">
        <is>
          <t>Ottawa (Ontario)</t>
        </is>
      </c>
      <c r="P4697" t="n">
        <v>702.71</v>
      </c>
      <c r="Q4697" t="n">
        <v>38.53</v>
      </c>
      <c r="R4697" t="n">
        <v>451.28</v>
      </c>
      <c r="S4697" t="n">
        <v>211.85</v>
      </c>
      <c r="T4697" t="n">
        <v>44</v>
      </c>
      <c r="U4697" t="n">
        <v>1448.37</v>
      </c>
      <c r="X4697" t="inlineStr">
        <is>
          <t>acoa-apeca</t>
        </is>
      </c>
      <c r="Y4697" t="inlineStr">
        <is>
          <t>Atlantic Canada Opportunities Agency | Agence de promotion économique du Canada atlantique</t>
        </is>
      </c>
    </row>
    <row r="4698">
      <c r="A4698" t="inlineStr">
        <is>
          <t>T-2019-Q4-00014</t>
        </is>
      </c>
      <c r="B4698" t="inlineStr">
        <is>
          <t>SLE</t>
        </is>
      </c>
      <c r="C4698" t="inlineStr">
        <is>
          <t>Vice-President, Policy, Programs and Communications</t>
        </is>
      </c>
      <c r="D4698" t="inlineStr">
        <is>
          <t>Vice-président, Politiques et Programmes</t>
        </is>
      </c>
      <c r="E4698" t="inlineStr">
        <is>
          <t>Daryell Nowlan</t>
        </is>
      </c>
      <c r="F4698" t="inlineStr">
        <is>
          <t>Meetings with Government of Canada officials</t>
        </is>
      </c>
      <c r="G4698" t="inlineStr">
        <is>
          <t>Réunions avec des fonctionnaires du gouvernement du Canada</t>
        </is>
      </c>
      <c r="H4698" s="1" t="n">
        <v>43488</v>
      </c>
      <c r="I4698" s="1" t="n">
        <v>43489</v>
      </c>
      <c r="J4698" t="inlineStr">
        <is>
          <t>Ottawa, Ontario</t>
        </is>
      </c>
      <c r="K4698" t="inlineStr">
        <is>
          <t>Ottawa (Ontario)</t>
        </is>
      </c>
      <c r="P4698" t="n">
        <v>726.8</v>
      </c>
      <c r="Q4698" t="n">
        <v>124.49</v>
      </c>
      <c r="R4698" t="n">
        <v>225.64</v>
      </c>
      <c r="S4698" t="n">
        <v>154.45</v>
      </c>
      <c r="T4698" t="n">
        <v>0</v>
      </c>
      <c r="U4698" t="n">
        <v>1231.38</v>
      </c>
      <c r="X4698" t="inlineStr">
        <is>
          <t>acoa-apeca</t>
        </is>
      </c>
      <c r="Y4698" t="inlineStr">
        <is>
          <t>Atlantic Canada Opportunities Agency | Agence de promotion économique du Canada atlantique</t>
        </is>
      </c>
    </row>
    <row r="4699">
      <c r="A4699" t="inlineStr">
        <is>
          <t>T-2019-Q4-00013</t>
        </is>
      </c>
      <c r="B4699" t="inlineStr">
        <is>
          <t>SLE</t>
        </is>
      </c>
      <c r="C4699" t="inlineStr">
        <is>
          <t>Vice-President, Policy, Programs and Communications</t>
        </is>
      </c>
      <c r="D4699" t="inlineStr">
        <is>
          <t>Vice-président, Politiques et Programmes</t>
        </is>
      </c>
      <c r="E4699" t="inlineStr">
        <is>
          <t>Daryell Nowlan</t>
        </is>
      </c>
      <c r="F4699" t="inlineStr">
        <is>
          <t>Meetings with Government of Canada officials</t>
        </is>
      </c>
      <c r="G4699" t="inlineStr">
        <is>
          <t>Réunions avec des fonctionnaires du gouvernement du Canada</t>
        </is>
      </c>
      <c r="H4699" s="1" t="n">
        <v>43479</v>
      </c>
      <c r="I4699" s="1" t="n">
        <v>43480</v>
      </c>
      <c r="J4699" t="inlineStr">
        <is>
          <t>Montreal, Quebec</t>
        </is>
      </c>
      <c r="K4699" t="inlineStr">
        <is>
          <t>Montréal (Québec)</t>
        </is>
      </c>
      <c r="P4699" t="n">
        <v>726.8</v>
      </c>
      <c r="Q4699" t="n">
        <v>25</v>
      </c>
      <c r="R4699" t="n">
        <v>224.91</v>
      </c>
      <c r="S4699" t="n">
        <v>174.7</v>
      </c>
      <c r="T4699" t="n">
        <v>0</v>
      </c>
      <c r="U4699" t="n">
        <v>1151.41</v>
      </c>
      <c r="X4699" t="inlineStr">
        <is>
          <t>acoa-apeca</t>
        </is>
      </c>
      <c r="Y4699" t="inlineStr">
        <is>
          <t>Atlantic Canada Opportunities Agency | Agence de promotion économique du Canada atlantique</t>
        </is>
      </c>
    </row>
    <row r="4700">
      <c r="A4700" t="inlineStr">
        <is>
          <t>T-2019-Q4-00012</t>
        </is>
      </c>
      <c r="B4700" t="inlineStr">
        <is>
          <t>SLE</t>
        </is>
      </c>
      <c r="C4700" t="inlineStr">
        <is>
          <t>Vice-President, Finance and Corporate Services</t>
        </is>
      </c>
      <c r="D4700" t="inlineStr">
        <is>
          <t>Vice-président, Finance et Services corporatifs</t>
        </is>
      </c>
      <c r="E4700" t="inlineStr">
        <is>
          <t>Stephane Lagace</t>
        </is>
      </c>
      <c r="F4700" t="inlineStr">
        <is>
          <t>Various meetings with Government of Canada officials</t>
        </is>
      </c>
      <c r="G4700" t="inlineStr">
        <is>
          <t>Diverses réunions avec des fonctionnaires du gouvernement du Canada</t>
        </is>
      </c>
      <c r="H4700" s="1" t="n">
        <v>43479</v>
      </c>
      <c r="I4700" s="1" t="n">
        <v>43480</v>
      </c>
      <c r="J4700" t="inlineStr">
        <is>
          <t>Montreal, Quebec</t>
        </is>
      </c>
      <c r="K4700" t="inlineStr">
        <is>
          <t>Montréal (Québec)</t>
        </is>
      </c>
      <c r="P4700" t="n">
        <v>902.48</v>
      </c>
      <c r="Q4700" t="n">
        <v>96.66</v>
      </c>
      <c r="R4700" t="n">
        <v>201.12</v>
      </c>
      <c r="S4700" t="n">
        <v>124.7</v>
      </c>
      <c r="T4700" t="n">
        <v>32</v>
      </c>
      <c r="U4700" t="n">
        <v>1356.96</v>
      </c>
      <c r="X4700" t="inlineStr">
        <is>
          <t>acoa-apeca</t>
        </is>
      </c>
      <c r="Y4700" t="inlineStr">
        <is>
          <t>Atlantic Canada Opportunities Agency | Agence de promotion économique du Canada atlantique</t>
        </is>
      </c>
    </row>
    <row r="4701">
      <c r="A4701" t="inlineStr">
        <is>
          <t>T-2019-Q4-00011</t>
        </is>
      </c>
      <c r="B4701" t="inlineStr">
        <is>
          <t>SLE</t>
        </is>
      </c>
      <c r="C4701" t="inlineStr">
        <is>
          <t>Vice-President, Newfoundland and Labrador</t>
        </is>
      </c>
      <c r="D4701" t="inlineStr">
        <is>
          <t>Vice-président, Terre-Neuve-et-Labrador</t>
        </is>
      </c>
      <c r="E4701" t="inlineStr">
        <is>
          <t>Ken Martin</t>
        </is>
      </c>
      <c r="F4701" t="inlineStr">
        <is>
          <t>Attend meetings with senior government officials</t>
        </is>
      </c>
      <c r="G4701" t="inlineStr">
        <is>
          <t>Assister à des réunions avec de hauts fonctionnaires</t>
        </is>
      </c>
      <c r="H4701" s="1" t="n">
        <v>43473</v>
      </c>
      <c r="I4701" s="1" t="n">
        <v>43474</v>
      </c>
      <c r="J4701" t="inlineStr">
        <is>
          <t>Montreal, Quebec</t>
        </is>
      </c>
      <c r="K4701" t="inlineStr">
        <is>
          <t>Montréal (Québec)</t>
        </is>
      </c>
      <c r="P4701" t="n">
        <v>898.52</v>
      </c>
      <c r="Q4701" t="n">
        <v>75.05</v>
      </c>
      <c r="R4701" t="n">
        <v>196.35</v>
      </c>
      <c r="S4701" t="n">
        <v>174.7</v>
      </c>
      <c r="T4701" t="n">
        <v>0</v>
      </c>
      <c r="U4701" t="n">
        <v>1344.62</v>
      </c>
      <c r="X4701" t="inlineStr">
        <is>
          <t>acoa-apeca</t>
        </is>
      </c>
      <c r="Y4701" t="inlineStr">
        <is>
          <t>Atlantic Canada Opportunities Agency | Agence de promotion économique du Canada atlantique</t>
        </is>
      </c>
    </row>
    <row r="4702">
      <c r="A4702" t="inlineStr">
        <is>
          <t>T-2019-Q4-00010</t>
        </is>
      </c>
      <c r="B4702" t="inlineStr">
        <is>
          <t>SLE</t>
        </is>
      </c>
      <c r="C4702" t="inlineStr">
        <is>
          <t>President</t>
        </is>
      </c>
      <c r="D4702" t="inlineStr">
        <is>
          <t>Président</t>
        </is>
      </c>
      <c r="E4702" t="inlineStr">
        <is>
          <t>Francis McGuire</t>
        </is>
      </c>
      <c r="F4702" t="inlineStr">
        <is>
          <t>Various meetings with Government of Canada officials</t>
        </is>
      </c>
      <c r="G4702" t="inlineStr">
        <is>
          <t>Diverses réunions avec des fonctionnaires du gouvernement du Canada</t>
        </is>
      </c>
      <c r="H4702" s="1" t="n">
        <v>43479</v>
      </c>
      <c r="I4702" s="1" t="n">
        <v>43481</v>
      </c>
      <c r="J4702" t="inlineStr">
        <is>
          <t>Montreal, Quebec</t>
        </is>
      </c>
      <c r="K4702" t="inlineStr">
        <is>
          <t>Montréal (Québec)</t>
        </is>
      </c>
      <c r="P4702" t="n">
        <v>709.55</v>
      </c>
      <c r="Q4702" t="n">
        <v>87.98</v>
      </c>
      <c r="R4702" t="n">
        <v>449.82</v>
      </c>
      <c r="S4702" t="n">
        <v>254.01</v>
      </c>
      <c r="T4702" t="n">
        <v>36</v>
      </c>
      <c r="U4702" t="n">
        <v>1537.36</v>
      </c>
      <c r="X4702" t="inlineStr">
        <is>
          <t>acoa-apeca</t>
        </is>
      </c>
      <c r="Y4702" t="inlineStr">
        <is>
          <t>Atlantic Canada Opportunities Agency | Agence de promotion économique du Canada atlantique</t>
        </is>
      </c>
    </row>
    <row r="4703">
      <c r="A4703" t="inlineStr">
        <is>
          <t>T-2019-Q4-00009</t>
        </is>
      </c>
      <c r="B4703" t="inlineStr">
        <is>
          <t>SLE</t>
        </is>
      </c>
      <c r="C4703" t="inlineStr">
        <is>
          <t>Vice-President, Policy, Programs and Communications</t>
        </is>
      </c>
      <c r="D4703" t="inlineStr">
        <is>
          <t>Vice-président, Politiques et Programmes</t>
        </is>
      </c>
      <c r="E4703" t="inlineStr">
        <is>
          <t>Daryell Nowlan</t>
        </is>
      </c>
      <c r="F4703" t="inlineStr">
        <is>
          <t>Meetings with Government of Canada officials</t>
        </is>
      </c>
      <c r="G4703" t="inlineStr">
        <is>
          <t>Réunions avec des fonctionnaires du gouvernement du Canada</t>
        </is>
      </c>
      <c r="H4703" s="1" t="n">
        <v>43472</v>
      </c>
      <c r="I4703" s="1" t="n">
        <v>43474</v>
      </c>
      <c r="J4703" t="inlineStr">
        <is>
          <t>Ottawa, Ontario</t>
        </is>
      </c>
      <c r="K4703" t="inlineStr">
        <is>
          <t>Ottawa (Ontario)</t>
        </is>
      </c>
      <c r="P4703" t="n">
        <v>726.8</v>
      </c>
      <c r="Q4703" t="n">
        <v>100.45</v>
      </c>
      <c r="R4703" t="n">
        <v>420.72</v>
      </c>
      <c r="S4703" t="n">
        <v>221.75</v>
      </c>
      <c r="T4703" t="n">
        <v>0</v>
      </c>
      <c r="U4703" t="n">
        <v>1469.72</v>
      </c>
      <c r="X4703" t="inlineStr">
        <is>
          <t>acoa-apeca</t>
        </is>
      </c>
      <c r="Y4703" t="inlineStr">
        <is>
          <t>Atlantic Canada Opportunities Agency | Agence de promotion économique du Canada atlantique</t>
        </is>
      </c>
    </row>
    <row r="4704">
      <c r="A4704" t="inlineStr">
        <is>
          <t>T-2019-Q4-00008</t>
        </is>
      </c>
      <c r="B4704" t="inlineStr">
        <is>
          <t>SLE</t>
        </is>
      </c>
      <c r="C4704" t="inlineStr">
        <is>
          <t>Vice-President, Prince Edward Island</t>
        </is>
      </c>
      <c r="D4704" t="inlineStr">
        <is>
          <t>Vice-président, Île-du-Prince-Édouard</t>
        </is>
      </c>
      <c r="E4704" t="inlineStr">
        <is>
          <t>Patrick Dorsey</t>
        </is>
      </c>
      <c r="F4704" t="inlineStr">
        <is>
          <t xml:space="preserve">To attend meetings with senior Agency officials </t>
        </is>
      </c>
      <c r="G4704" t="inlineStr">
        <is>
          <t>Assister à des réunions avec de hauts fonctionnaires de l'Agence</t>
        </is>
      </c>
      <c r="H4704" s="1" t="n">
        <v>43473</v>
      </c>
      <c r="I4704" s="1" t="n">
        <v>43473</v>
      </c>
      <c r="J4704" t="inlineStr">
        <is>
          <t>Moncton, New Brunswick</t>
        </is>
      </c>
      <c r="K4704" t="inlineStr">
        <is>
          <t>Moncton (Nouveau-Brunswick)</t>
        </is>
      </c>
      <c r="P4704" t="n">
        <v>0</v>
      </c>
      <c r="Q4704" t="n">
        <v>55.75</v>
      </c>
      <c r="R4704" t="n">
        <v>0</v>
      </c>
      <c r="S4704" t="n">
        <v>19.85</v>
      </c>
      <c r="T4704" t="n">
        <v>0</v>
      </c>
      <c r="U4704" t="n">
        <v>75.59999999999999</v>
      </c>
      <c r="X4704" t="inlineStr">
        <is>
          <t>acoa-apeca</t>
        </is>
      </c>
      <c r="Y4704" t="inlineStr">
        <is>
          <t>Atlantic Canada Opportunities Agency | Agence de promotion économique du Canada atlantique</t>
        </is>
      </c>
    </row>
    <row r="4705">
      <c r="A4705" t="inlineStr">
        <is>
          <t>T-2019-Q4-00007</t>
        </is>
      </c>
      <c r="B4705" t="inlineStr">
        <is>
          <t>SLE</t>
        </is>
      </c>
      <c r="C4705" t="inlineStr">
        <is>
          <t>President</t>
        </is>
      </c>
      <c r="D4705" t="inlineStr">
        <is>
          <t>Président</t>
        </is>
      </c>
      <c r="E4705" t="inlineStr">
        <is>
          <t>Francis McGuire</t>
        </is>
      </c>
      <c r="F4705" t="inlineStr">
        <is>
          <t>Tourism roundtable with Government of Canada officials</t>
        </is>
      </c>
      <c r="G4705" t="inlineStr">
        <is>
          <t>Table ronde sur le tourisme avec des fonctionnaires du gouvernement du Canada</t>
        </is>
      </c>
      <c r="H4705" s="1" t="n">
        <v>43474</v>
      </c>
      <c r="I4705" s="1" t="n">
        <v>43474</v>
      </c>
      <c r="J4705" t="inlineStr">
        <is>
          <t>Waterford, New Brunswick</t>
        </is>
      </c>
      <c r="K4705" t="inlineStr">
        <is>
          <t>Waterford (Nouveau-Brunswick)</t>
        </is>
      </c>
      <c r="P4705" t="n">
        <v>0</v>
      </c>
      <c r="Q4705" t="n">
        <v>100.58</v>
      </c>
      <c r="R4705" t="n">
        <v>0</v>
      </c>
      <c r="S4705" t="n">
        <v>50</v>
      </c>
      <c r="T4705" t="n">
        <v>0</v>
      </c>
      <c r="U4705" t="n">
        <v>150.58</v>
      </c>
      <c r="X4705" t="inlineStr">
        <is>
          <t>acoa-apeca</t>
        </is>
      </c>
      <c r="Y4705" t="inlineStr">
        <is>
          <t>Atlantic Canada Opportunities Agency | Agence de promotion économique du Canada atlantique</t>
        </is>
      </c>
    </row>
    <row r="4706">
      <c r="A4706" t="inlineStr">
        <is>
          <t>T-2019-Q4-00006</t>
        </is>
      </c>
      <c r="B4706" t="inlineStr">
        <is>
          <t>SLE</t>
        </is>
      </c>
      <c r="C4706" t="inlineStr">
        <is>
          <t>Vice-President, Prince Edward Island</t>
        </is>
      </c>
      <c r="D4706" t="inlineStr">
        <is>
          <t>Vice-président, Île-du-Prince-Édouard</t>
        </is>
      </c>
      <c r="E4706" t="inlineStr">
        <is>
          <t>Patrick Dorsey</t>
        </is>
      </c>
      <c r="F4706" t="inlineStr">
        <is>
          <t xml:space="preserve">Meetings with various government officials </t>
        </is>
      </c>
      <c r="G4706" t="inlineStr">
        <is>
          <t>Réunions avec divers fonctionnaires</t>
        </is>
      </c>
      <c r="H4706" s="1" t="n">
        <v>43451</v>
      </c>
      <c r="I4706" s="1" t="n">
        <v>43453</v>
      </c>
      <c r="J4706" t="inlineStr">
        <is>
          <t>Ottawa, Ontario</t>
        </is>
      </c>
      <c r="K4706" t="inlineStr">
        <is>
          <t>Ottawa (Ontario)</t>
        </is>
      </c>
      <c r="P4706" t="n">
        <v>1407.95</v>
      </c>
      <c r="Q4706" t="n">
        <v>117.59</v>
      </c>
      <c r="R4706" t="n">
        <v>444.22</v>
      </c>
      <c r="S4706" t="n">
        <v>301.95</v>
      </c>
      <c r="T4706" t="n">
        <v>0</v>
      </c>
      <c r="U4706" t="n">
        <v>2271.71</v>
      </c>
      <c r="X4706" t="inlineStr">
        <is>
          <t>acoa-apeca</t>
        </is>
      </c>
      <c r="Y4706" t="inlineStr">
        <is>
          <t>Atlantic Canada Opportunities Agency | Agence de promotion économique du Canada atlantique</t>
        </is>
      </c>
    </row>
    <row r="4707">
      <c r="A4707" t="inlineStr">
        <is>
          <t>T-2019-Q4-00005</t>
        </is>
      </c>
      <c r="B4707" t="inlineStr">
        <is>
          <t>SLE</t>
        </is>
      </c>
      <c r="C4707" t="inlineStr">
        <is>
          <t>Vice-President, Prince Edward Island</t>
        </is>
      </c>
      <c r="D4707" t="inlineStr">
        <is>
          <t>Vice-président, Île-du-Prince-Édouard</t>
        </is>
      </c>
      <c r="E4707" t="inlineStr">
        <is>
          <t>Patrick Dorsey</t>
        </is>
      </c>
      <c r="F4707" t="inlineStr">
        <is>
          <t>Meetings with government officials</t>
        </is>
      </c>
      <c r="G4707" t="inlineStr">
        <is>
          <t>Réunions avec des fonctionnaires</t>
        </is>
      </c>
      <c r="H4707" s="1" t="n">
        <v>43443</v>
      </c>
      <c r="I4707" s="1" t="n">
        <v>43445</v>
      </c>
      <c r="J4707" t="inlineStr">
        <is>
          <t>Halifax, Nova Scotia</t>
        </is>
      </c>
      <c r="K4707" t="inlineStr">
        <is>
          <t>Halifax (Nouvelle-Écosse)</t>
        </is>
      </c>
      <c r="P4707" t="n">
        <v>0</v>
      </c>
      <c r="Q4707" t="n">
        <v>97</v>
      </c>
      <c r="R4707" t="n">
        <v>286.22</v>
      </c>
      <c r="S4707" t="n">
        <v>301.95</v>
      </c>
      <c r="T4707" t="n">
        <v>0</v>
      </c>
      <c r="U4707" t="n">
        <v>685.17</v>
      </c>
      <c r="X4707" t="inlineStr">
        <is>
          <t>acoa-apeca</t>
        </is>
      </c>
      <c r="Y4707" t="inlineStr">
        <is>
          <t>Atlantic Canada Opportunities Agency | Agence de promotion économique du Canada atlantique</t>
        </is>
      </c>
    </row>
    <row r="4708">
      <c r="A4708" t="inlineStr">
        <is>
          <t>T-2019-Q4-00004</t>
        </is>
      </c>
      <c r="B4708" t="inlineStr">
        <is>
          <t>SLE</t>
        </is>
      </c>
      <c r="C4708" t="inlineStr">
        <is>
          <t>President</t>
        </is>
      </c>
      <c r="D4708" t="inlineStr">
        <is>
          <t>Président</t>
        </is>
      </c>
      <c r="E4708" t="inlineStr">
        <is>
          <t>Francis McGuire</t>
        </is>
      </c>
      <c r="F4708" t="inlineStr">
        <is>
          <t>Event/meeting with Government of Canada officials and key stakeholders</t>
        </is>
      </c>
      <c r="G4708" t="inlineStr">
        <is>
          <t>Activité/réunion avec des fonctionnaires du gouvernement du Canada et des intervenants clés</t>
        </is>
      </c>
      <c r="H4708" s="1" t="n">
        <v>43447</v>
      </c>
      <c r="I4708" s="1" t="n">
        <v>43448</v>
      </c>
      <c r="J4708" t="inlineStr">
        <is>
          <t>Halifax, Nova Scotia</t>
        </is>
      </c>
      <c r="K4708" t="inlineStr">
        <is>
          <t>Halifax (Nouvelle-Écosse)</t>
        </is>
      </c>
      <c r="P4708" t="n">
        <v>0</v>
      </c>
      <c r="Q4708" t="n">
        <v>283.01</v>
      </c>
      <c r="R4708" t="n">
        <v>166.57</v>
      </c>
      <c r="S4708" t="n">
        <v>144.55</v>
      </c>
      <c r="T4708" t="n">
        <v>0</v>
      </c>
      <c r="U4708" t="n">
        <v>594.13</v>
      </c>
      <c r="X4708" t="inlineStr">
        <is>
          <t>acoa-apeca</t>
        </is>
      </c>
      <c r="Y4708" t="inlineStr">
        <is>
          <t>Atlantic Canada Opportunities Agency | Agence de promotion économique du Canada atlantique</t>
        </is>
      </c>
    </row>
    <row r="4709">
      <c r="A4709" t="inlineStr">
        <is>
          <t>T-2019-Q4-00003</t>
        </is>
      </c>
      <c r="B4709" t="inlineStr">
        <is>
          <t>SLE</t>
        </is>
      </c>
      <c r="C4709" t="inlineStr">
        <is>
          <t>Vice-President, Policy, Programs and Communications</t>
        </is>
      </c>
      <c r="D4709" t="inlineStr">
        <is>
          <t>Vice-président, Politiques et Programmes</t>
        </is>
      </c>
      <c r="E4709" t="inlineStr">
        <is>
          <t>Daryell Nowlan</t>
        </is>
      </c>
      <c r="F4709" t="inlineStr">
        <is>
          <t>Meetings with Government of Canada officials</t>
        </is>
      </c>
      <c r="G4709" t="inlineStr">
        <is>
          <t>Réunions avec des fonctionnaires fédéraux</t>
        </is>
      </c>
      <c r="H4709" s="1" t="n">
        <v>43438</v>
      </c>
      <c r="I4709" s="1" t="n">
        <v>43441</v>
      </c>
      <c r="J4709" t="inlineStr">
        <is>
          <t>Halifax, Nova Scotia and Ottawa, Ontario</t>
        </is>
      </c>
      <c r="K4709" t="inlineStr">
        <is>
          <t>Halifax (Nouvelle-Écosse) et Ottawa (Ontario)</t>
        </is>
      </c>
      <c r="P4709" t="n">
        <v>1044.2</v>
      </c>
      <c r="Q4709" t="n">
        <v>587.09</v>
      </c>
      <c r="R4709" t="n">
        <v>619.04</v>
      </c>
      <c r="S4709" t="n">
        <v>368.85</v>
      </c>
      <c r="T4709" t="n">
        <v>0</v>
      </c>
      <c r="U4709" t="n">
        <v>2619.18</v>
      </c>
      <c r="X4709" t="inlineStr">
        <is>
          <t>acoa-apeca</t>
        </is>
      </c>
      <c r="Y4709" t="inlineStr">
        <is>
          <t>Atlantic Canada Opportunities Agency | Agence de promotion économique du Canada atlantique</t>
        </is>
      </c>
    </row>
    <row r="4710">
      <c r="A4710" t="inlineStr">
        <is>
          <t>T-2019-Q4-00002</t>
        </is>
      </c>
      <c r="B4710" t="inlineStr">
        <is>
          <t>SLE</t>
        </is>
      </c>
      <c r="C4710" t="inlineStr">
        <is>
          <t>President</t>
        </is>
      </c>
      <c r="D4710" t="inlineStr">
        <is>
          <t>Président</t>
        </is>
      </c>
      <c r="E4710" t="inlineStr">
        <is>
          <t>Francis McGuire</t>
        </is>
      </c>
      <c r="F4710" t="inlineStr">
        <is>
          <t>Meetings with Government of Canada officials</t>
        </is>
      </c>
      <c r="G4710" t="inlineStr">
        <is>
          <t>Réunions avec des fonctionnaires du gouvernement du Canada</t>
        </is>
      </c>
      <c r="H4710" s="1" t="n">
        <v>43439</v>
      </c>
      <c r="I4710" s="1" t="n">
        <v>43440</v>
      </c>
      <c r="J4710" t="inlineStr">
        <is>
          <t>Moncton, New Brunswick</t>
        </is>
      </c>
      <c r="K4710" t="inlineStr">
        <is>
          <t>Moncton (Nouveau-Brunswick)</t>
        </is>
      </c>
      <c r="P4710" t="n">
        <v>0</v>
      </c>
      <c r="Q4710" t="n">
        <v>177.09</v>
      </c>
      <c r="R4710" t="n">
        <v>181.23</v>
      </c>
      <c r="S4710" t="n">
        <v>124.7</v>
      </c>
      <c r="T4710" t="n">
        <v>0</v>
      </c>
      <c r="U4710" t="n">
        <v>483.02</v>
      </c>
      <c r="X4710" t="inlineStr">
        <is>
          <t>acoa-apeca</t>
        </is>
      </c>
      <c r="Y4710" t="inlineStr">
        <is>
          <t>Atlantic Canada Opportunities Agency | Agence de promotion économique du Canada atlantique</t>
        </is>
      </c>
    </row>
    <row r="4711">
      <c r="A4711" t="inlineStr">
        <is>
          <t>T-2019-Q4-00001</t>
        </is>
      </c>
      <c r="B4711" t="inlineStr">
        <is>
          <t>SLE</t>
        </is>
      </c>
      <c r="C4711" t="inlineStr">
        <is>
          <t>President</t>
        </is>
      </c>
      <c r="D4711" t="inlineStr">
        <is>
          <t>Président</t>
        </is>
      </c>
      <c r="E4711" t="inlineStr">
        <is>
          <t>Francis McGuire</t>
        </is>
      </c>
      <c r="F4711" t="inlineStr">
        <is>
          <t>Meetings with Government of Canada officials</t>
        </is>
      </c>
      <c r="G4711" t="inlineStr">
        <is>
          <t>Réunions avec des fonctionnaires du gouvernement du Canada</t>
        </is>
      </c>
      <c r="H4711" s="1" t="n">
        <v>43437</v>
      </c>
      <c r="I4711" s="1" t="n">
        <v>43438</v>
      </c>
      <c r="J4711" t="inlineStr">
        <is>
          <t>Ottawa, Ontario</t>
        </is>
      </c>
      <c r="K4711" t="inlineStr">
        <is>
          <t>Ottawa (Ontario)</t>
        </is>
      </c>
      <c r="P4711" t="n">
        <v>698.61</v>
      </c>
      <c r="Q4711" t="n">
        <v>14.98</v>
      </c>
      <c r="R4711" t="n">
        <v>536.74</v>
      </c>
      <c r="S4711" t="n">
        <v>144.55</v>
      </c>
      <c r="T4711" t="n">
        <v>18</v>
      </c>
      <c r="U4711" t="n">
        <v>1412.88</v>
      </c>
      <c r="X4711" t="inlineStr">
        <is>
          <t>acoa-apeca</t>
        </is>
      </c>
      <c r="Y4711" t="inlineStr">
        <is>
          <t>Atlantic Canada Opportunities Agency | Agence de promotion économique du Canada atlantique</t>
        </is>
      </c>
    </row>
    <row r="4712">
      <c r="A4712" t="inlineStr">
        <is>
          <t>T-2020-Q1-00039</t>
        </is>
      </c>
      <c r="B4712" t="inlineStr">
        <is>
          <t>SLE</t>
        </is>
      </c>
      <c r="C4712" t="inlineStr">
        <is>
          <t>Vice-President, Finance and Corporate Services</t>
        </is>
      </c>
      <c r="D4712" t="inlineStr">
        <is>
          <t>Vice-président, Finance et Services corporatifs</t>
        </is>
      </c>
      <c r="E4712" t="inlineStr">
        <is>
          <t>Stephane Lagace</t>
        </is>
      </c>
      <c r="F4712" t="inlineStr">
        <is>
          <t>Meeting with Agency officials</t>
        </is>
      </c>
      <c r="G4712" t="inlineStr">
        <is>
          <t>Réunion avec des fonctionnaires de l'Agence</t>
        </is>
      </c>
      <c r="H4712" s="1" t="n">
        <v>43599</v>
      </c>
      <c r="I4712" s="1" t="n">
        <v>43600</v>
      </c>
      <c r="J4712" t="inlineStr">
        <is>
          <t>Halifax, Nova Scotia</t>
        </is>
      </c>
      <c r="K4712" t="inlineStr">
        <is>
          <t>Halifax (Nouvelle-Écosse)</t>
        </is>
      </c>
      <c r="P4712" t="n">
        <v>0</v>
      </c>
      <c r="Q4712" t="n">
        <v>99.91</v>
      </c>
      <c r="R4712" t="n">
        <v>233.43</v>
      </c>
      <c r="S4712" t="n">
        <v>146.35</v>
      </c>
      <c r="T4712" t="n">
        <v>109.25</v>
      </c>
      <c r="U4712" t="n">
        <v>588.9400000000001</v>
      </c>
      <c r="X4712" t="inlineStr">
        <is>
          <t>acoa-apeca</t>
        </is>
      </c>
      <c r="Y4712" t="inlineStr">
        <is>
          <t>Atlantic Canada Opportunities Agency | Agence de promotion économique du Canada atlantique</t>
        </is>
      </c>
    </row>
    <row r="4713">
      <c r="A4713" t="inlineStr">
        <is>
          <t>T-2019-Q3-00072</t>
        </is>
      </c>
      <c r="B4713" t="inlineStr">
        <is>
          <t>SLE</t>
        </is>
      </c>
      <c r="C4713" t="inlineStr">
        <is>
          <t>Vice-President, Newfoundland and Labrador</t>
        </is>
      </c>
      <c r="D4713" t="inlineStr">
        <is>
          <t>Vice-président, Terre-Neuve-et-Labrador</t>
        </is>
      </c>
      <c r="E4713" t="inlineStr">
        <is>
          <t>Ken Martin</t>
        </is>
      </c>
      <c r="F4713" t="inlineStr">
        <is>
          <t xml:space="preserve">Various meetings and discussions with senior government and private sector officials </t>
        </is>
      </c>
      <c r="G4713" t="inlineStr">
        <is>
          <t>Diverses réunions et discussions avec de hauts fonctionnaires et des représentants du secteur privé</t>
        </is>
      </c>
      <c r="H4713" s="1" t="n">
        <v>43374</v>
      </c>
      <c r="I4713" s="1" t="n">
        <v>43524</v>
      </c>
      <c r="J4713" t="inlineStr">
        <is>
          <t>St. John's and surrounding area on the Avalon Peninsula</t>
        </is>
      </c>
      <c r="K4713" t="inlineStr">
        <is>
          <t>St. John's et région avoisinante de la presqu'île Avalon</t>
        </is>
      </c>
      <c r="P4713" t="n">
        <v>0</v>
      </c>
      <c r="Q4713" t="n">
        <v>107.52</v>
      </c>
      <c r="R4713" t="n">
        <v>0</v>
      </c>
      <c r="S4713" t="n">
        <v>0</v>
      </c>
      <c r="T4713" t="n">
        <v>0</v>
      </c>
      <c r="U4713" t="n">
        <v>107.52</v>
      </c>
      <c r="X4713" t="inlineStr">
        <is>
          <t>acoa-apeca</t>
        </is>
      </c>
      <c r="Y4713" t="inlineStr">
        <is>
          <t>Atlantic Canada Opportunities Agency | Agence de promotion économique du Canada atlantique</t>
        </is>
      </c>
    </row>
    <row r="4714">
      <c r="A4714" t="inlineStr">
        <is>
          <t>T-2019-Q3-00068</t>
        </is>
      </c>
      <c r="B4714" t="inlineStr">
        <is>
          <t>SLE</t>
        </is>
      </c>
      <c r="C4714" t="inlineStr">
        <is>
          <t>Senior Advisor (Energy)</t>
        </is>
      </c>
      <c r="D4714" t="inlineStr">
        <is>
          <t>Conseiller spécial (energie)</t>
        </is>
      </c>
      <c r="E4714" t="inlineStr">
        <is>
          <t>Andrew F. Noseworthy</t>
        </is>
      </c>
      <c r="F4714" t="inlineStr">
        <is>
          <t>Attend Institute of Corporate Directors Program - Module 2</t>
        </is>
      </c>
      <c r="G4714" t="inlineStr">
        <is>
          <t>Participer au programme de l'Institut des administrateurs de sociétés (module 2)</t>
        </is>
      </c>
      <c r="H4714" s="1" t="n">
        <v>43433</v>
      </c>
      <c r="I4714" s="1" t="n">
        <v>43436</v>
      </c>
      <c r="J4714" t="inlineStr">
        <is>
          <t>Toronto, Ontario</t>
        </is>
      </c>
      <c r="K4714" t="inlineStr">
        <is>
          <t>Toronto (Ontario)</t>
        </is>
      </c>
      <c r="P4714" t="n">
        <v>794.48</v>
      </c>
      <c r="Q4714" t="n">
        <v>196</v>
      </c>
      <c r="R4714" t="n">
        <v>678.08</v>
      </c>
      <c r="S4714" t="n">
        <v>69.2</v>
      </c>
      <c r="T4714" t="n">
        <v>64</v>
      </c>
      <c r="U4714" t="n">
        <v>1801.76</v>
      </c>
      <c r="X4714" t="inlineStr">
        <is>
          <t>acoa-apeca</t>
        </is>
      </c>
      <c r="Y4714" t="inlineStr">
        <is>
          <t>Atlantic Canada Opportunities Agency | Agence de promotion économique du Canada atlantique</t>
        </is>
      </c>
    </row>
    <row r="4715">
      <c r="A4715" t="inlineStr">
        <is>
          <t>T-2019-Q3-00066</t>
        </is>
      </c>
      <c r="B4715" t="inlineStr">
        <is>
          <t>SLE</t>
        </is>
      </c>
      <c r="C4715" t="inlineStr">
        <is>
          <t>President</t>
        </is>
      </c>
      <c r="D4715" t="inlineStr">
        <is>
          <t>Président</t>
        </is>
      </c>
      <c r="E4715" t="inlineStr">
        <is>
          <t>Francis McGuire</t>
        </is>
      </c>
      <c r="F4715" t="inlineStr">
        <is>
          <t>Meetings with Government of Canada officials and key stakeholder</t>
        </is>
      </c>
      <c r="G4715" t="inlineStr">
        <is>
          <t>Réunions avec des fonctionnaires du gouvernement du Canada et un intervenant clé</t>
        </is>
      </c>
      <c r="H4715" s="1" t="n">
        <v>43430</v>
      </c>
      <c r="I4715" s="1" t="n">
        <v>43430</v>
      </c>
      <c r="J4715" t="inlineStr">
        <is>
          <t>Ottawa, Ontario</t>
        </is>
      </c>
      <c r="K4715" t="inlineStr">
        <is>
          <t>Ottawa (Ontario)</t>
        </is>
      </c>
      <c r="P4715" t="n">
        <v>692.3</v>
      </c>
      <c r="Q4715" t="n">
        <v>14.98</v>
      </c>
      <c r="R4715" t="n">
        <v>0</v>
      </c>
      <c r="S4715" t="n">
        <v>69.84999999999999</v>
      </c>
      <c r="T4715" t="n">
        <v>12</v>
      </c>
      <c r="U4715" t="n">
        <v>789.13</v>
      </c>
      <c r="X4715" t="inlineStr">
        <is>
          <t>acoa-apeca</t>
        </is>
      </c>
      <c r="Y4715" t="inlineStr">
        <is>
          <t>Atlantic Canada Opportunities Agency | Agence de promotion économique du Canada atlantique</t>
        </is>
      </c>
    </row>
    <row r="4716">
      <c r="A4716" t="inlineStr">
        <is>
          <t>T-2019-Q3-00059</t>
        </is>
      </c>
      <c r="B4716" t="inlineStr">
        <is>
          <t>SLE</t>
        </is>
      </c>
      <c r="C4716" t="inlineStr">
        <is>
          <t>President</t>
        </is>
      </c>
      <c r="D4716" t="inlineStr">
        <is>
          <t>Président</t>
        </is>
      </c>
      <c r="E4716" t="inlineStr">
        <is>
          <t>Francis McGuire</t>
        </is>
      </c>
      <c r="F4716" t="inlineStr">
        <is>
          <t>Meetings/event with Government of Canada officials and key stakeholders</t>
        </is>
      </c>
      <c r="G4716" t="inlineStr">
        <is>
          <t>Réunions/activité avec des fonctionnaires du gouvernement du Canada et des intervenants clés</t>
        </is>
      </c>
      <c r="H4716" s="1" t="n">
        <v>43424</v>
      </c>
      <c r="I4716" s="1" t="n">
        <v>43425</v>
      </c>
      <c r="J4716" t="inlineStr">
        <is>
          <t>Ottawa, Ontario</t>
        </is>
      </c>
      <c r="K4716" t="inlineStr">
        <is>
          <t>Ottawa (Ontario)</t>
        </is>
      </c>
      <c r="P4716" t="n">
        <v>575.54</v>
      </c>
      <c r="Q4716" t="n">
        <v>14.98</v>
      </c>
      <c r="R4716" t="n">
        <v>233.86</v>
      </c>
      <c r="S4716" t="n">
        <v>144.55</v>
      </c>
      <c r="T4716" t="n">
        <v>24</v>
      </c>
      <c r="U4716" t="n">
        <v>992.9299999999999</v>
      </c>
      <c r="X4716" t="inlineStr">
        <is>
          <t>acoa-apeca</t>
        </is>
      </c>
      <c r="Y4716" t="inlineStr">
        <is>
          <t>Atlantic Canada Opportunities Agency | Agence de promotion économique du Canada atlantique</t>
        </is>
      </c>
    </row>
    <row r="4717">
      <c r="A4717" t="inlineStr">
        <is>
          <t>T-2019-Q3-00034</t>
        </is>
      </c>
      <c r="B4717" t="inlineStr">
        <is>
          <t>SLE</t>
        </is>
      </c>
      <c r="C4717" t="inlineStr">
        <is>
          <t>President</t>
        </is>
      </c>
      <c r="D4717" t="inlineStr">
        <is>
          <t>Président</t>
        </is>
      </c>
      <c r="E4717" t="inlineStr">
        <is>
          <t>Francis McGuire</t>
        </is>
      </c>
      <c r="F4717" t="inlineStr">
        <is>
          <t>Meetings with Government of Canada officials and key stakeholders</t>
        </is>
      </c>
      <c r="G4717" t="inlineStr">
        <is>
          <t>Réunions avec des fonctionnaires du gouvernement du Canada et des intervenants clés</t>
        </is>
      </c>
      <c r="H4717" s="1" t="n">
        <v>43418</v>
      </c>
      <c r="I4717" s="1" t="n">
        <v>43422</v>
      </c>
      <c r="J4717" t="inlineStr">
        <is>
          <t>Sydney and Halifax, Nova Scotia</t>
        </is>
      </c>
      <c r="K4717" t="inlineStr">
        <is>
          <t>Sydney et Halifax (Nouvelle-Écosse)</t>
        </is>
      </c>
      <c r="P4717" t="n">
        <v>0</v>
      </c>
      <c r="Q4717" t="n">
        <v>612.55</v>
      </c>
      <c r="R4717" t="n">
        <v>974.78</v>
      </c>
      <c r="S4717" t="n">
        <v>357.2</v>
      </c>
      <c r="T4717" t="n">
        <v>69</v>
      </c>
      <c r="U4717" t="n">
        <v>2013.53</v>
      </c>
      <c r="X4717" t="inlineStr">
        <is>
          <t>acoa-apeca</t>
        </is>
      </c>
      <c r="Y4717" t="inlineStr">
        <is>
          <t>Atlantic Canada Opportunities Agency | Agence de promotion économique du Canada atlantique</t>
        </is>
      </c>
    </row>
    <row r="4718">
      <c r="A4718" t="inlineStr">
        <is>
          <t>T-2020-Q1-00065</t>
        </is>
      </c>
      <c r="B4718" t="inlineStr">
        <is>
          <t>SLE</t>
        </is>
      </c>
      <c r="C4718" t="inlineStr">
        <is>
          <t>Vice-President, Policy, Programs and Communications</t>
        </is>
      </c>
      <c r="D4718" t="inlineStr">
        <is>
          <t>Vice-président, Politiques et Programmes</t>
        </is>
      </c>
      <c r="E4718" t="inlineStr">
        <is>
          <t>Daryell Nowlan</t>
        </is>
      </c>
      <c r="F4718" t="inlineStr">
        <is>
          <t>Meetings with Government of Canada officials</t>
        </is>
      </c>
      <c r="G4718" t="inlineStr">
        <is>
          <t>Réunions avec des fonctionnaires du gouvernement du Canada</t>
        </is>
      </c>
      <c r="H4718" s="1" t="n">
        <v>43597</v>
      </c>
      <c r="I4718" s="1" t="n">
        <v>43600</v>
      </c>
      <c r="J4718" t="inlineStr">
        <is>
          <t>Ottawa, Ontario and Halifax, Nova Scotia</t>
        </is>
      </c>
      <c r="K4718" t="inlineStr">
        <is>
          <t>Ottawa (Ontario) et Halifax (Nouvelle-Écosse)</t>
        </is>
      </c>
      <c r="P4718" t="n">
        <v>726.8</v>
      </c>
      <c r="Q4718" t="n">
        <v>134.49</v>
      </c>
      <c r="R4718" t="n">
        <v>748.17</v>
      </c>
      <c r="S4718" t="n">
        <v>264.55</v>
      </c>
      <c r="T4718" t="n">
        <v>0</v>
      </c>
      <c r="U4718" t="n">
        <v>1874.01</v>
      </c>
      <c r="X4718" t="inlineStr">
        <is>
          <t>acoa-apeca</t>
        </is>
      </c>
      <c r="Y4718" t="inlineStr">
        <is>
          <t>Atlantic Canada Opportunities Agency | Agence de promotion économique du Canada atlantique</t>
        </is>
      </c>
    </row>
    <row r="4719">
      <c r="A4719" t="inlineStr">
        <is>
          <t>T-2020-Q1-00064</t>
        </is>
      </c>
      <c r="B4719" t="inlineStr">
        <is>
          <t>SLE</t>
        </is>
      </c>
      <c r="C4719" t="inlineStr">
        <is>
          <t>Vice-President, New Brunswick</t>
        </is>
      </c>
      <c r="D4719" t="inlineStr">
        <is>
          <t>Vice-président, Nouveau-Brunswick</t>
        </is>
      </c>
      <c r="E4719" t="inlineStr">
        <is>
          <t>Kent Estabrooks</t>
        </is>
      </c>
      <c r="F4719" t="inlineStr">
        <is>
          <t>Training and development</t>
        </is>
      </c>
      <c r="G4719" t="inlineStr">
        <is>
          <t>Formation et perfectionnement</t>
        </is>
      </c>
      <c r="H4719" s="1" t="n">
        <v>43612</v>
      </c>
      <c r="I4719" s="1" t="n">
        <v>43614</v>
      </c>
      <c r="J4719" t="inlineStr">
        <is>
          <t>Ottawa, Ontario</t>
        </is>
      </c>
      <c r="K4719" t="inlineStr">
        <is>
          <t>Ottawa (Ontario)</t>
        </is>
      </c>
      <c r="P4719" t="n">
        <v>726.8</v>
      </c>
      <c r="Q4719" t="n">
        <v>147</v>
      </c>
      <c r="R4719" t="n">
        <v>470.08</v>
      </c>
      <c r="S4719" t="n">
        <v>264.95</v>
      </c>
      <c r="T4719" t="n">
        <v>0</v>
      </c>
      <c r="U4719" t="n">
        <v>1608.83</v>
      </c>
      <c r="X4719" t="inlineStr">
        <is>
          <t>acoa-apeca</t>
        </is>
      </c>
      <c r="Y4719" t="inlineStr">
        <is>
          <t>Atlantic Canada Opportunities Agency | Agence de promotion économique du Canada atlantique</t>
        </is>
      </c>
    </row>
    <row r="4720">
      <c r="A4720" t="inlineStr">
        <is>
          <t>T-2020-Q1-00063</t>
        </is>
      </c>
      <c r="B4720" t="inlineStr">
        <is>
          <t>SLE</t>
        </is>
      </c>
      <c r="C4720" t="inlineStr">
        <is>
          <t>Vice-President, Nova Scotia</t>
        </is>
      </c>
      <c r="D4720" t="inlineStr">
        <is>
          <t>Vice-président, Nouvelle-Écosse</t>
        </is>
      </c>
      <c r="E4720" t="inlineStr">
        <is>
          <t>Chuck Maillet</t>
        </is>
      </c>
      <c r="F4720" t="inlineStr">
        <is>
          <t xml:space="preserve">Association of Professional Executives Forum </t>
        </is>
      </c>
      <c r="G4720" t="inlineStr">
        <is>
          <t xml:space="preserve">Forum de l'Association professionnelle des cadres supérieurs de la fonction publique </t>
        </is>
      </c>
      <c r="H4720" s="1" t="n">
        <v>43612</v>
      </c>
      <c r="I4720" s="1" t="n">
        <v>43614</v>
      </c>
      <c r="J4720" t="inlineStr">
        <is>
          <t>Ottawa, Ontario</t>
        </is>
      </c>
      <c r="K4720" t="inlineStr">
        <is>
          <t>Ottawa (Ontario)</t>
        </is>
      </c>
      <c r="P4720" t="n">
        <v>60.09</v>
      </c>
      <c r="Q4720" t="n">
        <v>25.29</v>
      </c>
      <c r="R4720" t="n">
        <v>470.08</v>
      </c>
      <c r="S4720" t="n">
        <v>244.85</v>
      </c>
      <c r="T4720" t="n">
        <v>0</v>
      </c>
      <c r="U4720" t="n">
        <v>800.3099999999999</v>
      </c>
      <c r="X4720" t="inlineStr">
        <is>
          <t>acoa-apeca</t>
        </is>
      </c>
      <c r="Y4720" t="inlineStr">
        <is>
          <t>Atlantic Canada Opportunities Agency | Agence de promotion économique du Canada atlantique</t>
        </is>
      </c>
    </row>
    <row r="4721">
      <c r="A4721" t="inlineStr">
        <is>
          <t>T-2020-Q1-00062</t>
        </is>
      </c>
      <c r="B4721" t="inlineStr">
        <is>
          <t>SLE</t>
        </is>
      </c>
      <c r="C4721" t="inlineStr">
        <is>
          <t>Vice-President, Nova Scotia</t>
        </is>
      </c>
      <c r="D4721" t="inlineStr">
        <is>
          <t>Vice-président, Nouvelle-Écosse</t>
        </is>
      </c>
      <c r="E4721" t="inlineStr">
        <is>
          <t>Chuck Maillet</t>
        </is>
      </c>
      <c r="F4721" t="inlineStr">
        <is>
          <t>Various meetings with Agency officials and Government of Canada officials</t>
        </is>
      </c>
      <c r="G4721" t="inlineStr">
        <is>
          <t>Diverses réunions avec des fonctionnaires de l'Agence et du gouvernement du Canada</t>
        </is>
      </c>
      <c r="H4721" s="1" t="n">
        <v>43527</v>
      </c>
      <c r="I4721" s="1" t="n">
        <v>43529</v>
      </c>
      <c r="J4721" t="inlineStr">
        <is>
          <t>Ottawa, Ontario</t>
        </is>
      </c>
      <c r="K4721" t="inlineStr">
        <is>
          <t>Ottawa (Ontario)</t>
        </is>
      </c>
      <c r="P4721" t="n">
        <v>638.35</v>
      </c>
      <c r="Q4721" t="n">
        <v>62.29</v>
      </c>
      <c r="R4721" t="n">
        <v>451.28</v>
      </c>
      <c r="S4721" t="n">
        <v>282.1</v>
      </c>
      <c r="T4721" t="n">
        <v>0</v>
      </c>
      <c r="U4721" t="n">
        <v>1434.02</v>
      </c>
      <c r="X4721" t="inlineStr">
        <is>
          <t>acoa-apeca</t>
        </is>
      </c>
      <c r="Y4721" t="inlineStr">
        <is>
          <t>Atlantic Canada Opportunities Agency | Agence de promotion économique du Canada atlantique</t>
        </is>
      </c>
    </row>
    <row r="4722">
      <c r="A4722" t="inlineStr">
        <is>
          <t>T-2020-Q1-00061</t>
        </is>
      </c>
      <c r="B4722" t="inlineStr">
        <is>
          <t>SLE</t>
        </is>
      </c>
      <c r="C4722" t="inlineStr">
        <is>
          <t>Vice-President, Nova Scotia</t>
        </is>
      </c>
      <c r="D4722" t="inlineStr">
        <is>
          <t>Vice-président, Nouvelle-Écosse</t>
        </is>
      </c>
      <c r="E4722" t="inlineStr">
        <is>
          <t>Chuck Maillet</t>
        </is>
      </c>
      <c r="F4722" t="inlineStr">
        <is>
          <t>Executive Committee meeting</t>
        </is>
      </c>
      <c r="G4722" t="inlineStr">
        <is>
          <t>Réunion du Comité de direction</t>
        </is>
      </c>
      <c r="H4722" s="1" t="n">
        <v>43551</v>
      </c>
      <c r="I4722" s="1" t="n">
        <v>43552</v>
      </c>
      <c r="J4722" t="inlineStr">
        <is>
          <t>Moncton, New Brunswick</t>
        </is>
      </c>
      <c r="K4722" t="inlineStr">
        <is>
          <t>Moncton (Nouveau-Brunswick)</t>
        </is>
      </c>
      <c r="P4722" t="n">
        <v>0</v>
      </c>
      <c r="Q4722" t="n">
        <v>0</v>
      </c>
      <c r="R4722" t="n">
        <v>161</v>
      </c>
      <c r="S4722" t="n">
        <v>174.7</v>
      </c>
      <c r="T4722" t="n">
        <v>0</v>
      </c>
      <c r="U4722" t="n">
        <v>335.7</v>
      </c>
      <c r="X4722" t="inlineStr">
        <is>
          <t>acoa-apeca</t>
        </is>
      </c>
      <c r="Y4722" t="inlineStr">
        <is>
          <t>Atlantic Canada Opportunities Agency | Agence de promotion économique du Canada atlantique</t>
        </is>
      </c>
    </row>
    <row r="4723">
      <c r="A4723" t="inlineStr">
        <is>
          <t>T-2020-Q1-00060</t>
        </is>
      </c>
      <c r="B4723" t="inlineStr">
        <is>
          <t>SLE</t>
        </is>
      </c>
      <c r="C4723" t="inlineStr">
        <is>
          <t>Vice-President, Nova Scotia</t>
        </is>
      </c>
      <c r="D4723" t="inlineStr">
        <is>
          <t>Vice-président, Nouvelle-Écosse</t>
        </is>
      </c>
      <c r="E4723" t="inlineStr">
        <is>
          <t>Chuck Maillet</t>
        </is>
      </c>
      <c r="F4723" t="inlineStr">
        <is>
          <t>Meetings with clients and stakeholders</t>
        </is>
      </c>
      <c r="G4723" t="inlineStr">
        <is>
          <t>Réunions avec des clients et des intervenants</t>
        </is>
      </c>
      <c r="H4723" s="1" t="n">
        <v>43564</v>
      </c>
      <c r="I4723" s="1" t="n">
        <v>43565</v>
      </c>
      <c r="J4723" t="inlineStr">
        <is>
          <t>Sydney, Nova Scotia</t>
        </is>
      </c>
      <c r="K4723" t="inlineStr">
        <is>
          <t>Sydney (Nouvelle-Écosse)</t>
        </is>
      </c>
      <c r="P4723" t="n">
        <v>407.39</v>
      </c>
      <c r="Q4723" t="n">
        <v>159</v>
      </c>
      <c r="R4723" t="n">
        <v>140.76</v>
      </c>
      <c r="S4723" t="n">
        <v>125.85</v>
      </c>
      <c r="T4723" t="n">
        <v>0</v>
      </c>
      <c r="U4723" t="n">
        <v>833</v>
      </c>
      <c r="X4723" t="inlineStr">
        <is>
          <t>acoa-apeca</t>
        </is>
      </c>
      <c r="Y4723" t="inlineStr">
        <is>
          <t>Atlantic Canada Opportunities Agency | Agence de promotion économique du Canada atlantique</t>
        </is>
      </c>
    </row>
    <row r="4724">
      <c r="A4724" t="inlineStr">
        <is>
          <t>T-2020-Q1-00059</t>
        </is>
      </c>
      <c r="B4724" t="inlineStr">
        <is>
          <t>SLE</t>
        </is>
      </c>
      <c r="C4724" t="inlineStr">
        <is>
          <t>Vice-President, Nova Scotia</t>
        </is>
      </c>
      <c r="D4724" t="inlineStr">
        <is>
          <t>Vice-président, Nouvelle-Écosse</t>
        </is>
      </c>
      <c r="E4724" t="inlineStr">
        <is>
          <t>Chuck Maillet</t>
        </is>
      </c>
      <c r="F4724" t="inlineStr">
        <is>
          <t xml:space="preserve">Assistant Deputy Ministers Forum and stakeholder meetings </t>
        </is>
      </c>
      <c r="G4724" t="inlineStr">
        <is>
          <t>Forum des sous-ministres adjoints et réunions avec des intervenants</t>
        </is>
      </c>
      <c r="H4724" s="1" t="n">
        <v>43579</v>
      </c>
      <c r="I4724" s="1" t="n">
        <v>43581</v>
      </c>
      <c r="J4724" t="inlineStr">
        <is>
          <t>Ottawa, Ontario</t>
        </is>
      </c>
      <c r="K4724" t="inlineStr">
        <is>
          <t>Ottawa (Ontario)</t>
        </is>
      </c>
      <c r="P4724" t="n">
        <v>1055.07</v>
      </c>
      <c r="Q4724" t="n">
        <v>56.27</v>
      </c>
      <c r="R4724" t="n">
        <v>411.32</v>
      </c>
      <c r="S4724" t="n">
        <v>234.4</v>
      </c>
      <c r="T4724" t="n">
        <v>0</v>
      </c>
      <c r="U4724" t="n">
        <v>1757.06</v>
      </c>
      <c r="X4724" t="inlineStr">
        <is>
          <t>acoa-apeca</t>
        </is>
      </c>
      <c r="Y4724" t="inlineStr">
        <is>
          <t>Atlantic Canada Opportunities Agency | Agence de promotion économique du Canada atlantique</t>
        </is>
      </c>
    </row>
    <row r="4725">
      <c r="A4725" t="inlineStr">
        <is>
          <t>T-2020-Q1-00058</t>
        </is>
      </c>
      <c r="B4725" t="inlineStr">
        <is>
          <t>SLE</t>
        </is>
      </c>
      <c r="C4725" t="inlineStr">
        <is>
          <t>Vice-President, Nova Scotia</t>
        </is>
      </c>
      <c r="D4725" t="inlineStr">
        <is>
          <t>Vice-président, Nouvelle-Écosse</t>
        </is>
      </c>
      <c r="E4725" t="inlineStr">
        <is>
          <t>Chuck Maillet</t>
        </is>
      </c>
      <c r="F4725" t="inlineStr">
        <is>
          <t>Innovation Summit</t>
        </is>
      </c>
      <c r="G4725" t="inlineStr">
        <is>
          <t>Sommet sur l'innovation</t>
        </is>
      </c>
      <c r="H4725" s="1" t="n">
        <v>43592</v>
      </c>
      <c r="I4725" s="1" t="n">
        <v>43592</v>
      </c>
      <c r="J4725" t="inlineStr">
        <is>
          <t>Truro, Nova Scotia</t>
        </is>
      </c>
      <c r="K4725" t="inlineStr">
        <is>
          <t>Truro (Nouvelle-Écosse)</t>
        </is>
      </c>
      <c r="P4725" t="n">
        <v>0</v>
      </c>
      <c r="Q4725" t="n">
        <v>93.84</v>
      </c>
      <c r="R4725" t="n">
        <v>0</v>
      </c>
      <c r="S4725" t="n">
        <v>20.1</v>
      </c>
      <c r="T4725" t="n">
        <v>0</v>
      </c>
      <c r="U4725" t="n">
        <v>113.94</v>
      </c>
      <c r="X4725" t="inlineStr">
        <is>
          <t>acoa-apeca</t>
        </is>
      </c>
      <c r="Y4725" t="inlineStr">
        <is>
          <t>Atlantic Canada Opportunities Agency | Agence de promotion économique du Canada atlantique</t>
        </is>
      </c>
    </row>
    <row r="4726">
      <c r="A4726" t="inlineStr">
        <is>
          <t>T-2020-Q1-00057</t>
        </is>
      </c>
      <c r="B4726" t="inlineStr">
        <is>
          <t>SLE</t>
        </is>
      </c>
      <c r="C4726" t="inlineStr">
        <is>
          <t>Vice-President, Nova Scotia</t>
        </is>
      </c>
      <c r="D4726" t="inlineStr">
        <is>
          <t>Vice-président, Nouvelle-Écosse</t>
        </is>
      </c>
      <c r="E4726" t="inlineStr">
        <is>
          <t>Chuck Maillet</t>
        </is>
      </c>
      <c r="F4726" t="inlineStr">
        <is>
          <t>Indigenous economic development champion file meeting</t>
        </is>
      </c>
      <c r="G4726" t="inlineStr">
        <is>
          <t>Réunion sur le dossier de champion du développement économique des Autochtones</t>
        </is>
      </c>
      <c r="H4726" s="1" t="n">
        <v>43600</v>
      </c>
      <c r="I4726" s="1" t="n">
        <v>43602</v>
      </c>
      <c r="J4726" t="inlineStr">
        <is>
          <t>Fredericton, New Brunswick</t>
        </is>
      </c>
      <c r="K4726" t="inlineStr">
        <is>
          <t>Fredericton (Nouveau-Brunswick)</t>
        </is>
      </c>
      <c r="P4726" t="n">
        <v>0</v>
      </c>
      <c r="Q4726" t="n">
        <v>264.71</v>
      </c>
      <c r="R4726" t="n">
        <v>242.05</v>
      </c>
      <c r="S4726" t="n">
        <v>234.4</v>
      </c>
      <c r="T4726" t="n">
        <v>18</v>
      </c>
      <c r="U4726" t="n">
        <v>759.16</v>
      </c>
      <c r="X4726" t="inlineStr">
        <is>
          <t>acoa-apeca</t>
        </is>
      </c>
      <c r="Y4726" t="inlineStr">
        <is>
          <t>Atlantic Canada Opportunities Agency | Agence de promotion économique du Canada atlantique</t>
        </is>
      </c>
    </row>
    <row r="4727">
      <c r="A4727" t="inlineStr">
        <is>
          <t>T-2020-Q1-00056</t>
        </is>
      </c>
      <c r="B4727" t="inlineStr">
        <is>
          <t>SLE</t>
        </is>
      </c>
      <c r="C4727" t="inlineStr">
        <is>
          <t>Vice-President, Nova Scotia</t>
        </is>
      </c>
      <c r="D4727" t="inlineStr">
        <is>
          <t>Vice-président, Nouvelle-Écosse</t>
        </is>
      </c>
      <c r="E4727" t="inlineStr">
        <is>
          <t>Chuck Maillet</t>
        </is>
      </c>
      <c r="F4727" t="inlineStr">
        <is>
          <t xml:space="preserve">Agency Program Managers Forum in Moncton, New Brunswick and Industry Conference in Wolfville, Nova Scotia </t>
        </is>
      </c>
      <c r="G4727" t="inlineStr">
        <is>
          <t>Forum des gestionnaires de programme de l'Agence à Moncton (Nouveau-Brunswick) et conférence de l'industrie à Wolfville (Nouvelle-Écosse)</t>
        </is>
      </c>
      <c r="H4727" s="1" t="n">
        <v>43606</v>
      </c>
      <c r="I4727" s="1" t="n">
        <v>43610</v>
      </c>
      <c r="J4727" t="inlineStr">
        <is>
          <t xml:space="preserve">Moncton, New Brunswick and Wolfville, Nova Scotia </t>
        </is>
      </c>
      <c r="K4727" t="inlineStr">
        <is>
          <t>Moncton (Nouveau-Brunswick) et Wolfville (Nouvelle-Écosse)</t>
        </is>
      </c>
      <c r="P4727" t="n">
        <v>0</v>
      </c>
      <c r="Q4727" t="n">
        <v>0</v>
      </c>
      <c r="R4727" t="n">
        <v>638.25</v>
      </c>
      <c r="S4727" t="n">
        <v>431.4</v>
      </c>
      <c r="T4727" t="n">
        <v>51.75</v>
      </c>
      <c r="U4727" t="n">
        <v>1121.4</v>
      </c>
      <c r="X4727" t="inlineStr">
        <is>
          <t>acoa-apeca</t>
        </is>
      </c>
      <c r="Y4727" t="inlineStr">
        <is>
          <t>Atlantic Canada Opportunities Agency | Agence de promotion économique du Canada atlantique</t>
        </is>
      </c>
    </row>
    <row r="4728">
      <c r="A4728" t="inlineStr">
        <is>
          <t>T-2020-Q1-00055</t>
        </is>
      </c>
      <c r="B4728" t="inlineStr">
        <is>
          <t>SLE</t>
        </is>
      </c>
      <c r="C4728" t="inlineStr">
        <is>
          <t>Vice-President, Nova Scotia</t>
        </is>
      </c>
      <c r="D4728" t="inlineStr">
        <is>
          <t>Vice-président, Nouvelle-Écosse</t>
        </is>
      </c>
      <c r="E4728" t="inlineStr">
        <is>
          <t>Chuck Maillet</t>
        </is>
      </c>
      <c r="F4728" t="inlineStr">
        <is>
          <t xml:space="preserve">Stakeholder meetings </t>
        </is>
      </c>
      <c r="G4728" t="inlineStr">
        <is>
          <t xml:space="preserve">Réunions avec des intervenants </t>
        </is>
      </c>
      <c r="H4728" s="1" t="n">
        <v>43615</v>
      </c>
      <c r="I4728" s="1" t="n">
        <v>43616</v>
      </c>
      <c r="J4728" t="inlineStr">
        <is>
          <t>South West, Nova Scotia</t>
        </is>
      </c>
      <c r="K4728" t="inlineStr">
        <is>
          <t>Sud-Ouest de la Nouvelle-Écosse</t>
        </is>
      </c>
      <c r="P4728" t="n">
        <v>0</v>
      </c>
      <c r="Q4728" t="n">
        <v>0</v>
      </c>
      <c r="R4728" t="n">
        <v>50</v>
      </c>
      <c r="S4728" t="n">
        <v>145.95</v>
      </c>
      <c r="T4728" t="n">
        <v>0</v>
      </c>
      <c r="U4728" t="n">
        <v>195.95</v>
      </c>
      <c r="X4728" t="inlineStr">
        <is>
          <t>acoa-apeca</t>
        </is>
      </c>
      <c r="Y4728" t="inlineStr">
        <is>
          <t>Atlantic Canada Opportunities Agency | Agence de promotion économique du Canada atlantique</t>
        </is>
      </c>
    </row>
    <row r="4729">
      <c r="A4729" t="inlineStr">
        <is>
          <t>T-2020-Q1-00054</t>
        </is>
      </c>
      <c r="B4729" t="inlineStr">
        <is>
          <t>SLE</t>
        </is>
      </c>
      <c r="C4729" t="inlineStr">
        <is>
          <t>Vice-President, New Brunswick</t>
        </is>
      </c>
      <c r="D4729" t="inlineStr">
        <is>
          <t>Vice-président, Nouveau-Brunswick</t>
        </is>
      </c>
      <c r="E4729" t="inlineStr">
        <is>
          <t>Kent Estabrooks</t>
        </is>
      </c>
      <c r="F4729" t="inlineStr">
        <is>
          <t>Meetings with Agency and provincial government officials, and meetings with clients</t>
        </is>
      </c>
      <c r="G4729" t="inlineStr">
        <is>
          <t>Réunions avec des fonctionnaires de l'Agence et du gouvernement provincial, et réunions avec des clients</t>
        </is>
      </c>
      <c r="H4729" s="1" t="n">
        <v>43571</v>
      </c>
      <c r="I4729" s="1" t="n">
        <v>43573</v>
      </c>
      <c r="J4729" t="inlineStr">
        <is>
          <t>Halifax, Nova Scotia and St. John's, Newfoundland and Labrador</t>
        </is>
      </c>
      <c r="K4729" t="inlineStr">
        <is>
          <t>Halifax (Nouvelle-Écosse) et St. John's (Terre-Neuve-et-Labrador)</t>
        </is>
      </c>
      <c r="P4729" t="n">
        <v>1045.52</v>
      </c>
      <c r="Q4729" t="n">
        <v>191.5</v>
      </c>
      <c r="R4729" t="n">
        <v>487.62</v>
      </c>
      <c r="S4729" t="n">
        <v>353</v>
      </c>
      <c r="T4729" t="n">
        <v>0</v>
      </c>
      <c r="U4729" t="n">
        <v>2077.64</v>
      </c>
      <c r="X4729" t="inlineStr">
        <is>
          <t>acoa-apeca</t>
        </is>
      </c>
      <c r="Y4729" t="inlineStr">
        <is>
          <t>Atlantic Canada Opportunities Agency | Agence de promotion économique du Canada atlantique</t>
        </is>
      </c>
    </row>
    <row r="4730">
      <c r="A4730" t="inlineStr">
        <is>
          <t>T-2020-Q1-00053</t>
        </is>
      </c>
      <c r="B4730" t="inlineStr">
        <is>
          <t>SLE</t>
        </is>
      </c>
      <c r="C4730" t="inlineStr">
        <is>
          <t>Vice-President, New Brunswick</t>
        </is>
      </c>
      <c r="D4730" t="inlineStr">
        <is>
          <t>Vice-président, Nouveau-Brunswick</t>
        </is>
      </c>
      <c r="E4730" t="inlineStr">
        <is>
          <t>Kent Estabrooks</t>
        </is>
      </c>
      <c r="F4730" t="inlineStr">
        <is>
          <t>Training and development</t>
        </is>
      </c>
      <c r="G4730" t="inlineStr">
        <is>
          <t>Formation et perfectionnement</t>
        </is>
      </c>
      <c r="H4730" s="1" t="n">
        <v>43579</v>
      </c>
      <c r="I4730" s="1" t="n">
        <v>43580</v>
      </c>
      <c r="J4730" t="inlineStr">
        <is>
          <t>Ottawa, Ontario</t>
        </is>
      </c>
      <c r="K4730" t="inlineStr">
        <is>
          <t>Ottawa (Ontario)</t>
        </is>
      </c>
      <c r="P4730" t="n">
        <v>726.8</v>
      </c>
      <c r="Q4730" t="n">
        <v>160.96</v>
      </c>
      <c r="R4730" t="n">
        <v>205.66</v>
      </c>
      <c r="S4730" t="n">
        <v>156</v>
      </c>
      <c r="T4730" t="n">
        <v>0</v>
      </c>
      <c r="U4730" t="n">
        <v>1249.42</v>
      </c>
      <c r="X4730" t="inlineStr">
        <is>
          <t>acoa-apeca</t>
        </is>
      </c>
      <c r="Y4730" t="inlineStr">
        <is>
          <t>Atlantic Canada Opportunities Agency | Agence de promotion économique du Canada atlantique</t>
        </is>
      </c>
    </row>
    <row r="4731">
      <c r="A4731" t="inlineStr">
        <is>
          <t>T-2020-Q1-00052</t>
        </is>
      </c>
      <c r="B4731" t="inlineStr">
        <is>
          <t>SLE</t>
        </is>
      </c>
      <c r="C4731" t="inlineStr">
        <is>
          <t>Vice-President, New Brunswick</t>
        </is>
      </c>
      <c r="D4731" t="inlineStr">
        <is>
          <t>Vice-président, Nouveau-Brunswick</t>
        </is>
      </c>
      <c r="E4731" t="inlineStr">
        <is>
          <t>Kent Estabrooks</t>
        </is>
      </c>
      <c r="F4731" t="inlineStr">
        <is>
          <t>Meetings with Agency officials</t>
        </is>
      </c>
      <c r="G4731" t="inlineStr">
        <is>
          <t>Réunions avec des fonctionnaires de l'Agence</t>
        </is>
      </c>
      <c r="H4731" s="1" t="n">
        <v>43599</v>
      </c>
      <c r="I4731" s="1" t="n">
        <v>43601</v>
      </c>
      <c r="J4731" t="inlineStr">
        <is>
          <t>Halifax, Nova Scotia</t>
        </is>
      </c>
      <c r="K4731" t="inlineStr">
        <is>
          <t>Halifax (Nouvelle-Écosse)</t>
        </is>
      </c>
      <c r="P4731" t="n">
        <v>800.28</v>
      </c>
      <c r="Q4731" t="n">
        <v>123.96</v>
      </c>
      <c r="R4731" t="n">
        <v>390.98</v>
      </c>
      <c r="S4731" t="n">
        <v>193.8</v>
      </c>
      <c r="T4731" t="n">
        <v>0</v>
      </c>
      <c r="U4731" t="n">
        <v>1509.02</v>
      </c>
      <c r="X4731" t="inlineStr">
        <is>
          <t>acoa-apeca</t>
        </is>
      </c>
      <c r="Y4731" t="inlineStr">
        <is>
          <t>Atlantic Canada Opportunities Agency | Agence de promotion économique du Canada atlantique</t>
        </is>
      </c>
    </row>
    <row r="4732">
      <c r="A4732" t="inlineStr">
        <is>
          <t>T-2020-Q1-00051</t>
        </is>
      </c>
      <c r="B4732" t="inlineStr">
        <is>
          <t>SLE</t>
        </is>
      </c>
      <c r="C4732" t="inlineStr">
        <is>
          <t>Vice-President, New Brunswick</t>
        </is>
      </c>
      <c r="D4732" t="inlineStr">
        <is>
          <t>Vice-président, Nouveau-Brunswick</t>
        </is>
      </c>
      <c r="E4732" t="inlineStr">
        <is>
          <t>Kent Estabrooks</t>
        </is>
      </c>
      <c r="F4732" t="inlineStr">
        <is>
          <t>Meeting with government officials and external stakeholders</t>
        </is>
      </c>
      <c r="G4732" t="inlineStr">
        <is>
          <t>Réunion avec des fonctionnaires et des intervenants externes</t>
        </is>
      </c>
      <c r="H4732" s="1" t="n">
        <v>43564</v>
      </c>
      <c r="I4732" s="1" t="n">
        <v>43565</v>
      </c>
      <c r="J4732" t="inlineStr">
        <is>
          <t>Charlottetown, Prince Edward Island</t>
        </is>
      </c>
      <c r="K4732" t="inlineStr">
        <is>
          <t>Charlottetown (Île-du-Prince-Édouard)</t>
        </is>
      </c>
      <c r="P4732" t="n">
        <v>0</v>
      </c>
      <c r="Q4732" t="n">
        <v>27</v>
      </c>
      <c r="R4732" t="n">
        <v>424.05</v>
      </c>
      <c r="S4732" t="n">
        <v>156</v>
      </c>
      <c r="T4732" t="n">
        <v>0</v>
      </c>
      <c r="U4732" t="n">
        <v>607.05</v>
      </c>
      <c r="X4732" t="inlineStr">
        <is>
          <t>acoa-apeca</t>
        </is>
      </c>
      <c r="Y4732" t="inlineStr">
        <is>
          <t>Atlantic Canada Opportunities Agency | Agence de promotion économique du Canada atlantique</t>
        </is>
      </c>
    </row>
    <row r="4733">
      <c r="A4733" t="inlineStr">
        <is>
          <t>T-2020-Q1-00050</t>
        </is>
      </c>
      <c r="B4733" t="inlineStr">
        <is>
          <t>SLE</t>
        </is>
      </c>
      <c r="C4733" t="inlineStr">
        <is>
          <t>Vice-President, New Brunswick</t>
        </is>
      </c>
      <c r="D4733" t="inlineStr">
        <is>
          <t>Vice-président, Nouveau-Brunswick</t>
        </is>
      </c>
      <c r="E4733" t="inlineStr">
        <is>
          <t>Kent Estabrooks</t>
        </is>
      </c>
      <c r="F4733" t="inlineStr">
        <is>
          <t>Meeting with external stakeholders</t>
        </is>
      </c>
      <c r="G4733" t="inlineStr">
        <is>
          <t>Réunion avec des intervenants externes</t>
        </is>
      </c>
      <c r="H4733" s="1" t="n">
        <v>43566</v>
      </c>
      <c r="I4733" s="1" t="n">
        <v>43566</v>
      </c>
      <c r="J4733" t="inlineStr">
        <is>
          <t>Ottawa, Ontario</t>
        </is>
      </c>
      <c r="K4733" t="inlineStr">
        <is>
          <t>Ottawa (Ontario)</t>
        </is>
      </c>
      <c r="P4733" t="n">
        <v>0</v>
      </c>
      <c r="Q4733" t="n">
        <v>469.23</v>
      </c>
      <c r="R4733" t="n">
        <v>0</v>
      </c>
      <c r="S4733" t="n">
        <v>57.9</v>
      </c>
      <c r="T4733" t="n">
        <v>0</v>
      </c>
      <c r="U4733" t="n">
        <v>527.13</v>
      </c>
      <c r="X4733" t="inlineStr">
        <is>
          <t>acoa-apeca</t>
        </is>
      </c>
      <c r="Y4733" t="inlineStr">
        <is>
          <t>Atlantic Canada Opportunities Agency | Agence de promotion économique du Canada atlantique</t>
        </is>
      </c>
    </row>
    <row r="4734">
      <c r="A4734" t="inlineStr">
        <is>
          <t>T-2020-Q1-00049</t>
        </is>
      </c>
      <c r="B4734" t="inlineStr">
        <is>
          <t>SLE</t>
        </is>
      </c>
      <c r="C4734" t="inlineStr">
        <is>
          <t>Vice-President, New Brunswick</t>
        </is>
      </c>
      <c r="D4734" t="inlineStr">
        <is>
          <t>Vice-président, Nouveau-Brunswick</t>
        </is>
      </c>
      <c r="E4734" t="inlineStr">
        <is>
          <t>Kent Estabrooks</t>
        </is>
      </c>
      <c r="F4734" t="inlineStr">
        <is>
          <t>Meeting with Agency officials and with external stakeholder</t>
        </is>
      </c>
      <c r="G4734" t="inlineStr">
        <is>
          <t>Réunion avec des fonctionnaires de l'Agence et un intervenant externe</t>
        </is>
      </c>
      <c r="H4734" s="1" t="n">
        <v>43585</v>
      </c>
      <c r="I4734" s="1" t="n">
        <v>43586</v>
      </c>
      <c r="J4734" t="inlineStr">
        <is>
          <t>Charlottetown, Prince Edward Island</t>
        </is>
      </c>
      <c r="K4734" t="inlineStr">
        <is>
          <t>Charlottetown (Île-du-Prince-Édouard)</t>
        </is>
      </c>
      <c r="P4734" t="n">
        <v>0</v>
      </c>
      <c r="Q4734" t="n">
        <v>74.53</v>
      </c>
      <c r="R4734" t="n">
        <v>197.81</v>
      </c>
      <c r="S4734" t="n">
        <v>196.6</v>
      </c>
      <c r="T4734" t="n">
        <v>0</v>
      </c>
      <c r="U4734" t="n">
        <v>468.94</v>
      </c>
      <c r="X4734" t="inlineStr">
        <is>
          <t>acoa-apeca</t>
        </is>
      </c>
      <c r="Y4734" t="inlineStr">
        <is>
          <t>Atlantic Canada Opportunities Agency | Agence de promotion économique du Canada atlantique</t>
        </is>
      </c>
    </row>
    <row r="4735">
      <c r="A4735" t="inlineStr">
        <is>
          <t>T-2020-Q1-00048</t>
        </is>
      </c>
      <c r="B4735" t="inlineStr">
        <is>
          <t>SLE</t>
        </is>
      </c>
      <c r="C4735" t="inlineStr">
        <is>
          <t>Vice-President, New Brunswick</t>
        </is>
      </c>
      <c r="D4735" t="inlineStr">
        <is>
          <t>Vice-président, Nouveau-Brunswick</t>
        </is>
      </c>
      <c r="E4735" t="inlineStr">
        <is>
          <t>Kent Estabrooks</t>
        </is>
      </c>
      <c r="F4735" t="inlineStr">
        <is>
          <t>Meetings with Agency officials</t>
        </is>
      </c>
      <c r="G4735" t="inlineStr">
        <is>
          <t>Réunions avec des fonctionnaires de l'Agence</t>
        </is>
      </c>
      <c r="H4735" s="1" t="n">
        <v>43606</v>
      </c>
      <c r="I4735" s="1" t="n">
        <v>43609</v>
      </c>
      <c r="J4735" t="inlineStr">
        <is>
          <t>Moncton, New Brunswick</t>
        </is>
      </c>
      <c r="K4735" t="inlineStr">
        <is>
          <t>Moncton (Nouveau-Brunswick)</t>
        </is>
      </c>
      <c r="P4735" t="n">
        <v>0</v>
      </c>
      <c r="Q4735" t="n">
        <v>51.75</v>
      </c>
      <c r="R4735" t="n">
        <v>503.7</v>
      </c>
      <c r="S4735" t="n">
        <v>241.25</v>
      </c>
      <c r="T4735" t="n">
        <v>0</v>
      </c>
      <c r="U4735" t="n">
        <v>796.7</v>
      </c>
      <c r="X4735" t="inlineStr">
        <is>
          <t>acoa-apeca</t>
        </is>
      </c>
      <c r="Y4735" t="inlineStr">
        <is>
          <t>Atlantic Canada Opportunities Agency | Agence de promotion économique du Canada atlantique</t>
        </is>
      </c>
    </row>
    <row r="4736">
      <c r="A4736" t="inlineStr">
        <is>
          <t>T-2020-Q1-00038</t>
        </is>
      </c>
      <c r="B4736" t="inlineStr">
        <is>
          <t>SLE</t>
        </is>
      </c>
      <c r="C4736" t="inlineStr">
        <is>
          <t>Vice-President, Prince Edward Island</t>
        </is>
      </c>
      <c r="D4736" t="inlineStr">
        <is>
          <t>Vice-président, Île-du-Prince-Édouard</t>
        </is>
      </c>
      <c r="E4736" t="inlineStr">
        <is>
          <t>Patrick Dorsey</t>
        </is>
      </c>
      <c r="F4736" t="inlineStr">
        <is>
          <t xml:space="preserve">Meetings with Agency officials </t>
        </is>
      </c>
      <c r="G4736" t="inlineStr">
        <is>
          <t>Réunions avec des fonctionnaires de l'Agence</t>
        </is>
      </c>
      <c r="H4736" s="1" t="n">
        <v>43599</v>
      </c>
      <c r="I4736" s="1" t="n">
        <v>43601</v>
      </c>
      <c r="J4736" t="inlineStr">
        <is>
          <t>Halifax, Nova Scotia</t>
        </is>
      </c>
      <c r="K4736" t="inlineStr">
        <is>
          <t>Halifax (Nouvelle-Écosse)</t>
        </is>
      </c>
      <c r="P4736" t="n">
        <v>0</v>
      </c>
      <c r="Q4736" t="n">
        <v>57.5</v>
      </c>
      <c r="R4736" t="n">
        <v>412.9</v>
      </c>
      <c r="S4736" t="n">
        <v>194.2</v>
      </c>
      <c r="T4736" t="n">
        <v>0</v>
      </c>
      <c r="U4736" t="n">
        <v>664.6</v>
      </c>
      <c r="X4736" t="inlineStr">
        <is>
          <t>acoa-apeca</t>
        </is>
      </c>
      <c r="Y4736" t="inlineStr">
        <is>
          <t>Atlantic Canada Opportunities Agency | Agence de promotion économique du Canada atlantique</t>
        </is>
      </c>
    </row>
    <row r="4737">
      <c r="A4737" t="inlineStr">
        <is>
          <t>T-2020-Q1-00047</t>
        </is>
      </c>
      <c r="B4737" t="inlineStr">
        <is>
          <t>SLE</t>
        </is>
      </c>
      <c r="C4737" t="inlineStr">
        <is>
          <t>Vice-President, New Brunswick</t>
        </is>
      </c>
      <c r="D4737" t="inlineStr">
        <is>
          <t>Vice-président, Nouveau-Brunswick</t>
        </is>
      </c>
      <c r="E4737" t="inlineStr">
        <is>
          <t>Kent Estabrooks</t>
        </is>
      </c>
      <c r="F4737" t="inlineStr">
        <is>
          <t>Meetings in Germany with government officials, private sector representatives and other stakeholders related to Advanced Manufacturing Strategy</t>
        </is>
      </c>
      <c r="G4737" t="inlineStr">
        <is>
          <t>Réunions en Allemagne avec des fonctionnaires, des représentants du secteur privé et d'autres intervenants concernant la Stratégie de fabrication de pointe</t>
        </is>
      </c>
      <c r="H4737" s="1" t="n">
        <v>43554</v>
      </c>
      <c r="I4737" s="1" t="n">
        <v>43561</v>
      </c>
      <c r="J4737" t="inlineStr">
        <is>
          <t>Hannover, Germany</t>
        </is>
      </c>
      <c r="K4737" t="inlineStr">
        <is>
          <t>Hanovre, Allemagne</t>
        </is>
      </c>
      <c r="P4737" t="n">
        <v>3084.44</v>
      </c>
      <c r="Q4737" t="n">
        <v>375.89</v>
      </c>
      <c r="R4737" t="n">
        <v>1068.27</v>
      </c>
      <c r="S4737" t="n">
        <v>1124.09</v>
      </c>
      <c r="T4737" t="n">
        <v>0</v>
      </c>
      <c r="U4737" t="n">
        <v>5652.69</v>
      </c>
      <c r="X4737" t="inlineStr">
        <is>
          <t>acoa-apeca</t>
        </is>
      </c>
      <c r="Y4737" t="inlineStr">
        <is>
          <t>Atlantic Canada Opportunities Agency | Agence de promotion économique du Canada atlantique</t>
        </is>
      </c>
    </row>
    <row r="4738">
      <c r="A4738" t="inlineStr">
        <is>
          <t>T-2020-Q1-00046</t>
        </is>
      </c>
      <c r="B4738" t="inlineStr">
        <is>
          <t>SLE</t>
        </is>
      </c>
      <c r="C4738" t="inlineStr">
        <is>
          <t>Senior Advisor (Energy)</t>
        </is>
      </c>
      <c r="D4738" t="inlineStr">
        <is>
          <t>Conseiller spécial (energie)</t>
        </is>
      </c>
      <c r="E4738" t="inlineStr">
        <is>
          <t>Andrew F. Noseworthy</t>
        </is>
      </c>
      <c r="F4738" t="inlineStr">
        <is>
          <t>Attend the President's and Vice-President's meeting in Halifax</t>
        </is>
      </c>
      <c r="G4738" t="inlineStr">
        <is>
          <t>Assister à la réunion du président et du vice-président à Halifax</t>
        </is>
      </c>
      <c r="H4738" s="1" t="n">
        <v>43600</v>
      </c>
      <c r="I4738" s="1" t="n">
        <v>43600</v>
      </c>
      <c r="J4738" t="inlineStr">
        <is>
          <t>Halifax, Nova Scotia</t>
        </is>
      </c>
      <c r="K4738" t="inlineStr">
        <is>
          <t>Halifax (Nouvelle-Écosse)</t>
        </is>
      </c>
      <c r="P4738" t="n">
        <v>890.9299999999999</v>
      </c>
      <c r="Q4738" t="n">
        <v>150</v>
      </c>
      <c r="R4738" t="n">
        <v>0</v>
      </c>
      <c r="S4738" t="n">
        <v>50.65</v>
      </c>
      <c r="T4738" t="n">
        <v>16</v>
      </c>
      <c r="U4738" t="n">
        <v>1107.58</v>
      </c>
      <c r="X4738" t="inlineStr">
        <is>
          <t>acoa-apeca</t>
        </is>
      </c>
      <c r="Y4738" t="inlineStr">
        <is>
          <t>Atlantic Canada Opportunities Agency | Agence de promotion économique du Canada atlantique</t>
        </is>
      </c>
    </row>
    <row r="4739">
      <c r="A4739" t="inlineStr">
        <is>
          <t>T-2020-Q1-00045</t>
        </is>
      </c>
      <c r="B4739" t="inlineStr">
        <is>
          <t>SLE</t>
        </is>
      </c>
      <c r="C4739" t="inlineStr">
        <is>
          <t>Senior Advisor (Energy)</t>
        </is>
      </c>
      <c r="D4739" t="inlineStr">
        <is>
          <t>Conseiller spécial (energie)</t>
        </is>
      </c>
      <c r="E4739" t="inlineStr">
        <is>
          <t>Andrew F. Noseworthy</t>
        </is>
      </c>
      <c r="F4739" t="inlineStr">
        <is>
          <t>Attend program delivery staff forum in Moncton</t>
        </is>
      </c>
      <c r="G4739" t="inlineStr">
        <is>
          <t>Assister au forum du personnel chargé de l'exécution des programmes à Moncton</t>
        </is>
      </c>
      <c r="H4739" s="1" t="n">
        <v>43607</v>
      </c>
      <c r="I4739" s="1" t="n">
        <v>43608</v>
      </c>
      <c r="J4739" t="inlineStr">
        <is>
          <t>Moncton, New Brunswick</t>
        </is>
      </c>
      <c r="K4739" t="inlineStr">
        <is>
          <t>Moncton (Nouveau-Brunswick)</t>
        </is>
      </c>
      <c r="P4739" t="n">
        <v>1235.02</v>
      </c>
      <c r="Q4739" t="n">
        <v>98</v>
      </c>
      <c r="R4739" t="n">
        <v>167.9</v>
      </c>
      <c r="S4739" t="n">
        <v>176.5</v>
      </c>
      <c r="T4739" t="n">
        <v>0</v>
      </c>
      <c r="U4739" t="n">
        <v>1677.42</v>
      </c>
      <c r="X4739" t="inlineStr">
        <is>
          <t>acoa-apeca</t>
        </is>
      </c>
      <c r="Y4739" t="inlineStr">
        <is>
          <t>Atlantic Canada Opportunities Agency | Agence de promotion économique du Canada atlantique</t>
        </is>
      </c>
    </row>
    <row r="4740">
      <c r="A4740" t="inlineStr">
        <is>
          <t>T-2020-Q1-00044</t>
        </is>
      </c>
      <c r="B4740" t="inlineStr">
        <is>
          <t>SLE</t>
        </is>
      </c>
      <c r="C4740" t="inlineStr">
        <is>
          <t>Vice-President, Finance and Corporate Services</t>
        </is>
      </c>
      <c r="D4740" t="inlineStr">
        <is>
          <t>Vice-président, Finance et Services corporatifs</t>
        </is>
      </c>
      <c r="E4740" t="inlineStr">
        <is>
          <t>Stephane Lagace</t>
        </is>
      </c>
      <c r="F4740" t="inlineStr">
        <is>
          <t>APEX Symposium</t>
        </is>
      </c>
      <c r="G4740" t="inlineStr">
        <is>
          <t>Symposium de l'APEX</t>
        </is>
      </c>
      <c r="H4740" s="1" t="n">
        <v>43612</v>
      </c>
      <c r="I4740" s="1" t="n">
        <v>43614</v>
      </c>
      <c r="J4740" t="inlineStr">
        <is>
          <t>Ottawa, Ontario</t>
        </is>
      </c>
      <c r="K4740" t="inlineStr">
        <is>
          <t>Ottawa (Ontario)</t>
        </is>
      </c>
      <c r="P4740" t="n">
        <v>1065.82</v>
      </c>
      <c r="Q4740" t="n">
        <v>148.42</v>
      </c>
      <c r="R4740" t="n">
        <v>319.12</v>
      </c>
      <c r="S4740" t="n">
        <v>264.95</v>
      </c>
      <c r="T4740" t="n">
        <v>51.6</v>
      </c>
      <c r="U4740" t="n">
        <v>1849.91</v>
      </c>
      <c r="X4740" t="inlineStr">
        <is>
          <t>acoa-apeca</t>
        </is>
      </c>
      <c r="Y4740" t="inlineStr">
        <is>
          <t>Atlantic Canada Opportunities Agency | Agence de promotion économique du Canada atlantique</t>
        </is>
      </c>
    </row>
    <row r="4741">
      <c r="A4741" t="inlineStr">
        <is>
          <t>T-2020-Q1-00043</t>
        </is>
      </c>
      <c r="B4741" t="inlineStr">
        <is>
          <t>SLE</t>
        </is>
      </c>
      <c r="C4741" t="inlineStr">
        <is>
          <t>Vice-President, Prince Edward Island</t>
        </is>
      </c>
      <c r="D4741" t="inlineStr">
        <is>
          <t>Vice-président, Île-du-Prince-Édouard</t>
        </is>
      </c>
      <c r="E4741" t="inlineStr">
        <is>
          <t>Patrick Dorsey</t>
        </is>
      </c>
      <c r="F4741" t="inlineStr">
        <is>
          <t xml:space="preserve">Meetings with Agency officials </t>
        </is>
      </c>
      <c r="G4741" t="inlineStr">
        <is>
          <t>Réunions avec des fonctionnaires de l'Agence</t>
        </is>
      </c>
      <c r="H4741" s="1" t="n">
        <v>43606</v>
      </c>
      <c r="I4741" s="1" t="n">
        <v>43609</v>
      </c>
      <c r="J4741" t="inlineStr">
        <is>
          <t>Moncton, New Brunswick</t>
        </is>
      </c>
      <c r="K4741" t="inlineStr">
        <is>
          <t>Moncton (Nouveau-Brunswick)</t>
        </is>
      </c>
      <c r="P4741" t="n">
        <v>0</v>
      </c>
      <c r="Q4741" t="n">
        <v>0</v>
      </c>
      <c r="R4741" t="n">
        <v>503.7</v>
      </c>
      <c r="S4741" t="n">
        <v>241.25</v>
      </c>
      <c r="T4741" t="n">
        <v>0</v>
      </c>
      <c r="U4741" t="n">
        <v>744.95</v>
      </c>
      <c r="X4741" t="inlineStr">
        <is>
          <t>acoa-apeca</t>
        </is>
      </c>
      <c r="Y4741" t="inlineStr">
        <is>
          <t>Atlantic Canada Opportunities Agency | Agence de promotion économique du Canada atlantique</t>
        </is>
      </c>
    </row>
    <row r="4742">
      <c r="A4742" t="inlineStr">
        <is>
          <t>T-2020-Q1-00042</t>
        </is>
      </c>
      <c r="B4742" t="inlineStr">
        <is>
          <t>SLE</t>
        </is>
      </c>
      <c r="C4742" t="inlineStr">
        <is>
          <t>Vice-President, Prince Edward Island</t>
        </is>
      </c>
      <c r="D4742" t="inlineStr">
        <is>
          <t>Vice-président, Île-du-Prince-Édouard</t>
        </is>
      </c>
      <c r="E4742" t="inlineStr">
        <is>
          <t>Patrick Dorsey</t>
        </is>
      </c>
      <c r="F4742" t="inlineStr">
        <is>
          <t xml:space="preserve">Meetings with stakeholders </t>
        </is>
      </c>
      <c r="G4742" t="inlineStr">
        <is>
          <t>Réunions avec des intervenants</t>
        </is>
      </c>
      <c r="H4742" s="1" t="n">
        <v>43612</v>
      </c>
      <c r="I4742" s="1" t="n">
        <v>43614</v>
      </c>
      <c r="J4742" t="inlineStr">
        <is>
          <t>Toronto, Ontario</t>
        </is>
      </c>
      <c r="K4742" t="inlineStr">
        <is>
          <t>Toronto (Ontario)</t>
        </is>
      </c>
      <c r="P4742" t="n">
        <v>877.51</v>
      </c>
      <c r="Q4742" t="n">
        <v>88.63</v>
      </c>
      <c r="R4742" t="n">
        <v>263.24</v>
      </c>
      <c r="S4742" t="n">
        <v>234</v>
      </c>
      <c r="T4742" t="n">
        <v>0</v>
      </c>
      <c r="U4742" t="n">
        <v>1463.38</v>
      </c>
      <c r="X4742" t="inlineStr">
        <is>
          <t>acoa-apeca</t>
        </is>
      </c>
      <c r="Y4742" t="inlineStr">
        <is>
          <t>Atlantic Canada Opportunities Agency | Agence de promotion économique du Canada atlantique</t>
        </is>
      </c>
    </row>
    <row r="4743">
      <c r="A4743" t="inlineStr">
        <is>
          <t>T-2020-Q1-00041</t>
        </is>
      </c>
      <c r="B4743" t="inlineStr">
        <is>
          <t>SLE</t>
        </is>
      </c>
      <c r="C4743" t="inlineStr">
        <is>
          <t>President</t>
        </is>
      </c>
      <c r="D4743" t="inlineStr">
        <is>
          <t>Président</t>
        </is>
      </c>
      <c r="E4743" t="inlineStr">
        <is>
          <t>Francis McGuire</t>
        </is>
      </c>
      <c r="F4743" t="inlineStr">
        <is>
          <t>Meetings with Government of Canada officials and key stakeholders</t>
        </is>
      </c>
      <c r="G4743" t="inlineStr">
        <is>
          <t>Réunions avec des fonctionnaires du gouvernement du Canada et des intervenants clés</t>
        </is>
      </c>
      <c r="H4743" s="1" t="n">
        <v>43599</v>
      </c>
      <c r="I4743" s="1" t="n">
        <v>43601</v>
      </c>
      <c r="J4743" t="inlineStr">
        <is>
          <t>Halifax, Nova Scotia</t>
        </is>
      </c>
      <c r="K4743" t="inlineStr">
        <is>
          <t>Halifax (Nouvelle-Écosse)</t>
        </is>
      </c>
      <c r="P4743" t="n">
        <v>0</v>
      </c>
      <c r="Q4743" t="n">
        <v>268.32</v>
      </c>
      <c r="R4743" t="n">
        <v>466.86</v>
      </c>
      <c r="S4743" t="n">
        <v>163.65</v>
      </c>
      <c r="T4743" t="n">
        <v>0</v>
      </c>
      <c r="U4743" t="n">
        <v>898.83</v>
      </c>
      <c r="X4743" t="inlineStr">
        <is>
          <t>acoa-apeca</t>
        </is>
      </c>
      <c r="Y4743" t="inlineStr">
        <is>
          <t>Atlantic Canada Opportunities Agency | Agence de promotion économique du Canada atlantique</t>
        </is>
      </c>
    </row>
    <row r="4744">
      <c r="A4744" t="inlineStr">
        <is>
          <t>T-2020-Q1-00040</t>
        </is>
      </c>
      <c r="B4744" t="inlineStr">
        <is>
          <t>SLE</t>
        </is>
      </c>
      <c r="C4744" t="inlineStr">
        <is>
          <t>Vice-President, Policy, Programs and Communications</t>
        </is>
      </c>
      <c r="D4744" t="inlineStr">
        <is>
          <t>Vice-président, Politiques et Programmes</t>
        </is>
      </c>
      <c r="E4744" t="inlineStr">
        <is>
          <t>Daryell Nowlan</t>
        </is>
      </c>
      <c r="F4744" t="inlineStr">
        <is>
          <t>Meetings with Government of Canada officials</t>
        </is>
      </c>
      <c r="G4744" t="inlineStr">
        <is>
          <t>Réunions avec des fonctionnaires du gouvernement du Canada</t>
        </is>
      </c>
      <c r="H4744" s="1" t="n">
        <v>43612</v>
      </c>
      <c r="I4744" s="1" t="n">
        <v>43615</v>
      </c>
      <c r="J4744" t="inlineStr">
        <is>
          <t xml:space="preserve">Ottawa, Ontario </t>
        </is>
      </c>
      <c r="K4744" t="inlineStr">
        <is>
          <t>Ottawa (Ontario)</t>
        </is>
      </c>
      <c r="P4744" t="n">
        <v>726.28</v>
      </c>
      <c r="Q4744" t="n">
        <v>102.97</v>
      </c>
      <c r="R4744" t="n">
        <v>705.12</v>
      </c>
      <c r="S4744" t="n">
        <v>302.75</v>
      </c>
      <c r="T4744" t="n">
        <v>0</v>
      </c>
      <c r="U4744" t="n">
        <v>1837.12</v>
      </c>
      <c r="X4744" t="inlineStr">
        <is>
          <t>acoa-apeca</t>
        </is>
      </c>
      <c r="Y4744" t="inlineStr">
        <is>
          <t>Atlantic Canada Opportunities Agency | Agence de promotion économique du Canada atlantique</t>
        </is>
      </c>
    </row>
    <row r="4745">
      <c r="A4745" t="inlineStr">
        <is>
          <t>T-2020-Q1-00037</t>
        </is>
      </c>
      <c r="B4745" t="inlineStr">
        <is>
          <t>SLE</t>
        </is>
      </c>
      <c r="C4745" t="inlineStr">
        <is>
          <t>President</t>
        </is>
      </c>
      <c r="D4745" t="inlineStr">
        <is>
          <t>Président</t>
        </is>
      </c>
      <c r="E4745" t="inlineStr">
        <is>
          <t>Francis McGuire</t>
        </is>
      </c>
      <c r="F4745" t="inlineStr">
        <is>
          <t>Meetings with Government of Canada officials and key stakeholder</t>
        </is>
      </c>
      <c r="G4745" t="inlineStr">
        <is>
          <t>Réunions avec des fonctionnaires du gouvernement du Canada et un intervenant clé</t>
        </is>
      </c>
      <c r="H4745" s="1" t="n">
        <v>43595</v>
      </c>
      <c r="I4745" s="1" t="n">
        <v>43595</v>
      </c>
      <c r="J4745" t="inlineStr">
        <is>
          <t>Ottawa, Ontario</t>
        </is>
      </c>
      <c r="K4745" t="inlineStr">
        <is>
          <t>Ottawa (Ontario)</t>
        </is>
      </c>
      <c r="P4745" t="n">
        <v>841.8</v>
      </c>
      <c r="Q4745" t="n">
        <v>14.42</v>
      </c>
      <c r="R4745" t="n">
        <v>0</v>
      </c>
      <c r="S4745" t="n">
        <v>70.75</v>
      </c>
      <c r="T4745" t="n">
        <v>12</v>
      </c>
      <c r="U4745" t="n">
        <v>938.97</v>
      </c>
      <c r="X4745" t="inlineStr">
        <is>
          <t>acoa-apeca</t>
        </is>
      </c>
      <c r="Y4745" t="inlineStr">
        <is>
          <t>Atlantic Canada Opportunities Agency | Agence de promotion économique du Canada atlantique</t>
        </is>
      </c>
    </row>
    <row r="4746">
      <c r="A4746" t="inlineStr">
        <is>
          <t>T-2020-Q1-00036</t>
        </is>
      </c>
      <c r="B4746" t="inlineStr">
        <is>
          <t>SLE</t>
        </is>
      </c>
      <c r="C4746" t="inlineStr">
        <is>
          <t>President</t>
        </is>
      </c>
      <c r="D4746" t="inlineStr">
        <is>
          <t>Président</t>
        </is>
      </c>
      <c r="E4746" t="inlineStr">
        <is>
          <t>Francis McGuire</t>
        </is>
      </c>
      <c r="F4746" t="inlineStr">
        <is>
          <t>Meetings with Government of Canada officials and key stakeholders</t>
        </is>
      </c>
      <c r="G4746" t="inlineStr">
        <is>
          <t>Réunions avec des fonctionnaires du gouvernement du Canada et des intervenants clés</t>
        </is>
      </c>
      <c r="H4746" s="1" t="n">
        <v>43585</v>
      </c>
      <c r="I4746" s="1" t="n">
        <v>43586</v>
      </c>
      <c r="J4746" t="inlineStr">
        <is>
          <t>Charlottetown, Prince Edouard Island</t>
        </is>
      </c>
      <c r="K4746" t="inlineStr">
        <is>
          <t>Charlottetown (Île-du-Prince-Édouard)</t>
        </is>
      </c>
      <c r="P4746" t="n">
        <v>0</v>
      </c>
      <c r="Q4746" t="n">
        <v>245.66</v>
      </c>
      <c r="R4746" t="n">
        <v>197.81</v>
      </c>
      <c r="S4746" t="n">
        <v>95.3</v>
      </c>
      <c r="T4746" t="n">
        <v>0</v>
      </c>
      <c r="U4746" t="n">
        <v>538.77</v>
      </c>
      <c r="X4746" t="inlineStr">
        <is>
          <t>acoa-apeca</t>
        </is>
      </c>
      <c r="Y4746" t="inlineStr">
        <is>
          <t>Atlantic Canada Opportunities Agency | Agence de promotion économique du Canada atlantique</t>
        </is>
      </c>
    </row>
    <row r="4747">
      <c r="A4747" t="inlineStr">
        <is>
          <t>T-2020-Q1-00035</t>
        </is>
      </c>
      <c r="B4747" t="inlineStr">
        <is>
          <t>SLE</t>
        </is>
      </c>
      <c r="C4747" t="inlineStr">
        <is>
          <t>Vice-President, Policy, Programs and Communications</t>
        </is>
      </c>
      <c r="D4747" t="inlineStr">
        <is>
          <t>Vice-président, Politiques et Programmes</t>
        </is>
      </c>
      <c r="E4747" t="inlineStr">
        <is>
          <t>Daryell Nowlan</t>
        </is>
      </c>
      <c r="F4747" t="inlineStr">
        <is>
          <t>Meetings with Government of Canada officials</t>
        </is>
      </c>
      <c r="G4747" t="inlineStr">
        <is>
          <t>Réunions avec des fonctionnaires du gouvernement du Canada</t>
        </is>
      </c>
      <c r="H4747" s="1" t="n">
        <v>43577</v>
      </c>
      <c r="I4747" s="1" t="n">
        <v>43581</v>
      </c>
      <c r="J4747" t="inlineStr">
        <is>
          <t>Ottawa, Ontario</t>
        </is>
      </c>
      <c r="K4747" t="inlineStr">
        <is>
          <t>Ottawa (Ontario)</t>
        </is>
      </c>
      <c r="P4747" t="n">
        <v>1126.76</v>
      </c>
      <c r="Q4747" t="n">
        <v>118.83</v>
      </c>
      <c r="R4747" t="n">
        <v>822.64</v>
      </c>
      <c r="S4747" t="n">
        <v>420.55</v>
      </c>
      <c r="T4747" t="n">
        <v>0</v>
      </c>
      <c r="U4747" t="n">
        <v>2488.78</v>
      </c>
      <c r="X4747" t="inlineStr">
        <is>
          <t>acoa-apeca</t>
        </is>
      </c>
      <c r="Y4747" t="inlineStr">
        <is>
          <t>Atlantic Canada Opportunities Agency | Agence de promotion économique du Canada atlantique</t>
        </is>
      </c>
    </row>
    <row r="4748">
      <c r="A4748" t="inlineStr">
        <is>
          <t>T-2020-Q1-00034</t>
        </is>
      </c>
      <c r="B4748" t="inlineStr">
        <is>
          <t>SLE</t>
        </is>
      </c>
      <c r="C4748" t="inlineStr">
        <is>
          <t>Vice-President, Policy, Programs and Communications</t>
        </is>
      </c>
      <c r="D4748" t="inlineStr">
        <is>
          <t>Vice-président, Politiques et Programmes</t>
        </is>
      </c>
      <c r="E4748" t="inlineStr">
        <is>
          <t>Daryell Nowlan</t>
        </is>
      </c>
      <c r="F4748" t="inlineStr">
        <is>
          <t>Meeting with Government of Canada officials</t>
        </is>
      </c>
      <c r="G4748" t="inlineStr">
        <is>
          <t>Réunion avec des fonctionnaires du gouvernement du Canada</t>
        </is>
      </c>
      <c r="H4748" s="1" t="n">
        <v>43591</v>
      </c>
      <c r="I4748" s="1" t="n">
        <v>43592</v>
      </c>
      <c r="J4748" t="inlineStr">
        <is>
          <t>Oromocto, New Brunswick</t>
        </is>
      </c>
      <c r="K4748" t="inlineStr">
        <is>
          <t>Oromocto (Nouveau-Brunswick)</t>
        </is>
      </c>
      <c r="P4748" t="n">
        <v>0</v>
      </c>
      <c r="Q4748" t="n">
        <v>199.2</v>
      </c>
      <c r="R4748" t="n">
        <v>182.85</v>
      </c>
      <c r="S4748" t="n">
        <v>105.35</v>
      </c>
      <c r="T4748" t="n">
        <v>0</v>
      </c>
      <c r="U4748" t="n">
        <v>487.4</v>
      </c>
      <c r="X4748" t="inlineStr">
        <is>
          <t>acoa-apeca</t>
        </is>
      </c>
      <c r="Y4748" t="inlineStr">
        <is>
          <t>Atlantic Canada Opportunities Agency | Agence de promotion économique du Canada atlantique</t>
        </is>
      </c>
    </row>
    <row r="4749">
      <c r="A4749" t="inlineStr">
        <is>
          <t>T-2020-Q1-00033</t>
        </is>
      </c>
      <c r="B4749" t="inlineStr">
        <is>
          <t>SLE</t>
        </is>
      </c>
      <c r="C4749" t="inlineStr">
        <is>
          <t>President</t>
        </is>
      </c>
      <c r="D4749" t="inlineStr">
        <is>
          <t>Président</t>
        </is>
      </c>
      <c r="E4749" t="inlineStr">
        <is>
          <t>Francis McGuire</t>
        </is>
      </c>
      <c r="F4749" t="inlineStr">
        <is>
          <t>Meetings with Government of Canada officials, US Government officials and key stakeholders</t>
        </is>
      </c>
      <c r="G4749" t="inlineStr">
        <is>
          <t>Réunions avec des fonctionnaires des gouvernements du Canada et des États-Unis et avec des intervenants clés</t>
        </is>
      </c>
      <c r="H4749" s="1" t="n">
        <v>43591</v>
      </c>
      <c r="I4749" s="1" t="n">
        <v>43594</v>
      </c>
      <c r="J4749" t="inlineStr">
        <is>
          <t>Halifax, Nova Scotia</t>
        </is>
      </c>
      <c r="K4749" t="inlineStr">
        <is>
          <t>Halifax (Nouvelle-Écosse)</t>
        </is>
      </c>
      <c r="P4749" t="n">
        <v>0</v>
      </c>
      <c r="Q4749" t="n">
        <v>311.06</v>
      </c>
      <c r="R4749" t="n">
        <v>466.86</v>
      </c>
      <c r="S4749" t="n">
        <v>234.4</v>
      </c>
      <c r="T4749" t="n">
        <v>36.8</v>
      </c>
      <c r="U4749" t="n">
        <v>1049.12</v>
      </c>
      <c r="X4749" t="inlineStr">
        <is>
          <t>acoa-apeca</t>
        </is>
      </c>
      <c r="Y4749" t="inlineStr">
        <is>
          <t>Atlantic Canada Opportunities Agency | Agence de promotion économique du Canada atlantique</t>
        </is>
      </c>
    </row>
    <row r="4750">
      <c r="A4750" t="inlineStr">
        <is>
          <t>T-2020-Q1-00032</t>
        </is>
      </c>
      <c r="B4750" t="inlineStr">
        <is>
          <t>SLE</t>
        </is>
      </c>
      <c r="C4750" t="inlineStr">
        <is>
          <t>President</t>
        </is>
      </c>
      <c r="D4750" t="inlineStr">
        <is>
          <t>Président</t>
        </is>
      </c>
      <c r="E4750" t="inlineStr">
        <is>
          <t>Francis McGuire</t>
        </is>
      </c>
      <c r="F4750" t="inlineStr">
        <is>
          <t>Meetings with Government of Canada officials and key stakeholders</t>
        </is>
      </c>
      <c r="G4750" t="inlineStr">
        <is>
          <t>Réunions avec des fonctionnaires du gouvernement du Canada et des intervenants clés</t>
        </is>
      </c>
      <c r="H4750" s="1" t="n">
        <v>43578</v>
      </c>
      <c r="I4750" s="1" t="n">
        <v>43580</v>
      </c>
      <c r="J4750" t="inlineStr">
        <is>
          <t>St. John's, Newfoundland and Labrador</t>
        </is>
      </c>
      <c r="K4750" t="inlineStr">
        <is>
          <t>St. John's (Terre-Neuve-et-Labrador)</t>
        </is>
      </c>
      <c r="P4750" t="n">
        <v>913.62</v>
      </c>
      <c r="Q4750" t="n">
        <v>14.42</v>
      </c>
      <c r="R4750" t="n">
        <v>330.82</v>
      </c>
      <c r="S4750" t="n">
        <v>234</v>
      </c>
      <c r="T4750" t="n">
        <v>36</v>
      </c>
      <c r="U4750" t="n">
        <v>1528.86</v>
      </c>
      <c r="X4750" t="inlineStr">
        <is>
          <t>acoa-apeca</t>
        </is>
      </c>
      <c r="Y4750" t="inlineStr">
        <is>
          <t>Atlantic Canada Opportunities Agency | Agence de promotion économique du Canada atlantique</t>
        </is>
      </c>
    </row>
    <row r="4751">
      <c r="A4751" t="inlineStr">
        <is>
          <t>T-2020-Q1-00031</t>
        </is>
      </c>
      <c r="B4751" t="inlineStr">
        <is>
          <t>SLE</t>
        </is>
      </c>
      <c r="C4751" t="inlineStr">
        <is>
          <t>President</t>
        </is>
      </c>
      <c r="D4751" t="inlineStr">
        <is>
          <t>Président</t>
        </is>
      </c>
      <c r="E4751" t="inlineStr">
        <is>
          <t>Francis McGuire</t>
        </is>
      </c>
      <c r="F4751" t="inlineStr">
        <is>
          <t>Various meetings with Government of Canada officials and key stakeholder</t>
        </is>
      </c>
      <c r="G4751" t="inlineStr">
        <is>
          <t>Diverses réunions avec des fonctionnaires du gouvernement du Canada et un intervenant clé</t>
        </is>
      </c>
      <c r="H4751" s="1" t="n">
        <v>43570</v>
      </c>
      <c r="I4751" s="1" t="n">
        <v>43573</v>
      </c>
      <c r="J4751" t="inlineStr">
        <is>
          <t>Ottawa, Ontario</t>
        </is>
      </c>
      <c r="K4751" t="inlineStr">
        <is>
          <t>Ottawa (Ontario)</t>
        </is>
      </c>
      <c r="P4751" t="n">
        <v>868.99</v>
      </c>
      <c r="Q4751" t="n">
        <v>28.84</v>
      </c>
      <c r="R4751" t="n">
        <v>745.08</v>
      </c>
      <c r="S4751" t="n">
        <v>393.6</v>
      </c>
      <c r="T4751" t="n">
        <v>48</v>
      </c>
      <c r="U4751" t="n">
        <v>2084.51</v>
      </c>
      <c r="X4751" t="inlineStr">
        <is>
          <t>acoa-apeca</t>
        </is>
      </c>
      <c r="Y4751" t="inlineStr">
        <is>
          <t>Atlantic Canada Opportunities Agency | Agence de promotion économique du Canada atlantique</t>
        </is>
      </c>
    </row>
    <row r="4752">
      <c r="A4752" t="inlineStr">
        <is>
          <t>T-2020-Q1-00030</t>
        </is>
      </c>
      <c r="B4752" t="inlineStr">
        <is>
          <t>SLE</t>
        </is>
      </c>
      <c r="C4752" t="inlineStr">
        <is>
          <t>Vice-President, Prince Edward Island</t>
        </is>
      </c>
      <c r="D4752" t="inlineStr">
        <is>
          <t>Vice-président, Île-du-Prince-Édouard</t>
        </is>
      </c>
      <c r="E4752" t="inlineStr">
        <is>
          <t>Patrick Dorsey</t>
        </is>
      </c>
      <c r="F4752" t="inlineStr">
        <is>
          <t xml:space="preserve">Meetings with government officials </t>
        </is>
      </c>
      <c r="G4752" t="inlineStr">
        <is>
          <t>Réunions avec des fonctionnaires</t>
        </is>
      </c>
      <c r="H4752" s="1" t="n">
        <v>43578</v>
      </c>
      <c r="I4752" s="1" t="n">
        <v>43579</v>
      </c>
      <c r="J4752" t="inlineStr">
        <is>
          <t>Halifax, Nova Scotia</t>
        </is>
      </c>
      <c r="K4752" t="inlineStr">
        <is>
          <t>Halifax (Nouvelle-Écosse)</t>
        </is>
      </c>
      <c r="P4752" t="n">
        <v>0</v>
      </c>
      <c r="Q4752" t="n">
        <v>86.5</v>
      </c>
      <c r="R4752" t="n">
        <v>191.2</v>
      </c>
      <c r="S4752" t="n">
        <v>125.85</v>
      </c>
      <c r="T4752" t="n">
        <v>0</v>
      </c>
      <c r="U4752" t="n">
        <v>403.55</v>
      </c>
      <c r="X4752" t="inlineStr">
        <is>
          <t>acoa-apeca</t>
        </is>
      </c>
      <c r="Y4752" t="inlineStr">
        <is>
          <t>Atlantic Canada Opportunities Agency | Agence de promotion économique du Canada atlantique</t>
        </is>
      </c>
    </row>
    <row r="4753">
      <c r="A4753" t="inlineStr">
        <is>
          <t>T-2020-Q1-00029</t>
        </is>
      </c>
      <c r="B4753" t="inlineStr">
        <is>
          <t>SLE</t>
        </is>
      </c>
      <c r="C4753" t="inlineStr">
        <is>
          <t>Vice-President, Finance and Corporate Services</t>
        </is>
      </c>
      <c r="D4753" t="inlineStr">
        <is>
          <t>Vice-président, Finance et Services corporatifs</t>
        </is>
      </c>
      <c r="E4753" t="inlineStr">
        <is>
          <t>Stephane Lagace</t>
        </is>
      </c>
      <c r="F4753" t="inlineStr">
        <is>
          <t>Beyond 2020 Symposium</t>
        </is>
      </c>
      <c r="G4753" t="inlineStr">
        <is>
          <t>Symposium d’Au-delà de 2020</t>
        </is>
      </c>
      <c r="H4753" s="1" t="n">
        <v>43578</v>
      </c>
      <c r="I4753" s="1" t="n">
        <v>43579</v>
      </c>
      <c r="J4753" t="inlineStr">
        <is>
          <t>Ottawa, Ontario</t>
        </is>
      </c>
      <c r="K4753" t="inlineStr">
        <is>
          <t>Ottawa (Ontario)</t>
        </is>
      </c>
      <c r="P4753" t="n">
        <v>587.71</v>
      </c>
      <c r="Q4753" t="n">
        <v>113.13</v>
      </c>
      <c r="R4753" t="n">
        <v>205.66</v>
      </c>
      <c r="S4753" t="n">
        <v>176.5</v>
      </c>
      <c r="T4753" t="n">
        <v>32</v>
      </c>
      <c r="U4753" t="n">
        <v>1115</v>
      </c>
      <c r="X4753" t="inlineStr">
        <is>
          <t>acoa-apeca</t>
        </is>
      </c>
      <c r="Y4753" t="inlineStr">
        <is>
          <t>Atlantic Canada Opportunities Agency | Agence de promotion économique du Canada atlantique</t>
        </is>
      </c>
    </row>
    <row r="4754">
      <c r="A4754" t="inlineStr">
        <is>
          <t>T-2020-Q1-00028</t>
        </is>
      </c>
      <c r="B4754" t="inlineStr">
        <is>
          <t>SLE</t>
        </is>
      </c>
      <c r="C4754" t="inlineStr">
        <is>
          <t>Vice-President, Newfoundland and Labrador</t>
        </is>
      </c>
      <c r="D4754" t="inlineStr">
        <is>
          <t>Vice-président, Terre-Neuve-et-Labrador</t>
        </is>
      </c>
      <c r="E4754" t="inlineStr">
        <is>
          <t>Ken Martin</t>
        </is>
      </c>
      <c r="F4754" t="inlineStr">
        <is>
          <t>Meeting with senior government officials</t>
        </is>
      </c>
      <c r="G4754" t="inlineStr">
        <is>
          <t>Réunion avec de hauts fonctionnaires du gouvernement</t>
        </is>
      </c>
      <c r="H4754" s="1" t="n">
        <v>43578</v>
      </c>
      <c r="I4754" s="1" t="n">
        <v>43580</v>
      </c>
      <c r="J4754" t="inlineStr">
        <is>
          <t>St. John's, Newfoundland and Labrador</t>
        </is>
      </c>
      <c r="K4754" t="inlineStr">
        <is>
          <t>St. John's (Terre-Neuve-et-Labrador)</t>
        </is>
      </c>
      <c r="P4754" t="n">
        <v>0</v>
      </c>
      <c r="Q4754" t="n">
        <v>0</v>
      </c>
      <c r="R4754" t="n">
        <v>0</v>
      </c>
      <c r="S4754" t="n">
        <v>50.48</v>
      </c>
      <c r="T4754" t="n">
        <v>0</v>
      </c>
      <c r="U4754" t="n">
        <v>50.48</v>
      </c>
      <c r="X4754" t="inlineStr">
        <is>
          <t>acoa-apeca</t>
        </is>
      </c>
      <c r="Y4754" t="inlineStr">
        <is>
          <t>Atlantic Canada Opportunities Agency | Agence de promotion économique du Canada atlantique</t>
        </is>
      </c>
    </row>
    <row r="4755">
      <c r="A4755" t="inlineStr">
        <is>
          <t>T-2020-Q1-00027</t>
        </is>
      </c>
      <c r="B4755" t="inlineStr">
        <is>
          <t>SLE</t>
        </is>
      </c>
      <c r="C4755" t="inlineStr">
        <is>
          <t>Vice-President, Prince Edward Island</t>
        </is>
      </c>
      <c r="D4755" t="inlineStr">
        <is>
          <t>Vice-président, Île-du-Prince-Édouard</t>
        </is>
      </c>
      <c r="E4755" t="inlineStr">
        <is>
          <t>Patrick Dorsey</t>
        </is>
      </c>
      <c r="F4755" t="inlineStr">
        <is>
          <t xml:space="preserve">Meetings with Agency officials </t>
        </is>
      </c>
      <c r="G4755" t="inlineStr">
        <is>
          <t xml:space="preserve">Réunions avec des fonctionnaires de l'Agence </t>
        </is>
      </c>
      <c r="H4755" s="1" t="n">
        <v>43570</v>
      </c>
      <c r="I4755" s="1" t="n">
        <v>43572</v>
      </c>
      <c r="J4755" t="inlineStr">
        <is>
          <t>St. John's, Newfoundland and Labrador</t>
        </is>
      </c>
      <c r="K4755" t="inlineStr">
        <is>
          <t>St. John's (Terre-Neuve-et-Labrador)</t>
        </is>
      </c>
      <c r="P4755" t="n">
        <v>1207.36</v>
      </c>
      <c r="Q4755" t="n">
        <v>58</v>
      </c>
      <c r="R4755" t="n">
        <v>334.32</v>
      </c>
      <c r="S4755" t="n">
        <v>234.4</v>
      </c>
      <c r="T4755" t="n">
        <v>0</v>
      </c>
      <c r="U4755" t="n">
        <v>1834.08</v>
      </c>
      <c r="X4755" t="inlineStr">
        <is>
          <t>acoa-apeca</t>
        </is>
      </c>
      <c r="Y4755" t="inlineStr">
        <is>
          <t>Atlantic Canada Opportunities Agency | Agence de promotion économique du Canada atlantique</t>
        </is>
      </c>
    </row>
    <row r="4756">
      <c r="A4756" t="inlineStr">
        <is>
          <t>T-2020-Q1-00026</t>
        </is>
      </c>
      <c r="B4756" t="inlineStr">
        <is>
          <t>SLE</t>
        </is>
      </c>
      <c r="C4756" t="inlineStr">
        <is>
          <t>Vice-President, Finance and Corporate Services</t>
        </is>
      </c>
      <c r="D4756" t="inlineStr">
        <is>
          <t>Vice-président, Finance et Services corporatifs</t>
        </is>
      </c>
      <c r="E4756" t="inlineStr">
        <is>
          <t>Stephane Lagace</t>
        </is>
      </c>
      <c r="F4756" t="inlineStr">
        <is>
          <t>Meetings with Agency officials</t>
        </is>
      </c>
      <c r="G4756" t="inlineStr">
        <is>
          <t>Réunions avec des fonctionnaires de l'Agence</t>
        </is>
      </c>
      <c r="H4756" s="1" t="n">
        <v>43571</v>
      </c>
      <c r="I4756" s="1" t="n">
        <v>43573</v>
      </c>
      <c r="J4756" t="inlineStr">
        <is>
          <t>St. John's, Newfoundland and Labrador</t>
        </is>
      </c>
      <c r="K4756" t="inlineStr">
        <is>
          <t>St. John's (Terre-Neuve-et-Labrador)</t>
        </is>
      </c>
      <c r="P4756" t="n">
        <v>1011.18</v>
      </c>
      <c r="Q4756" t="n">
        <v>60</v>
      </c>
      <c r="R4756" t="n">
        <v>165.41</v>
      </c>
      <c r="S4756" t="n">
        <v>214.3</v>
      </c>
      <c r="T4756" t="n">
        <v>0</v>
      </c>
      <c r="U4756" t="n">
        <v>1450.89</v>
      </c>
      <c r="X4756" t="inlineStr">
        <is>
          <t>acoa-apeca</t>
        </is>
      </c>
      <c r="Y4756" t="inlineStr">
        <is>
          <t>Atlantic Canada Opportunities Agency | Agence de promotion économique du Canada atlantique</t>
        </is>
      </c>
    </row>
    <row r="4757">
      <c r="A4757" t="inlineStr">
        <is>
          <t>T-2020-Q1-00025</t>
        </is>
      </c>
      <c r="B4757" t="inlineStr">
        <is>
          <t>SLE</t>
        </is>
      </c>
      <c r="C4757" t="inlineStr">
        <is>
          <t>Vice-President, Newfoundland and Labrador</t>
        </is>
      </c>
      <c r="D4757" t="inlineStr">
        <is>
          <t>Vice-président, Terre-Neuve-et-Labrador</t>
        </is>
      </c>
      <c r="E4757" t="inlineStr">
        <is>
          <t>Ken Martin</t>
        </is>
      </c>
      <c r="F4757" t="inlineStr">
        <is>
          <t>Two Government of Canada project events</t>
        </is>
      </c>
      <c r="G4757" t="inlineStr">
        <is>
          <t>Deux évènements liés à des projets du gouvernement du Canada</t>
        </is>
      </c>
      <c r="H4757" s="1" t="n">
        <v>43566</v>
      </c>
      <c r="I4757" s="1" t="n">
        <v>43566</v>
      </c>
      <c r="J4757" t="inlineStr">
        <is>
          <t>Holyrood and Carbonear, Newfoundland and Labrador</t>
        </is>
      </c>
      <c r="K4757" t="inlineStr">
        <is>
          <t>Holyrood et Carbonear (Terre-Neuve-et-Labrador)</t>
        </is>
      </c>
      <c r="P4757" t="n">
        <v>0</v>
      </c>
      <c r="Q4757" t="n">
        <v>0</v>
      </c>
      <c r="R4757" t="n">
        <v>0</v>
      </c>
      <c r="S4757" t="n">
        <v>20.1</v>
      </c>
      <c r="T4757" t="n">
        <v>0</v>
      </c>
      <c r="U4757" t="n">
        <v>20.1</v>
      </c>
      <c r="X4757" t="inlineStr">
        <is>
          <t>acoa-apeca</t>
        </is>
      </c>
      <c r="Y4757" t="inlineStr">
        <is>
          <t>Atlantic Canada Opportunities Agency | Agence de promotion économique du Canada atlantique</t>
        </is>
      </c>
    </row>
    <row r="4758">
      <c r="A4758" t="inlineStr">
        <is>
          <t>T-2020-Q1-00024</t>
        </is>
      </c>
      <c r="B4758" t="inlineStr">
        <is>
          <t>SLE</t>
        </is>
      </c>
      <c r="C4758" t="inlineStr">
        <is>
          <t>Vice-President, Prince Edward Island</t>
        </is>
      </c>
      <c r="D4758" t="inlineStr">
        <is>
          <t>Vice-président, Île-du-Prince-Édouard</t>
        </is>
      </c>
      <c r="E4758" t="inlineStr">
        <is>
          <t>Patrick Dorsey</t>
        </is>
      </c>
      <c r="F4758" t="inlineStr">
        <is>
          <t xml:space="preserve">Meeting with various government officials </t>
        </is>
      </c>
      <c r="G4758" t="inlineStr">
        <is>
          <t>Réunion avec divers fonctionnaires</t>
        </is>
      </c>
      <c r="H4758" s="1" t="n">
        <v>43564</v>
      </c>
      <c r="I4758" s="1" t="n">
        <v>43565</v>
      </c>
      <c r="J4758" t="inlineStr">
        <is>
          <t>Halifax, Nova Scotia</t>
        </is>
      </c>
      <c r="K4758" t="inlineStr">
        <is>
          <t>Halifax (Nouvelle-Écosse)</t>
        </is>
      </c>
      <c r="P4758" t="n">
        <v>0</v>
      </c>
      <c r="Q4758" t="n">
        <v>86.5</v>
      </c>
      <c r="R4758" t="n">
        <v>167.74</v>
      </c>
      <c r="S4758" t="n">
        <v>176.5</v>
      </c>
      <c r="T4758" t="n">
        <v>0</v>
      </c>
      <c r="U4758" t="n">
        <v>430.74</v>
      </c>
      <c r="X4758" t="inlineStr">
        <is>
          <t>acoa-apeca</t>
        </is>
      </c>
      <c r="Y4758" t="inlineStr">
        <is>
          <t>Atlantic Canada Opportunities Agency | Agence de promotion économique du Canada atlantique</t>
        </is>
      </c>
    </row>
    <row r="4759">
      <c r="A4759" t="inlineStr">
        <is>
          <t>T-2020-Q1-00023</t>
        </is>
      </c>
      <c r="B4759" t="inlineStr">
        <is>
          <t>SLE</t>
        </is>
      </c>
      <c r="C4759" t="inlineStr">
        <is>
          <t>Vice-President, Finance and Corporate Services</t>
        </is>
      </c>
      <c r="D4759" t="inlineStr">
        <is>
          <t>Vice-président, Finance et Services corporatifs</t>
        </is>
      </c>
      <c r="E4759" t="inlineStr">
        <is>
          <t>Stephane Lagace</t>
        </is>
      </c>
      <c r="F4759" t="inlineStr">
        <is>
          <t>Meeting with Government of Canada officials</t>
        </is>
      </c>
      <c r="G4759" t="inlineStr">
        <is>
          <t>Réunion avec des fonctionnaires du gouvernement du Canada</t>
        </is>
      </c>
      <c r="H4759" s="1" t="n">
        <v>43563</v>
      </c>
      <c r="I4759" s="1" t="n">
        <v>43563</v>
      </c>
      <c r="J4759" t="inlineStr">
        <is>
          <t>Halifax, Nova Scotia</t>
        </is>
      </c>
      <c r="K4759" t="inlineStr">
        <is>
          <t>Halifax (Nouvelle-Écosse)</t>
        </is>
      </c>
      <c r="P4759" t="n">
        <v>0</v>
      </c>
      <c r="Q4759" t="n">
        <v>0</v>
      </c>
      <c r="R4759" t="n">
        <v>0</v>
      </c>
      <c r="S4759" t="n">
        <v>70.75</v>
      </c>
      <c r="T4759" t="n">
        <v>14.4</v>
      </c>
      <c r="U4759" t="n">
        <v>85.15000000000001</v>
      </c>
      <c r="X4759" t="inlineStr">
        <is>
          <t>acoa-apeca</t>
        </is>
      </c>
      <c r="Y4759" t="inlineStr">
        <is>
          <t>Atlantic Canada Opportunities Agency | Agence de promotion économique du Canada atlantique</t>
        </is>
      </c>
    </row>
    <row r="4760">
      <c r="A4760" t="inlineStr">
        <is>
          <t>T-2020-Q1-00022</t>
        </is>
      </c>
      <c r="B4760" t="inlineStr">
        <is>
          <t>SLE</t>
        </is>
      </c>
      <c r="C4760" t="inlineStr">
        <is>
          <t>President</t>
        </is>
      </c>
      <c r="D4760" t="inlineStr">
        <is>
          <t>Président</t>
        </is>
      </c>
      <c r="E4760" t="inlineStr">
        <is>
          <t>Francis McGuire</t>
        </is>
      </c>
      <c r="F4760" t="inlineStr">
        <is>
          <t>Meeting with a key stakeholder</t>
        </is>
      </c>
      <c r="G4760" t="inlineStr">
        <is>
          <t>Réunion avec un intervenant clé</t>
        </is>
      </c>
      <c r="H4760" s="1" t="n">
        <v>43565</v>
      </c>
      <c r="I4760" s="1" t="n">
        <v>43565</v>
      </c>
      <c r="J4760" t="inlineStr">
        <is>
          <t>Sussex, New Brunswick</t>
        </is>
      </c>
      <c r="K4760" t="inlineStr">
        <is>
          <t>Sussex (Nouveau-Brunswick)</t>
        </is>
      </c>
      <c r="P4760" t="n">
        <v>0</v>
      </c>
      <c r="Q4760" t="n">
        <v>87.55</v>
      </c>
      <c r="R4760" t="n">
        <v>0</v>
      </c>
      <c r="S4760" t="n">
        <v>50.65</v>
      </c>
      <c r="T4760" t="n">
        <v>0</v>
      </c>
      <c r="U4760" t="n">
        <v>138.2</v>
      </c>
      <c r="X4760" t="inlineStr">
        <is>
          <t>acoa-apeca</t>
        </is>
      </c>
      <c r="Y4760" t="inlineStr">
        <is>
          <t>Atlantic Canada Opportunities Agency | Agence de promotion économique du Canada atlantique</t>
        </is>
      </c>
    </row>
    <row r="4761">
      <c r="A4761" t="inlineStr">
        <is>
          <t>T-2019-Q4-00041</t>
        </is>
      </c>
      <c r="B4761" t="inlineStr">
        <is>
          <t>SLE</t>
        </is>
      </c>
      <c r="C4761" t="inlineStr">
        <is>
          <t>Vice-President, New Brunswick</t>
        </is>
      </c>
      <c r="D4761" t="inlineStr">
        <is>
          <t>Vice-président, Nouveau-Brunswick</t>
        </is>
      </c>
      <c r="E4761" t="inlineStr">
        <is>
          <t>Kent Estabrooks</t>
        </is>
      </c>
      <c r="F4761" t="inlineStr">
        <is>
          <t>Sit on selection panel</t>
        </is>
      </c>
      <c r="G4761" t="inlineStr">
        <is>
          <t>Participer à un jury de sélection</t>
        </is>
      </c>
      <c r="H4761" s="1" t="n">
        <v>43487</v>
      </c>
      <c r="I4761" s="1" t="n">
        <v>43487</v>
      </c>
      <c r="J4761" t="inlineStr">
        <is>
          <t>Saint John, New Brunswick</t>
        </is>
      </c>
      <c r="K4761" t="inlineStr">
        <is>
          <t>Saint John (Nouveau-Brunswick)</t>
        </is>
      </c>
      <c r="P4761" t="n">
        <v>0</v>
      </c>
      <c r="Q4761" t="n">
        <v>3.5</v>
      </c>
      <c r="R4761" t="n">
        <v>0</v>
      </c>
      <c r="S4761" t="n">
        <v>19.85</v>
      </c>
      <c r="T4761" t="n">
        <v>0</v>
      </c>
      <c r="U4761" t="n">
        <v>23.35</v>
      </c>
      <c r="X4761" t="inlineStr">
        <is>
          <t>acoa-apeca</t>
        </is>
      </c>
      <c r="Y4761" t="inlineStr">
        <is>
          <t>Atlantic Canada Opportunities Agency | Agence de promotion économique du Canada atlantique</t>
        </is>
      </c>
    </row>
    <row r="4762">
      <c r="A4762" t="inlineStr">
        <is>
          <t>T-2020-Q1-00021</t>
        </is>
      </c>
      <c r="B4762" t="inlineStr">
        <is>
          <t>SLE</t>
        </is>
      </c>
      <c r="C4762" t="inlineStr">
        <is>
          <t>Vice-President, Prince Edward Island</t>
        </is>
      </c>
      <c r="D4762" t="inlineStr">
        <is>
          <t>Vice-président, Île-du-Prince-Édouard</t>
        </is>
      </c>
      <c r="E4762" t="inlineStr">
        <is>
          <t>Patrick Dorsey</t>
        </is>
      </c>
      <c r="F4762" t="inlineStr">
        <is>
          <t>Meetings with stakeholders</t>
        </is>
      </c>
      <c r="G4762" t="inlineStr">
        <is>
          <t>Réunions avec des intervenants</t>
        </is>
      </c>
      <c r="H4762" s="1" t="n">
        <v>43556</v>
      </c>
      <c r="I4762" s="1" t="n">
        <v>43557</v>
      </c>
      <c r="J4762" t="inlineStr">
        <is>
          <t>Halifax, Nova Scotia</t>
        </is>
      </c>
      <c r="K4762" t="inlineStr">
        <is>
          <t>Halifax (Nouvelle-Écosse)</t>
        </is>
      </c>
      <c r="P4762" t="n">
        <v>0</v>
      </c>
      <c r="Q4762" t="n">
        <v>97.8</v>
      </c>
      <c r="R4762" t="n">
        <v>166.43</v>
      </c>
      <c r="S4762" t="n">
        <v>176.5</v>
      </c>
      <c r="T4762" t="n">
        <v>0</v>
      </c>
      <c r="U4762" t="n">
        <v>440.73</v>
      </c>
      <c r="X4762" t="inlineStr">
        <is>
          <t>acoa-apeca</t>
        </is>
      </c>
      <c r="Y4762" t="inlineStr">
        <is>
          <t>Atlantic Canada Opportunities Agency | Agence de promotion économique du Canada atlantique</t>
        </is>
      </c>
    </row>
    <row r="4763">
      <c r="A4763" t="inlineStr">
        <is>
          <t>T-2020-Q1-00020</t>
        </is>
      </c>
      <c r="B4763" t="inlineStr">
        <is>
          <t>SLE</t>
        </is>
      </c>
      <c r="C4763" t="inlineStr">
        <is>
          <t>Vice-President, New Brunswick</t>
        </is>
      </c>
      <c r="D4763" t="inlineStr">
        <is>
          <t>Vice-président, Nouveau-Brunswick</t>
        </is>
      </c>
      <c r="E4763" t="inlineStr">
        <is>
          <t>Kent Estabrooks</t>
        </is>
      </c>
      <c r="F4763" t="inlineStr">
        <is>
          <t>Various meetings with Agency officials</t>
        </is>
      </c>
      <c r="G4763" t="inlineStr">
        <is>
          <t>Diverses réunions avec des fonctionnaires de l'Agence</t>
        </is>
      </c>
      <c r="H4763" s="1" t="n">
        <v>43551</v>
      </c>
      <c r="I4763" s="1" t="n">
        <v>43553</v>
      </c>
      <c r="J4763" t="inlineStr">
        <is>
          <t>Moncton, New Brunswick</t>
        </is>
      </c>
      <c r="K4763" t="inlineStr">
        <is>
          <t>Moncton (Nouveau-Brunswick)</t>
        </is>
      </c>
      <c r="P4763" t="n">
        <v>0</v>
      </c>
      <c r="Q4763" t="n">
        <v>34.5</v>
      </c>
      <c r="R4763" t="n">
        <v>322</v>
      </c>
      <c r="S4763" t="n">
        <v>171.75</v>
      </c>
      <c r="T4763" t="n">
        <v>0</v>
      </c>
      <c r="U4763" t="n">
        <v>528.25</v>
      </c>
      <c r="X4763" t="inlineStr">
        <is>
          <t>acoa-apeca</t>
        </is>
      </c>
      <c r="Y4763" t="inlineStr">
        <is>
          <t>Atlantic Canada Opportunities Agency | Agence de promotion économique du Canada atlantique</t>
        </is>
      </c>
    </row>
    <row r="4764">
      <c r="A4764" t="inlineStr">
        <is>
          <t>T-2020-Q1-00019</t>
        </is>
      </c>
      <c r="B4764" t="inlineStr">
        <is>
          <t>SLE</t>
        </is>
      </c>
      <c r="C4764" t="inlineStr">
        <is>
          <t>President</t>
        </is>
      </c>
      <c r="D4764" t="inlineStr">
        <is>
          <t>Président</t>
        </is>
      </c>
      <c r="E4764" t="inlineStr">
        <is>
          <t>Francis McGuire</t>
        </is>
      </c>
      <c r="F4764" t="inlineStr">
        <is>
          <t>Various meetings with Agency officials and key stakeholders</t>
        </is>
      </c>
      <c r="G4764" t="inlineStr">
        <is>
          <t>Diverses réunions avec des fonctionnaires de l'Agence et des intervenants clés</t>
        </is>
      </c>
      <c r="H4764" s="1" t="n">
        <v>43558</v>
      </c>
      <c r="I4764" s="1" t="n">
        <v>43559</v>
      </c>
      <c r="J4764" t="inlineStr">
        <is>
          <t>Saint John, New Brunswick</t>
        </is>
      </c>
      <c r="K4764" t="inlineStr">
        <is>
          <t>Saint John (Nouveau-Brunswick)</t>
        </is>
      </c>
      <c r="P4764" t="n">
        <v>0</v>
      </c>
      <c r="Q4764" t="n">
        <v>160.17</v>
      </c>
      <c r="R4764" t="n">
        <v>136.22</v>
      </c>
      <c r="S4764" t="n">
        <v>105.35</v>
      </c>
      <c r="T4764" t="n">
        <v>15</v>
      </c>
      <c r="U4764" t="n">
        <v>416.74</v>
      </c>
      <c r="X4764" t="inlineStr">
        <is>
          <t>acoa-apeca</t>
        </is>
      </c>
      <c r="Y4764" t="inlineStr">
        <is>
          <t>Atlantic Canada Opportunities Agency | Agence de promotion économique du Canada atlantique</t>
        </is>
      </c>
    </row>
    <row r="4765">
      <c r="A4765" t="inlineStr">
        <is>
          <t>T-2020-Q1-00018</t>
        </is>
      </c>
      <c r="B4765" t="inlineStr">
        <is>
          <t>SLE</t>
        </is>
      </c>
      <c r="C4765" t="inlineStr">
        <is>
          <t>President</t>
        </is>
      </c>
      <c r="D4765" t="inlineStr">
        <is>
          <t>Président</t>
        </is>
      </c>
      <c r="E4765" t="inlineStr">
        <is>
          <t>Francis McGuire</t>
        </is>
      </c>
      <c r="F4765" t="inlineStr">
        <is>
          <t>Meetings with Government of Canada officials and key stakeholders</t>
        </is>
      </c>
      <c r="G4765" t="inlineStr">
        <is>
          <t>Réunions avec des fonctionnaires du gouvernement du Canada et des intervenants clés</t>
        </is>
      </c>
      <c r="H4765" s="1" t="n">
        <v>43555</v>
      </c>
      <c r="I4765" s="1" t="n">
        <v>43556</v>
      </c>
      <c r="J4765" t="inlineStr">
        <is>
          <t>Halifax, Nova Scotia</t>
        </is>
      </c>
      <c r="K4765" t="inlineStr">
        <is>
          <t>Halifax (Nouvelle-Écosse)</t>
        </is>
      </c>
      <c r="P4765" t="n">
        <v>0</v>
      </c>
      <c r="Q4765" t="n">
        <v>282.03</v>
      </c>
      <c r="R4765" t="n">
        <v>163.05</v>
      </c>
      <c r="S4765" t="n">
        <v>105.1</v>
      </c>
      <c r="T4765" t="n">
        <v>36.8</v>
      </c>
      <c r="U4765" t="n">
        <v>586.98</v>
      </c>
      <c r="X4765" t="inlineStr">
        <is>
          <t>acoa-apeca</t>
        </is>
      </c>
      <c r="Y4765" t="inlineStr">
        <is>
          <t>Atlantic Canada Opportunities Agency | Agence de promotion économique du Canada atlantique</t>
        </is>
      </c>
    </row>
    <row r="4766">
      <c r="A4766" t="inlineStr">
        <is>
          <t>T-2020-Q1-00017</t>
        </is>
      </c>
      <c r="B4766" t="inlineStr">
        <is>
          <t>SLE</t>
        </is>
      </c>
      <c r="C4766" t="inlineStr">
        <is>
          <t>Vice-President, Prince Edward Island</t>
        </is>
      </c>
      <c r="D4766" t="inlineStr">
        <is>
          <t>Vice-président, Île-du-Prince-Édouard</t>
        </is>
      </c>
      <c r="E4766" t="inlineStr">
        <is>
          <t>Patrick Dorsey</t>
        </is>
      </c>
      <c r="F4766" t="inlineStr">
        <is>
          <t xml:space="preserve">Food and Drink Conference </t>
        </is>
      </c>
      <c r="G4766" t="inlineStr">
        <is>
          <t>Conférence sur les aliments et les boissons</t>
        </is>
      </c>
      <c r="H4766" s="1" t="n">
        <v>43550</v>
      </c>
      <c r="I4766" s="1" t="n">
        <v>43552</v>
      </c>
      <c r="J4766" t="inlineStr">
        <is>
          <t>Toronto, Ontario</t>
        </is>
      </c>
      <c r="K4766" t="inlineStr">
        <is>
          <t>Toronto (Ontario)</t>
        </is>
      </c>
      <c r="P4766" t="n">
        <v>964.6</v>
      </c>
      <c r="Q4766" t="n">
        <v>69.7</v>
      </c>
      <c r="R4766" t="n">
        <v>514.74</v>
      </c>
      <c r="S4766" t="n">
        <v>301.95</v>
      </c>
      <c r="T4766" t="n">
        <v>5.49</v>
      </c>
      <c r="U4766" t="n">
        <v>1856.48</v>
      </c>
      <c r="X4766" t="inlineStr">
        <is>
          <t>acoa-apeca</t>
        </is>
      </c>
      <c r="Y4766" t="inlineStr">
        <is>
          <t>Atlantic Canada Opportunities Agency | Agence de promotion économique du Canada atlantique</t>
        </is>
      </c>
    </row>
    <row r="4767">
      <c r="A4767" t="inlineStr">
        <is>
          <t>T-2020-Q1-00016</t>
        </is>
      </c>
      <c r="B4767" t="inlineStr">
        <is>
          <t>SLE</t>
        </is>
      </c>
      <c r="C4767" t="inlineStr">
        <is>
          <t>Vice-President, New Brunswick</t>
        </is>
      </c>
      <c r="D4767" t="inlineStr">
        <is>
          <t>Vice-président, Nouveau-Brunswick</t>
        </is>
      </c>
      <c r="E4767" t="inlineStr">
        <is>
          <t>Kent Estabrooks</t>
        </is>
      </c>
      <c r="F4767" t="inlineStr">
        <is>
          <t>Meetings with Agency officials</t>
        </is>
      </c>
      <c r="G4767" t="inlineStr">
        <is>
          <t>Réunions avec des fonctionnaires de l'Agence</t>
        </is>
      </c>
      <c r="H4767" s="1" t="n">
        <v>43537</v>
      </c>
      <c r="I4767" s="1" t="n">
        <v>43537</v>
      </c>
      <c r="J4767" t="inlineStr">
        <is>
          <t>Halifax, Nova Scotia</t>
        </is>
      </c>
      <c r="K4767" t="inlineStr">
        <is>
          <t>Halifax (Nouvelle-Écosse)</t>
        </is>
      </c>
      <c r="P4767" t="n">
        <v>726.8</v>
      </c>
      <c r="Q4767" t="n">
        <v>200.6</v>
      </c>
      <c r="R4767" t="n">
        <v>0</v>
      </c>
      <c r="S4767" t="n">
        <v>69.84999999999999</v>
      </c>
      <c r="T4767" t="n">
        <v>0</v>
      </c>
      <c r="U4767" t="n">
        <v>997.25</v>
      </c>
      <c r="X4767" t="inlineStr">
        <is>
          <t>acoa-apeca</t>
        </is>
      </c>
      <c r="Y4767" t="inlineStr">
        <is>
          <t>Atlantic Canada Opportunities Agency | Agence de promotion économique du Canada atlantique</t>
        </is>
      </c>
    </row>
    <row r="4768">
      <c r="A4768" t="inlineStr">
        <is>
          <t>T-2020-Q1-00015</t>
        </is>
      </c>
      <c r="B4768" t="inlineStr">
        <is>
          <t>SLE</t>
        </is>
      </c>
      <c r="C4768" t="inlineStr">
        <is>
          <t>Vice-President, New Brunswick</t>
        </is>
      </c>
      <c r="D4768" t="inlineStr">
        <is>
          <t>Vice-président, Nouveau-Brunswick</t>
        </is>
      </c>
      <c r="E4768" t="inlineStr">
        <is>
          <t>Kent Estabrooks</t>
        </is>
      </c>
      <c r="F4768" t="inlineStr">
        <is>
          <t>Meetings with various federal officials</t>
        </is>
      </c>
      <c r="G4768" t="inlineStr">
        <is>
          <t>Réunions avec divers fonctionnaires fédéraux</t>
        </is>
      </c>
      <c r="H4768" s="1" t="n">
        <v>43542</v>
      </c>
      <c r="I4768" s="1" t="n">
        <v>43545</v>
      </c>
      <c r="J4768" t="inlineStr">
        <is>
          <t>Ottawa, Ontario</t>
        </is>
      </c>
      <c r="K4768" t="inlineStr">
        <is>
          <t>Ottawa (Ontario)</t>
        </is>
      </c>
      <c r="P4768" t="n">
        <v>1204.2</v>
      </c>
      <c r="Q4768" t="n">
        <v>175.02</v>
      </c>
      <c r="R4768" t="n">
        <v>488.88</v>
      </c>
      <c r="S4768" t="n">
        <v>191.6</v>
      </c>
      <c r="T4768" t="n">
        <v>0</v>
      </c>
      <c r="U4768" t="n">
        <v>2059.7</v>
      </c>
      <c r="X4768" t="inlineStr">
        <is>
          <t>acoa-apeca</t>
        </is>
      </c>
      <c r="Y4768" t="inlineStr">
        <is>
          <t>Atlantic Canada Opportunities Agency | Agence de promotion économique du Canada atlantique</t>
        </is>
      </c>
    </row>
    <row r="4769">
      <c r="A4769" t="inlineStr">
        <is>
          <t>T-2020-Q1-00014</t>
        </is>
      </c>
      <c r="B4769" t="inlineStr">
        <is>
          <t>SLE</t>
        </is>
      </c>
      <c r="C4769" t="inlineStr">
        <is>
          <t>Vice-President, New Brunswick</t>
        </is>
      </c>
      <c r="D4769" t="inlineStr">
        <is>
          <t>Vice-président, Nouveau-Brunswick</t>
        </is>
      </c>
      <c r="E4769" t="inlineStr">
        <is>
          <t>Kent Estabrooks</t>
        </is>
      </c>
      <c r="F4769" t="inlineStr">
        <is>
          <t>Meetings with various federal officials</t>
        </is>
      </c>
      <c r="G4769" t="inlineStr">
        <is>
          <t>Réunions avec divers fonctionnaires fédéraux</t>
        </is>
      </c>
      <c r="H4769" s="1" t="n">
        <v>43549</v>
      </c>
      <c r="I4769" s="1" t="n">
        <v>43549</v>
      </c>
      <c r="J4769" t="inlineStr">
        <is>
          <t>Ottawa, Ontario</t>
        </is>
      </c>
      <c r="K4769" t="inlineStr">
        <is>
          <t>Ottawa (Ontario)</t>
        </is>
      </c>
      <c r="P4769" t="n">
        <v>726.8</v>
      </c>
      <c r="Q4769" t="n">
        <v>96</v>
      </c>
      <c r="R4769" t="n">
        <v>222.11</v>
      </c>
      <c r="S4769" t="n">
        <v>104.45</v>
      </c>
      <c r="T4769" t="n">
        <v>14.98</v>
      </c>
      <c r="U4769" t="n">
        <v>1164.34</v>
      </c>
      <c r="X4769" t="inlineStr">
        <is>
          <t>acoa-apeca</t>
        </is>
      </c>
      <c r="Y4769" t="inlineStr">
        <is>
          <t>Atlantic Canada Opportunities Agency | Agence de promotion économique du Canada atlantique</t>
        </is>
      </c>
    </row>
    <row r="4770">
      <c r="A4770" t="inlineStr">
        <is>
          <t>T-2020-Q1-00013</t>
        </is>
      </c>
      <c r="B4770" t="inlineStr">
        <is>
          <t>SLE</t>
        </is>
      </c>
      <c r="C4770" t="inlineStr">
        <is>
          <t>Vice-President, Newfoundland and Labrador</t>
        </is>
      </c>
      <c r="D4770" t="inlineStr">
        <is>
          <t>Vice-président, Terre-Neuve-et-Labrador</t>
        </is>
      </c>
      <c r="E4770" t="inlineStr">
        <is>
          <t>Ken Martin</t>
        </is>
      </c>
      <c r="F4770" t="inlineStr">
        <is>
          <t>Forward Agenda Session</t>
        </is>
      </c>
      <c r="G4770" t="inlineStr">
        <is>
          <t xml:space="preserve">Séance de planification à long terme </t>
        </is>
      </c>
      <c r="H4770" s="1" t="n">
        <v>43558</v>
      </c>
      <c r="I4770" s="1" t="n">
        <v>43558</v>
      </c>
      <c r="J4770" t="inlineStr">
        <is>
          <t>Chapel's Cove, Newfoundland and Labrador</t>
        </is>
      </c>
      <c r="K4770" t="inlineStr">
        <is>
          <t>Chapel's Cove (Terre-Neuve-et-Labrador)</t>
        </is>
      </c>
      <c r="P4770" t="n">
        <v>0</v>
      </c>
      <c r="Q4770" t="n">
        <v>79.52</v>
      </c>
      <c r="R4770" t="n">
        <v>0</v>
      </c>
      <c r="S4770" t="n">
        <v>20.1</v>
      </c>
      <c r="T4770" t="n">
        <v>0</v>
      </c>
      <c r="U4770" t="n">
        <v>99.62</v>
      </c>
      <c r="X4770" t="inlineStr">
        <is>
          <t>acoa-apeca</t>
        </is>
      </c>
      <c r="Y4770" t="inlineStr">
        <is>
          <t>Atlantic Canada Opportunities Agency | Agence de promotion économique du Canada atlantique</t>
        </is>
      </c>
    </row>
    <row r="4771">
      <c r="A4771" t="inlineStr">
        <is>
          <t>T-2020-Q1-00012</t>
        </is>
      </c>
      <c r="B4771" t="inlineStr">
        <is>
          <t>SLE</t>
        </is>
      </c>
      <c r="C4771" t="inlineStr">
        <is>
          <t>Vice-President, Newfoundland and Labrador</t>
        </is>
      </c>
      <c r="D4771" t="inlineStr">
        <is>
          <t>Vice-président, Terre-Neuve-et-Labrador</t>
        </is>
      </c>
      <c r="E4771" t="inlineStr">
        <is>
          <t>Ken Martin</t>
        </is>
      </c>
      <c r="F4771" t="inlineStr">
        <is>
          <t>Ocean Supercluster collaboration event in Halifax and Executive Committee meeting in Moncton</t>
        </is>
      </c>
      <c r="G4771" t="inlineStr">
        <is>
          <t>Évènement sur la supergrappe de l’économie océanique à Halifax et réunion du Comité de direction à Moncton</t>
        </is>
      </c>
      <c r="H4771" s="1" t="n">
        <v>43549</v>
      </c>
      <c r="I4771" s="1" t="n">
        <v>43552</v>
      </c>
      <c r="J4771" t="inlineStr">
        <is>
          <t>Halifax, Nova Scotia and Moncton, New Brunswick</t>
        </is>
      </c>
      <c r="K4771" t="inlineStr">
        <is>
          <t>Halifax (Nouvelle-Écosse) et Moncton (Nouveau-Brunswick)</t>
        </is>
      </c>
      <c r="P4771" t="n">
        <v>759.52</v>
      </c>
      <c r="Q4771" t="n">
        <v>135.67</v>
      </c>
      <c r="R4771" t="n">
        <v>552.78</v>
      </c>
      <c r="S4771" t="n">
        <v>299.8</v>
      </c>
      <c r="T4771" t="n">
        <v>109</v>
      </c>
      <c r="U4771" t="n">
        <v>1856.77</v>
      </c>
      <c r="X4771" t="inlineStr">
        <is>
          <t>acoa-apeca</t>
        </is>
      </c>
      <c r="Y4771" t="inlineStr">
        <is>
          <t>Atlantic Canada Opportunities Agency | Agence de promotion économique du Canada atlantique</t>
        </is>
      </c>
    </row>
    <row r="4772">
      <c r="A4772" t="inlineStr">
        <is>
          <t>T-2020-Q1-00011</t>
        </is>
      </c>
      <c r="B4772" t="inlineStr">
        <is>
          <t>SLE</t>
        </is>
      </c>
      <c r="C4772" t="inlineStr">
        <is>
          <t>Senior Advisor (Energy)</t>
        </is>
      </c>
      <c r="D4772" t="inlineStr">
        <is>
          <t>Conseiller spécial (energie)</t>
        </is>
      </c>
      <c r="E4772" t="inlineStr">
        <is>
          <t>Andrew F. Noseworthy</t>
        </is>
      </c>
      <c r="F4772" t="inlineStr">
        <is>
          <t>Attend the Institute of Corporate Directors - Directors Education Program, Module IV</t>
        </is>
      </c>
      <c r="G4772" t="inlineStr">
        <is>
          <t>Suivre le module IV du Programme de perfectionnement des administrateurs de l'Institut des administrateurs de sociétés</t>
        </is>
      </c>
      <c r="H4772" s="1" t="n">
        <v>43552</v>
      </c>
      <c r="I4772" s="1" t="n">
        <v>43555</v>
      </c>
      <c r="J4772" t="inlineStr">
        <is>
          <t>Toronto, Ontario</t>
        </is>
      </c>
      <c r="K4772" t="inlineStr">
        <is>
          <t>Toronto (Ontario)</t>
        </is>
      </c>
      <c r="P4772" t="n">
        <v>704.74</v>
      </c>
      <c r="Q4772" t="n">
        <v>258</v>
      </c>
      <c r="R4772" t="n">
        <v>701.58</v>
      </c>
      <c r="S4772" t="n">
        <v>219.2</v>
      </c>
      <c r="T4772" t="n">
        <v>76.25</v>
      </c>
      <c r="U4772" t="n">
        <v>1959.77</v>
      </c>
      <c r="X4772" t="inlineStr">
        <is>
          <t>acoa-apeca</t>
        </is>
      </c>
      <c r="Y4772" t="inlineStr">
        <is>
          <t>Atlantic Canada Opportunities Agency | Agence de promotion économique du Canada atlantique</t>
        </is>
      </c>
    </row>
    <row r="4773">
      <c r="A4773" t="inlineStr">
        <is>
          <t>T-2020-Q1-00010</t>
        </is>
      </c>
      <c r="B4773" t="inlineStr">
        <is>
          <t>SLE</t>
        </is>
      </c>
      <c r="C4773" t="inlineStr">
        <is>
          <t>Vice-President, Finance and Corporate Services</t>
        </is>
      </c>
      <c r="D4773" t="inlineStr">
        <is>
          <t>Vice-président, Finance et Services corporatifs</t>
        </is>
      </c>
      <c r="E4773" t="inlineStr">
        <is>
          <t>Stephane Lagace</t>
        </is>
      </c>
      <c r="F4773" t="inlineStr">
        <is>
          <t>Various meetings with Government of Canada officials</t>
        </is>
      </c>
      <c r="G4773" t="inlineStr">
        <is>
          <t>Diverses réunions avec des fonctionnaires du gouvernement du Canada</t>
        </is>
      </c>
      <c r="H4773" s="1" t="n">
        <v>43549</v>
      </c>
      <c r="I4773" s="1" t="n">
        <v>43551</v>
      </c>
      <c r="J4773" t="inlineStr">
        <is>
          <t>Ottawa, Ontario</t>
        </is>
      </c>
      <c r="K4773" t="inlineStr">
        <is>
          <t>Ottawa (Ontario)</t>
        </is>
      </c>
      <c r="P4773" t="n">
        <v>906.83</v>
      </c>
      <c r="Q4773" t="n">
        <v>93.73999999999999</v>
      </c>
      <c r="R4773" t="n">
        <v>411.32</v>
      </c>
      <c r="S4773" t="n">
        <v>262.25</v>
      </c>
      <c r="T4773" t="n">
        <v>48</v>
      </c>
      <c r="U4773" t="n">
        <v>1722.14</v>
      </c>
      <c r="X4773" t="inlineStr">
        <is>
          <t>acoa-apeca</t>
        </is>
      </c>
      <c r="Y4773" t="inlineStr">
        <is>
          <t>Atlantic Canada Opportunities Agency | Agence de promotion économique du Canada atlantique</t>
        </is>
      </c>
    </row>
    <row r="4774">
      <c r="A4774" t="inlineStr">
        <is>
          <t>T-2020-Q1-00009</t>
        </is>
      </c>
      <c r="B4774" t="inlineStr">
        <is>
          <t>SLE</t>
        </is>
      </c>
      <c r="C4774" t="inlineStr">
        <is>
          <t>President</t>
        </is>
      </c>
      <c r="D4774" t="inlineStr">
        <is>
          <t>Président</t>
        </is>
      </c>
      <c r="E4774" t="inlineStr">
        <is>
          <t>Francis McGuire</t>
        </is>
      </c>
      <c r="F4774" t="inlineStr">
        <is>
          <t>Various meetings with Agency officials and Government of Canada officials</t>
        </is>
      </c>
      <c r="G4774" t="inlineStr">
        <is>
          <t>Diverses réunions avec des fonctionnaires de l'Agence et du gouvernement du Canada</t>
        </is>
      </c>
      <c r="H4774" s="1" t="n">
        <v>43542</v>
      </c>
      <c r="I4774" s="1" t="n">
        <v>43546</v>
      </c>
      <c r="J4774" t="inlineStr">
        <is>
          <t>Ottawa, Ontario</t>
        </is>
      </c>
      <c r="K4774" t="inlineStr">
        <is>
          <t>Ottawa (Ontario)</t>
        </is>
      </c>
      <c r="P4774" t="n">
        <v>832.63</v>
      </c>
      <c r="Q4774" t="n">
        <v>14.98</v>
      </c>
      <c r="R4774" t="n">
        <v>972.76</v>
      </c>
      <c r="S4774" t="n">
        <v>396.5</v>
      </c>
      <c r="T4774" t="n">
        <v>58</v>
      </c>
      <c r="U4774" t="n">
        <v>2274.87</v>
      </c>
      <c r="X4774" t="inlineStr">
        <is>
          <t>acoa-apeca</t>
        </is>
      </c>
      <c r="Y4774" t="inlineStr">
        <is>
          <t>Atlantic Canada Opportunities Agency | Agence de promotion économique du Canada atlantique</t>
        </is>
      </c>
    </row>
    <row r="4775">
      <c r="A4775" t="inlineStr">
        <is>
          <t>T-2020-Q1-00008</t>
        </is>
      </c>
      <c r="B4775" t="inlineStr">
        <is>
          <t>SLE</t>
        </is>
      </c>
      <c r="C4775" t="inlineStr">
        <is>
          <t>President</t>
        </is>
      </c>
      <c r="D4775" t="inlineStr">
        <is>
          <t>Président</t>
        </is>
      </c>
      <c r="E4775" t="inlineStr">
        <is>
          <t>Francis McGuire</t>
        </is>
      </c>
      <c r="F4775" t="inlineStr">
        <is>
          <t>Meetings with Government of Canada officials and key stakeholders</t>
        </is>
      </c>
      <c r="G4775" t="inlineStr">
        <is>
          <t>Réunions avec des fonctionnaires du gouvernement du Canada et des intervenants clés</t>
        </is>
      </c>
      <c r="H4775" s="1" t="n">
        <v>43535</v>
      </c>
      <c r="I4775" s="1" t="n">
        <v>43538</v>
      </c>
      <c r="J4775" t="inlineStr">
        <is>
          <t>Charlottetown, Prince Edward Island and Halifax, Nova Scotia</t>
        </is>
      </c>
      <c r="K4775" t="inlineStr">
        <is>
          <t>Charlottetown (Île-du-Prince-Édouard) et Halifax (Nouvelle-Écosse)</t>
        </is>
      </c>
      <c r="P4775" t="n">
        <v>0</v>
      </c>
      <c r="Q4775" t="n">
        <v>458.61</v>
      </c>
      <c r="R4775" t="n">
        <v>522.0599999999999</v>
      </c>
      <c r="S4775" t="n">
        <v>409.35</v>
      </c>
      <c r="T4775" t="n">
        <v>89.70999999999999</v>
      </c>
      <c r="U4775" t="n">
        <v>1479.73</v>
      </c>
      <c r="X4775" t="inlineStr">
        <is>
          <t>acoa-apeca</t>
        </is>
      </c>
      <c r="Y4775" t="inlineStr">
        <is>
          <t>Atlantic Canada Opportunities Agency | Agence de promotion économique du Canada atlantique</t>
        </is>
      </c>
    </row>
    <row r="4776">
      <c r="A4776" t="inlineStr">
        <is>
          <t>T-2020-Q1-00007</t>
        </is>
      </c>
      <c r="B4776" t="inlineStr">
        <is>
          <t>SLE</t>
        </is>
      </c>
      <c r="C4776" t="inlineStr">
        <is>
          <t>Vice-President, Policy, Programs and Communications</t>
        </is>
      </c>
      <c r="D4776" t="inlineStr">
        <is>
          <t>Vice-président, Politiques et Programmes</t>
        </is>
      </c>
      <c r="E4776" t="inlineStr">
        <is>
          <t>Daryell Nowlan</t>
        </is>
      </c>
      <c r="F4776" t="inlineStr">
        <is>
          <t>Meetings with Government of Canada officials</t>
        </is>
      </c>
      <c r="G4776" t="inlineStr">
        <is>
          <t>Réunions avec des fonctionnaires du gouvernement du Canada</t>
        </is>
      </c>
      <c r="H4776" s="1" t="n">
        <v>43542</v>
      </c>
      <c r="I4776" s="1" t="n">
        <v>43544</v>
      </c>
      <c r="J4776" t="inlineStr">
        <is>
          <t>Ottawa, Ontario</t>
        </is>
      </c>
      <c r="K4776" t="inlineStr">
        <is>
          <t>Ottawa (Ontario)</t>
        </is>
      </c>
      <c r="P4776" t="n">
        <v>1007.42</v>
      </c>
      <c r="Q4776" t="n">
        <v>101.15</v>
      </c>
      <c r="R4776" t="n">
        <v>592.3</v>
      </c>
      <c r="S4776" t="n">
        <v>241.6</v>
      </c>
      <c r="T4776" t="n">
        <v>0</v>
      </c>
      <c r="U4776" t="n">
        <v>1942.47</v>
      </c>
      <c r="X4776" t="inlineStr">
        <is>
          <t>acoa-apeca</t>
        </is>
      </c>
      <c r="Y4776" t="inlineStr">
        <is>
          <t>Atlantic Canada Opportunities Agency | Agence de promotion économique du Canada atlantique</t>
        </is>
      </c>
    </row>
    <row r="4777">
      <c r="A4777" t="inlineStr">
        <is>
          <t>T-2020-Q1-00006</t>
        </is>
      </c>
      <c r="B4777" t="inlineStr">
        <is>
          <t>SLE</t>
        </is>
      </c>
      <c r="C4777" t="inlineStr">
        <is>
          <t>Vice-President, Prince Edward Island</t>
        </is>
      </c>
      <c r="D4777" t="inlineStr">
        <is>
          <t>Vice-président, Île-du-Prince-Édouard</t>
        </is>
      </c>
      <c r="E4777" t="inlineStr">
        <is>
          <t>Patrick Dorsey</t>
        </is>
      </c>
      <c r="F4777" t="inlineStr">
        <is>
          <t xml:space="preserve">Meetings with various government officials </t>
        </is>
      </c>
      <c r="G4777" t="inlineStr">
        <is>
          <t>Réunions avec divers fonctionnaires</t>
        </is>
      </c>
      <c r="H4777" s="1" t="n">
        <v>43542</v>
      </c>
      <c r="I4777" s="1" t="n">
        <v>43544</v>
      </c>
      <c r="J4777" t="inlineStr">
        <is>
          <t>Ottawa, Ontario</t>
        </is>
      </c>
      <c r="K4777" t="inlineStr">
        <is>
          <t>Ottawa (Ontario)</t>
        </is>
      </c>
      <c r="P4777" t="n">
        <v>1115.42</v>
      </c>
      <c r="Q4777" t="n">
        <v>114.2</v>
      </c>
      <c r="R4777" t="n">
        <v>451.28</v>
      </c>
      <c r="S4777" t="n">
        <v>301.95</v>
      </c>
      <c r="T4777" t="n">
        <v>0</v>
      </c>
      <c r="U4777" t="n">
        <v>1982.85</v>
      </c>
      <c r="X4777" t="inlineStr">
        <is>
          <t>acoa-apeca</t>
        </is>
      </c>
      <c r="Y4777" t="inlineStr">
        <is>
          <t>Atlantic Canada Opportunities Agency | Agence de promotion économique du Canada atlantique</t>
        </is>
      </c>
    </row>
    <row r="4778">
      <c r="A4778" t="inlineStr">
        <is>
          <t>T-2019-Q4-00042</t>
        </is>
      </c>
      <c r="B4778" t="inlineStr">
        <is>
          <t>SLE</t>
        </is>
      </c>
      <c r="C4778" t="inlineStr">
        <is>
          <t>Vice-President, New Brunswick</t>
        </is>
      </c>
      <c r="D4778" t="inlineStr">
        <is>
          <t>Vice-président, Nouveau-Brunswick</t>
        </is>
      </c>
      <c r="E4778" t="inlineStr">
        <is>
          <t>Kent Estabrooks</t>
        </is>
      </c>
      <c r="F4778" t="inlineStr">
        <is>
          <t>External stakeholders meetings</t>
        </is>
      </c>
      <c r="G4778" t="inlineStr">
        <is>
          <t>Réunions avec des intervenants externes</t>
        </is>
      </c>
      <c r="H4778" s="1" t="n">
        <v>43489</v>
      </c>
      <c r="I4778" s="1" t="n">
        <v>43498</v>
      </c>
      <c r="J4778" t="inlineStr">
        <is>
          <t>Tel Aviv, Israel</t>
        </is>
      </c>
      <c r="K4778" t="inlineStr">
        <is>
          <t>Tel-Aviv, Israël</t>
        </is>
      </c>
      <c r="P4778" t="n">
        <v>3965.15</v>
      </c>
      <c r="Q4778" t="n">
        <v>231.37</v>
      </c>
      <c r="R4778" t="n">
        <v>2275.43</v>
      </c>
      <c r="S4778" t="n">
        <v>1323.84</v>
      </c>
      <c r="T4778" t="n">
        <v>0</v>
      </c>
      <c r="U4778" t="n">
        <v>7795.79</v>
      </c>
      <c r="X4778" t="inlineStr">
        <is>
          <t>acoa-apeca</t>
        </is>
      </c>
      <c r="Y4778" t="inlineStr">
        <is>
          <t>Atlantic Canada Opportunities Agency | Agence de promotion économique du Canada atlantique</t>
        </is>
      </c>
    </row>
    <row r="4779">
      <c r="A4779" t="inlineStr">
        <is>
          <t>T-2019-Q4-00038</t>
        </is>
      </c>
      <c r="B4779" t="inlineStr">
        <is>
          <t>SLE</t>
        </is>
      </c>
      <c r="C4779" t="inlineStr">
        <is>
          <t>President</t>
        </is>
      </c>
      <c r="D4779" t="inlineStr">
        <is>
          <t>Président</t>
        </is>
      </c>
      <c r="E4779" t="inlineStr">
        <is>
          <t>Francis McGuire</t>
        </is>
      </c>
      <c r="F4779" t="inlineStr">
        <is>
          <t>Various meetings with Government of Canada officials and key stakeholders</t>
        </is>
      </c>
      <c r="G4779" t="inlineStr">
        <is>
          <t>Diverses réunions avec des fonctionnaires du gouvernement du Canada et des intervenants clés</t>
        </is>
      </c>
      <c r="H4779" s="1" t="n">
        <v>43515</v>
      </c>
      <c r="I4779" s="1" t="n">
        <v>43518</v>
      </c>
      <c r="J4779" t="inlineStr">
        <is>
          <t>Ottawa, Ontario</t>
        </is>
      </c>
      <c r="K4779" t="inlineStr">
        <is>
          <t>Ottawa (Ontario)</t>
        </is>
      </c>
      <c r="P4779" t="n">
        <v>726.8</v>
      </c>
      <c r="Q4779" t="n">
        <v>29.96</v>
      </c>
      <c r="R4779" t="n">
        <v>764.67</v>
      </c>
      <c r="S4779" t="n">
        <v>389.1</v>
      </c>
      <c r="T4779" t="n">
        <v>0</v>
      </c>
      <c r="U4779" t="n">
        <v>1910.53</v>
      </c>
      <c r="X4779" t="inlineStr">
        <is>
          <t>acoa-apeca</t>
        </is>
      </c>
      <c r="Y4779" t="inlineStr">
        <is>
          <t>Atlantic Canada Opportunities Agency | Agence de promotion économique du Canada atlantique</t>
        </is>
      </c>
    </row>
    <row r="4780">
      <c r="A4780" t="inlineStr">
        <is>
          <t>T-2019-Q4-00037</t>
        </is>
      </c>
      <c r="B4780" t="inlineStr">
        <is>
          <t>SLE</t>
        </is>
      </c>
      <c r="C4780" t="inlineStr">
        <is>
          <t>President</t>
        </is>
      </c>
      <c r="D4780" t="inlineStr">
        <is>
          <t>Président</t>
        </is>
      </c>
      <c r="E4780" t="inlineStr">
        <is>
          <t>Francis McGuire</t>
        </is>
      </c>
      <c r="F4780" t="inlineStr">
        <is>
          <t>Various meetings with Government of Canada officials and key stakeholders</t>
        </is>
      </c>
      <c r="G4780" t="inlineStr">
        <is>
          <t>Diverses réunions avec des fonctionnaires du gouvernement du Canada et des intervenants clés</t>
        </is>
      </c>
      <c r="H4780" s="1" t="n">
        <v>43522</v>
      </c>
      <c r="I4780" s="1" t="n">
        <v>43525</v>
      </c>
      <c r="J4780" t="inlineStr">
        <is>
          <t>Halifax, Nova Scotia</t>
        </is>
      </c>
      <c r="K4780" t="inlineStr">
        <is>
          <t>Halifax (Nouvelle-Écosse)</t>
        </is>
      </c>
      <c r="P4780" t="n">
        <v>230</v>
      </c>
      <c r="Q4780" t="n">
        <v>279.27</v>
      </c>
      <c r="R4780" t="n">
        <v>524.34</v>
      </c>
      <c r="S4780" t="n">
        <v>349.8</v>
      </c>
      <c r="T4780" t="n">
        <v>0</v>
      </c>
      <c r="U4780" t="n">
        <v>1383.41</v>
      </c>
      <c r="X4780" t="inlineStr">
        <is>
          <t>acoa-apeca</t>
        </is>
      </c>
      <c r="Y4780" t="inlineStr">
        <is>
          <t>Atlantic Canada Opportunities Agency | Agence de promotion économique du Canada atlantique</t>
        </is>
      </c>
    </row>
    <row r="4781">
      <c r="A4781" t="inlineStr">
        <is>
          <t>T-2019-Q4-00035</t>
        </is>
      </c>
      <c r="B4781" t="inlineStr">
        <is>
          <t>SLE</t>
        </is>
      </c>
      <c r="C4781" t="inlineStr">
        <is>
          <t>Vice-President, Nova Scotia</t>
        </is>
      </c>
      <c r="D4781" t="inlineStr">
        <is>
          <t>Vice-président, Nouvelle-Écosse</t>
        </is>
      </c>
      <c r="E4781" t="inlineStr">
        <is>
          <t>Chuck Maillet</t>
        </is>
      </c>
      <c r="F4781" t="inlineStr">
        <is>
          <t xml:space="preserve">Various meetings with Agency officials and clients </t>
        </is>
      </c>
      <c r="G4781" t="inlineStr">
        <is>
          <t>Diverses réunions avec des fonctionnaires de l'Agence et des clients</t>
        </is>
      </c>
      <c r="H4781" s="1" t="n">
        <v>43453</v>
      </c>
      <c r="I4781" s="1" t="n">
        <v>43454</v>
      </c>
      <c r="J4781" t="inlineStr">
        <is>
          <t>Sydney, Nova Scotia</t>
        </is>
      </c>
      <c r="K4781" t="inlineStr">
        <is>
          <t>Sydney (Nouvelle-Écosse)</t>
        </is>
      </c>
      <c r="P4781" t="n">
        <v>359.09</v>
      </c>
      <c r="Q4781" t="n">
        <v>65</v>
      </c>
      <c r="R4781" t="n">
        <v>134.9</v>
      </c>
      <c r="S4781" t="n">
        <v>144.55</v>
      </c>
      <c r="T4781" t="n">
        <v>0</v>
      </c>
      <c r="U4781" t="n">
        <v>703.54</v>
      </c>
      <c r="X4781" t="inlineStr">
        <is>
          <t>acoa-apeca</t>
        </is>
      </c>
      <c r="Y4781" t="inlineStr">
        <is>
          <t>Atlantic Canada Opportunities Agency | Agence de promotion économique du Canada atlantique</t>
        </is>
      </c>
    </row>
    <row r="4782">
      <c r="A4782" t="inlineStr">
        <is>
          <t>T-2020-Q2-00001</t>
        </is>
      </c>
      <c r="B4782" t="inlineStr">
        <is>
          <t>SLE</t>
        </is>
      </c>
      <c r="C4782" t="inlineStr">
        <is>
          <t>Senior Advisor (Energy)</t>
        </is>
      </c>
      <c r="D4782" t="inlineStr">
        <is>
          <t>Conseiller spécial (energie)</t>
        </is>
      </c>
      <c r="E4782" t="inlineStr">
        <is>
          <t>Andrew F. Noseworthy</t>
        </is>
      </c>
      <c r="F4782" t="inlineStr">
        <is>
          <t>Attend the Offshore Technology Conference in Houston, Texas</t>
        </is>
      </c>
      <c r="G4782" t="inlineStr">
        <is>
          <t>Assister à l'Offshore Technology Conference à Houston, au Texas</t>
        </is>
      </c>
      <c r="H4782" s="1" t="n">
        <v>43588</v>
      </c>
      <c r="I4782" s="1" t="n">
        <v>43596</v>
      </c>
      <c r="J4782" t="inlineStr">
        <is>
          <t>Houston, Texas</t>
        </is>
      </c>
      <c r="K4782" t="inlineStr">
        <is>
          <t>Houston, Texas</t>
        </is>
      </c>
      <c r="P4782" t="n">
        <v>1287.15</v>
      </c>
      <c r="Q4782" t="n">
        <v>485.85</v>
      </c>
      <c r="R4782" t="n">
        <v>2174.84</v>
      </c>
      <c r="S4782" t="n">
        <v>790.36</v>
      </c>
      <c r="T4782" t="n">
        <v>0</v>
      </c>
      <c r="U4782" t="n">
        <v>4738.2</v>
      </c>
      <c r="X4782" t="inlineStr">
        <is>
          <t>acoa-apeca</t>
        </is>
      </c>
      <c r="Y4782" t="inlineStr">
        <is>
          <t>Atlantic Canada Opportunities Agency | Agence de promotion économique du Canada atlantique</t>
        </is>
      </c>
    </row>
    <row r="4783">
      <c r="A4783" t="inlineStr">
        <is>
          <t>T-2019-Q4-00040</t>
        </is>
      </c>
      <c r="B4783" t="inlineStr">
        <is>
          <t>SLE</t>
        </is>
      </c>
      <c r="C4783" t="inlineStr">
        <is>
          <t>President</t>
        </is>
      </c>
      <c r="D4783" t="inlineStr">
        <is>
          <t>Président</t>
        </is>
      </c>
      <c r="E4783" t="inlineStr">
        <is>
          <t>Francis McGuire</t>
        </is>
      </c>
      <c r="F4783" t="inlineStr">
        <is>
          <t>Various meeting with officials from the government of Israel, Government of Canada officials and key stakeholders</t>
        </is>
      </c>
      <c r="G4783" t="inlineStr">
        <is>
          <t>Diverses réunions avec des fonctionnaires des gouvernements d'Israël et du Canada et avec des intervenants clés</t>
        </is>
      </c>
      <c r="H4783" s="1" t="n">
        <v>43488</v>
      </c>
      <c r="I4783" s="1" t="n">
        <v>43496</v>
      </c>
      <c r="J4783" t="inlineStr">
        <is>
          <t>Tel Aviv, Israel</t>
        </is>
      </c>
      <c r="K4783" t="inlineStr">
        <is>
          <t>Tel-Aviv (Israël)</t>
        </is>
      </c>
      <c r="P4783" t="n">
        <v>4279.2</v>
      </c>
      <c r="Q4783" t="n">
        <v>195.43</v>
      </c>
      <c r="R4783" t="n">
        <v>3664.89</v>
      </c>
      <c r="S4783" t="n">
        <v>1770.54</v>
      </c>
      <c r="T4783" t="n">
        <v>0</v>
      </c>
      <c r="U4783" t="n">
        <v>9910.059999999999</v>
      </c>
      <c r="X4783" t="inlineStr">
        <is>
          <t>acoa-apeca</t>
        </is>
      </c>
      <c r="Y4783" t="inlineStr">
        <is>
          <t>Atlantic Canada Opportunities Agency | Agence de promotion économique du Canada atlantique</t>
        </is>
      </c>
    </row>
    <row r="4784">
      <c r="A4784" t="inlineStr">
        <is>
          <t>T-2020-Q1-00070</t>
        </is>
      </c>
      <c r="B4784" t="inlineStr">
        <is>
          <t>SLE</t>
        </is>
      </c>
      <c r="C4784" t="inlineStr">
        <is>
          <t>Senior Advisor (Energy)</t>
        </is>
      </c>
      <c r="D4784" t="inlineStr">
        <is>
          <t>Conseiller spécial (energie)</t>
        </is>
      </c>
      <c r="E4784" t="inlineStr">
        <is>
          <t>Andrew F. Noseworthy</t>
        </is>
      </c>
      <c r="F4784" t="inlineStr">
        <is>
          <t>Industry trip to the United Kingdom and Norway - cities include London, Aberdeen, Bergen, Stord and Stavanger</t>
        </is>
      </c>
      <c r="G4784" t="inlineStr">
        <is>
          <t>Voyage de l'industrie au Royaume-Uni et en Norvège; villes visitées : Londres, Aberdeen, Bergen, Stord et Stavanger</t>
        </is>
      </c>
      <c r="H4784" s="1" t="n">
        <v>43617</v>
      </c>
      <c r="I4784" s="1" t="n">
        <v>43627</v>
      </c>
      <c r="J4784" t="inlineStr">
        <is>
          <t>Stavanger, Norway</t>
        </is>
      </c>
      <c r="K4784" t="inlineStr">
        <is>
          <t>Stavanger (Norvège)</t>
        </is>
      </c>
      <c r="P4784" t="n">
        <v>5049</v>
      </c>
      <c r="Q4784" t="n">
        <v>432</v>
      </c>
      <c r="R4784" t="n">
        <v>2186</v>
      </c>
      <c r="S4784" t="n">
        <v>883</v>
      </c>
      <c r="T4784" t="n">
        <v>0</v>
      </c>
      <c r="U4784" t="n">
        <v>8550</v>
      </c>
      <c r="X4784" t="inlineStr">
        <is>
          <t>acoa-apeca</t>
        </is>
      </c>
      <c r="Y4784" t="inlineStr">
        <is>
          <t>Atlantic Canada Opportunities Agency | Agence de promotion économique du Canada atlantique</t>
        </is>
      </c>
    </row>
    <row r="4785">
      <c r="A4785" t="inlineStr">
        <is>
          <t>T-2020-Q2-00004</t>
        </is>
      </c>
      <c r="B4785" t="inlineStr">
        <is>
          <t>SLE</t>
        </is>
      </c>
      <c r="C4785" t="inlineStr">
        <is>
          <t>Vice-President, Policy, Programs and Communications</t>
        </is>
      </c>
      <c r="D4785" t="inlineStr">
        <is>
          <t>Vice-président, Politiques et Programmes</t>
        </is>
      </c>
      <c r="E4785" t="inlineStr">
        <is>
          <t>Daryell Nowlan</t>
        </is>
      </c>
      <c r="F4785" t="inlineStr">
        <is>
          <t>Meetings with Government of Canada officials</t>
        </is>
      </c>
      <c r="G4785" t="inlineStr">
        <is>
          <t>Réunions avec des fonctionnaires du gouvernement du Canada</t>
        </is>
      </c>
      <c r="H4785" s="1" t="n">
        <v>43620</v>
      </c>
      <c r="I4785" s="1" t="n">
        <v>43621</v>
      </c>
      <c r="J4785" t="inlineStr">
        <is>
          <t>Halifax, Nova Scotia</t>
        </is>
      </c>
      <c r="K4785" t="inlineStr">
        <is>
          <t>Halifax (Nouvelle-Écosse)</t>
        </is>
      </c>
      <c r="P4785" t="n">
        <v>0</v>
      </c>
      <c r="Q4785" t="n">
        <v>296.55</v>
      </c>
      <c r="R4785" t="n">
        <v>221.7</v>
      </c>
      <c r="S4785" t="n">
        <v>55.1</v>
      </c>
      <c r="T4785" t="n">
        <v>0</v>
      </c>
      <c r="U4785" t="n">
        <v>573.35</v>
      </c>
      <c r="X4785" t="inlineStr">
        <is>
          <t>acoa-apeca</t>
        </is>
      </c>
      <c r="Y4785" t="inlineStr">
        <is>
          <t>Atlantic Canada Opportunities Agency | Agence de promotion économique du Canada atlantique</t>
        </is>
      </c>
    </row>
    <row r="4786">
      <c r="A4786" t="inlineStr">
        <is>
          <t>T-2020-Q2-00032</t>
        </is>
      </c>
      <c r="B4786" t="inlineStr">
        <is>
          <t>SLE</t>
        </is>
      </c>
      <c r="C4786" t="inlineStr">
        <is>
          <t>Vice-President, Policy, Programs and Communications</t>
        </is>
      </c>
      <c r="D4786" t="inlineStr">
        <is>
          <t>Vice-président, Politiques et Programmes</t>
        </is>
      </c>
      <c r="E4786" t="inlineStr">
        <is>
          <t>Daryell Nowlan</t>
        </is>
      </c>
      <c r="F4786" t="inlineStr">
        <is>
          <t>Meetings with Government of Canada officials</t>
        </is>
      </c>
      <c r="G4786" t="inlineStr">
        <is>
          <t>Réunions avec des fonctionnaires du gouvernement du Canada</t>
        </is>
      </c>
      <c r="H4786" s="1" t="n">
        <v>43641</v>
      </c>
      <c r="I4786" s="1" t="n">
        <v>43643</v>
      </c>
      <c r="J4786" t="inlineStr">
        <is>
          <t>Ottawa, Ontario</t>
        </is>
      </c>
      <c r="K4786" t="inlineStr">
        <is>
          <t>Ottawa (Ontario)</t>
        </is>
      </c>
      <c r="P4786" t="n">
        <v>726.8</v>
      </c>
      <c r="Q4786" t="n">
        <v>82.72</v>
      </c>
      <c r="R4786" t="n">
        <v>467.72</v>
      </c>
      <c r="S4786" t="n">
        <v>234</v>
      </c>
      <c r="T4786" t="n">
        <v>0</v>
      </c>
      <c r="U4786" t="n">
        <v>1511.24</v>
      </c>
      <c r="X4786" t="inlineStr">
        <is>
          <t>acoa-apeca</t>
        </is>
      </c>
      <c r="Y4786" t="inlineStr">
        <is>
          <t>Atlantic Canada Opportunities Agency | Agence de promotion économique du Canada atlantique</t>
        </is>
      </c>
    </row>
    <row r="4787">
      <c r="A4787" t="inlineStr">
        <is>
          <t>T-2020-Q2-00003</t>
        </is>
      </c>
      <c r="B4787" t="inlineStr">
        <is>
          <t>SLE</t>
        </is>
      </c>
      <c r="C4787" t="inlineStr">
        <is>
          <t>Vice-President, Policy, Programs and Communications</t>
        </is>
      </c>
      <c r="D4787" t="inlineStr">
        <is>
          <t>Vice-président, Politiques et Programmes</t>
        </is>
      </c>
      <c r="E4787" t="inlineStr">
        <is>
          <t>Daryell Nowlan</t>
        </is>
      </c>
      <c r="F4787" t="inlineStr">
        <is>
          <t>Meeting with Government of Canada officials</t>
        </is>
      </c>
      <c r="G4787" t="inlineStr">
        <is>
          <t>Réunion avec des fonctionnaires du gouvernement du Canada</t>
        </is>
      </c>
      <c r="H4787" s="1" t="n">
        <v>43628</v>
      </c>
      <c r="I4787" s="1" t="n">
        <v>43629</v>
      </c>
      <c r="J4787" t="inlineStr">
        <is>
          <t>Charlottetown, Prince Edward Island</t>
        </is>
      </c>
      <c r="K4787" t="inlineStr">
        <is>
          <t>Charlottetown (Île-du-Prince-Édouard)</t>
        </is>
      </c>
      <c r="P4787" t="n">
        <v>0</v>
      </c>
      <c r="Q4787" t="n">
        <v>0</v>
      </c>
      <c r="R4787" t="n">
        <v>236.9</v>
      </c>
      <c r="S4787" t="n">
        <v>105.75</v>
      </c>
      <c r="T4787" t="n">
        <v>0</v>
      </c>
      <c r="U4787" t="n">
        <v>342.65</v>
      </c>
      <c r="X4787" t="inlineStr">
        <is>
          <t>acoa-apeca</t>
        </is>
      </c>
      <c r="Y4787" t="inlineStr">
        <is>
          <t>Atlantic Canada Opportunities Agency | Agence de promotion économique du Canada atlantique</t>
        </is>
      </c>
    </row>
    <row r="4788">
      <c r="A4788" t="inlineStr">
        <is>
          <t>T-2020-Q2-00005</t>
        </is>
      </c>
      <c r="B4788" t="inlineStr">
        <is>
          <t>SLE</t>
        </is>
      </c>
      <c r="C4788" t="inlineStr">
        <is>
          <t>Vice-President, New Brunswick</t>
        </is>
      </c>
      <c r="D4788" t="inlineStr">
        <is>
          <t>Vice-président, Nouveau-Brunswick</t>
        </is>
      </c>
      <c r="E4788" t="inlineStr">
        <is>
          <t>Kent Estabrooks</t>
        </is>
      </c>
      <c r="F4788" t="inlineStr">
        <is>
          <t>Training and development</t>
        </is>
      </c>
      <c r="G4788" t="inlineStr">
        <is>
          <t>Formation et perfectionnement</t>
        </is>
      </c>
      <c r="H4788" s="1" t="n">
        <v>43618</v>
      </c>
      <c r="I4788" s="1" t="n">
        <v>43624</v>
      </c>
      <c r="J4788" t="inlineStr">
        <is>
          <t>Ottawa, Ontario</t>
        </is>
      </c>
      <c r="K4788" t="inlineStr">
        <is>
          <t>Ottawa (Ontario)</t>
        </is>
      </c>
      <c r="P4788" t="n">
        <v>841.8</v>
      </c>
      <c r="Q4788" t="n">
        <v>127.52</v>
      </c>
      <c r="R4788" t="n">
        <v>1403.16</v>
      </c>
      <c r="S4788" t="n">
        <v>565.7</v>
      </c>
      <c r="T4788" t="n">
        <v>0</v>
      </c>
      <c r="U4788" t="n">
        <v>2938.18</v>
      </c>
      <c r="X4788" t="inlineStr">
        <is>
          <t>acoa-apeca</t>
        </is>
      </c>
      <c r="Y4788" t="inlineStr">
        <is>
          <t>Atlantic Canada Opportunities Agency | Agence de promotion économique du Canada atlantique</t>
        </is>
      </c>
    </row>
    <row r="4789">
      <c r="A4789" t="inlineStr">
        <is>
          <t>T-2020-Q2-00010</t>
        </is>
      </c>
      <c r="B4789" t="inlineStr">
        <is>
          <t>SLE</t>
        </is>
      </c>
      <c r="C4789" t="inlineStr">
        <is>
          <t>Vice-President, New Brunswick</t>
        </is>
      </c>
      <c r="D4789" t="inlineStr">
        <is>
          <t>Vice-président, Nouveau-Brunswick</t>
        </is>
      </c>
      <c r="E4789" t="inlineStr">
        <is>
          <t>Kent Estabrooks</t>
        </is>
      </c>
      <c r="F4789" t="inlineStr">
        <is>
          <t>External stakeholders meeting</t>
        </is>
      </c>
      <c r="G4789" t="inlineStr">
        <is>
          <t>Réunion avec des intervenants externes</t>
        </is>
      </c>
      <c r="H4789" s="1" t="n">
        <v>43628</v>
      </c>
      <c r="I4789" s="1" t="n">
        <v>43629</v>
      </c>
      <c r="J4789" t="inlineStr">
        <is>
          <t>Shediac, New Brunswick</t>
        </is>
      </c>
      <c r="K4789" t="inlineStr">
        <is>
          <t>Shediac (Nouveau-Brunswick)</t>
        </is>
      </c>
      <c r="P4789" t="n">
        <v>0</v>
      </c>
      <c r="Q4789" t="n">
        <v>17.25</v>
      </c>
      <c r="R4789" t="n">
        <v>167.9</v>
      </c>
      <c r="S4789" t="n">
        <v>54.7</v>
      </c>
      <c r="T4789" t="n">
        <v>0</v>
      </c>
      <c r="U4789" t="n">
        <v>239.85</v>
      </c>
      <c r="X4789" t="inlineStr">
        <is>
          <t>acoa-apeca</t>
        </is>
      </c>
      <c r="Y4789" t="inlineStr">
        <is>
          <t>Atlantic Canada Opportunities Agency | Agence de promotion économique du Canada atlantique</t>
        </is>
      </c>
    </row>
    <row r="4790">
      <c r="A4790" t="inlineStr">
        <is>
          <t>T-2020-Q2-00013</t>
        </is>
      </c>
      <c r="B4790" t="inlineStr">
        <is>
          <t>SLE</t>
        </is>
      </c>
      <c r="C4790" t="inlineStr">
        <is>
          <t>Vice-President, New Brunswick</t>
        </is>
      </c>
      <c r="D4790" t="inlineStr">
        <is>
          <t>Vice-président, Nouveau-Brunswick</t>
        </is>
      </c>
      <c r="E4790" t="inlineStr">
        <is>
          <t>Kent Estabrooks</t>
        </is>
      </c>
      <c r="F4790" t="inlineStr">
        <is>
          <t>External stakeholders meeting</t>
        </is>
      </c>
      <c r="G4790" t="inlineStr">
        <is>
          <t>Réunion avec des intervenants externes</t>
        </is>
      </c>
      <c r="H4790" s="1" t="n">
        <v>43636</v>
      </c>
      <c r="I4790" s="1" t="n">
        <v>43637</v>
      </c>
      <c r="J4790" t="inlineStr">
        <is>
          <t>Halifax, Nova Scotia</t>
        </is>
      </c>
      <c r="K4790" t="inlineStr">
        <is>
          <t>Halifax (Nouvelle-Écosse)</t>
        </is>
      </c>
      <c r="P4790" t="n">
        <v>726.8</v>
      </c>
      <c r="Q4790" t="n">
        <v>107.48</v>
      </c>
      <c r="R4790" t="n">
        <v>233.43</v>
      </c>
      <c r="S4790" t="n">
        <v>125.45</v>
      </c>
      <c r="T4790" t="n">
        <v>0</v>
      </c>
      <c r="U4790" t="n">
        <v>1193.16</v>
      </c>
      <c r="X4790" t="inlineStr">
        <is>
          <t>acoa-apeca</t>
        </is>
      </c>
      <c r="Y4790" t="inlineStr">
        <is>
          <t>Atlantic Canada Opportunities Agency | Agence de promotion économique du Canada atlantique</t>
        </is>
      </c>
    </row>
    <row r="4791">
      <c r="A4791" t="inlineStr">
        <is>
          <t>T-2020-Q2-00016</t>
        </is>
      </c>
      <c r="B4791" t="inlineStr">
        <is>
          <t>SLE</t>
        </is>
      </c>
      <c r="C4791" t="inlineStr">
        <is>
          <t>Vice-President, New Brunswick</t>
        </is>
      </c>
      <c r="D4791" t="inlineStr">
        <is>
          <t>Vice-président, Nouveau-Brunswick</t>
        </is>
      </c>
      <c r="E4791" t="inlineStr">
        <is>
          <t>Kent Estabrooks</t>
        </is>
      </c>
      <c r="F4791" t="inlineStr">
        <is>
          <t>Meeting with Agency officials and meetings with external stakeholders</t>
        </is>
      </c>
      <c r="G4791" t="inlineStr">
        <is>
          <t>Réunion avec des fonctionnaires de l'Agence et réunions avec des intervenants externes</t>
        </is>
      </c>
      <c r="H4791" s="1" t="n">
        <v>43640</v>
      </c>
      <c r="I4791" s="1" t="n">
        <v>43643</v>
      </c>
      <c r="J4791" t="inlineStr">
        <is>
          <t>Shediac, New Brunswick and Toronto, Ontario</t>
        </is>
      </c>
      <c r="K4791" t="inlineStr">
        <is>
          <t>Shediac (Nouveau-Brunswick) et Toronto (Ontario)</t>
        </is>
      </c>
      <c r="P4791" t="n">
        <v>726.8</v>
      </c>
      <c r="Q4791" t="n">
        <v>124.09</v>
      </c>
      <c r="R4791" t="n">
        <v>580.01</v>
      </c>
      <c r="S4791" t="n">
        <v>372.7</v>
      </c>
      <c r="T4791" t="n">
        <v>0</v>
      </c>
      <c r="U4791" t="n">
        <v>1803.6</v>
      </c>
      <c r="X4791" t="inlineStr">
        <is>
          <t>acoa-apeca</t>
        </is>
      </c>
      <c r="Y4791" t="inlineStr">
        <is>
          <t>Atlantic Canada Opportunities Agency | Agence de promotion économique du Canada atlantique</t>
        </is>
      </c>
    </row>
    <row r="4792">
      <c r="A4792" t="inlineStr">
        <is>
          <t>T-2020-Q2-00007</t>
        </is>
      </c>
      <c r="B4792" t="inlineStr">
        <is>
          <t>SLE</t>
        </is>
      </c>
      <c r="C4792" t="inlineStr">
        <is>
          <t>Vice-President, Prince Edward Island</t>
        </is>
      </c>
      <c r="D4792" t="inlineStr">
        <is>
          <t>Vice-président, Île-du-Prince-Édouard</t>
        </is>
      </c>
      <c r="E4792" t="inlineStr">
        <is>
          <t>Patrick Dorsey</t>
        </is>
      </c>
      <c r="F4792" t="inlineStr">
        <is>
          <t>Meetings with Agency officials and provincial government officials</t>
        </is>
      </c>
      <c r="G4792" t="inlineStr">
        <is>
          <t>Réunions avec des fonctionnaires de l'Agence et du gouvernement provincial</t>
        </is>
      </c>
      <c r="H4792" s="1" t="n">
        <v>43627</v>
      </c>
      <c r="I4792" s="1" t="n">
        <v>43628</v>
      </c>
      <c r="J4792" t="inlineStr">
        <is>
          <t>Fredericton, New Brunswick</t>
        </is>
      </c>
      <c r="K4792" t="inlineStr">
        <is>
          <t>Fredericton (Nouveau-Brunswick)</t>
        </is>
      </c>
      <c r="P4792" t="n">
        <v>0</v>
      </c>
      <c r="Q4792" t="n">
        <v>24.3</v>
      </c>
      <c r="R4792" t="n">
        <v>217.35</v>
      </c>
      <c r="S4792" t="n">
        <v>176.5</v>
      </c>
      <c r="T4792" t="n">
        <v>0</v>
      </c>
      <c r="U4792" t="n">
        <v>418.15</v>
      </c>
      <c r="X4792" t="inlineStr">
        <is>
          <t>acoa-apeca</t>
        </is>
      </c>
      <c r="Y4792" t="inlineStr">
        <is>
          <t>Atlantic Canada Opportunities Agency | Agence de promotion économique du Canada atlantique</t>
        </is>
      </c>
    </row>
    <row r="4793">
      <c r="A4793" t="inlineStr">
        <is>
          <t>T-2020-Q2-00011</t>
        </is>
      </c>
      <c r="B4793" t="inlineStr">
        <is>
          <t>SLE</t>
        </is>
      </c>
      <c r="C4793" t="inlineStr">
        <is>
          <t>Vice-President, Prince Edward Island</t>
        </is>
      </c>
      <c r="D4793" t="inlineStr">
        <is>
          <t>Vice-président, Île-du-Prince-Édouard</t>
        </is>
      </c>
      <c r="E4793" t="inlineStr">
        <is>
          <t>Patrick Dorsey</t>
        </is>
      </c>
      <c r="F4793" t="inlineStr">
        <is>
          <t>Meetings with key stakeholders on tourism</t>
        </is>
      </c>
      <c r="G4793" t="inlineStr">
        <is>
          <t>Réunions avec des intervenants clés en tourisme</t>
        </is>
      </c>
      <c r="H4793" s="1" t="n">
        <v>43633</v>
      </c>
      <c r="I4793" s="1" t="n">
        <v>43634</v>
      </c>
      <c r="J4793" t="inlineStr">
        <is>
          <t>Halifax, Nova Scotia</t>
        </is>
      </c>
      <c r="K4793" t="inlineStr">
        <is>
          <t>Halifax (Nouvelle-Écosse)</t>
        </is>
      </c>
      <c r="P4793" t="n">
        <v>0</v>
      </c>
      <c r="Q4793" t="n">
        <v>28.75</v>
      </c>
      <c r="R4793" t="n">
        <v>206.45</v>
      </c>
      <c r="S4793" t="n">
        <v>145.95</v>
      </c>
      <c r="T4793" t="n">
        <v>0</v>
      </c>
      <c r="U4793" t="n">
        <v>381.15</v>
      </c>
      <c r="X4793" t="inlineStr">
        <is>
          <t>acoa-apeca</t>
        </is>
      </c>
      <c r="Y4793" t="inlineStr">
        <is>
          <t>Atlantic Canada Opportunities Agency | Agence de promotion économique du Canada atlantique</t>
        </is>
      </c>
    </row>
    <row r="4794">
      <c r="A4794" t="inlineStr">
        <is>
          <t>T-2020-Q2-00028</t>
        </is>
      </c>
      <c r="B4794" t="inlineStr">
        <is>
          <t>SLE</t>
        </is>
      </c>
      <c r="C4794" t="inlineStr">
        <is>
          <t>Vice-President, Nova Scotia</t>
        </is>
      </c>
      <c r="D4794" t="inlineStr">
        <is>
          <t>Vice-président, Nouvelle-Écosse</t>
        </is>
      </c>
      <c r="E4794" t="inlineStr">
        <is>
          <t>Chuck Maillet</t>
        </is>
      </c>
      <c r="F4794" t="inlineStr">
        <is>
          <t xml:space="preserve">Attended the release of the Rural Innovation Strategy </t>
        </is>
      </c>
      <c r="G4794" t="inlineStr">
        <is>
          <t>Assister au lancement de la stratégie d'innovation rurale</t>
        </is>
      </c>
      <c r="H4794" s="1" t="n">
        <v>43643</v>
      </c>
      <c r="I4794" s="1" t="n">
        <v>43643</v>
      </c>
      <c r="J4794" t="inlineStr">
        <is>
          <t xml:space="preserve">New Ross, Nova Scotia </t>
        </is>
      </c>
      <c r="K4794" t="inlineStr">
        <is>
          <t>New Ross (Nouvelle-Écosse)</t>
        </is>
      </c>
      <c r="P4794" t="n">
        <v>0</v>
      </c>
      <c r="Q4794" t="n">
        <v>95.88</v>
      </c>
      <c r="R4794" t="n">
        <v>0</v>
      </c>
      <c r="S4794" t="n">
        <v>0</v>
      </c>
      <c r="T4794" t="n">
        <v>0</v>
      </c>
      <c r="U4794" t="n">
        <v>95.88</v>
      </c>
      <c r="X4794" t="inlineStr">
        <is>
          <t>acoa-apeca</t>
        </is>
      </c>
      <c r="Y4794" t="inlineStr">
        <is>
          <t>Atlantic Canada Opportunities Agency | Agence de promotion économique du Canada atlantique</t>
        </is>
      </c>
    </row>
    <row r="4795">
      <c r="A4795" t="inlineStr">
        <is>
          <t>T-2020-Q2-00029</t>
        </is>
      </c>
      <c r="B4795" t="inlineStr">
        <is>
          <t>SLE</t>
        </is>
      </c>
      <c r="C4795" t="inlineStr">
        <is>
          <t>Vice-President, Nova Scotia</t>
        </is>
      </c>
      <c r="D4795" t="inlineStr">
        <is>
          <t>Vice-président, Nouvelle-Écosse</t>
        </is>
      </c>
      <c r="E4795" t="inlineStr">
        <is>
          <t>Chuck Maillet</t>
        </is>
      </c>
      <c r="F4795" t="inlineStr">
        <is>
          <t>Various meetings with ACOA staff and client/stakeholder visits in Sydney and Inverness, NS; 
Finance Canada representatives - various meetings with clients/stakeholders</t>
        </is>
      </c>
      <c r="G4795" t="inlineStr">
        <is>
          <t>Diverses réunions avec des employés de l'APECA et visites de clients/intervenants à Sydney et Inverness (N.-É.); 
représentants de Finances Canada - réunions avec des clients/intervenants</t>
        </is>
      </c>
      <c r="H4795" s="1" t="n">
        <v>43634</v>
      </c>
      <c r="I4795" s="1" t="n">
        <v>43636</v>
      </c>
      <c r="J4795" t="inlineStr">
        <is>
          <t>Sydney and Lunenburg, Nova Scotia</t>
        </is>
      </c>
      <c r="K4795" t="inlineStr">
        <is>
          <t>Sydney et Lunenburg (Nouvelle-Écosse)</t>
        </is>
      </c>
      <c r="P4795" t="n">
        <v>720.37</v>
      </c>
      <c r="Q4795" t="n">
        <v>0</v>
      </c>
      <c r="R4795" t="n">
        <v>176.5</v>
      </c>
      <c r="S4795" t="n">
        <v>0</v>
      </c>
      <c r="T4795" t="n">
        <v>0</v>
      </c>
      <c r="U4795" t="n">
        <v>896.87</v>
      </c>
      <c r="X4795" t="inlineStr">
        <is>
          <t>acoa-apeca</t>
        </is>
      </c>
      <c r="Y4795" t="inlineStr">
        <is>
          <t>Atlantic Canada Opportunities Agency | Agence de promotion économique du Canada atlantique</t>
        </is>
      </c>
    </row>
    <row r="4796">
      <c r="A4796" t="inlineStr">
        <is>
          <t>T-2020-Q2-00009</t>
        </is>
      </c>
      <c r="B4796" t="inlineStr">
        <is>
          <t>SLE</t>
        </is>
      </c>
      <c r="C4796" t="inlineStr">
        <is>
          <t>President</t>
        </is>
      </c>
      <c r="D4796" t="inlineStr">
        <is>
          <t>Président</t>
        </is>
      </c>
      <c r="E4796" t="inlineStr">
        <is>
          <t>Francis McGuire</t>
        </is>
      </c>
      <c r="F4796" t="inlineStr">
        <is>
          <t>Meetings with Government of Canada officials and key stakeholders</t>
        </is>
      </c>
      <c r="G4796" t="inlineStr">
        <is>
          <t>Réunions avec des fonctionnaires du gouvernement du Canada et des intervenants clés</t>
        </is>
      </c>
      <c r="H4796" s="1" t="n">
        <v>43619</v>
      </c>
      <c r="I4796" s="1" t="n">
        <v>43621</v>
      </c>
      <c r="J4796" t="inlineStr">
        <is>
          <t>St. John's, Newfoundland and Labrador and Halifax, Nova Scotia</t>
        </is>
      </c>
      <c r="K4796" t="inlineStr">
        <is>
          <t>St. John's (Terre-Neuve-et-Labrador) et Halifax (Nouvelle-Écosse)</t>
        </is>
      </c>
      <c r="P4796" t="n">
        <v>700.64</v>
      </c>
      <c r="Q4796" t="n">
        <v>286.1</v>
      </c>
      <c r="R4796" t="n">
        <v>620.01</v>
      </c>
      <c r="S4796" t="n">
        <v>244.85</v>
      </c>
      <c r="T4796" t="n">
        <v>72.75</v>
      </c>
      <c r="U4796" t="n">
        <v>1924.35</v>
      </c>
      <c r="X4796" t="inlineStr">
        <is>
          <t>acoa-apeca</t>
        </is>
      </c>
      <c r="Y4796" t="inlineStr">
        <is>
          <t>Atlantic Canada Opportunities Agency | Agence de promotion économique du Canada atlantique</t>
        </is>
      </c>
    </row>
    <row r="4797">
      <c r="A4797" t="inlineStr">
        <is>
          <t>T-2020-Q1-00068</t>
        </is>
      </c>
      <c r="B4797" t="inlineStr">
        <is>
          <t>SLE</t>
        </is>
      </c>
      <c r="C4797" t="inlineStr">
        <is>
          <t>President</t>
        </is>
      </c>
      <c r="D4797" t="inlineStr">
        <is>
          <t>Président</t>
        </is>
      </c>
      <c r="E4797" t="inlineStr">
        <is>
          <t>Francis McGuire</t>
        </is>
      </c>
      <c r="F4797" t="inlineStr">
        <is>
          <t>Meetings with Government of Canada officials and key stakeholders</t>
        </is>
      </c>
      <c r="G4797" t="inlineStr">
        <is>
          <t>Réunions avec des fonctionnaires du gouvernement du Canada et des intervenants clés</t>
        </is>
      </c>
      <c r="H4797" s="1" t="n">
        <v>43614</v>
      </c>
      <c r="I4797" s="1" t="n">
        <v>43615</v>
      </c>
      <c r="J4797" t="inlineStr">
        <is>
          <t>Halifax, Nova Scotia</t>
        </is>
      </c>
      <c r="K4797" t="inlineStr">
        <is>
          <t>Halifax (Nouvelle-Écosse)</t>
        </is>
      </c>
      <c r="P4797" t="n">
        <v>0</v>
      </c>
      <c r="Q4797" t="n">
        <v>264.7</v>
      </c>
      <c r="R4797" t="n">
        <v>328.44</v>
      </c>
      <c r="S4797" t="n">
        <v>75.2</v>
      </c>
      <c r="T4797" t="n">
        <v>0</v>
      </c>
      <c r="U4797" t="n">
        <v>668.34</v>
      </c>
      <c r="X4797" t="inlineStr">
        <is>
          <t>acoa-apeca</t>
        </is>
      </c>
      <c r="Y4797" t="inlineStr">
        <is>
          <t>Atlantic Canada Opportunities Agency | Agence de promotion économique du Canada atlantique</t>
        </is>
      </c>
    </row>
    <row r="4798">
      <c r="A4798" t="inlineStr">
        <is>
          <t>T-2020-Q1-00067</t>
        </is>
      </c>
      <c r="B4798" t="inlineStr">
        <is>
          <t>SLE</t>
        </is>
      </c>
      <c r="C4798" t="inlineStr">
        <is>
          <t>President</t>
        </is>
      </c>
      <c r="D4798" t="inlineStr">
        <is>
          <t>Président</t>
        </is>
      </c>
      <c r="E4798" t="inlineStr">
        <is>
          <t>Francis McGuire</t>
        </is>
      </c>
      <c r="F4798" t="inlineStr">
        <is>
          <t>Event with provincial government officials and key stakeholders</t>
        </is>
      </c>
      <c r="G4798" t="inlineStr">
        <is>
          <t>Évènement avec des fonctionnaires du gouvernement provincial et des intervenants clés</t>
        </is>
      </c>
      <c r="H4798" s="1" t="n">
        <v>43609</v>
      </c>
      <c r="I4798" s="1" t="n">
        <v>43610</v>
      </c>
      <c r="J4798" t="inlineStr">
        <is>
          <t>Wolfville, Nova Scotia</t>
        </is>
      </c>
      <c r="K4798" t="inlineStr">
        <is>
          <t>Wolfville (Nouvelle-Écosse)</t>
        </is>
      </c>
      <c r="P4798" t="n">
        <v>0</v>
      </c>
      <c r="Q4798" t="n">
        <v>343.78</v>
      </c>
      <c r="R4798" t="n">
        <v>146.05</v>
      </c>
      <c r="S4798" t="n">
        <v>145.95</v>
      </c>
      <c r="T4798" t="n">
        <v>10</v>
      </c>
      <c r="U4798" t="n">
        <v>645.78</v>
      </c>
      <c r="X4798" t="inlineStr">
        <is>
          <t>acoa-apeca</t>
        </is>
      </c>
      <c r="Y4798" t="inlineStr">
        <is>
          <t>Atlantic Canada Opportunities Agency | Agence de promotion économique du Canada atlantique</t>
        </is>
      </c>
    </row>
    <row r="4799">
      <c r="A4799" t="inlineStr">
        <is>
          <t>T-2020-Q1-00069</t>
        </is>
      </c>
      <c r="B4799" t="inlineStr">
        <is>
          <t>SLE</t>
        </is>
      </c>
      <c r="C4799" t="inlineStr">
        <is>
          <t>President</t>
        </is>
      </c>
      <c r="D4799" t="inlineStr">
        <is>
          <t>Président</t>
        </is>
      </c>
      <c r="E4799" t="inlineStr">
        <is>
          <t>Francis McGuire</t>
        </is>
      </c>
      <c r="F4799" t="inlineStr">
        <is>
          <t>Government of USA event and key stakeholder meeting</t>
        </is>
      </c>
      <c r="G4799" t="inlineStr">
        <is>
          <t>Évènement du gouvernement des États-Unis et réunion avec des intervenants clés</t>
        </is>
      </c>
      <c r="H4799" s="1" t="n">
        <v>43616</v>
      </c>
      <c r="I4799" s="1" t="n">
        <v>43617</v>
      </c>
      <c r="J4799" t="inlineStr">
        <is>
          <t>Ottawa, Ontario</t>
        </is>
      </c>
      <c r="K4799" t="inlineStr">
        <is>
          <t>Ottawa (Ontario)</t>
        </is>
      </c>
      <c r="P4799" t="n">
        <v>542.62</v>
      </c>
      <c r="Q4799" t="n">
        <v>68.84</v>
      </c>
      <c r="R4799" t="n">
        <v>225.64</v>
      </c>
      <c r="S4799" t="n">
        <v>125.85</v>
      </c>
      <c r="T4799" t="n">
        <v>0</v>
      </c>
      <c r="U4799" t="n">
        <v>962.95</v>
      </c>
      <c r="X4799" t="inlineStr">
        <is>
          <t>acoa-apeca</t>
        </is>
      </c>
      <c r="Y4799" t="inlineStr">
        <is>
          <t>Atlantic Canada Opportunities Agency | Agence de promotion économique du Canada atlantique</t>
        </is>
      </c>
    </row>
    <row r="4800">
      <c r="A4800" t="inlineStr">
        <is>
          <t>T-2020-Q2-00008</t>
        </is>
      </c>
      <c r="B4800" t="inlineStr">
        <is>
          <t>SLE</t>
        </is>
      </c>
      <c r="C4800" t="inlineStr">
        <is>
          <t>Vice-President, Finance and Corporate Services</t>
        </is>
      </c>
      <c r="D4800" t="inlineStr">
        <is>
          <t>Vice-président, Finance et Services corporatifs</t>
        </is>
      </c>
      <c r="E4800" t="inlineStr">
        <is>
          <t>Stephane Lagace</t>
        </is>
      </c>
      <c r="F4800" t="inlineStr">
        <is>
          <t>Meetings with Government of Canada officials</t>
        </is>
      </c>
      <c r="G4800" t="inlineStr">
        <is>
          <t>Réunions avec des fonctionnaires du gouvernement du Canada</t>
        </is>
      </c>
      <c r="H4800" s="1" t="n">
        <v>43633</v>
      </c>
      <c r="I4800" s="1" t="n">
        <v>43634</v>
      </c>
      <c r="J4800" t="inlineStr">
        <is>
          <t>Ottawa, Ontario</t>
        </is>
      </c>
      <c r="K4800" t="inlineStr">
        <is>
          <t>Ottawa (Ontario)</t>
        </is>
      </c>
      <c r="P4800" t="n">
        <v>773.39</v>
      </c>
      <c r="Q4800" t="n">
        <v>62.61</v>
      </c>
      <c r="R4800" t="n">
        <v>269.12</v>
      </c>
      <c r="S4800" t="n">
        <v>166.45</v>
      </c>
      <c r="T4800" t="n">
        <v>32</v>
      </c>
      <c r="U4800" t="n">
        <v>1303.57</v>
      </c>
      <c r="X4800" t="inlineStr">
        <is>
          <t>acoa-apeca</t>
        </is>
      </c>
      <c r="Y4800" t="inlineStr">
        <is>
          <t>Atlantic Canada Opportunities Agency | Agence de promotion économique du Canada atlantique</t>
        </is>
      </c>
    </row>
    <row r="4801">
      <c r="A4801" t="inlineStr">
        <is>
          <t>T-2020-Q2-00012</t>
        </is>
      </c>
      <c r="B4801" t="inlineStr">
        <is>
          <t>SLE</t>
        </is>
      </c>
      <c r="C4801" t="inlineStr">
        <is>
          <t>Vice-President, Finance and Corporate Services</t>
        </is>
      </c>
      <c r="D4801" t="inlineStr">
        <is>
          <t>Vice-président, Finance et Services corporatifs</t>
        </is>
      </c>
      <c r="E4801" t="inlineStr">
        <is>
          <t>Stephane Lagace</t>
        </is>
      </c>
      <c r="F4801" t="inlineStr">
        <is>
          <t>Meeting with Government of Canada officials</t>
        </is>
      </c>
      <c r="G4801" t="inlineStr">
        <is>
          <t xml:space="preserve">Réunions avec des fonctionnaires du gouvernement du Canada </t>
        </is>
      </c>
      <c r="H4801" s="1" t="n">
        <v>43642</v>
      </c>
      <c r="I4801" s="1" t="n">
        <v>43643</v>
      </c>
      <c r="J4801" t="inlineStr">
        <is>
          <t>Ottawa, Ontario</t>
        </is>
      </c>
      <c r="K4801" t="inlineStr">
        <is>
          <t>Ottawa (Ontario)</t>
        </is>
      </c>
      <c r="P4801" t="n">
        <v>1012.37</v>
      </c>
      <c r="Q4801" t="n">
        <v>72.98</v>
      </c>
      <c r="R4801" t="n">
        <v>235.04</v>
      </c>
      <c r="S4801" t="n">
        <v>196.6</v>
      </c>
      <c r="T4801" t="n">
        <v>32</v>
      </c>
      <c r="U4801" t="n">
        <v>1548.99</v>
      </c>
      <c r="X4801" t="inlineStr">
        <is>
          <t>acoa-apeca</t>
        </is>
      </c>
      <c r="Y4801" t="inlineStr">
        <is>
          <t>Atlantic Canada Opportunities Agency | Agence de promotion économique du Canada atlantique</t>
        </is>
      </c>
    </row>
    <row r="4802">
      <c r="A4802" t="inlineStr">
        <is>
          <t>T-2020-Q2-00017</t>
        </is>
      </c>
      <c r="B4802" t="inlineStr">
        <is>
          <t>SLE</t>
        </is>
      </c>
      <c r="C4802" t="inlineStr">
        <is>
          <t>Acting Vice-President, Newfoundland and Labrador</t>
        </is>
      </c>
      <c r="D4802" t="inlineStr">
        <is>
          <t>Vice-président par intérim, Terre-Neuve et Labrador</t>
        </is>
      </c>
      <c r="E4802" t="inlineStr">
        <is>
          <t>Bill Grandy</t>
        </is>
      </c>
      <c r="F4802" t="inlineStr">
        <is>
          <t>Assignment in NL Regional Office</t>
        </is>
      </c>
      <c r="G4802" t="inlineStr">
        <is>
          <t>Affectation au bureau régional de T.-N.-L.</t>
        </is>
      </c>
      <c r="H4802" s="1" t="n">
        <v>43640</v>
      </c>
      <c r="I4802" s="1" t="n">
        <v>43644</v>
      </c>
      <c r="J4802" t="inlineStr">
        <is>
          <t>St. John's, Newfoundland and Labrador</t>
        </is>
      </c>
      <c r="K4802" t="inlineStr">
        <is>
          <t>St. John's (Terre-Neuve-et-Labrador)</t>
        </is>
      </c>
      <c r="P4802" t="n">
        <v>1148.22</v>
      </c>
      <c r="Q4802" t="n">
        <v>304.11</v>
      </c>
      <c r="R4802" t="n">
        <v>1525.74</v>
      </c>
      <c r="S4802" t="n">
        <v>471.6</v>
      </c>
      <c r="T4802" t="n">
        <v>0</v>
      </c>
      <c r="U4802" t="n">
        <v>3449.67</v>
      </c>
      <c r="X4802" t="inlineStr">
        <is>
          <t>acoa-apeca</t>
        </is>
      </c>
      <c r="Y4802" t="inlineStr">
        <is>
          <t>Atlantic Canada Opportunities Agency | Agence de promotion économique du Canada atlantique</t>
        </is>
      </c>
    </row>
    <row r="4803">
      <c r="A4803" t="inlineStr">
        <is>
          <t>T-2020-Q1-00002</t>
        </is>
      </c>
      <c r="B4803" t="inlineStr">
        <is>
          <t>SLE</t>
        </is>
      </c>
      <c r="C4803" t="inlineStr">
        <is>
          <t>Vice-President, Policy, Programs and Communications</t>
        </is>
      </c>
      <c r="D4803" t="inlineStr">
        <is>
          <t>Vice-président, Politiques et Programmes</t>
        </is>
      </c>
      <c r="E4803" t="inlineStr">
        <is>
          <t>Daryell Nowlan</t>
        </is>
      </c>
      <c r="F4803" t="inlineStr">
        <is>
          <t>Meetings with Government of Canada officials</t>
        </is>
      </c>
      <c r="G4803" t="inlineStr">
        <is>
          <t>Réunions avec des fonctionnaires du gouvernement du Canada</t>
        </is>
      </c>
      <c r="H4803" s="1" t="n">
        <v>43530</v>
      </c>
      <c r="I4803" s="1" t="n">
        <v>43531</v>
      </c>
      <c r="J4803" t="inlineStr">
        <is>
          <t>Ottawa, Ontario</t>
        </is>
      </c>
      <c r="K4803" t="inlineStr">
        <is>
          <t>Ottawa (Ontario)</t>
        </is>
      </c>
      <c r="P4803" t="n">
        <v>998.77</v>
      </c>
      <c r="Q4803" t="n">
        <v>93.65000000000001</v>
      </c>
      <c r="R4803" t="n">
        <v>222.11</v>
      </c>
      <c r="S4803" t="n">
        <v>174.3</v>
      </c>
      <c r="T4803" t="n">
        <v>0</v>
      </c>
      <c r="U4803" t="n">
        <v>1488.83</v>
      </c>
      <c r="X4803" t="inlineStr">
        <is>
          <t>acoa-apeca</t>
        </is>
      </c>
      <c r="Y4803" t="inlineStr">
        <is>
          <t>Atlantic Canada Opportunities Agency | Agence de promotion économique du Canada atlantique</t>
        </is>
      </c>
    </row>
    <row r="4804">
      <c r="A4804" t="inlineStr">
        <is>
          <t>T-2020-Q1-00005</t>
        </is>
      </c>
      <c r="B4804" t="inlineStr">
        <is>
          <t>SLE</t>
        </is>
      </c>
      <c r="C4804" t="inlineStr">
        <is>
          <t>Vice-President, Policy, Programs and Communications</t>
        </is>
      </c>
      <c r="D4804" t="inlineStr">
        <is>
          <t>Vice-président, Politiques et Programmes</t>
        </is>
      </c>
      <c r="E4804" t="inlineStr">
        <is>
          <t>Daryell Nowlan</t>
        </is>
      </c>
      <c r="F4804" t="inlineStr">
        <is>
          <t>Meetings with Government of Canada officials</t>
        </is>
      </c>
      <c r="G4804" t="inlineStr">
        <is>
          <t>Réunions avec des fonctionnaires du gouvernement du Canada</t>
        </is>
      </c>
      <c r="H4804" s="1" t="n">
        <v>43537</v>
      </c>
      <c r="I4804" s="1" t="n">
        <v>43538</v>
      </c>
      <c r="J4804" t="inlineStr">
        <is>
          <t>Halifax, Nova Scotia</t>
        </is>
      </c>
      <c r="K4804" t="inlineStr">
        <is>
          <t>Halifax (Nouvelle-Écosse)</t>
        </is>
      </c>
      <c r="P4804" t="n">
        <v>0</v>
      </c>
      <c r="Q4804" t="n">
        <v>0</v>
      </c>
      <c r="R4804" t="n">
        <v>205.28</v>
      </c>
      <c r="S4804" t="n">
        <v>124.7</v>
      </c>
      <c r="T4804" t="n">
        <v>0</v>
      </c>
      <c r="U4804" t="n">
        <v>329.98</v>
      </c>
      <c r="X4804" t="inlineStr">
        <is>
          <t>acoa-apeca</t>
        </is>
      </c>
      <c r="Y4804" t="inlineStr">
        <is>
          <t>Atlantic Canada Opportunities Agency | Agence de promotion économique du Canada atlantique</t>
        </is>
      </c>
    </row>
    <row r="4805">
      <c r="A4805" t="inlineStr">
        <is>
          <t>T-2020-Q1-00004</t>
        </is>
      </c>
      <c r="B4805" t="inlineStr">
        <is>
          <t>SLE</t>
        </is>
      </c>
      <c r="C4805" t="inlineStr">
        <is>
          <t>Vice-President, Prince Edward Island</t>
        </is>
      </c>
      <c r="D4805" t="inlineStr">
        <is>
          <t>Vice-président, Île-du-Prince-Édouard</t>
        </is>
      </c>
      <c r="E4805" t="inlineStr">
        <is>
          <t>Patrick Dorsey</t>
        </is>
      </c>
      <c r="F4805" t="inlineStr">
        <is>
          <t xml:space="preserve">Meetings with Agency officials </t>
        </is>
      </c>
      <c r="G4805" t="inlineStr">
        <is>
          <t>Réunions avec des fonctionnaires de l'Agence</t>
        </is>
      </c>
      <c r="H4805" s="1" t="n">
        <v>43537</v>
      </c>
      <c r="I4805" s="1" t="n">
        <v>43538</v>
      </c>
      <c r="J4805" t="inlineStr">
        <is>
          <t>Halifax, Nova Scotia</t>
        </is>
      </c>
      <c r="K4805" t="inlineStr">
        <is>
          <t>Halifax (Nouvelle-Écosse)</t>
        </is>
      </c>
      <c r="P4805" t="n">
        <v>0</v>
      </c>
      <c r="Q4805" t="n">
        <v>86.5</v>
      </c>
      <c r="R4805" t="n">
        <v>195.89</v>
      </c>
      <c r="S4805" t="n">
        <v>144.55</v>
      </c>
      <c r="T4805" t="n">
        <v>0</v>
      </c>
      <c r="U4805" t="n">
        <v>426.94</v>
      </c>
      <c r="X4805" t="inlineStr">
        <is>
          <t>acoa-apeca</t>
        </is>
      </c>
      <c r="Y4805" t="inlineStr">
        <is>
          <t>Atlantic Canada Opportunities Agency | Agence de promotion économique du Canada atlantique</t>
        </is>
      </c>
    </row>
    <row r="4806">
      <c r="A4806" t="inlineStr">
        <is>
          <t>T-2020-Q2-00014</t>
        </is>
      </c>
      <c r="B4806" t="inlineStr">
        <is>
          <t>SLE</t>
        </is>
      </c>
      <c r="C4806" t="inlineStr">
        <is>
          <t>Vice-President, New Brunswick</t>
        </is>
      </c>
      <c r="D4806" t="inlineStr">
        <is>
          <t>Vice-président, Nouveau-Brunswick</t>
        </is>
      </c>
      <c r="E4806" t="inlineStr">
        <is>
          <t>Kent Estabrooks</t>
        </is>
      </c>
      <c r="F4806" t="inlineStr">
        <is>
          <t>Meeting with federal officials and labour relations meeting</t>
        </is>
      </c>
      <c r="G4806" t="inlineStr">
        <is>
          <t>Réunion avec des fonctionnaires fédéraux et réunion sur les relations de travail</t>
        </is>
      </c>
      <c r="H4806" s="1" t="n">
        <v>43634</v>
      </c>
      <c r="I4806" s="1" t="n">
        <v>43636</v>
      </c>
      <c r="J4806" t="inlineStr">
        <is>
          <t>Moncton, New Brunswick and Ottawa, Ontario</t>
        </is>
      </c>
      <c r="K4806" t="inlineStr">
        <is>
          <t>Moncton (Nouveau-Brunswick) et Ottawa (Ontario)</t>
        </is>
      </c>
      <c r="P4806" t="n">
        <v>726.8</v>
      </c>
      <c r="Q4806" t="n">
        <v>277.71</v>
      </c>
      <c r="R4806" t="n">
        <v>217.9</v>
      </c>
      <c r="S4806" t="n">
        <v>213.9</v>
      </c>
      <c r="T4806" t="n">
        <v>0</v>
      </c>
      <c r="U4806" t="n">
        <v>1436.31</v>
      </c>
      <c r="X4806" t="inlineStr">
        <is>
          <t>acoa-apeca</t>
        </is>
      </c>
      <c r="Y4806" t="inlineStr">
        <is>
          <t>Atlantic Canada Opportunities Agency | Agence de promotion économique du Canada atlantique</t>
        </is>
      </c>
    </row>
    <row r="4807">
      <c r="A4807" t="inlineStr">
        <is>
          <t>T-2020-Q2-00030</t>
        </is>
      </c>
      <c r="B4807" t="inlineStr">
        <is>
          <t>SLE</t>
        </is>
      </c>
      <c r="C4807" t="inlineStr">
        <is>
          <t>Vice-President, Nova Scotia</t>
        </is>
      </c>
      <c r="D4807" t="inlineStr">
        <is>
          <t>Vice-président, Nouvelle-Écosse</t>
        </is>
      </c>
      <c r="E4807" t="inlineStr">
        <is>
          <t>Chuck Maillet</t>
        </is>
      </c>
      <c r="F4807" t="inlineStr">
        <is>
          <t>Attend National Labour-Management Consultation Committee meeting and attend Creative Destruction Lab super sessions</t>
        </is>
      </c>
      <c r="G4807" t="inlineStr">
        <is>
          <t>Assister à une réunion du Comité national de consultation patronale-syndicale et assister aux super séances du Creative Destruction Lab</t>
        </is>
      </c>
      <c r="H4807" s="1" t="n">
        <v>43626</v>
      </c>
      <c r="I4807" s="1" t="n">
        <v>43629</v>
      </c>
      <c r="J4807" t="inlineStr">
        <is>
          <t xml:space="preserve">Moncton, New Brunswick and Toronto, Ontario </t>
        </is>
      </c>
      <c r="K4807" t="inlineStr">
        <is>
          <t>Moncton (Nouveau-Brunswick) et Toronto (Ontario)</t>
        </is>
      </c>
      <c r="P4807" t="n">
        <v>1070.29</v>
      </c>
      <c r="Q4807" t="n">
        <v>264.39</v>
      </c>
      <c r="R4807" t="n">
        <v>1128.18</v>
      </c>
      <c r="S4807" t="n">
        <v>363.45</v>
      </c>
      <c r="T4807" t="n">
        <v>0</v>
      </c>
      <c r="U4807" t="n">
        <v>2826.31</v>
      </c>
      <c r="X4807" t="inlineStr">
        <is>
          <t>acoa-apeca</t>
        </is>
      </c>
      <c r="Y4807" t="inlineStr">
        <is>
          <t>Atlantic Canada Opportunities Agency | Agence de promotion économique du Canada atlantique</t>
        </is>
      </c>
    </row>
    <row r="4808">
      <c r="A4808" t="inlineStr">
        <is>
          <t>T-2020-Q2-00015</t>
        </is>
      </c>
      <c r="B4808" t="inlineStr">
        <is>
          <t>SLE</t>
        </is>
      </c>
      <c r="C4808" t="inlineStr">
        <is>
          <t>Vice-President, Policy, Programs and Communications</t>
        </is>
      </c>
      <c r="D4808" t="inlineStr">
        <is>
          <t>Vice-président, Politiques et Programmes</t>
        </is>
      </c>
      <c r="E4808" t="inlineStr">
        <is>
          <t>Daryell Nowlan</t>
        </is>
      </c>
      <c r="F4808" t="inlineStr">
        <is>
          <t>Paris Airshow 2019</t>
        </is>
      </c>
      <c r="G4808" t="inlineStr">
        <is>
          <t>Salon de l'aéronautique de Paris 2019</t>
        </is>
      </c>
      <c r="H4808" s="1" t="n">
        <v>43630</v>
      </c>
      <c r="I4808" s="1" t="n">
        <v>43636</v>
      </c>
      <c r="J4808" t="inlineStr">
        <is>
          <t>Paris, France</t>
        </is>
      </c>
      <c r="K4808" t="inlineStr">
        <is>
          <t>Paris (France)</t>
        </is>
      </c>
      <c r="P4808" t="n">
        <v>1687.38</v>
      </c>
      <c r="Q4808" t="n">
        <v>85.25</v>
      </c>
      <c r="R4808" t="n">
        <v>2747.63</v>
      </c>
      <c r="S4808" t="n">
        <v>1619.22</v>
      </c>
      <c r="T4808" t="n">
        <v>0</v>
      </c>
      <c r="U4808" t="n">
        <v>6139.48</v>
      </c>
      <c r="X4808" t="inlineStr">
        <is>
          <t>acoa-apeca</t>
        </is>
      </c>
      <c r="Y4808" t="inlineStr">
        <is>
          <t>Atlantic Canada Opportunities Agency | Agence de promotion économique du Canada atlantique</t>
        </is>
      </c>
    </row>
    <row r="4809">
      <c r="A4809" t="inlineStr">
        <is>
          <t>T-2020-Q2-00026</t>
        </is>
      </c>
      <c r="B4809" t="inlineStr">
        <is>
          <t>SLE</t>
        </is>
      </c>
      <c r="C4809" t="inlineStr">
        <is>
          <t>Senior Advisor (Energy)</t>
        </is>
      </c>
      <c r="D4809" t="inlineStr">
        <is>
          <t>Conseiller spécial (energie)</t>
        </is>
      </c>
      <c r="E4809" t="inlineStr">
        <is>
          <t>Andrew F. Noseworthy</t>
        </is>
      </c>
      <c r="F4809" t="inlineStr">
        <is>
          <t>Attend the Institute of Corporate Directors - Directors Education Program final exam</t>
        </is>
      </c>
      <c r="G4809" t="inlineStr">
        <is>
          <t>Assister à l'examen final du programme de formation en administration de l'Institut des administrateurs de sociétés</t>
        </is>
      </c>
      <c r="H4809" s="1" t="n">
        <v>43634</v>
      </c>
      <c r="I4809" s="1" t="n">
        <v>43635</v>
      </c>
      <c r="J4809" t="inlineStr">
        <is>
          <t>Toronto, Ontario</t>
        </is>
      </c>
      <c r="K4809" t="inlineStr">
        <is>
          <t>Toronto (Ontario)</t>
        </is>
      </c>
      <c r="P4809" t="n">
        <v>0</v>
      </c>
      <c r="Q4809" t="n">
        <v>164</v>
      </c>
      <c r="R4809" t="n">
        <v>234</v>
      </c>
      <c r="S4809" t="n">
        <v>159</v>
      </c>
      <c r="T4809" t="n">
        <v>78</v>
      </c>
      <c r="U4809" t="n">
        <v>635</v>
      </c>
      <c r="X4809" t="inlineStr">
        <is>
          <t>acoa-apeca</t>
        </is>
      </c>
      <c r="Y4809" t="inlineStr">
        <is>
          <t>Atlantic Canada Opportunities Agency | Agence de promotion économique du Canada atlantique</t>
        </is>
      </c>
    </row>
    <row r="4810">
      <c r="A4810" t="inlineStr">
        <is>
          <t>T-2020-Q2-00037</t>
        </is>
      </c>
      <c r="B4810" t="inlineStr">
        <is>
          <t>SLE</t>
        </is>
      </c>
      <c r="C4810" t="inlineStr">
        <is>
          <t>Vice-President, Policy, Programs and Communications</t>
        </is>
      </c>
      <c r="D4810" t="inlineStr">
        <is>
          <t>Vice-président, Politiques et Programmes</t>
        </is>
      </c>
      <c r="E4810" t="inlineStr">
        <is>
          <t>Daryell Nowlan</t>
        </is>
      </c>
      <c r="F4810" t="inlineStr">
        <is>
          <t xml:space="preserve">Assignment in Newfoundland Regional Office </t>
        </is>
      </c>
      <c r="G4810" t="inlineStr">
        <is>
          <t>Affectation au bureau régional de Terre-Neuve</t>
        </is>
      </c>
      <c r="H4810" s="1" t="n">
        <v>43674</v>
      </c>
      <c r="I4810" s="1" t="n">
        <v>43678</v>
      </c>
      <c r="J4810" t="inlineStr">
        <is>
          <t>St. John's, Newfoundland and Labrador</t>
        </is>
      </c>
      <c r="K4810" t="inlineStr">
        <is>
          <t>St. John's (Terre-Neuve-et-Labrador)</t>
        </is>
      </c>
      <c r="P4810" t="n">
        <v>882.66</v>
      </c>
      <c r="Q4810" t="n">
        <v>78.2</v>
      </c>
      <c r="R4810" t="n">
        <v>685.4400000000001</v>
      </c>
      <c r="S4810" t="n">
        <v>369.5</v>
      </c>
      <c r="T4810" t="n">
        <v>0</v>
      </c>
      <c r="U4810" t="n">
        <v>2015.8</v>
      </c>
      <c r="X4810" t="inlineStr">
        <is>
          <t>acoa-apeca</t>
        </is>
      </c>
      <c r="Y4810" t="inlineStr">
        <is>
          <t>Atlantic Canada Opportunities Agency | Agence de promotion économique du Canada atlantique</t>
        </is>
      </c>
    </row>
    <row r="4811">
      <c r="A4811" t="inlineStr">
        <is>
          <t>T-2020-Q2-00034</t>
        </is>
      </c>
      <c r="B4811" t="inlineStr">
        <is>
          <t>SLE</t>
        </is>
      </c>
      <c r="C4811" t="inlineStr">
        <is>
          <t>Vice-President, Policy, Programs and Communications</t>
        </is>
      </c>
      <c r="D4811" t="inlineStr">
        <is>
          <t>Vice-président, Politiques et Programmes</t>
        </is>
      </c>
      <c r="E4811" t="inlineStr">
        <is>
          <t>Daryell Nowlan</t>
        </is>
      </c>
      <c r="F4811" t="inlineStr">
        <is>
          <t>Assignment in Newfoundland Regional Office including site visits on the Burin Peninsula</t>
        </is>
      </c>
      <c r="G4811" t="inlineStr">
        <is>
          <t>Affectation au bureau régional de Terre-Neuve comprenant des visites des lieux dans la péninsule Burin</t>
        </is>
      </c>
      <c r="H4811" s="1" t="n">
        <v>43667</v>
      </c>
      <c r="I4811" s="1" t="n">
        <v>43672</v>
      </c>
      <c r="J4811" t="inlineStr">
        <is>
          <t xml:space="preserve">St. John's and Burin Peninsula, Newfoundland and Labrador </t>
        </is>
      </c>
      <c r="K4811" t="inlineStr">
        <is>
          <t>St. John's et péninsule Burin (Terre-Neuve-et-Labrador)</t>
        </is>
      </c>
      <c r="P4811" t="n">
        <v>596.35</v>
      </c>
      <c r="Q4811" t="n">
        <v>28</v>
      </c>
      <c r="R4811" t="n">
        <v>828.63</v>
      </c>
      <c r="S4811" t="n">
        <v>478.45</v>
      </c>
      <c r="T4811" t="n">
        <v>0</v>
      </c>
      <c r="U4811" t="n">
        <v>1931.43</v>
      </c>
      <c r="X4811" t="inlineStr">
        <is>
          <t>acoa-apeca</t>
        </is>
      </c>
      <c r="Y4811" t="inlineStr">
        <is>
          <t>Atlantic Canada Opportunities Agency | Agence de promotion économique du Canada atlantique</t>
        </is>
      </c>
    </row>
    <row r="4812">
      <c r="A4812" t="inlineStr">
        <is>
          <t>T-2020-Q2-00033</t>
        </is>
      </c>
      <c r="B4812" t="inlineStr">
        <is>
          <t>SLE</t>
        </is>
      </c>
      <c r="C4812" t="inlineStr">
        <is>
          <t>Vice-President, Policy, Programs and Communications</t>
        </is>
      </c>
      <c r="D4812" t="inlineStr">
        <is>
          <t>Vice-président, Politiques et Programmes</t>
        </is>
      </c>
      <c r="E4812" t="inlineStr">
        <is>
          <t>Daryell Nowlan</t>
        </is>
      </c>
      <c r="F4812" t="inlineStr">
        <is>
          <t>Assignment in NL Regional Office</t>
        </is>
      </c>
      <c r="G4812" t="inlineStr">
        <is>
          <t>Affectation au bureau régional de T.-N.-L.</t>
        </is>
      </c>
      <c r="H4812" s="1" t="n">
        <v>43660</v>
      </c>
      <c r="I4812" s="1" t="n">
        <v>43665</v>
      </c>
      <c r="J4812" t="inlineStr">
        <is>
          <t>St. John's, Newfoundland and Labrador</t>
        </is>
      </c>
      <c r="K4812" t="inlineStr">
        <is>
          <t>St. John's (Terre-Neuve-et-Labrador)</t>
        </is>
      </c>
      <c r="P4812" t="n">
        <v>504.83</v>
      </c>
      <c r="Q4812" t="n">
        <v>67.7</v>
      </c>
      <c r="R4812" t="n">
        <v>862.75</v>
      </c>
      <c r="S4812" t="n">
        <v>457.55</v>
      </c>
      <c r="T4812" t="n">
        <v>0</v>
      </c>
      <c r="U4812" t="n">
        <v>1892.83</v>
      </c>
      <c r="X4812" t="inlineStr">
        <is>
          <t>acoa-apeca</t>
        </is>
      </c>
      <c r="Y4812" t="inlineStr">
        <is>
          <t>Atlantic Canada Opportunities Agency | Agence de promotion économique du Canada atlantique</t>
        </is>
      </c>
    </row>
    <row r="4813">
      <c r="A4813" t="inlineStr">
        <is>
          <t>T-2020-Q2-00027</t>
        </is>
      </c>
      <c r="B4813" t="inlineStr">
        <is>
          <t>SLE</t>
        </is>
      </c>
      <c r="C4813" t="inlineStr">
        <is>
          <t>Vice-President, Policy, Programs and Communications</t>
        </is>
      </c>
      <c r="D4813" t="inlineStr">
        <is>
          <t>Vice-président, Politiques et Programmes</t>
        </is>
      </c>
      <c r="E4813" t="inlineStr">
        <is>
          <t>Daryell Nowlan</t>
        </is>
      </c>
      <c r="F4813" t="inlineStr">
        <is>
          <t>Meetings with Government of Canada officials</t>
        </is>
      </c>
      <c r="G4813" t="inlineStr">
        <is>
          <t>Réunions avec des fonctionnaires du gouvernement du Canada</t>
        </is>
      </c>
      <c r="H4813" s="1" t="n">
        <v>43654</v>
      </c>
      <c r="I4813" s="1" t="n">
        <v>43656</v>
      </c>
      <c r="J4813" t="inlineStr">
        <is>
          <t>Halifax, Nova Scotia and Ottawa, Ontario</t>
        </is>
      </c>
      <c r="K4813" t="inlineStr">
        <is>
          <t>Halifax (Nouvelle-Écosse) et Ottawa (Ontario)</t>
        </is>
      </c>
      <c r="P4813" t="n">
        <v>672.61</v>
      </c>
      <c r="Q4813" t="n">
        <v>122.66</v>
      </c>
      <c r="R4813" t="n">
        <v>444.22</v>
      </c>
      <c r="S4813" t="n">
        <v>213.5</v>
      </c>
      <c r="T4813" t="n">
        <v>0</v>
      </c>
      <c r="U4813" t="n">
        <v>1452.99</v>
      </c>
      <c r="X4813" t="inlineStr">
        <is>
          <t>acoa-apeca</t>
        </is>
      </c>
      <c r="Y4813" t="inlineStr">
        <is>
          <t>Atlantic Canada Opportunities Agency | Agence de promotion économique du Canada atlantique</t>
        </is>
      </c>
    </row>
    <row r="4814">
      <c r="A4814" t="inlineStr">
        <is>
          <t>T-2020-Q2-00025</t>
        </is>
      </c>
      <c r="B4814" t="inlineStr">
        <is>
          <t>SLE</t>
        </is>
      </c>
      <c r="C4814" t="inlineStr">
        <is>
          <t>Vice-President, New Brunswick</t>
        </is>
      </c>
      <c r="D4814" t="inlineStr">
        <is>
          <t>Vice-président, Nouveau-Brunswick</t>
        </is>
      </c>
      <c r="E4814" t="inlineStr">
        <is>
          <t>Kent Estabrooks</t>
        </is>
      </c>
      <c r="F4814" t="inlineStr">
        <is>
          <t>Meeting with Government of Canada officials, meeting with Agency officials and external stakeholders meeting</t>
        </is>
      </c>
      <c r="G4814" t="inlineStr">
        <is>
          <t>Réunion avec des fonctionnaires fédéraux, réunion avec des fonctionnaires de l'Agence et réunion avec des intervenants externes</t>
        </is>
      </c>
      <c r="H4814" s="1" t="n">
        <v>43660</v>
      </c>
      <c r="I4814" s="1" t="n">
        <v>43662</v>
      </c>
      <c r="J4814" t="inlineStr">
        <is>
          <t xml:space="preserve">Ottawa, Ontario </t>
        </is>
      </c>
      <c r="K4814" t="inlineStr">
        <is>
          <t>Ottawa (Ontario)</t>
        </is>
      </c>
      <c r="P4814" t="n">
        <v>726.8</v>
      </c>
      <c r="Q4814" t="n">
        <v>114.98</v>
      </c>
      <c r="R4814" t="n">
        <v>444.22</v>
      </c>
      <c r="S4814" t="n">
        <v>244.05</v>
      </c>
      <c r="T4814" t="n">
        <v>0</v>
      </c>
      <c r="U4814" t="n">
        <v>1530.05</v>
      </c>
      <c r="X4814" t="inlineStr">
        <is>
          <t>acoa-apeca</t>
        </is>
      </c>
      <c r="Y4814" t="inlineStr">
        <is>
          <t>Atlantic Canada Opportunities Agency | Agence de promotion économique du Canada atlantique</t>
        </is>
      </c>
    </row>
    <row r="4815">
      <c r="A4815" t="inlineStr">
        <is>
          <t>T-2020-Q2-00024</t>
        </is>
      </c>
      <c r="B4815" t="inlineStr">
        <is>
          <t>SLE</t>
        </is>
      </c>
      <c r="C4815" t="inlineStr">
        <is>
          <t>Vice-President, New Brunswick</t>
        </is>
      </c>
      <c r="D4815" t="inlineStr">
        <is>
          <t>Vice-président, Nouveau-Brunswick</t>
        </is>
      </c>
      <c r="E4815" t="inlineStr">
        <is>
          <t>Kent Estabrooks</t>
        </is>
      </c>
      <c r="F4815" t="inlineStr">
        <is>
          <t>Meetings with various Agency officials and mentorship meetings</t>
        </is>
      </c>
      <c r="G4815" t="inlineStr">
        <is>
          <t>Réunions avec divers fonctionnaires de l'Agence et réunions de mentorat</t>
        </is>
      </c>
      <c r="H4815" s="1" t="n">
        <v>43663</v>
      </c>
      <c r="I4815" s="1" t="n">
        <v>43664</v>
      </c>
      <c r="J4815" t="inlineStr">
        <is>
          <t>Moncton, New Brunswick</t>
        </is>
      </c>
      <c r="K4815" t="inlineStr">
        <is>
          <t>Moncton (Nouveau-Brunswick)</t>
        </is>
      </c>
      <c r="P4815" t="n">
        <v>0</v>
      </c>
      <c r="Q4815" t="n">
        <v>17.25</v>
      </c>
      <c r="R4815" t="n">
        <v>173.65</v>
      </c>
      <c r="S4815" t="n">
        <v>125.45</v>
      </c>
      <c r="T4815" t="n">
        <v>0</v>
      </c>
      <c r="U4815" t="n">
        <v>316.35</v>
      </c>
      <c r="X4815" t="inlineStr">
        <is>
          <t>acoa-apeca</t>
        </is>
      </c>
      <c r="Y4815" t="inlineStr">
        <is>
          <t>Atlantic Canada Opportunities Agency | Agence de promotion économique du Canada atlantique</t>
        </is>
      </c>
    </row>
    <row r="4816">
      <c r="A4816" t="inlineStr">
        <is>
          <t>T-2020-Q2-00021</t>
        </is>
      </c>
      <c r="B4816" t="inlineStr">
        <is>
          <t>SLE</t>
        </is>
      </c>
      <c r="C4816" t="inlineStr">
        <is>
          <t>Vice-President, New Brunswick</t>
        </is>
      </c>
      <c r="D4816" t="inlineStr">
        <is>
          <t>Vice-président, Nouveau-Brunswick</t>
        </is>
      </c>
      <c r="E4816" t="inlineStr">
        <is>
          <t>Kent Estabrooks</t>
        </is>
      </c>
      <c r="F4816" t="inlineStr">
        <is>
          <t>Agency Executive Committee meeting and various meetings with Agency officials</t>
        </is>
      </c>
      <c r="G4816" t="inlineStr">
        <is>
          <t>Réunion du Comité de direction de l'Agence et diverses réunions avec des fonctionnaires de l'Agence</t>
        </is>
      </c>
      <c r="H4816" s="1" t="n">
        <v>43656</v>
      </c>
      <c r="I4816" s="1" t="n">
        <v>43658</v>
      </c>
      <c r="J4816" t="inlineStr">
        <is>
          <t>Moncton, New Brunswick</t>
        </is>
      </c>
      <c r="K4816" t="inlineStr">
        <is>
          <t>Moncton (Nouveau-Brunswick)</t>
        </is>
      </c>
      <c r="P4816" t="n">
        <v>0</v>
      </c>
      <c r="Q4816" t="n">
        <v>51.75</v>
      </c>
      <c r="R4816" t="n">
        <v>347.3</v>
      </c>
      <c r="S4816" t="n">
        <v>173.3</v>
      </c>
      <c r="T4816" t="n">
        <v>0</v>
      </c>
      <c r="U4816" t="n">
        <v>572.35</v>
      </c>
      <c r="X4816" t="inlineStr">
        <is>
          <t>acoa-apeca</t>
        </is>
      </c>
      <c r="Y4816" t="inlineStr">
        <is>
          <t>Atlantic Canada Opportunities Agency | Agence de promotion économique du Canada atlantique</t>
        </is>
      </c>
    </row>
    <row r="4817">
      <c r="A4817" t="inlineStr">
        <is>
          <t>T-2020-Q2-00020</t>
        </is>
      </c>
      <c r="B4817" t="inlineStr">
        <is>
          <t>SLE</t>
        </is>
      </c>
      <c r="C4817" t="inlineStr">
        <is>
          <t>Vice-President, New Brunswick</t>
        </is>
      </c>
      <c r="D4817" t="inlineStr">
        <is>
          <t>Vice-président, Nouveau-Brunswick</t>
        </is>
      </c>
      <c r="E4817" t="inlineStr">
        <is>
          <t>Kent Estabrooks</t>
        </is>
      </c>
      <c r="F4817" t="inlineStr">
        <is>
          <t>Meetings with stakeholders and with Agency officials</t>
        </is>
      </c>
      <c r="G4817" t="inlineStr">
        <is>
          <t>Réunions avec des intervenants et des fonctionnaires de l'Agence</t>
        </is>
      </c>
      <c r="H4817" s="1" t="n">
        <v>43649</v>
      </c>
      <c r="I4817" s="1" t="n">
        <v>43651</v>
      </c>
      <c r="J4817" t="inlineStr">
        <is>
          <t>Ottawa, Ontario and Moncton, New Brunswick</t>
        </is>
      </c>
      <c r="K4817" t="inlineStr">
        <is>
          <t>Ottawa (Ontario) et Moncton (Nouveau-Brunswick)</t>
        </is>
      </c>
      <c r="P4817" t="n">
        <v>726.8</v>
      </c>
      <c r="Q4817" t="n">
        <v>119</v>
      </c>
      <c r="R4817" t="n">
        <v>395.76</v>
      </c>
      <c r="S4817" t="n">
        <v>264.15</v>
      </c>
      <c r="T4817" t="n">
        <v>0</v>
      </c>
      <c r="U4817" t="n">
        <v>1505.71</v>
      </c>
      <c r="X4817" t="inlineStr">
        <is>
          <t>acoa-apeca</t>
        </is>
      </c>
      <c r="Y4817" t="inlineStr">
        <is>
          <t>Atlantic Canada Opportunities Agency | Agence de promotion économique du Canada atlantique</t>
        </is>
      </c>
    </row>
    <row r="4818">
      <c r="A4818" t="inlineStr">
        <is>
          <t>T-2020-Q2-00022</t>
        </is>
      </c>
      <c r="B4818" t="inlineStr">
        <is>
          <t>SLE</t>
        </is>
      </c>
      <c r="C4818" t="inlineStr">
        <is>
          <t>Vice-President, Prince Edward Island</t>
        </is>
      </c>
      <c r="D4818" t="inlineStr">
        <is>
          <t>Vice-président, Île-du-Prince-Édouard</t>
        </is>
      </c>
      <c r="E4818" t="inlineStr">
        <is>
          <t>Patrick Dorsey</t>
        </is>
      </c>
      <c r="F4818" t="inlineStr">
        <is>
          <t>Meetings with provincial government officials on July 17, 2019</t>
        </is>
      </c>
      <c r="G4818" t="inlineStr">
        <is>
          <t>Réunions avec des fonctionnaires provinciaux le 17 juillet 2019</t>
        </is>
      </c>
      <c r="H4818" s="1" t="n">
        <v>43662</v>
      </c>
      <c r="I4818" s="1" t="n">
        <v>43663</v>
      </c>
      <c r="J4818" t="inlineStr">
        <is>
          <t>Halifax, Nova Scotia</t>
        </is>
      </c>
      <c r="K4818" t="inlineStr">
        <is>
          <t>Halifax (Nouvelle-Écosse)</t>
        </is>
      </c>
      <c r="P4818" t="n">
        <v>0</v>
      </c>
      <c r="Q4818" t="n">
        <v>0</v>
      </c>
      <c r="R4818" t="n">
        <v>206.45</v>
      </c>
      <c r="S4818" t="n">
        <v>125.85</v>
      </c>
      <c r="T4818" t="n">
        <v>28.75</v>
      </c>
      <c r="U4818" t="n">
        <v>361.05</v>
      </c>
      <c r="X4818" t="inlineStr">
        <is>
          <t>acoa-apeca</t>
        </is>
      </c>
      <c r="Y4818" t="inlineStr">
        <is>
          <t>Atlantic Canada Opportunities Agency | Agence de promotion économique du Canada atlantique</t>
        </is>
      </c>
    </row>
    <row r="4819">
      <c r="A4819" t="inlineStr">
        <is>
          <t>T-2020-Q2-00036</t>
        </is>
      </c>
      <c r="B4819" t="inlineStr">
        <is>
          <t>SLE</t>
        </is>
      </c>
      <c r="C4819" t="inlineStr">
        <is>
          <t>Vice-President, Nova Scotia</t>
        </is>
      </c>
      <c r="D4819" t="inlineStr">
        <is>
          <t>Vice-président, Nouvelle-Écosse</t>
        </is>
      </c>
      <c r="E4819" t="inlineStr">
        <is>
          <t>Chuck Maillet</t>
        </is>
      </c>
      <c r="F4819" t="inlineStr">
        <is>
          <t>Participate in Startupfest and site visit to MT Lab</t>
        </is>
      </c>
      <c r="G4819" t="inlineStr">
        <is>
          <t>Participation au Startupfest et visite du MT Lab</t>
        </is>
      </c>
      <c r="H4819" s="1" t="n">
        <v>43655</v>
      </c>
      <c r="I4819" s="1" t="n">
        <v>43658</v>
      </c>
      <c r="J4819" t="inlineStr">
        <is>
          <t>Montreal, Quebec</t>
        </is>
      </c>
      <c r="K4819" t="inlineStr">
        <is>
          <t>Montréal (Québec)</t>
        </is>
      </c>
      <c r="P4819" t="n">
        <v>483.28</v>
      </c>
      <c r="Q4819" t="n">
        <v>194</v>
      </c>
      <c r="R4819" t="n">
        <v>928.2</v>
      </c>
      <c r="S4819" t="n">
        <v>431.4</v>
      </c>
      <c r="T4819" t="n">
        <v>0</v>
      </c>
      <c r="U4819" t="n">
        <v>2036.88</v>
      </c>
      <c r="X4819" t="inlineStr">
        <is>
          <t>acoa-apeca</t>
        </is>
      </c>
      <c r="Y4819" t="inlineStr">
        <is>
          <t>Atlantic Canada Opportunities Agency | Agence de promotion économique du Canada atlantique</t>
        </is>
      </c>
    </row>
    <row r="4820">
      <c r="A4820" t="inlineStr">
        <is>
          <t>T-2020-Q2-00035</t>
        </is>
      </c>
      <c r="B4820" t="inlineStr">
        <is>
          <t>SLE</t>
        </is>
      </c>
      <c r="C4820" t="inlineStr">
        <is>
          <t>Vice-President, Nova Scotia</t>
        </is>
      </c>
      <c r="D4820" t="inlineStr">
        <is>
          <t>Vice-président, Nouvelle-Écosse</t>
        </is>
      </c>
      <c r="E4820" t="inlineStr">
        <is>
          <t>Chuck Maillet</t>
        </is>
      </c>
      <c r="F4820" t="inlineStr">
        <is>
          <t>Client and stakeholder visits in Kings and Hants counties</t>
        </is>
      </c>
      <c r="G4820" t="inlineStr">
        <is>
          <t>Visites de clients et d'intervenants dans les comtés de Kings et de Hants</t>
        </is>
      </c>
      <c r="H4820" s="1" t="n">
        <v>43677</v>
      </c>
      <c r="I4820" s="1" t="n">
        <v>43677</v>
      </c>
      <c r="J4820" t="inlineStr">
        <is>
          <t>Kings and Hants counties, Nova Scotia</t>
        </is>
      </c>
      <c r="K4820" t="inlineStr">
        <is>
          <t>Comtés de Kings et de Hants (Nouvelle-Écosse)</t>
        </is>
      </c>
      <c r="P4820" t="n">
        <v>0</v>
      </c>
      <c r="Q4820" t="n">
        <v>103.88</v>
      </c>
      <c r="R4820" t="n">
        <v>0</v>
      </c>
      <c r="S4820" t="n">
        <v>20.1</v>
      </c>
      <c r="T4820" t="n">
        <v>0</v>
      </c>
      <c r="U4820" t="n">
        <v>123.98</v>
      </c>
      <c r="X4820" t="inlineStr">
        <is>
          <t>acoa-apeca</t>
        </is>
      </c>
      <c r="Y4820" t="inlineStr">
        <is>
          <t>Atlantic Canada Opportunities Agency | Agence de promotion économique du Canada atlantique</t>
        </is>
      </c>
    </row>
    <row r="4821">
      <c r="A4821" t="inlineStr">
        <is>
          <t>T-2020-Q2-00019</t>
        </is>
      </c>
      <c r="B4821" t="inlineStr">
        <is>
          <t>SLE</t>
        </is>
      </c>
      <c r="C4821" t="inlineStr">
        <is>
          <t>President</t>
        </is>
      </c>
      <c r="D4821" t="inlineStr">
        <is>
          <t>Président</t>
        </is>
      </c>
      <c r="E4821" t="inlineStr">
        <is>
          <t>Francis McGuire</t>
        </is>
      </c>
      <c r="F4821" t="inlineStr">
        <is>
          <t>Meetings with Government of Canada officials and key stakeholders</t>
        </is>
      </c>
      <c r="G4821" t="inlineStr">
        <is>
          <t>Réunions avec des fonctionnaires du gouvernement du Canada et des intervenants clés</t>
        </is>
      </c>
      <c r="H4821" s="1" t="n">
        <v>43649</v>
      </c>
      <c r="I4821" s="1" t="n">
        <v>43651</v>
      </c>
      <c r="J4821" t="inlineStr">
        <is>
          <t>Halifax, Nova Soctia</t>
        </is>
      </c>
      <c r="K4821" t="inlineStr">
        <is>
          <t>Halifax (Nouvelle-Écosse)</t>
        </is>
      </c>
      <c r="P4821" t="n">
        <v>0</v>
      </c>
      <c r="Q4821" t="n">
        <v>278.74</v>
      </c>
      <c r="R4821" t="n">
        <v>466.86</v>
      </c>
      <c r="S4821" t="n">
        <v>214.3</v>
      </c>
      <c r="T4821" t="n">
        <v>5</v>
      </c>
      <c r="U4821" t="n">
        <v>964.9</v>
      </c>
      <c r="X4821" t="inlineStr">
        <is>
          <t>acoa-apeca</t>
        </is>
      </c>
      <c r="Y4821" t="inlineStr">
        <is>
          <t>Atlantic Canada Opportunities Agency | Agence de promotion économique du Canada atlantique</t>
        </is>
      </c>
    </row>
    <row r="4822">
      <c r="A4822" t="inlineStr">
        <is>
          <t>T-2020-Q2-00023</t>
        </is>
      </c>
      <c r="B4822" t="inlineStr">
        <is>
          <t>SLE</t>
        </is>
      </c>
      <c r="C4822" t="inlineStr">
        <is>
          <t>Acting Vice-President, Newfoundland and Labrador</t>
        </is>
      </c>
      <c r="D4822" t="inlineStr">
        <is>
          <t>Vice-président par intérim, Terre-Neuve et Labrador</t>
        </is>
      </c>
      <c r="E4822" t="inlineStr">
        <is>
          <t>Bill Grandy</t>
        </is>
      </c>
      <c r="F4822" t="inlineStr">
        <is>
          <t>Assignment in NL Regional Office</t>
        </is>
      </c>
      <c r="G4822" t="inlineStr">
        <is>
          <t>Affectation au bureau régional de T.-N.-L.</t>
        </is>
      </c>
      <c r="H4822" s="1" t="n">
        <v>43654</v>
      </c>
      <c r="I4822" s="1" t="n">
        <v>43656</v>
      </c>
      <c r="J4822" t="inlineStr">
        <is>
          <t>St. John's, Newfoundland and Labrador</t>
        </is>
      </c>
      <c r="K4822" t="inlineStr">
        <is>
          <t>St. John's (Terre-Neuve-et-Labrador)</t>
        </is>
      </c>
      <c r="P4822" t="n">
        <v>813.8</v>
      </c>
      <c r="Q4822" t="n">
        <v>278.75</v>
      </c>
      <c r="R4822" t="n">
        <v>354.62</v>
      </c>
      <c r="S4822" t="n">
        <v>254.5</v>
      </c>
      <c r="T4822" t="n">
        <v>66</v>
      </c>
      <c r="U4822" t="n">
        <v>1767.67</v>
      </c>
      <c r="X4822" t="inlineStr">
        <is>
          <t>acoa-apeca</t>
        </is>
      </c>
      <c r="Y4822" t="inlineStr">
        <is>
          <t>Atlantic Canada Opportunities Agency | Agence de promotion économique du Canada atlantique</t>
        </is>
      </c>
    </row>
    <row r="4823">
      <c r="A4823" t="inlineStr">
        <is>
          <t>T-2020-Q2-00018</t>
        </is>
      </c>
      <c r="B4823" t="inlineStr">
        <is>
          <t>SLE</t>
        </is>
      </c>
      <c r="C4823" t="inlineStr">
        <is>
          <t>Acting Vice-President, Newfoundland and Labrador</t>
        </is>
      </c>
      <c r="D4823" t="inlineStr">
        <is>
          <t>Vice-président par intérim, Terre-Neuve et Labrador</t>
        </is>
      </c>
      <c r="E4823" t="inlineStr">
        <is>
          <t>Bill Grandy</t>
        </is>
      </c>
      <c r="F4823" t="inlineStr">
        <is>
          <t>Assignment in NL Regional Office</t>
        </is>
      </c>
      <c r="G4823" t="inlineStr">
        <is>
          <t>Affectation au bureau régional de T.-N.-L.</t>
        </is>
      </c>
      <c r="H4823" s="1" t="n">
        <v>43648</v>
      </c>
      <c r="I4823" s="1" t="n">
        <v>43650</v>
      </c>
      <c r="J4823" t="inlineStr">
        <is>
          <t>St. John's, Newfoundland and Labrador</t>
        </is>
      </c>
      <c r="K4823" t="inlineStr">
        <is>
          <t>St. John's (Terre-Neuve-et-Labrador)</t>
        </is>
      </c>
      <c r="P4823" t="n">
        <v>1082.32</v>
      </c>
      <c r="Q4823" t="n">
        <v>80</v>
      </c>
      <c r="R4823" t="n">
        <v>354.62</v>
      </c>
      <c r="S4823" t="n">
        <v>234.44</v>
      </c>
      <c r="T4823" t="n">
        <v>0</v>
      </c>
      <c r="U4823" t="n">
        <v>1751.38</v>
      </c>
      <c r="X4823" t="inlineStr">
        <is>
          <t>acoa-apeca</t>
        </is>
      </c>
      <c r="Y4823" t="inlineStr">
        <is>
          <t>Atlantic Canada Opportunities Agency | Agence de promotion économique du Canada atlantique</t>
        </is>
      </c>
    </row>
    <row r="4824">
      <c r="A4824" t="inlineStr">
        <is>
          <t>T-2020-Q2-00059</t>
        </is>
      </c>
      <c r="B4824" t="inlineStr">
        <is>
          <t>SLE</t>
        </is>
      </c>
      <c r="C4824" t="inlineStr">
        <is>
          <t>Vice-President, New Brunswick</t>
        </is>
      </c>
      <c r="D4824" t="inlineStr">
        <is>
          <t>Vice-président, Nouveau-Brunswick</t>
        </is>
      </c>
      <c r="E4824" t="inlineStr">
        <is>
          <t>Kent Estabrooks</t>
        </is>
      </c>
      <c r="F4824" t="inlineStr">
        <is>
          <t>Meetings with various Government of Canada officials</t>
        </is>
      </c>
      <c r="G4824" t="inlineStr">
        <is>
          <t>Réunions avec divers fonctionnaires du gouvernement du Canada</t>
        </is>
      </c>
      <c r="H4824" s="1" t="n">
        <v>43704</v>
      </c>
      <c r="I4824" s="1" t="n">
        <v>43705</v>
      </c>
      <c r="J4824" t="inlineStr">
        <is>
          <t>Ottawa, Ontario</t>
        </is>
      </c>
      <c r="K4824" t="inlineStr">
        <is>
          <t>Ottawa (Ontario)</t>
        </is>
      </c>
      <c r="P4824" t="n">
        <v>726.8</v>
      </c>
      <c r="Q4824" t="n">
        <v>118.98</v>
      </c>
      <c r="R4824" t="n">
        <v>222.11</v>
      </c>
      <c r="S4824" t="n">
        <v>156</v>
      </c>
      <c r="T4824" t="n">
        <v>0</v>
      </c>
      <c r="U4824" t="n">
        <v>1223.89</v>
      </c>
      <c r="X4824" t="inlineStr">
        <is>
          <t>acoa-apeca</t>
        </is>
      </c>
      <c r="Y4824" t="inlineStr">
        <is>
          <t>Atlantic Canada Opportunities Agency | Agence de promotion économique du Canada atlantique</t>
        </is>
      </c>
    </row>
    <row r="4825">
      <c r="A4825" t="inlineStr">
        <is>
          <t>T-2020-Q2-00058</t>
        </is>
      </c>
      <c r="B4825" t="inlineStr">
        <is>
          <t>SLE</t>
        </is>
      </c>
      <c r="C4825" t="inlineStr">
        <is>
          <t>Vice-President, New Brunswick</t>
        </is>
      </c>
      <c r="D4825" t="inlineStr">
        <is>
          <t>Vice-président, Nouveau-Brunswick</t>
        </is>
      </c>
      <c r="E4825" t="inlineStr">
        <is>
          <t>Kent Estabrooks</t>
        </is>
      </c>
      <c r="F4825" t="inlineStr">
        <is>
          <t>Meeting with a client</t>
        </is>
      </c>
      <c r="G4825" t="inlineStr">
        <is>
          <t>Réunion avec un client</t>
        </is>
      </c>
      <c r="H4825" s="1" t="n">
        <v>43699</v>
      </c>
      <c r="I4825" s="1" t="n">
        <v>43699</v>
      </c>
      <c r="J4825" t="inlineStr">
        <is>
          <t>Saint John, New Brunswick</t>
        </is>
      </c>
      <c r="K4825" t="inlineStr">
        <is>
          <t>Saint John (Nouveau-Brunswick)</t>
        </is>
      </c>
      <c r="P4825" t="n">
        <v>0</v>
      </c>
      <c r="Q4825" t="n">
        <v>8.050000000000001</v>
      </c>
      <c r="R4825" t="n">
        <v>0</v>
      </c>
      <c r="S4825" t="n">
        <v>20.1</v>
      </c>
      <c r="T4825" t="n">
        <v>0</v>
      </c>
      <c r="U4825" t="n">
        <v>28.15</v>
      </c>
      <c r="X4825" t="inlineStr">
        <is>
          <t>acoa-apeca</t>
        </is>
      </c>
      <c r="Y4825" t="inlineStr">
        <is>
          <t>Atlantic Canada Opportunities Agency | Agence de promotion économique du Canada atlantique</t>
        </is>
      </c>
    </row>
    <row r="4826">
      <c r="A4826" t="inlineStr">
        <is>
          <t>T-2020-Q2-00057</t>
        </is>
      </c>
      <c r="B4826" t="inlineStr">
        <is>
          <t>SLE</t>
        </is>
      </c>
      <c r="C4826" t="inlineStr">
        <is>
          <t>Vice-President, New Brunswick</t>
        </is>
      </c>
      <c r="D4826" t="inlineStr">
        <is>
          <t>Vice-président, Nouveau-Brunswick</t>
        </is>
      </c>
      <c r="E4826" t="inlineStr">
        <is>
          <t>Kent Estabrooks</t>
        </is>
      </c>
      <c r="F4826" t="inlineStr">
        <is>
          <t>External stakeholder meeting, and meetings with various Government of Canada employees</t>
        </is>
      </c>
      <c r="G4826" t="inlineStr">
        <is>
          <t>Réunion avec un intervenant externe et réunions avec divers fonctionnaires du gouvernement du Canada</t>
        </is>
      </c>
      <c r="H4826" s="1" t="n">
        <v>43689</v>
      </c>
      <c r="I4826" s="1" t="n">
        <v>43690</v>
      </c>
      <c r="J4826" t="inlineStr">
        <is>
          <t>Moncton, New Brunswick</t>
        </is>
      </c>
      <c r="K4826" t="inlineStr">
        <is>
          <t>Moncton (Nouveau-Brunswick)</t>
        </is>
      </c>
      <c r="P4826" t="n">
        <v>0</v>
      </c>
      <c r="Q4826" t="n">
        <v>17.25</v>
      </c>
      <c r="R4826" t="n">
        <v>173.65</v>
      </c>
      <c r="S4826" t="n">
        <v>125.45</v>
      </c>
      <c r="T4826" t="n">
        <v>0</v>
      </c>
      <c r="U4826" t="n">
        <v>316.35</v>
      </c>
      <c r="X4826" t="inlineStr">
        <is>
          <t>acoa-apeca</t>
        </is>
      </c>
      <c r="Y4826" t="inlineStr">
        <is>
          <t>Atlantic Canada Opportunities Agency | Agence de promotion économique du Canada atlantique</t>
        </is>
      </c>
    </row>
    <row r="4827">
      <c r="A4827" t="inlineStr">
        <is>
          <t>T-2020-Q2-00056</t>
        </is>
      </c>
      <c r="B4827" t="inlineStr">
        <is>
          <t>SLE</t>
        </is>
      </c>
      <c r="C4827" t="inlineStr">
        <is>
          <t>Vice-President, New Brunswick</t>
        </is>
      </c>
      <c r="D4827" t="inlineStr">
        <is>
          <t>Vice-président, Nouveau-Brunswick</t>
        </is>
      </c>
      <c r="E4827" t="inlineStr">
        <is>
          <t>Kent Estabrooks</t>
        </is>
      </c>
      <c r="F4827" t="inlineStr">
        <is>
          <t>Meetings with various Government of Canada officials, and client meeting</t>
        </is>
      </c>
      <c r="G4827" t="inlineStr">
        <is>
          <t>Réunions avec divers fonctionnaires du gouvernement du Canada et réunion avec un client</t>
        </is>
      </c>
      <c r="H4827" s="1" t="n">
        <v>43690</v>
      </c>
      <c r="I4827" s="1" t="n">
        <v>43691</v>
      </c>
      <c r="J4827" t="inlineStr">
        <is>
          <t>Halifax, Nova Scotia</t>
        </is>
      </c>
      <c r="K4827" t="inlineStr">
        <is>
          <t>Halifax (Nouvelle-Écosse)</t>
        </is>
      </c>
      <c r="P4827" t="n">
        <v>726.8</v>
      </c>
      <c r="Q4827" t="n">
        <v>127.4</v>
      </c>
      <c r="R4827" t="n">
        <v>222.11</v>
      </c>
      <c r="S4827" t="n">
        <v>135.9</v>
      </c>
      <c r="T4827" t="n">
        <v>0</v>
      </c>
      <c r="U4827" t="n">
        <v>1212.21</v>
      </c>
      <c r="X4827" t="inlineStr">
        <is>
          <t>acoa-apeca</t>
        </is>
      </c>
      <c r="Y4827" t="inlineStr">
        <is>
          <t>Atlantic Canada Opportunities Agency | Agence de promotion économique du Canada atlantique</t>
        </is>
      </c>
    </row>
    <row r="4828">
      <c r="A4828" t="inlineStr">
        <is>
          <t>T-2020-Q2-00048</t>
        </is>
      </c>
      <c r="B4828" t="inlineStr">
        <is>
          <t>SLE</t>
        </is>
      </c>
      <c r="C4828" t="inlineStr">
        <is>
          <t>Vice-President, Prince Edward Island</t>
        </is>
      </c>
      <c r="D4828" t="inlineStr">
        <is>
          <t>Vice-président, Île-du-Prince-Édouard</t>
        </is>
      </c>
      <c r="E4828" t="inlineStr">
        <is>
          <t>Patrick Dorsey</t>
        </is>
      </c>
      <c r="F4828" t="inlineStr">
        <is>
          <t>Meetings with Federal Government officials</t>
        </is>
      </c>
      <c r="G4828" t="inlineStr">
        <is>
          <t>Réunions avec des fonctionnaires fédéraux</t>
        </is>
      </c>
      <c r="H4828" s="1" t="n">
        <v>43690</v>
      </c>
      <c r="I4828" s="1" t="n">
        <v>43691</v>
      </c>
      <c r="J4828" t="inlineStr">
        <is>
          <t>Halifax, Nova Scotia</t>
        </is>
      </c>
      <c r="K4828" t="inlineStr">
        <is>
          <t>Halifax (Nouvelle-Écosse)</t>
        </is>
      </c>
      <c r="P4828" t="n">
        <v>0</v>
      </c>
      <c r="Q4828" t="n">
        <v>79</v>
      </c>
      <c r="R4828" t="n">
        <v>235.2</v>
      </c>
      <c r="S4828" t="n">
        <v>176.5</v>
      </c>
      <c r="T4828" t="n">
        <v>0</v>
      </c>
      <c r="U4828" t="n">
        <v>490.7</v>
      </c>
      <c r="X4828" t="inlineStr">
        <is>
          <t>acoa-apeca</t>
        </is>
      </c>
      <c r="Y4828" t="inlineStr">
        <is>
          <t>Atlantic Canada Opportunities Agency | Agence de promotion économique du Canada atlantique</t>
        </is>
      </c>
    </row>
    <row r="4829">
      <c r="A4829" t="inlineStr">
        <is>
          <t>T-2020-Q2-00041</t>
        </is>
      </c>
      <c r="B4829" t="inlineStr">
        <is>
          <t>SLE</t>
        </is>
      </c>
      <c r="C4829" t="inlineStr">
        <is>
          <t>Vice-President, Prince Edward Island</t>
        </is>
      </c>
      <c r="D4829" t="inlineStr">
        <is>
          <t>Vice-président, Île-du-Prince-Édouard</t>
        </is>
      </c>
      <c r="E4829" t="inlineStr">
        <is>
          <t>Patrick Dorsey</t>
        </is>
      </c>
      <c r="F4829" t="inlineStr">
        <is>
          <t>Conference with Federal Government Officials and Stakeholders</t>
        </is>
      </c>
      <c r="G4829" t="inlineStr">
        <is>
          <t>Conférence avec des fonctionnaires fédéraux et des intervenants</t>
        </is>
      </c>
      <c r="H4829" s="1" t="n">
        <v>43683</v>
      </c>
      <c r="I4829" s="1" t="n">
        <v>43685</v>
      </c>
      <c r="J4829" t="inlineStr">
        <is>
          <t>Brudenell, Prince Edward Island</t>
        </is>
      </c>
      <c r="K4829" t="inlineStr">
        <is>
          <t>Brudenell (Île-du-Prince-Édouard)</t>
        </is>
      </c>
      <c r="P4829" t="n">
        <v>0</v>
      </c>
      <c r="Q4829" t="n">
        <v>0</v>
      </c>
      <c r="R4829" t="n">
        <v>395.6</v>
      </c>
      <c r="S4829" t="n">
        <v>51.9</v>
      </c>
      <c r="T4829" t="n">
        <v>0</v>
      </c>
      <c r="U4829" t="n">
        <v>447.5</v>
      </c>
      <c r="X4829" t="inlineStr">
        <is>
          <t>acoa-apeca</t>
        </is>
      </c>
      <c r="Y4829" t="inlineStr">
        <is>
          <t>Atlantic Canada Opportunities Agency | Agence de promotion économique du Canada atlantique</t>
        </is>
      </c>
    </row>
    <row r="4830">
      <c r="A4830" t="inlineStr">
        <is>
          <t>T-2020-Q2-00061</t>
        </is>
      </c>
      <c r="B4830" t="inlineStr">
        <is>
          <t>SLE</t>
        </is>
      </c>
      <c r="C4830" t="inlineStr">
        <is>
          <t>Vice-President, Nova Scotia</t>
        </is>
      </c>
      <c r="D4830" t="inlineStr">
        <is>
          <t>Vice-président, Nouvelle-Écosse</t>
        </is>
      </c>
      <c r="E4830" t="inlineStr">
        <is>
          <t>Chuck Maillet</t>
        </is>
      </c>
      <c r="F4830" t="inlineStr">
        <is>
          <t>Various meetings with Agency officials, partners and stakeholders</t>
        </is>
      </c>
      <c r="G4830" t="inlineStr">
        <is>
          <t>Diverses réunions avec des fonctionnaires de l'Agence, des partenaires et des intervenants</t>
        </is>
      </c>
      <c r="H4830" s="1" t="n">
        <v>43702</v>
      </c>
      <c r="I4830" s="1" t="n">
        <v>43703</v>
      </c>
      <c r="J4830" t="inlineStr">
        <is>
          <t>Sydney, Nova Scotia</t>
        </is>
      </c>
      <c r="K4830" t="inlineStr">
        <is>
          <t>Sydney (Nouvelle-Écosse)</t>
        </is>
      </c>
      <c r="P4830" t="n">
        <v>501.69</v>
      </c>
      <c r="Q4830" t="n">
        <v>74.56</v>
      </c>
      <c r="R4830" t="n">
        <v>174.78</v>
      </c>
      <c r="S4830" t="n">
        <v>176.5</v>
      </c>
      <c r="T4830" t="n">
        <v>0</v>
      </c>
      <c r="U4830" t="n">
        <v>927.53</v>
      </c>
      <c r="X4830" t="inlineStr">
        <is>
          <t>acoa-apeca</t>
        </is>
      </c>
      <c r="Y4830" t="inlineStr">
        <is>
          <t>Atlantic Canada Opportunities Agency | Agence de promotion économique du Canada atlantique</t>
        </is>
      </c>
    </row>
    <row r="4831">
      <c r="A4831" t="inlineStr">
        <is>
          <t>T-2020-Q2-00060</t>
        </is>
      </c>
      <c r="B4831" t="inlineStr">
        <is>
          <t>SLE</t>
        </is>
      </c>
      <c r="C4831" t="inlineStr">
        <is>
          <t>Vice-President, Nova Scotia</t>
        </is>
      </c>
      <c r="D4831" t="inlineStr">
        <is>
          <t>Vice-président, Nouvelle-Écosse</t>
        </is>
      </c>
      <c r="E4831" t="inlineStr">
        <is>
          <t>Chuck Maillet</t>
        </is>
      </c>
      <c r="F4831" t="inlineStr">
        <is>
          <t>Various meetings with Agency officials, partners and stakeholders</t>
        </is>
      </c>
      <c r="G4831" t="inlineStr">
        <is>
          <t>Diverses réunions avec des fonctionnaires de l'Agence, des partenaires et des intervenants</t>
        </is>
      </c>
      <c r="H4831" s="1" t="n">
        <v>43699</v>
      </c>
      <c r="I4831" s="1" t="n">
        <v>43700</v>
      </c>
      <c r="J4831" t="inlineStr">
        <is>
          <t>Moncton, New Brunswick</t>
        </is>
      </c>
      <c r="K4831" t="inlineStr">
        <is>
          <t>Moncton (Nouveau-Brunswick)</t>
        </is>
      </c>
      <c r="P4831" t="n">
        <v>0</v>
      </c>
      <c r="Q4831" t="n">
        <v>137.75</v>
      </c>
      <c r="R4831" t="n">
        <v>173.65</v>
      </c>
      <c r="S4831" t="n">
        <v>125.85</v>
      </c>
      <c r="T4831" t="n">
        <v>0</v>
      </c>
      <c r="U4831" t="n">
        <v>437.25</v>
      </c>
      <c r="X4831" t="inlineStr">
        <is>
          <t>acoa-apeca</t>
        </is>
      </c>
      <c r="Y4831" t="inlineStr">
        <is>
          <t>Atlantic Canada Opportunities Agency | Agence de promotion économique du Canada atlantique</t>
        </is>
      </c>
    </row>
    <row r="4832">
      <c r="A4832" t="inlineStr">
        <is>
          <t>T-2020-Q2-00063</t>
        </is>
      </c>
      <c r="B4832" t="inlineStr">
        <is>
          <t>SLE</t>
        </is>
      </c>
      <c r="C4832" t="inlineStr">
        <is>
          <t>President</t>
        </is>
      </c>
      <c r="D4832" t="inlineStr">
        <is>
          <t>Président</t>
        </is>
      </c>
      <c r="E4832" t="inlineStr">
        <is>
          <t>Francis McGuire</t>
        </is>
      </c>
      <c r="F4832" t="inlineStr">
        <is>
          <t>Meetings/site visits with Government of Canada officials and key stakeholders</t>
        </is>
      </c>
      <c r="G4832" t="inlineStr">
        <is>
          <t>Réunions et visites d'installations avec des fonctionnaires du gouvernement du Canada et des intervenants clés</t>
        </is>
      </c>
      <c r="H4832" s="1" t="n">
        <v>43696</v>
      </c>
      <c r="I4832" s="1" t="n">
        <v>43698</v>
      </c>
      <c r="J4832" t="inlineStr">
        <is>
          <t>St. John's, Newfoundland and Labrador</t>
        </is>
      </c>
      <c r="K4832" t="inlineStr">
        <is>
          <t>St. John's (Terre-Neuve-et-Labrador)</t>
        </is>
      </c>
      <c r="P4832" t="n">
        <v>1791.44</v>
      </c>
      <c r="Q4832" t="n">
        <v>14.98</v>
      </c>
      <c r="R4832" t="n">
        <v>437.92</v>
      </c>
      <c r="S4832" t="n">
        <v>285.05</v>
      </c>
      <c r="T4832" t="n">
        <v>36</v>
      </c>
      <c r="U4832" t="n">
        <v>2565.39</v>
      </c>
      <c r="X4832" t="inlineStr">
        <is>
          <t>acoa-apeca</t>
        </is>
      </c>
      <c r="Y4832" t="inlineStr">
        <is>
          <t>Atlantic Canada Opportunities Agency | Agence de promotion économique du Canada atlantique</t>
        </is>
      </c>
    </row>
    <row r="4833">
      <c r="A4833" t="inlineStr">
        <is>
          <t>T-2020-Q2-00062</t>
        </is>
      </c>
      <c r="B4833" t="inlineStr">
        <is>
          <t>SLE</t>
        </is>
      </c>
      <c r="C4833" t="inlineStr">
        <is>
          <t>President</t>
        </is>
      </c>
      <c r="D4833" t="inlineStr">
        <is>
          <t>Président</t>
        </is>
      </c>
      <c r="E4833" t="inlineStr">
        <is>
          <t>Francis McGuire</t>
        </is>
      </c>
      <c r="F4833" t="inlineStr">
        <is>
          <t>Meetings with Government of Canada officials</t>
        </is>
      </c>
      <c r="G4833" t="inlineStr">
        <is>
          <t>Réunions avec des fonctionnaires du gouvernement du Canada</t>
        </is>
      </c>
      <c r="H4833" s="1" t="n">
        <v>43699</v>
      </c>
      <c r="I4833" s="1" t="n">
        <v>43700</v>
      </c>
      <c r="J4833" t="inlineStr">
        <is>
          <t>Ottawa, Ontario</t>
        </is>
      </c>
      <c r="K4833" t="inlineStr">
        <is>
          <t>Ottawa (Ontario)</t>
        </is>
      </c>
      <c r="P4833" t="n">
        <v>674.38</v>
      </c>
      <c r="Q4833" t="n">
        <v>16.05</v>
      </c>
      <c r="R4833" t="n">
        <v>222.11</v>
      </c>
      <c r="S4833" t="n">
        <v>145.95</v>
      </c>
      <c r="T4833" t="n">
        <v>24</v>
      </c>
      <c r="U4833" t="n">
        <v>1082.49</v>
      </c>
      <c r="X4833" t="inlineStr">
        <is>
          <t>acoa-apeca</t>
        </is>
      </c>
      <c r="Y4833" t="inlineStr">
        <is>
          <t>Atlantic Canada Opportunities Agency | Agence de promotion économique du Canada atlantique</t>
        </is>
      </c>
    </row>
    <row r="4834">
      <c r="A4834" t="inlineStr">
        <is>
          <t>T-2020-Q2-00051</t>
        </is>
      </c>
      <c r="B4834" t="inlineStr">
        <is>
          <t>SLE</t>
        </is>
      </c>
      <c r="C4834" t="inlineStr">
        <is>
          <t>President</t>
        </is>
      </c>
      <c r="D4834" t="inlineStr">
        <is>
          <t>Président</t>
        </is>
      </c>
      <c r="E4834" t="inlineStr">
        <is>
          <t>Francis McGuire</t>
        </is>
      </c>
      <c r="F4834" t="inlineStr">
        <is>
          <t xml:space="preserve">Meetings with government officials and key stakeholders </t>
        </is>
      </c>
      <c r="G4834" t="inlineStr">
        <is>
          <t xml:space="preserve">Réunions avec des fonctionnaires et des intervenants clés </t>
        </is>
      </c>
      <c r="H4834" s="1" t="n">
        <v>43690</v>
      </c>
      <c r="I4834" s="1" t="n">
        <v>43692</v>
      </c>
      <c r="J4834" t="inlineStr">
        <is>
          <t>Dartmouth, Halifax and Truro, Nova Scotia</t>
        </is>
      </c>
      <c r="K4834" t="inlineStr">
        <is>
          <t>Dartmouth, Halifax and Truro (Nouvelle-Écosse)</t>
        </is>
      </c>
      <c r="P4834" t="n">
        <v>0</v>
      </c>
      <c r="Q4834" t="n">
        <v>301.46</v>
      </c>
      <c r="R4834" t="n">
        <v>439.88</v>
      </c>
      <c r="S4834" t="n">
        <v>194.2</v>
      </c>
      <c r="T4834" t="n">
        <v>0</v>
      </c>
      <c r="U4834" t="n">
        <v>935.54</v>
      </c>
      <c r="X4834" t="inlineStr">
        <is>
          <t>acoa-apeca</t>
        </is>
      </c>
      <c r="Y4834" t="inlineStr">
        <is>
          <t>Atlantic Canada Opportunities Agency | Agence de promotion économique du Canada atlantique</t>
        </is>
      </c>
    </row>
    <row r="4835">
      <c r="A4835" t="inlineStr">
        <is>
          <t>T-2020-Q2-00047</t>
        </is>
      </c>
      <c r="B4835" t="inlineStr">
        <is>
          <t>SLE</t>
        </is>
      </c>
      <c r="C4835" t="inlineStr">
        <is>
          <t>President</t>
        </is>
      </c>
      <c r="D4835" t="inlineStr">
        <is>
          <t>Président</t>
        </is>
      </c>
      <c r="E4835" t="inlineStr">
        <is>
          <t>Francis McGuire</t>
        </is>
      </c>
      <c r="F4835" t="inlineStr">
        <is>
          <t>Meetings with Government of Canada officials</t>
        </is>
      </c>
      <c r="G4835" t="inlineStr">
        <is>
          <t>Réunions avec des fonctionnaires du gouvernement du Canada</t>
        </is>
      </c>
      <c r="H4835" s="1" t="n">
        <v>43685</v>
      </c>
      <c r="I4835" s="1" t="n">
        <v>43685</v>
      </c>
      <c r="J4835" t="inlineStr">
        <is>
          <t>Ottawa, Ontario</t>
        </is>
      </c>
      <c r="K4835" t="inlineStr">
        <is>
          <t>Ottawa (Ontario)</t>
        </is>
      </c>
      <c r="P4835" t="n">
        <v>708.92</v>
      </c>
      <c r="Q4835" t="n">
        <v>54.05</v>
      </c>
      <c r="R4835" t="n">
        <v>0</v>
      </c>
      <c r="S4835" t="n">
        <v>70.75</v>
      </c>
      <c r="T4835" t="n">
        <v>12</v>
      </c>
      <c r="U4835" t="n">
        <v>845.72</v>
      </c>
      <c r="X4835" t="inlineStr">
        <is>
          <t>acoa-apeca</t>
        </is>
      </c>
      <c r="Y4835" t="inlineStr">
        <is>
          <t>Atlantic Canada Opportunities Agency | Agence de promotion économique du Canada atlantique</t>
        </is>
      </c>
    </row>
    <row r="4836">
      <c r="A4836" t="inlineStr">
        <is>
          <t>T-2020-Q2-00046</t>
        </is>
      </c>
      <c r="B4836" t="inlineStr">
        <is>
          <t>SLE</t>
        </is>
      </c>
      <c r="C4836" t="inlineStr">
        <is>
          <t>President</t>
        </is>
      </c>
      <c r="D4836" t="inlineStr">
        <is>
          <t>Président</t>
        </is>
      </c>
      <c r="E4836" t="inlineStr">
        <is>
          <t>Francis McGuire</t>
        </is>
      </c>
      <c r="F4836" t="inlineStr">
        <is>
          <t>Meetings with Government of Canada officials and key stakeholders</t>
        </is>
      </c>
      <c r="G4836" t="inlineStr">
        <is>
          <t>Réunions avec des fonctionnaires du gouvernement du Canada et des intervenants clés</t>
        </is>
      </c>
      <c r="H4836" s="1" t="n">
        <v>43683</v>
      </c>
      <c r="I4836" s="1" t="n">
        <v>43684</v>
      </c>
      <c r="J4836" t="inlineStr">
        <is>
          <t>Cardigan, Prince Edward Island</t>
        </is>
      </c>
      <c r="K4836" t="inlineStr">
        <is>
          <t>Cardigan (Île-du-Prince-Édouard)</t>
        </is>
      </c>
      <c r="P4836" t="n">
        <v>0</v>
      </c>
      <c r="Q4836" t="n">
        <v>278.33</v>
      </c>
      <c r="R4836" t="n">
        <v>174.8</v>
      </c>
      <c r="S4836" t="n">
        <v>125.45</v>
      </c>
      <c r="T4836" t="n">
        <v>0</v>
      </c>
      <c r="U4836" t="n">
        <v>578.58</v>
      </c>
      <c r="X4836" t="inlineStr">
        <is>
          <t>acoa-apeca</t>
        </is>
      </c>
      <c r="Y4836" t="inlineStr">
        <is>
          <t>Atlantic Canada Opportunities Agency | Agence de promotion économique du Canada atlantique</t>
        </is>
      </c>
    </row>
    <row r="4837">
      <c r="A4837" t="inlineStr">
        <is>
          <t>T-2020-Q2-00045</t>
        </is>
      </c>
      <c r="B4837" t="inlineStr">
        <is>
          <t>SLE</t>
        </is>
      </c>
      <c r="C4837" t="inlineStr">
        <is>
          <t>President</t>
        </is>
      </c>
      <c r="D4837" t="inlineStr">
        <is>
          <t>Président</t>
        </is>
      </c>
      <c r="E4837" t="inlineStr">
        <is>
          <t>Francis McGuire</t>
        </is>
      </c>
      <c r="F4837" t="inlineStr">
        <is>
          <t>Meeting with Government of Canada and provincial officials and key stakeholders</t>
        </is>
      </c>
      <c r="G4837" t="inlineStr">
        <is>
          <t>Réunion avec des fonctionnaires du gouvernement du Canada, des fonctionnaires provinciaux et des intervenants clés</t>
        </is>
      </c>
      <c r="H4837" s="1" t="n">
        <v>43663</v>
      </c>
      <c r="I4837" s="1" t="n">
        <v>43663</v>
      </c>
      <c r="J4837" t="inlineStr">
        <is>
          <t>Halifax, Nova Scotia</t>
        </is>
      </c>
      <c r="K4837" t="inlineStr">
        <is>
          <t>Halifax (Nouvelle-Écosse)</t>
        </is>
      </c>
      <c r="P4837" t="n">
        <v>400.9</v>
      </c>
      <c r="Q4837" t="n">
        <v>84.98</v>
      </c>
      <c r="R4837" t="n">
        <v>0</v>
      </c>
      <c r="S4837" t="n">
        <v>20.1</v>
      </c>
      <c r="T4837" t="n">
        <v>12</v>
      </c>
      <c r="U4837" t="n">
        <v>517.98</v>
      </c>
      <c r="X4837" t="inlineStr">
        <is>
          <t>acoa-apeca</t>
        </is>
      </c>
      <c r="Y4837" t="inlineStr">
        <is>
          <t>Atlantic Canada Opportunities Agency | Agence de promotion économique du Canada atlantique</t>
        </is>
      </c>
    </row>
    <row r="4838">
      <c r="A4838" t="inlineStr">
        <is>
          <t>T-2020-Q2-00044</t>
        </is>
      </c>
      <c r="B4838" t="inlineStr">
        <is>
          <t>SLE</t>
        </is>
      </c>
      <c r="C4838" t="inlineStr">
        <is>
          <t>President</t>
        </is>
      </c>
      <c r="D4838" t="inlineStr">
        <is>
          <t>Président</t>
        </is>
      </c>
      <c r="E4838" t="inlineStr">
        <is>
          <t>Francis McGuire</t>
        </is>
      </c>
      <c r="F4838" t="inlineStr">
        <is>
          <t>Meetings with Government of Canada officials</t>
        </is>
      </c>
      <c r="G4838" t="inlineStr">
        <is>
          <t>Réunions avec des fonctionnaires du gouvernement du Canada</t>
        </is>
      </c>
      <c r="H4838" s="1" t="n">
        <v>43629</v>
      </c>
      <c r="I4838" s="1" t="n">
        <v>43630</v>
      </c>
      <c r="J4838" t="inlineStr">
        <is>
          <t>Ottawa, Ontario</t>
        </is>
      </c>
      <c r="K4838" t="inlineStr">
        <is>
          <t>Ottawa (Ontario)</t>
        </is>
      </c>
      <c r="P4838" t="n">
        <v>1029.39</v>
      </c>
      <c r="Q4838" t="n">
        <v>14.42</v>
      </c>
      <c r="R4838" t="n">
        <v>222.11</v>
      </c>
      <c r="S4838" t="n">
        <v>176.5</v>
      </c>
      <c r="T4838" t="n">
        <v>24</v>
      </c>
      <c r="U4838" t="n">
        <v>1466.42</v>
      </c>
      <c r="X4838" t="inlineStr">
        <is>
          <t>acoa-apeca</t>
        </is>
      </c>
      <c r="Y4838" t="inlineStr">
        <is>
          <t>Atlantic Canada Opportunities Agency | Agence de promotion économique du Canada atlantique</t>
        </is>
      </c>
    </row>
    <row r="4839">
      <c r="A4839" t="inlineStr">
        <is>
          <t>T-2020-Q2-00043</t>
        </is>
      </c>
      <c r="B4839" t="inlineStr">
        <is>
          <t>SLE</t>
        </is>
      </c>
      <c r="C4839" t="inlineStr">
        <is>
          <t>President</t>
        </is>
      </c>
      <c r="D4839" t="inlineStr">
        <is>
          <t>Président</t>
        </is>
      </c>
      <c r="E4839" t="inlineStr">
        <is>
          <t>Francis McGuire</t>
        </is>
      </c>
      <c r="F4839" t="inlineStr">
        <is>
          <t>Meeting with key stakeholders</t>
        </is>
      </c>
      <c r="G4839" t="inlineStr">
        <is>
          <t>Réunion avec des intervenants clés</t>
        </is>
      </c>
      <c r="H4839" s="1" t="n">
        <v>43677</v>
      </c>
      <c r="I4839" s="1" t="n">
        <v>43677</v>
      </c>
      <c r="J4839" t="inlineStr">
        <is>
          <t>St. Martins, New Brunswick</t>
        </is>
      </c>
      <c r="K4839" t="inlineStr">
        <is>
          <t>St. Martins (Nouveau-Brunswick)</t>
        </is>
      </c>
      <c r="P4839" t="n">
        <v>0</v>
      </c>
      <c r="Q4839" t="n">
        <v>144.98</v>
      </c>
      <c r="R4839" t="n">
        <v>0</v>
      </c>
      <c r="S4839" t="n">
        <v>20.1</v>
      </c>
      <c r="T4839" t="n">
        <v>0</v>
      </c>
      <c r="U4839" t="n">
        <v>165.08</v>
      </c>
      <c r="X4839" t="inlineStr">
        <is>
          <t>acoa-apeca</t>
        </is>
      </c>
      <c r="Y4839" t="inlineStr">
        <is>
          <t>Atlantic Canada Opportunities Agency | Agence de promotion économique du Canada atlantique</t>
        </is>
      </c>
    </row>
    <row r="4840">
      <c r="A4840" t="inlineStr">
        <is>
          <t>T-2020-Q2-00042</t>
        </is>
      </c>
      <c r="B4840" t="inlineStr">
        <is>
          <t>SLE</t>
        </is>
      </c>
      <c r="C4840" t="inlineStr">
        <is>
          <t>President</t>
        </is>
      </c>
      <c r="D4840" t="inlineStr">
        <is>
          <t>Président</t>
        </is>
      </c>
      <c r="E4840" t="inlineStr">
        <is>
          <t>Francis McGuire</t>
        </is>
      </c>
      <c r="F4840" t="inlineStr">
        <is>
          <t>Meeting with key stakeholders and Government of Canada official</t>
        </is>
      </c>
      <c r="G4840" t="inlineStr">
        <is>
          <t>Réunion avec des intervenants clés et un fonctionnaire du gouvernement du Canada</t>
        </is>
      </c>
      <c r="H4840" s="1" t="n">
        <v>43675</v>
      </c>
      <c r="I4840" s="1" t="n">
        <v>43675</v>
      </c>
      <c r="J4840" t="inlineStr">
        <is>
          <t>Back Bay, New Brunswick</t>
        </is>
      </c>
      <c r="K4840" t="inlineStr">
        <is>
          <t>Back Bay (Nouveau-Brunswick)</t>
        </is>
      </c>
      <c r="P4840" t="n">
        <v>0</v>
      </c>
      <c r="Q4840" t="n">
        <v>142.84</v>
      </c>
      <c r="R4840" t="n">
        <v>0</v>
      </c>
      <c r="S4840" t="n">
        <v>20.1</v>
      </c>
      <c r="T4840" t="n">
        <v>0</v>
      </c>
      <c r="U4840" t="n">
        <v>162.94</v>
      </c>
      <c r="X4840" t="inlineStr">
        <is>
          <t>acoa-apeca</t>
        </is>
      </c>
      <c r="Y4840" t="inlineStr">
        <is>
          <t>Atlantic Canada Opportunities Agency | Agence de promotion économique du Canada atlantique</t>
        </is>
      </c>
    </row>
    <row r="4841">
      <c r="A4841" t="inlineStr">
        <is>
          <t>T-2020-Q2-00039</t>
        </is>
      </c>
      <c r="B4841" t="inlineStr">
        <is>
          <t>SLE</t>
        </is>
      </c>
      <c r="C4841" t="inlineStr">
        <is>
          <t>President</t>
        </is>
      </c>
      <c r="D4841" t="inlineStr">
        <is>
          <t>Président</t>
        </is>
      </c>
      <c r="E4841" t="inlineStr">
        <is>
          <t>Francis McGuire</t>
        </is>
      </c>
      <c r="F4841" t="inlineStr">
        <is>
          <t>Meetings with Government of Canada officials</t>
        </is>
      </c>
      <c r="G4841" t="inlineStr">
        <is>
          <t>Réunions avec des fonctionnaires du gouvernement du Canada</t>
        </is>
      </c>
      <c r="H4841" s="1" t="n">
        <v>43661</v>
      </c>
      <c r="I4841" s="1" t="n">
        <v>43661</v>
      </c>
      <c r="J4841" t="inlineStr">
        <is>
          <t>Ottawa, Ontario</t>
        </is>
      </c>
      <c r="K4841" t="inlineStr">
        <is>
          <t>Ottawa (Ontario)</t>
        </is>
      </c>
      <c r="P4841" t="n">
        <v>726.8</v>
      </c>
      <c r="Q4841" t="n">
        <v>16.05</v>
      </c>
      <c r="R4841" t="n">
        <v>0</v>
      </c>
      <c r="S4841" t="n">
        <v>70.75</v>
      </c>
      <c r="T4841" t="n">
        <v>12</v>
      </c>
      <c r="U4841" t="n">
        <v>825.6</v>
      </c>
      <c r="X4841" t="inlineStr">
        <is>
          <t>acoa-apeca</t>
        </is>
      </c>
      <c r="Y4841" t="inlineStr">
        <is>
          <t>Atlantic Canada Opportunities Agency | Agence de promotion économique du Canada atlantique</t>
        </is>
      </c>
    </row>
    <row r="4842">
      <c r="A4842" t="inlineStr">
        <is>
          <t>T-2020-Q2-00038</t>
        </is>
      </c>
      <c r="B4842" t="inlineStr">
        <is>
          <t>SLE</t>
        </is>
      </c>
      <c r="C4842" t="inlineStr">
        <is>
          <t>President</t>
        </is>
      </c>
      <c r="D4842" t="inlineStr">
        <is>
          <t>Président</t>
        </is>
      </c>
      <c r="E4842" t="inlineStr">
        <is>
          <t>Francis McGuire</t>
        </is>
      </c>
      <c r="F4842" t="inlineStr">
        <is>
          <t>Meeting with Government of Canada officials</t>
        </is>
      </c>
      <c r="G4842" t="inlineStr">
        <is>
          <t>Réunion avec des fonctionnaires du gouvernement du Canada</t>
        </is>
      </c>
      <c r="H4842" s="1" t="n">
        <v>43655</v>
      </c>
      <c r="I4842" s="1" t="n">
        <v>43656</v>
      </c>
      <c r="J4842" t="inlineStr">
        <is>
          <t>Ottawa, Ontario</t>
        </is>
      </c>
      <c r="K4842" t="inlineStr">
        <is>
          <t>Ottawa (Ontario)</t>
        </is>
      </c>
      <c r="P4842" t="n">
        <v>672.61</v>
      </c>
      <c r="Q4842" t="n">
        <v>0</v>
      </c>
      <c r="R4842" t="n">
        <v>222.11</v>
      </c>
      <c r="S4842" t="n">
        <v>125.85</v>
      </c>
      <c r="T4842" t="n">
        <v>0</v>
      </c>
      <c r="U4842" t="n">
        <v>1020.57</v>
      </c>
      <c r="X4842" t="inlineStr">
        <is>
          <t>acoa-apeca</t>
        </is>
      </c>
      <c r="Y4842" t="inlineStr">
        <is>
          <t>Atlantic Canada Opportunities Agency | Agence de promotion économique du Canada atlantique</t>
        </is>
      </c>
    </row>
    <row r="4843">
      <c r="A4843" t="inlineStr">
        <is>
          <t>T-2020-Q2-00052</t>
        </is>
      </c>
      <c r="B4843" t="inlineStr">
        <is>
          <t>SLE</t>
        </is>
      </c>
      <c r="C4843" t="inlineStr">
        <is>
          <t>Vice-President, Finance and Corporate Services</t>
        </is>
      </c>
      <c r="D4843" t="inlineStr">
        <is>
          <t>Vice-président, Finance et Services corporatifs</t>
        </is>
      </c>
      <c r="E4843" t="inlineStr">
        <is>
          <t>Stephane Lagace</t>
        </is>
      </c>
      <c r="F4843" t="inlineStr">
        <is>
          <t>Various meetings with Government of Canada employees</t>
        </is>
      </c>
      <c r="G4843" t="inlineStr">
        <is>
          <t>Diverses réunions avec des fonctionnaires du gouvernement du Canada</t>
        </is>
      </c>
      <c r="H4843" s="1" t="n">
        <v>43704</v>
      </c>
      <c r="I4843" s="1" t="n">
        <v>43705</v>
      </c>
      <c r="J4843" t="inlineStr">
        <is>
          <t>Ottawa, Ontario</t>
        </is>
      </c>
      <c r="K4843" t="inlineStr">
        <is>
          <t>Ottawa (Ontario)</t>
        </is>
      </c>
      <c r="P4843" t="n">
        <v>1284.76</v>
      </c>
      <c r="Q4843" t="n">
        <v>61.26</v>
      </c>
      <c r="R4843" t="n">
        <v>222.11</v>
      </c>
      <c r="S4843" t="n">
        <v>176.5</v>
      </c>
      <c r="T4843" t="n">
        <v>35.74</v>
      </c>
      <c r="U4843" t="n">
        <v>1780.37</v>
      </c>
      <c r="X4843" t="inlineStr">
        <is>
          <t>acoa-apeca</t>
        </is>
      </c>
      <c r="Y4843" t="inlineStr">
        <is>
          <t>Atlantic Canada Opportunities Agency | Agence de promotion économique du Canada atlantique</t>
        </is>
      </c>
    </row>
    <row r="4844">
      <c r="A4844" t="inlineStr">
        <is>
          <t>T-2020-Q2-00053</t>
        </is>
      </c>
      <c r="B4844" t="inlineStr">
        <is>
          <t>SLE</t>
        </is>
      </c>
      <c r="C4844" t="inlineStr">
        <is>
          <t>Vice-President, Newfoundland and Labrador (Acting)</t>
        </is>
      </c>
      <c r="D4844" t="inlineStr">
        <is>
          <t>Vice-président, Terre-neuve et Labrador (Intérimaire)</t>
        </is>
      </c>
      <c r="E4844" t="inlineStr">
        <is>
          <t>Madonna Kent</t>
        </is>
      </c>
      <c r="F4844" t="inlineStr">
        <is>
          <t>Acting Vice-President of ACOA Newfoundland and Labrador</t>
        </is>
      </c>
      <c r="G4844" t="inlineStr">
        <is>
          <t>Vice-présidente par intérim, bureau de l'APECA à Terre-Neuve-et-Labrador</t>
        </is>
      </c>
      <c r="H4844" s="1" t="n">
        <v>43680</v>
      </c>
      <c r="I4844" s="1" t="n">
        <v>43695</v>
      </c>
      <c r="J4844" t="inlineStr">
        <is>
          <t>St. John's, Newfoundland and Labrador</t>
        </is>
      </c>
      <c r="K4844" t="inlineStr">
        <is>
          <t>St. John's (Terre-Neuve-et-Labrador)</t>
        </is>
      </c>
      <c r="P4844" t="n">
        <v>582.78</v>
      </c>
      <c r="Q4844" t="n">
        <v>72.53</v>
      </c>
      <c r="R4844" t="n">
        <v>600</v>
      </c>
      <c r="S4844" t="n">
        <v>1221.4</v>
      </c>
      <c r="T4844" t="n">
        <v>0</v>
      </c>
      <c r="U4844" t="n">
        <v>2476.71</v>
      </c>
      <c r="X4844" t="inlineStr">
        <is>
          <t>acoa-apeca</t>
        </is>
      </c>
      <c r="Y4844" t="inlineStr">
        <is>
          <t>Atlantic Canada Opportunities Agency | Agence de promotion économique du Canada atlantique</t>
        </is>
      </c>
    </row>
    <row r="4845">
      <c r="A4845" t="inlineStr">
        <is>
          <t>T-2020-Q2-00055</t>
        </is>
      </c>
      <c r="B4845" t="inlineStr">
        <is>
          <t>SLE</t>
        </is>
      </c>
      <c r="C4845" t="inlineStr">
        <is>
          <t>Vice-President, Newfoundland and Labrador (Acting)</t>
        </is>
      </c>
      <c r="D4845" t="inlineStr">
        <is>
          <t>Vice-président, Terre-neuve et Labrador (Intérimaire)</t>
        </is>
      </c>
      <c r="E4845" t="inlineStr">
        <is>
          <t>Wade AuCoin</t>
        </is>
      </c>
      <c r="F4845" t="inlineStr">
        <is>
          <t xml:space="preserve">Acting Vice-President of ACOA Newfoundland and Labrador </t>
        </is>
      </c>
      <c r="G4845" t="inlineStr">
        <is>
          <t>Vice-président par intérim, bureau de l'APECA à Terre-Neuve-et-Labrador</t>
        </is>
      </c>
      <c r="H4845" s="1" t="n">
        <v>43703</v>
      </c>
      <c r="I4845" s="1" t="n">
        <v>43706</v>
      </c>
      <c r="J4845" t="inlineStr">
        <is>
          <t>St. John's and Happy Valley-Goose Bay, Newfoundland and Labrador</t>
        </is>
      </c>
      <c r="K4845" t="inlineStr">
        <is>
          <t>St. John's et Happy Valley-Goose Bay (Terre-Neuve-et-Labrador)</t>
        </is>
      </c>
      <c r="P4845" t="n">
        <v>1608.03</v>
      </c>
      <c r="Q4845" t="n">
        <v>581.14</v>
      </c>
      <c r="R4845" t="n">
        <v>615.77</v>
      </c>
      <c r="S4845" t="n">
        <v>414.1</v>
      </c>
      <c r="T4845" t="n">
        <v>0</v>
      </c>
      <c r="U4845" t="n">
        <v>3219.04</v>
      </c>
      <c r="X4845" t="inlineStr">
        <is>
          <t>acoa-apeca</t>
        </is>
      </c>
      <c r="Y4845" t="inlineStr">
        <is>
          <t>Atlantic Canada Opportunities Agency | Agence de promotion économique du Canada atlantique</t>
        </is>
      </c>
    </row>
    <row r="4846">
      <c r="A4846" t="inlineStr">
        <is>
          <t>T-2020-Q2-00054</t>
        </is>
      </c>
      <c r="B4846" t="inlineStr">
        <is>
          <t>SLE</t>
        </is>
      </c>
      <c r="C4846" t="inlineStr">
        <is>
          <t>Vice-President, Newfoundland and Labrador (Acting)</t>
        </is>
      </c>
      <c r="D4846" t="inlineStr">
        <is>
          <t>Vice-président, Terre-neuve et Labrador (Intérimaire)</t>
        </is>
      </c>
      <c r="E4846" t="inlineStr">
        <is>
          <t>Wade AuCoin</t>
        </is>
      </c>
      <c r="F4846" t="inlineStr">
        <is>
          <t xml:space="preserve">Acting Vice-President of ACOA Newfoundland and Labrador </t>
        </is>
      </c>
      <c r="G4846" t="inlineStr">
        <is>
          <t>Vice-président par intérim, bureau de l'APECA à Terre-Neuve-et-Labrador</t>
        </is>
      </c>
      <c r="H4846" s="1" t="n">
        <v>43696</v>
      </c>
      <c r="I4846" s="1" t="n">
        <v>43699</v>
      </c>
      <c r="J4846" t="inlineStr">
        <is>
          <t>St. John's, Newfoundland and Labrador</t>
        </is>
      </c>
      <c r="K4846" t="inlineStr">
        <is>
          <t>St. John's (Terre-Neuve-et-Labrador)</t>
        </is>
      </c>
      <c r="P4846" t="n">
        <v>560.34</v>
      </c>
      <c r="Q4846" t="n">
        <v>362.48</v>
      </c>
      <c r="R4846" t="n">
        <v>644.98</v>
      </c>
      <c r="S4846" t="n">
        <v>434.2</v>
      </c>
      <c r="T4846" t="n">
        <v>0</v>
      </c>
      <c r="U4846" t="n">
        <v>2002</v>
      </c>
      <c r="X4846" t="inlineStr">
        <is>
          <t>acoa-apeca</t>
        </is>
      </c>
      <c r="Y4846" t="inlineStr">
        <is>
          <t>Atlantic Canada Opportunities Agency | Agence de promotion économique du Canada atlantique</t>
        </is>
      </c>
    </row>
    <row r="4847">
      <c r="A4847" t="inlineStr">
        <is>
          <t>T-2020-Q3-00013</t>
        </is>
      </c>
      <c r="B4847" t="inlineStr">
        <is>
          <t>SLE</t>
        </is>
      </c>
      <c r="C4847" t="inlineStr">
        <is>
          <t>Senior Advisor (Energy)</t>
        </is>
      </c>
      <c r="D4847" t="inlineStr">
        <is>
          <t>Conseiller spécial (energie)</t>
        </is>
      </c>
      <c r="E4847" t="inlineStr">
        <is>
          <t>Andrew F. Noseworthy</t>
        </is>
      </c>
      <c r="F4847" t="inlineStr">
        <is>
          <t>Attend the Ocean Supercluster Board meeting</t>
        </is>
      </c>
      <c r="G4847" t="inlineStr">
        <is>
          <t>Assister à la réunion du conseil de la supergrappe de l'économie océanique</t>
        </is>
      </c>
      <c r="H4847" s="1" t="n">
        <v>43735</v>
      </c>
      <c r="I4847" s="1" t="n">
        <v>43735</v>
      </c>
      <c r="J4847" t="inlineStr">
        <is>
          <t>Halifax, Nova Scotia</t>
        </is>
      </c>
      <c r="K4847" t="inlineStr">
        <is>
          <t>Halifax (Nouvelle-Écosse)</t>
        </is>
      </c>
      <c r="P4847" t="n">
        <v>942.6</v>
      </c>
      <c r="Q4847" t="n">
        <v>91</v>
      </c>
      <c r="R4847" t="n">
        <v>0</v>
      </c>
      <c r="S4847" t="n">
        <v>71.15000000000001</v>
      </c>
      <c r="T4847" t="n">
        <v>0</v>
      </c>
      <c r="U4847" t="n">
        <v>1104.75</v>
      </c>
      <c r="X4847" t="inlineStr">
        <is>
          <t>acoa-apeca</t>
        </is>
      </c>
      <c r="Y4847" t="inlineStr">
        <is>
          <t>Atlantic Canada Opportunities Agency | Agence de promotion économique du Canada atlantique</t>
        </is>
      </c>
    </row>
    <row r="4848">
      <c r="A4848" t="inlineStr">
        <is>
          <t>T-2020-Q3-00014</t>
        </is>
      </c>
      <c r="B4848" t="inlineStr">
        <is>
          <t>SLE</t>
        </is>
      </c>
      <c r="C4848" t="inlineStr">
        <is>
          <t>Senior Advisor (Energy)</t>
        </is>
      </c>
      <c r="D4848" t="inlineStr">
        <is>
          <t>Conseiller spécial (energie)</t>
        </is>
      </c>
      <c r="E4848" t="inlineStr">
        <is>
          <t>Andrew F. Noseworthy</t>
        </is>
      </c>
      <c r="F4848" t="inlineStr">
        <is>
          <t>Attend President and Vice-President's meeting</t>
        </is>
      </c>
      <c r="G4848" t="inlineStr">
        <is>
          <t>Assister à la réunion du président et du vice-président</t>
        </is>
      </c>
      <c r="H4848" s="1" t="n">
        <v>43731</v>
      </c>
      <c r="I4848" s="1" t="n">
        <v>43732</v>
      </c>
      <c r="J4848" t="inlineStr">
        <is>
          <t>Moncton, New Brunswick</t>
        </is>
      </c>
      <c r="K4848" t="inlineStr">
        <is>
          <t>Moncton (Nouveau-Brunswick)</t>
        </is>
      </c>
      <c r="P4848" t="n">
        <v>1507.62</v>
      </c>
      <c r="Q4848" t="n">
        <v>133.25</v>
      </c>
      <c r="R4848" t="n">
        <v>173.78</v>
      </c>
      <c r="S4848" t="n">
        <v>156.4</v>
      </c>
      <c r="T4848" t="n">
        <v>0</v>
      </c>
      <c r="U4848" t="n">
        <v>1971.05</v>
      </c>
      <c r="X4848" t="inlineStr">
        <is>
          <t>acoa-apeca</t>
        </is>
      </c>
      <c r="Y4848" t="inlineStr">
        <is>
          <t>Atlantic Canada Opportunities Agency | Agence de promotion économique du Canada atlantique</t>
        </is>
      </c>
    </row>
    <row r="4849">
      <c r="A4849" t="inlineStr">
        <is>
          <t>T-2020-Q3-00005</t>
        </is>
      </c>
      <c r="B4849" t="inlineStr">
        <is>
          <t>SLE</t>
        </is>
      </c>
      <c r="C4849" t="inlineStr">
        <is>
          <t>Vice-President, Policy, Programs and Communications</t>
        </is>
      </c>
      <c r="D4849" t="inlineStr">
        <is>
          <t>Vice-président, Politiques et Programmes</t>
        </is>
      </c>
      <c r="E4849" t="inlineStr">
        <is>
          <t>Daryell Nowlan</t>
        </is>
      </c>
      <c r="F4849" t="inlineStr">
        <is>
          <t>Attending the 2019 Defence &amp; Security Equipment International (DSEI) exhibition</t>
        </is>
      </c>
      <c r="G4849" t="inlineStr">
        <is>
          <t>Assister à l'exposition Defence &amp; Security Equipment International (DSEI) 2019</t>
        </is>
      </c>
      <c r="H4849" s="1" t="n">
        <v>43715</v>
      </c>
      <c r="I4849" s="1" t="n">
        <v>43720</v>
      </c>
      <c r="J4849" t="inlineStr">
        <is>
          <t>London, United Kingdom</t>
        </is>
      </c>
      <c r="K4849" t="inlineStr">
        <is>
          <t>Londres (Royaume-Uni)</t>
        </is>
      </c>
      <c r="P4849" t="n">
        <v>3115.14</v>
      </c>
      <c r="Q4849" t="n">
        <v>239.75</v>
      </c>
      <c r="R4849" t="n">
        <v>2761.49</v>
      </c>
      <c r="S4849" t="n">
        <v>955.1</v>
      </c>
      <c r="T4849" t="n">
        <v>0</v>
      </c>
      <c r="U4849" t="n">
        <v>7071.48</v>
      </c>
      <c r="X4849" t="inlineStr">
        <is>
          <t>acoa-apeca</t>
        </is>
      </c>
      <c r="Y4849" t="inlineStr">
        <is>
          <t>Atlantic Canada Opportunities Agency | Agence de promotion économique du Canada atlantique</t>
        </is>
      </c>
    </row>
    <row r="4850">
      <c r="A4850" t="inlineStr">
        <is>
          <t>T-2020-Q3-00003</t>
        </is>
      </c>
      <c r="B4850" t="inlineStr">
        <is>
          <t>SLE</t>
        </is>
      </c>
      <c r="C4850" t="inlineStr">
        <is>
          <t>Vice-President, Policy, Programs and Communications</t>
        </is>
      </c>
      <c r="D4850" t="inlineStr">
        <is>
          <t>Vice-président, Politiques et Programmes</t>
        </is>
      </c>
      <c r="E4850" t="inlineStr">
        <is>
          <t>Daryell Nowlan</t>
        </is>
      </c>
      <c r="F4850" t="inlineStr">
        <is>
          <t>Meetings with Government of Canada officials</t>
        </is>
      </c>
      <c r="G4850" t="inlineStr">
        <is>
          <t>Réunions avec des fonctionnaires fédéraux</t>
        </is>
      </c>
      <c r="H4850" s="1" t="n">
        <v>43711</v>
      </c>
      <c r="I4850" s="1" t="n">
        <v>43712</v>
      </c>
      <c r="J4850" t="inlineStr">
        <is>
          <t>Ottawa, Ontario</t>
        </is>
      </c>
      <c r="K4850" t="inlineStr">
        <is>
          <t>Ottawa (Ontario)</t>
        </is>
      </c>
      <c r="P4850" t="n">
        <v>363.4</v>
      </c>
      <c r="Q4850" t="n">
        <v>48.3</v>
      </c>
      <c r="R4850" t="n">
        <v>178.63</v>
      </c>
      <c r="S4850" t="n">
        <v>176.1</v>
      </c>
      <c r="T4850" t="n">
        <v>0</v>
      </c>
      <c r="U4850" t="n">
        <v>766.4299999999999</v>
      </c>
      <c r="X4850" t="inlineStr">
        <is>
          <t>acoa-apeca</t>
        </is>
      </c>
      <c r="Y4850" t="inlineStr">
        <is>
          <t>Atlantic Canada Opportunities Agency | Agence de promotion économique du Canada atlantique</t>
        </is>
      </c>
    </row>
    <row r="4851">
      <c r="A4851" t="inlineStr">
        <is>
          <t>T-2020-Q3-00023</t>
        </is>
      </c>
      <c r="B4851" t="inlineStr">
        <is>
          <t>SLE</t>
        </is>
      </c>
      <c r="C4851" t="inlineStr">
        <is>
          <t>Vice-President, New Brunswick</t>
        </is>
      </c>
      <c r="D4851" t="inlineStr">
        <is>
          <t>Vice-président, Nouveau-Brunswick</t>
        </is>
      </c>
      <c r="E4851" t="inlineStr">
        <is>
          <t>Kent Estabrooks</t>
        </is>
      </c>
      <c r="F4851" t="inlineStr">
        <is>
          <t>External stakeholders meetings and training and development</t>
        </is>
      </c>
      <c r="G4851" t="inlineStr">
        <is>
          <t>Réunions d'intervenants externes, et formation et perfectionnement</t>
        </is>
      </c>
      <c r="H4851" s="1" t="n">
        <v>43738</v>
      </c>
      <c r="I4851" s="1" t="n">
        <v>43741</v>
      </c>
      <c r="J4851" t="inlineStr">
        <is>
          <t>Ottawa, Ontario and Charlottetown, Prince Edward Island</t>
        </is>
      </c>
      <c r="K4851" t="inlineStr">
        <is>
          <t>Ottawa (Ontario) et Charlottetown (Île-du-Prince-Édouard)</t>
        </is>
      </c>
      <c r="P4851" t="n">
        <v>1146.7</v>
      </c>
      <c r="Q4851" t="n">
        <v>231.59</v>
      </c>
      <c r="R4851" t="n">
        <v>668.71</v>
      </c>
      <c r="S4851" t="n">
        <v>291.85</v>
      </c>
      <c r="T4851" t="n">
        <v>0</v>
      </c>
      <c r="U4851" t="n">
        <v>2338.85</v>
      </c>
      <c r="X4851" t="inlineStr">
        <is>
          <t>acoa-apeca</t>
        </is>
      </c>
      <c r="Y4851" t="inlineStr">
        <is>
          <t>Atlantic Canada Opportunities Agency | Agence de promotion économique du Canada atlantique</t>
        </is>
      </c>
    </row>
    <row r="4852">
      <c r="A4852" t="inlineStr">
        <is>
          <t>T-2020-Q3-00012</t>
        </is>
      </c>
      <c r="B4852" t="inlineStr">
        <is>
          <t>SLE</t>
        </is>
      </c>
      <c r="C4852" t="inlineStr">
        <is>
          <t>Vice-President, New Brunswick</t>
        </is>
      </c>
      <c r="D4852" t="inlineStr">
        <is>
          <t>Vice-président, Nouveau-Brunswick</t>
        </is>
      </c>
      <c r="E4852" t="inlineStr">
        <is>
          <t>Kent Estabrooks</t>
        </is>
      </c>
      <c r="F4852" t="inlineStr">
        <is>
          <t>Meeting with officials from various federal and provincial departments</t>
        </is>
      </c>
      <c r="G4852" t="inlineStr">
        <is>
          <t>Réunion avec des fonctionnaires de divers ministères fédéraux et provinciaux</t>
        </is>
      </c>
      <c r="H4852" s="1" t="n">
        <v>43725</v>
      </c>
      <c r="I4852" s="1" t="n">
        <v>43726</v>
      </c>
      <c r="J4852" t="inlineStr">
        <is>
          <t>Halifax, Nova Scotia</t>
        </is>
      </c>
      <c r="K4852" t="inlineStr">
        <is>
          <t>Halifax (Nouvelle-Écosse)</t>
        </is>
      </c>
      <c r="P4852" t="n">
        <v>726.8</v>
      </c>
      <c r="Q4852" t="n">
        <v>157.26</v>
      </c>
      <c r="R4852" t="n">
        <v>221.7</v>
      </c>
      <c r="S4852" t="n">
        <v>176.5</v>
      </c>
      <c r="T4852" t="n">
        <v>0</v>
      </c>
      <c r="U4852" t="n">
        <v>1282.26</v>
      </c>
      <c r="X4852" t="inlineStr">
        <is>
          <t>acoa-apeca</t>
        </is>
      </c>
      <c r="Y4852" t="inlineStr">
        <is>
          <t>Atlantic Canada Opportunities Agency | Agence de promotion économique du Canada atlantique</t>
        </is>
      </c>
    </row>
    <row r="4853">
      <c r="A4853" t="inlineStr">
        <is>
          <t>T-2020-Q3-00011</t>
        </is>
      </c>
      <c r="B4853" t="inlineStr">
        <is>
          <t>SLE</t>
        </is>
      </c>
      <c r="C4853" t="inlineStr">
        <is>
          <t>Vice-President, New Brunswick</t>
        </is>
      </c>
      <c r="D4853" t="inlineStr">
        <is>
          <t>Vice-président, Nouveau-Brunswick</t>
        </is>
      </c>
      <c r="E4853" t="inlineStr">
        <is>
          <t>Kent Estabrooks</t>
        </is>
      </c>
      <c r="F4853" t="inlineStr">
        <is>
          <t>Meetings with potential client, and meetings with various Agency officials</t>
        </is>
      </c>
      <c r="G4853" t="inlineStr">
        <is>
          <t>Réunions avec un client potentiel, et réunions avec divers fonctionnaires de l'Agence</t>
        </is>
      </c>
      <c r="H4853" s="1" t="n">
        <v>43731</v>
      </c>
      <c r="I4853" s="1" t="n">
        <v>43733</v>
      </c>
      <c r="J4853" t="inlineStr">
        <is>
          <t>Moncton, New Brunswick</t>
        </is>
      </c>
      <c r="K4853" t="inlineStr">
        <is>
          <t>Moncton (Nouveau-Brunswick)</t>
        </is>
      </c>
      <c r="P4853" t="n">
        <v>0</v>
      </c>
      <c r="Q4853" t="n">
        <v>2.18</v>
      </c>
      <c r="R4853" t="n">
        <v>347.56</v>
      </c>
      <c r="S4853" t="n">
        <v>173.3</v>
      </c>
      <c r="T4853" t="n">
        <v>0</v>
      </c>
      <c r="U4853" t="n">
        <v>523.04</v>
      </c>
      <c r="X4853" t="inlineStr">
        <is>
          <t>acoa-apeca</t>
        </is>
      </c>
      <c r="Y4853" t="inlineStr">
        <is>
          <t>Atlantic Canada Opportunities Agency | Agence de promotion économique du Canada atlantique</t>
        </is>
      </c>
    </row>
    <row r="4854">
      <c r="A4854" t="inlineStr">
        <is>
          <t>T-2020-Q3-00009</t>
        </is>
      </c>
      <c r="B4854" t="inlineStr">
        <is>
          <t>SLE</t>
        </is>
      </c>
      <c r="C4854" t="inlineStr">
        <is>
          <t>Vice-President, New Brunswick</t>
        </is>
      </c>
      <c r="D4854" t="inlineStr">
        <is>
          <t>Vice-président, Nouveau-Brunswick</t>
        </is>
      </c>
      <c r="E4854" t="inlineStr">
        <is>
          <t>Kent Estabrooks</t>
        </is>
      </c>
      <c r="F4854" t="inlineStr">
        <is>
          <t>Meetings with other government officials, and meetings with clients</t>
        </is>
      </c>
      <c r="G4854" t="inlineStr">
        <is>
          <t>Réunions avec d'autres fonctionnaires, et réunions avec des clients</t>
        </is>
      </c>
      <c r="H4854" s="1" t="n">
        <v>43715</v>
      </c>
      <c r="I4854" s="1" t="n">
        <v>43720</v>
      </c>
      <c r="J4854" t="inlineStr">
        <is>
          <t>St. John's, Lewisporte and Point Leamington, Newfoundland and Labrador</t>
        </is>
      </c>
      <c r="K4854" t="inlineStr">
        <is>
          <t>St. John's, Lewisporte et Point Leamington (Terre-Neuve-et-Labrador)</t>
        </is>
      </c>
      <c r="P4854" t="n">
        <v>1233.38</v>
      </c>
      <c r="Q4854" t="n">
        <v>104.98</v>
      </c>
      <c r="R4854" t="n">
        <v>555.73</v>
      </c>
      <c r="S4854" t="n">
        <v>460.75</v>
      </c>
      <c r="T4854" t="n">
        <v>0</v>
      </c>
      <c r="U4854" t="n">
        <v>2354.84</v>
      </c>
      <c r="X4854" t="inlineStr">
        <is>
          <t>acoa-apeca</t>
        </is>
      </c>
      <c r="Y4854" t="inlineStr">
        <is>
          <t>Atlantic Canada Opportunities Agency | Agence de promotion économique du Canada atlantique</t>
        </is>
      </c>
    </row>
    <row r="4855">
      <c r="A4855" t="inlineStr">
        <is>
          <t>T-2020-Q3-00001</t>
        </is>
      </c>
      <c r="B4855" t="inlineStr">
        <is>
          <t>SLE</t>
        </is>
      </c>
      <c r="C4855" t="inlineStr">
        <is>
          <t>Vice-President, New Brunswick</t>
        </is>
      </c>
      <c r="D4855" t="inlineStr">
        <is>
          <t>Vice-président, Nouveau-Brunswick</t>
        </is>
      </c>
      <c r="E4855" t="inlineStr">
        <is>
          <t>Kent Estabrooks</t>
        </is>
      </c>
      <c r="F4855" t="inlineStr">
        <is>
          <t>Meeting with Agency officials, and meetings with various Government of Canada officials</t>
        </is>
      </c>
      <c r="G4855" t="inlineStr">
        <is>
          <t>Réunions avec des fonctionnaires de l'Agence, et réunions avec divers fonctionnaires fédéraux</t>
        </is>
      </c>
      <c r="H4855" s="1" t="n">
        <v>43711</v>
      </c>
      <c r="I4855" s="1" t="n">
        <v>43712</v>
      </c>
      <c r="J4855" t="inlineStr">
        <is>
          <t>Moncton, New Brunswick</t>
        </is>
      </c>
      <c r="K4855" t="inlineStr">
        <is>
          <t>Moncton (Nouveau-Brunswick)</t>
        </is>
      </c>
      <c r="P4855" t="n">
        <v>0</v>
      </c>
      <c r="Q4855" t="n">
        <v>17.25</v>
      </c>
      <c r="R4855" t="n">
        <v>173.78</v>
      </c>
      <c r="S4855" t="n">
        <v>125.45</v>
      </c>
      <c r="T4855" t="n">
        <v>0</v>
      </c>
      <c r="U4855" t="n">
        <v>316.48</v>
      </c>
      <c r="X4855" t="inlineStr">
        <is>
          <t>acoa-apeca</t>
        </is>
      </c>
      <c r="Y4855" t="inlineStr">
        <is>
          <t>Atlantic Canada Opportunities Agency | Agence de promotion économique du Canada atlantique</t>
        </is>
      </c>
    </row>
    <row r="4856">
      <c r="A4856" t="inlineStr">
        <is>
          <t>T-2020-Q3-00010</t>
        </is>
      </c>
      <c r="B4856" t="inlineStr">
        <is>
          <t>SLE</t>
        </is>
      </c>
      <c r="C4856" t="inlineStr">
        <is>
          <t>Vice-President, Prince Edward Island</t>
        </is>
      </c>
      <c r="D4856" t="inlineStr">
        <is>
          <t>Vice-président, Île-du-Prince-Édouard</t>
        </is>
      </c>
      <c r="E4856" t="inlineStr">
        <is>
          <t>Patrick Dorsey</t>
        </is>
      </c>
      <c r="F4856" t="inlineStr">
        <is>
          <t>Meetings with federal government officials</t>
        </is>
      </c>
      <c r="G4856" t="inlineStr">
        <is>
          <t>Réunions avec des fonctionnaires fédéraux</t>
        </is>
      </c>
      <c r="H4856" s="1" t="n">
        <v>43731</v>
      </c>
      <c r="I4856" s="1" t="n">
        <v>43733</v>
      </c>
      <c r="J4856" t="inlineStr">
        <is>
          <t>Moncton, New Brunswick and Halifax, Nova Scotia</t>
        </is>
      </c>
      <c r="K4856" t="inlineStr">
        <is>
          <t>Moncton (Nouveau-Brunswick) et Halifax (Nouvelle-Écosse)</t>
        </is>
      </c>
      <c r="P4856" t="n">
        <v>0</v>
      </c>
      <c r="Q4856" t="n">
        <v>0</v>
      </c>
      <c r="R4856" t="n">
        <v>401.34</v>
      </c>
      <c r="S4856" t="n">
        <v>214.3</v>
      </c>
      <c r="T4856" t="n">
        <v>27.6</v>
      </c>
      <c r="U4856" t="n">
        <v>643.24</v>
      </c>
      <c r="X4856" t="inlineStr">
        <is>
          <t>acoa-apeca</t>
        </is>
      </c>
      <c r="Y4856" t="inlineStr">
        <is>
          <t>Atlantic Canada Opportunities Agency | Agence de promotion économique du Canada atlantique</t>
        </is>
      </c>
    </row>
    <row r="4857">
      <c r="A4857" t="inlineStr">
        <is>
          <t>T-2020-Q3-00002</t>
        </is>
      </c>
      <c r="B4857" t="inlineStr">
        <is>
          <t>SLE</t>
        </is>
      </c>
      <c r="C4857" t="inlineStr">
        <is>
          <t>Vice-President, Prince Edward Island</t>
        </is>
      </c>
      <c r="D4857" t="inlineStr">
        <is>
          <t>Vice-président, Île-du-Prince-Édouard</t>
        </is>
      </c>
      <c r="E4857" t="inlineStr">
        <is>
          <t>Patrick Dorsey</t>
        </is>
      </c>
      <c r="F4857" t="inlineStr">
        <is>
          <t>Various meetings with federal government officials</t>
        </is>
      </c>
      <c r="G4857" t="inlineStr">
        <is>
          <t>Diverses réunions avec des fonctionnaires fédéraux</t>
        </is>
      </c>
      <c r="H4857" s="1" t="n">
        <v>43717</v>
      </c>
      <c r="I4857" s="1" t="n">
        <v>43718</v>
      </c>
      <c r="J4857" t="inlineStr">
        <is>
          <t>Ottawa, Ontario</t>
        </is>
      </c>
      <c r="K4857" t="inlineStr">
        <is>
          <t>Ottawa (Ontario)</t>
        </is>
      </c>
      <c r="P4857" t="n">
        <v>918.63</v>
      </c>
      <c r="Q4857" t="n">
        <v>96.11</v>
      </c>
      <c r="R4857" t="n">
        <v>235.04</v>
      </c>
      <c r="S4857" t="n">
        <v>196.6</v>
      </c>
      <c r="T4857" t="n">
        <v>25.3</v>
      </c>
      <c r="U4857" t="n">
        <v>1471.68</v>
      </c>
      <c r="X4857" t="inlineStr">
        <is>
          <t>acoa-apeca</t>
        </is>
      </c>
      <c r="Y4857" t="inlineStr">
        <is>
          <t>Atlantic Canada Opportunities Agency | Agence de promotion économique du Canada atlantique</t>
        </is>
      </c>
    </row>
    <row r="4858">
      <c r="A4858" t="inlineStr">
        <is>
          <t>T-2020-Q3-00017</t>
        </is>
      </c>
      <c r="B4858" t="inlineStr">
        <is>
          <t>SLE</t>
        </is>
      </c>
      <c r="C4858" t="inlineStr">
        <is>
          <t>Vice-President, Nova Scotia</t>
        </is>
      </c>
      <c r="D4858" t="inlineStr">
        <is>
          <t>Vice-président, Nouvelle-Écosse</t>
        </is>
      </c>
      <c r="E4858" t="inlineStr">
        <is>
          <t>Chuck Maillet</t>
        </is>
      </c>
      <c r="F4858" t="inlineStr">
        <is>
          <t>Meeting with Agency officials in Moncton and Indigenous Economic Development Conference in Fredericton</t>
        </is>
      </c>
      <c r="G4858" t="inlineStr">
        <is>
          <t>Réunion avec des fonctionnaires de l'Agence à Moncton et conférence sur le développement économique des Autochtones à Fredericton</t>
        </is>
      </c>
      <c r="H4858" s="1" t="n">
        <v>43731</v>
      </c>
      <c r="I4858" s="1" t="n">
        <v>43733</v>
      </c>
      <c r="J4858" t="inlineStr">
        <is>
          <t>Moncton and Fredericton, New Brunswick</t>
        </is>
      </c>
      <c r="K4858" t="inlineStr">
        <is>
          <t>Moncton et Fredericton (Nouveau-Brunswick)</t>
        </is>
      </c>
      <c r="P4858" t="n">
        <v>278.08</v>
      </c>
      <c r="Q4858" t="n">
        <v>44.56</v>
      </c>
      <c r="R4858" t="n">
        <v>414.13</v>
      </c>
      <c r="S4858" t="n">
        <v>194.2</v>
      </c>
      <c r="T4858" t="n">
        <v>0</v>
      </c>
      <c r="U4858" t="n">
        <v>930.97</v>
      </c>
      <c r="X4858" t="inlineStr">
        <is>
          <t>acoa-apeca</t>
        </is>
      </c>
      <c r="Y4858" t="inlineStr">
        <is>
          <t>Atlantic Canada Opportunities Agency | Agence de promotion économique du Canada atlantique</t>
        </is>
      </c>
    </row>
    <row r="4859">
      <c r="A4859" t="inlineStr">
        <is>
          <t>T-2020-Q3-00016</t>
        </is>
      </c>
      <c r="B4859" t="inlineStr">
        <is>
          <t>SLE</t>
        </is>
      </c>
      <c r="C4859" t="inlineStr">
        <is>
          <t>Vice-President, Nova Scotia</t>
        </is>
      </c>
      <c r="D4859" t="inlineStr">
        <is>
          <t>Vice-président, Nouvelle-Écosse</t>
        </is>
      </c>
      <c r="E4859" t="inlineStr">
        <is>
          <t>Chuck Maillet</t>
        </is>
      </c>
      <c r="F4859" t="inlineStr">
        <is>
          <t>Inuit Tapiriit Kanatami executive program</t>
        </is>
      </c>
      <c r="G4859" t="inlineStr">
        <is>
          <t>Programme pour cadres de l'Inuit Tapiriit Kanatami</t>
        </is>
      </c>
      <c r="H4859" s="1" t="n">
        <v>43713</v>
      </c>
      <c r="I4859" s="1" t="n">
        <v>43714</v>
      </c>
      <c r="J4859" t="inlineStr">
        <is>
          <t>Ottawa, Ontario</t>
        </is>
      </c>
      <c r="K4859" t="inlineStr">
        <is>
          <t>Ottawa (Ontario)</t>
        </is>
      </c>
      <c r="P4859" t="n">
        <v>774.12</v>
      </c>
      <c r="Q4859" t="n">
        <v>189.76</v>
      </c>
      <c r="R4859" t="n">
        <v>199.78</v>
      </c>
      <c r="S4859" t="n">
        <v>156.4</v>
      </c>
      <c r="T4859" t="n">
        <v>0</v>
      </c>
      <c r="U4859" t="n">
        <v>1320.06</v>
      </c>
      <c r="X4859" t="inlineStr">
        <is>
          <t>acoa-apeca</t>
        </is>
      </c>
      <c r="Y4859" t="inlineStr">
        <is>
          <t>Atlantic Canada Opportunities Agency | Agence de promotion économique du Canada atlantique</t>
        </is>
      </c>
    </row>
    <row r="4860">
      <c r="A4860" t="inlineStr">
        <is>
          <t>T-2020-Q3-00015</t>
        </is>
      </c>
      <c r="B4860" t="inlineStr">
        <is>
          <t>SLE</t>
        </is>
      </c>
      <c r="C4860" t="inlineStr">
        <is>
          <t>Vice-President, Nova Scotia</t>
        </is>
      </c>
      <c r="D4860" t="inlineStr">
        <is>
          <t>Vice-président, Nouvelle-Écosse</t>
        </is>
      </c>
      <c r="E4860" t="inlineStr">
        <is>
          <t>Chuck Maillet</t>
        </is>
      </c>
      <c r="F4860" t="inlineStr">
        <is>
          <t>Various meetings with Agency officials and stakeholders</t>
        </is>
      </c>
      <c r="G4860" t="inlineStr">
        <is>
          <t>Diverses réunions avec des fonctionnaires de l'Agence et des intervenants</t>
        </is>
      </c>
      <c r="H4860" s="1" t="n">
        <v>43710</v>
      </c>
      <c r="I4860" s="1" t="n">
        <v>43711</v>
      </c>
      <c r="J4860" t="inlineStr">
        <is>
          <t>Ottawa, Ontario</t>
        </is>
      </c>
      <c r="K4860" t="inlineStr">
        <is>
          <t>Ottawa (Ontario)</t>
        </is>
      </c>
      <c r="P4860" t="n">
        <v>860.8099999999999</v>
      </c>
      <c r="Q4860" t="n">
        <v>178.22</v>
      </c>
      <c r="R4860" t="n">
        <v>225.64</v>
      </c>
      <c r="S4860" t="n">
        <v>176.5</v>
      </c>
      <c r="T4860" t="n">
        <v>0</v>
      </c>
      <c r="U4860" t="n">
        <v>1441.17</v>
      </c>
      <c r="X4860" t="inlineStr">
        <is>
          <t>acoa-apeca</t>
        </is>
      </c>
      <c r="Y4860" t="inlineStr">
        <is>
          <t>Atlantic Canada Opportunities Agency | Agence de promotion économique du Canada atlantique</t>
        </is>
      </c>
    </row>
    <row r="4861">
      <c r="A4861" t="inlineStr">
        <is>
          <t>T-2020-Q3-00026</t>
        </is>
      </c>
      <c r="B4861" t="inlineStr">
        <is>
          <t>SLE</t>
        </is>
      </c>
      <c r="C4861" t="inlineStr">
        <is>
          <t>President</t>
        </is>
      </c>
      <c r="D4861" t="inlineStr">
        <is>
          <t>Président</t>
        </is>
      </c>
      <c r="E4861" t="inlineStr">
        <is>
          <t>Francis McGuire</t>
        </is>
      </c>
      <c r="F4861" t="inlineStr">
        <is>
          <t>Travelled to Halifax, NS Saint-Pierre et Miquelon, France and St. John's, NL for various meetings with Government of Saint-Pierre et Miquelon officials, Government of Canada officials and key stakeholders</t>
        </is>
      </c>
      <c r="G4861" t="inlineStr">
        <is>
          <t>Voyage à Halifax (N.-É.), Saint-Pierre et Miquelon (France) et St. John's (T.-N.-L.) pour des réunions avec des fonctionnaires de Saint-Pierre, des fonctionnaires fédéraux et des intervenants clés</t>
        </is>
      </c>
      <c r="H4861" s="1" t="n">
        <v>43668</v>
      </c>
      <c r="I4861" s="1" t="n">
        <v>43671</v>
      </c>
      <c r="J4861" t="inlineStr">
        <is>
          <t>Halifax, Nova Scotia; Saint-Pierre et Miquelon, France; St. John's, Newfoundland and Labrador</t>
        </is>
      </c>
      <c r="K4861" t="inlineStr">
        <is>
          <t>Halifax (Nouvelle-Écosse); Saint-Pierre et Miquelon (France); St. John's (Terre-Neuve-et-Labrador)</t>
        </is>
      </c>
      <c r="P4861" t="n">
        <v>1411.46</v>
      </c>
      <c r="Q4861" t="n">
        <v>107.47</v>
      </c>
      <c r="R4861" t="n">
        <v>476</v>
      </c>
      <c r="S4861" t="n">
        <v>200.65</v>
      </c>
      <c r="T4861" t="n">
        <v>0</v>
      </c>
      <c r="U4861" t="n">
        <v>2195.58</v>
      </c>
      <c r="X4861" t="inlineStr">
        <is>
          <t>acoa-apeca</t>
        </is>
      </c>
      <c r="Y4861" t="inlineStr">
        <is>
          <t>Atlantic Canada Opportunities Agency | Agence de promotion économique du Canada atlantique</t>
        </is>
      </c>
    </row>
    <row r="4862">
      <c r="A4862" t="inlineStr">
        <is>
          <t>T-2020-Q3-00025</t>
        </is>
      </c>
      <c r="B4862" t="inlineStr">
        <is>
          <t>SLE</t>
        </is>
      </c>
      <c r="C4862" t="inlineStr">
        <is>
          <t>President</t>
        </is>
      </c>
      <c r="D4862" t="inlineStr">
        <is>
          <t>Président</t>
        </is>
      </c>
      <c r="E4862" t="inlineStr">
        <is>
          <t>Francis McGuire</t>
        </is>
      </c>
      <c r="F4862" t="inlineStr">
        <is>
          <t>Meeting with Government of Canada officials</t>
        </is>
      </c>
      <c r="G4862" t="inlineStr">
        <is>
          <t>Réunion avec des fonctionnaires fédéraux</t>
        </is>
      </c>
      <c r="H4862" s="1" t="n">
        <v>43726</v>
      </c>
      <c r="I4862" s="1" t="n">
        <v>43728</v>
      </c>
      <c r="J4862" t="inlineStr">
        <is>
          <t>Ottawa, Ontario</t>
        </is>
      </c>
      <c r="K4862" t="inlineStr">
        <is>
          <t>Ottawa (Ontario)</t>
        </is>
      </c>
      <c r="P4862" t="n">
        <v>713.65</v>
      </c>
      <c r="Q4862" t="n">
        <v>14.98</v>
      </c>
      <c r="R4862" t="n">
        <v>547.64</v>
      </c>
      <c r="S4862" t="n">
        <v>264.95</v>
      </c>
      <c r="T4862" t="n">
        <v>36</v>
      </c>
      <c r="U4862" t="n">
        <v>1577.22</v>
      </c>
      <c r="X4862" t="inlineStr">
        <is>
          <t>acoa-apeca</t>
        </is>
      </c>
      <c r="Y4862" t="inlineStr">
        <is>
          <t>Atlantic Canada Opportunities Agency | Agence de promotion économique du Canada atlantique</t>
        </is>
      </c>
    </row>
    <row r="4863">
      <c r="A4863" t="inlineStr">
        <is>
          <t>T-2020-Q3-00024</t>
        </is>
      </c>
      <c r="B4863" t="inlineStr">
        <is>
          <t>SLE</t>
        </is>
      </c>
      <c r="C4863" t="inlineStr">
        <is>
          <t>President</t>
        </is>
      </c>
      <c r="D4863" t="inlineStr">
        <is>
          <t>Président</t>
        </is>
      </c>
      <c r="E4863" t="inlineStr">
        <is>
          <t>Francis McGuire</t>
        </is>
      </c>
      <c r="F4863" t="inlineStr">
        <is>
          <t xml:space="preserve">Meetings with Government of Canada officials </t>
        </is>
      </c>
      <c r="G4863" t="inlineStr">
        <is>
          <t>Réunions avec des fonctionnaires fédéraux</t>
        </is>
      </c>
      <c r="H4863" s="1" t="n">
        <v>43738</v>
      </c>
      <c r="I4863" s="1" t="n">
        <v>43740</v>
      </c>
      <c r="J4863" t="inlineStr">
        <is>
          <t>Ottawa, Ontario</t>
        </is>
      </c>
      <c r="K4863" t="inlineStr">
        <is>
          <t>Ottawa (Ontario)</t>
        </is>
      </c>
      <c r="P4863" t="n">
        <v>502</v>
      </c>
      <c r="Q4863" t="n">
        <v>14.98</v>
      </c>
      <c r="R4863" t="n">
        <v>642.84</v>
      </c>
      <c r="S4863" t="n">
        <v>214.15</v>
      </c>
      <c r="T4863" t="n">
        <v>32</v>
      </c>
      <c r="U4863" t="n">
        <v>1405.97</v>
      </c>
      <c r="X4863" t="inlineStr">
        <is>
          <t>acoa-apeca</t>
        </is>
      </c>
      <c r="Y4863" t="inlineStr">
        <is>
          <t>Atlantic Canada Opportunities Agency | Agence de promotion économique du Canada atlantique</t>
        </is>
      </c>
    </row>
    <row r="4864">
      <c r="A4864" t="inlineStr">
        <is>
          <t>T-2020-Q3-00008</t>
        </is>
      </c>
      <c r="B4864" t="inlineStr">
        <is>
          <t>SLE</t>
        </is>
      </c>
      <c r="C4864" t="inlineStr">
        <is>
          <t>President</t>
        </is>
      </c>
      <c r="D4864" t="inlineStr">
        <is>
          <t>Président</t>
        </is>
      </c>
      <c r="E4864" t="inlineStr">
        <is>
          <t>Francis McGuire</t>
        </is>
      </c>
      <c r="F4864" t="inlineStr">
        <is>
          <t>Meetings with Government of Canada officials and key stakeholders</t>
        </is>
      </c>
      <c r="G4864" t="inlineStr">
        <is>
          <t>Réunions avec des fonctionnaires du gouvernement du Canada et des intervenants clés</t>
        </is>
      </c>
      <c r="H4864" s="1" t="n">
        <v>43719</v>
      </c>
      <c r="I4864" s="1" t="n">
        <v>43721</v>
      </c>
      <c r="J4864" t="inlineStr">
        <is>
          <t>St. John's, Newfoundland and Labrador and Halifax, Nova Scotia</t>
        </is>
      </c>
      <c r="K4864" t="inlineStr">
        <is>
          <t>St. John's (Terre-Neuve-et-Labrador) et Halifax (Nouvelle-Écosse)</t>
        </is>
      </c>
      <c r="P4864" t="n">
        <v>1310.63</v>
      </c>
      <c r="Q4864" t="n">
        <v>14.98</v>
      </c>
      <c r="R4864" t="n">
        <v>437.92</v>
      </c>
      <c r="S4864" t="n">
        <v>234.4</v>
      </c>
      <c r="T4864" t="n">
        <v>36</v>
      </c>
      <c r="U4864" t="n">
        <v>2033.93</v>
      </c>
      <c r="X4864" t="inlineStr">
        <is>
          <t>acoa-apeca</t>
        </is>
      </c>
      <c r="Y4864" t="inlineStr">
        <is>
          <t>Atlantic Canada Opportunities Agency | Agence de promotion économique du Canada atlantique</t>
        </is>
      </c>
    </row>
    <row r="4865">
      <c r="A4865" t="inlineStr">
        <is>
          <t>T-2020-Q3-00007</t>
        </is>
      </c>
      <c r="B4865" t="inlineStr">
        <is>
          <t>SLE</t>
        </is>
      </c>
      <c r="C4865" t="inlineStr">
        <is>
          <t>President</t>
        </is>
      </c>
      <c r="D4865" t="inlineStr">
        <is>
          <t>Président</t>
        </is>
      </c>
      <c r="E4865" t="inlineStr">
        <is>
          <t>Francis McGuire</t>
        </is>
      </c>
      <c r="F4865" t="inlineStr">
        <is>
          <t>Meetings with Government of Canada officials and key stakeholder</t>
        </is>
      </c>
      <c r="G4865" t="inlineStr">
        <is>
          <t>Réunions avec des fonctionnaires du gouvernement du Canada et un intervenant clé</t>
        </is>
      </c>
      <c r="H4865" s="1" t="n">
        <v>43711</v>
      </c>
      <c r="I4865" s="1" t="n">
        <v>43711</v>
      </c>
      <c r="J4865" t="inlineStr">
        <is>
          <t>Ottawa, Ontario</t>
        </is>
      </c>
      <c r="K4865" t="inlineStr">
        <is>
          <t>Ottawa (Ontario)</t>
        </is>
      </c>
      <c r="P4865" t="n">
        <v>686.8</v>
      </c>
      <c r="Q4865" t="n">
        <v>46.98</v>
      </c>
      <c r="R4865" t="n">
        <v>0</v>
      </c>
      <c r="S4865" t="n">
        <v>70.75</v>
      </c>
      <c r="T4865" t="n">
        <v>12</v>
      </c>
      <c r="U4865" t="n">
        <v>816.53</v>
      </c>
      <c r="X4865" t="inlineStr">
        <is>
          <t>acoa-apeca</t>
        </is>
      </c>
      <c r="Y4865" t="inlineStr">
        <is>
          <t>Atlantic Canada Opportunities Agency | Agence de promotion économique du Canada atlantique</t>
        </is>
      </c>
    </row>
    <row r="4866">
      <c r="A4866" t="inlineStr">
        <is>
          <t>T-2020-Q3-00004</t>
        </is>
      </c>
      <c r="B4866" t="inlineStr">
        <is>
          <t>SLE</t>
        </is>
      </c>
      <c r="C4866" t="inlineStr">
        <is>
          <t>Vice-President, Finance and Corporate Services</t>
        </is>
      </c>
      <c r="D4866" t="inlineStr">
        <is>
          <t>Vice-président, Finance et Services corporatifs</t>
        </is>
      </c>
      <c r="E4866" t="inlineStr">
        <is>
          <t>Stephane Lagace</t>
        </is>
      </c>
      <c r="F4866" t="inlineStr">
        <is>
          <t>Various meetings with Government of Canada employees</t>
        </is>
      </c>
      <c r="G4866" t="inlineStr">
        <is>
          <t>Diverses réunions avec des employés du gouvernement du Canada</t>
        </is>
      </c>
      <c r="H4866" s="1" t="n">
        <v>43719</v>
      </c>
      <c r="I4866" s="1" t="n">
        <v>43721</v>
      </c>
      <c r="J4866" t="inlineStr">
        <is>
          <t>St. John's, Newfoundland and Labrador</t>
        </is>
      </c>
      <c r="K4866" t="inlineStr">
        <is>
          <t>St. John's (Terre-Neuve-et-Labrador)</t>
        </is>
      </c>
      <c r="P4866" t="n">
        <v>1024.94</v>
      </c>
      <c r="Q4866" t="n">
        <v>65</v>
      </c>
      <c r="R4866" t="n">
        <v>437.92</v>
      </c>
      <c r="S4866" t="n">
        <v>214.3</v>
      </c>
      <c r="T4866" t="n">
        <v>51.74</v>
      </c>
      <c r="U4866" t="n">
        <v>1793.9</v>
      </c>
      <c r="X4866" t="inlineStr">
        <is>
          <t>acoa-apeca</t>
        </is>
      </c>
      <c r="Y4866" t="inlineStr">
        <is>
          <t>Atlantic Canada Opportunities Agency | Agence de promotion économique du Canada atlantique</t>
        </is>
      </c>
    </row>
    <row r="4867">
      <c r="A4867" t="inlineStr">
        <is>
          <t>T-2020-Q3-00020</t>
        </is>
      </c>
      <c r="B4867" t="inlineStr">
        <is>
          <t>SLE</t>
        </is>
      </c>
      <c r="C4867" t="inlineStr">
        <is>
          <t>Acting Vice-President, Newfoundland and Labrador</t>
        </is>
      </c>
      <c r="D4867" t="inlineStr">
        <is>
          <t>Vice-président par intérim, Terre-Neuve et Labrador</t>
        </is>
      </c>
      <c r="E4867" t="inlineStr">
        <is>
          <t>Bill Grandy</t>
        </is>
      </c>
      <c r="F4867" t="inlineStr">
        <is>
          <t xml:space="preserve">Acting Vice-President of ACOA Newfoundland and Labrador </t>
        </is>
      </c>
      <c r="G4867" t="inlineStr">
        <is>
          <t>Vice-président par intérim du bureau de l'APECA à Terre-Neuve-et-Labrador</t>
        </is>
      </c>
      <c r="H4867" s="1" t="n">
        <v>43737</v>
      </c>
      <c r="I4867" s="1" t="n">
        <v>43741</v>
      </c>
      <c r="J4867" t="inlineStr">
        <is>
          <t>St. John's, Newfoundland and Labrador</t>
        </is>
      </c>
      <c r="K4867" t="inlineStr">
        <is>
          <t>St. John's (Terre-Neuve-et-Labrador)</t>
        </is>
      </c>
      <c r="P4867" t="n">
        <v>1133.15</v>
      </c>
      <c r="Q4867" t="n">
        <v>85</v>
      </c>
      <c r="R4867" t="n">
        <v>852.04</v>
      </c>
      <c r="S4867" t="n">
        <v>431.75</v>
      </c>
      <c r="T4867" t="n">
        <v>0</v>
      </c>
      <c r="U4867" t="n">
        <v>2501.94</v>
      </c>
      <c r="X4867" t="inlineStr">
        <is>
          <t>acoa-apeca</t>
        </is>
      </c>
      <c r="Y4867" t="inlineStr">
        <is>
          <t>Atlantic Canada Opportunities Agency | Agence de promotion économique du Canada atlantique</t>
        </is>
      </c>
    </row>
    <row r="4868">
      <c r="A4868" t="inlineStr">
        <is>
          <t>T-2020-Q3-00006</t>
        </is>
      </c>
      <c r="B4868" t="inlineStr">
        <is>
          <t>SLE</t>
        </is>
      </c>
      <c r="C4868" t="inlineStr">
        <is>
          <t>Acting Vice-President, Newfoundland and Labrador</t>
        </is>
      </c>
      <c r="D4868" t="inlineStr">
        <is>
          <t>Vice-président par intérim, Terre-Neuve et Labrador</t>
        </is>
      </c>
      <c r="E4868" t="inlineStr">
        <is>
          <t>Bill Grandy</t>
        </is>
      </c>
      <c r="F4868" t="inlineStr">
        <is>
          <t>Acting Vice-President of ACOA Newfoundland and Labrador</t>
        </is>
      </c>
      <c r="G4868" t="inlineStr">
        <is>
          <t>Vice-président par intérim, bureau de l'APECA à Terre-Neuve-et-Labrador</t>
        </is>
      </c>
      <c r="H4868" s="1" t="n">
        <v>43717</v>
      </c>
      <c r="I4868" s="1" t="n">
        <v>43727</v>
      </c>
      <c r="J4868" t="inlineStr">
        <is>
          <t>St. John's, Newfoundland and Labrador</t>
        </is>
      </c>
      <c r="K4868" t="inlineStr">
        <is>
          <t>St. John's (Newfoundland and Labrador)</t>
        </is>
      </c>
      <c r="P4868" t="n">
        <v>213.64</v>
      </c>
      <c r="Q4868" t="n">
        <v>150</v>
      </c>
      <c r="R4868" t="n">
        <v>2130.1</v>
      </c>
      <c r="S4868" t="n">
        <v>1173.95</v>
      </c>
      <c r="T4868" t="n">
        <v>69</v>
      </c>
      <c r="U4868" t="n">
        <v>3736.69</v>
      </c>
      <c r="X4868" t="inlineStr">
        <is>
          <t>acoa-apeca</t>
        </is>
      </c>
      <c r="Y4868" t="inlineStr">
        <is>
          <t>Atlantic Canada Opportunities Agency | Agence de promotion économique du Canada atlantique</t>
        </is>
      </c>
    </row>
    <row r="4869">
      <c r="A4869" t="inlineStr">
        <is>
          <t>T-2020-Q3-00038</t>
        </is>
      </c>
      <c r="B4869" t="inlineStr">
        <is>
          <t>SLE</t>
        </is>
      </c>
      <c r="C4869" t="inlineStr">
        <is>
          <t>Vice-President, Policy, Programs and Communications</t>
        </is>
      </c>
      <c r="D4869" t="inlineStr">
        <is>
          <t>Vice-président, Politiques et Programmes</t>
        </is>
      </c>
      <c r="E4869" t="inlineStr">
        <is>
          <t>Daryell Nowlan</t>
        </is>
      </c>
      <c r="F4869" t="inlineStr">
        <is>
          <t>Meetings with Government of Canada officials</t>
        </is>
      </c>
      <c r="G4869" t="inlineStr">
        <is>
          <t>Réunions avec des fonctionnaires du gouvernement du Canada</t>
        </is>
      </c>
      <c r="H4869" s="1" t="n">
        <v>43761</v>
      </c>
      <c r="I4869" s="1" t="n">
        <v>43763</v>
      </c>
      <c r="J4869" t="inlineStr">
        <is>
          <t>Ottawa, Ontario</t>
        </is>
      </c>
      <c r="K4869" t="inlineStr">
        <is>
          <t>Ottawa (Ontario)</t>
        </is>
      </c>
      <c r="P4869" t="n">
        <v>726.8</v>
      </c>
      <c r="Q4869" t="n">
        <v>109.14</v>
      </c>
      <c r="R4869" t="n">
        <v>642.84</v>
      </c>
      <c r="S4869" t="n">
        <v>265.35</v>
      </c>
      <c r="T4869" t="n">
        <v>0</v>
      </c>
      <c r="U4869" t="n">
        <v>1744.13</v>
      </c>
      <c r="X4869" t="inlineStr">
        <is>
          <t>acoa-apeca</t>
        </is>
      </c>
      <c r="Y4869" t="inlineStr">
        <is>
          <t>Atlantic Canada Opportunities Agency | Agence de promotion économique du Canada atlantique</t>
        </is>
      </c>
    </row>
    <row r="4870">
      <c r="A4870" t="inlineStr">
        <is>
          <t>T-2020-Q3-00027</t>
        </is>
      </c>
      <c r="B4870" t="inlineStr">
        <is>
          <t>SLE</t>
        </is>
      </c>
      <c r="C4870" t="inlineStr">
        <is>
          <t>Vice-President, Policy, Programs and Communications</t>
        </is>
      </c>
      <c r="D4870" t="inlineStr">
        <is>
          <t>Vice-président, Politiques et Programmes</t>
        </is>
      </c>
      <c r="E4870" t="inlineStr">
        <is>
          <t>Daryell Nowlan</t>
        </is>
      </c>
      <c r="F4870" t="inlineStr">
        <is>
          <t>Meeting with Government of Canada officials</t>
        </is>
      </c>
      <c r="G4870" t="inlineStr">
        <is>
          <t>Réunion avec des fonctionnaires du gouvernement du Canada</t>
        </is>
      </c>
      <c r="H4870" s="1" t="n">
        <v>43746</v>
      </c>
      <c r="I4870" s="1" t="n">
        <v>43746</v>
      </c>
      <c r="J4870" t="inlineStr">
        <is>
          <t>Fredericton, New Brunswick</t>
        </is>
      </c>
      <c r="K4870" t="inlineStr">
        <is>
          <t>Fredericton (Nouveau-Brunswick)</t>
        </is>
      </c>
      <c r="P4870" t="n">
        <v>0</v>
      </c>
      <c r="Q4870" t="n">
        <v>187.25</v>
      </c>
      <c r="R4870" t="n">
        <v>0</v>
      </c>
      <c r="S4870" t="n">
        <v>20.6</v>
      </c>
      <c r="T4870" t="n">
        <v>0</v>
      </c>
      <c r="U4870" t="n">
        <v>207.85</v>
      </c>
      <c r="X4870" t="inlineStr">
        <is>
          <t>acoa-apeca</t>
        </is>
      </c>
      <c r="Y4870" t="inlineStr">
        <is>
          <t>Atlantic Canada Opportunities Agency | Agence de promotion économique du Canada atlantique</t>
        </is>
      </c>
    </row>
    <row r="4871">
      <c r="A4871" t="inlineStr">
        <is>
          <t>T-2020-Q3-00021</t>
        </is>
      </c>
      <c r="B4871" t="inlineStr">
        <is>
          <t>SLE</t>
        </is>
      </c>
      <c r="C4871" t="inlineStr">
        <is>
          <t>Vice-President, Policy, Programs and Communications</t>
        </is>
      </c>
      <c r="D4871" t="inlineStr">
        <is>
          <t>Vice-président, Politiques et Programmes</t>
        </is>
      </c>
      <c r="E4871" t="inlineStr">
        <is>
          <t>Daryell Nowlan</t>
        </is>
      </c>
      <c r="F4871" t="inlineStr">
        <is>
          <t>Meetings with Government of Canada and private sector officials</t>
        </is>
      </c>
      <c r="G4871" t="inlineStr">
        <is>
          <t>Réunions avec des fonctionnaires du gouvernement du Canada et des représentants du secteur privé</t>
        </is>
      </c>
      <c r="H4871" s="1" t="n">
        <v>43739</v>
      </c>
      <c r="I4871" s="1" t="n">
        <v>43741</v>
      </c>
      <c r="J4871" t="inlineStr">
        <is>
          <t>Halifax, Nova Scotia and Ottawa, Ontario</t>
        </is>
      </c>
      <c r="K4871" t="inlineStr">
        <is>
          <t>Halifax (Nouvelle-Écosse) et Ottawa (Ontario)</t>
        </is>
      </c>
      <c r="P4871" t="n">
        <v>726.8</v>
      </c>
      <c r="Q4871" t="n">
        <v>242.14</v>
      </c>
      <c r="R4871" t="n">
        <v>412.9</v>
      </c>
      <c r="S4871" t="n">
        <v>255.5</v>
      </c>
      <c r="T4871" t="n">
        <v>0</v>
      </c>
      <c r="U4871" t="n">
        <v>1637.34</v>
      </c>
      <c r="X4871" t="inlineStr">
        <is>
          <t>acoa-apeca</t>
        </is>
      </c>
      <c r="Y4871" t="inlineStr">
        <is>
          <t>Atlantic Canada Opportunities Agency | Agence de promotion économique du Canada atlantique</t>
        </is>
      </c>
    </row>
    <row r="4872">
      <c r="A4872" t="inlineStr">
        <is>
          <t>T-2020-Q3-00031</t>
        </is>
      </c>
      <c r="B4872" t="inlineStr">
        <is>
          <t>SLE</t>
        </is>
      </c>
      <c r="C4872" t="inlineStr">
        <is>
          <t>Vice-President, New Brunswick</t>
        </is>
      </c>
      <c r="D4872" t="inlineStr">
        <is>
          <t>Vice-président, Nouveau-Brunswick</t>
        </is>
      </c>
      <c r="E4872" t="inlineStr">
        <is>
          <t>Kent Estabrooks</t>
        </is>
      </c>
      <c r="F4872" t="inlineStr">
        <is>
          <t>Meetings with various government officials, and meetings with Agency officials</t>
        </is>
      </c>
      <c r="G4872" t="inlineStr">
        <is>
          <t>Réunions avec divers fonctionnaires, et réunions avec des fonctionnaires de l'Agence</t>
        </is>
      </c>
      <c r="H4872" s="1" t="n">
        <v>43752</v>
      </c>
      <c r="I4872" s="1" t="n">
        <v>43755</v>
      </c>
      <c r="J4872" t="inlineStr">
        <is>
          <t>Moncton, New Brunswick and Halifax, Nova Scotia</t>
        </is>
      </c>
      <c r="K4872" t="inlineStr">
        <is>
          <t>Moncton (Nouveau-Brunswick) et Halifax (Nouvelle-Écosse)</t>
        </is>
      </c>
      <c r="P4872" t="n">
        <v>363.4</v>
      </c>
      <c r="Q4872" t="n">
        <v>81.59999999999999</v>
      </c>
      <c r="R4872" t="n">
        <v>554.01</v>
      </c>
      <c r="S4872" t="n">
        <v>312.6</v>
      </c>
      <c r="T4872" t="n">
        <v>0</v>
      </c>
      <c r="U4872" t="n">
        <v>1311.61</v>
      </c>
      <c r="X4872" t="inlineStr">
        <is>
          <t>acoa-apeca</t>
        </is>
      </c>
      <c r="Y4872" t="inlineStr">
        <is>
          <t>Atlantic Canada Opportunities Agency | Agence de promotion économique du Canada atlantique</t>
        </is>
      </c>
    </row>
    <row r="4873">
      <c r="A4873" t="inlineStr">
        <is>
          <t>T-2020-Q3-00029</t>
        </is>
      </c>
      <c r="B4873" t="inlineStr">
        <is>
          <t>SLE</t>
        </is>
      </c>
      <c r="C4873" t="inlineStr">
        <is>
          <t>Vice-President, New Brunswick</t>
        </is>
      </c>
      <c r="D4873" t="inlineStr">
        <is>
          <t>Vice-président, Nouveau-Brunswick</t>
        </is>
      </c>
      <c r="E4873" t="inlineStr">
        <is>
          <t>Kent Estabrooks</t>
        </is>
      </c>
      <c r="F4873" t="inlineStr">
        <is>
          <t>Advanced manufacturing event and stakeholder engagement</t>
        </is>
      </c>
      <c r="G4873" t="inlineStr">
        <is>
          <t>Activité liée à la fabrication de pointe et engagement des intervenants</t>
        </is>
      </c>
      <c r="H4873" s="1" t="n">
        <v>43746</v>
      </c>
      <c r="I4873" s="1" t="n">
        <v>43748</v>
      </c>
      <c r="J4873" t="inlineStr">
        <is>
          <t>Vaughn, Ontario</t>
        </is>
      </c>
      <c r="K4873" t="inlineStr">
        <is>
          <t>Vaughn (Ontario)</t>
        </is>
      </c>
      <c r="P4873" t="n">
        <v>726.8</v>
      </c>
      <c r="Q4873" t="n">
        <v>81.93000000000001</v>
      </c>
      <c r="R4873" t="n">
        <v>420.72</v>
      </c>
      <c r="S4873" t="n">
        <v>194.2</v>
      </c>
      <c r="T4873" t="n">
        <v>0</v>
      </c>
      <c r="U4873" t="n">
        <v>1423.65</v>
      </c>
      <c r="X4873" t="inlineStr">
        <is>
          <t>acoa-apeca</t>
        </is>
      </c>
      <c r="Y4873" t="inlineStr">
        <is>
          <t>Atlantic Canada Opportunities Agency | Agence de promotion économique du Canada atlantique</t>
        </is>
      </c>
    </row>
    <row r="4874">
      <c r="A4874" t="inlineStr">
        <is>
          <t>T-2020-Q3-00032</t>
        </is>
      </c>
      <c r="B4874" t="inlineStr">
        <is>
          <t>SLE</t>
        </is>
      </c>
      <c r="C4874" t="inlineStr">
        <is>
          <t>Vice-President, Prince Edward Island</t>
        </is>
      </c>
      <c r="D4874" t="inlineStr">
        <is>
          <t>Vice-président, Île-du-Prince-Édouard</t>
        </is>
      </c>
      <c r="E4874" t="inlineStr">
        <is>
          <t>Patrick Dorsey</t>
        </is>
      </c>
      <c r="F4874" t="inlineStr">
        <is>
          <t>Meeting with federal government officials</t>
        </is>
      </c>
      <c r="G4874" t="inlineStr">
        <is>
          <t>Réunion avec des fonctionnaires fédéraux</t>
        </is>
      </c>
      <c r="H4874" s="1" t="n">
        <v>43754</v>
      </c>
      <c r="I4874" s="1" t="n">
        <v>43756</v>
      </c>
      <c r="J4874" t="inlineStr">
        <is>
          <t>Moncton, New Brunswick</t>
        </is>
      </c>
      <c r="K4874" t="inlineStr">
        <is>
          <t>Moncton (Nouveau-Brunswick)</t>
        </is>
      </c>
      <c r="P4874" t="n">
        <v>0</v>
      </c>
      <c r="Q4874" t="n">
        <v>0</v>
      </c>
      <c r="R4874" t="n">
        <v>336.85</v>
      </c>
      <c r="S4874" t="n">
        <v>173.6</v>
      </c>
      <c r="T4874" t="n">
        <v>36.23</v>
      </c>
      <c r="U4874" t="n">
        <v>546.6799999999999</v>
      </c>
      <c r="X4874" t="inlineStr">
        <is>
          <t>acoa-apeca</t>
        </is>
      </c>
      <c r="Y4874" t="inlineStr">
        <is>
          <t>Atlantic Canada Opportunities Agency | Agence de promotion économique du Canada atlantique</t>
        </is>
      </c>
    </row>
    <row r="4875">
      <c r="A4875" t="inlineStr">
        <is>
          <t>T-2020-Q3-00022</t>
        </is>
      </c>
      <c r="B4875" t="inlineStr">
        <is>
          <t>SLE</t>
        </is>
      </c>
      <c r="C4875" t="inlineStr">
        <is>
          <t>Vice-President, Prince Edward Island</t>
        </is>
      </c>
      <c r="D4875" t="inlineStr">
        <is>
          <t>Vice-président, Île-du-Prince-Édouard</t>
        </is>
      </c>
      <c r="E4875" t="inlineStr">
        <is>
          <t>Patrick Dorsey</t>
        </is>
      </c>
      <c r="F4875" t="inlineStr">
        <is>
          <t xml:space="preserve">To attend The Canadian Defence Security and Aerospace Exhibition (DEFSEC) Atlantic 2019 </t>
        </is>
      </c>
      <c r="G4875" t="inlineStr">
        <is>
          <t>Participation à l'exposition Canadian Defence Security and Aerospace Exhibition Atlantic 2019</t>
        </is>
      </c>
      <c r="H4875" s="1" t="n">
        <v>43739</v>
      </c>
      <c r="I4875" s="1" t="n">
        <v>43740</v>
      </c>
      <c r="J4875" t="inlineStr">
        <is>
          <t>Halifax, Nova Scotia</t>
        </is>
      </c>
      <c r="K4875" t="inlineStr">
        <is>
          <t>Halifax (Nouvelle-Écosse)</t>
        </is>
      </c>
      <c r="P4875" t="n">
        <v>0</v>
      </c>
      <c r="Q4875" t="n">
        <v>0</v>
      </c>
      <c r="R4875" t="n">
        <v>206.45</v>
      </c>
      <c r="S4875" t="n">
        <v>146.7</v>
      </c>
      <c r="T4875" t="n">
        <v>91.09</v>
      </c>
      <c r="U4875" t="n">
        <v>444.24</v>
      </c>
      <c r="X4875" t="inlineStr">
        <is>
          <t>acoa-apeca</t>
        </is>
      </c>
      <c r="Y4875" t="inlineStr">
        <is>
          <t>Atlantic Canada Opportunities Agency | Agence de promotion économique du Canada atlantique</t>
        </is>
      </c>
    </row>
    <row r="4876">
      <c r="A4876" t="inlineStr">
        <is>
          <t>T-2020-Q3-00043</t>
        </is>
      </c>
      <c r="B4876" t="inlineStr">
        <is>
          <t>SLE</t>
        </is>
      </c>
      <c r="C4876" t="inlineStr">
        <is>
          <t>Vice-President, Nova Scotia</t>
        </is>
      </c>
      <c r="D4876" t="inlineStr">
        <is>
          <t>Vice-président, Nouvelle-Écosse</t>
        </is>
      </c>
      <c r="E4876" t="inlineStr">
        <is>
          <t>Chuck Maillet</t>
        </is>
      </c>
      <c r="F4876" t="inlineStr">
        <is>
          <t>Leadership in Indigenous Relations training and various meetings with Government of Canada officials</t>
        </is>
      </c>
      <c r="G4876" t="inlineStr">
        <is>
          <t xml:space="preserve">Formation Leadership et relations  autochtones et diverses réunions avec des fonctionnaires du gouvernement du Canada </t>
        </is>
      </c>
      <c r="H4876" s="1" t="n">
        <v>43766</v>
      </c>
      <c r="I4876" s="1" t="n">
        <v>43770</v>
      </c>
      <c r="J4876" t="inlineStr">
        <is>
          <t>Ottawa, Ontario</t>
        </is>
      </c>
      <c r="K4876" t="inlineStr">
        <is>
          <t>Ottawa (Ontario)</t>
        </is>
      </c>
      <c r="P4876" t="n">
        <v>584.28</v>
      </c>
      <c r="Q4876" t="n">
        <v>226.37</v>
      </c>
      <c r="R4876" t="n">
        <v>1136.41</v>
      </c>
      <c r="S4876" t="n">
        <v>461.85</v>
      </c>
      <c r="T4876" t="n">
        <v>0</v>
      </c>
      <c r="U4876" t="n">
        <v>2408.91</v>
      </c>
      <c r="X4876" t="inlineStr">
        <is>
          <t>acoa-apeca</t>
        </is>
      </c>
      <c r="Y4876" t="inlineStr">
        <is>
          <t>Atlantic Canada Opportunities Agency | Agence de promotion économique du Canada atlantique</t>
        </is>
      </c>
    </row>
    <row r="4877">
      <c r="A4877" t="inlineStr">
        <is>
          <t>T-2020-Q3-00042</t>
        </is>
      </c>
      <c r="B4877" t="inlineStr">
        <is>
          <t>SLE</t>
        </is>
      </c>
      <c r="C4877" t="inlineStr">
        <is>
          <t>Vice-President, Nova Scotia</t>
        </is>
      </c>
      <c r="D4877" t="inlineStr">
        <is>
          <t>Vice-président, Nouvelle-Écosse</t>
        </is>
      </c>
      <c r="E4877" t="inlineStr">
        <is>
          <t>Chuck Maillet</t>
        </is>
      </c>
      <c r="F4877" t="inlineStr">
        <is>
          <t xml:space="preserve">Speaking Engagement and Client Visits </t>
        </is>
      </c>
      <c r="G4877" t="inlineStr">
        <is>
          <t>Présentation d'un discours et visites de clients</t>
        </is>
      </c>
      <c r="H4877" s="1" t="n">
        <v>43762</v>
      </c>
      <c r="I4877" s="1" t="n">
        <v>43762</v>
      </c>
      <c r="J4877" t="inlineStr">
        <is>
          <t>Wolfville, Nova Scotia</t>
        </is>
      </c>
      <c r="K4877" t="inlineStr">
        <is>
          <t>Wolfville (Nouvelle-Écosse)</t>
        </is>
      </c>
      <c r="P4877" t="n">
        <v>0</v>
      </c>
      <c r="Q4877" t="n">
        <v>95.55</v>
      </c>
      <c r="R4877" t="n">
        <v>0</v>
      </c>
      <c r="S4877" t="n">
        <v>20.6</v>
      </c>
      <c r="T4877" t="n">
        <v>0</v>
      </c>
      <c r="U4877" t="n">
        <v>116.15</v>
      </c>
      <c r="X4877" t="inlineStr">
        <is>
          <t>acoa-apeca</t>
        </is>
      </c>
      <c r="Y4877" t="inlineStr">
        <is>
          <t>Atlantic Canada Opportunities Agency | Agence de promotion économique du Canada atlantique</t>
        </is>
      </c>
    </row>
    <row r="4878">
      <c r="A4878" t="inlineStr">
        <is>
          <t>T-2020-Q3-00041</t>
        </is>
      </c>
      <c r="B4878" t="inlineStr">
        <is>
          <t>SLE</t>
        </is>
      </c>
      <c r="C4878" t="inlineStr">
        <is>
          <t>Vice-President, Nova Scotia</t>
        </is>
      </c>
      <c r="D4878" t="inlineStr">
        <is>
          <t>Vice-président, Nouvelle-Écosse</t>
        </is>
      </c>
      <c r="E4878" t="inlineStr">
        <is>
          <t>Chuck Maillet</t>
        </is>
      </c>
      <c r="F4878" t="inlineStr">
        <is>
          <t>Client visit and various meetings with Agency officials</t>
        </is>
      </c>
      <c r="G4878" t="inlineStr">
        <is>
          <t>Visite de client et diverses réunions avec des fonctionnaires de l'Agence</t>
        </is>
      </c>
      <c r="H4878" s="1" t="n">
        <v>43754</v>
      </c>
      <c r="I4878" s="1" t="n">
        <v>43755</v>
      </c>
      <c r="J4878" t="inlineStr">
        <is>
          <t xml:space="preserve">Windsor, Nova Scotia and Moncton, New Brunswick </t>
        </is>
      </c>
      <c r="K4878" t="inlineStr">
        <is>
          <t>Windsor (Nouvelle-Écosse) et Moncton (Nouveau-Brunswick)</t>
        </is>
      </c>
      <c r="P4878" t="n">
        <v>0</v>
      </c>
      <c r="Q4878" t="n">
        <v>0</v>
      </c>
      <c r="R4878" t="n">
        <v>173.78</v>
      </c>
      <c r="S4878" t="n">
        <v>159.35</v>
      </c>
      <c r="T4878" t="n">
        <v>17.83</v>
      </c>
      <c r="U4878" t="n">
        <v>350.96</v>
      </c>
      <c r="X4878" t="inlineStr">
        <is>
          <t>acoa-apeca</t>
        </is>
      </c>
      <c r="Y4878" t="inlineStr">
        <is>
          <t>Atlantic Canada Opportunities Agency | Agence de promotion économique du Canada atlantique</t>
        </is>
      </c>
    </row>
    <row r="4879">
      <c r="A4879" t="inlineStr">
        <is>
          <t>T-2020-Q3-00040</t>
        </is>
      </c>
      <c r="B4879" t="inlineStr">
        <is>
          <t>SLE</t>
        </is>
      </c>
      <c r="C4879" t="inlineStr">
        <is>
          <t>Vice-President, Nova Scotia</t>
        </is>
      </c>
      <c r="D4879" t="inlineStr">
        <is>
          <t>Vice-président, Nouvelle-Écosse</t>
        </is>
      </c>
      <c r="E4879" t="inlineStr">
        <is>
          <t>Chuck Maillet</t>
        </is>
      </c>
      <c r="F4879" t="inlineStr">
        <is>
          <t xml:space="preserve">Client Visits Northern Nova Scotia </t>
        </is>
      </c>
      <c r="G4879" t="inlineStr">
        <is>
          <t>Visites de clients dans le nord de la Nouvelle-Écosse</t>
        </is>
      </c>
      <c r="H4879" s="1" t="n">
        <v>43747</v>
      </c>
      <c r="I4879" s="1" t="n">
        <v>43748</v>
      </c>
      <c r="J4879" t="inlineStr">
        <is>
          <t>New Glasgow, Stellarton and Pictou, Nova Scotia</t>
        </is>
      </c>
      <c r="K4879" t="inlineStr">
        <is>
          <t>New Glasgow, Stellarton et Pictou (Nouvelle-Écosse)</t>
        </is>
      </c>
      <c r="P4879" t="n">
        <v>0</v>
      </c>
      <c r="Q4879" t="n">
        <v>0</v>
      </c>
      <c r="R4879" t="n">
        <v>194.5</v>
      </c>
      <c r="S4879" t="n">
        <v>93.09999999999999</v>
      </c>
      <c r="T4879" t="n">
        <v>0</v>
      </c>
      <c r="U4879" t="n">
        <v>287.6</v>
      </c>
      <c r="X4879" t="inlineStr">
        <is>
          <t>acoa-apeca</t>
        </is>
      </c>
      <c r="Y4879" t="inlineStr">
        <is>
          <t>Atlantic Canada Opportunities Agency | Agence de promotion économique du Canada atlantique</t>
        </is>
      </c>
    </row>
    <row r="4880">
      <c r="A4880" t="inlineStr">
        <is>
          <t>T-2020-Q3-00039</t>
        </is>
      </c>
      <c r="B4880" t="inlineStr">
        <is>
          <t>SLE</t>
        </is>
      </c>
      <c r="C4880" t="inlineStr">
        <is>
          <t>President</t>
        </is>
      </c>
      <c r="D4880" t="inlineStr">
        <is>
          <t>Président</t>
        </is>
      </c>
      <c r="E4880" t="inlineStr">
        <is>
          <t>Francis McGuire</t>
        </is>
      </c>
      <c r="F4880" t="inlineStr">
        <is>
          <t>Meeting with Government of Canada officials</t>
        </is>
      </c>
      <c r="G4880" t="inlineStr">
        <is>
          <t>Réunion avec des fonctionnaires du gouvernement du Canada</t>
        </is>
      </c>
      <c r="H4880" s="1" t="n">
        <v>43760</v>
      </c>
      <c r="I4880" s="1" t="n">
        <v>43761</v>
      </c>
      <c r="J4880" t="inlineStr">
        <is>
          <t>Ottawa, Ontario</t>
        </is>
      </c>
      <c r="K4880" t="inlineStr">
        <is>
          <t>Ottawa (Ontario)</t>
        </is>
      </c>
      <c r="P4880" t="n">
        <v>597.26</v>
      </c>
      <c r="Q4880" t="n">
        <v>16.05</v>
      </c>
      <c r="R4880" t="n">
        <v>233.86</v>
      </c>
      <c r="S4880" t="n">
        <v>105.75</v>
      </c>
      <c r="T4880" t="n">
        <v>0</v>
      </c>
      <c r="U4880" t="n">
        <v>952.92</v>
      </c>
      <c r="X4880" t="inlineStr">
        <is>
          <t>acoa-apeca</t>
        </is>
      </c>
      <c r="Y4880" t="inlineStr">
        <is>
          <t>Atlantic Canada Opportunities Agency | Agence de promotion économique du Canada atlantique</t>
        </is>
      </c>
    </row>
    <row r="4881">
      <c r="A4881" t="inlineStr">
        <is>
          <t>T-2020-Q3-00037</t>
        </is>
      </c>
      <c r="B4881" t="inlineStr">
        <is>
          <t>SLE</t>
        </is>
      </c>
      <c r="C4881" t="inlineStr">
        <is>
          <t>President</t>
        </is>
      </c>
      <c r="D4881" t="inlineStr">
        <is>
          <t>Président</t>
        </is>
      </c>
      <c r="E4881" t="inlineStr">
        <is>
          <t>Francis McGuire</t>
        </is>
      </c>
      <c r="F4881" t="inlineStr">
        <is>
          <t>Meeting with government officials and various stakeholders</t>
        </is>
      </c>
      <c r="G4881" t="inlineStr">
        <is>
          <t>Réunion avec des fonctionnaires du gouvernement du Canada et divers intervenants</t>
        </is>
      </c>
      <c r="H4881" s="1" t="n">
        <v>43758</v>
      </c>
      <c r="I4881" s="1" t="n">
        <v>43759</v>
      </c>
      <c r="J4881" t="inlineStr">
        <is>
          <t>Charlottetown, Prince Edward Island</t>
        </is>
      </c>
      <c r="K4881" t="inlineStr">
        <is>
          <t>Charlottetown (Île-du-Prince-Édouard)</t>
        </is>
      </c>
      <c r="P4881" t="n">
        <v>0</v>
      </c>
      <c r="Q4881" t="n">
        <v>175.48</v>
      </c>
      <c r="R4881" t="n">
        <v>197.81</v>
      </c>
      <c r="S4881" t="n">
        <v>96.15000000000001</v>
      </c>
      <c r="T4881" t="n">
        <v>47.75</v>
      </c>
      <c r="U4881" t="n">
        <v>517.1900000000001</v>
      </c>
      <c r="X4881" t="inlineStr">
        <is>
          <t>acoa-apeca</t>
        </is>
      </c>
      <c r="Y4881" t="inlineStr">
        <is>
          <t>Atlantic Canada Opportunities Agency | Agence de promotion économique du Canada atlantique</t>
        </is>
      </c>
    </row>
    <row r="4882">
      <c r="A4882" t="inlineStr">
        <is>
          <t>T-2020-Q3-00036</t>
        </is>
      </c>
      <c r="B4882" t="inlineStr">
        <is>
          <t>SLE</t>
        </is>
      </c>
      <c r="C4882" t="inlineStr">
        <is>
          <t>President</t>
        </is>
      </c>
      <c r="D4882" t="inlineStr">
        <is>
          <t>Président</t>
        </is>
      </c>
      <c r="E4882" t="inlineStr">
        <is>
          <t>Francis McGuire</t>
        </is>
      </c>
      <c r="F4882" t="inlineStr">
        <is>
          <t>Meeting with various stakeholders</t>
        </is>
      </c>
      <c r="G4882" t="inlineStr">
        <is>
          <t>Réunion avec divers intervenants</t>
        </is>
      </c>
      <c r="H4882" s="1" t="n">
        <v>43755</v>
      </c>
      <c r="I4882" s="1" t="n">
        <v>43756</v>
      </c>
      <c r="J4882" t="inlineStr">
        <is>
          <t>Sillikers, New Brunswick</t>
        </is>
      </c>
      <c r="K4882" t="inlineStr">
        <is>
          <t>Sillikers (Nouveau-Brunswick)</t>
        </is>
      </c>
      <c r="P4882" t="n">
        <v>0</v>
      </c>
      <c r="Q4882" t="n">
        <v>171.2</v>
      </c>
      <c r="R4882" t="n">
        <v>0</v>
      </c>
      <c r="S4882" t="n">
        <v>34.6</v>
      </c>
      <c r="T4882" t="n">
        <v>0</v>
      </c>
      <c r="U4882" t="n">
        <v>205.8</v>
      </c>
      <c r="X4882" t="inlineStr">
        <is>
          <t>acoa-apeca</t>
        </is>
      </c>
      <c r="Y4882" t="inlineStr">
        <is>
          <t>Atlantic Canada Opportunities Agency | Agence de promotion économique du Canada atlantique</t>
        </is>
      </c>
    </row>
    <row r="4883">
      <c r="A4883" t="inlineStr">
        <is>
          <t>T-2020-Q3-00033</t>
        </is>
      </c>
      <c r="B4883" t="inlineStr">
        <is>
          <t>SLE</t>
        </is>
      </c>
      <c r="C4883" t="inlineStr">
        <is>
          <t>President</t>
        </is>
      </c>
      <c r="D4883" t="inlineStr">
        <is>
          <t>Président</t>
        </is>
      </c>
      <c r="E4883" t="inlineStr">
        <is>
          <t>Francis McGuire</t>
        </is>
      </c>
      <c r="F4883" t="inlineStr">
        <is>
          <t>Travel to Nova Scotia to attend several meetings with government officials and key stakeholders</t>
        </is>
      </c>
      <c r="G4883" t="inlineStr">
        <is>
          <t>Voyage en Nouvelle-Écosse pour assister à plusieurs réunions avec des fonctionnaires et des intervenants clés</t>
        </is>
      </c>
      <c r="H4883" s="1" t="n">
        <v>43753</v>
      </c>
      <c r="I4883" s="1" t="n">
        <v>43754</v>
      </c>
      <c r="J4883" t="inlineStr">
        <is>
          <t>Halifax, Windsor and Truro, Nova Scotia</t>
        </is>
      </c>
      <c r="K4883" t="inlineStr">
        <is>
          <t>Halifax, Windsor et Truro (Nouvelle-Écosse)</t>
        </is>
      </c>
      <c r="P4883" t="n">
        <v>0</v>
      </c>
      <c r="Q4883" t="n">
        <v>278.74</v>
      </c>
      <c r="R4883" t="n">
        <v>233.43</v>
      </c>
      <c r="S4883" t="n">
        <v>105.75</v>
      </c>
      <c r="T4883" t="n">
        <v>0</v>
      </c>
      <c r="U4883" t="n">
        <v>617.92</v>
      </c>
      <c r="X4883" t="inlineStr">
        <is>
          <t>acoa-apeca</t>
        </is>
      </c>
      <c r="Y4883" t="inlineStr">
        <is>
          <t>Atlantic Canada Opportunities Agency | Agence de promotion économique du Canada atlantique</t>
        </is>
      </c>
    </row>
    <row r="4884">
      <c r="A4884" t="inlineStr">
        <is>
          <t>T-2020-Q3-00030</t>
        </is>
      </c>
      <c r="B4884" t="inlineStr">
        <is>
          <t>SLE</t>
        </is>
      </c>
      <c r="C4884" t="inlineStr">
        <is>
          <t>President</t>
        </is>
      </c>
      <c r="D4884" t="inlineStr">
        <is>
          <t>Président</t>
        </is>
      </c>
      <c r="E4884" t="inlineStr">
        <is>
          <t>Francis McGuire</t>
        </is>
      </c>
      <c r="F4884" t="inlineStr">
        <is>
          <t>Meet with various stakeholders in northeastern New Brunswick</t>
        </is>
      </c>
      <c r="G4884" t="inlineStr">
        <is>
          <t>Réunion avec divers intervenants dans le nord-est du Nouveau-Brunswick</t>
        </is>
      </c>
      <c r="H4884" s="1" t="n">
        <v>43746</v>
      </c>
      <c r="I4884" s="1" t="n">
        <v>43748</v>
      </c>
      <c r="J4884" t="inlineStr">
        <is>
          <t>Miramichi and northeastern New Brunswick</t>
        </is>
      </c>
      <c r="K4884" t="inlineStr">
        <is>
          <t>Miramichi et nord-est du Nouveau-Brunswick</t>
        </is>
      </c>
      <c r="P4884" t="n">
        <v>0</v>
      </c>
      <c r="Q4884" t="n">
        <v>242.89</v>
      </c>
      <c r="R4884" t="n">
        <v>291.71</v>
      </c>
      <c r="S4884" t="n">
        <v>285.45</v>
      </c>
      <c r="T4884" t="n">
        <v>0</v>
      </c>
      <c r="U4884" t="n">
        <v>820.05</v>
      </c>
      <c r="X4884" t="inlineStr">
        <is>
          <t>acoa-apeca</t>
        </is>
      </c>
      <c r="Y4884" t="inlineStr">
        <is>
          <t>Atlantic Canada Opportunities Agency | Agence de promotion économique du Canada atlantique</t>
        </is>
      </c>
    </row>
    <row r="4885">
      <c r="A4885" t="inlineStr">
        <is>
          <t>T-2020-Q3-00035</t>
        </is>
      </c>
      <c r="B4885" t="inlineStr">
        <is>
          <t>SLE</t>
        </is>
      </c>
      <c r="C4885" t="inlineStr">
        <is>
          <t>Vice-President, Finance and Corporate Services</t>
        </is>
      </c>
      <c r="D4885" t="inlineStr">
        <is>
          <t>Vice-président, Finance et Services corporatifs</t>
        </is>
      </c>
      <c r="E4885" t="inlineStr">
        <is>
          <t>Stephane Lagace</t>
        </is>
      </c>
      <c r="F4885" t="inlineStr">
        <is>
          <t>Meeting with Government of Canada officials</t>
        </is>
      </c>
      <c r="G4885" t="inlineStr">
        <is>
          <t>Réunion avec des fonctionnaires du gouvernement du Canada</t>
        </is>
      </c>
      <c r="H4885" s="1" t="n">
        <v>43766</v>
      </c>
      <c r="I4885" s="1" t="n">
        <v>43766</v>
      </c>
      <c r="J4885" t="inlineStr">
        <is>
          <t>Charlottetown, Prince Edward Island</t>
        </is>
      </c>
      <c r="K4885" t="inlineStr">
        <is>
          <t>Charlottetown (Île-du-Prince-Édouard)</t>
        </is>
      </c>
      <c r="P4885" t="n">
        <v>0</v>
      </c>
      <c r="Q4885" t="n">
        <v>0</v>
      </c>
      <c r="R4885" t="n">
        <v>0</v>
      </c>
      <c r="S4885" t="n">
        <v>71.15000000000001</v>
      </c>
      <c r="T4885" t="n">
        <v>50.25</v>
      </c>
      <c r="U4885" t="n">
        <v>121.4</v>
      </c>
      <c r="X4885" t="inlineStr">
        <is>
          <t>acoa-apeca</t>
        </is>
      </c>
      <c r="Y4885" t="inlineStr">
        <is>
          <t>Atlantic Canada Opportunities Agency | Agence de promotion économique du Canada atlantique</t>
        </is>
      </c>
    </row>
    <row r="4886">
      <c r="A4886" t="inlineStr">
        <is>
          <t>T-2020-Q3-00034</t>
        </is>
      </c>
      <c r="B4886" t="inlineStr">
        <is>
          <t>SLE</t>
        </is>
      </c>
      <c r="C4886" t="inlineStr">
        <is>
          <t>Vice-President, Finance and Corporate Services</t>
        </is>
      </c>
      <c r="D4886" t="inlineStr">
        <is>
          <t>Vice-président, Finance et Services corporatifs</t>
        </is>
      </c>
      <c r="E4886" t="inlineStr">
        <is>
          <t>Stephane Lagace</t>
        </is>
      </c>
      <c r="F4886" t="inlineStr">
        <is>
          <t>Meeting with Government of Canada officials</t>
        </is>
      </c>
      <c r="G4886" t="inlineStr">
        <is>
          <t>Réunion avec des fonctionnaires du gouvernement du Canada</t>
        </is>
      </c>
      <c r="H4886" s="1" t="n">
        <v>43761</v>
      </c>
      <c r="I4886" s="1" t="n">
        <v>43761</v>
      </c>
      <c r="J4886" t="inlineStr">
        <is>
          <t>Halifax, Nova Scotia</t>
        </is>
      </c>
      <c r="K4886" t="inlineStr">
        <is>
          <t>Halifax (Nouvelle-Écosse)</t>
        </is>
      </c>
      <c r="P4886" t="n">
        <v>0</v>
      </c>
      <c r="Q4886" t="n">
        <v>49.96</v>
      </c>
      <c r="R4886" t="n">
        <v>0</v>
      </c>
      <c r="S4886" t="n">
        <v>40.95</v>
      </c>
      <c r="T4886" t="n">
        <v>79</v>
      </c>
      <c r="U4886" t="n">
        <v>169.91</v>
      </c>
      <c r="X4886" t="inlineStr">
        <is>
          <t>acoa-apeca</t>
        </is>
      </c>
      <c r="Y4886" t="inlineStr">
        <is>
          <t>Atlantic Canada Opportunities Agency | Agence de promotion économique du Canada atlantique</t>
        </is>
      </c>
    </row>
    <row r="4887">
      <c r="A4887" t="inlineStr">
        <is>
          <t>T-2020-Q3-00019</t>
        </is>
      </c>
      <c r="B4887" t="inlineStr">
        <is>
          <t>SLE</t>
        </is>
      </c>
      <c r="C4887" t="inlineStr">
        <is>
          <t>Vice-President, Finance and Corporate Services</t>
        </is>
      </c>
      <c r="D4887" t="inlineStr">
        <is>
          <t>Vice-président, Finance et Services corporatifs</t>
        </is>
      </c>
      <c r="E4887" t="inlineStr">
        <is>
          <t>Stephane Lagace</t>
        </is>
      </c>
      <c r="F4887" t="inlineStr">
        <is>
          <t>Meeting with Government of Canada and private sector officials</t>
        </is>
      </c>
      <c r="G4887" t="inlineStr">
        <is>
          <t>Réunion avec des fonctionnaires du gouvernement du Canada et des représentants du secteur privé</t>
        </is>
      </c>
      <c r="H4887" s="1" t="n">
        <v>43740</v>
      </c>
      <c r="I4887" s="1" t="n">
        <v>43741</v>
      </c>
      <c r="J4887" t="inlineStr">
        <is>
          <t>Halifax, Nova Scotia</t>
        </is>
      </c>
      <c r="K4887" t="inlineStr">
        <is>
          <t>Halifax (Nouvelle-Écosse)</t>
        </is>
      </c>
      <c r="P4887" t="n">
        <v>0</v>
      </c>
      <c r="Q4887" t="n">
        <v>0</v>
      </c>
      <c r="R4887" t="n">
        <v>221.7</v>
      </c>
      <c r="S4887" t="n">
        <v>126.1</v>
      </c>
      <c r="T4887" t="n">
        <v>39.05</v>
      </c>
      <c r="U4887" t="n">
        <v>386.85</v>
      </c>
      <c r="X4887" t="inlineStr">
        <is>
          <t>acoa-apeca</t>
        </is>
      </c>
      <c r="Y4887" t="inlineStr">
        <is>
          <t>Atlantic Canada Opportunities Agency | Agence de promotion économique du Canada atlantique</t>
        </is>
      </c>
    </row>
    <row r="4888">
      <c r="A4888" t="inlineStr">
        <is>
          <t>T-2020-Q3-00018</t>
        </is>
      </c>
      <c r="B4888" t="inlineStr">
        <is>
          <t>SLE</t>
        </is>
      </c>
      <c r="C4888" t="inlineStr">
        <is>
          <t>Vice-President, Finance and Corporate Services</t>
        </is>
      </c>
      <c r="D4888" t="inlineStr">
        <is>
          <t>Vice-président, Finance et Services corporatifs</t>
        </is>
      </c>
      <c r="E4888" t="inlineStr">
        <is>
          <t>Stephane Lagace</t>
        </is>
      </c>
      <c r="F4888" t="inlineStr">
        <is>
          <t>Meeting with Government of Canada officials</t>
        </is>
      </c>
      <c r="G4888" t="inlineStr">
        <is>
          <t>Réunion avec des fonctionnaires du gouvernement du Canada</t>
        </is>
      </c>
      <c r="H4888" s="1" t="n">
        <v>43739</v>
      </c>
      <c r="I4888" s="1" t="n">
        <v>43740</v>
      </c>
      <c r="J4888" t="inlineStr">
        <is>
          <t>Ottawa, Ontario</t>
        </is>
      </c>
      <c r="K4888" t="inlineStr">
        <is>
          <t>Ottawa (Ontario)</t>
        </is>
      </c>
      <c r="P4888" t="n">
        <v>575.75</v>
      </c>
      <c r="Q4888" t="n">
        <v>86.65000000000001</v>
      </c>
      <c r="R4888" t="n">
        <v>233.86</v>
      </c>
      <c r="S4888" t="n">
        <v>167.05</v>
      </c>
      <c r="T4888" t="n">
        <v>0</v>
      </c>
      <c r="U4888" t="n">
        <v>1063.31</v>
      </c>
      <c r="X4888" t="inlineStr">
        <is>
          <t>acoa-apeca</t>
        </is>
      </c>
      <c r="Y4888" t="inlineStr">
        <is>
          <t>Atlantic Canada Opportunities Agency | Agence de promotion économique du Canada atlantique</t>
        </is>
      </c>
    </row>
    <row r="4889">
      <c r="A4889" t="inlineStr">
        <is>
          <t>T-2020-Q3-00047</t>
        </is>
      </c>
      <c r="B4889" t="inlineStr">
        <is>
          <t>SLE</t>
        </is>
      </c>
      <c r="C4889" t="inlineStr">
        <is>
          <t>Acting Vice-President, Newfoundland and Labrador</t>
        </is>
      </c>
      <c r="D4889" t="inlineStr">
        <is>
          <t>Vice-président par intérim, Terre-Neuve et Labrador</t>
        </is>
      </c>
      <c r="E4889" t="inlineStr">
        <is>
          <t>Bill Grandy</t>
        </is>
      </c>
      <c r="F4889" t="inlineStr">
        <is>
          <t xml:space="preserve">Acting Vice-President of ACOA Newfoundland and Labrador </t>
        </is>
      </c>
      <c r="G4889" t="inlineStr">
        <is>
          <t>Vice-président par intérim du bureau de l'APECA à Terre-Neuve-et-Labrador</t>
        </is>
      </c>
      <c r="H4889" s="1" t="n">
        <v>43766</v>
      </c>
      <c r="I4889" s="1" t="n">
        <v>43769</v>
      </c>
      <c r="J4889" t="inlineStr">
        <is>
          <t>St. John's, Newfoundland</t>
        </is>
      </c>
      <c r="K4889" t="inlineStr">
        <is>
          <t>St. John's (Terre-Neuve-et-Labrador)</t>
        </is>
      </c>
      <c r="P4889" t="n">
        <v>558.03</v>
      </c>
      <c r="Q4889" t="n">
        <v>411.44</v>
      </c>
      <c r="R4889" t="n">
        <v>537.88</v>
      </c>
      <c r="S4889" t="n">
        <v>414.85</v>
      </c>
      <c r="T4889" t="n">
        <v>79.36</v>
      </c>
      <c r="U4889" t="n">
        <v>2001.56</v>
      </c>
      <c r="X4889" t="inlineStr">
        <is>
          <t>acoa-apeca</t>
        </is>
      </c>
      <c r="Y4889" t="inlineStr">
        <is>
          <t>Atlantic Canada Opportunities Agency | Agence de promotion économique du Canada atlantique</t>
        </is>
      </c>
    </row>
    <row r="4890">
      <c r="A4890" t="inlineStr">
        <is>
          <t>T-2020-Q3-00028</t>
        </is>
      </c>
      <c r="B4890" t="inlineStr">
        <is>
          <t>SLE</t>
        </is>
      </c>
      <c r="C4890" t="inlineStr">
        <is>
          <t>Acting Vice-President, Newfoundland and Labrador</t>
        </is>
      </c>
      <c r="D4890" t="inlineStr">
        <is>
          <t>Vice-président par intérim, Terre-Neuve et Labrador</t>
        </is>
      </c>
      <c r="E4890" t="inlineStr">
        <is>
          <t>Bill Grandy</t>
        </is>
      </c>
      <c r="F4890" t="inlineStr">
        <is>
          <t xml:space="preserve">Acting Vice-President of ACOA Newfoundland and Labrador </t>
        </is>
      </c>
      <c r="G4890" t="inlineStr">
        <is>
          <t>Vice-président par intérim du bureau de l'APECA à Terre-Neuve-et-Labrador</t>
        </is>
      </c>
      <c r="H4890" s="1" t="n">
        <v>43744</v>
      </c>
      <c r="I4890" s="1" t="n">
        <v>43748</v>
      </c>
      <c r="J4890" t="inlineStr">
        <is>
          <t>St, John's, Newfoundland and Labrador</t>
        </is>
      </c>
      <c r="K4890" t="inlineStr">
        <is>
          <t>St. John's (Terre-Neuve-et-Labrador)</t>
        </is>
      </c>
      <c r="P4890" t="n">
        <v>1400.88</v>
      </c>
      <c r="Q4890" t="n">
        <v>170</v>
      </c>
      <c r="R4890" t="n">
        <v>738.99</v>
      </c>
      <c r="S4890" t="n">
        <v>452.5</v>
      </c>
      <c r="T4890" t="n">
        <v>0</v>
      </c>
      <c r="U4890" t="n">
        <v>2762.37</v>
      </c>
      <c r="X4890" t="inlineStr">
        <is>
          <t>acoa-apeca</t>
        </is>
      </c>
      <c r="Y4890" t="inlineStr">
        <is>
          <t>Atlantic Canada Opportunities Agency | Agence de promotion économique du Canada atlantique</t>
        </is>
      </c>
    </row>
    <row r="4891">
      <c r="A4891" t="inlineStr">
        <is>
          <t>T-2020-Q3-00052</t>
        </is>
      </c>
      <c r="B4891" t="inlineStr">
        <is>
          <t>SLE</t>
        </is>
      </c>
      <c r="C4891" t="inlineStr">
        <is>
          <t>Vice-President, Policy, Programs and Communications</t>
        </is>
      </c>
      <c r="D4891" t="inlineStr">
        <is>
          <t>Vice-président, Politiques et Programmes</t>
        </is>
      </c>
      <c r="E4891" t="inlineStr">
        <is>
          <t>Daryell Nowlan</t>
        </is>
      </c>
      <c r="F4891" t="inlineStr">
        <is>
          <t>Meetings with Government of Canada officials</t>
        </is>
      </c>
      <c r="G4891" t="inlineStr">
        <is>
          <t>Réunions avec des fonctionnaires du gouvernement du Canada</t>
        </is>
      </c>
      <c r="H4891" s="1" t="n">
        <v>43788</v>
      </c>
      <c r="I4891" s="1" t="n">
        <v>43791</v>
      </c>
      <c r="J4891" t="inlineStr">
        <is>
          <t xml:space="preserve">Ottawa, Ontario </t>
        </is>
      </c>
      <c r="K4891" t="inlineStr">
        <is>
          <t>Ottawa (Ontario)</t>
        </is>
      </c>
      <c r="P4891" t="n">
        <v>700.1900000000001</v>
      </c>
      <c r="Q4891" t="n">
        <v>56.3</v>
      </c>
      <c r="R4891" t="n">
        <v>937.8200000000001</v>
      </c>
      <c r="S4891" t="n">
        <v>353.8</v>
      </c>
      <c r="T4891" t="n">
        <v>0</v>
      </c>
      <c r="U4891" t="n">
        <v>2048.11</v>
      </c>
      <c r="X4891" t="inlineStr">
        <is>
          <t>acoa-apeca</t>
        </is>
      </c>
      <c r="Y4891" t="inlineStr">
        <is>
          <t>Atlantic Canada Opportunities Agency | Agence de promotion économique du Canada atlantique</t>
        </is>
      </c>
    </row>
    <row r="4892">
      <c r="A4892" t="inlineStr">
        <is>
          <t>T-2020-Q3-00044</t>
        </is>
      </c>
      <c r="B4892" t="inlineStr">
        <is>
          <t>SLE</t>
        </is>
      </c>
      <c r="C4892" t="inlineStr">
        <is>
          <t>Vice-President, Policy, Programs and Communications</t>
        </is>
      </c>
      <c r="D4892" t="inlineStr">
        <is>
          <t>Vice-président, Politiques et Programmes</t>
        </is>
      </c>
      <c r="E4892" t="inlineStr">
        <is>
          <t>Daryell Nowlan</t>
        </is>
      </c>
      <c r="F4892" t="inlineStr">
        <is>
          <t>Meetings with Government of Canada officials</t>
        </is>
      </c>
      <c r="G4892" t="inlineStr">
        <is>
          <t>Réunions avec des fonctionnaires du gouvernement du Canada</t>
        </is>
      </c>
      <c r="H4892" s="1" t="n">
        <v>43774</v>
      </c>
      <c r="I4892" s="1" t="n">
        <v>43776</v>
      </c>
      <c r="J4892" t="inlineStr">
        <is>
          <t xml:space="preserve">Ottawa, Ontario </t>
        </is>
      </c>
      <c r="K4892" t="inlineStr">
        <is>
          <t>Ottawa (Ontario)</t>
        </is>
      </c>
      <c r="P4892" t="n">
        <v>726.8</v>
      </c>
      <c r="Q4892" t="n">
        <v>123.71</v>
      </c>
      <c r="R4892" t="n">
        <v>695.72</v>
      </c>
      <c r="S4892" t="n">
        <v>214.8</v>
      </c>
      <c r="T4892" t="n">
        <v>0</v>
      </c>
      <c r="U4892" t="n">
        <v>1761.03</v>
      </c>
      <c r="X4892" t="inlineStr">
        <is>
          <t>acoa-apeca</t>
        </is>
      </c>
      <c r="Y4892" t="inlineStr">
        <is>
          <t>Atlantic Canada Opportunities Agency | Agence de promotion économique du Canada atlantique</t>
        </is>
      </c>
    </row>
    <row r="4893">
      <c r="A4893" t="inlineStr">
        <is>
          <t>T-2020-Q3-00065</t>
        </is>
      </c>
      <c r="B4893" t="inlineStr">
        <is>
          <t>SLE</t>
        </is>
      </c>
      <c r="C4893" t="inlineStr">
        <is>
          <t>Vice-President, New Brunswick</t>
        </is>
      </c>
      <c r="D4893" t="inlineStr">
        <is>
          <t>Vice-président, Nouveau-Brunswick</t>
        </is>
      </c>
      <c r="E4893" t="inlineStr">
        <is>
          <t>Kent Estabrooks</t>
        </is>
      </c>
      <c r="F4893" t="inlineStr">
        <is>
          <t>Meeting with Agency official</t>
        </is>
      </c>
      <c r="G4893" t="inlineStr">
        <is>
          <t>Réunion avec un fonctionnaire de l'Agence</t>
        </is>
      </c>
      <c r="H4893" s="1" t="n">
        <v>43767</v>
      </c>
      <c r="I4893" s="1" t="n">
        <v>43768</v>
      </c>
      <c r="J4893" t="inlineStr">
        <is>
          <t>Moncton, New Brunswick</t>
        </is>
      </c>
      <c r="K4893" t="inlineStr">
        <is>
          <t>Moncton (Nouveau-Brunswick)</t>
        </is>
      </c>
      <c r="P4893" t="n">
        <v>0</v>
      </c>
      <c r="Q4893" t="n">
        <v>17.83</v>
      </c>
      <c r="R4893" t="n">
        <v>173.98</v>
      </c>
      <c r="S4893" t="n">
        <v>105.65</v>
      </c>
      <c r="T4893" t="n">
        <v>0</v>
      </c>
      <c r="U4893" t="n">
        <v>297.46</v>
      </c>
      <c r="X4893" t="inlineStr">
        <is>
          <t>acoa-apeca</t>
        </is>
      </c>
      <c r="Y4893" t="inlineStr">
        <is>
          <t>Atlantic Canada Opportunities Agency | Agence de promotion économique du Canada atlantique</t>
        </is>
      </c>
    </row>
    <row r="4894">
      <c r="A4894" t="inlineStr">
        <is>
          <t>T-2020-Q3-00064</t>
        </is>
      </c>
      <c r="B4894" t="inlineStr">
        <is>
          <t>SLE</t>
        </is>
      </c>
      <c r="C4894" t="inlineStr">
        <is>
          <t>Vice-President, New Brunswick</t>
        </is>
      </c>
      <c r="D4894" t="inlineStr">
        <is>
          <t>Vice-président, Nouveau-Brunswick</t>
        </is>
      </c>
      <c r="E4894" t="inlineStr">
        <is>
          <t>Kent Estabrooks</t>
        </is>
      </c>
      <c r="F4894" t="inlineStr">
        <is>
          <t>External stakeholders meeting, Agency Executive Committee meeting</t>
        </is>
      </c>
      <c r="G4894" t="inlineStr">
        <is>
          <t>Réunion avec des intervenants externes, réunion du Comité de direction de l'Agence</t>
        </is>
      </c>
      <c r="H4894" s="1" t="n">
        <v>43752</v>
      </c>
      <c r="I4894" s="1" t="n">
        <v>43755</v>
      </c>
      <c r="J4894" t="inlineStr">
        <is>
          <t>Halifax, Nova Scotia and Moncton, New Brunswick</t>
        </is>
      </c>
      <c r="K4894" t="inlineStr">
        <is>
          <t>Halifax (Nouvelle-Écosse) et Moncton (Nouveau-Brunswick)</t>
        </is>
      </c>
      <c r="P4894" t="n">
        <v>363.4</v>
      </c>
      <c r="Q4894" t="n">
        <v>81.59999999999999</v>
      </c>
      <c r="R4894" t="n">
        <v>554.01</v>
      </c>
      <c r="S4894" t="n">
        <v>312.6</v>
      </c>
      <c r="T4894" t="n">
        <v>0</v>
      </c>
      <c r="U4894" t="n">
        <v>1311.61</v>
      </c>
      <c r="X4894" t="inlineStr">
        <is>
          <t>acoa-apeca</t>
        </is>
      </c>
      <c r="Y4894" t="inlineStr">
        <is>
          <t>Atlantic Canada Opportunities Agency | Agence de promotion économique du Canada atlantique</t>
        </is>
      </c>
    </row>
    <row r="4895">
      <c r="A4895" t="inlineStr">
        <is>
          <t>T-2020-Q3-00063</t>
        </is>
      </c>
      <c r="B4895" t="inlineStr">
        <is>
          <t>SLE</t>
        </is>
      </c>
      <c r="C4895" t="inlineStr">
        <is>
          <t>Vice-President, New Brunswick</t>
        </is>
      </c>
      <c r="D4895" t="inlineStr">
        <is>
          <t>Vice-président, Nouveau-Brunswick</t>
        </is>
      </c>
      <c r="E4895" t="inlineStr">
        <is>
          <t>Kent Estabrooks</t>
        </is>
      </c>
      <c r="F4895" t="inlineStr">
        <is>
          <t>External stakeholders meeting</t>
        </is>
      </c>
      <c r="G4895" t="inlineStr">
        <is>
          <t>Réunion avec des intervenants externes</t>
        </is>
      </c>
      <c r="H4895" s="1" t="n">
        <v>43746</v>
      </c>
      <c r="I4895" s="1" t="n">
        <v>43748</v>
      </c>
      <c r="J4895" t="inlineStr">
        <is>
          <t>Toronto, Ontario</t>
        </is>
      </c>
      <c r="K4895" t="inlineStr">
        <is>
          <t>Toronton (Ontario)</t>
        </is>
      </c>
      <c r="P4895" t="n">
        <v>726.8</v>
      </c>
      <c r="Q4895" t="n">
        <v>81.93000000000001</v>
      </c>
      <c r="R4895" t="n">
        <v>420.72</v>
      </c>
      <c r="S4895" t="n">
        <v>194.2</v>
      </c>
      <c r="T4895" t="n">
        <v>0</v>
      </c>
      <c r="U4895" t="n">
        <v>1423.65</v>
      </c>
      <c r="X4895" t="inlineStr">
        <is>
          <t>acoa-apeca</t>
        </is>
      </c>
      <c r="Y4895" t="inlineStr">
        <is>
          <t>Atlantic Canada Opportunities Agency | Agence de promotion économique du Canada atlantique</t>
        </is>
      </c>
    </row>
    <row r="4896">
      <c r="A4896" t="inlineStr">
        <is>
          <t>T-2020-Q3-00062</t>
        </is>
      </c>
      <c r="B4896" t="inlineStr">
        <is>
          <t>SLE</t>
        </is>
      </c>
      <c r="C4896" t="inlineStr">
        <is>
          <t>Vice-President, New Brunswick</t>
        </is>
      </c>
      <c r="D4896" t="inlineStr">
        <is>
          <t>Vice-président, Nouveau-Brunswick</t>
        </is>
      </c>
      <c r="E4896" t="inlineStr">
        <is>
          <t>Kent Estabrooks</t>
        </is>
      </c>
      <c r="F4896" t="inlineStr">
        <is>
          <t>External stakeholders meeting</t>
        </is>
      </c>
      <c r="G4896" t="inlineStr">
        <is>
          <t>Réunion avec des intervenants externes</t>
        </is>
      </c>
      <c r="H4896" s="1" t="n">
        <v>43762</v>
      </c>
      <c r="I4896" s="1" t="n">
        <v>43763</v>
      </c>
      <c r="J4896" t="inlineStr">
        <is>
          <t>Ottawa, Ontatio</t>
        </is>
      </c>
      <c r="K4896" t="inlineStr">
        <is>
          <t>Ottawa (Ontario)</t>
        </is>
      </c>
      <c r="P4896" t="n">
        <v>726.8</v>
      </c>
      <c r="Q4896" t="n">
        <v>102.78</v>
      </c>
      <c r="R4896" t="n">
        <v>233.86</v>
      </c>
      <c r="S4896" t="n">
        <v>156.3</v>
      </c>
      <c r="T4896" t="n">
        <v>0</v>
      </c>
      <c r="U4896" t="n">
        <v>1219.74</v>
      </c>
      <c r="X4896" t="inlineStr">
        <is>
          <t>acoa-apeca</t>
        </is>
      </c>
      <c r="Y4896" t="inlineStr">
        <is>
          <t>Atlantic Canada Opportunities Agency | Agence de promotion économique du Canada atlantique</t>
        </is>
      </c>
    </row>
    <row r="4897">
      <c r="A4897" t="inlineStr">
        <is>
          <t>T-2020-Q3-00061</t>
        </is>
      </c>
      <c r="B4897" t="inlineStr">
        <is>
          <t>SLE</t>
        </is>
      </c>
      <c r="C4897" t="inlineStr">
        <is>
          <t>Vice-President, New Brunswick</t>
        </is>
      </c>
      <c r="D4897" t="inlineStr">
        <is>
          <t>Vice-président, Nouveau-Brunswick</t>
        </is>
      </c>
      <c r="E4897" t="inlineStr">
        <is>
          <t>Kent Estabrooks</t>
        </is>
      </c>
      <c r="F4897" t="inlineStr">
        <is>
          <t>Meeting with clients</t>
        </is>
      </c>
      <c r="G4897" t="inlineStr">
        <is>
          <t>Réunion avec des clients</t>
        </is>
      </c>
      <c r="H4897" s="1" t="n">
        <v>43773</v>
      </c>
      <c r="I4897" s="1" t="n">
        <v>43775</v>
      </c>
      <c r="J4897" t="inlineStr">
        <is>
          <t>Saint John, New Brunswick</t>
        </is>
      </c>
      <c r="K4897" t="inlineStr">
        <is>
          <t>Saint John (Nouveau-Brunswick)</t>
        </is>
      </c>
      <c r="P4897" t="n">
        <v>0</v>
      </c>
      <c r="Q4897" t="n">
        <v>36.68</v>
      </c>
      <c r="R4897" t="n">
        <v>272.44</v>
      </c>
      <c r="S4897" t="n">
        <v>153</v>
      </c>
      <c r="T4897" t="n">
        <v>0</v>
      </c>
      <c r="U4897" t="n">
        <v>462.12</v>
      </c>
      <c r="X4897" t="inlineStr">
        <is>
          <t>acoa-apeca</t>
        </is>
      </c>
      <c r="Y4897" t="inlineStr">
        <is>
          <t>Atlantic Canada Opportunities Agency | Agence de promotion économique du Canada atlantique</t>
        </is>
      </c>
    </row>
    <row r="4898">
      <c r="A4898" t="inlineStr">
        <is>
          <t>T-2020-Q3-00060</t>
        </is>
      </c>
      <c r="B4898" t="inlineStr">
        <is>
          <t>SLE</t>
        </is>
      </c>
      <c r="C4898" t="inlineStr">
        <is>
          <t>Vice-President, New Brunswick</t>
        </is>
      </c>
      <c r="D4898" t="inlineStr">
        <is>
          <t>Vice-président, Nouveau-Brunswick</t>
        </is>
      </c>
      <c r="E4898" t="inlineStr">
        <is>
          <t>Kent Estabrooks</t>
        </is>
      </c>
      <c r="F4898" t="inlineStr">
        <is>
          <t>Meeting with Agency officials</t>
        </is>
      </c>
      <c r="G4898" t="inlineStr">
        <is>
          <t>Réunion avec des fonctionnaires de l'Agence</t>
        </is>
      </c>
      <c r="H4898" s="1" t="n">
        <v>43794</v>
      </c>
      <c r="I4898" s="1" t="n">
        <v>43795</v>
      </c>
      <c r="J4898" t="inlineStr">
        <is>
          <t>Moncton, New Brunswick</t>
        </is>
      </c>
      <c r="K4898" t="inlineStr">
        <is>
          <t>Moncton (Nouveau-Brunswick)</t>
        </is>
      </c>
      <c r="P4898" t="n">
        <v>0</v>
      </c>
      <c r="Q4898" t="n">
        <v>17.83</v>
      </c>
      <c r="R4898" t="n">
        <v>173.78</v>
      </c>
      <c r="S4898" t="n">
        <v>105.75</v>
      </c>
      <c r="T4898" t="n">
        <v>0</v>
      </c>
      <c r="U4898" t="n">
        <v>297.36</v>
      </c>
      <c r="X4898" t="inlineStr">
        <is>
          <t>acoa-apeca</t>
        </is>
      </c>
      <c r="Y4898" t="inlineStr">
        <is>
          <t>Atlantic Canada Opportunities Agency | Agence de promotion économique du Canada atlantique</t>
        </is>
      </c>
    </row>
    <row r="4899">
      <c r="A4899" t="inlineStr">
        <is>
          <t>T-2020-Q3-00059</t>
        </is>
      </c>
      <c r="B4899" t="inlineStr">
        <is>
          <t>SLE</t>
        </is>
      </c>
      <c r="C4899" t="inlineStr">
        <is>
          <t>Vice-President, New Brunswick</t>
        </is>
      </c>
      <c r="D4899" t="inlineStr">
        <is>
          <t>Vice-président, Nouveau-Brunswick</t>
        </is>
      </c>
      <c r="E4899" t="inlineStr">
        <is>
          <t>Kent Estabrooks</t>
        </is>
      </c>
      <c r="F4899" t="inlineStr">
        <is>
          <t>External stakeholder meeting</t>
        </is>
      </c>
      <c r="G4899" t="inlineStr">
        <is>
          <t>Réunion avec un intervenant externe</t>
        </is>
      </c>
      <c r="H4899" s="1" t="n">
        <v>43789</v>
      </c>
      <c r="I4899" s="1" t="n">
        <v>43790</v>
      </c>
      <c r="J4899" t="inlineStr">
        <is>
          <t>Moncton, New Brunswick</t>
        </is>
      </c>
      <c r="K4899" t="inlineStr">
        <is>
          <t>Moncton (Nouveau-Brunswick)</t>
        </is>
      </c>
      <c r="P4899" t="n">
        <v>0</v>
      </c>
      <c r="Q4899" t="n">
        <v>4.3</v>
      </c>
      <c r="R4899" t="n">
        <v>220.74</v>
      </c>
      <c r="S4899" t="n">
        <v>105.75</v>
      </c>
      <c r="T4899" t="n">
        <v>0</v>
      </c>
      <c r="U4899" t="n">
        <v>330.79</v>
      </c>
      <c r="X4899" t="inlineStr">
        <is>
          <t>acoa-apeca</t>
        </is>
      </c>
      <c r="Y4899" t="inlineStr">
        <is>
          <t>Atlantic Canada Opportunities Agency | Agence de promotion économique du Canada atlantique</t>
        </is>
      </c>
    </row>
    <row r="4900">
      <c r="A4900" t="inlineStr">
        <is>
          <t>T-2020-Q3-00058</t>
        </is>
      </c>
      <c r="B4900" t="inlineStr">
        <is>
          <t>SLE</t>
        </is>
      </c>
      <c r="C4900" t="inlineStr">
        <is>
          <t>Vice-President, New Brunswick</t>
        </is>
      </c>
      <c r="D4900" t="inlineStr">
        <is>
          <t>Vice-président, Nouveau-Brunswick</t>
        </is>
      </c>
      <c r="E4900" t="inlineStr">
        <is>
          <t>Kent Estabrooks</t>
        </is>
      </c>
      <c r="F4900" t="inlineStr">
        <is>
          <t>Event with external stakeholders, meetings with Agency officials, and client meetings</t>
        </is>
      </c>
      <c r="G4900" t="inlineStr">
        <is>
          <t>Activité avec des intervenants externes, réunions avec des fonctionnaires de l'Agence et réunions avec des clients</t>
        </is>
      </c>
      <c r="H4900" s="1" t="n">
        <v>43780</v>
      </c>
      <c r="I4900" s="1" t="n">
        <v>43784</v>
      </c>
      <c r="J4900" t="inlineStr">
        <is>
          <t>Moncton, Back Bay and St. Stephen, New Brunswick</t>
        </is>
      </c>
      <c r="K4900" t="inlineStr">
        <is>
          <t>Moncton, Back Bay et St. Stephen (Nouveau-Brunswick)</t>
        </is>
      </c>
      <c r="P4900" t="n">
        <v>0</v>
      </c>
      <c r="Q4900" t="n">
        <v>17.83</v>
      </c>
      <c r="R4900" t="n">
        <v>520.15</v>
      </c>
      <c r="S4900" t="n">
        <v>211.25</v>
      </c>
      <c r="T4900" t="n">
        <v>0</v>
      </c>
      <c r="U4900" t="n">
        <v>749.23</v>
      </c>
      <c r="X4900" t="inlineStr">
        <is>
          <t>acoa-apeca</t>
        </is>
      </c>
      <c r="Y4900" t="inlineStr">
        <is>
          <t>Atlantic Canada Opportunities Agency | Agence de promotion économique du Canada atlantique</t>
        </is>
      </c>
    </row>
    <row r="4901">
      <c r="A4901" t="inlineStr">
        <is>
          <t>T-2020-Q3-00057</t>
        </is>
      </c>
      <c r="B4901" t="inlineStr">
        <is>
          <t>SLE</t>
        </is>
      </c>
      <c r="C4901" t="inlineStr">
        <is>
          <t>Vice-President, New Brunswick</t>
        </is>
      </c>
      <c r="D4901" t="inlineStr">
        <is>
          <t>Vice-président, Nouveau-Brunswick</t>
        </is>
      </c>
      <c r="E4901" t="inlineStr">
        <is>
          <t>Kent Estabrooks</t>
        </is>
      </c>
      <c r="F4901" t="inlineStr">
        <is>
          <t>Meeting with Agency officials</t>
        </is>
      </c>
      <c r="G4901" t="inlineStr">
        <is>
          <t>Réunion avec des fonctionnaires de l'Agence</t>
        </is>
      </c>
      <c r="H4901" s="1" t="n">
        <v>43797</v>
      </c>
      <c r="I4901" s="1" t="n">
        <v>43798</v>
      </c>
      <c r="J4901" t="inlineStr">
        <is>
          <t>Doaktown, New Brunswick</t>
        </is>
      </c>
      <c r="K4901" t="inlineStr">
        <is>
          <t>Doaktown (Nouveau-Brunswick)</t>
        </is>
      </c>
      <c r="P4901" t="n">
        <v>0</v>
      </c>
      <c r="Q4901" t="n">
        <v>0</v>
      </c>
      <c r="R4901" t="n">
        <v>126.5</v>
      </c>
      <c r="S4901" t="n">
        <v>177.77</v>
      </c>
      <c r="T4901" t="n">
        <v>0</v>
      </c>
      <c r="U4901" t="n">
        <v>304.27</v>
      </c>
      <c r="X4901" t="inlineStr">
        <is>
          <t>acoa-apeca</t>
        </is>
      </c>
      <c r="Y4901" t="inlineStr">
        <is>
          <t>Atlantic Canada Opportunities Agency | Agence de promotion économique du Canada atlantique</t>
        </is>
      </c>
    </row>
    <row r="4902">
      <c r="A4902" t="inlineStr">
        <is>
          <t>T-2020-Q3-00066</t>
        </is>
      </c>
      <c r="B4902" t="inlineStr">
        <is>
          <t>SLE</t>
        </is>
      </c>
      <c r="C4902" t="inlineStr">
        <is>
          <t>Vice-President, Prince Edward Island</t>
        </is>
      </c>
      <c r="D4902" t="inlineStr">
        <is>
          <t>Vice-président, Île-du-Prince-Édouard</t>
        </is>
      </c>
      <c r="E4902" t="inlineStr">
        <is>
          <t>Patrick Dorsey</t>
        </is>
      </c>
      <c r="F4902" t="inlineStr">
        <is>
          <t>Meetings with stakeholders and federal government officials in St. John's Newfoundland. Travel was aborted due to flight cancellation from Halifax Nova Scotia to St. John's Newfoundland</t>
        </is>
      </c>
      <c r="G4902" t="inlineStr">
        <is>
          <t>Réunions avec des intervenants et fonctionnaires fédéraux à St. John's (Terre-Neuve-et-Labrador); voyage annulé à cause de l'annulation du vol d'Halifax (Nouvelle-Écosse) à St. John's (Terre-Neuve-et-Labrador)</t>
        </is>
      </c>
      <c r="H4902" s="1" t="n">
        <v>43797</v>
      </c>
      <c r="I4902" s="1" t="n">
        <v>43798</v>
      </c>
      <c r="J4902" t="inlineStr">
        <is>
          <t>Halifax, Nova Scotia</t>
        </is>
      </c>
      <c r="K4902" t="inlineStr">
        <is>
          <t>Halifax (Nouvelle-Écosse)</t>
        </is>
      </c>
      <c r="P4902" t="n">
        <v>1003.46</v>
      </c>
      <c r="Q4902" t="n">
        <v>331.4</v>
      </c>
      <c r="R4902" t="n">
        <v>171.26</v>
      </c>
      <c r="S4902" t="n">
        <v>146.7</v>
      </c>
      <c r="T4902" t="n">
        <v>34.03</v>
      </c>
      <c r="U4902" t="n">
        <v>1686.85</v>
      </c>
      <c r="X4902" t="inlineStr">
        <is>
          <t>acoa-apeca</t>
        </is>
      </c>
      <c r="Y4902" t="inlineStr">
        <is>
          <t>Atlantic Canada Opportunities Agency | Agence de promotion économique du Canada atlantique</t>
        </is>
      </c>
    </row>
    <row r="4903">
      <c r="A4903" t="inlineStr">
        <is>
          <t>T-2020-Q3-00049</t>
        </is>
      </c>
      <c r="B4903" t="inlineStr">
        <is>
          <t>SLE</t>
        </is>
      </c>
      <c r="C4903" t="inlineStr">
        <is>
          <t>Vice-President, Prince Edward Island</t>
        </is>
      </c>
      <c r="D4903" t="inlineStr">
        <is>
          <t>Vice-président, Île-du-Prince-Édouard</t>
        </is>
      </c>
      <c r="E4903" t="inlineStr">
        <is>
          <t>Patrick Dorsey</t>
        </is>
      </c>
      <c r="F4903" t="inlineStr">
        <is>
          <t>Tourism Industry Association of Canada Conference and Meetings with Federal Government Officials</t>
        </is>
      </c>
      <c r="G4903" t="inlineStr">
        <is>
          <t>Conférence de l'Association de l'industrie touristique du Canada et réunions avec des fonctionnaires fédéraux</t>
        </is>
      </c>
      <c r="H4903" s="1" t="n">
        <v>43787</v>
      </c>
      <c r="I4903" s="1" t="n">
        <v>43790</v>
      </c>
      <c r="J4903" t="inlineStr">
        <is>
          <t>Ottawa Ontario</t>
        </is>
      </c>
      <c r="K4903" t="inlineStr">
        <is>
          <t>Ottawa (Ontario)</t>
        </is>
      </c>
      <c r="P4903" t="n">
        <v>1073.27</v>
      </c>
      <c r="Q4903" t="n">
        <v>0</v>
      </c>
      <c r="R4903" t="n">
        <v>725.1</v>
      </c>
      <c r="S4903" t="n">
        <v>302.75</v>
      </c>
      <c r="T4903" t="n">
        <v>102.73</v>
      </c>
      <c r="U4903" t="n">
        <v>2203.85</v>
      </c>
      <c r="X4903" t="inlineStr">
        <is>
          <t>acoa-apeca</t>
        </is>
      </c>
      <c r="Y4903" t="inlineStr">
        <is>
          <t>Atlantic Canada Opportunities Agency | Agence de promotion économique du Canada atlantique</t>
        </is>
      </c>
    </row>
    <row r="4904">
      <c r="A4904" t="inlineStr">
        <is>
          <t>T-2020-Q3-00046</t>
        </is>
      </c>
      <c r="B4904" t="inlineStr">
        <is>
          <t>SLE</t>
        </is>
      </c>
      <c r="C4904" t="inlineStr">
        <is>
          <t>Vice-President, Prince Edward Island</t>
        </is>
      </c>
      <c r="D4904" t="inlineStr">
        <is>
          <t>Vice-président, Île-du-Prince-Édouard</t>
        </is>
      </c>
      <c r="E4904" t="inlineStr">
        <is>
          <t>Patrick Dorsey</t>
        </is>
      </c>
      <c r="F4904" t="inlineStr">
        <is>
          <t>Meetings with federal and provincial government officials</t>
        </is>
      </c>
      <c r="G4904" t="inlineStr">
        <is>
          <t>Réunions avec des fonctionnaires provinciaux et fédéraux</t>
        </is>
      </c>
      <c r="H4904" s="1" t="n">
        <v>43782</v>
      </c>
      <c r="I4904" s="1" t="n">
        <v>43784</v>
      </c>
      <c r="J4904" t="inlineStr">
        <is>
          <t>Halifax, Nova Scotia</t>
        </is>
      </c>
      <c r="K4904" t="inlineStr">
        <is>
          <t>Halifax (Nouvelle-Écosse)</t>
        </is>
      </c>
      <c r="P4904" t="n">
        <v>0</v>
      </c>
      <c r="Q4904" t="n">
        <v>0</v>
      </c>
      <c r="R4904" t="n">
        <v>344.86</v>
      </c>
      <c r="S4904" t="n">
        <v>255.5</v>
      </c>
      <c r="T4904" t="n">
        <v>57.5</v>
      </c>
      <c r="U4904" t="n">
        <v>657.86</v>
      </c>
      <c r="X4904" t="inlineStr">
        <is>
          <t>acoa-apeca</t>
        </is>
      </c>
      <c r="Y4904" t="inlineStr">
        <is>
          <t>Atlantic Canada Opportunities Agency | Agence de promotion économique du Canada atlantique</t>
        </is>
      </c>
    </row>
    <row r="4905">
      <c r="A4905" t="inlineStr">
        <is>
          <t>T-2020-Q3-00054</t>
        </is>
      </c>
      <c r="B4905" t="inlineStr">
        <is>
          <t>SLE</t>
        </is>
      </c>
      <c r="C4905" t="inlineStr">
        <is>
          <t>Vice-President, Nova Scotia</t>
        </is>
      </c>
      <c r="D4905" t="inlineStr">
        <is>
          <t>Vice-président, Nouvelle-Écosse</t>
        </is>
      </c>
      <c r="E4905" t="inlineStr">
        <is>
          <t>Chuck Maillet</t>
        </is>
      </c>
      <c r="F4905" t="inlineStr">
        <is>
          <t xml:space="preserve">Various meetings with stakeholders in Yarmouth, Nova Scotia, and host the International Joint Commission in Moncton, New Brunswick </t>
        </is>
      </c>
      <c r="G4905" t="inlineStr">
        <is>
          <t>Diverses réunions avec des intervenants à Yarmouth en Nouvelle-Écosse, et accueil de la Commission mixte internationale à Moncton au Nouveau-Brunswick</t>
        </is>
      </c>
      <c r="H4905" s="1" t="n">
        <v>43785</v>
      </c>
      <c r="I4905" s="1" t="n">
        <v>43789</v>
      </c>
      <c r="J4905" t="inlineStr">
        <is>
          <t xml:space="preserve">Yarmouth, Nova Scotia and Moncton, New Brunswick </t>
        </is>
      </c>
      <c r="K4905" t="inlineStr">
        <is>
          <t>Yarmouth (Nouvelle-Écosse) et Moncton (Nouveau-Brunswick)</t>
        </is>
      </c>
      <c r="P4905" t="n">
        <v>0</v>
      </c>
      <c r="Q4905" t="n">
        <v>174.82</v>
      </c>
      <c r="R4905" t="n">
        <v>320.78</v>
      </c>
      <c r="S4905" t="n">
        <v>297.96</v>
      </c>
      <c r="T4905" t="n">
        <v>22</v>
      </c>
      <c r="U4905" t="n">
        <v>815.5599999999999</v>
      </c>
      <c r="X4905" t="inlineStr">
        <is>
          <t>acoa-apeca</t>
        </is>
      </c>
      <c r="Y4905" t="inlineStr">
        <is>
          <t>Atlantic Canada Opportunities Agency | Agence de promotion économique du Canada atlantique</t>
        </is>
      </c>
    </row>
    <row r="4906">
      <c r="A4906" t="inlineStr">
        <is>
          <t>T-2020-Q3-00053</t>
        </is>
      </c>
      <c r="B4906" t="inlineStr">
        <is>
          <t>SLE</t>
        </is>
      </c>
      <c r="C4906" t="inlineStr">
        <is>
          <t>Vice-President, Nova Scotia</t>
        </is>
      </c>
      <c r="D4906" t="inlineStr">
        <is>
          <t>Vice-président, Nouvelle-Écosse</t>
        </is>
      </c>
      <c r="E4906" t="inlineStr">
        <is>
          <t>Chuck Maillet</t>
        </is>
      </c>
      <c r="F4906" t="inlineStr">
        <is>
          <t>Various meetings with stakeholders in Sydney, Nova Scotia, and Assistant Deputy Minister Executive Development Leadership Program and meetings with Government of Canada officials in Ottawa, Ontario</t>
        </is>
      </c>
      <c r="G4906" t="inlineStr">
        <is>
          <t>Diverses réunions avec des intervenants à Sydney en Nouvelle-Écosse et Programme de développement en leadership pour cadres supérieurs à l'intention des sous-ministres adjoints et réunions avec des représentants du gouvernement du Canada à Ottawa, Ontario</t>
        </is>
      </c>
      <c r="H4906" s="1" t="n">
        <v>43773</v>
      </c>
      <c r="I4906" s="1" t="n">
        <v>43777</v>
      </c>
      <c r="J4906" t="inlineStr">
        <is>
          <t xml:space="preserve">Sydney, Nova Scotia and Ottawa, Ontario </t>
        </is>
      </c>
      <c r="K4906" t="inlineStr">
        <is>
          <t>Sydney (Nouvelle-Écosse) et Ottawa (Ontario)</t>
        </is>
      </c>
      <c r="P4906" t="n">
        <v>1428.95</v>
      </c>
      <c r="Q4906" t="n">
        <v>252.57</v>
      </c>
      <c r="R4906" t="n">
        <v>934.9</v>
      </c>
      <c r="S4906" t="n">
        <v>431.9</v>
      </c>
      <c r="T4906" t="n">
        <v>0</v>
      </c>
      <c r="U4906" t="n">
        <v>3048.32</v>
      </c>
      <c r="X4906" t="inlineStr">
        <is>
          <t>acoa-apeca</t>
        </is>
      </c>
      <c r="Y4906" t="inlineStr">
        <is>
          <t>Atlantic Canada Opportunities Agency | Agence de promotion économique du Canada atlantique</t>
        </is>
      </c>
    </row>
    <row r="4907">
      <c r="A4907" t="inlineStr">
        <is>
          <t>T-2020-Q3-00056</t>
        </is>
      </c>
      <c r="B4907" t="inlineStr">
        <is>
          <t>SLE</t>
        </is>
      </c>
      <c r="C4907" t="inlineStr">
        <is>
          <t>President</t>
        </is>
      </c>
      <c r="D4907" t="inlineStr">
        <is>
          <t>Président</t>
        </is>
      </c>
      <c r="E4907" t="inlineStr">
        <is>
          <t>Francis McGuire</t>
        </is>
      </c>
      <c r="F4907" t="inlineStr">
        <is>
          <t>Meeting with Minister and various stakeholders</t>
        </is>
      </c>
      <c r="G4907" t="inlineStr">
        <is>
          <t>Réunions avec la ministre et divers intervenants</t>
        </is>
      </c>
      <c r="H4907" s="1" t="n">
        <v>43795</v>
      </c>
      <c r="I4907" s="1" t="n">
        <v>43796</v>
      </c>
      <c r="J4907" t="inlineStr">
        <is>
          <t>Halifax, Nova Scotia</t>
        </is>
      </c>
      <c r="K4907" t="inlineStr">
        <is>
          <t>Halifax (Nouvelle-Écosse)</t>
        </is>
      </c>
      <c r="P4907" t="n">
        <v>0</v>
      </c>
      <c r="Q4907" t="n">
        <v>279.27</v>
      </c>
      <c r="R4907" t="n">
        <v>139.59</v>
      </c>
      <c r="S4907" t="n">
        <v>126.1</v>
      </c>
      <c r="T4907" t="n">
        <v>39.05</v>
      </c>
      <c r="U4907" t="n">
        <v>584.01</v>
      </c>
      <c r="X4907" t="inlineStr">
        <is>
          <t>acoa-apeca</t>
        </is>
      </c>
      <c r="Y4907" t="inlineStr">
        <is>
          <t>Atlantic Canada Opportunities Agency | Agence de promotion économique du Canada atlantique</t>
        </is>
      </c>
    </row>
    <row r="4908">
      <c r="A4908" t="inlineStr">
        <is>
          <t>T-2020-Q3-00055</t>
        </is>
      </c>
      <c r="B4908" t="inlineStr">
        <is>
          <t>SLE</t>
        </is>
      </c>
      <c r="C4908" t="inlineStr">
        <is>
          <t>President</t>
        </is>
      </c>
      <c r="D4908" t="inlineStr">
        <is>
          <t>Président</t>
        </is>
      </c>
      <c r="E4908" t="inlineStr">
        <is>
          <t>Francis McGuire</t>
        </is>
      </c>
      <c r="F4908" t="inlineStr">
        <is>
          <t>Meeting with various Government of Canada officials</t>
        </is>
      </c>
      <c r="G4908" t="inlineStr">
        <is>
          <t>Réunions avec divers fonctionnaires fédéraux</t>
        </is>
      </c>
      <c r="H4908" s="1" t="n">
        <v>43770</v>
      </c>
      <c r="I4908" s="1" t="n">
        <v>43770</v>
      </c>
      <c r="J4908" t="inlineStr">
        <is>
          <t>Ottawa, Ontario</t>
        </is>
      </c>
      <c r="K4908" t="inlineStr">
        <is>
          <t>Ottawa (Ontario)</t>
        </is>
      </c>
      <c r="P4908" t="n">
        <v>1084.5</v>
      </c>
      <c r="Q4908" t="n">
        <v>14.98</v>
      </c>
      <c r="R4908" t="n">
        <v>0</v>
      </c>
      <c r="S4908" t="n">
        <v>40.95</v>
      </c>
      <c r="T4908" t="n">
        <v>12</v>
      </c>
      <c r="U4908" t="n">
        <v>1152.43</v>
      </c>
      <c r="X4908" t="inlineStr">
        <is>
          <t>acoa-apeca</t>
        </is>
      </c>
      <c r="Y4908" t="inlineStr">
        <is>
          <t>Atlantic Canada Opportunities Agency | Agence de promotion économique du Canada atlantique</t>
        </is>
      </c>
    </row>
    <row r="4909">
      <c r="A4909" t="inlineStr">
        <is>
          <t>T-2020-Q3-00048</t>
        </is>
      </c>
      <c r="B4909" t="inlineStr">
        <is>
          <t>SLE</t>
        </is>
      </c>
      <c r="C4909" t="inlineStr">
        <is>
          <t>President</t>
        </is>
      </c>
      <c r="D4909" t="inlineStr">
        <is>
          <t>Président</t>
        </is>
      </c>
      <c r="E4909" t="inlineStr">
        <is>
          <t>Francis McGuire</t>
        </is>
      </c>
      <c r="F4909" t="inlineStr">
        <is>
          <t>Meetings with various Government of Canada officials and stakeholders</t>
        </is>
      </c>
      <c r="G4909" t="inlineStr">
        <is>
          <t>Réunions avec divers fonctionnaires du gouvernement du Canada et des intervenants</t>
        </is>
      </c>
      <c r="H4909" s="1" t="n">
        <v>43788</v>
      </c>
      <c r="I4909" s="1" t="n">
        <v>43793</v>
      </c>
      <c r="J4909" t="inlineStr">
        <is>
          <t>Ottawa, Ontario Halifax, Nova Scotia</t>
        </is>
      </c>
      <c r="K4909" t="inlineStr">
        <is>
          <t>Ottawa (Ontario) et Halifax (Nouvelle-Écosse)</t>
        </is>
      </c>
      <c r="P4909" t="n">
        <v>995.09</v>
      </c>
      <c r="Q4909" t="n">
        <v>258.53</v>
      </c>
      <c r="R4909" t="n">
        <v>1282.71</v>
      </c>
      <c r="S4909" t="n">
        <v>490.4</v>
      </c>
      <c r="T4909" t="n">
        <v>4</v>
      </c>
      <c r="U4909" t="n">
        <v>3030.73</v>
      </c>
      <c r="X4909" t="inlineStr">
        <is>
          <t>acoa-apeca</t>
        </is>
      </c>
      <c r="Y4909" t="inlineStr">
        <is>
          <t>Atlantic Canada Opportunities Agency | Agence de promotion économique du Canada atlantique</t>
        </is>
      </c>
    </row>
    <row r="4910">
      <c r="A4910" t="inlineStr">
        <is>
          <t>T-2020-Q3-00045</t>
        </is>
      </c>
      <c r="B4910" t="inlineStr">
        <is>
          <t>SLE</t>
        </is>
      </c>
      <c r="C4910" t="inlineStr">
        <is>
          <t>President</t>
        </is>
      </c>
      <c r="D4910" t="inlineStr">
        <is>
          <t>Président</t>
        </is>
      </c>
      <c r="E4910" t="inlineStr">
        <is>
          <t>Francis McGuire</t>
        </is>
      </c>
      <c r="F4910" t="inlineStr">
        <is>
          <t>Meetings with various Government of Canada officials</t>
        </is>
      </c>
      <c r="G4910" t="inlineStr">
        <is>
          <t>Réunions avec divers fonctionnaires du gouvernement du Canada</t>
        </is>
      </c>
      <c r="H4910" s="1" t="n">
        <v>43774</v>
      </c>
      <c r="I4910" s="1" t="n">
        <v>43776</v>
      </c>
      <c r="J4910" t="inlineStr">
        <is>
          <t>Ottawa, Ontario</t>
        </is>
      </c>
      <c r="K4910" t="inlineStr">
        <is>
          <t>Ottawa (Ontario)</t>
        </is>
      </c>
      <c r="P4910" t="n">
        <v>667.1</v>
      </c>
      <c r="Q4910" t="n">
        <v>14.98</v>
      </c>
      <c r="R4910" t="n">
        <v>695.72</v>
      </c>
      <c r="S4910" t="n">
        <v>184.35</v>
      </c>
      <c r="T4910" t="n">
        <v>24</v>
      </c>
      <c r="U4910" t="n">
        <v>1586.15</v>
      </c>
      <c r="X4910" t="inlineStr">
        <is>
          <t>acoa-apeca</t>
        </is>
      </c>
      <c r="Y4910" t="inlineStr">
        <is>
          <t>Atlantic Canada Opportunities Agency | Agence de promotion économique du Canada atlantique</t>
        </is>
      </c>
    </row>
    <row r="4911">
      <c r="A4911" t="inlineStr">
        <is>
          <t>T-2020-Q3-00051</t>
        </is>
      </c>
      <c r="B4911" t="inlineStr">
        <is>
          <t>SLE</t>
        </is>
      </c>
      <c r="C4911" t="inlineStr">
        <is>
          <t>Vice-President, Finance and Corporate Services</t>
        </is>
      </c>
      <c r="D4911" t="inlineStr">
        <is>
          <t>Vice-président, Finance et Services corporatifs</t>
        </is>
      </c>
      <c r="E4911" t="inlineStr">
        <is>
          <t>Stephane Lagace</t>
        </is>
      </c>
      <c r="F4911" t="inlineStr">
        <is>
          <t>Training and meeting with Government of Canada officials</t>
        </is>
      </c>
      <c r="G4911" t="inlineStr">
        <is>
          <t>Formation et réunion avec des fonctionnaires du gouvernement du Canada</t>
        </is>
      </c>
      <c r="H4911" s="1" t="n">
        <v>43795</v>
      </c>
      <c r="I4911" s="1" t="n">
        <v>43796</v>
      </c>
      <c r="J4911" t="inlineStr">
        <is>
          <t>Ottawa, Ontario</t>
        </is>
      </c>
      <c r="K4911" t="inlineStr">
        <is>
          <t>Ottawa (Ontario)</t>
        </is>
      </c>
      <c r="P4911" t="n">
        <v>1199.57</v>
      </c>
      <c r="Q4911" t="n">
        <v>107.38</v>
      </c>
      <c r="R4911" t="n">
        <v>233.86</v>
      </c>
      <c r="S4911" t="n">
        <v>176.65</v>
      </c>
      <c r="T4911" t="n">
        <v>35.74</v>
      </c>
      <c r="U4911" t="n">
        <v>1753.2</v>
      </c>
      <c r="X4911" t="inlineStr">
        <is>
          <t>acoa-apeca</t>
        </is>
      </c>
      <c r="Y4911" t="inlineStr">
        <is>
          <t>Atlantic Canada Opportunities Agency | Agence de promotion économique du Canada atlantique</t>
        </is>
      </c>
    </row>
    <row r="4912">
      <c r="A4912" t="inlineStr">
        <is>
          <t>T-2020-Q3-00050</t>
        </is>
      </c>
      <c r="B4912" t="inlineStr">
        <is>
          <t>SLE</t>
        </is>
      </c>
      <c r="C4912" t="inlineStr">
        <is>
          <t>Acting Vice-President, Newfoundland and Labrador</t>
        </is>
      </c>
      <c r="D4912" t="inlineStr">
        <is>
          <t>Vice-président par intérim, Terre-Neuve et Labrador</t>
        </is>
      </c>
      <c r="E4912" t="inlineStr">
        <is>
          <t>Bill Grandy</t>
        </is>
      </c>
      <c r="F4912" t="inlineStr">
        <is>
          <t xml:space="preserve">Acting Vice-President of ACOA Newfoundland and Labrador </t>
        </is>
      </c>
      <c r="G4912" t="inlineStr">
        <is>
          <t>Vice-président par intérim du bureau de l'APECA à Terre-Neuve-et-Labrador</t>
        </is>
      </c>
      <c r="H4912" s="1" t="n">
        <v>43781</v>
      </c>
      <c r="I4912" s="1" t="n">
        <v>43784</v>
      </c>
      <c r="J4912" t="inlineStr">
        <is>
          <t>St. John's, Newfoundland and Labrador</t>
        </is>
      </c>
      <c r="K4912" t="inlineStr">
        <is>
          <t>St. John's (Terre-Neuve-et-Labrador)</t>
        </is>
      </c>
      <c r="P4912" t="n">
        <v>819.34</v>
      </c>
      <c r="Q4912" t="n">
        <v>397.87</v>
      </c>
      <c r="R4912" t="n">
        <v>510.51</v>
      </c>
      <c r="S4912" t="n">
        <v>364.3</v>
      </c>
      <c r="T4912" t="n">
        <v>0</v>
      </c>
      <c r="U4912" t="n">
        <v>2092.02</v>
      </c>
      <c r="X4912" t="inlineStr">
        <is>
          <t>acoa-apeca</t>
        </is>
      </c>
      <c r="Y4912" t="inlineStr">
        <is>
          <t>Atlantic Canada Opportunities Agency | Agence de promotion économique du Canada atlantique</t>
        </is>
      </c>
    </row>
    <row r="4913">
      <c r="A4913" t="inlineStr">
        <is>
          <t>T-2020-Q4-00004</t>
        </is>
      </c>
      <c r="B4913" t="inlineStr">
        <is>
          <t>SLE</t>
        </is>
      </c>
      <c r="C4913" t="inlineStr">
        <is>
          <t>Vice-President, Policy, Programs and Communications</t>
        </is>
      </c>
      <c r="D4913" t="inlineStr">
        <is>
          <t>Vice-président, Politiques et Programmes</t>
        </is>
      </c>
      <c r="E4913" t="inlineStr">
        <is>
          <t>Daryell Nowlan</t>
        </is>
      </c>
      <c r="F4913" t="inlineStr">
        <is>
          <t>Meetings with Government of Canada officials</t>
        </is>
      </c>
      <c r="G4913" t="inlineStr">
        <is>
          <t>Réunions avec des fonctionnaires fédéraux</t>
        </is>
      </c>
      <c r="H4913" s="1" t="n">
        <v>43804</v>
      </c>
      <c r="I4913" s="1" t="n">
        <v>43805</v>
      </c>
      <c r="J4913" t="inlineStr">
        <is>
          <t>Ottawa, Ontario</t>
        </is>
      </c>
      <c r="K4913" t="inlineStr">
        <is>
          <t>Ottawa (Ontario)</t>
        </is>
      </c>
      <c r="P4913" t="n">
        <v>815.54</v>
      </c>
      <c r="Q4913" t="n">
        <v>92</v>
      </c>
      <c r="R4913" t="n">
        <v>198.61</v>
      </c>
      <c r="S4913" t="n">
        <v>176.9</v>
      </c>
      <c r="T4913" t="n">
        <v>0</v>
      </c>
      <c r="U4913" t="n">
        <v>1283.05</v>
      </c>
      <c r="X4913" t="inlineStr">
        <is>
          <t>acoa-apeca</t>
        </is>
      </c>
      <c r="Y4913" t="inlineStr">
        <is>
          <t>Atlantic Canada Opportunities Agency | Agence de promotion économique du Canada atlantique</t>
        </is>
      </c>
    </row>
    <row r="4914">
      <c r="A4914" t="inlineStr">
        <is>
          <t>T-2020-Q4-00006</t>
        </is>
      </c>
      <c r="B4914" t="inlineStr">
        <is>
          <t>SLE</t>
        </is>
      </c>
      <c r="C4914" t="inlineStr">
        <is>
          <t>Vice-President, Prince Edward Island</t>
        </is>
      </c>
      <c r="D4914" t="inlineStr">
        <is>
          <t>Vice-président, Île-du-Prince-Édouard</t>
        </is>
      </c>
      <c r="E4914" t="inlineStr">
        <is>
          <t>Patrick Dorsey</t>
        </is>
      </c>
      <c r="F4914" t="inlineStr">
        <is>
          <t xml:space="preserve">Meetings with federal government officials </t>
        </is>
      </c>
      <c r="G4914" t="inlineStr">
        <is>
          <t>Réunions avec des fonctionnaires fédéraux</t>
        </is>
      </c>
      <c r="H4914" s="1" t="n">
        <v>43808</v>
      </c>
      <c r="I4914" s="1" t="n">
        <v>43810</v>
      </c>
      <c r="J4914" t="inlineStr">
        <is>
          <t>Ottawa Ontario</t>
        </is>
      </c>
      <c r="K4914" t="inlineStr">
        <is>
          <t>Ottawa (Ontario)</t>
        </is>
      </c>
      <c r="P4914" t="n">
        <v>1294.65</v>
      </c>
      <c r="Q4914" t="n">
        <v>78.86</v>
      </c>
      <c r="R4914" t="n">
        <v>451.28</v>
      </c>
      <c r="S4914" t="n">
        <v>214.3</v>
      </c>
      <c r="T4914" t="n">
        <v>30</v>
      </c>
      <c r="U4914" t="n">
        <v>2069.09</v>
      </c>
      <c r="X4914" t="inlineStr">
        <is>
          <t>acoa-apeca</t>
        </is>
      </c>
      <c r="Y4914" t="inlineStr">
        <is>
          <t>Atlantic Canada Opportunities Agency | Agence de promotion économique du Canada atlantique</t>
        </is>
      </c>
    </row>
    <row r="4915">
      <c r="A4915" t="inlineStr">
        <is>
          <t>T-2020-Q4-00003</t>
        </is>
      </c>
      <c r="B4915" t="inlineStr">
        <is>
          <t>SLE</t>
        </is>
      </c>
      <c r="C4915" t="inlineStr">
        <is>
          <t>Vice-President, Prince Edward Island</t>
        </is>
      </c>
      <c r="D4915" t="inlineStr">
        <is>
          <t>Vice-président, Île-du-Prince-Édouard</t>
        </is>
      </c>
      <c r="E4915" t="inlineStr">
        <is>
          <t>Patrick Dorsey</t>
        </is>
      </c>
      <c r="F4915" t="inlineStr">
        <is>
          <t>Meetings with federal government officials</t>
        </is>
      </c>
      <c r="G4915" t="inlineStr">
        <is>
          <t>Réunions avec des fonctionnaires fédéraux</t>
        </is>
      </c>
      <c r="H4915" s="1" t="n">
        <v>43801</v>
      </c>
      <c r="I4915" s="1" t="n">
        <v>43803</v>
      </c>
      <c r="J4915" t="inlineStr">
        <is>
          <t>Halifax, Nova Scotia</t>
        </is>
      </c>
      <c r="K4915" t="inlineStr">
        <is>
          <t>Halifax (Nouvelle-Écosse)</t>
        </is>
      </c>
      <c r="P4915" t="n">
        <v>0</v>
      </c>
      <c r="Q4915" t="n">
        <v>396.79</v>
      </c>
      <c r="R4915" t="n">
        <v>344.86</v>
      </c>
      <c r="S4915" t="n">
        <v>214.3</v>
      </c>
      <c r="T4915" t="n">
        <v>57.5</v>
      </c>
      <c r="U4915" t="n">
        <v>1013.45</v>
      </c>
      <c r="X4915" t="inlineStr">
        <is>
          <t>acoa-apeca</t>
        </is>
      </c>
      <c r="Y4915" t="inlineStr">
        <is>
          <t>Atlantic Canada Opportunities Agency | Agence de promotion économique du Canada atlantique</t>
        </is>
      </c>
    </row>
    <row r="4916">
      <c r="A4916" t="inlineStr">
        <is>
          <t>T-2020-Q3-00067</t>
        </is>
      </c>
      <c r="B4916" t="inlineStr">
        <is>
          <t>SLE</t>
        </is>
      </c>
      <c r="C4916" t="inlineStr">
        <is>
          <t>Vice-President, Prince Edward Island</t>
        </is>
      </c>
      <c r="D4916" t="inlineStr">
        <is>
          <t>Vice-président, Île-du-Prince-Édouard</t>
        </is>
      </c>
      <c r="E4916" t="inlineStr">
        <is>
          <t>Patrick Dorsey</t>
        </is>
      </c>
      <c r="F4916" t="inlineStr">
        <is>
          <t>Meetings with Agency officials</t>
        </is>
      </c>
      <c r="G4916" t="inlineStr">
        <is>
          <t>Réunions avec des fonctionnaires de l'Agence</t>
        </is>
      </c>
      <c r="H4916" s="1" t="n">
        <v>43797</v>
      </c>
      <c r="I4916" s="1" t="n">
        <v>43798</v>
      </c>
      <c r="J4916" t="inlineStr">
        <is>
          <t>Halifax, Nova Scotia</t>
        </is>
      </c>
      <c r="K4916" t="inlineStr">
        <is>
          <t>Halifax (Nouvelle-Écosse)</t>
        </is>
      </c>
      <c r="P4916" t="n">
        <v>1028.76</v>
      </c>
      <c r="Q4916" t="n">
        <v>233.07</v>
      </c>
      <c r="R4916" t="n">
        <v>171.26</v>
      </c>
      <c r="S4916" t="n">
        <v>146.7</v>
      </c>
      <c r="T4916" t="n">
        <v>132.36</v>
      </c>
      <c r="U4916" t="n">
        <v>1712.15</v>
      </c>
      <c r="X4916" t="inlineStr">
        <is>
          <t>acoa-apeca</t>
        </is>
      </c>
      <c r="Y4916" t="inlineStr">
        <is>
          <t>Atlantic Canada Opportunities Agency | Agence de promotion économique du Canada atlantique</t>
        </is>
      </c>
    </row>
    <row r="4917">
      <c r="A4917" t="inlineStr">
        <is>
          <t>T-2020-Q4-00008</t>
        </is>
      </c>
      <c r="B4917" t="inlineStr">
        <is>
          <t>SLE</t>
        </is>
      </c>
      <c r="C4917" t="inlineStr">
        <is>
          <t>Vice-President, Nova Scotia</t>
        </is>
      </c>
      <c r="D4917" t="inlineStr">
        <is>
          <t>Vice-président, Nouvelle-Écosse</t>
        </is>
      </c>
      <c r="E4917" t="inlineStr">
        <is>
          <t>Chuck Maillet</t>
        </is>
      </c>
      <c r="F4917" t="inlineStr">
        <is>
          <t>Various meetings with Agency officials and stakeholders</t>
        </is>
      </c>
      <c r="G4917" t="inlineStr">
        <is>
          <t>Diverses réunions avec des fonctionnaires de l'Agence et des intervenants</t>
        </is>
      </c>
      <c r="H4917" s="1" t="n">
        <v>43817</v>
      </c>
      <c r="I4917" s="1" t="n">
        <v>43818</v>
      </c>
      <c r="J4917" t="inlineStr">
        <is>
          <t>Sydney, Nova Scotia</t>
        </is>
      </c>
      <c r="K4917" t="inlineStr">
        <is>
          <t>Sydney (Nouvelle-Écosse)</t>
        </is>
      </c>
      <c r="P4917" t="n">
        <v>501.69</v>
      </c>
      <c r="Q4917" t="n">
        <v>0</v>
      </c>
      <c r="R4917" t="n">
        <v>146.63</v>
      </c>
      <c r="S4917" t="n">
        <v>217.6</v>
      </c>
      <c r="T4917" t="n">
        <v>0</v>
      </c>
      <c r="U4917" t="n">
        <v>865.92</v>
      </c>
      <c r="X4917" t="inlineStr">
        <is>
          <t>acoa-apeca</t>
        </is>
      </c>
      <c r="Y4917" t="inlineStr">
        <is>
          <t>Atlantic Canada Opportunities Agency | Agence de promotion économique du Canada atlantique</t>
        </is>
      </c>
    </row>
    <row r="4918">
      <c r="A4918" t="inlineStr">
        <is>
          <t>T-2020-Q4-00005</t>
        </is>
      </c>
      <c r="B4918" t="inlineStr">
        <is>
          <t>SLE</t>
        </is>
      </c>
      <c r="C4918" t="inlineStr">
        <is>
          <t>President</t>
        </is>
      </c>
      <c r="D4918" t="inlineStr">
        <is>
          <t>Président</t>
        </is>
      </c>
      <c r="E4918" t="inlineStr">
        <is>
          <t>Francis McGuire</t>
        </is>
      </c>
      <c r="F4918" t="inlineStr">
        <is>
          <t>Meetings with Government of Canada officials</t>
        </is>
      </c>
      <c r="G4918" t="inlineStr">
        <is>
          <t>Réunions avec des fonctionnaires fédéraux</t>
        </is>
      </c>
      <c r="H4918" s="1" t="n">
        <v>43809</v>
      </c>
      <c r="I4918" s="1" t="n">
        <v>43810</v>
      </c>
      <c r="J4918" t="inlineStr">
        <is>
          <t>Ottawa, Ontario</t>
        </is>
      </c>
      <c r="K4918" t="inlineStr">
        <is>
          <t>Ottawa (Ontario)</t>
        </is>
      </c>
      <c r="P4918" t="n">
        <v>720.0700000000001</v>
      </c>
      <c r="Q4918" t="n">
        <v>31.56</v>
      </c>
      <c r="R4918" t="n">
        <v>401.92</v>
      </c>
      <c r="S4918" t="n">
        <v>197.25</v>
      </c>
      <c r="T4918" t="n">
        <v>0</v>
      </c>
      <c r="U4918" t="n">
        <v>1350.8</v>
      </c>
      <c r="X4918" t="inlineStr">
        <is>
          <t>acoa-apeca</t>
        </is>
      </c>
      <c r="Y4918" t="inlineStr">
        <is>
          <t>Atlantic Canada Opportunities Agency | Agence de promotion économique du Canada atlantique</t>
        </is>
      </c>
    </row>
    <row r="4919">
      <c r="A4919" t="inlineStr">
        <is>
          <t>T-2020-Q4-00014</t>
        </is>
      </c>
      <c r="B4919" t="inlineStr">
        <is>
          <t>SLE</t>
        </is>
      </c>
      <c r="C4919" t="inlineStr">
        <is>
          <t>Vice-President, Policy, Programs and Communications</t>
        </is>
      </c>
      <c r="D4919" t="inlineStr">
        <is>
          <t>Vice-président, Politiques et Programmes</t>
        </is>
      </c>
      <c r="E4919" t="inlineStr">
        <is>
          <t>Daryell Nowlan</t>
        </is>
      </c>
      <c r="F4919" t="inlineStr">
        <is>
          <t>Meetings with Government of Canada officials</t>
        </is>
      </c>
      <c r="G4919" t="inlineStr">
        <is>
          <t>Réunions avec des fonctionnaires du gouvernement du Canada</t>
        </is>
      </c>
      <c r="H4919" s="1" t="n">
        <v>43843</v>
      </c>
      <c r="I4919" s="1" t="n">
        <v>43845</v>
      </c>
      <c r="J4919" t="inlineStr">
        <is>
          <t>Ottawa, Ontario</t>
        </is>
      </c>
      <c r="K4919" t="inlineStr">
        <is>
          <t xml:space="preserve">Ottawa (Ontario) </t>
        </is>
      </c>
      <c r="P4919" t="n">
        <v>726.8</v>
      </c>
      <c r="Q4919" t="n">
        <v>171.28</v>
      </c>
      <c r="R4919" t="n">
        <v>467.72</v>
      </c>
      <c r="S4919" t="n">
        <v>214.8</v>
      </c>
      <c r="T4919" t="n">
        <v>0</v>
      </c>
      <c r="U4919" t="n">
        <v>1580.6</v>
      </c>
      <c r="X4919" t="inlineStr">
        <is>
          <t>acoa-apeca</t>
        </is>
      </c>
      <c r="Y4919" t="inlineStr">
        <is>
          <t>Atlantic Canada Opportunities Agency | Agence de promotion économique du Canada atlantique</t>
        </is>
      </c>
    </row>
    <row r="4920">
      <c r="A4920" t="inlineStr">
        <is>
          <t>T-2020-Q4-00027</t>
        </is>
      </c>
      <c r="B4920" t="inlineStr">
        <is>
          <t>SLE</t>
        </is>
      </c>
      <c r="C4920" t="inlineStr">
        <is>
          <t>Vice-President, New Brunswick</t>
        </is>
      </c>
      <c r="D4920" t="inlineStr">
        <is>
          <t>Vice-président, Nouveau-Brunswick</t>
        </is>
      </c>
      <c r="E4920" t="inlineStr">
        <is>
          <t>Kent Estabrooks</t>
        </is>
      </c>
      <c r="F4920" t="inlineStr">
        <is>
          <t>Interview board member</t>
        </is>
      </c>
      <c r="G4920" t="inlineStr">
        <is>
          <t>Entrevue de sélection</t>
        </is>
      </c>
      <c r="H4920" s="1" t="n">
        <v>43838</v>
      </c>
      <c r="I4920" s="1" t="n">
        <v>43839</v>
      </c>
      <c r="J4920" t="inlineStr">
        <is>
          <t>Moncton, New Brunswick</t>
        </is>
      </c>
      <c r="K4920" t="inlineStr">
        <is>
          <t>Moncton (Nouveau-Brunswick)</t>
        </is>
      </c>
      <c r="P4920" t="n">
        <v>0</v>
      </c>
      <c r="Q4920" t="n">
        <v>0</v>
      </c>
      <c r="R4920" t="n">
        <v>333.28</v>
      </c>
      <c r="S4920" t="n">
        <v>244.75</v>
      </c>
      <c r="T4920" t="n">
        <v>0</v>
      </c>
      <c r="U4920" t="n">
        <v>578.03</v>
      </c>
      <c r="X4920" t="inlineStr">
        <is>
          <t>acoa-apeca</t>
        </is>
      </c>
      <c r="Y4920" t="inlineStr">
        <is>
          <t>Atlantic Canada Opportunities Agency | Agence de promotion économique du Canada atlantique</t>
        </is>
      </c>
    </row>
    <row r="4921">
      <c r="A4921" t="inlineStr">
        <is>
          <t>T-2020-Q4-00025</t>
        </is>
      </c>
      <c r="B4921" t="inlineStr">
        <is>
          <t>SLE</t>
        </is>
      </c>
      <c r="C4921" t="inlineStr">
        <is>
          <t>Vice-President, New Brunswick</t>
        </is>
      </c>
      <c r="D4921" t="inlineStr">
        <is>
          <t>Vice-président, Nouveau-Brunswick</t>
        </is>
      </c>
      <c r="E4921" t="inlineStr">
        <is>
          <t>Kent Estabrooks</t>
        </is>
      </c>
      <c r="F4921" t="inlineStr">
        <is>
          <t>Stakeholder engagement, interview board member, and meetings with various federal officials</t>
        </is>
      </c>
      <c r="G4921" t="inlineStr">
        <is>
          <t>Réunion avec un intervenant, entrevue de sélection et réunions avec divers fonctionnaires fédéraux</t>
        </is>
      </c>
      <c r="H4921" s="1" t="n">
        <v>43844</v>
      </c>
      <c r="I4921" s="1" t="n">
        <v>43846</v>
      </c>
      <c r="J4921" t="inlineStr">
        <is>
          <t>Halifax, Nova Scotia and Moncton, New Brunswick</t>
        </is>
      </c>
      <c r="K4921" t="inlineStr">
        <is>
          <t>Halifax (Nouvelle-Écosse) et Moncton (Nouveau-Brunswick)</t>
        </is>
      </c>
      <c r="P4921" t="n">
        <v>0</v>
      </c>
      <c r="Q4921" t="n">
        <v>0</v>
      </c>
      <c r="R4921" t="n">
        <v>303.84</v>
      </c>
      <c r="S4921" t="n">
        <v>265.1</v>
      </c>
      <c r="T4921" t="n">
        <v>36</v>
      </c>
      <c r="U4921" t="n">
        <v>604.9400000000001</v>
      </c>
      <c r="X4921" t="inlineStr">
        <is>
          <t>acoa-apeca</t>
        </is>
      </c>
      <c r="Y4921" t="inlineStr">
        <is>
          <t>Atlantic Canada Opportunities Agency | Agence de promotion économique du Canada atlantique</t>
        </is>
      </c>
    </row>
    <row r="4922">
      <c r="A4922" t="inlineStr">
        <is>
          <t>T-2020-Q4-00024</t>
        </is>
      </c>
      <c r="B4922" t="inlineStr">
        <is>
          <t>SLE</t>
        </is>
      </c>
      <c r="C4922" t="inlineStr">
        <is>
          <t>Vice-President, New Brunswick</t>
        </is>
      </c>
      <c r="D4922" t="inlineStr">
        <is>
          <t>Vice-président, Nouveau-Brunswick</t>
        </is>
      </c>
      <c r="E4922" t="inlineStr">
        <is>
          <t>Kent Estabrooks</t>
        </is>
      </c>
      <c r="F4922" t="inlineStr">
        <is>
          <t>Meeting with various federal officials</t>
        </is>
      </c>
      <c r="G4922" t="inlineStr">
        <is>
          <t>Réunion avec divers fonctionnaires fédéraux</t>
        </is>
      </c>
      <c r="H4922" s="1" t="n">
        <v>43850</v>
      </c>
      <c r="I4922" s="1" t="n">
        <v>43851</v>
      </c>
      <c r="J4922" t="inlineStr">
        <is>
          <t>Ottawa, Ontario</t>
        </is>
      </c>
      <c r="K4922" t="inlineStr">
        <is>
          <t>Ottawa (Ontario)</t>
        </is>
      </c>
      <c r="P4922" t="n">
        <v>726.8</v>
      </c>
      <c r="Q4922" t="n">
        <v>93</v>
      </c>
      <c r="R4922" t="n">
        <v>233.86</v>
      </c>
      <c r="S4922" t="n">
        <v>176.9</v>
      </c>
      <c r="T4922" t="n">
        <v>0</v>
      </c>
      <c r="U4922" t="n">
        <v>1230.56</v>
      </c>
      <c r="X4922" t="inlineStr">
        <is>
          <t>acoa-apeca</t>
        </is>
      </c>
      <c r="Y4922" t="inlineStr">
        <is>
          <t>Atlantic Canada Opportunities Agency | Agence de promotion économique du Canada atlantique</t>
        </is>
      </c>
    </row>
    <row r="4923">
      <c r="A4923" t="inlineStr">
        <is>
          <t>T-2020-Q4-00022</t>
        </is>
      </c>
      <c r="B4923" t="inlineStr">
        <is>
          <t>SLE</t>
        </is>
      </c>
      <c r="C4923" t="inlineStr">
        <is>
          <t>Vice-President, Prince Edward Island</t>
        </is>
      </c>
      <c r="D4923" t="inlineStr">
        <is>
          <t>Vice-président, Île-du-Prince-Édouard</t>
        </is>
      </c>
      <c r="E4923" t="inlineStr">
        <is>
          <t>Patrick Dorsey</t>
        </is>
      </c>
      <c r="F4923" t="inlineStr">
        <is>
          <t>Meeting with federal government officials</t>
        </is>
      </c>
      <c r="G4923" t="inlineStr">
        <is>
          <t>Réunion avec des fonctionnaires fédéraux</t>
        </is>
      </c>
      <c r="H4923" s="1" t="n">
        <v>43845</v>
      </c>
      <c r="I4923" s="1" t="n">
        <v>43846</v>
      </c>
      <c r="J4923" t="inlineStr">
        <is>
          <t>Moncton, New Brunswick</t>
        </is>
      </c>
      <c r="K4923" t="inlineStr">
        <is>
          <t>Moncton (Nouveau-Brunswick)</t>
        </is>
      </c>
      <c r="P4923" t="n">
        <v>0</v>
      </c>
      <c r="Q4923" t="n">
        <v>0</v>
      </c>
      <c r="R4923" t="n">
        <v>165.45</v>
      </c>
      <c r="S4923" t="n">
        <v>156.3</v>
      </c>
      <c r="T4923" t="n">
        <v>18.4</v>
      </c>
      <c r="U4923" t="n">
        <v>340.15</v>
      </c>
      <c r="X4923" t="inlineStr">
        <is>
          <t>acoa-apeca</t>
        </is>
      </c>
      <c r="Y4923" t="inlineStr">
        <is>
          <t>Atlantic Canada Opportunities Agency | Agence de promotion économique du Canada atlantique</t>
        </is>
      </c>
    </row>
    <row r="4924">
      <c r="A4924" t="inlineStr">
        <is>
          <t>T-2020-Q4-00012</t>
        </is>
      </c>
      <c r="B4924" t="inlineStr">
        <is>
          <t>SLE</t>
        </is>
      </c>
      <c r="C4924" t="inlineStr">
        <is>
          <t>Vice-President, Prince Edward Island</t>
        </is>
      </c>
      <c r="D4924" t="inlineStr">
        <is>
          <t>Vice-président, Île-du-Prince-Édouard</t>
        </is>
      </c>
      <c r="E4924" t="inlineStr">
        <is>
          <t>Patrick Dorsey</t>
        </is>
      </c>
      <c r="F4924" t="inlineStr">
        <is>
          <t>Meeting with federal government official</t>
        </is>
      </c>
      <c r="G4924" t="inlineStr">
        <is>
          <t>Réunion avec un fonctionnaire du gouvernement fédéral</t>
        </is>
      </c>
      <c r="H4924" s="1" t="n">
        <v>43839</v>
      </c>
      <c r="I4924" s="1" t="n">
        <v>43839</v>
      </c>
      <c r="J4924" t="inlineStr">
        <is>
          <t>Summerside, Prince Edward Island</t>
        </is>
      </c>
      <c r="K4924" t="inlineStr">
        <is>
          <t>Summerside (Île-du-Prince-Édouard)</t>
        </is>
      </c>
      <c r="P4924" t="n">
        <v>0</v>
      </c>
      <c r="Q4924" t="n">
        <v>0</v>
      </c>
      <c r="R4924" t="n">
        <v>0</v>
      </c>
      <c r="S4924" t="n">
        <v>20.6</v>
      </c>
      <c r="T4924" t="n">
        <v>0</v>
      </c>
      <c r="U4924" t="n">
        <v>20.6</v>
      </c>
      <c r="X4924" t="inlineStr">
        <is>
          <t>acoa-apeca</t>
        </is>
      </c>
      <c r="Y4924" t="inlineStr">
        <is>
          <t>Atlantic Canada Opportunities Agency | Agence de promotion économique du Canada atlantique</t>
        </is>
      </c>
    </row>
    <row r="4925">
      <c r="A4925" t="inlineStr">
        <is>
          <t>T-2020-Q4-00011</t>
        </is>
      </c>
      <c r="B4925" t="inlineStr">
        <is>
          <t>SLE</t>
        </is>
      </c>
      <c r="C4925" t="inlineStr">
        <is>
          <t>Vice-President, Prince Edward Island</t>
        </is>
      </c>
      <c r="D4925" t="inlineStr">
        <is>
          <t>Vice-président, Île-du-Prince-Édouard</t>
        </is>
      </c>
      <c r="E4925" t="inlineStr">
        <is>
          <t>Patrick Dorsey</t>
        </is>
      </c>
      <c r="F4925" t="inlineStr">
        <is>
          <t>Meeting with Government of Canada officials and key stakeholders</t>
        </is>
      </c>
      <c r="G4925" t="inlineStr">
        <is>
          <t>Réunion avec des fonctionnaires du gouvernement du Canada et des intervenants clés</t>
        </is>
      </c>
      <c r="H4925" s="1" t="n">
        <v>43841</v>
      </c>
      <c r="I4925" s="1" t="n">
        <v>43841</v>
      </c>
      <c r="J4925" t="inlineStr">
        <is>
          <t>Morell, Prince Edward Island</t>
        </is>
      </c>
      <c r="K4925" t="inlineStr">
        <is>
          <t>Morell (Île-du-Prince-Édouard)</t>
        </is>
      </c>
      <c r="P4925" t="n">
        <v>0</v>
      </c>
      <c r="Q4925" t="n">
        <v>0</v>
      </c>
      <c r="R4925" t="n">
        <v>0</v>
      </c>
      <c r="S4925" t="n">
        <v>71.15000000000001</v>
      </c>
      <c r="T4925" t="n">
        <v>0</v>
      </c>
      <c r="U4925" t="n">
        <v>71.15000000000001</v>
      </c>
      <c r="X4925" t="inlineStr">
        <is>
          <t>acoa-apeca</t>
        </is>
      </c>
      <c r="Y4925" t="inlineStr">
        <is>
          <t>Atlantic Canada Opportunities Agency | Agence de promotion économique du Canada atlantique</t>
        </is>
      </c>
    </row>
    <row r="4926">
      <c r="A4926" t="inlineStr">
        <is>
          <t>T-2020-Q4-00015</t>
        </is>
      </c>
      <c r="B4926" t="inlineStr">
        <is>
          <t>SLE</t>
        </is>
      </c>
      <c r="C4926" t="inlineStr">
        <is>
          <t>Vice-President, Newfoundland and Labrador</t>
        </is>
      </c>
      <c r="D4926" t="inlineStr">
        <is>
          <t>Vice-président, Terre-Neuve-et-Labrador</t>
        </is>
      </c>
      <c r="E4926" t="inlineStr">
        <is>
          <t>Karen Skinner</t>
        </is>
      </c>
      <c r="F4926" t="inlineStr">
        <is>
          <t>Attend Executive Committee meeting in Moncton</t>
        </is>
      </c>
      <c r="G4926" t="inlineStr">
        <is>
          <t>Assister à une réunion du Comité de direction à Moncton</t>
        </is>
      </c>
      <c r="H4926" s="1" t="n">
        <v>43845</v>
      </c>
      <c r="I4926" s="1" t="n">
        <v>43846</v>
      </c>
      <c r="J4926" t="inlineStr">
        <is>
          <t>Moncton, New Brunswick</t>
        </is>
      </c>
      <c r="K4926" t="inlineStr">
        <is>
          <t>Moncton (Nouveau-Brunswick)</t>
        </is>
      </c>
      <c r="P4926" t="n">
        <v>1105.72</v>
      </c>
      <c r="Q4926" t="n">
        <v>93.68000000000001</v>
      </c>
      <c r="R4926" t="n">
        <v>165.45</v>
      </c>
      <c r="S4926" t="n">
        <v>105.75</v>
      </c>
      <c r="T4926" t="n">
        <v>0</v>
      </c>
      <c r="U4926" t="n">
        <v>1470.6</v>
      </c>
      <c r="X4926" t="inlineStr">
        <is>
          <t>acoa-apeca</t>
        </is>
      </c>
      <c r="Y4926" t="inlineStr">
        <is>
          <t>Atlantic Canada Opportunities Agency | Agence de promotion économique du Canada atlantique</t>
        </is>
      </c>
    </row>
    <row r="4927">
      <c r="A4927" t="inlineStr">
        <is>
          <t>T-2020-Q4-00018</t>
        </is>
      </c>
      <c r="B4927" t="inlineStr">
        <is>
          <t>SLE</t>
        </is>
      </c>
      <c r="C4927" t="inlineStr">
        <is>
          <t>Vice-President, Nova Scotia</t>
        </is>
      </c>
      <c r="D4927" t="inlineStr">
        <is>
          <t>Vice-président, Nouvelle-Écosse</t>
        </is>
      </c>
      <c r="E4927" t="inlineStr">
        <is>
          <t>Chuck Maillet</t>
        </is>
      </c>
      <c r="F4927" t="inlineStr">
        <is>
          <t xml:space="preserve">Attend ADM Executive Leadership Development Program </t>
        </is>
      </c>
      <c r="G4927" t="inlineStr">
        <is>
          <t>Participer au Programme de développement en leadership pour les cadres supérieurs SMA</t>
        </is>
      </c>
      <c r="H4927" s="1" t="n">
        <v>43857</v>
      </c>
      <c r="I4927" s="1" t="n">
        <v>43860</v>
      </c>
      <c r="J4927" t="inlineStr">
        <is>
          <t>Ottawa, Ontario</t>
        </is>
      </c>
      <c r="K4927" t="inlineStr">
        <is>
          <t>Ottawa (Ontario)</t>
        </is>
      </c>
      <c r="P4927" t="n">
        <v>444.88</v>
      </c>
      <c r="Q4927" t="n">
        <v>111.73</v>
      </c>
      <c r="R4927" t="n">
        <v>701.58</v>
      </c>
      <c r="S4927" t="n">
        <v>353.05</v>
      </c>
      <c r="T4927" t="n">
        <v>0</v>
      </c>
      <c r="U4927" t="n">
        <v>1611.24</v>
      </c>
      <c r="X4927" t="inlineStr">
        <is>
          <t>acoa-apeca</t>
        </is>
      </c>
      <c r="Y4927" t="inlineStr">
        <is>
          <t>Atlantic Canada Opportunities Agency | Agence de promotion économique du Canada atlantique</t>
        </is>
      </c>
    </row>
    <row r="4928">
      <c r="A4928" t="inlineStr">
        <is>
          <t>T-2020-Q4-00017</t>
        </is>
      </c>
      <c r="B4928" t="inlineStr">
        <is>
          <t>SLE</t>
        </is>
      </c>
      <c r="C4928" t="inlineStr">
        <is>
          <t>Vice-President, Nova Scotia</t>
        </is>
      </c>
      <c r="D4928" t="inlineStr">
        <is>
          <t>Vice-président, Nouvelle-Écosse</t>
        </is>
      </c>
      <c r="E4928" t="inlineStr">
        <is>
          <t>Chuck Maillet</t>
        </is>
      </c>
      <c r="F4928" t="inlineStr">
        <is>
          <t xml:space="preserve">Meeting with Agency and Government of Canada officials </t>
        </is>
      </c>
      <c r="G4928" t="inlineStr">
        <is>
          <t>Réunion avec des fonctionnaires de l'Agence et du gouvernement du Canada</t>
        </is>
      </c>
      <c r="H4928" s="1" t="n">
        <v>43852</v>
      </c>
      <c r="I4928" s="1" t="n">
        <v>43853</v>
      </c>
      <c r="J4928" t="inlineStr">
        <is>
          <t>Ottawa, Ontario</t>
        </is>
      </c>
      <c r="K4928" t="inlineStr">
        <is>
          <t>Ottawa (Ontario)</t>
        </is>
      </c>
      <c r="P4928" t="n">
        <v>456.38</v>
      </c>
      <c r="Q4928" t="n">
        <v>34.51</v>
      </c>
      <c r="R4928" t="n">
        <v>233.86</v>
      </c>
      <c r="S4928" t="n">
        <v>197.25</v>
      </c>
      <c r="T4928" t="n">
        <v>0</v>
      </c>
      <c r="U4928" t="n">
        <v>922</v>
      </c>
      <c r="X4928" t="inlineStr">
        <is>
          <t>acoa-apeca</t>
        </is>
      </c>
      <c r="Y4928" t="inlineStr">
        <is>
          <t>Atlantic Canada Opportunities Agency | Agence de promotion économique du Canada atlantique</t>
        </is>
      </c>
    </row>
    <row r="4929">
      <c r="A4929" t="inlineStr">
        <is>
          <t>T-2020-Q4-00016</t>
        </is>
      </c>
      <c r="B4929" t="inlineStr">
        <is>
          <t>SLE</t>
        </is>
      </c>
      <c r="C4929" t="inlineStr">
        <is>
          <t>Vice-President, Nova Scotia</t>
        </is>
      </c>
      <c r="D4929" t="inlineStr">
        <is>
          <t>Vice-président, Nouvelle-Écosse</t>
        </is>
      </c>
      <c r="E4929" t="inlineStr">
        <is>
          <t>Chuck Maillet</t>
        </is>
      </c>
      <c r="F4929" t="inlineStr">
        <is>
          <t>Stakeholders meetings in Digby, Nova Scotia and meeting of senior Agency officials in Moncton, New Brunswick</t>
        </is>
      </c>
      <c r="G4929" t="inlineStr">
        <is>
          <t>Réunions avec des intervenants à Digby (Nouvelle-Écosse) et réunion avec de hauts fonctionnaires de l'Agence à Moncton (Nouveau-Brunswick)</t>
        </is>
      </c>
      <c r="H4929" s="1" t="n">
        <v>43844</v>
      </c>
      <c r="I4929" s="1" t="n">
        <v>43846</v>
      </c>
      <c r="J4929" t="inlineStr">
        <is>
          <t xml:space="preserve">Digby, Nova Scotia and Moncton, New Brunswick </t>
        </is>
      </c>
      <c r="K4929" t="inlineStr">
        <is>
          <t>Digby (Nouvelle-Écosse) et Moncton (Nouveau-Brunswick)</t>
        </is>
      </c>
      <c r="P4929" t="n">
        <v>0</v>
      </c>
      <c r="Q4929" t="n">
        <v>152</v>
      </c>
      <c r="R4929" t="n">
        <v>319.5</v>
      </c>
      <c r="S4929" t="n">
        <v>214.3</v>
      </c>
      <c r="T4929" t="n">
        <v>0</v>
      </c>
      <c r="U4929" t="n">
        <v>685.8</v>
      </c>
      <c r="X4929" t="inlineStr">
        <is>
          <t>acoa-apeca</t>
        </is>
      </c>
      <c r="Y4929" t="inlineStr">
        <is>
          <t>Atlantic Canada Opportunities Agency | Agence de promotion économique du Canada atlantique</t>
        </is>
      </c>
    </row>
    <row r="4930">
      <c r="A4930" t="inlineStr">
        <is>
          <t>T-2020-Q4-00013</t>
        </is>
      </c>
      <c r="B4930" t="inlineStr">
        <is>
          <t>SLE</t>
        </is>
      </c>
      <c r="C4930" t="inlineStr">
        <is>
          <t>President</t>
        </is>
      </c>
      <c r="D4930" t="inlineStr">
        <is>
          <t>Président</t>
        </is>
      </c>
      <c r="E4930" t="inlineStr">
        <is>
          <t>Francis McGuire</t>
        </is>
      </c>
      <c r="F4930" t="inlineStr">
        <is>
          <t>Meetings with Government of Canada officials</t>
        </is>
      </c>
      <c r="G4930" t="inlineStr">
        <is>
          <t>Réunions avec des fonctionnaires du gouvernement du Canada</t>
        </is>
      </c>
      <c r="H4930" s="1" t="n">
        <v>43853</v>
      </c>
      <c r="I4930" s="1" t="n">
        <v>43854</v>
      </c>
      <c r="J4930" t="inlineStr">
        <is>
          <t>Ottawa, Ontario</t>
        </is>
      </c>
      <c r="K4930" t="inlineStr">
        <is>
          <t>Ottawa (Ontario)</t>
        </is>
      </c>
      <c r="P4930" t="n">
        <v>726.8</v>
      </c>
      <c r="Q4930" t="n">
        <v>97.7</v>
      </c>
      <c r="R4930" t="n">
        <v>210.36</v>
      </c>
      <c r="S4930" t="n">
        <v>156.05</v>
      </c>
      <c r="T4930" t="n">
        <v>24</v>
      </c>
      <c r="U4930" t="n">
        <v>1214.91</v>
      </c>
      <c r="X4930" t="inlineStr">
        <is>
          <t>acoa-apeca</t>
        </is>
      </c>
      <c r="Y4930" t="inlineStr">
        <is>
          <t>Atlantic Canada Opportunities Agency | Agence de promotion économique du Canada atlantique</t>
        </is>
      </c>
    </row>
    <row r="4931">
      <c r="A4931" t="inlineStr">
        <is>
          <t>T-2020-Q4-00010</t>
        </is>
      </c>
      <c r="B4931" t="inlineStr">
        <is>
          <t>SLE</t>
        </is>
      </c>
      <c r="C4931" t="inlineStr">
        <is>
          <t>President</t>
        </is>
      </c>
      <c r="D4931" t="inlineStr">
        <is>
          <t>Président</t>
        </is>
      </c>
      <c r="E4931" t="inlineStr">
        <is>
          <t>Francis McGuire</t>
        </is>
      </c>
      <c r="F4931" t="inlineStr">
        <is>
          <t>Meeting with Government of Canada officials</t>
        </is>
      </c>
      <c r="G4931" t="inlineStr">
        <is>
          <t>Réunion avec des fonctionnaires du gouvernement du Canada</t>
        </is>
      </c>
      <c r="H4931" s="1" t="n">
        <v>43843</v>
      </c>
      <c r="I4931" s="1" t="n">
        <v>43844</v>
      </c>
      <c r="J4931" t="inlineStr">
        <is>
          <t>Ottawa, Ontario</t>
        </is>
      </c>
      <c r="K4931" t="inlineStr">
        <is>
          <t>Ottawa (Ontario)</t>
        </is>
      </c>
      <c r="P4931" t="n">
        <v>726.8</v>
      </c>
      <c r="Q4931" t="n">
        <v>67.7</v>
      </c>
      <c r="R4931" t="n">
        <v>205.66</v>
      </c>
      <c r="S4931" t="n">
        <v>176.65</v>
      </c>
      <c r="T4931" t="n">
        <v>0</v>
      </c>
      <c r="U4931" t="n">
        <v>1176.81</v>
      </c>
      <c r="X4931" t="inlineStr">
        <is>
          <t>acoa-apeca</t>
        </is>
      </c>
      <c r="Y4931" t="inlineStr">
        <is>
          <t>Atlantic Canada Opportunities Agency | Agence de promotion économique du Canada atlantique</t>
        </is>
      </c>
    </row>
    <row r="4932">
      <c r="A4932" t="inlineStr">
        <is>
          <t>T-2020-Q4-00009</t>
        </is>
      </c>
      <c r="B4932" t="inlineStr">
        <is>
          <t>SLE</t>
        </is>
      </c>
      <c r="C4932" t="inlineStr">
        <is>
          <t>President</t>
        </is>
      </c>
      <c r="D4932" t="inlineStr">
        <is>
          <t>Président</t>
        </is>
      </c>
      <c r="E4932" t="inlineStr">
        <is>
          <t>Francis McGuire</t>
        </is>
      </c>
      <c r="F4932" t="inlineStr">
        <is>
          <t>Meetings with Government of Canada officials and various key stakeholders</t>
        </is>
      </c>
      <c r="G4932" t="inlineStr">
        <is>
          <t>Réunions avec des fonctionnaires du gouvernement du Canada et des intervenants clés</t>
        </is>
      </c>
      <c r="H4932" s="1" t="n">
        <v>43846</v>
      </c>
      <c r="I4932" s="1" t="n">
        <v>43848</v>
      </c>
      <c r="J4932" t="inlineStr">
        <is>
          <t>Halifax, Nova Scotia</t>
        </is>
      </c>
      <c r="K4932" t="inlineStr">
        <is>
          <t>Halifax (Nouvelle-Écosse)</t>
        </is>
      </c>
      <c r="P4932" t="n">
        <v>363.4</v>
      </c>
      <c r="Q4932" t="n">
        <v>167.9</v>
      </c>
      <c r="R4932" t="n">
        <v>431.67</v>
      </c>
      <c r="S4932" t="n">
        <v>214.3</v>
      </c>
      <c r="T4932" t="n">
        <v>0</v>
      </c>
      <c r="U4932" t="n">
        <v>1177.27</v>
      </c>
      <c r="X4932" t="inlineStr">
        <is>
          <t>acoa-apeca</t>
        </is>
      </c>
      <c r="Y4932" t="inlineStr">
        <is>
          <t>Atlantic Canada Opportunities Agency | Agence de promotion économique du Canada atlantique</t>
        </is>
      </c>
    </row>
    <row r="4933">
      <c r="A4933" t="inlineStr">
        <is>
          <t>T-2020-Q4-00020</t>
        </is>
      </c>
      <c r="B4933" t="inlineStr">
        <is>
          <t>SLE</t>
        </is>
      </c>
      <c r="C4933" t="inlineStr">
        <is>
          <t>Senior Advisor (Energy)</t>
        </is>
      </c>
      <c r="D4933" t="inlineStr">
        <is>
          <t>Conseiller spécial (energie)</t>
        </is>
      </c>
      <c r="E4933" t="inlineStr">
        <is>
          <t>Andrew F. Noseworthy</t>
        </is>
      </c>
      <c r="F4933" t="inlineStr">
        <is>
          <t>Attend meeting of the Hull Challenge committee</t>
        </is>
      </c>
      <c r="G4933" t="inlineStr">
        <is>
          <t>Assister à une réunion du comité du Défi de l’efficacité de la conception des coques</t>
        </is>
      </c>
      <c r="H4933" s="1" t="n">
        <v>43858</v>
      </c>
      <c r="I4933" s="1" t="n">
        <v>43858</v>
      </c>
      <c r="J4933" t="inlineStr">
        <is>
          <t>Halifax, Nova Scotia</t>
        </is>
      </c>
      <c r="K4933" t="inlineStr">
        <is>
          <t>Halifax (Nouvelle-Écosse)</t>
        </is>
      </c>
      <c r="P4933" t="n">
        <v>689.13</v>
      </c>
      <c r="Q4933" t="n">
        <v>178</v>
      </c>
      <c r="R4933" t="n">
        <v>0</v>
      </c>
      <c r="S4933" t="n">
        <v>70.90000000000001</v>
      </c>
      <c r="T4933" t="n">
        <v>0</v>
      </c>
      <c r="U4933" t="n">
        <v>938.03</v>
      </c>
      <c r="X4933" t="inlineStr">
        <is>
          <t>acoa-apeca</t>
        </is>
      </c>
      <c r="Y4933" t="inlineStr">
        <is>
          <t>Atlantic Canada Opportunities Agency | Agence de promotion économique du Canada atlantique</t>
        </is>
      </c>
    </row>
    <row r="4934">
      <c r="A4934" t="inlineStr">
        <is>
          <t>T-2020-Q4-00019</t>
        </is>
      </c>
      <c r="B4934" t="inlineStr">
        <is>
          <t>SLE</t>
        </is>
      </c>
      <c r="C4934" t="inlineStr">
        <is>
          <t>Senior Advisor (Energy)</t>
        </is>
      </c>
      <c r="D4934" t="inlineStr">
        <is>
          <t>Conseiller spécial (energie)</t>
        </is>
      </c>
      <c r="E4934" t="inlineStr">
        <is>
          <t>Andrew F. Noseworthy</t>
        </is>
      </c>
      <c r="F4934" t="inlineStr">
        <is>
          <t>Attend executive committee meeting</t>
        </is>
      </c>
      <c r="G4934" t="inlineStr">
        <is>
          <t>Assister à une réunion du Comité de direction</t>
        </is>
      </c>
      <c r="H4934" s="1" t="n">
        <v>43846</v>
      </c>
      <c r="I4934" s="1" t="n">
        <v>43846</v>
      </c>
      <c r="J4934" t="inlineStr">
        <is>
          <t>St. John's (Terre-Neuve-et-Labrador)</t>
        </is>
      </c>
      <c r="K4934" t="inlineStr">
        <is>
          <t>Moncton (Nouveau-Brunswick)</t>
        </is>
      </c>
      <c r="P4934" t="n">
        <v>1087.04</v>
      </c>
      <c r="Q4934" t="n">
        <v>401.92</v>
      </c>
      <c r="R4934" t="n">
        <v>0</v>
      </c>
      <c r="S4934" t="n">
        <v>70.90000000000001</v>
      </c>
      <c r="T4934" t="n">
        <v>0</v>
      </c>
      <c r="U4934" t="n">
        <v>1559.86</v>
      </c>
      <c r="X4934" t="inlineStr">
        <is>
          <t>acoa-apeca</t>
        </is>
      </c>
      <c r="Y4934" t="inlineStr">
        <is>
          <t>Atlantic Canada Opportunities Agency | Agence de promotion économique du Canada atlantique</t>
        </is>
      </c>
    </row>
    <row r="4935">
      <c r="A4935" t="inlineStr">
        <is>
          <t>T-2020-Q4-00001</t>
        </is>
      </c>
      <c r="B4935" t="inlineStr">
        <is>
          <t>SLE</t>
        </is>
      </c>
      <c r="C4935" t="inlineStr">
        <is>
          <t>Senior Advisor (Energy)</t>
        </is>
      </c>
      <c r="D4935" t="inlineStr">
        <is>
          <t>Conseiller spécial (energie)</t>
        </is>
      </c>
      <c r="E4935" t="inlineStr">
        <is>
          <t>Andrew F. Noseworthy</t>
        </is>
      </c>
      <c r="F4935" t="inlineStr">
        <is>
          <t>Attend Offshore Europe conference, Aberdeen and meetings with the High Commission in London</t>
        </is>
      </c>
      <c r="G4935" t="inlineStr">
        <is>
          <t>Assister à la conférence Offshore Europe à Aberdeen et à des réunions avec le Haut-commissariat à Londres</t>
        </is>
      </c>
      <c r="H4935" s="1" t="n">
        <v>43707</v>
      </c>
      <c r="I4935" s="1" t="n">
        <v>43722</v>
      </c>
      <c r="J4935" t="inlineStr">
        <is>
          <t>Aberdeen and London, United Kingdom</t>
        </is>
      </c>
      <c r="K4935" t="inlineStr">
        <is>
          <t>Aberdeen et Londres, Royaume-Uni</t>
        </is>
      </c>
      <c r="P4935" t="n">
        <v>4509.67</v>
      </c>
      <c r="Q4935" t="n">
        <v>568.12</v>
      </c>
      <c r="R4935" t="n">
        <v>2260.43</v>
      </c>
      <c r="S4935" t="n">
        <v>0</v>
      </c>
      <c r="T4935" t="n">
        <v>0</v>
      </c>
      <c r="U4935" t="n">
        <v>7338.22</v>
      </c>
      <c r="X4935" t="inlineStr">
        <is>
          <t>acoa-apeca</t>
        </is>
      </c>
      <c r="Y4935" t="inlineStr">
        <is>
          <t>Atlantic Canada Opportunities Agency | Agence de promotion économique du Canada atlantique</t>
        </is>
      </c>
    </row>
    <row r="4936">
      <c r="A4936" t="inlineStr">
        <is>
          <t>T-2020-Q4-00032</t>
        </is>
      </c>
      <c r="B4936" t="inlineStr">
        <is>
          <t>SLE</t>
        </is>
      </c>
      <c r="C4936" t="inlineStr">
        <is>
          <t>Senior Advisor (Energy)</t>
        </is>
      </c>
      <c r="D4936" t="inlineStr">
        <is>
          <t>Conseiller spécial (energie)</t>
        </is>
      </c>
      <c r="E4936" t="inlineStr">
        <is>
          <t>Andrew F. Noseworthy</t>
        </is>
      </c>
      <c r="F4936" t="inlineStr">
        <is>
          <t xml:space="preserve">Attend cleantech meeting </t>
        </is>
      </c>
      <c r="G4936" t="inlineStr">
        <is>
          <t>Assister à une réunion sur les technologies propres</t>
        </is>
      </c>
      <c r="H4936" s="1" t="n">
        <v>43881</v>
      </c>
      <c r="I4936" s="1" t="n">
        <v>43884</v>
      </c>
      <c r="J4936" t="inlineStr">
        <is>
          <t>Halifax, Nova Scotia</t>
        </is>
      </c>
      <c r="K4936" t="inlineStr">
        <is>
          <t>Halifax (Nouvelle-Écosse)</t>
        </is>
      </c>
      <c r="P4936" t="n">
        <v>820.24</v>
      </c>
      <c r="Q4936" t="n">
        <v>150</v>
      </c>
      <c r="R4936" t="n">
        <v>170.09</v>
      </c>
      <c r="S4936" t="n">
        <v>108.8</v>
      </c>
      <c r="T4936" t="n">
        <v>32</v>
      </c>
      <c r="U4936" t="n">
        <v>1281.13</v>
      </c>
      <c r="X4936" t="inlineStr">
        <is>
          <t>acoa-apeca</t>
        </is>
      </c>
      <c r="Y4936" t="inlineStr">
        <is>
          <t>Atlantic Canada Opportunities Agency | Agence de promotion économique du Canada atlantique</t>
        </is>
      </c>
    </row>
    <row r="4937">
      <c r="A4937" t="inlineStr">
        <is>
          <t>T-2020-Q4-00042</t>
        </is>
      </c>
      <c r="B4937" t="inlineStr">
        <is>
          <t>SLE</t>
        </is>
      </c>
      <c r="C4937" t="inlineStr">
        <is>
          <t>Vice-President, New Brunswick</t>
        </is>
      </c>
      <c r="D4937" t="inlineStr">
        <is>
          <t>Vice-président, Nouveau-Brunswick</t>
        </is>
      </c>
      <c r="E4937" t="inlineStr">
        <is>
          <t>Kent Estabrooks</t>
        </is>
      </c>
      <c r="F4937" t="inlineStr">
        <is>
          <t>Meetings with Government of Canada officials</t>
        </is>
      </c>
      <c r="G4937" t="inlineStr">
        <is>
          <t>Réunions avec des fonctionnaires du gouvernement du Canada</t>
        </is>
      </c>
      <c r="H4937" s="1" t="n">
        <v>43887</v>
      </c>
      <c r="I4937" s="1" t="n">
        <v>43889</v>
      </c>
      <c r="J4937" t="inlineStr">
        <is>
          <t>Ottawa and Toronto, Ontario</t>
        </is>
      </c>
      <c r="K4937" t="inlineStr">
        <is>
          <t>Ottawa et Toronto (Ontario)</t>
        </is>
      </c>
      <c r="P4937" t="n">
        <v>726.8</v>
      </c>
      <c r="Q4937" t="n">
        <v>184.64</v>
      </c>
      <c r="R4937" t="n">
        <v>423.08</v>
      </c>
      <c r="S4937" t="n">
        <v>285.7</v>
      </c>
      <c r="T4937" t="n">
        <v>65.34999999999999</v>
      </c>
      <c r="U4937" t="n">
        <v>1685.57</v>
      </c>
      <c r="X4937" t="inlineStr">
        <is>
          <t>acoa-apeca</t>
        </is>
      </c>
      <c r="Y4937" t="inlineStr">
        <is>
          <t>Atlantic Canada Opportunities Agency | Agence de promotion économique du Canada atlantique</t>
        </is>
      </c>
    </row>
    <row r="4938">
      <c r="A4938" t="inlineStr">
        <is>
          <t>T-2020-Q4-00039</t>
        </is>
      </c>
      <c r="B4938" t="inlineStr">
        <is>
          <t>SLE</t>
        </is>
      </c>
      <c r="C4938" t="inlineStr">
        <is>
          <t>Vice-President, New Brunswick</t>
        </is>
      </c>
      <c r="D4938" t="inlineStr">
        <is>
          <t>Vice-président, Nouveau-Brunswick</t>
        </is>
      </c>
      <c r="E4938" t="inlineStr">
        <is>
          <t>Kent Estabrooks</t>
        </is>
      </c>
      <c r="F4938" t="inlineStr">
        <is>
          <t>Training</t>
        </is>
      </c>
      <c r="G4938" t="inlineStr">
        <is>
          <t>Formation</t>
        </is>
      </c>
      <c r="H4938" s="1" t="n">
        <v>43870</v>
      </c>
      <c r="I4938" s="1" t="n">
        <v>43876</v>
      </c>
      <c r="J4938" t="inlineStr">
        <is>
          <t>Ottawa, Ontario</t>
        </is>
      </c>
      <c r="K4938" t="inlineStr">
        <is>
          <t>Ottawa (Ontario)</t>
        </is>
      </c>
      <c r="P4938" t="n">
        <v>726.8</v>
      </c>
      <c r="Q4938" t="n">
        <v>124.4</v>
      </c>
      <c r="R4938" t="n">
        <v>1403.16</v>
      </c>
      <c r="S4938" t="n">
        <v>548</v>
      </c>
      <c r="T4938" t="n">
        <v>0</v>
      </c>
      <c r="U4938" t="n">
        <v>2802.36</v>
      </c>
      <c r="X4938" t="inlineStr">
        <is>
          <t>acoa-apeca</t>
        </is>
      </c>
      <c r="Y4938" t="inlineStr">
        <is>
          <t>Atlantic Canada Opportunities Agency | Agence de promotion économique du Canada atlantique</t>
        </is>
      </c>
    </row>
    <row r="4939">
      <c r="A4939" t="inlineStr">
        <is>
          <t>T-2020-Q4-00034</t>
        </is>
      </c>
      <c r="B4939" t="inlineStr">
        <is>
          <t>SLE</t>
        </is>
      </c>
      <c r="C4939" t="inlineStr">
        <is>
          <t>Vice-President, New Brunswick</t>
        </is>
      </c>
      <c r="D4939" t="inlineStr">
        <is>
          <t>Vice-président, Nouveau-Brunswick</t>
        </is>
      </c>
      <c r="E4939" t="inlineStr">
        <is>
          <t>Kent Estabrooks</t>
        </is>
      </c>
      <c r="F4939" t="inlineStr">
        <is>
          <t>External stakeholders meeting</t>
        </is>
      </c>
      <c r="G4939" t="inlineStr">
        <is>
          <t>Réunion avec des intervenants externes</t>
        </is>
      </c>
      <c r="H4939" s="1" t="n">
        <v>43884</v>
      </c>
      <c r="I4939" s="1" t="n">
        <v>43885</v>
      </c>
      <c r="J4939" t="inlineStr">
        <is>
          <t>Moncton, New Brunswick</t>
        </is>
      </c>
      <c r="K4939" t="inlineStr">
        <is>
          <t xml:space="preserve">Moncton (Nouveau-Brunswick) </t>
        </is>
      </c>
      <c r="P4939" t="n">
        <v>0</v>
      </c>
      <c r="Q4939" t="n">
        <v>0</v>
      </c>
      <c r="R4939" t="n">
        <v>185.04</v>
      </c>
      <c r="S4939" t="n">
        <v>156.3</v>
      </c>
      <c r="T4939" t="n">
        <v>0</v>
      </c>
      <c r="U4939" t="n">
        <v>341.34</v>
      </c>
      <c r="X4939" t="inlineStr">
        <is>
          <t>acoa-apeca</t>
        </is>
      </c>
      <c r="Y4939" t="inlineStr">
        <is>
          <t>Atlantic Canada Opportunities Agency | Agence de promotion économique du Canada atlantique</t>
        </is>
      </c>
    </row>
    <row r="4940">
      <c r="A4940" t="inlineStr">
        <is>
          <t>T-2020-Q4-00033</t>
        </is>
      </c>
      <c r="B4940" t="inlineStr">
        <is>
          <t>SLE</t>
        </is>
      </c>
      <c r="C4940" t="inlineStr">
        <is>
          <t>Vice-President, New Brunswick</t>
        </is>
      </c>
      <c r="D4940" t="inlineStr">
        <is>
          <t>Vice-président, Nouveau-Brunswick</t>
        </is>
      </c>
      <c r="E4940" t="inlineStr">
        <is>
          <t>Kent Estabrooks</t>
        </is>
      </c>
      <c r="F4940" t="inlineStr">
        <is>
          <t>Meeting with Government of Canada officials</t>
        </is>
      </c>
      <c r="G4940" t="inlineStr">
        <is>
          <t>Réunion avec des fonctionnaires du gouvernement du Canada</t>
        </is>
      </c>
      <c r="H4940" s="1" t="n">
        <v>43878</v>
      </c>
      <c r="I4940" s="1" t="n">
        <v>43880</v>
      </c>
      <c r="J4940" t="inlineStr">
        <is>
          <t>Halifax, Nova Scotia</t>
        </is>
      </c>
      <c r="K4940" t="inlineStr">
        <is>
          <t>Halifax (Nouvelle-Écosse)</t>
        </is>
      </c>
      <c r="P4940" t="n">
        <v>726.8</v>
      </c>
      <c r="Q4940" t="n">
        <v>155.08</v>
      </c>
      <c r="R4940" t="n">
        <v>174.78</v>
      </c>
      <c r="S4940" t="n">
        <v>153</v>
      </c>
      <c r="T4940" t="n">
        <v>0</v>
      </c>
      <c r="U4940" t="n">
        <v>1209.66</v>
      </c>
      <c r="X4940" t="inlineStr">
        <is>
          <t>acoa-apeca</t>
        </is>
      </c>
      <c r="Y4940" t="inlineStr">
        <is>
          <t>Atlantic Canada Opportunities Agency | Agence de promotion économique du Canada atlantique</t>
        </is>
      </c>
    </row>
    <row r="4941">
      <c r="A4941" t="inlineStr">
        <is>
          <t>T-2020-Q4-00026</t>
        </is>
      </c>
      <c r="B4941" t="inlineStr">
        <is>
          <t>SLE</t>
        </is>
      </c>
      <c r="C4941" t="inlineStr">
        <is>
          <t>Vice-President, New Brunswick</t>
        </is>
      </c>
      <c r="D4941" t="inlineStr">
        <is>
          <t>Vice-président, Nouveau-Brunswick</t>
        </is>
      </c>
      <c r="E4941" t="inlineStr">
        <is>
          <t>Kent Estabrooks</t>
        </is>
      </c>
      <c r="F4941" t="inlineStr">
        <is>
          <t>External stakeholders meetings, and meetings with various federal officials</t>
        </is>
      </c>
      <c r="G4941" t="inlineStr">
        <is>
          <t>Réunions avec des intervenants externes et réunions avec divers fonctionnaires fédéraux</t>
        </is>
      </c>
      <c r="H4941" s="1" t="n">
        <v>43865</v>
      </c>
      <c r="I4941" s="1" t="n">
        <v>43866</v>
      </c>
      <c r="J4941" t="inlineStr">
        <is>
          <t>Ottawa, Ontario</t>
        </is>
      </c>
      <c r="K4941" t="inlineStr">
        <is>
          <t>Ottawa (Ontario)</t>
        </is>
      </c>
      <c r="P4941" t="n">
        <v>726.8</v>
      </c>
      <c r="Q4941" t="n">
        <v>146.67</v>
      </c>
      <c r="R4941" t="n">
        <v>189.22</v>
      </c>
      <c r="S4941" t="n">
        <v>176.9</v>
      </c>
      <c r="T4941" t="n">
        <v>0</v>
      </c>
      <c r="U4941" t="n">
        <v>1239.59</v>
      </c>
      <c r="X4941" t="inlineStr">
        <is>
          <t>acoa-apeca</t>
        </is>
      </c>
      <c r="Y4941" t="inlineStr">
        <is>
          <t>Atlantic Canada Opportunities Agency | Agence de promotion économique du Canada atlantique</t>
        </is>
      </c>
    </row>
    <row r="4942">
      <c r="A4942" t="inlineStr">
        <is>
          <t>T-2020-Q4-00031</t>
        </is>
      </c>
      <c r="B4942" t="inlineStr">
        <is>
          <t>SLE</t>
        </is>
      </c>
      <c r="C4942" t="inlineStr">
        <is>
          <t>Vice-President, Prince Edward Island</t>
        </is>
      </c>
      <c r="D4942" t="inlineStr">
        <is>
          <t>Vice-président, Île-du-Prince-Édouard</t>
        </is>
      </c>
      <c r="E4942" t="inlineStr">
        <is>
          <t>Patrick Dorsey</t>
        </is>
      </c>
      <c r="F4942" t="inlineStr">
        <is>
          <t>Meetings with various federal government officials</t>
        </is>
      </c>
      <c r="G4942" t="inlineStr">
        <is>
          <t>Réunions avec divers fonctionnaires fédéraux</t>
        </is>
      </c>
      <c r="H4942" s="1" t="n">
        <v>43878</v>
      </c>
      <c r="I4942" s="1" t="n">
        <v>43880</v>
      </c>
      <c r="J4942" t="inlineStr">
        <is>
          <t>Ottawa, Ontario</t>
        </is>
      </c>
      <c r="K4942" t="inlineStr">
        <is>
          <t>Ottawa (Ontario)</t>
        </is>
      </c>
      <c r="P4942" t="n">
        <v>1215.46</v>
      </c>
      <c r="Q4942" t="n">
        <v>97.95</v>
      </c>
      <c r="R4942" t="n">
        <v>467.72</v>
      </c>
      <c r="S4942" t="n">
        <v>235.15</v>
      </c>
      <c r="T4942" t="n">
        <v>0</v>
      </c>
      <c r="U4942" t="n">
        <v>2016.28</v>
      </c>
      <c r="X4942" t="inlineStr">
        <is>
          <t>acoa-apeca</t>
        </is>
      </c>
      <c r="Y4942" t="inlineStr">
        <is>
          <t>Atlantic Canada Opportunities Agency | Agence de promotion économique du Canada atlantique</t>
        </is>
      </c>
    </row>
    <row r="4943">
      <c r="A4943" t="inlineStr">
        <is>
          <t>T-2020-Q4-00030</t>
        </is>
      </c>
      <c r="B4943" t="inlineStr">
        <is>
          <t>SLE</t>
        </is>
      </c>
      <c r="C4943" t="inlineStr">
        <is>
          <t>Vice-President, Prince Edward Island</t>
        </is>
      </c>
      <c r="D4943" t="inlineStr">
        <is>
          <t>Vice-président, Île-du-Prince-Édouard</t>
        </is>
      </c>
      <c r="E4943" t="inlineStr">
        <is>
          <t>Patrick Dorsey</t>
        </is>
      </c>
      <c r="F4943" t="inlineStr">
        <is>
          <t>Tour potato processing plants and meet equipment manufacturers as lead on Food Champion file</t>
        </is>
      </c>
      <c r="G4943" t="inlineStr">
        <is>
          <t>Visiter des usines de transformation de la pomme de terre et rencontrer des fabricants d'équipement en tant que responsable du dossier de champion de l'alimentation</t>
        </is>
      </c>
      <c r="H4943" s="1" t="n">
        <v>43856</v>
      </c>
      <c r="I4943" s="1" t="n">
        <v>43861</v>
      </c>
      <c r="J4943" t="inlineStr">
        <is>
          <t>Brussels, Belgium and Netherlands</t>
        </is>
      </c>
      <c r="K4943" t="inlineStr">
        <is>
          <t>Bruxelles, Belgique et Pays-Bas</t>
        </is>
      </c>
      <c r="P4943" t="n">
        <v>3167.73</v>
      </c>
      <c r="Q4943" t="n">
        <v>18.4</v>
      </c>
      <c r="R4943" t="n">
        <v>762.3099999999999</v>
      </c>
      <c r="S4943" t="n">
        <v>585.47</v>
      </c>
      <c r="T4943" t="n">
        <v>0</v>
      </c>
      <c r="U4943" t="n">
        <v>4533.91</v>
      </c>
      <c r="X4943" t="inlineStr">
        <is>
          <t>acoa-apeca</t>
        </is>
      </c>
      <c r="Y4943" t="inlineStr">
        <is>
          <t>Atlantic Canada Opportunities Agency | Agence de promotion économique du Canada atlantique</t>
        </is>
      </c>
    </row>
    <row r="4944">
      <c r="A4944" t="inlineStr">
        <is>
          <t>T-2020-Q4-00023</t>
        </is>
      </c>
      <c r="B4944" t="inlineStr">
        <is>
          <t>SLE</t>
        </is>
      </c>
      <c r="C4944" t="inlineStr">
        <is>
          <t>Vice-President, Prince Edward Island</t>
        </is>
      </c>
      <c r="D4944" t="inlineStr">
        <is>
          <t>Vice-président, Île-du-Prince-Édouard</t>
        </is>
      </c>
      <c r="E4944" t="inlineStr">
        <is>
          <t>Patrick Dorsey</t>
        </is>
      </c>
      <c r="F4944" t="inlineStr">
        <is>
          <t>Meetings with federal government officials</t>
        </is>
      </c>
      <c r="G4944" t="inlineStr">
        <is>
          <t>Réunions avec des fonctionnaires fédéraux</t>
        </is>
      </c>
      <c r="H4944" s="1" t="n">
        <v>43864</v>
      </c>
      <c r="I4944" s="1" t="n">
        <v>43866</v>
      </c>
      <c r="J4944" t="inlineStr">
        <is>
          <t>Ottawa, Ontario</t>
        </is>
      </c>
      <c r="K4944" t="inlineStr">
        <is>
          <t>Ottawa (Ontario)</t>
        </is>
      </c>
      <c r="P4944" t="n">
        <v>1172.47</v>
      </c>
      <c r="Q4944" t="n">
        <v>0</v>
      </c>
      <c r="R4944" t="n">
        <v>467.72</v>
      </c>
      <c r="S4944" t="n">
        <v>306.05</v>
      </c>
      <c r="T4944" t="n">
        <v>71.59</v>
      </c>
      <c r="U4944" t="n">
        <v>2017.83</v>
      </c>
      <c r="X4944" t="inlineStr">
        <is>
          <t>acoa-apeca</t>
        </is>
      </c>
      <c r="Y4944" t="inlineStr">
        <is>
          <t>Atlantic Canada Opportunities Agency | Agence de promotion économique du Canada atlantique</t>
        </is>
      </c>
    </row>
    <row r="4945">
      <c r="A4945" t="inlineStr">
        <is>
          <t>T-2020-Q4-00041</t>
        </is>
      </c>
      <c r="B4945" t="inlineStr">
        <is>
          <t>SLE</t>
        </is>
      </c>
      <c r="C4945" t="inlineStr">
        <is>
          <t>Vice-President, Newfoundland and Labrador</t>
        </is>
      </c>
      <c r="D4945" t="inlineStr">
        <is>
          <t>Vice-président, Terre-Neuve-et-Labrador</t>
        </is>
      </c>
      <c r="E4945" t="inlineStr">
        <is>
          <t>Karen Skinner</t>
        </is>
      </c>
      <c r="F4945" t="inlineStr">
        <is>
          <t>Attend various meetings in Ottawa with senior government officials</t>
        </is>
      </c>
      <c r="G4945" t="inlineStr">
        <is>
          <t>Assister à diverses réunions à Ottawa avec de hauts fonctionnaires</t>
        </is>
      </c>
      <c r="H4945" s="1" t="n">
        <v>43864</v>
      </c>
      <c r="I4945" s="1" t="n">
        <v>43868</v>
      </c>
      <c r="J4945" t="inlineStr">
        <is>
          <t>Ottawa, Ontario</t>
        </is>
      </c>
      <c r="K4945" t="inlineStr">
        <is>
          <t>Ottawa (Ontario)</t>
        </is>
      </c>
      <c r="P4945" t="n">
        <v>1227.06</v>
      </c>
      <c r="Q4945" t="n">
        <v>55.68</v>
      </c>
      <c r="R4945" t="n">
        <v>687.48</v>
      </c>
      <c r="S4945" t="n">
        <v>473.1</v>
      </c>
      <c r="T4945" t="n">
        <v>0</v>
      </c>
      <c r="U4945" t="n">
        <v>2443.32</v>
      </c>
      <c r="X4945" t="inlineStr">
        <is>
          <t>acoa-apeca</t>
        </is>
      </c>
      <c r="Y4945" t="inlineStr">
        <is>
          <t>Atlantic Canada Opportunities Agency | Agence de promotion économique du Canada atlantique</t>
        </is>
      </c>
    </row>
    <row r="4946">
      <c r="A4946" t="inlineStr">
        <is>
          <t>T-2020-Q4-00038</t>
        </is>
      </c>
      <c r="B4946" t="inlineStr">
        <is>
          <t>SLE</t>
        </is>
      </c>
      <c r="C4946" t="inlineStr">
        <is>
          <t>Vice-President, Nova Scotia</t>
        </is>
      </c>
      <c r="D4946" t="inlineStr">
        <is>
          <t>Vice-président, Nouvelle-Écosse</t>
        </is>
      </c>
      <c r="E4946" t="inlineStr">
        <is>
          <t>Chuck Maillet</t>
        </is>
      </c>
      <c r="F4946" t="inlineStr">
        <is>
          <t xml:space="preserve">Various meetings with Government of Canada and Agency officials </t>
        </is>
      </c>
      <c r="G4946" t="inlineStr">
        <is>
          <t>Diverses réunions avec des fonctionnaires du gouvernement du Canada et de l'Agence</t>
        </is>
      </c>
      <c r="H4946" s="1" t="n">
        <v>43885</v>
      </c>
      <c r="I4946" s="1" t="n">
        <v>43887</v>
      </c>
      <c r="J4946" t="inlineStr">
        <is>
          <t>Montreal, Quebec; Ottawa, Ontario and return to Halifax, Nova Scotia</t>
        </is>
      </c>
      <c r="K4946" t="inlineStr">
        <is>
          <t>Montréal (Québec), Ottawa (Ontario) et retour à Halifax (Nouvelle-Écosse)</t>
        </is>
      </c>
      <c r="P4946" t="n">
        <v>626.86</v>
      </c>
      <c r="Q4946" t="n">
        <v>230.61</v>
      </c>
      <c r="R4946" t="n">
        <v>437.34</v>
      </c>
      <c r="S4946" t="n">
        <v>234.9</v>
      </c>
      <c r="T4946" t="n">
        <v>0</v>
      </c>
      <c r="U4946" t="n">
        <v>1529.71</v>
      </c>
      <c r="X4946" t="inlineStr">
        <is>
          <t>acoa-apeca</t>
        </is>
      </c>
      <c r="Y4946" t="inlineStr">
        <is>
          <t>Atlantic Canada Opportunities Agency | Agence de promotion économique du Canada atlantique</t>
        </is>
      </c>
    </row>
    <row r="4947">
      <c r="A4947" t="inlineStr">
        <is>
          <t>T-2020-Q4-00037</t>
        </is>
      </c>
      <c r="B4947" t="inlineStr">
        <is>
          <t>SLE</t>
        </is>
      </c>
      <c r="C4947" t="inlineStr">
        <is>
          <t>Vice-President, Nova Scotia</t>
        </is>
      </c>
      <c r="D4947" t="inlineStr">
        <is>
          <t>Vice-président, Nouvelle-Écosse</t>
        </is>
      </c>
      <c r="E4947" t="inlineStr">
        <is>
          <t>Chuck Maillet</t>
        </is>
      </c>
      <c r="F4947" t="inlineStr">
        <is>
          <t xml:space="preserve">Executive Leadership Development Program and client visit </t>
        </is>
      </c>
      <c r="G4947" t="inlineStr">
        <is>
          <t>Participer au Programme de développement en leadership pour les cadres supérieurs  et visiter un client</t>
        </is>
      </c>
      <c r="H4947" s="1" t="n">
        <v>43878</v>
      </c>
      <c r="I4947" s="1" t="n">
        <v>43882</v>
      </c>
      <c r="J4947" t="inlineStr">
        <is>
          <t>Washington, DC</t>
        </is>
      </c>
      <c r="K4947" t="inlineStr">
        <is>
          <t>Washington, DC</t>
        </is>
      </c>
      <c r="P4947" t="n">
        <v>699.52</v>
      </c>
      <c r="Q4947" t="n">
        <v>76.27</v>
      </c>
      <c r="R4947" t="n">
        <v>1591.8</v>
      </c>
      <c r="S4947" t="n">
        <v>574.7</v>
      </c>
      <c r="T4947" t="n">
        <v>0</v>
      </c>
      <c r="U4947" t="n">
        <v>2942.29</v>
      </c>
      <c r="X4947" t="inlineStr">
        <is>
          <t>acoa-apeca</t>
        </is>
      </c>
      <c r="Y4947" t="inlineStr">
        <is>
          <t>Atlantic Canada Opportunities Agency | Agence de promotion économique du Canada atlantique</t>
        </is>
      </c>
    </row>
    <row r="4948">
      <c r="A4948" t="inlineStr">
        <is>
          <t>T-2020-Q4-00029</t>
        </is>
      </c>
      <c r="B4948" t="inlineStr">
        <is>
          <t>SLE</t>
        </is>
      </c>
      <c r="C4948" t="inlineStr">
        <is>
          <t>President</t>
        </is>
      </c>
      <c r="D4948" t="inlineStr">
        <is>
          <t>Président</t>
        </is>
      </c>
      <c r="E4948" t="inlineStr">
        <is>
          <t>Francis McGuire</t>
        </is>
      </c>
      <c r="F4948" t="inlineStr">
        <is>
          <t>Meetings with Government of Canada officials and key stakeholders</t>
        </is>
      </c>
      <c r="G4948" t="inlineStr">
        <is>
          <t>Réunions avec des fonctionnaires du gouvernement du Canada et des intervenants clés</t>
        </is>
      </c>
      <c r="H4948" s="1" t="n">
        <v>43881</v>
      </c>
      <c r="I4948" s="1" t="n">
        <v>43882</v>
      </c>
      <c r="J4948" t="inlineStr">
        <is>
          <t>Halifax, Nova Scotia</t>
        </is>
      </c>
      <c r="K4948" t="inlineStr">
        <is>
          <t>Halifax (Nouvelle-Écosse)</t>
        </is>
      </c>
      <c r="P4948" t="n">
        <v>0</v>
      </c>
      <c r="Q4948" t="n">
        <v>273.52</v>
      </c>
      <c r="R4948" t="n">
        <v>158.36</v>
      </c>
      <c r="S4948" t="n">
        <v>75.55</v>
      </c>
      <c r="T4948" t="n">
        <v>0</v>
      </c>
      <c r="U4948" t="n">
        <v>507.43</v>
      </c>
      <c r="X4948" t="inlineStr">
        <is>
          <t>acoa-apeca</t>
        </is>
      </c>
      <c r="Y4948" t="inlineStr">
        <is>
          <t>Atlantic Canada Opportunities Agency | Agence de promotion économique du Canada atlantique</t>
        </is>
      </c>
    </row>
    <row r="4949">
      <c r="A4949" t="inlineStr">
        <is>
          <t>T-2020-Q4-00028</t>
        </is>
      </c>
      <c r="B4949" t="inlineStr">
        <is>
          <t>SLE</t>
        </is>
      </c>
      <c r="C4949" t="inlineStr">
        <is>
          <t>President</t>
        </is>
      </c>
      <c r="D4949" t="inlineStr">
        <is>
          <t>Président</t>
        </is>
      </c>
      <c r="E4949" t="inlineStr">
        <is>
          <t>Francis McGuire</t>
        </is>
      </c>
      <c r="F4949" t="inlineStr">
        <is>
          <t>Meetings with Government of Canada officials and key stakeholders</t>
        </is>
      </c>
      <c r="G4949" t="inlineStr">
        <is>
          <t>Réunions avec des fonctionnaires du gouvernement du Canada et des intervenants clés</t>
        </is>
      </c>
      <c r="H4949" s="1" t="n">
        <v>43864</v>
      </c>
      <c r="I4949" s="1" t="n">
        <v>43867</v>
      </c>
      <c r="J4949" t="inlineStr">
        <is>
          <t>Ottawa, Ontario and Halifax, Nova Scotia</t>
        </is>
      </c>
      <c r="K4949" t="inlineStr">
        <is>
          <t>Ottawa (Ontario) et Halifax (Nouvelle-Écosse)</t>
        </is>
      </c>
      <c r="P4949" t="n">
        <v>1125.38</v>
      </c>
      <c r="Q4949" t="n">
        <v>104.4</v>
      </c>
      <c r="R4949" t="n">
        <v>615.5</v>
      </c>
      <c r="S4949" t="n">
        <v>414.85</v>
      </c>
      <c r="T4949" t="n">
        <v>48</v>
      </c>
      <c r="U4949" t="n">
        <v>2308.13</v>
      </c>
      <c r="X4949" t="inlineStr">
        <is>
          <t>acoa-apeca</t>
        </is>
      </c>
      <c r="Y4949" t="inlineStr">
        <is>
          <t>Atlantic Canada Opportunities Agency | Agence de promotion économique du Canada atlantique</t>
        </is>
      </c>
    </row>
    <row r="4950">
      <c r="A4950" t="inlineStr">
        <is>
          <t>T-2020-Q4-00035</t>
        </is>
      </c>
      <c r="B4950" t="inlineStr">
        <is>
          <t>SLE</t>
        </is>
      </c>
      <c r="C4950" t="inlineStr">
        <is>
          <t>Vice-President, Finance and Corporate Services</t>
        </is>
      </c>
      <c r="D4950" t="inlineStr">
        <is>
          <t>Vice-président, Finance et Services corporatifs</t>
        </is>
      </c>
      <c r="E4950" t="inlineStr">
        <is>
          <t>Stephane Lagace</t>
        </is>
      </c>
      <c r="F4950" t="inlineStr">
        <is>
          <t xml:space="preserve">Meeting with Government of Canada officials </t>
        </is>
      </c>
      <c r="G4950" t="inlineStr">
        <is>
          <t xml:space="preserve">Réunion avec des fonctionnaires du gouvernement du Canada </t>
        </is>
      </c>
      <c r="H4950" s="1" t="n">
        <v>43887</v>
      </c>
      <c r="I4950" s="1" t="n">
        <v>43889</v>
      </c>
      <c r="J4950" t="inlineStr">
        <is>
          <t>Ottawa, Ontario</t>
        </is>
      </c>
      <c r="K4950" t="inlineStr">
        <is>
          <t>Ottawa (Ontario)</t>
        </is>
      </c>
      <c r="P4950" t="n">
        <v>857.3</v>
      </c>
      <c r="Q4950" t="n">
        <v>67.65000000000001</v>
      </c>
      <c r="R4950" t="n">
        <v>463.26</v>
      </c>
      <c r="S4950" t="n">
        <v>255.5</v>
      </c>
      <c r="T4950" t="n">
        <v>40</v>
      </c>
      <c r="U4950" t="n">
        <v>1683.71</v>
      </c>
      <c r="X4950" t="inlineStr">
        <is>
          <t>acoa-apeca</t>
        </is>
      </c>
      <c r="Y4950" t="inlineStr">
        <is>
          <t>Atlantic Canada Opportunities Agency | Agence de promotion économique du Canada atlantique</t>
        </is>
      </c>
    </row>
    <row r="4951">
      <c r="A4951" t="inlineStr">
        <is>
          <t>T-2020-Q4-00021</t>
        </is>
      </c>
      <c r="B4951" t="inlineStr">
        <is>
          <t>SLE</t>
        </is>
      </c>
      <c r="C4951" t="inlineStr">
        <is>
          <t>Vice-President, Finance and Corporate Services</t>
        </is>
      </c>
      <c r="D4951" t="inlineStr">
        <is>
          <t>Vice-président, Finance et Services corporatifs</t>
        </is>
      </c>
      <c r="E4951" t="inlineStr">
        <is>
          <t>Stephane Lagace</t>
        </is>
      </c>
      <c r="F4951" t="inlineStr">
        <is>
          <t>Meeting with Government of Canada officials</t>
        </is>
      </c>
      <c r="G4951" t="inlineStr">
        <is>
          <t>Réunion avec des fonctionnaires du gouvernement du Canada</t>
        </is>
      </c>
      <c r="H4951" s="1" t="n">
        <v>43872</v>
      </c>
      <c r="I4951" s="1" t="n">
        <v>43872</v>
      </c>
      <c r="J4951" t="inlineStr">
        <is>
          <t>Fredericton, New Brunswick</t>
        </is>
      </c>
      <c r="K4951" t="inlineStr">
        <is>
          <t>Fredericton (Nouveau-Brunswick)</t>
        </is>
      </c>
      <c r="P4951" t="n">
        <v>0</v>
      </c>
      <c r="Q4951" t="n">
        <v>82</v>
      </c>
      <c r="R4951" t="n">
        <v>0</v>
      </c>
      <c r="S4951" t="n">
        <v>20.6</v>
      </c>
      <c r="T4951" t="n">
        <v>65.5</v>
      </c>
      <c r="U4951" t="n">
        <v>168.1</v>
      </c>
      <c r="X4951" t="inlineStr">
        <is>
          <t>acoa-apeca</t>
        </is>
      </c>
      <c r="Y4951" t="inlineStr">
        <is>
          <t>Atlantic Canada Opportunities Agency | Agence de promotion économique du Canada atlantique</t>
        </is>
      </c>
    </row>
    <row r="4952">
      <c r="A4952" t="inlineStr">
        <is>
          <t>T-2021-Q1-00004</t>
        </is>
      </c>
      <c r="B4952" t="inlineStr">
        <is>
          <t>SLE</t>
        </is>
      </c>
      <c r="C4952" t="inlineStr">
        <is>
          <t>Vice-President, Policy, Programs and Communications</t>
        </is>
      </c>
      <c r="D4952" t="inlineStr">
        <is>
          <t>Vice-président, Politiques et Programmes</t>
        </is>
      </c>
      <c r="E4952" t="inlineStr">
        <is>
          <t>Daryell Nowlan</t>
        </is>
      </c>
      <c r="F4952" t="inlineStr">
        <is>
          <t>Meetings with Government of Canada officials</t>
        </is>
      </c>
      <c r="G4952" t="inlineStr">
        <is>
          <t>Réunions avec des fonctionnaires du gouvernement du Canada</t>
        </is>
      </c>
      <c r="H4952" s="1" t="n">
        <v>43899</v>
      </c>
      <c r="I4952" s="1" t="n">
        <v>43902</v>
      </c>
      <c r="J4952" t="inlineStr">
        <is>
          <t>Ottawa, Ontario</t>
        </is>
      </c>
      <c r="K4952" t="inlineStr">
        <is>
          <t>Ottawa (Ontario)</t>
        </is>
      </c>
      <c r="P4952" t="n">
        <v>726.8</v>
      </c>
      <c r="Q4952" t="n">
        <v>90.93000000000001</v>
      </c>
      <c r="R4952" t="n">
        <v>691.02</v>
      </c>
      <c r="S4952" t="n">
        <v>303.25</v>
      </c>
      <c r="T4952" t="n">
        <v>0</v>
      </c>
      <c r="U4952" t="n">
        <v>1812</v>
      </c>
      <c r="X4952" t="inlineStr">
        <is>
          <t>acoa-apeca</t>
        </is>
      </c>
      <c r="Y4952" t="inlineStr">
        <is>
          <t>Atlantic Canada Opportunities Agency | Agence de promotion économique du Canada atlantique</t>
        </is>
      </c>
    </row>
    <row r="4953">
      <c r="A4953" t="inlineStr">
        <is>
          <t>T-2021-Q1-00003</t>
        </is>
      </c>
      <c r="B4953" t="inlineStr">
        <is>
          <t>SLE</t>
        </is>
      </c>
      <c r="C4953" t="inlineStr">
        <is>
          <t>Vice-President, New Brunswick</t>
        </is>
      </c>
      <c r="D4953" t="inlineStr">
        <is>
          <t>Vice-président, Nouveau-Brunswick</t>
        </is>
      </c>
      <c r="E4953" t="inlineStr">
        <is>
          <t>Kent Estabrooks</t>
        </is>
      </c>
      <c r="F4953" t="inlineStr">
        <is>
          <t>Meetings with Government of Canada officials</t>
        </is>
      </c>
      <c r="G4953" t="inlineStr">
        <is>
          <t>Réunions avec des fonctionnaires du gouvernement du Canada</t>
        </is>
      </c>
      <c r="H4953" s="1" t="n">
        <v>43900</v>
      </c>
      <c r="I4953" s="1" t="n">
        <v>43903</v>
      </c>
      <c r="J4953" t="inlineStr">
        <is>
          <t>Moncton, New Brunswick and Ottawa, Ontario</t>
        </is>
      </c>
      <c r="K4953" t="inlineStr">
        <is>
          <t>Moncton (Nouveau-Brunswick) et Ottawa (Ontario)</t>
        </is>
      </c>
      <c r="P4953" t="n">
        <v>726.8</v>
      </c>
      <c r="Q4953" t="n">
        <v>144.4</v>
      </c>
      <c r="R4953" t="n">
        <v>637.9299999999999</v>
      </c>
      <c r="S4953" t="n">
        <v>282.65</v>
      </c>
      <c r="T4953" t="n">
        <v>57.5</v>
      </c>
      <c r="U4953" t="n">
        <v>1849.28</v>
      </c>
      <c r="X4953" t="inlineStr">
        <is>
          <t>acoa-apeca</t>
        </is>
      </c>
      <c r="Y4953" t="inlineStr">
        <is>
          <t>Atlantic Canada Opportunities Agency | Agence de promotion économique du Canada atlantique</t>
        </is>
      </c>
    </row>
    <row r="4954">
      <c r="A4954" t="inlineStr">
        <is>
          <t>T-2020-Q4-00043</t>
        </is>
      </c>
      <c r="B4954" t="inlineStr">
        <is>
          <t>SLE</t>
        </is>
      </c>
      <c r="C4954" t="inlineStr">
        <is>
          <t>Vice-President, New Brunswick</t>
        </is>
      </c>
      <c r="D4954" t="inlineStr">
        <is>
          <t>Vice-président, Nouveau-Brunswick</t>
        </is>
      </c>
      <c r="E4954" t="inlineStr">
        <is>
          <t>Kent Estabrooks</t>
        </is>
      </c>
      <c r="F4954" t="inlineStr">
        <is>
          <t>Attend an external stakeholder event</t>
        </is>
      </c>
      <c r="G4954" t="inlineStr">
        <is>
          <t>Assister à un évènement avec des intervenants externes</t>
        </is>
      </c>
      <c r="H4954" s="1" t="n">
        <v>43891</v>
      </c>
      <c r="I4954" s="1" t="n">
        <v>43892</v>
      </c>
      <c r="J4954" t="inlineStr">
        <is>
          <t>Halifax, Nova Scotia</t>
        </is>
      </c>
      <c r="K4954" t="inlineStr">
        <is>
          <t>Halifax (Nouvelle-Écosse)</t>
        </is>
      </c>
      <c r="P4954" t="n">
        <v>726.8</v>
      </c>
      <c r="Q4954" t="n">
        <v>112.96</v>
      </c>
      <c r="R4954" t="n">
        <v>209.97</v>
      </c>
      <c r="S4954" t="n">
        <v>135.7</v>
      </c>
      <c r="T4954" t="n">
        <v>132.6</v>
      </c>
      <c r="U4954" t="n">
        <v>1318.03</v>
      </c>
      <c r="X4954" t="inlineStr">
        <is>
          <t>acoa-apeca</t>
        </is>
      </c>
      <c r="Y4954" t="inlineStr">
        <is>
          <t>Atlantic Canada Opportunities Agency | Agence de promotion économique du Canada atlantique</t>
        </is>
      </c>
    </row>
    <row r="4955">
      <c r="A4955" t="inlineStr">
        <is>
          <t>T-2021-Q1-00006</t>
        </is>
      </c>
      <c r="B4955" t="inlineStr">
        <is>
          <t>SLE</t>
        </is>
      </c>
      <c r="C4955" t="inlineStr">
        <is>
          <t>Vice-President, Nova Scotia</t>
        </is>
      </c>
      <c r="D4955" t="inlineStr">
        <is>
          <t>Vice-président, Nouvelle-Écosse</t>
        </is>
      </c>
      <c r="E4955" t="inlineStr">
        <is>
          <t>Chuck Maillet</t>
        </is>
      </c>
      <c r="F4955" t="inlineStr">
        <is>
          <t>Interviews</t>
        </is>
      </c>
      <c r="G4955" t="inlineStr">
        <is>
          <t>Entrevues</t>
        </is>
      </c>
      <c r="H4955" s="1" t="n">
        <v>43902</v>
      </c>
      <c r="I4955" s="1" t="n">
        <v>43902</v>
      </c>
      <c r="J4955" t="inlineStr">
        <is>
          <t>St. John's, Newfoundland and Labrador</t>
        </is>
      </c>
      <c r="K4955" t="inlineStr">
        <is>
          <t>St. John's (Terre-Neuve-et-Labrador)</t>
        </is>
      </c>
      <c r="P4955" t="n">
        <v>471.79</v>
      </c>
      <c r="Q4955" t="n">
        <v>127.5</v>
      </c>
      <c r="R4955" t="n">
        <v>0</v>
      </c>
      <c r="S4955" t="n">
        <v>108.8</v>
      </c>
      <c r="T4955" t="n">
        <v>16.8</v>
      </c>
      <c r="U4955" t="n">
        <v>724.89</v>
      </c>
      <c r="X4955" t="inlineStr">
        <is>
          <t>acoa-apeca</t>
        </is>
      </c>
      <c r="Y4955" t="inlineStr">
        <is>
          <t>Atlantic Canada Opportunities Agency | Agence de promotion économique du Canada atlantique</t>
        </is>
      </c>
    </row>
    <row r="4956">
      <c r="A4956" t="inlineStr">
        <is>
          <t>T-2021-Q1-00005</t>
        </is>
      </c>
      <c r="B4956" t="inlineStr">
        <is>
          <t>SLE</t>
        </is>
      </c>
      <c r="C4956" t="inlineStr">
        <is>
          <t>Vice-President, Nova Scotia</t>
        </is>
      </c>
      <c r="D4956" t="inlineStr">
        <is>
          <t>Vice-président, Nouvelle-Écosse</t>
        </is>
      </c>
      <c r="E4956" t="inlineStr">
        <is>
          <t>Chuck Maillet</t>
        </is>
      </c>
      <c r="F4956" t="inlineStr">
        <is>
          <t xml:space="preserve">Parliamentary Secretary NS Visit </t>
        </is>
      </c>
      <c r="G4956" t="inlineStr">
        <is>
          <t>Visite du secrétaire parlementaire en Nouvelle-Écosse</t>
        </is>
      </c>
      <c r="H4956" s="1" t="n">
        <v>43892</v>
      </c>
      <c r="I4956" s="1" t="n">
        <v>43893</v>
      </c>
      <c r="J4956" t="inlineStr">
        <is>
          <t xml:space="preserve">Halifax, Antigonish and Cape Breton, Nova Scotia </t>
        </is>
      </c>
      <c r="K4956" t="inlineStr">
        <is>
          <t>Halifax, Antigonish et Cap-Breton (Nouvelle-Écosse)</t>
        </is>
      </c>
      <c r="P4956" t="n">
        <v>0</v>
      </c>
      <c r="Q4956" t="n">
        <v>0</v>
      </c>
      <c r="R4956" t="n">
        <v>174.8</v>
      </c>
      <c r="S4956" t="n">
        <v>176.65</v>
      </c>
      <c r="T4956" t="n">
        <v>0</v>
      </c>
      <c r="U4956" t="n">
        <v>351.45</v>
      </c>
      <c r="X4956" t="inlineStr">
        <is>
          <t>acoa-apeca</t>
        </is>
      </c>
      <c r="Y4956" t="inlineStr">
        <is>
          <t>Atlantic Canada Opportunities Agency | Agence de promotion économique du Canada atlantique</t>
        </is>
      </c>
    </row>
    <row r="4957">
      <c r="A4957" t="inlineStr">
        <is>
          <t>T-2021-Q1-00002</t>
        </is>
      </c>
      <c r="B4957" t="inlineStr">
        <is>
          <t>SLE</t>
        </is>
      </c>
      <c r="C4957" t="inlineStr">
        <is>
          <t>President</t>
        </is>
      </c>
      <c r="D4957" t="inlineStr">
        <is>
          <t>Président</t>
        </is>
      </c>
      <c r="E4957" t="inlineStr">
        <is>
          <t>Francis McGuire</t>
        </is>
      </c>
      <c r="F4957" t="inlineStr">
        <is>
          <t>Meetings with various Government of Canada officials and stakeholders</t>
        </is>
      </c>
      <c r="G4957" t="inlineStr">
        <is>
          <t>Réunions avec divers fonctionnaires du gouvernement du Canada et des intervenants</t>
        </is>
      </c>
      <c r="H4957" s="1" t="n">
        <v>43900</v>
      </c>
      <c r="I4957" s="1" t="n">
        <v>43902</v>
      </c>
      <c r="J4957" t="inlineStr">
        <is>
          <t>Ottawa, Ontario</t>
        </is>
      </c>
      <c r="K4957" t="inlineStr">
        <is>
          <t>Ottawa (Ontario)</t>
        </is>
      </c>
      <c r="P4957" t="n">
        <v>726.8</v>
      </c>
      <c r="Q4957" t="n">
        <v>14.7</v>
      </c>
      <c r="R4957" t="n">
        <v>467.72</v>
      </c>
      <c r="S4957" t="n">
        <v>306.05</v>
      </c>
      <c r="T4957" t="n">
        <v>36</v>
      </c>
      <c r="U4957" t="n">
        <v>1551.27</v>
      </c>
      <c r="X4957" t="inlineStr">
        <is>
          <t>acoa-apeca</t>
        </is>
      </c>
      <c r="Y4957" t="inlineStr">
        <is>
          <t>Atlantic Canada Opportunities Agency | Agence de promotion économique du Canada atlantique</t>
        </is>
      </c>
    </row>
    <row r="4958">
      <c r="A4958" t="inlineStr">
        <is>
          <t>T-2021-Q1-00001</t>
        </is>
      </c>
      <c r="B4958" t="inlineStr">
        <is>
          <t>SLE</t>
        </is>
      </c>
      <c r="C4958" t="inlineStr">
        <is>
          <t>President</t>
        </is>
      </c>
      <c r="D4958" t="inlineStr">
        <is>
          <t>Président</t>
        </is>
      </c>
      <c r="E4958" t="inlineStr">
        <is>
          <t>Francis McGuire</t>
        </is>
      </c>
      <c r="F4958" t="inlineStr">
        <is>
          <t>Meetings with various key stakeholders</t>
        </is>
      </c>
      <c r="G4958" t="inlineStr">
        <is>
          <t>Réunions avec divers intervenants clés</t>
        </is>
      </c>
      <c r="H4958" s="1" t="n">
        <v>43895</v>
      </c>
      <c r="I4958" s="1" t="n">
        <v>43895</v>
      </c>
      <c r="J4958" t="inlineStr">
        <is>
          <t>Neguac, New Brunswick</t>
        </is>
      </c>
      <c r="K4958" t="inlineStr">
        <is>
          <t>Neguac (Nouveau-Brunswick)</t>
        </is>
      </c>
      <c r="P4958" t="n">
        <v>0</v>
      </c>
      <c r="Q4958" t="n">
        <v>191.62</v>
      </c>
      <c r="R4958" t="n">
        <v>0</v>
      </c>
      <c r="S4958" t="n">
        <v>50.55</v>
      </c>
      <c r="T4958" t="n">
        <v>0</v>
      </c>
      <c r="U4958" t="n">
        <v>242.17</v>
      </c>
      <c r="X4958" t="inlineStr">
        <is>
          <t>acoa-apeca</t>
        </is>
      </c>
      <c r="Y4958" t="inlineStr">
        <is>
          <t>Atlantic Canada Opportunities Agency | Agence de promotion économique du Canada atlantique</t>
        </is>
      </c>
    </row>
    <row r="4959">
      <c r="A4959" t="inlineStr">
        <is>
          <t>T-2020-Q4-00045</t>
        </is>
      </c>
      <c r="B4959" t="inlineStr">
        <is>
          <t>SLE</t>
        </is>
      </c>
      <c r="C4959" t="inlineStr">
        <is>
          <t>President</t>
        </is>
      </c>
      <c r="D4959" t="inlineStr">
        <is>
          <t>Président</t>
        </is>
      </c>
      <c r="E4959" t="inlineStr">
        <is>
          <t>Francis McGuire</t>
        </is>
      </c>
      <c r="F4959" t="inlineStr">
        <is>
          <t>Meetings with Government of Canada officials and various stakeholders</t>
        </is>
      </c>
      <c r="G4959" t="inlineStr">
        <is>
          <t>Réunions avec des fonctionnaires du gouvernement du Canada et divers intervenants</t>
        </is>
      </c>
      <c r="H4959" s="1" t="n">
        <v>43839</v>
      </c>
      <c r="I4959" s="1" t="n">
        <v>43841</v>
      </c>
      <c r="J4959" t="inlineStr">
        <is>
          <t>Charlottetown, Prince Edward Island</t>
        </is>
      </c>
      <c r="K4959" t="inlineStr">
        <is>
          <t>Charlottetown (Île-du-Prince-Édouard)</t>
        </is>
      </c>
      <c r="P4959" t="n">
        <v>0</v>
      </c>
      <c r="Q4959" t="n">
        <v>344.4</v>
      </c>
      <c r="R4959" t="n">
        <v>402.74</v>
      </c>
      <c r="S4959" t="n">
        <v>234.9</v>
      </c>
      <c r="T4959" t="n">
        <v>0</v>
      </c>
      <c r="U4959" t="n">
        <v>982.04</v>
      </c>
      <c r="X4959" t="inlineStr">
        <is>
          <t>acoa-apeca</t>
        </is>
      </c>
      <c r="Y4959" t="inlineStr">
        <is>
          <t>Atlantic Canada Opportunities Agency | Agence de promotion économique du Canada atlantique</t>
        </is>
      </c>
    </row>
    <row r="4960">
      <c r="A4960" t="inlineStr">
        <is>
          <t>T-2020-Q4-00044</t>
        </is>
      </c>
      <c r="B4960" t="inlineStr">
        <is>
          <t>SLE</t>
        </is>
      </c>
      <c r="C4960" t="inlineStr">
        <is>
          <t>President</t>
        </is>
      </c>
      <c r="D4960" t="inlineStr">
        <is>
          <t>Président</t>
        </is>
      </c>
      <c r="E4960" t="inlineStr">
        <is>
          <t>Francis McGuire</t>
        </is>
      </c>
      <c r="F4960" t="inlineStr">
        <is>
          <t>*Trip cancelled due to inclement weather* Meetings with Government of Canada officials and various stakeholders</t>
        </is>
      </c>
      <c r="G4960" t="inlineStr">
        <is>
          <t>*Voyage annulé en raison du mauvais temps*
Réunions avec des fonctionnaires du gouvernement du Canada et divers intervenants</t>
        </is>
      </c>
      <c r="H4960" s="1" t="n">
        <v>43838</v>
      </c>
      <c r="I4960" s="1" t="n">
        <v>43838</v>
      </c>
      <c r="J4960" t="inlineStr">
        <is>
          <t>St. John's, Newfoundland and Labrador</t>
        </is>
      </c>
      <c r="K4960" t="inlineStr">
        <is>
          <t>St. John's (Terre-Neuve-et-Labrador)</t>
        </is>
      </c>
      <c r="P4960" t="n">
        <v>322</v>
      </c>
      <c r="Q4960" t="n">
        <v>44.7</v>
      </c>
      <c r="R4960" t="n">
        <v>0</v>
      </c>
      <c r="S4960" t="n">
        <v>71.15000000000001</v>
      </c>
      <c r="T4960" t="n">
        <v>0</v>
      </c>
      <c r="U4960" t="n">
        <v>437.85</v>
      </c>
      <c r="X4960" t="inlineStr">
        <is>
          <t>acoa-apeca</t>
        </is>
      </c>
      <c r="Y4960" t="inlineStr">
        <is>
          <t>Atlantic Canada Opportunities Agency | Agence de promotion économique du Canada atlantique</t>
        </is>
      </c>
    </row>
    <row r="4961">
      <c r="A4961" t="inlineStr">
        <is>
          <t>T-2021-Q2-00002</t>
        </is>
      </c>
      <c r="B4961" t="inlineStr">
        <is>
          <t>SLE</t>
        </is>
      </c>
      <c r="C4961" t="inlineStr">
        <is>
          <t>Vice-President, New Brunswick</t>
        </is>
      </c>
      <c r="D4961" t="inlineStr">
        <is>
          <t>Vice-président, Nouveau-Brunswick</t>
        </is>
      </c>
      <c r="E4961" t="inlineStr">
        <is>
          <t>Kent Estabrooks</t>
        </is>
      </c>
      <c r="F4961" t="inlineStr">
        <is>
          <t>External stakeholders meeting</t>
        </is>
      </c>
      <c r="G4961" t="inlineStr">
        <is>
          <t>Réunion avec des intervenants externes</t>
        </is>
      </c>
      <c r="H4961" s="1" t="n">
        <v>44027</v>
      </c>
      <c r="I4961" s="1" t="n">
        <v>44028</v>
      </c>
      <c r="J4961" t="inlineStr">
        <is>
          <t>Saint John, New Brunswick</t>
        </is>
      </c>
      <c r="K4961" t="inlineStr">
        <is>
          <t>Saint John (Nouveau-Brunswick)</t>
        </is>
      </c>
      <c r="P4961" t="n">
        <v>0</v>
      </c>
      <c r="Q4961" t="n">
        <v>18.34</v>
      </c>
      <c r="R4961" t="n">
        <v>141.64</v>
      </c>
      <c r="S4961" t="n">
        <v>106.5</v>
      </c>
      <c r="T4961" t="n">
        <v>0</v>
      </c>
      <c r="U4961" t="n">
        <v>266.48</v>
      </c>
      <c r="X4961" t="inlineStr">
        <is>
          <t>acoa-apeca</t>
        </is>
      </c>
      <c r="Y4961" t="inlineStr">
        <is>
          <t>Atlantic Canada Opportunities Agency | Agence de promotion économique du Canada atlantique</t>
        </is>
      </c>
    </row>
    <row r="4962">
      <c r="A4962" t="inlineStr">
        <is>
          <t>T-2021-Q2-00003</t>
        </is>
      </c>
      <c r="B4962" t="inlineStr">
        <is>
          <t>SLE</t>
        </is>
      </c>
      <c r="C4962" t="inlineStr">
        <is>
          <t>President</t>
        </is>
      </c>
      <c r="D4962" t="inlineStr">
        <is>
          <t>Président</t>
        </is>
      </c>
      <c r="E4962" t="inlineStr">
        <is>
          <t>Francis McGuire</t>
        </is>
      </c>
      <c r="F4962" t="inlineStr">
        <is>
          <t>Meetings with Government Officials and various key stakeholders</t>
        </is>
      </c>
      <c r="G4962" t="inlineStr">
        <is>
          <t>Réunions avec des fonctionnaires et divers intervenants clés</t>
        </is>
      </c>
      <c r="H4962" s="1" t="n">
        <v>44025</v>
      </c>
      <c r="I4962" s="1" t="n">
        <v>44027</v>
      </c>
      <c r="J4962" t="inlineStr">
        <is>
          <t>Coleman, Summerside, Morell, Charlottetown, Prince Edward Island</t>
        </is>
      </c>
      <c r="K4962" t="inlineStr">
        <is>
          <t>Coleman, Summerside, Morell et Charlottetown (Île-du-Prince-Édouard)</t>
        </is>
      </c>
      <c r="P4962" t="n">
        <v>0</v>
      </c>
      <c r="Q4962" t="n">
        <v>360</v>
      </c>
      <c r="R4962" t="n">
        <v>349.57</v>
      </c>
      <c r="S4962" t="n">
        <v>330.3</v>
      </c>
      <c r="T4962" t="n">
        <v>21.28</v>
      </c>
      <c r="U4962" t="n">
        <v>1061.15</v>
      </c>
      <c r="X4962" t="inlineStr">
        <is>
          <t>acoa-apeca</t>
        </is>
      </c>
      <c r="Y4962" t="inlineStr">
        <is>
          <t>Atlantic Canada Opportunities Agency | Agence de promotion économique du Canada atlantique</t>
        </is>
      </c>
    </row>
    <row r="4963">
      <c r="A4963" t="inlineStr">
        <is>
          <t>T-2021-Q2-00001</t>
        </is>
      </c>
      <c r="B4963" t="inlineStr">
        <is>
          <t>SLE</t>
        </is>
      </c>
      <c r="C4963" t="inlineStr">
        <is>
          <t>President</t>
        </is>
      </c>
      <c r="D4963" t="inlineStr">
        <is>
          <t>Président</t>
        </is>
      </c>
      <c r="E4963" t="inlineStr">
        <is>
          <t>Francis McGuire</t>
        </is>
      </c>
      <c r="F4963" t="inlineStr">
        <is>
          <t>Meetings with various government officials and stakeholders</t>
        </is>
      </c>
      <c r="G4963" t="inlineStr">
        <is>
          <t>Réunions avec divers fonctionnaires et intervenants</t>
        </is>
      </c>
      <c r="H4963" s="1" t="n">
        <v>44019</v>
      </c>
      <c r="I4963" s="1" t="n">
        <v>44019</v>
      </c>
      <c r="J4963" t="inlineStr">
        <is>
          <t>Fundy Trail Parkway and Sussex, New Brunswick</t>
        </is>
      </c>
      <c r="K4963" t="inlineStr">
        <is>
          <t>Route d'accès au sentier Fundy et Sussex (Nouveau-Brunswick)</t>
        </is>
      </c>
      <c r="P4963" t="n">
        <v>0</v>
      </c>
      <c r="Q4963" t="n">
        <v>134.5</v>
      </c>
      <c r="R4963" t="n">
        <v>0</v>
      </c>
      <c r="S4963" t="n">
        <v>20.9</v>
      </c>
      <c r="T4963" t="n">
        <v>0</v>
      </c>
      <c r="U4963" t="n">
        <v>155.4</v>
      </c>
      <c r="X4963" t="inlineStr">
        <is>
          <t>acoa-apeca</t>
        </is>
      </c>
      <c r="Y4963" t="inlineStr">
        <is>
          <t>Atlantic Canada Opportunities Agency | Agence de promotion économique du Canada atlantique</t>
        </is>
      </c>
    </row>
    <row r="4964">
      <c r="A4964" t="inlineStr">
        <is>
          <t>T-2021-Q2-00010</t>
        </is>
      </c>
      <c r="B4964" t="inlineStr">
        <is>
          <t>SLE</t>
        </is>
      </c>
      <c r="C4964" t="inlineStr">
        <is>
          <t>Vice-President, Prince Edward Island</t>
        </is>
      </c>
      <c r="D4964" t="inlineStr">
        <is>
          <t>Vice-président, Île-du-Prince-Édouard</t>
        </is>
      </c>
      <c r="E4964" t="inlineStr">
        <is>
          <t>Patrick Dorsey</t>
        </is>
      </c>
      <c r="F4964" t="inlineStr">
        <is>
          <t>Meeting with federal government official</t>
        </is>
      </c>
      <c r="G4964" t="inlineStr">
        <is>
          <t>Réunion avec un fonctionnaire du gouvernement fédéral</t>
        </is>
      </c>
      <c r="H4964" s="1" t="n">
        <v>44061</v>
      </c>
      <c r="I4964" s="1" t="n">
        <v>44061</v>
      </c>
      <c r="J4964" t="inlineStr">
        <is>
          <t>Summerside, Prince Edward Island</t>
        </is>
      </c>
      <c r="K4964" t="inlineStr">
        <is>
          <t>Summerside (Île-du-Prince-Édouard)</t>
        </is>
      </c>
      <c r="P4964" t="n">
        <v>0</v>
      </c>
      <c r="Q4964" t="n">
        <v>58.2</v>
      </c>
      <c r="R4964" t="n">
        <v>0</v>
      </c>
      <c r="S4964" t="n">
        <v>20.9</v>
      </c>
      <c r="T4964" t="n">
        <v>0</v>
      </c>
      <c r="U4964" t="n">
        <v>79.09999999999999</v>
      </c>
      <c r="X4964" t="inlineStr">
        <is>
          <t>acoa-apeca</t>
        </is>
      </c>
      <c r="Y4964" t="inlineStr">
        <is>
          <t>Atlantic Canada Opportunities Agency | Agence de promotion économique du Canada atlantique</t>
        </is>
      </c>
    </row>
    <row r="4965">
      <c r="A4965" t="inlineStr">
        <is>
          <t>T-2021-Q2-00006</t>
        </is>
      </c>
      <c r="B4965" t="inlineStr">
        <is>
          <t>SLE</t>
        </is>
      </c>
      <c r="C4965" t="inlineStr">
        <is>
          <t>Vice-President, Prince Edward Island</t>
        </is>
      </c>
      <c r="D4965" t="inlineStr">
        <is>
          <t>Vice-président, Île-du-Prince-Édouard</t>
        </is>
      </c>
      <c r="E4965" t="inlineStr">
        <is>
          <t>Patrick Dorsey</t>
        </is>
      </c>
      <c r="F4965" t="inlineStr">
        <is>
          <t>Meetings with provincial and federal government officials</t>
        </is>
      </c>
      <c r="G4965" t="inlineStr">
        <is>
          <t>Réunions avec des fonctionnaires fédéraux et provinciaux</t>
        </is>
      </c>
      <c r="H4965" s="1" t="n">
        <v>44039</v>
      </c>
      <c r="I4965" s="1" t="n">
        <v>44040</v>
      </c>
      <c r="J4965" t="inlineStr">
        <is>
          <t>Fredericton, New Brunswick</t>
        </is>
      </c>
      <c r="K4965" t="inlineStr">
        <is>
          <t>Fredericton (Nouveau-Brunswick)</t>
        </is>
      </c>
      <c r="P4965" t="n">
        <v>0</v>
      </c>
      <c r="Q4965" t="n">
        <v>330.28</v>
      </c>
      <c r="R4965" t="n">
        <v>159.61</v>
      </c>
      <c r="S4965" t="n">
        <v>148.3</v>
      </c>
      <c r="T4965" t="n">
        <v>62.3</v>
      </c>
      <c r="U4965" t="n">
        <v>700.49</v>
      </c>
      <c r="X4965" t="inlineStr">
        <is>
          <t>acoa-apeca</t>
        </is>
      </c>
      <c r="Y4965" t="inlineStr">
        <is>
          <t>Atlantic Canada Opportunities Agency | Agence de promotion économique du Canada atlantique</t>
        </is>
      </c>
    </row>
    <row r="4966">
      <c r="A4966" t="inlineStr">
        <is>
          <t>T-2021-Q2-00005</t>
        </is>
      </c>
      <c r="B4966" t="inlineStr">
        <is>
          <t>SLE</t>
        </is>
      </c>
      <c r="C4966" t="inlineStr">
        <is>
          <t>Vice-President, Prince Edward Island</t>
        </is>
      </c>
      <c r="D4966" t="inlineStr">
        <is>
          <t>Vice-président, Île-du-Prince-Édouard</t>
        </is>
      </c>
      <c r="E4966" t="inlineStr">
        <is>
          <t>Patrick Dorsey</t>
        </is>
      </c>
      <c r="F4966" t="inlineStr">
        <is>
          <t>Meetings with provincial government officials and various stakeholders</t>
        </is>
      </c>
      <c r="G4966" t="inlineStr">
        <is>
          <t>Réunions avec des fonctionnaires provinciaux et divers intervenants</t>
        </is>
      </c>
      <c r="H4966" s="1" t="n">
        <v>44025</v>
      </c>
      <c r="I4966" s="1" t="n">
        <v>44027</v>
      </c>
      <c r="J4966" t="inlineStr">
        <is>
          <t>Summerside; Trout River; Mill River; Morell; New Annan, Prince Edward Island</t>
        </is>
      </c>
      <c r="K4966" t="inlineStr">
        <is>
          <t>Summerside, Trout River, Mill River, Morell et New Annan (Île-du-Prince-Édouard)</t>
        </is>
      </c>
      <c r="P4966" t="n">
        <v>0</v>
      </c>
      <c r="Q4966" t="n">
        <v>153.26</v>
      </c>
      <c r="R4966" t="n">
        <v>0</v>
      </c>
      <c r="S4966" t="n">
        <v>41.8</v>
      </c>
      <c r="T4966" t="n">
        <v>0</v>
      </c>
      <c r="U4966" t="n">
        <v>195.06</v>
      </c>
      <c r="X4966" t="inlineStr">
        <is>
          <t>acoa-apeca</t>
        </is>
      </c>
      <c r="Y4966" t="inlineStr">
        <is>
          <t>Atlantic Canada Opportunities Agency | Agence de promotion économique du Canada atlantique</t>
        </is>
      </c>
    </row>
    <row r="4967">
      <c r="A4967" t="inlineStr">
        <is>
          <t>T-2021-Q2-00008</t>
        </is>
      </c>
      <c r="B4967" t="inlineStr">
        <is>
          <t>SLE</t>
        </is>
      </c>
      <c r="C4967" t="inlineStr">
        <is>
          <t>Vice-President, Nova Scotia</t>
        </is>
      </c>
      <c r="D4967" t="inlineStr">
        <is>
          <t>Vice-président, Nouvelle-Écosse</t>
        </is>
      </c>
      <c r="E4967" t="inlineStr">
        <is>
          <t>Chuck Maillet</t>
        </is>
      </c>
      <c r="F4967" t="inlineStr">
        <is>
          <t>Meetings with stakeholders</t>
        </is>
      </c>
      <c r="G4967" t="inlineStr">
        <is>
          <t>Réunions avec des intervenants</t>
        </is>
      </c>
      <c r="H4967" s="1" t="n">
        <v>44070</v>
      </c>
      <c r="I4967" s="1" t="n">
        <v>44070</v>
      </c>
      <c r="J4967" t="inlineStr">
        <is>
          <t xml:space="preserve">Northern Nova Scotia </t>
        </is>
      </c>
      <c r="K4967" t="inlineStr">
        <is>
          <t>Nord de la Nouvelle-Écosse</t>
        </is>
      </c>
      <c r="P4967" t="n">
        <v>0</v>
      </c>
      <c r="Q4967" t="n">
        <v>206</v>
      </c>
      <c r="R4967" t="n">
        <v>0</v>
      </c>
      <c r="S4967" t="n">
        <v>20.9</v>
      </c>
      <c r="T4967" t="n">
        <v>0</v>
      </c>
      <c r="U4967" t="n">
        <v>226.9</v>
      </c>
      <c r="X4967" t="inlineStr">
        <is>
          <t>acoa-apeca</t>
        </is>
      </c>
      <c r="Y4967" t="inlineStr">
        <is>
          <t>Atlantic Canada Opportunities Agency | Agence de promotion économique du Canada atlantique</t>
        </is>
      </c>
    </row>
    <row r="4968">
      <c r="A4968" t="inlineStr">
        <is>
          <t>T-2021-Q2-00007</t>
        </is>
      </c>
      <c r="B4968" t="inlineStr">
        <is>
          <t>SLE</t>
        </is>
      </c>
      <c r="C4968" t="inlineStr">
        <is>
          <t>Vice-President, Nova Scotia</t>
        </is>
      </c>
      <c r="D4968" t="inlineStr">
        <is>
          <t>Vice-président, Nouvelle-Écosse</t>
        </is>
      </c>
      <c r="E4968" t="inlineStr">
        <is>
          <t>Chuck Maillet</t>
        </is>
      </c>
      <c r="F4968" t="inlineStr">
        <is>
          <t>Meetings with clients</t>
        </is>
      </c>
      <c r="G4968" t="inlineStr">
        <is>
          <t>Réunions avec des clients</t>
        </is>
      </c>
      <c r="H4968" s="1" t="n">
        <v>44053</v>
      </c>
      <c r="I4968" s="1" t="n">
        <v>44054</v>
      </c>
      <c r="J4968" t="inlineStr">
        <is>
          <t xml:space="preserve">South Shore, Nova Scotia </t>
        </is>
      </c>
      <c r="K4968" t="inlineStr">
        <is>
          <t>Côte sud de la Nouvelle-Écosse</t>
        </is>
      </c>
      <c r="P4968" t="n">
        <v>0</v>
      </c>
      <c r="Q4968" t="n">
        <v>0</v>
      </c>
      <c r="R4968" t="n">
        <v>161</v>
      </c>
      <c r="S4968" t="n">
        <v>55.5</v>
      </c>
      <c r="T4968" t="n">
        <v>0</v>
      </c>
      <c r="U4968" t="n">
        <v>216.5</v>
      </c>
      <c r="X4968" t="inlineStr">
        <is>
          <t>acoa-apeca</t>
        </is>
      </c>
      <c r="Y4968" t="inlineStr">
        <is>
          <t>Atlantic Canada Opportunities Agency | Agence de promotion économique du Canada atlantique</t>
        </is>
      </c>
    </row>
    <row r="4969">
      <c r="A4969" t="inlineStr">
        <is>
          <t>T-2021-Q2-00004</t>
        </is>
      </c>
      <c r="B4969" t="inlineStr">
        <is>
          <t>SLE</t>
        </is>
      </c>
      <c r="C4969" t="inlineStr">
        <is>
          <t>President</t>
        </is>
      </c>
      <c r="D4969" t="inlineStr">
        <is>
          <t>Président</t>
        </is>
      </c>
      <c r="E4969" t="inlineStr">
        <is>
          <t>Francis McGuire</t>
        </is>
      </c>
      <c r="F4969" t="inlineStr">
        <is>
          <t>Meetings with government officials and various stakeholders</t>
        </is>
      </c>
      <c r="G4969" t="inlineStr">
        <is>
          <t>Réunions avec des fonctionnaires et divers intervenants</t>
        </is>
      </c>
      <c r="H4969" s="1" t="n">
        <v>44053</v>
      </c>
      <c r="I4969" s="1" t="n">
        <v>44054</v>
      </c>
      <c r="J4969" t="inlineStr">
        <is>
          <t>Halifax, Lunenberg and Bridgewater, Nova Scotia</t>
        </is>
      </c>
      <c r="K4969" t="inlineStr">
        <is>
          <t>Halifax, Lunenburg et Bridgewater (Nouvelle-Écosse)</t>
        </is>
      </c>
      <c r="P4969" t="n">
        <v>0</v>
      </c>
      <c r="Q4969" t="n">
        <v>386.5</v>
      </c>
      <c r="R4969" t="n">
        <v>149.5</v>
      </c>
      <c r="S4969" t="n">
        <v>55.5</v>
      </c>
      <c r="T4969" t="n">
        <v>17</v>
      </c>
      <c r="U4969" t="n">
        <v>608.5</v>
      </c>
      <c r="X4969" t="inlineStr">
        <is>
          <t>acoa-apeca</t>
        </is>
      </c>
      <c r="Y4969" t="inlineStr">
        <is>
          <t>Atlantic Canada Opportunities Agency | Agence de promotion économique du Canada atlantique</t>
        </is>
      </c>
    </row>
    <row r="4970">
      <c r="A4970" t="inlineStr">
        <is>
          <t>T-2021-Q3-00006</t>
        </is>
      </c>
      <c r="B4970" t="inlineStr">
        <is>
          <t>SLE</t>
        </is>
      </c>
      <c r="C4970" t="inlineStr">
        <is>
          <t>Vice-President, Policy, Programs and Communications</t>
        </is>
      </c>
      <c r="D4970" t="inlineStr">
        <is>
          <t>Vice-président, Politiques et Programmes</t>
        </is>
      </c>
      <c r="E4970" t="inlineStr">
        <is>
          <t>Daryell Nowlan</t>
        </is>
      </c>
      <c r="F4970" t="inlineStr">
        <is>
          <t>Meetings with Government of Canada officials</t>
        </is>
      </c>
      <c r="G4970" t="inlineStr">
        <is>
          <t>Réunions avec des fonctionnaires fédéraux</t>
        </is>
      </c>
      <c r="H4970" s="1" t="n">
        <v>44087</v>
      </c>
      <c r="I4970" s="1" t="n">
        <v>44090</v>
      </c>
      <c r="J4970" t="inlineStr">
        <is>
          <t>Halifax, Nova Scotia</t>
        </is>
      </c>
      <c r="K4970" t="inlineStr">
        <is>
          <t>Halifax (Nouvelle-Écosse)</t>
        </is>
      </c>
      <c r="P4970" t="n">
        <v>0</v>
      </c>
      <c r="Q4970" t="n">
        <v>268</v>
      </c>
      <c r="R4970" t="n">
        <v>587.42</v>
      </c>
      <c r="S4970" t="n">
        <v>243.85</v>
      </c>
      <c r="T4970" t="n">
        <v>0</v>
      </c>
      <c r="U4970" t="n">
        <v>1099.27</v>
      </c>
      <c r="X4970" t="inlineStr">
        <is>
          <t>acoa-apeca</t>
        </is>
      </c>
      <c r="Y4970" t="inlineStr">
        <is>
          <t>Atlantic Canada Opportunities Agency | Agence de promotion économique du Canada atlantique</t>
        </is>
      </c>
    </row>
    <row r="4971">
      <c r="A4971" t="inlineStr">
        <is>
          <t>T-2021-Q3-00001</t>
        </is>
      </c>
      <c r="B4971" t="inlineStr">
        <is>
          <t>SLE</t>
        </is>
      </c>
      <c r="C4971" t="inlineStr">
        <is>
          <t>Vice-President, New Brunswick</t>
        </is>
      </c>
      <c r="D4971" t="inlineStr">
        <is>
          <t>Vice-président, Nouveau-Brunswick</t>
        </is>
      </c>
      <c r="E4971" t="inlineStr">
        <is>
          <t>Kent Estabrooks</t>
        </is>
      </c>
      <c r="F4971" t="inlineStr">
        <is>
          <t>Meeting with Agency officials</t>
        </is>
      </c>
      <c r="G4971" t="inlineStr">
        <is>
          <t>Réunion avec des fonctionnaires de l'Agence</t>
        </is>
      </c>
      <c r="H4971" s="1" t="n">
        <v>44087</v>
      </c>
      <c r="I4971" s="1" t="n">
        <v>44090</v>
      </c>
      <c r="J4971" t="inlineStr">
        <is>
          <t>Halifax, Nova Scotia</t>
        </is>
      </c>
      <c r="K4971" t="inlineStr">
        <is>
          <t>Halifax (Nouvelle-Écosse)</t>
        </is>
      </c>
      <c r="P4971" t="n">
        <v>0</v>
      </c>
      <c r="Q4971" t="n">
        <v>532.25</v>
      </c>
      <c r="R4971" t="n">
        <v>653.48</v>
      </c>
      <c r="S4971" t="n">
        <v>264.75</v>
      </c>
      <c r="T4971" t="n">
        <v>0</v>
      </c>
      <c r="U4971" t="n">
        <v>1450.48</v>
      </c>
      <c r="X4971" t="inlineStr">
        <is>
          <t>acoa-apeca</t>
        </is>
      </c>
      <c r="Y4971" t="inlineStr">
        <is>
          <t>Atlantic Canada Opportunities Agency | Agence de promotion économique du Canada atlantique</t>
        </is>
      </c>
    </row>
    <row r="4972">
      <c r="A4972" t="inlineStr">
        <is>
          <t>T-2021-Q3-00005</t>
        </is>
      </c>
      <c r="B4972" t="inlineStr">
        <is>
          <t>SLE</t>
        </is>
      </c>
      <c r="C4972" t="inlineStr">
        <is>
          <t>Vice-President, Prince Edward Island</t>
        </is>
      </c>
      <c r="D4972" t="inlineStr">
        <is>
          <t>Vice-président, Île-du-Prince-Édouard</t>
        </is>
      </c>
      <c r="E4972" t="inlineStr">
        <is>
          <t>Patrick Dorsey</t>
        </is>
      </c>
      <c r="F4972" t="inlineStr">
        <is>
          <t>Meeting with stakeholders and government officials</t>
        </is>
      </c>
      <c r="G4972" t="inlineStr">
        <is>
          <t>Réunion avec des intervenants et fonctionnaires</t>
        </is>
      </c>
      <c r="H4972" s="1" t="n">
        <v>44095</v>
      </c>
      <c r="I4972" s="1" t="n">
        <v>44095</v>
      </c>
      <c r="J4972" t="inlineStr">
        <is>
          <t>Moncton, New Brunswick</t>
        </is>
      </c>
      <c r="K4972" t="inlineStr">
        <is>
          <t>Moncton (Nouveau-Brunswick)</t>
        </is>
      </c>
      <c r="P4972" t="n">
        <v>0</v>
      </c>
      <c r="Q4972" t="n">
        <v>0</v>
      </c>
      <c r="R4972" t="n">
        <v>0</v>
      </c>
      <c r="S4972" t="n">
        <v>0</v>
      </c>
      <c r="T4972" t="n">
        <v>215.58</v>
      </c>
      <c r="U4972" t="n">
        <v>215.58</v>
      </c>
      <c r="X4972" t="inlineStr">
        <is>
          <t>acoa-apeca</t>
        </is>
      </c>
      <c r="Y4972" t="inlineStr">
        <is>
          <t>Atlantic Canada Opportunities Agency | Agence de promotion économique du Canada atlantique</t>
        </is>
      </c>
    </row>
    <row r="4973">
      <c r="A4973" t="inlineStr">
        <is>
          <t>T-2021-Q3-00004</t>
        </is>
      </c>
      <c r="B4973" t="inlineStr">
        <is>
          <t>SLE</t>
        </is>
      </c>
      <c r="C4973" t="inlineStr">
        <is>
          <t>Vice-President, Prince Edward Island</t>
        </is>
      </c>
      <c r="D4973" t="inlineStr">
        <is>
          <t>Vice-président, Île-du-Prince-Édouard</t>
        </is>
      </c>
      <c r="E4973" t="inlineStr">
        <is>
          <t>Patrick Dorsey</t>
        </is>
      </c>
      <c r="F4973" t="inlineStr">
        <is>
          <t>Meetings with stakeholders and federal government officials</t>
        </is>
      </c>
      <c r="G4973" t="inlineStr">
        <is>
          <t>Réunions avec des intervenants et des fonctionnaires fédéraux</t>
        </is>
      </c>
      <c r="H4973" s="1" t="n">
        <v>44087</v>
      </c>
      <c r="I4973" s="1" t="n">
        <v>44090</v>
      </c>
      <c r="J4973" t="inlineStr">
        <is>
          <t>Halifax, Nova Scotia</t>
        </is>
      </c>
      <c r="K4973" t="inlineStr">
        <is>
          <t>Halifax (Nouvelle-Écosse)</t>
        </is>
      </c>
      <c r="P4973" t="n">
        <v>0</v>
      </c>
      <c r="Q4973" t="n">
        <v>0</v>
      </c>
      <c r="R4973" t="n">
        <v>497.36</v>
      </c>
      <c r="S4973" t="n">
        <v>234.15</v>
      </c>
      <c r="T4973" t="n">
        <v>28.69</v>
      </c>
      <c r="U4973" t="n">
        <v>760.2</v>
      </c>
      <c r="X4973" t="inlineStr">
        <is>
          <t>acoa-apeca</t>
        </is>
      </c>
      <c r="Y4973" t="inlineStr">
        <is>
          <t>Atlantic Canada Opportunities Agency | Agence de promotion économique du Canada atlantique</t>
        </is>
      </c>
    </row>
    <row r="4974">
      <c r="A4974" t="inlineStr">
        <is>
          <t>T-2021-Q3-00003</t>
        </is>
      </c>
      <c r="B4974" t="inlineStr">
        <is>
          <t>SLE</t>
        </is>
      </c>
      <c r="C4974" t="inlineStr">
        <is>
          <t>Vice-President, Prince Edward Island</t>
        </is>
      </c>
      <c r="D4974" t="inlineStr">
        <is>
          <t>Vice-président, Île-du-Prince-Édouard</t>
        </is>
      </c>
      <c r="E4974" t="inlineStr">
        <is>
          <t>Patrick Dorsey</t>
        </is>
      </c>
      <c r="F4974" t="inlineStr">
        <is>
          <t>Meeting with federal government official and stakeholders</t>
        </is>
      </c>
      <c r="G4974" t="inlineStr">
        <is>
          <t>Réunion avec un fonctionnaire fédéral et des intervenants</t>
        </is>
      </c>
      <c r="H4974" s="1" t="n">
        <v>44083</v>
      </c>
      <c r="I4974" s="1" t="n">
        <v>44083</v>
      </c>
      <c r="J4974" t="inlineStr">
        <is>
          <t>Summerside, Prince Edward Island</t>
        </is>
      </c>
      <c r="K4974" t="inlineStr">
        <is>
          <t>Summerside (Île-du-Prince-Édouard)</t>
        </is>
      </c>
      <c r="P4974" t="n">
        <v>0</v>
      </c>
      <c r="Q4974" t="n">
        <v>0</v>
      </c>
      <c r="R4974" t="n">
        <v>0</v>
      </c>
      <c r="S4974" t="n">
        <v>20.9</v>
      </c>
      <c r="T4974" t="n">
        <v>58.2</v>
      </c>
      <c r="U4974" t="n">
        <v>79.09999999999999</v>
      </c>
      <c r="X4974" t="inlineStr">
        <is>
          <t>acoa-apeca</t>
        </is>
      </c>
      <c r="Y4974" t="inlineStr">
        <is>
          <t>Atlantic Canada Opportunities Agency | Agence de promotion économique du Canada atlantique</t>
        </is>
      </c>
    </row>
    <row r="4975">
      <c r="A4975" t="inlineStr">
        <is>
          <t>T-2021-Q3-00007</t>
        </is>
      </c>
      <c r="B4975" t="inlineStr">
        <is>
          <t>SLE</t>
        </is>
      </c>
      <c r="C4975" t="inlineStr">
        <is>
          <t>Vice-President, Newfoundland and Labrador</t>
        </is>
      </c>
      <c r="D4975" t="inlineStr">
        <is>
          <t>Vice-président, Terre-Neuve-et-Labrador</t>
        </is>
      </c>
      <c r="E4975" t="inlineStr">
        <is>
          <t>Karen Skinner</t>
        </is>
      </c>
      <c r="F4975" t="inlineStr">
        <is>
          <t>Attend meeting with senior government officials in Halifax, Nova Scotia</t>
        </is>
      </c>
      <c r="G4975" t="inlineStr">
        <is>
          <t>Assister à une réunion avec des hauts fonctionnaires à Halifax (Nouvelle-Écosse)</t>
        </is>
      </c>
      <c r="H4975" s="1" t="n">
        <v>44088</v>
      </c>
      <c r="I4975" s="1" t="n">
        <v>44090</v>
      </c>
      <c r="J4975" t="inlineStr">
        <is>
          <t>Halifax, Nova Scotia</t>
        </is>
      </c>
      <c r="K4975" t="inlineStr">
        <is>
          <t>Halifax (Nouvelle-Écosse)</t>
        </is>
      </c>
      <c r="P4975" t="n">
        <v>516.41</v>
      </c>
      <c r="Q4975" t="n">
        <v>114.42</v>
      </c>
      <c r="R4975" t="n">
        <v>443.4</v>
      </c>
      <c r="S4975" t="n">
        <v>175.3</v>
      </c>
      <c r="T4975" t="n">
        <v>0</v>
      </c>
      <c r="U4975" t="n">
        <v>1249.53</v>
      </c>
      <c r="X4975" t="inlineStr">
        <is>
          <t>acoa-apeca</t>
        </is>
      </c>
      <c r="Y4975" t="inlineStr">
        <is>
          <t>Atlantic Canada Opportunities Agency | Agence de promotion économique du Canada atlantique</t>
        </is>
      </c>
    </row>
    <row r="4976">
      <c r="A4976" t="inlineStr">
        <is>
          <t>T-2021-Q3-00008</t>
        </is>
      </c>
      <c r="B4976" t="inlineStr">
        <is>
          <t>SLE</t>
        </is>
      </c>
      <c r="C4976" t="inlineStr">
        <is>
          <t>Vice-President, Nova Scotia</t>
        </is>
      </c>
      <c r="D4976" t="inlineStr">
        <is>
          <t>Vice-président, Nouvelle-Écosse</t>
        </is>
      </c>
      <c r="E4976" t="inlineStr">
        <is>
          <t>Chuck Maillet</t>
        </is>
      </c>
      <c r="F4976" t="inlineStr">
        <is>
          <t>Stakeholder visits</t>
        </is>
      </c>
      <c r="G4976" t="inlineStr">
        <is>
          <t>Visites chez des intervenants</t>
        </is>
      </c>
      <c r="H4976" s="1" t="n">
        <v>44084</v>
      </c>
      <c r="I4976" s="1" t="n">
        <v>44085</v>
      </c>
      <c r="J4976" t="inlineStr">
        <is>
          <t xml:space="preserve">South West, Nova Scotia </t>
        </is>
      </c>
      <c r="K4976" t="inlineStr">
        <is>
          <t>Sud-ouest de la Nouvelle-Écosse</t>
        </is>
      </c>
      <c r="P4976" t="n">
        <v>0</v>
      </c>
      <c r="Q4976" t="n">
        <v>0</v>
      </c>
      <c r="R4976" t="n">
        <v>156.69</v>
      </c>
      <c r="S4976" t="n">
        <v>127.4</v>
      </c>
      <c r="T4976" t="n">
        <v>0</v>
      </c>
      <c r="U4976" t="n">
        <v>284.09</v>
      </c>
      <c r="X4976" t="inlineStr">
        <is>
          <t>acoa-apeca</t>
        </is>
      </c>
      <c r="Y4976" t="inlineStr">
        <is>
          <t>Atlantic Canada Opportunities Agency | Agence de promotion économique du Canada atlantique</t>
        </is>
      </c>
    </row>
    <row r="4977">
      <c r="A4977" t="inlineStr">
        <is>
          <t>T-2021-Q3-00002</t>
        </is>
      </c>
      <c r="B4977" t="inlineStr">
        <is>
          <t>SLE</t>
        </is>
      </c>
      <c r="C4977" t="inlineStr">
        <is>
          <t>President</t>
        </is>
      </c>
      <c r="D4977" t="inlineStr">
        <is>
          <t>Président</t>
        </is>
      </c>
      <c r="E4977" t="inlineStr">
        <is>
          <t>Francis McGuire</t>
        </is>
      </c>
      <c r="F4977" t="inlineStr">
        <is>
          <t>Meetings with government officials and various stakeholders</t>
        </is>
      </c>
      <c r="G4977" t="inlineStr">
        <is>
          <t>Réunions avec des fonctionnaires et divers intervenants</t>
        </is>
      </c>
      <c r="H4977" s="1" t="n">
        <v>44088</v>
      </c>
      <c r="I4977" s="1" t="n">
        <v>44090</v>
      </c>
      <c r="J4977" t="inlineStr">
        <is>
          <t>Halifax, Nova Scotia</t>
        </is>
      </c>
      <c r="K4977" t="inlineStr">
        <is>
          <t>Halifax (Nouvelle-Écosse)</t>
        </is>
      </c>
      <c r="P4977" t="n">
        <v>0</v>
      </c>
      <c r="Q4977" t="n">
        <v>265</v>
      </c>
      <c r="R4977" t="n">
        <v>443.4</v>
      </c>
      <c r="S4977" t="n">
        <v>175.3</v>
      </c>
      <c r="T4977" t="n">
        <v>57.5</v>
      </c>
      <c r="U4977" t="n">
        <v>941.2</v>
      </c>
      <c r="X4977" t="inlineStr">
        <is>
          <t>acoa-apeca</t>
        </is>
      </c>
      <c r="Y4977" t="inlineStr">
        <is>
          <t>Atlantic Canada Opportunities Agency | Agence de promotion économique du Canada atlantique</t>
        </is>
      </c>
    </row>
    <row r="4978">
      <c r="A4978" t="inlineStr">
        <is>
          <t>T-2021-Q3-00013</t>
        </is>
      </c>
      <c r="B4978" t="inlineStr">
        <is>
          <t>SLE</t>
        </is>
      </c>
      <c r="C4978" t="inlineStr">
        <is>
          <t>Vice-President, Nova Scotia</t>
        </is>
      </c>
      <c r="D4978" t="inlineStr">
        <is>
          <t>Vice-président, Nouvelle-Écosse</t>
        </is>
      </c>
      <c r="E4978" t="inlineStr">
        <is>
          <t>Chuck Maillet</t>
        </is>
      </c>
      <c r="F4978" t="inlineStr">
        <is>
          <t>Meetings with ACOA NS senior management and stakeholders</t>
        </is>
      </c>
      <c r="G4978" t="inlineStr">
        <is>
          <t>Réunions avec la haute direction du bureau de l'APECA en Nouvelle-Écosse et des intervenants</t>
        </is>
      </c>
      <c r="H4978" s="1" t="n">
        <v>44119</v>
      </c>
      <c r="I4978" s="1" t="n">
        <v>44120</v>
      </c>
      <c r="J4978" t="inlineStr">
        <is>
          <t xml:space="preserve">Stellarton, Pictou and New Glasgow, Nova Scotia </t>
        </is>
      </c>
      <c r="K4978" t="inlineStr">
        <is>
          <t>Stellarton, Pictou et New Glasgow (Nouvelle-Écosse)</t>
        </is>
      </c>
      <c r="P4978" t="n">
        <v>0</v>
      </c>
      <c r="Q4978" t="n">
        <v>0</v>
      </c>
      <c r="R4978" t="n">
        <v>120.23</v>
      </c>
      <c r="S4978" t="n">
        <v>149.15</v>
      </c>
      <c r="T4978" t="n">
        <v>0</v>
      </c>
      <c r="U4978" t="n">
        <v>269.38</v>
      </c>
      <c r="X4978" t="inlineStr">
        <is>
          <t>acoa-apeca</t>
        </is>
      </c>
      <c r="Y4978" t="inlineStr">
        <is>
          <t>Atlantic Canada Opportunities Agency | Agence de promotion économique du Canada atlantique</t>
        </is>
      </c>
    </row>
    <row r="4979">
      <c r="A4979" t="inlineStr">
        <is>
          <t>T-2021-Q3-00012</t>
        </is>
      </c>
      <c r="B4979" t="inlineStr">
        <is>
          <t>SLE</t>
        </is>
      </c>
      <c r="C4979" t="inlineStr">
        <is>
          <t>Vice-President, Nova Scotia</t>
        </is>
      </c>
      <c r="D4979" t="inlineStr">
        <is>
          <t>Vice-président, Nouvelle-Écosse</t>
        </is>
      </c>
      <c r="E4979" t="inlineStr">
        <is>
          <t>Chuck Maillet</t>
        </is>
      </c>
      <c r="F4979" t="inlineStr">
        <is>
          <t xml:space="preserve">Meetings with stakeholders and ACOA staff </t>
        </is>
      </c>
      <c r="G4979" t="inlineStr">
        <is>
          <t>Réunions avec des intervenants et des employés de l'APECA</t>
        </is>
      </c>
      <c r="H4979" s="1" t="n">
        <v>44109</v>
      </c>
      <c r="I4979" s="1" t="n">
        <v>44110</v>
      </c>
      <c r="J4979" t="inlineStr">
        <is>
          <t>Sydney and Baddeck, Nova Scotia</t>
        </is>
      </c>
      <c r="K4979" t="inlineStr">
        <is>
          <t>Sydney et Baddeck (Nouvelle-Écosse)</t>
        </is>
      </c>
      <c r="P4979" t="n">
        <v>0</v>
      </c>
      <c r="Q4979" t="n">
        <v>0</v>
      </c>
      <c r="R4979" t="n">
        <v>181.82</v>
      </c>
      <c r="S4979" t="n">
        <v>199.55</v>
      </c>
      <c r="T4979" t="n">
        <v>0</v>
      </c>
      <c r="U4979" t="n">
        <v>381.37</v>
      </c>
      <c r="X4979" t="inlineStr">
        <is>
          <t>acoa-apeca</t>
        </is>
      </c>
      <c r="Y4979" t="inlineStr">
        <is>
          <t>Atlantic Canada Opportunities Agency | Agence de promotion économique du Canada atlantique</t>
        </is>
      </c>
    </row>
    <row r="4980">
      <c r="A4980" t="inlineStr">
        <is>
          <t>T-2021-Q3-00010</t>
        </is>
      </c>
      <c r="B4980" t="inlineStr">
        <is>
          <t>SLE</t>
        </is>
      </c>
      <c r="C4980" t="inlineStr">
        <is>
          <t>President</t>
        </is>
      </c>
      <c r="D4980" t="inlineStr">
        <is>
          <t>Président</t>
        </is>
      </c>
      <c r="E4980" t="inlineStr">
        <is>
          <t>Francis McGuire</t>
        </is>
      </c>
      <c r="F4980" t="inlineStr">
        <is>
          <t>Meetings with Government of Canada officials and various stakeholders</t>
        </is>
      </c>
      <c r="G4980" t="inlineStr">
        <is>
          <t>Réunions avec des fonctionnaires du gouvernement du Canada et divers intervenants</t>
        </is>
      </c>
      <c r="H4980" s="1" t="n">
        <v>44120</v>
      </c>
      <c r="I4980" s="1" t="n">
        <v>44120</v>
      </c>
      <c r="J4980" t="inlineStr">
        <is>
          <t>Saint John, New Brunswick</t>
        </is>
      </c>
      <c r="K4980" t="inlineStr">
        <is>
          <t>Saint John (Nouveau-Brunswick)</t>
        </is>
      </c>
      <c r="P4980" t="n">
        <v>0</v>
      </c>
      <c r="Q4980" t="n">
        <v>0</v>
      </c>
      <c r="R4980" t="n">
        <v>0</v>
      </c>
      <c r="S4980" t="n">
        <v>51.65</v>
      </c>
      <c r="T4980" t="n">
        <v>0</v>
      </c>
      <c r="U4980" t="n">
        <v>51.65</v>
      </c>
      <c r="X4980" t="inlineStr">
        <is>
          <t>acoa-apeca</t>
        </is>
      </c>
      <c r="Y4980" t="inlineStr">
        <is>
          <t>Atlantic Canada Opportunities Agency | Agence de promotion économique du Canada atlantique</t>
        </is>
      </c>
    </row>
    <row r="4981">
      <c r="A4981" t="inlineStr">
        <is>
          <t>T-2021-Q3-00009</t>
        </is>
      </c>
      <c r="B4981" t="inlineStr">
        <is>
          <t>SLE</t>
        </is>
      </c>
      <c r="C4981" t="inlineStr">
        <is>
          <t>President</t>
        </is>
      </c>
      <c r="D4981" t="inlineStr">
        <is>
          <t>Président</t>
        </is>
      </c>
      <c r="E4981" t="inlineStr">
        <is>
          <t>Francis McGuire</t>
        </is>
      </c>
      <c r="F4981" t="inlineStr">
        <is>
          <t>Meetings with Government of Canada officials and various stakeholders</t>
        </is>
      </c>
      <c r="G4981" t="inlineStr">
        <is>
          <t>Réunions avec des fonctionnaires du gouvernement du Canada et divers intervenants</t>
        </is>
      </c>
      <c r="H4981" s="1" t="n">
        <v>44126</v>
      </c>
      <c r="I4981" s="1" t="n">
        <v>44127</v>
      </c>
      <c r="J4981" t="inlineStr">
        <is>
          <t>Halifax, Nova Scotia</t>
        </is>
      </c>
      <c r="K4981" t="inlineStr">
        <is>
          <t>Halifax (Nouvelle-Écosse)</t>
        </is>
      </c>
      <c r="P4981" t="n">
        <v>0</v>
      </c>
      <c r="Q4981" t="n">
        <v>263.61</v>
      </c>
      <c r="R4981" t="n">
        <v>210.08</v>
      </c>
      <c r="S4981" t="n">
        <v>179.75</v>
      </c>
      <c r="T4981" t="n">
        <v>65.5</v>
      </c>
      <c r="U4981" t="n">
        <v>718.9400000000001</v>
      </c>
      <c r="X4981" t="inlineStr">
        <is>
          <t>acoa-apeca</t>
        </is>
      </c>
      <c r="Y4981" t="inlineStr">
        <is>
          <t>Atlantic Canada Opportunities Agency | Agence de promotion économique du Canada atlantique</t>
        </is>
      </c>
    </row>
    <row r="4982">
      <c r="A4982" t="inlineStr">
        <is>
          <t>T-2021-Q3-00011</t>
        </is>
      </c>
      <c r="B4982" t="inlineStr">
        <is>
          <t>SLE</t>
        </is>
      </c>
      <c r="C4982" t="inlineStr">
        <is>
          <t>Vice-President, Finance and Corporate Services</t>
        </is>
      </c>
      <c r="D4982" t="inlineStr">
        <is>
          <t>Vice-président, Finance et Services corporatifs</t>
        </is>
      </c>
      <c r="E4982" t="inlineStr">
        <is>
          <t>Stephane Lagace</t>
        </is>
      </c>
      <c r="F4982" t="inlineStr">
        <is>
          <t>Meeting with ACOA officials</t>
        </is>
      </c>
      <c r="G4982" t="inlineStr">
        <is>
          <t>Réunion avec des fonctionnaires de l'APECA</t>
        </is>
      </c>
      <c r="H4982" s="1" t="n">
        <v>44088</v>
      </c>
      <c r="I4982" s="1" t="n">
        <v>44090</v>
      </c>
      <c r="J4982" t="inlineStr">
        <is>
          <t>Halifax, Nova Scotia</t>
        </is>
      </c>
      <c r="K4982" t="inlineStr">
        <is>
          <t>Halifax (Nouvelle-Écosse)</t>
        </is>
      </c>
      <c r="P4982" t="n">
        <v>0</v>
      </c>
      <c r="Q4982" t="n">
        <v>253</v>
      </c>
      <c r="R4982" t="n">
        <v>443</v>
      </c>
      <c r="S4982" t="n">
        <v>124.05</v>
      </c>
      <c r="T4982" t="n">
        <v>67.5</v>
      </c>
      <c r="U4982" t="n">
        <v>887.55</v>
      </c>
      <c r="X4982" t="inlineStr">
        <is>
          <t>acoa-apeca</t>
        </is>
      </c>
      <c r="Y4982" t="inlineStr">
        <is>
          <t>Atlantic Canada Opportunities Agency | Agence de promotion économique du Canada atlantique</t>
        </is>
      </c>
    </row>
    <row r="4983">
      <c r="A4983" t="inlineStr">
        <is>
          <t>T-2021-Q3-00018</t>
        </is>
      </c>
      <c r="B4983" t="inlineStr">
        <is>
          <t>SLE</t>
        </is>
      </c>
      <c r="C4983" t="inlineStr">
        <is>
          <t>Vice-President, New Brunswick</t>
        </is>
      </c>
      <c r="D4983" t="inlineStr">
        <is>
          <t>Vice-président, Nouveau-Brunswick</t>
        </is>
      </c>
      <c r="E4983" t="inlineStr">
        <is>
          <t>Kent Estabrooks</t>
        </is>
      </c>
      <c r="F4983" t="inlineStr">
        <is>
          <t>Meeting with Provincial and Federal officials</t>
        </is>
      </c>
      <c r="G4983" t="inlineStr">
        <is>
          <t>Réunion avec des fonctionnaires provinciaux et fédéraux</t>
        </is>
      </c>
      <c r="H4983" s="1" t="n">
        <v>44140</v>
      </c>
      <c r="I4983" s="1" t="n">
        <v>44141</v>
      </c>
      <c r="J4983" t="inlineStr">
        <is>
          <t>St. Andrews, New Brunswick</t>
        </is>
      </c>
      <c r="K4983" t="inlineStr">
        <is>
          <t>St. Andrews (Nouveau-Brunswick)</t>
        </is>
      </c>
      <c r="P4983" t="n">
        <v>0</v>
      </c>
      <c r="Q4983" t="n">
        <v>132.82</v>
      </c>
      <c r="R4983" t="n">
        <v>164.65</v>
      </c>
      <c r="S4983" t="n">
        <v>128.35</v>
      </c>
      <c r="T4983" t="n">
        <v>0</v>
      </c>
      <c r="U4983" t="n">
        <v>425.82</v>
      </c>
      <c r="X4983" t="inlineStr">
        <is>
          <t>acoa-apeca</t>
        </is>
      </c>
      <c r="Y4983" t="inlineStr">
        <is>
          <t>Atlantic Canada Opportunities Agency | Agence de promotion économique du Canada atlantique</t>
        </is>
      </c>
    </row>
    <row r="4984">
      <c r="A4984" t="inlineStr">
        <is>
          <t>T-2021-Q3-00017</t>
        </is>
      </c>
      <c r="B4984" t="inlineStr">
        <is>
          <t>SLE</t>
        </is>
      </c>
      <c r="C4984" t="inlineStr">
        <is>
          <t>Vice-President, New Brunswick</t>
        </is>
      </c>
      <c r="D4984" t="inlineStr">
        <is>
          <t>Vice-président, Nouveau-Brunswick</t>
        </is>
      </c>
      <c r="E4984" t="inlineStr">
        <is>
          <t>Kent Estabrooks</t>
        </is>
      </c>
      <c r="F4984" t="inlineStr">
        <is>
          <t>Meeting with Agency officials</t>
        </is>
      </c>
      <c r="G4984" t="inlineStr">
        <is>
          <t>Réunion avec des fonctionnaires de l'Agence</t>
        </is>
      </c>
      <c r="H4984" s="1" t="n">
        <v>44153</v>
      </c>
      <c r="I4984" s="1" t="n">
        <v>44154</v>
      </c>
      <c r="J4984" t="inlineStr">
        <is>
          <t>Moncton, New Brunswick</t>
        </is>
      </c>
      <c r="K4984" t="inlineStr">
        <is>
          <t>Moncton (Nouveau-Brunswick)</t>
        </is>
      </c>
      <c r="P4984" t="n">
        <v>0</v>
      </c>
      <c r="Q4984" t="n">
        <v>18.4</v>
      </c>
      <c r="R4984" t="n">
        <v>173.78</v>
      </c>
      <c r="S4984" t="n">
        <v>128.35</v>
      </c>
      <c r="T4984" t="n">
        <v>0</v>
      </c>
      <c r="U4984" t="n">
        <v>320.53</v>
      </c>
      <c r="X4984" t="inlineStr">
        <is>
          <t>acoa-apeca</t>
        </is>
      </c>
      <c r="Y4984" t="inlineStr">
        <is>
          <t>Atlantic Canada Opportunities Agency | Agence de promotion économique du Canada atlantique</t>
        </is>
      </c>
    </row>
    <row r="4985">
      <c r="A4985" t="inlineStr">
        <is>
          <t>T-2021-Q3-00016</t>
        </is>
      </c>
      <c r="B4985" t="inlineStr">
        <is>
          <t>SLE</t>
        </is>
      </c>
      <c r="C4985" t="inlineStr">
        <is>
          <t>Vice-President, Prince Edward Island</t>
        </is>
      </c>
      <c r="D4985" t="inlineStr">
        <is>
          <t>Vice-président, Île-du-Prince-Édouard</t>
        </is>
      </c>
      <c r="E4985" t="inlineStr">
        <is>
          <t>Patrick Dorsey</t>
        </is>
      </c>
      <c r="F4985" t="inlineStr">
        <is>
          <t>Meeting with federal government official</t>
        </is>
      </c>
      <c r="G4985" t="inlineStr">
        <is>
          <t>Réunion avec un fonctionnaire du gouvernement fédéral</t>
        </is>
      </c>
      <c r="H4985" s="1" t="n">
        <v>44138</v>
      </c>
      <c r="I4985" s="1" t="n">
        <v>44138</v>
      </c>
      <c r="J4985" t="inlineStr">
        <is>
          <t>Miminegash, Prince Edward Island</t>
        </is>
      </c>
      <c r="K4985" t="inlineStr">
        <is>
          <t>Miminegash (Île-du-Prince-Édouard)</t>
        </is>
      </c>
      <c r="P4985" t="n">
        <v>0</v>
      </c>
      <c r="Q4985" t="n">
        <v>0</v>
      </c>
      <c r="R4985" t="n">
        <v>0</v>
      </c>
      <c r="S4985" t="n">
        <v>21.05</v>
      </c>
      <c r="T4985" t="n">
        <v>0</v>
      </c>
      <c r="U4985" t="n">
        <v>21.05</v>
      </c>
      <c r="X4985" t="inlineStr">
        <is>
          <t>acoa-apeca</t>
        </is>
      </c>
      <c r="Y4985" t="inlineStr">
        <is>
          <t>Atlantic Canada Opportunities Agency | Agence de promotion économique du Canada atlantique</t>
        </is>
      </c>
    </row>
    <row r="4986">
      <c r="A4986" t="inlineStr">
        <is>
          <t>T-2021-Q3-00015</t>
        </is>
      </c>
      <c r="B4986" t="inlineStr">
        <is>
          <t>SLE</t>
        </is>
      </c>
      <c r="C4986" t="inlineStr">
        <is>
          <t>President</t>
        </is>
      </c>
      <c r="D4986" t="inlineStr">
        <is>
          <t>Président</t>
        </is>
      </c>
      <c r="E4986" t="inlineStr">
        <is>
          <t>Francis McGuire</t>
        </is>
      </c>
      <c r="F4986" t="inlineStr">
        <is>
          <t>Meetings with Government of Canada and Government of NB officials</t>
        </is>
      </c>
      <c r="G4986" t="inlineStr">
        <is>
          <t>Réunions avec des fonctionnaires du gouvernement du Canada et du gouvernement du Nouveau-Brunswick</t>
        </is>
      </c>
      <c r="H4986" s="1" t="n">
        <v>44140</v>
      </c>
      <c r="I4986" s="1" t="n">
        <v>44141</v>
      </c>
      <c r="J4986" t="inlineStr">
        <is>
          <t>St. Andrews, New Brunswick</t>
        </is>
      </c>
      <c r="K4986" t="inlineStr">
        <is>
          <t>St. Andrews (Nouveau-Brunswick)</t>
        </is>
      </c>
      <c r="P4986" t="n">
        <v>0</v>
      </c>
      <c r="Q4986" t="n">
        <v>0</v>
      </c>
      <c r="R4986" t="n">
        <v>148.06</v>
      </c>
      <c r="S4986" t="n">
        <v>128.1</v>
      </c>
      <c r="T4986" t="n">
        <v>0</v>
      </c>
      <c r="U4986" t="n">
        <v>276.16</v>
      </c>
      <c r="X4986" t="inlineStr">
        <is>
          <t>acoa-apeca</t>
        </is>
      </c>
      <c r="Y4986" t="inlineStr">
        <is>
          <t>Atlantic Canada Opportunities Agency | Agence de promotion économique du Canada atlantique</t>
        </is>
      </c>
    </row>
    <row r="4987">
      <c r="A4987" t="inlineStr">
        <is>
          <t>T-2021-Q3-00014</t>
        </is>
      </c>
      <c r="B4987" t="inlineStr">
        <is>
          <t>SLE</t>
        </is>
      </c>
      <c r="C4987" t="inlineStr">
        <is>
          <t>President</t>
        </is>
      </c>
      <c r="D4987" t="inlineStr">
        <is>
          <t>Président</t>
        </is>
      </c>
      <c r="E4987" t="inlineStr">
        <is>
          <t>Francis McGuire</t>
        </is>
      </c>
      <c r="F4987" t="inlineStr">
        <is>
          <t>Meetings with Government of Canada officials and various stakeholders</t>
        </is>
      </c>
      <c r="G4987" t="inlineStr">
        <is>
          <t>Réunions avec des fonctionnaires du gouvernement du Canada et divers intervenants</t>
        </is>
      </c>
      <c r="H4987" s="1" t="n">
        <v>44144</v>
      </c>
      <c r="I4987" s="1" t="n">
        <v>44145</v>
      </c>
      <c r="J4987" t="inlineStr">
        <is>
          <t>Edmundston, New Brunswick</t>
        </is>
      </c>
      <c r="K4987" t="inlineStr">
        <is>
          <t>Edmundston (Nouveau-Brunswick)</t>
        </is>
      </c>
      <c r="P4987" t="n">
        <v>0</v>
      </c>
      <c r="Q4987" t="n">
        <v>0</v>
      </c>
      <c r="R4987" t="n">
        <v>139.15</v>
      </c>
      <c r="S4987" t="n">
        <v>107.05</v>
      </c>
      <c r="T4987" t="n">
        <v>5.25</v>
      </c>
      <c r="U4987" t="n">
        <v>251.45</v>
      </c>
      <c r="X4987" t="inlineStr">
        <is>
          <t>acoa-apeca</t>
        </is>
      </c>
      <c r="Y4987" t="inlineStr">
        <is>
          <t>Atlantic Canada Opportunities Agency | Agence de promotion économique du Canada atlantique</t>
        </is>
      </c>
    </row>
    <row r="4988">
      <c r="A4988" t="inlineStr">
        <is>
          <t>T-2021-Q4-00001</t>
        </is>
      </c>
      <c r="B4988" t="inlineStr">
        <is>
          <t>SLE</t>
        </is>
      </c>
      <c r="C4988" t="inlineStr">
        <is>
          <t>Vice-President, New Brunswick</t>
        </is>
      </c>
      <c r="D4988" t="inlineStr">
        <is>
          <t>Vice-président, Nouveau-Brunswick</t>
        </is>
      </c>
      <c r="E4988" t="inlineStr">
        <is>
          <t>Kent Estabrooks</t>
        </is>
      </c>
      <c r="F4988" t="inlineStr">
        <is>
          <t>External stakeholders meeting</t>
        </is>
      </c>
      <c r="G4988" t="inlineStr">
        <is>
          <t>Réunion avec des intervenants externes</t>
        </is>
      </c>
      <c r="H4988" s="1" t="n">
        <v>44182</v>
      </c>
      <c r="I4988" s="1" t="n">
        <v>44182</v>
      </c>
      <c r="J4988" t="inlineStr">
        <is>
          <t>Saint John, New Brunswick</t>
        </is>
      </c>
      <c r="K4988" t="inlineStr">
        <is>
          <t>Saint John (Nouveau-Brunswick)</t>
        </is>
      </c>
      <c r="P4988" t="n">
        <v>0</v>
      </c>
      <c r="Q4988" t="n">
        <v>0</v>
      </c>
      <c r="R4988" t="n">
        <v>0</v>
      </c>
      <c r="S4988" t="n">
        <v>51.65</v>
      </c>
      <c r="T4988" t="n">
        <v>0</v>
      </c>
      <c r="U4988" t="n">
        <v>51.65</v>
      </c>
      <c r="X4988" t="inlineStr">
        <is>
          <t>acoa-apeca</t>
        </is>
      </c>
      <c r="Y4988" t="inlineStr">
        <is>
          <t>Atlantic Canada Opportunities Agency | Agence de promotion économique du Canada atlantique</t>
        </is>
      </c>
    </row>
    <row r="4989">
      <c r="A4989" t="inlineStr">
        <is>
          <t>T-2021-Q4-00002</t>
        </is>
      </c>
      <c r="B4989" t="inlineStr">
        <is>
          <t>SLE</t>
        </is>
      </c>
      <c r="C4989" t="inlineStr">
        <is>
          <t>Vice-President, Nova Scotia</t>
        </is>
      </c>
      <c r="D4989" t="inlineStr">
        <is>
          <t>Vice-président, Nouvelle-Écosse</t>
        </is>
      </c>
      <c r="E4989" t="inlineStr">
        <is>
          <t>Chuck Maillet</t>
        </is>
      </c>
      <c r="F4989" t="inlineStr">
        <is>
          <t>Meetings with ACOA staff and stakeholders</t>
        </is>
      </c>
      <c r="G4989" t="inlineStr">
        <is>
          <t>Réunions avec des employés de l'APECA et des intervenants</t>
        </is>
      </c>
      <c r="H4989" s="1" t="n">
        <v>44231</v>
      </c>
      <c r="I4989" s="1" t="n">
        <v>44232</v>
      </c>
      <c r="J4989" t="inlineStr">
        <is>
          <t>Various South West Nova Scotia locations</t>
        </is>
      </c>
      <c r="K4989" t="inlineStr">
        <is>
          <t>Divers endroits du sud-ouest de la Nouvelle-Écosse</t>
        </is>
      </c>
      <c r="P4989" t="n">
        <v>0</v>
      </c>
      <c r="Q4989" t="n">
        <v>277.68</v>
      </c>
      <c r="R4989" t="n">
        <v>0</v>
      </c>
      <c r="S4989" t="n">
        <v>93.5</v>
      </c>
      <c r="T4989" t="n">
        <v>0</v>
      </c>
      <c r="U4989" t="n">
        <v>371.18</v>
      </c>
      <c r="X4989" t="inlineStr">
        <is>
          <t>acoa-apeca</t>
        </is>
      </c>
      <c r="Y4989" t="inlineStr">
        <is>
          <t>Atlantic Canada Opportunities Agency | Agence de promotion économique du Canada atlantique</t>
        </is>
      </c>
    </row>
    <row r="4990">
      <c r="A4990" t="inlineStr">
        <is>
          <t>T-2022-Q1-00001</t>
        </is>
      </c>
      <c r="B4990" t="inlineStr">
        <is>
          <t>SLE</t>
        </is>
      </c>
      <c r="C4990" t="inlineStr">
        <is>
          <t>President</t>
        </is>
      </c>
      <c r="D4990" t="inlineStr">
        <is>
          <t>Président</t>
        </is>
      </c>
      <c r="E4990" t="inlineStr">
        <is>
          <t>Francis McGuire</t>
        </is>
      </c>
      <c r="F4990" t="inlineStr">
        <is>
          <t>Meetings with government and private sector officials</t>
        </is>
      </c>
      <c r="G4990" t="inlineStr">
        <is>
          <t>Réunions avec des fonctionnaires et des représentants du secteur privé</t>
        </is>
      </c>
      <c r="H4990" s="1" t="n">
        <v>44273</v>
      </c>
      <c r="I4990" s="1" t="n">
        <v>44273</v>
      </c>
      <c r="J4990" t="inlineStr">
        <is>
          <t>Saint John, New Brunswick</t>
        </is>
      </c>
      <c r="K4990" t="inlineStr">
        <is>
          <t>Saint John (Nouveau-Brunswick)</t>
        </is>
      </c>
      <c r="P4990" t="n">
        <v>0</v>
      </c>
      <c r="Q4990" t="n">
        <v>124.63</v>
      </c>
      <c r="R4990" t="n">
        <v>0</v>
      </c>
      <c r="S4990" t="n">
        <v>21.05</v>
      </c>
      <c r="T4990" t="n">
        <v>0</v>
      </c>
      <c r="U4990" t="n">
        <v>145.68</v>
      </c>
      <c r="X4990" t="inlineStr">
        <is>
          <t>acoa-apeca</t>
        </is>
      </c>
      <c r="Y4990" t="inlineStr">
        <is>
          <t>Atlantic Canada Opportunities Agency | Agence de promotion économique du Canada atlantique</t>
        </is>
      </c>
    </row>
    <row r="4991">
      <c r="A4991" t="inlineStr">
        <is>
          <t>T-2022-Q1-00003</t>
        </is>
      </c>
      <c r="B4991" t="inlineStr">
        <is>
          <t>SLE</t>
        </is>
      </c>
      <c r="C4991" t="inlineStr">
        <is>
          <t>Vice-President, Prince Edward Island</t>
        </is>
      </c>
      <c r="D4991" t="inlineStr">
        <is>
          <t>Vice-président, Île-du-Prince-Édouard</t>
        </is>
      </c>
      <c r="E4991" t="inlineStr">
        <is>
          <t>Patrick Dorsey</t>
        </is>
      </c>
      <c r="F4991" t="inlineStr">
        <is>
          <t>Meeting with federal government official</t>
        </is>
      </c>
      <c r="G4991" t="inlineStr">
        <is>
          <t>Rencontre avec un fonctionnaire fédéral</t>
        </is>
      </c>
      <c r="H4991" s="1" t="n">
        <v>44286</v>
      </c>
      <c r="I4991" s="1" t="n">
        <v>44286</v>
      </c>
      <c r="J4991" t="inlineStr">
        <is>
          <t>Summerside, Prince Edward Island</t>
        </is>
      </c>
      <c r="K4991" t="inlineStr">
        <is>
          <t>Summerside (Île-du-Prince-Édouard)</t>
        </is>
      </c>
      <c r="P4991" t="n">
        <v>0</v>
      </c>
      <c r="Q4991" t="n">
        <v>61</v>
      </c>
      <c r="R4991" t="n">
        <v>0</v>
      </c>
      <c r="S4991" t="n">
        <v>0</v>
      </c>
      <c r="T4991" t="n">
        <v>0</v>
      </c>
      <c r="U4991" t="n">
        <v>61</v>
      </c>
      <c r="X4991" t="inlineStr">
        <is>
          <t>acoa-apeca</t>
        </is>
      </c>
      <c r="Y4991" t="inlineStr">
        <is>
          <t>Atlantic Canada Opportunities Agency | Agence de promotion économique du Canada atlantique</t>
        </is>
      </c>
    </row>
    <row r="4992">
      <c r="A4992" t="inlineStr">
        <is>
          <t>T-2022-Q1-00002</t>
        </is>
      </c>
      <c r="B4992" t="inlineStr">
        <is>
          <t>SLE</t>
        </is>
      </c>
      <c r="C4992" t="inlineStr">
        <is>
          <t>Vice-President, Prince Edward Island</t>
        </is>
      </c>
      <c r="D4992" t="inlineStr">
        <is>
          <t>Vice-président, Île-du-Prince-Édouard</t>
        </is>
      </c>
      <c r="E4992" t="inlineStr">
        <is>
          <t>Patrick Dorsey</t>
        </is>
      </c>
      <c r="F4992" t="inlineStr">
        <is>
          <t>To attend a meeting with stakeholders</t>
        </is>
      </c>
      <c r="G4992" t="inlineStr">
        <is>
          <t>Participer à une rencontre avec des intervenants</t>
        </is>
      </c>
      <c r="H4992" s="1" t="n">
        <v>44277</v>
      </c>
      <c r="I4992" s="1" t="n">
        <v>44277</v>
      </c>
      <c r="J4992" t="inlineStr">
        <is>
          <t>Georgetown, Prince Edward Island</t>
        </is>
      </c>
      <c r="K4992" t="inlineStr">
        <is>
          <t>Georgetown (Île-du-Prince-Édouard)</t>
        </is>
      </c>
      <c r="P4992" t="n">
        <v>0</v>
      </c>
      <c r="Q4992" t="n">
        <v>52.5</v>
      </c>
      <c r="R4992" t="n">
        <v>0</v>
      </c>
      <c r="S4992" t="n">
        <v>0</v>
      </c>
      <c r="T4992" t="n">
        <v>0</v>
      </c>
      <c r="U4992" t="n">
        <v>52.5</v>
      </c>
      <c r="X4992" t="inlineStr">
        <is>
          <t>acoa-apeca</t>
        </is>
      </c>
      <c r="Y4992" t="inlineStr">
        <is>
          <t>Atlantic Canada Opportunities Agency | Agence de promotion économique du Canada atlantique</t>
        </is>
      </c>
    </row>
    <row r="4993">
      <c r="A4993" t="inlineStr">
        <is>
          <t>T-2022-Q1-00004</t>
        </is>
      </c>
      <c r="B4993" t="inlineStr">
        <is>
          <t>SLE</t>
        </is>
      </c>
      <c r="C4993" t="inlineStr">
        <is>
          <t>Vice-President, Prince Edward Island</t>
        </is>
      </c>
      <c r="D4993" t="inlineStr">
        <is>
          <t>Vice-président, Île-du-Prince-Édouard</t>
        </is>
      </c>
      <c r="E4993" t="inlineStr">
        <is>
          <t>Patrick Dorsey</t>
        </is>
      </c>
      <c r="F4993" t="inlineStr">
        <is>
          <t>Stakeholder meeting</t>
        </is>
      </c>
      <c r="G4993" t="inlineStr">
        <is>
          <t>Réunion avec un intervenant</t>
        </is>
      </c>
      <c r="H4993" s="1" t="n">
        <v>44294</v>
      </c>
      <c r="I4993" s="1" t="n">
        <v>44294</v>
      </c>
      <c r="J4993" t="inlineStr">
        <is>
          <t>Souris, Prince Edward Island</t>
        </is>
      </c>
      <c r="K4993" t="inlineStr">
        <is>
          <t>Souris (Île-du-Prince-Édouard)</t>
        </is>
      </c>
      <c r="P4993" t="n">
        <v>0</v>
      </c>
      <c r="Q4993" t="n">
        <v>0</v>
      </c>
      <c r="R4993" t="n">
        <v>0</v>
      </c>
      <c r="S4993" t="n">
        <v>21.35</v>
      </c>
      <c r="T4993" t="n">
        <v>0</v>
      </c>
      <c r="U4993" t="n">
        <v>21.35</v>
      </c>
      <c r="X4993" t="inlineStr">
        <is>
          <t>acoa-apeca</t>
        </is>
      </c>
      <c r="Y4993" t="inlineStr">
        <is>
          <t>Atlantic Canada Opportunities Agency | Agence de promotion économique du Canada atlantique</t>
        </is>
      </c>
    </row>
    <row r="4994">
      <c r="A4994" t="inlineStr">
        <is>
          <t>T-2022-Q1-00006</t>
        </is>
      </c>
      <c r="B4994" t="inlineStr">
        <is>
          <t>SLE</t>
        </is>
      </c>
      <c r="C4994" t="inlineStr">
        <is>
          <t>Vice-President, Prince Edward Island</t>
        </is>
      </c>
      <c r="D4994" t="inlineStr">
        <is>
          <t>Vice-président, Île-du-Prince-Édouard</t>
        </is>
      </c>
      <c r="E4994" t="inlineStr">
        <is>
          <t>Patrick Dorsey</t>
        </is>
      </c>
      <c r="F4994" t="inlineStr">
        <is>
          <t>Stakeholder meeting</t>
        </is>
      </c>
      <c r="G4994" t="inlineStr">
        <is>
          <t>Réunion d'intervenants</t>
        </is>
      </c>
      <c r="H4994" s="1" t="n">
        <v>44344</v>
      </c>
      <c r="I4994" s="1" t="n">
        <v>44344</v>
      </c>
      <c r="J4994" t="inlineStr">
        <is>
          <t>Morell, Prince Edward Island</t>
        </is>
      </c>
      <c r="K4994" t="inlineStr">
        <is>
          <t>Morell (Île-du-Prince-Édouard)</t>
        </is>
      </c>
      <c r="P4994" t="n">
        <v>0</v>
      </c>
      <c r="Q4994" t="n">
        <v>0</v>
      </c>
      <c r="R4994" t="n">
        <v>0</v>
      </c>
      <c r="S4994" t="n">
        <v>0</v>
      </c>
      <c r="T4994" t="n">
        <v>45.39</v>
      </c>
      <c r="U4994" t="n">
        <v>45.39</v>
      </c>
      <c r="X4994" t="inlineStr">
        <is>
          <t>acoa-apeca</t>
        </is>
      </c>
      <c r="Y4994" t="inlineStr">
        <is>
          <t>Atlantic Canada Opportunities Agency | Agence de promotion économique du Canada atlantique</t>
        </is>
      </c>
    </row>
    <row r="4995">
      <c r="A4995" t="inlineStr">
        <is>
          <t>T-2022-Q1-00005</t>
        </is>
      </c>
      <c r="B4995" t="inlineStr">
        <is>
          <t>SLE</t>
        </is>
      </c>
      <c r="C4995" t="inlineStr">
        <is>
          <t>Vice-President, Prince Edward Island</t>
        </is>
      </c>
      <c r="D4995" t="inlineStr">
        <is>
          <t>Vice-président, Île-du-Prince-Édouard</t>
        </is>
      </c>
      <c r="E4995" t="inlineStr">
        <is>
          <t>Patrick Dorsey</t>
        </is>
      </c>
      <c r="F4995" t="inlineStr">
        <is>
          <t>Operational requirements (meetings)</t>
        </is>
      </c>
      <c r="G4995" t="inlineStr">
        <is>
          <t>Exigences opérationnelles (réunions)</t>
        </is>
      </c>
      <c r="H4995" s="1" t="n">
        <v>44320</v>
      </c>
      <c r="I4995" s="1" t="n">
        <v>44320</v>
      </c>
      <c r="J4995" t="inlineStr">
        <is>
          <t>Kensington, Prince Edward Island</t>
        </is>
      </c>
      <c r="K4995" t="inlineStr">
        <is>
          <t>Kensington (Île-du-Prince-Édouard)</t>
        </is>
      </c>
      <c r="P4995" t="n">
        <v>0</v>
      </c>
      <c r="Q4995" t="n">
        <v>0</v>
      </c>
      <c r="R4995" t="n">
        <v>0</v>
      </c>
      <c r="S4995" t="n">
        <v>0</v>
      </c>
      <c r="T4995" t="n">
        <v>54.06</v>
      </c>
      <c r="U4995" t="n">
        <v>54.06</v>
      </c>
      <c r="X4995" t="inlineStr">
        <is>
          <t>acoa-apeca</t>
        </is>
      </c>
      <c r="Y4995" t="inlineStr">
        <is>
          <t>Atlantic Canada Opportunities Agency | Agence de promotion économique du Canada atlantique</t>
        </is>
      </c>
    </row>
    <row r="4996">
      <c r="A4996" t="inlineStr">
        <is>
          <t>T-2022-Q2-00002</t>
        </is>
      </c>
      <c r="B4996" t="inlineStr">
        <is>
          <t>SLE</t>
        </is>
      </c>
      <c r="C4996" t="inlineStr">
        <is>
          <t>Vice-President, Nova Scotia</t>
        </is>
      </c>
      <c r="D4996" t="inlineStr">
        <is>
          <t>Vice-président, Nouvelle-Écosse</t>
        </is>
      </c>
      <c r="E4996" t="inlineStr">
        <is>
          <t>Chuck Maillet</t>
        </is>
      </c>
      <c r="F4996" t="inlineStr">
        <is>
          <t>Meetings with ACOA officials, clients and stakeholders</t>
        </is>
      </c>
      <c r="G4996" t="inlineStr">
        <is>
          <t>Réunions avec des fonctionnaires de l'APECA ainsi que des clients et des intervenants</t>
        </is>
      </c>
      <c r="H4996" s="1" t="n">
        <v>44363</v>
      </c>
      <c r="I4996" s="1" t="n">
        <v>44365</v>
      </c>
      <c r="J4996" t="inlineStr">
        <is>
          <t>Sydney, Nova Scotia</t>
        </is>
      </c>
      <c r="K4996" t="inlineStr">
        <is>
          <t>Sydney (Nouvelle-Écosse)</t>
        </is>
      </c>
      <c r="P4996" t="n">
        <v>0</v>
      </c>
      <c r="Q4996" t="n">
        <v>0</v>
      </c>
      <c r="R4996" t="n">
        <v>288.56</v>
      </c>
      <c r="S4996" t="n">
        <v>262.95</v>
      </c>
      <c r="T4996" t="n">
        <v>0</v>
      </c>
      <c r="U4996" t="n">
        <v>551.51</v>
      </c>
      <c r="X4996" t="inlineStr">
        <is>
          <t>acoa-apeca</t>
        </is>
      </c>
      <c r="Y4996" t="inlineStr">
        <is>
          <t>Atlantic Canada Opportunities Agency | Agence de promotion économique du Canada atlantique</t>
        </is>
      </c>
    </row>
    <row r="4997">
      <c r="A4997" t="inlineStr">
        <is>
          <t>T-2022-Q2-00001</t>
        </is>
      </c>
      <c r="B4997" t="inlineStr">
        <is>
          <t>SLE</t>
        </is>
      </c>
      <c r="C4997" t="inlineStr">
        <is>
          <t>President</t>
        </is>
      </c>
      <c r="D4997" t="inlineStr">
        <is>
          <t>Président</t>
        </is>
      </c>
      <c r="E4997" t="inlineStr">
        <is>
          <t>Francis McGuire</t>
        </is>
      </c>
      <c r="F4997" t="inlineStr">
        <is>
          <t>Meetings with government officials and stakeholders</t>
        </is>
      </c>
      <c r="G4997" t="inlineStr">
        <is>
          <t>Réunions avec des représentants gouvernementaux et des intervenants</t>
        </is>
      </c>
      <c r="H4997" s="1" t="n">
        <v>44357</v>
      </c>
      <c r="I4997" s="1" t="n">
        <v>44358</v>
      </c>
      <c r="J4997" t="inlineStr">
        <is>
          <t>Miramichi, New Brunswick</t>
        </is>
      </c>
      <c r="K4997" t="inlineStr">
        <is>
          <t xml:space="preserve">Miramichi (Nouveau-Brunswick) </t>
        </is>
      </c>
      <c r="P4997" t="n">
        <v>0</v>
      </c>
      <c r="Q4997" t="n">
        <v>149.76</v>
      </c>
      <c r="R4997" t="n">
        <v>148.79</v>
      </c>
      <c r="S4997" t="n">
        <v>108.1</v>
      </c>
      <c r="T4997" t="n">
        <v>0</v>
      </c>
      <c r="U4997" t="n">
        <v>406.65</v>
      </c>
      <c r="X4997" t="inlineStr">
        <is>
          <t>acoa-apeca</t>
        </is>
      </c>
      <c r="Y4997" t="inlineStr">
        <is>
          <t>Atlantic Canada Opportunities Agency | Agence de promotion économique du Canada atlantique</t>
        </is>
      </c>
    </row>
    <row r="4998">
      <c r="A4998" t="inlineStr">
        <is>
          <t>T-2022-Q1-00007</t>
        </is>
      </c>
      <c r="B4998" t="inlineStr">
        <is>
          <t>SLE</t>
        </is>
      </c>
      <c r="C4998" t="inlineStr">
        <is>
          <t>Vice-President, Prince Edward Island</t>
        </is>
      </c>
      <c r="D4998" t="inlineStr">
        <is>
          <t>Vice-président, Île-du-Prince-Édouard</t>
        </is>
      </c>
      <c r="E4998" t="inlineStr">
        <is>
          <t>Patrick Dorsey</t>
        </is>
      </c>
      <c r="F4998" t="inlineStr">
        <is>
          <t>Stakeholder meeting</t>
        </is>
      </c>
      <c r="G4998" t="inlineStr">
        <is>
          <t>Réunion avec des intervenants</t>
        </is>
      </c>
      <c r="H4998" s="1" t="n">
        <v>44326</v>
      </c>
      <c r="I4998" s="1" t="n">
        <v>44326</v>
      </c>
      <c r="J4998" t="inlineStr">
        <is>
          <t>Morell, Prince Edward Island</t>
        </is>
      </c>
      <c r="K4998" t="inlineStr">
        <is>
          <t>Morell (Île-du-Prince-Édouard)</t>
        </is>
      </c>
      <c r="P4998" t="n">
        <v>0</v>
      </c>
      <c r="Q4998" t="n">
        <v>0</v>
      </c>
      <c r="R4998" t="n">
        <v>0</v>
      </c>
      <c r="S4998" t="n">
        <v>0</v>
      </c>
      <c r="T4998" t="n">
        <v>45.39</v>
      </c>
      <c r="U4998" t="n">
        <v>45.39</v>
      </c>
      <c r="X4998" t="inlineStr">
        <is>
          <t>acoa-apeca</t>
        </is>
      </c>
      <c r="Y4998" t="inlineStr">
        <is>
          <t>Atlantic Canada Opportunities Agency | Agence de promotion économique du Canada atlantique</t>
        </is>
      </c>
    </row>
    <row r="4999">
      <c r="A4999" t="inlineStr">
        <is>
          <t>T-2022-Q2-00009</t>
        </is>
      </c>
      <c r="B4999" t="inlineStr">
        <is>
          <t>SLE</t>
        </is>
      </c>
      <c r="C4999" t="inlineStr">
        <is>
          <t>Vice-President, Prince Edward Island</t>
        </is>
      </c>
      <c r="D4999" t="inlineStr">
        <is>
          <t>Vice-président, Île-du-Prince-Édouard</t>
        </is>
      </c>
      <c r="E4999" t="inlineStr">
        <is>
          <t>Patrick Dorsey</t>
        </is>
      </c>
      <c r="F4999" t="inlineStr">
        <is>
          <t>Stakeholder meeting</t>
        </is>
      </c>
      <c r="G4999" t="inlineStr">
        <is>
          <t>Réunion avec des intervenants</t>
        </is>
      </c>
      <c r="H4999" s="1" t="n">
        <v>44407</v>
      </c>
      <c r="I4999" s="1" t="n">
        <v>44407</v>
      </c>
      <c r="J4999" t="inlineStr">
        <is>
          <t>Morell, Prince Edward Island</t>
        </is>
      </c>
      <c r="K4999" t="inlineStr">
        <is>
          <t>Morell (Île-du-Prince-Édouard)</t>
        </is>
      </c>
      <c r="P4999" t="n">
        <v>0</v>
      </c>
      <c r="Q4999" t="n">
        <v>0</v>
      </c>
      <c r="R4999" t="n">
        <v>0</v>
      </c>
      <c r="S4999" t="n">
        <v>21.35</v>
      </c>
      <c r="T4999" t="n">
        <v>86.22</v>
      </c>
      <c r="U4999" t="n">
        <v>107.57</v>
      </c>
      <c r="X4999" t="inlineStr">
        <is>
          <t>acoa-apeca</t>
        </is>
      </c>
      <c r="Y4999" t="inlineStr">
        <is>
          <t>Atlantic Canada Opportunities Agency | Agence de promotion économique du Canada atlantique</t>
        </is>
      </c>
    </row>
    <row r="5000">
      <c r="A5000" t="inlineStr">
        <is>
          <t>T-2022-Q2-00008</t>
        </is>
      </c>
      <c r="B5000" t="inlineStr">
        <is>
          <t>SLE</t>
        </is>
      </c>
      <c r="C5000" t="inlineStr">
        <is>
          <t>Vice-President, Newfoundland and Labrador</t>
        </is>
      </c>
      <c r="D5000" t="inlineStr">
        <is>
          <t>Vice-président, Terre-Neuve-et-Labrador</t>
        </is>
      </c>
      <c r="E5000" t="inlineStr">
        <is>
          <t>Karen Skinner</t>
        </is>
      </c>
      <c r="F5000" t="inlineStr">
        <is>
          <t>Attend meetings with government officials and clients</t>
        </is>
      </c>
      <c r="G5000" t="inlineStr">
        <is>
          <t>Assister à des réunions avec des fonctionnaires et des clients</t>
        </is>
      </c>
      <c r="H5000" s="1" t="n">
        <v>44403</v>
      </c>
      <c r="I5000" s="1" t="n">
        <v>44405</v>
      </c>
      <c r="J5000" t="inlineStr">
        <is>
          <t>Fredericton, New Brunswick</t>
        </is>
      </c>
      <c r="K5000" t="inlineStr">
        <is>
          <t>Fredericton (Nouveau-Brunswick)</t>
        </is>
      </c>
      <c r="P5000" t="n">
        <v>662.11</v>
      </c>
      <c r="Q5000" t="n">
        <v>28.18</v>
      </c>
      <c r="R5000" t="n">
        <v>342.8</v>
      </c>
      <c r="S5000" t="n">
        <v>262.7</v>
      </c>
      <c r="T5000" t="n">
        <v>0</v>
      </c>
      <c r="U5000" t="n">
        <v>1295.79</v>
      </c>
      <c r="X5000" t="inlineStr">
        <is>
          <t>acoa-apeca</t>
        </is>
      </c>
      <c r="Y5000" t="inlineStr">
        <is>
          <t>Atlantic Canada Opportunities Agency | Agence de promotion économique du Canada atlantique</t>
        </is>
      </c>
    </row>
    <row r="5001">
      <c r="A5001" t="inlineStr">
        <is>
          <t>T-2022-Q2-00003</t>
        </is>
      </c>
      <c r="B5001" t="inlineStr">
        <is>
          <t>SLE</t>
        </is>
      </c>
      <c r="C5001" t="inlineStr">
        <is>
          <t>Vice-President, Newfoundland and Labrador</t>
        </is>
      </c>
      <c r="D5001" t="inlineStr">
        <is>
          <t>Vice-président, Terre-Neuve-et-Labrador</t>
        </is>
      </c>
      <c r="E5001" t="inlineStr">
        <is>
          <t>Karen Skinner</t>
        </is>
      </c>
      <c r="F5001" t="inlineStr">
        <is>
          <t>Attend meetings with government officials and clients</t>
        </is>
      </c>
      <c r="G5001" t="inlineStr">
        <is>
          <t>Assister à des réunions avec des fonctionnaires et des clients</t>
        </is>
      </c>
      <c r="H5001" s="1" t="n">
        <v>44389</v>
      </c>
      <c r="I5001" s="1" t="n">
        <v>44390</v>
      </c>
      <c r="J5001" t="inlineStr">
        <is>
          <t>Halifax, Nova Scotia</t>
        </is>
      </c>
      <c r="K5001" t="inlineStr">
        <is>
          <t>Halifax (Nouvelle-Écosse)</t>
        </is>
      </c>
      <c r="P5001" t="n">
        <v>603.12</v>
      </c>
      <c r="Q5001" t="n">
        <v>101.6</v>
      </c>
      <c r="R5001" t="n">
        <v>127.86</v>
      </c>
      <c r="S5001" t="n">
        <v>77.05</v>
      </c>
      <c r="T5001" t="n">
        <v>0</v>
      </c>
      <c r="U5001" t="n">
        <v>909.63</v>
      </c>
      <c r="X5001" t="inlineStr">
        <is>
          <t>acoa-apeca</t>
        </is>
      </c>
      <c r="Y5001" t="inlineStr">
        <is>
          <t>Atlantic Canada Opportunities Agency | Agence de promotion économique du Canada atlantique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E5001"/>
  <sheetViews>
    <sheetView workbookViewId="0">
      <selection activeCell="A1" sqref="A1"/>
    </sheetView>
  </sheetViews>
  <sheetFormatPr baseColWidth="8" defaultRowHeight="15"/>
  <sheetData>
    <row r="1">
      <c r="A1" t="inlineStr">
        <is>
          <t>ref_number</t>
        </is>
      </c>
      <c r="B1" t="inlineStr">
        <is>
          <t>disclosure_group</t>
        </is>
      </c>
      <c r="C1" t="inlineStr">
        <is>
          <t>title_en</t>
        </is>
      </c>
      <c r="D1" t="inlineStr">
        <is>
          <t>title_fr</t>
        </is>
      </c>
      <c r="E1" t="inlineStr">
        <is>
          <t>name</t>
        </is>
      </c>
      <c r="F1" t="inlineStr">
        <is>
          <t>purpose_en</t>
        </is>
      </c>
      <c r="G1" t="inlineStr">
        <is>
          <t>purpose_fr</t>
        </is>
      </c>
      <c r="H1" t="inlineStr">
        <is>
          <t>start_date</t>
        </is>
      </c>
      <c r="I1" t="inlineStr">
        <is>
          <t>end_date</t>
        </is>
      </c>
      <c r="J1" t="inlineStr">
        <is>
          <t>destination_en</t>
        </is>
      </c>
      <c r="K1" t="inlineStr">
        <is>
          <t>destination_fr</t>
        </is>
      </c>
      <c r="L1" t="inlineStr">
        <is>
          <t>destination_2_en</t>
        </is>
      </c>
      <c r="M1" t="inlineStr">
        <is>
          <t>destination_2_fr</t>
        </is>
      </c>
      <c r="N1" t="inlineStr">
        <is>
          <t>destination_other_en</t>
        </is>
      </c>
      <c r="O1" t="inlineStr">
        <is>
          <t>destination_other_fr</t>
        </is>
      </c>
      <c r="P1" t="inlineStr">
        <is>
          <t>airfare</t>
        </is>
      </c>
      <c r="Q1" t="inlineStr">
        <is>
          <t>other_transport</t>
        </is>
      </c>
      <c r="R1" t="inlineStr">
        <is>
          <t>lodging</t>
        </is>
      </c>
      <c r="S1" t="inlineStr">
        <is>
          <t>meals</t>
        </is>
      </c>
      <c r="T1" t="inlineStr">
        <is>
          <t>other_expenses</t>
        </is>
      </c>
      <c r="U1" t="inlineStr">
        <is>
          <t>total</t>
        </is>
      </c>
      <c r="V1" t="inlineStr">
        <is>
          <t>additional_comments_en</t>
        </is>
      </c>
      <c r="W1" t="inlineStr">
        <is>
          <t>additional_comments_fr</t>
        </is>
      </c>
      <c r="X1" t="inlineStr">
        <is>
          <t>owner_org</t>
        </is>
      </c>
      <c r="Y1" t="inlineStr">
        <is>
          <t>owner_org_title</t>
        </is>
      </c>
      <c r="Z1" t="inlineStr">
        <is>
          <t>Travel_Days</t>
        </is>
      </c>
      <c r="AA1" t="inlineStr">
        <is>
          <t>Calculated_Total</t>
        </is>
      </c>
      <c r="AB1" t="inlineStr">
        <is>
          <t>Total_Difference</t>
        </is>
      </c>
      <c r="AC1" t="inlineStr">
        <is>
          <t>Duplicate_Flag</t>
        </is>
      </c>
      <c r="AD1" t="inlineStr">
        <is>
          <t>Data_Quality_Status</t>
        </is>
      </c>
      <c r="AE1" t="inlineStr">
        <is>
          <t>Total_Check</t>
        </is>
      </c>
    </row>
    <row r="2">
      <c r="A2" t="inlineStr">
        <is>
          <t>T-20120-P11-001</t>
        </is>
      </c>
      <c r="B2" t="inlineStr">
        <is>
          <t>SLE</t>
        </is>
      </c>
      <c r="C2" t="inlineStr">
        <is>
          <t>Chief Executive Officer</t>
        </is>
      </c>
      <c r="D2" t="inlineStr">
        <is>
          <t>Président directeur-général</t>
        </is>
      </c>
      <c r="E2" t="inlineStr">
        <is>
          <t>Philip Rizcallah</t>
        </is>
      </c>
      <c r="F2" t="inlineStr">
        <is>
          <t>To attend meeting with Saskatchewan Provincial Government</t>
        </is>
      </c>
      <c r="G2" t="inlineStr">
        <is>
          <t>Pour assister à une réunion avec le gouvernement provincial de la Saskatchewan</t>
        </is>
      </c>
      <c r="H2" s="1" t="n">
        <v>43864</v>
      </c>
      <c r="I2" s="1" t="n">
        <v>43865</v>
      </c>
      <c r="J2" t="inlineStr">
        <is>
          <t>Regina, Saskatchewan, Canada</t>
        </is>
      </c>
      <c r="K2" t="inlineStr">
        <is>
          <t>Regina, Saskatchewan, Canada</t>
        </is>
      </c>
      <c r="P2" t="n">
        <v>646.17</v>
      </c>
      <c r="Q2" t="n">
        <v>117.26</v>
      </c>
      <c r="R2" t="n">
        <v>157.78</v>
      </c>
      <c r="S2" t="n">
        <v>197.25</v>
      </c>
      <c r="T2" t="n">
        <v>0</v>
      </c>
      <c r="U2" t="n">
        <v>1118.46</v>
      </c>
      <c r="X2" t="inlineStr">
        <is>
          <t>casdo-ocena</t>
        </is>
      </c>
      <c r="Y2" t="inlineStr">
        <is>
          <t>Accessibility Standards Canada | Normes d’accessibilité Canada</t>
        </is>
      </c>
      <c r="Z2" t="n">
        <v>2</v>
      </c>
      <c r="AA2" t="n">
        <v>1118.46</v>
      </c>
      <c r="AB2">
        <f>ROUND(U2-AA2,2)</f>
        <v/>
      </c>
      <c r="AC2" t="b">
        <v>0</v>
      </c>
      <c r="AD2">
        <f>IF(U2="","MISSING_TOTAL",IF(ABS(AB2)&lt;=0.01,"OK","CHECK"))</f>
        <v/>
      </c>
      <c r="AE2">
        <f>IF(U2="","MISSING",IF(AND(AA2&gt;0,U2/AA2&gt;50),"POSSIBLE_SCALE_ERROR","OK"))</f>
        <v/>
      </c>
    </row>
    <row r="3">
      <c r="A3" t="inlineStr">
        <is>
          <t>T-2020-P11-0001</t>
        </is>
      </c>
      <c r="B3" t="inlineStr">
        <is>
          <t>SLE</t>
        </is>
      </c>
      <c r="C3" t="inlineStr">
        <is>
          <t>Chair</t>
        </is>
      </c>
      <c r="D3" t="inlineStr">
        <is>
          <t>Président</t>
        </is>
      </c>
      <c r="E3" t="inlineStr">
        <is>
          <t>Bérubé, Paul-Claude</t>
        </is>
      </c>
      <c r="F3" t="inlineStr">
        <is>
          <t>Board members meeting</t>
        </is>
      </c>
      <c r="G3" t="inlineStr">
        <is>
          <t>Réunion du conseil</t>
        </is>
      </c>
      <c r="H3" s="1" t="n">
        <v>43870</v>
      </c>
      <c r="I3" s="1" t="n">
        <v>43874</v>
      </c>
      <c r="J3" t="inlineStr">
        <is>
          <t>Vancouver, British Columbia, Canada</t>
        </is>
      </c>
      <c r="K3" t="inlineStr">
        <is>
          <t>Vancouver, Colombie-Britannique</t>
        </is>
      </c>
      <c r="P3" t="n">
        <v>1104.27</v>
      </c>
      <c r="Q3" t="n">
        <v>189.72</v>
      </c>
      <c r="R3" t="n">
        <v>841.3099999999999</v>
      </c>
      <c r="S3" t="n">
        <v>461.84</v>
      </c>
      <c r="U3" t="n">
        <v>2597.14</v>
      </c>
      <c r="X3" t="inlineStr">
        <is>
          <t>casdo-ocena</t>
        </is>
      </c>
      <c r="Y3" t="inlineStr">
        <is>
          <t>Accessibility Standards Canada | Normes d’accessibilité Canada</t>
        </is>
      </c>
      <c r="Z3" t="n">
        <v>5</v>
      </c>
      <c r="AA3" t="n">
        <v>2597.14</v>
      </c>
      <c r="AB3">
        <f>ROUND(U3-AA3,2)</f>
        <v/>
      </c>
      <c r="AC3" t="b">
        <v>0</v>
      </c>
      <c r="AD3">
        <f>IF(U3="","MISSING_TOTAL",IF(ABS(AB3)&lt;=0.01,"OK","CHECK"))</f>
        <v/>
      </c>
      <c r="AE3">
        <f>IF(U3="","MISSING",IF(AND(AA3&gt;0,U3/AA3&gt;50),"POSSIBLE_SCALE_ERROR","OK"))</f>
        <v/>
      </c>
    </row>
    <row r="4">
      <c r="A4" t="inlineStr">
        <is>
          <t>T-2020-P11-0002</t>
        </is>
      </c>
      <c r="B4" t="inlineStr">
        <is>
          <t>SLE</t>
        </is>
      </c>
      <c r="C4" t="inlineStr">
        <is>
          <t>Vice Chair</t>
        </is>
      </c>
      <c r="D4" t="inlineStr">
        <is>
          <t>vice-présidente</t>
        </is>
      </c>
      <c r="E4" t="inlineStr">
        <is>
          <t>Reid, Mary</t>
        </is>
      </c>
      <c r="F4" t="inlineStr">
        <is>
          <t>Board members meeting</t>
        </is>
      </c>
      <c r="G4" t="inlineStr">
        <is>
          <t>Réunion du conseil</t>
        </is>
      </c>
      <c r="H4" s="1" t="n">
        <v>43870</v>
      </c>
      <c r="I4" s="1" t="n">
        <v>43875</v>
      </c>
      <c r="J4" t="inlineStr">
        <is>
          <t>Vancouver, British Columbia, Canada</t>
        </is>
      </c>
      <c r="K4" t="inlineStr">
        <is>
          <t>Vancouver, Colombie-Britannique</t>
        </is>
      </c>
      <c r="P4" t="n">
        <v>2511.31</v>
      </c>
      <c r="Q4" t="n">
        <v>132.48</v>
      </c>
      <c r="R4" t="n">
        <v>785.65</v>
      </c>
      <c r="S4" t="n">
        <v>591</v>
      </c>
      <c r="T4" t="n">
        <v>108.3</v>
      </c>
      <c r="U4" t="n">
        <v>4128.74</v>
      </c>
      <c r="X4" t="inlineStr">
        <is>
          <t>casdo-ocena</t>
        </is>
      </c>
      <c r="Y4" t="inlineStr">
        <is>
          <t>Accessibility Standards Canada | Normes d’accessibilité Canada</t>
        </is>
      </c>
      <c r="Z4" t="n">
        <v>6</v>
      </c>
      <c r="AA4" t="n">
        <v>4128.74</v>
      </c>
      <c r="AB4">
        <f>ROUND(U4-AA4,2)</f>
        <v/>
      </c>
      <c r="AC4" t="b">
        <v>0</v>
      </c>
      <c r="AD4">
        <f>IF(U4="","MISSING_TOTAL",IF(ABS(AB4)&lt;=0.01,"OK","CHECK"))</f>
        <v/>
      </c>
      <c r="AE4">
        <f>IF(U4="","MISSING",IF(AND(AA4&gt;0,U4/AA4&gt;50),"POSSIBLE_SCALE_ERROR","OK"))</f>
        <v/>
      </c>
    </row>
    <row r="5">
      <c r="A5" t="inlineStr">
        <is>
          <t>T-2020-P11-0003</t>
        </is>
      </c>
      <c r="B5" t="inlineStr">
        <is>
          <t>SLE</t>
        </is>
      </c>
      <c r="C5" t="inlineStr">
        <is>
          <t>Board Of Directors</t>
        </is>
      </c>
      <c r="D5" t="inlineStr">
        <is>
          <t>Membre du conseil de direction</t>
        </is>
      </c>
      <c r="E5" t="inlineStr">
        <is>
          <t>McLaughlin, Joseph</t>
        </is>
      </c>
      <c r="F5" t="inlineStr">
        <is>
          <t>Board members meeting</t>
        </is>
      </c>
      <c r="G5" t="inlineStr">
        <is>
          <t>Réunion du conseil</t>
        </is>
      </c>
      <c r="H5" s="1" t="n">
        <v>43870</v>
      </c>
      <c r="I5" s="1" t="n">
        <v>43873</v>
      </c>
      <c r="J5" t="inlineStr">
        <is>
          <t>Vancouver, British Columbia, Canada</t>
        </is>
      </c>
      <c r="K5" t="inlineStr">
        <is>
          <t>Vancouver, Colombie-Britannique</t>
        </is>
      </c>
      <c r="Q5" t="n">
        <v>58.32</v>
      </c>
      <c r="R5" t="n">
        <v>630.99</v>
      </c>
      <c r="S5" t="n">
        <v>264.6</v>
      </c>
      <c r="T5" t="n">
        <v>123</v>
      </c>
      <c r="U5" t="n">
        <v>1076.91</v>
      </c>
      <c r="X5" t="inlineStr">
        <is>
          <t>casdo-ocena</t>
        </is>
      </c>
      <c r="Y5" t="inlineStr">
        <is>
          <t>Accessibility Standards Canada | Normes d’accessibilité Canada</t>
        </is>
      </c>
      <c r="Z5" t="n">
        <v>4</v>
      </c>
      <c r="AA5" t="n">
        <v>1076.91</v>
      </c>
      <c r="AB5">
        <f>ROUND(U5-AA5,2)</f>
        <v/>
      </c>
      <c r="AC5" t="b">
        <v>0</v>
      </c>
      <c r="AD5">
        <f>IF(U5="","MISSING_TOTAL",IF(ABS(AB5)&lt;=0.01,"OK","CHECK"))</f>
        <v/>
      </c>
      <c r="AE5">
        <f>IF(U5="","MISSING",IF(AND(AA5&gt;0,U5/AA5&gt;50),"POSSIBLE_SCALE_ERROR","OK"))</f>
        <v/>
      </c>
    </row>
    <row r="6">
      <c r="A6" t="inlineStr">
        <is>
          <t>T-2020-P11-0004</t>
        </is>
      </c>
      <c r="B6" t="inlineStr">
        <is>
          <t>SLE</t>
        </is>
      </c>
      <c r="C6" t="inlineStr">
        <is>
          <t>Board Of Directors</t>
        </is>
      </c>
      <c r="D6" t="inlineStr">
        <is>
          <t>Membre du conseil de direction</t>
        </is>
      </c>
      <c r="E6" t="inlineStr">
        <is>
          <t>Haan, Maureen</t>
        </is>
      </c>
      <c r="F6" t="inlineStr">
        <is>
          <t>Board members meeting</t>
        </is>
      </c>
      <c r="G6" t="inlineStr">
        <is>
          <t>Réunion du conseil</t>
        </is>
      </c>
      <c r="H6" s="1" t="n">
        <v>43870</v>
      </c>
      <c r="I6" s="1" t="n">
        <v>43873</v>
      </c>
      <c r="J6" t="inlineStr">
        <is>
          <t>Vancouver, British Columbia, Canada</t>
        </is>
      </c>
      <c r="K6" t="inlineStr">
        <is>
          <t>Vancouver, Colombie-Britannique</t>
        </is>
      </c>
      <c r="P6" t="n">
        <v>880.99</v>
      </c>
      <c r="Q6" t="n">
        <v>192.76</v>
      </c>
      <c r="R6" t="n">
        <v>630.99</v>
      </c>
      <c r="S6" t="n">
        <v>332.45</v>
      </c>
      <c r="U6" t="n">
        <v>2037.19</v>
      </c>
      <c r="X6" t="inlineStr">
        <is>
          <t>casdo-ocena</t>
        </is>
      </c>
      <c r="Y6" t="inlineStr">
        <is>
          <t>Accessibility Standards Canada | Normes d’accessibilité Canada</t>
        </is>
      </c>
      <c r="Z6" t="n">
        <v>4</v>
      </c>
      <c r="AA6" t="n">
        <v>2037.19</v>
      </c>
      <c r="AB6">
        <f>ROUND(U6-AA6,2)</f>
        <v/>
      </c>
      <c r="AC6" t="b">
        <v>0</v>
      </c>
      <c r="AD6">
        <f>IF(U6="","MISSING_TOTAL",IF(ABS(AB6)&lt;=0.01,"OK","CHECK"))</f>
        <v/>
      </c>
      <c r="AE6">
        <f>IF(U6="","MISSING",IF(AND(AA6&gt;0,U6/AA6&gt;50),"POSSIBLE_SCALE_ERROR","OK"))</f>
        <v/>
      </c>
    </row>
    <row r="7">
      <c r="A7" t="inlineStr">
        <is>
          <t>T-2020-P11-0005</t>
        </is>
      </c>
      <c r="B7" t="inlineStr">
        <is>
          <t>SLE</t>
        </is>
      </c>
      <c r="C7" t="inlineStr">
        <is>
          <t>Board Of Directors</t>
        </is>
      </c>
      <c r="D7" t="inlineStr">
        <is>
          <t>Membre du conseil de direction</t>
        </is>
      </c>
      <c r="E7" t="inlineStr">
        <is>
          <t>Hartin, Penny</t>
        </is>
      </c>
      <c r="F7" t="inlineStr">
        <is>
          <t>Board members meeting</t>
        </is>
      </c>
      <c r="G7" t="inlineStr">
        <is>
          <t>Réunion du conseil</t>
        </is>
      </c>
      <c r="H7" s="1" t="n">
        <v>43870</v>
      </c>
      <c r="I7" s="1" t="n">
        <v>43873</v>
      </c>
      <c r="J7" t="inlineStr">
        <is>
          <t>Vancouver, British Columbia, Canada</t>
        </is>
      </c>
      <c r="K7" t="inlineStr">
        <is>
          <t>Vancouver, Colombie-Britannique</t>
        </is>
      </c>
      <c r="P7" t="n">
        <v>935.23</v>
      </c>
      <c r="Q7" t="n">
        <v>117.3</v>
      </c>
      <c r="R7" t="n">
        <v>630.99</v>
      </c>
      <c r="S7" t="n">
        <v>353.05</v>
      </c>
      <c r="U7" t="n">
        <v>2036.57</v>
      </c>
      <c r="X7" t="inlineStr">
        <is>
          <t>casdo-ocena</t>
        </is>
      </c>
      <c r="Y7" t="inlineStr">
        <is>
          <t>Accessibility Standards Canada | Normes d’accessibilité Canada</t>
        </is>
      </c>
      <c r="Z7" t="n">
        <v>4</v>
      </c>
      <c r="AA7" t="n">
        <v>2036.57</v>
      </c>
      <c r="AB7">
        <f>ROUND(U7-AA7,2)</f>
        <v/>
      </c>
      <c r="AC7" t="b">
        <v>0</v>
      </c>
      <c r="AD7">
        <f>IF(U7="","MISSING_TOTAL",IF(ABS(AB7)&lt;=0.01,"OK","CHECK"))</f>
        <v/>
      </c>
      <c r="AE7">
        <f>IF(U7="","MISSING",IF(AND(AA7&gt;0,U7/AA7&gt;50),"POSSIBLE_SCALE_ERROR","OK"))</f>
        <v/>
      </c>
    </row>
    <row r="8">
      <c r="A8" t="inlineStr">
        <is>
          <t>T-2020-P11-0006</t>
        </is>
      </c>
      <c r="B8" t="inlineStr">
        <is>
          <t>SLE</t>
        </is>
      </c>
      <c r="C8" t="inlineStr">
        <is>
          <t>Board Of Directors</t>
        </is>
      </c>
      <c r="D8" t="inlineStr">
        <is>
          <t>Membre du conseil de direction</t>
        </is>
      </c>
      <c r="E8" t="inlineStr">
        <is>
          <t>Earle, Kory</t>
        </is>
      </c>
      <c r="F8" t="inlineStr">
        <is>
          <t>Board members meeting</t>
        </is>
      </c>
      <c r="G8" t="inlineStr">
        <is>
          <t>Réunion du conseil</t>
        </is>
      </c>
      <c r="H8" s="1" t="n">
        <v>43870</v>
      </c>
      <c r="I8" s="1" t="n">
        <v>43873</v>
      </c>
      <c r="J8" t="inlineStr">
        <is>
          <t>Vancouver, British Columbia, Canada</t>
        </is>
      </c>
      <c r="K8" t="inlineStr">
        <is>
          <t>Vancouver, Colombie-Britannique</t>
        </is>
      </c>
      <c r="P8" t="n">
        <v>949.11</v>
      </c>
      <c r="R8" t="n">
        <v>630.99</v>
      </c>
      <c r="S8" t="n">
        <v>373.4</v>
      </c>
      <c r="U8" t="n">
        <v>1953.5</v>
      </c>
      <c r="X8" t="inlineStr">
        <is>
          <t>casdo-ocena</t>
        </is>
      </c>
      <c r="Y8" t="inlineStr">
        <is>
          <t>Accessibility Standards Canada | Normes d’accessibilité Canada</t>
        </is>
      </c>
      <c r="Z8" t="n">
        <v>4</v>
      </c>
      <c r="AA8" t="n">
        <v>1953.5</v>
      </c>
      <c r="AB8">
        <f>ROUND(U8-AA8,2)</f>
        <v/>
      </c>
      <c r="AC8" t="b">
        <v>0</v>
      </c>
      <c r="AD8">
        <f>IF(U8="","MISSING_TOTAL",IF(ABS(AB8)&lt;=0.01,"OK","CHECK"))</f>
        <v/>
      </c>
      <c r="AE8">
        <f>IF(U8="","MISSING",IF(AND(AA8&gt;0,U8/AA8&gt;50),"POSSIBLE_SCALE_ERROR","OK"))</f>
        <v/>
      </c>
    </row>
    <row r="9">
      <c r="A9" t="inlineStr">
        <is>
          <t>T-2020-P11-0007</t>
        </is>
      </c>
      <c r="B9" t="inlineStr">
        <is>
          <t>SLE</t>
        </is>
      </c>
      <c r="C9" t="inlineStr">
        <is>
          <t>Board Of Directors</t>
        </is>
      </c>
      <c r="D9" t="inlineStr">
        <is>
          <t>Membre du conseil de direction</t>
        </is>
      </c>
      <c r="E9" t="inlineStr">
        <is>
          <t>Ringaert, Laurie</t>
        </is>
      </c>
      <c r="F9" t="inlineStr">
        <is>
          <t>Board members meeting</t>
        </is>
      </c>
      <c r="G9" t="inlineStr">
        <is>
          <t>Réunion du conseil</t>
        </is>
      </c>
      <c r="H9" s="1" t="n">
        <v>43870</v>
      </c>
      <c r="I9" s="1" t="n">
        <v>43873</v>
      </c>
      <c r="J9" t="inlineStr">
        <is>
          <t>Vancouver, British Columbia, Canada</t>
        </is>
      </c>
      <c r="K9" t="inlineStr">
        <is>
          <t>Vancouver, Colombie-Britannique</t>
        </is>
      </c>
      <c r="P9" t="n">
        <v>662.91</v>
      </c>
      <c r="Q9" t="n">
        <v>128.43</v>
      </c>
      <c r="R9" t="n">
        <v>630.99</v>
      </c>
      <c r="S9" t="n">
        <v>332.45</v>
      </c>
      <c r="U9" t="n">
        <v>1754.78</v>
      </c>
      <c r="X9" t="inlineStr">
        <is>
          <t>casdo-ocena</t>
        </is>
      </c>
      <c r="Y9" t="inlineStr">
        <is>
          <t>Accessibility Standards Canada | Normes d’accessibilité Canada</t>
        </is>
      </c>
      <c r="Z9" t="n">
        <v>4</v>
      </c>
      <c r="AA9" t="n">
        <v>1754.78</v>
      </c>
      <c r="AB9">
        <f>ROUND(U9-AA9,2)</f>
        <v/>
      </c>
      <c r="AC9" t="b">
        <v>0</v>
      </c>
      <c r="AD9">
        <f>IF(U9="","MISSING_TOTAL",IF(ABS(AB9)&lt;=0.01,"OK","CHECK"))</f>
        <v/>
      </c>
      <c r="AE9">
        <f>IF(U9="","MISSING",IF(AND(AA9&gt;0,U9/AA9&gt;50),"POSSIBLE_SCALE_ERROR","OK"))</f>
        <v/>
      </c>
    </row>
    <row r="10">
      <c r="A10" t="inlineStr">
        <is>
          <t>T-2020-P11-0008</t>
        </is>
      </c>
      <c r="B10" t="inlineStr">
        <is>
          <t>SLE</t>
        </is>
      </c>
      <c r="C10" t="inlineStr">
        <is>
          <t>Board Of Directors</t>
        </is>
      </c>
      <c r="D10" t="inlineStr">
        <is>
          <t>Membre du conseil de direction</t>
        </is>
      </c>
      <c r="E10" t="inlineStr">
        <is>
          <t>Khedr, Rabia</t>
        </is>
      </c>
      <c r="F10" t="inlineStr">
        <is>
          <t>Board members meeting</t>
        </is>
      </c>
      <c r="G10" t="inlineStr">
        <is>
          <t>Réunion du conseil</t>
        </is>
      </c>
      <c r="H10" s="1" t="n">
        <v>43870</v>
      </c>
      <c r="I10" s="1" t="n">
        <v>43873</v>
      </c>
      <c r="J10" t="inlineStr">
        <is>
          <t>Vancouver, British Columbia, Canada</t>
        </is>
      </c>
      <c r="K10" t="inlineStr">
        <is>
          <t>Vancouver, Colombie-Britannique</t>
        </is>
      </c>
      <c r="P10" t="n">
        <v>935.23</v>
      </c>
      <c r="Q10" t="n">
        <v>118.3</v>
      </c>
      <c r="R10" t="n">
        <v>630.99</v>
      </c>
      <c r="S10" t="n">
        <v>353.05</v>
      </c>
      <c r="U10" t="n">
        <v>2037.57</v>
      </c>
      <c r="X10" t="inlineStr">
        <is>
          <t>casdo-ocena</t>
        </is>
      </c>
      <c r="Y10" t="inlineStr">
        <is>
          <t>Accessibility Standards Canada | Normes d’accessibilité Canada</t>
        </is>
      </c>
      <c r="Z10" t="n">
        <v>4</v>
      </c>
      <c r="AA10" t="n">
        <v>2037.57</v>
      </c>
      <c r="AB10">
        <f>ROUND(U10-AA10,2)</f>
        <v/>
      </c>
      <c r="AC10" t="b">
        <v>0</v>
      </c>
      <c r="AD10">
        <f>IF(U10="","MISSING_TOTAL",IF(ABS(AB10)&lt;=0.01,"OK","CHECK"))</f>
        <v/>
      </c>
      <c r="AE10">
        <f>IF(U10="","MISSING",IF(AND(AA10&gt;0,U10/AA10&gt;50),"POSSIBLE_SCALE_ERROR","OK"))</f>
        <v/>
      </c>
    </row>
    <row r="11">
      <c r="A11" t="inlineStr">
        <is>
          <t>T-2020-P11-0009</t>
        </is>
      </c>
      <c r="B11" t="inlineStr">
        <is>
          <t>SLE</t>
        </is>
      </c>
      <c r="C11" t="inlineStr">
        <is>
          <t>Chief Executive Officer</t>
        </is>
      </c>
      <c r="D11" t="inlineStr">
        <is>
          <t>Président-directeur général</t>
        </is>
      </c>
      <c r="E11" t="inlineStr">
        <is>
          <t>Rizcallah, Philip</t>
        </is>
      </c>
      <c r="F11" t="inlineStr">
        <is>
          <t>Board members meeting</t>
        </is>
      </c>
      <c r="G11" t="inlineStr">
        <is>
          <t>Réunion du conseil</t>
        </is>
      </c>
      <c r="H11" s="1" t="n">
        <v>43870</v>
      </c>
      <c r="I11" s="1" t="n">
        <v>43875</v>
      </c>
      <c r="J11" t="inlineStr">
        <is>
          <t>Vancouver, British Columbia, Canada</t>
        </is>
      </c>
      <c r="K11" t="inlineStr">
        <is>
          <t>Vancouver, Colombie-Britannique</t>
        </is>
      </c>
      <c r="P11" t="n">
        <v>1313.32</v>
      </c>
      <c r="Q11" t="n">
        <v>342.77</v>
      </c>
      <c r="R11" t="n">
        <v>970.75</v>
      </c>
      <c r="S11" t="n">
        <v>591</v>
      </c>
      <c r="T11" t="n">
        <v>313</v>
      </c>
      <c r="U11" t="n">
        <v>3530.84</v>
      </c>
      <c r="X11" t="inlineStr">
        <is>
          <t>casdo-ocena</t>
        </is>
      </c>
      <c r="Y11" t="inlineStr">
        <is>
          <t>Accessibility Standards Canada | Normes d’accessibilité Canada</t>
        </is>
      </c>
      <c r="Z11" t="n">
        <v>6</v>
      </c>
      <c r="AA11" t="n">
        <v>3530.84</v>
      </c>
      <c r="AB11">
        <f>ROUND(U11-AA11,2)</f>
        <v/>
      </c>
      <c r="AC11" t="b">
        <v>0</v>
      </c>
      <c r="AD11">
        <f>IF(U11="","MISSING_TOTAL",IF(ABS(AB11)&lt;=0.01,"OK","CHECK"))</f>
        <v/>
      </c>
      <c r="AE11">
        <f>IF(U11="","MISSING",IF(AND(AA11&gt;0,U11/AA11&gt;50),"POSSIBLE_SCALE_ERROR","OK"))</f>
        <v/>
      </c>
    </row>
    <row r="12">
      <c r="A12" t="inlineStr">
        <is>
          <t>T-2020-P1-0001</t>
        </is>
      </c>
      <c r="B12" t="inlineStr">
        <is>
          <t>SLE</t>
        </is>
      </c>
      <c r="C12" t="inlineStr">
        <is>
          <t>Chair</t>
        </is>
      </c>
      <c r="D12" t="inlineStr">
        <is>
          <t>Président</t>
        </is>
      </c>
      <c r="E12" t="inlineStr">
        <is>
          <t>Bérubé, Paul-Claude</t>
        </is>
      </c>
      <c r="F12" t="inlineStr">
        <is>
          <t>Meeting with Chief Executive Officer of Accessibility Stadards Canada</t>
        </is>
      </c>
      <c r="G12" t="inlineStr">
        <is>
          <t>Réunion avec le Président-directeur général de Normes d’accessibilité Canada</t>
        </is>
      </c>
      <c r="H12" s="1" t="n">
        <v>43880</v>
      </c>
      <c r="I12" s="1" t="n">
        <v>43880</v>
      </c>
      <c r="J12" t="inlineStr">
        <is>
          <t>Montreal, Quebec, Canada</t>
        </is>
      </c>
      <c r="K12" t="inlineStr">
        <is>
          <t>Montréal, Québec, Canada</t>
        </is>
      </c>
      <c r="Q12" t="n">
        <v>62.06</v>
      </c>
      <c r="R12" t="n">
        <v>0</v>
      </c>
      <c r="S12" t="n">
        <v>20.6</v>
      </c>
      <c r="U12" t="n">
        <v>82.66</v>
      </c>
      <c r="X12" t="inlineStr">
        <is>
          <t>casdo-ocena</t>
        </is>
      </c>
      <c r="Y12" t="inlineStr">
        <is>
          <t>Accessibility Standards Canada | Normes d’accessibilité Canada</t>
        </is>
      </c>
      <c r="Z12" t="n">
        <v>1</v>
      </c>
      <c r="AA12" t="n">
        <v>82.66</v>
      </c>
      <c r="AB12">
        <f>ROUND(U12-AA12,2)</f>
        <v/>
      </c>
      <c r="AC12" t="b">
        <v>0</v>
      </c>
      <c r="AD12">
        <f>IF(U12="","MISSING_TOTAL",IF(ABS(AB12)&lt;=0.01,"OK","CHECK"))</f>
        <v/>
      </c>
      <c r="AE12">
        <f>IF(U12="","MISSING",IF(AND(AA12&gt;0,U12/AA12&gt;50),"POSSIBLE_SCALE_ERROR","OK"))</f>
        <v/>
      </c>
    </row>
    <row r="13">
      <c r="A13" t="inlineStr">
        <is>
          <t>T-2020-P1-0002</t>
        </is>
      </c>
      <c r="B13" t="inlineStr">
        <is>
          <t>SLE</t>
        </is>
      </c>
      <c r="C13" t="inlineStr">
        <is>
          <t>Chair</t>
        </is>
      </c>
      <c r="D13" t="inlineStr">
        <is>
          <t>Président</t>
        </is>
      </c>
      <c r="E13" t="inlineStr">
        <is>
          <t>Bérubé, Paul-Claude</t>
        </is>
      </c>
      <c r="F13" t="inlineStr">
        <is>
          <t>Meeting with Chief Executive Officer and Staff of of Accessibility Stadards Canada</t>
        </is>
      </c>
      <c r="G13" t="inlineStr">
        <is>
          <t>Réunion avec le Président-directeur général et employés de Normes d’accessibilité Canada</t>
        </is>
      </c>
      <c r="H13" s="1" t="n">
        <v>43885</v>
      </c>
      <c r="I13" s="1" t="n">
        <v>43885</v>
      </c>
      <c r="J13" t="inlineStr">
        <is>
          <t>Ottawa, Ontario, Canada</t>
        </is>
      </c>
      <c r="K13" t="inlineStr">
        <is>
          <t>Ottawa, Ontario, Canada</t>
        </is>
      </c>
      <c r="Q13" t="n">
        <v>276.06</v>
      </c>
      <c r="R13" t="n">
        <v>0</v>
      </c>
      <c r="S13" t="n">
        <v>91.5</v>
      </c>
      <c r="U13" t="n">
        <v>367.56</v>
      </c>
      <c r="X13" t="inlineStr">
        <is>
          <t>casdo-ocena</t>
        </is>
      </c>
      <c r="Y13" t="inlineStr">
        <is>
          <t>Accessibility Standards Canada | Normes d’accessibilité Canada</t>
        </is>
      </c>
      <c r="Z13" t="n">
        <v>1</v>
      </c>
      <c r="AA13" t="n">
        <v>367.56</v>
      </c>
      <c r="AB13">
        <f>ROUND(U13-AA13,2)</f>
        <v/>
      </c>
      <c r="AC13" t="b">
        <v>0</v>
      </c>
      <c r="AD13">
        <f>IF(U13="","MISSING_TOTAL",IF(ABS(AB13)&lt;=0.01,"OK","CHECK"))</f>
        <v/>
      </c>
      <c r="AE13">
        <f>IF(U13="","MISSING",IF(AND(AA13&gt;0,U13/AA13&gt;50),"POSSIBLE_SCALE_ERROR","OK"))</f>
        <v/>
      </c>
    </row>
    <row r="14">
      <c r="A14" t="inlineStr">
        <is>
          <t>T-2020-P1-0003</t>
        </is>
      </c>
      <c r="B14" t="inlineStr">
        <is>
          <t>SLE</t>
        </is>
      </c>
      <c r="C14" t="inlineStr">
        <is>
          <t>Chief Executive Officer</t>
        </is>
      </c>
      <c r="D14" t="inlineStr">
        <is>
          <t>Président-directeur général</t>
        </is>
      </c>
      <c r="E14" t="inlineStr">
        <is>
          <t>Rizcallah, Philip</t>
        </is>
      </c>
      <c r="F14" t="inlineStr">
        <is>
          <t>Meetings with various Stakeholders</t>
        </is>
      </c>
      <c r="G14" t="inlineStr">
        <is>
          <t>Réunions avec divers intervenants</t>
        </is>
      </c>
      <c r="H14" s="1" t="n">
        <v>43851</v>
      </c>
      <c r="I14" s="1" t="n">
        <v>43855</v>
      </c>
      <c r="J14" t="inlineStr">
        <is>
          <t>Toronto, Ontario and Halifax, Nova Scotia, Canada</t>
        </is>
      </c>
      <c r="K14" t="inlineStr">
        <is>
          <t>Toronto, Ontario et Halifax, Nouvelle-Écosse, Canada</t>
        </is>
      </c>
      <c r="P14" t="n">
        <v>1190.86</v>
      </c>
      <c r="Q14" t="n">
        <v>359.36</v>
      </c>
      <c r="R14" t="n">
        <v>344.73</v>
      </c>
      <c r="S14" t="n">
        <v>394.25</v>
      </c>
      <c r="T14" t="n">
        <v>172.2</v>
      </c>
      <c r="U14" t="n">
        <v>2461.4</v>
      </c>
      <c r="X14" t="inlineStr">
        <is>
          <t>casdo-ocena</t>
        </is>
      </c>
      <c r="Y14" t="inlineStr">
        <is>
          <t>Accessibility Standards Canada | Normes d’accessibilité Canada</t>
        </is>
      </c>
      <c r="Z14" t="n">
        <v>5</v>
      </c>
      <c r="AA14" t="n">
        <v>2461.39999999999</v>
      </c>
      <c r="AB14">
        <f>ROUND(U14-AA14,2)</f>
        <v/>
      </c>
      <c r="AC14" t="b">
        <v>0</v>
      </c>
      <c r="AD14">
        <f>IF(U14="","MISSING_TOTAL",IF(ABS(AB14)&lt;=0.01,"OK","CHECK"))</f>
        <v/>
      </c>
      <c r="AE14">
        <f>IF(U14="","MISSING",IF(AND(AA14&gt;0,U14/AA14&gt;50),"POSSIBLE_SCALE_ERROR","OK"))</f>
        <v/>
      </c>
    </row>
    <row r="15">
      <c r="A15" t="inlineStr">
        <is>
          <t>T-2020-P2-0001</t>
        </is>
      </c>
      <c r="B15" t="inlineStr">
        <is>
          <t>SLE</t>
        </is>
      </c>
      <c r="C15" t="inlineStr">
        <is>
          <t>Chief Executive Officer</t>
        </is>
      </c>
      <c r="D15" t="inlineStr">
        <is>
          <t>Président-directeur général</t>
        </is>
      </c>
      <c r="E15" t="inlineStr">
        <is>
          <t>Rizcallah, Philip</t>
        </is>
      </c>
      <c r="F15" t="inlineStr">
        <is>
          <t>To attend Canadian Accessibility Standards Development Organization business meetings</t>
        </is>
      </c>
      <c r="G15" t="inlineStr">
        <is>
          <t>Pour assister des réunions d'affaire de l'Organisation Canadienne d'élaboration de normes d'accessibilité</t>
        </is>
      </c>
      <c r="H15" s="1" t="n">
        <v>43900</v>
      </c>
      <c r="I15" s="1" t="n">
        <v>43900</v>
      </c>
      <c r="J15" t="inlineStr">
        <is>
          <t>Montréal, Quebec, Canada</t>
        </is>
      </c>
      <c r="K15" t="inlineStr">
        <is>
          <t>Montréal, Québec, Canada</t>
        </is>
      </c>
      <c r="P15" t="n">
        <v>0</v>
      </c>
      <c r="Q15" t="n">
        <v>339.57</v>
      </c>
      <c r="R15" t="n">
        <v>0</v>
      </c>
      <c r="S15" t="n">
        <v>71.15000000000001</v>
      </c>
      <c r="T15" t="n">
        <v>3.2</v>
      </c>
      <c r="U15" t="n">
        <v>413.92</v>
      </c>
      <c r="X15" t="inlineStr">
        <is>
          <t>casdo-ocena</t>
        </is>
      </c>
      <c r="Y15" t="inlineStr">
        <is>
          <t>Accessibility Standards Canada | Normes d’accessibilité Canada</t>
        </is>
      </c>
      <c r="Z15" t="n">
        <v>1</v>
      </c>
      <c r="AA15" t="n">
        <v>413.92</v>
      </c>
      <c r="AB15">
        <f>ROUND(U15-AA15,2)</f>
        <v/>
      </c>
      <c r="AC15" t="b">
        <v>0</v>
      </c>
      <c r="AD15">
        <f>IF(U15="","MISSING_TOTAL",IF(ABS(AB15)&lt;=0.01,"OK","CHECK"))</f>
        <v/>
      </c>
      <c r="AE15">
        <f>IF(U15="","MISSING",IF(AND(AA15&gt;0,U15/AA15&gt;50),"POSSIBLE_SCALE_ERROR","OK"))</f>
        <v/>
      </c>
    </row>
    <row r="16">
      <c r="A16" t="inlineStr">
        <is>
          <t>T-2020-P2-0002</t>
        </is>
      </c>
      <c r="B16" t="inlineStr">
        <is>
          <t>SLE</t>
        </is>
      </c>
      <c r="C16" t="inlineStr">
        <is>
          <t>Chief Executive Officer</t>
        </is>
      </c>
      <c r="D16" t="inlineStr">
        <is>
          <t>Président-directeur général</t>
        </is>
      </c>
      <c r="E16" t="inlineStr">
        <is>
          <t>Rizcallah, Philip</t>
        </is>
      </c>
      <c r="F16" t="inlineStr">
        <is>
          <t>To attend meeting with Chair and Chief Operating Officer</t>
        </is>
      </c>
      <c r="G16" t="inlineStr">
        <is>
          <t>Pour assister à une réunion avec le Président et le Chef de l’exploitation</t>
        </is>
      </c>
      <c r="H16" s="1" t="n">
        <v>43880</v>
      </c>
      <c r="I16" s="1" t="n">
        <v>43880</v>
      </c>
      <c r="J16" t="inlineStr">
        <is>
          <t>Montréal, Quebec, Canada</t>
        </is>
      </c>
      <c r="K16" t="inlineStr">
        <is>
          <t>Montréal, Québec, Canada</t>
        </is>
      </c>
      <c r="P16" t="n">
        <v>0</v>
      </c>
      <c r="Q16" t="n">
        <v>267.25</v>
      </c>
      <c r="R16" t="n">
        <v>0</v>
      </c>
      <c r="S16" t="n">
        <v>20.6</v>
      </c>
      <c r="T16" t="n">
        <v>0</v>
      </c>
      <c r="U16" t="n">
        <v>287.85</v>
      </c>
      <c r="X16" t="inlineStr">
        <is>
          <t>casdo-ocena</t>
        </is>
      </c>
      <c r="Y16" t="inlineStr">
        <is>
          <t>Accessibility Standards Canada | Normes d’accessibilité Canada</t>
        </is>
      </c>
      <c r="Z16" t="n">
        <v>1</v>
      </c>
      <c r="AA16" t="n">
        <v>287.85</v>
      </c>
      <c r="AB16">
        <f>ROUND(U16-AA16,2)</f>
        <v/>
      </c>
      <c r="AC16" t="b">
        <v>0</v>
      </c>
      <c r="AD16">
        <f>IF(U16="","MISSING_TOTAL",IF(ABS(AB16)&lt;=0.01,"OK","CHECK"))</f>
        <v/>
      </c>
      <c r="AE16">
        <f>IF(U16="","MISSING",IF(AND(AA16&gt;0,U16/AA16&gt;50),"POSSIBLE_SCALE_ERROR","OK"))</f>
        <v/>
      </c>
    </row>
    <row r="17">
      <c r="A17" t="inlineStr">
        <is>
          <t>T-2020-P2-0003</t>
        </is>
      </c>
      <c r="B17" t="inlineStr">
        <is>
          <t>SLE</t>
        </is>
      </c>
      <c r="C17" t="inlineStr">
        <is>
          <t>Chief Executive Officer</t>
        </is>
      </c>
      <c r="D17" t="inlineStr">
        <is>
          <t>Président-directeur général</t>
        </is>
      </c>
      <c r="E17" t="inlineStr">
        <is>
          <t>Rizcallah, Philip</t>
        </is>
      </c>
      <c r="F17" t="inlineStr">
        <is>
          <t>To attend meeting with Chair</t>
        </is>
      </c>
      <c r="G17" t="inlineStr">
        <is>
          <t>Pour assister à une réunion avec le Président</t>
        </is>
      </c>
      <c r="H17" s="1" t="n">
        <v>43867</v>
      </c>
      <c r="I17" s="1" t="n">
        <v>43868</v>
      </c>
      <c r="J17" t="inlineStr">
        <is>
          <t>Saint-Jean-sur-Richelieu, Quebec, Canada</t>
        </is>
      </c>
      <c r="K17" t="inlineStr">
        <is>
          <t>Saint-Jean-sur-Richelieu, Québec, Canada</t>
        </is>
      </c>
      <c r="P17" t="n">
        <v>0</v>
      </c>
      <c r="Q17" t="n">
        <v>315.28</v>
      </c>
      <c r="R17" t="n">
        <v>0</v>
      </c>
      <c r="S17" t="n">
        <v>91.5</v>
      </c>
      <c r="T17" t="n">
        <v>3.2</v>
      </c>
      <c r="U17" t="n">
        <v>409.98</v>
      </c>
      <c r="X17" t="inlineStr">
        <is>
          <t>casdo-ocena</t>
        </is>
      </c>
      <c r="Y17" t="inlineStr">
        <is>
          <t>Accessibility Standards Canada | Normes d’accessibilité Canada</t>
        </is>
      </c>
      <c r="Z17" t="n">
        <v>2</v>
      </c>
      <c r="AA17" t="n">
        <v>409.979999999999</v>
      </c>
      <c r="AB17">
        <f>ROUND(U17-AA17,2)</f>
        <v/>
      </c>
      <c r="AC17" t="b">
        <v>0</v>
      </c>
      <c r="AD17">
        <f>IF(U17="","MISSING_TOTAL",IF(ABS(AB17)&lt;=0.01,"OK","CHECK"))</f>
        <v/>
      </c>
      <c r="AE17">
        <f>IF(U17="","MISSING",IF(AND(AA17&gt;0,U17/AA17&gt;50),"POSSIBLE_SCALE_ERROR","OK"))</f>
        <v/>
      </c>
    </row>
    <row r="18">
      <c r="A18" t="inlineStr">
        <is>
          <t>T-2020-P2-0004</t>
        </is>
      </c>
      <c r="B18" t="inlineStr">
        <is>
          <t>SLE</t>
        </is>
      </c>
      <c r="C18" t="inlineStr">
        <is>
          <t>Chair</t>
        </is>
      </c>
      <c r="D18" t="inlineStr">
        <is>
          <t>Président</t>
        </is>
      </c>
      <c r="E18" t="inlineStr">
        <is>
          <t>Bérubé, Paul-Claude</t>
        </is>
      </c>
      <c r="F18" t="inlineStr">
        <is>
          <t>To attend meeting with Canadian Accessibility Standards Development Organization Chief Executive Officer and Vice-chair</t>
        </is>
      </c>
      <c r="G18" t="inlineStr">
        <is>
          <t>Pour assister à une réunion avec le Directeur général et le Vice-Président du Conseil d'administration de l'Organisation Canadienne d'élaboration de normes d'accessibilité</t>
        </is>
      </c>
      <c r="H18" s="1" t="n">
        <v>43858</v>
      </c>
      <c r="I18" s="1" t="n">
        <v>43858</v>
      </c>
      <c r="J18" t="inlineStr">
        <is>
          <t>Ottawa, Ontario, Canada</t>
        </is>
      </c>
      <c r="K18" t="inlineStr">
        <is>
          <t>Ottawa, Ontario, Canada</t>
        </is>
      </c>
      <c r="P18" t="n">
        <v>0</v>
      </c>
      <c r="Q18" t="n">
        <v>563.09</v>
      </c>
      <c r="R18" t="n">
        <v>0</v>
      </c>
      <c r="S18" t="n">
        <v>20.6</v>
      </c>
      <c r="T18" t="n">
        <v>0</v>
      </c>
      <c r="U18" t="n">
        <v>583.6900000000001</v>
      </c>
      <c r="X18" t="inlineStr">
        <is>
          <t>casdo-ocena</t>
        </is>
      </c>
      <c r="Y18" t="inlineStr">
        <is>
          <t>Accessibility Standards Canada | Normes d’accessibilité Canada</t>
        </is>
      </c>
      <c r="Z18" t="n">
        <v>1</v>
      </c>
      <c r="AA18" t="n">
        <v>583.6900000000001</v>
      </c>
      <c r="AB18">
        <f>ROUND(U18-AA18,2)</f>
        <v/>
      </c>
      <c r="AC18" t="b">
        <v>0</v>
      </c>
      <c r="AD18">
        <f>IF(U18="","MISSING_TOTAL",IF(ABS(AB18)&lt;=0.01,"OK","CHECK"))</f>
        <v/>
      </c>
      <c r="AE18">
        <f>IF(U18="","MISSING",IF(AND(AA18&gt;0,U18/AA18&gt;50),"POSSIBLE_SCALE_ERROR","OK"))</f>
        <v/>
      </c>
    </row>
    <row r="19">
      <c r="A19" t="inlineStr">
        <is>
          <t>T-2020-P2-0005</t>
        </is>
      </c>
      <c r="B19" t="inlineStr">
        <is>
          <t>SLE</t>
        </is>
      </c>
      <c r="C19" t="inlineStr">
        <is>
          <t>Chair</t>
        </is>
      </c>
      <c r="D19" t="inlineStr">
        <is>
          <t>Président</t>
        </is>
      </c>
      <c r="E19" t="inlineStr">
        <is>
          <t>Bérubé, Paul-Claude</t>
        </is>
      </c>
      <c r="F19" t="inlineStr">
        <is>
          <t>Physical presence required for Canadian Accessibility Standards Development Organization board members meeting</t>
        </is>
      </c>
      <c r="G19" t="inlineStr">
        <is>
          <t>Participer à la réunion du conseil d'administration de l'Organisation canadienne d'élaboration de normes d'accessibilité</t>
        </is>
      </c>
      <c r="H19" s="1" t="n">
        <v>43851</v>
      </c>
      <c r="I19" s="1" t="n">
        <v>43851</v>
      </c>
      <c r="J19" t="inlineStr">
        <is>
          <t>Ottawa, Ontario, Canada</t>
        </is>
      </c>
      <c r="K19" t="inlineStr">
        <is>
          <t>Ottawa, Ontario, Canada</t>
        </is>
      </c>
      <c r="P19" t="n">
        <v>0</v>
      </c>
      <c r="Q19" t="n">
        <v>440.71</v>
      </c>
      <c r="R19" t="n">
        <v>0</v>
      </c>
      <c r="S19" t="n">
        <v>20.6</v>
      </c>
      <c r="T19" t="n">
        <v>0</v>
      </c>
      <c r="U19" t="n">
        <v>461.31</v>
      </c>
      <c r="X19" t="inlineStr">
        <is>
          <t>casdo-ocena</t>
        </is>
      </c>
      <c r="Y19" t="inlineStr">
        <is>
          <t>Accessibility Standards Canada | Normes d’accessibilité Canada</t>
        </is>
      </c>
      <c r="Z19" t="n">
        <v>1</v>
      </c>
      <c r="AA19" t="n">
        <v>461.31</v>
      </c>
      <c r="AB19">
        <f>ROUND(U19-AA19,2)</f>
        <v/>
      </c>
      <c r="AC19" t="b">
        <v>0</v>
      </c>
      <c r="AD19">
        <f>IF(U19="","MISSING_TOTAL",IF(ABS(AB19)&lt;=0.01,"OK","CHECK"))</f>
        <v/>
      </c>
      <c r="AE19">
        <f>IF(U19="","MISSING",IF(AND(AA19&gt;0,U19/AA19&gt;50),"POSSIBLE_SCALE_ERROR","OK"))</f>
        <v/>
      </c>
    </row>
    <row r="20">
      <c r="A20" t="inlineStr">
        <is>
          <t>T-2020-P2-0006</t>
        </is>
      </c>
      <c r="B20" t="inlineStr">
        <is>
          <t>SLE</t>
        </is>
      </c>
      <c r="C20" t="inlineStr">
        <is>
          <t>Vice Chair</t>
        </is>
      </c>
      <c r="D20" t="inlineStr">
        <is>
          <t>Vice-Présidente</t>
        </is>
      </c>
      <c r="E20" t="inlineStr">
        <is>
          <t>Reid, Mary</t>
        </is>
      </c>
      <c r="F20" t="inlineStr">
        <is>
          <t>To attend meeting with Canadian Accessibility Standards Development Organization Chief Executive Officer and Chair</t>
        </is>
      </c>
      <c r="G20" t="inlineStr">
        <is>
          <t>Pour assister à une réunion avec le Directeur général du Conseil d'administration et le président de l'Organisation Canadienne d'élaboration de normes d'accessibilité</t>
        </is>
      </c>
      <c r="H20" s="1" t="n">
        <v>43899</v>
      </c>
      <c r="I20" s="1" t="n">
        <v>43900</v>
      </c>
      <c r="J20" t="inlineStr">
        <is>
          <t>Montréal, Quebec, Canada</t>
        </is>
      </c>
      <c r="K20" t="inlineStr">
        <is>
          <t>Montréal, Québec, Canada</t>
        </is>
      </c>
      <c r="P20" t="n">
        <v>1278.66</v>
      </c>
      <c r="Q20" t="n">
        <v>32</v>
      </c>
      <c r="R20" t="n">
        <v>50</v>
      </c>
      <c r="S20" t="n">
        <v>112.1</v>
      </c>
      <c r="T20" t="n">
        <v>0</v>
      </c>
      <c r="U20" t="n">
        <v>1472.76</v>
      </c>
      <c r="X20" t="inlineStr">
        <is>
          <t>casdo-ocena</t>
        </is>
      </c>
      <c r="Y20" t="inlineStr">
        <is>
          <t>Accessibility Standards Canada | Normes d’accessibilité Canada</t>
        </is>
      </c>
      <c r="Z20" t="n">
        <v>2</v>
      </c>
      <c r="AA20" t="n">
        <v>1472.76</v>
      </c>
      <c r="AB20">
        <f>ROUND(U20-AA20,2)</f>
        <v/>
      </c>
      <c r="AC20" t="b">
        <v>0</v>
      </c>
      <c r="AD20">
        <f>IF(U20="","MISSING_TOTAL",IF(ABS(AB20)&lt;=0.01,"OK","CHECK"))</f>
        <v/>
      </c>
      <c r="AE20">
        <f>IF(U20="","MISSING",IF(AND(AA20&gt;0,U20/AA20&gt;50),"POSSIBLE_SCALE_ERROR","OK"))</f>
        <v/>
      </c>
    </row>
    <row r="21">
      <c r="A21" t="inlineStr">
        <is>
          <t>T-2020-P2-0007</t>
        </is>
      </c>
      <c r="B21" t="inlineStr">
        <is>
          <t>SLE</t>
        </is>
      </c>
      <c r="C21" t="inlineStr">
        <is>
          <t>Vice Chair</t>
        </is>
      </c>
      <c r="D21" t="inlineStr">
        <is>
          <t>Vice-Présidente</t>
        </is>
      </c>
      <c r="E21" t="inlineStr">
        <is>
          <t>Reid, Mary</t>
        </is>
      </c>
      <c r="F21" t="inlineStr">
        <is>
          <t>To attend meeting with Canadian Accessibility Standards Development Organization Chief Executive Officer</t>
        </is>
      </c>
      <c r="G21" t="inlineStr">
        <is>
          <t>Pour assister à une réunion avec le Directeur général du Conseil d'administration de l'Organisation Canadienne d'élaboration de normes d'accessibilité</t>
        </is>
      </c>
      <c r="H21" s="1" t="n">
        <v>43849</v>
      </c>
      <c r="I21" s="1" t="n">
        <v>43850</v>
      </c>
      <c r="J21" t="inlineStr">
        <is>
          <t>Ottawa, Ontario, Canada</t>
        </is>
      </c>
      <c r="K21" t="inlineStr">
        <is>
          <t>Ottawa, Ontario, Canada</t>
        </is>
      </c>
      <c r="P21" t="n">
        <v>1210.74</v>
      </c>
      <c r="Q21" t="n">
        <v>70.25</v>
      </c>
      <c r="R21" t="n">
        <v>269.12</v>
      </c>
      <c r="S21" t="n">
        <v>197.25</v>
      </c>
      <c r="T21" t="n">
        <v>0</v>
      </c>
      <c r="U21" t="n">
        <v>1747.36</v>
      </c>
      <c r="X21" t="inlineStr">
        <is>
          <t>casdo-ocena</t>
        </is>
      </c>
      <c r="Y21" t="inlineStr">
        <is>
          <t>Accessibility Standards Canada | Normes d’accessibilité Canada</t>
        </is>
      </c>
      <c r="Z21" t="n">
        <v>2</v>
      </c>
      <c r="AA21" t="n">
        <v>1747.36</v>
      </c>
      <c r="AB21">
        <f>ROUND(U21-AA21,2)</f>
        <v/>
      </c>
      <c r="AC21" t="b">
        <v>0</v>
      </c>
      <c r="AD21">
        <f>IF(U21="","MISSING_TOTAL",IF(ABS(AB21)&lt;=0.01,"OK","CHECK"))</f>
        <v/>
      </c>
      <c r="AE21">
        <f>IF(U21="","MISSING",IF(AND(AA21&gt;0,U21/AA21&gt;50),"POSSIBLE_SCALE_ERROR","OK"))</f>
        <v/>
      </c>
    </row>
    <row r="22">
      <c r="A22" t="inlineStr">
        <is>
          <t>T-2020-P2-0008</t>
        </is>
      </c>
      <c r="B22" t="inlineStr">
        <is>
          <t>SLE</t>
        </is>
      </c>
      <c r="C22" t="inlineStr">
        <is>
          <t>Board Of Directors</t>
        </is>
      </c>
      <c r="D22" t="inlineStr">
        <is>
          <t>Membre du conseil d'administration</t>
        </is>
      </c>
      <c r="E22" t="inlineStr">
        <is>
          <t>Adair, William</t>
        </is>
      </c>
      <c r="F22" t="inlineStr">
        <is>
          <t>Physical presence required for Canadian Accessibility Standards Development Organization board members meeting</t>
        </is>
      </c>
      <c r="G22" t="inlineStr">
        <is>
          <t>Participer à la réunion du conseil d'administration de l'Organisation canadienne d'élaboration de normes d'accessibilité</t>
        </is>
      </c>
      <c r="H22" s="1" t="n">
        <v>43870</v>
      </c>
      <c r="I22" s="1" t="n">
        <v>43873</v>
      </c>
      <c r="J22" t="inlineStr">
        <is>
          <t>Vancouver, British Columbia, Canada</t>
        </is>
      </c>
      <c r="K22" t="inlineStr">
        <is>
          <t>Vancouver, Colombie-Britannique, Canada</t>
        </is>
      </c>
      <c r="P22" t="n">
        <v>894.55</v>
      </c>
      <c r="Q22" t="n">
        <v>163.15</v>
      </c>
      <c r="R22" t="n">
        <v>630.99</v>
      </c>
      <c r="S22" t="n">
        <v>353.05</v>
      </c>
      <c r="T22" t="n">
        <v>0</v>
      </c>
      <c r="U22" t="n">
        <v>2041.74</v>
      </c>
      <c r="X22" t="inlineStr">
        <is>
          <t>casdo-ocena</t>
        </is>
      </c>
      <c r="Y22" t="inlineStr">
        <is>
          <t>Accessibility Standards Canada | Normes d’accessibilité Canada</t>
        </is>
      </c>
      <c r="Z22" t="n">
        <v>4</v>
      </c>
      <c r="AA22" t="n">
        <v>2041.74</v>
      </c>
      <c r="AB22">
        <f>ROUND(U22-AA22,2)</f>
        <v/>
      </c>
      <c r="AC22" t="b">
        <v>0</v>
      </c>
      <c r="AD22">
        <f>IF(U22="","MISSING_TOTAL",IF(ABS(AB22)&lt;=0.01,"OK","CHECK"))</f>
        <v/>
      </c>
      <c r="AE22">
        <f>IF(U22="","MISSING",IF(AND(AA22&gt;0,U22/AA22&gt;50),"POSSIBLE_SCALE_ERROR","OK"))</f>
        <v/>
      </c>
    </row>
    <row r="23">
      <c r="A23" t="inlineStr">
        <is>
          <t>T-2022-P5-0001</t>
        </is>
      </c>
      <c r="B23" t="inlineStr">
        <is>
          <t>SLE</t>
        </is>
      </c>
      <c r="C23" t="inlineStr">
        <is>
          <t>Chief Executive Officer</t>
        </is>
      </c>
      <c r="D23" t="inlineStr">
        <is>
          <t>Président-directeur général</t>
        </is>
      </c>
      <c r="E23" t="inlineStr">
        <is>
          <t>Rizcallah, Philip</t>
        </is>
      </c>
      <c r="F23" t="inlineStr">
        <is>
          <t>Meeting with Government of Quebec</t>
        </is>
      </c>
      <c r="G23" t="inlineStr">
        <is>
          <t>Réunion avec le gouvernement du Québec</t>
        </is>
      </c>
      <c r="H23" s="1" t="n">
        <v>44518</v>
      </c>
      <c r="I23" s="1" t="n">
        <v>44519</v>
      </c>
      <c r="J23" t="inlineStr">
        <is>
          <t>Brossard, Quebec, Canada</t>
        </is>
      </c>
      <c r="K23" t="inlineStr">
        <is>
          <t>Brossard, Québec, Canada</t>
        </is>
      </c>
      <c r="P23" t="n">
        <v>0</v>
      </c>
      <c r="Q23" t="n">
        <v>324.3</v>
      </c>
      <c r="R23" t="n">
        <v>177.31</v>
      </c>
      <c r="S23" t="n">
        <v>183.55</v>
      </c>
      <c r="T23" t="n">
        <v>11.6</v>
      </c>
      <c r="U23" t="n">
        <v>696.76</v>
      </c>
      <c r="X23" t="inlineStr">
        <is>
          <t>casdo-ocena</t>
        </is>
      </c>
      <c r="Y23" t="inlineStr">
        <is>
          <t>Accessibility Standards Canada | Normes d’accessibilité Canada</t>
        </is>
      </c>
      <c r="Z23" t="n">
        <v>2</v>
      </c>
      <c r="AA23" t="n">
        <v>696.76</v>
      </c>
      <c r="AB23">
        <f>ROUND(U23-AA23,2)</f>
        <v/>
      </c>
      <c r="AC23" t="b">
        <v>0</v>
      </c>
      <c r="AD23">
        <f>IF(U23="","MISSING_TOTAL",IF(ABS(AB23)&lt;=0.01,"OK","CHECK"))</f>
        <v/>
      </c>
      <c r="AE23">
        <f>IF(U23="","MISSING",IF(AND(AA23&gt;0,U23/AA23&gt;50),"POSSIBLE_SCALE_ERROR","OK"))</f>
        <v/>
      </c>
    </row>
    <row r="24">
      <c r="A24" t="inlineStr">
        <is>
          <t>T-2022-P5-0002</t>
        </is>
      </c>
      <c r="B24" t="inlineStr">
        <is>
          <t>SLE</t>
        </is>
      </c>
      <c r="C24" t="inlineStr">
        <is>
          <t>Chief Executive Officer</t>
        </is>
      </c>
      <c r="D24" t="inlineStr">
        <is>
          <t>Président-directeur général</t>
        </is>
      </c>
      <c r="E24" t="inlineStr">
        <is>
          <t>Rizcallah, Philip</t>
        </is>
      </c>
      <c r="F24" t="inlineStr">
        <is>
          <t>Meeting with the Office des personnes handicapées du Québec</t>
        </is>
      </c>
      <c r="G24" t="inlineStr">
        <is>
          <t>Réunion avec l'Office des personnes handicapées du Québec</t>
        </is>
      </c>
      <c r="H24" s="1" t="n">
        <v>44545</v>
      </c>
      <c r="I24" s="1" t="n">
        <v>44546</v>
      </c>
      <c r="J24" t="inlineStr">
        <is>
          <t>Québec, Quebec, Canada</t>
        </is>
      </c>
      <c r="K24" t="inlineStr">
        <is>
          <t>Québec, Québec, Canada</t>
        </is>
      </c>
      <c r="P24" t="n">
        <v>811.86</v>
      </c>
      <c r="Q24" t="n">
        <v>235.12</v>
      </c>
      <c r="R24" t="n">
        <v>154.7</v>
      </c>
      <c r="S24" t="n">
        <v>226.5</v>
      </c>
      <c r="T24" t="n">
        <v>0</v>
      </c>
      <c r="U24" t="n">
        <v>1428.18</v>
      </c>
      <c r="X24" t="inlineStr">
        <is>
          <t>casdo-ocena</t>
        </is>
      </c>
      <c r="Y24" t="inlineStr">
        <is>
          <t>Accessibility Standards Canada | Normes d’accessibilité Canada</t>
        </is>
      </c>
      <c r="Z24" t="n">
        <v>2</v>
      </c>
      <c r="AA24" t="n">
        <v>1428.18</v>
      </c>
      <c r="AB24">
        <f>ROUND(U24-AA24,2)</f>
        <v/>
      </c>
      <c r="AC24" t="b">
        <v>0</v>
      </c>
      <c r="AD24">
        <f>IF(U24="","MISSING_TOTAL",IF(ABS(AB24)&lt;=0.01,"OK","CHECK"))</f>
        <v/>
      </c>
      <c r="AE24">
        <f>IF(U24="","MISSING",IF(AND(AA24&gt;0,U24/AA24&gt;50),"POSSIBLE_SCALE_ERROR","OK"))</f>
        <v/>
      </c>
    </row>
    <row r="25">
      <c r="A25" t="inlineStr">
        <is>
          <t>T-2022-P5-0004</t>
        </is>
      </c>
      <c r="B25" t="inlineStr">
        <is>
          <t>SLE</t>
        </is>
      </c>
      <c r="C25" t="inlineStr">
        <is>
          <t>Chief Executive Officer</t>
        </is>
      </c>
      <c r="D25" t="inlineStr">
        <is>
          <t>Président-directeur général</t>
        </is>
      </c>
      <c r="E25" t="inlineStr">
        <is>
          <t>Rizcallah, Philip</t>
        </is>
      </c>
      <c r="F25" t="inlineStr">
        <is>
          <t>Stakeholder meetings in Atlantic Canada</t>
        </is>
      </c>
      <c r="G25" t="inlineStr">
        <is>
          <t>Réunions avec parties prenantes</t>
        </is>
      </c>
      <c r="H25" s="1" t="n">
        <v>44604</v>
      </c>
      <c r="I25" s="1" t="n">
        <v>44615</v>
      </c>
      <c r="J25" t="inlineStr">
        <is>
          <t>St. John's, NL</t>
        </is>
      </c>
      <c r="K25" t="inlineStr">
        <is>
          <t>St. John's, TN</t>
        </is>
      </c>
      <c r="P25" t="n">
        <v>1095.53</v>
      </c>
      <c r="Q25" t="n">
        <v>304.61</v>
      </c>
      <c r="R25" t="n">
        <v>553.4299999999999</v>
      </c>
      <c r="S25" t="n">
        <v>884.65</v>
      </c>
      <c r="T25" t="n">
        <v>253.04</v>
      </c>
      <c r="U25" t="n">
        <v>3091.26</v>
      </c>
      <c r="X25" t="inlineStr">
        <is>
          <t>casdo-ocena</t>
        </is>
      </c>
      <c r="Y25" t="inlineStr">
        <is>
          <t>Accessibility Standards Canada | Normes d’accessibilité Canada</t>
        </is>
      </c>
      <c r="Z25" t="n">
        <v>12</v>
      </c>
      <c r="AA25" t="n">
        <v>3091.25999999999</v>
      </c>
      <c r="AB25">
        <f>ROUND(U25-AA25,2)</f>
        <v/>
      </c>
      <c r="AC25" t="b">
        <v>0</v>
      </c>
      <c r="AD25">
        <f>IF(U25="","MISSING_TOTAL",IF(ABS(AB25)&lt;=0.01,"OK","CHECK"))</f>
        <v/>
      </c>
      <c r="AE25">
        <f>IF(U25="","MISSING",IF(AND(AA25&gt;0,U25/AA25&gt;50),"POSSIBLE_SCALE_ERROR","OK"))</f>
        <v/>
      </c>
    </row>
    <row r="26">
      <c r="A26" t="inlineStr">
        <is>
          <t>T-2022-P5-0005</t>
        </is>
      </c>
      <c r="B26" t="inlineStr">
        <is>
          <t>SLE</t>
        </is>
      </c>
      <c r="C26" t="inlineStr">
        <is>
          <t>Chief Executive Officer</t>
        </is>
      </c>
      <c r="D26" t="inlineStr">
        <is>
          <t>Président-directeur général</t>
        </is>
      </c>
      <c r="E26" t="inlineStr">
        <is>
          <t>Rizcallah, Philip</t>
        </is>
      </c>
      <c r="F26" t="inlineStr">
        <is>
          <t>Meeting with Legislative Assembly of New Brunswick</t>
        </is>
      </c>
      <c r="G26" t="inlineStr">
        <is>
          <t>Réunion avec l'Assemblée législative due Nouveau-Brunswick</t>
        </is>
      </c>
      <c r="H26" s="1" t="n">
        <v>44620</v>
      </c>
      <c r="I26" s="1" t="n">
        <v>44621</v>
      </c>
      <c r="J26" t="inlineStr">
        <is>
          <t>Fredericton, NB</t>
        </is>
      </c>
      <c r="K26" t="inlineStr">
        <is>
          <t>Fredericton, NB</t>
        </is>
      </c>
      <c r="P26" t="n">
        <v>817.28</v>
      </c>
      <c r="Q26" t="n">
        <v>237.17</v>
      </c>
      <c r="R26" t="n">
        <v>151.17</v>
      </c>
      <c r="S26" t="n">
        <v>205.15</v>
      </c>
      <c r="T26" t="n">
        <v>0</v>
      </c>
      <c r="U26" t="n">
        <v>1410.77</v>
      </c>
      <c r="X26" t="inlineStr">
        <is>
          <t>casdo-ocena</t>
        </is>
      </c>
      <c r="Y26" t="inlineStr">
        <is>
          <t>Accessibility Standards Canada | Normes d’accessibilité Canada</t>
        </is>
      </c>
      <c r="Z26" t="n">
        <v>2</v>
      </c>
      <c r="AA26" t="n">
        <v>1410.77</v>
      </c>
      <c r="AB26">
        <f>ROUND(U26-AA26,2)</f>
        <v/>
      </c>
      <c r="AC26" t="b">
        <v>0</v>
      </c>
      <c r="AD26">
        <f>IF(U26="","MISSING_TOTAL",IF(ABS(AB26)&lt;=0.01,"OK","CHECK"))</f>
        <v/>
      </c>
      <c r="AE26">
        <f>IF(U26="","MISSING",IF(AND(AA26&gt;0,U26/AA26&gt;50),"POSSIBLE_SCALE_ERROR","OK"))</f>
        <v/>
      </c>
    </row>
    <row r="27">
      <c r="A27" t="inlineStr">
        <is>
          <t>T-2023-P2-0001</t>
        </is>
      </c>
      <c r="B27" t="inlineStr">
        <is>
          <t>SLE</t>
        </is>
      </c>
      <c r="C27" t="inlineStr">
        <is>
          <t>Chief Executive Officer</t>
        </is>
      </c>
      <c r="D27" t="inlineStr">
        <is>
          <t>Président-directeur général</t>
        </is>
      </c>
      <c r="E27" t="inlineStr">
        <is>
          <t>Rizcallah, Philip</t>
        </is>
      </c>
      <c r="F27" t="inlineStr">
        <is>
          <t>Stakeholder meetings in Toronto</t>
        </is>
      </c>
      <c r="G27" t="inlineStr">
        <is>
          <t>Réunions avec des parties prenantes à Toronto</t>
        </is>
      </c>
      <c r="H27" s="1" t="n">
        <v>44658</v>
      </c>
      <c r="I27" s="1" t="n">
        <v>44660</v>
      </c>
      <c r="J27" t="inlineStr">
        <is>
          <t>Toronto, Ontario, Canada</t>
        </is>
      </c>
      <c r="K27" t="inlineStr">
        <is>
          <t>Toronto, Ontario, Canada</t>
        </is>
      </c>
      <c r="P27" t="n">
        <v>721.22</v>
      </c>
      <c r="Q27" t="n">
        <v>193.16</v>
      </c>
      <c r="R27" t="n">
        <v>491.24</v>
      </c>
      <c r="S27" t="n">
        <v>292.85</v>
      </c>
      <c r="U27" t="n">
        <v>1698.47</v>
      </c>
      <c r="X27" t="inlineStr">
        <is>
          <t>casdo-ocena</t>
        </is>
      </c>
      <c r="Y27" t="inlineStr">
        <is>
          <t>Accessibility Standards Canada | Normes d’accessibilité Canada</t>
        </is>
      </c>
      <c r="Z27" t="n">
        <v>3</v>
      </c>
      <c r="AA27" t="n">
        <v>1698.46999999999</v>
      </c>
      <c r="AB27">
        <f>ROUND(U27-AA27,2)</f>
        <v/>
      </c>
      <c r="AC27" t="b">
        <v>0</v>
      </c>
      <c r="AD27">
        <f>IF(U27="","MISSING_TOTAL",IF(ABS(AB27)&lt;=0.01,"OK","CHECK"))</f>
        <v/>
      </c>
      <c r="AE27">
        <f>IF(U27="","MISSING",IF(AND(AA27&gt;0,U27/AA27&gt;50),"POSSIBLE_SCALE_ERROR","OK"))</f>
        <v/>
      </c>
    </row>
    <row r="28">
      <c r="A28" t="inlineStr">
        <is>
          <t>T-2023-P3-0001</t>
        </is>
      </c>
      <c r="B28" t="inlineStr">
        <is>
          <t>SLE</t>
        </is>
      </c>
      <c r="C28" t="inlineStr">
        <is>
          <t>Chief Executive Officer</t>
        </is>
      </c>
      <c r="D28" t="inlineStr">
        <is>
          <t>Président-directeur général</t>
        </is>
      </c>
      <c r="E28" t="inlineStr">
        <is>
          <t>Rizcallah, Philip</t>
        </is>
      </c>
      <c r="F28" t="inlineStr">
        <is>
          <t>Stakeholder meetings in Halifax</t>
        </is>
      </c>
      <c r="G28" t="inlineStr">
        <is>
          <t>Réunions avec des parties prenantes à Halifax</t>
        </is>
      </c>
      <c r="H28" s="1" t="n">
        <v>44663</v>
      </c>
      <c r="I28" s="1" t="n">
        <v>44668</v>
      </c>
      <c r="J28" t="inlineStr">
        <is>
          <t>Halifax, Nova Scotia, Canada</t>
        </is>
      </c>
      <c r="K28" t="inlineStr">
        <is>
          <t>Halifax, Nouvelle-Ecosse, Canada</t>
        </is>
      </c>
      <c r="P28" t="n">
        <v>651.37</v>
      </c>
      <c r="Q28" t="n">
        <v>279.34</v>
      </c>
      <c r="R28" t="n">
        <v>594.72</v>
      </c>
      <c r="S28" t="n">
        <v>342.4</v>
      </c>
      <c r="T28" t="n">
        <v>14.27</v>
      </c>
      <c r="U28" t="n">
        <v>1882.1</v>
      </c>
      <c r="X28" t="inlineStr">
        <is>
          <t>casdo-ocena</t>
        </is>
      </c>
      <c r="Y28" t="inlineStr">
        <is>
          <t>Accessibility Standards Canada | Normes d’accessibilité Canada</t>
        </is>
      </c>
      <c r="Z28" t="n">
        <v>6</v>
      </c>
      <c r="AA28" t="n">
        <v>1882.1</v>
      </c>
      <c r="AB28">
        <f>ROUND(U28-AA28,2)</f>
        <v/>
      </c>
      <c r="AC28" t="b">
        <v>0</v>
      </c>
      <c r="AD28">
        <f>IF(U28="","MISSING_TOTAL",IF(ABS(AB28)&lt;=0.01,"OK","CHECK"))</f>
        <v/>
      </c>
      <c r="AE28">
        <f>IF(U28="","MISSING",IF(AND(AA28&gt;0,U28/AA28&gt;50),"POSSIBLE_SCALE_ERROR","OK"))</f>
        <v/>
      </c>
    </row>
    <row r="29">
      <c r="A29" t="inlineStr">
        <is>
          <t>T-2023-P3-0002</t>
        </is>
      </c>
      <c r="B29" t="inlineStr">
        <is>
          <t>SLE</t>
        </is>
      </c>
      <c r="C29" t="inlineStr">
        <is>
          <t>Chief Executive Officer</t>
        </is>
      </c>
      <c r="D29" t="inlineStr">
        <is>
          <t>Président-directeur général</t>
        </is>
      </c>
      <c r="E29" t="inlineStr">
        <is>
          <t>Rizcallah, Philip</t>
        </is>
      </c>
      <c r="F29" t="inlineStr">
        <is>
          <t>Stakeholder meetings in Edmonton</t>
        </is>
      </c>
      <c r="G29" t="inlineStr">
        <is>
          <t>Réunions avec des parties prenantes en Edmonton</t>
        </is>
      </c>
      <c r="H29" s="1" t="n">
        <v>44677</v>
      </c>
      <c r="I29" s="1" t="n">
        <v>44679</v>
      </c>
      <c r="J29" t="inlineStr">
        <is>
          <t>Edmonton, Alberta</t>
        </is>
      </c>
      <c r="K29" t="inlineStr">
        <is>
          <t>Edmonton, Alberta</t>
        </is>
      </c>
      <c r="P29" t="n">
        <v>1504.7</v>
      </c>
      <c r="Q29" t="n">
        <v>205.31</v>
      </c>
      <c r="R29" t="n">
        <v>334.56</v>
      </c>
      <c r="S29" t="n">
        <v>347.25</v>
      </c>
      <c r="T29" t="n">
        <v>0</v>
      </c>
      <c r="U29" t="n">
        <v>2391.82</v>
      </c>
      <c r="X29" t="inlineStr">
        <is>
          <t>casdo-ocena</t>
        </is>
      </c>
      <c r="Y29" t="inlineStr">
        <is>
          <t>Accessibility Standards Canada | Normes d’accessibilité Canada</t>
        </is>
      </c>
      <c r="Z29" t="n">
        <v>3</v>
      </c>
      <c r="AA29" t="n">
        <v>2391.81999999999</v>
      </c>
      <c r="AB29">
        <f>ROUND(U29-AA29,2)</f>
        <v/>
      </c>
      <c r="AC29" t="b">
        <v>0</v>
      </c>
      <c r="AD29">
        <f>IF(U29="","MISSING_TOTAL",IF(ABS(AB29)&lt;=0.01,"OK","CHECK"))</f>
        <v/>
      </c>
      <c r="AE29">
        <f>IF(U29="","MISSING",IF(AND(AA29&gt;0,U29/AA29&gt;50),"POSSIBLE_SCALE_ERROR","OK"))</f>
        <v/>
      </c>
    </row>
    <row r="30">
      <c r="A30" t="inlineStr">
        <is>
          <t>T-2023-P3-0003</t>
        </is>
      </c>
      <c r="B30" t="inlineStr">
        <is>
          <t>SLE</t>
        </is>
      </c>
      <c r="C30" t="inlineStr">
        <is>
          <t>Chief Executive Officer</t>
        </is>
      </c>
      <c r="D30" t="inlineStr">
        <is>
          <t>Président-directeur général</t>
        </is>
      </c>
      <c r="E30" t="inlineStr">
        <is>
          <t>Rizcallah, Philip</t>
        </is>
      </c>
      <c r="F30" t="inlineStr">
        <is>
          <t>Stakeholder meetings in Victoria and Vancouver</t>
        </is>
      </c>
      <c r="G30" t="inlineStr">
        <is>
          <t>Réunions avec des parties prenantes à Victoria et Vancouver</t>
        </is>
      </c>
      <c r="H30" s="1" t="n">
        <v>44704</v>
      </c>
      <c r="I30" s="1" t="n">
        <v>44707</v>
      </c>
      <c r="J30" t="inlineStr">
        <is>
          <t>Victoria and Vancouver, British Columbia, Canada</t>
        </is>
      </c>
      <c r="K30" t="inlineStr">
        <is>
          <t>Victoria et Vancouver, Colombie-Britannique</t>
        </is>
      </c>
      <c r="P30" t="n">
        <v>1818.5</v>
      </c>
      <c r="Q30" t="n">
        <v>691.09</v>
      </c>
      <c r="R30" t="n">
        <v>900.59</v>
      </c>
      <c r="S30" t="n">
        <v>463</v>
      </c>
      <c r="T30" t="n">
        <v>0</v>
      </c>
      <c r="U30" t="n">
        <v>3873.18</v>
      </c>
      <c r="X30" t="inlineStr">
        <is>
          <t>casdo-ocena</t>
        </is>
      </c>
      <c r="Y30" t="inlineStr">
        <is>
          <t>Accessibility Standards Canada | Normes d’accessibilité Canada</t>
        </is>
      </c>
      <c r="Z30" t="n">
        <v>4</v>
      </c>
      <c r="AA30" t="n">
        <v>3873.18</v>
      </c>
      <c r="AB30">
        <f>ROUND(U30-AA30,2)</f>
        <v/>
      </c>
      <c r="AC30" t="b">
        <v>0</v>
      </c>
      <c r="AD30">
        <f>IF(U30="","MISSING_TOTAL",IF(ABS(AB30)&lt;=0.01,"OK","CHECK"))</f>
        <v/>
      </c>
      <c r="AE30">
        <f>IF(U30="","MISSING",IF(AND(AA30&gt;0,U30/AA30&gt;50),"POSSIBLE_SCALE_ERROR","OK"))</f>
        <v/>
      </c>
    </row>
    <row r="31">
      <c r="A31" t="inlineStr">
        <is>
          <t>T-2023-P4-0001</t>
        </is>
      </c>
      <c r="B31" t="inlineStr">
        <is>
          <t>SLE</t>
        </is>
      </c>
      <c r="C31" t="inlineStr">
        <is>
          <t>Chief Executive Officer</t>
        </is>
      </c>
      <c r="D31" t="inlineStr">
        <is>
          <t>Président-directeur général</t>
        </is>
      </c>
      <c r="E31" t="inlineStr">
        <is>
          <t>Rizcallah, Philip</t>
        </is>
      </c>
      <c r="F31" t="inlineStr">
        <is>
          <t>Stakeholder meetings in Moncton</t>
        </is>
      </c>
      <c r="G31" t="inlineStr">
        <is>
          <t>Réunions avec des parties prenantes à Moncton</t>
        </is>
      </c>
      <c r="H31" s="1" t="n">
        <v>44733</v>
      </c>
      <c r="I31" s="1" t="n">
        <v>44734</v>
      </c>
      <c r="J31" t="inlineStr">
        <is>
          <t>Moncton, New Brunswick, Canada</t>
        </is>
      </c>
      <c r="K31" t="inlineStr">
        <is>
          <t>Moncton, Nouveau Brunswick, Canada</t>
        </is>
      </c>
      <c r="P31" t="n">
        <v>986.9</v>
      </c>
      <c r="Q31" t="n">
        <v>182.9</v>
      </c>
      <c r="R31" t="n">
        <v>141.55</v>
      </c>
      <c r="S31" t="n">
        <v>231.5</v>
      </c>
      <c r="T31" t="n">
        <v>0</v>
      </c>
      <c r="U31" t="n">
        <v>1542.85</v>
      </c>
      <c r="X31" t="inlineStr">
        <is>
          <t>casdo-ocena</t>
        </is>
      </c>
      <c r="Y31" t="inlineStr">
        <is>
          <t>Accessibility Standards Canada | Normes d’accessibilité Canada</t>
        </is>
      </c>
      <c r="Z31" t="n">
        <v>2</v>
      </c>
      <c r="AA31" t="n">
        <v>1542.85</v>
      </c>
      <c r="AB31">
        <f>ROUND(U31-AA31,2)</f>
        <v/>
      </c>
      <c r="AC31" t="b">
        <v>0</v>
      </c>
      <c r="AD31">
        <f>IF(U31="","MISSING_TOTAL",IF(ABS(AB31)&lt;=0.01,"OK","CHECK"))</f>
        <v/>
      </c>
      <c r="AE31">
        <f>IF(U31="","MISSING",IF(AND(AA31&gt;0,U31/AA31&gt;50),"POSSIBLE_SCALE_ERROR","OK"))</f>
        <v/>
      </c>
    </row>
    <row r="32">
      <c r="A32" t="inlineStr">
        <is>
          <t>T-2023-P4-0002</t>
        </is>
      </c>
      <c r="B32" t="inlineStr">
        <is>
          <t>SLE</t>
        </is>
      </c>
      <c r="C32" t="inlineStr">
        <is>
          <t>Chief Executive Officer</t>
        </is>
      </c>
      <c r="D32" t="inlineStr">
        <is>
          <t>Président-directeur général</t>
        </is>
      </c>
      <c r="E32" t="inlineStr">
        <is>
          <t>Rizcallah, Philip</t>
        </is>
      </c>
      <c r="F32" t="inlineStr">
        <is>
          <t>Stakeholder meetings in Toronto</t>
        </is>
      </c>
      <c r="G32" t="inlineStr">
        <is>
          <t>Réunions avec des parties prenantes en Toronto</t>
        </is>
      </c>
      <c r="H32" s="1" t="n">
        <v>44735</v>
      </c>
      <c r="I32" s="1" t="n">
        <v>44736</v>
      </c>
      <c r="J32" t="inlineStr">
        <is>
          <t>Toronto, Ontario, Canada</t>
        </is>
      </c>
      <c r="K32" t="inlineStr">
        <is>
          <t>Toronto, Ontario, Canada</t>
        </is>
      </c>
      <c r="P32" t="n">
        <v>0</v>
      </c>
      <c r="Q32" t="n">
        <v>665.2</v>
      </c>
      <c r="R32" t="n">
        <v>404.27</v>
      </c>
      <c r="S32" t="n">
        <v>231.5</v>
      </c>
      <c r="T32" t="n">
        <v>23.73</v>
      </c>
      <c r="U32" t="n">
        <v>1324.7</v>
      </c>
      <c r="X32" t="inlineStr">
        <is>
          <t>casdo-ocena</t>
        </is>
      </c>
      <c r="Y32" t="inlineStr">
        <is>
          <t>Accessibility Standards Canada | Normes d’accessibilité Canada</t>
        </is>
      </c>
      <c r="Z32" t="n">
        <v>2</v>
      </c>
      <c r="AA32" t="n">
        <v>1324.7</v>
      </c>
      <c r="AB32">
        <f>ROUND(U32-AA32,2)</f>
        <v/>
      </c>
      <c r="AC32" t="b">
        <v>0</v>
      </c>
      <c r="AD32">
        <f>IF(U32="","MISSING_TOTAL",IF(ABS(AB32)&lt;=0.01,"OK","CHECK"))</f>
        <v/>
      </c>
      <c r="AE32">
        <f>IF(U32="","MISSING",IF(AND(AA32&gt;0,U32/AA32&gt;50),"POSSIBLE_SCALE_ERROR","OK"))</f>
        <v/>
      </c>
    </row>
    <row r="33">
      <c r="A33" t="inlineStr">
        <is>
          <t>T-2023-P5-0001</t>
        </is>
      </c>
      <c r="B33" t="inlineStr">
        <is>
          <t>SLE</t>
        </is>
      </c>
      <c r="C33" t="inlineStr">
        <is>
          <t>Chief Executive Officer</t>
        </is>
      </c>
      <c r="D33" t="inlineStr">
        <is>
          <t>Président-directeur général</t>
        </is>
      </c>
      <c r="E33" t="inlineStr">
        <is>
          <t>Rizcallah, Philip</t>
        </is>
      </c>
      <c r="F33" t="inlineStr">
        <is>
          <t>CACP CIPH Annual Meeting</t>
        </is>
      </c>
      <c r="G33" t="inlineStr">
        <is>
          <t>Réunion annuelle CACP CIPH</t>
        </is>
      </c>
      <c r="H33" s="1" t="n">
        <v>44787</v>
      </c>
      <c r="I33" s="1" t="n">
        <v>44790</v>
      </c>
      <c r="J33" t="inlineStr">
        <is>
          <t>Halifax, Nova Scotia, Canada</t>
        </is>
      </c>
      <c r="K33" t="inlineStr">
        <is>
          <t>Halifax, Nouvelle Ecosse, Canada</t>
        </is>
      </c>
      <c r="P33" t="n">
        <v>698.64</v>
      </c>
      <c r="Q33" t="n">
        <v>278.92</v>
      </c>
      <c r="R33" t="n">
        <v>443.4</v>
      </c>
      <c r="S33" t="n">
        <v>468.95</v>
      </c>
      <c r="T33" t="n">
        <v>0</v>
      </c>
      <c r="U33" t="n">
        <v>1889.91</v>
      </c>
      <c r="X33" t="inlineStr">
        <is>
          <t>casdo-ocena</t>
        </is>
      </c>
      <c r="Y33" t="inlineStr">
        <is>
          <t>Accessibility Standards Canada | Normes d’accessibilité Canada</t>
        </is>
      </c>
      <c r="Z33" t="n">
        <v>4</v>
      </c>
      <c r="AA33" t="n">
        <v>1889.91</v>
      </c>
      <c r="AB33">
        <f>ROUND(U33-AA33,2)</f>
        <v/>
      </c>
      <c r="AC33" t="b">
        <v>0</v>
      </c>
      <c r="AD33">
        <f>IF(U33="","MISSING_TOTAL",IF(ABS(AB33)&lt;=0.01,"OK","CHECK"))</f>
        <v/>
      </c>
      <c r="AE33">
        <f>IF(U33="","MISSING",IF(AND(AA33&gt;0,U33/AA33&gt;50),"POSSIBLE_SCALE_ERROR","OK"))</f>
        <v/>
      </c>
    </row>
    <row r="34">
      <c r="A34" t="inlineStr">
        <is>
          <t>T-2023-P5-0002</t>
        </is>
      </c>
      <c r="B34" t="inlineStr">
        <is>
          <t>SLE</t>
        </is>
      </c>
      <c r="C34" t="inlineStr">
        <is>
          <t>Chief Executive Officer</t>
        </is>
      </c>
      <c r="D34" t="inlineStr">
        <is>
          <t>Président-directeur général</t>
        </is>
      </c>
      <c r="E34" t="inlineStr">
        <is>
          <t>Rizcallah, Philip</t>
        </is>
      </c>
      <c r="F34" t="inlineStr">
        <is>
          <t>Standard and training review</t>
        </is>
      </c>
      <c r="G34" t="inlineStr">
        <is>
          <t>Formation des normes</t>
        </is>
      </c>
      <c r="H34" s="1" t="n">
        <v>44798</v>
      </c>
      <c r="I34" s="1" t="n">
        <v>44800</v>
      </c>
      <c r="J34" t="inlineStr">
        <is>
          <t>Peterborough, Ontario, Canada</t>
        </is>
      </c>
      <c r="K34" t="inlineStr">
        <is>
          <t>Peterborough, Ontario, Canada</t>
        </is>
      </c>
      <c r="P34" t="n">
        <v>0</v>
      </c>
      <c r="Q34" t="n">
        <v>336.6</v>
      </c>
      <c r="R34" t="n">
        <v>369.75</v>
      </c>
      <c r="S34" t="n">
        <v>270.95</v>
      </c>
      <c r="T34" t="n">
        <v>0</v>
      </c>
      <c r="U34" t="n">
        <v>977.3</v>
      </c>
      <c r="X34" t="inlineStr">
        <is>
          <t>casdo-ocena</t>
        </is>
      </c>
      <c r="Y34" t="inlineStr">
        <is>
          <t>Accessibility Standards Canada | Normes d’accessibilité Canada</t>
        </is>
      </c>
      <c r="Z34" t="n">
        <v>3</v>
      </c>
      <c r="AA34" t="n">
        <v>977.3</v>
      </c>
      <c r="AB34">
        <f>ROUND(U34-AA34,2)</f>
        <v/>
      </c>
      <c r="AC34" t="b">
        <v>0</v>
      </c>
      <c r="AD34">
        <f>IF(U34="","MISSING_TOTAL",IF(ABS(AB34)&lt;=0.01,"OK","CHECK"))</f>
        <v/>
      </c>
      <c r="AE34">
        <f>IF(U34="","MISSING",IF(AND(AA34&gt;0,U34/AA34&gt;50),"POSSIBLE_SCALE_ERROR","OK"))</f>
        <v/>
      </c>
    </row>
    <row r="35">
      <c r="A35" t="inlineStr">
        <is>
          <t>T-2023-P5-0003</t>
        </is>
      </c>
      <c r="B35" t="inlineStr">
        <is>
          <t>SLE</t>
        </is>
      </c>
      <c r="C35" t="inlineStr">
        <is>
          <t>Chair</t>
        </is>
      </c>
      <c r="D35" t="inlineStr">
        <is>
          <t>Président</t>
        </is>
      </c>
      <c r="E35" t="inlineStr">
        <is>
          <t>Bérubé, Paul-Claude</t>
        </is>
      </c>
      <c r="F35" t="inlineStr">
        <is>
          <t>Meeting with CEO</t>
        </is>
      </c>
      <c r="G35" t="inlineStr">
        <is>
          <t>Réunion avec PDG</t>
        </is>
      </c>
      <c r="H35" s="1" t="n">
        <v>44769</v>
      </c>
      <c r="I35" s="1" t="n">
        <v>44769</v>
      </c>
      <c r="J35" t="inlineStr">
        <is>
          <t>Brossard, Quebec, Canada</t>
        </is>
      </c>
      <c r="K35" t="inlineStr">
        <is>
          <t>Brossard, Québec, Canada</t>
        </is>
      </c>
      <c r="P35" t="n">
        <v>0</v>
      </c>
      <c r="Q35" t="n">
        <v>41.25</v>
      </c>
      <c r="R35" t="n">
        <v>0</v>
      </c>
      <c r="S35" t="n">
        <v>22.15</v>
      </c>
      <c r="T35" t="n">
        <v>0</v>
      </c>
      <c r="U35" t="n">
        <v>63.4</v>
      </c>
      <c r="X35" t="inlineStr">
        <is>
          <t>casdo-ocena</t>
        </is>
      </c>
      <c r="Y35" t="inlineStr">
        <is>
          <t>Accessibility Standards Canada | Normes d’accessibilité Canada</t>
        </is>
      </c>
      <c r="Z35" t="n">
        <v>1</v>
      </c>
      <c r="AA35" t="n">
        <v>63.4</v>
      </c>
      <c r="AB35">
        <f>ROUND(U35-AA35,2)</f>
        <v/>
      </c>
      <c r="AC35" t="b">
        <v>0</v>
      </c>
      <c r="AD35">
        <f>IF(U35="","MISSING_TOTAL",IF(ABS(AB35)&lt;=0.01,"OK","CHECK"))</f>
        <v/>
      </c>
      <c r="AE35">
        <f>IF(U35="","MISSING",IF(AND(AA35&gt;0,U35/AA35&gt;50),"POSSIBLE_SCALE_ERROR","OK"))</f>
        <v/>
      </c>
    </row>
    <row r="36">
      <c r="A36" t="inlineStr">
        <is>
          <t>T-2023-P5-0004</t>
        </is>
      </c>
      <c r="B36" t="inlineStr">
        <is>
          <t>SLE</t>
        </is>
      </c>
      <c r="C36" t="inlineStr">
        <is>
          <t>Chair</t>
        </is>
      </c>
      <c r="D36" t="inlineStr">
        <is>
          <t>Président</t>
        </is>
      </c>
      <c r="E36" t="inlineStr">
        <is>
          <t>Bérubé, Paul-Claude</t>
        </is>
      </c>
      <c r="F36" t="inlineStr">
        <is>
          <t>Meeting with Vie Autonome</t>
        </is>
      </c>
      <c r="G36" t="inlineStr">
        <is>
          <t>Réunion avec Vie Autonome</t>
        </is>
      </c>
      <c r="H36" s="1" t="n">
        <v>44779</v>
      </c>
      <c r="I36" s="1" t="n">
        <v>44779</v>
      </c>
      <c r="J36" t="inlineStr">
        <is>
          <t>Val d'Or, Quebec, Canada</t>
        </is>
      </c>
      <c r="K36" t="inlineStr">
        <is>
          <t>Val d'Or, Québec, Canada</t>
        </is>
      </c>
      <c r="P36" t="n">
        <v>1633.64</v>
      </c>
      <c r="Q36" t="n">
        <v>108.7</v>
      </c>
      <c r="R36" t="n">
        <v>0</v>
      </c>
      <c r="S36" t="n">
        <v>98.45</v>
      </c>
      <c r="T36" t="n">
        <v>0</v>
      </c>
      <c r="U36" t="n">
        <v>1840.79</v>
      </c>
      <c r="X36" t="inlineStr">
        <is>
          <t>casdo-ocena</t>
        </is>
      </c>
      <c r="Y36" t="inlineStr">
        <is>
          <t>Accessibility Standards Canada | Normes d’accessibilité Canada</t>
        </is>
      </c>
      <c r="Z36" t="n">
        <v>1</v>
      </c>
      <c r="AA36" t="n">
        <v>1840.79</v>
      </c>
      <c r="AB36">
        <f>ROUND(U36-AA36,2)</f>
        <v/>
      </c>
      <c r="AC36" t="b">
        <v>0</v>
      </c>
      <c r="AD36">
        <f>IF(U36="","MISSING_TOTAL",IF(ABS(AB36)&lt;=0.01,"OK","CHECK"))</f>
        <v/>
      </c>
      <c r="AE36">
        <f>IF(U36="","MISSING",IF(AND(AA36&gt;0,U36/AA36&gt;50),"POSSIBLE_SCALE_ERROR","OK"))</f>
        <v/>
      </c>
    </row>
    <row r="37">
      <c r="A37" t="inlineStr">
        <is>
          <t>T-2023-P5-0005</t>
        </is>
      </c>
      <c r="B37" t="inlineStr">
        <is>
          <t>SLE</t>
        </is>
      </c>
      <c r="C37" t="inlineStr">
        <is>
          <t>Chair</t>
        </is>
      </c>
      <c r="D37" t="inlineStr">
        <is>
          <t>Président</t>
        </is>
      </c>
      <c r="E37" t="inlineStr">
        <is>
          <t>Bérubé, Paul-Claude</t>
        </is>
      </c>
      <c r="F37" t="inlineStr">
        <is>
          <t>Meeting with CEO and co-Chair</t>
        </is>
      </c>
      <c r="G37" t="inlineStr">
        <is>
          <t>Réunion avec PDG et co-président</t>
        </is>
      </c>
      <c r="H37" s="1" t="n">
        <v>44752</v>
      </c>
      <c r="I37" s="1" t="n">
        <v>44754</v>
      </c>
      <c r="J37" t="inlineStr">
        <is>
          <t>Gatineau, Quebec, Canada</t>
        </is>
      </c>
      <c r="K37" t="inlineStr">
        <is>
          <t>Gatineau, Québec, Canada</t>
        </is>
      </c>
      <c r="P37" t="n">
        <v>0</v>
      </c>
      <c r="Q37" t="n">
        <v>296.04</v>
      </c>
      <c r="R37" t="n">
        <v>783.04</v>
      </c>
      <c r="S37" t="n">
        <v>259.4</v>
      </c>
      <c r="T37" t="n">
        <v>0</v>
      </c>
      <c r="U37" t="n">
        <v>1338.48</v>
      </c>
      <c r="X37" t="inlineStr">
        <is>
          <t>casdo-ocena</t>
        </is>
      </c>
      <c r="Y37" t="inlineStr">
        <is>
          <t>Accessibility Standards Canada | Normes d’accessibilité Canada</t>
        </is>
      </c>
      <c r="Z37" t="n">
        <v>3</v>
      </c>
      <c r="AA37" t="n">
        <v>1338.48</v>
      </c>
      <c r="AB37">
        <f>ROUND(U37-AA37,2)</f>
        <v/>
      </c>
      <c r="AC37" t="b">
        <v>0</v>
      </c>
      <c r="AD37">
        <f>IF(U37="","MISSING_TOTAL",IF(ABS(AB37)&lt;=0.01,"OK","CHECK"))</f>
        <v/>
      </c>
      <c r="AE37">
        <f>IF(U37="","MISSING",IF(AND(AA37&gt;0,U37/AA37&gt;50),"POSSIBLE_SCALE_ERROR","OK"))</f>
        <v/>
      </c>
    </row>
    <row r="38">
      <c r="A38" t="inlineStr">
        <is>
          <t>T-2023-P5-0006</t>
        </is>
      </c>
      <c r="B38" t="inlineStr">
        <is>
          <t>SLE</t>
        </is>
      </c>
      <c r="C38" t="inlineStr">
        <is>
          <t>Board Member</t>
        </is>
      </c>
      <c r="D38" t="inlineStr">
        <is>
          <t>Membre du conseil d'administration</t>
        </is>
      </c>
      <c r="E38" t="inlineStr">
        <is>
          <t>McLaughlin, Joseph</t>
        </is>
      </c>
      <c r="F38" t="inlineStr">
        <is>
          <t>Stakeholder meeting</t>
        </is>
      </c>
      <c r="G38" t="inlineStr">
        <is>
          <t>Réunion des parties prenantes</t>
        </is>
      </c>
      <c r="H38" s="1" t="n">
        <v>44706</v>
      </c>
      <c r="I38" s="1" t="n">
        <v>44706</v>
      </c>
      <c r="J38" t="inlineStr">
        <is>
          <t>Vancouver, British Columbia, Canada</t>
        </is>
      </c>
      <c r="K38" t="inlineStr">
        <is>
          <t>Vancouver, Colombie Britannique, Canada</t>
        </is>
      </c>
      <c r="P38" t="n">
        <v>0</v>
      </c>
      <c r="Q38" t="n">
        <v>49.68</v>
      </c>
      <c r="R38" t="n">
        <v>0</v>
      </c>
      <c r="S38" t="n">
        <v>0</v>
      </c>
      <c r="U38" t="n">
        <v>49.68</v>
      </c>
      <c r="X38" t="inlineStr">
        <is>
          <t>casdo-ocena</t>
        </is>
      </c>
      <c r="Y38" t="inlineStr">
        <is>
          <t>Accessibility Standards Canada | Normes d’accessibilité Canada</t>
        </is>
      </c>
      <c r="Z38" t="n">
        <v>1</v>
      </c>
      <c r="AA38" t="n">
        <v>49.68</v>
      </c>
      <c r="AB38">
        <f>ROUND(U38-AA38,2)</f>
        <v/>
      </c>
      <c r="AC38" t="b">
        <v>0</v>
      </c>
      <c r="AD38">
        <f>IF(U38="","MISSING_TOTAL",IF(ABS(AB38)&lt;=0.01,"OK","CHECK"))</f>
        <v/>
      </c>
      <c r="AE38">
        <f>IF(U38="","MISSING",IF(AND(AA38&gt;0,U38/AA38&gt;50),"POSSIBLE_SCALE_ERROR","OK"))</f>
        <v/>
      </c>
    </row>
    <row r="39">
      <c r="A39" t="inlineStr">
        <is>
          <t>T-2023-P6-0001</t>
        </is>
      </c>
      <c r="B39" t="inlineStr">
        <is>
          <t>SLE</t>
        </is>
      </c>
      <c r="C39" t="inlineStr">
        <is>
          <t>Vice Chair</t>
        </is>
      </c>
      <c r="D39" t="inlineStr">
        <is>
          <t>Vice président</t>
        </is>
      </c>
      <c r="E39" t="inlineStr">
        <is>
          <t>Reid, Mary</t>
        </is>
      </c>
      <c r="F39" t="inlineStr">
        <is>
          <t>Meeting with CEO and Chair</t>
        </is>
      </c>
      <c r="G39" t="inlineStr">
        <is>
          <t>Réunion avec PDG et Président</t>
        </is>
      </c>
      <c r="H39" s="1" t="n">
        <v>44745</v>
      </c>
      <c r="I39" s="1" t="n">
        <v>44755</v>
      </c>
      <c r="J39" t="inlineStr">
        <is>
          <t>Gatineau, Quebec, Canada</t>
        </is>
      </c>
      <c r="K39" t="inlineStr">
        <is>
          <t>Gatineau, Québec, Canada</t>
        </is>
      </c>
      <c r="P39" t="n">
        <v>780.54</v>
      </c>
      <c r="Q39" t="n">
        <v>50</v>
      </c>
      <c r="R39" t="n">
        <v>371.32</v>
      </c>
      <c r="S39" t="n">
        <v>270.7</v>
      </c>
      <c r="T39" t="n">
        <v>0</v>
      </c>
      <c r="U39" t="n">
        <v>1472.56</v>
      </c>
      <c r="X39" t="inlineStr">
        <is>
          <t>casdo-ocena</t>
        </is>
      </c>
      <c r="Y39" t="inlineStr">
        <is>
          <t>Accessibility Standards Canada | Normes d’accessibilité Canada</t>
        </is>
      </c>
      <c r="Z39" t="n">
        <v>11</v>
      </c>
      <c r="AA39" t="n">
        <v>1472.56</v>
      </c>
      <c r="AB39">
        <f>ROUND(U39-AA39,2)</f>
        <v/>
      </c>
      <c r="AC39" t="b">
        <v>0</v>
      </c>
      <c r="AD39">
        <f>IF(U39="","MISSING_TOTAL",IF(ABS(AB39)&lt;=0.01,"OK","CHECK"))</f>
        <v/>
      </c>
      <c r="AE39">
        <f>IF(U39="","MISSING",IF(AND(AA39&gt;0,U39/AA39&gt;50),"POSSIBLE_SCALE_ERROR","OK"))</f>
        <v/>
      </c>
    </row>
    <row r="40">
      <c r="A40" t="inlineStr">
        <is>
          <t>T-2023-P7-0001</t>
        </is>
      </c>
      <c r="B40" t="inlineStr">
        <is>
          <t>SLE</t>
        </is>
      </c>
      <c r="C40" t="inlineStr">
        <is>
          <t>Chief Executive Officer</t>
        </is>
      </c>
      <c r="D40" t="inlineStr">
        <is>
          <t>Président-directeur général</t>
        </is>
      </c>
      <c r="E40" t="inlineStr">
        <is>
          <t>Rizcallah, Philip</t>
        </is>
      </c>
      <c r="F40" t="inlineStr">
        <is>
          <t>International conference on Universal Design</t>
        </is>
      </c>
      <c r="G40" t="inlineStr">
        <is>
          <t>Conférence internationale sur la conception universelle</t>
        </is>
      </c>
      <c r="H40" s="1" t="n">
        <v>44805</v>
      </c>
      <c r="I40" s="1" t="n">
        <v>44814</v>
      </c>
      <c r="J40" t="inlineStr">
        <is>
          <t>Venice, Italy</t>
        </is>
      </c>
      <c r="K40" t="inlineStr">
        <is>
          <t>Venise, Italie</t>
        </is>
      </c>
      <c r="P40" t="n">
        <v>12175.56</v>
      </c>
      <c r="Q40" t="n">
        <v>592.46</v>
      </c>
      <c r="R40" t="n">
        <v>996.34</v>
      </c>
      <c r="S40" t="n">
        <v>731.55</v>
      </c>
      <c r="T40" t="n">
        <v>0</v>
      </c>
      <c r="U40" t="n">
        <v>14495.91</v>
      </c>
      <c r="X40" t="inlineStr">
        <is>
          <t>casdo-ocena</t>
        </is>
      </c>
      <c r="Y40" t="inlineStr">
        <is>
          <t>Accessibility Standards Canada | Normes d’accessibilité Canada</t>
        </is>
      </c>
      <c r="Z40" t="n">
        <v>10</v>
      </c>
      <c r="AA40" t="n">
        <v>14495.91</v>
      </c>
      <c r="AB40">
        <f>ROUND(U40-AA40,2)</f>
        <v/>
      </c>
      <c r="AC40" t="b">
        <v>0</v>
      </c>
      <c r="AD40">
        <f>IF(U40="","MISSING_TOTAL",IF(ABS(AB40)&lt;=0.01,"OK","CHECK"))</f>
        <v/>
      </c>
      <c r="AE40">
        <f>IF(U40="","MISSING",IF(AND(AA40&gt;0,U40/AA40&gt;50),"POSSIBLE_SCALE_ERROR","OK"))</f>
        <v/>
      </c>
    </row>
    <row r="41">
      <c r="A41" t="inlineStr">
        <is>
          <t>T-2023-P7-0002</t>
        </is>
      </c>
      <c r="B41" t="inlineStr">
        <is>
          <t>SLE</t>
        </is>
      </c>
      <c r="C41" t="inlineStr">
        <is>
          <t>Chief Executive Officer</t>
        </is>
      </c>
      <c r="D41" t="inlineStr">
        <is>
          <t>Président-directeur général</t>
        </is>
      </c>
      <c r="E41" t="inlineStr">
        <is>
          <t>Rizcallah, Philip</t>
        </is>
      </c>
      <c r="F41" t="inlineStr">
        <is>
          <t>Presenter at International Code Conference</t>
        </is>
      </c>
      <c r="G41" t="inlineStr">
        <is>
          <t>Présenteur à la conférence internationale des codes</t>
        </is>
      </c>
      <c r="H41" s="1" t="n">
        <v>44816</v>
      </c>
      <c r="I41" s="1" t="n">
        <v>44818</v>
      </c>
      <c r="J41" t="inlineStr">
        <is>
          <t>Louisville, Kentucky</t>
        </is>
      </c>
      <c r="K41" t="inlineStr">
        <is>
          <t>Lousiville, Kentucky</t>
        </is>
      </c>
      <c r="P41" t="n">
        <v>1668.11</v>
      </c>
      <c r="Q41" t="n">
        <v>202.11</v>
      </c>
      <c r="R41" t="n">
        <v>400.4</v>
      </c>
      <c r="S41" t="n">
        <v>422.29</v>
      </c>
      <c r="T41" t="n">
        <v>0</v>
      </c>
      <c r="U41" t="n">
        <v>2692.91</v>
      </c>
      <c r="X41" t="inlineStr">
        <is>
          <t>casdo-ocena</t>
        </is>
      </c>
      <c r="Y41" t="inlineStr">
        <is>
          <t>Accessibility Standards Canada | Normes d’accessibilité Canada</t>
        </is>
      </c>
      <c r="Z41" t="n">
        <v>3</v>
      </c>
      <c r="AA41" t="n">
        <v>2692.91</v>
      </c>
      <c r="AB41">
        <f>ROUND(U41-AA41,2)</f>
        <v/>
      </c>
      <c r="AC41" t="b">
        <v>0</v>
      </c>
      <c r="AD41">
        <f>IF(U41="","MISSING_TOTAL",IF(ABS(AB41)&lt;=0.01,"OK","CHECK"))</f>
        <v/>
      </c>
      <c r="AE41">
        <f>IF(U41="","MISSING",IF(AND(AA41&gt;0,U41/AA41&gt;50),"POSSIBLE_SCALE_ERROR","OK"))</f>
        <v/>
      </c>
    </row>
    <row r="42">
      <c r="A42" t="inlineStr">
        <is>
          <t>T-2023-P7-0003</t>
        </is>
      </c>
      <c r="B42" t="inlineStr">
        <is>
          <t>SLE</t>
        </is>
      </c>
      <c r="C42" t="inlineStr">
        <is>
          <t>Chief Executive Officer</t>
        </is>
      </c>
      <c r="D42" t="inlineStr">
        <is>
          <t>Président-directeur général</t>
        </is>
      </c>
      <c r="E42" t="inlineStr">
        <is>
          <t>Rizcallah, Philip</t>
        </is>
      </c>
      <c r="F42" t="inlineStr">
        <is>
          <t>Board meeting</t>
        </is>
      </c>
      <c r="G42" t="inlineStr">
        <is>
          <t>Réunion du conseil d'administration</t>
        </is>
      </c>
      <c r="H42" s="1" t="n">
        <v>44822</v>
      </c>
      <c r="I42" s="1" t="n">
        <v>44825</v>
      </c>
      <c r="J42" t="inlineStr">
        <is>
          <t>Montreal, Quebec, Canada</t>
        </is>
      </c>
      <c r="K42" t="inlineStr">
        <is>
          <t>Montréal, Québec, Canada</t>
        </is>
      </c>
      <c r="P42" t="n">
        <v>0</v>
      </c>
      <c r="Q42" t="n">
        <v>671.27</v>
      </c>
      <c r="R42" t="n">
        <v>0</v>
      </c>
      <c r="S42" t="n">
        <v>418.95</v>
      </c>
      <c r="T42" t="n">
        <v>0</v>
      </c>
      <c r="U42" t="n">
        <v>1090.22</v>
      </c>
      <c r="X42" t="inlineStr">
        <is>
          <t>casdo-ocena</t>
        </is>
      </c>
      <c r="Y42" t="inlineStr">
        <is>
          <t>Accessibility Standards Canada | Normes d’accessibilité Canada</t>
        </is>
      </c>
      <c r="Z42" t="n">
        <v>4</v>
      </c>
      <c r="AA42" t="n">
        <v>1090.22</v>
      </c>
      <c r="AB42">
        <f>ROUND(U42-AA42,2)</f>
        <v/>
      </c>
      <c r="AC42" t="b">
        <v>0</v>
      </c>
      <c r="AD42">
        <f>IF(U42="","MISSING_TOTAL",IF(ABS(AB42)&lt;=0.01,"OK","CHECK"))</f>
        <v/>
      </c>
      <c r="AE42">
        <f>IF(U42="","MISSING",IF(AND(AA42&gt;0,U42/AA42&gt;50),"POSSIBLE_SCALE_ERROR","OK"))</f>
        <v/>
      </c>
    </row>
    <row r="43">
      <c r="A43" t="inlineStr">
        <is>
          <t>T-2023-P7-0004</t>
        </is>
      </c>
      <c r="B43" t="inlineStr">
        <is>
          <t>SLE</t>
        </is>
      </c>
      <c r="C43" t="inlineStr">
        <is>
          <t>Vice Chair</t>
        </is>
      </c>
      <c r="D43" t="inlineStr">
        <is>
          <t>Vice président</t>
        </is>
      </c>
      <c r="E43" t="inlineStr">
        <is>
          <t>Reid, Mary</t>
        </is>
      </c>
      <c r="F43" t="inlineStr">
        <is>
          <t>Board meeting</t>
        </is>
      </c>
      <c r="G43" t="inlineStr">
        <is>
          <t>Réunion du conseil d'administration</t>
        </is>
      </c>
      <c r="H43" s="1" t="n">
        <v>44822</v>
      </c>
      <c r="I43" s="1" t="n">
        <v>44825</v>
      </c>
      <c r="J43" t="inlineStr">
        <is>
          <t>Montreal, Quebec, Canada</t>
        </is>
      </c>
      <c r="K43" t="inlineStr">
        <is>
          <t>Montréal, Québec, Canada</t>
        </is>
      </c>
      <c r="P43" t="n">
        <v>670.23</v>
      </c>
      <c r="Q43" t="n">
        <v>106.34</v>
      </c>
      <c r="R43" t="n">
        <v>0</v>
      </c>
      <c r="S43" t="n">
        <v>396.8</v>
      </c>
      <c r="T43" t="n">
        <v>0</v>
      </c>
      <c r="U43" t="n">
        <v>1173.37</v>
      </c>
      <c r="X43" t="inlineStr">
        <is>
          <t>casdo-ocena</t>
        </is>
      </c>
      <c r="Y43" t="inlineStr">
        <is>
          <t>Accessibility Standards Canada | Normes d’accessibilité Canada</t>
        </is>
      </c>
      <c r="Z43" t="n">
        <v>4</v>
      </c>
      <c r="AA43" t="n">
        <v>1173.37</v>
      </c>
      <c r="AB43">
        <f>ROUND(U43-AA43,2)</f>
        <v/>
      </c>
      <c r="AC43" t="b">
        <v>0</v>
      </c>
      <c r="AD43">
        <f>IF(U43="","MISSING_TOTAL",IF(ABS(AB43)&lt;=0.01,"OK","CHECK"))</f>
        <v/>
      </c>
      <c r="AE43">
        <f>IF(U43="","MISSING",IF(AND(AA43&gt;0,U43/AA43&gt;50),"POSSIBLE_SCALE_ERROR","OK"))</f>
        <v/>
      </c>
    </row>
    <row r="44">
      <c r="A44" t="inlineStr">
        <is>
          <t>T-2023-P7-0005</t>
        </is>
      </c>
      <c r="B44" t="inlineStr">
        <is>
          <t>SLE</t>
        </is>
      </c>
      <c r="C44" t="inlineStr">
        <is>
          <t>Board Member</t>
        </is>
      </c>
      <c r="D44" t="inlineStr">
        <is>
          <t>Membre du conseil d'administration</t>
        </is>
      </c>
      <c r="E44" t="inlineStr">
        <is>
          <t>McLaughlin, Joseph</t>
        </is>
      </c>
      <c r="F44" t="inlineStr">
        <is>
          <t>Board meeting</t>
        </is>
      </c>
      <c r="G44" t="inlineStr">
        <is>
          <t>Réunion du conseil d'administration</t>
        </is>
      </c>
      <c r="H44" s="1" t="n">
        <v>44822</v>
      </c>
      <c r="I44" s="1" t="n">
        <v>44825</v>
      </c>
      <c r="J44" t="inlineStr">
        <is>
          <t>Montreal, Quebec, Canada</t>
        </is>
      </c>
      <c r="K44" t="inlineStr">
        <is>
          <t>Montréal, Québec, Canada</t>
        </is>
      </c>
      <c r="P44" t="n">
        <v>822.12</v>
      </c>
      <c r="Q44" t="n">
        <v>283.29</v>
      </c>
      <c r="R44" t="n">
        <v>1067.43</v>
      </c>
      <c r="S44" t="n">
        <v>418.7</v>
      </c>
      <c r="T44" t="n">
        <v>0</v>
      </c>
      <c r="U44" t="n">
        <v>2591.54</v>
      </c>
      <c r="X44" t="inlineStr">
        <is>
          <t>casdo-ocena</t>
        </is>
      </c>
      <c r="Y44" t="inlineStr">
        <is>
          <t>Accessibility Standards Canada | Normes d’accessibilité Canada</t>
        </is>
      </c>
      <c r="Z44" t="n">
        <v>4</v>
      </c>
      <c r="AA44" t="n">
        <v>2591.54</v>
      </c>
      <c r="AB44">
        <f>ROUND(U44-AA44,2)</f>
        <v/>
      </c>
      <c r="AC44" t="b">
        <v>0</v>
      </c>
      <c r="AD44">
        <f>IF(U44="","MISSING_TOTAL",IF(ABS(AB44)&lt;=0.01,"OK","CHECK"))</f>
        <v/>
      </c>
      <c r="AE44">
        <f>IF(U44="","MISSING",IF(AND(AA44&gt;0,U44/AA44&gt;50),"POSSIBLE_SCALE_ERROR","OK"))</f>
        <v/>
      </c>
    </row>
    <row r="45">
      <c r="A45" t="inlineStr">
        <is>
          <t>T-2023-P8-0001</t>
        </is>
      </c>
      <c r="B45" t="inlineStr">
        <is>
          <t>SLE</t>
        </is>
      </c>
      <c r="C45" t="inlineStr">
        <is>
          <t>Chief Executive Officer</t>
        </is>
      </c>
      <c r="D45" t="inlineStr">
        <is>
          <t>Président-directeur général</t>
        </is>
      </c>
      <c r="E45" t="inlineStr">
        <is>
          <t>Rizcallah, Philip</t>
        </is>
      </c>
      <c r="F45" t="inlineStr">
        <is>
          <t>Meeting with stakeholders</t>
        </is>
      </c>
      <c r="G45" t="inlineStr">
        <is>
          <t>Réunion avec les intervenants.</t>
        </is>
      </c>
      <c r="H45" s="1" t="n">
        <v>44714</v>
      </c>
      <c r="I45" s="1" t="n">
        <v>44717</v>
      </c>
      <c r="J45" t="inlineStr">
        <is>
          <t>Halifax, Nova Scotia, Canada</t>
        </is>
      </c>
      <c r="K45" t="inlineStr">
        <is>
          <t>Halifax, Nouvelle Ecosse, Canada</t>
        </is>
      </c>
      <c r="P45" t="n">
        <v>770.0599999999999</v>
      </c>
      <c r="Q45" t="n">
        <v>729.51</v>
      </c>
      <c r="R45" t="n">
        <v>466.86</v>
      </c>
      <c r="S45" t="n">
        <v>231.5</v>
      </c>
      <c r="T45" t="n">
        <v>0</v>
      </c>
      <c r="U45" t="n">
        <v>2197.93</v>
      </c>
      <c r="X45" t="inlineStr">
        <is>
          <t>casdo-ocena</t>
        </is>
      </c>
      <c r="Y45" t="inlineStr">
        <is>
          <t>Accessibility Standards Canada | Normes d’accessibilité Canada</t>
        </is>
      </c>
      <c r="Z45" t="n">
        <v>4</v>
      </c>
      <c r="AA45" t="n">
        <v>2197.93</v>
      </c>
      <c r="AB45">
        <f>ROUND(U45-AA45,2)</f>
        <v/>
      </c>
      <c r="AC45" t="b">
        <v>0</v>
      </c>
      <c r="AD45">
        <f>IF(U45="","MISSING_TOTAL",IF(ABS(AB45)&lt;=0.01,"OK","CHECK"))</f>
        <v/>
      </c>
      <c r="AE45">
        <f>IF(U45="","MISSING",IF(AND(AA45&gt;0,U45/AA45&gt;50),"POSSIBLE_SCALE_ERROR","OK"))</f>
        <v/>
      </c>
    </row>
    <row r="46">
      <c r="A46" t="inlineStr">
        <is>
          <t>T-2023-P8-0002</t>
        </is>
      </c>
      <c r="B46" t="inlineStr">
        <is>
          <t>SLE</t>
        </is>
      </c>
      <c r="C46" t="inlineStr">
        <is>
          <t>Board Member</t>
        </is>
      </c>
      <c r="D46" t="inlineStr">
        <is>
          <t>Membre du conseil d'administration</t>
        </is>
      </c>
      <c r="E46" t="inlineStr">
        <is>
          <t>Hartin, Penny</t>
        </is>
      </c>
      <c r="F46" t="inlineStr">
        <is>
          <t>Board meeting &amp; APM.</t>
        </is>
      </c>
      <c r="G46" t="inlineStr">
        <is>
          <t>Réunion du conseil d'administration &amp; APM.</t>
        </is>
      </c>
      <c r="H46" s="1" t="n">
        <v>44822</v>
      </c>
      <c r="I46" s="1" t="n">
        <v>44825</v>
      </c>
      <c r="J46" t="inlineStr">
        <is>
          <t>Montreal, Quebec, Canada</t>
        </is>
      </c>
      <c r="K46" t="inlineStr">
        <is>
          <t>Montréal, Québec, Canada</t>
        </is>
      </c>
      <c r="P46" t="n">
        <v>579.53</v>
      </c>
      <c r="Q46" t="n">
        <v>231.13</v>
      </c>
      <c r="R46" t="n">
        <v>0</v>
      </c>
      <c r="S46" t="n">
        <v>396.8</v>
      </c>
      <c r="T46" t="n">
        <v>0</v>
      </c>
      <c r="U46" t="n">
        <v>1207.46</v>
      </c>
      <c r="X46" t="inlineStr">
        <is>
          <t>casdo-ocena</t>
        </is>
      </c>
      <c r="Y46" t="inlineStr">
        <is>
          <t>Accessibility Standards Canada | Normes d’accessibilité Canada</t>
        </is>
      </c>
      <c r="Z46" t="n">
        <v>4</v>
      </c>
      <c r="AA46" t="n">
        <v>1207.46</v>
      </c>
      <c r="AB46">
        <f>ROUND(U46-AA46,2)</f>
        <v/>
      </c>
      <c r="AC46" t="b">
        <v>0</v>
      </c>
      <c r="AD46">
        <f>IF(U46="","MISSING_TOTAL",IF(ABS(AB46)&lt;=0.01,"OK","CHECK"))</f>
        <v/>
      </c>
      <c r="AE46">
        <f>IF(U46="","MISSING",IF(AND(AA46&gt;0,U46/AA46&gt;50),"POSSIBLE_SCALE_ERROR","OK"))</f>
        <v/>
      </c>
    </row>
    <row r="47">
      <c r="A47" t="inlineStr">
        <is>
          <t>T-2023-P8-0003</t>
        </is>
      </c>
      <c r="B47" t="inlineStr">
        <is>
          <t>SLE</t>
        </is>
      </c>
      <c r="C47" t="inlineStr">
        <is>
          <t>Board Member</t>
        </is>
      </c>
      <c r="D47" t="inlineStr">
        <is>
          <t>Membre du conseil d'administration</t>
        </is>
      </c>
      <c r="E47" t="inlineStr">
        <is>
          <t>Haan, Maureen</t>
        </is>
      </c>
      <c r="F47" t="inlineStr">
        <is>
          <t>Board meeting &amp; APM.</t>
        </is>
      </c>
      <c r="G47" t="inlineStr">
        <is>
          <t>Réunion du conseil d'administration &amp; APM.</t>
        </is>
      </c>
      <c r="H47" s="1" t="n">
        <v>44822</v>
      </c>
      <c r="I47" s="1" t="n">
        <v>44825</v>
      </c>
      <c r="J47" t="inlineStr">
        <is>
          <t>Montreal, Quebec, Canada</t>
        </is>
      </c>
      <c r="K47" t="inlineStr">
        <is>
          <t>Montréal, Québec, Canada</t>
        </is>
      </c>
      <c r="P47" t="n">
        <v>693.66</v>
      </c>
      <c r="Q47" t="n">
        <v>135</v>
      </c>
      <c r="R47" t="n">
        <v>0</v>
      </c>
      <c r="S47" t="n">
        <v>396.8</v>
      </c>
      <c r="T47" t="n">
        <v>0</v>
      </c>
      <c r="U47" t="n">
        <v>1225.46</v>
      </c>
      <c r="X47" t="inlineStr">
        <is>
          <t>casdo-ocena</t>
        </is>
      </c>
      <c r="Y47" t="inlineStr">
        <is>
          <t>Accessibility Standards Canada | Normes d’accessibilité Canada</t>
        </is>
      </c>
      <c r="Z47" t="n">
        <v>4</v>
      </c>
      <c r="AA47" t="n">
        <v>1225.46</v>
      </c>
      <c r="AB47">
        <f>ROUND(U47-AA47,2)</f>
        <v/>
      </c>
      <c r="AC47" t="b">
        <v>0</v>
      </c>
      <c r="AD47">
        <f>IF(U47="","MISSING_TOTAL",IF(ABS(AB47)&lt;=0.01,"OK","CHECK"))</f>
        <v/>
      </c>
      <c r="AE47">
        <f>IF(U47="","MISSING",IF(AND(AA47&gt;0,U47/AA47&gt;50),"POSSIBLE_SCALE_ERROR","OK"))</f>
        <v/>
      </c>
    </row>
    <row r="48">
      <c r="A48" t="inlineStr">
        <is>
          <t>T-2023-P9-0001</t>
        </is>
      </c>
      <c r="B48" t="inlineStr">
        <is>
          <t>SLE</t>
        </is>
      </c>
      <c r="C48" t="inlineStr">
        <is>
          <t>Chief Executive Officer</t>
        </is>
      </c>
      <c r="D48" t="inlineStr">
        <is>
          <t>Président-directeur général</t>
        </is>
      </c>
      <c r="E48" t="inlineStr">
        <is>
          <t>Rizcallah, Philip</t>
        </is>
      </c>
      <c r="F48" t="inlineStr">
        <is>
          <t>Intelligent Cities Summit.</t>
        </is>
      </c>
      <c r="G48" t="inlineStr">
        <is>
          <t>Sommet ''Intelligent Cities''.</t>
        </is>
      </c>
      <c r="H48" s="1" t="n">
        <v>44873</v>
      </c>
      <c r="I48" s="1" t="n">
        <v>44875</v>
      </c>
      <c r="J48" t="inlineStr">
        <is>
          <t>Toronto, Ontario, Canada</t>
        </is>
      </c>
      <c r="K48" t="inlineStr">
        <is>
          <t>Toronto, Ontario, Canada</t>
        </is>
      </c>
      <c r="P48" t="n">
        <v>591.5</v>
      </c>
      <c r="Q48" t="n">
        <v>246.49</v>
      </c>
      <c r="R48" t="n">
        <v>0</v>
      </c>
      <c r="S48" t="n">
        <v>250</v>
      </c>
      <c r="T48" t="n">
        <v>0</v>
      </c>
      <c r="U48" t="n">
        <v>1087.99</v>
      </c>
      <c r="X48" t="inlineStr">
        <is>
          <t>casdo-ocena</t>
        </is>
      </c>
      <c r="Y48" t="inlineStr">
        <is>
          <t>Accessibility Standards Canada | Normes d’accessibilité Canada</t>
        </is>
      </c>
      <c r="Z48" t="n">
        <v>3</v>
      </c>
      <c r="AA48" t="n">
        <v>1087.99</v>
      </c>
      <c r="AB48">
        <f>ROUND(U48-AA48,2)</f>
        <v/>
      </c>
      <c r="AC48" t="b">
        <v>0</v>
      </c>
      <c r="AD48">
        <f>IF(U48="","MISSING_TOTAL",IF(ABS(AB48)&lt;=0.01,"OK","CHECK"))</f>
        <v/>
      </c>
      <c r="AE48">
        <f>IF(U48="","MISSING",IF(AND(AA48&gt;0,U48/AA48&gt;50),"POSSIBLE_SCALE_ERROR","OK"))</f>
        <v/>
      </c>
    </row>
    <row r="49">
      <c r="A49" t="inlineStr">
        <is>
          <t>T-2023-P9-0002</t>
        </is>
      </c>
      <c r="B49" t="inlineStr">
        <is>
          <t>SLE</t>
        </is>
      </c>
      <c r="C49" t="inlineStr">
        <is>
          <t>Chief Executive Officer</t>
        </is>
      </c>
      <c r="D49" t="inlineStr">
        <is>
          <t>Président-directeur général</t>
        </is>
      </c>
      <c r="E49" t="inlineStr">
        <is>
          <t>Rizcallah, Philip</t>
        </is>
      </c>
      <c r="F49" t="inlineStr">
        <is>
          <t>NSBOA conference.</t>
        </is>
      </c>
      <c r="G49" t="inlineStr">
        <is>
          <t>Conférence NSBOA.</t>
        </is>
      </c>
      <c r="H49" s="1" t="n">
        <v>44879</v>
      </c>
      <c r="I49" s="1" t="n">
        <v>44881</v>
      </c>
      <c r="J49" t="inlineStr">
        <is>
          <t>Halifax, Nova Scotia, Canada</t>
        </is>
      </c>
      <c r="K49" t="inlineStr">
        <is>
          <t>Halifax, Nouvelle Écosse, Canada</t>
        </is>
      </c>
      <c r="P49" t="n">
        <v>331.07</v>
      </c>
      <c r="Q49" t="n">
        <v>180.2</v>
      </c>
      <c r="R49" t="n">
        <v>50</v>
      </c>
      <c r="S49" t="n">
        <v>119.75</v>
      </c>
      <c r="T49" t="n">
        <v>0</v>
      </c>
      <c r="U49" t="n">
        <v>681.02</v>
      </c>
      <c r="X49" t="inlineStr">
        <is>
          <t>casdo-ocena</t>
        </is>
      </c>
      <c r="Y49" t="inlineStr">
        <is>
          <t>Accessibility Standards Canada | Normes d’accessibilité Canada</t>
        </is>
      </c>
      <c r="Z49" t="n">
        <v>3</v>
      </c>
      <c r="AA49" t="n">
        <v>681.02</v>
      </c>
      <c r="AB49">
        <f>ROUND(U49-AA49,2)</f>
        <v/>
      </c>
      <c r="AC49" t="b">
        <v>0</v>
      </c>
      <c r="AD49">
        <f>IF(U49="","MISSING_TOTAL",IF(ABS(AB49)&lt;=0.01,"OK","CHECK"))</f>
        <v/>
      </c>
      <c r="AE49">
        <f>IF(U49="","MISSING",IF(AND(AA49&gt;0,U49/AA49&gt;50),"POSSIBLE_SCALE_ERROR","OK"))</f>
        <v/>
      </c>
    </row>
    <row r="50">
      <c r="A50" t="inlineStr">
        <is>
          <t>T-2023-P9-0003</t>
        </is>
      </c>
      <c r="B50" t="inlineStr">
        <is>
          <t>SLE</t>
        </is>
      </c>
      <c r="C50" t="inlineStr">
        <is>
          <t>Chief Executive Officer</t>
        </is>
      </c>
      <c r="D50" t="inlineStr">
        <is>
          <t>Président-directeur général</t>
        </is>
      </c>
      <c r="E50" t="inlineStr">
        <is>
          <t>Rizcallah, Philip</t>
        </is>
      </c>
      <c r="F50" t="inlineStr">
        <is>
          <t>BCANDS conference.</t>
        </is>
      </c>
      <c r="G50" t="inlineStr">
        <is>
          <t>Évènement BCANDS.</t>
        </is>
      </c>
      <c r="H50" s="1" t="n">
        <v>44881</v>
      </c>
      <c r="I50" s="1" t="n">
        <v>44884</v>
      </c>
      <c r="J50" t="inlineStr">
        <is>
          <t>Victoria, Bristish Columbia, Canada</t>
        </is>
      </c>
      <c r="K50" t="inlineStr">
        <is>
          <t>Victoria, Colombie Britanique, Canada</t>
        </is>
      </c>
      <c r="P50" t="n">
        <v>1345.32</v>
      </c>
      <c r="Q50" t="n">
        <v>239.97</v>
      </c>
      <c r="R50" t="n">
        <v>419.42</v>
      </c>
      <c r="S50" t="n">
        <v>233.75</v>
      </c>
      <c r="T50" t="n">
        <v>0</v>
      </c>
      <c r="U50" t="n">
        <v>2238.46</v>
      </c>
      <c r="X50" t="inlineStr">
        <is>
          <t>casdo-ocena</t>
        </is>
      </c>
      <c r="Y50" t="inlineStr">
        <is>
          <t>Accessibility Standards Canada | Normes d’accessibilité Canada</t>
        </is>
      </c>
      <c r="Z50" t="n">
        <v>4</v>
      </c>
      <c r="AA50" t="n">
        <v>2238.46</v>
      </c>
      <c r="AB50">
        <f>ROUND(U50-AA50,2)</f>
        <v/>
      </c>
      <c r="AC50" t="b">
        <v>0</v>
      </c>
      <c r="AD50">
        <f>IF(U50="","MISSING_TOTAL",IF(ABS(AB50)&lt;=0.01,"OK","CHECK"))</f>
        <v/>
      </c>
      <c r="AE50">
        <f>IF(U50="","MISSING",IF(AND(AA50&gt;0,U50/AA50&gt;50),"POSSIBLE_SCALE_ERROR","OK"))</f>
        <v/>
      </c>
    </row>
    <row r="51">
      <c r="A51" t="inlineStr">
        <is>
          <t>T-2023-P9-0004</t>
        </is>
      </c>
      <c r="B51" t="inlineStr">
        <is>
          <t>SLE</t>
        </is>
      </c>
      <c r="C51" t="inlineStr">
        <is>
          <t>Board Member</t>
        </is>
      </c>
      <c r="D51" t="inlineStr">
        <is>
          <t>Membre du conseil d'administration</t>
        </is>
      </c>
      <c r="E51" t="inlineStr">
        <is>
          <t>Kory, Earle</t>
        </is>
      </c>
      <c r="F51" t="inlineStr">
        <is>
          <t>Board meeting.</t>
        </is>
      </c>
      <c r="G51" t="inlineStr">
        <is>
          <t>Réunion du conseil d'administration.</t>
        </is>
      </c>
      <c r="H51" s="1" t="n">
        <v>44822</v>
      </c>
      <c r="I51" s="1" t="n">
        <v>44825</v>
      </c>
      <c r="J51" t="inlineStr">
        <is>
          <t>Montreal, Quebec, Canada</t>
        </is>
      </c>
      <c r="K51" t="inlineStr">
        <is>
          <t>Montréal, Québec, Canada</t>
        </is>
      </c>
      <c r="P51" t="n">
        <v>279.39</v>
      </c>
      <c r="Q51" t="n">
        <v>13</v>
      </c>
      <c r="R51" t="n">
        <v>1067.43</v>
      </c>
      <c r="S51" t="n">
        <v>320.25</v>
      </c>
      <c r="T51" t="n">
        <v>0</v>
      </c>
      <c r="U51" t="n">
        <v>1680.07</v>
      </c>
      <c r="X51" t="inlineStr">
        <is>
          <t>casdo-ocena</t>
        </is>
      </c>
      <c r="Y51" t="inlineStr">
        <is>
          <t>Accessibility Standards Canada | Normes d’accessibilité Canada</t>
        </is>
      </c>
      <c r="Z51" t="n">
        <v>4</v>
      </c>
      <c r="AA51" t="n">
        <v>1680.07</v>
      </c>
      <c r="AB51">
        <f>ROUND(U51-AA51,2)</f>
        <v/>
      </c>
      <c r="AC51" t="b">
        <v>0</v>
      </c>
      <c r="AD51">
        <f>IF(U51="","MISSING_TOTAL",IF(ABS(AB51)&lt;=0.01,"OK","CHECK"))</f>
        <v/>
      </c>
      <c r="AE51">
        <f>IF(U51="","MISSING",IF(AND(AA51&gt;0,U51/AA51&gt;50),"POSSIBLE_SCALE_ERROR","OK"))</f>
        <v/>
      </c>
    </row>
    <row r="52">
      <c r="A52" t="inlineStr">
        <is>
          <t>T-2023-P9-0005</t>
        </is>
      </c>
      <c r="B52" t="inlineStr">
        <is>
          <t>SLE</t>
        </is>
      </c>
      <c r="C52" t="inlineStr">
        <is>
          <t>Board Member</t>
        </is>
      </c>
      <c r="D52" t="inlineStr">
        <is>
          <t>Membre du conseil d'administration</t>
        </is>
      </c>
      <c r="E52" t="inlineStr">
        <is>
          <t>Kory, Earle</t>
        </is>
      </c>
      <c r="F52" t="inlineStr">
        <is>
          <t>Board meeting.</t>
        </is>
      </c>
      <c r="G52" t="inlineStr">
        <is>
          <t>Réunion du conseil d'administration.</t>
        </is>
      </c>
      <c r="H52" s="1" t="n">
        <v>44907</v>
      </c>
      <c r="I52" s="1" t="n">
        <v>44910</v>
      </c>
      <c r="J52" t="inlineStr">
        <is>
          <t>Toronto, Ontario, Canada</t>
        </is>
      </c>
      <c r="K52" t="inlineStr">
        <is>
          <t>Toronto, Ontario, Canada</t>
        </is>
      </c>
      <c r="P52" t="n">
        <v>0</v>
      </c>
      <c r="Q52" t="n">
        <v>393.23</v>
      </c>
      <c r="R52" t="n">
        <v>0</v>
      </c>
      <c r="S52" t="n">
        <v>307.4</v>
      </c>
      <c r="T52" t="n">
        <v>0</v>
      </c>
      <c r="U52" t="n">
        <v>700.63</v>
      </c>
      <c r="X52" t="inlineStr">
        <is>
          <t>casdo-ocena</t>
        </is>
      </c>
      <c r="Y52" t="inlineStr">
        <is>
          <t>Accessibility Standards Canada | Normes d’accessibilité Canada</t>
        </is>
      </c>
      <c r="Z52" t="n">
        <v>4</v>
      </c>
      <c r="AA52" t="n">
        <v>700.63</v>
      </c>
      <c r="AB52">
        <f>ROUND(U52-AA52,2)</f>
        <v/>
      </c>
      <c r="AC52" t="b">
        <v>0</v>
      </c>
      <c r="AD52">
        <f>IF(U52="","MISSING_TOTAL",IF(ABS(AB52)&lt;=0.01,"OK","CHECK"))</f>
        <v/>
      </c>
      <c r="AE52">
        <f>IF(U52="","MISSING",IF(AND(AA52&gt;0,U52/AA52&gt;50),"POSSIBLE_SCALE_ERROR","OK"))</f>
        <v/>
      </c>
    </row>
    <row r="53">
      <c r="A53" t="inlineStr">
        <is>
          <t>T-2023-P9-0006</t>
        </is>
      </c>
      <c r="B53" t="inlineStr">
        <is>
          <t>SLE</t>
        </is>
      </c>
      <c r="C53" t="inlineStr">
        <is>
          <t>Board Member</t>
        </is>
      </c>
      <c r="D53" t="inlineStr">
        <is>
          <t>Membre du conseil d'administration</t>
        </is>
      </c>
      <c r="E53" t="inlineStr">
        <is>
          <t>Hartin, Penny</t>
        </is>
      </c>
      <c r="F53" t="inlineStr">
        <is>
          <t>Board meeting.</t>
        </is>
      </c>
      <c r="G53" t="inlineStr">
        <is>
          <t>Réunion du conseil d'administration.</t>
        </is>
      </c>
      <c r="H53" s="1" t="n">
        <v>44907</v>
      </c>
      <c r="I53" s="1" t="n">
        <v>44910</v>
      </c>
      <c r="J53" t="inlineStr">
        <is>
          <t>Toronto, Ontario, Canada</t>
        </is>
      </c>
      <c r="K53" t="inlineStr">
        <is>
          <t>Toronto, Ontario, Canada</t>
        </is>
      </c>
      <c r="P53" t="n">
        <v>0</v>
      </c>
      <c r="Q53" t="n">
        <v>48.29</v>
      </c>
      <c r="R53" t="n">
        <v>0</v>
      </c>
      <c r="S53" t="n">
        <v>307.4</v>
      </c>
      <c r="T53" t="n">
        <v>0</v>
      </c>
      <c r="U53" t="n">
        <v>355.69</v>
      </c>
      <c r="X53" t="inlineStr">
        <is>
          <t>casdo-ocena</t>
        </is>
      </c>
      <c r="Y53" t="inlineStr">
        <is>
          <t>Accessibility Standards Canada | Normes d’accessibilité Canada</t>
        </is>
      </c>
      <c r="Z53" t="n">
        <v>4</v>
      </c>
      <c r="AA53" t="n">
        <v>355.69</v>
      </c>
      <c r="AB53">
        <f>ROUND(U53-AA53,2)</f>
        <v/>
      </c>
      <c r="AC53" t="b">
        <v>0</v>
      </c>
      <c r="AD53">
        <f>IF(U53="","MISSING_TOTAL",IF(ABS(AB53)&lt;=0.01,"OK","CHECK"))</f>
        <v/>
      </c>
      <c r="AE53">
        <f>IF(U53="","MISSING",IF(AND(AA53&gt;0,U53/AA53&gt;50),"POSSIBLE_SCALE_ERROR","OK"))</f>
        <v/>
      </c>
    </row>
    <row r="54">
      <c r="A54" t="inlineStr">
        <is>
          <t>T-2023-P9-0007</t>
        </is>
      </c>
      <c r="B54" t="inlineStr">
        <is>
          <t>SLE</t>
        </is>
      </c>
      <c r="C54" t="inlineStr">
        <is>
          <t>Board Member</t>
        </is>
      </c>
      <c r="D54" t="inlineStr">
        <is>
          <t>Membre du conseil d'administration</t>
        </is>
      </c>
      <c r="E54" t="inlineStr">
        <is>
          <t>McLaughlin, Joseph</t>
        </is>
      </c>
      <c r="F54" t="inlineStr">
        <is>
          <t>Strategic discussion meeting.</t>
        </is>
      </c>
      <c r="G54" t="inlineStr">
        <is>
          <t>Réunion de discussion stratégique.</t>
        </is>
      </c>
      <c r="H54" s="1" t="n">
        <v>44871</v>
      </c>
      <c r="I54" s="1" t="n">
        <v>44873</v>
      </c>
      <c r="J54" t="inlineStr">
        <is>
          <t>Gatineau, Quebec, Canada</t>
        </is>
      </c>
      <c r="K54" t="inlineStr">
        <is>
          <t>Gatineau, Québec, Canada</t>
        </is>
      </c>
      <c r="P54" t="n">
        <v>1454.37</v>
      </c>
      <c r="Q54" t="n">
        <v>222.54</v>
      </c>
      <c r="R54" t="n">
        <v>340.58</v>
      </c>
      <c r="S54" t="n">
        <v>359.25</v>
      </c>
      <c r="T54" t="n">
        <v>0</v>
      </c>
      <c r="U54" t="n">
        <v>2376.74</v>
      </c>
      <c r="X54" t="inlineStr">
        <is>
          <t>casdo-ocena</t>
        </is>
      </c>
      <c r="Y54" t="inlineStr">
        <is>
          <t>Accessibility Standards Canada | Normes d’accessibilité Canada</t>
        </is>
      </c>
      <c r="Z54" t="n">
        <v>3</v>
      </c>
      <c r="AA54" t="n">
        <v>2376.74</v>
      </c>
      <c r="AB54">
        <f>ROUND(U54-AA54,2)</f>
        <v/>
      </c>
      <c r="AC54" t="b">
        <v>0</v>
      </c>
      <c r="AD54">
        <f>IF(U54="","MISSING_TOTAL",IF(ABS(AB54)&lt;=0.01,"OK","CHECK"))</f>
        <v/>
      </c>
      <c r="AE54">
        <f>IF(U54="","MISSING",IF(AND(AA54&gt;0,U54/AA54&gt;50),"POSSIBLE_SCALE_ERROR","OK"))</f>
        <v/>
      </c>
    </row>
    <row r="55">
      <c r="A55" t="inlineStr">
        <is>
          <t>T-2023-P9-0008</t>
        </is>
      </c>
      <c r="B55" t="inlineStr">
        <is>
          <t>SLE</t>
        </is>
      </c>
      <c r="C55" t="inlineStr">
        <is>
          <t>Board Member</t>
        </is>
      </c>
      <c r="D55" t="inlineStr">
        <is>
          <t>Membre du conseil d'administration</t>
        </is>
      </c>
      <c r="E55" t="inlineStr">
        <is>
          <t>McLaughlin, Joseph</t>
        </is>
      </c>
      <c r="F55" t="inlineStr">
        <is>
          <t>Board meeting.</t>
        </is>
      </c>
      <c r="G55" t="inlineStr">
        <is>
          <t>Réunion du conseil d'administration.</t>
        </is>
      </c>
      <c r="H55" s="1" t="n">
        <v>44904</v>
      </c>
      <c r="I55" s="1" t="n">
        <v>44910</v>
      </c>
      <c r="J55" t="inlineStr">
        <is>
          <t>Toronto, Ontario, Canada</t>
        </is>
      </c>
      <c r="K55" t="inlineStr">
        <is>
          <t>Toronto, Ontario, Canada</t>
        </is>
      </c>
      <c r="P55" t="n">
        <v>964.17</v>
      </c>
      <c r="Q55" t="n">
        <v>227.76</v>
      </c>
      <c r="R55" t="n">
        <v>0</v>
      </c>
      <c r="S55" t="n">
        <v>387.05</v>
      </c>
      <c r="T55" t="n">
        <v>0</v>
      </c>
      <c r="U55" t="n">
        <v>1578.98</v>
      </c>
      <c r="X55" t="inlineStr">
        <is>
          <t>casdo-ocena</t>
        </is>
      </c>
      <c r="Y55" t="inlineStr">
        <is>
          <t>Accessibility Standards Canada | Normes d’accessibilité Canada</t>
        </is>
      </c>
      <c r="Z55" t="n">
        <v>7</v>
      </c>
      <c r="AA55" t="n">
        <v>1578.97999999999</v>
      </c>
      <c r="AB55">
        <f>ROUND(U55-AA55,2)</f>
        <v/>
      </c>
      <c r="AC55" t="b">
        <v>0</v>
      </c>
      <c r="AD55">
        <f>IF(U55="","MISSING_TOTAL",IF(ABS(AB55)&lt;=0.01,"OK","CHECK"))</f>
        <v/>
      </c>
      <c r="AE55">
        <f>IF(U55="","MISSING",IF(AND(AA55&gt;0,U55/AA55&gt;50),"POSSIBLE_SCALE_ERROR","OK"))</f>
        <v/>
      </c>
    </row>
    <row r="56">
      <c r="A56" t="inlineStr">
        <is>
          <t>T-2023-P9-0009</t>
        </is>
      </c>
      <c r="B56" t="inlineStr">
        <is>
          <t>SLE</t>
        </is>
      </c>
      <c r="C56" t="inlineStr">
        <is>
          <t>Board Member</t>
        </is>
      </c>
      <c r="D56" t="inlineStr">
        <is>
          <t>Membre du conseil d'administration</t>
        </is>
      </c>
      <c r="E56" t="inlineStr">
        <is>
          <t>Ringaert, Laurie</t>
        </is>
      </c>
      <c r="F56" t="inlineStr">
        <is>
          <t>Board meeting and APM.</t>
        </is>
      </c>
      <c r="G56" t="inlineStr">
        <is>
          <t>Réunion du conseil d'administration et APM.</t>
        </is>
      </c>
      <c r="H56" s="1" t="n">
        <v>44822</v>
      </c>
      <c r="I56" s="1" t="n">
        <v>44825</v>
      </c>
      <c r="J56" t="inlineStr">
        <is>
          <t>Montreal, Quebec, Canada</t>
        </is>
      </c>
      <c r="K56" t="inlineStr">
        <is>
          <t>Montréal, Québec, Canada</t>
        </is>
      </c>
      <c r="P56" t="n">
        <v>872.73</v>
      </c>
      <c r="Q56" t="n">
        <v>139.48</v>
      </c>
      <c r="R56" t="n">
        <v>0</v>
      </c>
      <c r="S56" t="n">
        <v>440.85</v>
      </c>
      <c r="T56" t="n">
        <v>0</v>
      </c>
      <c r="U56" t="n">
        <v>1453.06</v>
      </c>
      <c r="X56" t="inlineStr">
        <is>
          <t>casdo-ocena</t>
        </is>
      </c>
      <c r="Y56" t="inlineStr">
        <is>
          <t>Accessibility Standards Canada | Normes d’accessibilité Canada</t>
        </is>
      </c>
      <c r="Z56" t="n">
        <v>4</v>
      </c>
      <c r="AA56" t="n">
        <v>1453.06</v>
      </c>
      <c r="AB56">
        <f>ROUND(U56-AA56,2)</f>
        <v/>
      </c>
      <c r="AC56" t="b">
        <v>0</v>
      </c>
      <c r="AD56">
        <f>IF(U56="","MISSING_TOTAL",IF(ABS(AB56)&lt;=0.01,"OK","CHECK"))</f>
        <v/>
      </c>
      <c r="AE56">
        <f>IF(U56="","MISSING",IF(AND(AA56&gt;0,U56/AA56&gt;50),"POSSIBLE_SCALE_ERROR","OK"))</f>
        <v/>
      </c>
    </row>
    <row r="57">
      <c r="A57" t="inlineStr">
        <is>
          <t>T-2023-P10-0001</t>
        </is>
      </c>
      <c r="B57" t="inlineStr">
        <is>
          <t>SLE</t>
        </is>
      </c>
      <c r="C57" t="inlineStr">
        <is>
          <t>Chief Executive Officer</t>
        </is>
      </c>
      <c r="D57" t="inlineStr">
        <is>
          <t>Président-directeur général</t>
        </is>
      </c>
      <c r="E57" t="inlineStr">
        <is>
          <t>Rizcallah, Philip</t>
        </is>
      </c>
      <c r="F57" t="inlineStr">
        <is>
          <t>Board meeting</t>
        </is>
      </c>
      <c r="G57" t="inlineStr">
        <is>
          <t>Réunion du conseil d'administration.</t>
        </is>
      </c>
      <c r="H57" s="1" t="n">
        <v>44907</v>
      </c>
      <c r="I57" s="1" t="n">
        <v>44910</v>
      </c>
      <c r="J57" t="inlineStr">
        <is>
          <t>Toronto, Ontario, Canada</t>
        </is>
      </c>
      <c r="K57" t="inlineStr">
        <is>
          <t>Toronto, Ontario, Canada</t>
        </is>
      </c>
      <c r="P57" t="n">
        <v>894.34</v>
      </c>
      <c r="Q57" t="n">
        <v>182.47</v>
      </c>
      <c r="R57" t="n">
        <v>850.12</v>
      </c>
      <c r="S57" t="n">
        <v>529.6</v>
      </c>
      <c r="T57" t="n">
        <v>0</v>
      </c>
      <c r="U57" t="n">
        <v>2456.53</v>
      </c>
      <c r="X57" t="inlineStr">
        <is>
          <t>casdo-ocena</t>
        </is>
      </c>
      <c r="Y57" t="inlineStr">
        <is>
          <t>Accessibility Standards Canada | Normes d’accessibilité Canada</t>
        </is>
      </c>
      <c r="Z57" t="n">
        <v>4</v>
      </c>
      <c r="AA57" t="n">
        <v>2456.52999999999</v>
      </c>
      <c r="AB57">
        <f>ROUND(U57-AA57,2)</f>
        <v/>
      </c>
      <c r="AC57" t="b">
        <v>0</v>
      </c>
      <c r="AD57">
        <f>IF(U57="","MISSING_TOTAL",IF(ABS(AB57)&lt;=0.01,"OK","CHECK"))</f>
        <v/>
      </c>
      <c r="AE57">
        <f>IF(U57="","MISSING",IF(AND(AA57&gt;0,U57/AA57&gt;50),"POSSIBLE_SCALE_ERROR","OK"))</f>
        <v/>
      </c>
    </row>
    <row r="58">
      <c r="A58" t="inlineStr">
        <is>
          <t>T-2023-P10-0002</t>
        </is>
      </c>
      <c r="B58" t="inlineStr">
        <is>
          <t>SLE</t>
        </is>
      </c>
      <c r="C58" t="inlineStr">
        <is>
          <t>Chief Executive Officer</t>
        </is>
      </c>
      <c r="D58" t="inlineStr">
        <is>
          <t>Président-directeur général</t>
        </is>
      </c>
      <c r="E58" t="inlineStr">
        <is>
          <t>Rizcallah, Philip</t>
        </is>
      </c>
      <c r="F58" t="inlineStr">
        <is>
          <t>CSA group meeting</t>
        </is>
      </c>
      <c r="G58" t="inlineStr">
        <is>
          <t>Réunion avec CSA</t>
        </is>
      </c>
      <c r="H58" s="1" t="n">
        <v>44937</v>
      </c>
      <c r="I58" s="1" t="n">
        <v>44939</v>
      </c>
      <c r="J58" t="inlineStr">
        <is>
          <t>Toronto, Ontario, Canada</t>
        </is>
      </c>
      <c r="K58" t="inlineStr">
        <is>
          <t>Toronto, Ontario, Canada</t>
        </is>
      </c>
      <c r="P58" t="n">
        <v>750.83</v>
      </c>
      <c r="Q58" t="n">
        <v>288.89</v>
      </c>
      <c r="R58" t="n">
        <v>538.24</v>
      </c>
      <c r="S58" t="n">
        <v>313.4</v>
      </c>
      <c r="T58" t="n">
        <v>0</v>
      </c>
      <c r="U58" t="n">
        <v>1891.36</v>
      </c>
      <c r="X58" t="inlineStr">
        <is>
          <t>casdo-ocena</t>
        </is>
      </c>
      <c r="Y58" t="inlineStr">
        <is>
          <t>Accessibility Standards Canada | Normes d’accessibilité Canada</t>
        </is>
      </c>
      <c r="Z58" t="n">
        <v>3</v>
      </c>
      <c r="AA58" t="n">
        <v>1891.36</v>
      </c>
      <c r="AB58">
        <f>ROUND(U58-AA58,2)</f>
        <v/>
      </c>
      <c r="AC58" t="b">
        <v>0</v>
      </c>
      <c r="AD58">
        <f>IF(U58="","MISSING_TOTAL",IF(ABS(AB58)&lt;=0.01,"OK","CHECK"))</f>
        <v/>
      </c>
      <c r="AE58">
        <f>IF(U58="","MISSING",IF(AND(AA58&gt;0,U58/AA58&gt;50),"POSSIBLE_SCALE_ERROR","OK"))</f>
        <v/>
      </c>
    </row>
    <row r="59">
      <c r="A59" t="inlineStr">
        <is>
          <t>T-2023-P10-0003</t>
        </is>
      </c>
      <c r="B59" t="inlineStr">
        <is>
          <t>SLE</t>
        </is>
      </c>
      <c r="C59" t="inlineStr">
        <is>
          <t>Vice Chair</t>
        </is>
      </c>
      <c r="D59" t="inlineStr">
        <is>
          <t>Vice président</t>
        </is>
      </c>
      <c r="E59" t="inlineStr">
        <is>
          <t>Reid, Mary</t>
        </is>
      </c>
      <c r="F59" t="inlineStr">
        <is>
          <t>Meeting with CEO</t>
        </is>
      </c>
      <c r="G59" t="inlineStr">
        <is>
          <t>Réunion avec directeur général</t>
        </is>
      </c>
      <c r="H59" s="1" t="n">
        <v>44871</v>
      </c>
      <c r="I59" s="1" t="n">
        <v>44874</v>
      </c>
      <c r="J59" t="inlineStr">
        <is>
          <t>Gatineau, Quebec, Canada</t>
        </is>
      </c>
      <c r="K59" t="inlineStr">
        <is>
          <t>Gatineau, Québec, Canada</t>
        </is>
      </c>
      <c r="P59" t="n">
        <v>2395.31</v>
      </c>
      <c r="Q59" t="n">
        <v>160.18</v>
      </c>
      <c r="R59" t="n">
        <v>321.32</v>
      </c>
      <c r="S59" t="n">
        <v>376.55</v>
      </c>
      <c r="T59" t="n">
        <v>0</v>
      </c>
      <c r="U59" t="n">
        <v>3253.36</v>
      </c>
      <c r="X59" t="inlineStr">
        <is>
          <t>casdo-ocena</t>
        </is>
      </c>
      <c r="Y59" t="inlineStr">
        <is>
          <t>Accessibility Standards Canada | Normes d’accessibilité Canada</t>
        </is>
      </c>
      <c r="Z59" t="n">
        <v>4</v>
      </c>
      <c r="AA59" t="n">
        <v>3253.36</v>
      </c>
      <c r="AB59">
        <f>ROUND(U59-AA59,2)</f>
        <v/>
      </c>
      <c r="AC59" t="b">
        <v>0</v>
      </c>
      <c r="AD59">
        <f>IF(U59="","MISSING_TOTAL",IF(ABS(AB59)&lt;=0.01,"OK","CHECK"))</f>
        <v/>
      </c>
      <c r="AE59">
        <f>IF(U59="","MISSING",IF(AND(AA59&gt;0,U59/AA59&gt;50),"POSSIBLE_SCALE_ERROR","OK"))</f>
        <v/>
      </c>
    </row>
    <row r="60">
      <c r="A60" t="inlineStr">
        <is>
          <t>T-2023-P11-0001</t>
        </is>
      </c>
      <c r="B60" t="inlineStr">
        <is>
          <t>SLE</t>
        </is>
      </c>
      <c r="C60" t="inlineStr">
        <is>
          <t>Chief Executive Officer</t>
        </is>
      </c>
      <c r="D60" t="inlineStr">
        <is>
          <t>Président-directeur général</t>
        </is>
      </c>
      <c r="E60" t="inlineStr">
        <is>
          <t>Rizcallah, Philip</t>
        </is>
      </c>
      <c r="F60" t="inlineStr">
        <is>
          <t>Meeting with CNIB President</t>
        </is>
      </c>
      <c r="G60" t="inlineStr">
        <is>
          <t>Réunion avec le président de CNIB.</t>
        </is>
      </c>
      <c r="H60" s="1" t="n">
        <v>44895</v>
      </c>
      <c r="I60" s="1" t="n">
        <v>44895</v>
      </c>
      <c r="J60" t="inlineStr">
        <is>
          <t>Ottawa, Ontario, Canada</t>
        </is>
      </c>
      <c r="K60" t="inlineStr">
        <is>
          <t>Ottawa, Ontario, Canada</t>
        </is>
      </c>
      <c r="P60" t="n">
        <v>0</v>
      </c>
      <c r="Q60" t="n">
        <v>137.96</v>
      </c>
      <c r="R60" t="n">
        <v>0</v>
      </c>
      <c r="S60" t="n">
        <v>0</v>
      </c>
      <c r="T60" t="n">
        <v>0</v>
      </c>
      <c r="U60" t="n">
        <v>137.96</v>
      </c>
      <c r="X60" t="inlineStr">
        <is>
          <t>casdo-ocena</t>
        </is>
      </c>
      <c r="Y60" t="inlineStr">
        <is>
          <t>Accessibility Standards Canada | Normes d’accessibilité Canada</t>
        </is>
      </c>
      <c r="Z60" t="n">
        <v>1</v>
      </c>
      <c r="AA60" t="n">
        <v>137.96</v>
      </c>
      <c r="AB60">
        <f>ROUND(U60-AA60,2)</f>
        <v/>
      </c>
      <c r="AC60" t="b">
        <v>0</v>
      </c>
      <c r="AD60">
        <f>IF(U60="","MISSING_TOTAL",IF(ABS(AB60)&lt;=0.01,"OK","CHECK"))</f>
        <v/>
      </c>
      <c r="AE60">
        <f>IF(U60="","MISSING",IF(AND(AA60&gt;0,U60/AA60&gt;50),"POSSIBLE_SCALE_ERROR","OK"))</f>
        <v/>
      </c>
    </row>
    <row r="61">
      <c r="A61" t="inlineStr">
        <is>
          <t>T-2023-P11-0002</t>
        </is>
      </c>
      <c r="B61" t="inlineStr">
        <is>
          <t>SLE</t>
        </is>
      </c>
      <c r="C61" t="inlineStr">
        <is>
          <t>Chief Executive Officer</t>
        </is>
      </c>
      <c r="D61" t="inlineStr">
        <is>
          <t>Président-directeur général</t>
        </is>
      </c>
      <c r="E61" t="inlineStr">
        <is>
          <t>Rizcallah, Philip</t>
        </is>
      </c>
      <c r="F61" t="inlineStr">
        <is>
          <t>Meetings</t>
        </is>
      </c>
      <c r="G61" t="inlineStr">
        <is>
          <t>Rénions</t>
        </is>
      </c>
      <c r="H61" s="1" t="n">
        <v>44802</v>
      </c>
      <c r="I61" s="1" t="n">
        <v>44802</v>
      </c>
      <c r="J61" t="inlineStr">
        <is>
          <t>Ottawa, Ontario, Canada</t>
        </is>
      </c>
      <c r="K61" t="inlineStr">
        <is>
          <t>Ottawa, Ontario, Canada</t>
        </is>
      </c>
      <c r="P61" t="n">
        <v>0</v>
      </c>
      <c r="Q61" t="n">
        <v>133.08</v>
      </c>
      <c r="R61" t="n">
        <v>0</v>
      </c>
      <c r="S61" t="n">
        <v>0</v>
      </c>
      <c r="T61" t="n">
        <v>0</v>
      </c>
      <c r="U61" t="n">
        <v>133.08</v>
      </c>
      <c r="X61" t="inlineStr">
        <is>
          <t>casdo-ocena</t>
        </is>
      </c>
      <c r="Y61" t="inlineStr">
        <is>
          <t>Accessibility Standards Canada | Normes d’accessibilité Canada</t>
        </is>
      </c>
      <c r="Z61" t="n">
        <v>1</v>
      </c>
      <c r="AA61" t="n">
        <v>133.08</v>
      </c>
      <c r="AB61">
        <f>ROUND(U61-AA61,2)</f>
        <v/>
      </c>
      <c r="AC61" t="b">
        <v>0</v>
      </c>
      <c r="AD61">
        <f>IF(U61="","MISSING_TOTAL",IF(ABS(AB61)&lt;=0.01,"OK","CHECK"))</f>
        <v/>
      </c>
      <c r="AE61">
        <f>IF(U61="","MISSING",IF(AND(AA61&gt;0,U61/AA61&gt;50),"POSSIBLE_SCALE_ERROR","OK"))</f>
        <v/>
      </c>
    </row>
    <row r="62">
      <c r="A62" t="inlineStr">
        <is>
          <t>T-2023-P11-0003</t>
        </is>
      </c>
      <c r="B62" t="inlineStr">
        <is>
          <t>SLE</t>
        </is>
      </c>
      <c r="C62" t="inlineStr">
        <is>
          <t>Chief Executive Officer</t>
        </is>
      </c>
      <c r="D62" t="inlineStr">
        <is>
          <t>Président-directeur général</t>
        </is>
      </c>
      <c r="E62" t="inlineStr">
        <is>
          <t>Rizcallah, Philip</t>
        </is>
      </c>
      <c r="F62" t="inlineStr">
        <is>
          <t>3 meetings and a funeral</t>
        </is>
      </c>
      <c r="G62" t="inlineStr">
        <is>
          <t>3 réunions et un funérail</t>
        </is>
      </c>
      <c r="H62" s="1" t="n">
        <v>44955</v>
      </c>
      <c r="I62" s="1" t="n">
        <v>44957</v>
      </c>
      <c r="J62" t="inlineStr">
        <is>
          <t>Toronto, Ontario, Canada</t>
        </is>
      </c>
      <c r="K62" t="inlineStr">
        <is>
          <t>Toronto, Ontario, Canada</t>
        </is>
      </c>
      <c r="P62" t="n">
        <v>875.58</v>
      </c>
      <c r="Q62" t="n">
        <v>234.35</v>
      </c>
      <c r="R62" t="n">
        <v>538.24</v>
      </c>
      <c r="S62" t="n">
        <v>313.4</v>
      </c>
      <c r="T62" t="n">
        <v>0</v>
      </c>
      <c r="U62" t="n">
        <v>1961.57</v>
      </c>
      <c r="X62" t="inlineStr">
        <is>
          <t>casdo-ocena</t>
        </is>
      </c>
      <c r="Y62" t="inlineStr">
        <is>
          <t>Accessibility Standards Canada | Normes d’accessibilité Canada</t>
        </is>
      </c>
      <c r="Z62" t="n">
        <v>3</v>
      </c>
      <c r="AA62" t="n">
        <v>1961.57</v>
      </c>
      <c r="AB62">
        <f>ROUND(U62-AA62,2)</f>
        <v/>
      </c>
      <c r="AC62" t="b">
        <v>0</v>
      </c>
      <c r="AD62">
        <f>IF(U62="","MISSING_TOTAL",IF(ABS(AB62)&lt;=0.01,"OK","CHECK"))</f>
        <v/>
      </c>
      <c r="AE62">
        <f>IF(U62="","MISSING",IF(AND(AA62&gt;0,U62/AA62&gt;50),"POSSIBLE_SCALE_ERROR","OK"))</f>
        <v/>
      </c>
    </row>
    <row r="63">
      <c r="A63" t="inlineStr">
        <is>
          <t>T-2023-P11-0004</t>
        </is>
      </c>
      <c r="B63" t="inlineStr">
        <is>
          <t>SLE</t>
        </is>
      </c>
      <c r="C63" t="inlineStr">
        <is>
          <t>Chief Executive Officer</t>
        </is>
      </c>
      <c r="D63" t="inlineStr">
        <is>
          <t>Président-directeur général</t>
        </is>
      </c>
      <c r="E63" t="inlineStr">
        <is>
          <t>Rizcallah, Philip</t>
        </is>
      </c>
      <c r="F63" t="inlineStr">
        <is>
          <t>Board meeting</t>
        </is>
      </c>
      <c r="G63" t="inlineStr">
        <is>
          <t>Réunion du conseil d'administration</t>
        </is>
      </c>
      <c r="H63" s="1" t="n">
        <v>44931</v>
      </c>
      <c r="I63" s="1" t="n">
        <v>44932</v>
      </c>
      <c r="J63" t="inlineStr">
        <is>
          <t>Montreal, Quebec, Canada</t>
        </is>
      </c>
      <c r="K63" t="inlineStr">
        <is>
          <t>Montréal, Québec, Canada</t>
        </is>
      </c>
      <c r="P63" t="n">
        <v>0</v>
      </c>
      <c r="Q63" t="n">
        <v>261.37</v>
      </c>
      <c r="R63" t="n">
        <v>177.31</v>
      </c>
      <c r="S63" t="n">
        <v>159.85</v>
      </c>
      <c r="T63" t="n">
        <v>0</v>
      </c>
      <c r="U63" t="n">
        <v>598.53</v>
      </c>
      <c r="X63" t="inlineStr">
        <is>
          <t>casdo-ocena</t>
        </is>
      </c>
      <c r="Y63" t="inlineStr">
        <is>
          <t>Accessibility Standards Canada | Normes d’accessibilité Canada</t>
        </is>
      </c>
      <c r="Z63" t="n">
        <v>2</v>
      </c>
      <c r="AA63" t="n">
        <v>598.53</v>
      </c>
      <c r="AB63">
        <f>ROUND(U63-AA63,2)</f>
        <v/>
      </c>
      <c r="AC63" t="b">
        <v>0</v>
      </c>
      <c r="AD63">
        <f>IF(U63="","MISSING_TOTAL",IF(ABS(AB63)&lt;=0.01,"OK","CHECK"))</f>
        <v/>
      </c>
      <c r="AE63">
        <f>IF(U63="","MISSING",IF(AND(AA63&gt;0,U63/AA63&gt;50),"POSSIBLE_SCALE_ERROR","OK"))</f>
        <v/>
      </c>
    </row>
    <row r="64">
      <c r="A64" t="inlineStr">
        <is>
          <t>T-2023-P12-0001</t>
        </is>
      </c>
      <c r="B64" t="inlineStr">
        <is>
          <t>SLE</t>
        </is>
      </c>
      <c r="C64" t="inlineStr">
        <is>
          <t>Chief Executive Officer</t>
        </is>
      </c>
      <c r="D64" t="inlineStr">
        <is>
          <t>Président-directeur général</t>
        </is>
      </c>
      <c r="E64" t="inlineStr">
        <is>
          <t>Rizcallah, Philip</t>
        </is>
      </c>
      <c r="F64" t="inlineStr">
        <is>
          <t>Board meeting and meeting with provincial government</t>
        </is>
      </c>
      <c r="G64" t="inlineStr">
        <is>
          <t>Réunion avec un membre du conseil d'administration et réunion avec le gouvernement de la Nouvelle-Écosse.</t>
        </is>
      </c>
      <c r="H64" s="1" t="n">
        <v>44960</v>
      </c>
      <c r="I64" s="1" t="n">
        <v>44967</v>
      </c>
      <c r="J64" t="inlineStr">
        <is>
          <t>Ottawa, Ontario, Canada</t>
        </is>
      </c>
      <c r="K64" t="inlineStr">
        <is>
          <t>Ottawa, Ontario, Canada</t>
        </is>
      </c>
      <c r="P64" t="n">
        <v>0</v>
      </c>
      <c r="Q64" t="n">
        <v>68.44</v>
      </c>
      <c r="R64" t="n">
        <v>0</v>
      </c>
      <c r="S64" t="n">
        <v>0</v>
      </c>
      <c r="T64" t="n">
        <v>0</v>
      </c>
      <c r="U64" t="n">
        <v>68.44</v>
      </c>
      <c r="X64" t="inlineStr">
        <is>
          <t>casdo-ocena</t>
        </is>
      </c>
      <c r="Y64" t="inlineStr">
        <is>
          <t>Accessibility Standards Canada | Normes d’accessibilité Canada</t>
        </is>
      </c>
      <c r="Z64" t="n">
        <v>8</v>
      </c>
      <c r="AA64" t="n">
        <v>68.44</v>
      </c>
      <c r="AB64">
        <f>ROUND(U64-AA64,2)</f>
        <v/>
      </c>
      <c r="AC64" t="b">
        <v>0</v>
      </c>
      <c r="AD64">
        <f>IF(U64="","MISSING_TOTAL",IF(ABS(AB64)&lt;=0.01,"OK","CHECK"))</f>
        <v/>
      </c>
      <c r="AE64">
        <f>IF(U64="","MISSING",IF(AND(AA64&gt;0,U64/AA64&gt;50),"POSSIBLE_SCALE_ERROR","OK"))</f>
        <v/>
      </c>
    </row>
    <row r="65">
      <c r="A65" t="inlineStr">
        <is>
          <t>T-2023-P12-0002</t>
        </is>
      </c>
      <c r="B65" t="inlineStr">
        <is>
          <t>SLE</t>
        </is>
      </c>
      <c r="C65" t="inlineStr">
        <is>
          <t>Chief Executive Officer</t>
        </is>
      </c>
      <c r="D65" t="inlineStr">
        <is>
          <t>Président-directeur général</t>
        </is>
      </c>
      <c r="E65" t="inlineStr">
        <is>
          <t>Rizcallah, Philip</t>
        </is>
      </c>
      <c r="F65" t="inlineStr">
        <is>
          <t>Meetings CSA, ULSE, Trax</t>
        </is>
      </c>
      <c r="G65" t="inlineStr">
        <is>
          <t>Réunions CSA, ULSE, Trax.</t>
        </is>
      </c>
      <c r="H65" s="1" t="n">
        <v>44972</v>
      </c>
      <c r="I65" s="1" t="n">
        <v>44976</v>
      </c>
      <c r="J65" t="inlineStr">
        <is>
          <t>Toronto, Ontario, Canada</t>
        </is>
      </c>
      <c r="K65" t="inlineStr">
        <is>
          <t>Toronto, Ontario, Canada</t>
        </is>
      </c>
      <c r="P65" t="n">
        <v>706.76</v>
      </c>
      <c r="Q65" t="n">
        <v>262.27</v>
      </c>
      <c r="R65" t="n">
        <v>701.58</v>
      </c>
      <c r="S65" t="n">
        <v>359.25</v>
      </c>
      <c r="T65" t="n">
        <v>0</v>
      </c>
      <c r="U65" t="n">
        <v>2029.86</v>
      </c>
      <c r="X65" t="inlineStr">
        <is>
          <t>casdo-ocena</t>
        </is>
      </c>
      <c r="Y65" t="inlineStr">
        <is>
          <t>Accessibility Standards Canada | Normes d’accessibilité Canada</t>
        </is>
      </c>
      <c r="Z65" t="n">
        <v>5</v>
      </c>
      <c r="AA65" t="n">
        <v>2029.86</v>
      </c>
      <c r="AB65">
        <f>ROUND(U65-AA65,2)</f>
        <v/>
      </c>
      <c r="AC65" t="b">
        <v>0</v>
      </c>
      <c r="AD65">
        <f>IF(U65="","MISSING_TOTAL",IF(ABS(AB65)&lt;=0.01,"OK","CHECK"))</f>
        <v/>
      </c>
      <c r="AE65">
        <f>IF(U65="","MISSING",IF(AND(AA65&gt;0,U65/AA65&gt;50),"POSSIBLE_SCALE_ERROR","OK"))</f>
        <v/>
      </c>
    </row>
    <row r="66">
      <c r="A66" t="inlineStr">
        <is>
          <t>T-2023-P12-0003</t>
        </is>
      </c>
      <c r="B66" t="inlineStr">
        <is>
          <t>SLE</t>
        </is>
      </c>
      <c r="C66" t="inlineStr">
        <is>
          <t>Chair</t>
        </is>
      </c>
      <c r="D66" t="inlineStr">
        <is>
          <t>Président</t>
        </is>
      </c>
      <c r="E66" t="inlineStr">
        <is>
          <t>Bérubé, Paul-Claude</t>
        </is>
      </c>
      <c r="F66" t="inlineStr">
        <is>
          <t>Board meeting</t>
        </is>
      </c>
      <c r="G66" t="inlineStr">
        <is>
          <t>Réunion du conseil</t>
        </is>
      </c>
      <c r="H66" s="1" t="n">
        <v>44978</v>
      </c>
      <c r="I66" s="1" t="n">
        <v>44981</v>
      </c>
      <c r="J66" t="inlineStr">
        <is>
          <t>Ottawa, Ontario, Canada</t>
        </is>
      </c>
      <c r="K66" t="inlineStr">
        <is>
          <t>Ottawa, Ontario, Canada</t>
        </is>
      </c>
      <c r="P66" t="n">
        <v>837.71</v>
      </c>
      <c r="Q66" t="n">
        <v>182.14</v>
      </c>
      <c r="R66" t="n">
        <v>948.39</v>
      </c>
      <c r="S66" t="n">
        <v>387.05</v>
      </c>
      <c r="T66" t="n">
        <v>0</v>
      </c>
      <c r="U66" t="n">
        <v>2355.29</v>
      </c>
      <c r="X66" t="inlineStr">
        <is>
          <t>casdo-ocena</t>
        </is>
      </c>
      <c r="Y66" t="inlineStr">
        <is>
          <t>Accessibility Standards Canada | Normes d’accessibilité Canada</t>
        </is>
      </c>
      <c r="Z66" t="n">
        <v>4</v>
      </c>
      <c r="AA66" t="n">
        <v>2355.29</v>
      </c>
      <c r="AB66">
        <f>ROUND(U66-AA66,2)</f>
        <v/>
      </c>
      <c r="AC66" t="b">
        <v>0</v>
      </c>
      <c r="AD66">
        <f>IF(U66="","MISSING_TOTAL",IF(ABS(AB66)&lt;=0.01,"OK","CHECK"))</f>
        <v/>
      </c>
      <c r="AE66">
        <f>IF(U66="","MISSING",IF(AND(AA66&gt;0,U66/AA66&gt;50),"POSSIBLE_SCALE_ERROR","OK"))</f>
        <v/>
      </c>
    </row>
    <row r="67">
      <c r="A67" t="inlineStr">
        <is>
          <t>T-2023-P12-0004</t>
        </is>
      </c>
      <c r="B67" t="inlineStr">
        <is>
          <t>SLE</t>
        </is>
      </c>
      <c r="C67" t="inlineStr">
        <is>
          <t>Vice Chair</t>
        </is>
      </c>
      <c r="D67" t="inlineStr">
        <is>
          <t>Vice-Présidente</t>
        </is>
      </c>
      <c r="E67" t="inlineStr">
        <is>
          <t>Reid, Mary</t>
        </is>
      </c>
      <c r="F67" t="inlineStr">
        <is>
          <t>Board meeting</t>
        </is>
      </c>
      <c r="G67" t="inlineStr">
        <is>
          <t>Réunion du conseil</t>
        </is>
      </c>
      <c r="H67" s="1" t="n">
        <v>44978</v>
      </c>
      <c r="I67" s="1" t="n">
        <v>44985</v>
      </c>
      <c r="J67" t="inlineStr">
        <is>
          <t>Ottawa, Ontario, Canada</t>
        </is>
      </c>
      <c r="K67" t="inlineStr">
        <is>
          <t>Ottawa, Ontario, Canada</t>
        </is>
      </c>
      <c r="P67" t="n">
        <v>1411.92</v>
      </c>
      <c r="Q67" t="n">
        <v>78.14</v>
      </c>
      <c r="R67" t="n">
        <v>772.11</v>
      </c>
      <c r="S67" t="n">
        <v>409.85</v>
      </c>
      <c r="T67" t="n">
        <v>0</v>
      </c>
      <c r="U67" t="n">
        <v>2672.02</v>
      </c>
      <c r="X67" t="inlineStr">
        <is>
          <t>casdo-ocena</t>
        </is>
      </c>
      <c r="Y67" t="inlineStr">
        <is>
          <t>Accessibility Standards Canada | Normes d’accessibilité Canada</t>
        </is>
      </c>
      <c r="Z67" t="n">
        <v>8</v>
      </c>
      <c r="AA67" t="n">
        <v>2672.02</v>
      </c>
      <c r="AB67">
        <f>ROUND(U67-AA67,2)</f>
        <v/>
      </c>
      <c r="AC67" t="b">
        <v>0</v>
      </c>
      <c r="AD67">
        <f>IF(U67="","MISSING_TOTAL",IF(ABS(AB67)&lt;=0.01,"OK","CHECK"))</f>
        <v/>
      </c>
      <c r="AE67">
        <f>IF(U67="","MISSING",IF(AND(AA67&gt;0,U67/AA67&gt;50),"POSSIBLE_SCALE_ERROR","OK"))</f>
        <v/>
      </c>
    </row>
    <row r="68">
      <c r="A68" t="inlineStr">
        <is>
          <t>T-2023-P12-0005</t>
        </is>
      </c>
      <c r="B68" t="inlineStr">
        <is>
          <t>SLE</t>
        </is>
      </c>
      <c r="C68" t="inlineStr">
        <is>
          <t>Board of Directors</t>
        </is>
      </c>
      <c r="D68" t="inlineStr">
        <is>
          <t>Membre du conseil de direction</t>
        </is>
      </c>
      <c r="E68" t="inlineStr">
        <is>
          <t>Earle, Kory</t>
        </is>
      </c>
      <c r="F68" t="inlineStr">
        <is>
          <t>Board meeting</t>
        </is>
      </c>
      <c r="G68" t="inlineStr">
        <is>
          <t>Réunion du conseil</t>
        </is>
      </c>
      <c r="H68" s="1" t="n">
        <v>44978</v>
      </c>
      <c r="I68" s="1" t="n">
        <v>44981</v>
      </c>
      <c r="J68" t="inlineStr">
        <is>
          <t>Ottawa, Ontario, Canada</t>
        </is>
      </c>
      <c r="K68" t="inlineStr">
        <is>
          <t>Ottawa, Ontario, Canada</t>
        </is>
      </c>
      <c r="P68" t="n">
        <v>0</v>
      </c>
      <c r="Q68" t="n">
        <v>90</v>
      </c>
      <c r="R68" t="n">
        <v>0</v>
      </c>
      <c r="S68" t="n">
        <v>364</v>
      </c>
      <c r="T68" t="n">
        <v>0</v>
      </c>
      <c r="U68" t="n">
        <v>454</v>
      </c>
      <c r="X68" t="inlineStr">
        <is>
          <t>casdo-ocena</t>
        </is>
      </c>
      <c r="Y68" t="inlineStr">
        <is>
          <t>Accessibility Standards Canada | Normes d’accessibilité Canada</t>
        </is>
      </c>
      <c r="Z68" t="n">
        <v>4</v>
      </c>
      <c r="AA68" t="n">
        <v>454</v>
      </c>
      <c r="AB68">
        <f>ROUND(U68-AA68,2)</f>
        <v/>
      </c>
      <c r="AC68" t="b">
        <v>0</v>
      </c>
      <c r="AD68">
        <f>IF(U68="","MISSING_TOTAL",IF(ABS(AB68)&lt;=0.01,"OK","CHECK"))</f>
        <v/>
      </c>
      <c r="AE68">
        <f>IF(U68="","MISSING",IF(AND(AA68&gt;0,U68/AA68&gt;50),"POSSIBLE_SCALE_ERROR","OK"))</f>
        <v/>
      </c>
    </row>
    <row r="69">
      <c r="A69" t="inlineStr">
        <is>
          <t>T-2023-P12-0006</t>
        </is>
      </c>
      <c r="B69" t="inlineStr">
        <is>
          <t>SLE</t>
        </is>
      </c>
      <c r="C69" t="inlineStr">
        <is>
          <t>Board of Directors</t>
        </is>
      </c>
      <c r="D69" t="inlineStr">
        <is>
          <t>Membre du conseil de direction</t>
        </is>
      </c>
      <c r="E69" t="inlineStr">
        <is>
          <t>Earle, Kory</t>
        </is>
      </c>
      <c r="F69" t="inlineStr">
        <is>
          <t>Board meeting</t>
        </is>
      </c>
      <c r="G69" t="inlineStr">
        <is>
          <t>Réunion du conseil</t>
        </is>
      </c>
      <c r="H69" s="1" t="n">
        <v>44978</v>
      </c>
      <c r="I69" s="1" t="n">
        <v>44981</v>
      </c>
      <c r="J69" t="inlineStr">
        <is>
          <t>Ottawa, Ontario, Canada</t>
        </is>
      </c>
      <c r="K69" t="inlineStr">
        <is>
          <t>Ottawa, Ontario, Canada</t>
        </is>
      </c>
      <c r="P69" t="n">
        <v>604.21</v>
      </c>
      <c r="Q69" t="n">
        <v>138.92</v>
      </c>
      <c r="R69" t="n">
        <v>948.39</v>
      </c>
      <c r="S69" t="n">
        <v>387.05</v>
      </c>
      <c r="T69" t="n">
        <v>0</v>
      </c>
      <c r="U69" t="n">
        <v>2078.57</v>
      </c>
      <c r="X69" t="inlineStr">
        <is>
          <t>casdo-ocena</t>
        </is>
      </c>
      <c r="Y69" t="inlineStr">
        <is>
          <t>Accessibility Standards Canada | Normes d’accessibilité Canada</t>
        </is>
      </c>
      <c r="Z69" t="n">
        <v>4</v>
      </c>
      <c r="AA69" t="n">
        <v>2078.57</v>
      </c>
      <c r="AB69">
        <f>ROUND(U69-AA69,2)</f>
        <v/>
      </c>
      <c r="AC69" t="b">
        <v>0</v>
      </c>
      <c r="AD69">
        <f>IF(U69="","MISSING_TOTAL",IF(ABS(AB69)&lt;=0.01,"OK","CHECK"))</f>
        <v/>
      </c>
      <c r="AE69">
        <f>IF(U69="","MISSING",IF(AND(AA69&gt;0,U69/AA69&gt;50),"POSSIBLE_SCALE_ERROR","OK"))</f>
        <v/>
      </c>
    </row>
    <row r="70">
      <c r="A70" t="inlineStr">
        <is>
          <t>T-2023-P12-0007</t>
        </is>
      </c>
      <c r="B70" t="inlineStr">
        <is>
          <t>SLE</t>
        </is>
      </c>
      <c r="C70" t="inlineStr">
        <is>
          <t>Board of Directors</t>
        </is>
      </c>
      <c r="D70" t="inlineStr">
        <is>
          <t>Membre du conseil de direction</t>
        </is>
      </c>
      <c r="E70" t="inlineStr">
        <is>
          <t>McLaughlin, Joseph</t>
        </is>
      </c>
      <c r="F70" t="inlineStr">
        <is>
          <t>Board meeting</t>
        </is>
      </c>
      <c r="G70" t="inlineStr">
        <is>
          <t>Réunion du conseil</t>
        </is>
      </c>
      <c r="H70" s="1" t="n">
        <v>44978</v>
      </c>
      <c r="I70" s="1" t="n">
        <v>44982</v>
      </c>
      <c r="J70" t="inlineStr">
        <is>
          <t>Ottawa, Ontario, Canada</t>
        </is>
      </c>
      <c r="K70" t="inlineStr">
        <is>
          <t>Ottawa, Ontario, Canada</t>
        </is>
      </c>
      <c r="P70" t="n">
        <v>1098.63</v>
      </c>
      <c r="Q70" t="n">
        <v>333.04</v>
      </c>
      <c r="R70" t="n">
        <v>1264.52</v>
      </c>
      <c r="S70" t="n">
        <v>449.95</v>
      </c>
      <c r="T70" t="n">
        <v>0</v>
      </c>
      <c r="U70" t="n">
        <v>3146.14</v>
      </c>
      <c r="X70" t="inlineStr">
        <is>
          <t>casdo-ocena</t>
        </is>
      </c>
      <c r="Y70" t="inlineStr">
        <is>
          <t>Accessibility Standards Canada | Normes d’accessibilité Canada</t>
        </is>
      </c>
      <c r="Z70" t="n">
        <v>5</v>
      </c>
      <c r="AA70" t="n">
        <v>3146.14</v>
      </c>
      <c r="AB70">
        <f>ROUND(U70-AA70,2)</f>
        <v/>
      </c>
      <c r="AC70" t="b">
        <v>0</v>
      </c>
      <c r="AD70">
        <f>IF(U70="","MISSING_TOTAL",IF(ABS(AB70)&lt;=0.01,"OK","CHECK"))</f>
        <v/>
      </c>
      <c r="AE70">
        <f>IF(U70="","MISSING",IF(AND(AA70&gt;0,U70/AA70&gt;50),"POSSIBLE_SCALE_ERROR","OK"))</f>
        <v/>
      </c>
    </row>
    <row r="71">
      <c r="A71" t="inlineStr">
        <is>
          <t>T-2023-P12-0008</t>
        </is>
      </c>
      <c r="B71" t="inlineStr">
        <is>
          <t>SLE</t>
        </is>
      </c>
      <c r="C71" t="inlineStr">
        <is>
          <t>Board of Directors</t>
        </is>
      </c>
      <c r="D71" t="inlineStr">
        <is>
          <t>Membre du conseil de direction</t>
        </is>
      </c>
      <c r="E71" t="inlineStr">
        <is>
          <t>Haan, Maureen</t>
        </is>
      </c>
      <c r="F71" t="inlineStr">
        <is>
          <t>Board meeting</t>
        </is>
      </c>
      <c r="G71" t="inlineStr">
        <is>
          <t>Réunion du conseil</t>
        </is>
      </c>
      <c r="H71" s="1" t="n">
        <v>44978</v>
      </c>
      <c r="I71" s="1" t="n">
        <v>44981</v>
      </c>
      <c r="J71" t="inlineStr">
        <is>
          <t>Ottawa, Ontario, Canada</t>
        </is>
      </c>
      <c r="K71" t="inlineStr">
        <is>
          <t>Ottawa, Ontario, Canada</t>
        </is>
      </c>
      <c r="P71" t="n">
        <v>765.29</v>
      </c>
      <c r="Q71" t="n">
        <v>215</v>
      </c>
      <c r="R71" t="n">
        <v>948.39</v>
      </c>
      <c r="S71" t="n">
        <v>307.4</v>
      </c>
      <c r="T71" t="n">
        <v>0</v>
      </c>
      <c r="U71" t="n">
        <v>2236.08</v>
      </c>
      <c r="X71" t="inlineStr">
        <is>
          <t>casdo-ocena</t>
        </is>
      </c>
      <c r="Y71" t="inlineStr">
        <is>
          <t>Accessibility Standards Canada | Normes d’accessibilité Canada</t>
        </is>
      </c>
      <c r="Z71" t="n">
        <v>4</v>
      </c>
      <c r="AA71" t="n">
        <v>2236.08</v>
      </c>
      <c r="AB71">
        <f>ROUND(U71-AA71,2)</f>
        <v/>
      </c>
      <c r="AC71" t="b">
        <v>0</v>
      </c>
      <c r="AD71">
        <f>IF(U71="","MISSING_TOTAL",IF(ABS(AB71)&lt;=0.01,"OK","CHECK"))</f>
        <v/>
      </c>
      <c r="AE71">
        <f>IF(U71="","MISSING",IF(AND(AA71&gt;0,U71/AA71&gt;50),"POSSIBLE_SCALE_ERROR","OK"))</f>
        <v/>
      </c>
    </row>
    <row r="72">
      <c r="A72" t="inlineStr">
        <is>
          <t>T-2023-P12-0009</t>
        </is>
      </c>
      <c r="B72" t="inlineStr">
        <is>
          <t>SLE</t>
        </is>
      </c>
      <c r="C72" t="inlineStr">
        <is>
          <t>Board of Directors</t>
        </is>
      </c>
      <c r="D72" t="inlineStr">
        <is>
          <t>Membre du conseil de direction</t>
        </is>
      </c>
      <c r="E72" t="inlineStr">
        <is>
          <t>Adair, William</t>
        </is>
      </c>
      <c r="F72" t="inlineStr">
        <is>
          <t>Board meeting</t>
        </is>
      </c>
      <c r="G72" t="inlineStr">
        <is>
          <t>Réunion du conseil</t>
        </is>
      </c>
      <c r="H72" s="1" t="n">
        <v>44978</v>
      </c>
      <c r="I72" s="1" t="n">
        <v>44981</v>
      </c>
      <c r="J72" t="inlineStr">
        <is>
          <t>Ottawa, Ontario, Canada</t>
        </is>
      </c>
      <c r="K72" t="inlineStr">
        <is>
          <t>Ottawa, Ontario, Canada</t>
        </is>
      </c>
      <c r="P72" t="n">
        <v>480.53</v>
      </c>
      <c r="Q72" t="n">
        <v>126.29</v>
      </c>
      <c r="R72" t="n">
        <v>948.39</v>
      </c>
      <c r="S72" t="n">
        <v>307.4</v>
      </c>
      <c r="T72" t="n">
        <v>0</v>
      </c>
      <c r="U72" t="n">
        <v>1862.61</v>
      </c>
      <c r="X72" t="inlineStr">
        <is>
          <t>casdo-ocena</t>
        </is>
      </c>
      <c r="Y72" t="inlineStr">
        <is>
          <t>Accessibility Standards Canada | Normes d’accessibilité Canada</t>
        </is>
      </c>
      <c r="Z72" t="n">
        <v>4</v>
      </c>
      <c r="AA72" t="n">
        <v>1862.61</v>
      </c>
      <c r="AB72">
        <f>ROUND(U72-AA72,2)</f>
        <v/>
      </c>
      <c r="AC72" t="b">
        <v>0</v>
      </c>
      <c r="AD72">
        <f>IF(U72="","MISSING_TOTAL",IF(ABS(AB72)&lt;=0.01,"OK","CHECK"))</f>
        <v/>
      </c>
      <c r="AE72">
        <f>IF(U72="","MISSING",IF(AND(AA72&gt;0,U72/AA72&gt;50),"POSSIBLE_SCALE_ERROR","OK"))</f>
        <v/>
      </c>
    </row>
    <row r="73">
      <c r="A73" t="inlineStr">
        <is>
          <t>T-2024-P1-0001</t>
        </is>
      </c>
      <c r="B73" t="inlineStr">
        <is>
          <t>SLE</t>
        </is>
      </c>
      <c r="C73" t="inlineStr">
        <is>
          <t>Chief Executive Officer</t>
        </is>
      </c>
      <c r="D73" t="inlineStr">
        <is>
          <t>Président-directeur général</t>
        </is>
      </c>
      <c r="E73" t="inlineStr">
        <is>
          <t>Rizcallah, Philip</t>
        </is>
      </c>
      <c r="F73" t="inlineStr">
        <is>
          <t>Stakeholder meetings</t>
        </is>
      </c>
      <c r="G73" t="inlineStr">
        <is>
          <t>Réunions  avec des parties prenantes</t>
        </is>
      </c>
      <c r="H73" s="1" t="n">
        <v>45005</v>
      </c>
      <c r="I73" s="1" t="n">
        <v>45005</v>
      </c>
      <c r="J73" t="inlineStr">
        <is>
          <t>Ottawa, Ontario, Canada</t>
        </is>
      </c>
      <c r="K73" t="inlineStr">
        <is>
          <t>Ottawa, Ontario, Canada</t>
        </is>
      </c>
      <c r="P73" t="n">
        <v>0</v>
      </c>
      <c r="Q73" t="n">
        <v>35.74</v>
      </c>
      <c r="R73" t="n">
        <v>0</v>
      </c>
      <c r="S73" t="n">
        <v>0</v>
      </c>
      <c r="T73" t="n">
        <v>0</v>
      </c>
      <c r="U73" t="n">
        <v>35.74</v>
      </c>
      <c r="X73" t="inlineStr">
        <is>
          <t>casdo-ocena</t>
        </is>
      </c>
      <c r="Y73" t="inlineStr">
        <is>
          <t>Accessibility Standards Canada | Normes d’accessibilité Canada</t>
        </is>
      </c>
      <c r="Z73" t="n">
        <v>1</v>
      </c>
      <c r="AA73" t="n">
        <v>35.74</v>
      </c>
      <c r="AB73">
        <f>ROUND(U73-AA73,2)</f>
        <v/>
      </c>
      <c r="AC73" t="b">
        <v>0</v>
      </c>
      <c r="AD73">
        <f>IF(U73="","MISSING_TOTAL",IF(ABS(AB73)&lt;=0.01,"OK","CHECK"))</f>
        <v/>
      </c>
      <c r="AE73">
        <f>IF(U73="","MISSING",IF(AND(AA73&gt;0,U73/AA73&gt;50),"POSSIBLE_SCALE_ERROR","OK"))</f>
        <v/>
      </c>
    </row>
    <row r="74">
      <c r="A74" t="inlineStr">
        <is>
          <t>T-2024-P1-0002</t>
        </is>
      </c>
      <c r="B74" t="inlineStr">
        <is>
          <t>SLE</t>
        </is>
      </c>
      <c r="C74" t="inlineStr">
        <is>
          <t>Chair</t>
        </is>
      </c>
      <c r="D74" t="inlineStr">
        <is>
          <t>Président</t>
        </is>
      </c>
      <c r="E74" t="inlineStr">
        <is>
          <t>Bérubé, Paul-Claude</t>
        </is>
      </c>
      <c r="F74" t="inlineStr">
        <is>
          <t>Meeting with CEO and VC</t>
        </is>
      </c>
      <c r="G74" t="inlineStr">
        <is>
          <t>Réunion avec PDG et VP</t>
        </is>
      </c>
      <c r="H74" s="1" t="n">
        <v>44871</v>
      </c>
      <c r="I74" s="1" t="n">
        <v>44873</v>
      </c>
      <c r="J74" t="inlineStr">
        <is>
          <t>Gatineau, Quebec, Canada</t>
        </is>
      </c>
      <c r="K74" t="inlineStr">
        <is>
          <t>Gatineau, Québec, Canada</t>
        </is>
      </c>
      <c r="P74" t="n">
        <v>0</v>
      </c>
      <c r="Q74" t="n">
        <v>309.6</v>
      </c>
      <c r="R74" t="n">
        <v>206.47</v>
      </c>
      <c r="S74" t="n">
        <v>193.65</v>
      </c>
      <c r="T74" t="n">
        <v>0</v>
      </c>
      <c r="U74" t="n">
        <v>709.72</v>
      </c>
      <c r="X74" t="inlineStr">
        <is>
          <t>casdo-ocena</t>
        </is>
      </c>
      <c r="Y74" t="inlineStr">
        <is>
          <t>Accessibility Standards Canada | Normes d’accessibilité Canada</t>
        </is>
      </c>
      <c r="Z74" t="n">
        <v>3</v>
      </c>
      <c r="AA74" t="n">
        <v>709.72</v>
      </c>
      <c r="AB74">
        <f>ROUND(U74-AA74,2)</f>
        <v/>
      </c>
      <c r="AC74" t="b">
        <v>0</v>
      </c>
      <c r="AD74">
        <f>IF(U74="","MISSING_TOTAL",IF(ABS(AB74)&lt;=0.01,"OK","CHECK"))</f>
        <v/>
      </c>
      <c r="AE74">
        <f>IF(U74="","MISSING",IF(AND(AA74&gt;0,U74/AA74&gt;50),"POSSIBLE_SCALE_ERROR","OK"))</f>
        <v/>
      </c>
    </row>
    <row r="75">
      <c r="A75" t="inlineStr">
        <is>
          <t>T-2024-P1-0003</t>
        </is>
      </c>
      <c r="B75" t="inlineStr">
        <is>
          <t>SLE</t>
        </is>
      </c>
      <c r="C75" t="inlineStr">
        <is>
          <t>Chair</t>
        </is>
      </c>
      <c r="D75" t="inlineStr">
        <is>
          <t>Président</t>
        </is>
      </c>
      <c r="E75" t="inlineStr">
        <is>
          <t>Bérubé, Paul-Claude</t>
        </is>
      </c>
      <c r="F75" t="inlineStr">
        <is>
          <t>FPT Forum</t>
        </is>
      </c>
      <c r="G75" t="inlineStr">
        <is>
          <t>Forum FPT</t>
        </is>
      </c>
      <c r="H75" s="1" t="n">
        <v>44852</v>
      </c>
      <c r="I75" s="1" t="n">
        <v>44853</v>
      </c>
      <c r="J75" t="inlineStr">
        <is>
          <t>Gatineau, Quebec, Canada</t>
        </is>
      </c>
      <c r="K75" t="inlineStr">
        <is>
          <t>Gatineau, Québec, Canada</t>
        </is>
      </c>
      <c r="P75" t="n">
        <v>0</v>
      </c>
      <c r="Q75" t="n">
        <v>310.8</v>
      </c>
      <c r="R75" t="n">
        <v>194.57</v>
      </c>
      <c r="S75" t="n">
        <v>137.05</v>
      </c>
      <c r="T75" t="n">
        <v>0</v>
      </c>
      <c r="U75" t="n">
        <v>642.42</v>
      </c>
      <c r="X75" t="inlineStr">
        <is>
          <t>casdo-ocena</t>
        </is>
      </c>
      <c r="Y75" t="inlineStr">
        <is>
          <t>Accessibility Standards Canada | Normes d’accessibilité Canada</t>
        </is>
      </c>
      <c r="Z75" t="n">
        <v>2</v>
      </c>
      <c r="AA75" t="n">
        <v>642.42</v>
      </c>
      <c r="AB75">
        <f>ROUND(U75-AA75,2)</f>
        <v/>
      </c>
      <c r="AC75" t="b">
        <v>0</v>
      </c>
      <c r="AD75">
        <f>IF(U75="","MISSING_TOTAL",IF(ABS(AB75)&lt;=0.01,"OK","CHECK"))</f>
        <v/>
      </c>
      <c r="AE75">
        <f>IF(U75="","MISSING",IF(AND(AA75&gt;0,U75/AA75&gt;50),"POSSIBLE_SCALE_ERROR","OK"))</f>
        <v/>
      </c>
    </row>
    <row r="76">
      <c r="A76" t="inlineStr">
        <is>
          <t>T-2024-P1-0004</t>
        </is>
      </c>
      <c r="B76" t="inlineStr">
        <is>
          <t>SLE</t>
        </is>
      </c>
      <c r="C76" t="inlineStr">
        <is>
          <t>Chair</t>
        </is>
      </c>
      <c r="D76" t="inlineStr">
        <is>
          <t>Président</t>
        </is>
      </c>
      <c r="E76" t="inlineStr">
        <is>
          <t>Bérubé, Paul-Claude</t>
        </is>
      </c>
      <c r="F76" t="inlineStr">
        <is>
          <t>Board Meeting</t>
        </is>
      </c>
      <c r="G76" t="inlineStr">
        <is>
          <t>Réunion du conseil d'administration</t>
        </is>
      </c>
      <c r="H76" s="1" t="n">
        <v>44822</v>
      </c>
      <c r="I76" s="1" t="n">
        <v>44825</v>
      </c>
      <c r="J76" t="inlineStr">
        <is>
          <t>Montreal, Quebec, Canada</t>
        </is>
      </c>
      <c r="K76" t="inlineStr">
        <is>
          <t>Montréal, Québec, Canada</t>
        </is>
      </c>
      <c r="P76" t="n">
        <v>0</v>
      </c>
      <c r="Q76" t="n">
        <v>56.84</v>
      </c>
      <c r="R76" t="n">
        <v>1067.43</v>
      </c>
      <c r="S76" t="n">
        <v>298.1</v>
      </c>
      <c r="T76" t="n">
        <v>0</v>
      </c>
      <c r="U76" t="n">
        <v>1422.37</v>
      </c>
      <c r="X76" t="inlineStr">
        <is>
          <t>casdo-ocena</t>
        </is>
      </c>
      <c r="Y76" t="inlineStr">
        <is>
          <t>Accessibility Standards Canada | Normes d’accessibilité Canada</t>
        </is>
      </c>
      <c r="Z76" t="n">
        <v>4</v>
      </c>
      <c r="AA76" t="n">
        <v>1422.37</v>
      </c>
      <c r="AB76">
        <f>ROUND(U76-AA76,2)</f>
        <v/>
      </c>
      <c r="AC76" t="b">
        <v>0</v>
      </c>
      <c r="AD76">
        <f>IF(U76="","MISSING_TOTAL",IF(ABS(AB76)&lt;=0.01,"OK","CHECK"))</f>
        <v/>
      </c>
      <c r="AE76">
        <f>IF(U76="","MISSING",IF(AND(AA76&gt;0,U76/AA76&gt;50),"POSSIBLE_SCALE_ERROR","OK"))</f>
        <v/>
      </c>
    </row>
    <row r="77">
      <c r="A77" t="inlineStr">
        <is>
          <t>T-2024-P1-0005</t>
        </is>
      </c>
      <c r="B77" t="inlineStr">
        <is>
          <t>SLE</t>
        </is>
      </c>
      <c r="C77" t="inlineStr">
        <is>
          <t>Chair</t>
        </is>
      </c>
      <c r="D77" t="inlineStr">
        <is>
          <t>Président</t>
        </is>
      </c>
      <c r="E77" t="inlineStr">
        <is>
          <t>Bérubé, Paul-Claude</t>
        </is>
      </c>
      <c r="F77" t="inlineStr">
        <is>
          <t>Presentation to BoC</t>
        </is>
      </c>
      <c r="G77" t="inlineStr">
        <is>
          <t>Présentation au BduC</t>
        </is>
      </c>
      <c r="H77" s="1" t="n">
        <v>44902</v>
      </c>
      <c r="I77" s="1" t="n">
        <v>44902</v>
      </c>
      <c r="J77" t="inlineStr">
        <is>
          <t>Ottawa, Ontario, Canada</t>
        </is>
      </c>
      <c r="K77" t="inlineStr">
        <is>
          <t>Ottawa, Ontario, Canada</t>
        </is>
      </c>
      <c r="P77" t="n">
        <v>0</v>
      </c>
      <c r="Q77" t="n">
        <v>301.32</v>
      </c>
      <c r="R77" t="n">
        <v>0</v>
      </c>
      <c r="S77" t="n">
        <v>119.75</v>
      </c>
      <c r="T77" t="n">
        <v>0</v>
      </c>
      <c r="U77" t="n">
        <v>421.07</v>
      </c>
      <c r="X77" t="inlineStr">
        <is>
          <t>casdo-ocena</t>
        </is>
      </c>
      <c r="Y77" t="inlineStr">
        <is>
          <t>Accessibility Standards Canada | Normes d’accessibilité Canada</t>
        </is>
      </c>
      <c r="Z77" t="n">
        <v>1</v>
      </c>
      <c r="AA77" t="n">
        <v>421.07</v>
      </c>
      <c r="AB77">
        <f>ROUND(U77-AA77,2)</f>
        <v/>
      </c>
      <c r="AC77" t="b">
        <v>0</v>
      </c>
      <c r="AD77">
        <f>IF(U77="","MISSING_TOTAL",IF(ABS(AB77)&lt;=0.01,"OK","CHECK"))</f>
        <v/>
      </c>
      <c r="AE77">
        <f>IF(U77="","MISSING",IF(AND(AA77&gt;0,U77/AA77&gt;50),"POSSIBLE_SCALE_ERROR","OK"))</f>
        <v/>
      </c>
    </row>
    <row r="78">
      <c r="A78" t="inlineStr">
        <is>
          <t>T-2024-P1-0006</t>
        </is>
      </c>
      <c r="B78" t="inlineStr">
        <is>
          <t>SLE</t>
        </is>
      </c>
      <c r="C78" t="inlineStr">
        <is>
          <t>Vice Chair</t>
        </is>
      </c>
      <c r="D78" t="inlineStr">
        <is>
          <t>Vice-Présidente</t>
        </is>
      </c>
      <c r="E78" t="inlineStr">
        <is>
          <t>Reid, Mary</t>
        </is>
      </c>
      <c r="F78" t="inlineStr">
        <is>
          <t>Board Meeting</t>
        </is>
      </c>
      <c r="G78" t="inlineStr">
        <is>
          <t>Réunion du conseil d'administration</t>
        </is>
      </c>
      <c r="H78" s="1" t="n">
        <v>44906</v>
      </c>
      <c r="I78" s="1" t="n">
        <v>44910</v>
      </c>
      <c r="J78" t="inlineStr">
        <is>
          <t>Toronto, Ontario, Canada</t>
        </is>
      </c>
      <c r="K78" t="inlineStr">
        <is>
          <t>Toronto, Ontario, Canada</t>
        </is>
      </c>
      <c r="P78" t="n">
        <v>1579.6</v>
      </c>
      <c r="Q78" t="n">
        <v>123.75</v>
      </c>
      <c r="R78" t="n">
        <v>1123.48</v>
      </c>
      <c r="S78" t="n">
        <v>529.6</v>
      </c>
      <c r="T78" t="n">
        <v>0</v>
      </c>
      <c r="U78" t="n">
        <v>3356.43</v>
      </c>
      <c r="X78" t="inlineStr">
        <is>
          <t>casdo-ocena</t>
        </is>
      </c>
      <c r="Y78" t="inlineStr">
        <is>
          <t>Accessibility Standards Canada | Normes d’accessibilité Canada</t>
        </is>
      </c>
      <c r="Z78" t="n">
        <v>5</v>
      </c>
      <c r="AA78" t="n">
        <v>3356.43</v>
      </c>
      <c r="AB78">
        <f>ROUND(U78-AA78,2)</f>
        <v/>
      </c>
      <c r="AC78" t="b">
        <v>0</v>
      </c>
      <c r="AD78">
        <f>IF(U78="","MISSING_TOTAL",IF(ABS(AB78)&lt;=0.01,"OK","CHECK"))</f>
        <v/>
      </c>
      <c r="AE78">
        <f>IF(U78="","MISSING",IF(AND(AA78&gt;0,U78/AA78&gt;50),"POSSIBLE_SCALE_ERROR","OK"))</f>
        <v/>
      </c>
    </row>
    <row r="79">
      <c r="A79" t="inlineStr">
        <is>
          <t>T-2024-P1-0007</t>
        </is>
      </c>
      <c r="B79" t="inlineStr">
        <is>
          <t>SLE</t>
        </is>
      </c>
      <c r="C79" t="inlineStr">
        <is>
          <t>Board of Directors</t>
        </is>
      </c>
      <c r="D79" t="inlineStr">
        <is>
          <t>Membre du conseil de direction</t>
        </is>
      </c>
      <c r="E79" t="inlineStr">
        <is>
          <t>Adair, William</t>
        </is>
      </c>
      <c r="F79" t="inlineStr">
        <is>
          <t>Board Meeting</t>
        </is>
      </c>
      <c r="G79" t="inlineStr">
        <is>
          <t>Réunion du conseil d'administration</t>
        </is>
      </c>
      <c r="H79" s="1" t="n">
        <v>44822</v>
      </c>
      <c r="I79" s="1" t="n">
        <v>44825</v>
      </c>
      <c r="J79" t="inlineStr">
        <is>
          <t>Montreal, Quebec, Canada</t>
        </is>
      </c>
      <c r="K79" t="inlineStr">
        <is>
          <t>Montréal, Québec, Canada</t>
        </is>
      </c>
      <c r="P79" t="n">
        <v>284.78</v>
      </c>
      <c r="Q79" t="n">
        <v>218.6</v>
      </c>
      <c r="R79" t="n">
        <v>1067.43</v>
      </c>
      <c r="S79" t="n">
        <v>352.5</v>
      </c>
      <c r="T79" t="n">
        <v>0</v>
      </c>
      <c r="U79" t="n">
        <v>1923.31</v>
      </c>
      <c r="X79" t="inlineStr">
        <is>
          <t>casdo-ocena</t>
        </is>
      </c>
      <c r="Y79" t="inlineStr">
        <is>
          <t>Accessibility Standards Canada | Normes d’accessibilité Canada</t>
        </is>
      </c>
      <c r="Z79" t="n">
        <v>4</v>
      </c>
      <c r="AA79" t="n">
        <v>1923.31</v>
      </c>
      <c r="AB79">
        <f>ROUND(U79-AA79,2)</f>
        <v/>
      </c>
      <c r="AC79" t="b">
        <v>0</v>
      </c>
      <c r="AD79">
        <f>IF(U79="","MISSING_TOTAL",IF(ABS(AB79)&lt;=0.01,"OK","CHECK"))</f>
        <v/>
      </c>
      <c r="AE79">
        <f>IF(U79="","MISSING",IF(AND(AA79&gt;0,U79/AA79&gt;50),"POSSIBLE_SCALE_ERROR","OK"))</f>
        <v/>
      </c>
    </row>
    <row r="80">
      <c r="A80" t="inlineStr">
        <is>
          <t>T-2024-P1-0008</t>
        </is>
      </c>
      <c r="B80" t="inlineStr">
        <is>
          <t>SLE</t>
        </is>
      </c>
      <c r="C80" t="inlineStr">
        <is>
          <t>Board of Directors</t>
        </is>
      </c>
      <c r="D80" t="inlineStr">
        <is>
          <t>Membre du conseil de direction</t>
        </is>
      </c>
      <c r="E80" t="inlineStr">
        <is>
          <t>Adair, William</t>
        </is>
      </c>
      <c r="F80" t="inlineStr">
        <is>
          <t>Board Meeting</t>
        </is>
      </c>
      <c r="G80" t="inlineStr">
        <is>
          <t>Réunion du conseil d'administration</t>
        </is>
      </c>
      <c r="H80" s="1" t="n">
        <v>44907</v>
      </c>
      <c r="I80" s="1" t="n">
        <v>44910</v>
      </c>
      <c r="J80" t="inlineStr">
        <is>
          <t>Toronto, Ontario, Canada</t>
        </is>
      </c>
      <c r="K80" t="inlineStr">
        <is>
          <t>Toronto, Ontario, Canada</t>
        </is>
      </c>
      <c r="P80" t="n">
        <v>0</v>
      </c>
      <c r="Q80" t="n">
        <v>155.92</v>
      </c>
      <c r="R80" t="n">
        <v>0</v>
      </c>
      <c r="S80" t="n">
        <v>56.6</v>
      </c>
      <c r="T80" t="n">
        <v>0</v>
      </c>
      <c r="U80" t="n">
        <v>212.52</v>
      </c>
      <c r="X80" t="inlineStr">
        <is>
          <t>casdo-ocena</t>
        </is>
      </c>
      <c r="Y80" t="inlineStr">
        <is>
          <t>Accessibility Standards Canada | Normes d’accessibilité Canada</t>
        </is>
      </c>
      <c r="Z80" t="n">
        <v>4</v>
      </c>
      <c r="AA80" t="n">
        <v>212.519999999999</v>
      </c>
      <c r="AB80">
        <f>ROUND(U80-AA80,2)</f>
        <v/>
      </c>
      <c r="AC80" t="b">
        <v>0</v>
      </c>
      <c r="AD80">
        <f>IF(U80="","MISSING_TOTAL",IF(ABS(AB80)&lt;=0.01,"OK","CHECK"))</f>
        <v/>
      </c>
      <c r="AE80">
        <f>IF(U80="","MISSING",IF(AND(AA80&gt;0,U80/AA80&gt;50),"POSSIBLE_SCALE_ERROR","OK"))</f>
        <v/>
      </c>
    </row>
    <row r="81">
      <c r="A81" t="inlineStr">
        <is>
          <t>T-2024-P2-0001</t>
        </is>
      </c>
      <c r="B81" t="inlineStr">
        <is>
          <t>SLE</t>
        </is>
      </c>
      <c r="C81" t="inlineStr">
        <is>
          <t>Chief Executive Officer</t>
        </is>
      </c>
      <c r="D81" t="inlineStr">
        <is>
          <t>Président-directeur général</t>
        </is>
      </c>
      <c r="E81" t="inlineStr">
        <is>
          <t>Rizcallah, Philip</t>
        </is>
      </c>
      <c r="F81" t="inlineStr">
        <is>
          <t>Portland conference</t>
        </is>
      </c>
      <c r="G81" t="inlineStr">
        <is>
          <t>Conférence à Portland</t>
        </is>
      </c>
      <c r="H81" s="1" t="n">
        <v>45014</v>
      </c>
      <c r="I81" s="1" t="n">
        <v>45018</v>
      </c>
      <c r="J81" t="inlineStr">
        <is>
          <t>Portland, Oregon, USA</t>
        </is>
      </c>
      <c r="K81" t="inlineStr">
        <is>
          <t>Portland, Oregon, EU</t>
        </is>
      </c>
      <c r="P81" t="n">
        <v>1499.26</v>
      </c>
      <c r="Q81" t="n">
        <v>124.43</v>
      </c>
      <c r="R81" t="n">
        <v>716.53</v>
      </c>
      <c r="S81" t="n">
        <v>561.6799999999999</v>
      </c>
      <c r="T81" t="n">
        <v>0</v>
      </c>
      <c r="U81" t="n">
        <v>2901.9</v>
      </c>
      <c r="X81" t="inlineStr">
        <is>
          <t>casdo-ocena</t>
        </is>
      </c>
      <c r="Y81" t="inlineStr">
        <is>
          <t>Accessibility Standards Canada | Normes d’accessibilité Canada</t>
        </is>
      </c>
      <c r="Z81" t="n">
        <v>5</v>
      </c>
      <c r="AA81" t="n">
        <v>2901.9</v>
      </c>
      <c r="AB81">
        <f>ROUND(U81-AA81,2)</f>
        <v/>
      </c>
      <c r="AC81" t="b">
        <v>0</v>
      </c>
      <c r="AD81">
        <f>IF(U81="","MISSING_TOTAL",IF(ABS(AB81)&lt;=0.01,"OK","CHECK"))</f>
        <v/>
      </c>
      <c r="AE81">
        <f>IF(U81="","MISSING",IF(AND(AA81&gt;0,U81/AA81&gt;50),"POSSIBLE_SCALE_ERROR","OK"))</f>
        <v/>
      </c>
    </row>
    <row r="82">
      <c r="A82" t="inlineStr">
        <is>
          <t>T-2024-P2-0002</t>
        </is>
      </c>
      <c r="B82" t="inlineStr">
        <is>
          <t>SLE</t>
        </is>
      </c>
      <c r="C82" t="inlineStr">
        <is>
          <t>Chief Executive Officer</t>
        </is>
      </c>
      <c r="D82" t="inlineStr">
        <is>
          <t>Président-directeur général</t>
        </is>
      </c>
      <c r="E82" t="inlineStr">
        <is>
          <t>Rizcallah, Philip</t>
        </is>
      </c>
      <c r="F82" t="inlineStr">
        <is>
          <t>Meetings CFIAT-PR</t>
        </is>
      </c>
      <c r="G82" t="inlineStr">
        <is>
          <t>Réunions avec CFIAT-PR</t>
        </is>
      </c>
      <c r="H82" s="1" t="n">
        <v>45041</v>
      </c>
      <c r="I82" s="1" t="n">
        <v>45047</v>
      </c>
      <c r="J82" t="inlineStr">
        <is>
          <t>Toronto, Ontario, Canada</t>
        </is>
      </c>
      <c r="K82" t="inlineStr">
        <is>
          <t>Toronto, Ontario, Canada</t>
        </is>
      </c>
      <c r="P82" t="n">
        <v>1417.51</v>
      </c>
      <c r="Q82" t="n">
        <v>528.4</v>
      </c>
      <c r="R82" t="n">
        <v>796.2</v>
      </c>
      <c r="S82" t="n">
        <v>643.4</v>
      </c>
      <c r="T82" t="n">
        <v>0</v>
      </c>
      <c r="U82" t="n">
        <v>3385.51</v>
      </c>
      <c r="X82" t="inlineStr">
        <is>
          <t>casdo-ocena</t>
        </is>
      </c>
      <c r="Y82" t="inlineStr">
        <is>
          <t>Accessibility Standards Canada | Normes d’accessibilité Canada</t>
        </is>
      </c>
      <c r="Z82" t="n">
        <v>7</v>
      </c>
      <c r="AA82" t="n">
        <v>3385.50999999999</v>
      </c>
      <c r="AB82">
        <f>ROUND(U82-AA82,2)</f>
        <v/>
      </c>
      <c r="AC82" t="b">
        <v>0</v>
      </c>
      <c r="AD82">
        <f>IF(U82="","MISSING_TOTAL",IF(ABS(AB82)&lt;=0.01,"OK","CHECK"))</f>
        <v/>
      </c>
      <c r="AE82">
        <f>IF(U82="","MISSING",IF(AND(AA82&gt;0,U82/AA82&gt;50),"POSSIBLE_SCALE_ERROR","OK"))</f>
        <v/>
      </c>
    </row>
    <row r="83">
      <c r="A83" t="inlineStr">
        <is>
          <t>T-2024-P2-0003</t>
        </is>
      </c>
      <c r="B83" t="inlineStr">
        <is>
          <t>SLE</t>
        </is>
      </c>
      <c r="C83" t="inlineStr">
        <is>
          <t>Chief Executive Officer</t>
        </is>
      </c>
      <c r="D83" t="inlineStr">
        <is>
          <t>Président-directeur général</t>
        </is>
      </c>
      <c r="E83" t="inlineStr">
        <is>
          <t>Rizcallah, Philip</t>
        </is>
      </c>
      <c r="F83" t="inlineStr">
        <is>
          <t>Toronto meeting</t>
        </is>
      </c>
      <c r="G83" t="inlineStr">
        <is>
          <t>Réunion à Toronto</t>
        </is>
      </c>
      <c r="H83" s="1" t="n">
        <v>45057</v>
      </c>
      <c r="I83" s="1" t="n">
        <v>45058</v>
      </c>
      <c r="J83" t="inlineStr">
        <is>
          <t>Toronto, Ontario, Canada</t>
        </is>
      </c>
      <c r="K83" t="inlineStr">
        <is>
          <t>Toronto, Ontario, Canada</t>
        </is>
      </c>
      <c r="P83" t="n">
        <v>0</v>
      </c>
      <c r="Q83" t="n">
        <v>645.3</v>
      </c>
      <c r="R83" t="n">
        <v>194.33</v>
      </c>
      <c r="S83" t="n">
        <v>99.8</v>
      </c>
      <c r="T83" t="n">
        <v>0</v>
      </c>
      <c r="U83" t="n">
        <v>939.4299999999999</v>
      </c>
      <c r="X83" t="inlineStr">
        <is>
          <t>casdo-ocena</t>
        </is>
      </c>
      <c r="Y83" t="inlineStr">
        <is>
          <t>Accessibility Standards Canada | Normes d’accessibilité Canada</t>
        </is>
      </c>
      <c r="Z83" t="n">
        <v>2</v>
      </c>
      <c r="AA83" t="n">
        <v>939.4299999999999</v>
      </c>
      <c r="AB83">
        <f>ROUND(U83-AA83,2)</f>
        <v/>
      </c>
      <c r="AC83" t="b">
        <v>0</v>
      </c>
      <c r="AD83">
        <f>IF(U83="","MISSING_TOTAL",IF(ABS(AB83)&lt;=0.01,"OK","CHECK"))</f>
        <v/>
      </c>
      <c r="AE83">
        <f>IF(U83="","MISSING",IF(AND(AA83&gt;0,U83/AA83&gt;50),"POSSIBLE_SCALE_ERROR","OK"))</f>
        <v/>
      </c>
    </row>
    <row r="84">
      <c r="A84" t="inlineStr">
        <is>
          <t>T-2024-P2-0004</t>
        </is>
      </c>
      <c r="B84" t="inlineStr">
        <is>
          <t>SLE</t>
        </is>
      </c>
      <c r="C84" t="inlineStr">
        <is>
          <t>Chair</t>
        </is>
      </c>
      <c r="D84" t="inlineStr">
        <is>
          <t>Président</t>
        </is>
      </c>
      <c r="E84" t="inlineStr">
        <is>
          <t>Bérubé, Paul-Claude</t>
        </is>
      </c>
      <c r="F84" t="inlineStr">
        <is>
          <t>Board meeting</t>
        </is>
      </c>
      <c r="G84" t="inlineStr">
        <is>
          <t>Réunion du conseil d'administration.</t>
        </is>
      </c>
      <c r="H84" s="1" t="n">
        <v>44907</v>
      </c>
      <c r="I84" s="1" t="n">
        <v>44910</v>
      </c>
      <c r="J84" t="inlineStr">
        <is>
          <t>Toronto, Ontario, Canada</t>
        </is>
      </c>
      <c r="K84" t="inlineStr">
        <is>
          <t>Toronto, Ontario, Canada</t>
        </is>
      </c>
      <c r="P84" t="n">
        <v>0</v>
      </c>
      <c r="Q84" t="n">
        <v>734.4400000000001</v>
      </c>
      <c r="R84" t="n">
        <v>842.61</v>
      </c>
      <c r="S84" t="n">
        <v>307.4</v>
      </c>
      <c r="T84" t="n">
        <v>0</v>
      </c>
      <c r="U84" t="n">
        <v>1884.45</v>
      </c>
      <c r="X84" t="inlineStr">
        <is>
          <t>casdo-ocena</t>
        </is>
      </c>
      <c r="Y84" t="inlineStr">
        <is>
          <t>Accessibility Standards Canada | Normes d’accessibilité Canada</t>
        </is>
      </c>
      <c r="Z84" t="n">
        <v>4</v>
      </c>
      <c r="AA84" t="n">
        <v>1884.45</v>
      </c>
      <c r="AB84">
        <f>ROUND(U84-AA84,2)</f>
        <v/>
      </c>
      <c r="AC84" t="b">
        <v>0</v>
      </c>
      <c r="AD84">
        <f>IF(U84="","MISSING_TOTAL",IF(ABS(AB84)&lt;=0.01,"OK","CHECK"))</f>
        <v/>
      </c>
      <c r="AE84">
        <f>IF(U84="","MISSING",IF(AND(AA84&gt;0,U84/AA84&gt;50),"POSSIBLE_SCALE_ERROR","OK"))</f>
        <v/>
      </c>
    </row>
    <row r="85">
      <c r="A85" t="inlineStr">
        <is>
          <t>T-2024-P3-0001</t>
        </is>
      </c>
      <c r="B85" t="inlineStr">
        <is>
          <t>SLE</t>
        </is>
      </c>
      <c r="C85" t="inlineStr">
        <is>
          <t>Chief Executive Officer</t>
        </is>
      </c>
      <c r="D85" t="inlineStr">
        <is>
          <t>Président-directeur général</t>
        </is>
      </c>
      <c r="E85" t="inlineStr">
        <is>
          <t>Rizcallah, Philip</t>
        </is>
      </c>
      <c r="F85" t="inlineStr">
        <is>
          <t>Board meeting</t>
        </is>
      </c>
      <c r="G85" t="inlineStr">
        <is>
          <t>Réunion du conseil d'administration.</t>
        </is>
      </c>
      <c r="H85" s="1" t="n">
        <v>45068</v>
      </c>
      <c r="I85" s="1" t="n">
        <v>45072</v>
      </c>
      <c r="J85" t="inlineStr">
        <is>
          <t>Winnipeg, Manitoba, Canada</t>
        </is>
      </c>
      <c r="K85" t="inlineStr">
        <is>
          <t>Winnipeg, Manitoba, Canada</t>
        </is>
      </c>
      <c r="P85" t="n">
        <v>745.3</v>
      </c>
      <c r="Q85" t="n">
        <v>515.97</v>
      </c>
      <c r="R85" t="n">
        <v>1266.32</v>
      </c>
      <c r="S85" t="n">
        <v>569.5</v>
      </c>
      <c r="T85" t="n">
        <v>0</v>
      </c>
      <c r="U85" t="n">
        <v>3097.09</v>
      </c>
      <c r="X85" t="inlineStr">
        <is>
          <t>casdo-ocena</t>
        </is>
      </c>
      <c r="Y85" t="inlineStr">
        <is>
          <t>Accessibility Standards Canada | Normes d’accessibilité Canada</t>
        </is>
      </c>
      <c r="Z85" t="n">
        <v>5</v>
      </c>
      <c r="AA85" t="n">
        <v>3097.09</v>
      </c>
      <c r="AB85">
        <f>ROUND(U85-AA85,2)</f>
        <v/>
      </c>
      <c r="AC85" t="b">
        <v>0</v>
      </c>
      <c r="AD85">
        <f>IF(U85="","MISSING_TOTAL",IF(ABS(AB85)&lt;=0.01,"OK","CHECK"))</f>
        <v/>
      </c>
      <c r="AE85">
        <f>IF(U85="","MISSING",IF(AND(AA85&gt;0,U85/AA85&gt;50),"POSSIBLE_SCALE_ERROR","OK"))</f>
        <v/>
      </c>
    </row>
    <row r="86">
      <c r="A86" t="inlineStr">
        <is>
          <t>T-2024-P3-0002</t>
        </is>
      </c>
      <c r="B86" t="inlineStr">
        <is>
          <t>SLE</t>
        </is>
      </c>
      <c r="C86" t="inlineStr">
        <is>
          <t>Chief Executive Officer</t>
        </is>
      </c>
      <c r="D86" t="inlineStr">
        <is>
          <t>Président-directeur général</t>
        </is>
      </c>
      <c r="E86" t="inlineStr">
        <is>
          <t>Rizcallah, Philip</t>
        </is>
      </c>
      <c r="F86" t="inlineStr">
        <is>
          <t>Vancouver conference</t>
        </is>
      </c>
      <c r="G86" t="inlineStr">
        <is>
          <t>Conférence en Vancouver</t>
        </is>
      </c>
      <c r="H86" s="1" t="n">
        <v>45082</v>
      </c>
      <c r="I86" s="1" t="n">
        <v>45086</v>
      </c>
      <c r="J86" t="inlineStr">
        <is>
          <t>Vancouver, British Columbia, Canada</t>
        </is>
      </c>
      <c r="K86" t="inlineStr">
        <is>
          <t>Vancouver, Colombie-Britannique, Canada</t>
        </is>
      </c>
      <c r="P86" t="n">
        <v>949.52</v>
      </c>
      <c r="Q86" t="n">
        <v>139.53</v>
      </c>
      <c r="R86" t="n">
        <v>1992.5</v>
      </c>
      <c r="S86" t="n">
        <v>521.7</v>
      </c>
      <c r="T86" t="n">
        <v>0</v>
      </c>
      <c r="U86" t="n">
        <v>3603.25</v>
      </c>
      <c r="X86" t="inlineStr">
        <is>
          <t>casdo-ocena</t>
        </is>
      </c>
      <c r="Y86" t="inlineStr">
        <is>
          <t>Accessibility Standards Canada | Normes d’accessibilité Canada</t>
        </is>
      </c>
      <c r="Z86" t="n">
        <v>5</v>
      </c>
      <c r="AA86" t="n">
        <v>3603.25</v>
      </c>
      <c r="AB86">
        <f>ROUND(U86-AA86,2)</f>
        <v/>
      </c>
      <c r="AC86" t="b">
        <v>0</v>
      </c>
      <c r="AD86">
        <f>IF(U86="","MISSING_TOTAL",IF(ABS(AB86)&lt;=0.01,"OK","CHECK"))</f>
        <v/>
      </c>
      <c r="AE86">
        <f>IF(U86="","MISSING",IF(AND(AA86&gt;0,U86/AA86&gt;50),"POSSIBLE_SCALE_ERROR","OK"))</f>
        <v/>
      </c>
    </row>
    <row r="87">
      <c r="A87" t="inlineStr">
        <is>
          <t>T-2024-P3-0003</t>
        </is>
      </c>
      <c r="B87" t="inlineStr">
        <is>
          <t>SLE</t>
        </is>
      </c>
      <c r="C87" t="inlineStr">
        <is>
          <t>Chief Executive Officer</t>
        </is>
      </c>
      <c r="D87" t="inlineStr">
        <is>
          <t>Président-directeur général</t>
        </is>
      </c>
      <c r="E87" t="inlineStr">
        <is>
          <t>Rizcallah, Philip</t>
        </is>
      </c>
      <c r="F87" t="inlineStr">
        <is>
          <t>CCRW/ULC event</t>
        </is>
      </c>
      <c r="G87" t="inlineStr">
        <is>
          <t>Évènement CCRW/ULC.</t>
        </is>
      </c>
      <c r="H87" s="1" t="n">
        <v>45078</v>
      </c>
      <c r="I87" s="1" t="n">
        <v>45078</v>
      </c>
      <c r="J87" t="inlineStr">
        <is>
          <t>Ottawa, Ontario, Canada</t>
        </is>
      </c>
      <c r="K87" t="inlineStr">
        <is>
          <t>Ottawa, Ontario, Canada</t>
        </is>
      </c>
      <c r="P87" t="n">
        <v>0</v>
      </c>
      <c r="Q87" t="n">
        <v>110.63</v>
      </c>
      <c r="R87" t="n">
        <v>0</v>
      </c>
      <c r="S87" t="n">
        <v>0</v>
      </c>
      <c r="T87" t="n">
        <v>0</v>
      </c>
      <c r="U87" t="n">
        <v>110.63</v>
      </c>
      <c r="X87" t="inlineStr">
        <is>
          <t>casdo-ocena</t>
        </is>
      </c>
      <c r="Y87" t="inlineStr">
        <is>
          <t>Accessibility Standards Canada | Normes d’accessibilité Canada</t>
        </is>
      </c>
      <c r="Z87" t="n">
        <v>1</v>
      </c>
      <c r="AA87" t="n">
        <v>110.63</v>
      </c>
      <c r="AB87">
        <f>ROUND(U87-AA87,2)</f>
        <v/>
      </c>
      <c r="AC87" t="b">
        <v>0</v>
      </c>
      <c r="AD87">
        <f>IF(U87="","MISSING_TOTAL",IF(ABS(AB87)&lt;=0.01,"OK","CHECK"))</f>
        <v/>
      </c>
      <c r="AE87">
        <f>IF(U87="","MISSING",IF(AND(AA87&gt;0,U87/AA87&gt;50),"POSSIBLE_SCALE_ERROR","OK"))</f>
        <v/>
      </c>
    </row>
    <row r="88">
      <c r="A88" t="inlineStr">
        <is>
          <t>T-2024-P3-0004</t>
        </is>
      </c>
      <c r="B88" t="inlineStr">
        <is>
          <t>SLE</t>
        </is>
      </c>
      <c r="C88" t="inlineStr">
        <is>
          <t>Board Member</t>
        </is>
      </c>
      <c r="D88" t="inlineStr">
        <is>
          <t>Membre du conseil d'administration</t>
        </is>
      </c>
      <c r="E88" t="inlineStr">
        <is>
          <t>Haan, Maureen</t>
        </is>
      </c>
      <c r="F88" t="inlineStr">
        <is>
          <t>Meeting in Winnipeg</t>
        </is>
      </c>
      <c r="G88" t="inlineStr">
        <is>
          <t>Réunion à Winnipeg</t>
        </is>
      </c>
      <c r="H88" s="1" t="n">
        <v>45099</v>
      </c>
      <c r="I88" s="1" t="n">
        <v>45100</v>
      </c>
      <c r="J88" t="inlineStr">
        <is>
          <t>Winnipeg, Manitoba, Canada</t>
        </is>
      </c>
      <c r="K88" t="inlineStr">
        <is>
          <t>Winnipeg, Manitoba, Canada</t>
        </is>
      </c>
      <c r="P88" t="n">
        <v>0</v>
      </c>
      <c r="Q88" t="n">
        <v>204.22</v>
      </c>
      <c r="R88" t="n">
        <v>503</v>
      </c>
      <c r="S88" t="n">
        <v>199.3</v>
      </c>
      <c r="T88" t="n">
        <v>0</v>
      </c>
      <c r="U88" t="n">
        <v>906.52</v>
      </c>
      <c r="X88" t="inlineStr">
        <is>
          <t>casdo-ocena</t>
        </is>
      </c>
      <c r="Y88" t="inlineStr">
        <is>
          <t>Accessibility Standards Canada | Normes d’accessibilité Canada</t>
        </is>
      </c>
      <c r="Z88" t="n">
        <v>2</v>
      </c>
      <c r="AA88" t="n">
        <v>906.52</v>
      </c>
      <c r="AB88">
        <f>ROUND(U88-AA88,2)</f>
        <v/>
      </c>
      <c r="AC88" t="b">
        <v>0</v>
      </c>
      <c r="AD88">
        <f>IF(U88="","MISSING_TOTAL",IF(ABS(AB88)&lt;=0.01,"OK","CHECK"))</f>
        <v/>
      </c>
      <c r="AE88">
        <f>IF(U88="","MISSING",IF(AND(AA88&gt;0,U88/AA88&gt;50),"POSSIBLE_SCALE_ERROR","OK"))</f>
        <v/>
      </c>
    </row>
    <row r="89">
      <c r="A89" t="inlineStr">
        <is>
          <t>T-2024-P4-0001</t>
        </is>
      </c>
      <c r="B89" t="inlineStr">
        <is>
          <t>SLE</t>
        </is>
      </c>
      <c r="C89" t="inlineStr">
        <is>
          <t>Chief Executive Officer</t>
        </is>
      </c>
      <c r="D89" t="inlineStr">
        <is>
          <t>Président-directeur général</t>
        </is>
      </c>
      <c r="E89" t="inlineStr">
        <is>
          <t>Rizcallah, Philip</t>
        </is>
      </c>
      <c r="F89" t="inlineStr">
        <is>
          <t>Cophan Conference</t>
        </is>
      </c>
      <c r="G89" t="inlineStr">
        <is>
          <t>Conférence Cophan</t>
        </is>
      </c>
      <c r="H89" s="1" t="n">
        <v>45092</v>
      </c>
      <c r="I89" s="1" t="n">
        <v>45094</v>
      </c>
      <c r="J89" t="inlineStr">
        <is>
          <t>Montreal, Quebec, Canada</t>
        </is>
      </c>
      <c r="K89" t="inlineStr">
        <is>
          <t>Montréal, Québec, Canada</t>
        </is>
      </c>
      <c r="P89" t="n">
        <v>0</v>
      </c>
      <c r="Q89" t="n">
        <v>373.15</v>
      </c>
      <c r="R89" t="n">
        <v>226.08</v>
      </c>
      <c r="S89" t="n">
        <v>188.2</v>
      </c>
      <c r="T89" t="n">
        <v>0</v>
      </c>
      <c r="U89" t="n">
        <v>787.4299999999999</v>
      </c>
      <c r="X89" t="inlineStr">
        <is>
          <t>casdo-ocena</t>
        </is>
      </c>
      <c r="Y89" t="inlineStr">
        <is>
          <t>Accessibility Standards Canada | Normes d’accessibilité Canada</t>
        </is>
      </c>
      <c r="Z89" t="n">
        <v>3</v>
      </c>
      <c r="AA89" t="n">
        <v>787.4299999999999</v>
      </c>
      <c r="AB89">
        <f>ROUND(U89-AA89,2)</f>
        <v/>
      </c>
      <c r="AC89" t="b">
        <v>0</v>
      </c>
      <c r="AD89">
        <f>IF(U89="","MISSING_TOTAL",IF(ABS(AB89)&lt;=0.01,"OK","CHECK"))</f>
        <v/>
      </c>
      <c r="AE89">
        <f>IF(U89="","MISSING",IF(AND(AA89&gt;0,U89/AA89&gt;50),"POSSIBLE_SCALE_ERROR","OK"))</f>
        <v/>
      </c>
    </row>
    <row r="90">
      <c r="A90" t="inlineStr">
        <is>
          <t>T-2024-P5-0001</t>
        </is>
      </c>
      <c r="B90" t="inlineStr">
        <is>
          <t>SLE</t>
        </is>
      </c>
      <c r="C90" t="inlineStr">
        <is>
          <t>Chief Executive Officer</t>
        </is>
      </c>
      <c r="D90" t="inlineStr">
        <is>
          <t>Président-directeur général</t>
        </is>
      </c>
      <c r="E90" t="inlineStr">
        <is>
          <t>Rizcallah, Philip</t>
        </is>
      </c>
      <c r="F90" t="inlineStr">
        <is>
          <t>Stakeholder meeting</t>
        </is>
      </c>
      <c r="G90" t="inlineStr">
        <is>
          <t>Réunions</t>
        </is>
      </c>
      <c r="H90" s="1" t="n">
        <v>45119</v>
      </c>
      <c r="I90" s="1" t="n">
        <v>45126</v>
      </c>
      <c r="J90" t="inlineStr">
        <is>
          <t>Toronto, Ontario, Canada</t>
        </is>
      </c>
      <c r="K90" t="inlineStr">
        <is>
          <t>Toronto, Ontario, Canada</t>
        </is>
      </c>
      <c r="P90" t="n">
        <v>0</v>
      </c>
      <c r="Q90" t="n">
        <v>713.23</v>
      </c>
      <c r="R90" t="n">
        <v>1844.23</v>
      </c>
      <c r="S90" t="n">
        <v>881.1</v>
      </c>
      <c r="T90" t="n">
        <v>0</v>
      </c>
      <c r="U90" t="n">
        <v>3438.56</v>
      </c>
      <c r="X90" t="inlineStr">
        <is>
          <t>casdo-ocena</t>
        </is>
      </c>
      <c r="Y90" t="inlineStr">
        <is>
          <t>Accessibility Standards Canada | Normes d’accessibilité Canada</t>
        </is>
      </c>
      <c r="Z90" t="n">
        <v>8</v>
      </c>
      <c r="AA90" t="n">
        <v>3438.56</v>
      </c>
      <c r="AB90">
        <f>ROUND(U90-AA90,2)</f>
        <v/>
      </c>
      <c r="AC90" t="b">
        <v>0</v>
      </c>
      <c r="AD90">
        <f>IF(U90="","MISSING_TOTAL",IF(ABS(AB90)&lt;=0.01,"OK","CHECK"))</f>
        <v/>
      </c>
      <c r="AE90">
        <f>IF(U90="","MISSING",IF(AND(AA90&gt;0,U90/AA90&gt;50),"POSSIBLE_SCALE_ERROR","OK"))</f>
        <v/>
      </c>
    </row>
    <row r="91">
      <c r="A91" t="inlineStr">
        <is>
          <t>T-2024-P5-0002</t>
        </is>
      </c>
      <c r="B91" t="inlineStr">
        <is>
          <t>SLE</t>
        </is>
      </c>
      <c r="C91" t="inlineStr">
        <is>
          <t>Chief Executive Officer</t>
        </is>
      </c>
      <c r="D91" t="inlineStr">
        <is>
          <t>Président-directeur général</t>
        </is>
      </c>
      <c r="E91" t="inlineStr">
        <is>
          <t>Rizcallah, Philip</t>
        </is>
      </c>
      <c r="F91" t="inlineStr">
        <is>
          <t>Stakeholder meeting</t>
        </is>
      </c>
      <c r="G91" t="inlineStr">
        <is>
          <t>Réunions</t>
        </is>
      </c>
      <c r="H91" s="1" t="n">
        <v>45143</v>
      </c>
      <c r="I91" s="1" t="n">
        <v>45147</v>
      </c>
      <c r="J91" t="inlineStr">
        <is>
          <t>Halifax, Nova Scotia, Canada</t>
        </is>
      </c>
      <c r="K91" t="inlineStr">
        <is>
          <t>Halifax, Nouvelle-Ecosse, Canada</t>
        </is>
      </c>
      <c r="P91" t="n">
        <v>828.14</v>
      </c>
      <c r="Q91" t="n">
        <v>512.51</v>
      </c>
      <c r="R91" t="n">
        <v>731.41</v>
      </c>
      <c r="S91" t="n">
        <v>485</v>
      </c>
      <c r="T91" t="n">
        <v>0</v>
      </c>
      <c r="U91" t="n">
        <v>2557.06</v>
      </c>
      <c r="X91" t="inlineStr">
        <is>
          <t>casdo-ocena</t>
        </is>
      </c>
      <c r="Y91" t="inlineStr">
        <is>
          <t>Accessibility Standards Canada | Normes d’accessibilité Canada</t>
        </is>
      </c>
      <c r="Z91" t="n">
        <v>5</v>
      </c>
      <c r="AA91" t="n">
        <v>2557.06</v>
      </c>
      <c r="AB91">
        <f>ROUND(U91-AA91,2)</f>
        <v/>
      </c>
      <c r="AC91" t="b">
        <v>0</v>
      </c>
      <c r="AD91">
        <f>IF(U91="","MISSING_TOTAL",IF(ABS(AB91)&lt;=0.01,"OK","CHECK"))</f>
        <v/>
      </c>
      <c r="AE91">
        <f>IF(U91="","MISSING",IF(AND(AA91&gt;0,U91/AA91&gt;50),"POSSIBLE_SCALE_ERROR","OK"))</f>
        <v/>
      </c>
    </row>
    <row r="92">
      <c r="A92" t="inlineStr">
        <is>
          <t>T-2024-P6-0001</t>
        </is>
      </c>
      <c r="B92" t="inlineStr">
        <is>
          <t>SLE</t>
        </is>
      </c>
      <c r="C92" t="inlineStr">
        <is>
          <t>Chief Executive Officer</t>
        </is>
      </c>
      <c r="D92" t="inlineStr">
        <is>
          <t>Président-directeur général</t>
        </is>
      </c>
      <c r="E92" t="inlineStr">
        <is>
          <t>Rizcallah, Philip</t>
        </is>
      </c>
      <c r="F92" t="inlineStr">
        <is>
          <t>Board meeting</t>
        </is>
      </c>
      <c r="G92" t="inlineStr">
        <is>
          <t>Réunion du conseil d'administration</t>
        </is>
      </c>
      <c r="H92" s="1" t="n">
        <v>45178</v>
      </c>
      <c r="I92" s="1" t="n">
        <v>45184</v>
      </c>
      <c r="J92" t="inlineStr">
        <is>
          <t>St. John's, Newfoundland</t>
        </is>
      </c>
      <c r="K92" t="inlineStr">
        <is>
          <t>St. John's, Terre-Neuve</t>
        </is>
      </c>
      <c r="P92" t="n">
        <v>815.63</v>
      </c>
      <c r="Q92" t="n">
        <v>88.23</v>
      </c>
      <c r="R92" t="n">
        <v>2063.46</v>
      </c>
      <c r="S92" t="n">
        <v>578.9</v>
      </c>
      <c r="U92" t="n">
        <v>3546.22</v>
      </c>
      <c r="X92" t="inlineStr">
        <is>
          <t>casdo-ocena</t>
        </is>
      </c>
      <c r="Y92" t="inlineStr">
        <is>
          <t>Accessibility Standards Canada | Normes d’accessibilité Canada</t>
        </is>
      </c>
      <c r="Z92" t="n">
        <v>7</v>
      </c>
      <c r="AA92" t="n">
        <v>3546.22</v>
      </c>
      <c r="AB92">
        <f>ROUND(U92-AA92,2)</f>
        <v/>
      </c>
      <c r="AC92" t="b">
        <v>0</v>
      </c>
      <c r="AD92">
        <f>IF(U92="","MISSING_TOTAL",IF(ABS(AB92)&lt;=0.01,"OK","CHECK"))</f>
        <v/>
      </c>
      <c r="AE92">
        <f>IF(U92="","MISSING",IF(AND(AA92&gt;0,U92/AA92&gt;50),"POSSIBLE_SCALE_ERROR","OK"))</f>
        <v/>
      </c>
    </row>
    <row r="93">
      <c r="A93" t="inlineStr">
        <is>
          <t>T-2024-P6-0002</t>
        </is>
      </c>
      <c r="B93" t="inlineStr">
        <is>
          <t>SLE</t>
        </is>
      </c>
      <c r="C93" t="inlineStr">
        <is>
          <t>Chief Executive Officer</t>
        </is>
      </c>
      <c r="D93" t="inlineStr">
        <is>
          <t>Président-directeur général</t>
        </is>
      </c>
      <c r="E93" t="inlineStr">
        <is>
          <t>Rizcallah, Philip</t>
        </is>
      </c>
      <c r="F93" t="inlineStr">
        <is>
          <t>Operational activities</t>
        </is>
      </c>
      <c r="G93" t="inlineStr">
        <is>
          <t>Activités opérationels</t>
        </is>
      </c>
      <c r="H93" s="1" t="n">
        <v>45173</v>
      </c>
      <c r="I93" s="1" t="n">
        <v>45178</v>
      </c>
      <c r="J93" t="inlineStr">
        <is>
          <t>NY, NY, USA</t>
        </is>
      </c>
      <c r="K93" t="inlineStr">
        <is>
          <t>NY, NY, EU</t>
        </is>
      </c>
      <c r="P93" t="n">
        <v>989.77</v>
      </c>
      <c r="Q93" t="n">
        <v>476.06</v>
      </c>
      <c r="R93" t="n">
        <v>1536.69</v>
      </c>
      <c r="S93" t="n">
        <v>940.5700000000001</v>
      </c>
      <c r="T93" t="n">
        <v>0</v>
      </c>
      <c r="U93" t="n">
        <v>3943.09</v>
      </c>
      <c r="X93" t="inlineStr">
        <is>
          <t>casdo-ocena</t>
        </is>
      </c>
      <c r="Y93" t="inlineStr">
        <is>
          <t>Accessibility Standards Canada | Normes d’accessibilité Canada</t>
        </is>
      </c>
      <c r="Z93" t="n">
        <v>6</v>
      </c>
      <c r="AA93" t="n">
        <v>3943.09</v>
      </c>
      <c r="AB93">
        <f>ROUND(U93-AA93,2)</f>
        <v/>
      </c>
      <c r="AC93" t="b">
        <v>0</v>
      </c>
      <c r="AD93">
        <f>IF(U93="","MISSING_TOTAL",IF(ABS(AB93)&lt;=0.01,"OK","CHECK"))</f>
        <v/>
      </c>
      <c r="AE93">
        <f>IF(U93="","MISSING",IF(AND(AA93&gt;0,U93/AA93&gt;50),"POSSIBLE_SCALE_ERROR","OK"))</f>
        <v/>
      </c>
    </row>
    <row r="94">
      <c r="A94" t="inlineStr">
        <is>
          <t>T-2024-P6-0003</t>
        </is>
      </c>
      <c r="B94" t="inlineStr">
        <is>
          <t>SLE</t>
        </is>
      </c>
      <c r="C94" t="inlineStr">
        <is>
          <t>Chief Executive Officer</t>
        </is>
      </c>
      <c r="D94" t="inlineStr">
        <is>
          <t>Président-directeur général</t>
        </is>
      </c>
      <c r="E94" t="inlineStr">
        <is>
          <t>Rizcallah, Philip</t>
        </is>
      </c>
      <c r="F94" t="inlineStr">
        <is>
          <t>Operational activities</t>
        </is>
      </c>
      <c r="G94" t="inlineStr">
        <is>
          <t>Activités opérationels</t>
        </is>
      </c>
      <c r="H94" s="1" t="n">
        <v>45151</v>
      </c>
      <c r="I94" s="1" t="n">
        <v>45156</v>
      </c>
      <c r="J94" t="inlineStr">
        <is>
          <t>Calgary, Alberta, Canada</t>
        </is>
      </c>
      <c r="K94" t="inlineStr">
        <is>
          <t>Calgary, Alberta, Canada</t>
        </is>
      </c>
      <c r="P94" t="n">
        <v>1301.27</v>
      </c>
      <c r="Q94" t="n">
        <v>371.86</v>
      </c>
      <c r="R94" t="n">
        <v>1859.32</v>
      </c>
      <c r="S94" t="n">
        <v>640.9</v>
      </c>
      <c r="T94" t="n">
        <v>0</v>
      </c>
      <c r="U94" t="n">
        <v>4173.35</v>
      </c>
      <c r="X94" t="inlineStr">
        <is>
          <t>casdo-ocena</t>
        </is>
      </c>
      <c r="Y94" t="inlineStr">
        <is>
          <t>Accessibility Standards Canada | Normes d’accessibilité Canada</t>
        </is>
      </c>
      <c r="Z94" t="n">
        <v>6</v>
      </c>
      <c r="AA94" t="n">
        <v>4173.34999999999</v>
      </c>
      <c r="AB94">
        <f>ROUND(U94-AA94,2)</f>
        <v/>
      </c>
      <c r="AC94" t="b">
        <v>0</v>
      </c>
      <c r="AD94">
        <f>IF(U94="","MISSING_TOTAL",IF(ABS(AB94)&lt;=0.01,"OK","CHECK"))</f>
        <v/>
      </c>
      <c r="AE94">
        <f>IF(U94="","MISSING",IF(AND(AA94&gt;0,U94/AA94&gt;50),"POSSIBLE_SCALE_ERROR","OK"))</f>
        <v/>
      </c>
    </row>
    <row r="95">
      <c r="A95" t="inlineStr">
        <is>
          <t>T-2024-P7-0001</t>
        </is>
      </c>
      <c r="B95" t="inlineStr">
        <is>
          <t>SLE</t>
        </is>
      </c>
      <c r="C95" t="inlineStr">
        <is>
          <t>Chief Executive Officer</t>
        </is>
      </c>
      <c r="D95" t="inlineStr">
        <is>
          <t>Président-directeur général</t>
        </is>
      </c>
      <c r="E95" t="inlineStr">
        <is>
          <t>Rizcallah, Philip</t>
        </is>
      </c>
      <c r="F95" t="inlineStr">
        <is>
          <t>Toronto conference</t>
        </is>
      </c>
      <c r="G95" t="inlineStr">
        <is>
          <t>Conférence Toronto</t>
        </is>
      </c>
      <c r="H95" s="1" t="n">
        <v>45196</v>
      </c>
      <c r="I95" s="1" t="n">
        <v>45199</v>
      </c>
      <c r="J95" t="inlineStr">
        <is>
          <t>Toronto, Ontario, Canada</t>
        </is>
      </c>
      <c r="K95" t="inlineStr">
        <is>
          <t>Toronto, Ontario, Canada</t>
        </is>
      </c>
      <c r="P95" t="n">
        <v>0</v>
      </c>
      <c r="Q95" t="n">
        <v>365.14</v>
      </c>
      <c r="R95" t="n">
        <v>952.26</v>
      </c>
      <c r="S95" t="n">
        <v>470</v>
      </c>
      <c r="T95" t="n">
        <v>0</v>
      </c>
      <c r="U95" t="n">
        <v>1787.4</v>
      </c>
      <c r="X95" t="inlineStr">
        <is>
          <t>casdo-ocena</t>
        </is>
      </c>
      <c r="Y95" t="inlineStr">
        <is>
          <t>Accessibility Standards Canada | Normes d’accessibilité Canada</t>
        </is>
      </c>
      <c r="Z95" t="n">
        <v>4</v>
      </c>
      <c r="AA95" t="n">
        <v>1787.4</v>
      </c>
      <c r="AB95">
        <f>ROUND(U95-AA95,2)</f>
        <v/>
      </c>
      <c r="AC95" t="b">
        <v>0</v>
      </c>
      <c r="AD95">
        <f>IF(U95="","MISSING_TOTAL",IF(ABS(AB95)&lt;=0.01,"OK","CHECK"))</f>
        <v/>
      </c>
      <c r="AE95">
        <f>IF(U95="","MISSING",IF(AND(AA95&gt;0,U95/AA95&gt;50),"POSSIBLE_SCALE_ERROR","OK"))</f>
        <v/>
      </c>
    </row>
    <row r="96">
      <c r="A96" t="inlineStr">
        <is>
          <t>T-2024-P7-0002</t>
        </is>
      </c>
      <c r="B96" t="inlineStr">
        <is>
          <t>SLE</t>
        </is>
      </c>
      <c r="C96" t="inlineStr">
        <is>
          <t>Chief Executive Officer</t>
        </is>
      </c>
      <c r="D96" t="inlineStr">
        <is>
          <t>Président-directeur général</t>
        </is>
      </c>
      <c r="E96" t="inlineStr">
        <is>
          <t>Rizcallah, Philip</t>
        </is>
      </c>
      <c r="F96" t="inlineStr">
        <is>
          <t>Australian International Sports Organization Meeting</t>
        </is>
      </c>
      <c r="G96" t="inlineStr">
        <is>
          <t>Reunions des sports internationales</t>
        </is>
      </c>
      <c r="H96" s="1" t="n">
        <v>45184</v>
      </c>
      <c r="I96" s="1" t="n">
        <v>45192</v>
      </c>
      <c r="J96" t="inlineStr">
        <is>
          <t>Brisbane, Australia</t>
        </is>
      </c>
      <c r="K96" t="inlineStr">
        <is>
          <t>Brisbane, Australie</t>
        </is>
      </c>
      <c r="P96" t="n">
        <v>11020.28</v>
      </c>
      <c r="Q96" t="n">
        <v>252.63</v>
      </c>
      <c r="R96" t="n">
        <v>1266.76</v>
      </c>
      <c r="S96" t="n">
        <v>1760.64</v>
      </c>
      <c r="T96" t="n">
        <v>17.47</v>
      </c>
      <c r="U96" t="n">
        <v>14317.78</v>
      </c>
      <c r="X96" t="inlineStr">
        <is>
          <t>casdo-ocena</t>
        </is>
      </c>
      <c r="Y96" t="inlineStr">
        <is>
          <t>Accessibility Standards Canada | Normes d’accessibilité Canada</t>
        </is>
      </c>
      <c r="Z96" t="n">
        <v>9</v>
      </c>
      <c r="AA96" t="n">
        <v>14317.7799999999</v>
      </c>
      <c r="AB96">
        <f>ROUND(U96-AA96,2)</f>
        <v/>
      </c>
      <c r="AC96" t="b">
        <v>0</v>
      </c>
      <c r="AD96">
        <f>IF(U96="","MISSING_TOTAL",IF(ABS(AB96)&lt;=0.01,"OK","CHECK"))</f>
        <v/>
      </c>
      <c r="AE96">
        <f>IF(U96="","MISSING",IF(AND(AA96&gt;0,U96/AA96&gt;50),"POSSIBLE_SCALE_ERROR","OK"))</f>
        <v/>
      </c>
    </row>
    <row r="97">
      <c r="A97" t="inlineStr">
        <is>
          <t>T-2024-P7-0003</t>
        </is>
      </c>
      <c r="B97" t="inlineStr">
        <is>
          <t>SLE</t>
        </is>
      </c>
      <c r="C97" t="inlineStr">
        <is>
          <t>Chief Executive Officer</t>
        </is>
      </c>
      <c r="D97" t="inlineStr">
        <is>
          <t>Président-directeur général</t>
        </is>
      </c>
      <c r="E97" t="inlineStr">
        <is>
          <t>Rizcallah, Philip</t>
        </is>
      </c>
      <c r="F97" t="inlineStr">
        <is>
          <t>Red Deer Safety Code Conference</t>
        </is>
      </c>
      <c r="G97" t="inlineStr">
        <is>
          <t>Conférence pour code de sécurité Red Deer</t>
        </is>
      </c>
      <c r="H97" s="1" t="n">
        <v>45217</v>
      </c>
      <c r="I97" s="1" t="n">
        <v>45220</v>
      </c>
      <c r="J97" t="inlineStr">
        <is>
          <t>Edmonton, Alberta, Canada</t>
        </is>
      </c>
      <c r="K97" t="inlineStr">
        <is>
          <t>Edmonton, Alberta, Canada</t>
        </is>
      </c>
      <c r="P97" t="n">
        <v>840.1799999999999</v>
      </c>
      <c r="Q97" t="n">
        <v>187.1</v>
      </c>
      <c r="R97" t="n">
        <v>545.61</v>
      </c>
      <c r="S97" t="n">
        <v>372.9</v>
      </c>
      <c r="T97" t="n">
        <v>0</v>
      </c>
      <c r="U97" t="n">
        <v>1945.79</v>
      </c>
      <c r="X97" t="inlineStr">
        <is>
          <t>casdo-ocena</t>
        </is>
      </c>
      <c r="Y97" t="inlineStr">
        <is>
          <t>Accessibility Standards Canada | Normes d’accessibilité Canada</t>
        </is>
      </c>
      <c r="Z97" t="n">
        <v>4</v>
      </c>
      <c r="AA97" t="n">
        <v>1945.79</v>
      </c>
      <c r="AB97">
        <f>ROUND(U97-AA97,2)</f>
        <v/>
      </c>
      <c r="AC97" t="b">
        <v>0</v>
      </c>
      <c r="AD97">
        <f>IF(U97="","MISSING_TOTAL",IF(ABS(AB97)&lt;=0.01,"OK","CHECK"))</f>
        <v/>
      </c>
      <c r="AE97">
        <f>IF(U97="","MISSING",IF(AND(AA97&gt;0,U97/AA97&gt;50),"POSSIBLE_SCALE_ERROR","OK"))</f>
        <v/>
      </c>
    </row>
    <row r="98">
      <c r="A98" t="inlineStr">
        <is>
          <t>T-2024-P7-0004</t>
        </is>
      </c>
      <c r="B98" t="inlineStr">
        <is>
          <t>SLE</t>
        </is>
      </c>
      <c r="C98" t="inlineStr">
        <is>
          <t>Chief Executive Officer</t>
        </is>
      </c>
      <c r="D98" t="inlineStr">
        <is>
          <t>Président-directeur général</t>
        </is>
      </c>
      <c r="E98" t="inlineStr">
        <is>
          <t>Rizcallah, Philip</t>
        </is>
      </c>
      <c r="F98" t="inlineStr">
        <is>
          <t>Washington Enabling Summit</t>
        </is>
      </c>
      <c r="G98" t="inlineStr">
        <is>
          <t>Conférence pour code de sécurité Red Deer</t>
        </is>
      </c>
      <c r="H98" s="1" t="n">
        <v>45207</v>
      </c>
      <c r="I98" s="1" t="n">
        <v>45212</v>
      </c>
      <c r="J98" t="inlineStr">
        <is>
          <t>Washington DC, United States</t>
        </is>
      </c>
      <c r="K98" t="inlineStr">
        <is>
          <t>Washington DC, Etats Unis</t>
        </is>
      </c>
      <c r="P98" t="n">
        <v>923.11</v>
      </c>
      <c r="Q98" t="n">
        <v>106.17</v>
      </c>
      <c r="R98" t="n">
        <v>2026.24</v>
      </c>
      <c r="S98" t="n">
        <v>891.24</v>
      </c>
      <c r="T98" t="n">
        <v>0</v>
      </c>
      <c r="U98" t="n">
        <v>3946.76</v>
      </c>
      <c r="X98" t="inlineStr">
        <is>
          <t>casdo-ocena</t>
        </is>
      </c>
      <c r="Y98" t="inlineStr">
        <is>
          <t>Accessibility Standards Canada | Normes d’accessibilité Canada</t>
        </is>
      </c>
      <c r="Z98" t="n">
        <v>6</v>
      </c>
      <c r="AA98" t="n">
        <v>3946.76</v>
      </c>
      <c r="AB98">
        <f>ROUND(U98-AA98,2)</f>
        <v/>
      </c>
      <c r="AC98" t="b">
        <v>0</v>
      </c>
      <c r="AD98">
        <f>IF(U98="","MISSING_TOTAL",IF(ABS(AB98)&lt;=0.01,"OK","CHECK"))</f>
        <v/>
      </c>
      <c r="AE98">
        <f>IF(U98="","MISSING",IF(AND(AA98&gt;0,U98/AA98&gt;50),"POSSIBLE_SCALE_ERROR","OK"))</f>
        <v/>
      </c>
    </row>
    <row r="99">
      <c r="A99" t="inlineStr">
        <is>
          <t>T-2024-P7-0005</t>
        </is>
      </c>
      <c r="B99" t="inlineStr">
        <is>
          <t>SLE</t>
        </is>
      </c>
      <c r="C99" t="inlineStr">
        <is>
          <t>Vice Chair</t>
        </is>
      </c>
      <c r="D99" t="inlineStr">
        <is>
          <t>Vice-Présidente</t>
        </is>
      </c>
      <c r="E99" t="inlineStr">
        <is>
          <t>Reid, Mary</t>
        </is>
      </c>
      <c r="F99" t="inlineStr">
        <is>
          <t>Funeral Estey</t>
        </is>
      </c>
      <c r="G99" t="inlineStr">
        <is>
          <t>Funeral Estey</t>
        </is>
      </c>
      <c r="H99" s="1" t="n">
        <v>45187</v>
      </c>
      <c r="I99" s="1" t="n">
        <v>45188</v>
      </c>
      <c r="J99" t="inlineStr">
        <is>
          <t>Halifax, Nova Scotia, Canada</t>
        </is>
      </c>
      <c r="K99" t="inlineStr">
        <is>
          <t>Halifax, Nouvelle Ecosse, Canada</t>
        </is>
      </c>
      <c r="P99" t="n">
        <v>1006.13</v>
      </c>
      <c r="Q99" t="n">
        <v>287.42</v>
      </c>
      <c r="R99" t="n">
        <v>201.76</v>
      </c>
      <c r="S99" t="n">
        <v>199.3</v>
      </c>
      <c r="T99" t="n">
        <v>0</v>
      </c>
      <c r="U99" t="n">
        <v>1694.61</v>
      </c>
      <c r="X99" t="inlineStr">
        <is>
          <t>casdo-ocena</t>
        </is>
      </c>
      <c r="Y99" t="inlineStr">
        <is>
          <t>Accessibility Standards Canada | Normes d’accessibilité Canada</t>
        </is>
      </c>
      <c r="Z99" t="n">
        <v>2</v>
      </c>
      <c r="AA99" t="n">
        <v>1694.61</v>
      </c>
      <c r="AB99">
        <f>ROUND(U99-AA99,2)</f>
        <v/>
      </c>
      <c r="AC99" t="b">
        <v>0</v>
      </c>
      <c r="AD99">
        <f>IF(U99="","MISSING_TOTAL",IF(ABS(AB99)&lt;=0.01,"OK","CHECK"))</f>
        <v/>
      </c>
      <c r="AE99">
        <f>IF(U99="","MISSING",IF(AND(AA99&gt;0,U99/AA99&gt;50),"POSSIBLE_SCALE_ERROR","OK"))</f>
        <v/>
      </c>
    </row>
    <row r="100">
      <c r="A100" t="inlineStr">
        <is>
          <t>T-2024-P7-0006</t>
        </is>
      </c>
      <c r="B100" t="inlineStr">
        <is>
          <t>SLE</t>
        </is>
      </c>
      <c r="C100" t="inlineStr">
        <is>
          <t>Vice Chair</t>
        </is>
      </c>
      <c r="D100" t="inlineStr">
        <is>
          <t>Vice-Présidente</t>
        </is>
      </c>
      <c r="E100" t="inlineStr">
        <is>
          <t>Reid, Mary</t>
        </is>
      </c>
      <c r="F100" t="inlineStr">
        <is>
          <t>Board meeting</t>
        </is>
      </c>
      <c r="G100" t="inlineStr">
        <is>
          <t>Réunion du conseil d’administration à St-John</t>
        </is>
      </c>
      <c r="H100" s="1" t="n">
        <v>45209</v>
      </c>
      <c r="I100" s="1" t="n">
        <v>45213</v>
      </c>
      <c r="J100" t="inlineStr">
        <is>
          <t>St. John's, Newfoundland</t>
        </is>
      </c>
      <c r="K100" t="inlineStr">
        <is>
          <t>St. John's, Terre-Neuve</t>
        </is>
      </c>
      <c r="P100" t="n">
        <v>0</v>
      </c>
      <c r="Q100" t="n">
        <v>63.66</v>
      </c>
      <c r="R100" t="n">
        <v>1375.64</v>
      </c>
      <c r="S100" t="n">
        <v>363.3</v>
      </c>
      <c r="T100" t="n">
        <v>0</v>
      </c>
      <c r="U100" t="n">
        <v>1802.6</v>
      </c>
      <c r="X100" t="inlineStr">
        <is>
          <t>casdo-ocena</t>
        </is>
      </c>
      <c r="Y100" t="inlineStr">
        <is>
          <t>Accessibility Standards Canada | Normes d’accessibilité Canada</t>
        </is>
      </c>
      <c r="Z100" t="n">
        <v>5</v>
      </c>
      <c r="AA100" t="n">
        <v>1802.6</v>
      </c>
      <c r="AB100">
        <f>ROUND(U100-AA100,2)</f>
        <v/>
      </c>
      <c r="AC100" t="b">
        <v>0</v>
      </c>
      <c r="AD100">
        <f>IF(U100="","MISSING_TOTAL",IF(ABS(AB100)&lt;=0.01,"OK","CHECK"))</f>
        <v/>
      </c>
      <c r="AE100">
        <f>IF(U100="","MISSING",IF(AND(AA100&gt;0,U100/AA100&gt;50),"POSSIBLE_SCALE_ERROR","OK"))</f>
        <v/>
      </c>
    </row>
    <row r="101">
      <c r="A101" t="inlineStr">
        <is>
          <t>T-2024-P7-0007</t>
        </is>
      </c>
      <c r="B101" t="inlineStr">
        <is>
          <t>SLE</t>
        </is>
      </c>
      <c r="C101" t="inlineStr">
        <is>
          <t>Board Member</t>
        </is>
      </c>
      <c r="D101" t="inlineStr">
        <is>
          <t>Membre du conseil d'administration</t>
        </is>
      </c>
      <c r="E101" t="inlineStr">
        <is>
          <t>Kory, Earle</t>
        </is>
      </c>
      <c r="F101" t="inlineStr">
        <is>
          <t>Board meeting</t>
        </is>
      </c>
      <c r="G101" t="inlineStr">
        <is>
          <t>Réunion du conseil d’administration à St-John</t>
        </is>
      </c>
      <c r="H101" s="1" t="n">
        <v>45209</v>
      </c>
      <c r="I101" s="1" t="n">
        <v>45214</v>
      </c>
      <c r="J101" t="inlineStr">
        <is>
          <t>St. John's, Newfoundland</t>
        </is>
      </c>
      <c r="K101" t="inlineStr">
        <is>
          <t>St. John's, Terre-Neuve</t>
        </is>
      </c>
      <c r="P101" t="n">
        <v>1246.38</v>
      </c>
      <c r="Q101" t="n">
        <v>103.22</v>
      </c>
      <c r="R101" t="n">
        <v>1719.55</v>
      </c>
      <c r="S101" t="n">
        <v>504</v>
      </c>
      <c r="T101" t="n">
        <v>0</v>
      </c>
      <c r="U101" t="n">
        <v>3573.15</v>
      </c>
      <c r="X101" t="inlineStr">
        <is>
          <t>casdo-ocena</t>
        </is>
      </c>
      <c r="Y101" t="inlineStr">
        <is>
          <t>Accessibility Standards Canada | Normes d’accessibilité Canada</t>
        </is>
      </c>
      <c r="Z101" t="n">
        <v>6</v>
      </c>
      <c r="AA101" t="n">
        <v>3573.15</v>
      </c>
      <c r="AB101">
        <f>ROUND(U101-AA101,2)</f>
        <v/>
      </c>
      <c r="AC101" t="b">
        <v>0</v>
      </c>
      <c r="AD101">
        <f>IF(U101="","MISSING_TOTAL",IF(ABS(AB101)&lt;=0.01,"OK","CHECK"))</f>
        <v/>
      </c>
      <c r="AE101">
        <f>IF(U101="","MISSING",IF(AND(AA101&gt;0,U101/AA101&gt;50),"POSSIBLE_SCALE_ERROR","OK"))</f>
        <v/>
      </c>
    </row>
    <row r="102">
      <c r="A102" t="inlineStr">
        <is>
          <t>T-2024-P7-0008</t>
        </is>
      </c>
      <c r="B102" t="inlineStr">
        <is>
          <t>SLE</t>
        </is>
      </c>
      <c r="C102" t="inlineStr">
        <is>
          <t>Board Member</t>
        </is>
      </c>
      <c r="D102" t="inlineStr">
        <is>
          <t>Membre du conseil d'administration</t>
        </is>
      </c>
      <c r="E102" t="inlineStr">
        <is>
          <t>Ringaert, Laurie</t>
        </is>
      </c>
      <c r="F102" t="inlineStr">
        <is>
          <t>Board meeting</t>
        </is>
      </c>
      <c r="G102" t="inlineStr">
        <is>
          <t>Réunion du conseil d’administration à St-John</t>
        </is>
      </c>
      <c r="H102" s="1" t="n">
        <v>45176</v>
      </c>
      <c r="I102" s="1" t="n">
        <v>45184</v>
      </c>
      <c r="J102" t="inlineStr">
        <is>
          <t>St. John's, Newfoundland</t>
        </is>
      </c>
      <c r="K102" t="inlineStr">
        <is>
          <t>St. John's, Terre-Neuve</t>
        </is>
      </c>
      <c r="P102" t="n">
        <v>1125.78</v>
      </c>
      <c r="Q102" t="n">
        <v>91.39</v>
      </c>
      <c r="R102" t="n">
        <v>1719.55</v>
      </c>
      <c r="S102" t="n">
        <v>486.7</v>
      </c>
      <c r="T102" t="n">
        <v>0</v>
      </c>
      <c r="U102" t="n">
        <v>3423.42</v>
      </c>
      <c r="X102" t="inlineStr">
        <is>
          <t>casdo-ocena</t>
        </is>
      </c>
      <c r="Y102" t="inlineStr">
        <is>
          <t>Accessibility Standards Canada | Normes d’accessibilité Canada</t>
        </is>
      </c>
      <c r="Z102" t="n">
        <v>9</v>
      </c>
      <c r="AA102" t="n">
        <v>3423.42</v>
      </c>
      <c r="AB102">
        <f>ROUND(U102-AA102,2)</f>
        <v/>
      </c>
      <c r="AC102" t="b">
        <v>0</v>
      </c>
      <c r="AD102">
        <f>IF(U102="","MISSING_TOTAL",IF(ABS(AB102)&lt;=0.01,"OK","CHECK"))</f>
        <v/>
      </c>
      <c r="AE102">
        <f>IF(U102="","MISSING",IF(AND(AA102&gt;0,U102/AA102&gt;50),"POSSIBLE_SCALE_ERROR","OK"))</f>
        <v/>
      </c>
    </row>
    <row r="103">
      <c r="A103" t="inlineStr">
        <is>
          <t>T-2024-P8-0001</t>
        </is>
      </c>
      <c r="B103" t="inlineStr">
        <is>
          <t>SLE</t>
        </is>
      </c>
      <c r="C103" t="inlineStr">
        <is>
          <t>Chief Executive Officer</t>
        </is>
      </c>
      <c r="D103" t="inlineStr">
        <is>
          <t>Président-directeur général</t>
        </is>
      </c>
      <c r="E103" t="inlineStr">
        <is>
          <t>Rizcallah, Philip</t>
        </is>
      </c>
      <c r="F103" t="inlineStr">
        <is>
          <t>Christchurch Conference</t>
        </is>
      </c>
      <c r="G103" t="inlineStr">
        <is>
          <t>Conférence Christchurch</t>
        </is>
      </c>
      <c r="H103" s="1" t="n">
        <v>45226</v>
      </c>
      <c r="I103" s="1" t="n">
        <v>45233</v>
      </c>
      <c r="J103" t="inlineStr">
        <is>
          <t>Christchurch, New Zealand</t>
        </is>
      </c>
      <c r="K103" t="inlineStr">
        <is>
          <t>Christchurch, Nouvelle Zelande</t>
        </is>
      </c>
      <c r="P103" t="n">
        <v>7657.55</v>
      </c>
      <c r="Q103" t="n">
        <v>312.99</v>
      </c>
      <c r="R103" t="n">
        <v>1308.11</v>
      </c>
      <c r="S103" t="n">
        <v>1114.93</v>
      </c>
      <c r="T103" t="n">
        <v>16.23</v>
      </c>
      <c r="U103" t="n">
        <v>10409.81</v>
      </c>
      <c r="X103" t="inlineStr">
        <is>
          <t>casdo-ocena</t>
        </is>
      </c>
      <c r="Y103" t="inlineStr">
        <is>
          <t>Accessibility Standards Canada | Normes d’accessibilité Canada</t>
        </is>
      </c>
      <c r="Z103" t="n">
        <v>8</v>
      </c>
      <c r="AA103" t="n">
        <v>10409.81</v>
      </c>
      <c r="AB103">
        <f>ROUND(U103-AA103,2)</f>
        <v/>
      </c>
      <c r="AC103" t="b">
        <v>0</v>
      </c>
      <c r="AD103">
        <f>IF(U103="","MISSING_TOTAL",IF(ABS(AB103)&lt;=0.01,"OK","CHECK"))</f>
        <v/>
      </c>
      <c r="AE103">
        <f>IF(U103="","MISSING",IF(AND(AA103&gt;0,U103/AA103&gt;50),"POSSIBLE_SCALE_ERROR","OK"))</f>
        <v/>
      </c>
    </row>
    <row r="104">
      <c r="A104" t="inlineStr">
        <is>
          <t>T-2024-P8-0002</t>
        </is>
      </c>
      <c r="B104" t="inlineStr">
        <is>
          <t>SLE</t>
        </is>
      </c>
      <c r="C104" t="inlineStr">
        <is>
          <t>Chief Executive Officer</t>
        </is>
      </c>
      <c r="D104" t="inlineStr">
        <is>
          <t>Président-directeur général</t>
        </is>
      </c>
      <c r="E104" t="inlineStr">
        <is>
          <t>Rizcallah, Philip</t>
        </is>
      </c>
      <c r="F104" t="inlineStr">
        <is>
          <t>Intelligentcities Conference</t>
        </is>
      </c>
      <c r="G104" t="inlineStr">
        <is>
          <t>Conférence Intelligentcities</t>
        </is>
      </c>
      <c r="H104" s="1" t="n">
        <v>45222</v>
      </c>
      <c r="I104" s="1" t="n">
        <v>45225</v>
      </c>
      <c r="J104" t="inlineStr">
        <is>
          <t>Toronto, Ontario, Canada</t>
        </is>
      </c>
      <c r="K104" t="inlineStr">
        <is>
          <t>Toronto, Ontario, Canada</t>
        </is>
      </c>
      <c r="P104" t="n">
        <v>820.66</v>
      </c>
      <c r="Q104" t="n">
        <v>245.73</v>
      </c>
      <c r="R104" t="n">
        <v>801.49</v>
      </c>
      <c r="S104" t="n">
        <v>408.7</v>
      </c>
      <c r="T104" t="n">
        <v>0</v>
      </c>
      <c r="U104" t="n">
        <v>2276.58</v>
      </c>
      <c r="X104" t="inlineStr">
        <is>
          <t>casdo-ocena</t>
        </is>
      </c>
      <c r="Y104" t="inlineStr">
        <is>
          <t>Accessibility Standards Canada | Normes d’accessibilité Canada</t>
        </is>
      </c>
      <c r="Z104" t="n">
        <v>4</v>
      </c>
      <c r="AA104" t="n">
        <v>2276.58</v>
      </c>
      <c r="AB104">
        <f>ROUND(U104-AA104,2)</f>
        <v/>
      </c>
      <c r="AC104" t="b">
        <v>0</v>
      </c>
      <c r="AD104">
        <f>IF(U104="","MISSING_TOTAL",IF(ABS(AB104)&lt;=0.01,"OK","CHECK"))</f>
        <v/>
      </c>
      <c r="AE104">
        <f>IF(U104="","MISSING",IF(AND(AA104&gt;0,U104/AA104&gt;50),"POSSIBLE_SCALE_ERROR","OK"))</f>
        <v/>
      </c>
    </row>
    <row r="105">
      <c r="A105" t="inlineStr">
        <is>
          <t>T-2024-P8-0003</t>
        </is>
      </c>
      <c r="B105" t="inlineStr">
        <is>
          <t>SLE</t>
        </is>
      </c>
      <c r="C105" t="inlineStr">
        <is>
          <t>Chief Executive Officer</t>
        </is>
      </c>
      <c r="D105" t="inlineStr">
        <is>
          <t>Président-directeur général</t>
        </is>
      </c>
      <c r="E105" t="inlineStr">
        <is>
          <t>Rizcallah, Philip</t>
        </is>
      </c>
      <c r="F105" t="inlineStr">
        <is>
          <t>Tour of Alberta facilities</t>
        </is>
      </c>
      <c r="G105" t="inlineStr">
        <is>
          <t>Voyage en Alberta pour voir les facilites</t>
        </is>
      </c>
      <c r="H105" s="1" t="n">
        <v>45235</v>
      </c>
      <c r="I105" s="1" t="n">
        <v>45241</v>
      </c>
      <c r="J105" t="inlineStr">
        <is>
          <t>Edmonton, Alberta, Canada</t>
        </is>
      </c>
      <c r="K105" t="inlineStr">
        <is>
          <t>Edmonton, Alberta, Canada</t>
        </is>
      </c>
      <c r="P105" t="n">
        <v>1879.94</v>
      </c>
      <c r="Q105" t="n">
        <v>1152.53</v>
      </c>
      <c r="R105" t="n">
        <v>1302.35</v>
      </c>
      <c r="S105" t="n">
        <v>609.4</v>
      </c>
      <c r="T105" t="n">
        <v>0</v>
      </c>
      <c r="U105" t="n">
        <v>4944.22</v>
      </c>
      <c r="X105" t="inlineStr">
        <is>
          <t>casdo-ocena</t>
        </is>
      </c>
      <c r="Y105" t="inlineStr">
        <is>
          <t>Accessibility Standards Canada | Normes d’accessibilité Canada</t>
        </is>
      </c>
      <c r="Z105" t="n">
        <v>7</v>
      </c>
      <c r="AA105" t="n">
        <v>4944.21999999999</v>
      </c>
      <c r="AB105">
        <f>ROUND(U105-AA105,2)</f>
        <v/>
      </c>
      <c r="AC105" t="b">
        <v>0</v>
      </c>
      <c r="AD105">
        <f>IF(U105="","MISSING_TOTAL",IF(ABS(AB105)&lt;=0.01,"OK","CHECK"))</f>
        <v/>
      </c>
      <c r="AE105">
        <f>IF(U105="","MISSING",IF(AND(AA105&gt;0,U105/AA105&gt;50),"POSSIBLE_SCALE_ERROR","OK"))</f>
        <v/>
      </c>
    </row>
    <row r="106">
      <c r="A106" t="inlineStr">
        <is>
          <t>T-2024-P8-0004</t>
        </is>
      </c>
      <c r="B106" t="inlineStr">
        <is>
          <t>SLE</t>
        </is>
      </c>
      <c r="C106" t="inlineStr">
        <is>
          <t>Chief Executive Officer</t>
        </is>
      </c>
      <c r="D106" t="inlineStr">
        <is>
          <t>Président-directeur général</t>
        </is>
      </c>
      <c r="E106" t="inlineStr">
        <is>
          <t>Rizcallah, Philip</t>
        </is>
      </c>
      <c r="F106" t="inlineStr">
        <is>
          <t>Operational activities</t>
        </is>
      </c>
      <c r="G106" t="inlineStr">
        <is>
          <t>Activités opérationels</t>
        </is>
      </c>
      <c r="H106" s="1" t="n">
        <v>45245</v>
      </c>
      <c r="I106" s="1" t="n">
        <v>45246</v>
      </c>
      <c r="J106" t="inlineStr">
        <is>
          <t>Montreal, Quebec, Canada</t>
        </is>
      </c>
      <c r="K106" t="inlineStr">
        <is>
          <t>Montréal, Québec, Canada</t>
        </is>
      </c>
      <c r="P106" t="n">
        <v>142.72</v>
      </c>
      <c r="Q106" t="n">
        <v>123.34</v>
      </c>
      <c r="R106" t="n">
        <v>522.42</v>
      </c>
      <c r="S106" t="n">
        <v>144.05</v>
      </c>
      <c r="T106" t="n">
        <v>0</v>
      </c>
      <c r="U106" t="n">
        <v>932.53</v>
      </c>
      <c r="X106" t="inlineStr">
        <is>
          <t>casdo-ocena</t>
        </is>
      </c>
      <c r="Y106" t="inlineStr">
        <is>
          <t>Accessibility Standards Canada | Normes d’accessibilité Canada</t>
        </is>
      </c>
      <c r="Z106" t="n">
        <v>2</v>
      </c>
      <c r="AA106" t="n">
        <v>932.53</v>
      </c>
      <c r="AB106">
        <f>ROUND(U106-AA106,2)</f>
        <v/>
      </c>
      <c r="AC106" t="b">
        <v>0</v>
      </c>
      <c r="AD106">
        <f>IF(U106="","MISSING_TOTAL",IF(ABS(AB106)&lt;=0.01,"OK","CHECK"))</f>
        <v/>
      </c>
      <c r="AE106">
        <f>IF(U106="","MISSING",IF(AND(AA106&gt;0,U106/AA106&gt;50),"POSSIBLE_SCALE_ERROR","OK"))</f>
        <v/>
      </c>
    </row>
    <row r="107">
      <c r="A107" t="inlineStr">
        <is>
          <t>T-2024-P9-0001</t>
        </is>
      </c>
      <c r="B107" t="inlineStr">
        <is>
          <t>SLE</t>
        </is>
      </c>
      <c r="C107" t="inlineStr">
        <is>
          <t>Chief Executive Officer</t>
        </is>
      </c>
      <c r="D107" t="inlineStr">
        <is>
          <t>Président-directeur général</t>
        </is>
      </c>
      <c r="E107" t="inlineStr">
        <is>
          <t>Rizcallah, Philip</t>
        </is>
      </c>
      <c r="F107" t="inlineStr">
        <is>
          <t>Board meeting</t>
        </is>
      </c>
      <c r="G107" t="inlineStr">
        <is>
          <t>Réunion du conseil d'administration</t>
        </is>
      </c>
      <c r="H107" s="1" t="n">
        <v>45269</v>
      </c>
      <c r="I107" s="1" t="n">
        <v>45276</v>
      </c>
      <c r="J107" t="inlineStr">
        <is>
          <t>Vancouver, BC</t>
        </is>
      </c>
      <c r="K107" t="inlineStr">
        <is>
          <t>Vancouver, CB</t>
        </is>
      </c>
      <c r="P107" t="n">
        <v>210.7</v>
      </c>
      <c r="Q107" t="n">
        <v>296.18</v>
      </c>
      <c r="R107" t="n">
        <v>1812.59</v>
      </c>
      <c r="S107" t="n">
        <v>809.5</v>
      </c>
      <c r="T107" t="n">
        <v>0</v>
      </c>
      <c r="U107" t="n">
        <v>3128.97</v>
      </c>
      <c r="X107" t="inlineStr">
        <is>
          <t>casdo-ocena</t>
        </is>
      </c>
      <c r="Y107" t="inlineStr">
        <is>
          <t>Accessibility Standards Canada | Normes d’accessibilité Canada</t>
        </is>
      </c>
      <c r="Z107" t="n">
        <v>8</v>
      </c>
      <c r="AA107" t="n">
        <v>3128.97</v>
      </c>
      <c r="AB107">
        <f>ROUND(U107-AA107,2)</f>
        <v/>
      </c>
      <c r="AC107" t="b">
        <v>0</v>
      </c>
      <c r="AD107">
        <f>IF(U107="","MISSING_TOTAL",IF(ABS(AB107)&lt;=0.01,"OK","CHECK"))</f>
        <v/>
      </c>
      <c r="AE107">
        <f>IF(U107="","MISSING",IF(AND(AA107&gt;0,U107/AA107&gt;50),"POSSIBLE_SCALE_ERROR","OK"))</f>
        <v/>
      </c>
    </row>
    <row r="108">
      <c r="A108" t="inlineStr">
        <is>
          <t>T-2024-P9-0002</t>
        </is>
      </c>
      <c r="B108" t="inlineStr">
        <is>
          <t>SLE</t>
        </is>
      </c>
      <c r="C108" t="inlineStr">
        <is>
          <t>Vice Chair</t>
        </is>
      </c>
      <c r="D108" t="inlineStr">
        <is>
          <t>Vice-présidente</t>
        </is>
      </c>
      <c r="E108" t="inlineStr">
        <is>
          <t>Reid, Mary</t>
        </is>
      </c>
      <c r="F108" t="inlineStr">
        <is>
          <t>Board meeting</t>
        </is>
      </c>
      <c r="G108" t="inlineStr">
        <is>
          <t>Réunion du conseil d'administration</t>
        </is>
      </c>
      <c r="H108" s="1" t="n">
        <v>45245</v>
      </c>
      <c r="I108" s="1" t="n">
        <v>45247</v>
      </c>
      <c r="J108" t="inlineStr">
        <is>
          <t>Montreal, Quebec, Canada</t>
        </is>
      </c>
      <c r="K108" t="inlineStr">
        <is>
          <t>Montréal, Québec, Canada</t>
        </is>
      </c>
      <c r="P108" t="n">
        <v>954.5</v>
      </c>
      <c r="Q108" t="n">
        <v>65.7</v>
      </c>
      <c r="R108" t="n">
        <v>685.79</v>
      </c>
      <c r="S108" t="n">
        <v>319.8</v>
      </c>
      <c r="T108" t="n">
        <v>0</v>
      </c>
      <c r="U108" t="n">
        <v>2025.79</v>
      </c>
      <c r="X108" t="inlineStr">
        <is>
          <t>casdo-ocena</t>
        </is>
      </c>
      <c r="Y108" t="inlineStr">
        <is>
          <t>Accessibility Standards Canada | Normes d’accessibilité Canada</t>
        </is>
      </c>
      <c r="Z108" t="n">
        <v>3</v>
      </c>
      <c r="AA108" t="n">
        <v>2025.79</v>
      </c>
      <c r="AB108">
        <f>ROUND(U108-AA108,2)</f>
        <v/>
      </c>
      <c r="AC108" t="b">
        <v>0</v>
      </c>
      <c r="AD108">
        <f>IF(U108="","MISSING_TOTAL",IF(ABS(AB108)&lt;=0.01,"OK","CHECK"))</f>
        <v/>
      </c>
      <c r="AE108">
        <f>IF(U108="","MISSING",IF(AND(AA108&gt;0,U108/AA108&gt;50),"POSSIBLE_SCALE_ERROR","OK"))</f>
        <v/>
      </c>
    </row>
    <row r="109">
      <c r="A109" t="inlineStr">
        <is>
          <t>T-2024-P9-0003</t>
        </is>
      </c>
      <c r="B109" t="inlineStr">
        <is>
          <t>SLE</t>
        </is>
      </c>
      <c r="C109" t="inlineStr">
        <is>
          <t>Board Member</t>
        </is>
      </c>
      <c r="D109" t="inlineStr">
        <is>
          <t>Membre du conseil d'administration</t>
        </is>
      </c>
      <c r="E109" t="inlineStr">
        <is>
          <t>Adair, William</t>
        </is>
      </c>
      <c r="F109" t="inlineStr">
        <is>
          <t>Meeting with Executives</t>
        </is>
      </c>
      <c r="G109" t="inlineStr">
        <is>
          <t>Réunion avec executifs</t>
        </is>
      </c>
      <c r="H109" s="1" t="n">
        <v>45237</v>
      </c>
      <c r="I109" s="1" t="n">
        <v>45238</v>
      </c>
      <c r="J109" t="inlineStr">
        <is>
          <t>Gatineau, Quebec</t>
        </is>
      </c>
      <c r="K109" t="inlineStr">
        <is>
          <t>Gatineau, Québec</t>
        </is>
      </c>
      <c r="P109" t="n">
        <v>975.47</v>
      </c>
      <c r="Q109" t="n">
        <v>0</v>
      </c>
      <c r="R109" t="n">
        <v>0</v>
      </c>
      <c r="S109" t="n">
        <v>182.9</v>
      </c>
      <c r="T109" t="n">
        <v>0</v>
      </c>
      <c r="U109" t="n">
        <v>1158.37</v>
      </c>
      <c r="X109" t="inlineStr">
        <is>
          <t>casdo-ocena</t>
        </is>
      </c>
      <c r="Y109" t="inlineStr">
        <is>
          <t>Accessibility Standards Canada | Normes d’accessibilité Canada</t>
        </is>
      </c>
      <c r="Z109" t="n">
        <v>2</v>
      </c>
      <c r="AA109" t="n">
        <v>1158.37</v>
      </c>
      <c r="AB109">
        <f>ROUND(U109-AA109,2)</f>
        <v/>
      </c>
      <c r="AC109" t="b">
        <v>0</v>
      </c>
      <c r="AD109">
        <f>IF(U109="","MISSING_TOTAL",IF(ABS(AB109)&lt;=0.01,"OK","CHECK"))</f>
        <v/>
      </c>
      <c r="AE109">
        <f>IF(U109="","MISSING",IF(AND(AA109&gt;0,U109/AA109&gt;50),"POSSIBLE_SCALE_ERROR","OK"))</f>
        <v/>
      </c>
    </row>
    <row r="110">
      <c r="A110" t="inlineStr">
        <is>
          <t>T-2024-P10-0001</t>
        </is>
      </c>
      <c r="B110" t="inlineStr">
        <is>
          <t>SLE</t>
        </is>
      </c>
      <c r="C110" t="inlineStr">
        <is>
          <t>Vice Chair</t>
        </is>
      </c>
      <c r="D110" t="inlineStr">
        <is>
          <t>Vice-présidente</t>
        </is>
      </c>
      <c r="E110" t="inlineStr">
        <is>
          <t>Reid, Mary</t>
        </is>
      </c>
      <c r="F110" t="inlineStr">
        <is>
          <t>Board meeting</t>
        </is>
      </c>
      <c r="G110" t="inlineStr">
        <is>
          <t>Réunion du conseil d'administration</t>
        </is>
      </c>
      <c r="H110" s="1" t="n">
        <v>45270</v>
      </c>
      <c r="I110" s="1" t="n">
        <v>45273</v>
      </c>
      <c r="J110" t="inlineStr">
        <is>
          <t>Vancouver, BC</t>
        </is>
      </c>
      <c r="K110" t="inlineStr">
        <is>
          <t>Vancouver, CB</t>
        </is>
      </c>
      <c r="P110" t="n">
        <v>807.8</v>
      </c>
      <c r="Q110" t="n">
        <v>19.49</v>
      </c>
      <c r="R110" t="n">
        <v>1075.96</v>
      </c>
      <c r="S110" t="n">
        <v>619.05</v>
      </c>
      <c r="T110" t="n">
        <v>0</v>
      </c>
      <c r="U110" t="n">
        <v>2522.3</v>
      </c>
      <c r="X110" t="inlineStr">
        <is>
          <t>casdo-ocena</t>
        </is>
      </c>
      <c r="Y110" t="inlineStr">
        <is>
          <t>Accessibility Standards Canada | Normes d’accessibilité Canada</t>
        </is>
      </c>
      <c r="Z110" t="n">
        <v>4</v>
      </c>
      <c r="AA110" t="n">
        <v>2522.3</v>
      </c>
      <c r="AB110">
        <f>ROUND(U110-AA110,2)</f>
        <v/>
      </c>
      <c r="AC110" t="b">
        <v>0</v>
      </c>
      <c r="AD110">
        <f>IF(U110="","MISSING_TOTAL",IF(ABS(AB110)&lt;=0.01,"OK","CHECK"))</f>
        <v/>
      </c>
      <c r="AE110">
        <f>IF(U110="","MISSING",IF(AND(AA110&gt;0,U110/AA110&gt;50),"POSSIBLE_SCALE_ERROR","OK"))</f>
        <v/>
      </c>
    </row>
    <row r="111">
      <c r="A111" t="inlineStr">
        <is>
          <t>T-2024-P10-0002</t>
        </is>
      </c>
      <c r="B111" t="inlineStr">
        <is>
          <t>SLE</t>
        </is>
      </c>
      <c r="C111" t="inlineStr">
        <is>
          <t>Board Member</t>
        </is>
      </c>
      <c r="D111" t="inlineStr">
        <is>
          <t>Membre du conseil d'administration</t>
        </is>
      </c>
      <c r="E111" t="inlineStr">
        <is>
          <t>Kory, Earle</t>
        </is>
      </c>
      <c r="F111" t="inlineStr">
        <is>
          <t>Board meeting</t>
        </is>
      </c>
      <c r="G111" t="inlineStr">
        <is>
          <t>Réunion du conseil d'administration</t>
        </is>
      </c>
      <c r="H111" s="1" t="n">
        <v>45270</v>
      </c>
      <c r="I111" s="1" t="n">
        <v>45273</v>
      </c>
      <c r="J111" t="inlineStr">
        <is>
          <t>Vancouver, BC</t>
        </is>
      </c>
      <c r="K111" t="inlineStr">
        <is>
          <t>Vancouver, CB</t>
        </is>
      </c>
      <c r="P111" t="n">
        <v>729.39</v>
      </c>
      <c r="Q111" t="n">
        <v>280</v>
      </c>
      <c r="R111" t="n">
        <v>806.97</v>
      </c>
      <c r="S111" t="n">
        <v>457.7</v>
      </c>
      <c r="T111" t="n">
        <v>0</v>
      </c>
      <c r="U111" t="n">
        <v>2274.06</v>
      </c>
      <c r="X111" t="inlineStr">
        <is>
          <t>casdo-ocena</t>
        </is>
      </c>
      <c r="Y111" t="inlineStr">
        <is>
          <t>Accessibility Standards Canada | Normes d’accessibilité Canada</t>
        </is>
      </c>
      <c r="Z111" t="n">
        <v>4</v>
      </c>
      <c r="AA111" t="n">
        <v>2274.06</v>
      </c>
      <c r="AB111">
        <f>ROUND(U111-AA111,2)</f>
        <v/>
      </c>
      <c r="AC111" t="b">
        <v>0</v>
      </c>
      <c r="AD111">
        <f>IF(U111="","MISSING_TOTAL",IF(ABS(AB111)&lt;=0.01,"OK","CHECK"))</f>
        <v/>
      </c>
      <c r="AE111">
        <f>IF(U111="","MISSING",IF(AND(AA111&gt;0,U111/AA111&gt;50),"POSSIBLE_SCALE_ERROR","OK"))</f>
        <v/>
      </c>
    </row>
    <row r="112">
      <c r="A112" t="inlineStr">
        <is>
          <t>T-2024-P10-0003</t>
        </is>
      </c>
      <c r="B112" t="inlineStr">
        <is>
          <t>SLE</t>
        </is>
      </c>
      <c r="C112" t="inlineStr">
        <is>
          <t>Board Member</t>
        </is>
      </c>
      <c r="D112" t="inlineStr">
        <is>
          <t>Membre du conseil d'administration</t>
        </is>
      </c>
      <c r="E112" t="inlineStr">
        <is>
          <t>McLaughlin, Joseph</t>
        </is>
      </c>
      <c r="F112" t="inlineStr">
        <is>
          <t>Board meeting</t>
        </is>
      </c>
      <c r="G112" t="inlineStr">
        <is>
          <t>Réunion du conseil d'administration</t>
        </is>
      </c>
      <c r="H112" s="1" t="n">
        <v>45270</v>
      </c>
      <c r="I112" s="1" t="n">
        <v>45273</v>
      </c>
      <c r="J112" t="inlineStr">
        <is>
          <t>Vancouver, BC</t>
        </is>
      </c>
      <c r="K112" t="inlineStr">
        <is>
          <t>Vancouver, CB</t>
        </is>
      </c>
      <c r="P112" t="n">
        <v>0</v>
      </c>
      <c r="Q112" t="n">
        <v>49.72</v>
      </c>
      <c r="R112" t="n">
        <v>806.97</v>
      </c>
      <c r="S112" t="n">
        <v>281.95</v>
      </c>
      <c r="T112" t="n">
        <v>98</v>
      </c>
      <c r="U112" t="n">
        <v>1236.64</v>
      </c>
      <c r="X112" t="inlineStr">
        <is>
          <t>casdo-ocena</t>
        </is>
      </c>
      <c r="Y112" t="inlineStr">
        <is>
          <t>Accessibility Standards Canada | Normes d’accessibilité Canada</t>
        </is>
      </c>
      <c r="Z112" t="n">
        <v>4</v>
      </c>
      <c r="AA112" t="n">
        <v>1236.64</v>
      </c>
      <c r="AB112">
        <f>ROUND(U112-AA112,2)</f>
        <v/>
      </c>
      <c r="AC112" t="b">
        <v>0</v>
      </c>
      <c r="AD112">
        <f>IF(U112="","MISSING_TOTAL",IF(ABS(AB112)&lt;=0.01,"OK","CHECK"))</f>
        <v/>
      </c>
      <c r="AE112">
        <f>IF(U112="","MISSING",IF(AND(AA112&gt;0,U112/AA112&gt;50),"POSSIBLE_SCALE_ERROR","OK"))</f>
        <v/>
      </c>
    </row>
    <row r="113">
      <c r="A113" t="inlineStr">
        <is>
          <t>T-2024-P10-0004</t>
        </is>
      </c>
      <c r="B113" t="inlineStr">
        <is>
          <t>SLE</t>
        </is>
      </c>
      <c r="C113" t="inlineStr">
        <is>
          <t>Board Member</t>
        </is>
      </c>
      <c r="D113" t="inlineStr">
        <is>
          <t>Membre du conseil d'administration</t>
        </is>
      </c>
      <c r="E113" t="inlineStr">
        <is>
          <t>Ringaert, Laurie</t>
        </is>
      </c>
      <c r="F113" t="inlineStr">
        <is>
          <t>Board meeting</t>
        </is>
      </c>
      <c r="G113" t="inlineStr">
        <is>
          <t>Réunion du conseil d'administration</t>
        </is>
      </c>
      <c r="H113" s="1" t="n">
        <v>45270</v>
      </c>
      <c r="I113" s="1" t="n">
        <v>45273</v>
      </c>
      <c r="J113" t="inlineStr">
        <is>
          <t>Vancouver, BC</t>
        </is>
      </c>
      <c r="K113" t="inlineStr">
        <is>
          <t>Vancouver, CB</t>
        </is>
      </c>
      <c r="P113" t="n">
        <v>772.01</v>
      </c>
      <c r="Q113" t="n">
        <v>61.34</v>
      </c>
      <c r="R113" t="n">
        <v>806.97</v>
      </c>
      <c r="S113" t="n">
        <v>397.25</v>
      </c>
      <c r="T113" t="n">
        <v>0</v>
      </c>
      <c r="U113" t="n">
        <v>2037.57</v>
      </c>
      <c r="X113" t="inlineStr">
        <is>
          <t>casdo-ocena</t>
        </is>
      </c>
      <c r="Y113" t="inlineStr">
        <is>
          <t>Accessibility Standards Canada | Normes d’accessibilité Canada</t>
        </is>
      </c>
      <c r="Z113" t="n">
        <v>4</v>
      </c>
      <c r="AA113" t="n">
        <v>2037.57</v>
      </c>
      <c r="AB113">
        <f>ROUND(U113-AA113,2)</f>
        <v/>
      </c>
      <c r="AC113" t="b">
        <v>0</v>
      </c>
      <c r="AD113">
        <f>IF(U113="","MISSING_TOTAL",IF(ABS(AB113)&lt;=0.01,"OK","CHECK"))</f>
        <v/>
      </c>
      <c r="AE113">
        <f>IF(U113="","MISSING",IF(AND(AA113&gt;0,U113/AA113&gt;50),"POSSIBLE_SCALE_ERROR","OK"))</f>
        <v/>
      </c>
    </row>
    <row r="114">
      <c r="A114" t="inlineStr">
        <is>
          <t>T-2024-P10-0005</t>
        </is>
      </c>
      <c r="B114" t="inlineStr">
        <is>
          <t>SLE</t>
        </is>
      </c>
      <c r="C114" t="inlineStr">
        <is>
          <t>Board Member</t>
        </is>
      </c>
      <c r="D114" t="inlineStr">
        <is>
          <t>Membre du conseil d'administration</t>
        </is>
      </c>
      <c r="E114" t="inlineStr">
        <is>
          <t>Haan, Maureen</t>
        </is>
      </c>
      <c r="F114" t="inlineStr">
        <is>
          <t>Board meeting</t>
        </is>
      </c>
      <c r="G114" t="inlineStr">
        <is>
          <t>Réunion du conseil d'administration</t>
        </is>
      </c>
      <c r="H114" s="1" t="n">
        <v>45270</v>
      </c>
      <c r="I114" s="1" t="n">
        <v>45273</v>
      </c>
      <c r="J114" t="inlineStr">
        <is>
          <t>Vancouver, BC</t>
        </is>
      </c>
      <c r="K114" t="inlineStr">
        <is>
          <t>Vancouver, CB</t>
        </is>
      </c>
      <c r="P114" t="n">
        <v>738.24</v>
      </c>
      <c r="Q114" t="n">
        <v>158.43</v>
      </c>
      <c r="R114" t="n">
        <v>1125.55</v>
      </c>
      <c r="S114" t="n">
        <v>584.45</v>
      </c>
      <c r="T114" t="n">
        <v>0</v>
      </c>
      <c r="U114" t="n">
        <v>2606.67</v>
      </c>
      <c r="X114" t="inlineStr">
        <is>
          <t>casdo-ocena</t>
        </is>
      </c>
      <c r="Y114" t="inlineStr">
        <is>
          <t>Accessibility Standards Canada | Normes d’accessibilité Canada</t>
        </is>
      </c>
      <c r="Z114" t="n">
        <v>4</v>
      </c>
      <c r="AA114" t="n">
        <v>2606.67</v>
      </c>
      <c r="AB114">
        <f>ROUND(U114-AA114,2)</f>
        <v/>
      </c>
      <c r="AC114" t="b">
        <v>0</v>
      </c>
      <c r="AD114">
        <f>IF(U114="","MISSING_TOTAL",IF(ABS(AB114)&lt;=0.01,"OK","CHECK"))</f>
        <v/>
      </c>
      <c r="AE114">
        <f>IF(U114="","MISSING",IF(AND(AA114&gt;0,U114/AA114&gt;50),"POSSIBLE_SCALE_ERROR","OK"))</f>
        <v/>
      </c>
    </row>
    <row r="115">
      <c r="A115" t="inlineStr">
        <is>
          <t>T-2024-P10-0006</t>
        </is>
      </c>
      <c r="B115" t="inlineStr">
        <is>
          <t>SLE</t>
        </is>
      </c>
      <c r="C115" t="inlineStr">
        <is>
          <t>Board Member</t>
        </is>
      </c>
      <c r="D115" t="inlineStr">
        <is>
          <t>Membre du conseil d'administration</t>
        </is>
      </c>
      <c r="E115" t="inlineStr">
        <is>
          <t>Adair, William</t>
        </is>
      </c>
      <c r="F115" t="inlineStr">
        <is>
          <t>Board meeting</t>
        </is>
      </c>
      <c r="G115" t="inlineStr">
        <is>
          <t>Réunion du conseil d'administration</t>
        </is>
      </c>
      <c r="H115" s="1" t="n">
        <v>45270</v>
      </c>
      <c r="I115" s="1" t="n">
        <v>45273</v>
      </c>
      <c r="J115" t="inlineStr">
        <is>
          <t>Vancouver, BC</t>
        </is>
      </c>
      <c r="K115" t="inlineStr">
        <is>
          <t>Vancouver, CB</t>
        </is>
      </c>
      <c r="P115" t="n">
        <v>574.67</v>
      </c>
      <c r="Q115" t="n">
        <v>140.46</v>
      </c>
      <c r="R115" t="n">
        <v>806.97</v>
      </c>
      <c r="S115" t="n">
        <v>397.25</v>
      </c>
      <c r="T115" t="n">
        <v>0</v>
      </c>
      <c r="U115" t="n">
        <v>1919.35</v>
      </c>
      <c r="X115" t="inlineStr">
        <is>
          <t>casdo-ocena</t>
        </is>
      </c>
      <c r="Y115" t="inlineStr">
        <is>
          <t>Accessibility Standards Canada | Normes d’accessibilité Canada</t>
        </is>
      </c>
      <c r="Z115" t="n">
        <v>4</v>
      </c>
      <c r="AA115" t="n">
        <v>1919.35</v>
      </c>
      <c r="AB115">
        <f>ROUND(U115-AA115,2)</f>
        <v/>
      </c>
      <c r="AC115" t="b">
        <v>0</v>
      </c>
      <c r="AD115">
        <f>IF(U115="","MISSING_TOTAL",IF(ABS(AB115)&lt;=0.01,"OK","CHECK"))</f>
        <v/>
      </c>
      <c r="AE115">
        <f>IF(U115="","MISSING",IF(AND(AA115&gt;0,U115/AA115&gt;50),"POSSIBLE_SCALE_ERROR","OK"))</f>
        <v/>
      </c>
    </row>
    <row r="116">
      <c r="A116" t="inlineStr">
        <is>
          <t>T-2024-P11-0001</t>
        </is>
      </c>
      <c r="B116" t="inlineStr">
        <is>
          <t>SLE</t>
        </is>
      </c>
      <c r="C116" t="inlineStr">
        <is>
          <t>Chief Executive Officer</t>
        </is>
      </c>
      <c r="D116" t="inlineStr">
        <is>
          <t>Président directeur-général</t>
        </is>
      </c>
      <c r="E116" t="inlineStr">
        <is>
          <t>Rizcallah, Philip</t>
        </is>
      </c>
      <c r="F116" t="inlineStr">
        <is>
          <t>Operational activities</t>
        </is>
      </c>
      <c r="G116" t="inlineStr">
        <is>
          <t>Activités opérationels</t>
        </is>
      </c>
      <c r="H116" s="1" t="n">
        <v>45263</v>
      </c>
      <c r="I116" s="1" t="n">
        <v>45264</v>
      </c>
      <c r="J116" t="inlineStr">
        <is>
          <t>Toronto, Ontario</t>
        </is>
      </c>
      <c r="K116" t="inlineStr">
        <is>
          <t>Toronto, Ontario</t>
        </is>
      </c>
      <c r="P116" t="n">
        <v>0</v>
      </c>
      <c r="Q116" t="n">
        <v>621.27</v>
      </c>
      <c r="R116" t="n">
        <v>252.71</v>
      </c>
      <c r="S116" t="n">
        <v>204.5</v>
      </c>
      <c r="T116" t="n">
        <v>0</v>
      </c>
      <c r="U116" t="n">
        <v>1078.48</v>
      </c>
      <c r="X116" t="inlineStr">
        <is>
          <t>casdo-ocena</t>
        </is>
      </c>
      <c r="Y116" t="inlineStr">
        <is>
          <t>Accessibility Standards Canada | Normes d’accessibilité Canada</t>
        </is>
      </c>
      <c r="Z116" t="n">
        <v>2</v>
      </c>
      <c r="AA116" t="n">
        <v>1078.48</v>
      </c>
      <c r="AB116">
        <f>ROUND(U116-AA116,2)</f>
        <v/>
      </c>
      <c r="AC116" t="b">
        <v>0</v>
      </c>
      <c r="AD116">
        <f>IF(U116="","MISSING_TOTAL",IF(ABS(AB116)&lt;=0.01,"OK","CHECK"))</f>
        <v/>
      </c>
      <c r="AE116">
        <f>IF(U116="","MISSING",IF(AND(AA116&gt;0,U116/AA116&gt;50),"POSSIBLE_SCALE_ERROR","OK"))</f>
        <v/>
      </c>
    </row>
    <row r="117">
      <c r="A117" t="inlineStr">
        <is>
          <t>T-2024-P11-0002</t>
        </is>
      </c>
      <c r="B117" t="inlineStr">
        <is>
          <t>SLE</t>
        </is>
      </c>
      <c r="C117" t="inlineStr">
        <is>
          <t>Chief Executive Officer</t>
        </is>
      </c>
      <c r="D117" t="inlineStr">
        <is>
          <t>Président directeur-général</t>
        </is>
      </c>
      <c r="E117" t="inlineStr">
        <is>
          <t>Rizcallah, Philip</t>
        </is>
      </c>
      <c r="F117" t="inlineStr">
        <is>
          <t>Operational activities</t>
        </is>
      </c>
      <c r="G117" t="inlineStr">
        <is>
          <t>Activités opérationels</t>
        </is>
      </c>
      <c r="H117" s="1" t="n">
        <v>45312</v>
      </c>
      <c r="I117" s="1" t="n">
        <v>45316</v>
      </c>
      <c r="J117" t="inlineStr">
        <is>
          <t>Toronto, Ontario</t>
        </is>
      </c>
      <c r="K117" t="inlineStr">
        <is>
          <t>Toronto, Ontario</t>
        </is>
      </c>
      <c r="P117" t="n">
        <v>770.9400000000001</v>
      </c>
      <c r="Q117" t="n">
        <v>377.66</v>
      </c>
      <c r="R117" t="n">
        <v>953.4400000000001</v>
      </c>
      <c r="S117" t="n">
        <v>609.4</v>
      </c>
      <c r="T117" t="n">
        <v>0</v>
      </c>
      <c r="U117" t="n">
        <v>2711.44</v>
      </c>
      <c r="X117" t="inlineStr">
        <is>
          <t>casdo-ocena</t>
        </is>
      </c>
      <c r="Y117" t="inlineStr">
        <is>
          <t>Accessibility Standards Canada | Normes d’accessibilité Canada</t>
        </is>
      </c>
      <c r="Z117" t="n">
        <v>5</v>
      </c>
      <c r="AA117" t="n">
        <v>2711.44</v>
      </c>
      <c r="AB117">
        <f>ROUND(U117-AA117,2)</f>
        <v/>
      </c>
      <c r="AC117" t="b">
        <v>0</v>
      </c>
      <c r="AD117">
        <f>IF(U117="","MISSING_TOTAL",IF(ABS(AB117)&lt;=0.01,"OK","CHECK"))</f>
        <v/>
      </c>
      <c r="AE117">
        <f>IF(U117="","MISSING",IF(AND(AA117&gt;0,U117/AA117&gt;50),"POSSIBLE_SCALE_ERROR","OK"))</f>
        <v/>
      </c>
    </row>
    <row r="118">
      <c r="A118" t="inlineStr">
        <is>
          <t>T-2024-P12-0001</t>
        </is>
      </c>
      <c r="B118" t="inlineStr">
        <is>
          <t>SLE</t>
        </is>
      </c>
      <c r="C118" t="inlineStr">
        <is>
          <t>Chief Executive Officer</t>
        </is>
      </c>
      <c r="D118" t="inlineStr">
        <is>
          <t>Président directeur-général</t>
        </is>
      </c>
      <c r="E118" t="inlineStr">
        <is>
          <t>Rizcallah, Philip</t>
        </is>
      </c>
      <c r="F118" t="inlineStr">
        <is>
          <t>International Standards Conference</t>
        </is>
      </c>
      <c r="G118" t="inlineStr">
        <is>
          <t>Conférence normes internationales</t>
        </is>
      </c>
      <c r="H118" s="1" t="n">
        <v>45342</v>
      </c>
      <c r="I118" s="1" t="n">
        <v>45346</v>
      </c>
      <c r="J118" t="inlineStr">
        <is>
          <t>Vienna, Austria</t>
        </is>
      </c>
      <c r="K118" t="inlineStr">
        <is>
          <t>Vienne, Autriche</t>
        </is>
      </c>
      <c r="P118" t="n">
        <v>10404.35</v>
      </c>
      <c r="Q118" t="n">
        <v>97.81999999999999</v>
      </c>
      <c r="R118" t="n">
        <v>1073.03</v>
      </c>
      <c r="S118" t="n">
        <v>1079.34</v>
      </c>
      <c r="T118" t="n">
        <v>0</v>
      </c>
      <c r="U118" t="n">
        <v>12654.54</v>
      </c>
      <c r="X118" t="inlineStr">
        <is>
          <t>casdo-ocena</t>
        </is>
      </c>
      <c r="Y118" t="inlineStr">
        <is>
          <t>Accessibility Standards Canada | Normes d’accessibilité Canada</t>
        </is>
      </c>
      <c r="Z118" t="n">
        <v>5</v>
      </c>
      <c r="AA118" t="n">
        <v>12654.54</v>
      </c>
      <c r="AB118">
        <f>ROUND(U118-AA118,2)</f>
        <v/>
      </c>
      <c r="AC118" t="b">
        <v>0</v>
      </c>
      <c r="AD118">
        <f>IF(U118="","MISSING_TOTAL",IF(ABS(AB118)&lt;=0.01,"OK","CHECK"))</f>
        <v/>
      </c>
      <c r="AE118">
        <f>IF(U118="","MISSING",IF(AND(AA118&gt;0,U118/AA118&gt;50),"POSSIBLE_SCALE_ERROR","OK"))</f>
        <v/>
      </c>
    </row>
    <row r="119">
      <c r="A119" t="inlineStr">
        <is>
          <t>T-2024-P12-0002</t>
        </is>
      </c>
      <c r="B119" t="inlineStr">
        <is>
          <t>SLE</t>
        </is>
      </c>
      <c r="C119" t="inlineStr">
        <is>
          <t>Chief Executive Officer</t>
        </is>
      </c>
      <c r="D119" t="inlineStr">
        <is>
          <t>Président directeur-général</t>
        </is>
      </c>
      <c r="E119" t="inlineStr">
        <is>
          <t>Rizcallah, Philip</t>
        </is>
      </c>
      <c r="F119" t="inlineStr">
        <is>
          <t>CSUN California</t>
        </is>
      </c>
      <c r="G119" t="inlineStr">
        <is>
          <t>CSUN Californie</t>
        </is>
      </c>
      <c r="H119" s="1" t="n">
        <v>45368</v>
      </c>
      <c r="I119" s="1" t="n">
        <v>45374</v>
      </c>
      <c r="J119" t="inlineStr">
        <is>
          <t>California, USA</t>
        </is>
      </c>
      <c r="K119" t="inlineStr">
        <is>
          <t>Californie, EU</t>
        </is>
      </c>
      <c r="P119" t="n">
        <v>1506.51</v>
      </c>
      <c r="Q119" t="n">
        <v>184.29</v>
      </c>
      <c r="R119" t="n">
        <v>2145.49</v>
      </c>
      <c r="S119" t="n">
        <v>1201.4</v>
      </c>
      <c r="T119" t="n">
        <v>0</v>
      </c>
      <c r="U119" t="n">
        <v>5037.69</v>
      </c>
      <c r="X119" t="inlineStr">
        <is>
          <t>casdo-ocena</t>
        </is>
      </c>
      <c r="Y119" t="inlineStr">
        <is>
          <t>Accessibility Standards Canada | Normes d’accessibilité Canada</t>
        </is>
      </c>
      <c r="Z119" t="n">
        <v>7</v>
      </c>
      <c r="AA119" t="n">
        <v>5037.69</v>
      </c>
      <c r="AB119">
        <f>ROUND(U119-AA119,2)</f>
        <v/>
      </c>
      <c r="AC119" t="b">
        <v>0</v>
      </c>
      <c r="AD119">
        <f>IF(U119="","MISSING_TOTAL",IF(ABS(AB119)&lt;=0.01,"OK","CHECK"))</f>
        <v/>
      </c>
      <c r="AE119">
        <f>IF(U119="","MISSING",IF(AND(AA119&gt;0,U119/AA119&gt;50),"POSSIBLE_SCALE_ERROR","OK"))</f>
        <v/>
      </c>
    </row>
    <row r="120">
      <c r="A120" t="inlineStr">
        <is>
          <t>T-2024-P12-0003</t>
        </is>
      </c>
      <c r="B120" t="inlineStr">
        <is>
          <t>SLE</t>
        </is>
      </c>
      <c r="C120" t="inlineStr">
        <is>
          <t>Chief Executive Officer</t>
        </is>
      </c>
      <c r="D120" t="inlineStr">
        <is>
          <t>Président directeur-général</t>
        </is>
      </c>
      <c r="E120" t="inlineStr">
        <is>
          <t>Rizcallah, Philip</t>
        </is>
      </c>
      <c r="F120" t="inlineStr">
        <is>
          <t>Operational Activities</t>
        </is>
      </c>
      <c r="G120" t="inlineStr">
        <is>
          <t>Activités Opérationels</t>
        </is>
      </c>
      <c r="H120" s="1" t="n">
        <v>45340</v>
      </c>
      <c r="I120" s="1" t="n">
        <v>45340</v>
      </c>
      <c r="J120" t="inlineStr">
        <is>
          <t>Montreal, Quebec, Canada</t>
        </is>
      </c>
      <c r="K120" t="inlineStr">
        <is>
          <t>Montréal, Québec, Canada</t>
        </is>
      </c>
      <c r="P120" t="n">
        <v>105.32</v>
      </c>
      <c r="Q120" t="n">
        <v>300.98</v>
      </c>
      <c r="R120" t="n">
        <v>929.53</v>
      </c>
      <c r="S120" t="n">
        <v>331.25</v>
      </c>
      <c r="T120" t="n">
        <v>0</v>
      </c>
      <c r="U120" t="n">
        <v>1667.08</v>
      </c>
      <c r="X120" t="inlineStr">
        <is>
          <t>casdo-ocena</t>
        </is>
      </c>
      <c r="Y120" t="inlineStr">
        <is>
          <t>Accessibility Standards Canada | Normes d’accessibilité Canada</t>
        </is>
      </c>
      <c r="Z120" t="n">
        <v>1</v>
      </c>
      <c r="AA120" t="n">
        <v>1667.08</v>
      </c>
      <c r="AB120">
        <f>ROUND(U120-AA120,2)</f>
        <v/>
      </c>
      <c r="AC120" t="b">
        <v>0</v>
      </c>
      <c r="AD120">
        <f>IF(U120="","MISSING_TOTAL",IF(ABS(AB120)&lt;=0.01,"OK","CHECK"))</f>
        <v/>
      </c>
      <c r="AE120">
        <f>IF(U120="","MISSING",IF(AND(AA120&gt;0,U120/AA120&gt;50),"POSSIBLE_SCALE_ERROR","OK"))</f>
        <v/>
      </c>
    </row>
    <row r="121">
      <c r="A121" t="inlineStr">
        <is>
          <t>T-2024-P12-0004</t>
        </is>
      </c>
      <c r="B121" t="inlineStr">
        <is>
          <t>SLE</t>
        </is>
      </c>
      <c r="C121" t="inlineStr">
        <is>
          <t>Chief Executive Officer</t>
        </is>
      </c>
      <c r="D121" t="inlineStr">
        <is>
          <t>Président directeur-général</t>
        </is>
      </c>
      <c r="E121" t="inlineStr">
        <is>
          <t>Rizcallah, Philip</t>
        </is>
      </c>
      <c r="F121" t="inlineStr">
        <is>
          <t>APN Conference</t>
        </is>
      </c>
      <c r="G121" t="inlineStr">
        <is>
          <t>Conférence APN</t>
        </is>
      </c>
      <c r="H121" s="1" t="n">
        <v>45377</v>
      </c>
      <c r="I121" s="1" t="n">
        <v>45380</v>
      </c>
      <c r="J121" t="inlineStr">
        <is>
          <t>Vancouver, BC</t>
        </is>
      </c>
      <c r="K121" t="inlineStr">
        <is>
          <t>Vancouver, CB</t>
        </is>
      </c>
      <c r="P121" t="n">
        <v>1469.37</v>
      </c>
      <c r="Q121" t="n">
        <v>141.6</v>
      </c>
      <c r="R121" t="n">
        <v>883.35</v>
      </c>
      <c r="S121" t="n">
        <v>458</v>
      </c>
      <c r="T121" t="n">
        <v>0</v>
      </c>
      <c r="U121" t="n">
        <v>2952.32</v>
      </c>
      <c r="X121" t="inlineStr">
        <is>
          <t>casdo-ocena</t>
        </is>
      </c>
      <c r="Y121" t="inlineStr">
        <is>
          <t>Accessibility Standards Canada | Normes d’accessibilité Canada</t>
        </is>
      </c>
      <c r="Z121" t="n">
        <v>4</v>
      </c>
      <c r="AA121" t="n">
        <v>2952.31999999999</v>
      </c>
      <c r="AB121">
        <f>ROUND(U121-AA121,2)</f>
        <v/>
      </c>
      <c r="AC121" t="b">
        <v>0</v>
      </c>
      <c r="AD121">
        <f>IF(U121="","MISSING_TOTAL",IF(ABS(AB121)&lt;=0.01,"OK","CHECK"))</f>
        <v/>
      </c>
      <c r="AE121">
        <f>IF(U121="","MISSING",IF(AND(AA121&gt;0,U121/AA121&gt;50),"POSSIBLE_SCALE_ERROR","OK"))</f>
        <v/>
      </c>
    </row>
    <row r="122">
      <c r="A122" t="inlineStr">
        <is>
          <t>T-2024-P12-0005</t>
        </is>
      </c>
      <c r="B122" t="inlineStr">
        <is>
          <t>SLE</t>
        </is>
      </c>
      <c r="C122" t="inlineStr">
        <is>
          <t>Vice Chair</t>
        </is>
      </c>
      <c r="D122" t="inlineStr">
        <is>
          <t>Vice-présidente</t>
        </is>
      </c>
      <c r="E122" t="inlineStr">
        <is>
          <t>Reid, Mary</t>
        </is>
      </c>
      <c r="F122" t="inlineStr">
        <is>
          <t>Meeting with CEO</t>
        </is>
      </c>
      <c r="G122" t="inlineStr">
        <is>
          <t>Réunion avec Président</t>
        </is>
      </c>
      <c r="H122" s="1" t="n">
        <v>45327</v>
      </c>
      <c r="I122" s="1" t="n">
        <v>45332</v>
      </c>
      <c r="J122" t="inlineStr">
        <is>
          <t>Montreal, Quebec, Canada</t>
        </is>
      </c>
      <c r="K122" t="inlineStr">
        <is>
          <t>Montréal, Québec, Canada</t>
        </is>
      </c>
      <c r="P122" t="n">
        <v>1125.33</v>
      </c>
      <c r="Q122" t="n">
        <v>87.7</v>
      </c>
      <c r="R122" t="n">
        <v>247.98</v>
      </c>
      <c r="S122" t="n">
        <v>295.15</v>
      </c>
      <c r="T122" t="n">
        <v>0</v>
      </c>
      <c r="U122" t="n">
        <v>1756.16</v>
      </c>
      <c r="X122" t="inlineStr">
        <is>
          <t>casdo-ocena</t>
        </is>
      </c>
      <c r="Y122" t="inlineStr">
        <is>
          <t>Accessibility Standards Canada | Normes d’accessibilité Canada</t>
        </is>
      </c>
      <c r="Z122" t="n">
        <v>6</v>
      </c>
      <c r="AA122" t="n">
        <v>1756.15999999999</v>
      </c>
      <c r="AB122">
        <f>ROUND(U122-AA122,2)</f>
        <v/>
      </c>
      <c r="AC122" t="b">
        <v>0</v>
      </c>
      <c r="AD122">
        <f>IF(U122="","MISSING_TOTAL",IF(ABS(AB122)&lt;=0.01,"OK","CHECK"))</f>
        <v/>
      </c>
      <c r="AE122">
        <f>IF(U122="","MISSING",IF(AND(AA122&gt;0,U122/AA122&gt;50),"POSSIBLE_SCALE_ERROR","OK"))</f>
        <v/>
      </c>
    </row>
    <row r="123">
      <c r="A123" t="inlineStr">
        <is>
          <t>T-2024-P12-0006</t>
        </is>
      </c>
      <c r="B123" t="inlineStr">
        <is>
          <t>SLE</t>
        </is>
      </c>
      <c r="C123" t="inlineStr">
        <is>
          <t>Board Member</t>
        </is>
      </c>
      <c r="D123" t="inlineStr">
        <is>
          <t>Membre du conseil d'administration</t>
        </is>
      </c>
      <c r="E123" t="inlineStr">
        <is>
          <t>Haan, Maureen</t>
        </is>
      </c>
      <c r="F123" t="inlineStr">
        <is>
          <t>Meeting with CEO</t>
        </is>
      </c>
      <c r="G123" t="inlineStr">
        <is>
          <t>Réunion avec Président</t>
        </is>
      </c>
      <c r="H123" s="1" t="n">
        <v>45340</v>
      </c>
      <c r="I123" s="1" t="n">
        <v>45342</v>
      </c>
      <c r="J123" t="inlineStr">
        <is>
          <t>Montreal, Quebec, Canada</t>
        </is>
      </c>
      <c r="K123" t="inlineStr">
        <is>
          <t>Montréal, Québec, Canada</t>
        </is>
      </c>
      <c r="P123" t="n">
        <v>712.65</v>
      </c>
      <c r="Q123" t="n">
        <v>68.90000000000001</v>
      </c>
      <c r="R123" t="n">
        <v>0</v>
      </c>
      <c r="S123" t="n">
        <v>246.45</v>
      </c>
      <c r="T123" t="n">
        <v>0</v>
      </c>
      <c r="U123" t="n">
        <v>1028</v>
      </c>
      <c r="X123" t="inlineStr">
        <is>
          <t>casdo-ocena</t>
        </is>
      </c>
      <c r="Y123" t="inlineStr">
        <is>
          <t>Accessibility Standards Canada | Normes d’accessibilité Canada</t>
        </is>
      </c>
      <c r="Z123" t="n">
        <v>3</v>
      </c>
      <c r="AA123" t="n">
        <v>1028</v>
      </c>
      <c r="AB123">
        <f>ROUND(U123-AA123,2)</f>
        <v/>
      </c>
      <c r="AC123" t="b">
        <v>0</v>
      </c>
      <c r="AD123">
        <f>IF(U123="","MISSING_TOTAL",IF(ABS(AB123)&lt;=0.01,"OK","CHECK"))</f>
        <v/>
      </c>
      <c r="AE123">
        <f>IF(U123="","MISSING",IF(AND(AA123&gt;0,U123/AA123&gt;50),"POSSIBLE_SCALE_ERROR","OK"))</f>
        <v/>
      </c>
    </row>
    <row r="124">
      <c r="A124" t="inlineStr">
        <is>
          <t>T-2025-P1-0001</t>
        </is>
      </c>
      <c r="B124" t="inlineStr">
        <is>
          <t>SLE</t>
        </is>
      </c>
      <c r="C124" t="inlineStr">
        <is>
          <t>Chief Executive Officer</t>
        </is>
      </c>
      <c r="D124" t="inlineStr">
        <is>
          <t>Président directeur-général</t>
        </is>
      </c>
      <c r="E124" t="inlineStr">
        <is>
          <t>Rizcallah, Philip</t>
        </is>
      </c>
      <c r="F124" t="inlineStr">
        <is>
          <t>Standards Conference Pittsburgh</t>
        </is>
      </c>
      <c r="G124" t="inlineStr">
        <is>
          <t>Conférence des normes à Pittsburgh</t>
        </is>
      </c>
      <c r="H124" s="1" t="n">
        <v>45391</v>
      </c>
      <c r="I124" s="1" t="n">
        <v>45393</v>
      </c>
      <c r="J124" t="inlineStr">
        <is>
          <t>Pittsburgh, USA</t>
        </is>
      </c>
      <c r="K124" t="inlineStr">
        <is>
          <t>Pittsburgh, EU</t>
        </is>
      </c>
      <c r="P124" t="n">
        <v>958.5</v>
      </c>
      <c r="Q124" t="n">
        <v>267.74</v>
      </c>
      <c r="R124" t="n">
        <v>423.91</v>
      </c>
      <c r="S124" t="n">
        <v>418.63</v>
      </c>
      <c r="T124" t="n">
        <v>0</v>
      </c>
      <c r="U124" t="n">
        <v>2068.78</v>
      </c>
      <c r="X124" t="inlineStr">
        <is>
          <t>casdo-ocena</t>
        </is>
      </c>
      <c r="Y124" t="inlineStr">
        <is>
          <t>Accessibility Standards Canada | Normes d’accessibilité Canada</t>
        </is>
      </c>
      <c r="Z124" t="n">
        <v>3</v>
      </c>
      <c r="AA124" t="n">
        <v>2068.78</v>
      </c>
      <c r="AB124">
        <f>ROUND(U124-AA124,2)</f>
        <v/>
      </c>
      <c r="AC124" t="b">
        <v>0</v>
      </c>
      <c r="AD124">
        <f>IF(U124="","MISSING_TOTAL",IF(ABS(AB124)&lt;=0.01,"OK","CHECK"))</f>
        <v/>
      </c>
      <c r="AE124">
        <f>IF(U124="","MISSING",IF(AND(AA124&gt;0,U124/AA124&gt;50),"POSSIBLE_SCALE_ERROR","OK"))</f>
        <v/>
      </c>
    </row>
    <row r="125">
      <c r="A125" t="inlineStr">
        <is>
          <t>T-2025-P1-0002</t>
        </is>
      </c>
      <c r="B125" t="inlineStr">
        <is>
          <t>SLE</t>
        </is>
      </c>
      <c r="C125" t="inlineStr">
        <is>
          <t>Chief Executive Officer</t>
        </is>
      </c>
      <c r="D125" t="inlineStr">
        <is>
          <t>Président directeur-général</t>
        </is>
      </c>
      <c r="E125" t="inlineStr">
        <is>
          <t>Rizcallah, Philip</t>
        </is>
      </c>
      <c r="F125" t="inlineStr">
        <is>
          <t>Operational Activities</t>
        </is>
      </c>
      <c r="G125" t="inlineStr">
        <is>
          <t>Activités opérationels</t>
        </is>
      </c>
      <c r="H125" s="1" t="n">
        <v>45392</v>
      </c>
      <c r="I125" s="1" t="n">
        <v>45392</v>
      </c>
      <c r="J125" t="inlineStr">
        <is>
          <t>Ottawa, Ontario</t>
        </is>
      </c>
      <c r="K125" t="inlineStr">
        <is>
          <t>Ottawa, Ontario</t>
        </is>
      </c>
      <c r="P125" t="n">
        <v>0</v>
      </c>
      <c r="Q125" t="n">
        <v>56.42</v>
      </c>
      <c r="R125" t="n">
        <v>0</v>
      </c>
      <c r="S125" t="n">
        <v>0</v>
      </c>
      <c r="T125" t="n">
        <v>0</v>
      </c>
      <c r="U125" t="n">
        <v>56.42</v>
      </c>
      <c r="X125" t="inlineStr">
        <is>
          <t>casdo-ocena</t>
        </is>
      </c>
      <c r="Y125" t="inlineStr">
        <is>
          <t>Accessibility Standards Canada | Normes d’accessibilité Canada</t>
        </is>
      </c>
      <c r="Z125" t="n">
        <v>1</v>
      </c>
      <c r="AA125" t="n">
        <v>56.42</v>
      </c>
      <c r="AB125">
        <f>ROUND(U125-AA125,2)</f>
        <v/>
      </c>
      <c r="AC125" t="b">
        <v>0</v>
      </c>
      <c r="AD125">
        <f>IF(U125="","MISSING_TOTAL",IF(ABS(AB125)&lt;=0.01,"OK","CHECK"))</f>
        <v/>
      </c>
      <c r="AE125">
        <f>IF(U125="","MISSING",IF(AND(AA125&gt;0,U125/AA125&gt;50),"POSSIBLE_SCALE_ERROR","OK"))</f>
        <v/>
      </c>
    </row>
    <row r="126">
      <c r="A126" t="inlineStr">
        <is>
          <t>T-2025-P1-0003</t>
        </is>
      </c>
      <c r="B126" t="inlineStr">
        <is>
          <t>SLE</t>
        </is>
      </c>
      <c r="C126" t="inlineStr">
        <is>
          <t>Chair</t>
        </is>
      </c>
      <c r="D126" t="inlineStr">
        <is>
          <t>Président</t>
        </is>
      </c>
      <c r="E126" t="inlineStr">
        <is>
          <t>Bérubé, Paul-Claude</t>
        </is>
      </c>
      <c r="F126" t="inlineStr">
        <is>
          <t>Board meeting</t>
        </is>
      </c>
      <c r="G126" t="inlineStr">
        <is>
          <t>Réunion du conseil d'administration</t>
        </is>
      </c>
      <c r="H126" s="1" t="n">
        <v>45270</v>
      </c>
      <c r="I126" s="1" t="n">
        <v>45273</v>
      </c>
      <c r="J126" t="inlineStr">
        <is>
          <t>Vancouver, BC</t>
        </is>
      </c>
      <c r="K126" t="inlineStr">
        <is>
          <t>Vancouver, CB</t>
        </is>
      </c>
      <c r="P126" t="n">
        <v>0</v>
      </c>
      <c r="Q126" t="n">
        <v>99.93000000000001</v>
      </c>
      <c r="R126" t="n">
        <v>0</v>
      </c>
      <c r="S126" t="n">
        <v>348.25</v>
      </c>
      <c r="T126" t="n">
        <v>0</v>
      </c>
      <c r="U126" t="n">
        <v>448.18</v>
      </c>
      <c r="X126" t="inlineStr">
        <is>
          <t>casdo-ocena</t>
        </is>
      </c>
      <c r="Y126" t="inlineStr">
        <is>
          <t>Accessibility Standards Canada | Normes d’accessibilité Canada</t>
        </is>
      </c>
      <c r="Z126" t="n">
        <v>4</v>
      </c>
      <c r="AA126" t="n">
        <v>448.18</v>
      </c>
      <c r="AB126">
        <f>ROUND(U126-AA126,2)</f>
        <v/>
      </c>
      <c r="AC126" t="b">
        <v>0</v>
      </c>
      <c r="AD126">
        <f>IF(U126="","MISSING_TOTAL",IF(ABS(AB126)&lt;=0.01,"OK","CHECK"))</f>
        <v/>
      </c>
      <c r="AE126">
        <f>IF(U126="","MISSING",IF(AND(AA126&gt;0,U126/AA126&gt;50),"POSSIBLE_SCALE_ERROR","OK"))</f>
        <v/>
      </c>
    </row>
    <row r="127">
      <c r="A127" t="inlineStr">
        <is>
          <t>T-2025-P1-0004</t>
        </is>
      </c>
      <c r="B127" t="inlineStr">
        <is>
          <t>SLE</t>
        </is>
      </c>
      <c r="C127" t="inlineStr">
        <is>
          <t>Chair</t>
        </is>
      </c>
      <c r="D127" t="inlineStr">
        <is>
          <t>Président</t>
        </is>
      </c>
      <c r="E127" t="inlineStr">
        <is>
          <t>Bérubé, Paul-Claude</t>
        </is>
      </c>
      <c r="F127" t="inlineStr">
        <is>
          <t>Operational Activities</t>
        </is>
      </c>
      <c r="G127" t="inlineStr">
        <is>
          <t>Activités opérationels</t>
        </is>
      </c>
      <c r="H127" s="1" t="n">
        <v>45327</v>
      </c>
      <c r="I127" s="1" t="n">
        <v>45328</v>
      </c>
      <c r="J127" t="inlineStr">
        <is>
          <t>Ottawa, Ontario</t>
        </is>
      </c>
      <c r="K127" t="inlineStr">
        <is>
          <t>Ottawa, Ontario</t>
        </is>
      </c>
      <c r="P127" t="n">
        <v>0</v>
      </c>
      <c r="Q127" t="n">
        <v>8.34</v>
      </c>
      <c r="R127" t="n">
        <v>0</v>
      </c>
      <c r="S127" t="n">
        <v>0</v>
      </c>
      <c r="T127" t="n">
        <v>0</v>
      </c>
      <c r="U127" t="n">
        <v>8.34</v>
      </c>
      <c r="X127" t="inlineStr">
        <is>
          <t>casdo-ocena</t>
        </is>
      </c>
      <c r="Y127" t="inlineStr">
        <is>
          <t>Accessibility Standards Canada | Normes d’accessibilité Canada</t>
        </is>
      </c>
      <c r="Z127" t="n">
        <v>2</v>
      </c>
      <c r="AA127" t="n">
        <v>8.34</v>
      </c>
      <c r="AB127">
        <f>ROUND(U127-AA127,2)</f>
        <v/>
      </c>
      <c r="AC127" t="b">
        <v>0</v>
      </c>
      <c r="AD127">
        <f>IF(U127="","MISSING_TOTAL",IF(ABS(AB127)&lt;=0.01,"OK","CHECK"))</f>
        <v/>
      </c>
      <c r="AE127">
        <f>IF(U127="","MISSING",IF(AND(AA127&gt;0,U127/AA127&gt;50),"POSSIBLE_SCALE_ERROR","OK"))</f>
        <v/>
      </c>
    </row>
    <row r="128">
      <c r="A128" t="inlineStr">
        <is>
          <t>T-2025-P1-0005</t>
        </is>
      </c>
      <c r="B128" t="inlineStr">
        <is>
          <t>SLE</t>
        </is>
      </c>
      <c r="C128" t="inlineStr">
        <is>
          <t>Chair</t>
        </is>
      </c>
      <c r="D128" t="inlineStr">
        <is>
          <t>Président</t>
        </is>
      </c>
      <c r="E128" t="inlineStr">
        <is>
          <t>Bérubé, Paul-Claude</t>
        </is>
      </c>
      <c r="F128" t="inlineStr">
        <is>
          <t>Operational Activities</t>
        </is>
      </c>
      <c r="G128" t="inlineStr">
        <is>
          <t>Activités opérationels</t>
        </is>
      </c>
      <c r="H128" s="1" t="n">
        <v>45235</v>
      </c>
      <c r="I128" s="1" t="n">
        <v>45239</v>
      </c>
      <c r="J128" t="inlineStr">
        <is>
          <t>Edmonton, AB</t>
        </is>
      </c>
      <c r="K128" t="inlineStr">
        <is>
          <t>Edmonton, AB</t>
        </is>
      </c>
      <c r="P128" t="n">
        <v>1448.23</v>
      </c>
      <c r="Q128" t="n">
        <v>713.67</v>
      </c>
      <c r="R128" t="n">
        <v>780.2</v>
      </c>
      <c r="S128" t="n">
        <v>633.75</v>
      </c>
      <c r="T128" t="n">
        <v>0</v>
      </c>
      <c r="U128" t="n">
        <v>3575.85</v>
      </c>
      <c r="X128" t="inlineStr">
        <is>
          <t>casdo-ocena</t>
        </is>
      </c>
      <c r="Y128" t="inlineStr">
        <is>
          <t>Accessibility Standards Canada | Normes d’accessibilité Canada</t>
        </is>
      </c>
      <c r="Z128" t="n">
        <v>5</v>
      </c>
      <c r="AA128" t="n">
        <v>3575.85</v>
      </c>
      <c r="AB128">
        <f>ROUND(U128-AA128,2)</f>
        <v/>
      </c>
      <c r="AC128" t="b">
        <v>0</v>
      </c>
      <c r="AD128">
        <f>IF(U128="","MISSING_TOTAL",IF(ABS(AB128)&lt;=0.01,"OK","CHECK"))</f>
        <v/>
      </c>
      <c r="AE128">
        <f>IF(U128="","MISSING",IF(AND(AA128&gt;0,U128/AA128&gt;50),"POSSIBLE_SCALE_ERROR","OK"))</f>
        <v/>
      </c>
    </row>
    <row r="129">
      <c r="A129" t="inlineStr">
        <is>
          <t>T-2025-P1-0006</t>
        </is>
      </c>
      <c r="B129" t="inlineStr">
        <is>
          <t>SLE</t>
        </is>
      </c>
      <c r="C129" t="inlineStr">
        <is>
          <t>Chair</t>
        </is>
      </c>
      <c r="D129" t="inlineStr">
        <is>
          <t>Président</t>
        </is>
      </c>
      <c r="E129" t="inlineStr">
        <is>
          <t>Bérubé, Paul-Claude</t>
        </is>
      </c>
      <c r="F129" t="inlineStr">
        <is>
          <t>Operational Activities</t>
        </is>
      </c>
      <c r="G129" t="inlineStr">
        <is>
          <t>Activités opérationels</t>
        </is>
      </c>
      <c r="H129" s="1" t="n">
        <v>45245</v>
      </c>
      <c r="I129" s="1" t="n">
        <v>45246</v>
      </c>
      <c r="J129" t="inlineStr">
        <is>
          <t>Montreal, QC</t>
        </is>
      </c>
      <c r="K129" t="inlineStr">
        <is>
          <t>Montréal, PQ</t>
        </is>
      </c>
      <c r="P129" t="n">
        <v>0</v>
      </c>
      <c r="Q129" t="n">
        <v>104.4</v>
      </c>
      <c r="R129" t="n">
        <v>353.44</v>
      </c>
      <c r="S129" t="n">
        <v>144.05</v>
      </c>
      <c r="T129" t="n">
        <v>0</v>
      </c>
      <c r="U129" t="n">
        <v>601.89</v>
      </c>
      <c r="X129" t="inlineStr">
        <is>
          <t>casdo-ocena</t>
        </is>
      </c>
      <c r="Y129" t="inlineStr">
        <is>
          <t>Accessibility Standards Canada | Normes d’accessibilité Canada</t>
        </is>
      </c>
      <c r="Z129" t="n">
        <v>2</v>
      </c>
      <c r="AA129" t="n">
        <v>601.89</v>
      </c>
      <c r="AB129">
        <f>ROUND(U129-AA129,2)</f>
        <v/>
      </c>
      <c r="AC129" t="b">
        <v>0</v>
      </c>
      <c r="AD129">
        <f>IF(U129="","MISSING_TOTAL",IF(ABS(AB129)&lt;=0.01,"OK","CHECK"))</f>
        <v/>
      </c>
      <c r="AE129">
        <f>IF(U129="","MISSING",IF(AND(AA129&gt;0,U129/AA129&gt;50),"POSSIBLE_SCALE_ERROR","OK"))</f>
        <v/>
      </c>
    </row>
    <row r="130">
      <c r="A130" t="inlineStr">
        <is>
          <t>T-2025-P2-0001</t>
        </is>
      </c>
      <c r="B130" t="inlineStr">
        <is>
          <t>SLE</t>
        </is>
      </c>
      <c r="C130" t="inlineStr">
        <is>
          <t>Chief Executive Officer</t>
        </is>
      </c>
      <c r="D130" t="inlineStr">
        <is>
          <t>Président directeur-général</t>
        </is>
      </c>
      <c r="E130" t="inlineStr">
        <is>
          <t>Rizcallah, Philip</t>
        </is>
      </c>
      <c r="F130" t="inlineStr">
        <is>
          <t>Operational Activities</t>
        </is>
      </c>
      <c r="G130" t="inlineStr">
        <is>
          <t>Activités opérationels</t>
        </is>
      </c>
      <c r="H130" s="1" t="n">
        <v>45403</v>
      </c>
      <c r="I130" s="1" t="n">
        <v>45404</v>
      </c>
      <c r="J130" t="inlineStr">
        <is>
          <t>Toronto, ON</t>
        </is>
      </c>
      <c r="K130" t="inlineStr">
        <is>
          <t>Toronto, ON</t>
        </is>
      </c>
      <c r="P130" t="n">
        <v>615.25</v>
      </c>
      <c r="Q130" t="n">
        <v>168.33</v>
      </c>
      <c r="R130" t="n">
        <v>305.44</v>
      </c>
      <c r="S130" t="n">
        <v>0</v>
      </c>
      <c r="T130" t="n">
        <v>0</v>
      </c>
      <c r="U130" t="n">
        <v>1089.02</v>
      </c>
      <c r="X130" t="inlineStr">
        <is>
          <t>casdo-ocena</t>
        </is>
      </c>
      <c r="Y130" t="inlineStr">
        <is>
          <t>Accessibility Standards Canada | Normes d’accessibilité Canada</t>
        </is>
      </c>
      <c r="Z130" t="n">
        <v>2</v>
      </c>
      <c r="AA130" t="n">
        <v>1089.02</v>
      </c>
      <c r="AB130">
        <f>ROUND(U130-AA130,2)</f>
        <v/>
      </c>
      <c r="AC130" t="b">
        <v>0</v>
      </c>
      <c r="AD130">
        <f>IF(U130="","MISSING_TOTAL",IF(ABS(AB130)&lt;=0.01,"OK","CHECK"))</f>
        <v/>
      </c>
      <c r="AE130">
        <f>IF(U130="","MISSING",IF(AND(AA130&gt;0,U130/AA130&gt;50),"POSSIBLE_SCALE_ERROR","OK"))</f>
        <v/>
      </c>
    </row>
    <row r="131">
      <c r="A131" t="inlineStr">
        <is>
          <t>T-2025-P2-0002</t>
        </is>
      </c>
      <c r="B131" t="inlineStr">
        <is>
          <t>SLE</t>
        </is>
      </c>
      <c r="C131" t="inlineStr">
        <is>
          <t>Chair</t>
        </is>
      </c>
      <c r="D131" t="inlineStr">
        <is>
          <t>Président</t>
        </is>
      </c>
      <c r="E131" t="inlineStr">
        <is>
          <t>Bérubé, Paul-Claude</t>
        </is>
      </c>
      <c r="F131" t="inlineStr">
        <is>
          <t>Operational Activities</t>
        </is>
      </c>
      <c r="G131" t="inlineStr">
        <is>
          <t>Activités opérationels</t>
        </is>
      </c>
      <c r="H131" s="1" t="n">
        <v>45327</v>
      </c>
      <c r="I131" s="1" t="n">
        <v>45328</v>
      </c>
      <c r="J131" t="inlineStr">
        <is>
          <t>Montreal, QC</t>
        </is>
      </c>
      <c r="K131" t="inlineStr">
        <is>
          <t>Montéal, PQ</t>
        </is>
      </c>
      <c r="P131" t="n">
        <v>0</v>
      </c>
      <c r="Q131" t="n">
        <v>153.4</v>
      </c>
      <c r="R131" t="n">
        <v>0</v>
      </c>
      <c r="S131" t="n">
        <v>155.5</v>
      </c>
      <c r="T131" t="n">
        <v>0</v>
      </c>
      <c r="U131" t="n">
        <v>308.9</v>
      </c>
      <c r="X131" t="inlineStr">
        <is>
          <t>casdo-ocena</t>
        </is>
      </c>
      <c r="Y131" t="inlineStr">
        <is>
          <t>Accessibility Standards Canada | Normes d’accessibilité Canada</t>
        </is>
      </c>
      <c r="Z131" t="n">
        <v>2</v>
      </c>
      <c r="AA131" t="n">
        <v>308.9</v>
      </c>
      <c r="AB131">
        <f>ROUND(U131-AA131,2)</f>
        <v/>
      </c>
      <c r="AC131" t="b">
        <v>0</v>
      </c>
      <c r="AD131">
        <f>IF(U131="","MISSING_TOTAL",IF(ABS(AB131)&lt;=0.01,"OK","CHECK"))</f>
        <v/>
      </c>
      <c r="AE131">
        <f>IF(U131="","MISSING",IF(AND(AA131&gt;0,U131/AA131&gt;50),"POSSIBLE_SCALE_ERROR","OK"))</f>
        <v/>
      </c>
    </row>
    <row r="132">
      <c r="A132" t="inlineStr">
        <is>
          <t>T-2025-P2-0003</t>
        </is>
      </c>
      <c r="B132" t="inlineStr">
        <is>
          <t>SLE</t>
        </is>
      </c>
      <c r="C132" t="inlineStr">
        <is>
          <t>Chair</t>
        </is>
      </c>
      <c r="D132" t="inlineStr">
        <is>
          <t>Président</t>
        </is>
      </c>
      <c r="E132" t="inlineStr">
        <is>
          <t>Walsh, James</t>
        </is>
      </c>
      <c r="F132" t="inlineStr">
        <is>
          <t>Office visit</t>
        </is>
      </c>
      <c r="G132" t="inlineStr">
        <is>
          <t>Visite du bureau</t>
        </is>
      </c>
      <c r="H132" s="1" t="n">
        <v>45400</v>
      </c>
      <c r="I132" s="1" t="n">
        <v>45400</v>
      </c>
      <c r="J132" t="inlineStr">
        <is>
          <t>Ottawa, ON</t>
        </is>
      </c>
      <c r="K132" t="inlineStr">
        <is>
          <t>Ottawa, ON</t>
        </is>
      </c>
      <c r="P132" t="n">
        <v>11.8</v>
      </c>
      <c r="Q132" t="n">
        <v>40.51</v>
      </c>
      <c r="R132" t="n">
        <v>0</v>
      </c>
      <c r="S132" t="n">
        <v>0</v>
      </c>
      <c r="T132" t="n">
        <v>172.78</v>
      </c>
      <c r="U132" t="n">
        <v>225.09</v>
      </c>
      <c r="X132" t="inlineStr">
        <is>
          <t>casdo-ocena</t>
        </is>
      </c>
      <c r="Y132" t="inlineStr">
        <is>
          <t>Accessibility Standards Canada | Normes d’accessibilité Canada</t>
        </is>
      </c>
      <c r="Z132" t="n">
        <v>1</v>
      </c>
      <c r="AA132" t="n">
        <v>225.09</v>
      </c>
      <c r="AB132">
        <f>ROUND(U132-AA132,2)</f>
        <v/>
      </c>
      <c r="AC132" t="b">
        <v>0</v>
      </c>
      <c r="AD132">
        <f>IF(U132="","MISSING_TOTAL",IF(ABS(AB132)&lt;=0.01,"OK","CHECK"))</f>
        <v/>
      </c>
      <c r="AE132">
        <f>IF(U132="","MISSING",IF(AND(AA132&gt;0,U132/AA132&gt;50),"POSSIBLE_SCALE_ERROR","OK"))</f>
        <v/>
      </c>
    </row>
    <row r="133">
      <c r="A133" t="inlineStr">
        <is>
          <t>T-2025-P3-0001</t>
        </is>
      </c>
      <c r="B133" t="inlineStr">
        <is>
          <t>SLE</t>
        </is>
      </c>
      <c r="C133" t="inlineStr">
        <is>
          <t>Chief Executive Officer</t>
        </is>
      </c>
      <c r="D133" t="inlineStr">
        <is>
          <t>Président directeur-général</t>
        </is>
      </c>
      <c r="E133" t="inlineStr">
        <is>
          <t>Rizcallah, Philip</t>
        </is>
      </c>
      <c r="F133" t="inlineStr">
        <is>
          <t>Symposium Conference</t>
        </is>
      </c>
      <c r="G133" t="inlineStr">
        <is>
          <t>Conférence Symposium</t>
        </is>
      </c>
      <c r="H133" s="1" t="n">
        <v>45438</v>
      </c>
      <c r="I133" s="1" t="n">
        <v>45440</v>
      </c>
      <c r="J133" t="inlineStr">
        <is>
          <t>Montreal, Quebec, Canada</t>
        </is>
      </c>
      <c r="K133" t="inlineStr">
        <is>
          <t>Montréal, Québec, Canada</t>
        </is>
      </c>
      <c r="P133" t="n">
        <v>191.42</v>
      </c>
      <c r="Q133" t="n">
        <v>165.79</v>
      </c>
      <c r="R133" t="n">
        <v>740.41</v>
      </c>
      <c r="S133" t="n">
        <v>312.45</v>
      </c>
      <c r="T133" t="n">
        <v>0</v>
      </c>
      <c r="U133" t="n">
        <v>1410.07</v>
      </c>
      <c r="X133" t="inlineStr">
        <is>
          <t>casdo-ocena</t>
        </is>
      </c>
      <c r="Y133" t="inlineStr">
        <is>
          <t>Accessibility Standards Canada | Normes d’accessibilité Canada</t>
        </is>
      </c>
      <c r="Z133" t="n">
        <v>3</v>
      </c>
      <c r="AA133" t="n">
        <v>1410.07</v>
      </c>
      <c r="AB133">
        <f>ROUND(U133-AA133,2)</f>
        <v/>
      </c>
      <c r="AC133" t="b">
        <v>0</v>
      </c>
      <c r="AD133">
        <f>IF(U133="","MISSING_TOTAL",IF(ABS(AB133)&lt;=0.01,"OK","CHECK"))</f>
        <v/>
      </c>
      <c r="AE133">
        <f>IF(U133="","MISSING",IF(AND(AA133&gt;0,U133/AA133&gt;50),"POSSIBLE_SCALE_ERROR","OK"))</f>
        <v/>
      </c>
    </row>
    <row r="134">
      <c r="A134" t="inlineStr">
        <is>
          <t>T-2025-P3-0002</t>
        </is>
      </c>
      <c r="B134" t="inlineStr">
        <is>
          <t>SLE</t>
        </is>
      </c>
      <c r="C134" t="inlineStr">
        <is>
          <t>Chief Executive Officer</t>
        </is>
      </c>
      <c r="D134" t="inlineStr">
        <is>
          <t>Président directeur-général</t>
        </is>
      </c>
      <c r="E134" t="inlineStr">
        <is>
          <t>Rizcallah, Philip</t>
        </is>
      </c>
      <c r="F134" t="inlineStr">
        <is>
          <t>Travel Summit</t>
        </is>
      </c>
      <c r="G134" t="inlineStr">
        <is>
          <t>Summit de voyage</t>
        </is>
      </c>
      <c r="H134" s="1" t="n">
        <v>45421</v>
      </c>
      <c r="I134" s="1" t="n">
        <v>45421</v>
      </c>
      <c r="J134" t="inlineStr">
        <is>
          <t>Ottawa, ON</t>
        </is>
      </c>
      <c r="K134" t="inlineStr">
        <is>
          <t>Ottawa, ON</t>
        </is>
      </c>
      <c r="P134" t="n">
        <v>0</v>
      </c>
      <c r="Q134" t="n">
        <v>36.4</v>
      </c>
      <c r="R134" t="n">
        <v>0</v>
      </c>
      <c r="S134" t="n">
        <v>0</v>
      </c>
      <c r="T134" t="n">
        <v>0</v>
      </c>
      <c r="U134" t="n">
        <v>36.4</v>
      </c>
      <c r="X134" t="inlineStr">
        <is>
          <t>casdo-ocena</t>
        </is>
      </c>
      <c r="Y134" t="inlineStr">
        <is>
          <t>Accessibility Standards Canada | Normes d’accessibilité Canada</t>
        </is>
      </c>
      <c r="Z134" t="n">
        <v>1</v>
      </c>
      <c r="AA134" t="n">
        <v>36.4</v>
      </c>
      <c r="AB134">
        <f>ROUND(U134-AA134,2)</f>
        <v/>
      </c>
      <c r="AC134" t="b">
        <v>0</v>
      </c>
      <c r="AD134">
        <f>IF(U134="","MISSING_TOTAL",IF(ABS(AB134)&lt;=0.01,"OK","CHECK"))</f>
        <v/>
      </c>
      <c r="AE134">
        <f>IF(U134="","MISSING",IF(AND(AA134&gt;0,U134/AA134&gt;50),"POSSIBLE_SCALE_ERROR","OK"))</f>
        <v/>
      </c>
    </row>
    <row r="135">
      <c r="A135" t="inlineStr">
        <is>
          <t>T-2025-P3-0003</t>
        </is>
      </c>
      <c r="B135" t="inlineStr">
        <is>
          <t>SLE</t>
        </is>
      </c>
      <c r="C135" t="inlineStr">
        <is>
          <t>Chief Executive Officer</t>
        </is>
      </c>
      <c r="D135" t="inlineStr">
        <is>
          <t>Président directeur-général</t>
        </is>
      </c>
      <c r="E135" t="inlineStr">
        <is>
          <t>Rizcallah, Philip</t>
        </is>
      </c>
      <c r="F135" t="inlineStr">
        <is>
          <t>Operational activites</t>
        </is>
      </c>
      <c r="G135" t="inlineStr">
        <is>
          <t>Activités opérationels</t>
        </is>
      </c>
      <c r="H135" s="1" t="n">
        <v>45445</v>
      </c>
      <c r="I135" s="1" t="n">
        <v>45446</v>
      </c>
      <c r="J135" t="inlineStr">
        <is>
          <t>Montreal, Quebec, Canada</t>
        </is>
      </c>
      <c r="K135" t="inlineStr">
        <is>
          <t>Montréal, Québec, Canada</t>
        </is>
      </c>
      <c r="P135" t="n">
        <v>324.99</v>
      </c>
      <c r="Q135" t="n">
        <v>117.52</v>
      </c>
      <c r="R135" t="n">
        <v>320.11</v>
      </c>
      <c r="S135" t="n">
        <v>208.4</v>
      </c>
      <c r="T135" t="n">
        <v>0</v>
      </c>
      <c r="U135" t="n">
        <v>971.02</v>
      </c>
      <c r="X135" t="inlineStr">
        <is>
          <t>casdo-ocena</t>
        </is>
      </c>
      <c r="Y135" t="inlineStr">
        <is>
          <t>Accessibility Standards Canada | Normes d’accessibilité Canada</t>
        </is>
      </c>
      <c r="Z135" t="n">
        <v>2</v>
      </c>
      <c r="AA135" t="n">
        <v>971.02</v>
      </c>
      <c r="AB135">
        <f>ROUND(U135-AA135,2)</f>
        <v/>
      </c>
      <c r="AC135" t="b">
        <v>0</v>
      </c>
      <c r="AD135">
        <f>IF(U135="","MISSING_TOTAL",IF(ABS(AB135)&lt;=0.01,"OK","CHECK"))</f>
        <v/>
      </c>
      <c r="AE135">
        <f>IF(U135="","MISSING",IF(AND(AA135&gt;0,U135/AA135&gt;50),"POSSIBLE_SCALE_ERROR","OK"))</f>
        <v/>
      </c>
    </row>
    <row r="136">
      <c r="A136" t="inlineStr">
        <is>
          <t>T-2025-P3-0004</t>
        </is>
      </c>
      <c r="B136" t="inlineStr">
        <is>
          <t>SLE</t>
        </is>
      </c>
      <c r="C136" t="inlineStr">
        <is>
          <t>Chief Executive Officer</t>
        </is>
      </c>
      <c r="D136" t="inlineStr">
        <is>
          <t>Président directeur-général</t>
        </is>
      </c>
      <c r="E136" t="inlineStr">
        <is>
          <t>Rizcallah, Philip</t>
        </is>
      </c>
      <c r="F136" t="inlineStr">
        <is>
          <t>ACBOA Meeting</t>
        </is>
      </c>
      <c r="G136" t="inlineStr">
        <is>
          <t>Réunion ACBOA</t>
        </is>
      </c>
      <c r="H136" s="1" t="n">
        <v>45425</v>
      </c>
      <c r="I136" s="1" t="n">
        <v>45430</v>
      </c>
      <c r="J136" t="inlineStr">
        <is>
          <t>Halifax, NS</t>
        </is>
      </c>
      <c r="K136" t="inlineStr">
        <is>
          <t>Halifax, NE</t>
        </is>
      </c>
      <c r="P136" t="n">
        <v>125.83</v>
      </c>
      <c r="Q136" t="n">
        <v>511.04</v>
      </c>
      <c r="R136" t="n">
        <v>871.3</v>
      </c>
      <c r="S136" t="n">
        <v>621.35</v>
      </c>
      <c r="T136" t="n">
        <v>0</v>
      </c>
      <c r="U136" t="n">
        <v>2129.52</v>
      </c>
      <c r="X136" t="inlineStr">
        <is>
          <t>casdo-ocena</t>
        </is>
      </c>
      <c r="Y136" t="inlineStr">
        <is>
          <t>Accessibility Standards Canada | Normes d’accessibilité Canada</t>
        </is>
      </c>
      <c r="Z136" t="n">
        <v>6</v>
      </c>
      <c r="AA136" t="n">
        <v>2129.52</v>
      </c>
      <c r="AB136">
        <f>ROUND(U136-AA136,2)</f>
        <v/>
      </c>
      <c r="AC136" t="b">
        <v>0</v>
      </c>
      <c r="AD136">
        <f>IF(U136="","MISSING_TOTAL",IF(ABS(AB136)&lt;=0.01,"OK","CHECK"))</f>
        <v/>
      </c>
      <c r="AE136">
        <f>IF(U136="","MISSING",IF(AND(AA136&gt;0,U136/AA136&gt;50),"POSSIBLE_SCALE_ERROR","OK"))</f>
        <v/>
      </c>
    </row>
    <row r="137">
      <c r="A137" t="inlineStr">
        <is>
          <t>T-2025-P3-0005</t>
        </is>
      </c>
      <c r="B137" t="inlineStr">
        <is>
          <t>SLE</t>
        </is>
      </c>
      <c r="C137" t="inlineStr">
        <is>
          <t>Chief Executive Officer</t>
        </is>
      </c>
      <c r="D137" t="inlineStr">
        <is>
          <t>Président directeur-général</t>
        </is>
      </c>
      <c r="E137" t="inlineStr">
        <is>
          <t>Rizcallah, Philip</t>
        </is>
      </c>
      <c r="F137" t="inlineStr">
        <is>
          <t>UN Conference</t>
        </is>
      </c>
      <c r="G137" t="inlineStr">
        <is>
          <t>Conférence NU</t>
        </is>
      </c>
      <c r="H137" s="1" t="n">
        <v>45452</v>
      </c>
      <c r="I137" s="1" t="n">
        <v>45457</v>
      </c>
      <c r="J137" t="inlineStr">
        <is>
          <t>New York, New York</t>
        </is>
      </c>
      <c r="K137" t="inlineStr">
        <is>
          <t>New York, New York</t>
        </is>
      </c>
      <c r="P137" t="n">
        <v>1041.58</v>
      </c>
      <c r="Q137" t="n">
        <v>252.07</v>
      </c>
      <c r="R137" t="n">
        <v>2528.38</v>
      </c>
      <c r="S137" t="n">
        <v>947.0700000000001</v>
      </c>
      <c r="T137" t="n">
        <v>0</v>
      </c>
      <c r="U137" t="n">
        <v>4769.1</v>
      </c>
      <c r="X137" t="inlineStr">
        <is>
          <t>casdo-ocena</t>
        </is>
      </c>
      <c r="Y137" t="inlineStr">
        <is>
          <t>Accessibility Standards Canada | Normes d’accessibilité Canada</t>
        </is>
      </c>
      <c r="Z137" t="n">
        <v>6</v>
      </c>
      <c r="AA137" t="n">
        <v>4769.09999999999</v>
      </c>
      <c r="AB137">
        <f>ROUND(U137-AA137,2)</f>
        <v/>
      </c>
      <c r="AC137" t="b">
        <v>0</v>
      </c>
      <c r="AD137">
        <f>IF(U137="","MISSING_TOTAL",IF(ABS(AB137)&lt;=0.01,"OK","CHECK"))</f>
        <v/>
      </c>
      <c r="AE137">
        <f>IF(U137="","MISSING",IF(AND(AA137&gt;0,U137/AA137&gt;50),"POSSIBLE_SCALE_ERROR","OK"))</f>
        <v/>
      </c>
    </row>
    <row r="138">
      <c r="A138" t="inlineStr">
        <is>
          <t>T-2025-P3-0006</t>
        </is>
      </c>
      <c r="B138" t="inlineStr">
        <is>
          <t>SLE</t>
        </is>
      </c>
      <c r="C138" t="inlineStr">
        <is>
          <t>Vice Chair</t>
        </is>
      </c>
      <c r="D138" t="inlineStr">
        <is>
          <t>Vice-présidente</t>
        </is>
      </c>
      <c r="E138" t="inlineStr">
        <is>
          <t>Reid, Mary</t>
        </is>
      </c>
      <c r="F138" t="inlineStr">
        <is>
          <t>Symposium Conference</t>
        </is>
      </c>
      <c r="G138" t="inlineStr">
        <is>
          <t>Conférence Symposium</t>
        </is>
      </c>
      <c r="H138" s="1" t="n">
        <v>45438</v>
      </c>
      <c r="I138" s="1" t="n">
        <v>45441</v>
      </c>
      <c r="J138" t="inlineStr">
        <is>
          <t>Montreal, Quebec, Canada</t>
        </is>
      </c>
      <c r="K138" t="inlineStr">
        <is>
          <t>Montréal, Québec, Canada</t>
        </is>
      </c>
      <c r="P138" t="n">
        <v>375.45</v>
      </c>
      <c r="Q138" t="n">
        <v>233.77</v>
      </c>
      <c r="R138" t="n">
        <v>1120.97</v>
      </c>
      <c r="S138" t="n">
        <v>354.95</v>
      </c>
      <c r="T138" t="n">
        <v>0</v>
      </c>
      <c r="U138" t="n">
        <v>2085.14</v>
      </c>
      <c r="X138" t="inlineStr">
        <is>
          <t>casdo-ocena</t>
        </is>
      </c>
      <c r="Y138" t="inlineStr">
        <is>
          <t>Accessibility Standards Canada | Normes d’accessibilité Canada</t>
        </is>
      </c>
      <c r="Z138" t="n">
        <v>4</v>
      </c>
      <c r="AA138" t="n">
        <v>2085.14</v>
      </c>
      <c r="AB138">
        <f>ROUND(U138-AA138,2)</f>
        <v/>
      </c>
      <c r="AC138" t="b">
        <v>0</v>
      </c>
      <c r="AD138">
        <f>IF(U138="","MISSING_TOTAL",IF(ABS(AB138)&lt;=0.01,"OK","CHECK"))</f>
        <v/>
      </c>
      <c r="AE138">
        <f>IF(U138="","MISSING",IF(AND(AA138&gt;0,U138/AA138&gt;50),"POSSIBLE_SCALE_ERROR","OK"))</f>
        <v/>
      </c>
    </row>
    <row r="139">
      <c r="A139" t="inlineStr">
        <is>
          <t>T-2025-P3-0007</t>
        </is>
      </c>
      <c r="B139" t="inlineStr">
        <is>
          <t>SLE</t>
        </is>
      </c>
      <c r="C139" t="inlineStr">
        <is>
          <t>Board member</t>
        </is>
      </c>
      <c r="D139" t="inlineStr">
        <is>
          <t>Membre du conseil d'administration</t>
        </is>
      </c>
      <c r="E139" t="inlineStr">
        <is>
          <t>Haan, Maureen</t>
        </is>
      </c>
      <c r="F139" t="inlineStr">
        <is>
          <t>Board meeting</t>
        </is>
      </c>
      <c r="G139" t="inlineStr">
        <is>
          <t>Réunion du conseil d'administration</t>
        </is>
      </c>
      <c r="H139" s="1" t="n">
        <v>45460</v>
      </c>
      <c r="I139" s="1" t="n">
        <v>45463</v>
      </c>
      <c r="J139" t="inlineStr">
        <is>
          <t>Ottawa, ON</t>
        </is>
      </c>
      <c r="K139" t="inlineStr">
        <is>
          <t>Ottawa, ON</t>
        </is>
      </c>
      <c r="P139" t="n">
        <v>771.9299999999999</v>
      </c>
      <c r="Q139" t="n">
        <v>275.69</v>
      </c>
      <c r="R139" t="n">
        <v>0</v>
      </c>
      <c r="S139" t="n">
        <v>391.3</v>
      </c>
      <c r="T139" t="n">
        <v>0</v>
      </c>
      <c r="U139" t="n">
        <v>1438.92</v>
      </c>
      <c r="X139" t="inlineStr">
        <is>
          <t>casdo-ocena</t>
        </is>
      </c>
      <c r="Y139" t="inlineStr">
        <is>
          <t>Accessibility Standards Canada | Normes d’accessibilité Canada</t>
        </is>
      </c>
      <c r="Z139" t="n">
        <v>4</v>
      </c>
      <c r="AA139" t="n">
        <v>1438.91999999999</v>
      </c>
      <c r="AB139">
        <f>ROUND(U139-AA139,2)</f>
        <v/>
      </c>
      <c r="AC139" t="b">
        <v>0</v>
      </c>
      <c r="AD139">
        <f>IF(U139="","MISSING_TOTAL",IF(ABS(AB139)&lt;=0.01,"OK","CHECK"))</f>
        <v/>
      </c>
      <c r="AE139">
        <f>IF(U139="","MISSING",IF(AND(AA139&gt;0,U139/AA139&gt;50),"POSSIBLE_SCALE_ERROR","OK"))</f>
        <v/>
      </c>
    </row>
    <row r="140">
      <c r="A140" t="inlineStr">
        <is>
          <t>T-2025-P3-0008</t>
        </is>
      </c>
      <c r="B140" t="inlineStr">
        <is>
          <t>SLE</t>
        </is>
      </c>
      <c r="C140" t="inlineStr">
        <is>
          <t>Board member</t>
        </is>
      </c>
      <c r="D140" t="inlineStr">
        <is>
          <t>Membre du conseil d'administration</t>
        </is>
      </c>
      <c r="E140" t="inlineStr">
        <is>
          <t>Walsh, James</t>
        </is>
      </c>
      <c r="F140" t="inlineStr">
        <is>
          <t>Symposium Conference</t>
        </is>
      </c>
      <c r="G140" t="inlineStr">
        <is>
          <t>Conférence Symposium</t>
        </is>
      </c>
      <c r="H140" s="1" t="n">
        <v>45438</v>
      </c>
      <c r="I140" s="1" t="n">
        <v>45444</v>
      </c>
      <c r="J140" t="inlineStr">
        <is>
          <t>Montreal, Quebec, Canada</t>
        </is>
      </c>
      <c r="K140" t="inlineStr">
        <is>
          <t>Montréal, Québec, Canada</t>
        </is>
      </c>
      <c r="P140" t="n">
        <v>767.33</v>
      </c>
      <c r="Q140" t="n">
        <v>193.43</v>
      </c>
      <c r="R140" t="n">
        <v>927.02</v>
      </c>
      <c r="S140" t="n">
        <v>254.75</v>
      </c>
      <c r="T140" t="n">
        <v>0</v>
      </c>
      <c r="U140" t="n">
        <v>2142.53</v>
      </c>
      <c r="X140" t="inlineStr">
        <is>
          <t>casdo-ocena</t>
        </is>
      </c>
      <c r="Y140" t="inlineStr">
        <is>
          <t>Accessibility Standards Canada | Normes d’accessibilité Canada</t>
        </is>
      </c>
      <c r="Z140" t="n">
        <v>7</v>
      </c>
      <c r="AA140" t="n">
        <v>2142.52999999999</v>
      </c>
      <c r="AB140">
        <f>ROUND(U140-AA140,2)</f>
        <v/>
      </c>
      <c r="AC140" t="b">
        <v>0</v>
      </c>
      <c r="AD140">
        <f>IF(U140="","MISSING_TOTAL",IF(ABS(AB140)&lt;=0.01,"OK","CHECK"))</f>
        <v/>
      </c>
      <c r="AE140">
        <f>IF(U140="","MISSING",IF(AND(AA140&gt;0,U140/AA140&gt;50),"POSSIBLE_SCALE_ERROR","OK"))</f>
        <v/>
      </c>
    </row>
    <row r="141">
      <c r="A141" t="inlineStr">
        <is>
          <t>T-2025-P3-0009</t>
        </is>
      </c>
      <c r="B141" t="inlineStr">
        <is>
          <t>SLE</t>
        </is>
      </c>
      <c r="C141" t="inlineStr">
        <is>
          <t>Board member</t>
        </is>
      </c>
      <c r="D141" t="inlineStr">
        <is>
          <t>Membre du conseil d'administration</t>
        </is>
      </c>
      <c r="E141" t="inlineStr">
        <is>
          <t>Walsh, James</t>
        </is>
      </c>
      <c r="F141" t="inlineStr">
        <is>
          <t>Board meeting</t>
        </is>
      </c>
      <c r="G141" t="inlineStr">
        <is>
          <t>Réunion du conseil d'administration</t>
        </is>
      </c>
      <c r="H141" s="1" t="n">
        <v>45460</v>
      </c>
      <c r="I141" s="1" t="n">
        <v>45463</v>
      </c>
      <c r="J141" t="inlineStr">
        <is>
          <t>Ottawa, ON</t>
        </is>
      </c>
      <c r="K141" t="inlineStr">
        <is>
          <t>Ottawa, ON</t>
        </is>
      </c>
      <c r="P141" t="n">
        <v>563.86</v>
      </c>
      <c r="Q141" t="n">
        <v>151.51</v>
      </c>
      <c r="R141" t="n">
        <v>0</v>
      </c>
      <c r="S141" t="n">
        <v>441.7</v>
      </c>
      <c r="T141" t="n">
        <v>0</v>
      </c>
      <c r="U141" t="n">
        <v>1157.07</v>
      </c>
      <c r="X141" t="inlineStr">
        <is>
          <t>casdo-ocena</t>
        </is>
      </c>
      <c r="Y141" t="inlineStr">
        <is>
          <t>Accessibility Standards Canada | Normes d’accessibilité Canada</t>
        </is>
      </c>
      <c r="Z141" t="n">
        <v>4</v>
      </c>
      <c r="AA141" t="n">
        <v>1157.07</v>
      </c>
      <c r="AB141">
        <f>ROUND(U141-AA141,2)</f>
        <v/>
      </c>
      <c r="AC141" t="b">
        <v>0</v>
      </c>
      <c r="AD141">
        <f>IF(U141="","MISSING_TOTAL",IF(ABS(AB141)&lt;=0.01,"OK","CHECK"))</f>
        <v/>
      </c>
      <c r="AE141">
        <f>IF(U141="","MISSING",IF(AND(AA141&gt;0,U141/AA141&gt;50),"POSSIBLE_SCALE_ERROR","OK"))</f>
        <v/>
      </c>
    </row>
    <row r="142">
      <c r="A142" t="inlineStr">
        <is>
          <t>T-2025-P4-0001</t>
        </is>
      </c>
      <c r="B142" t="inlineStr">
        <is>
          <t>SLE</t>
        </is>
      </c>
      <c r="C142" t="inlineStr">
        <is>
          <t>Vice Chair</t>
        </is>
      </c>
      <c r="D142" t="inlineStr">
        <is>
          <t>Vice-présidente</t>
        </is>
      </c>
      <c r="E142" t="inlineStr">
        <is>
          <t>Reid, Mary</t>
        </is>
      </c>
      <c r="F142" t="inlineStr">
        <is>
          <t>Board meeting</t>
        </is>
      </c>
      <c r="G142" t="inlineStr">
        <is>
          <t>Réunion du conseil d'administration</t>
        </is>
      </c>
      <c r="H142" s="1" t="n">
        <v>45460</v>
      </c>
      <c r="I142" s="1" t="n">
        <v>45463</v>
      </c>
      <c r="J142" t="inlineStr">
        <is>
          <t>Ottawa, Ontario, Canada</t>
        </is>
      </c>
      <c r="K142" t="inlineStr">
        <is>
          <t>Ottawa, Ontario, Canada</t>
        </is>
      </c>
      <c r="P142" t="n">
        <v>563.86</v>
      </c>
      <c r="Q142" t="n">
        <v>155.47</v>
      </c>
      <c r="R142" t="n">
        <v>1146.15</v>
      </c>
      <c r="S142" t="n">
        <v>441.4</v>
      </c>
      <c r="T142" t="n">
        <v>0</v>
      </c>
      <c r="U142" t="n">
        <v>2306.88</v>
      </c>
      <c r="X142" t="inlineStr">
        <is>
          <t>casdo-ocena</t>
        </is>
      </c>
      <c r="Y142" t="inlineStr">
        <is>
          <t>Accessibility Standards Canada | Normes d’accessibilité Canada</t>
        </is>
      </c>
      <c r="Z142" t="n">
        <v>4</v>
      </c>
      <c r="AA142" t="n">
        <v>2306.88</v>
      </c>
      <c r="AB142">
        <f>ROUND(U142-AA142,2)</f>
        <v/>
      </c>
      <c r="AC142" t="b">
        <v>0</v>
      </c>
      <c r="AD142">
        <f>IF(U142="","MISSING_TOTAL",IF(ABS(AB142)&lt;=0.01,"OK","CHECK"))</f>
        <v/>
      </c>
      <c r="AE142">
        <f>IF(U142="","MISSING",IF(AND(AA142&gt;0,U142/AA142&gt;50),"POSSIBLE_SCALE_ERROR","OK"))</f>
        <v/>
      </c>
    </row>
    <row r="143">
      <c r="A143" t="inlineStr">
        <is>
          <t>T-2025-P4-0002</t>
        </is>
      </c>
      <c r="B143" t="inlineStr">
        <is>
          <t>SLE</t>
        </is>
      </c>
      <c r="C143" t="inlineStr">
        <is>
          <t>Board Member</t>
        </is>
      </c>
      <c r="D143" t="inlineStr">
        <is>
          <t>Membre du conseil d'administration</t>
        </is>
      </c>
      <c r="E143" t="inlineStr">
        <is>
          <t>Earle, Kory</t>
        </is>
      </c>
      <c r="F143" t="inlineStr">
        <is>
          <t>Board meeting</t>
        </is>
      </c>
      <c r="G143" t="inlineStr">
        <is>
          <t>Réunion du conseil d'administration</t>
        </is>
      </c>
      <c r="H143" s="1" t="n">
        <v>45460</v>
      </c>
      <c r="I143" s="1" t="n">
        <v>45463</v>
      </c>
      <c r="J143" t="inlineStr">
        <is>
          <t>Ottawa, Ontario, Canada</t>
        </is>
      </c>
      <c r="K143" t="inlineStr">
        <is>
          <t>Ottawa, Ontario, Canada</t>
        </is>
      </c>
      <c r="P143" t="n">
        <v>0</v>
      </c>
      <c r="Q143" t="n">
        <v>64.31</v>
      </c>
      <c r="R143" t="n">
        <v>1146.15</v>
      </c>
      <c r="S143" t="n">
        <v>329.45</v>
      </c>
      <c r="T143" t="n">
        <v>12.43</v>
      </c>
      <c r="U143" t="n">
        <v>1552.34</v>
      </c>
      <c r="X143" t="inlineStr">
        <is>
          <t>casdo-ocena</t>
        </is>
      </c>
      <c r="Y143" t="inlineStr">
        <is>
          <t>Accessibility Standards Canada | Normes d’accessibilité Canada</t>
        </is>
      </c>
      <c r="Z143" t="n">
        <v>4</v>
      </c>
      <c r="AA143" t="n">
        <v>1552.34</v>
      </c>
      <c r="AB143">
        <f>ROUND(U143-AA143,2)</f>
        <v/>
      </c>
      <c r="AC143" t="b">
        <v>0</v>
      </c>
      <c r="AD143">
        <f>IF(U143="","MISSING_TOTAL",IF(ABS(AB143)&lt;=0.01,"OK","CHECK"))</f>
        <v/>
      </c>
      <c r="AE143">
        <f>IF(U143="","MISSING",IF(AND(AA143&gt;0,U143/AA143&gt;50),"POSSIBLE_SCALE_ERROR","OK"))</f>
        <v/>
      </c>
    </row>
    <row r="144">
      <c r="A144" t="inlineStr">
        <is>
          <t>T-2025-P4-0003</t>
        </is>
      </c>
      <c r="B144" t="inlineStr">
        <is>
          <t>SLE</t>
        </is>
      </c>
      <c r="C144" t="inlineStr">
        <is>
          <t>Board Member</t>
        </is>
      </c>
      <c r="D144" t="inlineStr">
        <is>
          <t>Membre du conseil d'administration</t>
        </is>
      </c>
      <c r="E144" t="inlineStr">
        <is>
          <t>McLaughlin, Joseph</t>
        </is>
      </c>
      <c r="F144" t="inlineStr">
        <is>
          <t>Board meeting</t>
        </is>
      </c>
      <c r="G144" t="inlineStr">
        <is>
          <t>Réunion du conseil d'administration</t>
        </is>
      </c>
      <c r="H144" s="1" t="n">
        <v>45460</v>
      </c>
      <c r="I144" s="1" t="n">
        <v>45463</v>
      </c>
      <c r="J144" t="inlineStr">
        <is>
          <t>Ottawa, Ontario, Canada</t>
        </is>
      </c>
      <c r="K144" t="inlineStr">
        <is>
          <t>Ottawa, Ontario, Canada</t>
        </is>
      </c>
      <c r="P144" t="n">
        <v>699.92</v>
      </c>
      <c r="Q144" t="n">
        <v>288.17</v>
      </c>
      <c r="R144" t="n">
        <v>1146.15</v>
      </c>
      <c r="S144" t="n">
        <v>441.4</v>
      </c>
      <c r="T144" t="n">
        <v>0</v>
      </c>
      <c r="U144" t="n">
        <v>2575.64</v>
      </c>
      <c r="X144" t="inlineStr">
        <is>
          <t>casdo-ocena</t>
        </is>
      </c>
      <c r="Y144" t="inlineStr">
        <is>
          <t>Accessibility Standards Canada | Normes d’accessibilité Canada</t>
        </is>
      </c>
      <c r="Z144" t="n">
        <v>4</v>
      </c>
      <c r="AA144" t="n">
        <v>2575.64</v>
      </c>
      <c r="AB144">
        <f>ROUND(U144-AA144,2)</f>
        <v/>
      </c>
      <c r="AC144" t="b">
        <v>0</v>
      </c>
      <c r="AD144">
        <f>IF(U144="","MISSING_TOTAL",IF(ABS(AB144)&lt;=0.01,"OK","CHECK"))</f>
        <v/>
      </c>
      <c r="AE144">
        <f>IF(U144="","MISSING",IF(AND(AA144&gt;0,U144/AA144&gt;50),"POSSIBLE_SCALE_ERROR","OK"))</f>
        <v/>
      </c>
    </row>
    <row r="145">
      <c r="A145" t="inlineStr">
        <is>
          <t>T-2025-P4-0004</t>
        </is>
      </c>
      <c r="B145" t="inlineStr">
        <is>
          <t>SLE</t>
        </is>
      </c>
      <c r="C145" t="inlineStr">
        <is>
          <t>Board Member</t>
        </is>
      </c>
      <c r="D145" t="inlineStr">
        <is>
          <t>Membre du conseil d'administration</t>
        </is>
      </c>
      <c r="E145" t="inlineStr">
        <is>
          <t>Ringaert, Laurie</t>
        </is>
      </c>
      <c r="F145" t="inlineStr">
        <is>
          <t>Board meeting</t>
        </is>
      </c>
      <c r="G145" t="inlineStr">
        <is>
          <t>Réunion du conseil d'administration</t>
        </is>
      </c>
      <c r="H145" s="1" t="n">
        <v>45460</v>
      </c>
      <c r="I145" s="1" t="n">
        <v>45463</v>
      </c>
      <c r="J145" t="inlineStr">
        <is>
          <t>Ottawa, Ontario, Canada</t>
        </is>
      </c>
      <c r="K145" t="inlineStr">
        <is>
          <t>Ottawa, Ontario, Canada</t>
        </is>
      </c>
      <c r="P145" t="n">
        <v>460.31</v>
      </c>
      <c r="Q145" t="n">
        <v>161.61</v>
      </c>
      <c r="R145" t="n">
        <v>1146.15</v>
      </c>
      <c r="S145" t="n">
        <v>391.3</v>
      </c>
      <c r="T145" t="n">
        <v>0</v>
      </c>
      <c r="U145" t="n">
        <v>2159.37</v>
      </c>
      <c r="X145" t="inlineStr">
        <is>
          <t>casdo-ocena</t>
        </is>
      </c>
      <c r="Y145" t="inlineStr">
        <is>
          <t>Accessibility Standards Canada | Normes d’accessibilité Canada</t>
        </is>
      </c>
      <c r="Z145" t="n">
        <v>4</v>
      </c>
      <c r="AA145" t="n">
        <v>2159.37</v>
      </c>
      <c r="AB145">
        <f>ROUND(U145-AA145,2)</f>
        <v/>
      </c>
      <c r="AC145" t="b">
        <v>0</v>
      </c>
      <c r="AD145">
        <f>IF(U145="","MISSING_TOTAL",IF(ABS(AB145)&lt;=0.01,"OK","CHECK"))</f>
        <v/>
      </c>
      <c r="AE145">
        <f>IF(U145="","MISSING",IF(AND(AA145&gt;0,U145/AA145&gt;50),"POSSIBLE_SCALE_ERROR","OK"))</f>
        <v/>
      </c>
    </row>
    <row r="146">
      <c r="A146" t="inlineStr">
        <is>
          <t>T-2025-P4-0005</t>
        </is>
      </c>
      <c r="B146" t="inlineStr">
        <is>
          <t>SLE</t>
        </is>
      </c>
      <c r="C146" t="inlineStr">
        <is>
          <t>Board Member</t>
        </is>
      </c>
      <c r="D146" t="inlineStr">
        <is>
          <t>Membre du conseil d'administration</t>
        </is>
      </c>
      <c r="E146" t="inlineStr">
        <is>
          <t>Sutton, Christopher</t>
        </is>
      </c>
      <c r="F146" t="inlineStr">
        <is>
          <t>Board meeting</t>
        </is>
      </c>
      <c r="G146" t="inlineStr">
        <is>
          <t>Réunion du conseil d'administration</t>
        </is>
      </c>
      <c r="H146" s="1" t="n">
        <v>45460</v>
      </c>
      <c r="I146" s="1" t="n">
        <v>45463</v>
      </c>
      <c r="J146" t="inlineStr">
        <is>
          <t>Ottawa, Ontario, Canada</t>
        </is>
      </c>
      <c r="K146" t="inlineStr">
        <is>
          <t>Ottawa, Ontario, Canada</t>
        </is>
      </c>
      <c r="P146" t="n">
        <v>705.17</v>
      </c>
      <c r="Q146" t="n">
        <v>95.23999999999999</v>
      </c>
      <c r="R146" t="n">
        <v>1146.15</v>
      </c>
      <c r="S146" t="n">
        <v>441.4</v>
      </c>
      <c r="T146" t="n">
        <v>0</v>
      </c>
      <c r="U146" t="n">
        <v>2387.96</v>
      </c>
      <c r="X146" t="inlineStr">
        <is>
          <t>casdo-ocena</t>
        </is>
      </c>
      <c r="Y146" t="inlineStr">
        <is>
          <t>Accessibility Standards Canada | Normes d’accessibilité Canada</t>
        </is>
      </c>
      <c r="Z146" t="n">
        <v>4</v>
      </c>
      <c r="AA146" t="n">
        <v>2387.96</v>
      </c>
      <c r="AB146">
        <f>ROUND(U146-AA146,2)</f>
        <v/>
      </c>
      <c r="AC146" t="b">
        <v>0</v>
      </c>
      <c r="AD146">
        <f>IF(U146="","MISSING_TOTAL",IF(ABS(AB146)&lt;=0.01,"OK","CHECK"))</f>
        <v/>
      </c>
      <c r="AE146">
        <f>IF(U146="","MISSING",IF(AND(AA146&gt;0,U146/AA146&gt;50),"POSSIBLE_SCALE_ERROR","OK"))</f>
        <v/>
      </c>
    </row>
    <row r="147">
      <c r="A147" t="inlineStr">
        <is>
          <t>T-2025-P4-0006</t>
        </is>
      </c>
      <c r="B147" t="inlineStr">
        <is>
          <t>SLE</t>
        </is>
      </c>
      <c r="C147" t="inlineStr">
        <is>
          <t>Board Member</t>
        </is>
      </c>
      <c r="D147" t="inlineStr">
        <is>
          <t>Membre du conseil d'administration</t>
        </is>
      </c>
      <c r="E147" t="inlineStr">
        <is>
          <t>Constantin, Wissam</t>
        </is>
      </c>
      <c r="F147" t="inlineStr">
        <is>
          <t>Conference</t>
        </is>
      </c>
      <c r="G147" t="inlineStr">
        <is>
          <t>Conférence</t>
        </is>
      </c>
      <c r="H147" s="1" t="n">
        <v>45436</v>
      </c>
      <c r="I147" s="1" t="n">
        <v>45438</v>
      </c>
      <c r="J147" t="inlineStr">
        <is>
          <t>Montreal, Quebec, Canada</t>
        </is>
      </c>
      <c r="K147" t="inlineStr">
        <is>
          <t>Montréal, Québec, Canada</t>
        </is>
      </c>
      <c r="P147" t="n">
        <v>0</v>
      </c>
      <c r="Q147" t="n">
        <v>279.02</v>
      </c>
      <c r="R147" t="n">
        <v>473.64</v>
      </c>
      <c r="S147" t="n">
        <v>337.65</v>
      </c>
      <c r="T147" t="n">
        <v>0</v>
      </c>
      <c r="U147" t="n">
        <v>1090.31</v>
      </c>
      <c r="X147" t="inlineStr">
        <is>
          <t>casdo-ocena</t>
        </is>
      </c>
      <c r="Y147" t="inlineStr">
        <is>
          <t>Accessibility Standards Canada | Normes d’accessibilité Canada</t>
        </is>
      </c>
      <c r="Z147" t="n">
        <v>3</v>
      </c>
      <c r="AA147" t="n">
        <v>1090.31</v>
      </c>
      <c r="AB147">
        <f>ROUND(U147-AA147,2)</f>
        <v/>
      </c>
      <c r="AC147" t="b">
        <v>0</v>
      </c>
      <c r="AD147">
        <f>IF(U147="","MISSING_TOTAL",IF(ABS(AB147)&lt;=0.01,"OK","CHECK"))</f>
        <v/>
      </c>
      <c r="AE147">
        <f>IF(U147="","MISSING",IF(AND(AA147&gt;0,U147/AA147&gt;50),"POSSIBLE_SCALE_ERROR","OK"))</f>
        <v/>
      </c>
    </row>
    <row r="148">
      <c r="A148" t="inlineStr">
        <is>
          <t>T-2025-P4-0007</t>
        </is>
      </c>
      <c r="B148" t="inlineStr">
        <is>
          <t>SLE</t>
        </is>
      </c>
      <c r="C148" t="inlineStr">
        <is>
          <t>Board Member</t>
        </is>
      </c>
      <c r="D148" t="inlineStr">
        <is>
          <t>Membre du conseil d'administration</t>
        </is>
      </c>
      <c r="E148" t="inlineStr">
        <is>
          <t>Constantin, Wissam</t>
        </is>
      </c>
      <c r="F148" t="inlineStr">
        <is>
          <t>Board meeting</t>
        </is>
      </c>
      <c r="G148" t="inlineStr">
        <is>
          <t>Réunion du conseil d'administration</t>
        </is>
      </c>
      <c r="H148" s="1" t="n">
        <v>45461</v>
      </c>
      <c r="I148" s="1" t="n">
        <v>45463</v>
      </c>
      <c r="J148" t="inlineStr">
        <is>
          <t>Ottawa, Ontario, Canada</t>
        </is>
      </c>
      <c r="K148" t="inlineStr">
        <is>
          <t>Ottawa, Ontario, Canada</t>
        </is>
      </c>
      <c r="P148" t="n">
        <v>0</v>
      </c>
      <c r="Q148" t="n">
        <v>45.42</v>
      </c>
      <c r="R148" t="n">
        <v>0</v>
      </c>
      <c r="S148" t="n">
        <v>0</v>
      </c>
      <c r="T148" t="n">
        <v>0</v>
      </c>
      <c r="U148" t="n">
        <v>45.42</v>
      </c>
      <c r="X148" t="inlineStr">
        <is>
          <t>casdo-ocena</t>
        </is>
      </c>
      <c r="Y148" t="inlineStr">
        <is>
          <t>Accessibility Standards Canada | Normes d’accessibilité Canada</t>
        </is>
      </c>
      <c r="Z148" t="n">
        <v>3</v>
      </c>
      <c r="AA148" t="n">
        <v>45.42</v>
      </c>
      <c r="AB148">
        <f>ROUND(U148-AA148,2)</f>
        <v/>
      </c>
      <c r="AC148" t="b">
        <v>0</v>
      </c>
      <c r="AD148">
        <f>IF(U148="","MISSING_TOTAL",IF(ABS(AB148)&lt;=0.01,"OK","CHECK"))</f>
        <v/>
      </c>
      <c r="AE148">
        <f>IF(U148="","MISSING",IF(AND(AA148&gt;0,U148/AA148&gt;50),"POSSIBLE_SCALE_ERROR","OK"))</f>
        <v/>
      </c>
    </row>
    <row r="149">
      <c r="A149" t="inlineStr">
        <is>
          <t>T-2025-P5-0001</t>
        </is>
      </c>
      <c r="B149" t="inlineStr">
        <is>
          <t>SLE</t>
        </is>
      </c>
      <c r="C149" t="inlineStr">
        <is>
          <t>Chief Executive Officer</t>
        </is>
      </c>
      <c r="D149" t="inlineStr">
        <is>
          <t>Président directeur-général</t>
        </is>
      </c>
      <c r="E149" t="inlineStr">
        <is>
          <t>Rizcallah, Philip</t>
        </is>
      </c>
      <c r="F149" t="inlineStr">
        <is>
          <t>Stakeholder meetings</t>
        </is>
      </c>
      <c r="G149" t="inlineStr">
        <is>
          <t>Réunions avec parties prenantes</t>
        </is>
      </c>
      <c r="H149" s="1" t="n">
        <v>45501</v>
      </c>
      <c r="I149" s="1" t="n">
        <v>45503</v>
      </c>
      <c r="J149" t="inlineStr">
        <is>
          <t>St. John's, Newfoundland</t>
        </is>
      </c>
      <c r="K149" t="inlineStr">
        <is>
          <t>St John's, Terre-Neuve</t>
        </is>
      </c>
      <c r="P149" t="n">
        <v>989.5</v>
      </c>
      <c r="Q149" t="n">
        <v>138.54</v>
      </c>
      <c r="R149" t="n">
        <v>509.32</v>
      </c>
      <c r="S149" t="n">
        <v>275.8</v>
      </c>
      <c r="T149" t="n">
        <v>0</v>
      </c>
      <c r="U149" t="n">
        <v>1913.16</v>
      </c>
      <c r="X149" t="inlineStr">
        <is>
          <t>casdo-ocena</t>
        </is>
      </c>
      <c r="Y149" t="inlineStr">
        <is>
          <t>Accessibility Standards Canada | Normes d’accessibilité Canada</t>
        </is>
      </c>
      <c r="Z149" t="n">
        <v>3</v>
      </c>
      <c r="AA149" t="n">
        <v>1913.15999999999</v>
      </c>
      <c r="AB149">
        <f>ROUND(U149-AA149,2)</f>
        <v/>
      </c>
      <c r="AC149" t="b">
        <v>0</v>
      </c>
      <c r="AD149">
        <f>IF(U149="","MISSING_TOTAL",IF(ABS(AB149)&lt;=0.01,"OK","CHECK"))</f>
        <v/>
      </c>
      <c r="AE149">
        <f>IF(U149="","MISSING",IF(AND(AA149&gt;0,U149/AA149&gt;50),"POSSIBLE_SCALE_ERROR","OK"))</f>
        <v/>
      </c>
    </row>
    <row r="150">
      <c r="A150" t="inlineStr">
        <is>
          <t>T-2025-P5-0002</t>
        </is>
      </c>
      <c r="B150" t="inlineStr">
        <is>
          <t>SLE</t>
        </is>
      </c>
      <c r="C150" t="inlineStr">
        <is>
          <t>Chief Executive Officer</t>
        </is>
      </c>
      <c r="D150" t="inlineStr">
        <is>
          <t>Président directeur-général</t>
        </is>
      </c>
      <c r="E150" t="inlineStr">
        <is>
          <t>Rizcallah, Philip</t>
        </is>
      </c>
      <c r="F150" t="inlineStr">
        <is>
          <t>Stakeholder meetings</t>
        </is>
      </c>
      <c r="G150" t="inlineStr">
        <is>
          <t>Réunions avec parties prenantes</t>
        </is>
      </c>
      <c r="H150" s="1" t="n">
        <v>45494</v>
      </c>
      <c r="I150" s="1" t="n">
        <v>45499</v>
      </c>
      <c r="J150" t="inlineStr">
        <is>
          <t>Vancouver, BC</t>
        </is>
      </c>
      <c r="K150" t="inlineStr">
        <is>
          <t>Vancouver, CB</t>
        </is>
      </c>
      <c r="P150" t="n">
        <v>1846.8</v>
      </c>
      <c r="Q150" t="n">
        <v>286.98</v>
      </c>
      <c r="R150" t="n">
        <v>2125.19</v>
      </c>
      <c r="S150" t="n">
        <v>750.6</v>
      </c>
      <c r="T150" t="n">
        <v>0</v>
      </c>
      <c r="U150" t="n">
        <v>5009.57</v>
      </c>
      <c r="X150" t="inlineStr">
        <is>
          <t>casdo-ocena</t>
        </is>
      </c>
      <c r="Y150" t="inlineStr">
        <is>
          <t>Accessibility Standards Canada | Normes d’accessibilité Canada</t>
        </is>
      </c>
      <c r="Z150" t="n">
        <v>6</v>
      </c>
      <c r="AA150" t="n">
        <v>5009.57</v>
      </c>
      <c r="AB150">
        <f>ROUND(U150-AA150,2)</f>
        <v/>
      </c>
      <c r="AC150" t="b">
        <v>0</v>
      </c>
      <c r="AD150">
        <f>IF(U150="","MISSING_TOTAL",IF(ABS(AB150)&lt;=0.01,"OK","CHECK"))</f>
        <v/>
      </c>
      <c r="AE150">
        <f>IF(U150="","MISSING",IF(AND(AA150&gt;0,U150/AA150&gt;50),"POSSIBLE_SCALE_ERROR","OK"))</f>
        <v/>
      </c>
    </row>
    <row r="151">
      <c r="A151" t="inlineStr">
        <is>
          <t>T-2025-P5-0003</t>
        </is>
      </c>
      <c r="B151" t="inlineStr">
        <is>
          <t>SLE</t>
        </is>
      </c>
      <c r="C151" t="inlineStr">
        <is>
          <t>Chief Executive Officer</t>
        </is>
      </c>
      <c r="D151" t="inlineStr">
        <is>
          <t>Président directeur-général</t>
        </is>
      </c>
      <c r="E151" t="inlineStr">
        <is>
          <t>Rizcallah, Philip</t>
        </is>
      </c>
      <c r="F151" t="inlineStr">
        <is>
          <t>Stakeholder meetings</t>
        </is>
      </c>
      <c r="G151" t="inlineStr">
        <is>
          <t>Réunions avec parties prenantes</t>
        </is>
      </c>
      <c r="H151" s="1" t="n">
        <v>45504</v>
      </c>
      <c r="I151" s="1" t="n">
        <v>45505</v>
      </c>
      <c r="J151" t="inlineStr">
        <is>
          <t>Toronto, Ontario</t>
        </is>
      </c>
      <c r="K151" t="inlineStr">
        <is>
          <t>Toronto, Ontario</t>
        </is>
      </c>
      <c r="P151" t="n">
        <v>0</v>
      </c>
      <c r="Q151" t="n">
        <v>348.31</v>
      </c>
      <c r="R151" t="n">
        <v>337.01</v>
      </c>
      <c r="S151" t="n">
        <v>233.6</v>
      </c>
      <c r="T151" t="n">
        <v>0</v>
      </c>
      <c r="U151" t="n">
        <v>918.92</v>
      </c>
      <c r="X151" t="inlineStr">
        <is>
          <t>casdo-ocena</t>
        </is>
      </c>
      <c r="Y151" t="inlineStr">
        <is>
          <t>Accessibility Standards Canada | Normes d’accessibilité Canada</t>
        </is>
      </c>
      <c r="Z151" t="n">
        <v>2</v>
      </c>
      <c r="AA151" t="n">
        <v>918.92</v>
      </c>
      <c r="AB151">
        <f>ROUND(U151-AA151,2)</f>
        <v/>
      </c>
      <c r="AC151" t="b">
        <v>0</v>
      </c>
      <c r="AD151">
        <f>IF(U151="","MISSING_TOTAL",IF(ABS(AB151)&lt;=0.01,"OK","CHECK"))</f>
        <v/>
      </c>
      <c r="AE151">
        <f>IF(U151="","MISSING",IF(AND(AA151&gt;0,U151/AA151&gt;50),"POSSIBLE_SCALE_ERROR","OK"))</f>
        <v/>
      </c>
    </row>
    <row r="152">
      <c r="A152" t="inlineStr">
        <is>
          <t>T-2025-P5-0004</t>
        </is>
      </c>
      <c r="B152" t="inlineStr">
        <is>
          <t>SLE</t>
        </is>
      </c>
      <c r="C152" t="inlineStr">
        <is>
          <t>Board Member</t>
        </is>
      </c>
      <c r="D152" t="inlineStr">
        <is>
          <t>Membre du conseil d'administration</t>
        </is>
      </c>
      <c r="E152" t="inlineStr">
        <is>
          <t>Adair, William</t>
        </is>
      </c>
      <c r="F152" t="inlineStr">
        <is>
          <t>Board meeting</t>
        </is>
      </c>
      <c r="G152" t="inlineStr">
        <is>
          <t>Réunion du conseil d'administration</t>
        </is>
      </c>
      <c r="H152" s="1" t="n">
        <v>45460</v>
      </c>
      <c r="I152" s="1" t="n">
        <v>45463</v>
      </c>
      <c r="J152" t="inlineStr">
        <is>
          <t>Ottawa, Ontario</t>
        </is>
      </c>
      <c r="K152" t="inlineStr">
        <is>
          <t>Ottawa, Ontario</t>
        </is>
      </c>
      <c r="P152" t="n">
        <v>420.27</v>
      </c>
      <c r="Q152" t="n">
        <v>175</v>
      </c>
      <c r="R152" t="n">
        <v>1146.15</v>
      </c>
      <c r="S152" t="n">
        <v>292.8</v>
      </c>
      <c r="T152" t="n">
        <v>0</v>
      </c>
      <c r="U152" t="n">
        <v>2034.22</v>
      </c>
      <c r="X152" t="inlineStr">
        <is>
          <t>casdo-ocena</t>
        </is>
      </c>
      <c r="Y152" t="inlineStr">
        <is>
          <t>Accessibility Standards Canada | Normes d’accessibilité Canada</t>
        </is>
      </c>
      <c r="Z152" t="n">
        <v>4</v>
      </c>
      <c r="AA152" t="n">
        <v>2034.22</v>
      </c>
      <c r="AB152">
        <f>ROUND(U152-AA152,2)</f>
        <v/>
      </c>
      <c r="AC152" t="b">
        <v>0</v>
      </c>
      <c r="AD152">
        <f>IF(U152="","MISSING_TOTAL",IF(ABS(AB152)&lt;=0.01,"OK","CHECK"))</f>
        <v/>
      </c>
      <c r="AE152">
        <f>IF(U152="","MISSING",IF(AND(AA152&gt;0,U152/AA152&gt;50),"POSSIBLE_SCALE_ERROR","OK"))</f>
        <v/>
      </c>
    </row>
    <row r="153">
      <c r="A153" t="inlineStr">
        <is>
          <t>T-2025-P6-0001</t>
        </is>
      </c>
      <c r="B153" t="inlineStr">
        <is>
          <t>SLE</t>
        </is>
      </c>
      <c r="C153" t="inlineStr">
        <is>
          <t>Board Member</t>
        </is>
      </c>
      <c r="D153" t="inlineStr">
        <is>
          <t>Membre du conseil d'administration</t>
        </is>
      </c>
      <c r="E153" t="inlineStr">
        <is>
          <t>McLaughlin, Joseph</t>
        </is>
      </c>
      <c r="F153" t="inlineStr">
        <is>
          <t>Stakeholder meetings</t>
        </is>
      </c>
      <c r="G153" t="inlineStr">
        <is>
          <t>Réunions avec parties prenantes</t>
        </is>
      </c>
      <c r="H153" s="1" t="n">
        <v>45528</v>
      </c>
      <c r="I153" s="1" t="n">
        <v>45528</v>
      </c>
      <c r="J153" t="inlineStr">
        <is>
          <t>Victoria, BC</t>
        </is>
      </c>
      <c r="K153" t="inlineStr">
        <is>
          <t>Victoria, CB</t>
        </is>
      </c>
      <c r="P153" t="n">
        <v>0</v>
      </c>
      <c r="Q153" t="n">
        <v>302.54</v>
      </c>
      <c r="R153" t="n">
        <v>0</v>
      </c>
      <c r="S153" t="n">
        <v>86.75</v>
      </c>
      <c r="T153" t="n">
        <v>0</v>
      </c>
      <c r="U153" t="n">
        <v>389.29</v>
      </c>
      <c r="X153" t="inlineStr">
        <is>
          <t>casdo-ocena</t>
        </is>
      </c>
      <c r="Y153" t="inlineStr">
        <is>
          <t>Accessibility Standards Canada | Normes d’accessibilité Canada</t>
        </is>
      </c>
      <c r="Z153" t="n">
        <v>1</v>
      </c>
      <c r="AA153" t="n">
        <v>389.29</v>
      </c>
      <c r="AB153">
        <f>ROUND(U153-AA153,2)</f>
        <v/>
      </c>
      <c r="AC153" t="b">
        <v>0</v>
      </c>
      <c r="AD153">
        <f>IF(U153="","MISSING_TOTAL",IF(ABS(AB153)&lt;=0.01,"OK","CHECK"))</f>
        <v/>
      </c>
      <c r="AE153">
        <f>IF(U153="","MISSING",IF(AND(AA153&gt;0,U153/AA153&gt;50),"POSSIBLE_SCALE_ERROR","OK"))</f>
        <v/>
      </c>
    </row>
    <row r="154">
      <c r="A154" t="inlineStr">
        <is>
          <t>T-2026-P11-00030</t>
        </is>
      </c>
      <c r="B154" t="inlineStr">
        <is>
          <t>SLE</t>
        </is>
      </c>
      <c r="C154" t="inlineStr">
        <is>
          <t>Chief of the Defence Staff (CDS)</t>
        </is>
      </c>
      <c r="D154" t="inlineStr">
        <is>
          <t>Chef d'état-major de la Defense (CEMD)</t>
        </is>
      </c>
      <c r="E154" t="inlineStr">
        <is>
          <t>Jennie Carignan</t>
        </is>
      </c>
      <c r="F154" t="inlineStr">
        <is>
          <t>General Carignan, Chief of the Defence Staff (CDS) travelled to Yellowknife  NWT, Anchorage Alaska, Prestwick Scotland for Holiday troop visit with minister of national defense</t>
        </is>
      </c>
      <c r="G154" t="inlineStr">
        <is>
          <t>Le général Carignan, chef d'état-major de la Défense, s'est rendu à Yellowknife (Territoires du Nord-Ouest), à Anchorage (Alaska) et à Prestwick (Écosse) pour une visite aux troupes pendant les fêtes, en compagnie du ministre de la Défense nationale.</t>
        </is>
      </c>
      <c r="H154" s="1" t="n">
        <v>46007</v>
      </c>
      <c r="I154" s="1" t="n">
        <v>46011</v>
      </c>
      <c r="J154" t="inlineStr">
        <is>
          <t>Yellowknife, NWT</t>
        </is>
      </c>
      <c r="K154" t="inlineStr">
        <is>
          <t>Yellowknife, NWT</t>
        </is>
      </c>
      <c r="L154" t="inlineStr">
        <is>
          <t>Anchorage, Alaska</t>
        </is>
      </c>
      <c r="M154" t="inlineStr">
        <is>
          <t>Anchorage, Alaska</t>
        </is>
      </c>
      <c r="N154" t="inlineStr">
        <is>
          <t>Prestick, Scotland</t>
        </is>
      </c>
      <c r="O154" t="inlineStr">
        <is>
          <t>Prestick, Écosse</t>
        </is>
      </c>
      <c r="R154" t="n">
        <v>1137.68</v>
      </c>
      <c r="S154" t="n">
        <v>627</v>
      </c>
      <c r="T154" t="n">
        <v>0</v>
      </c>
      <c r="U154" t="n">
        <v>176468</v>
      </c>
      <c r="X154" t="inlineStr">
        <is>
          <t>dnd-mdn</t>
        </is>
      </c>
      <c r="Y154" t="inlineStr">
        <is>
          <t>National Defence | Défense nationale</t>
        </is>
      </c>
      <c r="Z154" t="n">
        <v>5</v>
      </c>
      <c r="AA154" t="n">
        <v>1764.68</v>
      </c>
      <c r="AB154">
        <f>ROUND(U154-AA154,2)</f>
        <v/>
      </c>
      <c r="AC154" t="b">
        <v>0</v>
      </c>
      <c r="AD154">
        <f>IF(U154="","MISSING_TOTAL",IF(ABS(AB154)&lt;=0.01,"OK","CHECK"))</f>
        <v/>
      </c>
      <c r="AE154">
        <f>IF(U154="","MISSING",IF(AND(AA154&gt;0,U154/AA154&gt;50),"POSSIBLE_SCALE_ERROR","OK"))</f>
        <v/>
      </c>
    </row>
    <row r="155">
      <c r="A155" t="inlineStr">
        <is>
          <t>T-2025-P9-0002</t>
        </is>
      </c>
      <c r="B155" t="inlineStr">
        <is>
          <t>SLE</t>
        </is>
      </c>
      <c r="C155" t="inlineStr">
        <is>
          <t>Chair</t>
        </is>
      </c>
      <c r="D155" t="inlineStr">
        <is>
          <t>Président</t>
        </is>
      </c>
      <c r="E155" t="inlineStr">
        <is>
          <t>Walsh, James</t>
        </is>
      </c>
      <c r="F155" t="inlineStr">
        <is>
          <t>Symposium on Accessibility in International Civil Aviation</t>
        </is>
      </c>
      <c r="G155" t="inlineStr">
        <is>
          <t>Symposium sur l'accessibilité dans l'aviation civile internationale</t>
        </is>
      </c>
      <c r="H155" s="1" t="n">
        <v>45627</v>
      </c>
      <c r="I155" s="1" t="n">
        <v>45631</v>
      </c>
      <c r="J155" t="inlineStr">
        <is>
          <t>Montreal, Quebec, Canada</t>
        </is>
      </c>
      <c r="K155" t="inlineStr">
        <is>
          <t>Montréal, Québec, Canada</t>
        </is>
      </c>
      <c r="P155" t="n">
        <v>1835.13</v>
      </c>
      <c r="Q155" t="n">
        <v>151.88</v>
      </c>
      <c r="R155" t="n">
        <v>638.35</v>
      </c>
      <c r="S155" t="n">
        <v>423.8</v>
      </c>
      <c r="T155" t="n">
        <v>12.43</v>
      </c>
      <c r="U155" t="n">
        <v>3061.59</v>
      </c>
      <c r="X155" t="inlineStr">
        <is>
          <t>casdo-ocena</t>
        </is>
      </c>
      <c r="Y155" t="inlineStr">
        <is>
          <t>Accessibility Standards Canada | Normes d’accessibilité Canada</t>
        </is>
      </c>
      <c r="Z155" t="n">
        <v>5</v>
      </c>
      <c r="AA155" t="n">
        <v>3061.59</v>
      </c>
      <c r="AB155">
        <f>ROUND(U155-AA155,2)</f>
        <v/>
      </c>
      <c r="AC155" t="b">
        <v>0</v>
      </c>
      <c r="AD155">
        <f>IF(U155="","MISSING_TOTAL",IF(ABS(AB155)&lt;=0.01,"OK","CHECK"))</f>
        <v/>
      </c>
      <c r="AE155">
        <f>IF(U155="","MISSING",IF(AND(AA155&gt;0,U155/AA155&gt;50),"POSSIBLE_SCALE_ERROR","OK"))</f>
        <v/>
      </c>
    </row>
    <row r="156">
      <c r="A156" t="inlineStr">
        <is>
          <t>T-2025-P11-0001</t>
        </is>
      </c>
      <c r="B156" t="inlineStr">
        <is>
          <t>SLE</t>
        </is>
      </c>
      <c r="C156" t="inlineStr">
        <is>
          <t>Chief Executive Officer</t>
        </is>
      </c>
      <c r="D156" t="inlineStr">
        <is>
          <t>Président directeur-général</t>
        </is>
      </c>
      <c r="E156" t="inlineStr">
        <is>
          <t>Zuppa, Dino</t>
        </is>
      </c>
      <c r="F156" t="inlineStr">
        <is>
          <t>Meeting with DAWN</t>
        </is>
      </c>
      <c r="G156" t="inlineStr">
        <is>
          <t>Réunion avec DAWN</t>
        </is>
      </c>
      <c r="H156" s="1" t="n">
        <v>45678</v>
      </c>
      <c r="I156" s="1" t="n">
        <v>45680</v>
      </c>
      <c r="J156" t="inlineStr">
        <is>
          <t>Montreal, Quebec, Canada</t>
        </is>
      </c>
      <c r="K156" t="inlineStr">
        <is>
          <t>Montréal, Québec, Canada</t>
        </is>
      </c>
      <c r="P156" t="n">
        <v>131.59</v>
      </c>
      <c r="Q156" t="n">
        <v>43.12</v>
      </c>
      <c r="R156" t="n">
        <v>566.55</v>
      </c>
      <c r="S156" t="n">
        <v>387.3</v>
      </c>
      <c r="T156" t="n">
        <v>36.5</v>
      </c>
      <c r="U156" t="n">
        <v>1165.06</v>
      </c>
      <c r="X156" t="inlineStr">
        <is>
          <t>casdo-ocena</t>
        </is>
      </c>
      <c r="Y156" t="inlineStr">
        <is>
          <t>Accessibility Standards Canada | Normes d’accessibilité Canada</t>
        </is>
      </c>
      <c r="Z156" t="n">
        <v>3</v>
      </c>
      <c r="AA156" t="n">
        <v>1165.06</v>
      </c>
      <c r="AB156">
        <f>ROUND(U156-AA156,2)</f>
        <v/>
      </c>
      <c r="AC156" t="b">
        <v>0</v>
      </c>
      <c r="AD156">
        <f>IF(U156="","MISSING_TOTAL",IF(ABS(AB156)&lt;=0.01,"OK","CHECK"))</f>
        <v/>
      </c>
      <c r="AE156">
        <f>IF(U156="","MISSING",IF(AND(AA156&gt;0,U156/AA156&gt;50),"POSSIBLE_SCALE_ERROR","OK"))</f>
        <v/>
      </c>
    </row>
    <row r="157">
      <c r="A157" t="inlineStr">
        <is>
          <t>T-2025-P11-0002</t>
        </is>
      </c>
      <c r="B157" t="inlineStr">
        <is>
          <t>SLE</t>
        </is>
      </c>
      <c r="C157" t="inlineStr">
        <is>
          <t>Board Member</t>
        </is>
      </c>
      <c r="D157" t="inlineStr">
        <is>
          <t>Membre du conseil d'administration</t>
        </is>
      </c>
      <c r="E157" t="inlineStr">
        <is>
          <t>Sutton, Christopher</t>
        </is>
      </c>
      <c r="F157" t="inlineStr">
        <is>
          <t>Harkin Institute Conference</t>
        </is>
      </c>
      <c r="G157" t="inlineStr">
        <is>
          <t>Conférence de l'institut Harkin</t>
        </is>
      </c>
      <c r="H157" s="1" t="n">
        <v>45643</v>
      </c>
      <c r="I157" s="1" t="n">
        <v>45650</v>
      </c>
      <c r="J157" t="inlineStr">
        <is>
          <t>Washington DC, USA</t>
        </is>
      </c>
      <c r="K157" t="inlineStr">
        <is>
          <t>Washington DC, USA</t>
        </is>
      </c>
      <c r="P157" t="n">
        <v>0</v>
      </c>
      <c r="Q157" t="n">
        <v>290.96</v>
      </c>
      <c r="R157" t="n">
        <v>0</v>
      </c>
      <c r="S157" t="n">
        <v>767.5</v>
      </c>
      <c r="T157" t="n">
        <v>12.43</v>
      </c>
      <c r="U157" t="n">
        <v>1070.89</v>
      </c>
      <c r="X157" t="inlineStr">
        <is>
          <t>casdo-ocena</t>
        </is>
      </c>
      <c r="Y157" t="inlineStr">
        <is>
          <t>Accessibility Standards Canada | Normes d’accessibilité Canada</t>
        </is>
      </c>
      <c r="Z157" t="n">
        <v>8</v>
      </c>
      <c r="AA157" t="n">
        <v>1070.89</v>
      </c>
      <c r="AB157">
        <f>ROUND(U157-AA157,2)</f>
        <v/>
      </c>
      <c r="AC157" t="b">
        <v>0</v>
      </c>
      <c r="AD157">
        <f>IF(U157="","MISSING_TOTAL",IF(ABS(AB157)&lt;=0.01,"OK","CHECK"))</f>
        <v/>
      </c>
      <c r="AE157">
        <f>IF(U157="","MISSING",IF(AND(AA157&gt;0,U157/AA157&gt;50),"POSSIBLE_SCALE_ERROR","OK"))</f>
        <v/>
      </c>
    </row>
    <row r="158">
      <c r="A158" t="inlineStr">
        <is>
          <t>T-2025-P12-0001</t>
        </is>
      </c>
      <c r="B158" t="inlineStr">
        <is>
          <t>SLE</t>
        </is>
      </c>
      <c r="C158" t="inlineStr">
        <is>
          <t>Chief Executive Officer</t>
        </is>
      </c>
      <c r="D158" t="inlineStr">
        <is>
          <t>Président directeur-général</t>
        </is>
      </c>
      <c r="E158" t="inlineStr">
        <is>
          <t>Zuppa, Dino</t>
        </is>
      </c>
      <c r="F158" t="inlineStr">
        <is>
          <t>Training</t>
        </is>
      </c>
      <c r="G158" t="inlineStr">
        <is>
          <t>Formation</t>
        </is>
      </c>
      <c r="H158" s="1" t="n">
        <v>45699</v>
      </c>
      <c r="I158" s="1" t="n">
        <v>45702</v>
      </c>
      <c r="J158" t="inlineStr">
        <is>
          <t>Toronto, Ontario</t>
        </is>
      </c>
      <c r="K158" t="inlineStr">
        <is>
          <t>Toronto, Ontario</t>
        </is>
      </c>
      <c r="P158" t="n">
        <v>752.3200000000001</v>
      </c>
      <c r="Q158" t="n">
        <v>74</v>
      </c>
      <c r="R158" t="n">
        <v>786.96</v>
      </c>
      <c r="S158" t="n">
        <v>431.6</v>
      </c>
      <c r="U158" t="n">
        <v>2044.88</v>
      </c>
      <c r="X158" t="inlineStr">
        <is>
          <t>casdo-ocena</t>
        </is>
      </c>
      <c r="Y158" t="inlineStr">
        <is>
          <t>Accessibility Standards Canada | Normes d’accessibilité Canada</t>
        </is>
      </c>
      <c r="Z158" t="n">
        <v>4</v>
      </c>
      <c r="AA158" t="n">
        <v>2044.88</v>
      </c>
      <c r="AB158">
        <f>ROUND(U158-AA158,2)</f>
        <v/>
      </c>
      <c r="AC158" t="b">
        <v>0</v>
      </c>
      <c r="AD158">
        <f>IF(U158="","MISSING_TOTAL",IF(ABS(AB158)&lt;=0.01,"OK","CHECK"))</f>
        <v/>
      </c>
      <c r="AE158">
        <f>IF(U158="","MISSING",IF(AND(AA158&gt;0,U158/AA158&gt;50),"POSSIBLE_SCALE_ERROR","OK"))</f>
        <v/>
      </c>
    </row>
    <row r="159">
      <c r="A159" t="inlineStr">
        <is>
          <t>T-2026-P1-0001</t>
        </is>
      </c>
      <c r="B159" t="inlineStr">
        <is>
          <t>SLE</t>
        </is>
      </c>
      <c r="C159" t="inlineStr">
        <is>
          <t>Chief Executive Officer</t>
        </is>
      </c>
      <c r="D159" t="inlineStr">
        <is>
          <t>Président directeur-général</t>
        </is>
      </c>
      <c r="E159" t="inlineStr">
        <is>
          <t>Zuppa, Dino</t>
        </is>
      </c>
      <c r="F159" t="inlineStr">
        <is>
          <t>International Accessibility Conference</t>
        </is>
      </c>
      <c r="G159" t="inlineStr">
        <is>
          <t>Conférence internationale sur l'accessibilité</t>
        </is>
      </c>
      <c r="H159" s="1" t="n">
        <v>45786</v>
      </c>
      <c r="I159" s="1" t="n">
        <v>45795</v>
      </c>
      <c r="J159" t="inlineStr">
        <is>
          <t>Nice, France</t>
        </is>
      </c>
      <c r="K159" t="inlineStr">
        <is>
          <t>Nice, France</t>
        </is>
      </c>
      <c r="L159" t="inlineStr">
        <is>
          <t>Brussels, Belgium</t>
        </is>
      </c>
      <c r="M159" t="inlineStr">
        <is>
          <t>Bruxelles, Belgique</t>
        </is>
      </c>
      <c r="P159" t="n">
        <v>2907.37</v>
      </c>
      <c r="Q159" t="n">
        <v>173.18</v>
      </c>
      <c r="R159" t="n">
        <v>1926.16</v>
      </c>
      <c r="S159" t="n">
        <v>2321.95</v>
      </c>
      <c r="T159" t="n">
        <v>242.22</v>
      </c>
      <c r="U159" t="n">
        <v>7570.88</v>
      </c>
      <c r="X159" t="inlineStr">
        <is>
          <t>casdo-ocena</t>
        </is>
      </c>
      <c r="Y159" t="inlineStr">
        <is>
          <t>Accessibility Standards Canada | Normes d’accessibilité Canada</t>
        </is>
      </c>
      <c r="Z159" t="n">
        <v>10</v>
      </c>
      <c r="AA159" t="n">
        <v>7570.88</v>
      </c>
      <c r="AB159">
        <f>ROUND(U159-AA159,2)</f>
        <v/>
      </c>
      <c r="AC159" t="b">
        <v>0</v>
      </c>
      <c r="AD159">
        <f>IF(U159="","MISSING_TOTAL",IF(ABS(AB159)&lt;=0.01,"OK","CHECK"))</f>
        <v/>
      </c>
      <c r="AE159">
        <f>IF(U159="","MISSING",IF(AND(AA159&gt;0,U159/AA159&gt;50),"POSSIBLE_SCALE_ERROR","OK"))</f>
        <v/>
      </c>
    </row>
    <row r="160">
      <c r="A160" t="inlineStr">
        <is>
          <t>T-2026-P7-0001</t>
        </is>
      </c>
      <c r="B160" t="inlineStr">
        <is>
          <t>SLE</t>
        </is>
      </c>
      <c r="C160" t="inlineStr">
        <is>
          <t>Chief Executive Officer</t>
        </is>
      </c>
      <c r="D160" t="inlineStr">
        <is>
          <t>Président-directeur général</t>
        </is>
      </c>
      <c r="E160" t="inlineStr">
        <is>
          <t>Zuppa, Dino</t>
        </is>
      </c>
      <c r="F160" t="inlineStr">
        <is>
          <t>Meetings with concerned parties</t>
        </is>
      </c>
      <c r="G160" t="inlineStr">
        <is>
          <t>Réunions avec parties prenantes</t>
        </is>
      </c>
      <c r="H160" s="1" t="n">
        <v>45915</v>
      </c>
      <c r="I160" s="1" t="n">
        <v>45918</v>
      </c>
      <c r="J160" t="inlineStr">
        <is>
          <t>Toronto, Ontario</t>
        </is>
      </c>
      <c r="K160" t="inlineStr">
        <is>
          <t>Toronto, Ontario</t>
        </is>
      </c>
      <c r="P160" t="n">
        <v>415.03</v>
      </c>
      <c r="Q160" t="n">
        <v>57.83</v>
      </c>
      <c r="R160" t="n">
        <v>1173.33</v>
      </c>
      <c r="S160" t="n">
        <v>523.2</v>
      </c>
      <c r="T160" t="n">
        <v>0</v>
      </c>
      <c r="U160" t="n">
        <v>2169.39</v>
      </c>
      <c r="X160" t="inlineStr">
        <is>
          <t>casdo-ocena</t>
        </is>
      </c>
      <c r="Y160" t="inlineStr">
        <is>
          <t>Accessibility Standards Canada | Normes d’accessibilité Canada</t>
        </is>
      </c>
      <c r="Z160" t="n">
        <v>4</v>
      </c>
      <c r="AA160" t="n">
        <v>2169.39</v>
      </c>
      <c r="AB160">
        <f>ROUND(U160-AA160,2)</f>
        <v/>
      </c>
      <c r="AC160" t="b">
        <v>0</v>
      </c>
      <c r="AD160">
        <f>IF(U160="","MISSING_TOTAL",IF(ABS(AB160)&lt;=0.01,"OK","CHECK"))</f>
        <v/>
      </c>
      <c r="AE160">
        <f>IF(U160="","MISSING",IF(AND(AA160&gt;0,U160/AA160&gt;50),"POSSIBLE_SCALE_ERROR","OK"))</f>
        <v/>
      </c>
    </row>
    <row r="161">
      <c r="A161" t="inlineStr">
        <is>
          <t>T-2026-P7-0002</t>
        </is>
      </c>
      <c r="B161" t="inlineStr">
        <is>
          <t>SLE</t>
        </is>
      </c>
      <c r="C161" t="inlineStr">
        <is>
          <t>Chief Executive Officer</t>
        </is>
      </c>
      <c r="D161" t="inlineStr">
        <is>
          <t>Président-directeur général</t>
        </is>
      </c>
      <c r="E161" t="inlineStr">
        <is>
          <t>Zuppa, Dino</t>
        </is>
      </c>
      <c r="F161" t="inlineStr">
        <is>
          <t>Meetings with concerned parties</t>
        </is>
      </c>
      <c r="G161" t="inlineStr">
        <is>
          <t>Réunions avec parties prenantes</t>
        </is>
      </c>
      <c r="H161" s="1" t="n">
        <v>45923</v>
      </c>
      <c r="I161" s="1" t="n">
        <v>45924</v>
      </c>
      <c r="J161" t="inlineStr">
        <is>
          <t>Toronto, Ontario</t>
        </is>
      </c>
      <c r="K161" t="inlineStr">
        <is>
          <t>Toronto, Ontario</t>
        </is>
      </c>
      <c r="P161" t="n">
        <v>336.28</v>
      </c>
      <c r="Q161" t="n">
        <v>105.2</v>
      </c>
      <c r="R161" t="n">
        <v>633.54</v>
      </c>
      <c r="S161" t="n">
        <v>205.8</v>
      </c>
      <c r="T161" t="n">
        <v>0</v>
      </c>
      <c r="U161" t="n">
        <v>1280.82</v>
      </c>
      <c r="X161" t="inlineStr">
        <is>
          <t>casdo-ocena</t>
        </is>
      </c>
      <c r="Y161" t="inlineStr">
        <is>
          <t>Accessibility Standards Canada | Normes d’accessibilité Canada</t>
        </is>
      </c>
      <c r="Z161" t="n">
        <v>2</v>
      </c>
      <c r="AA161" t="n">
        <v>1280.82</v>
      </c>
      <c r="AB161">
        <f>ROUND(U161-AA161,2)</f>
        <v/>
      </c>
      <c r="AC161" t="b">
        <v>0</v>
      </c>
      <c r="AD161">
        <f>IF(U161="","MISSING_TOTAL",IF(ABS(AB161)&lt;=0.01,"OK","CHECK"))</f>
        <v/>
      </c>
      <c r="AE161">
        <f>IF(U161="","MISSING",IF(AND(AA161&gt;0,U161/AA161&gt;50),"POSSIBLE_SCALE_ERROR","OK"))</f>
        <v/>
      </c>
    </row>
    <row r="162">
      <c r="A162" t="inlineStr">
        <is>
          <t>T-2026-P7-0003</t>
        </is>
      </c>
      <c r="B162" t="inlineStr">
        <is>
          <t>SLE</t>
        </is>
      </c>
      <c r="C162" t="inlineStr">
        <is>
          <t>Chief Executive Officer</t>
        </is>
      </c>
      <c r="D162" t="inlineStr">
        <is>
          <t>Président-directeur général</t>
        </is>
      </c>
      <c r="E162" t="inlineStr">
        <is>
          <t>Zuppa, Dino</t>
        </is>
      </c>
      <c r="F162" t="inlineStr">
        <is>
          <t>Meetings with concerned parties</t>
        </is>
      </c>
      <c r="G162" t="inlineStr">
        <is>
          <t>Réunions avec parties prenantes</t>
        </is>
      </c>
      <c r="H162" s="1" t="n">
        <v>45926</v>
      </c>
      <c r="I162" s="1" t="n">
        <v>45927</v>
      </c>
      <c r="J162" t="inlineStr">
        <is>
          <t>Montreal, Quebec, Canada</t>
        </is>
      </c>
      <c r="K162" t="inlineStr">
        <is>
          <t>Montréal, Québec, Canada</t>
        </is>
      </c>
      <c r="P162" t="n">
        <v>0</v>
      </c>
      <c r="Q162" t="n">
        <v>281.27</v>
      </c>
      <c r="R162" t="n">
        <v>260.51</v>
      </c>
      <c r="S162" t="n">
        <v>233.2</v>
      </c>
      <c r="T162" t="n">
        <v>28.2</v>
      </c>
      <c r="U162" t="n">
        <v>803.1799999999999</v>
      </c>
      <c r="X162" t="inlineStr">
        <is>
          <t>casdo-ocena</t>
        </is>
      </c>
      <c r="Y162" t="inlineStr">
        <is>
          <t>Accessibility Standards Canada | Normes d’accessibilité Canada</t>
        </is>
      </c>
      <c r="Z162" t="n">
        <v>2</v>
      </c>
      <c r="AA162" t="n">
        <v>803.1799999999999</v>
      </c>
      <c r="AB162">
        <f>ROUND(U162-AA162,2)</f>
        <v/>
      </c>
      <c r="AC162" t="b">
        <v>0</v>
      </c>
      <c r="AD162">
        <f>IF(U162="","MISSING_TOTAL",IF(ABS(AB162)&lt;=0.01,"OK","CHECK"))</f>
        <v/>
      </c>
      <c r="AE162">
        <f>IF(U162="","MISSING",IF(AND(AA162&gt;0,U162/AA162&gt;50),"POSSIBLE_SCALE_ERROR","OK"))</f>
        <v/>
      </c>
    </row>
    <row r="163">
      <c r="A163" t="inlineStr">
        <is>
          <t>T-2026-P7-0004</t>
        </is>
      </c>
      <c r="B163" t="inlineStr">
        <is>
          <t>SLE</t>
        </is>
      </c>
      <c r="C163" t="inlineStr">
        <is>
          <t>Chief Executive Officer</t>
        </is>
      </c>
      <c r="D163" t="inlineStr">
        <is>
          <t>Président-directeur général</t>
        </is>
      </c>
      <c r="E163" t="inlineStr">
        <is>
          <t>Zuppa, Dino</t>
        </is>
      </c>
      <c r="F163" t="inlineStr">
        <is>
          <t>Meetings with concerned parties</t>
        </is>
      </c>
      <c r="G163" t="inlineStr">
        <is>
          <t>Réunions avec parties prenantes</t>
        </is>
      </c>
      <c r="H163" s="1" t="n">
        <v>45940</v>
      </c>
      <c r="I163" s="1" t="n">
        <v>45948</v>
      </c>
      <c r="J163" t="inlineStr">
        <is>
          <t>Halifax, Nova Scotia</t>
        </is>
      </c>
      <c r="K163" t="inlineStr">
        <is>
          <t>Halifax, Nouvelle-Ecosse</t>
        </is>
      </c>
      <c r="P163" t="n">
        <v>676.1900000000001</v>
      </c>
      <c r="Q163" t="n">
        <v>572.66</v>
      </c>
      <c r="R163" t="n">
        <v>1682.3</v>
      </c>
      <c r="S163" t="n">
        <v>759.45</v>
      </c>
      <c r="T163" t="n">
        <v>0</v>
      </c>
      <c r="U163" t="n">
        <v>3690.6</v>
      </c>
      <c r="X163" t="inlineStr">
        <is>
          <t>casdo-ocena</t>
        </is>
      </c>
      <c r="Y163" t="inlineStr">
        <is>
          <t>Accessibility Standards Canada | Normes d’accessibilité Canada</t>
        </is>
      </c>
      <c r="Z163" t="n">
        <v>9</v>
      </c>
      <c r="AA163" t="n">
        <v>3690.59999999999</v>
      </c>
      <c r="AB163">
        <f>ROUND(U163-AA163,2)</f>
        <v/>
      </c>
      <c r="AC163" t="b">
        <v>0</v>
      </c>
      <c r="AD163">
        <f>IF(U163="","MISSING_TOTAL",IF(ABS(AB163)&lt;=0.01,"OK","CHECK"))</f>
        <v/>
      </c>
      <c r="AE163">
        <f>IF(U163="","MISSING",IF(AND(AA163&gt;0,U163/AA163&gt;50),"POSSIBLE_SCALE_ERROR","OK"))</f>
        <v/>
      </c>
    </row>
    <row r="164">
      <c r="A164" t="inlineStr">
        <is>
          <t>T-2026-P8-0001</t>
        </is>
      </c>
      <c r="B164" t="inlineStr">
        <is>
          <t>SLE</t>
        </is>
      </c>
      <c r="C164" t="inlineStr">
        <is>
          <t>Board member</t>
        </is>
      </c>
      <c r="D164" t="inlineStr">
        <is>
          <t>Membre du conseil d'administration</t>
        </is>
      </c>
      <c r="E164" t="inlineStr">
        <is>
          <t>Seysan, Yazdani</t>
        </is>
      </c>
      <c r="F164" t="inlineStr">
        <is>
          <t>9th anniversary of Canada VRS</t>
        </is>
      </c>
      <c r="G164" t="inlineStr">
        <is>
          <t>Célébration du 9e anniversaire de SRV Canada.</t>
        </is>
      </c>
      <c r="H164" s="1" t="n">
        <v>45927</v>
      </c>
      <c r="I164" s="1" t="n">
        <v>45927</v>
      </c>
      <c r="J164" t="inlineStr">
        <is>
          <t>Montreal, Quebec, Canada</t>
        </is>
      </c>
      <c r="K164" t="inlineStr">
        <is>
          <t>Montréal, Québec, Canada</t>
        </is>
      </c>
      <c r="P164" t="n">
        <v>0</v>
      </c>
      <c r="Q164" t="n">
        <v>28</v>
      </c>
      <c r="R164" t="n">
        <v>0</v>
      </c>
      <c r="S164" t="n">
        <v>0</v>
      </c>
      <c r="T164" t="n">
        <v>0</v>
      </c>
      <c r="U164" t="n">
        <v>28</v>
      </c>
      <c r="X164" t="inlineStr">
        <is>
          <t>casdo-ocena</t>
        </is>
      </c>
      <c r="Y164" t="inlineStr">
        <is>
          <t>Accessibility Standards Canada | Normes d’accessibilité Canada</t>
        </is>
      </c>
      <c r="Z164" t="n">
        <v>1</v>
      </c>
      <c r="AA164" t="n">
        <v>28</v>
      </c>
      <c r="AB164">
        <f>ROUND(U164-AA164,2)</f>
        <v/>
      </c>
      <c r="AC164" t="b">
        <v>0</v>
      </c>
      <c r="AD164">
        <f>IF(U164="","MISSING_TOTAL",IF(ABS(AB164)&lt;=0.01,"OK","CHECK"))</f>
        <v/>
      </c>
      <c r="AE164">
        <f>IF(U164="","MISSING",IF(AND(AA164&gt;0,U164/AA164&gt;50),"POSSIBLE_SCALE_ERROR","OK"))</f>
        <v/>
      </c>
    </row>
    <row r="165">
      <c r="A165" t="inlineStr">
        <is>
          <t>T-2026-P8-0002</t>
        </is>
      </c>
      <c r="B165" t="inlineStr">
        <is>
          <t>SLE</t>
        </is>
      </c>
      <c r="C165" t="inlineStr">
        <is>
          <t>Board Member</t>
        </is>
      </c>
      <c r="D165" t="inlineStr">
        <is>
          <t>Membre du conseil d'administration</t>
        </is>
      </c>
      <c r="E165" t="inlineStr">
        <is>
          <t>Seysan, Yazdani</t>
        </is>
      </c>
      <c r="F165" t="inlineStr">
        <is>
          <t>COPHAN Event</t>
        </is>
      </c>
      <c r="G165" t="inlineStr">
        <is>
          <t>COPHAN évènement</t>
        </is>
      </c>
      <c r="H165" s="1" t="n">
        <v>45933</v>
      </c>
      <c r="I165" s="1" t="n">
        <v>45935</v>
      </c>
      <c r="J165" t="inlineStr">
        <is>
          <t>Quebec City, Quebec, Canada</t>
        </is>
      </c>
      <c r="K165" t="inlineStr">
        <is>
          <t>Québec, Québec, Canada</t>
        </is>
      </c>
      <c r="P165" t="n">
        <v>408.83</v>
      </c>
      <c r="Q165" t="n">
        <v>156.9</v>
      </c>
      <c r="R165" t="n">
        <v>307.04</v>
      </c>
      <c r="S165" t="n">
        <v>142.25</v>
      </c>
      <c r="T165" t="n">
        <v>0</v>
      </c>
      <c r="U165" t="n">
        <v>1015.02</v>
      </c>
      <c r="X165" t="inlineStr">
        <is>
          <t>casdo-ocena</t>
        </is>
      </c>
      <c r="Y165" t="inlineStr">
        <is>
          <t>Accessibility Standards Canada | Normes d’accessibilité Canada</t>
        </is>
      </c>
      <c r="Z165" t="n">
        <v>3</v>
      </c>
      <c r="AA165" t="n">
        <v>1015.02</v>
      </c>
      <c r="AB165">
        <f>ROUND(U165-AA165,2)</f>
        <v/>
      </c>
      <c r="AC165" t="b">
        <v>0</v>
      </c>
      <c r="AD165">
        <f>IF(U165="","MISSING_TOTAL",IF(ABS(AB165)&lt;=0.01,"OK","CHECK"))</f>
        <v/>
      </c>
      <c r="AE165">
        <f>IF(U165="","MISSING",IF(AND(AA165&gt;0,U165/AA165&gt;50),"POSSIBLE_SCALE_ERROR","OK"))</f>
        <v/>
      </c>
    </row>
    <row r="166">
      <c r="A166" t="inlineStr">
        <is>
          <t>T-2026-P9-0001</t>
        </is>
      </c>
      <c r="B166" t="inlineStr">
        <is>
          <t>SLE</t>
        </is>
      </c>
      <c r="C166" t="inlineStr">
        <is>
          <t>Board Member</t>
        </is>
      </c>
      <c r="D166" t="inlineStr">
        <is>
          <t>Membre du conseil d'administration</t>
        </is>
      </c>
      <c r="E166" t="inlineStr">
        <is>
          <t>McLaughlin, Joe</t>
        </is>
      </c>
      <c r="F166" t="inlineStr">
        <is>
          <t>Board meeting</t>
        </is>
      </c>
      <c r="G166" t="inlineStr">
        <is>
          <t>Réunion du conseil d'administration</t>
        </is>
      </c>
      <c r="H166" s="1" t="n">
        <v>45984</v>
      </c>
      <c r="I166" s="1" t="n">
        <v>45990</v>
      </c>
      <c r="J166" t="inlineStr">
        <is>
          <t>Ottawa, Ontario</t>
        </is>
      </c>
      <c r="K166" t="inlineStr">
        <is>
          <t>Ottawa, Ontario</t>
        </is>
      </c>
      <c r="P166" t="n">
        <v>478.83</v>
      </c>
      <c r="Q166" t="n">
        <v>263.12</v>
      </c>
      <c r="R166" t="n">
        <v>2242.5</v>
      </c>
      <c r="S166" t="n">
        <v>838.5</v>
      </c>
      <c r="T166" t="n">
        <v>0</v>
      </c>
      <c r="U166" t="n">
        <v>3822.95</v>
      </c>
      <c r="X166" t="inlineStr">
        <is>
          <t>casdo-ocena</t>
        </is>
      </c>
      <c r="Y166" t="inlineStr">
        <is>
          <t>Accessibility Standards Canada | Normes d’accessibilité Canada</t>
        </is>
      </c>
      <c r="Z166" t="n">
        <v>7</v>
      </c>
      <c r="AA166" t="n">
        <v>3822.95</v>
      </c>
      <c r="AB166">
        <f>ROUND(U166-AA166,2)</f>
        <v/>
      </c>
      <c r="AC166" t="b">
        <v>0</v>
      </c>
      <c r="AD166">
        <f>IF(U166="","MISSING_TOTAL",IF(ABS(AB166)&lt;=0.01,"OK","CHECK"))</f>
        <v/>
      </c>
      <c r="AE166">
        <f>IF(U166="","MISSING",IF(AND(AA166&gt;0,U166/AA166&gt;50),"POSSIBLE_SCALE_ERROR","OK"))</f>
        <v/>
      </c>
    </row>
    <row r="167">
      <c r="A167" t="inlineStr">
        <is>
          <t>T-2026-P9-0002</t>
        </is>
      </c>
      <c r="B167" t="inlineStr">
        <is>
          <t>SLE</t>
        </is>
      </c>
      <c r="C167" t="inlineStr">
        <is>
          <t>Board Member</t>
        </is>
      </c>
      <c r="D167" t="inlineStr">
        <is>
          <t>Membre du conseil d'administration</t>
        </is>
      </c>
      <c r="E167" t="inlineStr">
        <is>
          <t>Haan, Maureen</t>
        </is>
      </c>
      <c r="F167" t="inlineStr">
        <is>
          <t>Board meeting</t>
        </is>
      </c>
      <c r="G167" t="inlineStr">
        <is>
          <t>Réunion du conseil d'administration</t>
        </is>
      </c>
      <c r="H167" s="1" t="n">
        <v>45984</v>
      </c>
      <c r="I167" s="1" t="n">
        <v>45989</v>
      </c>
      <c r="J167" t="inlineStr">
        <is>
          <t>Ottawa, Ontario</t>
        </is>
      </c>
      <c r="K167" t="inlineStr">
        <is>
          <t>Ottawa, Ontario</t>
        </is>
      </c>
      <c r="P167" t="n">
        <v>604.96</v>
      </c>
      <c r="Q167" t="n">
        <v>251.62</v>
      </c>
      <c r="R167" t="n">
        <v>2242.5</v>
      </c>
      <c r="S167" t="n">
        <v>672.75</v>
      </c>
      <c r="T167" t="n">
        <v>0</v>
      </c>
      <c r="U167" t="n">
        <v>3771.83</v>
      </c>
      <c r="X167" t="inlineStr">
        <is>
          <t>casdo-ocena</t>
        </is>
      </c>
      <c r="Y167" t="inlineStr">
        <is>
          <t>Accessibility Standards Canada | Normes d’accessibilité Canada</t>
        </is>
      </c>
      <c r="Z167" t="n">
        <v>6</v>
      </c>
      <c r="AA167" t="n">
        <v>3771.83</v>
      </c>
      <c r="AB167">
        <f>ROUND(U167-AA167,2)</f>
        <v/>
      </c>
      <c r="AC167" t="b">
        <v>0</v>
      </c>
      <c r="AD167">
        <f>IF(U167="","MISSING_TOTAL",IF(ABS(AB167)&lt;=0.01,"OK","CHECK"))</f>
        <v/>
      </c>
      <c r="AE167">
        <f>IF(U167="","MISSING",IF(AND(AA167&gt;0,U167/AA167&gt;50),"POSSIBLE_SCALE_ERROR","OK"))</f>
        <v/>
      </c>
    </row>
    <row r="168">
      <c r="A168" t="inlineStr">
        <is>
          <t>T-2026-P9-0003</t>
        </is>
      </c>
      <c r="B168" t="inlineStr">
        <is>
          <t>SLE</t>
        </is>
      </c>
      <c r="C168" t="inlineStr">
        <is>
          <t>Board Member</t>
        </is>
      </c>
      <c r="D168" t="inlineStr">
        <is>
          <t>Membre du conseil d'administration</t>
        </is>
      </c>
      <c r="E168" t="inlineStr">
        <is>
          <t>Adair, Bill</t>
        </is>
      </c>
      <c r="F168" t="inlineStr">
        <is>
          <t>Board meeting</t>
        </is>
      </c>
      <c r="G168" t="inlineStr">
        <is>
          <t>Réunion du conseil d'administration</t>
        </is>
      </c>
      <c r="H168" s="1" t="n">
        <v>45984</v>
      </c>
      <c r="I168" s="1" t="n">
        <v>45990</v>
      </c>
      <c r="J168" t="inlineStr">
        <is>
          <t>Ottawa, Ontario</t>
        </is>
      </c>
      <c r="K168" t="inlineStr">
        <is>
          <t>Ottawa, Ontario</t>
        </is>
      </c>
      <c r="P168" t="n">
        <v>225.2</v>
      </c>
      <c r="Q168" t="n">
        <v>158.31</v>
      </c>
      <c r="R168" t="n">
        <v>2242.5</v>
      </c>
      <c r="S168" t="n">
        <v>809.45</v>
      </c>
      <c r="T168" t="n">
        <v>0</v>
      </c>
      <c r="U168" t="n">
        <v>3435.46</v>
      </c>
      <c r="X168" t="inlineStr">
        <is>
          <t>casdo-ocena</t>
        </is>
      </c>
      <c r="Y168" t="inlineStr">
        <is>
          <t>Accessibility Standards Canada | Normes d’accessibilité Canada</t>
        </is>
      </c>
      <c r="Z168" t="n">
        <v>7</v>
      </c>
      <c r="AA168" t="n">
        <v>3435.46</v>
      </c>
      <c r="AB168">
        <f>ROUND(U168-AA168,2)</f>
        <v/>
      </c>
      <c r="AC168" t="b">
        <v>0</v>
      </c>
      <c r="AD168">
        <f>IF(U168="","MISSING_TOTAL",IF(ABS(AB168)&lt;=0.01,"OK","CHECK"))</f>
        <v/>
      </c>
      <c r="AE168">
        <f>IF(U168="","MISSING",IF(AND(AA168&gt;0,U168/AA168&gt;50),"POSSIBLE_SCALE_ERROR","OK"))</f>
        <v/>
      </c>
    </row>
    <row r="169">
      <c r="A169" t="inlineStr">
        <is>
          <t>T-2026-P9-0004</t>
        </is>
      </c>
      <c r="B169" t="inlineStr">
        <is>
          <t>SLE</t>
        </is>
      </c>
      <c r="C169" t="inlineStr">
        <is>
          <t>Chairperson</t>
        </is>
      </c>
      <c r="D169" t="inlineStr">
        <is>
          <t>Président</t>
        </is>
      </c>
      <c r="E169" t="inlineStr">
        <is>
          <t>Walsh, J. Paul</t>
        </is>
      </c>
      <c r="F169" t="inlineStr">
        <is>
          <t>Board meeting</t>
        </is>
      </c>
      <c r="G169" t="inlineStr">
        <is>
          <t>Réunion du conseil d'administration</t>
        </is>
      </c>
      <c r="H169" s="1" t="n">
        <v>45984</v>
      </c>
      <c r="I169" s="1" t="n">
        <v>45997</v>
      </c>
      <c r="J169" t="inlineStr">
        <is>
          <t>Ottawa, Ontario</t>
        </is>
      </c>
      <c r="K169" t="inlineStr">
        <is>
          <t>Ottawa, Ontario</t>
        </is>
      </c>
      <c r="P169" t="n">
        <v>742.46</v>
      </c>
      <c r="Q169" t="n">
        <v>151.88</v>
      </c>
      <c r="R169" t="n">
        <v>4862.31</v>
      </c>
      <c r="S169" t="n">
        <v>1496.4</v>
      </c>
      <c r="T169" t="n">
        <v>402.5</v>
      </c>
      <c r="U169" t="n">
        <v>7655.55</v>
      </c>
      <c r="X169" t="inlineStr">
        <is>
          <t>casdo-ocena</t>
        </is>
      </c>
      <c r="Y169" t="inlineStr">
        <is>
          <t>Accessibility Standards Canada | Normes d’accessibilité Canada</t>
        </is>
      </c>
      <c r="Z169" t="n">
        <v>14</v>
      </c>
      <c r="AA169" t="n">
        <v>7655.55</v>
      </c>
      <c r="AB169">
        <f>ROUND(U169-AA169,2)</f>
        <v/>
      </c>
      <c r="AC169" t="b">
        <v>0</v>
      </c>
      <c r="AD169">
        <f>IF(U169="","MISSING_TOTAL",IF(ABS(AB169)&lt;=0.01,"OK","CHECK"))</f>
        <v/>
      </c>
      <c r="AE169">
        <f>IF(U169="","MISSING",IF(AND(AA169&gt;0,U169/AA169&gt;50),"POSSIBLE_SCALE_ERROR","OK"))</f>
        <v/>
      </c>
    </row>
    <row r="170">
      <c r="A170" t="inlineStr">
        <is>
          <t>T-2026-P10-0001</t>
        </is>
      </c>
      <c r="B170" t="inlineStr">
        <is>
          <t>SLE</t>
        </is>
      </c>
      <c r="C170" t="inlineStr">
        <is>
          <t>Chief Executive Officer</t>
        </is>
      </c>
      <c r="D170" t="inlineStr">
        <is>
          <t>Président-directeur général</t>
        </is>
      </c>
      <c r="E170" t="inlineStr">
        <is>
          <t>Zuppa, Dino</t>
        </is>
      </c>
      <c r="F170" t="inlineStr">
        <is>
          <t>Meetings with concerned parties</t>
        </is>
      </c>
      <c r="G170" t="inlineStr">
        <is>
          <t>Réunions avec parties prenantes</t>
        </is>
      </c>
      <c r="H170" s="1" t="n">
        <v>46034</v>
      </c>
      <c r="I170" s="1" t="n">
        <v>46037</v>
      </c>
      <c r="J170" t="inlineStr">
        <is>
          <t>Fredericton, New Brunswick</t>
        </is>
      </c>
      <c r="K170" t="inlineStr">
        <is>
          <t>Fredericton, Nouveau-Brunswick</t>
        </is>
      </c>
      <c r="P170" t="n">
        <v>630</v>
      </c>
      <c r="Q170" t="n">
        <v>170.3</v>
      </c>
      <c r="R170" t="n">
        <v>549.9</v>
      </c>
      <c r="S170" t="n">
        <v>488.15</v>
      </c>
      <c r="T170" t="n">
        <v>0</v>
      </c>
      <c r="U170" t="n">
        <v>1838.35</v>
      </c>
      <c r="X170" t="inlineStr">
        <is>
          <t>casdo-ocena</t>
        </is>
      </c>
      <c r="Y170" t="inlineStr">
        <is>
          <t>Accessibility Standards Canada | Normes d’accessibilité Canada</t>
        </is>
      </c>
      <c r="Z170" t="n">
        <v>4</v>
      </c>
      <c r="AA170" t="n">
        <v>1838.35</v>
      </c>
      <c r="AB170">
        <f>ROUND(U170-AA170,2)</f>
        <v/>
      </c>
      <c r="AC170" t="b">
        <v>0</v>
      </c>
      <c r="AD170">
        <f>IF(U170="","MISSING_TOTAL",IF(ABS(AB170)&lt;=0.01,"OK","CHECK"))</f>
        <v/>
      </c>
      <c r="AE170">
        <f>IF(U170="","MISSING",IF(AND(AA170&gt;0,U170/AA170&gt;50),"POSSIBLE_SCALE_ERROR","OK"))</f>
        <v/>
      </c>
    </row>
    <row r="171">
      <c r="A171" t="inlineStr">
        <is>
          <t>T-2026-P10-0002</t>
        </is>
      </c>
      <c r="B171" t="inlineStr">
        <is>
          <t>SLE</t>
        </is>
      </c>
      <c r="C171" t="inlineStr">
        <is>
          <t>Board Member</t>
        </is>
      </c>
      <c r="D171" t="inlineStr">
        <is>
          <t>Membre du conseil d'administration</t>
        </is>
      </c>
      <c r="E171" t="inlineStr">
        <is>
          <t>Yazdani-Seysan, Mojgan</t>
        </is>
      </c>
      <c r="F171" t="inlineStr">
        <is>
          <t>Board meeting</t>
        </is>
      </c>
      <c r="G171" t="inlineStr">
        <is>
          <t>Réunion du conseil d'administration</t>
        </is>
      </c>
      <c r="H171" s="1" t="n">
        <v>45985</v>
      </c>
      <c r="I171" s="1" t="n">
        <v>45989</v>
      </c>
      <c r="J171" t="inlineStr">
        <is>
          <t>Ottawa, Ontario</t>
        </is>
      </c>
      <c r="K171" t="inlineStr">
        <is>
          <t>Ottawa, Ontario</t>
        </is>
      </c>
      <c r="P171" t="n">
        <v>226.54</v>
      </c>
      <c r="Q171" t="n">
        <v>71.31999999999999</v>
      </c>
      <c r="R171" t="n">
        <v>2242.5</v>
      </c>
      <c r="S171" t="n">
        <v>689.5</v>
      </c>
      <c r="T171" t="n">
        <v>0</v>
      </c>
      <c r="U171" t="n">
        <v>3229.86</v>
      </c>
      <c r="X171" t="inlineStr">
        <is>
          <t>casdo-ocena</t>
        </is>
      </c>
      <c r="Y171" t="inlineStr">
        <is>
          <t>Accessibility Standards Canada | Normes d’accessibilité Canada</t>
        </is>
      </c>
      <c r="Z171" t="n">
        <v>5</v>
      </c>
      <c r="AA171" t="n">
        <v>3229.86</v>
      </c>
      <c r="AB171">
        <f>ROUND(U171-AA171,2)</f>
        <v/>
      </c>
      <c r="AC171" t="b">
        <v>0</v>
      </c>
      <c r="AD171">
        <f>IF(U171="","MISSING_TOTAL",IF(ABS(AB171)&lt;=0.01,"OK","CHECK"))</f>
        <v/>
      </c>
      <c r="AE171">
        <f>IF(U171="","MISSING",IF(AND(AA171&gt;0,U171/AA171&gt;50),"POSSIBLE_SCALE_ERROR","OK"))</f>
        <v/>
      </c>
    </row>
    <row r="172">
      <c r="A172" t="inlineStr">
        <is>
          <t>T-2026-P10-0003</t>
        </is>
      </c>
      <c r="B172" t="inlineStr">
        <is>
          <t>SLE</t>
        </is>
      </c>
      <c r="C172" t="inlineStr">
        <is>
          <t>Board Member</t>
        </is>
      </c>
      <c r="D172" t="inlineStr">
        <is>
          <t>Membre du conseil d'administration</t>
        </is>
      </c>
      <c r="E172" t="inlineStr">
        <is>
          <t>De Lisle, Sarah Eve</t>
        </is>
      </c>
      <c r="F172" t="inlineStr">
        <is>
          <t>Board meeting</t>
        </is>
      </c>
      <c r="G172" t="inlineStr">
        <is>
          <t>Réunion du conseil d'administration</t>
        </is>
      </c>
      <c r="H172" s="1" t="n">
        <v>45985</v>
      </c>
      <c r="I172" s="1" t="n">
        <v>45990</v>
      </c>
      <c r="J172" t="inlineStr">
        <is>
          <t>Ottawa, Ontario</t>
        </is>
      </c>
      <c r="K172" t="inlineStr">
        <is>
          <t>Ottawa, Ontario</t>
        </is>
      </c>
      <c r="P172" t="n">
        <v>0</v>
      </c>
      <c r="Q172" t="n">
        <v>239.12</v>
      </c>
      <c r="R172" t="n">
        <v>0</v>
      </c>
      <c r="S172" t="n">
        <v>0</v>
      </c>
      <c r="T172" t="n">
        <v>0</v>
      </c>
      <c r="U172" t="n">
        <v>239.12</v>
      </c>
      <c r="X172" t="inlineStr">
        <is>
          <t>casdo-ocena</t>
        </is>
      </c>
      <c r="Y172" t="inlineStr">
        <is>
          <t>Accessibility Standards Canada | Normes d’accessibilité Canada</t>
        </is>
      </c>
      <c r="Z172" t="n">
        <v>6</v>
      </c>
      <c r="AA172" t="n">
        <v>239.12</v>
      </c>
      <c r="AB172">
        <f>ROUND(U172-AA172,2)</f>
        <v/>
      </c>
      <c r="AC172" t="b">
        <v>0</v>
      </c>
      <c r="AD172">
        <f>IF(U172="","MISSING_TOTAL",IF(ABS(AB172)&lt;=0.01,"OK","CHECK"))</f>
        <v/>
      </c>
      <c r="AE172">
        <f>IF(U172="","MISSING",IF(AND(AA172&gt;0,U172/AA172&gt;50),"POSSIBLE_SCALE_ERROR","OK"))</f>
        <v/>
      </c>
    </row>
    <row r="173">
      <c r="A173" t="inlineStr">
        <is>
          <t>T-2026-P10-0004</t>
        </is>
      </c>
      <c r="B173" t="inlineStr">
        <is>
          <t>SLE</t>
        </is>
      </c>
      <c r="C173" t="inlineStr">
        <is>
          <t>Board Member</t>
        </is>
      </c>
      <c r="D173" t="inlineStr">
        <is>
          <t>Membre du conseil d'administration</t>
        </is>
      </c>
      <c r="E173" t="inlineStr">
        <is>
          <t>Moore, Sarah Anne</t>
        </is>
      </c>
      <c r="F173" t="inlineStr">
        <is>
          <t>Board meeting</t>
        </is>
      </c>
      <c r="G173" t="inlineStr">
        <is>
          <t>Réunion du conseil d'administration</t>
        </is>
      </c>
      <c r="H173" s="1" t="n">
        <v>45985</v>
      </c>
      <c r="I173" s="1" t="n">
        <v>45989</v>
      </c>
      <c r="J173" t="inlineStr">
        <is>
          <t>Ottawa, Ontario</t>
        </is>
      </c>
      <c r="K173" t="inlineStr">
        <is>
          <t>Ottawa, Ontario</t>
        </is>
      </c>
      <c r="P173" t="n">
        <v>612.24</v>
      </c>
      <c r="Q173" t="n">
        <v>152.96</v>
      </c>
      <c r="R173" t="n">
        <v>2242.5</v>
      </c>
      <c r="S173" t="n">
        <v>748.7</v>
      </c>
      <c r="T173" t="n">
        <v>0</v>
      </c>
      <c r="U173" t="n">
        <v>3756.4</v>
      </c>
      <c r="X173" t="inlineStr">
        <is>
          <t>casdo-ocena</t>
        </is>
      </c>
      <c r="Y173" t="inlineStr">
        <is>
          <t>Accessibility Standards Canada | Normes d’accessibilité Canada</t>
        </is>
      </c>
      <c r="Z173" t="n">
        <v>5</v>
      </c>
      <c r="AA173" t="n">
        <v>3756.39999999999</v>
      </c>
      <c r="AB173">
        <f>ROUND(U173-AA173,2)</f>
        <v/>
      </c>
      <c r="AC173" t="b">
        <v>0</v>
      </c>
      <c r="AD173">
        <f>IF(U173="","MISSING_TOTAL",IF(ABS(AB173)&lt;=0.01,"OK","CHECK"))</f>
        <v/>
      </c>
      <c r="AE173">
        <f>IF(U173="","MISSING",IF(AND(AA173&gt;0,U173/AA173&gt;50),"POSSIBLE_SCALE_ERROR","OK"))</f>
        <v/>
      </c>
    </row>
    <row r="174">
      <c r="A174" t="inlineStr">
        <is>
          <t>T-2026-P12-0001</t>
        </is>
      </c>
      <c r="B174" t="inlineStr">
        <is>
          <t>SLE</t>
        </is>
      </c>
      <c r="C174" t="inlineStr">
        <is>
          <t>Chief Executive Officer</t>
        </is>
      </c>
      <c r="D174" t="inlineStr">
        <is>
          <t>Président-directeur général</t>
        </is>
      </c>
      <c r="E174" t="inlineStr">
        <is>
          <t>Zuppa, Dino</t>
        </is>
      </c>
      <c r="F174" t="inlineStr">
        <is>
          <t>International accessibility conference</t>
        </is>
      </c>
      <c r="G174" t="inlineStr">
        <is>
          <t>Conférence d'accessibilité internationale</t>
        </is>
      </c>
      <c r="H174" s="1" t="n">
        <v>46068</v>
      </c>
      <c r="I174" s="1" t="n">
        <v>46074</v>
      </c>
      <c r="J174" t="inlineStr">
        <is>
          <t>Vienna, Austria</t>
        </is>
      </c>
      <c r="K174" t="inlineStr">
        <is>
          <t>Vienne, Autriche</t>
        </is>
      </c>
      <c r="P174" t="n">
        <v>3561.93</v>
      </c>
      <c r="Q174" t="n">
        <v>240.12</v>
      </c>
      <c r="R174" t="n">
        <v>1516.98</v>
      </c>
      <c r="S174" t="n">
        <v>2223.42</v>
      </c>
      <c r="T174" t="n">
        <v>0</v>
      </c>
      <c r="U174" t="n">
        <v>7542.45</v>
      </c>
      <c r="X174" t="inlineStr">
        <is>
          <t>casdo-ocena</t>
        </is>
      </c>
      <c r="Y174" t="inlineStr">
        <is>
          <t>Accessibility Standards Canada | Normes d’accessibilité Canada</t>
        </is>
      </c>
      <c r="Z174" t="n">
        <v>7</v>
      </c>
      <c r="AA174" t="n">
        <v>7542.45</v>
      </c>
      <c r="AB174">
        <f>ROUND(U174-AA174,2)</f>
        <v/>
      </c>
      <c r="AC174" t="b">
        <v>0</v>
      </c>
      <c r="AD174">
        <f>IF(U174="","MISSING_TOTAL",IF(ABS(AB174)&lt;=0.01,"OK","CHECK"))</f>
        <v/>
      </c>
      <c r="AE174">
        <f>IF(U174="","MISSING",IF(AND(AA174&gt;0,U174/AA174&gt;50),"POSSIBLE_SCALE_ERROR","OK"))</f>
        <v/>
      </c>
    </row>
    <row r="175">
      <c r="A175" t="inlineStr">
        <is>
          <t>T-2027-P1-0001</t>
        </is>
      </c>
      <c r="B175" t="inlineStr">
        <is>
          <t>SLE</t>
        </is>
      </c>
      <c r="C175" t="inlineStr">
        <is>
          <t>Chief Executive Officer</t>
        </is>
      </c>
      <c r="D175" t="inlineStr">
        <is>
          <t>Président-directeur général</t>
        </is>
      </c>
      <c r="E175" t="inlineStr">
        <is>
          <t>Zuppa, Dino</t>
        </is>
      </c>
      <c r="F175" t="inlineStr">
        <is>
          <t>APN Conference</t>
        </is>
      </c>
      <c r="G175" t="inlineStr">
        <is>
          <t>Conférence APN</t>
        </is>
      </c>
      <c r="H175" s="1" t="n">
        <v>46110</v>
      </c>
      <c r="I175" s="1" t="n">
        <v>46113</v>
      </c>
      <c r="J175" t="inlineStr">
        <is>
          <t>Toronto, Ontario, Canada</t>
        </is>
      </c>
      <c r="K175" t="inlineStr">
        <is>
          <t>Toronto, Ontario, Canada</t>
        </is>
      </c>
      <c r="P175" t="n">
        <v>499.87</v>
      </c>
      <c r="Q175" t="n">
        <v>240.33</v>
      </c>
      <c r="R175" t="n">
        <v>1048.29</v>
      </c>
      <c r="S175" t="n">
        <v>429.5</v>
      </c>
      <c r="T175" t="n">
        <v>0</v>
      </c>
      <c r="U175" t="n">
        <v>2217.99</v>
      </c>
      <c r="X175" t="inlineStr">
        <is>
          <t>casdo-ocena</t>
        </is>
      </c>
      <c r="Y175" t="inlineStr">
        <is>
          <t>Accessibility Standards Canada | Normes d’accessibilité Canada</t>
        </is>
      </c>
      <c r="Z175" t="n">
        <v>4</v>
      </c>
      <c r="AA175" t="n">
        <v>2217.99</v>
      </c>
      <c r="AB175">
        <f>ROUND(U175-AA175,2)</f>
        <v/>
      </c>
      <c r="AC175" t="b">
        <v>0</v>
      </c>
      <c r="AD175">
        <f>IF(U175="","MISSING_TOTAL",IF(ABS(AB175)&lt;=0.01,"OK","CHECK"))</f>
        <v/>
      </c>
      <c r="AE175">
        <f>IF(U175="","MISSING",IF(AND(AA175&gt;0,U175/AA175&gt;50),"POSSIBLE_SCALE_ERROR","OK"))</f>
        <v/>
      </c>
    </row>
    <row r="176">
      <c r="A176" t="inlineStr">
        <is>
          <t>T-2027-P1-0002</t>
        </is>
      </c>
      <c r="B176" t="inlineStr">
        <is>
          <t>SLE</t>
        </is>
      </c>
      <c r="C176" t="inlineStr">
        <is>
          <t>Board member</t>
        </is>
      </c>
      <c r="D176" t="inlineStr">
        <is>
          <t>Membre du conseil d'administration</t>
        </is>
      </c>
      <c r="E176" t="inlineStr">
        <is>
          <t>McLaughlin, Joseph</t>
        </is>
      </c>
      <c r="F176" t="inlineStr">
        <is>
          <t>APN Conference</t>
        </is>
      </c>
      <c r="G176" t="inlineStr">
        <is>
          <t>Conférence APN</t>
        </is>
      </c>
      <c r="H176" s="1" t="n">
        <v>46109</v>
      </c>
      <c r="I176" s="1" t="n">
        <v>46113</v>
      </c>
      <c r="J176" t="inlineStr">
        <is>
          <t>Toronto, Ontario, Canada</t>
        </is>
      </c>
      <c r="K176" t="inlineStr">
        <is>
          <t>Toronto, Ontario, Canada</t>
        </is>
      </c>
      <c r="P176" t="n">
        <v>611.53</v>
      </c>
      <c r="Q176" t="n">
        <v>190.43</v>
      </c>
      <c r="R176" t="n">
        <v>1397.72</v>
      </c>
      <c r="S176" t="n">
        <v>602.95</v>
      </c>
      <c r="T176" t="n">
        <v>0</v>
      </c>
      <c r="U176" t="n">
        <v>2802.63</v>
      </c>
      <c r="X176" t="inlineStr">
        <is>
          <t>casdo-ocena</t>
        </is>
      </c>
      <c r="Y176" t="inlineStr">
        <is>
          <t>Accessibility Standards Canada | Normes d’accessibilité Canada</t>
        </is>
      </c>
      <c r="Z176" t="n">
        <v>5</v>
      </c>
      <c r="AA176" t="n">
        <v>2802.63</v>
      </c>
      <c r="AB176">
        <f>ROUND(U176-AA176,2)</f>
        <v/>
      </c>
      <c r="AC176" t="b">
        <v>0</v>
      </c>
      <c r="AD176">
        <f>IF(U176="","MISSING_TOTAL",IF(ABS(AB176)&lt;=0.01,"OK","CHECK"))</f>
        <v/>
      </c>
      <c r="AE176">
        <f>IF(U176="","MISSING",IF(AND(AA176&gt;0,U176/AA176&gt;50),"POSSIBLE_SCALE_ERROR","OK"))</f>
        <v/>
      </c>
    </row>
    <row r="177">
      <c r="A177" t="inlineStr">
        <is>
          <t>T-2027-P1-0003</t>
        </is>
      </c>
      <c r="B177" t="inlineStr">
        <is>
          <t>SLE</t>
        </is>
      </c>
      <c r="C177" t="inlineStr">
        <is>
          <t>Board member</t>
        </is>
      </c>
      <c r="D177" t="inlineStr">
        <is>
          <t>Membre du conseil d'administration</t>
        </is>
      </c>
      <c r="E177" t="inlineStr">
        <is>
          <t>Yazdani-Seysan, Mojgan</t>
        </is>
      </c>
      <c r="F177" t="inlineStr">
        <is>
          <t>APN Conference</t>
        </is>
      </c>
      <c r="G177" t="inlineStr">
        <is>
          <t>Conférence APN</t>
        </is>
      </c>
      <c r="H177" s="1" t="n">
        <v>46110</v>
      </c>
      <c r="I177" s="1" t="n">
        <v>46112</v>
      </c>
      <c r="J177" t="inlineStr">
        <is>
          <t>Toronto, Ontario, Canada</t>
        </is>
      </c>
      <c r="K177" t="inlineStr">
        <is>
          <t>Toronto, Ontario, Canada</t>
        </is>
      </c>
      <c r="P177" t="n">
        <v>623.9400000000001</v>
      </c>
      <c r="Q177" t="n">
        <v>130.48</v>
      </c>
      <c r="R177" t="n">
        <v>698.86</v>
      </c>
      <c r="S177" t="n">
        <v>344.95</v>
      </c>
      <c r="T177" t="n">
        <v>0</v>
      </c>
      <c r="U177" t="n">
        <v>1798.23</v>
      </c>
      <c r="X177" t="inlineStr">
        <is>
          <t>casdo-ocena</t>
        </is>
      </c>
      <c r="Y177" t="inlineStr">
        <is>
          <t>Accessibility Standards Canada | Normes d’accessibilité Canada</t>
        </is>
      </c>
      <c r="Z177" t="n">
        <v>3</v>
      </c>
      <c r="AA177" t="n">
        <v>1798.23</v>
      </c>
      <c r="AB177">
        <f>ROUND(U177-AA177,2)</f>
        <v/>
      </c>
      <c r="AC177" t="b">
        <v>0</v>
      </c>
      <c r="AD177">
        <f>IF(U177="","MISSING_TOTAL",IF(ABS(AB177)&lt;=0.01,"OK","CHECK"))</f>
        <v/>
      </c>
      <c r="AE177">
        <f>IF(U177="","MISSING",IF(AND(AA177&gt;0,U177/AA177&gt;50),"POSSIBLE_SCALE_ERROR","OK"))</f>
        <v/>
      </c>
    </row>
    <row r="178">
      <c r="A178" t="inlineStr">
        <is>
          <t>T-2027-P3-0001</t>
        </is>
      </c>
      <c r="B178" t="inlineStr">
        <is>
          <t>SLE</t>
        </is>
      </c>
      <c r="C178" t="inlineStr">
        <is>
          <t>Chief Executive Officer</t>
        </is>
      </c>
      <c r="D178" t="inlineStr">
        <is>
          <t>Président-directeur général</t>
        </is>
      </c>
      <c r="E178" t="inlineStr">
        <is>
          <t>Zuppa, Dino</t>
        </is>
      </c>
      <c r="F178" t="inlineStr">
        <is>
          <t>Conference in Vancouver</t>
        </is>
      </c>
      <c r="G178" t="inlineStr">
        <is>
          <t>Conférence Vancouver</t>
        </is>
      </c>
      <c r="H178" s="1" t="n">
        <v>46168</v>
      </c>
      <c r="I178" s="1" t="n">
        <v>46170</v>
      </c>
      <c r="J178" t="inlineStr">
        <is>
          <t>Vancouver, BC, Canada</t>
        </is>
      </c>
      <c r="K178" t="inlineStr">
        <is>
          <t>Vancouve, CB, Canada</t>
        </is>
      </c>
      <c r="P178" t="n">
        <v>869.88</v>
      </c>
      <c r="Q178" t="n">
        <v>176.6</v>
      </c>
      <c r="R178" t="n">
        <v>1414.36</v>
      </c>
      <c r="S178" t="n">
        <v>731.25</v>
      </c>
      <c r="T178" t="n">
        <v>0</v>
      </c>
      <c r="U178" t="n">
        <v>3192.09</v>
      </c>
      <c r="X178" t="inlineStr">
        <is>
          <t>casdo-ocena</t>
        </is>
      </c>
      <c r="Y178" t="inlineStr">
        <is>
          <t>Accessibility Standards Canada | Normes d’accessibilité Canada</t>
        </is>
      </c>
      <c r="Z178" t="n">
        <v>3</v>
      </c>
      <c r="AA178" t="n">
        <v>3192.09</v>
      </c>
      <c r="AB178">
        <f>ROUND(U178-AA178,2)</f>
        <v/>
      </c>
      <c r="AC178" t="b">
        <v>0</v>
      </c>
      <c r="AD178">
        <f>IF(U178="","MISSING_TOTAL",IF(ABS(AB178)&lt;=0.01,"OK","CHECK"))</f>
        <v/>
      </c>
      <c r="AE178">
        <f>IF(U178="","MISSING",IF(AND(AA178&gt;0,U178/AA178&gt;50),"POSSIBLE_SCALE_ERROR","OK"))</f>
        <v/>
      </c>
    </row>
    <row r="179">
      <c r="A179" t="inlineStr">
        <is>
          <t>T-2017-Q1-00001</t>
        </is>
      </c>
      <c r="B179" t="inlineStr">
        <is>
          <t>SLE</t>
        </is>
      </c>
      <c r="C179" t="inlineStr">
        <is>
          <t>A/Executive Director and General Counsel, Secretariat to the Public Service Labour Relations and Employment Board</t>
        </is>
      </c>
      <c r="D179" t="inlineStr">
        <is>
          <t>Directrice générale et avocate générale par intérim, Secrétariat de la Commission des relations de travail et de l’emploi dans la fonction publique</t>
        </is>
      </c>
      <c r="E179" t="inlineStr">
        <is>
          <t>Virginia Adamson</t>
        </is>
      </c>
      <c r="F179" t="inlineStr">
        <is>
          <t>Visit Canadian Industrial relation Board's regional offices</t>
        </is>
      </c>
      <c r="G179" t="inlineStr">
        <is>
          <t>Visiter des bureaux régionaux du Conseil canadien des relations industrielles</t>
        </is>
      </c>
      <c r="H179" s="1" t="n">
        <v>42796</v>
      </c>
      <c r="I179" s="1" t="n">
        <v>42797</v>
      </c>
      <c r="J179" t="inlineStr">
        <is>
          <t>Vancouver, BC</t>
        </is>
      </c>
      <c r="K179" t="inlineStr">
        <is>
          <t>Vancouver, BC</t>
        </is>
      </c>
      <c r="P179" t="n">
        <v>315.13</v>
      </c>
      <c r="Q179" t="n">
        <v>117</v>
      </c>
      <c r="R179" t="n">
        <v>126.6</v>
      </c>
      <c r="S179" t="n">
        <v>97</v>
      </c>
      <c r="U179" t="n">
        <v>655.73</v>
      </c>
      <c r="X179" t="inlineStr">
        <is>
          <t>atssc-scdata</t>
        </is>
      </c>
      <c r="Y179" t="inlineStr">
        <is>
          <t>Administrative Tribunals Support Service of Canada | Service canadien d'appui aux tribunaux administratifs</t>
        </is>
      </c>
      <c r="Z179" t="n">
        <v>2</v>
      </c>
      <c r="AA179" t="n">
        <v>655.73</v>
      </c>
      <c r="AB179">
        <f>ROUND(U179-AA179,2)</f>
        <v/>
      </c>
      <c r="AC179" t="b">
        <v>0</v>
      </c>
      <c r="AD179">
        <f>IF(U179="","MISSING_TOTAL",IF(ABS(AB179)&lt;=0.01,"OK","CHECK"))</f>
        <v/>
      </c>
      <c r="AE179">
        <f>IF(U179="","MISSING",IF(AND(AA179&gt;0,U179/AA179&gt;50),"POSSIBLE_SCALE_ERROR","OK"))</f>
        <v/>
      </c>
    </row>
    <row r="180">
      <c r="A180" t="inlineStr">
        <is>
          <t>T-2017-Q1-00002</t>
        </is>
      </c>
      <c r="B180" t="inlineStr">
        <is>
          <t>SLE</t>
        </is>
      </c>
      <c r="C180" t="inlineStr">
        <is>
          <t>A/Executive Director and General Counsel, Secretariat to the Public Service Labour Relations and Employment Board</t>
        </is>
      </c>
      <c r="D180" t="inlineStr">
        <is>
          <t>Directrice générale et avocate générale par intérim, Secrétariat de la Commission des relations de travail et de l’emploi dans la fonction publique</t>
        </is>
      </c>
      <c r="E180" t="inlineStr">
        <is>
          <t>Virginia Adamson</t>
        </is>
      </c>
      <c r="F180" t="inlineStr">
        <is>
          <t>To attend a meeting of the Association of Labour Relations Agencies</t>
        </is>
      </c>
      <c r="G180" t="inlineStr">
        <is>
          <t>Participer à une rencontre de la Association of Labour Relations Agencies</t>
        </is>
      </c>
      <c r="H180" s="1" t="n">
        <v>42797</v>
      </c>
      <c r="I180" s="1" t="n">
        <v>42800</v>
      </c>
      <c r="J180" t="inlineStr">
        <is>
          <t>Portland, Oregon</t>
        </is>
      </c>
      <c r="K180" t="inlineStr">
        <is>
          <t>Portland, Oregon</t>
        </is>
      </c>
      <c r="P180" t="n">
        <v>960.79</v>
      </c>
      <c r="Q180" t="n">
        <v>165.3</v>
      </c>
      <c r="R180" t="n">
        <v>553.91</v>
      </c>
      <c r="S180" t="n">
        <v>379.17</v>
      </c>
      <c r="U180" t="n">
        <v>2059.17</v>
      </c>
      <c r="X180" t="inlineStr">
        <is>
          <t>atssc-scdata</t>
        </is>
      </c>
      <c r="Y180" t="inlineStr">
        <is>
          <t>Administrative Tribunals Support Service of Canada | Service canadien d'appui aux tribunaux administratifs</t>
        </is>
      </c>
      <c r="Z180" t="n">
        <v>4</v>
      </c>
      <c r="AA180" t="n">
        <v>2059.17</v>
      </c>
      <c r="AB180">
        <f>ROUND(U180-AA180,2)</f>
        <v/>
      </c>
      <c r="AC180" t="b">
        <v>0</v>
      </c>
      <c r="AD180">
        <f>IF(U180="","MISSING_TOTAL",IF(ABS(AB180)&lt;=0.01,"OK","CHECK"))</f>
        <v/>
      </c>
      <c r="AE180">
        <f>IF(U180="","MISSING",IF(AND(AA180&gt;0,U180/AA180&gt;50),"POSSIBLE_SCALE_ERROR","OK"))</f>
        <v/>
      </c>
    </row>
    <row r="181">
      <c r="A181" t="inlineStr">
        <is>
          <t>T-2017-Q1-00003</t>
        </is>
      </c>
      <c r="B181" t="inlineStr">
        <is>
          <t>SLE</t>
        </is>
      </c>
      <c r="C181" t="inlineStr">
        <is>
          <t>A/Chairperson, Canadian International Trade Tribunal</t>
        </is>
      </c>
      <c r="D181" t="inlineStr">
        <is>
          <t>Président par intérim, Tribunal Canadien du commerce extérieur</t>
        </is>
      </c>
      <c r="E181" t="inlineStr">
        <is>
          <t>Bédard, Jean</t>
        </is>
      </c>
      <c r="F181" t="inlineStr">
        <is>
          <t>Attend the 38th Annual International Trade Update</t>
        </is>
      </c>
      <c r="G181" t="inlineStr">
        <is>
          <t>Participer à la 38e International Trade Update annuelle</t>
        </is>
      </c>
      <c r="H181" s="1" t="n">
        <v>42802</v>
      </c>
      <c r="I181" s="1" t="n">
        <v>42804</v>
      </c>
      <c r="J181" t="inlineStr">
        <is>
          <t>Washington, DC</t>
        </is>
      </c>
      <c r="K181" t="inlineStr">
        <is>
          <t>Washington, DC</t>
        </is>
      </c>
      <c r="P181" t="n">
        <v>609.66</v>
      </c>
      <c r="Q181" t="n">
        <v>73.61</v>
      </c>
      <c r="R181" t="n">
        <v>1071.85</v>
      </c>
      <c r="S181" t="n">
        <v>346.61</v>
      </c>
      <c r="U181" t="n">
        <v>2101.73</v>
      </c>
      <c r="X181" t="inlineStr">
        <is>
          <t>atssc-scdata</t>
        </is>
      </c>
      <c r="Y181" t="inlineStr">
        <is>
          <t>Administrative Tribunals Support Service of Canada | Service canadien d'appui aux tribunaux administratifs</t>
        </is>
      </c>
      <c r="Z181" t="n">
        <v>3</v>
      </c>
      <c r="AA181" t="n">
        <v>2101.73</v>
      </c>
      <c r="AB181">
        <f>ROUND(U181-AA181,2)</f>
        <v/>
      </c>
      <c r="AC181" t="b">
        <v>0</v>
      </c>
      <c r="AD181">
        <f>IF(U181="","MISSING_TOTAL",IF(ABS(AB181)&lt;=0.01,"OK","CHECK"))</f>
        <v/>
      </c>
      <c r="AE181">
        <f>IF(U181="","MISSING",IF(AND(AA181&gt;0,U181/AA181&gt;50),"POSSIBLE_SCALE_ERROR","OK"))</f>
        <v/>
      </c>
    </row>
    <row r="182">
      <c r="A182" t="inlineStr">
        <is>
          <t>T-2017-Q1-00004</t>
        </is>
      </c>
      <c r="B182" t="inlineStr">
        <is>
          <t>SLE</t>
        </is>
      </c>
      <c r="C182" t="inlineStr">
        <is>
          <t>A/Chairperson, Canadian International Trade Tribunal</t>
        </is>
      </c>
      <c r="D182" t="inlineStr">
        <is>
          <t>Président par intérim, Tribunal Canadien du commerce extérieur</t>
        </is>
      </c>
      <c r="E182" t="inlineStr">
        <is>
          <t>Bédard, Jean</t>
        </is>
      </c>
      <c r="F182" t="inlineStr">
        <is>
          <t>Attend the Chairperson's forum in Ottawa</t>
        </is>
      </c>
      <c r="G182" t="inlineStr">
        <is>
          <t>Assister au forum de la présidente à Ottawa</t>
        </is>
      </c>
      <c r="H182" s="1" t="n">
        <v>42818</v>
      </c>
      <c r="I182" s="1" t="n">
        <v>42818</v>
      </c>
      <c r="J182" t="inlineStr">
        <is>
          <t>Ottawa, ON</t>
        </is>
      </c>
      <c r="K182" t="inlineStr">
        <is>
          <t>Ottawa, ON</t>
        </is>
      </c>
      <c r="T182" t="n">
        <v>14</v>
      </c>
      <c r="U182" t="n">
        <v>14</v>
      </c>
      <c r="X182" t="inlineStr">
        <is>
          <t>atssc-scdata</t>
        </is>
      </c>
      <c r="Y182" t="inlineStr">
        <is>
          <t>Administrative Tribunals Support Service of Canada | Service canadien d'appui aux tribunaux administratifs</t>
        </is>
      </c>
      <c r="Z182" t="n">
        <v>1</v>
      </c>
      <c r="AA182" t="n">
        <v>14</v>
      </c>
      <c r="AB182">
        <f>ROUND(U182-AA182,2)</f>
        <v/>
      </c>
      <c r="AC182" t="b">
        <v>0</v>
      </c>
      <c r="AD182">
        <f>IF(U182="","MISSING_TOTAL",IF(ABS(AB182)&lt;=0.01,"OK","CHECK"))</f>
        <v/>
      </c>
      <c r="AE182">
        <f>IF(U182="","MISSING",IF(AND(AA182&gt;0,U182/AA182&gt;50),"POSSIBLE_SCALE_ERROR","OK"))</f>
        <v/>
      </c>
    </row>
    <row r="183">
      <c r="A183" t="inlineStr">
        <is>
          <t>T-2017-Q1-00005</t>
        </is>
      </c>
      <c r="B183" t="inlineStr">
        <is>
          <t>SLE</t>
        </is>
      </c>
      <c r="C183" t="inlineStr">
        <is>
          <t>Executive Director, Secretariat to the Canadian Cultural Property Export Review Board</t>
        </is>
      </c>
      <c r="D183" t="inlineStr">
        <is>
          <t>Directrice exécutive, Secrétariat de la Commission canadienne d’examen des exportations de biens culturels</t>
        </is>
      </c>
      <c r="E183" t="inlineStr">
        <is>
          <t>Bishop, Delphine</t>
        </is>
      </c>
      <c r="F183" t="inlineStr">
        <is>
          <t>Attend a meeting with  Executive Directors</t>
        </is>
      </c>
      <c r="G183" t="inlineStr">
        <is>
          <t>Participer à une rencontre avec les directeurs exécutifs</t>
        </is>
      </c>
      <c r="H183" s="1" t="n">
        <v>42740</v>
      </c>
      <c r="I183" s="1" t="n">
        <v>42740</v>
      </c>
      <c r="J183" t="inlineStr">
        <is>
          <t>Ottawa, ON</t>
        </is>
      </c>
      <c r="K183" t="inlineStr">
        <is>
          <t>Ottawa, ON</t>
        </is>
      </c>
      <c r="T183" t="n">
        <v>17.5</v>
      </c>
      <c r="U183" t="n">
        <v>17.5</v>
      </c>
      <c r="X183" t="inlineStr">
        <is>
          <t>atssc-scdata</t>
        </is>
      </c>
      <c r="Y183" t="inlineStr">
        <is>
          <t>Administrative Tribunals Support Service of Canada | Service canadien d'appui aux tribunaux administratifs</t>
        </is>
      </c>
      <c r="Z183" t="n">
        <v>1</v>
      </c>
      <c r="AA183" t="n">
        <v>17.5</v>
      </c>
      <c r="AB183">
        <f>ROUND(U183-AA183,2)</f>
        <v/>
      </c>
      <c r="AC183" t="b">
        <v>0</v>
      </c>
      <c r="AD183">
        <f>IF(U183="","MISSING_TOTAL",IF(ABS(AB183)&lt;=0.01,"OK","CHECK"))</f>
        <v/>
      </c>
      <c r="AE183">
        <f>IF(U183="","MISSING",IF(AND(AA183&gt;0,U183/AA183&gt;50),"POSSIBLE_SCALE_ERROR","OK"))</f>
        <v/>
      </c>
    </row>
    <row r="184">
      <c r="A184" t="inlineStr">
        <is>
          <t>T-2017-Q1-00006</t>
        </is>
      </c>
      <c r="B184" t="inlineStr">
        <is>
          <t>SLE</t>
        </is>
      </c>
      <c r="C184" t="inlineStr">
        <is>
          <t>Executive Director, Secretariat to the Canadian Cultural Property Export Review Board</t>
        </is>
      </c>
      <c r="D184" t="inlineStr">
        <is>
          <t>Directrice exécutive, Secrétariat de la Commission canadienne d’examen des exportations de biens culturels</t>
        </is>
      </c>
      <c r="E184" t="inlineStr">
        <is>
          <t>Bishop, Delphine</t>
        </is>
      </c>
      <c r="F184" t="inlineStr">
        <is>
          <t>Attend a meeting with  Executive Directors</t>
        </is>
      </c>
      <c r="G184" t="inlineStr">
        <is>
          <t>Participer à une rencontre avec les directeurs exécutifs</t>
        </is>
      </c>
      <c r="H184" s="1" t="n">
        <v>42746</v>
      </c>
      <c r="I184" s="1" t="n">
        <v>42746</v>
      </c>
      <c r="J184" t="inlineStr">
        <is>
          <t>Ottawa, ON</t>
        </is>
      </c>
      <c r="K184" t="inlineStr">
        <is>
          <t>Ottawa, ON</t>
        </is>
      </c>
      <c r="T184" t="n">
        <v>20</v>
      </c>
      <c r="U184" t="n">
        <v>20</v>
      </c>
      <c r="X184" t="inlineStr">
        <is>
          <t>atssc-scdata</t>
        </is>
      </c>
      <c r="Y184" t="inlineStr">
        <is>
          <t>Administrative Tribunals Support Service of Canada | Service canadien d'appui aux tribunaux administratifs</t>
        </is>
      </c>
      <c r="Z184" t="n">
        <v>1</v>
      </c>
      <c r="AA184" t="n">
        <v>20</v>
      </c>
      <c r="AB184">
        <f>ROUND(U184-AA184,2)</f>
        <v/>
      </c>
      <c r="AC184" t="b">
        <v>0</v>
      </c>
      <c r="AD184">
        <f>IF(U184="","MISSING_TOTAL",IF(ABS(AB184)&lt;=0.01,"OK","CHECK"))</f>
        <v/>
      </c>
      <c r="AE184">
        <f>IF(U184="","MISSING",IF(AND(AA184&gt;0,U184/AA184&gt;50),"POSSIBLE_SCALE_ERROR","OK"))</f>
        <v/>
      </c>
    </row>
    <row r="185">
      <c r="A185" t="inlineStr">
        <is>
          <t>T-2017-Q1-00007</t>
        </is>
      </c>
      <c r="B185" t="inlineStr">
        <is>
          <t>SLE</t>
        </is>
      </c>
      <c r="C185" t="inlineStr">
        <is>
          <t>Executive Director, Secretariat to the Canadian Cultural Property Export Review Board</t>
        </is>
      </c>
      <c r="D185" t="inlineStr">
        <is>
          <t>Directrice exécutive, Secrétariat de la Commission canadienne d’examen des exportations de biens culturels</t>
        </is>
      </c>
      <c r="E185" t="inlineStr">
        <is>
          <t>Bishop, Delphine</t>
        </is>
      </c>
      <c r="F185" t="inlineStr">
        <is>
          <t>Attend a meeting with  Executive Directors</t>
        </is>
      </c>
      <c r="G185" t="inlineStr">
        <is>
          <t>Participer à une rencontre avec les directeurs exécutifs</t>
        </is>
      </c>
      <c r="H185" s="1" t="n">
        <v>42783</v>
      </c>
      <c r="I185" s="1" t="n">
        <v>42783</v>
      </c>
      <c r="J185" t="inlineStr">
        <is>
          <t>Ottawa, ON</t>
        </is>
      </c>
      <c r="K185" t="inlineStr">
        <is>
          <t>Ottawa, ON</t>
        </is>
      </c>
      <c r="T185" t="n">
        <v>15</v>
      </c>
      <c r="U185" t="n">
        <v>15</v>
      </c>
      <c r="X185" t="inlineStr">
        <is>
          <t>atssc-scdata</t>
        </is>
      </c>
      <c r="Y185" t="inlineStr">
        <is>
          <t>Administrative Tribunals Support Service of Canada | Service canadien d'appui aux tribunaux administratifs</t>
        </is>
      </c>
      <c r="Z185" t="n">
        <v>1</v>
      </c>
      <c r="AA185" t="n">
        <v>15</v>
      </c>
      <c r="AB185">
        <f>ROUND(U185-AA185,2)</f>
        <v/>
      </c>
      <c r="AC185" t="b">
        <v>0</v>
      </c>
      <c r="AD185">
        <f>IF(U185="","MISSING_TOTAL",IF(ABS(AB185)&lt;=0.01,"OK","CHECK"))</f>
        <v/>
      </c>
      <c r="AE185">
        <f>IF(U185="","MISSING",IF(AND(AA185&gt;0,U185/AA185&gt;50),"POSSIBLE_SCALE_ERROR","OK"))</f>
        <v/>
      </c>
    </row>
    <row r="186">
      <c r="A186" t="inlineStr">
        <is>
          <t>T-2017-Q1-00008</t>
        </is>
      </c>
      <c r="B186" t="inlineStr">
        <is>
          <t>SLE</t>
        </is>
      </c>
      <c r="C186" t="inlineStr">
        <is>
          <t>Executive Director, Secretariat to the Canadian Cultural Property Export Review Board</t>
        </is>
      </c>
      <c r="D186" t="inlineStr">
        <is>
          <t>Directrice exécutive, Secrétariat de la Commission canadienne d’examen des exportations de biens culturels</t>
        </is>
      </c>
      <c r="E186" t="inlineStr">
        <is>
          <t>Bishop, Delphine</t>
        </is>
      </c>
      <c r="F186" t="inlineStr">
        <is>
          <t>Attend a meeting with the Senior Project manager</t>
        </is>
      </c>
      <c r="G186" t="inlineStr">
        <is>
          <t>Participer à une rencontre avec la chef de l'initiative stratégique</t>
        </is>
      </c>
      <c r="H186" s="1" t="n">
        <v>42800</v>
      </c>
      <c r="I186" s="1" t="n">
        <v>42800</v>
      </c>
      <c r="J186" t="inlineStr">
        <is>
          <t>Ottawa, ON</t>
        </is>
      </c>
      <c r="K186" t="inlineStr">
        <is>
          <t>Ottawa, ON</t>
        </is>
      </c>
      <c r="T186" t="n">
        <v>11</v>
      </c>
      <c r="U186" t="n">
        <v>11</v>
      </c>
      <c r="X186" t="inlineStr">
        <is>
          <t>atssc-scdata</t>
        </is>
      </c>
      <c r="Y186" t="inlineStr">
        <is>
          <t>Administrative Tribunals Support Service of Canada | Service canadien d'appui aux tribunaux administratifs</t>
        </is>
      </c>
      <c r="Z186" t="n">
        <v>1</v>
      </c>
      <c r="AA186" t="n">
        <v>11</v>
      </c>
      <c r="AB186">
        <f>ROUND(U186-AA186,2)</f>
        <v/>
      </c>
      <c r="AC186" t="b">
        <v>0</v>
      </c>
      <c r="AD186">
        <f>IF(U186="","MISSING_TOTAL",IF(ABS(AB186)&lt;=0.01,"OK","CHECK"))</f>
        <v/>
      </c>
      <c r="AE186">
        <f>IF(U186="","MISSING",IF(AND(AA186&gt;0,U186/AA186&gt;50),"POSSIBLE_SCALE_ERROR","OK"))</f>
        <v/>
      </c>
    </row>
    <row r="187">
      <c r="A187" t="inlineStr">
        <is>
          <t>T-2017-Q1-00009</t>
        </is>
      </c>
      <c r="B187" t="inlineStr">
        <is>
          <t>SLE</t>
        </is>
      </c>
      <c r="C187" t="inlineStr">
        <is>
          <t>Executive Director, Secretariat to the Canadian Cultural Property Export Review Board</t>
        </is>
      </c>
      <c r="D187" t="inlineStr">
        <is>
          <t>Directrice exécutive, Secrétariat de la Commission canadienne d’examen des exportations de biens culturels</t>
        </is>
      </c>
      <c r="E187" t="inlineStr">
        <is>
          <t>Bishop, Delphine</t>
        </is>
      </c>
      <c r="F187" t="inlineStr">
        <is>
          <t>Attend a Budget Allocation meeting</t>
        </is>
      </c>
      <c r="G187" t="inlineStr">
        <is>
          <t>Participer à une rencontre sur l'allocation budgétaire</t>
        </is>
      </c>
      <c r="H187" s="1" t="n">
        <v>42807</v>
      </c>
      <c r="I187" s="1" t="n">
        <v>42807</v>
      </c>
      <c r="J187" t="inlineStr">
        <is>
          <t>Ottawa, ON</t>
        </is>
      </c>
      <c r="K187" t="inlineStr">
        <is>
          <t>Ottawa, ON</t>
        </is>
      </c>
      <c r="T187" t="n">
        <v>12.5</v>
      </c>
      <c r="U187" t="n">
        <v>12.5</v>
      </c>
      <c r="X187" t="inlineStr">
        <is>
          <t>atssc-scdata</t>
        </is>
      </c>
      <c r="Y187" t="inlineStr">
        <is>
          <t>Administrative Tribunals Support Service of Canada | Service canadien d'appui aux tribunaux administratifs</t>
        </is>
      </c>
      <c r="Z187" t="n">
        <v>1</v>
      </c>
      <c r="AA187" t="n">
        <v>12.5</v>
      </c>
      <c r="AB187">
        <f>ROUND(U187-AA187,2)</f>
        <v/>
      </c>
      <c r="AC187" t="b">
        <v>0</v>
      </c>
      <c r="AD187">
        <f>IF(U187="","MISSING_TOTAL",IF(ABS(AB187)&lt;=0.01,"OK","CHECK"))</f>
        <v/>
      </c>
      <c r="AE187">
        <f>IF(U187="","MISSING",IF(AND(AA187&gt;0,U187/AA187&gt;50),"POSSIBLE_SCALE_ERROR","OK"))</f>
        <v/>
      </c>
    </row>
    <row r="188">
      <c r="A188" t="inlineStr">
        <is>
          <t>T-2017-Q1-00010</t>
        </is>
      </c>
      <c r="B188" t="inlineStr">
        <is>
          <t>SLE</t>
        </is>
      </c>
      <c r="C188" t="inlineStr">
        <is>
          <t>Executive Director, Secretariat to the Canadian Cultural Property Export Review Board</t>
        </is>
      </c>
      <c r="D188" t="inlineStr">
        <is>
          <t>Directrice exécutive, Secrétariat de la Commission canadienne d’examen des exportations de biens culturels</t>
        </is>
      </c>
      <c r="E188" t="inlineStr">
        <is>
          <t>Bishop, Delphine</t>
        </is>
      </c>
      <c r="F188" t="inlineStr">
        <is>
          <t>Attend the CCPERB Board meeting</t>
        </is>
      </c>
      <c r="G188" t="inlineStr">
        <is>
          <t>Assister à la réunion des membres de la Commission CCEEBC</t>
        </is>
      </c>
      <c r="H188" s="1" t="n">
        <v>42808</v>
      </c>
      <c r="I188" s="1" t="n">
        <v>42811</v>
      </c>
      <c r="J188" t="inlineStr">
        <is>
          <t>Ottawa, ON</t>
        </is>
      </c>
      <c r="K188" t="inlineStr">
        <is>
          <t>Ottawa, ON</t>
        </is>
      </c>
      <c r="T188" t="n">
        <v>80</v>
      </c>
      <c r="U188" t="n">
        <v>80</v>
      </c>
      <c r="X188" t="inlineStr">
        <is>
          <t>atssc-scdata</t>
        </is>
      </c>
      <c r="Y188" t="inlineStr">
        <is>
          <t>Administrative Tribunals Support Service of Canada | Service canadien d'appui aux tribunaux administratifs</t>
        </is>
      </c>
      <c r="Z188" t="n">
        <v>4</v>
      </c>
      <c r="AA188" t="n">
        <v>80</v>
      </c>
      <c r="AB188">
        <f>ROUND(U188-AA188,2)</f>
        <v/>
      </c>
      <c r="AC188" t="b">
        <v>0</v>
      </c>
      <c r="AD188">
        <f>IF(U188="","MISSING_TOTAL",IF(ABS(AB188)&lt;=0.01,"OK","CHECK"))</f>
        <v/>
      </c>
      <c r="AE188">
        <f>IF(U188="","MISSING",IF(AND(AA188&gt;0,U188/AA188&gt;50),"POSSIBLE_SCALE_ERROR","OK"))</f>
        <v/>
      </c>
    </row>
    <row r="189">
      <c r="A189" t="inlineStr">
        <is>
          <t>T-2017-Q1-00011</t>
        </is>
      </c>
      <c r="B189" t="inlineStr">
        <is>
          <t>SLE</t>
        </is>
      </c>
      <c r="C189" t="inlineStr">
        <is>
          <t>Executive Director, Secretariat to the Canadian Cultural Property Export Review Board</t>
        </is>
      </c>
      <c r="D189" t="inlineStr">
        <is>
          <t>Directrice exécutive, Secrétariat de la Commission canadienne d’examen des exportations de biens culturels</t>
        </is>
      </c>
      <c r="E189" t="inlineStr">
        <is>
          <t>Bishop, Delphine</t>
        </is>
      </c>
      <c r="F189" t="inlineStr">
        <is>
          <t>Attend the Classification Committee meeting</t>
        </is>
      </c>
      <c r="G189" t="inlineStr">
        <is>
          <t>Participer à une rencontre du comité de la classification</t>
        </is>
      </c>
      <c r="H189" s="1" t="n">
        <v>42816</v>
      </c>
      <c r="I189" s="1" t="n">
        <v>42816</v>
      </c>
      <c r="J189" t="inlineStr">
        <is>
          <t>Ottawa, ON</t>
        </is>
      </c>
      <c r="K189" t="inlineStr">
        <is>
          <t>Ottawa, ON</t>
        </is>
      </c>
      <c r="T189" t="n">
        <v>20</v>
      </c>
      <c r="U189" t="n">
        <v>20</v>
      </c>
      <c r="X189" t="inlineStr">
        <is>
          <t>atssc-scdata</t>
        </is>
      </c>
      <c r="Y189" t="inlineStr">
        <is>
          <t>Administrative Tribunals Support Service of Canada | Service canadien d'appui aux tribunaux administratifs</t>
        </is>
      </c>
      <c r="Z189" t="n">
        <v>1</v>
      </c>
      <c r="AA189" t="n">
        <v>20</v>
      </c>
      <c r="AB189">
        <f>ROUND(U189-AA189,2)</f>
        <v/>
      </c>
      <c r="AC189" t="b">
        <v>0</v>
      </c>
      <c r="AD189">
        <f>IF(U189="","MISSING_TOTAL",IF(ABS(AB189)&lt;=0.01,"OK","CHECK"))</f>
        <v/>
      </c>
      <c r="AE189">
        <f>IF(U189="","MISSING",IF(AND(AA189&gt;0,U189/AA189&gt;50),"POSSIBLE_SCALE_ERROR","OK"))</f>
        <v/>
      </c>
    </row>
    <row r="190">
      <c r="A190" t="inlineStr">
        <is>
          <t>T-2017-Q1-00012</t>
        </is>
      </c>
      <c r="B190" t="inlineStr">
        <is>
          <t>SLE</t>
        </is>
      </c>
      <c r="C190" t="inlineStr">
        <is>
          <t>Executive Director, Secretariat to the Canadian Cultural Property Export Review Board</t>
        </is>
      </c>
      <c r="D190" t="inlineStr">
        <is>
          <t>Directrice exécutive, Secrétariat de la Commission canadienne d’examen des exportations de biens culturels</t>
        </is>
      </c>
      <c r="E190" t="inlineStr">
        <is>
          <t>Bishop, Delphine</t>
        </is>
      </c>
      <c r="F190" t="inlineStr">
        <is>
          <t>Attend a meeting with  Executive Directors</t>
        </is>
      </c>
      <c r="G190" t="inlineStr">
        <is>
          <t>Participer à une rencontre avec les directeurs exécutifs</t>
        </is>
      </c>
      <c r="H190" s="1" t="n">
        <v>42823</v>
      </c>
      <c r="I190" s="1" t="n">
        <v>42823</v>
      </c>
      <c r="J190" t="inlineStr">
        <is>
          <t>Ottawa, ON</t>
        </is>
      </c>
      <c r="K190" t="inlineStr">
        <is>
          <t>Ottawa, ON</t>
        </is>
      </c>
      <c r="T190" t="n">
        <v>20</v>
      </c>
      <c r="U190" t="n">
        <v>20</v>
      </c>
      <c r="X190" t="inlineStr">
        <is>
          <t>atssc-scdata</t>
        </is>
      </c>
      <c r="Y190" t="inlineStr">
        <is>
          <t>Administrative Tribunals Support Service of Canada | Service canadien d'appui aux tribunaux administratifs</t>
        </is>
      </c>
      <c r="Z190" t="n">
        <v>1</v>
      </c>
      <c r="AA190" t="n">
        <v>20</v>
      </c>
      <c r="AB190">
        <f>ROUND(U190-AA190,2)</f>
        <v/>
      </c>
      <c r="AC190" t="b">
        <v>0</v>
      </c>
      <c r="AD190">
        <f>IF(U190="","MISSING_TOTAL",IF(ABS(AB190)&lt;=0.01,"OK","CHECK"))</f>
        <v/>
      </c>
      <c r="AE190">
        <f>IF(U190="","MISSING",IF(AND(AA190&gt;0,U190/AA190&gt;50),"POSSIBLE_SCALE_ERROR","OK"))</f>
        <v/>
      </c>
    </row>
    <row r="191">
      <c r="A191" t="inlineStr">
        <is>
          <t>T-2017-Q1-00013</t>
        </is>
      </c>
      <c r="B191" t="inlineStr">
        <is>
          <t>SLE</t>
        </is>
      </c>
      <c r="C191" t="inlineStr">
        <is>
          <t>Chairperson, Canada Industrial Relations Board</t>
        </is>
      </c>
      <c r="D191" t="inlineStr">
        <is>
          <t>Présidente, Conseil canadien des relations industrielles</t>
        </is>
      </c>
      <c r="E191" t="inlineStr">
        <is>
          <t>Ginette Brazeau</t>
        </is>
      </c>
      <c r="F191" t="inlineStr">
        <is>
          <t>Attend a Regional Directors Meeting</t>
        </is>
      </c>
      <c r="G191" t="inlineStr">
        <is>
          <t>Participer à une rencontre des directeurs régionaux</t>
        </is>
      </c>
      <c r="H191" s="1" t="n">
        <v>42794</v>
      </c>
      <c r="I191" s="1" t="n">
        <v>42796</v>
      </c>
      <c r="J191" t="inlineStr">
        <is>
          <t>Vancouver, BC</t>
        </is>
      </c>
      <c r="K191" t="inlineStr">
        <is>
          <t>Vancouver, BC</t>
        </is>
      </c>
      <c r="P191" t="n">
        <v>340.88</v>
      </c>
      <c r="Q191" t="n">
        <v>40</v>
      </c>
      <c r="R191" t="n">
        <v>340.76</v>
      </c>
      <c r="S191" t="n">
        <v>257.8</v>
      </c>
      <c r="U191" t="n">
        <v>979.4400000000001</v>
      </c>
      <c r="X191" t="inlineStr">
        <is>
          <t>atssc-scdata</t>
        </is>
      </c>
      <c r="Y191" t="inlineStr">
        <is>
          <t>Administrative Tribunals Support Service of Canada | Service canadien d'appui aux tribunaux administratifs</t>
        </is>
      </c>
      <c r="Z191" t="n">
        <v>3</v>
      </c>
      <c r="AA191" t="n">
        <v>979.4400000000001</v>
      </c>
      <c r="AB191">
        <f>ROUND(U191-AA191,2)</f>
        <v/>
      </c>
      <c r="AC191" t="b">
        <v>0</v>
      </c>
      <c r="AD191">
        <f>IF(U191="","MISSING_TOTAL",IF(ABS(AB191)&lt;=0.01,"OK","CHECK"))</f>
        <v/>
      </c>
      <c r="AE191">
        <f>IF(U191="","MISSING",IF(AND(AA191&gt;0,U191/AA191&gt;50),"POSSIBLE_SCALE_ERROR","OK"))</f>
        <v/>
      </c>
    </row>
    <row r="192">
      <c r="A192" t="inlineStr">
        <is>
          <t>T-2017-Q1-00014</t>
        </is>
      </c>
      <c r="B192" t="inlineStr">
        <is>
          <t>SLE</t>
        </is>
      </c>
      <c r="C192" t="inlineStr">
        <is>
          <t>Chairperson, Canada Industrial Relations Board</t>
        </is>
      </c>
      <c r="D192" t="inlineStr">
        <is>
          <t>Présidente, Conseil canadien des relations industrielles</t>
        </is>
      </c>
      <c r="E192" t="inlineStr">
        <is>
          <t>Ginette Brazeau</t>
        </is>
      </c>
      <c r="F192" t="inlineStr">
        <is>
          <t>To attend the Association of Labour Relations Agencies meeting</t>
        </is>
      </c>
      <c r="G192" t="inlineStr">
        <is>
          <t>Participer à une rencontre de la Association of Labour Relations Agencies</t>
        </is>
      </c>
      <c r="H192" s="1" t="n">
        <v>42797</v>
      </c>
      <c r="I192" s="1" t="n">
        <v>42799</v>
      </c>
      <c r="J192" t="inlineStr">
        <is>
          <t>Portland, Oregon</t>
        </is>
      </c>
      <c r="K192" t="inlineStr">
        <is>
          <t>Portland, Oregon</t>
        </is>
      </c>
      <c r="P192" t="n">
        <v>566.46</v>
      </c>
      <c r="Q192" t="n">
        <v>38.05</v>
      </c>
      <c r="R192" t="n">
        <v>852.08</v>
      </c>
      <c r="S192" t="n">
        <v>260.32</v>
      </c>
      <c r="T192" t="n">
        <v>120</v>
      </c>
      <c r="U192" t="n">
        <v>1836.91</v>
      </c>
      <c r="X192" t="inlineStr">
        <is>
          <t>atssc-scdata</t>
        </is>
      </c>
      <c r="Y192" t="inlineStr">
        <is>
          <t>Administrative Tribunals Support Service of Canada | Service canadien d'appui aux tribunaux administratifs</t>
        </is>
      </c>
      <c r="Z192" t="n">
        <v>3</v>
      </c>
      <c r="AA192" t="n">
        <v>1836.91</v>
      </c>
      <c r="AB192">
        <f>ROUND(U192-AA192,2)</f>
        <v/>
      </c>
      <c r="AC192" t="b">
        <v>0</v>
      </c>
      <c r="AD192">
        <f>IF(U192="","MISSING_TOTAL",IF(ABS(AB192)&lt;=0.01,"OK","CHECK"))</f>
        <v/>
      </c>
      <c r="AE192">
        <f>IF(U192="","MISSING",IF(AND(AA192&gt;0,U192/AA192&gt;50),"POSSIBLE_SCALE_ERROR","OK"))</f>
        <v/>
      </c>
    </row>
    <row r="193">
      <c r="A193" t="inlineStr">
        <is>
          <t>T-2017-Q1-00015</t>
        </is>
      </c>
      <c r="B193" t="inlineStr">
        <is>
          <t>SLE</t>
        </is>
      </c>
      <c r="C193" t="inlineStr">
        <is>
          <t>Chairperson, Canada Industrial Relations Board</t>
        </is>
      </c>
      <c r="D193" t="inlineStr">
        <is>
          <t>Présidente, Conseil canadien des relations industrielles</t>
        </is>
      </c>
      <c r="E193" t="inlineStr">
        <is>
          <t>Ginette Brazeau</t>
        </is>
      </c>
      <c r="F193" t="inlineStr">
        <is>
          <t>Hearing file # 31022-C</t>
        </is>
      </c>
      <c r="G193" t="inlineStr">
        <is>
          <t>Dossier d'audience no 31022-C</t>
        </is>
      </c>
      <c r="H193" s="1" t="n">
        <v>42801</v>
      </c>
      <c r="I193" s="1" t="n">
        <v>42804</v>
      </c>
      <c r="J193" t="inlineStr">
        <is>
          <t>Toronto, ON</t>
        </is>
      </c>
      <c r="K193" t="inlineStr">
        <is>
          <t>Toronto, ON</t>
        </is>
      </c>
      <c r="P193" t="n">
        <v>380.87</v>
      </c>
      <c r="Q193" t="n">
        <v>25</v>
      </c>
      <c r="R193" t="n">
        <v>611.36</v>
      </c>
      <c r="S193" t="n">
        <v>291.35</v>
      </c>
      <c r="T193" t="n">
        <v>131.16</v>
      </c>
      <c r="U193" t="n">
        <v>1439.74</v>
      </c>
      <c r="X193" t="inlineStr">
        <is>
          <t>atssc-scdata</t>
        </is>
      </c>
      <c r="Y193" t="inlineStr">
        <is>
          <t>Administrative Tribunals Support Service of Canada | Service canadien d'appui aux tribunaux administratifs</t>
        </is>
      </c>
      <c r="Z193" t="n">
        <v>4</v>
      </c>
      <c r="AA193" t="n">
        <v>1439.74</v>
      </c>
      <c r="AB193">
        <f>ROUND(U193-AA193,2)</f>
        <v/>
      </c>
      <c r="AC193" t="b">
        <v>0</v>
      </c>
      <c r="AD193">
        <f>IF(U193="","MISSING_TOTAL",IF(ABS(AB193)&lt;=0.01,"OK","CHECK"))</f>
        <v/>
      </c>
      <c r="AE193">
        <f>IF(U193="","MISSING",IF(AND(AA193&gt;0,U193/AA193&gt;50),"POSSIBLE_SCALE_ERROR","OK"))</f>
        <v/>
      </c>
    </row>
    <row r="194">
      <c r="A194" t="inlineStr">
        <is>
          <t>T-2017-Q1-00016</t>
        </is>
      </c>
      <c r="B194" t="inlineStr">
        <is>
          <t>SLE</t>
        </is>
      </c>
      <c r="C194" t="inlineStr">
        <is>
          <t>Chairperson, Canada Industrial Relations Board</t>
        </is>
      </c>
      <c r="D194" t="inlineStr">
        <is>
          <t>Présidente, Conseil canadien des relations industrielles</t>
        </is>
      </c>
      <c r="E194" t="inlineStr">
        <is>
          <t>Ginette Brazeau</t>
        </is>
      </c>
      <c r="F194" t="inlineStr">
        <is>
          <t>Hearing file # 31364-C</t>
        </is>
      </c>
      <c r="G194" t="inlineStr">
        <is>
          <t>Dossier d'audience no 31364-C</t>
        </is>
      </c>
      <c r="H194" s="1" t="n">
        <v>42822</v>
      </c>
      <c r="I194" s="1" t="n">
        <v>42825</v>
      </c>
      <c r="J194" t="inlineStr">
        <is>
          <t>Halifax, NS</t>
        </is>
      </c>
      <c r="K194" t="inlineStr">
        <is>
          <t>Halifax, NS</t>
        </is>
      </c>
      <c r="P194" t="n">
        <v>680.48</v>
      </c>
      <c r="Q194" t="n">
        <v>135</v>
      </c>
      <c r="R194" t="n">
        <v>612.3</v>
      </c>
      <c r="S194" t="n">
        <v>308.6</v>
      </c>
      <c r="T194" t="n">
        <v>92</v>
      </c>
      <c r="U194" t="n">
        <v>1828.38</v>
      </c>
      <c r="X194" t="inlineStr">
        <is>
          <t>atssc-scdata</t>
        </is>
      </c>
      <c r="Y194" t="inlineStr">
        <is>
          <t>Administrative Tribunals Support Service of Canada | Service canadien d'appui aux tribunaux administratifs</t>
        </is>
      </c>
      <c r="Z194" t="n">
        <v>4</v>
      </c>
      <c r="AA194" t="n">
        <v>1828.38</v>
      </c>
      <c r="AB194">
        <f>ROUND(U194-AA194,2)</f>
        <v/>
      </c>
      <c r="AC194" t="b">
        <v>0</v>
      </c>
      <c r="AD194">
        <f>IF(U194="","MISSING_TOTAL",IF(ABS(AB194)&lt;=0.01,"OK","CHECK"))</f>
        <v/>
      </c>
      <c r="AE194">
        <f>IF(U194="","MISSING",IF(AND(AA194&gt;0,U194/AA194&gt;50),"POSSIBLE_SCALE_ERROR","OK"))</f>
        <v/>
      </c>
    </row>
    <row r="195">
      <c r="A195" t="inlineStr">
        <is>
          <t>T-2017-Q1-00017</t>
        </is>
      </c>
      <c r="B195" t="inlineStr">
        <is>
          <t>SLE</t>
        </is>
      </c>
      <c r="C195" t="inlineStr">
        <is>
          <t>Chairperson, Canada Industrial Relations Board</t>
        </is>
      </c>
      <c r="D195" t="inlineStr">
        <is>
          <t>Présidente, Conseil canadien des relations industrielles</t>
        </is>
      </c>
      <c r="E195" t="inlineStr">
        <is>
          <t>Ginette Brazeau</t>
        </is>
      </c>
      <c r="F195" t="inlineStr">
        <is>
          <t>Hearing file # 31685 &amp; 31696-C</t>
        </is>
      </c>
      <c r="G195" t="inlineStr">
        <is>
          <t>Dossiers d'audience nos 31685 et 31696-C</t>
        </is>
      </c>
      <c r="H195" s="1" t="n">
        <v>42828</v>
      </c>
      <c r="I195" s="1" t="n">
        <v>42832</v>
      </c>
      <c r="J195" t="inlineStr">
        <is>
          <t>Vancouver, BC</t>
        </is>
      </c>
      <c r="K195" t="inlineStr">
        <is>
          <t>Vancouver, BC</t>
        </is>
      </c>
      <c r="P195" t="n">
        <v>413.98</v>
      </c>
      <c r="Q195" t="n">
        <v>73.2</v>
      </c>
      <c r="R195" t="n">
        <v>700.3200000000001</v>
      </c>
      <c r="S195" t="n">
        <v>248.65</v>
      </c>
      <c r="T195" t="n">
        <v>102</v>
      </c>
      <c r="U195" t="n">
        <v>1538.15</v>
      </c>
      <c r="X195" t="inlineStr">
        <is>
          <t>atssc-scdata</t>
        </is>
      </c>
      <c r="Y195" t="inlineStr">
        <is>
          <t>Administrative Tribunals Support Service of Canada | Service canadien d'appui aux tribunaux administratifs</t>
        </is>
      </c>
      <c r="Z195" t="n">
        <v>5</v>
      </c>
      <c r="AA195" t="n">
        <v>1538.15</v>
      </c>
      <c r="AB195">
        <f>ROUND(U195-AA195,2)</f>
        <v/>
      </c>
      <c r="AC195" t="b">
        <v>0</v>
      </c>
      <c r="AD195">
        <f>IF(U195="","MISSING_TOTAL",IF(ABS(AB195)&lt;=0.01,"OK","CHECK"))</f>
        <v/>
      </c>
      <c r="AE195">
        <f>IF(U195="","MISSING",IF(AND(AA195&gt;0,U195/AA195&gt;50),"POSSIBLE_SCALE_ERROR","OK"))</f>
        <v/>
      </c>
    </row>
    <row r="196">
      <c r="A196" t="inlineStr">
        <is>
          <t>T-2017-Q1-00018</t>
        </is>
      </c>
      <c r="B196" t="inlineStr">
        <is>
          <t>SLE</t>
        </is>
      </c>
      <c r="C196" t="inlineStr">
        <is>
          <t>Chairperson, Canada Industrial Relations Board</t>
        </is>
      </c>
      <c r="D196" t="inlineStr">
        <is>
          <t>Présidente, Conseil canadien des relations industrielles</t>
        </is>
      </c>
      <c r="E196" t="inlineStr">
        <is>
          <t>Ginette Brazeau</t>
        </is>
      </c>
      <c r="F196" t="inlineStr">
        <is>
          <t>Attend a presentation</t>
        </is>
      </c>
      <c r="G196" t="inlineStr">
        <is>
          <t>Participer à une présentation</t>
        </is>
      </c>
      <c r="H196" s="1" t="n">
        <v>42846</v>
      </c>
      <c r="I196" s="1" t="n">
        <v>42846</v>
      </c>
      <c r="J196" t="inlineStr">
        <is>
          <t>Ottawa, ON</t>
        </is>
      </c>
      <c r="K196" t="inlineStr">
        <is>
          <t>Ottawa, ON</t>
        </is>
      </c>
      <c r="T196" t="n">
        <v>22</v>
      </c>
      <c r="U196" t="n">
        <v>22</v>
      </c>
      <c r="X196" t="inlineStr">
        <is>
          <t>atssc-scdata</t>
        </is>
      </c>
      <c r="Y196" t="inlineStr">
        <is>
          <t>Administrative Tribunals Support Service of Canada | Service canadien d'appui aux tribunaux administratifs</t>
        </is>
      </c>
      <c r="Z196" t="n">
        <v>1</v>
      </c>
      <c r="AA196" t="n">
        <v>22</v>
      </c>
      <c r="AB196">
        <f>ROUND(U196-AA196,2)</f>
        <v/>
      </c>
      <c r="AC196" t="b">
        <v>0</v>
      </c>
      <c r="AD196">
        <f>IF(U196="","MISSING_TOTAL",IF(ABS(AB196)&lt;=0.01,"OK","CHECK"))</f>
        <v/>
      </c>
      <c r="AE196">
        <f>IF(U196="","MISSING",IF(AND(AA196&gt;0,U196/AA196&gt;50),"POSSIBLE_SCALE_ERROR","OK"))</f>
        <v/>
      </c>
    </row>
    <row r="197">
      <c r="A197" t="inlineStr">
        <is>
          <t>T-2017-Q1-00019</t>
        </is>
      </c>
      <c r="B197" t="inlineStr">
        <is>
          <t>SLE</t>
        </is>
      </c>
      <c r="C197" t="inlineStr">
        <is>
          <t>Chairperson, Canada Industrial Relations Board</t>
        </is>
      </c>
      <c r="D197" t="inlineStr">
        <is>
          <t>Présidente, Conseil canadien des relations industrielles</t>
        </is>
      </c>
      <c r="E197" t="inlineStr">
        <is>
          <t>Ginette Brazeau</t>
        </is>
      </c>
      <c r="F197" t="inlineStr">
        <is>
          <t>Hearing file # 31670-C &amp; 31671-C</t>
        </is>
      </c>
      <c r="G197" t="inlineStr">
        <is>
          <t>Dossiers d'audience nos 31670-C et 31671-C</t>
        </is>
      </c>
      <c r="H197" s="1" t="n">
        <v>42856</v>
      </c>
      <c r="I197" s="1" t="n">
        <v>42859</v>
      </c>
      <c r="J197" t="inlineStr">
        <is>
          <t>Vancouver, BC</t>
        </is>
      </c>
      <c r="K197" t="inlineStr">
        <is>
          <t>Vancouver, BC</t>
        </is>
      </c>
      <c r="P197" t="n">
        <v>4074.14</v>
      </c>
      <c r="Q197" t="n">
        <v>74.5</v>
      </c>
      <c r="R197" t="n">
        <v>441.8</v>
      </c>
      <c r="S197" t="n">
        <v>150.95</v>
      </c>
      <c r="T197" t="n">
        <v>69</v>
      </c>
      <c r="U197" t="n">
        <v>4810.39</v>
      </c>
      <c r="X197" t="inlineStr">
        <is>
          <t>atssc-scdata</t>
        </is>
      </c>
      <c r="Y197" t="inlineStr">
        <is>
          <t>Administrative Tribunals Support Service of Canada | Service canadien d'appui aux tribunaux administratifs</t>
        </is>
      </c>
      <c r="Z197" t="n">
        <v>4</v>
      </c>
      <c r="AA197" t="n">
        <v>4810.38999999999</v>
      </c>
      <c r="AB197">
        <f>ROUND(U197-AA197,2)</f>
        <v/>
      </c>
      <c r="AC197" t="b">
        <v>0</v>
      </c>
      <c r="AD197">
        <f>IF(U197="","MISSING_TOTAL",IF(ABS(AB197)&lt;=0.01,"OK","CHECK"))</f>
        <v/>
      </c>
      <c r="AE197">
        <f>IF(U197="","MISSING",IF(AND(AA197&gt;0,U197/AA197&gt;50),"POSSIBLE_SCALE_ERROR","OK"))</f>
        <v/>
      </c>
    </row>
    <row r="198">
      <c r="A198" t="inlineStr">
        <is>
          <t>T-2017-Q1-00020</t>
        </is>
      </c>
      <c r="B198" t="inlineStr">
        <is>
          <t>SLE</t>
        </is>
      </c>
      <c r="C198" t="inlineStr">
        <is>
          <t>Chairperson, Social Security Tribunal</t>
        </is>
      </c>
      <c r="D198" t="inlineStr">
        <is>
          <t>Présidente du Tribunal de la sécurité sociale</t>
        </is>
      </c>
      <c r="E198" t="inlineStr">
        <is>
          <t>Murielle, Brazeau</t>
        </is>
      </c>
      <c r="F198" t="inlineStr">
        <is>
          <t>To attend training</t>
        </is>
      </c>
      <c r="G198" t="inlineStr">
        <is>
          <t>Participer à une formation</t>
        </is>
      </c>
      <c r="H198" s="1" t="n">
        <v>42844</v>
      </c>
      <c r="I198" s="1" t="n">
        <v>42849</v>
      </c>
      <c r="J198" t="inlineStr">
        <is>
          <t>Vancouver, BC</t>
        </is>
      </c>
      <c r="K198" t="inlineStr">
        <is>
          <t>Vancouver, BC</t>
        </is>
      </c>
      <c r="P198" t="n">
        <v>1604.41</v>
      </c>
      <c r="Q198" t="n">
        <v>106.34</v>
      </c>
      <c r="R198" t="n">
        <v>479.39</v>
      </c>
      <c r="S198" t="n">
        <v>284</v>
      </c>
      <c r="T198" t="n">
        <v>138</v>
      </c>
      <c r="U198" t="n">
        <v>2612.14</v>
      </c>
      <c r="X198" t="inlineStr">
        <is>
          <t>atssc-scdata</t>
        </is>
      </c>
      <c r="Y198" t="inlineStr">
        <is>
          <t>Administrative Tribunals Support Service of Canada | Service canadien d'appui aux tribunaux administratifs</t>
        </is>
      </c>
      <c r="Z198" t="n">
        <v>6</v>
      </c>
      <c r="AA198" t="n">
        <v>2612.14</v>
      </c>
      <c r="AB198">
        <f>ROUND(U198-AA198,2)</f>
        <v/>
      </c>
      <c r="AC198" t="b">
        <v>0</v>
      </c>
      <c r="AD198">
        <f>IF(U198="","MISSING_TOTAL",IF(ABS(AB198)&lt;=0.01,"OK","CHECK"))</f>
        <v/>
      </c>
      <c r="AE198">
        <f>IF(U198="","MISSING",IF(AND(AA198&gt;0,U198/AA198&gt;50),"POSSIBLE_SCALE_ERROR","OK"))</f>
        <v/>
      </c>
    </row>
    <row r="199">
      <c r="A199" t="inlineStr">
        <is>
          <t>T-2017-Q1-00021</t>
        </is>
      </c>
      <c r="B199" t="inlineStr">
        <is>
          <t>SLE</t>
        </is>
      </c>
      <c r="C199" t="inlineStr">
        <is>
          <t>Chairperson, Canada Agricultural Review Tribunal</t>
        </is>
      </c>
      <c r="D199" t="inlineStr">
        <is>
          <t>Président, Commission de révision agricole du Canada</t>
        </is>
      </c>
      <c r="E199" t="inlineStr">
        <is>
          <t>Donald, Buckingham</t>
        </is>
      </c>
      <c r="F199" t="inlineStr">
        <is>
          <t>Hearing file #1912</t>
        </is>
      </c>
      <c r="G199" t="inlineStr">
        <is>
          <t>Dossier d'audience  no 1912</t>
        </is>
      </c>
      <c r="H199" s="1" t="n">
        <v>42805</v>
      </c>
      <c r="I199" s="1" t="n">
        <v>42808</v>
      </c>
      <c r="J199" t="inlineStr">
        <is>
          <t>Calgary, AB</t>
        </is>
      </c>
      <c r="K199" t="inlineStr">
        <is>
          <t>Calgary, AB</t>
        </is>
      </c>
      <c r="P199" t="n">
        <v>250.74</v>
      </c>
      <c r="Q199" t="n">
        <v>73.16</v>
      </c>
      <c r="R199" t="n">
        <v>189.73</v>
      </c>
      <c r="S199" t="n">
        <v>159.95</v>
      </c>
      <c r="T199" t="n">
        <v>48.93</v>
      </c>
      <c r="U199" t="n">
        <v>722.51</v>
      </c>
      <c r="X199" t="inlineStr">
        <is>
          <t>atssc-scdata</t>
        </is>
      </c>
      <c r="Y199" t="inlineStr">
        <is>
          <t>Administrative Tribunals Support Service of Canada | Service canadien d'appui aux tribunaux administratifs</t>
        </is>
      </c>
      <c r="Z199" t="n">
        <v>4</v>
      </c>
      <c r="AA199" t="n">
        <v>722.509999999999</v>
      </c>
      <c r="AB199">
        <f>ROUND(U199-AA199,2)</f>
        <v/>
      </c>
      <c r="AC199" t="b">
        <v>0</v>
      </c>
      <c r="AD199">
        <f>IF(U199="","MISSING_TOTAL",IF(ABS(AB199)&lt;=0.01,"OK","CHECK"))</f>
        <v/>
      </c>
      <c r="AE199">
        <f>IF(U199="","MISSING",IF(AND(AA199&gt;0,U199/AA199&gt;50),"POSSIBLE_SCALE_ERROR","OK"))</f>
        <v/>
      </c>
    </row>
    <row r="200">
      <c r="A200" t="inlineStr">
        <is>
          <t>T-2017-Q1-00022</t>
        </is>
      </c>
      <c r="B200" t="inlineStr">
        <is>
          <t>SLE</t>
        </is>
      </c>
      <c r="C200" t="inlineStr">
        <is>
          <t>Chairperson, Canada Agricultural Review Tribunal</t>
        </is>
      </c>
      <c r="D200" t="inlineStr">
        <is>
          <t>Président, Commission de révision agricole du Canada</t>
        </is>
      </c>
      <c r="E200" t="inlineStr">
        <is>
          <t>Donald, Buckingham</t>
        </is>
      </c>
      <c r="F200" t="inlineStr">
        <is>
          <t>Attend a meeting at the Canadian Transportation Agency</t>
        </is>
      </c>
      <c r="G200" t="inlineStr">
        <is>
          <t>Participer à une rencontre à l'Office des transports du Canada</t>
        </is>
      </c>
      <c r="H200" s="1" t="n">
        <v>42817</v>
      </c>
      <c r="I200" s="1" t="n">
        <v>42817</v>
      </c>
      <c r="J200" t="inlineStr">
        <is>
          <t>Gatineau, QC</t>
        </is>
      </c>
      <c r="K200" t="inlineStr">
        <is>
          <t>Gatineau, QC</t>
        </is>
      </c>
      <c r="T200" t="n">
        <v>14</v>
      </c>
      <c r="U200" t="n">
        <v>14</v>
      </c>
      <c r="X200" t="inlineStr">
        <is>
          <t>atssc-scdata</t>
        </is>
      </c>
      <c r="Y200" t="inlineStr">
        <is>
          <t>Administrative Tribunals Support Service of Canada | Service canadien d'appui aux tribunaux administratifs</t>
        </is>
      </c>
      <c r="Z200" t="n">
        <v>1</v>
      </c>
      <c r="AA200" t="n">
        <v>14</v>
      </c>
      <c r="AB200">
        <f>ROUND(U200-AA200,2)</f>
        <v/>
      </c>
      <c r="AC200" t="b">
        <v>0</v>
      </c>
      <c r="AD200">
        <f>IF(U200="","MISSING_TOTAL",IF(ABS(AB200)&lt;=0.01,"OK","CHECK"))</f>
        <v/>
      </c>
      <c r="AE200">
        <f>IF(U200="","MISSING",IF(AND(AA200&gt;0,U200/AA200&gt;50),"POSSIBLE_SCALE_ERROR","OK"))</f>
        <v/>
      </c>
    </row>
    <row r="201">
      <c r="A201" t="inlineStr">
        <is>
          <t>T-2016-Q4-007</t>
        </is>
      </c>
      <c r="B201" t="inlineStr">
        <is>
          <t>SLE</t>
        </is>
      </c>
      <c r="C201" t="inlineStr">
        <is>
          <t>Executive Director, Secretariat to the Canadian Cultural Property Export Review Board</t>
        </is>
      </c>
      <c r="D201" t="inlineStr">
        <is>
          <t>Directrice exécutive, Secrétariat de la Commission canadienne d’examen des exportations de biens culturels</t>
        </is>
      </c>
      <c r="E201" t="inlineStr">
        <is>
          <t>BISHOP, Delphine</t>
        </is>
      </c>
      <c r="F201" t="inlineStr">
        <is>
          <t>Attend the Operations Sub-committee</t>
        </is>
      </c>
      <c r="G201" t="inlineStr">
        <is>
          <t>Participer à la réunion du sous-comités des opérations</t>
        </is>
      </c>
      <c r="H201" s="1" t="n">
        <v>42691</v>
      </c>
      <c r="I201" s="1" t="n">
        <v>42691</v>
      </c>
      <c r="J201" t="inlineStr">
        <is>
          <t>Ottawa, ON</t>
        </is>
      </c>
      <c r="K201" t="inlineStr">
        <is>
          <t>Ottawa, ON</t>
        </is>
      </c>
      <c r="Q201" t="n">
        <v>18</v>
      </c>
      <c r="U201" t="n">
        <v>18</v>
      </c>
      <c r="X201" t="inlineStr">
        <is>
          <t>atssc-scdata</t>
        </is>
      </c>
      <c r="Y201" t="inlineStr">
        <is>
          <t>Administrative Tribunals Support Service of Canada | Service canadien d'appui aux tribunaux administratifs</t>
        </is>
      </c>
      <c r="Z201" t="n">
        <v>1</v>
      </c>
      <c r="AA201" t="n">
        <v>18</v>
      </c>
      <c r="AB201">
        <f>ROUND(U201-AA201,2)</f>
        <v/>
      </c>
      <c r="AC201" t="b">
        <v>0</v>
      </c>
      <c r="AD201">
        <f>IF(U201="","MISSING_TOTAL",IF(ABS(AB201)&lt;=0.01,"OK","CHECK"))</f>
        <v/>
      </c>
      <c r="AE201">
        <f>IF(U201="","MISSING",IF(AND(AA201&gt;0,U201/AA201&gt;50),"POSSIBLE_SCALE_ERROR","OK"))</f>
        <v/>
      </c>
    </row>
    <row r="202">
      <c r="A202" t="inlineStr">
        <is>
          <t>T-2017-Q1-00023</t>
        </is>
      </c>
      <c r="B202" t="inlineStr">
        <is>
          <t>SLE</t>
        </is>
      </c>
      <c r="C202" t="inlineStr">
        <is>
          <t>Chairperson, Canada Agricultural Review Tribunal</t>
        </is>
      </c>
      <c r="D202" t="inlineStr">
        <is>
          <t>Président, Commission de révision agricole du Canada</t>
        </is>
      </c>
      <c r="E202" t="inlineStr">
        <is>
          <t>Donald, Buckingham</t>
        </is>
      </c>
      <c r="F202" t="inlineStr">
        <is>
          <t>Hearing file #1856, #1857 &amp; #1858</t>
        </is>
      </c>
      <c r="G202" t="inlineStr">
        <is>
          <t>Dossiers d'audience  nos 1856, 1857 et 1858</t>
        </is>
      </c>
      <c r="H202" s="1" t="n">
        <v>42834</v>
      </c>
      <c r="I202" s="1" t="n">
        <v>42835</v>
      </c>
      <c r="J202" t="inlineStr">
        <is>
          <t>Québec, QC</t>
        </is>
      </c>
      <c r="K202" t="inlineStr">
        <is>
          <t>Québec, QC</t>
        </is>
      </c>
      <c r="P202" t="n">
        <v>660.62</v>
      </c>
      <c r="Q202" t="n">
        <v>64.92</v>
      </c>
      <c r="R202" t="n">
        <v>160.66</v>
      </c>
      <c r="S202" t="n">
        <v>161.7</v>
      </c>
      <c r="U202" t="n">
        <v>1047.9</v>
      </c>
      <c r="X202" t="inlineStr">
        <is>
          <t>atssc-scdata</t>
        </is>
      </c>
      <c r="Y202" t="inlineStr">
        <is>
          <t>Administrative Tribunals Support Service of Canada | Service canadien d'appui aux tribunaux administratifs</t>
        </is>
      </c>
      <c r="Z202" t="n">
        <v>2</v>
      </c>
      <c r="AA202" t="n">
        <v>1047.89999999999</v>
      </c>
      <c r="AB202">
        <f>ROUND(U202-AA202,2)</f>
        <v/>
      </c>
      <c r="AC202" t="b">
        <v>0</v>
      </c>
      <c r="AD202">
        <f>IF(U202="","MISSING_TOTAL",IF(ABS(AB202)&lt;=0.01,"OK","CHECK"))</f>
        <v/>
      </c>
      <c r="AE202">
        <f>IF(U202="","MISSING",IF(AND(AA202&gt;0,U202/AA202&gt;50),"POSSIBLE_SCALE_ERROR","OK"))</f>
        <v/>
      </c>
    </row>
    <row r="203">
      <c r="A203" t="inlineStr">
        <is>
          <t>T-2017-Q1-00024</t>
        </is>
      </c>
      <c r="B203" t="inlineStr">
        <is>
          <t>SLE</t>
        </is>
      </c>
      <c r="C203" t="inlineStr">
        <is>
          <t>Executive Director and General Counsel, Secretariat to the Canadian International Trade Tribunal</t>
        </is>
      </c>
      <c r="D203" t="inlineStr">
        <is>
          <t>Directeur exécutif et avocat général, Secrétariat du Tribunal canadien du commerce extérieur</t>
        </is>
      </c>
      <c r="E203" t="inlineStr">
        <is>
          <t>Covelli, Nick</t>
        </is>
      </c>
      <c r="F203" t="inlineStr">
        <is>
          <t>Attend the 38th Annual International Trade Update</t>
        </is>
      </c>
      <c r="G203" t="inlineStr">
        <is>
          <t>Participer à la 38e International Trade Update annuelle</t>
        </is>
      </c>
      <c r="H203" s="1" t="n">
        <v>42802</v>
      </c>
      <c r="I203" s="1" t="n">
        <v>42804</v>
      </c>
      <c r="J203" t="inlineStr">
        <is>
          <t>Washington, DC</t>
        </is>
      </c>
      <c r="K203" t="inlineStr">
        <is>
          <t>Washington, DC</t>
        </is>
      </c>
      <c r="P203" t="n">
        <v>668.42</v>
      </c>
      <c r="Q203" t="n">
        <v>32.7</v>
      </c>
      <c r="R203" t="n">
        <v>1070.02</v>
      </c>
      <c r="S203" t="n">
        <v>346.63</v>
      </c>
      <c r="T203" t="n">
        <v>51.65</v>
      </c>
      <c r="U203" t="n">
        <v>2169.42</v>
      </c>
      <c r="X203" t="inlineStr">
        <is>
          <t>atssc-scdata</t>
        </is>
      </c>
      <c r="Y203" t="inlineStr">
        <is>
          <t>Administrative Tribunals Support Service of Canada | Service canadien d'appui aux tribunaux administratifs</t>
        </is>
      </c>
      <c r="Z203" t="n">
        <v>3</v>
      </c>
      <c r="AA203" t="n">
        <v>2169.42</v>
      </c>
      <c r="AB203">
        <f>ROUND(U203-AA203,2)</f>
        <v/>
      </c>
      <c r="AC203" t="b">
        <v>0</v>
      </c>
      <c r="AD203">
        <f>IF(U203="","MISSING_TOTAL",IF(ABS(AB203)&lt;=0.01,"OK","CHECK"))</f>
        <v/>
      </c>
      <c r="AE203">
        <f>IF(U203="","MISSING",IF(AND(AA203&gt;0,U203/AA203&gt;50),"POSSIBLE_SCALE_ERROR","OK"))</f>
        <v/>
      </c>
    </row>
    <row r="204">
      <c r="A204" t="inlineStr">
        <is>
          <t>T-2017-Q1-00025</t>
        </is>
      </c>
      <c r="B204" t="inlineStr">
        <is>
          <t>SLE</t>
        </is>
      </c>
      <c r="C204" t="inlineStr">
        <is>
          <t>Executive Director and General Counsel, Secretariat to the Canada Industrial Relations Board</t>
        </is>
      </c>
      <c r="D204" t="inlineStr">
        <is>
          <t>Directrice exécutive et avocate générale, Secrétariat du Conseil canadien des relations industrielles</t>
        </is>
      </c>
      <c r="E204" t="inlineStr">
        <is>
          <t>Sylvie, Guilbert</t>
        </is>
      </c>
      <c r="F204" t="inlineStr">
        <is>
          <t>Attend a regional staff meeting</t>
        </is>
      </c>
      <c r="G204" t="inlineStr">
        <is>
          <t>Participer à une rencontre des employés régionaux</t>
        </is>
      </c>
      <c r="H204" s="1" t="n">
        <v>42794</v>
      </c>
      <c r="I204" s="1" t="n">
        <v>42796</v>
      </c>
      <c r="J204" t="inlineStr">
        <is>
          <t>Vancouver, BC</t>
        </is>
      </c>
      <c r="K204" t="inlineStr">
        <is>
          <t>Vancouver, BC</t>
        </is>
      </c>
      <c r="P204" t="n">
        <v>315.13</v>
      </c>
      <c r="Q204" t="n">
        <v>76.92</v>
      </c>
      <c r="R204" t="n">
        <v>511.14</v>
      </c>
      <c r="S204" t="n">
        <v>291.3</v>
      </c>
      <c r="U204" t="n">
        <v>1194.49</v>
      </c>
      <c r="X204" t="inlineStr">
        <is>
          <t>atssc-scdata</t>
        </is>
      </c>
      <c r="Y204" t="inlineStr">
        <is>
          <t>Administrative Tribunals Support Service of Canada | Service canadien d'appui aux tribunaux administratifs</t>
        </is>
      </c>
      <c r="Z204" t="n">
        <v>3</v>
      </c>
      <c r="AA204" t="n">
        <v>1194.49</v>
      </c>
      <c r="AB204">
        <f>ROUND(U204-AA204,2)</f>
        <v/>
      </c>
      <c r="AC204" t="b">
        <v>0</v>
      </c>
      <c r="AD204">
        <f>IF(U204="","MISSING_TOTAL",IF(ABS(AB204)&lt;=0.01,"OK","CHECK"))</f>
        <v/>
      </c>
      <c r="AE204">
        <f>IF(U204="","MISSING",IF(AND(AA204&gt;0,U204/AA204&gt;50),"POSSIBLE_SCALE_ERROR","OK"))</f>
        <v/>
      </c>
    </row>
    <row r="205">
      <c r="A205" t="inlineStr">
        <is>
          <t>T-2017-Q1-00026</t>
        </is>
      </c>
      <c r="B205" t="inlineStr">
        <is>
          <t>SLE</t>
        </is>
      </c>
      <c r="C205" t="inlineStr">
        <is>
          <t>Executive Director and General Counsel, Secretariat to the Canada Industrial Relations Board</t>
        </is>
      </c>
      <c r="D205" t="inlineStr">
        <is>
          <t>Directrice exécutive et avocate générale, Secrétariat du Conseil canadien des relations industrielles</t>
        </is>
      </c>
      <c r="E205" t="inlineStr">
        <is>
          <t>Sylvie, Guilbert</t>
        </is>
      </c>
      <c r="F205" t="inlineStr">
        <is>
          <t>To attend a meeting of the Association of Labour Relations Agencies</t>
        </is>
      </c>
      <c r="G205" t="inlineStr">
        <is>
          <t>Participer à une rencontre de la Association of Labour Relations Agencies</t>
        </is>
      </c>
      <c r="H205" s="1" t="n">
        <v>42797</v>
      </c>
      <c r="I205" s="1" t="n">
        <v>42800</v>
      </c>
      <c r="J205" t="inlineStr">
        <is>
          <t>Portland, Oregon</t>
        </is>
      </c>
      <c r="K205" t="inlineStr">
        <is>
          <t>Portland, Oregon</t>
        </is>
      </c>
      <c r="P205" t="n">
        <v>742.9299999999999</v>
      </c>
      <c r="Q205" t="n">
        <v>97.63</v>
      </c>
      <c r="R205" t="n">
        <v>830.86</v>
      </c>
      <c r="S205" t="n">
        <v>406.06</v>
      </c>
      <c r="U205" t="n">
        <v>2077.48</v>
      </c>
      <c r="X205" t="inlineStr">
        <is>
          <t>atssc-scdata</t>
        </is>
      </c>
      <c r="Y205" t="inlineStr">
        <is>
          <t>Administrative Tribunals Support Service of Canada | Service canadien d'appui aux tribunaux administratifs</t>
        </is>
      </c>
      <c r="Z205" t="n">
        <v>4</v>
      </c>
      <c r="AA205" t="n">
        <v>2077.48</v>
      </c>
      <c r="AB205">
        <f>ROUND(U205-AA205,2)</f>
        <v/>
      </c>
      <c r="AC205" t="b">
        <v>0</v>
      </c>
      <c r="AD205">
        <f>IF(U205="","MISSING_TOTAL",IF(ABS(AB205)&lt;=0.01,"OK","CHECK"))</f>
        <v/>
      </c>
      <c r="AE205">
        <f>IF(U205="","MISSING",IF(AND(AA205&gt;0,U205/AA205&gt;50),"POSSIBLE_SCALE_ERROR","OK"))</f>
        <v/>
      </c>
    </row>
    <row r="206">
      <c r="A206" t="inlineStr">
        <is>
          <t>T-2017-Q1-00027</t>
        </is>
      </c>
      <c r="B206" t="inlineStr">
        <is>
          <t>SLE</t>
        </is>
      </c>
      <c r="C206" t="inlineStr">
        <is>
          <t>Chairperson, Canadian Cultural Property Export Review Board</t>
        </is>
      </c>
      <c r="D206" t="inlineStr">
        <is>
          <t>Présidente, Commission canadienne d’examen des exportations de biens culturels</t>
        </is>
      </c>
      <c r="E206" t="inlineStr">
        <is>
          <t>Ingram, Sharilyn</t>
        </is>
      </c>
      <c r="F206" t="inlineStr">
        <is>
          <t>Attend a preparation day for the CCPERB board meeting</t>
        </is>
      </c>
      <c r="G206" t="inlineStr">
        <is>
          <t>Assister à une journée préparatoire de la rencontre des membre de CCEEBC</t>
        </is>
      </c>
      <c r="H206" s="1" t="n">
        <v>42795</v>
      </c>
      <c r="I206" s="1" t="n">
        <v>42797</v>
      </c>
      <c r="J206" t="inlineStr">
        <is>
          <t>Gatineau, QC</t>
        </is>
      </c>
      <c r="K206" t="inlineStr">
        <is>
          <t>Gatineau, QC</t>
        </is>
      </c>
      <c r="P206" t="n">
        <v>524.3099999999999</v>
      </c>
      <c r="Q206" t="n">
        <v>224.26</v>
      </c>
      <c r="R206" t="n">
        <v>366.52</v>
      </c>
      <c r="S206" t="n">
        <v>211.5</v>
      </c>
      <c r="U206" t="n">
        <v>1326.59</v>
      </c>
      <c r="X206" t="inlineStr">
        <is>
          <t>atssc-scdata</t>
        </is>
      </c>
      <c r="Y206" t="inlineStr">
        <is>
          <t>Administrative Tribunals Support Service of Canada | Service canadien d'appui aux tribunaux administratifs</t>
        </is>
      </c>
      <c r="Z206" t="n">
        <v>3</v>
      </c>
      <c r="AA206" t="n">
        <v>1326.59</v>
      </c>
      <c r="AB206">
        <f>ROUND(U206-AA206,2)</f>
        <v/>
      </c>
      <c r="AC206" t="b">
        <v>0</v>
      </c>
      <c r="AD206">
        <f>IF(U206="","MISSING_TOTAL",IF(ABS(AB206)&lt;=0.01,"OK","CHECK"))</f>
        <v/>
      </c>
      <c r="AE206">
        <f>IF(U206="","MISSING",IF(AND(AA206&gt;0,U206/AA206&gt;50),"POSSIBLE_SCALE_ERROR","OK"))</f>
        <v/>
      </c>
    </row>
    <row r="207">
      <c r="A207" t="inlineStr">
        <is>
          <t>T-2017-Q1-00028</t>
        </is>
      </c>
      <c r="B207" t="inlineStr">
        <is>
          <t>SLE</t>
        </is>
      </c>
      <c r="C207" t="inlineStr">
        <is>
          <t>Chairperson, Canadian Cultural Property Export Review Board</t>
        </is>
      </c>
      <c r="D207" t="inlineStr">
        <is>
          <t>Présidente, Commission canadienne d’examen des exportations de biens culturels</t>
        </is>
      </c>
      <c r="E207" t="inlineStr">
        <is>
          <t>Ingram, Sharilyn</t>
        </is>
      </c>
      <c r="F207" t="inlineStr">
        <is>
          <t>Attend the CCPERB meeting</t>
        </is>
      </c>
      <c r="G207" t="inlineStr">
        <is>
          <t>Assister à la réunion de CCEEBC</t>
        </is>
      </c>
      <c r="H207" s="1" t="n">
        <v>42807</v>
      </c>
      <c r="I207" s="1" t="n">
        <v>42811</v>
      </c>
      <c r="J207" t="inlineStr">
        <is>
          <t>Ottawa, ON</t>
        </is>
      </c>
      <c r="K207" t="inlineStr">
        <is>
          <t>Ottawa, ON</t>
        </is>
      </c>
      <c r="P207" t="n">
        <v>417.31</v>
      </c>
      <c r="Q207" t="n">
        <v>213.26</v>
      </c>
      <c r="R207" t="n">
        <v>707.64</v>
      </c>
      <c r="S207" t="n">
        <v>468.5</v>
      </c>
      <c r="U207" t="n">
        <v>1806.71</v>
      </c>
      <c r="X207" t="inlineStr">
        <is>
          <t>atssc-scdata</t>
        </is>
      </c>
      <c r="Y207" t="inlineStr">
        <is>
          <t>Administrative Tribunals Support Service of Canada | Service canadien d'appui aux tribunaux administratifs</t>
        </is>
      </c>
      <c r="Z207" t="n">
        <v>5</v>
      </c>
      <c r="AA207" t="n">
        <v>1806.71</v>
      </c>
      <c r="AB207">
        <f>ROUND(U207-AA207,2)</f>
        <v/>
      </c>
      <c r="AC207" t="b">
        <v>0</v>
      </c>
      <c r="AD207">
        <f>IF(U207="","MISSING_TOTAL",IF(ABS(AB207)&lt;=0.01,"OK","CHECK"))</f>
        <v/>
      </c>
      <c r="AE207">
        <f>IF(U207="","MISSING",IF(AND(AA207&gt;0,U207/AA207&gt;50),"POSSIBLE_SCALE_ERROR","OK"))</f>
        <v/>
      </c>
    </row>
    <row r="208">
      <c r="A208" t="inlineStr">
        <is>
          <t>T-2017-Q1-00029</t>
        </is>
      </c>
      <c r="B208" t="inlineStr">
        <is>
          <t>SLE</t>
        </is>
      </c>
      <c r="C208" t="inlineStr">
        <is>
          <t>Chairperson, Canadian Cultural Property Export Review Board</t>
        </is>
      </c>
      <c r="D208" t="inlineStr">
        <is>
          <t>Présidente, Commission canadienne d’examen des exportations de biens culturels</t>
        </is>
      </c>
      <c r="E208" t="inlineStr">
        <is>
          <t>Ingram, Sharilyn</t>
        </is>
      </c>
      <c r="F208" t="inlineStr">
        <is>
          <t>Attend the Chairperson's forum in Ottawa</t>
        </is>
      </c>
      <c r="G208" t="inlineStr">
        <is>
          <t>Assister au forum de la présidente à Ottawa</t>
        </is>
      </c>
      <c r="H208" s="1" t="n">
        <v>42817</v>
      </c>
      <c r="I208" s="1" t="n">
        <v>42818</v>
      </c>
      <c r="J208" t="inlineStr">
        <is>
          <t>Ottawa, ON</t>
        </is>
      </c>
      <c r="K208" t="inlineStr">
        <is>
          <t>Ottawa, ON</t>
        </is>
      </c>
      <c r="P208" t="n">
        <v>500.01</v>
      </c>
      <c r="Q208" t="n">
        <v>227.26</v>
      </c>
      <c r="R208" t="n">
        <v>176.91</v>
      </c>
      <c r="S208" t="n">
        <v>177.2</v>
      </c>
      <c r="U208" t="n">
        <v>1081.38</v>
      </c>
      <c r="X208" t="inlineStr">
        <is>
          <t>atssc-scdata</t>
        </is>
      </c>
      <c r="Y208" t="inlineStr">
        <is>
          <t>Administrative Tribunals Support Service of Canada | Service canadien d'appui aux tribunaux administratifs</t>
        </is>
      </c>
      <c r="Z208" t="n">
        <v>2</v>
      </c>
      <c r="AA208" t="n">
        <v>1081.37999999999</v>
      </c>
      <c r="AB208">
        <f>ROUND(U208-AA208,2)</f>
        <v/>
      </c>
      <c r="AC208" t="b">
        <v>0</v>
      </c>
      <c r="AD208">
        <f>IF(U208="","MISSING_TOTAL",IF(ABS(AB208)&lt;=0.01,"OK","CHECK"))</f>
        <v/>
      </c>
      <c r="AE208">
        <f>IF(U208="","MISSING",IF(AND(AA208&gt;0,U208/AA208&gt;50),"POSSIBLE_SCALE_ERROR","OK"))</f>
        <v/>
      </c>
    </row>
    <row r="209">
      <c r="A209" t="inlineStr">
        <is>
          <t>T-2017-Q1-00030</t>
        </is>
      </c>
      <c r="B209" t="inlineStr">
        <is>
          <t>SLE</t>
        </is>
      </c>
      <c r="C209" t="inlineStr">
        <is>
          <t>Chairperson, Canadian Human Rights Tribunal</t>
        </is>
      </c>
      <c r="D209" t="inlineStr">
        <is>
          <t>Président, Tribunal canadien des droits de la personne</t>
        </is>
      </c>
      <c r="E209" t="inlineStr">
        <is>
          <t>Thomas, David</t>
        </is>
      </c>
      <c r="F209" t="inlineStr">
        <is>
          <t>Hearing file # T2171/4516</t>
        </is>
      </c>
      <c r="G209" t="inlineStr">
        <is>
          <t>Dossier d'audience no T2171/4516</t>
        </is>
      </c>
      <c r="H209" s="1" t="n">
        <v>42823</v>
      </c>
      <c r="I209" s="1" t="n">
        <v>42827</v>
      </c>
      <c r="J209" t="inlineStr">
        <is>
          <t>Vancouver, BC</t>
        </is>
      </c>
      <c r="K209" t="inlineStr">
        <is>
          <t>Vancouver, BC</t>
        </is>
      </c>
      <c r="P209" t="n">
        <v>650.6900000000001</v>
      </c>
      <c r="Q209" t="n">
        <v>163.48</v>
      </c>
      <c r="R209" t="n">
        <v>307.86</v>
      </c>
      <c r="S209" t="n">
        <v>291.3</v>
      </c>
      <c r="T209" t="n">
        <v>135.82</v>
      </c>
      <c r="U209" t="n">
        <v>1549.15</v>
      </c>
      <c r="X209" t="inlineStr">
        <is>
          <t>atssc-scdata</t>
        </is>
      </c>
      <c r="Y209" t="inlineStr">
        <is>
          <t>Administrative Tribunals Support Service of Canada | Service canadien d'appui aux tribunaux administratifs</t>
        </is>
      </c>
      <c r="Z209" t="n">
        <v>5</v>
      </c>
      <c r="AA209" t="n">
        <v>1549.15</v>
      </c>
      <c r="AB209">
        <f>ROUND(U209-AA209,2)</f>
        <v/>
      </c>
      <c r="AC209" t="b">
        <v>0</v>
      </c>
      <c r="AD209">
        <f>IF(U209="","MISSING_TOTAL",IF(ABS(AB209)&lt;=0.01,"OK","CHECK"))</f>
        <v/>
      </c>
      <c r="AE209">
        <f>IF(U209="","MISSING",IF(AND(AA209&gt;0,U209/AA209&gt;50),"POSSIBLE_SCALE_ERROR","OK"))</f>
        <v/>
      </c>
    </row>
    <row r="210">
      <c r="A210" t="inlineStr">
        <is>
          <t>T-2017-Q2-016</t>
        </is>
      </c>
      <c r="B210" t="inlineStr">
        <is>
          <t>SLE</t>
        </is>
      </c>
      <c r="C210" t="inlineStr">
        <is>
          <t>Chairperson, Canada Industrial Relations Board</t>
        </is>
      </c>
      <c r="D210" t="inlineStr">
        <is>
          <t>Présidente, Conseil canadien des relations industrielles</t>
        </is>
      </c>
      <c r="E210" t="inlineStr">
        <is>
          <t>Ginette Brazeau</t>
        </is>
      </c>
      <c r="F210" t="inlineStr">
        <is>
          <t>Hearing file #42147</t>
        </is>
      </c>
      <c r="G210" t="inlineStr">
        <is>
          <t>Dossier d'audience #42147</t>
        </is>
      </c>
      <c r="H210" s="1" t="n">
        <v>42872</v>
      </c>
      <c r="I210" s="1" t="n">
        <v>42873</v>
      </c>
      <c r="J210" t="inlineStr">
        <is>
          <t>Halifax, NS</t>
        </is>
      </c>
      <c r="P210" t="n">
        <v>744.3200000000001</v>
      </c>
      <c r="Q210" t="n">
        <v>112</v>
      </c>
      <c r="R210" t="n">
        <v>198.24</v>
      </c>
      <c r="S210" t="n">
        <v>115.75</v>
      </c>
      <c r="U210" t="n">
        <v>1170.31</v>
      </c>
      <c r="X210" t="inlineStr">
        <is>
          <t>atssc-scdata</t>
        </is>
      </c>
      <c r="Y210" t="inlineStr">
        <is>
          <t>Administrative Tribunals Support Service of Canada | Service canadien d'appui aux tribunaux administratifs</t>
        </is>
      </c>
      <c r="Z210" t="n">
        <v>2</v>
      </c>
      <c r="AA210" t="n">
        <v>1170.31</v>
      </c>
      <c r="AB210">
        <f>ROUND(U210-AA210,2)</f>
        <v/>
      </c>
      <c r="AC210" t="b">
        <v>0</v>
      </c>
      <c r="AD210">
        <f>IF(U210="","MISSING_TOTAL",IF(ABS(AB210)&lt;=0.01,"OK","CHECK"))</f>
        <v/>
      </c>
      <c r="AE210">
        <f>IF(U210="","MISSING",IF(AND(AA210&gt;0,U210/AA210&gt;50),"POSSIBLE_SCALE_ERROR","OK"))</f>
        <v/>
      </c>
    </row>
    <row r="211">
      <c r="A211" t="inlineStr">
        <is>
          <t>T-2017-Q2-001</t>
        </is>
      </c>
      <c r="B211" t="inlineStr">
        <is>
          <t>SLE</t>
        </is>
      </c>
      <c r="C211" t="inlineStr">
        <is>
          <t>A/Executive Director and General Counsel, Secretariat to the Public Service Labour Relations and Employment Board</t>
        </is>
      </c>
      <c r="D211" t="inlineStr">
        <is>
          <t>Directrice générale et avocate générale par intérim, Secrétariat de la Commission des relations de travail et de l’emploi dans la fonction publique</t>
        </is>
      </c>
      <c r="E211" t="inlineStr">
        <is>
          <t>Virginia Adamson</t>
        </is>
      </c>
      <c r="F211" t="inlineStr">
        <is>
          <t>To attend the Annual Symposium of the Council of Canadian Administrative Tribunals</t>
        </is>
      </c>
      <c r="G211" t="inlineStr">
        <is>
          <t>Participer au colloque annuel du Conseil des tribunaux administratifs canadiens</t>
        </is>
      </c>
      <c r="H211" s="1" t="n">
        <v>42881</v>
      </c>
      <c r="I211" s="1" t="n">
        <v>42888</v>
      </c>
      <c r="J211" t="inlineStr">
        <is>
          <t>Vancouver, BC</t>
        </is>
      </c>
      <c r="Q211" t="n">
        <v>33</v>
      </c>
      <c r="R211" t="n">
        <v>828.36</v>
      </c>
      <c r="S211" t="n">
        <v>224.2</v>
      </c>
      <c r="T211" t="n">
        <v>56.5</v>
      </c>
      <c r="U211" t="n">
        <v>1142.06</v>
      </c>
      <c r="X211" t="inlineStr">
        <is>
          <t>atssc-scdata</t>
        </is>
      </c>
      <c r="Y211" t="inlineStr">
        <is>
          <t>Administrative Tribunals Support Service of Canada | Service canadien d'appui aux tribunaux administratifs</t>
        </is>
      </c>
      <c r="Z211" t="n">
        <v>8</v>
      </c>
      <c r="AA211" t="n">
        <v>1142.06</v>
      </c>
      <c r="AB211">
        <f>ROUND(U211-AA211,2)</f>
        <v/>
      </c>
      <c r="AC211" t="b">
        <v>0</v>
      </c>
      <c r="AD211">
        <f>IF(U211="","MISSING_TOTAL",IF(ABS(AB211)&lt;=0.01,"OK","CHECK"))</f>
        <v/>
      </c>
      <c r="AE211">
        <f>IF(U211="","MISSING",IF(AND(AA211&gt;0,U211/AA211&gt;50),"POSSIBLE_SCALE_ERROR","OK"))</f>
        <v/>
      </c>
    </row>
    <row r="212">
      <c r="A212" t="inlineStr">
        <is>
          <t>T-2017-Q2-002</t>
        </is>
      </c>
      <c r="B212" t="inlineStr">
        <is>
          <t>SLE</t>
        </is>
      </c>
      <c r="C212" t="inlineStr">
        <is>
          <t>A/Chairperson, Canadian International Trade Tribunal</t>
        </is>
      </c>
      <c r="D212" t="inlineStr">
        <is>
          <t>Président par intérim, Tribunal Canadien du commerce extérieur</t>
        </is>
      </c>
      <c r="E212" t="inlineStr">
        <is>
          <t>Jean Bédard</t>
        </is>
      </c>
      <c r="F212" t="inlineStr">
        <is>
          <t>Meeting with the United States Court of International trade</t>
        </is>
      </c>
      <c r="G212" t="inlineStr">
        <is>
          <t>Rencontre avec la United States Court of International trade</t>
        </is>
      </c>
      <c r="H212" s="1" t="n">
        <v>42941</v>
      </c>
      <c r="I212" s="1" t="n">
        <v>42942</v>
      </c>
      <c r="J212" t="inlineStr">
        <is>
          <t>New York, NY</t>
        </is>
      </c>
      <c r="P212" t="n">
        <v>450.38</v>
      </c>
      <c r="Q212" t="n">
        <v>144.85</v>
      </c>
      <c r="R212" t="n">
        <v>406.1</v>
      </c>
      <c r="S212" t="n">
        <v>247</v>
      </c>
      <c r="U212" t="n">
        <v>1248.33</v>
      </c>
      <c r="X212" t="inlineStr">
        <is>
          <t>atssc-scdata</t>
        </is>
      </c>
      <c r="Y212" t="inlineStr">
        <is>
          <t>Administrative Tribunals Support Service of Canada | Service canadien d'appui aux tribunaux administratifs</t>
        </is>
      </c>
      <c r="Z212" t="n">
        <v>2</v>
      </c>
      <c r="AA212" t="n">
        <v>1248.33</v>
      </c>
      <c r="AB212">
        <f>ROUND(U212-AA212,2)</f>
        <v/>
      </c>
      <c r="AC212" t="b">
        <v>0</v>
      </c>
      <c r="AD212">
        <f>IF(U212="","MISSING_TOTAL",IF(ABS(AB212)&lt;=0.01,"OK","CHECK"))</f>
        <v/>
      </c>
      <c r="AE212">
        <f>IF(U212="","MISSING",IF(AND(AA212&gt;0,U212/AA212&gt;50),"POSSIBLE_SCALE_ERROR","OK"))</f>
        <v/>
      </c>
    </row>
    <row r="213">
      <c r="A213" t="inlineStr">
        <is>
          <t>T-2017-Q2-003</t>
        </is>
      </c>
      <c r="B213" t="inlineStr">
        <is>
          <t>SLE</t>
        </is>
      </c>
      <c r="C213" t="inlineStr">
        <is>
          <t>A/Chairperson, Canadian International Trade Tribunal</t>
        </is>
      </c>
      <c r="D213" t="inlineStr">
        <is>
          <t>Président par intérim, Tribunal Canadien du commerce extérieur</t>
        </is>
      </c>
      <c r="E213" t="inlineStr">
        <is>
          <t>Jean Bédard</t>
        </is>
      </c>
      <c r="F213" t="inlineStr">
        <is>
          <t>Presentation to the Seoul International Forum on Trade Remedies 2017 and Meeting of heads of trade remedy investigative agencies</t>
        </is>
      </c>
      <c r="G213" t="inlineStr">
        <is>
          <t>Présentation au Forum Internationale de Séoul sur les recours commerciaux 2017 et participation à une réunion des dirigeants des autorités d’enquête des recours commerciaux</t>
        </is>
      </c>
      <c r="H213" s="1" t="n">
        <v>42919</v>
      </c>
      <c r="I213" s="1" t="n">
        <v>42924</v>
      </c>
      <c r="J213" t="inlineStr">
        <is>
          <t>Soul, SK</t>
        </is>
      </c>
      <c r="P213" t="n">
        <v>4948.28</v>
      </c>
      <c r="Q213" t="n">
        <v>35.2</v>
      </c>
      <c r="R213" t="n">
        <v>1030.74</v>
      </c>
      <c r="S213" t="n">
        <v>846.49</v>
      </c>
      <c r="T213" t="n">
        <v>20.33</v>
      </c>
      <c r="U213" t="n">
        <v>6881.04</v>
      </c>
      <c r="X213" t="inlineStr">
        <is>
          <t>atssc-scdata</t>
        </is>
      </c>
      <c r="Y213" t="inlineStr">
        <is>
          <t>Administrative Tribunals Support Service of Canada | Service canadien d'appui aux tribunaux administratifs</t>
        </is>
      </c>
      <c r="Z213" t="n">
        <v>6</v>
      </c>
      <c r="AA213" t="n">
        <v>6881.03999999999</v>
      </c>
      <c r="AB213">
        <f>ROUND(U213-AA213,2)</f>
        <v/>
      </c>
      <c r="AC213" t="b">
        <v>0</v>
      </c>
      <c r="AD213">
        <f>IF(U213="","MISSING_TOTAL",IF(ABS(AB213)&lt;=0.01,"OK","CHECK"))</f>
        <v/>
      </c>
      <c r="AE213">
        <f>IF(U213="","MISSING",IF(AND(AA213&gt;0,U213/AA213&gt;50),"POSSIBLE_SCALE_ERROR","OK"))</f>
        <v/>
      </c>
    </row>
    <row r="214">
      <c r="A214" t="inlineStr">
        <is>
          <t>T-2017-Q2-004</t>
        </is>
      </c>
      <c r="B214" t="inlineStr">
        <is>
          <t>SLE</t>
        </is>
      </c>
      <c r="C214" t="inlineStr">
        <is>
          <t>A/Chairperson, Canadian International Trade Tribunal</t>
        </is>
      </c>
      <c r="D214" t="inlineStr">
        <is>
          <t>Président par intérim, Tribunal Canadien du commerce extérieur</t>
        </is>
      </c>
      <c r="E214" t="inlineStr">
        <is>
          <t>Jean Bédard</t>
        </is>
      </c>
      <c r="F214" t="inlineStr">
        <is>
          <t>To attend the Annual Symposium of the Council of Canadian Administrative Tribunals</t>
        </is>
      </c>
      <c r="G214" t="inlineStr">
        <is>
          <t>Participer au colloque annuel du Conseil des tribunaux administratifs canadiens</t>
        </is>
      </c>
      <c r="H214" s="1" t="n">
        <v>42882</v>
      </c>
      <c r="I214" s="1" t="n">
        <v>42886</v>
      </c>
      <c r="J214" t="inlineStr">
        <is>
          <t>Vancouver, BC</t>
        </is>
      </c>
      <c r="P214" t="n">
        <v>797.91</v>
      </c>
      <c r="Q214" t="n">
        <v>108.02</v>
      </c>
      <c r="R214" t="n">
        <v>828.36</v>
      </c>
      <c r="S214" t="n">
        <v>242.25</v>
      </c>
      <c r="U214" t="n">
        <v>1976.54</v>
      </c>
      <c r="X214" t="inlineStr">
        <is>
          <t>atssc-scdata</t>
        </is>
      </c>
      <c r="Y214" t="inlineStr">
        <is>
          <t>Administrative Tribunals Support Service of Canada | Service canadien d'appui aux tribunaux administratifs</t>
        </is>
      </c>
      <c r="Z214" t="n">
        <v>5</v>
      </c>
      <c r="AA214" t="n">
        <v>1976.54</v>
      </c>
      <c r="AB214">
        <f>ROUND(U214-AA214,2)</f>
        <v/>
      </c>
      <c r="AC214" t="b">
        <v>0</v>
      </c>
      <c r="AD214">
        <f>IF(U214="","MISSING_TOTAL",IF(ABS(AB214)&lt;=0.01,"OK","CHECK"))</f>
        <v/>
      </c>
      <c r="AE214">
        <f>IF(U214="","MISSING",IF(AND(AA214&gt;0,U214/AA214&gt;50),"POSSIBLE_SCALE_ERROR","OK"))</f>
        <v/>
      </c>
    </row>
    <row r="215">
      <c r="A215" t="inlineStr">
        <is>
          <t>T-2017-Q2-005</t>
        </is>
      </c>
      <c r="B215" t="inlineStr">
        <is>
          <t>SLE</t>
        </is>
      </c>
      <c r="C215" t="inlineStr">
        <is>
          <t>Executive Director, Secretariat to the Canadian Cultural Property Export Review Board</t>
        </is>
      </c>
      <c r="D215" t="inlineStr">
        <is>
          <t>Directrice exécutive, Secrétariat de la Commission canadienne d’examen des exportations de biens culturels</t>
        </is>
      </c>
      <c r="E215" t="inlineStr">
        <is>
          <t>Delphine Bishop</t>
        </is>
      </c>
      <c r="F215" t="inlineStr">
        <is>
          <t>To attend a conference by the MIT Open Documentary Lab and Phi Centre</t>
        </is>
      </c>
      <c r="G215" t="inlineStr">
        <is>
          <t>Participer à une conférence offerte par MIT Open Documentary Lab and Phi Centre</t>
        </is>
      </c>
      <c r="H215" s="1" t="n">
        <v>42859</v>
      </c>
      <c r="I215" s="1" t="n">
        <v>42862</v>
      </c>
      <c r="J215" t="inlineStr">
        <is>
          <t>Montréal, Qc</t>
        </is>
      </c>
      <c r="Q215" t="n">
        <v>218.67</v>
      </c>
      <c r="R215" t="n">
        <v>299.88</v>
      </c>
      <c r="S215" t="n">
        <v>126.5</v>
      </c>
      <c r="T215" t="n">
        <v>50</v>
      </c>
      <c r="U215" t="n">
        <v>695.05</v>
      </c>
      <c r="X215" t="inlineStr">
        <is>
          <t>atssc-scdata</t>
        </is>
      </c>
      <c r="Y215" t="inlineStr">
        <is>
          <t>Administrative Tribunals Support Service of Canada | Service canadien d'appui aux tribunaux administratifs</t>
        </is>
      </c>
      <c r="Z215" t="n">
        <v>4</v>
      </c>
      <c r="AA215" t="n">
        <v>695.05</v>
      </c>
      <c r="AB215">
        <f>ROUND(U215-AA215,2)</f>
        <v/>
      </c>
      <c r="AC215" t="b">
        <v>0</v>
      </c>
      <c r="AD215">
        <f>IF(U215="","MISSING_TOTAL",IF(ABS(AB215)&lt;=0.01,"OK","CHECK"))</f>
        <v/>
      </c>
      <c r="AE215">
        <f>IF(U215="","MISSING",IF(AND(AA215&gt;0,U215/AA215&gt;50),"POSSIBLE_SCALE_ERROR","OK"))</f>
        <v/>
      </c>
    </row>
    <row r="216">
      <c r="A216" t="inlineStr">
        <is>
          <t>T-2017-Q2-006</t>
        </is>
      </c>
      <c r="B216" t="inlineStr">
        <is>
          <t>SLE</t>
        </is>
      </c>
      <c r="C216" t="inlineStr">
        <is>
          <t>Executive Director, Secretariat to the Canadian Cultural Property Export Review Board</t>
        </is>
      </c>
      <c r="D216" t="inlineStr">
        <is>
          <t>Directrice exécutive, Secrétariat de la Commission canadienne d’examen des exportations de biens culturels</t>
        </is>
      </c>
      <c r="E216" t="inlineStr">
        <is>
          <t>Delphine Bishop</t>
        </is>
      </c>
      <c r="F216" t="inlineStr">
        <is>
          <t>Attend a Senior Management Committee meeting</t>
        </is>
      </c>
      <c r="G216" t="inlineStr">
        <is>
          <t>Participer à une rencontre du comité de la haute direction</t>
        </is>
      </c>
      <c r="H216" s="1" t="n">
        <v>42830</v>
      </c>
      <c r="I216" s="1" t="n">
        <v>42830</v>
      </c>
      <c r="J216" t="inlineStr">
        <is>
          <t>Ottawa, ON</t>
        </is>
      </c>
      <c r="T216" t="n">
        <v>20</v>
      </c>
      <c r="U216" t="n">
        <v>20</v>
      </c>
      <c r="X216" t="inlineStr">
        <is>
          <t>atssc-scdata</t>
        </is>
      </c>
      <c r="Y216" t="inlineStr">
        <is>
          <t>Administrative Tribunals Support Service of Canada | Service canadien d'appui aux tribunaux administratifs</t>
        </is>
      </c>
      <c r="Z216" t="n">
        <v>1</v>
      </c>
      <c r="AA216" t="n">
        <v>20</v>
      </c>
      <c r="AB216">
        <f>ROUND(U216-AA216,2)</f>
        <v/>
      </c>
      <c r="AC216" t="b">
        <v>0</v>
      </c>
      <c r="AD216">
        <f>IF(U216="","MISSING_TOTAL",IF(ABS(AB216)&lt;=0.01,"OK","CHECK"))</f>
        <v/>
      </c>
      <c r="AE216">
        <f>IF(U216="","MISSING",IF(AND(AA216&gt;0,U216/AA216&gt;50),"POSSIBLE_SCALE_ERROR","OK"))</f>
        <v/>
      </c>
    </row>
    <row r="217">
      <c r="A217" t="inlineStr">
        <is>
          <t>T-2017-Q2-015</t>
        </is>
      </c>
      <c r="B217" t="inlineStr">
        <is>
          <t>SLE</t>
        </is>
      </c>
      <c r="C217" t="inlineStr">
        <is>
          <t>Chairperson, Canada Industrial Relations Board</t>
        </is>
      </c>
      <c r="D217" t="inlineStr">
        <is>
          <t>Présidente, Conseil canadien des relations industrielles</t>
        </is>
      </c>
      <c r="E217" t="inlineStr">
        <is>
          <t>Ginette Brazeau</t>
        </is>
      </c>
      <c r="F217" t="inlineStr">
        <is>
          <t>To attend the National Academy of Arbitrators' Annual Meeting</t>
        </is>
      </c>
      <c r="G217" t="inlineStr">
        <is>
          <t>Participer à l'assemblée annuel de la National Academy of Arbitrators</t>
        </is>
      </c>
      <c r="H217" s="1" t="n">
        <v>42879</v>
      </c>
      <c r="I217" s="1" t="n">
        <v>42882</v>
      </c>
      <c r="J217" t="inlineStr">
        <is>
          <t>Chicago, IL</t>
        </is>
      </c>
      <c r="P217" t="n">
        <v>324.37</v>
      </c>
      <c r="Q217" t="n">
        <v>165.44</v>
      </c>
      <c r="R217" t="n">
        <v>967.7</v>
      </c>
      <c r="S217" t="n">
        <v>334.6</v>
      </c>
      <c r="U217" t="n">
        <v>1792.11</v>
      </c>
      <c r="X217" t="inlineStr">
        <is>
          <t>atssc-scdata</t>
        </is>
      </c>
      <c r="Y217" t="inlineStr">
        <is>
          <t>Administrative Tribunals Support Service of Canada | Service canadien d'appui aux tribunaux administratifs</t>
        </is>
      </c>
      <c r="Z217" t="n">
        <v>4</v>
      </c>
      <c r="AA217" t="n">
        <v>1792.11</v>
      </c>
      <c r="AB217">
        <f>ROUND(U217-AA217,2)</f>
        <v/>
      </c>
      <c r="AC217" t="b">
        <v>0</v>
      </c>
      <c r="AD217">
        <f>IF(U217="","MISSING_TOTAL",IF(ABS(AB217)&lt;=0.01,"OK","CHECK"))</f>
        <v/>
      </c>
      <c r="AE217">
        <f>IF(U217="","MISSING",IF(AND(AA217&gt;0,U217/AA217&gt;50),"POSSIBLE_SCALE_ERROR","OK"))</f>
        <v/>
      </c>
    </row>
    <row r="218">
      <c r="A218" t="inlineStr">
        <is>
          <t>T-2017-Q2-007</t>
        </is>
      </c>
      <c r="B218" t="inlineStr">
        <is>
          <t>SLE</t>
        </is>
      </c>
      <c r="C218" t="inlineStr">
        <is>
          <t>Executive Director, Secretariat to the Canadian Cultural Property Export Review Board</t>
        </is>
      </c>
      <c r="D218" t="inlineStr">
        <is>
          <t>Directrice exécutive, Secrétariat de la Commission canadienne d’examen des exportations de biens culturels</t>
        </is>
      </c>
      <c r="E218" t="inlineStr">
        <is>
          <t>Delphine Bishop</t>
        </is>
      </c>
      <c r="F218" t="inlineStr">
        <is>
          <t>Attend meeting with senior management</t>
        </is>
      </c>
      <c r="G218" t="inlineStr">
        <is>
          <t>Participer à une rencontre avec la haute direction</t>
        </is>
      </c>
      <c r="H218" s="1" t="n">
        <v>42831</v>
      </c>
      <c r="I218" s="1" t="n">
        <v>42831</v>
      </c>
      <c r="J218" t="inlineStr">
        <is>
          <t>Ottawa, ON</t>
        </is>
      </c>
      <c r="T218" t="n">
        <v>4</v>
      </c>
      <c r="U218" t="n">
        <v>4</v>
      </c>
      <c r="X218" t="inlineStr">
        <is>
          <t>atssc-scdata</t>
        </is>
      </c>
      <c r="Y218" t="inlineStr">
        <is>
          <t>Administrative Tribunals Support Service of Canada | Service canadien d'appui aux tribunaux administratifs</t>
        </is>
      </c>
      <c r="Z218" t="n">
        <v>1</v>
      </c>
      <c r="AA218" t="n">
        <v>4</v>
      </c>
      <c r="AB218">
        <f>ROUND(U218-AA218,2)</f>
        <v/>
      </c>
      <c r="AC218" t="b">
        <v>0</v>
      </c>
      <c r="AD218">
        <f>IF(U218="","MISSING_TOTAL",IF(ABS(AB218)&lt;=0.01,"OK","CHECK"))</f>
        <v/>
      </c>
      <c r="AE218">
        <f>IF(U218="","MISSING",IF(AND(AA218&gt;0,U218/AA218&gt;50),"POSSIBLE_SCALE_ERROR","OK"))</f>
        <v/>
      </c>
    </row>
    <row r="219">
      <c r="A219" t="inlineStr">
        <is>
          <t>T-2017-Q2-008</t>
        </is>
      </c>
      <c r="B219" t="inlineStr">
        <is>
          <t>SLE</t>
        </is>
      </c>
      <c r="C219" t="inlineStr">
        <is>
          <t>Executive Director, Secretariat to the Canadian Cultural Property Export Review Board</t>
        </is>
      </c>
      <c r="D219" t="inlineStr">
        <is>
          <t>Directrice exécutive, Secrétariat de la Commission canadienne d’examen des exportations de biens culturels</t>
        </is>
      </c>
      <c r="E219" t="inlineStr">
        <is>
          <t>Delphine Bishop</t>
        </is>
      </c>
      <c r="F219" t="inlineStr">
        <is>
          <t>Interview</t>
        </is>
      </c>
      <c r="G219" t="inlineStr">
        <is>
          <t>Entrevue</t>
        </is>
      </c>
      <c r="H219" s="1" t="n">
        <v>42837</v>
      </c>
      <c r="I219" s="1" t="n">
        <v>42837</v>
      </c>
      <c r="J219" t="inlineStr">
        <is>
          <t>Ottawa, ON</t>
        </is>
      </c>
      <c r="T219" t="n">
        <v>20</v>
      </c>
      <c r="U219" t="n">
        <v>20</v>
      </c>
      <c r="X219" t="inlineStr">
        <is>
          <t>atssc-scdata</t>
        </is>
      </c>
      <c r="Y219" t="inlineStr">
        <is>
          <t>Administrative Tribunals Support Service of Canada | Service canadien d'appui aux tribunaux administratifs</t>
        </is>
      </c>
      <c r="Z219" t="n">
        <v>1</v>
      </c>
      <c r="AA219" t="n">
        <v>20</v>
      </c>
      <c r="AB219">
        <f>ROUND(U219-AA219,2)</f>
        <v/>
      </c>
      <c r="AC219" t="b">
        <v>0</v>
      </c>
      <c r="AD219">
        <f>IF(U219="","MISSING_TOTAL",IF(ABS(AB219)&lt;=0.01,"OK","CHECK"))</f>
        <v/>
      </c>
      <c r="AE219">
        <f>IF(U219="","MISSING",IF(AND(AA219&gt;0,U219/AA219&gt;50),"POSSIBLE_SCALE_ERROR","OK"))</f>
        <v/>
      </c>
    </row>
    <row r="220">
      <c r="A220" t="inlineStr">
        <is>
          <t>T-2017-Q2-009</t>
        </is>
      </c>
      <c r="B220" t="inlineStr">
        <is>
          <t>SLE</t>
        </is>
      </c>
      <c r="C220" t="inlineStr">
        <is>
          <t>Executive Director, Secretariat to the Canadian Cultural Property Export Review Board</t>
        </is>
      </c>
      <c r="D220" t="inlineStr">
        <is>
          <t>Directrice exécutive, Secrétariat de la Commission canadienne d’examen des exportations de biens culturels</t>
        </is>
      </c>
      <c r="E220" t="inlineStr">
        <is>
          <t>Delphine Bishop</t>
        </is>
      </c>
      <c r="F220" t="inlineStr">
        <is>
          <t>Interview</t>
        </is>
      </c>
      <c r="G220" t="inlineStr">
        <is>
          <t>Entrevue</t>
        </is>
      </c>
      <c r="H220" s="1" t="n">
        <v>42849</v>
      </c>
      <c r="I220" s="1" t="n">
        <v>42849</v>
      </c>
      <c r="J220" t="inlineStr">
        <is>
          <t>Ottawa, ON</t>
        </is>
      </c>
      <c r="T220" t="n">
        <v>16</v>
      </c>
      <c r="U220" t="n">
        <v>16</v>
      </c>
      <c r="X220" t="inlineStr">
        <is>
          <t>atssc-scdata</t>
        </is>
      </c>
      <c r="Y220" t="inlineStr">
        <is>
          <t>Administrative Tribunals Support Service of Canada | Service canadien d'appui aux tribunaux administratifs</t>
        </is>
      </c>
      <c r="Z220" t="n">
        <v>1</v>
      </c>
      <c r="AA220" t="n">
        <v>16</v>
      </c>
      <c r="AB220">
        <f>ROUND(U220-AA220,2)</f>
        <v/>
      </c>
      <c r="AC220" t="b">
        <v>0</v>
      </c>
      <c r="AD220">
        <f>IF(U220="","MISSING_TOTAL",IF(ABS(AB220)&lt;=0.01,"OK","CHECK"))</f>
        <v/>
      </c>
      <c r="AE220">
        <f>IF(U220="","MISSING",IF(AND(AA220&gt;0,U220/AA220&gt;50),"POSSIBLE_SCALE_ERROR","OK"))</f>
        <v/>
      </c>
    </row>
    <row r="221">
      <c r="A221" t="inlineStr">
        <is>
          <t>T-2017-Q2-010</t>
        </is>
      </c>
      <c r="B221" t="inlineStr">
        <is>
          <t>SLE</t>
        </is>
      </c>
      <c r="C221" t="inlineStr">
        <is>
          <t>Executive Director, Secretariat to the Canadian Cultural Property Export Review Board</t>
        </is>
      </c>
      <c r="D221" t="inlineStr">
        <is>
          <t>Directrice exécutive, Secrétariat de la Commission canadienne d’examen des exportations de biens culturels</t>
        </is>
      </c>
      <c r="E221" t="inlineStr">
        <is>
          <t>Delphine Bishop</t>
        </is>
      </c>
      <c r="F221" t="inlineStr">
        <is>
          <t>Attend a Senior Management Committee meeting</t>
        </is>
      </c>
      <c r="G221" t="inlineStr">
        <is>
          <t>Participer à une rencontre du comité de la haute direction</t>
        </is>
      </c>
      <c r="H221" s="1" t="n">
        <v>42486</v>
      </c>
      <c r="I221" s="1" t="n">
        <v>42486</v>
      </c>
      <c r="J221" t="inlineStr">
        <is>
          <t>Ottawa, ON</t>
        </is>
      </c>
      <c r="T221" t="n">
        <v>20</v>
      </c>
      <c r="U221" t="n">
        <v>20</v>
      </c>
      <c r="X221" t="inlineStr">
        <is>
          <t>atssc-scdata</t>
        </is>
      </c>
      <c r="Y221" t="inlineStr">
        <is>
          <t>Administrative Tribunals Support Service of Canada | Service canadien d'appui aux tribunaux administratifs</t>
        </is>
      </c>
      <c r="Z221" t="n">
        <v>1</v>
      </c>
      <c r="AA221" t="n">
        <v>20</v>
      </c>
      <c r="AB221">
        <f>ROUND(U221-AA221,2)</f>
        <v/>
      </c>
      <c r="AC221" t="b">
        <v>0</v>
      </c>
      <c r="AD221">
        <f>IF(U221="","MISSING_TOTAL",IF(ABS(AB221)&lt;=0.01,"OK","CHECK"))</f>
        <v/>
      </c>
      <c r="AE221">
        <f>IF(U221="","MISSING",IF(AND(AA221&gt;0,U221/AA221&gt;50),"POSSIBLE_SCALE_ERROR","OK"))</f>
        <v/>
      </c>
    </row>
    <row r="222">
      <c r="A222" t="inlineStr">
        <is>
          <t>T-2017-Q2-011</t>
        </is>
      </c>
      <c r="B222" t="inlineStr">
        <is>
          <t>SLE</t>
        </is>
      </c>
      <c r="C222" t="inlineStr">
        <is>
          <t>Chairperson, Canada Industrial Relations Board</t>
        </is>
      </c>
      <c r="D222" t="inlineStr">
        <is>
          <t>Présidente, Conseil canadien des relations industrielles</t>
        </is>
      </c>
      <c r="E222" t="inlineStr">
        <is>
          <t>Ginette Brazeau</t>
        </is>
      </c>
      <c r="F222" t="inlineStr">
        <is>
          <t>Hearing file #32141-C</t>
        </is>
      </c>
      <c r="G222" t="inlineStr">
        <is>
          <t>Dossier d'audience #32141-C</t>
        </is>
      </c>
      <c r="H222" s="1" t="n">
        <v>42968</v>
      </c>
      <c r="I222" s="1" t="n">
        <v>42970</v>
      </c>
      <c r="J222" t="inlineStr">
        <is>
          <t>Toronto, ON</t>
        </is>
      </c>
      <c r="Q222" t="n">
        <v>563.26</v>
      </c>
      <c r="R222" t="n">
        <v>359.62</v>
      </c>
      <c r="S222" t="n">
        <v>214.2</v>
      </c>
      <c r="U222" t="n">
        <v>1137.08</v>
      </c>
      <c r="X222" t="inlineStr">
        <is>
          <t>atssc-scdata</t>
        </is>
      </c>
      <c r="Y222" t="inlineStr">
        <is>
          <t>Administrative Tribunals Support Service of Canada | Service canadien d'appui aux tribunaux administratifs</t>
        </is>
      </c>
      <c r="Z222" t="n">
        <v>3</v>
      </c>
      <c r="AA222" t="n">
        <v>1137.08</v>
      </c>
      <c r="AB222">
        <f>ROUND(U222-AA222,2)</f>
        <v/>
      </c>
      <c r="AC222" t="b">
        <v>0</v>
      </c>
      <c r="AD222">
        <f>IF(U222="","MISSING_TOTAL",IF(ABS(AB222)&lt;=0.01,"OK","CHECK"))</f>
        <v/>
      </c>
      <c r="AE222">
        <f>IF(U222="","MISSING",IF(AND(AA222&gt;0,U222/AA222&gt;50),"POSSIBLE_SCALE_ERROR","OK"))</f>
        <v/>
      </c>
    </row>
    <row r="223">
      <c r="A223" t="inlineStr">
        <is>
          <t>T-2017-Q2-012</t>
        </is>
      </c>
      <c r="B223" t="inlineStr">
        <is>
          <t>SLE</t>
        </is>
      </c>
      <c r="C223" t="inlineStr">
        <is>
          <t>Chairperson, Canada Industrial Relations Board</t>
        </is>
      </c>
      <c r="D223" t="inlineStr">
        <is>
          <t>Présidente, Conseil canadien des relations industrielles</t>
        </is>
      </c>
      <c r="E223" t="inlineStr">
        <is>
          <t>Ginette Brazeau</t>
        </is>
      </c>
      <c r="F223" t="inlineStr">
        <is>
          <t>To attend a meeting of the Association of Labour Relations Agencies</t>
        </is>
      </c>
      <c r="G223" t="inlineStr">
        <is>
          <t>Participer à une rencontre de la Association of Labour Relations Agencies</t>
        </is>
      </c>
      <c r="H223" s="1" t="n">
        <v>42937</v>
      </c>
      <c r="I223" s="1" t="n">
        <v>42944</v>
      </c>
      <c r="J223" t="inlineStr">
        <is>
          <t>Portland, Oregon</t>
        </is>
      </c>
      <c r="P223" t="n">
        <v>965.03</v>
      </c>
      <c r="Q223" t="n">
        <v>113.64</v>
      </c>
      <c r="R223" t="n">
        <v>1512.35</v>
      </c>
      <c r="S223" t="n">
        <v>437.99</v>
      </c>
      <c r="U223" t="n">
        <v>3029.01</v>
      </c>
      <c r="X223" t="inlineStr">
        <is>
          <t>atssc-scdata</t>
        </is>
      </c>
      <c r="Y223" t="inlineStr">
        <is>
          <t>Administrative Tribunals Support Service of Canada | Service canadien d'appui aux tribunaux administratifs</t>
        </is>
      </c>
      <c r="Z223" t="n">
        <v>8</v>
      </c>
      <c r="AA223" t="n">
        <v>3029.01</v>
      </c>
      <c r="AB223">
        <f>ROUND(U223-AA223,2)</f>
        <v/>
      </c>
      <c r="AC223" t="b">
        <v>0</v>
      </c>
      <c r="AD223">
        <f>IF(U223="","MISSING_TOTAL",IF(ABS(AB223)&lt;=0.01,"OK","CHECK"))</f>
        <v/>
      </c>
      <c r="AE223">
        <f>IF(U223="","MISSING",IF(AND(AA223&gt;0,U223/AA223&gt;50),"POSSIBLE_SCALE_ERROR","OK"))</f>
        <v/>
      </c>
    </row>
    <row r="224">
      <c r="A224" t="inlineStr">
        <is>
          <t>T-2017-Q2-013</t>
        </is>
      </c>
      <c r="B224" t="inlineStr">
        <is>
          <t>SLE</t>
        </is>
      </c>
      <c r="C224" t="inlineStr">
        <is>
          <t>Chairperson, Canada Industrial Relations Board</t>
        </is>
      </c>
      <c r="D224" t="inlineStr">
        <is>
          <t>Présidente, Conseil canadien des relations industrielles</t>
        </is>
      </c>
      <c r="E224" t="inlineStr">
        <is>
          <t>Ginette Brazeau</t>
        </is>
      </c>
      <c r="F224" t="inlineStr">
        <is>
          <t>Hearing file #31936-C</t>
        </is>
      </c>
      <c r="G224" t="inlineStr">
        <is>
          <t>Dossier d'audience #31936-C</t>
        </is>
      </c>
      <c r="H224" s="1" t="n">
        <v>42890</v>
      </c>
      <c r="I224" s="1" t="n">
        <v>42893</v>
      </c>
      <c r="J224" t="inlineStr">
        <is>
          <t>Toronto, ON</t>
        </is>
      </c>
      <c r="P224" t="n">
        <v>331.68</v>
      </c>
      <c r="Q224" t="n">
        <v>92</v>
      </c>
      <c r="R224" t="n">
        <v>627.15</v>
      </c>
      <c r="S224" t="n">
        <v>358.6</v>
      </c>
      <c r="U224" t="n">
        <v>1409.43</v>
      </c>
      <c r="X224" t="inlineStr">
        <is>
          <t>atssc-scdata</t>
        </is>
      </c>
      <c r="Y224" t="inlineStr">
        <is>
          <t>Administrative Tribunals Support Service of Canada | Service canadien d'appui aux tribunaux administratifs</t>
        </is>
      </c>
      <c r="Z224" t="n">
        <v>4</v>
      </c>
      <c r="AA224" t="n">
        <v>1409.42999999999</v>
      </c>
      <c r="AB224">
        <f>ROUND(U224-AA224,2)</f>
        <v/>
      </c>
      <c r="AC224" t="b">
        <v>0</v>
      </c>
      <c r="AD224">
        <f>IF(U224="","MISSING_TOTAL",IF(ABS(AB224)&lt;=0.01,"OK","CHECK"))</f>
        <v/>
      </c>
      <c r="AE224">
        <f>IF(U224="","MISSING",IF(AND(AA224&gt;0,U224/AA224&gt;50),"POSSIBLE_SCALE_ERROR","OK"))</f>
        <v/>
      </c>
    </row>
    <row r="225">
      <c r="A225" t="inlineStr">
        <is>
          <t>T-2016-Q4-033</t>
        </is>
      </c>
      <c r="B225" t="inlineStr">
        <is>
          <t>SLE</t>
        </is>
      </c>
      <c r="C225" t="inlineStr">
        <is>
          <t>Chairperson, Canada Agricultural Review Tribunal</t>
        </is>
      </c>
      <c r="D225" t="inlineStr">
        <is>
          <t>Président, Commission de révision agricole du Canada</t>
        </is>
      </c>
      <c r="E225" t="inlineStr">
        <is>
          <t>Buckingham, Donald</t>
        </is>
      </c>
      <c r="F225" t="inlineStr">
        <is>
          <t>Hearing file #1908</t>
        </is>
      </c>
      <c r="G225" t="inlineStr">
        <is>
          <t>Dossier d'audience #1908</t>
        </is>
      </c>
      <c r="H225" s="1" t="n">
        <v>42743</v>
      </c>
      <c r="I225" s="1" t="n">
        <v>42745</v>
      </c>
      <c r="J225" t="inlineStr">
        <is>
          <t>Montreal, QC</t>
        </is>
      </c>
      <c r="K225" t="inlineStr">
        <is>
          <t>Montreal, QC</t>
        </is>
      </c>
      <c r="Q225" t="n">
        <v>334.73</v>
      </c>
      <c r="R225" t="n">
        <v>304.62</v>
      </c>
      <c r="S225" t="n">
        <v>177.5</v>
      </c>
      <c r="U225" t="n">
        <v>816.85</v>
      </c>
      <c r="X225" t="inlineStr">
        <is>
          <t>atssc-scdata</t>
        </is>
      </c>
      <c r="Y225" t="inlineStr">
        <is>
          <t>Administrative Tribunals Support Service of Canada | Service canadien d'appui aux tribunaux administratifs</t>
        </is>
      </c>
      <c r="Z225" t="n">
        <v>3</v>
      </c>
      <c r="AA225" t="n">
        <v>816.85</v>
      </c>
      <c r="AB225">
        <f>ROUND(U225-AA225,2)</f>
        <v/>
      </c>
      <c r="AC225" t="b">
        <v>0</v>
      </c>
      <c r="AD225">
        <f>IF(U225="","MISSING_TOTAL",IF(ABS(AB225)&lt;=0.01,"OK","CHECK"))</f>
        <v/>
      </c>
      <c r="AE225">
        <f>IF(U225="","MISSING",IF(AND(AA225&gt;0,U225/AA225&gt;50),"POSSIBLE_SCALE_ERROR","OK"))</f>
        <v/>
      </c>
    </row>
    <row r="226">
      <c r="A226" t="inlineStr">
        <is>
          <t>T-2017-Q2-014</t>
        </is>
      </c>
      <c r="B226" t="inlineStr">
        <is>
          <t>SLE</t>
        </is>
      </c>
      <c r="C226" t="inlineStr">
        <is>
          <t>Chairperson, Canada Industrial Relations Board</t>
        </is>
      </c>
      <c r="D226" t="inlineStr">
        <is>
          <t>Présidente, Conseil canadien des relations industrielles</t>
        </is>
      </c>
      <c r="E226" t="inlineStr">
        <is>
          <t>Ginette Brazeau</t>
        </is>
      </c>
      <c r="F226" t="inlineStr">
        <is>
          <t>To attend the Annual Symposium of the Council of Canadian Administrative Tribunals</t>
        </is>
      </c>
      <c r="G226" t="inlineStr">
        <is>
          <t>Participer au colloque annuel du Conseil des tribunaux administratifs canadiens</t>
        </is>
      </c>
      <c r="H226" s="1" t="n">
        <v>42882</v>
      </c>
      <c r="I226" s="1" t="n">
        <v>42885</v>
      </c>
      <c r="J226" t="inlineStr">
        <is>
          <t>Vancouver, BC</t>
        </is>
      </c>
      <c r="P226" t="n">
        <v>1015.65</v>
      </c>
      <c r="Q226" t="n">
        <v>161</v>
      </c>
      <c r="R226" t="n">
        <v>828.36</v>
      </c>
      <c r="S226" t="n">
        <v>143.8</v>
      </c>
      <c r="U226" t="n">
        <v>2148.81</v>
      </c>
      <c r="X226" t="inlineStr">
        <is>
          <t>atssc-scdata</t>
        </is>
      </c>
      <c r="Y226" t="inlineStr">
        <is>
          <t>Administrative Tribunals Support Service of Canada | Service canadien d'appui aux tribunaux administratifs</t>
        </is>
      </c>
      <c r="Z226" t="n">
        <v>4</v>
      </c>
      <c r="AA226" t="n">
        <v>2148.81</v>
      </c>
      <c r="AB226">
        <f>ROUND(U226-AA226,2)</f>
        <v/>
      </c>
      <c r="AC226" t="b">
        <v>0</v>
      </c>
      <c r="AD226">
        <f>IF(U226="","MISSING_TOTAL",IF(ABS(AB226)&lt;=0.01,"OK","CHECK"))</f>
        <v/>
      </c>
      <c r="AE226">
        <f>IF(U226="","MISSING",IF(AND(AA226&gt;0,U226/AA226&gt;50),"POSSIBLE_SCALE_ERROR","OK"))</f>
        <v/>
      </c>
    </row>
    <row r="227">
      <c r="A227" t="inlineStr">
        <is>
          <t>T-2017-Q2-017</t>
        </is>
      </c>
      <c r="B227" t="inlineStr">
        <is>
          <t>SLE</t>
        </is>
      </c>
      <c r="C227" t="inlineStr">
        <is>
          <t>Chairperson, Canada Agricultural Review Tribunal</t>
        </is>
      </c>
      <c r="D227" t="inlineStr">
        <is>
          <t>Président, Commission de révision agricole du Canada</t>
        </is>
      </c>
      <c r="E227" t="inlineStr">
        <is>
          <t>Donald, Buckingham</t>
        </is>
      </c>
      <c r="F227" t="inlineStr">
        <is>
          <t>To attend the Annual Symposium of the Council of Canadian Administrative Tribunals</t>
        </is>
      </c>
      <c r="G227" t="inlineStr">
        <is>
          <t>Participer au colloque annuel du Conseil des tribunaux administratifs canadiens</t>
        </is>
      </c>
      <c r="H227" s="1" t="n">
        <v>42880</v>
      </c>
      <c r="I227" s="1" t="n">
        <v>42886</v>
      </c>
      <c r="J227" t="inlineStr">
        <is>
          <t>Vancouver, BC</t>
        </is>
      </c>
      <c r="P227" t="n">
        <v>922.92</v>
      </c>
      <c r="Q227" t="n">
        <v>104.76</v>
      </c>
      <c r="R227" t="n">
        <v>1380.6</v>
      </c>
      <c r="S227" t="n">
        <v>439.15</v>
      </c>
      <c r="U227" t="n">
        <v>2847.43</v>
      </c>
      <c r="X227" t="inlineStr">
        <is>
          <t>atssc-scdata</t>
        </is>
      </c>
      <c r="Y227" t="inlineStr">
        <is>
          <t>Administrative Tribunals Support Service of Canada | Service canadien d'appui aux tribunaux administratifs</t>
        </is>
      </c>
      <c r="Z227" t="n">
        <v>7</v>
      </c>
      <c r="AA227" t="n">
        <v>2847.43</v>
      </c>
      <c r="AB227">
        <f>ROUND(U227-AA227,2)</f>
        <v/>
      </c>
      <c r="AC227" t="b">
        <v>0</v>
      </c>
      <c r="AD227">
        <f>IF(U227="","MISSING_TOTAL",IF(ABS(AB227)&lt;=0.01,"OK","CHECK"))</f>
        <v/>
      </c>
      <c r="AE227">
        <f>IF(U227="","MISSING",IF(AND(AA227&gt;0,U227/AA227&gt;50),"POSSIBLE_SCALE_ERROR","OK"))</f>
        <v/>
      </c>
    </row>
    <row r="228">
      <c r="A228" t="inlineStr">
        <is>
          <t>T-2017-Q2-018</t>
        </is>
      </c>
      <c r="B228" t="inlineStr">
        <is>
          <t>SLE</t>
        </is>
      </c>
      <c r="C228" t="inlineStr">
        <is>
          <t>Chairperson, Public Service Labour Relations and Employment Board Tribunal</t>
        </is>
      </c>
      <c r="D228" t="inlineStr">
        <is>
          <t>Présidente, Tribunal de la commission des relations de travail et de l’emploi dans la fonction publique</t>
        </is>
      </c>
      <c r="E228" t="inlineStr">
        <is>
          <t>Catherine Ebbs</t>
        </is>
      </c>
      <c r="F228" t="inlineStr">
        <is>
          <t>To attend a meeting of the Association of Labour Relations Agencies</t>
        </is>
      </c>
      <c r="G228" t="inlineStr">
        <is>
          <t>Participer à une rencontre de la Association of Labour Relations Agencies</t>
        </is>
      </c>
      <c r="H228" s="1" t="n">
        <v>42937</v>
      </c>
      <c r="I228" s="1" t="n">
        <v>42942</v>
      </c>
      <c r="J228" t="inlineStr">
        <is>
          <t>Portland, Oregon</t>
        </is>
      </c>
      <c r="P228" t="n">
        <v>1358.74</v>
      </c>
      <c r="Q228" t="n">
        <v>112.57</v>
      </c>
      <c r="R228" t="n">
        <v>1470.65</v>
      </c>
      <c r="S228" t="n">
        <v>550.05</v>
      </c>
      <c r="U228" t="n">
        <v>3492.01</v>
      </c>
      <c r="X228" t="inlineStr">
        <is>
          <t>atssc-scdata</t>
        </is>
      </c>
      <c r="Y228" t="inlineStr">
        <is>
          <t>Administrative Tribunals Support Service of Canada | Service canadien d'appui aux tribunaux administratifs</t>
        </is>
      </c>
      <c r="Z228" t="n">
        <v>6</v>
      </c>
      <c r="AA228" t="n">
        <v>3492.01</v>
      </c>
      <c r="AB228">
        <f>ROUND(U228-AA228,2)</f>
        <v/>
      </c>
      <c r="AC228" t="b">
        <v>0</v>
      </c>
      <c r="AD228">
        <f>IF(U228="","MISSING_TOTAL",IF(ABS(AB228)&lt;=0.01,"OK","CHECK"))</f>
        <v/>
      </c>
      <c r="AE228">
        <f>IF(U228="","MISSING",IF(AND(AA228&gt;0,U228/AA228&gt;50),"POSSIBLE_SCALE_ERROR","OK"))</f>
        <v/>
      </c>
    </row>
    <row r="229">
      <c r="A229" t="inlineStr">
        <is>
          <t>T-2017-Q2-019</t>
        </is>
      </c>
      <c r="B229" t="inlineStr">
        <is>
          <t>SLE</t>
        </is>
      </c>
      <c r="C229" t="inlineStr">
        <is>
          <t>Chairperson, Public Service Labour Relations and Employment Board Tribunal</t>
        </is>
      </c>
      <c r="D229" t="inlineStr">
        <is>
          <t>Présidente, Tribunal de la commission des relations de travail et de l’emploi dans la fonction publique</t>
        </is>
      </c>
      <c r="E229" t="inlineStr">
        <is>
          <t>Catherine Ebbs</t>
        </is>
      </c>
      <c r="F229" t="inlineStr">
        <is>
          <t>To attend the Annual Symposium of the Council of Canadian Administrative Tribunals</t>
        </is>
      </c>
      <c r="G229" t="inlineStr">
        <is>
          <t>Participer au colloque annuel du Conseil des tribunaux administratifs canadiens</t>
        </is>
      </c>
      <c r="H229" s="1" t="n">
        <v>42881</v>
      </c>
      <c r="I229" s="1" t="n">
        <v>42885</v>
      </c>
      <c r="J229" t="inlineStr">
        <is>
          <t>Vancouver, BC</t>
        </is>
      </c>
      <c r="P229" t="n">
        <v>832.66</v>
      </c>
      <c r="Q229" t="n">
        <v>55.42</v>
      </c>
      <c r="R229" t="n">
        <v>1304.48</v>
      </c>
      <c r="S229" t="n">
        <v>334.3</v>
      </c>
      <c r="U229" t="n">
        <v>2526.86</v>
      </c>
      <c r="X229" t="inlineStr">
        <is>
          <t>atssc-scdata</t>
        </is>
      </c>
      <c r="Y229" t="inlineStr">
        <is>
          <t>Administrative Tribunals Support Service of Canada | Service canadien d'appui aux tribunaux administratifs</t>
        </is>
      </c>
      <c r="Z229" t="n">
        <v>5</v>
      </c>
      <c r="AA229" t="n">
        <v>2526.86</v>
      </c>
      <c r="AB229">
        <f>ROUND(U229-AA229,2)</f>
        <v/>
      </c>
      <c r="AC229" t="b">
        <v>0</v>
      </c>
      <c r="AD229">
        <f>IF(U229="","MISSING_TOTAL",IF(ABS(AB229)&lt;=0.01,"OK","CHECK"))</f>
        <v/>
      </c>
      <c r="AE229">
        <f>IF(U229="","MISSING",IF(AND(AA229&gt;0,U229/AA229&gt;50),"POSSIBLE_SCALE_ERROR","OK"))</f>
        <v/>
      </c>
    </row>
    <row r="230">
      <c r="A230" t="inlineStr">
        <is>
          <t>T-2017-Q2-020</t>
        </is>
      </c>
      <c r="B230" t="inlineStr">
        <is>
          <t>SLE</t>
        </is>
      </c>
      <c r="C230" t="inlineStr">
        <is>
          <t>Chairperson, Canadian Cultural Property Export Review Board</t>
        </is>
      </c>
      <c r="D230" t="inlineStr">
        <is>
          <t>Présidente, Commission canadienne d’examen des exportations de biens culturels</t>
        </is>
      </c>
      <c r="E230" t="inlineStr">
        <is>
          <t>Sharilyn Ingram</t>
        </is>
      </c>
      <c r="F230" t="inlineStr">
        <is>
          <t>Attend the CCPERB meeting</t>
        </is>
      </c>
      <c r="G230" t="inlineStr">
        <is>
          <t>Assister à la réunion de la CCEEBC</t>
        </is>
      </c>
      <c r="H230" s="1" t="n">
        <v>42891</v>
      </c>
      <c r="I230" s="1" t="n">
        <v>42894</v>
      </c>
      <c r="J230" t="inlineStr">
        <is>
          <t>Ottawa, ON</t>
        </is>
      </c>
      <c r="Q230" t="n">
        <v>217.26</v>
      </c>
      <c r="S230" t="n">
        <v>376.65</v>
      </c>
      <c r="U230" t="n">
        <v>593.91</v>
      </c>
      <c r="X230" t="inlineStr">
        <is>
          <t>atssc-scdata</t>
        </is>
      </c>
      <c r="Y230" t="inlineStr">
        <is>
          <t>Administrative Tribunals Support Service of Canada | Service canadien d'appui aux tribunaux administratifs</t>
        </is>
      </c>
      <c r="Z230" t="n">
        <v>4</v>
      </c>
      <c r="AA230" t="n">
        <v>593.91</v>
      </c>
      <c r="AB230">
        <f>ROUND(U230-AA230,2)</f>
        <v/>
      </c>
      <c r="AC230" t="b">
        <v>0</v>
      </c>
      <c r="AD230">
        <f>IF(U230="","MISSING_TOTAL",IF(ABS(AB230)&lt;=0.01,"OK","CHECK"))</f>
        <v/>
      </c>
      <c r="AE230">
        <f>IF(U230="","MISSING",IF(AND(AA230&gt;0,U230/AA230&gt;50),"POSSIBLE_SCALE_ERROR","OK"))</f>
        <v/>
      </c>
    </row>
    <row r="231">
      <c r="A231" t="inlineStr">
        <is>
          <t>T-2016-Q4-022</t>
        </is>
      </c>
      <c r="B231" t="inlineStr">
        <is>
          <t>SLE</t>
        </is>
      </c>
      <c r="C231" t="inlineStr">
        <is>
          <t>Chairperson, Canada Industrial Relations Board</t>
        </is>
      </c>
      <c r="D231" t="inlineStr">
        <is>
          <t>Présidente, Conseil canadien des relations industrielles</t>
        </is>
      </c>
      <c r="E231" t="inlineStr">
        <is>
          <t>Brazeau, Ginette</t>
        </is>
      </c>
      <c r="F231" t="inlineStr">
        <is>
          <t>Hearing file #31843-C</t>
        </is>
      </c>
      <c r="G231" t="inlineStr">
        <is>
          <t>Dossier d'audience #31843-C</t>
        </is>
      </c>
      <c r="H231" s="1" t="n">
        <v>42718</v>
      </c>
      <c r="I231" s="1" t="n">
        <v>42721</v>
      </c>
      <c r="J231" t="inlineStr">
        <is>
          <t>Vancouver, C.-B.</t>
        </is>
      </c>
      <c r="K231" t="inlineStr">
        <is>
          <t>Vancouver, BC</t>
        </is>
      </c>
      <c r="P231" t="n">
        <v>1632.77</v>
      </c>
      <c r="Q231" t="n">
        <v>119</v>
      </c>
      <c r="R231" t="n">
        <v>525.24</v>
      </c>
      <c r="S231" t="n">
        <v>291.6</v>
      </c>
      <c r="U231" t="n">
        <v>2568.61</v>
      </c>
      <c r="X231" t="inlineStr">
        <is>
          <t>atssc-scdata</t>
        </is>
      </c>
      <c r="Y231" t="inlineStr">
        <is>
          <t>Administrative Tribunals Support Service of Canada | Service canadien d'appui aux tribunaux administratifs</t>
        </is>
      </c>
      <c r="Z231" t="n">
        <v>4</v>
      </c>
      <c r="AA231" t="n">
        <v>2568.61</v>
      </c>
      <c r="AB231">
        <f>ROUND(U231-AA231,2)</f>
        <v/>
      </c>
      <c r="AC231" t="b">
        <v>0</v>
      </c>
      <c r="AD231">
        <f>IF(U231="","MISSING_TOTAL",IF(ABS(AB231)&lt;=0.01,"OK","CHECK"))</f>
        <v/>
      </c>
      <c r="AE231">
        <f>IF(U231="","MISSING",IF(AND(AA231&gt;0,U231/AA231&gt;50),"POSSIBLE_SCALE_ERROR","OK"))</f>
        <v/>
      </c>
    </row>
    <row r="232">
      <c r="A232" t="inlineStr">
        <is>
          <t>T-2017-Q2-021</t>
        </is>
      </c>
      <c r="B232" t="inlineStr">
        <is>
          <t>SLE</t>
        </is>
      </c>
      <c r="C232" t="inlineStr">
        <is>
          <t>Chairperson, Canadian Cultural Property Export Review Board</t>
        </is>
      </c>
      <c r="D232" t="inlineStr">
        <is>
          <t>Présidente, Commission canadienne d’examen des exportations de biens culturels</t>
        </is>
      </c>
      <c r="E232" t="inlineStr">
        <is>
          <t>Sharilyn Ingram</t>
        </is>
      </c>
      <c r="F232" t="inlineStr">
        <is>
          <t>Attend the celebration of the 150th anniversary of Canadian Confederation and the Ministerial Conference on the Canadian Francophony</t>
        </is>
      </c>
      <c r="G232" t="inlineStr">
        <is>
          <t>Assister à la célébration du 150e anniversaire de la confédération canadienne et à la Conférence ministérielle sur la francophonie canadienne</t>
        </is>
      </c>
      <c r="H232" s="1" t="n">
        <v>42908</v>
      </c>
      <c r="I232" s="1" t="n">
        <v>42909</v>
      </c>
      <c r="J232" t="inlineStr">
        <is>
          <t>Ottawa, ON</t>
        </is>
      </c>
      <c r="P232" t="n">
        <v>418.16</v>
      </c>
      <c r="Q232" t="n">
        <v>245.26</v>
      </c>
      <c r="S232" t="n">
        <v>51.75</v>
      </c>
      <c r="U232" t="n">
        <v>715.17</v>
      </c>
      <c r="X232" t="inlineStr">
        <is>
          <t>atssc-scdata</t>
        </is>
      </c>
      <c r="Y232" t="inlineStr">
        <is>
          <t>Administrative Tribunals Support Service of Canada | Service canadien d'appui aux tribunaux administratifs</t>
        </is>
      </c>
      <c r="Z232" t="n">
        <v>2</v>
      </c>
      <c r="AA232" t="n">
        <v>715.17</v>
      </c>
      <c r="AB232">
        <f>ROUND(U232-AA232,2)</f>
        <v/>
      </c>
      <c r="AC232" t="b">
        <v>0</v>
      </c>
      <c r="AD232">
        <f>IF(U232="","MISSING_TOTAL",IF(ABS(AB232)&lt;=0.01,"OK","CHECK"))</f>
        <v/>
      </c>
      <c r="AE232">
        <f>IF(U232="","MISSING",IF(AND(AA232&gt;0,U232/AA232&gt;50),"POSSIBLE_SCALE_ERROR","OK"))</f>
        <v/>
      </c>
    </row>
    <row r="233">
      <c r="A233" t="inlineStr">
        <is>
          <t>T-2017-Q2-022</t>
        </is>
      </c>
      <c r="B233" t="inlineStr">
        <is>
          <t>SLE</t>
        </is>
      </c>
      <c r="C233" t="inlineStr">
        <is>
          <t>Chairperson, Canadian Cultural Property Export Review Board</t>
        </is>
      </c>
      <c r="D233" t="inlineStr">
        <is>
          <t>Présidente, Commission canadienne d’examen des exportations de biens culturels</t>
        </is>
      </c>
      <c r="E233" t="inlineStr">
        <is>
          <t>Sharilyn Ingram</t>
        </is>
      </c>
      <c r="F233" t="inlineStr">
        <is>
          <t>Attend a preparation day for the CCPERB board meeting</t>
        </is>
      </c>
      <c r="G233" t="inlineStr">
        <is>
          <t>Assister à une journée préparatoire de la rencontre des membres de la CCEEBC</t>
        </is>
      </c>
      <c r="H233" s="1" t="n">
        <v>42883</v>
      </c>
      <c r="I233" s="1" t="n">
        <v>42885</v>
      </c>
      <c r="J233" t="inlineStr">
        <is>
          <t>Gatineau, QC</t>
        </is>
      </c>
      <c r="P233" t="n">
        <v>543.98</v>
      </c>
      <c r="Q233" t="n">
        <v>172.26</v>
      </c>
      <c r="S233" t="n">
        <v>260.15</v>
      </c>
      <c r="U233" t="n">
        <v>976.39</v>
      </c>
      <c r="X233" t="inlineStr">
        <is>
          <t>atssc-scdata</t>
        </is>
      </c>
      <c r="Y233" t="inlineStr">
        <is>
          <t>Administrative Tribunals Support Service of Canada | Service canadien d'appui aux tribunaux administratifs</t>
        </is>
      </c>
      <c r="Z233" t="n">
        <v>3</v>
      </c>
      <c r="AA233" t="n">
        <v>976.39</v>
      </c>
      <c r="AB233">
        <f>ROUND(U233-AA233,2)</f>
        <v/>
      </c>
      <c r="AC233" t="b">
        <v>0</v>
      </c>
      <c r="AD233">
        <f>IF(U233="","MISSING_TOTAL",IF(ABS(AB233)&lt;=0.01,"OK","CHECK"))</f>
        <v/>
      </c>
      <c r="AE233">
        <f>IF(U233="","MISSING",IF(AND(AA233&gt;0,U233/AA233&gt;50),"POSSIBLE_SCALE_ERROR","OK"))</f>
        <v/>
      </c>
    </row>
    <row r="234">
      <c r="A234" t="inlineStr">
        <is>
          <t>T-2017-Q2-023</t>
        </is>
      </c>
      <c r="B234" t="inlineStr">
        <is>
          <t>SLE</t>
        </is>
      </c>
      <c r="C234" t="inlineStr">
        <is>
          <t>Chairperson, Canadian Cultural Property Export Review Board</t>
        </is>
      </c>
      <c r="D234" t="inlineStr">
        <is>
          <t>Présidente, Commission canadienne d’examen des exportations de biens culturels</t>
        </is>
      </c>
      <c r="E234" t="inlineStr">
        <is>
          <t>Sharilyn Ingram</t>
        </is>
      </c>
      <c r="F234" t="inlineStr">
        <is>
          <t>Attend the CCPERB meeting</t>
        </is>
      </c>
      <c r="G234" t="inlineStr">
        <is>
          <t>Assister à la réunion de la CCEEBC</t>
        </is>
      </c>
      <c r="H234" s="1" t="n">
        <v>42829</v>
      </c>
      <c r="I234" s="1" t="n">
        <v>42829</v>
      </c>
      <c r="J234" t="inlineStr">
        <is>
          <t>Gatineau, QC</t>
        </is>
      </c>
      <c r="Q234" t="n">
        <v>28</v>
      </c>
      <c r="U234" t="n">
        <v>28</v>
      </c>
      <c r="X234" t="inlineStr">
        <is>
          <t>atssc-scdata</t>
        </is>
      </c>
      <c r="Y234" t="inlineStr">
        <is>
          <t>Administrative Tribunals Support Service of Canada | Service canadien d'appui aux tribunaux administratifs</t>
        </is>
      </c>
      <c r="Z234" t="n">
        <v>1</v>
      </c>
      <c r="AA234" t="n">
        <v>28</v>
      </c>
      <c r="AB234">
        <f>ROUND(U234-AA234,2)</f>
        <v/>
      </c>
      <c r="AC234" t="b">
        <v>0</v>
      </c>
      <c r="AD234">
        <f>IF(U234="","MISSING_TOTAL",IF(ABS(AB234)&lt;=0.01,"OK","CHECK"))</f>
        <v/>
      </c>
      <c r="AE234">
        <f>IF(U234="","MISSING",IF(AND(AA234&gt;0,U234/AA234&gt;50),"POSSIBLE_SCALE_ERROR","OK"))</f>
        <v/>
      </c>
    </row>
    <row r="235">
      <c r="A235" t="inlineStr">
        <is>
          <t>T-2017-Q2-024</t>
        </is>
      </c>
      <c r="B235" t="inlineStr">
        <is>
          <t>SLE</t>
        </is>
      </c>
      <c r="C235" t="inlineStr">
        <is>
          <t>Chief Administrator, Administrative Tribunals Support Service of Canada</t>
        </is>
      </c>
      <c r="D235" t="inlineStr">
        <is>
          <t>Administrateur en chef, Service canadien d'appui aux Tribunaux Administratifs</t>
        </is>
      </c>
      <c r="E235" t="inlineStr">
        <is>
          <t>Marie-France Pelletier</t>
        </is>
      </c>
      <c r="F235" t="inlineStr">
        <is>
          <t>To attend the Annual Symposium of the Council of Canadian Administrative Tribunals</t>
        </is>
      </c>
      <c r="G235" t="inlineStr">
        <is>
          <t>Participer au colloque annuel du Conseil des tribunaux administratifs canadiens</t>
        </is>
      </c>
      <c r="H235" s="1" t="n">
        <v>42882</v>
      </c>
      <c r="I235" s="1" t="n">
        <v>42887</v>
      </c>
      <c r="J235" t="inlineStr">
        <is>
          <t>Vancouver, BC</t>
        </is>
      </c>
      <c r="P235" t="n">
        <v>1692.09</v>
      </c>
      <c r="Q235" t="n">
        <v>167.64</v>
      </c>
      <c r="R235" t="n">
        <v>1244.43</v>
      </c>
      <c r="S235" t="n">
        <v>305.5</v>
      </c>
      <c r="U235" t="n">
        <v>3409.66</v>
      </c>
      <c r="X235" t="inlineStr">
        <is>
          <t>atssc-scdata</t>
        </is>
      </c>
      <c r="Y235" t="inlineStr">
        <is>
          <t>Administrative Tribunals Support Service of Canada | Service canadien d'appui aux tribunaux administratifs</t>
        </is>
      </c>
      <c r="Z235" t="n">
        <v>6</v>
      </c>
      <c r="AA235" t="n">
        <v>3409.66</v>
      </c>
      <c r="AB235">
        <f>ROUND(U235-AA235,2)</f>
        <v/>
      </c>
      <c r="AC235" t="b">
        <v>0</v>
      </c>
      <c r="AD235">
        <f>IF(U235="","MISSING_TOTAL",IF(ABS(AB235)&lt;=0.01,"OK","CHECK"))</f>
        <v/>
      </c>
      <c r="AE235">
        <f>IF(U235="","MISSING",IF(AND(AA235&gt;0,U235/AA235&gt;50),"POSSIBLE_SCALE_ERROR","OK"))</f>
        <v/>
      </c>
    </row>
    <row r="236">
      <c r="A236" t="inlineStr">
        <is>
          <t>T-2017-Q2-025</t>
        </is>
      </c>
      <c r="B236" t="inlineStr">
        <is>
          <t>SLE</t>
        </is>
      </c>
      <c r="C236" t="inlineStr">
        <is>
          <t>Chairperson, Canadian Human Rights Tribunal</t>
        </is>
      </c>
      <c r="D236" t="inlineStr">
        <is>
          <t>Président, Tribunal canadien des droits de la personne</t>
        </is>
      </c>
      <c r="E236" t="inlineStr">
        <is>
          <t>David Thomas</t>
        </is>
      </c>
      <c r="F236" t="inlineStr">
        <is>
          <t>Canadian Bar Association annual meeting</t>
        </is>
      </c>
      <c r="G236" t="inlineStr">
        <is>
          <t>Rencontre annuelle de l'Association du Barreau canadien</t>
        </is>
      </c>
      <c r="H236" s="1" t="n">
        <v>42964</v>
      </c>
      <c r="I236" s="1" t="n">
        <v>42964</v>
      </c>
      <c r="J236" t="inlineStr">
        <is>
          <t>Montreal,  QC</t>
        </is>
      </c>
      <c r="Q236" t="n">
        <v>254.32</v>
      </c>
      <c r="S236" t="n">
        <v>81.15000000000001</v>
      </c>
      <c r="U236" t="n">
        <v>335.47</v>
      </c>
      <c r="X236" t="inlineStr">
        <is>
          <t>atssc-scdata</t>
        </is>
      </c>
      <c r="Y236" t="inlineStr">
        <is>
          <t>Administrative Tribunals Support Service of Canada | Service canadien d'appui aux tribunaux administratifs</t>
        </is>
      </c>
      <c r="Z236" t="n">
        <v>1</v>
      </c>
      <c r="AA236" t="n">
        <v>335.47</v>
      </c>
      <c r="AB236">
        <f>ROUND(U236-AA236,2)</f>
        <v/>
      </c>
      <c r="AC236" t="b">
        <v>0</v>
      </c>
      <c r="AD236">
        <f>IF(U236="","MISSING_TOTAL",IF(ABS(AB236)&lt;=0.01,"OK","CHECK"))</f>
        <v/>
      </c>
      <c r="AE236">
        <f>IF(U236="","MISSING",IF(AND(AA236&gt;0,U236/AA236&gt;50),"POSSIBLE_SCALE_ERROR","OK"))</f>
        <v/>
      </c>
    </row>
    <row r="237">
      <c r="A237" t="inlineStr">
        <is>
          <t>T-2017-Q2-026</t>
        </is>
      </c>
      <c r="B237" t="inlineStr">
        <is>
          <t>SLE</t>
        </is>
      </c>
      <c r="C237" t="inlineStr">
        <is>
          <t>Chairperson, Canadian Human Rights Tribunal</t>
        </is>
      </c>
      <c r="D237" t="inlineStr">
        <is>
          <t>Président, Tribunal canadien des droits de la personne</t>
        </is>
      </c>
      <c r="E237" t="inlineStr">
        <is>
          <t>David Thomas</t>
        </is>
      </c>
      <c r="F237" t="inlineStr">
        <is>
          <t>File #T1999/7913</t>
        </is>
      </c>
      <c r="G237" t="inlineStr">
        <is>
          <t>Dossier T1999/7913</t>
        </is>
      </c>
      <c r="H237" s="1" t="n">
        <v>42894</v>
      </c>
      <c r="I237" s="1" t="n">
        <v>42896</v>
      </c>
      <c r="J237" t="inlineStr">
        <is>
          <t>Toronto, ON</t>
        </is>
      </c>
      <c r="P237" t="n">
        <v>408.55</v>
      </c>
      <c r="Q237" t="n">
        <v>116.49</v>
      </c>
      <c r="R237" t="n">
        <v>415.28</v>
      </c>
      <c r="S237" t="n">
        <v>232.25</v>
      </c>
      <c r="U237" t="n">
        <v>1172.57</v>
      </c>
      <c r="X237" t="inlineStr">
        <is>
          <t>atssc-scdata</t>
        </is>
      </c>
      <c r="Y237" t="inlineStr">
        <is>
          <t>Administrative Tribunals Support Service of Canada | Service canadien d'appui aux tribunaux administratifs</t>
        </is>
      </c>
      <c r="Z237" t="n">
        <v>3</v>
      </c>
      <c r="AA237" t="n">
        <v>1172.57</v>
      </c>
      <c r="AB237">
        <f>ROUND(U237-AA237,2)</f>
        <v/>
      </c>
      <c r="AC237" t="b">
        <v>0</v>
      </c>
      <c r="AD237">
        <f>IF(U237="","MISSING_TOTAL",IF(ABS(AB237)&lt;=0.01,"OK","CHECK"))</f>
        <v/>
      </c>
      <c r="AE237">
        <f>IF(U237="","MISSING",IF(AND(AA237&gt;0,U237/AA237&gt;50),"POSSIBLE_SCALE_ERROR","OK"))</f>
        <v/>
      </c>
    </row>
    <row r="238">
      <c r="A238" t="inlineStr">
        <is>
          <t>T-2017-Q2-027</t>
        </is>
      </c>
      <c r="B238" t="inlineStr">
        <is>
          <t>SLE</t>
        </is>
      </c>
      <c r="C238" t="inlineStr">
        <is>
          <t>Chairperson, Canadian Human Rights Tribunal</t>
        </is>
      </c>
      <c r="D238" t="inlineStr">
        <is>
          <t>Président, Tribunal canadien des droits de la personne</t>
        </is>
      </c>
      <c r="E238" t="inlineStr">
        <is>
          <t>David Thomas</t>
        </is>
      </c>
      <c r="F238" t="inlineStr">
        <is>
          <t>To attend the Annual Symposium of the Council of Canadian Administrative Tribunals</t>
        </is>
      </c>
      <c r="G238" t="inlineStr">
        <is>
          <t>Participer au colloque annuel du Conseil des tribunaux administratifs canadiens</t>
        </is>
      </c>
      <c r="H238" s="1" t="n">
        <v>42881</v>
      </c>
      <c r="I238" s="1" t="n">
        <v>42887</v>
      </c>
      <c r="J238" t="inlineStr">
        <is>
          <t>Vancouver, BC</t>
        </is>
      </c>
      <c r="P238" t="n">
        <v>859.74</v>
      </c>
      <c r="Q238" t="n">
        <v>162.13</v>
      </c>
      <c r="R238" t="n">
        <v>963.52</v>
      </c>
      <c r="S238" t="n">
        <v>555.5</v>
      </c>
      <c r="U238" t="n">
        <v>2540.89</v>
      </c>
      <c r="X238" t="inlineStr">
        <is>
          <t>atssc-scdata</t>
        </is>
      </c>
      <c r="Y238" t="inlineStr">
        <is>
          <t>Administrative Tribunals Support Service of Canada | Service canadien d'appui aux tribunaux administratifs</t>
        </is>
      </c>
      <c r="Z238" t="n">
        <v>7</v>
      </c>
      <c r="AA238" t="n">
        <v>2540.89</v>
      </c>
      <c r="AB238">
        <f>ROUND(U238-AA238,2)</f>
        <v/>
      </c>
      <c r="AC238" t="b">
        <v>0</v>
      </c>
      <c r="AD238">
        <f>IF(U238="","MISSING_TOTAL",IF(ABS(AB238)&lt;=0.01,"OK","CHECK"))</f>
        <v/>
      </c>
      <c r="AE238">
        <f>IF(U238="","MISSING",IF(AND(AA238&gt;0,U238/AA238&gt;50),"POSSIBLE_SCALE_ERROR","OK"))</f>
        <v/>
      </c>
    </row>
    <row r="239">
      <c r="A239" t="inlineStr">
        <is>
          <t>T-2017-Q2-028</t>
        </is>
      </c>
      <c r="B239" t="inlineStr">
        <is>
          <t>SLE</t>
        </is>
      </c>
      <c r="C239" t="inlineStr">
        <is>
          <t>Chairperson, Canadian Human Rights Tribunal</t>
        </is>
      </c>
      <c r="D239" t="inlineStr">
        <is>
          <t>dù« vvvvvvvvvvvvvvvvvvvvk</t>
        </is>
      </c>
      <c r="E239" t="inlineStr">
        <is>
          <t>David Thomas</t>
        </is>
      </c>
      <c r="F239" t="inlineStr">
        <is>
          <t>Meeting with stakeholders</t>
        </is>
      </c>
      <c r="G239" t="inlineStr">
        <is>
          <t>Rencontre avec des intervenants</t>
        </is>
      </c>
      <c r="H239" s="1" t="n">
        <v>42873</v>
      </c>
      <c r="I239" s="1" t="n">
        <v>42874</v>
      </c>
      <c r="J239" t="inlineStr">
        <is>
          <t>Toronto, ON</t>
        </is>
      </c>
      <c r="Q239" t="n">
        <v>387.6</v>
      </c>
      <c r="R239" t="n">
        <v>207.64</v>
      </c>
      <c r="S239" t="n">
        <v>115.75</v>
      </c>
      <c r="U239" t="n">
        <v>710.99</v>
      </c>
      <c r="X239" t="inlineStr">
        <is>
          <t>atssc-scdata</t>
        </is>
      </c>
      <c r="Y239" t="inlineStr">
        <is>
          <t>Administrative Tribunals Support Service of Canada | Service canadien d'appui aux tribunaux administratifs</t>
        </is>
      </c>
      <c r="Z239" t="n">
        <v>2</v>
      </c>
      <c r="AA239" t="n">
        <v>710.99</v>
      </c>
      <c r="AB239">
        <f>ROUND(U239-AA239,2)</f>
        <v/>
      </c>
      <c r="AC239" t="b">
        <v>0</v>
      </c>
      <c r="AD239">
        <f>IF(U239="","MISSING_TOTAL",IF(ABS(AB239)&lt;=0.01,"OK","CHECK"))</f>
        <v/>
      </c>
      <c r="AE239">
        <f>IF(U239="","MISSING",IF(AND(AA239&gt;0,U239/AA239&gt;50),"POSSIBLE_SCALE_ERROR","OK"))</f>
        <v/>
      </c>
    </row>
    <row r="240">
      <c r="A240" t="inlineStr">
        <is>
          <t>T-2016-Q3-001</t>
        </is>
      </c>
      <c r="B240" t="inlineStr">
        <is>
          <t>SLE</t>
        </is>
      </c>
      <c r="C240" t="inlineStr">
        <is>
          <t>A/Chairperson, Canadian International Trade Tribunal</t>
        </is>
      </c>
      <c r="D240" t="inlineStr">
        <is>
          <t>Président par intérim, Tribunal Canadien du commerce extérieur</t>
        </is>
      </c>
      <c r="E240" t="inlineStr">
        <is>
          <t>Jean Bédard</t>
        </is>
      </c>
      <c r="F240" t="inlineStr">
        <is>
          <t>Attend a world custom Law Meeting</t>
        </is>
      </c>
      <c r="G240" t="inlineStr">
        <is>
          <t>Participer à une réunion sur les lois du commerce international</t>
        </is>
      </c>
      <c r="H240" s="1" t="n">
        <v>42620</v>
      </c>
      <c r="I240" s="1" t="n">
        <v>42624</v>
      </c>
      <c r="J240" t="inlineStr">
        <is>
          <t>Valparaiso, Chile</t>
        </is>
      </c>
      <c r="K240" t="inlineStr">
        <is>
          <t>Valparaiso, Chile</t>
        </is>
      </c>
      <c r="P240" t="n">
        <v>4186.81</v>
      </c>
      <c r="Q240" t="n">
        <v>303.76</v>
      </c>
      <c r="R240" t="n">
        <v>976.12</v>
      </c>
      <c r="S240" t="n">
        <v>606.48</v>
      </c>
      <c r="U240" t="n">
        <v>6073.17</v>
      </c>
      <c r="X240" t="inlineStr">
        <is>
          <t>atssc-scdata</t>
        </is>
      </c>
      <c r="Y240" t="inlineStr">
        <is>
          <t>Administrative Tribunals Support Service of Canada | Service canadien d'appui aux tribunaux administratifs</t>
        </is>
      </c>
      <c r="Z240" t="n">
        <v>5</v>
      </c>
      <c r="AA240" t="n">
        <v>6073.17</v>
      </c>
      <c r="AB240">
        <f>ROUND(U240-AA240,2)</f>
        <v/>
      </c>
      <c r="AC240" t="b">
        <v>0</v>
      </c>
      <c r="AD240">
        <f>IF(U240="","MISSING_TOTAL",IF(ABS(AB240)&lt;=0.01,"OK","CHECK"))</f>
        <v/>
      </c>
      <c r="AE240">
        <f>IF(U240="","MISSING",IF(AND(AA240&gt;0,U240/AA240&gt;50),"POSSIBLE_SCALE_ERROR","OK"))</f>
        <v/>
      </c>
    </row>
    <row r="241">
      <c r="A241" t="inlineStr">
        <is>
          <t>T-2016-Q3-002</t>
        </is>
      </c>
      <c r="B241" t="inlineStr">
        <is>
          <t>SLE</t>
        </is>
      </c>
      <c r="C241" t="inlineStr">
        <is>
          <t>A/Chairperson, Canadian International Trade Tribunal</t>
        </is>
      </c>
      <c r="D241" t="inlineStr">
        <is>
          <t>Président par intérim, Tribunal Canadien du commerce extérieur</t>
        </is>
      </c>
      <c r="E241" t="inlineStr">
        <is>
          <t>Jean Bédard</t>
        </is>
      </c>
      <c r="F241" t="inlineStr">
        <is>
          <t>Visit a plant for an investigation in a file of the CITT</t>
        </is>
      </c>
      <c r="G241" t="inlineStr">
        <is>
          <t>Visite d'une usine pour une enquête dans un dossier du TCCE</t>
        </is>
      </c>
      <c r="H241" s="1" t="n">
        <v>42662</v>
      </c>
      <c r="I241" s="1" t="n">
        <v>42664</v>
      </c>
      <c r="J241" t="inlineStr">
        <is>
          <t>Edmont, Alberta</t>
        </is>
      </c>
      <c r="K241" t="inlineStr">
        <is>
          <t>Edmont, Alberta</t>
        </is>
      </c>
      <c r="P241" t="n">
        <v>2406.7</v>
      </c>
      <c r="Q241" t="n">
        <v>271.88</v>
      </c>
      <c r="R241" t="n">
        <v>181.56</v>
      </c>
      <c r="S241" t="n">
        <v>194.2</v>
      </c>
      <c r="U241" t="n">
        <v>3054.34</v>
      </c>
      <c r="X241" t="inlineStr">
        <is>
          <t>atssc-scdata</t>
        </is>
      </c>
      <c r="Y241" t="inlineStr">
        <is>
          <t>Administrative Tribunals Support Service of Canada | Service canadien d'appui aux tribunaux administratifs</t>
        </is>
      </c>
      <c r="Z241" t="n">
        <v>3</v>
      </c>
      <c r="AA241" t="n">
        <v>3054.33999999999</v>
      </c>
      <c r="AB241">
        <f>ROUND(U241-AA241,2)</f>
        <v/>
      </c>
      <c r="AC241" t="b">
        <v>0</v>
      </c>
      <c r="AD241">
        <f>IF(U241="","MISSING_TOTAL",IF(ABS(AB241)&lt;=0.01,"OK","CHECK"))</f>
        <v/>
      </c>
      <c r="AE241">
        <f>IF(U241="","MISSING",IF(AND(AA241&gt;0,U241/AA241&gt;50),"POSSIBLE_SCALE_ERROR","OK"))</f>
        <v/>
      </c>
    </row>
    <row r="242">
      <c r="A242" t="inlineStr">
        <is>
          <t>T-2016-Q3-022</t>
        </is>
      </c>
      <c r="B242" t="inlineStr">
        <is>
          <t>SLE</t>
        </is>
      </c>
      <c r="C242" t="inlineStr">
        <is>
          <t>Chairperson, Canadian Human Rights Tribunal</t>
        </is>
      </c>
      <c r="D242" t="inlineStr">
        <is>
          <t>Président, Tribunal canadien des droits de la personne</t>
        </is>
      </c>
      <c r="E242" t="inlineStr">
        <is>
          <t>Thomas, David</t>
        </is>
      </c>
      <c r="F242" t="inlineStr">
        <is>
          <t>Mediation file T2146</t>
        </is>
      </c>
      <c r="G242" t="inlineStr">
        <is>
          <t>Dossier de médiation T2146</t>
        </is>
      </c>
      <c r="H242" s="1" t="n">
        <v>42668</v>
      </c>
      <c r="I242" s="1" t="n">
        <v>42672</v>
      </c>
      <c r="J242" t="inlineStr">
        <is>
          <t>Edmonton, AB</t>
        </is>
      </c>
      <c r="K242" t="inlineStr">
        <is>
          <t>Edmonton, AB</t>
        </is>
      </c>
      <c r="P242" t="n">
        <v>1306.43</v>
      </c>
      <c r="Q242" t="n">
        <v>208.86</v>
      </c>
      <c r="R242" t="n">
        <v>368.26</v>
      </c>
      <c r="S242" t="n">
        <v>194.5</v>
      </c>
      <c r="U242" t="n">
        <v>2078.05</v>
      </c>
      <c r="X242" t="inlineStr">
        <is>
          <t>atssc-scdata</t>
        </is>
      </c>
      <c r="Y242" t="inlineStr">
        <is>
          <t>Administrative Tribunals Support Service of Canada | Service canadien d'appui aux tribunaux administratifs</t>
        </is>
      </c>
      <c r="Z242" t="n">
        <v>5</v>
      </c>
      <c r="AA242" t="n">
        <v>2078.05</v>
      </c>
      <c r="AB242">
        <f>ROUND(U242-AA242,2)</f>
        <v/>
      </c>
      <c r="AC242" t="b">
        <v>0</v>
      </c>
      <c r="AD242">
        <f>IF(U242="","MISSING_TOTAL",IF(ABS(AB242)&lt;=0.01,"OK","CHECK"))</f>
        <v/>
      </c>
      <c r="AE242">
        <f>IF(U242="","MISSING",IF(AND(AA242&gt;0,U242/AA242&gt;50),"POSSIBLE_SCALE_ERROR","OK"))</f>
        <v/>
      </c>
    </row>
    <row r="243">
      <c r="A243" t="inlineStr">
        <is>
          <t>T-2016-Q3-003</t>
        </is>
      </c>
      <c r="B243" t="inlineStr">
        <is>
          <t>SLE</t>
        </is>
      </c>
      <c r="C243" t="inlineStr">
        <is>
          <t>Executive Director, Secretariat to the Canadian Cultural Property Export Review Board</t>
        </is>
      </c>
      <c r="D243" t="inlineStr">
        <is>
          <t>Directrice exécutive, Secrétariat de la Commission canadienne d’examen des exportations de biens culturels</t>
        </is>
      </c>
      <c r="E243" t="inlineStr">
        <is>
          <t>Bishop, Delphine</t>
        </is>
      </c>
      <c r="F243" t="inlineStr">
        <is>
          <t>Attend a meeting of the Operations Sub-Committee</t>
        </is>
      </c>
      <c r="G243" t="inlineStr">
        <is>
          <t>Participer à une rencontre du sous-comité des activités</t>
        </is>
      </c>
      <c r="H243" s="1" t="n">
        <v>42628</v>
      </c>
      <c r="I243" s="1" t="n">
        <v>42628</v>
      </c>
      <c r="J243" t="inlineStr">
        <is>
          <t>Ottawa, Ontario</t>
        </is>
      </c>
      <c r="K243" t="inlineStr">
        <is>
          <t>Ottawa, Ontario</t>
        </is>
      </c>
      <c r="Q243" t="n">
        <v>18</v>
      </c>
      <c r="U243" t="n">
        <v>18</v>
      </c>
      <c r="X243" t="inlineStr">
        <is>
          <t>atssc-scdata</t>
        </is>
      </c>
      <c r="Y243" t="inlineStr">
        <is>
          <t>Administrative Tribunals Support Service of Canada | Service canadien d'appui aux tribunaux administratifs</t>
        </is>
      </c>
      <c r="Z243" t="n">
        <v>1</v>
      </c>
      <c r="AA243" t="n">
        <v>18</v>
      </c>
      <c r="AB243">
        <f>ROUND(U243-AA243,2)</f>
        <v/>
      </c>
      <c r="AC243" t="b">
        <v>0</v>
      </c>
      <c r="AD243">
        <f>IF(U243="","MISSING_TOTAL",IF(ABS(AB243)&lt;=0.01,"OK","CHECK"))</f>
        <v/>
      </c>
      <c r="AE243">
        <f>IF(U243="","MISSING",IF(AND(AA243&gt;0,U243/AA243&gt;50),"POSSIBLE_SCALE_ERROR","OK"))</f>
        <v/>
      </c>
    </row>
    <row r="244">
      <c r="A244" t="inlineStr">
        <is>
          <t>T-2016-Q3-004</t>
        </is>
      </c>
      <c r="B244" t="inlineStr">
        <is>
          <t>SLE</t>
        </is>
      </c>
      <c r="C244" t="inlineStr">
        <is>
          <t>Executive Director, Secretariat to the Canadian Cultural Property Export Review Board</t>
        </is>
      </c>
      <c r="D244" t="inlineStr">
        <is>
          <t>Directrice exécutive, Secrétariat de la Commission canadienne d’examen des exportations de biens culturels</t>
        </is>
      </c>
      <c r="E244" t="inlineStr">
        <is>
          <t>Bishop, Delphine</t>
        </is>
      </c>
      <c r="F244" t="inlineStr">
        <is>
          <t>Attend a meeting with the Deputy Chief Administrator and Executive Directors</t>
        </is>
      </c>
      <c r="G244" t="inlineStr">
        <is>
          <t>Participer à une rencontre avec l'administrateur en chef adjoint et les directeurs exécutifs</t>
        </is>
      </c>
      <c r="H244" s="1" t="n">
        <v>42632</v>
      </c>
      <c r="I244" s="1" t="n">
        <v>42632</v>
      </c>
      <c r="J244" t="inlineStr">
        <is>
          <t>Ottawa, Ontario</t>
        </is>
      </c>
      <c r="K244" t="inlineStr">
        <is>
          <t>Ottawa, Ontario</t>
        </is>
      </c>
      <c r="Q244" t="n">
        <v>20</v>
      </c>
      <c r="U244" t="n">
        <v>20</v>
      </c>
      <c r="X244" t="inlineStr">
        <is>
          <t>atssc-scdata</t>
        </is>
      </c>
      <c r="Y244" t="inlineStr">
        <is>
          <t>Administrative Tribunals Support Service of Canada | Service canadien d'appui aux tribunaux administratifs</t>
        </is>
      </c>
      <c r="Z244" t="n">
        <v>1</v>
      </c>
      <c r="AA244" t="n">
        <v>20</v>
      </c>
      <c r="AB244">
        <f>ROUND(U244-AA244,2)</f>
        <v/>
      </c>
      <c r="AC244" t="b">
        <v>0</v>
      </c>
      <c r="AD244">
        <f>IF(U244="","MISSING_TOTAL",IF(ABS(AB244)&lt;=0.01,"OK","CHECK"))</f>
        <v/>
      </c>
      <c r="AE244">
        <f>IF(U244="","MISSING",IF(AND(AA244&gt;0,U244/AA244&gt;50),"POSSIBLE_SCALE_ERROR","OK"))</f>
        <v/>
      </c>
    </row>
    <row r="245">
      <c r="A245" t="inlineStr">
        <is>
          <t>T-2016-Q3-005</t>
        </is>
      </c>
      <c r="B245" t="inlineStr">
        <is>
          <t>SLE</t>
        </is>
      </c>
      <c r="C245" t="inlineStr">
        <is>
          <t>Executive Director, Secretariat to the Canadian Cultural Property Export Review Board</t>
        </is>
      </c>
      <c r="D245" t="inlineStr">
        <is>
          <t>Directrice exécutive, Secrétariat de la Commission canadienne d’examen des exportations de biens culturels</t>
        </is>
      </c>
      <c r="E245" t="inlineStr">
        <is>
          <t>Bishop, Delphine</t>
        </is>
      </c>
      <c r="F245" t="inlineStr">
        <is>
          <t>Attend the CCPERB meeting</t>
        </is>
      </c>
      <c r="G245" t="inlineStr">
        <is>
          <t>Participer à la rencontre de CCEEPC</t>
        </is>
      </c>
      <c r="H245" s="1" t="n">
        <v>42634</v>
      </c>
      <c r="I245" s="1" t="n">
        <v>42636</v>
      </c>
      <c r="J245" t="inlineStr">
        <is>
          <t>Ottawa, Ontario</t>
        </is>
      </c>
      <c r="K245" t="inlineStr">
        <is>
          <t>Ottawa, Ontario</t>
        </is>
      </c>
      <c r="Q245" t="n">
        <v>60</v>
      </c>
      <c r="U245" t="n">
        <v>60</v>
      </c>
      <c r="X245" t="inlineStr">
        <is>
          <t>atssc-scdata</t>
        </is>
      </c>
      <c r="Y245" t="inlineStr">
        <is>
          <t>Administrative Tribunals Support Service of Canada | Service canadien d'appui aux tribunaux administratifs</t>
        </is>
      </c>
      <c r="Z245" t="n">
        <v>3</v>
      </c>
      <c r="AA245" t="n">
        <v>60</v>
      </c>
      <c r="AB245">
        <f>ROUND(U245-AA245,2)</f>
        <v/>
      </c>
      <c r="AC245" t="b">
        <v>0</v>
      </c>
      <c r="AD245">
        <f>IF(U245="","MISSING_TOTAL",IF(ABS(AB245)&lt;=0.01,"OK","CHECK"))</f>
        <v/>
      </c>
      <c r="AE245">
        <f>IF(U245="","MISSING",IF(AND(AA245&gt;0,U245/AA245&gt;50),"POSSIBLE_SCALE_ERROR","OK"))</f>
        <v/>
      </c>
    </row>
    <row r="246">
      <c r="A246" t="inlineStr">
        <is>
          <t>T-2016-Q4-014</t>
        </is>
      </c>
      <c r="B246" t="inlineStr">
        <is>
          <t>SLE</t>
        </is>
      </c>
      <c r="C246" t="inlineStr">
        <is>
          <t>Chairperson, Canadian Cultural Property Export Review Board</t>
        </is>
      </c>
      <c r="D246" t="inlineStr">
        <is>
          <t>Président, Commission canadienne d’examen des exportations de biens culturels</t>
        </is>
      </c>
      <c r="E246" t="inlineStr">
        <is>
          <t>BLOOM, Glen A</t>
        </is>
      </c>
      <c r="F246" t="inlineStr">
        <is>
          <t>Attend the Toronto Art Fair</t>
        </is>
      </c>
      <c r="G246" t="inlineStr">
        <is>
          <t>Assister à la Art Fair à Toronto</t>
        </is>
      </c>
      <c r="H246" s="1" t="n">
        <v>42670</v>
      </c>
      <c r="I246" s="1" t="n">
        <v>42673</v>
      </c>
      <c r="J246" t="inlineStr">
        <is>
          <t>Toronto, ON</t>
        </is>
      </c>
      <c r="K246" t="inlineStr">
        <is>
          <t>Toronto, ON</t>
        </is>
      </c>
      <c r="Q246" t="n">
        <v>220.18</v>
      </c>
      <c r="R246" t="n">
        <v>582.52</v>
      </c>
      <c r="S246" t="n">
        <v>354.15</v>
      </c>
      <c r="U246" t="n">
        <v>1156.85</v>
      </c>
      <c r="X246" t="inlineStr">
        <is>
          <t>atssc-scdata</t>
        </is>
      </c>
      <c r="Y246" t="inlineStr">
        <is>
          <t>Administrative Tribunals Support Service of Canada | Service canadien d'appui aux tribunaux administratifs</t>
        </is>
      </c>
      <c r="Z246" t="n">
        <v>4</v>
      </c>
      <c r="AA246" t="n">
        <v>1156.85</v>
      </c>
      <c r="AB246">
        <f>ROUND(U246-AA246,2)</f>
        <v/>
      </c>
      <c r="AC246" t="b">
        <v>0</v>
      </c>
      <c r="AD246">
        <f>IF(U246="","MISSING_TOTAL",IF(ABS(AB246)&lt;=0.01,"OK","CHECK"))</f>
        <v/>
      </c>
      <c r="AE246">
        <f>IF(U246="","MISSING",IF(AND(AA246&gt;0,U246/AA246&gt;50),"POSSIBLE_SCALE_ERROR","OK"))</f>
        <v/>
      </c>
    </row>
    <row r="247">
      <c r="A247" t="inlineStr">
        <is>
          <t>T-2016-Q3-006</t>
        </is>
      </c>
      <c r="B247" t="inlineStr">
        <is>
          <t>SLE</t>
        </is>
      </c>
      <c r="C247" t="inlineStr">
        <is>
          <t>Executive Director, Secretariat to the Canadian Cultural Property Export Review Board</t>
        </is>
      </c>
      <c r="D247" t="inlineStr">
        <is>
          <t>Directrice exécutive, Secrétariat de la Commission canadienne d’examen des exportations de biens culturels</t>
        </is>
      </c>
      <c r="E247" t="inlineStr">
        <is>
          <t>Bishop, Delphine</t>
        </is>
      </c>
      <c r="F247" t="inlineStr">
        <is>
          <t>Attend a Senior Management of ATSSC meeting</t>
        </is>
      </c>
      <c r="G247" t="inlineStr">
        <is>
          <t>Participer à une rencontre de la haute direction du SCDATA</t>
        </is>
      </c>
      <c r="H247" s="1" t="n">
        <v>42641</v>
      </c>
      <c r="I247" s="1" t="n">
        <v>42641</v>
      </c>
      <c r="J247" t="inlineStr">
        <is>
          <t>Ottawa, Ontario</t>
        </is>
      </c>
      <c r="K247" t="inlineStr">
        <is>
          <t>Ottawa, Ontario</t>
        </is>
      </c>
      <c r="Q247" t="n">
        <v>20</v>
      </c>
      <c r="U247" t="n">
        <v>20</v>
      </c>
      <c r="X247" t="inlineStr">
        <is>
          <t>atssc-scdata</t>
        </is>
      </c>
      <c r="Y247" t="inlineStr">
        <is>
          <t>Administrative Tribunals Support Service of Canada | Service canadien d'appui aux tribunaux administratifs</t>
        </is>
      </c>
      <c r="Z247" t="n">
        <v>1</v>
      </c>
      <c r="AA247" t="n">
        <v>20</v>
      </c>
      <c r="AB247">
        <f>ROUND(U247-AA247,2)</f>
        <v/>
      </c>
      <c r="AC247" t="b">
        <v>0</v>
      </c>
      <c r="AD247">
        <f>IF(U247="","MISSING_TOTAL",IF(ABS(AB247)&lt;=0.01,"OK","CHECK"))</f>
        <v/>
      </c>
      <c r="AE247">
        <f>IF(U247="","MISSING",IF(AND(AA247&gt;0,U247/AA247&gt;50),"POSSIBLE_SCALE_ERROR","OK"))</f>
        <v/>
      </c>
    </row>
    <row r="248">
      <c r="A248" t="inlineStr">
        <is>
          <t>T-2016-Q3-007</t>
        </is>
      </c>
      <c r="B248" t="inlineStr">
        <is>
          <t>SLE</t>
        </is>
      </c>
      <c r="C248" t="inlineStr">
        <is>
          <t>Chairperson, Canadian Cultural Property Export Review Board</t>
        </is>
      </c>
      <c r="D248" t="inlineStr">
        <is>
          <t>Président, Commission canadienne d’examen des exportations de biens culturels</t>
        </is>
      </c>
      <c r="E248" t="inlineStr">
        <is>
          <t>BLOOM, Glen A</t>
        </is>
      </c>
      <c r="F248" t="inlineStr">
        <is>
          <t>Attend a meeting with a representant at the National Art Gallery of Canada</t>
        </is>
      </c>
      <c r="G248" t="inlineStr">
        <is>
          <t>Participer à une réunion avec un représentant au Musée des Beaux-Art du Canada</t>
        </is>
      </c>
      <c r="H248" s="1" t="n">
        <v>42613</v>
      </c>
      <c r="I248" s="1" t="n">
        <v>42613</v>
      </c>
      <c r="J248" t="inlineStr">
        <is>
          <t>Ottawa, Ontario</t>
        </is>
      </c>
      <c r="K248" t="inlineStr">
        <is>
          <t>Ottawa, Ontario</t>
        </is>
      </c>
      <c r="Q248" t="n">
        <v>12</v>
      </c>
      <c r="U248" t="n">
        <v>12</v>
      </c>
      <c r="X248" t="inlineStr">
        <is>
          <t>atssc-scdata</t>
        </is>
      </c>
      <c r="Y248" t="inlineStr">
        <is>
          <t>Administrative Tribunals Support Service of Canada | Service canadien d'appui aux tribunaux administratifs</t>
        </is>
      </c>
      <c r="Z248" t="n">
        <v>1</v>
      </c>
      <c r="AA248" t="n">
        <v>12</v>
      </c>
      <c r="AB248">
        <f>ROUND(U248-AA248,2)</f>
        <v/>
      </c>
      <c r="AC248" t="b">
        <v>0</v>
      </c>
      <c r="AD248">
        <f>IF(U248="","MISSING_TOTAL",IF(ABS(AB248)&lt;=0.01,"OK","CHECK"))</f>
        <v/>
      </c>
      <c r="AE248">
        <f>IF(U248="","MISSING",IF(AND(AA248&gt;0,U248/AA248&gt;50),"POSSIBLE_SCALE_ERROR","OK"))</f>
        <v/>
      </c>
    </row>
    <row r="249">
      <c r="A249" t="inlineStr">
        <is>
          <t>T-2016-Q3-008</t>
        </is>
      </c>
      <c r="B249" t="inlineStr">
        <is>
          <t>SLE</t>
        </is>
      </c>
      <c r="C249" t="inlineStr">
        <is>
          <t>Chairperson, Canadian Cultural Property Export Review Board</t>
        </is>
      </c>
      <c r="D249" t="inlineStr">
        <is>
          <t>Président, Commission canadienne d’examen des exportations de biens culturels</t>
        </is>
      </c>
      <c r="E249" t="inlineStr">
        <is>
          <t>BLOOM, Glen A</t>
        </is>
      </c>
      <c r="F249" t="inlineStr">
        <is>
          <t>Participate in the prep day meetings</t>
        </is>
      </c>
      <c r="G249" t="inlineStr">
        <is>
          <t>Participer aux journées préparatoires</t>
        </is>
      </c>
      <c r="H249" s="1" t="n">
        <v>42619</v>
      </c>
      <c r="I249" s="1" t="n">
        <v>42621</v>
      </c>
      <c r="J249" t="inlineStr">
        <is>
          <t>Gatineau, Quebec</t>
        </is>
      </c>
      <c r="K249" t="inlineStr">
        <is>
          <t>Gatineau, Quebec</t>
        </is>
      </c>
      <c r="Q249" t="n">
        <v>45.85</v>
      </c>
      <c r="R249" t="n">
        <v>361.02</v>
      </c>
      <c r="S249" t="n">
        <v>209.5</v>
      </c>
      <c r="U249" t="n">
        <v>616.37</v>
      </c>
      <c r="X249" t="inlineStr">
        <is>
          <t>atssc-scdata</t>
        </is>
      </c>
      <c r="Y249" t="inlineStr">
        <is>
          <t>Administrative Tribunals Support Service of Canada | Service canadien d'appui aux tribunaux administratifs</t>
        </is>
      </c>
      <c r="Z249" t="n">
        <v>3</v>
      </c>
      <c r="AA249" t="n">
        <v>616.37</v>
      </c>
      <c r="AB249">
        <f>ROUND(U249-AA249,2)</f>
        <v/>
      </c>
      <c r="AC249" t="b">
        <v>0</v>
      </c>
      <c r="AD249">
        <f>IF(U249="","MISSING_TOTAL",IF(ABS(AB249)&lt;=0.01,"OK","CHECK"))</f>
        <v/>
      </c>
      <c r="AE249">
        <f>IF(U249="","MISSING",IF(AND(AA249&gt;0,U249/AA249&gt;50),"POSSIBLE_SCALE_ERROR","OK"))</f>
        <v/>
      </c>
    </row>
    <row r="250">
      <c r="A250" t="inlineStr">
        <is>
          <t>T-2017-Q3-019</t>
        </is>
      </c>
      <c r="B250" t="inlineStr">
        <is>
          <t>SLE</t>
        </is>
      </c>
      <c r="C250" t="inlineStr">
        <is>
          <t>Chairperson, Canada Industrial Relations Board</t>
        </is>
      </c>
      <c r="D250" t="inlineStr">
        <is>
          <t>Présidente, Conseil canadien des relations industrielles</t>
        </is>
      </c>
      <c r="E250" t="inlineStr">
        <is>
          <t>Ginette Brazeau</t>
        </is>
      </c>
      <c r="F250" t="inlineStr">
        <is>
          <t>Hearing file #42544</t>
        </is>
      </c>
      <c r="G250" t="inlineStr">
        <is>
          <t>Dossier d'audience #42544</t>
        </is>
      </c>
      <c r="H250" s="1" t="n">
        <v>43024</v>
      </c>
      <c r="I250" s="1" t="n">
        <v>43024</v>
      </c>
      <c r="J250" t="inlineStr">
        <is>
          <t>Toronto, ON</t>
        </is>
      </c>
      <c r="K250" t="inlineStr">
        <is>
          <t>Toronto, ON</t>
        </is>
      </c>
      <c r="P250" t="n">
        <v>479.25</v>
      </c>
      <c r="Q250" t="n">
        <v>23</v>
      </c>
      <c r="S250" t="n">
        <v>18.9</v>
      </c>
      <c r="U250" t="n">
        <v>521.15</v>
      </c>
      <c r="X250" t="inlineStr">
        <is>
          <t>atssc-scdata</t>
        </is>
      </c>
      <c r="Y250" t="inlineStr">
        <is>
          <t>Administrative Tribunals Support Service of Canada | Service canadien d'appui aux tribunaux administratifs</t>
        </is>
      </c>
      <c r="Z250" t="n">
        <v>1</v>
      </c>
      <c r="AA250" t="n">
        <v>521.15</v>
      </c>
      <c r="AB250">
        <f>ROUND(U250-AA250,2)</f>
        <v/>
      </c>
      <c r="AC250" t="b">
        <v>0</v>
      </c>
      <c r="AD250">
        <f>IF(U250="","MISSING_TOTAL",IF(ABS(AB250)&lt;=0.01,"OK","CHECK"))</f>
        <v/>
      </c>
      <c r="AE250">
        <f>IF(U250="","MISSING",IF(AND(AA250&gt;0,U250/AA250&gt;50),"POSSIBLE_SCALE_ERROR","OK"))</f>
        <v/>
      </c>
    </row>
    <row r="251">
      <c r="A251" t="inlineStr">
        <is>
          <t>T-2016-Q3-009</t>
        </is>
      </c>
      <c r="B251" t="inlineStr">
        <is>
          <t>SLE</t>
        </is>
      </c>
      <c r="C251" t="inlineStr">
        <is>
          <t>Chairperson, Canadian Cultural Property Export Review Board</t>
        </is>
      </c>
      <c r="D251" t="inlineStr">
        <is>
          <t>Président, Commission canadienne d’examen des exportations de biens culturels</t>
        </is>
      </c>
      <c r="E251" t="inlineStr">
        <is>
          <t>BLOOM, Glen A</t>
        </is>
      </c>
      <c r="F251" t="inlineStr">
        <is>
          <t>Attend the CCPERB meeting</t>
        </is>
      </c>
      <c r="G251" t="inlineStr">
        <is>
          <t>Participer à la réunion de CCEEB</t>
        </is>
      </c>
      <c r="H251" s="1" t="n">
        <v>42633</v>
      </c>
      <c r="I251" s="1" t="n">
        <v>42636</v>
      </c>
      <c r="J251" t="inlineStr">
        <is>
          <t>Ottawa, Ontario</t>
        </is>
      </c>
      <c r="K251" t="inlineStr">
        <is>
          <t>Ottawa, Ontario</t>
        </is>
      </c>
      <c r="Q251" t="n">
        <v>53.37</v>
      </c>
      <c r="R251" t="n">
        <v>583.11</v>
      </c>
      <c r="S251" t="n">
        <v>260.6</v>
      </c>
      <c r="U251" t="n">
        <v>897.08</v>
      </c>
      <c r="X251" t="inlineStr">
        <is>
          <t>atssc-scdata</t>
        </is>
      </c>
      <c r="Y251" t="inlineStr">
        <is>
          <t>Administrative Tribunals Support Service of Canada | Service canadien d'appui aux tribunaux administratifs</t>
        </is>
      </c>
      <c r="Z251" t="n">
        <v>4</v>
      </c>
      <c r="AA251" t="n">
        <v>897.08</v>
      </c>
      <c r="AB251">
        <f>ROUND(U251-AA251,2)</f>
        <v/>
      </c>
      <c r="AC251" t="b">
        <v>0</v>
      </c>
      <c r="AD251">
        <f>IF(U251="","MISSING_TOTAL",IF(ABS(AB251)&lt;=0.01,"OK","CHECK"))</f>
        <v/>
      </c>
      <c r="AE251">
        <f>IF(U251="","MISSING",IF(AND(AA251&gt;0,U251/AA251&gt;50),"POSSIBLE_SCALE_ERROR","OK"))</f>
        <v/>
      </c>
    </row>
    <row r="252">
      <c r="A252" t="inlineStr">
        <is>
          <t>T-2016-Q3-010</t>
        </is>
      </c>
      <c r="B252" t="inlineStr">
        <is>
          <t>SLE</t>
        </is>
      </c>
      <c r="C252" t="inlineStr">
        <is>
          <t>Chairperson, Canada Industrial Relations Board</t>
        </is>
      </c>
      <c r="D252" t="inlineStr">
        <is>
          <t>Présidente, Conseil canadien des relations industrielles</t>
        </is>
      </c>
      <c r="E252" t="inlineStr">
        <is>
          <t>Brazeau, Ginette</t>
        </is>
      </c>
      <c r="F252" t="inlineStr">
        <is>
          <t>To attend the Association of Labour Relations Agencies Executive Committee meeting</t>
        </is>
      </c>
      <c r="G252" t="inlineStr">
        <is>
          <t>Participer à une rencontre du comité de direction de la Association of Labour Relations Agencies</t>
        </is>
      </c>
      <c r="H252" s="1" t="n">
        <v>42664</v>
      </c>
      <c r="I252" s="1" t="n">
        <v>42667</v>
      </c>
      <c r="J252" t="inlineStr">
        <is>
          <t>Washington, D.C.</t>
        </is>
      </c>
      <c r="K252" t="inlineStr">
        <is>
          <t>Washington, D.C.</t>
        </is>
      </c>
      <c r="P252" t="n">
        <v>1324.71</v>
      </c>
      <c r="Q252" t="n">
        <v>104.32</v>
      </c>
      <c r="R252" t="n">
        <v>888.65</v>
      </c>
      <c r="S252" t="n">
        <v>291.57</v>
      </c>
      <c r="U252" t="n">
        <v>2609.25</v>
      </c>
      <c r="X252" t="inlineStr">
        <is>
          <t>atssc-scdata</t>
        </is>
      </c>
      <c r="Y252" t="inlineStr">
        <is>
          <t>Administrative Tribunals Support Service of Canada | Service canadien d'appui aux tribunaux administratifs</t>
        </is>
      </c>
      <c r="Z252" t="n">
        <v>4</v>
      </c>
      <c r="AA252" t="n">
        <v>2609.25</v>
      </c>
      <c r="AB252">
        <f>ROUND(U252-AA252,2)</f>
        <v/>
      </c>
      <c r="AC252" t="b">
        <v>0</v>
      </c>
      <c r="AD252">
        <f>IF(U252="","MISSING_TOTAL",IF(ABS(AB252)&lt;=0.01,"OK","CHECK"))</f>
        <v/>
      </c>
      <c r="AE252">
        <f>IF(U252="","MISSING",IF(AND(AA252&gt;0,U252/AA252&gt;50),"POSSIBLE_SCALE_ERROR","OK"))</f>
        <v/>
      </c>
    </row>
    <row r="253">
      <c r="A253" t="inlineStr">
        <is>
          <t>T-2016-Q3-011</t>
        </is>
      </c>
      <c r="B253" t="inlineStr">
        <is>
          <t>SLE</t>
        </is>
      </c>
      <c r="C253" t="inlineStr">
        <is>
          <t>Chairperson, Canada Industrial Relations Board</t>
        </is>
      </c>
      <c r="D253" t="inlineStr">
        <is>
          <t>Présidente, Conseil canadien des relations industrielles</t>
        </is>
      </c>
      <c r="E253" t="inlineStr">
        <is>
          <t>Brazeau, Ginette</t>
        </is>
      </c>
      <c r="F253" t="inlineStr">
        <is>
          <t>Hearing file 31794-C</t>
        </is>
      </c>
      <c r="G253" t="inlineStr">
        <is>
          <t>Dossier d'audience 31794-C</t>
        </is>
      </c>
      <c r="H253" s="1" t="n">
        <v>42676</v>
      </c>
      <c r="I253" s="1" t="n">
        <v>42678</v>
      </c>
      <c r="J253" t="inlineStr">
        <is>
          <t>Montréal, Québec</t>
        </is>
      </c>
      <c r="K253" t="inlineStr">
        <is>
          <t>Montréal, Québec</t>
        </is>
      </c>
      <c r="Q253" t="n">
        <v>226.58</v>
      </c>
      <c r="R253" t="n">
        <v>340.34</v>
      </c>
      <c r="S253" t="n">
        <v>211.5</v>
      </c>
      <c r="U253" t="n">
        <v>778.42</v>
      </c>
      <c r="X253" t="inlineStr">
        <is>
          <t>atssc-scdata</t>
        </is>
      </c>
      <c r="Y253" t="inlineStr">
        <is>
          <t>Administrative Tribunals Support Service of Canada | Service canadien d'appui aux tribunaux administratifs</t>
        </is>
      </c>
      <c r="Z253" t="n">
        <v>3</v>
      </c>
      <c r="AA253" t="n">
        <v>778.42</v>
      </c>
      <c r="AB253">
        <f>ROUND(U253-AA253,2)</f>
        <v/>
      </c>
      <c r="AC253" t="b">
        <v>0</v>
      </c>
      <c r="AD253">
        <f>IF(U253="","MISSING_TOTAL",IF(ABS(AB253)&lt;=0.01,"OK","CHECK"))</f>
        <v/>
      </c>
      <c r="AE253">
        <f>IF(U253="","MISSING",IF(AND(AA253&gt;0,U253/AA253&gt;50),"POSSIBLE_SCALE_ERROR","OK"))</f>
        <v/>
      </c>
    </row>
    <row r="254">
      <c r="A254" t="inlineStr">
        <is>
          <t>T-2016-Q3-012</t>
        </is>
      </c>
      <c r="B254" t="inlineStr">
        <is>
          <t>SLE</t>
        </is>
      </c>
      <c r="C254" t="inlineStr">
        <is>
          <t>Chairperson, Canada Industrial Relations Board</t>
        </is>
      </c>
      <c r="D254" t="inlineStr">
        <is>
          <t>Présidente, Conseil canadien des relations industrielles</t>
        </is>
      </c>
      <c r="E254" t="inlineStr">
        <is>
          <t>Brazeau, Ginette</t>
        </is>
      </c>
      <c r="F254" t="inlineStr">
        <is>
          <t>Hearing file 31573-C</t>
        </is>
      </c>
      <c r="G254" t="inlineStr">
        <is>
          <t>Dossier d'audience 31573-C</t>
        </is>
      </c>
      <c r="H254" s="1" t="n">
        <v>42689</v>
      </c>
      <c r="I254" s="1" t="n">
        <v>42692</v>
      </c>
      <c r="J254" t="inlineStr">
        <is>
          <t>Edmonton, Alberta</t>
        </is>
      </c>
      <c r="K254" t="inlineStr">
        <is>
          <t>Edmonton, Alberta</t>
        </is>
      </c>
      <c r="P254" t="n">
        <v>1579.08</v>
      </c>
      <c r="Q254" t="n">
        <v>123</v>
      </c>
      <c r="R254" t="n">
        <v>501.84</v>
      </c>
      <c r="S254" t="n">
        <v>228.8</v>
      </c>
      <c r="U254" t="n">
        <v>2432.72</v>
      </c>
      <c r="X254" t="inlineStr">
        <is>
          <t>atssc-scdata</t>
        </is>
      </c>
      <c r="Y254" t="inlineStr">
        <is>
          <t>Administrative Tribunals Support Service of Canada | Service canadien d'appui aux tribunaux administratifs</t>
        </is>
      </c>
      <c r="Z254" t="n">
        <v>4</v>
      </c>
      <c r="AA254" t="n">
        <v>2432.72</v>
      </c>
      <c r="AB254">
        <f>ROUND(U254-AA254,2)</f>
        <v/>
      </c>
      <c r="AC254" t="b">
        <v>0</v>
      </c>
      <c r="AD254">
        <f>IF(U254="","MISSING_TOTAL",IF(ABS(AB254)&lt;=0.01,"OK","CHECK"))</f>
        <v/>
      </c>
      <c r="AE254">
        <f>IF(U254="","MISSING",IF(AND(AA254&gt;0,U254/AA254&gt;50),"POSSIBLE_SCALE_ERROR","OK"))</f>
        <v/>
      </c>
    </row>
    <row r="255">
      <c r="A255" t="inlineStr">
        <is>
          <t>T-2016-Q3-013</t>
        </is>
      </c>
      <c r="B255" t="inlineStr">
        <is>
          <t>SLE</t>
        </is>
      </c>
      <c r="C255" t="inlineStr">
        <is>
          <t>Chairperson, Canada Agricultural Review Tribunal</t>
        </is>
      </c>
      <c r="D255" t="inlineStr">
        <is>
          <t>Président, Commission de révision agricole du Canada</t>
        </is>
      </c>
      <c r="E255" t="inlineStr">
        <is>
          <t>Buckingham, Donald</t>
        </is>
      </c>
      <c r="F255" t="inlineStr">
        <is>
          <t>Hearing CART-1849</t>
        </is>
      </c>
      <c r="G255" t="inlineStr">
        <is>
          <t>Audience 1849-CRAC</t>
        </is>
      </c>
      <c r="H255" s="1" t="n">
        <v>42599</v>
      </c>
      <c r="I255" s="1" t="n">
        <v>42599</v>
      </c>
      <c r="J255" t="inlineStr">
        <is>
          <t>Halifax, NS</t>
        </is>
      </c>
      <c r="K255" t="inlineStr">
        <is>
          <t>Halifax, NS</t>
        </is>
      </c>
      <c r="Q255" t="n">
        <v>81.31999999999999</v>
      </c>
      <c r="S255" t="n">
        <v>17</v>
      </c>
      <c r="U255" t="n">
        <v>98.31999999999999</v>
      </c>
      <c r="X255" t="inlineStr">
        <is>
          <t>atssc-scdata</t>
        </is>
      </c>
      <c r="Y255" t="inlineStr">
        <is>
          <t>Administrative Tribunals Support Service of Canada | Service canadien d'appui aux tribunaux administratifs</t>
        </is>
      </c>
      <c r="Z255" t="n">
        <v>1</v>
      </c>
      <c r="AA255" t="n">
        <v>98.31999999999999</v>
      </c>
      <c r="AB255">
        <f>ROUND(U255-AA255,2)</f>
        <v/>
      </c>
      <c r="AC255" t="b">
        <v>0</v>
      </c>
      <c r="AD255">
        <f>IF(U255="","MISSING_TOTAL",IF(ABS(AB255)&lt;=0.01,"OK","CHECK"))</f>
        <v/>
      </c>
      <c r="AE255">
        <f>IF(U255="","MISSING",IF(AND(AA255&gt;0,U255/AA255&gt;50),"POSSIBLE_SCALE_ERROR","OK"))</f>
        <v/>
      </c>
    </row>
    <row r="256">
      <c r="A256" t="inlineStr">
        <is>
          <t>T-2016-Q3-014</t>
        </is>
      </c>
      <c r="B256" t="inlineStr">
        <is>
          <t>SLE</t>
        </is>
      </c>
      <c r="C256" t="inlineStr">
        <is>
          <t>Chairperson, Canada Agricultural Review Tribunal</t>
        </is>
      </c>
      <c r="D256" t="inlineStr">
        <is>
          <t>Président, Commission de révision agricole du Canada</t>
        </is>
      </c>
      <c r="E256" t="inlineStr">
        <is>
          <t>Buckingham, Donald</t>
        </is>
      </c>
      <c r="F256" t="inlineStr">
        <is>
          <t>Attend the American National Association of Administrative Law Judiciary</t>
        </is>
      </c>
      <c r="G256" t="inlineStr">
        <is>
          <t>Participer à la rencontre de la American National Association of Administrative Law Judiciary</t>
        </is>
      </c>
      <c r="H256" s="1" t="n">
        <v>42630</v>
      </c>
      <c r="I256" s="1" t="n">
        <v>42637</v>
      </c>
      <c r="J256" t="inlineStr">
        <is>
          <t>Salt Lake City, Utah</t>
        </is>
      </c>
      <c r="K256" t="inlineStr">
        <is>
          <t>Salt Lake City, Utah</t>
        </is>
      </c>
      <c r="P256" t="n">
        <v>484.72</v>
      </c>
      <c r="Q256" t="n">
        <v>33.14</v>
      </c>
      <c r="R256" t="n">
        <v>570.87</v>
      </c>
      <c r="S256" t="n">
        <v>350.6</v>
      </c>
      <c r="U256" t="n">
        <v>1439.33</v>
      </c>
      <c r="X256" t="inlineStr">
        <is>
          <t>atssc-scdata</t>
        </is>
      </c>
      <c r="Y256" t="inlineStr">
        <is>
          <t>Administrative Tribunals Support Service of Canada | Service canadien d'appui aux tribunaux administratifs</t>
        </is>
      </c>
      <c r="Z256" t="n">
        <v>8</v>
      </c>
      <c r="AA256" t="n">
        <v>1439.33</v>
      </c>
      <c r="AB256">
        <f>ROUND(U256-AA256,2)</f>
        <v/>
      </c>
      <c r="AC256" t="b">
        <v>0</v>
      </c>
      <c r="AD256">
        <f>IF(U256="","MISSING_TOTAL",IF(ABS(AB256)&lt;=0.01,"OK","CHECK"))</f>
        <v/>
      </c>
      <c r="AE256">
        <f>IF(U256="","MISSING",IF(AND(AA256&gt;0,U256/AA256&gt;50),"POSSIBLE_SCALE_ERROR","OK"))</f>
        <v/>
      </c>
    </row>
    <row r="257">
      <c r="A257" t="inlineStr">
        <is>
          <t>T-2016-Q3-015</t>
        </is>
      </c>
      <c r="B257" t="inlineStr">
        <is>
          <t>SLE</t>
        </is>
      </c>
      <c r="C257" t="inlineStr">
        <is>
          <t>Chairperson, Canada Agricultural Review Tribunal</t>
        </is>
      </c>
      <c r="D257" t="inlineStr">
        <is>
          <t>Président, Commission de révision agricole du Canada</t>
        </is>
      </c>
      <c r="E257" t="inlineStr">
        <is>
          <t>Buckingham, Donald</t>
        </is>
      </c>
      <c r="F257" t="inlineStr">
        <is>
          <t>Hearing CART-1879</t>
        </is>
      </c>
      <c r="G257" t="inlineStr">
        <is>
          <t>Audience 1879-CRAC</t>
        </is>
      </c>
      <c r="H257" s="1" t="n">
        <v>42641</v>
      </c>
      <c r="I257" s="1" t="n">
        <v>42641</v>
      </c>
      <c r="J257" t="inlineStr">
        <is>
          <t>Brampton, ON</t>
        </is>
      </c>
      <c r="K257" t="inlineStr">
        <is>
          <t>Brampton, ON</t>
        </is>
      </c>
      <c r="P257" t="n">
        <v>472.62</v>
      </c>
      <c r="Q257" t="n">
        <v>25.14</v>
      </c>
      <c r="S257" t="n">
        <v>78.8</v>
      </c>
      <c r="U257" t="n">
        <v>576.5599999999999</v>
      </c>
      <c r="X257" t="inlineStr">
        <is>
          <t>atssc-scdata</t>
        </is>
      </c>
      <c r="Y257" t="inlineStr">
        <is>
          <t>Administrative Tribunals Support Service of Canada | Service canadien d'appui aux tribunaux administratifs</t>
        </is>
      </c>
      <c r="Z257" t="n">
        <v>1</v>
      </c>
      <c r="AA257" t="n">
        <v>576.5599999999999</v>
      </c>
      <c r="AB257">
        <f>ROUND(U257-AA257,2)</f>
        <v/>
      </c>
      <c r="AC257" t="b">
        <v>0</v>
      </c>
      <c r="AD257">
        <f>IF(U257="","MISSING_TOTAL",IF(ABS(AB257)&lt;=0.01,"OK","CHECK"))</f>
        <v/>
      </c>
      <c r="AE257">
        <f>IF(U257="","MISSING",IF(AND(AA257&gt;0,U257/AA257&gt;50),"POSSIBLE_SCALE_ERROR","OK"))</f>
        <v/>
      </c>
    </row>
    <row r="258">
      <c r="A258" t="inlineStr">
        <is>
          <t>T-2016-Q3-016</t>
        </is>
      </c>
      <c r="B258" t="inlineStr">
        <is>
          <t>SLE</t>
        </is>
      </c>
      <c r="C258" t="inlineStr">
        <is>
          <t>Chairperson, Canada Agricultural Review Tribunal</t>
        </is>
      </c>
      <c r="D258" t="inlineStr">
        <is>
          <t>Président, Commission de révision agricole du Canada</t>
        </is>
      </c>
      <c r="E258" t="inlineStr">
        <is>
          <t>Buckingham, Donald</t>
        </is>
      </c>
      <c r="F258" t="inlineStr">
        <is>
          <t>Hearing CART 1871-1872-1873</t>
        </is>
      </c>
      <c r="G258" t="inlineStr">
        <is>
          <t>Audience 1871-1872-1873 CRAC</t>
        </is>
      </c>
      <c r="H258" s="1" t="n">
        <v>42648</v>
      </c>
      <c r="I258" s="1" t="n">
        <v>42649</v>
      </c>
      <c r="J258" t="inlineStr">
        <is>
          <t>Belleville, ON</t>
        </is>
      </c>
      <c r="K258" t="inlineStr">
        <is>
          <t>Belleville, ON</t>
        </is>
      </c>
      <c r="Q258" t="n">
        <v>309.64</v>
      </c>
      <c r="R258" t="n">
        <v>144.08</v>
      </c>
      <c r="S258" t="n">
        <v>80.09999999999999</v>
      </c>
      <c r="U258" t="n">
        <v>533.8200000000001</v>
      </c>
      <c r="X258" t="inlineStr">
        <is>
          <t>atssc-scdata</t>
        </is>
      </c>
      <c r="Y258" t="inlineStr">
        <is>
          <t>Administrative Tribunals Support Service of Canada | Service canadien d'appui aux tribunaux administratifs</t>
        </is>
      </c>
      <c r="Z258" t="n">
        <v>2</v>
      </c>
      <c r="AA258" t="n">
        <v>533.8200000000001</v>
      </c>
      <c r="AB258">
        <f>ROUND(U258-AA258,2)</f>
        <v/>
      </c>
      <c r="AC258" t="b">
        <v>0</v>
      </c>
      <c r="AD258">
        <f>IF(U258="","MISSING_TOTAL",IF(ABS(AB258)&lt;=0.01,"OK","CHECK"))</f>
        <v/>
      </c>
      <c r="AE258">
        <f>IF(U258="","MISSING",IF(AND(AA258&gt;0,U258/AA258&gt;50),"POSSIBLE_SCALE_ERROR","OK"))</f>
        <v/>
      </c>
    </row>
    <row r="259">
      <c r="A259" t="inlineStr">
        <is>
          <t>T-2016-Q4-009</t>
        </is>
      </c>
      <c r="B259" t="inlineStr">
        <is>
          <t>SLE</t>
        </is>
      </c>
      <c r="C259" t="inlineStr">
        <is>
          <t>Executive Director, Secretariat to the Canadian Cultural Property Export Review Board</t>
        </is>
      </c>
      <c r="D259" t="inlineStr">
        <is>
          <t>Directrice exécutive, Secrétariat de la Commission canadienne d’examen des exportations de biens culturels</t>
        </is>
      </c>
      <c r="E259" t="inlineStr">
        <is>
          <t>BISHOP, Delphine</t>
        </is>
      </c>
      <c r="F259" t="inlineStr">
        <is>
          <t>Attend La Biennale de Montréal 2016 at the Musée d’art contemporain of Montréal</t>
        </is>
      </c>
      <c r="G259" t="inlineStr">
        <is>
          <t>Assister à la Biennale de Montréal 2016 au Musée d'art contemporain de Montréal</t>
        </is>
      </c>
      <c r="H259" s="1" t="n">
        <v>42686</v>
      </c>
      <c r="I259" s="1" t="n">
        <v>42686</v>
      </c>
      <c r="J259" t="inlineStr">
        <is>
          <t>Montréal, QC</t>
        </is>
      </c>
      <c r="K259" t="inlineStr">
        <is>
          <t>Montréal, QC</t>
        </is>
      </c>
      <c r="Q259" t="n">
        <v>10</v>
      </c>
      <c r="U259" t="n">
        <v>10</v>
      </c>
      <c r="X259" t="inlineStr">
        <is>
          <t>atssc-scdata</t>
        </is>
      </c>
      <c r="Y259" t="inlineStr">
        <is>
          <t>Administrative Tribunals Support Service of Canada | Service canadien d'appui aux tribunaux administratifs</t>
        </is>
      </c>
      <c r="Z259" t="n">
        <v>1</v>
      </c>
      <c r="AA259" t="n">
        <v>10</v>
      </c>
      <c r="AB259">
        <f>ROUND(U259-AA259,2)</f>
        <v/>
      </c>
      <c r="AC259" t="b">
        <v>0</v>
      </c>
      <c r="AD259">
        <f>IF(U259="","MISSING_TOTAL",IF(ABS(AB259)&lt;=0.01,"OK","CHECK"))</f>
        <v/>
      </c>
      <c r="AE259">
        <f>IF(U259="","MISSING",IF(AND(AA259&gt;0,U259/AA259&gt;50),"POSSIBLE_SCALE_ERROR","OK"))</f>
        <v/>
      </c>
    </row>
    <row r="260">
      <c r="A260" t="inlineStr">
        <is>
          <t>T-2016-Q3-017</t>
        </is>
      </c>
      <c r="B260" t="inlineStr">
        <is>
          <t>SLE</t>
        </is>
      </c>
      <c r="C260" t="inlineStr">
        <is>
          <t>Chairperson, Canada Agricultural Review Tribunal</t>
        </is>
      </c>
      <c r="D260" t="inlineStr">
        <is>
          <t>Président, Commission de révision agricole du Canada</t>
        </is>
      </c>
      <c r="E260" t="inlineStr">
        <is>
          <t>Buckingham, Donald</t>
        </is>
      </c>
      <c r="F260" t="inlineStr">
        <is>
          <t>Attend the Society of Ontario Adjucators and Regulators Annual Conference in Toronto and attend the conference on Aspects of Compliance and Oversight by administrative tribunals in Halifax</t>
        </is>
      </c>
      <c r="G260" t="inlineStr">
        <is>
          <t>Participer à la rencontre annuel de SOAR  à Toronto ainsi que la conférence sur les aspects conformité et surveillances des tribunanux administratifs à Halifax</t>
        </is>
      </c>
      <c r="H260" s="1" t="n">
        <v>42676</v>
      </c>
      <c r="I260" s="1" t="n">
        <v>42679</v>
      </c>
      <c r="J260" t="inlineStr">
        <is>
          <t>Toronto, ON/Halifax NS</t>
        </is>
      </c>
      <c r="K260" t="inlineStr">
        <is>
          <t>Toronto, ON/Halifax NS</t>
        </is>
      </c>
      <c r="P260" t="n">
        <v>710.95</v>
      </c>
      <c r="Q260" t="n">
        <v>308.18</v>
      </c>
      <c r="R260" t="n">
        <v>133.41</v>
      </c>
      <c r="S260" t="n">
        <v>223.1</v>
      </c>
      <c r="U260" t="n">
        <v>1375.64</v>
      </c>
      <c r="X260" t="inlineStr">
        <is>
          <t>atssc-scdata</t>
        </is>
      </c>
      <c r="Y260" t="inlineStr">
        <is>
          <t>Administrative Tribunals Support Service of Canada | Service canadien d'appui aux tribunaux administratifs</t>
        </is>
      </c>
      <c r="Z260" t="n">
        <v>4</v>
      </c>
      <c r="AA260" t="n">
        <v>1375.64</v>
      </c>
      <c r="AB260">
        <f>ROUND(U260-AA260,2)</f>
        <v/>
      </c>
      <c r="AC260" t="b">
        <v>0</v>
      </c>
      <c r="AD260">
        <f>IF(U260="","MISSING_TOTAL",IF(ABS(AB260)&lt;=0.01,"OK","CHECK"))</f>
        <v/>
      </c>
      <c r="AE260">
        <f>IF(U260="","MISSING",IF(AND(AA260&gt;0,U260/AA260&gt;50),"POSSIBLE_SCALE_ERROR","OK"))</f>
        <v/>
      </c>
    </row>
    <row r="261">
      <c r="A261" t="inlineStr">
        <is>
          <t>T-2016-Q3-018</t>
        </is>
      </c>
      <c r="B261" t="inlineStr">
        <is>
          <t>SLE</t>
        </is>
      </c>
      <c r="C261" t="inlineStr">
        <is>
          <t>Executive Director and General Counsel, Secretariat to the Canada Industrial Relations Board</t>
        </is>
      </c>
      <c r="D261" t="inlineStr">
        <is>
          <t>Directrice exécutive et avocate générale, Secrétariat du Conseil canadien des relations industrielles</t>
        </is>
      </c>
      <c r="E261" t="inlineStr">
        <is>
          <t>Guilbert, Sylvie</t>
        </is>
      </c>
      <c r="F261" t="inlineStr">
        <is>
          <t>To attend the Association of Labour Relations Agencies Conference</t>
        </is>
      </c>
      <c r="G261" t="inlineStr">
        <is>
          <t>Participer à la conférence annuelle de la Association of Labour Relations Agencies</t>
        </is>
      </c>
      <c r="H261" s="1" t="n">
        <v>42664</v>
      </c>
      <c r="I261" s="1" t="n">
        <v>42666</v>
      </c>
      <c r="J261" t="inlineStr">
        <is>
          <t>Washington, D.C.</t>
        </is>
      </c>
      <c r="K261" t="inlineStr">
        <is>
          <t>Washington, D.C.</t>
        </is>
      </c>
      <c r="P261" t="n">
        <v>1118.86</v>
      </c>
      <c r="Q261" t="n">
        <v>68.40000000000001</v>
      </c>
      <c r="R261" t="n">
        <v>576.8200000000001</v>
      </c>
      <c r="S261" t="n">
        <v>274.27</v>
      </c>
      <c r="U261" t="n">
        <v>2038.35</v>
      </c>
      <c r="X261" t="inlineStr">
        <is>
          <t>atssc-scdata</t>
        </is>
      </c>
      <c r="Y261" t="inlineStr">
        <is>
          <t>Administrative Tribunals Support Service of Canada | Service canadien d'appui aux tribunaux administratifs</t>
        </is>
      </c>
      <c r="Z261" t="n">
        <v>3</v>
      </c>
      <c r="AA261" t="n">
        <v>2038.35</v>
      </c>
      <c r="AB261">
        <f>ROUND(U261-AA261,2)</f>
        <v/>
      </c>
      <c r="AC261" t="b">
        <v>0</v>
      </c>
      <c r="AD261">
        <f>IF(U261="","MISSING_TOTAL",IF(ABS(AB261)&lt;=0.01,"OK","CHECK"))</f>
        <v/>
      </c>
      <c r="AE261">
        <f>IF(U261="","MISSING",IF(AND(AA261&gt;0,U261/AA261&gt;50),"POSSIBLE_SCALE_ERROR","OK"))</f>
        <v/>
      </c>
    </row>
    <row r="262">
      <c r="A262" t="inlineStr">
        <is>
          <t>T-2016-Q3-019</t>
        </is>
      </c>
      <c r="B262" t="inlineStr">
        <is>
          <t>SLE</t>
        </is>
      </c>
      <c r="C262" t="inlineStr">
        <is>
          <t>Executive Director and General Counsel, Secretariat to the Canada Industrial Relations Board</t>
        </is>
      </c>
      <c r="D262" t="inlineStr">
        <is>
          <t>Directrice exécutive et avocate générale, Secrétariat du Conseil canadien des relations industrielles</t>
        </is>
      </c>
      <c r="E262" t="inlineStr">
        <is>
          <t>Guilbert, Sylvie</t>
        </is>
      </c>
      <c r="F262" t="inlineStr">
        <is>
          <t>Meeting with the Vancouver regional staff</t>
        </is>
      </c>
      <c r="G262" t="inlineStr">
        <is>
          <t>Rencontre avec les employés régionaux de Vancouver</t>
        </is>
      </c>
      <c r="H262" s="1" t="n">
        <v>42675</v>
      </c>
      <c r="I262" s="1" t="n">
        <v>42677</v>
      </c>
      <c r="J262" t="inlineStr">
        <is>
          <t>Vancouver, BC</t>
        </is>
      </c>
      <c r="K262" t="inlineStr">
        <is>
          <t>Vancouver, BC</t>
        </is>
      </c>
      <c r="P262" t="n">
        <v>5070.97</v>
      </c>
      <c r="Q262" t="n">
        <v>138.25</v>
      </c>
      <c r="R262" t="n">
        <v>350.16</v>
      </c>
      <c r="S262" t="n">
        <v>194.5</v>
      </c>
      <c r="U262" t="n">
        <v>5753.88</v>
      </c>
      <c r="X262" t="inlineStr">
        <is>
          <t>atssc-scdata</t>
        </is>
      </c>
      <c r="Y262" t="inlineStr">
        <is>
          <t>Administrative Tribunals Support Service of Canada | Service canadien d'appui aux tribunaux administratifs</t>
        </is>
      </c>
      <c r="Z262" t="n">
        <v>3</v>
      </c>
      <c r="AA262" t="n">
        <v>5753.88</v>
      </c>
      <c r="AB262">
        <f>ROUND(U262-AA262,2)</f>
        <v/>
      </c>
      <c r="AC262" t="b">
        <v>0</v>
      </c>
      <c r="AD262">
        <f>IF(U262="","MISSING_TOTAL",IF(ABS(AB262)&lt;=0.01,"OK","CHECK"))</f>
        <v/>
      </c>
      <c r="AE262">
        <f>IF(U262="","MISSING",IF(AND(AA262&gt;0,U262/AA262&gt;50),"POSSIBLE_SCALE_ERROR","OK"))</f>
        <v/>
      </c>
    </row>
    <row r="263">
      <c r="A263" t="inlineStr">
        <is>
          <t>T-2016-Q4-005</t>
        </is>
      </c>
      <c r="B263" t="inlineStr">
        <is>
          <t>SLE</t>
        </is>
      </c>
      <c r="C263" t="inlineStr">
        <is>
          <t>Executive Director, Secretariat to the Canadian Cultural Property Export Review Board</t>
        </is>
      </c>
      <c r="D263" t="inlineStr">
        <is>
          <t>Directrice exécutive, Secrétariat de la Commission canadienne d’examen des exportations de biens culturels</t>
        </is>
      </c>
      <c r="E263" t="inlineStr">
        <is>
          <t>BISHOP, Delphine</t>
        </is>
      </c>
      <c r="F263" t="inlineStr">
        <is>
          <t>Attend the board meeting, a presentation at the Canadian Museum of History and a visit at the National Gallery of Canada</t>
        </is>
      </c>
      <c r="G263" t="inlineStr">
        <is>
          <t>Participer à la réunion des membres, à une présentation au Musée de l'histoire ainsi qu'à une visite au Musée des beaux-arts du Canada</t>
        </is>
      </c>
      <c r="H263" s="1" t="n">
        <v>42718</v>
      </c>
      <c r="I263" s="1" t="n">
        <v>42720</v>
      </c>
      <c r="J263" t="inlineStr">
        <is>
          <t>Ottawa, ON &amp; Gatineau, QC</t>
        </is>
      </c>
      <c r="K263" t="inlineStr">
        <is>
          <t>Ottawa, ON &amp; Gatineau, QC</t>
        </is>
      </c>
      <c r="Q263" t="n">
        <v>86.5</v>
      </c>
      <c r="U263" t="n">
        <v>86.5</v>
      </c>
      <c r="X263" t="inlineStr">
        <is>
          <t>atssc-scdata</t>
        </is>
      </c>
      <c r="Y263" t="inlineStr">
        <is>
          <t>Administrative Tribunals Support Service of Canada | Service canadien d'appui aux tribunaux administratifs</t>
        </is>
      </c>
      <c r="Z263" t="n">
        <v>3</v>
      </c>
      <c r="AA263" t="n">
        <v>86.5</v>
      </c>
      <c r="AB263">
        <f>ROUND(U263-AA263,2)</f>
        <v/>
      </c>
      <c r="AC263" t="b">
        <v>0</v>
      </c>
      <c r="AD263">
        <f>IF(U263="","MISSING_TOTAL",IF(ABS(AB263)&lt;=0.01,"OK","CHECK"))</f>
        <v/>
      </c>
      <c r="AE263">
        <f>IF(U263="","MISSING",IF(AND(AA263&gt;0,U263/AA263&gt;50),"POSSIBLE_SCALE_ERROR","OK"))</f>
        <v/>
      </c>
    </row>
    <row r="264">
      <c r="A264" t="inlineStr">
        <is>
          <t>T-2016-Q3-020</t>
        </is>
      </c>
      <c r="B264" t="inlineStr">
        <is>
          <t>SLE</t>
        </is>
      </c>
      <c r="C264" t="inlineStr">
        <is>
          <t>Chief Administrator, Administrative Tribunals Support Service of Canada</t>
        </is>
      </c>
      <c r="D264" t="inlineStr">
        <is>
          <t>Administrateur en chef, Service canadien d'appui aux Tribunaux Administratifs</t>
        </is>
      </c>
      <c r="E264" t="inlineStr">
        <is>
          <t>Pelletier, Marie-France</t>
        </is>
      </c>
      <c r="F264" t="inlineStr">
        <is>
          <t>Visit the CIRB regional office in Vancouver, attend a CHRT hearing in Victoria and meet with British Columbia government representative and tribunal officials</t>
        </is>
      </c>
      <c r="G264" t="inlineStr">
        <is>
          <t>Visiter le bureau régional du CCRI, assister à une audience du TCDP à Victoria et rencontrer des représentants du gouvernement de la Colombie-Britannique et officiers de tribunaux.</t>
        </is>
      </c>
      <c r="H264" s="1" t="n">
        <v>42670</v>
      </c>
      <c r="I264" s="1" t="n">
        <v>42676</v>
      </c>
      <c r="J264" t="inlineStr">
        <is>
          <t>Vancouver &amp; Victoria, BC</t>
        </is>
      </c>
      <c r="K264" t="inlineStr">
        <is>
          <t>Vancouver &amp; Victoria, BC</t>
        </is>
      </c>
      <c r="P264" t="n">
        <v>4159.02</v>
      </c>
      <c r="Q264" t="n">
        <v>281</v>
      </c>
      <c r="R264" t="n">
        <v>744.63</v>
      </c>
      <c r="S264" t="n">
        <v>520.05</v>
      </c>
      <c r="U264" t="n">
        <v>5704.7</v>
      </c>
      <c r="X264" t="inlineStr">
        <is>
          <t>atssc-scdata</t>
        </is>
      </c>
      <c r="Y264" t="inlineStr">
        <is>
          <t>Administrative Tribunals Support Service of Canada | Service canadien d'appui aux tribunaux administratifs</t>
        </is>
      </c>
      <c r="Z264" t="n">
        <v>7</v>
      </c>
      <c r="AA264" t="n">
        <v>5704.7</v>
      </c>
      <c r="AB264">
        <f>ROUND(U264-AA264,2)</f>
        <v/>
      </c>
      <c r="AC264" t="b">
        <v>0</v>
      </c>
      <c r="AD264">
        <f>IF(U264="","MISSING_TOTAL",IF(ABS(AB264)&lt;=0.01,"OK","CHECK"))</f>
        <v/>
      </c>
      <c r="AE264">
        <f>IF(U264="","MISSING",IF(AND(AA264&gt;0,U264/AA264&gt;50),"POSSIBLE_SCALE_ERROR","OK"))</f>
        <v/>
      </c>
    </row>
    <row r="265">
      <c r="A265" t="inlineStr">
        <is>
          <t>T-2016-Q3-021</t>
        </is>
      </c>
      <c r="B265" t="inlineStr">
        <is>
          <t>SLE</t>
        </is>
      </c>
      <c r="C265" t="inlineStr">
        <is>
          <t>Chairperson, Canadian Human Rights Tribunal</t>
        </is>
      </c>
      <c r="D265" t="inlineStr">
        <is>
          <t>Président, Tribunal canadien des droits de la personne</t>
        </is>
      </c>
      <c r="E265" t="inlineStr">
        <is>
          <t>Thomas, David</t>
        </is>
      </c>
      <c r="F265" t="inlineStr">
        <is>
          <t>Mediation file T1823</t>
        </is>
      </c>
      <c r="G265" t="inlineStr">
        <is>
          <t>Dossier de médiation T1823</t>
        </is>
      </c>
      <c r="H265" s="1" t="n">
        <v>42621</v>
      </c>
      <c r="I265" s="1" t="n">
        <v>42625</v>
      </c>
      <c r="J265" t="inlineStr">
        <is>
          <t>Grande Prairie, AB</t>
        </is>
      </c>
      <c r="K265" t="inlineStr">
        <is>
          <t>Grande Prairie, AB</t>
        </is>
      </c>
      <c r="P265" t="n">
        <v>1600.92</v>
      </c>
      <c r="Q265" t="n">
        <v>101.65</v>
      </c>
      <c r="S265" t="n">
        <v>175.4</v>
      </c>
      <c r="U265" t="n">
        <v>1877.97</v>
      </c>
      <c r="X265" t="inlineStr">
        <is>
          <t>atssc-scdata</t>
        </is>
      </c>
      <c r="Y265" t="inlineStr">
        <is>
          <t>Administrative Tribunals Support Service of Canada | Service canadien d'appui aux tribunaux administratifs</t>
        </is>
      </c>
      <c r="Z265" t="n">
        <v>5</v>
      </c>
      <c r="AA265" t="n">
        <v>1877.97</v>
      </c>
      <c r="AB265">
        <f>ROUND(U265-AA265,2)</f>
        <v/>
      </c>
      <c r="AC265" t="b">
        <v>0</v>
      </c>
      <c r="AD265">
        <f>IF(U265="","MISSING_TOTAL",IF(ABS(AB265)&lt;=0.01,"OK","CHECK"))</f>
        <v/>
      </c>
      <c r="AE265">
        <f>IF(U265="","MISSING",IF(AND(AA265&gt;0,U265/AA265&gt;50),"POSSIBLE_SCALE_ERROR","OK"))</f>
        <v/>
      </c>
    </row>
    <row r="266">
      <c r="A266" t="inlineStr">
        <is>
          <t>T-2016-Q4-001</t>
        </is>
      </c>
      <c r="B266" t="inlineStr">
        <is>
          <t>SLE</t>
        </is>
      </c>
      <c r="C266" t="inlineStr">
        <is>
          <t>A/Executive Director and General Counsel, Secretariat to the Public Service Labour Relations and Employment Board</t>
        </is>
      </c>
      <c r="D266" t="inlineStr">
        <is>
          <t>Directrice générale et avocate générale par intérim, Secrétariat de la Commission des relations de travail et de l’emploi dans la fonction publique</t>
        </is>
      </c>
      <c r="E266" t="inlineStr">
        <is>
          <t>Adamson, Virginia</t>
        </is>
      </c>
      <c r="F266" t="inlineStr">
        <is>
          <t>To attend the Association of Labour Relations Agencies meeting</t>
        </is>
      </c>
      <c r="G266" t="inlineStr">
        <is>
          <t>Participer à une rencontre de la Association of Labour Relations Agencies</t>
        </is>
      </c>
      <c r="H266" s="1" t="n">
        <v>42664</v>
      </c>
      <c r="I266" s="1" t="n">
        <v>42666</v>
      </c>
      <c r="J266" t="inlineStr">
        <is>
          <t>Washington, DC</t>
        </is>
      </c>
      <c r="K266" t="inlineStr">
        <is>
          <t>Washington, DC</t>
        </is>
      </c>
      <c r="P266" t="n">
        <v>1093.72</v>
      </c>
      <c r="Q266" t="n">
        <v>18.32</v>
      </c>
      <c r="R266" t="n">
        <v>576.6900000000001</v>
      </c>
      <c r="S266" t="n">
        <v>319.85</v>
      </c>
      <c r="U266" t="n">
        <v>2008.58</v>
      </c>
      <c r="X266" t="inlineStr">
        <is>
          <t>atssc-scdata</t>
        </is>
      </c>
      <c r="Y266" t="inlineStr">
        <is>
          <t>Administrative Tribunals Support Service of Canada | Service canadien d'appui aux tribunaux administratifs</t>
        </is>
      </c>
      <c r="Z266" t="n">
        <v>3</v>
      </c>
      <c r="AA266" t="n">
        <v>2008.58</v>
      </c>
      <c r="AB266">
        <f>ROUND(U266-AA266,2)</f>
        <v/>
      </c>
      <c r="AC266" t="b">
        <v>0</v>
      </c>
      <c r="AD266">
        <f>IF(U266="","MISSING_TOTAL",IF(ABS(AB266)&lt;=0.01,"OK","CHECK"))</f>
        <v/>
      </c>
      <c r="AE266">
        <f>IF(U266="","MISSING",IF(AND(AA266&gt;0,U266/AA266&gt;50),"POSSIBLE_SCALE_ERROR","OK"))</f>
        <v/>
      </c>
    </row>
    <row r="267">
      <c r="A267" t="inlineStr">
        <is>
          <t>T-2016-Q4-002</t>
        </is>
      </c>
      <c r="B267" t="inlineStr">
        <is>
          <t>SLE</t>
        </is>
      </c>
      <c r="C267" t="inlineStr">
        <is>
          <t>A/Chairperson, Canadian International Trade Tribunal</t>
        </is>
      </c>
      <c r="D267" t="inlineStr">
        <is>
          <t>Président par intérim, Tribunal Canadien du commerce extérieur</t>
        </is>
      </c>
      <c r="E267" t="inlineStr">
        <is>
          <t>Bédard, Jean</t>
        </is>
      </c>
      <c r="F267" t="inlineStr">
        <is>
          <t>Attend the 19th Judicial Conference of the United States Court of International Trade</t>
        </is>
      </c>
      <c r="G267" t="inlineStr">
        <is>
          <t>Participer à la 19e Conférence judiciaire du Tribunal de commerce international des États-Unis</t>
        </is>
      </c>
      <c r="H267" s="1" t="n">
        <v>42694</v>
      </c>
      <c r="I267" s="1" t="n">
        <v>42696</v>
      </c>
      <c r="J267" t="inlineStr">
        <is>
          <t>New York, NY</t>
        </is>
      </c>
      <c r="K267" t="inlineStr">
        <is>
          <t>New York, NY</t>
        </is>
      </c>
      <c r="P267" t="n">
        <v>625.62</v>
      </c>
      <c r="Q267" t="n">
        <v>193.34</v>
      </c>
      <c r="R267" t="n">
        <v>612.34</v>
      </c>
      <c r="S267" t="n">
        <v>346.44</v>
      </c>
      <c r="U267" t="n">
        <v>1777.74</v>
      </c>
      <c r="X267" t="inlineStr">
        <is>
          <t>atssc-scdata</t>
        </is>
      </c>
      <c r="Y267" t="inlineStr">
        <is>
          <t>Administrative Tribunals Support Service of Canada | Service canadien d'appui aux tribunaux administratifs</t>
        </is>
      </c>
      <c r="Z267" t="n">
        <v>3</v>
      </c>
      <c r="AA267" t="n">
        <v>1777.74</v>
      </c>
      <c r="AB267">
        <f>ROUND(U267-AA267,2)</f>
        <v/>
      </c>
      <c r="AC267" t="b">
        <v>0</v>
      </c>
      <c r="AD267">
        <f>IF(U267="","MISSING_TOTAL",IF(ABS(AB267)&lt;=0.01,"OK","CHECK"))</f>
        <v/>
      </c>
      <c r="AE267">
        <f>IF(U267="","MISSING",IF(AND(AA267&gt;0,U267/AA267&gt;50),"POSSIBLE_SCALE_ERROR","OK"))</f>
        <v/>
      </c>
    </row>
    <row r="268">
      <c r="A268" t="inlineStr">
        <is>
          <t>T-2016-Q4-003</t>
        </is>
      </c>
      <c r="B268" t="inlineStr">
        <is>
          <t>SLE</t>
        </is>
      </c>
      <c r="C268" t="inlineStr">
        <is>
          <t>A/Chairperson, Canadian International Trade Tribunal</t>
        </is>
      </c>
      <c r="D268" t="inlineStr">
        <is>
          <t>Président par intérim, Tribunal Canadien du commerce extérieur</t>
        </is>
      </c>
      <c r="E268" t="inlineStr">
        <is>
          <t>Bédard, Jean</t>
        </is>
      </c>
      <c r="F268" t="inlineStr">
        <is>
          <t>Hearing file# NQ-2016-002 &amp; GC-2016-001</t>
        </is>
      </c>
      <c r="G268" t="inlineStr">
        <is>
          <t>Dossier d'audience #NQ-2016-002 &amp; GC-2016-001</t>
        </is>
      </c>
      <c r="H268" s="1" t="n">
        <v>42701</v>
      </c>
      <c r="I268" s="1" t="n">
        <v>42713</v>
      </c>
      <c r="J268" t="inlineStr">
        <is>
          <t>Edmonton, AB</t>
        </is>
      </c>
      <c r="K268" t="inlineStr">
        <is>
          <t>Edmonton, AB</t>
        </is>
      </c>
      <c r="P268" t="n">
        <v>2396.59</v>
      </c>
      <c r="Q268" t="n">
        <v>97.45</v>
      </c>
      <c r="R268" t="n">
        <v>1818.72</v>
      </c>
      <c r="S268" t="n">
        <v>1165.25</v>
      </c>
      <c r="U268" t="n">
        <v>5478.01</v>
      </c>
      <c r="X268" t="inlineStr">
        <is>
          <t>atssc-scdata</t>
        </is>
      </c>
      <c r="Y268" t="inlineStr">
        <is>
          <t>Administrative Tribunals Support Service of Canada | Service canadien d'appui aux tribunaux administratifs</t>
        </is>
      </c>
      <c r="Z268" t="n">
        <v>13</v>
      </c>
      <c r="AA268" t="n">
        <v>5478.01</v>
      </c>
      <c r="AB268">
        <f>ROUND(U268-AA268,2)</f>
        <v/>
      </c>
      <c r="AC268" t="b">
        <v>0</v>
      </c>
      <c r="AD268">
        <f>IF(U268="","MISSING_TOTAL",IF(ABS(AB268)&lt;=0.01,"OK","CHECK"))</f>
        <v/>
      </c>
      <c r="AE268">
        <f>IF(U268="","MISSING",IF(AND(AA268&gt;0,U268/AA268&gt;50),"POSSIBLE_SCALE_ERROR","OK"))</f>
        <v/>
      </c>
    </row>
    <row r="269">
      <c r="A269" t="inlineStr">
        <is>
          <t>T-2016-Q4-004</t>
        </is>
      </c>
      <c r="B269" t="inlineStr">
        <is>
          <t>SLE</t>
        </is>
      </c>
      <c r="C269" t="inlineStr">
        <is>
          <t>Executive Director, Secretariat to the Canadian Cultural Property Export Review Board</t>
        </is>
      </c>
      <c r="D269" t="inlineStr">
        <is>
          <t>Directrice exécutive, Secrétariat de la Commission canadienne d’examen des exportations de biens culturels</t>
        </is>
      </c>
      <c r="E269" t="inlineStr">
        <is>
          <t>BISHOP, Delphine</t>
        </is>
      </c>
      <c r="F269" t="inlineStr">
        <is>
          <t>Attend the Strategic Planning Retreat and visit Contemporary Art Show in Toronto</t>
        </is>
      </c>
      <c r="G269" t="inlineStr">
        <is>
          <t>Assister à une séance de réflexion sur la planification stratégique et visiter une exposition d'art contemporain à Toronto</t>
        </is>
      </c>
      <c r="H269" s="1" t="n">
        <v>42679</v>
      </c>
      <c r="I269" s="1" t="n">
        <v>42683</v>
      </c>
      <c r="J269" t="inlineStr">
        <is>
          <t>Toronto, ON</t>
        </is>
      </c>
      <c r="K269" t="inlineStr">
        <is>
          <t>Toronto, ON</t>
        </is>
      </c>
      <c r="P269" t="n">
        <v>421.22</v>
      </c>
      <c r="Q269" t="n">
        <v>234.5</v>
      </c>
      <c r="R269" t="n">
        <v>448.92</v>
      </c>
      <c r="S269" t="n">
        <v>291.35</v>
      </c>
      <c r="T269" t="n">
        <v>12</v>
      </c>
      <c r="U269" t="n">
        <v>1407.99</v>
      </c>
      <c r="X269" t="inlineStr">
        <is>
          <t>atssc-scdata</t>
        </is>
      </c>
      <c r="Y269" t="inlineStr">
        <is>
          <t>Administrative Tribunals Support Service of Canada | Service canadien d'appui aux tribunaux administratifs</t>
        </is>
      </c>
      <c r="Z269" t="n">
        <v>5</v>
      </c>
      <c r="AA269" t="n">
        <v>1407.99</v>
      </c>
      <c r="AB269">
        <f>ROUND(U269-AA269,2)</f>
        <v/>
      </c>
      <c r="AC269" t="b">
        <v>0</v>
      </c>
      <c r="AD269">
        <f>IF(U269="","MISSING_TOTAL",IF(ABS(AB269)&lt;=0.01,"OK","CHECK"))</f>
        <v/>
      </c>
      <c r="AE269">
        <f>IF(U269="","MISSING",IF(AND(AA269&gt;0,U269/AA269&gt;50),"POSSIBLE_SCALE_ERROR","OK"))</f>
        <v/>
      </c>
    </row>
    <row r="270">
      <c r="A270" t="inlineStr">
        <is>
          <t>T-2016-Q4-006</t>
        </is>
      </c>
      <c r="B270" t="inlineStr">
        <is>
          <t>SLE</t>
        </is>
      </c>
      <c r="C270" t="inlineStr">
        <is>
          <t>Executive Director, Secretariat to the Canadian Cultural Property Export Review Board</t>
        </is>
      </c>
      <c r="D270" t="inlineStr">
        <is>
          <t>Directrice exécutive, Secrétariat de la Commission canadienne d’examen des exportations de biens culturels</t>
        </is>
      </c>
      <c r="E270" t="inlineStr">
        <is>
          <t>BISHOP, Delphine</t>
        </is>
      </c>
      <c r="F270" t="inlineStr">
        <is>
          <t>Attend the Summit on the Value of Library, Archives and Museums in a Changing World</t>
        </is>
      </c>
      <c r="G270" t="inlineStr">
        <is>
          <t>Participer au sommet sur la valeur des bibliothèques, des archives et des musées dans un monde en mouvement</t>
        </is>
      </c>
      <c r="H270" s="1" t="n">
        <v>42710</v>
      </c>
      <c r="I270" s="1" t="n">
        <v>42710</v>
      </c>
      <c r="J270" t="inlineStr">
        <is>
          <t>Ottawa, ON</t>
        </is>
      </c>
      <c r="K270" t="inlineStr">
        <is>
          <t>Ottawa, ON</t>
        </is>
      </c>
      <c r="Q270" t="n">
        <v>12</v>
      </c>
      <c r="U270" t="n">
        <v>12</v>
      </c>
      <c r="X270" t="inlineStr">
        <is>
          <t>atssc-scdata</t>
        </is>
      </c>
      <c r="Y270" t="inlineStr">
        <is>
          <t>Administrative Tribunals Support Service of Canada | Service canadien d'appui aux tribunaux administratifs</t>
        </is>
      </c>
      <c r="Z270" t="n">
        <v>1</v>
      </c>
      <c r="AA270" t="n">
        <v>12</v>
      </c>
      <c r="AB270">
        <f>ROUND(U270-AA270,2)</f>
        <v/>
      </c>
      <c r="AC270" t="b">
        <v>0</v>
      </c>
      <c r="AD270">
        <f>IF(U270="","MISSING_TOTAL",IF(ABS(AB270)&lt;=0.01,"OK","CHECK"))</f>
        <v/>
      </c>
      <c r="AE270">
        <f>IF(U270="","MISSING",IF(AND(AA270&gt;0,U270/AA270&gt;50),"POSSIBLE_SCALE_ERROR","OK"))</f>
        <v/>
      </c>
    </row>
    <row r="271">
      <c r="A271" t="inlineStr">
        <is>
          <t>T-2016-Q4-008</t>
        </is>
      </c>
      <c r="B271" t="inlineStr">
        <is>
          <t>SLE</t>
        </is>
      </c>
      <c r="C271" t="inlineStr">
        <is>
          <t>Executive Director, Secretariat to the Canadian Cultural Property Export Review Board</t>
        </is>
      </c>
      <c r="D271" t="inlineStr">
        <is>
          <t>Directrice exécutive, Secrétariat de la Commission canadienne d’examen des exportations de biens culturels</t>
        </is>
      </c>
      <c r="E271" t="inlineStr">
        <is>
          <t>BISHOP, Delphine</t>
        </is>
      </c>
      <c r="F271" t="inlineStr">
        <is>
          <t>Attend the opening of Hornstein Pavillon at the Montréal Museum of Fine Arts</t>
        </is>
      </c>
      <c r="G271" t="inlineStr">
        <is>
          <t>Assister à l'ouverture du Pavillon Hornstein au Musée des beaux-arts de Montréal</t>
        </is>
      </c>
      <c r="H271" s="1" t="n">
        <v>42690</v>
      </c>
      <c r="I271" s="1" t="n">
        <v>42690</v>
      </c>
      <c r="J271" t="inlineStr">
        <is>
          <t>Montréal, QC</t>
        </is>
      </c>
      <c r="K271" t="inlineStr">
        <is>
          <t>Montréal, QC</t>
        </is>
      </c>
      <c r="Q271" t="n">
        <v>13.5</v>
      </c>
      <c r="U271" t="n">
        <v>13.5</v>
      </c>
      <c r="X271" t="inlineStr">
        <is>
          <t>atssc-scdata</t>
        </is>
      </c>
      <c r="Y271" t="inlineStr">
        <is>
          <t>Administrative Tribunals Support Service of Canada | Service canadien d'appui aux tribunaux administratifs</t>
        </is>
      </c>
      <c r="Z271" t="n">
        <v>1</v>
      </c>
      <c r="AA271" t="n">
        <v>13.5</v>
      </c>
      <c r="AB271">
        <f>ROUND(U271-AA271,2)</f>
        <v/>
      </c>
      <c r="AC271" t="b">
        <v>0</v>
      </c>
      <c r="AD271">
        <f>IF(U271="","MISSING_TOTAL",IF(ABS(AB271)&lt;=0.01,"OK","CHECK"))</f>
        <v/>
      </c>
      <c r="AE271">
        <f>IF(U271="","MISSING",IF(AND(AA271&gt;0,U271/AA271&gt;50),"POSSIBLE_SCALE_ERROR","OK"))</f>
        <v/>
      </c>
    </row>
    <row r="272">
      <c r="A272" t="inlineStr">
        <is>
          <t>T-2017-Q3-010</t>
        </is>
      </c>
      <c r="B272" t="inlineStr">
        <is>
          <t>SLE</t>
        </is>
      </c>
      <c r="C272" t="inlineStr">
        <is>
          <t>Chairperson, Canada Industrial Relations Board</t>
        </is>
      </c>
      <c r="D272" t="inlineStr">
        <is>
          <t>Présidente, Conseil canadien des relations industrielles</t>
        </is>
      </c>
      <c r="E272" t="inlineStr">
        <is>
          <t>Ginette Brazeau</t>
        </is>
      </c>
      <c r="F272" t="inlineStr">
        <is>
          <t>Hearing file #42594</t>
        </is>
      </c>
      <c r="G272" t="inlineStr">
        <is>
          <t>Dossier d'audience #42594</t>
        </is>
      </c>
      <c r="H272" s="1" t="n">
        <v>43003</v>
      </c>
      <c r="I272" s="1" t="n">
        <v>43005</v>
      </c>
      <c r="J272" t="inlineStr">
        <is>
          <t>Toronto, ON</t>
        </is>
      </c>
      <c r="K272" t="inlineStr">
        <is>
          <t>Toronto, ON</t>
        </is>
      </c>
      <c r="Q272" t="n">
        <v>250.31</v>
      </c>
      <c r="R272" t="n">
        <v>1133.9</v>
      </c>
      <c r="S272" t="n">
        <v>243.9</v>
      </c>
      <c r="U272" t="n">
        <v>1628.11</v>
      </c>
      <c r="X272" t="inlineStr">
        <is>
          <t>atssc-scdata</t>
        </is>
      </c>
      <c r="Y272" t="inlineStr">
        <is>
          <t>Administrative Tribunals Support Service of Canada | Service canadien d'appui aux tribunaux administratifs</t>
        </is>
      </c>
      <c r="Z272" t="n">
        <v>3</v>
      </c>
      <c r="AA272" t="n">
        <v>1628.11</v>
      </c>
      <c r="AB272">
        <f>ROUND(U272-AA272,2)</f>
        <v/>
      </c>
      <c r="AC272" t="b">
        <v>0</v>
      </c>
      <c r="AD272">
        <f>IF(U272="","MISSING_TOTAL",IF(ABS(AB272)&lt;=0.01,"OK","CHECK"))</f>
        <v/>
      </c>
      <c r="AE272">
        <f>IF(U272="","MISSING",IF(AND(AA272&gt;0,U272/AA272&gt;50),"POSSIBLE_SCALE_ERROR","OK"))</f>
        <v/>
      </c>
    </row>
    <row r="273">
      <c r="A273" t="inlineStr">
        <is>
          <t>T-2016-Q4-010</t>
        </is>
      </c>
      <c r="B273" t="inlineStr">
        <is>
          <t>SLE</t>
        </is>
      </c>
      <c r="C273" t="inlineStr">
        <is>
          <t>Executive Director, Secretariat to the Canadian Cultural Property Export Review Board</t>
        </is>
      </c>
      <c r="D273" t="inlineStr">
        <is>
          <t>Directrice exécutive, Secrétariat de la Commission canadienne d’examen des exportations de biens culturels</t>
        </is>
      </c>
      <c r="E273" t="inlineStr">
        <is>
          <t>BISHOP, Delphine</t>
        </is>
      </c>
      <c r="F273" t="inlineStr">
        <is>
          <t>Attend the media event of Roué Collection at the Canadian Museum of History</t>
        </is>
      </c>
      <c r="G273" t="inlineStr">
        <is>
          <t>Assister à l'événement médiatique de la collection Roué au Musée canadien de l'histoire</t>
        </is>
      </c>
      <c r="H273" s="1" t="n">
        <v>42670</v>
      </c>
      <c r="I273" s="1" t="n">
        <v>42670</v>
      </c>
      <c r="J273" t="inlineStr">
        <is>
          <t>Gatineau, QC</t>
        </is>
      </c>
      <c r="K273" t="inlineStr">
        <is>
          <t>Gatineau, QC</t>
        </is>
      </c>
      <c r="Q273" t="n">
        <v>12.5</v>
      </c>
      <c r="U273" t="n">
        <v>12.5</v>
      </c>
      <c r="X273" t="inlineStr">
        <is>
          <t>atssc-scdata</t>
        </is>
      </c>
      <c r="Y273" t="inlineStr">
        <is>
          <t>Administrative Tribunals Support Service of Canada | Service canadien d'appui aux tribunaux administratifs</t>
        </is>
      </c>
      <c r="Z273" t="n">
        <v>1</v>
      </c>
      <c r="AA273" t="n">
        <v>12.5</v>
      </c>
      <c r="AB273">
        <f>ROUND(U273-AA273,2)</f>
        <v/>
      </c>
      <c r="AC273" t="b">
        <v>0</v>
      </c>
      <c r="AD273">
        <f>IF(U273="","MISSING_TOTAL",IF(ABS(AB273)&lt;=0.01,"OK","CHECK"))</f>
        <v/>
      </c>
      <c r="AE273">
        <f>IF(U273="","MISSING",IF(AND(AA273&gt;0,U273/AA273&gt;50),"POSSIBLE_SCALE_ERROR","OK"))</f>
        <v/>
      </c>
    </row>
    <row r="274">
      <c r="A274" t="inlineStr">
        <is>
          <t>T-2016-Q4-011</t>
        </is>
      </c>
      <c r="B274" t="inlineStr">
        <is>
          <t>SLE</t>
        </is>
      </c>
      <c r="C274" t="inlineStr">
        <is>
          <t>Executive Director, Secretariat to the Canadian Cultural Property Export Review Board</t>
        </is>
      </c>
      <c r="D274" t="inlineStr">
        <is>
          <t>Directrice exécutive, Secrétariat de la Commission canadienne d’examen des exportations de biens culturels</t>
        </is>
      </c>
      <c r="E274" t="inlineStr">
        <is>
          <t>BISHOP, Delphine</t>
        </is>
      </c>
      <c r="F274" t="inlineStr">
        <is>
          <t>Attend a Senior Management Committee meeting</t>
        </is>
      </c>
      <c r="G274" t="inlineStr">
        <is>
          <t>Participer à une rencontre du comité de la haute direction</t>
        </is>
      </c>
      <c r="H274" s="1" t="n">
        <v>42669</v>
      </c>
      <c r="I274" s="1" t="n">
        <v>42669</v>
      </c>
      <c r="J274" t="inlineStr">
        <is>
          <t>Ottawa, ON</t>
        </is>
      </c>
      <c r="K274" t="inlineStr">
        <is>
          <t>Ottawa, ON</t>
        </is>
      </c>
      <c r="Q274" t="n">
        <v>20</v>
      </c>
      <c r="U274" t="n">
        <v>20</v>
      </c>
      <c r="X274" t="inlineStr">
        <is>
          <t>atssc-scdata</t>
        </is>
      </c>
      <c r="Y274" t="inlineStr">
        <is>
          <t>Administrative Tribunals Support Service of Canada | Service canadien d'appui aux tribunaux administratifs</t>
        </is>
      </c>
      <c r="Z274" t="n">
        <v>1</v>
      </c>
      <c r="AA274" t="n">
        <v>20</v>
      </c>
      <c r="AB274">
        <f>ROUND(U274-AA274,2)</f>
        <v/>
      </c>
      <c r="AC274" t="b">
        <v>0</v>
      </c>
      <c r="AD274">
        <f>IF(U274="","MISSING_TOTAL",IF(ABS(AB274)&lt;=0.01,"OK","CHECK"))</f>
        <v/>
      </c>
      <c r="AE274">
        <f>IF(U274="","MISSING",IF(AND(AA274&gt;0,U274/AA274&gt;50),"POSSIBLE_SCALE_ERROR","OK"))</f>
        <v/>
      </c>
    </row>
    <row r="275">
      <c r="A275" t="inlineStr">
        <is>
          <t>T-2016-Q4-012</t>
        </is>
      </c>
      <c r="B275" t="inlineStr">
        <is>
          <t>SLE</t>
        </is>
      </c>
      <c r="C275" t="inlineStr">
        <is>
          <t>Executive Director, Secretariat to the Canadian Cultural Property Export Review Board</t>
        </is>
      </c>
      <c r="D275" t="inlineStr">
        <is>
          <t>Directrice exécutive, Secrétariat de la Commission canadienne d’examen des exportations de biens culturels</t>
        </is>
      </c>
      <c r="E275" t="inlineStr">
        <is>
          <t>BISHOP, Delphine</t>
        </is>
      </c>
      <c r="F275" t="inlineStr">
        <is>
          <t>Attend the Opening of the Canadian Photography Institute at the National Gallery of Canada</t>
        </is>
      </c>
      <c r="G275" t="inlineStr">
        <is>
          <t>Assister à l'ouverture de l'Institut canadienne de photographie au Musée des beaux-arts du Canada</t>
        </is>
      </c>
      <c r="H275" s="1" t="n">
        <v>42669</v>
      </c>
      <c r="I275" s="1" t="n">
        <v>42669</v>
      </c>
      <c r="J275" t="inlineStr">
        <is>
          <t>Ottawa, ON</t>
        </is>
      </c>
      <c r="K275" t="inlineStr">
        <is>
          <t>Ottawa, ON</t>
        </is>
      </c>
      <c r="Q275" t="n">
        <v>11</v>
      </c>
      <c r="U275" t="n">
        <v>11</v>
      </c>
      <c r="X275" t="inlineStr">
        <is>
          <t>atssc-scdata</t>
        </is>
      </c>
      <c r="Y275" t="inlineStr">
        <is>
          <t>Administrative Tribunals Support Service of Canada | Service canadien d'appui aux tribunaux administratifs</t>
        </is>
      </c>
      <c r="Z275" t="n">
        <v>1</v>
      </c>
      <c r="AA275" t="n">
        <v>11</v>
      </c>
      <c r="AB275">
        <f>ROUND(U275-AA275,2)</f>
        <v/>
      </c>
      <c r="AC275" t="b">
        <v>0</v>
      </c>
      <c r="AD275">
        <f>IF(U275="","MISSING_TOTAL",IF(ABS(AB275)&lt;=0.01,"OK","CHECK"))</f>
        <v/>
      </c>
      <c r="AE275">
        <f>IF(U275="","MISSING",IF(AND(AA275&gt;0,U275/AA275&gt;50),"POSSIBLE_SCALE_ERROR","OK"))</f>
        <v/>
      </c>
    </row>
    <row r="276">
      <c r="A276" t="inlineStr">
        <is>
          <t>T-2016-Q4-013</t>
        </is>
      </c>
      <c r="B276" t="inlineStr">
        <is>
          <t>SLE</t>
        </is>
      </c>
      <c r="C276" t="inlineStr">
        <is>
          <t>Chairperson, Canadian Cultural Property Export Review Board</t>
        </is>
      </c>
      <c r="D276" t="inlineStr">
        <is>
          <t>Président, Commission canadienne d’examen des exportations de biens culturels</t>
        </is>
      </c>
      <c r="E276" t="inlineStr">
        <is>
          <t>BLOOM, Glen A</t>
        </is>
      </c>
      <c r="F276" t="inlineStr">
        <is>
          <t>To attend a meeting with the Art Gallery of Hamilton</t>
        </is>
      </c>
      <c r="G276" t="inlineStr">
        <is>
          <t>Assister à une rencontre avec la Art Gallery of Hamilton</t>
        </is>
      </c>
      <c r="H276" s="1" t="n">
        <v>42660</v>
      </c>
      <c r="I276" s="1" t="n">
        <v>42664</v>
      </c>
      <c r="J276" t="inlineStr">
        <is>
          <t>Hamilton, ON</t>
        </is>
      </c>
      <c r="K276" t="inlineStr">
        <is>
          <t>Hamilton, ON</t>
        </is>
      </c>
      <c r="Q276" t="n">
        <v>550.17</v>
      </c>
      <c r="R276" t="n">
        <v>465.54</v>
      </c>
      <c r="S276" t="n">
        <v>308.6</v>
      </c>
      <c r="U276" t="n">
        <v>1324.31</v>
      </c>
      <c r="X276" t="inlineStr">
        <is>
          <t>atssc-scdata</t>
        </is>
      </c>
      <c r="Y276" t="inlineStr">
        <is>
          <t>Administrative Tribunals Support Service of Canada | Service canadien d'appui aux tribunaux administratifs</t>
        </is>
      </c>
      <c r="Z276" t="n">
        <v>5</v>
      </c>
      <c r="AA276" t="n">
        <v>1324.31</v>
      </c>
      <c r="AB276">
        <f>ROUND(U276-AA276,2)</f>
        <v/>
      </c>
      <c r="AC276" t="b">
        <v>0</v>
      </c>
      <c r="AD276">
        <f>IF(U276="","MISSING_TOTAL",IF(ABS(AB276)&lt;=0.01,"OK","CHECK"))</f>
        <v/>
      </c>
      <c r="AE276">
        <f>IF(U276="","MISSING",IF(AND(AA276&gt;0,U276/AA276&gt;50),"POSSIBLE_SCALE_ERROR","OK"))</f>
        <v/>
      </c>
    </row>
    <row r="277">
      <c r="A277" t="inlineStr">
        <is>
          <t>T-2016-Q4-015</t>
        </is>
      </c>
      <c r="B277" t="inlineStr">
        <is>
          <t>SLE</t>
        </is>
      </c>
      <c r="C277" t="inlineStr">
        <is>
          <t>Chairperson, Canadian Cultural Property Export Review Board</t>
        </is>
      </c>
      <c r="D277" t="inlineStr">
        <is>
          <t>Président, Commission canadienne d’examen des exportations de biens culturels</t>
        </is>
      </c>
      <c r="E277" t="inlineStr">
        <is>
          <t>BLOOM, Glen A</t>
        </is>
      </c>
      <c r="F277" t="inlineStr">
        <is>
          <t>Attend the strategic planning retreat in Toronto</t>
        </is>
      </c>
      <c r="G277" t="inlineStr">
        <is>
          <t>Assister à une séance de réflexion sur la planification stratégique à Toronto</t>
        </is>
      </c>
      <c r="H277" s="1" t="n">
        <v>42680</v>
      </c>
      <c r="I277" s="1" t="n">
        <v>42682</v>
      </c>
      <c r="J277" t="inlineStr">
        <is>
          <t>Toronto, ON</t>
        </is>
      </c>
      <c r="K277" t="inlineStr">
        <is>
          <t>Toronto, ON</t>
        </is>
      </c>
      <c r="Q277" t="n">
        <v>437.75</v>
      </c>
      <c r="R277" t="n">
        <v>299.28</v>
      </c>
      <c r="S277" t="n">
        <v>159.95</v>
      </c>
      <c r="U277" t="n">
        <v>896.98</v>
      </c>
      <c r="X277" t="inlineStr">
        <is>
          <t>atssc-scdata</t>
        </is>
      </c>
      <c r="Y277" t="inlineStr">
        <is>
          <t>Administrative Tribunals Support Service of Canada | Service canadien d'appui aux tribunaux administratifs</t>
        </is>
      </c>
      <c r="Z277" t="n">
        <v>3</v>
      </c>
      <c r="AA277" t="n">
        <v>896.98</v>
      </c>
      <c r="AB277">
        <f>ROUND(U277-AA277,2)</f>
        <v/>
      </c>
      <c r="AC277" t="b">
        <v>0</v>
      </c>
      <c r="AD277">
        <f>IF(U277="","MISSING_TOTAL",IF(ABS(AB277)&lt;=0.01,"OK","CHECK"))</f>
        <v/>
      </c>
      <c r="AE277">
        <f>IF(U277="","MISSING",IF(AND(AA277&gt;0,U277/AA277&gt;50),"POSSIBLE_SCALE_ERROR","OK"))</f>
        <v/>
      </c>
    </row>
    <row r="278">
      <c r="A278" t="inlineStr">
        <is>
          <t>T-2016-Q4-016</t>
        </is>
      </c>
      <c r="B278" t="inlineStr">
        <is>
          <t>SLE</t>
        </is>
      </c>
      <c r="C278" t="inlineStr">
        <is>
          <t>Chairperson, Canadian Cultural Property Export Review Board</t>
        </is>
      </c>
      <c r="D278" t="inlineStr">
        <is>
          <t>Président, Commission canadienne d’examen des exportations de biens culturels</t>
        </is>
      </c>
      <c r="E278" t="inlineStr">
        <is>
          <t>BLOOM, Glen A</t>
        </is>
      </c>
      <c r="F278" t="inlineStr">
        <is>
          <t>Attend the Chairperson's forum in Ottawa</t>
        </is>
      </c>
      <c r="G278" t="inlineStr">
        <is>
          <t>Assister au forum de la présidente à Ottawa</t>
        </is>
      </c>
      <c r="H278" s="1" t="n">
        <v>42691</v>
      </c>
      <c r="I278" s="1" t="n">
        <v>42692</v>
      </c>
      <c r="J278" t="inlineStr">
        <is>
          <t>Ottawa, ON</t>
        </is>
      </c>
      <c r="K278" t="inlineStr">
        <is>
          <t>Ottawa, ON</t>
        </is>
      </c>
      <c r="Q278" t="n">
        <v>117.51</v>
      </c>
      <c r="R278" t="n">
        <v>186.22</v>
      </c>
      <c r="S278" t="n">
        <v>114.4</v>
      </c>
      <c r="U278" t="n">
        <v>418.13</v>
      </c>
      <c r="X278" t="inlineStr">
        <is>
          <t>atssc-scdata</t>
        </is>
      </c>
      <c r="Y278" t="inlineStr">
        <is>
          <t>Administrative Tribunals Support Service of Canada | Service canadien d'appui aux tribunaux administratifs</t>
        </is>
      </c>
      <c r="Z278" t="n">
        <v>2</v>
      </c>
      <c r="AA278" t="n">
        <v>418.13</v>
      </c>
      <c r="AB278">
        <f>ROUND(U278-AA278,2)</f>
        <v/>
      </c>
      <c r="AC278" t="b">
        <v>0</v>
      </c>
      <c r="AD278">
        <f>IF(U278="","MISSING_TOTAL",IF(ABS(AB278)&lt;=0.01,"OK","CHECK"))</f>
        <v/>
      </c>
      <c r="AE278">
        <f>IF(U278="","MISSING",IF(AND(AA278&gt;0,U278/AA278&gt;50),"POSSIBLE_SCALE_ERROR","OK"))</f>
        <v/>
      </c>
    </row>
    <row r="279">
      <c r="A279" t="inlineStr">
        <is>
          <t>T-2016-Q4-017</t>
        </is>
      </c>
      <c r="B279" t="inlineStr">
        <is>
          <t>SLE</t>
        </is>
      </c>
      <c r="C279" t="inlineStr">
        <is>
          <t>Chairperson, Canadian Cultural Property Export Review Board</t>
        </is>
      </c>
      <c r="D279" t="inlineStr">
        <is>
          <t>Président, Commission canadienne d’examen des exportations de biens culturels</t>
        </is>
      </c>
      <c r="E279" t="inlineStr">
        <is>
          <t>BLOOM, Glen A</t>
        </is>
      </c>
      <c r="F279" t="inlineStr">
        <is>
          <t>Attend meeting with Beaverbrook Art Gallery, Confederation Center Art Gallery and Art Gallery of Nova Scotia</t>
        </is>
      </c>
      <c r="G279" t="inlineStr">
        <is>
          <t>Assister à une rencontre avec la Beaverbrook Art Gallery, la Confederation Centre Art Gallery et la Art Gallery of Nova Scotia</t>
        </is>
      </c>
      <c r="H279" s="1" t="n">
        <v>42694</v>
      </c>
      <c r="I279" s="1" t="n">
        <v>42698</v>
      </c>
      <c r="J279" t="inlineStr">
        <is>
          <t>Halifax, NÉ</t>
        </is>
      </c>
      <c r="K279" t="inlineStr">
        <is>
          <t>Halifax, NS</t>
        </is>
      </c>
      <c r="Q279" t="n">
        <v>733.5700000000001</v>
      </c>
      <c r="R279" t="n">
        <v>558.27</v>
      </c>
      <c r="S279" t="n">
        <v>388.45</v>
      </c>
      <c r="U279" t="n">
        <v>1680.29</v>
      </c>
      <c r="X279" t="inlineStr">
        <is>
          <t>atssc-scdata</t>
        </is>
      </c>
      <c r="Y279" t="inlineStr">
        <is>
          <t>Administrative Tribunals Support Service of Canada | Service canadien d'appui aux tribunaux administratifs</t>
        </is>
      </c>
      <c r="Z279" t="n">
        <v>5</v>
      </c>
      <c r="AA279" t="n">
        <v>1680.29</v>
      </c>
      <c r="AB279">
        <f>ROUND(U279-AA279,2)</f>
        <v/>
      </c>
      <c r="AC279" t="b">
        <v>0</v>
      </c>
      <c r="AD279">
        <f>IF(U279="","MISSING_TOTAL",IF(ABS(AB279)&lt;=0.01,"OK","CHECK"))</f>
        <v/>
      </c>
      <c r="AE279">
        <f>IF(U279="","MISSING",IF(AND(AA279&gt;0,U279/AA279&gt;50),"POSSIBLE_SCALE_ERROR","OK"))</f>
        <v/>
      </c>
    </row>
    <row r="280">
      <c r="A280" t="inlineStr">
        <is>
          <t>T-2016-Q4-018</t>
        </is>
      </c>
      <c r="B280" t="inlineStr">
        <is>
          <t>SLE</t>
        </is>
      </c>
      <c r="C280" t="inlineStr">
        <is>
          <t>Chairperson, Canadian Cultural Property Export Review Board</t>
        </is>
      </c>
      <c r="D280" t="inlineStr">
        <is>
          <t>Président, Commission canadienne d’examen des exportations de biens culturels</t>
        </is>
      </c>
      <c r="E280" t="inlineStr">
        <is>
          <t>BLOOM, Glen A</t>
        </is>
      </c>
      <c r="F280" t="inlineStr">
        <is>
          <t>Attend a preparation day for the CCPERB board meeting</t>
        </is>
      </c>
      <c r="G280" t="inlineStr">
        <is>
          <t>Assister à une journée préparatoire de la rencontre des membre de CCEEBC</t>
        </is>
      </c>
      <c r="H280" s="1" t="n">
        <v>42702</v>
      </c>
      <c r="I280" s="1" t="n">
        <v>42704</v>
      </c>
      <c r="J280" t="inlineStr">
        <is>
          <t>Gatineau, QC</t>
        </is>
      </c>
      <c r="K280" t="inlineStr">
        <is>
          <t>Gatineau, QC</t>
        </is>
      </c>
      <c r="Q280" t="n">
        <v>54.28</v>
      </c>
      <c r="R280" t="n">
        <v>345.1</v>
      </c>
      <c r="S280" t="n">
        <v>159.95</v>
      </c>
      <c r="U280" t="n">
        <v>559.33</v>
      </c>
      <c r="X280" t="inlineStr">
        <is>
          <t>atssc-scdata</t>
        </is>
      </c>
      <c r="Y280" t="inlineStr">
        <is>
          <t>Administrative Tribunals Support Service of Canada | Service canadien d'appui aux tribunaux administratifs</t>
        </is>
      </c>
      <c r="Z280" t="n">
        <v>3</v>
      </c>
      <c r="AA280" t="n">
        <v>559.329999999999</v>
      </c>
      <c r="AB280">
        <f>ROUND(U280-AA280,2)</f>
        <v/>
      </c>
      <c r="AC280" t="b">
        <v>0</v>
      </c>
      <c r="AD280">
        <f>IF(U280="","MISSING_TOTAL",IF(ABS(AB280)&lt;=0.01,"OK","CHECK"))</f>
        <v/>
      </c>
      <c r="AE280">
        <f>IF(U280="","MISSING",IF(AND(AA280&gt;0,U280/AA280&gt;50),"POSSIBLE_SCALE_ERROR","OK"))</f>
        <v/>
      </c>
    </row>
    <row r="281">
      <c r="A281" t="inlineStr">
        <is>
          <t>T-2016-Q4-019</t>
        </is>
      </c>
      <c r="B281" t="inlineStr">
        <is>
          <t>SLE</t>
        </is>
      </c>
      <c r="C281" t="inlineStr">
        <is>
          <t>Chairperson, Canadian Cultural Property Export Review Board</t>
        </is>
      </c>
      <c r="D281" t="inlineStr">
        <is>
          <t>Président, Commission canadienne d’examen des exportations de biens culturels</t>
        </is>
      </c>
      <c r="E281" t="inlineStr">
        <is>
          <t>BLOOM, Glen A</t>
        </is>
      </c>
      <c r="F281" t="inlineStr">
        <is>
          <t>Attend the Ontario Association of Art Galleries workshop</t>
        </is>
      </c>
      <c r="G281" t="inlineStr">
        <is>
          <t>Participer à un atelier de l'Association ontarienne des galeries d'art</t>
        </is>
      </c>
      <c r="H281" s="1" t="n">
        <v>42704</v>
      </c>
      <c r="I281" s="1" t="n">
        <v>42706</v>
      </c>
      <c r="J281" t="inlineStr">
        <is>
          <t>Mississauga, ON</t>
        </is>
      </c>
      <c r="K281" t="inlineStr">
        <is>
          <t>Mississauga, ON</t>
        </is>
      </c>
      <c r="Q281" t="n">
        <v>544.2</v>
      </c>
      <c r="R281" t="n">
        <v>291.08</v>
      </c>
      <c r="S281" t="n">
        <v>245.75</v>
      </c>
      <c r="U281" t="n">
        <v>1081.03</v>
      </c>
      <c r="X281" t="inlineStr">
        <is>
          <t>atssc-scdata</t>
        </is>
      </c>
      <c r="Y281" t="inlineStr">
        <is>
          <t>Administrative Tribunals Support Service of Canada | Service canadien d'appui aux tribunaux administratifs</t>
        </is>
      </c>
      <c r="Z281" t="n">
        <v>3</v>
      </c>
      <c r="AA281" t="n">
        <v>1081.03</v>
      </c>
      <c r="AB281">
        <f>ROUND(U281-AA281,2)</f>
        <v/>
      </c>
      <c r="AC281" t="b">
        <v>0</v>
      </c>
      <c r="AD281">
        <f>IF(U281="","MISSING_TOTAL",IF(ABS(AB281)&lt;=0.01,"OK","CHECK"))</f>
        <v/>
      </c>
      <c r="AE281">
        <f>IF(U281="","MISSING",IF(AND(AA281&gt;0,U281/AA281&gt;50),"POSSIBLE_SCALE_ERROR","OK"))</f>
        <v/>
      </c>
    </row>
    <row r="282">
      <c r="A282" t="inlineStr">
        <is>
          <t>T-2016-Q4-020</t>
        </is>
      </c>
      <c r="B282" t="inlineStr">
        <is>
          <t>SLE</t>
        </is>
      </c>
      <c r="C282" t="inlineStr">
        <is>
          <t>Chairperson, Canadian Cultural Property Export Review Board</t>
        </is>
      </c>
      <c r="D282" t="inlineStr">
        <is>
          <t>Président, Commission canadienne d’examen des exportations de biens culturels</t>
        </is>
      </c>
      <c r="E282" t="inlineStr">
        <is>
          <t>BLOOM, Glen A</t>
        </is>
      </c>
      <c r="F282" t="inlineStr">
        <is>
          <t>Attend the Summit on the Value of Library, Archives and Museums in a Changing world</t>
        </is>
      </c>
      <c r="G282" t="inlineStr">
        <is>
          <t>Assister au sommet sur la valeur des bibliothèques, des archives et des musées dans un monde en mouvement</t>
        </is>
      </c>
      <c r="H282" s="1" t="n">
        <v>42709</v>
      </c>
      <c r="I282" s="1" t="n">
        <v>42711</v>
      </c>
      <c r="J282" t="inlineStr">
        <is>
          <t>Ottawa, ON</t>
        </is>
      </c>
      <c r="K282" t="inlineStr">
        <is>
          <t>Ottawa, ON</t>
        </is>
      </c>
      <c r="Q282" t="n">
        <v>105.05</v>
      </c>
      <c r="R282" t="n">
        <v>179.24</v>
      </c>
      <c r="S282" t="n">
        <v>177.2</v>
      </c>
      <c r="U282" t="n">
        <v>461.49</v>
      </c>
      <c r="X282" t="inlineStr">
        <is>
          <t>atssc-scdata</t>
        </is>
      </c>
      <c r="Y282" t="inlineStr">
        <is>
          <t>Administrative Tribunals Support Service of Canada | Service canadien d'appui aux tribunaux administratifs</t>
        </is>
      </c>
      <c r="Z282" t="n">
        <v>3</v>
      </c>
      <c r="AA282" t="n">
        <v>461.49</v>
      </c>
      <c r="AB282">
        <f>ROUND(U282-AA282,2)</f>
        <v/>
      </c>
      <c r="AC282" t="b">
        <v>0</v>
      </c>
      <c r="AD282">
        <f>IF(U282="","MISSING_TOTAL",IF(ABS(AB282)&lt;=0.01,"OK","CHECK"))</f>
        <v/>
      </c>
      <c r="AE282">
        <f>IF(U282="","MISSING",IF(AND(AA282&gt;0,U282/AA282&gt;50),"POSSIBLE_SCALE_ERROR","OK"))</f>
        <v/>
      </c>
    </row>
    <row r="283">
      <c r="A283" t="inlineStr">
        <is>
          <t>T-2016-Q4-021</t>
        </is>
      </c>
      <c r="B283" t="inlineStr">
        <is>
          <t>SLE</t>
        </is>
      </c>
      <c r="C283" t="inlineStr">
        <is>
          <t>Chairperson, Canadian Cultural Property Export Review Board</t>
        </is>
      </c>
      <c r="D283" t="inlineStr">
        <is>
          <t>Président, Commission canadienne d’examen des exportations de biens culturels</t>
        </is>
      </c>
      <c r="E283" t="inlineStr">
        <is>
          <t>BLOOM, Glen A</t>
        </is>
      </c>
      <c r="F283" t="inlineStr">
        <is>
          <t>Attend the CCPERB meeting</t>
        </is>
      </c>
      <c r="G283" t="inlineStr">
        <is>
          <t>Assister à la réunion de CCEEBC</t>
        </is>
      </c>
      <c r="H283" s="1" t="n">
        <v>42717</v>
      </c>
      <c r="I283" s="1" t="n">
        <v>42720</v>
      </c>
      <c r="J283" t="inlineStr">
        <is>
          <t>Ottawa, ON</t>
        </is>
      </c>
      <c r="K283" t="inlineStr">
        <is>
          <t>Ottawa, ON</t>
        </is>
      </c>
      <c r="Q283" t="n">
        <v>122.05</v>
      </c>
      <c r="R283" t="n">
        <v>537.72</v>
      </c>
      <c r="S283" t="n">
        <v>308.6</v>
      </c>
      <c r="U283" t="n">
        <v>968.37</v>
      </c>
      <c r="X283" t="inlineStr">
        <is>
          <t>atssc-scdata</t>
        </is>
      </c>
      <c r="Y283" t="inlineStr">
        <is>
          <t>Administrative Tribunals Support Service of Canada | Service canadien d'appui aux tribunaux administratifs</t>
        </is>
      </c>
      <c r="Z283" t="n">
        <v>4</v>
      </c>
      <c r="AA283" t="n">
        <v>968.37</v>
      </c>
      <c r="AB283">
        <f>ROUND(U283-AA283,2)</f>
        <v/>
      </c>
      <c r="AC283" t="b">
        <v>0</v>
      </c>
      <c r="AD283">
        <f>IF(U283="","MISSING_TOTAL",IF(ABS(AB283)&lt;=0.01,"OK","CHECK"))</f>
        <v/>
      </c>
      <c r="AE283">
        <f>IF(U283="","MISSING",IF(AND(AA283&gt;0,U283/AA283&gt;50),"POSSIBLE_SCALE_ERROR","OK"))</f>
        <v/>
      </c>
    </row>
    <row r="284">
      <c r="A284" t="inlineStr">
        <is>
          <t>T-2016-Q4-023</t>
        </is>
      </c>
      <c r="B284" t="inlineStr">
        <is>
          <t>SLE</t>
        </is>
      </c>
      <c r="C284" t="inlineStr">
        <is>
          <t>Chairperson, Canada Industrial Relations Board</t>
        </is>
      </c>
      <c r="D284" t="inlineStr">
        <is>
          <t>Présidente, Conseil canadien des relations industrielles</t>
        </is>
      </c>
      <c r="E284" t="inlineStr">
        <is>
          <t>Brazeau, Ginette</t>
        </is>
      </c>
      <c r="F284" t="inlineStr">
        <is>
          <t>Meeting with Labour Canada</t>
        </is>
      </c>
      <c r="G284" t="inlineStr">
        <is>
          <t>Rencontre avec Travail Canada</t>
        </is>
      </c>
      <c r="H284" s="1" t="n">
        <v>42759</v>
      </c>
      <c r="I284" s="1" t="n">
        <v>42759</v>
      </c>
      <c r="J284" t="inlineStr">
        <is>
          <t>Ottawa, ON</t>
        </is>
      </c>
      <c r="K284" t="inlineStr">
        <is>
          <t>Ottawa, ON</t>
        </is>
      </c>
      <c r="Q284" t="n">
        <v>10</v>
      </c>
      <c r="U284" t="n">
        <v>10</v>
      </c>
      <c r="X284" t="inlineStr">
        <is>
          <t>atssc-scdata</t>
        </is>
      </c>
      <c r="Y284" t="inlineStr">
        <is>
          <t>Administrative Tribunals Support Service of Canada | Service canadien d'appui aux tribunaux administratifs</t>
        </is>
      </c>
      <c r="Z284" t="n">
        <v>1</v>
      </c>
      <c r="AA284" t="n">
        <v>10</v>
      </c>
      <c r="AB284">
        <f>ROUND(U284-AA284,2)</f>
        <v/>
      </c>
      <c r="AC284" t="b">
        <v>0</v>
      </c>
      <c r="AD284">
        <f>IF(U284="","MISSING_TOTAL",IF(ABS(AB284)&lt;=0.01,"OK","CHECK"))</f>
        <v/>
      </c>
      <c r="AE284">
        <f>IF(U284="","MISSING",IF(AND(AA284&gt;0,U284/AA284&gt;50),"POSSIBLE_SCALE_ERROR","OK"))</f>
        <v/>
      </c>
    </row>
    <row r="285">
      <c r="A285" t="inlineStr">
        <is>
          <t>T-2016-Q4-024</t>
        </is>
      </c>
      <c r="B285" t="inlineStr">
        <is>
          <t>SLE</t>
        </is>
      </c>
      <c r="C285" t="inlineStr">
        <is>
          <t>Chairperson, Canada Industrial Relations Board</t>
        </is>
      </c>
      <c r="D285" t="inlineStr">
        <is>
          <t>Présidente, Conseil canadien des relations industrielles</t>
        </is>
      </c>
      <c r="E285" t="inlineStr">
        <is>
          <t>Brazeau, Ginette</t>
        </is>
      </c>
      <c r="F285" t="inlineStr">
        <is>
          <t>Attend the National Labour Arbitration Competition in Toronto</t>
        </is>
      </c>
      <c r="G285" t="inlineStr">
        <is>
          <t>Assister au concours national d'arbitrage en droit du travail à Toronto</t>
        </is>
      </c>
      <c r="H285" s="1" t="n">
        <v>42763</v>
      </c>
      <c r="I285" s="1" t="n">
        <v>42764</v>
      </c>
      <c r="J285" t="inlineStr">
        <is>
          <t>Toronto, ON</t>
        </is>
      </c>
      <c r="K285" t="inlineStr">
        <is>
          <t>Toronto, ON</t>
        </is>
      </c>
      <c r="P285" t="n">
        <v>320.82</v>
      </c>
      <c r="Q285" t="n">
        <v>60</v>
      </c>
      <c r="R285" t="n">
        <v>146.9</v>
      </c>
      <c r="S285" t="n">
        <v>34.6</v>
      </c>
      <c r="U285" t="n">
        <v>562.3200000000001</v>
      </c>
      <c r="X285" t="inlineStr">
        <is>
          <t>atssc-scdata</t>
        </is>
      </c>
      <c r="Y285" t="inlineStr">
        <is>
          <t>Administrative Tribunals Support Service of Canada | Service canadien d'appui aux tribunaux administratifs</t>
        </is>
      </c>
      <c r="Z285" t="n">
        <v>2</v>
      </c>
      <c r="AA285" t="n">
        <v>562.3200000000001</v>
      </c>
      <c r="AB285">
        <f>ROUND(U285-AA285,2)</f>
        <v/>
      </c>
      <c r="AC285" t="b">
        <v>0</v>
      </c>
      <c r="AD285">
        <f>IF(U285="","MISSING_TOTAL",IF(ABS(AB285)&lt;=0.01,"OK","CHECK"))</f>
        <v/>
      </c>
      <c r="AE285">
        <f>IF(U285="","MISSING",IF(AND(AA285&gt;0,U285/AA285&gt;50),"POSSIBLE_SCALE_ERROR","OK"))</f>
        <v/>
      </c>
    </row>
    <row r="286">
      <c r="A286" t="inlineStr">
        <is>
          <t>T-2016-Q4-025</t>
        </is>
      </c>
      <c r="B286" t="inlineStr">
        <is>
          <t>SLE</t>
        </is>
      </c>
      <c r="C286" t="inlineStr">
        <is>
          <t>Chairperson, Canada Industrial Relations Board</t>
        </is>
      </c>
      <c r="D286" t="inlineStr">
        <is>
          <t>Présidente, Conseil canadien des relations industrielles</t>
        </is>
      </c>
      <c r="E286" t="inlineStr">
        <is>
          <t>Brazeau, Ginette</t>
        </is>
      </c>
      <c r="F286" t="inlineStr">
        <is>
          <t>Hearing file #31946-C</t>
        </is>
      </c>
      <c r="G286" t="inlineStr">
        <is>
          <t>Dossier d'audience #31946-C</t>
        </is>
      </c>
      <c r="H286" s="1" t="n">
        <v>42781</v>
      </c>
      <c r="I286" s="1" t="n">
        <v>42782</v>
      </c>
      <c r="J286" t="inlineStr">
        <is>
          <t>Montreal, QC</t>
        </is>
      </c>
      <c r="K286" t="inlineStr">
        <is>
          <t>Montreal, QC</t>
        </is>
      </c>
      <c r="Q286" t="n">
        <v>214.7</v>
      </c>
      <c r="R286" t="n">
        <v>165.41</v>
      </c>
      <c r="S286" t="n">
        <v>68.84999999999999</v>
      </c>
      <c r="U286" t="n">
        <v>448.96</v>
      </c>
      <c r="X286" t="inlineStr">
        <is>
          <t>atssc-scdata</t>
        </is>
      </c>
      <c r="Y286" t="inlineStr">
        <is>
          <t>Administrative Tribunals Support Service of Canada | Service canadien d'appui aux tribunaux administratifs</t>
        </is>
      </c>
      <c r="Z286" t="n">
        <v>2</v>
      </c>
      <c r="AA286" t="n">
        <v>448.96</v>
      </c>
      <c r="AB286">
        <f>ROUND(U286-AA286,2)</f>
        <v/>
      </c>
      <c r="AC286" t="b">
        <v>0</v>
      </c>
      <c r="AD286">
        <f>IF(U286="","MISSING_TOTAL",IF(ABS(AB286)&lt;=0.01,"OK","CHECK"))</f>
        <v/>
      </c>
      <c r="AE286">
        <f>IF(U286="","MISSING",IF(AND(AA286&gt;0,U286/AA286&gt;50),"POSSIBLE_SCALE_ERROR","OK"))</f>
        <v/>
      </c>
    </row>
    <row r="287">
      <c r="A287" t="inlineStr">
        <is>
          <t>T-2016-Q4-026</t>
        </is>
      </c>
      <c r="B287" t="inlineStr">
        <is>
          <t>SLE</t>
        </is>
      </c>
      <c r="C287" t="inlineStr">
        <is>
          <t>Chairperson, Canada Industrial Relations Board</t>
        </is>
      </c>
      <c r="D287" t="inlineStr">
        <is>
          <t>Présidente, Conseil canadien des relations industrielles</t>
        </is>
      </c>
      <c r="E287" t="inlineStr">
        <is>
          <t>Brazeau, Ginette</t>
        </is>
      </c>
      <c r="F287" t="inlineStr">
        <is>
          <t>Hearing file #31946C</t>
        </is>
      </c>
      <c r="G287" t="inlineStr">
        <is>
          <t>Dossier d'audience #31946C</t>
        </is>
      </c>
      <c r="H287" s="1" t="n">
        <v>42786</v>
      </c>
      <c r="I287" s="1" t="n">
        <v>42788</v>
      </c>
      <c r="J287" t="inlineStr">
        <is>
          <t>Montreal, QC</t>
        </is>
      </c>
      <c r="K287" t="inlineStr">
        <is>
          <t>Montreal, QC</t>
        </is>
      </c>
      <c r="Q287" t="n">
        <v>237.48</v>
      </c>
      <c r="R287" t="n">
        <v>330.82</v>
      </c>
      <c r="S287" t="n">
        <v>211.5</v>
      </c>
      <c r="U287" t="n">
        <v>779.8</v>
      </c>
      <c r="X287" t="inlineStr">
        <is>
          <t>atssc-scdata</t>
        </is>
      </c>
      <c r="Y287" t="inlineStr">
        <is>
          <t>Administrative Tribunals Support Service of Canada | Service canadien d'appui aux tribunaux administratifs</t>
        </is>
      </c>
      <c r="Z287" t="n">
        <v>3</v>
      </c>
      <c r="AA287" t="n">
        <v>779.8</v>
      </c>
      <c r="AB287">
        <f>ROUND(U287-AA287,2)</f>
        <v/>
      </c>
      <c r="AC287" t="b">
        <v>0</v>
      </c>
      <c r="AD287">
        <f>IF(U287="","MISSING_TOTAL",IF(ABS(AB287)&lt;=0.01,"OK","CHECK"))</f>
        <v/>
      </c>
      <c r="AE287">
        <f>IF(U287="","MISSING",IF(AND(AA287&gt;0,U287/AA287&gt;50),"POSSIBLE_SCALE_ERROR","OK"))</f>
        <v/>
      </c>
    </row>
    <row r="288">
      <c r="A288" t="inlineStr">
        <is>
          <t>T-2016-Q4-027</t>
        </is>
      </c>
      <c r="B288" t="inlineStr">
        <is>
          <t>SLE</t>
        </is>
      </c>
      <c r="C288" t="inlineStr">
        <is>
          <t>Chairperson, Social Security Tribunal</t>
        </is>
      </c>
      <c r="D288" t="inlineStr">
        <is>
          <t>Présidente du Tribunal de la sécurité sociale</t>
        </is>
      </c>
      <c r="E288" t="inlineStr">
        <is>
          <t>Brazeau, Murielle</t>
        </is>
      </c>
      <c r="F288" t="inlineStr">
        <is>
          <t>Meeting with stakeholders</t>
        </is>
      </c>
      <c r="G288" t="inlineStr">
        <is>
          <t>Rencontre avec des intervenants</t>
        </is>
      </c>
      <c r="H288" s="1" t="n">
        <v>42711</v>
      </c>
      <c r="I288" s="1" t="n">
        <v>42713</v>
      </c>
      <c r="J288" t="inlineStr">
        <is>
          <t>Charlottetown,   Î.-P.-É. &amp;  Halifax, NÉ</t>
        </is>
      </c>
      <c r="K288" t="inlineStr">
        <is>
          <t>Charlottetown, P.E.I. &amp; Halifax, NS</t>
        </is>
      </c>
      <c r="P288" t="n">
        <v>867.61</v>
      </c>
      <c r="Q288" t="n">
        <v>53.66</v>
      </c>
      <c r="R288" t="n">
        <v>234.78</v>
      </c>
      <c r="S288" t="n">
        <v>228.75</v>
      </c>
      <c r="U288" t="n">
        <v>1384.8</v>
      </c>
      <c r="X288" t="inlineStr">
        <is>
          <t>atssc-scdata</t>
        </is>
      </c>
      <c r="Y288" t="inlineStr">
        <is>
          <t>Administrative Tribunals Support Service of Canada | Service canadien d'appui aux tribunaux administratifs</t>
        </is>
      </c>
      <c r="Z288" t="n">
        <v>3</v>
      </c>
      <c r="AA288" t="n">
        <v>1384.8</v>
      </c>
      <c r="AB288">
        <f>ROUND(U288-AA288,2)</f>
        <v/>
      </c>
      <c r="AC288" t="b">
        <v>0</v>
      </c>
      <c r="AD288">
        <f>IF(U288="","MISSING_TOTAL",IF(ABS(AB288)&lt;=0.01,"OK","CHECK"))</f>
        <v/>
      </c>
      <c r="AE288">
        <f>IF(U288="","MISSING",IF(AND(AA288&gt;0,U288/AA288&gt;50),"POSSIBLE_SCALE_ERROR","OK"))</f>
        <v/>
      </c>
    </row>
    <row r="289">
      <c r="A289" t="inlineStr">
        <is>
          <t>T-2016-Q4-028</t>
        </is>
      </c>
      <c r="B289" t="inlineStr">
        <is>
          <t>SLE</t>
        </is>
      </c>
      <c r="C289" t="inlineStr">
        <is>
          <t>Chairperson, Social Security Tribunal</t>
        </is>
      </c>
      <c r="D289" t="inlineStr">
        <is>
          <t>Présidente du Tribunal de la sécurité sociale</t>
        </is>
      </c>
      <c r="E289" t="inlineStr">
        <is>
          <t>Brazeau, Murielle</t>
        </is>
      </c>
      <c r="F289" t="inlineStr">
        <is>
          <t>To attend training</t>
        </is>
      </c>
      <c r="G289" t="inlineStr">
        <is>
          <t>Participer à une formation</t>
        </is>
      </c>
      <c r="H289" s="1" t="n">
        <v>42697</v>
      </c>
      <c r="I289" s="1" t="n">
        <v>42701</v>
      </c>
      <c r="J289" t="inlineStr">
        <is>
          <t>Toronto, ON</t>
        </is>
      </c>
      <c r="K289" t="inlineStr">
        <is>
          <t>Toronto, ON</t>
        </is>
      </c>
      <c r="P289" t="n">
        <v>493.02</v>
      </c>
      <c r="Q289" t="n">
        <v>184.76</v>
      </c>
      <c r="R289" t="n">
        <v>100</v>
      </c>
      <c r="S289" t="n">
        <v>194.55</v>
      </c>
      <c r="U289" t="n">
        <v>972.33</v>
      </c>
      <c r="X289" t="inlineStr">
        <is>
          <t>atssc-scdata</t>
        </is>
      </c>
      <c r="Y289" t="inlineStr">
        <is>
          <t>Administrative Tribunals Support Service of Canada | Service canadien d'appui aux tribunaux administratifs</t>
        </is>
      </c>
      <c r="Z289" t="n">
        <v>5</v>
      </c>
      <c r="AA289" t="n">
        <v>972.329999999999</v>
      </c>
      <c r="AB289">
        <f>ROUND(U289-AA289,2)</f>
        <v/>
      </c>
      <c r="AC289" t="b">
        <v>0</v>
      </c>
      <c r="AD289">
        <f>IF(U289="","MISSING_TOTAL",IF(ABS(AB289)&lt;=0.01,"OK","CHECK"))</f>
        <v/>
      </c>
      <c r="AE289">
        <f>IF(U289="","MISSING",IF(AND(AA289&gt;0,U289/AA289&gt;50),"POSSIBLE_SCALE_ERROR","OK"))</f>
        <v/>
      </c>
    </row>
    <row r="290">
      <c r="A290" t="inlineStr">
        <is>
          <t>T-2016-Q4-029</t>
        </is>
      </c>
      <c r="B290" t="inlineStr">
        <is>
          <t>SLE</t>
        </is>
      </c>
      <c r="C290" t="inlineStr">
        <is>
          <t>Chairperson, Social Security Tribunal</t>
        </is>
      </c>
      <c r="D290" t="inlineStr">
        <is>
          <t>Présidente du Tribunal de la sécurité sociale</t>
        </is>
      </c>
      <c r="E290" t="inlineStr">
        <is>
          <t>Brazeau, Murielle</t>
        </is>
      </c>
      <c r="F290" t="inlineStr">
        <is>
          <t>To attend training</t>
        </is>
      </c>
      <c r="G290" t="inlineStr">
        <is>
          <t>Participer à une formation</t>
        </is>
      </c>
      <c r="H290" s="1" t="n">
        <v>42767</v>
      </c>
      <c r="I290" s="1" t="n">
        <v>42771</v>
      </c>
      <c r="J290" t="inlineStr">
        <is>
          <t>Toronto, ON</t>
        </is>
      </c>
      <c r="K290" t="inlineStr">
        <is>
          <t>Toronto, ON</t>
        </is>
      </c>
      <c r="P290" t="n">
        <v>461.49</v>
      </c>
      <c r="Q290" t="n">
        <v>306</v>
      </c>
      <c r="R290" t="n">
        <v>100</v>
      </c>
      <c r="S290" t="n">
        <v>86.5</v>
      </c>
      <c r="U290" t="n">
        <v>953.99</v>
      </c>
      <c r="X290" t="inlineStr">
        <is>
          <t>atssc-scdata</t>
        </is>
      </c>
      <c r="Y290" t="inlineStr">
        <is>
          <t>Administrative Tribunals Support Service of Canada | Service canadien d'appui aux tribunaux administratifs</t>
        </is>
      </c>
      <c r="Z290" t="n">
        <v>5</v>
      </c>
      <c r="AA290" t="n">
        <v>953.99</v>
      </c>
      <c r="AB290">
        <f>ROUND(U290-AA290,2)</f>
        <v/>
      </c>
      <c r="AC290" t="b">
        <v>0</v>
      </c>
      <c r="AD290">
        <f>IF(U290="","MISSING_TOTAL",IF(ABS(AB290)&lt;=0.01,"OK","CHECK"))</f>
        <v/>
      </c>
      <c r="AE290">
        <f>IF(U290="","MISSING",IF(AND(AA290&gt;0,U290/AA290&gt;50),"POSSIBLE_SCALE_ERROR","OK"))</f>
        <v/>
      </c>
    </row>
    <row r="291">
      <c r="A291" t="inlineStr">
        <is>
          <t>T-2016-Q4-030</t>
        </is>
      </c>
      <c r="B291" t="inlineStr">
        <is>
          <t>SLE</t>
        </is>
      </c>
      <c r="C291" t="inlineStr">
        <is>
          <t>Chairperson, Canada Agricultural Review Tribunal</t>
        </is>
      </c>
      <c r="D291" t="inlineStr">
        <is>
          <t>Président, Commission de révision agricole du Canada</t>
        </is>
      </c>
      <c r="E291" t="inlineStr">
        <is>
          <t>Buckingham, Donald</t>
        </is>
      </c>
      <c r="F291" t="inlineStr">
        <is>
          <t>Attend the University of Ottawa faculty of Law meeting</t>
        </is>
      </c>
      <c r="G291" t="inlineStr">
        <is>
          <t>Participer à une rencontre avec la faculté de droit de l'Université d'Ottawa</t>
        </is>
      </c>
      <c r="H291" s="1" t="n">
        <v>42668</v>
      </c>
      <c r="I291" s="1" t="n">
        <v>42668</v>
      </c>
      <c r="J291" t="inlineStr">
        <is>
          <t>Ottawa, ON</t>
        </is>
      </c>
      <c r="K291" t="inlineStr">
        <is>
          <t>Ottawa, ON</t>
        </is>
      </c>
      <c r="Q291" t="n">
        <v>9</v>
      </c>
      <c r="U291" t="n">
        <v>9</v>
      </c>
      <c r="X291" t="inlineStr">
        <is>
          <t>atssc-scdata</t>
        </is>
      </c>
      <c r="Y291" t="inlineStr">
        <is>
          <t>Administrative Tribunals Support Service of Canada | Service canadien d'appui aux tribunaux administratifs</t>
        </is>
      </c>
      <c r="Z291" t="n">
        <v>1</v>
      </c>
      <c r="AA291" t="n">
        <v>9</v>
      </c>
      <c r="AB291">
        <f>ROUND(U291-AA291,2)</f>
        <v/>
      </c>
      <c r="AC291" t="b">
        <v>0</v>
      </c>
      <c r="AD291">
        <f>IF(U291="","MISSING_TOTAL",IF(ABS(AB291)&lt;=0.01,"OK","CHECK"))</f>
        <v/>
      </c>
      <c r="AE291">
        <f>IF(U291="","MISSING",IF(AND(AA291&gt;0,U291/AA291&gt;50),"POSSIBLE_SCALE_ERROR","OK"))</f>
        <v/>
      </c>
    </row>
    <row r="292">
      <c r="A292" t="inlineStr">
        <is>
          <t>T-2016-Q4-031</t>
        </is>
      </c>
      <c r="B292" t="inlineStr">
        <is>
          <t>SLE</t>
        </is>
      </c>
      <c r="C292" t="inlineStr">
        <is>
          <t>Chairperson, Canada Agricultural Review Tribunal</t>
        </is>
      </c>
      <c r="D292" t="inlineStr">
        <is>
          <t>Président, Commission de révision agricole du Canada</t>
        </is>
      </c>
      <c r="E292" t="inlineStr">
        <is>
          <t>Buckingham, Donald</t>
        </is>
      </c>
      <c r="F292" t="inlineStr">
        <is>
          <t>To attend a meeting of Council of Federal Tribunal Chairs in Gatineau</t>
        </is>
      </c>
      <c r="G292" t="inlineStr">
        <is>
          <t>Rencontre avec le Conseil des présidents des tribunaux fédéraux à Gatineau</t>
        </is>
      </c>
      <c r="H292" s="1" t="n">
        <v>42682</v>
      </c>
      <c r="I292" s="1" t="n">
        <v>42682</v>
      </c>
      <c r="J292" t="inlineStr">
        <is>
          <t>Gatineau, QC</t>
        </is>
      </c>
      <c r="K292" t="inlineStr">
        <is>
          <t>Gatineau, QC</t>
        </is>
      </c>
      <c r="Q292" t="n">
        <v>16</v>
      </c>
      <c r="U292" t="n">
        <v>16</v>
      </c>
      <c r="X292" t="inlineStr">
        <is>
          <t>atssc-scdata</t>
        </is>
      </c>
      <c r="Y292" t="inlineStr">
        <is>
          <t>Administrative Tribunals Support Service of Canada | Service canadien d'appui aux tribunaux administratifs</t>
        </is>
      </c>
      <c r="Z292" t="n">
        <v>1</v>
      </c>
      <c r="AA292" t="n">
        <v>16</v>
      </c>
      <c r="AB292">
        <f>ROUND(U292-AA292,2)</f>
        <v/>
      </c>
      <c r="AC292" t="b">
        <v>0</v>
      </c>
      <c r="AD292">
        <f>IF(U292="","MISSING_TOTAL",IF(ABS(AB292)&lt;=0.01,"OK","CHECK"))</f>
        <v/>
      </c>
      <c r="AE292">
        <f>IF(U292="","MISSING",IF(AND(AA292&gt;0,U292/AA292&gt;50),"POSSIBLE_SCALE_ERROR","OK"))</f>
        <v/>
      </c>
    </row>
    <row r="293">
      <c r="A293" t="inlineStr">
        <is>
          <t>T-2016-Q4-032</t>
        </is>
      </c>
      <c r="B293" t="inlineStr">
        <is>
          <t>SLE</t>
        </is>
      </c>
      <c r="C293" t="inlineStr">
        <is>
          <t>Chairperson, Canada Agricultural Review Tribunal</t>
        </is>
      </c>
      <c r="D293" t="inlineStr">
        <is>
          <t>Président, Commission de révision agricole du Canada</t>
        </is>
      </c>
      <c r="E293" t="inlineStr">
        <is>
          <t>Buckingham, Donald</t>
        </is>
      </c>
      <c r="F293" t="inlineStr">
        <is>
          <t>Hearing file # 1884</t>
        </is>
      </c>
      <c r="G293" t="inlineStr">
        <is>
          <t>Dossier d'audience #1884</t>
        </is>
      </c>
      <c r="H293" s="1" t="n">
        <v>42701</v>
      </c>
      <c r="I293" s="1" t="n">
        <v>42702</v>
      </c>
      <c r="J293" t="inlineStr">
        <is>
          <t>Toronto, ON</t>
        </is>
      </c>
      <c r="K293" t="inlineStr">
        <is>
          <t>Toronto, ON</t>
        </is>
      </c>
      <c r="P293" t="n">
        <v>459.23</v>
      </c>
      <c r="Q293" t="n">
        <v>73.23999999999999</v>
      </c>
      <c r="R293" t="n">
        <v>123.17</v>
      </c>
      <c r="S293" t="n">
        <v>97.40000000000001</v>
      </c>
      <c r="U293" t="n">
        <v>753.04</v>
      </c>
      <c r="X293" t="inlineStr">
        <is>
          <t>atssc-scdata</t>
        </is>
      </c>
      <c r="Y293" t="inlineStr">
        <is>
          <t>Administrative Tribunals Support Service of Canada | Service canadien d'appui aux tribunaux administratifs</t>
        </is>
      </c>
      <c r="Z293" t="n">
        <v>2</v>
      </c>
      <c r="AA293" t="n">
        <v>753.04</v>
      </c>
      <c r="AB293">
        <f>ROUND(U293-AA293,2)</f>
        <v/>
      </c>
      <c r="AC293" t="b">
        <v>0</v>
      </c>
      <c r="AD293">
        <f>IF(U293="","MISSING_TOTAL",IF(ABS(AB293)&lt;=0.01,"OK","CHECK"))</f>
        <v/>
      </c>
      <c r="AE293">
        <f>IF(U293="","MISSING",IF(AND(AA293&gt;0,U293/AA293&gt;50),"POSSIBLE_SCALE_ERROR","OK"))</f>
        <v/>
      </c>
    </row>
    <row r="294">
      <c r="A294" t="inlineStr">
        <is>
          <t>T-2016-Q4-034</t>
        </is>
      </c>
      <c r="B294" t="inlineStr">
        <is>
          <t>SLE</t>
        </is>
      </c>
      <c r="C294" t="inlineStr">
        <is>
          <t>Chairperson, Canada Agricultural Review Tribunal</t>
        </is>
      </c>
      <c r="D294" t="inlineStr">
        <is>
          <t>Président, Commission de révision agricole du Canada</t>
        </is>
      </c>
      <c r="E294" t="inlineStr">
        <is>
          <t>Buckingham, Donald</t>
        </is>
      </c>
      <c r="F294" t="inlineStr">
        <is>
          <t>Hearing files #1907 &amp;1910</t>
        </is>
      </c>
      <c r="G294" t="inlineStr">
        <is>
          <t>Dossier d'audiences # 1907 &amp; 1910</t>
        </is>
      </c>
      <c r="H294" s="1" t="n">
        <v>42757</v>
      </c>
      <c r="I294" s="1" t="n">
        <v>42758</v>
      </c>
      <c r="J294" t="inlineStr">
        <is>
          <t>Toronto, ON</t>
        </is>
      </c>
      <c r="K294" t="inlineStr">
        <is>
          <t>Toronto, ON</t>
        </is>
      </c>
      <c r="P294" t="n">
        <v>448.05</v>
      </c>
      <c r="Q294" t="n">
        <v>67.17</v>
      </c>
      <c r="R294" t="n">
        <v>123.17</v>
      </c>
      <c r="S294" t="n">
        <v>97.40000000000001</v>
      </c>
      <c r="U294" t="n">
        <v>735.79</v>
      </c>
      <c r="X294" t="inlineStr">
        <is>
          <t>atssc-scdata</t>
        </is>
      </c>
      <c r="Y294" t="inlineStr">
        <is>
          <t>Administrative Tribunals Support Service of Canada | Service canadien d'appui aux tribunaux administratifs</t>
        </is>
      </c>
      <c r="Z294" t="n">
        <v>2</v>
      </c>
      <c r="AA294" t="n">
        <v>735.79</v>
      </c>
      <c r="AB294">
        <f>ROUND(U294-AA294,2)</f>
        <v/>
      </c>
      <c r="AC294" t="b">
        <v>0</v>
      </c>
      <c r="AD294">
        <f>IF(U294="","MISSING_TOTAL",IF(ABS(AB294)&lt;=0.01,"OK","CHECK"))</f>
        <v/>
      </c>
      <c r="AE294">
        <f>IF(U294="","MISSING",IF(AND(AA294&gt;0,U294/AA294&gt;50),"POSSIBLE_SCALE_ERROR","OK"))</f>
        <v/>
      </c>
    </row>
    <row r="295">
      <c r="A295" t="inlineStr">
        <is>
          <t>T-2016-Q4-035</t>
        </is>
      </c>
      <c r="B295" t="inlineStr">
        <is>
          <t>SLE</t>
        </is>
      </c>
      <c r="C295" t="inlineStr">
        <is>
          <t>Chairperson, Public Service Labour Relations and Employment Board Tribunal</t>
        </is>
      </c>
      <c r="D295" t="inlineStr">
        <is>
          <t>Présidente, Tribunal de la commission des relations de travail et de l’emploi dans la fonction publique</t>
        </is>
      </c>
      <c r="E295" t="inlineStr">
        <is>
          <t>Ebbs, Catherine</t>
        </is>
      </c>
      <c r="F295" t="inlineStr">
        <is>
          <t>Hearing file #2015-9651</t>
        </is>
      </c>
      <c r="G295" t="inlineStr">
        <is>
          <t>Dossier d'audience #2015-9651</t>
        </is>
      </c>
      <c r="H295" s="1" t="n">
        <v>42709</v>
      </c>
      <c r="I295" s="1" t="n">
        <v>42712</v>
      </c>
      <c r="J295" t="inlineStr">
        <is>
          <t>Edmonton, AB</t>
        </is>
      </c>
      <c r="K295" t="inlineStr">
        <is>
          <t>Edmonton, AB</t>
        </is>
      </c>
      <c r="P295" t="n">
        <v>2387.55</v>
      </c>
      <c r="Q295" t="n">
        <v>186.3</v>
      </c>
      <c r="R295" t="n">
        <v>334.56</v>
      </c>
      <c r="S295" t="n">
        <v>194.8</v>
      </c>
      <c r="U295" t="n">
        <v>3103.21</v>
      </c>
      <c r="X295" t="inlineStr">
        <is>
          <t>atssc-scdata</t>
        </is>
      </c>
      <c r="Y295" t="inlineStr">
        <is>
          <t>Administrative Tribunals Support Service of Canada | Service canadien d'appui aux tribunaux administratifs</t>
        </is>
      </c>
      <c r="Z295" t="n">
        <v>4</v>
      </c>
      <c r="AA295" t="n">
        <v>3103.21</v>
      </c>
      <c r="AB295">
        <f>ROUND(U295-AA295,2)</f>
        <v/>
      </c>
      <c r="AC295" t="b">
        <v>0</v>
      </c>
      <c r="AD295">
        <f>IF(U295="","MISSING_TOTAL",IF(ABS(AB295)&lt;=0.01,"OK","CHECK"))</f>
        <v/>
      </c>
      <c r="AE295">
        <f>IF(U295="","MISSING",IF(AND(AA295&gt;0,U295/AA295&gt;50),"POSSIBLE_SCALE_ERROR","OK"))</f>
        <v/>
      </c>
    </row>
    <row r="296">
      <c r="A296" t="inlineStr">
        <is>
          <t>T-2017-Q3-014</t>
        </is>
      </c>
      <c r="B296" t="inlineStr">
        <is>
          <t>SLE</t>
        </is>
      </c>
      <c r="C296" t="inlineStr">
        <is>
          <t>Chairperson, Canada Industrial Relations Board</t>
        </is>
      </c>
      <c r="D296" t="inlineStr">
        <is>
          <t>Présidente, Conseil canadien des relations industrielles</t>
        </is>
      </c>
      <c r="E296" t="inlineStr">
        <is>
          <t>Ginette Brazeau</t>
        </is>
      </c>
      <c r="F296" t="inlineStr">
        <is>
          <t>Hearing file #42371</t>
        </is>
      </c>
      <c r="G296" t="inlineStr">
        <is>
          <t>Dossier d'audience #42371</t>
        </is>
      </c>
      <c r="H296" s="1" t="n">
        <v>43006</v>
      </c>
      <c r="I296" s="1" t="n">
        <v>43007</v>
      </c>
      <c r="J296" t="inlineStr">
        <is>
          <t>Toronto, ON</t>
        </is>
      </c>
      <c r="K296" t="inlineStr">
        <is>
          <t>Toronto, ON</t>
        </is>
      </c>
      <c r="Q296" t="n">
        <v>334.31</v>
      </c>
      <c r="R296" t="n">
        <v>429.22</v>
      </c>
      <c r="S296" t="n">
        <v>196.9</v>
      </c>
      <c r="U296" t="n">
        <v>960.4299999999999</v>
      </c>
      <c r="X296" t="inlineStr">
        <is>
          <t>atssc-scdata</t>
        </is>
      </c>
      <c r="Y296" t="inlineStr">
        <is>
          <t>Administrative Tribunals Support Service of Canada | Service canadien d'appui aux tribunaux administratifs</t>
        </is>
      </c>
      <c r="Z296" t="n">
        <v>2</v>
      </c>
      <c r="AA296" t="n">
        <v>960.4299999999999</v>
      </c>
      <c r="AB296">
        <f>ROUND(U296-AA296,2)</f>
        <v/>
      </c>
      <c r="AC296" t="b">
        <v>0</v>
      </c>
      <c r="AD296">
        <f>IF(U296="","MISSING_TOTAL",IF(ABS(AB296)&lt;=0.01,"OK","CHECK"))</f>
        <v/>
      </c>
      <c r="AE296">
        <f>IF(U296="","MISSING",IF(AND(AA296&gt;0,U296/AA296&gt;50),"POSSIBLE_SCALE_ERROR","OK"))</f>
        <v/>
      </c>
    </row>
    <row r="297">
      <c r="A297" t="inlineStr">
        <is>
          <t>T-2016-Q4-036</t>
        </is>
      </c>
      <c r="B297" t="inlineStr">
        <is>
          <t>SLE</t>
        </is>
      </c>
      <c r="C297" t="inlineStr">
        <is>
          <t>Executive Director and General Counsel, Secretariat to the Canada Industrial Relations Board</t>
        </is>
      </c>
      <c r="D297" t="inlineStr">
        <is>
          <t>Directrice exécutive et avocate générale, Secrétariat du Conseil canadien des relations industrielles</t>
        </is>
      </c>
      <c r="E297" t="inlineStr">
        <is>
          <t>Guilbert, Sylvie</t>
        </is>
      </c>
      <c r="F297" t="inlineStr">
        <is>
          <t>Visit the Regional Office of Winnipeg and meeting with the new Acting Regional Director in Vancouver</t>
        </is>
      </c>
      <c r="G297" t="inlineStr">
        <is>
          <t>Visiter le bureau régional de Winnipeg et rencontrer le nouveau directeur régional par intérim à Vancouver</t>
        </is>
      </c>
      <c r="H297" s="1" t="n">
        <v>42709</v>
      </c>
      <c r="I297" s="1" t="n">
        <v>42711</v>
      </c>
      <c r="J297" t="inlineStr">
        <is>
          <t>Winnipeg, MB &amp; Vancouver C.-B.</t>
        </is>
      </c>
      <c r="K297" t="inlineStr">
        <is>
          <t>Winnipeg, MB &amp; Vancouver BC</t>
        </is>
      </c>
      <c r="P297" t="n">
        <v>2411.49</v>
      </c>
      <c r="Q297" t="n">
        <v>134.67</v>
      </c>
      <c r="R297" t="n">
        <v>322.77</v>
      </c>
      <c r="S297" t="n">
        <v>200.2</v>
      </c>
      <c r="U297" t="n">
        <v>3069.13</v>
      </c>
      <c r="X297" t="inlineStr">
        <is>
          <t>atssc-scdata</t>
        </is>
      </c>
      <c r="Y297" t="inlineStr">
        <is>
          <t>Administrative Tribunals Support Service of Canada | Service canadien d'appui aux tribunaux administratifs</t>
        </is>
      </c>
      <c r="Z297" t="n">
        <v>3</v>
      </c>
      <c r="AA297" t="n">
        <v>3069.12999999999</v>
      </c>
      <c r="AB297">
        <f>ROUND(U297-AA297,2)</f>
        <v/>
      </c>
      <c r="AC297" t="b">
        <v>0</v>
      </c>
      <c r="AD297">
        <f>IF(U297="","MISSING_TOTAL",IF(ABS(AB297)&lt;=0.01,"OK","CHECK"))</f>
        <v/>
      </c>
      <c r="AE297">
        <f>IF(U297="","MISSING",IF(AND(AA297&gt;0,U297/AA297&gt;50),"POSSIBLE_SCALE_ERROR","OK"))</f>
        <v/>
      </c>
    </row>
    <row r="298">
      <c r="A298" t="inlineStr">
        <is>
          <t>T-2016-Q4-037</t>
        </is>
      </c>
      <c r="B298" t="inlineStr">
        <is>
          <t>SLE</t>
        </is>
      </c>
      <c r="C298" t="inlineStr">
        <is>
          <t>Chairperson, Canadian Cultural Property Export Review Board</t>
        </is>
      </c>
      <c r="D298" t="inlineStr">
        <is>
          <t>Présidente, Commission canadienne d’examen des exportations de biens culturels</t>
        </is>
      </c>
      <c r="E298" t="inlineStr">
        <is>
          <t>Ingram, Sharilyn</t>
        </is>
      </c>
      <c r="F298" t="inlineStr">
        <is>
          <t>Attend an orientation session</t>
        </is>
      </c>
      <c r="G298" t="inlineStr">
        <is>
          <t>Participer à une séance d'orientation</t>
        </is>
      </c>
      <c r="H298" s="1" t="n">
        <v>42764</v>
      </c>
      <c r="I298" s="1" t="n">
        <v>42765</v>
      </c>
      <c r="J298" t="inlineStr">
        <is>
          <t>Gatineau, QC</t>
        </is>
      </c>
      <c r="K298" t="inlineStr">
        <is>
          <t>Gatineau, QC</t>
        </is>
      </c>
      <c r="P298" t="n">
        <v>434.6</v>
      </c>
      <c r="Q298" t="n">
        <v>235.26</v>
      </c>
      <c r="R298" t="n">
        <v>183.26</v>
      </c>
      <c r="S298" t="n">
        <v>159.95</v>
      </c>
      <c r="U298" t="n">
        <v>1013.07</v>
      </c>
      <c r="X298" t="inlineStr">
        <is>
          <t>atssc-scdata</t>
        </is>
      </c>
      <c r="Y298" t="inlineStr">
        <is>
          <t>Administrative Tribunals Support Service of Canada | Service canadien d'appui aux tribunaux administratifs</t>
        </is>
      </c>
      <c r="Z298" t="n">
        <v>2</v>
      </c>
      <c r="AA298" t="n">
        <v>1013.06999999999</v>
      </c>
      <c r="AB298">
        <f>ROUND(U298-AA298,2)</f>
        <v/>
      </c>
      <c r="AC298" t="b">
        <v>0</v>
      </c>
      <c r="AD298">
        <f>IF(U298="","MISSING_TOTAL",IF(ABS(AB298)&lt;=0.01,"OK","CHECK"))</f>
        <v/>
      </c>
      <c r="AE298">
        <f>IF(U298="","MISSING",IF(AND(AA298&gt;0,U298/AA298&gt;50),"POSSIBLE_SCALE_ERROR","OK"))</f>
        <v/>
      </c>
    </row>
    <row r="299">
      <c r="A299" t="inlineStr">
        <is>
          <t>T-2016-Q4-038</t>
        </is>
      </c>
      <c r="B299" t="inlineStr">
        <is>
          <t>SLE</t>
        </is>
      </c>
      <c r="C299" t="inlineStr">
        <is>
          <t>Chairperson, Canadian Cultural Property Export Review Board</t>
        </is>
      </c>
      <c r="D299" t="inlineStr">
        <is>
          <t>Présidente, Commission canadienne d’examen des exportations de biens culturels</t>
        </is>
      </c>
      <c r="E299" t="inlineStr">
        <is>
          <t>Ingram, Sharilyn</t>
        </is>
      </c>
      <c r="F299" t="inlineStr">
        <is>
          <t>Attend the Chair Orientation and Retreat</t>
        </is>
      </c>
      <c r="G299" t="inlineStr">
        <is>
          <t>Participer à une séance d'orientation et de réflexion de la présidente</t>
        </is>
      </c>
      <c r="H299" s="1" t="n">
        <v>42767</v>
      </c>
      <c r="I299" s="1" t="n">
        <v>42769</v>
      </c>
      <c r="J299" t="inlineStr">
        <is>
          <t>Gatineau, QC &amp; Ottawa, ON</t>
        </is>
      </c>
      <c r="K299" t="inlineStr">
        <is>
          <t>Gatineau, QC &amp; Ottawa, ON</t>
        </is>
      </c>
      <c r="P299" t="n">
        <v>538.33</v>
      </c>
      <c r="Q299" t="n">
        <v>228.26</v>
      </c>
      <c r="R299" t="n">
        <v>363.14</v>
      </c>
      <c r="S299" t="n">
        <v>211.5</v>
      </c>
      <c r="U299" t="n">
        <v>1341.23</v>
      </c>
      <c r="X299" t="inlineStr">
        <is>
          <t>atssc-scdata</t>
        </is>
      </c>
      <c r="Y299" t="inlineStr">
        <is>
          <t>Administrative Tribunals Support Service of Canada | Service canadien d'appui aux tribunaux administratifs</t>
        </is>
      </c>
      <c r="Z299" t="n">
        <v>3</v>
      </c>
      <c r="AA299" t="n">
        <v>1341.23</v>
      </c>
      <c r="AB299">
        <f>ROUND(U299-AA299,2)</f>
        <v/>
      </c>
      <c r="AC299" t="b">
        <v>0</v>
      </c>
      <c r="AD299">
        <f>IF(U299="","MISSING_TOTAL",IF(ABS(AB299)&lt;=0.01,"OK","CHECK"))</f>
        <v/>
      </c>
      <c r="AE299">
        <f>IF(U299="","MISSING",IF(AND(AA299&gt;0,U299/AA299&gt;50),"POSSIBLE_SCALE_ERROR","OK"))</f>
        <v/>
      </c>
    </row>
    <row r="300">
      <c r="A300" t="inlineStr">
        <is>
          <t>T-2016-Q4-039</t>
        </is>
      </c>
      <c r="B300" t="inlineStr">
        <is>
          <t>SLE</t>
        </is>
      </c>
      <c r="C300" t="inlineStr">
        <is>
          <t>Chairperson, Canadian Human Rights Tribunal</t>
        </is>
      </c>
      <c r="D300" t="inlineStr">
        <is>
          <t>Président, Tribunal canadien des droits de la personne</t>
        </is>
      </c>
      <c r="E300" t="inlineStr">
        <is>
          <t>Thomas, David</t>
        </is>
      </c>
      <c r="F300" t="inlineStr">
        <is>
          <t>Attend the United Nations Forum on Business and Human Rights</t>
        </is>
      </c>
      <c r="G300" t="inlineStr">
        <is>
          <t>Participer au Forum des Nations Unies sur les droits de l'homme</t>
        </is>
      </c>
      <c r="H300" s="1" t="n">
        <v>42685</v>
      </c>
      <c r="I300" s="1" t="n">
        <v>42690</v>
      </c>
      <c r="J300" t="inlineStr">
        <is>
          <t>Genève, CH</t>
        </is>
      </c>
      <c r="K300" t="inlineStr">
        <is>
          <t>Genève, CH</t>
        </is>
      </c>
      <c r="P300" t="n">
        <v>3058.67</v>
      </c>
      <c r="Q300" t="n">
        <v>82.89</v>
      </c>
      <c r="R300" t="n">
        <v>1509.57</v>
      </c>
      <c r="S300" t="n">
        <v>1410.28</v>
      </c>
      <c r="U300" t="n">
        <v>6061.41</v>
      </c>
      <c r="X300" t="inlineStr">
        <is>
          <t>atssc-scdata</t>
        </is>
      </c>
      <c r="Y300" t="inlineStr">
        <is>
          <t>Administrative Tribunals Support Service of Canada | Service canadien d'appui aux tribunaux administratifs</t>
        </is>
      </c>
      <c r="Z300" t="n">
        <v>6</v>
      </c>
      <c r="AA300" t="n">
        <v>6061.41</v>
      </c>
      <c r="AB300">
        <f>ROUND(U300-AA300,2)</f>
        <v/>
      </c>
      <c r="AC300" t="b">
        <v>0</v>
      </c>
      <c r="AD300">
        <f>IF(U300="","MISSING_TOTAL",IF(ABS(AB300)&lt;=0.01,"OK","CHECK"))</f>
        <v/>
      </c>
      <c r="AE300">
        <f>IF(U300="","MISSING",IF(AND(AA300&gt;0,U300/AA300&gt;50),"POSSIBLE_SCALE_ERROR","OK"))</f>
        <v/>
      </c>
    </row>
    <row r="301">
      <c r="A301" t="inlineStr">
        <is>
          <t>T-2016-Q4-040</t>
        </is>
      </c>
      <c r="B301" t="inlineStr">
        <is>
          <t>SLE</t>
        </is>
      </c>
      <c r="C301" t="inlineStr">
        <is>
          <t>Chairperson, Canadian Human Rights Tribunal</t>
        </is>
      </c>
      <c r="D301" t="inlineStr">
        <is>
          <t>Président, Tribunal canadien des droits de la personne</t>
        </is>
      </c>
      <c r="E301" t="inlineStr">
        <is>
          <t>Thomas, David</t>
        </is>
      </c>
      <c r="F301" t="inlineStr">
        <is>
          <t>Hearing files # T2168/4216 &amp; T2169/4316</t>
        </is>
      </c>
      <c r="G301" t="inlineStr">
        <is>
          <t>Dossier d'audience T2168/4216 &amp; T2169/4316</t>
        </is>
      </c>
      <c r="H301" s="1" t="n">
        <v>42759</v>
      </c>
      <c r="I301" s="1" t="n">
        <v>42761</v>
      </c>
      <c r="J301" t="inlineStr">
        <is>
          <t>Halifax, NÉ</t>
        </is>
      </c>
      <c r="K301" t="inlineStr">
        <is>
          <t>Halifax, NS</t>
        </is>
      </c>
      <c r="P301" t="n">
        <v>461.26</v>
      </c>
      <c r="Q301" t="n">
        <v>253.27</v>
      </c>
      <c r="R301" t="n">
        <v>279.18</v>
      </c>
      <c r="S301" t="n">
        <v>291.3</v>
      </c>
      <c r="U301" t="n">
        <v>1285.01</v>
      </c>
      <c r="X301" t="inlineStr">
        <is>
          <t>atssc-scdata</t>
        </is>
      </c>
      <c r="Y301" t="inlineStr">
        <is>
          <t>Administrative Tribunals Support Service of Canada | Service canadien d'appui aux tribunaux administratifs</t>
        </is>
      </c>
      <c r="Z301" t="n">
        <v>3</v>
      </c>
      <c r="AA301" t="n">
        <v>1285.01</v>
      </c>
      <c r="AB301">
        <f>ROUND(U301-AA301,2)</f>
        <v/>
      </c>
      <c r="AC301" t="b">
        <v>0</v>
      </c>
      <c r="AD301">
        <f>IF(U301="","MISSING_TOTAL",IF(ABS(AB301)&lt;=0.01,"OK","CHECK"))</f>
        <v/>
      </c>
      <c r="AE301">
        <f>IF(U301="","MISSING",IF(AND(AA301&gt;0,U301/AA301&gt;50),"POSSIBLE_SCALE_ERROR","OK"))</f>
        <v/>
      </c>
    </row>
    <row r="302">
      <c r="A302" t="inlineStr">
        <is>
          <t>T-2017-Q3-003</t>
        </is>
      </c>
      <c r="B302" t="inlineStr">
        <is>
          <t>SLE</t>
        </is>
      </c>
      <c r="C302" t="inlineStr">
        <is>
          <t>A/Chairperson, Canadian International Trade Tribunal</t>
        </is>
      </c>
      <c r="D302" t="inlineStr">
        <is>
          <t>Président par intérim, Tribunal Canadien du commerce extérieur</t>
        </is>
      </c>
      <c r="E302" t="inlineStr">
        <is>
          <t>Jean Bédard</t>
        </is>
      </c>
      <c r="F302" t="inlineStr">
        <is>
          <t>Attend and speak to the World Customs Law Meeting.</t>
        </is>
      </c>
      <c r="G302" t="inlineStr">
        <is>
          <t>Participer et faire une présentation à la réunion mondiale sur la législation douanière</t>
        </is>
      </c>
      <c r="H302" s="1" t="n">
        <v>42982</v>
      </c>
      <c r="I302" s="1" t="n">
        <v>42987</v>
      </c>
      <c r="J302" t="inlineStr">
        <is>
          <t>Rome, Italy</t>
        </is>
      </c>
      <c r="K302" t="inlineStr">
        <is>
          <t>Rome, Italie</t>
        </is>
      </c>
      <c r="P302" t="n">
        <v>3564.04</v>
      </c>
      <c r="Q302" t="n">
        <v>234.61</v>
      </c>
      <c r="S302" t="n">
        <v>578.83</v>
      </c>
      <c r="U302" t="n">
        <v>4377.48</v>
      </c>
      <c r="X302" t="inlineStr">
        <is>
          <t>atssc-scdata</t>
        </is>
      </c>
      <c r="Y302" t="inlineStr">
        <is>
          <t>Administrative Tribunals Support Service of Canada | Service canadien d'appui aux tribunaux administratifs</t>
        </is>
      </c>
      <c r="Z302" t="n">
        <v>6</v>
      </c>
      <c r="AA302" t="n">
        <v>4377.48</v>
      </c>
      <c r="AB302">
        <f>ROUND(U302-AA302,2)</f>
        <v/>
      </c>
      <c r="AC302" t="b">
        <v>0</v>
      </c>
      <c r="AD302">
        <f>IF(U302="","MISSING_TOTAL",IF(ABS(AB302)&lt;=0.01,"OK","CHECK"))</f>
        <v/>
      </c>
      <c r="AE302">
        <f>IF(U302="","MISSING",IF(AND(AA302&gt;0,U302/AA302&gt;50),"POSSIBLE_SCALE_ERROR","OK"))</f>
        <v/>
      </c>
    </row>
    <row r="303">
      <c r="A303" t="inlineStr">
        <is>
          <t>T-2017-Q3-009</t>
        </is>
      </c>
      <c r="B303" t="inlineStr">
        <is>
          <t>SLE</t>
        </is>
      </c>
      <c r="C303" t="inlineStr">
        <is>
          <t>Chairperson, Canada Industrial Relations Board</t>
        </is>
      </c>
      <c r="D303" t="inlineStr">
        <is>
          <t>Présidente, Conseil canadien des relations industrielles</t>
        </is>
      </c>
      <c r="E303" t="inlineStr">
        <is>
          <t>Ginette Brazeau</t>
        </is>
      </c>
      <c r="F303" t="inlineStr">
        <is>
          <t>To attend the International Industrial Relations Conference</t>
        </is>
      </c>
      <c r="G303" t="inlineStr">
        <is>
          <t>Participation à la Conférence sur les relations industrielles</t>
        </is>
      </c>
      <c r="H303" s="1" t="n">
        <v>42998</v>
      </c>
      <c r="I303" s="1" t="n">
        <v>43000</v>
      </c>
      <c r="J303" t="inlineStr">
        <is>
          <t>Ottawa, ON</t>
        </is>
      </c>
      <c r="K303" t="inlineStr">
        <is>
          <t>Ottawa, ON</t>
        </is>
      </c>
      <c r="R303" t="n">
        <v>486.52</v>
      </c>
      <c r="U303" t="n">
        <v>486.52</v>
      </c>
      <c r="X303" t="inlineStr">
        <is>
          <t>atssc-scdata</t>
        </is>
      </c>
      <c r="Y303" t="inlineStr">
        <is>
          <t>Administrative Tribunals Support Service of Canada | Service canadien d'appui aux tribunaux administratifs</t>
        </is>
      </c>
      <c r="Z303" t="n">
        <v>3</v>
      </c>
      <c r="AA303" t="n">
        <v>486.52</v>
      </c>
      <c r="AB303">
        <f>ROUND(U303-AA303,2)</f>
        <v/>
      </c>
      <c r="AC303" t="b">
        <v>0</v>
      </c>
      <c r="AD303">
        <f>IF(U303="","MISSING_TOTAL",IF(ABS(AB303)&lt;=0.01,"OK","CHECK"))</f>
        <v/>
      </c>
      <c r="AE303">
        <f>IF(U303="","MISSING",IF(AND(AA303&gt;0,U303/AA303&gt;50),"POSSIBLE_SCALE_ERROR","OK"))</f>
        <v/>
      </c>
    </row>
    <row r="304">
      <c r="A304" t="inlineStr">
        <is>
          <t>T-2017-Q3-015</t>
        </is>
      </c>
      <c r="B304" t="inlineStr">
        <is>
          <t>SLE</t>
        </is>
      </c>
      <c r="C304" t="inlineStr">
        <is>
          <t>Chairperson, Canada Industrial Relations Board</t>
        </is>
      </c>
      <c r="D304" t="inlineStr">
        <is>
          <t>Présidente, Conseil canadien des relations industrielles</t>
        </is>
      </c>
      <c r="E304" t="inlineStr">
        <is>
          <t>Ginette Brazeau</t>
        </is>
      </c>
      <c r="F304" t="inlineStr">
        <is>
          <t>To attend a meeting of the Association of Labour Relations Agencies</t>
        </is>
      </c>
      <c r="G304" t="inlineStr">
        <is>
          <t>Participer à une rencontre de la Association of Labour Relations Agencies</t>
        </is>
      </c>
      <c r="H304" s="1" t="n">
        <v>43023</v>
      </c>
      <c r="I304" s="1" t="n">
        <v>43023</v>
      </c>
      <c r="J304" t="inlineStr">
        <is>
          <t>Montreal, QC</t>
        </is>
      </c>
      <c r="K304" t="inlineStr">
        <is>
          <t>Montreal, QC</t>
        </is>
      </c>
      <c r="Q304" t="n">
        <v>200.04</v>
      </c>
      <c r="U304" t="n">
        <v>200.04</v>
      </c>
      <c r="X304" t="inlineStr">
        <is>
          <t>atssc-scdata</t>
        </is>
      </c>
      <c r="Y304" t="inlineStr">
        <is>
          <t>Administrative Tribunals Support Service of Canada | Service canadien d'appui aux tribunaux administratifs</t>
        </is>
      </c>
      <c r="Z304" t="n">
        <v>1</v>
      </c>
      <c r="AA304" t="n">
        <v>200.04</v>
      </c>
      <c r="AB304">
        <f>ROUND(U304-AA304,2)</f>
        <v/>
      </c>
      <c r="AC304" t="b">
        <v>0</v>
      </c>
      <c r="AD304">
        <f>IF(U304="","MISSING_TOTAL",IF(ABS(AB304)&lt;=0.01,"OK","CHECK"))</f>
        <v/>
      </c>
      <c r="AE304">
        <f>IF(U304="","MISSING",IF(AND(AA304&gt;0,U304/AA304&gt;50),"POSSIBLE_SCALE_ERROR","OK"))</f>
        <v/>
      </c>
    </row>
    <row r="305">
      <c r="A305" t="inlineStr">
        <is>
          <t>T-2017-Q3-001</t>
        </is>
      </c>
      <c r="B305" t="inlineStr">
        <is>
          <t>SLE</t>
        </is>
      </c>
      <c r="C305" t="inlineStr">
        <is>
          <t>A/Executive Director and General Counsel, Secretariat to the Public Service Labour Relations and Employment Board</t>
        </is>
      </c>
      <c r="D305" t="inlineStr">
        <is>
          <t>Directrice générale et avocate générale par intérim, Secrétariat de la Commission des relations de travail et de l’emploi dans la fonction publique</t>
        </is>
      </c>
      <c r="E305" t="inlineStr">
        <is>
          <t>Virginia Adamson</t>
        </is>
      </c>
      <c r="F305" t="inlineStr">
        <is>
          <t>To attend the annual meeting of Labour Board Chairs and Administrators</t>
        </is>
      </c>
      <c r="G305" t="inlineStr">
        <is>
          <t>Participer à la réunion annuelle des présidents et des administrateurs de Commission des relations de travail</t>
        </is>
      </c>
      <c r="H305" s="1" t="n">
        <v>42996</v>
      </c>
      <c r="I305" s="1" t="n">
        <v>42998</v>
      </c>
      <c r="J305" t="inlineStr">
        <is>
          <t>Wakefield, QC</t>
        </is>
      </c>
      <c r="K305" t="inlineStr">
        <is>
          <t>Wakefield, QC</t>
        </is>
      </c>
      <c r="Q305" t="n">
        <v>44.4</v>
      </c>
      <c r="R305" t="n">
        <v>487.14</v>
      </c>
      <c r="S305" t="n">
        <v>214.2</v>
      </c>
      <c r="U305" t="n">
        <v>745.74</v>
      </c>
      <c r="X305" t="inlineStr">
        <is>
          <t>atssc-scdata</t>
        </is>
      </c>
      <c r="Y305" t="inlineStr">
        <is>
          <t>Administrative Tribunals Support Service of Canada | Service canadien d'appui aux tribunaux administratifs</t>
        </is>
      </c>
      <c r="Z305" t="n">
        <v>3</v>
      </c>
      <c r="AA305" t="n">
        <v>745.74</v>
      </c>
      <c r="AB305">
        <f>ROUND(U305-AA305,2)</f>
        <v/>
      </c>
      <c r="AC305" t="b">
        <v>0</v>
      </c>
      <c r="AD305">
        <f>IF(U305="","MISSING_TOTAL",IF(ABS(AB305)&lt;=0.01,"OK","CHECK"))</f>
        <v/>
      </c>
      <c r="AE305">
        <f>IF(U305="","MISSING",IF(AND(AA305&gt;0,U305/AA305&gt;50),"POSSIBLE_SCALE_ERROR","OK"))</f>
        <v/>
      </c>
    </row>
    <row r="306">
      <c r="A306" t="inlineStr">
        <is>
          <t>T-2017-Q3-002</t>
        </is>
      </c>
      <c r="B306" t="inlineStr">
        <is>
          <t>SLE</t>
        </is>
      </c>
      <c r="C306" t="inlineStr">
        <is>
          <t>A/Executive Director and General Counsel, Secretariat to the Public Service Labour Relations and Employment Board</t>
        </is>
      </c>
      <c r="D306" t="inlineStr">
        <is>
          <t>Directrice générale et avocate générale par intérim, Secrétariat de la Commission des relations de travail et de l’emploi dans la fonction publique</t>
        </is>
      </c>
      <c r="E306" t="inlineStr">
        <is>
          <t>Virginia Adamson</t>
        </is>
      </c>
      <c r="F306" t="inlineStr">
        <is>
          <t>To attend a meeting of the Association of Labour Relations Agencies</t>
        </is>
      </c>
      <c r="G306" t="inlineStr">
        <is>
          <t>Participer à une rencontre de la Association of Labour Relations Agencies</t>
        </is>
      </c>
      <c r="H306" s="1" t="n">
        <v>43021</v>
      </c>
      <c r="I306" s="1" t="n">
        <v>43023</v>
      </c>
      <c r="J306" t="inlineStr">
        <is>
          <t>Montreal, QC</t>
        </is>
      </c>
      <c r="K306" t="inlineStr">
        <is>
          <t>Montreal, QC</t>
        </is>
      </c>
      <c r="Q306" t="n">
        <v>302.48</v>
      </c>
      <c r="R306" t="n">
        <v>473.64</v>
      </c>
      <c r="S306" t="n">
        <v>203.7</v>
      </c>
      <c r="U306" t="n">
        <v>979.8200000000001</v>
      </c>
      <c r="X306" t="inlineStr">
        <is>
          <t>atssc-scdata</t>
        </is>
      </c>
      <c r="Y306" t="inlineStr">
        <is>
          <t>Administrative Tribunals Support Service of Canada | Service canadien d'appui aux tribunaux administratifs</t>
        </is>
      </c>
      <c r="Z306" t="n">
        <v>3</v>
      </c>
      <c r="AA306" t="n">
        <v>979.819999999999</v>
      </c>
      <c r="AB306">
        <f>ROUND(U306-AA306,2)</f>
        <v/>
      </c>
      <c r="AC306" t="b">
        <v>0</v>
      </c>
      <c r="AD306">
        <f>IF(U306="","MISSING_TOTAL",IF(ABS(AB306)&lt;=0.01,"OK","CHECK"))</f>
        <v/>
      </c>
      <c r="AE306">
        <f>IF(U306="","MISSING",IF(AND(AA306&gt;0,U306/AA306&gt;50),"POSSIBLE_SCALE_ERROR","OK"))</f>
        <v/>
      </c>
    </row>
    <row r="307">
      <c r="A307" t="inlineStr">
        <is>
          <t>T-2017-Q3-004</t>
        </is>
      </c>
      <c r="B307" t="inlineStr">
        <is>
          <t>SLE</t>
        </is>
      </c>
      <c r="C307" t="inlineStr">
        <is>
          <t>Chairperson, Canada Agricultural Review Tribunal</t>
        </is>
      </c>
      <c r="D307" t="inlineStr">
        <is>
          <t>Président, Commission de révision agricole du Canada</t>
        </is>
      </c>
      <c r="E307" t="inlineStr">
        <is>
          <t>Luc Bélanger</t>
        </is>
      </c>
      <c r="F307" t="inlineStr">
        <is>
          <t>Meet with the new member of CART</t>
        </is>
      </c>
      <c r="G307" t="inlineStr">
        <is>
          <t>Rencontre avec le nouveau membre de la CRAC</t>
        </is>
      </c>
      <c r="H307" s="1" t="n">
        <v>42989</v>
      </c>
      <c r="I307" s="1" t="n">
        <v>42991</v>
      </c>
      <c r="J307" t="inlineStr">
        <is>
          <t>Quebec , QC</t>
        </is>
      </c>
      <c r="K307" t="inlineStr">
        <is>
          <t>Québec , QC</t>
        </is>
      </c>
      <c r="Q307" t="n">
        <v>509.33</v>
      </c>
      <c r="R307" t="n">
        <v>512.1900000000001</v>
      </c>
      <c r="S307" t="n">
        <v>232.25</v>
      </c>
      <c r="U307" t="n">
        <v>1253.77</v>
      </c>
      <c r="X307" t="inlineStr">
        <is>
          <t>atssc-scdata</t>
        </is>
      </c>
      <c r="Y307" t="inlineStr">
        <is>
          <t>Administrative Tribunals Support Service of Canada | Service canadien d'appui aux tribunaux administratifs</t>
        </is>
      </c>
      <c r="Z307" t="n">
        <v>3</v>
      </c>
      <c r="AA307" t="n">
        <v>1253.77</v>
      </c>
      <c r="AB307">
        <f>ROUND(U307-AA307,2)</f>
        <v/>
      </c>
      <c r="AC307" t="b">
        <v>0</v>
      </c>
      <c r="AD307">
        <f>IF(U307="","MISSING_TOTAL",IF(ABS(AB307)&lt;=0.01,"OK","CHECK"))</f>
        <v/>
      </c>
      <c r="AE307">
        <f>IF(U307="","MISSING",IF(AND(AA307&gt;0,U307/AA307&gt;50),"POSSIBLE_SCALE_ERROR","OK"))</f>
        <v/>
      </c>
    </row>
    <row r="308">
      <c r="A308" t="inlineStr">
        <is>
          <t>T-2017-Q3-005</t>
        </is>
      </c>
      <c r="B308" t="inlineStr">
        <is>
          <t>SLE</t>
        </is>
      </c>
      <c r="C308" t="inlineStr">
        <is>
          <t>Chairperson, Canada Agricultural Review Tribunal</t>
        </is>
      </c>
      <c r="D308" t="inlineStr">
        <is>
          <t>Président, Commission de révision agricole du Canada</t>
        </is>
      </c>
      <c r="E308" t="inlineStr">
        <is>
          <t>Luc Bélanger</t>
        </is>
      </c>
      <c r="F308" t="inlineStr">
        <is>
          <t>Training of the new member of CART</t>
        </is>
      </c>
      <c r="G308" t="inlineStr">
        <is>
          <t>Formation du nouveau membre de la CRAC</t>
        </is>
      </c>
      <c r="H308" s="1" t="n">
        <v>43024</v>
      </c>
      <c r="I308" s="1" t="n">
        <v>43026</v>
      </c>
      <c r="J308" t="inlineStr">
        <is>
          <t>Quebec , QC</t>
        </is>
      </c>
      <c r="K308" t="inlineStr">
        <is>
          <t>Québec , QC</t>
        </is>
      </c>
      <c r="Q308" t="n">
        <v>540.01</v>
      </c>
      <c r="R308" t="n">
        <v>480.86</v>
      </c>
      <c r="S308" t="n">
        <v>288.85</v>
      </c>
      <c r="U308" t="n">
        <v>1309.72</v>
      </c>
      <c r="X308" t="inlineStr">
        <is>
          <t>atssc-scdata</t>
        </is>
      </c>
      <c r="Y308" t="inlineStr">
        <is>
          <t>Administrative Tribunals Support Service of Canada | Service canadien d'appui aux tribunaux administratifs</t>
        </is>
      </c>
      <c r="Z308" t="n">
        <v>3</v>
      </c>
      <c r="AA308" t="n">
        <v>1309.72</v>
      </c>
      <c r="AB308">
        <f>ROUND(U308-AA308,2)</f>
        <v/>
      </c>
      <c r="AC308" t="b">
        <v>0</v>
      </c>
      <c r="AD308">
        <f>IF(U308="","MISSING_TOTAL",IF(ABS(AB308)&lt;=0.01,"OK","CHECK"))</f>
        <v/>
      </c>
      <c r="AE308">
        <f>IF(U308="","MISSING",IF(AND(AA308&gt;0,U308/AA308&gt;50),"POSSIBLE_SCALE_ERROR","OK"))</f>
        <v/>
      </c>
    </row>
    <row r="309">
      <c r="A309" t="inlineStr">
        <is>
          <t>T-2017-Q3-006</t>
        </is>
      </c>
      <c r="B309" t="inlineStr">
        <is>
          <t>SLE</t>
        </is>
      </c>
      <c r="C309" t="inlineStr">
        <is>
          <t>Executive Director, Secretariat to the Canadian Cultural Property Export Review Board</t>
        </is>
      </c>
      <c r="D309" t="inlineStr">
        <is>
          <t>Directrice exécutive, Secrétariat de la Commission canadienne d’examen des exportations de biens culturels</t>
        </is>
      </c>
      <c r="E309" t="inlineStr">
        <is>
          <t>Delphine Bishop</t>
        </is>
      </c>
      <c r="F309" t="inlineStr">
        <is>
          <t>Attend the board meeting and the Tour new Canadian, Indigenous Galleries</t>
        </is>
      </c>
      <c r="G309" t="inlineStr">
        <is>
          <t>Participer à la rencontre des membres et visiter la nouvelle galerie d'art canadien et autochtone</t>
        </is>
      </c>
      <c r="H309" s="1" t="n">
        <v>42984</v>
      </c>
      <c r="I309" s="1" t="n">
        <v>42986</v>
      </c>
      <c r="J309" t="inlineStr">
        <is>
          <t>Ottawa, ON</t>
        </is>
      </c>
      <c r="K309" t="inlineStr">
        <is>
          <t>Ottawa, ON</t>
        </is>
      </c>
      <c r="Q309" t="n">
        <v>79</v>
      </c>
      <c r="U309" t="n">
        <v>79</v>
      </c>
      <c r="X309" t="inlineStr">
        <is>
          <t>atssc-scdata</t>
        </is>
      </c>
      <c r="Y309" t="inlineStr">
        <is>
          <t>Administrative Tribunals Support Service of Canada | Service canadien d'appui aux tribunaux administratifs</t>
        </is>
      </c>
      <c r="Z309" t="n">
        <v>3</v>
      </c>
      <c r="AA309" t="n">
        <v>79</v>
      </c>
      <c r="AB309">
        <f>ROUND(U309-AA309,2)</f>
        <v/>
      </c>
      <c r="AC309" t="b">
        <v>0</v>
      </c>
      <c r="AD309">
        <f>IF(U309="","MISSING_TOTAL",IF(ABS(AB309)&lt;=0.01,"OK","CHECK"))</f>
        <v/>
      </c>
      <c r="AE309">
        <f>IF(U309="","MISSING",IF(AND(AA309&gt;0,U309/AA309&gt;50),"POSSIBLE_SCALE_ERROR","OK"))</f>
        <v/>
      </c>
    </row>
    <row r="310">
      <c r="A310" t="inlineStr">
        <is>
          <t>T-2017-Q3-007</t>
        </is>
      </c>
      <c r="B310" t="inlineStr">
        <is>
          <t>SLE</t>
        </is>
      </c>
      <c r="C310" t="inlineStr">
        <is>
          <t>Executive Director, Secretariat to the Canadian Cultural Property Export Review Board</t>
        </is>
      </c>
      <c r="D310" t="inlineStr">
        <is>
          <t>Directrice exécutive, Secrétariat de la Commission canadienne d’examen des exportations de biens culturels</t>
        </is>
      </c>
      <c r="E310" t="inlineStr">
        <is>
          <t>Delphine Bishop</t>
        </is>
      </c>
      <c r="F310" t="inlineStr">
        <is>
          <t>Attend the CCPERB meeting</t>
        </is>
      </c>
      <c r="G310" t="inlineStr">
        <is>
          <t>Participer à la réunion de la CCEEBC</t>
        </is>
      </c>
      <c r="H310" s="1" t="n">
        <v>42892</v>
      </c>
      <c r="I310" s="1" t="n">
        <v>42894</v>
      </c>
      <c r="J310" t="inlineStr">
        <is>
          <t>Ottawa, ON</t>
        </is>
      </c>
      <c r="K310" t="inlineStr">
        <is>
          <t>Ottawa, ON</t>
        </is>
      </c>
      <c r="Q310" t="n">
        <v>60</v>
      </c>
      <c r="U310" t="n">
        <v>60</v>
      </c>
      <c r="X310" t="inlineStr">
        <is>
          <t>atssc-scdata</t>
        </is>
      </c>
      <c r="Y310" t="inlineStr">
        <is>
          <t>Administrative Tribunals Support Service of Canada | Service canadien d'appui aux tribunaux administratifs</t>
        </is>
      </c>
      <c r="Z310" t="n">
        <v>3</v>
      </c>
      <c r="AA310" t="n">
        <v>60</v>
      </c>
      <c r="AB310">
        <f>ROUND(U310-AA310,2)</f>
        <v/>
      </c>
      <c r="AC310" t="b">
        <v>0</v>
      </c>
      <c r="AD310">
        <f>IF(U310="","MISSING_TOTAL",IF(ABS(AB310)&lt;=0.01,"OK","CHECK"))</f>
        <v/>
      </c>
      <c r="AE310">
        <f>IF(U310="","MISSING",IF(AND(AA310&gt;0,U310/AA310&gt;50),"POSSIBLE_SCALE_ERROR","OK"))</f>
        <v/>
      </c>
    </row>
    <row r="311">
      <c r="A311" t="inlineStr">
        <is>
          <t>T-2017-Q3-008</t>
        </is>
      </c>
      <c r="B311" t="inlineStr">
        <is>
          <t>SLE</t>
        </is>
      </c>
      <c r="C311" t="inlineStr">
        <is>
          <t>Chairperson, Canada Industrial Relations Board</t>
        </is>
      </c>
      <c r="D311" t="inlineStr">
        <is>
          <t>Présidente, Conseil canadien des relations industrielles</t>
        </is>
      </c>
      <c r="E311" t="inlineStr">
        <is>
          <t>Ginette Brazeau</t>
        </is>
      </c>
      <c r="F311" t="inlineStr">
        <is>
          <t>To attend the annual meeting of Labour Board Chairs and Administrators</t>
        </is>
      </c>
      <c r="G311" t="inlineStr">
        <is>
          <t>Participer à la réunion annuelle des présidents et des administrateurs de Commission des relations de travail</t>
        </is>
      </c>
      <c r="H311" s="1" t="n">
        <v>42996</v>
      </c>
      <c r="I311" s="1" t="n">
        <v>42998</v>
      </c>
      <c r="J311" t="inlineStr">
        <is>
          <t>Wakefield, QC</t>
        </is>
      </c>
      <c r="K311" t="inlineStr">
        <is>
          <t>Wakefield, QC</t>
        </is>
      </c>
      <c r="Q311" t="n">
        <v>38.86</v>
      </c>
      <c r="R311" t="n">
        <v>487.14</v>
      </c>
      <c r="S311" t="n">
        <v>214.2</v>
      </c>
      <c r="U311" t="n">
        <v>740.2</v>
      </c>
      <c r="X311" t="inlineStr">
        <is>
          <t>atssc-scdata</t>
        </is>
      </c>
      <c r="Y311" t="inlineStr">
        <is>
          <t>Administrative Tribunals Support Service of Canada | Service canadien d'appui aux tribunaux administratifs</t>
        </is>
      </c>
      <c r="Z311" t="n">
        <v>3</v>
      </c>
      <c r="AA311" t="n">
        <v>740.2</v>
      </c>
      <c r="AB311">
        <f>ROUND(U311-AA311,2)</f>
        <v/>
      </c>
      <c r="AC311" t="b">
        <v>0</v>
      </c>
      <c r="AD311">
        <f>IF(U311="","MISSING_TOTAL",IF(ABS(AB311)&lt;=0.01,"OK","CHECK"))</f>
        <v/>
      </c>
      <c r="AE311">
        <f>IF(U311="","MISSING",IF(AND(AA311&gt;0,U311/AA311&gt;50),"POSSIBLE_SCALE_ERROR","OK"))</f>
        <v/>
      </c>
    </row>
    <row r="312">
      <c r="A312" t="inlineStr">
        <is>
          <t>T-2017-Q3-020</t>
        </is>
      </c>
      <c r="B312" t="inlineStr">
        <is>
          <t>SLE</t>
        </is>
      </c>
      <c r="C312" t="inlineStr">
        <is>
          <t>Chairperson, Canada Industrial Relations Board</t>
        </is>
      </c>
      <c r="D312" t="inlineStr">
        <is>
          <t>Présidente, Conseil canadien des relations industrielles</t>
        </is>
      </c>
      <c r="E312" t="inlineStr">
        <is>
          <t>Ginette Brazeau</t>
        </is>
      </c>
      <c r="F312" t="inlineStr">
        <is>
          <t>Hearing file #42594</t>
        </is>
      </c>
      <c r="G312" t="inlineStr">
        <is>
          <t>Dossier d'audience #42594</t>
        </is>
      </c>
      <c r="H312" s="1" t="n">
        <v>43027</v>
      </c>
      <c r="I312" s="1" t="n">
        <v>43027</v>
      </c>
      <c r="J312" t="inlineStr">
        <is>
          <t>Toronto, ON</t>
        </is>
      </c>
      <c r="K312" t="inlineStr">
        <is>
          <t>Toronto, ON</t>
        </is>
      </c>
      <c r="P312" t="n">
        <v>605.74</v>
      </c>
      <c r="Q312" t="n">
        <v>23</v>
      </c>
      <c r="S312" t="n">
        <v>38</v>
      </c>
      <c r="U312" t="n">
        <v>666.74</v>
      </c>
      <c r="X312" t="inlineStr">
        <is>
          <t>atssc-scdata</t>
        </is>
      </c>
      <c r="Y312" t="inlineStr">
        <is>
          <t>Administrative Tribunals Support Service of Canada | Service canadien d'appui aux tribunaux administratifs</t>
        </is>
      </c>
      <c r="Z312" t="n">
        <v>1</v>
      </c>
      <c r="AA312" t="n">
        <v>666.74</v>
      </c>
      <c r="AB312">
        <f>ROUND(U312-AA312,2)</f>
        <v/>
      </c>
      <c r="AC312" t="b">
        <v>0</v>
      </c>
      <c r="AD312">
        <f>IF(U312="","MISSING_TOTAL",IF(ABS(AB312)&lt;=0.01,"OK","CHECK"))</f>
        <v/>
      </c>
      <c r="AE312">
        <f>IF(U312="","MISSING",IF(AND(AA312&gt;0,U312/AA312&gt;50),"POSSIBLE_SCALE_ERROR","OK"))</f>
        <v/>
      </c>
    </row>
    <row r="313">
      <c r="A313" t="inlineStr">
        <is>
          <t>T-2017-Q3-021</t>
        </is>
      </c>
      <c r="B313" t="inlineStr">
        <is>
          <t>SLE</t>
        </is>
      </c>
      <c r="C313" t="inlineStr">
        <is>
          <t>Chairperson, Canada Industrial Relations Board</t>
        </is>
      </c>
      <c r="D313" t="inlineStr">
        <is>
          <t>Présidente, Conseil canadien des relations industrielles</t>
        </is>
      </c>
      <c r="E313" t="inlineStr">
        <is>
          <t>Ginette Brazeau</t>
        </is>
      </c>
      <c r="F313" t="inlineStr">
        <is>
          <t>Attendance and participartion at the 2017  Internationl Agencies Forum</t>
        </is>
      </c>
      <c r="G313" t="inlineStr">
        <is>
          <t>Participer au forum des agences internationales 2017</t>
        </is>
      </c>
      <c r="H313" s="1" t="n">
        <v>43038</v>
      </c>
      <c r="I313" s="1" t="n">
        <v>43046</v>
      </c>
      <c r="J313" t="inlineStr">
        <is>
          <t>Melbourne, AU</t>
        </is>
      </c>
      <c r="K313" t="inlineStr">
        <is>
          <t>Melbourne, AU</t>
        </is>
      </c>
      <c r="P313" t="n">
        <v>9798.76</v>
      </c>
      <c r="Q313" t="n">
        <v>231.39</v>
      </c>
      <c r="R313" t="n">
        <v>717.72</v>
      </c>
      <c r="S313" t="n">
        <v>1176.45</v>
      </c>
      <c r="U313" t="n">
        <v>11924.32</v>
      </c>
      <c r="X313" t="inlineStr">
        <is>
          <t>atssc-scdata</t>
        </is>
      </c>
      <c r="Y313" t="inlineStr">
        <is>
          <t>Administrative Tribunals Support Service of Canada | Service canadien d'appui aux tribunaux administratifs</t>
        </is>
      </c>
      <c r="Z313" t="n">
        <v>9</v>
      </c>
      <c r="AA313" t="n">
        <v>11924.32</v>
      </c>
      <c r="AB313">
        <f>ROUND(U313-AA313,2)</f>
        <v/>
      </c>
      <c r="AC313" t="b">
        <v>0</v>
      </c>
      <c r="AD313">
        <f>IF(U313="","MISSING_TOTAL",IF(ABS(AB313)&lt;=0.01,"OK","CHECK"))</f>
        <v/>
      </c>
      <c r="AE313">
        <f>IF(U313="","MISSING",IF(AND(AA313&gt;0,U313/AA313&gt;50),"POSSIBLE_SCALE_ERROR","OK"))</f>
        <v/>
      </c>
    </row>
    <row r="314">
      <c r="A314" t="inlineStr">
        <is>
          <t>T-2017-Q3-022</t>
        </is>
      </c>
      <c r="B314" t="inlineStr">
        <is>
          <t>SLE</t>
        </is>
      </c>
      <c r="C314" t="inlineStr">
        <is>
          <t>Chairperson, Social Security Tribunal</t>
        </is>
      </c>
      <c r="D314" t="inlineStr">
        <is>
          <t>Présidente du Tribunal de la sécurité sociale</t>
        </is>
      </c>
      <c r="E314" t="inlineStr">
        <is>
          <t>Murielle Brazeau</t>
        </is>
      </c>
      <c r="F314" t="inlineStr">
        <is>
          <t>Meeting with stakeholders</t>
        </is>
      </c>
      <c r="G314" t="inlineStr">
        <is>
          <t>Réunion avec les intervenants</t>
        </is>
      </c>
      <c r="H314" s="1" t="n">
        <v>42999</v>
      </c>
      <c r="I314" s="1" t="n">
        <v>43000</v>
      </c>
      <c r="J314" t="inlineStr">
        <is>
          <t>Toronto, ON</t>
        </is>
      </c>
      <c r="K314" t="inlineStr">
        <is>
          <t>Toronto, ON</t>
        </is>
      </c>
      <c r="P314" t="n">
        <v>419.85</v>
      </c>
      <c r="Q314" t="n">
        <v>200.34</v>
      </c>
      <c r="S314" t="n">
        <v>98.45</v>
      </c>
      <c r="U314" t="n">
        <v>718.64</v>
      </c>
      <c r="X314" t="inlineStr">
        <is>
          <t>atssc-scdata</t>
        </is>
      </c>
      <c r="Y314" t="inlineStr">
        <is>
          <t>Administrative Tribunals Support Service of Canada | Service canadien d'appui aux tribunaux administratifs</t>
        </is>
      </c>
      <c r="Z314" t="n">
        <v>2</v>
      </c>
      <c r="AA314" t="n">
        <v>718.64</v>
      </c>
      <c r="AB314">
        <f>ROUND(U314-AA314,2)</f>
        <v/>
      </c>
      <c r="AC314" t="b">
        <v>0</v>
      </c>
      <c r="AD314">
        <f>IF(U314="","MISSING_TOTAL",IF(ABS(AB314)&lt;=0.01,"OK","CHECK"))</f>
        <v/>
      </c>
      <c r="AE314">
        <f>IF(U314="","MISSING",IF(AND(AA314&gt;0,U314/AA314&gt;50),"POSSIBLE_SCALE_ERROR","OK"))</f>
        <v/>
      </c>
    </row>
    <row r="315">
      <c r="A315" t="inlineStr">
        <is>
          <t>T-2017-Q3-023</t>
        </is>
      </c>
      <c r="B315" t="inlineStr">
        <is>
          <t>SLE</t>
        </is>
      </c>
      <c r="C315" t="inlineStr">
        <is>
          <t>Director General and CIO Information Services and Solutions, and Executive Director, Secretariat to the Specific Claims Tribunal</t>
        </is>
      </c>
      <c r="D315" t="inlineStr">
        <is>
          <t>Directeur général, Services et solutions d’information et directeur exécutif du Secrétariat du Tribunal des revendications particulières</t>
        </is>
      </c>
      <c r="E315" t="inlineStr">
        <is>
          <t>Stuart Campbell</t>
        </is>
      </c>
      <c r="F315" t="inlineStr">
        <is>
          <t>Meeting with the Chair of SCT</t>
        </is>
      </c>
      <c r="G315" t="inlineStr">
        <is>
          <t>Rencontre avec le président du TRP</t>
        </is>
      </c>
      <c r="H315" s="1" t="n">
        <v>42982</v>
      </c>
      <c r="I315" s="1" t="n">
        <v>42985</v>
      </c>
      <c r="J315" t="inlineStr">
        <is>
          <t>Vancouver, CB</t>
        </is>
      </c>
      <c r="K315" t="inlineStr">
        <is>
          <t>Vancouver, BC</t>
        </is>
      </c>
      <c r="P315" t="n">
        <v>1638.75</v>
      </c>
      <c r="Q315" t="n">
        <v>208.65</v>
      </c>
      <c r="R315" t="n">
        <v>399.52</v>
      </c>
      <c r="S315" t="n">
        <v>260.15</v>
      </c>
      <c r="U315" t="n">
        <v>2507.07</v>
      </c>
      <c r="X315" t="inlineStr">
        <is>
          <t>atssc-scdata</t>
        </is>
      </c>
      <c r="Y315" t="inlineStr">
        <is>
          <t>Administrative Tribunals Support Service of Canada | Service canadien d'appui aux tribunaux administratifs</t>
        </is>
      </c>
      <c r="Z315" t="n">
        <v>4</v>
      </c>
      <c r="AA315" t="n">
        <v>2507.07</v>
      </c>
      <c r="AB315">
        <f>ROUND(U315-AA315,2)</f>
        <v/>
      </c>
      <c r="AC315" t="b">
        <v>0</v>
      </c>
      <c r="AD315">
        <f>IF(U315="","MISSING_TOTAL",IF(ABS(AB315)&lt;=0.01,"OK","CHECK"))</f>
        <v/>
      </c>
      <c r="AE315">
        <f>IF(U315="","MISSING",IF(AND(AA315&gt;0,U315/AA315&gt;50),"POSSIBLE_SCALE_ERROR","OK"))</f>
        <v/>
      </c>
    </row>
    <row r="316">
      <c r="A316" t="inlineStr">
        <is>
          <t>T-2017-Q3-024</t>
        </is>
      </c>
      <c r="B316" t="inlineStr">
        <is>
          <t>SLE</t>
        </is>
      </c>
      <c r="C316" t="inlineStr">
        <is>
          <t>Director General and CIO Information Services and Solutions, and Executive Director, Secretariat to the Specific Claims Tribunal</t>
        </is>
      </c>
      <c r="D316" t="inlineStr">
        <is>
          <t>Directeur général, Services et solutions d’information et directeur exécutif du Secrétariat du Tribunal des revendications particulières</t>
        </is>
      </c>
      <c r="E316" t="inlineStr">
        <is>
          <t>Stuart Campbell</t>
        </is>
      </c>
      <c r="F316" t="inlineStr">
        <is>
          <t>To attend the Court Technology Conference</t>
        </is>
      </c>
      <c r="G316" t="inlineStr">
        <is>
          <t>Assister à la Court Technology Conference</t>
        </is>
      </c>
      <c r="H316" s="1" t="n">
        <v>42989</v>
      </c>
      <c r="I316" s="1" t="n">
        <v>42993</v>
      </c>
      <c r="J316" t="inlineStr">
        <is>
          <t>Salt Lake City, UT</t>
        </is>
      </c>
      <c r="K316" t="inlineStr">
        <is>
          <t>Salt Lake City, UT</t>
        </is>
      </c>
      <c r="P316" t="n">
        <v>1607.09</v>
      </c>
      <c r="Q316" t="n">
        <v>85.11</v>
      </c>
      <c r="R316" t="n">
        <v>1057.77</v>
      </c>
      <c r="S316" t="n">
        <v>527.55</v>
      </c>
      <c r="U316" t="n">
        <v>3277.52</v>
      </c>
      <c r="X316" t="inlineStr">
        <is>
          <t>atssc-scdata</t>
        </is>
      </c>
      <c r="Y316" t="inlineStr">
        <is>
          <t>Administrative Tribunals Support Service of Canada | Service canadien d'appui aux tribunaux administratifs</t>
        </is>
      </c>
      <c r="Z316" t="n">
        <v>5</v>
      </c>
      <c r="AA316" t="n">
        <v>3277.51999999999</v>
      </c>
      <c r="AB316">
        <f>ROUND(U316-AA316,2)</f>
        <v/>
      </c>
      <c r="AC316" t="b">
        <v>0</v>
      </c>
      <c r="AD316">
        <f>IF(U316="","MISSING_TOTAL",IF(ABS(AB316)&lt;=0.01,"OK","CHECK"))</f>
        <v/>
      </c>
      <c r="AE316">
        <f>IF(U316="","MISSING",IF(AND(AA316&gt;0,U316/AA316&gt;50),"POSSIBLE_SCALE_ERROR","OK"))</f>
        <v/>
      </c>
    </row>
    <row r="317">
      <c r="A317" t="inlineStr">
        <is>
          <t>T-2017-Q3-025</t>
        </is>
      </c>
      <c r="B317" t="inlineStr">
        <is>
          <t>SLE</t>
        </is>
      </c>
      <c r="C317" t="inlineStr">
        <is>
          <t>Chairperson, Public Service Labour Relations and Employment Board Tribunal</t>
        </is>
      </c>
      <c r="D317" t="inlineStr">
        <is>
          <t>Présidente, Tribunal de la commission des relations de travail et de l’emploi dans la fonction publique</t>
        </is>
      </c>
      <c r="E317" t="inlineStr">
        <is>
          <t>Catherine Ebbs</t>
        </is>
      </c>
      <c r="F317" t="inlineStr">
        <is>
          <t>To attend the annual meeting of Labour Board Chairs and Administrators</t>
        </is>
      </c>
      <c r="G317" t="inlineStr">
        <is>
          <t>Participer à la réunion annuelle des présidents et des administrateurs de Commission des relations de travail</t>
        </is>
      </c>
      <c r="H317" s="1" t="n">
        <v>42996</v>
      </c>
      <c r="I317" s="1" t="n">
        <v>42998</v>
      </c>
      <c r="J317" t="inlineStr">
        <is>
          <t>Wakefield, QC</t>
        </is>
      </c>
      <c r="K317" t="inlineStr">
        <is>
          <t>Wakefield, QC</t>
        </is>
      </c>
      <c r="Q317" t="n">
        <v>32.19</v>
      </c>
      <c r="S317" t="n">
        <v>51.9</v>
      </c>
      <c r="U317" t="n">
        <v>84.09</v>
      </c>
      <c r="X317" t="inlineStr">
        <is>
          <t>atssc-scdata</t>
        </is>
      </c>
      <c r="Y317" t="inlineStr">
        <is>
          <t>Administrative Tribunals Support Service of Canada | Service canadien d'appui aux tribunaux administratifs</t>
        </is>
      </c>
      <c r="Z317" t="n">
        <v>3</v>
      </c>
      <c r="AA317" t="n">
        <v>84.09</v>
      </c>
      <c r="AB317">
        <f>ROUND(U317-AA317,2)</f>
        <v/>
      </c>
      <c r="AC317" t="b">
        <v>0</v>
      </c>
      <c r="AD317">
        <f>IF(U317="","MISSING_TOTAL",IF(ABS(AB317)&lt;=0.01,"OK","CHECK"))</f>
        <v/>
      </c>
      <c r="AE317">
        <f>IF(U317="","MISSING",IF(AND(AA317&gt;0,U317/AA317&gt;50),"POSSIBLE_SCALE_ERROR","OK"))</f>
        <v/>
      </c>
    </row>
    <row r="318">
      <c r="A318" t="inlineStr">
        <is>
          <t>T-2017-Q3-026</t>
        </is>
      </c>
      <c r="B318" t="inlineStr">
        <is>
          <t>SLE</t>
        </is>
      </c>
      <c r="C318" t="inlineStr">
        <is>
          <t>Chairperson, Public Service Labour Relations and Employment Board Tribunal</t>
        </is>
      </c>
      <c r="D318" t="inlineStr">
        <is>
          <t>Présidente, Tribunal de la commission des relations de travail et de l’emploi dans la fonction publique</t>
        </is>
      </c>
      <c r="E318" t="inlineStr">
        <is>
          <t>Catherine Ebbs</t>
        </is>
      </c>
      <c r="F318" t="inlineStr">
        <is>
          <t>Hearing file #561-02-777</t>
        </is>
      </c>
      <c r="G318" t="inlineStr">
        <is>
          <t>Dossier d'audience #561-02-777</t>
        </is>
      </c>
      <c r="H318" s="1" t="n">
        <v>43038</v>
      </c>
      <c r="I318" s="1" t="n">
        <v>43041</v>
      </c>
      <c r="J318" t="inlineStr">
        <is>
          <t>Kingston, ON</t>
        </is>
      </c>
      <c r="K318" t="inlineStr">
        <is>
          <t>Kingston, ON</t>
        </is>
      </c>
      <c r="Q318" t="n">
        <v>275.03</v>
      </c>
      <c r="R318" t="n">
        <v>436.47</v>
      </c>
      <c r="S318" t="n">
        <v>277.9</v>
      </c>
      <c r="U318" t="n">
        <v>989.4</v>
      </c>
      <c r="X318" t="inlineStr">
        <is>
          <t>atssc-scdata</t>
        </is>
      </c>
      <c r="Y318" t="inlineStr">
        <is>
          <t>Administrative Tribunals Support Service of Canada | Service canadien d'appui aux tribunaux administratifs</t>
        </is>
      </c>
      <c r="Z318" t="n">
        <v>4</v>
      </c>
      <c r="AA318" t="n">
        <v>989.4</v>
      </c>
      <c r="AB318">
        <f>ROUND(U318-AA318,2)</f>
        <v/>
      </c>
      <c r="AC318" t="b">
        <v>0</v>
      </c>
      <c r="AD318">
        <f>IF(U318="","MISSING_TOTAL",IF(ABS(AB318)&lt;=0.01,"OK","CHECK"))</f>
        <v/>
      </c>
      <c r="AE318">
        <f>IF(U318="","MISSING",IF(AND(AA318&gt;0,U318/AA318&gt;50),"POSSIBLE_SCALE_ERROR","OK"))</f>
        <v/>
      </c>
    </row>
    <row r="319">
      <c r="A319" t="inlineStr">
        <is>
          <t>T-2017-Q3-041</t>
        </is>
      </c>
      <c r="B319" t="inlineStr">
        <is>
          <t>SLE</t>
        </is>
      </c>
      <c r="C319" t="inlineStr">
        <is>
          <t>Chairperson, Canadian Human Rights Tribunal</t>
        </is>
      </c>
      <c r="D319" t="inlineStr">
        <is>
          <t>Président, Tribunal canadien des droits de la personne</t>
        </is>
      </c>
      <c r="E319" t="inlineStr">
        <is>
          <t>David Thomas</t>
        </is>
      </c>
      <c r="F319" t="inlineStr">
        <is>
          <t>Mediation file #T2212/3417</t>
        </is>
      </c>
      <c r="G319" t="inlineStr">
        <is>
          <t>Médiation dossier #T2212/3417</t>
        </is>
      </c>
      <c r="H319" s="1" t="n">
        <v>42997</v>
      </c>
      <c r="I319" s="1" t="n">
        <v>43001</v>
      </c>
      <c r="J319" t="inlineStr">
        <is>
          <t>Vancouver, CB</t>
        </is>
      </c>
      <c r="K319" t="inlineStr">
        <is>
          <t>Vancouver, BC</t>
        </is>
      </c>
      <c r="P319" t="n">
        <v>966.1799999999999</v>
      </c>
      <c r="Q319" t="n">
        <v>166.62</v>
      </c>
      <c r="R319" t="n">
        <v>600.6799999999999</v>
      </c>
      <c r="S319" t="n">
        <v>295.35</v>
      </c>
      <c r="U319" t="n">
        <v>2028.83</v>
      </c>
      <c r="X319" t="inlineStr">
        <is>
          <t>atssc-scdata</t>
        </is>
      </c>
      <c r="Y319" t="inlineStr">
        <is>
          <t>Administrative Tribunals Support Service of Canada | Service canadien d'appui aux tribunaux administratifs</t>
        </is>
      </c>
      <c r="Z319" t="n">
        <v>5</v>
      </c>
      <c r="AA319" t="n">
        <v>2028.83</v>
      </c>
      <c r="AB319">
        <f>ROUND(U319-AA319,2)</f>
        <v/>
      </c>
      <c r="AC319" t="b">
        <v>0</v>
      </c>
      <c r="AD319">
        <f>IF(U319="","MISSING_TOTAL",IF(ABS(AB319)&lt;=0.01,"OK","CHECK"))</f>
        <v/>
      </c>
      <c r="AE319">
        <f>IF(U319="","MISSING",IF(AND(AA319&gt;0,U319/AA319&gt;50),"POSSIBLE_SCALE_ERROR","OK"))</f>
        <v/>
      </c>
    </row>
    <row r="320">
      <c r="A320" t="inlineStr">
        <is>
          <t>T-2017-Q3-027</t>
        </is>
      </c>
      <c r="B320" t="inlineStr">
        <is>
          <t>SLE</t>
        </is>
      </c>
      <c r="C320" t="inlineStr">
        <is>
          <t>Executive Director and General Counsel, Secretariat to the Canada Industrial Relations Board</t>
        </is>
      </c>
      <c r="D320" t="inlineStr">
        <is>
          <t>Directrice exécutive et avocate générale, Secrétariat du Conseil canadien des relations industrielles</t>
        </is>
      </c>
      <c r="E320" t="inlineStr">
        <is>
          <t>Sylvie Guilbert</t>
        </is>
      </c>
      <c r="F320" t="inlineStr">
        <is>
          <t>To attend a meeting of the Association of Labour Relations Agencies</t>
        </is>
      </c>
      <c r="G320" t="inlineStr">
        <is>
          <t>Participer à une rencontre de la Association of Labour Relations Agencies</t>
        </is>
      </c>
      <c r="H320" s="1" t="n">
        <v>42937</v>
      </c>
      <c r="I320" s="1" t="n">
        <v>42942</v>
      </c>
      <c r="J320" t="inlineStr">
        <is>
          <t>Portland, Oregon</t>
        </is>
      </c>
      <c r="K320" t="inlineStr">
        <is>
          <t>Portland, Oregon</t>
        </is>
      </c>
      <c r="P320" t="n">
        <v>1051.73</v>
      </c>
      <c r="Q320" t="n">
        <v>172.56</v>
      </c>
      <c r="R320" t="n">
        <v>1583.45</v>
      </c>
      <c r="S320" t="n">
        <v>485.76</v>
      </c>
      <c r="U320" t="n">
        <v>3293.5</v>
      </c>
      <c r="X320" t="inlineStr">
        <is>
          <t>atssc-scdata</t>
        </is>
      </c>
      <c r="Y320" t="inlineStr">
        <is>
          <t>Administrative Tribunals Support Service of Canada | Service canadien d'appui aux tribunaux administratifs</t>
        </is>
      </c>
      <c r="Z320" t="n">
        <v>6</v>
      </c>
      <c r="AA320" t="n">
        <v>3293.5</v>
      </c>
      <c r="AB320">
        <f>ROUND(U320-AA320,2)</f>
        <v/>
      </c>
      <c r="AC320" t="b">
        <v>0</v>
      </c>
      <c r="AD320">
        <f>IF(U320="","MISSING_TOTAL",IF(ABS(AB320)&lt;=0.01,"OK","CHECK"))</f>
        <v/>
      </c>
      <c r="AE320">
        <f>IF(U320="","MISSING",IF(AND(AA320&gt;0,U320/AA320&gt;50),"POSSIBLE_SCALE_ERROR","OK"))</f>
        <v/>
      </c>
    </row>
    <row r="321">
      <c r="A321" t="inlineStr">
        <is>
          <t>T-2017-Q3-028</t>
        </is>
      </c>
      <c r="B321" t="inlineStr">
        <is>
          <t>SLE</t>
        </is>
      </c>
      <c r="C321" t="inlineStr">
        <is>
          <t>Executive Director and General Counsel, Secretariat to the Canada Industrial Relations Board</t>
        </is>
      </c>
      <c r="D321" t="inlineStr">
        <is>
          <t>Directrice exécutive et avocate générale, Secrétariat du Conseil canadien des relations industrielles</t>
        </is>
      </c>
      <c r="E321" t="inlineStr">
        <is>
          <t>Sylvie Guilbert</t>
        </is>
      </c>
      <c r="F321" t="inlineStr">
        <is>
          <t>Preparation for the annual meeting of Labour Board Chairs and Administrators</t>
        </is>
      </c>
      <c r="G321" t="inlineStr">
        <is>
          <t>Préparation de l'assemblée annuelle des présidents et administrateurs des commission des relation du travail</t>
        </is>
      </c>
      <c r="H321" s="1" t="n">
        <v>42968</v>
      </c>
      <c r="I321" s="1" t="n">
        <v>42968</v>
      </c>
      <c r="J321" t="inlineStr">
        <is>
          <t>Wakefield, QC</t>
        </is>
      </c>
      <c r="K321" t="inlineStr">
        <is>
          <t>Wakefield, QC</t>
        </is>
      </c>
      <c r="Q321" t="n">
        <v>38.85</v>
      </c>
      <c r="U321" t="n">
        <v>38.85</v>
      </c>
      <c r="X321" t="inlineStr">
        <is>
          <t>atssc-scdata</t>
        </is>
      </c>
      <c r="Y321" t="inlineStr">
        <is>
          <t>Administrative Tribunals Support Service of Canada | Service canadien d'appui aux tribunaux administratifs</t>
        </is>
      </c>
      <c r="Z321" t="n">
        <v>1</v>
      </c>
      <c r="AA321" t="n">
        <v>38.85</v>
      </c>
      <c r="AB321">
        <f>ROUND(U321-AA321,2)</f>
        <v/>
      </c>
      <c r="AC321" t="b">
        <v>0</v>
      </c>
      <c r="AD321">
        <f>IF(U321="","MISSING_TOTAL",IF(ABS(AB321)&lt;=0.01,"OK","CHECK"))</f>
        <v/>
      </c>
      <c r="AE321">
        <f>IF(U321="","MISSING",IF(AND(AA321&gt;0,U321/AA321&gt;50),"POSSIBLE_SCALE_ERROR","OK"))</f>
        <v/>
      </c>
    </row>
    <row r="322">
      <c r="A322" t="inlineStr">
        <is>
          <t>T-2017-Q3-029</t>
        </is>
      </c>
      <c r="B322" t="inlineStr">
        <is>
          <t>SLE</t>
        </is>
      </c>
      <c r="C322" t="inlineStr">
        <is>
          <t>Executive Director and General Counsel, Secretariat to the Canada Industrial Relations Board</t>
        </is>
      </c>
      <c r="D322" t="inlineStr">
        <is>
          <t>Directrice exécutive et avocate générale, Secrétariat du Conseil canadien des relations industrielles</t>
        </is>
      </c>
      <c r="E322" t="inlineStr">
        <is>
          <t>Sylvie Guilbert</t>
        </is>
      </c>
      <c r="F322" t="inlineStr">
        <is>
          <t>To attend the annual meeting of Labour Board Chairs and Administrators</t>
        </is>
      </c>
      <c r="G322" t="inlineStr">
        <is>
          <t>Participer à la réunion annuelle des présidents et des administrateurs de Commission des relations de travail</t>
        </is>
      </c>
      <c r="H322" s="1" t="n">
        <v>42996</v>
      </c>
      <c r="I322" s="1" t="n">
        <v>42998</v>
      </c>
      <c r="J322" t="inlineStr">
        <is>
          <t>Wakefield, QC</t>
        </is>
      </c>
      <c r="K322" t="inlineStr">
        <is>
          <t>Wakefield, QC</t>
        </is>
      </c>
      <c r="Q322" t="n">
        <v>38.85</v>
      </c>
      <c r="R322" t="n">
        <v>487.14</v>
      </c>
      <c r="S322" t="n">
        <v>214.2</v>
      </c>
      <c r="U322" t="n">
        <v>740.1900000000001</v>
      </c>
      <c r="X322" t="inlineStr">
        <is>
          <t>atssc-scdata</t>
        </is>
      </c>
      <c r="Y322" t="inlineStr">
        <is>
          <t>Administrative Tribunals Support Service of Canada | Service canadien d'appui aux tribunaux administratifs</t>
        </is>
      </c>
      <c r="Z322" t="n">
        <v>3</v>
      </c>
      <c r="AA322" t="n">
        <v>740.1900000000001</v>
      </c>
      <c r="AB322">
        <f>ROUND(U322-AA322,2)</f>
        <v/>
      </c>
      <c r="AC322" t="b">
        <v>0</v>
      </c>
      <c r="AD322">
        <f>IF(U322="","MISSING_TOTAL",IF(ABS(AB322)&lt;=0.01,"OK","CHECK"))</f>
        <v/>
      </c>
      <c r="AE322">
        <f>IF(U322="","MISSING",IF(AND(AA322&gt;0,U322/AA322&gt;50),"POSSIBLE_SCALE_ERROR","OK"))</f>
        <v/>
      </c>
    </row>
    <row r="323">
      <c r="A323" t="inlineStr">
        <is>
          <t>T-2017-Q3-030</t>
        </is>
      </c>
      <c r="B323" t="inlineStr">
        <is>
          <t>SLE</t>
        </is>
      </c>
      <c r="C323" t="inlineStr">
        <is>
          <t>Executive Director and General Counsel, Secretariat to the Canada Industrial Relations Board</t>
        </is>
      </c>
      <c r="D323" t="inlineStr">
        <is>
          <t>Directrice exécutive et avocate générale, Secrétariat du Conseil canadien des relations industrielles</t>
        </is>
      </c>
      <c r="E323" t="inlineStr">
        <is>
          <t>Sylvie Guilbert</t>
        </is>
      </c>
      <c r="F323" t="inlineStr">
        <is>
          <t>Regional Interviews</t>
        </is>
      </c>
      <c r="G323" t="inlineStr">
        <is>
          <t>Entrevues au bureau régional</t>
        </is>
      </c>
      <c r="H323" s="1" t="n">
        <v>43010</v>
      </c>
      <c r="I323" s="1" t="n">
        <v>43013</v>
      </c>
      <c r="J323" t="inlineStr">
        <is>
          <t>Vancouver, CB</t>
        </is>
      </c>
      <c r="K323" t="inlineStr">
        <is>
          <t>Vancouver, BC</t>
        </is>
      </c>
      <c r="P323" t="n">
        <v>1094.42</v>
      </c>
      <c r="Q323" t="n">
        <v>174.9</v>
      </c>
      <c r="R323" t="n">
        <v>793.14</v>
      </c>
      <c r="S323" t="n">
        <v>347.85</v>
      </c>
      <c r="U323" t="n">
        <v>2410.31</v>
      </c>
      <c r="X323" t="inlineStr">
        <is>
          <t>atssc-scdata</t>
        </is>
      </c>
      <c r="Y323" t="inlineStr">
        <is>
          <t>Administrative Tribunals Support Service of Canada | Service canadien d'appui aux tribunaux administratifs</t>
        </is>
      </c>
      <c r="Z323" t="n">
        <v>4</v>
      </c>
      <c r="AA323" t="n">
        <v>2410.31</v>
      </c>
      <c r="AB323">
        <f>ROUND(U323-AA323,2)</f>
        <v/>
      </c>
      <c r="AC323" t="b">
        <v>0</v>
      </c>
      <c r="AD323">
        <f>IF(U323="","MISSING_TOTAL",IF(ABS(AB323)&lt;=0.01,"OK","CHECK"))</f>
        <v/>
      </c>
      <c r="AE323">
        <f>IF(U323="","MISSING",IF(AND(AA323&gt;0,U323/AA323&gt;50),"POSSIBLE_SCALE_ERROR","OK"))</f>
        <v/>
      </c>
    </row>
    <row r="324">
      <c r="A324" t="inlineStr">
        <is>
          <t>T-2017-Q3-038</t>
        </is>
      </c>
      <c r="B324" t="inlineStr">
        <is>
          <t>SLE</t>
        </is>
      </c>
      <c r="C324" t="inlineStr">
        <is>
          <t>Chief Administrator, Administrative Tribunals Support Service of Canada</t>
        </is>
      </c>
      <c r="D324" t="inlineStr">
        <is>
          <t>Administrateur en chef, Service canadien d'appui aux Tribunaux Administratifs</t>
        </is>
      </c>
      <c r="E324" t="inlineStr">
        <is>
          <t>Marie-France Pelletier</t>
        </is>
      </c>
      <c r="F324" t="inlineStr">
        <is>
          <t>Meetings with regional office and  external stakeholders</t>
        </is>
      </c>
      <c r="G324" t="inlineStr">
        <is>
          <t>Rencontres au bureau régional et avec des intervenants externes</t>
        </is>
      </c>
      <c r="H324" s="1" t="n">
        <v>42955</v>
      </c>
      <c r="I324" s="1" t="n">
        <v>42955</v>
      </c>
      <c r="J324" t="inlineStr">
        <is>
          <t>Montréal, QC</t>
        </is>
      </c>
      <c r="K324" t="inlineStr">
        <is>
          <t>Montreal, QC</t>
        </is>
      </c>
      <c r="Q324" t="n">
        <v>314.73</v>
      </c>
      <c r="S324" t="n">
        <v>18.05</v>
      </c>
      <c r="U324" t="n">
        <v>332.78</v>
      </c>
      <c r="X324" t="inlineStr">
        <is>
          <t>atssc-scdata</t>
        </is>
      </c>
      <c r="Y324" t="inlineStr">
        <is>
          <t>Administrative Tribunals Support Service of Canada | Service canadien d'appui aux tribunaux administratifs</t>
        </is>
      </c>
      <c r="Z324" t="n">
        <v>1</v>
      </c>
      <c r="AA324" t="n">
        <v>332.78</v>
      </c>
      <c r="AB324">
        <f>ROUND(U324-AA324,2)</f>
        <v/>
      </c>
      <c r="AC324" t="b">
        <v>0</v>
      </c>
      <c r="AD324">
        <f>IF(U324="","MISSING_TOTAL",IF(ABS(AB324)&lt;=0.01,"OK","CHECK"))</f>
        <v/>
      </c>
      <c r="AE324">
        <f>IF(U324="","MISSING",IF(AND(AA324&gt;0,U324/AA324&gt;50),"POSSIBLE_SCALE_ERROR","OK"))</f>
        <v/>
      </c>
    </row>
    <row r="325">
      <c r="A325" t="inlineStr">
        <is>
          <t>T-2017-Q3-031</t>
        </is>
      </c>
      <c r="B325" t="inlineStr">
        <is>
          <t>SLE</t>
        </is>
      </c>
      <c r="C325" t="inlineStr">
        <is>
          <t>Executive Director and General Counsel, Secretariat to the Canada Industrial Relations Board</t>
        </is>
      </c>
      <c r="D325" t="inlineStr">
        <is>
          <t>Directrice exécutive et avocate générale, Secrétariat du Conseil canadien des relations industrielles</t>
        </is>
      </c>
      <c r="E325" t="inlineStr">
        <is>
          <t>Sylvie Guilbert</t>
        </is>
      </c>
      <c r="F325" t="inlineStr">
        <is>
          <t>To attend a meeting of the Association of Labour Relations Agencies</t>
        </is>
      </c>
      <c r="G325" t="inlineStr">
        <is>
          <t>Participer à une rencontre de la Association of Labour Relations Agencies</t>
        </is>
      </c>
      <c r="H325" s="1" t="n">
        <v>43020</v>
      </c>
      <c r="I325" s="1" t="n">
        <v>43024</v>
      </c>
      <c r="J325" t="inlineStr">
        <is>
          <t>Montréal, QC</t>
        </is>
      </c>
      <c r="K325" t="inlineStr">
        <is>
          <t>Montréal, QC</t>
        </is>
      </c>
      <c r="Q325" t="n">
        <v>203.05</v>
      </c>
      <c r="R325" t="n">
        <v>710.46</v>
      </c>
      <c r="S325" t="n">
        <v>249.25</v>
      </c>
      <c r="U325" t="n">
        <v>1162.76</v>
      </c>
      <c r="X325" t="inlineStr">
        <is>
          <t>atssc-scdata</t>
        </is>
      </c>
      <c r="Y325" t="inlineStr">
        <is>
          <t>Administrative Tribunals Support Service of Canada | Service canadien d'appui aux tribunaux administratifs</t>
        </is>
      </c>
      <c r="Z325" t="n">
        <v>5</v>
      </c>
      <c r="AA325" t="n">
        <v>1162.76</v>
      </c>
      <c r="AB325">
        <f>ROUND(U325-AA325,2)</f>
        <v/>
      </c>
      <c r="AC325" t="b">
        <v>0</v>
      </c>
      <c r="AD325">
        <f>IF(U325="","MISSING_TOTAL",IF(ABS(AB325)&lt;=0.01,"OK","CHECK"))</f>
        <v/>
      </c>
      <c r="AE325">
        <f>IF(U325="","MISSING",IF(AND(AA325&gt;0,U325/AA325&gt;50),"POSSIBLE_SCALE_ERROR","OK"))</f>
        <v/>
      </c>
    </row>
    <row r="326">
      <c r="A326" t="inlineStr">
        <is>
          <t>T-2017-Q3-032</t>
        </is>
      </c>
      <c r="B326" t="inlineStr">
        <is>
          <t>SLE</t>
        </is>
      </c>
      <c r="C326" t="inlineStr">
        <is>
          <t>Chairperson, Canadian Cultural Property Export Review Board</t>
        </is>
      </c>
      <c r="D326" t="inlineStr">
        <is>
          <t>Présidente, Commission canadienne d’examen des exportations de biens culturels</t>
        </is>
      </c>
      <c r="E326" t="inlineStr">
        <is>
          <t>Sharilyn Ingram</t>
        </is>
      </c>
      <c r="F326" t="inlineStr">
        <is>
          <t>Participate an On camera interview at CBC Hamilton</t>
        </is>
      </c>
      <c r="G326" t="inlineStr">
        <is>
          <t>Participer à une entrevue télévisée de CBC Hamilton</t>
        </is>
      </c>
      <c r="H326" s="1" t="n">
        <v>42921</v>
      </c>
      <c r="I326" s="1" t="n">
        <v>42921</v>
      </c>
      <c r="J326" t="inlineStr">
        <is>
          <t>Hamilton, ON</t>
        </is>
      </c>
      <c r="K326" t="inlineStr">
        <is>
          <t>Hamilton, ON</t>
        </is>
      </c>
      <c r="Q326" t="n">
        <v>34.96</v>
      </c>
      <c r="U326" t="n">
        <v>34.96</v>
      </c>
      <c r="X326" t="inlineStr">
        <is>
          <t>atssc-scdata</t>
        </is>
      </c>
      <c r="Y326" t="inlineStr">
        <is>
          <t>Administrative Tribunals Support Service of Canada | Service canadien d'appui aux tribunaux administratifs</t>
        </is>
      </c>
      <c r="Z326" t="n">
        <v>1</v>
      </c>
      <c r="AA326" t="n">
        <v>34.96</v>
      </c>
      <c r="AB326">
        <f>ROUND(U326-AA326,2)</f>
        <v/>
      </c>
      <c r="AC326" t="b">
        <v>0</v>
      </c>
      <c r="AD326">
        <f>IF(U326="","MISSING_TOTAL",IF(ABS(AB326)&lt;=0.01,"OK","CHECK"))</f>
        <v/>
      </c>
      <c r="AE326">
        <f>IF(U326="","MISSING",IF(AND(AA326&gt;0,U326/AA326&gt;50),"POSSIBLE_SCALE_ERROR","OK"))</f>
        <v/>
      </c>
    </row>
    <row r="327">
      <c r="A327" t="inlineStr">
        <is>
          <t>T-2017-Q3-033</t>
        </is>
      </c>
      <c r="B327" t="inlineStr">
        <is>
          <t>SLE</t>
        </is>
      </c>
      <c r="C327" t="inlineStr">
        <is>
          <t>Chairperson, Canadian Cultural Property Export Review Board</t>
        </is>
      </c>
      <c r="D327" t="inlineStr">
        <is>
          <t>Présidente, Commission canadienne d’examen des exportations de biens culturels</t>
        </is>
      </c>
      <c r="E327" t="inlineStr">
        <is>
          <t>Sharilyn Ingram</t>
        </is>
      </c>
      <c r="F327" t="inlineStr">
        <is>
          <t>Attend the preparation day of  the CCPERB meeting and attend meeting selection process for new member</t>
        </is>
      </c>
      <c r="G327" t="inlineStr">
        <is>
          <t>Assister à la journée préparatoire de la réunion de la CCEEBC et participer à une rencontre sur le processus de sélection d'un nouveau membre</t>
        </is>
      </c>
      <c r="H327" s="1" t="n">
        <v>42977</v>
      </c>
      <c r="I327" s="1" t="n">
        <v>42979</v>
      </c>
      <c r="J327" t="inlineStr">
        <is>
          <t>Gatineau QC, Ottawa, ON</t>
        </is>
      </c>
      <c r="K327" t="inlineStr">
        <is>
          <t>Gatineau QC, Ottawa, ON</t>
        </is>
      </c>
      <c r="Q327" t="n">
        <v>640.95</v>
      </c>
      <c r="R327" t="n">
        <v>402.24</v>
      </c>
      <c r="S327" t="n">
        <v>232.25</v>
      </c>
      <c r="U327" t="n">
        <v>1275.44</v>
      </c>
      <c r="X327" t="inlineStr">
        <is>
          <t>atssc-scdata</t>
        </is>
      </c>
      <c r="Y327" t="inlineStr">
        <is>
          <t>Administrative Tribunals Support Service of Canada | Service canadien d'appui aux tribunaux administratifs</t>
        </is>
      </c>
      <c r="Z327" t="n">
        <v>3</v>
      </c>
      <c r="AA327" t="n">
        <v>1275.44</v>
      </c>
      <c r="AB327">
        <f>ROUND(U327-AA327,2)</f>
        <v/>
      </c>
      <c r="AC327" t="b">
        <v>0</v>
      </c>
      <c r="AD327">
        <f>IF(U327="","MISSING_TOTAL",IF(ABS(AB327)&lt;=0.01,"OK","CHECK"))</f>
        <v/>
      </c>
      <c r="AE327">
        <f>IF(U327="","MISSING",IF(AND(AA327&gt;0,U327/AA327&gt;50),"POSSIBLE_SCALE_ERROR","OK"))</f>
        <v/>
      </c>
    </row>
    <row r="328">
      <c r="A328" t="inlineStr">
        <is>
          <t>T-2017-Q3-034</t>
        </is>
      </c>
      <c r="B328" t="inlineStr">
        <is>
          <t>SLE</t>
        </is>
      </c>
      <c r="C328" t="inlineStr">
        <is>
          <t>Chairperson, Canadian Cultural Property Export Review Board</t>
        </is>
      </c>
      <c r="D328" t="inlineStr">
        <is>
          <t>Présidente, Commission canadienne d’examen des exportations de biens culturels</t>
        </is>
      </c>
      <c r="E328" t="inlineStr">
        <is>
          <t>Sharilyn Ingram</t>
        </is>
      </c>
      <c r="F328" t="inlineStr">
        <is>
          <t>Attend the CCPERB meeting</t>
        </is>
      </c>
      <c r="G328" t="inlineStr">
        <is>
          <t>Assister à la réunion de la CCEEBC</t>
        </is>
      </c>
      <c r="H328" s="1" t="n">
        <v>42983</v>
      </c>
      <c r="I328" s="1" t="n">
        <v>42986</v>
      </c>
      <c r="J328" t="inlineStr">
        <is>
          <t>Ottawa, ON</t>
        </is>
      </c>
      <c r="K328" t="inlineStr">
        <is>
          <t>Ottawa, ON</t>
        </is>
      </c>
      <c r="P328" t="n">
        <v>415.28</v>
      </c>
      <c r="Q328" t="n">
        <v>228.26</v>
      </c>
      <c r="R328" t="n">
        <v>572.64</v>
      </c>
      <c r="S328" t="n">
        <v>376.65</v>
      </c>
      <c r="U328" t="n">
        <v>1592.83</v>
      </c>
      <c r="X328" t="inlineStr">
        <is>
          <t>atssc-scdata</t>
        </is>
      </c>
      <c r="Y328" t="inlineStr">
        <is>
          <t>Administrative Tribunals Support Service of Canada | Service canadien d'appui aux tribunaux administratifs</t>
        </is>
      </c>
      <c r="Z328" t="n">
        <v>4</v>
      </c>
      <c r="AA328" t="n">
        <v>1592.83</v>
      </c>
      <c r="AB328">
        <f>ROUND(U328-AA328,2)</f>
        <v/>
      </c>
      <c r="AC328" t="b">
        <v>0</v>
      </c>
      <c r="AD328">
        <f>IF(U328="","MISSING_TOTAL",IF(ABS(AB328)&lt;=0.01,"OK","CHECK"))</f>
        <v/>
      </c>
      <c r="AE328">
        <f>IF(U328="","MISSING",IF(AND(AA328&gt;0,U328/AA328&gt;50),"POSSIBLE_SCALE_ERROR","OK"))</f>
        <v/>
      </c>
    </row>
    <row r="329">
      <c r="A329" t="inlineStr">
        <is>
          <t>T-2017-Q3-035</t>
        </is>
      </c>
      <c r="B329" t="inlineStr">
        <is>
          <t>SLE</t>
        </is>
      </c>
      <c r="C329" t="inlineStr">
        <is>
          <t>Chairperson, Canadian Cultural Property Export Review Board</t>
        </is>
      </c>
      <c r="D329" t="inlineStr">
        <is>
          <t>Présidente, Commission canadienne d’examen des exportations de biens culturels</t>
        </is>
      </c>
      <c r="E329" t="inlineStr">
        <is>
          <t>Sharilyn Ingram</t>
        </is>
      </c>
      <c r="F329" t="inlineStr">
        <is>
          <t>To attend the CCPERB selection process</t>
        </is>
      </c>
      <c r="G329" t="inlineStr">
        <is>
          <t>Assister au processus de sélection de la CCEEBC</t>
        </is>
      </c>
      <c r="H329" s="1" t="n">
        <v>43025</v>
      </c>
      <c r="I329" s="1" t="n">
        <v>43033</v>
      </c>
      <c r="J329" t="inlineStr">
        <is>
          <t>Ottawa, ON</t>
        </is>
      </c>
      <c r="K329" t="inlineStr">
        <is>
          <t>Ottawa, ON</t>
        </is>
      </c>
      <c r="P329" t="n">
        <v>504.6</v>
      </c>
      <c r="Q329" t="n">
        <v>238.26</v>
      </c>
      <c r="R329" t="n">
        <v>1527.04</v>
      </c>
      <c r="S329" t="n">
        <v>781.8</v>
      </c>
      <c r="U329" t="n">
        <v>3051.7</v>
      </c>
      <c r="X329" t="inlineStr">
        <is>
          <t>atssc-scdata</t>
        </is>
      </c>
      <c r="Y329" t="inlineStr">
        <is>
          <t>Administrative Tribunals Support Service of Canada | Service canadien d'appui aux tribunaux administratifs</t>
        </is>
      </c>
      <c r="Z329" t="n">
        <v>9</v>
      </c>
      <c r="AA329" t="n">
        <v>3051.7</v>
      </c>
      <c r="AB329">
        <f>ROUND(U329-AA329,2)</f>
        <v/>
      </c>
      <c r="AC329" t="b">
        <v>0</v>
      </c>
      <c r="AD329">
        <f>IF(U329="","MISSING_TOTAL",IF(ABS(AB329)&lt;=0.01,"OK","CHECK"))</f>
        <v/>
      </c>
      <c r="AE329">
        <f>IF(U329="","MISSING",IF(AND(AA329&gt;0,U329/AA329&gt;50),"POSSIBLE_SCALE_ERROR","OK"))</f>
        <v/>
      </c>
    </row>
    <row r="330">
      <c r="A330" t="inlineStr">
        <is>
          <t>T-2017-Q3-036</t>
        </is>
      </c>
      <c r="B330" t="inlineStr">
        <is>
          <t>SLE</t>
        </is>
      </c>
      <c r="C330" t="inlineStr">
        <is>
          <t>Chairperson, Canadian Cultural Property Export Review Board</t>
        </is>
      </c>
      <c r="D330" t="inlineStr">
        <is>
          <t>Présidente, Commission canadienne d’examen des exportations de biens culturels</t>
        </is>
      </c>
      <c r="E330" t="inlineStr">
        <is>
          <t>Sharilyn Ingram</t>
        </is>
      </c>
      <c r="F330" t="inlineStr">
        <is>
          <t>To attend the Toronto Art Fair</t>
        </is>
      </c>
      <c r="G330" t="inlineStr">
        <is>
          <t>Assister à la foire artistique internationale de Toronto</t>
        </is>
      </c>
      <c r="H330" s="1" t="n">
        <v>43035</v>
      </c>
      <c r="I330" s="1" t="n">
        <v>43036</v>
      </c>
      <c r="J330" t="inlineStr">
        <is>
          <t>Toronto, ON</t>
        </is>
      </c>
      <c r="K330" t="inlineStr">
        <is>
          <t>Toronto, ON</t>
        </is>
      </c>
      <c r="Q330" t="n">
        <v>45.67</v>
      </c>
      <c r="R330" t="n">
        <v>214.61</v>
      </c>
      <c r="S330" t="n">
        <v>186.2</v>
      </c>
      <c r="U330" t="n">
        <v>446.48</v>
      </c>
      <c r="X330" t="inlineStr">
        <is>
          <t>atssc-scdata</t>
        </is>
      </c>
      <c r="Y330" t="inlineStr">
        <is>
          <t>Administrative Tribunals Support Service of Canada | Service canadien d'appui aux tribunaux administratifs</t>
        </is>
      </c>
      <c r="Z330" t="n">
        <v>2</v>
      </c>
      <c r="AA330" t="n">
        <v>446.48</v>
      </c>
      <c r="AB330">
        <f>ROUND(U330-AA330,2)</f>
        <v/>
      </c>
      <c r="AC330" t="b">
        <v>0</v>
      </c>
      <c r="AD330">
        <f>IF(U330="","MISSING_TOTAL",IF(ABS(AB330)&lt;=0.01,"OK","CHECK"))</f>
        <v/>
      </c>
      <c r="AE330">
        <f>IF(U330="","MISSING",IF(AND(AA330&gt;0,U330/AA330&gt;50),"POSSIBLE_SCALE_ERROR","OK"))</f>
        <v/>
      </c>
    </row>
    <row r="331">
      <c r="A331" t="inlineStr">
        <is>
          <t>T-2017-Q3-037</t>
        </is>
      </c>
      <c r="B331" t="inlineStr">
        <is>
          <t>SLE</t>
        </is>
      </c>
      <c r="C331" t="inlineStr">
        <is>
          <t>Chairperson, Canadian Cultural Property Export Review Board</t>
        </is>
      </c>
      <c r="D331" t="inlineStr">
        <is>
          <t>Présidente, Commission canadienne d’examen des exportations de biens culturels</t>
        </is>
      </c>
      <c r="E331" t="inlineStr">
        <is>
          <t>Sharilyn Ingram</t>
        </is>
      </c>
      <c r="F331" t="inlineStr">
        <is>
          <t>To attend the orientation session for heads of federal administrative tribunals</t>
        </is>
      </c>
      <c r="G331" t="inlineStr">
        <is>
          <t>Assister à la séance d'orientation des dirigeants des tribunaux administratifs fédéraux</t>
        </is>
      </c>
      <c r="H331" s="1" t="n">
        <v>43044</v>
      </c>
      <c r="I331" s="1" t="n">
        <v>43046</v>
      </c>
      <c r="J331" t="inlineStr">
        <is>
          <t>Ottawa, ON</t>
        </is>
      </c>
      <c r="K331" t="inlineStr">
        <is>
          <t>Ottawa, ON</t>
        </is>
      </c>
      <c r="P331" t="n">
        <v>600.65</v>
      </c>
      <c r="Q331" t="n">
        <v>236.26</v>
      </c>
      <c r="R331" t="n">
        <v>381.76</v>
      </c>
      <c r="S331" t="n">
        <v>288.85</v>
      </c>
      <c r="U331" t="n">
        <v>1507.52</v>
      </c>
      <c r="X331" t="inlineStr">
        <is>
          <t>atssc-scdata</t>
        </is>
      </c>
      <c r="Y331" t="inlineStr">
        <is>
          <t>Administrative Tribunals Support Service of Canada | Service canadien d'appui aux tribunaux administratifs</t>
        </is>
      </c>
      <c r="Z331" t="n">
        <v>3</v>
      </c>
      <c r="AA331" t="n">
        <v>1507.52</v>
      </c>
      <c r="AB331">
        <f>ROUND(U331-AA331,2)</f>
        <v/>
      </c>
      <c r="AC331" t="b">
        <v>0</v>
      </c>
      <c r="AD331">
        <f>IF(U331="","MISSING_TOTAL",IF(ABS(AB331)&lt;=0.01,"OK","CHECK"))</f>
        <v/>
      </c>
      <c r="AE331">
        <f>IF(U331="","MISSING",IF(AND(AA331&gt;0,U331/AA331&gt;50),"POSSIBLE_SCALE_ERROR","OK"))</f>
        <v/>
      </c>
    </row>
    <row r="332">
      <c r="A332" t="inlineStr">
        <is>
          <t>T-2017-Q3-039</t>
        </is>
      </c>
      <c r="B332" t="inlineStr">
        <is>
          <t>SLE</t>
        </is>
      </c>
      <c r="C332" t="inlineStr">
        <is>
          <t>A/Executive Director and Registrar, Secretariat to the Canadian Human Rights Tribunal</t>
        </is>
      </c>
      <c r="D332" t="inlineStr">
        <is>
          <t>Directeur exécutive et greffière par intérim, Secrétariat du Tribunal Canadien des droits de la personne</t>
        </is>
      </c>
      <c r="E332" t="inlineStr">
        <is>
          <t>Amal Picard</t>
        </is>
      </c>
      <c r="F332" t="inlineStr">
        <is>
          <t>Participate at the advance Alternative Dispute Resolution Workshop</t>
        </is>
      </c>
      <c r="G332" t="inlineStr">
        <is>
          <t>Participer à un atelier de perfectionnement sur les modes alternatifs de résolution des conflits</t>
        </is>
      </c>
      <c r="H332" s="1" t="n">
        <v>43031</v>
      </c>
      <c r="I332" s="1" t="n">
        <v>43036</v>
      </c>
      <c r="J332" t="inlineStr">
        <is>
          <t>Toronto, ON</t>
        </is>
      </c>
      <c r="K332" t="inlineStr">
        <is>
          <t>Toronto, ON</t>
        </is>
      </c>
      <c r="Q332" t="n">
        <v>435.44</v>
      </c>
      <c r="R332" t="n">
        <v>980</v>
      </c>
      <c r="S332" t="n">
        <v>596.8</v>
      </c>
      <c r="U332" t="n">
        <v>2012.24</v>
      </c>
      <c r="X332" t="inlineStr">
        <is>
          <t>atssc-scdata</t>
        </is>
      </c>
      <c r="Y332" t="inlineStr">
        <is>
          <t>Administrative Tribunals Support Service of Canada | Service canadien d'appui aux tribunaux administratifs</t>
        </is>
      </c>
      <c r="Z332" t="n">
        <v>6</v>
      </c>
      <c r="AA332" t="n">
        <v>2012.24</v>
      </c>
      <c r="AB332">
        <f>ROUND(U332-AA332,2)</f>
        <v/>
      </c>
      <c r="AC332" t="b">
        <v>0</v>
      </c>
      <c r="AD332">
        <f>IF(U332="","MISSING_TOTAL",IF(ABS(AB332)&lt;=0.01,"OK","CHECK"))</f>
        <v/>
      </c>
      <c r="AE332">
        <f>IF(U332="","MISSING",IF(AND(AA332&gt;0,U332/AA332&gt;50),"POSSIBLE_SCALE_ERROR","OK"))</f>
        <v/>
      </c>
    </row>
    <row r="333">
      <c r="A333" t="inlineStr">
        <is>
          <t>T-2017-Q3-040</t>
        </is>
      </c>
      <c r="B333" t="inlineStr">
        <is>
          <t>SLE</t>
        </is>
      </c>
      <c r="C333" t="inlineStr">
        <is>
          <t>Chairperson, Canadian Human Rights Tribunal</t>
        </is>
      </c>
      <c r="D333" t="inlineStr">
        <is>
          <t>Président, Tribunal canadien des droits de la personne</t>
        </is>
      </c>
      <c r="E333" t="inlineStr">
        <is>
          <t>David Thomas</t>
        </is>
      </c>
      <c r="F333" t="inlineStr">
        <is>
          <t>Mcgill University Outreach</t>
        </is>
      </c>
      <c r="G333" t="inlineStr">
        <is>
          <t>Discours à l'Université McGill</t>
        </is>
      </c>
      <c r="H333" s="1" t="n">
        <v>42991</v>
      </c>
      <c r="I333" s="1" t="n">
        <v>42992</v>
      </c>
      <c r="J333" t="inlineStr">
        <is>
          <t>Montréal, QC</t>
        </is>
      </c>
      <c r="K333" t="inlineStr">
        <is>
          <t>Montréal, QC</t>
        </is>
      </c>
      <c r="Q333" t="n">
        <v>235.32</v>
      </c>
      <c r="R333" t="n">
        <v>132.09</v>
      </c>
      <c r="S333" t="n">
        <v>115.75</v>
      </c>
      <c r="U333" t="n">
        <v>483.16</v>
      </c>
      <c r="X333" t="inlineStr">
        <is>
          <t>atssc-scdata</t>
        </is>
      </c>
      <c r="Y333" t="inlineStr">
        <is>
          <t>Administrative Tribunals Support Service of Canada | Service canadien d'appui aux tribunaux administratifs</t>
        </is>
      </c>
      <c r="Z333" t="n">
        <v>2</v>
      </c>
      <c r="AA333" t="n">
        <v>483.159999999999</v>
      </c>
      <c r="AB333">
        <f>ROUND(U333-AA333,2)</f>
        <v/>
      </c>
      <c r="AC333" t="b">
        <v>0</v>
      </c>
      <c r="AD333">
        <f>IF(U333="","MISSING_TOTAL",IF(ABS(AB333)&lt;=0.01,"OK","CHECK"))</f>
        <v/>
      </c>
      <c r="AE333">
        <f>IF(U333="","MISSING",IF(AND(AA333&gt;0,U333/AA333&gt;50),"POSSIBLE_SCALE_ERROR","OK"))</f>
        <v/>
      </c>
    </row>
    <row r="334">
      <c r="A334" t="inlineStr">
        <is>
          <t>T-2017-Q3-042</t>
        </is>
      </c>
      <c r="B334" t="inlineStr">
        <is>
          <t>SLE</t>
        </is>
      </c>
      <c r="C334" t="inlineStr">
        <is>
          <t>Chairperson, Canadian Human Rights Tribunal</t>
        </is>
      </c>
      <c r="D334" t="inlineStr">
        <is>
          <t>Président, Tribunal canadien des droits de la personne</t>
        </is>
      </c>
      <c r="E334" t="inlineStr">
        <is>
          <t>David Thomas</t>
        </is>
      </c>
      <c r="F334" t="inlineStr">
        <is>
          <t>Speaking Engagement in the Office of the Ombudsmen</t>
        </is>
      </c>
      <c r="G334" t="inlineStr">
        <is>
          <t>Allocution au Bureau de l'Ombudsman</t>
        </is>
      </c>
      <c r="H334" s="1" t="n">
        <v>43026</v>
      </c>
      <c r="I334" s="1" t="n">
        <v>43028</v>
      </c>
      <c r="J334" t="inlineStr">
        <is>
          <t>Victoria, CB</t>
        </is>
      </c>
      <c r="K334" t="inlineStr">
        <is>
          <t>Victoria, BC</t>
        </is>
      </c>
      <c r="P334" t="n">
        <v>1374.46</v>
      </c>
      <c r="Q334" t="n">
        <v>138</v>
      </c>
      <c r="R334" t="n">
        <v>50</v>
      </c>
      <c r="S334" t="n">
        <v>156.35</v>
      </c>
      <c r="U334" t="n">
        <v>1718.81</v>
      </c>
      <c r="X334" t="inlineStr">
        <is>
          <t>atssc-scdata</t>
        </is>
      </c>
      <c r="Y334" t="inlineStr">
        <is>
          <t>Administrative Tribunals Support Service of Canada | Service canadien d'appui aux tribunaux administratifs</t>
        </is>
      </c>
      <c r="Z334" t="n">
        <v>3</v>
      </c>
      <c r="AA334" t="n">
        <v>1718.81</v>
      </c>
      <c r="AB334">
        <f>ROUND(U334-AA334,2)</f>
        <v/>
      </c>
      <c r="AC334" t="b">
        <v>0</v>
      </c>
      <c r="AD334">
        <f>IF(U334="","MISSING_TOTAL",IF(ABS(AB334)&lt;=0.01,"OK","CHECK"))</f>
        <v/>
      </c>
      <c r="AE334">
        <f>IF(U334="","MISSING",IF(AND(AA334&gt;0,U334/AA334&gt;50),"POSSIBLE_SCALE_ERROR","OK"))</f>
        <v/>
      </c>
    </row>
    <row r="335">
      <c r="A335" t="inlineStr">
        <is>
          <t>T-2017-Q4-001</t>
        </is>
      </c>
      <c r="B335" t="inlineStr">
        <is>
          <t>SLE</t>
        </is>
      </c>
      <c r="C335" t="inlineStr">
        <is>
          <t>A/Chairperson, Canadian International Trade Tribunal</t>
        </is>
      </c>
      <c r="D335" t="inlineStr">
        <is>
          <t>Président par intérim, Tribunal Canadien du commerce extérieur</t>
        </is>
      </c>
      <c r="E335" t="inlineStr">
        <is>
          <t>Jean Bédard</t>
        </is>
      </c>
      <c r="F335" t="inlineStr">
        <is>
          <t>Assist to a presentation - La justice sanspapier, oui c'est possible</t>
        </is>
      </c>
      <c r="G335" t="inlineStr">
        <is>
          <t>Assisté à la présentation- La justice sanspapier, oui c'est possible</t>
        </is>
      </c>
      <c r="H335" s="1" t="n">
        <v>43130</v>
      </c>
      <c r="I335" s="1" t="n">
        <v>43130</v>
      </c>
      <c r="J335" t="inlineStr">
        <is>
          <t>Montréal, QC</t>
        </is>
      </c>
      <c r="K335" t="inlineStr">
        <is>
          <t>Montréal, QC</t>
        </is>
      </c>
      <c r="Q335" t="n">
        <v>302.37</v>
      </c>
      <c r="S335" t="n">
        <v>18.9</v>
      </c>
      <c r="U335" t="n">
        <v>321.27</v>
      </c>
      <c r="X335" t="inlineStr">
        <is>
          <t>atssc-scdata</t>
        </is>
      </c>
      <c r="Y335" t="inlineStr">
        <is>
          <t>Administrative Tribunals Support Service of Canada | Service canadien d'appui aux tribunaux administratifs</t>
        </is>
      </c>
      <c r="Z335" t="n">
        <v>1</v>
      </c>
      <c r="AA335" t="n">
        <v>321.27</v>
      </c>
      <c r="AB335">
        <f>ROUND(U335-AA335,2)</f>
        <v/>
      </c>
      <c r="AC335" t="b">
        <v>0</v>
      </c>
      <c r="AD335">
        <f>IF(U335="","MISSING_TOTAL",IF(ABS(AB335)&lt;=0.01,"OK","CHECK"))</f>
        <v/>
      </c>
      <c r="AE335">
        <f>IF(U335="","MISSING",IF(AND(AA335&gt;0,U335/AA335&gt;50),"POSSIBLE_SCALE_ERROR","OK"))</f>
        <v/>
      </c>
    </row>
    <row r="336">
      <c r="A336" t="inlineStr">
        <is>
          <t>T-2017-Q4-002</t>
        </is>
      </c>
      <c r="B336" t="inlineStr">
        <is>
          <t>SLE</t>
        </is>
      </c>
      <c r="C336" t="inlineStr">
        <is>
          <t>Chairperson, Canada Agricultural Review Tribunal</t>
        </is>
      </c>
      <c r="D336" t="inlineStr">
        <is>
          <t>Président, Commission de révision agricole du Canada</t>
        </is>
      </c>
      <c r="E336" t="inlineStr">
        <is>
          <t>Luc Bélanger</t>
        </is>
      </c>
      <c r="F336" t="inlineStr">
        <is>
          <t>Hearing file CART-1867</t>
        </is>
      </c>
      <c r="G336" t="inlineStr">
        <is>
          <t>Dossier d'audience CRAC-1867</t>
        </is>
      </c>
      <c r="H336" s="1" t="n">
        <v>43068</v>
      </c>
      <c r="I336" s="1" t="n">
        <v>43070</v>
      </c>
      <c r="J336" t="inlineStr">
        <is>
          <t>Regina, SK</t>
        </is>
      </c>
      <c r="K336" t="inlineStr">
        <is>
          <t>Regina, SK</t>
        </is>
      </c>
      <c r="P336" t="n">
        <v>2164.89</v>
      </c>
      <c r="Q336" t="n">
        <v>128.3</v>
      </c>
      <c r="R336" t="n">
        <v>340.7</v>
      </c>
      <c r="S336" t="n">
        <v>270.15</v>
      </c>
      <c r="U336" t="n">
        <v>2904.04</v>
      </c>
      <c r="X336" t="inlineStr">
        <is>
          <t>atssc-scdata</t>
        </is>
      </c>
      <c r="Y336" t="inlineStr">
        <is>
          <t>Administrative Tribunals Support Service of Canada | Service canadien d'appui aux tribunaux administratifs</t>
        </is>
      </c>
      <c r="Z336" t="n">
        <v>3</v>
      </c>
      <c r="AA336" t="n">
        <v>2904.04</v>
      </c>
      <c r="AB336">
        <f>ROUND(U336-AA336,2)</f>
        <v/>
      </c>
      <c r="AC336" t="b">
        <v>0</v>
      </c>
      <c r="AD336">
        <f>IF(U336="","MISSING_TOTAL",IF(ABS(AB336)&lt;=0.01,"OK","CHECK"))</f>
        <v/>
      </c>
      <c r="AE336">
        <f>IF(U336="","MISSING",IF(AND(AA336&gt;0,U336/AA336&gt;50),"POSSIBLE_SCALE_ERROR","OK"))</f>
        <v/>
      </c>
    </row>
    <row r="337">
      <c r="A337" t="inlineStr">
        <is>
          <t>T-2017-Q4-003</t>
        </is>
      </c>
      <c r="B337" t="inlineStr">
        <is>
          <t>SLE</t>
        </is>
      </c>
      <c r="C337" t="inlineStr">
        <is>
          <t>Chairperson, Canada Agricultural Review Tribunal</t>
        </is>
      </c>
      <c r="D337" t="inlineStr">
        <is>
          <t>Président, Commission de révision agricole du Canada</t>
        </is>
      </c>
      <c r="E337" t="inlineStr">
        <is>
          <t>Luc Bélanger</t>
        </is>
      </c>
      <c r="F337" t="inlineStr">
        <is>
          <t>Hearing file CART-1947</t>
        </is>
      </c>
      <c r="G337" t="inlineStr">
        <is>
          <t>Dossier d'audience CRAC-1947</t>
        </is>
      </c>
      <c r="H337" s="1" t="n">
        <v>43080</v>
      </c>
      <c r="I337" s="1" t="n">
        <v>43082</v>
      </c>
      <c r="J337" t="inlineStr">
        <is>
          <t>Niagara Falls, ON</t>
        </is>
      </c>
      <c r="K337" t="inlineStr">
        <is>
          <t>Niagara Falls, ON</t>
        </is>
      </c>
      <c r="Q337" t="n">
        <v>408.95</v>
      </c>
      <c r="R337" t="n">
        <v>397.57</v>
      </c>
      <c r="S337" t="n">
        <v>251.05</v>
      </c>
      <c r="U337" t="n">
        <v>1057.57</v>
      </c>
      <c r="X337" t="inlineStr">
        <is>
          <t>atssc-scdata</t>
        </is>
      </c>
      <c r="Y337" t="inlineStr">
        <is>
          <t>Administrative Tribunals Support Service of Canada | Service canadien d'appui aux tribunaux administratifs</t>
        </is>
      </c>
      <c r="Z337" t="n">
        <v>3</v>
      </c>
      <c r="AA337" t="n">
        <v>1057.57</v>
      </c>
      <c r="AB337">
        <f>ROUND(U337-AA337,2)</f>
        <v/>
      </c>
      <c r="AC337" t="b">
        <v>0</v>
      </c>
      <c r="AD337">
        <f>IF(U337="","MISSING_TOTAL",IF(ABS(AB337)&lt;=0.01,"OK","CHECK"))</f>
        <v/>
      </c>
      <c r="AE337">
        <f>IF(U337="","MISSING",IF(AND(AA337&gt;0,U337/AA337&gt;50),"POSSIBLE_SCALE_ERROR","OK"))</f>
        <v/>
      </c>
    </row>
    <row r="338">
      <c r="A338" t="inlineStr">
        <is>
          <t>T-2017-Q4-004</t>
        </is>
      </c>
      <c r="B338" t="inlineStr">
        <is>
          <t>SLE</t>
        </is>
      </c>
      <c r="C338" t="inlineStr">
        <is>
          <t>Chairperson, Canada Agricultural Review Tribunal</t>
        </is>
      </c>
      <c r="D338" t="inlineStr">
        <is>
          <t>Président, Commission de révision agricole du Canada</t>
        </is>
      </c>
      <c r="E338" t="inlineStr">
        <is>
          <t>Luc Bélanger</t>
        </is>
      </c>
      <c r="F338" t="inlineStr">
        <is>
          <t>Hearing file CART-1959 &amp; CART 1949</t>
        </is>
      </c>
      <c r="G338" t="inlineStr">
        <is>
          <t>Dossier d'audience CRAC-1959 &amp; CRAC-1949</t>
        </is>
      </c>
      <c r="H338" s="1" t="n">
        <v>43117</v>
      </c>
      <c r="I338" s="1" t="n">
        <v>43484</v>
      </c>
      <c r="J338" t="inlineStr">
        <is>
          <t>Toronto, ON</t>
        </is>
      </c>
      <c r="K338" t="inlineStr">
        <is>
          <t>Toronto, ON</t>
        </is>
      </c>
      <c r="Q338" t="n">
        <v>349.25</v>
      </c>
      <c r="R338" t="n">
        <v>575.4</v>
      </c>
      <c r="S338" t="n">
        <v>251.05</v>
      </c>
      <c r="U338" t="n">
        <v>1175.7</v>
      </c>
      <c r="X338" t="inlineStr">
        <is>
          <t>atssc-scdata</t>
        </is>
      </c>
      <c r="Y338" t="inlineStr">
        <is>
          <t>Administrative Tribunals Support Service of Canada | Service canadien d'appui aux tribunaux administratifs</t>
        </is>
      </c>
      <c r="Z338" t="n">
        <v>368</v>
      </c>
      <c r="AA338" t="n">
        <v>1175.7</v>
      </c>
      <c r="AB338">
        <f>ROUND(U338-AA338,2)</f>
        <v/>
      </c>
      <c r="AC338" t="b">
        <v>0</v>
      </c>
      <c r="AD338">
        <f>IF(U338="","MISSING_TOTAL",IF(ABS(AB338)&lt;=0.01,"OK","CHECK"))</f>
        <v/>
      </c>
      <c r="AE338">
        <f>IF(U338="","MISSING",IF(AND(AA338&gt;0,U338/AA338&gt;50),"POSSIBLE_SCALE_ERROR","OK"))</f>
        <v/>
      </c>
    </row>
    <row r="339">
      <c r="A339" t="inlineStr">
        <is>
          <t>T-2017-Q4-005</t>
        </is>
      </c>
      <c r="B339" t="inlineStr">
        <is>
          <t>SLE</t>
        </is>
      </c>
      <c r="C339" t="inlineStr">
        <is>
          <t>Chairperson, Canada Agricultural Review Tribunal</t>
        </is>
      </c>
      <c r="D339" t="inlineStr">
        <is>
          <t>Président, Commission de révision agricole du Canada</t>
        </is>
      </c>
      <c r="E339" t="inlineStr">
        <is>
          <t>Luc Bélanger</t>
        </is>
      </c>
      <c r="F339" t="inlineStr">
        <is>
          <t>Attend a Lafortune Group presentation and meetings.</t>
        </is>
      </c>
      <c r="G339" t="inlineStr">
        <is>
          <t>Assister a une présentation de Lafortune groupe et réunions.</t>
        </is>
      </c>
      <c r="H339" s="1" t="n">
        <v>43130</v>
      </c>
      <c r="I339" s="1" t="n">
        <v>43131</v>
      </c>
      <c r="J339" t="inlineStr">
        <is>
          <t>Montréal, QC</t>
        </is>
      </c>
      <c r="K339" t="inlineStr">
        <is>
          <t>Montréal, QC</t>
        </is>
      </c>
      <c r="Q339" t="n">
        <v>279.94</v>
      </c>
      <c r="R339" t="n">
        <v>196.35</v>
      </c>
      <c r="S339" t="n">
        <v>186.2</v>
      </c>
      <c r="U339" t="n">
        <v>662.49</v>
      </c>
      <c r="X339" t="inlineStr">
        <is>
          <t>atssc-scdata</t>
        </is>
      </c>
      <c r="Y339" t="inlineStr">
        <is>
          <t>Administrative Tribunals Support Service of Canada | Service canadien d'appui aux tribunaux administratifs</t>
        </is>
      </c>
      <c r="Z339" t="n">
        <v>2</v>
      </c>
      <c r="AA339" t="n">
        <v>662.49</v>
      </c>
      <c r="AB339">
        <f>ROUND(U339-AA339,2)</f>
        <v/>
      </c>
      <c r="AC339" t="b">
        <v>0</v>
      </c>
      <c r="AD339">
        <f>IF(U339="","MISSING_TOTAL",IF(ABS(AB339)&lt;=0.01,"OK","CHECK"))</f>
        <v/>
      </c>
      <c r="AE339">
        <f>IF(U339="","MISSING",IF(AND(AA339&gt;0,U339/AA339&gt;50),"POSSIBLE_SCALE_ERROR","OK"))</f>
        <v/>
      </c>
    </row>
    <row r="340">
      <c r="A340" t="inlineStr">
        <is>
          <t>T-2017-Q4-006</t>
        </is>
      </c>
      <c r="B340" t="inlineStr">
        <is>
          <t>SLE</t>
        </is>
      </c>
      <c r="C340" t="inlineStr">
        <is>
          <t>Executive Director, Secretariat to the Canadian Cultural Property Export Review Board</t>
        </is>
      </c>
      <c r="D340" t="inlineStr">
        <is>
          <t>Directrice exécutive, Secrétariat de la Commission canadienne d’examen des exportations de biens culturels</t>
        </is>
      </c>
      <c r="E340" t="inlineStr">
        <is>
          <t>Delphine Bishop</t>
        </is>
      </c>
      <c r="F340" t="inlineStr">
        <is>
          <t>Attend a meeting</t>
        </is>
      </c>
      <c r="G340" t="inlineStr">
        <is>
          <t>Participer à une rencontre</t>
        </is>
      </c>
      <c r="H340" s="1" t="n">
        <v>42993</v>
      </c>
      <c r="I340" s="1" t="n">
        <v>43358</v>
      </c>
      <c r="J340" t="inlineStr">
        <is>
          <t>Ottawa, ON</t>
        </is>
      </c>
      <c r="K340" t="inlineStr">
        <is>
          <t>Ottawa, ON</t>
        </is>
      </c>
      <c r="T340" t="n">
        <v>17.5</v>
      </c>
      <c r="U340" t="n">
        <v>17.5</v>
      </c>
      <c r="X340" t="inlineStr">
        <is>
          <t>atssc-scdata</t>
        </is>
      </c>
      <c r="Y340" t="inlineStr">
        <is>
          <t>Administrative Tribunals Support Service of Canada | Service canadien d'appui aux tribunaux administratifs</t>
        </is>
      </c>
      <c r="Z340" t="n">
        <v>366</v>
      </c>
      <c r="AA340" t="n">
        <v>17.5</v>
      </c>
      <c r="AB340">
        <f>ROUND(U340-AA340,2)</f>
        <v/>
      </c>
      <c r="AC340" t="b">
        <v>0</v>
      </c>
      <c r="AD340">
        <f>IF(U340="","MISSING_TOTAL",IF(ABS(AB340)&lt;=0.01,"OK","CHECK"))</f>
        <v/>
      </c>
      <c r="AE340">
        <f>IF(U340="","MISSING",IF(AND(AA340&gt;0,U340/AA340&gt;50),"POSSIBLE_SCALE_ERROR","OK"))</f>
        <v/>
      </c>
    </row>
    <row r="341">
      <c r="A341" t="inlineStr">
        <is>
          <t>T-2017-Q4-007</t>
        </is>
      </c>
      <c r="B341" t="inlineStr">
        <is>
          <t>SLE</t>
        </is>
      </c>
      <c r="C341" t="inlineStr">
        <is>
          <t>Executive Director, Secretariat to the Canadian Cultural Property Export Review Board</t>
        </is>
      </c>
      <c r="D341" t="inlineStr">
        <is>
          <t>Directrice exécutive, Secrétariat de la Commission canadienne d’examen des exportations de biens culturels</t>
        </is>
      </c>
      <c r="E341" t="inlineStr">
        <is>
          <t>Delphine Bishop</t>
        </is>
      </c>
      <c r="F341" t="inlineStr">
        <is>
          <t>To attend a meeting with executive director</t>
        </is>
      </c>
      <c r="G341" t="inlineStr">
        <is>
          <t>Participer à une rencontre avec un directeur exécutif</t>
        </is>
      </c>
      <c r="H341" s="1" t="n">
        <v>42996</v>
      </c>
      <c r="I341" s="1" t="n">
        <v>42996</v>
      </c>
      <c r="J341" t="inlineStr">
        <is>
          <t>Ottawa, ON</t>
        </is>
      </c>
      <c r="K341" t="inlineStr">
        <is>
          <t>Ottawa, ON</t>
        </is>
      </c>
      <c r="T341" t="n">
        <v>20</v>
      </c>
      <c r="U341" t="n">
        <v>20</v>
      </c>
      <c r="X341" t="inlineStr">
        <is>
          <t>atssc-scdata</t>
        </is>
      </c>
      <c r="Y341" t="inlineStr">
        <is>
          <t>Administrative Tribunals Support Service of Canada | Service canadien d'appui aux tribunaux administratifs</t>
        </is>
      </c>
      <c r="Z341" t="n">
        <v>1</v>
      </c>
      <c r="AA341" t="n">
        <v>20</v>
      </c>
      <c r="AB341">
        <f>ROUND(U341-AA341,2)</f>
        <v/>
      </c>
      <c r="AC341" t="b">
        <v>0</v>
      </c>
      <c r="AD341">
        <f>IF(U341="","MISSING_TOTAL",IF(ABS(AB341)&lt;=0.01,"OK","CHECK"))</f>
        <v/>
      </c>
      <c r="AE341">
        <f>IF(U341="","MISSING",IF(AND(AA341&gt;0,U341/AA341&gt;50),"POSSIBLE_SCALE_ERROR","OK"))</f>
        <v/>
      </c>
    </row>
    <row r="342">
      <c r="A342" t="inlineStr">
        <is>
          <t>T-2017-Q4-008</t>
        </is>
      </c>
      <c r="B342" t="inlineStr">
        <is>
          <t>SLE</t>
        </is>
      </c>
      <c r="C342" t="inlineStr">
        <is>
          <t>Executive Director, Secretariat to the Canadian Cultural Property Export Review Board</t>
        </is>
      </c>
      <c r="D342" t="inlineStr">
        <is>
          <t>Directrice exécutive, Secrétariat de la Commission canadienne d’examen des exportations de biens culturels</t>
        </is>
      </c>
      <c r="E342" t="inlineStr">
        <is>
          <t>Delphine Bishop</t>
        </is>
      </c>
      <c r="F342" t="inlineStr">
        <is>
          <t>Attend a meeting</t>
        </is>
      </c>
      <c r="G342" t="inlineStr">
        <is>
          <t>Participer à une rencontre</t>
        </is>
      </c>
      <c r="H342" s="1" t="n">
        <v>43005</v>
      </c>
      <c r="I342" s="1" t="n">
        <v>43005</v>
      </c>
      <c r="J342" t="inlineStr">
        <is>
          <t>Ottawa, ON</t>
        </is>
      </c>
      <c r="K342" t="inlineStr">
        <is>
          <t>Ottawa, ON</t>
        </is>
      </c>
      <c r="T342" t="n">
        <v>14</v>
      </c>
      <c r="U342" t="n">
        <v>14</v>
      </c>
      <c r="X342" t="inlineStr">
        <is>
          <t>atssc-scdata</t>
        </is>
      </c>
      <c r="Y342" t="inlineStr">
        <is>
          <t>Administrative Tribunals Support Service of Canada | Service canadien d'appui aux tribunaux administratifs</t>
        </is>
      </c>
      <c r="Z342" t="n">
        <v>1</v>
      </c>
      <c r="AA342" t="n">
        <v>14</v>
      </c>
      <c r="AB342">
        <f>ROUND(U342-AA342,2)</f>
        <v/>
      </c>
      <c r="AC342" t="b">
        <v>0</v>
      </c>
      <c r="AD342">
        <f>IF(U342="","MISSING_TOTAL",IF(ABS(AB342)&lt;=0.01,"OK","CHECK"))</f>
        <v/>
      </c>
      <c r="AE342">
        <f>IF(U342="","MISSING",IF(AND(AA342&gt;0,U342/AA342&gt;50),"POSSIBLE_SCALE_ERROR","OK"))</f>
        <v/>
      </c>
    </row>
    <row r="343">
      <c r="A343" t="inlineStr">
        <is>
          <t>T-2017-Q4-009</t>
        </is>
      </c>
      <c r="B343" t="inlineStr">
        <is>
          <t>SLE</t>
        </is>
      </c>
      <c r="C343" t="inlineStr">
        <is>
          <t>Executive Director, Secretariat to the Canadian Cultural Property Export Review Board</t>
        </is>
      </c>
      <c r="D343" t="inlineStr">
        <is>
          <t>Directrice exécutive, Secrétariat de la Commission canadienne d’examen des exportations de biens culturels</t>
        </is>
      </c>
      <c r="E343" t="inlineStr">
        <is>
          <t>Delphine Bishop</t>
        </is>
      </c>
      <c r="F343" t="inlineStr">
        <is>
          <t>Attend a meeting</t>
        </is>
      </c>
      <c r="G343" t="inlineStr">
        <is>
          <t>Participer à une rencontre</t>
        </is>
      </c>
      <c r="H343" s="1" t="n">
        <v>43012</v>
      </c>
      <c r="I343" s="1" t="n">
        <v>43012</v>
      </c>
      <c r="J343" t="inlineStr">
        <is>
          <t>Ottawa, ON</t>
        </is>
      </c>
      <c r="K343" t="inlineStr">
        <is>
          <t>Ottawa, ON</t>
        </is>
      </c>
      <c r="T343" t="n">
        <v>20</v>
      </c>
      <c r="U343" t="n">
        <v>20</v>
      </c>
      <c r="X343" t="inlineStr">
        <is>
          <t>atssc-scdata</t>
        </is>
      </c>
      <c r="Y343" t="inlineStr">
        <is>
          <t>Administrative Tribunals Support Service of Canada | Service canadien d'appui aux tribunaux administratifs</t>
        </is>
      </c>
      <c r="Z343" t="n">
        <v>1</v>
      </c>
      <c r="AA343" t="n">
        <v>20</v>
      </c>
      <c r="AB343">
        <f>ROUND(U343-AA343,2)</f>
        <v/>
      </c>
      <c r="AC343" t="b">
        <v>0</v>
      </c>
      <c r="AD343">
        <f>IF(U343="","MISSING_TOTAL",IF(ABS(AB343)&lt;=0.01,"OK","CHECK"))</f>
        <v/>
      </c>
      <c r="AE343">
        <f>IF(U343="","MISSING",IF(AND(AA343&gt;0,U343/AA343&gt;50),"POSSIBLE_SCALE_ERROR","OK"))</f>
        <v/>
      </c>
    </row>
    <row r="344">
      <c r="A344" t="inlineStr">
        <is>
          <t>T-2017-Q4-010</t>
        </is>
      </c>
      <c r="B344" t="inlineStr">
        <is>
          <t>SLE</t>
        </is>
      </c>
      <c r="C344" t="inlineStr">
        <is>
          <t>Executive Director, Secretariat to the Canadian Cultural Property Export Review Board</t>
        </is>
      </c>
      <c r="D344" t="inlineStr">
        <is>
          <t>Directrice exécutive, Secrétariat de la Commission canadienne d’examen des exportations de biens culturels</t>
        </is>
      </c>
      <c r="E344" t="inlineStr">
        <is>
          <t>Delphine Bishop</t>
        </is>
      </c>
      <c r="F344" t="inlineStr">
        <is>
          <t>Attend a meeting</t>
        </is>
      </c>
      <c r="G344" t="inlineStr">
        <is>
          <t>Participer à une rencontre</t>
        </is>
      </c>
      <c r="H344" s="1" t="n">
        <v>43018</v>
      </c>
      <c r="I344" s="1" t="n">
        <v>43018</v>
      </c>
      <c r="J344" t="inlineStr">
        <is>
          <t>Ottawa, ON</t>
        </is>
      </c>
      <c r="K344" t="inlineStr">
        <is>
          <t>Ottawa, ON</t>
        </is>
      </c>
      <c r="T344" t="n">
        <v>20</v>
      </c>
      <c r="U344" t="n">
        <v>20</v>
      </c>
      <c r="X344" t="inlineStr">
        <is>
          <t>atssc-scdata</t>
        </is>
      </c>
      <c r="Y344" t="inlineStr">
        <is>
          <t>Administrative Tribunals Support Service of Canada | Service canadien d'appui aux tribunaux administratifs</t>
        </is>
      </c>
      <c r="Z344" t="n">
        <v>1</v>
      </c>
      <c r="AA344" t="n">
        <v>20</v>
      </c>
      <c r="AB344">
        <f>ROUND(U344-AA344,2)</f>
        <v/>
      </c>
      <c r="AC344" t="b">
        <v>0</v>
      </c>
      <c r="AD344">
        <f>IF(U344="","MISSING_TOTAL",IF(ABS(AB344)&lt;=0.01,"OK","CHECK"))</f>
        <v/>
      </c>
      <c r="AE344">
        <f>IF(U344="","MISSING",IF(AND(AA344&gt;0,U344/AA344&gt;50),"POSSIBLE_SCALE_ERROR","OK"))</f>
        <v/>
      </c>
    </row>
    <row r="345">
      <c r="A345" t="inlineStr">
        <is>
          <t>T-2017-Q4-011</t>
        </is>
      </c>
      <c r="B345" t="inlineStr">
        <is>
          <t>SLE</t>
        </is>
      </c>
      <c r="C345" t="inlineStr">
        <is>
          <t>Executive Director, Secretariat to the Canadian Cultural Property Export Review Board</t>
        </is>
      </c>
      <c r="D345" t="inlineStr">
        <is>
          <t>Directrice exécutive, Secrétariat de la Commission canadienne d’examen des exportations de biens culturels</t>
        </is>
      </c>
      <c r="E345" t="inlineStr">
        <is>
          <t>Delphine Bishop</t>
        </is>
      </c>
      <c r="F345" t="inlineStr">
        <is>
          <t>Attend a Senior Management Committee meeting</t>
        </is>
      </c>
      <c r="G345" t="inlineStr">
        <is>
          <t>Participer à une rencontre du comité de la haute direction</t>
        </is>
      </c>
      <c r="H345" s="1" t="n">
        <v>43019</v>
      </c>
      <c r="I345" s="1" t="n">
        <v>43019</v>
      </c>
      <c r="J345" t="inlineStr">
        <is>
          <t>Ottawa, ON</t>
        </is>
      </c>
      <c r="K345" t="inlineStr">
        <is>
          <t>Ottawa, ON</t>
        </is>
      </c>
      <c r="T345" t="n">
        <v>12.5</v>
      </c>
      <c r="U345" t="n">
        <v>12.5</v>
      </c>
      <c r="X345" t="inlineStr">
        <is>
          <t>atssc-scdata</t>
        </is>
      </c>
      <c r="Y345" t="inlineStr">
        <is>
          <t>Administrative Tribunals Support Service of Canada | Service canadien d'appui aux tribunaux administratifs</t>
        </is>
      </c>
      <c r="Z345" t="n">
        <v>1</v>
      </c>
      <c r="AA345" t="n">
        <v>12.5</v>
      </c>
      <c r="AB345">
        <f>ROUND(U345-AA345,2)</f>
        <v/>
      </c>
      <c r="AC345" t="b">
        <v>0</v>
      </c>
      <c r="AD345">
        <f>IF(U345="","MISSING_TOTAL",IF(ABS(AB345)&lt;=0.01,"OK","CHECK"))</f>
        <v/>
      </c>
      <c r="AE345">
        <f>IF(U345="","MISSING",IF(AND(AA345&gt;0,U345/AA345&gt;50),"POSSIBLE_SCALE_ERROR","OK"))</f>
        <v/>
      </c>
    </row>
    <row r="346">
      <c r="A346" t="inlineStr">
        <is>
          <t>T-2017-Q4-012</t>
        </is>
      </c>
      <c r="B346" t="inlineStr">
        <is>
          <t>SLE</t>
        </is>
      </c>
      <c r="C346" t="inlineStr">
        <is>
          <t>Executive Director, Secretariat to the Canadian Cultural Property Export Review Board</t>
        </is>
      </c>
      <c r="D346" t="inlineStr">
        <is>
          <t>Directrice exécutive, Secrétariat de la Commission canadienne d’examen des exportations de biens culturels</t>
        </is>
      </c>
      <c r="E346" t="inlineStr">
        <is>
          <t>Delphine Bishop</t>
        </is>
      </c>
      <c r="F346" t="inlineStr">
        <is>
          <t>Attend a Senior Management Committee meeting</t>
        </is>
      </c>
      <c r="G346" t="inlineStr">
        <is>
          <t>Participer à une rencontre du comité de la haute direction</t>
        </is>
      </c>
      <c r="H346" s="1" t="n">
        <v>43047</v>
      </c>
      <c r="I346" s="1" t="n">
        <v>43047</v>
      </c>
      <c r="J346" t="inlineStr">
        <is>
          <t>Ottawa, ON</t>
        </is>
      </c>
      <c r="K346" t="inlineStr">
        <is>
          <t>Ottawa, ON</t>
        </is>
      </c>
      <c r="T346" t="n">
        <v>20</v>
      </c>
      <c r="U346" t="n">
        <v>20</v>
      </c>
      <c r="X346" t="inlineStr">
        <is>
          <t>atssc-scdata</t>
        </is>
      </c>
      <c r="Y346" t="inlineStr">
        <is>
          <t>Administrative Tribunals Support Service of Canada | Service canadien d'appui aux tribunaux administratifs</t>
        </is>
      </c>
      <c r="Z346" t="n">
        <v>1</v>
      </c>
      <c r="AA346" t="n">
        <v>20</v>
      </c>
      <c r="AB346">
        <f>ROUND(U346-AA346,2)</f>
        <v/>
      </c>
      <c r="AC346" t="b">
        <v>0</v>
      </c>
      <c r="AD346">
        <f>IF(U346="","MISSING_TOTAL",IF(ABS(AB346)&lt;=0.01,"OK","CHECK"))</f>
        <v/>
      </c>
      <c r="AE346">
        <f>IF(U346="","MISSING",IF(AND(AA346&gt;0,U346/AA346&gt;50),"POSSIBLE_SCALE_ERROR","OK"))</f>
        <v/>
      </c>
    </row>
    <row r="347">
      <c r="A347" t="inlineStr">
        <is>
          <t>T-2017-Q4-013</t>
        </is>
      </c>
      <c r="B347" t="inlineStr">
        <is>
          <t>SLE</t>
        </is>
      </c>
      <c r="C347" t="inlineStr">
        <is>
          <t>Executive Director, Secretariat to the Canadian Cultural Property Export Review Board</t>
        </is>
      </c>
      <c r="D347" t="inlineStr">
        <is>
          <t>Directrice exécutive, Secrétariat de la Commission canadienne d’examen des exportations de biens culturels</t>
        </is>
      </c>
      <c r="E347" t="inlineStr">
        <is>
          <t>Delphine Bishop</t>
        </is>
      </c>
      <c r="F347" t="inlineStr">
        <is>
          <t>To attend a meeting with an executive director</t>
        </is>
      </c>
      <c r="G347" t="inlineStr">
        <is>
          <t>Participer à une rencontre avec un directeur exécutif</t>
        </is>
      </c>
      <c r="H347" s="1" t="n">
        <v>43055</v>
      </c>
      <c r="I347" s="1" t="n">
        <v>43055</v>
      </c>
      <c r="J347" t="inlineStr">
        <is>
          <t>Ottawa, ON</t>
        </is>
      </c>
      <c r="K347" t="inlineStr">
        <is>
          <t>Ottawa, ON</t>
        </is>
      </c>
      <c r="T347" t="n">
        <v>22</v>
      </c>
      <c r="U347" t="n">
        <v>22</v>
      </c>
      <c r="X347" t="inlineStr">
        <is>
          <t>atssc-scdata</t>
        </is>
      </c>
      <c r="Y347" t="inlineStr">
        <is>
          <t>Administrative Tribunals Support Service of Canada | Service canadien d'appui aux tribunaux administratifs</t>
        </is>
      </c>
      <c r="Z347" t="n">
        <v>1</v>
      </c>
      <c r="AA347" t="n">
        <v>22</v>
      </c>
      <c r="AB347">
        <f>ROUND(U347-AA347,2)</f>
        <v/>
      </c>
      <c r="AC347" t="b">
        <v>0</v>
      </c>
      <c r="AD347">
        <f>IF(U347="","MISSING_TOTAL",IF(ABS(AB347)&lt;=0.01,"OK","CHECK"))</f>
        <v/>
      </c>
      <c r="AE347">
        <f>IF(U347="","MISSING",IF(AND(AA347&gt;0,U347/AA347&gt;50),"POSSIBLE_SCALE_ERROR","OK"))</f>
        <v/>
      </c>
    </row>
    <row r="348">
      <c r="A348" t="inlineStr">
        <is>
          <t>T-2017-Q4-014</t>
        </is>
      </c>
      <c r="B348" t="inlineStr">
        <is>
          <t>SLE</t>
        </is>
      </c>
      <c r="C348" t="inlineStr">
        <is>
          <t>Executive Director, Secretariat to the Canadian Cultural Property Export Review Board</t>
        </is>
      </c>
      <c r="D348" t="inlineStr">
        <is>
          <t>Directrice exécutive, Secrétariat de la Commission canadienne d’examen des exportations de biens culturels</t>
        </is>
      </c>
      <c r="E348" t="inlineStr">
        <is>
          <t>Delphine Bishop</t>
        </is>
      </c>
      <c r="F348" t="inlineStr">
        <is>
          <t>Meeting at National Gallery of Canada</t>
        </is>
      </c>
      <c r="G348" t="inlineStr">
        <is>
          <t>Participer a une rencontre aux musées des beaux-arts du Canada</t>
        </is>
      </c>
      <c r="H348" s="1" t="n">
        <v>43066</v>
      </c>
      <c r="I348" s="1" t="n">
        <v>43066</v>
      </c>
      <c r="J348" t="inlineStr">
        <is>
          <t>Ottawa, ON</t>
        </is>
      </c>
      <c r="K348" t="inlineStr">
        <is>
          <t>Ottawa, ON</t>
        </is>
      </c>
      <c r="T348" t="n">
        <v>14</v>
      </c>
      <c r="U348" t="n">
        <v>14</v>
      </c>
      <c r="X348" t="inlineStr">
        <is>
          <t>atssc-scdata</t>
        </is>
      </c>
      <c r="Y348" t="inlineStr">
        <is>
          <t>Administrative Tribunals Support Service of Canada | Service canadien d'appui aux tribunaux administratifs</t>
        </is>
      </c>
      <c r="Z348" t="n">
        <v>1</v>
      </c>
      <c r="AA348" t="n">
        <v>14</v>
      </c>
      <c r="AB348">
        <f>ROUND(U348-AA348,2)</f>
        <v/>
      </c>
      <c r="AC348" t="b">
        <v>0</v>
      </c>
      <c r="AD348">
        <f>IF(U348="","MISSING_TOTAL",IF(ABS(AB348)&lt;=0.01,"OK","CHECK"))</f>
        <v/>
      </c>
      <c r="AE348">
        <f>IF(U348="","MISSING",IF(AND(AA348&gt;0,U348/AA348&gt;50),"POSSIBLE_SCALE_ERROR","OK"))</f>
        <v/>
      </c>
    </row>
    <row r="349">
      <c r="A349" t="inlineStr">
        <is>
          <t>T-2017-Q4-015</t>
        </is>
      </c>
      <c r="B349" t="inlineStr">
        <is>
          <t>SLE</t>
        </is>
      </c>
      <c r="C349" t="inlineStr">
        <is>
          <t>Executive Director, Secretariat to the Canadian Cultural Property Export Review Board</t>
        </is>
      </c>
      <c r="D349" t="inlineStr">
        <is>
          <t>Directrice exécutive, Secrétariat de la Commission canadienne d’examen des exportations de biens culturels</t>
        </is>
      </c>
      <c r="E349" t="inlineStr">
        <is>
          <t>Delphine Bishop</t>
        </is>
      </c>
      <c r="F349" t="inlineStr">
        <is>
          <t>To attend training</t>
        </is>
      </c>
      <c r="G349" t="inlineStr">
        <is>
          <t>Participer à une formation</t>
        </is>
      </c>
      <c r="H349" s="1" t="n">
        <v>43070</v>
      </c>
      <c r="I349" s="1" t="n">
        <v>43070</v>
      </c>
      <c r="J349" t="inlineStr">
        <is>
          <t>Ottawa, ON</t>
        </is>
      </c>
      <c r="K349" t="inlineStr">
        <is>
          <t>Ottawa, ON</t>
        </is>
      </c>
      <c r="T349" t="n">
        <v>22</v>
      </c>
      <c r="U349" t="n">
        <v>22</v>
      </c>
      <c r="X349" t="inlineStr">
        <is>
          <t>atssc-scdata</t>
        </is>
      </c>
      <c r="Y349" t="inlineStr">
        <is>
          <t>Administrative Tribunals Support Service of Canada | Service canadien d'appui aux tribunaux administratifs</t>
        </is>
      </c>
      <c r="Z349" t="n">
        <v>1</v>
      </c>
      <c r="AA349" t="n">
        <v>22</v>
      </c>
      <c r="AB349">
        <f>ROUND(U349-AA349,2)</f>
        <v/>
      </c>
      <c r="AC349" t="b">
        <v>0</v>
      </c>
      <c r="AD349">
        <f>IF(U349="","MISSING_TOTAL",IF(ABS(AB349)&lt;=0.01,"OK","CHECK"))</f>
        <v/>
      </c>
      <c r="AE349">
        <f>IF(U349="","MISSING",IF(AND(AA349&gt;0,U349/AA349&gt;50),"POSSIBLE_SCALE_ERROR","OK"))</f>
        <v/>
      </c>
    </row>
    <row r="350">
      <c r="A350" t="inlineStr">
        <is>
          <t>T-2017-Q4-016</t>
        </is>
      </c>
      <c r="B350" t="inlineStr">
        <is>
          <t>SLE</t>
        </is>
      </c>
      <c r="C350" t="inlineStr">
        <is>
          <t>Executive Director, Secretariat to the Canadian Cultural Property Export Review Board</t>
        </is>
      </c>
      <c r="D350" t="inlineStr">
        <is>
          <t>Directrice exécutive, Secrétariat de la Commission canadienne d’examen des exportations de biens culturels</t>
        </is>
      </c>
      <c r="E350" t="inlineStr">
        <is>
          <t>Delphine Bishop</t>
        </is>
      </c>
      <c r="F350" t="inlineStr">
        <is>
          <t>Attend the Board Meeting</t>
        </is>
      </c>
      <c r="G350" t="inlineStr">
        <is>
          <t>Participer à la rencontre des membres</t>
        </is>
      </c>
      <c r="H350" s="1" t="n">
        <v>43082</v>
      </c>
      <c r="I350" s="1" t="n">
        <v>43082</v>
      </c>
      <c r="J350" t="inlineStr">
        <is>
          <t>Ottawa, ON</t>
        </is>
      </c>
      <c r="K350" t="inlineStr">
        <is>
          <t>Ottawa, ON</t>
        </is>
      </c>
      <c r="T350" t="n">
        <v>20</v>
      </c>
      <c r="U350" t="n">
        <v>20</v>
      </c>
      <c r="X350" t="inlineStr">
        <is>
          <t>atssc-scdata</t>
        </is>
      </c>
      <c r="Y350" t="inlineStr">
        <is>
          <t>Administrative Tribunals Support Service of Canada | Service canadien d'appui aux tribunaux administratifs</t>
        </is>
      </c>
      <c r="Z350" t="n">
        <v>1</v>
      </c>
      <c r="AA350" t="n">
        <v>20</v>
      </c>
      <c r="AB350">
        <f>ROUND(U350-AA350,2)</f>
        <v/>
      </c>
      <c r="AC350" t="b">
        <v>0</v>
      </c>
      <c r="AD350">
        <f>IF(U350="","MISSING_TOTAL",IF(ABS(AB350)&lt;=0.01,"OK","CHECK"))</f>
        <v/>
      </c>
      <c r="AE350">
        <f>IF(U350="","MISSING",IF(AND(AA350&gt;0,U350/AA350&gt;50),"POSSIBLE_SCALE_ERROR","OK"))</f>
        <v/>
      </c>
    </row>
    <row r="351">
      <c r="A351" t="inlineStr">
        <is>
          <t>T-2017-Q4-017</t>
        </is>
      </c>
      <c r="B351" t="inlineStr">
        <is>
          <t>SLE</t>
        </is>
      </c>
      <c r="C351" t="inlineStr">
        <is>
          <t>Executive Director, Secretariat to the Canadian Cultural Property Export Review Board</t>
        </is>
      </c>
      <c r="D351" t="inlineStr">
        <is>
          <t>Directrice exécutive, Secrétariat de la Commission canadienne d’examen des exportations de biens culturels</t>
        </is>
      </c>
      <c r="E351" t="inlineStr">
        <is>
          <t>Delphine Bishop</t>
        </is>
      </c>
      <c r="F351" t="inlineStr">
        <is>
          <t>Attend the Board Meeting</t>
        </is>
      </c>
      <c r="G351" t="inlineStr">
        <is>
          <t>Participer à la rencontre des membres</t>
        </is>
      </c>
      <c r="H351" s="1" t="n">
        <v>43084</v>
      </c>
      <c r="I351" s="1" t="n">
        <v>43084</v>
      </c>
      <c r="J351" t="inlineStr">
        <is>
          <t>Ottawa, ON</t>
        </is>
      </c>
      <c r="K351" t="inlineStr">
        <is>
          <t>Ottawa, ON</t>
        </is>
      </c>
      <c r="T351" t="n">
        <v>20</v>
      </c>
      <c r="U351" t="n">
        <v>20</v>
      </c>
      <c r="X351" t="inlineStr">
        <is>
          <t>atssc-scdata</t>
        </is>
      </c>
      <c r="Y351" t="inlineStr">
        <is>
          <t>Administrative Tribunals Support Service of Canada | Service canadien d'appui aux tribunaux administratifs</t>
        </is>
      </c>
      <c r="Z351" t="n">
        <v>1</v>
      </c>
      <c r="AA351" t="n">
        <v>20</v>
      </c>
      <c r="AB351">
        <f>ROUND(U351-AA351,2)</f>
        <v/>
      </c>
      <c r="AC351" t="b">
        <v>0</v>
      </c>
      <c r="AD351">
        <f>IF(U351="","MISSING_TOTAL",IF(ABS(AB351)&lt;=0.01,"OK","CHECK"))</f>
        <v/>
      </c>
      <c r="AE351">
        <f>IF(U351="","MISSING",IF(AND(AA351&gt;0,U351/AA351&gt;50),"POSSIBLE_SCALE_ERROR","OK"))</f>
        <v/>
      </c>
    </row>
    <row r="352">
      <c r="A352" t="inlineStr">
        <is>
          <t>T-2017-Q4-018</t>
        </is>
      </c>
      <c r="B352" t="inlineStr">
        <is>
          <t>SLE</t>
        </is>
      </c>
      <c r="C352" t="inlineStr">
        <is>
          <t>Executive Director &amp; Registrar, Secretariats to the Competition Tribunal and the Public Servants Disclosure Protection Tribunal</t>
        </is>
      </c>
      <c r="D352" t="inlineStr">
        <is>
          <t>Directeur exécutif et Régistraire, Secrétariat du Tribunal de la concurrance et du Tribunal de la protection des fonctionnaires divulgateurs</t>
        </is>
      </c>
      <c r="E352" t="inlineStr">
        <is>
          <t>Rachel Boyer</t>
        </is>
      </c>
      <c r="F352" t="inlineStr">
        <is>
          <t>Attend meeting at Lexum</t>
        </is>
      </c>
      <c r="G352" t="inlineStr">
        <is>
          <t>Participer a une réunion de Lexum</t>
        </is>
      </c>
      <c r="H352" s="1" t="n">
        <v>43111</v>
      </c>
      <c r="I352" s="1" t="n">
        <v>43111</v>
      </c>
      <c r="J352" t="inlineStr">
        <is>
          <t>Montreal, QC</t>
        </is>
      </c>
      <c r="K352" t="inlineStr">
        <is>
          <t>Montreal, QC</t>
        </is>
      </c>
      <c r="Q352" t="n">
        <v>126.87</v>
      </c>
      <c r="S352" t="n">
        <v>18.9</v>
      </c>
      <c r="U352" t="n">
        <v>145.77</v>
      </c>
      <c r="X352" t="inlineStr">
        <is>
          <t>atssc-scdata</t>
        </is>
      </c>
      <c r="Y352" t="inlineStr">
        <is>
          <t>Administrative Tribunals Support Service of Canada | Service canadien d'appui aux tribunaux administratifs</t>
        </is>
      </c>
      <c r="Z352" t="n">
        <v>1</v>
      </c>
      <c r="AA352" t="n">
        <v>145.77</v>
      </c>
      <c r="AB352">
        <f>ROUND(U352-AA352,2)</f>
        <v/>
      </c>
      <c r="AC352" t="b">
        <v>0</v>
      </c>
      <c r="AD352">
        <f>IF(U352="","MISSING_TOTAL",IF(ABS(AB352)&lt;=0.01,"OK","CHECK"))</f>
        <v/>
      </c>
      <c r="AE352">
        <f>IF(U352="","MISSING",IF(AND(AA352&gt;0,U352/AA352&gt;50),"POSSIBLE_SCALE_ERROR","OK"))</f>
        <v/>
      </c>
    </row>
    <row r="353">
      <c r="A353" t="inlineStr">
        <is>
          <t>T-2017-Q4-019</t>
        </is>
      </c>
      <c r="B353" t="inlineStr">
        <is>
          <t>SLE</t>
        </is>
      </c>
      <c r="C353" t="inlineStr">
        <is>
          <t>Chairperson, Canada Industrial Relations Board</t>
        </is>
      </c>
      <c r="D353" t="inlineStr">
        <is>
          <t>Présidente, Conseil canadien des relations industrielles</t>
        </is>
      </c>
      <c r="E353" t="inlineStr">
        <is>
          <t>Ginette Brazeau</t>
        </is>
      </c>
      <c r="F353" t="inlineStr">
        <is>
          <t>Hearing file #32222-C &amp; 32357-C</t>
        </is>
      </c>
      <c r="G353" t="inlineStr">
        <is>
          <t>Dossier d'audience #32222-C &amp; 32357-C</t>
        </is>
      </c>
      <c r="H353" s="1" t="n">
        <v>43424</v>
      </c>
      <c r="I353" s="1" t="n">
        <v>43429</v>
      </c>
      <c r="J353" t="inlineStr">
        <is>
          <t>Vancouver, BC</t>
        </is>
      </c>
      <c r="K353" t="inlineStr">
        <is>
          <t>Vancouver, BC</t>
        </is>
      </c>
      <c r="P353" t="n">
        <v>3682.2</v>
      </c>
      <c r="Q353" t="n">
        <v>218.8</v>
      </c>
      <c r="R353" t="n">
        <v>1145.6</v>
      </c>
      <c r="S353" t="n">
        <v>549.45</v>
      </c>
      <c r="U353" t="n">
        <v>5596.05</v>
      </c>
      <c r="X353" t="inlineStr">
        <is>
          <t>atssc-scdata</t>
        </is>
      </c>
      <c r="Y353" t="inlineStr">
        <is>
          <t>Administrative Tribunals Support Service of Canada | Service canadien d'appui aux tribunaux administratifs</t>
        </is>
      </c>
      <c r="Z353" t="n">
        <v>6</v>
      </c>
      <c r="AA353" t="n">
        <v>5596.05</v>
      </c>
      <c r="AB353">
        <f>ROUND(U353-AA353,2)</f>
        <v/>
      </c>
      <c r="AC353" t="b">
        <v>0</v>
      </c>
      <c r="AD353">
        <f>IF(U353="","MISSING_TOTAL",IF(ABS(AB353)&lt;=0.01,"OK","CHECK"))</f>
        <v/>
      </c>
      <c r="AE353">
        <f>IF(U353="","MISSING",IF(AND(AA353&gt;0,U353/AA353&gt;50),"POSSIBLE_SCALE_ERROR","OK"))</f>
        <v/>
      </c>
    </row>
    <row r="354">
      <c r="A354" t="inlineStr">
        <is>
          <t>T-2017-Q4-020</t>
        </is>
      </c>
      <c r="B354" t="inlineStr">
        <is>
          <t>SLE</t>
        </is>
      </c>
      <c r="C354" t="inlineStr">
        <is>
          <t>Chairperson, Canada Industrial Relations Board</t>
        </is>
      </c>
      <c r="D354" t="inlineStr">
        <is>
          <t>Présidente, Conseil canadien des relations industrielles</t>
        </is>
      </c>
      <c r="E354" t="inlineStr">
        <is>
          <t>Ginette Brazeau</t>
        </is>
      </c>
      <c r="F354" t="inlineStr">
        <is>
          <t>Hearing file #31936-C</t>
        </is>
      </c>
      <c r="G354" t="inlineStr">
        <is>
          <t>Dossier d'audience #31936-C</t>
        </is>
      </c>
      <c r="H354" s="1" t="n">
        <v>43444</v>
      </c>
      <c r="I354" s="1" t="n">
        <v>43449</v>
      </c>
      <c r="J354" t="inlineStr">
        <is>
          <t>Toronto, ON</t>
        </is>
      </c>
      <c r="K354" t="inlineStr">
        <is>
          <t>Toronto, ON</t>
        </is>
      </c>
      <c r="P354" t="n">
        <v>491.09</v>
      </c>
      <c r="Q354" t="n">
        <v>145</v>
      </c>
      <c r="R354" t="n">
        <v>819.25</v>
      </c>
      <c r="S354" t="n">
        <v>465.9</v>
      </c>
      <c r="U354" t="n">
        <v>1921.24</v>
      </c>
      <c r="X354" t="inlineStr">
        <is>
          <t>atssc-scdata</t>
        </is>
      </c>
      <c r="Y354" t="inlineStr">
        <is>
          <t>Administrative Tribunals Support Service of Canada | Service canadien d'appui aux tribunaux administratifs</t>
        </is>
      </c>
      <c r="Z354" t="n">
        <v>6</v>
      </c>
      <c r="AA354" t="n">
        <v>1921.23999999999</v>
      </c>
      <c r="AB354">
        <f>ROUND(U354-AA354,2)</f>
        <v/>
      </c>
      <c r="AC354" t="b">
        <v>0</v>
      </c>
      <c r="AD354">
        <f>IF(U354="","MISSING_TOTAL",IF(ABS(AB354)&lt;=0.01,"OK","CHECK"))</f>
        <v/>
      </c>
      <c r="AE354">
        <f>IF(U354="","MISSING",IF(AND(AA354&gt;0,U354/AA354&gt;50),"POSSIBLE_SCALE_ERROR","OK"))</f>
        <v/>
      </c>
    </row>
    <row r="355">
      <c r="A355" t="inlineStr">
        <is>
          <t>T-2017-Q4-021</t>
        </is>
      </c>
      <c r="B355" t="inlineStr">
        <is>
          <t>SLE</t>
        </is>
      </c>
      <c r="C355" t="inlineStr">
        <is>
          <t>Chairperson, Canada Industrial Relations Board</t>
        </is>
      </c>
      <c r="D355" t="inlineStr">
        <is>
          <t>Présidente, Conseil canadien des relations industrielles</t>
        </is>
      </c>
      <c r="E355" t="inlineStr">
        <is>
          <t>Ginette Brazeau</t>
        </is>
      </c>
      <c r="F355" t="inlineStr">
        <is>
          <t>To participate at the annual Mathews Dinsdale National Labour Arbitration Competition</t>
        </is>
      </c>
      <c r="G355" t="inlineStr">
        <is>
          <t>Participer a la rencontre annuelle de Mathews Dinsdale National Labour Arbitration Competition</t>
        </is>
      </c>
      <c r="H355" s="1" t="n">
        <v>43127</v>
      </c>
      <c r="I355" s="1" t="n">
        <v>43128</v>
      </c>
      <c r="J355" t="inlineStr">
        <is>
          <t>Toronto, ON</t>
        </is>
      </c>
      <c r="K355" t="inlineStr">
        <is>
          <t>Toronto, ON</t>
        </is>
      </c>
      <c r="P355" t="n">
        <v>536.85</v>
      </c>
      <c r="Q355" t="n">
        <v>88.44</v>
      </c>
      <c r="R355" t="n">
        <v>184.45</v>
      </c>
      <c r="S355" t="n">
        <v>17.3</v>
      </c>
      <c r="U355" t="n">
        <v>827.04</v>
      </c>
      <c r="X355" t="inlineStr">
        <is>
          <t>atssc-scdata</t>
        </is>
      </c>
      <c r="Y355" t="inlineStr">
        <is>
          <t>Administrative Tribunals Support Service of Canada | Service canadien d'appui aux tribunaux administratifs</t>
        </is>
      </c>
      <c r="Z355" t="n">
        <v>2</v>
      </c>
      <c r="AA355" t="n">
        <v>827.04</v>
      </c>
      <c r="AB355">
        <f>ROUND(U355-AA355,2)</f>
        <v/>
      </c>
      <c r="AC355" t="b">
        <v>0</v>
      </c>
      <c r="AD355">
        <f>IF(U355="","MISSING_TOTAL",IF(ABS(AB355)&lt;=0.01,"OK","CHECK"))</f>
        <v/>
      </c>
      <c r="AE355">
        <f>IF(U355="","MISSING",IF(AND(AA355&gt;0,U355/AA355&gt;50),"POSSIBLE_SCALE_ERROR","OK"))</f>
        <v/>
      </c>
    </row>
    <row r="356">
      <c r="A356" t="inlineStr">
        <is>
          <t>T-2017-Q4-022</t>
        </is>
      </c>
      <c r="B356" t="inlineStr">
        <is>
          <t>SLE</t>
        </is>
      </c>
      <c r="C356" t="inlineStr">
        <is>
          <t>Chairperson, Canada Industrial Relations Board</t>
        </is>
      </c>
      <c r="D356" t="inlineStr">
        <is>
          <t>Présidente, Conseil canadien des relations industrielles</t>
        </is>
      </c>
      <c r="E356" t="inlineStr">
        <is>
          <t>Ginette Brazeau</t>
        </is>
      </c>
      <c r="F356" t="inlineStr">
        <is>
          <t>To attend a Welcome/Introduction meeting</t>
        </is>
      </c>
      <c r="G356" t="inlineStr">
        <is>
          <t>Pour participer a une réunion d'introduction</t>
        </is>
      </c>
      <c r="H356" s="1" t="n">
        <v>43128</v>
      </c>
      <c r="I356" s="1" t="n">
        <v>43129</v>
      </c>
      <c r="J356" t="inlineStr">
        <is>
          <t>Montreal, QC</t>
        </is>
      </c>
      <c r="K356" t="inlineStr">
        <is>
          <t>Montreal, QC</t>
        </is>
      </c>
      <c r="Q356" t="n">
        <v>213.82</v>
      </c>
      <c r="R356" t="n">
        <v>213.01</v>
      </c>
      <c r="S356" t="n">
        <v>53.7</v>
      </c>
      <c r="U356" t="n">
        <v>480.53</v>
      </c>
      <c r="X356" t="inlineStr">
        <is>
          <t>atssc-scdata</t>
        </is>
      </c>
      <c r="Y356" t="inlineStr">
        <is>
          <t>Administrative Tribunals Support Service of Canada | Service canadien d'appui aux tribunaux administratifs</t>
        </is>
      </c>
      <c r="Z356" t="n">
        <v>2</v>
      </c>
      <c r="AA356" t="n">
        <v>480.53</v>
      </c>
      <c r="AB356">
        <f>ROUND(U356-AA356,2)</f>
        <v/>
      </c>
      <c r="AC356" t="b">
        <v>0</v>
      </c>
      <c r="AD356">
        <f>IF(U356="","MISSING_TOTAL",IF(ABS(AB356)&lt;=0.01,"OK","CHECK"))</f>
        <v/>
      </c>
      <c r="AE356">
        <f>IF(U356="","MISSING",IF(AND(AA356&gt;0,U356/AA356&gt;50),"POSSIBLE_SCALE_ERROR","OK"))</f>
        <v/>
      </c>
    </row>
    <row r="357">
      <c r="A357" t="inlineStr">
        <is>
          <t>T-2017-Q4-023</t>
        </is>
      </c>
      <c r="B357" t="inlineStr">
        <is>
          <t>SLE</t>
        </is>
      </c>
      <c r="C357" t="inlineStr">
        <is>
          <t>Chairperson, Canada Industrial Relations Board</t>
        </is>
      </c>
      <c r="D357" t="inlineStr">
        <is>
          <t>Présidente, Conseil canadien des relations industrielles</t>
        </is>
      </c>
      <c r="E357" t="inlineStr">
        <is>
          <t>Ginette Brazeau</t>
        </is>
      </c>
      <c r="F357" t="inlineStr">
        <is>
          <t>Hearing file #31573-C</t>
        </is>
      </c>
      <c r="G357" t="inlineStr">
        <is>
          <t>Dossier d'audience #31573-C</t>
        </is>
      </c>
      <c r="H357" s="1" t="n">
        <v>43136</v>
      </c>
      <c r="I357" s="1" t="n">
        <v>43139</v>
      </c>
      <c r="J357" t="inlineStr">
        <is>
          <t>Edmonton, AB</t>
        </is>
      </c>
      <c r="K357" t="inlineStr">
        <is>
          <t>Edmonton, AB</t>
        </is>
      </c>
      <c r="P357" t="n">
        <v>2462.41</v>
      </c>
      <c r="Q357" t="n">
        <v>185.5</v>
      </c>
      <c r="R357" t="n">
        <v>421.02</v>
      </c>
      <c r="S357" t="n">
        <v>184.4</v>
      </c>
      <c r="U357" t="n">
        <v>3253.33</v>
      </c>
      <c r="X357" t="inlineStr">
        <is>
          <t>atssc-scdata</t>
        </is>
      </c>
      <c r="Y357" t="inlineStr">
        <is>
          <t>Administrative Tribunals Support Service of Canada | Service canadien d'appui aux tribunaux administratifs</t>
        </is>
      </c>
      <c r="Z357" t="n">
        <v>4</v>
      </c>
      <c r="AA357" t="n">
        <v>3253.33</v>
      </c>
      <c r="AB357">
        <f>ROUND(U357-AA357,2)</f>
        <v/>
      </c>
      <c r="AC357" t="b">
        <v>0</v>
      </c>
      <c r="AD357">
        <f>IF(U357="","MISSING_TOTAL",IF(ABS(AB357)&lt;=0.01,"OK","CHECK"))</f>
        <v/>
      </c>
      <c r="AE357">
        <f>IF(U357="","MISSING",IF(AND(AA357&gt;0,U357/AA357&gt;50),"POSSIBLE_SCALE_ERROR","OK"))</f>
        <v/>
      </c>
    </row>
    <row r="358">
      <c r="A358" t="inlineStr">
        <is>
          <t>T-2017-Q4-024</t>
        </is>
      </c>
      <c r="B358" t="inlineStr">
        <is>
          <t>SLE</t>
        </is>
      </c>
      <c r="C358" t="inlineStr">
        <is>
          <t>Chairperson, Canada Industrial Relations Board</t>
        </is>
      </c>
      <c r="D358" t="inlineStr">
        <is>
          <t>Présidente, Conseil canadien des relations industrielles</t>
        </is>
      </c>
      <c r="E358" t="inlineStr">
        <is>
          <t>Ginette Brazeau</t>
        </is>
      </c>
      <c r="F358" t="inlineStr">
        <is>
          <t>Case management meeting in hearing file #32428 &amp; 32467</t>
        </is>
      </c>
      <c r="G358" t="inlineStr">
        <is>
          <t>Rencontre de gestion concernant les dossiers d'audience #32428 &amp; 32467</t>
        </is>
      </c>
      <c r="H358" s="1" t="n">
        <v>43152</v>
      </c>
      <c r="I358" s="1" t="n">
        <v>43153</v>
      </c>
      <c r="J358" t="inlineStr">
        <is>
          <t>Vancouver, BC</t>
        </is>
      </c>
      <c r="K358" t="inlineStr">
        <is>
          <t>Vancouver, BC</t>
        </is>
      </c>
      <c r="P358" t="n">
        <v>2880.76</v>
      </c>
      <c r="Q358" t="n">
        <v>118</v>
      </c>
      <c r="R358" t="n">
        <v>222.07</v>
      </c>
      <c r="S358" t="n">
        <v>83.55</v>
      </c>
      <c r="U358" t="n">
        <v>3304.38</v>
      </c>
      <c r="X358" t="inlineStr">
        <is>
          <t>atssc-scdata</t>
        </is>
      </c>
      <c r="Y358" t="inlineStr">
        <is>
          <t>Administrative Tribunals Support Service of Canada | Service canadien d'appui aux tribunaux administratifs</t>
        </is>
      </c>
      <c r="Z358" t="n">
        <v>2</v>
      </c>
      <c r="AA358" t="n">
        <v>3304.38</v>
      </c>
      <c r="AB358">
        <f>ROUND(U358-AA358,2)</f>
        <v/>
      </c>
      <c r="AC358" t="b">
        <v>0</v>
      </c>
      <c r="AD358">
        <f>IF(U358="","MISSING_TOTAL",IF(ABS(AB358)&lt;=0.01,"OK","CHECK"))</f>
        <v/>
      </c>
      <c r="AE358">
        <f>IF(U358="","MISSING",IF(AND(AA358&gt;0,U358/AA358&gt;50),"POSSIBLE_SCALE_ERROR","OK"))</f>
        <v/>
      </c>
    </row>
    <row r="359">
      <c r="A359" t="inlineStr">
        <is>
          <t>T-2018-Q3-019</t>
        </is>
      </c>
      <c r="B359" t="inlineStr">
        <is>
          <t>SLE</t>
        </is>
      </c>
      <c r="C359" t="inlineStr">
        <is>
          <t>Chairperson, Canadian Human Rights Tribunal</t>
        </is>
      </c>
      <c r="D359" t="inlineStr">
        <is>
          <t>Président, Tribunal canadien des droits de la personne</t>
        </is>
      </c>
      <c r="E359" t="inlineStr">
        <is>
          <t>Thomas, David</t>
        </is>
      </c>
      <c r="F359" t="inlineStr">
        <is>
          <t>Celebration of Life for Grant Sinclair</t>
        </is>
      </c>
      <c r="G359" t="inlineStr">
        <is>
          <t>Célébration de la vie pour Grant Sinclair</t>
        </is>
      </c>
      <c r="H359" s="1" t="n">
        <v>43393</v>
      </c>
      <c r="I359" s="1" t="n">
        <v>43393</v>
      </c>
      <c r="J359" t="inlineStr">
        <is>
          <t>Toronto, Ontario</t>
        </is>
      </c>
      <c r="K359" t="inlineStr">
        <is>
          <t>Toronto, Ontario</t>
        </is>
      </c>
      <c r="Q359" t="n">
        <v>21.68</v>
      </c>
      <c r="U359" t="n">
        <v>21.68</v>
      </c>
      <c r="X359" t="inlineStr">
        <is>
          <t>atssc-scdata</t>
        </is>
      </c>
      <c r="Y359" t="inlineStr">
        <is>
          <t>Administrative Tribunals Support Service of Canada | Service canadien d'appui aux tribunaux administratifs</t>
        </is>
      </c>
      <c r="Z359" t="n">
        <v>1</v>
      </c>
      <c r="AA359" t="n">
        <v>21.68</v>
      </c>
      <c r="AB359">
        <f>ROUND(U359-AA359,2)</f>
        <v/>
      </c>
      <c r="AC359" t="b">
        <v>0</v>
      </c>
      <c r="AD359">
        <f>IF(U359="","MISSING_TOTAL",IF(ABS(AB359)&lt;=0.01,"OK","CHECK"))</f>
        <v/>
      </c>
      <c r="AE359">
        <f>IF(U359="","MISSING",IF(AND(AA359&gt;0,U359/AA359&gt;50),"POSSIBLE_SCALE_ERROR","OK"))</f>
        <v/>
      </c>
    </row>
    <row r="360">
      <c r="A360" t="inlineStr">
        <is>
          <t>T-2017-Q4-025</t>
        </is>
      </c>
      <c r="B360" t="inlineStr">
        <is>
          <t>SLE</t>
        </is>
      </c>
      <c r="C360" t="inlineStr">
        <is>
          <t>Chairperson, Public Service Labour Relations and Employment Board Tribunal</t>
        </is>
      </c>
      <c r="D360" t="inlineStr">
        <is>
          <t>Présidente, Tribunal de la commission des relations de travail et de l’emploi dans la fonction publique</t>
        </is>
      </c>
      <c r="E360" t="inlineStr">
        <is>
          <t>Catherine Ebbs</t>
        </is>
      </c>
      <c r="F360" t="inlineStr">
        <is>
          <t>Hearing file #561-02-00777</t>
        </is>
      </c>
      <c r="G360" t="inlineStr">
        <is>
          <t>Dossier d'audience #561-02-00777</t>
        </is>
      </c>
      <c r="H360" s="1" t="n">
        <v>43103</v>
      </c>
      <c r="I360" s="1" t="n">
        <v>43105</v>
      </c>
      <c r="J360" t="inlineStr">
        <is>
          <t>Kingston, ON</t>
        </is>
      </c>
      <c r="K360" t="inlineStr">
        <is>
          <t>Kingston, ON</t>
        </is>
      </c>
      <c r="Q360" t="n">
        <v>293.33</v>
      </c>
      <c r="R360" t="n">
        <v>256.06</v>
      </c>
      <c r="S360" t="n">
        <v>156.35</v>
      </c>
      <c r="U360" t="n">
        <v>705.74</v>
      </c>
      <c r="X360" t="inlineStr">
        <is>
          <t>atssc-scdata</t>
        </is>
      </c>
      <c r="Y360" t="inlineStr">
        <is>
          <t>Administrative Tribunals Support Service of Canada | Service canadien d'appui aux tribunaux administratifs</t>
        </is>
      </c>
      <c r="Z360" t="n">
        <v>3</v>
      </c>
      <c r="AA360" t="n">
        <v>705.74</v>
      </c>
      <c r="AB360">
        <f>ROUND(U360-AA360,2)</f>
        <v/>
      </c>
      <c r="AC360" t="b">
        <v>0</v>
      </c>
      <c r="AD360">
        <f>IF(U360="","MISSING_TOTAL",IF(ABS(AB360)&lt;=0.01,"OK","CHECK"))</f>
        <v/>
      </c>
      <c r="AE360">
        <f>IF(U360="","MISSING",IF(AND(AA360&gt;0,U360/AA360&gt;50),"POSSIBLE_SCALE_ERROR","OK"))</f>
        <v/>
      </c>
    </row>
    <row r="361">
      <c r="A361" t="inlineStr">
        <is>
          <t>T-2017-Q4-026</t>
        </is>
      </c>
      <c r="B361" t="inlineStr">
        <is>
          <t>SLE</t>
        </is>
      </c>
      <c r="C361" t="inlineStr">
        <is>
          <t>Executive Director and General Counsel, Secretariat to the Canada Industrial Relations Board</t>
        </is>
      </c>
      <c r="D361" t="inlineStr">
        <is>
          <t>Directrice exécutive et avocate générale, Secrétariat du Conseil canadien des relations industrielles</t>
        </is>
      </c>
      <c r="E361" t="inlineStr">
        <is>
          <t>Sylvie Guilbert</t>
        </is>
      </c>
      <c r="F361" t="inlineStr">
        <is>
          <t>Attendance and participartion at the 2017  International Agencies Forum</t>
        </is>
      </c>
      <c r="G361" t="inlineStr">
        <is>
          <t>Participer au forum des agences internationales 2017</t>
        </is>
      </c>
      <c r="H361" s="1" t="n">
        <v>43034</v>
      </c>
      <c r="I361" s="1" t="n">
        <v>43046</v>
      </c>
      <c r="J361" t="inlineStr">
        <is>
          <t>Melbourne, Australia</t>
        </is>
      </c>
      <c r="K361" t="inlineStr">
        <is>
          <t>Melbourne, Australia</t>
        </is>
      </c>
      <c r="P361" t="n">
        <v>12119.26</v>
      </c>
      <c r="Q361" t="n">
        <v>137.32</v>
      </c>
      <c r="R361" t="n">
        <v>1302.3</v>
      </c>
      <c r="S361" t="n">
        <v>1657.57</v>
      </c>
      <c r="T361" t="n">
        <v>25</v>
      </c>
      <c r="U361" t="n">
        <v>15241.45</v>
      </c>
      <c r="X361" t="inlineStr">
        <is>
          <t>atssc-scdata</t>
        </is>
      </c>
      <c r="Y361" t="inlineStr">
        <is>
          <t>Administrative Tribunals Support Service of Canada | Service canadien d'appui aux tribunaux administratifs</t>
        </is>
      </c>
      <c r="Z361" t="n">
        <v>13</v>
      </c>
      <c r="AA361" t="n">
        <v>15241.4499999999</v>
      </c>
      <c r="AB361">
        <f>ROUND(U361-AA361,2)</f>
        <v/>
      </c>
      <c r="AC361" t="b">
        <v>0</v>
      </c>
      <c r="AD361">
        <f>IF(U361="","MISSING_TOTAL",IF(ABS(AB361)&lt;=0.01,"OK","CHECK"))</f>
        <v/>
      </c>
      <c r="AE361">
        <f>IF(U361="","MISSING",IF(AND(AA361&gt;0,U361/AA361&gt;50),"POSSIBLE_SCALE_ERROR","OK"))</f>
        <v/>
      </c>
    </row>
    <row r="362">
      <c r="A362" t="inlineStr">
        <is>
          <t>T-2017-Q4-027</t>
        </is>
      </c>
      <c r="B362" t="inlineStr">
        <is>
          <t>SLE</t>
        </is>
      </c>
      <c r="C362" t="inlineStr">
        <is>
          <t>Executive Director and General Counsel, Secretariat to the Canada Industrial Relations Board</t>
        </is>
      </c>
      <c r="D362" t="inlineStr">
        <is>
          <t>Directrice exécutive et avocate générale, Secrétariat du Conseil canadien des relations industrielles</t>
        </is>
      </c>
      <c r="E362" t="inlineStr">
        <is>
          <t>Sylvie Guilbert</t>
        </is>
      </c>
      <c r="F362" t="inlineStr">
        <is>
          <t>Interviews</t>
        </is>
      </c>
      <c r="G362" t="inlineStr">
        <is>
          <t>Entrevues</t>
        </is>
      </c>
      <c r="H362" s="1" t="n">
        <v>43059</v>
      </c>
      <c r="I362" s="1" t="n">
        <v>43061</v>
      </c>
      <c r="J362" t="inlineStr">
        <is>
          <t>Vancouver, BC</t>
        </is>
      </c>
      <c r="K362" t="inlineStr">
        <is>
          <t>Vancouver, BC</t>
        </is>
      </c>
      <c r="P362" t="n">
        <v>3979.67</v>
      </c>
      <c r="Q362" t="n">
        <v>81</v>
      </c>
      <c r="R362" t="n">
        <v>229.13</v>
      </c>
      <c r="S362" t="n">
        <v>205.3</v>
      </c>
      <c r="U362" t="n">
        <v>4495.1</v>
      </c>
      <c r="X362" t="inlineStr">
        <is>
          <t>atssc-scdata</t>
        </is>
      </c>
      <c r="Y362" t="inlineStr">
        <is>
          <t>Administrative Tribunals Support Service of Canada | Service canadien d'appui aux tribunaux administratifs</t>
        </is>
      </c>
      <c r="Z362" t="n">
        <v>3</v>
      </c>
      <c r="AA362" t="n">
        <v>4495.1</v>
      </c>
      <c r="AB362">
        <f>ROUND(U362-AA362,2)</f>
        <v/>
      </c>
      <c r="AC362" t="b">
        <v>0</v>
      </c>
      <c r="AD362">
        <f>IF(U362="","MISSING_TOTAL",IF(ABS(AB362)&lt;=0.01,"OK","CHECK"))</f>
        <v/>
      </c>
      <c r="AE362">
        <f>IF(U362="","MISSING",IF(AND(AA362&gt;0,U362/AA362&gt;50),"POSSIBLE_SCALE_ERROR","OK"))</f>
        <v/>
      </c>
    </row>
    <row r="363">
      <c r="A363" t="inlineStr">
        <is>
          <t>T-2017-Q4-028</t>
        </is>
      </c>
      <c r="B363" t="inlineStr">
        <is>
          <t>SLE</t>
        </is>
      </c>
      <c r="C363" t="inlineStr">
        <is>
          <t>Chairperson, Canadian Cultural Property Export Review Board</t>
        </is>
      </c>
      <c r="D363" t="inlineStr">
        <is>
          <t>Présidente, Commission canadienne d’examen des exportations de biens culturels</t>
        </is>
      </c>
      <c r="E363" t="inlineStr">
        <is>
          <t>Sharilyn Ingram</t>
        </is>
      </c>
      <c r="F363" t="inlineStr">
        <is>
          <t>Attend the preparation day of  the CCPERB meeting and participate in training</t>
        </is>
      </c>
      <c r="G363" t="inlineStr">
        <is>
          <t>Assister à la journée préparatoire de la réunion de la CCEEBC et participer à une formation</t>
        </is>
      </c>
      <c r="H363" s="1" t="n">
        <v>43068</v>
      </c>
      <c r="I363" s="1" t="n">
        <v>43071</v>
      </c>
      <c r="J363" t="inlineStr">
        <is>
          <t>Gatineau, QC</t>
        </is>
      </c>
      <c r="K363" t="inlineStr">
        <is>
          <t>Gatineau, QC</t>
        </is>
      </c>
      <c r="Q363" t="n">
        <v>694.35</v>
      </c>
      <c r="R363" t="n">
        <v>581.97</v>
      </c>
      <c r="S363" t="n">
        <v>344.15</v>
      </c>
      <c r="U363" t="n">
        <v>1620.47</v>
      </c>
      <c r="X363" t="inlineStr">
        <is>
          <t>atssc-scdata</t>
        </is>
      </c>
      <c r="Y363" t="inlineStr">
        <is>
          <t>Administrative Tribunals Support Service of Canada | Service canadien d'appui aux tribunaux administratifs</t>
        </is>
      </c>
      <c r="Z363" t="n">
        <v>4</v>
      </c>
      <c r="AA363" t="n">
        <v>1620.47</v>
      </c>
      <c r="AB363">
        <f>ROUND(U363-AA363,2)</f>
        <v/>
      </c>
      <c r="AC363" t="b">
        <v>0</v>
      </c>
      <c r="AD363">
        <f>IF(U363="","MISSING_TOTAL",IF(ABS(AB363)&lt;=0.01,"OK","CHECK"))</f>
        <v/>
      </c>
      <c r="AE363">
        <f>IF(U363="","MISSING",IF(AND(AA363&gt;0,U363/AA363&gt;50),"POSSIBLE_SCALE_ERROR","OK"))</f>
        <v/>
      </c>
    </row>
    <row r="364">
      <c r="A364" t="inlineStr">
        <is>
          <t>T-2017-Q4-029</t>
        </is>
      </c>
      <c r="B364" t="inlineStr">
        <is>
          <t>SLE</t>
        </is>
      </c>
      <c r="C364" t="inlineStr">
        <is>
          <t>Chairperson, Canadian Cultural Property Export Review Board</t>
        </is>
      </c>
      <c r="D364" t="inlineStr">
        <is>
          <t>Présidente, Commission canadienne d’examen des exportations de biens culturels</t>
        </is>
      </c>
      <c r="E364" t="inlineStr">
        <is>
          <t>Sharilyn Ingram</t>
        </is>
      </c>
      <c r="F364" t="inlineStr">
        <is>
          <t>Attend the CCPERB meeting</t>
        </is>
      </c>
      <c r="G364" t="inlineStr">
        <is>
          <t>Assister à la réunion de la CCEEBC</t>
        </is>
      </c>
      <c r="H364" s="1" t="n">
        <v>43446</v>
      </c>
      <c r="I364" s="1" t="n">
        <v>43447</v>
      </c>
      <c r="J364" t="inlineStr">
        <is>
          <t>Ottawa, ON</t>
        </is>
      </c>
      <c r="K364" t="inlineStr">
        <is>
          <t>Ottawa, ON</t>
        </is>
      </c>
      <c r="P364" t="n">
        <v>498.84</v>
      </c>
      <c r="Q364" t="n">
        <v>214.26</v>
      </c>
      <c r="R364" t="n">
        <v>572.64</v>
      </c>
      <c r="S364" t="n">
        <v>372.6</v>
      </c>
      <c r="U364" t="n">
        <v>1658.34</v>
      </c>
      <c r="X364" t="inlineStr">
        <is>
          <t>atssc-scdata</t>
        </is>
      </c>
      <c r="Y364" t="inlineStr">
        <is>
          <t>Administrative Tribunals Support Service of Canada | Service canadien d'appui aux tribunaux administratifs</t>
        </is>
      </c>
      <c r="Z364" t="n">
        <v>2</v>
      </c>
      <c r="AA364" t="n">
        <v>1658.33999999999</v>
      </c>
      <c r="AB364">
        <f>ROUND(U364-AA364,2)</f>
        <v/>
      </c>
      <c r="AC364" t="b">
        <v>0</v>
      </c>
      <c r="AD364">
        <f>IF(U364="","MISSING_TOTAL",IF(ABS(AB364)&lt;=0.01,"OK","CHECK"))</f>
        <v/>
      </c>
      <c r="AE364">
        <f>IF(U364="","MISSING",IF(AND(AA364&gt;0,U364/AA364&gt;50),"POSSIBLE_SCALE_ERROR","OK"))</f>
        <v/>
      </c>
    </row>
    <row r="365">
      <c r="A365" t="inlineStr">
        <is>
          <t>T-2017-Q4-030</t>
        </is>
      </c>
      <c r="B365" t="inlineStr">
        <is>
          <t>SLE</t>
        </is>
      </c>
      <c r="C365" t="inlineStr">
        <is>
          <t>Chairperson, Canadian Cultural Property Export Review Board</t>
        </is>
      </c>
      <c r="D365" t="inlineStr">
        <is>
          <t>Présidente, Commission canadienne d’examen des exportations de biens culturels</t>
        </is>
      </c>
      <c r="E365" t="inlineStr">
        <is>
          <t>Sharilyn Ingram</t>
        </is>
      </c>
      <c r="F365" t="inlineStr">
        <is>
          <t>Attend the CCPERB Orientation Meeting</t>
        </is>
      </c>
      <c r="G365" t="inlineStr">
        <is>
          <t>Assister à la réunion d'orientation  de la CCEEBC</t>
        </is>
      </c>
      <c r="H365" s="1" t="n">
        <v>43121</v>
      </c>
      <c r="I365" s="1" t="n">
        <v>43124</v>
      </c>
      <c r="J365" t="inlineStr">
        <is>
          <t>Ottawa, ON</t>
        </is>
      </c>
      <c r="K365" t="inlineStr">
        <is>
          <t>Ottawa, ON</t>
        </is>
      </c>
      <c r="P365" t="n">
        <v>552.63</v>
      </c>
      <c r="Q365" t="n">
        <v>221.92</v>
      </c>
      <c r="R365" t="n">
        <v>578.1900000000001</v>
      </c>
      <c r="S365" t="n">
        <v>391.5</v>
      </c>
      <c r="U365" t="n">
        <v>1744.24</v>
      </c>
      <c r="X365" t="inlineStr">
        <is>
          <t>atssc-scdata</t>
        </is>
      </c>
      <c r="Y365" t="inlineStr">
        <is>
          <t>Administrative Tribunals Support Service of Canada | Service canadien d'appui aux tribunaux administratifs</t>
        </is>
      </c>
      <c r="Z365" t="n">
        <v>4</v>
      </c>
      <c r="AA365" t="n">
        <v>1744.24</v>
      </c>
      <c r="AB365">
        <f>ROUND(U365-AA365,2)</f>
        <v/>
      </c>
      <c r="AC365" t="b">
        <v>0</v>
      </c>
      <c r="AD365">
        <f>IF(U365="","MISSING_TOTAL",IF(ABS(AB365)&lt;=0.01,"OK","CHECK"))</f>
        <v/>
      </c>
      <c r="AE365">
        <f>IF(U365="","MISSING",IF(AND(AA365&gt;0,U365/AA365&gt;50),"POSSIBLE_SCALE_ERROR","OK"))</f>
        <v/>
      </c>
    </row>
    <row r="366">
      <c r="A366" t="inlineStr">
        <is>
          <t>T-2017-Q4-031</t>
        </is>
      </c>
      <c r="B366" t="inlineStr">
        <is>
          <t>SLE</t>
        </is>
      </c>
      <c r="C366" t="inlineStr">
        <is>
          <t>Chairperson, Canadian Human Rights Tribunal</t>
        </is>
      </c>
      <c r="D366" t="inlineStr">
        <is>
          <t>Président, Tribunal canadien des droits de la personne</t>
        </is>
      </c>
      <c r="E366" t="inlineStr">
        <is>
          <t>David Thomas</t>
        </is>
      </c>
      <c r="F366" t="inlineStr">
        <is>
          <t>Mediation file #T2206/2817</t>
        </is>
      </c>
      <c r="G366" t="inlineStr">
        <is>
          <t>Médiation dossier #T2206/2817</t>
        </is>
      </c>
      <c r="H366" s="1" t="n">
        <v>43075</v>
      </c>
      <c r="I366" s="1" t="n">
        <v>43076</v>
      </c>
      <c r="J366" t="inlineStr">
        <is>
          <t>London, ON</t>
        </is>
      </c>
      <c r="K366" t="inlineStr">
        <is>
          <t>London, ON</t>
        </is>
      </c>
      <c r="P366" t="n">
        <v>616.26</v>
      </c>
      <c r="Q366" t="n">
        <v>87.73</v>
      </c>
      <c r="R366" t="n">
        <v>219.49</v>
      </c>
      <c r="S366" t="n">
        <v>157.95</v>
      </c>
      <c r="U366" t="n">
        <v>1081.43</v>
      </c>
      <c r="X366" t="inlineStr">
        <is>
          <t>atssc-scdata</t>
        </is>
      </c>
      <c r="Y366" t="inlineStr">
        <is>
          <t>Administrative Tribunals Support Service of Canada | Service canadien d'appui aux tribunaux administratifs</t>
        </is>
      </c>
      <c r="Z366" t="n">
        <v>2</v>
      </c>
      <c r="AA366" t="n">
        <v>1081.43</v>
      </c>
      <c r="AB366">
        <f>ROUND(U366-AA366,2)</f>
        <v/>
      </c>
      <c r="AC366" t="b">
        <v>0</v>
      </c>
      <c r="AD366">
        <f>IF(U366="","MISSING_TOTAL",IF(ABS(AB366)&lt;=0.01,"OK","CHECK"))</f>
        <v/>
      </c>
      <c r="AE366">
        <f>IF(U366="","MISSING",IF(AND(AA366&gt;0,U366/AA366&gt;50),"POSSIBLE_SCALE_ERROR","OK"))</f>
        <v/>
      </c>
    </row>
    <row r="367">
      <c r="A367" t="inlineStr">
        <is>
          <t>T-2017-Q4-032</t>
        </is>
      </c>
      <c r="B367" t="inlineStr">
        <is>
          <t>SLE</t>
        </is>
      </c>
      <c r="C367" t="inlineStr">
        <is>
          <t>Chairperson, Canadian Human Rights Tribunal</t>
        </is>
      </c>
      <c r="D367" t="inlineStr">
        <is>
          <t>Président, Tribunal canadien des droits de la personne</t>
        </is>
      </c>
      <c r="E367" t="inlineStr">
        <is>
          <t>David Thomas</t>
        </is>
      </c>
      <c r="F367" t="inlineStr">
        <is>
          <t>Mediation file #T2223/4517</t>
        </is>
      </c>
      <c r="G367" t="inlineStr">
        <is>
          <t>Médiation dossier #T2223/4517</t>
        </is>
      </c>
      <c r="H367" s="1" t="n">
        <v>43111</v>
      </c>
      <c r="I367" s="1" t="n">
        <v>43116</v>
      </c>
      <c r="J367" t="inlineStr">
        <is>
          <t>Vancouver, BC</t>
        </is>
      </c>
      <c r="K367" t="inlineStr">
        <is>
          <t>Vancouver, BC</t>
        </is>
      </c>
      <c r="P367" t="n">
        <v>842.79</v>
      </c>
      <c r="Q367" t="n">
        <v>184.09</v>
      </c>
      <c r="R367" t="n">
        <v>364.26</v>
      </c>
      <c r="S367" t="n">
        <v>410.6</v>
      </c>
      <c r="U367" t="n">
        <v>1801.74</v>
      </c>
      <c r="X367" t="inlineStr">
        <is>
          <t>atssc-scdata</t>
        </is>
      </c>
      <c r="Y367" t="inlineStr">
        <is>
          <t>Administrative Tribunals Support Service of Canada | Service canadien d'appui aux tribunaux administratifs</t>
        </is>
      </c>
      <c r="Z367" t="n">
        <v>6</v>
      </c>
      <c r="AA367" t="n">
        <v>1801.73999999999</v>
      </c>
      <c r="AB367">
        <f>ROUND(U367-AA367,2)</f>
        <v/>
      </c>
      <c r="AC367" t="b">
        <v>0</v>
      </c>
      <c r="AD367">
        <f>IF(U367="","MISSING_TOTAL",IF(ABS(AB367)&lt;=0.01,"OK","CHECK"))</f>
        <v/>
      </c>
      <c r="AE367">
        <f>IF(U367="","MISSING",IF(AND(AA367&gt;0,U367/AA367&gt;50),"POSSIBLE_SCALE_ERROR","OK"))</f>
        <v/>
      </c>
    </row>
    <row r="368">
      <c r="A368" t="inlineStr">
        <is>
          <t>T-2018-Q1-001</t>
        </is>
      </c>
      <c r="B368" t="inlineStr">
        <is>
          <t>SLE</t>
        </is>
      </c>
      <c r="C368" t="inlineStr">
        <is>
          <t>A/Executive Director and General Counsel, Secretariat to the Public Service Labour Relations and Employment Board</t>
        </is>
      </c>
      <c r="D368" t="inlineStr">
        <is>
          <t>Directrice générale et avocate générale par intérim, Secrétariat de la Commission des relations de travail et de l’emploi dans la fonction publique</t>
        </is>
      </c>
      <c r="E368" t="inlineStr">
        <is>
          <t>Virginia Adamson</t>
        </is>
      </c>
      <c r="F368" t="inlineStr">
        <is>
          <t>To attend a meeting of the Association of Labour Relations Agencies</t>
        </is>
      </c>
      <c r="G368" t="inlineStr">
        <is>
          <t>Participer à une rencontre de la Association of Labour Relations Agencies</t>
        </is>
      </c>
      <c r="H368" s="1" t="n">
        <v>43161</v>
      </c>
      <c r="I368" s="1" t="n">
        <v>43163</v>
      </c>
      <c r="J368" t="inlineStr">
        <is>
          <t>Boston, US</t>
        </is>
      </c>
      <c r="Q368" t="n">
        <v>34</v>
      </c>
      <c r="S368" t="n">
        <v>19.1</v>
      </c>
      <c r="U368" t="n">
        <v>53.1</v>
      </c>
      <c r="V368" t="inlineStr">
        <is>
          <t>Trip was cancelled</t>
        </is>
      </c>
      <c r="W368" t="inlineStr">
        <is>
          <t>Voyage annulé</t>
        </is>
      </c>
      <c r="X368" t="inlineStr">
        <is>
          <t>atssc-scdata</t>
        </is>
      </c>
      <c r="Y368" t="inlineStr">
        <is>
          <t>Administrative Tribunals Support Service of Canada | Service canadien d'appui aux tribunaux administratifs</t>
        </is>
      </c>
      <c r="Z368" t="n">
        <v>3</v>
      </c>
      <c r="AA368" t="n">
        <v>53.1</v>
      </c>
      <c r="AB368">
        <f>ROUND(U368-AA368,2)</f>
        <v/>
      </c>
      <c r="AC368" t="b">
        <v>0</v>
      </c>
      <c r="AD368">
        <f>IF(U368="","MISSING_TOTAL",IF(ABS(AB368)&lt;=0.01,"OK","CHECK"))</f>
        <v/>
      </c>
      <c r="AE368">
        <f>IF(U368="","MISSING",IF(AND(AA368&gt;0,U368/AA368&gt;50),"POSSIBLE_SCALE_ERROR","OK"))</f>
        <v/>
      </c>
    </row>
    <row r="369">
      <c r="A369" t="inlineStr">
        <is>
          <t>T-2018-Q1-002</t>
        </is>
      </c>
      <c r="B369" t="inlineStr">
        <is>
          <t>SLE</t>
        </is>
      </c>
      <c r="C369" t="inlineStr">
        <is>
          <t>A/Chairperson, Canadian International Trade Tribunal</t>
        </is>
      </c>
      <c r="D369" t="inlineStr">
        <is>
          <t>Président par intérim, Tribunal Canadien du commerce extérieur</t>
        </is>
      </c>
      <c r="E369" t="inlineStr">
        <is>
          <t>Jean Bédard</t>
        </is>
      </c>
      <c r="F369" t="inlineStr">
        <is>
          <t>Outreach at Queen's University</t>
        </is>
      </c>
      <c r="G369" t="inlineStr">
        <is>
          <t>Sensibilisation à l'Université de Queens</t>
        </is>
      </c>
      <c r="H369" s="1" t="n">
        <v>43159</v>
      </c>
      <c r="I369" s="1" t="n">
        <v>43159</v>
      </c>
      <c r="J369" t="inlineStr">
        <is>
          <t>Kingston, On</t>
        </is>
      </c>
      <c r="Q369" t="n">
        <v>277.8</v>
      </c>
      <c r="U369" t="n">
        <v>277.8</v>
      </c>
      <c r="X369" t="inlineStr">
        <is>
          <t>atssc-scdata</t>
        </is>
      </c>
      <c r="Y369" t="inlineStr">
        <is>
          <t>Administrative Tribunals Support Service of Canada | Service canadien d'appui aux tribunaux administratifs</t>
        </is>
      </c>
      <c r="Z369" t="n">
        <v>1</v>
      </c>
      <c r="AA369" t="n">
        <v>277.8</v>
      </c>
      <c r="AB369">
        <f>ROUND(U369-AA369,2)</f>
        <v/>
      </c>
      <c r="AC369" t="b">
        <v>0</v>
      </c>
      <c r="AD369">
        <f>IF(U369="","MISSING_TOTAL",IF(ABS(AB369)&lt;=0.01,"OK","CHECK"))</f>
        <v/>
      </c>
      <c r="AE369">
        <f>IF(U369="","MISSING",IF(AND(AA369&gt;0,U369/AA369&gt;50),"POSSIBLE_SCALE_ERROR","OK"))</f>
        <v/>
      </c>
    </row>
    <row r="370">
      <c r="A370" t="inlineStr">
        <is>
          <t>T-2018-Q1-003</t>
        </is>
      </c>
      <c r="B370" t="inlineStr">
        <is>
          <t>SLE</t>
        </is>
      </c>
      <c r="C370" t="inlineStr">
        <is>
          <t>Chairperson, Canada Agricultural Review Tribunal</t>
        </is>
      </c>
      <c r="D370" t="inlineStr">
        <is>
          <t>Président, Commission de révision agricole du Canada</t>
        </is>
      </c>
      <c r="E370" t="inlineStr">
        <is>
          <t>Luc Bélanger</t>
        </is>
      </c>
      <c r="F370" t="inlineStr">
        <is>
          <t>Hearing files #  CART-1921 and CART-1951</t>
        </is>
      </c>
      <c r="G370" t="inlineStr">
        <is>
          <t>Dossier d'audience no CRAC-1921 et CRAC 1951</t>
        </is>
      </c>
      <c r="H370" s="1" t="n">
        <v>43150</v>
      </c>
      <c r="I370" s="1" t="n">
        <v>43152</v>
      </c>
      <c r="J370" t="inlineStr">
        <is>
          <t>Montreal, Qc</t>
        </is>
      </c>
      <c r="Q370" t="n">
        <v>241.8</v>
      </c>
      <c r="R370" t="n">
        <v>526.64</v>
      </c>
      <c r="S370" t="n">
        <v>241.5</v>
      </c>
      <c r="U370" t="n">
        <v>1009.94</v>
      </c>
      <c r="X370" t="inlineStr">
        <is>
          <t>atssc-scdata</t>
        </is>
      </c>
      <c r="Y370" t="inlineStr">
        <is>
          <t>Administrative Tribunals Support Service of Canada | Service canadien d'appui aux tribunaux administratifs</t>
        </is>
      </c>
      <c r="Z370" t="n">
        <v>3</v>
      </c>
      <c r="AA370" t="n">
        <v>1009.94</v>
      </c>
      <c r="AB370">
        <f>ROUND(U370-AA370,2)</f>
        <v/>
      </c>
      <c r="AC370" t="b">
        <v>0</v>
      </c>
      <c r="AD370">
        <f>IF(U370="","MISSING_TOTAL",IF(ABS(AB370)&lt;=0.01,"OK","CHECK"))</f>
        <v/>
      </c>
      <c r="AE370">
        <f>IF(U370="","MISSING",IF(AND(AA370&gt;0,U370/AA370&gt;50),"POSSIBLE_SCALE_ERROR","OK"))</f>
        <v/>
      </c>
    </row>
    <row r="371">
      <c r="A371" t="inlineStr">
        <is>
          <t>T-2018-Q1-004</t>
        </is>
      </c>
      <c r="B371" t="inlineStr">
        <is>
          <t>SLE</t>
        </is>
      </c>
      <c r="C371" t="inlineStr">
        <is>
          <t>Executive Director, Secretariat to the Canadian Cultural Property Export Review Board</t>
        </is>
      </c>
      <c r="D371" t="inlineStr">
        <is>
          <t>Directrice exécutive, Secrétariat de la Commission canadienne d’examen des exportations de biens culturels</t>
        </is>
      </c>
      <c r="E371" t="inlineStr">
        <is>
          <t>Delphine Bishop</t>
        </is>
      </c>
      <c r="F371" t="inlineStr">
        <is>
          <t>Attend the CCPERB Orientation Meeting</t>
        </is>
      </c>
      <c r="G371" t="inlineStr">
        <is>
          <t>Assister à la réunion d'orientation  de la CCEEBC</t>
        </is>
      </c>
      <c r="H371" s="1" t="n">
        <v>43122</v>
      </c>
      <c r="I371" s="1" t="n">
        <v>43124</v>
      </c>
      <c r="J371" t="inlineStr">
        <is>
          <t>Ottawa, ON</t>
        </is>
      </c>
      <c r="R371" t="n">
        <v>391.68</v>
      </c>
      <c r="T371" t="n">
        <v>67.90000000000001</v>
      </c>
      <c r="U371" t="n">
        <v>459.58</v>
      </c>
      <c r="X371" t="inlineStr">
        <is>
          <t>atssc-scdata</t>
        </is>
      </c>
      <c r="Y371" t="inlineStr">
        <is>
          <t>Administrative Tribunals Support Service of Canada | Service canadien d'appui aux tribunaux administratifs</t>
        </is>
      </c>
      <c r="Z371" t="n">
        <v>3</v>
      </c>
      <c r="AA371" t="n">
        <v>459.58</v>
      </c>
      <c r="AB371">
        <f>ROUND(U371-AA371,2)</f>
        <v/>
      </c>
      <c r="AC371" t="b">
        <v>0</v>
      </c>
      <c r="AD371">
        <f>IF(U371="","MISSING_TOTAL",IF(ABS(AB371)&lt;=0.01,"OK","CHECK"))</f>
        <v/>
      </c>
      <c r="AE371">
        <f>IF(U371="","MISSING",IF(AND(AA371&gt;0,U371/AA371&gt;50),"POSSIBLE_SCALE_ERROR","OK"))</f>
        <v/>
      </c>
    </row>
    <row r="372">
      <c r="A372" t="inlineStr">
        <is>
          <t>T-2018-Q1-005</t>
        </is>
      </c>
      <c r="B372" t="inlineStr">
        <is>
          <t>SLE</t>
        </is>
      </c>
      <c r="C372" t="inlineStr">
        <is>
          <t>Executive Director, Secretariat to the Canadian Cultural Property Export Review Board</t>
        </is>
      </c>
      <c r="D372" t="inlineStr">
        <is>
          <t>Directrice exécutive, Secrétariat de la Commission canadienne d’examen des exportations de biens culturels</t>
        </is>
      </c>
      <c r="E372" t="inlineStr">
        <is>
          <t>Delphine Bishop</t>
        </is>
      </c>
      <c r="F372" t="inlineStr">
        <is>
          <t>Attend the CCPERB meeting</t>
        </is>
      </c>
      <c r="G372" t="inlineStr">
        <is>
          <t>Assister à la réunion de la CCEEBC</t>
        </is>
      </c>
      <c r="H372" s="1" t="n">
        <v>43179</v>
      </c>
      <c r="I372" s="1" t="n">
        <v>43179</v>
      </c>
      <c r="J372" t="inlineStr">
        <is>
          <t>Ottawa, ON</t>
        </is>
      </c>
      <c r="T372" t="n">
        <v>20</v>
      </c>
      <c r="U372" t="n">
        <v>20</v>
      </c>
      <c r="X372" t="inlineStr">
        <is>
          <t>atssc-scdata</t>
        </is>
      </c>
      <c r="Y372" t="inlineStr">
        <is>
          <t>Administrative Tribunals Support Service of Canada | Service canadien d'appui aux tribunaux administratifs</t>
        </is>
      </c>
      <c r="Z372" t="n">
        <v>1</v>
      </c>
      <c r="AA372" t="n">
        <v>20</v>
      </c>
      <c r="AB372">
        <f>ROUND(U372-AA372,2)</f>
        <v/>
      </c>
      <c r="AC372" t="b">
        <v>0</v>
      </c>
      <c r="AD372">
        <f>IF(U372="","MISSING_TOTAL",IF(ABS(AB372)&lt;=0.01,"OK","CHECK"))</f>
        <v/>
      </c>
      <c r="AE372">
        <f>IF(U372="","MISSING",IF(AND(AA372&gt;0,U372/AA372&gt;50),"POSSIBLE_SCALE_ERROR","OK"))</f>
        <v/>
      </c>
    </row>
    <row r="373">
      <c r="A373" t="inlineStr">
        <is>
          <t>T-2018-Q1-006</t>
        </is>
      </c>
      <c r="B373" t="inlineStr">
        <is>
          <t>SLE</t>
        </is>
      </c>
      <c r="C373" t="inlineStr">
        <is>
          <t>Executive Director, Secretariat to the Canadian Cultural Property Export Review Board</t>
        </is>
      </c>
      <c r="D373" t="inlineStr">
        <is>
          <t>Directrice exécutive, Secrétariat de la Commission canadienne d’examen des exportations de biens culturels</t>
        </is>
      </c>
      <c r="E373" t="inlineStr">
        <is>
          <t>Delphine Bishop</t>
        </is>
      </c>
      <c r="F373" t="inlineStr">
        <is>
          <t>Attend the CCPERB meeting</t>
        </is>
      </c>
      <c r="G373" t="inlineStr">
        <is>
          <t>Assister à la réunion de la CCEEBC</t>
        </is>
      </c>
      <c r="H373" s="1" t="n">
        <v>43180</v>
      </c>
      <c r="I373" s="1" t="n">
        <v>43180</v>
      </c>
      <c r="J373" t="inlineStr">
        <is>
          <t>Ottawa, ON</t>
        </is>
      </c>
      <c r="T373" t="n">
        <v>20</v>
      </c>
      <c r="U373" t="n">
        <v>20</v>
      </c>
      <c r="X373" t="inlineStr">
        <is>
          <t>atssc-scdata</t>
        </is>
      </c>
      <c r="Y373" t="inlineStr">
        <is>
          <t>Administrative Tribunals Support Service of Canada | Service canadien d'appui aux tribunaux administratifs</t>
        </is>
      </c>
      <c r="Z373" t="n">
        <v>1</v>
      </c>
      <c r="AA373" t="n">
        <v>20</v>
      </c>
      <c r="AB373">
        <f>ROUND(U373-AA373,2)</f>
        <v/>
      </c>
      <c r="AC373" t="b">
        <v>0</v>
      </c>
      <c r="AD373">
        <f>IF(U373="","MISSING_TOTAL",IF(ABS(AB373)&lt;=0.01,"OK","CHECK"))</f>
        <v/>
      </c>
      <c r="AE373">
        <f>IF(U373="","MISSING",IF(AND(AA373&gt;0,U373/AA373&gt;50),"POSSIBLE_SCALE_ERROR","OK"))</f>
        <v/>
      </c>
    </row>
    <row r="374">
      <c r="A374" t="inlineStr">
        <is>
          <t>T-2018-Q1-007</t>
        </is>
      </c>
      <c r="B374" t="inlineStr">
        <is>
          <t>SLE</t>
        </is>
      </c>
      <c r="C374" t="inlineStr">
        <is>
          <t>Executive Director, Secretariat to the Canadian Cultural Property Export Review Board</t>
        </is>
      </c>
      <c r="D374" t="inlineStr">
        <is>
          <t>Directrice exécutive, Secrétariat de la Commission canadienne d’examen des exportations de biens culturels</t>
        </is>
      </c>
      <c r="E374" t="inlineStr">
        <is>
          <t>Delphine Bishop</t>
        </is>
      </c>
      <c r="F374" t="inlineStr">
        <is>
          <t>Attend the CCPERB meeting</t>
        </is>
      </c>
      <c r="G374" t="inlineStr">
        <is>
          <t>Assister à la réunion de la CCEEBC</t>
        </is>
      </c>
      <c r="H374" s="1" t="n">
        <v>43181</v>
      </c>
      <c r="I374" s="1" t="n">
        <v>43181</v>
      </c>
      <c r="J374" t="inlineStr">
        <is>
          <t>Ottawa, ON</t>
        </is>
      </c>
      <c r="T374" t="n">
        <v>6</v>
      </c>
      <c r="U374" t="n">
        <v>6</v>
      </c>
      <c r="X374" t="inlineStr">
        <is>
          <t>atssc-scdata</t>
        </is>
      </c>
      <c r="Y374" t="inlineStr">
        <is>
          <t>Administrative Tribunals Support Service of Canada | Service canadien d'appui aux tribunaux administratifs</t>
        </is>
      </c>
      <c r="Z374" t="n">
        <v>1</v>
      </c>
      <c r="AA374" t="n">
        <v>6</v>
      </c>
      <c r="AB374">
        <f>ROUND(U374-AA374,2)</f>
        <v/>
      </c>
      <c r="AC374" t="b">
        <v>0</v>
      </c>
      <c r="AD374">
        <f>IF(U374="","MISSING_TOTAL",IF(ABS(AB374)&lt;=0.01,"OK","CHECK"))</f>
        <v/>
      </c>
      <c r="AE374">
        <f>IF(U374="","MISSING",IF(AND(AA374&gt;0,U374/AA374&gt;50),"POSSIBLE_SCALE_ERROR","OK"))</f>
        <v/>
      </c>
    </row>
    <row r="375">
      <c r="A375" t="inlineStr">
        <is>
          <t>T-2018-Q1-008</t>
        </is>
      </c>
      <c r="B375" t="inlineStr">
        <is>
          <t>SLE</t>
        </is>
      </c>
      <c r="C375" t="inlineStr">
        <is>
          <t>Executive Director, Secretariat to the Canadian Cultural Property Export Review Board</t>
        </is>
      </c>
      <c r="D375" t="inlineStr">
        <is>
          <t>Directrice exécutive, Secrétariat de la Commission canadienne d’examen des exportations de biens culturels</t>
        </is>
      </c>
      <c r="E375" t="inlineStr">
        <is>
          <t>Delphine Bishop</t>
        </is>
      </c>
      <c r="F375" t="inlineStr">
        <is>
          <t>Visit at the Canadian Museum of History</t>
        </is>
      </c>
      <c r="G375" t="inlineStr">
        <is>
          <t>Visite du Musée canadien de l'histoire</t>
        </is>
      </c>
      <c r="H375" s="1" t="n">
        <v>43181</v>
      </c>
      <c r="I375" s="1" t="n">
        <v>43181</v>
      </c>
      <c r="J375" t="inlineStr">
        <is>
          <t>Ottawa, ON</t>
        </is>
      </c>
      <c r="T375" t="n">
        <v>20</v>
      </c>
      <c r="U375" t="n">
        <v>20</v>
      </c>
      <c r="X375" t="inlineStr">
        <is>
          <t>atssc-scdata</t>
        </is>
      </c>
      <c r="Y375" t="inlineStr">
        <is>
          <t>Administrative Tribunals Support Service of Canada | Service canadien d'appui aux tribunaux administratifs</t>
        </is>
      </c>
      <c r="Z375" t="n">
        <v>1</v>
      </c>
      <c r="AA375" t="n">
        <v>20</v>
      </c>
      <c r="AB375">
        <f>ROUND(U375-AA375,2)</f>
        <v/>
      </c>
      <c r="AC375" t="b">
        <v>0</v>
      </c>
      <c r="AD375">
        <f>IF(U375="","MISSING_TOTAL",IF(ABS(AB375)&lt;=0.01,"OK","CHECK"))</f>
        <v/>
      </c>
      <c r="AE375">
        <f>IF(U375="","MISSING",IF(AND(AA375&gt;0,U375/AA375&gt;50),"POSSIBLE_SCALE_ERROR","OK"))</f>
        <v/>
      </c>
    </row>
    <row r="376">
      <c r="A376" t="inlineStr">
        <is>
          <t>T-2018-Q1-009</t>
        </is>
      </c>
      <c r="B376" t="inlineStr">
        <is>
          <t>SLE</t>
        </is>
      </c>
      <c r="C376" t="inlineStr">
        <is>
          <t>Executive Director, Secretariat to the Canadian Cultural Property Export Review Board</t>
        </is>
      </c>
      <c r="D376" t="inlineStr">
        <is>
          <t>Directrice exécutive, Secrétariat de la Commission canadienne d’examen des exportations de biens culturels</t>
        </is>
      </c>
      <c r="E376" t="inlineStr">
        <is>
          <t>Delphine Bishop</t>
        </is>
      </c>
      <c r="F376" t="inlineStr">
        <is>
          <t>Attend the CCPERB meeting</t>
        </is>
      </c>
      <c r="G376" t="inlineStr">
        <is>
          <t>Assister à la réunion de la CCEEBC</t>
        </is>
      </c>
      <c r="H376" s="1" t="n">
        <v>43182</v>
      </c>
      <c r="I376" s="1" t="n">
        <v>43182</v>
      </c>
      <c r="J376" t="inlineStr">
        <is>
          <t>Ottawa, ON</t>
        </is>
      </c>
      <c r="T376" t="n">
        <v>20</v>
      </c>
      <c r="U376" t="n">
        <v>20</v>
      </c>
      <c r="X376" t="inlineStr">
        <is>
          <t>atssc-scdata</t>
        </is>
      </c>
      <c r="Y376" t="inlineStr">
        <is>
          <t>Administrative Tribunals Support Service of Canada | Service canadien d'appui aux tribunaux administratifs</t>
        </is>
      </c>
      <c r="Z376" t="n">
        <v>1</v>
      </c>
      <c r="AA376" t="n">
        <v>20</v>
      </c>
      <c r="AB376">
        <f>ROUND(U376-AA376,2)</f>
        <v/>
      </c>
      <c r="AC376" t="b">
        <v>0</v>
      </c>
      <c r="AD376">
        <f>IF(U376="","MISSING_TOTAL",IF(ABS(AB376)&lt;=0.01,"OK","CHECK"))</f>
        <v/>
      </c>
      <c r="AE376">
        <f>IF(U376="","MISSING",IF(AND(AA376&gt;0,U376/AA376&gt;50),"POSSIBLE_SCALE_ERROR","OK"))</f>
        <v/>
      </c>
    </row>
    <row r="377">
      <c r="A377" t="inlineStr">
        <is>
          <t>T-2018-Q1-010</t>
        </is>
      </c>
      <c r="B377" t="inlineStr">
        <is>
          <t>SLE</t>
        </is>
      </c>
      <c r="C377" t="inlineStr">
        <is>
          <t>Executive Director, Secretariat to the Canadian Cultural Property Export Review Board</t>
        </is>
      </c>
      <c r="D377" t="inlineStr">
        <is>
          <t>Directrice exécutive, Secrétariat de la Commission canadienne d’examen des exportations de biens culturels</t>
        </is>
      </c>
      <c r="E377" t="inlineStr">
        <is>
          <t>Delphine Bishop</t>
        </is>
      </c>
      <c r="F377" t="inlineStr">
        <is>
          <t>Attend a Senior Management Committee meeting</t>
        </is>
      </c>
      <c r="G377" t="inlineStr">
        <is>
          <t>Participer à une rencontre du comité de la haute direction</t>
        </is>
      </c>
      <c r="H377" s="1" t="n">
        <v>43145</v>
      </c>
      <c r="I377" s="1" t="n">
        <v>43145</v>
      </c>
      <c r="J377" t="inlineStr">
        <is>
          <t>Ottawa, ON</t>
        </is>
      </c>
      <c r="T377" t="n">
        <v>20</v>
      </c>
      <c r="U377" t="n">
        <v>20</v>
      </c>
      <c r="X377" t="inlineStr">
        <is>
          <t>atssc-scdata</t>
        </is>
      </c>
      <c r="Y377" t="inlineStr">
        <is>
          <t>Administrative Tribunals Support Service of Canada | Service canadien d'appui aux tribunaux administratifs</t>
        </is>
      </c>
      <c r="Z377" t="n">
        <v>1</v>
      </c>
      <c r="AA377" t="n">
        <v>20</v>
      </c>
      <c r="AB377">
        <f>ROUND(U377-AA377,2)</f>
        <v/>
      </c>
      <c r="AC377" t="b">
        <v>0</v>
      </c>
      <c r="AD377">
        <f>IF(U377="","MISSING_TOTAL",IF(ABS(AB377)&lt;=0.01,"OK","CHECK"))</f>
        <v/>
      </c>
      <c r="AE377">
        <f>IF(U377="","MISSING",IF(AND(AA377&gt;0,U377/AA377&gt;50),"POSSIBLE_SCALE_ERROR","OK"))</f>
        <v/>
      </c>
    </row>
    <row r="378">
      <c r="A378" t="inlineStr">
        <is>
          <t>T-2018-Q1-011</t>
        </is>
      </c>
      <c r="B378" t="inlineStr">
        <is>
          <t>SLE</t>
        </is>
      </c>
      <c r="C378" t="inlineStr">
        <is>
          <t>Executive Director, Secretariat to the Canadian Cultural Property Export Review Board</t>
        </is>
      </c>
      <c r="D378" t="inlineStr">
        <is>
          <t>Directrice exécutive, Secrétariat de la Commission canadienne d’examen des exportations de biens culturels</t>
        </is>
      </c>
      <c r="E378" t="inlineStr">
        <is>
          <t>Delphine Bishop</t>
        </is>
      </c>
      <c r="F378" t="inlineStr">
        <is>
          <t>Attend a Senior Management Committee meeting</t>
        </is>
      </c>
      <c r="G378" t="inlineStr">
        <is>
          <t>Participer à une rencontre du comité de la haute direction</t>
        </is>
      </c>
      <c r="H378" s="1" t="n">
        <v>43188</v>
      </c>
      <c r="I378" s="1" t="n">
        <v>43188</v>
      </c>
      <c r="J378" t="inlineStr">
        <is>
          <t>Ottawa, ON</t>
        </is>
      </c>
      <c r="T378" t="n">
        <v>20</v>
      </c>
      <c r="U378" t="n">
        <v>20</v>
      </c>
      <c r="X378" t="inlineStr">
        <is>
          <t>atssc-scdata</t>
        </is>
      </c>
      <c r="Y378" t="inlineStr">
        <is>
          <t>Administrative Tribunals Support Service of Canada | Service canadien d'appui aux tribunaux administratifs</t>
        </is>
      </c>
      <c r="Z378" t="n">
        <v>1</v>
      </c>
      <c r="AA378" t="n">
        <v>20</v>
      </c>
      <c r="AB378">
        <f>ROUND(U378-AA378,2)</f>
        <v/>
      </c>
      <c r="AC378" t="b">
        <v>0</v>
      </c>
      <c r="AD378">
        <f>IF(U378="","MISSING_TOTAL",IF(ABS(AB378)&lt;=0.01,"OK","CHECK"))</f>
        <v/>
      </c>
      <c r="AE378">
        <f>IF(U378="","MISSING",IF(AND(AA378&gt;0,U378/AA378&gt;50),"POSSIBLE_SCALE_ERROR","OK"))</f>
        <v/>
      </c>
    </row>
    <row r="379">
      <c r="A379" t="inlineStr">
        <is>
          <t>T-2018-Q1-012</t>
        </is>
      </c>
      <c r="B379" t="inlineStr">
        <is>
          <t>SLE</t>
        </is>
      </c>
      <c r="C379" t="inlineStr">
        <is>
          <t>Acting Director General, Corporate Services and CFO</t>
        </is>
      </c>
      <c r="D379" t="inlineStr">
        <is>
          <t>Directeur général, Services de gestion et DPF par intérim</t>
        </is>
      </c>
      <c r="E379" t="inlineStr">
        <is>
          <t>Christopher Bucar</t>
        </is>
      </c>
      <c r="F379" t="inlineStr">
        <is>
          <t>DCFO information session</t>
        </is>
      </c>
      <c r="G379" t="inlineStr">
        <is>
          <t>Participer a une séance d’information - ADPF</t>
        </is>
      </c>
      <c r="H379" s="1" t="n">
        <v>43223</v>
      </c>
      <c r="I379" s="1" t="n">
        <v>43223</v>
      </c>
      <c r="J379" t="inlineStr">
        <is>
          <t>Ottawa, ON</t>
        </is>
      </c>
      <c r="T379" t="n">
        <v>12</v>
      </c>
      <c r="U379" t="n">
        <v>12</v>
      </c>
      <c r="X379" t="inlineStr">
        <is>
          <t>atssc-scdata</t>
        </is>
      </c>
      <c r="Y379" t="inlineStr">
        <is>
          <t>Administrative Tribunals Support Service of Canada | Service canadien d'appui aux tribunaux administratifs</t>
        </is>
      </c>
      <c r="Z379" t="n">
        <v>1</v>
      </c>
      <c r="AA379" t="n">
        <v>12</v>
      </c>
      <c r="AB379">
        <f>ROUND(U379-AA379,2)</f>
        <v/>
      </c>
      <c r="AC379" t="b">
        <v>0</v>
      </c>
      <c r="AD379">
        <f>IF(U379="","MISSING_TOTAL",IF(ABS(AB379)&lt;=0.01,"OK","CHECK"))</f>
        <v/>
      </c>
      <c r="AE379">
        <f>IF(U379="","MISSING",IF(AND(AA379&gt;0,U379/AA379&gt;50),"POSSIBLE_SCALE_ERROR","OK"))</f>
        <v/>
      </c>
    </row>
    <row r="380">
      <c r="A380" t="inlineStr">
        <is>
          <t>T-2018-Q1-013</t>
        </is>
      </c>
      <c r="B380" t="inlineStr">
        <is>
          <t>SLE</t>
        </is>
      </c>
      <c r="C380" t="inlineStr">
        <is>
          <t>Acting Director General, Corporate Services and CFO</t>
        </is>
      </c>
      <c r="D380" t="inlineStr">
        <is>
          <t>Directeur général, Services de gestion et DPF par intérim</t>
        </is>
      </c>
      <c r="E380" t="inlineStr">
        <is>
          <t>Christopher Bucar</t>
        </is>
      </c>
      <c r="F380" t="inlineStr">
        <is>
          <t>DCFO ADM meeting</t>
        </is>
      </c>
      <c r="G380" t="inlineStr">
        <is>
          <t>Réunion - ADPF</t>
        </is>
      </c>
      <c r="H380" s="1" t="n">
        <v>43224</v>
      </c>
      <c r="I380" s="1" t="n">
        <v>43224</v>
      </c>
      <c r="J380" t="inlineStr">
        <is>
          <t>Ottawa, ON</t>
        </is>
      </c>
      <c r="T380" t="n">
        <v>12</v>
      </c>
      <c r="U380" t="n">
        <v>12</v>
      </c>
      <c r="X380" t="inlineStr">
        <is>
          <t>atssc-scdata</t>
        </is>
      </c>
      <c r="Y380" t="inlineStr">
        <is>
          <t>Administrative Tribunals Support Service of Canada | Service canadien d'appui aux tribunaux administratifs</t>
        </is>
      </c>
      <c r="Z380" t="n">
        <v>1</v>
      </c>
      <c r="AA380" t="n">
        <v>12</v>
      </c>
      <c r="AB380">
        <f>ROUND(U380-AA380,2)</f>
        <v/>
      </c>
      <c r="AC380" t="b">
        <v>0</v>
      </c>
      <c r="AD380">
        <f>IF(U380="","MISSING_TOTAL",IF(ABS(AB380)&lt;=0.01,"OK","CHECK"))</f>
        <v/>
      </c>
      <c r="AE380">
        <f>IF(U380="","MISSING",IF(AND(AA380&gt;0,U380/AA380&gt;50),"POSSIBLE_SCALE_ERROR","OK"))</f>
        <v/>
      </c>
    </row>
    <row r="381">
      <c r="A381" t="inlineStr">
        <is>
          <t>T-2018-Q1-014</t>
        </is>
      </c>
      <c r="B381" t="inlineStr">
        <is>
          <t>SLE</t>
        </is>
      </c>
      <c r="C381" t="inlineStr">
        <is>
          <t>Chairperson, Canada Industrial Relations Board</t>
        </is>
      </c>
      <c r="D381" t="inlineStr">
        <is>
          <t>Présidente, Conseil canadien des relations industrielles</t>
        </is>
      </c>
      <c r="E381" t="inlineStr">
        <is>
          <t>Ginette Brazeau</t>
        </is>
      </c>
      <c r="F381" t="inlineStr">
        <is>
          <t>To attend a meeting of the Association of Labour Relations Agencies</t>
        </is>
      </c>
      <c r="G381" t="inlineStr">
        <is>
          <t>Participer à une rencontre de la Association of Labour Relations Agencies</t>
        </is>
      </c>
      <c r="H381" s="1" t="n">
        <v>43162</v>
      </c>
      <c r="I381" s="1" t="n">
        <v>43164</v>
      </c>
      <c r="J381" t="inlineStr">
        <is>
          <t>Boston, USA</t>
        </is>
      </c>
      <c r="P381" t="n">
        <v>431.75</v>
      </c>
      <c r="Q381" t="n">
        <v>189.86</v>
      </c>
      <c r="R381" t="n">
        <v>531.6900000000001</v>
      </c>
      <c r="S381" t="n">
        <v>215.83</v>
      </c>
      <c r="T381" t="n">
        <v>47</v>
      </c>
      <c r="U381" t="n">
        <v>1416.13</v>
      </c>
      <c r="X381" t="inlineStr">
        <is>
          <t>atssc-scdata</t>
        </is>
      </c>
      <c r="Y381" t="inlineStr">
        <is>
          <t>Administrative Tribunals Support Service of Canada | Service canadien d'appui aux tribunaux administratifs</t>
        </is>
      </c>
      <c r="Z381" t="n">
        <v>3</v>
      </c>
      <c r="AA381" t="n">
        <v>1416.13</v>
      </c>
      <c r="AB381">
        <f>ROUND(U381-AA381,2)</f>
        <v/>
      </c>
      <c r="AC381" t="b">
        <v>0</v>
      </c>
      <c r="AD381">
        <f>IF(U381="","MISSING_TOTAL",IF(ABS(AB381)&lt;=0.01,"OK","CHECK"))</f>
        <v/>
      </c>
      <c r="AE381">
        <f>IF(U381="","MISSING",IF(AND(AA381&gt;0,U381/AA381&gt;50),"POSSIBLE_SCALE_ERROR","OK"))</f>
        <v/>
      </c>
    </row>
    <row r="382">
      <c r="A382" t="inlineStr">
        <is>
          <t>T-2018-Q1-015</t>
        </is>
      </c>
      <c r="B382" t="inlineStr">
        <is>
          <t>SLE</t>
        </is>
      </c>
      <c r="C382" t="inlineStr">
        <is>
          <t>Chairperson, Canada Industrial Relations Board</t>
        </is>
      </c>
      <c r="D382" t="inlineStr">
        <is>
          <t>Présidente, Conseil canadien des relations industrielles</t>
        </is>
      </c>
      <c r="E382" t="inlineStr">
        <is>
          <t>Ginette Brazeau</t>
        </is>
      </c>
      <c r="F382" t="inlineStr">
        <is>
          <t>Meeting concerning new powers to be conferred under Bill C-44</t>
        </is>
      </c>
      <c r="G382" t="inlineStr">
        <is>
          <t>Réunion concernant les nouveaux pouvoirs pouvant être conférés en vertu du projet de la loi C-44</t>
        </is>
      </c>
      <c r="H382" s="1" t="n">
        <v>43223</v>
      </c>
      <c r="I382" s="1" t="n">
        <v>43225</v>
      </c>
      <c r="J382" t="inlineStr">
        <is>
          <t>Toronto, ON</t>
        </is>
      </c>
      <c r="P382" t="n">
        <v>629.0700000000001</v>
      </c>
      <c r="Q382" t="n">
        <v>24.7</v>
      </c>
      <c r="R382" t="n">
        <v>467.72</v>
      </c>
      <c r="S382" t="n">
        <v>167.3</v>
      </c>
      <c r="T382" t="n">
        <v>47</v>
      </c>
      <c r="U382" t="n">
        <v>1335.79</v>
      </c>
      <c r="X382" t="inlineStr">
        <is>
          <t>atssc-scdata</t>
        </is>
      </c>
      <c r="Y382" t="inlineStr">
        <is>
          <t>Administrative Tribunals Support Service of Canada | Service canadien d'appui aux tribunaux administratifs</t>
        </is>
      </c>
      <c r="Z382" t="n">
        <v>3</v>
      </c>
      <c r="AA382" t="n">
        <v>1335.79</v>
      </c>
      <c r="AB382">
        <f>ROUND(U382-AA382,2)</f>
        <v/>
      </c>
      <c r="AC382" t="b">
        <v>0</v>
      </c>
      <c r="AD382">
        <f>IF(U382="","MISSING_TOTAL",IF(ABS(AB382)&lt;=0.01,"OK","CHECK"))</f>
        <v/>
      </c>
      <c r="AE382">
        <f>IF(U382="","MISSING",IF(AND(AA382&gt;0,U382/AA382&gt;50),"POSSIBLE_SCALE_ERROR","OK"))</f>
        <v/>
      </c>
    </row>
    <row r="383">
      <c r="A383" t="inlineStr">
        <is>
          <t>T-2018-Q1-016</t>
        </is>
      </c>
      <c r="B383" t="inlineStr">
        <is>
          <t>SLE</t>
        </is>
      </c>
      <c r="C383" t="inlineStr">
        <is>
          <t>Chairperson, Canada Industrial Relations Board</t>
        </is>
      </c>
      <c r="D383" t="inlineStr">
        <is>
          <t>Présidente, Conseil canadien des relations industrielles</t>
        </is>
      </c>
      <c r="E383" t="inlineStr">
        <is>
          <t>Ginette Brazeau</t>
        </is>
      </c>
      <c r="F383" t="inlineStr">
        <is>
          <t>Hearing file #31573-C</t>
        </is>
      </c>
      <c r="G383" t="inlineStr">
        <is>
          <t>Dossier d'audience  no 31573-C</t>
        </is>
      </c>
      <c r="H383" s="1" t="n">
        <v>43194</v>
      </c>
      <c r="I383" s="1" t="n">
        <v>43196</v>
      </c>
      <c r="J383" t="inlineStr">
        <is>
          <t>Edmonton, AB</t>
        </is>
      </c>
      <c r="P383" t="n">
        <v>3048.88</v>
      </c>
      <c r="Q383" t="n">
        <v>116</v>
      </c>
      <c r="R383" t="n">
        <v>289.64</v>
      </c>
      <c r="S383" t="n">
        <v>118.15</v>
      </c>
      <c r="T383" t="n">
        <v>47</v>
      </c>
      <c r="U383" t="n">
        <v>3619.67</v>
      </c>
      <c r="X383" t="inlineStr">
        <is>
          <t>atssc-scdata</t>
        </is>
      </c>
      <c r="Y383" t="inlineStr">
        <is>
          <t>Administrative Tribunals Support Service of Canada | Service canadien d'appui aux tribunaux administratifs</t>
        </is>
      </c>
      <c r="Z383" t="n">
        <v>3</v>
      </c>
      <c r="AA383" t="n">
        <v>3619.67</v>
      </c>
      <c r="AB383">
        <f>ROUND(U383-AA383,2)</f>
        <v/>
      </c>
      <c r="AC383" t="b">
        <v>0</v>
      </c>
      <c r="AD383">
        <f>IF(U383="","MISSING_TOTAL",IF(ABS(AB383)&lt;=0.01,"OK","CHECK"))</f>
        <v/>
      </c>
      <c r="AE383">
        <f>IF(U383="","MISSING",IF(AND(AA383&gt;0,U383/AA383&gt;50),"POSSIBLE_SCALE_ERROR","OK"))</f>
        <v/>
      </c>
    </row>
    <row r="384">
      <c r="A384" t="inlineStr">
        <is>
          <t>T-2018-Q3-031</t>
        </is>
      </c>
      <c r="B384" t="inlineStr">
        <is>
          <t>SLE</t>
        </is>
      </c>
      <c r="C384" t="inlineStr">
        <is>
          <t>Executive Director Canadian Cultural Property Export Review Board</t>
        </is>
      </c>
      <c r="D384" t="inlineStr">
        <is>
          <t>Directrice exécutive Commission canadienne d'examen des exportations de biens culturels</t>
        </is>
      </c>
      <c r="E384" t="inlineStr">
        <is>
          <t>Kim, Mijin</t>
        </is>
      </c>
      <c r="F384" t="inlineStr">
        <is>
          <t>Toronto Art Fair</t>
        </is>
      </c>
      <c r="G384" t="inlineStr">
        <is>
          <t>Toronto Art Fair</t>
        </is>
      </c>
      <c r="H384" s="1" t="n">
        <v>43399</v>
      </c>
      <c r="I384" s="1" t="n">
        <v>43402</v>
      </c>
      <c r="J384" t="inlineStr">
        <is>
          <t>Ottawa, Ontario</t>
        </is>
      </c>
      <c r="K384" t="inlineStr">
        <is>
          <t>Ottawa, Ontario</t>
        </is>
      </c>
      <c r="Q384" t="n">
        <v>20</v>
      </c>
      <c r="U384" t="n">
        <v>20</v>
      </c>
      <c r="X384" t="inlineStr">
        <is>
          <t>atssc-scdata</t>
        </is>
      </c>
      <c r="Y384" t="inlineStr">
        <is>
          <t>Administrative Tribunals Support Service of Canada | Service canadien d'appui aux tribunaux administratifs</t>
        </is>
      </c>
      <c r="Z384" t="n">
        <v>4</v>
      </c>
      <c r="AA384" t="n">
        <v>20</v>
      </c>
      <c r="AB384">
        <f>ROUND(U384-AA384,2)</f>
        <v/>
      </c>
      <c r="AC384" t="b">
        <v>0</v>
      </c>
      <c r="AD384">
        <f>IF(U384="","MISSING_TOTAL",IF(ABS(AB384)&lt;=0.01,"OK","CHECK"))</f>
        <v/>
      </c>
      <c r="AE384">
        <f>IF(U384="","MISSING",IF(AND(AA384&gt;0,U384/AA384&gt;50),"POSSIBLE_SCALE_ERROR","OK"))</f>
        <v/>
      </c>
    </row>
    <row r="385">
      <c r="A385" t="inlineStr">
        <is>
          <t>T-2018-Q1-017</t>
        </is>
      </c>
      <c r="B385" t="inlineStr">
        <is>
          <t>SLE</t>
        </is>
      </c>
      <c r="C385" t="inlineStr">
        <is>
          <t>Chairperson, Canada Industrial Relations Board</t>
        </is>
      </c>
      <c r="D385" t="inlineStr">
        <is>
          <t>Présidente, Conseil canadien des relations industrielles</t>
        </is>
      </c>
      <c r="E385" t="inlineStr">
        <is>
          <t>Ginette Brazeau</t>
        </is>
      </c>
      <c r="F385" t="inlineStr">
        <is>
          <t>To attend the 2018 Teamsters General Meeting</t>
        </is>
      </c>
      <c r="G385" t="inlineStr">
        <is>
          <t>Participer à la reunion générale des Teamsters 2018</t>
        </is>
      </c>
      <c r="H385" s="1" t="n">
        <v>43198</v>
      </c>
      <c r="I385" s="1" t="n">
        <v>43202</v>
      </c>
      <c r="J385" t="inlineStr">
        <is>
          <t>Scottsdale, Arizona</t>
        </is>
      </c>
      <c r="P385" t="n">
        <v>1050</v>
      </c>
      <c r="Q385" t="n">
        <v>89.14</v>
      </c>
      <c r="R385" t="n">
        <v>1496.87</v>
      </c>
      <c r="S385" t="n">
        <v>373.77</v>
      </c>
      <c r="T385" t="n">
        <v>117.5</v>
      </c>
      <c r="U385" t="n">
        <v>3127.28</v>
      </c>
      <c r="X385" t="inlineStr">
        <is>
          <t>atssc-scdata</t>
        </is>
      </c>
      <c r="Y385" t="inlineStr">
        <is>
          <t>Administrative Tribunals Support Service of Canada | Service canadien d'appui aux tribunaux administratifs</t>
        </is>
      </c>
      <c r="Z385" t="n">
        <v>5</v>
      </c>
      <c r="AA385" t="n">
        <v>3127.28</v>
      </c>
      <c r="AB385">
        <f>ROUND(U385-AA385,2)</f>
        <v/>
      </c>
      <c r="AC385" t="b">
        <v>0</v>
      </c>
      <c r="AD385">
        <f>IF(U385="","MISSING_TOTAL",IF(ABS(AB385)&lt;=0.01,"OK","CHECK"))</f>
        <v/>
      </c>
      <c r="AE385">
        <f>IF(U385="","MISSING",IF(AND(AA385&gt;0,U385/AA385&gt;50),"POSSIBLE_SCALE_ERROR","OK"))</f>
        <v/>
      </c>
    </row>
    <row r="386">
      <c r="A386" t="inlineStr">
        <is>
          <t>T-2018-Q1-018</t>
        </is>
      </c>
      <c r="B386" t="inlineStr">
        <is>
          <t>SLE</t>
        </is>
      </c>
      <c r="C386" t="inlineStr">
        <is>
          <t>Chairperson, Canada Industrial Relations Board</t>
        </is>
      </c>
      <c r="D386" t="inlineStr">
        <is>
          <t>Présidente, Conseil canadien des relations industrielles</t>
        </is>
      </c>
      <c r="E386" t="inlineStr">
        <is>
          <t>Ginette Brazeau</t>
        </is>
      </c>
      <c r="F386" t="inlineStr">
        <is>
          <t>Hearing file # 32564-C</t>
        </is>
      </c>
      <c r="G386" t="inlineStr">
        <is>
          <t>Dossier d'audience  no 32564-C</t>
        </is>
      </c>
      <c r="H386" s="1" t="n">
        <v>43230</v>
      </c>
      <c r="I386" s="1" t="n">
        <v>43231</v>
      </c>
      <c r="J386" t="inlineStr">
        <is>
          <t>Montreal, QC</t>
        </is>
      </c>
      <c r="Q386" t="n">
        <v>212.44</v>
      </c>
      <c r="R386" t="n">
        <v>220.15</v>
      </c>
      <c r="S386" t="n">
        <v>119.95</v>
      </c>
      <c r="U386" t="n">
        <v>552.54</v>
      </c>
      <c r="X386" t="inlineStr">
        <is>
          <t>atssc-scdata</t>
        </is>
      </c>
      <c r="Y386" t="inlineStr">
        <is>
          <t>Administrative Tribunals Support Service of Canada | Service canadien d'appui aux tribunaux administratifs</t>
        </is>
      </c>
      <c r="Z386" t="n">
        <v>2</v>
      </c>
      <c r="AA386" t="n">
        <v>552.54</v>
      </c>
      <c r="AB386">
        <f>ROUND(U386-AA386,2)</f>
        <v/>
      </c>
      <c r="AC386" t="b">
        <v>0</v>
      </c>
      <c r="AD386">
        <f>IF(U386="","MISSING_TOTAL",IF(ABS(AB386)&lt;=0.01,"OK","CHECK"))</f>
        <v/>
      </c>
      <c r="AE386">
        <f>IF(U386="","MISSING",IF(AND(AA386&gt;0,U386/AA386&gt;50),"POSSIBLE_SCALE_ERROR","OK"))</f>
        <v/>
      </c>
    </row>
    <row r="387">
      <c r="A387" t="inlineStr">
        <is>
          <t>T-2018-Q1-019</t>
        </is>
      </c>
      <c r="B387" t="inlineStr">
        <is>
          <t>SLE</t>
        </is>
      </c>
      <c r="C387" t="inlineStr">
        <is>
          <t>Chairperson, Canada Industrial Relations Board</t>
        </is>
      </c>
      <c r="D387" t="inlineStr">
        <is>
          <t>Présidente, Conseil canadien des relations industrielles</t>
        </is>
      </c>
      <c r="E387" t="inlineStr">
        <is>
          <t>Ginette Brazeau</t>
        </is>
      </c>
      <c r="F387" t="inlineStr">
        <is>
          <t>Attend the National Academy of Arbitrators  Annual Meeting</t>
        </is>
      </c>
      <c r="G387" t="inlineStr">
        <is>
          <t>Participer à la rencontre annuelle du National Academy of Arbitrators</t>
        </is>
      </c>
      <c r="H387" s="1" t="n">
        <v>43243</v>
      </c>
      <c r="I387" s="1" t="n">
        <v>43246</v>
      </c>
      <c r="J387" t="inlineStr">
        <is>
          <t>Vancouver, BC</t>
        </is>
      </c>
      <c r="P387" t="n">
        <v>614.53</v>
      </c>
      <c r="Q387" t="n">
        <v>73</v>
      </c>
      <c r="S387" t="n">
        <v>241.9</v>
      </c>
      <c r="T387" t="n">
        <v>94</v>
      </c>
      <c r="U387" t="n">
        <v>1023.43</v>
      </c>
      <c r="X387" t="inlineStr">
        <is>
          <t>atssc-scdata</t>
        </is>
      </c>
      <c r="Y387" t="inlineStr">
        <is>
          <t>Administrative Tribunals Support Service of Canada | Service canadien d'appui aux tribunaux administratifs</t>
        </is>
      </c>
      <c r="Z387" t="n">
        <v>4</v>
      </c>
      <c r="AA387" t="n">
        <v>1023.43</v>
      </c>
      <c r="AB387">
        <f>ROUND(U387-AA387,2)</f>
        <v/>
      </c>
      <c r="AC387" t="b">
        <v>0</v>
      </c>
      <c r="AD387">
        <f>IF(U387="","MISSING_TOTAL",IF(ABS(AB387)&lt;=0.01,"OK","CHECK"))</f>
        <v/>
      </c>
      <c r="AE387">
        <f>IF(U387="","MISSING",IF(AND(AA387&gt;0,U387/AA387&gt;50),"POSSIBLE_SCALE_ERROR","OK"))</f>
        <v/>
      </c>
    </row>
    <row r="388">
      <c r="A388" t="inlineStr">
        <is>
          <t>T-2018-Q1-020</t>
        </is>
      </c>
      <c r="B388" t="inlineStr">
        <is>
          <t>SLE</t>
        </is>
      </c>
      <c r="C388" t="inlineStr">
        <is>
          <t>Executive Director and General Counsel, Secretariat to the Canada Industrial Relations Board</t>
        </is>
      </c>
      <c r="D388" t="inlineStr">
        <is>
          <t>Directrice exécutive et avocate générale, Secrétariat du Conseil canadien des relations industrielles</t>
        </is>
      </c>
      <c r="E388" t="inlineStr">
        <is>
          <t>Sylvie Guilbert</t>
        </is>
      </c>
      <c r="F388" t="inlineStr">
        <is>
          <t>Introduction and training of new regional director</t>
        </is>
      </c>
      <c r="G388" t="inlineStr">
        <is>
          <t>Introduction et formation du nouveau directeur régional</t>
        </is>
      </c>
      <c r="H388" s="1" t="n">
        <v>43128</v>
      </c>
      <c r="I388" s="1" t="n">
        <v>43132</v>
      </c>
      <c r="J388" t="inlineStr">
        <is>
          <t>Vancouver, BC</t>
        </is>
      </c>
      <c r="P388" t="n">
        <v>3105.05</v>
      </c>
      <c r="Q388" t="n">
        <v>129</v>
      </c>
      <c r="R388" t="n">
        <v>888.28</v>
      </c>
      <c r="S388" t="n">
        <v>342.55</v>
      </c>
      <c r="U388" t="n">
        <v>4464.88</v>
      </c>
      <c r="X388" t="inlineStr">
        <is>
          <t>atssc-scdata</t>
        </is>
      </c>
      <c r="Y388" t="inlineStr">
        <is>
          <t>Administrative Tribunals Support Service of Canada | Service canadien d'appui aux tribunaux administratifs</t>
        </is>
      </c>
      <c r="Z388" t="n">
        <v>5</v>
      </c>
      <c r="AA388" t="n">
        <v>4464.88</v>
      </c>
      <c r="AB388">
        <f>ROUND(U388-AA388,2)</f>
        <v/>
      </c>
      <c r="AC388" t="b">
        <v>0</v>
      </c>
      <c r="AD388">
        <f>IF(U388="","MISSING_TOTAL",IF(ABS(AB388)&lt;=0.01,"OK","CHECK"))</f>
        <v/>
      </c>
      <c r="AE388">
        <f>IF(U388="","MISSING",IF(AND(AA388&gt;0,U388/AA388&gt;50),"POSSIBLE_SCALE_ERROR","OK"))</f>
        <v/>
      </c>
    </row>
    <row r="389">
      <c r="A389" t="inlineStr">
        <is>
          <t>T-2018-Q1-021</t>
        </is>
      </c>
      <c r="B389" t="inlineStr">
        <is>
          <t>SLE</t>
        </is>
      </c>
      <c r="C389" t="inlineStr">
        <is>
          <t>Executive Director and General Counsel, Secretariat to the Canada Industrial Relations Board</t>
        </is>
      </c>
      <c r="D389" t="inlineStr">
        <is>
          <t>Directrice exécutive et avocate générale, Secrétariat du Conseil canadien des relations industrielles</t>
        </is>
      </c>
      <c r="E389" t="inlineStr">
        <is>
          <t>Sylvie Guilbert</t>
        </is>
      </c>
      <c r="F389" t="inlineStr">
        <is>
          <t>Staffing competition</t>
        </is>
      </c>
      <c r="G389" t="inlineStr">
        <is>
          <t>Concours de dotation</t>
        </is>
      </c>
      <c r="H389" s="1" t="n">
        <v>43215</v>
      </c>
      <c r="I389" s="1" t="n">
        <v>43217</v>
      </c>
      <c r="J389" t="inlineStr">
        <is>
          <t>Montreal, Qc</t>
        </is>
      </c>
      <c r="Q389" t="n">
        <v>239.2</v>
      </c>
      <c r="R389" t="n">
        <v>299.88</v>
      </c>
      <c r="S389" t="n">
        <v>293.15</v>
      </c>
      <c r="T389" t="n">
        <v>42.5</v>
      </c>
      <c r="U389" t="n">
        <v>874.73</v>
      </c>
      <c r="X389" t="inlineStr">
        <is>
          <t>atssc-scdata</t>
        </is>
      </c>
      <c r="Y389" t="inlineStr">
        <is>
          <t>Administrative Tribunals Support Service of Canada | Service canadien d'appui aux tribunaux administratifs</t>
        </is>
      </c>
      <c r="Z389" t="n">
        <v>3</v>
      </c>
      <c r="AA389" t="n">
        <v>874.729999999999</v>
      </c>
      <c r="AB389">
        <f>ROUND(U389-AA389,2)</f>
        <v/>
      </c>
      <c r="AC389" t="b">
        <v>0</v>
      </c>
      <c r="AD389">
        <f>IF(U389="","MISSING_TOTAL",IF(ABS(AB389)&lt;=0.01,"OK","CHECK"))</f>
        <v/>
      </c>
      <c r="AE389">
        <f>IF(U389="","MISSING",IF(AND(AA389&gt;0,U389/AA389&gt;50),"POSSIBLE_SCALE_ERROR","OK"))</f>
        <v/>
      </c>
    </row>
    <row r="390">
      <c r="A390" t="inlineStr">
        <is>
          <t>T-2018-Q1-022</t>
        </is>
      </c>
      <c r="B390" t="inlineStr">
        <is>
          <t>SLE</t>
        </is>
      </c>
      <c r="C390" t="inlineStr">
        <is>
          <t>Executive Director and General Counsel, Secretariat to the Canada Industrial Relations Board</t>
        </is>
      </c>
      <c r="D390" t="inlineStr">
        <is>
          <t>Directrice exécutive et avocate générale, Secrétariat du Conseil canadien des relations industrielles</t>
        </is>
      </c>
      <c r="E390" t="inlineStr">
        <is>
          <t>Sylvie Guilbert</t>
        </is>
      </c>
      <c r="F390" t="inlineStr">
        <is>
          <t>Recruitment and staffing process</t>
        </is>
      </c>
      <c r="G390" t="inlineStr">
        <is>
          <t>Processus de recrutement et de dotation</t>
        </is>
      </c>
      <c r="H390" s="1" t="n">
        <v>43150</v>
      </c>
      <c r="I390" s="1" t="n">
        <v>43152</v>
      </c>
      <c r="J390" t="inlineStr">
        <is>
          <t>Montreal, Qc</t>
        </is>
      </c>
      <c r="Q390" t="n">
        <v>282.7</v>
      </c>
      <c r="R390" t="n">
        <v>366.52</v>
      </c>
      <c r="S390" t="n">
        <v>222.6</v>
      </c>
      <c r="U390" t="n">
        <v>871.8200000000001</v>
      </c>
      <c r="X390" t="inlineStr">
        <is>
          <t>atssc-scdata</t>
        </is>
      </c>
      <c r="Y390" t="inlineStr">
        <is>
          <t>Administrative Tribunals Support Service of Canada | Service canadien d'appui aux tribunaux administratifs</t>
        </is>
      </c>
      <c r="Z390" t="n">
        <v>3</v>
      </c>
      <c r="AA390" t="n">
        <v>871.8200000000001</v>
      </c>
      <c r="AB390">
        <f>ROUND(U390-AA390,2)</f>
        <v/>
      </c>
      <c r="AC390" t="b">
        <v>0</v>
      </c>
      <c r="AD390">
        <f>IF(U390="","MISSING_TOTAL",IF(ABS(AB390)&lt;=0.01,"OK","CHECK"))</f>
        <v/>
      </c>
      <c r="AE390">
        <f>IF(U390="","MISSING",IF(AND(AA390&gt;0,U390/AA390&gt;50),"POSSIBLE_SCALE_ERROR","OK"))</f>
        <v/>
      </c>
    </row>
    <row r="391">
      <c r="A391" t="inlineStr">
        <is>
          <t>T-2018-Q1-023</t>
        </is>
      </c>
      <c r="B391" t="inlineStr">
        <is>
          <t>SLE</t>
        </is>
      </c>
      <c r="C391" t="inlineStr">
        <is>
          <t>Chairperson, Canadian Cultural Property Export Review Board</t>
        </is>
      </c>
      <c r="D391" t="inlineStr">
        <is>
          <t>Présidente, Commission canadienne d’examen des exportations de biens culturels</t>
        </is>
      </c>
      <c r="E391" t="inlineStr">
        <is>
          <t>Sharilyn Ingram</t>
        </is>
      </c>
      <c r="F391" t="inlineStr">
        <is>
          <t>Attend the CCPERB meeting</t>
        </is>
      </c>
      <c r="G391" t="inlineStr">
        <is>
          <t>Participer à la réunion de la CCEEBC</t>
        </is>
      </c>
      <c r="H391" s="1" t="n">
        <v>43178</v>
      </c>
      <c r="I391" s="1" t="n">
        <v>43182</v>
      </c>
      <c r="J391" t="inlineStr">
        <is>
          <t>Ottawa, Ontario</t>
        </is>
      </c>
      <c r="P391" t="n">
        <v>668.6799999999999</v>
      </c>
      <c r="Q391" t="n">
        <v>243.92</v>
      </c>
      <c r="S391" t="n">
        <v>494.15</v>
      </c>
      <c r="U391" t="n">
        <v>1406.75</v>
      </c>
      <c r="X391" t="inlineStr">
        <is>
          <t>atssc-scdata</t>
        </is>
      </c>
      <c r="Y391" t="inlineStr">
        <is>
          <t>Administrative Tribunals Support Service of Canada | Service canadien d'appui aux tribunaux administratifs</t>
        </is>
      </c>
      <c r="Z391" t="n">
        <v>5</v>
      </c>
      <c r="AA391" t="n">
        <v>1406.75</v>
      </c>
      <c r="AB391">
        <f>ROUND(U391-AA391,2)</f>
        <v/>
      </c>
      <c r="AC391" t="b">
        <v>0</v>
      </c>
      <c r="AD391">
        <f>IF(U391="","MISSING_TOTAL",IF(ABS(AB391)&lt;=0.01,"OK","CHECK"))</f>
        <v/>
      </c>
      <c r="AE391">
        <f>IF(U391="","MISSING",IF(AND(AA391&gt;0,U391/AA391&gt;50),"POSSIBLE_SCALE_ERROR","OK"))</f>
        <v/>
      </c>
    </row>
    <row r="392">
      <c r="A392" t="inlineStr">
        <is>
          <t>T-2018-Q1-024</t>
        </is>
      </c>
      <c r="B392" t="inlineStr">
        <is>
          <t>SLE</t>
        </is>
      </c>
      <c r="C392" t="inlineStr">
        <is>
          <t>Chairperson, Canadian Cultural Property Export Review Board</t>
        </is>
      </c>
      <c r="D392" t="inlineStr">
        <is>
          <t>Présidente, Commission canadienne d’examen des exportations de biens culturels</t>
        </is>
      </c>
      <c r="E392" t="inlineStr">
        <is>
          <t>Sharilyn Ingram</t>
        </is>
      </c>
      <c r="F392" t="inlineStr">
        <is>
          <t>Attend the preparation day of  the CCPERB meeting</t>
        </is>
      </c>
      <c r="G392" t="inlineStr">
        <is>
          <t>Assister à la journée préparatoire de la réunion de la CCEEBC</t>
        </is>
      </c>
      <c r="H392" s="1" t="n">
        <v>43167</v>
      </c>
      <c r="I392" s="1" t="n">
        <v>43168</v>
      </c>
      <c r="J392" t="inlineStr">
        <is>
          <t>Gatineau, Qc</t>
        </is>
      </c>
      <c r="P392" t="n">
        <v>502.68</v>
      </c>
      <c r="Q392" t="n">
        <v>248.92</v>
      </c>
      <c r="S392" t="n">
        <v>186.2</v>
      </c>
      <c r="U392" t="n">
        <v>937.8</v>
      </c>
      <c r="X392" t="inlineStr">
        <is>
          <t>atssc-scdata</t>
        </is>
      </c>
      <c r="Y392" t="inlineStr">
        <is>
          <t>Administrative Tribunals Support Service of Canada | Service canadien d'appui aux tribunaux administratifs</t>
        </is>
      </c>
      <c r="Z392" t="n">
        <v>2</v>
      </c>
      <c r="AA392" t="n">
        <v>937.8</v>
      </c>
      <c r="AB392">
        <f>ROUND(U392-AA392,2)</f>
        <v/>
      </c>
      <c r="AC392" t="b">
        <v>0</v>
      </c>
      <c r="AD392">
        <f>IF(U392="","MISSING_TOTAL",IF(ABS(AB392)&lt;=0.01,"OK","CHECK"))</f>
        <v/>
      </c>
      <c r="AE392">
        <f>IF(U392="","MISSING",IF(AND(AA392&gt;0,U392/AA392&gt;50),"POSSIBLE_SCALE_ERROR","OK"))</f>
        <v/>
      </c>
    </row>
    <row r="393">
      <c r="A393" t="inlineStr">
        <is>
          <t>T-2018-Q1-025</t>
        </is>
      </c>
      <c r="B393" t="inlineStr">
        <is>
          <t>SLE</t>
        </is>
      </c>
      <c r="C393" t="inlineStr">
        <is>
          <t>Chief Administrator, Administrative Tribunals Support Service of Canada</t>
        </is>
      </c>
      <c r="D393" t="inlineStr">
        <is>
          <t>Administrateur en chef, Service canadien d'appui aux Tribunaux Administratifs</t>
        </is>
      </c>
      <c r="E393" t="inlineStr">
        <is>
          <t>Marie-France Pelletier</t>
        </is>
      </c>
      <c r="F393" t="inlineStr">
        <is>
          <t>To participate as a panelist at the "Six Minute Administrative Lawyer 2018" and visit the CIRB office</t>
        </is>
      </c>
      <c r="G393" t="inlineStr">
        <is>
          <t>Participer a "Six Minute Administrative Lawyer 2018" et visiter les bureaux de CCRI</t>
        </is>
      </c>
      <c r="H393" s="1" t="n">
        <v>43159</v>
      </c>
      <c r="I393" s="1" t="n">
        <v>43161</v>
      </c>
      <c r="J393" t="inlineStr">
        <is>
          <t>Toronto, On</t>
        </is>
      </c>
      <c r="P393" t="n">
        <v>620.37</v>
      </c>
      <c r="Q393" t="n">
        <v>105</v>
      </c>
      <c r="R393" t="n">
        <v>368.9</v>
      </c>
      <c r="S393" t="n">
        <v>222.6</v>
      </c>
      <c r="U393" t="n">
        <v>1316.87</v>
      </c>
      <c r="X393" t="inlineStr">
        <is>
          <t>atssc-scdata</t>
        </is>
      </c>
      <c r="Y393" t="inlineStr">
        <is>
          <t>Administrative Tribunals Support Service of Canada | Service canadien d'appui aux tribunaux administratifs</t>
        </is>
      </c>
      <c r="Z393" t="n">
        <v>3</v>
      </c>
      <c r="AA393" t="n">
        <v>1316.87</v>
      </c>
      <c r="AB393">
        <f>ROUND(U393-AA393,2)</f>
        <v/>
      </c>
      <c r="AC393" t="b">
        <v>0</v>
      </c>
      <c r="AD393">
        <f>IF(U393="","MISSING_TOTAL",IF(ABS(AB393)&lt;=0.01,"OK","CHECK"))</f>
        <v/>
      </c>
      <c r="AE393">
        <f>IF(U393="","MISSING",IF(AND(AA393&gt;0,U393/AA393&gt;50),"POSSIBLE_SCALE_ERROR","OK"))</f>
        <v/>
      </c>
    </row>
    <row r="394">
      <c r="A394" t="inlineStr">
        <is>
          <t>T-2018-Q1-026</t>
        </is>
      </c>
      <c r="B394" t="inlineStr">
        <is>
          <t>SLE</t>
        </is>
      </c>
      <c r="C394" t="inlineStr">
        <is>
          <t>Chairperson, Canadian Human Rights Tribunal</t>
        </is>
      </c>
      <c r="D394" t="inlineStr">
        <is>
          <t>Président, Tribunal canadien des droits de la personne</t>
        </is>
      </c>
      <c r="E394" t="inlineStr">
        <is>
          <t>David Thomas</t>
        </is>
      </c>
      <c r="F394" t="inlineStr">
        <is>
          <t>Participate at the Leadership and Management workshop (Dealing with difficult people)</t>
        </is>
      </c>
      <c r="G394" t="inlineStr">
        <is>
          <t>Pour participer à un atelier sur la gestion et le leadership ( composer avec des personnes difficiles)</t>
        </is>
      </c>
      <c r="H394" s="1" t="n">
        <v>43165</v>
      </c>
      <c r="I394" s="1" t="n">
        <v>43167</v>
      </c>
      <c r="J394" t="inlineStr">
        <is>
          <t>Toronto, ON</t>
        </is>
      </c>
      <c r="Q394" t="n">
        <v>550.38</v>
      </c>
      <c r="R394" t="n">
        <v>812.04</v>
      </c>
      <c r="S394" t="n">
        <v>332.8</v>
      </c>
      <c r="U394" t="n">
        <v>1695.22</v>
      </c>
      <c r="X394" t="inlineStr">
        <is>
          <t>atssc-scdata</t>
        </is>
      </c>
      <c r="Y394" t="inlineStr">
        <is>
          <t>Administrative Tribunals Support Service of Canada | Service canadien d'appui aux tribunaux administratifs</t>
        </is>
      </c>
      <c r="Z394" t="n">
        <v>3</v>
      </c>
      <c r="AA394" t="n">
        <v>1695.22</v>
      </c>
      <c r="AB394">
        <f>ROUND(U394-AA394,2)</f>
        <v/>
      </c>
      <c r="AC394" t="b">
        <v>0</v>
      </c>
      <c r="AD394">
        <f>IF(U394="","MISSING_TOTAL",IF(ABS(AB394)&lt;=0.01,"OK","CHECK"))</f>
        <v/>
      </c>
      <c r="AE394">
        <f>IF(U394="","MISSING",IF(AND(AA394&gt;0,U394/AA394&gt;50),"POSSIBLE_SCALE_ERROR","OK"))</f>
        <v/>
      </c>
    </row>
    <row r="395">
      <c r="A395" t="inlineStr">
        <is>
          <t>T-2018-Q1-027</t>
        </is>
      </c>
      <c r="B395" t="inlineStr">
        <is>
          <t>SLE</t>
        </is>
      </c>
      <c r="C395" t="inlineStr">
        <is>
          <t>Chairperson, Canadian Human Rights Tribunal</t>
        </is>
      </c>
      <c r="D395" t="inlineStr">
        <is>
          <t>Président, Tribunal canadien des droits de la personne</t>
        </is>
      </c>
      <c r="E395" t="inlineStr">
        <is>
          <t>David Thomas</t>
        </is>
      </c>
      <c r="F395" t="inlineStr">
        <is>
          <t>Queen's University outreach</t>
        </is>
      </c>
      <c r="G395" t="inlineStr">
        <is>
          <t>Discours a l'université Queen's</t>
        </is>
      </c>
      <c r="H395" s="1" t="n">
        <v>43007</v>
      </c>
      <c r="I395" s="1" t="n">
        <v>43007</v>
      </c>
      <c r="J395" t="inlineStr">
        <is>
          <t>Kingston, ON</t>
        </is>
      </c>
      <c r="Q395" t="n">
        <v>202.02</v>
      </c>
      <c r="S395" t="n">
        <v>81.15000000000001</v>
      </c>
      <c r="U395" t="n">
        <v>283.17</v>
      </c>
      <c r="X395" t="inlineStr">
        <is>
          <t>atssc-scdata</t>
        </is>
      </c>
      <c r="Y395" t="inlineStr">
        <is>
          <t>Administrative Tribunals Support Service of Canada | Service canadien d'appui aux tribunaux administratifs</t>
        </is>
      </c>
      <c r="Z395" t="n">
        <v>1</v>
      </c>
      <c r="AA395" t="n">
        <v>283.17</v>
      </c>
      <c r="AB395">
        <f>ROUND(U395-AA395,2)</f>
        <v/>
      </c>
      <c r="AC395" t="b">
        <v>0</v>
      </c>
      <c r="AD395">
        <f>IF(U395="","MISSING_TOTAL",IF(ABS(AB395)&lt;=0.01,"OK","CHECK"))</f>
        <v/>
      </c>
      <c r="AE395">
        <f>IF(U395="","MISSING",IF(AND(AA395&gt;0,U395/AA395&gt;50),"POSSIBLE_SCALE_ERROR","OK"))</f>
        <v/>
      </c>
    </row>
    <row r="396">
      <c r="A396" t="inlineStr">
        <is>
          <t>T-2018-Q2-001</t>
        </is>
      </c>
      <c r="B396" t="inlineStr">
        <is>
          <t>SLE</t>
        </is>
      </c>
      <c r="C396" t="inlineStr">
        <is>
          <t>Chairperson, Canada Agricultural Review Tribunal</t>
        </is>
      </c>
      <c r="D396" t="inlineStr">
        <is>
          <t>Président, Commission de révision agricole du Canada</t>
        </is>
      </c>
      <c r="E396" t="inlineStr">
        <is>
          <t>Bélanger, Luc</t>
        </is>
      </c>
      <c r="F396" t="inlineStr">
        <is>
          <t>Hearing file #  CART-1894, Hamelin</t>
        </is>
      </c>
      <c r="G396" t="inlineStr">
        <is>
          <t>Dossier d'audience no CRAC-1894, Hamelin</t>
        </is>
      </c>
      <c r="H396" s="1" t="n">
        <v>43234</v>
      </c>
      <c r="I396" s="1" t="n">
        <v>43236</v>
      </c>
      <c r="J396" t="inlineStr">
        <is>
          <t>Montreal, QC</t>
        </is>
      </c>
      <c r="Q396" t="n">
        <v>243.36</v>
      </c>
      <c r="R396" t="n">
        <v>418.88</v>
      </c>
      <c r="S396" t="n">
        <v>292.85</v>
      </c>
      <c r="T396" t="n">
        <v>62</v>
      </c>
      <c r="U396" t="n">
        <v>1017.09</v>
      </c>
      <c r="X396" t="inlineStr">
        <is>
          <t>atssc-scdata</t>
        </is>
      </c>
      <c r="Y396" t="inlineStr">
        <is>
          <t>Administrative Tribunals Support Service of Canada | Service canadien d'appui aux tribunaux administratifs</t>
        </is>
      </c>
      <c r="Z396" t="n">
        <v>3</v>
      </c>
      <c r="AA396" t="n">
        <v>1017.09</v>
      </c>
      <c r="AB396">
        <f>ROUND(U396-AA396,2)</f>
        <v/>
      </c>
      <c r="AC396" t="b">
        <v>0</v>
      </c>
      <c r="AD396">
        <f>IF(U396="","MISSING_TOTAL",IF(ABS(AB396)&lt;=0.01,"OK","CHECK"))</f>
        <v/>
      </c>
      <c r="AE396">
        <f>IF(U396="","MISSING",IF(AND(AA396&gt;0,U396/AA396&gt;50),"POSSIBLE_SCALE_ERROR","OK"))</f>
        <v/>
      </c>
    </row>
    <row r="397">
      <c r="A397" t="inlineStr">
        <is>
          <t>T-2018-Q2-002</t>
        </is>
      </c>
      <c r="B397" t="inlineStr">
        <is>
          <t>SLE</t>
        </is>
      </c>
      <c r="C397" t="inlineStr">
        <is>
          <t>Chairperson, Canada Agricultural Review Tribunal</t>
        </is>
      </c>
      <c r="D397" t="inlineStr">
        <is>
          <t>Président, Commission de révision agricole du Canada</t>
        </is>
      </c>
      <c r="E397" t="inlineStr">
        <is>
          <t>Bélanger, Luc</t>
        </is>
      </c>
      <c r="F397" t="inlineStr">
        <is>
          <t>Reimbursement for stamps</t>
        </is>
      </c>
      <c r="G397" t="inlineStr">
        <is>
          <t>Remboursement d'étampes</t>
        </is>
      </c>
      <c r="H397" s="1" t="n">
        <v>43293</v>
      </c>
      <c r="I397" s="1" t="n">
        <v>43293</v>
      </c>
      <c r="J397" t="inlineStr">
        <is>
          <t>Ottawa, ON</t>
        </is>
      </c>
      <c r="T397" t="n">
        <v>4.07</v>
      </c>
      <c r="U397" t="n">
        <v>4.07</v>
      </c>
      <c r="X397" t="inlineStr">
        <is>
          <t>atssc-scdata</t>
        </is>
      </c>
      <c r="Y397" t="inlineStr">
        <is>
          <t>Administrative Tribunals Support Service of Canada | Service canadien d'appui aux tribunaux administratifs</t>
        </is>
      </c>
      <c r="Z397" t="n">
        <v>1</v>
      </c>
      <c r="AA397" t="n">
        <v>4.07</v>
      </c>
      <c r="AB397">
        <f>ROUND(U397-AA397,2)</f>
        <v/>
      </c>
      <c r="AC397" t="b">
        <v>0</v>
      </c>
      <c r="AD397">
        <f>IF(U397="","MISSING_TOTAL",IF(ABS(AB397)&lt;=0.01,"OK","CHECK"))</f>
        <v/>
      </c>
      <c r="AE397">
        <f>IF(U397="","MISSING",IF(AND(AA397&gt;0,U397/AA397&gt;50),"POSSIBLE_SCALE_ERROR","OK"))</f>
        <v/>
      </c>
    </row>
    <row r="398">
      <c r="A398" t="inlineStr">
        <is>
          <t>T-2018-Q2-003</t>
        </is>
      </c>
      <c r="B398" t="inlineStr">
        <is>
          <t>SLE</t>
        </is>
      </c>
      <c r="C398" t="inlineStr">
        <is>
          <t>Executive Director, Secretariat to the Canadian Cultural Property Export Review Board</t>
        </is>
      </c>
      <c r="D398" t="inlineStr">
        <is>
          <t>Directrice exécutive, Secrétariat de la Commission canadienne d’examen des exportations de biens culturels</t>
        </is>
      </c>
      <c r="E398" t="inlineStr">
        <is>
          <t>Delphine Bishop</t>
        </is>
      </c>
      <c r="F398" t="inlineStr">
        <is>
          <t>Attend a meeting with Anick Pelletier</t>
        </is>
      </c>
      <c r="G398" t="inlineStr">
        <is>
          <t>Assister à une réunion avec Anick Pelletier</t>
        </is>
      </c>
      <c r="H398" s="1" t="n">
        <v>43250</v>
      </c>
      <c r="I398" s="1" t="n">
        <v>43250</v>
      </c>
      <c r="J398" t="inlineStr">
        <is>
          <t>Ottawa, ON</t>
        </is>
      </c>
      <c r="Q398" t="n">
        <v>18</v>
      </c>
      <c r="U398" t="n">
        <v>18</v>
      </c>
      <c r="X398" t="inlineStr">
        <is>
          <t>atssc-scdata</t>
        </is>
      </c>
      <c r="Y398" t="inlineStr">
        <is>
          <t>Administrative Tribunals Support Service of Canada | Service canadien d'appui aux tribunaux administratifs</t>
        </is>
      </c>
      <c r="Z398" t="n">
        <v>1</v>
      </c>
      <c r="AA398" t="n">
        <v>18</v>
      </c>
      <c r="AB398">
        <f>ROUND(U398-AA398,2)</f>
        <v/>
      </c>
      <c r="AC398" t="b">
        <v>0</v>
      </c>
      <c r="AD398">
        <f>IF(U398="","MISSING_TOTAL",IF(ABS(AB398)&lt;=0.01,"OK","CHECK"))</f>
        <v/>
      </c>
      <c r="AE398">
        <f>IF(U398="","MISSING",IF(AND(AA398&gt;0,U398/AA398&gt;50),"POSSIBLE_SCALE_ERROR","OK"))</f>
        <v/>
      </c>
    </row>
    <row r="399">
      <c r="A399" t="inlineStr">
        <is>
          <t>T-2018-Q2-004</t>
        </is>
      </c>
      <c r="B399" t="inlineStr">
        <is>
          <t>SLE</t>
        </is>
      </c>
      <c r="C399" t="inlineStr">
        <is>
          <t>Chairperson, Canada Industrial Relations Board</t>
        </is>
      </c>
      <c r="D399" t="inlineStr">
        <is>
          <t>Présidente, Conseil canadien des relations industrielles</t>
        </is>
      </c>
      <c r="E399" t="inlineStr">
        <is>
          <t>Brazeau, Ginette</t>
        </is>
      </c>
      <c r="F399" t="inlineStr">
        <is>
          <t>To attend a meeting of the Association of Labour Relations Agencies</t>
        </is>
      </c>
      <c r="G399" t="inlineStr">
        <is>
          <t>Participer à une rencontre de la Association of Labour Relations Agencies</t>
        </is>
      </c>
      <c r="H399" s="1" t="n">
        <v>43302</v>
      </c>
      <c r="I399" s="1" t="n">
        <v>43306</v>
      </c>
      <c r="J399" t="inlineStr">
        <is>
          <t>Boston, USA</t>
        </is>
      </c>
      <c r="P399" t="n">
        <v>530.54</v>
      </c>
      <c r="Q399" t="n">
        <v>54.83</v>
      </c>
      <c r="R399" t="n">
        <v>1748.59</v>
      </c>
      <c r="S399" t="n">
        <v>362.93</v>
      </c>
      <c r="U399" t="n">
        <v>2696.89</v>
      </c>
      <c r="X399" t="inlineStr">
        <is>
          <t>atssc-scdata</t>
        </is>
      </c>
      <c r="Y399" t="inlineStr">
        <is>
          <t>Administrative Tribunals Support Service of Canada | Service canadien d'appui aux tribunaux administratifs</t>
        </is>
      </c>
      <c r="Z399" t="n">
        <v>5</v>
      </c>
      <c r="AA399" t="n">
        <v>2696.89</v>
      </c>
      <c r="AB399">
        <f>ROUND(U399-AA399,2)</f>
        <v/>
      </c>
      <c r="AC399" t="b">
        <v>0</v>
      </c>
      <c r="AD399">
        <f>IF(U399="","MISSING_TOTAL",IF(ABS(AB399)&lt;=0.01,"OK","CHECK"))</f>
        <v/>
      </c>
      <c r="AE399">
        <f>IF(U399="","MISSING",IF(AND(AA399&gt;0,U399/AA399&gt;50),"POSSIBLE_SCALE_ERROR","OK"))</f>
        <v/>
      </c>
    </row>
    <row r="400">
      <c r="A400" t="inlineStr">
        <is>
          <t>T-2018-Q2-005</t>
        </is>
      </c>
      <c r="B400" t="inlineStr">
        <is>
          <t>SLE</t>
        </is>
      </c>
      <c r="C400" t="inlineStr">
        <is>
          <t>Chairperson, Canada Industrial Relations Board</t>
        </is>
      </c>
      <c r="D400" t="inlineStr">
        <is>
          <t>Présidente, Conseil canadien des relations industrielles</t>
        </is>
      </c>
      <c r="E400" t="inlineStr">
        <is>
          <t>Brazeau, Ginette</t>
        </is>
      </c>
      <c r="F400" t="inlineStr">
        <is>
          <t>Hearing file # 32417,32471 &amp;32489</t>
        </is>
      </c>
      <c r="G400" t="inlineStr">
        <is>
          <t>Dossier d'audience  no 32417,32471  et 32489</t>
        </is>
      </c>
      <c r="H400" s="1" t="n">
        <v>43296</v>
      </c>
      <c r="I400" s="1" t="n">
        <v>43301</v>
      </c>
      <c r="J400" t="inlineStr">
        <is>
          <t>Vancouver, BC</t>
        </is>
      </c>
      <c r="P400" t="n">
        <v>2428.49</v>
      </c>
      <c r="Q400" t="n">
        <v>66.23999999999999</v>
      </c>
      <c r="R400" t="n">
        <v>2056.3</v>
      </c>
      <c r="S400" t="n">
        <v>492.55</v>
      </c>
      <c r="U400" t="n">
        <v>5043.58</v>
      </c>
      <c r="X400" t="inlineStr">
        <is>
          <t>atssc-scdata</t>
        </is>
      </c>
      <c r="Y400" t="inlineStr">
        <is>
          <t>Administrative Tribunals Support Service of Canada | Service canadien d'appui aux tribunaux administratifs</t>
        </is>
      </c>
      <c r="Z400" t="n">
        <v>6</v>
      </c>
      <c r="AA400" t="n">
        <v>5043.58</v>
      </c>
      <c r="AB400">
        <f>ROUND(U400-AA400,2)</f>
        <v/>
      </c>
      <c r="AC400" t="b">
        <v>0</v>
      </c>
      <c r="AD400">
        <f>IF(U400="","MISSING_TOTAL",IF(ABS(AB400)&lt;=0.01,"OK","CHECK"))</f>
        <v/>
      </c>
      <c r="AE400">
        <f>IF(U400="","MISSING",IF(AND(AA400&gt;0,U400/AA400&gt;50),"POSSIBLE_SCALE_ERROR","OK"))</f>
        <v/>
      </c>
    </row>
    <row r="401">
      <c r="A401" t="inlineStr">
        <is>
          <t>T-2018-Q3-001</t>
        </is>
      </c>
      <c r="B401" t="inlineStr">
        <is>
          <t>SLE</t>
        </is>
      </c>
      <c r="C401" t="inlineStr">
        <is>
          <t>Chairperson, Canada Agricultural Review Tribunal</t>
        </is>
      </c>
      <c r="D401" t="inlineStr">
        <is>
          <t>Président, Commission de révision agricole du Canada</t>
        </is>
      </c>
      <c r="E401" t="inlineStr">
        <is>
          <t>Bélanger, Luc</t>
        </is>
      </c>
      <c r="F401" t="inlineStr">
        <is>
          <t>Hearing in Vancouver</t>
        </is>
      </c>
      <c r="G401" t="inlineStr">
        <is>
          <t>Audience à Vancouver</t>
        </is>
      </c>
      <c r="H401" s="1" t="n">
        <v>43351</v>
      </c>
      <c r="I401" s="1" t="n">
        <v>43358</v>
      </c>
      <c r="J401" t="inlineStr">
        <is>
          <t>Vancouver, British Columbia</t>
        </is>
      </c>
      <c r="K401" t="inlineStr">
        <is>
          <t>Vancouver, Colombie-Britannique</t>
        </is>
      </c>
      <c r="P401" t="n">
        <v>1003.07</v>
      </c>
      <c r="Q401" t="n">
        <v>651.3</v>
      </c>
      <c r="R401" t="n">
        <v>1917.5</v>
      </c>
      <c r="S401" t="n">
        <v>658</v>
      </c>
      <c r="U401" t="n">
        <v>4229.87</v>
      </c>
      <c r="X401" t="inlineStr">
        <is>
          <t>atssc-scdata</t>
        </is>
      </c>
      <c r="Y401" t="inlineStr">
        <is>
          <t>Administrative Tribunals Support Service of Canada | Service canadien d'appui aux tribunaux administratifs</t>
        </is>
      </c>
      <c r="Z401" t="n">
        <v>8</v>
      </c>
      <c r="AA401" t="n">
        <v>4229.87</v>
      </c>
      <c r="AB401">
        <f>ROUND(U401-AA401,2)</f>
        <v/>
      </c>
      <c r="AC401" t="b">
        <v>0</v>
      </c>
      <c r="AD401">
        <f>IF(U401="","MISSING_TOTAL",IF(ABS(AB401)&lt;=0.01,"OK","CHECK"))</f>
        <v/>
      </c>
      <c r="AE401">
        <f>IF(U401="","MISSING",IF(AND(AA401&gt;0,U401/AA401&gt;50),"POSSIBLE_SCALE_ERROR","OK"))</f>
        <v/>
      </c>
    </row>
    <row r="402">
      <c r="A402" t="inlineStr">
        <is>
          <t>T-2018-Q2-006</t>
        </is>
      </c>
      <c r="B402" t="inlineStr">
        <is>
          <t>SLE</t>
        </is>
      </c>
      <c r="C402" t="inlineStr">
        <is>
          <t>Chairperson, Canada Industrial Relations Board</t>
        </is>
      </c>
      <c r="D402" t="inlineStr">
        <is>
          <t>Présidente, Conseil canadien des relations industrielles</t>
        </is>
      </c>
      <c r="E402" t="inlineStr">
        <is>
          <t>Brazeau, Ginette</t>
        </is>
      </c>
      <c r="F402" t="inlineStr">
        <is>
          <t>Attend the National Academy of Arbitrators  Annual Meeting</t>
        </is>
      </c>
      <c r="G402" t="inlineStr">
        <is>
          <t>Participer à la rencontre annuelle du National Academy of Arbitrators</t>
        </is>
      </c>
      <c r="H402" s="1" t="n">
        <v>43314</v>
      </c>
      <c r="I402" s="1" t="n">
        <v>43317</v>
      </c>
      <c r="J402" t="inlineStr">
        <is>
          <t>Quebec, QC</t>
        </is>
      </c>
      <c r="Q402" t="n">
        <v>468.54</v>
      </c>
      <c r="R402" t="n">
        <v>473.64</v>
      </c>
      <c r="S402" t="n">
        <v>244.7</v>
      </c>
      <c r="T402" t="n">
        <v>486</v>
      </c>
      <c r="U402" t="n">
        <v>1672.88</v>
      </c>
      <c r="X402" t="inlineStr">
        <is>
          <t>atssc-scdata</t>
        </is>
      </c>
      <c r="Y402" t="inlineStr">
        <is>
          <t>Administrative Tribunals Support Service of Canada | Service canadien d'appui aux tribunaux administratifs</t>
        </is>
      </c>
      <c r="Z402" t="n">
        <v>4</v>
      </c>
      <c r="AA402" t="n">
        <v>1672.88</v>
      </c>
      <c r="AB402">
        <f>ROUND(U402-AA402,2)</f>
        <v/>
      </c>
      <c r="AC402" t="b">
        <v>0</v>
      </c>
      <c r="AD402">
        <f>IF(U402="","MISSING_TOTAL",IF(ABS(AB402)&lt;=0.01,"OK","CHECK"))</f>
        <v/>
      </c>
      <c r="AE402">
        <f>IF(U402="","MISSING",IF(AND(AA402&gt;0,U402/AA402&gt;50),"POSSIBLE_SCALE_ERROR","OK"))</f>
        <v/>
      </c>
    </row>
    <row r="403">
      <c r="A403" t="inlineStr">
        <is>
          <t>T-2018-Q2-007</t>
        </is>
      </c>
      <c r="B403" t="inlineStr">
        <is>
          <t>SLE</t>
        </is>
      </c>
      <c r="C403" t="inlineStr">
        <is>
          <t>Executive Director and General Counsel, Secretariat to the Canadian International Trade Tribunal</t>
        </is>
      </c>
      <c r="D403" t="inlineStr">
        <is>
          <t>Directeur exécutif et avocat général, Secrétariat du Tribunal canadien du commerce extérieur</t>
        </is>
      </c>
      <c r="E403" t="inlineStr">
        <is>
          <t>Covelli, Nick</t>
        </is>
      </c>
      <c r="F403" t="inlineStr">
        <is>
          <t>International Forum on Trade Remedies 2018</t>
        </is>
      </c>
      <c r="G403" t="inlineStr">
        <is>
          <t>Forum International sur les recours commerciaux 2018</t>
        </is>
      </c>
      <c r="H403" s="1" t="n">
        <v>43282</v>
      </c>
      <c r="I403" s="1" t="n">
        <v>43286</v>
      </c>
      <c r="J403" t="inlineStr">
        <is>
          <t>Seoul, SK</t>
        </is>
      </c>
      <c r="Q403" t="n">
        <v>35.96</v>
      </c>
      <c r="S403" t="n">
        <v>398.65</v>
      </c>
      <c r="T403" t="n">
        <v>541.4</v>
      </c>
      <c r="U403" t="n">
        <v>976.01</v>
      </c>
      <c r="X403" t="inlineStr">
        <is>
          <t>atssc-scdata</t>
        </is>
      </c>
      <c r="Y403" t="inlineStr">
        <is>
          <t>Administrative Tribunals Support Service of Canada | Service canadien d'appui aux tribunaux administratifs</t>
        </is>
      </c>
      <c r="Z403" t="n">
        <v>5</v>
      </c>
      <c r="AA403" t="n">
        <v>976.01</v>
      </c>
      <c r="AB403">
        <f>ROUND(U403-AA403,2)</f>
        <v/>
      </c>
      <c r="AC403" t="b">
        <v>0</v>
      </c>
      <c r="AD403">
        <f>IF(U403="","MISSING_TOTAL",IF(ABS(AB403)&lt;=0.01,"OK","CHECK"))</f>
        <v/>
      </c>
      <c r="AE403">
        <f>IF(U403="","MISSING",IF(AND(AA403&gt;0,U403/AA403&gt;50),"POSSIBLE_SCALE_ERROR","OK"))</f>
        <v/>
      </c>
    </row>
    <row r="404">
      <c r="A404" t="inlineStr">
        <is>
          <t>T-2018-Q2-008</t>
        </is>
      </c>
      <c r="B404" t="inlineStr">
        <is>
          <t>SLE</t>
        </is>
      </c>
      <c r="C404" t="inlineStr">
        <is>
          <t>Chairperson, Federal Public Service Labour Relations and Employment Board Tribunal</t>
        </is>
      </c>
      <c r="D404" t="inlineStr">
        <is>
          <t>Présidente, Tribunal de la commission des relations de travail et de l’emploi dans le secteur public fédéral</t>
        </is>
      </c>
      <c r="E404" t="inlineStr">
        <is>
          <t>Ebbs, Catherine</t>
        </is>
      </c>
      <c r="F404" t="inlineStr">
        <is>
          <t>Attend a Hearing file#566-02-11835 (JEDDRY)</t>
        </is>
      </c>
      <c r="G404" t="inlineStr">
        <is>
          <t>Participer à une audience le  # de dossier est le  566-02-18835 (JEDDRY)</t>
        </is>
      </c>
      <c r="H404" s="1" t="n">
        <v>43270</v>
      </c>
      <c r="I404" s="1" t="n">
        <v>43271</v>
      </c>
      <c r="J404" t="inlineStr">
        <is>
          <t>Halifax, NS</t>
        </is>
      </c>
      <c r="Q404" t="n">
        <v>677.4400000000001</v>
      </c>
      <c r="R404" t="n">
        <v>168.18</v>
      </c>
      <c r="S404" t="n">
        <v>228.74</v>
      </c>
      <c r="T404" t="n">
        <v>169.55</v>
      </c>
      <c r="U404" t="n">
        <v>1243.91</v>
      </c>
      <c r="X404" t="inlineStr">
        <is>
          <t>atssc-scdata</t>
        </is>
      </c>
      <c r="Y404" t="inlineStr">
        <is>
          <t>Administrative Tribunals Support Service of Canada | Service canadien d'appui aux tribunaux administratifs</t>
        </is>
      </c>
      <c r="Z404" t="n">
        <v>2</v>
      </c>
      <c r="AA404" t="n">
        <v>1243.91</v>
      </c>
      <c r="AB404">
        <f>ROUND(U404-AA404,2)</f>
        <v/>
      </c>
      <c r="AC404" t="b">
        <v>0</v>
      </c>
      <c r="AD404">
        <f>IF(U404="","MISSING_TOTAL",IF(ABS(AB404)&lt;=0.01,"OK","CHECK"))</f>
        <v/>
      </c>
      <c r="AE404">
        <f>IF(U404="","MISSING",IF(AND(AA404&gt;0,U404/AA404&gt;50),"POSSIBLE_SCALE_ERROR","OK"))</f>
        <v/>
      </c>
    </row>
    <row r="405">
      <c r="A405" t="inlineStr">
        <is>
          <t>T-2018-Q2-009</t>
        </is>
      </c>
      <c r="B405" t="inlineStr">
        <is>
          <t>SLE</t>
        </is>
      </c>
      <c r="C405" t="inlineStr">
        <is>
          <t>Vice-Chairperson, Secretariat to the Social Security Tribunal</t>
        </is>
      </c>
      <c r="D405" t="inlineStr">
        <is>
          <t>Vice-président, Secrétariat du Tribunal de la sécurité sociale</t>
        </is>
      </c>
      <c r="E405" t="inlineStr">
        <is>
          <t>Giguère, Guy</t>
        </is>
      </c>
      <c r="F405" t="inlineStr">
        <is>
          <t>Attend the Council of Canadian Administrative Tribunals Symposium</t>
        </is>
      </c>
      <c r="G405" t="inlineStr">
        <is>
          <t>Participer au symposium du Conseil des tribunaux administratifs canadiens</t>
        </is>
      </c>
      <c r="H405" s="1" t="n">
        <v>43254</v>
      </c>
      <c r="I405" s="1" t="n">
        <v>43256</v>
      </c>
      <c r="J405" t="inlineStr">
        <is>
          <t>Gatineau,QC</t>
        </is>
      </c>
      <c r="Q405" t="n">
        <v>69.56</v>
      </c>
      <c r="U405" t="n">
        <v>69.56</v>
      </c>
      <c r="X405" t="inlineStr">
        <is>
          <t>atssc-scdata</t>
        </is>
      </c>
      <c r="Y405" t="inlineStr">
        <is>
          <t>Administrative Tribunals Support Service of Canada | Service canadien d'appui aux tribunaux administratifs</t>
        </is>
      </c>
      <c r="Z405" t="n">
        <v>3</v>
      </c>
      <c r="AA405" t="n">
        <v>69.56</v>
      </c>
      <c r="AB405">
        <f>ROUND(U405-AA405,2)</f>
        <v/>
      </c>
      <c r="AC405" t="b">
        <v>0</v>
      </c>
      <c r="AD405">
        <f>IF(U405="","MISSING_TOTAL",IF(ABS(AB405)&lt;=0.01,"OK","CHECK"))</f>
        <v/>
      </c>
      <c r="AE405">
        <f>IF(U405="","MISSING",IF(AND(AA405&gt;0,U405/AA405&gt;50),"POSSIBLE_SCALE_ERROR","OK"))</f>
        <v/>
      </c>
    </row>
    <row r="406">
      <c r="A406" t="inlineStr">
        <is>
          <t>T-2018-Q2-010</t>
        </is>
      </c>
      <c r="B406" t="inlineStr">
        <is>
          <t>SLE</t>
        </is>
      </c>
      <c r="C406" t="inlineStr">
        <is>
          <t>Executive Director and General Counsel, Secretariat to the Canada Industrial Relations Board</t>
        </is>
      </c>
      <c r="D406" t="inlineStr">
        <is>
          <t>Directrice exécutive et avocate générale, Secrétariat du Conseil canadien des relations industrielles</t>
        </is>
      </c>
      <c r="E406" t="inlineStr">
        <is>
          <t>Guilbert, Sylvie</t>
        </is>
      </c>
      <c r="F406" t="inlineStr">
        <is>
          <t>To attend a conference of the Association of Labour Relations Agencies (ALRA)</t>
        </is>
      </c>
      <c r="G406" t="inlineStr">
        <is>
          <t>Participer à une conférence de Association of Labour Relations Agencies (ALRA)</t>
        </is>
      </c>
      <c r="H406" s="1" t="n">
        <v>43301</v>
      </c>
      <c r="I406" s="1" t="n">
        <v>43306</v>
      </c>
      <c r="J406" t="inlineStr">
        <is>
          <t>Boston, USA</t>
        </is>
      </c>
      <c r="P406" t="n">
        <v>1024.04</v>
      </c>
      <c r="Q406" t="n">
        <v>100.32</v>
      </c>
      <c r="R406" t="n">
        <v>1600.43</v>
      </c>
      <c r="S406" t="n">
        <v>487.68</v>
      </c>
      <c r="U406" t="n">
        <v>3212.47</v>
      </c>
      <c r="X406" t="inlineStr">
        <is>
          <t>atssc-scdata</t>
        </is>
      </c>
      <c r="Y406" t="inlineStr">
        <is>
          <t>Administrative Tribunals Support Service of Canada | Service canadien d'appui aux tribunaux administratifs</t>
        </is>
      </c>
      <c r="Z406" t="n">
        <v>6</v>
      </c>
      <c r="AA406" t="n">
        <v>3212.47</v>
      </c>
      <c r="AB406">
        <f>ROUND(U406-AA406,2)</f>
        <v/>
      </c>
      <c r="AC406" t="b">
        <v>0</v>
      </c>
      <c r="AD406">
        <f>IF(U406="","MISSING_TOTAL",IF(ABS(AB406)&lt;=0.01,"OK","CHECK"))</f>
        <v/>
      </c>
      <c r="AE406">
        <f>IF(U406="","MISSING",IF(AND(AA406&gt;0,U406/AA406&gt;50),"POSSIBLE_SCALE_ERROR","OK"))</f>
        <v/>
      </c>
    </row>
    <row r="407">
      <c r="A407" t="inlineStr">
        <is>
          <t>T-2018-Q2-011</t>
        </is>
      </c>
      <c r="B407" t="inlineStr">
        <is>
          <t>SLE</t>
        </is>
      </c>
      <c r="C407" t="inlineStr">
        <is>
          <t>Executive Director and General Counsel, Secretariat to the Canada Industrial Relations Board</t>
        </is>
      </c>
      <c r="D407" t="inlineStr">
        <is>
          <t>Directrice exécutive et avocate générale, Secrétariat du Conseil canadien des relations industrielles</t>
        </is>
      </c>
      <c r="E407" t="inlineStr">
        <is>
          <t>Guilbert, Sylvie</t>
        </is>
      </c>
      <c r="F407" t="inlineStr">
        <is>
          <t>Attend the PM-MCO Competition</t>
        </is>
      </c>
      <c r="G407" t="inlineStr">
        <is>
          <t>Participer à la compétition de PM-MCO</t>
        </is>
      </c>
      <c r="H407" s="1" t="n">
        <v>43247</v>
      </c>
      <c r="I407" s="1" t="n">
        <v>43249</v>
      </c>
      <c r="J407" t="inlineStr">
        <is>
          <t>Montreal, QC</t>
        </is>
      </c>
      <c r="R407" t="n">
        <v>495.02</v>
      </c>
      <c r="S407" t="n">
        <v>292.85</v>
      </c>
      <c r="U407" t="n">
        <v>787.87</v>
      </c>
      <c r="X407" t="inlineStr">
        <is>
          <t>atssc-scdata</t>
        </is>
      </c>
      <c r="Y407" t="inlineStr">
        <is>
          <t>Administrative Tribunals Support Service of Canada | Service canadien d'appui aux tribunaux administratifs</t>
        </is>
      </c>
      <c r="Z407" t="n">
        <v>3</v>
      </c>
      <c r="AA407" t="n">
        <v>787.87</v>
      </c>
      <c r="AB407">
        <f>ROUND(U407-AA407,2)</f>
        <v/>
      </c>
      <c r="AC407" t="b">
        <v>0</v>
      </c>
      <c r="AD407">
        <f>IF(U407="","MISSING_TOTAL",IF(ABS(AB407)&lt;=0.01,"OK","CHECK"))</f>
        <v/>
      </c>
      <c r="AE407">
        <f>IF(U407="","MISSING",IF(AND(AA407&gt;0,U407/AA407&gt;50),"POSSIBLE_SCALE_ERROR","OK"))</f>
        <v/>
      </c>
    </row>
    <row r="408">
      <c r="A408" t="inlineStr">
        <is>
          <t>T-2018-Q2-012</t>
        </is>
      </c>
      <c r="B408" t="inlineStr">
        <is>
          <t>SLE</t>
        </is>
      </c>
      <c r="C408" t="inlineStr">
        <is>
          <t>Executive Director and General Counsel, Secretariat to the Canada Industrial Relations Board</t>
        </is>
      </c>
      <c r="D408" t="inlineStr">
        <is>
          <t>Directrice exécutive et avocate générale, Secrétariat du Conseil canadien des relations industrielles</t>
        </is>
      </c>
      <c r="E408" t="inlineStr">
        <is>
          <t>Guilbert, Sylvie</t>
        </is>
      </c>
      <c r="F408" t="inlineStr">
        <is>
          <t>Attend the Public Service Commission Exchange</t>
        </is>
      </c>
      <c r="G408" t="inlineStr">
        <is>
          <t>Participer à l'échange de la commission de la fonction publique</t>
        </is>
      </c>
      <c r="H408" s="1" t="n">
        <v>43259</v>
      </c>
      <c r="I408" s="1" t="n">
        <v>43259</v>
      </c>
      <c r="J408" t="inlineStr">
        <is>
          <t>Ottawa, ON</t>
        </is>
      </c>
      <c r="T408" t="n">
        <v>13</v>
      </c>
      <c r="U408" t="n">
        <v>13</v>
      </c>
      <c r="X408" t="inlineStr">
        <is>
          <t>atssc-scdata</t>
        </is>
      </c>
      <c r="Y408" t="inlineStr">
        <is>
          <t>Administrative Tribunals Support Service of Canada | Service canadien d'appui aux tribunaux administratifs</t>
        </is>
      </c>
      <c r="Z408" t="n">
        <v>1</v>
      </c>
      <c r="AA408" t="n">
        <v>13</v>
      </c>
      <c r="AB408">
        <f>ROUND(U408-AA408,2)</f>
        <v/>
      </c>
      <c r="AC408" t="b">
        <v>0</v>
      </c>
      <c r="AD408">
        <f>IF(U408="","MISSING_TOTAL",IF(ABS(AB408)&lt;=0.01,"OK","CHECK"))</f>
        <v/>
      </c>
      <c r="AE408">
        <f>IF(U408="","MISSING",IF(AND(AA408&gt;0,U408/AA408&gt;50),"POSSIBLE_SCALE_ERROR","OK"))</f>
        <v/>
      </c>
    </row>
    <row r="409">
      <c r="A409" t="inlineStr">
        <is>
          <t>T-2018-Q2-013</t>
        </is>
      </c>
      <c r="B409" t="inlineStr">
        <is>
          <t>SLE</t>
        </is>
      </c>
      <c r="C409" t="inlineStr">
        <is>
          <t>Chairperson, Canadian Cultural Property Export Review Board</t>
        </is>
      </c>
      <c r="D409" t="inlineStr">
        <is>
          <t>Commission canadienne d’examen des exportations de biens culturels</t>
        </is>
      </c>
      <c r="E409" t="inlineStr">
        <is>
          <t>Ingram, Sharilyn</t>
        </is>
      </c>
      <c r="F409" t="inlineStr">
        <is>
          <t>Attend the CCPERB ED Selection Proccess</t>
        </is>
      </c>
      <c r="G409" t="inlineStr">
        <is>
          <t>Participer au processus de sélection du Directeur exécutif de la CCEEBC</t>
        </is>
      </c>
      <c r="H409" s="1" t="n">
        <v>43283</v>
      </c>
      <c r="I409" s="1" t="n">
        <v>43286</v>
      </c>
      <c r="J409" t="inlineStr">
        <is>
          <t>Ottawa, ON</t>
        </is>
      </c>
      <c r="P409" t="n">
        <v>450.52</v>
      </c>
      <c r="Q409" t="n">
        <v>264.92</v>
      </c>
      <c r="R409" t="n">
        <v>578.1900000000001</v>
      </c>
      <c r="S409" t="n">
        <v>396.95</v>
      </c>
      <c r="U409" t="n">
        <v>1690.58</v>
      </c>
      <c r="X409" t="inlineStr">
        <is>
          <t>atssc-scdata</t>
        </is>
      </c>
      <c r="Y409" t="inlineStr">
        <is>
          <t>Administrative Tribunals Support Service of Canada | Service canadien d'appui aux tribunaux administratifs</t>
        </is>
      </c>
      <c r="Z409" t="n">
        <v>4</v>
      </c>
      <c r="AA409" t="n">
        <v>1690.58</v>
      </c>
      <c r="AB409">
        <f>ROUND(U409-AA409,2)</f>
        <v/>
      </c>
      <c r="AC409" t="b">
        <v>0</v>
      </c>
      <c r="AD409">
        <f>IF(U409="","MISSING_TOTAL",IF(ABS(AB409)&lt;=0.01,"OK","CHECK"))</f>
        <v/>
      </c>
      <c r="AE409">
        <f>IF(U409="","MISSING",IF(AND(AA409&gt;0,U409/AA409&gt;50),"POSSIBLE_SCALE_ERROR","OK"))</f>
        <v/>
      </c>
    </row>
    <row r="410">
      <c r="A410" t="inlineStr">
        <is>
          <t>T-2018-Q2-014</t>
        </is>
      </c>
      <c r="B410" t="inlineStr">
        <is>
          <t>SLE</t>
        </is>
      </c>
      <c r="C410" t="inlineStr">
        <is>
          <t>Chairperson, Canadian Cultural Property Export Review Board</t>
        </is>
      </c>
      <c r="D410" t="inlineStr">
        <is>
          <t>Commission canadienne d’examen des exportations de biens culturels</t>
        </is>
      </c>
      <c r="E410" t="inlineStr">
        <is>
          <t>Ingram, Sharilyn</t>
        </is>
      </c>
      <c r="F410" t="inlineStr">
        <is>
          <t>Attend the preparation day of the CCPERB meeting and to attend the Chairperson's Forum</t>
        </is>
      </c>
      <c r="G410" t="inlineStr">
        <is>
          <t>Assister à la journée préparatoire de la réunion de la CCEEBC et assister au Forum du président</t>
        </is>
      </c>
      <c r="H410" s="1" t="n">
        <v>43263</v>
      </c>
      <c r="I410" s="1" t="n">
        <v>43266</v>
      </c>
      <c r="J410" t="inlineStr">
        <is>
          <t>Gatineau, Qc and Ottawa, ON</t>
        </is>
      </c>
      <c r="P410" t="n">
        <v>803.15</v>
      </c>
      <c r="Q410" t="n">
        <v>272.92</v>
      </c>
      <c r="R410" t="n">
        <v>547.64</v>
      </c>
      <c r="S410" t="n">
        <v>396.95</v>
      </c>
      <c r="U410" t="n">
        <v>2020.66</v>
      </c>
      <c r="X410" t="inlineStr">
        <is>
          <t>atssc-scdata</t>
        </is>
      </c>
      <c r="Y410" t="inlineStr">
        <is>
          <t>Administrative Tribunals Support Service of Canada | Service canadien d'appui aux tribunaux administratifs</t>
        </is>
      </c>
      <c r="Z410" t="n">
        <v>4</v>
      </c>
      <c r="AA410" t="n">
        <v>2020.66</v>
      </c>
      <c r="AB410">
        <f>ROUND(U410-AA410,2)</f>
        <v/>
      </c>
      <c r="AC410" t="b">
        <v>0</v>
      </c>
      <c r="AD410">
        <f>IF(U410="","MISSING_TOTAL",IF(ABS(AB410)&lt;=0.01,"OK","CHECK"))</f>
        <v/>
      </c>
      <c r="AE410">
        <f>IF(U410="","MISSING",IF(AND(AA410&gt;0,U410/AA410&gt;50),"POSSIBLE_SCALE_ERROR","OK"))</f>
        <v/>
      </c>
    </row>
    <row r="411">
      <c r="A411" t="inlineStr">
        <is>
          <t>T-2018-Q2-015</t>
        </is>
      </c>
      <c r="B411" t="inlineStr">
        <is>
          <t>SLE</t>
        </is>
      </c>
      <c r="C411" t="inlineStr">
        <is>
          <t>Chairperson, Canadian Cultural Property Export Review Board</t>
        </is>
      </c>
      <c r="D411" t="inlineStr">
        <is>
          <t>Commission canadienne d’examen des exportations de biens culturels</t>
        </is>
      </c>
      <c r="E411" t="inlineStr">
        <is>
          <t>Ingram, Sharilyn</t>
        </is>
      </c>
      <c r="F411" t="inlineStr">
        <is>
          <t>Attend the CCPERB Board meeting</t>
        </is>
      </c>
      <c r="G411" t="inlineStr">
        <is>
          <t>Assister à la réunion de la CCEEBC</t>
        </is>
      </c>
      <c r="H411" s="1" t="n">
        <v>43270</v>
      </c>
      <c r="I411" s="1" t="n">
        <v>43273</v>
      </c>
      <c r="J411" t="inlineStr">
        <is>
          <t>Ottawa, ON</t>
        </is>
      </c>
      <c r="P411" t="n">
        <v>473.31</v>
      </c>
      <c r="Q411" t="n">
        <v>196.09</v>
      </c>
      <c r="R411" t="n">
        <v>578.1900000000001</v>
      </c>
      <c r="S411" t="n">
        <v>396.95</v>
      </c>
      <c r="U411" t="n">
        <v>1644.54</v>
      </c>
      <c r="X411" t="inlineStr">
        <is>
          <t>atssc-scdata</t>
        </is>
      </c>
      <c r="Y411" t="inlineStr">
        <is>
          <t>Administrative Tribunals Support Service of Canada | Service canadien d'appui aux tribunaux administratifs</t>
        </is>
      </c>
      <c r="Z411" t="n">
        <v>4</v>
      </c>
      <c r="AA411" t="n">
        <v>1644.54</v>
      </c>
      <c r="AB411">
        <f>ROUND(U411-AA411,2)</f>
        <v/>
      </c>
      <c r="AC411" t="b">
        <v>0</v>
      </c>
      <c r="AD411">
        <f>IF(U411="","MISSING_TOTAL",IF(ABS(AB411)&lt;=0.01,"OK","CHECK"))</f>
        <v/>
      </c>
      <c r="AE411">
        <f>IF(U411="","MISSING",IF(AND(AA411&gt;0,U411/AA411&gt;50),"POSSIBLE_SCALE_ERROR","OK"))</f>
        <v/>
      </c>
    </row>
    <row r="412">
      <c r="A412" t="inlineStr">
        <is>
          <t>T-2018-Q2-016</t>
        </is>
      </c>
      <c r="B412" t="inlineStr">
        <is>
          <t>SLE</t>
        </is>
      </c>
      <c r="C412" t="inlineStr">
        <is>
          <t>Chairperson, Canadian Cultural Property Export Review Board</t>
        </is>
      </c>
      <c r="D412" t="inlineStr">
        <is>
          <t>Commission canadienne d’examen des exportations de biens culturels</t>
        </is>
      </c>
      <c r="E412" t="inlineStr">
        <is>
          <t>Ingram, Sharilyn</t>
        </is>
      </c>
      <c r="F412" t="inlineStr">
        <is>
          <t>Attend the CCPERB Orientation Meeting with a new member</t>
        </is>
      </c>
      <c r="G412" t="inlineStr">
        <is>
          <t>Assister à la réunion d'orientation  de la CCEEBC avec un nouveau membre</t>
        </is>
      </c>
      <c r="H412" s="1" t="n">
        <v>43305</v>
      </c>
      <c r="I412" s="1" t="n">
        <v>43306</v>
      </c>
      <c r="J412" t="inlineStr">
        <is>
          <t>Gatineau, QC</t>
        </is>
      </c>
      <c r="P412" t="n">
        <v>403.13</v>
      </c>
      <c r="Q412" t="n">
        <v>231.92</v>
      </c>
      <c r="R412" t="n">
        <v>153.52</v>
      </c>
      <c r="S412" t="n">
        <v>169.55</v>
      </c>
      <c r="U412" t="n">
        <v>958.12</v>
      </c>
      <c r="X412" t="inlineStr">
        <is>
          <t>atssc-scdata</t>
        </is>
      </c>
      <c r="Y412" t="inlineStr">
        <is>
          <t>Administrative Tribunals Support Service of Canada | Service canadien d'appui aux tribunaux administratifs</t>
        </is>
      </c>
      <c r="Z412" t="n">
        <v>2</v>
      </c>
      <c r="AA412" t="n">
        <v>958.119999999999</v>
      </c>
      <c r="AB412">
        <f>ROUND(U412-AA412,2)</f>
        <v/>
      </c>
      <c r="AC412" t="b">
        <v>0</v>
      </c>
      <c r="AD412">
        <f>IF(U412="","MISSING_TOTAL",IF(ABS(AB412)&lt;=0.01,"OK","CHECK"))</f>
        <v/>
      </c>
      <c r="AE412">
        <f>IF(U412="","MISSING",IF(AND(AA412&gt;0,U412/AA412&gt;50),"POSSIBLE_SCALE_ERROR","OK"))</f>
        <v/>
      </c>
    </row>
    <row r="413">
      <c r="A413" t="inlineStr">
        <is>
          <t>T-2018-Q2-017</t>
        </is>
      </c>
      <c r="B413" t="inlineStr">
        <is>
          <t>SLE</t>
        </is>
      </c>
      <c r="C413" t="inlineStr">
        <is>
          <t>Executive Director to the Secretariat to the Specific Claims Tribunal</t>
        </is>
      </c>
      <c r="D413" t="inlineStr">
        <is>
          <t>Directeur exécutif du Secrétariat du Tribunal des revendications particulières</t>
        </is>
      </c>
      <c r="E413" t="inlineStr">
        <is>
          <t>Mathieu, Michel</t>
        </is>
      </c>
      <c r="F413" t="inlineStr">
        <is>
          <t>To attend the Income Security Engagement Working Group Meeting and a key stakeholders meeting</t>
        </is>
      </c>
      <c r="G413" t="inlineStr">
        <is>
          <t>Assister à la réunion du groupe de travail sur l'engagement de la sécurité du revenu et à une réunion des principaux intervenants</t>
        </is>
      </c>
      <c r="H413" s="1" t="n">
        <v>43264</v>
      </c>
      <c r="I413" s="1" t="n">
        <v>43265</v>
      </c>
      <c r="J413" t="inlineStr">
        <is>
          <t>Gatineau, QC</t>
        </is>
      </c>
      <c r="Q413" t="n">
        <v>28.53</v>
      </c>
      <c r="T413" t="n">
        <v>13</v>
      </c>
      <c r="U413" t="n">
        <v>41.53</v>
      </c>
      <c r="X413" t="inlineStr">
        <is>
          <t>atssc-scdata</t>
        </is>
      </c>
      <c r="Y413" t="inlineStr">
        <is>
          <t>Administrative Tribunals Support Service of Canada | Service canadien d'appui aux tribunaux administratifs</t>
        </is>
      </c>
      <c r="Z413" t="n">
        <v>2</v>
      </c>
      <c r="AA413" t="n">
        <v>41.53</v>
      </c>
      <c r="AB413">
        <f>ROUND(U413-AA413,2)</f>
        <v/>
      </c>
      <c r="AC413" t="b">
        <v>0</v>
      </c>
      <c r="AD413">
        <f>IF(U413="","MISSING_TOTAL",IF(ABS(AB413)&lt;=0.01,"OK","CHECK"))</f>
        <v/>
      </c>
      <c r="AE413">
        <f>IF(U413="","MISSING",IF(AND(AA413&gt;0,U413/AA413&gt;50),"POSSIBLE_SCALE_ERROR","OK"))</f>
        <v/>
      </c>
    </row>
    <row r="414">
      <c r="A414" t="inlineStr">
        <is>
          <t>T-2018-Q2-018</t>
        </is>
      </c>
      <c r="B414" t="inlineStr">
        <is>
          <t>SLE</t>
        </is>
      </c>
      <c r="C414" t="inlineStr">
        <is>
          <t>Executive Director to the Secretariat to the Specific Claims Tribunal</t>
        </is>
      </c>
      <c r="D414" t="inlineStr">
        <is>
          <t>Directeur exécutif du Secrétariat du Tribunal des revendications particulières</t>
        </is>
      </c>
      <c r="E414" t="inlineStr">
        <is>
          <t>Mathieu, Michel</t>
        </is>
      </c>
      <c r="F414" t="inlineStr">
        <is>
          <t>Attend Meeting with representatives from the Stitt Feld Handy Group to explore options in ADR practices for SST</t>
        </is>
      </c>
      <c r="G414" t="inlineStr">
        <is>
          <t>Assister à une réunion avec des représentants du groupe Stitt Feld Handy pour explorer les options en matière de pratiques de règlement extrajudiciaire des différends pour TSS</t>
        </is>
      </c>
      <c r="H414" s="1" t="n">
        <v>43299</v>
      </c>
      <c r="I414" s="1" t="n">
        <v>43299</v>
      </c>
      <c r="J414" t="inlineStr">
        <is>
          <t>Toronto, ON</t>
        </is>
      </c>
      <c r="P414" t="n">
        <v>251.14</v>
      </c>
      <c r="Q414" t="n">
        <v>30.74</v>
      </c>
      <c r="S414" t="n">
        <v>38.65</v>
      </c>
      <c r="T414" t="n">
        <v>14.59</v>
      </c>
      <c r="U414" t="n">
        <v>335.12</v>
      </c>
      <c r="X414" t="inlineStr">
        <is>
          <t>atssc-scdata</t>
        </is>
      </c>
      <c r="Y414" t="inlineStr">
        <is>
          <t>Administrative Tribunals Support Service of Canada | Service canadien d'appui aux tribunaux administratifs</t>
        </is>
      </c>
      <c r="Z414" t="n">
        <v>1</v>
      </c>
      <c r="AA414" t="n">
        <v>335.119999999999</v>
      </c>
      <c r="AB414">
        <f>ROUND(U414-AA414,2)</f>
        <v/>
      </c>
      <c r="AC414" t="b">
        <v>0</v>
      </c>
      <c r="AD414">
        <f>IF(U414="","MISSING_TOTAL",IF(ABS(AB414)&lt;=0.01,"OK","CHECK"))</f>
        <v/>
      </c>
      <c r="AE414">
        <f>IF(U414="","MISSING",IF(AND(AA414&gt;0,U414/AA414&gt;50),"POSSIBLE_SCALE_ERROR","OK"))</f>
        <v/>
      </c>
    </row>
    <row r="415">
      <c r="A415" t="inlineStr">
        <is>
          <t>T-2018-Q2-019</t>
        </is>
      </c>
      <c r="B415" t="inlineStr">
        <is>
          <t>SLE</t>
        </is>
      </c>
      <c r="C415" t="inlineStr">
        <is>
          <t>Chairperson, Canadian Human Rights Tribunal</t>
        </is>
      </c>
      <c r="D415" t="inlineStr">
        <is>
          <t>Président, Tribunal canadien des droits de la personne</t>
        </is>
      </c>
      <c r="E415" t="inlineStr">
        <is>
          <t>Thomas, David</t>
        </is>
      </c>
      <c r="F415" t="inlineStr">
        <is>
          <t>Mediation file#T2249/0418</t>
        </is>
      </c>
      <c r="G415" t="inlineStr">
        <is>
          <t>Dossier de médiation dossier no T2249/0418</t>
        </is>
      </c>
      <c r="H415" s="1" t="n">
        <v>43268</v>
      </c>
      <c r="I415" s="1" t="n">
        <v>43274</v>
      </c>
      <c r="J415" t="inlineStr">
        <is>
          <t>Fredericton, NB</t>
        </is>
      </c>
      <c r="P415" t="n">
        <v>417.68</v>
      </c>
      <c r="Q415" t="n">
        <v>96</v>
      </c>
      <c r="R415" t="n">
        <v>400.2</v>
      </c>
      <c r="S415" t="n">
        <v>244.95</v>
      </c>
      <c r="U415" t="n">
        <v>1158.83</v>
      </c>
      <c r="X415" t="inlineStr">
        <is>
          <t>atssc-scdata</t>
        </is>
      </c>
      <c r="Y415" t="inlineStr">
        <is>
          <t>Administrative Tribunals Support Service of Canada | Service canadien d'appui aux tribunaux administratifs</t>
        </is>
      </c>
      <c r="Z415" t="n">
        <v>7</v>
      </c>
      <c r="AA415" t="n">
        <v>1158.83</v>
      </c>
      <c r="AB415">
        <f>ROUND(U415-AA415,2)</f>
        <v/>
      </c>
      <c r="AC415" t="b">
        <v>0</v>
      </c>
      <c r="AD415">
        <f>IF(U415="","MISSING_TOTAL",IF(ABS(AB415)&lt;=0.01,"OK","CHECK"))</f>
        <v/>
      </c>
      <c r="AE415">
        <f>IF(U415="","MISSING",IF(AND(AA415&gt;0,U415/AA415&gt;50),"POSSIBLE_SCALE_ERROR","OK"))</f>
        <v/>
      </c>
    </row>
    <row r="416">
      <c r="A416" t="inlineStr">
        <is>
          <t>T-2018-Q3-002</t>
        </is>
      </c>
      <c r="B416" t="inlineStr">
        <is>
          <t>SLE</t>
        </is>
      </c>
      <c r="C416" t="inlineStr">
        <is>
          <t>Chairperson, Canada Agricultural Review Tribunal</t>
        </is>
      </c>
      <c r="D416" t="inlineStr">
        <is>
          <t>Président, Commission de révision agricole du Canada</t>
        </is>
      </c>
      <c r="E416" t="inlineStr">
        <is>
          <t>Bélanger, Luc</t>
        </is>
      </c>
      <c r="F416" t="inlineStr">
        <is>
          <t>Annual Canadian Conference on "Droit et politiques agroalimentaires"</t>
        </is>
      </c>
      <c r="G416" t="inlineStr">
        <is>
          <t>Colloque annuel Canadien en droit et politiques agroalimentaires</t>
        </is>
      </c>
      <c r="H416" s="1" t="n">
        <v>43368</v>
      </c>
      <c r="I416" s="1" t="n">
        <v>43371</v>
      </c>
      <c r="J416" t="inlineStr">
        <is>
          <t>Quebec, Quebec</t>
        </is>
      </c>
      <c r="K416" t="inlineStr">
        <is>
          <t>Québec, Québec</t>
        </is>
      </c>
      <c r="Q416" t="n">
        <v>580.3200000000001</v>
      </c>
      <c r="R416" t="n">
        <v>711.15</v>
      </c>
      <c r="S416" t="n">
        <v>416.4</v>
      </c>
      <c r="U416" t="n">
        <v>1707.87</v>
      </c>
      <c r="X416" t="inlineStr">
        <is>
          <t>atssc-scdata</t>
        </is>
      </c>
      <c r="Y416" t="inlineStr">
        <is>
          <t>Administrative Tribunals Support Service of Canada | Service canadien d'appui aux tribunaux administratifs</t>
        </is>
      </c>
      <c r="Z416" t="n">
        <v>4</v>
      </c>
      <c r="AA416" t="n">
        <v>1707.87</v>
      </c>
      <c r="AB416">
        <f>ROUND(U416-AA416,2)</f>
        <v/>
      </c>
      <c r="AC416" t="b">
        <v>0</v>
      </c>
      <c r="AD416">
        <f>IF(U416="","MISSING_TOTAL",IF(ABS(AB416)&lt;=0.01,"OK","CHECK"))</f>
        <v/>
      </c>
      <c r="AE416">
        <f>IF(U416="","MISSING",IF(AND(AA416&gt;0,U416/AA416&gt;50),"POSSIBLE_SCALE_ERROR","OK"))</f>
        <v/>
      </c>
    </row>
    <row r="417">
      <c r="A417" t="inlineStr">
        <is>
          <t>T-2018-Q3-003</t>
        </is>
      </c>
      <c r="B417" t="inlineStr">
        <is>
          <t>SLE</t>
        </is>
      </c>
      <c r="C417" t="inlineStr">
        <is>
          <t>Chairperson, Canada Industrial Relations Board</t>
        </is>
      </c>
      <c r="D417" t="inlineStr">
        <is>
          <t>Présidente, Conseil canadien des relations industrielles</t>
        </is>
      </c>
      <c r="E417" t="inlineStr">
        <is>
          <t>Brazeau, Ginette</t>
        </is>
      </c>
      <c r="F417" t="inlineStr">
        <is>
          <t>To attend the 2018 Conference of Labour Board Chairs and Administrators</t>
        </is>
      </c>
      <c r="G417" t="inlineStr">
        <is>
          <t>Assister à la Conférence des présidents et des administrateurs des Commissions des relations de travail 2018</t>
        </is>
      </c>
      <c r="H417" s="1" t="n">
        <v>43366</v>
      </c>
      <c r="I417" s="1" t="n">
        <v>43369</v>
      </c>
      <c r="J417" t="inlineStr">
        <is>
          <t>Montreal, Quebec</t>
        </is>
      </c>
      <c r="K417" t="inlineStr">
        <is>
          <t>Montréal, Québec</t>
        </is>
      </c>
      <c r="Q417" t="n">
        <v>280.73</v>
      </c>
      <c r="R417" t="n">
        <v>525.72</v>
      </c>
      <c r="S417" t="n">
        <v>136.55</v>
      </c>
      <c r="U417" t="n">
        <v>943</v>
      </c>
      <c r="X417" t="inlineStr">
        <is>
          <t>atssc-scdata</t>
        </is>
      </c>
      <c r="Y417" t="inlineStr">
        <is>
          <t>Administrative Tribunals Support Service of Canada | Service canadien d'appui aux tribunaux administratifs</t>
        </is>
      </c>
      <c r="Z417" t="n">
        <v>4</v>
      </c>
      <c r="AA417" t="n">
        <v>943</v>
      </c>
      <c r="AB417">
        <f>ROUND(U417-AA417,2)</f>
        <v/>
      </c>
      <c r="AC417" t="b">
        <v>0</v>
      </c>
      <c r="AD417">
        <f>IF(U417="","MISSING_TOTAL",IF(ABS(AB417)&lt;=0.01,"OK","CHECK"))</f>
        <v/>
      </c>
      <c r="AE417">
        <f>IF(U417="","MISSING",IF(AND(AA417&gt;0,U417/AA417&gt;50),"POSSIBLE_SCALE_ERROR","OK"))</f>
        <v/>
      </c>
    </row>
    <row r="418">
      <c r="A418" t="inlineStr">
        <is>
          <t>T-2018-Q3-004</t>
        </is>
      </c>
      <c r="B418" t="inlineStr">
        <is>
          <t>SLE</t>
        </is>
      </c>
      <c r="C418" t="inlineStr">
        <is>
          <t>Chairperson, Canada Industrial Relations Board</t>
        </is>
      </c>
      <c r="D418" t="inlineStr">
        <is>
          <t>Présidente, Conseil canadien des relations industrielles</t>
        </is>
      </c>
      <c r="E418" t="inlineStr">
        <is>
          <t>Brazeau, Ginette</t>
        </is>
      </c>
      <c r="F418" t="inlineStr">
        <is>
          <t>2019 International Forum</t>
        </is>
      </c>
      <c r="G418" t="inlineStr">
        <is>
          <t>Forum International 2019</t>
        </is>
      </c>
      <c r="H418" s="1" t="n">
        <v>43380</v>
      </c>
      <c r="I418" s="1" t="n">
        <v>43385</v>
      </c>
      <c r="J418" t="inlineStr">
        <is>
          <t>London, United Kingdom</t>
        </is>
      </c>
      <c r="K418" t="inlineStr">
        <is>
          <t>Londre, Royaume Uni</t>
        </is>
      </c>
      <c r="P418" t="n">
        <v>2939.7</v>
      </c>
      <c r="Q418" t="n">
        <v>134.1</v>
      </c>
      <c r="S418" t="n">
        <v>272.1</v>
      </c>
      <c r="U418" t="n">
        <v>3345.9</v>
      </c>
      <c r="X418" t="inlineStr">
        <is>
          <t>atssc-scdata</t>
        </is>
      </c>
      <c r="Y418" t="inlineStr">
        <is>
          <t>Administrative Tribunals Support Service of Canada | Service canadien d'appui aux tribunaux administratifs</t>
        </is>
      </c>
      <c r="Z418" t="n">
        <v>6</v>
      </c>
      <c r="AA418" t="n">
        <v>3345.89999999999</v>
      </c>
      <c r="AB418">
        <f>ROUND(U418-AA418,2)</f>
        <v/>
      </c>
      <c r="AC418" t="b">
        <v>0</v>
      </c>
      <c r="AD418">
        <f>IF(U418="","MISSING_TOTAL",IF(ABS(AB418)&lt;=0.01,"OK","CHECK"))</f>
        <v/>
      </c>
      <c r="AE418">
        <f>IF(U418="","MISSING",IF(AND(AA418&gt;0,U418/AA418&gt;50),"POSSIBLE_SCALE_ERROR","OK"))</f>
        <v/>
      </c>
    </row>
    <row r="419">
      <c r="A419" t="inlineStr">
        <is>
          <t>T-2018-Q3-005</t>
        </is>
      </c>
      <c r="B419" t="inlineStr">
        <is>
          <t>SLE</t>
        </is>
      </c>
      <c r="C419" t="inlineStr">
        <is>
          <t>Chairperson, Canada Industrial Relations Board</t>
        </is>
      </c>
      <c r="D419" t="inlineStr">
        <is>
          <t>Présidente, Conseil canadien des relations industrielles</t>
        </is>
      </c>
      <c r="E419" t="inlineStr">
        <is>
          <t>Brazeau, Ginette</t>
        </is>
      </c>
      <c r="F419" t="inlineStr">
        <is>
          <t>ALRA Fall Planning Meeting</t>
        </is>
      </c>
      <c r="G419" t="inlineStr">
        <is>
          <t>Participer à une rencontre de planification pour l'Association of Labour Relations Agencies</t>
        </is>
      </c>
      <c r="H419" s="1" t="n">
        <v>43391</v>
      </c>
      <c r="I419" s="1" t="n">
        <v>43395</v>
      </c>
      <c r="J419" t="inlineStr">
        <is>
          <t>Toronto, Ontario</t>
        </is>
      </c>
      <c r="K419" t="inlineStr">
        <is>
          <t>Toronto, Ontario</t>
        </is>
      </c>
      <c r="P419" t="n">
        <v>942.59</v>
      </c>
      <c r="Q419" t="n">
        <v>143.7</v>
      </c>
      <c r="R419" t="n">
        <v>980.12</v>
      </c>
      <c r="S419" t="n">
        <v>366.7</v>
      </c>
      <c r="U419" t="n">
        <v>2433.11</v>
      </c>
      <c r="X419" t="inlineStr">
        <is>
          <t>atssc-scdata</t>
        </is>
      </c>
      <c r="Y419" t="inlineStr">
        <is>
          <t>Administrative Tribunals Support Service of Canada | Service canadien d'appui aux tribunaux administratifs</t>
        </is>
      </c>
      <c r="Z419" t="n">
        <v>5</v>
      </c>
      <c r="AA419" t="n">
        <v>2433.10999999999</v>
      </c>
      <c r="AB419">
        <f>ROUND(U419-AA419,2)</f>
        <v/>
      </c>
      <c r="AC419" t="b">
        <v>0</v>
      </c>
      <c r="AD419">
        <f>IF(U419="","MISSING_TOTAL",IF(ABS(AB419)&lt;=0.01,"OK","CHECK"))</f>
        <v/>
      </c>
      <c r="AE419">
        <f>IF(U419="","MISSING",IF(AND(AA419&gt;0,U419/AA419&gt;50),"POSSIBLE_SCALE_ERROR","OK"))</f>
        <v/>
      </c>
    </row>
    <row r="420">
      <c r="A420" t="inlineStr">
        <is>
          <t>T-2018-Q3-006</t>
        </is>
      </c>
      <c r="B420" t="inlineStr">
        <is>
          <t>SLE</t>
        </is>
      </c>
      <c r="C420" t="inlineStr">
        <is>
          <t>Chairperson, Canada Industrial Relations Board</t>
        </is>
      </c>
      <c r="D420" t="inlineStr">
        <is>
          <t>Présidente, Conseil canadien des relations industrielles</t>
        </is>
      </c>
      <c r="E420" t="inlineStr">
        <is>
          <t>Brazeau, Ginette</t>
        </is>
      </c>
      <c r="F420" t="inlineStr">
        <is>
          <t>Preside over Case Management Meeting "32524-C"</t>
        </is>
      </c>
      <c r="G420" t="inlineStr">
        <is>
          <t>Présider la réunion de gestion de cas "32524-C"</t>
        </is>
      </c>
      <c r="H420" s="1" t="n">
        <v>43403</v>
      </c>
      <c r="I420" s="1" t="n">
        <v>43403</v>
      </c>
      <c r="J420" t="inlineStr">
        <is>
          <t>Montreal, Quebec</t>
        </is>
      </c>
      <c r="K420" t="inlineStr">
        <is>
          <t>Montréal, Québec</t>
        </is>
      </c>
      <c r="Q420" t="n">
        <v>209.78</v>
      </c>
      <c r="S420" t="n">
        <v>19.2</v>
      </c>
      <c r="U420" t="n">
        <v>228.98</v>
      </c>
      <c r="X420" t="inlineStr">
        <is>
          <t>atssc-scdata</t>
        </is>
      </c>
      <c r="Y420" t="inlineStr">
        <is>
          <t>Administrative Tribunals Support Service of Canada | Service canadien d'appui aux tribunaux administratifs</t>
        </is>
      </c>
      <c r="Z420" t="n">
        <v>1</v>
      </c>
      <c r="AA420" t="n">
        <v>228.98</v>
      </c>
      <c r="AB420">
        <f>ROUND(U420-AA420,2)</f>
        <v/>
      </c>
      <c r="AC420" t="b">
        <v>0</v>
      </c>
      <c r="AD420">
        <f>IF(U420="","MISSING_TOTAL",IF(ABS(AB420)&lt;=0.01,"OK","CHECK"))</f>
        <v/>
      </c>
      <c r="AE420">
        <f>IF(U420="","MISSING",IF(AND(AA420&gt;0,U420/AA420&gt;50),"POSSIBLE_SCALE_ERROR","OK"))</f>
        <v/>
      </c>
    </row>
    <row r="421">
      <c r="A421" t="inlineStr">
        <is>
          <t>T-2018-Q3-008</t>
        </is>
      </c>
      <c r="B421" t="inlineStr">
        <is>
          <t>SLE</t>
        </is>
      </c>
      <c r="C421" t="inlineStr">
        <is>
          <t>Chairperson, Canada Industrial Relations Board</t>
        </is>
      </c>
      <c r="D421" t="inlineStr">
        <is>
          <t>Présidente, Conseil canadien des relations industrielles</t>
        </is>
      </c>
      <c r="E421" t="inlineStr">
        <is>
          <t>Brazeau, Ginette</t>
        </is>
      </c>
      <c r="F421" t="inlineStr">
        <is>
          <t>Presentation to Chinese Delegation</t>
        </is>
      </c>
      <c r="G421" t="inlineStr">
        <is>
          <t>Présentation à la délégation chinoise</t>
        </is>
      </c>
      <c r="H421" s="1" t="n">
        <v>43334</v>
      </c>
      <c r="I421" s="1" t="n">
        <v>43334</v>
      </c>
      <c r="J421" t="inlineStr">
        <is>
          <t>Montreal, Quebec</t>
        </is>
      </c>
      <c r="K421" t="inlineStr">
        <is>
          <t>Montréal, Québec</t>
        </is>
      </c>
      <c r="Q421" t="n">
        <v>209.16</v>
      </c>
      <c r="S421" t="n">
        <v>18.9</v>
      </c>
      <c r="U421" t="n">
        <v>228.06</v>
      </c>
      <c r="X421" t="inlineStr">
        <is>
          <t>atssc-scdata</t>
        </is>
      </c>
      <c r="Y421" t="inlineStr">
        <is>
          <t>Administrative Tribunals Support Service of Canada | Service canadien d'appui aux tribunaux administratifs</t>
        </is>
      </c>
      <c r="Z421" t="n">
        <v>1</v>
      </c>
      <c r="AA421" t="n">
        <v>228.06</v>
      </c>
      <c r="AB421">
        <f>ROUND(U421-AA421,2)</f>
        <v/>
      </c>
      <c r="AC421" t="b">
        <v>0</v>
      </c>
      <c r="AD421">
        <f>IF(U421="","MISSING_TOTAL",IF(ABS(AB421)&lt;=0.01,"OK","CHECK"))</f>
        <v/>
      </c>
      <c r="AE421">
        <f>IF(U421="","MISSING",IF(AND(AA421&gt;0,U421/AA421&gt;50),"POSSIBLE_SCALE_ERROR","OK"))</f>
        <v/>
      </c>
    </row>
    <row r="422">
      <c r="A422" t="inlineStr">
        <is>
          <t>T-2018-Q3-009</t>
        </is>
      </c>
      <c r="B422" t="inlineStr">
        <is>
          <t>SLE</t>
        </is>
      </c>
      <c r="C422" t="inlineStr">
        <is>
          <t>Chairperson, Canada Industrial Relations Board</t>
        </is>
      </c>
      <c r="D422" t="inlineStr">
        <is>
          <t>Présidente, Conseil canadien des relations industrielles</t>
        </is>
      </c>
      <c r="E422" t="inlineStr">
        <is>
          <t>Brazeau, Ginette</t>
        </is>
      </c>
      <c r="F422" t="inlineStr">
        <is>
          <t>Hearing in Halifax</t>
        </is>
      </c>
      <c r="G422" t="inlineStr">
        <is>
          <t>Audience</t>
        </is>
      </c>
      <c r="H422" s="1" t="n">
        <v>43338</v>
      </c>
      <c r="I422" s="1" t="n">
        <v>43343</v>
      </c>
      <c r="J422" t="inlineStr">
        <is>
          <t>Halifax, Nova Scotia</t>
        </is>
      </c>
      <c r="K422" t="inlineStr">
        <is>
          <t>Halifax, Nouvelle-Écosse</t>
        </is>
      </c>
      <c r="P422" t="n">
        <v>764.16</v>
      </c>
      <c r="Q422" t="n">
        <v>112.98</v>
      </c>
      <c r="R422" t="n">
        <v>1070.97</v>
      </c>
      <c r="S422" t="n">
        <v>549.45</v>
      </c>
      <c r="U422" t="n">
        <v>2497.56</v>
      </c>
      <c r="X422" t="inlineStr">
        <is>
          <t>atssc-scdata</t>
        </is>
      </c>
      <c r="Y422" t="inlineStr">
        <is>
          <t>Administrative Tribunals Support Service of Canada | Service canadien d'appui aux tribunaux administratifs</t>
        </is>
      </c>
      <c r="Z422" t="n">
        <v>6</v>
      </c>
      <c r="AA422" t="n">
        <v>2497.56</v>
      </c>
      <c r="AB422">
        <f>ROUND(U422-AA422,2)</f>
        <v/>
      </c>
      <c r="AC422" t="b">
        <v>0</v>
      </c>
      <c r="AD422">
        <f>IF(U422="","MISSING_TOTAL",IF(ABS(AB422)&lt;=0.01,"OK","CHECK"))</f>
        <v/>
      </c>
      <c r="AE422">
        <f>IF(U422="","MISSING",IF(AND(AA422&gt;0,U422/AA422&gt;50),"POSSIBLE_SCALE_ERROR","OK"))</f>
        <v/>
      </c>
    </row>
    <row r="423">
      <c r="A423" t="inlineStr">
        <is>
          <t>T-2018-Q3-018</t>
        </is>
      </c>
      <c r="B423" t="inlineStr">
        <is>
          <t>SLE</t>
        </is>
      </c>
      <c r="C423" t="inlineStr">
        <is>
          <t>Acting Executive Director to the Secretariat to the Specific Claims Tribunal</t>
        </is>
      </c>
      <c r="D423" t="inlineStr">
        <is>
          <t>Directeur exécutif par intérim du Secrétariat du Tribunal des revendications particulières</t>
        </is>
      </c>
      <c r="E423" t="inlineStr">
        <is>
          <t>Mathieu, Michel</t>
        </is>
      </c>
      <c r="F423" t="inlineStr">
        <is>
          <t>Stakeholder Meetings</t>
        </is>
      </c>
      <c r="G423" t="inlineStr">
        <is>
          <t>Rencontre avec les principaux intervenants</t>
        </is>
      </c>
      <c r="H423" s="1" t="n">
        <v>43370</v>
      </c>
      <c r="I423" s="1" t="n">
        <v>43371</v>
      </c>
      <c r="J423" t="inlineStr">
        <is>
          <t>Gatineau, Quebec</t>
        </is>
      </c>
      <c r="K423" t="inlineStr">
        <is>
          <t>Gatineau, Québec</t>
        </is>
      </c>
      <c r="Q423" t="n">
        <v>52.68</v>
      </c>
      <c r="U423" t="n">
        <v>52.68</v>
      </c>
      <c r="X423" t="inlineStr">
        <is>
          <t>atssc-scdata</t>
        </is>
      </c>
      <c r="Y423" t="inlineStr">
        <is>
          <t>Administrative Tribunals Support Service of Canada | Service canadien d'appui aux tribunaux administratifs</t>
        </is>
      </c>
      <c r="Z423" t="n">
        <v>2</v>
      </c>
      <c r="AA423" t="n">
        <v>52.68</v>
      </c>
      <c r="AB423">
        <f>ROUND(U423-AA423,2)</f>
        <v/>
      </c>
      <c r="AC423" t="b">
        <v>0</v>
      </c>
      <c r="AD423">
        <f>IF(U423="","MISSING_TOTAL",IF(ABS(AB423)&lt;=0.01,"OK","CHECK"))</f>
        <v/>
      </c>
      <c r="AE423">
        <f>IF(U423="","MISSING",IF(AND(AA423&gt;0,U423/AA423&gt;50),"POSSIBLE_SCALE_ERROR","OK"))</f>
        <v/>
      </c>
    </row>
    <row r="424">
      <c r="A424" t="inlineStr">
        <is>
          <t>T-2018-Q3-010</t>
        </is>
      </c>
      <c r="B424" t="inlineStr">
        <is>
          <t>SLE</t>
        </is>
      </c>
      <c r="C424" t="inlineStr">
        <is>
          <t>Chairperson, Federal Public Service Labour Relations and Employment Board Tribunal</t>
        </is>
      </c>
      <c r="D424" t="inlineStr">
        <is>
          <t>Présidente, Tribunal de la commission des relations de travail et de l’emploi dans le secteur public fédéral</t>
        </is>
      </c>
      <c r="E424" t="inlineStr">
        <is>
          <t>Ebbs, Catherine</t>
        </is>
      </c>
      <c r="F424" t="inlineStr">
        <is>
          <t>To attend the conference of the Association of Labour Relations Agencies</t>
        </is>
      </c>
      <c r="G424" t="inlineStr">
        <is>
          <t>Participer à la conférence de l'Association of Labour Relations Agencies</t>
        </is>
      </c>
      <c r="H424" s="1" t="n">
        <v>43302</v>
      </c>
      <c r="I424" s="1" t="n">
        <v>43305</v>
      </c>
      <c r="J424" t="inlineStr">
        <is>
          <t>Boston, Massachusetts</t>
        </is>
      </c>
      <c r="K424" t="inlineStr">
        <is>
          <t>Boston, Massachusetts</t>
        </is>
      </c>
      <c r="P424" t="n">
        <v>745.14</v>
      </c>
      <c r="Q424" t="n">
        <v>124.87</v>
      </c>
      <c r="R424" t="n">
        <v>1319.8</v>
      </c>
      <c r="S424" t="n">
        <v>354.14</v>
      </c>
      <c r="U424" t="n">
        <v>2543.95</v>
      </c>
      <c r="X424" t="inlineStr">
        <is>
          <t>atssc-scdata</t>
        </is>
      </c>
      <c r="Y424" t="inlineStr">
        <is>
          <t>Administrative Tribunals Support Service of Canada | Service canadien d'appui aux tribunaux administratifs</t>
        </is>
      </c>
      <c r="Z424" t="n">
        <v>4</v>
      </c>
      <c r="AA424" t="n">
        <v>2543.95</v>
      </c>
      <c r="AB424">
        <f>ROUND(U424-AA424,2)</f>
        <v/>
      </c>
      <c r="AC424" t="b">
        <v>0</v>
      </c>
      <c r="AD424">
        <f>IF(U424="","MISSING_TOTAL",IF(ABS(AB424)&lt;=0.01,"OK","CHECK"))</f>
        <v/>
      </c>
      <c r="AE424">
        <f>IF(U424="","MISSING",IF(AND(AA424&gt;0,U424/AA424&gt;50),"POSSIBLE_SCALE_ERROR","OK"))</f>
        <v/>
      </c>
    </row>
    <row r="425">
      <c r="A425" t="inlineStr">
        <is>
          <t>T-2018-Q3-011</t>
        </is>
      </c>
      <c r="B425" t="inlineStr">
        <is>
          <t>SLE</t>
        </is>
      </c>
      <c r="C425" t="inlineStr">
        <is>
          <t>Executive Director and General Counsel, Secretariat to the Canada Industrial Relations Board</t>
        </is>
      </c>
      <c r="D425" t="inlineStr">
        <is>
          <t>Directrice exécutive et avocate générale, Secrétariat du Conseil canadien des relations industrielles</t>
        </is>
      </c>
      <c r="E425" t="inlineStr">
        <is>
          <t>Guilbert, Sylvie</t>
        </is>
      </c>
      <c r="F425" t="inlineStr">
        <is>
          <t>Interviews for Industrial Relations Officers</t>
        </is>
      </c>
      <c r="G425" t="inlineStr">
        <is>
          <t>Entrevues pour agent des relations industrielles</t>
        </is>
      </c>
      <c r="H425" s="1" t="n">
        <v>43348</v>
      </c>
      <c r="I425" s="1" t="n">
        <v>43350</v>
      </c>
      <c r="J425" t="inlineStr">
        <is>
          <t>Montreal, Quebec</t>
        </is>
      </c>
      <c r="K425" t="inlineStr">
        <is>
          <t>Montréal, Québec</t>
        </is>
      </c>
      <c r="Q425" t="n">
        <v>291.28</v>
      </c>
      <c r="R425" t="n">
        <v>473.64</v>
      </c>
      <c r="S425" t="n">
        <v>292.85</v>
      </c>
      <c r="U425" t="n">
        <v>1057.77</v>
      </c>
      <c r="X425" t="inlineStr">
        <is>
          <t>atssc-scdata</t>
        </is>
      </c>
      <c r="Y425" t="inlineStr">
        <is>
          <t>Administrative Tribunals Support Service of Canada | Service canadien d'appui aux tribunaux administratifs</t>
        </is>
      </c>
      <c r="Z425" t="n">
        <v>3</v>
      </c>
      <c r="AA425" t="n">
        <v>1057.77</v>
      </c>
      <c r="AB425">
        <f>ROUND(U425-AA425,2)</f>
        <v/>
      </c>
      <c r="AC425" t="b">
        <v>0</v>
      </c>
      <c r="AD425">
        <f>IF(U425="","MISSING_TOTAL",IF(ABS(AB425)&lt;=0.01,"OK","CHECK"))</f>
        <v/>
      </c>
      <c r="AE425">
        <f>IF(U425="","MISSING",IF(AND(AA425&gt;0,U425/AA425&gt;50),"POSSIBLE_SCALE_ERROR","OK"))</f>
        <v/>
      </c>
    </row>
    <row r="426">
      <c r="A426" t="inlineStr">
        <is>
          <t>T-2018-Q3-012</t>
        </is>
      </c>
      <c r="B426" t="inlineStr">
        <is>
          <t>SLE</t>
        </is>
      </c>
      <c r="C426" t="inlineStr">
        <is>
          <t>Chairperson, Canadian Cultural Property Export Review Board</t>
        </is>
      </c>
      <c r="D426" t="inlineStr">
        <is>
          <t>Présidente, Commission canadienne d’examen des exportations de biens culturels</t>
        </is>
      </c>
      <c r="E426" t="inlineStr">
        <is>
          <t>Ingram, Sharilyn</t>
        </is>
      </c>
      <c r="F426" t="inlineStr">
        <is>
          <t>CCPERB Board Meeting</t>
        </is>
      </c>
      <c r="G426" t="inlineStr">
        <is>
          <t>Réunion du conseil d'administration de la CCEEBC</t>
        </is>
      </c>
      <c r="H426" s="1" t="n">
        <v>43354</v>
      </c>
      <c r="I426" s="1" t="n">
        <v>43358</v>
      </c>
      <c r="J426" t="inlineStr">
        <is>
          <t>Ottawa, Ontario</t>
        </is>
      </c>
      <c r="K426" t="inlineStr">
        <is>
          <t>Ottawa, Ontario</t>
        </is>
      </c>
      <c r="P426" t="n">
        <v>489.52</v>
      </c>
      <c r="Q426" t="n">
        <v>223.92</v>
      </c>
      <c r="R426" t="n">
        <v>578.1900000000001</v>
      </c>
      <c r="S426" t="n">
        <v>396.95</v>
      </c>
      <c r="U426" t="n">
        <v>1688.58</v>
      </c>
      <c r="X426" t="inlineStr">
        <is>
          <t>atssc-scdata</t>
        </is>
      </c>
      <c r="Y426" t="inlineStr">
        <is>
          <t>Administrative Tribunals Support Service of Canada | Service canadien d'appui aux tribunaux administratifs</t>
        </is>
      </c>
      <c r="Z426" t="n">
        <v>5</v>
      </c>
      <c r="AA426" t="n">
        <v>1688.58</v>
      </c>
      <c r="AB426">
        <f>ROUND(U426-AA426,2)</f>
        <v/>
      </c>
      <c r="AC426" t="b">
        <v>0</v>
      </c>
      <c r="AD426">
        <f>IF(U426="","MISSING_TOTAL",IF(ABS(AB426)&lt;=0.01,"OK","CHECK"))</f>
        <v/>
      </c>
      <c r="AE426">
        <f>IF(U426="","MISSING",IF(AND(AA426&gt;0,U426/AA426&gt;50),"POSSIBLE_SCALE_ERROR","OK"))</f>
        <v/>
      </c>
    </row>
    <row r="427">
      <c r="A427" t="inlineStr">
        <is>
          <t>T-2018-Q3-013</t>
        </is>
      </c>
      <c r="B427" t="inlineStr">
        <is>
          <t>SLE</t>
        </is>
      </c>
      <c r="C427" t="inlineStr">
        <is>
          <t>Chairperson, Canadian Cultural Property Export Review Board</t>
        </is>
      </c>
      <c r="D427" t="inlineStr">
        <is>
          <t>Présidente, Commission canadienne d’examen des exportations de biens culturels</t>
        </is>
      </c>
      <c r="E427" t="inlineStr">
        <is>
          <t>Ingram, Sharilyn</t>
        </is>
      </c>
      <c r="F427" t="inlineStr">
        <is>
          <t>Toronto Art Fair</t>
        </is>
      </c>
      <c r="G427" t="inlineStr">
        <is>
          <t>Toronto Art Fair</t>
        </is>
      </c>
      <c r="H427" s="1" t="n">
        <v>43398</v>
      </c>
      <c r="I427" s="1" t="n">
        <v>43399</v>
      </c>
      <c r="J427" t="inlineStr">
        <is>
          <t>Toronto, Ontario</t>
        </is>
      </c>
      <c r="K427" t="inlineStr">
        <is>
          <t>Toronto, Ontario</t>
        </is>
      </c>
      <c r="P427" t="n">
        <v>0</v>
      </c>
      <c r="Q427" t="n">
        <v>48.74</v>
      </c>
      <c r="R427" t="n">
        <v>233.86</v>
      </c>
      <c r="S427" t="n">
        <v>174.7</v>
      </c>
      <c r="U427" t="n">
        <v>457.3</v>
      </c>
      <c r="X427" t="inlineStr">
        <is>
          <t>atssc-scdata</t>
        </is>
      </c>
      <c r="Y427" t="inlineStr">
        <is>
          <t>Administrative Tribunals Support Service of Canada | Service canadien d'appui aux tribunaux administratifs</t>
        </is>
      </c>
      <c r="Z427" t="n">
        <v>2</v>
      </c>
      <c r="AA427" t="n">
        <v>457.3</v>
      </c>
      <c r="AB427">
        <f>ROUND(U427-AA427,2)</f>
        <v/>
      </c>
      <c r="AC427" t="b">
        <v>0</v>
      </c>
      <c r="AD427">
        <f>IF(U427="","MISSING_TOTAL",IF(ABS(AB427)&lt;=0.01,"OK","CHECK"))</f>
        <v/>
      </c>
      <c r="AE427">
        <f>IF(U427="","MISSING",IF(AND(AA427&gt;0,U427/AA427&gt;50),"POSSIBLE_SCALE_ERROR","OK"))</f>
        <v/>
      </c>
    </row>
    <row r="428">
      <c r="A428" t="inlineStr">
        <is>
          <t>T-2018-Q3-014</t>
        </is>
      </c>
      <c r="B428" t="inlineStr">
        <is>
          <t>SLE</t>
        </is>
      </c>
      <c r="C428" t="inlineStr">
        <is>
          <t>Chairperson, Canadian Cultural Property Export Review Board</t>
        </is>
      </c>
      <c r="D428" t="inlineStr">
        <is>
          <t>Présidente, Commission canadienne d’examen des exportations de biens culturels</t>
        </is>
      </c>
      <c r="E428" t="inlineStr">
        <is>
          <t>Ingram, Sharilyn</t>
        </is>
      </c>
      <c r="F428" t="inlineStr">
        <is>
          <t>Toronto Art Fair</t>
        </is>
      </c>
      <c r="G428" t="inlineStr">
        <is>
          <t>Toronto Art Fair</t>
        </is>
      </c>
      <c r="H428" s="1" t="n">
        <v>43401</v>
      </c>
      <c r="I428" s="1" t="n">
        <v>43401</v>
      </c>
      <c r="J428" t="inlineStr">
        <is>
          <t>Toronto, Ontario</t>
        </is>
      </c>
      <c r="K428" t="inlineStr">
        <is>
          <t>Toronto, Ontario</t>
        </is>
      </c>
      <c r="P428" t="n">
        <v>0</v>
      </c>
      <c r="Q428" t="n">
        <v>125.28</v>
      </c>
      <c r="R428" t="n">
        <v>0</v>
      </c>
      <c r="S428" t="n">
        <v>69.84999999999999</v>
      </c>
      <c r="U428" t="n">
        <v>195.13</v>
      </c>
      <c r="X428" t="inlineStr">
        <is>
          <t>atssc-scdata</t>
        </is>
      </c>
      <c r="Y428" t="inlineStr">
        <is>
          <t>Administrative Tribunals Support Service of Canada | Service canadien d'appui aux tribunaux administratifs</t>
        </is>
      </c>
      <c r="Z428" t="n">
        <v>1</v>
      </c>
      <c r="AA428" t="n">
        <v>195.13</v>
      </c>
      <c r="AB428">
        <f>ROUND(U428-AA428,2)</f>
        <v/>
      </c>
      <c r="AC428" t="b">
        <v>0</v>
      </c>
      <c r="AD428">
        <f>IF(U428="","MISSING_TOTAL",IF(ABS(AB428)&lt;=0.01,"OK","CHECK"))</f>
        <v/>
      </c>
      <c r="AE428">
        <f>IF(U428="","MISSING",IF(AND(AA428&gt;0,U428/AA428&gt;50),"POSSIBLE_SCALE_ERROR","OK"))</f>
        <v/>
      </c>
    </row>
    <row r="429">
      <c r="A429" t="inlineStr">
        <is>
          <t>T-2018-Q3-015</t>
        </is>
      </c>
      <c r="B429" t="inlineStr">
        <is>
          <t>SLE</t>
        </is>
      </c>
      <c r="C429" t="inlineStr">
        <is>
          <t>Chairperson, Canadian Cultural Property Export Review Board</t>
        </is>
      </c>
      <c r="D429" t="inlineStr">
        <is>
          <t>Présidente, Commission canadienne d’examen des exportations de biens culturels</t>
        </is>
      </c>
      <c r="E429" t="inlineStr">
        <is>
          <t>Ingram, Sharilyn</t>
        </is>
      </c>
      <c r="F429" t="inlineStr">
        <is>
          <t>Meeting with PCH Deputy Minister</t>
        </is>
      </c>
      <c r="G429" t="inlineStr">
        <is>
          <t>Rencontre avec le sous-ministre de PCH</t>
        </is>
      </c>
      <c r="H429" s="1" t="n">
        <v>43403</v>
      </c>
      <c r="I429" s="1" t="n">
        <v>43404</v>
      </c>
      <c r="J429" t="inlineStr">
        <is>
          <t>Gatineau, Quebec</t>
        </is>
      </c>
      <c r="K429" t="inlineStr">
        <is>
          <t>Gatineau, Québec</t>
        </is>
      </c>
      <c r="P429" t="n">
        <v>536.3</v>
      </c>
      <c r="Q429" t="n">
        <v>244.92</v>
      </c>
      <c r="R429" t="n">
        <v>201.12</v>
      </c>
      <c r="S429" t="n">
        <v>194.55</v>
      </c>
      <c r="U429" t="n">
        <v>1176.89</v>
      </c>
      <c r="X429" t="inlineStr">
        <is>
          <t>atssc-scdata</t>
        </is>
      </c>
      <c r="Y429" t="inlineStr">
        <is>
          <t>Administrative Tribunals Support Service of Canada | Service canadien d'appui aux tribunaux administratifs</t>
        </is>
      </c>
      <c r="Z429" t="n">
        <v>2</v>
      </c>
      <c r="AA429" t="n">
        <v>1176.88999999999</v>
      </c>
      <c r="AB429">
        <f>ROUND(U429-AA429,2)</f>
        <v/>
      </c>
      <c r="AC429" t="b">
        <v>0</v>
      </c>
      <c r="AD429">
        <f>IF(U429="","MISSING_TOTAL",IF(ABS(AB429)&lt;=0.01,"OK","CHECK"))</f>
        <v/>
      </c>
      <c r="AE429">
        <f>IF(U429="","MISSING",IF(AND(AA429&gt;0,U429/AA429&gt;50),"POSSIBLE_SCALE_ERROR","OK"))</f>
        <v/>
      </c>
    </row>
    <row r="430">
      <c r="A430" t="inlineStr">
        <is>
          <t>T-2018-Q3-016</t>
        </is>
      </c>
      <c r="B430" t="inlineStr">
        <is>
          <t>SLE</t>
        </is>
      </c>
      <c r="C430" t="inlineStr">
        <is>
          <t>Chairperson, Canadian Cultural Property Export Review Board</t>
        </is>
      </c>
      <c r="D430" t="inlineStr">
        <is>
          <t>Présidente, Commission canadienne d’examen des exportations de biens culturels</t>
        </is>
      </c>
      <c r="E430" t="inlineStr">
        <is>
          <t>Ingram, Sharilyn</t>
        </is>
      </c>
      <c r="F430" t="inlineStr">
        <is>
          <t>Attend Certificate in Adjudication</t>
        </is>
      </c>
      <c r="G430" t="inlineStr">
        <is>
          <t>Assister à un certificat d'arbitrage</t>
        </is>
      </c>
      <c r="H430" s="1" t="n">
        <v>43331</v>
      </c>
      <c r="I430" s="1" t="n">
        <v>43337</v>
      </c>
      <c r="J430" t="inlineStr">
        <is>
          <t>Toronto, Ontario</t>
        </is>
      </c>
      <c r="K430" t="inlineStr">
        <is>
          <t>Toronto, Ontario</t>
        </is>
      </c>
      <c r="Q430" t="n">
        <v>70.42</v>
      </c>
      <c r="R430" t="n">
        <v>1016.55</v>
      </c>
      <c r="S430" t="n">
        <v>392.7</v>
      </c>
      <c r="U430" t="n">
        <v>1479.67</v>
      </c>
      <c r="X430" t="inlineStr">
        <is>
          <t>atssc-scdata</t>
        </is>
      </c>
      <c r="Y430" t="inlineStr">
        <is>
          <t>Administrative Tribunals Support Service of Canada | Service canadien d'appui aux tribunaux administratifs</t>
        </is>
      </c>
      <c r="Z430" t="n">
        <v>7</v>
      </c>
      <c r="AA430" t="n">
        <v>1479.67</v>
      </c>
      <c r="AB430">
        <f>ROUND(U430-AA430,2)</f>
        <v/>
      </c>
      <c r="AC430" t="b">
        <v>0</v>
      </c>
      <c r="AD430">
        <f>IF(U430="","MISSING_TOTAL",IF(ABS(AB430)&lt;=0.01,"OK","CHECK"))</f>
        <v/>
      </c>
      <c r="AE430">
        <f>IF(U430="","MISSING",IF(AND(AA430&gt;0,U430/AA430&gt;50),"POSSIBLE_SCALE_ERROR","OK"))</f>
        <v/>
      </c>
    </row>
    <row r="431">
      <c r="A431" t="inlineStr">
        <is>
          <t>T-2018-Q3-017</t>
        </is>
      </c>
      <c r="B431" t="inlineStr">
        <is>
          <t>SLE</t>
        </is>
      </c>
      <c r="C431" t="inlineStr">
        <is>
          <t>Chairperson, Canadian Cultural Property Export Review Board</t>
        </is>
      </c>
      <c r="D431" t="inlineStr">
        <is>
          <t>Présidente, Commission canadienne d’examen des exportations de biens culturels</t>
        </is>
      </c>
      <c r="E431" t="inlineStr">
        <is>
          <t>Ingram, Sharilyn</t>
        </is>
      </c>
      <c r="F431" t="inlineStr">
        <is>
          <t>Prep day meeting</t>
        </is>
      </c>
      <c r="G431" t="inlineStr">
        <is>
          <t>Réunion préparatoire</t>
        </is>
      </c>
      <c r="H431" s="1" t="n">
        <v>43341</v>
      </c>
      <c r="I431" s="1" t="n">
        <v>43342</v>
      </c>
      <c r="J431" t="inlineStr">
        <is>
          <t>Ottawa, Ontario</t>
        </is>
      </c>
      <c r="K431" t="inlineStr">
        <is>
          <t>Ottawa, Ontario</t>
        </is>
      </c>
      <c r="P431" t="n">
        <v>527.65</v>
      </c>
      <c r="Q431" t="n">
        <v>231.92</v>
      </c>
      <c r="R431" t="n">
        <v>153.52</v>
      </c>
      <c r="S431" t="n">
        <v>169.55</v>
      </c>
      <c r="U431" t="n">
        <v>1082.64</v>
      </c>
      <c r="X431" t="inlineStr">
        <is>
          <t>atssc-scdata</t>
        </is>
      </c>
      <c r="Y431" t="inlineStr">
        <is>
          <t>Administrative Tribunals Support Service of Canada | Service canadien d'appui aux tribunaux administratifs</t>
        </is>
      </c>
      <c r="Z431" t="n">
        <v>2</v>
      </c>
      <c r="AA431" t="n">
        <v>1082.63999999999</v>
      </c>
      <c r="AB431">
        <f>ROUND(U431-AA431,2)</f>
        <v/>
      </c>
      <c r="AC431" t="b">
        <v>0</v>
      </c>
      <c r="AD431">
        <f>IF(U431="","MISSING_TOTAL",IF(ABS(AB431)&lt;=0.01,"OK","CHECK"))</f>
        <v/>
      </c>
      <c r="AE431">
        <f>IF(U431="","MISSING",IF(AND(AA431&gt;0,U431/AA431&gt;50),"POSSIBLE_SCALE_ERROR","OK"))</f>
        <v/>
      </c>
    </row>
    <row r="432">
      <c r="A432" t="inlineStr">
        <is>
          <t>T-2018-Q3-020</t>
        </is>
      </c>
      <c r="B432" t="inlineStr">
        <is>
          <t>SLE</t>
        </is>
      </c>
      <c r="C432" t="inlineStr">
        <is>
          <t>Chairperson, Canadian Human Rights Tribunal</t>
        </is>
      </c>
      <c r="D432" t="inlineStr">
        <is>
          <t>Président, Tribunal canadien des droits de la personne</t>
        </is>
      </c>
      <c r="E432" t="inlineStr">
        <is>
          <t>Thomas, David</t>
        </is>
      </c>
      <c r="F432" t="inlineStr">
        <is>
          <t>Mediation T2267/2218</t>
        </is>
      </c>
      <c r="G432" t="inlineStr">
        <is>
          <t>Médiation T2267/2218</t>
        </is>
      </c>
      <c r="H432" s="1" t="n">
        <v>43404</v>
      </c>
      <c r="I432" s="1" t="n">
        <v>76278</v>
      </c>
      <c r="J432" t="inlineStr">
        <is>
          <t>Hamilton, Ontario</t>
        </is>
      </c>
      <c r="K432" t="inlineStr">
        <is>
          <t>Hamilton, Ontario</t>
        </is>
      </c>
      <c r="Q432" t="n">
        <v>278.13</v>
      </c>
      <c r="R432" t="n">
        <v>429.63</v>
      </c>
      <c r="S432" t="n">
        <v>251.95</v>
      </c>
      <c r="U432" t="n">
        <v>959.71</v>
      </c>
      <c r="X432" t="inlineStr">
        <is>
          <t>atssc-scdata</t>
        </is>
      </c>
      <c r="Y432" t="inlineStr">
        <is>
          <t>Administrative Tribunals Support Service of Canada | Service canadien d'appui aux tribunaux administratifs</t>
        </is>
      </c>
      <c r="Z432" t="n">
        <v>32875</v>
      </c>
      <c r="AA432" t="n">
        <v>959.71</v>
      </c>
      <c r="AB432">
        <f>ROUND(U432-AA432,2)</f>
        <v/>
      </c>
      <c r="AC432" t="b">
        <v>0</v>
      </c>
      <c r="AD432">
        <f>IF(U432="","MISSING_TOTAL",IF(ABS(AB432)&lt;=0.01,"OK","CHECK"))</f>
        <v/>
      </c>
      <c r="AE432">
        <f>IF(U432="","MISSING",IF(AND(AA432&gt;0,U432/AA432&gt;50),"POSSIBLE_SCALE_ERROR","OK"))</f>
        <v/>
      </c>
    </row>
    <row r="433">
      <c r="A433" t="inlineStr">
        <is>
          <t>T-2018-Q3-021</t>
        </is>
      </c>
      <c r="B433" t="inlineStr">
        <is>
          <t>SLE</t>
        </is>
      </c>
      <c r="C433" t="inlineStr">
        <is>
          <t>Executive Director and General Counsel, Public Service Labour Relations and Employment Board Tribunal</t>
        </is>
      </c>
      <c r="D433" t="inlineStr">
        <is>
          <t>Directrice éxecutive et avocate générale, Tribunal de la commission des relations de travail et de l’emploi dans la fonction publique</t>
        </is>
      </c>
      <c r="E433" t="inlineStr">
        <is>
          <t>Adamson, Virginia</t>
        </is>
      </c>
      <c r="F433" t="inlineStr">
        <is>
          <t>To attend the annual meeting of Labour Board Chairs and Administrators</t>
        </is>
      </c>
      <c r="G433" t="inlineStr">
        <is>
          <t>Participer à la réunion annuelle des présidents et des administrateurs de Commission des relations de travail</t>
        </is>
      </c>
      <c r="H433" s="1" t="n">
        <v>43367</v>
      </c>
      <c r="I433" s="1" t="n">
        <v>43369</v>
      </c>
      <c r="J433" t="inlineStr">
        <is>
          <t>Montreal, Quebec</t>
        </is>
      </c>
      <c r="K433" t="inlineStr">
        <is>
          <t>Montréal, Québec</t>
        </is>
      </c>
      <c r="Q433" t="n">
        <v>133.4</v>
      </c>
      <c r="R433" t="n">
        <v>350.47</v>
      </c>
      <c r="S433" t="n">
        <v>119.25</v>
      </c>
      <c r="U433" t="n">
        <v>603.12</v>
      </c>
      <c r="X433" t="inlineStr">
        <is>
          <t>atssc-scdata</t>
        </is>
      </c>
      <c r="Y433" t="inlineStr">
        <is>
          <t>Administrative Tribunals Support Service of Canada | Service canadien d'appui aux tribunaux administratifs</t>
        </is>
      </c>
      <c r="Z433" t="n">
        <v>3</v>
      </c>
      <c r="AA433" t="n">
        <v>603.12</v>
      </c>
      <c r="AB433">
        <f>ROUND(U433-AA433,2)</f>
        <v/>
      </c>
      <c r="AC433" t="b">
        <v>0</v>
      </c>
      <c r="AD433">
        <f>IF(U433="","MISSING_TOTAL",IF(ABS(AB433)&lt;=0.01,"OK","CHECK"))</f>
        <v/>
      </c>
      <c r="AE433">
        <f>IF(U433="","MISSING",IF(AND(AA433&gt;0,U433/AA433&gt;50),"POSSIBLE_SCALE_ERROR","OK"))</f>
        <v/>
      </c>
    </row>
    <row r="434">
      <c r="A434" t="inlineStr">
        <is>
          <t>T-2018-Q3-022</t>
        </is>
      </c>
      <c r="B434" t="inlineStr">
        <is>
          <t>SLE</t>
        </is>
      </c>
      <c r="C434" t="inlineStr">
        <is>
          <t>Executive Director and General Counsel, Public Service Labour Relations and Employment Board Tribunal</t>
        </is>
      </c>
      <c r="D434" t="inlineStr">
        <is>
          <t>Directrice éxecutive et avocate générale, Tribunal de la commission des relations de travail et de l’emploi dans la fonction publique</t>
        </is>
      </c>
      <c r="E434" t="inlineStr">
        <is>
          <t>Adamson, Virginia</t>
        </is>
      </c>
      <c r="F434" t="inlineStr">
        <is>
          <t>To attend a planning meeting for the Association of Labour Relations Agencies</t>
        </is>
      </c>
      <c r="G434" t="inlineStr">
        <is>
          <t>Participer à une rencontre de planification pour l'Association of Labour Relations Agencies</t>
        </is>
      </c>
      <c r="H434" s="1" t="n">
        <v>43392</v>
      </c>
      <c r="I434" s="1" t="n">
        <v>43394</v>
      </c>
      <c r="J434" t="inlineStr">
        <is>
          <t>Toronto, Ontario</t>
        </is>
      </c>
      <c r="K434" t="inlineStr">
        <is>
          <t>Toronto, Ontario</t>
        </is>
      </c>
      <c r="Q434" t="n">
        <v>525.29</v>
      </c>
      <c r="R434" t="n">
        <v>514.74</v>
      </c>
      <c r="S434" t="n">
        <v>192</v>
      </c>
      <c r="U434" t="n">
        <v>1232.03</v>
      </c>
      <c r="X434" t="inlineStr">
        <is>
          <t>atssc-scdata</t>
        </is>
      </c>
      <c r="Y434" t="inlineStr">
        <is>
          <t>Administrative Tribunals Support Service of Canada | Service canadien d'appui aux tribunaux administratifs</t>
        </is>
      </c>
      <c r="Z434" t="n">
        <v>3</v>
      </c>
      <c r="AA434" t="n">
        <v>1232.03</v>
      </c>
      <c r="AB434">
        <f>ROUND(U434-AA434,2)</f>
        <v/>
      </c>
      <c r="AC434" t="b">
        <v>0</v>
      </c>
      <c r="AD434">
        <f>IF(U434="","MISSING_TOTAL",IF(ABS(AB434)&lt;=0.01,"OK","CHECK"))</f>
        <v/>
      </c>
      <c r="AE434">
        <f>IF(U434="","MISSING",IF(AND(AA434&gt;0,U434/AA434&gt;50),"POSSIBLE_SCALE_ERROR","OK"))</f>
        <v/>
      </c>
    </row>
    <row r="435">
      <c r="A435" t="inlineStr">
        <is>
          <t>T-2018-Q3-023</t>
        </is>
      </c>
      <c r="B435" t="inlineStr">
        <is>
          <t>SLE</t>
        </is>
      </c>
      <c r="C435" t="inlineStr">
        <is>
          <t>Executive Director and General Counsel, Public Service Labour Relations and Employment Board Tribunal</t>
        </is>
      </c>
      <c r="D435" t="inlineStr">
        <is>
          <t>Directrice éxecutive et avocate générale, Tribunal de la commission des relations de travail et de l’emploi dans la fonction publique</t>
        </is>
      </c>
      <c r="E435" t="inlineStr">
        <is>
          <t>Adamson, Virginia</t>
        </is>
      </c>
      <c r="F435" t="inlineStr">
        <is>
          <t>To attend the 2018 Conference of Labour Board Chairs and Administrators</t>
        </is>
      </c>
      <c r="G435" t="inlineStr">
        <is>
          <t>Assister à la Conférence des présidents et des administrateurs des Commissions des relations de travail 2018</t>
        </is>
      </c>
      <c r="H435" s="1" t="n">
        <v>43302</v>
      </c>
      <c r="I435" s="1" t="n">
        <v>43305</v>
      </c>
      <c r="J435" t="inlineStr">
        <is>
          <t>Boston, Massachusetts</t>
        </is>
      </c>
      <c r="K435" t="inlineStr">
        <is>
          <t>Boston, Massachusetts</t>
        </is>
      </c>
      <c r="P435" t="n">
        <v>924.6900000000001</v>
      </c>
      <c r="Q435" t="n">
        <v>33</v>
      </c>
      <c r="R435" t="n">
        <v>1651.67</v>
      </c>
      <c r="S435" t="n">
        <v>491.38</v>
      </c>
      <c r="U435" t="n">
        <v>3100.74</v>
      </c>
      <c r="X435" t="inlineStr">
        <is>
          <t>atssc-scdata</t>
        </is>
      </c>
      <c r="Y435" t="inlineStr">
        <is>
          <t>Administrative Tribunals Support Service of Canada | Service canadien d'appui aux tribunaux administratifs</t>
        </is>
      </c>
      <c r="Z435" t="n">
        <v>4</v>
      </c>
      <c r="AA435" t="n">
        <v>3100.74</v>
      </c>
      <c r="AB435">
        <f>ROUND(U435-AA435,2)</f>
        <v/>
      </c>
      <c r="AC435" t="b">
        <v>0</v>
      </c>
      <c r="AD435">
        <f>IF(U435="","MISSING_TOTAL",IF(ABS(AB435)&lt;=0.01,"OK","CHECK"))</f>
        <v/>
      </c>
      <c r="AE435">
        <f>IF(U435="","MISSING",IF(AND(AA435&gt;0,U435/AA435&gt;50),"POSSIBLE_SCALE_ERROR","OK"))</f>
        <v/>
      </c>
    </row>
    <row r="436">
      <c r="A436" t="inlineStr">
        <is>
          <t>T-2018-Q3-024</t>
        </is>
      </c>
      <c r="B436" t="inlineStr">
        <is>
          <t>SLE</t>
        </is>
      </c>
      <c r="C436" t="inlineStr">
        <is>
          <t>Chairperson, Social Security Tribunal of Canada</t>
        </is>
      </c>
      <c r="D436" t="inlineStr">
        <is>
          <t>Président, Tribunal de la sécurité sociale du Canada</t>
        </is>
      </c>
      <c r="E436" t="inlineStr">
        <is>
          <t>Aterman, Paul</t>
        </is>
      </c>
      <c r="F436" t="inlineStr">
        <is>
          <t>Attend the Society of Ontario Adjucators and Regulators (SOAR) conference</t>
        </is>
      </c>
      <c r="G436" t="inlineStr">
        <is>
          <t>Assister à la conférence "Society of Ontario Adjucators and Regulators (SOAR)"</t>
        </is>
      </c>
      <c r="H436" s="1" t="n">
        <v>43404</v>
      </c>
      <c r="I436" s="1" t="n">
        <v>43405</v>
      </c>
      <c r="J436" t="inlineStr">
        <is>
          <t>Toronto, Ontario</t>
        </is>
      </c>
      <c r="K436" t="inlineStr">
        <is>
          <t>Toronto, Ontario</t>
        </is>
      </c>
      <c r="P436" t="n">
        <v>790.59</v>
      </c>
      <c r="Q436" t="n">
        <v>77.84999999999999</v>
      </c>
      <c r="R436" t="n">
        <v>205.66</v>
      </c>
      <c r="S436" t="n">
        <v>174.7</v>
      </c>
      <c r="T436" t="n">
        <v>77.84999999999999</v>
      </c>
      <c r="U436" t="n">
        <v>1326.65</v>
      </c>
      <c r="X436" t="inlineStr">
        <is>
          <t>atssc-scdata</t>
        </is>
      </c>
      <c r="Y436" t="inlineStr">
        <is>
          <t>Administrative Tribunals Support Service of Canada | Service canadien d'appui aux tribunaux administratifs</t>
        </is>
      </c>
      <c r="Z436" t="n">
        <v>2</v>
      </c>
      <c r="AA436" t="n">
        <v>1326.65</v>
      </c>
      <c r="AB436">
        <f>ROUND(U436-AA436,2)</f>
        <v/>
      </c>
      <c r="AC436" t="b">
        <v>0</v>
      </c>
      <c r="AD436">
        <f>IF(U436="","MISSING_TOTAL",IF(ABS(AB436)&lt;=0.01,"OK","CHECK"))</f>
        <v/>
      </c>
      <c r="AE436">
        <f>IF(U436="","MISSING",IF(AND(AA436&gt;0,U436/AA436&gt;50),"POSSIBLE_SCALE_ERROR","OK"))</f>
        <v/>
      </c>
    </row>
    <row r="437">
      <c r="A437" t="inlineStr">
        <is>
          <t>T-2018-Q3-025</t>
        </is>
      </c>
      <c r="B437" t="inlineStr">
        <is>
          <t>SLE</t>
        </is>
      </c>
      <c r="C437" t="inlineStr">
        <is>
          <t>Chairperson, Canadian International Trade Tribunal</t>
        </is>
      </c>
      <c r="D437" t="inlineStr">
        <is>
          <t>Président, Tribunal canadien du commerce extérieur</t>
        </is>
      </c>
      <c r="E437" t="inlineStr">
        <is>
          <t>Bédard, Jean</t>
        </is>
      </c>
      <c r="F437" t="inlineStr">
        <is>
          <t>Attend the World Custom Law Meeting</t>
        </is>
      </c>
      <c r="G437" t="inlineStr">
        <is>
          <t>Assister à la réunion "World Custom Law "</t>
        </is>
      </c>
      <c r="H437" s="1" t="n">
        <v>43353</v>
      </c>
      <c r="I437" s="1" t="n">
        <v>43359</v>
      </c>
      <c r="J437" t="inlineStr">
        <is>
          <t>Panama, Panama</t>
        </is>
      </c>
      <c r="K437" t="inlineStr">
        <is>
          <t>Panama, Panama</t>
        </is>
      </c>
      <c r="P437" t="n">
        <v>1976.33</v>
      </c>
      <c r="Q437" t="n">
        <v>512.27</v>
      </c>
      <c r="R437" t="n">
        <v>814.87</v>
      </c>
      <c r="S437" t="n">
        <v>547.96</v>
      </c>
      <c r="U437" t="n">
        <v>3851.43</v>
      </c>
      <c r="X437" t="inlineStr">
        <is>
          <t>atssc-scdata</t>
        </is>
      </c>
      <c r="Y437" t="inlineStr">
        <is>
          <t>Administrative Tribunals Support Service of Canada | Service canadien d'appui aux tribunaux administratifs</t>
        </is>
      </c>
      <c r="Z437" t="n">
        <v>7</v>
      </c>
      <c r="AA437" t="n">
        <v>3851.43</v>
      </c>
      <c r="AB437">
        <f>ROUND(U437-AA437,2)</f>
        <v/>
      </c>
      <c r="AC437" t="b">
        <v>0</v>
      </c>
      <c r="AD437">
        <f>IF(U437="","MISSING_TOTAL",IF(ABS(AB437)&lt;=0.01,"OK","CHECK"))</f>
        <v/>
      </c>
      <c r="AE437">
        <f>IF(U437="","MISSING",IF(AND(AA437&gt;0,U437/AA437&gt;50),"POSSIBLE_SCALE_ERROR","OK"))</f>
        <v/>
      </c>
    </row>
    <row r="438">
      <c r="A438" t="inlineStr">
        <is>
          <t>T-2018-Q3-026</t>
        </is>
      </c>
      <c r="B438" t="inlineStr">
        <is>
          <t>SLE</t>
        </is>
      </c>
      <c r="C438" t="inlineStr">
        <is>
          <t>Chairperson, Canadian International Trade Tribunal</t>
        </is>
      </c>
      <c r="D438" t="inlineStr">
        <is>
          <t>Président, Tribunal canadien du commerce extérieur</t>
        </is>
      </c>
      <c r="E438" t="inlineStr">
        <is>
          <t>Bédard, Jean</t>
        </is>
      </c>
      <c r="F438" t="inlineStr">
        <is>
          <t>Presentation to York University Students in Masters in Public and International Affairs</t>
        </is>
      </c>
      <c r="G438" t="inlineStr">
        <is>
          <t>Présentation aux étudiants de la Maîtrise en Affaires Publiques et Internationales de l'université York</t>
        </is>
      </c>
      <c r="H438" s="1" t="n">
        <v>43391</v>
      </c>
      <c r="I438" s="1" t="n">
        <v>43392</v>
      </c>
      <c r="J438" t="inlineStr">
        <is>
          <t>Toronto, Ontario</t>
        </is>
      </c>
      <c r="K438" t="inlineStr">
        <is>
          <t>Toronto, Ontario</t>
        </is>
      </c>
      <c r="P438" t="n">
        <v>240.13</v>
      </c>
      <c r="Q438" t="n">
        <v>94.34999999999999</v>
      </c>
      <c r="S438" t="n">
        <v>87.15000000000001</v>
      </c>
      <c r="U438" t="n">
        <v>421.63</v>
      </c>
      <c r="X438" t="inlineStr">
        <is>
          <t>atssc-scdata</t>
        </is>
      </c>
      <c r="Y438" t="inlineStr">
        <is>
          <t>Administrative Tribunals Support Service of Canada | Service canadien d'appui aux tribunaux administratifs</t>
        </is>
      </c>
      <c r="Z438" t="n">
        <v>2</v>
      </c>
      <c r="AA438" t="n">
        <v>421.63</v>
      </c>
      <c r="AB438">
        <f>ROUND(U438-AA438,2)</f>
        <v/>
      </c>
      <c r="AC438" t="b">
        <v>0</v>
      </c>
      <c r="AD438">
        <f>IF(U438="","MISSING_TOTAL",IF(ABS(AB438)&lt;=0.01,"OK","CHECK"))</f>
        <v/>
      </c>
      <c r="AE438">
        <f>IF(U438="","MISSING",IF(AND(AA438&gt;0,U438/AA438&gt;50),"POSSIBLE_SCALE_ERROR","OK"))</f>
        <v/>
      </c>
    </row>
    <row r="439">
      <c r="A439" t="inlineStr">
        <is>
          <t>T-2018-Q3-027</t>
        </is>
      </c>
      <c r="B439" t="inlineStr">
        <is>
          <t>SLE</t>
        </is>
      </c>
      <c r="C439" t="inlineStr">
        <is>
          <t>Chairperson, Canadian International Trade Tribunal</t>
        </is>
      </c>
      <c r="D439" t="inlineStr">
        <is>
          <t>Président, Tribunal canadien du commerce extérieur</t>
        </is>
      </c>
      <c r="E439" t="inlineStr">
        <is>
          <t>Bédard, Jean</t>
        </is>
      </c>
      <c r="F439" t="inlineStr">
        <is>
          <t>IBA/Antitrust &amp; International Trade and Customs Laws Committees</t>
        </is>
      </c>
      <c r="G439" t="inlineStr">
        <is>
          <t>IBA/Antitrust &amp; International Trade and Customs Laws Committees</t>
        </is>
      </c>
      <c r="H439" s="1" t="n">
        <v>43378</v>
      </c>
      <c r="I439" s="1" t="n">
        <v>43382</v>
      </c>
      <c r="J439" t="inlineStr">
        <is>
          <t>Rome, Italy</t>
        </is>
      </c>
      <c r="K439" t="inlineStr">
        <is>
          <t>Rome, Italie</t>
        </is>
      </c>
      <c r="P439" t="n">
        <v>3869.14</v>
      </c>
      <c r="Q439" t="n">
        <v>239.16</v>
      </c>
      <c r="R439" t="n">
        <v>979.53</v>
      </c>
      <c r="S439" t="n">
        <v>111.33</v>
      </c>
      <c r="U439" t="n">
        <v>5199.16</v>
      </c>
      <c r="X439" t="inlineStr">
        <is>
          <t>atssc-scdata</t>
        </is>
      </c>
      <c r="Y439" t="inlineStr">
        <is>
          <t>Administrative Tribunals Support Service of Canada | Service canadien d'appui aux tribunaux administratifs</t>
        </is>
      </c>
      <c r="Z439" t="n">
        <v>5</v>
      </c>
      <c r="AA439" t="n">
        <v>5199.16</v>
      </c>
      <c r="AB439">
        <f>ROUND(U439-AA439,2)</f>
        <v/>
      </c>
      <c r="AC439" t="b">
        <v>0</v>
      </c>
      <c r="AD439">
        <f>IF(U439="","MISSING_TOTAL",IF(ABS(AB439)&lt;=0.01,"OK","CHECK"))</f>
        <v/>
      </c>
      <c r="AE439">
        <f>IF(U439="","MISSING",IF(AND(AA439&gt;0,U439/AA439&gt;50),"POSSIBLE_SCALE_ERROR","OK"))</f>
        <v/>
      </c>
    </row>
    <row r="440">
      <c r="A440" t="inlineStr">
        <is>
          <t>T-2018-Q3-028</t>
        </is>
      </c>
      <c r="B440" t="inlineStr">
        <is>
          <t>SLE</t>
        </is>
      </c>
      <c r="C440" t="inlineStr">
        <is>
          <t>Acting Director General, Corporate Services and Chief Financial Officer</t>
        </is>
      </c>
      <c r="D440" t="inlineStr">
        <is>
          <t>Directeur général, Services de gestion et dirigeant principal des finances par intérim</t>
        </is>
      </c>
      <c r="E440" t="inlineStr">
        <is>
          <t>Bucar, Christopher</t>
        </is>
      </c>
      <c r="F440" t="inlineStr">
        <is>
          <t>Next Gen DCFO Training Session</t>
        </is>
      </c>
      <c r="G440" t="inlineStr">
        <is>
          <t>Formation "Next Gen DCFO Training"</t>
        </is>
      </c>
      <c r="H440" s="1" t="n">
        <v>43389</v>
      </c>
      <c r="I440" s="1" t="n">
        <v>43390</v>
      </c>
      <c r="J440" t="inlineStr">
        <is>
          <t>Wakefield, Quebec</t>
        </is>
      </c>
      <c r="K440" t="inlineStr">
        <is>
          <t>Wakefield, Québec</t>
        </is>
      </c>
      <c r="Q440" t="n">
        <v>70.2</v>
      </c>
      <c r="R440" t="n">
        <v>154.7</v>
      </c>
      <c r="S440" t="n">
        <v>34.6</v>
      </c>
      <c r="U440" t="n">
        <v>259.5</v>
      </c>
      <c r="X440" t="inlineStr">
        <is>
          <t>atssc-scdata</t>
        </is>
      </c>
      <c r="Y440" t="inlineStr">
        <is>
          <t>Administrative Tribunals Support Service of Canada | Service canadien d'appui aux tribunaux administratifs</t>
        </is>
      </c>
      <c r="Z440" t="n">
        <v>2</v>
      </c>
      <c r="AA440" t="n">
        <v>259.5</v>
      </c>
      <c r="AB440">
        <f>ROUND(U440-AA440,2)</f>
        <v/>
      </c>
      <c r="AC440" t="b">
        <v>0</v>
      </c>
      <c r="AD440">
        <f>IF(U440="","MISSING_TOTAL",IF(ABS(AB440)&lt;=0.01,"OK","CHECK"))</f>
        <v/>
      </c>
      <c r="AE440">
        <f>IF(U440="","MISSING",IF(AND(AA440&gt;0,U440/AA440&gt;50),"POSSIBLE_SCALE_ERROR","OK"))</f>
        <v/>
      </c>
    </row>
    <row r="441">
      <c r="A441" t="inlineStr">
        <is>
          <t>T-2018-Q3-029</t>
        </is>
      </c>
      <c r="B441" t="inlineStr">
        <is>
          <t>SLE</t>
        </is>
      </c>
      <c r="C441" t="inlineStr">
        <is>
          <t>Executive Director Canadian Cultural Property Export Review Board</t>
        </is>
      </c>
      <c r="D441" t="inlineStr">
        <is>
          <t>Directrice exécutive Commission canadienne d'examen des exportations de biens culturels</t>
        </is>
      </c>
      <c r="E441" t="inlineStr">
        <is>
          <t>Kim, Mijin</t>
        </is>
      </c>
      <c r="F441" t="inlineStr">
        <is>
          <t>Attend the CCPERB meeting</t>
        </is>
      </c>
      <c r="G441" t="inlineStr">
        <is>
          <t>Assister à la réunion de la CCEEBC</t>
        </is>
      </c>
      <c r="H441" s="1" t="n">
        <v>43355</v>
      </c>
      <c r="I441" s="1" t="n">
        <v>43357</v>
      </c>
      <c r="J441" t="inlineStr">
        <is>
          <t>Gatineau, Quebec</t>
        </is>
      </c>
      <c r="K441" t="inlineStr">
        <is>
          <t>Gatineau, Québec</t>
        </is>
      </c>
      <c r="Q441" t="n">
        <v>60</v>
      </c>
      <c r="U441" t="n">
        <v>60</v>
      </c>
      <c r="X441" t="inlineStr">
        <is>
          <t>atssc-scdata</t>
        </is>
      </c>
      <c r="Y441" t="inlineStr">
        <is>
          <t>Administrative Tribunals Support Service of Canada | Service canadien d'appui aux tribunaux administratifs</t>
        </is>
      </c>
      <c r="Z441" t="n">
        <v>3</v>
      </c>
      <c r="AA441" t="n">
        <v>60</v>
      </c>
      <c r="AB441">
        <f>ROUND(U441-AA441,2)</f>
        <v/>
      </c>
      <c r="AC441" t="b">
        <v>0</v>
      </c>
      <c r="AD441">
        <f>IF(U441="","MISSING_TOTAL",IF(ABS(AB441)&lt;=0.01,"OK","CHECK"))</f>
        <v/>
      </c>
      <c r="AE441">
        <f>IF(U441="","MISSING",IF(AND(AA441&gt;0,U441/AA441&gt;50),"POSSIBLE_SCALE_ERROR","OK"))</f>
        <v/>
      </c>
    </row>
    <row r="442">
      <c r="A442" t="inlineStr">
        <is>
          <t>T-2018-Q3-030</t>
        </is>
      </c>
      <c r="B442" t="inlineStr">
        <is>
          <t>SLE</t>
        </is>
      </c>
      <c r="C442" t="inlineStr">
        <is>
          <t>Executive Director Canadian Cultural Property Export Review Board</t>
        </is>
      </c>
      <c r="D442" t="inlineStr">
        <is>
          <t>Directrice exécutive Commission canadienne d'examen des exportations de biens culturels</t>
        </is>
      </c>
      <c r="E442" t="inlineStr">
        <is>
          <t>Kim, Mijin</t>
        </is>
      </c>
      <c r="F442" t="inlineStr">
        <is>
          <t>Attend eleven meetings</t>
        </is>
      </c>
      <c r="G442" t="inlineStr">
        <is>
          <t>Assister à onze réunions</t>
        </is>
      </c>
      <c r="H442" s="1" t="n">
        <v>43361</v>
      </c>
      <c r="I442" s="1" t="n">
        <v>43393</v>
      </c>
      <c r="J442" t="inlineStr">
        <is>
          <t>Ottawa, Ontario</t>
        </is>
      </c>
      <c r="K442" t="inlineStr">
        <is>
          <t>Ottawa, Ontario</t>
        </is>
      </c>
      <c r="Q442" t="n">
        <v>114</v>
      </c>
      <c r="U442" t="n">
        <v>114</v>
      </c>
      <c r="X442" t="inlineStr">
        <is>
          <t>atssc-scdata</t>
        </is>
      </c>
      <c r="Y442" t="inlineStr">
        <is>
          <t>Administrative Tribunals Support Service of Canada | Service canadien d'appui aux tribunaux administratifs</t>
        </is>
      </c>
      <c r="Z442" t="n">
        <v>33</v>
      </c>
      <c r="AA442" t="n">
        <v>114</v>
      </c>
      <c r="AB442">
        <f>ROUND(U442-AA442,2)</f>
        <v/>
      </c>
      <c r="AC442" t="b">
        <v>0</v>
      </c>
      <c r="AD442">
        <f>IF(U442="","MISSING_TOTAL",IF(ABS(AB442)&lt;=0.01,"OK","CHECK"))</f>
        <v/>
      </c>
      <c r="AE442">
        <f>IF(U442="","MISSING",IF(AND(AA442&gt;0,U442/AA442&gt;50),"POSSIBLE_SCALE_ERROR","OK"))</f>
        <v/>
      </c>
    </row>
    <row r="443">
      <c r="A443" t="inlineStr">
        <is>
          <t>T-2018-Q3-032</t>
        </is>
      </c>
      <c r="B443" t="inlineStr">
        <is>
          <t>SLE</t>
        </is>
      </c>
      <c r="C443" t="inlineStr">
        <is>
          <t>Executive Director Canadian Cultural Property Export Review Board</t>
        </is>
      </c>
      <c r="D443" t="inlineStr">
        <is>
          <t>Directrice exécutive Commission canadienne d'examen des exportations de biens culturels</t>
        </is>
      </c>
      <c r="E443" t="inlineStr">
        <is>
          <t>Kim, Mijin</t>
        </is>
      </c>
      <c r="F443" t="inlineStr">
        <is>
          <t>Attend a meeting</t>
        </is>
      </c>
      <c r="G443" t="inlineStr">
        <is>
          <t>Assister à une réunion</t>
        </is>
      </c>
      <c r="H443" s="1" t="n">
        <v>43403</v>
      </c>
      <c r="I443" s="1" t="n">
        <v>43403</v>
      </c>
      <c r="J443" t="inlineStr">
        <is>
          <t>Toronto, Ontario</t>
        </is>
      </c>
      <c r="K443" t="inlineStr">
        <is>
          <t>Toronto, Ontario</t>
        </is>
      </c>
      <c r="P443" t="n">
        <v>545.79</v>
      </c>
      <c r="Q443" t="n">
        <v>88.06</v>
      </c>
      <c r="R443" t="n">
        <v>233.86</v>
      </c>
      <c r="S443" t="n">
        <v>194.55</v>
      </c>
      <c r="U443" t="n">
        <v>1062.26</v>
      </c>
      <c r="X443" t="inlineStr">
        <is>
          <t>atssc-scdata</t>
        </is>
      </c>
      <c r="Y443" t="inlineStr">
        <is>
          <t>Administrative Tribunals Support Service of Canada | Service canadien d'appui aux tribunaux administratifs</t>
        </is>
      </c>
      <c r="Z443" t="n">
        <v>1</v>
      </c>
      <c r="AA443" t="n">
        <v>1062.26</v>
      </c>
      <c r="AB443">
        <f>ROUND(U443-AA443,2)</f>
        <v/>
      </c>
      <c r="AC443" t="b">
        <v>0</v>
      </c>
      <c r="AD443">
        <f>IF(U443="","MISSING_TOTAL",IF(ABS(AB443)&lt;=0.01,"OK","CHECK"))</f>
        <v/>
      </c>
      <c r="AE443">
        <f>IF(U443="","MISSING",IF(AND(AA443&gt;0,U443/AA443&gt;50),"POSSIBLE_SCALE_ERROR","OK"))</f>
        <v/>
      </c>
    </row>
    <row r="444">
      <c r="A444" t="inlineStr">
        <is>
          <t>T-2019-Q1-001</t>
        </is>
      </c>
      <c r="B444" t="inlineStr">
        <is>
          <t>SLE</t>
        </is>
      </c>
      <c r="C444" t="inlineStr">
        <is>
          <t>Executive Director and General Counsel, Public Service Labour Relations and Employment Board Tribunal</t>
        </is>
      </c>
      <c r="D444" t="inlineStr">
        <is>
          <t>Directrice éxecutive et avocate générale, Tribunal de la commission des relations de travail et de l’emploi dans la fonction publique</t>
        </is>
      </c>
      <c r="E444" t="inlineStr">
        <is>
          <t>Adamson, Virginia</t>
        </is>
      </c>
      <c r="F444" t="inlineStr">
        <is>
          <t>ALRA's Second Planning Session</t>
        </is>
      </c>
      <c r="G444" t="inlineStr">
        <is>
          <t>Deuxième séance de planification pour ARLA</t>
        </is>
      </c>
      <c r="H444" s="1" t="n">
        <v>43532</v>
      </c>
      <c r="I444" s="1" t="n">
        <v>43534</v>
      </c>
      <c r="J444" t="inlineStr">
        <is>
          <t>Cincinnati, Ohio</t>
        </is>
      </c>
      <c r="K444" t="inlineStr">
        <is>
          <t>Cincinnati, Ohio</t>
        </is>
      </c>
      <c r="P444" t="n">
        <v>670.49</v>
      </c>
      <c r="Q444" t="n">
        <v>104.48</v>
      </c>
      <c r="R444" t="n">
        <v>459.83</v>
      </c>
      <c r="S444" t="n">
        <v>345.53</v>
      </c>
      <c r="T444" t="n">
        <v>0</v>
      </c>
      <c r="U444" t="n">
        <v>1580.33</v>
      </c>
      <c r="X444" t="inlineStr">
        <is>
          <t>atssc-scdata</t>
        </is>
      </c>
      <c r="Y444" t="inlineStr">
        <is>
          <t>Administrative Tribunals Support Service of Canada | Service canadien d'appui aux tribunaux administratifs</t>
        </is>
      </c>
      <c r="Z444" t="n">
        <v>3</v>
      </c>
      <c r="AA444" t="n">
        <v>1580.33</v>
      </c>
      <c r="AB444">
        <f>ROUND(U444-AA444,2)</f>
        <v/>
      </c>
      <c r="AC444" t="b">
        <v>0</v>
      </c>
      <c r="AD444">
        <f>IF(U444="","MISSING_TOTAL",IF(ABS(AB444)&lt;=0.01,"OK","CHECK"))</f>
        <v/>
      </c>
      <c r="AE444">
        <f>IF(U444="","MISSING",IF(AND(AA444&gt;0,U444/AA444&gt;50),"POSSIBLE_SCALE_ERROR","OK"))</f>
        <v/>
      </c>
    </row>
    <row r="445">
      <c r="A445" t="inlineStr">
        <is>
          <t>T-2019-Q1-002</t>
        </is>
      </c>
      <c r="B445" t="inlineStr">
        <is>
          <t>SLE</t>
        </is>
      </c>
      <c r="C445" t="inlineStr">
        <is>
          <t>Chairperson, Social Security Tribunal of Canada</t>
        </is>
      </c>
      <c r="D445" t="inlineStr">
        <is>
          <t>Président, Tribunal de la sécurité sociale du Canada</t>
        </is>
      </c>
      <c r="E445" t="inlineStr">
        <is>
          <t>Aterman, Paul</t>
        </is>
      </c>
      <c r="F445" t="inlineStr">
        <is>
          <t>Réunion régionale et session de formation pour les membres du GEC - Division générale</t>
        </is>
      </c>
      <c r="G445" t="inlineStr">
        <is>
          <t>Regional meeting and training session for the GIC Members - General Division</t>
        </is>
      </c>
      <c r="H445" s="1" t="n">
        <v>43522</v>
      </c>
      <c r="I445" s="1" t="n">
        <v>43524</v>
      </c>
      <c r="J445" t="inlineStr">
        <is>
          <t>Vancouver, BC</t>
        </is>
      </c>
      <c r="K445" t="inlineStr">
        <is>
          <t>Vancouver, BC</t>
        </is>
      </c>
      <c r="P445" t="n">
        <v>700.41</v>
      </c>
      <c r="Q445" t="n">
        <v>136.19</v>
      </c>
      <c r="R445" t="n">
        <v>418.27</v>
      </c>
      <c r="S445" t="n">
        <v>212.25</v>
      </c>
      <c r="T445" t="n">
        <v>0</v>
      </c>
      <c r="U445" t="n">
        <v>1467.12</v>
      </c>
      <c r="X445" t="inlineStr">
        <is>
          <t>atssc-scdata</t>
        </is>
      </c>
      <c r="Y445" t="inlineStr">
        <is>
          <t>Administrative Tribunals Support Service of Canada | Service canadien d'appui aux tribunaux administratifs</t>
        </is>
      </c>
      <c r="Z445" t="n">
        <v>3</v>
      </c>
      <c r="AA445" t="n">
        <v>1467.12</v>
      </c>
      <c r="AB445">
        <f>ROUND(U445-AA445,2)</f>
        <v/>
      </c>
      <c r="AC445" t="b">
        <v>0</v>
      </c>
      <c r="AD445">
        <f>IF(U445="","MISSING_TOTAL",IF(ABS(AB445)&lt;=0.01,"OK","CHECK"))</f>
        <v/>
      </c>
      <c r="AE445">
        <f>IF(U445="","MISSING",IF(AND(AA445&gt;0,U445/AA445&gt;50),"POSSIBLE_SCALE_ERROR","OK"))</f>
        <v/>
      </c>
    </row>
    <row r="446">
      <c r="A446" t="inlineStr">
        <is>
          <t>T-2019-Q1-003</t>
        </is>
      </c>
      <c r="B446" t="inlineStr">
        <is>
          <t>SLE</t>
        </is>
      </c>
      <c r="C446" t="inlineStr">
        <is>
          <t>Chairperson, Social Security Tribunal of Canada</t>
        </is>
      </c>
      <c r="D446" t="inlineStr">
        <is>
          <t>Président, Tribunal de la sécurité sociale du Canada</t>
        </is>
      </c>
      <c r="E446" t="inlineStr">
        <is>
          <t>Aterman, Paul</t>
        </is>
      </c>
      <c r="F446" t="inlineStr">
        <is>
          <t>Event on 'The Rule of Law: Is it at risk? The Role of Courts, Human Rights Commissions &amp; Administrative Bodies in Preserving the Rule of Law"</t>
        </is>
      </c>
      <c r="G446" t="inlineStr">
        <is>
          <t>Évènement sur "La primauté du droit: est-ce en danger? Le rôle des tribunaux, des commissions des droits de l'homme et des organization administratifs dans la préservation de l'état de droit"</t>
        </is>
      </c>
      <c r="H446" s="1" t="n">
        <v>43613</v>
      </c>
      <c r="I446" s="1" t="n">
        <v>43613</v>
      </c>
      <c r="J446" t="inlineStr">
        <is>
          <t>Montreal, Qc</t>
        </is>
      </c>
      <c r="K446" t="inlineStr">
        <is>
          <t>Montreal, QC</t>
        </is>
      </c>
      <c r="P446" t="n">
        <v>0</v>
      </c>
      <c r="Q446" t="n">
        <v>79.81</v>
      </c>
      <c r="R446" t="n">
        <v>0</v>
      </c>
      <c r="S446" t="n">
        <v>0</v>
      </c>
      <c r="T446" t="n">
        <v>0</v>
      </c>
      <c r="U446" t="n">
        <v>79.81</v>
      </c>
      <c r="X446" t="inlineStr">
        <is>
          <t>atssc-scdata</t>
        </is>
      </c>
      <c r="Y446" t="inlineStr">
        <is>
          <t>Administrative Tribunals Support Service of Canada | Service canadien d'appui aux tribunaux administratifs</t>
        </is>
      </c>
      <c r="Z446" t="n">
        <v>1</v>
      </c>
      <c r="AA446" t="n">
        <v>79.81</v>
      </c>
      <c r="AB446">
        <f>ROUND(U446-AA446,2)</f>
        <v/>
      </c>
      <c r="AC446" t="b">
        <v>0</v>
      </c>
      <c r="AD446">
        <f>IF(U446="","MISSING_TOTAL",IF(ABS(AB446)&lt;=0.01,"OK","CHECK"))</f>
        <v/>
      </c>
      <c r="AE446">
        <f>IF(U446="","MISSING",IF(AND(AA446&gt;0,U446/AA446&gt;50),"POSSIBLE_SCALE_ERROR","OK"))</f>
        <v/>
      </c>
    </row>
    <row r="447">
      <c r="A447" t="inlineStr">
        <is>
          <t>T-2019-Q1-004</t>
        </is>
      </c>
      <c r="B447" t="inlineStr">
        <is>
          <t>SLE</t>
        </is>
      </c>
      <c r="C447" t="inlineStr">
        <is>
          <t>Chairperson, Canada Agricultural Review Tribunal</t>
        </is>
      </c>
      <c r="D447" t="inlineStr">
        <is>
          <t>Président, Commission de révision agricole du Canada</t>
        </is>
      </c>
      <c r="E447" t="inlineStr">
        <is>
          <t>Bélanger, Luc</t>
        </is>
      </c>
      <c r="F447" t="inlineStr">
        <is>
          <t>To attend a hearing for file Way Alta CART-1988</t>
        </is>
      </c>
      <c r="G447" t="inlineStr">
        <is>
          <t>Pour assister à une audience dans le dossier Way Alta CRAC-1988</t>
        </is>
      </c>
      <c r="H447" s="1" t="n">
        <v>43592</v>
      </c>
      <c r="I447" s="1" t="n">
        <v>43596</v>
      </c>
      <c r="J447" t="inlineStr">
        <is>
          <t>Calgary, AB</t>
        </is>
      </c>
      <c r="K447" t="inlineStr">
        <is>
          <t>Calgary, AB</t>
        </is>
      </c>
      <c r="P447" t="n">
        <v>931.49</v>
      </c>
      <c r="Q447" t="n">
        <v>209.12</v>
      </c>
      <c r="R447" t="n">
        <v>1062.08</v>
      </c>
      <c r="S447" t="n">
        <v>542.75</v>
      </c>
      <c r="T447" t="n">
        <v>0</v>
      </c>
      <c r="U447" t="n">
        <v>2745.44</v>
      </c>
      <c r="X447" t="inlineStr">
        <is>
          <t>atssc-scdata</t>
        </is>
      </c>
      <c r="Y447" t="inlineStr">
        <is>
          <t>Administrative Tribunals Support Service of Canada | Service canadien d'appui aux tribunaux administratifs</t>
        </is>
      </c>
      <c r="Z447" t="n">
        <v>5</v>
      </c>
      <c r="AA447" t="n">
        <v>2745.44</v>
      </c>
      <c r="AB447">
        <f>ROUND(U447-AA447,2)</f>
        <v/>
      </c>
      <c r="AC447" t="b">
        <v>0</v>
      </c>
      <c r="AD447">
        <f>IF(U447="","MISSING_TOTAL",IF(ABS(AB447)&lt;=0.01,"OK","CHECK"))</f>
        <v/>
      </c>
      <c r="AE447">
        <f>IF(U447="","MISSING",IF(AND(AA447&gt;0,U447/AA447&gt;50),"POSSIBLE_SCALE_ERROR","OK"))</f>
        <v/>
      </c>
    </row>
    <row r="448">
      <c r="A448" t="inlineStr">
        <is>
          <t>T-2019-Q1-005</t>
        </is>
      </c>
      <c r="B448" t="inlineStr">
        <is>
          <t>SLE</t>
        </is>
      </c>
      <c r="C448" t="inlineStr">
        <is>
          <t>Chairperson, Canada Agricultural Review Tribunal</t>
        </is>
      </c>
      <c r="D448" t="inlineStr">
        <is>
          <t>Président, Commission de révision agricole du Canada</t>
        </is>
      </c>
      <c r="E448" t="inlineStr">
        <is>
          <t>Bélanger, Luc</t>
        </is>
      </c>
      <c r="F448" t="inlineStr">
        <is>
          <t>For the hearing CART-1896 Transvol</t>
        </is>
      </c>
      <c r="G448" t="inlineStr">
        <is>
          <t>Pour l'audience du dossier CRAC-1896 Transvol</t>
        </is>
      </c>
      <c r="H448" s="1" t="n">
        <v>43559</v>
      </c>
      <c r="I448" s="1" t="n">
        <v>43561</v>
      </c>
      <c r="J448" t="inlineStr">
        <is>
          <t>Québec, Qc</t>
        </is>
      </c>
      <c r="K448" t="inlineStr">
        <is>
          <t>Québec, Qc</t>
        </is>
      </c>
      <c r="P448" t="n">
        <v>0</v>
      </c>
      <c r="Q448" t="n">
        <v>610.55</v>
      </c>
      <c r="R448" t="n">
        <v>330.84</v>
      </c>
      <c r="S448" t="n">
        <v>251.95</v>
      </c>
      <c r="T448" t="n">
        <v>0</v>
      </c>
      <c r="U448" t="n">
        <v>1193.34</v>
      </c>
      <c r="X448" t="inlineStr">
        <is>
          <t>atssc-scdata</t>
        </is>
      </c>
      <c r="Y448" t="inlineStr">
        <is>
          <t>Administrative Tribunals Support Service of Canada | Service canadien d'appui aux tribunaux administratifs</t>
        </is>
      </c>
      <c r="Z448" t="n">
        <v>3</v>
      </c>
      <c r="AA448" t="n">
        <v>1193.34</v>
      </c>
      <c r="AB448">
        <f>ROUND(U448-AA448,2)</f>
        <v/>
      </c>
      <c r="AC448" t="b">
        <v>0</v>
      </c>
      <c r="AD448">
        <f>IF(U448="","MISSING_TOTAL",IF(ABS(AB448)&lt;=0.01,"OK","CHECK"))</f>
        <v/>
      </c>
      <c r="AE448">
        <f>IF(U448="","MISSING",IF(AND(AA448&gt;0,U448/AA448&gt;50),"POSSIBLE_SCALE_ERROR","OK"))</f>
        <v/>
      </c>
    </row>
    <row r="449">
      <c r="A449" t="inlineStr">
        <is>
          <t>T-2019-Q1-006</t>
        </is>
      </c>
      <c r="B449" t="inlineStr">
        <is>
          <t>SLE</t>
        </is>
      </c>
      <c r="C449" t="inlineStr">
        <is>
          <t>Chairperson, Canada Agricultural Review Tribunal</t>
        </is>
      </c>
      <c r="D449" t="inlineStr">
        <is>
          <t>Président, Commission de révision agricole du Canada</t>
        </is>
      </c>
      <c r="E449" t="inlineStr">
        <is>
          <t>Bélanger, Luc</t>
        </is>
      </c>
      <c r="F449" t="inlineStr">
        <is>
          <t>Osgood Advanced Decision Writing training.</t>
        </is>
      </c>
      <c r="G449" t="inlineStr">
        <is>
          <t>Formation avancée en rédaction de décisions Osgood.</t>
        </is>
      </c>
      <c r="H449" s="1" t="n">
        <v>43579</v>
      </c>
      <c r="I449" s="1" t="n">
        <v>43582</v>
      </c>
      <c r="J449" t="inlineStr">
        <is>
          <t>Toronto, ON</t>
        </is>
      </c>
      <c r="K449" t="inlineStr">
        <is>
          <t>Toronto, ON</t>
        </is>
      </c>
      <c r="P449" t="n">
        <v>542.8</v>
      </c>
      <c r="Q449" t="n">
        <v>114.34</v>
      </c>
      <c r="R449" t="n">
        <v>701.58</v>
      </c>
      <c r="S449" t="n">
        <v>322.85</v>
      </c>
      <c r="T449" t="n">
        <v>96</v>
      </c>
      <c r="U449" t="n">
        <v>1777.57</v>
      </c>
      <c r="X449" t="inlineStr">
        <is>
          <t>atssc-scdata</t>
        </is>
      </c>
      <c r="Y449" t="inlineStr">
        <is>
          <t>Administrative Tribunals Support Service of Canada | Service canadien d'appui aux tribunaux administratifs</t>
        </is>
      </c>
      <c r="Z449" t="n">
        <v>4</v>
      </c>
      <c r="AA449" t="n">
        <v>1777.57</v>
      </c>
      <c r="AB449">
        <f>ROUND(U449-AA449,2)</f>
        <v/>
      </c>
      <c r="AC449" t="b">
        <v>0</v>
      </c>
      <c r="AD449">
        <f>IF(U449="","MISSING_TOTAL",IF(ABS(AB449)&lt;=0.01,"OK","CHECK"))</f>
        <v/>
      </c>
      <c r="AE449">
        <f>IF(U449="","MISSING",IF(AND(AA449&gt;0,U449/AA449&gt;50),"POSSIBLE_SCALE_ERROR","OK"))</f>
        <v/>
      </c>
    </row>
    <row r="450">
      <c r="A450" t="inlineStr">
        <is>
          <t>T-2019-Q1-008</t>
        </is>
      </c>
      <c r="B450" t="inlineStr">
        <is>
          <t>SLE</t>
        </is>
      </c>
      <c r="C450" t="inlineStr">
        <is>
          <t>Chairperson, Canada Industrial Relations Board</t>
        </is>
      </c>
      <c r="D450" t="inlineStr">
        <is>
          <t>Présidente, Conseil canadien des relations industrielles</t>
        </is>
      </c>
      <c r="E450" t="inlineStr">
        <is>
          <t>Brazeau, Ginette</t>
        </is>
      </c>
      <c r="F450" t="inlineStr">
        <is>
          <t>Presentation to the Canadian Bar Association.</t>
        </is>
      </c>
      <c r="G450" t="inlineStr">
        <is>
          <t>Présentation à l'Association du Barreau canadien.</t>
        </is>
      </c>
      <c r="H450" s="1" t="n">
        <v>43533</v>
      </c>
      <c r="I450" s="1" t="n">
        <v>43537</v>
      </c>
      <c r="J450" t="inlineStr">
        <is>
          <t>Quebec City, Qc</t>
        </is>
      </c>
      <c r="K450" t="inlineStr">
        <is>
          <t>Ville de Québec, Qc</t>
        </is>
      </c>
      <c r="P450" t="n">
        <v>0</v>
      </c>
      <c r="Q450" t="n">
        <v>472.63</v>
      </c>
      <c r="R450" t="n">
        <v>215.42</v>
      </c>
      <c r="S450" t="n">
        <v>124.7</v>
      </c>
      <c r="T450" t="n">
        <v>65</v>
      </c>
      <c r="U450" t="n">
        <v>877.75</v>
      </c>
      <c r="X450" t="inlineStr">
        <is>
          <t>atssc-scdata</t>
        </is>
      </c>
      <c r="Y450" t="inlineStr">
        <is>
          <t>Administrative Tribunals Support Service of Canada | Service canadien d'appui aux tribunaux administratifs</t>
        </is>
      </c>
      <c r="Z450" t="n">
        <v>5</v>
      </c>
      <c r="AA450" t="n">
        <v>877.75</v>
      </c>
      <c r="AB450">
        <f>ROUND(U450-AA450,2)</f>
        <v/>
      </c>
      <c r="AC450" t="b">
        <v>0</v>
      </c>
      <c r="AD450">
        <f>IF(U450="","MISSING_TOTAL",IF(ABS(AB450)&lt;=0.01,"OK","CHECK"))</f>
        <v/>
      </c>
      <c r="AE450">
        <f>IF(U450="","MISSING",IF(AND(AA450&gt;0,U450/AA450&gt;50),"POSSIBLE_SCALE_ERROR","OK"))</f>
        <v/>
      </c>
    </row>
    <row r="451">
      <c r="A451" t="inlineStr">
        <is>
          <t>T-2019-Q1-009</t>
        </is>
      </c>
      <c r="B451" t="inlineStr">
        <is>
          <t>SLE</t>
        </is>
      </c>
      <c r="C451" t="inlineStr">
        <is>
          <t>Chairperson, Canada Industrial Relations Board</t>
        </is>
      </c>
      <c r="D451" t="inlineStr">
        <is>
          <t>Présidente, Conseil canadien des relations industrielles</t>
        </is>
      </c>
      <c r="E451" t="inlineStr">
        <is>
          <t>Brazeau, Ginette</t>
        </is>
      </c>
      <c r="F451" t="inlineStr">
        <is>
          <t>Hearing for file 32922-c</t>
        </is>
      </c>
      <c r="G451" t="inlineStr">
        <is>
          <t>Audience pour le dossier 32922-c</t>
        </is>
      </c>
      <c r="H451" s="1" t="n">
        <v>43548</v>
      </c>
      <c r="I451" s="1" t="n">
        <v>43551</v>
      </c>
      <c r="J451" t="inlineStr">
        <is>
          <t>Vancouver, BC</t>
        </is>
      </c>
      <c r="K451" t="inlineStr">
        <is>
          <t>Vancouver, BC</t>
        </is>
      </c>
      <c r="P451" t="n">
        <v>2231.91</v>
      </c>
      <c r="Q451" t="n">
        <v>96.83</v>
      </c>
      <c r="R451" t="n">
        <v>627.33</v>
      </c>
      <c r="S451" t="n">
        <v>339.5</v>
      </c>
      <c r="T451" t="n">
        <v>0</v>
      </c>
      <c r="U451" t="n">
        <v>3295.57</v>
      </c>
      <c r="X451" t="inlineStr">
        <is>
          <t>atssc-scdata</t>
        </is>
      </c>
      <c r="Y451" t="inlineStr">
        <is>
          <t>Administrative Tribunals Support Service of Canada | Service canadien d'appui aux tribunaux administratifs</t>
        </is>
      </c>
      <c r="Z451" t="n">
        <v>4</v>
      </c>
      <c r="AA451" t="n">
        <v>3295.56999999999</v>
      </c>
      <c r="AB451">
        <f>ROUND(U451-AA451,2)</f>
        <v/>
      </c>
      <c r="AC451" t="b">
        <v>0</v>
      </c>
      <c r="AD451">
        <f>IF(U451="","MISSING_TOTAL",IF(ABS(AB451)&lt;=0.01,"OK","CHECK"))</f>
        <v/>
      </c>
      <c r="AE451">
        <f>IF(U451="","MISSING",IF(AND(AA451&gt;0,U451/AA451&gt;50),"POSSIBLE_SCALE_ERROR","OK"))</f>
        <v/>
      </c>
    </row>
    <row r="452">
      <c r="A452" t="inlineStr">
        <is>
          <t>T-2019-Q1-010</t>
        </is>
      </c>
      <c r="B452" t="inlineStr">
        <is>
          <t>SLE</t>
        </is>
      </c>
      <c r="C452" t="inlineStr">
        <is>
          <t>Chairperson, Canada Industrial Relations Board</t>
        </is>
      </c>
      <c r="D452" t="inlineStr">
        <is>
          <t>Présidente, Conseil canadien des relations industrielles</t>
        </is>
      </c>
      <c r="E452" t="inlineStr">
        <is>
          <t>Brazeau, Ginette</t>
        </is>
      </c>
      <c r="F452" t="inlineStr">
        <is>
          <t>Hearing: Minute 32011/ File 44440</t>
        </is>
      </c>
      <c r="G452" t="inlineStr">
        <is>
          <t>Audience: Minute 32011 dossier 44440</t>
        </is>
      </c>
      <c r="H452" s="1" t="n">
        <v>43564</v>
      </c>
      <c r="I452" s="1" t="n">
        <v>43565</v>
      </c>
      <c r="J452" t="inlineStr">
        <is>
          <t>Toronto, ON</t>
        </is>
      </c>
      <c r="K452" t="inlineStr">
        <is>
          <t>Toronto, ON</t>
        </is>
      </c>
      <c r="P452" t="n">
        <v>702.27</v>
      </c>
      <c r="Q452" t="n">
        <v>42.18</v>
      </c>
      <c r="R452" t="n">
        <v>186.86</v>
      </c>
      <c r="S452" t="n">
        <v>166.45</v>
      </c>
      <c r="T452" t="n">
        <v>48</v>
      </c>
      <c r="U452" t="n">
        <v>1145.76</v>
      </c>
      <c r="X452" t="inlineStr">
        <is>
          <t>atssc-scdata</t>
        </is>
      </c>
      <c r="Y452" t="inlineStr">
        <is>
          <t>Administrative Tribunals Support Service of Canada | Service canadien d'appui aux tribunaux administratifs</t>
        </is>
      </c>
      <c r="Z452" t="n">
        <v>2</v>
      </c>
      <c r="AA452" t="n">
        <v>1145.76</v>
      </c>
      <c r="AB452">
        <f>ROUND(U452-AA452,2)</f>
        <v/>
      </c>
      <c r="AC452" t="b">
        <v>0</v>
      </c>
      <c r="AD452">
        <f>IF(U452="","MISSING_TOTAL",IF(ABS(AB452)&lt;=0.01,"OK","CHECK"))</f>
        <v/>
      </c>
      <c r="AE452">
        <f>IF(U452="","MISSING",IF(AND(AA452&gt;0,U452/AA452&gt;50),"POSSIBLE_SCALE_ERROR","OK"))</f>
        <v/>
      </c>
    </row>
    <row r="453">
      <c r="A453" t="inlineStr">
        <is>
          <t>T-2019-Q1-011</t>
        </is>
      </c>
      <c r="B453" t="inlineStr">
        <is>
          <t>SLE</t>
        </is>
      </c>
      <c r="C453" t="inlineStr">
        <is>
          <t>Chairperson, Canada Industrial Relations Board</t>
        </is>
      </c>
      <c r="D453" t="inlineStr">
        <is>
          <t>Présidente, Conseil canadien des relations industrielles</t>
        </is>
      </c>
      <c r="E453" t="inlineStr">
        <is>
          <t>Brazeau, Ginette</t>
        </is>
      </c>
      <c r="F453" t="inlineStr">
        <is>
          <t>Hearing: Minute 44474, File 23922</t>
        </is>
      </c>
      <c r="G453" t="inlineStr">
        <is>
          <t>Audience: Minute 44474, dossier 23922</t>
        </is>
      </c>
      <c r="H453" s="1" t="n">
        <v>43555</v>
      </c>
      <c r="I453" s="1" t="n">
        <v>43559</v>
      </c>
      <c r="J453" t="inlineStr">
        <is>
          <t>Vancouver, BC</t>
        </is>
      </c>
      <c r="K453" t="inlineStr">
        <is>
          <t>Vancouver, BC</t>
        </is>
      </c>
      <c r="P453" t="n">
        <v>1969.38</v>
      </c>
      <c r="Q453" t="n">
        <v>97.41</v>
      </c>
      <c r="R453" t="n">
        <v>1108.96</v>
      </c>
      <c r="S453" t="n">
        <v>389.6</v>
      </c>
      <c r="T453" t="n">
        <v>0</v>
      </c>
      <c r="U453" t="n">
        <v>3565.35</v>
      </c>
      <c r="X453" t="inlineStr">
        <is>
          <t>atssc-scdata</t>
        </is>
      </c>
      <c r="Y453" t="inlineStr">
        <is>
          <t>Administrative Tribunals Support Service of Canada | Service canadien d'appui aux tribunaux administratifs</t>
        </is>
      </c>
      <c r="Z453" t="n">
        <v>5</v>
      </c>
      <c r="AA453" t="n">
        <v>3565.35</v>
      </c>
      <c r="AB453">
        <f>ROUND(U453-AA453,2)</f>
        <v/>
      </c>
      <c r="AC453" t="b">
        <v>0</v>
      </c>
      <c r="AD453">
        <f>IF(U453="","MISSING_TOTAL",IF(ABS(AB453)&lt;=0.01,"OK","CHECK"))</f>
        <v/>
      </c>
      <c r="AE453">
        <f>IF(U453="","MISSING",IF(AND(AA453&gt;0,U453/AA453&gt;50),"POSSIBLE_SCALE_ERROR","OK"))</f>
        <v/>
      </c>
    </row>
    <row r="454">
      <c r="A454" t="inlineStr">
        <is>
          <t>T-2019-Q1-012</t>
        </is>
      </c>
      <c r="B454" t="inlineStr">
        <is>
          <t>SLE</t>
        </is>
      </c>
      <c r="C454" t="inlineStr">
        <is>
          <t>Chairperson, Canada Industrial Relations Board</t>
        </is>
      </c>
      <c r="D454" t="inlineStr">
        <is>
          <t>Présidente, Conseil canadien des relations industrielles</t>
        </is>
      </c>
      <c r="E454" t="inlineStr">
        <is>
          <t>Brazeau, Ginette</t>
        </is>
      </c>
      <c r="F454" t="inlineStr">
        <is>
          <t>Management Meeting with the parties</t>
        </is>
      </c>
      <c r="G454" t="inlineStr">
        <is>
          <t>Réunion de gestion avec les parties</t>
        </is>
      </c>
      <c r="H454" s="1" t="n">
        <v>43567</v>
      </c>
      <c r="I454" s="1" t="n">
        <v>43567</v>
      </c>
      <c r="J454" t="inlineStr">
        <is>
          <t>Montréal, Qc</t>
        </is>
      </c>
      <c r="K454" t="inlineStr">
        <is>
          <t>Montréal, Qc</t>
        </is>
      </c>
      <c r="P454" t="n">
        <v>0</v>
      </c>
      <c r="Q454" t="n">
        <v>184.26</v>
      </c>
      <c r="R454" t="n">
        <v>0</v>
      </c>
      <c r="S454" t="n">
        <v>20.1</v>
      </c>
      <c r="T454" t="n">
        <v>0</v>
      </c>
      <c r="U454" t="n">
        <v>204.36</v>
      </c>
      <c r="X454" t="inlineStr">
        <is>
          <t>atssc-scdata</t>
        </is>
      </c>
      <c r="Y454" t="inlineStr">
        <is>
          <t>Administrative Tribunals Support Service of Canada | Service canadien d'appui aux tribunaux administratifs</t>
        </is>
      </c>
      <c r="Z454" t="n">
        <v>1</v>
      </c>
      <c r="AA454" t="n">
        <v>204.359999999999</v>
      </c>
      <c r="AB454">
        <f>ROUND(U454-AA454,2)</f>
        <v/>
      </c>
      <c r="AC454" t="b">
        <v>0</v>
      </c>
      <c r="AD454">
        <f>IF(U454="","MISSING_TOTAL",IF(ABS(AB454)&lt;=0.01,"OK","CHECK"))</f>
        <v/>
      </c>
      <c r="AE454">
        <f>IF(U454="","MISSING",IF(AND(AA454&gt;0,U454/AA454&gt;50),"POSSIBLE_SCALE_ERROR","OK"))</f>
        <v/>
      </c>
    </row>
    <row r="455">
      <c r="A455" t="inlineStr">
        <is>
          <t>T-2019-Q1-013</t>
        </is>
      </c>
      <c r="B455" t="inlineStr">
        <is>
          <t>SLE</t>
        </is>
      </c>
      <c r="C455" t="inlineStr">
        <is>
          <t>Chairperson, Canada Industrial Relations Board</t>
        </is>
      </c>
      <c r="D455" t="inlineStr">
        <is>
          <t>Présidente, Conseil canadien des relations industrielles</t>
        </is>
      </c>
      <c r="E455" t="inlineStr">
        <is>
          <t>Brazeau, Ginette</t>
        </is>
      </c>
      <c r="F455" t="inlineStr">
        <is>
          <t>LERA NW Chapter Conference</t>
        </is>
      </c>
      <c r="G455" t="inlineStr">
        <is>
          <t>Conférence du chapire LERA NW</t>
        </is>
      </c>
      <c r="H455" s="1" t="n">
        <v>43551</v>
      </c>
      <c r="I455" s="1" t="n">
        <v>43555</v>
      </c>
      <c r="J455" t="inlineStr">
        <is>
          <t>Vancouver, BC / Seattle, WA</t>
        </is>
      </c>
      <c r="K455" t="inlineStr">
        <is>
          <t>Vancouver, BC / Seattle, WA</t>
        </is>
      </c>
      <c r="P455" t="n">
        <v>2019.78</v>
      </c>
      <c r="Q455" t="n">
        <v>0</v>
      </c>
      <c r="R455" t="n">
        <v>607.65</v>
      </c>
      <c r="S455" t="n">
        <v>350.91</v>
      </c>
      <c r="T455" t="n">
        <v>0</v>
      </c>
      <c r="U455" t="n">
        <v>2978.34</v>
      </c>
      <c r="X455" t="inlineStr">
        <is>
          <t>atssc-scdata</t>
        </is>
      </c>
      <c r="Y455" t="inlineStr">
        <is>
          <t>Administrative Tribunals Support Service of Canada | Service canadien d'appui aux tribunaux administratifs</t>
        </is>
      </c>
      <c r="Z455" t="n">
        <v>5</v>
      </c>
      <c r="AA455" t="n">
        <v>2978.33999999999</v>
      </c>
      <c r="AB455">
        <f>ROUND(U455-AA455,2)</f>
        <v/>
      </c>
      <c r="AC455" t="b">
        <v>0</v>
      </c>
      <c r="AD455">
        <f>IF(U455="","MISSING_TOTAL",IF(ABS(AB455)&lt;=0.01,"OK","CHECK"))</f>
        <v/>
      </c>
      <c r="AE455">
        <f>IF(U455="","MISSING",IF(AND(AA455&gt;0,U455/AA455&gt;50),"POSSIBLE_SCALE_ERROR","OK"))</f>
        <v/>
      </c>
    </row>
    <row r="456">
      <c r="A456" t="inlineStr">
        <is>
          <t>T-2019-Q1-014</t>
        </is>
      </c>
      <c r="B456" t="inlineStr">
        <is>
          <t>SLE</t>
        </is>
      </c>
      <c r="C456" t="inlineStr">
        <is>
          <t>Chairperson, Canada Industrial Relations Board</t>
        </is>
      </c>
      <c r="D456" t="inlineStr">
        <is>
          <t>Présidente, Conseil canadien des relations industrielles</t>
        </is>
      </c>
      <c r="E456" t="inlineStr">
        <is>
          <t>Brazeau, Ginette</t>
        </is>
      </c>
      <c r="F456" t="inlineStr">
        <is>
          <t>Keynote Speaker-Mercer Canada LERN</t>
        </is>
      </c>
      <c r="G456" t="inlineStr">
        <is>
          <t>Conférencier principal-Mercer Canada LERN</t>
        </is>
      </c>
      <c r="H456" s="1" t="n">
        <v>43575</v>
      </c>
      <c r="I456" s="1" t="n">
        <v>43585</v>
      </c>
      <c r="J456" t="inlineStr">
        <is>
          <t>Toronto, ON</t>
        </is>
      </c>
      <c r="K456" t="inlineStr">
        <is>
          <t>Toronto, ON</t>
        </is>
      </c>
      <c r="P456" t="n">
        <v>745.75</v>
      </c>
      <c r="Q456" t="n">
        <v>0</v>
      </c>
      <c r="R456" t="n">
        <v>224.87</v>
      </c>
      <c r="S456" t="n">
        <v>70.75</v>
      </c>
      <c r="T456" t="n">
        <v>24</v>
      </c>
      <c r="U456" t="n">
        <v>1065.37</v>
      </c>
      <c r="X456" t="inlineStr">
        <is>
          <t>atssc-scdata</t>
        </is>
      </c>
      <c r="Y456" t="inlineStr">
        <is>
          <t>Administrative Tribunals Support Service of Canada | Service canadien d'appui aux tribunaux administratifs</t>
        </is>
      </c>
      <c r="Z456" t="n">
        <v>11</v>
      </c>
      <c r="AA456" t="n">
        <v>1065.37</v>
      </c>
      <c r="AB456">
        <f>ROUND(U456-AA456,2)</f>
        <v/>
      </c>
      <c r="AC456" t="b">
        <v>0</v>
      </c>
      <c r="AD456">
        <f>IF(U456="","MISSING_TOTAL",IF(ABS(AB456)&lt;=0.01,"OK","CHECK"))</f>
        <v/>
      </c>
      <c r="AE456">
        <f>IF(U456="","MISSING",IF(AND(AA456&gt;0,U456/AA456&gt;50),"POSSIBLE_SCALE_ERROR","OK"))</f>
        <v/>
      </c>
    </row>
    <row r="457">
      <c r="A457" t="inlineStr">
        <is>
          <t>T-2019-Q1-015</t>
        </is>
      </c>
      <c r="B457" t="inlineStr">
        <is>
          <t>SLE</t>
        </is>
      </c>
      <c r="C457" t="inlineStr">
        <is>
          <t>CFO, Administrative Support Service of Canada</t>
        </is>
      </c>
      <c r="D457" t="inlineStr">
        <is>
          <t>CFO, Service canadien d’appui aux tribunaux administratifs</t>
        </is>
      </c>
      <c r="E457" t="inlineStr">
        <is>
          <t>Bucar, Christopher</t>
        </is>
      </c>
      <c r="F457" t="inlineStr">
        <is>
          <t>Workshop for the Next Generation DCFO program</t>
        </is>
      </c>
      <c r="G457" t="inlineStr">
        <is>
          <t>Atelier pour le programme DCFO de prochaine génération</t>
        </is>
      </c>
      <c r="H457" s="1" t="n">
        <v>43599</v>
      </c>
      <c r="I457" s="1" t="n">
        <v>43600</v>
      </c>
      <c r="J457" t="inlineStr">
        <is>
          <t>Montebello, Qc</t>
        </is>
      </c>
      <c r="K457" t="inlineStr">
        <is>
          <t>Montebello, QC</t>
        </is>
      </c>
      <c r="Q457" t="n">
        <v>93.5</v>
      </c>
      <c r="R457" t="n">
        <v>243.15</v>
      </c>
      <c r="S457" t="n">
        <v>34.6</v>
      </c>
      <c r="U457" t="n">
        <v>371.25</v>
      </c>
      <c r="X457" t="inlineStr">
        <is>
          <t>atssc-scdata</t>
        </is>
      </c>
      <c r="Y457" t="inlineStr">
        <is>
          <t>Administrative Tribunals Support Service of Canada | Service canadien d'appui aux tribunaux administratifs</t>
        </is>
      </c>
      <c r="Z457" t="n">
        <v>2</v>
      </c>
      <c r="AA457" t="n">
        <v>371.25</v>
      </c>
      <c r="AB457">
        <f>ROUND(U457-AA457,2)</f>
        <v/>
      </c>
      <c r="AC457" t="b">
        <v>0</v>
      </c>
      <c r="AD457">
        <f>IF(U457="","MISSING_TOTAL",IF(ABS(AB457)&lt;=0.01,"OK","CHECK"))</f>
        <v/>
      </c>
      <c r="AE457">
        <f>IF(U457="","MISSING",IF(AND(AA457&gt;0,U457/AA457&gt;50),"POSSIBLE_SCALE_ERROR","OK"))</f>
        <v/>
      </c>
    </row>
    <row r="458">
      <c r="A458" t="inlineStr">
        <is>
          <t>T-2019-Q1-016</t>
        </is>
      </c>
      <c r="B458" t="inlineStr">
        <is>
          <t>SLE</t>
        </is>
      </c>
      <c r="C458" t="inlineStr">
        <is>
          <t>Acting Executive Director, Social Security Tribunal of Canada</t>
        </is>
      </c>
      <c r="D458" t="inlineStr">
        <is>
          <t>Directrice exécutive par intérim, Tribunal de la sécurité sociale du Canada</t>
        </is>
      </c>
      <c r="E458" t="inlineStr">
        <is>
          <t>Burnett, Gilian</t>
        </is>
      </c>
      <c r="F458" t="inlineStr">
        <is>
          <t>Training - Strategic Planning</t>
        </is>
      </c>
      <c r="G458" t="inlineStr">
        <is>
          <t>Formation - Planification stratégique</t>
        </is>
      </c>
      <c r="H458" s="1" t="n">
        <v>43507</v>
      </c>
      <c r="I458" s="1" t="n">
        <v>43509</v>
      </c>
      <c r="J458" t="inlineStr">
        <is>
          <t>Toronto, ON</t>
        </is>
      </c>
      <c r="K458" t="inlineStr">
        <is>
          <t>Toronto, ON</t>
        </is>
      </c>
      <c r="P458" t="n">
        <v>361.46</v>
      </c>
      <c r="Q458" t="n">
        <v>203.51</v>
      </c>
      <c r="R458" t="n">
        <v>560.58</v>
      </c>
      <c r="S458" t="n">
        <v>239.45</v>
      </c>
      <c r="T458" t="n">
        <v>3729</v>
      </c>
      <c r="U458" t="n">
        <v>5094</v>
      </c>
      <c r="X458" t="inlineStr">
        <is>
          <t>atssc-scdata</t>
        </is>
      </c>
      <c r="Y458" t="inlineStr">
        <is>
          <t>Administrative Tribunals Support Service of Canada | Service canadien d'appui aux tribunaux administratifs</t>
        </is>
      </c>
      <c r="Z458" t="n">
        <v>3</v>
      </c>
      <c r="AA458" t="n">
        <v>5094</v>
      </c>
      <c r="AB458">
        <f>ROUND(U458-AA458,2)</f>
        <v/>
      </c>
      <c r="AC458" t="b">
        <v>0</v>
      </c>
      <c r="AD458">
        <f>IF(U458="","MISSING_TOTAL",IF(ABS(AB458)&lt;=0.01,"OK","CHECK"))</f>
        <v/>
      </c>
      <c r="AE458">
        <f>IF(U458="","MISSING",IF(AND(AA458&gt;0,U458/AA458&gt;50),"POSSIBLE_SCALE_ERROR","OK"))</f>
        <v/>
      </c>
    </row>
    <row r="459">
      <c r="A459" t="inlineStr">
        <is>
          <t>T-2019-Q1-017</t>
        </is>
      </c>
      <c r="B459" t="inlineStr">
        <is>
          <t>SLE</t>
        </is>
      </c>
      <c r="C459" t="inlineStr">
        <is>
          <t>Director General and CIO Information Services and Solutions, and Director General, Secretariat to the Specific Claims Tribunal</t>
        </is>
      </c>
      <c r="D459" t="inlineStr">
        <is>
          <t>Directeur général, Services et solutions d’information et directeur général du Secrétariat du Tribunal des revendications particulières</t>
        </is>
      </c>
      <c r="E459" t="inlineStr">
        <is>
          <t>Campbell, Stuart</t>
        </is>
      </c>
      <c r="F459" t="inlineStr">
        <is>
          <t>Meeting with The Honourable Justice Paul Mayer, Member of the Specific Claims Tribunal Secretariat in Montreal and visit an ISST employee at the Secretariat of CIRB</t>
        </is>
      </c>
      <c r="G459" t="inlineStr">
        <is>
          <t>Rencontre avec l'honorable juge Paul Mayer, membre du secrétariat du Tribunal des revendications particulières à Montréal et visite d'un employé de l'ISST au secrétariat du CCRI</t>
        </is>
      </c>
      <c r="H459" s="1" t="n">
        <v>43521</v>
      </c>
      <c r="I459" s="1" t="n">
        <v>43522</v>
      </c>
      <c r="J459" t="inlineStr">
        <is>
          <t>Montréal, Qc</t>
        </is>
      </c>
      <c r="K459" t="inlineStr">
        <is>
          <t>Montréal, Qc</t>
        </is>
      </c>
      <c r="P459" t="n">
        <v>0</v>
      </c>
      <c r="Q459" t="n">
        <v>261.99</v>
      </c>
      <c r="R459" t="n">
        <v>0</v>
      </c>
      <c r="S459" t="n">
        <v>0</v>
      </c>
      <c r="T459" t="n">
        <v>0</v>
      </c>
      <c r="U459" t="n">
        <v>261.99</v>
      </c>
      <c r="X459" t="inlineStr">
        <is>
          <t>atssc-scdata</t>
        </is>
      </c>
      <c r="Y459" t="inlineStr">
        <is>
          <t>Administrative Tribunals Support Service of Canada | Service canadien d'appui aux tribunaux administratifs</t>
        </is>
      </c>
      <c r="Z459" t="n">
        <v>2</v>
      </c>
      <c r="AA459" t="n">
        <v>261.99</v>
      </c>
      <c r="AB459">
        <f>ROUND(U459-AA459,2)</f>
        <v/>
      </c>
      <c r="AC459" t="b">
        <v>0</v>
      </c>
      <c r="AD459">
        <f>IF(U459="","MISSING_TOTAL",IF(ABS(AB459)&lt;=0.01,"OK","CHECK"))</f>
        <v/>
      </c>
      <c r="AE459">
        <f>IF(U459="","MISSING",IF(AND(AA459&gt;0,U459/AA459&gt;50),"POSSIBLE_SCALE_ERROR","OK"))</f>
        <v/>
      </c>
    </row>
    <row r="460">
      <c r="A460" t="inlineStr">
        <is>
          <t>T-2019-Q1-018</t>
        </is>
      </c>
      <c r="B460" t="inlineStr">
        <is>
          <t>SLE</t>
        </is>
      </c>
      <c r="C460" t="inlineStr">
        <is>
          <t>Chairperson, Federal Public Service Labour Relations and Employment Board Tribunal</t>
        </is>
      </c>
      <c r="D460" t="inlineStr">
        <is>
          <t>Présidente, Tribunal de la commission des relations de travail et de l’emploi dans le secteur public fédéral</t>
        </is>
      </c>
      <c r="E460" t="inlineStr">
        <is>
          <t>Ebbs, Catherine</t>
        </is>
      </c>
      <c r="F460" t="inlineStr">
        <is>
          <t>Hearing - Montreal</t>
        </is>
      </c>
      <c r="G460" t="inlineStr">
        <is>
          <t>Audience - Montreal</t>
        </is>
      </c>
      <c r="H460" s="1" t="n">
        <v>43550</v>
      </c>
      <c r="I460" s="1" t="n">
        <v>43551</v>
      </c>
      <c r="J460" t="inlineStr">
        <is>
          <t>Montreal, Qc</t>
        </is>
      </c>
      <c r="K460" t="inlineStr">
        <is>
          <t>Montreal, Qc</t>
        </is>
      </c>
      <c r="P460" t="n">
        <v>0</v>
      </c>
      <c r="Q460" t="n">
        <v>262.92</v>
      </c>
      <c r="R460" t="n">
        <v>304.62</v>
      </c>
      <c r="S460" t="n">
        <v>182.1</v>
      </c>
      <c r="T460" t="n">
        <v>0</v>
      </c>
      <c r="U460" t="n">
        <v>749.64</v>
      </c>
      <c r="X460" t="inlineStr">
        <is>
          <t>atssc-scdata</t>
        </is>
      </c>
      <c r="Y460" t="inlineStr">
        <is>
          <t>Administrative Tribunals Support Service of Canada | Service canadien d'appui aux tribunaux administratifs</t>
        </is>
      </c>
      <c r="Z460" t="n">
        <v>2</v>
      </c>
      <c r="AA460" t="n">
        <v>749.64</v>
      </c>
      <c r="AB460">
        <f>ROUND(U460-AA460,2)</f>
        <v/>
      </c>
      <c r="AC460" t="b">
        <v>0</v>
      </c>
      <c r="AD460">
        <f>IF(U460="","MISSING_TOTAL",IF(ABS(AB460)&lt;=0.01,"OK","CHECK"))</f>
        <v/>
      </c>
      <c r="AE460">
        <f>IF(U460="","MISSING",IF(AND(AA460&gt;0,U460/AA460&gt;50),"POSSIBLE_SCALE_ERROR","OK"))</f>
        <v/>
      </c>
    </row>
    <row r="461">
      <c r="A461" t="inlineStr">
        <is>
          <t>T-2019-Q1-019</t>
        </is>
      </c>
      <c r="B461" t="inlineStr">
        <is>
          <t>SLE</t>
        </is>
      </c>
      <c r="C461" t="inlineStr">
        <is>
          <t>Executive Director and General Counsel, Secretariat to the Canadian International Trade Tribunal</t>
        </is>
      </c>
      <c r="D461" t="inlineStr">
        <is>
          <t>Directeur exécutif et avocat général, Secrétariat du Tribunal canadien du commerce extérieur</t>
        </is>
      </c>
      <c r="E461" t="inlineStr">
        <is>
          <t>Gallo, Greg</t>
        </is>
      </c>
      <c r="F461" t="inlineStr">
        <is>
          <t>World Trade Organization technical meeting in Geneva</t>
        </is>
      </c>
      <c r="G461" t="inlineStr">
        <is>
          <t>Réunion technique de l'Organisation mondiale du commerce à Genève</t>
        </is>
      </c>
      <c r="H461" s="1" t="n">
        <v>43585</v>
      </c>
      <c r="I461" s="1" t="n">
        <v>43589</v>
      </c>
      <c r="J461" t="inlineStr">
        <is>
          <t>Genève, Suisse</t>
        </is>
      </c>
      <c r="K461" t="inlineStr">
        <is>
          <t>Geneva, Switzerland</t>
        </is>
      </c>
      <c r="P461" t="n">
        <v>3107.15</v>
      </c>
      <c r="Q461" t="n">
        <v>69.16</v>
      </c>
      <c r="R461" t="n">
        <v>1043.89</v>
      </c>
      <c r="S461" t="n">
        <v>978.14</v>
      </c>
      <c r="T461" t="n">
        <v>0</v>
      </c>
      <c r="U461" t="n">
        <v>5198.34</v>
      </c>
      <c r="X461" t="inlineStr">
        <is>
          <t>atssc-scdata</t>
        </is>
      </c>
      <c r="Y461" t="inlineStr">
        <is>
          <t>Administrative Tribunals Support Service of Canada | Service canadien d'appui aux tribunaux administratifs</t>
        </is>
      </c>
      <c r="Z461" t="n">
        <v>5</v>
      </c>
      <c r="AA461" t="n">
        <v>5198.34</v>
      </c>
      <c r="AB461">
        <f>ROUND(U461-AA461,2)</f>
        <v/>
      </c>
      <c r="AC461" t="b">
        <v>0</v>
      </c>
      <c r="AD461">
        <f>IF(U461="","MISSING_TOTAL",IF(ABS(AB461)&lt;=0.01,"OK","CHECK"))</f>
        <v/>
      </c>
      <c r="AE461">
        <f>IF(U461="","MISSING",IF(AND(AA461&gt;0,U461/AA461&gt;50),"POSSIBLE_SCALE_ERROR","OK"))</f>
        <v/>
      </c>
    </row>
    <row r="462">
      <c r="A462" t="inlineStr">
        <is>
          <t>T-2019-Q1-020</t>
        </is>
      </c>
      <c r="B462" t="inlineStr">
        <is>
          <t>SLE</t>
        </is>
      </c>
      <c r="C462" t="inlineStr">
        <is>
          <t>Executive Director, Canadian Industrial Relations Board</t>
        </is>
      </c>
      <c r="D462" t="inlineStr">
        <is>
          <t>Directrice executive, Conseil canadien des relations industrielles</t>
        </is>
      </c>
      <c r="E462" t="inlineStr">
        <is>
          <t>Guilbert, Sylvie</t>
        </is>
      </c>
      <c r="F462" t="inlineStr">
        <is>
          <t>ALRA's Second Planning Session</t>
        </is>
      </c>
      <c r="G462" t="inlineStr">
        <is>
          <t>Deuxième séance de planification pour ARLA</t>
        </is>
      </c>
      <c r="H462" s="1" t="n">
        <v>43532</v>
      </c>
      <c r="I462" s="1" t="n">
        <v>43534</v>
      </c>
      <c r="J462" t="inlineStr">
        <is>
          <t>Cincinnati, Ohio</t>
        </is>
      </c>
      <c r="K462" t="inlineStr">
        <is>
          <t>Cincinnati, Ohio</t>
        </is>
      </c>
      <c r="P462" t="n">
        <v>670.4299999999999</v>
      </c>
      <c r="Q462" t="n">
        <v>110.65</v>
      </c>
      <c r="R462" t="n">
        <v>447.9</v>
      </c>
      <c r="S462" t="n">
        <v>323.87</v>
      </c>
      <c r="T462" t="n">
        <v>0</v>
      </c>
      <c r="U462" t="n">
        <v>1552.85</v>
      </c>
      <c r="X462" t="inlineStr">
        <is>
          <t>atssc-scdata</t>
        </is>
      </c>
      <c r="Y462" t="inlineStr">
        <is>
          <t>Administrative Tribunals Support Service of Canada | Service canadien d'appui aux tribunaux administratifs</t>
        </is>
      </c>
      <c r="Z462" t="n">
        <v>3</v>
      </c>
      <c r="AA462" t="n">
        <v>1552.85</v>
      </c>
      <c r="AB462">
        <f>ROUND(U462-AA462,2)</f>
        <v/>
      </c>
      <c r="AC462" t="b">
        <v>0</v>
      </c>
      <c r="AD462">
        <f>IF(U462="","MISSING_TOTAL",IF(ABS(AB462)&lt;=0.01,"OK","CHECK"))</f>
        <v/>
      </c>
      <c r="AE462">
        <f>IF(U462="","MISSING",IF(AND(AA462&gt;0,U462/AA462&gt;50),"POSSIBLE_SCALE_ERROR","OK"))</f>
        <v/>
      </c>
    </row>
    <row r="463">
      <c r="A463" t="inlineStr">
        <is>
          <t>T-2019-Q1-021</t>
        </is>
      </c>
      <c r="B463" t="inlineStr">
        <is>
          <t>SLE</t>
        </is>
      </c>
      <c r="C463" t="inlineStr">
        <is>
          <t>Executive Director, Canadian Industrial Relations Board</t>
        </is>
      </c>
      <c r="D463" t="inlineStr">
        <is>
          <t>Directrice executive, Conseil canadien des relations industrielles</t>
        </is>
      </c>
      <c r="E463" t="inlineStr">
        <is>
          <t>Guilbert, Sylvie</t>
        </is>
      </c>
      <c r="F463" t="inlineStr">
        <is>
          <t>Meeting with Ginette Brazeau, Registrar and Executives of the ON Labour Relations Board re C-44</t>
        </is>
      </c>
      <c r="G463" t="inlineStr">
        <is>
          <t>Réunion avec Ginette Brazeau, Registraire et cadres de la Commission des relations de travail de l'ON app. C-44</t>
        </is>
      </c>
      <c r="H463" s="1" t="n">
        <v>43565</v>
      </c>
      <c r="I463" s="1" t="n">
        <v>43565</v>
      </c>
      <c r="J463" t="inlineStr">
        <is>
          <t>Toronto, ON</t>
        </is>
      </c>
      <c r="K463" t="inlineStr">
        <is>
          <t>Toronto, ON</t>
        </is>
      </c>
      <c r="P463" t="n">
        <v>791.41</v>
      </c>
      <c r="Q463" t="n">
        <v>24</v>
      </c>
      <c r="R463" t="n">
        <v>0</v>
      </c>
      <c r="S463" t="n">
        <v>40.6</v>
      </c>
      <c r="T463" t="n">
        <v>0</v>
      </c>
      <c r="U463" t="n">
        <v>856.01</v>
      </c>
      <c r="X463" t="inlineStr">
        <is>
          <t>atssc-scdata</t>
        </is>
      </c>
      <c r="Y463" t="inlineStr">
        <is>
          <t>Administrative Tribunals Support Service of Canada | Service canadien d'appui aux tribunaux administratifs</t>
        </is>
      </c>
      <c r="Z463" t="n">
        <v>1</v>
      </c>
      <c r="AA463" t="n">
        <v>856.01</v>
      </c>
      <c r="AB463">
        <f>ROUND(U463-AA463,2)</f>
        <v/>
      </c>
      <c r="AC463" t="b">
        <v>0</v>
      </c>
      <c r="AD463">
        <f>IF(U463="","MISSING_TOTAL",IF(ABS(AB463)&lt;=0.01,"OK","CHECK"))</f>
        <v/>
      </c>
      <c r="AE463">
        <f>IF(U463="","MISSING",IF(AND(AA463&gt;0,U463/AA463&gt;50),"POSSIBLE_SCALE_ERROR","OK"))</f>
        <v/>
      </c>
    </row>
    <row r="464">
      <c r="A464" t="inlineStr">
        <is>
          <t>T-2019-Q1-022</t>
        </is>
      </c>
      <c r="B464" t="inlineStr">
        <is>
          <t>SLE</t>
        </is>
      </c>
      <c r="C464" t="inlineStr">
        <is>
          <t>Chairperson, Canadian Cultural Property Export Review Board</t>
        </is>
      </c>
      <c r="D464" t="inlineStr">
        <is>
          <t>Présidente, Commission canadienne d’examen des exportations de biens culturels</t>
        </is>
      </c>
      <c r="E464" t="inlineStr">
        <is>
          <t>Ingram, Sharilyn</t>
        </is>
      </c>
      <c r="F464" t="inlineStr">
        <is>
          <t>To participate in a meeting at the Art Gallery of Ontario with the Director and Chief Curator.</t>
        </is>
      </c>
      <c r="G464" t="inlineStr">
        <is>
          <t>Participer à une réunion au Musée des beaux-arts de l'Ontario avec le directeur et le conservateur en chef.</t>
        </is>
      </c>
      <c r="H464" s="1" t="n">
        <v>43531</v>
      </c>
      <c r="I464" s="1" t="n">
        <v>43531</v>
      </c>
      <c r="J464" t="inlineStr">
        <is>
          <t>Toronto</t>
        </is>
      </c>
      <c r="K464" t="inlineStr">
        <is>
          <t>Toronto</t>
        </is>
      </c>
      <c r="P464" t="n">
        <v>0</v>
      </c>
      <c r="Q464" t="n">
        <v>62.78</v>
      </c>
      <c r="R464" t="n">
        <v>0</v>
      </c>
      <c r="S464" t="n">
        <v>19.85</v>
      </c>
      <c r="U464" t="n">
        <v>82.63</v>
      </c>
      <c r="X464" t="inlineStr">
        <is>
          <t>atssc-scdata</t>
        </is>
      </c>
      <c r="Y464" t="inlineStr">
        <is>
          <t>Administrative Tribunals Support Service of Canada | Service canadien d'appui aux tribunaux administratifs</t>
        </is>
      </c>
      <c r="Z464" t="n">
        <v>1</v>
      </c>
      <c r="AA464" t="n">
        <v>82.63</v>
      </c>
      <c r="AB464">
        <f>ROUND(U464-AA464,2)</f>
        <v/>
      </c>
      <c r="AC464" t="b">
        <v>0</v>
      </c>
      <c r="AD464">
        <f>IF(U464="","MISSING_TOTAL",IF(ABS(AB464)&lt;=0.01,"OK","CHECK"))</f>
        <v/>
      </c>
      <c r="AE464">
        <f>IF(U464="","MISSING",IF(AND(AA464&gt;0,U464/AA464&gt;50),"POSSIBLE_SCALE_ERROR","OK"))</f>
        <v/>
      </c>
    </row>
    <row r="465">
      <c r="A465" t="inlineStr">
        <is>
          <t>T-2019-Q1-023</t>
        </is>
      </c>
      <c r="B465" t="inlineStr">
        <is>
          <t>SLE</t>
        </is>
      </c>
      <c r="C465" t="inlineStr">
        <is>
          <t>Chairperson, Canadian Cultural Property Export Review Board</t>
        </is>
      </c>
      <c r="D465" t="inlineStr">
        <is>
          <t>Présidente, Commission canadienne d’examen des exportations de biens culturels</t>
        </is>
      </c>
      <c r="E465" t="inlineStr">
        <is>
          <t>Ingram, Sharilyn</t>
        </is>
      </c>
      <c r="F465" t="inlineStr">
        <is>
          <t>To attend an Art and Law seminar.</t>
        </is>
      </c>
      <c r="G465" t="inlineStr">
        <is>
          <t>Participer à un séminaire d'art et de droit.</t>
        </is>
      </c>
      <c r="H465" s="1" t="n">
        <v>43529</v>
      </c>
      <c r="I465" s="1" t="n">
        <v>43529</v>
      </c>
      <c r="J465" t="inlineStr">
        <is>
          <t>Toronto</t>
        </is>
      </c>
      <c r="K465" t="inlineStr">
        <is>
          <t>Toronto</t>
        </is>
      </c>
      <c r="P465" t="n">
        <v>0</v>
      </c>
      <c r="Q465" t="n">
        <v>47.73</v>
      </c>
      <c r="R465" t="n">
        <v>0</v>
      </c>
      <c r="S465" t="n">
        <v>19.85</v>
      </c>
      <c r="T465" t="n">
        <v>0</v>
      </c>
      <c r="U465" t="n">
        <v>67.58</v>
      </c>
      <c r="X465" t="inlineStr">
        <is>
          <t>atssc-scdata</t>
        </is>
      </c>
      <c r="Y465" t="inlineStr">
        <is>
          <t>Administrative Tribunals Support Service of Canada | Service canadien d'appui aux tribunaux administratifs</t>
        </is>
      </c>
      <c r="Z465" t="n">
        <v>1</v>
      </c>
      <c r="AA465" t="n">
        <v>67.58</v>
      </c>
      <c r="AB465">
        <f>ROUND(U465-AA465,2)</f>
        <v/>
      </c>
      <c r="AC465" t="b">
        <v>0</v>
      </c>
      <c r="AD465">
        <f>IF(U465="","MISSING_TOTAL",IF(ABS(AB465)&lt;=0.01,"OK","CHECK"))</f>
        <v/>
      </c>
      <c r="AE465">
        <f>IF(U465="","MISSING",IF(AND(AA465&gt;0,U465/AA465&gt;50),"POSSIBLE_SCALE_ERROR","OK"))</f>
        <v/>
      </c>
    </row>
    <row r="466">
      <c r="A466" t="inlineStr">
        <is>
          <t>T-2018-Q4-001</t>
        </is>
      </c>
      <c r="B466" t="inlineStr">
        <is>
          <t>SLE</t>
        </is>
      </c>
      <c r="C466" t="inlineStr">
        <is>
          <t>Chairperson, Canada Agricultural Review Tribunal</t>
        </is>
      </c>
      <c r="D466" t="inlineStr">
        <is>
          <t>Président, Commission de révision agricole du Canada</t>
        </is>
      </c>
      <c r="E466" t="inlineStr">
        <is>
          <t>Bélanger, Luc</t>
        </is>
      </c>
      <c r="F466" t="inlineStr">
        <is>
          <t>Mtl: Meeting with the Conseil de la justice adminitrative du Québec and KPMG</t>
        </is>
      </c>
      <c r="G466" t="inlineStr">
        <is>
          <t>Mtl: Rencontre avec le Conseil de la justice administrative du Québec et KPMG</t>
        </is>
      </c>
      <c r="H466" s="1" t="n">
        <v>43445</v>
      </c>
      <c r="I466" s="1" t="n">
        <v>43447</v>
      </c>
      <c r="J466" t="inlineStr">
        <is>
          <t>Montréal / Sherbrooke</t>
        </is>
      </c>
      <c r="K466" t="inlineStr">
        <is>
          <t>Montréal / Sherbrooke</t>
        </is>
      </c>
      <c r="Q466" t="n">
        <v>311.5</v>
      </c>
      <c r="R466" t="n">
        <v>426.02</v>
      </c>
      <c r="S466" t="n">
        <v>225.5</v>
      </c>
      <c r="U466" t="n">
        <v>963.02</v>
      </c>
      <c r="X466" t="inlineStr">
        <is>
          <t>atssc-scdata</t>
        </is>
      </c>
      <c r="Y466" t="inlineStr">
        <is>
          <t>Administrative Tribunals Support Service of Canada | Service canadien d'appui aux tribunaux administratifs</t>
        </is>
      </c>
      <c r="Z466" t="n">
        <v>3</v>
      </c>
      <c r="AA466" t="n">
        <v>963.02</v>
      </c>
      <c r="AB466">
        <f>ROUND(U466-AA466,2)</f>
        <v/>
      </c>
      <c r="AC466" t="b">
        <v>0</v>
      </c>
      <c r="AD466">
        <f>IF(U466="","MISSING_TOTAL",IF(ABS(AB466)&lt;=0.01,"OK","CHECK"))</f>
        <v/>
      </c>
      <c r="AE466">
        <f>IF(U466="","MISSING",IF(AND(AA466&gt;0,U466/AA466&gt;50),"POSSIBLE_SCALE_ERROR","OK"))</f>
        <v/>
      </c>
    </row>
    <row r="467">
      <c r="A467" t="inlineStr">
        <is>
          <t>T-2018-Q4-002</t>
        </is>
      </c>
      <c r="B467" t="inlineStr">
        <is>
          <t>SLE</t>
        </is>
      </c>
      <c r="C467" t="inlineStr">
        <is>
          <t>Chairperson, Canada Agricultural Review Tribunal</t>
        </is>
      </c>
      <c r="D467" t="inlineStr">
        <is>
          <t>Président, Commission de révision agricole du Canada</t>
        </is>
      </c>
      <c r="E467" t="inlineStr">
        <is>
          <t>Bélanger, Luc</t>
        </is>
      </c>
      <c r="F467" t="inlineStr">
        <is>
          <t>Meeting with new CART member - Patricia Farnese</t>
        </is>
      </c>
      <c r="G467" t="inlineStr">
        <is>
          <t>Rencontre avec un nouveau membre de CART - Patricia Farnese</t>
        </is>
      </c>
      <c r="H467" s="1" t="n">
        <v>43453</v>
      </c>
      <c r="I467" s="1" t="n">
        <v>43455</v>
      </c>
      <c r="J467" t="inlineStr">
        <is>
          <t>Saskatoon</t>
        </is>
      </c>
      <c r="K467" t="inlineStr">
        <is>
          <t>Saskatoon</t>
        </is>
      </c>
      <c r="P467" t="n">
        <v>1384.38</v>
      </c>
      <c r="Q467" t="n">
        <v>175.9</v>
      </c>
      <c r="R467" t="n">
        <v>331.5</v>
      </c>
      <c r="S467" t="n">
        <v>292.85</v>
      </c>
      <c r="U467" t="n">
        <v>2184.63</v>
      </c>
      <c r="X467" t="inlineStr">
        <is>
          <t>atssc-scdata</t>
        </is>
      </c>
      <c r="Y467" t="inlineStr">
        <is>
          <t>Administrative Tribunals Support Service of Canada | Service canadien d'appui aux tribunaux administratifs</t>
        </is>
      </c>
      <c r="Z467" t="n">
        <v>3</v>
      </c>
      <c r="AA467" t="n">
        <v>2184.63</v>
      </c>
      <c r="AB467">
        <f>ROUND(U467-AA467,2)</f>
        <v/>
      </c>
      <c r="AC467" t="b">
        <v>0</v>
      </c>
      <c r="AD467">
        <f>IF(U467="","MISSING_TOTAL",IF(ABS(AB467)&lt;=0.01,"OK","CHECK"))</f>
        <v/>
      </c>
      <c r="AE467">
        <f>IF(U467="","MISSING",IF(AND(AA467&gt;0,U467/AA467&gt;50),"POSSIBLE_SCALE_ERROR","OK"))</f>
        <v/>
      </c>
    </row>
    <row r="468">
      <c r="A468" t="inlineStr">
        <is>
          <t>T-2018-Q4-003</t>
        </is>
      </c>
      <c r="B468" t="inlineStr">
        <is>
          <t>SLE</t>
        </is>
      </c>
      <c r="C468" t="inlineStr">
        <is>
          <t>Chairperson, Canada Agricultural Review Tribunal</t>
        </is>
      </c>
      <c r="D468" t="inlineStr">
        <is>
          <t>Président, Commission de révision agricole du Canada</t>
        </is>
      </c>
      <c r="E468" t="inlineStr">
        <is>
          <t>Bélanger, Luc</t>
        </is>
      </c>
      <c r="F468" t="inlineStr">
        <is>
          <t>Hearing for file CART-1924 Golden Ontario Inc.</t>
        </is>
      </c>
      <c r="G468" t="inlineStr">
        <is>
          <t>Audience dans le dossier CART-1924 Golden Ontario Inc.</t>
        </is>
      </c>
      <c r="H468" s="1" t="n">
        <v>43485</v>
      </c>
      <c r="I468" s="1" t="n">
        <v>43489</v>
      </c>
      <c r="J468" t="inlineStr">
        <is>
          <t>Toronto</t>
        </is>
      </c>
      <c r="K468" t="inlineStr">
        <is>
          <t>Toronto</t>
        </is>
      </c>
      <c r="Q468" t="n">
        <v>941.11</v>
      </c>
      <c r="R468" t="n">
        <v>537.88</v>
      </c>
      <c r="S468" t="n">
        <v>477.05</v>
      </c>
      <c r="U468" t="n">
        <v>1956.04</v>
      </c>
      <c r="X468" t="inlineStr">
        <is>
          <t>atssc-scdata</t>
        </is>
      </c>
      <c r="Y468" t="inlineStr">
        <is>
          <t>Administrative Tribunals Support Service of Canada | Service canadien d'appui aux tribunaux administratifs</t>
        </is>
      </c>
      <c r="Z468" t="n">
        <v>5</v>
      </c>
      <c r="AA468" t="n">
        <v>1956.04</v>
      </c>
      <c r="AB468">
        <f>ROUND(U468-AA468,2)</f>
        <v/>
      </c>
      <c r="AC468" t="b">
        <v>0</v>
      </c>
      <c r="AD468">
        <f>IF(U468="","MISSING_TOTAL",IF(ABS(AB468)&lt;=0.01,"OK","CHECK"))</f>
        <v/>
      </c>
      <c r="AE468">
        <f>IF(U468="","MISSING",IF(AND(AA468&gt;0,U468/AA468&gt;50),"POSSIBLE_SCALE_ERROR","OK"))</f>
        <v/>
      </c>
    </row>
    <row r="469">
      <c r="A469" t="inlineStr">
        <is>
          <t>T-2018-Q4-004</t>
        </is>
      </c>
      <c r="B469" t="inlineStr">
        <is>
          <t>SLE</t>
        </is>
      </c>
      <c r="C469" t="inlineStr">
        <is>
          <t>Chairperson, Canada Agricultural Review Tribunal</t>
        </is>
      </c>
      <c r="D469" t="inlineStr">
        <is>
          <t>Président, Commission de révision agricole du Canada</t>
        </is>
      </c>
      <c r="E469" t="inlineStr">
        <is>
          <t>Bélanger, Luc</t>
        </is>
      </c>
      <c r="F469" t="inlineStr">
        <is>
          <t>Hearing for the Fauteux case</t>
        </is>
      </c>
      <c r="G469" t="inlineStr">
        <is>
          <t>Audience pour le dossier Fauteux</t>
        </is>
      </c>
      <c r="H469" s="1" t="n">
        <v>43402</v>
      </c>
      <c r="I469" s="1" t="n">
        <v>43404</v>
      </c>
      <c r="J469" t="inlineStr">
        <is>
          <t>Sherbrooke</t>
        </is>
      </c>
      <c r="K469" t="inlineStr">
        <is>
          <t>Sherbrooke</t>
        </is>
      </c>
      <c r="Q469" t="n">
        <v>212.73</v>
      </c>
      <c r="R469" t="n">
        <v>402.24</v>
      </c>
      <c r="S469" t="n">
        <v>225.25</v>
      </c>
      <c r="U469" t="n">
        <v>840.22</v>
      </c>
      <c r="X469" t="inlineStr">
        <is>
          <t>atssc-scdata</t>
        </is>
      </c>
      <c r="Y469" t="inlineStr">
        <is>
          <t>Administrative Tribunals Support Service of Canada | Service canadien d'appui aux tribunaux administratifs</t>
        </is>
      </c>
      <c r="Z469" t="n">
        <v>3</v>
      </c>
      <c r="AA469" t="n">
        <v>840.22</v>
      </c>
      <c r="AB469">
        <f>ROUND(U469-AA469,2)</f>
        <v/>
      </c>
      <c r="AC469" t="b">
        <v>0</v>
      </c>
      <c r="AD469">
        <f>IF(U469="","MISSING_TOTAL",IF(ABS(AB469)&lt;=0.01,"OK","CHECK"))</f>
        <v/>
      </c>
      <c r="AE469">
        <f>IF(U469="","MISSING",IF(AND(AA469&gt;0,U469/AA469&gt;50),"POSSIBLE_SCALE_ERROR","OK"))</f>
        <v/>
      </c>
    </row>
    <row r="470">
      <c r="A470" t="inlineStr">
        <is>
          <t>T-2018-Q4-005</t>
        </is>
      </c>
      <c r="B470" t="inlineStr">
        <is>
          <t>SLE</t>
        </is>
      </c>
      <c r="C470" t="inlineStr">
        <is>
          <t>Chairperson, Canada Industrial Relations Board</t>
        </is>
      </c>
      <c r="D470" t="inlineStr">
        <is>
          <t>Présidente, Conseil canadien des relations industrielles</t>
        </is>
      </c>
      <c r="E470" t="inlineStr">
        <is>
          <t>Brazeau, Ginette</t>
        </is>
      </c>
      <c r="F470" t="inlineStr">
        <is>
          <t>Hearing File #32869-C / 32870-C</t>
        </is>
      </c>
      <c r="G470" t="inlineStr">
        <is>
          <t>Dossier #32869-C / 32870-C</t>
        </is>
      </c>
      <c r="H470" s="1" t="n">
        <v>43481</v>
      </c>
      <c r="I470" s="1" t="n">
        <v>43485</v>
      </c>
      <c r="J470" t="inlineStr">
        <is>
          <t>Vancouver</t>
        </is>
      </c>
      <c r="K470" t="inlineStr">
        <is>
          <t>Vancouver</t>
        </is>
      </c>
      <c r="P470" t="n">
        <v>4433.93</v>
      </c>
      <c r="Q470" t="n">
        <v>155.4</v>
      </c>
      <c r="R470" t="n">
        <v>728.48</v>
      </c>
      <c r="S470" t="n">
        <v>249.4</v>
      </c>
      <c r="U470" t="n">
        <v>5567.21</v>
      </c>
      <c r="X470" t="inlineStr">
        <is>
          <t>atssc-scdata</t>
        </is>
      </c>
      <c r="Y470" t="inlineStr">
        <is>
          <t>Administrative Tribunals Support Service of Canada | Service canadien d'appui aux tribunaux administratifs</t>
        </is>
      </c>
      <c r="Z470" t="n">
        <v>5</v>
      </c>
      <c r="AA470" t="n">
        <v>5567.20999999999</v>
      </c>
      <c r="AB470">
        <f>ROUND(U470-AA470,2)</f>
        <v/>
      </c>
      <c r="AC470" t="b">
        <v>0</v>
      </c>
      <c r="AD470">
        <f>IF(U470="","MISSING_TOTAL",IF(ABS(AB470)&lt;=0.01,"OK","CHECK"))</f>
        <v/>
      </c>
      <c r="AE470">
        <f>IF(U470="","MISSING",IF(AND(AA470&gt;0,U470/AA470&gt;50),"POSSIBLE_SCALE_ERROR","OK"))</f>
        <v/>
      </c>
    </row>
    <row r="471">
      <c r="A471" t="inlineStr">
        <is>
          <t>T-2018-Q4-006</t>
        </is>
      </c>
      <c r="B471" t="inlineStr">
        <is>
          <t>SLE</t>
        </is>
      </c>
      <c r="C471" t="inlineStr">
        <is>
          <t>Chairperson, Canada Industrial Relations Board</t>
        </is>
      </c>
      <c r="D471" t="inlineStr">
        <is>
          <t>Présidente, Conseil canadien des relations industrielles</t>
        </is>
      </c>
      <c r="E471" t="inlineStr">
        <is>
          <t>Brazeau, Ginette</t>
        </is>
      </c>
      <c r="F471" t="inlineStr">
        <is>
          <t>National Labour Arbitration Competition</t>
        </is>
      </c>
      <c r="G471" t="inlineStr">
        <is>
          <t>Concours national d'arbitrage du travail</t>
        </is>
      </c>
      <c r="H471" s="1" t="n">
        <v>43491</v>
      </c>
      <c r="I471" s="1" t="n">
        <v>43492</v>
      </c>
      <c r="J471" t="inlineStr">
        <is>
          <t>Toronto</t>
        </is>
      </c>
      <c r="K471" t="inlineStr">
        <is>
          <t>Toronto</t>
        </is>
      </c>
      <c r="P471" t="n">
        <v>387.68</v>
      </c>
      <c r="Q471" t="n">
        <v>62</v>
      </c>
      <c r="R471" t="n">
        <v>186.86</v>
      </c>
      <c r="S471" t="n">
        <v>54.45</v>
      </c>
      <c r="U471" t="n">
        <v>690.99</v>
      </c>
      <c r="X471" t="inlineStr">
        <is>
          <t>atssc-scdata</t>
        </is>
      </c>
      <c r="Y471" t="inlineStr">
        <is>
          <t>Administrative Tribunals Support Service of Canada | Service canadien d'appui aux tribunaux administratifs</t>
        </is>
      </c>
      <c r="Z471" t="n">
        <v>2</v>
      </c>
      <c r="AA471" t="n">
        <v>690.99</v>
      </c>
      <c r="AB471">
        <f>ROUND(U471-AA471,2)</f>
        <v/>
      </c>
      <c r="AC471" t="b">
        <v>0</v>
      </c>
      <c r="AD471">
        <f>IF(U471="","MISSING_TOTAL",IF(ABS(AB471)&lt;=0.01,"OK","CHECK"))</f>
        <v/>
      </c>
      <c r="AE471">
        <f>IF(U471="","MISSING",IF(AND(AA471&gt;0,U471/AA471&gt;50),"POSSIBLE_SCALE_ERROR","OK"))</f>
        <v/>
      </c>
    </row>
    <row r="472">
      <c r="A472" t="inlineStr">
        <is>
          <t>T-2018-Q4-007</t>
        </is>
      </c>
      <c r="B472" t="inlineStr">
        <is>
          <t>SLE</t>
        </is>
      </c>
      <c r="C472" t="inlineStr">
        <is>
          <t>Chairperson, Federal Public Service Labour Relations and Employment Board Tribunal</t>
        </is>
      </c>
      <c r="D472" t="inlineStr">
        <is>
          <t>Présidente, Tribunal de la commission des relations de travail et de l’emploi dans le secteur public fédéral</t>
        </is>
      </c>
      <c r="E472" t="inlineStr">
        <is>
          <t>Ebbs, Catherine</t>
        </is>
      </c>
      <c r="F472" t="inlineStr">
        <is>
          <t>Annual Meeting of Labour Chairs</t>
        </is>
      </c>
      <c r="G472" t="inlineStr">
        <is>
          <t>Réunion annuelle des présidents</t>
        </is>
      </c>
      <c r="H472" s="1" t="n">
        <v>43367</v>
      </c>
      <c r="I472" s="1" t="n">
        <v>43369</v>
      </c>
      <c r="J472" t="inlineStr">
        <is>
          <t>Montréal</t>
        </is>
      </c>
      <c r="K472" t="inlineStr">
        <is>
          <t>Montreal</t>
        </is>
      </c>
      <c r="Q472" t="n">
        <v>172.72</v>
      </c>
      <c r="R472" t="n">
        <v>350.86</v>
      </c>
      <c r="S472" t="n">
        <v>100.05</v>
      </c>
      <c r="U472" t="n">
        <v>623.63</v>
      </c>
      <c r="X472" t="inlineStr">
        <is>
          <t>atssc-scdata</t>
        </is>
      </c>
      <c r="Y472" t="inlineStr">
        <is>
          <t>Administrative Tribunals Support Service of Canada | Service canadien d'appui aux tribunaux administratifs</t>
        </is>
      </c>
      <c r="Z472" t="n">
        <v>3</v>
      </c>
      <c r="AA472" t="n">
        <v>623.63</v>
      </c>
      <c r="AB472">
        <f>ROUND(U472-AA472,2)</f>
        <v/>
      </c>
      <c r="AC472" t="b">
        <v>0</v>
      </c>
      <c r="AD472">
        <f>IF(U472="","MISSING_TOTAL",IF(ABS(AB472)&lt;=0.01,"OK","CHECK"))</f>
        <v/>
      </c>
      <c r="AE472">
        <f>IF(U472="","MISSING",IF(AND(AA472&gt;0,U472/AA472&gt;50),"POSSIBLE_SCALE_ERROR","OK"))</f>
        <v/>
      </c>
    </row>
    <row r="473">
      <c r="A473" t="inlineStr">
        <is>
          <t>T-2018-Q4-008</t>
        </is>
      </c>
      <c r="B473" t="inlineStr">
        <is>
          <t>SLE</t>
        </is>
      </c>
      <c r="C473" t="inlineStr">
        <is>
          <t>Chairperson, Federal Public Service Labour Relations and Employment Board Tribunal</t>
        </is>
      </c>
      <c r="D473" t="inlineStr">
        <is>
          <t>Présidente, Tribunal de la commission des relations de travail et de l’emploi dans le secteur public fédéral</t>
        </is>
      </c>
      <c r="E473" t="inlineStr">
        <is>
          <t>Ebbs, Catherine</t>
        </is>
      </c>
      <c r="F473" t="inlineStr">
        <is>
          <t>Hearing File #542-02-12&amp;13</t>
        </is>
      </c>
      <c r="G473" t="inlineStr">
        <is>
          <t>Dossier #542-02-12&amp;13</t>
        </is>
      </c>
      <c r="H473" s="1" t="n">
        <v>43422</v>
      </c>
      <c r="I473" s="1" t="n">
        <v>43425</v>
      </c>
      <c r="J473" t="inlineStr">
        <is>
          <t>Montréal</t>
        </is>
      </c>
      <c r="K473" t="inlineStr">
        <is>
          <t>Montreal</t>
        </is>
      </c>
      <c r="Q473" t="n">
        <v>194.64</v>
      </c>
      <c r="R473" t="n">
        <v>560.49</v>
      </c>
      <c r="S473" t="n">
        <v>328.75</v>
      </c>
      <c r="U473" t="n">
        <v>1083.88</v>
      </c>
      <c r="X473" t="inlineStr">
        <is>
          <t>atssc-scdata</t>
        </is>
      </c>
      <c r="Y473" t="inlineStr">
        <is>
          <t>Administrative Tribunals Support Service of Canada | Service canadien d'appui aux tribunaux administratifs</t>
        </is>
      </c>
      <c r="Z473" t="n">
        <v>4</v>
      </c>
      <c r="AA473" t="n">
        <v>1083.88</v>
      </c>
      <c r="AB473">
        <f>ROUND(U473-AA473,2)</f>
        <v/>
      </c>
      <c r="AC473" t="b">
        <v>0</v>
      </c>
      <c r="AD473">
        <f>IF(U473="","MISSING_TOTAL",IF(ABS(AB473)&lt;=0.01,"OK","CHECK"))</f>
        <v/>
      </c>
      <c r="AE473">
        <f>IF(U473="","MISSING",IF(AND(AA473&gt;0,U473/AA473&gt;50),"POSSIBLE_SCALE_ERROR","OK"))</f>
        <v/>
      </c>
    </row>
    <row r="474">
      <c r="A474" t="inlineStr">
        <is>
          <t>T-2018-Q4-009</t>
        </is>
      </c>
      <c r="B474" t="inlineStr">
        <is>
          <t>SLE</t>
        </is>
      </c>
      <c r="C474" t="inlineStr">
        <is>
          <t>Chairperson, Canadian Cultural Property Export Review Board</t>
        </is>
      </c>
      <c r="D474" t="inlineStr">
        <is>
          <t>Présidente, Commission canadienne d’examen des exportations de biens culturels</t>
        </is>
      </c>
      <c r="E474" t="inlineStr">
        <is>
          <t>Ingram, Sharilyn</t>
        </is>
      </c>
      <c r="F474" t="inlineStr">
        <is>
          <t>Prep Day Meeting /Chairperson's Forum</t>
        </is>
      </c>
      <c r="G474" t="inlineStr">
        <is>
          <t>Réunion préparatoire / Forum du président</t>
        </is>
      </c>
      <c r="H474" s="1" t="n">
        <v>43438</v>
      </c>
      <c r="I474" s="1" t="n">
        <v>43441</v>
      </c>
      <c r="J474" t="inlineStr">
        <is>
          <t>Ottawa</t>
        </is>
      </c>
      <c r="K474" t="inlineStr">
        <is>
          <t>Ottawa</t>
        </is>
      </c>
      <c r="Q474" t="n">
        <v>318.3</v>
      </c>
      <c r="R474" t="n">
        <v>385.46</v>
      </c>
      <c r="S474" t="n">
        <v>301.95</v>
      </c>
      <c r="U474" t="n">
        <v>1005.71</v>
      </c>
      <c r="X474" t="inlineStr">
        <is>
          <t>atssc-scdata</t>
        </is>
      </c>
      <c r="Y474" t="inlineStr">
        <is>
          <t>Administrative Tribunals Support Service of Canada | Service canadien d'appui aux tribunaux administratifs</t>
        </is>
      </c>
      <c r="Z474" t="n">
        <v>4</v>
      </c>
      <c r="AA474" t="n">
        <v>1005.71</v>
      </c>
      <c r="AB474">
        <f>ROUND(U474-AA474,2)</f>
        <v/>
      </c>
      <c r="AC474" t="b">
        <v>0</v>
      </c>
      <c r="AD474">
        <f>IF(U474="","MISSING_TOTAL",IF(ABS(AB474)&lt;=0.01,"OK","CHECK"))</f>
        <v/>
      </c>
      <c r="AE474">
        <f>IF(U474="","MISSING",IF(AND(AA474&gt;0,U474/AA474&gt;50),"POSSIBLE_SCALE_ERROR","OK"))</f>
        <v/>
      </c>
    </row>
    <row r="475">
      <c r="A475" t="inlineStr">
        <is>
          <t>T-2018-Q4-010</t>
        </is>
      </c>
      <c r="B475" t="inlineStr">
        <is>
          <t>SLE</t>
        </is>
      </c>
      <c r="C475" t="inlineStr">
        <is>
          <t>Chairperson, Canadian Cultural Property Export Review Board</t>
        </is>
      </c>
      <c r="D475" t="inlineStr">
        <is>
          <t>Présidente, Commission canadienne d’examen des exportations de biens culturels</t>
        </is>
      </c>
      <c r="E475" t="inlineStr">
        <is>
          <t>Ingram, Sharilyn</t>
        </is>
      </c>
      <c r="F475" t="inlineStr">
        <is>
          <t>CCPERB Board Meeting</t>
        </is>
      </c>
      <c r="G475" t="inlineStr">
        <is>
          <t>Réunion du conseil d'administration de la CCEEBC</t>
        </is>
      </c>
      <c r="H475" s="1" t="n">
        <v>43445</v>
      </c>
      <c r="I475" s="1" t="n">
        <v>43448</v>
      </c>
      <c r="J475" t="inlineStr">
        <is>
          <t>Ottawa</t>
        </is>
      </c>
      <c r="K475" t="inlineStr">
        <is>
          <t>Ottawa</t>
        </is>
      </c>
      <c r="P475" t="n">
        <v>499.11</v>
      </c>
      <c r="Q475" t="n">
        <v>242.92</v>
      </c>
      <c r="R475" t="n">
        <v>578.1900000000001</v>
      </c>
      <c r="S475" t="n">
        <v>409.35</v>
      </c>
      <c r="U475" t="n">
        <v>1729.57</v>
      </c>
      <c r="X475" t="inlineStr">
        <is>
          <t>atssc-scdata</t>
        </is>
      </c>
      <c r="Y475" t="inlineStr">
        <is>
          <t>Administrative Tribunals Support Service of Canada | Service canadien d'appui aux tribunaux administratifs</t>
        </is>
      </c>
      <c r="Z475" t="n">
        <v>4</v>
      </c>
      <c r="AA475" t="n">
        <v>1729.57</v>
      </c>
      <c r="AB475">
        <f>ROUND(U475-AA475,2)</f>
        <v/>
      </c>
      <c r="AC475" t="b">
        <v>0</v>
      </c>
      <c r="AD475">
        <f>IF(U475="","MISSING_TOTAL",IF(ABS(AB475)&lt;=0.01,"OK","CHECK"))</f>
        <v/>
      </c>
      <c r="AE475">
        <f>IF(U475="","MISSING",IF(AND(AA475&gt;0,U475/AA475&gt;50),"POSSIBLE_SCALE_ERROR","OK"))</f>
        <v/>
      </c>
    </row>
    <row r="476">
      <c r="A476" t="inlineStr">
        <is>
          <t>T-2018-Q4-011</t>
        </is>
      </c>
      <c r="B476" t="inlineStr">
        <is>
          <t>SLE</t>
        </is>
      </c>
      <c r="C476" t="inlineStr">
        <is>
          <t>Chairperson, Canadian Cultural Property Export Review Board</t>
        </is>
      </c>
      <c r="D476" t="inlineStr">
        <is>
          <t>Présidente, Commission canadienne d’examen des exportations de biens culturels</t>
        </is>
      </c>
      <c r="E476" t="inlineStr">
        <is>
          <t>Ingram, Sharilyn</t>
        </is>
      </c>
      <c r="F476" t="inlineStr">
        <is>
          <t>Meeting</t>
        </is>
      </c>
      <c r="G476" t="inlineStr">
        <is>
          <t>Réunion</t>
        </is>
      </c>
      <c r="H476" s="1" t="n">
        <v>43486</v>
      </c>
      <c r="I476" s="1" t="n">
        <v>43487</v>
      </c>
      <c r="J476" t="inlineStr">
        <is>
          <t>Ottawa</t>
        </is>
      </c>
      <c r="K476" t="inlineStr">
        <is>
          <t>Ottawa</t>
        </is>
      </c>
      <c r="P476" t="n">
        <v>558.05</v>
      </c>
      <c r="Q476" t="n">
        <v>230.14</v>
      </c>
      <c r="R476" t="n">
        <v>196.26</v>
      </c>
      <c r="S476" t="n">
        <v>174.7</v>
      </c>
      <c r="U476" t="n">
        <v>1159.15</v>
      </c>
      <c r="X476" t="inlineStr">
        <is>
          <t>atssc-scdata</t>
        </is>
      </c>
      <c r="Y476" t="inlineStr">
        <is>
          <t>Administrative Tribunals Support Service of Canada | Service canadien d'appui aux tribunaux administratifs</t>
        </is>
      </c>
      <c r="Z476" t="n">
        <v>2</v>
      </c>
      <c r="AA476" t="n">
        <v>1159.14999999999</v>
      </c>
      <c r="AB476">
        <f>ROUND(U476-AA476,2)</f>
        <v/>
      </c>
      <c r="AC476" t="b">
        <v>0</v>
      </c>
      <c r="AD476">
        <f>IF(U476="","MISSING_TOTAL",IF(ABS(AB476)&lt;=0.01,"OK","CHECK"))</f>
        <v/>
      </c>
      <c r="AE476">
        <f>IF(U476="","MISSING",IF(AND(AA476&gt;0,U476/AA476&gt;50),"POSSIBLE_SCALE_ERROR","OK"))</f>
        <v/>
      </c>
    </row>
    <row r="477">
      <c r="A477" t="inlineStr">
        <is>
          <t>T-2018-Q4-012</t>
        </is>
      </c>
      <c r="B477" t="inlineStr">
        <is>
          <t>SLE</t>
        </is>
      </c>
      <c r="C477" t="inlineStr">
        <is>
          <t>Chairperson, Canadian Cultural Property Export Review Board</t>
        </is>
      </c>
      <c r="D477" t="inlineStr">
        <is>
          <t>Présidente, Commission canadienne d’examen des exportations de biens culturels</t>
        </is>
      </c>
      <c r="E477" t="inlineStr">
        <is>
          <t>Ingram, Sharilyn</t>
        </is>
      </c>
      <c r="F477" t="inlineStr">
        <is>
          <t>CCPERB Board Retreat</t>
        </is>
      </c>
      <c r="G477" t="inlineStr">
        <is>
          <t>Retraite du conseil de la CCEEBC</t>
        </is>
      </c>
      <c r="H477" s="1" t="n">
        <v>43497</v>
      </c>
      <c r="I477" s="1" t="n">
        <v>43500</v>
      </c>
      <c r="J477" t="inlineStr">
        <is>
          <t>Montréal</t>
        </is>
      </c>
      <c r="K477" t="inlineStr">
        <is>
          <t>Montreal</t>
        </is>
      </c>
      <c r="P477" t="n">
        <v>490.16</v>
      </c>
      <c r="Q477" t="n">
        <v>208.14</v>
      </c>
      <c r="R477" t="n">
        <v>530.45</v>
      </c>
      <c r="S477" t="n">
        <v>329.15</v>
      </c>
      <c r="U477" t="n">
        <v>1557.9</v>
      </c>
      <c r="X477" t="inlineStr">
        <is>
          <t>atssc-scdata</t>
        </is>
      </c>
      <c r="Y477" t="inlineStr">
        <is>
          <t>Administrative Tribunals Support Service of Canada | Service canadien d'appui aux tribunaux administratifs</t>
        </is>
      </c>
      <c r="Z477" t="n">
        <v>4</v>
      </c>
      <c r="AA477" t="n">
        <v>1557.9</v>
      </c>
      <c r="AB477">
        <f>ROUND(U477-AA477,2)</f>
        <v/>
      </c>
      <c r="AC477" t="b">
        <v>0</v>
      </c>
      <c r="AD477">
        <f>IF(U477="","MISSING_TOTAL",IF(ABS(AB477)&lt;=0.01,"OK","CHECK"))</f>
        <v/>
      </c>
      <c r="AE477">
        <f>IF(U477="","MISSING",IF(AND(AA477&gt;0,U477/AA477&gt;50),"POSSIBLE_SCALE_ERROR","OK"))</f>
        <v/>
      </c>
    </row>
    <row r="478">
      <c r="A478" t="inlineStr">
        <is>
          <t>T-2018-Q4-013</t>
        </is>
      </c>
      <c r="B478" t="inlineStr">
        <is>
          <t>SLE</t>
        </is>
      </c>
      <c r="C478" t="inlineStr">
        <is>
          <t>Chairperson, Canadian Human Rights Tribunal</t>
        </is>
      </c>
      <c r="D478" t="inlineStr">
        <is>
          <t>Président, Tribunal canadien des droits de la personne</t>
        </is>
      </c>
      <c r="E478" t="inlineStr">
        <is>
          <t>Thomas, David</t>
        </is>
      </c>
      <c r="F478" t="inlineStr">
        <is>
          <t>Mediation: T2280/3518</t>
        </is>
      </c>
      <c r="G478" t="inlineStr">
        <is>
          <t>Médiation: T2280/3518</t>
        </is>
      </c>
      <c r="H478" s="1" t="n">
        <v>43437</v>
      </c>
      <c r="I478" s="1" t="n">
        <v>43440</v>
      </c>
      <c r="J478" t="inlineStr">
        <is>
          <t>Vancouver</t>
        </is>
      </c>
      <c r="K478" t="inlineStr">
        <is>
          <t>Vancouver</t>
        </is>
      </c>
      <c r="P478" t="n">
        <v>858.61</v>
      </c>
      <c r="Q478" t="n">
        <v>264.98</v>
      </c>
      <c r="R478" t="n">
        <v>364.26</v>
      </c>
      <c r="S478" t="n">
        <v>322.3</v>
      </c>
      <c r="U478" t="n">
        <v>1810.15</v>
      </c>
      <c r="X478" t="inlineStr">
        <is>
          <t>atssc-scdata</t>
        </is>
      </c>
      <c r="Y478" t="inlineStr">
        <is>
          <t>Administrative Tribunals Support Service of Canada | Service canadien d'appui aux tribunaux administratifs</t>
        </is>
      </c>
      <c r="Z478" t="n">
        <v>4</v>
      </c>
      <c r="AA478" t="n">
        <v>1810.15</v>
      </c>
      <c r="AB478">
        <f>ROUND(U478-AA478,2)</f>
        <v/>
      </c>
      <c r="AC478" t="b">
        <v>0</v>
      </c>
      <c r="AD478">
        <f>IF(U478="","MISSING_TOTAL",IF(ABS(AB478)&lt;=0.01,"OK","CHECK"))</f>
        <v/>
      </c>
      <c r="AE478">
        <f>IF(U478="","MISSING",IF(AND(AA478&gt;0,U478/AA478&gt;50),"POSSIBLE_SCALE_ERROR","OK"))</f>
        <v/>
      </c>
    </row>
    <row r="479">
      <c r="A479" t="inlineStr">
        <is>
          <t>T-2018-Q4-014</t>
        </is>
      </c>
      <c r="B479" t="inlineStr">
        <is>
          <t>SLE</t>
        </is>
      </c>
      <c r="C479" t="inlineStr">
        <is>
          <t>Chairperson, Canadian Human Rights Tribunal</t>
        </is>
      </c>
      <c r="D479" t="inlineStr">
        <is>
          <t>Président, Tribunal canadien des droits de la personne</t>
        </is>
      </c>
      <c r="E479" t="inlineStr">
        <is>
          <t>Thomas, David</t>
        </is>
      </c>
      <c r="F479" t="inlineStr">
        <is>
          <t>Mediation: T2315/7018</t>
        </is>
      </c>
      <c r="G479" t="inlineStr">
        <is>
          <t>Médiation: T2315/7018</t>
        </is>
      </c>
      <c r="H479" s="1" t="n">
        <v>43446</v>
      </c>
      <c r="I479" s="1" t="n">
        <v>43448</v>
      </c>
      <c r="J479" t="inlineStr">
        <is>
          <t>Guelph</t>
        </is>
      </c>
      <c r="K479" t="inlineStr">
        <is>
          <t>Guelph</t>
        </is>
      </c>
      <c r="P479" t="n">
        <v>623.36</v>
      </c>
      <c r="Q479" t="n">
        <v>185.02</v>
      </c>
      <c r="R479" t="n">
        <v>320.92</v>
      </c>
      <c r="S479" t="n">
        <v>212.25</v>
      </c>
      <c r="U479" t="n">
        <v>1341.55</v>
      </c>
      <c r="X479" t="inlineStr">
        <is>
          <t>atssc-scdata</t>
        </is>
      </c>
      <c r="Y479" t="inlineStr">
        <is>
          <t>Administrative Tribunals Support Service of Canada | Service canadien d'appui aux tribunaux administratifs</t>
        </is>
      </c>
      <c r="Z479" t="n">
        <v>3</v>
      </c>
      <c r="AA479" t="n">
        <v>1341.55</v>
      </c>
      <c r="AB479">
        <f>ROUND(U479-AA479,2)</f>
        <v/>
      </c>
      <c r="AC479" t="b">
        <v>0</v>
      </c>
      <c r="AD479">
        <f>IF(U479="","MISSING_TOTAL",IF(ABS(AB479)&lt;=0.01,"OK","CHECK"))</f>
        <v/>
      </c>
      <c r="AE479">
        <f>IF(U479="","MISSING",IF(AND(AA479&gt;0,U479/AA479&gt;50),"POSSIBLE_SCALE_ERROR","OK"))</f>
        <v/>
      </c>
    </row>
    <row r="480">
      <c r="A480" t="inlineStr">
        <is>
          <t>T-2018-Q4-015</t>
        </is>
      </c>
      <c r="B480" t="inlineStr">
        <is>
          <t>SLE</t>
        </is>
      </c>
      <c r="C480" t="inlineStr">
        <is>
          <t>Chairperson, Canadian Human Rights Tribunal</t>
        </is>
      </c>
      <c r="D480" t="inlineStr">
        <is>
          <t>Président, Tribunal canadien des droits de la personne</t>
        </is>
      </c>
      <c r="E480" t="inlineStr">
        <is>
          <t>Thomas, David</t>
        </is>
      </c>
      <c r="F480" t="inlineStr">
        <is>
          <t>File : T2317/7218</t>
        </is>
      </c>
      <c r="G480" t="inlineStr">
        <is>
          <t>Dossier #T2317/7218</t>
        </is>
      </c>
      <c r="H480" s="1" t="n">
        <v>43493</v>
      </c>
      <c r="I480" s="1" t="n">
        <v>43495</v>
      </c>
      <c r="J480" t="inlineStr">
        <is>
          <t>Toronto</t>
        </is>
      </c>
      <c r="K480" t="inlineStr">
        <is>
          <t>Toronto</t>
        </is>
      </c>
      <c r="P480" t="n">
        <v>619.52</v>
      </c>
      <c r="Q480" t="n">
        <v>353.5</v>
      </c>
      <c r="R480" t="n">
        <v>444.22</v>
      </c>
      <c r="S480" t="n">
        <v>182.1</v>
      </c>
      <c r="U480" t="n">
        <v>1599.34</v>
      </c>
      <c r="X480" t="inlineStr">
        <is>
          <t>atssc-scdata</t>
        </is>
      </c>
      <c r="Y480" t="inlineStr">
        <is>
          <t>Administrative Tribunals Support Service of Canada | Service canadien d'appui aux tribunaux administratifs</t>
        </is>
      </c>
      <c r="Z480" t="n">
        <v>3</v>
      </c>
      <c r="AA480" t="n">
        <v>1599.34</v>
      </c>
      <c r="AB480">
        <f>ROUND(U480-AA480,2)</f>
        <v/>
      </c>
      <c r="AC480" t="b">
        <v>0</v>
      </c>
      <c r="AD480">
        <f>IF(U480="","MISSING_TOTAL",IF(ABS(AB480)&lt;=0.01,"OK","CHECK"))</f>
        <v/>
      </c>
      <c r="AE480">
        <f>IF(U480="","MISSING",IF(AND(AA480&gt;0,U480/AA480&gt;50),"POSSIBLE_SCALE_ERROR","OK"))</f>
        <v/>
      </c>
    </row>
    <row r="481">
      <c r="A481" t="inlineStr">
        <is>
          <t>T-2018-Q4-016</t>
        </is>
      </c>
      <c r="B481" t="inlineStr">
        <is>
          <t>SLE</t>
        </is>
      </c>
      <c r="C481" t="inlineStr">
        <is>
          <t>Chairperson, Canadian Human Rights Tribunal</t>
        </is>
      </c>
      <c r="D481" t="inlineStr">
        <is>
          <t>Président, Tribunal canadien des droits de la personne</t>
        </is>
      </c>
      <c r="E481" t="inlineStr">
        <is>
          <t>Thomas, David</t>
        </is>
      </c>
      <c r="F481" t="inlineStr">
        <is>
          <t>Hearing: T2314/6918</t>
        </is>
      </c>
      <c r="G481" t="inlineStr">
        <is>
          <t>Dossier #T2314/6918</t>
        </is>
      </c>
      <c r="H481" s="1" t="n">
        <v>43479</v>
      </c>
      <c r="I481" s="1" t="n">
        <v>43480</v>
      </c>
      <c r="J481" t="inlineStr">
        <is>
          <t>Winnipeg</t>
        </is>
      </c>
      <c r="K481" t="inlineStr">
        <is>
          <t>Winnipeg</t>
        </is>
      </c>
      <c r="P481" t="n">
        <v>0</v>
      </c>
      <c r="Q481" t="n">
        <v>88.90000000000001</v>
      </c>
      <c r="R481" t="n">
        <v>152.54</v>
      </c>
      <c r="S481" t="n">
        <v>194.55</v>
      </c>
      <c r="U481" t="n">
        <v>435.99</v>
      </c>
      <c r="X481" t="inlineStr">
        <is>
          <t>atssc-scdata</t>
        </is>
      </c>
      <c r="Y481" t="inlineStr">
        <is>
          <t>Administrative Tribunals Support Service of Canada | Service canadien d'appui aux tribunaux administratifs</t>
        </is>
      </c>
      <c r="Z481" t="n">
        <v>2</v>
      </c>
      <c r="AA481" t="n">
        <v>435.99</v>
      </c>
      <c r="AB481">
        <f>ROUND(U481-AA481,2)</f>
        <v/>
      </c>
      <c r="AC481" t="b">
        <v>0</v>
      </c>
      <c r="AD481">
        <f>IF(U481="","MISSING_TOTAL",IF(ABS(AB481)&lt;=0.01,"OK","CHECK"))</f>
        <v/>
      </c>
      <c r="AE481">
        <f>IF(U481="","MISSING",IF(AND(AA481&gt;0,U481/AA481&gt;50),"POSSIBLE_SCALE_ERROR","OK"))</f>
        <v/>
      </c>
    </row>
    <row r="482">
      <c r="A482" t="inlineStr">
        <is>
          <t>T-2018-Q4-017</t>
        </is>
      </c>
      <c r="B482" t="inlineStr">
        <is>
          <t>SLE</t>
        </is>
      </c>
      <c r="C482" t="inlineStr">
        <is>
          <t>Chairperson, Canadian Human Rights Tribunal</t>
        </is>
      </c>
      <c r="D482" t="inlineStr">
        <is>
          <t>Président, Tribunal canadien des droits de la personne</t>
        </is>
      </c>
      <c r="E482" t="inlineStr">
        <is>
          <t>Thomas, David</t>
        </is>
      </c>
      <c r="F482" t="inlineStr">
        <is>
          <t>Hearing: T2312/6818</t>
        </is>
      </c>
      <c r="G482" t="inlineStr">
        <is>
          <t>Dossier #T2312/6818</t>
        </is>
      </c>
      <c r="H482" s="1" t="n">
        <v>43474</v>
      </c>
      <c r="I482" s="1" t="n">
        <v>43478</v>
      </c>
      <c r="J482" t="inlineStr">
        <is>
          <t>Vancouver</t>
        </is>
      </c>
      <c r="K482" t="inlineStr">
        <is>
          <t>Vancouver</t>
        </is>
      </c>
      <c r="P482" t="n">
        <v>1319.69</v>
      </c>
      <c r="Q482" t="n">
        <v>113.66</v>
      </c>
      <c r="R482" t="n">
        <v>520.66</v>
      </c>
      <c r="S482" t="n">
        <v>496.9</v>
      </c>
      <c r="U482" t="n">
        <v>2450.91</v>
      </c>
      <c r="X482" t="inlineStr">
        <is>
          <t>atssc-scdata</t>
        </is>
      </c>
      <c r="Y482" t="inlineStr">
        <is>
          <t>Administrative Tribunals Support Service of Canada | Service canadien d'appui aux tribunaux administratifs</t>
        </is>
      </c>
      <c r="Z482" t="n">
        <v>5</v>
      </c>
      <c r="AA482" t="n">
        <v>2450.91</v>
      </c>
      <c r="AB482">
        <f>ROUND(U482-AA482,2)</f>
        <v/>
      </c>
      <c r="AC482" t="b">
        <v>0</v>
      </c>
      <c r="AD482">
        <f>IF(U482="","MISSING_TOTAL",IF(ABS(AB482)&lt;=0.01,"OK","CHECK"))</f>
        <v/>
      </c>
      <c r="AE482">
        <f>IF(U482="","MISSING",IF(AND(AA482&gt;0,U482/AA482&gt;50),"POSSIBLE_SCALE_ERROR","OK"))</f>
        <v/>
      </c>
    </row>
    <row r="483">
      <c r="A483" t="inlineStr">
        <is>
          <t>T-2018-Q4-018</t>
        </is>
      </c>
      <c r="B483" t="inlineStr">
        <is>
          <t>SLE</t>
        </is>
      </c>
      <c r="C483" t="inlineStr">
        <is>
          <t>Chairperson, Canadian Human Rights Tribunal</t>
        </is>
      </c>
      <c r="D483" t="inlineStr">
        <is>
          <t>Président, Tribunal canadien des droits de la personne</t>
        </is>
      </c>
      <c r="E483" t="inlineStr">
        <is>
          <t>Thomas, David</t>
        </is>
      </c>
      <c r="F483" t="inlineStr">
        <is>
          <t>UN Forum on Business and Human Rights</t>
        </is>
      </c>
      <c r="G483" t="inlineStr">
        <is>
          <t>Forum des Nations Unies sur les entreprises et les droits de l'homme</t>
        </is>
      </c>
      <c r="H483" s="1" t="n">
        <v>43427</v>
      </c>
      <c r="I483" s="1" t="n">
        <v>43435</v>
      </c>
      <c r="J483" t="inlineStr">
        <is>
          <t>Genève</t>
        </is>
      </c>
      <c r="K483" t="inlineStr">
        <is>
          <t>Geneva</t>
        </is>
      </c>
      <c r="P483" t="n">
        <v>4163.04</v>
      </c>
      <c r="Q483" t="n">
        <v>162.06</v>
      </c>
      <c r="R483" t="n">
        <v>1832.87</v>
      </c>
      <c r="S483" t="n">
        <v>1195.96</v>
      </c>
      <c r="U483" t="n">
        <v>7353.93</v>
      </c>
      <c r="X483" t="inlineStr">
        <is>
          <t>atssc-scdata</t>
        </is>
      </c>
      <c r="Y483" t="inlineStr">
        <is>
          <t>Administrative Tribunals Support Service of Canada | Service canadien d'appui aux tribunaux administratifs</t>
        </is>
      </c>
      <c r="Z483" t="n">
        <v>9</v>
      </c>
      <c r="AA483" t="n">
        <v>7353.93</v>
      </c>
      <c r="AB483">
        <f>ROUND(U483-AA483,2)</f>
        <v/>
      </c>
      <c r="AC483" t="b">
        <v>0</v>
      </c>
      <c r="AD483">
        <f>IF(U483="","MISSING_TOTAL",IF(ABS(AB483)&lt;=0.01,"OK","CHECK"))</f>
        <v/>
      </c>
      <c r="AE483">
        <f>IF(U483="","MISSING",IF(AND(AA483&gt;0,U483/AA483&gt;50),"POSSIBLE_SCALE_ERROR","OK"))</f>
        <v/>
      </c>
    </row>
    <row r="484">
      <c r="A484" t="inlineStr">
        <is>
          <t>T-2018-Q4-019</t>
        </is>
      </c>
      <c r="B484" t="inlineStr">
        <is>
          <t>SLE</t>
        </is>
      </c>
      <c r="C484" t="inlineStr">
        <is>
          <t>Chairperson, Social Security Tribunal of Canada</t>
        </is>
      </c>
      <c r="D484" t="inlineStr">
        <is>
          <t>Président, Tribunal de la sécurité sociale du Canada</t>
        </is>
      </c>
      <c r="E484" t="inlineStr">
        <is>
          <t>Aterman, Paul</t>
        </is>
      </c>
      <c r="F484" t="inlineStr">
        <is>
          <t>General Division (GD) Ontario Members Regional Training Session</t>
        </is>
      </c>
      <c r="G484" t="inlineStr">
        <is>
          <t>Session de formation régionale pour les membres de la division générale (DG) de 
l’Ontario</t>
        </is>
      </c>
      <c r="H484" s="1" t="n">
        <v>43420</v>
      </c>
      <c r="I484" s="1" t="n">
        <v>43420</v>
      </c>
      <c r="J484" t="inlineStr">
        <is>
          <t>Toronto</t>
        </is>
      </c>
      <c r="K484" t="inlineStr">
        <is>
          <t>Toronto</t>
        </is>
      </c>
      <c r="P484" t="n">
        <v>735.73</v>
      </c>
      <c r="Q484" t="n">
        <v>95.31</v>
      </c>
      <c r="S484" t="n">
        <v>70.25</v>
      </c>
      <c r="U484" t="n">
        <v>901.29</v>
      </c>
      <c r="X484" t="inlineStr">
        <is>
          <t>atssc-scdata</t>
        </is>
      </c>
      <c r="Y484" t="inlineStr">
        <is>
          <t>Administrative Tribunals Support Service of Canada | Service canadien d'appui aux tribunaux administratifs</t>
        </is>
      </c>
      <c r="Z484" t="n">
        <v>1</v>
      </c>
      <c r="AA484" t="n">
        <v>901.29</v>
      </c>
      <c r="AB484">
        <f>ROUND(U484-AA484,2)</f>
        <v/>
      </c>
      <c r="AC484" t="b">
        <v>0</v>
      </c>
      <c r="AD484">
        <f>IF(U484="","MISSING_TOTAL",IF(ABS(AB484)&lt;=0.01,"OK","CHECK"))</f>
        <v/>
      </c>
      <c r="AE484">
        <f>IF(U484="","MISSING",IF(AND(AA484&gt;0,U484/AA484&gt;50),"POSSIBLE_SCALE_ERROR","OK"))</f>
        <v/>
      </c>
    </row>
    <row r="485">
      <c r="A485" t="inlineStr">
        <is>
          <t>T-2018-Q4-020</t>
        </is>
      </c>
      <c r="B485" t="inlineStr">
        <is>
          <t>SLE</t>
        </is>
      </c>
      <c r="C485" t="inlineStr">
        <is>
          <t>Chairperson, Social Security Tribunal of Canada</t>
        </is>
      </c>
      <c r="D485" t="inlineStr">
        <is>
          <t>Président, Tribunal de la sécurité sociale du Canada</t>
        </is>
      </c>
      <c r="E485" t="inlineStr">
        <is>
          <t>Aterman, Paul</t>
        </is>
      </c>
      <c r="F485" t="inlineStr">
        <is>
          <t>General Division (GD) Québec Members Regional Training Session</t>
        </is>
      </c>
      <c r="G485" t="inlineStr">
        <is>
          <t>Session de formation régionale pour les membres de la division générale (DG) du Québec</t>
        </is>
      </c>
      <c r="H485" s="1" t="n">
        <v>43452</v>
      </c>
      <c r="I485" s="1" t="n">
        <v>43452</v>
      </c>
      <c r="J485" t="inlineStr">
        <is>
          <t>Montréal</t>
        </is>
      </c>
      <c r="K485" t="inlineStr">
        <is>
          <t>Montreal</t>
        </is>
      </c>
      <c r="Q485" t="n">
        <v>326.37</v>
      </c>
      <c r="S485" t="n">
        <v>50</v>
      </c>
      <c r="U485" t="n">
        <v>376.37</v>
      </c>
      <c r="X485" t="inlineStr">
        <is>
          <t>atssc-scdata</t>
        </is>
      </c>
      <c r="Y485" t="inlineStr">
        <is>
          <t>Administrative Tribunals Support Service of Canada | Service canadien d'appui aux tribunaux administratifs</t>
        </is>
      </c>
      <c r="Z485" t="n">
        <v>1</v>
      </c>
      <c r="AA485" t="n">
        <v>376.37</v>
      </c>
      <c r="AB485">
        <f>ROUND(U485-AA485,2)</f>
        <v/>
      </c>
      <c r="AC485" t="b">
        <v>0</v>
      </c>
      <c r="AD485">
        <f>IF(U485="","MISSING_TOTAL",IF(ABS(AB485)&lt;=0.01,"OK","CHECK"))</f>
        <v/>
      </c>
      <c r="AE485">
        <f>IF(U485="","MISSING",IF(AND(AA485&gt;0,U485/AA485&gt;50),"POSSIBLE_SCALE_ERROR","OK"))</f>
        <v/>
      </c>
    </row>
    <row r="486">
      <c r="A486" t="inlineStr">
        <is>
          <t>T-2018-Q4-021</t>
        </is>
      </c>
      <c r="B486" t="inlineStr">
        <is>
          <t>SLE</t>
        </is>
      </c>
      <c r="C486" t="inlineStr">
        <is>
          <t>Chairperson, Social Security Tribunal of Canada</t>
        </is>
      </c>
      <c r="D486" t="inlineStr">
        <is>
          <t>Président, Tribunal de la sécurité sociale du Canada</t>
        </is>
      </c>
      <c r="E486" t="inlineStr">
        <is>
          <t>Aterman, Paul</t>
        </is>
      </c>
      <c r="F486" t="inlineStr">
        <is>
          <t>General Division (GD) Atlantic Members Regional Training Session</t>
        </is>
      </c>
      <c r="G486" t="inlineStr">
        <is>
          <t>Session de formation régionale pour les membres de la division générale (DG) de l'Atlantique</t>
        </is>
      </c>
      <c r="H486" s="1" t="n">
        <v>43479</v>
      </c>
      <c r="I486" s="1" t="n">
        <v>43480</v>
      </c>
      <c r="J486" t="inlineStr">
        <is>
          <t>Halifax</t>
        </is>
      </c>
      <c r="K486" t="inlineStr">
        <is>
          <t>Halifax</t>
        </is>
      </c>
      <c r="P486" t="n">
        <v>492.39</v>
      </c>
      <c r="Q486" t="n">
        <v>133.39</v>
      </c>
      <c r="R486" t="n">
        <v>151.32</v>
      </c>
      <c r="S486" t="n">
        <v>174.7</v>
      </c>
      <c r="U486" t="n">
        <v>951.8</v>
      </c>
      <c r="X486" t="inlineStr">
        <is>
          <t>atssc-scdata</t>
        </is>
      </c>
      <c r="Y486" t="inlineStr">
        <is>
          <t>Administrative Tribunals Support Service of Canada | Service canadien d'appui aux tribunaux administratifs</t>
        </is>
      </c>
      <c r="Z486" t="n">
        <v>2</v>
      </c>
      <c r="AA486" t="n">
        <v>951.8</v>
      </c>
      <c r="AB486">
        <f>ROUND(U486-AA486,2)</f>
        <v/>
      </c>
      <c r="AC486" t="b">
        <v>0</v>
      </c>
      <c r="AD486">
        <f>IF(U486="","MISSING_TOTAL",IF(ABS(AB486)&lt;=0.01,"OK","CHECK"))</f>
        <v/>
      </c>
      <c r="AE486">
        <f>IF(U486="","MISSING",IF(AND(AA486&gt;0,U486/AA486&gt;50),"POSSIBLE_SCALE_ERROR","OK"))</f>
        <v/>
      </c>
    </row>
    <row r="487">
      <c r="A487" t="inlineStr">
        <is>
          <t>T-2018-Q4-022</t>
        </is>
      </c>
      <c r="B487" t="inlineStr">
        <is>
          <t>SLE</t>
        </is>
      </c>
      <c r="C487" t="inlineStr">
        <is>
          <t>Executive Director Canadian Cultural Property Export Review Board</t>
        </is>
      </c>
      <c r="D487" t="inlineStr">
        <is>
          <t>Directrice exécutive Commission canadienne d'examen des exportations de biens culturels</t>
        </is>
      </c>
      <c r="E487" t="inlineStr">
        <is>
          <t>Kim, Mijin</t>
        </is>
      </c>
      <c r="F487" t="inlineStr">
        <is>
          <t>Parking</t>
        </is>
      </c>
      <c r="G487" t="inlineStr">
        <is>
          <t>Stationnement</t>
        </is>
      </c>
      <c r="H487" s="1" t="n">
        <v>43411</v>
      </c>
      <c r="I487" s="1" t="n">
        <v>43446</v>
      </c>
      <c r="J487" t="inlineStr">
        <is>
          <t>Various</t>
        </is>
      </c>
      <c r="K487" t="inlineStr">
        <is>
          <t>Various</t>
        </is>
      </c>
      <c r="Q487" t="n">
        <v>99</v>
      </c>
      <c r="U487" t="n">
        <v>99</v>
      </c>
      <c r="X487" t="inlineStr">
        <is>
          <t>atssc-scdata</t>
        </is>
      </c>
      <c r="Y487" t="inlineStr">
        <is>
          <t>Administrative Tribunals Support Service of Canada | Service canadien d'appui aux tribunaux administratifs</t>
        </is>
      </c>
      <c r="Z487" t="n">
        <v>36</v>
      </c>
      <c r="AA487" t="n">
        <v>99</v>
      </c>
      <c r="AB487">
        <f>ROUND(U487-AA487,2)</f>
        <v/>
      </c>
      <c r="AC487" t="b">
        <v>0</v>
      </c>
      <c r="AD487">
        <f>IF(U487="","MISSING_TOTAL",IF(ABS(AB487)&lt;=0.01,"OK","CHECK"))</f>
        <v/>
      </c>
      <c r="AE487">
        <f>IF(U487="","MISSING",IF(AND(AA487&gt;0,U487/AA487&gt;50),"POSSIBLE_SCALE_ERROR","OK"))</f>
        <v/>
      </c>
    </row>
    <row r="488">
      <c r="A488" t="inlineStr">
        <is>
          <t>T-2018-Q4-023</t>
        </is>
      </c>
      <c r="B488" t="inlineStr">
        <is>
          <t>SLE</t>
        </is>
      </c>
      <c r="C488" t="inlineStr">
        <is>
          <t>Executive Director Canadian Cultural Property Export Review Board</t>
        </is>
      </c>
      <c r="D488" t="inlineStr">
        <is>
          <t>Directrice exécutive Commission canadienne d'examen des exportations de biens culturels</t>
        </is>
      </c>
      <c r="E488" t="inlineStr">
        <is>
          <t>Kim, Mijin</t>
        </is>
      </c>
      <c r="F488" t="inlineStr">
        <is>
          <t>OLA Super Conference</t>
        </is>
      </c>
      <c r="G488" t="inlineStr">
        <is>
          <t>Super conférence OLA</t>
        </is>
      </c>
      <c r="H488" s="1" t="n">
        <v>43494</v>
      </c>
      <c r="I488" s="1" t="n">
        <v>43495</v>
      </c>
      <c r="J488" t="inlineStr">
        <is>
          <t>Toronto</t>
        </is>
      </c>
      <c r="K488" t="inlineStr">
        <is>
          <t>Toronto</t>
        </is>
      </c>
      <c r="P488" t="n">
        <v>827.0599999999999</v>
      </c>
      <c r="Q488" t="n">
        <v>136</v>
      </c>
      <c r="R488" t="n">
        <v>186.86</v>
      </c>
      <c r="S488" t="n">
        <v>124.7</v>
      </c>
      <c r="U488" t="n">
        <v>1274.62</v>
      </c>
      <c r="X488" t="inlineStr">
        <is>
          <t>atssc-scdata</t>
        </is>
      </c>
      <c r="Y488" t="inlineStr">
        <is>
          <t>Administrative Tribunals Support Service of Canada | Service canadien d'appui aux tribunaux administratifs</t>
        </is>
      </c>
      <c r="Z488" t="n">
        <v>2</v>
      </c>
      <c r="AA488" t="n">
        <v>1274.62</v>
      </c>
      <c r="AB488">
        <f>ROUND(U488-AA488,2)</f>
        <v/>
      </c>
      <c r="AC488" t="b">
        <v>0</v>
      </c>
      <c r="AD488">
        <f>IF(U488="","MISSING_TOTAL",IF(ABS(AB488)&lt;=0.01,"OK","CHECK"))</f>
        <v/>
      </c>
      <c r="AE488">
        <f>IF(U488="","MISSING",IF(AND(AA488&gt;0,U488/AA488&gt;50),"POSSIBLE_SCALE_ERROR","OK"))</f>
        <v/>
      </c>
    </row>
    <row r="489">
      <c r="A489" t="inlineStr">
        <is>
          <t>T-2018-Q4-024</t>
        </is>
      </c>
      <c r="B489" t="inlineStr">
        <is>
          <t>SLE</t>
        </is>
      </c>
      <c r="C489" t="inlineStr">
        <is>
          <t>Executive Director Canadian Cultural Property Export Review Board</t>
        </is>
      </c>
      <c r="D489" t="inlineStr">
        <is>
          <t>Directrice exécutive Commission canadienne d'examen des exportations de biens culturels</t>
        </is>
      </c>
      <c r="E489" t="inlineStr">
        <is>
          <t>Kim, Mijin</t>
        </is>
      </c>
      <c r="F489" t="inlineStr">
        <is>
          <t>CCPERB Board Retreat</t>
        </is>
      </c>
      <c r="G489" t="inlineStr">
        <is>
          <t>Retraite du conseil de la CCEEBC</t>
        </is>
      </c>
      <c r="H489" s="1" t="n">
        <v>43498</v>
      </c>
      <c r="I489" s="1" t="n">
        <v>43499</v>
      </c>
      <c r="J489" t="inlineStr">
        <is>
          <t>Montréal</t>
        </is>
      </c>
      <c r="K489" t="inlineStr">
        <is>
          <t>Montreal</t>
        </is>
      </c>
      <c r="Q489" t="n">
        <v>270.39</v>
      </c>
      <c r="R489" t="n">
        <v>321.7</v>
      </c>
      <c r="S489" t="n">
        <v>201.9</v>
      </c>
      <c r="U489" t="n">
        <v>793.99</v>
      </c>
      <c r="X489" t="inlineStr">
        <is>
          <t>atssc-scdata</t>
        </is>
      </c>
      <c r="Y489" t="inlineStr">
        <is>
          <t>Administrative Tribunals Support Service of Canada | Service canadien d'appui aux tribunaux administratifs</t>
        </is>
      </c>
      <c r="Z489" t="n">
        <v>2</v>
      </c>
      <c r="AA489" t="n">
        <v>793.989999999999</v>
      </c>
      <c r="AB489">
        <f>ROUND(U489-AA489,2)</f>
        <v/>
      </c>
      <c r="AC489" t="b">
        <v>0</v>
      </c>
      <c r="AD489">
        <f>IF(U489="","MISSING_TOTAL",IF(ABS(AB489)&lt;=0.01,"OK","CHECK"))</f>
        <v/>
      </c>
      <c r="AE489">
        <f>IF(U489="","MISSING",IF(AND(AA489&gt;0,U489/AA489&gt;50),"POSSIBLE_SCALE_ERROR","OK"))</f>
        <v/>
      </c>
    </row>
    <row r="490">
      <c r="A490" t="inlineStr">
        <is>
          <t>T-2018-Q4-025</t>
        </is>
      </c>
      <c r="B490" t="inlineStr">
        <is>
          <t>SLE</t>
        </is>
      </c>
      <c r="C490" t="inlineStr">
        <is>
          <t>Executive Director and General Counsel, Secretariat to the Canadian International Trade Tribunal</t>
        </is>
      </c>
      <c r="D490" t="inlineStr">
        <is>
          <t>Directeur exécutif et avocat général, Secrétariat du Tribunal canadien du commerce extérieur</t>
        </is>
      </c>
      <c r="E490" t="inlineStr">
        <is>
          <t>Covelli, Nick</t>
        </is>
      </c>
      <c r="F490" t="inlineStr">
        <is>
          <t>Australia Anti-Dumping Commission Technical Exchange</t>
        </is>
      </c>
      <c r="G490" t="inlineStr">
        <is>
          <t>Échange technique de la Commission antidumping de l'Australie</t>
        </is>
      </c>
      <c r="H490" s="1" t="n">
        <v>42940</v>
      </c>
      <c r="I490" s="1" t="n">
        <v>42972</v>
      </c>
      <c r="J490" t="inlineStr">
        <is>
          <t>Melbourne</t>
        </is>
      </c>
      <c r="K490" t="inlineStr">
        <is>
          <t>Melbourne</t>
        </is>
      </c>
      <c r="P490" t="n">
        <v>1755.1</v>
      </c>
      <c r="Q490" t="n">
        <v>300.01</v>
      </c>
      <c r="R490" t="n">
        <v>5238.95</v>
      </c>
      <c r="S490" t="n">
        <v>3547.45</v>
      </c>
      <c r="T490" t="n">
        <v>13.65</v>
      </c>
      <c r="U490" t="n">
        <v>10855.16</v>
      </c>
      <c r="X490" t="inlineStr">
        <is>
          <t>atssc-scdata</t>
        </is>
      </c>
      <c r="Y490" t="inlineStr">
        <is>
          <t>Administrative Tribunals Support Service of Canada | Service canadien d'appui aux tribunaux administratifs</t>
        </is>
      </c>
      <c r="Z490" t="n">
        <v>33</v>
      </c>
      <c r="AA490" t="n">
        <v>10855.1599999999</v>
      </c>
      <c r="AB490">
        <f>ROUND(U490-AA490,2)</f>
        <v/>
      </c>
      <c r="AC490" t="b">
        <v>0</v>
      </c>
      <c r="AD490">
        <f>IF(U490="","MISSING_TOTAL",IF(ABS(AB490)&lt;=0.01,"OK","CHECK"))</f>
        <v/>
      </c>
      <c r="AE490">
        <f>IF(U490="","MISSING",IF(AND(AA490&gt;0,U490/AA490&gt;50),"POSSIBLE_SCALE_ERROR","OK"))</f>
        <v/>
      </c>
    </row>
    <row r="491">
      <c r="A491" t="inlineStr">
        <is>
          <t>T-2018-Q4-026</t>
        </is>
      </c>
      <c r="B491" t="inlineStr">
        <is>
          <t>SLE</t>
        </is>
      </c>
      <c r="C491" t="inlineStr">
        <is>
          <t>Chairperson, Transportation Appeal Tribunal of Canada</t>
        </is>
      </c>
      <c r="D491" t="inlineStr">
        <is>
          <t>Président, Tribunal d'appel des transport du Canada</t>
        </is>
      </c>
      <c r="E491" t="inlineStr">
        <is>
          <t>Sullivan, Charles</t>
        </is>
      </c>
      <c r="F491" t="inlineStr">
        <is>
          <t>TATC Hearing O-4409-16</t>
        </is>
      </c>
      <c r="G491" t="inlineStr">
        <is>
          <t>TATC dossier #O-4409-16</t>
        </is>
      </c>
      <c r="H491" s="1" t="n">
        <v>43487</v>
      </c>
      <c r="I491" s="1" t="n">
        <v>43489</v>
      </c>
      <c r="J491" t="inlineStr">
        <is>
          <t>Barrie</t>
        </is>
      </c>
      <c r="K491" t="inlineStr">
        <is>
          <t>Barrie</t>
        </is>
      </c>
      <c r="Q491" t="n">
        <v>613.34</v>
      </c>
      <c r="R491" t="n">
        <v>260.9</v>
      </c>
      <c r="S491" t="n">
        <v>179.75</v>
      </c>
      <c r="U491" t="n">
        <v>1053.99</v>
      </c>
      <c r="X491" t="inlineStr">
        <is>
          <t>atssc-scdata</t>
        </is>
      </c>
      <c r="Y491" t="inlineStr">
        <is>
          <t>Administrative Tribunals Support Service of Canada | Service canadien d'appui aux tribunaux administratifs</t>
        </is>
      </c>
      <c r="Z491" t="n">
        <v>3</v>
      </c>
      <c r="AA491" t="n">
        <v>1053.99</v>
      </c>
      <c r="AB491">
        <f>ROUND(U491-AA491,2)</f>
        <v/>
      </c>
      <c r="AC491" t="b">
        <v>0</v>
      </c>
      <c r="AD491">
        <f>IF(U491="","MISSING_TOTAL",IF(ABS(AB491)&lt;=0.01,"OK","CHECK"))</f>
        <v/>
      </c>
      <c r="AE491">
        <f>IF(U491="","MISSING",IF(AND(AA491&gt;0,U491/AA491&gt;50),"POSSIBLE_SCALE_ERROR","OK"))</f>
        <v/>
      </c>
    </row>
    <row r="492">
      <c r="A492" t="inlineStr">
        <is>
          <t>T-2018-Q4-027</t>
        </is>
      </c>
      <c r="B492" t="inlineStr">
        <is>
          <t>SLE</t>
        </is>
      </c>
      <c r="C492" t="inlineStr">
        <is>
          <t>Chairperson, Transportation Appeal Tribunal of Canada</t>
        </is>
      </c>
      <c r="D492" t="inlineStr">
        <is>
          <t>Président, Tribunal d'appel des transport du Canada</t>
        </is>
      </c>
      <c r="E492" t="inlineStr">
        <is>
          <t>Sullivan, Charles</t>
        </is>
      </c>
      <c r="F492" t="inlineStr">
        <is>
          <t>TATC Hearing O-4409-16</t>
        </is>
      </c>
      <c r="G492" t="inlineStr">
        <is>
          <t>TATC dossier #O-4409-16</t>
        </is>
      </c>
      <c r="H492" s="1" t="n">
        <v>43495</v>
      </c>
      <c r="I492" s="1" t="n">
        <v>43496</v>
      </c>
      <c r="J492" t="inlineStr">
        <is>
          <t>Toronto</t>
        </is>
      </c>
      <c r="K492" t="inlineStr">
        <is>
          <t>Toronto</t>
        </is>
      </c>
      <c r="Q492" t="n">
        <v>490.13</v>
      </c>
      <c r="R492" t="n">
        <v>186.86</v>
      </c>
      <c r="S492" t="n">
        <v>124.7</v>
      </c>
      <c r="U492" t="n">
        <v>801.6900000000001</v>
      </c>
      <c r="X492" t="inlineStr">
        <is>
          <t>atssc-scdata</t>
        </is>
      </c>
      <c r="Y492" t="inlineStr">
        <is>
          <t>Administrative Tribunals Support Service of Canada | Service canadien d'appui aux tribunaux administratifs</t>
        </is>
      </c>
      <c r="Z492" t="n">
        <v>2</v>
      </c>
      <c r="AA492" t="n">
        <v>801.6900000000001</v>
      </c>
      <c r="AB492">
        <f>ROUND(U492-AA492,2)</f>
        <v/>
      </c>
      <c r="AC492" t="b">
        <v>0</v>
      </c>
      <c r="AD492">
        <f>IF(U492="","MISSING_TOTAL",IF(ABS(AB492)&lt;=0.01,"OK","CHECK"))</f>
        <v/>
      </c>
      <c r="AE492">
        <f>IF(U492="","MISSING",IF(AND(AA492&gt;0,U492/AA492&gt;50),"POSSIBLE_SCALE_ERROR","OK"))</f>
        <v/>
      </c>
    </row>
    <row r="493">
      <c r="A493" t="inlineStr">
        <is>
          <t>T-2018-Q4-028</t>
        </is>
      </c>
      <c r="B493" t="inlineStr">
        <is>
          <t>SLE</t>
        </is>
      </c>
      <c r="C493" t="inlineStr">
        <is>
          <t>Chairperson, Transportation Appeal Tribunal of Canada</t>
        </is>
      </c>
      <c r="D493" t="inlineStr">
        <is>
          <t>Président, Tribunal d'appel des transport du Canada</t>
        </is>
      </c>
      <c r="E493" t="inlineStr">
        <is>
          <t>Sullivan, Charles</t>
        </is>
      </c>
      <c r="F493" t="inlineStr">
        <is>
          <t>ATAC: Canadian Aviation Conference &amp; Tradeshow</t>
        </is>
      </c>
      <c r="G493" t="inlineStr">
        <is>
          <t>ATAC: Conférence et salon professionnel de l'aviation canadienne</t>
        </is>
      </c>
      <c r="H493" s="1" t="n">
        <v>43416</v>
      </c>
      <c r="I493" s="1" t="n">
        <v>43420</v>
      </c>
      <c r="J493" t="inlineStr">
        <is>
          <t>Vancouver</t>
        </is>
      </c>
      <c r="K493" t="inlineStr">
        <is>
          <t>Vancouver</t>
        </is>
      </c>
      <c r="P493" t="n">
        <v>1626.11</v>
      </c>
      <c r="Q493" t="n">
        <v>203.8</v>
      </c>
      <c r="R493" t="n">
        <v>822.52</v>
      </c>
      <c r="S493" t="n">
        <v>377.05</v>
      </c>
      <c r="U493" t="n">
        <v>3029.48</v>
      </c>
      <c r="X493" t="inlineStr">
        <is>
          <t>atssc-scdata</t>
        </is>
      </c>
      <c r="Y493" t="inlineStr">
        <is>
          <t>Administrative Tribunals Support Service of Canada | Service canadien d'appui aux tribunaux administratifs</t>
        </is>
      </c>
      <c r="Z493" t="n">
        <v>5</v>
      </c>
      <c r="AA493" t="n">
        <v>3029.48</v>
      </c>
      <c r="AB493">
        <f>ROUND(U493-AA493,2)</f>
        <v/>
      </c>
      <c r="AC493" t="b">
        <v>0</v>
      </c>
      <c r="AD493">
        <f>IF(U493="","MISSING_TOTAL",IF(ABS(AB493)&lt;=0.01,"OK","CHECK"))</f>
        <v/>
      </c>
      <c r="AE493">
        <f>IF(U493="","MISSING",IF(AND(AA493&gt;0,U493/AA493&gt;50),"POSSIBLE_SCALE_ERROR","OK"))</f>
        <v/>
      </c>
    </row>
    <row r="494">
      <c r="A494" t="inlineStr">
        <is>
          <t>T-2019-Q1-024</t>
        </is>
      </c>
      <c r="B494" t="inlineStr">
        <is>
          <t>SLE</t>
        </is>
      </c>
      <c r="C494" t="inlineStr">
        <is>
          <t>Chairperson, Canadian Cultural Property Export Review Board</t>
        </is>
      </c>
      <c r="D494" t="inlineStr">
        <is>
          <t>Présidente, Commission canadienne d’examen des exportations de biens culturels</t>
        </is>
      </c>
      <c r="E494" t="inlineStr">
        <is>
          <t>Ingram, Sharilyn</t>
        </is>
      </c>
      <c r="F494" t="inlineStr">
        <is>
          <t>To attend the CCPERB Prep Day meeting</t>
        </is>
      </c>
      <c r="G494" t="inlineStr">
        <is>
          <t>Participer à la réunion préparatoire de la CCPERB</t>
        </is>
      </c>
      <c r="H494" s="1" t="n">
        <v>43534</v>
      </c>
      <c r="I494" s="1" t="n">
        <v>43535</v>
      </c>
      <c r="J494" t="inlineStr">
        <is>
          <t>Ottawa</t>
        </is>
      </c>
      <c r="K494" t="inlineStr">
        <is>
          <t>Ottawa</t>
        </is>
      </c>
      <c r="P494" t="n">
        <v>696.1</v>
      </c>
      <c r="Q494" t="n">
        <v>224.14</v>
      </c>
      <c r="R494" t="n">
        <v>175.1</v>
      </c>
      <c r="S494" t="n">
        <v>174.7</v>
      </c>
      <c r="T494" t="n">
        <v>0</v>
      </c>
      <c r="U494" t="n">
        <v>1270.04</v>
      </c>
      <c r="X494" t="inlineStr">
        <is>
          <t>atssc-scdata</t>
        </is>
      </c>
      <c r="Y494" t="inlineStr">
        <is>
          <t>Administrative Tribunals Support Service of Canada | Service canadien d'appui aux tribunaux administratifs</t>
        </is>
      </c>
      <c r="Z494" t="n">
        <v>2</v>
      </c>
      <c r="AA494" t="n">
        <v>1270.04</v>
      </c>
      <c r="AB494">
        <f>ROUND(U494-AA494,2)</f>
        <v/>
      </c>
      <c r="AC494" t="b">
        <v>0</v>
      </c>
      <c r="AD494">
        <f>IF(U494="","MISSING_TOTAL",IF(ABS(AB494)&lt;=0.01,"OK","CHECK"))</f>
        <v/>
      </c>
      <c r="AE494">
        <f>IF(U494="","MISSING",IF(AND(AA494&gt;0,U494/AA494&gt;50),"POSSIBLE_SCALE_ERROR","OK"))</f>
        <v/>
      </c>
    </row>
    <row r="495">
      <c r="A495" t="inlineStr">
        <is>
          <t>T-2019-Q1-025</t>
        </is>
      </c>
      <c r="B495" t="inlineStr">
        <is>
          <t>SLE</t>
        </is>
      </c>
      <c r="C495" t="inlineStr">
        <is>
          <t>Chairperson, Canadian Cultural Property Export Review Board</t>
        </is>
      </c>
      <c r="D495" t="inlineStr">
        <is>
          <t>Présidente, Commission canadienne d’examen des exportations de biens culturels</t>
        </is>
      </c>
      <c r="E495" t="inlineStr">
        <is>
          <t>Ingram, Sharilyn</t>
        </is>
      </c>
      <c r="F495" t="inlineStr">
        <is>
          <t>To do a presentation/ Consultation with Stakeholders</t>
        </is>
      </c>
      <c r="G495" t="inlineStr">
        <is>
          <t>Faire une présentation / consultation avec les intervenants</t>
        </is>
      </c>
      <c r="H495" s="1" t="n">
        <v>43551</v>
      </c>
      <c r="I495" s="1" t="n">
        <v>43553</v>
      </c>
      <c r="J495" t="inlineStr">
        <is>
          <t>Vancouver</t>
        </is>
      </c>
      <c r="K495" t="inlineStr">
        <is>
          <t>Vancouver</t>
        </is>
      </c>
      <c r="P495" t="n">
        <v>1215.15</v>
      </c>
      <c r="Q495" t="n">
        <v>199.64</v>
      </c>
      <c r="R495" t="n">
        <v>392.08</v>
      </c>
      <c r="S495" t="n">
        <v>301.95</v>
      </c>
      <c r="T495" t="n">
        <v>0</v>
      </c>
      <c r="U495" t="n">
        <v>2108.82</v>
      </c>
      <c r="X495" t="inlineStr">
        <is>
          <t>atssc-scdata</t>
        </is>
      </c>
      <c r="Y495" t="inlineStr">
        <is>
          <t>Administrative Tribunals Support Service of Canada | Service canadien d'appui aux tribunaux administratifs</t>
        </is>
      </c>
      <c r="Z495" t="n">
        <v>3</v>
      </c>
      <c r="AA495" t="n">
        <v>2108.81999999999</v>
      </c>
      <c r="AB495">
        <f>ROUND(U495-AA495,2)</f>
        <v/>
      </c>
      <c r="AC495" t="b">
        <v>0</v>
      </c>
      <c r="AD495">
        <f>IF(U495="","MISSING_TOTAL",IF(ABS(AB495)&lt;=0.01,"OK","CHECK"))</f>
        <v/>
      </c>
      <c r="AE495">
        <f>IF(U495="","MISSING",IF(AND(AA495&gt;0,U495/AA495&gt;50),"POSSIBLE_SCALE_ERROR","OK"))</f>
        <v/>
      </c>
    </row>
    <row r="496">
      <c r="A496" t="inlineStr">
        <is>
          <t>T-2019-Q1-026</t>
        </is>
      </c>
      <c r="B496" t="inlineStr">
        <is>
          <t>SLE</t>
        </is>
      </c>
      <c r="C496" t="inlineStr">
        <is>
          <t>Chairperson, Canadian Cultural Property Export Review Board</t>
        </is>
      </c>
      <c r="D496" t="inlineStr">
        <is>
          <t>Présidente, Commission canadienne d’examen des exportations de biens culturels</t>
        </is>
      </c>
      <c r="E496" t="inlineStr">
        <is>
          <t>Ingram, Sharilyn</t>
        </is>
      </c>
      <c r="F496" t="inlineStr">
        <is>
          <t>To attend a meeting at CCPERB</t>
        </is>
      </c>
      <c r="G496" t="inlineStr">
        <is>
          <t>Assister à une réunion à la CCPERB</t>
        </is>
      </c>
      <c r="H496" s="1" t="n">
        <v>43542</v>
      </c>
      <c r="I496" s="1" t="n">
        <v>43546</v>
      </c>
      <c r="J496" t="inlineStr">
        <is>
          <t>Ottawa</t>
        </is>
      </c>
      <c r="K496" t="inlineStr">
        <is>
          <t>Ottawa</t>
        </is>
      </c>
      <c r="P496" t="n">
        <v>732.52</v>
      </c>
      <c r="Q496" t="n">
        <v>228.14</v>
      </c>
      <c r="R496" t="n">
        <v>785.04</v>
      </c>
      <c r="S496" t="n">
        <v>516.75</v>
      </c>
      <c r="T496" t="n">
        <v>0</v>
      </c>
      <c r="U496" t="n">
        <v>2262.45</v>
      </c>
      <c r="X496" t="inlineStr">
        <is>
          <t>atssc-scdata</t>
        </is>
      </c>
      <c r="Y496" t="inlineStr">
        <is>
          <t>Administrative Tribunals Support Service of Canada | Service canadien d'appui aux tribunaux administratifs</t>
        </is>
      </c>
      <c r="Z496" t="n">
        <v>5</v>
      </c>
      <c r="AA496" t="n">
        <v>2262.45</v>
      </c>
      <c r="AB496">
        <f>ROUND(U496-AA496,2)</f>
        <v/>
      </c>
      <c r="AC496" t="b">
        <v>0</v>
      </c>
      <c r="AD496">
        <f>IF(U496="","MISSING_TOTAL",IF(ABS(AB496)&lt;=0.01,"OK","CHECK"))</f>
        <v/>
      </c>
      <c r="AE496">
        <f>IF(U496="","MISSING",IF(AND(AA496&gt;0,U496/AA496&gt;50),"POSSIBLE_SCALE_ERROR","OK"))</f>
        <v/>
      </c>
    </row>
    <row r="497">
      <c r="A497" t="inlineStr">
        <is>
          <t>T-2019-Q1-027</t>
        </is>
      </c>
      <c r="B497" t="inlineStr">
        <is>
          <t>SLE</t>
        </is>
      </c>
      <c r="C497" t="inlineStr">
        <is>
          <t>Executive Director Canadian Cultural Property Export Review Board</t>
        </is>
      </c>
      <c r="D497" t="inlineStr">
        <is>
          <t>Directrice exécutive Commission canadienne d'examen des exportations de biens culturels</t>
        </is>
      </c>
      <c r="E497" t="inlineStr">
        <is>
          <t>Kim, Mijin</t>
        </is>
      </c>
      <c r="F497" t="inlineStr">
        <is>
          <t>To attend the Canadian Museum Association Conference</t>
        </is>
      </c>
      <c r="G497" t="inlineStr">
        <is>
          <t>Assister à la conférence de l'Association des musées canadiens</t>
        </is>
      </c>
      <c r="H497" s="1" t="n">
        <v>43570</v>
      </c>
      <c r="I497" s="1" t="n">
        <v>43572</v>
      </c>
      <c r="J497" t="inlineStr">
        <is>
          <t>Toronto</t>
        </is>
      </c>
      <c r="K497" t="inlineStr">
        <is>
          <t>Toronto</t>
        </is>
      </c>
      <c r="P497" t="n">
        <v>479.17</v>
      </c>
      <c r="Q497" t="n">
        <v>77.36</v>
      </c>
      <c r="R497" t="n">
        <v>373.72</v>
      </c>
      <c r="S497" t="n">
        <v>193.4</v>
      </c>
      <c r="T497" t="n">
        <v>57.5</v>
      </c>
      <c r="U497" t="n">
        <v>1181.15</v>
      </c>
      <c r="X497" t="inlineStr">
        <is>
          <t>atssc-scdata</t>
        </is>
      </c>
      <c r="Y497" t="inlineStr">
        <is>
          <t>Administrative Tribunals Support Service of Canada | Service canadien d'appui aux tribunaux administratifs</t>
        </is>
      </c>
      <c r="Z497" t="n">
        <v>3</v>
      </c>
      <c r="AA497" t="n">
        <v>1181.15</v>
      </c>
      <c r="AB497">
        <f>ROUND(U497-AA497,2)</f>
        <v/>
      </c>
      <c r="AC497" t="b">
        <v>0</v>
      </c>
      <c r="AD497">
        <f>IF(U497="","MISSING_TOTAL",IF(ABS(AB497)&lt;=0.01,"OK","CHECK"))</f>
        <v/>
      </c>
      <c r="AE497">
        <f>IF(U497="","MISSING",IF(AND(AA497&gt;0,U497/AA497&gt;50),"POSSIBLE_SCALE_ERROR","OK"))</f>
        <v/>
      </c>
    </row>
    <row r="498">
      <c r="A498" t="inlineStr">
        <is>
          <t>T-2019-Q1-028</t>
        </is>
      </c>
      <c r="B498" t="inlineStr">
        <is>
          <t>SLE</t>
        </is>
      </c>
      <c r="C498" t="inlineStr">
        <is>
          <t>Executive Director Canadian Cultural Property Export Review Board</t>
        </is>
      </c>
      <c r="D498" t="inlineStr">
        <is>
          <t>Directrice exécutive Commission canadienne d'examen des exportations de biens culturels</t>
        </is>
      </c>
      <c r="E498" t="inlineStr">
        <is>
          <t>Kim, Mijin</t>
        </is>
      </c>
      <c r="F498" t="inlineStr">
        <is>
          <t>To attend The Papler Art Fair</t>
        </is>
      </c>
      <c r="G498" t="inlineStr">
        <is>
          <t>Assister à la foire d'art de Papler</t>
        </is>
      </c>
      <c r="H498" s="1" t="n">
        <v>43583</v>
      </c>
      <c r="I498" s="1" t="n">
        <v>43583</v>
      </c>
      <c r="J498" t="inlineStr">
        <is>
          <t>Montréal</t>
        </is>
      </c>
      <c r="K498" t="inlineStr">
        <is>
          <t>Montréal</t>
        </is>
      </c>
      <c r="P498" t="n">
        <v>0</v>
      </c>
      <c r="Q498" t="n">
        <v>263.42</v>
      </c>
      <c r="R498" t="n">
        <v>0</v>
      </c>
      <c r="S498" t="n">
        <v>20.1</v>
      </c>
      <c r="T498" t="n">
        <v>28</v>
      </c>
      <c r="U498" t="n">
        <v>311.52</v>
      </c>
      <c r="X498" t="inlineStr">
        <is>
          <t>atssc-scdata</t>
        </is>
      </c>
      <c r="Y498" t="inlineStr">
        <is>
          <t>Administrative Tribunals Support Service of Canada | Service canadien d'appui aux tribunaux administratifs</t>
        </is>
      </c>
      <c r="Z498" t="n">
        <v>1</v>
      </c>
      <c r="AA498" t="n">
        <v>311.52</v>
      </c>
      <c r="AB498">
        <f>ROUND(U498-AA498,2)</f>
        <v/>
      </c>
      <c r="AC498" t="b">
        <v>0</v>
      </c>
      <c r="AD498">
        <f>IF(U498="","MISSING_TOTAL",IF(ABS(AB498)&lt;=0.01,"OK","CHECK"))</f>
        <v/>
      </c>
      <c r="AE498">
        <f>IF(U498="","MISSING",IF(AND(AA498&gt;0,U498/AA498&gt;50),"POSSIBLE_SCALE_ERROR","OK"))</f>
        <v/>
      </c>
    </row>
    <row r="499">
      <c r="A499" t="inlineStr">
        <is>
          <t>T-2019-Q1-029</t>
        </is>
      </c>
      <c r="B499" t="inlineStr">
        <is>
          <t>SLE</t>
        </is>
      </c>
      <c r="C499" t="inlineStr">
        <is>
          <t>Executive Director Canadian Cultural Property Export Review Board</t>
        </is>
      </c>
      <c r="D499" t="inlineStr">
        <is>
          <t>Directrice exécutive Commission canadienne d'examen des exportations de biens culturels</t>
        </is>
      </c>
      <c r="E499" t="inlineStr">
        <is>
          <t>Kim, Mijin</t>
        </is>
      </c>
      <c r="F499" t="inlineStr">
        <is>
          <t>To do a presentation/ consultation with Stakeholders</t>
        </is>
      </c>
      <c r="G499" t="inlineStr">
        <is>
          <t>Faire une présentation / consultation avec les intervenants</t>
        </is>
      </c>
      <c r="H499" s="1" t="n">
        <v>43547</v>
      </c>
      <c r="I499" s="1" t="n">
        <v>43553</v>
      </c>
      <c r="J499" t="inlineStr">
        <is>
          <t>Vancouver</t>
        </is>
      </c>
      <c r="K499" t="inlineStr">
        <is>
          <t>Vancouver</t>
        </is>
      </c>
      <c r="P499" t="n">
        <v>852.97</v>
      </c>
      <c r="Q499" t="n">
        <v>212.3</v>
      </c>
      <c r="R499" t="n">
        <v>379.5</v>
      </c>
      <c r="S499" t="n">
        <v>322.2</v>
      </c>
      <c r="T499" t="n">
        <v>57.6</v>
      </c>
      <c r="U499" t="n">
        <v>1824.57</v>
      </c>
      <c r="X499" t="inlineStr">
        <is>
          <t>atssc-scdata</t>
        </is>
      </c>
      <c r="Y499" t="inlineStr">
        <is>
          <t>Administrative Tribunals Support Service of Canada | Service canadien d'appui aux tribunaux administratifs</t>
        </is>
      </c>
      <c r="Z499" t="n">
        <v>7</v>
      </c>
      <c r="AA499" t="n">
        <v>1824.57</v>
      </c>
      <c r="AB499">
        <f>ROUND(U499-AA499,2)</f>
        <v/>
      </c>
      <c r="AC499" t="b">
        <v>0</v>
      </c>
      <c r="AD499">
        <f>IF(U499="","MISSING_TOTAL",IF(ABS(AB499)&lt;=0.01,"OK","CHECK"))</f>
        <v/>
      </c>
      <c r="AE499">
        <f>IF(U499="","MISSING",IF(AND(AA499&gt;0,U499/AA499&gt;50),"POSSIBLE_SCALE_ERROR","OK"))</f>
        <v/>
      </c>
    </row>
    <row r="500">
      <c r="A500" t="inlineStr">
        <is>
          <t>T-2019-Q1-030</t>
        </is>
      </c>
      <c r="B500" t="inlineStr">
        <is>
          <t>SLE</t>
        </is>
      </c>
      <c r="C500" t="inlineStr">
        <is>
          <t>Executive Director Canadian Cultural Property Export Review Board</t>
        </is>
      </c>
      <c r="D500" t="inlineStr">
        <is>
          <t>Directrice exécutive Commission canadienne d'examen des exportations de biens culturels</t>
        </is>
      </c>
      <c r="E500" t="inlineStr">
        <is>
          <t>Kim, Mijin</t>
        </is>
      </c>
      <c r="F500" t="inlineStr">
        <is>
          <t>To attend CCPERB Board Retreat</t>
        </is>
      </c>
      <c r="G500" t="inlineStr">
        <is>
          <t>Assister à la retraite du conseil de la CCPERB</t>
        </is>
      </c>
      <c r="H500" s="1" t="n">
        <v>43497</v>
      </c>
      <c r="I500" s="1" t="n">
        <v>43499</v>
      </c>
      <c r="J500" t="inlineStr">
        <is>
          <t>Montréal</t>
        </is>
      </c>
      <c r="K500" t="inlineStr">
        <is>
          <t>Montréal</t>
        </is>
      </c>
      <c r="P500" t="n">
        <v>0</v>
      </c>
      <c r="Q500" t="n">
        <v>219.39</v>
      </c>
      <c r="R500" t="n">
        <v>321.7</v>
      </c>
      <c r="S500" t="n">
        <v>201.9</v>
      </c>
      <c r="T500" t="n">
        <v>51</v>
      </c>
      <c r="U500" t="n">
        <v>793.99</v>
      </c>
      <c r="X500" t="inlineStr">
        <is>
          <t>atssc-scdata</t>
        </is>
      </c>
      <c r="Y500" t="inlineStr">
        <is>
          <t>Administrative Tribunals Support Service of Canada | Service canadien d'appui aux tribunaux administratifs</t>
        </is>
      </c>
      <c r="Z500" t="n">
        <v>3</v>
      </c>
      <c r="AA500" t="n">
        <v>793.989999999999</v>
      </c>
      <c r="AB500">
        <f>ROUND(U500-AA500,2)</f>
        <v/>
      </c>
      <c r="AC500" t="b">
        <v>0</v>
      </c>
      <c r="AD500">
        <f>IF(U500="","MISSING_TOTAL",IF(ABS(AB500)&lt;=0.01,"OK","CHECK"))</f>
        <v/>
      </c>
      <c r="AE500">
        <f>IF(U500="","MISSING",IF(AND(AA500&gt;0,U500/AA500&gt;50),"POSSIBLE_SCALE_ERROR","OK"))</f>
        <v/>
      </c>
    </row>
    <row r="501">
      <c r="A501" t="inlineStr">
        <is>
          <t>T-2019-Q1-031</t>
        </is>
      </c>
      <c r="B501" t="inlineStr">
        <is>
          <t>SLE</t>
        </is>
      </c>
      <c r="C501" t="inlineStr">
        <is>
          <t>Chairperson, Transportation Appeal Tribunal of Canada</t>
        </is>
      </c>
      <c r="D501" t="inlineStr">
        <is>
          <t>Président, Tribunal d'appel des transport du Canada</t>
        </is>
      </c>
      <c r="E501" t="inlineStr">
        <is>
          <t>Sullivan, Charles</t>
        </is>
      </c>
      <c r="F501" t="inlineStr">
        <is>
          <t>TATC Hearing H-0023-41</t>
        </is>
      </c>
      <c r="G501" t="inlineStr">
        <is>
          <t>TATC dossier: H-0023-41</t>
        </is>
      </c>
      <c r="H501" s="1" t="n">
        <v>43544</v>
      </c>
      <c r="I501" s="1" t="n">
        <v>43545</v>
      </c>
      <c r="J501" t="inlineStr">
        <is>
          <t>Montreal</t>
        </is>
      </c>
      <c r="K501" t="inlineStr">
        <is>
          <t>Montreal</t>
        </is>
      </c>
      <c r="P501" t="n">
        <v>0</v>
      </c>
      <c r="Q501" t="n">
        <v>337.45</v>
      </c>
      <c r="R501" t="n">
        <v>214.2</v>
      </c>
      <c r="S501" t="n">
        <v>124.7</v>
      </c>
      <c r="T501" t="n">
        <v>0</v>
      </c>
      <c r="U501" t="n">
        <v>676.35</v>
      </c>
      <c r="X501" t="inlineStr">
        <is>
          <t>atssc-scdata</t>
        </is>
      </c>
      <c r="Y501" t="inlineStr">
        <is>
          <t>Administrative Tribunals Support Service of Canada | Service canadien d'appui aux tribunaux administratifs</t>
        </is>
      </c>
      <c r="Z501" t="n">
        <v>2</v>
      </c>
      <c r="AA501" t="n">
        <v>676.35</v>
      </c>
      <c r="AB501">
        <f>ROUND(U501-AA501,2)</f>
        <v/>
      </c>
      <c r="AC501" t="b">
        <v>0</v>
      </c>
      <c r="AD501">
        <f>IF(U501="","MISSING_TOTAL",IF(ABS(AB501)&lt;=0.01,"OK","CHECK"))</f>
        <v/>
      </c>
      <c r="AE501">
        <f>IF(U501="","MISSING",IF(AND(AA501&gt;0,U501/AA501&gt;50),"POSSIBLE_SCALE_ERROR","OK"))</f>
        <v/>
      </c>
    </row>
    <row r="502">
      <c r="A502" t="inlineStr">
        <is>
          <t>T-2019-Q1-032</t>
        </is>
      </c>
      <c r="B502" t="inlineStr">
        <is>
          <t>SLE</t>
        </is>
      </c>
      <c r="C502" t="inlineStr">
        <is>
          <t>Chairperson, Canadian Human Rights Tribunal</t>
        </is>
      </c>
      <c r="D502" t="inlineStr">
        <is>
          <t>Président, Tribunal canadien des droits de la personne</t>
        </is>
      </c>
      <c r="E502" t="inlineStr">
        <is>
          <t>Thomas, David</t>
        </is>
      </c>
      <c r="F502" t="inlineStr">
        <is>
          <t>Mediation: T2265/2018 Robin Lawrence V. Canadian National Railway Company</t>
        </is>
      </c>
      <c r="G502" t="inlineStr">
        <is>
          <t>Médiation: T2265 / 2018, Robin Lawrence V. Compagnie des chemins de fer nationaux du Canada</t>
        </is>
      </c>
      <c r="H502" s="1" t="n">
        <v>43572</v>
      </c>
      <c r="I502" s="1" t="n">
        <v>43579</v>
      </c>
      <c r="J502" t="inlineStr">
        <is>
          <t>Victoria</t>
        </is>
      </c>
      <c r="K502" t="inlineStr">
        <is>
          <t>Victoria</t>
        </is>
      </c>
      <c r="P502" t="n">
        <v>24.82</v>
      </c>
      <c r="Q502" t="n">
        <v>143.39</v>
      </c>
      <c r="R502" t="n">
        <v>316.34</v>
      </c>
      <c r="S502" t="n">
        <v>325.65</v>
      </c>
      <c r="T502" t="n">
        <v>0</v>
      </c>
      <c r="U502" t="n">
        <v>810.2</v>
      </c>
      <c r="X502" t="inlineStr">
        <is>
          <t>atssc-scdata</t>
        </is>
      </c>
      <c r="Y502" t="inlineStr">
        <is>
          <t>Administrative Tribunals Support Service of Canada | Service canadien d'appui aux tribunaux administratifs</t>
        </is>
      </c>
      <c r="Z502" t="n">
        <v>8</v>
      </c>
      <c r="AA502" t="n">
        <v>810.199999999999</v>
      </c>
      <c r="AB502">
        <f>ROUND(U502-AA502,2)</f>
        <v/>
      </c>
      <c r="AC502" t="b">
        <v>0</v>
      </c>
      <c r="AD502">
        <f>IF(U502="","MISSING_TOTAL",IF(ABS(AB502)&lt;=0.01,"OK","CHECK"))</f>
        <v/>
      </c>
      <c r="AE502">
        <f>IF(U502="","MISSING",IF(AND(AA502&gt;0,U502/AA502&gt;50),"POSSIBLE_SCALE_ERROR","OK"))</f>
        <v/>
      </c>
    </row>
    <row r="503">
      <c r="A503" t="inlineStr">
        <is>
          <t>T-2019-Q1-007</t>
        </is>
      </c>
      <c r="B503" t="inlineStr">
        <is>
          <t>SLE</t>
        </is>
      </c>
      <c r="C503" t="inlineStr">
        <is>
          <t>Chairperson, Canada Agricultural Review Tribunal</t>
        </is>
      </c>
      <c r="D503" t="inlineStr">
        <is>
          <t>Président, Commission de révision agricole du Canada</t>
        </is>
      </c>
      <c r="E503" t="inlineStr">
        <is>
          <t>Bélanger, Luc</t>
        </is>
      </c>
      <c r="F503" t="inlineStr">
        <is>
          <t>Attend various meetings on various dates</t>
        </is>
      </c>
      <c r="G503" t="inlineStr">
        <is>
          <t>Assister à divers rencontre à diverse dates</t>
        </is>
      </c>
      <c r="H503" s="1" t="n">
        <v>43556</v>
      </c>
      <c r="I503" s="1" t="n">
        <v>43615</v>
      </c>
      <c r="J503" t="inlineStr">
        <is>
          <t>Ottawa, ON</t>
        </is>
      </c>
      <c r="K503" t="inlineStr">
        <is>
          <t>Ottawa, ON</t>
        </is>
      </c>
      <c r="P503" t="n">
        <v>0</v>
      </c>
      <c r="Q503" t="n">
        <v>0</v>
      </c>
      <c r="R503" t="n">
        <v>0</v>
      </c>
      <c r="S503" t="n">
        <v>0</v>
      </c>
      <c r="T503" t="n">
        <v>950.25</v>
      </c>
      <c r="U503" t="n">
        <v>950.25</v>
      </c>
      <c r="V503" t="inlineStr">
        <is>
          <t>Parking fees reimbursed for  various dates</t>
        </is>
      </c>
      <c r="W503" t="inlineStr">
        <is>
          <t>Frais de stationnement remboursés pour différentes dates</t>
        </is>
      </c>
      <c r="X503" t="inlineStr">
        <is>
          <t>atssc-scdata</t>
        </is>
      </c>
      <c r="Y503" t="inlineStr">
        <is>
          <t>Administrative Tribunals Support Service of Canada | Service canadien d'appui aux tribunaux administratifs</t>
        </is>
      </c>
      <c r="Z503" t="n">
        <v>60</v>
      </c>
      <c r="AA503" t="n">
        <v>950.25</v>
      </c>
      <c r="AB503">
        <f>ROUND(U503-AA503,2)</f>
        <v/>
      </c>
      <c r="AC503" t="b">
        <v>0</v>
      </c>
      <c r="AD503">
        <f>IF(U503="","MISSING_TOTAL",IF(ABS(AB503)&lt;=0.01,"OK","CHECK"))</f>
        <v/>
      </c>
      <c r="AE503">
        <f>IF(U503="","MISSING",IF(AND(AA503&gt;0,U503/AA503&gt;50),"POSSIBLE_SCALE_ERROR","OK"))</f>
        <v/>
      </c>
    </row>
    <row r="504">
      <c r="A504" t="inlineStr">
        <is>
          <t>T-2018-Q3-007</t>
        </is>
      </c>
      <c r="B504" t="inlineStr">
        <is>
          <t>SLE</t>
        </is>
      </c>
      <c r="C504" t="inlineStr">
        <is>
          <t>Chairperson, Canada Industrial Relations Board</t>
        </is>
      </c>
      <c r="D504" t="inlineStr">
        <is>
          <t>Présidente, Conseil canadien des relations industrielles</t>
        </is>
      </c>
      <c r="E504" t="inlineStr">
        <is>
          <t>Brazeau, Ginette</t>
        </is>
      </c>
      <c r="F504" t="inlineStr">
        <is>
          <t>Presentation before the Quebec section of the Canadian Bar Association</t>
        </is>
      </c>
      <c r="G504" t="inlineStr">
        <is>
          <t>Présentation devant la section québécoise de l'Association du Barreau canadien</t>
        </is>
      </c>
      <c r="H504" s="1" t="n">
        <v>43412</v>
      </c>
      <c r="I504" s="1" t="n">
        <v>43412</v>
      </c>
      <c r="J504" t="inlineStr">
        <is>
          <t>Montreal, Quebec</t>
        </is>
      </c>
      <c r="K504" t="inlineStr">
        <is>
          <t>Montréal, Québec</t>
        </is>
      </c>
      <c r="Q504" t="n">
        <v>268.2</v>
      </c>
      <c r="U504" t="n">
        <v>268.2</v>
      </c>
      <c r="X504" t="inlineStr">
        <is>
          <t>atssc-scdata</t>
        </is>
      </c>
      <c r="Y504" t="inlineStr">
        <is>
          <t>Administrative Tribunals Support Service of Canada | Service canadien d'appui aux tribunaux administratifs</t>
        </is>
      </c>
      <c r="Z504" t="n">
        <v>1</v>
      </c>
      <c r="AA504" t="n">
        <v>268.2</v>
      </c>
      <c r="AB504">
        <f>ROUND(U504-AA504,2)</f>
        <v/>
      </c>
      <c r="AC504" t="b">
        <v>0</v>
      </c>
      <c r="AD504">
        <f>IF(U504="","MISSING_TOTAL",IF(ABS(AB504)&lt;=0.01,"OK","CHECK"))</f>
        <v/>
      </c>
      <c r="AE504">
        <f>IF(U504="","MISSING",IF(AND(AA504&gt;0,U504/AA504&gt;50),"POSSIBLE_SCALE_ERROR","OK"))</f>
        <v/>
      </c>
    </row>
    <row r="505">
      <c r="A505" t="inlineStr">
        <is>
          <t>T-2019-P3-0001</t>
        </is>
      </c>
      <c r="B505" t="inlineStr">
        <is>
          <t>SLE</t>
        </is>
      </c>
      <c r="C505" t="inlineStr">
        <is>
          <t>Chairperson</t>
        </is>
      </c>
      <c r="D505" t="inlineStr">
        <is>
          <t>Président</t>
        </is>
      </c>
      <c r="E505" t="inlineStr">
        <is>
          <t>Aterman, Paul</t>
        </is>
      </c>
      <c r="F505" t="inlineStr">
        <is>
          <t>CCAT Symposium</t>
        </is>
      </c>
      <c r="G505" t="inlineStr">
        <is>
          <t>Symposium du CTAC</t>
        </is>
      </c>
      <c r="H505" s="1" t="n">
        <v>43610</v>
      </c>
      <c r="I505" s="1" t="n">
        <v>43613</v>
      </c>
      <c r="J505" t="inlineStr">
        <is>
          <t>Montreal (Quebec) Canada</t>
        </is>
      </c>
      <c r="K505" t="inlineStr">
        <is>
          <t>Montréal (Québec) Canada</t>
        </is>
      </c>
      <c r="P505" t="n">
        <v>0</v>
      </c>
      <c r="Q505" t="n">
        <v>241.96</v>
      </c>
      <c r="R505" t="n">
        <v>464.1</v>
      </c>
      <c r="S505" t="n">
        <v>153.2</v>
      </c>
      <c r="T505" t="n">
        <v>-105</v>
      </c>
      <c r="U505" t="n">
        <v>754.26</v>
      </c>
      <c r="V505" t="inlineStr">
        <is>
          <t>Negative amount in Other expenses is due to Mr. Aterman reimbursing ATSSC</t>
        </is>
      </c>
      <c r="W505" t="inlineStr">
        <is>
          <t>Le montant négatif dans la colonne Autres dépenses est dû au fait que M. Aterman a remboursé SCDATA</t>
        </is>
      </c>
      <c r="X505" t="inlineStr">
        <is>
          <t>atssc-scdata</t>
        </is>
      </c>
      <c r="Y505" t="inlineStr">
        <is>
          <t>Administrative Tribunals Support Service of Canada | Service canadien d'appui aux tribunaux administratifs</t>
        </is>
      </c>
      <c r="Z505" t="n">
        <v>4</v>
      </c>
      <c r="AA505" t="n">
        <v>754.26</v>
      </c>
      <c r="AB505">
        <f>ROUND(U505-AA505,2)</f>
        <v/>
      </c>
      <c r="AC505" t="b">
        <v>0</v>
      </c>
      <c r="AD505">
        <f>IF(U505="","MISSING_TOTAL",IF(ABS(AB505)&lt;=0.01,"OK","CHECK"))</f>
        <v/>
      </c>
      <c r="AE505">
        <f>IF(U505="","MISSING",IF(AND(AA505&gt;0,U505/AA505&gt;50),"POSSIBLE_SCALE_ERROR","OK"))</f>
        <v/>
      </c>
    </row>
    <row r="506">
      <c r="A506" t="inlineStr">
        <is>
          <t>T-2019-P3-0002</t>
        </is>
      </c>
      <c r="B506" t="inlineStr">
        <is>
          <t>SLE</t>
        </is>
      </c>
      <c r="C506" t="inlineStr">
        <is>
          <t>Chairperson</t>
        </is>
      </c>
      <c r="D506" t="inlineStr">
        <is>
          <t>Président</t>
        </is>
      </c>
      <c r="E506" t="inlineStr">
        <is>
          <t>Bélanger, Luc</t>
        </is>
      </c>
      <c r="F506" t="inlineStr">
        <is>
          <t>Attend a conference on edible cannabis and meeting with potential expert witness</t>
        </is>
      </c>
      <c r="G506" t="inlineStr">
        <is>
          <t>Assister à une conférence sur le cannabis comestible et rencontrer un témoin expert potentiel</t>
        </is>
      </c>
      <c r="H506" s="1" t="n">
        <v>43600</v>
      </c>
      <c r="I506" s="1" t="n">
        <v>43601</v>
      </c>
      <c r="J506" t="inlineStr">
        <is>
          <t>Vaudreil (Quebec) Canada</t>
        </is>
      </c>
      <c r="K506" t="inlineStr">
        <is>
          <t>Vaudreil (Québec) Canada</t>
        </is>
      </c>
      <c r="P506" t="n">
        <v>0</v>
      </c>
      <c r="Q506" t="n">
        <v>243.4</v>
      </c>
      <c r="R506" t="n">
        <v>308.21</v>
      </c>
      <c r="S506" t="n">
        <v>145.95</v>
      </c>
      <c r="T506" t="n">
        <v>0</v>
      </c>
      <c r="U506" t="n">
        <v>697.5599999999999</v>
      </c>
      <c r="X506" t="inlineStr">
        <is>
          <t>atssc-scdata</t>
        </is>
      </c>
      <c r="Y506" t="inlineStr">
        <is>
          <t>Administrative Tribunals Support Service of Canada | Service canadien d'appui aux tribunaux administratifs</t>
        </is>
      </c>
      <c r="Z506" t="n">
        <v>2</v>
      </c>
      <c r="AA506" t="n">
        <v>697.5599999999999</v>
      </c>
      <c r="AB506">
        <f>ROUND(U506-AA506,2)</f>
        <v/>
      </c>
      <c r="AC506" t="b">
        <v>0</v>
      </c>
      <c r="AD506">
        <f>IF(U506="","MISSING_TOTAL",IF(ABS(AB506)&lt;=0.01,"OK","CHECK"))</f>
        <v/>
      </c>
      <c r="AE506">
        <f>IF(U506="","MISSING",IF(AND(AA506&gt;0,U506/AA506&gt;50),"POSSIBLE_SCALE_ERROR","OK"))</f>
        <v/>
      </c>
    </row>
    <row r="507">
      <c r="A507" t="inlineStr">
        <is>
          <t>T-2019-P3-0003</t>
        </is>
      </c>
      <c r="B507" t="inlineStr">
        <is>
          <t>SLE</t>
        </is>
      </c>
      <c r="C507" t="inlineStr">
        <is>
          <t>Chairperson</t>
        </is>
      </c>
      <c r="D507" t="inlineStr">
        <is>
          <t>Président</t>
        </is>
      </c>
      <c r="E507" t="inlineStr">
        <is>
          <t>Bélanger, Luc</t>
        </is>
      </c>
      <c r="F507" t="inlineStr">
        <is>
          <t>CCAT Symposium</t>
        </is>
      </c>
      <c r="G507" t="inlineStr">
        <is>
          <t>Symposium du CTAC</t>
        </is>
      </c>
      <c r="H507" s="1" t="n">
        <v>43611</v>
      </c>
      <c r="I507" s="1" t="n">
        <v>43614</v>
      </c>
      <c r="J507" t="inlineStr">
        <is>
          <t>Montreal (Quebec) Canada</t>
        </is>
      </c>
      <c r="K507" t="inlineStr">
        <is>
          <t>Montréal (Québec) Canada</t>
        </is>
      </c>
      <c r="P507" t="n">
        <v>0</v>
      </c>
      <c r="Q507" t="n">
        <v>155.9</v>
      </c>
      <c r="R507" t="n">
        <v>473.64</v>
      </c>
      <c r="S507" t="n">
        <v>173.3</v>
      </c>
      <c r="T507" t="n">
        <v>0</v>
      </c>
      <c r="U507" t="n">
        <v>802.84</v>
      </c>
      <c r="X507" t="inlineStr">
        <is>
          <t>atssc-scdata</t>
        </is>
      </c>
      <c r="Y507" t="inlineStr">
        <is>
          <t>Administrative Tribunals Support Service of Canada | Service canadien d'appui aux tribunaux administratifs</t>
        </is>
      </c>
      <c r="Z507" t="n">
        <v>4</v>
      </c>
      <c r="AA507" t="n">
        <v>802.839999999999</v>
      </c>
      <c r="AB507">
        <f>ROUND(U507-AA507,2)</f>
        <v/>
      </c>
      <c r="AC507" t="b">
        <v>0</v>
      </c>
      <c r="AD507">
        <f>IF(U507="","MISSING_TOTAL",IF(ABS(AB507)&lt;=0.01,"OK","CHECK"))</f>
        <v/>
      </c>
      <c r="AE507">
        <f>IF(U507="","MISSING",IF(AND(AA507&gt;0,U507/AA507&gt;50),"POSSIBLE_SCALE_ERROR","OK"))</f>
        <v/>
      </c>
    </row>
    <row r="508">
      <c r="A508" t="inlineStr">
        <is>
          <t>T-2019-P3-0004</t>
        </is>
      </c>
      <c r="B508" t="inlineStr">
        <is>
          <t>SLE</t>
        </is>
      </c>
      <c r="C508" t="inlineStr">
        <is>
          <t>Chairperson</t>
        </is>
      </c>
      <c r="D508" t="inlineStr">
        <is>
          <t>Président</t>
        </is>
      </c>
      <c r="E508" t="inlineStr">
        <is>
          <t>Bélanger, Luc</t>
        </is>
      </c>
      <c r="F508" t="inlineStr">
        <is>
          <t>Operational Meeting after CCAT Symposium</t>
        </is>
      </c>
      <c r="G508" t="inlineStr">
        <is>
          <t>Réunion opérationnelle après le symposium du CTAC</t>
        </is>
      </c>
      <c r="H508" s="1" t="n">
        <v>43613</v>
      </c>
      <c r="I508" s="1" t="n">
        <v>43614</v>
      </c>
      <c r="J508" t="inlineStr">
        <is>
          <t>Montreal (Quebec) Canada</t>
        </is>
      </c>
      <c r="K508" t="inlineStr">
        <is>
          <t>Montréal (Québec) Canada</t>
        </is>
      </c>
      <c r="P508" t="n">
        <v>0</v>
      </c>
      <c r="Q508" t="n">
        <v>26.5</v>
      </c>
      <c r="R508" t="n">
        <v>236.82</v>
      </c>
      <c r="S508" t="n">
        <v>108.55</v>
      </c>
      <c r="T508" t="n">
        <v>0</v>
      </c>
      <c r="U508" t="n">
        <v>371.87</v>
      </c>
      <c r="X508" t="inlineStr">
        <is>
          <t>atssc-scdata</t>
        </is>
      </c>
      <c r="Y508" t="inlineStr">
        <is>
          <t>Administrative Tribunals Support Service of Canada | Service canadien d'appui aux tribunaux administratifs</t>
        </is>
      </c>
      <c r="Z508" t="n">
        <v>2</v>
      </c>
      <c r="AA508" t="n">
        <v>371.87</v>
      </c>
      <c r="AB508">
        <f>ROUND(U508-AA508,2)</f>
        <v/>
      </c>
      <c r="AC508" t="b">
        <v>0</v>
      </c>
      <c r="AD508">
        <f>IF(U508="","MISSING_TOTAL",IF(ABS(AB508)&lt;=0.01,"OK","CHECK"))</f>
        <v/>
      </c>
      <c r="AE508">
        <f>IF(U508="","MISSING",IF(AND(AA508&gt;0,U508/AA508&gt;50),"POSSIBLE_SCALE_ERROR","OK"))</f>
        <v/>
      </c>
    </row>
    <row r="509">
      <c r="A509" t="inlineStr">
        <is>
          <t>T-2019-P3-0005</t>
        </is>
      </c>
      <c r="B509" t="inlineStr">
        <is>
          <t>SLE</t>
        </is>
      </c>
      <c r="C509" t="inlineStr">
        <is>
          <t>Chairperson</t>
        </is>
      </c>
      <c r="D509" t="inlineStr">
        <is>
          <t>Président</t>
        </is>
      </c>
      <c r="E509" t="inlineStr">
        <is>
          <t>Brazeau, Ginette</t>
        </is>
      </c>
      <c r="F509" t="inlineStr">
        <is>
          <t>CCAT Symposium</t>
        </is>
      </c>
      <c r="G509" t="inlineStr">
        <is>
          <t>Symposium du CTAC</t>
        </is>
      </c>
      <c r="H509" s="1" t="n">
        <v>43610</v>
      </c>
      <c r="I509" s="1" t="n">
        <v>43612</v>
      </c>
      <c r="J509" t="inlineStr">
        <is>
          <t>Montreal (Quebec) Canada</t>
        </is>
      </c>
      <c r="K509" t="inlineStr">
        <is>
          <t>Montréal (Québec) Canada</t>
        </is>
      </c>
      <c r="P509" t="n">
        <v>0</v>
      </c>
      <c r="Q509" t="n">
        <v>206.53</v>
      </c>
      <c r="R509" t="n">
        <v>817.53</v>
      </c>
      <c r="S509" t="n">
        <v>170.5</v>
      </c>
      <c r="T509" t="n">
        <v>0</v>
      </c>
      <c r="U509" t="n">
        <v>1194.56</v>
      </c>
      <c r="X509" t="inlineStr">
        <is>
          <t>atssc-scdata</t>
        </is>
      </c>
      <c r="Y509" t="inlineStr">
        <is>
          <t>Administrative Tribunals Support Service of Canada | Service canadien d'appui aux tribunaux administratifs</t>
        </is>
      </c>
      <c r="Z509" t="n">
        <v>3</v>
      </c>
      <c r="AA509" t="n">
        <v>1194.56</v>
      </c>
      <c r="AB509">
        <f>ROUND(U509-AA509,2)</f>
        <v/>
      </c>
      <c r="AC509" t="b">
        <v>0</v>
      </c>
      <c r="AD509">
        <f>IF(U509="","MISSING_TOTAL",IF(ABS(AB509)&lt;=0.01,"OK","CHECK"))</f>
        <v/>
      </c>
      <c r="AE509">
        <f>IF(U509="","MISSING",IF(AND(AA509&gt;0,U509/AA509&gt;50),"POSSIBLE_SCALE_ERROR","OK"))</f>
        <v/>
      </c>
    </row>
    <row r="510">
      <c r="A510" t="inlineStr">
        <is>
          <t>T-2019-P3-0006</t>
        </is>
      </c>
      <c r="B510" t="inlineStr">
        <is>
          <t>SLE</t>
        </is>
      </c>
      <c r="C510" t="inlineStr">
        <is>
          <t>Chairperson</t>
        </is>
      </c>
      <c r="D510" t="inlineStr">
        <is>
          <t>Président</t>
        </is>
      </c>
      <c r="E510" t="inlineStr">
        <is>
          <t>Brazeau, Ginette</t>
        </is>
      </c>
      <c r="F510" t="inlineStr">
        <is>
          <t>2019 National Academy of Arbitrators (NAA) Annual Meeting</t>
        </is>
      </c>
      <c r="G510" t="inlineStr">
        <is>
          <t>Assemblée annuelle de la National Academy of Arbitrators (NAA) de 2019</t>
        </is>
      </c>
      <c r="H510" s="1" t="n">
        <v>43614</v>
      </c>
      <c r="I510" s="1" t="n">
        <v>43617</v>
      </c>
      <c r="J510" t="inlineStr">
        <is>
          <t>Philadelphia (PA) USA</t>
        </is>
      </c>
      <c r="K510" t="inlineStr">
        <is>
          <t>Philadelphia (PA) USA</t>
        </is>
      </c>
      <c r="P510" t="n">
        <v>813.27</v>
      </c>
      <c r="Q510" t="n">
        <v>89.22</v>
      </c>
      <c r="R510" t="n">
        <v>928.47</v>
      </c>
      <c r="S510" t="n">
        <v>282.45</v>
      </c>
      <c r="T510" t="n">
        <v>0</v>
      </c>
      <c r="U510" t="n">
        <v>2113.41</v>
      </c>
      <c r="X510" t="inlineStr">
        <is>
          <t>atssc-scdata</t>
        </is>
      </c>
      <c r="Y510" t="inlineStr">
        <is>
          <t>Administrative Tribunals Support Service of Canada | Service canadien d'appui aux tribunaux administratifs</t>
        </is>
      </c>
      <c r="Z510" t="n">
        <v>4</v>
      </c>
      <c r="AA510" t="n">
        <v>2113.41</v>
      </c>
      <c r="AB510">
        <f>ROUND(U510-AA510,2)</f>
        <v/>
      </c>
      <c r="AC510" t="b">
        <v>0</v>
      </c>
      <c r="AD510">
        <f>IF(U510="","MISSING_TOTAL",IF(ABS(AB510)&lt;=0.01,"OK","CHECK"))</f>
        <v/>
      </c>
      <c r="AE510">
        <f>IF(U510="","MISSING",IF(AND(AA510&gt;0,U510/AA510&gt;50),"POSSIBLE_SCALE_ERROR","OK"))</f>
        <v/>
      </c>
    </row>
    <row r="511">
      <c r="A511" t="inlineStr">
        <is>
          <t>T-2019-P3-0007</t>
        </is>
      </c>
      <c r="B511" t="inlineStr">
        <is>
          <t>SLE</t>
        </is>
      </c>
      <c r="C511" t="inlineStr">
        <is>
          <t>Chairperson</t>
        </is>
      </c>
      <c r="D511" t="inlineStr">
        <is>
          <t>Président</t>
        </is>
      </c>
      <c r="E511" t="inlineStr">
        <is>
          <t>Brazeau, Ginette</t>
        </is>
      </c>
      <c r="F511" t="inlineStr">
        <is>
          <t>Toronto Speak: CLCW Advisory Committee Meeting - What are the most Fundamental challenges Facing Canadian Workplace Law Today?</t>
        </is>
      </c>
      <c r="G511" t="inlineStr">
        <is>
          <t>Toronto Speak: Réunion du comité consultatif du CLCW - Quels sont les défis les plus fondamentaux auxquels le droit du travail canadien fait face aujourd'hui?</t>
        </is>
      </c>
      <c r="H511" s="1" t="n">
        <v>43633</v>
      </c>
      <c r="I511" s="1" t="n">
        <v>43634</v>
      </c>
      <c r="J511" t="inlineStr">
        <is>
          <t>Toronto (Ontario) Canada</t>
        </is>
      </c>
      <c r="K511" t="inlineStr">
        <is>
          <t>Toronto (Ontario) Canada</t>
        </is>
      </c>
      <c r="P511" t="n">
        <v>495.07</v>
      </c>
      <c r="Q511" t="n">
        <v>89.69</v>
      </c>
      <c r="R511" t="n">
        <v>233.86</v>
      </c>
      <c r="S511" t="n">
        <v>125.85</v>
      </c>
      <c r="T511" t="n">
        <v>0</v>
      </c>
      <c r="U511" t="n">
        <v>944.47</v>
      </c>
      <c r="X511" t="inlineStr">
        <is>
          <t>atssc-scdata</t>
        </is>
      </c>
      <c r="Y511" t="inlineStr">
        <is>
          <t>Administrative Tribunals Support Service of Canada | Service canadien d'appui aux tribunaux administratifs</t>
        </is>
      </c>
      <c r="Z511" t="n">
        <v>2</v>
      </c>
      <c r="AA511" t="n">
        <v>944.47</v>
      </c>
      <c r="AB511">
        <f>ROUND(U511-AA511,2)</f>
        <v/>
      </c>
      <c r="AC511" t="b">
        <v>0</v>
      </c>
      <c r="AD511">
        <f>IF(U511="","MISSING_TOTAL",IF(ABS(AB511)&lt;=0.01,"OK","CHECK"))</f>
        <v/>
      </c>
      <c r="AE511">
        <f>IF(U511="","MISSING",IF(AND(AA511&gt;0,U511/AA511&gt;50),"POSSIBLE_SCALE_ERROR","OK"))</f>
        <v/>
      </c>
    </row>
    <row r="512">
      <c r="A512" t="inlineStr">
        <is>
          <t>T-2019-P3-0008</t>
        </is>
      </c>
      <c r="B512" t="inlineStr">
        <is>
          <t>SLE</t>
        </is>
      </c>
      <c r="C512" t="inlineStr">
        <is>
          <t>Chairperson</t>
        </is>
      </c>
      <c r="D512" t="inlineStr">
        <is>
          <t>Président</t>
        </is>
      </c>
      <c r="E512" t="inlineStr">
        <is>
          <t>Brazeau, Ginette</t>
        </is>
      </c>
      <c r="F512" t="inlineStr">
        <is>
          <t>Toronto - Cancelled trip 
The hearing was rescheduled at request of the parties</t>
        </is>
      </c>
      <c r="G512" t="inlineStr">
        <is>
          <t>Toronto - Voyage annullé
L'audience a été reportée suite à la demande des parties</t>
        </is>
      </c>
      <c r="H512" s="1" t="n">
        <v>43637</v>
      </c>
      <c r="I512" s="1" t="n">
        <v>43637</v>
      </c>
      <c r="J512" t="inlineStr">
        <is>
          <t>Toronto (Ontario) Canada</t>
        </is>
      </c>
      <c r="K512" t="inlineStr">
        <is>
          <t>Toronto (Ontario) Canada</t>
        </is>
      </c>
      <c r="P512" t="n">
        <v>560.0700000000001</v>
      </c>
      <c r="Q512" t="n">
        <v>0</v>
      </c>
      <c r="R512" t="n">
        <v>0</v>
      </c>
      <c r="S512" t="n">
        <v>0</v>
      </c>
      <c r="T512" t="n">
        <v>113</v>
      </c>
      <c r="U512" t="n">
        <v>673.0700000000001</v>
      </c>
      <c r="V512" t="inlineStr">
        <is>
          <t>Porter Credit available is $560.07 
Cancellation Fee is $113.00</t>
        </is>
      </c>
      <c r="W512" t="inlineStr">
        <is>
          <t>Crédit de 560,07$ de Porter est disponible
Les frais d'annulation sont de 113,00$</t>
        </is>
      </c>
      <c r="X512" t="inlineStr">
        <is>
          <t>atssc-scdata</t>
        </is>
      </c>
      <c r="Y512" t="inlineStr">
        <is>
          <t>Administrative Tribunals Support Service of Canada | Service canadien d'appui aux tribunaux administratifs</t>
        </is>
      </c>
      <c r="Z512" t="n">
        <v>1</v>
      </c>
      <c r="AA512" t="n">
        <v>673.0700000000001</v>
      </c>
      <c r="AB512">
        <f>ROUND(U512-AA512,2)</f>
        <v/>
      </c>
      <c r="AC512" t="b">
        <v>0</v>
      </c>
      <c r="AD512">
        <f>IF(U512="","MISSING_TOTAL",IF(ABS(AB512)&lt;=0.01,"OK","CHECK"))</f>
        <v/>
      </c>
      <c r="AE512">
        <f>IF(U512="","MISSING",IF(AND(AA512&gt;0,U512/AA512&gt;50),"POSSIBLE_SCALE_ERROR","OK"))</f>
        <v/>
      </c>
    </row>
    <row r="513">
      <c r="A513" t="inlineStr">
        <is>
          <t>T-2019-P3-0009</t>
        </is>
      </c>
      <c r="B513" t="inlineStr">
        <is>
          <t>SLE</t>
        </is>
      </c>
      <c r="C513" t="inlineStr">
        <is>
          <t>Director General</t>
        </is>
      </c>
      <c r="D513" t="inlineStr">
        <is>
          <t>Directeur général</t>
        </is>
      </c>
      <c r="E513" t="inlineStr">
        <is>
          <t>Campbell, Stuart</t>
        </is>
      </c>
      <c r="F513" t="inlineStr">
        <is>
          <t>The Gartner IT Symposium</t>
        </is>
      </c>
      <c r="G513" t="inlineStr">
        <is>
          <t>Le symposium Gartner sur l'informatique</t>
        </is>
      </c>
      <c r="H513" s="1" t="n">
        <v>43618</v>
      </c>
      <c r="I513" s="1" t="n">
        <v>43622</v>
      </c>
      <c r="J513" t="inlineStr">
        <is>
          <t>Toronto (Ontario) Canada</t>
        </is>
      </c>
      <c r="K513" t="inlineStr">
        <is>
          <t>Toronto (Ontario) Canada</t>
        </is>
      </c>
      <c r="P513" t="n">
        <v>0</v>
      </c>
      <c r="Q513" t="n">
        <v>302.95</v>
      </c>
      <c r="R513" t="n">
        <v>1076.48</v>
      </c>
      <c r="S513" t="n">
        <v>279.05</v>
      </c>
      <c r="T513" t="n">
        <v>0</v>
      </c>
      <c r="U513" t="n">
        <v>1658.48</v>
      </c>
      <c r="X513" t="inlineStr">
        <is>
          <t>atssc-scdata</t>
        </is>
      </c>
      <c r="Y513" t="inlineStr">
        <is>
          <t>Administrative Tribunals Support Service of Canada | Service canadien d'appui aux tribunaux administratifs</t>
        </is>
      </c>
      <c r="Z513" t="n">
        <v>5</v>
      </c>
      <c r="AA513" t="n">
        <v>1658.48</v>
      </c>
      <c r="AB513">
        <f>ROUND(U513-AA513,2)</f>
        <v/>
      </c>
      <c r="AC513" t="b">
        <v>0</v>
      </c>
      <c r="AD513">
        <f>IF(U513="","MISSING_TOTAL",IF(ABS(AB513)&lt;=0.01,"OK","CHECK"))</f>
        <v/>
      </c>
      <c r="AE513">
        <f>IF(U513="","MISSING",IF(AND(AA513&gt;0,U513/AA513&gt;50),"POSSIBLE_SCALE_ERROR","OK"))</f>
        <v/>
      </c>
    </row>
    <row r="514">
      <c r="A514" t="inlineStr">
        <is>
          <t>T-2019-P3-0010</t>
        </is>
      </c>
      <c r="B514" t="inlineStr">
        <is>
          <t>SLE</t>
        </is>
      </c>
      <c r="C514" t="inlineStr">
        <is>
          <t>Deputy Chief Administrator</t>
        </is>
      </c>
      <c r="D514" t="inlineStr">
        <is>
          <t>Administrateur en chef adjoint</t>
        </is>
      </c>
      <c r="E514" t="inlineStr">
        <is>
          <t>Covelli, Nick</t>
        </is>
      </c>
      <c r="F514" t="inlineStr">
        <is>
          <t>CCAT Symposium</t>
        </is>
      </c>
      <c r="G514" t="inlineStr">
        <is>
          <t>Symposium du CTAC</t>
        </is>
      </c>
      <c r="H514" s="1" t="n">
        <v>43611</v>
      </c>
      <c r="I514" s="1" t="n">
        <v>43613</v>
      </c>
      <c r="J514" t="inlineStr">
        <is>
          <t>Montreal (Quebec) Canada</t>
        </is>
      </c>
      <c r="K514" t="inlineStr">
        <is>
          <t>Montréal (Québec) Canada</t>
        </is>
      </c>
      <c r="P514" t="n">
        <v>0</v>
      </c>
      <c r="Q514" t="n">
        <v>231.33</v>
      </c>
      <c r="R514" t="n">
        <v>817.53</v>
      </c>
      <c r="S514" t="n">
        <v>223.95</v>
      </c>
      <c r="T514" t="n">
        <v>0</v>
      </c>
      <c r="U514" t="n">
        <v>1272.81</v>
      </c>
      <c r="V514" t="inlineStr">
        <is>
          <t>Mr. Covelli was replacing Mrs. Catherine Ebbs</t>
        </is>
      </c>
      <c r="W514" t="inlineStr">
        <is>
          <t>M. Covelli remplaçait Mme Catherine Ebbs</t>
        </is>
      </c>
      <c r="X514" t="inlineStr">
        <is>
          <t>atssc-scdata</t>
        </is>
      </c>
      <c r="Y514" t="inlineStr">
        <is>
          <t>Administrative Tribunals Support Service of Canada | Service canadien d'appui aux tribunaux administratifs</t>
        </is>
      </c>
      <c r="Z514" t="n">
        <v>3</v>
      </c>
      <c r="AA514" t="n">
        <v>1272.81</v>
      </c>
      <c r="AB514">
        <f>ROUND(U514-AA514,2)</f>
        <v/>
      </c>
      <c r="AC514" t="b">
        <v>0</v>
      </c>
      <c r="AD514">
        <f>IF(U514="","MISSING_TOTAL",IF(ABS(AB514)&lt;=0.01,"OK","CHECK"))</f>
        <v/>
      </c>
      <c r="AE514">
        <f>IF(U514="","MISSING",IF(AND(AA514&gt;0,U514/AA514&gt;50),"POSSIBLE_SCALE_ERROR","OK"))</f>
        <v/>
      </c>
    </row>
    <row r="515">
      <c r="A515" t="inlineStr">
        <is>
          <t>T-2019-P3-0011</t>
        </is>
      </c>
      <c r="B515" t="inlineStr">
        <is>
          <t>SLE</t>
        </is>
      </c>
      <c r="C515" t="inlineStr">
        <is>
          <t>Executive Director</t>
        </is>
      </c>
      <c r="D515" t="inlineStr">
        <is>
          <t>Directrice éxecutive</t>
        </is>
      </c>
      <c r="E515" t="inlineStr">
        <is>
          <t>Kim, Mijin</t>
        </is>
      </c>
      <c r="F515" t="inlineStr">
        <is>
          <t>Event: Taking it to the People: 2019 Sumit on the Value of Galleries, Libraries, Archives and Museums</t>
        </is>
      </c>
      <c r="G515" t="inlineStr">
        <is>
          <t>Evénement: le rendre populaire: le bilan de 2019 sur la valeur des galeries, des bibliothèques, des archives et des musées</t>
        </is>
      </c>
      <c r="H515" s="1" t="n">
        <v>43597</v>
      </c>
      <c r="I515" s="1" t="n">
        <v>43598</v>
      </c>
      <c r="J515" t="inlineStr">
        <is>
          <t>Montreal (Quebec) Canada</t>
        </is>
      </c>
      <c r="K515" t="inlineStr">
        <is>
          <t>Montréal (Québec) Canada</t>
        </is>
      </c>
      <c r="P515" t="n">
        <v>0</v>
      </c>
      <c r="Q515" t="n">
        <v>253.27</v>
      </c>
      <c r="R515" t="n">
        <v>160.96</v>
      </c>
      <c r="S515" t="n">
        <v>85.25</v>
      </c>
      <c r="T515" t="n">
        <v>0</v>
      </c>
      <c r="U515" t="n">
        <v>499.48</v>
      </c>
      <c r="X515" t="inlineStr">
        <is>
          <t>atssc-scdata</t>
        </is>
      </c>
      <c r="Y515" t="inlineStr">
        <is>
          <t>Administrative Tribunals Support Service of Canada | Service canadien d'appui aux tribunaux administratifs</t>
        </is>
      </c>
      <c r="Z515" t="n">
        <v>2</v>
      </c>
      <c r="AA515" t="n">
        <v>499.48</v>
      </c>
      <c r="AB515">
        <f>ROUND(U515-AA515,2)</f>
        <v/>
      </c>
      <c r="AC515" t="b">
        <v>0</v>
      </c>
      <c r="AD515">
        <f>IF(U515="","MISSING_TOTAL",IF(ABS(AB515)&lt;=0.01,"OK","CHECK"))</f>
        <v/>
      </c>
      <c r="AE515">
        <f>IF(U515="","MISSING",IF(AND(AA515&gt;0,U515/AA515&gt;50),"POSSIBLE_SCALE_ERROR","OK"))</f>
        <v/>
      </c>
    </row>
    <row r="516">
      <c r="A516" t="inlineStr">
        <is>
          <t>T-2019-P3-0012</t>
        </is>
      </c>
      <c r="B516" t="inlineStr">
        <is>
          <t>SLE</t>
        </is>
      </c>
      <c r="C516" t="inlineStr">
        <is>
          <t>Chairperson</t>
        </is>
      </c>
      <c r="D516" t="inlineStr">
        <is>
          <t>Président</t>
        </is>
      </c>
      <c r="E516" t="inlineStr">
        <is>
          <t>Thomas, David</t>
        </is>
      </c>
      <c r="F516" t="inlineStr">
        <is>
          <t>CCAT Symposium</t>
        </is>
      </c>
      <c r="G516" t="inlineStr">
        <is>
          <t>Symposium du CTAC</t>
        </is>
      </c>
      <c r="H516" s="1" t="n">
        <v>43611</v>
      </c>
      <c r="I516" s="1" t="n">
        <v>43613</v>
      </c>
      <c r="J516" t="inlineStr">
        <is>
          <t>Montreal (Quebec) Canada</t>
        </is>
      </c>
      <c r="K516" t="inlineStr">
        <is>
          <t>Montréal (Québec) Canada</t>
        </is>
      </c>
      <c r="P516" t="n">
        <v>0</v>
      </c>
      <c r="Q516" t="n">
        <v>190.85</v>
      </c>
      <c r="R516" t="n">
        <v>224.91</v>
      </c>
      <c r="S516" t="n">
        <v>55.1</v>
      </c>
      <c r="T516" t="n">
        <v>0</v>
      </c>
      <c r="U516" t="n">
        <v>470.86</v>
      </c>
      <c r="X516" t="inlineStr">
        <is>
          <t>atssc-scdata</t>
        </is>
      </c>
      <c r="Y516" t="inlineStr">
        <is>
          <t>Administrative Tribunals Support Service of Canada | Service canadien d'appui aux tribunaux administratifs</t>
        </is>
      </c>
      <c r="Z516" t="n">
        <v>3</v>
      </c>
      <c r="AA516" t="n">
        <v>470.86</v>
      </c>
      <c r="AB516">
        <f>ROUND(U516-AA516,2)</f>
        <v/>
      </c>
      <c r="AC516" t="b">
        <v>0</v>
      </c>
      <c r="AD516">
        <f>IF(U516="","MISSING_TOTAL",IF(ABS(AB516)&lt;=0.01,"OK","CHECK"))</f>
        <v/>
      </c>
      <c r="AE516">
        <f>IF(U516="","MISSING",IF(AND(AA516&gt;0,U516/AA516&gt;50),"POSSIBLE_SCALE_ERROR","OK"))</f>
        <v/>
      </c>
    </row>
    <row r="517">
      <c r="A517" t="inlineStr">
        <is>
          <t>T-2019-P4-0001</t>
        </is>
      </c>
      <c r="B517" t="inlineStr">
        <is>
          <t>SLE</t>
        </is>
      </c>
      <c r="C517" t="inlineStr">
        <is>
          <t>Chairperson</t>
        </is>
      </c>
      <c r="D517" t="inlineStr">
        <is>
          <t>Président</t>
        </is>
      </c>
      <c r="E517" t="inlineStr">
        <is>
          <t>Bélanger, Luc</t>
        </is>
      </c>
      <c r="F517" t="inlineStr">
        <is>
          <t>Meeting for work</t>
        </is>
      </c>
      <c r="G517" t="inlineStr">
        <is>
          <t>Rencontre de travail</t>
        </is>
      </c>
      <c r="H517" s="1" t="n">
        <v>43633</v>
      </c>
      <c r="I517" s="1" t="n">
        <v>43637</v>
      </c>
      <c r="J517" t="inlineStr">
        <is>
          <t>Halifax, N.S. &amp; Quebec, Quebec, Canada</t>
        </is>
      </c>
      <c r="K517" t="inlineStr">
        <is>
          <t>Halifax, N.-É. &amp; Québec, Québec, Canada</t>
        </is>
      </c>
      <c r="P517" t="n">
        <v>1190.9</v>
      </c>
      <c r="Q517" t="n">
        <v>671.6900000000001</v>
      </c>
      <c r="R517" t="n">
        <v>917.0599999999999</v>
      </c>
      <c r="S517" t="n">
        <v>451.5</v>
      </c>
      <c r="T517" t="n">
        <v>0</v>
      </c>
      <c r="U517" t="n">
        <v>3231.15</v>
      </c>
      <c r="V517" t="inlineStr">
        <is>
          <t>The flight from Montreal to Quebec City had technical issues and had to return to Montreal - Car rental was arranged to attend the meeting. A credit of $25.00 will be issued by Air Canada</t>
        </is>
      </c>
      <c r="W517" t="inlineStr">
        <is>
          <t>Le vol Montréal-Québec posait des problèmes techniques et devait retourner à Montréal. Un service de location de voiture a été réservé pour assister à la réunion. Un crédit de 25.00$ sera émi par Air Canada</t>
        </is>
      </c>
      <c r="X517" t="inlineStr">
        <is>
          <t>atssc-scdata</t>
        </is>
      </c>
      <c r="Y517" t="inlineStr">
        <is>
          <t>Administrative Tribunals Support Service of Canada | Service canadien d'appui aux tribunaux administratifs</t>
        </is>
      </c>
      <c r="Z517" t="n">
        <v>5</v>
      </c>
      <c r="AA517" t="n">
        <v>3231.15</v>
      </c>
      <c r="AB517">
        <f>ROUND(U517-AA517,2)</f>
        <v/>
      </c>
      <c r="AC517" t="b">
        <v>0</v>
      </c>
      <c r="AD517">
        <f>IF(U517="","MISSING_TOTAL",IF(ABS(AB517)&lt;=0.01,"OK","CHECK"))</f>
        <v/>
      </c>
      <c r="AE517">
        <f>IF(U517="","MISSING",IF(AND(AA517&gt;0,U517/AA517&gt;50),"POSSIBLE_SCALE_ERROR","OK"))</f>
        <v/>
      </c>
    </row>
    <row r="518">
      <c r="A518" t="inlineStr">
        <is>
          <t>T-2019-P4-0002</t>
        </is>
      </c>
      <c r="B518" t="inlineStr">
        <is>
          <t>SLE</t>
        </is>
      </c>
      <c r="C518" t="inlineStr">
        <is>
          <t>Chairperson</t>
        </is>
      </c>
      <c r="D518" t="inlineStr">
        <is>
          <t>Président</t>
        </is>
      </c>
      <c r="E518" t="inlineStr">
        <is>
          <t>Bélanger, Luc</t>
        </is>
      </c>
      <c r="F518" t="inlineStr">
        <is>
          <t>Meeting with expert</t>
        </is>
      </c>
      <c r="G518" t="inlineStr">
        <is>
          <t>Rencontre avec un expert</t>
        </is>
      </c>
      <c r="H518" s="1" t="n">
        <v>43629</v>
      </c>
      <c r="I518" s="1" t="n">
        <v>43631</v>
      </c>
      <c r="J518" t="inlineStr">
        <is>
          <t>Toronto, Ontario, Canada</t>
        </is>
      </c>
      <c r="K518" t="inlineStr">
        <is>
          <t>Toronto, Ontario, Canada</t>
        </is>
      </c>
      <c r="Q518" t="n">
        <v>626.8200000000001</v>
      </c>
      <c r="R518" t="n">
        <v>467.72</v>
      </c>
      <c r="S518" t="n">
        <v>304.25</v>
      </c>
      <c r="T518" t="n">
        <v>0</v>
      </c>
      <c r="U518" t="n">
        <v>1398.79</v>
      </c>
      <c r="X518" t="inlineStr">
        <is>
          <t>atssc-scdata</t>
        </is>
      </c>
      <c r="Y518" t="inlineStr">
        <is>
          <t>Administrative Tribunals Support Service of Canada | Service canadien d'appui aux tribunaux administratifs</t>
        </is>
      </c>
      <c r="Z518" t="n">
        <v>3</v>
      </c>
      <c r="AA518" t="n">
        <v>1398.79</v>
      </c>
      <c r="AB518">
        <f>ROUND(U518-AA518,2)</f>
        <v/>
      </c>
      <c r="AC518" t="b">
        <v>0</v>
      </c>
      <c r="AD518">
        <f>IF(U518="","MISSING_TOTAL",IF(ABS(AB518)&lt;=0.01,"OK","CHECK"))</f>
        <v/>
      </c>
      <c r="AE518">
        <f>IF(U518="","MISSING",IF(AND(AA518&gt;0,U518/AA518&gt;50),"POSSIBLE_SCALE_ERROR","OK"))</f>
        <v/>
      </c>
    </row>
    <row r="519">
      <c r="A519" t="inlineStr">
        <is>
          <t>T-2019-P4-0003</t>
        </is>
      </c>
      <c r="B519" t="inlineStr">
        <is>
          <t>SLE</t>
        </is>
      </c>
      <c r="C519" t="inlineStr">
        <is>
          <t>Chairperson</t>
        </is>
      </c>
      <c r="D519" t="inlineStr">
        <is>
          <t>Président</t>
        </is>
      </c>
      <c r="E519" t="inlineStr">
        <is>
          <t>Brazeau, Ginette</t>
        </is>
      </c>
      <c r="F519" t="inlineStr">
        <is>
          <t>Case Management Meeting with parties</t>
        </is>
      </c>
      <c r="G519" t="inlineStr">
        <is>
          <t>Réunion de gestion de cas avec les parties</t>
        </is>
      </c>
      <c r="H519" s="1" t="n">
        <v>43658</v>
      </c>
      <c r="I519" s="1" t="n">
        <v>43658</v>
      </c>
      <c r="J519" t="inlineStr">
        <is>
          <t>Montreal, Quebec, Canada</t>
        </is>
      </c>
      <c r="K519" t="inlineStr">
        <is>
          <t>Montréal, Québec, Canada</t>
        </is>
      </c>
      <c r="P519" t="n">
        <v>0</v>
      </c>
      <c r="Q519" t="n">
        <v>186.96</v>
      </c>
      <c r="R519" t="n">
        <v>0</v>
      </c>
      <c r="S519" t="n">
        <v>20.1</v>
      </c>
      <c r="T519" t="n">
        <v>0</v>
      </c>
      <c r="U519" t="n">
        <v>207.06</v>
      </c>
      <c r="X519" t="inlineStr">
        <is>
          <t>atssc-scdata</t>
        </is>
      </c>
      <c r="Y519" t="inlineStr">
        <is>
          <t>Administrative Tribunals Support Service of Canada | Service canadien d'appui aux tribunaux administratifs</t>
        </is>
      </c>
      <c r="Z519" t="n">
        <v>1</v>
      </c>
      <c r="AA519" t="n">
        <v>207.06</v>
      </c>
      <c r="AB519">
        <f>ROUND(U519-AA519,2)</f>
        <v/>
      </c>
      <c r="AC519" t="b">
        <v>0</v>
      </c>
      <c r="AD519">
        <f>IF(U519="","MISSING_TOTAL",IF(ABS(AB519)&lt;=0.01,"OK","CHECK"))</f>
        <v/>
      </c>
      <c r="AE519">
        <f>IF(U519="","MISSING",IF(AND(AA519&gt;0,U519/AA519&gt;50),"POSSIBLE_SCALE_ERROR","OK"))</f>
        <v/>
      </c>
    </row>
    <row r="520">
      <c r="A520" t="inlineStr">
        <is>
          <t>T-2019-P4-0004</t>
        </is>
      </c>
      <c r="B520" t="inlineStr">
        <is>
          <t>SLE</t>
        </is>
      </c>
      <c r="C520" t="inlineStr">
        <is>
          <t>Chairperson</t>
        </is>
      </c>
      <c r="D520" t="inlineStr">
        <is>
          <t>Président</t>
        </is>
      </c>
      <c r="E520" t="inlineStr">
        <is>
          <t>Brazeau, Ginette</t>
        </is>
      </c>
      <c r="F520" t="inlineStr">
        <is>
          <t>Vancouver - Cancelled trip
Hearing being cancelled at request of parties</t>
        </is>
      </c>
      <c r="G520" t="inlineStr">
        <is>
          <t>Vancouver - Voyage annulé
Audience annulée à la demande des parties</t>
        </is>
      </c>
      <c r="H520" s="1" t="n">
        <v>43675</v>
      </c>
      <c r="I520" s="1" t="n">
        <v>43679</v>
      </c>
      <c r="J520" t="inlineStr">
        <is>
          <t>Vancouver, Britsh Columbia, Canada</t>
        </is>
      </c>
      <c r="K520" t="inlineStr">
        <is>
          <t>Vancouver, Colombie-Britannique, Canada</t>
        </is>
      </c>
      <c r="P520" t="n">
        <v>2989.79</v>
      </c>
      <c r="Q520" t="n">
        <v>0</v>
      </c>
      <c r="R520" t="n">
        <v>0</v>
      </c>
      <c r="S520" t="n">
        <v>0</v>
      </c>
      <c r="T520" t="n">
        <v>0</v>
      </c>
      <c r="U520" t="n">
        <v>2989.79</v>
      </c>
      <c r="V520" t="inlineStr">
        <is>
          <t>Air Canada Credit available is $2,964.93
HRG STS service fee of $24.86</t>
        </is>
      </c>
      <c r="W520" t="inlineStr">
        <is>
          <t>Crédit de 2 964.93$ de Air Canada est disponible
Les frais de service de HRG SVP de 24.86$</t>
        </is>
      </c>
      <c r="X520" t="inlineStr">
        <is>
          <t>atssc-scdata</t>
        </is>
      </c>
      <c r="Y520" t="inlineStr">
        <is>
          <t>Administrative Tribunals Support Service of Canada | Service canadien d'appui aux tribunaux administratifs</t>
        </is>
      </c>
      <c r="Z520" t="n">
        <v>5</v>
      </c>
      <c r="AA520" t="n">
        <v>2989.79</v>
      </c>
      <c r="AB520">
        <f>ROUND(U520-AA520,2)</f>
        <v/>
      </c>
      <c r="AC520" t="b">
        <v>0</v>
      </c>
      <c r="AD520">
        <f>IF(U520="","MISSING_TOTAL",IF(ABS(AB520)&lt;=0.01,"OK","CHECK"))</f>
        <v/>
      </c>
      <c r="AE520">
        <f>IF(U520="","MISSING",IF(AND(AA520&gt;0,U520/AA520&gt;50),"POSSIBLE_SCALE_ERROR","OK"))</f>
        <v/>
      </c>
    </row>
    <row r="521">
      <c r="A521" t="inlineStr">
        <is>
          <t>T-2019-P4-0005</t>
        </is>
      </c>
      <c r="B521" t="inlineStr">
        <is>
          <t>SLE</t>
        </is>
      </c>
      <c r="C521" t="inlineStr">
        <is>
          <t>Chairperson</t>
        </is>
      </c>
      <c r="D521" t="inlineStr">
        <is>
          <t>Président</t>
        </is>
      </c>
      <c r="E521" t="inlineStr">
        <is>
          <t>Ebbs, Catherine</t>
        </is>
      </c>
      <c r="F521" t="inlineStr">
        <is>
          <t>Cincinnati - Association of Labor Relations Agencies (ALRA)
Cancellation</t>
        </is>
      </c>
      <c r="G521" t="inlineStr">
        <is>
          <t>Cincinnati - Association of Labor Relations Agencies (ALRA)
Annulation</t>
        </is>
      </c>
      <c r="H521" s="1" t="n">
        <v>43666</v>
      </c>
      <c r="I521" s="1" t="n">
        <v>43670</v>
      </c>
      <c r="J521" t="inlineStr">
        <is>
          <t>Cincinnati, Ohio, USA</t>
        </is>
      </c>
      <c r="K521" t="inlineStr">
        <is>
          <t>Cincinnati, Ohio, É-U.</t>
        </is>
      </c>
      <c r="P521" t="n">
        <v>1392.47</v>
      </c>
      <c r="Q521" t="n">
        <v>0</v>
      </c>
      <c r="R521" t="n">
        <v>0</v>
      </c>
      <c r="S521" t="n">
        <v>0</v>
      </c>
      <c r="T521" t="n">
        <v>0</v>
      </c>
      <c r="U521" t="n">
        <v>1392.47</v>
      </c>
      <c r="V521" t="inlineStr">
        <is>
          <t>Air Canada Credit of $1,367.61
HRG STS service Fee $24.86</t>
        </is>
      </c>
      <c r="W521" t="inlineStr">
        <is>
          <t>Crédit de 1 367.61$ de Air Canada est disponible 
Frais de service HRG SVP de 24.86$</t>
        </is>
      </c>
      <c r="X521" t="inlineStr">
        <is>
          <t>atssc-scdata</t>
        </is>
      </c>
      <c r="Y521" t="inlineStr">
        <is>
          <t>Administrative Tribunals Support Service of Canada | Service canadien d'appui aux tribunaux administratifs</t>
        </is>
      </c>
      <c r="Z521" t="n">
        <v>5</v>
      </c>
      <c r="AA521" t="n">
        <v>1392.47</v>
      </c>
      <c r="AB521">
        <f>ROUND(U521-AA521,2)</f>
        <v/>
      </c>
      <c r="AC521" t="b">
        <v>0</v>
      </c>
      <c r="AD521">
        <f>IF(U521="","MISSING_TOTAL",IF(ABS(AB521)&lt;=0.01,"OK","CHECK"))</f>
        <v/>
      </c>
      <c r="AE521">
        <f>IF(U521="","MISSING",IF(AND(AA521&gt;0,U521/AA521&gt;50),"POSSIBLE_SCALE_ERROR","OK"))</f>
        <v/>
      </c>
    </row>
    <row r="522">
      <c r="A522" t="inlineStr">
        <is>
          <t>T-2019-P4-0006</t>
        </is>
      </c>
      <c r="B522" t="inlineStr">
        <is>
          <t>SLE</t>
        </is>
      </c>
      <c r="C522" t="inlineStr">
        <is>
          <t>Chairperson</t>
        </is>
      </c>
      <c r="D522" t="inlineStr">
        <is>
          <t>Président</t>
        </is>
      </c>
      <c r="E522" t="inlineStr">
        <is>
          <t>Ingram, Sharilyn</t>
        </is>
      </c>
      <c r="F522" t="inlineStr">
        <is>
          <t>To attend the prep day meeting and Canadian Art Museum Directors Organization (CAMDO) meeting</t>
        </is>
      </c>
      <c r="G522" t="inlineStr">
        <is>
          <t>Assister à la réunion préparatoire et à la réunion de l'organisationdes directeurs des musées d'art canadiens (ODMAC)</t>
        </is>
      </c>
      <c r="H522" s="1" t="n">
        <v>43625</v>
      </c>
      <c r="I522" s="1" t="n">
        <v>43627</v>
      </c>
      <c r="J522" t="inlineStr">
        <is>
          <t>Ottawa, Ontario, Canada</t>
        </is>
      </c>
      <c r="K522" t="inlineStr">
        <is>
          <t>Ottawa, Ontario, Canada</t>
        </is>
      </c>
      <c r="P522" t="n">
        <v>667.89</v>
      </c>
      <c r="Q522" t="n">
        <v>208.08</v>
      </c>
      <c r="R522" t="n">
        <v>392.52</v>
      </c>
      <c r="S522" t="n">
        <v>234.4</v>
      </c>
      <c r="T522" t="n">
        <v>0</v>
      </c>
      <c r="U522" t="n">
        <v>1502.89</v>
      </c>
      <c r="X522" t="inlineStr">
        <is>
          <t>atssc-scdata</t>
        </is>
      </c>
      <c r="Y522" t="inlineStr">
        <is>
          <t>Administrative Tribunals Support Service of Canada | Service canadien d'appui aux tribunaux administratifs</t>
        </is>
      </c>
      <c r="Z522" t="n">
        <v>3</v>
      </c>
      <c r="AA522" t="n">
        <v>1502.89</v>
      </c>
      <c r="AB522">
        <f>ROUND(U522-AA522,2)</f>
        <v/>
      </c>
      <c r="AC522" t="b">
        <v>0</v>
      </c>
      <c r="AD522">
        <f>IF(U522="","MISSING_TOTAL",IF(ABS(AB522)&lt;=0.01,"OK","CHECK"))</f>
        <v/>
      </c>
      <c r="AE522">
        <f>IF(U522="","MISSING",IF(AND(AA522&gt;0,U522/AA522&gt;50),"POSSIBLE_SCALE_ERROR","OK"))</f>
        <v/>
      </c>
    </row>
    <row r="523">
      <c r="A523" t="inlineStr">
        <is>
          <t>T-2019-P4-0007</t>
        </is>
      </c>
      <c r="B523" t="inlineStr">
        <is>
          <t>SLE</t>
        </is>
      </c>
      <c r="C523" t="inlineStr">
        <is>
          <t>Chairperson</t>
        </is>
      </c>
      <c r="D523" t="inlineStr">
        <is>
          <t>Président</t>
        </is>
      </c>
      <c r="E523" t="inlineStr">
        <is>
          <t>Ingram, Sharilyn</t>
        </is>
      </c>
      <c r="F523" t="inlineStr">
        <is>
          <t>To attend a meeting at Canadian Cultural Property Export Review Board (CCPERB)</t>
        </is>
      </c>
      <c r="G523" t="inlineStr">
        <is>
          <t>Assister à une réunion à la Commission canadienne d'examen des exportations de biens culturels (CCEEBC)</t>
        </is>
      </c>
      <c r="H523" s="1" t="n">
        <v>43632</v>
      </c>
      <c r="I523" s="1" t="n">
        <v>43637</v>
      </c>
      <c r="J523" t="inlineStr">
        <is>
          <t>Ottawa, Ontario, Canada</t>
        </is>
      </c>
      <c r="K523" t="inlineStr">
        <is>
          <t>Ottawa, Ontario, Canada</t>
        </is>
      </c>
      <c r="P523" t="n">
        <v>587.2</v>
      </c>
      <c r="Q523" t="n">
        <v>233.36</v>
      </c>
      <c r="R523" t="n">
        <v>981.3</v>
      </c>
      <c r="S523" t="n">
        <v>630.8</v>
      </c>
      <c r="T523" t="n">
        <v>0</v>
      </c>
      <c r="U523" t="n">
        <v>2432.66</v>
      </c>
      <c r="X523" t="inlineStr">
        <is>
          <t>atssc-scdata</t>
        </is>
      </c>
      <c r="Y523" t="inlineStr">
        <is>
          <t>Administrative Tribunals Support Service of Canada | Service canadien d'appui aux tribunaux administratifs</t>
        </is>
      </c>
      <c r="Z523" t="n">
        <v>6</v>
      </c>
      <c r="AA523" t="n">
        <v>2432.66</v>
      </c>
      <c r="AB523">
        <f>ROUND(U523-AA523,2)</f>
        <v/>
      </c>
      <c r="AC523" t="b">
        <v>0</v>
      </c>
      <c r="AD523">
        <f>IF(U523="","MISSING_TOTAL",IF(ABS(AB523)&lt;=0.01,"OK","CHECK"))</f>
        <v/>
      </c>
      <c r="AE523">
        <f>IF(U523="","MISSING",IF(AND(AA523&gt;0,U523/AA523&gt;50),"POSSIBLE_SCALE_ERROR","OK"))</f>
        <v/>
      </c>
    </row>
    <row r="524">
      <c r="A524" t="inlineStr">
        <is>
          <t>T-2019-P4-0008</t>
        </is>
      </c>
      <c r="B524" t="inlineStr">
        <is>
          <t>SLE</t>
        </is>
      </c>
      <c r="C524" t="inlineStr">
        <is>
          <t>Executive Director</t>
        </is>
      </c>
      <c r="D524" t="inlineStr">
        <is>
          <t>Directrice éxecutive</t>
        </is>
      </c>
      <c r="E524" t="inlineStr">
        <is>
          <t>Kim, Mijin</t>
        </is>
      </c>
      <c r="F524" t="inlineStr">
        <is>
          <t>To attend the Association of Canadian Archivists Conference</t>
        </is>
      </c>
      <c r="G524" t="inlineStr">
        <is>
          <t>Assister à la conférence de l'Association des archivistes canadiens</t>
        </is>
      </c>
      <c r="H524" s="1" t="n">
        <v>43621</v>
      </c>
      <c r="I524" s="1" t="n">
        <v>43622</v>
      </c>
      <c r="J524" t="inlineStr">
        <is>
          <t>Toronto, Ontario, Canada</t>
        </is>
      </c>
      <c r="K524" t="inlineStr">
        <is>
          <t>Toronto, Ontario, Canada</t>
        </is>
      </c>
      <c r="P524" t="n">
        <v>716.8200000000001</v>
      </c>
      <c r="Q524" t="n">
        <v>114.86</v>
      </c>
      <c r="R524" t="n">
        <v>199.78</v>
      </c>
      <c r="S524" t="n">
        <v>176.5</v>
      </c>
      <c r="T524" t="n">
        <v>0</v>
      </c>
      <c r="U524" t="n">
        <v>1207.96</v>
      </c>
      <c r="X524" t="inlineStr">
        <is>
          <t>atssc-scdata</t>
        </is>
      </c>
      <c r="Y524" t="inlineStr">
        <is>
          <t>Administrative Tribunals Support Service of Canada | Service canadien d'appui aux tribunaux administratifs</t>
        </is>
      </c>
      <c r="Z524" t="n">
        <v>2</v>
      </c>
      <c r="AA524" t="n">
        <v>1207.96</v>
      </c>
      <c r="AB524">
        <f>ROUND(U524-AA524,2)</f>
        <v/>
      </c>
      <c r="AC524" t="b">
        <v>0</v>
      </c>
      <c r="AD524">
        <f>IF(U524="","MISSING_TOTAL",IF(ABS(AB524)&lt;=0.01,"OK","CHECK"))</f>
        <v/>
      </c>
      <c r="AE524">
        <f>IF(U524="","MISSING",IF(AND(AA524&gt;0,U524/AA524&gt;50),"POSSIBLE_SCALE_ERROR","OK"))</f>
        <v/>
      </c>
    </row>
    <row r="525">
      <c r="A525" t="inlineStr">
        <is>
          <t>T-2019-P4-0009</t>
        </is>
      </c>
      <c r="B525" t="inlineStr">
        <is>
          <t>SLE</t>
        </is>
      </c>
      <c r="C525" t="inlineStr">
        <is>
          <t>Chairperson</t>
        </is>
      </c>
      <c r="D525" t="inlineStr">
        <is>
          <t>Président</t>
        </is>
      </c>
      <c r="E525" t="inlineStr">
        <is>
          <t>Sullivan, Charles</t>
        </is>
      </c>
      <c r="F525" t="inlineStr">
        <is>
          <t>TATC Hearing Q-4233-35</t>
        </is>
      </c>
      <c r="G525" t="inlineStr">
        <is>
          <t>TATC audiance: Q-4233-35</t>
        </is>
      </c>
      <c r="H525" s="1" t="n">
        <v>43612</v>
      </c>
      <c r="I525" s="1" t="n">
        <v>43614</v>
      </c>
      <c r="J525" t="inlineStr">
        <is>
          <t>Montreal, Quebec, Canada</t>
        </is>
      </c>
      <c r="K525" t="inlineStr">
        <is>
          <t>Montréal, Québec, Canada</t>
        </is>
      </c>
      <c r="P525" t="n">
        <v>0</v>
      </c>
      <c r="Q525" t="n">
        <v>354.79</v>
      </c>
      <c r="R525" t="n">
        <v>284.41</v>
      </c>
      <c r="S525" t="n">
        <v>176.5</v>
      </c>
      <c r="T525" t="n">
        <v>5.25</v>
      </c>
      <c r="U525" t="n">
        <v>820.95</v>
      </c>
      <c r="V525" t="inlineStr">
        <is>
          <t>HRG STS hotel booking fee of $5.25 in Other expenses</t>
        </is>
      </c>
      <c r="W525" t="inlineStr">
        <is>
          <t>Frais de réservation d’hôtel HRG SVP de 5,25 $ en Autres dépenses</t>
        </is>
      </c>
      <c r="X525" t="inlineStr">
        <is>
          <t>atssc-scdata</t>
        </is>
      </c>
      <c r="Y525" t="inlineStr">
        <is>
          <t>Administrative Tribunals Support Service of Canada | Service canadien d'appui aux tribunaux administratifs</t>
        </is>
      </c>
      <c r="Z525" t="n">
        <v>3</v>
      </c>
      <c r="AA525" t="n">
        <v>820.95</v>
      </c>
      <c r="AB525">
        <f>ROUND(U525-AA525,2)</f>
        <v/>
      </c>
      <c r="AC525" t="b">
        <v>0</v>
      </c>
      <c r="AD525">
        <f>IF(U525="","MISSING_TOTAL",IF(ABS(AB525)&lt;=0.01,"OK","CHECK"))</f>
        <v/>
      </c>
      <c r="AE525">
        <f>IF(U525="","MISSING",IF(AND(AA525&gt;0,U525/AA525&gt;50),"POSSIBLE_SCALE_ERROR","OK"))</f>
        <v/>
      </c>
    </row>
    <row r="526">
      <c r="A526" t="inlineStr">
        <is>
          <t>T-2019-P5-001</t>
        </is>
      </c>
      <c r="B526" t="inlineStr">
        <is>
          <t>SLE</t>
        </is>
      </c>
      <c r="C526" t="inlineStr">
        <is>
          <t>Chairperson</t>
        </is>
      </c>
      <c r="D526" t="inlineStr">
        <is>
          <t>Présidente</t>
        </is>
      </c>
      <c r="E526" t="inlineStr">
        <is>
          <t>Brazeau, Ginette</t>
        </is>
      </c>
      <c r="F526" t="inlineStr">
        <is>
          <t>Attend the Association of Labor Relations Agencies (ALRA) Conference</t>
        </is>
      </c>
      <c r="G526" t="inlineStr">
        <is>
          <t>Assister à la Conférence Association of Labor Relations Agencies (ALRA)</t>
        </is>
      </c>
      <c r="H526" s="1" t="n">
        <v>43665</v>
      </c>
      <c r="I526" s="1" t="n">
        <v>43671</v>
      </c>
      <c r="J526" t="inlineStr">
        <is>
          <t>Cincinnati, Ohio, United States</t>
        </is>
      </c>
      <c r="K526" t="inlineStr">
        <is>
          <t>Cincinnati, Ohio, États-Unis</t>
        </is>
      </c>
      <c r="P526" t="n">
        <v>689.89</v>
      </c>
      <c r="Q526" t="n">
        <v>224.44</v>
      </c>
      <c r="R526" t="n">
        <v>1124.46</v>
      </c>
      <c r="S526" t="n">
        <v>491.01</v>
      </c>
      <c r="T526" t="n">
        <v>0</v>
      </c>
      <c r="U526" t="n">
        <v>2529.8</v>
      </c>
      <c r="X526" t="inlineStr">
        <is>
          <t>atssc-scdata</t>
        </is>
      </c>
      <c r="Y526" t="inlineStr">
        <is>
          <t>Administrative Tribunals Support Service of Canada | Service canadien d'appui aux tribunaux administratifs</t>
        </is>
      </c>
      <c r="Z526" t="n">
        <v>7</v>
      </c>
      <c r="AA526" t="n">
        <v>2529.8</v>
      </c>
      <c r="AB526">
        <f>ROUND(U526-AA526,2)</f>
        <v/>
      </c>
      <c r="AC526" t="b">
        <v>0</v>
      </c>
      <c r="AD526">
        <f>IF(U526="","MISSING_TOTAL",IF(ABS(AB526)&lt;=0.01,"OK","CHECK"))</f>
        <v/>
      </c>
      <c r="AE526">
        <f>IF(U526="","MISSING",IF(AND(AA526&gt;0,U526/AA526&gt;50),"POSSIBLE_SCALE_ERROR","OK"))</f>
        <v/>
      </c>
    </row>
    <row r="527">
      <c r="A527" t="inlineStr">
        <is>
          <t>T-2019-P5-002</t>
        </is>
      </c>
      <c r="B527" t="inlineStr">
        <is>
          <t>SLE</t>
        </is>
      </c>
      <c r="C527" t="inlineStr">
        <is>
          <t>Acting Executive Director</t>
        </is>
      </c>
      <c r="D527" t="inlineStr">
        <is>
          <t>Directeur executive par interim</t>
        </is>
      </c>
      <c r="E527" t="inlineStr">
        <is>
          <t>Tardif, Jean-Daniel</t>
        </is>
      </c>
      <c r="F527" t="inlineStr">
        <is>
          <t>Acting Executive Director travel to support sound internal organizational governance</t>
        </is>
      </c>
      <c r="G527" t="inlineStr">
        <is>
          <t>Directeur executif par interim - voyage à Ottawa pour appuyer une bonne gouvernance organisationnelle</t>
        </is>
      </c>
      <c r="H527" s="1" t="n">
        <v>43654</v>
      </c>
      <c r="I527" s="1" t="n">
        <v>43664</v>
      </c>
      <c r="J527" t="inlineStr">
        <is>
          <t>Ottawa, Ontario, Canada</t>
        </is>
      </c>
      <c r="K527" t="inlineStr">
        <is>
          <t>Ottawa, Ontario, Canada</t>
        </is>
      </c>
      <c r="P527" t="n">
        <v>0</v>
      </c>
      <c r="Q527" t="n">
        <v>498.5</v>
      </c>
      <c r="R527" t="n">
        <v>2056.6</v>
      </c>
      <c r="S527" t="n">
        <v>948.45</v>
      </c>
      <c r="T527" t="n">
        <v>0</v>
      </c>
      <c r="U527" t="n">
        <v>3503.55</v>
      </c>
      <c r="X527" t="inlineStr">
        <is>
          <t>atssc-scdata</t>
        </is>
      </c>
      <c r="Y527" t="inlineStr">
        <is>
          <t>Administrative Tribunals Support Service of Canada | Service canadien d'appui aux tribunaux administratifs</t>
        </is>
      </c>
      <c r="Z527" t="n">
        <v>11</v>
      </c>
      <c r="AA527" t="n">
        <v>3503.55</v>
      </c>
      <c r="AB527">
        <f>ROUND(U527-AA527,2)</f>
        <v/>
      </c>
      <c r="AC527" t="b">
        <v>0</v>
      </c>
      <c r="AD527">
        <f>IF(U527="","MISSING_TOTAL",IF(ABS(AB527)&lt;=0.01,"OK","CHECK"))</f>
        <v/>
      </c>
      <c r="AE527">
        <f>IF(U527="","MISSING",IF(AND(AA527&gt;0,U527/AA527&gt;50),"POSSIBLE_SCALE_ERROR","OK"))</f>
        <v/>
      </c>
    </row>
    <row r="528">
      <c r="A528" t="inlineStr">
        <is>
          <t>T-2019-P5-003</t>
        </is>
      </c>
      <c r="B528" t="inlineStr">
        <is>
          <t>SLE</t>
        </is>
      </c>
      <c r="C528" t="inlineStr">
        <is>
          <t>Acting Executive Director</t>
        </is>
      </c>
      <c r="D528" t="inlineStr">
        <is>
          <t>Directeur executive par interim</t>
        </is>
      </c>
      <c r="E528" t="inlineStr">
        <is>
          <t>Tardif, Jean-Daniel</t>
        </is>
      </c>
      <c r="F528" t="inlineStr">
        <is>
          <t>Attend the Association of Labor Relations Agencies (ALRA) Conference</t>
        </is>
      </c>
      <c r="G528" t="inlineStr">
        <is>
          <t>Assister à la Conférence Association of Labor Relations Agencies (ALRA)</t>
        </is>
      </c>
      <c r="H528" s="1" t="n">
        <v>43666</v>
      </c>
      <c r="I528" s="1" t="n">
        <v>43669</v>
      </c>
      <c r="J528" t="inlineStr">
        <is>
          <t>Cincinnati, Ohio, United States</t>
        </is>
      </c>
      <c r="K528" t="inlineStr">
        <is>
          <t>Cincinnati, Ohio, États-Unis</t>
        </is>
      </c>
      <c r="P528" t="n">
        <v>912.16</v>
      </c>
      <c r="Q528" t="n">
        <v>159.7</v>
      </c>
      <c r="R528" t="n">
        <v>893.26</v>
      </c>
      <c r="S528" t="n">
        <v>380.63</v>
      </c>
      <c r="T528" t="n">
        <v>0</v>
      </c>
      <c r="U528" t="n">
        <v>2345.75</v>
      </c>
      <c r="X528" t="inlineStr">
        <is>
          <t>atssc-scdata</t>
        </is>
      </c>
      <c r="Y528" t="inlineStr">
        <is>
          <t>Administrative Tribunals Support Service of Canada | Service canadien d'appui aux tribunaux administratifs</t>
        </is>
      </c>
      <c r="Z528" t="n">
        <v>4</v>
      </c>
      <c r="AA528" t="n">
        <v>2345.75</v>
      </c>
      <c r="AB528">
        <f>ROUND(U528-AA528,2)</f>
        <v/>
      </c>
      <c r="AC528" t="b">
        <v>0</v>
      </c>
      <c r="AD528">
        <f>IF(U528="","MISSING_TOTAL",IF(ABS(AB528)&lt;=0.01,"OK","CHECK"))</f>
        <v/>
      </c>
      <c r="AE528">
        <f>IF(U528="","MISSING",IF(AND(AA528&gt;0,U528/AA528&gt;50),"POSSIBLE_SCALE_ERROR","OK"))</f>
        <v/>
      </c>
    </row>
    <row r="529">
      <c r="A529" t="inlineStr">
        <is>
          <t>T-2019-P5-004</t>
        </is>
      </c>
      <c r="B529" t="inlineStr">
        <is>
          <t>SLE</t>
        </is>
      </c>
      <c r="C529" t="inlineStr">
        <is>
          <t>Acting Executive Director</t>
        </is>
      </c>
      <c r="D529" t="inlineStr">
        <is>
          <t>Directeur executive par interim</t>
        </is>
      </c>
      <c r="E529" t="inlineStr">
        <is>
          <t>Tardif, Jean-Daniel</t>
        </is>
      </c>
      <c r="F529" t="inlineStr">
        <is>
          <t>Acting Executive Director travel to support sound internal organizational governance</t>
        </is>
      </c>
      <c r="G529" t="inlineStr">
        <is>
          <t>Directeur executif par interim - voyage à Ottawa pour appuyer une bonne gouvernance organisationnelle</t>
        </is>
      </c>
      <c r="H529" s="1" t="n">
        <v>43674</v>
      </c>
      <c r="I529" s="1" t="n">
        <v>43679</v>
      </c>
      <c r="J529" t="inlineStr">
        <is>
          <t>Ottawa, Ontario, Canada</t>
        </is>
      </c>
      <c r="K529" t="inlineStr">
        <is>
          <t>Ottawa, Ontario, Canada</t>
        </is>
      </c>
      <c r="P529" t="n">
        <v>0</v>
      </c>
      <c r="Q529" t="n">
        <v>357.25</v>
      </c>
      <c r="R529" t="n">
        <v>1028.3</v>
      </c>
      <c r="S529" t="n">
        <v>457.55</v>
      </c>
      <c r="T529" t="n">
        <v>0</v>
      </c>
      <c r="U529" t="n">
        <v>1843.1</v>
      </c>
      <c r="X529" t="inlineStr">
        <is>
          <t>atssc-scdata</t>
        </is>
      </c>
      <c r="Y529" t="inlineStr">
        <is>
          <t>Administrative Tribunals Support Service of Canada | Service canadien d'appui aux tribunaux administratifs</t>
        </is>
      </c>
      <c r="Z529" t="n">
        <v>6</v>
      </c>
      <c r="AA529" t="n">
        <v>1843.1</v>
      </c>
      <c r="AB529">
        <f>ROUND(U529-AA529,2)</f>
        <v/>
      </c>
      <c r="AC529" t="b">
        <v>0</v>
      </c>
      <c r="AD529">
        <f>IF(U529="","MISSING_TOTAL",IF(ABS(AB529)&lt;=0.01,"OK","CHECK"))</f>
        <v/>
      </c>
      <c r="AE529">
        <f>IF(U529="","MISSING",IF(AND(AA529&gt;0,U529/AA529&gt;50),"POSSIBLE_SCALE_ERROR","OK"))</f>
        <v/>
      </c>
    </row>
    <row r="530">
      <c r="A530" t="inlineStr">
        <is>
          <t>T-2019-P5-005</t>
        </is>
      </c>
      <c r="B530" t="inlineStr">
        <is>
          <t>SLE</t>
        </is>
      </c>
      <c r="C530" t="inlineStr">
        <is>
          <t>Chairperson</t>
        </is>
      </c>
      <c r="D530" t="inlineStr">
        <is>
          <t>Président</t>
        </is>
      </c>
      <c r="E530" t="inlineStr">
        <is>
          <t>Thomas, David</t>
        </is>
      </c>
      <c r="F530" t="inlineStr">
        <is>
          <t>Attend Mediation : T2365/2419</t>
        </is>
      </c>
      <c r="G530" t="inlineStr">
        <is>
          <t>Assister à une médiation : T2365/2419</t>
        </is>
      </c>
      <c r="H530" s="1" t="n">
        <v>43662</v>
      </c>
      <c r="I530" s="1" t="n">
        <v>43674</v>
      </c>
      <c r="J530" t="inlineStr">
        <is>
          <t>Vancouver, British Columbia, Canada</t>
        </is>
      </c>
      <c r="K530" t="inlineStr">
        <is>
          <t>Vancouver, Colombie-Britannique, Canada</t>
        </is>
      </c>
      <c r="P530" t="n">
        <v>881.25</v>
      </c>
      <c r="Q530" t="n">
        <v>191.94</v>
      </c>
      <c r="R530" t="n">
        <v>150</v>
      </c>
      <c r="S530" t="n">
        <v>325.65</v>
      </c>
      <c r="T530" t="n">
        <v>0</v>
      </c>
      <c r="U530" t="n">
        <v>1548.84</v>
      </c>
      <c r="V530" t="inlineStr">
        <is>
          <t>Hearing held in Fort Nelson was cancelled  - Central Mountain Air full Credit of $914.81</t>
        </is>
      </c>
      <c r="W530" t="inlineStr">
        <is>
          <t>Audiance à Fort Nelson à été annulée - Crédit de 914.81$ de Central Mountain Air</t>
        </is>
      </c>
      <c r="X530" t="inlineStr">
        <is>
          <t>atssc-scdata</t>
        </is>
      </c>
      <c r="Y530" t="inlineStr">
        <is>
          <t>Administrative Tribunals Support Service of Canada | Service canadien d'appui aux tribunaux administratifs</t>
        </is>
      </c>
      <c r="Z530" t="n">
        <v>13</v>
      </c>
      <c r="AA530" t="n">
        <v>1548.84</v>
      </c>
      <c r="AB530">
        <f>ROUND(U530-AA530,2)</f>
        <v/>
      </c>
      <c r="AC530" t="b">
        <v>0</v>
      </c>
      <c r="AD530">
        <f>IF(U530="","MISSING_TOTAL",IF(ABS(AB530)&lt;=0.01,"OK","CHECK"))</f>
        <v/>
      </c>
      <c r="AE530">
        <f>IF(U530="","MISSING",IF(AND(AA530&gt;0,U530/AA530&gt;50),"POSSIBLE_SCALE_ERROR","OK"))</f>
        <v/>
      </c>
    </row>
    <row r="531">
      <c r="A531" t="inlineStr">
        <is>
          <t>T-2019-P5-006</t>
        </is>
      </c>
      <c r="B531" t="inlineStr">
        <is>
          <t>SLE</t>
        </is>
      </c>
      <c r="C531" t="inlineStr">
        <is>
          <t>Acting Executive Director</t>
        </is>
      </c>
      <c r="D531" t="inlineStr">
        <is>
          <t>Directrice executive par interim</t>
        </is>
      </c>
      <c r="E531" t="inlineStr">
        <is>
          <t>Zawadowsky, Natalie</t>
        </is>
      </c>
      <c r="F531" t="inlineStr">
        <is>
          <t>Acting Executive Director travel to support sound internal organizational governance</t>
        </is>
      </c>
      <c r="G531" t="inlineStr">
        <is>
          <t>Directrice executif par interim - voyage à Ottawa pour appuyer une bonne gouvernance organisationnelle</t>
        </is>
      </c>
      <c r="H531" s="1" t="n">
        <v>43683</v>
      </c>
      <c r="I531" s="1" t="n">
        <v>43686</v>
      </c>
      <c r="J531" t="inlineStr">
        <is>
          <t>Ottawa, Ontario, Canada</t>
        </is>
      </c>
      <c r="K531" t="inlineStr">
        <is>
          <t>Ottawa, Ontario, Canada</t>
        </is>
      </c>
      <c r="P531" t="n">
        <v>562.7</v>
      </c>
      <c r="Q531" t="n">
        <v>117.61</v>
      </c>
      <c r="R531" t="n">
        <v>533.04</v>
      </c>
      <c r="S531" t="n">
        <v>434.2</v>
      </c>
      <c r="T531" t="n">
        <v>0</v>
      </c>
      <c r="U531" t="n">
        <v>1647.55</v>
      </c>
      <c r="X531" t="inlineStr">
        <is>
          <t>atssc-scdata</t>
        </is>
      </c>
      <c r="Y531" t="inlineStr">
        <is>
          <t>Administrative Tribunals Support Service of Canada | Service canadien d'appui aux tribunaux administratifs</t>
        </is>
      </c>
      <c r="Z531" t="n">
        <v>4</v>
      </c>
      <c r="AA531" t="n">
        <v>1647.55</v>
      </c>
      <c r="AB531">
        <f>ROUND(U531-AA531,2)</f>
        <v/>
      </c>
      <c r="AC531" t="b">
        <v>0</v>
      </c>
      <c r="AD531">
        <f>IF(U531="","MISSING_TOTAL",IF(ABS(AB531)&lt;=0.01,"OK","CHECK"))</f>
        <v/>
      </c>
      <c r="AE531">
        <f>IF(U531="","MISSING",IF(AND(AA531&gt;0,U531/AA531&gt;50),"POSSIBLE_SCALE_ERROR","OK"))</f>
        <v/>
      </c>
    </row>
    <row r="532">
      <c r="A532" t="inlineStr">
        <is>
          <t>T-2019-P5-007</t>
        </is>
      </c>
      <c r="B532" t="inlineStr">
        <is>
          <t>SLE</t>
        </is>
      </c>
      <c r="C532" t="inlineStr">
        <is>
          <t>Acting Executive Director</t>
        </is>
      </c>
      <c r="D532" t="inlineStr">
        <is>
          <t>Directrice executive par interim</t>
        </is>
      </c>
      <c r="E532" t="inlineStr">
        <is>
          <t>Zawadowsky, Natalie</t>
        </is>
      </c>
      <c r="F532" t="inlineStr">
        <is>
          <t>Acting Executive Director travel to support sound internal organizational governance</t>
        </is>
      </c>
      <c r="G532" t="inlineStr">
        <is>
          <t>Directrice executif par interim - voyage à Ottawa pour appuyer une bonne gouvernance organisationnelle</t>
        </is>
      </c>
      <c r="H532" s="1" t="n">
        <v>43689</v>
      </c>
      <c r="I532" s="1" t="n">
        <v>43693</v>
      </c>
      <c r="J532" t="inlineStr">
        <is>
          <t>Ottawa, Ontario, Canada</t>
        </is>
      </c>
      <c r="K532" t="inlineStr">
        <is>
          <t>Ottawa, Ontario, Canada</t>
        </is>
      </c>
      <c r="P532" t="n">
        <v>810.3</v>
      </c>
      <c r="Q532" t="n">
        <v>118</v>
      </c>
      <c r="R532" t="n">
        <v>800.85</v>
      </c>
      <c r="S532" t="n">
        <v>492.1</v>
      </c>
      <c r="T532" t="n">
        <v>0</v>
      </c>
      <c r="U532" t="n">
        <v>2221.25</v>
      </c>
      <c r="X532" t="inlineStr">
        <is>
          <t>atssc-scdata</t>
        </is>
      </c>
      <c r="Y532" t="inlineStr">
        <is>
          <t>Administrative Tribunals Support Service of Canada | Service canadien d'appui aux tribunaux administratifs</t>
        </is>
      </c>
      <c r="Z532" t="n">
        <v>5</v>
      </c>
      <c r="AA532" t="n">
        <v>2221.25</v>
      </c>
      <c r="AB532">
        <f>ROUND(U532-AA532,2)</f>
        <v/>
      </c>
      <c r="AC532" t="b">
        <v>0</v>
      </c>
      <c r="AD532">
        <f>IF(U532="","MISSING_TOTAL",IF(ABS(AB532)&lt;=0.01,"OK","CHECK"))</f>
        <v/>
      </c>
      <c r="AE532">
        <f>IF(U532="","MISSING",IF(AND(AA532&gt;0,U532/AA532&gt;50),"POSSIBLE_SCALE_ERROR","OK"))</f>
        <v/>
      </c>
    </row>
    <row r="533">
      <c r="A533" t="inlineStr">
        <is>
          <t>T-2019-P5-008</t>
        </is>
      </c>
      <c r="B533" t="inlineStr">
        <is>
          <t>SLE</t>
        </is>
      </c>
      <c r="C533" t="inlineStr">
        <is>
          <t>Acting Executive Director</t>
        </is>
      </c>
      <c r="D533" t="inlineStr">
        <is>
          <t>Directrice executive par interim</t>
        </is>
      </c>
      <c r="E533" t="inlineStr">
        <is>
          <t>Zawadowsky, Natalie</t>
        </is>
      </c>
      <c r="F533" t="inlineStr">
        <is>
          <t>Acting Executive Director travel to support sound internal organizational governance</t>
        </is>
      </c>
      <c r="G533" t="inlineStr">
        <is>
          <t>Directrice executif par interim - voyage à Ottawa pour appuyer une bonne gouvernance organisationnelle</t>
        </is>
      </c>
      <c r="H533" s="1" t="n">
        <v>43696</v>
      </c>
      <c r="I533" s="1" t="n">
        <v>43698</v>
      </c>
      <c r="J533" t="inlineStr">
        <is>
          <t>Ottawa, Ontario, Canada</t>
        </is>
      </c>
      <c r="K533" t="inlineStr">
        <is>
          <t>Ottawa, Ontario, Canada</t>
        </is>
      </c>
      <c r="P533" t="n">
        <v>796.38</v>
      </c>
      <c r="Q533" t="n">
        <v>116.39</v>
      </c>
      <c r="R533" t="n">
        <v>451.28</v>
      </c>
      <c r="S533" t="n">
        <v>325.65</v>
      </c>
      <c r="T533" t="n">
        <v>0</v>
      </c>
      <c r="U533" t="n">
        <v>1689.7</v>
      </c>
      <c r="X533" t="inlineStr">
        <is>
          <t>atssc-scdata</t>
        </is>
      </c>
      <c r="Y533" t="inlineStr">
        <is>
          <t>Administrative Tribunals Support Service of Canada | Service canadien d'appui aux tribunaux administratifs</t>
        </is>
      </c>
      <c r="Z533" t="n">
        <v>3</v>
      </c>
      <c r="AA533" t="n">
        <v>1689.69999999999</v>
      </c>
      <c r="AB533">
        <f>ROUND(U533-AA533,2)</f>
        <v/>
      </c>
      <c r="AC533" t="b">
        <v>0</v>
      </c>
      <c r="AD533">
        <f>IF(U533="","MISSING_TOTAL",IF(ABS(AB533)&lt;=0.01,"OK","CHECK"))</f>
        <v/>
      </c>
      <c r="AE533">
        <f>IF(U533="","MISSING",IF(AND(AA533&gt;0,U533/AA533&gt;50),"POSSIBLE_SCALE_ERROR","OK"))</f>
        <v/>
      </c>
    </row>
    <row r="534">
      <c r="A534" t="inlineStr">
        <is>
          <t>T-2019-P6-0001</t>
        </is>
      </c>
      <c r="B534" t="inlineStr">
        <is>
          <t>SLE</t>
        </is>
      </c>
      <c r="C534" t="inlineStr">
        <is>
          <t>Chairperson</t>
        </is>
      </c>
      <c r="D534" t="inlineStr">
        <is>
          <t>Président</t>
        </is>
      </c>
      <c r="E534" t="inlineStr">
        <is>
          <t>Sullivan, Charles</t>
        </is>
      </c>
      <c r="F534" t="inlineStr">
        <is>
          <t>65th AirLine Pilots Association (ALPA) Forum</t>
        </is>
      </c>
      <c r="G534" t="inlineStr">
        <is>
          <t>65e forum du 'Air Line Pilots Association (ALPA)</t>
        </is>
      </c>
      <c r="H534" s="1" t="n">
        <v>43724</v>
      </c>
      <c r="I534" s="1" t="n">
        <v>43727</v>
      </c>
      <c r="J534" t="inlineStr">
        <is>
          <t>Washington D.C., United States</t>
        </is>
      </c>
      <c r="K534" t="inlineStr">
        <is>
          <t>Washington D.C., États-Unis</t>
        </is>
      </c>
      <c r="P534" t="n">
        <v>768.58</v>
      </c>
      <c r="Q534" t="n">
        <v>168.81</v>
      </c>
      <c r="R534" t="n">
        <v>927.85</v>
      </c>
      <c r="S534" t="n">
        <v>343.94</v>
      </c>
      <c r="T534" t="n">
        <v>0</v>
      </c>
      <c r="U534" t="n">
        <v>2209.18</v>
      </c>
      <c r="X534" t="inlineStr">
        <is>
          <t>atssc-scdata</t>
        </is>
      </c>
      <c r="Y534" t="inlineStr">
        <is>
          <t>Administrative Tribunals Support Service of Canada | Service canadien d'appui aux tribunaux administratifs</t>
        </is>
      </c>
      <c r="Z534" t="n">
        <v>4</v>
      </c>
      <c r="AA534" t="n">
        <v>2209.18</v>
      </c>
      <c r="AB534">
        <f>ROUND(U534-AA534,2)</f>
        <v/>
      </c>
      <c r="AC534" t="b">
        <v>0</v>
      </c>
      <c r="AD534">
        <f>IF(U534="","MISSING_TOTAL",IF(ABS(AB534)&lt;=0.01,"OK","CHECK"))</f>
        <v/>
      </c>
      <c r="AE534">
        <f>IF(U534="","MISSING",IF(AND(AA534&gt;0,U534/AA534&gt;50),"POSSIBLE_SCALE_ERROR","OK"))</f>
        <v/>
      </c>
    </row>
    <row r="535">
      <c r="A535" t="inlineStr">
        <is>
          <t>T-2019-P6-0002</t>
        </is>
      </c>
      <c r="B535" t="inlineStr">
        <is>
          <t>SLE</t>
        </is>
      </c>
      <c r="C535" t="inlineStr">
        <is>
          <t>Chairperson</t>
        </is>
      </c>
      <c r="D535" t="inlineStr">
        <is>
          <t>Président</t>
        </is>
      </c>
      <c r="E535" t="inlineStr">
        <is>
          <t>Thomas, David</t>
        </is>
      </c>
      <c r="F535" t="inlineStr">
        <is>
          <t>Mediation : T2365/2419</t>
        </is>
      </c>
      <c r="G535" t="inlineStr">
        <is>
          <t>Médiation : T2365/2419</t>
        </is>
      </c>
      <c r="H535" s="1" t="n">
        <v>43697</v>
      </c>
      <c r="I535" s="1" t="n">
        <v>43699</v>
      </c>
      <c r="J535" t="inlineStr">
        <is>
          <t>Vancouver, Britsh Columbia, Canada</t>
        </is>
      </c>
      <c r="K535" t="inlineStr">
        <is>
          <t>Vancouver, Colombie-Britannique, Canada</t>
        </is>
      </c>
      <c r="P535" t="n">
        <v>1656.84</v>
      </c>
      <c r="Q535" t="n">
        <v>115.16</v>
      </c>
      <c r="R535" t="n">
        <v>445.44</v>
      </c>
      <c r="S535" t="n">
        <v>305.15</v>
      </c>
      <c r="T535" t="n">
        <v>0</v>
      </c>
      <c r="U535" t="n">
        <v>2522.59</v>
      </c>
      <c r="X535" t="inlineStr">
        <is>
          <t>atssc-scdata</t>
        </is>
      </c>
      <c r="Y535" t="inlineStr">
        <is>
          <t>Administrative Tribunals Support Service of Canada | Service canadien d'appui aux tribunaux administratifs</t>
        </is>
      </c>
      <c r="Z535" t="n">
        <v>3</v>
      </c>
      <c r="AA535" t="n">
        <v>2522.59</v>
      </c>
      <c r="AB535">
        <f>ROUND(U535-AA535,2)</f>
        <v/>
      </c>
      <c r="AC535" t="b">
        <v>0</v>
      </c>
      <c r="AD535">
        <f>IF(U535="","MISSING_TOTAL",IF(ABS(AB535)&lt;=0.01,"OK","CHECK"))</f>
        <v/>
      </c>
      <c r="AE535">
        <f>IF(U535="","MISSING",IF(AND(AA535&gt;0,U535/AA535&gt;50),"POSSIBLE_SCALE_ERROR","OK"))</f>
        <v/>
      </c>
    </row>
    <row r="536">
      <c r="A536" t="inlineStr">
        <is>
          <t>T-2019-P6-0003</t>
        </is>
      </c>
      <c r="B536" t="inlineStr">
        <is>
          <t>SLE</t>
        </is>
      </c>
      <c r="C536" t="inlineStr">
        <is>
          <t>Chairperson</t>
        </is>
      </c>
      <c r="D536" t="inlineStr">
        <is>
          <t>Président</t>
        </is>
      </c>
      <c r="E536" t="inlineStr">
        <is>
          <t>Thomas, David</t>
        </is>
      </c>
      <c r="F536" t="inlineStr">
        <is>
          <t>Mediation : T2377/3619</t>
        </is>
      </c>
      <c r="G536" t="inlineStr">
        <is>
          <t>Médiation : T2377/3619</t>
        </is>
      </c>
      <c r="H536" s="1" t="n">
        <v>43719</v>
      </c>
      <c r="I536" s="1" t="n">
        <v>43721</v>
      </c>
      <c r="J536" t="inlineStr">
        <is>
          <t>Toronto, Ontario, Canada</t>
        </is>
      </c>
      <c r="K536" t="inlineStr">
        <is>
          <t>Toronto, Ontario, Canada</t>
        </is>
      </c>
      <c r="P536" t="n">
        <v>516.3200000000001</v>
      </c>
      <c r="Q536" t="n">
        <v>105.48</v>
      </c>
      <c r="R536" t="n">
        <v>467.72</v>
      </c>
      <c r="S536" t="n">
        <v>254.5</v>
      </c>
      <c r="T536" t="n">
        <v>0</v>
      </c>
      <c r="U536" t="n">
        <v>1344.02</v>
      </c>
      <c r="X536" t="inlineStr">
        <is>
          <t>atssc-scdata</t>
        </is>
      </c>
      <c r="Y536" t="inlineStr">
        <is>
          <t>Administrative Tribunals Support Service of Canada | Service canadien d'appui aux tribunaux administratifs</t>
        </is>
      </c>
      <c r="Z536" t="n">
        <v>3</v>
      </c>
      <c r="AA536" t="n">
        <v>1344.02</v>
      </c>
      <c r="AB536">
        <f>ROUND(U536-AA536,2)</f>
        <v/>
      </c>
      <c r="AC536" t="b">
        <v>0</v>
      </c>
      <c r="AD536">
        <f>IF(U536="","MISSING_TOTAL",IF(ABS(AB536)&lt;=0.01,"OK","CHECK"))</f>
        <v/>
      </c>
      <c r="AE536">
        <f>IF(U536="","MISSING",IF(AND(AA536&gt;0,U536/AA536&gt;50),"POSSIBLE_SCALE_ERROR","OK"))</f>
        <v/>
      </c>
    </row>
    <row r="537">
      <c r="A537" t="inlineStr">
        <is>
          <t>T-2019-P6-0004</t>
        </is>
      </c>
      <c r="B537" t="inlineStr">
        <is>
          <t>SLE</t>
        </is>
      </c>
      <c r="C537" t="inlineStr">
        <is>
          <t>Acting Executive Director</t>
        </is>
      </c>
      <c r="D537" t="inlineStr">
        <is>
          <t>Directrice executive par interim</t>
        </is>
      </c>
      <c r="E537" t="inlineStr">
        <is>
          <t>Zawadowsky, Natalie</t>
        </is>
      </c>
      <c r="F537" t="inlineStr">
        <is>
          <t>Acting Executive Director travel to support sound internal organizational governance</t>
        </is>
      </c>
      <c r="G537" t="inlineStr">
        <is>
          <t>Directrice executive par interim - voyage à Ottawa pour appuyer une bonne gouvernance organisationnelle</t>
        </is>
      </c>
      <c r="H537" s="1" t="n">
        <v>43704</v>
      </c>
      <c r="I537" s="1" t="n">
        <v>43707</v>
      </c>
      <c r="J537" t="inlineStr">
        <is>
          <t>Ottawa, Ontario, Canada</t>
        </is>
      </c>
      <c r="K537" t="inlineStr">
        <is>
          <t>Ottawa, Ontario, Canada</t>
        </is>
      </c>
      <c r="P537" t="n">
        <v>697.9299999999999</v>
      </c>
      <c r="Q537" t="n">
        <v>108.1</v>
      </c>
      <c r="R537" t="n">
        <v>543.62</v>
      </c>
      <c r="S537" t="n">
        <v>434.2</v>
      </c>
      <c r="T537" t="n">
        <v>0</v>
      </c>
      <c r="U537" t="n">
        <v>1783.85</v>
      </c>
      <c r="X537" t="inlineStr">
        <is>
          <t>atssc-scdata</t>
        </is>
      </c>
      <c r="Y537" t="inlineStr">
        <is>
          <t>Administrative Tribunals Support Service of Canada | Service canadien d'appui aux tribunaux administratifs</t>
        </is>
      </c>
      <c r="Z537" t="n">
        <v>4</v>
      </c>
      <c r="AA537" t="n">
        <v>1783.85</v>
      </c>
      <c r="AB537">
        <f>ROUND(U537-AA537,2)</f>
        <v/>
      </c>
      <c r="AC537" t="b">
        <v>0</v>
      </c>
      <c r="AD537">
        <f>IF(U537="","MISSING_TOTAL",IF(ABS(AB537)&lt;=0.01,"OK","CHECK"))</f>
        <v/>
      </c>
      <c r="AE537">
        <f>IF(U537="","MISSING",IF(AND(AA537&gt;0,U537/AA537&gt;50),"POSSIBLE_SCALE_ERROR","OK"))</f>
        <v/>
      </c>
    </row>
    <row r="538">
      <c r="A538" t="inlineStr">
        <is>
          <t>T-2019-P7-001</t>
        </is>
      </c>
      <c r="B538" t="inlineStr">
        <is>
          <t>SLE</t>
        </is>
      </c>
      <c r="C538" t="inlineStr">
        <is>
          <t>Executive Director and General Counsel, Federal Public Sector Labour Relations and Employment Board</t>
        </is>
      </c>
      <c r="D538" t="inlineStr">
        <is>
          <t>Directrice éxecutive et avocate générale, Commission des relations de travail et de l’emploi dans le secteur public fédéral</t>
        </is>
      </c>
      <c r="E538" t="inlineStr">
        <is>
          <t>Adamson, Virginia</t>
        </is>
      </c>
      <c r="F538" t="inlineStr">
        <is>
          <t>2019 Annual Meeting of Labour Board Chairs and Administrators</t>
        </is>
      </c>
      <c r="G538" t="inlineStr">
        <is>
          <t>Assemblée annuelle des présidents et administrateurs du conseil du travail de 2019</t>
        </is>
      </c>
      <c r="H538" s="1" t="n">
        <v>43731</v>
      </c>
      <c r="I538" s="1" t="n">
        <v>43734</v>
      </c>
      <c r="J538" t="inlineStr">
        <is>
          <t>St-John's Newfoundland, Canada</t>
        </is>
      </c>
      <c r="K538" t="inlineStr">
        <is>
          <t>St-John's Terre-Neuve, Canada</t>
        </is>
      </c>
      <c r="P538" t="n">
        <v>867.15</v>
      </c>
      <c r="Q538" t="n">
        <v>71.84999999999999</v>
      </c>
      <c r="R538" t="n">
        <v>378.42</v>
      </c>
      <c r="S538" t="n">
        <v>213.5</v>
      </c>
      <c r="T538" t="n">
        <v>0</v>
      </c>
      <c r="U538" t="n">
        <v>1530.92</v>
      </c>
      <c r="X538" t="inlineStr">
        <is>
          <t>atssc-scdata</t>
        </is>
      </c>
      <c r="Y538" t="inlineStr">
        <is>
          <t>Administrative Tribunals Support Service of Canada | Service canadien d'appui aux tribunaux administratifs</t>
        </is>
      </c>
      <c r="Z538" t="n">
        <v>4</v>
      </c>
      <c r="AA538" t="n">
        <v>1530.92</v>
      </c>
      <c r="AB538">
        <f>ROUND(U538-AA538,2)</f>
        <v/>
      </c>
      <c r="AC538" t="b">
        <v>0</v>
      </c>
      <c r="AD538">
        <f>IF(U538="","MISSING_TOTAL",IF(ABS(AB538)&lt;=0.01,"OK","CHECK"))</f>
        <v/>
      </c>
      <c r="AE538">
        <f>IF(U538="","MISSING",IF(AND(AA538&gt;0,U538/AA538&gt;50),"POSSIBLE_SCALE_ERROR","OK"))</f>
        <v/>
      </c>
    </row>
    <row r="539">
      <c r="A539" t="inlineStr">
        <is>
          <t>T-2019-P7-002</t>
        </is>
      </c>
      <c r="B539" t="inlineStr">
        <is>
          <t>SLE</t>
        </is>
      </c>
      <c r="C539" t="inlineStr">
        <is>
          <t>Chairperson, Canada Agricultural Review Tribunal of Canada</t>
        </is>
      </c>
      <c r="D539" t="inlineStr">
        <is>
          <t>Président, Commission de révision agricole du Canada</t>
        </is>
      </c>
      <c r="E539" t="inlineStr">
        <is>
          <t>Bélanger, Luc</t>
        </is>
      </c>
      <c r="F539" t="inlineStr">
        <is>
          <t>Work meeting with a member of the "Conseil des appellations réservées et des termes valorisants (CARTV)", the President of the Financial Markets Administrative Tribunal and a representative of McGill University</t>
        </is>
      </c>
      <c r="G539" t="inlineStr">
        <is>
          <t>Rencontre de travail avec un membre du Conseil des appellations réservées et des termes valorisants (CARTV), la présidente du Tribunal administratif des marchés financiers et un représantant de l'Université McGill</t>
        </is>
      </c>
      <c r="H539" s="1" t="n">
        <v>43719</v>
      </c>
      <c r="I539" s="1" t="n">
        <v>43721</v>
      </c>
      <c r="J539" t="inlineStr">
        <is>
          <t>Montreal, Qc, Canada</t>
        </is>
      </c>
      <c r="K539" t="inlineStr">
        <is>
          <t>Montréal, Québec, Canada</t>
        </is>
      </c>
      <c r="P539" t="n">
        <v>0</v>
      </c>
      <c r="Q539" t="n">
        <v>346.47</v>
      </c>
      <c r="R539" t="n">
        <v>473.64</v>
      </c>
      <c r="S539" t="n">
        <v>305.15</v>
      </c>
      <c r="T539" t="n">
        <v>0</v>
      </c>
      <c r="U539" t="n">
        <v>1125.26</v>
      </c>
      <c r="X539" t="inlineStr">
        <is>
          <t>atssc-scdata</t>
        </is>
      </c>
      <c r="Y539" t="inlineStr">
        <is>
          <t>Administrative Tribunals Support Service of Canada | Service canadien d'appui aux tribunaux administratifs</t>
        </is>
      </c>
      <c r="Z539" t="n">
        <v>3</v>
      </c>
      <c r="AA539" t="n">
        <v>1125.26</v>
      </c>
      <c r="AB539">
        <f>ROUND(U539-AA539,2)</f>
        <v/>
      </c>
      <c r="AC539" t="b">
        <v>0</v>
      </c>
      <c r="AD539">
        <f>IF(U539="","MISSING_TOTAL",IF(ABS(AB539)&lt;=0.01,"OK","CHECK"))</f>
        <v/>
      </c>
      <c r="AE539">
        <f>IF(U539="","MISSING",IF(AND(AA539&gt;0,U539/AA539&gt;50),"POSSIBLE_SCALE_ERROR","OK"))</f>
        <v/>
      </c>
    </row>
    <row r="540">
      <c r="A540" t="inlineStr">
        <is>
          <t>T-2019-P7-003</t>
        </is>
      </c>
      <c r="B540" t="inlineStr">
        <is>
          <t>SLE</t>
        </is>
      </c>
      <c r="C540" t="inlineStr">
        <is>
          <t>Chairperson, Canada Agricultural Review Tribunal of Canada</t>
        </is>
      </c>
      <c r="D540" t="inlineStr">
        <is>
          <t>Président, Commission de révision agricole du Canada</t>
        </is>
      </c>
      <c r="E540" t="inlineStr">
        <is>
          <t>Bélanger, Luc</t>
        </is>
      </c>
      <c r="F540" t="inlineStr">
        <is>
          <t>Meeting with members and meeting with the Vice-Dean of the Faculty of Law</t>
        </is>
      </c>
      <c r="G540" t="inlineStr">
        <is>
          <t>Rencontre de travail avec des membres et rencontre avec le Vice-doyen de la faculté de droit</t>
        </is>
      </c>
      <c r="H540" s="1" t="n">
        <v>43733</v>
      </c>
      <c r="I540" s="1" t="n">
        <v>43736</v>
      </c>
      <c r="J540" t="inlineStr">
        <is>
          <t>Quebec, Quebec, Canada</t>
        </is>
      </c>
      <c r="K540" t="inlineStr">
        <is>
          <t>Québec, Québec, Canada</t>
        </is>
      </c>
      <c r="P540" t="n">
        <v>0</v>
      </c>
      <c r="Q540" t="n">
        <v>648.4400000000001</v>
      </c>
      <c r="R540" t="n">
        <v>710.49</v>
      </c>
      <c r="S540" t="n">
        <v>383.55</v>
      </c>
      <c r="T540" t="n">
        <v>0</v>
      </c>
      <c r="U540" t="n">
        <v>1742.48</v>
      </c>
      <c r="X540" t="inlineStr">
        <is>
          <t>atssc-scdata</t>
        </is>
      </c>
      <c r="Y540" t="inlineStr">
        <is>
          <t>Administrative Tribunals Support Service of Canada | Service canadien d'appui aux tribunaux administratifs</t>
        </is>
      </c>
      <c r="Z540" t="n">
        <v>4</v>
      </c>
      <c r="AA540" t="n">
        <v>1742.48</v>
      </c>
      <c r="AB540">
        <f>ROUND(U540-AA540,2)</f>
        <v/>
      </c>
      <c r="AC540" t="b">
        <v>0</v>
      </c>
      <c r="AD540">
        <f>IF(U540="","MISSING_TOTAL",IF(ABS(AB540)&lt;=0.01,"OK","CHECK"))</f>
        <v/>
      </c>
      <c r="AE540">
        <f>IF(U540="","MISSING",IF(AND(AA540&gt;0,U540/AA540&gt;50),"POSSIBLE_SCALE_ERROR","OK"))</f>
        <v/>
      </c>
    </row>
    <row r="541">
      <c r="A541" t="inlineStr">
        <is>
          <t>T-2019-P7-004</t>
        </is>
      </c>
      <c r="B541" t="inlineStr">
        <is>
          <t>SLE</t>
        </is>
      </c>
      <c r="C541" t="inlineStr">
        <is>
          <t>Chairperson, Canada Agricultural Review Tribunal of Canada</t>
        </is>
      </c>
      <c r="D541" t="inlineStr">
        <is>
          <t>Président, Commission de révision agricole du Canada</t>
        </is>
      </c>
      <c r="E541" t="inlineStr">
        <is>
          <t>Bélanger, Luc</t>
        </is>
      </c>
      <c r="F541" t="inlineStr">
        <is>
          <t>Working meeting with a member of the Tribunal</t>
        </is>
      </c>
      <c r="G541" t="inlineStr">
        <is>
          <t>Rencontre de travail avec une membre de la Commission</t>
        </is>
      </c>
      <c r="H541" s="1" t="n">
        <v>43759</v>
      </c>
      <c r="I541" s="1" t="n">
        <v>43761</v>
      </c>
      <c r="J541" t="inlineStr">
        <is>
          <t>Saskatoon, Saskatchewan, Canada</t>
        </is>
      </c>
      <c r="K541" t="inlineStr">
        <is>
          <t>Saskatoon, Saskatchewan, Canada</t>
        </is>
      </c>
      <c r="P541" t="n">
        <v>945.3099999999999</v>
      </c>
      <c r="Q541" t="n">
        <v>155.03</v>
      </c>
      <c r="R541" t="n">
        <v>352.14</v>
      </c>
      <c r="S541" t="n">
        <v>325.65</v>
      </c>
      <c r="T541" t="n">
        <v>0</v>
      </c>
      <c r="U541" t="n">
        <v>1778.13</v>
      </c>
      <c r="X541" t="inlineStr">
        <is>
          <t>atssc-scdata</t>
        </is>
      </c>
      <c r="Y541" t="inlineStr">
        <is>
          <t>Administrative Tribunals Support Service of Canada | Service canadien d'appui aux tribunaux administratifs</t>
        </is>
      </c>
      <c r="Z541" t="n">
        <v>3</v>
      </c>
      <c r="AA541" t="n">
        <v>1778.13</v>
      </c>
      <c r="AB541">
        <f>ROUND(U541-AA541,2)</f>
        <v/>
      </c>
      <c r="AC541" t="b">
        <v>0</v>
      </c>
      <c r="AD541">
        <f>IF(U541="","MISSING_TOTAL",IF(ABS(AB541)&lt;=0.01,"OK","CHECK"))</f>
        <v/>
      </c>
      <c r="AE541">
        <f>IF(U541="","MISSING",IF(AND(AA541&gt;0,U541/AA541&gt;50),"POSSIBLE_SCALE_ERROR","OK"))</f>
        <v/>
      </c>
    </row>
    <row r="542">
      <c r="A542" t="inlineStr">
        <is>
          <t>T-2019-P7-005</t>
        </is>
      </c>
      <c r="B542" t="inlineStr">
        <is>
          <t>SLE</t>
        </is>
      </c>
      <c r="C542" t="inlineStr">
        <is>
          <t>Chairperson, Canada Industrial Relations Board</t>
        </is>
      </c>
      <c r="D542" t="inlineStr">
        <is>
          <t>Présidente, Conseil canadien des relations industrielles</t>
        </is>
      </c>
      <c r="E542" t="inlineStr">
        <is>
          <t>Brazeau, Ginette</t>
        </is>
      </c>
      <c r="F542" t="inlineStr">
        <is>
          <t>2019 International Forum of Labour and Employment Dispute Resolution Agencies</t>
        </is>
      </c>
      <c r="G542" t="inlineStr">
        <is>
          <t>Forum international des agences de résolution des conflits du travail et de l'emploi de 2019</t>
        </is>
      </c>
      <c r="H542" s="1" t="n">
        <v>43723</v>
      </c>
      <c r="I542" s="1" t="n">
        <v>43726</v>
      </c>
      <c r="J542" t="inlineStr">
        <is>
          <t>Qubec City, Quebec, Canada</t>
        </is>
      </c>
      <c r="K542" t="inlineStr">
        <is>
          <t>Québec, Québec, Canada</t>
        </is>
      </c>
      <c r="P542" t="n">
        <v>0</v>
      </c>
      <c r="Q542" t="n">
        <v>320.76</v>
      </c>
      <c r="R542" t="n">
        <v>1148.35</v>
      </c>
      <c r="S542" t="n">
        <v>51.9</v>
      </c>
      <c r="T542" t="n">
        <v>0</v>
      </c>
      <c r="U542" t="n">
        <v>1521.01</v>
      </c>
      <c r="X542" t="inlineStr">
        <is>
          <t>atssc-scdata</t>
        </is>
      </c>
      <c r="Y542" t="inlineStr">
        <is>
          <t>Administrative Tribunals Support Service of Canada | Service canadien d'appui aux tribunaux administratifs</t>
        </is>
      </c>
      <c r="Z542" t="n">
        <v>4</v>
      </c>
      <c r="AA542" t="n">
        <v>1521.01</v>
      </c>
      <c r="AB542">
        <f>ROUND(U542-AA542,2)</f>
        <v/>
      </c>
      <c r="AC542" t="b">
        <v>0</v>
      </c>
      <c r="AD542">
        <f>IF(U542="","MISSING_TOTAL",IF(ABS(AB542)&lt;=0.01,"OK","CHECK"))</f>
        <v/>
      </c>
      <c r="AE542">
        <f>IF(U542="","MISSING",IF(AND(AA542&gt;0,U542/AA542&gt;50),"POSSIBLE_SCALE_ERROR","OK"))</f>
        <v/>
      </c>
    </row>
    <row r="543">
      <c r="A543" t="inlineStr">
        <is>
          <t>T-2019-P7-006</t>
        </is>
      </c>
      <c r="B543" t="inlineStr">
        <is>
          <t>SLE</t>
        </is>
      </c>
      <c r="C543" t="inlineStr">
        <is>
          <t>Chairperson, Canada Industrial Relations Board</t>
        </is>
      </c>
      <c r="D543" t="inlineStr">
        <is>
          <t>Présidente, Conseil canadien des relations industrielles</t>
        </is>
      </c>
      <c r="E543" t="inlineStr">
        <is>
          <t>Brazeau, Ginette</t>
        </is>
      </c>
      <c r="F543" t="inlineStr">
        <is>
          <t>2019 Annual Meeting of Labour Board Chairs and Administrators</t>
        </is>
      </c>
      <c r="G543" t="inlineStr">
        <is>
          <t>Assemblée annuelle des présidents et administrateurs du conseil du travail de 2019</t>
        </is>
      </c>
      <c r="H543" s="1" t="n">
        <v>43732</v>
      </c>
      <c r="I543" s="1" t="n">
        <v>43734</v>
      </c>
      <c r="J543" t="inlineStr">
        <is>
          <t>St-John's Newfoundland, Canada</t>
        </is>
      </c>
      <c r="K543" t="inlineStr">
        <is>
          <t>St-John's Terre-Neuve, Canada</t>
        </is>
      </c>
      <c r="P543" t="n">
        <v>639</v>
      </c>
      <c r="Q543" t="n">
        <v>904.83</v>
      </c>
      <c r="R543" t="n">
        <v>539.62</v>
      </c>
      <c r="S543" t="n">
        <v>213.9</v>
      </c>
      <c r="T543" t="n">
        <v>0</v>
      </c>
      <c r="U543" t="n">
        <v>2297.35</v>
      </c>
      <c r="V543" t="inlineStr">
        <is>
          <t>A credit of $473.69 was used to book this trip
Un crédit de 473,69$ a été utilisé pour ce voyage</t>
        </is>
      </c>
      <c r="X543" t="inlineStr">
        <is>
          <t>atssc-scdata</t>
        </is>
      </c>
      <c r="Y543" t="inlineStr">
        <is>
          <t>Administrative Tribunals Support Service of Canada | Service canadien d'appui aux tribunaux administratifs</t>
        </is>
      </c>
      <c r="Z543" t="n">
        <v>3</v>
      </c>
      <c r="AA543" t="n">
        <v>2297.35</v>
      </c>
      <c r="AB543">
        <f>ROUND(U543-AA543,2)</f>
        <v/>
      </c>
      <c r="AC543" t="b">
        <v>0</v>
      </c>
      <c r="AD543">
        <f>IF(U543="","MISSING_TOTAL",IF(ABS(AB543)&lt;=0.01,"OK","CHECK"))</f>
        <v/>
      </c>
      <c r="AE543">
        <f>IF(U543="","MISSING",IF(AND(AA543&gt;0,U543/AA543&gt;50),"POSSIBLE_SCALE_ERROR","OK"))</f>
        <v/>
      </c>
    </row>
    <row r="544">
      <c r="A544" t="inlineStr">
        <is>
          <t>T-2019-P7-007</t>
        </is>
      </c>
      <c r="B544" t="inlineStr">
        <is>
          <t>SLE</t>
        </is>
      </c>
      <c r="C544" t="inlineStr">
        <is>
          <t>Chairperson, Canada Industrial Relations Board</t>
        </is>
      </c>
      <c r="D544" t="inlineStr">
        <is>
          <t>Présidente, Conseil canadien des relations industrielles</t>
        </is>
      </c>
      <c r="E544" t="inlineStr">
        <is>
          <t>Brazeau, Ginette</t>
        </is>
      </c>
      <c r="F544" t="inlineStr">
        <is>
          <t>Association of Labor Relations Agencies (ALRA) Meeting</t>
        </is>
      </c>
      <c r="G544" t="inlineStr">
        <is>
          <t>Rencontre de "Association of Labor Relations Agencies (ALRA)"</t>
        </is>
      </c>
      <c r="H544" s="1" t="n">
        <v>43756</v>
      </c>
      <c r="I544" s="1" t="n">
        <v>43761</v>
      </c>
      <c r="J544" t="inlineStr">
        <is>
          <t>New York, New York, United States</t>
        </is>
      </c>
      <c r="K544" t="inlineStr">
        <is>
          <t>New York, New York, États-Unis</t>
        </is>
      </c>
      <c r="P544" t="n">
        <v>476.72</v>
      </c>
      <c r="Q544" t="n">
        <v>122.1</v>
      </c>
      <c r="R544" t="n">
        <v>931.13</v>
      </c>
      <c r="S544" t="n">
        <v>222.26</v>
      </c>
      <c r="T544" t="n">
        <v>0</v>
      </c>
      <c r="U544" t="n">
        <v>1752.21</v>
      </c>
      <c r="X544" t="inlineStr">
        <is>
          <t>atssc-scdata</t>
        </is>
      </c>
      <c r="Y544" t="inlineStr">
        <is>
          <t>Administrative Tribunals Support Service of Canada | Service canadien d'appui aux tribunaux administratifs</t>
        </is>
      </c>
      <c r="Z544" t="n">
        <v>6</v>
      </c>
      <c r="AA544" t="n">
        <v>1752.21</v>
      </c>
      <c r="AB544">
        <f>ROUND(U544-AA544,2)</f>
        <v/>
      </c>
      <c r="AC544" t="b">
        <v>0</v>
      </c>
      <c r="AD544">
        <f>IF(U544="","MISSING_TOTAL",IF(ABS(AB544)&lt;=0.01,"OK","CHECK"))</f>
        <v/>
      </c>
      <c r="AE544">
        <f>IF(U544="","MISSING",IF(AND(AA544&gt;0,U544/AA544&gt;50),"POSSIBLE_SCALE_ERROR","OK"))</f>
        <v/>
      </c>
    </row>
    <row r="545">
      <c r="A545" t="inlineStr">
        <is>
          <t>T-2019-P7-008</t>
        </is>
      </c>
      <c r="B545" t="inlineStr">
        <is>
          <t>SLE</t>
        </is>
      </c>
      <c r="C545" t="inlineStr">
        <is>
          <t>Chairperson, Canadian Cultural Property Export Review Board</t>
        </is>
      </c>
      <c r="D545" t="inlineStr">
        <is>
          <t>Présidente, Commission canadienne d'examen des exportations de biens culturels</t>
        </is>
      </c>
      <c r="E545" t="inlineStr">
        <is>
          <t>Ingram, Sharilyn</t>
        </is>
      </c>
      <c r="F545" t="inlineStr">
        <is>
          <t>Attend the Triennial Conference of the International Council of Museums</t>
        </is>
      </c>
      <c r="G545" t="inlineStr">
        <is>
          <t>Participer à la conférence triennale du Conseil international des musées</t>
        </is>
      </c>
      <c r="H545" s="1" t="n">
        <v>43704</v>
      </c>
      <c r="I545" s="1" t="n">
        <v>43714</v>
      </c>
      <c r="J545" t="inlineStr">
        <is>
          <t>Kyoto, Japan</t>
        </is>
      </c>
      <c r="K545" t="inlineStr">
        <is>
          <t>Kyoto, Japon</t>
        </is>
      </c>
      <c r="P545" t="n">
        <v>2083.4</v>
      </c>
      <c r="Q545" t="n">
        <v>184.58</v>
      </c>
      <c r="R545" t="n">
        <v>1709.73</v>
      </c>
      <c r="S545" t="n">
        <v>1013.77</v>
      </c>
      <c r="T545" t="n">
        <v>540.71</v>
      </c>
      <c r="U545" t="n">
        <v>5532.19</v>
      </c>
      <c r="X545" t="inlineStr">
        <is>
          <t>atssc-scdata</t>
        </is>
      </c>
      <c r="Y545" t="inlineStr">
        <is>
          <t>Administrative Tribunals Support Service of Canada | Service canadien d'appui aux tribunaux administratifs</t>
        </is>
      </c>
      <c r="Z545" t="n">
        <v>11</v>
      </c>
      <c r="AA545" t="n">
        <v>5532.19</v>
      </c>
      <c r="AB545">
        <f>ROUND(U545-AA545,2)</f>
        <v/>
      </c>
      <c r="AC545" t="b">
        <v>0</v>
      </c>
      <c r="AD545">
        <f>IF(U545="","MISSING_TOTAL",IF(ABS(AB545)&lt;=0.01,"OK","CHECK"))</f>
        <v/>
      </c>
      <c r="AE545">
        <f>IF(U545="","MISSING",IF(AND(AA545&gt;0,U545/AA545&gt;50),"POSSIBLE_SCALE_ERROR","OK"))</f>
        <v/>
      </c>
    </row>
    <row r="546">
      <c r="A546" t="inlineStr">
        <is>
          <t>T-2019-P7-009</t>
        </is>
      </c>
      <c r="B546" t="inlineStr">
        <is>
          <t>SLE</t>
        </is>
      </c>
      <c r="C546" t="inlineStr">
        <is>
          <t>Chairperson, Canadian Cultural Property Export Review Board</t>
        </is>
      </c>
      <c r="D546" t="inlineStr">
        <is>
          <t>Présidente, Commission canadienne d'examen des exportations de biens culturels</t>
        </is>
      </c>
      <c r="E546" t="inlineStr">
        <is>
          <t>Ingram, Sharilyn</t>
        </is>
      </c>
      <c r="F546" t="inlineStr">
        <is>
          <t>Attend a meeting with Lawyers and Stakeholders</t>
        </is>
      </c>
      <c r="G546" t="inlineStr">
        <is>
          <t>Assister à une réunion avec des avocats et des intervenants</t>
        </is>
      </c>
      <c r="H546" s="1" t="n">
        <v>43726</v>
      </c>
      <c r="I546" s="1" t="n">
        <v>43727</v>
      </c>
      <c r="J546" t="inlineStr">
        <is>
          <t>Toronto, Ontario, Canada</t>
        </is>
      </c>
      <c r="K546" t="inlineStr">
        <is>
          <t>Toronto, Ontario, Canada</t>
        </is>
      </c>
      <c r="P546" t="n">
        <v>0</v>
      </c>
      <c r="Q546" t="n">
        <v>48.78</v>
      </c>
      <c r="R546" t="n">
        <v>233.86</v>
      </c>
      <c r="S546" t="n">
        <v>125.85</v>
      </c>
      <c r="T546" t="n">
        <v>0</v>
      </c>
      <c r="U546" t="n">
        <v>408.49</v>
      </c>
      <c r="X546" t="inlineStr">
        <is>
          <t>atssc-scdata</t>
        </is>
      </c>
      <c r="Y546" t="inlineStr">
        <is>
          <t>Administrative Tribunals Support Service of Canada | Service canadien d'appui aux tribunaux administratifs</t>
        </is>
      </c>
      <c r="Z546" t="n">
        <v>2</v>
      </c>
      <c r="AA546" t="n">
        <v>408.49</v>
      </c>
      <c r="AB546">
        <f>ROUND(U546-AA546,2)</f>
        <v/>
      </c>
      <c r="AC546" t="b">
        <v>0</v>
      </c>
      <c r="AD546">
        <f>IF(U546="","MISSING_TOTAL",IF(ABS(AB546)&lt;=0.01,"OK","CHECK"))</f>
        <v/>
      </c>
      <c r="AE546">
        <f>IF(U546="","MISSING",IF(AND(AA546&gt;0,U546/AA546&gt;50),"POSSIBLE_SCALE_ERROR","OK"))</f>
        <v/>
      </c>
    </row>
    <row r="547">
      <c r="A547" t="inlineStr">
        <is>
          <t>T-2019-P7-010</t>
        </is>
      </c>
      <c r="B547" t="inlineStr">
        <is>
          <t>SLE</t>
        </is>
      </c>
      <c r="C547" t="inlineStr">
        <is>
          <t>Executive Director Canadian Cultural Property Export Review Board</t>
        </is>
      </c>
      <c r="D547" t="inlineStr">
        <is>
          <t>Directrice éxecutive Commission canadienne d'examen des exportations de biens culturels</t>
        </is>
      </c>
      <c r="E547" t="inlineStr">
        <is>
          <t>Kim, Mijin</t>
        </is>
      </c>
      <c r="F547" t="inlineStr">
        <is>
          <t>Attend a meeting with Lawyers and Stakeholders</t>
        </is>
      </c>
      <c r="G547" t="inlineStr">
        <is>
          <t>Assister à une réunion avec des avocats et des intervenants</t>
        </is>
      </c>
      <c r="H547" s="1" t="n">
        <v>43726</v>
      </c>
      <c r="I547" s="1" t="n">
        <v>43727</v>
      </c>
      <c r="J547" t="inlineStr">
        <is>
          <t>Toronto, Ontario, Canada</t>
        </is>
      </c>
      <c r="K547" t="inlineStr">
        <is>
          <t>Toronto, Ontario, Canada</t>
        </is>
      </c>
      <c r="P547" t="n">
        <v>658.15</v>
      </c>
      <c r="Q547" t="n">
        <v>76.59999999999999</v>
      </c>
      <c r="R547" t="n">
        <v>233.86</v>
      </c>
      <c r="S547" t="n">
        <v>125.85</v>
      </c>
      <c r="T547" t="n">
        <v>0</v>
      </c>
      <c r="U547" t="n">
        <v>1094.46</v>
      </c>
      <c r="X547" t="inlineStr">
        <is>
          <t>atssc-scdata</t>
        </is>
      </c>
      <c r="Y547" t="inlineStr">
        <is>
          <t>Administrative Tribunals Support Service of Canada | Service canadien d'appui aux tribunaux administratifs</t>
        </is>
      </c>
      <c r="Z547" t="n">
        <v>2</v>
      </c>
      <c r="AA547" t="n">
        <v>1094.46</v>
      </c>
      <c r="AB547">
        <f>ROUND(U547-AA547,2)</f>
        <v/>
      </c>
      <c r="AC547" t="b">
        <v>0</v>
      </c>
      <c r="AD547">
        <f>IF(U547="","MISSING_TOTAL",IF(ABS(AB547)&lt;=0.01,"OK","CHECK"))</f>
        <v/>
      </c>
      <c r="AE547">
        <f>IF(U547="","MISSING",IF(AND(AA547&gt;0,U547/AA547&gt;50),"POSSIBLE_SCALE_ERROR","OK"))</f>
        <v/>
      </c>
    </row>
    <row r="548">
      <c r="A548" t="inlineStr">
        <is>
          <t>T-2019-P7-011</t>
        </is>
      </c>
      <c r="B548" t="inlineStr">
        <is>
          <t>SLE</t>
        </is>
      </c>
      <c r="C548" t="inlineStr">
        <is>
          <t>Chairperson, Canadian Human Rights Tribunal</t>
        </is>
      </c>
      <c r="D548" t="inlineStr">
        <is>
          <t>Président, Tribunal canadien des droits de la personne</t>
        </is>
      </c>
      <c r="E548" t="inlineStr">
        <is>
          <t>Thomas, David</t>
        </is>
      </c>
      <c r="F548" t="inlineStr">
        <is>
          <t>Mediation</t>
        </is>
      </c>
      <c r="G548" t="inlineStr">
        <is>
          <t>Médiation</t>
        </is>
      </c>
      <c r="H548" s="1" t="n">
        <v>43717</v>
      </c>
      <c r="I548" s="1" t="n">
        <v>43719</v>
      </c>
      <c r="J548" t="inlineStr">
        <is>
          <t>Timmins, Ontario, Canada</t>
        </is>
      </c>
      <c r="K548" t="inlineStr">
        <is>
          <t>Timmins, Ontario, Canada</t>
        </is>
      </c>
      <c r="P548" t="n">
        <v>1070.73</v>
      </c>
      <c r="Q548" t="n">
        <v>168.17</v>
      </c>
      <c r="R548" t="n">
        <v>350.2</v>
      </c>
      <c r="S548" t="n">
        <v>234.4</v>
      </c>
      <c r="T548" t="n">
        <v>0</v>
      </c>
      <c r="U548" t="n">
        <v>1823.5</v>
      </c>
      <c r="X548" t="inlineStr">
        <is>
          <t>atssc-scdata</t>
        </is>
      </c>
      <c r="Y548" t="inlineStr">
        <is>
          <t>Administrative Tribunals Support Service of Canada | Service canadien d'appui aux tribunaux administratifs</t>
        </is>
      </c>
      <c r="Z548" t="n">
        <v>3</v>
      </c>
      <c r="AA548" t="n">
        <v>1823.5</v>
      </c>
      <c r="AB548">
        <f>ROUND(U548-AA548,2)</f>
        <v/>
      </c>
      <c r="AC548" t="b">
        <v>0</v>
      </c>
      <c r="AD548">
        <f>IF(U548="","MISSING_TOTAL",IF(ABS(AB548)&lt;=0.01,"OK","CHECK"))</f>
        <v/>
      </c>
      <c r="AE548">
        <f>IF(U548="","MISSING",IF(AND(AA548&gt;0,U548/AA548&gt;50),"POSSIBLE_SCALE_ERROR","OK"))</f>
        <v/>
      </c>
    </row>
    <row r="549">
      <c r="A549" t="inlineStr">
        <is>
          <t>T-2019-P7-012</t>
        </is>
      </c>
      <c r="B549" t="inlineStr">
        <is>
          <t>SLE</t>
        </is>
      </c>
      <c r="C549" t="inlineStr">
        <is>
          <t>Chairperson, Canadian Human Rights Tribunal</t>
        </is>
      </c>
      <c r="D549" t="inlineStr">
        <is>
          <t>Président, Tribunal canadien des droits de la personne</t>
        </is>
      </c>
      <c r="E549" t="inlineStr">
        <is>
          <t>Thomas, David</t>
        </is>
      </c>
      <c r="F549" t="inlineStr">
        <is>
          <t>Mediation</t>
        </is>
      </c>
      <c r="G549" t="inlineStr">
        <is>
          <t>Médiation</t>
        </is>
      </c>
      <c r="H549" s="1" t="n">
        <v>43729</v>
      </c>
      <c r="I549" s="1" t="n">
        <v>43731</v>
      </c>
      <c r="J549" t="inlineStr">
        <is>
          <t>Gander, Newfoundland, Canada</t>
        </is>
      </c>
      <c r="K549" t="inlineStr">
        <is>
          <t>Gander, Terre-Neuve, Canada</t>
        </is>
      </c>
      <c r="P549" t="n">
        <v>765.99</v>
      </c>
      <c r="Q549" t="n">
        <v>142.59</v>
      </c>
      <c r="R549" t="n">
        <v>253</v>
      </c>
      <c r="S549" t="n">
        <v>325.65</v>
      </c>
      <c r="T549" t="n">
        <v>0</v>
      </c>
      <c r="U549" t="n">
        <v>1487.23</v>
      </c>
      <c r="X549" t="inlineStr">
        <is>
          <t>atssc-scdata</t>
        </is>
      </c>
      <c r="Y549" t="inlineStr">
        <is>
          <t>Administrative Tribunals Support Service of Canada | Service canadien d'appui aux tribunaux administratifs</t>
        </is>
      </c>
      <c r="Z549" t="n">
        <v>3</v>
      </c>
      <c r="AA549" t="n">
        <v>1487.23</v>
      </c>
      <c r="AB549">
        <f>ROUND(U549-AA549,2)</f>
        <v/>
      </c>
      <c r="AC549" t="b">
        <v>0</v>
      </c>
      <c r="AD549">
        <f>IF(U549="","MISSING_TOTAL",IF(ABS(AB549)&lt;=0.01,"OK","CHECK"))</f>
        <v/>
      </c>
      <c r="AE549">
        <f>IF(U549="","MISSING",IF(AND(AA549&gt;0,U549/AA549&gt;50),"POSSIBLE_SCALE_ERROR","OK"))</f>
        <v/>
      </c>
    </row>
    <row r="550">
      <c r="A550" t="inlineStr">
        <is>
          <t>T2019-P8-0001</t>
        </is>
      </c>
      <c r="B550" t="inlineStr">
        <is>
          <t>SLE</t>
        </is>
      </c>
      <c r="C550" t="inlineStr">
        <is>
          <t>Chairperson, Social Security Tribunal of Canada</t>
        </is>
      </c>
      <c r="D550" t="inlineStr">
        <is>
          <t>Président, Tribunal de la sécurité sociale du Canada</t>
        </is>
      </c>
      <c r="E550" t="inlineStr">
        <is>
          <t>Aterman, Paul</t>
        </is>
      </c>
      <c r="F550" t="inlineStr">
        <is>
          <t>Training</t>
        </is>
      </c>
      <c r="G550" t="inlineStr">
        <is>
          <t>Formation</t>
        </is>
      </c>
      <c r="H550" s="1" t="n">
        <v>43766</v>
      </c>
      <c r="I550" s="1" t="n">
        <v>43767</v>
      </c>
      <c r="J550" t="inlineStr">
        <is>
          <t>Toronto, Ontario, Canada</t>
        </is>
      </c>
      <c r="K550" t="inlineStr">
        <is>
          <t>Toronto, Ontario, Canada</t>
        </is>
      </c>
      <c r="P550" t="n">
        <v>328.56</v>
      </c>
      <c r="Q550" t="n">
        <v>80.61</v>
      </c>
      <c r="R550" t="n">
        <v>222.11</v>
      </c>
      <c r="S550" t="n">
        <v>176.65</v>
      </c>
      <c r="T550" t="n">
        <v>0</v>
      </c>
      <c r="U550" t="n">
        <v>807.9299999999999</v>
      </c>
      <c r="X550" t="inlineStr">
        <is>
          <t>atssc-scdata</t>
        </is>
      </c>
      <c r="Y550" t="inlineStr">
        <is>
          <t>Administrative Tribunals Support Service of Canada | Service canadien d'appui aux tribunaux administratifs</t>
        </is>
      </c>
      <c r="Z550" t="n">
        <v>2</v>
      </c>
      <c r="AA550" t="n">
        <v>807.9299999999999</v>
      </c>
      <c r="AB550">
        <f>ROUND(U550-AA550,2)</f>
        <v/>
      </c>
      <c r="AC550" t="b">
        <v>0</v>
      </c>
      <c r="AD550">
        <f>IF(U550="","MISSING_TOTAL",IF(ABS(AB550)&lt;=0.01,"OK","CHECK"))</f>
        <v/>
      </c>
      <c r="AE550">
        <f>IF(U550="","MISSING",IF(AND(AA550&gt;0,U550/AA550&gt;50),"POSSIBLE_SCALE_ERROR","OK"))</f>
        <v/>
      </c>
    </row>
    <row r="551">
      <c r="A551" t="inlineStr">
        <is>
          <t>T2019-P8-0002</t>
        </is>
      </c>
      <c r="B551" t="inlineStr">
        <is>
          <t>SLE</t>
        </is>
      </c>
      <c r="C551" t="inlineStr">
        <is>
          <t>Chairperson,  Social Security Tribunal of Canada</t>
        </is>
      </c>
      <c r="D551" t="inlineStr">
        <is>
          <t>Président, Tribunal de la sécurité sociale du Canada</t>
        </is>
      </c>
      <c r="E551" t="inlineStr">
        <is>
          <t>Aterman, Paul</t>
        </is>
      </c>
      <c r="F551" t="inlineStr">
        <is>
          <t>Training</t>
        </is>
      </c>
      <c r="G551" t="inlineStr">
        <is>
          <t>Formation</t>
        </is>
      </c>
      <c r="H551" s="1" t="n">
        <v>43773</v>
      </c>
      <c r="I551" s="1" t="n">
        <v>43776</v>
      </c>
      <c r="J551" t="inlineStr">
        <is>
          <t>Toronto, Ontario, Canada</t>
        </is>
      </c>
      <c r="K551" t="inlineStr">
        <is>
          <t>Toronto, Ontario, Canada</t>
        </is>
      </c>
      <c r="P551" t="n">
        <v>499.74</v>
      </c>
      <c r="Q551" t="n">
        <v>25.88</v>
      </c>
      <c r="R551" t="n">
        <v>652.23</v>
      </c>
      <c r="S551" t="n">
        <v>281.9</v>
      </c>
      <c r="T551" t="n">
        <v>0</v>
      </c>
      <c r="U551" t="n">
        <v>1459.75</v>
      </c>
      <c r="X551" t="inlineStr">
        <is>
          <t>atssc-scdata</t>
        </is>
      </c>
      <c r="Y551" t="inlineStr">
        <is>
          <t>Administrative Tribunals Support Service of Canada | Service canadien d'appui aux tribunaux administratifs</t>
        </is>
      </c>
      <c r="Z551" t="n">
        <v>4</v>
      </c>
      <c r="AA551" t="n">
        <v>1459.75</v>
      </c>
      <c r="AB551">
        <f>ROUND(U551-AA551,2)</f>
        <v/>
      </c>
      <c r="AC551" t="b">
        <v>0</v>
      </c>
      <c r="AD551">
        <f>IF(U551="","MISSING_TOTAL",IF(ABS(AB551)&lt;=0.01,"OK","CHECK"))</f>
        <v/>
      </c>
      <c r="AE551">
        <f>IF(U551="","MISSING",IF(AND(AA551&gt;0,U551/AA551&gt;50),"POSSIBLE_SCALE_ERROR","OK"))</f>
        <v/>
      </c>
    </row>
    <row r="552">
      <c r="A552" t="inlineStr">
        <is>
          <t>T2019-P8-0003</t>
        </is>
      </c>
      <c r="B552" t="inlineStr">
        <is>
          <t>SLE</t>
        </is>
      </c>
      <c r="C552" t="inlineStr">
        <is>
          <t>Chairperson, Canadian International Trade Tribunal</t>
        </is>
      </c>
      <c r="D552" t="inlineStr">
        <is>
          <t>Président, Tribunal canadien du commerce extérieur</t>
        </is>
      </c>
      <c r="E552" t="inlineStr">
        <is>
          <t>Bédard, Jean</t>
        </is>
      </c>
      <c r="F552" t="inlineStr">
        <is>
          <t>Georgetown 2019 International Trade Update</t>
        </is>
      </c>
      <c r="G552" t="inlineStr">
        <is>
          <t>Mise à jour du commerce international de Georgetown 2019</t>
        </is>
      </c>
      <c r="H552" s="1" t="n">
        <v>43531</v>
      </c>
      <c r="I552" s="1" t="n">
        <v>43532</v>
      </c>
      <c r="J552" t="inlineStr">
        <is>
          <t>Washington, District of Columbia, United States</t>
        </is>
      </c>
      <c r="K552" t="inlineStr">
        <is>
          <t>Washington, District de Columbia, États-Unis</t>
        </is>
      </c>
      <c r="P552" t="n">
        <v>689.74</v>
      </c>
      <c r="Q552" t="n">
        <v>112.03</v>
      </c>
      <c r="R552" t="n">
        <v>869.89</v>
      </c>
      <c r="S552" t="n">
        <v>382.84</v>
      </c>
      <c r="T552" t="n">
        <v>0</v>
      </c>
      <c r="U552" t="n">
        <v>2054.5</v>
      </c>
      <c r="X552" t="inlineStr">
        <is>
          <t>atssc-scdata</t>
        </is>
      </c>
      <c r="Y552" t="inlineStr">
        <is>
          <t>Administrative Tribunals Support Service of Canada | Service canadien d'appui aux tribunaux administratifs</t>
        </is>
      </c>
      <c r="Z552" t="n">
        <v>2</v>
      </c>
      <c r="AA552" t="n">
        <v>2054.5</v>
      </c>
      <c r="AB552">
        <f>ROUND(U552-AA552,2)</f>
        <v/>
      </c>
      <c r="AC552" t="b">
        <v>0</v>
      </c>
      <c r="AD552">
        <f>IF(U552="","MISSING_TOTAL",IF(ABS(AB552)&lt;=0.01,"OK","CHECK"))</f>
        <v/>
      </c>
      <c r="AE552">
        <f>IF(U552="","MISSING",IF(AND(AA552&gt;0,U552/AA552&gt;50),"POSSIBLE_SCALE_ERROR","OK"))</f>
        <v/>
      </c>
    </row>
    <row r="553">
      <c r="A553" t="inlineStr">
        <is>
          <t>T2019-P8-0004</t>
        </is>
      </c>
      <c r="B553" t="inlineStr">
        <is>
          <t>SLE</t>
        </is>
      </c>
      <c r="C553" t="inlineStr">
        <is>
          <t>Chairperson, Canadian International Trade Tribunal</t>
        </is>
      </c>
      <c r="D553" t="inlineStr">
        <is>
          <t>Président, Tribunal canadien du commerce extérieur</t>
        </is>
      </c>
      <c r="E553" t="inlineStr">
        <is>
          <t>Bédard, Jean</t>
        </is>
      </c>
      <c r="F553" t="inlineStr">
        <is>
          <t>Attend the annual Seoul International Trade Remedy Forum</t>
        </is>
      </c>
      <c r="G553" t="inlineStr">
        <is>
          <t>Participer au Forum annuel de Séoul sur les recours commerciaux</t>
        </is>
      </c>
      <c r="H553" s="1" t="n">
        <v>43598</v>
      </c>
      <c r="I553" s="1" t="n">
        <v>43603</v>
      </c>
      <c r="J553" t="inlineStr">
        <is>
          <t>Seoul, South Korea</t>
        </is>
      </c>
      <c r="K553" t="inlineStr">
        <is>
          <t>Séoul, Corée du Sud</t>
        </is>
      </c>
      <c r="P553" t="n">
        <v>5211.34</v>
      </c>
      <c r="Q553" t="n">
        <v>84.26000000000001</v>
      </c>
      <c r="R553" t="n">
        <v>1200.46</v>
      </c>
      <c r="S553" t="n">
        <v>686.15</v>
      </c>
      <c r="T553" t="n">
        <v>0</v>
      </c>
      <c r="U553" t="n">
        <v>7182.21</v>
      </c>
      <c r="X553" t="inlineStr">
        <is>
          <t>atssc-scdata</t>
        </is>
      </c>
      <c r="Y553" t="inlineStr">
        <is>
          <t>Administrative Tribunals Support Service of Canada | Service canadien d'appui aux tribunaux administratifs</t>
        </is>
      </c>
      <c r="Z553" t="n">
        <v>6</v>
      </c>
      <c r="AA553" t="n">
        <v>7182.21</v>
      </c>
      <c r="AB553">
        <f>ROUND(U553-AA553,2)</f>
        <v/>
      </c>
      <c r="AC553" t="b">
        <v>0</v>
      </c>
      <c r="AD553">
        <f>IF(U553="","MISSING_TOTAL",IF(ABS(AB553)&lt;=0.01,"OK","CHECK"))</f>
        <v/>
      </c>
      <c r="AE553">
        <f>IF(U553="","MISSING",IF(AND(AA553&gt;0,U553/AA553&gt;50),"POSSIBLE_SCALE_ERROR","OK"))</f>
        <v/>
      </c>
    </row>
    <row r="554">
      <c r="A554" t="inlineStr">
        <is>
          <t>T2019-P8-0005</t>
        </is>
      </c>
      <c r="B554" t="inlineStr">
        <is>
          <t>SLE</t>
        </is>
      </c>
      <c r="C554" t="inlineStr">
        <is>
          <t>Chairperson, Canadian International Trade Tribunal</t>
        </is>
      </c>
      <c r="D554" t="inlineStr">
        <is>
          <t>Président, Tribunal canadien du commerce extérieur</t>
        </is>
      </c>
      <c r="E554" t="inlineStr">
        <is>
          <t>Bédard, Jean</t>
        </is>
      </c>
      <c r="F554" t="inlineStr">
        <is>
          <t>CCAT Symposium</t>
        </is>
      </c>
      <c r="G554" t="inlineStr">
        <is>
          <t>Symposium du CTAC</t>
        </is>
      </c>
      <c r="H554" s="1" t="n">
        <v>43610</v>
      </c>
      <c r="I554" s="1" t="n">
        <v>43613</v>
      </c>
      <c r="J554" t="inlineStr">
        <is>
          <t>Montreal, Quebec, Canada</t>
        </is>
      </c>
      <c r="K554" t="inlineStr">
        <is>
          <t>Montréal, Québec, Canada</t>
        </is>
      </c>
      <c r="P554" t="n">
        <v>0</v>
      </c>
      <c r="Q554" t="n">
        <v>205.83</v>
      </c>
      <c r="R554" t="n">
        <v>696.15</v>
      </c>
      <c r="S554" t="n">
        <v>241.65</v>
      </c>
      <c r="T554" t="n">
        <v>0</v>
      </c>
      <c r="U554" t="n">
        <v>1143.63</v>
      </c>
      <c r="X554" t="inlineStr">
        <is>
          <t>atssc-scdata</t>
        </is>
      </c>
      <c r="Y554" t="inlineStr">
        <is>
          <t>Administrative Tribunals Support Service of Canada | Service canadien d'appui aux tribunaux administratifs</t>
        </is>
      </c>
      <c r="Z554" t="n">
        <v>4</v>
      </c>
      <c r="AA554" t="n">
        <v>1143.63</v>
      </c>
      <c r="AB554">
        <f>ROUND(U554-AA554,2)</f>
        <v/>
      </c>
      <c r="AC554" t="b">
        <v>0</v>
      </c>
      <c r="AD554">
        <f>IF(U554="","MISSING_TOTAL",IF(ABS(AB554)&lt;=0.01,"OK","CHECK"))</f>
        <v/>
      </c>
      <c r="AE554">
        <f>IF(U554="","MISSING",IF(AND(AA554&gt;0,U554/AA554&gt;50),"POSSIBLE_SCALE_ERROR","OK"))</f>
        <v/>
      </c>
    </row>
    <row r="555">
      <c r="A555" t="inlineStr">
        <is>
          <t>T2019-P8-0006</t>
        </is>
      </c>
      <c r="B555" t="inlineStr">
        <is>
          <t>SLE</t>
        </is>
      </c>
      <c r="C555" t="inlineStr">
        <is>
          <t>Chairperson, Canadian International Trade Tribunal</t>
        </is>
      </c>
      <c r="D555" t="inlineStr">
        <is>
          <t>Président, Tribunal canadien du commerce extérieur</t>
        </is>
      </c>
      <c r="E555" t="inlineStr">
        <is>
          <t>Bédard, Jean</t>
        </is>
      </c>
      <c r="F555" t="inlineStr">
        <is>
          <t>Attend the 'XV World Customs Law Meeting' conference</t>
        </is>
      </c>
      <c r="G555" t="inlineStr">
        <is>
          <t>Assister à la conférence "XV World Customs Law Meeting"</t>
        </is>
      </c>
      <c r="H555" s="1" t="n">
        <v>43717</v>
      </c>
      <c r="I555" s="1" t="n">
        <v>43722</v>
      </c>
      <c r="J555" t="inlineStr">
        <is>
          <t>Seville, Spain</t>
        </is>
      </c>
      <c r="K555" t="inlineStr">
        <is>
          <t>Séville, Espagne</t>
        </is>
      </c>
      <c r="P555" t="n">
        <v>5644.24</v>
      </c>
      <c r="Q555" t="n">
        <v>114.81</v>
      </c>
      <c r="R555" t="n">
        <v>759.41</v>
      </c>
      <c r="S555" t="n">
        <v>591.42</v>
      </c>
      <c r="T555" t="n">
        <v>0</v>
      </c>
      <c r="U555" t="n">
        <v>7109.88</v>
      </c>
      <c r="X555" t="inlineStr">
        <is>
          <t>atssc-scdata</t>
        </is>
      </c>
      <c r="Y555" t="inlineStr">
        <is>
          <t>Administrative Tribunals Support Service of Canada | Service canadien d'appui aux tribunaux administratifs</t>
        </is>
      </c>
      <c r="Z555" t="n">
        <v>6</v>
      </c>
      <c r="AA555" t="n">
        <v>7109.88</v>
      </c>
      <c r="AB555">
        <f>ROUND(U555-AA555,2)</f>
        <v/>
      </c>
      <c r="AC555" t="b">
        <v>0</v>
      </c>
      <c r="AD555">
        <f>IF(U555="","MISSING_TOTAL",IF(ABS(AB555)&lt;=0.01,"OK","CHECK"))</f>
        <v/>
      </c>
      <c r="AE555">
        <f>IF(U555="","MISSING",IF(AND(AA555&gt;0,U555/AA555&gt;50),"POSSIBLE_SCALE_ERROR","OK"))</f>
        <v/>
      </c>
    </row>
    <row r="556">
      <c r="A556" t="inlineStr">
        <is>
          <t>T2019-P8-0007</t>
        </is>
      </c>
      <c r="B556" t="inlineStr">
        <is>
          <t>SLE</t>
        </is>
      </c>
      <c r="C556" t="inlineStr">
        <is>
          <t>Chairperson, Public Service Labour Relations and Employment Board Tribunal</t>
        </is>
      </c>
      <c r="D556" t="inlineStr">
        <is>
          <t>Présidente, Tribunal de la commission des relations de travail et de l’emploi dans la fonction publique</t>
        </is>
      </c>
      <c r="E556" t="inlineStr">
        <is>
          <t>Ebbs, Catherine</t>
        </is>
      </c>
      <c r="F556" t="inlineStr">
        <is>
          <t>Hearing</t>
        </is>
      </c>
      <c r="G556" t="inlineStr">
        <is>
          <t>Audience</t>
        </is>
      </c>
      <c r="H556" s="1" t="n">
        <v>43760</v>
      </c>
      <c r="I556" s="1" t="n">
        <v>43762</v>
      </c>
      <c r="J556" t="inlineStr">
        <is>
          <t>Moncton, New Brunswick, Canada</t>
        </is>
      </c>
      <c r="K556" t="inlineStr">
        <is>
          <t>Moncton, Nouveau-Brunswick, Canada</t>
        </is>
      </c>
      <c r="P556" t="n">
        <v>764.66</v>
      </c>
      <c r="Q556" t="n">
        <v>64.48999999999999</v>
      </c>
      <c r="R556" t="n">
        <v>345.18</v>
      </c>
      <c r="S556" t="n">
        <v>285.45</v>
      </c>
      <c r="T556" t="n">
        <v>0</v>
      </c>
      <c r="U556" t="n">
        <v>1459.78</v>
      </c>
      <c r="X556" t="inlineStr">
        <is>
          <t>atssc-scdata</t>
        </is>
      </c>
      <c r="Y556" t="inlineStr">
        <is>
          <t>Administrative Tribunals Support Service of Canada | Service canadien d'appui aux tribunaux administratifs</t>
        </is>
      </c>
      <c r="Z556" t="n">
        <v>3</v>
      </c>
      <c r="AA556" t="n">
        <v>1459.78</v>
      </c>
      <c r="AB556">
        <f>ROUND(U556-AA556,2)</f>
        <v/>
      </c>
      <c r="AC556" t="b">
        <v>0</v>
      </c>
      <c r="AD556">
        <f>IF(U556="","MISSING_TOTAL",IF(ABS(AB556)&lt;=0.01,"OK","CHECK"))</f>
        <v/>
      </c>
      <c r="AE556">
        <f>IF(U556="","MISSING",IF(AND(AA556&gt;0,U556/AA556&gt;50),"POSSIBLE_SCALE_ERROR","OK"))</f>
        <v/>
      </c>
    </row>
    <row r="557">
      <c r="A557" t="inlineStr">
        <is>
          <t>T2019-P8-0008</t>
        </is>
      </c>
      <c r="B557" t="inlineStr">
        <is>
          <t>SLE</t>
        </is>
      </c>
      <c r="C557" t="inlineStr">
        <is>
          <t>Chairperson, Canadian Cultural Property Export Review Board</t>
        </is>
      </c>
      <c r="D557" t="inlineStr">
        <is>
          <t>Présidente, Commission canadienne d'examen des exportations de biens culturels</t>
        </is>
      </c>
      <c r="E557" t="inlineStr">
        <is>
          <t>Ingram, Sharilyn</t>
        </is>
      </c>
      <c r="F557" t="inlineStr">
        <is>
          <t>To attend the Sub-Committee meeting and Board meeting</t>
        </is>
      </c>
      <c r="G557" t="inlineStr">
        <is>
          <t>Participer à la réunion des sous-comités et la réunion des membres de la Commission</t>
        </is>
      </c>
      <c r="H557" s="1" t="n">
        <v>43717</v>
      </c>
      <c r="I557" s="1" t="n">
        <v>43721</v>
      </c>
      <c r="J557" t="inlineStr">
        <is>
          <t>Ottawa, Ontario, Canada</t>
        </is>
      </c>
      <c r="K557" t="inlineStr">
        <is>
          <t>Ottawa, Ontario, Canada</t>
        </is>
      </c>
      <c r="P557" t="n">
        <v>452.28</v>
      </c>
      <c r="Q557" t="n">
        <v>247.36</v>
      </c>
      <c r="R557" t="n">
        <v>785.04</v>
      </c>
      <c r="S557" t="n">
        <v>502.15</v>
      </c>
      <c r="T557" t="n">
        <v>0</v>
      </c>
      <c r="U557" t="n">
        <v>1986.83</v>
      </c>
      <c r="X557" t="inlineStr">
        <is>
          <t>atssc-scdata</t>
        </is>
      </c>
      <c r="Y557" t="inlineStr">
        <is>
          <t>Administrative Tribunals Support Service of Canada | Service canadien d'appui aux tribunaux administratifs</t>
        </is>
      </c>
      <c r="Z557" t="n">
        <v>5</v>
      </c>
      <c r="AA557" t="n">
        <v>1986.83</v>
      </c>
      <c r="AB557">
        <f>ROUND(U557-AA557,2)</f>
        <v/>
      </c>
      <c r="AC557" t="b">
        <v>0</v>
      </c>
      <c r="AD557">
        <f>IF(U557="","MISSING_TOTAL",IF(ABS(AB557)&lt;=0.01,"OK","CHECK"))</f>
        <v/>
      </c>
      <c r="AE557">
        <f>IF(U557="","MISSING",IF(AND(AA557&gt;0,U557/AA557&gt;50),"POSSIBLE_SCALE_ERROR","OK"))</f>
        <v/>
      </c>
    </row>
    <row r="558">
      <c r="A558" t="inlineStr">
        <is>
          <t>T2019-P8-0009</t>
        </is>
      </c>
      <c r="B558" t="inlineStr">
        <is>
          <t>SLE</t>
        </is>
      </c>
      <c r="C558" t="inlineStr">
        <is>
          <t>Chairperson, Canadian Cultural Property Export Review Board</t>
        </is>
      </c>
      <c r="D558" t="inlineStr">
        <is>
          <t>Présidente, Commission canadienne d'examen des exportations de biens culturels</t>
        </is>
      </c>
      <c r="E558" t="inlineStr">
        <is>
          <t>Ingram, Sharilyn</t>
        </is>
      </c>
      <c r="F558" t="inlineStr">
        <is>
          <t>To attend meetings with ATSSC Chairs, Canadian Heritage and CCPERB Secretariat</t>
        </is>
      </c>
      <c r="G558" t="inlineStr">
        <is>
          <t>Participer à la réunion des Présidents du SCDATA, réunion avec Patrimoine canadien et réunion avec le Secrétariat de la CCEEBC</t>
        </is>
      </c>
      <c r="H558" s="1" t="n">
        <v>43754</v>
      </c>
      <c r="I558" s="1" t="n">
        <v>43756</v>
      </c>
      <c r="J558" t="inlineStr">
        <is>
          <t>Ottawa, Ontario, Canada</t>
        </is>
      </c>
      <c r="K558" t="inlineStr">
        <is>
          <t>Ottawa, Ontario, Canada</t>
        </is>
      </c>
      <c r="P558" t="n">
        <v>0</v>
      </c>
      <c r="Q558" t="n">
        <v>660.6</v>
      </c>
      <c r="R558" t="n">
        <v>392.52</v>
      </c>
      <c r="S558" t="n">
        <v>285.45</v>
      </c>
      <c r="T558" t="n">
        <v>0</v>
      </c>
      <c r="U558" t="n">
        <v>1338.57</v>
      </c>
      <c r="X558" t="inlineStr">
        <is>
          <t>atssc-scdata</t>
        </is>
      </c>
      <c r="Y558" t="inlineStr">
        <is>
          <t>Administrative Tribunals Support Service of Canada | Service canadien d'appui aux tribunaux administratifs</t>
        </is>
      </c>
      <c r="Z558" t="n">
        <v>3</v>
      </c>
      <c r="AA558" t="n">
        <v>1338.57</v>
      </c>
      <c r="AB558">
        <f>ROUND(U558-AA558,2)</f>
        <v/>
      </c>
      <c r="AC558" t="b">
        <v>0</v>
      </c>
      <c r="AD558">
        <f>IF(U558="","MISSING_TOTAL",IF(ABS(AB558)&lt;=0.01,"OK","CHECK"))</f>
        <v/>
      </c>
      <c r="AE558">
        <f>IF(U558="","MISSING",IF(AND(AA558&gt;0,U558/AA558&gt;50),"POSSIBLE_SCALE_ERROR","OK"))</f>
        <v/>
      </c>
    </row>
    <row r="559">
      <c r="A559" t="inlineStr">
        <is>
          <t>T2019-P8-0010</t>
        </is>
      </c>
      <c r="B559" t="inlineStr">
        <is>
          <t>SLE</t>
        </is>
      </c>
      <c r="C559" t="inlineStr">
        <is>
          <t>Chairperson, Canadian Cultural Property Export Review Board</t>
        </is>
      </c>
      <c r="D559" t="inlineStr">
        <is>
          <t>Présidente, Commission canadienne d'examen des exportations de biens culturels</t>
        </is>
      </c>
      <c r="E559" t="inlineStr">
        <is>
          <t>Ingram, Sharilyn</t>
        </is>
      </c>
      <c r="F559" t="inlineStr">
        <is>
          <t>Meetings with Toronto Laywers and the Toronto Art Fair</t>
        </is>
      </c>
      <c r="G559" t="inlineStr">
        <is>
          <t>Rencontres avec des avocats de Toronto et assister à 'Toronto Art Fair'</t>
        </is>
      </c>
      <c r="H559" s="1" t="n">
        <v>43762</v>
      </c>
      <c r="I559" s="1" t="n">
        <v>43763</v>
      </c>
      <c r="J559" t="inlineStr">
        <is>
          <t>Toronto, Ontario, Canada</t>
        </is>
      </c>
      <c r="K559" t="inlineStr">
        <is>
          <t>Toronto, Ontario, Canada</t>
        </is>
      </c>
      <c r="P559" t="n">
        <v>0</v>
      </c>
      <c r="Q559" t="n">
        <v>48.78</v>
      </c>
      <c r="R559" t="n">
        <v>233.86</v>
      </c>
      <c r="S559" t="n">
        <v>146.7</v>
      </c>
      <c r="T559" t="n">
        <v>0</v>
      </c>
      <c r="U559" t="n">
        <v>429.34</v>
      </c>
      <c r="X559" t="inlineStr">
        <is>
          <t>atssc-scdata</t>
        </is>
      </c>
      <c r="Y559" t="inlineStr">
        <is>
          <t>Administrative Tribunals Support Service of Canada | Service canadien d'appui aux tribunaux administratifs</t>
        </is>
      </c>
      <c r="Z559" t="n">
        <v>2</v>
      </c>
      <c r="AA559" t="n">
        <v>429.34</v>
      </c>
      <c r="AB559">
        <f>ROUND(U559-AA559,2)</f>
        <v/>
      </c>
      <c r="AC559" t="b">
        <v>0</v>
      </c>
      <c r="AD559">
        <f>IF(U559="","MISSING_TOTAL",IF(ABS(AB559)&lt;=0.01,"OK","CHECK"))</f>
        <v/>
      </c>
      <c r="AE559">
        <f>IF(U559="","MISSING",IF(AND(AA559&gt;0,U559/AA559&gt;50),"POSSIBLE_SCALE_ERROR","OK"))</f>
        <v/>
      </c>
    </row>
    <row r="560">
      <c r="A560" t="inlineStr">
        <is>
          <t>T2019-P8-0011</t>
        </is>
      </c>
      <c r="B560" t="inlineStr">
        <is>
          <t>SLE</t>
        </is>
      </c>
      <c r="C560" t="inlineStr">
        <is>
          <t>Chairperson, Canadian Cultural Property Export Review Board</t>
        </is>
      </c>
      <c r="D560" t="inlineStr">
        <is>
          <t>Présidente, Commission canadienne d'examen des exportations de biens culturels</t>
        </is>
      </c>
      <c r="E560" t="inlineStr">
        <is>
          <t>Ingram, Sharilyn</t>
        </is>
      </c>
      <c r="F560" t="inlineStr">
        <is>
          <t>Attend the Board Retreat</t>
        </is>
      </c>
      <c r="G560" t="inlineStr">
        <is>
          <t>Assister à la retraite des Membres de la Commission</t>
        </is>
      </c>
      <c r="H560" s="1" t="n">
        <v>43772</v>
      </c>
      <c r="I560" s="1" t="n">
        <v>43774</v>
      </c>
      <c r="J560" t="inlineStr">
        <is>
          <t>Winnipeg, Manitoba, Canada</t>
        </is>
      </c>
      <c r="K560" t="inlineStr">
        <is>
          <t>Winnipeg, Manitoba, Canada</t>
        </is>
      </c>
      <c r="P560" t="n">
        <v>732.3200000000001</v>
      </c>
      <c r="Q560" t="n">
        <v>181.36</v>
      </c>
      <c r="R560" t="n">
        <v>316.58</v>
      </c>
      <c r="S560" t="n">
        <v>244.75</v>
      </c>
      <c r="T560" t="n">
        <v>0</v>
      </c>
      <c r="U560" t="n">
        <v>1475.01</v>
      </c>
      <c r="X560" t="inlineStr">
        <is>
          <t>atssc-scdata</t>
        </is>
      </c>
      <c r="Y560" t="inlineStr">
        <is>
          <t>Administrative Tribunals Support Service of Canada | Service canadien d'appui aux tribunaux administratifs</t>
        </is>
      </c>
      <c r="Z560" t="n">
        <v>3</v>
      </c>
      <c r="AA560" t="n">
        <v>1475.01</v>
      </c>
      <c r="AB560">
        <f>ROUND(U560-AA560,2)</f>
        <v/>
      </c>
      <c r="AC560" t="b">
        <v>0</v>
      </c>
      <c r="AD560">
        <f>IF(U560="","MISSING_TOTAL",IF(ABS(AB560)&lt;=0.01,"OK","CHECK"))</f>
        <v/>
      </c>
      <c r="AE560">
        <f>IF(U560="","MISSING",IF(AND(AA560&gt;0,U560/AA560&gt;50),"POSSIBLE_SCALE_ERROR","OK"))</f>
        <v/>
      </c>
    </row>
    <row r="561">
      <c r="A561" t="inlineStr">
        <is>
          <t>T2019-P8-0012</t>
        </is>
      </c>
      <c r="B561" t="inlineStr">
        <is>
          <t>SLE</t>
        </is>
      </c>
      <c r="C561" t="inlineStr">
        <is>
          <t>Chairperson, Transportation Appeal Tribunal of Canada</t>
        </is>
      </c>
      <c r="D561" t="inlineStr">
        <is>
          <t>Président, Tribunal d'appel des transport du Canada</t>
        </is>
      </c>
      <c r="E561" t="inlineStr">
        <is>
          <t>Sullivan, Charles</t>
        </is>
      </c>
      <c r="F561" t="inlineStr">
        <is>
          <t>Hearing</t>
        </is>
      </c>
      <c r="G561" t="inlineStr">
        <is>
          <t>Audience</t>
        </is>
      </c>
      <c r="H561" s="1" t="n">
        <v>43772</v>
      </c>
      <c r="I561" s="1" t="n">
        <v>43777</v>
      </c>
      <c r="J561" t="inlineStr">
        <is>
          <t>Toronto, Ontario, Canada</t>
        </is>
      </c>
      <c r="K561" t="inlineStr">
        <is>
          <t>Toronto, Ontario, Canada</t>
        </is>
      </c>
      <c r="P561" t="n">
        <v>0</v>
      </c>
      <c r="Q561" t="n">
        <v>557.73</v>
      </c>
      <c r="R561" t="n">
        <v>987.15</v>
      </c>
      <c r="S561" t="n">
        <v>540.7</v>
      </c>
      <c r="T561" t="n">
        <v>0</v>
      </c>
      <c r="U561" t="n">
        <v>2085.58</v>
      </c>
      <c r="X561" t="inlineStr">
        <is>
          <t>atssc-scdata</t>
        </is>
      </c>
      <c r="Y561" t="inlineStr">
        <is>
          <t>Administrative Tribunals Support Service of Canada | Service canadien d'appui aux tribunaux administratifs</t>
        </is>
      </c>
      <c r="Z561" t="n">
        <v>6</v>
      </c>
      <c r="AA561" t="n">
        <v>2085.58</v>
      </c>
      <c r="AB561">
        <f>ROUND(U561-AA561,2)</f>
        <v/>
      </c>
      <c r="AC561" t="b">
        <v>0</v>
      </c>
      <c r="AD561">
        <f>IF(U561="","MISSING_TOTAL",IF(ABS(AB561)&lt;=0.01,"OK","CHECK"))</f>
        <v/>
      </c>
      <c r="AE561">
        <f>IF(U561="","MISSING",IF(AND(AA561&gt;0,U561/AA561&gt;50),"POSSIBLE_SCALE_ERROR","OK"))</f>
        <v/>
      </c>
    </row>
    <row r="562">
      <c r="A562" t="inlineStr">
        <is>
          <t>T-2020-P9-0001</t>
        </is>
      </c>
      <c r="B562" t="inlineStr">
        <is>
          <t>SLE</t>
        </is>
      </c>
      <c r="C562" t="inlineStr">
        <is>
          <t>Chairperson</t>
        </is>
      </c>
      <c r="D562" t="inlineStr">
        <is>
          <t>Président</t>
        </is>
      </c>
      <c r="E562" t="inlineStr">
        <is>
          <t>Bélanger, Luc</t>
        </is>
      </c>
      <c r="F562" t="inlineStr">
        <is>
          <t>Hearing in Vancouver</t>
        </is>
      </c>
      <c r="G562" t="inlineStr">
        <is>
          <t>Audience à Vancouver</t>
        </is>
      </c>
      <c r="H562" s="1" t="n">
        <v>44182</v>
      </c>
      <c r="I562" s="1" t="n">
        <v>44185</v>
      </c>
      <c r="J562" t="inlineStr">
        <is>
          <t>Vancouver (British Columbia) Canada</t>
        </is>
      </c>
      <c r="K562" t="inlineStr">
        <is>
          <t>Vancouver (Colombie Britannique) Canada</t>
        </is>
      </c>
      <c r="P562" t="n">
        <v>1524.44</v>
      </c>
      <c r="Q562" t="n">
        <v>102.2</v>
      </c>
      <c r="R562" t="n">
        <v>454.71</v>
      </c>
      <c r="S562" t="n">
        <v>422.4</v>
      </c>
      <c r="U562" t="n">
        <v>2503.75</v>
      </c>
      <c r="X562" t="inlineStr">
        <is>
          <t>atssc-scdata</t>
        </is>
      </c>
      <c r="Y562" t="inlineStr">
        <is>
          <t>Administrative Tribunals Support Service of Canada | Service canadien d'appui aux tribunaux administratifs</t>
        </is>
      </c>
      <c r="Z562" t="n">
        <v>4</v>
      </c>
      <c r="AA562" t="n">
        <v>2503.75</v>
      </c>
      <c r="AB562">
        <f>ROUND(U562-AA562,2)</f>
        <v/>
      </c>
      <c r="AC562" t="b">
        <v>0</v>
      </c>
      <c r="AD562">
        <f>IF(U562="","MISSING_TOTAL",IF(ABS(AB562)&lt;=0.01,"OK","CHECK"))</f>
        <v/>
      </c>
      <c r="AE562">
        <f>IF(U562="","MISSING",IF(AND(AA562&gt;0,U562/AA562&gt;50),"POSSIBLE_SCALE_ERROR","OK"))</f>
        <v/>
      </c>
    </row>
    <row r="563">
      <c r="A563" t="inlineStr">
        <is>
          <t>T-2020-P9-0002</t>
        </is>
      </c>
      <c r="B563" t="inlineStr">
        <is>
          <t>SLE</t>
        </is>
      </c>
      <c r="C563" t="inlineStr">
        <is>
          <t>Chairperson, Canadian International Trade Tribunal</t>
        </is>
      </c>
      <c r="D563" t="inlineStr">
        <is>
          <t>Président, Tribunal canadien du commerce extérieur</t>
        </is>
      </c>
      <c r="E563" t="inlineStr">
        <is>
          <t>Bédard, Jean</t>
        </is>
      </c>
      <c r="F563" t="inlineStr">
        <is>
          <t>Meeting with the Head of Investigative Agencies - 
World Trade Organization</t>
        </is>
      </c>
      <c r="G563" t="inlineStr">
        <is>
          <t>Rencontre avec le chef des agences d'enquête -  World Trade Organization</t>
        </is>
      </c>
      <c r="H563" s="1" t="n">
        <v>43788</v>
      </c>
      <c r="I563" s="1" t="n">
        <v>43792</v>
      </c>
      <c r="J563" t="inlineStr">
        <is>
          <t>Geneva, Switzerland</t>
        </is>
      </c>
      <c r="K563" t="inlineStr">
        <is>
          <t>Genève, Suisse</t>
        </is>
      </c>
      <c r="P563" t="n">
        <v>0</v>
      </c>
      <c r="Q563" t="n">
        <v>161.9</v>
      </c>
      <c r="R563" t="n">
        <v>934.17</v>
      </c>
      <c r="S563" t="n">
        <v>961.51</v>
      </c>
      <c r="T563" t="n">
        <v>0</v>
      </c>
      <c r="U563" t="n">
        <v>2057.58</v>
      </c>
      <c r="V563" t="inlineStr">
        <is>
          <t>Travel For Washington and Geneva were booked at the same time. Air fare fees for Geneva are disclosed with the Washington Trip of Nov 18, 2019</t>
        </is>
      </c>
      <c r="W563" t="inlineStr">
        <is>
          <t>Les voyages pour Washington et Genève étaient réservés en même temps. Les frais de billet d'avion pour Genève sont divulgués avec le voyage à Washington du 18 novembre 2019</t>
        </is>
      </c>
      <c r="X563" t="inlineStr">
        <is>
          <t>atssc-scdata</t>
        </is>
      </c>
      <c r="Y563" t="inlineStr">
        <is>
          <t>Administrative Tribunals Support Service of Canada | Service canadien d'appui aux tribunaux administratifs</t>
        </is>
      </c>
      <c r="Z563" t="n">
        <v>5</v>
      </c>
      <c r="AA563" t="n">
        <v>2057.58</v>
      </c>
      <c r="AB563">
        <f>ROUND(U563-AA563,2)</f>
        <v/>
      </c>
      <c r="AC563" t="b">
        <v>0</v>
      </c>
      <c r="AD563">
        <f>IF(U563="","MISSING_TOTAL",IF(ABS(AB563)&lt;=0.01,"OK","CHECK"))</f>
        <v/>
      </c>
      <c r="AE563">
        <f>IF(U563="","MISSING",IF(AND(AA563&gt;0,U563/AA563&gt;50),"POSSIBLE_SCALE_ERROR","OK"))</f>
        <v/>
      </c>
    </row>
    <row r="564">
      <c r="A564" t="inlineStr">
        <is>
          <t>T-2020-P9-0003</t>
        </is>
      </c>
      <c r="B564" t="inlineStr">
        <is>
          <t>SLE</t>
        </is>
      </c>
      <c r="C564" t="inlineStr">
        <is>
          <t>Chairperson, Canada Agricultural Review Tribunal of Canada</t>
        </is>
      </c>
      <c r="D564" t="inlineStr">
        <is>
          <t>Président, Commission de révision agricole du Canada</t>
        </is>
      </c>
      <c r="E564" t="inlineStr">
        <is>
          <t>Bélanger, Luc</t>
        </is>
      </c>
      <c r="F564" t="inlineStr">
        <is>
          <t>Attend the Canadian Agri-Food Law Conference</t>
        </is>
      </c>
      <c r="G564" t="inlineStr">
        <is>
          <t>Assister à la conférence canadienne en droit de l'agroalimentaire</t>
        </is>
      </c>
      <c r="H564" s="1" t="n">
        <v>43775</v>
      </c>
      <c r="I564" s="1" t="n">
        <v>43778</v>
      </c>
      <c r="J564" t="inlineStr">
        <is>
          <t>Toronto, Ontario, Canada</t>
        </is>
      </c>
      <c r="K564" t="inlineStr">
        <is>
          <t>Toronto, Ontario, Canada</t>
        </is>
      </c>
      <c r="P564" t="n">
        <v>533.37</v>
      </c>
      <c r="Q564" t="n">
        <v>165.45</v>
      </c>
      <c r="R564" t="n">
        <v>701.58</v>
      </c>
      <c r="S564" t="n">
        <v>363.45</v>
      </c>
      <c r="T564" t="n">
        <v>0</v>
      </c>
      <c r="U564" t="n">
        <v>1763.85</v>
      </c>
      <c r="X564" t="inlineStr">
        <is>
          <t>atssc-scdata</t>
        </is>
      </c>
      <c r="Y564" t="inlineStr">
        <is>
          <t>Administrative Tribunals Support Service of Canada | Service canadien d'appui aux tribunaux administratifs</t>
        </is>
      </c>
      <c r="Z564" t="n">
        <v>4</v>
      </c>
      <c r="AA564" t="n">
        <v>1763.85</v>
      </c>
      <c r="AB564">
        <f>ROUND(U564-AA564,2)</f>
        <v/>
      </c>
      <c r="AC564" t="b">
        <v>0</v>
      </c>
      <c r="AD564">
        <f>IF(U564="","MISSING_TOTAL",IF(ABS(AB564)&lt;=0.01,"OK","CHECK"))</f>
        <v/>
      </c>
      <c r="AE564">
        <f>IF(U564="","MISSING",IF(AND(AA564&gt;0,U564/AA564&gt;50),"POSSIBLE_SCALE_ERROR","OK"))</f>
        <v/>
      </c>
    </row>
    <row r="565">
      <c r="A565" t="inlineStr">
        <is>
          <t>T-2020-P9-0004</t>
        </is>
      </c>
      <c r="B565" t="inlineStr">
        <is>
          <t>SLE</t>
        </is>
      </c>
      <c r="C565" t="inlineStr">
        <is>
          <t>Chairperson, Canada Agricultural Review Tribunal of Canada</t>
        </is>
      </c>
      <c r="D565" t="inlineStr">
        <is>
          <t>Président, Commission de révision agricole du Canada</t>
        </is>
      </c>
      <c r="E565" t="inlineStr">
        <is>
          <t>Bélanger, Luc</t>
        </is>
      </c>
      <c r="F565" t="inlineStr">
        <is>
          <t>Meeting on the Organic Products Act and meeting with a member of the Canada Agricultural Review Tribunal</t>
        </is>
      </c>
      <c r="G565" t="inlineStr">
        <is>
          <t>Rencontre sur les produits biologiques et recontre avec un membre de la Commission de révision agricole du Canada</t>
        </is>
      </c>
      <c r="H565" s="1" t="n">
        <v>43788</v>
      </c>
      <c r="I565" s="1" t="n">
        <v>43791</v>
      </c>
      <c r="J565" t="inlineStr">
        <is>
          <t>Montreal, Quebec, Canada</t>
        </is>
      </c>
      <c r="K565" t="inlineStr">
        <is>
          <t>Montréal, Québec, Canada</t>
        </is>
      </c>
      <c r="P565" t="n">
        <v>0</v>
      </c>
      <c r="Q565" t="n">
        <v>697.6799999999999</v>
      </c>
      <c r="R565" t="n">
        <v>479.59</v>
      </c>
      <c r="S565" t="n">
        <v>343.7</v>
      </c>
      <c r="T565" t="n">
        <v>0</v>
      </c>
      <c r="U565" t="n">
        <v>1520.97</v>
      </c>
      <c r="X565" t="inlineStr">
        <is>
          <t>atssc-scdata</t>
        </is>
      </c>
      <c r="Y565" t="inlineStr">
        <is>
          <t>Administrative Tribunals Support Service of Canada | Service canadien d'appui aux tribunaux administratifs</t>
        </is>
      </c>
      <c r="Z565" t="n">
        <v>4</v>
      </c>
      <c r="AA565" t="n">
        <v>1520.97</v>
      </c>
      <c r="AB565">
        <f>ROUND(U565-AA565,2)</f>
        <v/>
      </c>
      <c r="AC565" t="b">
        <v>0</v>
      </c>
      <c r="AD565">
        <f>IF(U565="","MISSING_TOTAL",IF(ABS(AB565)&lt;=0.01,"OK","CHECK"))</f>
        <v/>
      </c>
      <c r="AE565">
        <f>IF(U565="","MISSING",IF(AND(AA565&gt;0,U565/AA565&gt;50),"POSSIBLE_SCALE_ERROR","OK"))</f>
        <v/>
      </c>
    </row>
    <row r="566">
      <c r="A566" t="inlineStr">
        <is>
          <t>T-2020-P9-0005</t>
        </is>
      </c>
      <c r="B566" t="inlineStr">
        <is>
          <t>SLE</t>
        </is>
      </c>
      <c r="C566" t="inlineStr">
        <is>
          <t>Chairperson, Canada Agricultural Review Tribunal of Canada</t>
        </is>
      </c>
      <c r="D566" t="inlineStr">
        <is>
          <t>Président, Commission de révision agricole du Canada</t>
        </is>
      </c>
      <c r="E566" t="inlineStr">
        <is>
          <t>Bélanger, Luc</t>
        </is>
      </c>
      <c r="F566" t="inlineStr">
        <is>
          <t>Hearing</t>
        </is>
      </c>
      <c r="G566" t="inlineStr">
        <is>
          <t>Audience</t>
        </is>
      </c>
      <c r="H566" s="1" t="n">
        <v>43803</v>
      </c>
      <c r="I566" s="1" t="n">
        <v>43805</v>
      </c>
      <c r="J566" t="inlineStr">
        <is>
          <t>Toronto, Ontario, Canada</t>
        </is>
      </c>
      <c r="K566" t="inlineStr">
        <is>
          <t>Toronto, Ontario, Canada</t>
        </is>
      </c>
      <c r="P566" t="n">
        <v>623.5</v>
      </c>
      <c r="Q566" t="n">
        <v>164.34</v>
      </c>
      <c r="R566" t="n">
        <v>408.96</v>
      </c>
      <c r="S566" t="n">
        <v>275</v>
      </c>
      <c r="T566" t="n">
        <v>0</v>
      </c>
      <c r="U566" t="n">
        <v>1471.8</v>
      </c>
      <c r="X566" t="inlineStr">
        <is>
          <t>atssc-scdata</t>
        </is>
      </c>
      <c r="Y566" t="inlineStr">
        <is>
          <t>Administrative Tribunals Support Service of Canada | Service canadien d'appui aux tribunaux administratifs</t>
        </is>
      </c>
      <c r="Z566" t="n">
        <v>3</v>
      </c>
      <c r="AA566" t="n">
        <v>1471.8</v>
      </c>
      <c r="AB566">
        <f>ROUND(U566-AA566,2)</f>
        <v/>
      </c>
      <c r="AC566" t="b">
        <v>0</v>
      </c>
      <c r="AD566">
        <f>IF(U566="","MISSING_TOTAL",IF(ABS(AB566)&lt;=0.01,"OK","CHECK"))</f>
        <v/>
      </c>
      <c r="AE566">
        <f>IF(U566="","MISSING",IF(AND(AA566&gt;0,U566/AA566&gt;50),"POSSIBLE_SCALE_ERROR","OK"))</f>
        <v/>
      </c>
    </row>
    <row r="567">
      <c r="A567" t="inlineStr">
        <is>
          <t>T-2020-P9-0006</t>
        </is>
      </c>
      <c r="B567" t="inlineStr">
        <is>
          <t>SLE</t>
        </is>
      </c>
      <c r="C567" t="inlineStr">
        <is>
          <t>Chairperson, Canada Industrial Relations Board</t>
        </is>
      </c>
      <c r="D567" t="inlineStr">
        <is>
          <t>Président, Conseil canadien des relations industrielles</t>
        </is>
      </c>
      <c r="E567" t="inlineStr">
        <is>
          <t>Brazeau, Ginette</t>
        </is>
      </c>
      <c r="F567" t="inlineStr">
        <is>
          <t>Speak / Conseil Québecois Conference</t>
        </is>
      </c>
      <c r="G567" t="inlineStr">
        <is>
          <t>Speak / Conseil Québecois Conférence</t>
        </is>
      </c>
      <c r="H567" s="1" t="n">
        <v>43791</v>
      </c>
      <c r="I567" s="1" t="n">
        <v>43792</v>
      </c>
      <c r="J567" t="inlineStr">
        <is>
          <t>Quebec City, Quebec, Canada</t>
        </is>
      </c>
      <c r="K567" t="inlineStr">
        <is>
          <t>Ville de Québec, Québec, Canada</t>
        </is>
      </c>
      <c r="P567" t="n">
        <v>728.01</v>
      </c>
      <c r="Q567" t="n">
        <v>138.79</v>
      </c>
      <c r="R567" t="n">
        <v>201.12</v>
      </c>
      <c r="S567" t="n">
        <v>105.5</v>
      </c>
      <c r="T567" t="n">
        <v>0</v>
      </c>
      <c r="U567" t="n">
        <v>1173.42</v>
      </c>
      <c r="X567" t="inlineStr">
        <is>
          <t>atssc-scdata</t>
        </is>
      </c>
      <c r="Y567" t="inlineStr">
        <is>
          <t>Administrative Tribunals Support Service of Canada | Service canadien d'appui aux tribunaux administratifs</t>
        </is>
      </c>
      <c r="Z567" t="n">
        <v>2</v>
      </c>
      <c r="AA567" t="n">
        <v>1173.42</v>
      </c>
      <c r="AB567">
        <f>ROUND(U567-AA567,2)</f>
        <v/>
      </c>
      <c r="AC567" t="b">
        <v>0</v>
      </c>
      <c r="AD567">
        <f>IF(U567="","MISSING_TOTAL",IF(ABS(AB567)&lt;=0.01,"OK","CHECK"))</f>
        <v/>
      </c>
      <c r="AE567">
        <f>IF(U567="","MISSING",IF(AND(AA567&gt;0,U567/AA567&gt;50),"POSSIBLE_SCALE_ERROR","OK"))</f>
        <v/>
      </c>
    </row>
    <row r="568">
      <c r="A568" t="inlineStr">
        <is>
          <t>T-2020-P9-0007</t>
        </is>
      </c>
      <c r="B568" t="inlineStr">
        <is>
          <t>SLE</t>
        </is>
      </c>
      <c r="C568" t="inlineStr">
        <is>
          <t>Chairperson, Canada Industrial Relations Board</t>
        </is>
      </c>
      <c r="D568" t="inlineStr">
        <is>
          <t>Président, Conseil canadien des relations industrielles</t>
        </is>
      </c>
      <c r="E568" t="inlineStr">
        <is>
          <t>Brazeau, Ginette</t>
        </is>
      </c>
      <c r="F568" t="inlineStr">
        <is>
          <t>Hearing</t>
        </is>
      </c>
      <c r="G568" t="inlineStr">
        <is>
          <t>Audience</t>
        </is>
      </c>
      <c r="H568" s="1" t="n">
        <v>43795</v>
      </c>
      <c r="I568" s="1" t="n">
        <v>43796</v>
      </c>
      <c r="J568" t="inlineStr">
        <is>
          <t>Montreal, Quebec, Canada</t>
        </is>
      </c>
      <c r="K568" t="inlineStr">
        <is>
          <t>Montréal, Québec, Canada</t>
        </is>
      </c>
      <c r="P568" t="n">
        <v>0</v>
      </c>
      <c r="Q568" t="n">
        <v>267.85</v>
      </c>
      <c r="R568" t="n">
        <v>224.91</v>
      </c>
      <c r="S568" t="n">
        <v>126.1</v>
      </c>
      <c r="T568" t="n">
        <v>0</v>
      </c>
      <c r="U568" t="n">
        <v>618.86</v>
      </c>
      <c r="X568" t="inlineStr">
        <is>
          <t>atssc-scdata</t>
        </is>
      </c>
      <c r="Y568" t="inlineStr">
        <is>
          <t>Administrative Tribunals Support Service of Canada | Service canadien d'appui aux tribunaux administratifs</t>
        </is>
      </c>
      <c r="Z568" t="n">
        <v>2</v>
      </c>
      <c r="AA568" t="n">
        <v>618.86</v>
      </c>
      <c r="AB568">
        <f>ROUND(U568-AA568,2)</f>
        <v/>
      </c>
      <c r="AC568" t="b">
        <v>0</v>
      </c>
      <c r="AD568">
        <f>IF(U568="","MISSING_TOTAL",IF(ABS(AB568)&lt;=0.01,"OK","CHECK"))</f>
        <v/>
      </c>
      <c r="AE568">
        <f>IF(U568="","MISSING",IF(AND(AA568&gt;0,U568/AA568&gt;50),"POSSIBLE_SCALE_ERROR","OK"))</f>
        <v/>
      </c>
    </row>
    <row r="569">
      <c r="A569" t="inlineStr">
        <is>
          <t>T-2020-P9-0008</t>
        </is>
      </c>
      <c r="B569" t="inlineStr">
        <is>
          <t>SLE</t>
        </is>
      </c>
      <c r="C569" t="inlineStr">
        <is>
          <t>Chairperson, Canada Industrial Relations Board</t>
        </is>
      </c>
      <c r="D569" t="inlineStr">
        <is>
          <t>Président, Conseil canadien des relations industrielles</t>
        </is>
      </c>
      <c r="E569" t="inlineStr">
        <is>
          <t>Brazeau, Ginette</t>
        </is>
      </c>
      <c r="F569" t="inlineStr">
        <is>
          <t>Pre-Mediation meeting</t>
        </is>
      </c>
      <c r="G569" t="inlineStr">
        <is>
          <t>Réunion de pré-médiation</t>
        </is>
      </c>
      <c r="H569" s="1" t="n">
        <v>43816</v>
      </c>
      <c r="I569" s="1" t="n">
        <v>43816</v>
      </c>
      <c r="J569" t="inlineStr">
        <is>
          <t>Montreal, Quebec, Canada</t>
        </is>
      </c>
      <c r="K569" t="inlineStr">
        <is>
          <t>Montréal, Québec, Canada</t>
        </is>
      </c>
      <c r="P569" t="n">
        <v>639.0700000000001</v>
      </c>
      <c r="Q569" t="n">
        <v>69.73999999999999</v>
      </c>
      <c r="R569" t="n">
        <v>0</v>
      </c>
      <c r="S569" t="n">
        <v>20.6</v>
      </c>
      <c r="T569" t="n">
        <v>0</v>
      </c>
      <c r="U569" t="n">
        <v>729.41</v>
      </c>
      <c r="X569" t="inlineStr">
        <is>
          <t>atssc-scdata</t>
        </is>
      </c>
      <c r="Y569" t="inlineStr">
        <is>
          <t>Administrative Tribunals Support Service of Canada | Service canadien d'appui aux tribunaux administratifs</t>
        </is>
      </c>
      <c r="Z569" t="n">
        <v>1</v>
      </c>
      <c r="AA569" t="n">
        <v>729.41</v>
      </c>
      <c r="AB569">
        <f>ROUND(U569-AA569,2)</f>
        <v/>
      </c>
      <c r="AC569" t="b">
        <v>0</v>
      </c>
      <c r="AD569">
        <f>IF(U569="","MISSING_TOTAL",IF(ABS(AB569)&lt;=0.01,"OK","CHECK"))</f>
        <v/>
      </c>
      <c r="AE569">
        <f>IF(U569="","MISSING",IF(AND(AA569&gt;0,U569/AA569&gt;50),"POSSIBLE_SCALE_ERROR","OK"))</f>
        <v/>
      </c>
    </row>
    <row r="570">
      <c r="A570" t="inlineStr">
        <is>
          <t>T-2020-P9-0009</t>
        </is>
      </c>
      <c r="B570" t="inlineStr">
        <is>
          <t>SLE</t>
        </is>
      </c>
      <c r="C570" t="inlineStr">
        <is>
          <t>Chairperson, Canadian Cultural Property Export Review Board</t>
        </is>
      </c>
      <c r="D570" t="inlineStr">
        <is>
          <t>Présidente, Commission canadienne d'examen des exportations de biens culturels</t>
        </is>
      </c>
      <c r="E570" t="inlineStr">
        <is>
          <t>Ingram, Sharilyn</t>
        </is>
      </c>
      <c r="F570" t="inlineStr">
        <is>
          <t>To attend meetings with LAC, PCH and ATSSC</t>
        </is>
      </c>
      <c r="G570" t="inlineStr">
        <is>
          <t>Participer à des réunions avec BAC, PCH et SCDATA</t>
        </is>
      </c>
      <c r="H570" s="1" t="n">
        <v>43796</v>
      </c>
      <c r="I570" s="1" t="n">
        <v>43798</v>
      </c>
      <c r="J570" t="inlineStr">
        <is>
          <t>Ottawa, Ontario, Canada</t>
        </is>
      </c>
      <c r="K570" t="inlineStr">
        <is>
          <t>Ottawa, Ontario, Canada</t>
        </is>
      </c>
      <c r="P570" t="n">
        <v>639.0700000000001</v>
      </c>
      <c r="Q570" t="n">
        <v>232.36</v>
      </c>
      <c r="R570" t="n">
        <v>392.52</v>
      </c>
      <c r="S570" t="n">
        <v>285.45</v>
      </c>
      <c r="T570" t="n">
        <v>0</v>
      </c>
      <c r="U570" t="n">
        <v>1549.4</v>
      </c>
      <c r="X570" t="inlineStr">
        <is>
          <t>atssc-scdata</t>
        </is>
      </c>
      <c r="Y570" t="inlineStr">
        <is>
          <t>Administrative Tribunals Support Service of Canada | Service canadien d'appui aux tribunaux administratifs</t>
        </is>
      </c>
      <c r="Z570" t="n">
        <v>3</v>
      </c>
      <c r="AA570" t="n">
        <v>1549.4</v>
      </c>
      <c r="AB570">
        <f>ROUND(U570-AA570,2)</f>
        <v/>
      </c>
      <c r="AC570" t="b">
        <v>0</v>
      </c>
      <c r="AD570">
        <f>IF(U570="","MISSING_TOTAL",IF(ABS(AB570)&lt;=0.01,"OK","CHECK"))</f>
        <v/>
      </c>
      <c r="AE570">
        <f>IF(U570="","MISSING",IF(AND(AA570&gt;0,U570/AA570&gt;50),"POSSIBLE_SCALE_ERROR","OK"))</f>
        <v/>
      </c>
    </row>
    <row r="571">
      <c r="A571" t="inlineStr">
        <is>
          <t>T-2020-P9-0010</t>
        </is>
      </c>
      <c r="B571" t="inlineStr">
        <is>
          <t>SLE</t>
        </is>
      </c>
      <c r="C571" t="inlineStr">
        <is>
          <t>Chairperson, Canadian Human Rights Tribunal</t>
        </is>
      </c>
      <c r="D571" t="inlineStr">
        <is>
          <t>Président, Tribunal canadien des droits de la personne</t>
        </is>
      </c>
      <c r="E571" t="inlineStr">
        <is>
          <t>Thomas, David</t>
        </is>
      </c>
      <c r="F571" t="inlineStr">
        <is>
          <t>Mediation: T2382/4119</t>
        </is>
      </c>
      <c r="G571" t="inlineStr">
        <is>
          <t>Médiation : T2382/4119</t>
        </is>
      </c>
      <c r="H571" s="1" t="n">
        <v>43794</v>
      </c>
      <c r="I571" s="1" t="n">
        <v>43796</v>
      </c>
      <c r="J571" t="inlineStr">
        <is>
          <t>Edmonton, Alberta, Canada</t>
        </is>
      </c>
      <c r="K571" t="inlineStr">
        <is>
          <t>Edmonton, Alberta, Canada</t>
        </is>
      </c>
      <c r="P571" t="n">
        <v>946.12</v>
      </c>
      <c r="Q571" t="n">
        <v>169.8</v>
      </c>
      <c r="R571" t="n">
        <v>289.64</v>
      </c>
      <c r="S571" t="n">
        <v>306.05</v>
      </c>
      <c r="T571" t="n">
        <v>0</v>
      </c>
      <c r="U571" t="n">
        <v>1711.61</v>
      </c>
      <c r="X571" t="inlineStr">
        <is>
          <t>atssc-scdata</t>
        </is>
      </c>
      <c r="Y571" t="inlineStr">
        <is>
          <t>Administrative Tribunals Support Service of Canada | Service canadien d'appui aux tribunaux administratifs</t>
        </is>
      </c>
      <c r="Z571" t="n">
        <v>3</v>
      </c>
      <c r="AA571" t="n">
        <v>1711.61</v>
      </c>
      <c r="AB571">
        <f>ROUND(U571-AA571,2)</f>
        <v/>
      </c>
      <c r="AC571" t="b">
        <v>0</v>
      </c>
      <c r="AD571">
        <f>IF(U571="","MISSING_TOTAL",IF(ABS(AB571)&lt;=0.01,"OK","CHECK"))</f>
        <v/>
      </c>
      <c r="AE571">
        <f>IF(U571="","MISSING",IF(AND(AA571&gt;0,U571/AA571&gt;50),"POSSIBLE_SCALE_ERROR","OK"))</f>
        <v/>
      </c>
    </row>
    <row r="572">
      <c r="A572" t="inlineStr">
        <is>
          <t>T-2020-P9-0011</t>
        </is>
      </c>
      <c r="B572" t="inlineStr">
        <is>
          <t>SLE</t>
        </is>
      </c>
      <c r="C572" t="inlineStr">
        <is>
          <t>Chairperson, Canadian Human Rights Tribunal</t>
        </is>
      </c>
      <c r="D572" t="inlineStr">
        <is>
          <t>Président, Tribunal canadien des droits de la personne</t>
        </is>
      </c>
      <c r="E572" t="inlineStr">
        <is>
          <t>Thomas, David</t>
        </is>
      </c>
      <c r="F572" t="inlineStr">
        <is>
          <t>Mediation: T2416/7519 and T2408/6819</t>
        </is>
      </c>
      <c r="G572" t="inlineStr">
        <is>
          <t>Médiation : T2416/7519 et T2408/6819</t>
        </is>
      </c>
      <c r="H572" s="1" t="n">
        <v>43799</v>
      </c>
      <c r="I572" s="1" t="n">
        <v>43804</v>
      </c>
      <c r="J572" t="inlineStr">
        <is>
          <t>Vancouver, Britsh Columbia and Edmonton, Alberta, Canada</t>
        </is>
      </c>
      <c r="K572" t="inlineStr">
        <is>
          <t>Vancouver, Colombie-Britannique et Edmonton, Alberta, Canada</t>
        </is>
      </c>
      <c r="P572" t="n">
        <v>440.02</v>
      </c>
      <c r="Q572" t="n">
        <v>181.43</v>
      </c>
      <c r="R572" t="n">
        <v>663.3</v>
      </c>
      <c r="S572" t="n">
        <v>493.45</v>
      </c>
      <c r="T572" t="n">
        <v>0</v>
      </c>
      <c r="U572" t="n">
        <v>1778.2</v>
      </c>
      <c r="X572" t="inlineStr">
        <is>
          <t>atssc-scdata</t>
        </is>
      </c>
      <c r="Y572" t="inlineStr">
        <is>
          <t>Administrative Tribunals Support Service of Canada | Service canadien d'appui aux tribunaux administratifs</t>
        </is>
      </c>
      <c r="Z572" t="n">
        <v>6</v>
      </c>
      <c r="AA572" t="n">
        <v>1778.2</v>
      </c>
      <c r="AB572">
        <f>ROUND(U572-AA572,2)</f>
        <v/>
      </c>
      <c r="AC572" t="b">
        <v>0</v>
      </c>
      <c r="AD572">
        <f>IF(U572="","MISSING_TOTAL",IF(ABS(AB572)&lt;=0.01,"OK","CHECK"))</f>
        <v/>
      </c>
      <c r="AE572">
        <f>IF(U572="","MISSING",IF(AND(AA572&gt;0,U572/AA572&gt;50),"POSSIBLE_SCALE_ERROR","OK"))</f>
        <v/>
      </c>
    </row>
    <row r="573">
      <c r="A573" t="inlineStr">
        <is>
          <t>T-2020-P10-001</t>
        </is>
      </c>
      <c r="B573" t="inlineStr">
        <is>
          <t>SLE</t>
        </is>
      </c>
      <c r="C573" t="inlineStr">
        <is>
          <t>Chairperson, Canadian International Trade Tribunal</t>
        </is>
      </c>
      <c r="D573" t="inlineStr">
        <is>
          <t>Tribunal canadien du commerce extérieur</t>
        </is>
      </c>
      <c r="E573" t="inlineStr">
        <is>
          <t>Bédard, Jean</t>
        </is>
      </c>
      <c r="F573" t="inlineStr">
        <is>
          <t>Montreal, Quebec, Canada</t>
        </is>
      </c>
      <c r="G573" t="inlineStr">
        <is>
          <t>Montréal, Québec, Canada</t>
        </is>
      </c>
      <c r="H573" s="1" t="n">
        <v>43808</v>
      </c>
      <c r="I573" s="1" t="n">
        <v>43808</v>
      </c>
      <c r="J573" t="inlineStr">
        <is>
          <t>Montreal, Quebec, Canada</t>
        </is>
      </c>
      <c r="K573" t="inlineStr">
        <is>
          <t>Montréal, Québec, Canada</t>
        </is>
      </c>
      <c r="P573" t="n">
        <v>0</v>
      </c>
      <c r="Q573" t="n">
        <v>176.42</v>
      </c>
      <c r="R573" t="n">
        <v>0</v>
      </c>
      <c r="S573" t="n">
        <v>0</v>
      </c>
      <c r="T573" t="n">
        <v>0</v>
      </c>
      <c r="U573" t="n">
        <v>176.42</v>
      </c>
      <c r="X573" t="inlineStr">
        <is>
          <t>atssc-scdata</t>
        </is>
      </c>
      <c r="Y573" t="inlineStr">
        <is>
          <t>Administrative Tribunals Support Service of Canada | Service canadien d'appui aux tribunaux administratifs</t>
        </is>
      </c>
      <c r="Z573" t="n">
        <v>1</v>
      </c>
      <c r="AA573" t="n">
        <v>176.42</v>
      </c>
      <c r="AB573">
        <f>ROUND(U573-AA573,2)</f>
        <v/>
      </c>
      <c r="AC573" t="b">
        <v>0</v>
      </c>
      <c r="AD573">
        <f>IF(U573="","MISSING_TOTAL",IF(ABS(AB573)&lt;=0.01,"OK","CHECK"))</f>
        <v/>
      </c>
      <c r="AE573">
        <f>IF(U573="","MISSING",IF(AND(AA573&gt;0,U573/AA573&gt;50),"POSSIBLE_SCALE_ERROR","OK"))</f>
        <v/>
      </c>
    </row>
    <row r="574">
      <c r="A574" t="inlineStr">
        <is>
          <t>T-2020-P10-002</t>
        </is>
      </c>
      <c r="B574" t="inlineStr">
        <is>
          <t>SLE</t>
        </is>
      </c>
      <c r="C574" t="inlineStr">
        <is>
          <t>Chairperson, Canadian Cultural Property Export Review Board</t>
        </is>
      </c>
      <c r="D574" t="inlineStr">
        <is>
          <t>Commission canadienne d'examen des exportations de biens culturels</t>
        </is>
      </c>
      <c r="E574" t="inlineStr">
        <is>
          <t>Ingram, Sharilyn</t>
        </is>
      </c>
      <c r="F574" t="inlineStr">
        <is>
          <t>Attend Board meeting</t>
        </is>
      </c>
      <c r="G574" t="inlineStr">
        <is>
          <t>Assister à la réunion des membres de la Commission</t>
        </is>
      </c>
      <c r="H574" s="1" t="n">
        <v>43809</v>
      </c>
      <c r="I574" s="1" t="n">
        <v>43812</v>
      </c>
      <c r="J574" t="inlineStr">
        <is>
          <t>Ottawa, Ontario, Canada</t>
        </is>
      </c>
      <c r="K574" t="inlineStr">
        <is>
          <t>Ottawa, Ontario, Canada</t>
        </is>
      </c>
      <c r="P574" t="n">
        <v>592.5700000000001</v>
      </c>
      <c r="Q574" t="n">
        <v>233.36</v>
      </c>
      <c r="R574" t="n">
        <v>588.78</v>
      </c>
      <c r="S574" t="n">
        <v>394.25</v>
      </c>
      <c r="T574" t="n">
        <v>0</v>
      </c>
      <c r="U574" t="n">
        <v>1808.96</v>
      </c>
      <c r="X574" t="inlineStr">
        <is>
          <t>atssc-scdata</t>
        </is>
      </c>
      <c r="Y574" t="inlineStr">
        <is>
          <t>Administrative Tribunals Support Service of Canada | Service canadien d'appui aux tribunaux administratifs</t>
        </is>
      </c>
      <c r="Z574" t="n">
        <v>4</v>
      </c>
      <c r="AA574" t="n">
        <v>1808.96</v>
      </c>
      <c r="AB574">
        <f>ROUND(U574-AA574,2)</f>
        <v/>
      </c>
      <c r="AC574" t="b">
        <v>0</v>
      </c>
      <c r="AD574">
        <f>IF(U574="","MISSING_TOTAL",IF(ABS(AB574)&lt;=0.01,"OK","CHECK"))</f>
        <v/>
      </c>
      <c r="AE574">
        <f>IF(U574="","MISSING",IF(AND(AA574&gt;0,U574/AA574&gt;50),"POSSIBLE_SCALE_ERROR","OK"))</f>
        <v/>
      </c>
    </row>
    <row r="575">
      <c r="A575" t="inlineStr">
        <is>
          <t>T-2020-P11-0001</t>
        </is>
      </c>
      <c r="B575" t="inlineStr">
        <is>
          <t>SLE</t>
        </is>
      </c>
      <c r="C575" t="inlineStr">
        <is>
          <t>Chairperson</t>
        </is>
      </c>
      <c r="D575" t="inlineStr">
        <is>
          <t>Président</t>
        </is>
      </c>
      <c r="E575" t="inlineStr">
        <is>
          <t>Aterman, Paul</t>
        </is>
      </c>
      <c r="F575" t="inlineStr">
        <is>
          <t>Training : Society of Ontario Adjudicators and Regulators (SOAR) Leadership Forum</t>
        </is>
      </c>
      <c r="G575" t="inlineStr">
        <is>
          <t>Formation: Forum de leadership de la "Society of Ontario Adjudicators and Regulators (SOAR)"</t>
        </is>
      </c>
      <c r="H575" s="1" t="n">
        <v>43873</v>
      </c>
      <c r="I575" s="1" t="n">
        <v>43874</v>
      </c>
      <c r="J575" t="inlineStr">
        <is>
          <t>Toronto, Ontario, Canada</t>
        </is>
      </c>
      <c r="K575" t="inlineStr">
        <is>
          <t>Toronto, Ontario, Canada</t>
        </is>
      </c>
      <c r="P575" t="n">
        <v>0</v>
      </c>
      <c r="Q575" t="n">
        <v>422.91</v>
      </c>
      <c r="R575" t="n">
        <v>189.34</v>
      </c>
      <c r="S575" t="n">
        <v>105.5</v>
      </c>
      <c r="T575" t="n">
        <v>0</v>
      </c>
      <c r="U575" t="n">
        <v>717.75</v>
      </c>
      <c r="X575" t="inlineStr">
        <is>
          <t>atssc-scdata</t>
        </is>
      </c>
      <c r="Y575" t="inlineStr">
        <is>
          <t>Administrative Tribunals Support Service of Canada | Service canadien d'appui aux tribunaux administratifs</t>
        </is>
      </c>
      <c r="Z575" t="n">
        <v>2</v>
      </c>
      <c r="AA575" t="n">
        <v>717.75</v>
      </c>
      <c r="AB575">
        <f>ROUND(U575-AA575,2)</f>
        <v/>
      </c>
      <c r="AC575" t="b">
        <v>0</v>
      </c>
      <c r="AD575">
        <f>IF(U575="","MISSING_TOTAL",IF(ABS(AB575)&lt;=0.01,"OK","CHECK"))</f>
        <v/>
      </c>
      <c r="AE575">
        <f>IF(U575="","MISSING",IF(AND(AA575&gt;0,U575/AA575&gt;50),"POSSIBLE_SCALE_ERROR","OK"))</f>
        <v/>
      </c>
    </row>
    <row r="576">
      <c r="A576" t="inlineStr">
        <is>
          <t>T-2020-P11-0002</t>
        </is>
      </c>
      <c r="B576" t="inlineStr">
        <is>
          <t>SLE</t>
        </is>
      </c>
      <c r="C576" t="inlineStr">
        <is>
          <t>Chairperson</t>
        </is>
      </c>
      <c r="D576" t="inlineStr">
        <is>
          <t>Présidente</t>
        </is>
      </c>
      <c r="E576" t="inlineStr">
        <is>
          <t>Ginette Brazeau</t>
        </is>
      </c>
      <c r="F576" t="inlineStr">
        <is>
          <t>National Labour Arbitration Competition</t>
        </is>
      </c>
      <c r="G576" t="inlineStr">
        <is>
          <t>National Labour Arbitration Competition</t>
        </is>
      </c>
      <c r="H576" s="1" t="n">
        <v>43855</v>
      </c>
      <c r="I576" s="1" t="n">
        <v>43856</v>
      </c>
      <c r="J576" t="inlineStr">
        <is>
          <t>Toronto, Ontario, Canada</t>
        </is>
      </c>
      <c r="K576" t="inlineStr">
        <is>
          <t>Toronto, Ontario, Canada</t>
        </is>
      </c>
      <c r="P576" t="n">
        <v>542.6799999999999</v>
      </c>
      <c r="Q576" t="n">
        <v>111.76</v>
      </c>
      <c r="R576" t="n">
        <v>233.86</v>
      </c>
      <c r="S576" t="n">
        <v>34.6</v>
      </c>
      <c r="T576" t="n">
        <v>0</v>
      </c>
      <c r="U576" t="n">
        <v>922.9</v>
      </c>
      <c r="X576" t="inlineStr">
        <is>
          <t>atssc-scdata</t>
        </is>
      </c>
      <c r="Y576" t="inlineStr">
        <is>
          <t>Administrative Tribunals Support Service of Canada | Service canadien d'appui aux tribunaux administratifs</t>
        </is>
      </c>
      <c r="Z576" t="n">
        <v>2</v>
      </c>
      <c r="AA576" t="n">
        <v>922.9</v>
      </c>
      <c r="AB576">
        <f>ROUND(U576-AA576,2)</f>
        <v/>
      </c>
      <c r="AC576" t="b">
        <v>0</v>
      </c>
      <c r="AD576">
        <f>IF(U576="","MISSING_TOTAL",IF(ABS(AB576)&lt;=0.01,"OK","CHECK"))</f>
        <v/>
      </c>
      <c r="AE576">
        <f>IF(U576="","MISSING",IF(AND(AA576&gt;0,U576/AA576&gt;50),"POSSIBLE_SCALE_ERROR","OK"))</f>
        <v/>
      </c>
    </row>
    <row r="577">
      <c r="A577" t="inlineStr">
        <is>
          <t>T-2020-P11-0003</t>
        </is>
      </c>
      <c r="B577" t="inlineStr">
        <is>
          <t>SLE</t>
        </is>
      </c>
      <c r="C577" t="inlineStr">
        <is>
          <t>Chairperson</t>
        </is>
      </c>
      <c r="D577" t="inlineStr">
        <is>
          <t>Présidente</t>
        </is>
      </c>
      <c r="E577" t="inlineStr">
        <is>
          <t>Ginette Brazeau</t>
        </is>
      </c>
      <c r="F577" t="inlineStr">
        <is>
          <t>Case Management</t>
        </is>
      </c>
      <c r="G577" t="inlineStr">
        <is>
          <t>Gestion de cas</t>
        </is>
      </c>
      <c r="H577" s="1" t="n">
        <v>43864</v>
      </c>
      <c r="I577" s="1" t="n">
        <v>43864</v>
      </c>
      <c r="J577" t="inlineStr">
        <is>
          <t>Montreal, Quebec, Canada</t>
        </is>
      </c>
      <c r="K577" t="inlineStr">
        <is>
          <t>Montréal, Québec, Canada</t>
        </is>
      </c>
      <c r="P577" t="n">
        <v>0</v>
      </c>
      <c r="Q577" t="n">
        <v>209.5</v>
      </c>
      <c r="R577" t="n">
        <v>0</v>
      </c>
      <c r="S577" t="n">
        <v>20.6</v>
      </c>
      <c r="T577" t="n">
        <v>0</v>
      </c>
      <c r="U577" t="n">
        <v>230.1</v>
      </c>
      <c r="X577" t="inlineStr">
        <is>
          <t>atssc-scdata</t>
        </is>
      </c>
      <c r="Y577" t="inlineStr">
        <is>
          <t>Administrative Tribunals Support Service of Canada | Service canadien d'appui aux tribunaux administratifs</t>
        </is>
      </c>
      <c r="Z577" t="n">
        <v>1</v>
      </c>
      <c r="AA577" t="n">
        <v>230.1</v>
      </c>
      <c r="AB577">
        <f>ROUND(U577-AA577,2)</f>
        <v/>
      </c>
      <c r="AC577" t="b">
        <v>0</v>
      </c>
      <c r="AD577">
        <f>IF(U577="","MISSING_TOTAL",IF(ABS(AB577)&lt;=0.01,"OK","CHECK"))</f>
        <v/>
      </c>
      <c r="AE577">
        <f>IF(U577="","MISSING",IF(AND(AA577&gt;0,U577/AA577&gt;50),"POSSIBLE_SCALE_ERROR","OK"))</f>
        <v/>
      </c>
    </row>
    <row r="578">
      <c r="A578" t="inlineStr">
        <is>
          <t>T-2020-P11-0004</t>
        </is>
      </c>
      <c r="B578" t="inlineStr">
        <is>
          <t>SLE</t>
        </is>
      </c>
      <c r="C578" t="inlineStr">
        <is>
          <t>Chairperson</t>
        </is>
      </c>
      <c r="D578" t="inlineStr">
        <is>
          <t>Président</t>
        </is>
      </c>
      <c r="E578" t="inlineStr">
        <is>
          <t>David Thomas</t>
        </is>
      </c>
      <c r="F578" t="inlineStr">
        <is>
          <t>Mediation: T2421/8019</t>
        </is>
      </c>
      <c r="G578" t="inlineStr">
        <is>
          <t>Médiation: T2421/8019</t>
        </is>
      </c>
      <c r="H578" s="1" t="n">
        <v>43841</v>
      </c>
      <c r="I578" s="1" t="n">
        <v>43849</v>
      </c>
      <c r="J578" t="inlineStr">
        <is>
          <t>Vancouver, British Columbia, Canada</t>
        </is>
      </c>
      <c r="K578" t="inlineStr">
        <is>
          <t>Vancouver, Colombie-britannique, Canada</t>
        </is>
      </c>
      <c r="P578" t="n">
        <v>1159.06</v>
      </c>
      <c r="Q578" t="n">
        <v>219.74</v>
      </c>
      <c r="R578" t="n">
        <v>100</v>
      </c>
      <c r="S578" t="n">
        <v>326.4</v>
      </c>
      <c r="T578" t="n">
        <v>0</v>
      </c>
      <c r="U578" t="n">
        <v>1805.2</v>
      </c>
      <c r="X578" t="inlineStr">
        <is>
          <t>atssc-scdata</t>
        </is>
      </c>
      <c r="Y578" t="inlineStr">
        <is>
          <t>Administrative Tribunals Support Service of Canada | Service canadien d'appui aux tribunaux administratifs</t>
        </is>
      </c>
      <c r="Z578" t="n">
        <v>9</v>
      </c>
      <c r="AA578" t="n">
        <v>1805.19999999999</v>
      </c>
      <c r="AB578">
        <f>ROUND(U578-AA578,2)</f>
        <v/>
      </c>
      <c r="AC578" t="b">
        <v>0</v>
      </c>
      <c r="AD578">
        <f>IF(U578="","MISSING_TOTAL",IF(ABS(AB578)&lt;=0.01,"OK","CHECK"))</f>
        <v/>
      </c>
      <c r="AE578">
        <f>IF(U578="","MISSING",IF(AND(AA578&gt;0,U578/AA578&gt;50),"POSSIBLE_SCALE_ERROR","OK"))</f>
        <v/>
      </c>
    </row>
    <row r="579">
      <c r="A579" t="inlineStr">
        <is>
          <t>T-2020-P11-0005</t>
        </is>
      </c>
      <c r="B579" t="inlineStr">
        <is>
          <t>SLE</t>
        </is>
      </c>
      <c r="C579" t="inlineStr">
        <is>
          <t>Chairperson</t>
        </is>
      </c>
      <c r="D579" t="inlineStr">
        <is>
          <t>Président</t>
        </is>
      </c>
      <c r="E579" t="inlineStr">
        <is>
          <t>David Thomas</t>
        </is>
      </c>
      <c r="F579" t="inlineStr">
        <is>
          <t>Mediation : T2398/5719 and T2422/8119</t>
        </is>
      </c>
      <c r="G579" t="inlineStr">
        <is>
          <t>Médiation:  T2398/5719 et T2422/8119</t>
        </is>
      </c>
      <c r="H579" s="1" t="n">
        <v>43872</v>
      </c>
      <c r="I579" s="1" t="n">
        <v>43875</v>
      </c>
      <c r="J579" t="inlineStr">
        <is>
          <t>Toronto / Mississauga, Ontario, Canada</t>
        </is>
      </c>
      <c r="K579" t="inlineStr">
        <is>
          <t>Toronto / Mississauga, Ontario, Canada</t>
        </is>
      </c>
      <c r="P579" t="n">
        <v>703.99</v>
      </c>
      <c r="Q579" t="n">
        <v>94.81999999999999</v>
      </c>
      <c r="R579" t="n">
        <v>642.8200000000001</v>
      </c>
      <c r="S579" t="n">
        <v>343.7</v>
      </c>
      <c r="T579" t="n">
        <v>0</v>
      </c>
      <c r="U579" t="n">
        <v>1785.33</v>
      </c>
      <c r="V579" t="inlineStr">
        <is>
          <t>A credit of $644.95 was used to book this travel.</t>
        </is>
      </c>
      <c r="W579" t="inlineStr">
        <is>
          <t>Un crédit de 644,95 $ a été utilisé pour réserver ce voyage.</t>
        </is>
      </c>
      <c r="X579" t="inlineStr">
        <is>
          <t>atssc-scdata</t>
        </is>
      </c>
      <c r="Y579" t="inlineStr">
        <is>
          <t>Administrative Tribunals Support Service of Canada | Service canadien d'appui aux tribunaux administratifs</t>
        </is>
      </c>
      <c r="Z579" t="n">
        <v>4</v>
      </c>
      <c r="AA579" t="n">
        <v>1785.33</v>
      </c>
      <c r="AB579">
        <f>ROUND(U579-AA579,2)</f>
        <v/>
      </c>
      <c r="AC579" t="b">
        <v>0</v>
      </c>
      <c r="AD579">
        <f>IF(U579="","MISSING_TOTAL",IF(ABS(AB579)&lt;=0.01,"OK","CHECK"))</f>
        <v/>
      </c>
      <c r="AE579">
        <f>IF(U579="","MISSING",IF(AND(AA579&gt;0,U579/AA579&gt;50),"POSSIBLE_SCALE_ERROR","OK"))</f>
        <v/>
      </c>
    </row>
    <row r="580">
      <c r="A580" t="inlineStr">
        <is>
          <t>T-2020-P12-0001</t>
        </is>
      </c>
      <c r="B580" t="inlineStr">
        <is>
          <t>SLE</t>
        </is>
      </c>
      <c r="C580" t="inlineStr">
        <is>
          <t>Chairperson</t>
        </is>
      </c>
      <c r="D580" t="inlineStr">
        <is>
          <t>Président</t>
        </is>
      </c>
      <c r="E580" t="inlineStr">
        <is>
          <t>Jean Bédard</t>
        </is>
      </c>
      <c r="F580" t="inlineStr">
        <is>
          <t>Conference: Attend the 2020 International Trade Update</t>
        </is>
      </c>
      <c r="G580" t="inlineStr">
        <is>
          <t>Conférence: La mise à jour du commerce international 2020</t>
        </is>
      </c>
      <c r="H580" s="1" t="n">
        <v>43894</v>
      </c>
      <c r="I580" s="1" t="n">
        <v>43896</v>
      </c>
      <c r="J580" t="inlineStr">
        <is>
          <t>Washington, District of Columbia, United States</t>
        </is>
      </c>
      <c r="K580" t="inlineStr">
        <is>
          <t>Washington, District de Columbia, États-Unis</t>
        </is>
      </c>
      <c r="P580" t="n">
        <v>1292.28</v>
      </c>
      <c r="Q580" t="n">
        <v>101.41</v>
      </c>
      <c r="R580" t="n">
        <v>837.21</v>
      </c>
      <c r="S580" t="n">
        <v>332.62</v>
      </c>
      <c r="T580" t="n">
        <v>0</v>
      </c>
      <c r="U580" t="n">
        <v>2563.52</v>
      </c>
      <c r="X580" t="inlineStr">
        <is>
          <t>atssc-scdata</t>
        </is>
      </c>
      <c r="Y580" t="inlineStr">
        <is>
          <t>Administrative Tribunals Support Service of Canada | Service canadien d'appui aux tribunaux administratifs</t>
        </is>
      </c>
      <c r="Z580" t="n">
        <v>3</v>
      </c>
      <c r="AA580" t="n">
        <v>2563.52</v>
      </c>
      <c r="AB580">
        <f>ROUND(U580-AA580,2)</f>
        <v/>
      </c>
      <c r="AC580" t="b">
        <v>0</v>
      </c>
      <c r="AD580">
        <f>IF(U580="","MISSING_TOTAL",IF(ABS(AB580)&lt;=0.01,"OK","CHECK"))</f>
        <v/>
      </c>
      <c r="AE580">
        <f>IF(U580="","MISSING",IF(AND(AA580&gt;0,U580/AA580&gt;50),"POSSIBLE_SCALE_ERROR","OK"))</f>
        <v/>
      </c>
    </row>
    <row r="581">
      <c r="A581" t="inlineStr">
        <is>
          <t>T-2020-P12-0002</t>
        </is>
      </c>
      <c r="B581" t="inlineStr">
        <is>
          <t>SLE</t>
        </is>
      </c>
      <c r="C581" t="inlineStr">
        <is>
          <t>Chairperson</t>
        </is>
      </c>
      <c r="D581" t="inlineStr">
        <is>
          <t>Présidente</t>
        </is>
      </c>
      <c r="E581" t="inlineStr">
        <is>
          <t>Ginette Brazeau</t>
        </is>
      </c>
      <c r="F581" t="inlineStr">
        <is>
          <t>Séance de planification de "Association of Labor Relations Agencies (ALRA)"</t>
        </is>
      </c>
      <c r="G581" t="inlineStr">
        <is>
          <t>Séance de planification de "Association of Labor Relations Agencies (ALRA)"</t>
        </is>
      </c>
      <c r="H581" s="1" t="n">
        <v>43888</v>
      </c>
      <c r="I581" s="1" t="n">
        <v>43891</v>
      </c>
      <c r="J581" t="inlineStr">
        <is>
          <t>Vancouver, British Columbia, Canada</t>
        </is>
      </c>
      <c r="K581" t="inlineStr">
        <is>
          <t>Vancouver, Colombie-britannique, Canada</t>
        </is>
      </c>
      <c r="P581" t="n">
        <v>1653.69</v>
      </c>
      <c r="Q581" t="n">
        <v>219.06</v>
      </c>
      <c r="R581" t="n">
        <v>581.61</v>
      </c>
      <c r="S581" t="n">
        <v>332.95</v>
      </c>
      <c r="T581" t="n">
        <v>0</v>
      </c>
      <c r="U581" t="n">
        <v>2787.31</v>
      </c>
      <c r="X581" t="inlineStr">
        <is>
          <t>atssc-scdata</t>
        </is>
      </c>
      <c r="Y581" t="inlineStr">
        <is>
          <t>Administrative Tribunals Support Service of Canada | Service canadien d'appui aux tribunaux administratifs</t>
        </is>
      </c>
      <c r="Z581" t="n">
        <v>4</v>
      </c>
      <c r="AA581" t="n">
        <v>2787.31</v>
      </c>
      <c r="AB581">
        <f>ROUND(U581-AA581,2)</f>
        <v/>
      </c>
      <c r="AC581" t="b">
        <v>0</v>
      </c>
      <c r="AD581">
        <f>IF(U581="","MISSING_TOTAL",IF(ABS(AB581)&lt;=0.01,"OK","CHECK"))</f>
        <v/>
      </c>
      <c r="AE581">
        <f>IF(U581="","MISSING",IF(AND(AA581&gt;0,U581/AA581&gt;50),"POSSIBLE_SCALE_ERROR","OK"))</f>
        <v/>
      </c>
    </row>
    <row r="582">
      <c r="A582" t="inlineStr">
        <is>
          <t>T-2020-P12-0003</t>
        </is>
      </c>
      <c r="B582" t="inlineStr">
        <is>
          <t>SLE</t>
        </is>
      </c>
      <c r="C582" t="inlineStr">
        <is>
          <t>Chairperson</t>
        </is>
      </c>
      <c r="D582" t="inlineStr">
        <is>
          <t>Présidente</t>
        </is>
      </c>
      <c r="E582" t="inlineStr">
        <is>
          <t>Ginette Brazeau</t>
        </is>
      </c>
      <c r="F582" t="inlineStr">
        <is>
          <t>Canada Labour Code Conference</t>
        </is>
      </c>
      <c r="G582" t="inlineStr">
        <is>
          <t>Conférence sur le Code canadien du travail</t>
        </is>
      </c>
      <c r="H582" s="1" t="n">
        <v>43893</v>
      </c>
      <c r="I582" s="1" t="n">
        <v>43893</v>
      </c>
      <c r="J582" t="inlineStr">
        <is>
          <t>Toronto, Ontario, Canada</t>
        </is>
      </c>
      <c r="K582" t="inlineStr">
        <is>
          <t>Toronto, Ontario, Canada</t>
        </is>
      </c>
      <c r="P582" t="n">
        <v>518.95</v>
      </c>
      <c r="Q582" t="n">
        <v>160.23</v>
      </c>
      <c r="R582" t="n">
        <v>0</v>
      </c>
      <c r="S582" t="n">
        <v>0</v>
      </c>
      <c r="T582" t="n">
        <v>0</v>
      </c>
      <c r="U582" t="n">
        <v>679.1799999999999</v>
      </c>
      <c r="X582" t="inlineStr">
        <is>
          <t>atssc-scdata</t>
        </is>
      </c>
      <c r="Y582" t="inlineStr">
        <is>
          <t>Administrative Tribunals Support Service of Canada | Service canadien d'appui aux tribunaux administratifs</t>
        </is>
      </c>
      <c r="Z582" t="n">
        <v>1</v>
      </c>
      <c r="AA582" t="n">
        <v>679.1799999999999</v>
      </c>
      <c r="AB582">
        <f>ROUND(U582-AA582,2)</f>
        <v/>
      </c>
      <c r="AC582" t="b">
        <v>0</v>
      </c>
      <c r="AD582">
        <f>IF(U582="","MISSING_TOTAL",IF(ABS(AB582)&lt;=0.01,"OK","CHECK"))</f>
        <v/>
      </c>
      <c r="AE582">
        <f>IF(U582="","MISSING",IF(AND(AA582&gt;0,U582/AA582&gt;50),"POSSIBLE_SCALE_ERROR","OK"))</f>
        <v/>
      </c>
    </row>
    <row r="583">
      <c r="A583" t="inlineStr">
        <is>
          <t>T-2020-P12-0004</t>
        </is>
      </c>
      <c r="B583" t="inlineStr">
        <is>
          <t>SLE</t>
        </is>
      </c>
      <c r="C583" t="inlineStr">
        <is>
          <t>Chairperson</t>
        </is>
      </c>
      <c r="D583" t="inlineStr">
        <is>
          <t>Président</t>
        </is>
      </c>
      <c r="E583" t="inlineStr">
        <is>
          <t>David Thomas</t>
        </is>
      </c>
      <c r="F583" t="inlineStr">
        <is>
          <t>1. Mediation: T2414/7319
2. Guest speaker at University of Victoria - Faculty of Law</t>
        </is>
      </c>
      <c r="G583" t="inlineStr">
        <is>
          <t>1.Médiation: T2414/7319
2. Conférencier invité à  l'université de Victoria - Faculté de droit</t>
        </is>
      </c>
      <c r="H583" s="1" t="n">
        <v>43884</v>
      </c>
      <c r="I583" s="1" t="n">
        <v>43887</v>
      </c>
      <c r="J583" t="inlineStr">
        <is>
          <t>Duncan / Victoria, British Colombia, Canada</t>
        </is>
      </c>
      <c r="K583" t="inlineStr">
        <is>
          <t>Duncan / Victoria, Colombie-britannique, Canada</t>
        </is>
      </c>
      <c r="P583" t="n">
        <v>1081.26</v>
      </c>
      <c r="Q583" t="n">
        <v>337.5</v>
      </c>
      <c r="R583" t="n">
        <v>467.86</v>
      </c>
      <c r="S583" t="n">
        <v>435.2</v>
      </c>
      <c r="T583" t="n">
        <v>0</v>
      </c>
      <c r="U583" t="n">
        <v>2321.82</v>
      </c>
      <c r="X583" t="inlineStr">
        <is>
          <t>atssc-scdata</t>
        </is>
      </c>
      <c r="Y583" t="inlineStr">
        <is>
          <t>Administrative Tribunals Support Service of Canada | Service canadien d'appui aux tribunaux administratifs</t>
        </is>
      </c>
      <c r="Z583" t="n">
        <v>4</v>
      </c>
      <c r="AA583" t="n">
        <v>2321.81999999999</v>
      </c>
      <c r="AB583">
        <f>ROUND(U583-AA583,2)</f>
        <v/>
      </c>
      <c r="AC583" t="b">
        <v>0</v>
      </c>
      <c r="AD583">
        <f>IF(U583="","MISSING_TOTAL",IF(ABS(AB583)&lt;=0.01,"OK","CHECK"))</f>
        <v/>
      </c>
      <c r="AE583">
        <f>IF(U583="","MISSING",IF(AND(AA583&gt;0,U583/AA583&gt;50),"POSSIBLE_SCALE_ERROR","OK"))</f>
        <v/>
      </c>
    </row>
    <row r="584">
      <c r="A584" t="inlineStr">
        <is>
          <t>T-2020-P12-0005</t>
        </is>
      </c>
      <c r="B584" t="inlineStr">
        <is>
          <t>SLE</t>
        </is>
      </c>
      <c r="C584" t="inlineStr">
        <is>
          <t>Chairperson</t>
        </is>
      </c>
      <c r="D584" t="inlineStr">
        <is>
          <t>Président</t>
        </is>
      </c>
      <c r="E584" t="inlineStr">
        <is>
          <t>David Thomas</t>
        </is>
      </c>
      <c r="F584" t="inlineStr">
        <is>
          <t>To give a presentation about CHRT to UQAM's Law Faculty</t>
        </is>
      </c>
      <c r="G584" t="inlineStr">
        <is>
          <t>Faire une présentation sur le TCDP à la Faculté de droit de l'UQAM</t>
        </is>
      </c>
      <c r="H584" s="1" t="n">
        <v>43900</v>
      </c>
      <c r="I584" s="1" t="n">
        <v>43900</v>
      </c>
      <c r="J584" t="inlineStr">
        <is>
          <t>Montreal, Quebec, Canada</t>
        </is>
      </c>
      <c r="K584" t="inlineStr">
        <is>
          <t>Montréal, Québec, Canada</t>
        </is>
      </c>
      <c r="P584" t="n">
        <v>0</v>
      </c>
      <c r="Q584" t="n">
        <v>0</v>
      </c>
      <c r="R584" t="n">
        <v>0</v>
      </c>
      <c r="S584" t="n">
        <v>71.15000000000001</v>
      </c>
      <c r="T584" t="n">
        <v>0</v>
      </c>
      <c r="U584" t="n">
        <v>71.15000000000001</v>
      </c>
      <c r="X584" t="inlineStr">
        <is>
          <t>atssc-scdata</t>
        </is>
      </c>
      <c r="Y584" t="inlineStr">
        <is>
          <t>Administrative Tribunals Support Service of Canada | Service canadien d'appui aux tribunaux administratifs</t>
        </is>
      </c>
      <c r="Z584" t="n">
        <v>1</v>
      </c>
      <c r="AA584" t="n">
        <v>71.15000000000001</v>
      </c>
      <c r="AB584">
        <f>ROUND(U584-AA584,2)</f>
        <v/>
      </c>
      <c r="AC584" t="b">
        <v>0</v>
      </c>
      <c r="AD584">
        <f>IF(U584="","MISSING_TOTAL",IF(ABS(AB584)&lt;=0.01,"OK","CHECK"))</f>
        <v/>
      </c>
      <c r="AE584">
        <f>IF(U584="","MISSING",IF(AND(AA584&gt;0,U584/AA584&gt;50),"POSSIBLE_SCALE_ERROR","OK"))</f>
        <v/>
      </c>
    </row>
    <row r="585">
      <c r="A585" t="inlineStr">
        <is>
          <t>T-2020-P12-0006</t>
        </is>
      </c>
      <c r="B585" t="inlineStr">
        <is>
          <t>SLE</t>
        </is>
      </c>
      <c r="C585" t="inlineStr">
        <is>
          <t>Chairperson</t>
        </is>
      </c>
      <c r="D585" t="inlineStr">
        <is>
          <t>Président</t>
        </is>
      </c>
      <c r="E585" t="inlineStr">
        <is>
          <t>Luc Bélanger</t>
        </is>
      </c>
      <c r="F585" t="inlineStr">
        <is>
          <t>Preside over hearing 'Hishon Transport CART - 1963'</t>
        </is>
      </c>
      <c r="G585" t="inlineStr">
        <is>
          <t>Présider l'audience 'Hishon Transport CART - 1963'</t>
        </is>
      </c>
      <c r="H585" s="1" t="n">
        <v>43872</v>
      </c>
      <c r="I585" s="1" t="n">
        <v>43875</v>
      </c>
      <c r="J585" t="inlineStr">
        <is>
          <t>Guelph, Ontario, Canada</t>
        </is>
      </c>
      <c r="K585" t="inlineStr">
        <is>
          <t>Guelph, Ontario, Canada</t>
        </is>
      </c>
      <c r="P585" t="n">
        <v>521.21</v>
      </c>
      <c r="Q585" t="n">
        <v>333.05</v>
      </c>
      <c r="R585" t="n">
        <v>501.72</v>
      </c>
      <c r="S585" t="n">
        <v>363.05</v>
      </c>
      <c r="T585" t="n">
        <v>0</v>
      </c>
      <c r="U585" t="n">
        <v>1719.03</v>
      </c>
      <c r="X585" t="inlineStr">
        <is>
          <t>atssc-scdata</t>
        </is>
      </c>
      <c r="Y585" t="inlineStr">
        <is>
          <t>Administrative Tribunals Support Service of Canada | Service canadien d'appui aux tribunaux administratifs</t>
        </is>
      </c>
      <c r="Z585" t="n">
        <v>4</v>
      </c>
      <c r="AA585" t="n">
        <v>1719.03</v>
      </c>
      <c r="AB585">
        <f>ROUND(U585-AA585,2)</f>
        <v/>
      </c>
      <c r="AC585" t="b">
        <v>0</v>
      </c>
      <c r="AD585">
        <f>IF(U585="","MISSING_TOTAL",IF(ABS(AB585)&lt;=0.01,"OK","CHECK"))</f>
        <v/>
      </c>
      <c r="AE585">
        <f>IF(U585="","MISSING",IF(AND(AA585&gt;0,U585/AA585&gt;50),"POSSIBLE_SCALE_ERROR","OK"))</f>
        <v/>
      </c>
    </row>
    <row r="586">
      <c r="A586" t="inlineStr">
        <is>
          <t>T-2020-P12-0007</t>
        </is>
      </c>
      <c r="B586" t="inlineStr">
        <is>
          <t>SLE</t>
        </is>
      </c>
      <c r="C586" t="inlineStr">
        <is>
          <t>Chairperson</t>
        </is>
      </c>
      <c r="D586" t="inlineStr">
        <is>
          <t>Président</t>
        </is>
      </c>
      <c r="E586" t="inlineStr">
        <is>
          <t>Luc Bélanger</t>
        </is>
      </c>
      <c r="F586" t="inlineStr">
        <is>
          <t>Preside over hearing 'Audience Luckhart Transport CART -1984'</t>
        </is>
      </c>
      <c r="G586" t="inlineStr">
        <is>
          <t>Présider l'audience 'Audience Luckhart Transport CART -1984'</t>
        </is>
      </c>
      <c r="H586" s="1" t="n">
        <v>43899</v>
      </c>
      <c r="I586" s="1" t="n">
        <v>43903</v>
      </c>
      <c r="J586" t="inlineStr">
        <is>
          <t>Waterloo, Ontario, Canada</t>
        </is>
      </c>
      <c r="K586" t="inlineStr">
        <is>
          <t>Waterloo, Ontario, Canada</t>
        </is>
      </c>
      <c r="P586" t="n">
        <v>443.24</v>
      </c>
      <c r="Q586" t="n">
        <v>369.44</v>
      </c>
      <c r="R586" t="n">
        <v>700.4</v>
      </c>
      <c r="S586" t="n">
        <v>473.1</v>
      </c>
      <c r="T586" t="n">
        <v>0</v>
      </c>
      <c r="U586" t="n">
        <v>1986.18</v>
      </c>
      <c r="X586" t="inlineStr">
        <is>
          <t>atssc-scdata</t>
        </is>
      </c>
      <c r="Y586" t="inlineStr">
        <is>
          <t>Administrative Tribunals Support Service of Canada | Service canadien d'appui aux tribunaux administratifs</t>
        </is>
      </c>
      <c r="Z586" t="n">
        <v>5</v>
      </c>
      <c r="AA586" t="n">
        <v>1986.17999999999</v>
      </c>
      <c r="AB586">
        <f>ROUND(U586-AA586,2)</f>
        <v/>
      </c>
      <c r="AC586" t="b">
        <v>0</v>
      </c>
      <c r="AD586">
        <f>IF(U586="","MISSING_TOTAL",IF(ABS(AB586)&lt;=0.01,"OK","CHECK"))</f>
        <v/>
      </c>
      <c r="AE586">
        <f>IF(U586="","MISSING",IF(AND(AA586&gt;0,U586/AA586&gt;50),"POSSIBLE_SCALE_ERROR","OK"))</f>
        <v/>
      </c>
    </row>
    <row r="587">
      <c r="A587" t="inlineStr">
        <is>
          <t>T-2020-P12-0008</t>
        </is>
      </c>
      <c r="B587" t="inlineStr">
        <is>
          <t>SLE</t>
        </is>
      </c>
      <c r="C587" t="inlineStr">
        <is>
          <t>Chairperson</t>
        </is>
      </c>
      <c r="D587" t="inlineStr">
        <is>
          <t>Présidente</t>
        </is>
      </c>
      <c r="E587" t="inlineStr">
        <is>
          <t>Sharilyn Ingram</t>
        </is>
      </c>
      <c r="F587" t="inlineStr">
        <is>
          <t>To attend several meetings</t>
        </is>
      </c>
      <c r="G587" t="inlineStr">
        <is>
          <t>Assister à plusieurs réunions</t>
        </is>
      </c>
      <c r="H587" s="1" t="n">
        <v>43901</v>
      </c>
      <c r="I587" s="1" t="n">
        <v>43903</v>
      </c>
      <c r="J587" t="inlineStr">
        <is>
          <t>Ottawa, Ontario, Canada</t>
        </is>
      </c>
      <c r="K587" t="inlineStr">
        <is>
          <t>Ottawa, Ontario, Canada</t>
        </is>
      </c>
      <c r="P587" t="n">
        <v>701.39</v>
      </c>
      <c r="Q587" t="n">
        <v>247.58</v>
      </c>
      <c r="R587" t="n">
        <v>397.22</v>
      </c>
      <c r="S587" t="n">
        <v>306.05</v>
      </c>
      <c r="T587" t="n">
        <v>0</v>
      </c>
      <c r="U587" t="n">
        <v>1652.24</v>
      </c>
      <c r="X587" t="inlineStr">
        <is>
          <t>atssc-scdata</t>
        </is>
      </c>
      <c r="Y587" t="inlineStr">
        <is>
          <t>Administrative Tribunals Support Service of Canada | Service canadien d'appui aux tribunaux administratifs</t>
        </is>
      </c>
      <c r="Z587" t="n">
        <v>3</v>
      </c>
      <c r="AA587" t="n">
        <v>1652.24</v>
      </c>
      <c r="AB587">
        <f>ROUND(U587-AA587,2)</f>
        <v/>
      </c>
      <c r="AC587" t="b">
        <v>0</v>
      </c>
      <c r="AD587">
        <f>IF(U587="","MISSING_TOTAL",IF(ABS(AB587)&lt;=0.01,"OK","CHECK"))</f>
        <v/>
      </c>
      <c r="AE587">
        <f>IF(U587="","MISSING",IF(AND(AA587&gt;0,U587/AA587&gt;50),"POSSIBLE_SCALE_ERROR","OK"))</f>
        <v/>
      </c>
    </row>
    <row r="588">
      <c r="A588" t="inlineStr">
        <is>
          <t>T-2020-P12-0009</t>
        </is>
      </c>
      <c r="B588" t="inlineStr">
        <is>
          <t>SLE</t>
        </is>
      </c>
      <c r="C588" t="inlineStr">
        <is>
          <t>Chairperson</t>
        </is>
      </c>
      <c r="D588" t="inlineStr">
        <is>
          <t>Présidente</t>
        </is>
      </c>
      <c r="E588" t="inlineStr">
        <is>
          <t>Sharilyn Ingram</t>
        </is>
      </c>
      <c r="F588" t="inlineStr">
        <is>
          <t>Annulé - assister au Forum des présidents à Ottawa et assister à une réunion à Patrimoine canadien à Gatineau</t>
        </is>
      </c>
      <c r="G588" t="inlineStr">
        <is>
          <t>Cancelled - to attend Chairs Forum in Ottawa and attend meeting at Canadian Heritage in Gatineau</t>
        </is>
      </c>
      <c r="H588" s="1" t="n">
        <v>43887</v>
      </c>
      <c r="I588" s="1" t="n">
        <v>43887</v>
      </c>
      <c r="J588" t="inlineStr">
        <is>
          <t>Ottawa, Ontario, Canada</t>
        </is>
      </c>
      <c r="K588" t="inlineStr">
        <is>
          <t>Ottawa, Ontario, Canada</t>
        </is>
      </c>
      <c r="P588" t="n">
        <v>22.6</v>
      </c>
      <c r="Q588" t="n">
        <v>90.77</v>
      </c>
      <c r="R588" t="n">
        <v>0</v>
      </c>
      <c r="S588" t="n">
        <v>0</v>
      </c>
      <c r="T588" t="n">
        <v>15.14</v>
      </c>
      <c r="U588" t="n">
        <v>128.51</v>
      </c>
      <c r="V588" t="inlineStr">
        <is>
          <t>Air Canada credit available is $90.77
Cancellation fee is $15.14</t>
        </is>
      </c>
      <c r="W588" t="inlineStr">
        <is>
          <t>Crédit d'air Canada de 90.77$ est disponible
Les frais d'annulation sont de 15.14$</t>
        </is>
      </c>
      <c r="X588" t="inlineStr">
        <is>
          <t>atssc-scdata</t>
        </is>
      </c>
      <c r="Y588" t="inlineStr">
        <is>
          <t>Administrative Tribunals Support Service of Canada | Service canadien d'appui aux tribunaux administratifs</t>
        </is>
      </c>
      <c r="Z588" t="n">
        <v>1</v>
      </c>
      <c r="AA588" t="n">
        <v>128.51</v>
      </c>
      <c r="AB588">
        <f>ROUND(U588-AA588,2)</f>
        <v/>
      </c>
      <c r="AC588" t="b">
        <v>0</v>
      </c>
      <c r="AD588">
        <f>IF(U588="","MISSING_TOTAL",IF(ABS(AB588)&lt;=0.01,"OK","CHECK"))</f>
        <v/>
      </c>
      <c r="AE588">
        <f>IF(U588="","MISSING",IF(AND(AA588&gt;0,U588/AA588&gt;50),"POSSIBLE_SCALE_ERROR","OK"))</f>
        <v/>
      </c>
    </row>
    <row r="589">
      <c r="A589" t="inlineStr">
        <is>
          <t>T-2020-P4-0001</t>
        </is>
      </c>
      <c r="B589" t="inlineStr">
        <is>
          <t>SLE</t>
        </is>
      </c>
      <c r="C589" t="inlineStr">
        <is>
          <t>Chairperson</t>
        </is>
      </c>
      <c r="D589" t="inlineStr">
        <is>
          <t>Président</t>
        </is>
      </c>
      <c r="E589" t="inlineStr">
        <is>
          <t>Bélanger, Luc</t>
        </is>
      </c>
      <c r="F589" t="inlineStr">
        <is>
          <t>Meeting to discuss the subject of the new food safety reform</t>
        </is>
      </c>
      <c r="G589" t="inlineStr">
        <is>
          <t>Rencontre pour aborder le sujet de la nouvelle réforme sur la salubrité des aliments</t>
        </is>
      </c>
      <c r="H589" s="1" t="n">
        <v>44025</v>
      </c>
      <c r="I589" s="1" t="n">
        <v>44028</v>
      </c>
      <c r="J589" t="inlineStr">
        <is>
          <t>Quebec, Quebec, Canada</t>
        </is>
      </c>
      <c r="K589" t="inlineStr">
        <is>
          <t>Québec, Québec, Canada</t>
        </is>
      </c>
      <c r="Q589" t="n">
        <v>541.87</v>
      </c>
      <c r="R589" t="n">
        <v>496.26</v>
      </c>
      <c r="S589" t="n">
        <v>414.85</v>
      </c>
      <c r="U589" t="n">
        <v>1452.98</v>
      </c>
      <c r="X589" t="inlineStr">
        <is>
          <t>atssc-scdata</t>
        </is>
      </c>
      <c r="Y589" t="inlineStr">
        <is>
          <t>Administrative Tribunals Support Service of Canada | Service canadien d'appui aux tribunaux administratifs</t>
        </is>
      </c>
      <c r="Z589" t="n">
        <v>4</v>
      </c>
      <c r="AA589" t="n">
        <v>1452.98</v>
      </c>
      <c r="AB589">
        <f>ROUND(U589-AA589,2)</f>
        <v/>
      </c>
      <c r="AC589" t="b">
        <v>0</v>
      </c>
      <c r="AD589">
        <f>IF(U589="","MISSING_TOTAL",IF(ABS(AB589)&lt;=0.01,"OK","CHECK"))</f>
        <v/>
      </c>
      <c r="AE589">
        <f>IF(U589="","MISSING",IF(AND(AA589&gt;0,U589/AA589&gt;50),"POSSIBLE_SCALE_ERROR","OK"))</f>
        <v/>
      </c>
    </row>
    <row r="590">
      <c r="A590" t="inlineStr">
        <is>
          <t>T-2020-P1-0001</t>
        </is>
      </c>
      <c r="B590" t="inlineStr">
        <is>
          <t>SLE</t>
        </is>
      </c>
      <c r="C590" t="inlineStr">
        <is>
          <t>Chairperson</t>
        </is>
      </c>
      <c r="D590" t="inlineStr">
        <is>
          <t>Président</t>
        </is>
      </c>
      <c r="E590" t="inlineStr">
        <is>
          <t>Bélanger, Luc</t>
        </is>
      </c>
      <c r="F590" t="inlineStr">
        <is>
          <t>Rencontre à l'université d'Ottawa</t>
        </is>
      </c>
      <c r="G590" t="inlineStr">
        <is>
          <t>Rencontre à l'université d'Ottawa</t>
        </is>
      </c>
      <c r="H590" s="1" t="n">
        <v>43944</v>
      </c>
      <c r="I590" s="1" t="n">
        <v>43944</v>
      </c>
      <c r="J590" t="inlineStr">
        <is>
          <t>Ottawa, Ontario, Canada</t>
        </is>
      </c>
      <c r="K590" t="inlineStr">
        <is>
          <t>Ottawa, Ontario, Canada</t>
        </is>
      </c>
      <c r="Q590" t="n">
        <v>3.6</v>
      </c>
      <c r="R590" t="n">
        <v>0</v>
      </c>
      <c r="S590" t="n">
        <v>0</v>
      </c>
      <c r="U590" t="n">
        <v>3.6</v>
      </c>
      <c r="X590" t="inlineStr">
        <is>
          <t>atssc-scdata</t>
        </is>
      </c>
      <c r="Y590" t="inlineStr">
        <is>
          <t>Administrative Tribunals Support Service of Canada | Service canadien d'appui aux tribunaux administratifs</t>
        </is>
      </c>
      <c r="Z590" t="n">
        <v>1</v>
      </c>
      <c r="AA590" t="n">
        <v>3.6</v>
      </c>
      <c r="AB590">
        <f>ROUND(U590-AA590,2)</f>
        <v/>
      </c>
      <c r="AC590" t="b">
        <v>0</v>
      </c>
      <c r="AD590">
        <f>IF(U590="","MISSING_TOTAL",IF(ABS(AB590)&lt;=0.01,"OK","CHECK"))</f>
        <v/>
      </c>
      <c r="AE590">
        <f>IF(U590="","MISSING",IF(AND(AA590&gt;0,U590/AA590&gt;50),"POSSIBLE_SCALE_ERROR","OK"))</f>
        <v/>
      </c>
    </row>
    <row r="591">
      <c r="A591" t="inlineStr">
        <is>
          <t>T-2020-P7-0001</t>
        </is>
      </c>
      <c r="B591" t="inlineStr">
        <is>
          <t>SLE</t>
        </is>
      </c>
      <c r="C591" t="inlineStr">
        <is>
          <t>Chairperson</t>
        </is>
      </c>
      <c r="D591" t="inlineStr">
        <is>
          <t>Président</t>
        </is>
      </c>
      <c r="E591" t="inlineStr">
        <is>
          <t>Bélanger, Luc</t>
        </is>
      </c>
      <c r="F591" t="inlineStr">
        <is>
          <t>Meeting to prepare training material for the new food safety reform in Canada</t>
        </is>
      </c>
      <c r="G591" t="inlineStr">
        <is>
          <t>Rencontre pour préparer une formation sur la nouvelle réforme sur la salubrité des aliments au Canada</t>
        </is>
      </c>
      <c r="H591" s="1" t="n">
        <v>44095</v>
      </c>
      <c r="I591" s="1" t="n">
        <v>44098</v>
      </c>
      <c r="J591" t="inlineStr">
        <is>
          <t>Toronto, Ontario, Canada</t>
        </is>
      </c>
      <c r="K591" t="inlineStr">
        <is>
          <t>Toronto, Ontario, Canada</t>
        </is>
      </c>
      <c r="Q591" t="n">
        <v>628.37</v>
      </c>
      <c r="R591" t="n">
        <v>695.48</v>
      </c>
      <c r="S591" t="n">
        <v>440.4</v>
      </c>
      <c r="U591" t="n">
        <v>1764.25</v>
      </c>
      <c r="V591" t="inlineStr">
        <is>
          <t>Reimbursment proccessed in October</t>
        </is>
      </c>
      <c r="W591" t="inlineStr">
        <is>
          <t>Remboursement traité en octobre</t>
        </is>
      </c>
      <c r="X591" t="inlineStr">
        <is>
          <t>atssc-scdata</t>
        </is>
      </c>
      <c r="Y591" t="inlineStr">
        <is>
          <t>Administrative Tribunals Support Service of Canada | Service canadien d'appui aux tribunaux administratifs</t>
        </is>
      </c>
      <c r="Z591" t="n">
        <v>4</v>
      </c>
      <c r="AA591" t="n">
        <v>1764.25</v>
      </c>
      <c r="AB591">
        <f>ROUND(U591-AA591,2)</f>
        <v/>
      </c>
      <c r="AC591" t="b">
        <v>0</v>
      </c>
      <c r="AD591">
        <f>IF(U591="","MISSING_TOTAL",IF(ABS(AB591)&lt;=0.01,"OK","CHECK"))</f>
        <v/>
      </c>
      <c r="AE591">
        <f>IF(U591="","MISSING",IF(AND(AA591&gt;0,U591/AA591&gt;50),"POSSIBLE_SCALE_ERROR","OK"))</f>
        <v/>
      </c>
    </row>
    <row r="592">
      <c r="A592" t="inlineStr">
        <is>
          <t>T-2021-P7-0001</t>
        </is>
      </c>
      <c r="B592" t="inlineStr">
        <is>
          <t>SLE</t>
        </is>
      </c>
      <c r="C592" t="inlineStr">
        <is>
          <t>Chief Administrator, Deputy</t>
        </is>
      </c>
      <c r="D592" t="inlineStr">
        <is>
          <t>Administrateur en chef adjoint</t>
        </is>
      </c>
      <c r="E592" t="inlineStr">
        <is>
          <t>Covelli, Nick</t>
        </is>
      </c>
      <c r="F592" t="inlineStr">
        <is>
          <t>Senior public sector leadership training</t>
        </is>
      </c>
      <c r="G592" t="inlineStr">
        <is>
          <t>Formation en leadership de haut niveau dans le secteur public</t>
        </is>
      </c>
      <c r="H592" s="1" t="n">
        <v>44451</v>
      </c>
      <c r="I592" s="1" t="n">
        <v>44456</v>
      </c>
      <c r="J592" t="inlineStr">
        <is>
          <t>London (Ontario) Canada</t>
        </is>
      </c>
      <c r="K592" t="inlineStr">
        <is>
          <t>London (Ontario) Canada</t>
        </is>
      </c>
      <c r="Q592" t="n">
        <v>187.13</v>
      </c>
      <c r="R592" t="n">
        <v>154.52</v>
      </c>
      <c r="S592" t="n">
        <v>258.4</v>
      </c>
      <c r="U592" t="n">
        <v>600.05</v>
      </c>
      <c r="X592" t="inlineStr">
        <is>
          <t>atssc-scdata</t>
        </is>
      </c>
      <c r="Y592" t="inlineStr">
        <is>
          <t>Administrative Tribunals Support Service of Canada | Service canadien d'appui aux tribunaux administratifs</t>
        </is>
      </c>
      <c r="Z592" t="n">
        <v>6</v>
      </c>
      <c r="AA592" t="n">
        <v>600.05</v>
      </c>
      <c r="AB592">
        <f>ROUND(U592-AA592,2)</f>
        <v/>
      </c>
      <c r="AC592" t="b">
        <v>0</v>
      </c>
      <c r="AD592">
        <f>IF(U592="","MISSING_TOTAL",IF(ABS(AB592)&lt;=0.01,"OK","CHECK"))</f>
        <v/>
      </c>
      <c r="AE592">
        <f>IF(U592="","MISSING",IF(AND(AA592&gt;0,U592/AA592&gt;50),"POSSIBLE_SCALE_ERROR","OK"))</f>
        <v/>
      </c>
    </row>
    <row r="593">
      <c r="A593" t="inlineStr">
        <is>
          <t>T-2021-P9-0001</t>
        </is>
      </c>
      <c r="B593" t="inlineStr">
        <is>
          <t>SLE</t>
        </is>
      </c>
      <c r="C593" t="inlineStr">
        <is>
          <t>Chairperson</t>
        </is>
      </c>
      <c r="D593" t="inlineStr">
        <is>
          <t>Président</t>
        </is>
      </c>
      <c r="E593" t="inlineStr">
        <is>
          <t>Bélanger, Luc</t>
        </is>
      </c>
      <c r="F593" t="inlineStr">
        <is>
          <t>Pour une audience</t>
        </is>
      </c>
      <c r="G593" t="inlineStr">
        <is>
          <t>For a hearing</t>
        </is>
      </c>
      <c r="H593" s="1" t="n">
        <v>44487</v>
      </c>
      <c r="I593" s="1" t="n">
        <v>44492</v>
      </c>
      <c r="J593" t="inlineStr">
        <is>
          <t>Hamilton (Ontario) Canada</t>
        </is>
      </c>
      <c r="K593" t="inlineStr">
        <is>
          <t>Hamilton (Ontario) Canada</t>
        </is>
      </c>
      <c r="Q593" t="n">
        <v>663.05</v>
      </c>
      <c r="R593" t="n">
        <v>864.15</v>
      </c>
      <c r="S593" t="n">
        <v>679.5</v>
      </c>
      <c r="U593" t="n">
        <v>2206.7</v>
      </c>
      <c r="X593" t="inlineStr">
        <is>
          <t>atssc-scdata</t>
        </is>
      </c>
      <c r="Y593" t="inlineStr">
        <is>
          <t>Administrative Tribunals Support Service of Canada | Service canadien d'appui aux tribunaux administratifs</t>
        </is>
      </c>
      <c r="Z593" t="n">
        <v>6</v>
      </c>
      <c r="AA593" t="n">
        <v>2206.7</v>
      </c>
      <c r="AB593">
        <f>ROUND(U593-AA593,2)</f>
        <v/>
      </c>
      <c r="AC593" t="b">
        <v>0</v>
      </c>
      <c r="AD593">
        <f>IF(U593="","MISSING_TOTAL",IF(ABS(AB593)&lt;=0.01,"OK","CHECK"))</f>
        <v/>
      </c>
      <c r="AE593">
        <f>IF(U593="","MISSING",IF(AND(AA593&gt;0,U593/AA593&gt;50),"POSSIBLE_SCALE_ERROR","OK"))</f>
        <v/>
      </c>
    </row>
    <row r="594">
      <c r="A594" t="inlineStr">
        <is>
          <t>T-2021-P9-0002</t>
        </is>
      </c>
      <c r="B594" t="inlineStr">
        <is>
          <t>SLE</t>
        </is>
      </c>
      <c r="C594" t="inlineStr">
        <is>
          <t>Chairperson</t>
        </is>
      </c>
      <c r="D594" t="inlineStr">
        <is>
          <t>Président</t>
        </is>
      </c>
      <c r="E594" t="inlineStr">
        <is>
          <t>Bélanger, Luc</t>
        </is>
      </c>
      <c r="F594" t="inlineStr">
        <is>
          <t>Série de rencontre</t>
        </is>
      </c>
      <c r="G594" t="inlineStr">
        <is>
          <t>Series of meetings</t>
        </is>
      </c>
      <c r="H594" s="1" t="n">
        <v>44500</v>
      </c>
      <c r="I594" s="1" t="n">
        <v>44505</v>
      </c>
      <c r="J594" t="inlineStr">
        <is>
          <t>Toronto (Ontario) Canada</t>
        </is>
      </c>
      <c r="K594" t="inlineStr">
        <is>
          <t>Toronto (Ontario) Canada</t>
        </is>
      </c>
      <c r="Q594" t="n">
        <v>694.6</v>
      </c>
      <c r="R594" t="n">
        <v>1122.3</v>
      </c>
      <c r="S594" t="n">
        <v>658.15</v>
      </c>
      <c r="U594" t="n">
        <v>2475.05</v>
      </c>
      <c r="X594" t="inlineStr">
        <is>
          <t>atssc-scdata</t>
        </is>
      </c>
      <c r="Y594" t="inlineStr">
        <is>
          <t>Administrative Tribunals Support Service of Canada | Service canadien d'appui aux tribunaux administratifs</t>
        </is>
      </c>
      <c r="Z594" t="n">
        <v>6</v>
      </c>
      <c r="AA594" t="n">
        <v>2475.05</v>
      </c>
      <c r="AB594">
        <f>ROUND(U594-AA594,2)</f>
        <v/>
      </c>
      <c r="AC594" t="b">
        <v>0</v>
      </c>
      <c r="AD594">
        <f>IF(U594="","MISSING_TOTAL",IF(ABS(AB594)&lt;=0.01,"OK","CHECK"))</f>
        <v/>
      </c>
      <c r="AE594">
        <f>IF(U594="","MISSING",IF(AND(AA594&gt;0,U594/AA594&gt;50),"POSSIBLE_SCALE_ERROR","OK"))</f>
        <v/>
      </c>
    </row>
    <row r="595">
      <c r="A595" t="inlineStr">
        <is>
          <t>T-2023-P1-0001</t>
        </is>
      </c>
      <c r="B595" t="inlineStr">
        <is>
          <t>SLE</t>
        </is>
      </c>
      <c r="C595" t="inlineStr">
        <is>
          <t>Chairperson</t>
        </is>
      </c>
      <c r="D595" t="inlineStr">
        <is>
          <t>Président</t>
        </is>
      </c>
      <c r="E595" t="inlineStr">
        <is>
          <t>Luc Bélanger</t>
        </is>
      </c>
      <c r="F595" t="inlineStr">
        <is>
          <t>For meetings with stakeholders</t>
        </is>
      </c>
      <c r="G595" t="inlineStr">
        <is>
          <t>Pour rencontres avec des intervenants</t>
        </is>
      </c>
      <c r="H595" s="1" t="n">
        <v>44656</v>
      </c>
      <c r="I595" s="1" t="n">
        <v>44659</v>
      </c>
      <c r="J595" t="inlineStr">
        <is>
          <t>Toronto, ON</t>
        </is>
      </c>
      <c r="K595" t="inlineStr">
        <is>
          <t>Toronto, ON</t>
        </is>
      </c>
      <c r="Q595" t="n">
        <v>662.63</v>
      </c>
      <c r="R595" t="n">
        <v>772.11</v>
      </c>
      <c r="S595" t="n">
        <v>364.55</v>
      </c>
      <c r="U595" t="n">
        <v>1799.29</v>
      </c>
      <c r="X595" t="inlineStr">
        <is>
          <t>atssc-scdata</t>
        </is>
      </c>
      <c r="Y595" t="inlineStr">
        <is>
          <t>Administrative Tribunals Support Service of Canada | Service canadien d'appui aux tribunaux administratifs</t>
        </is>
      </c>
      <c r="Z595" t="n">
        <v>4</v>
      </c>
      <c r="AA595" t="n">
        <v>1799.29</v>
      </c>
      <c r="AB595">
        <f>ROUND(U595-AA595,2)</f>
        <v/>
      </c>
      <c r="AC595" t="b">
        <v>0</v>
      </c>
      <c r="AD595">
        <f>IF(U595="","MISSING_TOTAL",IF(ABS(AB595)&lt;=0.01,"OK","CHECK"))</f>
        <v/>
      </c>
      <c r="AE595">
        <f>IF(U595="","MISSING",IF(AND(AA595&gt;0,U595/AA595&gt;50),"POSSIBLE_SCALE_ERROR","OK"))</f>
        <v/>
      </c>
    </row>
    <row r="596">
      <c r="A596" t="inlineStr">
        <is>
          <t>T-2023-P1-0002</t>
        </is>
      </c>
      <c r="B596" t="inlineStr">
        <is>
          <t>SLE</t>
        </is>
      </c>
      <c r="C596" t="inlineStr">
        <is>
          <t>Chairperson</t>
        </is>
      </c>
      <c r="D596" t="inlineStr">
        <is>
          <t>Président</t>
        </is>
      </c>
      <c r="E596" t="inlineStr">
        <is>
          <t>Luc Bélanger</t>
        </is>
      </c>
      <c r="F596" t="inlineStr">
        <is>
          <t>For meetings in Vancouver and hearing in Kelowna</t>
        </is>
      </c>
      <c r="G596" t="inlineStr">
        <is>
          <t>Pour rencontres à Vancouver et une audience à Kelowna</t>
        </is>
      </c>
      <c r="H596" s="1" t="n">
        <v>44628</v>
      </c>
      <c r="I596" s="1" t="n">
        <v>44633</v>
      </c>
      <c r="J596" t="inlineStr">
        <is>
          <t>Toronto, ON</t>
        </is>
      </c>
      <c r="K596" t="inlineStr">
        <is>
          <t>Toronto, ON</t>
        </is>
      </c>
      <c r="Q596" t="n">
        <v>372.78</v>
      </c>
      <c r="R596" t="n">
        <v>464.93</v>
      </c>
      <c r="S596" t="n">
        <v>453</v>
      </c>
      <c r="U596" t="n">
        <v>1290.71</v>
      </c>
      <c r="X596" t="inlineStr">
        <is>
          <t>atssc-scdata</t>
        </is>
      </c>
      <c r="Y596" t="inlineStr">
        <is>
          <t>Administrative Tribunals Support Service of Canada | Service canadien d'appui aux tribunaux administratifs</t>
        </is>
      </c>
      <c r="Z596" t="n">
        <v>6</v>
      </c>
      <c r="AA596" t="n">
        <v>1290.71</v>
      </c>
      <c r="AB596">
        <f>ROUND(U596-AA596,2)</f>
        <v/>
      </c>
      <c r="AC596" t="b">
        <v>0</v>
      </c>
      <c r="AD596">
        <f>IF(U596="","MISSING_TOTAL",IF(ABS(AB596)&lt;=0.01,"OK","CHECK"))</f>
        <v/>
      </c>
      <c r="AE596">
        <f>IF(U596="","MISSING",IF(AND(AA596&gt;0,U596/AA596&gt;50),"POSSIBLE_SCALE_ERROR","OK"))</f>
        <v/>
      </c>
    </row>
    <row r="597">
      <c r="A597" t="inlineStr">
        <is>
          <t>T-2023-P1-0003</t>
        </is>
      </c>
      <c r="B597" t="inlineStr">
        <is>
          <t>SLE</t>
        </is>
      </c>
      <c r="C597" t="inlineStr">
        <is>
          <t>Chairperson</t>
        </is>
      </c>
      <c r="D597" t="inlineStr">
        <is>
          <t>Président</t>
        </is>
      </c>
      <c r="E597" t="inlineStr">
        <is>
          <t>Luc Bélanger</t>
        </is>
      </c>
      <c r="F597" t="inlineStr">
        <is>
          <t>For a series of meetings</t>
        </is>
      </c>
      <c r="G597" t="inlineStr">
        <is>
          <t>Pour une série de rencontres</t>
        </is>
      </c>
      <c r="H597" s="1" t="n">
        <v>44528</v>
      </c>
      <c r="I597" s="1" t="n">
        <v>44533</v>
      </c>
      <c r="J597" t="inlineStr">
        <is>
          <t>Québec, QC</t>
        </is>
      </c>
      <c r="K597" t="inlineStr">
        <is>
          <t>Quebec, QC</t>
        </is>
      </c>
      <c r="Q597" t="n">
        <v>596.7</v>
      </c>
      <c r="R597" t="n">
        <v>793.33</v>
      </c>
      <c r="S597" t="n">
        <v>544.9</v>
      </c>
      <c r="U597" t="n">
        <v>1934.93</v>
      </c>
      <c r="X597" t="inlineStr">
        <is>
          <t>atssc-scdata</t>
        </is>
      </c>
      <c r="Y597" t="inlineStr">
        <is>
          <t>Administrative Tribunals Support Service of Canada | Service canadien d'appui aux tribunaux administratifs</t>
        </is>
      </c>
      <c r="Z597" t="n">
        <v>6</v>
      </c>
      <c r="AA597" t="n">
        <v>1934.93</v>
      </c>
      <c r="AB597">
        <f>ROUND(U597-AA597,2)</f>
        <v/>
      </c>
      <c r="AC597" t="b">
        <v>0</v>
      </c>
      <c r="AD597">
        <f>IF(U597="","MISSING_TOTAL",IF(ABS(AB597)&lt;=0.01,"OK","CHECK"))</f>
        <v/>
      </c>
      <c r="AE597">
        <f>IF(U597="","MISSING",IF(AND(AA597&gt;0,U597/AA597&gt;50),"POSSIBLE_SCALE_ERROR","OK"))</f>
        <v/>
      </c>
    </row>
    <row r="598">
      <c r="A598" t="inlineStr">
        <is>
          <t>T-2023-P1-0004</t>
        </is>
      </c>
      <c r="B598" t="inlineStr">
        <is>
          <t>SLE</t>
        </is>
      </c>
      <c r="C598" t="inlineStr">
        <is>
          <t>Chief Administrator, Deputy</t>
        </is>
      </c>
      <c r="D598" t="inlineStr">
        <is>
          <t>Administrateur en chef adjoint</t>
        </is>
      </c>
      <c r="E598" t="inlineStr">
        <is>
          <t>Nick Covelli</t>
        </is>
      </c>
      <c r="F598" t="inlineStr">
        <is>
          <t>Senior public sector leadership training</t>
        </is>
      </c>
      <c r="G598" t="inlineStr">
        <is>
          <t>Formation en leadership de haut niveau dans le secteur public</t>
        </is>
      </c>
      <c r="H598" s="1" t="n">
        <v>44657</v>
      </c>
      <c r="I598" s="1" t="n">
        <v>44661</v>
      </c>
      <c r="J598" t="inlineStr">
        <is>
          <t>London, On</t>
        </is>
      </c>
      <c r="K598" t="inlineStr">
        <is>
          <t>London, On</t>
        </is>
      </c>
      <c r="Q598" t="n">
        <v>198.18</v>
      </c>
      <c r="R598" t="n">
        <v>0</v>
      </c>
      <c r="S598" t="n">
        <v>73.25</v>
      </c>
      <c r="T598" t="n">
        <v>0</v>
      </c>
      <c r="U598" t="n">
        <v>271.43</v>
      </c>
      <c r="X598" t="inlineStr">
        <is>
          <t>atssc-scdata</t>
        </is>
      </c>
      <c r="Y598" t="inlineStr">
        <is>
          <t>Administrative Tribunals Support Service of Canada | Service canadien d'appui aux tribunaux administratifs</t>
        </is>
      </c>
      <c r="Z598" t="n">
        <v>5</v>
      </c>
      <c r="AA598" t="n">
        <v>271.43</v>
      </c>
      <c r="AB598">
        <f>ROUND(U598-AA598,2)</f>
        <v/>
      </c>
      <c r="AC598" t="b">
        <v>0</v>
      </c>
      <c r="AD598">
        <f>IF(U598="","MISSING_TOTAL",IF(ABS(AB598)&lt;=0.01,"OK","CHECK"))</f>
        <v/>
      </c>
      <c r="AE598">
        <f>IF(U598="","MISSING",IF(AND(AA598&gt;0,U598/AA598&gt;50),"POSSIBLE_SCALE_ERROR","OK"))</f>
        <v/>
      </c>
    </row>
    <row r="599">
      <c r="A599" t="inlineStr">
        <is>
          <t>T-2022-P2-0001</t>
        </is>
      </c>
      <c r="B599" t="inlineStr">
        <is>
          <t>SLE</t>
        </is>
      </c>
      <c r="C599" t="inlineStr">
        <is>
          <t>Chairperson</t>
        </is>
      </c>
      <c r="D599" t="inlineStr">
        <is>
          <t>Présidente</t>
        </is>
      </c>
      <c r="E599" t="inlineStr">
        <is>
          <t>Brazeau, Ginette</t>
        </is>
      </c>
      <c r="F599" t="inlineStr">
        <is>
          <t>Attend National Academy of
Arbitrators Conference</t>
        </is>
      </c>
      <c r="G599" t="inlineStr">
        <is>
          <t>Participer à conférence pour
National Academy
of Arbitrators</t>
        </is>
      </c>
      <c r="H599" s="1" t="n">
        <v>44690</v>
      </c>
      <c r="I599" s="1" t="n">
        <v>44695</v>
      </c>
      <c r="J599" t="inlineStr">
        <is>
          <t>Toronto (Ontario) Canada</t>
        </is>
      </c>
      <c r="K599" t="inlineStr">
        <is>
          <t>Toronto (Ontario) Canada</t>
        </is>
      </c>
      <c r="Q599" t="n">
        <v>547.4</v>
      </c>
      <c r="R599" t="n">
        <v>701.58</v>
      </c>
      <c r="S599" t="n">
        <v>365.45</v>
      </c>
      <c r="U599" t="n">
        <v>1614.43</v>
      </c>
      <c r="X599" t="inlineStr">
        <is>
          <t>atssc-scdata</t>
        </is>
      </c>
      <c r="Y599" t="inlineStr">
        <is>
          <t>Administrative Tribunals Support Service of Canada | Service canadien d'appui aux tribunaux administratifs</t>
        </is>
      </c>
      <c r="Z599" t="n">
        <v>6</v>
      </c>
      <c r="AA599" t="n">
        <v>1614.43</v>
      </c>
      <c r="AB599">
        <f>ROUND(U599-AA599,2)</f>
        <v/>
      </c>
      <c r="AC599" t="b">
        <v>0</v>
      </c>
      <c r="AD599">
        <f>IF(U599="","MISSING_TOTAL",IF(ABS(AB599)&lt;=0.01,"OK","CHECK"))</f>
        <v/>
      </c>
      <c r="AE599">
        <f>IF(U599="","MISSING",IF(AND(AA599&gt;0,U599/AA599&gt;50),"POSSIBLE_SCALE_ERROR","OK"))</f>
        <v/>
      </c>
    </row>
    <row r="600">
      <c r="A600" t="inlineStr">
        <is>
          <t>T-2022-P2-0002</t>
        </is>
      </c>
      <c r="B600" t="inlineStr">
        <is>
          <t>SLE</t>
        </is>
      </c>
      <c r="C600" t="inlineStr">
        <is>
          <t>Chairperson</t>
        </is>
      </c>
      <c r="D600" t="inlineStr">
        <is>
          <t>Président</t>
        </is>
      </c>
      <c r="E600" t="inlineStr">
        <is>
          <t>Vermette, Patrick</t>
        </is>
      </c>
      <c r="F600" t="inlineStr">
        <is>
          <t>Hearing</t>
        </is>
      </c>
      <c r="G600" t="inlineStr">
        <is>
          <t>Audience</t>
        </is>
      </c>
      <c r="H600" s="1" t="n">
        <v>44689</v>
      </c>
      <c r="I600" s="1" t="n">
        <v>44694</v>
      </c>
      <c r="J600" t="inlineStr">
        <is>
          <t>Vancouver (British Columbia) Canda</t>
        </is>
      </c>
      <c r="K600" t="inlineStr">
        <is>
          <t>Vancouver (Colombie-Britannique) Canada</t>
        </is>
      </c>
      <c r="Q600" t="n">
        <v>566.03</v>
      </c>
      <c r="R600" t="n">
        <v>1489.65</v>
      </c>
      <c r="S600" t="n">
        <v>636.55</v>
      </c>
      <c r="U600" t="n">
        <v>2692.23</v>
      </c>
      <c r="X600" t="inlineStr">
        <is>
          <t>atssc-scdata</t>
        </is>
      </c>
      <c r="Y600" t="inlineStr">
        <is>
          <t>Administrative Tribunals Support Service of Canada | Service canadien d'appui aux tribunaux administratifs</t>
        </is>
      </c>
      <c r="Z600" t="n">
        <v>6</v>
      </c>
      <c r="AA600" t="n">
        <v>2692.23</v>
      </c>
      <c r="AB600">
        <f>ROUND(U600-AA600,2)</f>
        <v/>
      </c>
      <c r="AC600" t="b">
        <v>0</v>
      </c>
      <c r="AD600">
        <f>IF(U600="","MISSING_TOTAL",IF(ABS(AB600)&lt;=0.01,"OK","CHECK"))</f>
        <v/>
      </c>
      <c r="AE600">
        <f>IF(U600="","MISSING",IF(AND(AA600&gt;0,U600/AA600&gt;50),"POSSIBLE_SCALE_ERROR","OK"))</f>
        <v/>
      </c>
    </row>
    <row r="601">
      <c r="A601" t="inlineStr">
        <is>
          <t>T-2022-P3-0001</t>
        </is>
      </c>
      <c r="B601" t="inlineStr">
        <is>
          <t>SLE</t>
        </is>
      </c>
      <c r="C601" t="inlineStr">
        <is>
          <t>Chairperson</t>
        </is>
      </c>
      <c r="D601" t="inlineStr">
        <is>
          <t>Présidente</t>
        </is>
      </c>
      <c r="E601" t="inlineStr">
        <is>
          <t>Ingram, Sharilyn</t>
        </is>
      </c>
      <c r="F601" t="inlineStr">
        <is>
          <t>Attend a board meeting</t>
        </is>
      </c>
      <c r="G601" t="inlineStr">
        <is>
          <t>Assister à une réunion du conseil</t>
        </is>
      </c>
      <c r="H601" s="1" t="n">
        <v>44718</v>
      </c>
      <c r="I601" s="1" t="n">
        <v>44722</v>
      </c>
      <c r="J601" t="inlineStr">
        <is>
          <t>Ottawa (Ontario) Canada</t>
        </is>
      </c>
      <c r="K601" t="inlineStr">
        <is>
          <t>Ottawa (Ontario) Canada</t>
        </is>
      </c>
      <c r="P601" t="n">
        <v>877.16</v>
      </c>
      <c r="Q601" t="n">
        <v>298.42</v>
      </c>
      <c r="R601" t="n">
        <v>233.86</v>
      </c>
      <c r="S601" t="n">
        <v>556.85</v>
      </c>
      <c r="U601" t="n">
        <v>1966.29</v>
      </c>
      <c r="X601" t="inlineStr">
        <is>
          <t>atssc-scdata</t>
        </is>
      </c>
      <c r="Y601" t="inlineStr">
        <is>
          <t>Administrative Tribunals Support Service of Canada | Service canadien d'appui aux tribunaux administratifs</t>
        </is>
      </c>
      <c r="Z601" t="n">
        <v>5</v>
      </c>
      <c r="AA601" t="n">
        <v>1966.29</v>
      </c>
      <c r="AB601">
        <f>ROUND(U601-AA601,2)</f>
        <v/>
      </c>
      <c r="AC601" t="b">
        <v>0</v>
      </c>
      <c r="AD601">
        <f>IF(U601="","MISSING_TOTAL",IF(ABS(AB601)&lt;=0.01,"OK","CHECK"))</f>
        <v/>
      </c>
      <c r="AE601">
        <f>IF(U601="","MISSING",IF(AND(AA601&gt;0,U601/AA601&gt;50),"POSSIBLE_SCALE_ERROR","OK"))</f>
        <v/>
      </c>
    </row>
    <row r="602">
      <c r="A602" t="inlineStr">
        <is>
          <t>T-2022-P3-0003</t>
        </is>
      </c>
      <c r="B602" t="inlineStr">
        <is>
          <t>SLE</t>
        </is>
      </c>
      <c r="C602" t="inlineStr">
        <is>
          <t>Chairperson</t>
        </is>
      </c>
      <c r="D602" t="inlineStr">
        <is>
          <t>Président</t>
        </is>
      </c>
      <c r="E602" t="inlineStr">
        <is>
          <t>Vermette, Patrick</t>
        </is>
      </c>
      <c r="F602" t="inlineStr">
        <is>
          <t>Attend meetings</t>
        </is>
      </c>
      <c r="G602" t="inlineStr">
        <is>
          <t>Assisster à des rencontres</t>
        </is>
      </c>
      <c r="H602" s="1" t="n">
        <v>44727</v>
      </c>
      <c r="I602" s="1" t="n">
        <v>44729</v>
      </c>
      <c r="J602" t="inlineStr">
        <is>
          <t>Ottawa (Ontario) Canada</t>
        </is>
      </c>
      <c r="K602" t="inlineStr">
        <is>
          <t>Ottawa (Ontario) Canada</t>
        </is>
      </c>
      <c r="Q602" t="n">
        <v>218.5</v>
      </c>
      <c r="R602" t="n">
        <v>561.74</v>
      </c>
      <c r="S602" t="n">
        <v>248.8</v>
      </c>
      <c r="U602" t="n">
        <v>1029.04</v>
      </c>
      <c r="X602" t="inlineStr">
        <is>
          <t>atssc-scdata</t>
        </is>
      </c>
      <c r="Y602" t="inlineStr">
        <is>
          <t>Administrative Tribunals Support Service of Canada | Service canadien d'appui aux tribunaux administratifs</t>
        </is>
      </c>
      <c r="Z602" t="n">
        <v>3</v>
      </c>
      <c r="AA602" t="n">
        <v>1029.04</v>
      </c>
      <c r="AB602">
        <f>ROUND(U602-AA602,2)</f>
        <v/>
      </c>
      <c r="AC602" t="b">
        <v>0</v>
      </c>
      <c r="AD602">
        <f>IF(U602="","MISSING_TOTAL",IF(ABS(AB602)&lt;=0.01,"OK","CHECK"))</f>
        <v/>
      </c>
      <c r="AE602">
        <f>IF(U602="","MISSING",IF(AND(AA602&gt;0,U602/AA602&gt;50),"POSSIBLE_SCALE_ERROR","OK"))</f>
        <v/>
      </c>
    </row>
    <row r="603">
      <c r="A603" t="inlineStr">
        <is>
          <t>T-2022-P2-0004</t>
        </is>
      </c>
      <c r="B603" t="inlineStr">
        <is>
          <t>SLE</t>
        </is>
      </c>
      <c r="C603" t="inlineStr">
        <is>
          <t>Chairperson</t>
        </is>
      </c>
      <c r="D603" t="inlineStr">
        <is>
          <t>Président</t>
        </is>
      </c>
      <c r="E603" t="inlineStr">
        <is>
          <t>Bélanger, Luc</t>
        </is>
      </c>
      <c r="F603" t="inlineStr">
        <is>
          <t>Hearing</t>
        </is>
      </c>
      <c r="G603" t="inlineStr">
        <is>
          <t>Audience</t>
        </is>
      </c>
      <c r="H603" s="1" t="n">
        <v>44697</v>
      </c>
      <c r="I603" s="1" t="n">
        <v>44699</v>
      </c>
      <c r="J603" t="inlineStr">
        <is>
          <t>London (Ontario) Canada</t>
        </is>
      </c>
      <c r="K603" t="inlineStr">
        <is>
          <t>London (Ontario) Canada</t>
        </is>
      </c>
      <c r="P603" t="n">
        <v>861.12</v>
      </c>
      <c r="Q603" t="n">
        <v>81.09999999999999</v>
      </c>
      <c r="R603" t="n">
        <v>392.52</v>
      </c>
      <c r="S603" t="n">
        <v>270.95</v>
      </c>
      <c r="T603" t="n">
        <v>72</v>
      </c>
      <c r="U603" t="n">
        <v>1677.69</v>
      </c>
      <c r="X603" t="inlineStr">
        <is>
          <t>atssc-scdata</t>
        </is>
      </c>
      <c r="Y603" t="inlineStr">
        <is>
          <t>Administrative Tribunals Support Service of Canada | Service canadien d'appui aux tribunaux administratifs</t>
        </is>
      </c>
      <c r="Z603" t="n">
        <v>3</v>
      </c>
      <c r="AA603" t="n">
        <v>1677.69</v>
      </c>
      <c r="AB603">
        <f>ROUND(U603-AA603,2)</f>
        <v/>
      </c>
      <c r="AC603" t="b">
        <v>0</v>
      </c>
      <c r="AD603">
        <f>IF(U603="","MISSING_TOTAL",IF(ABS(AB603)&lt;=0.01,"OK","CHECK"))</f>
        <v/>
      </c>
      <c r="AE603">
        <f>IF(U603="","MISSING",IF(AND(AA603&gt;0,U603/AA603&gt;50),"POSSIBLE_SCALE_ERROR","OK"))</f>
        <v/>
      </c>
    </row>
    <row r="604">
      <c r="A604" t="inlineStr">
        <is>
          <t>T-2022-P2-0005</t>
        </is>
      </c>
      <c r="B604" t="inlineStr">
        <is>
          <t>SLE</t>
        </is>
      </c>
      <c r="C604" t="inlineStr">
        <is>
          <t>Chairperson</t>
        </is>
      </c>
      <c r="D604" t="inlineStr">
        <is>
          <t>Président</t>
        </is>
      </c>
      <c r="E604" t="inlineStr">
        <is>
          <t>Seppey, Frédéric</t>
        </is>
      </c>
      <c r="F604" t="inlineStr">
        <is>
          <t>43rd Annual International Trade Update</t>
        </is>
      </c>
      <c r="G604" t="inlineStr">
        <is>
          <t>43e mise à jour annuelle sur le commerce international</t>
        </is>
      </c>
      <c r="H604" s="1" t="n">
        <v>44703</v>
      </c>
      <c r="I604" s="1" t="n">
        <v>44707</v>
      </c>
      <c r="J604" t="inlineStr">
        <is>
          <t>Washington (District of Columbia) United States</t>
        </is>
      </c>
      <c r="K604" t="inlineStr">
        <is>
          <t>Washington, District de Columbia, États-Unis</t>
        </is>
      </c>
      <c r="P604" t="n">
        <v>666.63</v>
      </c>
      <c r="Q604" t="n">
        <v>133.22</v>
      </c>
      <c r="R604" t="n">
        <v>1166.02</v>
      </c>
      <c r="S604" t="n">
        <v>403.75</v>
      </c>
      <c r="T604" t="n">
        <v>45</v>
      </c>
      <c r="U604" t="n">
        <v>2414.62</v>
      </c>
      <c r="X604" t="inlineStr">
        <is>
          <t>atssc-scdata</t>
        </is>
      </c>
      <c r="Y604" t="inlineStr">
        <is>
          <t>Administrative Tribunals Support Service of Canada | Service canadien d'appui aux tribunaux administratifs</t>
        </is>
      </c>
      <c r="Z604" t="n">
        <v>5</v>
      </c>
      <c r="AA604" t="n">
        <v>2414.62</v>
      </c>
      <c r="AB604">
        <f>ROUND(U604-AA604,2)</f>
        <v/>
      </c>
      <c r="AC604" t="b">
        <v>0</v>
      </c>
      <c r="AD604">
        <f>IF(U604="","MISSING_TOTAL",IF(ABS(AB604)&lt;=0.01,"OK","CHECK"))</f>
        <v/>
      </c>
      <c r="AE604">
        <f>IF(U604="","MISSING",IF(AND(AA604&gt;0,U604/AA604&gt;50),"POSSIBLE_SCALE_ERROR","OK"))</f>
        <v/>
      </c>
    </row>
    <row r="605">
      <c r="A605" t="inlineStr">
        <is>
          <t>T-2022-P2-0006</t>
        </is>
      </c>
      <c r="B605" t="inlineStr">
        <is>
          <t>SLE</t>
        </is>
      </c>
      <c r="C605" t="inlineStr">
        <is>
          <t>Chairperson</t>
        </is>
      </c>
      <c r="D605" t="inlineStr">
        <is>
          <t>Président</t>
        </is>
      </c>
      <c r="E605" t="inlineStr">
        <is>
          <t>Bramwell, Edith</t>
        </is>
      </c>
      <c r="F605" t="inlineStr">
        <is>
          <t>Attend an annual meeting and conference</t>
        </is>
      </c>
      <c r="G605" t="inlineStr">
        <is>
          <t>Assister à une rencontre annuelle et une conférence</t>
        </is>
      </c>
      <c r="H605" s="1" t="n">
        <v>44690</v>
      </c>
      <c r="I605" s="1" t="n">
        <v>44692</v>
      </c>
      <c r="J605" t="inlineStr">
        <is>
          <t>Toronto (Ontario) Canada</t>
        </is>
      </c>
      <c r="K605" t="inlineStr">
        <is>
          <t>Toronto (Ontario) Canada</t>
        </is>
      </c>
      <c r="Q605" t="n">
        <v>379.62</v>
      </c>
      <c r="R605" t="n">
        <v>606.42</v>
      </c>
      <c r="S605" t="n">
        <v>204.5</v>
      </c>
      <c r="U605" t="n">
        <v>1190.54</v>
      </c>
      <c r="X605" t="inlineStr">
        <is>
          <t>atssc-scdata</t>
        </is>
      </c>
      <c r="Y605" t="inlineStr">
        <is>
          <t>Administrative Tribunals Support Service of Canada | Service canadien d'appui aux tribunaux administratifs</t>
        </is>
      </c>
      <c r="Z605" t="n">
        <v>3</v>
      </c>
      <c r="AA605" t="n">
        <v>1190.54</v>
      </c>
      <c r="AB605">
        <f>ROUND(U605-AA605,2)</f>
        <v/>
      </c>
      <c r="AC605" t="b">
        <v>0</v>
      </c>
      <c r="AD605">
        <f>IF(U605="","MISSING_TOTAL",IF(ABS(AB605)&lt;=0.01,"OK","CHECK"))</f>
        <v/>
      </c>
      <c r="AE605">
        <f>IF(U605="","MISSING",IF(AND(AA605&gt;0,U605/AA605&gt;50),"POSSIBLE_SCALE_ERROR","OK"))</f>
        <v/>
      </c>
    </row>
    <row r="606">
      <c r="A606" t="inlineStr">
        <is>
          <t>T-2022-P2-0007</t>
        </is>
      </c>
      <c r="B606" t="inlineStr">
        <is>
          <t>SLE</t>
        </is>
      </c>
      <c r="C606" t="inlineStr">
        <is>
          <t>Chairperson</t>
        </is>
      </c>
      <c r="D606" t="inlineStr">
        <is>
          <t>Président</t>
        </is>
      </c>
      <c r="E606" t="inlineStr">
        <is>
          <t>Bramwell, Edith</t>
        </is>
      </c>
      <c r="F606" t="inlineStr">
        <is>
          <t>Attend a conference</t>
        </is>
      </c>
      <c r="G606" t="inlineStr">
        <is>
          <t>Assister à une conférence</t>
        </is>
      </c>
      <c r="H606" s="1" t="n">
        <v>44693</v>
      </c>
      <c r="I606" s="1" t="n">
        <v>44694</v>
      </c>
      <c r="J606" t="inlineStr">
        <is>
          <t>Ottawa (Ontario) Canada</t>
        </is>
      </c>
      <c r="K606" t="inlineStr">
        <is>
          <t>Ottawa (Ontario) Canada</t>
        </is>
      </c>
      <c r="R606" t="n">
        <v>26</v>
      </c>
      <c r="S606" t="n">
        <v>0</v>
      </c>
      <c r="U606" t="n">
        <v>26</v>
      </c>
      <c r="X606" t="inlineStr">
        <is>
          <t>atssc-scdata</t>
        </is>
      </c>
      <c r="Y606" t="inlineStr">
        <is>
          <t>Administrative Tribunals Support Service of Canada | Service canadien d'appui aux tribunaux administratifs</t>
        </is>
      </c>
      <c r="Z606" t="n">
        <v>2</v>
      </c>
      <c r="AA606" t="n">
        <v>26</v>
      </c>
      <c r="AB606">
        <f>ROUND(U606-AA606,2)</f>
        <v/>
      </c>
      <c r="AC606" t="b">
        <v>0</v>
      </c>
      <c r="AD606">
        <f>IF(U606="","MISSING_TOTAL",IF(ABS(AB606)&lt;=0.01,"OK","CHECK"))</f>
        <v/>
      </c>
      <c r="AE606">
        <f>IF(U606="","MISSING",IF(AND(AA606&gt;0,U606/AA606&gt;50),"POSSIBLE_SCALE_ERROR","OK"))</f>
        <v/>
      </c>
    </row>
    <row r="607">
      <c r="A607" t="inlineStr">
        <is>
          <t>T-2022-P3-0008</t>
        </is>
      </c>
      <c r="B607" t="inlineStr">
        <is>
          <t>SLE</t>
        </is>
      </c>
      <c r="C607" t="inlineStr">
        <is>
          <t>Chairperson</t>
        </is>
      </c>
      <c r="D607" t="inlineStr">
        <is>
          <t>Président</t>
        </is>
      </c>
      <c r="E607" t="inlineStr">
        <is>
          <t>Bramwell, Edith</t>
        </is>
      </c>
      <c r="F607" t="inlineStr">
        <is>
          <t>Attend a conference</t>
        </is>
      </c>
      <c r="G607" t="inlineStr">
        <is>
          <t>Assister à une conférence</t>
        </is>
      </c>
      <c r="H607" s="1" t="n">
        <v>44719</v>
      </c>
      <c r="I607" s="1" t="n">
        <v>44719</v>
      </c>
      <c r="J607" t="inlineStr">
        <is>
          <t>Ottawa (Ontario) Canada</t>
        </is>
      </c>
      <c r="K607" t="inlineStr">
        <is>
          <t>Ottawa (Ontario) Canada</t>
        </is>
      </c>
      <c r="R607" t="n">
        <v>41.27</v>
      </c>
      <c r="S607" t="n">
        <v>0</v>
      </c>
      <c r="U607" t="n">
        <v>41.27</v>
      </c>
      <c r="X607" t="inlineStr">
        <is>
          <t>atssc-scdata</t>
        </is>
      </c>
      <c r="Y607" t="inlineStr">
        <is>
          <t>Administrative Tribunals Support Service of Canada | Service canadien d'appui aux tribunaux administratifs</t>
        </is>
      </c>
      <c r="Z607" t="n">
        <v>1</v>
      </c>
      <c r="AA607" t="n">
        <v>41.27</v>
      </c>
      <c r="AB607">
        <f>ROUND(U607-AA607,2)</f>
        <v/>
      </c>
      <c r="AC607" t="b">
        <v>0</v>
      </c>
      <c r="AD607">
        <f>IF(U607="","MISSING_TOTAL",IF(ABS(AB607)&lt;=0.01,"OK","CHECK"))</f>
        <v/>
      </c>
      <c r="AE607">
        <f>IF(U607="","MISSING",IF(AND(AA607&gt;0,U607/AA607&gt;50),"POSSIBLE_SCALE_ERROR","OK"))</f>
        <v/>
      </c>
    </row>
    <row r="608">
      <c r="A608" t="inlineStr">
        <is>
          <t>T-2023-P6-0001</t>
        </is>
      </c>
      <c r="B608" t="inlineStr">
        <is>
          <t>SLE</t>
        </is>
      </c>
      <c r="C608" t="inlineStr">
        <is>
          <t>Chairperson</t>
        </is>
      </c>
      <c r="D608" t="inlineStr">
        <is>
          <t>Présidente</t>
        </is>
      </c>
      <c r="E608" t="inlineStr">
        <is>
          <t>Brazeau, Ginette</t>
        </is>
      </c>
      <c r="F608" t="inlineStr">
        <is>
          <t>Hearing</t>
        </is>
      </c>
      <c r="G608" t="inlineStr">
        <is>
          <t>Audience</t>
        </is>
      </c>
      <c r="H608" s="1" t="n">
        <v>44818</v>
      </c>
      <c r="I608" s="1" t="n">
        <v>44821</v>
      </c>
      <c r="J608" t="inlineStr">
        <is>
          <t>Vancouver (British Columbia) Canada</t>
        </is>
      </c>
      <c r="K608" t="inlineStr">
        <is>
          <t>Vancouver (Colombie-Britannique) Canada</t>
        </is>
      </c>
      <c r="P608" t="n">
        <v>1724.61</v>
      </c>
      <c r="Q608" t="n">
        <v>205.74</v>
      </c>
      <c r="R608" t="n">
        <v>736.71</v>
      </c>
      <c r="S608" t="n">
        <v>418.95</v>
      </c>
      <c r="U608" t="n">
        <v>3086.01</v>
      </c>
      <c r="X608" t="inlineStr">
        <is>
          <t>atssc-scdata</t>
        </is>
      </c>
      <c r="Y608" t="inlineStr">
        <is>
          <t>Administrative Tribunals Support Service of Canada | Service canadien d'appui aux tribunaux administratifs</t>
        </is>
      </c>
      <c r="Z608" t="n">
        <v>4</v>
      </c>
      <c r="AA608" t="n">
        <v>3086.00999999999</v>
      </c>
      <c r="AB608">
        <f>ROUND(U608-AA608,2)</f>
        <v/>
      </c>
      <c r="AC608" t="b">
        <v>0</v>
      </c>
      <c r="AD608">
        <f>IF(U608="","MISSING_TOTAL",IF(ABS(AB608)&lt;=0.01,"OK","CHECK"))</f>
        <v/>
      </c>
      <c r="AE608">
        <f>IF(U608="","MISSING",IF(AND(AA608&gt;0,U608/AA608&gt;50),"POSSIBLE_SCALE_ERROR","OK"))</f>
        <v/>
      </c>
    </row>
    <row r="609">
      <c r="A609" t="inlineStr">
        <is>
          <t>T-2023-P6-0002</t>
        </is>
      </c>
      <c r="B609" t="inlineStr">
        <is>
          <t>SLE</t>
        </is>
      </c>
      <c r="C609" t="inlineStr">
        <is>
          <t>Chairperson</t>
        </is>
      </c>
      <c r="D609" t="inlineStr">
        <is>
          <t>Président</t>
        </is>
      </c>
      <c r="E609" t="inlineStr">
        <is>
          <t>Vermette, Patrick</t>
        </is>
      </c>
      <c r="F609" t="inlineStr">
        <is>
          <t>Head office meeting</t>
        </is>
      </c>
      <c r="G609" t="inlineStr">
        <is>
          <t>Réunion du siège social</t>
        </is>
      </c>
      <c r="H609" s="1" t="n">
        <v>44827</v>
      </c>
      <c r="I609" s="1" t="n">
        <v>44827</v>
      </c>
      <c r="J609" t="inlineStr">
        <is>
          <t>Ottawa (Ontario) Canada</t>
        </is>
      </c>
      <c r="K609" t="inlineStr">
        <is>
          <t>Ottawa (Ontario) Canada</t>
        </is>
      </c>
      <c r="Q609" t="n">
        <v>235.5</v>
      </c>
      <c r="R609" t="n">
        <v>0</v>
      </c>
      <c r="S609" t="n">
        <v>0</v>
      </c>
      <c r="U609" t="n">
        <v>235.5</v>
      </c>
      <c r="X609" t="inlineStr">
        <is>
          <t>atssc-scdata</t>
        </is>
      </c>
      <c r="Y609" t="inlineStr">
        <is>
          <t>Administrative Tribunals Support Service of Canada | Service canadien d'appui aux tribunaux administratifs</t>
        </is>
      </c>
      <c r="Z609" t="n">
        <v>1</v>
      </c>
      <c r="AA609" t="n">
        <v>235.5</v>
      </c>
      <c r="AB609">
        <f>ROUND(U609-AA609,2)</f>
        <v/>
      </c>
      <c r="AC609" t="b">
        <v>0</v>
      </c>
      <c r="AD609">
        <f>IF(U609="","MISSING_TOTAL",IF(ABS(AB609)&lt;=0.01,"OK","CHECK"))</f>
        <v/>
      </c>
      <c r="AE609">
        <f>IF(U609="","MISSING",IF(AND(AA609&gt;0,U609/AA609&gt;50),"POSSIBLE_SCALE_ERROR","OK"))</f>
        <v/>
      </c>
    </row>
    <row r="610">
      <c r="A610" t="inlineStr">
        <is>
          <t>T-2023-P7-0001</t>
        </is>
      </c>
      <c r="B610" t="inlineStr">
        <is>
          <t>SLE</t>
        </is>
      </c>
      <c r="C610" t="inlineStr">
        <is>
          <t>Chairperson</t>
        </is>
      </c>
      <c r="D610" t="inlineStr">
        <is>
          <t>Présidente</t>
        </is>
      </c>
      <c r="E610" t="inlineStr">
        <is>
          <t>Sharilyn J. Ingram</t>
        </is>
      </c>
      <c r="F610" t="inlineStr">
        <is>
          <t>Board meeting</t>
        </is>
      </c>
      <c r="G610" t="inlineStr">
        <is>
          <t>Réunion du Conseil</t>
        </is>
      </c>
      <c r="H610" s="1" t="n">
        <v>44811</v>
      </c>
      <c r="I610" s="1" t="n">
        <v>44813</v>
      </c>
      <c r="J610" t="inlineStr">
        <is>
          <t>Ottawa, ON, Canada</t>
        </is>
      </c>
      <c r="K610" t="inlineStr">
        <is>
          <t>Ottawa, ON, Canada</t>
        </is>
      </c>
      <c r="P610" t="n">
        <v>561.89</v>
      </c>
      <c r="Q610" t="n">
        <v>288.42</v>
      </c>
      <c r="R610" t="n">
        <v>666.33</v>
      </c>
      <c r="S610" t="n">
        <v>441.1</v>
      </c>
      <c r="U610" t="n">
        <v>1957.74</v>
      </c>
      <c r="X610" t="inlineStr">
        <is>
          <t>atssc-scdata</t>
        </is>
      </c>
      <c r="Y610" t="inlineStr">
        <is>
          <t>Administrative Tribunals Support Service of Canada | Service canadien d'appui aux tribunaux administratifs</t>
        </is>
      </c>
      <c r="Z610" t="n">
        <v>3</v>
      </c>
      <c r="AA610" t="n">
        <v>1957.73999999999</v>
      </c>
      <c r="AB610">
        <f>ROUND(U610-AA610,2)</f>
        <v/>
      </c>
      <c r="AC610" t="b">
        <v>0</v>
      </c>
      <c r="AD610">
        <f>IF(U610="","MISSING_TOTAL",IF(ABS(AB610)&lt;=0.01,"OK","CHECK"))</f>
        <v/>
      </c>
      <c r="AE610">
        <f>IF(U610="","MISSING",IF(AND(AA610&gt;0,U610/AA610&gt;50),"POSSIBLE_SCALE_ERROR","OK"))</f>
        <v/>
      </c>
    </row>
    <row r="611">
      <c r="A611" t="inlineStr">
        <is>
          <t>T-2023-P8-0001</t>
        </is>
      </c>
      <c r="B611" t="inlineStr">
        <is>
          <t>SLE</t>
        </is>
      </c>
      <c r="C611" t="inlineStr">
        <is>
          <t>Chairperson</t>
        </is>
      </c>
      <c r="D611" t="inlineStr">
        <is>
          <t>Présidente</t>
        </is>
      </c>
      <c r="E611" t="inlineStr">
        <is>
          <t>Patrick Vermette</t>
        </is>
      </c>
      <c r="F611" t="inlineStr">
        <is>
          <t>Training of the new ViceChair</t>
        </is>
      </c>
      <c r="G611" t="inlineStr">
        <is>
          <t>Formation du nouveauvice-président</t>
        </is>
      </c>
      <c r="H611" s="1" t="n">
        <v>44864</v>
      </c>
      <c r="I611" s="1" t="n">
        <v>44869</v>
      </c>
      <c r="J611" t="inlineStr">
        <is>
          <t>Ottawa, ON, Canada</t>
        </is>
      </c>
      <c r="K611" t="inlineStr">
        <is>
          <t>Ottawa, ON, Canada</t>
        </is>
      </c>
      <c r="P611" t="n">
        <v>0</v>
      </c>
      <c r="Q611" t="n">
        <v>315.06</v>
      </c>
      <c r="R611" t="n">
        <v>1116.05</v>
      </c>
      <c r="S611" t="n">
        <v>616.05</v>
      </c>
      <c r="U611" t="n">
        <v>2047.16</v>
      </c>
      <c r="X611" t="inlineStr">
        <is>
          <t>atssc-scdata</t>
        </is>
      </c>
      <c r="Y611" t="inlineStr">
        <is>
          <t>Administrative Tribunals Support Service of Canada | Service canadien d'appui aux tribunaux administratifs</t>
        </is>
      </c>
      <c r="Z611" t="n">
        <v>6</v>
      </c>
      <c r="AA611" t="n">
        <v>2047.15999999999</v>
      </c>
      <c r="AB611">
        <f>ROUND(U611-AA611,2)</f>
        <v/>
      </c>
      <c r="AC611" t="b">
        <v>0</v>
      </c>
      <c r="AD611">
        <f>IF(U611="","MISSING_TOTAL",IF(ABS(AB611)&lt;=0.01,"OK","CHECK"))</f>
        <v/>
      </c>
      <c r="AE611">
        <f>IF(U611="","MISSING",IF(AND(AA611&gt;0,U611/AA611&gt;50),"POSSIBLE_SCALE_ERROR","OK"))</f>
        <v/>
      </c>
    </row>
    <row r="612">
      <c r="A612" t="inlineStr">
        <is>
          <t>T-2023-P8-0002</t>
        </is>
      </c>
      <c r="B612" t="inlineStr">
        <is>
          <t>SLE</t>
        </is>
      </c>
      <c r="C612" t="inlineStr">
        <is>
          <t>Chairperson</t>
        </is>
      </c>
      <c r="D612" t="inlineStr">
        <is>
          <t>Présidente</t>
        </is>
      </c>
      <c r="E612" t="inlineStr">
        <is>
          <t>Luc Bélanger</t>
        </is>
      </c>
      <c r="F612" t="inlineStr">
        <is>
          <t>Meet with agri-food lawexperts and animal behavior</t>
        </is>
      </c>
      <c r="G612" t="inlineStr">
        <is>
          <t>Rencontrer les experts en droit agroalimentaire et en comportement animal.</t>
        </is>
      </c>
      <c r="H612" s="1" t="n">
        <v>44851</v>
      </c>
      <c r="I612" s="1" t="n">
        <v>44854</v>
      </c>
      <c r="J612" t="inlineStr">
        <is>
          <t>Toronto , ON, Canada</t>
        </is>
      </c>
      <c r="K612" t="inlineStr">
        <is>
          <t>Toronto , ON, Canada</t>
        </is>
      </c>
      <c r="P612" t="n">
        <v>0</v>
      </c>
      <c r="Q612" t="n">
        <v>828.71</v>
      </c>
      <c r="R612" t="n">
        <v>666.33</v>
      </c>
      <c r="S612" t="n">
        <v>456.2</v>
      </c>
      <c r="U612" t="n">
        <v>1951.24</v>
      </c>
      <c r="X612" t="inlineStr">
        <is>
          <t>atssc-scdata</t>
        </is>
      </c>
      <c r="Y612" t="inlineStr">
        <is>
          <t>Administrative Tribunals Support Service of Canada | Service canadien d'appui aux tribunaux administratifs</t>
        </is>
      </c>
      <c r="Z612" t="n">
        <v>4</v>
      </c>
      <c r="AA612" t="n">
        <v>1951.24</v>
      </c>
      <c r="AB612">
        <f>ROUND(U612-AA612,2)</f>
        <v/>
      </c>
      <c r="AC612" t="b">
        <v>0</v>
      </c>
      <c r="AD612">
        <f>IF(U612="","MISSING_TOTAL",IF(ABS(AB612)&lt;=0.01,"OK","CHECK"))</f>
        <v/>
      </c>
      <c r="AE612">
        <f>IF(U612="","MISSING",IF(AND(AA612&gt;0,U612/AA612&gt;50),"POSSIBLE_SCALE_ERROR","OK"))</f>
        <v/>
      </c>
    </row>
    <row r="613">
      <c r="A613" t="inlineStr">
        <is>
          <t>T-2023-P8-0003</t>
        </is>
      </c>
      <c r="B613" t="inlineStr">
        <is>
          <t>SLE</t>
        </is>
      </c>
      <c r="C613" t="inlineStr">
        <is>
          <t>Chairperson</t>
        </is>
      </c>
      <c r="D613" t="inlineStr">
        <is>
          <t>Présidente</t>
        </is>
      </c>
      <c r="E613" t="inlineStr">
        <is>
          <t>Frédéric Seppey</t>
        </is>
      </c>
      <c r="F613" t="inlineStr">
        <is>
          <t>2022 Seoul InternationalForum on Trade Remedies</t>
        </is>
      </c>
      <c r="G613" t="inlineStr">
        <is>
          <t>2022 Forum international de Séoulsur les recours commerciaux</t>
        </is>
      </c>
      <c r="H613" s="1" t="n">
        <v>44844</v>
      </c>
      <c r="I613" s="1" t="n">
        <v>44849</v>
      </c>
      <c r="J613" t="inlineStr">
        <is>
          <t>Seoul,South-Korea</t>
        </is>
      </c>
      <c r="K613" t="inlineStr">
        <is>
          <t>Seoul,Corée du Sud</t>
        </is>
      </c>
      <c r="P613" t="n">
        <v>4661.54</v>
      </c>
      <c r="Q613" t="n">
        <v>162.12</v>
      </c>
      <c r="R613" t="n">
        <v>580.3099999999999</v>
      </c>
      <c r="S613" t="n">
        <v>616.12</v>
      </c>
      <c r="T613" t="n">
        <v>34.31</v>
      </c>
      <c r="U613" t="n">
        <v>6054.4</v>
      </c>
      <c r="X613" t="inlineStr">
        <is>
          <t>atssc-scdata</t>
        </is>
      </c>
      <c r="Y613" t="inlineStr">
        <is>
          <t>Administrative Tribunals Support Service of Canada | Service canadien d'appui aux tribunaux administratifs</t>
        </is>
      </c>
      <c r="Z613" t="n">
        <v>6</v>
      </c>
      <c r="AA613" t="n">
        <v>6054.4</v>
      </c>
      <c r="AB613">
        <f>ROUND(U613-AA613,2)</f>
        <v/>
      </c>
      <c r="AC613" t="b">
        <v>0</v>
      </c>
      <c r="AD613">
        <f>IF(U613="","MISSING_TOTAL",IF(ABS(AB613)&lt;=0.01,"OK","CHECK"))</f>
        <v/>
      </c>
      <c r="AE613">
        <f>IF(U613="","MISSING",IF(AND(AA613&gt;0,U613/AA613&gt;50),"POSSIBLE_SCALE_ERROR","OK"))</f>
        <v/>
      </c>
    </row>
    <row r="614">
      <c r="A614" t="inlineStr">
        <is>
          <t>T-2023-P9-0001</t>
        </is>
      </c>
      <c r="B614" t="inlineStr">
        <is>
          <t>SLE</t>
        </is>
      </c>
      <c r="C614" t="inlineStr">
        <is>
          <t>Chairperson</t>
        </is>
      </c>
      <c r="D614" t="inlineStr">
        <is>
          <t>Présidente</t>
        </is>
      </c>
      <c r="E614" t="inlineStr">
        <is>
          <t>Edith Bramwell</t>
        </is>
      </c>
      <c r="F614" t="inlineStr">
        <is>
          <t>Bargaining in the BroaderPublic Sector Conference</t>
        </is>
      </c>
      <c r="G614" t="inlineStr">
        <is>
          <t>Conférence surla négociation dans lesecteur public</t>
        </is>
      </c>
      <c r="H614" s="1" t="n">
        <v>44887</v>
      </c>
      <c r="I614" s="1" t="n">
        <v>44890</v>
      </c>
      <c r="J614" t="inlineStr">
        <is>
          <t>Toronto (Ontario) Canada</t>
        </is>
      </c>
      <c r="K614" t="inlineStr">
        <is>
          <t>Toronto (Ontario) Canada</t>
        </is>
      </c>
      <c r="Q614" t="n">
        <v>305.5</v>
      </c>
      <c r="R614" t="n">
        <v>913.14</v>
      </c>
      <c r="S614" t="n">
        <v>386.7</v>
      </c>
      <c r="U614" t="n">
        <v>1605.34</v>
      </c>
      <c r="X614" t="inlineStr">
        <is>
          <t>atssc-scdata</t>
        </is>
      </c>
      <c r="Y614" t="inlineStr">
        <is>
          <t>Administrative Tribunals Support Service of Canada | Service canadien d'appui aux tribunaux administratifs</t>
        </is>
      </c>
      <c r="Z614" t="n">
        <v>4</v>
      </c>
      <c r="AA614" t="n">
        <v>1605.34</v>
      </c>
      <c r="AB614">
        <f>ROUND(U614-AA614,2)</f>
        <v/>
      </c>
      <c r="AC614" t="b">
        <v>0</v>
      </c>
      <c r="AD614">
        <f>IF(U614="","MISSING_TOTAL",IF(ABS(AB614)&lt;=0.01,"OK","CHECK"))</f>
        <v/>
      </c>
      <c r="AE614">
        <f>IF(U614="","MISSING",IF(AND(AA614&gt;0,U614/AA614&gt;50),"POSSIBLE_SCALE_ERROR","OK"))</f>
        <v/>
      </c>
    </row>
    <row r="615">
      <c r="A615" t="inlineStr">
        <is>
          <t>T-2023-P11-0001</t>
        </is>
      </c>
      <c r="B615" t="inlineStr">
        <is>
          <t>SLE</t>
        </is>
      </c>
      <c r="C615" t="inlineStr">
        <is>
          <t>Chairperson</t>
        </is>
      </c>
      <c r="D615" t="inlineStr">
        <is>
          <t>Présidente</t>
        </is>
      </c>
      <c r="E615" t="inlineStr">
        <is>
          <t>Ginette Brazeau</t>
        </is>
      </c>
      <c r="F615" t="inlineStr">
        <is>
          <t>The 25th Anniversary of theNational Labour ArbitrationCompetition</t>
        </is>
      </c>
      <c r="G615" t="inlineStr">
        <is>
          <t>Le 25e anniversaire de laCompétition nationaled'arbitrage du travail</t>
        </is>
      </c>
      <c r="H615" s="1" t="n">
        <v>44960</v>
      </c>
      <c r="I615" s="1" t="n">
        <v>44962</v>
      </c>
      <c r="J615" t="inlineStr">
        <is>
          <t>Toronto (Ontario) Canada</t>
        </is>
      </c>
      <c r="K615" t="inlineStr">
        <is>
          <t>Toronto (Ontario) Canada</t>
        </is>
      </c>
      <c r="Q615" t="n">
        <v>610.97</v>
      </c>
      <c r="R615" t="n">
        <v>498.28</v>
      </c>
      <c r="S615" t="n">
        <v>114</v>
      </c>
      <c r="U615" t="n">
        <v>1223.25</v>
      </c>
      <c r="X615" t="inlineStr">
        <is>
          <t>atssc-scdata</t>
        </is>
      </c>
      <c r="Y615" t="inlineStr">
        <is>
          <t>Administrative Tribunals Support Service of Canada | Service canadien d'appui aux tribunaux administratifs</t>
        </is>
      </c>
      <c r="Z615" t="n">
        <v>3</v>
      </c>
      <c r="AA615" t="n">
        <v>1223.25</v>
      </c>
      <c r="AB615">
        <f>ROUND(U615-AA615,2)</f>
        <v/>
      </c>
      <c r="AC615" t="b">
        <v>0</v>
      </c>
      <c r="AD615">
        <f>IF(U615="","MISSING_TOTAL",IF(ABS(AB615)&lt;=0.01,"OK","CHECK"))</f>
        <v/>
      </c>
      <c r="AE615">
        <f>IF(U615="","MISSING",IF(AND(AA615&gt;0,U615/AA615&gt;50),"POSSIBLE_SCALE_ERROR","OK"))</f>
        <v/>
      </c>
    </row>
    <row r="616">
      <c r="A616" t="inlineStr">
        <is>
          <t>T-2023-P11-0002</t>
        </is>
      </c>
      <c r="B616" t="inlineStr">
        <is>
          <t>SLE</t>
        </is>
      </c>
      <c r="C616" t="inlineStr">
        <is>
          <t>Chairperson</t>
        </is>
      </c>
      <c r="D616" t="inlineStr">
        <is>
          <t>Présidente</t>
        </is>
      </c>
      <c r="E616" t="inlineStr">
        <is>
          <t>Sharilyn J. Ingram</t>
        </is>
      </c>
      <c r="F616" t="inlineStr">
        <is>
          <t>Special meeting of theMembers to discuss possiblelegislative projects</t>
        </is>
      </c>
      <c r="G616" t="inlineStr">
        <is>
          <t>Réunion spéciale desmembres afin de discuterd'éventuels projetslégislatifs</t>
        </is>
      </c>
      <c r="H616" s="1" t="n">
        <v>44947</v>
      </c>
      <c r="I616" s="1" t="n">
        <v>44949</v>
      </c>
      <c r="J616" t="inlineStr">
        <is>
          <t>Victoria, BC,Canada</t>
        </is>
      </c>
      <c r="K616" t="inlineStr">
        <is>
          <t>Victoria, C-B,Canada</t>
        </is>
      </c>
      <c r="P616" t="n">
        <v>1462.36</v>
      </c>
      <c r="Q616" t="n">
        <v>214.42</v>
      </c>
      <c r="R616" t="n">
        <v>544.8</v>
      </c>
      <c r="S616" t="n">
        <v>456.2</v>
      </c>
      <c r="U616" t="n">
        <v>2677.78</v>
      </c>
      <c r="X616" t="inlineStr">
        <is>
          <t>atssc-scdata</t>
        </is>
      </c>
      <c r="Y616" t="inlineStr">
        <is>
          <t>Administrative Tribunals Support Service of Canada | Service canadien d'appui aux tribunaux administratifs</t>
        </is>
      </c>
      <c r="Z616" t="n">
        <v>3</v>
      </c>
      <c r="AA616" t="n">
        <v>2677.77999999999</v>
      </c>
      <c r="AB616">
        <f>ROUND(U616-AA616,2)</f>
        <v/>
      </c>
      <c r="AC616" t="b">
        <v>0</v>
      </c>
      <c r="AD616">
        <f>IF(U616="","MISSING_TOTAL",IF(ABS(AB616)&lt;=0.01,"OK","CHECK"))</f>
        <v/>
      </c>
      <c r="AE616">
        <f>IF(U616="","MISSING",IF(AND(AA616&gt;0,U616/AA616&gt;50),"POSSIBLE_SCALE_ERROR","OK"))</f>
        <v/>
      </c>
    </row>
    <row r="617">
      <c r="A617" t="inlineStr">
        <is>
          <t>T-2023-P12-0001</t>
        </is>
      </c>
      <c r="B617" t="inlineStr">
        <is>
          <t>SLE</t>
        </is>
      </c>
      <c r="C617" t="inlineStr">
        <is>
          <t>Chairperson</t>
        </is>
      </c>
      <c r="D617" t="inlineStr">
        <is>
          <t>Présidente</t>
        </is>
      </c>
      <c r="E617" t="inlineStr">
        <is>
          <t>Jennifer Khurana</t>
        </is>
      </c>
      <c r="F617" t="inlineStr">
        <is>
          <t>Conference (Laskin mootCourt Competition)</t>
        </is>
      </c>
      <c r="G617" t="inlineStr">
        <is>
          <t>Conférence (Concours deplaidoirie Laskin)</t>
        </is>
      </c>
      <c r="H617" s="1" t="n">
        <v>44980</v>
      </c>
      <c r="I617" s="1" t="n">
        <v>44982</v>
      </c>
      <c r="J617" t="inlineStr">
        <is>
          <t>Halifax,N-S, Canada</t>
        </is>
      </c>
      <c r="K617" t="inlineStr">
        <is>
          <t>Halifax,N-É, Canada</t>
        </is>
      </c>
      <c r="P617" t="n">
        <v>872.3</v>
      </c>
      <c r="Q617" t="n">
        <v>198.27</v>
      </c>
      <c r="R617" t="n">
        <v>398.82</v>
      </c>
      <c r="S617" t="n">
        <v>210.7</v>
      </c>
      <c r="U617" t="n">
        <v>1680.09</v>
      </c>
      <c r="X617" t="inlineStr">
        <is>
          <t>atssc-scdata</t>
        </is>
      </c>
      <c r="Y617" t="inlineStr">
        <is>
          <t>Administrative Tribunals Support Service of Canada | Service canadien d'appui aux tribunaux administratifs</t>
        </is>
      </c>
      <c r="Z617" t="n">
        <v>3</v>
      </c>
      <c r="AA617" t="n">
        <v>1680.09</v>
      </c>
      <c r="AB617">
        <f>ROUND(U617-AA617,2)</f>
        <v/>
      </c>
      <c r="AC617" t="b">
        <v>0</v>
      </c>
      <c r="AD617">
        <f>IF(U617="","MISSING_TOTAL",IF(ABS(AB617)&lt;=0.01,"OK","CHECK"))</f>
        <v/>
      </c>
      <c r="AE617">
        <f>IF(U617="","MISSING",IF(AND(AA617&gt;0,U617/AA617&gt;50),"POSSIBLE_SCALE_ERROR","OK"))</f>
        <v/>
      </c>
    </row>
    <row r="618">
      <c r="A618" t="inlineStr">
        <is>
          <t>T-2023-P12-0002</t>
        </is>
      </c>
      <c r="B618" t="inlineStr">
        <is>
          <t>SLE</t>
        </is>
      </c>
      <c r="C618" t="inlineStr">
        <is>
          <t>Chairperson</t>
        </is>
      </c>
      <c r="D618" t="inlineStr">
        <is>
          <t>Présidente</t>
        </is>
      </c>
      <c r="E618" t="inlineStr">
        <is>
          <t>Sharilyn J. Ingram</t>
        </is>
      </c>
      <c r="F618" t="inlineStr">
        <is>
          <t>Board Members' meeting</t>
        </is>
      </c>
      <c r="G618" t="inlineStr">
        <is>
          <t>Réunion des membres duconseil</t>
        </is>
      </c>
      <c r="H618" s="1" t="n">
        <v>45004</v>
      </c>
      <c r="I618" s="1" t="n">
        <v>45009</v>
      </c>
      <c r="J618" t="inlineStr">
        <is>
          <t>Ottawa,Ontario,Canada</t>
        </is>
      </c>
      <c r="K618" t="inlineStr">
        <is>
          <t>Ottawa,Ontario,Canada</t>
        </is>
      </c>
      <c r="P618" t="n">
        <v>700.2</v>
      </c>
      <c r="Q618" t="n">
        <v>385.64</v>
      </c>
      <c r="R618" t="n">
        <v>1169.3</v>
      </c>
      <c r="S618" t="n">
        <v>672.65</v>
      </c>
      <c r="U618" t="n">
        <v>2927.79</v>
      </c>
      <c r="X618" t="inlineStr">
        <is>
          <t>atssc-scdata</t>
        </is>
      </c>
      <c r="Y618" t="inlineStr">
        <is>
          <t>Administrative Tribunals Support Service of Canada | Service canadien d'appui aux tribunaux administratifs</t>
        </is>
      </c>
      <c r="Z618" t="n">
        <v>6</v>
      </c>
      <c r="AA618" t="n">
        <v>2927.79</v>
      </c>
      <c r="AB618">
        <f>ROUND(U618-AA618,2)</f>
        <v/>
      </c>
      <c r="AC618" t="b">
        <v>0</v>
      </c>
      <c r="AD618">
        <f>IF(U618="","MISSING_TOTAL",IF(ABS(AB618)&lt;=0.01,"OK","CHECK"))</f>
        <v/>
      </c>
      <c r="AE618">
        <f>IF(U618="","MISSING",IF(AND(AA618&gt;0,U618/AA618&gt;50),"POSSIBLE_SCALE_ERROR","OK"))</f>
        <v/>
      </c>
    </row>
    <row r="619">
      <c r="A619" t="inlineStr">
        <is>
          <t>T-2024-P02-0001</t>
        </is>
      </c>
      <c r="B619" t="inlineStr">
        <is>
          <t>SLE</t>
        </is>
      </c>
      <c r="C619" t="inlineStr">
        <is>
          <t>Chairperson</t>
        </is>
      </c>
      <c r="D619" t="inlineStr">
        <is>
          <t>Présidente</t>
        </is>
      </c>
      <c r="E619" t="inlineStr">
        <is>
          <t>Ginette Brazeau</t>
        </is>
      </c>
      <c r="F619" t="inlineStr">
        <is>
          <t>2023 Annual Meeting &amp;Education Conference -National Academy ofArbitrators</t>
        </is>
      </c>
      <c r="G619" t="inlineStr">
        <is>
          <t>Assemblée annuelle et conférence éducative 2023 – Académie nationale des arbitres</t>
        </is>
      </c>
      <c r="H619" s="1" t="n">
        <v>45049</v>
      </c>
      <c r="I619" s="1" t="n">
        <v>45052</v>
      </c>
      <c r="J619" t="inlineStr">
        <is>
          <t>Denver,Colorado,USA</t>
        </is>
      </c>
      <c r="K619" t="inlineStr">
        <is>
          <t>Denver,Colorado,États-Unis</t>
        </is>
      </c>
      <c r="P619" t="n">
        <v>1244.63</v>
      </c>
      <c r="Q619" t="n">
        <v>261.05</v>
      </c>
      <c r="R619" t="n">
        <v>1104.2</v>
      </c>
      <c r="S619" t="n">
        <v>396.04</v>
      </c>
      <c r="U619" t="n">
        <v>3005.92</v>
      </c>
      <c r="X619" t="inlineStr">
        <is>
          <t>atssc-scdata</t>
        </is>
      </c>
      <c r="Y619" t="inlineStr">
        <is>
          <t>Administrative Tribunals Support Service of Canada | Service canadien d'appui aux tribunaux administratifs</t>
        </is>
      </c>
      <c r="Z619" t="n">
        <v>4</v>
      </c>
      <c r="AA619" t="n">
        <v>3005.92</v>
      </c>
      <c r="AB619">
        <f>ROUND(U619-AA619,2)</f>
        <v/>
      </c>
      <c r="AC619" t="b">
        <v>0</v>
      </c>
      <c r="AD619">
        <f>IF(U619="","MISSING_TOTAL",IF(ABS(AB619)&lt;=0.01,"OK","CHECK"))</f>
        <v/>
      </c>
      <c r="AE619">
        <f>IF(U619="","MISSING",IF(AND(AA619&gt;0,U619/AA619&gt;50),"POSSIBLE_SCALE_ERROR","OK"))</f>
        <v/>
      </c>
    </row>
    <row r="620">
      <c r="A620" t="inlineStr">
        <is>
          <t>T-2024-P03-0001</t>
        </is>
      </c>
      <c r="B620" t="inlineStr">
        <is>
          <t>SLE</t>
        </is>
      </c>
      <c r="C620" t="inlineStr">
        <is>
          <t>Chairperson</t>
        </is>
      </c>
      <c r="D620" t="inlineStr">
        <is>
          <t>Présidente</t>
        </is>
      </c>
      <c r="E620" t="inlineStr">
        <is>
          <t>Sharilyn J. Ingram</t>
        </is>
      </c>
      <c r="F620" t="inlineStr">
        <is>
          <t>Board Members' meeting</t>
        </is>
      </c>
      <c r="G620" t="inlineStr">
        <is>
          <t>Réunion des membres du conseil</t>
        </is>
      </c>
      <c r="H620" s="1" t="n">
        <v>45082</v>
      </c>
      <c r="I620" s="1" t="n">
        <v>45086</v>
      </c>
      <c r="J620" t="inlineStr">
        <is>
          <t>Ottawa (Ontario) Canada</t>
        </is>
      </c>
      <c r="K620" t="inlineStr">
        <is>
          <t>Ottawa (Ontario) Canada</t>
        </is>
      </c>
      <c r="Q620" t="n">
        <v>783.78</v>
      </c>
      <c r="R620" t="n">
        <v>935.4400000000001</v>
      </c>
      <c r="S620" t="n">
        <v>593.4</v>
      </c>
      <c r="U620" t="n">
        <v>2312.62</v>
      </c>
      <c r="X620" t="inlineStr">
        <is>
          <t>atssc-scdata</t>
        </is>
      </c>
      <c r="Y620" t="inlineStr">
        <is>
          <t>Administrative Tribunals Support Service of Canada | Service canadien d'appui aux tribunaux administratifs</t>
        </is>
      </c>
      <c r="Z620" t="n">
        <v>5</v>
      </c>
      <c r="AA620" t="n">
        <v>2312.62</v>
      </c>
      <c r="AB620">
        <f>ROUND(U620-AA620,2)</f>
        <v/>
      </c>
      <c r="AC620" t="b">
        <v>0</v>
      </c>
      <c r="AD620">
        <f>IF(U620="","MISSING_TOTAL",IF(ABS(AB620)&lt;=0.01,"OK","CHECK"))</f>
        <v/>
      </c>
      <c r="AE620">
        <f>IF(U620="","MISSING",IF(AND(AA620&gt;0,U620/AA620&gt;50),"POSSIBLE_SCALE_ERROR","OK"))</f>
        <v/>
      </c>
    </row>
    <row r="621">
      <c r="A621" t="inlineStr">
        <is>
          <t>T-2024-P04-0001</t>
        </is>
      </c>
      <c r="B621" t="inlineStr">
        <is>
          <t>SLE</t>
        </is>
      </c>
      <c r="C621" t="inlineStr">
        <is>
          <t>Chairperson</t>
        </is>
      </c>
      <c r="D621" t="inlineStr">
        <is>
          <t>Présidente</t>
        </is>
      </c>
      <c r="E621" t="inlineStr">
        <is>
          <t>Edith Bramwell</t>
        </is>
      </c>
      <c r="F621" t="inlineStr">
        <is>
          <t>Attend the 70th annual conference of the Association Labor Relations Agencies (ALRA)</t>
        </is>
      </c>
      <c r="G621" t="inlineStr">
        <is>
          <t>Assister à la 70e conférence annuelle de Association of Labor Relations Agencies (ALRA)</t>
        </is>
      </c>
      <c r="H621" s="1" t="n">
        <v>45121</v>
      </c>
      <c r="I621" s="1" t="n">
        <v>45126</v>
      </c>
      <c r="J621" t="inlineStr">
        <is>
          <t>Vancouver, BC, Canada</t>
        </is>
      </c>
      <c r="K621" t="inlineStr">
        <is>
          <t>Vancouver, C- B, Canada</t>
        </is>
      </c>
      <c r="P621" t="n">
        <v>3221.22</v>
      </c>
      <c r="Q621" t="n">
        <v>133.79</v>
      </c>
      <c r="R621" t="n">
        <v>1683.4</v>
      </c>
      <c r="S621" t="n">
        <v>409.6</v>
      </c>
      <c r="U621" t="n">
        <v>5448.01</v>
      </c>
      <c r="X621" t="inlineStr">
        <is>
          <t>atssc-scdata</t>
        </is>
      </c>
      <c r="Y621" t="inlineStr">
        <is>
          <t>Administrative Tribunals Support Service of Canada | Service canadien d'appui aux tribunaux administratifs</t>
        </is>
      </c>
      <c r="Z621" t="n">
        <v>6</v>
      </c>
      <c r="AA621" t="n">
        <v>5448.01</v>
      </c>
      <c r="AB621">
        <f>ROUND(U621-AA621,2)</f>
        <v/>
      </c>
      <c r="AC621" t="b">
        <v>0</v>
      </c>
      <c r="AD621">
        <f>IF(U621="","MISSING_TOTAL",IF(ABS(AB621)&lt;=0.01,"OK","CHECK"))</f>
        <v/>
      </c>
      <c r="AE621">
        <f>IF(U621="","MISSING",IF(AND(AA621&gt;0,U621/AA621&gt;50),"POSSIBLE_SCALE_ERROR","OK"))</f>
        <v/>
      </c>
    </row>
    <row r="622">
      <c r="A622" t="inlineStr">
        <is>
          <t>T-2024-P05-0001</t>
        </is>
      </c>
      <c r="B622" t="inlineStr">
        <is>
          <t>SLE</t>
        </is>
      </c>
      <c r="C622" t="inlineStr">
        <is>
          <t>Chairperson</t>
        </is>
      </c>
      <c r="D622" t="inlineStr">
        <is>
          <t>Présidente</t>
        </is>
      </c>
      <c r="E622" t="inlineStr">
        <is>
          <t>Ginette Brazeau</t>
        </is>
      </c>
      <c r="F622" t="inlineStr">
        <is>
          <t>Ministerial Referral regarding BritishColumbia ports in the labour disputebetween International Longshore andWarehouse Union Canada and BritishColumbia Maritime EmployeesAssociation</t>
        </is>
      </c>
      <c r="G622" t="inlineStr">
        <is>
          <t>Renvoi Ministériel concernant les ports de Colombie Britannique dans le conflit de travail entre International Longshore and Warehouse Union Canada et British Columbia Maritime Employees Association</t>
        </is>
      </c>
      <c r="H622" s="1" t="n">
        <v>45137</v>
      </c>
      <c r="I622" s="1" t="n">
        <v>45139</v>
      </c>
      <c r="J622" t="inlineStr">
        <is>
          <t>Vancouver, BC, Canada</t>
        </is>
      </c>
      <c r="K622" t="inlineStr">
        <is>
          <t>Vancouver, C- B, Canada</t>
        </is>
      </c>
      <c r="P622" t="n">
        <v>1828.88</v>
      </c>
      <c r="Q622" t="n">
        <v>181.96</v>
      </c>
      <c r="R622" t="n">
        <v>605.78</v>
      </c>
      <c r="S622" t="n">
        <v>311.6</v>
      </c>
      <c r="U622" t="n">
        <v>2928.22</v>
      </c>
      <c r="X622" t="inlineStr">
        <is>
          <t>atssc-scdata</t>
        </is>
      </c>
      <c r="Y622" t="inlineStr">
        <is>
          <t>Administrative Tribunals Support Service of Canada | Service canadien d'appui aux tribunaux administratifs</t>
        </is>
      </c>
      <c r="Z622" t="n">
        <v>3</v>
      </c>
      <c r="AA622" t="n">
        <v>2928.22</v>
      </c>
      <c r="AB622">
        <f>ROUND(U622-AA622,2)</f>
        <v/>
      </c>
      <c r="AC622" t="b">
        <v>0</v>
      </c>
      <c r="AD622">
        <f>IF(U622="","MISSING_TOTAL",IF(ABS(AB622)&lt;=0.01,"OK","CHECK"))</f>
        <v/>
      </c>
      <c r="AE622">
        <f>IF(U622="","MISSING",IF(AND(AA622&gt;0,U622/AA622&gt;50),"POSSIBLE_SCALE_ERROR","OK"))</f>
        <v/>
      </c>
    </row>
    <row r="623">
      <c r="A623" t="inlineStr">
        <is>
          <t>T-2024-P06-0001</t>
        </is>
      </c>
      <c r="B623" t="inlineStr">
        <is>
          <t>SLE</t>
        </is>
      </c>
      <c r="C623" t="inlineStr">
        <is>
          <t>Chairperson</t>
        </is>
      </c>
      <c r="D623" t="inlineStr">
        <is>
          <t>Président</t>
        </is>
      </c>
      <c r="E623" t="inlineStr">
        <is>
          <t>Gary Drouin</t>
        </is>
      </c>
      <c r="F623" t="inlineStr">
        <is>
          <t>Hearing</t>
        </is>
      </c>
      <c r="G623" t="inlineStr">
        <is>
          <t>Audience</t>
        </is>
      </c>
      <c r="H623" s="1" t="n">
        <v>45159</v>
      </c>
      <c r="I623" s="1" t="n">
        <v>45161</v>
      </c>
      <c r="J623" t="inlineStr">
        <is>
          <t>Quebec,QC, Canada</t>
        </is>
      </c>
      <c r="K623" t="inlineStr">
        <is>
          <t>Québec,QC, Canada</t>
        </is>
      </c>
      <c r="Q623" t="n">
        <v>580.6900000000001</v>
      </c>
      <c r="R623" t="n">
        <v>473.64</v>
      </c>
      <c r="S623" t="n">
        <v>288</v>
      </c>
      <c r="U623" t="n">
        <v>1342.33</v>
      </c>
      <c r="X623" t="inlineStr">
        <is>
          <t>atssc-scdata</t>
        </is>
      </c>
      <c r="Y623" t="inlineStr">
        <is>
          <t>Administrative Tribunals Support Service of Canada | Service canadien d'appui aux tribunaux administratifs</t>
        </is>
      </c>
      <c r="Z623" t="n">
        <v>3</v>
      </c>
      <c r="AA623" t="n">
        <v>1342.33</v>
      </c>
      <c r="AB623">
        <f>ROUND(U623-AA623,2)</f>
        <v/>
      </c>
      <c r="AC623" t="b">
        <v>0</v>
      </c>
      <c r="AD623">
        <f>IF(U623="","MISSING_TOTAL",IF(ABS(AB623)&lt;=0.01,"OK","CHECK"))</f>
        <v/>
      </c>
      <c r="AE623">
        <f>IF(U623="","MISSING",IF(AND(AA623&gt;0,U623/AA623&gt;50),"POSSIBLE_SCALE_ERROR","OK"))</f>
        <v/>
      </c>
    </row>
    <row r="624">
      <c r="A624" t="inlineStr">
        <is>
          <t>T-2024-P06-0002</t>
        </is>
      </c>
      <c r="B624" t="inlineStr">
        <is>
          <t>SLE</t>
        </is>
      </c>
      <c r="C624" t="inlineStr">
        <is>
          <t>Chairperson</t>
        </is>
      </c>
      <c r="D624" t="inlineStr">
        <is>
          <t>Présidente</t>
        </is>
      </c>
      <c r="E624" t="inlineStr">
        <is>
          <t>Jennifer Khurana</t>
        </is>
      </c>
      <c r="F624" t="inlineStr">
        <is>
          <t>Mediation</t>
        </is>
      </c>
      <c r="G624" t="inlineStr">
        <is>
          <t>Médiation</t>
        </is>
      </c>
      <c r="H624" s="1" t="n">
        <v>45173</v>
      </c>
      <c r="I624" s="1" t="n">
        <v>45176</v>
      </c>
      <c r="J624" t="inlineStr">
        <is>
          <t>Warkworth,ON, Canada</t>
        </is>
      </c>
      <c r="K624" t="inlineStr">
        <is>
          <t>Warkworth,ON, Canada</t>
        </is>
      </c>
      <c r="Q624" t="n">
        <v>168.06</v>
      </c>
      <c r="R624" t="n">
        <v>197.43</v>
      </c>
      <c r="S624" t="n">
        <v>257.8</v>
      </c>
      <c r="U624" t="n">
        <v>623.29</v>
      </c>
      <c r="X624" t="inlineStr">
        <is>
          <t>atssc-scdata</t>
        </is>
      </c>
      <c r="Y624" t="inlineStr">
        <is>
          <t>Administrative Tribunals Support Service of Canada | Service canadien d'appui aux tribunaux administratifs</t>
        </is>
      </c>
      <c r="Z624" t="n">
        <v>4</v>
      </c>
      <c r="AA624" t="n">
        <v>623.29</v>
      </c>
      <c r="AB624">
        <f>ROUND(U624-AA624,2)</f>
        <v/>
      </c>
      <c r="AC624" t="b">
        <v>0</v>
      </c>
      <c r="AD624">
        <f>IF(U624="","MISSING_TOTAL",IF(ABS(AB624)&lt;=0.01,"OK","CHECK"))</f>
        <v/>
      </c>
      <c r="AE624">
        <f>IF(U624="","MISSING",IF(AND(AA624&gt;0,U624/AA624&gt;50),"POSSIBLE_SCALE_ERROR","OK"))</f>
        <v/>
      </c>
    </row>
    <row r="625">
      <c r="A625" t="inlineStr">
        <is>
          <t>T-2024-P07-0001</t>
        </is>
      </c>
      <c r="B625" t="inlineStr">
        <is>
          <t>SLE</t>
        </is>
      </c>
      <c r="C625" t="inlineStr">
        <is>
          <t>Chairperson</t>
        </is>
      </c>
      <c r="D625" t="inlineStr">
        <is>
          <t>Présidente</t>
        </is>
      </c>
      <c r="E625" t="inlineStr">
        <is>
          <t>Edith Bramwell</t>
        </is>
      </c>
      <c r="F625" t="inlineStr">
        <is>
          <t>Annual Labour Relations Board Chair Conference</t>
        </is>
      </c>
      <c r="G625" t="inlineStr">
        <is>
          <t>Conférence annuelle des présidents des commissions des relations du travail</t>
        </is>
      </c>
      <c r="H625" s="1" t="n">
        <v>45189</v>
      </c>
      <c r="I625" s="1" t="n">
        <v>45191</v>
      </c>
      <c r="J625" t="inlineStr">
        <is>
          <t>Charlottetown, PEI, Canada</t>
        </is>
      </c>
      <c r="K625" t="inlineStr">
        <is>
          <t>Charlottetown, Î.- P.-É. , Canada</t>
        </is>
      </c>
      <c r="P625" t="n">
        <v>1661.26</v>
      </c>
      <c r="Q625" t="n">
        <v>69.14</v>
      </c>
      <c r="R625" t="n">
        <v>515.2</v>
      </c>
      <c r="S625" t="n">
        <v>134.4</v>
      </c>
      <c r="T625" t="n">
        <v>0</v>
      </c>
      <c r="U625" t="n">
        <v>2380</v>
      </c>
      <c r="X625" t="inlineStr">
        <is>
          <t>atssc-scdata</t>
        </is>
      </c>
      <c r="Y625" t="inlineStr">
        <is>
          <t>Administrative Tribunals Support Service of Canada | Service canadien d'appui aux tribunaux administratifs</t>
        </is>
      </c>
      <c r="Z625" t="n">
        <v>3</v>
      </c>
      <c r="AA625" t="n">
        <v>2380</v>
      </c>
      <c r="AB625">
        <f>ROUND(U625-AA625,2)</f>
        <v/>
      </c>
      <c r="AC625" t="b">
        <v>0</v>
      </c>
      <c r="AD625">
        <f>IF(U625="","MISSING_TOTAL",IF(ABS(AB625)&lt;=0.01,"OK","CHECK"))</f>
        <v/>
      </c>
      <c r="AE625">
        <f>IF(U625="","MISSING",IF(AND(AA625&gt;0,U625/AA625&gt;50),"POSSIBLE_SCALE_ERROR","OK"))</f>
        <v/>
      </c>
    </row>
    <row r="626">
      <c r="A626" t="inlineStr">
        <is>
          <t>T-2024-P07-0002</t>
        </is>
      </c>
      <c r="B626" t="inlineStr">
        <is>
          <t>SLE</t>
        </is>
      </c>
      <c r="C626" t="inlineStr">
        <is>
          <t>Chairperson</t>
        </is>
      </c>
      <c r="D626" t="inlineStr">
        <is>
          <t>Présidente</t>
        </is>
      </c>
      <c r="E626" t="inlineStr">
        <is>
          <t>Ginette Brazeau</t>
        </is>
      </c>
      <c r="F626" t="inlineStr">
        <is>
          <t>Annual Labour Relations Board Chair Conference</t>
        </is>
      </c>
      <c r="G626" t="inlineStr">
        <is>
          <t>Conférence annuelle des présidents des commissions des relations du travail</t>
        </is>
      </c>
      <c r="H626" s="1" t="n">
        <v>45189</v>
      </c>
      <c r="I626" s="1" t="n">
        <v>45191</v>
      </c>
      <c r="J626" t="inlineStr">
        <is>
          <t>Charlottetown, PEI, Canada</t>
        </is>
      </c>
      <c r="K626" t="inlineStr">
        <is>
          <t>Charlottetown, Î.- P.-É. , Canada</t>
        </is>
      </c>
      <c r="P626" t="n">
        <v>1668.32</v>
      </c>
      <c r="Q626" t="n">
        <v>103.9</v>
      </c>
      <c r="R626" t="n">
        <v>515.2</v>
      </c>
      <c r="S626" t="n">
        <v>134.4</v>
      </c>
      <c r="T626" t="n">
        <v>0</v>
      </c>
      <c r="U626" t="n">
        <v>2421.82</v>
      </c>
      <c r="X626" t="inlineStr">
        <is>
          <t>atssc-scdata</t>
        </is>
      </c>
      <c r="Y626" t="inlineStr">
        <is>
          <t>Administrative Tribunals Support Service of Canada | Service canadien d'appui aux tribunaux administratifs</t>
        </is>
      </c>
      <c r="Z626" t="n">
        <v>3</v>
      </c>
      <c r="AA626" t="n">
        <v>2421.82</v>
      </c>
      <c r="AB626">
        <f>ROUND(U626-AA626,2)</f>
        <v/>
      </c>
      <c r="AC626" t="b">
        <v>0</v>
      </c>
      <c r="AD626">
        <f>IF(U626="","MISSING_TOTAL",IF(ABS(AB626)&lt;=0.01,"OK","CHECK"))</f>
        <v/>
      </c>
      <c r="AE626">
        <f>IF(U626="","MISSING",IF(AND(AA626&gt;0,U626/AA626&gt;50),"POSSIBLE_SCALE_ERROR","OK"))</f>
        <v/>
      </c>
    </row>
    <row r="627">
      <c r="A627" t="inlineStr">
        <is>
          <t>T-2024-P07-0003</t>
        </is>
      </c>
      <c r="B627" t="inlineStr">
        <is>
          <t>SLE</t>
        </is>
      </c>
      <c r="C627" t="inlineStr">
        <is>
          <t>Chairperson</t>
        </is>
      </c>
      <c r="D627" t="inlineStr">
        <is>
          <t>Président</t>
        </is>
      </c>
      <c r="E627" t="inlineStr">
        <is>
          <t>Frédéric Seppey</t>
        </is>
      </c>
      <c r="F627" t="inlineStr">
        <is>
          <t>Meeting of Heads of Trade Remedies Investigating Authorities, World Trade Organisation</t>
        </is>
      </c>
      <c r="G627" t="inlineStr">
        <is>
          <t>Réunion des chefs des autorités chargées des enquêtes en matière de recours commerciaux de l'Organisation mondiale du commerce</t>
        </is>
      </c>
      <c r="H627" s="1" t="n">
        <v>45044</v>
      </c>
      <c r="I627" s="1" t="n">
        <v>45055</v>
      </c>
      <c r="J627" t="inlineStr">
        <is>
          <t>Geneva, Switzerland</t>
        </is>
      </c>
      <c r="K627" t="inlineStr">
        <is>
          <t>Genève, Suisse</t>
        </is>
      </c>
      <c r="P627" t="n">
        <v>2928.28</v>
      </c>
      <c r="Q627" t="n">
        <v>193.46</v>
      </c>
      <c r="R627" t="n">
        <v>1793.11</v>
      </c>
      <c r="S627" t="n">
        <v>1592.8</v>
      </c>
      <c r="T627" t="n">
        <v>37.75</v>
      </c>
      <c r="U627" t="n">
        <v>6545.4</v>
      </c>
      <c r="X627" t="inlineStr">
        <is>
          <t>atssc-scdata</t>
        </is>
      </c>
      <c r="Y627" t="inlineStr">
        <is>
          <t>Administrative Tribunals Support Service of Canada | Service canadien d'appui aux tribunaux administratifs</t>
        </is>
      </c>
      <c r="Z627" t="n">
        <v>12</v>
      </c>
      <c r="AA627" t="n">
        <v>6545.4</v>
      </c>
      <c r="AB627">
        <f>ROUND(U627-AA627,2)</f>
        <v/>
      </c>
      <c r="AC627" t="b">
        <v>0</v>
      </c>
      <c r="AD627">
        <f>IF(U627="","MISSING_TOTAL",IF(ABS(AB627)&lt;=0.01,"OK","CHECK"))</f>
        <v/>
      </c>
      <c r="AE627">
        <f>IF(U627="","MISSING",IF(AND(AA627&gt;0,U627/AA627&gt;50),"POSSIBLE_SCALE_ERROR","OK"))</f>
        <v/>
      </c>
    </row>
    <row r="628">
      <c r="A628" t="inlineStr">
        <is>
          <t>T-2024-P08-0001</t>
        </is>
      </c>
      <c r="B628" t="inlineStr">
        <is>
          <t>SLE</t>
        </is>
      </c>
      <c r="C628" t="inlineStr">
        <is>
          <t>Chairperson</t>
        </is>
      </c>
      <c r="D628" t="inlineStr">
        <is>
          <t>Présidente</t>
        </is>
      </c>
      <c r="E628" t="inlineStr">
        <is>
          <t>Jennifer Khurana</t>
        </is>
      </c>
      <c r="F628" t="inlineStr">
        <is>
          <t>Mediation</t>
        </is>
      </c>
      <c r="G628" t="inlineStr">
        <is>
          <t>Médiation</t>
        </is>
      </c>
      <c r="H628" s="1" t="n">
        <v>45209</v>
      </c>
      <c r="I628" s="1" t="n">
        <v>45212</v>
      </c>
      <c r="J628" t="inlineStr">
        <is>
          <t>Mission,BC, Canada</t>
        </is>
      </c>
      <c r="K628" t="inlineStr">
        <is>
          <t>Mission,C-B, Canada</t>
        </is>
      </c>
      <c r="P628" t="n">
        <v>975.73</v>
      </c>
      <c r="Q628" t="n">
        <v>564.46</v>
      </c>
      <c r="R628" t="n">
        <v>406.78</v>
      </c>
      <c r="S628" t="n">
        <v>307.2</v>
      </c>
      <c r="U628" t="n">
        <v>2254.17</v>
      </c>
      <c r="X628" t="inlineStr">
        <is>
          <t>atssc-scdata</t>
        </is>
      </c>
      <c r="Y628" t="inlineStr">
        <is>
          <t>Administrative Tribunals Support Service of Canada | Service canadien d'appui aux tribunaux administratifs</t>
        </is>
      </c>
      <c r="Z628" t="n">
        <v>4</v>
      </c>
      <c r="AA628" t="n">
        <v>2254.17</v>
      </c>
      <c r="AB628">
        <f>ROUND(U628-AA628,2)</f>
        <v/>
      </c>
      <c r="AC628" t="b">
        <v>0</v>
      </c>
      <c r="AD628">
        <f>IF(U628="","MISSING_TOTAL",IF(ABS(AB628)&lt;=0.01,"OK","CHECK"))</f>
        <v/>
      </c>
      <c r="AE628">
        <f>IF(U628="","MISSING",IF(AND(AA628&gt;0,U628/AA628&gt;50),"POSSIBLE_SCALE_ERROR","OK"))</f>
        <v/>
      </c>
    </row>
    <row r="629">
      <c r="A629" t="inlineStr">
        <is>
          <t>T-2024-P08-0002</t>
        </is>
      </c>
      <c r="B629" t="inlineStr">
        <is>
          <t>SLE</t>
        </is>
      </c>
      <c r="C629" t="inlineStr">
        <is>
          <t>Chairperson</t>
        </is>
      </c>
      <c r="D629" t="inlineStr">
        <is>
          <t>Présidente</t>
        </is>
      </c>
      <c r="E629" t="inlineStr">
        <is>
          <t>Shirley Netten</t>
        </is>
      </c>
      <c r="F629" t="inlineStr">
        <is>
          <t>Attend SOAR's 35th Annual Conference - The Administrative Forest: Pathways to Justice</t>
        </is>
      </c>
      <c r="G629" t="inlineStr">
        <is>
          <t>Assister à la 35ème conférence annuelle de SOAR - La forêt administrative : Les voies de la justice</t>
        </is>
      </c>
      <c r="H629" s="1" t="n">
        <v>45231</v>
      </c>
      <c r="I629" s="1" t="n">
        <v>45233</v>
      </c>
      <c r="J629" t="inlineStr">
        <is>
          <t>Toronto,On, Canada</t>
        </is>
      </c>
      <c r="K629" t="inlineStr">
        <is>
          <t>Toronto,On, Canada</t>
        </is>
      </c>
      <c r="P629" t="n">
        <v>0</v>
      </c>
      <c r="Q629" t="n">
        <v>612.0599999999999</v>
      </c>
      <c r="R629" t="n">
        <v>467.15</v>
      </c>
      <c r="S629" t="n">
        <v>270.8</v>
      </c>
      <c r="U629" t="n">
        <v>1350.01</v>
      </c>
      <c r="X629" t="inlineStr">
        <is>
          <t>atssc-scdata</t>
        </is>
      </c>
      <c r="Y629" t="inlineStr">
        <is>
          <t>Administrative Tribunals Support Service of Canada | Service canadien d'appui aux tribunaux administratifs</t>
        </is>
      </c>
      <c r="Z629" t="n">
        <v>3</v>
      </c>
      <c r="AA629" t="n">
        <v>1350.01</v>
      </c>
      <c r="AB629">
        <f>ROUND(U629-AA629,2)</f>
        <v/>
      </c>
      <c r="AC629" t="b">
        <v>0</v>
      </c>
      <c r="AD629">
        <f>IF(U629="","MISSING_TOTAL",IF(ABS(AB629)&lt;=0.01,"OK","CHECK"))</f>
        <v/>
      </c>
      <c r="AE629">
        <f>IF(U629="","MISSING",IF(AND(AA629&gt;0,U629/AA629&gt;50),"POSSIBLE_SCALE_ERROR","OK"))</f>
        <v/>
      </c>
    </row>
    <row r="630">
      <c r="A630" t="inlineStr">
        <is>
          <t>T-2024-P08-0003</t>
        </is>
      </c>
      <c r="B630" t="inlineStr">
        <is>
          <t>SLE</t>
        </is>
      </c>
      <c r="C630" t="inlineStr">
        <is>
          <t>Chairperson</t>
        </is>
      </c>
      <c r="D630" t="inlineStr">
        <is>
          <t>Président</t>
        </is>
      </c>
      <c r="E630" t="inlineStr">
        <is>
          <t>Gary Drouin</t>
        </is>
      </c>
      <c r="F630" t="inlineStr">
        <is>
          <t>Attend the 67th Air Safety Forum (ASF)</t>
        </is>
      </c>
      <c r="G630" t="inlineStr">
        <is>
          <t>Assister au 67ème Forum sur la sécurité aérienne</t>
        </is>
      </c>
      <c r="H630" s="1" t="n">
        <v>45180</v>
      </c>
      <c r="I630" s="1" t="n">
        <v>45183</v>
      </c>
      <c r="J630" t="inlineStr">
        <is>
          <t>Chicago, Illinois, USA</t>
        </is>
      </c>
      <c r="K630" t="inlineStr">
        <is>
          <t>Chicago, Illinois, États-Unis</t>
        </is>
      </c>
      <c r="P630" t="n">
        <v>1781.82</v>
      </c>
      <c r="Q630" t="n">
        <v>410.46</v>
      </c>
      <c r="R630" t="n">
        <v>1617.5</v>
      </c>
      <c r="S630" t="n">
        <v>728.3200000000001</v>
      </c>
      <c r="T630" t="n">
        <v>74.58</v>
      </c>
      <c r="U630" t="n">
        <v>4612.68</v>
      </c>
      <c r="X630" t="inlineStr">
        <is>
          <t>atssc-scdata</t>
        </is>
      </c>
      <c r="Y630" t="inlineStr">
        <is>
          <t>Administrative Tribunals Support Service of Canada | Service canadien d'appui aux tribunaux administratifs</t>
        </is>
      </c>
      <c r="Z630" t="n">
        <v>4</v>
      </c>
      <c r="AA630" t="n">
        <v>4612.67999999999</v>
      </c>
      <c r="AB630">
        <f>ROUND(U630-AA630,2)</f>
        <v/>
      </c>
      <c r="AC630" t="b">
        <v>0</v>
      </c>
      <c r="AD630">
        <f>IF(U630="","MISSING_TOTAL",IF(ABS(AB630)&lt;=0.01,"OK","CHECK"))</f>
        <v/>
      </c>
      <c r="AE630">
        <f>IF(U630="","MISSING",IF(AND(AA630&gt;0,U630/AA630&gt;50),"POSSIBLE_SCALE_ERROR","OK"))</f>
        <v/>
      </c>
    </row>
    <row r="631">
      <c r="A631" t="inlineStr">
        <is>
          <t>T-2024-P9-0001</t>
        </is>
      </c>
      <c r="B631" t="inlineStr">
        <is>
          <t>SLE</t>
        </is>
      </c>
      <c r="C631" t="inlineStr">
        <is>
          <t>Chairperson</t>
        </is>
      </c>
      <c r="D631" t="inlineStr">
        <is>
          <t>Président</t>
        </is>
      </c>
      <c r="E631" t="inlineStr">
        <is>
          <t>Gary Drouin</t>
        </is>
      </c>
      <c r="F631" t="inlineStr">
        <is>
          <t>Rail Symposium</t>
        </is>
      </c>
      <c r="G631" t="inlineStr">
        <is>
          <t>Symposium ferroviaire</t>
        </is>
      </c>
      <c r="H631" s="1" t="n">
        <v>45244</v>
      </c>
      <c r="I631" s="1" t="n">
        <v>45246</v>
      </c>
      <c r="J631" t="inlineStr">
        <is>
          <t>Montreal, QC, Canada</t>
        </is>
      </c>
      <c r="K631" t="inlineStr">
        <is>
          <t>Montréal, QC, Canada</t>
        </is>
      </c>
      <c r="Q631" t="n">
        <v>305.25</v>
      </c>
      <c r="R631" t="n">
        <v>687.84</v>
      </c>
      <c r="S631" t="n">
        <v>161.65</v>
      </c>
      <c r="U631" t="n">
        <v>1154.74</v>
      </c>
      <c r="X631" t="inlineStr">
        <is>
          <t>atssc-scdata</t>
        </is>
      </c>
      <c r="Y631" t="inlineStr">
        <is>
          <t>Administrative Tribunals Support Service of Canada | Service canadien d'appui aux tribunaux administratifs</t>
        </is>
      </c>
      <c r="Z631" t="n">
        <v>3</v>
      </c>
      <c r="AA631" t="n">
        <v>1154.74</v>
      </c>
      <c r="AB631">
        <f>ROUND(U631-AA631,2)</f>
        <v/>
      </c>
      <c r="AC631" t="b">
        <v>0</v>
      </c>
      <c r="AD631">
        <f>IF(U631="","MISSING_TOTAL",IF(ABS(AB631)&lt;=0.01,"OK","CHECK"))</f>
        <v/>
      </c>
      <c r="AE631">
        <f>IF(U631="","MISSING",IF(AND(AA631&gt;0,U631/AA631&gt;50),"POSSIBLE_SCALE_ERROR","OK"))</f>
        <v/>
      </c>
    </row>
    <row r="632">
      <c r="A632" t="inlineStr">
        <is>
          <t>T-2024-P9-0002</t>
        </is>
      </c>
      <c r="B632" t="inlineStr">
        <is>
          <t>SLE</t>
        </is>
      </c>
      <c r="C632" t="inlineStr">
        <is>
          <t>Chairperson, Federal Public Sector Labour Relations and Employment Board</t>
        </is>
      </c>
      <c r="D632" t="inlineStr">
        <is>
          <t>Présidente, Commission des relations de travail et de l'emploi dans le secteur public fédéral</t>
        </is>
      </c>
      <c r="E632" t="inlineStr">
        <is>
          <t>Bramwell, Edith</t>
        </is>
      </c>
      <c r="F632" t="inlineStr">
        <is>
          <t>Attend the Lancaster House conference in Toronto on bargaining In the broader public sector conference and labour arbitration and policy conference</t>
        </is>
      </c>
      <c r="G632" t="inlineStr">
        <is>
          <t>Assister à la conférence de Lancaster House à Toronto sur la négociation dans le secteur public élargi et la conférence sur l'arbitrage et la politique du travail</t>
        </is>
      </c>
      <c r="H632" s="1" t="n">
        <v>45263</v>
      </c>
      <c r="I632" s="1" t="n">
        <v>45266</v>
      </c>
      <c r="J632" t="inlineStr">
        <is>
          <t>Toronto, Ontario , Canada</t>
        </is>
      </c>
      <c r="K632" t="inlineStr">
        <is>
          <t>Toronto, Ontario, Canada</t>
        </is>
      </c>
      <c r="P632" t="n">
        <v>447.76</v>
      </c>
      <c r="Q632" t="n">
        <v>136.94</v>
      </c>
      <c r="R632" t="n">
        <v>916.3200000000001</v>
      </c>
      <c r="S632" t="n">
        <v>299.55</v>
      </c>
      <c r="U632" t="n">
        <v>1800.57</v>
      </c>
      <c r="X632" t="inlineStr">
        <is>
          <t>atssc-scdata</t>
        </is>
      </c>
      <c r="Y632" t="inlineStr">
        <is>
          <t>Administrative Tribunals Support Service of Canada | Service canadien d'appui aux tribunaux administratifs</t>
        </is>
      </c>
      <c r="Z632" t="n">
        <v>4</v>
      </c>
      <c r="AA632" t="n">
        <v>1800.57</v>
      </c>
      <c r="AB632">
        <f>ROUND(U632-AA632,2)</f>
        <v/>
      </c>
      <c r="AC632" t="b">
        <v>0</v>
      </c>
      <c r="AD632">
        <f>IF(U632="","MISSING_TOTAL",IF(ABS(AB632)&lt;=0.01,"OK","CHECK"))</f>
        <v/>
      </c>
      <c r="AE632">
        <f>IF(U632="","MISSING",IF(AND(AA632&gt;0,U632/AA632&gt;50),"POSSIBLE_SCALE_ERROR","OK"))</f>
        <v/>
      </c>
    </row>
    <row r="633">
      <c r="A633" t="inlineStr">
        <is>
          <t>T-2024-P12-0001</t>
        </is>
      </c>
      <c r="B633" t="inlineStr">
        <is>
          <t>SLE</t>
        </is>
      </c>
      <c r="C633" t="inlineStr">
        <is>
          <t>Chairperson</t>
        </is>
      </c>
      <c r="D633" t="inlineStr">
        <is>
          <t>Présidente</t>
        </is>
      </c>
      <c r="E633" t="inlineStr">
        <is>
          <t>Jennifer Khurana</t>
        </is>
      </c>
      <c r="F633" t="inlineStr">
        <is>
          <t>Conduct a hearing in Vancouver</t>
        </is>
      </c>
      <c r="G633" t="inlineStr">
        <is>
          <t>Tenir une audience à Vancouver</t>
        </is>
      </c>
      <c r="H633" s="1" t="n">
        <v>45377</v>
      </c>
      <c r="I633" s="1" t="n">
        <v>45380</v>
      </c>
      <c r="J633" t="inlineStr">
        <is>
          <t>Vancouver (British Columbia) Canada</t>
        </is>
      </c>
      <c r="K633" t="inlineStr">
        <is>
          <t>Vancouver (Colombie-Britannique) Canada</t>
        </is>
      </c>
      <c r="P633" t="n">
        <v>984.09</v>
      </c>
      <c r="Q633" t="n">
        <v>143.06</v>
      </c>
      <c r="R633" t="n">
        <v>684.21</v>
      </c>
      <c r="S633" t="n">
        <v>446.55</v>
      </c>
      <c r="U633" t="n">
        <v>2257.91</v>
      </c>
      <c r="X633" t="inlineStr">
        <is>
          <t>atssc-scdata</t>
        </is>
      </c>
      <c r="Y633" t="inlineStr">
        <is>
          <t>Administrative Tribunals Support Service of Canada | Service canadien d'appui aux tribunaux administratifs</t>
        </is>
      </c>
      <c r="Z633" t="n">
        <v>4</v>
      </c>
      <c r="AA633" t="n">
        <v>2257.91</v>
      </c>
      <c r="AB633">
        <f>ROUND(U633-AA633,2)</f>
        <v/>
      </c>
      <c r="AC633" t="b">
        <v>0</v>
      </c>
      <c r="AD633">
        <f>IF(U633="","MISSING_TOTAL",IF(ABS(AB633)&lt;=0.01,"OK","CHECK"))</f>
        <v/>
      </c>
      <c r="AE633">
        <f>IF(U633="","MISSING",IF(AND(AA633&gt;0,U633/AA633&gt;50),"POSSIBLE_SCALE_ERROR","OK"))</f>
        <v/>
      </c>
    </row>
    <row r="634">
      <c r="A634" t="inlineStr">
        <is>
          <t>T-2024-P12-0002</t>
        </is>
      </c>
      <c r="B634" t="inlineStr">
        <is>
          <t>SLE</t>
        </is>
      </c>
      <c r="C634" t="inlineStr">
        <is>
          <t>Chairperson</t>
        </is>
      </c>
      <c r="D634" t="inlineStr">
        <is>
          <t>Présidente</t>
        </is>
      </c>
      <c r="E634" t="inlineStr">
        <is>
          <t>Jennifer Khurana</t>
        </is>
      </c>
      <c r="F634" t="inlineStr">
        <is>
          <t>Laskin Moot court competition judge in Calgary</t>
        </is>
      </c>
      <c r="G634" t="inlineStr">
        <is>
          <t>Juge de concours de plaidoirie Laskin à Calgary</t>
        </is>
      </c>
      <c r="H634" s="1" t="n">
        <v>45350</v>
      </c>
      <c r="I634" s="1" t="n">
        <v>45353</v>
      </c>
      <c r="J634" t="inlineStr">
        <is>
          <t>Calgary (Alberta) Canada</t>
        </is>
      </c>
      <c r="K634" t="inlineStr">
        <is>
          <t>Calgary (Alberta) Canada</t>
        </is>
      </c>
      <c r="P634" t="n">
        <v>564.92</v>
      </c>
      <c r="Q634" t="n">
        <v>58.09</v>
      </c>
      <c r="R634" t="n">
        <v>875.6799999999999</v>
      </c>
      <c r="S634" t="n">
        <v>463.85</v>
      </c>
      <c r="U634" t="n">
        <v>1962.54</v>
      </c>
      <c r="X634" t="inlineStr">
        <is>
          <t>atssc-scdata</t>
        </is>
      </c>
      <c r="Y634" t="inlineStr">
        <is>
          <t>Administrative Tribunals Support Service of Canada | Service canadien d'appui aux tribunaux administratifs</t>
        </is>
      </c>
      <c r="Z634" t="n">
        <v>4</v>
      </c>
      <c r="AA634" t="n">
        <v>1962.54</v>
      </c>
      <c r="AB634">
        <f>ROUND(U634-AA634,2)</f>
        <v/>
      </c>
      <c r="AC634" t="b">
        <v>0</v>
      </c>
      <c r="AD634">
        <f>IF(U634="","MISSING_TOTAL",IF(ABS(AB634)&lt;=0.01,"OK","CHECK"))</f>
        <v/>
      </c>
      <c r="AE634">
        <f>IF(U634="","MISSING",IF(AND(AA634&gt;0,U634/AA634&gt;50),"POSSIBLE_SCALE_ERROR","OK"))</f>
        <v/>
      </c>
    </row>
    <row r="635">
      <c r="A635" t="inlineStr">
        <is>
          <t>T-2025-P1-0001</t>
        </is>
      </c>
      <c r="B635" t="inlineStr">
        <is>
          <t>SLE</t>
        </is>
      </c>
      <c r="C635" t="inlineStr">
        <is>
          <t>Chairperson, Canada Industrial Relations Board</t>
        </is>
      </c>
      <c r="D635" t="inlineStr">
        <is>
          <t>Présidente, Conseil canadien des relations industrielles</t>
        </is>
      </c>
      <c r="E635" t="inlineStr">
        <is>
          <t>Brazeau, Ginette</t>
        </is>
      </c>
      <c r="F635" t="inlineStr">
        <is>
          <t>Mediation in Toronto</t>
        </is>
      </c>
      <c r="G635" t="inlineStr">
        <is>
          <t>Médiation à Toronto</t>
        </is>
      </c>
      <c r="H635" s="1" t="n">
        <v>45401</v>
      </c>
      <c r="I635" s="1" t="n">
        <v>45401</v>
      </c>
      <c r="J635" t="inlineStr">
        <is>
          <t>Toronto, Ontario, Canada</t>
        </is>
      </c>
      <c r="K635" t="inlineStr">
        <is>
          <t>Toronto, Ontario, Canada</t>
        </is>
      </c>
      <c r="P635" t="n">
        <v>543.8099999999999</v>
      </c>
      <c r="Q635" t="n">
        <v>0</v>
      </c>
      <c r="R635" t="n">
        <v>0</v>
      </c>
      <c r="S635" t="n">
        <v>111.95</v>
      </c>
      <c r="T635" t="n">
        <v>100.1</v>
      </c>
      <c r="U635" t="n">
        <v>755.86</v>
      </c>
      <c r="X635" t="inlineStr">
        <is>
          <t>atssc-scdata</t>
        </is>
      </c>
      <c r="Y635" t="inlineStr">
        <is>
          <t>Administrative Tribunals Support Service of Canada | Service canadien d'appui aux tribunaux administratifs</t>
        </is>
      </c>
      <c r="Z635" t="n">
        <v>1</v>
      </c>
      <c r="AA635" t="n">
        <v>755.86</v>
      </c>
      <c r="AB635">
        <f>ROUND(U635-AA635,2)</f>
        <v/>
      </c>
      <c r="AC635" t="b">
        <v>0</v>
      </c>
      <c r="AD635">
        <f>IF(U635="","MISSING_TOTAL",IF(ABS(AB635)&lt;=0.01,"OK","CHECK"))</f>
        <v/>
      </c>
      <c r="AE635">
        <f>IF(U635="","MISSING",IF(AND(AA635&gt;0,U635/AA635&gt;50),"POSSIBLE_SCALE_ERROR","OK"))</f>
        <v/>
      </c>
    </row>
    <row r="636">
      <c r="A636" t="inlineStr">
        <is>
          <t>T-2025-P2-001</t>
        </is>
      </c>
      <c r="B636" t="inlineStr">
        <is>
          <t>SLE</t>
        </is>
      </c>
      <c r="C636" t="inlineStr">
        <is>
          <t>Chairperson, Canadian Human Rights Tribunal</t>
        </is>
      </c>
      <c r="D636" t="inlineStr">
        <is>
          <t>Présidente, Tribunal Canadien des droits de la personne</t>
        </is>
      </c>
      <c r="E636" t="inlineStr">
        <is>
          <t>Khurana, Jennifer</t>
        </is>
      </c>
      <c r="F636" t="inlineStr">
        <is>
          <t>Conduct a hearing at Warkworth</t>
        </is>
      </c>
      <c r="G636" t="inlineStr">
        <is>
          <t>Tenir une audience à l'institution Warkworth</t>
        </is>
      </c>
      <c r="H636" s="1" t="n">
        <v>45405</v>
      </c>
      <c r="I636" s="1" t="n">
        <v>45408</v>
      </c>
      <c r="J636" t="inlineStr">
        <is>
          <t>Warkworth, Ontario, Canada</t>
        </is>
      </c>
      <c r="K636" t="inlineStr">
        <is>
          <t>Warkworth, Ontario, Canada</t>
        </is>
      </c>
      <c r="Q636" t="n">
        <v>279.25</v>
      </c>
      <c r="R636" t="n">
        <v>794.4400000000001</v>
      </c>
      <c r="S636" t="n">
        <v>596.15</v>
      </c>
      <c r="U636" t="n">
        <v>1669.84</v>
      </c>
      <c r="X636" t="inlineStr">
        <is>
          <t>atssc-scdata</t>
        </is>
      </c>
      <c r="Y636" t="inlineStr">
        <is>
          <t>Administrative Tribunals Support Service of Canada | Service canadien d'appui aux tribunaux administratifs</t>
        </is>
      </c>
      <c r="Z636" t="n">
        <v>4</v>
      </c>
      <c r="AA636" t="n">
        <v>1669.84</v>
      </c>
      <c r="AB636">
        <f>ROUND(U636-AA636,2)</f>
        <v/>
      </c>
      <c r="AC636" t="b">
        <v>0</v>
      </c>
      <c r="AD636">
        <f>IF(U636="","MISSING_TOTAL",IF(ABS(AB636)&lt;=0.01,"OK","CHECK"))</f>
        <v/>
      </c>
      <c r="AE636">
        <f>IF(U636="","MISSING",IF(AND(AA636&gt;0,U636/AA636&gt;50),"POSSIBLE_SCALE_ERROR","OK"))</f>
        <v/>
      </c>
    </row>
    <row r="637">
      <c r="A637" t="inlineStr">
        <is>
          <t>T-2025-P3-0001</t>
        </is>
      </c>
      <c r="B637" t="inlineStr">
        <is>
          <t>SLE</t>
        </is>
      </c>
      <c r="C637" t="inlineStr">
        <is>
          <t>Chairperson, Canada Industrial Relations Board</t>
        </is>
      </c>
      <c r="D637" t="inlineStr">
        <is>
          <t>Présidente, Conseil canadien des relations industrielles</t>
        </is>
      </c>
      <c r="E637" t="inlineStr">
        <is>
          <t>Brazeau, Ginette</t>
        </is>
      </c>
      <c r="F637" t="inlineStr">
        <is>
          <t>Attend an in-person mediation in Vancouver</t>
        </is>
      </c>
      <c r="G637" t="inlineStr">
        <is>
          <t>Assister à une médiation en personne à Vancouver</t>
        </is>
      </c>
      <c r="H637" s="1" t="n">
        <v>45434</v>
      </c>
      <c r="I637" s="1" t="n">
        <v>45437</v>
      </c>
      <c r="J637" t="inlineStr">
        <is>
          <t>Vancouver, British-Columbia, Canada</t>
        </is>
      </c>
      <c r="K637" t="inlineStr">
        <is>
          <t>Vancouver, Colombie-Britannique, Canada</t>
        </is>
      </c>
      <c r="P637" t="n">
        <v>855.13</v>
      </c>
      <c r="Q637" t="n">
        <v>180.58</v>
      </c>
      <c r="R637" t="n">
        <v>1426.38</v>
      </c>
      <c r="S637" t="n">
        <v>293.1</v>
      </c>
      <c r="U637" t="n">
        <v>2755.19</v>
      </c>
      <c r="X637" t="inlineStr">
        <is>
          <t>atssc-scdata</t>
        </is>
      </c>
      <c r="Y637" t="inlineStr">
        <is>
          <t>Administrative Tribunals Support Service of Canada | Service canadien d'appui aux tribunaux administratifs</t>
        </is>
      </c>
      <c r="Z637" t="n">
        <v>4</v>
      </c>
      <c r="AA637" t="n">
        <v>2755.19</v>
      </c>
      <c r="AB637">
        <f>ROUND(U637-AA637,2)</f>
        <v/>
      </c>
      <c r="AC637" t="b">
        <v>0</v>
      </c>
      <c r="AD637">
        <f>IF(U637="","MISSING_TOTAL",IF(ABS(AB637)&lt;=0.01,"OK","CHECK"))</f>
        <v/>
      </c>
      <c r="AE637">
        <f>IF(U637="","MISSING",IF(AND(AA637&gt;0,U637/AA637&gt;50),"POSSIBLE_SCALE_ERROR","OK"))</f>
        <v/>
      </c>
    </row>
    <row r="638">
      <c r="A638" t="inlineStr">
        <is>
          <t>T-2025-P5-0001</t>
        </is>
      </c>
      <c r="B638" t="inlineStr">
        <is>
          <t>SLE</t>
        </is>
      </c>
      <c r="C638" t="inlineStr">
        <is>
          <t>Chairperson, Canada Industrial Relations Board</t>
        </is>
      </c>
      <c r="D638" t="inlineStr">
        <is>
          <t>Présidente, Conseil canadien des relations industrielles</t>
        </is>
      </c>
      <c r="E638" t="inlineStr">
        <is>
          <t>Brazeau, Ginette</t>
        </is>
      </c>
      <c r="F638" t="inlineStr">
        <is>
          <t>Attend an in-person mediation in Vancouver</t>
        </is>
      </c>
      <c r="G638" t="inlineStr">
        <is>
          <t>Assister à une médiation en personne à Vancouver</t>
        </is>
      </c>
      <c r="H638" s="1" t="n">
        <v>45513</v>
      </c>
      <c r="I638" s="1" t="n">
        <v>45516</v>
      </c>
      <c r="J638" t="inlineStr">
        <is>
          <t>Vancouver, British Columbia, Canada</t>
        </is>
      </c>
      <c r="K638" t="inlineStr">
        <is>
          <t>Vancouver, Colombie-Britannique, Canada</t>
        </is>
      </c>
      <c r="P638" t="n">
        <v>1198.22</v>
      </c>
      <c r="Q638" t="n">
        <v>223.73</v>
      </c>
      <c r="R638" t="n">
        <v>1755</v>
      </c>
      <c r="S638" t="n">
        <v>455.15</v>
      </c>
      <c r="U638" t="n">
        <v>3632.1</v>
      </c>
      <c r="X638" t="inlineStr">
        <is>
          <t>atssc-scdata</t>
        </is>
      </c>
      <c r="Y638" t="inlineStr">
        <is>
          <t>Administrative Tribunals Support Service of Canada | Service canadien d'appui aux tribunaux administratifs</t>
        </is>
      </c>
      <c r="Z638" t="n">
        <v>4</v>
      </c>
      <c r="AA638" t="n">
        <v>3632.1</v>
      </c>
      <c r="AB638">
        <f>ROUND(U638-AA638,2)</f>
        <v/>
      </c>
      <c r="AC638" t="b">
        <v>0</v>
      </c>
      <c r="AD638">
        <f>IF(U638="","MISSING_TOTAL",IF(ABS(AB638)&lt;=0.01,"OK","CHECK"))</f>
        <v/>
      </c>
      <c r="AE638">
        <f>IF(U638="","MISSING",IF(AND(AA638&gt;0,U638/AA638&gt;50),"POSSIBLE_SCALE_ERROR","OK"))</f>
        <v/>
      </c>
    </row>
    <row r="639">
      <c r="A639" t="inlineStr">
        <is>
          <t>T-2025-P6-0001</t>
        </is>
      </c>
      <c r="B639" t="inlineStr">
        <is>
          <t>SLE</t>
        </is>
      </c>
      <c r="C639" t="inlineStr">
        <is>
          <t>Chairperson, Canada Industrial Relations Board</t>
        </is>
      </c>
      <c r="D639" t="inlineStr">
        <is>
          <t>Présidente, Conseil canadien des relations industrielles</t>
        </is>
      </c>
      <c r="E639" t="inlineStr">
        <is>
          <t>Brazeau, Ginette</t>
        </is>
      </c>
      <c r="F639" t="inlineStr">
        <is>
          <t>Attend the 2024 Annual Labour Board Chairs' Meeting in Winnipeg</t>
        </is>
      </c>
      <c r="G639" t="inlineStr">
        <is>
          <t>Assister à la réunion annuelle des présidents des conseils du travail de 2024 à Winnipeg</t>
        </is>
      </c>
      <c r="H639" s="1" t="n">
        <v>45553</v>
      </c>
      <c r="I639" s="1" t="n">
        <v>45555</v>
      </c>
      <c r="J639" t="inlineStr">
        <is>
          <t>Winnipeg, Manitoba, Canada</t>
        </is>
      </c>
      <c r="K639" t="inlineStr">
        <is>
          <t>Winnipeg, Manitoba, Canada</t>
        </is>
      </c>
      <c r="P639" t="n">
        <v>698.49</v>
      </c>
      <c r="Q639" t="n">
        <v>181.91</v>
      </c>
      <c r="R639" t="n">
        <v>642.42</v>
      </c>
      <c r="S639" t="n">
        <v>155.95</v>
      </c>
      <c r="U639" t="n">
        <v>1678.77</v>
      </c>
      <c r="X639" t="inlineStr">
        <is>
          <t>atssc-scdata</t>
        </is>
      </c>
      <c r="Y639" t="inlineStr">
        <is>
          <t>Administrative Tribunals Support Service of Canada | Service canadien d'appui aux tribunaux administratifs</t>
        </is>
      </c>
      <c r="Z639" t="n">
        <v>3</v>
      </c>
      <c r="AA639" t="n">
        <v>1678.77</v>
      </c>
      <c r="AB639">
        <f>ROUND(U639-AA639,2)</f>
        <v/>
      </c>
      <c r="AC639" t="b">
        <v>0</v>
      </c>
      <c r="AD639">
        <f>IF(U639="","MISSING_TOTAL",IF(ABS(AB639)&lt;=0.01,"OK","CHECK"))</f>
        <v/>
      </c>
      <c r="AE639">
        <f>IF(U639="","MISSING",IF(AND(AA639&gt;0,U639/AA639&gt;50),"POSSIBLE_SCALE_ERROR","OK"))</f>
        <v/>
      </c>
    </row>
    <row r="640">
      <c r="A640" t="inlineStr">
        <is>
          <t>T-2025-P7-0001</t>
        </is>
      </c>
      <c r="B640" t="inlineStr">
        <is>
          <t>SLE</t>
        </is>
      </c>
      <c r="C640" t="inlineStr">
        <is>
          <t>Chairperson, Federal Public Sector Labour Relations and Employment Board</t>
        </is>
      </c>
      <c r="D640" t="inlineStr">
        <is>
          <t>Présidente, Commission des relations de travail et de l'emploi dans le secteur public fédéral</t>
        </is>
      </c>
      <c r="E640" t="inlineStr">
        <is>
          <t>Bramwell, Edith</t>
        </is>
      </c>
      <c r="F640" t="inlineStr">
        <is>
          <t>Attend the ARLA Conference for Tribunal Agencies in North America</t>
        </is>
      </c>
      <c r="G640" t="inlineStr">
        <is>
          <t>Assister à la conférence de l'ARLA pour les agences de tribunal en Amérique du Nord</t>
        </is>
      </c>
      <c r="H640" s="1" t="n">
        <v>45499</v>
      </c>
      <c r="I640" s="1" t="n">
        <v>45504</v>
      </c>
      <c r="J640" t="inlineStr">
        <is>
          <t>Detroit, Michigan, United States</t>
        </is>
      </c>
      <c r="K640" t="inlineStr">
        <is>
          <t>Détroit, Michigan, États-Unis</t>
        </is>
      </c>
      <c r="P640" t="n">
        <v>1299.63</v>
      </c>
      <c r="Q640" t="n">
        <v>313.03</v>
      </c>
      <c r="R640" t="n">
        <v>1469.56</v>
      </c>
      <c r="S640" t="n">
        <v>591.61</v>
      </c>
      <c r="U640" t="n">
        <v>3673.83</v>
      </c>
      <c r="X640" t="inlineStr">
        <is>
          <t>atssc-scdata</t>
        </is>
      </c>
      <c r="Y640" t="inlineStr">
        <is>
          <t>Administrative Tribunals Support Service of Canada | Service canadien d'appui aux tribunaux administratifs</t>
        </is>
      </c>
      <c r="Z640" t="n">
        <v>6</v>
      </c>
      <c r="AA640" t="n">
        <v>3673.83</v>
      </c>
      <c r="AB640">
        <f>ROUND(U640-AA640,2)</f>
        <v/>
      </c>
      <c r="AC640" t="b">
        <v>0</v>
      </c>
      <c r="AD640">
        <f>IF(U640="","MISSING_TOTAL",IF(ABS(AB640)&lt;=0.01,"OK","CHECK"))</f>
        <v/>
      </c>
      <c r="AE640">
        <f>IF(U640="","MISSING",IF(AND(AA640&gt;0,U640/AA640&gt;50),"POSSIBLE_SCALE_ERROR","OK"))</f>
        <v/>
      </c>
    </row>
    <row r="641">
      <c r="A641" t="inlineStr">
        <is>
          <t>T-2025-P7-0002</t>
        </is>
      </c>
      <c r="B641" t="inlineStr">
        <is>
          <t>SLE</t>
        </is>
      </c>
      <c r="C641" t="inlineStr">
        <is>
          <t>Chairperson, Federal Public Sector Labour Relations and Employment Board</t>
        </is>
      </c>
      <c r="D641" t="inlineStr">
        <is>
          <t>Présidente, Commission des relations de travail et de l'emploi dans le secteur public fédéral</t>
        </is>
      </c>
      <c r="E641" t="inlineStr">
        <is>
          <t>Bramwell, Edith</t>
        </is>
      </c>
      <c r="F641" t="inlineStr">
        <is>
          <t>Attend the Annual Labour Board Chairs' Meeting in Winnipeg</t>
        </is>
      </c>
      <c r="G641" t="inlineStr">
        <is>
          <t>Assister à la réunion annuelle des présidents des conseils du travail à Winnipeg</t>
        </is>
      </c>
      <c r="H641" s="1" t="n">
        <v>45552</v>
      </c>
      <c r="I641" s="1" t="n">
        <v>45556</v>
      </c>
      <c r="J641" t="inlineStr">
        <is>
          <t>Winnipeg, Manitoba, Canada</t>
        </is>
      </c>
      <c r="K641" t="inlineStr">
        <is>
          <t>Winnipeg, Manitoba, Canada</t>
        </is>
      </c>
      <c r="P641" t="n">
        <v>512.37</v>
      </c>
      <c r="Q641" t="n">
        <v>93.84999999999999</v>
      </c>
      <c r="R641" t="n">
        <v>808.04</v>
      </c>
      <c r="S641" t="n">
        <v>372.25</v>
      </c>
      <c r="U641" t="n">
        <v>1786.51</v>
      </c>
      <c r="X641" t="inlineStr">
        <is>
          <t>atssc-scdata</t>
        </is>
      </c>
      <c r="Y641" t="inlineStr">
        <is>
          <t>Administrative Tribunals Support Service of Canada | Service canadien d'appui aux tribunaux administratifs</t>
        </is>
      </c>
      <c r="Z641" t="n">
        <v>5</v>
      </c>
      <c r="AA641" t="n">
        <v>1786.51</v>
      </c>
      <c r="AB641">
        <f>ROUND(U641-AA641,2)</f>
        <v/>
      </c>
      <c r="AC641" t="b">
        <v>0</v>
      </c>
      <c r="AD641">
        <f>IF(U641="","MISSING_TOTAL",IF(ABS(AB641)&lt;=0.01,"OK","CHECK"))</f>
        <v/>
      </c>
      <c r="AE641">
        <f>IF(U641="","MISSING",IF(AND(AA641&gt;0,U641/AA641&gt;50),"POSSIBLE_SCALE_ERROR","OK"))</f>
        <v/>
      </c>
    </row>
    <row r="642">
      <c r="A642" t="inlineStr">
        <is>
          <t>T-2025-P8-0001</t>
        </is>
      </c>
      <c r="B642" t="inlineStr">
        <is>
          <t>SLE</t>
        </is>
      </c>
      <c r="C642" t="inlineStr">
        <is>
          <t>Chairperson, Canadian Cultural Property Export Review Board</t>
        </is>
      </c>
      <c r="D642" t="inlineStr">
        <is>
          <t>Présidente, Commission canadienne d'examen des exportations de biens culturels</t>
        </is>
      </c>
      <c r="E642" t="inlineStr">
        <is>
          <t>Stober, Joanne</t>
        </is>
      </c>
      <c r="F642" t="inlineStr">
        <is>
          <t>Attend Art Toronto 2024 at the Toronto Metro Convention Center</t>
        </is>
      </c>
      <c r="G642" t="inlineStr">
        <is>
          <t>Assister à Art Toronto 2024 au Palais des congrès du Toronto métropolitain</t>
        </is>
      </c>
      <c r="H642" s="1" t="n">
        <v>45589</v>
      </c>
      <c r="I642" s="1" t="n">
        <v>45592</v>
      </c>
      <c r="J642" t="inlineStr">
        <is>
          <t>Toronto, Ontario, Canada</t>
        </is>
      </c>
      <c r="K642" t="inlineStr">
        <is>
          <t>Toronto, Ontario, Canada</t>
        </is>
      </c>
      <c r="P642" t="n">
        <v>532.0700000000001</v>
      </c>
      <c r="Q642" t="n">
        <v>134.37</v>
      </c>
      <c r="R642" t="n">
        <v>768.98</v>
      </c>
      <c r="S642" t="n">
        <v>387.75</v>
      </c>
      <c r="U642" t="n">
        <v>1823.17</v>
      </c>
      <c r="X642" t="inlineStr">
        <is>
          <t>atssc-scdata</t>
        </is>
      </c>
      <c r="Y642" t="inlineStr">
        <is>
          <t>Administrative Tribunals Support Service of Canada | Service canadien d'appui aux tribunaux administratifs</t>
        </is>
      </c>
      <c r="Z642" t="n">
        <v>4</v>
      </c>
      <c r="AA642" t="n">
        <v>1823.17</v>
      </c>
      <c r="AB642">
        <f>ROUND(U642-AA642,2)</f>
        <v/>
      </c>
      <c r="AC642" t="b">
        <v>0</v>
      </c>
      <c r="AD642">
        <f>IF(U642="","MISSING_TOTAL",IF(ABS(AB642)&lt;=0.01,"OK","CHECK"))</f>
        <v/>
      </c>
      <c r="AE642">
        <f>IF(U642="","MISSING",IF(AND(AA642&gt;0,U642/AA642&gt;50),"POSSIBLE_SCALE_ERROR","OK"))</f>
        <v/>
      </c>
    </row>
    <row r="643">
      <c r="A643" t="inlineStr">
        <is>
          <t>T-2025-P9-0001</t>
        </is>
      </c>
      <c r="B643" t="inlineStr">
        <is>
          <t>SLE</t>
        </is>
      </c>
      <c r="C643" t="inlineStr">
        <is>
          <t>Chairperson, Transportation Appeal Tribunal of Canada</t>
        </is>
      </c>
      <c r="D643" t="inlineStr">
        <is>
          <t>Président, Tribunal d'appel des transports du Canada</t>
        </is>
      </c>
      <c r="E643" t="inlineStr">
        <is>
          <t>Drouin, Gary</t>
        </is>
      </c>
      <c r="F643" t="inlineStr">
        <is>
          <t>Attend the Canadian Aviation Conference &amp; Tradeshow 2024</t>
        </is>
      </c>
      <c r="G643" t="inlineStr">
        <is>
          <t>Assister à la conférence et au salon commercial de l'aviation canadienne 2024</t>
        </is>
      </c>
      <c r="H643" s="1" t="n">
        <v>45599</v>
      </c>
      <c r="I643" s="1" t="n">
        <v>45604</v>
      </c>
      <c r="J643" t="inlineStr">
        <is>
          <t>Vancouver, British Columbia, Canada</t>
        </is>
      </c>
      <c r="K643" t="inlineStr">
        <is>
          <t>Vancouver, Colombie-Britannique, Canada</t>
        </is>
      </c>
      <c r="P643" t="n">
        <v>802.47</v>
      </c>
      <c r="Q643" t="n">
        <v>266.7</v>
      </c>
      <c r="R643" t="n">
        <v>1297.35</v>
      </c>
      <c r="S643" t="n">
        <v>608.8</v>
      </c>
      <c r="T643" t="n">
        <v>0</v>
      </c>
      <c r="U643" t="n">
        <v>2975.32</v>
      </c>
      <c r="X643" t="inlineStr">
        <is>
          <t>atssc-scdata</t>
        </is>
      </c>
      <c r="Y643" t="inlineStr">
        <is>
          <t>Administrative Tribunals Support Service of Canada | Service canadien d'appui aux tribunaux administratifs</t>
        </is>
      </c>
      <c r="Z643" t="n">
        <v>6</v>
      </c>
      <c r="AA643" t="n">
        <v>2975.31999999999</v>
      </c>
      <c r="AB643">
        <f>ROUND(U643-AA643,2)</f>
        <v/>
      </c>
      <c r="AC643" t="b">
        <v>0</v>
      </c>
      <c r="AD643">
        <f>IF(U643="","MISSING_TOTAL",IF(ABS(AB643)&lt;=0.01,"OK","CHECK"))</f>
        <v/>
      </c>
      <c r="AE643">
        <f>IF(U643="","MISSING",IF(AND(AA643&gt;0,U643/AA643&gt;50),"POSSIBLE_SCALE_ERROR","OK"))</f>
        <v/>
      </c>
    </row>
    <row r="644">
      <c r="A644" t="inlineStr">
        <is>
          <t>T-2025-P9-0002</t>
        </is>
      </c>
      <c r="B644" t="inlineStr">
        <is>
          <t>SLE</t>
        </is>
      </c>
      <c r="C644" t="inlineStr">
        <is>
          <t>Chairperson, Transportation Appeal Tribunal of Canada</t>
        </is>
      </c>
      <c r="D644" t="inlineStr">
        <is>
          <t>Président, Tribunal d'appel des transports du Canada</t>
        </is>
      </c>
      <c r="E644" t="inlineStr">
        <is>
          <t>Drouin, Gary</t>
        </is>
      </c>
      <c r="F644" t="inlineStr">
        <is>
          <t>Attend the Railway Trends Conference</t>
        </is>
      </c>
      <c r="G644" t="inlineStr">
        <is>
          <t>Assister à la conférence sur les tendances ferroviaires</t>
        </is>
      </c>
      <c r="H644" s="1" t="n">
        <v>45609</v>
      </c>
      <c r="I644" s="1" t="n">
        <v>45612</v>
      </c>
      <c r="J644" t="inlineStr">
        <is>
          <t>New York, New York, United States</t>
        </is>
      </c>
      <c r="K644" t="inlineStr">
        <is>
          <t>New York, New York, États-Unis</t>
        </is>
      </c>
      <c r="P644" t="n">
        <v>0</v>
      </c>
      <c r="Q644" t="n">
        <v>896.4400000000001</v>
      </c>
      <c r="R644" t="n">
        <v>1666.75</v>
      </c>
      <c r="S644" t="n">
        <v>598.67</v>
      </c>
      <c r="T644" t="n">
        <v>0</v>
      </c>
      <c r="U644" t="n">
        <v>3161.86</v>
      </c>
      <c r="X644" t="inlineStr">
        <is>
          <t>atssc-scdata</t>
        </is>
      </c>
      <c r="Y644" t="inlineStr">
        <is>
          <t>Administrative Tribunals Support Service of Canada | Service canadien d'appui aux tribunaux administratifs</t>
        </is>
      </c>
      <c r="Z644" t="n">
        <v>4</v>
      </c>
      <c r="AA644" t="n">
        <v>3161.86</v>
      </c>
      <c r="AB644">
        <f>ROUND(U644-AA644,2)</f>
        <v/>
      </c>
      <c r="AC644" t="b">
        <v>0</v>
      </c>
      <c r="AD644">
        <f>IF(U644="","MISSING_TOTAL",IF(ABS(AB644)&lt;=0.01,"OK","CHECK"))</f>
        <v/>
      </c>
      <c r="AE644">
        <f>IF(U644="","MISSING",IF(AND(AA644&gt;0,U644/AA644&gt;50),"POSSIBLE_SCALE_ERROR","OK"))</f>
        <v/>
      </c>
    </row>
    <row r="645">
      <c r="A645" t="inlineStr">
        <is>
          <t>T-2025-P9-0003</t>
        </is>
      </c>
      <c r="B645" t="inlineStr">
        <is>
          <t>SLE</t>
        </is>
      </c>
      <c r="C645" t="inlineStr">
        <is>
          <t>Chairperson, Canada Industrial Relations Board</t>
        </is>
      </c>
      <c r="D645" t="inlineStr">
        <is>
          <t>Présidente, Conseil canadien des relations industrielles</t>
        </is>
      </c>
      <c r="E645" t="inlineStr">
        <is>
          <t>Brazeau, Ginette</t>
        </is>
      </c>
      <c r="F645" t="inlineStr">
        <is>
          <t>Speak and present an award at Bora Laskin Award ceremony</t>
        </is>
      </c>
      <c r="G645" t="inlineStr">
        <is>
          <t>Participer et présenter un prix à lacérémonie du prix Bora Laskin</t>
        </is>
      </c>
      <c r="H645" s="1" t="n">
        <v>45629</v>
      </c>
      <c r="I645" s="1" t="n">
        <v>45630</v>
      </c>
      <c r="J645" t="inlineStr">
        <is>
          <t>Toronto, Ontario, Canada</t>
        </is>
      </c>
      <c r="K645" t="inlineStr">
        <is>
          <t>Toronto, Ontario, Canada</t>
        </is>
      </c>
      <c r="P645" t="n">
        <v>561.52</v>
      </c>
      <c r="Q645" t="n">
        <v>173.45</v>
      </c>
      <c r="R645" t="n">
        <v>311.43</v>
      </c>
      <c r="S645" t="n">
        <v>116.55</v>
      </c>
      <c r="T645" t="n">
        <v>0</v>
      </c>
      <c r="U645" t="n">
        <v>1162.95</v>
      </c>
      <c r="X645" t="inlineStr">
        <is>
          <t>atssc-scdata</t>
        </is>
      </c>
      <c r="Y645" t="inlineStr">
        <is>
          <t>Administrative Tribunals Support Service of Canada | Service canadien d'appui aux tribunaux administratifs</t>
        </is>
      </c>
      <c r="Z645" t="n">
        <v>2</v>
      </c>
      <c r="AA645" t="n">
        <v>1162.95</v>
      </c>
      <c r="AB645">
        <f>ROUND(U645-AA645,2)</f>
        <v/>
      </c>
      <c r="AC645" t="b">
        <v>0</v>
      </c>
      <c r="AD645">
        <f>IF(U645="","MISSING_TOTAL",IF(ABS(AB645)&lt;=0.01,"OK","CHECK"))</f>
        <v/>
      </c>
      <c r="AE645">
        <f>IF(U645="","MISSING",IF(AND(AA645&gt;0,U645/AA645&gt;50),"POSSIBLE_SCALE_ERROR","OK"))</f>
        <v/>
      </c>
    </row>
    <row r="646">
      <c r="A646" t="inlineStr">
        <is>
          <t>T-2025-P10-0001</t>
        </is>
      </c>
      <c r="B646" t="inlineStr">
        <is>
          <t>SLE</t>
        </is>
      </c>
      <c r="C646" t="inlineStr">
        <is>
          <t>Chairperson, Social Security Tribunal of Canada</t>
        </is>
      </c>
      <c r="D646" t="inlineStr">
        <is>
          <t>Présidente, Tribunal de la sécurité sociale du Canada</t>
        </is>
      </c>
      <c r="E646" t="inlineStr">
        <is>
          <t>Netten, Shirley</t>
        </is>
      </c>
      <c r="F646" t="inlineStr">
        <is>
          <t>Attend the Society of Ontario Adjudicators and Regulators (SOAR) Annual Conference 2024</t>
        </is>
      </c>
      <c r="G646" t="inlineStr">
        <is>
          <t>Assistez à la conférence annuelle 2024 de la société des arbitres et régulateurs de l’Ontario (SOAR)</t>
        </is>
      </c>
      <c r="H646" s="1" t="n">
        <v>45609</v>
      </c>
      <c r="I646" s="1" t="n">
        <v>45611</v>
      </c>
      <c r="J646" t="inlineStr">
        <is>
          <t>Toronto, Ontario, Canada</t>
        </is>
      </c>
      <c r="K646" t="inlineStr">
        <is>
          <t>Toronto, Ontario, Canada</t>
        </is>
      </c>
      <c r="P646" t="n">
        <v>0</v>
      </c>
      <c r="Q646" t="n">
        <v>534.8200000000001</v>
      </c>
      <c r="R646" t="n">
        <v>100</v>
      </c>
      <c r="S646" t="n">
        <v>220.55</v>
      </c>
      <c r="T646" t="n">
        <v>0</v>
      </c>
      <c r="U646" t="n">
        <v>855.37</v>
      </c>
      <c r="X646" t="inlineStr">
        <is>
          <t>atssc-scdata</t>
        </is>
      </c>
      <c r="Y646" t="inlineStr">
        <is>
          <t>Administrative Tribunals Support Service of Canada | Service canadien d'appui aux tribunaux administratifs</t>
        </is>
      </c>
      <c r="Z646" t="n">
        <v>3</v>
      </c>
      <c r="AA646" t="n">
        <v>855.37</v>
      </c>
      <c r="AB646">
        <f>ROUND(U646-AA646,2)</f>
        <v/>
      </c>
      <c r="AC646" t="b">
        <v>0</v>
      </c>
      <c r="AD646">
        <f>IF(U646="","MISSING_TOTAL",IF(ABS(AB646)&lt;=0.01,"OK","CHECK"))</f>
        <v/>
      </c>
      <c r="AE646">
        <f>IF(U646="","MISSING",IF(AND(AA646&gt;0,U646/AA646&gt;50),"POSSIBLE_SCALE_ERROR","OK"))</f>
        <v/>
      </c>
    </row>
    <row r="647">
      <c r="A647" t="inlineStr">
        <is>
          <t>T-2025-P12-0001</t>
        </is>
      </c>
      <c r="B647" t="inlineStr">
        <is>
          <t>SLE</t>
        </is>
      </c>
      <c r="C647" t="inlineStr">
        <is>
          <t>Chairperson, Canada Industrial Relations Board</t>
        </is>
      </c>
      <c r="D647" t="inlineStr">
        <is>
          <t>Présidente, Conseil canadien des relations industrielles</t>
        </is>
      </c>
      <c r="E647" t="inlineStr">
        <is>
          <t>Brazeau, Ginette</t>
        </is>
      </c>
      <c r="F647" t="inlineStr">
        <is>
          <t>Attend an in-person training</t>
        </is>
      </c>
      <c r="G647" t="inlineStr">
        <is>
          <t>Assister à une formation</t>
        </is>
      </c>
      <c r="H647" s="1" t="n">
        <v>45734</v>
      </c>
      <c r="I647" s="1" t="n">
        <v>45736</v>
      </c>
      <c r="J647" t="inlineStr">
        <is>
          <t>Montreal, Quebec, Canada</t>
        </is>
      </c>
      <c r="K647" t="inlineStr">
        <is>
          <t>Montréal, Québec, Canada</t>
        </is>
      </c>
      <c r="Q647" t="n">
        <v>270.98</v>
      </c>
      <c r="R647" t="n">
        <v>545.02</v>
      </c>
      <c r="S647" t="n">
        <v>218.65</v>
      </c>
      <c r="U647" t="n">
        <v>1034.65</v>
      </c>
      <c r="X647" t="inlineStr">
        <is>
          <t>atssc-scdata</t>
        </is>
      </c>
      <c r="Y647" t="inlineStr">
        <is>
          <t>Administrative Tribunals Support Service of Canada | Service canadien d'appui aux tribunaux administratifs</t>
        </is>
      </c>
      <c r="Z647" t="n">
        <v>3</v>
      </c>
      <c r="AA647" t="n">
        <v>1034.65</v>
      </c>
      <c r="AB647">
        <f>ROUND(U647-AA647,2)</f>
        <v/>
      </c>
      <c r="AC647" t="b">
        <v>0</v>
      </c>
      <c r="AD647">
        <f>IF(U647="","MISSING_TOTAL",IF(ABS(AB647)&lt;=0.01,"OK","CHECK"))</f>
        <v/>
      </c>
      <c r="AE647">
        <f>IF(U647="","MISSING",IF(AND(AA647&gt;0,U647/AA647&gt;50),"POSSIBLE_SCALE_ERROR","OK"))</f>
        <v/>
      </c>
    </row>
    <row r="648">
      <c r="A648" t="inlineStr">
        <is>
          <t>T-2025-P12-0002</t>
        </is>
      </c>
      <c r="B648" t="inlineStr">
        <is>
          <t>SLE</t>
        </is>
      </c>
      <c r="C648" t="inlineStr">
        <is>
          <t>Chairperson, Federal Public Sector Labour Relations and Employment Board</t>
        </is>
      </c>
      <c r="D648" t="inlineStr">
        <is>
          <t>Présidente, Commission des relations de travail et de l'emploi dans le secteur public fédéral</t>
        </is>
      </c>
      <c r="E648" t="inlineStr">
        <is>
          <t>Bramwell, Edith</t>
        </is>
      </c>
      <c r="F648" t="inlineStr">
        <is>
          <t>Attend an in-person hearing</t>
        </is>
      </c>
      <c r="G648" t="inlineStr">
        <is>
          <t>Assister à une audience</t>
        </is>
      </c>
      <c r="H648" s="1" t="n">
        <v>45712</v>
      </c>
      <c r="I648" s="1" t="n">
        <v>45717</v>
      </c>
      <c r="J648" t="inlineStr">
        <is>
          <t>Vancouver, British Columbia, Canada</t>
        </is>
      </c>
      <c r="K648" t="inlineStr">
        <is>
          <t>Vancouver, Colombie-Britannique, Canada</t>
        </is>
      </c>
      <c r="P648" t="n">
        <v>5546.24</v>
      </c>
      <c r="Q648" t="n">
        <v>184.19</v>
      </c>
      <c r="R648" t="n">
        <v>1381.8</v>
      </c>
      <c r="S648" t="n">
        <v>634.85</v>
      </c>
      <c r="U648" t="n">
        <v>7747.08</v>
      </c>
      <c r="X648" t="inlineStr">
        <is>
          <t>atssc-scdata</t>
        </is>
      </c>
      <c r="Y648" t="inlineStr">
        <is>
          <t>Administrative Tribunals Support Service of Canada | Service canadien d'appui aux tribunaux administratifs</t>
        </is>
      </c>
      <c r="Z648" t="n">
        <v>6</v>
      </c>
      <c r="AA648" t="n">
        <v>7747.08</v>
      </c>
      <c r="AB648">
        <f>ROUND(U648-AA648,2)</f>
        <v/>
      </c>
      <c r="AC648" t="b">
        <v>0</v>
      </c>
      <c r="AD648">
        <f>IF(U648="","MISSING_TOTAL",IF(ABS(AB648)&lt;=0.01,"OK","CHECK"))</f>
        <v/>
      </c>
      <c r="AE648">
        <f>IF(U648="","MISSING",IF(AND(AA648&gt;0,U648/AA648&gt;50),"POSSIBLE_SCALE_ERROR","OK"))</f>
        <v/>
      </c>
    </row>
    <row r="649">
      <c r="A649" t="inlineStr">
        <is>
          <t>T-2026-P1-0001</t>
        </is>
      </c>
      <c r="B649" t="inlineStr">
        <is>
          <t>SLE</t>
        </is>
      </c>
      <c r="C649" t="inlineStr">
        <is>
          <t>Chairperson, Canada Industrial Relations Board</t>
        </is>
      </c>
      <c r="D649" t="inlineStr">
        <is>
          <t>Présidente, Conseil canadien des relations industrielles</t>
        </is>
      </c>
      <c r="E649" t="inlineStr">
        <is>
          <t>Brazeau, Ginette</t>
        </is>
      </c>
      <c r="F649" t="inlineStr">
        <is>
          <t>Presenter at Administrative Law Conference</t>
        </is>
      </c>
      <c r="G649" t="inlineStr">
        <is>
          <t>Conférencier à la Conférence sur le droit administratif</t>
        </is>
      </c>
      <c r="H649" s="1" t="n">
        <v>45754</v>
      </c>
      <c r="I649" s="1" t="n">
        <v>45754</v>
      </c>
      <c r="J649" t="inlineStr">
        <is>
          <t>Montreal, Quebec, Canada</t>
        </is>
      </c>
      <c r="K649" t="inlineStr">
        <is>
          <t>Montréal, Québec, Canada</t>
        </is>
      </c>
      <c r="P649" t="n">
        <v>0</v>
      </c>
      <c r="Q649" t="n">
        <v>256.65</v>
      </c>
      <c r="R649" t="n">
        <v>0</v>
      </c>
      <c r="S649" t="n">
        <v>0</v>
      </c>
      <c r="T649" t="n">
        <v>0</v>
      </c>
      <c r="U649" t="n">
        <v>256.65</v>
      </c>
      <c r="X649" t="inlineStr">
        <is>
          <t>atssc-scdata</t>
        </is>
      </c>
      <c r="Y649" t="inlineStr">
        <is>
          <t>Administrative Tribunals Support Service of Canada | Service canadien d'appui aux tribunaux administratifs</t>
        </is>
      </c>
      <c r="Z649" t="n">
        <v>1</v>
      </c>
      <c r="AA649" t="n">
        <v>256.65</v>
      </c>
      <c r="AB649">
        <f>ROUND(U649-AA649,2)</f>
        <v/>
      </c>
      <c r="AC649" t="b">
        <v>0</v>
      </c>
      <c r="AD649">
        <f>IF(U649="","MISSING_TOTAL",IF(ABS(AB649)&lt;=0.01,"OK","CHECK"))</f>
        <v/>
      </c>
      <c r="AE649">
        <f>IF(U649="","MISSING",IF(AND(AA649&gt;0,U649/AA649&gt;50),"POSSIBLE_SCALE_ERROR","OK"))</f>
        <v/>
      </c>
    </row>
    <row r="650">
      <c r="A650" t="inlineStr">
        <is>
          <t>T-2026-P1-0002</t>
        </is>
      </c>
      <c r="B650" t="inlineStr">
        <is>
          <t>SLE</t>
        </is>
      </c>
      <c r="C650" t="inlineStr">
        <is>
          <t>Chairperson, Federal Public Sector Labour Relations and Employment Board</t>
        </is>
      </c>
      <c r="D650" t="inlineStr">
        <is>
          <t>Présidente, Commission des relations de travail et de l'emploi dans le secteur public fédéral</t>
        </is>
      </c>
      <c r="E650" t="inlineStr">
        <is>
          <t>Bramwell, Edith</t>
        </is>
      </c>
      <c r="F650" t="inlineStr">
        <is>
          <t>Attend the Legal Ethics Forum</t>
        </is>
      </c>
      <c r="G650" t="inlineStr">
        <is>
          <t>Assister au Forum sur la déontologie juridique</t>
        </is>
      </c>
      <c r="H650" s="1" t="n">
        <v>45743</v>
      </c>
      <c r="I650" s="1" t="n">
        <v>45745</v>
      </c>
      <c r="J650" t="inlineStr">
        <is>
          <t>Toronto, Ontario, Canada</t>
        </is>
      </c>
      <c r="K650" t="inlineStr">
        <is>
          <t>Toronto, Ontario, Canada</t>
        </is>
      </c>
      <c r="P650" t="n">
        <v>561.52</v>
      </c>
      <c r="Q650" t="n">
        <v>118.28</v>
      </c>
      <c r="R650" t="n">
        <v>659.99</v>
      </c>
      <c r="S650" t="n">
        <v>248.5</v>
      </c>
      <c r="T650" t="n">
        <v>0</v>
      </c>
      <c r="U650" t="n">
        <v>1588.29</v>
      </c>
      <c r="X650" t="inlineStr">
        <is>
          <t>atssc-scdata</t>
        </is>
      </c>
      <c r="Y650" t="inlineStr">
        <is>
          <t>Administrative Tribunals Support Service of Canada | Service canadien d'appui aux tribunaux administratifs</t>
        </is>
      </c>
      <c r="Z650" t="n">
        <v>3</v>
      </c>
      <c r="AA650" t="n">
        <v>1588.29</v>
      </c>
      <c r="AB650">
        <f>ROUND(U650-AA650,2)</f>
        <v/>
      </c>
      <c r="AC650" t="b">
        <v>0</v>
      </c>
      <c r="AD650">
        <f>IF(U650="","MISSING_TOTAL",IF(ABS(AB650)&lt;=0.01,"OK","CHECK"))</f>
        <v/>
      </c>
      <c r="AE650">
        <f>IF(U650="","MISSING",IF(AND(AA650&gt;0,U650/AA650&gt;50),"POSSIBLE_SCALE_ERROR","OK"))</f>
        <v/>
      </c>
    </row>
    <row r="651">
      <c r="A651" t="inlineStr">
        <is>
          <t>T-2026-P1-0003</t>
        </is>
      </c>
      <c r="B651" t="inlineStr">
        <is>
          <t>SLE</t>
        </is>
      </c>
      <c r="C651" t="inlineStr">
        <is>
          <t>Chairperson, Federal Public Sector Labour Relations and Employment Board</t>
        </is>
      </c>
      <c r="D651" t="inlineStr">
        <is>
          <t>Présidente, Commission des relations de travail et de l'emploi dans le secteur public fédéral</t>
        </is>
      </c>
      <c r="E651" t="inlineStr">
        <is>
          <t>Bramwell, Edith</t>
        </is>
      </c>
      <c r="F651" t="inlineStr">
        <is>
          <t>Attend a hearing</t>
        </is>
      </c>
      <c r="G651" t="inlineStr">
        <is>
          <t>Assister à une audience</t>
        </is>
      </c>
      <c r="H651" s="1" t="n">
        <v>45733</v>
      </c>
      <c r="I651" s="1" t="n">
        <v>45738</v>
      </c>
      <c r="J651" t="inlineStr">
        <is>
          <t>Vancouver, British Columbia, Canada</t>
        </is>
      </c>
      <c r="K651" t="inlineStr">
        <is>
          <t>Vancouver, Colombie-Britannique, Canada</t>
        </is>
      </c>
      <c r="P651" t="n">
        <v>5313.34</v>
      </c>
      <c r="Q651" t="n">
        <v>197.01</v>
      </c>
      <c r="R651" t="n">
        <v>1200.75</v>
      </c>
      <c r="S651" t="n">
        <v>662.8</v>
      </c>
      <c r="T651" t="n">
        <v>0</v>
      </c>
      <c r="U651" t="n">
        <v>7373.9</v>
      </c>
      <c r="X651" t="inlineStr">
        <is>
          <t>atssc-scdata</t>
        </is>
      </c>
      <c r="Y651" t="inlineStr">
        <is>
          <t>Administrative Tribunals Support Service of Canada | Service canadien d'appui aux tribunaux administratifs</t>
        </is>
      </c>
      <c r="Z651" t="n">
        <v>6</v>
      </c>
      <c r="AA651" t="n">
        <v>7373.9</v>
      </c>
      <c r="AB651">
        <f>ROUND(U651-AA651,2)</f>
        <v/>
      </c>
      <c r="AC651" t="b">
        <v>0</v>
      </c>
      <c r="AD651">
        <f>IF(U651="","MISSING_TOTAL",IF(ABS(AB651)&lt;=0.01,"OK","CHECK"))</f>
        <v/>
      </c>
      <c r="AE651">
        <f>IF(U651="","MISSING",IF(AND(AA651&gt;0,U651/AA651&gt;50),"POSSIBLE_SCALE_ERROR","OK"))</f>
        <v/>
      </c>
    </row>
    <row r="652">
      <c r="A652" t="inlineStr">
        <is>
          <t>T-2026-P2-0001</t>
        </is>
      </c>
      <c r="B652" t="inlineStr">
        <is>
          <t>SLE</t>
        </is>
      </c>
      <c r="C652" t="inlineStr">
        <is>
          <t>Chairperson, Canada Agricultural Review Tribunal</t>
        </is>
      </c>
      <c r="D652" t="inlineStr">
        <is>
          <t>Présidente, Commission de révision agricole du Canada</t>
        </is>
      </c>
      <c r="E652" t="inlineStr">
        <is>
          <t>Crocco, Emily</t>
        </is>
      </c>
      <c r="F652" t="inlineStr">
        <is>
          <t>Attending a professional development session for the Canada Agricultural Review Board</t>
        </is>
      </c>
      <c r="G652" t="inlineStr">
        <is>
          <t>Participation à une session de développement professionnel pour la Commission de révision agricole du Canada</t>
        </is>
      </c>
      <c r="H652" s="1" t="n">
        <v>45781</v>
      </c>
      <c r="I652" s="1" t="n">
        <v>45782</v>
      </c>
      <c r="J652" t="inlineStr">
        <is>
          <t>Montreal, Quebec, Canada</t>
        </is>
      </c>
      <c r="K652" t="inlineStr">
        <is>
          <t>Montréal, Québec, Canada</t>
        </is>
      </c>
      <c r="P652" t="n">
        <v>0</v>
      </c>
      <c r="Q652" t="n">
        <v>693.47</v>
      </c>
      <c r="R652" t="n">
        <v>266.68</v>
      </c>
      <c r="S652" t="n">
        <v>148.1</v>
      </c>
      <c r="U652" t="n">
        <v>1108.25</v>
      </c>
      <c r="X652" t="inlineStr">
        <is>
          <t>atssc-scdata</t>
        </is>
      </c>
      <c r="Y652" t="inlineStr">
        <is>
          <t>Administrative Tribunals Support Service of Canada | Service canadien d'appui aux tribunaux administratifs</t>
        </is>
      </c>
      <c r="Z652" t="n">
        <v>2</v>
      </c>
      <c r="AA652" t="n">
        <v>1108.25</v>
      </c>
      <c r="AB652">
        <f>ROUND(U652-AA652,2)</f>
        <v/>
      </c>
      <c r="AC652" t="b">
        <v>0</v>
      </c>
      <c r="AD652">
        <f>IF(U652="","MISSING_TOTAL",IF(ABS(AB652)&lt;=0.01,"OK","CHECK"))</f>
        <v/>
      </c>
      <c r="AE652">
        <f>IF(U652="","MISSING",IF(AND(AA652&gt;0,U652/AA652&gt;50),"POSSIBLE_SCALE_ERROR","OK"))</f>
        <v/>
      </c>
    </row>
    <row r="653">
      <c r="A653" t="inlineStr">
        <is>
          <t>T-2026-P4-0001</t>
        </is>
      </c>
      <c r="B653" t="inlineStr">
        <is>
          <t>SLE</t>
        </is>
      </c>
      <c r="C653" t="inlineStr">
        <is>
          <t>Chairperson, Canada Industrial Relations Board</t>
        </is>
      </c>
      <c r="D653" t="inlineStr">
        <is>
          <t>Présidente, Conseil canadien des relations industrielles</t>
        </is>
      </c>
      <c r="E653" t="inlineStr">
        <is>
          <t>Tremblay, Maryse</t>
        </is>
      </c>
      <c r="F653" t="inlineStr">
        <is>
          <t>Attend the Conference of the Council of Canadian Administrative Tribunals</t>
        </is>
      </c>
      <c r="G653" t="inlineStr">
        <is>
          <t>Assister à la conférence du Conseil des tribunaux administratifs canadiens</t>
        </is>
      </c>
      <c r="H653" s="1" t="n">
        <v>45812</v>
      </c>
      <c r="I653" s="1" t="n">
        <v>45813</v>
      </c>
      <c r="J653" t="inlineStr">
        <is>
          <t>Ottawa, ON, Canada</t>
        </is>
      </c>
      <c r="K653" t="inlineStr">
        <is>
          <t>Ottawa, ON, Canada</t>
        </is>
      </c>
      <c r="P653" t="n">
        <v>0</v>
      </c>
      <c r="Q653" t="n">
        <v>40</v>
      </c>
      <c r="R653" t="n">
        <v>0</v>
      </c>
      <c r="S653" t="n">
        <v>0</v>
      </c>
      <c r="U653" t="n">
        <v>40</v>
      </c>
      <c r="X653" t="inlineStr">
        <is>
          <t>atssc-scdata</t>
        </is>
      </c>
      <c r="Y653" t="inlineStr">
        <is>
          <t>Administrative Tribunals Support Service of Canada | Service canadien d'appui aux tribunaux administratifs</t>
        </is>
      </c>
      <c r="Z653" t="n">
        <v>2</v>
      </c>
      <c r="AA653" t="n">
        <v>40</v>
      </c>
      <c r="AB653">
        <f>ROUND(U653-AA653,2)</f>
        <v/>
      </c>
      <c r="AC653" t="b">
        <v>0</v>
      </c>
      <c r="AD653">
        <f>IF(U653="","MISSING_TOTAL",IF(ABS(AB653)&lt;=0.01,"OK","CHECK"))</f>
        <v/>
      </c>
      <c r="AE653">
        <f>IF(U653="","MISSING",IF(AND(AA653&gt;0,U653/AA653&gt;50),"POSSIBLE_SCALE_ERROR","OK"))</f>
        <v/>
      </c>
    </row>
    <row r="654">
      <c r="A654" t="inlineStr">
        <is>
          <t>T-2026-P6-0001</t>
        </is>
      </c>
      <c r="B654" t="inlineStr">
        <is>
          <t>SLE</t>
        </is>
      </c>
      <c r="C654" t="inlineStr">
        <is>
          <t>Président, Tribunal d'appel des transports du Canada</t>
        </is>
      </c>
      <c r="D654" t="inlineStr">
        <is>
          <t>Chairperson, Transportation Appeal Tribunal of Canada</t>
        </is>
      </c>
      <c r="E654" t="inlineStr">
        <is>
          <t>Gary Drouin</t>
        </is>
      </c>
      <c r="F654" t="inlineStr">
        <is>
          <t>Attended ALPA’s 69th Air Safety Forum</t>
        </is>
      </c>
      <c r="G654" t="inlineStr">
        <is>
          <t>Participation au 69ᵉ Forum sur la sécurité
aérienne de l’ALPA (Air Line Pilots
Association)</t>
        </is>
      </c>
      <c r="H654" s="1" t="n">
        <v>45907</v>
      </c>
      <c r="I654" s="1" t="n">
        <v>45912</v>
      </c>
      <c r="J654" t="inlineStr">
        <is>
          <t>Chicago, Illinois, États-Unis</t>
        </is>
      </c>
      <c r="K654" t="inlineStr">
        <is>
          <t>Chicago, Illinois, USA</t>
        </is>
      </c>
      <c r="P654" t="n">
        <v>868.87</v>
      </c>
      <c r="Q654" t="n">
        <v>341.27</v>
      </c>
      <c r="R654" t="n">
        <v>1658.78</v>
      </c>
      <c r="S654" t="n">
        <v>631.0599999999999</v>
      </c>
      <c r="U654" t="n">
        <v>3499.98</v>
      </c>
      <c r="X654" t="inlineStr">
        <is>
          <t>atssc-scdata</t>
        </is>
      </c>
      <c r="Y654" t="inlineStr">
        <is>
          <t>Administrative Tribunals Support Service of Canada | Service canadien d'appui aux tribunaux administratifs</t>
        </is>
      </c>
      <c r="Z654" t="n">
        <v>6</v>
      </c>
      <c r="AA654" t="n">
        <v>3499.98</v>
      </c>
      <c r="AB654">
        <f>ROUND(U654-AA654,2)</f>
        <v/>
      </c>
      <c r="AC654" t="b">
        <v>0</v>
      </c>
      <c r="AD654">
        <f>IF(U654="","MISSING_TOTAL",IF(ABS(AB654)&lt;=0.01,"OK","CHECK"))</f>
        <v/>
      </c>
      <c r="AE654">
        <f>IF(U654="","MISSING",IF(AND(AA654&gt;0,U654/AA654&gt;50),"POSSIBLE_SCALE_ERROR","OK"))</f>
        <v/>
      </c>
    </row>
    <row r="655">
      <c r="A655" t="inlineStr">
        <is>
          <t>T-2026-P6-0002</t>
        </is>
      </c>
      <c r="B655" t="inlineStr">
        <is>
          <t>SLE</t>
        </is>
      </c>
      <c r="C655" t="inlineStr">
        <is>
          <t>Présidente, Conseil canadien des relations industrielles</t>
        </is>
      </c>
      <c r="D655" t="inlineStr">
        <is>
          <t>Chairperson, Canada Industrial Relations Board</t>
        </is>
      </c>
      <c r="E655" t="inlineStr">
        <is>
          <t>Maryse Tremblay</t>
        </is>
      </c>
      <c r="F655" t="inlineStr">
        <is>
          <t>Attend in-person meetings with all Canadian labour boards, as well as with employees based in Vancouver</t>
        </is>
      </c>
      <c r="G655" t="inlineStr">
        <is>
          <t>Rencontre en personne avec tous les conseils des relations de travail du Canada, ainsi qu’avec les employés de Vancouver</t>
        </is>
      </c>
      <c r="H655" s="1" t="n">
        <v>45916</v>
      </c>
      <c r="I655" s="1" t="n">
        <v>45919</v>
      </c>
      <c r="J655" t="inlineStr">
        <is>
          <t>Vancouver, BC, Canada</t>
        </is>
      </c>
      <c r="K655" t="inlineStr">
        <is>
          <t>Vancouver, C-B, Canada</t>
        </is>
      </c>
      <c r="P655" t="n">
        <v>870.23</v>
      </c>
      <c r="Q655" t="n">
        <v>98.53</v>
      </c>
      <c r="R655" t="n">
        <v>1480.65</v>
      </c>
      <c r="S655" t="n">
        <v>523.2</v>
      </c>
      <c r="U655" t="n">
        <v>2972.61</v>
      </c>
      <c r="X655" t="inlineStr">
        <is>
          <t>atssc-scdata</t>
        </is>
      </c>
      <c r="Y655" t="inlineStr">
        <is>
          <t>Administrative Tribunals Support Service of Canada | Service canadien d'appui aux tribunaux administratifs</t>
        </is>
      </c>
      <c r="Z655" t="n">
        <v>4</v>
      </c>
      <c r="AA655" t="n">
        <v>2972.60999999999</v>
      </c>
      <c r="AB655">
        <f>ROUND(U655-AA655,2)</f>
        <v/>
      </c>
      <c r="AC655" t="b">
        <v>0</v>
      </c>
      <c r="AD655">
        <f>IF(U655="","MISSING_TOTAL",IF(ABS(AB655)&lt;=0.01,"OK","CHECK"))</f>
        <v/>
      </c>
      <c r="AE655">
        <f>IF(U655="","MISSING",IF(AND(AA655&gt;0,U655/AA655&gt;50),"POSSIBLE_SCALE_ERROR","OK"))</f>
        <v/>
      </c>
    </row>
    <row r="656">
      <c r="A656" t="inlineStr">
        <is>
          <t>T-2026-P7-0001</t>
        </is>
      </c>
      <c r="B656" t="inlineStr">
        <is>
          <t>SLE</t>
        </is>
      </c>
      <c r="C656" t="inlineStr">
        <is>
          <t>Chairperson, Federal Public Sector Labour Relations and Employment Board</t>
        </is>
      </c>
      <c r="D656" t="inlineStr">
        <is>
          <t>Présidente, Commission des relations de travail et de l'emploi dans le secteur public fédéral</t>
        </is>
      </c>
      <c r="E656" t="inlineStr">
        <is>
          <t>Edith Bramwell</t>
        </is>
      </c>
      <c r="F656" t="inlineStr">
        <is>
          <t>Attend 2025 Annual Conference of Labour Board Chairs</t>
        </is>
      </c>
      <c r="G656" t="inlineStr">
        <is>
          <t>Assister à la Conférence annuelle 2025 des présidents des conseils du travail</t>
        </is>
      </c>
      <c r="H656" s="1" t="n">
        <v>45919</v>
      </c>
      <c r="I656" s="1" t="n">
        <v>45920</v>
      </c>
      <c r="J656" t="inlineStr">
        <is>
          <t>Vancouver, BC, Canada</t>
        </is>
      </c>
      <c r="K656" t="inlineStr">
        <is>
          <t>Vancouver, C-B, Canada</t>
        </is>
      </c>
      <c r="P656" t="n">
        <v>2810.63</v>
      </c>
      <c r="Q656" t="n">
        <v>167.73</v>
      </c>
      <c r="R656" t="n">
        <v>1842.37</v>
      </c>
      <c r="S656" t="n">
        <v>370.2</v>
      </c>
      <c r="U656" t="n">
        <v>5190.93</v>
      </c>
      <c r="X656" t="inlineStr">
        <is>
          <t>atssc-scdata</t>
        </is>
      </c>
      <c r="Y656" t="inlineStr">
        <is>
          <t>Administrative Tribunals Support Service of Canada | Service canadien d'appui aux tribunaux administratifs</t>
        </is>
      </c>
      <c r="Z656" t="n">
        <v>2</v>
      </c>
      <c r="AA656" t="n">
        <v>5190.92999999999</v>
      </c>
      <c r="AB656">
        <f>ROUND(U656-AA656,2)</f>
        <v/>
      </c>
      <c r="AC656" t="b">
        <v>0</v>
      </c>
      <c r="AD656">
        <f>IF(U656="","MISSING_TOTAL",IF(ABS(AB656)&lt;=0.01,"OK","CHECK"))</f>
        <v/>
      </c>
      <c r="AE656">
        <f>IF(U656="","MISSING",IF(AND(AA656&gt;0,U656/AA656&gt;50),"POSSIBLE_SCALE_ERROR","OK"))</f>
        <v/>
      </c>
    </row>
    <row r="657">
      <c r="A657" t="inlineStr">
        <is>
          <t>T-2026-P7-0002</t>
        </is>
      </c>
      <c r="B657" t="inlineStr">
        <is>
          <t>SLE</t>
        </is>
      </c>
      <c r="C657" t="inlineStr">
        <is>
          <t>Chief Administrator, Administrative Tribunals Support Service of Canada</t>
        </is>
      </c>
      <c r="D657" t="inlineStr">
        <is>
          <t>Administrateur en chef, Service canadien d’appui aux tribunaux administratifs</t>
        </is>
      </c>
      <c r="E657" t="inlineStr">
        <is>
          <t>Orlando Da Silva</t>
        </is>
      </c>
      <c r="F657" t="inlineStr">
        <is>
          <t>Attend in-person meetings with all Canadian labour boards, as well as with employees based in Vancouver</t>
        </is>
      </c>
      <c r="G657" t="inlineStr">
        <is>
          <t>Rencontre en personne avec tous les conseils des relations de travail du Canada, ainsi qu’avec les employés de Vancouver</t>
        </is>
      </c>
      <c r="H657" s="1" t="n">
        <v>45910</v>
      </c>
      <c r="I657" s="1" t="n">
        <v>45914</v>
      </c>
      <c r="J657" t="inlineStr">
        <is>
          <t>Halifax, NS, Canada</t>
        </is>
      </c>
      <c r="K657" t="inlineStr">
        <is>
          <t>Halifax, N.-É., Canada</t>
        </is>
      </c>
      <c r="P657" t="n">
        <v>727.78</v>
      </c>
      <c r="Q657" t="n">
        <v>407.15</v>
      </c>
      <c r="R657" t="n">
        <v>919.41</v>
      </c>
      <c r="S657" t="n">
        <v>410.6</v>
      </c>
      <c r="U657" t="n">
        <v>2464.94</v>
      </c>
      <c r="X657" t="inlineStr">
        <is>
          <t>atssc-scdata</t>
        </is>
      </c>
      <c r="Y657" t="inlineStr">
        <is>
          <t>Administrative Tribunals Support Service of Canada | Service canadien d'appui aux tribunaux administratifs</t>
        </is>
      </c>
      <c r="Z657" t="n">
        <v>5</v>
      </c>
      <c r="AA657" t="n">
        <v>2464.93999999999</v>
      </c>
      <c r="AB657">
        <f>ROUND(U657-AA657,2)</f>
        <v/>
      </c>
      <c r="AC657" t="b">
        <v>0</v>
      </c>
      <c r="AD657">
        <f>IF(U657="","MISSING_TOTAL",IF(ABS(AB657)&lt;=0.01,"OK","CHECK"))</f>
        <v/>
      </c>
      <c r="AE657">
        <f>IF(U657="","MISSING",IF(AND(AA657&gt;0,U657/AA657&gt;50),"POSSIBLE_SCALE_ERROR","OK"))</f>
        <v/>
      </c>
    </row>
    <row r="658">
      <c r="A658" t="inlineStr">
        <is>
          <t>T-2026-P8-0001</t>
        </is>
      </c>
      <c r="B658" t="inlineStr">
        <is>
          <t>SLE</t>
        </is>
      </c>
      <c r="C658" t="inlineStr">
        <is>
          <t>Chairperson, Canada Industrial Relations Board</t>
        </is>
      </c>
      <c r="D658" t="inlineStr">
        <is>
          <t>Présidente, Conseil canadien des relations industrielles</t>
        </is>
      </c>
      <c r="E658" t="inlineStr">
        <is>
          <t>Tremblay, Maryse</t>
        </is>
      </c>
      <c r="F658" t="inlineStr">
        <is>
          <t>Support training for the new Vice President’s assumption of duties</t>
        </is>
      </c>
      <c r="G658" t="inlineStr">
        <is>
          <t>Formation d’accompagnement à la prise de fonction du nouveau Vice-présiden</t>
        </is>
      </c>
      <c r="H658" s="1" t="n">
        <v>45952</v>
      </c>
      <c r="I658" s="1" t="n">
        <v>45952</v>
      </c>
      <c r="J658" t="inlineStr">
        <is>
          <t>Montreal, QC, Canada</t>
        </is>
      </c>
      <c r="K658" t="inlineStr">
        <is>
          <t>Montréal, QC, Canada</t>
        </is>
      </c>
      <c r="Q658" t="n">
        <v>23</v>
      </c>
      <c r="R658" t="n">
        <v>0</v>
      </c>
      <c r="S658" t="n">
        <v>0</v>
      </c>
      <c r="U658" t="n">
        <v>23</v>
      </c>
      <c r="X658" t="inlineStr">
        <is>
          <t>atssc-scdata</t>
        </is>
      </c>
      <c r="Y658" t="inlineStr">
        <is>
          <t>Administrative Tribunals Support Service of Canada | Service canadien d'appui aux tribunaux administratifs</t>
        </is>
      </c>
      <c r="Z658" t="n">
        <v>1</v>
      </c>
      <c r="AA658" t="n">
        <v>23</v>
      </c>
      <c r="AB658">
        <f>ROUND(U658-AA658,2)</f>
        <v/>
      </c>
      <c r="AC658" t="b">
        <v>0</v>
      </c>
      <c r="AD658">
        <f>IF(U658="","MISSING_TOTAL",IF(ABS(AB658)&lt;=0.01,"OK","CHECK"))</f>
        <v/>
      </c>
      <c r="AE658">
        <f>IF(U658="","MISSING",IF(AND(AA658&gt;0,U658/AA658&gt;50),"POSSIBLE_SCALE_ERROR","OK"))</f>
        <v/>
      </c>
    </row>
    <row r="659">
      <c r="A659" t="inlineStr">
        <is>
          <t>T-2026-P8-0002</t>
        </is>
      </c>
      <c r="B659" t="inlineStr">
        <is>
          <t>SLE</t>
        </is>
      </c>
      <c r="C659" t="inlineStr">
        <is>
          <t>Chairperson, Canada Industrial Relations Board</t>
        </is>
      </c>
      <c r="D659" t="inlineStr">
        <is>
          <t>Présidente, Conseil canadien des relations industrielles</t>
        </is>
      </c>
      <c r="E659" t="inlineStr">
        <is>
          <t>Tremblay, Maryse</t>
        </is>
      </c>
      <c r="F659" t="inlineStr">
        <is>
          <t>Visit to the Montreal office</t>
        </is>
      </c>
      <c r="G659" t="inlineStr">
        <is>
          <t>Visite du bureau de Montréal</t>
        </is>
      </c>
      <c r="H659" s="1" t="n">
        <v>45881</v>
      </c>
      <c r="I659" s="1" t="n">
        <v>45881</v>
      </c>
      <c r="J659" t="inlineStr">
        <is>
          <t>Montreal, QC, Canada</t>
        </is>
      </c>
      <c r="K659" t="inlineStr">
        <is>
          <t>Montréal, QC, Canada</t>
        </is>
      </c>
      <c r="Q659" t="n">
        <v>23</v>
      </c>
      <c r="R659" t="n">
        <v>0</v>
      </c>
      <c r="S659" t="n">
        <v>0</v>
      </c>
      <c r="U659" t="n">
        <v>23</v>
      </c>
      <c r="X659" t="inlineStr">
        <is>
          <t>atssc-scdata</t>
        </is>
      </c>
      <c r="Y659" t="inlineStr">
        <is>
          <t>Administrative Tribunals Support Service of Canada | Service canadien d'appui aux tribunaux administratifs</t>
        </is>
      </c>
      <c r="Z659" t="n">
        <v>1</v>
      </c>
      <c r="AA659" t="n">
        <v>23</v>
      </c>
      <c r="AB659">
        <f>ROUND(U659-AA659,2)</f>
        <v/>
      </c>
      <c r="AC659" t="b">
        <v>0</v>
      </c>
      <c r="AD659">
        <f>IF(U659="","MISSING_TOTAL",IF(ABS(AB659)&lt;=0.01,"OK","CHECK"))</f>
        <v/>
      </c>
      <c r="AE659">
        <f>IF(U659="","MISSING",IF(AND(AA659&gt;0,U659/AA659&gt;50),"POSSIBLE_SCALE_ERROR","OK"))</f>
        <v/>
      </c>
    </row>
    <row r="660">
      <c r="A660" t="inlineStr">
        <is>
          <t>T-2026-P8-0003</t>
        </is>
      </c>
      <c r="B660" t="inlineStr">
        <is>
          <t>SLE</t>
        </is>
      </c>
      <c r="C660" t="inlineStr">
        <is>
          <t>Chairperson, Canada Industrial Relations Board</t>
        </is>
      </c>
      <c r="D660" t="inlineStr">
        <is>
          <t>Présidente, Conseil canadien des relations industrielles</t>
        </is>
      </c>
      <c r="E660" t="inlineStr">
        <is>
          <t>Tremblay, Maryse</t>
        </is>
      </c>
      <c r="F660" t="inlineStr">
        <is>
          <t>Visit to the Montreal office</t>
        </is>
      </c>
      <c r="G660" t="inlineStr">
        <is>
          <t>Visite du bureau de Montréal</t>
        </is>
      </c>
      <c r="H660" s="1" t="n">
        <v>45862</v>
      </c>
      <c r="I660" s="1" t="n">
        <v>45862</v>
      </c>
      <c r="J660" t="inlineStr">
        <is>
          <t>Montreal, QC, Canada</t>
        </is>
      </c>
      <c r="K660" t="inlineStr">
        <is>
          <t>Montréal, QC, Canada</t>
        </is>
      </c>
      <c r="Q660" t="n">
        <v>26</v>
      </c>
      <c r="R660" t="n">
        <v>0</v>
      </c>
      <c r="S660" t="n">
        <v>0</v>
      </c>
      <c r="U660" t="n">
        <v>26</v>
      </c>
      <c r="X660" t="inlineStr">
        <is>
          <t>atssc-scdata</t>
        </is>
      </c>
      <c r="Y660" t="inlineStr">
        <is>
          <t>Administrative Tribunals Support Service of Canada | Service canadien d'appui aux tribunaux administratifs</t>
        </is>
      </c>
      <c r="Z660" t="n">
        <v>1</v>
      </c>
      <c r="AA660" t="n">
        <v>26</v>
      </c>
      <c r="AB660">
        <f>ROUND(U660-AA660,2)</f>
        <v/>
      </c>
      <c r="AC660" t="b">
        <v>0</v>
      </c>
      <c r="AD660">
        <f>IF(U660="","MISSING_TOTAL",IF(ABS(AB660)&lt;=0.01,"OK","CHECK"))</f>
        <v/>
      </c>
      <c r="AE660">
        <f>IF(U660="","MISSING",IF(AND(AA660&gt;0,U660/AA660&gt;50),"POSSIBLE_SCALE_ERROR","OK"))</f>
        <v/>
      </c>
    </row>
    <row r="661">
      <c r="A661" t="inlineStr">
        <is>
          <t>T-2026-P9-0001</t>
        </is>
      </c>
      <c r="B661" t="inlineStr">
        <is>
          <t>SLE</t>
        </is>
      </c>
      <c r="C661" t="inlineStr">
        <is>
          <t>Chairperson, Transportation Appeal Tribunal of Canada</t>
        </is>
      </c>
      <c r="D661" t="inlineStr">
        <is>
          <t>Président, Tribunal d'appel des transports du Canada</t>
        </is>
      </c>
      <c r="E661" t="inlineStr">
        <is>
          <t>Gary Drouin</t>
        </is>
      </c>
      <c r="F661" t="inlineStr">
        <is>
          <t>Attend the Canadian Aviation Conference &amp; Tradeshow 2025</t>
        </is>
      </c>
      <c r="G661" t="inlineStr">
        <is>
          <t>Participation à la Conférence et au salon professionnel de l’aviation canadienne 2025</t>
        </is>
      </c>
      <c r="H661" s="1" t="n">
        <v>45978</v>
      </c>
      <c r="I661" s="1" t="n">
        <v>45981</v>
      </c>
      <c r="J661" t="inlineStr">
        <is>
          <t>Montreal, QC, Canada</t>
        </is>
      </c>
      <c r="K661" t="inlineStr">
        <is>
          <t>Montréal, QC, Canada</t>
        </is>
      </c>
      <c r="Q661" t="n">
        <v>393.4</v>
      </c>
      <c r="R661" t="n">
        <v>803.25</v>
      </c>
      <c r="S661" t="n">
        <v>339.7</v>
      </c>
      <c r="U661" t="n">
        <v>1536.35</v>
      </c>
      <c r="X661" t="inlineStr">
        <is>
          <t>atssc-scdata</t>
        </is>
      </c>
      <c r="Y661" t="inlineStr">
        <is>
          <t>Administrative Tribunals Support Service of Canada | Service canadien d'appui aux tribunaux administratifs</t>
        </is>
      </c>
      <c r="Z661" t="n">
        <v>4</v>
      </c>
      <c r="AA661" t="n">
        <v>1536.35</v>
      </c>
      <c r="AB661">
        <f>ROUND(U661-AA661,2)</f>
        <v/>
      </c>
      <c r="AC661" t="b">
        <v>0</v>
      </c>
      <c r="AD661">
        <f>IF(U661="","MISSING_TOTAL",IF(ABS(AB661)&lt;=0.01,"OK","CHECK"))</f>
        <v/>
      </c>
      <c r="AE661">
        <f>IF(U661="","MISSING",IF(AND(AA661&gt;0,U661/AA661&gt;50),"POSSIBLE_SCALE_ERROR","OK"))</f>
        <v/>
      </c>
    </row>
    <row r="662">
      <c r="A662" t="inlineStr">
        <is>
          <t>T-2026-P9-0002</t>
        </is>
      </c>
      <c r="B662" t="inlineStr">
        <is>
          <t>SLE</t>
        </is>
      </c>
      <c r="C662" t="inlineStr">
        <is>
          <t>Chairperson, Social Security Tribunal of Canada</t>
        </is>
      </c>
      <c r="D662" t="inlineStr">
        <is>
          <t>Présidente, Tribunal de la sécurité sociale du Canada</t>
        </is>
      </c>
      <c r="E662" t="inlineStr">
        <is>
          <t>Shirley Netten</t>
        </is>
      </c>
      <c r="F662" t="inlineStr">
        <is>
          <t>Attend the Society of Ontario Adjudicators and Regulators (SOAR) Annual Conference 2025</t>
        </is>
      </c>
      <c r="G662" t="inlineStr">
        <is>
          <t>Assisté à la conférence annuelle 2025 de la société des arbitres et régulateurs de l’Ontario (SOAR)</t>
        </is>
      </c>
      <c r="H662" s="1" t="n">
        <v>45973</v>
      </c>
      <c r="I662" s="1" t="n">
        <v>45975</v>
      </c>
      <c r="J662" t="inlineStr">
        <is>
          <t>Toronto, ON, Canada</t>
        </is>
      </c>
      <c r="K662" t="inlineStr">
        <is>
          <t>Toronto, ON, Canada</t>
        </is>
      </c>
      <c r="Q662" t="n">
        <v>511.52</v>
      </c>
      <c r="R662" t="n">
        <v>610.58</v>
      </c>
      <c r="S662" t="n">
        <v>232.05</v>
      </c>
      <c r="U662" t="n">
        <v>1354.15</v>
      </c>
      <c r="X662" t="inlineStr">
        <is>
          <t>atssc-scdata</t>
        </is>
      </c>
      <c r="Y662" t="inlineStr">
        <is>
          <t>Administrative Tribunals Support Service of Canada | Service canadien d'appui aux tribunaux administratifs</t>
        </is>
      </c>
      <c r="Z662" t="n">
        <v>3</v>
      </c>
      <c r="AA662" t="n">
        <v>1354.14999999999</v>
      </c>
      <c r="AB662">
        <f>ROUND(U662-AA662,2)</f>
        <v/>
      </c>
      <c r="AC662" t="b">
        <v>0</v>
      </c>
      <c r="AD662">
        <f>IF(U662="","MISSING_TOTAL",IF(ABS(AB662)&lt;=0.01,"OK","CHECK"))</f>
        <v/>
      </c>
      <c r="AE662">
        <f>IF(U662="","MISSING",IF(AND(AA662&gt;0,U662/AA662&gt;50),"POSSIBLE_SCALE_ERROR","OK"))</f>
        <v/>
      </c>
    </row>
    <row r="663">
      <c r="A663" t="inlineStr">
        <is>
          <t>T-2026-P12-0001</t>
        </is>
      </c>
      <c r="B663" t="inlineStr">
        <is>
          <t>SLE</t>
        </is>
      </c>
      <c r="C663" t="inlineStr">
        <is>
          <t>Chairperson, Canadian Human Rights Tribunal</t>
        </is>
      </c>
      <c r="D663" t="inlineStr">
        <is>
          <t>Présidente, Tribunal canadien des droits de la personne</t>
        </is>
      </c>
      <c r="E663" t="inlineStr">
        <is>
          <t>Jennifer Khurana</t>
        </is>
      </c>
      <c r="F663" t="inlineStr">
        <is>
          <t>Attend the Laskin Moot Court Contest</t>
        </is>
      </c>
      <c r="G663" t="inlineStr">
        <is>
          <t>Participation au Concours de plaidoirie
Laskin</t>
        </is>
      </c>
      <c r="H663" s="1" t="n">
        <v>46079</v>
      </c>
      <c r="I663" s="1" t="n">
        <v>46081</v>
      </c>
      <c r="J663" t="inlineStr">
        <is>
          <t>Toronto, Ontario, Canada</t>
        </is>
      </c>
      <c r="K663" t="inlineStr">
        <is>
          <t>Toronto, Ontario, Canada</t>
        </is>
      </c>
      <c r="P663" t="n">
        <v>573.3200000000001</v>
      </c>
      <c r="Q663" t="n">
        <v>109.81</v>
      </c>
      <c r="R663" t="n">
        <v>684.16</v>
      </c>
      <c r="S663" t="n">
        <v>200.35</v>
      </c>
      <c r="U663" t="n">
        <v>1567.64</v>
      </c>
      <c r="X663" t="inlineStr">
        <is>
          <t>atssc-scdata</t>
        </is>
      </c>
      <c r="Y663" t="inlineStr">
        <is>
          <t>Administrative Tribunals Support Service of Canada | Service canadien d'appui aux tribunaux administratifs</t>
        </is>
      </c>
      <c r="Z663" t="n">
        <v>3</v>
      </c>
      <c r="AA663" t="n">
        <v>1567.63999999999</v>
      </c>
      <c r="AB663">
        <f>ROUND(U663-AA663,2)</f>
        <v/>
      </c>
      <c r="AC663" t="b">
        <v>0</v>
      </c>
      <c r="AD663">
        <f>IF(U663="","MISSING_TOTAL",IF(ABS(AB663)&lt;=0.01,"OK","CHECK"))</f>
        <v/>
      </c>
      <c r="AE663">
        <f>IF(U663="","MISSING",IF(AND(AA663&gt;0,U663/AA663&gt;50),"POSSIBLE_SCALE_ERROR","OK"))</f>
        <v/>
      </c>
    </row>
    <row r="664">
      <c r="A664" t="inlineStr">
        <is>
          <t>T-2026-P12-0002</t>
        </is>
      </c>
      <c r="B664" t="inlineStr">
        <is>
          <t>SLE</t>
        </is>
      </c>
      <c r="C664" t="inlineStr">
        <is>
          <t>Chairperson, Canada Industrial Relations Board</t>
        </is>
      </c>
      <c r="D664" t="inlineStr">
        <is>
          <t>Présidente, Conseil canadien des relations industrielles</t>
        </is>
      </c>
      <c r="E664" t="inlineStr">
        <is>
          <t>Maryse Tremblay</t>
        </is>
      </c>
      <c r="F664" t="inlineStr">
        <is>
          <t>Case Management Meeting with Parties</t>
        </is>
      </c>
      <c r="G664" t="inlineStr">
        <is>
          <t>Réunion de gestion de cas avec les parties</t>
        </is>
      </c>
      <c r="H664" s="1" t="n">
        <v>46084</v>
      </c>
      <c r="I664" s="1" t="n">
        <v>46085</v>
      </c>
      <c r="J664" t="inlineStr">
        <is>
          <t>Toronto, Ontario, Canada</t>
        </is>
      </c>
      <c r="K664" t="inlineStr">
        <is>
          <t>Toronto, Ontario, Canada</t>
        </is>
      </c>
      <c r="P664" t="n">
        <v>701.76</v>
      </c>
      <c r="Q664" t="n">
        <v>166.15</v>
      </c>
      <c r="R664" t="n">
        <v>268.51</v>
      </c>
      <c r="S664" t="n">
        <v>273.4</v>
      </c>
      <c r="U664" t="n">
        <v>1409.82</v>
      </c>
      <c r="X664" t="inlineStr">
        <is>
          <t>atssc-scdata</t>
        </is>
      </c>
      <c r="Y664" t="inlineStr">
        <is>
          <t>Administrative Tribunals Support Service of Canada | Service canadien d'appui aux tribunaux administratifs</t>
        </is>
      </c>
      <c r="Z664" t="n">
        <v>2</v>
      </c>
      <c r="AA664" t="n">
        <v>1409.82</v>
      </c>
      <c r="AB664">
        <f>ROUND(U664-AA664,2)</f>
        <v/>
      </c>
      <c r="AC664" t="b">
        <v>0</v>
      </c>
      <c r="AD664">
        <f>IF(U664="","MISSING_TOTAL",IF(ABS(AB664)&lt;=0.01,"OK","CHECK"))</f>
        <v/>
      </c>
      <c r="AE664">
        <f>IF(U664="","MISSING",IF(AND(AA664&gt;0,U664/AA664&gt;50),"POSSIBLE_SCALE_ERROR","OK"))</f>
        <v/>
      </c>
    </row>
    <row r="665">
      <c r="A665" t="inlineStr">
        <is>
          <t>T-2027-P01-0001</t>
        </is>
      </c>
      <c r="B665" t="inlineStr">
        <is>
          <t>SLE</t>
        </is>
      </c>
      <c r="C665" t="inlineStr">
        <is>
          <t>Chairperson, Canadian Human Rights Tribunal</t>
        </is>
      </c>
      <c r="D665" t="inlineStr">
        <is>
          <t>Présidente, Tribunal canadien des droits de la personne</t>
        </is>
      </c>
      <c r="E665" t="inlineStr">
        <is>
          <t>Jennifer Khurana</t>
        </is>
      </c>
      <c r="F665" t="inlineStr">
        <is>
          <t>Participated as a speaker and panel chair at the
Strategic Conference on Administrative Law and
Disciplinary Law.</t>
        </is>
      </c>
      <c r="G665" t="inlineStr">
        <is>
          <t>Participation à titre de conférencière et
présidente d'un panel dans le cadre des
Journées stratégiques en droit administratif et
droit disciplinaire.</t>
        </is>
      </c>
      <c r="H665" s="1" t="n">
        <v>46131</v>
      </c>
      <c r="I665" s="1" t="n">
        <v>46132</v>
      </c>
      <c r="J665" t="inlineStr">
        <is>
          <t>Montreal, Quebec, Canada</t>
        </is>
      </c>
      <c r="K665" t="inlineStr">
        <is>
          <t>Montréal, Québec, Canada</t>
        </is>
      </c>
      <c r="Q665" t="n">
        <v>238.83</v>
      </c>
      <c r="R665" t="n">
        <v>294.16</v>
      </c>
      <c r="S665" t="n">
        <v>141.2</v>
      </c>
      <c r="U665" t="n">
        <v>674.1900000000001</v>
      </c>
      <c r="X665" t="inlineStr">
        <is>
          <t>atssc-scdata</t>
        </is>
      </c>
      <c r="Y665" t="inlineStr">
        <is>
          <t>Administrative Tribunals Support Service of Canada | Service canadien d'appui aux tribunaux administratifs</t>
        </is>
      </c>
      <c r="Z665" t="n">
        <v>2</v>
      </c>
      <c r="AA665" t="n">
        <v>674.1900000000001</v>
      </c>
      <c r="AB665">
        <f>ROUND(U665-AA665,2)</f>
        <v/>
      </c>
      <c r="AC665" t="b">
        <v>0</v>
      </c>
      <c r="AD665">
        <f>IF(U665="","MISSING_TOTAL",IF(ABS(AB665)&lt;=0.01,"OK","CHECK"))</f>
        <v/>
      </c>
      <c r="AE665">
        <f>IF(U665="","MISSING",IF(AND(AA665&gt;0,U665/AA665&gt;50),"POSSIBLE_SCALE_ERROR","OK"))</f>
        <v/>
      </c>
    </row>
    <row r="666">
      <c r="A666" t="inlineStr">
        <is>
          <t>T-2027-P02-0001</t>
        </is>
      </c>
      <c r="B666" t="inlineStr">
        <is>
          <t>SLE</t>
        </is>
      </c>
      <c r="C666" t="inlineStr">
        <is>
          <t>Deputy Chief Administrator, Administrative Tribunal Support Service of Canada</t>
        </is>
      </c>
      <c r="D666" t="inlineStr">
        <is>
          <t>Administrateur en chef adjoint , Service canadien d’appui aux tribunaux administratifs</t>
        </is>
      </c>
      <c r="E666" t="inlineStr">
        <is>
          <t>Nick Covelli</t>
        </is>
      </c>
      <c r="F666" t="inlineStr">
        <is>
          <t>Attend the Senate Committee on National
Finance</t>
        </is>
      </c>
      <c r="G666" t="inlineStr">
        <is>
          <t>Assister à la réunion du comité sénatorial des finances nationales</t>
        </is>
      </c>
      <c r="H666" s="1" t="n">
        <v>46148</v>
      </c>
      <c r="I666" s="1" t="n">
        <v>46148</v>
      </c>
      <c r="J666" t="inlineStr">
        <is>
          <t>Ottawa, Ontario, Canada</t>
        </is>
      </c>
      <c r="K666" t="inlineStr">
        <is>
          <t>Ottawa, Ontario, Canada</t>
        </is>
      </c>
      <c r="Q666" t="n">
        <v>18</v>
      </c>
      <c r="R666" t="n">
        <v>0</v>
      </c>
      <c r="S666" t="n">
        <v>0</v>
      </c>
      <c r="T666" t="n">
        <v>0</v>
      </c>
      <c r="U666" t="n">
        <v>18</v>
      </c>
      <c r="X666" t="inlineStr">
        <is>
          <t>atssc-scdata</t>
        </is>
      </c>
      <c r="Y666" t="inlineStr">
        <is>
          <t>Administrative Tribunals Support Service of Canada | Service canadien d'appui aux tribunaux administratifs</t>
        </is>
      </c>
      <c r="Z666" t="n">
        <v>1</v>
      </c>
      <c r="AA666" t="n">
        <v>18</v>
      </c>
      <c r="AB666">
        <f>ROUND(U666-AA666,2)</f>
        <v/>
      </c>
      <c r="AC666" t="b">
        <v>0</v>
      </c>
      <c r="AD666">
        <f>IF(U666="","MISSING_TOTAL",IF(ABS(AB666)&lt;=0.01,"OK","CHECK"))</f>
        <v/>
      </c>
      <c r="AE666">
        <f>IF(U666="","MISSING",IF(AND(AA666&gt;0,U666/AA666&gt;50),"POSSIBLE_SCALE_ERROR","OK"))</f>
        <v/>
      </c>
    </row>
    <row r="667">
      <c r="A667" t="inlineStr">
        <is>
          <t>T-2027-P03-0001</t>
        </is>
      </c>
      <c r="B667" t="inlineStr">
        <is>
          <t>SLE</t>
        </is>
      </c>
      <c r="C667" t="inlineStr">
        <is>
          <t>Chairperson, Canadian Human Rights Tribunal</t>
        </is>
      </c>
      <c r="D667" t="inlineStr">
        <is>
          <t>Présidente, Tribunal canadien des droits de la personne</t>
        </is>
      </c>
      <c r="E667" t="inlineStr">
        <is>
          <t>Jennifer Khurana</t>
        </is>
      </c>
      <c r="F667" t="inlineStr">
        <is>
          <t>Attendance at the Annual Update on Human Rights to review the latest substantive and procedural developments in human rights law</t>
        </is>
      </c>
      <c r="G667" t="inlineStr">
        <is>
          <t>Participation à la mise à jour annuelle sur les droits de la personne afin de passer en revue les récents développements de fond et de procédure en matière de droit des droits de la personne</t>
        </is>
      </c>
      <c r="H667" s="1" t="n">
        <v>46167</v>
      </c>
      <c r="I667" s="1" t="n">
        <v>46169</v>
      </c>
      <c r="J667" t="inlineStr">
        <is>
          <t>Toronto, Ontario, Canada</t>
        </is>
      </c>
      <c r="K667" t="inlineStr">
        <is>
          <t>Toronto, Ontario, Canada</t>
        </is>
      </c>
      <c r="Q667" t="n">
        <v>246.07</v>
      </c>
      <c r="R667" t="n">
        <v>355.55</v>
      </c>
      <c r="S667" t="n">
        <v>347.55</v>
      </c>
      <c r="T667" t="n">
        <v>0</v>
      </c>
      <c r="U667" t="n">
        <v>949.17</v>
      </c>
      <c r="X667" t="inlineStr">
        <is>
          <t>atssc-scdata</t>
        </is>
      </c>
      <c r="Y667" t="inlineStr">
        <is>
          <t>Administrative Tribunals Support Service of Canada | Service canadien d'appui aux tribunaux administratifs</t>
        </is>
      </c>
      <c r="Z667" t="n">
        <v>3</v>
      </c>
      <c r="AA667" t="n">
        <v>949.17</v>
      </c>
      <c r="AB667">
        <f>ROUND(U667-AA667,2)</f>
        <v/>
      </c>
      <c r="AC667" t="b">
        <v>0</v>
      </c>
      <c r="AD667">
        <f>IF(U667="","MISSING_TOTAL",IF(ABS(AB667)&lt;=0.01,"OK","CHECK"))</f>
        <v/>
      </c>
      <c r="AE667">
        <f>IF(U667="","MISSING",IF(AND(AA667&gt;0,U667/AA667&gt;50),"POSSIBLE_SCALE_ERROR","OK"))</f>
        <v/>
      </c>
    </row>
    <row r="668">
      <c r="A668" t="inlineStr">
        <is>
          <t>T-2027-P03-0002</t>
        </is>
      </c>
      <c r="B668" t="inlineStr">
        <is>
          <t>SLE</t>
        </is>
      </c>
      <c r="C668" t="inlineStr">
        <is>
          <t>Chairperson, Yukon Public Service Labour Relations Board and Yukon Teachers Labour Relations Board</t>
        </is>
      </c>
      <c r="D668" t="inlineStr">
        <is>
          <t>Présidente, Commission des relations de travail dans la fonction publique du Yukon et Commission des relations de travail du personnel enseignant du Yukon</t>
        </is>
      </c>
      <c r="E668" t="inlineStr">
        <is>
          <t>Edith Bramwel</t>
        </is>
      </c>
      <c r="F668" t="inlineStr">
        <is>
          <t>Travel required to engage key stakeholders regarding the development and renewal of policies, programs, and regulations.</t>
        </is>
      </c>
      <c r="G668" t="inlineStr">
        <is>
          <t>Déplacement pour mobiliser les principaux intervenants dans le cadre de l'élaboration et du renouvellement des politiques, des programmes ou de la réglementation.</t>
        </is>
      </c>
      <c r="H668" s="1" t="n">
        <v>46153</v>
      </c>
      <c r="I668" s="1" t="n">
        <v>46157</v>
      </c>
      <c r="J668" t="inlineStr">
        <is>
          <t>Whitehorse, Yukon, Canada</t>
        </is>
      </c>
      <c r="K668" t="inlineStr">
        <is>
          <t>Whitehorse, Yukon, Canada</t>
        </is>
      </c>
      <c r="Q668" t="n">
        <v>0</v>
      </c>
      <c r="R668" t="n">
        <v>0</v>
      </c>
      <c r="S668" t="n">
        <v>0</v>
      </c>
      <c r="T668" t="n">
        <v>0</v>
      </c>
      <c r="U668" t="n">
        <v>0</v>
      </c>
      <c r="V668" t="inlineStr">
        <is>
          <t>The trip was fully reimbursed by the Yukon Government</t>
        </is>
      </c>
      <c r="W668" t="inlineStr">
        <is>
          <t>Le voyage a été entièrement remboursé par le gouvernement du Yukon.</t>
        </is>
      </c>
      <c r="X668" t="inlineStr">
        <is>
          <t>atssc-scdata</t>
        </is>
      </c>
      <c r="Y668" t="inlineStr">
        <is>
          <t>Administrative Tribunals Support Service of Canada | Service canadien d'appui aux tribunaux administratifs</t>
        </is>
      </c>
      <c r="Z668" t="n">
        <v>5</v>
      </c>
      <c r="AA668" t="n">
        <v>0</v>
      </c>
      <c r="AB668">
        <f>ROUND(U668-AA668,2)</f>
        <v/>
      </c>
      <c r="AC668" t="b">
        <v>0</v>
      </c>
      <c r="AD668">
        <f>IF(U668="","MISSING_TOTAL",IF(ABS(AB668)&lt;=0.01,"OK","CHECK"))</f>
        <v/>
      </c>
      <c r="AE668">
        <f>IF(U668="","MISSING",IF(AND(AA668&gt;0,U668/AA668&gt;50),"POSSIBLE_SCALE_ERROR","OK"))</f>
        <v/>
      </c>
    </row>
    <row r="669">
      <c r="A669" t="inlineStr">
        <is>
          <t>T-2027-P04-0001</t>
        </is>
      </c>
      <c r="B669" t="inlineStr">
        <is>
          <t>SLE</t>
        </is>
      </c>
      <c r="C669" t="inlineStr">
        <is>
          <t>Chairperson, Federal Public Sector Labour Relations and Employment Board</t>
        </is>
      </c>
      <c r="D669" t="inlineStr">
        <is>
          <t>Présidente, Commission des relations de travail et de l'emploi dans le secteur public fédéral</t>
        </is>
      </c>
      <c r="E669" t="inlineStr">
        <is>
          <t>Edith Bramwel</t>
        </is>
      </c>
      <c r="F669" t="inlineStr">
        <is>
          <t>Attend an in-person mediation session regarding a labour relations matter with the Treasury Board of Canada Secretariat.</t>
        </is>
      </c>
      <c r="G669" t="inlineStr">
        <is>
          <t>Participer à une séance de médiation en présentiel dans le cadre d'un dossier de relations de travail avec le Secrétariat du Conseil du Trésor du Canada.</t>
        </is>
      </c>
      <c r="H669" s="1" t="n">
        <v>46200</v>
      </c>
      <c r="I669" s="1" t="n">
        <v>46203</v>
      </c>
      <c r="J669" t="inlineStr">
        <is>
          <t>London, Ontario, Canada</t>
        </is>
      </c>
      <c r="K669" t="inlineStr">
        <is>
          <t>London, Ontario, Canada</t>
        </is>
      </c>
      <c r="P669" t="n">
        <v>1232.06</v>
      </c>
      <c r="Q669" t="n">
        <v>179.77</v>
      </c>
      <c r="R669" t="n">
        <v>462.74</v>
      </c>
      <c r="S669" t="n">
        <v>409.25</v>
      </c>
      <c r="T669" t="n">
        <v>0</v>
      </c>
      <c r="U669" t="n">
        <v>2283.82</v>
      </c>
      <c r="X669" t="inlineStr">
        <is>
          <t>atssc-scdata</t>
        </is>
      </c>
      <c r="Y669" t="inlineStr">
        <is>
          <t>Administrative Tribunals Support Service of Canada | Service canadien d'appui aux tribunaux administratifs</t>
        </is>
      </c>
      <c r="Z669" t="n">
        <v>4</v>
      </c>
      <c r="AA669" t="n">
        <v>2283.81999999999</v>
      </c>
      <c r="AB669">
        <f>ROUND(U669-AA669,2)</f>
        <v/>
      </c>
      <c r="AC669" t="b">
        <v>0</v>
      </c>
      <c r="AD669">
        <f>IF(U669="","MISSING_TOTAL",IF(ABS(AB669)&lt;=0.01,"OK","CHECK"))</f>
        <v/>
      </c>
      <c r="AE669">
        <f>IF(U669="","MISSING",IF(AND(AA669&gt;0,U669/AA669&gt;50),"POSSIBLE_SCALE_ERROR","OK"))</f>
        <v/>
      </c>
    </row>
    <row r="670">
      <c r="A670" t="inlineStr">
        <is>
          <t>T-2017-Q1-00003</t>
        </is>
      </c>
      <c r="B670" t="inlineStr">
        <is>
          <t>SLE</t>
        </is>
      </c>
      <c r="C670" t="inlineStr">
        <is>
          <t>Assistant Deputy Minister, Market and Services Industry</t>
        </is>
      </c>
      <c r="D670" t="inlineStr">
        <is>
          <t>Sous-ministre adjoint, Direction générale des services à l'industrie et aux marchés</t>
        </is>
      </c>
      <c r="E670" t="inlineStr">
        <is>
          <t>Fred Gorrell</t>
        </is>
      </c>
      <c r="F670" t="inlineStr">
        <is>
          <t>Ministerial mission to India and Vietnam to meet with Vietnamese and Indian counterparts to promote Canada as a partner of choice for the agri-food industry, and position Canada as a source of high quality and safe food products. The mission was part of the Government’s efforts to strengthen and expand Canada’s trade relationships in the Asia-Pacific region which, in turn, will help create well-paying jobs and foster long-term growth for farmers and Canadian families.</t>
        </is>
      </c>
      <c r="G670" t="inlineStr">
        <is>
          <t>Mission ministérielle en Inde et au Vietnam pour rencontrer ses homologues de ces pays, promouvoir le secteur agroalimentaire du Canada comme partenaire de choix et positionner le Canada comme fournisseur de produits alimentaires salubres de qualité supérieure. La  mission faisait partie des efforts déployés par le gouvernement pour renforcer et élargir les relations commerciales du Canada dans la région de l’Asie-Pacifique de façon à créer des emplois bien rémunérés et à favoriser la croissance à long terme des agriculteurs et des familles canadiennes</t>
        </is>
      </c>
      <c r="H670" s="1" t="n">
        <v>42790</v>
      </c>
      <c r="I670" s="1" t="n">
        <v>42806</v>
      </c>
      <c r="J670" t="inlineStr">
        <is>
          <t>Hanoi, VN &amp; New Delhi, IN</t>
        </is>
      </c>
      <c r="K670" t="inlineStr">
        <is>
          <t>Hanoi, VN &amp; New Delhi, IN</t>
        </is>
      </c>
      <c r="P670" t="n">
        <v>13555.46</v>
      </c>
      <c r="Q670" t="n">
        <v>150</v>
      </c>
      <c r="R670" t="n">
        <v>3451.37</v>
      </c>
      <c r="S670" t="n">
        <v>1946.63</v>
      </c>
      <c r="T670" t="n">
        <v>0</v>
      </c>
      <c r="U670" t="n">
        <v>19103.46</v>
      </c>
      <c r="V670" t="inlineStr">
        <is>
          <t>AJE564055</t>
        </is>
      </c>
      <c r="X670" t="inlineStr">
        <is>
          <t>aafc-aac</t>
        </is>
      </c>
      <c r="Y670" t="inlineStr">
        <is>
          <t>Agriculture and Agri-Food Canada | Agriculture et Agroalimentaire Canada</t>
        </is>
      </c>
      <c r="Z670" t="n">
        <v>17</v>
      </c>
      <c r="AA670" t="n">
        <v>19103.46</v>
      </c>
      <c r="AB670">
        <f>ROUND(U670-AA670,2)</f>
        <v/>
      </c>
      <c r="AC670" t="b">
        <v>0</v>
      </c>
      <c r="AD670">
        <f>IF(U670="","MISSING_TOTAL",IF(ABS(AB670)&lt;=0.01,"OK","CHECK"))</f>
        <v/>
      </c>
      <c r="AE670">
        <f>IF(U670="","MISSING",IF(AND(AA670&gt;0,U670/AA670&gt;50),"POSSIBLE_SCALE_ERROR","OK"))</f>
        <v/>
      </c>
    </row>
    <row r="671">
      <c r="A671" t="inlineStr">
        <is>
          <t>T-2017-Q1-00004</t>
        </is>
      </c>
      <c r="B671" t="inlineStr">
        <is>
          <t>SLE</t>
        </is>
      </c>
      <c r="C671" t="inlineStr">
        <is>
          <t>Assistant Deputy Minister, Market and Services Industry</t>
        </is>
      </c>
      <c r="D671" t="inlineStr">
        <is>
          <t>Sous-ministre adjoint, Direction générale des services à l'industrie et aux marchés</t>
        </is>
      </c>
      <c r="E671" t="inlineStr">
        <is>
          <t>Fred Gorrell</t>
        </is>
      </c>
      <c r="F671" t="inlineStr">
        <is>
          <t>Outreach to Winnipeg to meet with industry (Canadian International Grains Institute, Cargill, Canadian Grain Commission, Richard International Limited and Pulse Canada) in order to discuss and help advance current issues of interest related to market development and market access. A meeting with Mervin Traverse, Elder, Science and Technology Branch as well as Regional Office staff also took place.</t>
        </is>
      </c>
      <c r="G671" t="inlineStr">
        <is>
          <t>Rencontre avec des représentants de l’industrie (Institut international du Canada pour le grain, Cargill, Commission canadienne des grains, Richard International Limited et Pulse Canada) à Winnipeg pour discuter de dossiers d’actualité liés au développement des marchés et à l’accès aux marchés et faire avancer ces dossiers. Il y a eu également une réunion avec l’aîné Mervin Traverse, de la Direction générale des sciences et de la technologie, et le personnel du bureau régional.</t>
        </is>
      </c>
      <c r="H671" s="1" t="n">
        <v>42866</v>
      </c>
      <c r="I671" s="1" t="n">
        <v>42867</v>
      </c>
      <c r="J671" t="inlineStr">
        <is>
          <t>Winnipeg, Man.</t>
        </is>
      </c>
      <c r="K671" t="inlineStr">
        <is>
          <t>Winnipeg, Man.</t>
        </is>
      </c>
      <c r="P671" t="n">
        <v>1090.03</v>
      </c>
      <c r="Q671" t="n">
        <v>72.64</v>
      </c>
      <c r="R671" t="n">
        <v>147.81</v>
      </c>
      <c r="S671" t="n">
        <v>161.7</v>
      </c>
      <c r="T671" t="n">
        <v>0</v>
      </c>
      <c r="U671" t="n">
        <v>1472.18</v>
      </c>
      <c r="V671" t="inlineStr">
        <is>
          <t>AJE569104</t>
        </is>
      </c>
      <c r="X671" t="inlineStr">
        <is>
          <t>aafc-aac</t>
        </is>
      </c>
      <c r="Y671" t="inlineStr">
        <is>
          <t>Agriculture and Agri-Food Canada | Agriculture et Agroalimentaire Canada</t>
        </is>
      </c>
      <c r="Z671" t="n">
        <v>2</v>
      </c>
      <c r="AA671" t="n">
        <v>1472.18</v>
      </c>
      <c r="AB671">
        <f>ROUND(U671-AA671,2)</f>
        <v/>
      </c>
      <c r="AC671" t="b">
        <v>0</v>
      </c>
      <c r="AD671">
        <f>IF(U671="","MISSING_TOTAL",IF(ABS(AB671)&lt;=0.01,"OK","CHECK"))</f>
        <v/>
      </c>
      <c r="AE671">
        <f>IF(U671="","MISSING",IF(AND(AA671&gt;0,U671/AA671&gt;50),"POSSIBLE_SCALE_ERROR","OK"))</f>
        <v/>
      </c>
    </row>
    <row r="672">
      <c r="A672" t="inlineStr">
        <is>
          <t>T-2017-Q1-00005</t>
        </is>
      </c>
      <c r="B672" t="inlineStr">
        <is>
          <t>SLE</t>
        </is>
      </c>
      <c r="C672" t="inlineStr">
        <is>
          <t>Assistant Deputy Minister, Market and Services Industry</t>
        </is>
      </c>
      <c r="D672" t="inlineStr">
        <is>
          <t>Sous-ministre adjoint, Direction générale des services à l'industrie et aux marchés</t>
        </is>
      </c>
      <c r="E672" t="inlineStr">
        <is>
          <t>Fred Gorrell</t>
        </is>
      </c>
      <c r="F672" t="inlineStr">
        <is>
          <t>Travel to Prince Edward Island to join Minister MacAulay in meeting with the Honourable Christian Schmidt, German Federal Minister for Food and Agriculture, to discuss closer ties between Canada and Germany in agricultural research, reflect on cooperation on the international stage as well as the benefits of the the Canada-European Union Comprehensive Economic and Trade Agreement, which will give Canadian farmers, processors and exporters duty-free access to more than half a billion consumers across the European Union, the world’s largest import market for agriculture and agri-food.</t>
        </is>
      </c>
      <c r="G672" t="inlineStr">
        <is>
          <t>Voyage à l’Île-du-Prince-Édouard pour participer à une réunion avec le ministre MacAulay et l’honorable Christian Schmidt, ministre de l’Alimentation et de l’Agriculture de l’Allemagne. Les discussions ont porté sur le resserrement des liens entre le Canada et l’Allemagne dans le domaine de la recherche agricole, la coopération sur la scène internationale et les avantages de l’Accord économique et commercial global entre le Canada et l’Union européenne. L’Accord économique et comercial global permettra aux agriculteurs, aux transformateurs et aux exportateurs canadiens d’avoir accès en franchise de droits au marché de plus d’un demi-milliard de consommateurs de l’Union Européenne, le plus grand marché mondial d’importation de produits agricoles et agroalimentaires.</t>
        </is>
      </c>
      <c r="H672" s="1" t="n">
        <v>42875</v>
      </c>
      <c r="I672" s="1" t="n">
        <v>42877</v>
      </c>
      <c r="J672" t="inlineStr">
        <is>
          <t>Charlottetown, P.E.I.</t>
        </is>
      </c>
      <c r="K672" t="inlineStr">
        <is>
          <t>Charlottetown Î.-P.-É.</t>
        </is>
      </c>
      <c r="P672" t="n">
        <v>426.29</v>
      </c>
      <c r="Q672" t="n">
        <v>320.59</v>
      </c>
      <c r="R672" t="n">
        <v>200.18</v>
      </c>
      <c r="S672" t="n">
        <v>97.7</v>
      </c>
      <c r="T672" t="n">
        <v>0</v>
      </c>
      <c r="U672" t="n">
        <v>1044.76</v>
      </c>
      <c r="V672" t="inlineStr">
        <is>
          <t>AJE578667</t>
        </is>
      </c>
      <c r="X672" t="inlineStr">
        <is>
          <t>aafc-aac</t>
        </is>
      </c>
      <c r="Y672" t="inlineStr">
        <is>
          <t>Agriculture and Agri-Food Canada | Agriculture et Agroalimentaire Canada</t>
        </is>
      </c>
      <c r="Z672" t="n">
        <v>3</v>
      </c>
      <c r="AA672" t="n">
        <v>1044.76</v>
      </c>
      <c r="AB672">
        <f>ROUND(U672-AA672,2)</f>
        <v/>
      </c>
      <c r="AC672" t="b">
        <v>0</v>
      </c>
      <c r="AD672">
        <f>IF(U672="","MISSING_TOTAL",IF(ABS(AB672)&lt;=0.01,"OK","CHECK"))</f>
        <v/>
      </c>
      <c r="AE672">
        <f>IF(U672="","MISSING",IF(AND(AA672&gt;0,U672/AA672&gt;50),"POSSIBLE_SCALE_ERROR","OK"))</f>
        <v/>
      </c>
    </row>
    <row r="673">
      <c r="A673" t="inlineStr">
        <is>
          <t>T-2017-Q1-00006</t>
        </is>
      </c>
      <c r="B673" t="inlineStr">
        <is>
          <t>SLE</t>
        </is>
      </c>
      <c r="C673" t="inlineStr">
        <is>
          <t>Assistant Deputy Minister, Science and Technology Branch</t>
        </is>
      </c>
      <c r="D673" t="inlineStr">
        <is>
          <t>Sous-ministre adjoint, Direction générale des sciences et de la technologie</t>
        </is>
      </c>
      <c r="E673" t="inlineStr">
        <is>
          <t>Brian T. Gray</t>
        </is>
      </c>
      <c r="F673" t="inlineStr">
        <is>
          <t>Indigenous Network Circle and 
Outreach Meetings</t>
        </is>
      </c>
      <c r="G673" t="inlineStr">
        <is>
          <t>Réunions du Cercle de réseautage des employés 
autochtones et visite de sensibilitation</t>
        </is>
      </c>
      <c r="H673" s="1" t="n">
        <v>42815</v>
      </c>
      <c r="I673" s="1" t="n">
        <v>42818</v>
      </c>
      <c r="J673" t="inlineStr">
        <is>
          <t>Winnipeg, MB</t>
        </is>
      </c>
      <c r="K673" t="inlineStr">
        <is>
          <t>Winnipeg, MB</t>
        </is>
      </c>
      <c r="P673" t="n">
        <v>670.6900000000001</v>
      </c>
      <c r="Q673" t="n">
        <v>136.27</v>
      </c>
      <c r="R673" t="n">
        <v>461.19</v>
      </c>
      <c r="S673" t="n">
        <v>342.85</v>
      </c>
      <c r="U673" t="n">
        <v>1611</v>
      </c>
      <c r="V673" t="inlineStr">
        <is>
          <t>AJD929111</t>
        </is>
      </c>
      <c r="X673" t="inlineStr">
        <is>
          <t>aafc-aac</t>
        </is>
      </c>
      <c r="Y673" t="inlineStr">
        <is>
          <t>Agriculture and Agri-Food Canada | Agriculture et Agroalimentaire Canada</t>
        </is>
      </c>
      <c r="Z673" t="n">
        <v>4</v>
      </c>
      <c r="AA673" t="n">
        <v>1611</v>
      </c>
      <c r="AB673">
        <f>ROUND(U673-AA673,2)</f>
        <v/>
      </c>
      <c r="AC673" t="b">
        <v>0</v>
      </c>
      <c r="AD673">
        <f>IF(U673="","MISSING_TOTAL",IF(ABS(AB673)&lt;=0.01,"OK","CHECK"))</f>
        <v/>
      </c>
      <c r="AE673">
        <f>IF(U673="","MISSING",IF(AND(AA673&gt;0,U673/AA673&gt;50),"POSSIBLE_SCALE_ERROR","OK"))</f>
        <v/>
      </c>
    </row>
    <row r="674">
      <c r="A674" t="inlineStr">
        <is>
          <t>T-2017-Q1-00007</t>
        </is>
      </c>
      <c r="B674" t="inlineStr">
        <is>
          <t>SLE</t>
        </is>
      </c>
      <c r="C674" t="inlineStr">
        <is>
          <t>Assistant Deputy Minister, Science and Technology Branch</t>
        </is>
      </c>
      <c r="D674" t="inlineStr">
        <is>
          <t>Sous-ministre adjoint, Direction générale des sciences et de la technologie</t>
        </is>
      </c>
      <c r="E674" t="inlineStr">
        <is>
          <t>Brian T. Gray</t>
        </is>
      </c>
      <c r="F674" t="inlineStr">
        <is>
          <t>London Research Development Center Outreach Visit</t>
        </is>
      </c>
      <c r="G674" t="inlineStr">
        <is>
          <t>Visite de sensiblisation au Centre de Recherche et Dévelopment de London</t>
        </is>
      </c>
      <c r="H674" s="1" t="n">
        <v>42836</v>
      </c>
      <c r="I674" s="1" t="n">
        <v>42837</v>
      </c>
      <c r="J674" t="inlineStr">
        <is>
          <t>London, ON</t>
        </is>
      </c>
      <c r="K674" t="inlineStr">
        <is>
          <t>London, ON</t>
        </is>
      </c>
      <c r="P674" t="n">
        <v>507.55</v>
      </c>
      <c r="Q674" t="n">
        <v>83.18000000000001</v>
      </c>
      <c r="R674" t="n">
        <v>157.07</v>
      </c>
      <c r="S674" t="n">
        <v>115.75</v>
      </c>
      <c r="U674" t="n">
        <v>863.55</v>
      </c>
      <c r="V674" t="inlineStr">
        <is>
          <t>AJD908189</t>
        </is>
      </c>
      <c r="X674" t="inlineStr">
        <is>
          <t>aafc-aac</t>
        </is>
      </c>
      <c r="Y674" t="inlineStr">
        <is>
          <t>Agriculture and Agri-Food Canada | Agriculture et Agroalimentaire Canada</t>
        </is>
      </c>
      <c r="Z674" t="n">
        <v>2</v>
      </c>
      <c r="AA674" t="n">
        <v>863.55</v>
      </c>
      <c r="AB674">
        <f>ROUND(U674-AA674,2)</f>
        <v/>
      </c>
      <c r="AC674" t="b">
        <v>0</v>
      </c>
      <c r="AD674">
        <f>IF(U674="","MISSING_TOTAL",IF(ABS(AB674)&lt;=0.01,"OK","CHECK"))</f>
        <v/>
      </c>
      <c r="AE674">
        <f>IF(U674="","MISSING",IF(AND(AA674&gt;0,U674/AA674&gt;50),"POSSIBLE_SCALE_ERROR","OK"))</f>
        <v/>
      </c>
    </row>
    <row r="675">
      <c r="A675" t="inlineStr">
        <is>
          <t>T-2017-Q1-00008</t>
        </is>
      </c>
      <c r="B675" t="inlineStr">
        <is>
          <t>SLE</t>
        </is>
      </c>
      <c r="C675" t="inlineStr">
        <is>
          <t>Assistant Deputy Minister, Science and Technology Branch</t>
        </is>
      </c>
      <c r="D675" t="inlineStr">
        <is>
          <t>Sous-ministre adjoint, Direction générale des sciences et de la technologie</t>
        </is>
      </c>
      <c r="E675" t="inlineStr">
        <is>
          <t>Brian T. Gray</t>
        </is>
      </c>
      <c r="F675" t="inlineStr">
        <is>
          <t>Next Policy Framework and 
Outreach Meetings</t>
        </is>
      </c>
      <c r="G675" t="inlineStr">
        <is>
          <t>Réunions du Prochain cadre stratégique 
et visite de sensibilitation</t>
        </is>
      </c>
      <c r="H675" s="1" t="n">
        <v>42843</v>
      </c>
      <c r="I675" s="1" t="n">
        <v>42845</v>
      </c>
      <c r="J675" t="inlineStr">
        <is>
          <t>Lethbridge &amp; 
Edmonton, AB</t>
        </is>
      </c>
      <c r="K675" t="inlineStr">
        <is>
          <t>Lethbridge &amp; 
Edmonton, AB</t>
        </is>
      </c>
      <c r="P675" t="n">
        <v>1075.86</v>
      </c>
      <c r="Q675" t="n">
        <v>334.55</v>
      </c>
      <c r="R675" t="n">
        <v>311.76</v>
      </c>
      <c r="S675" t="n">
        <v>214.2</v>
      </c>
      <c r="U675" t="n">
        <v>1936.37</v>
      </c>
      <c r="V675" t="inlineStr">
        <is>
          <t>AJD985468</t>
        </is>
      </c>
      <c r="X675" t="inlineStr">
        <is>
          <t>aafc-aac</t>
        </is>
      </c>
      <c r="Y675" t="inlineStr">
        <is>
          <t>Agriculture and Agri-Food Canada | Agriculture et Agroalimentaire Canada</t>
        </is>
      </c>
      <c r="Z675" t="n">
        <v>3</v>
      </c>
      <c r="AA675" t="n">
        <v>1936.37</v>
      </c>
      <c r="AB675">
        <f>ROUND(U675-AA675,2)</f>
        <v/>
      </c>
      <c r="AC675" t="b">
        <v>0</v>
      </c>
      <c r="AD675">
        <f>IF(U675="","MISSING_TOTAL",IF(ABS(AB675)&lt;=0.01,"OK","CHECK"))</f>
        <v/>
      </c>
      <c r="AE675">
        <f>IF(U675="","MISSING",IF(AND(AA675&gt;0,U675/AA675&gt;50),"POSSIBLE_SCALE_ERROR","OK"))</f>
        <v/>
      </c>
    </row>
    <row r="676">
      <c r="A676" t="inlineStr">
        <is>
          <t>T-2017-Q1-00009</t>
        </is>
      </c>
      <c r="B676" t="inlineStr">
        <is>
          <t>SLE</t>
        </is>
      </c>
      <c r="C676" t="inlineStr">
        <is>
          <t>Assistant Deputy Minister, Science and Technology Branch</t>
        </is>
      </c>
      <c r="D676" t="inlineStr">
        <is>
          <t>Sous-ministre adjoint, Direction générale des sciences et de la technologie</t>
        </is>
      </c>
      <c r="E676" t="inlineStr">
        <is>
          <t>Brian T. Gray</t>
        </is>
      </c>
      <c r="F676" t="inlineStr">
        <is>
          <t>Fredericton and Charlottetown Research and Development Center
Outreach Visits</t>
        </is>
      </c>
      <c r="G676" t="inlineStr">
        <is>
          <t>Visite de sensiblisation aux Centre de Recherche et Dévelopment de Frédéricton et Charlottetown</t>
        </is>
      </c>
      <c r="H676" s="1" t="n">
        <v>42871</v>
      </c>
      <c r="I676" s="1" t="n">
        <v>42874</v>
      </c>
      <c r="J676" t="inlineStr">
        <is>
          <t>Fredericton, N.B. &amp; 
Charlottetown, P.E.I.</t>
        </is>
      </c>
      <c r="K676" t="inlineStr">
        <is>
          <t>Frédéricton, N.-B. &amp; 
Charlottetown, Î.-P.-É.</t>
        </is>
      </c>
      <c r="P676" t="n">
        <v>1045.92</v>
      </c>
      <c r="Q676" t="n">
        <v>174.43</v>
      </c>
      <c r="R676" t="n">
        <v>530.35</v>
      </c>
      <c r="S676" t="n">
        <v>312.65</v>
      </c>
      <c r="T676" t="n">
        <v>0</v>
      </c>
      <c r="U676" t="n">
        <v>2063.35</v>
      </c>
      <c r="V676" t="inlineStr">
        <is>
          <t>AJD935956</t>
        </is>
      </c>
      <c r="X676" t="inlineStr">
        <is>
          <t>aafc-aac</t>
        </is>
      </c>
      <c r="Y676" t="inlineStr">
        <is>
          <t>Agriculture and Agri-Food Canada | Agriculture et Agroalimentaire Canada</t>
        </is>
      </c>
      <c r="Z676" t="n">
        <v>4</v>
      </c>
      <c r="AA676" t="n">
        <v>2063.35</v>
      </c>
      <c r="AB676">
        <f>ROUND(U676-AA676,2)</f>
        <v/>
      </c>
      <c r="AC676" t="b">
        <v>0</v>
      </c>
      <c r="AD676">
        <f>IF(U676="","MISSING_TOTAL",IF(ABS(AB676)&lt;=0.01,"OK","CHECK"))</f>
        <v/>
      </c>
      <c r="AE676">
        <f>IF(U676="","MISSING",IF(AND(AA676&gt;0,U676/AA676&gt;50),"POSSIBLE_SCALE_ERROR","OK"))</f>
        <v/>
      </c>
    </row>
    <row r="677">
      <c r="A677" t="inlineStr">
        <is>
          <t>T-2017-Q1-00010</t>
        </is>
      </c>
      <c r="B677" t="inlineStr">
        <is>
          <t>SLE</t>
        </is>
      </c>
      <c r="C677" t="inlineStr">
        <is>
          <t>Chief Information Officer, Information Services Branch</t>
        </is>
      </c>
      <c r="D677" t="inlineStr">
        <is>
          <t>Dirigeant principal à l'information, Direction générale des systèmes d'information</t>
        </is>
      </c>
      <c r="E677" t="inlineStr">
        <is>
          <t>Michel Lessard</t>
        </is>
      </c>
      <c r="F677" t="inlineStr">
        <is>
          <t>Gartner 2017 Leadership Forum aux dirigeants principal de l'information</t>
        </is>
      </c>
      <c r="G677" t="inlineStr">
        <is>
          <t>Gartner 2017 Leadership Forum aux dirigeants principal de l'information</t>
        </is>
      </c>
      <c r="H677" s="1" t="n">
        <v>42790</v>
      </c>
      <c r="I677" s="1" t="n">
        <v>42795</v>
      </c>
      <c r="J677" t="inlineStr">
        <is>
          <t>Phoenix, AZ</t>
        </is>
      </c>
      <c r="K677" t="inlineStr">
        <is>
          <t>Phoenix, AZ</t>
        </is>
      </c>
      <c r="P677" t="n">
        <v>896.88</v>
      </c>
      <c r="Q677" t="n">
        <v>233.26</v>
      </c>
      <c r="R677" t="n">
        <v>1607.34</v>
      </c>
      <c r="S677" t="n">
        <v>457.95</v>
      </c>
      <c r="T677" t="n">
        <v>0</v>
      </c>
      <c r="U677" t="n">
        <v>3195.43</v>
      </c>
      <c r="V677" t="inlineStr">
        <is>
          <t>A017388</t>
        </is>
      </c>
      <c r="X677" t="inlineStr">
        <is>
          <t>aafc-aac</t>
        </is>
      </c>
      <c r="Y677" t="inlineStr">
        <is>
          <t>Agriculture and Agri-Food Canada | Agriculture et Agroalimentaire Canada</t>
        </is>
      </c>
      <c r="Z677" t="n">
        <v>6</v>
      </c>
      <c r="AA677" t="n">
        <v>3195.42999999999</v>
      </c>
      <c r="AB677">
        <f>ROUND(U677-AA677,2)</f>
        <v/>
      </c>
      <c r="AC677" t="b">
        <v>0</v>
      </c>
      <c r="AD677">
        <f>IF(U677="","MISSING_TOTAL",IF(ABS(AB677)&lt;=0.01,"OK","CHECK"))</f>
        <v/>
      </c>
      <c r="AE677">
        <f>IF(U677="","MISSING",IF(AND(AA677&gt;0,U677/AA677&gt;50),"POSSIBLE_SCALE_ERROR","OK"))</f>
        <v/>
      </c>
    </row>
    <row r="678">
      <c r="A678" t="inlineStr">
        <is>
          <t>T-2017-Q1-00011</t>
        </is>
      </c>
      <c r="B678" t="inlineStr">
        <is>
          <t>SLE</t>
        </is>
      </c>
      <c r="C678" t="inlineStr">
        <is>
          <t>Chief Information Officer, Information Services Branch</t>
        </is>
      </c>
      <c r="D678" t="inlineStr">
        <is>
          <t>Dirigeant principal à l'information, Direction générale des systèmes d'information</t>
        </is>
      </c>
      <c r="E678" t="inlineStr">
        <is>
          <t>Michel Lessard</t>
        </is>
      </c>
      <c r="F678" t="inlineStr">
        <is>
          <t>Council of Chief Information Officers</t>
        </is>
      </c>
      <c r="G678" t="inlineStr">
        <is>
          <t>Conseil des officiers d'information en chef</t>
        </is>
      </c>
      <c r="H678" s="1" t="n">
        <v>42795</v>
      </c>
      <c r="I678" s="1" t="n">
        <v>42797</v>
      </c>
      <c r="J678" t="inlineStr">
        <is>
          <t>Calgary, Alta.</t>
        </is>
      </c>
      <c r="K678" t="inlineStr">
        <is>
          <t>Calgary, Alb.</t>
        </is>
      </c>
      <c r="P678" t="n">
        <v>662.04</v>
      </c>
      <c r="Q678" t="n">
        <v>77.8</v>
      </c>
      <c r="R678" t="n">
        <v>242.5</v>
      </c>
      <c r="S678" t="n">
        <v>114.7</v>
      </c>
      <c r="T678" t="n">
        <v>0</v>
      </c>
      <c r="U678" t="n">
        <v>1097.04</v>
      </c>
      <c r="V678" t="inlineStr">
        <is>
          <t>A017388</t>
        </is>
      </c>
      <c r="X678" t="inlineStr">
        <is>
          <t>aafc-aac</t>
        </is>
      </c>
      <c r="Y678" t="inlineStr">
        <is>
          <t>Agriculture and Agri-Food Canada | Agriculture et Agroalimentaire Canada</t>
        </is>
      </c>
      <c r="Z678" t="n">
        <v>3</v>
      </c>
      <c r="AA678" t="n">
        <v>1097.04</v>
      </c>
      <c r="AB678">
        <f>ROUND(U678-AA678,2)</f>
        <v/>
      </c>
      <c r="AC678" t="b">
        <v>0</v>
      </c>
      <c r="AD678">
        <f>IF(U678="","MISSING_TOTAL",IF(ABS(AB678)&lt;=0.01,"OK","CHECK"))</f>
        <v/>
      </c>
      <c r="AE678">
        <f>IF(U678="","MISSING",IF(AND(AA678&gt;0,U678/AA678&gt;50),"POSSIBLE_SCALE_ERROR","OK"))</f>
        <v/>
      </c>
    </row>
    <row r="679">
      <c r="A679" t="inlineStr">
        <is>
          <t>T-2017-Q1-00012</t>
        </is>
      </c>
      <c r="B679" t="inlineStr">
        <is>
          <t>SLE</t>
        </is>
      </c>
      <c r="C679" t="inlineStr">
        <is>
          <t>Chief Information Officer, Information Services Branch</t>
        </is>
      </c>
      <c r="D679" t="inlineStr">
        <is>
          <t>Dirigeant principal à l'information, Direction générale des systèmes d'information</t>
        </is>
      </c>
      <c r="E679" t="inlineStr">
        <is>
          <t>Michel Lessard</t>
        </is>
      </c>
      <c r="F679" t="inlineStr">
        <is>
          <t>Canadian Space Agency meeting</t>
        </is>
      </c>
      <c r="G679" t="inlineStr">
        <is>
          <t>Réunion de l'Agence spatiale canadienne</t>
        </is>
      </c>
      <c r="H679" s="1" t="n">
        <v>42803</v>
      </c>
      <c r="I679" s="1" t="n">
        <v>42803</v>
      </c>
      <c r="J679" t="inlineStr">
        <is>
          <t>Saint-Hubert, Que.</t>
        </is>
      </c>
      <c r="K679" t="inlineStr">
        <is>
          <t>Saint-Hubert, Qc</t>
        </is>
      </c>
      <c r="P679" t="n">
        <v>0</v>
      </c>
      <c r="Q679" t="n">
        <v>252.4</v>
      </c>
      <c r="R679" t="n">
        <v>0</v>
      </c>
      <c r="S679" t="n">
        <v>62.8</v>
      </c>
      <c r="T679" t="n">
        <v>0</v>
      </c>
      <c r="U679" t="n">
        <v>315.2</v>
      </c>
      <c r="V679" t="inlineStr">
        <is>
          <t>A017388</t>
        </is>
      </c>
      <c r="X679" t="inlineStr">
        <is>
          <t>aafc-aac</t>
        </is>
      </c>
      <c r="Y679" t="inlineStr">
        <is>
          <t>Agriculture and Agri-Food Canada | Agriculture et Agroalimentaire Canada</t>
        </is>
      </c>
      <c r="Z679" t="n">
        <v>1</v>
      </c>
      <c r="AA679" t="n">
        <v>315.2</v>
      </c>
      <c r="AB679">
        <f>ROUND(U679-AA679,2)</f>
        <v/>
      </c>
      <c r="AC679" t="b">
        <v>0</v>
      </c>
      <c r="AD679">
        <f>IF(U679="","MISSING_TOTAL",IF(ABS(AB679)&lt;=0.01,"OK","CHECK"))</f>
        <v/>
      </c>
      <c r="AE679">
        <f>IF(U679="","MISSING",IF(AND(AA679&gt;0,U679/AA679&gt;50),"POSSIBLE_SCALE_ERROR","OK"))</f>
        <v/>
      </c>
    </row>
    <row r="680">
      <c r="A680" t="inlineStr">
        <is>
          <t>T-2017-Q1-00013</t>
        </is>
      </c>
      <c r="B680" t="inlineStr">
        <is>
          <t>SLE</t>
        </is>
      </c>
      <c r="C680" t="inlineStr">
        <is>
          <t>Assistant Deputy Minister, Programs Branch</t>
        </is>
      </c>
      <c r="D680" t="inlineStr">
        <is>
          <t>Sous-ministre adjointe,  Direction générale des programmes</t>
        </is>
      </c>
      <c r="E680" t="inlineStr">
        <is>
          <t>France Pégeot</t>
        </is>
      </c>
      <c r="F680" t="inlineStr">
        <is>
          <t>Regional Management Meeting</t>
        </is>
      </c>
      <c r="G680" t="inlineStr">
        <is>
          <t>Réunion de gestion régionale</t>
        </is>
      </c>
      <c r="H680" s="1" t="n">
        <v>42800</v>
      </c>
      <c r="I680" s="1" t="n">
        <v>42801</v>
      </c>
      <c r="J680" t="inlineStr">
        <is>
          <t>Sainte-Hyacinthe , Que.</t>
        </is>
      </c>
      <c r="K680" t="inlineStr">
        <is>
          <t>Sainte-Hyacinthe , Qc</t>
        </is>
      </c>
      <c r="P680" t="n">
        <v>0</v>
      </c>
      <c r="Q680" t="n">
        <v>280.68</v>
      </c>
      <c r="R680" t="n">
        <v>130.9</v>
      </c>
      <c r="S680" t="n">
        <v>159.95</v>
      </c>
      <c r="T680" t="n">
        <v>0</v>
      </c>
      <c r="U680" t="n">
        <v>571.53</v>
      </c>
      <c r="V680" t="inlineStr">
        <is>
          <t>AJF119164</t>
        </is>
      </c>
      <c r="X680" t="inlineStr">
        <is>
          <t>aafc-aac</t>
        </is>
      </c>
      <c r="Y680" t="inlineStr">
        <is>
          <t>Agriculture and Agri-Food Canada | Agriculture et Agroalimentaire Canada</t>
        </is>
      </c>
      <c r="Z680" t="n">
        <v>2</v>
      </c>
      <c r="AA680" t="n">
        <v>571.53</v>
      </c>
      <c r="AB680">
        <f>ROUND(U680-AA680,2)</f>
        <v/>
      </c>
      <c r="AC680" t="b">
        <v>0</v>
      </c>
      <c r="AD680">
        <f>IF(U680="","MISSING_TOTAL",IF(ABS(AB680)&lt;=0.01,"OK","CHECK"))</f>
        <v/>
      </c>
      <c r="AE680">
        <f>IF(U680="","MISSING",IF(AND(AA680&gt;0,U680/AA680&gt;50),"POSSIBLE_SCALE_ERROR","OK"))</f>
        <v/>
      </c>
    </row>
    <row r="681">
      <c r="A681" t="inlineStr">
        <is>
          <t>T-2017-Q1-00014</t>
        </is>
      </c>
      <c r="B681" t="inlineStr">
        <is>
          <t>SLE</t>
        </is>
      </c>
      <c r="C681" t="inlineStr">
        <is>
          <t>Assistant Deputy Minister, Programs Branch</t>
        </is>
      </c>
      <c r="D681" t="inlineStr">
        <is>
          <t>Sous-ministre adjointe,  Direction générale des programmes</t>
        </is>
      </c>
      <c r="E681" t="inlineStr">
        <is>
          <t>France Pégeot</t>
        </is>
      </c>
      <c r="F681" t="inlineStr">
        <is>
          <t>Winnipeg Regional Meeting</t>
        </is>
      </c>
      <c r="G681" t="inlineStr">
        <is>
          <t>Réunion régionale à Winnipeg</t>
        </is>
      </c>
      <c r="H681" s="1" t="n">
        <v>42809</v>
      </c>
      <c r="I681" s="1" t="n">
        <v>42810</v>
      </c>
      <c r="J681" t="inlineStr">
        <is>
          <t>Winnipeg, Man.</t>
        </is>
      </c>
      <c r="K681" t="inlineStr">
        <is>
          <t>Winnipeg, Man.</t>
        </is>
      </c>
      <c r="P681" t="n">
        <v>738.66</v>
      </c>
      <c r="Q681" t="n">
        <v>83.62</v>
      </c>
      <c r="R681" t="n">
        <v>235.32</v>
      </c>
      <c r="S681" t="n">
        <v>159.95</v>
      </c>
      <c r="T681" t="n">
        <v>0</v>
      </c>
      <c r="U681" t="n">
        <v>1217.55</v>
      </c>
      <c r="V681" t="inlineStr">
        <is>
          <t>AJF196163</t>
        </is>
      </c>
      <c r="X681" t="inlineStr">
        <is>
          <t>aafc-aac</t>
        </is>
      </c>
      <c r="Y681" t="inlineStr">
        <is>
          <t>Agriculture and Agri-Food Canada | Agriculture et Agroalimentaire Canada</t>
        </is>
      </c>
      <c r="Z681" t="n">
        <v>2</v>
      </c>
      <c r="AA681" t="n">
        <v>1217.55</v>
      </c>
      <c r="AB681">
        <f>ROUND(U681-AA681,2)</f>
        <v/>
      </c>
      <c r="AC681" t="b">
        <v>0</v>
      </c>
      <c r="AD681">
        <f>IF(U681="","MISSING_TOTAL",IF(ABS(AB681)&lt;=0.01,"OK","CHECK"))</f>
        <v/>
      </c>
      <c r="AE681">
        <f>IF(U681="","MISSING",IF(AND(AA681&gt;0,U681/AA681&gt;50),"POSSIBLE_SCALE_ERROR","OK"))</f>
        <v/>
      </c>
    </row>
    <row r="682">
      <c r="A682" t="inlineStr">
        <is>
          <t>T-2017-Q2-00098</t>
        </is>
      </c>
      <c r="B682" t="inlineStr">
        <is>
          <t>MPSES</t>
        </is>
      </c>
      <c r="C682" t="inlineStr">
        <is>
          <t>Minister</t>
        </is>
      </c>
      <c r="D682" t="inlineStr">
        <is>
          <t>Ministre</t>
        </is>
      </c>
      <c r="E682" t="inlineStr">
        <is>
          <t>Lawrence MacAulay</t>
        </is>
      </c>
      <c r="F682" t="inlineStr">
        <is>
          <t>Bilateral meeting with AgroPur</t>
        </is>
      </c>
      <c r="G682" t="inlineStr">
        <is>
          <t>Rencontre bilatérale avec AgroPur</t>
        </is>
      </c>
      <c r="H682" s="1" t="n">
        <v>42975</v>
      </c>
      <c r="I682" s="1" t="n">
        <v>42976</v>
      </c>
      <c r="J682" t="inlineStr">
        <is>
          <t>Sussex, NB</t>
        </is>
      </c>
      <c r="K682" t="inlineStr">
        <is>
          <t>Sussex, NB</t>
        </is>
      </c>
      <c r="R682" t="n">
        <v>113.85</v>
      </c>
      <c r="S682" t="n">
        <v>98.59999999999999</v>
      </c>
      <c r="U682" t="n">
        <v>212.45</v>
      </c>
      <c r="V682" t="n">
        <v>1900071894</v>
      </c>
      <c r="X682" t="inlineStr">
        <is>
          <t>aafc-aac</t>
        </is>
      </c>
      <c r="Y682" t="inlineStr">
        <is>
          <t>Agriculture and Agri-Food Canada | Agriculture et Agroalimentaire Canada</t>
        </is>
      </c>
      <c r="Z682" t="n">
        <v>2</v>
      </c>
      <c r="AA682" t="n">
        <v>212.45</v>
      </c>
      <c r="AB682">
        <f>ROUND(U682-AA682,2)</f>
        <v/>
      </c>
      <c r="AC682" t="b">
        <v>0</v>
      </c>
      <c r="AD682">
        <f>IF(U682="","MISSING_TOTAL",IF(ABS(AB682)&lt;=0.01,"OK","CHECK"))</f>
        <v/>
      </c>
      <c r="AE682">
        <f>IF(U682="","MISSING",IF(AND(AA682&gt;0,U682/AA682&gt;50),"POSSIBLE_SCALE_ERROR","OK"))</f>
        <v/>
      </c>
    </row>
    <row r="683">
      <c r="A683" t="inlineStr">
        <is>
          <t>T-2017-Q1-00015</t>
        </is>
      </c>
      <c r="B683" t="inlineStr">
        <is>
          <t>SLE</t>
        </is>
      </c>
      <c r="C683" t="inlineStr">
        <is>
          <t>Assistant Deputy Minister, Programs Branch</t>
        </is>
      </c>
      <c r="D683" t="inlineStr">
        <is>
          <t>Sous-ministre adjointe,  Direction générale des programmes</t>
        </is>
      </c>
      <c r="E683" t="inlineStr">
        <is>
          <t>France Pégeot</t>
        </is>
      </c>
      <c r="F683" t="inlineStr">
        <is>
          <t>Guelph Regional Meeting and Canada's Public Policy Forum Toronto</t>
        </is>
      </c>
      <c r="G683" t="inlineStr">
        <is>
          <t>Réunion régionale à Guelph et Forum des politiques publiques du Canada à Toronto</t>
        </is>
      </c>
      <c r="H683" s="1" t="n">
        <v>42843</v>
      </c>
      <c r="I683" s="1" t="n">
        <v>42846</v>
      </c>
      <c r="J683" t="inlineStr">
        <is>
          <t>Guelph, Ont. &amp; Toronto, Ont.</t>
        </is>
      </c>
      <c r="K683" t="inlineStr">
        <is>
          <t>Guelph, Ont. &amp; Toronto, Ont.</t>
        </is>
      </c>
      <c r="P683" t="n">
        <v>471.58</v>
      </c>
      <c r="Q683" t="n">
        <v>92.88</v>
      </c>
      <c r="R683" t="n">
        <v>539.6</v>
      </c>
      <c r="S683" t="n">
        <v>230.6</v>
      </c>
      <c r="T683" t="n">
        <v>768.4</v>
      </c>
      <c r="U683" t="n">
        <v>2103.06</v>
      </c>
      <c r="V683" t="inlineStr">
        <is>
          <t>AJF196997</t>
        </is>
      </c>
      <c r="X683" t="inlineStr">
        <is>
          <t>aafc-aac</t>
        </is>
      </c>
      <c r="Y683" t="inlineStr">
        <is>
          <t>Agriculture and Agri-Food Canada | Agriculture et Agroalimentaire Canada</t>
        </is>
      </c>
      <c r="Z683" t="n">
        <v>4</v>
      </c>
      <c r="AA683" t="n">
        <v>2103.06</v>
      </c>
      <c r="AB683">
        <f>ROUND(U683-AA683,2)</f>
        <v/>
      </c>
      <c r="AC683" t="b">
        <v>0</v>
      </c>
      <c r="AD683">
        <f>IF(U683="","MISSING_TOTAL",IF(ABS(AB683)&lt;=0.01,"OK","CHECK"))</f>
        <v/>
      </c>
      <c r="AE683">
        <f>IF(U683="","MISSING",IF(AND(AA683&gt;0,U683/AA683&gt;50),"POSSIBLE_SCALE_ERROR","OK"))</f>
        <v/>
      </c>
    </row>
    <row r="684">
      <c r="A684" t="inlineStr">
        <is>
          <t>T-2017-Q1-00016</t>
        </is>
      </c>
      <c r="B684" t="inlineStr">
        <is>
          <t>SLE</t>
        </is>
      </c>
      <c r="C684" t="inlineStr">
        <is>
          <t>Assistant Deputy Minister, Programs Branch</t>
        </is>
      </c>
      <c r="D684" t="inlineStr">
        <is>
          <t>Sous-ministre adjointe,  Direction générale des programmes</t>
        </is>
      </c>
      <c r="E684" t="inlineStr">
        <is>
          <t>France Pégeot</t>
        </is>
      </c>
      <c r="F684" t="inlineStr">
        <is>
          <t>Minister's Visit -for Montreal Outreach Meetings</t>
        </is>
      </c>
      <c r="G684" t="inlineStr">
        <is>
          <t>Visit du Ministre pour réunion de sensibilisation à Montréal</t>
        </is>
      </c>
      <c r="H684" s="1" t="n">
        <v>42866</v>
      </c>
      <c r="I684" s="1" t="n">
        <v>42867</v>
      </c>
      <c r="J684" t="inlineStr">
        <is>
          <t>Montreal, Que.</t>
        </is>
      </c>
      <c r="K684" t="inlineStr">
        <is>
          <t>Montréal, Qc</t>
        </is>
      </c>
      <c r="P684" t="n">
        <v>0</v>
      </c>
      <c r="Q684" t="n">
        <v>279.22</v>
      </c>
      <c r="R684" t="n">
        <v>224.91</v>
      </c>
      <c r="S684" t="n">
        <v>161.7</v>
      </c>
      <c r="T684" t="n">
        <v>0</v>
      </c>
      <c r="U684" t="n">
        <v>665.83</v>
      </c>
      <c r="V684" t="inlineStr">
        <is>
          <t>AJF181200</t>
        </is>
      </c>
      <c r="X684" t="inlineStr">
        <is>
          <t>aafc-aac</t>
        </is>
      </c>
      <c r="Y684" t="inlineStr">
        <is>
          <t>Agriculture and Agri-Food Canada | Agriculture et Agroalimentaire Canada</t>
        </is>
      </c>
      <c r="Z684" t="n">
        <v>2</v>
      </c>
      <c r="AA684" t="n">
        <v>665.829999999999</v>
      </c>
      <c r="AB684">
        <f>ROUND(U684-AA684,2)</f>
        <v/>
      </c>
      <c r="AC684" t="b">
        <v>0</v>
      </c>
      <c r="AD684">
        <f>IF(U684="","MISSING_TOTAL",IF(ABS(AB684)&lt;=0.01,"OK","CHECK"))</f>
        <v/>
      </c>
      <c r="AE684">
        <f>IF(U684="","MISSING",IF(AND(AA684&gt;0,U684/AA684&gt;50),"POSSIBLE_SCALE_ERROR","OK"))</f>
        <v/>
      </c>
    </row>
    <row r="685">
      <c r="A685" t="inlineStr">
        <is>
          <t>T-2017-Q1-00017</t>
        </is>
      </c>
      <c r="B685" t="inlineStr">
        <is>
          <t>SLE</t>
        </is>
      </c>
      <c r="C685" t="inlineStr">
        <is>
          <t>Assistant Deputy Minister, Programs Branch</t>
        </is>
      </c>
      <c r="D685" t="inlineStr">
        <is>
          <t>Sous-ministre adjointe,  Direction générale des programmes</t>
        </is>
      </c>
      <c r="E685" t="inlineStr">
        <is>
          <t>France Pégeot</t>
        </is>
      </c>
      <c r="F685" t="inlineStr">
        <is>
          <t>Montreal Leadership Session</t>
        </is>
      </c>
      <c r="G685" t="inlineStr">
        <is>
          <t>Séance de leadership à Montréal</t>
        </is>
      </c>
      <c r="H685" s="1" t="n">
        <v>42872</v>
      </c>
      <c r="I685" s="1" t="n">
        <v>42872</v>
      </c>
      <c r="J685" t="inlineStr">
        <is>
          <t>Montreal, Que.</t>
        </is>
      </c>
      <c r="K685" t="inlineStr">
        <is>
          <t>Montréal, Qc</t>
        </is>
      </c>
      <c r="P685" t="n">
        <v>0</v>
      </c>
      <c r="Q685" t="n">
        <v>242.33</v>
      </c>
      <c r="R685" t="n">
        <v>0</v>
      </c>
      <c r="S685" t="n">
        <v>64</v>
      </c>
      <c r="T685" t="n">
        <v>0</v>
      </c>
      <c r="U685" t="n">
        <v>306.33</v>
      </c>
      <c r="V685" t="inlineStr">
        <is>
          <t>AJF104013</t>
        </is>
      </c>
      <c r="X685" t="inlineStr">
        <is>
          <t>aafc-aac</t>
        </is>
      </c>
      <c r="Y685" t="inlineStr">
        <is>
          <t>Agriculture and Agri-Food Canada | Agriculture et Agroalimentaire Canada</t>
        </is>
      </c>
      <c r="Z685" t="n">
        <v>1</v>
      </c>
      <c r="AA685" t="n">
        <v>306.33</v>
      </c>
      <c r="AB685">
        <f>ROUND(U685-AA685,2)</f>
        <v/>
      </c>
      <c r="AC685" t="b">
        <v>0</v>
      </c>
      <c r="AD685">
        <f>IF(U685="","MISSING_TOTAL",IF(ABS(AB685)&lt;=0.01,"OK","CHECK"))</f>
        <v/>
      </c>
      <c r="AE685">
        <f>IF(U685="","MISSING",IF(AND(AA685&gt;0,U685/AA685&gt;50),"POSSIBLE_SCALE_ERROR","OK"))</f>
        <v/>
      </c>
    </row>
    <row r="686">
      <c r="A686" t="inlineStr">
        <is>
          <t>T-2017-Q1-00018</t>
        </is>
      </c>
      <c r="B686" t="inlineStr">
        <is>
          <t>SLE</t>
        </is>
      </c>
      <c r="C686" t="inlineStr">
        <is>
          <t>Assistant Deputy Minister, Programs Branch</t>
        </is>
      </c>
      <c r="D686" t="inlineStr">
        <is>
          <t>Sous-ministre adjointe,  Direction générale des programmes</t>
        </is>
      </c>
      <c r="E686" t="inlineStr">
        <is>
          <t>France Pégeot</t>
        </is>
      </c>
      <c r="F686" t="inlineStr">
        <is>
          <t>First Nation Outreach Session</t>
        </is>
      </c>
      <c r="G686" t="inlineStr">
        <is>
          <t>Séance de sesibilisation des premières nations</t>
        </is>
      </c>
      <c r="H686" s="1" t="n">
        <v>42886</v>
      </c>
      <c r="I686" s="1" t="n">
        <v>42887</v>
      </c>
      <c r="J686" t="inlineStr">
        <is>
          <t>Vaudreuil, Que.</t>
        </is>
      </c>
      <c r="K686" t="inlineStr">
        <is>
          <t>Vaudreuil, Qc</t>
        </is>
      </c>
      <c r="P686" t="n">
        <v>0</v>
      </c>
      <c r="Q686" t="n">
        <v>180.38</v>
      </c>
      <c r="R686" t="n">
        <v>183.98</v>
      </c>
      <c r="S686" t="n">
        <v>126.5</v>
      </c>
      <c r="T686" t="n">
        <v>0</v>
      </c>
      <c r="U686" t="n">
        <v>490.86</v>
      </c>
      <c r="V686" t="inlineStr">
        <is>
          <t>AJF148284</t>
        </is>
      </c>
      <c r="X686" t="inlineStr">
        <is>
          <t>aafc-aac</t>
        </is>
      </c>
      <c r="Y686" t="inlineStr">
        <is>
          <t>Agriculture and Agri-Food Canada | Agriculture et Agroalimentaire Canada</t>
        </is>
      </c>
      <c r="Z686" t="n">
        <v>2</v>
      </c>
      <c r="AA686" t="n">
        <v>490.86</v>
      </c>
      <c r="AB686">
        <f>ROUND(U686-AA686,2)</f>
        <v/>
      </c>
      <c r="AC686" t="b">
        <v>0</v>
      </c>
      <c r="AD686">
        <f>IF(U686="","MISSING_TOTAL",IF(ABS(AB686)&lt;=0.01,"OK","CHECK"))</f>
        <v/>
      </c>
      <c r="AE686">
        <f>IF(U686="","MISSING",IF(AND(AA686&gt;0,U686/AA686&gt;50),"POSSIBLE_SCALE_ERROR","OK"))</f>
        <v/>
      </c>
    </row>
    <row r="687">
      <c r="A687" t="inlineStr">
        <is>
          <t>T-2017-Q1-00019</t>
        </is>
      </c>
      <c r="B687" t="inlineStr">
        <is>
          <t>SLE</t>
        </is>
      </c>
      <c r="C687" t="inlineStr">
        <is>
          <t>Assistant Deputy Minister, Strategic Policy Branch</t>
        </is>
      </c>
      <c r="D687" t="inlineStr">
        <is>
          <t>Sous-ministre adjoint, Direction générale des politiques stratégiques</t>
        </is>
      </c>
      <c r="E687" t="inlineStr">
        <is>
          <t>Tom Rosser</t>
        </is>
      </c>
      <c r="F687" t="inlineStr">
        <is>
          <t>Seafood Expo North America in Boston, Massachusetts; and Food Policy Meetings in Guelph, Ontario To accompany the Minister to the Seafood Expo in Boston and to attend Food Policy Meetings in Guelph.</t>
        </is>
      </c>
      <c r="G687" t="inlineStr">
        <is>
          <t>Exposition de fruits de mer à Boston; Réunions sur la politique alimentaire à Guelph. Accompagner le ministre à l'exposition de fruits de mer à Boston et pour assister à des réunions sur la politique alimentaire à Guelph.</t>
        </is>
      </c>
      <c r="H687" s="1" t="n">
        <v>42811</v>
      </c>
      <c r="I687" s="1" t="n">
        <v>42814</v>
      </c>
      <c r="J687" t="inlineStr">
        <is>
          <t>Boston, MA &amp; Guelph, Ont.</t>
        </is>
      </c>
      <c r="K687" t="inlineStr">
        <is>
          <t>Boston, MA &amp;  Guelph, Ont.</t>
        </is>
      </c>
      <c r="P687" t="n">
        <v>809.66</v>
      </c>
      <c r="Q687" t="n">
        <v>255.32</v>
      </c>
      <c r="R687" t="n">
        <v>1597.84</v>
      </c>
      <c r="S687" t="n">
        <v>570.9299999999999</v>
      </c>
      <c r="T687" t="n">
        <v>0</v>
      </c>
      <c r="U687" t="n">
        <v>3233.75</v>
      </c>
      <c r="V687" t="inlineStr">
        <is>
          <t>AJE670087</t>
        </is>
      </c>
      <c r="X687" t="inlineStr">
        <is>
          <t>aafc-aac</t>
        </is>
      </c>
      <c r="Y687" t="inlineStr">
        <is>
          <t>Agriculture and Agri-Food Canada | Agriculture et Agroalimentaire Canada</t>
        </is>
      </c>
      <c r="Z687" t="n">
        <v>4</v>
      </c>
      <c r="AA687" t="n">
        <v>3233.74999999999</v>
      </c>
      <c r="AB687">
        <f>ROUND(U687-AA687,2)</f>
        <v/>
      </c>
      <c r="AC687" t="b">
        <v>0</v>
      </c>
      <c r="AD687">
        <f>IF(U687="","MISSING_TOTAL",IF(ABS(AB687)&lt;=0.01,"OK","CHECK"))</f>
        <v/>
      </c>
      <c r="AE687">
        <f>IF(U687="","MISSING",IF(AND(AA687&gt;0,U687/AA687&gt;50),"POSSIBLE_SCALE_ERROR","OK"))</f>
        <v/>
      </c>
    </row>
    <row r="688">
      <c r="A688" t="inlineStr">
        <is>
          <t>T-2017-Q1-00020</t>
        </is>
      </c>
      <c r="B688" t="inlineStr">
        <is>
          <t>SLE</t>
        </is>
      </c>
      <c r="C688" t="inlineStr">
        <is>
          <t>Assistant Deputy Minister, Strategic Policy Branch</t>
        </is>
      </c>
      <c r="D688" t="inlineStr">
        <is>
          <t>Sous-ministre adjoint, Direction générale des politiques stratégiques</t>
        </is>
      </c>
      <c r="E688" t="inlineStr">
        <is>
          <t>Tom Rosser</t>
        </is>
      </c>
      <c r="F688" t="inlineStr">
        <is>
          <t>First Nation Engagement Session in Edmonton, Alberta; Public Policy Forum Event in Toronto, Ontario. To attend the First Nation Engagement Session in Edmonton; attend an event at the Public Policy Forum in Toronto.</t>
        </is>
      </c>
      <c r="G688" t="inlineStr">
        <is>
          <t>Une session d'engagement des Premières Nations à Ottawa; Événement du Forum des politiques publiques à Toronto. Pour assister dans une session d'engagement des Premières Nations à Edmonton; participer dans une événement du Forum des politiques publiques à Toronto.</t>
        </is>
      </c>
      <c r="H688" s="1" t="n">
        <v>42843</v>
      </c>
      <c r="I688" s="1" t="n">
        <v>42845</v>
      </c>
      <c r="J688" t="inlineStr">
        <is>
          <t>Edmonton, Alta. &amp; Toronto, Ont.</t>
        </is>
      </c>
      <c r="K688" t="inlineStr">
        <is>
          <t>Edmonton, Alb. &amp; Toronto, Ont.</t>
        </is>
      </c>
      <c r="P688" t="n">
        <v>2139.08</v>
      </c>
      <c r="Q688" t="n">
        <v>132</v>
      </c>
      <c r="R688" t="n">
        <v>456.34</v>
      </c>
      <c r="S688" t="n">
        <v>260.15</v>
      </c>
      <c r="T688" t="n">
        <v>113</v>
      </c>
      <c r="U688" t="n">
        <v>3100.57</v>
      </c>
      <c r="V688" t="inlineStr">
        <is>
          <t>AJE665044</t>
        </is>
      </c>
      <c r="X688" t="inlineStr">
        <is>
          <t>aafc-aac</t>
        </is>
      </c>
      <c r="Y688" t="inlineStr">
        <is>
          <t>Agriculture and Agri-Food Canada | Agriculture et Agroalimentaire Canada</t>
        </is>
      </c>
      <c r="Z688" t="n">
        <v>3</v>
      </c>
      <c r="AA688" t="n">
        <v>3100.57</v>
      </c>
      <c r="AB688">
        <f>ROUND(U688-AA688,2)</f>
        <v/>
      </c>
      <c r="AC688" t="b">
        <v>0</v>
      </c>
      <c r="AD688">
        <f>IF(U688="","MISSING_TOTAL",IF(ABS(AB688)&lt;=0.01,"OK","CHECK"))</f>
        <v/>
      </c>
      <c r="AE688">
        <f>IF(U688="","MISSING",IF(AND(AA688&gt;0,U688/AA688&gt;50),"POSSIBLE_SCALE_ERROR","OK"))</f>
        <v/>
      </c>
    </row>
    <row r="689">
      <c r="A689" t="inlineStr">
        <is>
          <t>T-2017-Q3-00076</t>
        </is>
      </c>
      <c r="B689" t="inlineStr">
        <is>
          <t>MPSES</t>
        </is>
      </c>
      <c r="C689" t="inlineStr">
        <is>
          <t>Deputy Minister</t>
        </is>
      </c>
      <c r="D689" t="inlineStr">
        <is>
          <t>Sous-Ministre</t>
        </is>
      </c>
      <c r="E689" t="inlineStr">
        <is>
          <t>Chris Forbes</t>
        </is>
      </c>
      <c r="F689" t="inlineStr">
        <is>
          <t>Agri-Food Economic Strategy Table meeting</t>
        </is>
      </c>
      <c r="G689" t="inlineStr">
        <is>
          <t>Table sur les stratégies économiques agroalimentaires</t>
        </is>
      </c>
      <c r="H689" s="1" t="n">
        <v>43031</v>
      </c>
      <c r="I689" s="1" t="n">
        <v>43032</v>
      </c>
      <c r="J689" t="inlineStr">
        <is>
          <t>Toronto, Ontario</t>
        </is>
      </c>
      <c r="K689" t="inlineStr">
        <is>
          <t>Toronto, Ontario</t>
        </is>
      </c>
      <c r="P689" t="n">
        <v>456.58</v>
      </c>
      <c r="Q689" t="n">
        <v>52.9</v>
      </c>
      <c r="R689" t="n">
        <v>247.47</v>
      </c>
      <c r="U689" t="n">
        <v>756.95</v>
      </c>
      <c r="X689" t="inlineStr">
        <is>
          <t>aafc-aac</t>
        </is>
      </c>
      <c r="Y689" t="inlineStr">
        <is>
          <t>Agriculture and Agri-Food Canada | Agriculture et Agroalimentaire Canada</t>
        </is>
      </c>
      <c r="Z689" t="n">
        <v>2</v>
      </c>
      <c r="AA689" t="n">
        <v>756.949999999999</v>
      </c>
      <c r="AB689">
        <f>ROUND(U689-AA689,2)</f>
        <v/>
      </c>
      <c r="AC689" t="b">
        <v>0</v>
      </c>
      <c r="AD689">
        <f>IF(U689="","MISSING_TOTAL",IF(ABS(AB689)&lt;=0.01,"OK","CHECK"))</f>
        <v/>
      </c>
      <c r="AE689">
        <f>IF(U689="","MISSING",IF(AND(AA689&gt;0,U689/AA689&gt;50),"POSSIBLE_SCALE_ERROR","OK"))</f>
        <v/>
      </c>
    </row>
    <row r="690">
      <c r="A690" t="inlineStr">
        <is>
          <t>T-2017-Q1-00021</t>
        </is>
      </c>
      <c r="B690" t="inlineStr">
        <is>
          <t>SLE</t>
        </is>
      </c>
      <c r="C690" t="inlineStr">
        <is>
          <t>Associate Assistant Deputy Minister, Science and Technology Branch</t>
        </is>
      </c>
      <c r="D690" t="inlineStr">
        <is>
          <t>Sous-ministre adjoint délégué, Direction générale des sciences et de la technologie</t>
        </is>
      </c>
      <c r="E690" t="inlineStr">
        <is>
          <t>Gilles Saindon</t>
        </is>
      </c>
      <c r="F690" t="inlineStr">
        <is>
          <t>Outreach at the Research and Development Center, All Staff meeting and meetings with industry</t>
        </is>
      </c>
      <c r="G690" t="inlineStr">
        <is>
          <t>Visite de sensibilisation au Centre de recherche et développement, réunions avec tous le personnel et réunions avec l'industrie</t>
        </is>
      </c>
      <c r="H690" s="1" t="n">
        <v>42801</v>
      </c>
      <c r="I690" s="1" t="n">
        <v>42804</v>
      </c>
      <c r="J690" t="inlineStr">
        <is>
          <t>Agassic, B.C.</t>
        </is>
      </c>
      <c r="K690" t="inlineStr">
        <is>
          <t>Agassiz, C.-B.</t>
        </is>
      </c>
      <c r="P690" t="n">
        <v>1046.55</v>
      </c>
      <c r="Q690" t="n">
        <v>284.14</v>
      </c>
      <c r="R690" t="n">
        <v>565.8</v>
      </c>
      <c r="S690" t="n">
        <v>274.6</v>
      </c>
      <c r="T690" t="n">
        <v>0</v>
      </c>
      <c r="U690" t="n">
        <v>2171.09</v>
      </c>
      <c r="V690" t="inlineStr">
        <is>
          <t>AJD957113</t>
        </is>
      </c>
      <c r="X690" t="inlineStr">
        <is>
          <t>aafc-aac</t>
        </is>
      </c>
      <c r="Y690" t="inlineStr">
        <is>
          <t>Agriculture and Agri-Food Canada | Agriculture et Agroalimentaire Canada</t>
        </is>
      </c>
      <c r="Z690" t="n">
        <v>4</v>
      </c>
      <c r="AA690" t="n">
        <v>2171.09</v>
      </c>
      <c r="AB690">
        <f>ROUND(U690-AA690,2)</f>
        <v/>
      </c>
      <c r="AC690" t="b">
        <v>0</v>
      </c>
      <c r="AD690">
        <f>IF(U690="","MISSING_TOTAL",IF(ABS(AB690)&lt;=0.01,"OK","CHECK"))</f>
        <v/>
      </c>
      <c r="AE690">
        <f>IF(U690="","MISSING",IF(AND(AA690&gt;0,U690/AA690&gt;50),"POSSIBLE_SCALE_ERROR","OK"))</f>
        <v/>
      </c>
    </row>
    <row r="691">
      <c r="A691" t="inlineStr">
        <is>
          <t>T-2017-Q1-00022</t>
        </is>
      </c>
      <c r="B691" t="inlineStr">
        <is>
          <t>SLE</t>
        </is>
      </c>
      <c r="C691" t="inlineStr">
        <is>
          <t>Associate Assistant Deputy Minister, Science and Technology Branch</t>
        </is>
      </c>
      <c r="D691" t="inlineStr">
        <is>
          <t>Sous-ministre adjoint délégué, Direction générale des sciences et de la technologie</t>
        </is>
      </c>
      <c r="E691" t="inlineStr">
        <is>
          <t>Gilles Saindon</t>
        </is>
      </c>
      <c r="F691" t="inlineStr">
        <is>
          <t>Attended the Canadian Global Corps Symposium and Staff Outreach at the Research Development Centre</t>
        </is>
      </c>
      <c r="G691" t="inlineStr">
        <is>
          <t>Assisté au Symposium canadien sur les cultures mondiales, visite de sensibilisation avec les employés au Centre de recherche et développement</t>
        </is>
      </c>
      <c r="H691" s="1" t="n">
        <v>42835</v>
      </c>
      <c r="I691" s="1" t="n">
        <v>42838</v>
      </c>
      <c r="J691" t="inlineStr">
        <is>
          <t>Calgary, Alta. &amp; Lacombe, Alta.</t>
        </is>
      </c>
      <c r="K691" t="inlineStr">
        <is>
          <t>Calgary, Alta. &amp; Lacombe, Alb.</t>
        </is>
      </c>
      <c r="P691" t="n">
        <v>822.73</v>
      </c>
      <c r="Q691" t="n">
        <v>248.34</v>
      </c>
      <c r="R691" t="n">
        <v>388.85</v>
      </c>
      <c r="S691" t="n">
        <v>115.9</v>
      </c>
      <c r="T691" t="n">
        <v>763.8</v>
      </c>
      <c r="U691" t="n">
        <v>2339.62</v>
      </c>
      <c r="V691" t="inlineStr">
        <is>
          <t>AJD951578</t>
        </is>
      </c>
      <c r="X691" t="inlineStr">
        <is>
          <t>aafc-aac</t>
        </is>
      </c>
      <c r="Y691" t="inlineStr">
        <is>
          <t>Agriculture and Agri-Food Canada | Agriculture et Agroalimentaire Canada</t>
        </is>
      </c>
      <c r="Z691" t="n">
        <v>4</v>
      </c>
      <c r="AA691" t="n">
        <v>2339.62</v>
      </c>
      <c r="AB691">
        <f>ROUND(U691-AA691,2)</f>
        <v/>
      </c>
      <c r="AC691" t="b">
        <v>0</v>
      </c>
      <c r="AD691">
        <f>IF(U691="","MISSING_TOTAL",IF(ABS(AB691)&lt;=0.01,"OK","CHECK"))</f>
        <v/>
      </c>
      <c r="AE691">
        <f>IF(U691="","MISSING",IF(AND(AA691&gt;0,U691/AA691&gt;50),"POSSIBLE_SCALE_ERROR","OK"))</f>
        <v/>
      </c>
    </row>
    <row r="692">
      <c r="A692" t="inlineStr">
        <is>
          <t>T-2017-Q1-00023</t>
        </is>
      </c>
      <c r="B692" t="inlineStr">
        <is>
          <t>SLE</t>
        </is>
      </c>
      <c r="C692" t="inlineStr">
        <is>
          <t>Associate Assistant Deputy Minister, Science and Technology Branch</t>
        </is>
      </c>
      <c r="D692" t="inlineStr">
        <is>
          <t>Sous-ministre adjoint délégué, Direction générale des sciences et de la technologie</t>
        </is>
      </c>
      <c r="E692" t="inlineStr">
        <is>
          <t>Gilles Saindon</t>
        </is>
      </c>
      <c r="F692" t="inlineStr">
        <is>
          <t>Outreach at the Research and Development Center, All Staff meeting and meetings with industry</t>
        </is>
      </c>
      <c r="G692" t="inlineStr">
        <is>
          <t>Visite de sensibilisation au Centre de recherche et développement, réunions avec tous le personnel et réunions avec l'industrie</t>
        </is>
      </c>
      <c r="H692" s="1" t="n">
        <v>42850</v>
      </c>
      <c r="I692" s="1" t="n">
        <v>42851</v>
      </c>
      <c r="J692" t="inlineStr">
        <is>
          <t>Sherbrooke, Que.</t>
        </is>
      </c>
      <c r="K692" t="inlineStr">
        <is>
          <t>Sherbrooke, Qc</t>
        </is>
      </c>
      <c r="P692" t="n">
        <v>0</v>
      </c>
      <c r="Q692" t="n">
        <v>174.55</v>
      </c>
      <c r="R692" t="n">
        <v>129.71</v>
      </c>
      <c r="S692" t="n">
        <v>196.9</v>
      </c>
      <c r="T692" t="n">
        <v>0</v>
      </c>
      <c r="U692" t="n">
        <v>501.16</v>
      </c>
      <c r="V692" t="inlineStr">
        <is>
          <t>AJD981856</t>
        </is>
      </c>
      <c r="X692" t="inlineStr">
        <is>
          <t>aafc-aac</t>
        </is>
      </c>
      <c r="Y692" t="inlineStr">
        <is>
          <t>Agriculture and Agri-Food Canada | Agriculture et Agroalimentaire Canada</t>
        </is>
      </c>
      <c r="Z692" t="n">
        <v>2</v>
      </c>
      <c r="AA692" t="n">
        <v>501.159999999999</v>
      </c>
      <c r="AB692">
        <f>ROUND(U692-AA692,2)</f>
        <v/>
      </c>
      <c r="AC692" t="b">
        <v>0</v>
      </c>
      <c r="AD692">
        <f>IF(U692="","MISSING_TOTAL",IF(ABS(AB692)&lt;=0.01,"OK","CHECK"))</f>
        <v/>
      </c>
      <c r="AE692">
        <f>IF(U692="","MISSING",IF(AND(AA692&gt;0,U692/AA692&gt;50),"POSSIBLE_SCALE_ERROR","OK"))</f>
        <v/>
      </c>
    </row>
    <row r="693">
      <c r="A693" t="inlineStr">
        <is>
          <t>T-2017-Q1-00024</t>
        </is>
      </c>
      <c r="B693" t="inlineStr">
        <is>
          <t>SLE</t>
        </is>
      </c>
      <c r="C693" t="inlineStr">
        <is>
          <t>Associate Assistant Deputy Minister, Science and Technology Branch</t>
        </is>
      </c>
      <c r="D693" t="inlineStr">
        <is>
          <t>Sous-ministre adjoint délégué, Direction générale des sciences et de la technologie</t>
        </is>
      </c>
      <c r="E693" t="inlineStr">
        <is>
          <t>Gilles Saindon</t>
        </is>
      </c>
      <c r="F693" t="inlineStr">
        <is>
          <t>Attended meetings with Canada High Commission, Department for Environment Food &amp; Rural Affairs, and Innovate-United Kingdom.  Also attended meeting International Wheat Yield Partnership and Wheat Initiative Institutions' Coordination Committee</t>
        </is>
      </c>
      <c r="G693" t="inlineStr">
        <is>
          <t>Rencontres avec le Haut–commissariat du Canada, le Département de l'Environnement, de l'alimentation et des affaires rurales ainsi que le Département de l'Innovation.  Assisté aux rencontres avec le Partenariat international sur le rendement du blé et Le comité de coordination des institutions sur l'Initiative du blé.</t>
        </is>
      </c>
      <c r="H693" s="1" t="n">
        <v>42869</v>
      </c>
      <c r="I693" s="1" t="n">
        <v>42875</v>
      </c>
      <c r="J693" t="inlineStr">
        <is>
          <t>London, UL &amp; Rothamsted, UK</t>
        </is>
      </c>
      <c r="K693" t="inlineStr">
        <is>
          <t>Londres, R.-U. &amp; Rothamsted, R.-U.</t>
        </is>
      </c>
      <c r="P693" t="n">
        <v>7560.54</v>
      </c>
      <c r="Q693" t="n">
        <v>385.92</v>
      </c>
      <c r="R693" t="n">
        <v>951.15</v>
      </c>
      <c r="S693" t="n">
        <v>733.66</v>
      </c>
      <c r="T693" t="n">
        <v>2.95</v>
      </c>
      <c r="U693" t="n">
        <v>9634.219999999999</v>
      </c>
      <c r="V693" t="inlineStr">
        <is>
          <t>AJD947210</t>
        </is>
      </c>
      <c r="X693" t="inlineStr">
        <is>
          <t>aafc-aac</t>
        </is>
      </c>
      <c r="Y693" t="inlineStr">
        <is>
          <t>Agriculture and Agri-Food Canada | Agriculture et Agroalimentaire Canada</t>
        </is>
      </c>
      <c r="Z693" t="n">
        <v>7</v>
      </c>
      <c r="AA693" t="n">
        <v>9634.219999999999</v>
      </c>
      <c r="AB693">
        <f>ROUND(U693-AA693,2)</f>
        <v/>
      </c>
      <c r="AC693" t="b">
        <v>0</v>
      </c>
      <c r="AD693">
        <f>IF(U693="","MISSING_TOTAL",IF(ABS(AB693)&lt;=0.01,"OK","CHECK"))</f>
        <v/>
      </c>
      <c r="AE693">
        <f>IF(U693="","MISSING",IF(AND(AA693&gt;0,U693/AA693&gt;50),"POSSIBLE_SCALE_ERROR","OK"))</f>
        <v/>
      </c>
    </row>
    <row r="694">
      <c r="A694" t="inlineStr">
        <is>
          <t>T-2017-Q1-00026</t>
        </is>
      </c>
      <c r="B694" t="inlineStr">
        <is>
          <t>SLE</t>
        </is>
      </c>
      <c r="C694" t="inlineStr">
        <is>
          <t>Chief Agriculture Negotiator</t>
        </is>
      </c>
      <c r="D694" t="inlineStr">
        <is>
          <t>Négociateur en chef agricole</t>
        </is>
      </c>
      <c r="E694" t="inlineStr">
        <is>
          <t>Frédéric Seppey</t>
        </is>
      </c>
      <c r="F694" t="inlineStr">
        <is>
          <t>Co-Chairing the Workshop on Safety Assessments in situations of low level presence</t>
        </is>
      </c>
      <c r="G694" t="inlineStr">
        <is>
          <t>Co-présidence l'Atelier sur la gestion du risque en situation de présence en faible concentration</t>
        </is>
      </c>
      <c r="H694" s="1" t="n">
        <v>42806</v>
      </c>
      <c r="I694" s="1" t="n">
        <v>42810</v>
      </c>
      <c r="J694" t="inlineStr">
        <is>
          <t>Buenos Aires, AR</t>
        </is>
      </c>
      <c r="K694" t="inlineStr">
        <is>
          <t>Buenos Aires, AR</t>
        </is>
      </c>
      <c r="P694" t="n">
        <v>7535.65</v>
      </c>
      <c r="Q694" t="n">
        <v>100.64</v>
      </c>
      <c r="R694" t="n">
        <v>209.75</v>
      </c>
      <c r="S694" t="n">
        <v>389.97</v>
      </c>
      <c r="T694" t="n">
        <v>40.29</v>
      </c>
      <c r="U694" t="n">
        <v>8276.299999999999</v>
      </c>
      <c r="V694" t="inlineStr">
        <is>
          <t>AJE511857</t>
        </is>
      </c>
      <c r="X694" t="inlineStr">
        <is>
          <t>aafc-aac</t>
        </is>
      </c>
      <c r="Y694" t="inlineStr">
        <is>
          <t>Agriculture and Agri-Food Canada | Agriculture et Agroalimentaire Canada</t>
        </is>
      </c>
      <c r="Z694" t="n">
        <v>5</v>
      </c>
      <c r="AA694" t="n">
        <v>8276.299999999999</v>
      </c>
      <c r="AB694">
        <f>ROUND(U694-AA694,2)</f>
        <v/>
      </c>
      <c r="AC694" t="b">
        <v>0</v>
      </c>
      <c r="AD694">
        <f>IF(U694="","MISSING_TOTAL",IF(ABS(AB694)&lt;=0.01,"OK","CHECK"))</f>
        <v/>
      </c>
      <c r="AE694">
        <f>IF(U694="","MISSING",IF(AND(AA694&gt;0,U694/AA694&gt;50),"POSSIBLE_SCALE_ERROR","OK"))</f>
        <v/>
      </c>
    </row>
    <row r="695">
      <c r="A695" t="inlineStr">
        <is>
          <t>T-2017-Q1-00027</t>
        </is>
      </c>
      <c r="B695" t="inlineStr">
        <is>
          <t>SLE</t>
        </is>
      </c>
      <c r="C695" t="inlineStr">
        <is>
          <t>Chief Agriculture Negotiator</t>
        </is>
      </c>
      <c r="D695" t="inlineStr">
        <is>
          <t>Négociateur en chef agricole</t>
        </is>
      </c>
      <c r="E695" t="inlineStr">
        <is>
          <t>Frédéric Seppey</t>
        </is>
      </c>
      <c r="F695" t="inlineStr">
        <is>
          <t>Speaking engagement at the Dairy Farmers of Ontario Spring Policy Conference</t>
        </is>
      </c>
      <c r="G695" t="inlineStr">
        <is>
          <t>Allocution parlant au Conférence printanière sur les politiques des Producteurs laitiers de l'Ontario</t>
        </is>
      </c>
      <c r="H695" s="1" t="n">
        <v>42816</v>
      </c>
      <c r="I695" s="1" t="n">
        <v>42816</v>
      </c>
      <c r="J695" t="inlineStr">
        <is>
          <t>Toronto, Ont.</t>
        </is>
      </c>
      <c r="K695" t="inlineStr">
        <is>
          <t>Toronto, Ont.</t>
        </is>
      </c>
      <c r="P695" t="n">
        <v>417.31</v>
      </c>
      <c r="Q695" t="n">
        <v>122.21</v>
      </c>
      <c r="R695" t="n">
        <v>0</v>
      </c>
      <c r="S695" t="n">
        <v>34.25</v>
      </c>
      <c r="T695" t="n">
        <v>0</v>
      </c>
      <c r="U695" t="n">
        <v>573.77</v>
      </c>
      <c r="V695" t="inlineStr">
        <is>
          <t>AJE586271</t>
        </is>
      </c>
      <c r="X695" t="inlineStr">
        <is>
          <t>aafc-aac</t>
        </is>
      </c>
      <c r="Y695" t="inlineStr">
        <is>
          <t>Agriculture and Agri-Food Canada | Agriculture et Agroalimentaire Canada</t>
        </is>
      </c>
      <c r="Z695" t="n">
        <v>1</v>
      </c>
      <c r="AA695" t="n">
        <v>573.77</v>
      </c>
      <c r="AB695">
        <f>ROUND(U695-AA695,2)</f>
        <v/>
      </c>
      <c r="AC695" t="b">
        <v>0</v>
      </c>
      <c r="AD695">
        <f>IF(U695="","MISSING_TOTAL",IF(ABS(AB695)&lt;=0.01,"OK","CHECK"))</f>
        <v/>
      </c>
      <c r="AE695">
        <f>IF(U695="","MISSING",IF(AND(AA695&gt;0,U695/AA695&gt;50),"POSSIBLE_SCALE_ERROR","OK"))</f>
        <v/>
      </c>
    </row>
    <row r="696">
      <c r="A696" t="inlineStr">
        <is>
          <t>T-2017-Q1-00028</t>
        </is>
      </c>
      <c r="B696" t="inlineStr">
        <is>
          <t>SLE</t>
        </is>
      </c>
      <c r="C696" t="inlineStr">
        <is>
          <t>Chief Agriculture Negotiator</t>
        </is>
      </c>
      <c r="D696" t="inlineStr">
        <is>
          <t>Négociateur en chef agricole</t>
        </is>
      </c>
      <c r="E696" t="inlineStr">
        <is>
          <t>Frédéric Seppey</t>
        </is>
      </c>
      <c r="F696" t="inlineStr">
        <is>
          <t>Speaking engagement at the Grains Roundtable, Canadian Global Crops Symposium and visit to employees of Lethbridge's Research centre</t>
        </is>
      </c>
      <c r="G696" t="inlineStr">
        <is>
          <t>Allocution lors de la Table ronde sur les céréales, Symposium canadien des cultures mondiales et visite aux employés du centre de recherche de Lethbridge</t>
        </is>
      </c>
      <c r="H696" s="1" t="n">
        <v>42834</v>
      </c>
      <c r="I696" s="1" t="n">
        <v>42837</v>
      </c>
      <c r="J696" t="inlineStr">
        <is>
          <t>Calgary, Alta; Winnipeg, Man.</t>
        </is>
      </c>
      <c r="K696" t="inlineStr">
        <is>
          <t>Calgary, Alb.; Winnipeg, Man.</t>
        </is>
      </c>
      <c r="P696" t="n">
        <v>1078.14</v>
      </c>
      <c r="Q696" t="n">
        <v>272</v>
      </c>
      <c r="R696" t="n">
        <v>549.15</v>
      </c>
      <c r="S696" t="n">
        <v>307.15</v>
      </c>
      <c r="T696" t="n">
        <v>29.27</v>
      </c>
      <c r="U696" t="n">
        <v>2235.71</v>
      </c>
      <c r="V696" t="inlineStr">
        <is>
          <t>AJE542990</t>
        </is>
      </c>
      <c r="X696" t="inlineStr">
        <is>
          <t>aafc-aac</t>
        </is>
      </c>
      <c r="Y696" t="inlineStr">
        <is>
          <t>Agriculture and Agri-Food Canada | Agriculture et Agroalimentaire Canada</t>
        </is>
      </c>
      <c r="Z696" t="n">
        <v>4</v>
      </c>
      <c r="AA696" t="n">
        <v>2235.71</v>
      </c>
      <c r="AB696">
        <f>ROUND(U696-AA696,2)</f>
        <v/>
      </c>
      <c r="AC696" t="b">
        <v>0</v>
      </c>
      <c r="AD696">
        <f>IF(U696="","MISSING_TOTAL",IF(ABS(AB696)&lt;=0.01,"OK","CHECK"))</f>
        <v/>
      </c>
      <c r="AE696">
        <f>IF(U696="","MISSING",IF(AND(AA696&gt;0,U696/AA696&gt;50),"POSSIBLE_SCALE_ERROR","OK"))</f>
        <v/>
      </c>
    </row>
    <row r="697">
      <c r="A697" t="inlineStr">
        <is>
          <t>T-2017-Q1-00029</t>
        </is>
      </c>
      <c r="B697" t="inlineStr">
        <is>
          <t>SLE</t>
        </is>
      </c>
      <c r="C697" t="inlineStr">
        <is>
          <t>Chief Agriculture Negotiator</t>
        </is>
      </c>
      <c r="D697" t="inlineStr">
        <is>
          <t>Négociateur en chef agricole</t>
        </is>
      </c>
      <c r="E697" t="inlineStr">
        <is>
          <t>Frédéric Seppey</t>
        </is>
      </c>
      <c r="F697" t="inlineStr">
        <is>
          <t>Bilateral engagement with Mexican government officials and industry representatives</t>
        </is>
      </c>
      <c r="G697" t="inlineStr">
        <is>
          <t>Rencontre bilatéral avec les représentants du gouvernement et de l'industrie du Mexique</t>
        </is>
      </c>
      <c r="H697" s="1" t="n">
        <v>42851</v>
      </c>
      <c r="I697" s="1" t="n">
        <v>42853</v>
      </c>
      <c r="J697" t="inlineStr">
        <is>
          <t>Mexico, MX</t>
        </is>
      </c>
      <c r="K697" t="inlineStr">
        <is>
          <t>Mexique, MX</t>
        </is>
      </c>
      <c r="P697" t="n">
        <v>1581.08</v>
      </c>
      <c r="Q697" t="n">
        <v>140.1</v>
      </c>
      <c r="R697" t="n">
        <v>393.22</v>
      </c>
      <c r="S697" t="n">
        <v>174.78</v>
      </c>
      <c r="T697" t="n">
        <v>22.48</v>
      </c>
      <c r="U697" t="n">
        <v>2311.66</v>
      </c>
      <c r="V697" t="inlineStr">
        <is>
          <t>AJE510692</t>
        </is>
      </c>
      <c r="X697" t="inlineStr">
        <is>
          <t>aafc-aac</t>
        </is>
      </c>
      <c r="Y697" t="inlineStr">
        <is>
          <t>Agriculture and Agri-Food Canada | Agriculture et Agroalimentaire Canada</t>
        </is>
      </c>
      <c r="Z697" t="n">
        <v>3</v>
      </c>
      <c r="AA697" t="n">
        <v>2311.66</v>
      </c>
      <c r="AB697">
        <f>ROUND(U697-AA697,2)</f>
        <v/>
      </c>
      <c r="AC697" t="b">
        <v>0</v>
      </c>
      <c r="AD697">
        <f>IF(U697="","MISSING_TOTAL",IF(ABS(AB697)&lt;=0.01,"OK","CHECK"))</f>
        <v/>
      </c>
      <c r="AE697">
        <f>IF(U697="","MISSING",IF(AND(AA697&gt;0,U697/AA697&gt;50),"POSSIBLE_SCALE_ERROR","OK"))</f>
        <v/>
      </c>
    </row>
    <row r="698">
      <c r="A698" t="inlineStr">
        <is>
          <t>T-2017-Q1-00030</t>
        </is>
      </c>
      <c r="B698" t="inlineStr">
        <is>
          <t>SLE</t>
        </is>
      </c>
      <c r="C698" t="inlineStr">
        <is>
          <t>Chief Agriculture Negotiator</t>
        </is>
      </c>
      <c r="D698" t="inlineStr">
        <is>
          <t>Négociateur en chef agricole</t>
        </is>
      </c>
      <c r="E698" t="inlineStr">
        <is>
          <t>Frédéric Seppey</t>
        </is>
      </c>
      <c r="F698" t="inlineStr">
        <is>
          <t>Presentation to the Conseil des industriels du Québec and the Ontario Dairy Council</t>
        </is>
      </c>
      <c r="G698" t="inlineStr">
        <is>
          <t>Présentation au Conseil des industriels latiers du Québec et au Ontario Dairy Council</t>
        </is>
      </c>
      <c r="H698" s="1" t="n">
        <v>42864</v>
      </c>
      <c r="I698" s="1" t="n">
        <v>42865</v>
      </c>
      <c r="J698" t="inlineStr">
        <is>
          <t>Montreal, Que.</t>
        </is>
      </c>
      <c r="K698" t="inlineStr">
        <is>
          <t>Montréal, Qc</t>
        </is>
      </c>
      <c r="P698" t="n">
        <v>0</v>
      </c>
      <c r="Q698" t="n">
        <v>169.35</v>
      </c>
      <c r="R698" t="n">
        <v>167.8</v>
      </c>
      <c r="S698" t="n">
        <v>80.55</v>
      </c>
      <c r="T698" t="n">
        <v>0</v>
      </c>
      <c r="U698" t="n">
        <v>417.7</v>
      </c>
      <c r="V698" t="inlineStr">
        <is>
          <t>AJE500776</t>
        </is>
      </c>
      <c r="X698" t="inlineStr">
        <is>
          <t>aafc-aac</t>
        </is>
      </c>
      <c r="Y698" t="inlineStr">
        <is>
          <t>Agriculture and Agri-Food Canada | Agriculture et Agroalimentaire Canada</t>
        </is>
      </c>
      <c r="Z698" t="n">
        <v>2</v>
      </c>
      <c r="AA698" t="n">
        <v>417.7</v>
      </c>
      <c r="AB698">
        <f>ROUND(U698-AA698,2)</f>
        <v/>
      </c>
      <c r="AC698" t="b">
        <v>0</v>
      </c>
      <c r="AD698">
        <f>IF(U698="","MISSING_TOTAL",IF(ABS(AB698)&lt;=0.01,"OK","CHECK"))</f>
        <v/>
      </c>
      <c r="AE698">
        <f>IF(U698="","MISSING",IF(AND(AA698&gt;0,U698/AA698&gt;50),"POSSIBLE_SCALE_ERROR","OK"))</f>
        <v/>
      </c>
    </row>
    <row r="699">
      <c r="A699" t="inlineStr">
        <is>
          <t>T-2017-Q1-00031</t>
        </is>
      </c>
      <c r="B699" t="inlineStr">
        <is>
          <t>SLE</t>
        </is>
      </c>
      <c r="C699" t="inlineStr">
        <is>
          <t>Chief Agriculture Negotiator</t>
        </is>
      </c>
      <c r="D699" t="inlineStr">
        <is>
          <t>Négociateur en chef agricole</t>
        </is>
      </c>
      <c r="E699" t="inlineStr">
        <is>
          <t>Frédéric Seppey</t>
        </is>
      </c>
      <c r="F699" t="inlineStr">
        <is>
          <t>G20 Agriculture Deputies Meeting</t>
        </is>
      </c>
      <c r="G699" t="inlineStr">
        <is>
          <t>Réunion des délégués auprès du G20</t>
        </is>
      </c>
      <c r="H699" s="1" t="n">
        <v>42866</v>
      </c>
      <c r="I699" s="1" t="n">
        <v>42872</v>
      </c>
      <c r="J699" t="inlineStr">
        <is>
          <t>Brussels, BE</t>
        </is>
      </c>
      <c r="K699" t="inlineStr">
        <is>
          <t>Bruxelles, BE</t>
        </is>
      </c>
      <c r="P699" t="n">
        <v>3160.76</v>
      </c>
      <c r="Q699" t="n">
        <v>392.68</v>
      </c>
      <c r="R699" t="n">
        <v>1014.44</v>
      </c>
      <c r="S699" t="n">
        <v>825.12</v>
      </c>
      <c r="T699" t="n">
        <v>90.12</v>
      </c>
      <c r="U699" t="n">
        <v>5483.12</v>
      </c>
      <c r="V699" t="inlineStr">
        <is>
          <t>AJE535873</t>
        </is>
      </c>
      <c r="X699" t="inlineStr">
        <is>
          <t>aafc-aac</t>
        </is>
      </c>
      <c r="Y699" t="inlineStr">
        <is>
          <t>Agriculture and Agri-Food Canada | Agriculture et Agroalimentaire Canada</t>
        </is>
      </c>
      <c r="Z699" t="n">
        <v>7</v>
      </c>
      <c r="AA699" t="n">
        <v>5483.12</v>
      </c>
      <c r="AB699">
        <f>ROUND(U699-AA699,2)</f>
        <v/>
      </c>
      <c r="AC699" t="b">
        <v>0</v>
      </c>
      <c r="AD699">
        <f>IF(U699="","MISSING_TOTAL",IF(ABS(AB699)&lt;=0.01,"OK","CHECK"))</f>
        <v/>
      </c>
      <c r="AE699">
        <f>IF(U699="","MISSING",IF(AND(AA699&gt;0,U699/AA699&gt;50),"POSSIBLE_SCALE_ERROR","OK"))</f>
        <v/>
      </c>
    </row>
    <row r="700">
      <c r="A700" t="inlineStr">
        <is>
          <t>T-2017-Q1-00032</t>
        </is>
      </c>
      <c r="B700" t="inlineStr">
        <is>
          <t>SLE</t>
        </is>
      </c>
      <c r="C700" t="inlineStr">
        <is>
          <t>Assistant Deputy Minister, Public Affairs Branch</t>
        </is>
      </c>
      <c r="D700" t="inlineStr">
        <is>
          <t>Sous-ministre adjointe, Direction générale des affaires publiques</t>
        </is>
      </c>
      <c r="E700" t="inlineStr">
        <is>
          <t>Jane Taylor</t>
        </is>
      </c>
      <c r="F700" t="inlineStr">
        <is>
          <t>Food Policy Canada Launch</t>
        </is>
      </c>
      <c r="G700" t="inlineStr">
        <is>
          <t>Lancement des consultations sur"Une politique alimentaire pour le Canada"</t>
        </is>
      </c>
      <c r="H700" s="1" t="n">
        <v>42883</v>
      </c>
      <c r="I700" s="1" t="n">
        <v>42884</v>
      </c>
      <c r="J700" t="inlineStr">
        <is>
          <t>Toronto, Ont.</t>
        </is>
      </c>
      <c r="K700" t="inlineStr">
        <is>
          <t>Toronto, Ont.</t>
        </is>
      </c>
      <c r="P700" t="n">
        <v>0</v>
      </c>
      <c r="Q700" t="n">
        <v>447.68</v>
      </c>
      <c r="R700" t="n">
        <v>230.84</v>
      </c>
      <c r="S700" t="n">
        <v>97.7</v>
      </c>
      <c r="T700" t="n">
        <v>0</v>
      </c>
      <c r="U700" t="n">
        <v>776.22</v>
      </c>
      <c r="V700" t="inlineStr">
        <is>
          <t>AJC139328</t>
        </is>
      </c>
      <c r="X700" t="inlineStr">
        <is>
          <t>aafc-aac</t>
        </is>
      </c>
      <c r="Y700" t="inlineStr">
        <is>
          <t>Agriculture and Agri-Food Canada | Agriculture et Agroalimentaire Canada</t>
        </is>
      </c>
      <c r="Z700" t="n">
        <v>2</v>
      </c>
      <c r="AA700" t="n">
        <v>776.22</v>
      </c>
      <c r="AB700">
        <f>ROUND(U700-AA700,2)</f>
        <v/>
      </c>
      <c r="AC700" t="b">
        <v>0</v>
      </c>
      <c r="AD700">
        <f>IF(U700="","MISSING_TOTAL",IF(ABS(AB700)&lt;=0.01,"OK","CHECK"))</f>
        <v/>
      </c>
      <c r="AE700">
        <f>IF(U700="","MISSING",IF(AND(AA700&gt;0,U700/AA700&gt;50),"POSSIBLE_SCALE_ERROR","OK"))</f>
        <v/>
      </c>
    </row>
    <row r="701">
      <c r="A701" t="inlineStr">
        <is>
          <t>T-2017-Q1-00033</t>
        </is>
      </c>
      <c r="B701" t="inlineStr">
        <is>
          <t>SLE</t>
        </is>
      </c>
      <c r="C701" t="inlineStr">
        <is>
          <t>Assistant Deputy Minister, Public Affairs Branch</t>
        </is>
      </c>
      <c r="D701" t="inlineStr">
        <is>
          <t>Sous-ministre adjointe, Direction générale des affaires publiques</t>
        </is>
      </c>
      <c r="E701" t="inlineStr">
        <is>
          <t>Jane Taylor</t>
        </is>
      </c>
      <c r="F701" t="inlineStr">
        <is>
          <t>Canadian Eastern First Nations Outreach</t>
        </is>
      </c>
      <c r="G701" t="inlineStr">
        <is>
          <t>Séance de mobilisation des Premières nations de l'Est canadien</t>
        </is>
      </c>
      <c r="H701" s="1" t="n">
        <v>42887</v>
      </c>
      <c r="I701" s="1" t="n">
        <v>42887</v>
      </c>
      <c r="J701" t="inlineStr">
        <is>
          <t>Montreal, Que.</t>
        </is>
      </c>
      <c r="K701" t="inlineStr">
        <is>
          <t>Montréal, Qc</t>
        </is>
      </c>
      <c r="P701" t="n">
        <v>0</v>
      </c>
      <c r="Q701" t="n">
        <v>183.7</v>
      </c>
      <c r="R701" t="n">
        <v>0</v>
      </c>
      <c r="S701" t="n">
        <v>0</v>
      </c>
      <c r="T701" t="n">
        <v>0</v>
      </c>
      <c r="U701" t="n">
        <v>183.7</v>
      </c>
      <c r="V701" t="inlineStr">
        <is>
          <t>AJC108648</t>
        </is>
      </c>
      <c r="X701" t="inlineStr">
        <is>
          <t>aafc-aac</t>
        </is>
      </c>
      <c r="Y701" t="inlineStr">
        <is>
          <t>Agriculture and Agri-Food Canada | Agriculture et Agroalimentaire Canada</t>
        </is>
      </c>
      <c r="Z701" t="n">
        <v>1</v>
      </c>
      <c r="AA701" t="n">
        <v>183.7</v>
      </c>
      <c r="AB701">
        <f>ROUND(U701-AA701,2)</f>
        <v/>
      </c>
      <c r="AC701" t="b">
        <v>0</v>
      </c>
      <c r="AD701">
        <f>IF(U701="","MISSING_TOTAL",IF(ABS(AB701)&lt;=0.01,"OK","CHECK"))</f>
        <v/>
      </c>
      <c r="AE701">
        <f>IF(U701="","MISSING",IF(AND(AA701&gt;0,U701/AA701&gt;50),"POSSIBLE_SCALE_ERROR","OK"))</f>
        <v/>
      </c>
    </row>
    <row r="702">
      <c r="A702" t="inlineStr">
        <is>
          <t>T-2017-Q1-00034</t>
        </is>
      </c>
      <c r="B702" t="inlineStr">
        <is>
          <t>MPSES</t>
        </is>
      </c>
      <c r="C702" t="inlineStr">
        <is>
          <t>Communications Advisor</t>
        </is>
      </c>
      <c r="D702" t="inlineStr">
        <is>
          <t>Conseiller en communications</t>
        </is>
      </c>
      <c r="E702" t="inlineStr">
        <is>
          <t>Oliver Anderson</t>
        </is>
      </c>
      <c r="F702" t="inlineStr">
        <is>
          <t>To accompany the Minister to Agricultural Greenhouse Gases Program Announcement</t>
        </is>
      </c>
      <c r="G702" t="inlineStr">
        <is>
          <t>Pour accompagner le ministre pour faire une annoncedu Programme des gaz à effet de serre agricole</t>
        </is>
      </c>
      <c r="H702" s="1" t="n">
        <v>42845</v>
      </c>
      <c r="I702" s="1" t="n">
        <v>42846</v>
      </c>
      <c r="J702" t="inlineStr">
        <is>
          <t>Edmonton, Alta.</t>
        </is>
      </c>
      <c r="K702" t="inlineStr">
        <is>
          <t>Edmonton, Alb.</t>
        </is>
      </c>
      <c r="P702" t="n">
        <v>1142.64</v>
      </c>
      <c r="Q702" t="n">
        <v>0</v>
      </c>
      <c r="R702" t="n">
        <v>189.73</v>
      </c>
      <c r="S702" t="n">
        <v>179.75</v>
      </c>
      <c r="T702" t="n">
        <v>0</v>
      </c>
      <c r="U702" t="n">
        <v>1512.12</v>
      </c>
      <c r="V702" t="n">
        <v>1900008869</v>
      </c>
      <c r="X702" t="inlineStr">
        <is>
          <t>aafc-aac</t>
        </is>
      </c>
      <c r="Y702" t="inlineStr">
        <is>
          <t>Agriculture and Agri-Food Canada | Agriculture et Agroalimentaire Canada</t>
        </is>
      </c>
      <c r="Z702" t="n">
        <v>2</v>
      </c>
      <c r="AA702" t="n">
        <v>1512.12</v>
      </c>
      <c r="AB702">
        <f>ROUND(U702-AA702,2)</f>
        <v/>
      </c>
      <c r="AC702" t="b">
        <v>0</v>
      </c>
      <c r="AD702">
        <f>IF(U702="","MISSING_TOTAL",IF(ABS(AB702)&lt;=0.01,"OK","CHECK"))</f>
        <v/>
      </c>
      <c r="AE702">
        <f>IF(U702="","MISSING",IF(AND(AA702&gt;0,U702/AA702&gt;50),"POSSIBLE_SCALE_ERROR","OK"))</f>
        <v/>
      </c>
    </row>
    <row r="703">
      <c r="A703" t="inlineStr">
        <is>
          <t>T-2017-Q1-00062</t>
        </is>
      </c>
      <c r="B703" t="inlineStr">
        <is>
          <t>MPSES</t>
        </is>
      </c>
      <c r="C703" t="inlineStr">
        <is>
          <t>Minister</t>
        </is>
      </c>
      <c r="D703" t="inlineStr">
        <is>
          <t>Ministre</t>
        </is>
      </c>
      <c r="E703" t="inlineStr">
        <is>
          <t>Lawrence MacAulay</t>
        </is>
      </c>
      <c r="F703" t="inlineStr">
        <is>
          <t>To launch the Government's Consultations on a Food Policy for Canada</t>
        </is>
      </c>
      <c r="G703" t="inlineStr">
        <is>
          <t>Pour lancer les consultations du gouvernement sur une politique alimentaire pour le Canada</t>
        </is>
      </c>
      <c r="H703" s="1" t="n">
        <v>42883</v>
      </c>
      <c r="I703" s="1" t="n">
        <v>42884</v>
      </c>
      <c r="J703" t="inlineStr">
        <is>
          <t>Toronto, Ont.</t>
        </is>
      </c>
      <c r="K703" t="inlineStr">
        <is>
          <t>Toronto, Ont.</t>
        </is>
      </c>
      <c r="P703" t="n">
        <v>967.42</v>
      </c>
      <c r="Q703" t="n">
        <v>0</v>
      </c>
      <c r="R703" t="n">
        <v>230.84</v>
      </c>
      <c r="S703" t="n">
        <v>69.8</v>
      </c>
      <c r="T703" t="n">
        <v>0</v>
      </c>
      <c r="U703" t="n">
        <v>1268.06</v>
      </c>
      <c r="V703" t="n">
        <v>1900020140</v>
      </c>
      <c r="X703" t="inlineStr">
        <is>
          <t>aafc-aac</t>
        </is>
      </c>
      <c r="Y703" t="inlineStr">
        <is>
          <t>Agriculture and Agri-Food Canada | Agriculture et Agroalimentaire Canada</t>
        </is>
      </c>
      <c r="Z703" t="n">
        <v>2</v>
      </c>
      <c r="AA703" t="n">
        <v>1268.06</v>
      </c>
      <c r="AB703">
        <f>ROUND(U703-AA703,2)</f>
        <v/>
      </c>
      <c r="AC703" t="b">
        <v>0</v>
      </c>
      <c r="AD703">
        <f>IF(U703="","MISSING_TOTAL",IF(ABS(AB703)&lt;=0.01,"OK","CHECK"))</f>
        <v/>
      </c>
      <c r="AE703">
        <f>IF(U703="","MISSING",IF(AND(AA703&gt;0,U703/AA703&gt;50),"POSSIBLE_SCALE_ERROR","OK"))</f>
        <v/>
      </c>
    </row>
    <row r="704">
      <c r="A704" t="inlineStr">
        <is>
          <t>T-2017-Q1-00035</t>
        </is>
      </c>
      <c r="B704" t="inlineStr">
        <is>
          <t>MPSES</t>
        </is>
      </c>
      <c r="C704" t="inlineStr">
        <is>
          <t>Director of Policy</t>
        </is>
      </c>
      <c r="D704" t="inlineStr">
        <is>
          <t>Directeur des politiques</t>
        </is>
      </c>
      <c r="E704" t="inlineStr">
        <is>
          <t>Maxime Dea</t>
        </is>
      </c>
      <c r="F704" t="inlineStr">
        <is>
          <t>To accompany the Minister to the Agriculture and Agrifood Canada Ministerial Mission to Vietnam and India</t>
        </is>
      </c>
      <c r="G704" t="inlineStr">
        <is>
          <t>Pour accompagner le ministre au Mission ministérielle d'Agriculture et Agroalimentaire Canada au Vietnam et en Inde</t>
        </is>
      </c>
      <c r="H704" s="1" t="n">
        <v>42790</v>
      </c>
      <c r="I704" s="1" t="n">
        <v>42805</v>
      </c>
      <c r="J704" t="inlineStr">
        <is>
          <t>Hanoi, VN &amp; New Delhi, IN</t>
        </is>
      </c>
      <c r="K704" t="inlineStr">
        <is>
          <t>Hanoi, VN et New Delhi, IN</t>
        </is>
      </c>
      <c r="P704" t="n">
        <v>12063.41</v>
      </c>
      <c r="Q704" t="n">
        <v>148.58</v>
      </c>
      <c r="R704" t="n">
        <v>3359.17</v>
      </c>
      <c r="S704" t="n">
        <v>2097.42</v>
      </c>
      <c r="T704" t="n">
        <v>0</v>
      </c>
      <c r="U704" t="n">
        <v>17668.58</v>
      </c>
      <c r="V704" t="n">
        <v>1900122688</v>
      </c>
      <c r="X704" t="inlineStr">
        <is>
          <t>aafc-aac</t>
        </is>
      </c>
      <c r="Y704" t="inlineStr">
        <is>
          <t>Agriculture and Agri-Food Canada | Agriculture et Agroalimentaire Canada</t>
        </is>
      </c>
      <c r="Z704" t="n">
        <v>16</v>
      </c>
      <c r="AA704" t="n">
        <v>17668.58</v>
      </c>
      <c r="AB704">
        <f>ROUND(U704-AA704,2)</f>
        <v/>
      </c>
      <c r="AC704" t="b">
        <v>0</v>
      </c>
      <c r="AD704">
        <f>IF(U704="","MISSING_TOTAL",IF(ABS(AB704)&lt;=0.01,"OK","CHECK"))</f>
        <v/>
      </c>
      <c r="AE704">
        <f>IF(U704="","MISSING",IF(AND(AA704&gt;0,U704/AA704&gt;50),"POSSIBLE_SCALE_ERROR","OK"))</f>
        <v/>
      </c>
    </row>
    <row r="705">
      <c r="A705" t="inlineStr">
        <is>
          <t>T-2017-Q1-00037</t>
        </is>
      </c>
      <c r="B705" t="inlineStr">
        <is>
          <t>MPSES</t>
        </is>
      </c>
      <c r="C705" t="inlineStr">
        <is>
          <t>Director of Communications</t>
        </is>
      </c>
      <c r="D705" t="inlineStr">
        <is>
          <t>Directeur des communications</t>
        </is>
      </c>
      <c r="E705" t="inlineStr">
        <is>
          <t>Guy Gallant</t>
        </is>
      </c>
      <c r="F705" t="inlineStr">
        <is>
          <t>To accompany the Minister at the Agriculture And Agrifood Canada Ministerial Mission to Vietnam and India</t>
        </is>
      </c>
      <c r="G705" t="inlineStr">
        <is>
          <t>Pour accompagner le ministre au Agriculture et agroalimentaire Canada  Mission ministérielle d'Agriculture et Agrioalimentaire Canada au Vietnam et en Inde</t>
        </is>
      </c>
      <c r="H705" s="1" t="n">
        <v>42790</v>
      </c>
      <c r="I705" s="1" t="n">
        <v>42805</v>
      </c>
      <c r="J705" t="inlineStr">
        <is>
          <t>Hanoi, VN &amp; New Delhi, IN</t>
        </is>
      </c>
      <c r="K705" t="inlineStr">
        <is>
          <t>Hanoi, VN &amp; New Delhi, IN</t>
        </is>
      </c>
      <c r="P705" t="n">
        <v>12063.41</v>
      </c>
      <c r="R705" t="n">
        <v>3428.08</v>
      </c>
      <c r="S705" t="n">
        <v>2107.56</v>
      </c>
      <c r="U705" t="n">
        <v>17599.05</v>
      </c>
      <c r="V705" t="n">
        <v>1900122683</v>
      </c>
      <c r="X705" t="inlineStr">
        <is>
          <t>aafc-aac</t>
        </is>
      </c>
      <c r="Y705" t="inlineStr">
        <is>
          <t>Agriculture and Agri-Food Canada | Agriculture et Agroalimentaire Canada</t>
        </is>
      </c>
      <c r="Z705" t="n">
        <v>16</v>
      </c>
      <c r="AA705" t="n">
        <v>17599.05</v>
      </c>
      <c r="AB705">
        <f>ROUND(U705-AA705,2)</f>
        <v/>
      </c>
      <c r="AC705" t="b">
        <v>0</v>
      </c>
      <c r="AD705">
        <f>IF(U705="","MISSING_TOTAL",IF(ABS(AB705)&lt;=0.01,"OK","CHECK"))</f>
        <v/>
      </c>
      <c r="AE705">
        <f>IF(U705="","MISSING",IF(AND(AA705&gt;0,U705/AA705&gt;50),"POSSIBLE_SCALE_ERROR","OK"))</f>
        <v/>
      </c>
    </row>
    <row r="706">
      <c r="A706" t="inlineStr">
        <is>
          <t>T-2017-Q1-00038</t>
        </is>
      </c>
      <c r="B706" t="inlineStr">
        <is>
          <t>MPSES</t>
        </is>
      </c>
      <c r="C706" t="inlineStr">
        <is>
          <t>Director of Communications</t>
        </is>
      </c>
      <c r="D706" t="inlineStr">
        <is>
          <t>Directeur des communications</t>
        </is>
      </c>
      <c r="E706" t="inlineStr">
        <is>
          <t>Guy Gallant</t>
        </is>
      </c>
      <c r="F706" t="inlineStr">
        <is>
          <t>To attend government meetings</t>
        </is>
      </c>
      <c r="G706" t="inlineStr">
        <is>
          <t>Assister aux réunions du gouvernement</t>
        </is>
      </c>
      <c r="H706" s="1" t="n">
        <v>42807</v>
      </c>
      <c r="I706" s="1" t="n">
        <v>42808</v>
      </c>
      <c r="J706" t="inlineStr">
        <is>
          <t>Halifax, N.S.</t>
        </is>
      </c>
      <c r="K706" t="inlineStr">
        <is>
          <t>Halifax, N.-É.</t>
        </is>
      </c>
      <c r="P706" t="n">
        <v>624.54</v>
      </c>
      <c r="Q706" t="n">
        <v>60.6</v>
      </c>
      <c r="R706" t="n">
        <v>139.59</v>
      </c>
      <c r="S706" t="n">
        <v>159.95</v>
      </c>
      <c r="U706" t="n">
        <v>984.6799999999999</v>
      </c>
      <c r="V706" t="n">
        <v>1900122690</v>
      </c>
      <c r="X706" t="inlineStr">
        <is>
          <t>aafc-aac</t>
        </is>
      </c>
      <c r="Y706" t="inlineStr">
        <is>
          <t>Agriculture and Agri-Food Canada | Agriculture et Agroalimentaire Canada</t>
        </is>
      </c>
      <c r="Z706" t="n">
        <v>2</v>
      </c>
      <c r="AA706" t="n">
        <v>984.6799999999999</v>
      </c>
      <c r="AB706">
        <f>ROUND(U706-AA706,2)</f>
        <v/>
      </c>
      <c r="AC706" t="b">
        <v>0</v>
      </c>
      <c r="AD706">
        <f>IF(U706="","MISSING_TOTAL",IF(ABS(AB706)&lt;=0.01,"OK","CHECK"))</f>
        <v/>
      </c>
      <c r="AE706">
        <f>IF(U706="","MISSING",IF(AND(AA706&gt;0,U706/AA706&gt;50),"POSSIBLE_SCALE_ERROR","OK"))</f>
        <v/>
      </c>
    </row>
    <row r="707">
      <c r="A707" t="inlineStr">
        <is>
          <t>T-2017-Q1-00039</t>
        </is>
      </c>
      <c r="B707" t="inlineStr">
        <is>
          <t>MPSES</t>
        </is>
      </c>
      <c r="C707" t="inlineStr">
        <is>
          <t>Director of Communications</t>
        </is>
      </c>
      <c r="D707" t="inlineStr">
        <is>
          <t>Directeur des communications</t>
        </is>
      </c>
      <c r="E707" t="inlineStr">
        <is>
          <t>Guy Gallant</t>
        </is>
      </c>
      <c r="F707" t="inlineStr">
        <is>
          <t>To accompany the Minister to Saskatchewan Association of Rural Municipalities Convention. Meetings with Saskatchewan Minister of Agriculture and meetings with stakeholders</t>
        </is>
      </c>
      <c r="G707" t="inlineStr">
        <is>
          <t>Pour accompagner le ministre au Congrès de l'Association des municipalités rurales de Saskatchewan. Réunions avec le ministre de l'Agriculture de Saskatchewan et rencontres avec les parties prenantes</t>
        </is>
      </c>
      <c r="H707" s="1" t="n">
        <v>42809</v>
      </c>
      <c r="I707" s="1" t="n">
        <v>42811</v>
      </c>
      <c r="J707" t="inlineStr">
        <is>
          <t>Saskatoon, Sask.</t>
        </is>
      </c>
      <c r="K707" t="inlineStr">
        <is>
          <t>Saskatoon, Sask.</t>
        </is>
      </c>
      <c r="P707" t="n">
        <v>656.9299999999999</v>
      </c>
      <c r="R707" t="n">
        <v>164.29</v>
      </c>
      <c r="S707" t="n">
        <v>177.05</v>
      </c>
      <c r="U707" t="n">
        <v>998.27</v>
      </c>
      <c r="V707" t="n">
        <v>1900122691</v>
      </c>
      <c r="X707" t="inlineStr">
        <is>
          <t>aafc-aac</t>
        </is>
      </c>
      <c r="Y707" t="inlineStr">
        <is>
          <t>Agriculture and Agri-Food Canada | Agriculture et Agroalimentaire Canada</t>
        </is>
      </c>
      <c r="Z707" t="n">
        <v>3</v>
      </c>
      <c r="AA707" t="n">
        <v>998.27</v>
      </c>
      <c r="AB707">
        <f>ROUND(U707-AA707,2)</f>
        <v/>
      </c>
      <c r="AC707" t="b">
        <v>0</v>
      </c>
      <c r="AD707">
        <f>IF(U707="","MISSING_TOTAL",IF(ABS(AB707)&lt;=0.01,"OK","CHECK"))</f>
        <v/>
      </c>
      <c r="AE707">
        <f>IF(U707="","MISSING",IF(AND(AA707&gt;0,U707/AA707&gt;50),"POSSIBLE_SCALE_ERROR","OK"))</f>
        <v/>
      </c>
    </row>
    <row r="708">
      <c r="A708" t="inlineStr">
        <is>
          <t>T-2017-Q1-00040</t>
        </is>
      </c>
      <c r="B708" t="inlineStr">
        <is>
          <t>MPSES</t>
        </is>
      </c>
      <c r="C708" t="inlineStr">
        <is>
          <t>Director of Communications</t>
        </is>
      </c>
      <c r="D708" t="inlineStr">
        <is>
          <t>Directeur des communications</t>
        </is>
      </c>
      <c r="E708" t="inlineStr">
        <is>
          <t>Guy Gallant</t>
        </is>
      </c>
      <c r="F708" t="inlineStr">
        <is>
          <t>To accompany the Minister to attend Seafood Expo North America, attend bilateral meetings with provincial and state legislators</t>
        </is>
      </c>
      <c r="G708" t="inlineStr">
        <is>
          <t>Pour accompagner le ministre à assister à Seafood Expo North America, assister à des réunions bilatérales avec les législateurs provinciaux et provinciaux</t>
        </is>
      </c>
      <c r="H708" s="1" t="n">
        <v>42811</v>
      </c>
      <c r="I708" s="1" t="n">
        <v>42815</v>
      </c>
      <c r="J708" t="inlineStr">
        <is>
          <t>Boston, MA</t>
        </is>
      </c>
      <c r="K708" t="inlineStr">
        <is>
          <t>Boston, MA</t>
        </is>
      </c>
      <c r="P708" t="n">
        <v>618.96</v>
      </c>
      <c r="R708" t="n">
        <v>1766.26</v>
      </c>
      <c r="S708" t="n">
        <v>457.53</v>
      </c>
      <c r="U708" t="n">
        <v>2842.75</v>
      </c>
      <c r="V708" t="n">
        <v>1900124737</v>
      </c>
      <c r="X708" t="inlineStr">
        <is>
          <t>aafc-aac</t>
        </is>
      </c>
      <c r="Y708" t="inlineStr">
        <is>
          <t>Agriculture and Agri-Food Canada | Agriculture et Agroalimentaire Canada</t>
        </is>
      </c>
      <c r="Z708" t="n">
        <v>5</v>
      </c>
      <c r="AA708" t="n">
        <v>2842.75</v>
      </c>
      <c r="AB708">
        <f>ROUND(U708-AA708,2)</f>
        <v/>
      </c>
      <c r="AC708" t="b">
        <v>0</v>
      </c>
      <c r="AD708">
        <f>IF(U708="","MISSING_TOTAL",IF(ABS(AB708)&lt;=0.01,"OK","CHECK"))</f>
        <v/>
      </c>
      <c r="AE708">
        <f>IF(U708="","MISSING",IF(AND(AA708&gt;0,U708/AA708&gt;50),"POSSIBLE_SCALE_ERROR","OK"))</f>
        <v/>
      </c>
    </row>
    <row r="709">
      <c r="A709" t="inlineStr">
        <is>
          <t>T-2017-Q1-00041</t>
        </is>
      </c>
      <c r="B709" t="inlineStr">
        <is>
          <t>MPSES</t>
        </is>
      </c>
      <c r="C709" t="inlineStr">
        <is>
          <t>Director of Communications</t>
        </is>
      </c>
      <c r="D709" t="inlineStr">
        <is>
          <t>Directeur des communications</t>
        </is>
      </c>
      <c r="E709" t="inlineStr">
        <is>
          <t>Guy Gallant</t>
        </is>
      </c>
      <c r="F709" t="inlineStr">
        <is>
          <t>To accompany the Minister to an announcement in Charlottetown to accompany the Minister to meetings with Canola Farmers, producers and processors in Regina.</t>
        </is>
      </c>
      <c r="G709" t="inlineStr">
        <is>
          <t>Pour accompagner le ministre à une annonce à Charlottetown pour accompagner le ministre à des réunions avec les cultivateurs, producteurs et transformateurs de canola à Regina.</t>
        </is>
      </c>
      <c r="H709" s="1" t="n">
        <v>42850</v>
      </c>
      <c r="I709" s="1" t="n">
        <v>42852</v>
      </c>
      <c r="J709" t="inlineStr">
        <is>
          <t>Charlottetown, P.E.I. &amp; Regina, Sask.</t>
        </is>
      </c>
      <c r="K709" t="inlineStr">
        <is>
          <t>Charlottetown, Î.-P.-É et Regina, Sask.</t>
        </is>
      </c>
      <c r="P709" t="n">
        <v>2873.63</v>
      </c>
      <c r="Q709" t="n">
        <v>97.95</v>
      </c>
      <c r="R709" t="n">
        <v>335.41</v>
      </c>
      <c r="S709" t="n">
        <v>295.35</v>
      </c>
      <c r="U709" t="n">
        <v>3602.34</v>
      </c>
      <c r="V709" t="n">
        <v>1900010015</v>
      </c>
      <c r="X709" t="inlineStr">
        <is>
          <t>aafc-aac</t>
        </is>
      </c>
      <c r="Y709" t="inlineStr">
        <is>
          <t>Agriculture and Agri-Food Canada | Agriculture et Agroalimentaire Canada</t>
        </is>
      </c>
      <c r="Z709" t="n">
        <v>3</v>
      </c>
      <c r="AA709" t="n">
        <v>3602.33999999999</v>
      </c>
      <c r="AB709">
        <f>ROUND(U709-AA709,2)</f>
        <v/>
      </c>
      <c r="AC709" t="b">
        <v>0</v>
      </c>
      <c r="AD709">
        <f>IF(U709="","MISSING_TOTAL",IF(ABS(AB709)&lt;=0.01,"OK","CHECK"))</f>
        <v/>
      </c>
      <c r="AE709">
        <f>IF(U709="","MISSING",IF(AND(AA709&gt;0,U709/AA709&gt;50),"POSSIBLE_SCALE_ERROR","OK"))</f>
        <v/>
      </c>
    </row>
    <row r="710">
      <c r="A710" t="inlineStr">
        <is>
          <t>T-2017-Q3-00038</t>
        </is>
      </c>
      <c r="B710" t="inlineStr">
        <is>
          <t>SLE</t>
        </is>
      </c>
      <c r="C710" t="inlineStr">
        <is>
          <t>Assistant Deputy Minister, Public Affairs Branch</t>
        </is>
      </c>
      <c r="D710" t="inlineStr">
        <is>
          <t>Sous-ministre adjointe, Direction générale des affaires publiques</t>
        </is>
      </c>
      <c r="E710" t="inlineStr">
        <is>
          <t>Jane Taylor</t>
        </is>
      </c>
      <c r="F710" t="inlineStr">
        <is>
          <t>Oxford Program</t>
        </is>
      </c>
      <c r="G710" t="inlineStr">
        <is>
          <t>Programme Oxford</t>
        </is>
      </c>
      <c r="H710" s="1" t="n">
        <v>43000</v>
      </c>
      <c r="I710" s="1" t="n">
        <v>43009</v>
      </c>
      <c r="J710" t="inlineStr">
        <is>
          <t>Oxford, England</t>
        </is>
      </c>
      <c r="K710" t="inlineStr">
        <is>
          <t>Oxford, Angleterre</t>
        </is>
      </c>
      <c r="P710" t="n">
        <v>1075.15</v>
      </c>
      <c r="Q710" t="n">
        <v>83.97</v>
      </c>
      <c r="S710" t="n">
        <v>806.74</v>
      </c>
      <c r="U710" t="n">
        <v>1965.86</v>
      </c>
      <c r="V710" t="inlineStr">
        <is>
          <t>ACJ103664</t>
        </is>
      </c>
      <c r="X710" t="inlineStr">
        <is>
          <t>aafc-aac</t>
        </is>
      </c>
      <c r="Y710" t="inlineStr">
        <is>
          <t>Agriculture and Agri-Food Canada | Agriculture et Agroalimentaire Canada</t>
        </is>
      </c>
      <c r="Z710" t="n">
        <v>10</v>
      </c>
      <c r="AA710" t="n">
        <v>1965.86</v>
      </c>
      <c r="AB710">
        <f>ROUND(U710-AA710,2)</f>
        <v/>
      </c>
      <c r="AC710" t="b">
        <v>0</v>
      </c>
      <c r="AD710">
        <f>IF(U710="","MISSING_TOTAL",IF(ABS(AB710)&lt;=0.01,"OK","CHECK"))</f>
        <v/>
      </c>
      <c r="AE710">
        <f>IF(U710="","MISSING",IF(AND(AA710&gt;0,U710/AA710&gt;50),"POSSIBLE_SCALE_ERROR","OK"))</f>
        <v/>
      </c>
    </row>
    <row r="711">
      <c r="A711" t="inlineStr">
        <is>
          <t>T-2017-Q1-00042</t>
        </is>
      </c>
      <c r="B711" t="inlineStr">
        <is>
          <t>MPSES</t>
        </is>
      </c>
      <c r="C711" t="inlineStr">
        <is>
          <t>Director of Communications</t>
        </is>
      </c>
      <c r="D711" t="inlineStr">
        <is>
          <t>Directeur des communications</t>
        </is>
      </c>
      <c r="E711" t="inlineStr">
        <is>
          <t>Guy Gallant</t>
        </is>
      </c>
      <c r="F711" t="inlineStr">
        <is>
          <t>To accompany the Minister for an announcement on behalf of the Government of Canada</t>
        </is>
      </c>
      <c r="G711" t="inlineStr">
        <is>
          <t>Pour accompagner le ministre pour une annonce au nom du gouvernement du Canada</t>
        </is>
      </c>
      <c r="H711" s="1" t="n">
        <v>42853</v>
      </c>
      <c r="I711" s="1" t="n">
        <v>42855</v>
      </c>
      <c r="J711" t="inlineStr">
        <is>
          <t>Charlottetown, P.E.I.</t>
        </is>
      </c>
      <c r="K711" t="inlineStr">
        <is>
          <t>Charlottetown, Î.-P.-É</t>
        </is>
      </c>
      <c r="P711" t="n">
        <v>1124.11</v>
      </c>
      <c r="Q711" t="n">
        <v>56.41</v>
      </c>
      <c r="S711" t="n">
        <v>295.35</v>
      </c>
      <c r="U711" t="n">
        <v>1475.87</v>
      </c>
      <c r="V711" t="n">
        <v>1900008862</v>
      </c>
      <c r="X711" t="inlineStr">
        <is>
          <t>aafc-aac</t>
        </is>
      </c>
      <c r="Y711" t="inlineStr">
        <is>
          <t>Agriculture and Agri-Food Canada | Agriculture et Agroalimentaire Canada</t>
        </is>
      </c>
      <c r="Z711" t="n">
        <v>3</v>
      </c>
      <c r="AA711" t="n">
        <v>1475.87</v>
      </c>
      <c r="AB711">
        <f>ROUND(U711-AA711,2)</f>
        <v/>
      </c>
      <c r="AC711" t="b">
        <v>0</v>
      </c>
      <c r="AD711">
        <f>IF(U711="","MISSING_TOTAL",IF(ABS(AB711)&lt;=0.01,"OK","CHECK"))</f>
        <v/>
      </c>
      <c r="AE711">
        <f>IF(U711="","MISSING",IF(AND(AA711&gt;0,U711/AA711&gt;50),"POSSIBLE_SCALE_ERROR","OK"))</f>
        <v/>
      </c>
    </row>
    <row r="712">
      <c r="A712" t="inlineStr">
        <is>
          <t>T-2017-Q1-00043</t>
        </is>
      </c>
      <c r="B712" t="inlineStr">
        <is>
          <t>MPSES</t>
        </is>
      </c>
      <c r="C712" t="inlineStr">
        <is>
          <t>Director of Communications</t>
        </is>
      </c>
      <c r="D712" t="inlineStr">
        <is>
          <t>Directeur des communications</t>
        </is>
      </c>
      <c r="E712" t="inlineStr">
        <is>
          <t>Guy Gallant</t>
        </is>
      </c>
      <c r="F712" t="inlineStr">
        <is>
          <t>To accompany the Minister to a bilateral meeting with Ontario Minister of Agriculture and to the opening and tour of Salon International de l'alimentation</t>
        </is>
      </c>
      <c r="G712" t="inlineStr">
        <is>
          <t>Pour accompagner le ministre à une réunion bilatérale avec le ministre de l'Agriculture de l'Ontario et à l'ouverture et à la tournée du Salon international de l'alimentation</t>
        </is>
      </c>
      <c r="H712" s="1" t="n">
        <v>42856</v>
      </c>
      <c r="I712" s="1" t="n">
        <v>42857</v>
      </c>
      <c r="J712" t="inlineStr">
        <is>
          <t>Toronto, Ont.</t>
        </is>
      </c>
      <c r="K712" t="inlineStr">
        <is>
          <t>Toronto, Ont.</t>
        </is>
      </c>
      <c r="P712" t="n">
        <v>794.67</v>
      </c>
      <c r="R712" t="n">
        <v>230.84</v>
      </c>
      <c r="S712" t="n">
        <v>115.75</v>
      </c>
      <c r="U712" t="n">
        <v>1141.26</v>
      </c>
      <c r="V712" t="n">
        <v>1900010014</v>
      </c>
      <c r="X712" t="inlineStr">
        <is>
          <t>aafc-aac</t>
        </is>
      </c>
      <c r="Y712" t="inlineStr">
        <is>
          <t>Agriculture and Agri-Food Canada | Agriculture et Agroalimentaire Canada</t>
        </is>
      </c>
      <c r="Z712" t="n">
        <v>2</v>
      </c>
      <c r="AA712" t="n">
        <v>1141.26</v>
      </c>
      <c r="AB712">
        <f>ROUND(U712-AA712,2)</f>
        <v/>
      </c>
      <c r="AC712" t="b">
        <v>0</v>
      </c>
      <c r="AD712">
        <f>IF(U712="","MISSING_TOTAL",IF(ABS(AB712)&lt;=0.01,"OK","CHECK"))</f>
        <v/>
      </c>
      <c r="AE712">
        <f>IF(U712="","MISSING",IF(AND(AA712&gt;0,U712/AA712&gt;50),"POSSIBLE_SCALE_ERROR","OK"))</f>
        <v/>
      </c>
    </row>
    <row r="713">
      <c r="A713" t="inlineStr">
        <is>
          <t>T-2017-Q1-00044</t>
        </is>
      </c>
      <c r="B713" t="inlineStr">
        <is>
          <t>MPSES</t>
        </is>
      </c>
      <c r="C713" t="inlineStr">
        <is>
          <t>Director of Communications</t>
        </is>
      </c>
      <c r="D713" t="inlineStr">
        <is>
          <t>Directeur des communications</t>
        </is>
      </c>
      <c r="E713" t="inlineStr">
        <is>
          <t>Guy Gallant</t>
        </is>
      </c>
      <c r="F713" t="inlineStr">
        <is>
          <t>To accompany the Minister for a government announcement and meetings with the Premier and stakeholder</t>
        </is>
      </c>
      <c r="G713" t="inlineStr">
        <is>
          <t>Pour accompagner le ministre pour une annonce du gouvernement et des rencontres avec le Premier ministre et les parties prenantes</t>
        </is>
      </c>
      <c r="H713" s="1" t="n">
        <v>42858</v>
      </c>
      <c r="I713" s="1" t="n">
        <v>42862</v>
      </c>
      <c r="J713" t="inlineStr">
        <is>
          <t>Charlottetown, P.E.I.</t>
        </is>
      </c>
      <c r="K713" t="inlineStr">
        <is>
          <t>Charlottetown, Î.-P.-É</t>
        </is>
      </c>
      <c r="P713" t="n">
        <v>890.0700000000001</v>
      </c>
      <c r="Q713" t="n">
        <v>280.86</v>
      </c>
      <c r="R713" t="n">
        <v>496.73</v>
      </c>
      <c r="S713" t="n">
        <v>330.7</v>
      </c>
      <c r="U713" t="n">
        <v>1998.36</v>
      </c>
      <c r="V713" t="n">
        <v>1900010016</v>
      </c>
      <c r="X713" t="inlineStr">
        <is>
          <t>aafc-aac</t>
        </is>
      </c>
      <c r="Y713" t="inlineStr">
        <is>
          <t>Agriculture and Agri-Food Canada | Agriculture et Agroalimentaire Canada</t>
        </is>
      </c>
      <c r="Z713" t="n">
        <v>5</v>
      </c>
      <c r="AA713" t="n">
        <v>1998.36</v>
      </c>
      <c r="AB713">
        <f>ROUND(U713-AA713,2)</f>
        <v/>
      </c>
      <c r="AC713" t="b">
        <v>0</v>
      </c>
      <c r="AD713">
        <f>IF(U713="","MISSING_TOTAL",IF(ABS(AB713)&lt;=0.01,"OK","CHECK"))</f>
        <v/>
      </c>
      <c r="AE713">
        <f>IF(U713="","MISSING",IF(AND(AA713&gt;0,U713/AA713&gt;50),"POSSIBLE_SCALE_ERROR","OK"))</f>
        <v/>
      </c>
    </row>
    <row r="714">
      <c r="A714" t="inlineStr">
        <is>
          <t>T-2017-Q1-00045</t>
        </is>
      </c>
      <c r="B714" t="inlineStr">
        <is>
          <t>MPSES</t>
        </is>
      </c>
      <c r="C714" t="inlineStr">
        <is>
          <t>Director of Communications</t>
        </is>
      </c>
      <c r="D714" t="inlineStr">
        <is>
          <t>Directeur des communications</t>
        </is>
      </c>
      <c r="E714" t="inlineStr">
        <is>
          <t>Guy Gallant</t>
        </is>
      </c>
      <c r="F714" t="inlineStr">
        <is>
          <t>To accompany the Minister to Quebec Outreach, attend a bilateral meeting with the Quebec Minister of Agriculture, Fisheries and Food, meeting with L'Union des producteurs Agricoles and an interview with la Terre de Chez-Nous</t>
        </is>
      </c>
      <c r="G714" t="inlineStr">
        <is>
          <t>Pour accompagner le ministre à Québec Outreach, participez à une réunion bilatérale avec le ministre de l'Agriculture, des Pêches et de l'Alimentation du Québec, rencontré l'Union des producteurs Agricoles et une entrevue avec la Terre de Chez-Nous</t>
        </is>
      </c>
      <c r="H714" s="1" t="n">
        <v>42866</v>
      </c>
      <c r="I714" s="1" t="n">
        <v>42868</v>
      </c>
      <c r="J714" t="inlineStr">
        <is>
          <t>Montreal, Que.</t>
        </is>
      </c>
      <c r="K714" t="inlineStr">
        <is>
          <t>Montréal, Qc</t>
        </is>
      </c>
      <c r="P714" t="n">
        <v>999.58</v>
      </c>
      <c r="Q714" t="n">
        <v>80</v>
      </c>
      <c r="R714" t="n">
        <v>224.91</v>
      </c>
      <c r="S714" t="n">
        <v>143.65</v>
      </c>
      <c r="U714" t="n">
        <v>1448.14</v>
      </c>
      <c r="V714" t="n">
        <v>1900012370</v>
      </c>
      <c r="X714" t="inlineStr">
        <is>
          <t>aafc-aac</t>
        </is>
      </c>
      <c r="Y714" t="inlineStr">
        <is>
          <t>Agriculture and Agri-Food Canada | Agriculture et Agroalimentaire Canada</t>
        </is>
      </c>
      <c r="Z714" t="n">
        <v>3</v>
      </c>
      <c r="AA714" t="n">
        <v>1448.14</v>
      </c>
      <c r="AB714">
        <f>ROUND(U714-AA714,2)</f>
        <v/>
      </c>
      <c r="AC714" t="b">
        <v>0</v>
      </c>
      <c r="AD714">
        <f>IF(U714="","MISSING_TOTAL",IF(ABS(AB714)&lt;=0.01,"OK","CHECK"))</f>
        <v/>
      </c>
      <c r="AE714">
        <f>IF(U714="","MISSING",IF(AND(AA714&gt;0,U714/AA714&gt;50),"POSSIBLE_SCALE_ERROR","OK"))</f>
        <v/>
      </c>
    </row>
    <row r="715">
      <c r="A715" t="inlineStr">
        <is>
          <t>T-2017-Q1-00046</t>
        </is>
      </c>
      <c r="B715" t="inlineStr">
        <is>
          <t>MPSES</t>
        </is>
      </c>
      <c r="C715" t="inlineStr">
        <is>
          <t>Director of Communications</t>
        </is>
      </c>
      <c r="D715" t="inlineStr">
        <is>
          <t>Directeur des communications</t>
        </is>
      </c>
      <c r="E715" t="inlineStr">
        <is>
          <t>Guy Gallant</t>
        </is>
      </c>
      <c r="F715" t="inlineStr">
        <is>
          <t>To support the Minister with visit from German Delegation to Prince Edward Island. Meeting with University of Prince Edward Island president May 22,23. To accompany the Minister on an Outreach to Alberta where he took part in Grain Industry round-table on Transportation, a roundtable with Beef SectorStakeholders and Local Media Interviews May 24 to May 26</t>
        </is>
      </c>
      <c r="G715" t="inlineStr">
        <is>
          <t>Appuyer le ministre avec la visite de la délégation allemande à l'Île-du-Prince-Édouard. Réunion avec le président de l'Université de l'Île du Prince-Édouard le 22, 23 mai. Pour accompagner le ministre sur une sensibilisation à l'Alberta où il a participé à la table ronde sur l'industrie des grains sur les transports, une table ronde avec les représentants du secteur du boeuf et les entrevues avec les médias locaux du 24 au 26 mai</t>
        </is>
      </c>
      <c r="H715" s="1" t="n">
        <v>42874</v>
      </c>
      <c r="I715" s="1" t="n">
        <v>42881</v>
      </c>
      <c r="J715" t="inlineStr">
        <is>
          <t>Charlottetown, P.E.I. &amp; Calgary Alta.</t>
        </is>
      </c>
      <c r="K715" t="inlineStr">
        <is>
          <t>Charlottetown, Î.-P.-É&amp; Calgary Alb.</t>
        </is>
      </c>
      <c r="P715" t="n">
        <v>1909.85</v>
      </c>
      <c r="Q715" t="n">
        <v>190.58</v>
      </c>
      <c r="R715" t="n">
        <v>1011.46</v>
      </c>
      <c r="S715" t="n">
        <v>555.5</v>
      </c>
      <c r="U715" t="n">
        <v>3667.39</v>
      </c>
      <c r="V715" t="n">
        <v>1000391041</v>
      </c>
      <c r="X715" t="inlineStr">
        <is>
          <t>aafc-aac</t>
        </is>
      </c>
      <c r="Y715" t="inlineStr">
        <is>
          <t>Agriculture and Agri-Food Canada | Agriculture et Agroalimentaire Canada</t>
        </is>
      </c>
      <c r="Z715" t="n">
        <v>8</v>
      </c>
      <c r="AA715" t="n">
        <v>3667.39</v>
      </c>
      <c r="AB715">
        <f>ROUND(U715-AA715,2)</f>
        <v/>
      </c>
      <c r="AC715" t="b">
        <v>0</v>
      </c>
      <c r="AD715">
        <f>IF(U715="","MISSING_TOTAL",IF(ABS(AB715)&lt;=0.01,"OK","CHECK"))</f>
        <v/>
      </c>
      <c r="AE715">
        <f>IF(U715="","MISSING",IF(AND(AA715&gt;0,U715/AA715&gt;50),"POSSIBLE_SCALE_ERROR","OK"))</f>
        <v/>
      </c>
    </row>
    <row r="716">
      <c r="A716" t="inlineStr">
        <is>
          <t>T-2017-Q1-00047</t>
        </is>
      </c>
      <c r="B716" t="inlineStr">
        <is>
          <t>MPSES</t>
        </is>
      </c>
      <c r="C716" t="inlineStr">
        <is>
          <t>Director of Communications</t>
        </is>
      </c>
      <c r="D716" t="inlineStr">
        <is>
          <t>Directeur des communications</t>
        </is>
      </c>
      <c r="E716" t="inlineStr">
        <is>
          <t>Guy Gallant</t>
        </is>
      </c>
      <c r="F716" t="inlineStr">
        <is>
          <t>To accompany the Minister to launch the Government's consultations on a Food Policy for Canada</t>
        </is>
      </c>
      <c r="G716" t="inlineStr">
        <is>
          <t>Pour accompagner le ministre pour lancer les consultations du gouvernement sur une politique alimentaire pour le Canada</t>
        </is>
      </c>
      <c r="H716" s="1" t="n">
        <v>42883</v>
      </c>
      <c r="I716" s="1" t="n">
        <v>42884</v>
      </c>
      <c r="J716" t="inlineStr">
        <is>
          <t>Toronto, Ont.</t>
        </is>
      </c>
      <c r="K716" t="inlineStr">
        <is>
          <t>Toronto, Ont.</t>
        </is>
      </c>
      <c r="P716" t="n">
        <v>551.72</v>
      </c>
      <c r="R716" t="n">
        <v>230.84</v>
      </c>
      <c r="S716" t="n">
        <v>115.75</v>
      </c>
      <c r="U716" t="n">
        <v>898.3099999999999</v>
      </c>
      <c r="V716" t="n">
        <v>1900021792</v>
      </c>
      <c r="X716" t="inlineStr">
        <is>
          <t>aafc-aac</t>
        </is>
      </c>
      <c r="Y716" t="inlineStr">
        <is>
          <t>Agriculture and Agri-Food Canada | Agriculture et Agroalimentaire Canada</t>
        </is>
      </c>
      <c r="Z716" t="n">
        <v>2</v>
      </c>
      <c r="AA716" t="n">
        <v>898.3099999999999</v>
      </c>
      <c r="AB716">
        <f>ROUND(U716-AA716,2)</f>
        <v/>
      </c>
      <c r="AC716" t="b">
        <v>0</v>
      </c>
      <c r="AD716">
        <f>IF(U716="","MISSING_TOTAL",IF(ABS(AB716)&lt;=0.01,"OK","CHECK"))</f>
        <v/>
      </c>
      <c r="AE716">
        <f>IF(U716="","MISSING",IF(AND(AA716&gt;0,U716/AA716&gt;50),"POSSIBLE_SCALE_ERROR","OK"))</f>
        <v/>
      </c>
    </row>
    <row r="717">
      <c r="A717" t="inlineStr">
        <is>
          <t>T-2017-Q1-00048</t>
        </is>
      </c>
      <c r="B717" t="inlineStr">
        <is>
          <t>MPSES</t>
        </is>
      </c>
      <c r="C717" t="inlineStr">
        <is>
          <t>Policy Advisor</t>
        </is>
      </c>
      <c r="D717" t="inlineStr">
        <is>
          <t>Conseiller en politiques</t>
        </is>
      </c>
      <c r="E717" t="inlineStr">
        <is>
          <t>Abed Harb</t>
        </is>
      </c>
      <c r="F717" t="inlineStr">
        <is>
          <t>To accompany the Minister to Saskatchewan Association of Rural Municipalities Convention, meetings with Saskatchewan Minister of Agriculture and meetings with stakeholders</t>
        </is>
      </c>
      <c r="G717" t="inlineStr">
        <is>
          <t>Pour accompagner le ministre à la Convention de l'Association des municipalités rurales de la Saskatchewan, des réunions avec le ministre de l'Agriculture de la Saskatchewan et des réunions avec les intervenants</t>
        </is>
      </c>
      <c r="H717" s="1" t="n">
        <v>42809</v>
      </c>
      <c r="I717" s="1" t="n">
        <v>42811</v>
      </c>
      <c r="J717" t="inlineStr">
        <is>
          <t>Saskatoon, Sask.</t>
        </is>
      </c>
      <c r="K717" t="inlineStr">
        <is>
          <t>Saskatoon, Sask.</t>
        </is>
      </c>
      <c r="P717" t="n">
        <v>656.9299999999999</v>
      </c>
      <c r="Q717" t="n">
        <v>94.78</v>
      </c>
      <c r="R717" t="n">
        <v>152.25</v>
      </c>
      <c r="S717" t="n">
        <v>177.05</v>
      </c>
      <c r="U717" t="n">
        <v>1081.01</v>
      </c>
      <c r="V717" t="n">
        <v>1900123368</v>
      </c>
      <c r="X717" t="inlineStr">
        <is>
          <t>aafc-aac</t>
        </is>
      </c>
      <c r="Y717" t="inlineStr">
        <is>
          <t>Agriculture and Agri-Food Canada | Agriculture et Agroalimentaire Canada</t>
        </is>
      </c>
      <c r="Z717" t="n">
        <v>3</v>
      </c>
      <c r="AA717" t="n">
        <v>1081.01</v>
      </c>
      <c r="AB717">
        <f>ROUND(U717-AA717,2)</f>
        <v/>
      </c>
      <c r="AC717" t="b">
        <v>0</v>
      </c>
      <c r="AD717">
        <f>IF(U717="","MISSING_TOTAL",IF(ABS(AB717)&lt;=0.01,"OK","CHECK"))</f>
        <v/>
      </c>
      <c r="AE717">
        <f>IF(U717="","MISSING",IF(AND(AA717&gt;0,U717/AA717&gt;50),"POSSIBLE_SCALE_ERROR","OK"))</f>
        <v/>
      </c>
    </row>
    <row r="718">
      <c r="A718" t="inlineStr">
        <is>
          <t>T-2017-Q1-00049</t>
        </is>
      </c>
      <c r="B718" t="inlineStr">
        <is>
          <t>MPSES</t>
        </is>
      </c>
      <c r="C718" t="inlineStr">
        <is>
          <t>Policy Advisor</t>
        </is>
      </c>
      <c r="D718" t="inlineStr">
        <is>
          <t>Conseiller en politiques</t>
        </is>
      </c>
      <c r="E718" t="inlineStr">
        <is>
          <t>Abed Harb</t>
        </is>
      </c>
      <c r="F718" t="inlineStr">
        <is>
          <t>To accompany the Minister to meeting with Canola Farmers, producers and processors</t>
        </is>
      </c>
      <c r="G718" t="inlineStr">
        <is>
          <t>Pour accompagner le ministre à la rencontre des  cultivateurs, producteurs et transformateurs de canola</t>
        </is>
      </c>
      <c r="H718" s="1" t="n">
        <v>42851</v>
      </c>
      <c r="I718" s="1" t="n">
        <v>42853</v>
      </c>
      <c r="J718" t="inlineStr">
        <is>
          <t>Regina, Sask.</t>
        </is>
      </c>
      <c r="K718" t="inlineStr">
        <is>
          <t>Régina, Sask.</t>
        </is>
      </c>
      <c r="P718" t="n">
        <v>1376.89</v>
      </c>
      <c r="Q718" t="n">
        <v>100.04</v>
      </c>
      <c r="R718" t="n">
        <v>158.92</v>
      </c>
      <c r="S718" t="n">
        <v>179</v>
      </c>
      <c r="U718" t="n">
        <v>1814.85</v>
      </c>
      <c r="V718" t="n">
        <v>1900008867</v>
      </c>
      <c r="X718" t="inlineStr">
        <is>
          <t>aafc-aac</t>
        </is>
      </c>
      <c r="Y718" t="inlineStr">
        <is>
          <t>Agriculture and Agri-Food Canada | Agriculture et Agroalimentaire Canada</t>
        </is>
      </c>
      <c r="Z718" t="n">
        <v>3</v>
      </c>
      <c r="AA718" t="n">
        <v>1814.85</v>
      </c>
      <c r="AB718">
        <f>ROUND(U718-AA718,2)</f>
        <v/>
      </c>
      <c r="AC718" t="b">
        <v>0</v>
      </c>
      <c r="AD718">
        <f>IF(U718="","MISSING_TOTAL",IF(ABS(AB718)&lt;=0.01,"OK","CHECK"))</f>
        <v/>
      </c>
      <c r="AE718">
        <f>IF(U718="","MISSING",IF(AND(AA718&gt;0,U718/AA718&gt;50),"POSSIBLE_SCALE_ERROR","OK"))</f>
        <v/>
      </c>
    </row>
    <row r="719">
      <c r="A719" t="inlineStr">
        <is>
          <t>T-2017-Q1-00050</t>
        </is>
      </c>
      <c r="B719" t="inlineStr">
        <is>
          <t>MPSES</t>
        </is>
      </c>
      <c r="C719" t="inlineStr">
        <is>
          <t>Special Assistant</t>
        </is>
      </c>
      <c r="D719" t="inlineStr">
        <is>
          <t>Assistant Spécial</t>
        </is>
      </c>
      <c r="E719" t="inlineStr">
        <is>
          <t>Barry Hicken</t>
        </is>
      </c>
      <c r="F719" t="inlineStr">
        <is>
          <t>Accompany the Minister to meetings and briefings</t>
        </is>
      </c>
      <c r="G719" t="inlineStr">
        <is>
          <t>Accompagner le ministre aux réunions et aux séances d'information</t>
        </is>
      </c>
      <c r="H719" s="1" t="n">
        <v>42834</v>
      </c>
      <c r="I719" s="1" t="n">
        <v>42837</v>
      </c>
      <c r="J719" t="inlineStr">
        <is>
          <t>Ottawa, Ont.</t>
        </is>
      </c>
      <c r="K719" t="inlineStr">
        <is>
          <t>Ottawa, Ont.</t>
        </is>
      </c>
      <c r="P719" t="n">
        <v>958.23</v>
      </c>
      <c r="Q719" t="n">
        <v>152.88</v>
      </c>
      <c r="R719" t="n">
        <v>235.04</v>
      </c>
      <c r="S719" t="n">
        <v>277.45</v>
      </c>
      <c r="T719" t="n">
        <v>0</v>
      </c>
      <c r="U719" t="n">
        <v>1623.6</v>
      </c>
      <c r="V719" t="n">
        <v>1900001604</v>
      </c>
      <c r="X719" t="inlineStr">
        <is>
          <t>aafc-aac</t>
        </is>
      </c>
      <c r="Y719" t="inlineStr">
        <is>
          <t>Agriculture and Agri-Food Canada | Agriculture et Agroalimentaire Canada</t>
        </is>
      </c>
      <c r="Z719" t="n">
        <v>4</v>
      </c>
      <c r="AA719" t="n">
        <v>1623.6</v>
      </c>
      <c r="AB719">
        <f>ROUND(U719-AA719,2)</f>
        <v/>
      </c>
      <c r="AC719" t="b">
        <v>0</v>
      </c>
      <c r="AD719">
        <f>IF(U719="","MISSING_TOTAL",IF(ABS(AB719)&lt;=0.01,"OK","CHECK"))</f>
        <v/>
      </c>
      <c r="AE719">
        <f>IF(U719="","MISSING",IF(AND(AA719&gt;0,U719/AA719&gt;50),"POSSIBLE_SCALE_ERROR","OK"))</f>
        <v/>
      </c>
    </row>
    <row r="720">
      <c r="A720" t="inlineStr">
        <is>
          <t>T-2017-Q1-00052</t>
        </is>
      </c>
      <c r="B720" t="inlineStr">
        <is>
          <t>MPSES</t>
        </is>
      </c>
      <c r="C720" t="inlineStr">
        <is>
          <t>Deputy Minister</t>
        </is>
      </c>
      <c r="D720" t="inlineStr">
        <is>
          <t>Sous-Ministre</t>
        </is>
      </c>
      <c r="E720" t="inlineStr">
        <is>
          <t>Andrea Lyon</t>
        </is>
      </c>
      <c r="F720" t="inlineStr">
        <is>
          <t>Attend the Public Policy Forum Growth Summit in Toronto</t>
        </is>
      </c>
      <c r="G720" t="inlineStr">
        <is>
          <t>Participer au Sommet de la croissance du Forum des politiques publiques à Toronto</t>
        </is>
      </c>
      <c r="H720" s="1" t="n">
        <v>42845</v>
      </c>
      <c r="I720" s="1" t="n">
        <v>42846</v>
      </c>
      <c r="J720" t="inlineStr">
        <is>
          <t>Toronto, Ont.</t>
        </is>
      </c>
      <c r="K720" t="inlineStr">
        <is>
          <t>Toronto, Ont.</t>
        </is>
      </c>
      <c r="P720" t="n">
        <v>758.51</v>
      </c>
      <c r="Q720" t="n">
        <v>26</v>
      </c>
      <c r="R720" t="n">
        <v>268.21</v>
      </c>
      <c r="S720" t="n">
        <v>34.45</v>
      </c>
      <c r="T720" t="n">
        <v>0</v>
      </c>
      <c r="U720" t="n">
        <v>1087.17</v>
      </c>
      <c r="V720" t="inlineStr">
        <is>
          <t>AJG862877</t>
        </is>
      </c>
      <c r="X720" t="inlineStr">
        <is>
          <t>aafc-aac</t>
        </is>
      </c>
      <c r="Y720" t="inlineStr">
        <is>
          <t>Agriculture and Agri-Food Canada | Agriculture et Agroalimentaire Canada</t>
        </is>
      </c>
      <c r="Z720" t="n">
        <v>2</v>
      </c>
      <c r="AA720" t="n">
        <v>1087.17</v>
      </c>
      <c r="AB720">
        <f>ROUND(U720-AA720,2)</f>
        <v/>
      </c>
      <c r="AC720" t="b">
        <v>0</v>
      </c>
      <c r="AD720">
        <f>IF(U720="","MISSING_TOTAL",IF(ABS(AB720)&lt;=0.01,"OK","CHECK"))</f>
        <v/>
      </c>
      <c r="AE720">
        <f>IF(U720="","MISSING",IF(AND(AA720&gt;0,U720/AA720&gt;50),"POSSIBLE_SCALE_ERROR","OK"))</f>
        <v/>
      </c>
    </row>
    <row r="721">
      <c r="A721" t="inlineStr">
        <is>
          <t>T-2017-Q1-00053</t>
        </is>
      </c>
      <c r="B721" t="inlineStr">
        <is>
          <t>MPSES</t>
        </is>
      </c>
      <c r="C721" t="inlineStr">
        <is>
          <t>Deputy Minister</t>
        </is>
      </c>
      <c r="D721" t="inlineStr">
        <is>
          <t>Sous-Ministre</t>
        </is>
      </c>
      <c r="E721" t="inlineStr">
        <is>
          <t>Andrea Lyon</t>
        </is>
      </c>
      <c r="F721" t="inlineStr">
        <is>
          <t>To Attend Salon International de l'Alimentation  AgriFood Show in Toronto and to accompany the Minister for European Commissioner Hogan's visit</t>
        </is>
      </c>
      <c r="G721" t="inlineStr">
        <is>
          <t>Participer à Salon International de l'Alimentation AgriFood Show à Toronto et accompagner le ministre pour la visite du commissaire européen Hogan</t>
        </is>
      </c>
      <c r="H721" s="1" t="n">
        <v>42856</v>
      </c>
      <c r="I721" s="1" t="n">
        <v>42856</v>
      </c>
      <c r="J721" t="inlineStr">
        <is>
          <t>Toronto, Ont.</t>
        </is>
      </c>
      <c r="K721" t="inlineStr">
        <is>
          <t>Toronto, Ont.</t>
        </is>
      </c>
      <c r="P721" t="n">
        <v>814.5</v>
      </c>
      <c r="Q721" t="n">
        <v>74.09999999999999</v>
      </c>
      <c r="R721" t="n">
        <v>230.84</v>
      </c>
      <c r="S721" t="n">
        <v>97.7</v>
      </c>
      <c r="T721" t="n">
        <v>0</v>
      </c>
      <c r="U721" t="n">
        <v>1217.14</v>
      </c>
      <c r="V721" t="inlineStr">
        <is>
          <t>AJG829863</t>
        </is>
      </c>
      <c r="X721" t="inlineStr">
        <is>
          <t>aafc-aac</t>
        </is>
      </c>
      <c r="Y721" t="inlineStr">
        <is>
          <t>Agriculture and Agri-Food Canada | Agriculture et Agroalimentaire Canada</t>
        </is>
      </c>
      <c r="Z721" t="n">
        <v>1</v>
      </c>
      <c r="AA721" t="n">
        <v>1217.14</v>
      </c>
      <c r="AB721">
        <f>ROUND(U721-AA721,2)</f>
        <v/>
      </c>
      <c r="AC721" t="b">
        <v>0</v>
      </c>
      <c r="AD721">
        <f>IF(U721="","MISSING_TOTAL",IF(ABS(AB721)&lt;=0.01,"OK","CHECK"))</f>
        <v/>
      </c>
      <c r="AE721">
        <f>IF(U721="","MISSING",IF(AND(AA721&gt;0,U721/AA721&gt;50),"POSSIBLE_SCALE_ERROR","OK"))</f>
        <v/>
      </c>
    </row>
    <row r="722">
      <c r="A722" t="inlineStr">
        <is>
          <t>T-2017-Q1-00054</t>
        </is>
      </c>
      <c r="B722" t="inlineStr">
        <is>
          <t>MPSES</t>
        </is>
      </c>
      <c r="C722" t="inlineStr">
        <is>
          <t>Minister</t>
        </is>
      </c>
      <c r="D722" t="inlineStr">
        <is>
          <t>Ministre</t>
        </is>
      </c>
      <c r="E722" t="inlineStr">
        <is>
          <t>Lawrence MacAulay</t>
        </is>
      </c>
      <c r="F722" t="inlineStr">
        <is>
          <t>Agriculture and Agri-Food Canada ministerial Mission to Vietnam and India</t>
        </is>
      </c>
      <c r="G722" t="inlineStr">
        <is>
          <t>Mission ministérielle d'Agriculture et Agroalimentaire Canada  au Vietnam et en Inde</t>
        </is>
      </c>
      <c r="H722" s="1" t="n">
        <v>42790</v>
      </c>
      <c r="I722" s="1" t="n">
        <v>42806</v>
      </c>
      <c r="J722" t="inlineStr">
        <is>
          <t>Hanoi, VN &amp;  Mumbai, IN</t>
        </is>
      </c>
      <c r="K722" t="inlineStr">
        <is>
          <t>Hanoi, VN &amp;  Mumbai, IN</t>
        </is>
      </c>
      <c r="P722" t="n">
        <v>12333.45</v>
      </c>
      <c r="Q722" t="n">
        <v>25.97</v>
      </c>
      <c r="R722" t="n">
        <v>3359.17</v>
      </c>
      <c r="S722" t="n">
        <v>2141.81</v>
      </c>
      <c r="T722" t="n">
        <v>291.67</v>
      </c>
      <c r="U722" t="n">
        <v>18152.07</v>
      </c>
      <c r="V722" t="n">
        <v>1900123364</v>
      </c>
      <c r="X722" t="inlineStr">
        <is>
          <t>aafc-aac</t>
        </is>
      </c>
      <c r="Y722" t="inlineStr">
        <is>
          <t>Agriculture and Agri-Food Canada | Agriculture et Agroalimentaire Canada</t>
        </is>
      </c>
      <c r="Z722" t="n">
        <v>17</v>
      </c>
      <c r="AA722" t="n">
        <v>18152.07</v>
      </c>
      <c r="AB722">
        <f>ROUND(U722-AA722,2)</f>
        <v/>
      </c>
      <c r="AC722" t="b">
        <v>0</v>
      </c>
      <c r="AD722">
        <f>IF(U722="","MISSING_TOTAL",IF(ABS(AB722)&lt;=0.01,"OK","CHECK"))</f>
        <v/>
      </c>
      <c r="AE722">
        <f>IF(U722="","MISSING",IF(AND(AA722&gt;0,U722/AA722&gt;50),"POSSIBLE_SCALE_ERROR","OK"))</f>
        <v/>
      </c>
    </row>
    <row r="723">
      <c r="A723" t="inlineStr">
        <is>
          <t>T-2017-Q1-00055</t>
        </is>
      </c>
      <c r="B723" t="inlineStr">
        <is>
          <t>MPSES</t>
        </is>
      </c>
      <c r="C723" t="inlineStr">
        <is>
          <t>Minister</t>
        </is>
      </c>
      <c r="D723" t="inlineStr">
        <is>
          <t>Ministre</t>
        </is>
      </c>
      <c r="E723" t="inlineStr">
        <is>
          <t>Lawrence MacAulay</t>
        </is>
      </c>
      <c r="F723" t="inlineStr">
        <is>
          <t>To attend the Saskatchewan Association of Rural Municipalities Convention and for meetings with the Saskatchewan Minister of Agriculture and Stakeholders</t>
        </is>
      </c>
      <c r="G723" t="inlineStr">
        <is>
          <t>Assister à la Convention de l'Association des municipalités rurales de la Saskatchewan et à des réunions avec le ministre de l'Agriculture et des intervenants du Saskathewan</t>
        </is>
      </c>
      <c r="H723" s="1" t="n">
        <v>42809</v>
      </c>
      <c r="I723" s="1" t="n">
        <v>42811</v>
      </c>
      <c r="J723" t="inlineStr">
        <is>
          <t>Saskatoon, Sask.</t>
        </is>
      </c>
      <c r="K723" t="inlineStr">
        <is>
          <t>Saskatoon, Sask.</t>
        </is>
      </c>
      <c r="P723" t="n">
        <v>1237.9</v>
      </c>
      <c r="Q723" t="n">
        <v>25.97</v>
      </c>
      <c r="R723" t="n">
        <v>164.29</v>
      </c>
      <c r="S723" t="n">
        <v>177.25</v>
      </c>
      <c r="T723" t="n">
        <v>0</v>
      </c>
      <c r="U723" t="n">
        <v>1605.41</v>
      </c>
      <c r="V723" t="n">
        <v>1900123358</v>
      </c>
      <c r="X723" t="inlineStr">
        <is>
          <t>aafc-aac</t>
        </is>
      </c>
      <c r="Y723" t="inlineStr">
        <is>
          <t>Agriculture and Agri-Food Canada | Agriculture et Agroalimentaire Canada</t>
        </is>
      </c>
      <c r="Z723" t="n">
        <v>3</v>
      </c>
      <c r="AA723" t="n">
        <v>1605.41</v>
      </c>
      <c r="AB723">
        <f>ROUND(U723-AA723,2)</f>
        <v/>
      </c>
      <c r="AC723" t="b">
        <v>0</v>
      </c>
      <c r="AD723">
        <f>IF(U723="","MISSING_TOTAL",IF(ABS(AB723)&lt;=0.01,"OK","CHECK"))</f>
        <v/>
      </c>
      <c r="AE723">
        <f>IF(U723="","MISSING",IF(AND(AA723&gt;0,U723/AA723&gt;50),"POSSIBLE_SCALE_ERROR","OK"))</f>
        <v/>
      </c>
    </row>
    <row r="724">
      <c r="A724" t="inlineStr">
        <is>
          <t>T-2017-Q1-00056</t>
        </is>
      </c>
      <c r="B724" t="inlineStr">
        <is>
          <t>MPSES</t>
        </is>
      </c>
      <c r="C724" t="inlineStr">
        <is>
          <t>Minister</t>
        </is>
      </c>
      <c r="D724" t="inlineStr">
        <is>
          <t>Ministre</t>
        </is>
      </c>
      <c r="E724" t="inlineStr">
        <is>
          <t>Lawrence MacAulay</t>
        </is>
      </c>
      <c r="F724" t="inlineStr">
        <is>
          <t>To attend the Seafood Expo North America, bilateral meetings with provincial and state legislators and stakeholders, and deliver a keynote speech to the new England-Canada Business Council</t>
        </is>
      </c>
      <c r="G724" t="inlineStr">
        <is>
          <t>Pour assister à la Seafood Expo North America, des rencontres bilatérales avec les législateurs provinciaux, des états et les parties prenantes, ainsi que présenter un discours d'ouverture au nouveau Conseil des entreprises d'Angleterre-Canada</t>
        </is>
      </c>
      <c r="H724" s="1" t="n">
        <v>42811</v>
      </c>
      <c r="I724" s="1" t="n">
        <v>42815</v>
      </c>
      <c r="J724" t="inlineStr">
        <is>
          <t>Boston, MA</t>
        </is>
      </c>
      <c r="K724" t="inlineStr">
        <is>
          <t>Boston, MA</t>
        </is>
      </c>
      <c r="P724" t="n">
        <v>618.96</v>
      </c>
      <c r="Q724" t="n">
        <v>0</v>
      </c>
      <c r="R724" t="n">
        <v>1766.26</v>
      </c>
      <c r="S724" t="n">
        <v>457.53</v>
      </c>
      <c r="T724" t="n">
        <v>0</v>
      </c>
      <c r="U724" t="n">
        <v>2842.75</v>
      </c>
      <c r="V724" t="n">
        <v>1900123374</v>
      </c>
      <c r="X724" t="inlineStr">
        <is>
          <t>aafc-aac</t>
        </is>
      </c>
      <c r="Y724" t="inlineStr">
        <is>
          <t>Agriculture and Agri-Food Canada | Agriculture et Agroalimentaire Canada</t>
        </is>
      </c>
      <c r="Z724" t="n">
        <v>5</v>
      </c>
      <c r="AA724" t="n">
        <v>2842.75</v>
      </c>
      <c r="AB724">
        <f>ROUND(U724-AA724,2)</f>
        <v/>
      </c>
      <c r="AC724" t="b">
        <v>0</v>
      </c>
      <c r="AD724">
        <f>IF(U724="","MISSING_TOTAL",IF(ABS(AB724)&lt;=0.01,"OK","CHECK"))</f>
        <v/>
      </c>
      <c r="AE724">
        <f>IF(U724="","MISSING",IF(AND(AA724&gt;0,U724/AA724&gt;50),"POSSIBLE_SCALE_ERROR","OK"))</f>
        <v/>
      </c>
    </row>
    <row r="725">
      <c r="A725" t="inlineStr">
        <is>
          <t>T-2017-Q1-00057</t>
        </is>
      </c>
      <c r="B725" t="inlineStr">
        <is>
          <t>MPSES</t>
        </is>
      </c>
      <c r="C725" t="inlineStr">
        <is>
          <t>Minister</t>
        </is>
      </c>
      <c r="D725" t="inlineStr">
        <is>
          <t>Ministre</t>
        </is>
      </c>
      <c r="E725" t="inlineStr">
        <is>
          <t>Lawrence MacAulay</t>
        </is>
      </c>
      <c r="F725" t="inlineStr">
        <is>
          <t>Announcement of the Agricultural Greenhouse Gases Program and to Ottawa for briefings</t>
        </is>
      </c>
      <c r="G725" t="inlineStr">
        <is>
          <t>Annonce du Programme agricole de gaz à effet de serre  et à Ottawa pour des séances d'information</t>
        </is>
      </c>
      <c r="H725" s="1" t="n">
        <v>42845</v>
      </c>
      <c r="I725" s="1" t="n">
        <v>42850</v>
      </c>
      <c r="J725" t="inlineStr">
        <is>
          <t>Edmonton, Alta. &amp; Ottawa, Ont.</t>
        </is>
      </c>
      <c r="K725" t="inlineStr">
        <is>
          <t>Edmonton, Alb. &amp; Ottawa, Ont.</t>
        </is>
      </c>
      <c r="P725" t="n">
        <v>2042.68</v>
      </c>
      <c r="Q725" t="n">
        <v>494.04</v>
      </c>
      <c r="R725" t="n">
        <v>379.46</v>
      </c>
      <c r="S725" t="n">
        <v>213.45</v>
      </c>
      <c r="T725" t="n">
        <v>0</v>
      </c>
      <c r="U725" t="n">
        <v>3129.63</v>
      </c>
      <c r="V725" t="n">
        <v>1900008860</v>
      </c>
      <c r="X725" t="inlineStr">
        <is>
          <t>aafc-aac</t>
        </is>
      </c>
      <c r="Y725" t="inlineStr">
        <is>
          <t>Agriculture and Agri-Food Canada | Agriculture et Agroalimentaire Canada</t>
        </is>
      </c>
      <c r="Z725" t="n">
        <v>6</v>
      </c>
      <c r="AA725" t="n">
        <v>3129.63</v>
      </c>
      <c r="AB725">
        <f>ROUND(U725-AA725,2)</f>
        <v/>
      </c>
      <c r="AC725" t="b">
        <v>0</v>
      </c>
      <c r="AD725">
        <f>IF(U725="","MISSING_TOTAL",IF(ABS(AB725)&lt;=0.01,"OK","CHECK"))</f>
        <v/>
      </c>
      <c r="AE725">
        <f>IF(U725="","MISSING",IF(AND(AA725&gt;0,U725/AA725&gt;50),"POSSIBLE_SCALE_ERROR","OK"))</f>
        <v/>
      </c>
    </row>
    <row r="726">
      <c r="A726" t="inlineStr">
        <is>
          <t>T-2017-Q1-00058</t>
        </is>
      </c>
      <c r="B726" t="inlineStr">
        <is>
          <t>MPSES</t>
        </is>
      </c>
      <c r="C726" t="inlineStr">
        <is>
          <t>Minister</t>
        </is>
      </c>
      <c r="D726" t="inlineStr">
        <is>
          <t>Ministre</t>
        </is>
      </c>
      <c r="E726" t="inlineStr">
        <is>
          <t>Lawrence MacAulay</t>
        </is>
      </c>
      <c r="F726" t="inlineStr">
        <is>
          <t>Meetings with Canola farmers, producers and processors</t>
        </is>
      </c>
      <c r="G726" t="inlineStr">
        <is>
          <t>Réunions avec des agriculteurs, producteurs et transformateurs de canola</t>
        </is>
      </c>
      <c r="H726" s="1" t="n">
        <v>42851</v>
      </c>
      <c r="I726" s="1" t="n">
        <v>42853</v>
      </c>
      <c r="J726" t="inlineStr">
        <is>
          <t>Regina, Sask. &amp;    Toronto, Ont.</t>
        </is>
      </c>
      <c r="K726" t="inlineStr">
        <is>
          <t>Regina, Sask. &amp;    Toronto, Ont.</t>
        </is>
      </c>
      <c r="P726" t="n">
        <v>3351.62</v>
      </c>
      <c r="Q726" t="n">
        <v>52.47</v>
      </c>
      <c r="R726" t="n">
        <v>474.19</v>
      </c>
      <c r="S726" t="n">
        <v>232.25</v>
      </c>
      <c r="T726" t="n">
        <v>0</v>
      </c>
      <c r="U726" t="n">
        <v>4110.53</v>
      </c>
      <c r="V726" t="n">
        <v>1900009943</v>
      </c>
      <c r="X726" t="inlineStr">
        <is>
          <t>aafc-aac</t>
        </is>
      </c>
      <c r="Y726" t="inlineStr">
        <is>
          <t>Agriculture and Agri-Food Canada | Agriculture et Agroalimentaire Canada</t>
        </is>
      </c>
      <c r="Z726" t="n">
        <v>3</v>
      </c>
      <c r="AA726" t="n">
        <v>4110.53</v>
      </c>
      <c r="AB726">
        <f>ROUND(U726-AA726,2)</f>
        <v/>
      </c>
      <c r="AC726" t="b">
        <v>0</v>
      </c>
      <c r="AD726">
        <f>IF(U726="","MISSING_TOTAL",IF(ABS(AB726)&lt;=0.01,"OK","CHECK"))</f>
        <v/>
      </c>
      <c r="AE726">
        <f>IF(U726="","MISSING",IF(AND(AA726&gt;0,U726/AA726&gt;50),"POSSIBLE_SCALE_ERROR","OK"))</f>
        <v/>
      </c>
    </row>
    <row r="727">
      <c r="A727" t="inlineStr">
        <is>
          <t>T-2017-Q1-00059</t>
        </is>
      </c>
      <c r="B727" t="inlineStr">
        <is>
          <t>MPSES</t>
        </is>
      </c>
      <c r="C727" t="inlineStr">
        <is>
          <t>Minister</t>
        </is>
      </c>
      <c r="D727" t="inlineStr">
        <is>
          <t>Ministre</t>
        </is>
      </c>
      <c r="E727" t="inlineStr">
        <is>
          <t>Lawrence MacAulay</t>
        </is>
      </c>
      <c r="F727" t="inlineStr">
        <is>
          <t>Bilateral meeting with Ontario Minister of Agriculture and provide opening remarks and tour Salon International de l'Alimentation</t>
        </is>
      </c>
      <c r="G727" t="inlineStr">
        <is>
          <t>Rencontre bilatérale avec le ministre de l'Agriculture de l'Ontario et présentation de l'ouverture et visite du Salon International de l'Alimentation</t>
        </is>
      </c>
      <c r="H727" s="1" t="n">
        <v>42856</v>
      </c>
      <c r="I727" s="1" t="n">
        <v>42857</v>
      </c>
      <c r="J727" t="inlineStr">
        <is>
          <t>Toronto, Ont.</t>
        </is>
      </c>
      <c r="K727" t="inlineStr">
        <is>
          <t>Toronto, Ont.</t>
        </is>
      </c>
      <c r="P727" t="n">
        <v>1138.19</v>
      </c>
      <c r="Q727" t="n">
        <v>0</v>
      </c>
      <c r="R727" t="n">
        <v>230.84</v>
      </c>
      <c r="S727" t="n">
        <v>115.75</v>
      </c>
      <c r="T727" t="n">
        <v>0</v>
      </c>
      <c r="U727" t="n">
        <v>1484.78</v>
      </c>
      <c r="V727" t="n">
        <v>1900009858</v>
      </c>
      <c r="X727" t="inlineStr">
        <is>
          <t>aafc-aac</t>
        </is>
      </c>
      <c r="Y727" t="inlineStr">
        <is>
          <t>Agriculture and Agri-Food Canada | Agriculture et Agroalimentaire Canada</t>
        </is>
      </c>
      <c r="Z727" t="n">
        <v>2</v>
      </c>
      <c r="AA727" t="n">
        <v>1484.78</v>
      </c>
      <c r="AB727">
        <f>ROUND(U727-AA727,2)</f>
        <v/>
      </c>
      <c r="AC727" t="b">
        <v>0</v>
      </c>
      <c r="AD727">
        <f>IF(U727="","MISSING_TOTAL",IF(ABS(AB727)&lt;=0.01,"OK","CHECK"))</f>
        <v/>
      </c>
      <c r="AE727">
        <f>IF(U727="","MISSING",IF(AND(AA727&gt;0,U727/AA727&gt;50),"POSSIBLE_SCALE_ERROR","OK"))</f>
        <v/>
      </c>
    </row>
    <row r="728">
      <c r="A728" t="inlineStr">
        <is>
          <t>T-2017-Q1-00060</t>
        </is>
      </c>
      <c r="B728" t="inlineStr">
        <is>
          <t>MPSES</t>
        </is>
      </c>
      <c r="C728" t="inlineStr">
        <is>
          <t>Minister</t>
        </is>
      </c>
      <c r="D728" t="inlineStr">
        <is>
          <t>Ministre</t>
        </is>
      </c>
      <c r="E728" t="inlineStr">
        <is>
          <t>Lawrence MacAulay</t>
        </is>
      </c>
      <c r="F728" t="inlineStr">
        <is>
          <t>Quebec Outreach, to attend a bilateral meeting with the Quebec Minister of Agriculture, Fisheries and Food, a meeting with l'Union des producteurs agricoles, and a review with la Terre de Chez-Nous</t>
        </is>
      </c>
      <c r="G728" t="inlineStr">
        <is>
          <t>Réunion bilatérale avec le ministre de l'Agriculture, des Pêches et de l'Alimentation du Québec, et une réunion avec l'Union des producteurs agricoles et une revue avec la Terre de Chez-Nous</t>
        </is>
      </c>
      <c r="H728" s="1" t="n">
        <v>42866</v>
      </c>
      <c r="I728" s="1" t="n">
        <v>42867</v>
      </c>
      <c r="J728" t="inlineStr">
        <is>
          <t>Montreal, Que.</t>
        </is>
      </c>
      <c r="K728" t="inlineStr">
        <is>
          <t>Montréal, Qc</t>
        </is>
      </c>
      <c r="P728" t="n">
        <v>1058.9</v>
      </c>
      <c r="Q728" t="n">
        <v>26.23</v>
      </c>
      <c r="R728" t="n">
        <v>224.91</v>
      </c>
      <c r="S728" t="n">
        <v>143.65</v>
      </c>
      <c r="T728" t="n">
        <v>0</v>
      </c>
      <c r="U728" t="n">
        <v>1453.69</v>
      </c>
      <c r="V728" t="n">
        <v>1900013298</v>
      </c>
      <c r="X728" t="inlineStr">
        <is>
          <t>aafc-aac</t>
        </is>
      </c>
      <c r="Y728" t="inlineStr">
        <is>
          <t>Agriculture and Agri-Food Canada | Agriculture et Agroalimentaire Canada</t>
        </is>
      </c>
      <c r="Z728" t="n">
        <v>2</v>
      </c>
      <c r="AA728" t="n">
        <v>1453.69</v>
      </c>
      <c r="AB728">
        <f>ROUND(U728-AA728,2)</f>
        <v/>
      </c>
      <c r="AC728" t="b">
        <v>0</v>
      </c>
      <c r="AD728">
        <f>IF(U728="","MISSING_TOTAL",IF(ABS(AB728)&lt;=0.01,"OK","CHECK"))</f>
        <v/>
      </c>
      <c r="AE728">
        <f>IF(U728="","MISSING",IF(AND(AA728&gt;0,U728/AA728&gt;50),"POSSIBLE_SCALE_ERROR","OK"))</f>
        <v/>
      </c>
    </row>
    <row r="729">
      <c r="A729" t="inlineStr">
        <is>
          <t>T-2017-Q1-00061</t>
        </is>
      </c>
      <c r="B729" t="inlineStr">
        <is>
          <t>MPSES</t>
        </is>
      </c>
      <c r="C729" t="inlineStr">
        <is>
          <t>Minister</t>
        </is>
      </c>
      <c r="D729" t="inlineStr">
        <is>
          <t>Ministre</t>
        </is>
      </c>
      <c r="E729" t="inlineStr">
        <is>
          <t>Lawrence MacAulay</t>
        </is>
      </c>
      <c r="F729" t="inlineStr">
        <is>
          <t>Outreach to Alberta to take part in a Grain Industry Roundtable on Transportation, a roundtable with Beef sector Stakeholders and Local Media Interviews</t>
        </is>
      </c>
      <c r="G729" t="inlineStr">
        <is>
          <t>Communiquer à l'Alberta pour participer à une table ronde sur les transports du secteur des grains, une table ronde avec les intervenants du secteur du boeuf et les entrevues avec les médias locaux</t>
        </is>
      </c>
      <c r="H729" s="1" t="n">
        <v>42879</v>
      </c>
      <c r="I729" s="1" t="n">
        <v>42881</v>
      </c>
      <c r="J729" t="inlineStr">
        <is>
          <t>Calgary, Alta.</t>
        </is>
      </c>
      <c r="K729" t="inlineStr">
        <is>
          <t>Calgary, Alb.</t>
        </is>
      </c>
      <c r="P729" t="n">
        <v>1691.73</v>
      </c>
      <c r="Q729" t="n">
        <v>26.23</v>
      </c>
      <c r="R729" t="n">
        <v>446.44</v>
      </c>
      <c r="S729" t="n">
        <v>168.25</v>
      </c>
      <c r="T729" t="n">
        <v>0</v>
      </c>
      <c r="U729" t="n">
        <v>2332.65</v>
      </c>
      <c r="V729" t="n">
        <v>1900020080</v>
      </c>
      <c r="X729" t="inlineStr">
        <is>
          <t>aafc-aac</t>
        </is>
      </c>
      <c r="Y729" t="inlineStr">
        <is>
          <t>Agriculture and Agri-Food Canada | Agriculture et Agroalimentaire Canada</t>
        </is>
      </c>
      <c r="Z729" t="n">
        <v>3</v>
      </c>
      <c r="AA729" t="n">
        <v>2332.65</v>
      </c>
      <c r="AB729">
        <f>ROUND(U729-AA729,2)</f>
        <v/>
      </c>
      <c r="AC729" t="b">
        <v>0</v>
      </c>
      <c r="AD729">
        <f>IF(U729="","MISSING_TOTAL",IF(ABS(AB729)&lt;=0.01,"OK","CHECK"))</f>
        <v/>
      </c>
      <c r="AE729">
        <f>IF(U729="","MISSING",IF(AND(AA729&gt;0,U729/AA729&gt;50),"POSSIBLE_SCALE_ERROR","OK"))</f>
        <v/>
      </c>
    </row>
    <row r="730">
      <c r="A730" t="inlineStr">
        <is>
          <t>T-2017-Q1-00065</t>
        </is>
      </c>
      <c r="B730" t="inlineStr">
        <is>
          <t>MPSES</t>
        </is>
      </c>
      <c r="C730" t="inlineStr">
        <is>
          <t>Director of Parliamentary Affairs</t>
        </is>
      </c>
      <c r="D730" t="inlineStr">
        <is>
          <t>Directeur des affaires parlementaires</t>
        </is>
      </c>
      <c r="E730" t="inlineStr">
        <is>
          <t>Matthew Mann</t>
        </is>
      </c>
      <c r="F730" t="inlineStr">
        <is>
          <t>To accompany the Minister to attend Seafood Expo North America, attend bilateral meetings with provincial and state legislators &amp; deliver a keynote speech to the new England Canada Business Council</t>
        </is>
      </c>
      <c r="G730" t="inlineStr">
        <is>
          <t>Pour accompagner le ministre à assister à Seafood Expo North America, assister à des réunions bilatérales avec les législateurs provinciaux et des États et prononcer un discours d'ouverture au nouveau Conseil des entreprises d'Angleterre en Canada</t>
        </is>
      </c>
      <c r="H730" s="1" t="n">
        <v>42811</v>
      </c>
      <c r="I730" s="1" t="n">
        <v>42815</v>
      </c>
      <c r="J730" t="inlineStr">
        <is>
          <t>Boston, MA</t>
        </is>
      </c>
      <c r="K730" t="inlineStr">
        <is>
          <t>Boston, MA</t>
        </is>
      </c>
      <c r="P730" t="n">
        <v>618.96</v>
      </c>
      <c r="Q730" t="n">
        <v>66.81</v>
      </c>
      <c r="R730" t="n">
        <v>1766.26</v>
      </c>
      <c r="S730" t="n">
        <v>474.84</v>
      </c>
      <c r="U730" t="n">
        <v>2926.87</v>
      </c>
      <c r="V730" t="n">
        <v>1900123367</v>
      </c>
      <c r="X730" t="inlineStr">
        <is>
          <t>aafc-aac</t>
        </is>
      </c>
      <c r="Y730" t="inlineStr">
        <is>
          <t>Agriculture and Agri-Food Canada | Agriculture et Agroalimentaire Canada</t>
        </is>
      </c>
      <c r="Z730" t="n">
        <v>5</v>
      </c>
      <c r="AA730" t="n">
        <v>2926.87</v>
      </c>
      <c r="AB730">
        <f>ROUND(U730-AA730,2)</f>
        <v/>
      </c>
      <c r="AC730" t="b">
        <v>0</v>
      </c>
      <c r="AD730">
        <f>IF(U730="","MISSING_TOTAL",IF(ABS(AB730)&lt;=0.01,"OK","CHECK"))</f>
        <v/>
      </c>
      <c r="AE730">
        <f>IF(U730="","MISSING",IF(AND(AA730&gt;0,U730/AA730&gt;50),"POSSIBLE_SCALE_ERROR","OK"))</f>
        <v/>
      </c>
    </row>
    <row r="731">
      <c r="A731" t="inlineStr">
        <is>
          <t>T-2017-Q1-00066</t>
        </is>
      </c>
      <c r="B731" t="inlineStr">
        <is>
          <t>MPSES</t>
        </is>
      </c>
      <c r="C731" t="inlineStr">
        <is>
          <t>Director of Parliamentary Affairs</t>
        </is>
      </c>
      <c r="D731" t="inlineStr">
        <is>
          <t>Directeur des affaires parlementaires</t>
        </is>
      </c>
      <c r="E731" t="inlineStr">
        <is>
          <t>Matthew Mann</t>
        </is>
      </c>
      <c r="F731" t="inlineStr">
        <is>
          <t>To accompany the Minister for meetings with stakeholders and government announcements</t>
        </is>
      </c>
      <c r="G731" t="inlineStr">
        <is>
          <t>Pour accompagner le ministre pour les réunions avec les parties prenantes et les annonces gouvernementales</t>
        </is>
      </c>
      <c r="H731" s="1" t="n">
        <v>42821</v>
      </c>
      <c r="I731" s="1" t="n">
        <v>42823</v>
      </c>
      <c r="J731" t="inlineStr">
        <is>
          <t>Charlottetown, P.E.I.</t>
        </is>
      </c>
      <c r="K731" t="inlineStr">
        <is>
          <t>Charlottetown,  Î.-P.-É.</t>
        </is>
      </c>
      <c r="P731" t="n">
        <v>1132.94</v>
      </c>
      <c r="Q731" t="n">
        <v>114.59</v>
      </c>
      <c r="R731" t="n">
        <v>284.28</v>
      </c>
      <c r="S731" t="n">
        <v>274.3</v>
      </c>
      <c r="U731" t="n">
        <v>1806.11</v>
      </c>
      <c r="V731" t="n">
        <v>1900124735</v>
      </c>
      <c r="X731" t="inlineStr">
        <is>
          <t>aafc-aac</t>
        </is>
      </c>
      <c r="Y731" t="inlineStr">
        <is>
          <t>Agriculture and Agri-Food Canada | Agriculture et Agroalimentaire Canada</t>
        </is>
      </c>
      <c r="Z731" t="n">
        <v>3</v>
      </c>
      <c r="AA731" t="n">
        <v>1806.11</v>
      </c>
      <c r="AB731">
        <f>ROUND(U731-AA731,2)</f>
        <v/>
      </c>
      <c r="AC731" t="b">
        <v>0</v>
      </c>
      <c r="AD731">
        <f>IF(U731="","MISSING_TOTAL",IF(ABS(AB731)&lt;=0.01,"OK","CHECK"))</f>
        <v/>
      </c>
      <c r="AE731">
        <f>IF(U731="","MISSING",IF(AND(AA731&gt;0,U731/AA731&gt;50),"POSSIBLE_SCALE_ERROR","OK"))</f>
        <v/>
      </c>
    </row>
    <row r="732">
      <c r="A732" t="inlineStr">
        <is>
          <t>T-2017-Q1-00067</t>
        </is>
      </c>
      <c r="B732" t="inlineStr">
        <is>
          <t>MPSES</t>
        </is>
      </c>
      <c r="C732" t="inlineStr">
        <is>
          <t>Director of Parliamentary Affairs</t>
        </is>
      </c>
      <c r="D732" t="inlineStr">
        <is>
          <t>Directeur des affaires parlementaires</t>
        </is>
      </c>
      <c r="E732" t="inlineStr">
        <is>
          <t>Matthew Mann</t>
        </is>
      </c>
      <c r="F732" t="inlineStr">
        <is>
          <t>To accompany the Minister for a government announcement</t>
        </is>
      </c>
      <c r="G732" t="inlineStr">
        <is>
          <t>Pour accompagner le ministre pour une annonce gouvernementale</t>
        </is>
      </c>
      <c r="H732" s="1" t="n">
        <v>42859</v>
      </c>
      <c r="I732" s="1" t="n">
        <v>42860</v>
      </c>
      <c r="J732" t="inlineStr">
        <is>
          <t>Charlottetown, P.E.I.</t>
        </is>
      </c>
      <c r="K732" t="inlineStr">
        <is>
          <t>Charlottetown,  Î.-P.-É.</t>
        </is>
      </c>
      <c r="P732" t="n">
        <v>923.97</v>
      </c>
      <c r="Q732" t="n">
        <v>64.7</v>
      </c>
      <c r="R732" t="n">
        <v>143.75</v>
      </c>
      <c r="S732" t="n">
        <v>179.75</v>
      </c>
      <c r="U732" t="n">
        <v>1312.17</v>
      </c>
      <c r="V732" t="n">
        <v>1900017367</v>
      </c>
      <c r="X732" t="inlineStr">
        <is>
          <t>aafc-aac</t>
        </is>
      </c>
      <c r="Y732" t="inlineStr">
        <is>
          <t>Agriculture and Agri-Food Canada | Agriculture et Agroalimentaire Canada</t>
        </is>
      </c>
      <c r="Z732" t="n">
        <v>2</v>
      </c>
      <c r="AA732" t="n">
        <v>1312.17</v>
      </c>
      <c r="AB732">
        <f>ROUND(U732-AA732,2)</f>
        <v/>
      </c>
      <c r="AC732" t="b">
        <v>0</v>
      </c>
      <c r="AD732">
        <f>IF(U732="","MISSING_TOTAL",IF(ABS(AB732)&lt;=0.01,"OK","CHECK"))</f>
        <v/>
      </c>
      <c r="AE732">
        <f>IF(U732="","MISSING",IF(AND(AA732&gt;0,U732/AA732&gt;50),"POSSIBLE_SCALE_ERROR","OK"))</f>
        <v/>
      </c>
    </row>
    <row r="733">
      <c r="A733" t="inlineStr">
        <is>
          <t>T-2017-Q1-00068</t>
        </is>
      </c>
      <c r="B733" t="inlineStr">
        <is>
          <t>MPSES</t>
        </is>
      </c>
      <c r="C733" t="inlineStr">
        <is>
          <t>Chief of Staff</t>
        </is>
      </c>
      <c r="D733" t="inlineStr">
        <is>
          <t>Chef de cabinet</t>
        </is>
      </c>
      <c r="E733" t="inlineStr">
        <is>
          <t>Mary Jean McFall</t>
        </is>
      </c>
      <c r="F733" t="inlineStr">
        <is>
          <t>To attend the Growth Summit II, Agriculture and Digital Adoption Breakfast Session: Agri-Food Powerhouse at the Metro Toronto Convention Center and a bilateral meeting with counterpart from the Ontario Ministry of Agriculture, Food and Rural Affairs.</t>
        </is>
      </c>
      <c r="G733" t="inlineStr">
        <is>
          <t>Pour assister à la session du déjeuner de l'adoption de l'agriculture et de l'adoption numérique du Sommet de la Croissance II: une centrale électrique agroalimentaire au Centre des congrès du Toronto métropolitain et une réunion bilatérale avec un homologue du ministère de l'Agriculture, de l'Alimentation et des Affaires rurales de l'Ontario</t>
        </is>
      </c>
      <c r="H733" s="1" t="n">
        <v>42844</v>
      </c>
      <c r="I733" s="1" t="n">
        <v>42845</v>
      </c>
      <c r="J733" t="inlineStr">
        <is>
          <t>Toronto, Ont.</t>
        </is>
      </c>
      <c r="K733" t="inlineStr">
        <is>
          <t>Toronto, Ont.</t>
        </is>
      </c>
      <c r="P733" t="n">
        <v>609.35</v>
      </c>
      <c r="Q733" t="n">
        <v>108.83</v>
      </c>
      <c r="S733" t="n">
        <v>126.5</v>
      </c>
      <c r="T733" t="n">
        <v>45.2</v>
      </c>
      <c r="U733" t="n">
        <v>889.88</v>
      </c>
      <c r="V733" t="n">
        <v>1900008865</v>
      </c>
      <c r="X733" t="inlineStr">
        <is>
          <t>aafc-aac</t>
        </is>
      </c>
      <c r="Y733" t="inlineStr">
        <is>
          <t>Agriculture and Agri-Food Canada | Agriculture et Agroalimentaire Canada</t>
        </is>
      </c>
      <c r="Z733" t="n">
        <v>2</v>
      </c>
      <c r="AA733" t="n">
        <v>889.88</v>
      </c>
      <c r="AB733">
        <f>ROUND(U733-AA733,2)</f>
        <v/>
      </c>
      <c r="AC733" t="b">
        <v>0</v>
      </c>
      <c r="AD733">
        <f>IF(U733="","MISSING_TOTAL",IF(ABS(AB733)&lt;=0.01,"OK","CHECK"))</f>
        <v/>
      </c>
      <c r="AE733">
        <f>IF(U733="","MISSING",IF(AND(AA733&gt;0,U733/AA733&gt;50),"POSSIBLE_SCALE_ERROR","OK"))</f>
        <v/>
      </c>
    </row>
    <row r="734">
      <c r="A734" t="inlineStr">
        <is>
          <t>T-2017-Q3-00077</t>
        </is>
      </c>
      <c r="B734" t="inlineStr">
        <is>
          <t>MPSES</t>
        </is>
      </c>
      <c r="C734" t="inlineStr">
        <is>
          <t>Communications Advisor</t>
        </is>
      </c>
      <c r="D734" t="inlineStr">
        <is>
          <t>Conseiller en communications</t>
        </is>
      </c>
      <c r="E734" t="inlineStr">
        <is>
          <t>Oliver Anderson</t>
        </is>
      </c>
      <c r="F734" t="inlineStr">
        <is>
          <t>To accompany the Minister outreach in Manitoba.</t>
        </is>
      </c>
      <c r="G734" t="inlineStr">
        <is>
          <t>Pour accompagner le Ministre à la sensibilisation au Manitoba.</t>
        </is>
      </c>
      <c r="H734" s="1" t="n">
        <v>43006</v>
      </c>
      <c r="I734" s="1" t="n">
        <v>43007</v>
      </c>
      <c r="J734" t="inlineStr">
        <is>
          <t>Winnipeg, Manitoba</t>
        </is>
      </c>
      <c r="K734" t="inlineStr">
        <is>
          <t>Winnipeg, Manitoba</t>
        </is>
      </c>
      <c r="P734" t="n">
        <v>864.85</v>
      </c>
      <c r="R734" t="n">
        <v>164.37</v>
      </c>
      <c r="S734" t="n">
        <v>161.7</v>
      </c>
      <c r="U734" t="n">
        <v>1190.92</v>
      </c>
      <c r="V734" t="n">
        <v>1900082943</v>
      </c>
      <c r="X734" t="inlineStr">
        <is>
          <t>aafc-aac</t>
        </is>
      </c>
      <c r="Y734" t="inlineStr">
        <is>
          <t>Agriculture and Agri-Food Canada | Agriculture et Agroalimentaire Canada</t>
        </is>
      </c>
      <c r="Z734" t="n">
        <v>2</v>
      </c>
      <c r="AA734" t="n">
        <v>1190.92</v>
      </c>
      <c r="AB734">
        <f>ROUND(U734-AA734,2)</f>
        <v/>
      </c>
      <c r="AC734" t="b">
        <v>0</v>
      </c>
      <c r="AD734">
        <f>IF(U734="","MISSING_TOTAL",IF(ABS(AB734)&lt;=0.01,"OK","CHECK"))</f>
        <v/>
      </c>
      <c r="AE734">
        <f>IF(U734="","MISSING",IF(AND(AA734&gt;0,U734/AA734&gt;50),"POSSIBLE_SCALE_ERROR","OK"))</f>
        <v/>
      </c>
    </row>
    <row r="735">
      <c r="A735" t="inlineStr">
        <is>
          <t>T-2017-Q1-00069</t>
        </is>
      </c>
      <c r="B735" t="inlineStr">
        <is>
          <t>MPSES</t>
        </is>
      </c>
      <c r="C735" t="inlineStr">
        <is>
          <t>Chief of Staff</t>
        </is>
      </c>
      <c r="D735" t="inlineStr">
        <is>
          <t>Chef de cabinet</t>
        </is>
      </c>
      <c r="E735" t="inlineStr">
        <is>
          <t>Mary Jean McFall</t>
        </is>
      </c>
      <c r="F735" t="inlineStr">
        <is>
          <t>To support the Minister with the visit from the German Delegation to Prince Edward Island</t>
        </is>
      </c>
      <c r="G735" t="inlineStr">
        <is>
          <t>Appuyer le ministre avec la visite de la délégation allemande à l'Île-du-Prince-Édouard</t>
        </is>
      </c>
      <c r="H735" s="1" t="n">
        <v>42876</v>
      </c>
      <c r="I735" s="1" t="n">
        <v>42878</v>
      </c>
      <c r="J735" t="inlineStr">
        <is>
          <t>Charlottetown, P.E.I.</t>
        </is>
      </c>
      <c r="K735" t="inlineStr">
        <is>
          <t>Charlottetown,  Î.-P.-É.</t>
        </is>
      </c>
      <c r="P735" t="n">
        <v>661.54</v>
      </c>
      <c r="Q735" t="n">
        <v>227.7</v>
      </c>
      <c r="R735" t="n">
        <v>329.3</v>
      </c>
      <c r="S735" t="n">
        <v>179.9</v>
      </c>
      <c r="U735" t="n">
        <v>1398.44</v>
      </c>
      <c r="V735" t="n">
        <v>1900017366</v>
      </c>
      <c r="X735" t="inlineStr">
        <is>
          <t>aafc-aac</t>
        </is>
      </c>
      <c r="Y735" t="inlineStr">
        <is>
          <t>Agriculture and Agri-Food Canada | Agriculture et Agroalimentaire Canada</t>
        </is>
      </c>
      <c r="Z735" t="n">
        <v>3</v>
      </c>
      <c r="AA735" t="n">
        <v>1398.44</v>
      </c>
      <c r="AB735">
        <f>ROUND(U735-AA735,2)</f>
        <v/>
      </c>
      <c r="AC735" t="b">
        <v>0</v>
      </c>
      <c r="AD735">
        <f>IF(U735="","MISSING_TOTAL",IF(ABS(AB735)&lt;=0.01,"OK","CHECK"))</f>
        <v/>
      </c>
      <c r="AE735">
        <f>IF(U735="","MISSING",IF(AND(AA735&gt;0,U735/AA735&gt;50),"POSSIBLE_SCALE_ERROR","OK"))</f>
        <v/>
      </c>
    </row>
    <row r="736">
      <c r="A736" t="inlineStr">
        <is>
          <t>T-2017-Q1-00071</t>
        </is>
      </c>
      <c r="B736" t="inlineStr">
        <is>
          <t>MPSES</t>
        </is>
      </c>
      <c r="C736" t="inlineStr">
        <is>
          <t>Policy Advisor</t>
        </is>
      </c>
      <c r="D736" t="inlineStr">
        <is>
          <t>Conseillère en politiques</t>
        </is>
      </c>
      <c r="E736" t="inlineStr">
        <is>
          <t>Alison Porter</t>
        </is>
      </c>
      <c r="F736" t="inlineStr">
        <is>
          <t>To accompany the Minister for meetings with stakeholders and government announcements</t>
        </is>
      </c>
      <c r="G736" t="inlineStr">
        <is>
          <t>Pour accompagner le ministre pour les réunions avec les parties prenantes et les annonces gouvernementales</t>
        </is>
      </c>
      <c r="H736" s="1" t="n">
        <v>42821</v>
      </c>
      <c r="I736" s="1" t="n">
        <v>42823</v>
      </c>
      <c r="J736" t="inlineStr">
        <is>
          <t>Charlottetown, P.E.I.</t>
        </is>
      </c>
      <c r="K736" t="inlineStr">
        <is>
          <t>Charlottetown,  Î.-P.-É.</t>
        </is>
      </c>
      <c r="P736" t="n">
        <v>1004.79</v>
      </c>
      <c r="Q736" t="n">
        <v>219.69</v>
      </c>
      <c r="R736" t="n">
        <v>284.28</v>
      </c>
      <c r="S736" t="n">
        <v>274.3</v>
      </c>
      <c r="U736" t="n">
        <v>1783.06</v>
      </c>
      <c r="V736" t="n">
        <v>1900125503</v>
      </c>
      <c r="X736" t="inlineStr">
        <is>
          <t>aafc-aac</t>
        </is>
      </c>
      <c r="Y736" t="inlineStr">
        <is>
          <t>Agriculture and Agri-Food Canada | Agriculture et Agroalimentaire Canada</t>
        </is>
      </c>
      <c r="Z736" t="n">
        <v>3</v>
      </c>
      <c r="AA736" t="n">
        <v>1783.06</v>
      </c>
      <c r="AB736">
        <f>ROUND(U736-AA736,2)</f>
        <v/>
      </c>
      <c r="AC736" t="b">
        <v>0</v>
      </c>
      <c r="AD736">
        <f>IF(U736="","MISSING_TOTAL",IF(ABS(AB736)&lt;=0.01,"OK","CHECK"))</f>
        <v/>
      </c>
      <c r="AE736">
        <f>IF(U736="","MISSING",IF(AND(AA736&gt;0,U736/AA736&gt;50),"POSSIBLE_SCALE_ERROR","OK"))</f>
        <v/>
      </c>
    </row>
    <row r="737">
      <c r="A737" t="inlineStr">
        <is>
          <t>T-2017-Q1-00072</t>
        </is>
      </c>
      <c r="B737" t="inlineStr">
        <is>
          <t>MPSES</t>
        </is>
      </c>
      <c r="C737" t="inlineStr">
        <is>
          <t>Policy Advisor</t>
        </is>
      </c>
      <c r="D737" t="inlineStr">
        <is>
          <t>Conseillère en politiques</t>
        </is>
      </c>
      <c r="E737" t="inlineStr">
        <is>
          <t>Alison Porter</t>
        </is>
      </c>
      <c r="F737" t="inlineStr">
        <is>
          <t>To accompany the Minister to a bilateral meeting with Ontario Minister of Agriculture and to the opening and tour of the Salon International de l'Alimentation</t>
        </is>
      </c>
      <c r="G737" t="inlineStr">
        <is>
          <t>Pour accompagner le ministre à une réunion bilatérale avec le ministre de l'Agriculture de l'Ontario et à l'ouverture et à la visite du Salon international de l'alimentation</t>
        </is>
      </c>
      <c r="H737" s="1" t="n">
        <v>42856</v>
      </c>
      <c r="I737" s="1" t="n">
        <v>42857</v>
      </c>
      <c r="J737" t="inlineStr">
        <is>
          <t>Toronto, Ont.</t>
        </is>
      </c>
      <c r="K737" t="inlineStr">
        <is>
          <t>Toronto, Ont.</t>
        </is>
      </c>
      <c r="P737" t="n">
        <v>794.67</v>
      </c>
      <c r="R737" t="n">
        <v>230.84</v>
      </c>
      <c r="S737" t="n">
        <v>115.75</v>
      </c>
      <c r="U737" t="n">
        <v>1141.26</v>
      </c>
      <c r="V737" t="n">
        <v>1900010013</v>
      </c>
      <c r="X737" t="inlineStr">
        <is>
          <t>aafc-aac</t>
        </is>
      </c>
      <c r="Y737" t="inlineStr">
        <is>
          <t>Agriculture and Agri-Food Canada | Agriculture et Agroalimentaire Canada</t>
        </is>
      </c>
      <c r="Z737" t="n">
        <v>2</v>
      </c>
      <c r="AA737" t="n">
        <v>1141.26</v>
      </c>
      <c r="AB737">
        <f>ROUND(U737-AA737,2)</f>
        <v/>
      </c>
      <c r="AC737" t="b">
        <v>0</v>
      </c>
      <c r="AD737">
        <f>IF(U737="","MISSING_TOTAL",IF(ABS(AB737)&lt;=0.01,"OK","CHECK"))</f>
        <v/>
      </c>
      <c r="AE737">
        <f>IF(U737="","MISSING",IF(AND(AA737&gt;0,U737/AA737&gt;50),"POSSIBLE_SCALE_ERROR","OK"))</f>
        <v/>
      </c>
    </row>
    <row r="738">
      <c r="A738" t="inlineStr">
        <is>
          <t>T-2017-Q1-00073</t>
        </is>
      </c>
      <c r="B738" t="inlineStr">
        <is>
          <t>MPSES</t>
        </is>
      </c>
      <c r="C738" t="inlineStr">
        <is>
          <t>Policy Advisor</t>
        </is>
      </c>
      <c r="D738" t="inlineStr">
        <is>
          <t>Conseillère en politiques</t>
        </is>
      </c>
      <c r="E738" t="inlineStr">
        <is>
          <t>Alison Porter</t>
        </is>
      </c>
      <c r="F738" t="inlineStr">
        <is>
          <t>To support the Minister with the visit from the German Delegation to Prince Edward Island</t>
        </is>
      </c>
      <c r="G738" t="inlineStr">
        <is>
          <t>Appuyer le ministre avec la visite de la délégation allemande à l'Île-du-Prince-Édouard</t>
        </is>
      </c>
      <c r="H738" s="1" t="n">
        <v>42876</v>
      </c>
      <c r="I738" s="1" t="n">
        <v>42878</v>
      </c>
      <c r="J738" t="inlineStr">
        <is>
          <t>Charlottetown, P.E.I.</t>
        </is>
      </c>
      <c r="K738" t="inlineStr">
        <is>
          <t>Charlottetown,  Î.-P.-É.</t>
        </is>
      </c>
      <c r="P738" t="n">
        <v>842.65</v>
      </c>
      <c r="R738" t="n">
        <v>329.3</v>
      </c>
      <c r="S738" t="n">
        <v>179.9</v>
      </c>
      <c r="U738" t="n">
        <v>1351.85</v>
      </c>
      <c r="V738" t="n">
        <v>1900019907</v>
      </c>
      <c r="X738" t="inlineStr">
        <is>
          <t>aafc-aac</t>
        </is>
      </c>
      <c r="Y738" t="inlineStr">
        <is>
          <t>Agriculture and Agri-Food Canada | Agriculture et Agroalimentaire Canada</t>
        </is>
      </c>
      <c r="Z738" t="n">
        <v>3</v>
      </c>
      <c r="AA738" t="n">
        <v>1351.85</v>
      </c>
      <c r="AB738">
        <f>ROUND(U738-AA738,2)</f>
        <v/>
      </c>
      <c r="AC738" t="b">
        <v>0</v>
      </c>
      <c r="AD738">
        <f>IF(U738="","MISSING_TOTAL",IF(ABS(AB738)&lt;=0.01,"OK","CHECK"))</f>
        <v/>
      </c>
      <c r="AE738">
        <f>IF(U738="","MISSING",IF(AND(AA738&gt;0,U738/AA738&gt;50),"POSSIBLE_SCALE_ERROR","OK"))</f>
        <v/>
      </c>
    </row>
    <row r="739">
      <c r="A739" t="inlineStr">
        <is>
          <t>T-2017-Q1-00074</t>
        </is>
      </c>
      <c r="B739" t="inlineStr">
        <is>
          <t>MPSES</t>
        </is>
      </c>
      <c r="C739" t="inlineStr">
        <is>
          <t>Parliamentary Secretary Assistant</t>
        </is>
      </c>
      <c r="D739" t="inlineStr">
        <is>
          <t>Adjoint du Secrétaire parlementaire</t>
        </is>
      </c>
      <c r="E739" t="inlineStr">
        <is>
          <t>Michel-Antoine Renaud</t>
        </is>
      </c>
      <c r="F739" t="inlineStr">
        <is>
          <t>To accompany the Minister to Quebec Outreach, attend a bilateral meeting with the Quebec Minister of Agriculture, Fisheries and Food, meeting with l'Union des producteurs agricoles and an interview with la Terre de Chez-Nous.</t>
        </is>
      </c>
      <c r="G739" t="inlineStr">
        <is>
          <t>Pour accompagner le ministre à la sensibilisation du Québec, participer à une réunion bilatérale avec le ministre de l'Agriculture, des Pêches et de l'Alimentation du Québec, rencontrer l'Union des producteurs agricoles et une entrevue avec la Terre de Chez-Nous.</t>
        </is>
      </c>
      <c r="H739" s="1" t="n">
        <v>42866</v>
      </c>
      <c r="I739" s="1" t="n">
        <v>42867</v>
      </c>
      <c r="J739" t="inlineStr">
        <is>
          <t>Montreal, Que.</t>
        </is>
      </c>
      <c r="K739" t="inlineStr">
        <is>
          <t>Montréal, Qc</t>
        </is>
      </c>
      <c r="P739" t="n">
        <v>935.2</v>
      </c>
      <c r="Q739" t="n">
        <v>43.9</v>
      </c>
      <c r="R739" t="n">
        <v>224.91</v>
      </c>
      <c r="S739" t="n">
        <v>143.65</v>
      </c>
      <c r="T739" t="n">
        <v>0</v>
      </c>
      <c r="U739" t="n">
        <v>1347.66</v>
      </c>
      <c r="V739" t="n">
        <v>1900010013</v>
      </c>
      <c r="X739" t="inlineStr">
        <is>
          <t>aafc-aac</t>
        </is>
      </c>
      <c r="Y739" t="inlineStr">
        <is>
          <t>Agriculture and Agri-Food Canada | Agriculture et Agroalimentaire Canada</t>
        </is>
      </c>
      <c r="Z739" t="n">
        <v>2</v>
      </c>
      <c r="AA739" t="n">
        <v>1347.66</v>
      </c>
      <c r="AB739">
        <f>ROUND(U739-AA739,2)</f>
        <v/>
      </c>
      <c r="AC739" t="b">
        <v>0</v>
      </c>
      <c r="AD739">
        <f>IF(U739="","MISSING_TOTAL",IF(ABS(AB739)&lt;=0.01,"OK","CHECK"))</f>
        <v/>
      </c>
      <c r="AE739">
        <f>IF(U739="","MISSING",IF(AND(AA739&gt;0,U739/AA739&gt;50),"POSSIBLE_SCALE_ERROR","OK"))</f>
        <v/>
      </c>
    </row>
    <row r="740">
      <c r="A740" t="inlineStr">
        <is>
          <t>T-2017-Q1-00075</t>
        </is>
      </c>
      <c r="B740" t="inlineStr">
        <is>
          <t>MPSES</t>
        </is>
      </c>
      <c r="C740" t="inlineStr">
        <is>
          <t>Parliamentary Secretary Assistant</t>
        </is>
      </c>
      <c r="D740" t="inlineStr">
        <is>
          <t>Adjoint du Secrétaire parlementaire</t>
        </is>
      </c>
      <c r="E740" t="inlineStr">
        <is>
          <t>Michel-Antoine Renaud</t>
        </is>
      </c>
      <c r="F740" t="inlineStr">
        <is>
          <t>To accompany the Parliamentary Secretary to an evening event with the Quebec horticultural industry</t>
        </is>
      </c>
      <c r="G740" t="inlineStr">
        <is>
          <t>Pour accompagner le secrétaire parlementaire d'un soirée avec l'industrie de l'horticulture québécoise</t>
        </is>
      </c>
      <c r="H740" s="1" t="n">
        <v>42873</v>
      </c>
      <c r="I740" s="1" t="n">
        <v>42874</v>
      </c>
      <c r="J740" t="inlineStr">
        <is>
          <t>Ottawa, Ont.</t>
        </is>
      </c>
      <c r="K740" t="inlineStr">
        <is>
          <t>Ottawa, Ont.</t>
        </is>
      </c>
      <c r="P740" t="n">
        <v>0</v>
      </c>
      <c r="Q740" t="n">
        <v>86.56999999999999</v>
      </c>
      <c r="R740" t="n">
        <v>0</v>
      </c>
      <c r="S740" t="n">
        <v>0</v>
      </c>
      <c r="T740" t="n">
        <v>0</v>
      </c>
      <c r="U740" t="n">
        <v>86.56999999999999</v>
      </c>
      <c r="V740" t="n">
        <v>1900017365</v>
      </c>
      <c r="X740" t="inlineStr">
        <is>
          <t>aafc-aac</t>
        </is>
      </c>
      <c r="Y740" t="inlineStr">
        <is>
          <t>Agriculture and Agri-Food Canada | Agriculture et Agroalimentaire Canada</t>
        </is>
      </c>
      <c r="Z740" t="n">
        <v>2</v>
      </c>
      <c r="AA740" t="n">
        <v>86.56999999999999</v>
      </c>
      <c r="AB740">
        <f>ROUND(U740-AA740,2)</f>
        <v/>
      </c>
      <c r="AC740" t="b">
        <v>0</v>
      </c>
      <c r="AD740">
        <f>IF(U740="","MISSING_TOTAL",IF(ABS(AB740)&lt;=0.01,"OK","CHECK"))</f>
        <v/>
      </c>
      <c r="AE740">
        <f>IF(U740="","MISSING",IF(AND(AA740&gt;0,U740/AA740&gt;50),"POSSIBLE_SCALE_ERROR","OK"))</f>
        <v/>
      </c>
    </row>
    <row r="741">
      <c r="A741" t="inlineStr">
        <is>
          <t>T-2017-Q1-00076</t>
        </is>
      </c>
      <c r="B741" t="inlineStr">
        <is>
          <t>MPSES</t>
        </is>
      </c>
      <c r="C741" t="inlineStr">
        <is>
          <t>Associate Deputy Minister</t>
        </is>
      </c>
      <c r="D741" t="inlineStr">
        <is>
          <t>Sous-ministre déléguée</t>
        </is>
      </c>
      <c r="E741" t="inlineStr">
        <is>
          <t>Nada Semaan</t>
        </is>
      </c>
      <c r="F741" t="inlineStr">
        <is>
          <t>Associate Deputy Minister did Outreach in Guelph March 27, 2017 and attended Canada's Best Diversity Employers' 2017 Reception on March 28</t>
        </is>
      </c>
      <c r="G741" t="inlineStr">
        <is>
          <t>La sous-ministre déléguée s'est rendue à Guelph le 27 mars 2017 et a assisté à la réception des employeurs de la meilleure diversité au Canada en 2017 le 28 mars</t>
        </is>
      </c>
      <c r="H741" s="1" t="n">
        <v>42821</v>
      </c>
      <c r="I741" s="1" t="n">
        <v>42821</v>
      </c>
      <c r="J741" t="inlineStr">
        <is>
          <t>Guelph, Ont.</t>
        </is>
      </c>
      <c r="K741" t="inlineStr">
        <is>
          <t>Guelph, Ont.</t>
        </is>
      </c>
      <c r="P741" t="n">
        <v>366.97</v>
      </c>
      <c r="Q741" t="n">
        <v>240.5</v>
      </c>
      <c r="R741" t="n">
        <v>207.65</v>
      </c>
      <c r="S741" t="n">
        <v>114.4</v>
      </c>
      <c r="T741" t="n">
        <v>0</v>
      </c>
      <c r="U741" t="n">
        <v>929.52</v>
      </c>
      <c r="V741" t="inlineStr">
        <is>
          <t>AJG874759</t>
        </is>
      </c>
      <c r="X741" t="inlineStr">
        <is>
          <t>aafc-aac</t>
        </is>
      </c>
      <c r="Y741" t="inlineStr">
        <is>
          <t>Agriculture and Agri-Food Canada | Agriculture et Agroalimentaire Canada</t>
        </is>
      </c>
      <c r="Z741" t="n">
        <v>1</v>
      </c>
      <c r="AA741" t="n">
        <v>929.52</v>
      </c>
      <c r="AB741">
        <f>ROUND(U741-AA741,2)</f>
        <v/>
      </c>
      <c r="AC741" t="b">
        <v>0</v>
      </c>
      <c r="AD741">
        <f>IF(U741="","MISSING_TOTAL",IF(ABS(AB741)&lt;=0.01,"OK","CHECK"))</f>
        <v/>
      </c>
      <c r="AE741">
        <f>IF(U741="","MISSING",IF(AND(AA741&gt;0,U741/AA741&gt;50),"POSSIBLE_SCALE_ERROR","OK"))</f>
        <v/>
      </c>
    </row>
    <row r="742">
      <c r="A742" t="inlineStr">
        <is>
          <t>T-2017-Q3-00005</t>
        </is>
      </c>
      <c r="B742" t="inlineStr">
        <is>
          <t>SLE</t>
        </is>
      </c>
      <c r="C742" t="inlineStr">
        <is>
          <t>Assistant Deputy Minister, Market and Industry Services Branch</t>
        </is>
      </c>
      <c r="D742" t="inlineStr">
        <is>
          <t>Sous-ministre adjoint, Direction générales des services à l'industrie et aux marchés</t>
        </is>
      </c>
      <c r="E742" t="inlineStr">
        <is>
          <t>Fred Gorrell</t>
        </is>
      </c>
      <c r="F742" t="inlineStr">
        <is>
          <t>To accompany the Minister to the 2017 National Association of State Department Agriculture Annual Meeting</t>
        </is>
      </c>
      <c r="G742" t="inlineStr">
        <is>
          <t>Accompagner le ministre à la réunion annuelle 2017 de la National Association of State Department Agriculture</t>
        </is>
      </c>
      <c r="H742" s="1" t="n">
        <v>42991</v>
      </c>
      <c r="I742" s="1" t="n">
        <v>42993</v>
      </c>
      <c r="J742" t="inlineStr">
        <is>
          <t>New Orleans, Louisiana</t>
        </is>
      </c>
      <c r="K742" t="inlineStr">
        <is>
          <t>Nouvelle-Orleans, Louisiane</t>
        </is>
      </c>
      <c r="P742" t="n">
        <v>1938.71</v>
      </c>
      <c r="Q742" t="n">
        <v>228.88</v>
      </c>
      <c r="R742" t="n">
        <v>549</v>
      </c>
      <c r="S742" t="n">
        <v>363.23</v>
      </c>
      <c r="T742" t="n">
        <v>334.44</v>
      </c>
      <c r="U742" t="n">
        <v>3414.26</v>
      </c>
      <c r="V742" t="inlineStr">
        <is>
          <t>AJE548612</t>
        </is>
      </c>
      <c r="X742" t="inlineStr">
        <is>
          <t>aafc-aac</t>
        </is>
      </c>
      <c r="Y742" t="inlineStr">
        <is>
          <t>Agriculture and Agri-Food Canada | Agriculture et Agroalimentaire Canada</t>
        </is>
      </c>
      <c r="Z742" t="n">
        <v>3</v>
      </c>
      <c r="AA742" t="n">
        <v>3414.26</v>
      </c>
      <c r="AB742">
        <f>ROUND(U742-AA742,2)</f>
        <v/>
      </c>
      <c r="AC742" t="b">
        <v>0</v>
      </c>
      <c r="AD742">
        <f>IF(U742="","MISSING_TOTAL",IF(ABS(AB742)&lt;=0.01,"OK","CHECK"))</f>
        <v/>
      </c>
      <c r="AE742">
        <f>IF(U742="","MISSING",IF(AND(AA742&gt;0,U742/AA742&gt;50),"POSSIBLE_SCALE_ERROR","OK"))</f>
        <v/>
      </c>
    </row>
    <row r="743">
      <c r="A743" t="inlineStr">
        <is>
          <t>T-2017-Q3-00006</t>
        </is>
      </c>
      <c r="B743" t="inlineStr">
        <is>
          <t>SLE</t>
        </is>
      </c>
      <c r="C743" t="inlineStr">
        <is>
          <t>Assistant Deputy Minister, Market and Industry Services Branch</t>
        </is>
      </c>
      <c r="D743" t="inlineStr">
        <is>
          <t>Sous-ministre adjoint, Direction générales des services à l'industrie et aux marchés</t>
        </is>
      </c>
      <c r="E743" t="inlineStr">
        <is>
          <t>Fred Gorrell</t>
        </is>
      </c>
      <c r="F743" t="inlineStr">
        <is>
          <t>To particiapte in the annual event organised by the Mexican Federation of Agriculture</t>
        </is>
      </c>
      <c r="G743" t="inlineStr">
        <is>
          <t>Participer à l'événement annuel organisé par la Fédération mexicaine de l'agriculture</t>
        </is>
      </c>
      <c r="H743" s="1" t="n">
        <v>42999</v>
      </c>
      <c r="I743" s="1" t="n">
        <v>43001</v>
      </c>
      <c r="J743" t="inlineStr">
        <is>
          <t>Puebla, Mexico</t>
        </is>
      </c>
      <c r="K743" t="inlineStr">
        <is>
          <t>Puebla, Mexique</t>
        </is>
      </c>
      <c r="P743" t="n">
        <v>992.7</v>
      </c>
      <c r="Q743" t="n">
        <v>0</v>
      </c>
      <c r="R743" t="n">
        <v>173.17</v>
      </c>
      <c r="S743" t="n">
        <v>0</v>
      </c>
      <c r="U743" t="n">
        <v>1165.87</v>
      </c>
      <c r="V743" t="inlineStr">
        <is>
          <t>AJE596153</t>
        </is>
      </c>
      <c r="X743" t="inlineStr">
        <is>
          <t>aafc-aac</t>
        </is>
      </c>
      <c r="Y743" t="inlineStr">
        <is>
          <t>Agriculture and Agri-Food Canada | Agriculture et Agroalimentaire Canada</t>
        </is>
      </c>
      <c r="Z743" t="n">
        <v>3</v>
      </c>
      <c r="AA743" t="n">
        <v>1165.87</v>
      </c>
      <c r="AB743">
        <f>ROUND(U743-AA743,2)</f>
        <v/>
      </c>
      <c r="AC743" t="b">
        <v>0</v>
      </c>
      <c r="AD743">
        <f>IF(U743="","MISSING_TOTAL",IF(ABS(AB743)&lt;=0.01,"OK","CHECK"))</f>
        <v/>
      </c>
      <c r="AE743">
        <f>IF(U743="","MISSING",IF(AND(AA743&gt;0,U743/AA743&gt;50),"POSSIBLE_SCALE_ERROR","OK"))</f>
        <v/>
      </c>
    </row>
    <row r="744">
      <c r="A744" t="inlineStr">
        <is>
          <t>T-2017-Q3-00007</t>
        </is>
      </c>
      <c r="B744" t="inlineStr">
        <is>
          <t>SLE</t>
        </is>
      </c>
      <c r="C744" t="inlineStr">
        <is>
          <t>Assistant Deputy Minister, Market and Industry Services Branch</t>
        </is>
      </c>
      <c r="D744" t="inlineStr">
        <is>
          <t>Sous-ministre adjoint, Direction générales des services à l'industrie et aux marchés</t>
        </is>
      </c>
      <c r="E744" t="inlineStr">
        <is>
          <t>Fred Gorrell</t>
        </is>
      </c>
      <c r="F744" t="inlineStr">
        <is>
          <t>To attend as a panelist at the Alibaba Gateway 2017 event.</t>
        </is>
      </c>
      <c r="G744" t="inlineStr">
        <is>
          <t>Participer en tant que panéliste à l'événement Alibaba Gateway 2017.</t>
        </is>
      </c>
      <c r="H744" s="1" t="n">
        <v>43002</v>
      </c>
      <c r="I744" s="1" t="n">
        <v>43003</v>
      </c>
      <c r="J744" t="inlineStr">
        <is>
          <t>Toronto, Ontario</t>
        </is>
      </c>
      <c r="K744" t="inlineStr">
        <is>
          <t>Toronto, Ontario</t>
        </is>
      </c>
      <c r="P744" t="n">
        <v>616.39</v>
      </c>
      <c r="Q744" t="n">
        <v>96.40000000000001</v>
      </c>
      <c r="R744" t="n">
        <v>304.69</v>
      </c>
      <c r="S744" t="n">
        <v>161.7</v>
      </c>
      <c r="U744" t="n">
        <v>1179.18</v>
      </c>
      <c r="V744" t="inlineStr">
        <is>
          <t>AJE539889</t>
        </is>
      </c>
      <c r="X744" t="inlineStr">
        <is>
          <t>aafc-aac</t>
        </is>
      </c>
      <c r="Y744" t="inlineStr">
        <is>
          <t>Agriculture and Agri-Food Canada | Agriculture et Agroalimentaire Canada</t>
        </is>
      </c>
      <c r="Z744" t="n">
        <v>2</v>
      </c>
      <c r="AA744" t="n">
        <v>1179.18</v>
      </c>
      <c r="AB744">
        <f>ROUND(U744-AA744,2)</f>
        <v/>
      </c>
      <c r="AC744" t="b">
        <v>0</v>
      </c>
      <c r="AD744">
        <f>IF(U744="","MISSING_TOTAL",IF(ABS(AB744)&lt;=0.01,"OK","CHECK"))</f>
        <v/>
      </c>
      <c r="AE744">
        <f>IF(U744="","MISSING",IF(AND(AA744&gt;0,U744/AA744&gt;50),"POSSIBLE_SCALE_ERROR","OK"))</f>
        <v/>
      </c>
    </row>
    <row r="745">
      <c r="A745" t="inlineStr">
        <is>
          <t>T-2017-Q3-00009</t>
        </is>
      </c>
      <c r="B745" t="inlineStr">
        <is>
          <t>SLE</t>
        </is>
      </c>
      <c r="C745" t="inlineStr">
        <is>
          <t>Assistant Deputy Minister, Market and Industry Services Branch</t>
        </is>
      </c>
      <c r="D745" t="inlineStr">
        <is>
          <t>Sous-ministre adjoint, Direction générales des services à l'industrie et aux marchés</t>
        </is>
      </c>
      <c r="E745" t="inlineStr">
        <is>
          <t>Fred Gorrell</t>
        </is>
      </c>
      <c r="F745" t="inlineStr">
        <is>
          <t>To support the Minister at the Tri-National Accord Denver, attend the Halal Workshop in Vancouver and speak at the University of British Columbia.</t>
        </is>
      </c>
      <c r="G745" t="inlineStr">
        <is>
          <t>Soutenir le ministre à l'Accord trinational Denver, participer à l'atelier Halal à Vancouver et présenter à l'Université de la Colombie-Britannique.</t>
        </is>
      </c>
      <c r="H745" s="1" t="n">
        <v>43025</v>
      </c>
      <c r="I745" s="1" t="n">
        <v>43028</v>
      </c>
      <c r="J745" t="inlineStr">
        <is>
          <t>Denver, Colorado, Vancouver, British Columbia</t>
        </is>
      </c>
      <c r="K745" t="inlineStr">
        <is>
          <t>Denver, Colorado, Vancouver, Colombie-Britannique</t>
        </is>
      </c>
      <c r="P745" t="n">
        <v>1662.36</v>
      </c>
      <c r="Q745" t="n">
        <v>300.8</v>
      </c>
      <c r="R745" t="n">
        <v>802.65</v>
      </c>
      <c r="S745" t="n">
        <v>211.42</v>
      </c>
      <c r="T745" t="n">
        <v>3</v>
      </c>
      <c r="U745" t="n">
        <v>2980.23</v>
      </c>
      <c r="V745" t="inlineStr">
        <is>
          <t>AJE524128</t>
        </is>
      </c>
      <c r="X745" t="inlineStr">
        <is>
          <t>aafc-aac</t>
        </is>
      </c>
      <c r="Y745" t="inlineStr">
        <is>
          <t>Agriculture and Agri-Food Canada | Agriculture et Agroalimentaire Canada</t>
        </is>
      </c>
      <c r="Z745" t="n">
        <v>4</v>
      </c>
      <c r="AA745" t="n">
        <v>2980.23</v>
      </c>
      <c r="AB745">
        <f>ROUND(U745-AA745,2)</f>
        <v/>
      </c>
      <c r="AC745" t="b">
        <v>0</v>
      </c>
      <c r="AD745">
        <f>IF(U745="","MISSING_TOTAL",IF(ABS(AB745)&lt;=0.01,"OK","CHECK"))</f>
        <v/>
      </c>
      <c r="AE745">
        <f>IF(U745="","MISSING",IF(AND(AA745&gt;0,U745/AA745&gt;50),"POSSIBLE_SCALE_ERROR","OK"))</f>
        <v/>
      </c>
    </row>
    <row r="746">
      <c r="A746" t="inlineStr">
        <is>
          <t>T-2017-Q3-00010</t>
        </is>
      </c>
      <c r="B746" t="inlineStr">
        <is>
          <t>SLE</t>
        </is>
      </c>
      <c r="C746" t="inlineStr">
        <is>
          <t>Assistant Deputy Minister, Market and Industry Services Branch</t>
        </is>
      </c>
      <c r="D746" t="inlineStr">
        <is>
          <t>Sous-ministre adjoint, Direction générales des services à l'industrie et aux marchés</t>
        </is>
      </c>
      <c r="E746" t="inlineStr">
        <is>
          <t>Fred Gorrell</t>
        </is>
      </c>
      <c r="F746" t="inlineStr">
        <is>
          <t>To support the Minister in China.</t>
        </is>
      </c>
      <c r="G746" t="inlineStr">
        <is>
          <t>Soutenir le Ministre en Chine.</t>
        </is>
      </c>
      <c r="H746" s="1" t="n">
        <v>43050</v>
      </c>
      <c r="I746" s="1" t="n">
        <v>43061</v>
      </c>
      <c r="J746" t="inlineStr">
        <is>
          <t>Shanghai, Guangzhou, Beijing, China</t>
        </is>
      </c>
      <c r="K746" t="inlineStr">
        <is>
          <t>Shanghai, Guangzhou, Pékin, Chine</t>
        </is>
      </c>
      <c r="P746" t="n">
        <v>6175.94</v>
      </c>
      <c r="Q746" t="n">
        <v>230.42</v>
      </c>
      <c r="R746" t="n">
        <v>2831.63</v>
      </c>
      <c r="S746" t="n">
        <v>1623.91</v>
      </c>
      <c r="T746" t="n">
        <v>29.23</v>
      </c>
      <c r="U746" t="n">
        <v>10891.13</v>
      </c>
      <c r="V746" t="inlineStr">
        <is>
          <t>AJE540592</t>
        </is>
      </c>
      <c r="X746" t="inlineStr">
        <is>
          <t>aafc-aac</t>
        </is>
      </c>
      <c r="Y746" t="inlineStr">
        <is>
          <t>Agriculture and Agri-Food Canada | Agriculture et Agroalimentaire Canada</t>
        </is>
      </c>
      <c r="Z746" t="n">
        <v>12</v>
      </c>
      <c r="AA746" t="n">
        <v>10891.13</v>
      </c>
      <c r="AB746">
        <f>ROUND(U746-AA746,2)</f>
        <v/>
      </c>
      <c r="AC746" t="b">
        <v>0</v>
      </c>
      <c r="AD746">
        <f>IF(U746="","MISSING_TOTAL",IF(ABS(AB746)&lt;=0.01,"OK","CHECK"))</f>
        <v/>
      </c>
      <c r="AE746">
        <f>IF(U746="","MISSING",IF(AND(AA746&gt;0,U746/AA746&gt;50),"POSSIBLE_SCALE_ERROR","OK"))</f>
        <v/>
      </c>
    </row>
    <row r="747">
      <c r="A747" t="inlineStr">
        <is>
          <t>T-2017-Q2-00047</t>
        </is>
      </c>
      <c r="B747" t="inlineStr">
        <is>
          <t>MPSES</t>
        </is>
      </c>
      <c r="C747" t="inlineStr">
        <is>
          <t>Parliamentary Secretary Assistant</t>
        </is>
      </c>
      <c r="D747" t="inlineStr">
        <is>
          <t>Adjoint du Secrétaire parlementaire</t>
        </is>
      </c>
      <c r="E747" t="inlineStr">
        <is>
          <t>Michel-Antoine Renaud</t>
        </is>
      </c>
      <c r="F747" t="inlineStr">
        <is>
          <t>To accompany the Parliamentary Secretary to an announcement at MacDonald College Campus of McGill University</t>
        </is>
      </c>
      <c r="G747" t="inlineStr">
        <is>
          <t>Pour accompagner le secrétaire parlementaire à une annonce au Campus MacDonald College de l'Université McGill</t>
        </is>
      </c>
      <c r="H747" s="1" t="n">
        <v>42897</v>
      </c>
      <c r="I747" s="1" t="n">
        <v>42898</v>
      </c>
      <c r="J747" t="inlineStr">
        <is>
          <t>Montréal, QC</t>
        </is>
      </c>
      <c r="K747" t="inlineStr">
        <is>
          <t>Montréal, QC</t>
        </is>
      </c>
      <c r="Q747" t="n">
        <v>83.83</v>
      </c>
      <c r="R747" t="n">
        <v>184.42</v>
      </c>
      <c r="S747" t="n">
        <v>97.7</v>
      </c>
      <c r="U747" t="n">
        <v>365.95</v>
      </c>
      <c r="V747" t="n">
        <v>1900030998</v>
      </c>
      <c r="X747" t="inlineStr">
        <is>
          <t>aafc-aac</t>
        </is>
      </c>
      <c r="Y747" t="inlineStr">
        <is>
          <t>Agriculture and Agri-Food Canada | Agriculture et Agroalimentaire Canada</t>
        </is>
      </c>
      <c r="Z747" t="n">
        <v>2</v>
      </c>
      <c r="AA747" t="n">
        <v>365.95</v>
      </c>
      <c r="AB747">
        <f>ROUND(U747-AA747,2)</f>
        <v/>
      </c>
      <c r="AC747" t="b">
        <v>0</v>
      </c>
      <c r="AD747">
        <f>IF(U747="","MISSING_TOTAL",IF(ABS(AB747)&lt;=0.01,"OK","CHECK"))</f>
        <v/>
      </c>
      <c r="AE747">
        <f>IF(U747="","MISSING",IF(AND(AA747&gt;0,U747/AA747&gt;50),"POSSIBLE_SCALE_ERROR","OK"))</f>
        <v/>
      </c>
    </row>
    <row r="748">
      <c r="A748" t="inlineStr">
        <is>
          <t>T-2017-Q2-00053</t>
        </is>
      </c>
      <c r="B748" t="inlineStr">
        <is>
          <t>MPSES</t>
        </is>
      </c>
      <c r="C748" t="inlineStr">
        <is>
          <t>Parliamentary Secretary Assistant</t>
        </is>
      </c>
      <c r="D748" t="inlineStr">
        <is>
          <t>Adjoint du Secrétaire parlementaire</t>
        </is>
      </c>
      <c r="E748" t="inlineStr">
        <is>
          <t>Michel-Antoine Renaud</t>
        </is>
      </c>
      <c r="F748" t="inlineStr">
        <is>
          <t>To support the Parliamentary Secretary at the Regional Food and Policy consultations in Coaticook, St-Hyacinthe and Bonaventure Québec</t>
        </is>
      </c>
      <c r="G748" t="inlineStr">
        <is>
          <t>Appuyer le secrétaire parlementaire lors des consultations régionales sur les aliments et politiques à Coaticook, St-Hyacinthe et Bonaventure Québec</t>
        </is>
      </c>
      <c r="H748" s="1" t="n">
        <v>42962</v>
      </c>
      <c r="I748" s="1" t="n">
        <v>42965</v>
      </c>
      <c r="J748" t="inlineStr">
        <is>
          <t>Ste-Hyacinthe, QC, Campbelton and Edmunston, NB</t>
        </is>
      </c>
      <c r="K748" t="inlineStr">
        <is>
          <t>Ste-Hyacinthe, QC, Campbelton and Edmunston, NB</t>
        </is>
      </c>
      <c r="Q748" t="n">
        <v>319.83</v>
      </c>
      <c r="R748" t="n">
        <v>446.34</v>
      </c>
      <c r="S748" t="n">
        <v>261.2</v>
      </c>
      <c r="U748" t="n">
        <v>1027.37</v>
      </c>
      <c r="V748" t="n">
        <v>1900071892</v>
      </c>
      <c r="X748" t="inlineStr">
        <is>
          <t>aafc-aac</t>
        </is>
      </c>
      <c r="Y748" t="inlineStr">
        <is>
          <t>Agriculture and Agri-Food Canada | Agriculture et Agroalimentaire Canada</t>
        </is>
      </c>
      <c r="Z748" t="n">
        <v>4</v>
      </c>
      <c r="AA748" t="n">
        <v>1027.37</v>
      </c>
      <c r="AB748">
        <f>ROUND(U748-AA748,2)</f>
        <v/>
      </c>
      <c r="AC748" t="b">
        <v>0</v>
      </c>
      <c r="AD748">
        <f>IF(U748="","MISSING_TOTAL",IF(ABS(AB748)&lt;=0.01,"OK","CHECK"))</f>
        <v/>
      </c>
      <c r="AE748">
        <f>IF(U748="","MISSING",IF(AND(AA748&gt;0,U748/AA748&gt;50),"POSSIBLE_SCALE_ERROR","OK"))</f>
        <v/>
      </c>
    </row>
    <row r="749">
      <c r="A749" t="inlineStr">
        <is>
          <t>T-2017-Q3-00008</t>
        </is>
      </c>
      <c r="B749" t="inlineStr">
        <is>
          <t>SLE</t>
        </is>
      </c>
      <c r="C749" t="inlineStr">
        <is>
          <t>Assistant Deputy Minister, Market and Industry Services Branch</t>
        </is>
      </c>
      <c r="D749" t="inlineStr">
        <is>
          <t>Sous-ministre adjoint, Direction générales des services à l'industrie et aux marchés</t>
        </is>
      </c>
      <c r="E749" t="inlineStr">
        <is>
          <t>Fred Gorrell</t>
        </is>
      </c>
      <c r="F749" t="inlineStr">
        <is>
          <t>To attend and speak at the Agricultural Manufacturers of Canada  in Edmonton.</t>
        </is>
      </c>
      <c r="G749" t="inlineStr">
        <is>
          <t>Présenter à l'union des producteurs agricoles à Edmonton.</t>
        </is>
      </c>
      <c r="H749" s="1" t="n">
        <v>43005</v>
      </c>
      <c r="I749" s="1" t="n">
        <v>43006</v>
      </c>
      <c r="J749" t="inlineStr">
        <is>
          <t>Edmonton, Alberta</t>
        </is>
      </c>
      <c r="K749" t="inlineStr">
        <is>
          <t>Edmonton, Alberta</t>
        </is>
      </c>
      <c r="P749" t="n">
        <v>848.4299999999999</v>
      </c>
      <c r="Q749" t="n">
        <v>85.40000000000001</v>
      </c>
      <c r="R749" t="n">
        <v>200.96</v>
      </c>
      <c r="S749" t="n">
        <v>179</v>
      </c>
      <c r="U749" t="n">
        <v>1313.79</v>
      </c>
      <c r="V749" t="inlineStr">
        <is>
          <t>AJE501453</t>
        </is>
      </c>
      <c r="X749" t="inlineStr">
        <is>
          <t>aafc-aac</t>
        </is>
      </c>
      <c r="Y749" t="inlineStr">
        <is>
          <t>Agriculture and Agri-Food Canada | Agriculture et Agroalimentaire Canada</t>
        </is>
      </c>
      <c r="Z749" t="n">
        <v>2</v>
      </c>
      <c r="AA749" t="n">
        <v>1313.79</v>
      </c>
      <c r="AB749">
        <f>ROUND(U749-AA749,2)</f>
        <v/>
      </c>
      <c r="AC749" t="b">
        <v>0</v>
      </c>
      <c r="AD749">
        <f>IF(U749="","MISSING_TOTAL",IF(ABS(AB749)&lt;=0.01,"OK","CHECK"))</f>
        <v/>
      </c>
      <c r="AE749">
        <f>IF(U749="","MISSING",IF(AND(AA749&gt;0,U749/AA749&gt;50),"POSSIBLE_SCALE_ERROR","OK"))</f>
        <v/>
      </c>
    </row>
    <row r="750">
      <c r="A750" t="inlineStr">
        <is>
          <t>T-2017-Q3-00011</t>
        </is>
      </c>
      <c r="B750" t="inlineStr">
        <is>
          <t>SLE</t>
        </is>
      </c>
      <c r="C750" t="inlineStr">
        <is>
          <t>Assistant Deputy Minister, Science and Technology Branch</t>
        </is>
      </c>
      <c r="D750" t="inlineStr">
        <is>
          <t>Sous-ministre adjoint, Direction générale des sciences et de la technologie</t>
        </is>
      </c>
      <c r="E750" t="inlineStr">
        <is>
          <t>Brian Gray</t>
        </is>
      </c>
      <c r="F750" t="inlineStr">
        <is>
          <t>Ivey Business School - Senior Public Sector Leader Progam.</t>
        </is>
      </c>
      <c r="G750" t="inlineStr">
        <is>
          <t>Ivey Business School - Senior Public Sector Leader Progam.</t>
        </is>
      </c>
      <c r="H750" s="1" t="n">
        <v>42988</v>
      </c>
      <c r="I750" s="1" t="n">
        <v>42993</v>
      </c>
      <c r="J750" t="inlineStr">
        <is>
          <t>London, Ontario</t>
        </is>
      </c>
      <c r="K750" t="inlineStr">
        <is>
          <t>London, Ontario</t>
        </is>
      </c>
      <c r="P750" t="n">
        <v>494.32</v>
      </c>
      <c r="Q750" t="n">
        <v>204.43</v>
      </c>
      <c r="S750" t="n">
        <v>121.85</v>
      </c>
      <c r="U750" t="n">
        <v>820.6</v>
      </c>
      <c r="V750" t="inlineStr">
        <is>
          <t>AJD962499</t>
        </is>
      </c>
      <c r="X750" t="inlineStr">
        <is>
          <t>aafc-aac</t>
        </is>
      </c>
      <c r="Y750" t="inlineStr">
        <is>
          <t>Agriculture and Agri-Food Canada | Agriculture et Agroalimentaire Canada</t>
        </is>
      </c>
      <c r="Z750" t="n">
        <v>6</v>
      </c>
      <c r="AA750" t="n">
        <v>820.6</v>
      </c>
      <c r="AB750">
        <f>ROUND(U750-AA750,2)</f>
        <v/>
      </c>
      <c r="AC750" t="b">
        <v>0</v>
      </c>
      <c r="AD750">
        <f>IF(U750="","MISSING_TOTAL",IF(ABS(AB750)&lt;=0.01,"OK","CHECK"))</f>
        <v/>
      </c>
      <c r="AE750">
        <f>IF(U750="","MISSING",IF(AND(AA750&gt;0,U750/AA750&gt;50),"POSSIBLE_SCALE_ERROR","OK"))</f>
        <v/>
      </c>
    </row>
    <row r="751">
      <c r="A751" t="inlineStr">
        <is>
          <t>T-2017-Q2-00033</t>
        </is>
      </c>
      <c r="B751" t="inlineStr">
        <is>
          <t>SLE</t>
        </is>
      </c>
      <c r="C751" t="inlineStr">
        <is>
          <t>Assistant Deputy Minister Programs Branch</t>
        </is>
      </c>
      <c r="D751" t="inlineStr">
        <is>
          <t>Sous-ministre adjointe de la Direction générale des programmes</t>
        </is>
      </c>
      <c r="E751" t="inlineStr">
        <is>
          <t>France Pégeot</t>
        </is>
      </c>
      <c r="F751" t="inlineStr">
        <is>
          <t>Winnipeg regional meeting</t>
        </is>
      </c>
      <c r="G751" t="inlineStr">
        <is>
          <t>Réunion régionale de Winnipeg</t>
        </is>
      </c>
      <c r="H751" s="1" t="n">
        <v>42892</v>
      </c>
      <c r="I751" s="1" t="n">
        <v>42893</v>
      </c>
      <c r="J751" t="inlineStr">
        <is>
          <t>Winnipeg, MB</t>
        </is>
      </c>
      <c r="K751" t="inlineStr">
        <is>
          <t>Winnipeg, MB</t>
        </is>
      </c>
      <c r="P751" t="n">
        <v>949.01</v>
      </c>
      <c r="Q751" t="n">
        <v>103.88</v>
      </c>
      <c r="R751" t="n">
        <v>140</v>
      </c>
      <c r="S751" t="n">
        <v>161.7</v>
      </c>
      <c r="U751" t="n">
        <v>1354.59</v>
      </c>
      <c r="V751" t="inlineStr">
        <is>
          <t>AJF172989</t>
        </is>
      </c>
      <c r="X751" t="inlineStr">
        <is>
          <t>aafc-aac</t>
        </is>
      </c>
      <c r="Y751" t="inlineStr">
        <is>
          <t>Agriculture and Agri-Food Canada | Agriculture et Agroalimentaire Canada</t>
        </is>
      </c>
      <c r="Z751" t="n">
        <v>2</v>
      </c>
      <c r="AA751" t="n">
        <v>1354.59</v>
      </c>
      <c r="AB751">
        <f>ROUND(U751-AA751,2)</f>
        <v/>
      </c>
      <c r="AC751" t="b">
        <v>0</v>
      </c>
      <c r="AD751">
        <f>IF(U751="","MISSING_TOTAL",IF(ABS(AB751)&lt;=0.01,"OK","CHECK"))</f>
        <v/>
      </c>
      <c r="AE751">
        <f>IF(U751="","MISSING",IF(AND(AA751&gt;0,U751/AA751&gt;50),"POSSIBLE_SCALE_ERROR","OK"))</f>
        <v/>
      </c>
    </row>
    <row r="752">
      <c r="A752" t="inlineStr">
        <is>
          <t>T-2017-Q2-00035</t>
        </is>
      </c>
      <c r="B752" t="inlineStr">
        <is>
          <t>SLE</t>
        </is>
      </c>
      <c r="C752" t="inlineStr">
        <is>
          <t>Assistant Deputy Minister Programs Branch</t>
        </is>
      </c>
      <c r="D752" t="inlineStr">
        <is>
          <t>Sous-ministre adjointe de la Direction générale des programmes</t>
        </is>
      </c>
      <c r="E752" t="inlineStr">
        <is>
          <t>France Pégeot</t>
        </is>
      </c>
      <c r="F752" t="inlineStr">
        <is>
          <t>Minister Outreach meeting in Guelph</t>
        </is>
      </c>
      <c r="G752" t="inlineStr">
        <is>
          <t>Réunion de sensibilisation du ministre à Guelph</t>
        </is>
      </c>
      <c r="H752" s="1" t="n">
        <v>42921</v>
      </c>
      <c r="I752" s="1" t="n">
        <v>42922</v>
      </c>
      <c r="J752" t="inlineStr">
        <is>
          <t>Guelph, ON</t>
        </is>
      </c>
      <c r="K752" t="inlineStr">
        <is>
          <t>Guelph, ON</t>
        </is>
      </c>
      <c r="P752" t="n">
        <v>452.06</v>
      </c>
      <c r="Q752" t="n">
        <v>31.88</v>
      </c>
      <c r="R752" t="n">
        <v>157.07</v>
      </c>
      <c r="S752" t="n">
        <v>115.75</v>
      </c>
      <c r="U752" t="n">
        <v>756.76</v>
      </c>
      <c r="V752" t="inlineStr">
        <is>
          <t>AJF147527</t>
        </is>
      </c>
      <c r="X752" t="inlineStr">
        <is>
          <t>aafc-aac</t>
        </is>
      </c>
      <c r="Y752" t="inlineStr">
        <is>
          <t>Agriculture and Agri-Food Canada | Agriculture et Agroalimentaire Canada</t>
        </is>
      </c>
      <c r="Z752" t="n">
        <v>2</v>
      </c>
      <c r="AA752" t="n">
        <v>756.76</v>
      </c>
      <c r="AB752">
        <f>ROUND(U752-AA752,2)</f>
        <v/>
      </c>
      <c r="AC752" t="b">
        <v>0</v>
      </c>
      <c r="AD752">
        <f>IF(U752="","MISSING_TOTAL",IF(ABS(AB752)&lt;=0.01,"OK","CHECK"))</f>
        <v/>
      </c>
      <c r="AE752">
        <f>IF(U752="","MISSING",IF(AND(AA752&gt;0,U752/AA752&gt;50),"POSSIBLE_SCALE_ERROR","OK"))</f>
        <v/>
      </c>
    </row>
    <row r="753">
      <c r="A753" t="inlineStr">
        <is>
          <t>T-2017-Q2-00039</t>
        </is>
      </c>
      <c r="B753" t="inlineStr">
        <is>
          <t>MPSES</t>
        </is>
      </c>
      <c r="C753" t="inlineStr">
        <is>
          <t>Associate Deputy Minister</t>
        </is>
      </c>
      <c r="D753" t="inlineStr">
        <is>
          <t>Sous-ministre déléguée</t>
        </is>
      </c>
      <c r="E753" t="inlineStr">
        <is>
          <t>Nada Semaan</t>
        </is>
      </c>
      <c r="F753" t="inlineStr">
        <is>
          <t>Director Education Program (DEP)</t>
        </is>
      </c>
      <c r="G753" t="inlineStr">
        <is>
          <t>Programme d'educaion de directeur</t>
        </is>
      </c>
      <c r="H753" s="1" t="n">
        <v>42904</v>
      </c>
      <c r="I753" s="1" t="n">
        <v>42907</v>
      </c>
      <c r="J753" t="inlineStr">
        <is>
          <t>Toronto, ON</t>
        </is>
      </c>
      <c r="K753" t="inlineStr">
        <is>
          <t>Toronto, ON</t>
        </is>
      </c>
      <c r="P753" t="n">
        <v>285.07</v>
      </c>
      <c r="Q753" t="n">
        <v>40</v>
      </c>
      <c r="R753" t="n">
        <v>901.38</v>
      </c>
      <c r="S753" t="n">
        <v>312.65</v>
      </c>
      <c r="U753" t="n">
        <v>1539.1</v>
      </c>
      <c r="X753" t="inlineStr">
        <is>
          <t>aafc-aac</t>
        </is>
      </c>
      <c r="Y753" t="inlineStr">
        <is>
          <t>Agriculture and Agri-Food Canada | Agriculture et Agroalimentaire Canada</t>
        </is>
      </c>
      <c r="Z753" t="n">
        <v>4</v>
      </c>
      <c r="AA753" t="n">
        <v>1539.1</v>
      </c>
      <c r="AB753">
        <f>ROUND(U753-AA753,2)</f>
        <v/>
      </c>
      <c r="AC753" t="b">
        <v>0</v>
      </c>
      <c r="AD753">
        <f>IF(U753="","MISSING_TOTAL",IF(ABS(AB753)&lt;=0.01,"OK","CHECK"))</f>
        <v/>
      </c>
      <c r="AE753">
        <f>IF(U753="","MISSING",IF(AND(AA753&gt;0,U753/AA753&gt;50),"POSSIBLE_SCALE_ERROR","OK"))</f>
        <v/>
      </c>
    </row>
    <row r="754">
      <c r="A754" t="inlineStr">
        <is>
          <t>T-2017-Q2-00040</t>
        </is>
      </c>
      <c r="B754" t="inlineStr">
        <is>
          <t>MPSES</t>
        </is>
      </c>
      <c r="C754" t="inlineStr">
        <is>
          <t>Associate Deputy Minister</t>
        </is>
      </c>
      <c r="D754" t="inlineStr">
        <is>
          <t>Sous-ministre déléguée</t>
        </is>
      </c>
      <c r="E754" t="inlineStr">
        <is>
          <t>Nada Semaan</t>
        </is>
      </c>
      <c r="F754" t="inlineStr">
        <is>
          <t>Core Mandate - Meetings</t>
        </is>
      </c>
      <c r="G754" t="inlineStr">
        <is>
          <t>Mandat de base - Réunions</t>
        </is>
      </c>
      <c r="H754" s="1" t="n">
        <v>42928</v>
      </c>
      <c r="I754" s="1" t="n">
        <v>42930</v>
      </c>
      <c r="J754" t="inlineStr">
        <is>
          <t>Vancouver, BC and Edmonton, Calgary, AB</t>
        </is>
      </c>
      <c r="K754" t="inlineStr">
        <is>
          <t>Vancouver, CB et Edmonton, Calgary, AB</t>
        </is>
      </c>
      <c r="P754" t="n">
        <v>281.03</v>
      </c>
      <c r="Q754" t="n">
        <v>10</v>
      </c>
      <c r="R754" t="n">
        <v>1401.39</v>
      </c>
      <c r="S754" t="n">
        <v>428.4</v>
      </c>
      <c r="U754" t="n">
        <v>2120.82</v>
      </c>
      <c r="X754" t="inlineStr">
        <is>
          <t>aafc-aac</t>
        </is>
      </c>
      <c r="Y754" t="inlineStr">
        <is>
          <t>Agriculture and Agri-Food Canada | Agriculture et Agroalimentaire Canada</t>
        </is>
      </c>
      <c r="Z754" t="n">
        <v>3</v>
      </c>
      <c r="AA754" t="n">
        <v>2120.82</v>
      </c>
      <c r="AB754">
        <f>ROUND(U754-AA754,2)</f>
        <v/>
      </c>
      <c r="AC754" t="b">
        <v>0</v>
      </c>
      <c r="AD754">
        <f>IF(U754="","MISSING_TOTAL",IF(ABS(AB754)&lt;=0.01,"OK","CHECK"))</f>
        <v/>
      </c>
      <c r="AE754">
        <f>IF(U754="","MISSING",IF(AND(AA754&gt;0,U754/AA754&gt;50),"POSSIBLE_SCALE_ERROR","OK"))</f>
        <v/>
      </c>
    </row>
    <row r="755">
      <c r="A755" t="inlineStr">
        <is>
          <t>T-2017-Q2-00045</t>
        </is>
      </c>
      <c r="B755" t="inlineStr">
        <is>
          <t>MPSES</t>
        </is>
      </c>
      <c r="C755" t="inlineStr">
        <is>
          <t>Parliamentary Secretary Assistant</t>
        </is>
      </c>
      <c r="D755" t="inlineStr">
        <is>
          <t>Adjoint du Secrétaire parlementaire</t>
        </is>
      </c>
      <c r="E755" t="inlineStr">
        <is>
          <t>Michel-Antoine Renaud</t>
        </is>
      </c>
      <c r="F755" t="inlineStr">
        <is>
          <t>To accompany the Parliamentary Secretary to an announcement for Food Policy at Jean Talon Market</t>
        </is>
      </c>
      <c r="G755" t="inlineStr">
        <is>
          <t>Pour accompagner le secrétaire parlementaire à une annonce pour la politique alimentaire à Jean Talon Market</t>
        </is>
      </c>
      <c r="H755" s="1" t="n">
        <v>42887</v>
      </c>
      <c r="I755" s="1" t="n">
        <v>42889</v>
      </c>
      <c r="J755" t="inlineStr">
        <is>
          <t>Montréal, Québec</t>
        </is>
      </c>
      <c r="K755" t="inlineStr">
        <is>
          <t>Montréal, Québec</t>
        </is>
      </c>
      <c r="Q755" t="n">
        <v>132.99</v>
      </c>
      <c r="R755" t="n">
        <v>296.32</v>
      </c>
      <c r="S755" t="n">
        <v>115.75</v>
      </c>
      <c r="U755" t="n">
        <v>545.0599999999999</v>
      </c>
      <c r="V755" t="n">
        <v>1900024143</v>
      </c>
      <c r="X755" t="inlineStr">
        <is>
          <t>aafc-aac</t>
        </is>
      </c>
      <c r="Y755" t="inlineStr">
        <is>
          <t>Agriculture and Agri-Food Canada | Agriculture et Agroalimentaire Canada</t>
        </is>
      </c>
      <c r="Z755" t="n">
        <v>3</v>
      </c>
      <c r="AA755" t="n">
        <v>545.0599999999999</v>
      </c>
      <c r="AB755">
        <f>ROUND(U755-AA755,2)</f>
        <v/>
      </c>
      <c r="AC755" t="b">
        <v>0</v>
      </c>
      <c r="AD755">
        <f>IF(U755="","MISSING_TOTAL",IF(ABS(AB755)&lt;=0.01,"OK","CHECK"))</f>
        <v/>
      </c>
      <c r="AE755">
        <f>IF(U755="","MISSING",IF(AND(AA755&gt;0,U755/AA755&gt;50),"POSSIBLE_SCALE_ERROR","OK"))</f>
        <v/>
      </c>
    </row>
    <row r="756">
      <c r="A756" t="inlineStr">
        <is>
          <t>T-2017-Q2-00046</t>
        </is>
      </c>
      <c r="B756" t="inlineStr">
        <is>
          <t>MPSES</t>
        </is>
      </c>
      <c r="C756" t="inlineStr">
        <is>
          <t>Parliamentary Secretary Assistant</t>
        </is>
      </c>
      <c r="D756" t="inlineStr">
        <is>
          <t>Adjoint du Secrétaire parlementaire</t>
        </is>
      </c>
      <c r="E756" t="inlineStr">
        <is>
          <t>Michel-Antoine Renaud</t>
        </is>
      </c>
      <c r="F756" t="inlineStr">
        <is>
          <t>To accompany the Parliamentary Secretary to an announcement with the Pork Producers of Quebec City</t>
        </is>
      </c>
      <c r="G756" t="inlineStr">
        <is>
          <t>Pour accompagner le secrétaire parlementaire à une annonce avec les producteurs de porc de la ville de Québec</t>
        </is>
      </c>
      <c r="H756" s="1" t="n">
        <v>42894</v>
      </c>
      <c r="I756" s="1" t="n">
        <v>42894</v>
      </c>
      <c r="J756" t="inlineStr">
        <is>
          <t>Québec, QC</t>
        </is>
      </c>
      <c r="K756" t="inlineStr">
        <is>
          <t>Québec, QC</t>
        </is>
      </c>
      <c r="P756" t="n">
        <v>501.69</v>
      </c>
      <c r="Q756" t="n">
        <v>364.26</v>
      </c>
      <c r="S756" t="n">
        <v>81.3</v>
      </c>
      <c r="U756" t="n">
        <v>947.25</v>
      </c>
      <c r="V756" t="n">
        <v>1900030901</v>
      </c>
      <c r="X756" t="inlineStr">
        <is>
          <t>aafc-aac</t>
        </is>
      </c>
      <c r="Y756" t="inlineStr">
        <is>
          <t>Agriculture and Agri-Food Canada | Agriculture et Agroalimentaire Canada</t>
        </is>
      </c>
      <c r="Z756" t="n">
        <v>1</v>
      </c>
      <c r="AA756" t="n">
        <v>947.25</v>
      </c>
      <c r="AB756">
        <f>ROUND(U756-AA756,2)</f>
        <v/>
      </c>
      <c r="AC756" t="b">
        <v>0</v>
      </c>
      <c r="AD756">
        <f>IF(U756="","MISSING_TOTAL",IF(ABS(AB756)&lt;=0.01,"OK","CHECK"))</f>
        <v/>
      </c>
      <c r="AE756">
        <f>IF(U756="","MISSING",IF(AND(AA756&gt;0,U756/AA756&gt;50),"POSSIBLE_SCALE_ERROR","OK"))</f>
        <v/>
      </c>
    </row>
    <row r="757">
      <c r="A757" t="inlineStr">
        <is>
          <t>T-2017-Q2-00066</t>
        </is>
      </c>
      <c r="B757" t="inlineStr">
        <is>
          <t>MPSES</t>
        </is>
      </c>
      <c r="C757" t="inlineStr">
        <is>
          <t>Policy Advisor</t>
        </is>
      </c>
      <c r="D757" t="inlineStr">
        <is>
          <t>Conseillère en politiques</t>
        </is>
      </c>
      <c r="E757" t="inlineStr">
        <is>
          <t>Sangeeta Lalli</t>
        </is>
      </c>
      <c r="F757" t="inlineStr">
        <is>
          <t>To accompany the Minister to announce the launch of the Atlantic Trade and Investment Strategy and participate in a roundtable with the agriculture Sector from Atlantic Canada.</t>
        </is>
      </c>
      <c r="G757" t="inlineStr">
        <is>
          <t>Pour accompagner le ministre pour annoncer le lancement de la Stratégie de commerce et d'investissement de l'Atlantique et participer à une table ronde avec le secteur de l'agriculture du Canada atlantique</t>
        </is>
      </c>
      <c r="H757" s="1" t="n">
        <v>42919</v>
      </c>
      <c r="I757" s="1" t="n">
        <v>42920</v>
      </c>
      <c r="J757" t="inlineStr">
        <is>
          <t>Saint-John, NB</t>
        </is>
      </c>
      <c r="K757" t="inlineStr">
        <is>
          <t>Saint-John, NB</t>
        </is>
      </c>
      <c r="P757" t="n">
        <v>951.11</v>
      </c>
      <c r="Q757" t="n">
        <v>473.62</v>
      </c>
      <c r="R757" t="n">
        <v>165.83</v>
      </c>
      <c r="S757" t="n">
        <v>196.15</v>
      </c>
      <c r="U757" t="n">
        <v>1786.71</v>
      </c>
      <c r="V757" t="n">
        <v>1900041905</v>
      </c>
      <c r="X757" t="inlineStr">
        <is>
          <t>aafc-aac</t>
        </is>
      </c>
      <c r="Y757" t="inlineStr">
        <is>
          <t>Agriculture and Agri-Food Canada | Agriculture et Agroalimentaire Canada</t>
        </is>
      </c>
      <c r="Z757" t="n">
        <v>2</v>
      </c>
      <c r="AA757" t="n">
        <v>1786.71</v>
      </c>
      <c r="AB757">
        <f>ROUND(U757-AA757,2)</f>
        <v/>
      </c>
      <c r="AC757" t="b">
        <v>0</v>
      </c>
      <c r="AD757">
        <f>IF(U757="","MISSING_TOTAL",IF(ABS(AB757)&lt;=0.01,"OK","CHECK"))</f>
        <v/>
      </c>
      <c r="AE757">
        <f>IF(U757="","MISSING",IF(AND(AA757&gt;0,U757/AA757&gt;50),"POSSIBLE_SCALE_ERROR","OK"))</f>
        <v/>
      </c>
    </row>
    <row r="758">
      <c r="A758" t="inlineStr">
        <is>
          <t>T-2017-Q2-00071</t>
        </is>
      </c>
      <c r="B758" t="inlineStr">
        <is>
          <t>MPSES</t>
        </is>
      </c>
      <c r="C758" t="inlineStr">
        <is>
          <t>Policy Advisor</t>
        </is>
      </c>
      <c r="D758" t="inlineStr">
        <is>
          <t>Conseillère en politiques</t>
        </is>
      </c>
      <c r="E758" t="inlineStr">
        <is>
          <t>Alison Porter</t>
        </is>
      </c>
      <c r="F758" t="inlineStr">
        <is>
          <t>To accompany the Minister to announce the launch of the Atlantic Trade and Investment Strategy and participate in a Roundtable with the Agriculture Sector from Atlantic canada</t>
        </is>
      </c>
      <c r="G758" t="inlineStr">
        <is>
          <t>Pour accompagner le ministre pour annoncer le lancement de la Stratégie de commerce et d'investissement de l'Atlantique et participer à une table ronde avec le secteur de l'agriculture du Canada atlantique</t>
        </is>
      </c>
      <c r="H758" s="1" t="n">
        <v>42919</v>
      </c>
      <c r="I758" s="1" t="n">
        <v>42920</v>
      </c>
      <c r="J758" t="inlineStr">
        <is>
          <t>St John, NB</t>
        </is>
      </c>
      <c r="K758" t="inlineStr">
        <is>
          <t>St John, NB</t>
        </is>
      </c>
      <c r="P758" t="n">
        <v>1074.28</v>
      </c>
      <c r="Q758" t="n">
        <v>30</v>
      </c>
      <c r="R758" t="n">
        <v>165.83</v>
      </c>
      <c r="S758" t="n">
        <v>97.7</v>
      </c>
      <c r="U758" t="n">
        <v>1367.81</v>
      </c>
      <c r="V758" t="n">
        <v>1900041902</v>
      </c>
      <c r="X758" t="inlineStr">
        <is>
          <t>aafc-aac</t>
        </is>
      </c>
      <c r="Y758" t="inlineStr">
        <is>
          <t>Agriculture and Agri-Food Canada | Agriculture et Agroalimentaire Canada</t>
        </is>
      </c>
      <c r="Z758" t="n">
        <v>2</v>
      </c>
      <c r="AA758" t="n">
        <v>1367.81</v>
      </c>
      <c r="AB758">
        <f>ROUND(U758-AA758,2)</f>
        <v/>
      </c>
      <c r="AC758" t="b">
        <v>0</v>
      </c>
      <c r="AD758">
        <f>IF(U758="","MISSING_TOTAL",IF(ABS(AB758)&lt;=0.01,"OK","CHECK"))</f>
        <v/>
      </c>
      <c r="AE758">
        <f>IF(U758="","MISSING",IF(AND(AA758&gt;0,U758/AA758&gt;50),"POSSIBLE_SCALE_ERROR","OK"))</f>
        <v/>
      </c>
    </row>
    <row r="759">
      <c r="A759" t="inlineStr">
        <is>
          <t>T-2017-Q3-00012</t>
        </is>
      </c>
      <c r="B759" t="inlineStr">
        <is>
          <t>SLE</t>
        </is>
      </c>
      <c r="C759" t="inlineStr">
        <is>
          <t>Assistant Deputy Minister, Science and Technology Branch</t>
        </is>
      </c>
      <c r="D759" t="inlineStr">
        <is>
          <t>Sous-ministre adjoint, Direction générale des sciences et de la technologie</t>
        </is>
      </c>
      <c r="E759" t="inlineStr">
        <is>
          <t>Brian Gray</t>
        </is>
      </c>
      <c r="F759" t="inlineStr">
        <is>
          <t>Saskatoon Research and Development Centre Outreach Visit.</t>
        </is>
      </c>
      <c r="G759" t="inlineStr">
        <is>
          <t>Visite de sensibilisation au Centre de recherche et de développement de Saskatoon.</t>
        </is>
      </c>
      <c r="H759" s="1" t="n">
        <v>42997</v>
      </c>
      <c r="I759" s="1" t="n">
        <v>43000</v>
      </c>
      <c r="J759" t="inlineStr">
        <is>
          <t>Saskatoon, Saskatchewan</t>
        </is>
      </c>
      <c r="K759" t="inlineStr">
        <is>
          <t>Saskatoon, Saskatchewan</t>
        </is>
      </c>
      <c r="P759" t="n">
        <v>757</v>
      </c>
      <c r="Q759" t="n">
        <v>137.53</v>
      </c>
      <c r="R759" t="n">
        <v>579.66</v>
      </c>
      <c r="S759" t="n">
        <v>312.65</v>
      </c>
      <c r="U759" t="n">
        <v>1786.84</v>
      </c>
      <c r="V759" t="inlineStr">
        <is>
          <t>AJD983641</t>
        </is>
      </c>
      <c r="X759" t="inlineStr">
        <is>
          <t>aafc-aac</t>
        </is>
      </c>
      <c r="Y759" t="inlineStr">
        <is>
          <t>Agriculture and Agri-Food Canada | Agriculture et Agroalimentaire Canada</t>
        </is>
      </c>
      <c r="Z759" t="n">
        <v>4</v>
      </c>
      <c r="AA759" t="n">
        <v>1786.84</v>
      </c>
      <c r="AB759">
        <f>ROUND(U759-AA759,2)</f>
        <v/>
      </c>
      <c r="AC759" t="b">
        <v>0</v>
      </c>
      <c r="AD759">
        <f>IF(U759="","MISSING_TOTAL",IF(ABS(AB759)&lt;=0.01,"OK","CHECK"))</f>
        <v/>
      </c>
      <c r="AE759">
        <f>IF(U759="","MISSING",IF(AND(AA759&gt;0,U759/AA759&gt;50),"POSSIBLE_SCALE_ERROR","OK"))</f>
        <v/>
      </c>
    </row>
    <row r="760">
      <c r="A760" t="inlineStr">
        <is>
          <t>T-2017-Q3-00013</t>
        </is>
      </c>
      <c r="B760" t="inlineStr">
        <is>
          <t>SLE</t>
        </is>
      </c>
      <c r="C760" t="inlineStr">
        <is>
          <t>Assistant Deputy Minister, Science and Technology Branch</t>
        </is>
      </c>
      <c r="D760" t="inlineStr">
        <is>
          <t>Sous-ministre adjoint, Direction générale des sciences et de la technologie</t>
        </is>
      </c>
      <c r="E760" t="inlineStr">
        <is>
          <t>Brian Gray</t>
        </is>
      </c>
      <c r="F760" t="inlineStr">
        <is>
          <t>Tetrapartite.</t>
        </is>
      </c>
      <c r="G760" t="inlineStr">
        <is>
          <t>Tétrapartite.</t>
        </is>
      </c>
      <c r="H760" s="1" t="n">
        <v>43022</v>
      </c>
      <c r="I760" s="1" t="n">
        <v>43027</v>
      </c>
      <c r="J760" t="inlineStr">
        <is>
          <t>Bedfordshire, United Kingdom</t>
        </is>
      </c>
      <c r="K760" t="inlineStr">
        <is>
          <t>Bedfordshire, Royaume-Uni</t>
        </is>
      </c>
      <c r="P760" t="n">
        <v>7467.44</v>
      </c>
      <c r="Q760" t="n">
        <v>189.96</v>
      </c>
      <c r="R760" t="n">
        <v>788.88</v>
      </c>
      <c r="S760" t="n">
        <v>345.45</v>
      </c>
      <c r="U760" t="n">
        <v>8791.73</v>
      </c>
      <c r="V760" t="inlineStr">
        <is>
          <t>AJD947146</t>
        </is>
      </c>
      <c r="X760" t="inlineStr">
        <is>
          <t>aafc-aac</t>
        </is>
      </c>
      <c r="Y760" t="inlineStr">
        <is>
          <t>Agriculture and Agri-Food Canada | Agriculture et Agroalimentaire Canada</t>
        </is>
      </c>
      <c r="Z760" t="n">
        <v>6</v>
      </c>
      <c r="AA760" t="n">
        <v>8791.73</v>
      </c>
      <c r="AB760">
        <f>ROUND(U760-AA760,2)</f>
        <v/>
      </c>
      <c r="AC760" t="b">
        <v>0</v>
      </c>
      <c r="AD760">
        <f>IF(U760="","MISSING_TOTAL",IF(ABS(AB760)&lt;=0.01,"OK","CHECK"))</f>
        <v/>
      </c>
      <c r="AE760">
        <f>IF(U760="","MISSING",IF(AND(AA760&gt;0,U760/AA760&gt;50),"POSSIBLE_SCALE_ERROR","OK"))</f>
        <v/>
      </c>
    </row>
    <row r="761">
      <c r="A761" t="inlineStr">
        <is>
          <t>T-2017-Q3-00014</t>
        </is>
      </c>
      <c r="B761" t="inlineStr">
        <is>
          <t>SLE</t>
        </is>
      </c>
      <c r="C761" t="inlineStr">
        <is>
          <t>Assistant Deputy Minister, Science and Technology Branch</t>
        </is>
      </c>
      <c r="D761" t="inlineStr">
        <is>
          <t>Sous-ministre adjoint, Direction générale des sciences et de la technologie</t>
        </is>
      </c>
      <c r="E761" t="inlineStr">
        <is>
          <t>Brian Gray</t>
        </is>
      </c>
      <c r="F761" t="inlineStr">
        <is>
          <t>Research and Development Centre Outreach Visits.</t>
        </is>
      </c>
      <c r="G761" t="inlineStr">
        <is>
          <t>Visite de sensibilisation aux Centre de recherche et de développement.</t>
        </is>
      </c>
      <c r="H761" s="1" t="n">
        <v>43038</v>
      </c>
      <c r="I761" s="1" t="n">
        <v>43040</v>
      </c>
      <c r="J761" t="inlineStr">
        <is>
          <t>St-Jean-sur-Richelieu, Sherbrooke, St-Hyacinthe, Quebec</t>
        </is>
      </c>
      <c r="K761" t="inlineStr">
        <is>
          <t>St-Jean-sur-Richelieu, Sherbrooke, St-Hyacinthe, Québec</t>
        </is>
      </c>
      <c r="Q761" t="n">
        <v>353.58</v>
      </c>
      <c r="R761" t="n">
        <v>298.69</v>
      </c>
      <c r="S761" t="n">
        <v>269.75</v>
      </c>
      <c r="U761" t="n">
        <v>922.02</v>
      </c>
      <c r="V761" t="inlineStr">
        <is>
          <t>AJD901804</t>
        </is>
      </c>
      <c r="X761" t="inlineStr">
        <is>
          <t>aafc-aac</t>
        </is>
      </c>
      <c r="Y761" t="inlineStr">
        <is>
          <t>Agriculture and Agri-Food Canada | Agriculture et Agroalimentaire Canada</t>
        </is>
      </c>
      <c r="Z761" t="n">
        <v>3</v>
      </c>
      <c r="AA761" t="n">
        <v>922.02</v>
      </c>
      <c r="AB761">
        <f>ROUND(U761-AA761,2)</f>
        <v/>
      </c>
      <c r="AC761" t="b">
        <v>0</v>
      </c>
      <c r="AD761">
        <f>IF(U761="","MISSING_TOTAL",IF(ABS(AB761)&lt;=0.01,"OK","CHECK"))</f>
        <v/>
      </c>
      <c r="AE761">
        <f>IF(U761="","MISSING",IF(AND(AA761&gt;0,U761/AA761&gt;50),"POSSIBLE_SCALE_ERROR","OK"))</f>
        <v/>
      </c>
    </row>
    <row r="762">
      <c r="A762" t="inlineStr">
        <is>
          <t>T-2017-Q3-00015</t>
        </is>
      </c>
      <c r="B762" t="inlineStr">
        <is>
          <t>SLE</t>
        </is>
      </c>
      <c r="C762" t="inlineStr">
        <is>
          <t>Assistant Deputy Minister, Science and Technology Branch</t>
        </is>
      </c>
      <c r="D762" t="inlineStr">
        <is>
          <t>Sous-ministre adjoint, Direction générale des sciences et de la technologie</t>
        </is>
      </c>
      <c r="E762" t="inlineStr">
        <is>
          <t>Brian Gray</t>
        </is>
      </c>
      <c r="F762" t="inlineStr">
        <is>
          <t>G20 Germany 2017 - Meeting of Agricultural Chief Scientists.</t>
        </is>
      </c>
      <c r="G762" t="inlineStr">
        <is>
          <t>G20 Germany 2017 - Meeting of Agricultural Chief Scientists.</t>
        </is>
      </c>
      <c r="H762" s="1" t="n">
        <v>43050</v>
      </c>
      <c r="I762" s="1" t="n">
        <v>43055</v>
      </c>
      <c r="J762" t="inlineStr">
        <is>
          <t>Potsdam, Germany</t>
        </is>
      </c>
      <c r="K762" t="inlineStr">
        <is>
          <t>Potsdam, Allemagne</t>
        </is>
      </c>
      <c r="P762" t="n">
        <v>5937.1</v>
      </c>
      <c r="Q762" t="n">
        <v>280.39</v>
      </c>
      <c r="R762" t="n">
        <v>661.3200000000001</v>
      </c>
      <c r="S762" t="n">
        <v>461.83</v>
      </c>
      <c r="U762" t="n">
        <v>7340.64</v>
      </c>
      <c r="V762" t="inlineStr">
        <is>
          <t>AJD953141</t>
        </is>
      </c>
      <c r="X762" t="inlineStr">
        <is>
          <t>aafc-aac</t>
        </is>
      </c>
      <c r="Y762" t="inlineStr">
        <is>
          <t>Agriculture and Agri-Food Canada | Agriculture et Agroalimentaire Canada</t>
        </is>
      </c>
      <c r="Z762" t="n">
        <v>6</v>
      </c>
      <c r="AA762" t="n">
        <v>7340.64</v>
      </c>
      <c r="AB762">
        <f>ROUND(U762-AA762,2)</f>
        <v/>
      </c>
      <c r="AC762" t="b">
        <v>0</v>
      </c>
      <c r="AD762">
        <f>IF(U762="","MISSING_TOTAL",IF(ABS(AB762)&lt;=0.01,"OK","CHECK"))</f>
        <v/>
      </c>
      <c r="AE762">
        <f>IF(U762="","MISSING",IF(AND(AA762&gt;0,U762/AA762&gt;50),"POSSIBLE_SCALE_ERROR","OK"))</f>
        <v/>
      </c>
    </row>
    <row r="763">
      <c r="A763" t="inlineStr">
        <is>
          <t>T-2017-Q3-00016</t>
        </is>
      </c>
      <c r="B763" t="inlineStr">
        <is>
          <t>SLE</t>
        </is>
      </c>
      <c r="C763" t="inlineStr">
        <is>
          <t>Assistant Deputy Minister, Science and Technology Branch</t>
        </is>
      </c>
      <c r="D763" t="inlineStr">
        <is>
          <t>Sous-ministre adjoint, Direction générale des sciences et de la technologie</t>
        </is>
      </c>
      <c r="E763" t="inlineStr">
        <is>
          <t>Brian Gray</t>
        </is>
      </c>
      <c r="F763" t="inlineStr">
        <is>
          <t>Agassiz Research and Development Centre Outreach Visit.</t>
        </is>
      </c>
      <c r="G763" t="inlineStr">
        <is>
          <t>Visite de sensibilisation au Centre de recherche et de développement de Agassiz.</t>
        </is>
      </c>
      <c r="H763" s="1" t="n">
        <v>43067</v>
      </c>
      <c r="I763" s="1" t="n">
        <v>43070</v>
      </c>
      <c r="J763" t="inlineStr">
        <is>
          <t>Agassiz, British Columbia</t>
        </is>
      </c>
      <c r="K763" t="inlineStr">
        <is>
          <t>Agassiz, Colombie-Britannique</t>
        </is>
      </c>
      <c r="P763" t="n">
        <v>1265.91</v>
      </c>
      <c r="Q763" t="n">
        <v>316.61</v>
      </c>
      <c r="R763" t="n">
        <v>346.46</v>
      </c>
      <c r="S763" t="n">
        <v>287.05</v>
      </c>
      <c r="U763" t="n">
        <v>2216.03</v>
      </c>
      <c r="V763" t="inlineStr">
        <is>
          <t>AJD970109</t>
        </is>
      </c>
      <c r="X763" t="inlineStr">
        <is>
          <t>aafc-aac</t>
        </is>
      </c>
      <c r="Y763" t="inlineStr">
        <is>
          <t>Agriculture and Agri-Food Canada | Agriculture et Agroalimentaire Canada</t>
        </is>
      </c>
      <c r="Z763" t="n">
        <v>4</v>
      </c>
      <c r="AA763" t="n">
        <v>2216.03</v>
      </c>
      <c r="AB763">
        <f>ROUND(U763-AA763,2)</f>
        <v/>
      </c>
      <c r="AC763" t="b">
        <v>0</v>
      </c>
      <c r="AD763">
        <f>IF(U763="","MISSING_TOTAL",IF(ABS(AB763)&lt;=0.01,"OK","CHECK"))</f>
        <v/>
      </c>
      <c r="AE763">
        <f>IF(U763="","MISSING",IF(AND(AA763&gt;0,U763/AA763&gt;50),"POSSIBLE_SCALE_ERROR","OK"))</f>
        <v/>
      </c>
    </row>
    <row r="764">
      <c r="A764" t="inlineStr">
        <is>
          <t>T-2017-Q3-00017</t>
        </is>
      </c>
      <c r="B764" t="inlineStr">
        <is>
          <t>SLE</t>
        </is>
      </c>
      <c r="C764" t="inlineStr">
        <is>
          <t>Chief Information Officer</t>
        </is>
      </c>
      <c r="D764" t="inlineStr">
        <is>
          <t>Dirigeant principal de l'information</t>
        </is>
      </c>
      <c r="E764" t="inlineStr">
        <is>
          <t>Michel Lessard</t>
        </is>
      </c>
      <c r="F764" t="inlineStr">
        <is>
          <t>Gartner Symposium</t>
        </is>
      </c>
      <c r="G764" t="inlineStr">
        <is>
          <t>Symposium Gartner</t>
        </is>
      </c>
      <c r="H764" s="1" t="n">
        <v>43009</v>
      </c>
      <c r="I764" s="1" t="n">
        <v>43014</v>
      </c>
      <c r="J764" t="inlineStr">
        <is>
          <t>Orlando, Florida</t>
        </is>
      </c>
      <c r="K764" t="inlineStr">
        <is>
          <t>Orlando, Floride</t>
        </is>
      </c>
      <c r="P764" t="n">
        <v>1062.81</v>
      </c>
      <c r="Q764" t="n">
        <v>75.75</v>
      </c>
      <c r="R764" t="n">
        <v>2651.33</v>
      </c>
      <c r="S764" t="n">
        <v>381.1</v>
      </c>
      <c r="U764" t="n">
        <v>4170.99</v>
      </c>
      <c r="V764" t="inlineStr">
        <is>
          <t>AJE411610</t>
        </is>
      </c>
      <c r="X764" t="inlineStr">
        <is>
          <t>aafc-aac</t>
        </is>
      </c>
      <c r="Y764" t="inlineStr">
        <is>
          <t>Agriculture and Agri-Food Canada | Agriculture et Agroalimentaire Canada</t>
        </is>
      </c>
      <c r="Z764" t="n">
        <v>6</v>
      </c>
      <c r="AA764" t="n">
        <v>4170.99</v>
      </c>
      <c r="AB764">
        <f>ROUND(U764-AA764,2)</f>
        <v/>
      </c>
      <c r="AC764" t="b">
        <v>0</v>
      </c>
      <c r="AD764">
        <f>IF(U764="","MISSING_TOTAL",IF(ABS(AB764)&lt;=0.01,"OK","CHECK"))</f>
        <v/>
      </c>
      <c r="AE764">
        <f>IF(U764="","MISSING",IF(AND(AA764&gt;0,U764/AA764&gt;50),"POSSIBLE_SCALE_ERROR","OK"))</f>
        <v/>
      </c>
    </row>
    <row r="765">
      <c r="A765" t="inlineStr">
        <is>
          <t>T-2017-Q3-00021</t>
        </is>
      </c>
      <c r="B765" t="inlineStr">
        <is>
          <t>SLE</t>
        </is>
      </c>
      <c r="C765" t="inlineStr">
        <is>
          <t>Assistant Deputy Minister, Strategic Policy Branch</t>
        </is>
      </c>
      <c r="D765" t="inlineStr">
        <is>
          <t>Sous-ministre adjoint, Direction générale des politiques stratégiques</t>
        </is>
      </c>
      <c r="E765" t="inlineStr">
        <is>
          <t>Tom Rosser</t>
        </is>
      </c>
      <c r="F765" t="inlineStr">
        <is>
          <t>To attend Policy Food Engagement Sessions.</t>
        </is>
      </c>
      <c r="G765" t="inlineStr">
        <is>
          <t>Pour assister au séances d'engagement à propos d'une politique alimentaire.</t>
        </is>
      </c>
      <c r="H765" s="1" t="n">
        <v>42982</v>
      </c>
      <c r="I765" s="1" t="n">
        <v>42987</v>
      </c>
      <c r="J765" t="inlineStr">
        <is>
          <t>Vancouver, British Columbia, Winnipeg, Manitoba, Yellowknife, Northwest Territories</t>
        </is>
      </c>
      <c r="K765" t="inlineStr">
        <is>
          <t>Vancouver, Colombie-Britannique Winnipeg, Manitoba, Yellowknife, Territoires du Nord-Ouest</t>
        </is>
      </c>
      <c r="P765" t="n">
        <v>3896.79</v>
      </c>
      <c r="Q765" t="n">
        <v>264.61</v>
      </c>
      <c r="R765" t="n">
        <v>869.5599999999999</v>
      </c>
      <c r="S765" t="n">
        <v>625.6</v>
      </c>
      <c r="U765" t="n">
        <v>5656.56</v>
      </c>
      <c r="V765" t="inlineStr">
        <is>
          <t>AJE615347</t>
        </is>
      </c>
      <c r="X765" t="inlineStr">
        <is>
          <t>aafc-aac</t>
        </is>
      </c>
      <c r="Y765" t="inlineStr">
        <is>
          <t>Agriculture and Agri-Food Canada | Agriculture et Agroalimentaire Canada</t>
        </is>
      </c>
      <c r="Z765" t="n">
        <v>6</v>
      </c>
      <c r="AA765" t="n">
        <v>5656.55999999999</v>
      </c>
      <c r="AB765">
        <f>ROUND(U765-AA765,2)</f>
        <v/>
      </c>
      <c r="AC765" t="b">
        <v>0</v>
      </c>
      <c r="AD765">
        <f>IF(U765="","MISSING_TOTAL",IF(ABS(AB765)&lt;=0.01,"OK","CHECK"))</f>
        <v/>
      </c>
      <c r="AE765">
        <f>IF(U765="","MISSING",IF(AND(AA765&gt;0,U765/AA765&gt;50),"POSSIBLE_SCALE_ERROR","OK"))</f>
        <v/>
      </c>
    </row>
    <row r="766">
      <c r="A766" t="inlineStr">
        <is>
          <t>T-2017-Q3-00023</t>
        </is>
      </c>
      <c r="B766" t="inlineStr">
        <is>
          <t>SLE</t>
        </is>
      </c>
      <c r="C766" t="inlineStr">
        <is>
          <t>Assistant Deputy Minister, Strategic Policy Branch</t>
        </is>
      </c>
      <c r="D766" t="inlineStr">
        <is>
          <t>Sous-ministre adjoint, Direction générale des politiques stratégiques</t>
        </is>
      </c>
      <c r="E766" t="inlineStr">
        <is>
          <t>Tom Rosser</t>
        </is>
      </c>
      <c r="F766" t="inlineStr">
        <is>
          <t>To attend the First Nations Agriculture Forum.</t>
        </is>
      </c>
      <c r="G766" t="inlineStr">
        <is>
          <t>Pour assister au Forum d'agriculture des Premières Nations.</t>
        </is>
      </c>
      <c r="H766" s="1" t="n">
        <v>43025</v>
      </c>
      <c r="I766" s="1" t="n">
        <v>43027</v>
      </c>
      <c r="J766" t="inlineStr">
        <is>
          <t>Kelowna, British Columbia</t>
        </is>
      </c>
      <c r="K766" t="inlineStr">
        <is>
          <t>Kelowna, Colombie-Britannique</t>
        </is>
      </c>
      <c r="P766" t="n">
        <v>3419.98</v>
      </c>
      <c r="Q766" t="n">
        <v>115.8</v>
      </c>
      <c r="R766" t="n">
        <v>424.38</v>
      </c>
      <c r="S766" t="n">
        <v>203.7</v>
      </c>
      <c r="U766" t="n">
        <v>4163.86</v>
      </c>
      <c r="V766" t="inlineStr">
        <is>
          <t>AJE615347</t>
        </is>
      </c>
      <c r="X766" t="inlineStr">
        <is>
          <t>aafc-aac</t>
        </is>
      </c>
      <c r="Y766" t="inlineStr">
        <is>
          <t>Agriculture and Agri-Food Canada | Agriculture et Agroalimentaire Canada</t>
        </is>
      </c>
      <c r="Z766" t="n">
        <v>3</v>
      </c>
      <c r="AA766" t="n">
        <v>4163.86</v>
      </c>
      <c r="AB766">
        <f>ROUND(U766-AA766,2)</f>
        <v/>
      </c>
      <c r="AC766" t="b">
        <v>0</v>
      </c>
      <c r="AD766">
        <f>IF(U766="","MISSING_TOTAL",IF(ABS(AB766)&lt;=0.01,"OK","CHECK"))</f>
        <v/>
      </c>
      <c r="AE766">
        <f>IF(U766="","MISSING",IF(AND(AA766&gt;0,U766/AA766&gt;50),"POSSIBLE_SCALE_ERROR","OK"))</f>
        <v/>
      </c>
    </row>
    <row r="767">
      <c r="A767" t="inlineStr">
        <is>
          <t>T-2017-Q3-00027</t>
        </is>
      </c>
      <c r="B767" t="inlineStr">
        <is>
          <t>SLE</t>
        </is>
      </c>
      <c r="C767" t="inlineStr">
        <is>
          <t>Associate Assistant Deputy Minister</t>
        </is>
      </c>
      <c r="D767" t="inlineStr">
        <is>
          <t>Sous-ministre adjoint délégué</t>
        </is>
      </c>
      <c r="E767" t="inlineStr">
        <is>
          <t>Gilles Saindon</t>
        </is>
      </c>
      <c r="F767" t="inlineStr">
        <is>
          <t>Outreach at the Research and Development Center, all staff meeting and meeting with Provincial Counterparts.</t>
        </is>
      </c>
      <c r="G767" t="inlineStr">
        <is>
          <t>Visite de sensibilisation au Centre de recherche et développement, réunions avec tous le personnel et réunions avec des collègues du gouvernment provincial.</t>
        </is>
      </c>
      <c r="H767" s="1" t="n">
        <v>43012</v>
      </c>
      <c r="I767" s="1" t="n">
        <v>43014</v>
      </c>
      <c r="J767" t="inlineStr">
        <is>
          <t>Regina, Saskatchewan</t>
        </is>
      </c>
      <c r="K767" t="inlineStr">
        <is>
          <t>Régina, Saskatchewan</t>
        </is>
      </c>
      <c r="P767" t="n">
        <v>786.29</v>
      </c>
      <c r="Q767" t="n">
        <v>172</v>
      </c>
      <c r="R767" t="n">
        <v>340.7</v>
      </c>
      <c r="S767" t="n">
        <v>241.5</v>
      </c>
      <c r="U767" t="n">
        <v>1540.49</v>
      </c>
      <c r="V767" t="inlineStr">
        <is>
          <t>AJD907498</t>
        </is>
      </c>
      <c r="X767" t="inlineStr">
        <is>
          <t>aafc-aac</t>
        </is>
      </c>
      <c r="Y767" t="inlineStr">
        <is>
          <t>Agriculture and Agri-Food Canada | Agriculture et Agroalimentaire Canada</t>
        </is>
      </c>
      <c r="Z767" t="n">
        <v>3</v>
      </c>
      <c r="AA767" t="n">
        <v>1540.49</v>
      </c>
      <c r="AB767">
        <f>ROUND(U767-AA767,2)</f>
        <v/>
      </c>
      <c r="AC767" t="b">
        <v>0</v>
      </c>
      <c r="AD767">
        <f>IF(U767="","MISSING_TOTAL",IF(ABS(AB767)&lt;=0.01,"OK","CHECK"))</f>
        <v/>
      </c>
      <c r="AE767">
        <f>IF(U767="","MISSING",IF(AND(AA767&gt;0,U767/AA767&gt;50),"POSSIBLE_SCALE_ERROR","OK"))</f>
        <v/>
      </c>
    </row>
    <row r="768">
      <c r="A768" t="inlineStr">
        <is>
          <t>T-2017-Q3-00045</t>
        </is>
      </c>
      <c r="B768" t="inlineStr">
        <is>
          <t>MPSES</t>
        </is>
      </c>
      <c r="C768" t="inlineStr">
        <is>
          <t>Parliamentary Secretary Assistant</t>
        </is>
      </c>
      <c r="D768" t="inlineStr">
        <is>
          <t>Adjoint du Secrétaire parlementaire</t>
        </is>
      </c>
      <c r="E768" t="inlineStr">
        <is>
          <t>Michel-Antoine Renaud</t>
        </is>
      </c>
      <c r="F768" t="inlineStr">
        <is>
          <t>To accompany the Parliamentary Secretary to an announcement for the Inauguration and visit of the new facilities at the University Laval Agronomy Station in Saint - Augustin. Announcement for Canadian Agricultural Adaptation. Meeting with the Quebec Cranberry Growers' Association, Visit a Cranberry Farm.</t>
        </is>
      </c>
      <c r="G768" t="inlineStr">
        <is>
          <t>Pour accompagner le secrétaire parlementaire à une annonce d'une Inauguration et la visite des nouvelles installations de la Station Agronomique à l'Université Laval Ó Saint - Augustin. Une annonce pour l'adaptation agricole Canadienne. Rencontre avec l'Association des Producteurs de Canneberges de Québec, Visite d'une Ferme de Canneberges.</t>
        </is>
      </c>
      <c r="H768" s="1" t="n">
        <v>43018</v>
      </c>
      <c r="I768" s="1" t="n">
        <v>43021</v>
      </c>
      <c r="J768" t="inlineStr">
        <is>
          <t>Trois-Rivières, Quebec</t>
        </is>
      </c>
      <c r="K768" t="inlineStr">
        <is>
          <t>Trois-Rivières, Québec</t>
        </is>
      </c>
      <c r="Q768" t="n">
        <v>274.98</v>
      </c>
      <c r="R768" t="n">
        <v>240.16</v>
      </c>
      <c r="S768" t="n">
        <v>203.3</v>
      </c>
      <c r="T768" t="n">
        <v>34.51</v>
      </c>
      <c r="U768" t="n">
        <v>752.95</v>
      </c>
      <c r="V768" t="n">
        <v>1900092520</v>
      </c>
      <c r="X768" t="inlineStr">
        <is>
          <t>aafc-aac</t>
        </is>
      </c>
      <c r="Y768" t="inlineStr">
        <is>
          <t>Agriculture and Agri-Food Canada | Agriculture et Agroalimentaire Canada</t>
        </is>
      </c>
      <c r="Z768" t="n">
        <v>4</v>
      </c>
      <c r="AA768" t="n">
        <v>752.95</v>
      </c>
      <c r="AB768">
        <f>ROUND(U768-AA768,2)</f>
        <v/>
      </c>
      <c r="AC768" t="b">
        <v>0</v>
      </c>
      <c r="AD768">
        <f>IF(U768="","MISSING_TOTAL",IF(ABS(AB768)&lt;=0.01,"OK","CHECK"))</f>
        <v/>
      </c>
      <c r="AE768">
        <f>IF(U768="","MISSING",IF(AND(AA768&gt;0,U768/AA768&gt;50),"POSSIBLE_SCALE_ERROR","OK"))</f>
        <v/>
      </c>
    </row>
    <row r="769">
      <c r="A769" t="inlineStr">
        <is>
          <t>T-2017-Q3-00046</t>
        </is>
      </c>
      <c r="B769" t="inlineStr">
        <is>
          <t>MPSES</t>
        </is>
      </c>
      <c r="C769" t="inlineStr">
        <is>
          <t>Parliamentary Secretary Assistant</t>
        </is>
      </c>
      <c r="D769" t="inlineStr">
        <is>
          <t>Adjoint du Secrétaire parlementaire</t>
        </is>
      </c>
      <c r="E769" t="inlineStr">
        <is>
          <t>Michel-Antoine Renaud</t>
        </is>
      </c>
      <c r="F769" t="inlineStr">
        <is>
          <t>To accompany the Parliamentary Secretary  Gala Saturne - honoring outstanding women in agriculture &amp; Congrès de l'érable 2017 - North American Maple Syrup industry annual meeting in Lévis, Quebec.</t>
        </is>
      </c>
      <c r="G769" t="inlineStr">
        <is>
          <t>Pour accompagner le secrétaire parlementaire au Gala Saturne - honorer des femmes exceptionnelles en agriculture et Congrès de l'érable 2017 - Réunion annuelle de l'industrie du sirop d'érable Nord-Américain à Lévis, Québec.</t>
        </is>
      </c>
      <c r="H769" s="1" t="n">
        <v>43029</v>
      </c>
      <c r="I769" s="1" t="n">
        <v>43032</v>
      </c>
      <c r="J769" t="inlineStr">
        <is>
          <t>Lévis, Quebec</t>
        </is>
      </c>
      <c r="K769" t="inlineStr">
        <is>
          <t>Lévis, Québec</t>
        </is>
      </c>
      <c r="Q769" t="n">
        <v>249.56</v>
      </c>
      <c r="R769" t="n">
        <v>221.34</v>
      </c>
      <c r="S769" t="n">
        <v>288.85</v>
      </c>
      <c r="T769" t="n">
        <v>5.6</v>
      </c>
      <c r="U769" t="n">
        <v>765.35</v>
      </c>
      <c r="V769" t="n">
        <v>1900092523</v>
      </c>
      <c r="X769" t="inlineStr">
        <is>
          <t>aafc-aac</t>
        </is>
      </c>
      <c r="Y769" t="inlineStr">
        <is>
          <t>Agriculture and Agri-Food Canada | Agriculture et Agroalimentaire Canada</t>
        </is>
      </c>
      <c r="Z769" t="n">
        <v>4</v>
      </c>
      <c r="AA769" t="n">
        <v>765.35</v>
      </c>
      <c r="AB769">
        <f>ROUND(U769-AA769,2)</f>
        <v/>
      </c>
      <c r="AC769" t="b">
        <v>0</v>
      </c>
      <c r="AD769">
        <f>IF(U769="","MISSING_TOTAL",IF(ABS(AB769)&lt;=0.01,"OK","CHECK"))</f>
        <v/>
      </c>
      <c r="AE769">
        <f>IF(U769="","MISSING",IF(AND(AA769&gt;0,U769/AA769&gt;50),"POSSIBLE_SCALE_ERROR","OK"))</f>
        <v/>
      </c>
    </row>
    <row r="770">
      <c r="A770" t="inlineStr">
        <is>
          <t>T-2017-Q3-00049</t>
        </is>
      </c>
      <c r="B770" t="inlineStr">
        <is>
          <t>MPSES</t>
        </is>
      </c>
      <c r="C770" t="inlineStr">
        <is>
          <t>Parliamentary Secretary</t>
        </is>
      </c>
      <c r="D770" t="inlineStr">
        <is>
          <t>Secrétaire parlementaire</t>
        </is>
      </c>
      <c r="E770" t="inlineStr">
        <is>
          <t>Jean-Claude Poissant</t>
        </is>
      </c>
      <c r="F770" t="inlineStr">
        <is>
          <t>To attend an announcement for the inauguration and visit of the new facilities at the University Laval Agronomy Station in Saint - Augustin. Announcement for Canadian Agricultural Adaptation. Meeting with the Quebec Cranberry Growers' Association, visit a Cranberry Farm.</t>
        </is>
      </c>
      <c r="G770" t="inlineStr">
        <is>
          <t>Participer à une annonce d'une Inauguration et la visite des nouvelles installations de la Station Agronomique à l'Université Laval à Saint - Augustin. Une annonce pour l'adaptation agricole Canadienne. Rencontre avec l'Association des Producteurs de Canneberges du Québec, Visite d'une Ferme de Canneberges.</t>
        </is>
      </c>
      <c r="H770" s="1" t="n">
        <v>43020</v>
      </c>
      <c r="I770" s="1" t="n">
        <v>43021</v>
      </c>
      <c r="J770" t="inlineStr">
        <is>
          <t>Trois-Rivières, Quebec</t>
        </is>
      </c>
      <c r="K770" t="inlineStr">
        <is>
          <t>Trois-Rivières, Québec</t>
        </is>
      </c>
      <c r="R770" t="n">
        <v>105.92</v>
      </c>
      <c r="S770" t="n">
        <v>119.75</v>
      </c>
      <c r="U770" t="n">
        <v>225.67</v>
      </c>
      <c r="V770" t="n">
        <v>1900092514</v>
      </c>
      <c r="X770" t="inlineStr">
        <is>
          <t>aafc-aac</t>
        </is>
      </c>
      <c r="Y770" t="inlineStr">
        <is>
          <t>Agriculture and Agri-Food Canada | Agriculture et Agroalimentaire Canada</t>
        </is>
      </c>
      <c r="Z770" t="n">
        <v>2</v>
      </c>
      <c r="AA770" t="n">
        <v>225.67</v>
      </c>
      <c r="AB770">
        <f>ROUND(U770-AA770,2)</f>
        <v/>
      </c>
      <c r="AC770" t="b">
        <v>0</v>
      </c>
      <c r="AD770">
        <f>IF(U770="","MISSING_TOTAL",IF(ABS(AB770)&lt;=0.01,"OK","CHECK"))</f>
        <v/>
      </c>
      <c r="AE770">
        <f>IF(U770="","MISSING",IF(AND(AA770&gt;0,U770/AA770&gt;50),"POSSIBLE_SCALE_ERROR","OK"))</f>
        <v/>
      </c>
    </row>
    <row r="771">
      <c r="A771" t="inlineStr">
        <is>
          <t>T-2017-Q3-00050</t>
        </is>
      </c>
      <c r="B771" t="inlineStr">
        <is>
          <t>MPSES</t>
        </is>
      </c>
      <c r="C771" t="inlineStr">
        <is>
          <t>Parliamentary Secretary</t>
        </is>
      </c>
      <c r="D771" t="inlineStr">
        <is>
          <t>Secrétaire parlementaire</t>
        </is>
      </c>
      <c r="E771" t="inlineStr">
        <is>
          <t>Jean-Claude Poissant</t>
        </is>
      </c>
      <c r="F771" t="inlineStr">
        <is>
          <t>To attend the Gala Saturne - honoring outstanding women in agriculture &amp; Congrès de l'érabre 2017 - North American Maple Syrup industry annual meeting in Levis, Quebec.</t>
        </is>
      </c>
      <c r="G771" t="inlineStr">
        <is>
          <t>Assister au Gala Saturne - honorer des femmes exceptionnelles en agriculture et Congrès de l'érable 2017 - Réunion annuelle de l'industrie du du sirop d'érable Nord-Américain à Lévis, Québec</t>
        </is>
      </c>
      <c r="H771" s="1" t="n">
        <v>43029</v>
      </c>
      <c r="I771" s="1" t="n">
        <v>43031</v>
      </c>
      <c r="J771" t="inlineStr">
        <is>
          <t>Lévis, Quebec</t>
        </is>
      </c>
      <c r="K771" t="inlineStr">
        <is>
          <t>Lévis, Québec</t>
        </is>
      </c>
      <c r="R771" t="n">
        <v>221.34</v>
      </c>
      <c r="S771" t="n">
        <v>288.85</v>
      </c>
      <c r="U771" t="n">
        <v>510.19</v>
      </c>
      <c r="V771" t="n">
        <v>1900092517</v>
      </c>
      <c r="X771" t="inlineStr">
        <is>
          <t>aafc-aac</t>
        </is>
      </c>
      <c r="Y771" t="inlineStr">
        <is>
          <t>Agriculture and Agri-Food Canada | Agriculture et Agroalimentaire Canada</t>
        </is>
      </c>
      <c r="Z771" t="n">
        <v>3</v>
      </c>
      <c r="AA771" t="n">
        <v>510.19</v>
      </c>
      <c r="AB771">
        <f>ROUND(U771-AA771,2)</f>
        <v/>
      </c>
      <c r="AC771" t="b">
        <v>0</v>
      </c>
      <c r="AD771">
        <f>IF(U771="","MISSING_TOTAL",IF(ABS(AB771)&lt;=0.01,"OK","CHECK"))</f>
        <v/>
      </c>
      <c r="AE771">
        <f>IF(U771="","MISSING",IF(AND(AA771&gt;0,U771/AA771&gt;50),"POSSIBLE_SCALE_ERROR","OK"))</f>
        <v/>
      </c>
    </row>
    <row r="772">
      <c r="A772" t="inlineStr">
        <is>
          <t>T-2017-Q3-00052</t>
        </is>
      </c>
      <c r="B772" t="inlineStr">
        <is>
          <t>MPSES</t>
        </is>
      </c>
      <c r="C772" t="inlineStr">
        <is>
          <t>Chief of Staff</t>
        </is>
      </c>
      <c r="D772" t="inlineStr">
        <is>
          <t>Chef de cabinet</t>
        </is>
      </c>
      <c r="E772" t="inlineStr">
        <is>
          <t>Mary Jean McFall</t>
        </is>
      </c>
      <c r="F772" t="inlineStr">
        <is>
          <t>To Accompany the Minister to the National Association of States Department of Agriculture Annual meeting in New Orleans, Louisiana.</t>
        </is>
      </c>
      <c r="G772" t="inlineStr">
        <is>
          <t>Accompagner le ministre à la réunion annuelle du ministère de l'Agriculture de la National Association of States à la Nouvelle-Orléans, en Louisiane.</t>
        </is>
      </c>
      <c r="H772" s="1" t="n">
        <v>42990</v>
      </c>
      <c r="I772" s="1" t="n">
        <v>42994</v>
      </c>
      <c r="J772" t="inlineStr">
        <is>
          <t>New Orleans, Louisiana</t>
        </is>
      </c>
      <c r="K772" t="inlineStr">
        <is>
          <t>Nouvelle-Orleans, Louisiane</t>
        </is>
      </c>
      <c r="P772" t="n">
        <v>2137</v>
      </c>
      <c r="Q772" t="n">
        <v>23</v>
      </c>
      <c r="R772" t="n">
        <v>982.37</v>
      </c>
      <c r="S772" t="n">
        <v>454.24</v>
      </c>
      <c r="T772" t="n">
        <v>335.2</v>
      </c>
      <c r="U772" t="n">
        <v>3931.81</v>
      </c>
      <c r="V772" t="n">
        <v>1900087373</v>
      </c>
      <c r="X772" t="inlineStr">
        <is>
          <t>aafc-aac</t>
        </is>
      </c>
      <c r="Y772" t="inlineStr">
        <is>
          <t>Agriculture and Agri-Food Canada | Agriculture et Agroalimentaire Canada</t>
        </is>
      </c>
      <c r="Z772" t="n">
        <v>5</v>
      </c>
      <c r="AA772" t="n">
        <v>3931.80999999999</v>
      </c>
      <c r="AB772">
        <f>ROUND(U772-AA772,2)</f>
        <v/>
      </c>
      <c r="AC772" t="b">
        <v>0</v>
      </c>
      <c r="AD772">
        <f>IF(U772="","MISSING_TOTAL",IF(ABS(AB772)&lt;=0.01,"OK","CHECK"))</f>
        <v/>
      </c>
      <c r="AE772">
        <f>IF(U772="","MISSING",IF(AND(AA772&gt;0,U772/AA772&gt;50),"POSSIBLE_SCALE_ERROR","OK"))</f>
        <v/>
      </c>
    </row>
    <row r="773">
      <c r="A773" t="inlineStr">
        <is>
          <t>T-2017-Q3-00056</t>
        </is>
      </c>
      <c r="B773" t="inlineStr">
        <is>
          <t>MPSES</t>
        </is>
      </c>
      <c r="C773" t="inlineStr">
        <is>
          <t>Minister</t>
        </is>
      </c>
      <c r="D773" t="inlineStr">
        <is>
          <t>Ministre</t>
        </is>
      </c>
      <c r="E773" t="inlineStr">
        <is>
          <t>Lawrence MacAulay</t>
        </is>
      </c>
      <c r="F773" t="inlineStr">
        <is>
          <t>To attend the National Association of State Departments of Agriculture annual Meeting in New Orleans, Louisiana.</t>
        </is>
      </c>
      <c r="G773" t="inlineStr">
        <is>
          <t>Assister à l'assemblée annuelle de l'Association nationale des ministères de l'état de l'agriculture à la Nouvelle-Orléans, en Louisiane.</t>
        </is>
      </c>
      <c r="H773" s="1" t="n">
        <v>42990</v>
      </c>
      <c r="I773" s="1" t="n">
        <v>42994</v>
      </c>
      <c r="J773" t="inlineStr">
        <is>
          <t>New Orleans, Louisiana</t>
        </is>
      </c>
      <c r="K773" t="inlineStr">
        <is>
          <t>Nouvelle-Orleans, Louisiane</t>
        </is>
      </c>
      <c r="P773" t="n">
        <v>2886.35</v>
      </c>
      <c r="R773" t="n">
        <v>982.37</v>
      </c>
      <c r="S773" t="n">
        <v>437.09</v>
      </c>
      <c r="U773" t="n">
        <v>4305.81</v>
      </c>
      <c r="V773" t="n">
        <v>1900079988</v>
      </c>
      <c r="X773" t="inlineStr">
        <is>
          <t>aafc-aac</t>
        </is>
      </c>
      <c r="Y773" t="inlineStr">
        <is>
          <t>Agriculture and Agri-Food Canada | Agriculture et Agroalimentaire Canada</t>
        </is>
      </c>
      <c r="Z773" t="n">
        <v>5</v>
      </c>
      <c r="AA773" t="n">
        <v>4305.80999999999</v>
      </c>
      <c r="AB773">
        <f>ROUND(U773-AA773,2)</f>
        <v/>
      </c>
      <c r="AC773" t="b">
        <v>0</v>
      </c>
      <c r="AD773">
        <f>IF(U773="","MISSING_TOTAL",IF(ABS(AB773)&lt;=0.01,"OK","CHECK"))</f>
        <v/>
      </c>
      <c r="AE773">
        <f>IF(U773="","MISSING",IF(AND(AA773&gt;0,U773/AA773&gt;50),"POSSIBLE_SCALE_ERROR","OK"))</f>
        <v/>
      </c>
    </row>
    <row r="774">
      <c r="A774" t="inlineStr">
        <is>
          <t>T-2018-Q1-00040</t>
        </is>
      </c>
      <c r="B774" t="inlineStr">
        <is>
          <t>SLE</t>
        </is>
      </c>
      <c r="C774" t="inlineStr">
        <is>
          <t>Deputy Minister</t>
        </is>
      </c>
      <c r="D774" t="inlineStr">
        <is>
          <t>Sous-Ministre</t>
        </is>
      </c>
      <c r="E774" t="inlineStr">
        <is>
          <t>Chris Forbes</t>
        </is>
      </c>
      <c r="F774" t="inlineStr">
        <is>
          <t>Deputy Minister’s mission to Brussels</t>
        </is>
      </c>
      <c r="G774" t="inlineStr">
        <is>
          <t>Mission du sous-ministre à Bruxelles</t>
        </is>
      </c>
      <c r="H774" s="1" t="n">
        <v>43211</v>
      </c>
      <c r="I774" s="1" t="n">
        <v>43215</v>
      </c>
      <c r="J774" t="inlineStr">
        <is>
          <t>Brussels, Belgium</t>
        </is>
      </c>
      <c r="K774" t="inlineStr">
        <is>
          <t>Bruxelles, Belgique</t>
        </is>
      </c>
      <c r="P774" t="n">
        <v>2106</v>
      </c>
      <c r="Q774" t="n">
        <v>0</v>
      </c>
      <c r="R774" t="n">
        <v>1647.16</v>
      </c>
      <c r="S774" t="n">
        <v>182.64</v>
      </c>
      <c r="T774" t="n">
        <v>0</v>
      </c>
      <c r="U774" t="n">
        <v>3935.8</v>
      </c>
      <c r="X774" t="inlineStr">
        <is>
          <t>aafc-aac</t>
        </is>
      </c>
      <c r="Y774" t="inlineStr">
        <is>
          <t>Agriculture and Agri-Food Canada | Agriculture et Agroalimentaire Canada</t>
        </is>
      </c>
      <c r="Z774" t="n">
        <v>5</v>
      </c>
      <c r="AA774" t="n">
        <v>3935.79999999999</v>
      </c>
      <c r="AB774">
        <f>ROUND(U774-AA774,2)</f>
        <v/>
      </c>
      <c r="AC774" t="b">
        <v>0</v>
      </c>
      <c r="AD774">
        <f>IF(U774="","MISSING_TOTAL",IF(ABS(AB774)&lt;=0.01,"OK","CHECK"))</f>
        <v/>
      </c>
      <c r="AE774">
        <f>IF(U774="","MISSING",IF(AND(AA774&gt;0,U774/AA774&gt;50),"POSSIBLE_SCALE_ERROR","OK"))</f>
        <v/>
      </c>
    </row>
    <row r="775">
      <c r="A775" t="inlineStr">
        <is>
          <t>T-2017-Q3-00078</t>
        </is>
      </c>
      <c r="B775" t="inlineStr">
        <is>
          <t>MPSES</t>
        </is>
      </c>
      <c r="C775" t="inlineStr">
        <is>
          <t>Communications Advisor</t>
        </is>
      </c>
      <c r="D775" t="inlineStr">
        <is>
          <t>Conseiller en communications</t>
        </is>
      </c>
      <c r="E775" t="inlineStr">
        <is>
          <t>Oliver Anderson</t>
        </is>
      </c>
      <c r="F775" t="inlineStr">
        <is>
          <t>To accompany the Minister to The Royal Winter Fair.</t>
        </is>
      </c>
      <c r="G775" t="inlineStr">
        <is>
          <t>Accompagner le Ministre à la Foire Royal d'Hiver.</t>
        </is>
      </c>
      <c r="H775" s="1" t="n">
        <v>43041</v>
      </c>
      <c r="I775" s="1" t="n">
        <v>43044</v>
      </c>
      <c r="J775" t="inlineStr">
        <is>
          <t>Toronto, Ontario</t>
        </is>
      </c>
      <c r="K775" t="inlineStr">
        <is>
          <t>Toronto, Ontario</t>
        </is>
      </c>
      <c r="P775" t="n">
        <v>623.1900000000001</v>
      </c>
      <c r="R775" t="n">
        <v>174</v>
      </c>
      <c r="S775" t="n">
        <v>119.95</v>
      </c>
      <c r="U775" t="n">
        <v>917.14</v>
      </c>
      <c r="V775" t="n">
        <v>1900092864</v>
      </c>
      <c r="X775" t="inlineStr">
        <is>
          <t>aafc-aac</t>
        </is>
      </c>
      <c r="Y775" t="inlineStr">
        <is>
          <t>Agriculture and Agri-Food Canada | Agriculture et Agroalimentaire Canada</t>
        </is>
      </c>
      <c r="Z775" t="n">
        <v>4</v>
      </c>
      <c r="AA775" t="n">
        <v>917.14</v>
      </c>
      <c r="AB775">
        <f>ROUND(U775-AA775,2)</f>
        <v/>
      </c>
      <c r="AC775" t="b">
        <v>0</v>
      </c>
      <c r="AD775">
        <f>IF(U775="","MISSING_TOTAL",IF(ABS(AB775)&lt;=0.01,"OK","CHECK"))</f>
        <v/>
      </c>
      <c r="AE775">
        <f>IF(U775="","MISSING",IF(AND(AA775&gt;0,U775/AA775&gt;50),"POSSIBLE_SCALE_ERROR","OK"))</f>
        <v/>
      </c>
    </row>
    <row r="776">
      <c r="A776" t="inlineStr">
        <is>
          <t>T-2017-Q3-00060</t>
        </is>
      </c>
      <c r="B776" t="inlineStr">
        <is>
          <t>MPSES</t>
        </is>
      </c>
      <c r="C776" t="inlineStr">
        <is>
          <t>Minister</t>
        </is>
      </c>
      <c r="D776" t="inlineStr">
        <is>
          <t>Ministre</t>
        </is>
      </c>
      <c r="E776" t="inlineStr">
        <is>
          <t>Lawrence MacAulay</t>
        </is>
      </c>
      <c r="F776" t="inlineStr">
        <is>
          <t>Travel for the Agriculture and Agri-Food  ministerial Mission to China.</t>
        </is>
      </c>
      <c r="G776" t="inlineStr">
        <is>
          <t>Voyage pour la mission ministérielle d'Agriculture et Agroalimentaire en Chine.</t>
        </is>
      </c>
      <c r="H776" s="1" t="n">
        <v>43049</v>
      </c>
      <c r="I776" s="1" t="n">
        <v>43061</v>
      </c>
      <c r="J776" t="inlineStr">
        <is>
          <t>Beijing,China</t>
        </is>
      </c>
      <c r="K776" t="inlineStr">
        <is>
          <t>Pékin,Chine</t>
        </is>
      </c>
      <c r="P776" t="n">
        <v>6909.34</v>
      </c>
      <c r="R776" t="n">
        <v>3039.93</v>
      </c>
      <c r="S776" t="n">
        <v>1741.06</v>
      </c>
      <c r="U776" t="n">
        <v>11690.33</v>
      </c>
      <c r="V776" t="n">
        <v>1900099643</v>
      </c>
      <c r="X776" t="inlineStr">
        <is>
          <t>aafc-aac</t>
        </is>
      </c>
      <c r="Y776" t="inlineStr">
        <is>
          <t>Agriculture and Agri-Food Canada | Agriculture et Agroalimentaire Canada</t>
        </is>
      </c>
      <c r="Z776" t="n">
        <v>13</v>
      </c>
      <c r="AA776" t="n">
        <v>11690.33</v>
      </c>
      <c r="AB776">
        <f>ROUND(U776-AA776,2)</f>
        <v/>
      </c>
      <c r="AC776" t="b">
        <v>0</v>
      </c>
      <c r="AD776">
        <f>IF(U776="","MISSING_TOTAL",IF(ABS(AB776)&lt;=0.01,"OK","CHECK"))</f>
        <v/>
      </c>
      <c r="AE776">
        <f>IF(U776="","MISSING",IF(AND(AA776&gt;0,U776/AA776&gt;50),"POSSIBLE_SCALE_ERROR","OK"))</f>
        <v/>
      </c>
    </row>
    <row r="777">
      <c r="A777" t="inlineStr">
        <is>
          <t>T-2017-Q3-00064</t>
        </is>
      </c>
      <c r="B777" t="inlineStr">
        <is>
          <t>MPSES</t>
        </is>
      </c>
      <c r="C777" t="inlineStr">
        <is>
          <t>Director of Communications</t>
        </is>
      </c>
      <c r="D777" t="inlineStr">
        <is>
          <t>Directeur des communications</t>
        </is>
      </c>
      <c r="E777" t="inlineStr">
        <is>
          <t>Guy Gallant</t>
        </is>
      </c>
      <c r="F777" t="inlineStr">
        <is>
          <t>To accompany the Minister to the National Association of State Departments of Agriculture Annual Meeting in New Orleans.</t>
        </is>
      </c>
      <c r="G777" t="inlineStr">
        <is>
          <t>Pour accompagner le ministre à l'assemblée annuelle de l'Association nationale des ministères de l'agriculture à la Nouvelle-Orléans.</t>
        </is>
      </c>
      <c r="H777" s="1" t="n">
        <v>42991</v>
      </c>
      <c r="I777" s="1" t="n">
        <v>42994</v>
      </c>
      <c r="J777" t="inlineStr">
        <is>
          <t>New Orleans, Louisiana</t>
        </is>
      </c>
      <c r="K777" t="inlineStr">
        <is>
          <t>Nouvelle-Orleans, Louisiane</t>
        </is>
      </c>
      <c r="P777" t="n">
        <v>1211.5</v>
      </c>
      <c r="R777" t="n">
        <v>863.72</v>
      </c>
      <c r="S777" t="n">
        <v>437.09</v>
      </c>
      <c r="T777" t="n">
        <v>335.2</v>
      </c>
      <c r="U777" t="n">
        <v>2847.51</v>
      </c>
      <c r="V777" t="n">
        <v>1900079995</v>
      </c>
      <c r="X777" t="inlineStr">
        <is>
          <t>aafc-aac</t>
        </is>
      </c>
      <c r="Y777" t="inlineStr">
        <is>
          <t>Agriculture and Agri-Food Canada | Agriculture et Agroalimentaire Canada</t>
        </is>
      </c>
      <c r="Z777" t="n">
        <v>4</v>
      </c>
      <c r="AA777" t="n">
        <v>2847.51</v>
      </c>
      <c r="AB777">
        <f>ROUND(U777-AA777,2)</f>
        <v/>
      </c>
      <c r="AC777" t="b">
        <v>0</v>
      </c>
      <c r="AD777">
        <f>IF(U777="","MISSING_TOTAL",IF(ABS(AB777)&lt;=0.01,"OK","CHECK"))</f>
        <v/>
      </c>
      <c r="AE777">
        <f>IF(U777="","MISSING",IF(AND(AA777&gt;0,U777/AA777&gt;50),"POSSIBLE_SCALE_ERROR","OK"))</f>
        <v/>
      </c>
    </row>
    <row r="778">
      <c r="A778" t="inlineStr">
        <is>
          <t>T-2017-Q3-00066</t>
        </is>
      </c>
      <c r="B778" t="inlineStr">
        <is>
          <t>MPSES</t>
        </is>
      </c>
      <c r="C778" t="inlineStr">
        <is>
          <t>Director of Communications</t>
        </is>
      </c>
      <c r="D778" t="inlineStr">
        <is>
          <t>Directeur des communications</t>
        </is>
      </c>
      <c r="E778" t="inlineStr">
        <is>
          <t>Guy Gallant</t>
        </is>
      </c>
      <c r="F778" t="inlineStr">
        <is>
          <t>Passport's pictures.</t>
        </is>
      </c>
      <c r="G778" t="inlineStr">
        <is>
          <t>Photos de passeport.</t>
        </is>
      </c>
      <c r="H778" s="1" t="n">
        <v>43024</v>
      </c>
      <c r="I778" s="1" t="n">
        <v>43024</v>
      </c>
      <c r="T778" t="n">
        <v>76.84</v>
      </c>
      <c r="U778" t="n">
        <v>76.84</v>
      </c>
      <c r="V778" t="n">
        <v>1900090560</v>
      </c>
      <c r="X778" t="inlineStr">
        <is>
          <t>aafc-aac</t>
        </is>
      </c>
      <c r="Y778" t="inlineStr">
        <is>
          <t>Agriculture and Agri-Food Canada | Agriculture et Agroalimentaire Canada</t>
        </is>
      </c>
      <c r="Z778" t="n">
        <v>1</v>
      </c>
      <c r="AA778" t="n">
        <v>76.84</v>
      </c>
      <c r="AB778">
        <f>ROUND(U778-AA778,2)</f>
        <v/>
      </c>
      <c r="AC778" t="b">
        <v>0</v>
      </c>
      <c r="AD778">
        <f>IF(U778="","MISSING_TOTAL",IF(ABS(AB778)&lt;=0.01,"OK","CHECK"))</f>
        <v/>
      </c>
      <c r="AE778">
        <f>IF(U778="","MISSING",IF(AND(AA778&gt;0,U778/AA778&gt;50),"POSSIBLE_SCALE_ERROR","OK"))</f>
        <v/>
      </c>
    </row>
    <row r="779">
      <c r="A779" t="inlineStr">
        <is>
          <t>T-2017-Q3-00068</t>
        </is>
      </c>
      <c r="B779" t="inlineStr">
        <is>
          <t>MPSES</t>
        </is>
      </c>
      <c r="C779" t="inlineStr">
        <is>
          <t>Director of Communications</t>
        </is>
      </c>
      <c r="D779" t="inlineStr">
        <is>
          <t>Directeur des communications</t>
        </is>
      </c>
      <c r="E779" t="inlineStr">
        <is>
          <t>Guy Gallant</t>
        </is>
      </c>
      <c r="F779" t="inlineStr">
        <is>
          <t>Travel for the Agriculture and Agri-Food Canada Ministerial Mission to China.</t>
        </is>
      </c>
      <c r="G779" t="inlineStr">
        <is>
          <t>Voyage pour la mission ministérielle d'Agriculture et Agrioalimentaire Canada en Chine.</t>
        </is>
      </c>
      <c r="H779" s="1" t="n">
        <v>43049</v>
      </c>
      <c r="I779" s="1" t="n">
        <v>43062</v>
      </c>
      <c r="J779" t="inlineStr">
        <is>
          <t>Beijing, China</t>
        </is>
      </c>
      <c r="K779" t="inlineStr">
        <is>
          <t>Pékin, Chine</t>
        </is>
      </c>
      <c r="P779" t="n">
        <v>6909.34</v>
      </c>
      <c r="R779" t="n">
        <v>2962.94</v>
      </c>
      <c r="S779" t="n">
        <v>1741.06</v>
      </c>
      <c r="U779" t="n">
        <v>11613.34</v>
      </c>
      <c r="V779" t="n">
        <v>1900100731</v>
      </c>
      <c r="X779" t="inlineStr">
        <is>
          <t>aafc-aac</t>
        </is>
      </c>
      <c r="Y779" t="inlineStr">
        <is>
          <t>Agriculture and Agri-Food Canada | Agriculture et Agroalimentaire Canada</t>
        </is>
      </c>
      <c r="Z779" t="n">
        <v>14</v>
      </c>
      <c r="AA779" t="n">
        <v>11613.34</v>
      </c>
      <c r="AB779">
        <f>ROUND(U779-AA779,2)</f>
        <v/>
      </c>
      <c r="AC779" t="b">
        <v>0</v>
      </c>
      <c r="AD779">
        <f>IF(U779="","MISSING_TOTAL",IF(ABS(AB779)&lt;=0.01,"OK","CHECK"))</f>
        <v/>
      </c>
      <c r="AE779">
        <f>IF(U779="","MISSING",IF(AND(AA779&gt;0,U779/AA779&gt;50),"POSSIBLE_SCALE_ERROR","OK"))</f>
        <v/>
      </c>
    </row>
    <row r="780">
      <c r="A780" t="inlineStr">
        <is>
          <t>T-2018-Q2-00001</t>
        </is>
      </c>
      <c r="B780" t="inlineStr">
        <is>
          <t>MPSES</t>
        </is>
      </c>
      <c r="C780" t="inlineStr">
        <is>
          <t>Minister</t>
        </is>
      </c>
      <c r="D780" t="inlineStr">
        <is>
          <t>Ministre</t>
        </is>
      </c>
      <c r="E780" t="inlineStr">
        <is>
          <t>Lawrence MacAulay</t>
        </is>
      </c>
      <c r="F780" t="inlineStr">
        <is>
          <t>For the Quebec, New Brunswick, and Nova Scotia outreaches</t>
        </is>
      </c>
      <c r="G780" t="inlineStr">
        <is>
          <t>Pour le Québec, le Nouveau-Brunswick et la Nouvelle-Écosse</t>
        </is>
      </c>
      <c r="H780" s="1" t="n">
        <v>43276</v>
      </c>
      <c r="I780" s="1" t="n">
        <v>43280</v>
      </c>
      <c r="J780" t="inlineStr">
        <is>
          <t>Sherbrooke Quebec, Montreal Quebec, Fredericton New Brunswick, Halifax Nova Scotia</t>
        </is>
      </c>
      <c r="K780" t="inlineStr">
        <is>
          <t>Sherbrooke Québec, Montréal Québec, Fredericton Nouveau-Brunswick, Halifax Nouvelle-Écosse</t>
        </is>
      </c>
      <c r="P780" t="n">
        <v>1710.28</v>
      </c>
      <c r="Q780" t="n">
        <v>119.69</v>
      </c>
      <c r="R780" t="n">
        <v>620.79</v>
      </c>
      <c r="S780" t="n">
        <v>366.1</v>
      </c>
      <c r="T780" t="n">
        <v>0</v>
      </c>
      <c r="U780" t="n">
        <v>2816.86</v>
      </c>
      <c r="X780" t="inlineStr">
        <is>
          <t>aafc-aac</t>
        </is>
      </c>
      <c r="Y780" t="inlineStr">
        <is>
          <t>Agriculture and Agri-Food Canada | Agriculture et Agroalimentaire Canada</t>
        </is>
      </c>
      <c r="Z780" t="n">
        <v>5</v>
      </c>
      <c r="AA780" t="n">
        <v>2816.86</v>
      </c>
      <c r="AB780">
        <f>ROUND(U780-AA780,2)</f>
        <v/>
      </c>
      <c r="AC780" t="b">
        <v>0</v>
      </c>
      <c r="AD780">
        <f>IF(U780="","MISSING_TOTAL",IF(ABS(AB780)&lt;=0.01,"OK","CHECK"))</f>
        <v/>
      </c>
      <c r="AE780">
        <f>IF(U780="","MISSING",IF(AND(AA780&gt;0,U780/AA780&gt;50),"POSSIBLE_SCALE_ERROR","OK"))</f>
        <v/>
      </c>
    </row>
    <row r="781">
      <c r="A781" t="inlineStr">
        <is>
          <t>T-2018-Q2-00002</t>
        </is>
      </c>
      <c r="B781" t="inlineStr">
        <is>
          <t>MPSES</t>
        </is>
      </c>
      <c r="C781" t="inlineStr">
        <is>
          <t>Minister</t>
        </is>
      </c>
      <c r="D781" t="inlineStr">
        <is>
          <t>Ministre</t>
        </is>
      </c>
      <c r="E781" t="inlineStr">
        <is>
          <t>Lawrence MacAulay</t>
        </is>
      </c>
      <c r="F781" t="inlineStr">
        <is>
          <t>Ontario outreach announcements in St. Ann's, Simcoe, Scotland area, St. Catharines, and Niagara on the Lake, Ontario</t>
        </is>
      </c>
      <c r="G781" t="inlineStr">
        <is>
          <t>Annonces de sensibilisation de l'Ontario dans la région de St. Ann's, Simcoe, en Écosse, à St. Catharines et à Niagara-on-the-Lake, en Ontario</t>
        </is>
      </c>
      <c r="H781" s="1" t="n">
        <v>43283</v>
      </c>
      <c r="I781" s="1" t="n">
        <v>43285</v>
      </c>
      <c r="J781" t="inlineStr">
        <is>
          <t>St. Ann's, Simcoe, Scotland area, St. Catharines, and Niagara on the Lake, Ontario</t>
        </is>
      </c>
      <c r="K781" t="inlineStr">
        <is>
          <t>Région de St. Ann 's, Simcoe, Écosse, St. Catharines et Niagara-on-the-Lake, Ontario</t>
        </is>
      </c>
      <c r="P781" t="n">
        <v>1629.2</v>
      </c>
      <c r="Q781" t="n">
        <v>50.78</v>
      </c>
      <c r="R781" t="n">
        <v>449.34</v>
      </c>
      <c r="S781" t="n">
        <v>225.5</v>
      </c>
      <c r="T781" t="n">
        <v>0</v>
      </c>
      <c r="U781" t="n">
        <v>2354.82</v>
      </c>
      <c r="X781" t="inlineStr">
        <is>
          <t>aafc-aac</t>
        </is>
      </c>
      <c r="Y781" t="inlineStr">
        <is>
          <t>Agriculture and Agri-Food Canada | Agriculture et Agroalimentaire Canada</t>
        </is>
      </c>
      <c r="Z781" t="n">
        <v>3</v>
      </c>
      <c r="AA781" t="n">
        <v>2354.82</v>
      </c>
      <c r="AB781">
        <f>ROUND(U781-AA781,2)</f>
        <v/>
      </c>
      <c r="AC781" t="b">
        <v>0</v>
      </c>
      <c r="AD781">
        <f>IF(U781="","MISSING_TOTAL",IF(ABS(AB781)&lt;=0.01,"OK","CHECK"))</f>
        <v/>
      </c>
      <c r="AE781">
        <f>IF(U781="","MISSING",IF(AND(AA781&gt;0,U781/AA781&gt;50),"POSSIBLE_SCALE_ERROR","OK"))</f>
        <v/>
      </c>
    </row>
    <row r="782">
      <c r="A782" t="inlineStr">
        <is>
          <t>T-2017-Q3-00047</t>
        </is>
      </c>
      <c r="B782" t="inlineStr">
        <is>
          <t>MPSES</t>
        </is>
      </c>
      <c r="C782" t="inlineStr">
        <is>
          <t>Director of Policy</t>
        </is>
      </c>
      <c r="D782" t="inlineStr">
        <is>
          <t>Directrice de la politique</t>
        </is>
      </c>
      <c r="E782" t="inlineStr">
        <is>
          <t>Alison Porter</t>
        </is>
      </c>
      <c r="F782" t="inlineStr">
        <is>
          <t>To support the Minister on the Northwest Territories outreach.</t>
        </is>
      </c>
      <c r="G782" t="inlineStr">
        <is>
          <t>Appuyer le Ministre sur la portée des Territoires du Nord-Ouest.</t>
        </is>
      </c>
      <c r="H782" s="1" t="n">
        <v>42985</v>
      </c>
      <c r="I782" s="1" t="n">
        <v>42987</v>
      </c>
      <c r="J782" t="inlineStr">
        <is>
          <t>Yellowknife, Northwest Territories</t>
        </is>
      </c>
      <c r="K782" t="inlineStr">
        <is>
          <t>Yellowknife, Territoires du Nord-Ouest</t>
        </is>
      </c>
      <c r="P782" t="n">
        <v>1942.87</v>
      </c>
      <c r="Q782" t="n">
        <v>63.18</v>
      </c>
      <c r="R782" t="n">
        <v>166.95</v>
      </c>
      <c r="S782" t="n">
        <v>196.15</v>
      </c>
      <c r="U782" t="n">
        <v>2369.15</v>
      </c>
      <c r="V782" t="n">
        <v>1900082846</v>
      </c>
      <c r="X782" t="inlineStr">
        <is>
          <t>aafc-aac</t>
        </is>
      </c>
      <c r="Y782" t="inlineStr">
        <is>
          <t>Agriculture and Agri-Food Canada | Agriculture et Agroalimentaire Canada</t>
        </is>
      </c>
      <c r="Z782" t="n">
        <v>3</v>
      </c>
      <c r="AA782" t="n">
        <v>2369.15</v>
      </c>
      <c r="AB782">
        <f>ROUND(U782-AA782,2)</f>
        <v/>
      </c>
      <c r="AC782" t="b">
        <v>0</v>
      </c>
      <c r="AD782">
        <f>IF(U782="","MISSING_TOTAL",IF(ABS(AB782)&lt;=0.01,"OK","CHECK"))</f>
        <v/>
      </c>
      <c r="AE782">
        <f>IF(U782="","MISSING",IF(AND(AA782&gt;0,U782/AA782&gt;50),"POSSIBLE_SCALE_ERROR","OK"))</f>
        <v/>
      </c>
    </row>
    <row r="783">
      <c r="A783" t="inlineStr">
        <is>
          <t>T-2017-Q3-00054</t>
        </is>
      </c>
      <c r="B783" t="inlineStr">
        <is>
          <t>MPSES</t>
        </is>
      </c>
      <c r="C783" t="inlineStr">
        <is>
          <t>Minister</t>
        </is>
      </c>
      <c r="D783" t="inlineStr">
        <is>
          <t>Ministre</t>
        </is>
      </c>
      <c r="E783" t="inlineStr">
        <is>
          <t>Lawrence MacAulay</t>
        </is>
      </c>
      <c r="F783" t="inlineStr">
        <is>
          <t>Food Policy for Canada - Regional Consultations in Vancouver and in Yellowknife. Tour of University of British Columbia Farm.</t>
        </is>
      </c>
      <c r="G783" t="inlineStr">
        <is>
          <t>Politique alimentaire pour le Canada - Consultations régionales à Vancouver et à Yellowknife. Visite de la ferme de l'Université de la Colombie-Britannique.</t>
        </is>
      </c>
      <c r="H783" s="1" t="n">
        <v>42982</v>
      </c>
      <c r="I783" s="1" t="n">
        <v>42987</v>
      </c>
      <c r="J783" t="inlineStr">
        <is>
          <t>Vancouver, British Columbia; Yellowknife, Northwest Territories; Edmonton, Alberta</t>
        </is>
      </c>
      <c r="K783" t="inlineStr">
        <is>
          <t>Vancouver, Colombie-Britannique; Yellowknife, Territoires du Nord-Ouest; Edmonton, Alberta</t>
        </is>
      </c>
      <c r="P783" t="n">
        <v>3677.98</v>
      </c>
      <c r="Q783" t="n">
        <v>25.97</v>
      </c>
      <c r="R783" t="n">
        <v>556.84</v>
      </c>
      <c r="S783" t="n">
        <v>313.55</v>
      </c>
      <c r="U783" t="n">
        <v>4574.34</v>
      </c>
      <c r="V783" t="n">
        <v>1900083451</v>
      </c>
      <c r="X783" t="inlineStr">
        <is>
          <t>aafc-aac</t>
        </is>
      </c>
      <c r="Y783" t="inlineStr">
        <is>
          <t>Agriculture and Agri-Food Canada | Agriculture et Agroalimentaire Canada</t>
        </is>
      </c>
      <c r="Z783" t="n">
        <v>6</v>
      </c>
      <c r="AA783" t="n">
        <v>4574.34</v>
      </c>
      <c r="AB783">
        <f>ROUND(U783-AA783,2)</f>
        <v/>
      </c>
      <c r="AC783" t="b">
        <v>0</v>
      </c>
      <c r="AD783">
        <f>IF(U783="","MISSING_TOTAL",IF(ABS(AB783)&lt;=0.01,"OK","CHECK"))</f>
        <v/>
      </c>
      <c r="AE783">
        <f>IF(U783="","MISSING",IF(AND(AA783&gt;0,U783/AA783&gt;50),"POSSIBLE_SCALE_ERROR","OK"))</f>
        <v/>
      </c>
    </row>
    <row r="784">
      <c r="A784" t="inlineStr">
        <is>
          <t>T-2017-Q2-00002</t>
        </is>
      </c>
      <c r="B784" t="inlineStr">
        <is>
          <t>SLE</t>
        </is>
      </c>
      <c r="C784" t="inlineStr">
        <is>
          <t>Assistant Deputy Minister Corporate Management Branch</t>
        </is>
      </c>
      <c r="D784" t="inlineStr">
        <is>
          <t>Sous-ministre adjoint Direction générale de la gestion intégrée</t>
        </is>
      </c>
      <c r="E784" t="inlineStr">
        <is>
          <t>Pierre Corriveau</t>
        </is>
      </c>
      <c r="F784" t="inlineStr">
        <is>
          <t>National Public Service Week and Awards Ceremony 2017. Staff Meeting</t>
        </is>
      </c>
      <c r="G784" t="inlineStr">
        <is>
          <t>Semaine Nationale de la Fonction publique et cérémonie de remise de prix. Réunion du personel.</t>
        </is>
      </c>
      <c r="H784" s="1" t="n">
        <v>42900</v>
      </c>
      <c r="I784" s="1" t="n">
        <v>42903</v>
      </c>
      <c r="J784" t="inlineStr">
        <is>
          <t>Regina and Swift Current, Saskatchewan</t>
        </is>
      </c>
      <c r="K784" t="inlineStr">
        <is>
          <t>Régina et Swift Current, Saskatchewan</t>
        </is>
      </c>
      <c r="P784" t="n">
        <v>769.16</v>
      </c>
      <c r="Q784" t="n">
        <v>82.3</v>
      </c>
      <c r="R784" t="n">
        <v>408.11</v>
      </c>
      <c r="S784" t="n">
        <v>307.15</v>
      </c>
      <c r="U784" t="n">
        <v>1566.72</v>
      </c>
      <c r="V784" t="inlineStr">
        <is>
          <t>AJD365196</t>
        </is>
      </c>
      <c r="X784" t="inlineStr">
        <is>
          <t>aafc-aac</t>
        </is>
      </c>
      <c r="Y784" t="inlineStr">
        <is>
          <t>Agriculture and Agri-Food Canada | Agriculture et Agroalimentaire Canada</t>
        </is>
      </c>
      <c r="Z784" t="n">
        <v>4</v>
      </c>
      <c r="AA784" t="n">
        <v>1566.71999999999</v>
      </c>
      <c r="AB784">
        <f>ROUND(U784-AA784,2)</f>
        <v/>
      </c>
      <c r="AC784" t="b">
        <v>0</v>
      </c>
      <c r="AD784">
        <f>IF(U784="","MISSING_TOTAL",IF(ABS(AB784)&lt;=0.01,"OK","CHECK"))</f>
        <v/>
      </c>
      <c r="AE784">
        <f>IF(U784="","MISSING",IF(AND(AA784&gt;0,U784/AA784&gt;50),"POSSIBLE_SCALE_ERROR","OK"))</f>
        <v/>
      </c>
    </row>
    <row r="785">
      <c r="A785" t="inlineStr">
        <is>
          <t>T-2017-Q2-00003</t>
        </is>
      </c>
      <c r="B785" t="inlineStr">
        <is>
          <t>SLE</t>
        </is>
      </c>
      <c r="C785" t="inlineStr">
        <is>
          <t>Assistant Deputy Minister Science and Technology Branch</t>
        </is>
      </c>
      <c r="D785" t="inlineStr">
        <is>
          <t>Sous-ministre adjoint Direction générale des sciences et de la technologie</t>
        </is>
      </c>
      <c r="E785" t="inlineStr">
        <is>
          <t>Brian Gray</t>
        </is>
      </c>
      <c r="F785" t="inlineStr">
        <is>
          <t>Outreach visit Brandon and Morden Research and Development Center</t>
        </is>
      </c>
      <c r="G785" t="inlineStr">
        <is>
          <t>Visite de sensibilisation au Centre de recherche et de développement de Brandon et Morden</t>
        </is>
      </c>
      <c r="H785" s="1" t="n">
        <v>42893</v>
      </c>
      <c r="I785" s="1" t="n">
        <v>42895</v>
      </c>
      <c r="J785" t="inlineStr">
        <is>
          <t>Brandon and Morden, MB</t>
        </is>
      </c>
      <c r="K785" t="inlineStr">
        <is>
          <t>Brandon et Morden, MB</t>
        </is>
      </c>
      <c r="P785" t="n">
        <v>666.73</v>
      </c>
      <c r="Q785" t="n">
        <v>105.63</v>
      </c>
      <c r="R785" t="n">
        <v>227.73</v>
      </c>
      <c r="S785" t="n">
        <v>179.9</v>
      </c>
      <c r="U785" t="n">
        <v>1179.99</v>
      </c>
      <c r="V785" t="inlineStr">
        <is>
          <t>AJD976591</t>
        </is>
      </c>
      <c r="X785" t="inlineStr">
        <is>
          <t>aafc-aac</t>
        </is>
      </c>
      <c r="Y785" t="inlineStr">
        <is>
          <t>Agriculture and Agri-Food Canada | Agriculture et Agroalimentaire Canada</t>
        </is>
      </c>
      <c r="Z785" t="n">
        <v>3</v>
      </c>
      <c r="AA785" t="n">
        <v>1179.99</v>
      </c>
      <c r="AB785">
        <f>ROUND(U785-AA785,2)</f>
        <v/>
      </c>
      <c r="AC785" t="b">
        <v>0</v>
      </c>
      <c r="AD785">
        <f>IF(U785="","MISSING_TOTAL",IF(ABS(AB785)&lt;=0.01,"OK","CHECK"))</f>
        <v/>
      </c>
      <c r="AE785">
        <f>IF(U785="","MISSING",IF(AND(AA785&gt;0,U785/AA785&gt;50),"POSSIBLE_SCALE_ERROR","OK"))</f>
        <v/>
      </c>
    </row>
    <row r="786">
      <c r="A786" t="inlineStr">
        <is>
          <t>T-2017-Q2-00004</t>
        </is>
      </c>
      <c r="B786" t="inlineStr">
        <is>
          <t>SLE</t>
        </is>
      </c>
      <c r="C786" t="inlineStr">
        <is>
          <t>Assistant Deputy Minister Science and Technology Branch</t>
        </is>
      </c>
      <c r="D786" t="inlineStr">
        <is>
          <t>Sous-ministre adjoint Direction générale des sciences et de la technologie</t>
        </is>
      </c>
      <c r="E786" t="inlineStr">
        <is>
          <t>Brian Gray</t>
        </is>
      </c>
      <c r="F786" t="inlineStr">
        <is>
          <t>Outreach visit Guelph and Vineland Research and Development Center</t>
        </is>
      </c>
      <c r="G786" t="inlineStr">
        <is>
          <t>Visite de sensibilisation au Centre de recherche et de développement de Guelph et Vineland</t>
        </is>
      </c>
      <c r="H786" s="1" t="n">
        <v>42898</v>
      </c>
      <c r="I786" s="1" t="n">
        <v>42902</v>
      </c>
      <c r="J786" t="inlineStr">
        <is>
          <t>Guelph and Vineland, ON</t>
        </is>
      </c>
      <c r="K786" t="inlineStr">
        <is>
          <t>Guelph et Vineland, ON</t>
        </is>
      </c>
      <c r="P786" t="n">
        <v>408.55</v>
      </c>
      <c r="Q786" t="n">
        <v>318.72</v>
      </c>
      <c r="R786" t="n">
        <v>610.76</v>
      </c>
      <c r="S786" t="n">
        <v>358.75</v>
      </c>
      <c r="U786" t="n">
        <v>1696.78</v>
      </c>
      <c r="V786" t="inlineStr">
        <is>
          <t>AJD986650</t>
        </is>
      </c>
      <c r="X786" t="inlineStr">
        <is>
          <t>aafc-aac</t>
        </is>
      </c>
      <c r="Y786" t="inlineStr">
        <is>
          <t>Agriculture and Agri-Food Canada | Agriculture et Agroalimentaire Canada</t>
        </is>
      </c>
      <c r="Z786" t="n">
        <v>5</v>
      </c>
      <c r="AA786" t="n">
        <v>1696.78</v>
      </c>
      <c r="AB786">
        <f>ROUND(U786-AA786,2)</f>
        <v/>
      </c>
      <c r="AC786" t="b">
        <v>0</v>
      </c>
      <c r="AD786">
        <f>IF(U786="","MISSING_TOTAL",IF(ABS(AB786)&lt;=0.01,"OK","CHECK"))</f>
        <v/>
      </c>
      <c r="AE786">
        <f>IF(U786="","MISSING",IF(AND(AA786&gt;0,U786/AA786&gt;50),"POSSIBLE_SCALE_ERROR","OK"))</f>
        <v/>
      </c>
    </row>
    <row r="787">
      <c r="A787" t="inlineStr">
        <is>
          <t>T-2017-Q2-00005</t>
        </is>
      </c>
      <c r="B787" t="inlineStr">
        <is>
          <t>SLE</t>
        </is>
      </c>
      <c r="C787" t="inlineStr">
        <is>
          <t>Assistant Deputy Minister Science and Technology Branch</t>
        </is>
      </c>
      <c r="D787" t="inlineStr">
        <is>
          <t>Sous-ministre adjoint Direction générale des sciences et de la technologie</t>
        </is>
      </c>
      <c r="E787" t="inlineStr">
        <is>
          <t>Brian Gray</t>
        </is>
      </c>
      <c r="F787" t="inlineStr">
        <is>
          <t>Outreach visit Harrow Research and Development Center and  presentation at Soy Canada event</t>
        </is>
      </c>
      <c r="G787" t="inlineStr">
        <is>
          <t>Visite de sensibilisation au Centre de recherche et de développement de Harrow et présentation à l'évènement de Soy Canada</t>
        </is>
      </c>
      <c r="H787" s="1" t="n">
        <v>42905</v>
      </c>
      <c r="I787" s="1" t="n">
        <v>42907</v>
      </c>
      <c r="J787" t="inlineStr">
        <is>
          <t>Harrow, ON</t>
        </is>
      </c>
      <c r="K787" t="inlineStr">
        <is>
          <t>Harrow, ON</t>
        </is>
      </c>
      <c r="P787" t="n">
        <v>803.62</v>
      </c>
      <c r="Q787" t="n">
        <v>254.3</v>
      </c>
      <c r="R787" t="n">
        <v>240</v>
      </c>
      <c r="S787" t="n">
        <v>179.9</v>
      </c>
      <c r="U787" t="n">
        <v>1477.82</v>
      </c>
      <c r="V787" t="inlineStr">
        <is>
          <t>AJD928339</t>
        </is>
      </c>
      <c r="X787" t="inlineStr">
        <is>
          <t>aafc-aac</t>
        </is>
      </c>
      <c r="Y787" t="inlineStr">
        <is>
          <t>Agriculture and Agri-Food Canada | Agriculture et Agroalimentaire Canada</t>
        </is>
      </c>
      <c r="Z787" t="n">
        <v>3</v>
      </c>
      <c r="AA787" t="n">
        <v>1477.82</v>
      </c>
      <c r="AB787">
        <f>ROUND(U787-AA787,2)</f>
        <v/>
      </c>
      <c r="AC787" t="b">
        <v>0</v>
      </c>
      <c r="AD787">
        <f>IF(U787="","MISSING_TOTAL",IF(ABS(AB787)&lt;=0.01,"OK","CHECK"))</f>
        <v/>
      </c>
      <c r="AE787">
        <f>IF(U787="","MISSING",IF(AND(AA787&gt;0,U787/AA787&gt;50),"POSSIBLE_SCALE_ERROR","OK"))</f>
        <v/>
      </c>
    </row>
    <row r="788">
      <c r="A788" t="inlineStr">
        <is>
          <t>T-2017-Q2-00017</t>
        </is>
      </c>
      <c r="B788" t="inlineStr">
        <is>
          <t>SLE</t>
        </is>
      </c>
      <c r="C788" t="inlineStr">
        <is>
          <t>Assistant Deputy Minister Strategic Policy Branch</t>
        </is>
      </c>
      <c r="D788" t="inlineStr">
        <is>
          <t>Sous ministre adjoint des Politiques stratégiques</t>
        </is>
      </c>
      <c r="E788" t="inlineStr">
        <is>
          <t>Tom Rosser</t>
        </is>
      </c>
      <c r="F788" t="inlineStr">
        <is>
          <t>To attend a meeting of the Atlantic Growth Summit</t>
        </is>
      </c>
      <c r="G788" t="inlineStr">
        <is>
          <t>Pour assister à une réunion au Sommet de la croissance pour l'Atlantique</t>
        </is>
      </c>
      <c r="H788" s="1" t="n">
        <v>42914</v>
      </c>
      <c r="I788" s="1" t="n">
        <v>42916</v>
      </c>
      <c r="J788" t="inlineStr">
        <is>
          <t>Charlottetown, PEI</t>
        </is>
      </c>
      <c r="K788" t="inlineStr">
        <is>
          <t>Charlottetown, L’Î-P-É</t>
        </is>
      </c>
      <c r="P788" t="n">
        <v>1020.76</v>
      </c>
      <c r="Q788" t="n">
        <v>196.31</v>
      </c>
      <c r="R788" t="n">
        <v>329.3</v>
      </c>
      <c r="S788" t="n">
        <v>278.2</v>
      </c>
      <c r="U788" t="n">
        <v>1824.57</v>
      </c>
      <c r="V788" t="inlineStr">
        <is>
          <t>AJE680566</t>
        </is>
      </c>
      <c r="X788" t="inlineStr">
        <is>
          <t>aafc-aac</t>
        </is>
      </c>
      <c r="Y788" t="inlineStr">
        <is>
          <t>Agriculture and Agri-Food Canada | Agriculture et Agroalimentaire Canada</t>
        </is>
      </c>
      <c r="Z788" t="n">
        <v>3</v>
      </c>
      <c r="AA788" t="n">
        <v>1824.57</v>
      </c>
      <c r="AB788">
        <f>ROUND(U788-AA788,2)</f>
        <v/>
      </c>
      <c r="AC788" t="b">
        <v>0</v>
      </c>
      <c r="AD788">
        <f>IF(U788="","MISSING_TOTAL",IF(ABS(AB788)&lt;=0.01,"OK","CHECK"))</f>
        <v/>
      </c>
      <c r="AE788">
        <f>IF(U788="","MISSING",IF(AND(AA788&gt;0,U788/AA788&gt;50),"POSSIBLE_SCALE_ERROR","OK"))</f>
        <v/>
      </c>
    </row>
    <row r="789">
      <c r="A789" t="inlineStr">
        <is>
          <t>T-2017-Q2-00006</t>
        </is>
      </c>
      <c r="B789" t="inlineStr">
        <is>
          <t>SLE</t>
        </is>
      </c>
      <c r="C789" t="inlineStr">
        <is>
          <t>Assistant Deputy Minister Science and Technology Branch</t>
        </is>
      </c>
      <c r="D789" t="inlineStr">
        <is>
          <t>Sous-ministre adjoint Direction générale des sciences et de la technologie</t>
        </is>
      </c>
      <c r="E789" t="inlineStr">
        <is>
          <t>Brian Gray</t>
        </is>
      </c>
      <c r="F789" t="inlineStr">
        <is>
          <t>Outreach visit St-John's Research and Development Center</t>
        </is>
      </c>
      <c r="G789" t="inlineStr">
        <is>
          <t>Visite de sensibilisation au Centre de recherche et de développement de St-John's</t>
        </is>
      </c>
      <c r="H789" s="1" t="n">
        <v>42927</v>
      </c>
      <c r="I789" s="1" t="n">
        <v>42929</v>
      </c>
      <c r="J789" t="inlineStr">
        <is>
          <t>St-John's, NFLD</t>
        </is>
      </c>
      <c r="K789" t="inlineStr">
        <is>
          <t>St-John's, TN</t>
        </is>
      </c>
      <c r="P789" t="n">
        <v>716.26</v>
      </c>
      <c r="Q789" t="n">
        <v>194.37</v>
      </c>
      <c r="R789" t="n">
        <v>416.5</v>
      </c>
      <c r="S789" t="n">
        <v>232.25</v>
      </c>
      <c r="U789" t="n">
        <v>1559.38</v>
      </c>
      <c r="V789" t="inlineStr">
        <is>
          <t>AJD927948</t>
        </is>
      </c>
      <c r="X789" t="inlineStr">
        <is>
          <t>aafc-aac</t>
        </is>
      </c>
      <c r="Y789" t="inlineStr">
        <is>
          <t>Agriculture and Agri-Food Canada | Agriculture et Agroalimentaire Canada</t>
        </is>
      </c>
      <c r="Z789" t="n">
        <v>3</v>
      </c>
      <c r="AA789" t="n">
        <v>1559.38</v>
      </c>
      <c r="AB789">
        <f>ROUND(U789-AA789,2)</f>
        <v/>
      </c>
      <c r="AC789" t="b">
        <v>0</v>
      </c>
      <c r="AD789">
        <f>IF(U789="","MISSING_TOTAL",IF(ABS(AB789)&lt;=0.01,"OK","CHECK"))</f>
        <v/>
      </c>
      <c r="AE789">
        <f>IF(U789="","MISSING",IF(AND(AA789&gt;0,U789/AA789&gt;50),"POSSIBLE_SCALE_ERROR","OK"))</f>
        <v/>
      </c>
    </row>
    <row r="790">
      <c r="A790" t="inlineStr">
        <is>
          <t>T-2017-Q3-00018</t>
        </is>
      </c>
      <c r="B790" t="inlineStr">
        <is>
          <t>SLE</t>
        </is>
      </c>
      <c r="C790" t="inlineStr">
        <is>
          <t>Assistant Deputy Minister, Programs Branch</t>
        </is>
      </c>
      <c r="D790" t="inlineStr">
        <is>
          <t>Sous-ministre adjointe, Direction générale des programmes</t>
        </is>
      </c>
      <c r="E790" t="inlineStr">
        <is>
          <t>France Pégeot</t>
        </is>
      </c>
      <c r="F790" t="inlineStr">
        <is>
          <t>Montreal  Regional Meeting.</t>
        </is>
      </c>
      <c r="G790" t="inlineStr">
        <is>
          <t>Montréal réunion régionale.</t>
        </is>
      </c>
      <c r="H790" s="1" t="n">
        <v>43012</v>
      </c>
      <c r="I790" s="1" t="n">
        <v>43013</v>
      </c>
      <c r="J790" t="inlineStr">
        <is>
          <t>Montreal, Quebec</t>
        </is>
      </c>
      <c r="K790" t="inlineStr">
        <is>
          <t>Montréal, Québec</t>
        </is>
      </c>
      <c r="Q790" t="n">
        <v>303.17</v>
      </c>
      <c r="R790" t="n">
        <v>236.82</v>
      </c>
      <c r="S790" t="n">
        <v>167.3</v>
      </c>
      <c r="U790" t="n">
        <v>707.29</v>
      </c>
      <c r="X790" t="inlineStr">
        <is>
          <t>aafc-aac</t>
        </is>
      </c>
      <c r="Y790" t="inlineStr">
        <is>
          <t>Agriculture and Agri-Food Canada | Agriculture et Agroalimentaire Canada</t>
        </is>
      </c>
      <c r="Z790" t="n">
        <v>2</v>
      </c>
      <c r="AA790" t="n">
        <v>707.29</v>
      </c>
      <c r="AB790">
        <f>ROUND(U790-AA790,2)</f>
        <v/>
      </c>
      <c r="AC790" t="b">
        <v>0</v>
      </c>
      <c r="AD790">
        <f>IF(U790="","MISSING_TOTAL",IF(ABS(AB790)&lt;=0.01,"OK","CHECK"))</f>
        <v/>
      </c>
      <c r="AE790">
        <f>IF(U790="","MISSING",IF(AND(AA790&gt;0,U790/AA790&gt;50),"POSSIBLE_SCALE_ERROR","OK"))</f>
        <v/>
      </c>
    </row>
    <row r="791">
      <c r="A791" t="inlineStr">
        <is>
          <t>T-2017-Q2-00007</t>
        </is>
      </c>
      <c r="B791" t="inlineStr">
        <is>
          <t>SLE</t>
        </is>
      </c>
      <c r="C791" t="inlineStr">
        <is>
          <t>Assistant Deputy Minister Science and Technology Branch</t>
        </is>
      </c>
      <c r="D791" t="inlineStr">
        <is>
          <t>Sous-ministre adjoint Direction générale des sciences et de la technologie</t>
        </is>
      </c>
      <c r="E791" t="inlineStr">
        <is>
          <t>Brian Gray</t>
        </is>
      </c>
      <c r="F791" t="inlineStr">
        <is>
          <t>Outreach visit Lacombe Research and Development Center</t>
        </is>
      </c>
      <c r="G791" t="inlineStr">
        <is>
          <t>Visite de sensibilisation au Centre de receherche de Lacombe</t>
        </is>
      </c>
      <c r="H791" s="1" t="n">
        <v>42956</v>
      </c>
      <c r="I791" s="1" t="n">
        <v>42958</v>
      </c>
      <c r="J791" t="inlineStr">
        <is>
          <t>Lacombe, BC</t>
        </is>
      </c>
      <c r="K791" t="inlineStr">
        <is>
          <t>Lacombe, CB</t>
        </is>
      </c>
      <c r="P791" t="n">
        <v>959.85</v>
      </c>
      <c r="Q791" t="n">
        <v>197.81</v>
      </c>
      <c r="R791" t="n">
        <v>316.08</v>
      </c>
      <c r="S791" t="n">
        <v>179.9</v>
      </c>
      <c r="U791" t="n">
        <v>1653.64</v>
      </c>
      <c r="V791" t="inlineStr">
        <is>
          <t>AJD972596</t>
        </is>
      </c>
      <c r="X791" t="inlineStr">
        <is>
          <t>aafc-aac</t>
        </is>
      </c>
      <c r="Y791" t="inlineStr">
        <is>
          <t>Agriculture and Agri-Food Canada | Agriculture et Agroalimentaire Canada</t>
        </is>
      </c>
      <c r="Z791" t="n">
        <v>3</v>
      </c>
      <c r="AA791" t="n">
        <v>1653.64</v>
      </c>
      <c r="AB791">
        <f>ROUND(U791-AA791,2)</f>
        <v/>
      </c>
      <c r="AC791" t="b">
        <v>0</v>
      </c>
      <c r="AD791">
        <f>IF(U791="","MISSING_TOTAL",IF(ABS(AB791)&lt;=0.01,"OK","CHECK"))</f>
        <v/>
      </c>
      <c r="AE791">
        <f>IF(U791="","MISSING",IF(AND(AA791&gt;0,U791/AA791&gt;50),"POSSIBLE_SCALE_ERROR","OK"))</f>
        <v/>
      </c>
    </row>
    <row r="792">
      <c r="A792" t="inlineStr">
        <is>
          <t>T-2017-Q2-00008</t>
        </is>
      </c>
      <c r="B792" t="inlineStr">
        <is>
          <t>SLE</t>
        </is>
      </c>
      <c r="C792" t="inlineStr">
        <is>
          <t>Assistant Deputy Minister Science and Technology Branch</t>
        </is>
      </c>
      <c r="D792" t="inlineStr">
        <is>
          <t>Sous-ministre adjoint Direction générale des sciences et de la technologie</t>
        </is>
      </c>
      <c r="E792" t="inlineStr">
        <is>
          <t>Brian Gray</t>
        </is>
      </c>
      <c r="F792" t="inlineStr">
        <is>
          <t>Canadian Beef Industry Conference</t>
        </is>
      </c>
      <c r="G792" t="inlineStr">
        <is>
          <t>Conférence de l'insdutrie de boeuf canadien</t>
        </is>
      </c>
      <c r="H792" s="1" t="n">
        <v>42961</v>
      </c>
      <c r="I792" s="1" t="n">
        <v>42964</v>
      </c>
      <c r="J792" t="inlineStr">
        <is>
          <t>Calgary, AB</t>
        </is>
      </c>
      <c r="K792" t="inlineStr">
        <is>
          <t>Calgary, AB</t>
        </is>
      </c>
      <c r="T792" t="n">
        <v>131.25</v>
      </c>
      <c r="U792" t="n">
        <v>131.25</v>
      </c>
      <c r="V792" t="inlineStr">
        <is>
          <t>AJD956647</t>
        </is>
      </c>
      <c r="X792" t="inlineStr">
        <is>
          <t>aafc-aac</t>
        </is>
      </c>
      <c r="Y792" t="inlineStr">
        <is>
          <t>Agriculture and Agri-Food Canada | Agriculture et Agroalimentaire Canada</t>
        </is>
      </c>
      <c r="Z792" t="n">
        <v>4</v>
      </c>
      <c r="AA792" t="n">
        <v>131.25</v>
      </c>
      <c r="AB792">
        <f>ROUND(U792-AA792,2)</f>
        <v/>
      </c>
      <c r="AC792" t="b">
        <v>0</v>
      </c>
      <c r="AD792">
        <f>IF(U792="","MISSING_TOTAL",IF(ABS(AB792)&lt;=0.01,"OK","CHECK"))</f>
        <v/>
      </c>
      <c r="AE792">
        <f>IF(U792="","MISSING",IF(AND(AA792&gt;0,U792/AA792&gt;50),"POSSIBLE_SCALE_ERROR","OK"))</f>
        <v/>
      </c>
    </row>
    <row r="793">
      <c r="A793" t="inlineStr">
        <is>
          <t>T-2017-Q2-00009</t>
        </is>
      </c>
      <c r="B793" t="inlineStr">
        <is>
          <t>SLE</t>
        </is>
      </c>
      <c r="C793" t="inlineStr">
        <is>
          <t>Assistant Deputy Minister Science and Technology Branch</t>
        </is>
      </c>
      <c r="D793" t="inlineStr">
        <is>
          <t>Sous-ministre adjoint Direction générale des sciences et de la technologie</t>
        </is>
      </c>
      <c r="E793" t="inlineStr">
        <is>
          <t>Brian Gray</t>
        </is>
      </c>
      <c r="F793" t="inlineStr">
        <is>
          <t>Summit on Canadian Soil Health 2017</t>
        </is>
      </c>
      <c r="G793" t="inlineStr">
        <is>
          <t>Sommet sur la santé de sol canadien 2017</t>
        </is>
      </c>
      <c r="H793" s="1" t="n">
        <v>42969</v>
      </c>
      <c r="I793" s="1" t="n">
        <v>42971</v>
      </c>
      <c r="J793" t="inlineStr">
        <is>
          <t>Guelph, ON</t>
        </is>
      </c>
      <c r="K793" t="inlineStr">
        <is>
          <t>Guelph, ON</t>
        </is>
      </c>
      <c r="P793" t="n">
        <v>418.16</v>
      </c>
      <c r="Q793" t="n">
        <v>183.45</v>
      </c>
      <c r="R793" t="n">
        <v>314.14</v>
      </c>
      <c r="S793" t="n">
        <v>133.05</v>
      </c>
      <c r="U793" t="n">
        <v>1048.8</v>
      </c>
      <c r="V793" t="inlineStr">
        <is>
          <t>AJD938546</t>
        </is>
      </c>
      <c r="X793" t="inlineStr">
        <is>
          <t>aafc-aac</t>
        </is>
      </c>
      <c r="Y793" t="inlineStr">
        <is>
          <t>Agriculture and Agri-Food Canada | Agriculture et Agroalimentaire Canada</t>
        </is>
      </c>
      <c r="Z793" t="n">
        <v>3</v>
      </c>
      <c r="AA793" t="n">
        <v>1048.8</v>
      </c>
      <c r="AB793">
        <f>ROUND(U793-AA793,2)</f>
        <v/>
      </c>
      <c r="AC793" t="b">
        <v>0</v>
      </c>
      <c r="AD793">
        <f>IF(U793="","MISSING_TOTAL",IF(ABS(AB793)&lt;=0.01,"OK","CHECK"))</f>
        <v/>
      </c>
      <c r="AE793">
        <f>IF(U793="","MISSING",IF(AND(AA793&gt;0,U793/AA793&gt;50),"POSSIBLE_SCALE_ERROR","OK"))</f>
        <v/>
      </c>
    </row>
    <row r="794">
      <c r="A794" t="inlineStr">
        <is>
          <t>T-2017-Q2-00042</t>
        </is>
      </c>
      <c r="B794" t="inlineStr">
        <is>
          <t>MPSES</t>
        </is>
      </c>
      <c r="C794" t="inlineStr">
        <is>
          <t>Deputy Minister</t>
        </is>
      </c>
      <c r="D794" t="inlineStr">
        <is>
          <t>Sous-ministre</t>
        </is>
      </c>
      <c r="E794" t="inlineStr">
        <is>
          <t>Chris Forbes</t>
        </is>
      </c>
      <c r="F794" t="inlineStr">
        <is>
          <t>Federal Provincial and Territorial Annual Agricultural Minister's meeting</t>
        </is>
      </c>
      <c r="G794" t="inlineStr">
        <is>
          <t>Réunion annuelle des ministres fédérale, provinciale et territoriale de l'Agriculture.</t>
        </is>
      </c>
      <c r="H794" s="1" t="n">
        <v>42934</v>
      </c>
      <c r="I794" s="1" t="n">
        <v>42937</v>
      </c>
      <c r="J794" t="inlineStr">
        <is>
          <t>St-John's, NL</t>
        </is>
      </c>
      <c r="K794" t="inlineStr">
        <is>
          <t>St-John's, TN</t>
        </is>
      </c>
      <c r="P794" t="n">
        <v>1282.18</v>
      </c>
      <c r="Q794" t="n">
        <v>35.25</v>
      </c>
      <c r="R794" t="n">
        <v>900.83</v>
      </c>
      <c r="S794" t="n">
        <v>127.1</v>
      </c>
      <c r="T794" t="n">
        <v>350</v>
      </c>
      <c r="U794" t="n">
        <v>2695.36</v>
      </c>
      <c r="X794" t="inlineStr">
        <is>
          <t>aafc-aac</t>
        </is>
      </c>
      <c r="Y794" t="inlineStr">
        <is>
          <t>Agriculture and Agri-Food Canada | Agriculture et Agroalimentaire Canada</t>
        </is>
      </c>
      <c r="Z794" t="n">
        <v>4</v>
      </c>
      <c r="AA794" t="n">
        <v>2695.36</v>
      </c>
      <c r="AB794">
        <f>ROUND(U794-AA794,2)</f>
        <v/>
      </c>
      <c r="AC794" t="b">
        <v>0</v>
      </c>
      <c r="AD794">
        <f>IF(U794="","MISSING_TOTAL",IF(ABS(AB794)&lt;=0.01,"OK","CHECK"))</f>
        <v/>
      </c>
      <c r="AE794">
        <f>IF(U794="","MISSING",IF(AND(AA794&gt;0,U794/AA794&gt;50),"POSSIBLE_SCALE_ERROR","OK"))</f>
        <v/>
      </c>
    </row>
    <row r="795">
      <c r="A795" t="inlineStr">
        <is>
          <t>T-2017-Q2-00010</t>
        </is>
      </c>
      <c r="B795" t="inlineStr">
        <is>
          <t>SLE</t>
        </is>
      </c>
      <c r="C795" t="inlineStr">
        <is>
          <t>Associate Assistant Deputy Minister Science and Technology Branch</t>
        </is>
      </c>
      <c r="D795" t="inlineStr">
        <is>
          <t>Sous-ministre adjoint délégué Sciences et technologie</t>
        </is>
      </c>
      <c r="E795" t="inlineStr">
        <is>
          <t>Gilles Saindon</t>
        </is>
      </c>
      <c r="F795" t="inlineStr">
        <is>
          <t>Outreach at the Research and Development Center. All Staff meeting and meetings with industry.</t>
        </is>
      </c>
      <c r="G795" t="inlineStr">
        <is>
          <t>Visite de sensibilisation au Centre de recherche et développement.  Réunions avec tous le personnel et réunions avec l'industrie.</t>
        </is>
      </c>
      <c r="H795" s="1" t="n">
        <v>42886</v>
      </c>
      <c r="I795" s="1" t="n">
        <v>42888</v>
      </c>
      <c r="J795" t="inlineStr">
        <is>
          <t>St John's, NL</t>
        </is>
      </c>
      <c r="K795" t="inlineStr">
        <is>
          <t>St John, TN</t>
        </is>
      </c>
      <c r="P795" t="n">
        <v>779.5</v>
      </c>
      <c r="Q795" t="n">
        <v>69</v>
      </c>
      <c r="R795" t="n">
        <v>416.5</v>
      </c>
      <c r="S795" t="n">
        <v>249.4</v>
      </c>
      <c r="U795" t="n">
        <v>1514.4</v>
      </c>
      <c r="V795" t="inlineStr">
        <is>
          <t>AJD9921203</t>
        </is>
      </c>
      <c r="X795" t="inlineStr">
        <is>
          <t>aafc-aac</t>
        </is>
      </c>
      <c r="Y795" t="inlineStr">
        <is>
          <t>Agriculture and Agri-Food Canada | Agriculture et Agroalimentaire Canada</t>
        </is>
      </c>
      <c r="Z795" t="n">
        <v>3</v>
      </c>
      <c r="AA795" t="n">
        <v>1514.4</v>
      </c>
      <c r="AB795">
        <f>ROUND(U795-AA795,2)</f>
        <v/>
      </c>
      <c r="AC795" t="b">
        <v>0</v>
      </c>
      <c r="AD795">
        <f>IF(U795="","MISSING_TOTAL",IF(ABS(AB795)&lt;=0.01,"OK","CHECK"))</f>
        <v/>
      </c>
      <c r="AE795">
        <f>IF(U795="","MISSING",IF(AND(AA795&gt;0,U795/AA795&gt;50),"POSSIBLE_SCALE_ERROR","OK"))</f>
        <v/>
      </c>
    </row>
    <row r="796">
      <c r="A796" t="inlineStr">
        <is>
          <t>T-2017-Q2-00011</t>
        </is>
      </c>
      <c r="B796" t="inlineStr">
        <is>
          <t>SLE</t>
        </is>
      </c>
      <c r="C796" t="inlineStr">
        <is>
          <t>Associate Assistant Deputy Minister Science and Technology Branch</t>
        </is>
      </c>
      <c r="D796" t="inlineStr">
        <is>
          <t>Sous-ministre adjoint délégué Sciences et technologie</t>
        </is>
      </c>
      <c r="E796" t="inlineStr">
        <is>
          <t>Gilles Saindon</t>
        </is>
      </c>
      <c r="F796" t="inlineStr">
        <is>
          <t>Branch Executive Committee meeting and all staff meeting.</t>
        </is>
      </c>
      <c r="G796" t="inlineStr">
        <is>
          <t>Réunion du Comité exécutif de la direction générale et rencontre de tout le personnel.</t>
        </is>
      </c>
      <c r="H796" s="1" t="n">
        <v>42898</v>
      </c>
      <c r="I796" s="1" t="n">
        <v>42900</v>
      </c>
      <c r="J796" t="inlineStr">
        <is>
          <t>Guelph, ON</t>
        </is>
      </c>
      <c r="K796" t="inlineStr">
        <is>
          <t>Guelph, ON</t>
        </is>
      </c>
      <c r="P796" t="n">
        <v>429.68</v>
      </c>
      <c r="Q796" t="n">
        <v>81.05</v>
      </c>
      <c r="R796" t="n">
        <v>361.6</v>
      </c>
      <c r="S796" t="n">
        <v>207.8</v>
      </c>
      <c r="U796" t="n">
        <v>1080.13</v>
      </c>
      <c r="V796" t="inlineStr">
        <is>
          <t>AJD996153</t>
        </is>
      </c>
      <c r="X796" t="inlineStr">
        <is>
          <t>aafc-aac</t>
        </is>
      </c>
      <c r="Y796" t="inlineStr">
        <is>
          <t>Agriculture and Agri-Food Canada | Agriculture et Agroalimentaire Canada</t>
        </is>
      </c>
      <c r="Z796" t="n">
        <v>3</v>
      </c>
      <c r="AA796" t="n">
        <v>1080.13</v>
      </c>
      <c r="AB796">
        <f>ROUND(U796-AA796,2)</f>
        <v/>
      </c>
      <c r="AC796" t="b">
        <v>0</v>
      </c>
      <c r="AD796">
        <f>IF(U796="","MISSING_TOTAL",IF(ABS(AB796)&lt;=0.01,"OK","CHECK"))</f>
        <v/>
      </c>
      <c r="AE796">
        <f>IF(U796="","MISSING",IF(AND(AA796&gt;0,U796/AA796&gt;50),"POSSIBLE_SCALE_ERROR","OK"))</f>
        <v/>
      </c>
    </row>
    <row r="797">
      <c r="A797" t="inlineStr">
        <is>
          <t>T-2017-Q2-00012</t>
        </is>
      </c>
      <c r="B797" t="inlineStr">
        <is>
          <t>SLE</t>
        </is>
      </c>
      <c r="C797" t="inlineStr">
        <is>
          <t>Associate Assistant Deputy Minister Science and Technology Branch</t>
        </is>
      </c>
      <c r="D797" t="inlineStr">
        <is>
          <t>Sous-ministre adjoint délégué Sciences et technologie</t>
        </is>
      </c>
      <c r="E797" t="inlineStr">
        <is>
          <t>Gilles Saindon</t>
        </is>
      </c>
      <c r="F797" t="inlineStr">
        <is>
          <t>Meeting with Genome Quebec. Outreach at the Research and Development Center. All Staff meeting and meetings with industry.</t>
        </is>
      </c>
      <c r="G797" t="inlineStr">
        <is>
          <t>Rencontre avec Génome Québec. Visite de sensibilisation au Centre de recherche et développement. Réunions avec tous le personnel et réunions avec l'industrie.</t>
        </is>
      </c>
      <c r="H797" s="1" t="n">
        <v>42941</v>
      </c>
      <c r="I797" s="1" t="n">
        <v>42944</v>
      </c>
      <c r="J797" t="inlineStr">
        <is>
          <t>Montreal, St-Jean-sur-Richelieu St-Hyacinthe, QC</t>
        </is>
      </c>
      <c r="K797" t="inlineStr">
        <is>
          <t>Montreal, St-Jean-sur-Richelieu St-Hyacinthe, QC</t>
        </is>
      </c>
      <c r="P797" t="n">
        <v>0</v>
      </c>
      <c r="Q797" t="n">
        <v>132.19</v>
      </c>
      <c r="R797" t="n">
        <v>266.56</v>
      </c>
      <c r="S797" t="n">
        <v>225.85</v>
      </c>
      <c r="U797" t="n">
        <v>624.6</v>
      </c>
      <c r="V797" t="inlineStr">
        <is>
          <t>AJD966680</t>
        </is>
      </c>
      <c r="X797" t="inlineStr">
        <is>
          <t>aafc-aac</t>
        </is>
      </c>
      <c r="Y797" t="inlineStr">
        <is>
          <t>Agriculture and Agri-Food Canada | Agriculture et Agroalimentaire Canada</t>
        </is>
      </c>
      <c r="Z797" t="n">
        <v>4</v>
      </c>
      <c r="AA797" t="n">
        <v>624.6</v>
      </c>
      <c r="AB797">
        <f>ROUND(U797-AA797,2)</f>
        <v/>
      </c>
      <c r="AC797" t="b">
        <v>0</v>
      </c>
      <c r="AD797">
        <f>IF(U797="","MISSING_TOTAL",IF(ABS(AB797)&lt;=0.01,"OK","CHECK"))</f>
        <v/>
      </c>
      <c r="AE797">
        <f>IF(U797="","MISSING",IF(AND(AA797&gt;0,U797/AA797&gt;50),"POSSIBLE_SCALE_ERROR","OK"))</f>
        <v/>
      </c>
    </row>
    <row r="798">
      <c r="A798" t="inlineStr">
        <is>
          <t>T-2017-Q2-00013</t>
        </is>
      </c>
      <c r="B798" t="inlineStr">
        <is>
          <t>SLE</t>
        </is>
      </c>
      <c r="C798" t="inlineStr">
        <is>
          <t>Associate Assistant Deputy Minister Science and Technology Branch</t>
        </is>
      </c>
      <c r="D798" t="inlineStr">
        <is>
          <t>Sous-ministre adjoint délégué Sciences et technologie</t>
        </is>
      </c>
      <c r="E798" t="inlineStr">
        <is>
          <t>Gilles Saindon</t>
        </is>
      </c>
      <c r="F798" t="inlineStr">
        <is>
          <t>Outreach at the Research and Development Center, All Staff meeting and meetings with industry</t>
        </is>
      </c>
      <c r="G798" t="inlineStr">
        <is>
          <t>Visite de sensibilisation au Centre de recherche et développement, réunions avec tous le personnel et réunions avec l'industrie</t>
        </is>
      </c>
      <c r="H798" s="1" t="n">
        <v>42949</v>
      </c>
      <c r="I798" s="1" t="n">
        <v>42951</v>
      </c>
      <c r="J798" t="inlineStr">
        <is>
          <t>Charlottetown, PEI</t>
        </is>
      </c>
      <c r="K798" t="inlineStr">
        <is>
          <t>Charlottetown, L’Î-P-É</t>
        </is>
      </c>
      <c r="P798" t="n">
        <v>674.34</v>
      </c>
      <c r="Q798" t="n">
        <v>169.2</v>
      </c>
      <c r="R798" t="n">
        <v>424.06</v>
      </c>
      <c r="S798" t="n">
        <v>243.9</v>
      </c>
      <c r="U798" t="n">
        <v>1511.5</v>
      </c>
      <c r="V798" t="inlineStr">
        <is>
          <t>AJD959719</t>
        </is>
      </c>
      <c r="X798" t="inlineStr">
        <is>
          <t>aafc-aac</t>
        </is>
      </c>
      <c r="Y798" t="inlineStr">
        <is>
          <t>Agriculture and Agri-Food Canada | Agriculture et Agroalimentaire Canada</t>
        </is>
      </c>
      <c r="Z798" t="n">
        <v>3</v>
      </c>
      <c r="AA798" t="n">
        <v>1511.5</v>
      </c>
      <c r="AB798">
        <f>ROUND(U798-AA798,2)</f>
        <v/>
      </c>
      <c r="AC798" t="b">
        <v>0</v>
      </c>
      <c r="AD798">
        <f>IF(U798="","MISSING_TOTAL",IF(ABS(AB798)&lt;=0.01,"OK","CHECK"))</f>
        <v/>
      </c>
      <c r="AE798">
        <f>IF(U798="","MISSING",IF(AND(AA798&gt;0,U798/AA798&gt;50),"POSSIBLE_SCALE_ERROR","OK"))</f>
        <v/>
      </c>
    </row>
    <row r="799">
      <c r="A799" t="inlineStr">
        <is>
          <t>T-2017-Q2-00014</t>
        </is>
      </c>
      <c r="B799" t="inlineStr">
        <is>
          <t>SLE</t>
        </is>
      </c>
      <c r="C799" t="inlineStr">
        <is>
          <t>Associate Assistant Deputy Minister</t>
        </is>
      </c>
      <c r="D799" t="inlineStr">
        <is>
          <t>Sous-ministre adjoint délégué</t>
        </is>
      </c>
      <c r="E799" t="inlineStr">
        <is>
          <t>Gilles Saindon</t>
        </is>
      </c>
      <c r="F799" t="inlineStr">
        <is>
          <t>Outreach at the Research and Development Center. All Staff meeting and meetings with industry.</t>
        </is>
      </c>
      <c r="G799" t="inlineStr">
        <is>
          <t>Visite de sensibilisation au Centre de recherche et développement. Réunions avec tous le personnel et réunions avec l'industrie.</t>
        </is>
      </c>
      <c r="H799" s="1" t="n">
        <v>42969</v>
      </c>
      <c r="I799" s="1" t="n">
        <v>42971</v>
      </c>
      <c r="J799" t="inlineStr">
        <is>
          <t>Fredericton, NB</t>
        </is>
      </c>
      <c r="K799" t="inlineStr">
        <is>
          <t>Fredericton, NB</t>
        </is>
      </c>
      <c r="P799" t="n">
        <v>615.45</v>
      </c>
      <c r="Q799" t="n">
        <v>183</v>
      </c>
      <c r="R799" t="n">
        <v>365.7</v>
      </c>
      <c r="S799" t="n">
        <v>260.15</v>
      </c>
      <c r="U799" t="n">
        <v>1424.3</v>
      </c>
      <c r="V799" t="inlineStr">
        <is>
          <t>AJD980516</t>
        </is>
      </c>
      <c r="X799" t="inlineStr">
        <is>
          <t>aafc-aac</t>
        </is>
      </c>
      <c r="Y799" t="inlineStr">
        <is>
          <t>Agriculture and Agri-Food Canada | Agriculture et Agroalimentaire Canada</t>
        </is>
      </c>
      <c r="Z799" t="n">
        <v>3</v>
      </c>
      <c r="AA799" t="n">
        <v>1424.3</v>
      </c>
      <c r="AB799">
        <f>ROUND(U799-AA799,2)</f>
        <v/>
      </c>
      <c r="AC799" t="b">
        <v>0</v>
      </c>
      <c r="AD799">
        <f>IF(U799="","MISSING_TOTAL",IF(ABS(AB799)&lt;=0.01,"OK","CHECK"))</f>
        <v/>
      </c>
      <c r="AE799">
        <f>IF(U799="","MISSING",IF(AND(AA799&gt;0,U799/AA799&gt;50),"POSSIBLE_SCALE_ERROR","OK"))</f>
        <v/>
      </c>
    </row>
    <row r="800">
      <c r="A800" t="inlineStr">
        <is>
          <t>T-2017-Q2-00016</t>
        </is>
      </c>
      <c r="B800" t="inlineStr">
        <is>
          <t>SLE</t>
        </is>
      </c>
      <c r="C800" t="inlineStr">
        <is>
          <t>Assistant Deputy Minister Strategic Policy Branch</t>
        </is>
      </c>
      <c r="D800" t="inlineStr">
        <is>
          <t>Sous ministre adjoint des Politiques stratégiques</t>
        </is>
      </c>
      <c r="E800" t="inlineStr">
        <is>
          <t>Tom Rosser</t>
        </is>
      </c>
      <c r="F800" t="inlineStr">
        <is>
          <t>To attend a meeting of the Crop Logistics Working Group</t>
        </is>
      </c>
      <c r="G800" t="inlineStr">
        <is>
          <t>Pour assister à une réunion du groupe de travail sur la logistique du transport des récoltes.</t>
        </is>
      </c>
      <c r="H800" s="1" t="n">
        <v>42904</v>
      </c>
      <c r="I800" s="1" t="n">
        <v>42906</v>
      </c>
      <c r="J800" t="inlineStr">
        <is>
          <t>Winnipeg, MB</t>
        </is>
      </c>
      <c r="K800" t="inlineStr">
        <is>
          <t>Winnipeg, MB</t>
        </is>
      </c>
      <c r="P800" t="n">
        <v>930.98</v>
      </c>
      <c r="Q800" t="n">
        <v>80</v>
      </c>
      <c r="R800" t="n">
        <v>328.74</v>
      </c>
      <c r="S800" t="n">
        <v>260.15</v>
      </c>
      <c r="U800" t="n">
        <v>1599.87</v>
      </c>
      <c r="V800" t="inlineStr">
        <is>
          <t>AJE643423</t>
        </is>
      </c>
      <c r="X800" t="inlineStr">
        <is>
          <t>aafc-aac</t>
        </is>
      </c>
      <c r="Y800" t="inlineStr">
        <is>
          <t>Agriculture and Agri-Food Canada | Agriculture et Agroalimentaire Canada</t>
        </is>
      </c>
      <c r="Z800" t="n">
        <v>3</v>
      </c>
      <c r="AA800" t="n">
        <v>1599.87</v>
      </c>
      <c r="AB800">
        <f>ROUND(U800-AA800,2)</f>
        <v/>
      </c>
      <c r="AC800" t="b">
        <v>0</v>
      </c>
      <c r="AD800">
        <f>IF(U800="","MISSING_TOTAL",IF(ABS(AB800)&lt;=0.01,"OK","CHECK"))</f>
        <v/>
      </c>
      <c r="AE800">
        <f>IF(U800="","MISSING",IF(AND(AA800&gt;0,U800/AA800&gt;50),"POSSIBLE_SCALE_ERROR","OK"))</f>
        <v/>
      </c>
    </row>
    <row r="801">
      <c r="A801" t="inlineStr">
        <is>
          <t>T-2017-Q2-00018</t>
        </is>
      </c>
      <c r="B801" t="inlineStr">
        <is>
          <t>SLE</t>
        </is>
      </c>
      <c r="C801" t="inlineStr">
        <is>
          <t>Assistant Deputy Minister Strategic Policy Branch</t>
        </is>
      </c>
      <c r="D801" t="inlineStr">
        <is>
          <t>Sous ministre adjoint des Politiques stratégiques</t>
        </is>
      </c>
      <c r="E801" t="inlineStr">
        <is>
          <t>Tom Rosser</t>
        </is>
      </c>
      <c r="F801" t="inlineStr">
        <is>
          <t>To attend meetings on Trade and Transportation Infrastructure.</t>
        </is>
      </c>
      <c r="G801" t="inlineStr">
        <is>
          <t>Pour assister aux réunions sur le commerce et l'infrastructure de transport.</t>
        </is>
      </c>
      <c r="H801" s="1" t="n">
        <v>42920</v>
      </c>
      <c r="I801" s="1" t="n">
        <v>42924</v>
      </c>
      <c r="J801" t="inlineStr">
        <is>
          <t>Vancouver, BC</t>
        </is>
      </c>
      <c r="K801" t="inlineStr">
        <is>
          <t>Vancouver, CB</t>
        </is>
      </c>
      <c r="P801" t="n">
        <v>1206.38</v>
      </c>
      <c r="Q801" t="n">
        <v>107</v>
      </c>
      <c r="R801" t="n">
        <v>701.46</v>
      </c>
      <c r="S801" t="n">
        <v>375.9</v>
      </c>
      <c r="U801" t="n">
        <v>2390.74</v>
      </c>
      <c r="V801" t="inlineStr">
        <is>
          <t>AJE630257</t>
        </is>
      </c>
      <c r="X801" t="inlineStr">
        <is>
          <t>aafc-aac</t>
        </is>
      </c>
      <c r="Y801" t="inlineStr">
        <is>
          <t>Agriculture and Agri-Food Canada | Agriculture et Agroalimentaire Canada</t>
        </is>
      </c>
      <c r="Z801" t="n">
        <v>5</v>
      </c>
      <c r="AA801" t="n">
        <v>2390.74</v>
      </c>
      <c r="AB801">
        <f>ROUND(U801-AA801,2)</f>
        <v/>
      </c>
      <c r="AC801" t="b">
        <v>0</v>
      </c>
      <c r="AD801">
        <f>IF(U801="","MISSING_TOTAL",IF(ABS(AB801)&lt;=0.01,"OK","CHECK"))</f>
        <v/>
      </c>
      <c r="AE801">
        <f>IF(U801="","MISSING",IF(AND(AA801&gt;0,U801/AA801&gt;50),"POSSIBLE_SCALE_ERROR","OK"))</f>
        <v/>
      </c>
    </row>
    <row r="802">
      <c r="A802" t="inlineStr">
        <is>
          <t>T-2017-Q2-00019</t>
        </is>
      </c>
      <c r="B802" t="inlineStr">
        <is>
          <t>SLE</t>
        </is>
      </c>
      <c r="C802" t="inlineStr">
        <is>
          <t>Assistant Deputy Minister Strategic Policy Branch</t>
        </is>
      </c>
      <c r="D802" t="inlineStr">
        <is>
          <t>Sous ministre adjoint des Politiques stratégiques</t>
        </is>
      </c>
      <c r="E802" t="inlineStr">
        <is>
          <t>Tom Rosser</t>
        </is>
      </c>
      <c r="F802" t="inlineStr">
        <is>
          <t>To attend the Annual Conference of Federal, Provincial and Territorial Ministers and Deputy Ministers of Agriculture.</t>
        </is>
      </c>
      <c r="G802" t="inlineStr">
        <is>
          <t>Pour assister à la Conférence annuelle des ministres et sous-ministres fédéraux, provinciaux et territoriaux de l’Agriculture.</t>
        </is>
      </c>
      <c r="H802" s="1" t="n">
        <v>42934</v>
      </c>
      <c r="I802" s="1" t="n">
        <v>42937</v>
      </c>
      <c r="J802" t="inlineStr">
        <is>
          <t>St. John's, NFLD</t>
        </is>
      </c>
      <c r="K802" t="inlineStr">
        <is>
          <t>St. Jean, TN</t>
        </is>
      </c>
      <c r="P802" t="n">
        <v>2039.22</v>
      </c>
      <c r="R802" t="n">
        <v>888.9299999999999</v>
      </c>
      <c r="S802" t="n">
        <v>249.4</v>
      </c>
      <c r="T802" t="n">
        <v>350</v>
      </c>
      <c r="U802" t="n">
        <v>3527.55</v>
      </c>
      <c r="V802" t="inlineStr">
        <is>
          <t>AJE636082</t>
        </is>
      </c>
      <c r="X802" t="inlineStr">
        <is>
          <t>aafc-aac</t>
        </is>
      </c>
      <c r="Y802" t="inlineStr">
        <is>
          <t>Agriculture and Agri-Food Canada | Agriculture et Agroalimentaire Canada</t>
        </is>
      </c>
      <c r="Z802" t="n">
        <v>4</v>
      </c>
      <c r="AA802" t="n">
        <v>3527.55</v>
      </c>
      <c r="AB802">
        <f>ROUND(U802-AA802,2)</f>
        <v/>
      </c>
      <c r="AC802" t="b">
        <v>0</v>
      </c>
      <c r="AD802">
        <f>IF(U802="","MISSING_TOTAL",IF(ABS(AB802)&lt;=0.01,"OK","CHECK"))</f>
        <v/>
      </c>
      <c r="AE802">
        <f>IF(U802="","MISSING",IF(AND(AA802&gt;0,U802/AA802&gt;50),"POSSIBLE_SCALE_ERROR","OK"))</f>
        <v/>
      </c>
    </row>
    <row r="803">
      <c r="A803" t="inlineStr">
        <is>
          <t>T-2017-Q2-00020</t>
        </is>
      </c>
      <c r="B803" t="inlineStr">
        <is>
          <t>SLE</t>
        </is>
      </c>
      <c r="C803" t="inlineStr">
        <is>
          <t>Assistant Deputy Minister Strategic Policy Branch</t>
        </is>
      </c>
      <c r="D803" t="inlineStr">
        <is>
          <t>Sous ministre adjoint des Politiques stratégiques</t>
        </is>
      </c>
      <c r="E803" t="inlineStr">
        <is>
          <t>Tom Rosser</t>
        </is>
      </c>
      <c r="F803" t="inlineStr">
        <is>
          <t>To attend the Bio World Congress on Industrial Biotechnology.</t>
        </is>
      </c>
      <c r="G803" t="inlineStr">
        <is>
          <t>Pour assister à le Congrès mondial BIO sur la biotechnologie industrielle.</t>
        </is>
      </c>
      <c r="H803" s="1" t="n">
        <v>42939</v>
      </c>
      <c r="I803" s="1" t="n">
        <v>42941</v>
      </c>
      <c r="J803" t="inlineStr">
        <is>
          <t>Montréal, Québec</t>
        </is>
      </c>
      <c r="K803" t="inlineStr">
        <is>
          <t>Montréal, Québec</t>
        </is>
      </c>
      <c r="Q803" t="n">
        <v>275.38</v>
      </c>
      <c r="R803" t="n">
        <v>545.02</v>
      </c>
      <c r="S803" t="n">
        <v>168.25</v>
      </c>
      <c r="T803" t="n">
        <v>1065</v>
      </c>
      <c r="U803" t="n">
        <v>2053.65</v>
      </c>
      <c r="V803" t="inlineStr">
        <is>
          <t>AJE671630</t>
        </is>
      </c>
      <c r="X803" t="inlineStr">
        <is>
          <t>aafc-aac</t>
        </is>
      </c>
      <c r="Y803" t="inlineStr">
        <is>
          <t>Agriculture and Agri-Food Canada | Agriculture et Agroalimentaire Canada</t>
        </is>
      </c>
      <c r="Z803" t="n">
        <v>3</v>
      </c>
      <c r="AA803" t="n">
        <v>2053.65</v>
      </c>
      <c r="AB803">
        <f>ROUND(U803-AA803,2)</f>
        <v/>
      </c>
      <c r="AC803" t="b">
        <v>0</v>
      </c>
      <c r="AD803">
        <f>IF(U803="","MISSING_TOTAL",IF(ABS(AB803)&lt;=0.01,"OK","CHECK"))</f>
        <v/>
      </c>
      <c r="AE803">
        <f>IF(U803="","MISSING",IF(AND(AA803&gt;0,U803/AA803&gt;50),"POSSIBLE_SCALE_ERROR","OK"))</f>
        <v/>
      </c>
    </row>
    <row r="804">
      <c r="A804" t="inlineStr">
        <is>
          <t>T-2017-Q2-00021</t>
        </is>
      </c>
      <c r="B804" t="inlineStr">
        <is>
          <t>SLE</t>
        </is>
      </c>
      <c r="C804" t="inlineStr">
        <is>
          <t>Asistant Deputy Minister Market and and Industry Services branch</t>
        </is>
      </c>
      <c r="D804" t="inlineStr">
        <is>
          <t>Sous-minstre adjoint Services à l'industrie et aux marchés</t>
        </is>
      </c>
      <c r="E804" t="inlineStr">
        <is>
          <t>Fred Gorrell</t>
        </is>
      </c>
      <c r="F804" t="inlineStr">
        <is>
          <t>To accompany the Minister to Kazakhstan</t>
        </is>
      </c>
      <c r="G804" t="inlineStr">
        <is>
          <t>Pour accompagner le ministre de Kazakhstan</t>
        </is>
      </c>
      <c r="H804" s="1" t="n">
        <v>42905</v>
      </c>
      <c r="I804" s="1" t="n">
        <v>42912</v>
      </c>
      <c r="J804" t="inlineStr">
        <is>
          <t>Astana, Kazakhstan</t>
        </is>
      </c>
      <c r="K804" t="inlineStr">
        <is>
          <t>Astana, Kazakhstan</t>
        </is>
      </c>
      <c r="P804" t="n">
        <v>9557.34</v>
      </c>
      <c r="Q804" t="n">
        <v>235.52</v>
      </c>
      <c r="R804" t="n">
        <v>1451.99</v>
      </c>
      <c r="S804" t="n">
        <v>467.23</v>
      </c>
      <c r="U804" t="n">
        <v>11712.08</v>
      </c>
      <c r="V804" t="inlineStr">
        <is>
          <t>AJE550210</t>
        </is>
      </c>
      <c r="X804" t="inlineStr">
        <is>
          <t>aafc-aac</t>
        </is>
      </c>
      <c r="Y804" t="inlineStr">
        <is>
          <t>Agriculture and Agri-Food Canada | Agriculture et Agroalimentaire Canada</t>
        </is>
      </c>
      <c r="Z804" t="n">
        <v>8</v>
      </c>
      <c r="AA804" t="n">
        <v>11712.08</v>
      </c>
      <c r="AB804">
        <f>ROUND(U804-AA804,2)</f>
        <v/>
      </c>
      <c r="AC804" t="b">
        <v>0</v>
      </c>
      <c r="AD804">
        <f>IF(U804="","MISSING_TOTAL",IF(ABS(AB804)&lt;=0.01,"OK","CHECK"))</f>
        <v/>
      </c>
      <c r="AE804">
        <f>IF(U804="","MISSING",IF(AND(AA804&gt;0,U804/AA804&gt;50),"POSSIBLE_SCALE_ERROR","OK"))</f>
        <v/>
      </c>
    </row>
    <row r="805">
      <c r="A805" t="inlineStr">
        <is>
          <t>T-2017-Q2-00022</t>
        </is>
      </c>
      <c r="B805" t="inlineStr">
        <is>
          <t>SLE</t>
        </is>
      </c>
      <c r="C805" t="inlineStr">
        <is>
          <t>Asistant Deputy Minister Market and and Industry Services branch</t>
        </is>
      </c>
      <c r="D805" t="inlineStr">
        <is>
          <t>Sous-minstre adjoint Services à l'industrie et aux marchés</t>
        </is>
      </c>
      <c r="E805" t="inlineStr">
        <is>
          <t>Fred Gorrell</t>
        </is>
      </c>
      <c r="F805" t="inlineStr">
        <is>
          <t>To attend the Maritime Beef Summit</t>
        </is>
      </c>
      <c r="G805" t="inlineStr">
        <is>
          <t>Pour assister au sommet de boeuf des maritimes</t>
        </is>
      </c>
      <c r="H805" s="1" t="n">
        <v>42926</v>
      </c>
      <c r="I805" s="1" t="n">
        <v>42928</v>
      </c>
      <c r="J805" t="inlineStr">
        <is>
          <t>Moncton, NB</t>
        </is>
      </c>
      <c r="K805" t="inlineStr">
        <is>
          <t>Moncton, NB</t>
        </is>
      </c>
      <c r="P805" t="n">
        <v>631</v>
      </c>
      <c r="Q805" t="n">
        <v>85.40000000000001</v>
      </c>
      <c r="R805" t="n">
        <v>549.6799999999999</v>
      </c>
      <c r="S805" t="n">
        <v>150.2</v>
      </c>
      <c r="U805" t="n">
        <v>1416.28</v>
      </c>
      <c r="V805" t="inlineStr">
        <is>
          <t>AJE503864</t>
        </is>
      </c>
      <c r="X805" t="inlineStr">
        <is>
          <t>aafc-aac</t>
        </is>
      </c>
      <c r="Y805" t="inlineStr">
        <is>
          <t>Agriculture and Agri-Food Canada | Agriculture et Agroalimentaire Canada</t>
        </is>
      </c>
      <c r="Z805" t="n">
        <v>3</v>
      </c>
      <c r="AA805" t="n">
        <v>1416.28</v>
      </c>
      <c r="AB805">
        <f>ROUND(U805-AA805,2)</f>
        <v/>
      </c>
      <c r="AC805" t="b">
        <v>0</v>
      </c>
      <c r="AD805">
        <f>IF(U805="","MISSING_TOTAL",IF(ABS(AB805)&lt;=0.01,"OK","CHECK"))</f>
        <v/>
      </c>
      <c r="AE805">
        <f>IF(U805="","MISSING",IF(AND(AA805&gt;0,U805/AA805&gt;50),"POSSIBLE_SCALE_ERROR","OK"))</f>
        <v/>
      </c>
    </row>
    <row r="806">
      <c r="A806" t="inlineStr">
        <is>
          <t>T-2017-Q2-00023</t>
        </is>
      </c>
      <c r="B806" t="inlineStr">
        <is>
          <t>SLE</t>
        </is>
      </c>
      <c r="C806" t="inlineStr">
        <is>
          <t>Asistant Deputy Minister Market and and Industry Services branch</t>
        </is>
      </c>
      <c r="D806" t="inlineStr">
        <is>
          <t>Sous-minstre adjoint Services à l'industrie et aux marchés</t>
        </is>
      </c>
      <c r="E806" t="inlineStr">
        <is>
          <t>Fred Gorrell</t>
        </is>
      </c>
      <c r="F806" t="inlineStr">
        <is>
          <t>To attend the Federal Provincial Trade Meetings</t>
        </is>
      </c>
      <c r="G806" t="inlineStr">
        <is>
          <t>Participer à une rencontre de commerce du fédérale, provinciale et territoriale</t>
        </is>
      </c>
      <c r="H806" s="1" t="n">
        <v>42934</v>
      </c>
      <c r="I806" s="1" t="n">
        <v>42942</v>
      </c>
      <c r="J806" t="inlineStr">
        <is>
          <t>St John's, NFLD</t>
        </is>
      </c>
      <c r="K806" t="inlineStr">
        <is>
          <t>St John's TN</t>
        </is>
      </c>
      <c r="P806" t="n">
        <v>736.13</v>
      </c>
      <c r="Q806" t="n">
        <v>73.64</v>
      </c>
      <c r="R806" t="n">
        <v>888.9299999999999</v>
      </c>
      <c r="S806" t="n">
        <v>243.15</v>
      </c>
      <c r="T806" t="n">
        <v>350</v>
      </c>
      <c r="U806" t="n">
        <v>2291.85</v>
      </c>
      <c r="V806" t="inlineStr">
        <is>
          <t>AJE586166</t>
        </is>
      </c>
      <c r="X806" t="inlineStr">
        <is>
          <t>aafc-aac</t>
        </is>
      </c>
      <c r="Y806" t="inlineStr">
        <is>
          <t>Agriculture and Agri-Food Canada | Agriculture et Agroalimentaire Canada</t>
        </is>
      </c>
      <c r="Z806" t="n">
        <v>9</v>
      </c>
      <c r="AA806" t="n">
        <v>2291.85</v>
      </c>
      <c r="AB806">
        <f>ROUND(U806-AA806,2)</f>
        <v/>
      </c>
      <c r="AC806" t="b">
        <v>0</v>
      </c>
      <c r="AD806">
        <f>IF(U806="","MISSING_TOTAL",IF(ABS(AB806)&lt;=0.01,"OK","CHECK"))</f>
        <v/>
      </c>
      <c r="AE806">
        <f>IF(U806="","MISSING",IF(AND(AA806&gt;0,U806/AA806&gt;50),"POSSIBLE_SCALE_ERROR","OK"))</f>
        <v/>
      </c>
    </row>
    <row r="807">
      <c r="A807" t="inlineStr">
        <is>
          <t>T-2017-Q2-00024</t>
        </is>
      </c>
      <c r="B807" t="inlineStr">
        <is>
          <t>SLE</t>
        </is>
      </c>
      <c r="C807" t="inlineStr">
        <is>
          <t>Asistant Deputy Minister Market and and Industry Services branch</t>
        </is>
      </c>
      <c r="D807" t="inlineStr">
        <is>
          <t>Sous-minstre adjoint Services à l'industrie et aux marchés</t>
        </is>
      </c>
      <c r="E807" t="inlineStr">
        <is>
          <t>Fred Gorrell</t>
        </is>
      </c>
      <c r="F807" t="inlineStr">
        <is>
          <t>To accompany the Parliamentary Secretary to Iowa Agriculture Summit</t>
        </is>
      </c>
      <c r="G807" t="inlineStr">
        <is>
          <t>Pour accompagner le secrétaire parlementaire au sommet agricole de Iowa</t>
        </is>
      </c>
      <c r="H807" s="1" t="n">
        <v>42951</v>
      </c>
      <c r="I807" s="1" t="n">
        <v>42952</v>
      </c>
      <c r="J807" t="inlineStr">
        <is>
          <t>Des Moines, IO</t>
        </is>
      </c>
      <c r="K807" t="inlineStr">
        <is>
          <t>Des Moines, IO</t>
        </is>
      </c>
      <c r="P807" t="n">
        <v>1006.74</v>
      </c>
      <c r="Q807" t="n">
        <v>97.36</v>
      </c>
      <c r="R807" t="n">
        <v>265.88</v>
      </c>
      <c r="S807" t="n">
        <v>155.25</v>
      </c>
      <c r="T807" t="n">
        <v>3.79</v>
      </c>
      <c r="U807" t="n">
        <v>1529.02</v>
      </c>
      <c r="V807" t="inlineStr">
        <is>
          <t>AJE548612</t>
        </is>
      </c>
      <c r="X807" t="inlineStr">
        <is>
          <t>aafc-aac</t>
        </is>
      </c>
      <c r="Y807" t="inlineStr">
        <is>
          <t>Agriculture and Agri-Food Canada | Agriculture et Agroalimentaire Canada</t>
        </is>
      </c>
      <c r="Z807" t="n">
        <v>2</v>
      </c>
      <c r="AA807" t="n">
        <v>1529.02</v>
      </c>
      <c r="AB807">
        <f>ROUND(U807-AA807,2)</f>
        <v/>
      </c>
      <c r="AC807" t="b">
        <v>0</v>
      </c>
      <c r="AD807">
        <f>IF(U807="","MISSING_TOTAL",IF(ABS(AB807)&lt;=0.01,"OK","CHECK"))</f>
        <v/>
      </c>
      <c r="AE807">
        <f>IF(U807="","MISSING",IF(AND(AA807&gt;0,U807/AA807&gt;50),"POSSIBLE_SCALE_ERROR","OK"))</f>
        <v/>
      </c>
    </row>
    <row r="808">
      <c r="A808" t="inlineStr">
        <is>
          <t>T-2017-Q2-00025</t>
        </is>
      </c>
      <c r="B808" t="inlineStr">
        <is>
          <t>SLE</t>
        </is>
      </c>
      <c r="C808" t="inlineStr">
        <is>
          <t>Chief Agriculture Negotiator</t>
        </is>
      </c>
      <c r="D808" t="inlineStr">
        <is>
          <t>Négociateur en chef agricole</t>
        </is>
      </c>
      <c r="E808" t="inlineStr">
        <is>
          <t>Frédéric Seppey</t>
        </is>
      </c>
      <c r="F808" t="inlineStr">
        <is>
          <t>Continuous executive training, Leadership Decision Making course (Kennedy School of Government, Cambridge, MA).</t>
        </is>
      </c>
      <c r="G808" t="inlineStr">
        <is>
          <t>Formation continue des cadres - Cours sur la prise de décision exécutive (Kennedy School of Government, Cambridge, MA).</t>
        </is>
      </c>
      <c r="H808" s="1" t="n">
        <v>42904</v>
      </c>
      <c r="I808" s="1" t="n">
        <v>42909</v>
      </c>
      <c r="J808" t="inlineStr">
        <is>
          <t>Boston, MA</t>
        </is>
      </c>
      <c r="K808" t="inlineStr">
        <is>
          <t>Boston, MA</t>
        </is>
      </c>
      <c r="P808" t="n">
        <v>552.59</v>
      </c>
      <c r="Q808" t="n">
        <v>234.46</v>
      </c>
      <c r="S808" t="n">
        <v>313.6</v>
      </c>
      <c r="U808" t="n">
        <v>1100.65</v>
      </c>
      <c r="V808" t="inlineStr">
        <is>
          <t>AJE538086</t>
        </is>
      </c>
      <c r="X808" t="inlineStr">
        <is>
          <t>aafc-aac</t>
        </is>
      </c>
      <c r="Y808" t="inlineStr">
        <is>
          <t>Agriculture and Agri-Food Canada | Agriculture et Agroalimentaire Canada</t>
        </is>
      </c>
      <c r="Z808" t="n">
        <v>6</v>
      </c>
      <c r="AA808" t="n">
        <v>1100.65</v>
      </c>
      <c r="AB808">
        <f>ROUND(U808-AA808,2)</f>
        <v/>
      </c>
      <c r="AC808" t="b">
        <v>0</v>
      </c>
      <c r="AD808">
        <f>IF(U808="","MISSING_TOTAL",IF(ABS(AB808)&lt;=0.01,"OK","CHECK"))</f>
        <v/>
      </c>
      <c r="AE808">
        <f>IF(U808="","MISSING",IF(AND(AA808&gt;0,U808/AA808&gt;50),"POSSIBLE_SCALE_ERROR","OK"))</f>
        <v/>
      </c>
    </row>
    <row r="809">
      <c r="A809" t="inlineStr">
        <is>
          <t>T-2017-Q2-00026</t>
        </is>
      </c>
      <c r="B809" t="inlineStr">
        <is>
          <t>SLE</t>
        </is>
      </c>
      <c r="C809" t="inlineStr">
        <is>
          <t>Chief Agriculture Negotiator</t>
        </is>
      </c>
      <c r="D809" t="inlineStr">
        <is>
          <t>Négociateur en chef agricole</t>
        </is>
      </c>
      <c r="E809" t="inlineStr">
        <is>
          <t>Frédéric Seppey</t>
        </is>
      </c>
      <c r="F809" t="inlineStr">
        <is>
          <t>Annual Federal, Provinicial and Territorial meeting of Ministers responsible for Agriculture.</t>
        </is>
      </c>
      <c r="G809" t="inlineStr">
        <is>
          <t>Rencontre annuelle fédérale, provinciale, territoriale des ministres responsables de l'agriculture.</t>
        </is>
      </c>
      <c r="H809" s="1" t="n">
        <v>42935</v>
      </c>
      <c r="I809" s="1" t="n">
        <v>42937</v>
      </c>
      <c r="J809" t="inlineStr">
        <is>
          <t>St. John's NL</t>
        </is>
      </c>
      <c r="K809" t="inlineStr">
        <is>
          <t>St. John's,TN</t>
        </is>
      </c>
      <c r="P809" t="n">
        <v>1482.89</v>
      </c>
      <c r="Q809" t="n">
        <v>26</v>
      </c>
      <c r="R809" t="n">
        <v>888.9299999999999</v>
      </c>
      <c r="S809" t="n">
        <v>133.05</v>
      </c>
      <c r="T809" t="n">
        <v>350</v>
      </c>
      <c r="U809" t="n">
        <v>2880.87</v>
      </c>
      <c r="V809" t="inlineStr">
        <is>
          <t>AJE598722</t>
        </is>
      </c>
      <c r="X809" t="inlineStr">
        <is>
          <t>aafc-aac</t>
        </is>
      </c>
      <c r="Y809" t="inlineStr">
        <is>
          <t>Agriculture and Agri-Food Canada | Agriculture et Agroalimentaire Canada</t>
        </is>
      </c>
      <c r="Z809" t="n">
        <v>3</v>
      </c>
      <c r="AA809" t="n">
        <v>2880.87</v>
      </c>
      <c r="AB809">
        <f>ROUND(U809-AA809,2)</f>
        <v/>
      </c>
      <c r="AC809" t="b">
        <v>0</v>
      </c>
      <c r="AD809">
        <f>IF(U809="","MISSING_TOTAL",IF(ABS(AB809)&lt;=0.01,"OK","CHECK"))</f>
        <v/>
      </c>
      <c r="AE809">
        <f>IF(U809="","MISSING",IF(AND(AA809&gt;0,U809/AA809&gt;50),"POSSIBLE_SCALE_ERROR","OK"))</f>
        <v/>
      </c>
    </row>
    <row r="810">
      <c r="A810" t="inlineStr">
        <is>
          <t>T-2017-Q2-00027</t>
        </is>
      </c>
      <c r="B810" t="inlineStr">
        <is>
          <t>SLE</t>
        </is>
      </c>
      <c r="C810" t="inlineStr">
        <is>
          <t>Chief Agriculture Negotiator</t>
        </is>
      </c>
      <c r="D810" t="inlineStr">
        <is>
          <t>Négociateur en chef agricole</t>
        </is>
      </c>
      <c r="E810" t="inlineStr">
        <is>
          <t>Frédéric Seppey</t>
        </is>
      </c>
      <c r="F810" t="inlineStr">
        <is>
          <t>Speaking engagement, Dairy Farmers of Canada Annual General Meeting.</t>
        </is>
      </c>
      <c r="G810" t="inlineStr">
        <is>
          <t>Conférencier invité, Assemblée annuelle des Producteurs de lait du Canada.</t>
        </is>
      </c>
      <c r="H810" s="1" t="n">
        <v>42933</v>
      </c>
      <c r="I810" s="1" t="n">
        <v>42934</v>
      </c>
      <c r="J810" t="inlineStr">
        <is>
          <t>Edmonton, AB</t>
        </is>
      </c>
      <c r="K810" t="inlineStr">
        <is>
          <t>Edmonton, AB</t>
        </is>
      </c>
      <c r="P810" t="n">
        <v>946.34</v>
      </c>
      <c r="Q810" t="n">
        <v>179.26</v>
      </c>
      <c r="R810" t="n">
        <v>125.35</v>
      </c>
      <c r="S810" t="n">
        <v>161.7</v>
      </c>
      <c r="T810" t="n">
        <v>13.6</v>
      </c>
      <c r="U810" t="n">
        <v>1426.25</v>
      </c>
      <c r="V810" t="inlineStr">
        <is>
          <t>AJE533317</t>
        </is>
      </c>
      <c r="X810" t="inlineStr">
        <is>
          <t>aafc-aac</t>
        </is>
      </c>
      <c r="Y810" t="inlineStr">
        <is>
          <t>Agriculture and Agri-Food Canada | Agriculture et Agroalimentaire Canada</t>
        </is>
      </c>
      <c r="Z810" t="n">
        <v>2</v>
      </c>
      <c r="AA810" t="n">
        <v>1426.24999999999</v>
      </c>
      <c r="AB810">
        <f>ROUND(U810-AA810,2)</f>
        <v/>
      </c>
      <c r="AC810" t="b">
        <v>0</v>
      </c>
      <c r="AD810">
        <f>IF(U810="","MISSING_TOTAL",IF(ABS(AB810)&lt;=0.01,"OK","CHECK"))</f>
        <v/>
      </c>
      <c r="AE810">
        <f>IF(U810="","MISSING",IF(AND(AA810&gt;0,U810/AA810&gt;50),"POSSIBLE_SCALE_ERROR","OK"))</f>
        <v/>
      </c>
    </row>
    <row r="811">
      <c r="A811" t="inlineStr">
        <is>
          <t>T-2017-Q2-00028</t>
        </is>
      </c>
      <c r="B811" t="inlineStr">
        <is>
          <t>SLE</t>
        </is>
      </c>
      <c r="C811" t="inlineStr">
        <is>
          <t>Chief Agriculture Negotiator</t>
        </is>
      </c>
      <c r="D811" t="inlineStr">
        <is>
          <t>Négociateur en chef agricole</t>
        </is>
      </c>
      <c r="E811" t="inlineStr">
        <is>
          <t>Frédéric Seppey</t>
        </is>
      </c>
      <c r="F811" t="inlineStr">
        <is>
          <t>Support to Minister of Agriculture and Agri-Food at the Pacific NorthWest Economic Region 27th Annual Summit.</t>
        </is>
      </c>
      <c r="G811" t="inlineStr">
        <is>
          <t>Appui au Ministre de l'Agriculture et de l'agroalimentaire - 27ième sommet annuel du Pacifique du nord ouest de la region économique.</t>
        </is>
      </c>
      <c r="H811" s="1" t="n">
        <v>42939</v>
      </c>
      <c r="I811" s="1" t="n">
        <v>42941</v>
      </c>
      <c r="J811" t="inlineStr">
        <is>
          <t>Portland, OR</t>
        </is>
      </c>
      <c r="K811" t="inlineStr">
        <is>
          <t>Portland, OR</t>
        </is>
      </c>
      <c r="P811" t="n">
        <v>1662.88</v>
      </c>
      <c r="Q811" t="n">
        <v>242.61</v>
      </c>
      <c r="R811" t="n">
        <v>574.1799999999999</v>
      </c>
      <c r="S811" t="n">
        <v>276.44</v>
      </c>
      <c r="U811" t="n">
        <v>2756.11</v>
      </c>
      <c r="V811" t="inlineStr">
        <is>
          <t>AJE598919</t>
        </is>
      </c>
      <c r="X811" t="inlineStr">
        <is>
          <t>aafc-aac</t>
        </is>
      </c>
      <c r="Y811" t="inlineStr">
        <is>
          <t>Agriculture and Agri-Food Canada | Agriculture et Agroalimentaire Canada</t>
        </is>
      </c>
      <c r="Z811" t="n">
        <v>3</v>
      </c>
      <c r="AA811" t="n">
        <v>2756.11</v>
      </c>
      <c r="AB811">
        <f>ROUND(U811-AA811,2)</f>
        <v/>
      </c>
      <c r="AC811" t="b">
        <v>0</v>
      </c>
      <c r="AD811">
        <f>IF(U811="","MISSING_TOTAL",IF(ABS(AB811)&lt;=0.01,"OK","CHECK"))</f>
        <v/>
      </c>
      <c r="AE811">
        <f>IF(U811="","MISSING",IF(AND(AA811&gt;0,U811/AA811&gt;50),"POSSIBLE_SCALE_ERROR","OK"))</f>
        <v/>
      </c>
    </row>
    <row r="812">
      <c r="A812" t="inlineStr">
        <is>
          <t>T-2017-Q2-00029</t>
        </is>
      </c>
      <c r="B812" t="inlineStr">
        <is>
          <t>SLE</t>
        </is>
      </c>
      <c r="C812" t="inlineStr">
        <is>
          <t>Chief Agriculture Negotiator</t>
        </is>
      </c>
      <c r="D812" t="inlineStr">
        <is>
          <t>Négociateur en chef agricole</t>
        </is>
      </c>
      <c r="E812" t="inlineStr">
        <is>
          <t>Frédéric Seppey</t>
        </is>
      </c>
      <c r="F812" t="inlineStr">
        <is>
          <t>Head of the Delegation to the 40th conference of the United Nations Food and Agriculture Organization.</t>
        </is>
      </c>
      <c r="G812" t="inlineStr">
        <is>
          <t>Chef de la délégation canadienne à la 40e conférence de l'Organisation des Nations-Unies pour l'alimentation et l'agriculture.</t>
        </is>
      </c>
      <c r="H812" s="1" t="n">
        <v>42898</v>
      </c>
      <c r="I812" s="1" t="n">
        <v>42902</v>
      </c>
      <c r="J812" t="inlineStr">
        <is>
          <t>Rome, IT</t>
        </is>
      </c>
      <c r="K812" t="inlineStr">
        <is>
          <t>Rome, IT</t>
        </is>
      </c>
      <c r="P812" t="n">
        <v>2046.2</v>
      </c>
      <c r="Q812" t="n">
        <v>167.08</v>
      </c>
      <c r="R812" t="n">
        <v>1074.16</v>
      </c>
      <c r="S812" t="n">
        <v>536.5599999999999</v>
      </c>
      <c r="U812" t="n">
        <v>3824</v>
      </c>
      <c r="V812" t="inlineStr">
        <is>
          <t>AJE537085</t>
        </is>
      </c>
      <c r="X812" t="inlineStr">
        <is>
          <t>aafc-aac</t>
        </is>
      </c>
      <c r="Y812" t="inlineStr">
        <is>
          <t>Agriculture and Agri-Food Canada | Agriculture et Agroalimentaire Canada</t>
        </is>
      </c>
      <c r="Z812" t="n">
        <v>5</v>
      </c>
      <c r="AA812" t="n">
        <v>3824</v>
      </c>
      <c r="AB812">
        <f>ROUND(U812-AA812,2)</f>
        <v/>
      </c>
      <c r="AC812" t="b">
        <v>0</v>
      </c>
      <c r="AD812">
        <f>IF(U812="","MISSING_TOTAL",IF(ABS(AB812)&lt;=0.01,"OK","CHECK"))</f>
        <v/>
      </c>
      <c r="AE812">
        <f>IF(U812="","MISSING",IF(AND(AA812&gt;0,U812/AA812&gt;50),"POSSIBLE_SCALE_ERROR","OK"))</f>
        <v/>
      </c>
    </row>
    <row r="813">
      <c r="A813" t="inlineStr">
        <is>
          <t>T-2017-Q2-00030</t>
        </is>
      </c>
      <c r="B813" t="inlineStr">
        <is>
          <t>SLE</t>
        </is>
      </c>
      <c r="C813" t="inlineStr">
        <is>
          <t>Chief Agriculture Negotiator</t>
        </is>
      </c>
      <c r="D813" t="inlineStr">
        <is>
          <t>Négociateur en chef agricole</t>
        </is>
      </c>
      <c r="E813" t="inlineStr">
        <is>
          <t>Frédéric Seppey</t>
        </is>
      </c>
      <c r="F813" t="inlineStr">
        <is>
          <t>Chairing of the 5th Global Low-Level Presence Initiative.</t>
        </is>
      </c>
      <c r="G813" t="inlineStr">
        <is>
          <t>Présidene de la 5ieme rencontre de l'initiative globale sur la présence en faible valeur.</t>
        </is>
      </c>
      <c r="H813" s="1" t="n">
        <v>42918</v>
      </c>
      <c r="I813" s="1" t="n">
        <v>42922</v>
      </c>
      <c r="J813" t="inlineStr">
        <is>
          <t>Rome, IT</t>
        </is>
      </c>
      <c r="K813" t="inlineStr">
        <is>
          <t>Rome, IT</t>
        </is>
      </c>
      <c r="P813" t="n">
        <v>2949.99</v>
      </c>
      <c r="Q813" t="n">
        <v>254.55</v>
      </c>
      <c r="R813" t="n">
        <v>734.67</v>
      </c>
      <c r="S813" t="n">
        <v>660</v>
      </c>
      <c r="U813" t="n">
        <v>4599.21</v>
      </c>
      <c r="V813" t="inlineStr">
        <is>
          <t>AJE559383</t>
        </is>
      </c>
      <c r="X813" t="inlineStr">
        <is>
          <t>aafc-aac</t>
        </is>
      </c>
      <c r="Y813" t="inlineStr">
        <is>
          <t>Agriculture and Agri-Food Canada | Agriculture et Agroalimentaire Canada</t>
        </is>
      </c>
      <c r="Z813" t="n">
        <v>5</v>
      </c>
      <c r="AA813" t="n">
        <v>4599.21</v>
      </c>
      <c r="AB813">
        <f>ROUND(U813-AA813,2)</f>
        <v/>
      </c>
      <c r="AC813" t="b">
        <v>0</v>
      </c>
      <c r="AD813">
        <f>IF(U813="","MISSING_TOTAL",IF(ABS(AB813)&lt;=0.01,"OK","CHECK"))</f>
        <v/>
      </c>
      <c r="AE813">
        <f>IF(U813="","MISSING",IF(AND(AA813&gt;0,U813/AA813&gt;50),"POSSIBLE_SCALE_ERROR","OK"))</f>
        <v/>
      </c>
    </row>
    <row r="814">
      <c r="A814" t="inlineStr">
        <is>
          <t>T-2017-Q2-00031</t>
        </is>
      </c>
      <c r="B814" t="inlineStr">
        <is>
          <t>SLE</t>
        </is>
      </c>
      <c r="C814" t="inlineStr">
        <is>
          <t>Assistant Deputy Minister Public Affairs Branch</t>
        </is>
      </c>
      <c r="D814" t="inlineStr">
        <is>
          <t>Sous-ministre adjointe Direction générale des affaires publiques</t>
        </is>
      </c>
      <c r="E814" t="inlineStr">
        <is>
          <t>Jane Taylor</t>
        </is>
      </c>
      <c r="F814" t="inlineStr">
        <is>
          <t>Attend Annual Conference of  Federal, provincialand territorial Ministers and Deputy Minister's of Agricultrure and Agri-Food Canada.</t>
        </is>
      </c>
      <c r="G814" t="inlineStr">
        <is>
          <t>Participer à la Conférence annuelle fédérale, provinciale et territoriale des ministres et sous-ministres d'Agriculture et Agroalimentaire Canada.</t>
        </is>
      </c>
      <c r="H814" s="1" t="n">
        <v>42934</v>
      </c>
      <c r="I814" s="1" t="n">
        <v>42937</v>
      </c>
      <c r="J814" t="inlineStr">
        <is>
          <t>St.John's, NL</t>
        </is>
      </c>
      <c r="K814" t="inlineStr">
        <is>
          <t>St. John's, TN</t>
        </is>
      </c>
      <c r="P814" t="n">
        <v>847.34</v>
      </c>
      <c r="Q814" t="n">
        <v>37.1</v>
      </c>
      <c r="R814" t="n">
        <v>888.9299999999999</v>
      </c>
      <c r="S814" t="n">
        <v>214.35</v>
      </c>
      <c r="T814" t="n">
        <v>350</v>
      </c>
      <c r="U814" t="n">
        <v>2337.72</v>
      </c>
      <c r="V814" t="inlineStr">
        <is>
          <t>Flights to Halifax, NS included
AJC199981</t>
        </is>
      </c>
      <c r="W814" t="inlineStr">
        <is>
          <t>Incluant les vols pour</t>
        </is>
      </c>
      <c r="X814" t="inlineStr">
        <is>
          <t>aafc-aac</t>
        </is>
      </c>
      <c r="Y814" t="inlineStr">
        <is>
          <t>Agriculture and Agri-Food Canada | Agriculture et Agroalimentaire Canada</t>
        </is>
      </c>
      <c r="Z814" t="n">
        <v>4</v>
      </c>
      <c r="AA814" t="n">
        <v>2337.72</v>
      </c>
      <c r="AB814">
        <f>ROUND(U814-AA814,2)</f>
        <v/>
      </c>
      <c r="AC814" t="b">
        <v>0</v>
      </c>
      <c r="AD814">
        <f>IF(U814="","MISSING_TOTAL",IF(ABS(AB814)&lt;=0.01,"OK","CHECK"))</f>
        <v/>
      </c>
      <c r="AE814">
        <f>IF(U814="","MISSING",IF(AND(AA814&gt;0,U814/AA814&gt;50),"POSSIBLE_SCALE_ERROR","OK"))</f>
        <v/>
      </c>
    </row>
    <row r="815">
      <c r="A815" t="inlineStr">
        <is>
          <t>T-2017-Q2-00032</t>
        </is>
      </c>
      <c r="B815" t="inlineStr">
        <is>
          <t>SLE</t>
        </is>
      </c>
      <c r="C815" t="inlineStr">
        <is>
          <t>Assistant Deputy Minister Public Affairs Branch</t>
        </is>
      </c>
      <c r="D815" t="inlineStr">
        <is>
          <t>Sous-ministre adjointe Direction générale des affaires publiques</t>
        </is>
      </c>
      <c r="E815" t="inlineStr">
        <is>
          <t>Jane Taylor</t>
        </is>
      </c>
      <c r="F815" t="inlineStr">
        <is>
          <t>Regional Outreach</t>
        </is>
      </c>
      <c r="G815" t="inlineStr">
        <is>
          <t>Visite de sensibilisation</t>
        </is>
      </c>
      <c r="H815" s="1" t="n">
        <v>42939</v>
      </c>
      <c r="I815" s="1" t="n">
        <v>42940</v>
      </c>
      <c r="J815" t="inlineStr">
        <is>
          <t>Halifax, NS</t>
        </is>
      </c>
      <c r="K815" t="inlineStr">
        <is>
          <t>Halifax, N-É</t>
        </is>
      </c>
      <c r="P815" t="n">
        <v>647.5</v>
      </c>
      <c r="Q815" t="n">
        <v>93.48</v>
      </c>
      <c r="R815" t="n">
        <v>112.12</v>
      </c>
      <c r="S815" t="n">
        <v>161.7</v>
      </c>
      <c r="U815" t="n">
        <v>1014.8</v>
      </c>
      <c r="V815" t="inlineStr">
        <is>
          <t>Flights claimed on  previous trip (St.Johns)
ACJ101008</t>
        </is>
      </c>
      <c r="W815" t="inlineStr">
        <is>
          <t>Vols réclamés sous voyage précédent St.Johns, TN</t>
        </is>
      </c>
      <c r="X815" t="inlineStr">
        <is>
          <t>aafc-aac</t>
        </is>
      </c>
      <c r="Y815" t="inlineStr">
        <is>
          <t>Agriculture and Agri-Food Canada | Agriculture et Agroalimentaire Canada</t>
        </is>
      </c>
      <c r="Z815" t="n">
        <v>2</v>
      </c>
      <c r="AA815" t="n">
        <v>1014.8</v>
      </c>
      <c r="AB815">
        <f>ROUND(U815-AA815,2)</f>
        <v/>
      </c>
      <c r="AC815" t="b">
        <v>0</v>
      </c>
      <c r="AD815">
        <f>IF(U815="","MISSING_TOTAL",IF(ABS(AB815)&lt;=0.01,"OK","CHECK"))</f>
        <v/>
      </c>
      <c r="AE815">
        <f>IF(U815="","MISSING",IF(AND(AA815&gt;0,U815/AA815&gt;50),"POSSIBLE_SCALE_ERROR","OK"))</f>
        <v/>
      </c>
    </row>
    <row r="816">
      <c r="A816" t="inlineStr">
        <is>
          <t>T-2017-Q2-00034</t>
        </is>
      </c>
      <c r="B816" t="inlineStr">
        <is>
          <t>SLE</t>
        </is>
      </c>
      <c r="C816" t="inlineStr">
        <is>
          <t>Assistant Deputy Minister Programs Branch</t>
        </is>
      </c>
      <c r="D816" t="inlineStr">
        <is>
          <t>Sous-ministre adjointe de la Direction générale des programmes</t>
        </is>
      </c>
      <c r="E816" t="inlineStr">
        <is>
          <t>France Pégeot</t>
        </is>
      </c>
      <c r="F816" t="inlineStr">
        <is>
          <t>Meeting with Quebec provincial government</t>
        </is>
      </c>
      <c r="G816" t="inlineStr">
        <is>
          <t>Réunion avec le gouvernement provincial du Québec</t>
        </is>
      </c>
      <c r="H816" s="1" t="n">
        <v>42919</v>
      </c>
      <c r="I816" s="1" t="n">
        <v>42919</v>
      </c>
      <c r="J816" t="inlineStr">
        <is>
          <t>Québec, Québec</t>
        </is>
      </c>
      <c r="K816" t="inlineStr">
        <is>
          <t>Québec, Québec</t>
        </is>
      </c>
      <c r="P816" t="n">
        <v>437.23</v>
      </c>
      <c r="Q816" t="n">
        <v>67</v>
      </c>
      <c r="R816" t="n">
        <v>0</v>
      </c>
      <c r="S816" t="n">
        <v>81.15000000000001</v>
      </c>
      <c r="U816" t="n">
        <v>585.38</v>
      </c>
      <c r="V816" t="inlineStr">
        <is>
          <t>AJF126037</t>
        </is>
      </c>
      <c r="X816" t="inlineStr">
        <is>
          <t>aafc-aac</t>
        </is>
      </c>
      <c r="Y816" t="inlineStr">
        <is>
          <t>Agriculture and Agri-Food Canada | Agriculture et Agroalimentaire Canada</t>
        </is>
      </c>
      <c r="Z816" t="n">
        <v>1</v>
      </c>
      <c r="AA816" t="n">
        <v>585.38</v>
      </c>
      <c r="AB816">
        <f>ROUND(U816-AA816,2)</f>
        <v/>
      </c>
      <c r="AC816" t="b">
        <v>0</v>
      </c>
      <c r="AD816">
        <f>IF(U816="","MISSING_TOTAL",IF(ABS(AB816)&lt;=0.01,"OK","CHECK"))</f>
        <v/>
      </c>
      <c r="AE816">
        <f>IF(U816="","MISSING",IF(AND(AA816&gt;0,U816/AA816&gt;50),"POSSIBLE_SCALE_ERROR","OK"))</f>
        <v/>
      </c>
    </row>
    <row r="817">
      <c r="A817" t="inlineStr">
        <is>
          <t>T-2017-Q2-00036</t>
        </is>
      </c>
      <c r="B817" t="inlineStr">
        <is>
          <t>SLE</t>
        </is>
      </c>
      <c r="C817" t="inlineStr">
        <is>
          <t>Assistant Deputy Minister Programs Branch</t>
        </is>
      </c>
      <c r="D817" t="inlineStr">
        <is>
          <t>Sous-ministre adjointe de la Direction générale des programmes</t>
        </is>
      </c>
      <c r="E817" t="inlineStr">
        <is>
          <t>France Pégeot</t>
        </is>
      </c>
      <c r="F817" t="inlineStr">
        <is>
          <t>Minister's federal, provincial and territorial meeting.  Regina First Nations session.</t>
        </is>
      </c>
      <c r="G817" t="inlineStr">
        <is>
          <t>Réunion fédérale, provinviale et territoriale du ministre.  Sessions des Premières nations à Régina.</t>
        </is>
      </c>
      <c r="H817" s="1" t="n">
        <v>42934</v>
      </c>
      <c r="I817" s="1" t="n">
        <v>42940</v>
      </c>
      <c r="J817" t="inlineStr">
        <is>
          <t>Saint John's, NFLD and Regina, SK</t>
        </is>
      </c>
      <c r="K817" t="inlineStr">
        <is>
          <t>Saint John's, TN et Regina, SK</t>
        </is>
      </c>
      <c r="P817" t="n">
        <v>3187.1</v>
      </c>
      <c r="Q817" t="n">
        <v>73</v>
      </c>
      <c r="R817" t="n">
        <v>1047.85</v>
      </c>
      <c r="S817" t="n">
        <v>387.7</v>
      </c>
      <c r="T817" t="n">
        <v>350</v>
      </c>
      <c r="U817" t="n">
        <v>5045.65</v>
      </c>
      <c r="V817" t="inlineStr">
        <is>
          <t>Personal Expenses from Jul. 21 4:00 pm  to Jul. 23 flights to Regina. Increased cost for airfare in order to meet the Deputy Minister`s request to change flights and last minute addition of the Regina travel portion. 
AJF172395</t>
        </is>
      </c>
      <c r="W817" t="inlineStr">
        <is>
          <t>Dépenses personnelles du 21 juillet 16h00 au 23 juillet, vol à Régina. Augmentation du coût du transport aérien afin de répondre à la demande du sous-ministre de modifier les vols et l'ajout de dernière minute de la partie de voyage à Regina</t>
        </is>
      </c>
      <c r="X817" t="inlineStr">
        <is>
          <t>aafc-aac</t>
        </is>
      </c>
      <c r="Y817" t="inlineStr">
        <is>
          <t>Agriculture and Agri-Food Canada | Agriculture et Agroalimentaire Canada</t>
        </is>
      </c>
      <c r="Z817" t="n">
        <v>7</v>
      </c>
      <c r="AA817" t="n">
        <v>5045.65</v>
      </c>
      <c r="AB817">
        <f>ROUND(U817-AA817,2)</f>
        <v/>
      </c>
      <c r="AC817" t="b">
        <v>0</v>
      </c>
      <c r="AD817">
        <f>IF(U817="","MISSING_TOTAL",IF(ABS(AB817)&lt;=0.01,"OK","CHECK"))</f>
        <v/>
      </c>
      <c r="AE817">
        <f>IF(U817="","MISSING",IF(AND(AA817&gt;0,U817/AA817&gt;50),"POSSIBLE_SCALE_ERROR","OK"))</f>
        <v/>
      </c>
    </row>
    <row r="818">
      <c r="A818" t="inlineStr">
        <is>
          <t>T-2017-Q2-00037</t>
        </is>
      </c>
      <c r="B818" t="inlineStr">
        <is>
          <t>SLE</t>
        </is>
      </c>
      <c r="C818" t="inlineStr">
        <is>
          <t>Assistant Deputy Minister Programs Branch</t>
        </is>
      </c>
      <c r="D818" t="inlineStr">
        <is>
          <t>Sous-ministre adjointe de la Direction générale des programmes</t>
        </is>
      </c>
      <c r="E818" t="inlineStr">
        <is>
          <t>France Pégeot</t>
        </is>
      </c>
      <c r="F818" t="inlineStr">
        <is>
          <t>2017 Canadian Field Crop Research Alliance Annual Meeting</t>
        </is>
      </c>
      <c r="G818" t="inlineStr">
        <is>
          <t>Réunion annuelle de l'Alliance de recherche sur les cultures commerciales du Canada 2017</t>
        </is>
      </c>
      <c r="H818" s="1" t="n">
        <v>42942</v>
      </c>
      <c r="I818" s="1" t="n">
        <v>42946</v>
      </c>
      <c r="J818" t="inlineStr">
        <is>
          <t>Québec, Québec</t>
        </is>
      </c>
      <c r="K818" t="inlineStr">
        <is>
          <t>Québec, Québec</t>
        </is>
      </c>
      <c r="P818" t="n">
        <v>788.85</v>
      </c>
      <c r="Q818" t="n">
        <v>112.48</v>
      </c>
      <c r="S818" t="n">
        <v>211.7</v>
      </c>
      <c r="U818" t="n">
        <v>1113.03</v>
      </c>
      <c r="V818" t="inlineStr">
        <is>
          <t>Personal Expenses from Jul. 28 4:00 pm  to Jul. 30, return flight. One night Private Accommodation linked with Meals and Incidentals. 
AJF171018</t>
        </is>
      </c>
      <c r="W818" t="inlineStr">
        <is>
          <t>Dépenses personnelles du 28 juillet 16h00 au 30 juillet, vol de retour. Une nuit d'hébergement privé lié aux repas et aux frais accessoires.</t>
        </is>
      </c>
      <c r="X818" t="inlineStr">
        <is>
          <t>aafc-aac</t>
        </is>
      </c>
      <c r="Y818" t="inlineStr">
        <is>
          <t>Agriculture and Agri-Food Canada | Agriculture et Agroalimentaire Canada</t>
        </is>
      </c>
      <c r="Z818" t="n">
        <v>5</v>
      </c>
      <c r="AA818" t="n">
        <v>1113.03</v>
      </c>
      <c r="AB818">
        <f>ROUND(U818-AA818,2)</f>
        <v/>
      </c>
      <c r="AC818" t="b">
        <v>0</v>
      </c>
      <c r="AD818">
        <f>IF(U818="","MISSING_TOTAL",IF(ABS(AB818)&lt;=0.01,"OK","CHECK"))</f>
        <v/>
      </c>
      <c r="AE818">
        <f>IF(U818="","MISSING",IF(AND(AA818&gt;0,U818/AA818&gt;50),"POSSIBLE_SCALE_ERROR","OK"))</f>
        <v/>
      </c>
    </row>
    <row r="819">
      <c r="A819" t="inlineStr">
        <is>
          <t>T-2017-Q2-00038</t>
        </is>
      </c>
      <c r="B819" t="inlineStr">
        <is>
          <t>SLE</t>
        </is>
      </c>
      <c r="C819" t="inlineStr">
        <is>
          <t>Assistant Deputy Minister Programs Branch</t>
        </is>
      </c>
      <c r="D819" t="inlineStr">
        <is>
          <t>Sous-ministre adjointe de la Direction générale des programmes</t>
        </is>
      </c>
      <c r="E819" t="inlineStr">
        <is>
          <t>France Pégeot</t>
        </is>
      </c>
      <c r="F819" t="inlineStr">
        <is>
          <t>Saskatchewan Pasture Outreach</t>
        </is>
      </c>
      <c r="G819" t="inlineStr">
        <is>
          <t>Sensibilisation des pâturages de la Saskatchewan</t>
        </is>
      </c>
      <c r="H819" s="1" t="n">
        <v>42947</v>
      </c>
      <c r="I819" s="1" t="n">
        <v>42954</v>
      </c>
      <c r="J819" t="inlineStr">
        <is>
          <t>Saskatoon,  Maple Creek and  Regina, SK</t>
        </is>
      </c>
      <c r="K819" t="inlineStr">
        <is>
          <t>Saskatoon,  Maple Creek and  Regina, SK</t>
        </is>
      </c>
      <c r="P819" t="n">
        <v>938.16</v>
      </c>
      <c r="Q819" t="n">
        <v>62</v>
      </c>
      <c r="R819" t="n">
        <v>464.87</v>
      </c>
      <c r="S819" t="n">
        <v>376.65</v>
      </c>
      <c r="U819" t="n">
        <v>1841.68</v>
      </c>
      <c r="V819" t="inlineStr">
        <is>
          <t>Personal Expenses from Aug. 03 1:00 pm to Aug. 07, return flight
AJF168860</t>
        </is>
      </c>
      <c r="W819" t="inlineStr">
        <is>
          <t>Dépenses personnelles du 03 août 13h00 au 07 août, vol de retour</t>
        </is>
      </c>
      <c r="X819" t="inlineStr">
        <is>
          <t>aafc-aac</t>
        </is>
      </c>
      <c r="Y819" t="inlineStr">
        <is>
          <t>Agriculture and Agri-Food Canada | Agriculture et Agroalimentaire Canada</t>
        </is>
      </c>
      <c r="Z819" t="n">
        <v>8</v>
      </c>
      <c r="AA819" t="n">
        <v>1841.67999999999</v>
      </c>
      <c r="AB819">
        <f>ROUND(U819-AA819,2)</f>
        <v/>
      </c>
      <c r="AC819" t="b">
        <v>0</v>
      </c>
      <c r="AD819">
        <f>IF(U819="","MISSING_TOTAL",IF(ABS(AB819)&lt;=0.01,"OK","CHECK"))</f>
        <v/>
      </c>
      <c r="AE819">
        <f>IF(U819="","MISSING",IF(AND(AA819&gt;0,U819/AA819&gt;50),"POSSIBLE_SCALE_ERROR","OK"))</f>
        <v/>
      </c>
    </row>
    <row r="820">
      <c r="A820" t="inlineStr">
        <is>
          <t>T-2017-Q2-00041</t>
        </is>
      </c>
      <c r="B820" t="inlineStr">
        <is>
          <t>MPSES</t>
        </is>
      </c>
      <c r="C820" t="inlineStr">
        <is>
          <t>Deputy Minister</t>
        </is>
      </c>
      <c r="D820" t="inlineStr">
        <is>
          <t>Sous-ministre</t>
        </is>
      </c>
      <c r="E820" t="inlineStr">
        <is>
          <t>Chris Forbes</t>
        </is>
      </c>
      <c r="F820" t="inlineStr">
        <is>
          <t>Meeting with the Honourable Minister MacAulay and United States Department of Agriculture</t>
        </is>
      </c>
      <c r="G820" t="inlineStr">
        <is>
          <t>Rencontre avec l'honorable ministre MacAulay et le ministère de l'Agriculture des États-Unis.</t>
        </is>
      </c>
      <c r="H820" s="1" t="n">
        <v>42890</v>
      </c>
      <c r="I820" s="1" t="n">
        <v>42891</v>
      </c>
      <c r="J820" t="inlineStr">
        <is>
          <t>Toronto, ON</t>
        </is>
      </c>
      <c r="K820" t="inlineStr">
        <is>
          <t>Toronto, ON</t>
        </is>
      </c>
      <c r="P820" t="n">
        <v>609.4299999999999</v>
      </c>
      <c r="Q820" t="n">
        <v>26</v>
      </c>
      <c r="R820" t="n">
        <v>288.85</v>
      </c>
      <c r="S820" t="n">
        <v>80.40000000000001</v>
      </c>
      <c r="U820" t="n">
        <v>1004.68</v>
      </c>
      <c r="X820" t="inlineStr">
        <is>
          <t>aafc-aac</t>
        </is>
      </c>
      <c r="Y820" t="inlineStr">
        <is>
          <t>Agriculture and Agri-Food Canada | Agriculture et Agroalimentaire Canada</t>
        </is>
      </c>
      <c r="Z820" t="n">
        <v>2</v>
      </c>
      <c r="AA820" t="n">
        <v>1004.68</v>
      </c>
      <c r="AB820">
        <f>ROUND(U820-AA820,2)</f>
        <v/>
      </c>
      <c r="AC820" t="b">
        <v>0</v>
      </c>
      <c r="AD820">
        <f>IF(U820="","MISSING_TOTAL",IF(ABS(AB820)&lt;=0.01,"OK","CHECK"))</f>
        <v/>
      </c>
      <c r="AE820">
        <f>IF(U820="","MISSING",IF(AND(AA820&gt;0,U820/AA820&gt;50),"POSSIBLE_SCALE_ERROR","OK"))</f>
        <v/>
      </c>
    </row>
    <row r="821">
      <c r="A821" t="inlineStr">
        <is>
          <t>T-2017-Q4-00039</t>
        </is>
      </c>
      <c r="B821" t="inlineStr">
        <is>
          <t>MPSES</t>
        </is>
      </c>
      <c r="C821" t="inlineStr">
        <is>
          <t>Director of Communications</t>
        </is>
      </c>
      <c r="D821" t="inlineStr">
        <is>
          <t>Directeur des communications</t>
        </is>
      </c>
      <c r="E821" t="inlineStr">
        <is>
          <t>Guy Gallant</t>
        </is>
      </c>
      <c r="F821" t="inlineStr">
        <is>
          <t>To support the Minister at the Alimentaria Food Show in Mexico City</t>
        </is>
      </c>
      <c r="G821" t="inlineStr">
        <is>
          <t>Soutenir le ministre au salon de l'alimentation Alimentaria à Mexico</t>
        </is>
      </c>
      <c r="H821" s="1" t="n">
        <v>43075</v>
      </c>
      <c r="I821" s="1" t="n">
        <v>43078</v>
      </c>
      <c r="J821" t="inlineStr">
        <is>
          <t>Mexico, Mexico</t>
        </is>
      </c>
      <c r="K821" t="inlineStr">
        <is>
          <t>Mexico, Mexique</t>
        </is>
      </c>
      <c r="P821" t="n">
        <v>1815.5</v>
      </c>
      <c r="R821" t="n">
        <v>929.47</v>
      </c>
      <c r="S821" t="n">
        <v>480.25</v>
      </c>
      <c r="U821" t="n">
        <v>3225.22</v>
      </c>
      <c r="V821" t="n">
        <v>1900103175</v>
      </c>
      <c r="X821" t="inlineStr">
        <is>
          <t>aafc-aac</t>
        </is>
      </c>
      <c r="Y821" t="inlineStr">
        <is>
          <t>Agriculture and Agri-Food Canada | Agriculture et Agroalimentaire Canada</t>
        </is>
      </c>
      <c r="Z821" t="n">
        <v>4</v>
      </c>
      <c r="AA821" t="n">
        <v>3225.22</v>
      </c>
      <c r="AB821">
        <f>ROUND(U821-AA821,2)</f>
        <v/>
      </c>
      <c r="AC821" t="b">
        <v>0</v>
      </c>
      <c r="AD821">
        <f>IF(U821="","MISSING_TOTAL",IF(ABS(AB821)&lt;=0.01,"OK","CHECK"))</f>
        <v/>
      </c>
      <c r="AE821">
        <f>IF(U821="","MISSING",IF(AND(AA821&gt;0,U821/AA821&gt;50),"POSSIBLE_SCALE_ERROR","OK"))</f>
        <v/>
      </c>
    </row>
    <row r="822">
      <c r="A822" t="inlineStr">
        <is>
          <t>T-2017-Q2-00044</t>
        </is>
      </c>
      <c r="B822" t="inlineStr">
        <is>
          <t>MPSES</t>
        </is>
      </c>
      <c r="C822" t="inlineStr">
        <is>
          <t>Deputy Minister</t>
        </is>
      </c>
      <c r="D822" t="inlineStr">
        <is>
          <t>Sous-ministre</t>
        </is>
      </c>
      <c r="E822" t="inlineStr">
        <is>
          <t>Chris Forbes</t>
        </is>
      </c>
      <c r="F822" t="inlineStr">
        <is>
          <t>Meeting with Minister and the Canadian Food Inspection Agency President.</t>
        </is>
      </c>
      <c r="G822" t="inlineStr">
        <is>
          <t>Rencontre avec le ministre et le président de l'Agence Canadienne d'Inspection des Aliments.</t>
        </is>
      </c>
      <c r="H822" s="1" t="n">
        <v>42977</v>
      </c>
      <c r="I822" s="1" t="n">
        <v>42979</v>
      </c>
      <c r="J822" t="inlineStr">
        <is>
          <t>Charlottetown, PEI</t>
        </is>
      </c>
      <c r="K822" t="inlineStr">
        <is>
          <t>Charlottetown, L’Î-P-É</t>
        </is>
      </c>
      <c r="P822" t="n">
        <v>808.63</v>
      </c>
      <c r="Q822" t="n">
        <v>17</v>
      </c>
      <c r="R822" t="n">
        <v>471.44</v>
      </c>
      <c r="S822" t="n">
        <v>82.05</v>
      </c>
      <c r="U822" t="n">
        <v>1379.12</v>
      </c>
      <c r="X822" t="inlineStr">
        <is>
          <t>aafc-aac</t>
        </is>
      </c>
      <c r="Y822" t="inlineStr">
        <is>
          <t>Agriculture and Agri-Food Canada | Agriculture et Agroalimentaire Canada</t>
        </is>
      </c>
      <c r="Z822" t="n">
        <v>3</v>
      </c>
      <c r="AA822" t="n">
        <v>1379.12</v>
      </c>
      <c r="AB822">
        <f>ROUND(U822-AA822,2)</f>
        <v/>
      </c>
      <c r="AC822" t="b">
        <v>0</v>
      </c>
      <c r="AD822">
        <f>IF(U822="","MISSING_TOTAL",IF(ABS(AB822)&lt;=0.01,"OK","CHECK"))</f>
        <v/>
      </c>
      <c r="AE822">
        <f>IF(U822="","MISSING",IF(AND(AA822&gt;0,U822/AA822&gt;50),"POSSIBLE_SCALE_ERROR","OK"))</f>
        <v/>
      </c>
    </row>
    <row r="823">
      <c r="A823" t="inlineStr">
        <is>
          <t>T-2017-Q2-00043</t>
        </is>
      </c>
      <c r="B823" t="inlineStr">
        <is>
          <t>MPSES</t>
        </is>
      </c>
      <c r="C823" t="inlineStr">
        <is>
          <t>Deputy Minister</t>
        </is>
      </c>
      <c r="D823" t="inlineStr">
        <is>
          <t>Sous-ministre</t>
        </is>
      </c>
      <c r="E823" t="inlineStr">
        <is>
          <t>Chris Forbes</t>
        </is>
      </c>
      <c r="F823" t="inlineStr">
        <is>
          <t>Pan-Prairie Agri-Food Stategy Session</t>
        </is>
      </c>
      <c r="G823" t="inlineStr">
        <is>
          <t>Séance de culture agroalimentaire Pan-Prairie.</t>
        </is>
      </c>
      <c r="H823" s="1" t="n">
        <v>42974</v>
      </c>
      <c r="I823" s="1" t="n">
        <v>42976</v>
      </c>
      <c r="J823" t="inlineStr">
        <is>
          <t>Saskatoon, SK</t>
        </is>
      </c>
      <c r="K823" t="inlineStr">
        <is>
          <t>Saskatchewan, SK</t>
        </is>
      </c>
      <c r="P823" t="n">
        <v>750.1799999999999</v>
      </c>
      <c r="Q823" t="n">
        <v>97.09</v>
      </c>
      <c r="R823" t="n">
        <v>354.42</v>
      </c>
      <c r="S823" t="n">
        <v>115.6</v>
      </c>
      <c r="U823" t="n">
        <v>1317.29</v>
      </c>
      <c r="X823" t="inlineStr">
        <is>
          <t>aafc-aac</t>
        </is>
      </c>
      <c r="Y823" t="inlineStr">
        <is>
          <t>Agriculture and Agri-Food Canada | Agriculture et Agroalimentaire Canada</t>
        </is>
      </c>
      <c r="Z823" t="n">
        <v>3</v>
      </c>
      <c r="AA823" t="n">
        <v>1317.29</v>
      </c>
      <c r="AB823">
        <f>ROUND(U823-AA823,2)</f>
        <v/>
      </c>
      <c r="AC823" t="b">
        <v>0</v>
      </c>
      <c r="AD823">
        <f>IF(U823="","MISSING_TOTAL",IF(ABS(AB823)&lt;=0.01,"OK","CHECK"))</f>
        <v/>
      </c>
      <c r="AE823">
        <f>IF(U823="","MISSING",IF(AND(AA823&gt;0,U823/AA823&gt;50),"POSSIBLE_SCALE_ERROR","OK"))</f>
        <v/>
      </c>
    </row>
    <row r="824">
      <c r="A824" t="inlineStr">
        <is>
          <t>T-2017-Q2-00048</t>
        </is>
      </c>
      <c r="B824" t="inlineStr">
        <is>
          <t>MPSES</t>
        </is>
      </c>
      <c r="C824" t="inlineStr">
        <is>
          <t>Parliamentary Secretary Assistant</t>
        </is>
      </c>
      <c r="D824" t="inlineStr">
        <is>
          <t>Adjoint du Secrétaire parlementaire</t>
        </is>
      </c>
      <c r="E824" t="inlineStr">
        <is>
          <t>Michel-Antoine Renaud</t>
        </is>
      </c>
      <c r="F824" t="inlineStr">
        <is>
          <t>To accompany the Parliamentary Secretary to the Inauguration of the 50th Agriculture Fair of Expo Rive-Nord</t>
        </is>
      </c>
      <c r="G824" t="inlineStr">
        <is>
          <t>Pour accompagner le secrétaire parlementaire de l'inauguration de la 50ème Foire de l'agriculture de l'Expo Rive-Nord</t>
        </is>
      </c>
      <c r="H824" s="1" t="n">
        <v>42915</v>
      </c>
      <c r="I824" s="1" t="n">
        <v>42915</v>
      </c>
      <c r="J824" t="inlineStr">
        <is>
          <t>Ottawa, ON</t>
        </is>
      </c>
      <c r="K824" t="inlineStr">
        <is>
          <t>Ottawa, ON</t>
        </is>
      </c>
      <c r="Q824" t="n">
        <v>222</v>
      </c>
      <c r="S824" t="n">
        <v>64</v>
      </c>
      <c r="U824" t="n">
        <v>286</v>
      </c>
      <c r="V824" t="n">
        <v>1900033689</v>
      </c>
      <c r="X824" t="inlineStr">
        <is>
          <t>aafc-aac</t>
        </is>
      </c>
      <c r="Y824" t="inlineStr">
        <is>
          <t>Agriculture and Agri-Food Canada | Agriculture et Agroalimentaire Canada</t>
        </is>
      </c>
      <c r="Z824" t="n">
        <v>1</v>
      </c>
      <c r="AA824" t="n">
        <v>286</v>
      </c>
      <c r="AB824">
        <f>ROUND(U824-AA824,2)</f>
        <v/>
      </c>
      <c r="AC824" t="b">
        <v>0</v>
      </c>
      <c r="AD824">
        <f>IF(U824="","MISSING_TOTAL",IF(ABS(AB824)&lt;=0.01,"OK","CHECK"))</f>
        <v/>
      </c>
      <c r="AE824">
        <f>IF(U824="","MISSING",IF(AND(AA824&gt;0,U824/AA824&gt;50),"POSSIBLE_SCALE_ERROR","OK"))</f>
        <v/>
      </c>
    </row>
    <row r="825">
      <c r="A825" t="inlineStr">
        <is>
          <t>T-2017-Q2-00049</t>
        </is>
      </c>
      <c r="B825" t="inlineStr">
        <is>
          <t>MPSES</t>
        </is>
      </c>
      <c r="C825" t="inlineStr">
        <is>
          <t>Parliamentary Secretary Assistant</t>
        </is>
      </c>
      <c r="D825" t="inlineStr">
        <is>
          <t>Adjoint du Secrétaire parlementaire</t>
        </is>
      </c>
      <c r="E825" t="inlineStr">
        <is>
          <t>Michel-Antoine Renaud</t>
        </is>
      </c>
      <c r="F825" t="inlineStr">
        <is>
          <t>To accompany the Parliamentary Secretary to the Annual General Meeting for the Dairy Farmers of Canada</t>
        </is>
      </c>
      <c r="G825" t="inlineStr">
        <is>
          <t>Pour accompagner le secrétaire parlementaire de l'assemblée générale annuelle pour les laiteries du Canada</t>
        </is>
      </c>
      <c r="H825" s="1" t="n">
        <v>42935</v>
      </c>
      <c r="I825" s="1" t="n">
        <v>42937</v>
      </c>
      <c r="J825" t="inlineStr">
        <is>
          <t>Edmonton, AB</t>
        </is>
      </c>
      <c r="K825" t="inlineStr">
        <is>
          <t>Edmonton, AB</t>
        </is>
      </c>
      <c r="P825" t="n">
        <v>996.8</v>
      </c>
      <c r="Q825" t="n">
        <v>128.04</v>
      </c>
      <c r="R825" t="n">
        <v>424.38</v>
      </c>
      <c r="S825" t="n">
        <v>203.45</v>
      </c>
      <c r="T825" t="n">
        <v>28.25</v>
      </c>
      <c r="U825" t="n">
        <v>1780.92</v>
      </c>
      <c r="V825" t="n">
        <v>1900048088</v>
      </c>
      <c r="X825" t="inlineStr">
        <is>
          <t>aafc-aac</t>
        </is>
      </c>
      <c r="Y825" t="inlineStr">
        <is>
          <t>Agriculture and Agri-Food Canada | Agriculture et Agroalimentaire Canada</t>
        </is>
      </c>
      <c r="Z825" t="n">
        <v>3</v>
      </c>
      <c r="AA825" t="n">
        <v>1780.91999999999</v>
      </c>
      <c r="AB825">
        <f>ROUND(U825-AA825,2)</f>
        <v/>
      </c>
      <c r="AC825" t="b">
        <v>0</v>
      </c>
      <c r="AD825">
        <f>IF(U825="","MISSING_TOTAL",IF(ABS(AB825)&lt;=0.01,"OK","CHECK"))</f>
        <v/>
      </c>
      <c r="AE825">
        <f>IF(U825="","MISSING",IF(AND(AA825&gt;0,U825/AA825&gt;50),"POSSIBLE_SCALE_ERROR","OK"))</f>
        <v/>
      </c>
    </row>
    <row r="826">
      <c r="A826" t="inlineStr">
        <is>
          <t>T-2017-Q2-00050</t>
        </is>
      </c>
      <c r="B826" t="inlineStr">
        <is>
          <t>MPSES</t>
        </is>
      </c>
      <c r="C826" t="inlineStr">
        <is>
          <t>Parliamentary Secretary Assistant</t>
        </is>
      </c>
      <c r="D826" t="inlineStr">
        <is>
          <t>Adjoint du Secrétaire parlementaire</t>
        </is>
      </c>
      <c r="E826" t="inlineStr">
        <is>
          <t>Michel-Antoine Renaud</t>
        </is>
      </c>
      <c r="F826" t="inlineStr">
        <is>
          <t>To support the Parliamentary Secretary at a meeting and attend a speaking engagement/dinner at L'Exposition agricole et alimentaire de Sainte-Hyacinthe</t>
        </is>
      </c>
      <c r="G826" t="inlineStr">
        <is>
          <t>Aider le secrétaire parlementaire lors d'une réunion et assister à un entretien / dîner à L'Exposition agricole et alimentaire de Sainte-Hyacinthe</t>
        </is>
      </c>
      <c r="H826" s="1" t="n">
        <v>42949</v>
      </c>
      <c r="I826" s="1" t="n">
        <v>42950</v>
      </c>
      <c r="J826" t="inlineStr">
        <is>
          <t>Sainte-Hyacinthe, QC</t>
        </is>
      </c>
      <c r="K826" t="inlineStr">
        <is>
          <t>Sainte-Hyacinthe, QC</t>
        </is>
      </c>
      <c r="Q826" t="n">
        <v>119.08</v>
      </c>
      <c r="S826" t="n">
        <v>35.2</v>
      </c>
      <c r="U826" t="n">
        <v>154.28</v>
      </c>
      <c r="V826" t="n">
        <v>1900061506</v>
      </c>
      <c r="X826" t="inlineStr">
        <is>
          <t>aafc-aac</t>
        </is>
      </c>
      <c r="Y826" t="inlineStr">
        <is>
          <t>Agriculture and Agri-Food Canada | Agriculture et Agroalimentaire Canada</t>
        </is>
      </c>
      <c r="Z826" t="n">
        <v>2</v>
      </c>
      <c r="AA826" t="n">
        <v>154.28</v>
      </c>
      <c r="AB826">
        <f>ROUND(U826-AA826,2)</f>
        <v/>
      </c>
      <c r="AC826" t="b">
        <v>0</v>
      </c>
      <c r="AD826">
        <f>IF(U826="","MISSING_TOTAL",IF(ABS(AB826)&lt;=0.01,"OK","CHECK"))</f>
        <v/>
      </c>
      <c r="AE826">
        <f>IF(U826="","MISSING",IF(AND(AA826&gt;0,U826/AA826&gt;50),"POSSIBLE_SCALE_ERROR","OK"))</f>
        <v/>
      </c>
    </row>
    <row r="827">
      <c r="A827" t="inlineStr">
        <is>
          <t>T-2017-Q2-00051</t>
        </is>
      </c>
      <c r="B827" t="inlineStr">
        <is>
          <t>MPSES</t>
        </is>
      </c>
      <c r="C827" t="inlineStr">
        <is>
          <t>Parliamentary Secretary Assistant</t>
        </is>
      </c>
      <c r="D827" t="inlineStr">
        <is>
          <t>Adjoint du Secrétaire parlementaire</t>
        </is>
      </c>
      <c r="E827" t="inlineStr">
        <is>
          <t>Michel-Antoine Renaud</t>
        </is>
      </c>
      <c r="F827" t="inlineStr">
        <is>
          <t>To support the Parliamentary Secretary at the IOWA Summit</t>
        </is>
      </c>
      <c r="G827" t="inlineStr">
        <is>
          <t>Appuyer le secrétaire parlementaire au Sommet de l'IOWA</t>
        </is>
      </c>
      <c r="H827" s="1" t="n">
        <v>42951</v>
      </c>
      <c r="I827" s="1" t="n">
        <v>42952</v>
      </c>
      <c r="J827" t="inlineStr">
        <is>
          <t>Detroit, USA</t>
        </is>
      </c>
      <c r="K827" t="inlineStr">
        <is>
          <t>Detroit, ÉU</t>
        </is>
      </c>
      <c r="P827" t="n">
        <v>961.96</v>
      </c>
      <c r="Q827" t="n">
        <v>89.33</v>
      </c>
      <c r="R827" t="n">
        <v>253.37</v>
      </c>
      <c r="S827" t="n">
        <v>204.36</v>
      </c>
      <c r="U827" t="n">
        <v>1509.02</v>
      </c>
      <c r="V827" t="n">
        <v>1900061512</v>
      </c>
      <c r="X827" t="inlineStr">
        <is>
          <t>aafc-aac</t>
        </is>
      </c>
      <c r="Y827" t="inlineStr">
        <is>
          <t>Agriculture and Agri-Food Canada | Agriculture et Agroalimentaire Canada</t>
        </is>
      </c>
      <c r="Z827" t="n">
        <v>2</v>
      </c>
      <c r="AA827" t="n">
        <v>1509.02</v>
      </c>
      <c r="AB827">
        <f>ROUND(U827-AA827,2)</f>
        <v/>
      </c>
      <c r="AC827" t="b">
        <v>0</v>
      </c>
      <c r="AD827">
        <f>IF(U827="","MISSING_TOTAL",IF(ABS(AB827)&lt;=0.01,"OK","CHECK"))</f>
        <v/>
      </c>
      <c r="AE827">
        <f>IF(U827="","MISSING",IF(AND(AA827&gt;0,U827/AA827&gt;50),"POSSIBLE_SCALE_ERROR","OK"))</f>
        <v/>
      </c>
    </row>
    <row r="828">
      <c r="A828" t="inlineStr">
        <is>
          <t>T-2017-Q2-00052</t>
        </is>
      </c>
      <c r="B828" t="inlineStr">
        <is>
          <t>MPSES</t>
        </is>
      </c>
      <c r="C828" t="inlineStr">
        <is>
          <t>Parliamentary Secretary Assistant</t>
        </is>
      </c>
      <c r="D828" t="inlineStr">
        <is>
          <t>Adjoint du Secrétaire parlementaire</t>
        </is>
      </c>
      <c r="E828" t="inlineStr">
        <is>
          <t>Michel-Antoine Renaud</t>
        </is>
      </c>
      <c r="F828" t="inlineStr">
        <is>
          <t>To accompany the Parliamentary Secretary to l'Exposition Agricole et Alimentaire de Ste-Hyacinthe</t>
        </is>
      </c>
      <c r="G828" t="inlineStr">
        <is>
          <t>Pour accompagner le secrétaire parlementaire de l'Exposition Agricole et Alimentaire de Ste-Hyacinthe</t>
        </is>
      </c>
      <c r="H828" s="1" t="n">
        <v>42944</v>
      </c>
      <c r="I828" s="1" t="n">
        <v>42944</v>
      </c>
      <c r="J828" t="inlineStr">
        <is>
          <t>Sainte-Hyacinthe, QC</t>
        </is>
      </c>
      <c r="K828" t="inlineStr">
        <is>
          <t>Sainte-Hyacinthe, QC</t>
        </is>
      </c>
      <c r="Q828" t="n">
        <v>93.97</v>
      </c>
      <c r="S828" t="n">
        <v>64</v>
      </c>
      <c r="U828" t="n">
        <v>157.97</v>
      </c>
      <c r="V828" t="n">
        <v>1900051500</v>
      </c>
      <c r="X828" t="inlineStr">
        <is>
          <t>aafc-aac</t>
        </is>
      </c>
      <c r="Y828" t="inlineStr">
        <is>
          <t>Agriculture and Agri-Food Canada | Agriculture et Agroalimentaire Canada</t>
        </is>
      </c>
      <c r="Z828" t="n">
        <v>1</v>
      </c>
      <c r="AA828" t="n">
        <v>157.97</v>
      </c>
      <c r="AB828">
        <f>ROUND(U828-AA828,2)</f>
        <v/>
      </c>
      <c r="AC828" t="b">
        <v>0</v>
      </c>
      <c r="AD828">
        <f>IF(U828="","MISSING_TOTAL",IF(ABS(AB828)&lt;=0.01,"OK","CHECK"))</f>
        <v/>
      </c>
      <c r="AE828">
        <f>IF(U828="","MISSING",IF(AND(AA828&gt;0,U828/AA828&gt;50),"POSSIBLE_SCALE_ERROR","OK"))</f>
        <v/>
      </c>
    </row>
    <row r="829">
      <c r="A829" t="inlineStr">
        <is>
          <t>T-2017-Q2-00054</t>
        </is>
      </c>
      <c r="B829" t="inlineStr">
        <is>
          <t>MPSES</t>
        </is>
      </c>
      <c r="C829" t="inlineStr">
        <is>
          <t>Parliamentary Secretary</t>
        </is>
      </c>
      <c r="D829" t="inlineStr">
        <is>
          <t>Secrétaire parlementaire</t>
        </is>
      </c>
      <c r="E829" t="inlineStr">
        <is>
          <t>Jean-Claude Poissant</t>
        </is>
      </c>
      <c r="F829" t="inlineStr">
        <is>
          <t>To attend an announcement with the Pork Producers of Quebec City</t>
        </is>
      </c>
      <c r="G829" t="inlineStr">
        <is>
          <t>Participer à une annonce avec les producteurs de porc de la ville de Québec</t>
        </is>
      </c>
      <c r="H829" s="1" t="n">
        <v>42894</v>
      </c>
      <c r="I829" s="1" t="n">
        <v>42894</v>
      </c>
      <c r="J829" t="inlineStr">
        <is>
          <t>Québec, QC</t>
        </is>
      </c>
      <c r="K829" t="inlineStr">
        <is>
          <t>Québec, QC</t>
        </is>
      </c>
      <c r="P829" t="n">
        <v>561.48</v>
      </c>
      <c r="Q829" t="n">
        <v>35</v>
      </c>
      <c r="S829" t="n">
        <v>81.3</v>
      </c>
      <c r="U829" t="n">
        <v>677.78</v>
      </c>
      <c r="V829" t="n">
        <v>1900031003</v>
      </c>
      <c r="X829" t="inlineStr">
        <is>
          <t>aafc-aac</t>
        </is>
      </c>
      <c r="Y829" t="inlineStr">
        <is>
          <t>Agriculture and Agri-Food Canada | Agriculture et Agroalimentaire Canada</t>
        </is>
      </c>
      <c r="Z829" t="n">
        <v>1</v>
      </c>
      <c r="AA829" t="n">
        <v>677.78</v>
      </c>
      <c r="AB829">
        <f>ROUND(U829-AA829,2)</f>
        <v/>
      </c>
      <c r="AC829" t="b">
        <v>0</v>
      </c>
      <c r="AD829">
        <f>IF(U829="","MISSING_TOTAL",IF(ABS(AB829)&lt;=0.01,"OK","CHECK"))</f>
        <v/>
      </c>
      <c r="AE829">
        <f>IF(U829="","MISSING",IF(AND(AA829&gt;0,U829/AA829&gt;50),"POSSIBLE_SCALE_ERROR","OK"))</f>
        <v/>
      </c>
    </row>
    <row r="830">
      <c r="A830" t="inlineStr">
        <is>
          <t>T-2017-Q2-00055</t>
        </is>
      </c>
      <c r="B830" t="inlineStr">
        <is>
          <t>MPSES</t>
        </is>
      </c>
      <c r="C830" t="inlineStr">
        <is>
          <t>Parliamentary Secretary</t>
        </is>
      </c>
      <c r="D830" t="inlineStr">
        <is>
          <t>Secrétaire parlementaire</t>
        </is>
      </c>
      <c r="E830" t="inlineStr">
        <is>
          <t>Jean-Claude Poissant</t>
        </is>
      </c>
      <c r="F830" t="inlineStr">
        <is>
          <t>To attend the Annual Meeting for the Dairy Farmers of Canada</t>
        </is>
      </c>
      <c r="G830" t="inlineStr">
        <is>
          <t>Pour assister à la réunion annuelle pour les laiteries du Canada</t>
        </is>
      </c>
      <c r="H830" s="1" t="n">
        <v>42935</v>
      </c>
      <c r="I830" s="1" t="n">
        <v>42937</v>
      </c>
      <c r="J830" t="inlineStr">
        <is>
          <t>Edmonton, AB</t>
        </is>
      </c>
      <c r="K830" t="inlineStr">
        <is>
          <t>Edmonton, AB</t>
        </is>
      </c>
      <c r="P830" t="n">
        <v>1435.45</v>
      </c>
      <c r="R830" t="n">
        <v>424.38</v>
      </c>
      <c r="S830" t="n">
        <v>203.45</v>
      </c>
      <c r="U830" t="n">
        <v>2063.28</v>
      </c>
      <c r="V830" t="n">
        <v>1900051304</v>
      </c>
      <c r="X830" t="inlineStr">
        <is>
          <t>aafc-aac</t>
        </is>
      </c>
      <c r="Y830" t="inlineStr">
        <is>
          <t>Agriculture and Agri-Food Canada | Agriculture et Agroalimentaire Canada</t>
        </is>
      </c>
      <c r="Z830" t="n">
        <v>3</v>
      </c>
      <c r="AA830" t="n">
        <v>2063.27999999999</v>
      </c>
      <c r="AB830">
        <f>ROUND(U830-AA830,2)</f>
        <v/>
      </c>
      <c r="AC830" t="b">
        <v>0</v>
      </c>
      <c r="AD830">
        <f>IF(U830="","MISSING_TOTAL",IF(ABS(AB830)&lt;=0.01,"OK","CHECK"))</f>
        <v/>
      </c>
      <c r="AE830">
        <f>IF(U830="","MISSING",IF(AND(AA830&gt;0,U830/AA830&gt;50),"POSSIBLE_SCALE_ERROR","OK"))</f>
        <v/>
      </c>
    </row>
    <row r="831">
      <c r="A831" t="inlineStr">
        <is>
          <t>T-2017-Q2-00056</t>
        </is>
      </c>
      <c r="B831" t="inlineStr">
        <is>
          <t>MPSES</t>
        </is>
      </c>
      <c r="C831" t="inlineStr">
        <is>
          <t>Parliamentary Secretary</t>
        </is>
      </c>
      <c r="D831" t="inlineStr">
        <is>
          <t>Secrétaire parlementaire</t>
        </is>
      </c>
      <c r="E831" t="inlineStr">
        <is>
          <t>Jean-Claude Poissant</t>
        </is>
      </c>
      <c r="F831" t="inlineStr">
        <is>
          <t>To attend l'Exposition agricole et alimentaire de Sainte Hyacinthe</t>
        </is>
      </c>
      <c r="G831" t="inlineStr">
        <is>
          <t>Pour assister à l'Exposition agricole et alimentaire de Sainte Hyacinthe</t>
        </is>
      </c>
      <c r="H831" s="1" t="n">
        <v>42944</v>
      </c>
      <c r="I831" s="1" t="n">
        <v>42944</v>
      </c>
      <c r="J831" t="inlineStr">
        <is>
          <t>Sainte-Hyacinthe, QC</t>
        </is>
      </c>
      <c r="K831" t="inlineStr">
        <is>
          <t>Sainte-Hyacinthe, QC</t>
        </is>
      </c>
      <c r="Q831" t="n">
        <v>70.7</v>
      </c>
      <c r="S831" t="n">
        <v>45.95</v>
      </c>
      <c r="U831" t="n">
        <v>116.65</v>
      </c>
      <c r="V831" t="n">
        <v>1900061507</v>
      </c>
      <c r="X831" t="inlineStr">
        <is>
          <t>aafc-aac</t>
        </is>
      </c>
      <c r="Y831" t="inlineStr">
        <is>
          <t>Agriculture and Agri-Food Canada | Agriculture et Agroalimentaire Canada</t>
        </is>
      </c>
      <c r="Z831" t="n">
        <v>1</v>
      </c>
      <c r="AA831" t="n">
        <v>116.65</v>
      </c>
      <c r="AB831">
        <f>ROUND(U831-AA831,2)</f>
        <v/>
      </c>
      <c r="AC831" t="b">
        <v>0</v>
      </c>
      <c r="AD831">
        <f>IF(U831="","MISSING_TOTAL",IF(ABS(AB831)&lt;=0.01,"OK","CHECK"))</f>
        <v/>
      </c>
      <c r="AE831">
        <f>IF(U831="","MISSING",IF(AND(AA831&gt;0,U831/AA831&gt;50),"POSSIBLE_SCALE_ERROR","OK"))</f>
        <v/>
      </c>
    </row>
    <row r="832">
      <c r="A832" t="inlineStr">
        <is>
          <t>T-2017-Q2-00057</t>
        </is>
      </c>
      <c r="B832" t="inlineStr">
        <is>
          <t>MPSES</t>
        </is>
      </c>
      <c r="C832" t="inlineStr">
        <is>
          <t>Parliamentary Secretary</t>
        </is>
      </c>
      <c r="D832" t="inlineStr">
        <is>
          <t>Secrétaire parlementaire</t>
        </is>
      </c>
      <c r="E832" t="inlineStr">
        <is>
          <t>Jean-Claude Poissant</t>
        </is>
      </c>
      <c r="F832" t="inlineStr">
        <is>
          <t>To attend the 2017 IOWA Summit</t>
        </is>
      </c>
      <c r="G832" t="inlineStr">
        <is>
          <t>Assister au Sommet 2017 IOWA</t>
        </is>
      </c>
      <c r="H832" s="1" t="n">
        <v>42951</v>
      </c>
      <c r="I832" s="1" t="n">
        <v>42952</v>
      </c>
      <c r="J832" t="inlineStr">
        <is>
          <t>Detroit, USA</t>
        </is>
      </c>
      <c r="K832" t="inlineStr">
        <is>
          <t>Detroit, É.-U.</t>
        </is>
      </c>
      <c r="P832" t="n">
        <v>866.01</v>
      </c>
      <c r="R832" t="n">
        <v>253.37</v>
      </c>
      <c r="S832" t="n">
        <v>204.36</v>
      </c>
      <c r="U832" t="n">
        <v>1323.74</v>
      </c>
      <c r="V832" t="n">
        <v>1900062798</v>
      </c>
      <c r="X832" t="inlineStr">
        <is>
          <t>aafc-aac</t>
        </is>
      </c>
      <c r="Y832" t="inlineStr">
        <is>
          <t>Agriculture and Agri-Food Canada | Agriculture et Agroalimentaire Canada</t>
        </is>
      </c>
      <c r="Z832" t="n">
        <v>2</v>
      </c>
      <c r="AA832" t="n">
        <v>1323.74</v>
      </c>
      <c r="AB832">
        <f>ROUND(U832-AA832,2)</f>
        <v/>
      </c>
      <c r="AC832" t="b">
        <v>0</v>
      </c>
      <c r="AD832">
        <f>IF(U832="","MISSING_TOTAL",IF(ABS(AB832)&lt;=0.01,"OK","CHECK"))</f>
        <v/>
      </c>
      <c r="AE832">
        <f>IF(U832="","MISSING",IF(AND(AA832&gt;0,U832/AA832&gt;50),"POSSIBLE_SCALE_ERROR","OK"))</f>
        <v/>
      </c>
    </row>
    <row r="833">
      <c r="A833" t="inlineStr">
        <is>
          <t>T-2017-Q2-00058</t>
        </is>
      </c>
      <c r="B833" t="inlineStr">
        <is>
          <t>MPSES</t>
        </is>
      </c>
      <c r="C833" t="inlineStr">
        <is>
          <t>Parliamentary Secretary</t>
        </is>
      </c>
      <c r="D833" t="inlineStr">
        <is>
          <t>Secrétaire parlementaire</t>
        </is>
      </c>
      <c r="E833" t="inlineStr">
        <is>
          <t>Jean-Claude Poissant</t>
        </is>
      </c>
      <c r="F833" t="inlineStr">
        <is>
          <t>To attend the Regional Food consultation in Quebec</t>
        </is>
      </c>
      <c r="G833" t="inlineStr">
        <is>
          <t>Pour assister à la consultation régionale sur les aliments au Québec</t>
        </is>
      </c>
      <c r="H833" s="1" t="n">
        <v>42962</v>
      </c>
      <c r="I833" s="1" t="n">
        <v>42962</v>
      </c>
      <c r="J833" t="inlineStr">
        <is>
          <t>Ste-Hyacinthe, QC</t>
        </is>
      </c>
      <c r="K833" t="inlineStr">
        <is>
          <t>Ste-Hyacinthe, QC</t>
        </is>
      </c>
      <c r="R833" t="n">
        <v>153.52</v>
      </c>
      <c r="S833" t="n">
        <v>81.3</v>
      </c>
      <c r="U833" t="n">
        <v>234.82</v>
      </c>
      <c r="V833" t="n">
        <v>1900073247</v>
      </c>
      <c r="X833" t="inlineStr">
        <is>
          <t>aafc-aac</t>
        </is>
      </c>
      <c r="Y833" t="inlineStr">
        <is>
          <t>Agriculture and Agri-Food Canada | Agriculture et Agroalimentaire Canada</t>
        </is>
      </c>
      <c r="Z833" t="n">
        <v>1</v>
      </c>
      <c r="AA833" t="n">
        <v>234.82</v>
      </c>
      <c r="AB833">
        <f>ROUND(U833-AA833,2)</f>
        <v/>
      </c>
      <c r="AC833" t="b">
        <v>0</v>
      </c>
      <c r="AD833">
        <f>IF(U833="","MISSING_TOTAL",IF(ABS(AB833)&lt;=0.01,"OK","CHECK"))</f>
        <v/>
      </c>
      <c r="AE833">
        <f>IF(U833="","MISSING",IF(AND(AA833&gt;0,U833/AA833&gt;50),"POSSIBLE_SCALE_ERROR","OK"))</f>
        <v/>
      </c>
    </row>
    <row r="834">
      <c r="A834" t="inlineStr">
        <is>
          <t>T-2017-Q2-00060</t>
        </is>
      </c>
      <c r="B834" t="inlineStr">
        <is>
          <t>MPSES</t>
        </is>
      </c>
      <c r="C834" t="inlineStr">
        <is>
          <t>Legislative Assistant, Policy Advisor</t>
        </is>
      </c>
      <c r="D834" t="inlineStr">
        <is>
          <t>Adjoint législatif et Conseiller en politiques</t>
        </is>
      </c>
      <c r="E834" t="inlineStr">
        <is>
          <t>Wallace McLean</t>
        </is>
      </c>
      <c r="F834" t="inlineStr">
        <is>
          <t>To accompany the Minister to announce the launch of the Atlantic Trade and Investment Strategy and participate in a Roundtable with the Agriculture Sector from Atlantic Canada</t>
        </is>
      </c>
      <c r="G834" t="inlineStr">
        <is>
          <t>Pour accompagner le ministre pour annoncer le lancement de la stratégie  d'investissement de commerce de l'atlantique et participer à une table ronde avec le secteur de l'agriculture du Canada atlantique</t>
        </is>
      </c>
      <c r="H834" s="1" t="n">
        <v>42919</v>
      </c>
      <c r="I834" s="1" t="n">
        <v>42921</v>
      </c>
      <c r="J834" t="inlineStr">
        <is>
          <t>St John, NB</t>
        </is>
      </c>
      <c r="K834" t="inlineStr">
        <is>
          <t>St John, NB</t>
        </is>
      </c>
      <c r="P834" t="n">
        <v>951.11</v>
      </c>
      <c r="Q834" t="n">
        <v>86.15000000000001</v>
      </c>
      <c r="R834" t="n">
        <v>165.83</v>
      </c>
      <c r="S834" t="n">
        <v>196.15</v>
      </c>
      <c r="U834" t="n">
        <v>1399.24</v>
      </c>
      <c r="V834" t="n">
        <v>1900041901</v>
      </c>
      <c r="X834" t="inlineStr">
        <is>
          <t>aafc-aac</t>
        </is>
      </c>
      <c r="Y834" t="inlineStr">
        <is>
          <t>Agriculture and Agri-Food Canada | Agriculture et Agroalimentaire Canada</t>
        </is>
      </c>
      <c r="Z834" t="n">
        <v>3</v>
      </c>
      <c r="AA834" t="n">
        <v>1399.24</v>
      </c>
      <c r="AB834">
        <f>ROUND(U834-AA834,2)</f>
        <v/>
      </c>
      <c r="AC834" t="b">
        <v>0</v>
      </c>
      <c r="AD834">
        <f>IF(U834="","MISSING_TOTAL",IF(ABS(AB834)&lt;=0.01,"OK","CHECK"))</f>
        <v/>
      </c>
      <c r="AE834">
        <f>IF(U834="","MISSING",IF(AND(AA834&gt;0,U834/AA834&gt;50),"POSSIBLE_SCALE_ERROR","OK"))</f>
        <v/>
      </c>
    </row>
    <row r="835">
      <c r="A835" t="inlineStr">
        <is>
          <t>T-2017-Q2-00061</t>
        </is>
      </c>
      <c r="B835" t="inlineStr">
        <is>
          <t>MPSES</t>
        </is>
      </c>
      <c r="C835" t="inlineStr">
        <is>
          <t>Legislative Assistant, Policy Advisor</t>
        </is>
      </c>
      <c r="D835" t="inlineStr">
        <is>
          <t>Adjoint législatif et Conseiller en politiques</t>
        </is>
      </c>
      <c r="E835" t="inlineStr">
        <is>
          <t>Wallace McLean</t>
        </is>
      </c>
      <c r="F835" t="inlineStr">
        <is>
          <t>To accompany the Minister to the Atlantic Growth Strategy - July 2017 Leadership Committee</t>
        </is>
      </c>
      <c r="G835" t="inlineStr">
        <is>
          <t>Pour accompagner le ministre à la Stratégie de croissance de l'Atlantique - Comité de leadership de juillet 2017</t>
        </is>
      </c>
      <c r="H835" s="1" t="n">
        <v>42925</v>
      </c>
      <c r="I835" s="1" t="n">
        <v>42928</v>
      </c>
      <c r="J835" t="inlineStr">
        <is>
          <t>Steady Brook, NL</t>
        </is>
      </c>
      <c r="K835" t="inlineStr">
        <is>
          <t>Steady Brook, TN</t>
        </is>
      </c>
      <c r="P835" t="n">
        <v>828.21</v>
      </c>
      <c r="Q835" t="n">
        <v>88.25</v>
      </c>
      <c r="R835" t="n">
        <v>397.61</v>
      </c>
      <c r="S835" t="n">
        <v>232.4</v>
      </c>
      <c r="U835" t="n">
        <v>1546.47</v>
      </c>
      <c r="V835" t="n">
        <v>1900048087</v>
      </c>
      <c r="X835" t="inlineStr">
        <is>
          <t>aafc-aac</t>
        </is>
      </c>
      <c r="Y835" t="inlineStr">
        <is>
          <t>Agriculture and Agri-Food Canada | Agriculture et Agroalimentaire Canada</t>
        </is>
      </c>
      <c r="Z835" t="n">
        <v>4</v>
      </c>
      <c r="AA835" t="n">
        <v>1546.47</v>
      </c>
      <c r="AB835">
        <f>ROUND(U835-AA835,2)</f>
        <v/>
      </c>
      <c r="AC835" t="b">
        <v>0</v>
      </c>
      <c r="AD835">
        <f>IF(U835="","MISSING_TOTAL",IF(ABS(AB835)&lt;=0.01,"OK","CHECK"))</f>
        <v/>
      </c>
      <c r="AE835">
        <f>IF(U835="","MISSING",IF(AND(AA835&gt;0,U835/AA835&gt;50),"POSSIBLE_SCALE_ERROR","OK"))</f>
        <v/>
      </c>
    </row>
    <row r="836">
      <c r="A836" t="inlineStr">
        <is>
          <t>T-2017-Q2-00062</t>
        </is>
      </c>
      <c r="B836" t="inlineStr">
        <is>
          <t>MPSES</t>
        </is>
      </c>
      <c r="C836" t="inlineStr">
        <is>
          <t>Legislative Assistant, Policy Advisor</t>
        </is>
      </c>
      <c r="D836" t="inlineStr">
        <is>
          <t>Adjoint législatif et Conseiller en politiques</t>
        </is>
      </c>
      <c r="E836" t="inlineStr">
        <is>
          <t>Wallace McLean</t>
        </is>
      </c>
      <c r="F836" t="inlineStr">
        <is>
          <t>To accompany the Minister to Saint John for New Brunswick Outreach</t>
        </is>
      </c>
      <c r="G836" t="inlineStr">
        <is>
          <t>Pour accompagner le ministre à Saint John pour la sensibilisation du Nouveau-Brunswick</t>
        </is>
      </c>
      <c r="H836" s="1" t="n">
        <v>42971</v>
      </c>
      <c r="I836" s="1" t="n">
        <v>42973</v>
      </c>
      <c r="J836" t="inlineStr">
        <is>
          <t>Saint John, NB</t>
        </is>
      </c>
      <c r="K836" t="inlineStr">
        <is>
          <t>Saint John, NB</t>
        </is>
      </c>
      <c r="P836" t="n">
        <v>687.16</v>
      </c>
      <c r="Q836" t="n">
        <v>165.03</v>
      </c>
      <c r="R836" t="n">
        <v>284.28</v>
      </c>
      <c r="S836" t="n">
        <v>242.1</v>
      </c>
      <c r="U836" t="n">
        <v>1378.57</v>
      </c>
      <c r="V836" t="n">
        <v>1900071891</v>
      </c>
      <c r="X836" t="inlineStr">
        <is>
          <t>aafc-aac</t>
        </is>
      </c>
      <c r="Y836" t="inlineStr">
        <is>
          <t>Agriculture and Agri-Food Canada | Agriculture et Agroalimentaire Canada</t>
        </is>
      </c>
      <c r="Z836" t="n">
        <v>3</v>
      </c>
      <c r="AA836" t="n">
        <v>1378.56999999999</v>
      </c>
      <c r="AB836">
        <f>ROUND(U836-AA836,2)</f>
        <v/>
      </c>
      <c r="AC836" t="b">
        <v>0</v>
      </c>
      <c r="AD836">
        <f>IF(U836="","MISSING_TOTAL",IF(ABS(AB836)&lt;=0.01,"OK","CHECK"))</f>
        <v/>
      </c>
      <c r="AE836">
        <f>IF(U836="","MISSING",IF(AND(AA836&gt;0,U836/AA836&gt;50),"POSSIBLE_SCALE_ERROR","OK"))</f>
        <v/>
      </c>
    </row>
    <row r="837">
      <c r="A837" t="inlineStr">
        <is>
          <t>T-2017-Q2-00063</t>
        </is>
      </c>
      <c r="B837" t="inlineStr">
        <is>
          <t>MPSES</t>
        </is>
      </c>
      <c r="C837" t="inlineStr">
        <is>
          <t>Director of Parliamentary Affairs</t>
        </is>
      </c>
      <c r="D837" t="inlineStr">
        <is>
          <t>Directeur des affaires parlementaires</t>
        </is>
      </c>
      <c r="E837" t="inlineStr">
        <is>
          <t>Matthew Mann</t>
        </is>
      </c>
      <c r="F837" t="inlineStr">
        <is>
          <t>To support the Minister at the Annual Conference of Federal, Provincial and Territorial Ministers and Deputy Ministers of Agriculture in Newfoundland and Labrador</t>
        </is>
      </c>
      <c r="G837" t="inlineStr">
        <is>
          <t>Appuyer le ministre à la Conférence annuelle des ministres fédéraux, provinciaux et territoriaux et des sous-ministres de l'agriculture à Terre-Neuve-et-Labrador</t>
        </is>
      </c>
      <c r="H837" s="1" t="n">
        <v>42934</v>
      </c>
      <c r="I837" s="1" t="n">
        <v>42937</v>
      </c>
      <c r="J837" t="inlineStr">
        <is>
          <t>St John's, NL</t>
        </is>
      </c>
      <c r="K837" t="inlineStr">
        <is>
          <t>St John's, TN</t>
        </is>
      </c>
      <c r="P837" t="n">
        <v>828.27</v>
      </c>
      <c r="Q837" t="n">
        <v>17.77</v>
      </c>
      <c r="R837" t="n">
        <v>888.9299999999999</v>
      </c>
      <c r="S837" t="n">
        <v>249.55</v>
      </c>
      <c r="T837" t="n">
        <v>350</v>
      </c>
      <c r="U837" t="n">
        <v>2334.52</v>
      </c>
      <c r="V837" t="n">
        <v>1900051303</v>
      </c>
      <c r="X837" t="inlineStr">
        <is>
          <t>aafc-aac</t>
        </is>
      </c>
      <c r="Y837" t="inlineStr">
        <is>
          <t>Agriculture and Agri-Food Canada | Agriculture et Agroalimentaire Canada</t>
        </is>
      </c>
      <c r="Z837" t="n">
        <v>4</v>
      </c>
      <c r="AA837" t="n">
        <v>2334.51999999999</v>
      </c>
      <c r="AB837">
        <f>ROUND(U837-AA837,2)</f>
        <v/>
      </c>
      <c r="AC837" t="b">
        <v>0</v>
      </c>
      <c r="AD837">
        <f>IF(U837="","MISSING_TOTAL",IF(ABS(AB837)&lt;=0.01,"OK","CHECK"))</f>
        <v/>
      </c>
      <c r="AE837">
        <f>IF(U837="","MISSING",IF(AND(AA837&gt;0,U837/AA837&gt;50),"POSSIBLE_SCALE_ERROR","OK"))</f>
        <v/>
      </c>
    </row>
    <row r="838">
      <c r="A838" t="inlineStr">
        <is>
          <t>T-2017-Q2-00064</t>
        </is>
      </c>
      <c r="B838" t="inlineStr">
        <is>
          <t>MPSES</t>
        </is>
      </c>
      <c r="C838" t="inlineStr">
        <is>
          <t>Director of Parliamentary Affairs</t>
        </is>
      </c>
      <c r="D838" t="inlineStr">
        <is>
          <t>Directeur des affaires parlementaires</t>
        </is>
      </c>
      <c r="E838" t="inlineStr">
        <is>
          <t>Matthew Mann</t>
        </is>
      </c>
      <c r="F838" t="inlineStr">
        <is>
          <t>To support the Minister on a Pacific Northwest Region Outreach to Portland, Oregon and Sun Valley, Boise, Idaho</t>
        </is>
      </c>
      <c r="G838" t="inlineStr">
        <is>
          <t>Appuyer le ministre sur une région du Nord-Ouest du Pacifique à portée de porte à Portland, Oregon et Sun Valley, Boise, Idaho</t>
        </is>
      </c>
      <c r="H838" s="1" t="n">
        <v>42939</v>
      </c>
      <c r="I838" s="1" t="n">
        <v>42946</v>
      </c>
      <c r="J838" t="inlineStr">
        <is>
          <t>Portland, Oregon and Sun Valley, Boise, Idaho</t>
        </is>
      </c>
      <c r="K838" t="inlineStr">
        <is>
          <t>Portland, Oregon and Sun Valley, Boise, Idaho</t>
        </is>
      </c>
      <c r="P838" t="n">
        <v>1957.59</v>
      </c>
      <c r="Q838" t="n">
        <v>17.77</v>
      </c>
      <c r="R838" t="n">
        <v>1776.3</v>
      </c>
      <c r="S838" t="n">
        <v>669.84</v>
      </c>
      <c r="U838" t="n">
        <v>4421.5</v>
      </c>
      <c r="V838" t="n">
        <v>1900062797</v>
      </c>
      <c r="X838" t="inlineStr">
        <is>
          <t>aafc-aac</t>
        </is>
      </c>
      <c r="Y838" t="inlineStr">
        <is>
          <t>Agriculture and Agri-Food Canada | Agriculture et Agroalimentaire Canada</t>
        </is>
      </c>
      <c r="Z838" t="n">
        <v>8</v>
      </c>
      <c r="AA838" t="n">
        <v>4421.5</v>
      </c>
      <c r="AB838">
        <f>ROUND(U838-AA838,2)</f>
        <v/>
      </c>
      <c r="AC838" t="b">
        <v>0</v>
      </c>
      <c r="AD838">
        <f>IF(U838="","MISSING_TOTAL",IF(ABS(AB838)&lt;=0.01,"OK","CHECK"))</f>
        <v/>
      </c>
      <c r="AE838">
        <f>IF(U838="","MISSING",IF(AND(AA838&gt;0,U838/AA838&gt;50),"POSSIBLE_SCALE_ERROR","OK"))</f>
        <v/>
      </c>
    </row>
    <row r="839">
      <c r="A839" t="inlineStr">
        <is>
          <t>T-2017-Q2-00067</t>
        </is>
      </c>
      <c r="B839" t="inlineStr">
        <is>
          <t>MPSES</t>
        </is>
      </c>
      <c r="C839" t="inlineStr">
        <is>
          <t>Policy Advisor</t>
        </is>
      </c>
      <c r="D839" t="inlineStr">
        <is>
          <t>Conseillère en politiques</t>
        </is>
      </c>
      <c r="E839" t="inlineStr">
        <is>
          <t>Sangeeta Lalli</t>
        </is>
      </c>
      <c r="F839" t="inlineStr">
        <is>
          <t>To accompany the Minister to Outreach in SW Ontario including Guelph, Waterloo, Kitchener including Elora Research Barn Announcement with Minister Leal, market visit, Conestoga meat packers tour</t>
        </is>
      </c>
      <c r="G839" t="inlineStr">
        <is>
          <t>Pour accompagner le ministre à une visite de sensibilisation dans le sud-ouest de l'Ontario,  Guelph, Waterloo, Kitchener,  grange de recherche Elora. Accompagner le ministre Leal lors d'une announce, visite du marché ainsi une tournée de comptoirs de viande Conestega.</t>
        </is>
      </c>
      <c r="H839" s="1" t="n">
        <v>42921</v>
      </c>
      <c r="I839" s="1" t="n">
        <v>42923</v>
      </c>
      <c r="J839" t="inlineStr">
        <is>
          <t>Guelph, Waterloo, Kitchener, ON</t>
        </is>
      </c>
      <c r="K839" t="inlineStr">
        <is>
          <t>Guelph, Waterloo, Kitchener, ON</t>
        </is>
      </c>
      <c r="P839" t="n">
        <v>563.02</v>
      </c>
      <c r="Q839" t="n">
        <v>33.13</v>
      </c>
      <c r="R839" t="n">
        <v>275.72</v>
      </c>
      <c r="S839" t="n">
        <v>214.2</v>
      </c>
      <c r="U839" t="n">
        <v>1086.07</v>
      </c>
      <c r="V839" t="n">
        <v>1900041900</v>
      </c>
      <c r="X839" t="inlineStr">
        <is>
          <t>aafc-aac</t>
        </is>
      </c>
      <c r="Y839" t="inlineStr">
        <is>
          <t>Agriculture and Agri-Food Canada | Agriculture et Agroalimentaire Canada</t>
        </is>
      </c>
      <c r="Z839" t="n">
        <v>3</v>
      </c>
      <c r="AA839" t="n">
        <v>1086.07</v>
      </c>
      <c r="AB839">
        <f>ROUND(U839-AA839,2)</f>
        <v/>
      </c>
      <c r="AC839" t="b">
        <v>0</v>
      </c>
      <c r="AD839">
        <f>IF(U839="","MISSING_TOTAL",IF(ABS(AB839)&lt;=0.01,"OK","CHECK"))</f>
        <v/>
      </c>
      <c r="AE839">
        <f>IF(U839="","MISSING",IF(AND(AA839&gt;0,U839/AA839&gt;50),"POSSIBLE_SCALE_ERROR","OK"))</f>
        <v/>
      </c>
    </row>
    <row r="840">
      <c r="A840" t="inlineStr">
        <is>
          <t>T-2017-Q2-00065</t>
        </is>
      </c>
      <c r="B840" t="inlineStr">
        <is>
          <t>MPSES</t>
        </is>
      </c>
      <c r="C840" t="inlineStr">
        <is>
          <t>Policy Advisor</t>
        </is>
      </c>
      <c r="D840" t="inlineStr">
        <is>
          <t>Conseillère en politiques</t>
        </is>
      </c>
      <c r="E840" t="inlineStr">
        <is>
          <t>Sangeeta Lalli</t>
        </is>
      </c>
      <c r="F840" t="inlineStr">
        <is>
          <t>To accompany the Minister for announcement on behalf of government</t>
        </is>
      </c>
      <c r="G840" t="inlineStr">
        <is>
          <t>Pour accompagner le ministre pour l'annonce au nom du gouvernement</t>
        </is>
      </c>
      <c r="H840" s="1" t="n">
        <v>42894</v>
      </c>
      <c r="I840" s="1" t="n">
        <v>42896</v>
      </c>
      <c r="J840" t="inlineStr">
        <is>
          <t>Charlottetown, PEI</t>
        </is>
      </c>
      <c r="K840" t="inlineStr">
        <is>
          <t>Charlottetown, L’Î-P-É</t>
        </is>
      </c>
      <c r="P840" t="n">
        <v>1038.02</v>
      </c>
      <c r="Q840" t="n">
        <v>135.1</v>
      </c>
      <c r="R840" t="n">
        <v>403.16</v>
      </c>
      <c r="S840" t="n">
        <v>160.95</v>
      </c>
      <c r="U840" t="n">
        <v>1737.23</v>
      </c>
      <c r="V840" t="n">
        <v>1900031001</v>
      </c>
      <c r="X840" t="inlineStr">
        <is>
          <t>aafc-aac</t>
        </is>
      </c>
      <c r="Y840" t="inlineStr">
        <is>
          <t>Agriculture and Agri-Food Canada | Agriculture et Agroalimentaire Canada</t>
        </is>
      </c>
      <c r="Z840" t="n">
        <v>3</v>
      </c>
      <c r="AA840" t="n">
        <v>1737.23</v>
      </c>
      <c r="AB840">
        <f>ROUND(U840-AA840,2)</f>
        <v/>
      </c>
      <c r="AC840" t="b">
        <v>0</v>
      </c>
      <c r="AD840">
        <f>IF(U840="","MISSING_TOTAL",IF(ABS(AB840)&lt;=0.01,"OK","CHECK"))</f>
        <v/>
      </c>
      <c r="AE840">
        <f>IF(U840="","MISSING",IF(AND(AA840&gt;0,U840/AA840&gt;50),"POSSIBLE_SCALE_ERROR","OK"))</f>
        <v/>
      </c>
    </row>
    <row r="841">
      <c r="A841" t="inlineStr">
        <is>
          <t>T-2017-Q3-00019</t>
        </is>
      </c>
      <c r="B841" t="inlineStr">
        <is>
          <t>SLE</t>
        </is>
      </c>
      <c r="C841" t="inlineStr">
        <is>
          <t>Assistant Deputy Minister, Programs Branch</t>
        </is>
      </c>
      <c r="D841" t="inlineStr">
        <is>
          <t>Sous-ministre adjointe, Direction générale des programmes</t>
        </is>
      </c>
      <c r="E841" t="inlineStr">
        <is>
          <t>France Pégeot</t>
        </is>
      </c>
      <c r="F841" t="inlineStr">
        <is>
          <t>Winnipeg Regional Meeting.</t>
        </is>
      </c>
      <c r="G841" t="inlineStr">
        <is>
          <t>Winnipeg réunion régionale.</t>
        </is>
      </c>
      <c r="H841" s="1" t="n">
        <v>43038</v>
      </c>
      <c r="I841" s="1" t="n">
        <v>43040</v>
      </c>
      <c r="J841" t="inlineStr">
        <is>
          <t>Winnipeg, Manitoba</t>
        </is>
      </c>
      <c r="K841" t="inlineStr">
        <is>
          <t>Winnipeg, Manitoba</t>
        </is>
      </c>
      <c r="P841" t="n">
        <v>394.11</v>
      </c>
      <c r="Q841" t="n">
        <v>95</v>
      </c>
      <c r="R841" t="n">
        <v>211.67</v>
      </c>
      <c r="S841" t="n">
        <v>184.6</v>
      </c>
      <c r="U841" t="n">
        <v>885.38</v>
      </c>
      <c r="V841" t="inlineStr">
        <is>
          <t>AJF192182</t>
        </is>
      </c>
      <c r="X841" t="inlineStr">
        <is>
          <t>aafc-aac</t>
        </is>
      </c>
      <c r="Y841" t="inlineStr">
        <is>
          <t>Agriculture and Agri-Food Canada | Agriculture et Agroalimentaire Canada</t>
        </is>
      </c>
      <c r="Z841" t="n">
        <v>3</v>
      </c>
      <c r="AA841" t="n">
        <v>885.38</v>
      </c>
      <c r="AB841">
        <f>ROUND(U841-AA841,2)</f>
        <v/>
      </c>
      <c r="AC841" t="b">
        <v>0</v>
      </c>
      <c r="AD841">
        <f>IF(U841="","MISSING_TOTAL",IF(ABS(AB841)&lt;=0.01,"OK","CHECK"))</f>
        <v/>
      </c>
      <c r="AE841">
        <f>IF(U841="","MISSING",IF(AND(AA841&gt;0,U841/AA841&gt;50),"POSSIBLE_SCALE_ERROR","OK"))</f>
        <v/>
      </c>
    </row>
    <row r="842">
      <c r="A842" t="inlineStr">
        <is>
          <t>T-2017-Q3-00020</t>
        </is>
      </c>
      <c r="B842" t="inlineStr">
        <is>
          <t>SLE</t>
        </is>
      </c>
      <c r="C842" t="inlineStr">
        <is>
          <t>Assistant Deputy Minister, Programs Branch</t>
        </is>
      </c>
      <c r="D842" t="inlineStr">
        <is>
          <t>Sous-ministre adjointe, Direction générale des programmes</t>
        </is>
      </c>
      <c r="E842" t="inlineStr">
        <is>
          <t>France Pégeot</t>
        </is>
      </c>
      <c r="F842" t="inlineStr">
        <is>
          <t>Regina Regional Meeting, Minister's announcement for the Canadian Agricultural Partnership, and the Canadian Western Agribition.</t>
        </is>
      </c>
      <c r="G842" t="inlineStr">
        <is>
          <t>Régina réunion régionale, annonce du Ministre pour le Partenariat agricole du Canada, et pour l'Exposition agricole canadien de l'ouest.</t>
        </is>
      </c>
      <c r="H842" s="1" t="n">
        <v>43061</v>
      </c>
      <c r="I842" s="1" t="n">
        <v>43063</v>
      </c>
      <c r="J842" t="inlineStr">
        <is>
          <t>Regina, Saskatchewan</t>
        </is>
      </c>
      <c r="K842" t="inlineStr">
        <is>
          <t>Régina, Saskatchewan</t>
        </is>
      </c>
      <c r="P842" t="n">
        <v>1640.62</v>
      </c>
      <c r="Q842" t="n">
        <v>79</v>
      </c>
      <c r="R842" t="n">
        <v>340.7</v>
      </c>
      <c r="S842" t="n">
        <v>288.85</v>
      </c>
      <c r="U842" t="n">
        <v>2349.17</v>
      </c>
      <c r="V842" t="inlineStr">
        <is>
          <t>AJF142526</t>
        </is>
      </c>
      <c r="X842" t="inlineStr">
        <is>
          <t>aafc-aac</t>
        </is>
      </c>
      <c r="Y842" t="inlineStr">
        <is>
          <t>Agriculture and Agri-Food Canada | Agriculture et Agroalimentaire Canada</t>
        </is>
      </c>
      <c r="Z842" t="n">
        <v>3</v>
      </c>
      <c r="AA842" t="n">
        <v>2349.16999999999</v>
      </c>
      <c r="AB842">
        <f>ROUND(U842-AA842,2)</f>
        <v/>
      </c>
      <c r="AC842" t="b">
        <v>0</v>
      </c>
      <c r="AD842">
        <f>IF(U842="","MISSING_TOTAL",IF(ABS(AB842)&lt;=0.01,"OK","CHECK"))</f>
        <v/>
      </c>
      <c r="AE842">
        <f>IF(U842="","MISSING",IF(AND(AA842&gt;0,U842/AA842&gt;50),"POSSIBLE_SCALE_ERROR","OK"))</f>
        <v/>
      </c>
    </row>
    <row r="843">
      <c r="A843" t="inlineStr">
        <is>
          <t>T-2017-Q2-00068</t>
        </is>
      </c>
      <c r="B843" t="inlineStr">
        <is>
          <t>MPSES</t>
        </is>
      </c>
      <c r="C843" t="inlineStr">
        <is>
          <t>Policy Advisor</t>
        </is>
      </c>
      <c r="D843" t="inlineStr">
        <is>
          <t>Conseillère en politiques</t>
        </is>
      </c>
      <c r="E843" t="inlineStr">
        <is>
          <t>Sangeeta Lalli</t>
        </is>
      </c>
      <c r="F843" t="inlineStr">
        <is>
          <t>To accompany the Minister to bi-lateral with BC Agriculture Minister and an announcement at the University of Manitoba, bilateral with Manitoba Agriculture Minister</t>
        </is>
      </c>
      <c r="G843" t="inlineStr">
        <is>
          <t>Pour accompagner le ministre à titre bilatéral avec le ministre de l'Agriculture de la C.-B. et une annonce à l'Université du Manitoba, en collaboration avec le ministre de l'Agriculture du Manitoba</t>
        </is>
      </c>
      <c r="H843" s="1" t="n">
        <v>42961</v>
      </c>
      <c r="I843" s="1" t="n">
        <v>42964</v>
      </c>
      <c r="J843" t="inlineStr">
        <is>
          <t>Vancouver, BC and Winnipeg, MB</t>
        </is>
      </c>
      <c r="K843" t="inlineStr">
        <is>
          <t>Vancouver, CB et Winnipeg, MB</t>
        </is>
      </c>
      <c r="P843" t="n">
        <v>1733.67</v>
      </c>
      <c r="Q843" t="n">
        <v>92.56999999999999</v>
      </c>
      <c r="R843" t="n">
        <v>713.41</v>
      </c>
      <c r="S843" t="n">
        <v>312.65</v>
      </c>
      <c r="U843" t="n">
        <v>2852.3</v>
      </c>
      <c r="V843" t="n">
        <v>1900068338</v>
      </c>
      <c r="X843" t="inlineStr">
        <is>
          <t>aafc-aac</t>
        </is>
      </c>
      <c r="Y843" t="inlineStr">
        <is>
          <t>Agriculture and Agri-Food Canada | Agriculture et Agroalimentaire Canada</t>
        </is>
      </c>
      <c r="Z843" t="n">
        <v>4</v>
      </c>
      <c r="AA843" t="n">
        <v>2852.3</v>
      </c>
      <c r="AB843">
        <f>ROUND(U843-AA843,2)</f>
        <v/>
      </c>
      <c r="AC843" t="b">
        <v>0</v>
      </c>
      <c r="AD843">
        <f>IF(U843="","MISSING_TOTAL",IF(ABS(AB843)&lt;=0.01,"OK","CHECK"))</f>
        <v/>
      </c>
      <c r="AE843">
        <f>IF(U843="","MISSING",IF(AND(AA843&gt;0,U843/AA843&gt;50),"POSSIBLE_SCALE_ERROR","OK"))</f>
        <v/>
      </c>
    </row>
    <row r="844">
      <c r="A844" t="inlineStr">
        <is>
          <t>T-2017-Q2-00069</t>
        </is>
      </c>
      <c r="B844" t="inlineStr">
        <is>
          <t>MPSES</t>
        </is>
      </c>
      <c r="C844" t="inlineStr">
        <is>
          <t>Policy Advisor</t>
        </is>
      </c>
      <c r="D844" t="inlineStr">
        <is>
          <t>Conseiller en politiques</t>
        </is>
      </c>
      <c r="E844" t="inlineStr">
        <is>
          <t>Abed Harb</t>
        </is>
      </c>
      <c r="F844" t="inlineStr">
        <is>
          <t>To accompany the Minister to the Calgary Stampede</t>
        </is>
      </c>
      <c r="G844" t="inlineStr">
        <is>
          <t>Pour accompagner le ministre au Stampede de Calgary</t>
        </is>
      </c>
      <c r="H844" s="1" t="n">
        <v>42928</v>
      </c>
      <c r="I844" s="1" t="n">
        <v>42934</v>
      </c>
      <c r="J844" t="inlineStr">
        <is>
          <t>Calgary, AB</t>
        </is>
      </c>
      <c r="K844" t="inlineStr">
        <is>
          <t>Calgary, AB</t>
        </is>
      </c>
      <c r="P844" t="n">
        <v>732.25</v>
      </c>
      <c r="Q844" t="n">
        <v>92.58</v>
      </c>
      <c r="R844" t="n">
        <v>446.83</v>
      </c>
      <c r="S844" t="n">
        <v>167.35</v>
      </c>
      <c r="T844" t="n">
        <v>26</v>
      </c>
      <c r="U844" t="n">
        <v>1465.01</v>
      </c>
      <c r="V844" t="n">
        <v>1900048092</v>
      </c>
      <c r="X844" t="inlineStr">
        <is>
          <t>aafc-aac</t>
        </is>
      </c>
      <c r="Y844" t="inlineStr">
        <is>
          <t>Agriculture and Agri-Food Canada | Agriculture et Agroalimentaire Canada</t>
        </is>
      </c>
      <c r="Z844" t="n">
        <v>7</v>
      </c>
      <c r="AA844" t="n">
        <v>1465.01</v>
      </c>
      <c r="AB844">
        <f>ROUND(U844-AA844,2)</f>
        <v/>
      </c>
      <c r="AC844" t="b">
        <v>0</v>
      </c>
      <c r="AD844">
        <f>IF(U844="","MISSING_TOTAL",IF(ABS(AB844)&lt;=0.01,"OK","CHECK"))</f>
        <v/>
      </c>
      <c r="AE844">
        <f>IF(U844="","MISSING",IF(AND(AA844&gt;0,U844/AA844&gt;50),"POSSIBLE_SCALE_ERROR","OK"))</f>
        <v/>
      </c>
    </row>
    <row r="845">
      <c r="A845" t="inlineStr">
        <is>
          <t>T-2017-Q2-00070</t>
        </is>
      </c>
      <c r="B845" t="inlineStr">
        <is>
          <t>MPSES</t>
        </is>
      </c>
      <c r="C845" t="inlineStr">
        <is>
          <t>Policy Advisor</t>
        </is>
      </c>
      <c r="D845" t="inlineStr">
        <is>
          <t>Conseiller en politiques</t>
        </is>
      </c>
      <c r="E845" t="inlineStr">
        <is>
          <t>Abed Harb</t>
        </is>
      </c>
      <c r="F845" t="inlineStr">
        <is>
          <t>To accompany the Minister to an announcement at the University of Manitoba and a bilateral with Manitoba Agriculture Minister</t>
        </is>
      </c>
      <c r="G845" t="inlineStr">
        <is>
          <t>Pour accompagner le ministre à une annonce à l'Université du Manitoba et un rencontre bilatéral avec le ministre de l'Agriculture du Manitoba</t>
        </is>
      </c>
      <c r="H845" s="1" t="n">
        <v>42963</v>
      </c>
      <c r="I845" s="1" t="n">
        <v>42964</v>
      </c>
      <c r="J845" t="inlineStr">
        <is>
          <t>Winnipeg, MB</t>
        </is>
      </c>
      <c r="K845" t="inlineStr">
        <is>
          <t>Winnipeg, MB</t>
        </is>
      </c>
      <c r="P845" t="n">
        <v>1009.43</v>
      </c>
      <c r="Q845" t="n">
        <v>71.73</v>
      </c>
      <c r="R845" t="n">
        <v>164.37</v>
      </c>
      <c r="S845" t="n">
        <v>86.95</v>
      </c>
      <c r="U845" t="n">
        <v>1332.48</v>
      </c>
      <c r="V845" t="n">
        <v>1900068339</v>
      </c>
      <c r="X845" t="inlineStr">
        <is>
          <t>aafc-aac</t>
        </is>
      </c>
      <c r="Y845" t="inlineStr">
        <is>
          <t>Agriculture and Agri-Food Canada | Agriculture et Agroalimentaire Canada</t>
        </is>
      </c>
      <c r="Z845" t="n">
        <v>2</v>
      </c>
      <c r="AA845" t="n">
        <v>1332.47999999999</v>
      </c>
      <c r="AB845">
        <f>ROUND(U845-AA845,2)</f>
        <v/>
      </c>
      <c r="AC845" t="b">
        <v>0</v>
      </c>
      <c r="AD845">
        <f>IF(U845="","MISSING_TOTAL",IF(ABS(AB845)&lt;=0.01,"OK","CHECK"))</f>
        <v/>
      </c>
      <c r="AE845">
        <f>IF(U845="","MISSING",IF(AND(AA845&gt;0,U845/AA845&gt;50),"POSSIBLE_SCALE_ERROR","OK"))</f>
        <v/>
      </c>
    </row>
    <row r="846">
      <c r="A846" t="inlineStr">
        <is>
          <t>T-2017-Q2-00072</t>
        </is>
      </c>
      <c r="B846" t="inlineStr">
        <is>
          <t>MPSES</t>
        </is>
      </c>
      <c r="C846" t="inlineStr">
        <is>
          <t>Policy Advisor</t>
        </is>
      </c>
      <c r="D846" t="inlineStr">
        <is>
          <t>Conseillère en politiques</t>
        </is>
      </c>
      <c r="E846" t="inlineStr">
        <is>
          <t>Alison Porter</t>
        </is>
      </c>
      <c r="F846" t="inlineStr">
        <is>
          <t>To brief the Minister on the MPT call and the Canadian Agricultural Partnership</t>
        </is>
      </c>
      <c r="G846" t="inlineStr">
        <is>
          <t>Pour informer le ministre sur l'appel du MPT et le Partenariat agricole canadien</t>
        </is>
      </c>
      <c r="H846" s="1" t="n">
        <v>42928</v>
      </c>
      <c r="I846" s="1" t="n">
        <v>42929</v>
      </c>
      <c r="J846" t="inlineStr">
        <is>
          <t>Calgary, AB</t>
        </is>
      </c>
      <c r="K846" t="inlineStr">
        <is>
          <t>Calgary, AB</t>
        </is>
      </c>
      <c r="P846" t="n">
        <v>1257.83</v>
      </c>
      <c r="Q846" t="n">
        <v>92.3</v>
      </c>
      <c r="S846" t="n">
        <v>115.75</v>
      </c>
      <c r="U846" t="n">
        <v>1465.88</v>
      </c>
      <c r="V846" t="n">
        <v>1900061501</v>
      </c>
      <c r="X846" t="inlineStr">
        <is>
          <t>aafc-aac</t>
        </is>
      </c>
      <c r="Y846" t="inlineStr">
        <is>
          <t>Agriculture and Agri-Food Canada | Agriculture et Agroalimentaire Canada</t>
        </is>
      </c>
      <c r="Z846" t="n">
        <v>2</v>
      </c>
      <c r="AA846" t="n">
        <v>1465.87999999999</v>
      </c>
      <c r="AB846">
        <f>ROUND(U846-AA846,2)</f>
        <v/>
      </c>
      <c r="AC846" t="b">
        <v>0</v>
      </c>
      <c r="AD846">
        <f>IF(U846="","MISSING_TOTAL",IF(ABS(AB846)&lt;=0.01,"OK","CHECK"))</f>
        <v/>
      </c>
      <c r="AE846">
        <f>IF(U846="","MISSING",IF(AND(AA846&gt;0,U846/AA846&gt;50),"POSSIBLE_SCALE_ERROR","OK"))</f>
        <v/>
      </c>
    </row>
    <row r="847">
      <c r="A847" t="inlineStr">
        <is>
          <t>T-2017-Q2-00073</t>
        </is>
      </c>
      <c r="B847" t="inlineStr">
        <is>
          <t>MPSES</t>
        </is>
      </c>
      <c r="C847" t="inlineStr">
        <is>
          <t>Policy Advisor</t>
        </is>
      </c>
      <c r="D847" t="inlineStr">
        <is>
          <t>Conseillère en politiques</t>
        </is>
      </c>
      <c r="E847" t="inlineStr">
        <is>
          <t>Alison Porter</t>
        </is>
      </c>
      <c r="F847" t="inlineStr">
        <is>
          <t>To brief the Minister on the Regional Food Policy Consultation in Charlottetown and to attend with him</t>
        </is>
      </c>
      <c r="G847" t="inlineStr">
        <is>
          <t>Informer le ministre de la Consultation régionale sur les politiques alimentaires à Charlottetown et y assister</t>
        </is>
      </c>
      <c r="H847" s="1" t="n">
        <v>42955</v>
      </c>
      <c r="I847" s="1" t="n">
        <v>42957</v>
      </c>
      <c r="J847" t="inlineStr">
        <is>
          <t>Charlottetown, PEI</t>
        </is>
      </c>
      <c r="K847" t="inlineStr">
        <is>
          <t>Charlottetown, l’Î.-P.-É</t>
        </is>
      </c>
      <c r="P847" t="n">
        <v>1473.98</v>
      </c>
      <c r="Q847" t="n">
        <v>90.53</v>
      </c>
      <c r="R847" t="n">
        <v>254.87</v>
      </c>
      <c r="S847" t="n">
        <v>179.75</v>
      </c>
      <c r="U847" t="n">
        <v>1999.13</v>
      </c>
      <c r="V847" t="n">
        <v>1900061502</v>
      </c>
      <c r="X847" t="inlineStr">
        <is>
          <t>aafc-aac</t>
        </is>
      </c>
      <c r="Y847" t="inlineStr">
        <is>
          <t>Agriculture and Agri-Food Canada | Agriculture et Agroalimentaire Canada</t>
        </is>
      </c>
      <c r="Z847" t="n">
        <v>3</v>
      </c>
      <c r="AA847" t="n">
        <v>1999.13</v>
      </c>
      <c r="AB847">
        <f>ROUND(U847-AA847,2)</f>
        <v/>
      </c>
      <c r="AC847" t="b">
        <v>0</v>
      </c>
      <c r="AD847">
        <f>IF(U847="","MISSING_TOTAL",IF(ABS(AB847)&lt;=0.01,"OK","CHECK"))</f>
        <v/>
      </c>
      <c r="AE847">
        <f>IF(U847="","MISSING",IF(AND(AA847&gt;0,U847/AA847&gt;50),"POSSIBLE_SCALE_ERROR","OK"))</f>
        <v/>
      </c>
    </row>
    <row r="848">
      <c r="A848" t="inlineStr">
        <is>
          <t>T-2017-Q3-00028</t>
        </is>
      </c>
      <c r="B848" t="inlineStr">
        <is>
          <t>SLE</t>
        </is>
      </c>
      <c r="C848" t="inlineStr">
        <is>
          <t>Associate Assistant Deputy Minister</t>
        </is>
      </c>
      <c r="D848" t="inlineStr">
        <is>
          <t>Sous-ministre adjoint délégué</t>
        </is>
      </c>
      <c r="E848" t="inlineStr">
        <is>
          <t>Gilles Saindon</t>
        </is>
      </c>
      <c r="F848" t="inlineStr">
        <is>
          <t>To attend the inauguration of the Research Farm.</t>
        </is>
      </c>
      <c r="G848" t="inlineStr">
        <is>
          <t>Assister à la cérémonie d'ouverture de la ferme de recherche</t>
        </is>
      </c>
      <c r="H848" s="1" t="n">
        <v>43019</v>
      </c>
      <c r="I848" s="1" t="n">
        <v>43020</v>
      </c>
      <c r="J848" t="inlineStr">
        <is>
          <t>St-Augustin-de-Desmaures, Quebec</t>
        </is>
      </c>
      <c r="K848" t="inlineStr">
        <is>
          <t>St-Augustin-de-Desmaures, Québec</t>
        </is>
      </c>
      <c r="Q848" t="n">
        <v>501.72</v>
      </c>
      <c r="R848" t="n">
        <v>148.76</v>
      </c>
      <c r="S848" t="n">
        <v>186.2</v>
      </c>
      <c r="U848" t="n">
        <v>836.6799999999999</v>
      </c>
      <c r="V848" t="inlineStr">
        <is>
          <t>AJD959709</t>
        </is>
      </c>
      <c r="X848" t="inlineStr">
        <is>
          <t>aafc-aac</t>
        </is>
      </c>
      <c r="Y848" t="inlineStr">
        <is>
          <t>Agriculture and Agri-Food Canada | Agriculture et Agroalimentaire Canada</t>
        </is>
      </c>
      <c r="Z848" t="n">
        <v>2</v>
      </c>
      <c r="AA848" t="n">
        <v>836.6799999999999</v>
      </c>
      <c r="AB848">
        <f>ROUND(U848-AA848,2)</f>
        <v/>
      </c>
      <c r="AC848" t="b">
        <v>0</v>
      </c>
      <c r="AD848">
        <f>IF(U848="","MISSING_TOTAL",IF(ABS(AB848)&lt;=0.01,"OK","CHECK"))</f>
        <v/>
      </c>
      <c r="AE848">
        <f>IF(U848="","MISSING",IF(AND(AA848&gt;0,U848/AA848&gt;50),"POSSIBLE_SCALE_ERROR","OK"))</f>
        <v/>
      </c>
    </row>
    <row r="849">
      <c r="A849" t="inlineStr">
        <is>
          <t>T-2017-Q2-00075</t>
        </is>
      </c>
      <c r="B849" t="inlineStr">
        <is>
          <t>MPSES</t>
        </is>
      </c>
      <c r="C849" t="inlineStr">
        <is>
          <t>Director of Communications</t>
        </is>
      </c>
      <c r="D849" t="inlineStr">
        <is>
          <t>Directeur des communications</t>
        </is>
      </c>
      <c r="E849" t="inlineStr">
        <is>
          <t>Guy Gallant</t>
        </is>
      </c>
      <c r="F849" t="inlineStr">
        <is>
          <t>To accompany the Minister to Savannah, Georgia for the Trilateral Agriculture Ministers meeting with the United States Secretary of Agriculture and the Mexican Secretary of Agriculture.</t>
        </is>
      </c>
      <c r="G849" t="inlineStr">
        <is>
          <t>Pour accompagner le ministre à Savannah, en Géorgie, pour les ministres trilatéraux de l'agriculture réunis avec le secrétaire américain à l'agriculture et le secrétaire mexicain à l'agriculture.</t>
        </is>
      </c>
      <c r="H849" s="1" t="n">
        <v>42905</v>
      </c>
      <c r="I849" s="1" t="n">
        <v>42908</v>
      </c>
      <c r="J849" t="inlineStr">
        <is>
          <t>Savannah, USA</t>
        </is>
      </c>
      <c r="K849" t="inlineStr">
        <is>
          <t>Savannah, É.-U.</t>
        </is>
      </c>
      <c r="P849" t="n">
        <v>1072.9</v>
      </c>
      <c r="R849" t="n">
        <v>546.78</v>
      </c>
      <c r="S849" t="n">
        <v>338.65</v>
      </c>
      <c r="U849" t="n">
        <v>1958.33</v>
      </c>
      <c r="V849" t="n">
        <v>1900033691</v>
      </c>
      <c r="X849" t="inlineStr">
        <is>
          <t>aafc-aac</t>
        </is>
      </c>
      <c r="Y849" t="inlineStr">
        <is>
          <t>Agriculture and Agri-Food Canada | Agriculture et Agroalimentaire Canada</t>
        </is>
      </c>
      <c r="Z849" t="n">
        <v>4</v>
      </c>
      <c r="AA849" t="n">
        <v>1958.33</v>
      </c>
      <c r="AB849">
        <f>ROUND(U849-AA849,2)</f>
        <v/>
      </c>
      <c r="AC849" t="b">
        <v>0</v>
      </c>
      <c r="AD849">
        <f>IF(U849="","MISSING_TOTAL",IF(ABS(AB849)&lt;=0.01,"OK","CHECK"))</f>
        <v/>
      </c>
      <c r="AE849">
        <f>IF(U849="","MISSING",IF(AND(AA849&gt;0,U849/AA849&gt;50),"POSSIBLE_SCALE_ERROR","OK"))</f>
        <v/>
      </c>
    </row>
    <row r="850">
      <c r="A850" t="inlineStr">
        <is>
          <t>T-2017-Q2-00076</t>
        </is>
      </c>
      <c r="B850" t="inlineStr">
        <is>
          <t>MPSES</t>
        </is>
      </c>
      <c r="C850" t="inlineStr">
        <is>
          <t>Director of Communications</t>
        </is>
      </c>
      <c r="D850" t="inlineStr">
        <is>
          <t>Directeur des communications</t>
        </is>
      </c>
      <c r="E850" t="inlineStr">
        <is>
          <t>Guy Gallant</t>
        </is>
      </c>
      <c r="F850" t="inlineStr">
        <is>
          <t>To accompany the Minister for announcements, meeting with provincial government stakeholders, agriculture outreach, and events with the Minister of Environment and Prime Minister.</t>
        </is>
      </c>
      <c r="G850" t="inlineStr">
        <is>
          <t>Pour accompagner le ministre lors des annonces, rencontrer les intervenants du gouvernement provincial, visite de sensibilisation à l'agriculture et les événements avec le ministre de l'environnement et le Premier ministre.</t>
        </is>
      </c>
      <c r="H850" s="1" t="n">
        <v>42911</v>
      </c>
      <c r="I850" s="1" t="n">
        <v>42915</v>
      </c>
      <c r="J850" t="inlineStr">
        <is>
          <t>Charlottetown, PEI</t>
        </is>
      </c>
      <c r="K850" t="inlineStr">
        <is>
          <t>Charlottetown, L’Î-P-É</t>
        </is>
      </c>
      <c r="P850" t="n">
        <v>1254.98</v>
      </c>
      <c r="Q850" t="n">
        <v>222.4</v>
      </c>
      <c r="R850" t="n">
        <v>990.24</v>
      </c>
      <c r="S850" t="n">
        <v>388.45</v>
      </c>
      <c r="U850" t="n">
        <v>2856.07</v>
      </c>
      <c r="V850" t="n">
        <v>1900041851</v>
      </c>
      <c r="X850" t="inlineStr">
        <is>
          <t>aafc-aac</t>
        </is>
      </c>
      <c r="Y850" t="inlineStr">
        <is>
          <t>Agriculture and Agri-Food Canada | Agriculture et Agroalimentaire Canada</t>
        </is>
      </c>
      <c r="Z850" t="n">
        <v>5</v>
      </c>
      <c r="AA850" t="n">
        <v>2856.06999999999</v>
      </c>
      <c r="AB850">
        <f>ROUND(U850-AA850,2)</f>
        <v/>
      </c>
      <c r="AC850" t="b">
        <v>0</v>
      </c>
      <c r="AD850">
        <f>IF(U850="","MISSING_TOTAL",IF(ABS(AB850)&lt;=0.01,"OK","CHECK"))</f>
        <v/>
      </c>
      <c r="AE850">
        <f>IF(U850="","MISSING",IF(AND(AA850&gt;0,U850/AA850&gt;50),"POSSIBLE_SCALE_ERROR","OK"))</f>
        <v/>
      </c>
    </row>
    <row r="851">
      <c r="A851" t="inlineStr">
        <is>
          <t>T-2017-Q2-00077</t>
        </is>
      </c>
      <c r="B851" t="inlineStr">
        <is>
          <t>MPSES</t>
        </is>
      </c>
      <c r="C851" t="inlineStr">
        <is>
          <t>Director of Communications</t>
        </is>
      </c>
      <c r="D851" t="inlineStr">
        <is>
          <t>Directeur des communications</t>
        </is>
      </c>
      <c r="E851" t="inlineStr">
        <is>
          <t>Guy Gallant</t>
        </is>
      </c>
      <c r="F851" t="inlineStr">
        <is>
          <t>To accompany the Minister for a bilateral meeting with the United States Secretary of Agriculture.</t>
        </is>
      </c>
      <c r="G851" t="inlineStr">
        <is>
          <t>Pour accompagner le ministre à une réunion bilatéral auprès du Secrétaire d'agriculture des États-Unis.</t>
        </is>
      </c>
      <c r="H851" s="1" t="n">
        <v>42890</v>
      </c>
      <c r="I851" s="1" t="n">
        <v>42891</v>
      </c>
      <c r="J851" t="inlineStr">
        <is>
          <t>Toronto, ON</t>
        </is>
      </c>
      <c r="K851" t="inlineStr">
        <is>
          <t>Toronto, ON</t>
        </is>
      </c>
      <c r="P851" t="n">
        <v>553.84</v>
      </c>
      <c r="R851" t="n">
        <v>288.85</v>
      </c>
      <c r="S851" t="n">
        <v>115.75</v>
      </c>
      <c r="U851" t="n">
        <v>958.4400000000001</v>
      </c>
      <c r="V851" t="n">
        <v>1900024137</v>
      </c>
      <c r="X851" t="inlineStr">
        <is>
          <t>aafc-aac</t>
        </is>
      </c>
      <c r="Y851" t="inlineStr">
        <is>
          <t>Agriculture and Agri-Food Canada | Agriculture et Agroalimentaire Canada</t>
        </is>
      </c>
      <c r="Z851" t="n">
        <v>2</v>
      </c>
      <c r="AA851" t="n">
        <v>958.4400000000001</v>
      </c>
      <c r="AB851">
        <f>ROUND(U851-AA851,2)</f>
        <v/>
      </c>
      <c r="AC851" t="b">
        <v>0</v>
      </c>
      <c r="AD851">
        <f>IF(U851="","MISSING_TOTAL",IF(ABS(AB851)&lt;=0.01,"OK","CHECK"))</f>
        <v/>
      </c>
      <c r="AE851">
        <f>IF(U851="","MISSING",IF(AND(AA851&gt;0,U851/AA851&gt;50),"POSSIBLE_SCALE_ERROR","OK"))</f>
        <v/>
      </c>
    </row>
    <row r="852">
      <c r="A852" t="inlineStr">
        <is>
          <t>T-2017-Q2-00078</t>
        </is>
      </c>
      <c r="B852" t="inlineStr">
        <is>
          <t>MPSES</t>
        </is>
      </c>
      <c r="C852" t="inlineStr">
        <is>
          <t>Director of Communications</t>
        </is>
      </c>
      <c r="D852" t="inlineStr">
        <is>
          <t>Directeur des communications</t>
        </is>
      </c>
      <c r="E852" t="inlineStr">
        <is>
          <t>Guy Gallant</t>
        </is>
      </c>
      <c r="F852" t="inlineStr">
        <is>
          <t>To accompany the Minister to the Atlantic Growth Strategy - July 2017 Leadership Committee and the Calgary Stampede</t>
        </is>
      </c>
      <c r="G852" t="inlineStr">
        <is>
          <t>Pour accompagner le ministre à la Stratégie de croissance de l'Atlantique - Comité de leadership de juillet 2017 et Stampede de Calgary</t>
        </is>
      </c>
      <c r="H852" s="1" t="n">
        <v>42926</v>
      </c>
      <c r="I852" s="1" t="n">
        <v>42933</v>
      </c>
      <c r="J852" t="inlineStr">
        <is>
          <t>Steady Brooke, NL and Calgary, AB</t>
        </is>
      </c>
      <c r="K852" t="inlineStr">
        <is>
          <t>Steady Brooke, TN et Calgary, AB</t>
        </is>
      </c>
      <c r="P852" t="n">
        <v>1899.28</v>
      </c>
      <c r="Q852" t="n">
        <v>134.66</v>
      </c>
      <c r="R852" t="n">
        <v>684.59</v>
      </c>
      <c r="S852" t="n">
        <v>283.1</v>
      </c>
      <c r="U852" t="n">
        <v>3001.63</v>
      </c>
      <c r="V852" t="n">
        <v>1900048091</v>
      </c>
      <c r="X852" t="inlineStr">
        <is>
          <t>aafc-aac</t>
        </is>
      </c>
      <c r="Y852" t="inlineStr">
        <is>
          <t>Agriculture and Agri-Food Canada | Agriculture et Agroalimentaire Canada</t>
        </is>
      </c>
      <c r="Z852" t="n">
        <v>8</v>
      </c>
      <c r="AA852" t="n">
        <v>3001.63</v>
      </c>
      <c r="AB852">
        <f>ROUND(U852-AA852,2)</f>
        <v/>
      </c>
      <c r="AC852" t="b">
        <v>0</v>
      </c>
      <c r="AD852">
        <f>IF(U852="","MISSING_TOTAL",IF(ABS(AB852)&lt;=0.01,"OK","CHECK"))</f>
        <v/>
      </c>
      <c r="AE852">
        <f>IF(U852="","MISSING",IF(AND(AA852&gt;0,U852/AA852&gt;50),"POSSIBLE_SCALE_ERROR","OK"))</f>
        <v/>
      </c>
    </row>
    <row r="853">
      <c r="A853" t="inlineStr">
        <is>
          <t>T-2017-Q2-00079</t>
        </is>
      </c>
      <c r="B853" t="inlineStr">
        <is>
          <t>MPSES</t>
        </is>
      </c>
      <c r="C853" t="inlineStr">
        <is>
          <t>Director of Communications</t>
        </is>
      </c>
      <c r="D853" t="inlineStr">
        <is>
          <t>Directeur des communications</t>
        </is>
      </c>
      <c r="E853" t="inlineStr">
        <is>
          <t>Guy Gallant</t>
        </is>
      </c>
      <c r="F853" t="inlineStr">
        <is>
          <t>To support the Minister at the annual conference of federal, provincial and territorial Ministers and Deputy Ministers of Agriculture in Newfoundland and Labrador.</t>
        </is>
      </c>
      <c r="G853" t="inlineStr">
        <is>
          <t>Appuyer le ministre à la Conférence annuelle des ministres fédéral, provinciaux et territoriaux et des sous-ministres de l'agriculture à Terre-Neuve-et-Labrador</t>
        </is>
      </c>
      <c r="H853" s="1" t="n">
        <v>42934</v>
      </c>
      <c r="I853" s="1" t="n">
        <v>42937</v>
      </c>
      <c r="J853" t="inlineStr">
        <is>
          <t>St John's NL</t>
        </is>
      </c>
      <c r="K853" t="inlineStr">
        <is>
          <t>St John's, TN et L</t>
        </is>
      </c>
      <c r="P853" t="n">
        <v>828.27</v>
      </c>
      <c r="R853" t="n">
        <v>888.9299999999999</v>
      </c>
      <c r="S853" t="n">
        <v>249.55</v>
      </c>
      <c r="T853" t="n">
        <v>350</v>
      </c>
      <c r="U853" t="n">
        <v>2316.75</v>
      </c>
      <c r="V853" t="n">
        <v>1900048090</v>
      </c>
      <c r="X853" t="inlineStr">
        <is>
          <t>aafc-aac</t>
        </is>
      </c>
      <c r="Y853" t="inlineStr">
        <is>
          <t>Agriculture and Agri-Food Canada | Agriculture et Agroalimentaire Canada</t>
        </is>
      </c>
      <c r="Z853" t="n">
        <v>4</v>
      </c>
      <c r="AA853" t="n">
        <v>2316.75</v>
      </c>
      <c r="AB853">
        <f>ROUND(U853-AA853,2)</f>
        <v/>
      </c>
      <c r="AC853" t="b">
        <v>0</v>
      </c>
      <c r="AD853">
        <f>IF(U853="","MISSING_TOTAL",IF(ABS(AB853)&lt;=0.01,"OK","CHECK"))</f>
        <v/>
      </c>
      <c r="AE853">
        <f>IF(U853="","MISSING",IF(AND(AA853&gt;0,U853/AA853&gt;50),"POSSIBLE_SCALE_ERROR","OK"))</f>
        <v/>
      </c>
    </row>
    <row r="854">
      <c r="A854" t="inlineStr">
        <is>
          <t>T-2017-Q2-00080</t>
        </is>
      </c>
      <c r="B854" t="inlineStr">
        <is>
          <t>MPSES</t>
        </is>
      </c>
      <c r="C854" t="inlineStr">
        <is>
          <t>Director of Communications</t>
        </is>
      </c>
      <c r="D854" t="inlineStr">
        <is>
          <t>Directeur des communications</t>
        </is>
      </c>
      <c r="E854" t="inlineStr">
        <is>
          <t>Guy Gallant</t>
        </is>
      </c>
      <c r="F854" t="inlineStr">
        <is>
          <t>To support the Minister on a Pacific Northwest Region outreach to Portland, Oregon and Sun Valley, Boise, Idaho.</t>
        </is>
      </c>
      <c r="G854" t="inlineStr">
        <is>
          <t>Appuyer le ministre sur une région du Nord-Ouest du Pacifique à portée de porte à Portland, Oregon et Sun Valley, Boise, Idaho.</t>
        </is>
      </c>
      <c r="H854" s="1" t="n">
        <v>42939</v>
      </c>
      <c r="I854" s="1" t="n">
        <v>42946</v>
      </c>
      <c r="J854" t="inlineStr">
        <is>
          <t>Portland, Oregon and Sun Valley, Boise, Idaho</t>
        </is>
      </c>
      <c r="K854" t="inlineStr">
        <is>
          <t>Portland, Oregon and Sun Valley, Boise, Idaho</t>
        </is>
      </c>
      <c r="P854" t="n">
        <v>1957.59</v>
      </c>
      <c r="R854" t="n">
        <v>1776.3</v>
      </c>
      <c r="S854" t="n">
        <v>669.84</v>
      </c>
      <c r="U854" t="n">
        <v>4403.73</v>
      </c>
      <c r="V854" t="n">
        <v>1900061500</v>
      </c>
      <c r="X854" t="inlineStr">
        <is>
          <t>aafc-aac</t>
        </is>
      </c>
      <c r="Y854" t="inlineStr">
        <is>
          <t>Agriculture and Agri-Food Canada | Agriculture et Agroalimentaire Canada</t>
        </is>
      </c>
      <c r="Z854" t="n">
        <v>8</v>
      </c>
      <c r="AA854" t="n">
        <v>4403.73</v>
      </c>
      <c r="AB854">
        <f>ROUND(U854-AA854,2)</f>
        <v/>
      </c>
      <c r="AC854" t="b">
        <v>0</v>
      </c>
      <c r="AD854">
        <f>IF(U854="","MISSING_TOTAL",IF(ABS(AB854)&lt;=0.01,"OK","CHECK"))</f>
        <v/>
      </c>
      <c r="AE854">
        <f>IF(U854="","MISSING",IF(AND(AA854&gt;0,U854/AA854&gt;50),"POSSIBLE_SCALE_ERROR","OK"))</f>
        <v/>
      </c>
    </row>
    <row r="855">
      <c r="A855" t="inlineStr">
        <is>
          <t>T-2017-Q2-00081</t>
        </is>
      </c>
      <c r="B855" t="inlineStr">
        <is>
          <t>MPSES</t>
        </is>
      </c>
      <c r="C855" t="inlineStr">
        <is>
          <t>Director of Communications</t>
        </is>
      </c>
      <c r="D855" t="inlineStr">
        <is>
          <t>Directeur des communications</t>
        </is>
      </c>
      <c r="E855" t="inlineStr">
        <is>
          <t>Guy Gallant</t>
        </is>
      </c>
      <c r="F855" t="inlineStr">
        <is>
          <t>To accompany the Minister to announcement, stakeholder meetings and Agriculture Canada Announcement with PEI Agriculture Federation as Research Farm.</t>
        </is>
      </c>
      <c r="G855" t="inlineStr">
        <is>
          <t>Pour accompagner le ministre à l'annonce, les réunions des parties prenantes et l'annonce d'Agriculture Canada avec la Fédération de l'agriculture de l'Î.-P.-É. Comme ferme de recherche.</t>
        </is>
      </c>
      <c r="H855" s="1" t="n">
        <v>42947</v>
      </c>
      <c r="I855" s="1" t="n">
        <v>42955</v>
      </c>
      <c r="J855" t="inlineStr">
        <is>
          <t>Charlottetown, PEI</t>
        </is>
      </c>
      <c r="K855" t="inlineStr">
        <is>
          <t>Charlottetown, L’Î-P-É</t>
        </is>
      </c>
      <c r="P855" t="n">
        <v>1210.52</v>
      </c>
      <c r="R855" t="n">
        <v>967.74</v>
      </c>
      <c r="S855" t="n">
        <v>525.95</v>
      </c>
      <c r="U855" t="n">
        <v>2704.21</v>
      </c>
      <c r="V855" t="n">
        <v>1900062799</v>
      </c>
      <c r="X855" t="inlineStr">
        <is>
          <t>aafc-aac</t>
        </is>
      </c>
      <c r="Y855" t="inlineStr">
        <is>
          <t>Agriculture and Agri-Food Canada | Agriculture et Agroalimentaire Canada</t>
        </is>
      </c>
      <c r="Z855" t="n">
        <v>9</v>
      </c>
      <c r="AA855" t="n">
        <v>2704.21</v>
      </c>
      <c r="AB855">
        <f>ROUND(U855-AA855,2)</f>
        <v/>
      </c>
      <c r="AC855" t="b">
        <v>0</v>
      </c>
      <c r="AD855">
        <f>IF(U855="","MISSING_TOTAL",IF(ABS(AB855)&lt;=0.01,"OK","CHECK"))</f>
        <v/>
      </c>
      <c r="AE855">
        <f>IF(U855="","MISSING",IF(AND(AA855&gt;0,U855/AA855&gt;50),"POSSIBLE_SCALE_ERROR","OK"))</f>
        <v/>
      </c>
    </row>
    <row r="856">
      <c r="A856" t="inlineStr">
        <is>
          <t>T-2017-Q2-00083</t>
        </is>
      </c>
      <c r="B856" t="inlineStr">
        <is>
          <t>MPSES</t>
        </is>
      </c>
      <c r="C856" t="inlineStr">
        <is>
          <t>Director of Communications</t>
        </is>
      </c>
      <c r="D856" t="inlineStr">
        <is>
          <t>Directeur des communications</t>
        </is>
      </c>
      <c r="E856" t="inlineStr">
        <is>
          <t>Guy Gallant</t>
        </is>
      </c>
      <c r="F856" t="inlineStr">
        <is>
          <t>To accompany the Minister for Government announcements, meetings with Stakeholders and events with the Minister.</t>
        </is>
      </c>
      <c r="G856" t="inlineStr">
        <is>
          <t>Pour accompagner le ministre des annonces du gouvernement, des rencontres avec les parties prenantes et les événements avec le ministre.</t>
        </is>
      </c>
      <c r="H856" s="1" t="n">
        <v>42976</v>
      </c>
      <c r="I856" s="1" t="n">
        <v>42979</v>
      </c>
      <c r="J856" t="inlineStr">
        <is>
          <t>Charlottetown, PEI</t>
        </is>
      </c>
      <c r="K856" t="inlineStr">
        <is>
          <t>Charlottetown, L’Î-P-É</t>
        </is>
      </c>
      <c r="Q856" t="n">
        <v>195.33</v>
      </c>
      <c r="R856" t="n">
        <v>837.45</v>
      </c>
      <c r="S856" t="n">
        <v>232.25</v>
      </c>
      <c r="U856" t="n">
        <v>1265.03</v>
      </c>
      <c r="V856" t="n">
        <v>1900073275</v>
      </c>
      <c r="X856" t="inlineStr">
        <is>
          <t>aafc-aac</t>
        </is>
      </c>
      <c r="Y856" t="inlineStr">
        <is>
          <t>Agriculture and Agri-Food Canada | Agriculture et Agroalimentaire Canada</t>
        </is>
      </c>
      <c r="Z856" t="n">
        <v>4</v>
      </c>
      <c r="AA856" t="n">
        <v>1265.03</v>
      </c>
      <c r="AB856">
        <f>ROUND(U856-AA856,2)</f>
        <v/>
      </c>
      <c r="AC856" t="b">
        <v>0</v>
      </c>
      <c r="AD856">
        <f>IF(U856="","MISSING_TOTAL",IF(ABS(AB856)&lt;=0.01,"OK","CHECK"))</f>
        <v/>
      </c>
      <c r="AE856">
        <f>IF(U856="","MISSING",IF(AND(AA856&gt;0,U856/AA856&gt;50),"POSSIBLE_SCALE_ERROR","OK"))</f>
        <v/>
      </c>
    </row>
    <row r="857">
      <c r="A857" t="inlineStr">
        <is>
          <t>T-2017-Q2-00084</t>
        </is>
      </c>
      <c r="B857" t="inlineStr">
        <is>
          <t>MPSES</t>
        </is>
      </c>
      <c r="C857" t="inlineStr">
        <is>
          <t>Director of Communications</t>
        </is>
      </c>
      <c r="D857" t="inlineStr">
        <is>
          <t>Directeur des communications</t>
        </is>
      </c>
      <c r="E857" t="inlineStr">
        <is>
          <t>Guy Gallant</t>
        </is>
      </c>
      <c r="F857" t="inlineStr">
        <is>
          <t>To accompany the Minister to the conference of the New England Governors and eastern canadian premiers meeting.</t>
        </is>
      </c>
      <c r="G857" t="inlineStr">
        <is>
          <t>Pour accompagner le ministre à la conférence des gouverneurs de la Nouvelle-Angleterre et à la réunion des premiers ministres de l'Est du Canada.</t>
        </is>
      </c>
      <c r="H857" s="1" t="n">
        <v>42973</v>
      </c>
      <c r="I857" s="1" t="n">
        <v>42975</v>
      </c>
      <c r="J857" t="inlineStr">
        <is>
          <t>St Peters, NS</t>
        </is>
      </c>
      <c r="K857" t="inlineStr">
        <is>
          <t>St Peters, NÉ</t>
        </is>
      </c>
      <c r="Q857" t="n">
        <v>153.93</v>
      </c>
      <c r="R857" t="n">
        <v>287.5</v>
      </c>
      <c r="S857" t="n">
        <v>196.9</v>
      </c>
      <c r="U857" t="n">
        <v>638.33</v>
      </c>
      <c r="V857" t="n">
        <v>1900073386</v>
      </c>
      <c r="X857" t="inlineStr">
        <is>
          <t>aafc-aac</t>
        </is>
      </c>
      <c r="Y857" t="inlineStr">
        <is>
          <t>Agriculture and Agri-Food Canada | Agriculture et Agroalimentaire Canada</t>
        </is>
      </c>
      <c r="Z857" t="n">
        <v>3</v>
      </c>
      <c r="AA857" t="n">
        <v>638.33</v>
      </c>
      <c r="AB857">
        <f>ROUND(U857-AA857,2)</f>
        <v/>
      </c>
      <c r="AC857" t="b">
        <v>0</v>
      </c>
      <c r="AD857">
        <f>IF(U857="","MISSING_TOTAL",IF(ABS(AB857)&lt;=0.01,"OK","CHECK"))</f>
        <v/>
      </c>
      <c r="AE857">
        <f>IF(U857="","MISSING",IF(AND(AA857&gt;0,U857/AA857&gt;50),"POSSIBLE_SCALE_ERROR","OK"))</f>
        <v/>
      </c>
    </row>
    <row r="858">
      <c r="A858" t="inlineStr">
        <is>
          <t>T-2017-Q2-00085</t>
        </is>
      </c>
      <c r="B858" t="inlineStr">
        <is>
          <t>MPSES</t>
        </is>
      </c>
      <c r="C858" t="inlineStr">
        <is>
          <t>Director of Communications</t>
        </is>
      </c>
      <c r="D858" t="inlineStr">
        <is>
          <t>Directeur des communications</t>
        </is>
      </c>
      <c r="E858" t="inlineStr">
        <is>
          <t>Guy Gallant</t>
        </is>
      </c>
      <c r="F858" t="inlineStr">
        <is>
          <t>To accompany the Minister to bilateral meeting with AgroPur.</t>
        </is>
      </c>
      <c r="G858" t="inlineStr">
        <is>
          <t>Pour accompagner le ministre à une réunion bilatérale avec AgroPur.</t>
        </is>
      </c>
      <c r="H858" s="1" t="n">
        <v>42975</v>
      </c>
      <c r="I858" s="1" t="n">
        <v>42976</v>
      </c>
      <c r="J858" t="inlineStr">
        <is>
          <t>Sussex, NB</t>
        </is>
      </c>
      <c r="K858" t="inlineStr">
        <is>
          <t>Sussex, NB</t>
        </is>
      </c>
      <c r="Q858" t="n">
        <v>153.93</v>
      </c>
      <c r="R858" t="n">
        <v>113.85</v>
      </c>
      <c r="S858" t="n">
        <v>81.3</v>
      </c>
      <c r="T858" t="n">
        <v>7.59</v>
      </c>
      <c r="U858" t="n">
        <v>356.67</v>
      </c>
      <c r="V858" t="n">
        <v>1900073422</v>
      </c>
      <c r="X858" t="inlineStr">
        <is>
          <t>aafc-aac</t>
        </is>
      </c>
      <c r="Y858" t="inlineStr">
        <is>
          <t>Agriculture and Agri-Food Canada | Agriculture et Agroalimentaire Canada</t>
        </is>
      </c>
      <c r="Z858" t="n">
        <v>2</v>
      </c>
      <c r="AA858" t="n">
        <v>356.669999999999</v>
      </c>
      <c r="AB858">
        <f>ROUND(U858-AA858,2)</f>
        <v/>
      </c>
      <c r="AC858" t="b">
        <v>0</v>
      </c>
      <c r="AD858">
        <f>IF(U858="","MISSING_TOTAL",IF(ABS(AB858)&lt;=0.01,"OK","CHECK"))</f>
        <v/>
      </c>
      <c r="AE858">
        <f>IF(U858="","MISSING",IF(AND(AA858&gt;0,U858/AA858&gt;50),"POSSIBLE_SCALE_ERROR","OK"))</f>
        <v/>
      </c>
    </row>
    <row r="859">
      <c r="A859" t="inlineStr">
        <is>
          <t>T-2017-Q2-00086</t>
        </is>
      </c>
      <c r="B859" t="inlineStr">
        <is>
          <t>MPSES</t>
        </is>
      </c>
      <c r="C859" t="inlineStr">
        <is>
          <t>Communications Advisor</t>
        </is>
      </c>
      <c r="D859" t="inlineStr">
        <is>
          <t>Conseiller en communications</t>
        </is>
      </c>
      <c r="E859" t="inlineStr">
        <is>
          <t>Oliver Anderson</t>
        </is>
      </c>
      <c r="F859" t="inlineStr">
        <is>
          <t>To accompany the Minister to an outreach in south western Ontario Guelph, Waterloo, Kitchener and Elora Research Barn Announcement with Minister Leal, market visit, Conestoga meat packers tour</t>
        </is>
      </c>
      <c r="G859" t="inlineStr">
        <is>
          <t>Pour accompagner le ministre à une visite de sensibilisation dans le sud-ouest de l'Ontario,  Guelph, Waterloo, Kitchener,  grange de recherche Elora. Accompagner le ministre Leal lors d'une announce, visite du marché ainsi une tournée de comptoirs de viande Conestega.</t>
        </is>
      </c>
      <c r="H859" s="1" t="n">
        <v>42921</v>
      </c>
      <c r="I859" s="1" t="n">
        <v>42923</v>
      </c>
      <c r="J859" t="inlineStr">
        <is>
          <t>Guelph, ON</t>
        </is>
      </c>
      <c r="K859" t="inlineStr">
        <is>
          <t>Guelph, ON</t>
        </is>
      </c>
      <c r="P859" t="n">
        <v>563.02</v>
      </c>
      <c r="Q859" t="n">
        <v>35.67</v>
      </c>
      <c r="R859" t="n">
        <v>275.72</v>
      </c>
      <c r="S859" t="n">
        <v>214.2</v>
      </c>
      <c r="U859" t="n">
        <v>1088.61</v>
      </c>
      <c r="V859" t="n">
        <v>1900047653</v>
      </c>
      <c r="X859" t="inlineStr">
        <is>
          <t>aafc-aac</t>
        </is>
      </c>
      <c r="Y859" t="inlineStr">
        <is>
          <t>Agriculture and Agri-Food Canada | Agriculture et Agroalimentaire Canada</t>
        </is>
      </c>
      <c r="Z859" t="n">
        <v>3</v>
      </c>
      <c r="AA859" t="n">
        <v>1088.61</v>
      </c>
      <c r="AB859">
        <f>ROUND(U859-AA859,2)</f>
        <v/>
      </c>
      <c r="AC859" t="b">
        <v>0</v>
      </c>
      <c r="AD859">
        <f>IF(U859="","MISSING_TOTAL",IF(ABS(AB859)&lt;=0.01,"OK","CHECK"))</f>
        <v/>
      </c>
      <c r="AE859">
        <f>IF(U859="","MISSING",IF(AND(AA859&gt;0,U859/AA859&gt;50),"POSSIBLE_SCALE_ERROR","OK"))</f>
        <v/>
      </c>
    </row>
    <row r="860">
      <c r="A860" t="inlineStr">
        <is>
          <t>T-2017-Q2-00082</t>
        </is>
      </c>
      <c r="B860" t="inlineStr">
        <is>
          <t>MPSES</t>
        </is>
      </c>
      <c r="C860" t="inlineStr">
        <is>
          <t>Director of Communications</t>
        </is>
      </c>
      <c r="D860" t="inlineStr">
        <is>
          <t>Directeur des communications</t>
        </is>
      </c>
      <c r="E860" t="inlineStr">
        <is>
          <t>Guy Gallant</t>
        </is>
      </c>
      <c r="F860" t="inlineStr">
        <is>
          <t>To accompany the Minister to Saint John for New Brunswick Outreach.</t>
        </is>
      </c>
      <c r="G860" t="inlineStr">
        <is>
          <t>Pour accompagner le ministre à Saint John pour la sensibilisation du Nouveau-Brunswick.</t>
        </is>
      </c>
      <c r="H860" s="1" t="n">
        <v>42971</v>
      </c>
      <c r="I860" s="1" t="n">
        <v>42973</v>
      </c>
      <c r="J860" t="inlineStr">
        <is>
          <t>Saint John, NB</t>
        </is>
      </c>
      <c r="K860" t="inlineStr">
        <is>
          <t>Saint John, NB</t>
        </is>
      </c>
      <c r="Q860" t="n">
        <v>218.77</v>
      </c>
      <c r="R860" t="n">
        <v>284.28</v>
      </c>
      <c r="S860" t="n">
        <v>242.1</v>
      </c>
      <c r="U860" t="n">
        <v>745.15</v>
      </c>
      <c r="V860" t="n">
        <v>1900073328</v>
      </c>
      <c r="X860" t="inlineStr">
        <is>
          <t>aafc-aac</t>
        </is>
      </c>
      <c r="Y860" t="inlineStr">
        <is>
          <t>Agriculture and Agri-Food Canada | Agriculture et Agroalimentaire Canada</t>
        </is>
      </c>
      <c r="Z860" t="n">
        <v>3</v>
      </c>
      <c r="AA860" t="n">
        <v>745.15</v>
      </c>
      <c r="AB860">
        <f>ROUND(U860-AA860,2)</f>
        <v/>
      </c>
      <c r="AC860" t="b">
        <v>0</v>
      </c>
      <c r="AD860">
        <f>IF(U860="","MISSING_TOTAL",IF(ABS(AB860)&lt;=0.01,"OK","CHECK"))</f>
        <v/>
      </c>
      <c r="AE860">
        <f>IF(U860="","MISSING",IF(AND(AA860&gt;0,U860/AA860&gt;50),"POSSIBLE_SCALE_ERROR","OK"))</f>
        <v/>
      </c>
    </row>
    <row r="861">
      <c r="A861" t="inlineStr">
        <is>
          <t>T-2017-Q2-00087</t>
        </is>
      </c>
      <c r="B861" t="inlineStr">
        <is>
          <t>MPSES</t>
        </is>
      </c>
      <c r="C861" t="inlineStr">
        <is>
          <t>Chief of Staff</t>
        </is>
      </c>
      <c r="D861" t="inlineStr">
        <is>
          <t>Chef de cabinet</t>
        </is>
      </c>
      <c r="E861" t="inlineStr">
        <is>
          <t>Mary Jean McFall</t>
        </is>
      </c>
      <c r="F861" t="inlineStr">
        <is>
          <t>To accompany the Minister for a Bilateral Meeting with the United states Secretary of Agriculture</t>
        </is>
      </c>
      <c r="G861" t="inlineStr">
        <is>
          <t>Pour accompagner le ministre pour une réunion bilatérale avec le secrétaire d'agriculture des États-Unis</t>
        </is>
      </c>
      <c r="H861" s="1" t="n">
        <v>42890</v>
      </c>
      <c r="I861" s="1" t="n">
        <v>42891</v>
      </c>
      <c r="J861" t="inlineStr">
        <is>
          <t>Toronto, ON</t>
        </is>
      </c>
      <c r="K861" t="inlineStr">
        <is>
          <t>Toronto, ON</t>
        </is>
      </c>
      <c r="P861" t="n">
        <v>835.35</v>
      </c>
      <c r="Q861" t="n">
        <v>35.43</v>
      </c>
      <c r="R861" t="n">
        <v>288.85</v>
      </c>
      <c r="S861" t="n">
        <v>115.75</v>
      </c>
      <c r="U861" t="n">
        <v>1275.38</v>
      </c>
      <c r="V861" t="n">
        <v>1900023444</v>
      </c>
      <c r="X861" t="inlineStr">
        <is>
          <t>aafc-aac</t>
        </is>
      </c>
      <c r="Y861" t="inlineStr">
        <is>
          <t>Agriculture and Agri-Food Canada | Agriculture et Agroalimentaire Canada</t>
        </is>
      </c>
      <c r="Z861" t="n">
        <v>2</v>
      </c>
      <c r="AA861" t="n">
        <v>1275.38</v>
      </c>
      <c r="AB861">
        <f>ROUND(U861-AA861,2)</f>
        <v/>
      </c>
      <c r="AC861" t="b">
        <v>0</v>
      </c>
      <c r="AD861">
        <f>IF(U861="","MISSING_TOTAL",IF(ABS(AB861)&lt;=0.01,"OK","CHECK"))</f>
        <v/>
      </c>
      <c r="AE861">
        <f>IF(U861="","MISSING",IF(AND(AA861&gt;0,U861/AA861&gt;50),"POSSIBLE_SCALE_ERROR","OK"))</f>
        <v/>
      </c>
    </row>
    <row r="862">
      <c r="A862" t="inlineStr">
        <is>
          <t>T-2017-Q3-00026</t>
        </is>
      </c>
      <c r="B862" t="inlineStr">
        <is>
          <t>SLE</t>
        </is>
      </c>
      <c r="C862" t="inlineStr">
        <is>
          <t>Associate Assistant Deputy Minister</t>
        </is>
      </c>
      <c r="D862" t="inlineStr">
        <is>
          <t>Sous-ministre adjoint délégué</t>
        </is>
      </c>
      <c r="E862" t="inlineStr">
        <is>
          <t>Gilles Saindon</t>
        </is>
      </c>
      <c r="F862" t="inlineStr">
        <is>
          <t>To attend bilat with Universty of Laval Officials and visit Research Farms.</t>
        </is>
      </c>
      <c r="G862" t="inlineStr">
        <is>
          <t>Participer à une rencontre bilatérale avec des représentants de l'Université Laval et visité les fermes de recherche.</t>
        </is>
      </c>
      <c r="H862" s="1" t="n">
        <v>43006</v>
      </c>
      <c r="I862" s="1" t="n">
        <v>43008</v>
      </c>
      <c r="J862" t="inlineStr">
        <is>
          <t>Quebec City, Quebec</t>
        </is>
      </c>
      <c r="K862" t="inlineStr">
        <is>
          <t>Québec, Québec</t>
        </is>
      </c>
      <c r="P862" t="n">
        <v>754.14</v>
      </c>
      <c r="Q862" t="n">
        <v>156.74</v>
      </c>
      <c r="R862" t="n">
        <v>366.52</v>
      </c>
      <c r="S862" t="n">
        <v>168.25</v>
      </c>
      <c r="U862" t="n">
        <v>1445.65</v>
      </c>
      <c r="V862" t="inlineStr">
        <is>
          <t>AJD929254</t>
        </is>
      </c>
      <c r="X862" t="inlineStr">
        <is>
          <t>aafc-aac</t>
        </is>
      </c>
      <c r="Y862" t="inlineStr">
        <is>
          <t>Agriculture and Agri-Food Canada | Agriculture et Agroalimentaire Canada</t>
        </is>
      </c>
      <c r="Z862" t="n">
        <v>3</v>
      </c>
      <c r="AA862" t="n">
        <v>1445.65</v>
      </c>
      <c r="AB862">
        <f>ROUND(U862-AA862,2)</f>
        <v/>
      </c>
      <c r="AC862" t="b">
        <v>0</v>
      </c>
      <c r="AD862">
        <f>IF(U862="","MISSING_TOTAL",IF(ABS(AB862)&lt;=0.01,"OK","CHECK"))</f>
        <v/>
      </c>
      <c r="AE862">
        <f>IF(U862="","MISSING",IF(AND(AA862&gt;0,U862/AA862&gt;50),"POSSIBLE_SCALE_ERROR","OK"))</f>
        <v/>
      </c>
    </row>
    <row r="863">
      <c r="A863" t="inlineStr">
        <is>
          <t>T-2017-Q2-00088</t>
        </is>
      </c>
      <c r="B863" t="inlineStr">
        <is>
          <t>MPSES</t>
        </is>
      </c>
      <c r="C863" t="inlineStr">
        <is>
          <t>Chief of Staff</t>
        </is>
      </c>
      <c r="D863" t="inlineStr">
        <is>
          <t>Chef de cabinet</t>
        </is>
      </c>
      <c r="E863" t="inlineStr">
        <is>
          <t>Mary Jean McFall</t>
        </is>
      </c>
      <c r="F863" t="inlineStr">
        <is>
          <t>To accompany the Minister to Savannah, Georgia for the Trilateral Agriculture Ministers meeting with the U.S. Secretary of Agriculture and the Mexican Secretary of Agriculture</t>
        </is>
      </c>
      <c r="G863" t="inlineStr">
        <is>
          <t>Pour accompagner le ministre à Savannah, en Géorgie, pour les ministres trilatéraux de l'agriculture réunis avec le secrétaire américain à l'agriculture et le secrétaire mexicain à l'agriculture</t>
        </is>
      </c>
      <c r="H863" s="1" t="n">
        <v>42905</v>
      </c>
      <c r="I863" s="1" t="n">
        <v>42908</v>
      </c>
      <c r="J863" t="inlineStr">
        <is>
          <t>Savannah, USA</t>
        </is>
      </c>
      <c r="K863" t="inlineStr">
        <is>
          <t>Savannah, É-U</t>
        </is>
      </c>
      <c r="P863" t="n">
        <v>1072.9</v>
      </c>
      <c r="Q863" t="n">
        <v>72.15000000000001</v>
      </c>
      <c r="R863" t="n">
        <v>546.78</v>
      </c>
      <c r="S863" t="n">
        <v>338.66</v>
      </c>
      <c r="U863" t="n">
        <v>2030.49</v>
      </c>
      <c r="V863" t="n">
        <v>1900033943</v>
      </c>
      <c r="X863" t="inlineStr">
        <is>
          <t>aafc-aac</t>
        </is>
      </c>
      <c r="Y863" t="inlineStr">
        <is>
          <t>Agriculture and Agri-Food Canada | Agriculture et Agroalimentaire Canada</t>
        </is>
      </c>
      <c r="Z863" t="n">
        <v>4</v>
      </c>
      <c r="AA863" t="n">
        <v>2030.49</v>
      </c>
      <c r="AB863">
        <f>ROUND(U863-AA863,2)</f>
        <v/>
      </c>
      <c r="AC863" t="b">
        <v>0</v>
      </c>
      <c r="AD863">
        <f>IF(U863="","MISSING_TOTAL",IF(ABS(AB863)&lt;=0.01,"OK","CHECK"))</f>
        <v/>
      </c>
      <c r="AE863">
        <f>IF(U863="","MISSING",IF(AND(AA863&gt;0,U863/AA863&gt;50),"POSSIBLE_SCALE_ERROR","OK"))</f>
        <v/>
      </c>
    </row>
    <row r="864">
      <c r="A864" t="inlineStr">
        <is>
          <t>T-2017-Q2-00089</t>
        </is>
      </c>
      <c r="B864" t="inlineStr">
        <is>
          <t>MPSES</t>
        </is>
      </c>
      <c r="C864" t="inlineStr">
        <is>
          <t>Chief of Staff</t>
        </is>
      </c>
      <c r="D864" t="inlineStr">
        <is>
          <t>Chef de cabinet</t>
        </is>
      </c>
      <c r="E864" t="inlineStr">
        <is>
          <t>Mary Jean McFall</t>
        </is>
      </c>
      <c r="F864" t="inlineStr">
        <is>
          <t>To support the Minister at the annual Conference of Federal, Provincial and Territorial Ministers and  Deputy Ministers of Agriculture in Newfoundland and Labrador</t>
        </is>
      </c>
      <c r="G864" t="inlineStr">
        <is>
          <t>Aider le ministre à la Conférence annuelle des ministres fédéraux, provinciaux et territoriaux et des sous-ministres de l'agriculture de Terre-Neuve-et-Labrador</t>
        </is>
      </c>
      <c r="H864" s="1" t="n">
        <v>42934</v>
      </c>
      <c r="I864" s="1" t="n">
        <v>42937</v>
      </c>
      <c r="J864" t="inlineStr">
        <is>
          <t>St John's, NFLD</t>
        </is>
      </c>
      <c r="K864" t="inlineStr">
        <is>
          <t>St John's, TN</t>
        </is>
      </c>
      <c r="P864" t="n">
        <v>828.27</v>
      </c>
      <c r="Q864" t="n">
        <v>73.44</v>
      </c>
      <c r="R864" t="n">
        <v>888.9299999999999</v>
      </c>
      <c r="S864" t="n">
        <v>249.55</v>
      </c>
      <c r="T864" t="n">
        <v>350</v>
      </c>
      <c r="U864" t="n">
        <v>2390.19</v>
      </c>
      <c r="V864" t="n">
        <v>1900048096</v>
      </c>
      <c r="X864" t="inlineStr">
        <is>
          <t>aafc-aac</t>
        </is>
      </c>
      <c r="Y864" t="inlineStr">
        <is>
          <t>Agriculture and Agri-Food Canada | Agriculture et Agroalimentaire Canada</t>
        </is>
      </c>
      <c r="Z864" t="n">
        <v>4</v>
      </c>
      <c r="AA864" t="n">
        <v>2390.18999999999</v>
      </c>
      <c r="AB864">
        <f>ROUND(U864-AA864,2)</f>
        <v/>
      </c>
      <c r="AC864" t="b">
        <v>0</v>
      </c>
      <c r="AD864">
        <f>IF(U864="","MISSING_TOTAL",IF(ABS(AB864)&lt;=0.01,"OK","CHECK"))</f>
        <v/>
      </c>
      <c r="AE864">
        <f>IF(U864="","MISSING",IF(AND(AA864&gt;0,U864/AA864&gt;50),"POSSIBLE_SCALE_ERROR","OK"))</f>
        <v/>
      </c>
    </row>
    <row r="865">
      <c r="A865" t="inlineStr">
        <is>
          <t>T-2017-Q2-00090</t>
        </is>
      </c>
      <c r="B865" t="inlineStr">
        <is>
          <t>MPSES</t>
        </is>
      </c>
      <c r="C865" t="inlineStr">
        <is>
          <t>Chief of Staff</t>
        </is>
      </c>
      <c r="D865" t="inlineStr">
        <is>
          <t>Chef de cabinet</t>
        </is>
      </c>
      <c r="E865" t="inlineStr">
        <is>
          <t>Mary Jean McFall</t>
        </is>
      </c>
      <c r="F865" t="inlineStr">
        <is>
          <t>To support the Minister with  meetings in Prince Edward Island</t>
        </is>
      </c>
      <c r="G865" t="inlineStr">
        <is>
          <t>Supporter le ministre aux reunions à L’Île-du-Prince-Édouard</t>
        </is>
      </c>
      <c r="H865" s="1" t="n">
        <v>42977</v>
      </c>
      <c r="I865" s="1" t="n">
        <v>42979</v>
      </c>
      <c r="J865" t="inlineStr">
        <is>
          <t>Charlottetown, PEI</t>
        </is>
      </c>
      <c r="K865" t="inlineStr">
        <is>
          <t>Charlottetown, l’Î.-P.-É</t>
        </is>
      </c>
      <c r="P865" t="n">
        <v>664.15</v>
      </c>
      <c r="Q865" t="n">
        <v>193.63</v>
      </c>
      <c r="R865" t="n">
        <v>471.44</v>
      </c>
      <c r="S865" t="n">
        <v>133.95</v>
      </c>
      <c r="U865" t="n">
        <v>1463.17</v>
      </c>
      <c r="V865" t="n">
        <v>1900073061</v>
      </c>
      <c r="X865" t="inlineStr">
        <is>
          <t>aafc-aac</t>
        </is>
      </c>
      <c r="Y865" t="inlineStr">
        <is>
          <t>Agriculture and Agri-Food Canada | Agriculture et Agroalimentaire Canada</t>
        </is>
      </c>
      <c r="Z865" t="n">
        <v>3</v>
      </c>
      <c r="AA865" t="n">
        <v>1463.17</v>
      </c>
      <c r="AB865">
        <f>ROUND(U865-AA865,2)</f>
        <v/>
      </c>
      <c r="AC865" t="b">
        <v>0</v>
      </c>
      <c r="AD865">
        <f>IF(U865="","MISSING_TOTAL",IF(ABS(AB865)&lt;=0.01,"OK","CHECK"))</f>
        <v/>
      </c>
      <c r="AE865">
        <f>IF(U865="","MISSING",IF(AND(AA865&gt;0,U865/AA865&gt;50),"POSSIBLE_SCALE_ERROR","OK"))</f>
        <v/>
      </c>
    </row>
    <row r="866">
      <c r="A866" t="inlineStr">
        <is>
          <t>T-2017-Q2-00091</t>
        </is>
      </c>
      <c r="B866" t="inlineStr">
        <is>
          <t>MPSES</t>
        </is>
      </c>
      <c r="C866" t="inlineStr">
        <is>
          <t>Minister</t>
        </is>
      </c>
      <c r="D866" t="inlineStr">
        <is>
          <t>Ministre</t>
        </is>
      </c>
      <c r="E866" t="inlineStr">
        <is>
          <t>Lawrence MacAulay</t>
        </is>
      </c>
      <c r="F866" t="inlineStr">
        <is>
          <t>Bilateral meeting with the United States Secretary of Agriculture.</t>
        </is>
      </c>
      <c r="G866" t="inlineStr">
        <is>
          <t>Réunion bilatérale avec le secrétaire d'agriculture des États-Unis.</t>
        </is>
      </c>
      <c r="H866" s="1" t="n">
        <v>42890</v>
      </c>
      <c r="I866" s="1" t="n">
        <v>42891</v>
      </c>
      <c r="J866" t="inlineStr">
        <is>
          <t>Toronto, ON</t>
        </is>
      </c>
      <c r="K866" t="inlineStr">
        <is>
          <t>Toronto, ON</t>
        </is>
      </c>
      <c r="P866" t="n">
        <v>970.87</v>
      </c>
      <c r="Q866" t="n">
        <v>26.23</v>
      </c>
      <c r="R866" t="n">
        <v>288.85</v>
      </c>
      <c r="S866" t="n">
        <v>115.75</v>
      </c>
      <c r="U866" t="n">
        <v>1401.7</v>
      </c>
      <c r="V866" t="n">
        <v>1900025351</v>
      </c>
      <c r="X866" t="inlineStr">
        <is>
          <t>aafc-aac</t>
        </is>
      </c>
      <c r="Y866" t="inlineStr">
        <is>
          <t>Agriculture and Agri-Food Canada | Agriculture et Agroalimentaire Canada</t>
        </is>
      </c>
      <c r="Z866" t="n">
        <v>2</v>
      </c>
      <c r="AA866" t="n">
        <v>1401.7</v>
      </c>
      <c r="AB866">
        <f>ROUND(U866-AA866,2)</f>
        <v/>
      </c>
      <c r="AC866" t="b">
        <v>0</v>
      </c>
      <c r="AD866">
        <f>IF(U866="","MISSING_TOTAL",IF(ABS(AB866)&lt;=0.01,"OK","CHECK"))</f>
        <v/>
      </c>
      <c r="AE866">
        <f>IF(U866="","MISSING",IF(AND(AA866&gt;0,U866/AA866&gt;50),"POSSIBLE_SCALE_ERROR","OK"))</f>
        <v/>
      </c>
    </row>
    <row r="867">
      <c r="A867" t="inlineStr">
        <is>
          <t>T-2017-Q2-00092</t>
        </is>
      </c>
      <c r="B867" t="inlineStr">
        <is>
          <t>MPSES</t>
        </is>
      </c>
      <c r="C867" t="inlineStr">
        <is>
          <t>Minister</t>
        </is>
      </c>
      <c r="D867" t="inlineStr">
        <is>
          <t>Ministre</t>
        </is>
      </c>
      <c r="E867" t="inlineStr">
        <is>
          <t>Lawrence MacAulay</t>
        </is>
      </c>
      <c r="F867" t="inlineStr">
        <is>
          <t>Travel to Savannah, Georgia for the Trilateral Agriculture Ministers meeting with the U. S. Secretary of Agriculture and the Mexican Secretary of Agriculture.</t>
        </is>
      </c>
      <c r="G867" t="inlineStr">
        <is>
          <t>Voyage à Savannah, en Géorgie, pour assister à des réunions trilatérale des ministres de l'agriculture avec le secrétaire de l'agriculture de les États Unis et le secrétaire mexicain de l'agriculture.</t>
        </is>
      </c>
      <c r="H867" s="1" t="n">
        <v>42905</v>
      </c>
      <c r="I867" s="1" t="n">
        <v>42908</v>
      </c>
      <c r="J867" t="inlineStr">
        <is>
          <t>Savannah, USA</t>
        </is>
      </c>
      <c r="K867" t="inlineStr">
        <is>
          <t>Savannah, É.-U.</t>
        </is>
      </c>
      <c r="P867" t="n">
        <v>1239.85</v>
      </c>
      <c r="R867" t="n">
        <v>546.78</v>
      </c>
      <c r="S867" t="n">
        <v>315.92</v>
      </c>
      <c r="U867" t="n">
        <v>2102.55</v>
      </c>
      <c r="V867" t="n">
        <v>1900033945</v>
      </c>
      <c r="X867" t="inlineStr">
        <is>
          <t>aafc-aac</t>
        </is>
      </c>
      <c r="Y867" t="inlineStr">
        <is>
          <t>Agriculture and Agri-Food Canada | Agriculture et Agroalimentaire Canada</t>
        </is>
      </c>
      <c r="Z867" t="n">
        <v>4</v>
      </c>
      <c r="AA867" t="n">
        <v>2102.54999999999</v>
      </c>
      <c r="AB867">
        <f>ROUND(U867-AA867,2)</f>
        <v/>
      </c>
      <c r="AC867" t="b">
        <v>0</v>
      </c>
      <c r="AD867">
        <f>IF(U867="","MISSING_TOTAL",IF(ABS(AB867)&lt;=0.01,"OK","CHECK"))</f>
        <v/>
      </c>
      <c r="AE867">
        <f>IF(U867="","MISSING",IF(AND(AA867&gt;0,U867/AA867&gt;50),"POSSIBLE_SCALE_ERROR","OK"))</f>
        <v/>
      </c>
    </row>
    <row r="868">
      <c r="A868" t="inlineStr">
        <is>
          <t>T-2017-Q3-00036</t>
        </is>
      </c>
      <c r="B868" t="inlineStr">
        <is>
          <t>SLE</t>
        </is>
      </c>
      <c r="C868" t="inlineStr">
        <is>
          <t>Chief Agriculture Negotiator</t>
        </is>
      </c>
      <c r="D868" t="inlineStr">
        <is>
          <t>Négociateur en chef pour l'agriculture</t>
        </is>
      </c>
      <c r="E868" t="inlineStr">
        <is>
          <t>Frédéric Seppey</t>
        </is>
      </c>
      <c r="F868" t="inlineStr">
        <is>
          <t>North American Trade Agreement Negotiations</t>
        </is>
      </c>
      <c r="G868" t="inlineStr">
        <is>
          <t>Négociations Accord de libre-échange nord-américain</t>
        </is>
      </c>
      <c r="H868" s="1" t="n">
        <v>43057</v>
      </c>
      <c r="I868" s="1" t="n">
        <v>43061</v>
      </c>
      <c r="J868" t="inlineStr">
        <is>
          <t>Mexico City Mexico</t>
        </is>
      </c>
      <c r="K868" t="inlineStr">
        <is>
          <t>Mexico City, Mexique</t>
        </is>
      </c>
      <c r="P868" t="n">
        <v>1009.08</v>
      </c>
      <c r="Q868" t="n">
        <v>142.33</v>
      </c>
      <c r="R868" t="n">
        <v>927.26</v>
      </c>
      <c r="S868" t="n">
        <v>291.53</v>
      </c>
      <c r="T868" t="n">
        <v>11.3</v>
      </c>
      <c r="U868" t="n">
        <v>2381.5</v>
      </c>
      <c r="V868" t="inlineStr">
        <is>
          <t>AJE585226</t>
        </is>
      </c>
      <c r="X868" t="inlineStr">
        <is>
          <t>aafc-aac</t>
        </is>
      </c>
      <c r="Y868" t="inlineStr">
        <is>
          <t>Agriculture and Agri-Food Canada | Agriculture et Agroalimentaire Canada</t>
        </is>
      </c>
      <c r="Z868" t="n">
        <v>5</v>
      </c>
      <c r="AA868" t="n">
        <v>2381.5</v>
      </c>
      <c r="AB868">
        <f>ROUND(U868-AA868,2)</f>
        <v/>
      </c>
      <c r="AC868" t="b">
        <v>0</v>
      </c>
      <c r="AD868">
        <f>IF(U868="","MISSING_TOTAL",IF(ABS(AB868)&lt;=0.01,"OK","CHECK"))</f>
        <v/>
      </c>
      <c r="AE868">
        <f>IF(U868="","MISSING",IF(AND(AA868&gt;0,U868/AA868&gt;50),"POSSIBLE_SCALE_ERROR","OK"))</f>
        <v/>
      </c>
    </row>
    <row r="869">
      <c r="A869" t="inlineStr">
        <is>
          <t>T-2017-Q2-00093</t>
        </is>
      </c>
      <c r="B869" t="inlineStr">
        <is>
          <t>MPSES</t>
        </is>
      </c>
      <c r="C869" t="inlineStr">
        <is>
          <t>Minister</t>
        </is>
      </c>
      <c r="D869" t="inlineStr">
        <is>
          <t>Ministre</t>
        </is>
      </c>
      <c r="E869" t="inlineStr">
        <is>
          <t>Lawrence MacAulay</t>
        </is>
      </c>
      <c r="F869" t="inlineStr">
        <is>
          <t>Announce the launch of the Atlantic Trade and Investment Strategy and participate in a Roundtable with the Agriculture Sector from Atlantic Canada.</t>
        </is>
      </c>
      <c r="G869" t="inlineStr">
        <is>
          <t>Annoncez le lancement de la stratégie d'investissment de commerce atlantique et participez à une table ronde avec le secteur de l'agriculture du Canada atlantique.</t>
        </is>
      </c>
      <c r="H869" s="1" t="n">
        <v>42920</v>
      </c>
      <c r="I869" s="1" t="n">
        <v>42920</v>
      </c>
      <c r="J869" t="inlineStr">
        <is>
          <t>Saint-John, NB</t>
        </is>
      </c>
      <c r="K869" t="inlineStr">
        <is>
          <t>Saint-John, NB</t>
        </is>
      </c>
      <c r="P869" t="n">
        <v>1048.12</v>
      </c>
      <c r="R869" t="n">
        <v>165.83</v>
      </c>
      <c r="S869" t="n">
        <v>143.65</v>
      </c>
      <c r="U869" t="n">
        <v>1357.6</v>
      </c>
      <c r="V869" t="n">
        <v>1900036286</v>
      </c>
      <c r="X869" t="inlineStr">
        <is>
          <t>aafc-aac</t>
        </is>
      </c>
      <c r="Y869" t="inlineStr">
        <is>
          <t>Agriculture and Agri-Food Canada | Agriculture et Agroalimentaire Canada</t>
        </is>
      </c>
      <c r="Z869" t="n">
        <v>1</v>
      </c>
      <c r="AA869" t="n">
        <v>1357.6</v>
      </c>
      <c r="AB869">
        <f>ROUND(U869-AA869,2)</f>
        <v/>
      </c>
      <c r="AC869" t="b">
        <v>0</v>
      </c>
      <c r="AD869">
        <f>IF(U869="","MISSING_TOTAL",IF(ABS(AB869)&lt;=0.01,"OK","CHECK"))</f>
        <v/>
      </c>
      <c r="AE869">
        <f>IF(U869="","MISSING",IF(AND(AA869&gt;0,U869/AA869&gt;50),"POSSIBLE_SCALE_ERROR","OK"))</f>
        <v/>
      </c>
    </row>
    <row r="870">
      <c r="A870" t="inlineStr">
        <is>
          <t>T-2017-Q2-00094</t>
        </is>
      </c>
      <c r="B870" t="inlineStr">
        <is>
          <t>MPSES</t>
        </is>
      </c>
      <c r="C870" t="inlineStr">
        <is>
          <t>Minister</t>
        </is>
      </c>
      <c r="D870" t="inlineStr">
        <is>
          <t>Ministre</t>
        </is>
      </c>
      <c r="E870" t="inlineStr">
        <is>
          <t>Lawrence MacAulay</t>
        </is>
      </c>
      <c r="F870" t="inlineStr">
        <is>
          <t>Outreach to South West Ontario including Guelph, Waterloo and Kitchener. Announcement at the Elora Research Barn with the Ontario Minister of Agriculture, St. Jacob's Market visit and Conestega meat pakers tour.</t>
        </is>
      </c>
      <c r="G870" t="inlineStr">
        <is>
          <t>Visite de sensibilisation au sud ouest de l'Ontario, Guelph, Waterloo et Kitchener. Annonce à la grange de recherche Elora avec le ministre de l'Agriculture de l'Ontario, la visite du marché de St. Jacob's et la tournée de comptoirs de viande Conestega.</t>
        </is>
      </c>
      <c r="H870" s="1" t="n">
        <v>42921</v>
      </c>
      <c r="I870" s="1" t="n">
        <v>42923</v>
      </c>
      <c r="J870" t="inlineStr">
        <is>
          <t>Guelph &amp; Toronto, ON</t>
        </is>
      </c>
      <c r="K870" t="inlineStr">
        <is>
          <t>Guelph et Toronto, ON</t>
        </is>
      </c>
      <c r="P870" t="n">
        <v>1261.36</v>
      </c>
      <c r="Q870" t="n">
        <v>25.97</v>
      </c>
      <c r="R870" t="n">
        <v>275.72</v>
      </c>
      <c r="S870" t="n">
        <v>214.2</v>
      </c>
      <c r="U870" t="n">
        <v>1777.25</v>
      </c>
      <c r="V870" t="n">
        <v>1900048019</v>
      </c>
      <c r="X870" t="inlineStr">
        <is>
          <t>aafc-aac</t>
        </is>
      </c>
      <c r="Y870" t="inlineStr">
        <is>
          <t>Agriculture and Agri-Food Canada | Agriculture et Agroalimentaire Canada</t>
        </is>
      </c>
      <c r="Z870" t="n">
        <v>3</v>
      </c>
      <c r="AA870" t="n">
        <v>1777.25</v>
      </c>
      <c r="AB870">
        <f>ROUND(U870-AA870,2)</f>
        <v/>
      </c>
      <c r="AC870" t="b">
        <v>0</v>
      </c>
      <c r="AD870">
        <f>IF(U870="","MISSING_TOTAL",IF(ABS(AB870)&lt;=0.01,"OK","CHECK"))</f>
        <v/>
      </c>
      <c r="AE870">
        <f>IF(U870="","MISSING",IF(AND(AA870&gt;0,U870/AA870&gt;50),"POSSIBLE_SCALE_ERROR","OK"))</f>
        <v/>
      </c>
    </row>
    <row r="871">
      <c r="A871" t="inlineStr">
        <is>
          <t>T-2017-Q2-00095</t>
        </is>
      </c>
      <c r="B871" t="inlineStr">
        <is>
          <t>MPSES</t>
        </is>
      </c>
      <c r="C871" t="inlineStr">
        <is>
          <t>Minister</t>
        </is>
      </c>
      <c r="D871" t="inlineStr">
        <is>
          <t>Ministre</t>
        </is>
      </c>
      <c r="E871" t="inlineStr">
        <is>
          <t>Lawrence MacAulay</t>
        </is>
      </c>
      <c r="F871" t="inlineStr">
        <is>
          <t>To attend Briefings in Ottawa and St. John's, Newfoundland for the Annual Conference of Federal, Provincial and Territorial Ministers and Deputy Ministers od Agriculture</t>
        </is>
      </c>
      <c r="G871" t="inlineStr">
        <is>
          <t>Assister aux séances d'information à Ottawa et à St. John's, à Terre-Neuve, pour la Conférence annuelle des ministres et sous-ministres fédéraux, provinciaux et territoriaux de l'agriculture</t>
        </is>
      </c>
      <c r="H871" s="1" t="n">
        <v>42932</v>
      </c>
      <c r="I871" s="1" t="n">
        <v>42937</v>
      </c>
      <c r="J871" t="inlineStr">
        <is>
          <t>St-John's, NL</t>
        </is>
      </c>
      <c r="K871" t="inlineStr">
        <is>
          <t>St-John's, TN</t>
        </is>
      </c>
      <c r="P871" t="n">
        <v>1547.79</v>
      </c>
      <c r="Q871" t="n">
        <v>51.94</v>
      </c>
      <c r="R871" t="n">
        <v>888.9299999999999</v>
      </c>
      <c r="S871" t="n">
        <v>295.5</v>
      </c>
      <c r="T871" t="n">
        <v>350</v>
      </c>
      <c r="U871" t="n">
        <v>3134.16</v>
      </c>
      <c r="V871" t="n">
        <v>1900048027</v>
      </c>
      <c r="X871" t="inlineStr">
        <is>
          <t>aafc-aac</t>
        </is>
      </c>
      <c r="Y871" t="inlineStr">
        <is>
          <t>Agriculture and Agri-Food Canada | Agriculture et Agroalimentaire Canada</t>
        </is>
      </c>
      <c r="Z871" t="n">
        <v>6</v>
      </c>
      <c r="AA871" t="n">
        <v>3134.16</v>
      </c>
      <c r="AB871">
        <f>ROUND(U871-AA871,2)</f>
        <v/>
      </c>
      <c r="AC871" t="b">
        <v>0</v>
      </c>
      <c r="AD871">
        <f>IF(U871="","MISSING_TOTAL",IF(ABS(AB871)&lt;=0.01,"OK","CHECK"))</f>
        <v/>
      </c>
      <c r="AE871">
        <f>IF(U871="","MISSING",IF(AND(AA871&gt;0,U871/AA871&gt;50),"POSSIBLE_SCALE_ERROR","OK"))</f>
        <v/>
      </c>
    </row>
    <row r="872">
      <c r="A872" t="inlineStr">
        <is>
          <t>T-2017-Q2-00096</t>
        </is>
      </c>
      <c r="B872" t="inlineStr">
        <is>
          <t>MPSES</t>
        </is>
      </c>
      <c r="C872" t="inlineStr">
        <is>
          <t>Minister</t>
        </is>
      </c>
      <c r="D872" t="inlineStr">
        <is>
          <t>Ministre</t>
        </is>
      </c>
      <c r="E872" t="inlineStr">
        <is>
          <t>Lawrence MacAulay</t>
        </is>
      </c>
      <c r="F872" t="inlineStr">
        <is>
          <t>To attend the Atlantic Growth Strategy - July 2017 Leadership Committee in Steady Brook, Newfoundland and the Calgary Stampede</t>
        </is>
      </c>
      <c r="G872" t="inlineStr">
        <is>
          <t>Pour assister à la Stratégie de croissance de l'atlantique - Comité de leadership de juillet 2017 à Steady Brook, à Terre-Neuve et au Stampede de Calgary</t>
        </is>
      </c>
      <c r="H872" s="1" t="n">
        <v>42926</v>
      </c>
      <c r="I872" s="1" t="n">
        <v>42930</v>
      </c>
      <c r="J872" t="inlineStr">
        <is>
          <t>Steady Brooke, NL,  Toronto, ON and Calgary, AB</t>
        </is>
      </c>
      <c r="K872" t="inlineStr">
        <is>
          <t>Steady Brooke,  TN, Toronto, ON et Calgary, ON</t>
        </is>
      </c>
      <c r="P872" t="n">
        <v>2922.45</v>
      </c>
      <c r="Q872" t="n">
        <v>51.94</v>
      </c>
      <c r="R872" t="n">
        <v>888.62</v>
      </c>
      <c r="S872" t="n">
        <v>220</v>
      </c>
      <c r="U872" t="n">
        <v>4083.01</v>
      </c>
      <c r="V872" t="n">
        <v>1900048021</v>
      </c>
      <c r="X872" t="inlineStr">
        <is>
          <t>aafc-aac</t>
        </is>
      </c>
      <c r="Y872" t="inlineStr">
        <is>
          <t>Agriculture and Agri-Food Canada | Agriculture et Agroalimentaire Canada</t>
        </is>
      </c>
      <c r="Z872" t="n">
        <v>5</v>
      </c>
      <c r="AA872" t="n">
        <v>4083.00999999999</v>
      </c>
      <c r="AB872">
        <f>ROUND(U872-AA872,2)</f>
        <v/>
      </c>
      <c r="AC872" t="b">
        <v>0</v>
      </c>
      <c r="AD872">
        <f>IF(U872="","MISSING_TOTAL",IF(ABS(AB872)&lt;=0.01,"OK","CHECK"))</f>
        <v/>
      </c>
      <c r="AE872">
        <f>IF(U872="","MISSING",IF(AND(AA872&gt;0,U872/AA872&gt;50),"POSSIBLE_SCALE_ERROR","OK"))</f>
        <v/>
      </c>
    </row>
    <row r="873">
      <c r="A873" t="inlineStr">
        <is>
          <t>T-2017-Q2-00097</t>
        </is>
      </c>
      <c r="B873" t="inlineStr">
        <is>
          <t>MPSES</t>
        </is>
      </c>
      <c r="C873" t="inlineStr">
        <is>
          <t>Minister</t>
        </is>
      </c>
      <c r="D873" t="inlineStr">
        <is>
          <t>Ministre</t>
        </is>
      </c>
      <c r="E873" t="inlineStr">
        <is>
          <t>Lawrence MacAulay</t>
        </is>
      </c>
      <c r="F873" t="inlineStr">
        <is>
          <t>Travel to Portland, Oregon and Sun Valley, Boise, Idaho for a Pacific Northwest Region Outreach</t>
        </is>
      </c>
      <c r="G873" t="inlineStr">
        <is>
          <t>Voyage à Portland, Oregon et Sun Valley, Boise, Idaho pour une région du Pacifique Nord-Ouest</t>
        </is>
      </c>
      <c r="H873" s="1" t="n">
        <v>42939</v>
      </c>
      <c r="I873" s="1" t="n">
        <v>42945</v>
      </c>
      <c r="J873" t="inlineStr">
        <is>
          <t>Portland, Oregon and Sun Valley, Boise, Idaho</t>
        </is>
      </c>
      <c r="K873" t="inlineStr">
        <is>
          <t>Portland, Oregon et  Sun Valley, Boise, Idaho</t>
        </is>
      </c>
      <c r="P873" t="n">
        <v>2987.73</v>
      </c>
      <c r="Q873" t="n">
        <v>90</v>
      </c>
      <c r="R873" t="n">
        <v>1776.3</v>
      </c>
      <c r="S873" t="n">
        <v>648.4</v>
      </c>
      <c r="U873" t="n">
        <v>5502.43</v>
      </c>
      <c r="V873" t="n">
        <v>1900061613</v>
      </c>
      <c r="X873" t="inlineStr">
        <is>
          <t>aafc-aac</t>
        </is>
      </c>
      <c r="Y873" t="inlineStr">
        <is>
          <t>Agriculture and Agri-Food Canada | Agriculture et Agroalimentaire Canada</t>
        </is>
      </c>
      <c r="Z873" t="n">
        <v>7</v>
      </c>
      <c r="AA873" t="n">
        <v>5502.42999999999</v>
      </c>
      <c r="AB873">
        <f>ROUND(U873-AA873,2)</f>
        <v/>
      </c>
      <c r="AC873" t="b">
        <v>0</v>
      </c>
      <c r="AD873">
        <f>IF(U873="","MISSING_TOTAL",IF(ABS(AB873)&lt;=0.01,"OK","CHECK"))</f>
        <v/>
      </c>
      <c r="AE873">
        <f>IF(U873="","MISSING",IF(AND(AA873&gt;0,U873/AA873&gt;50),"POSSIBLE_SCALE_ERROR","OK"))</f>
        <v/>
      </c>
    </row>
    <row r="874">
      <c r="A874" t="inlineStr">
        <is>
          <t>T-2017-Q3-00002</t>
        </is>
      </c>
      <c r="B874" t="inlineStr">
        <is>
          <t>SLE</t>
        </is>
      </c>
      <c r="C874" t="inlineStr">
        <is>
          <t>Assistant Deputy Minister, Corporate Management Branch</t>
        </is>
      </c>
      <c r="D874" t="inlineStr">
        <is>
          <t>Sous-ministre Adjoint, Direction générale de la gestion intégrée</t>
        </is>
      </c>
      <c r="E874" t="inlineStr">
        <is>
          <t>Pierre Corriveau</t>
        </is>
      </c>
      <c r="F874" t="inlineStr">
        <is>
          <t>29th Annual International Colloquium on Financial Management for National Governments and Staff Meeting.</t>
        </is>
      </c>
      <c r="G874" t="inlineStr">
        <is>
          <t>29e Colloque international annuel sur la gestion financière dans les gouvernements nationaux et réunion du personnel.</t>
        </is>
      </c>
      <c r="H874" s="1" t="n">
        <v>42995</v>
      </c>
      <c r="I874" s="1" t="n">
        <v>42998</v>
      </c>
      <c r="J874" t="inlineStr">
        <is>
          <t>Halifax, Nova Scotia, Kentville, Nova Scotia</t>
        </is>
      </c>
      <c r="K874" t="inlineStr">
        <is>
          <t>Halifax, Nouvelle-Écosse, Kentville, Nouvelle-Écosse</t>
        </is>
      </c>
      <c r="P874" t="n">
        <v>355.6</v>
      </c>
      <c r="Q874" t="n">
        <v>104.05</v>
      </c>
      <c r="R874" t="n">
        <v>700.29</v>
      </c>
      <c r="S874" t="n">
        <v>271.05</v>
      </c>
      <c r="U874" t="n">
        <v>1430.99</v>
      </c>
      <c r="V874" t="inlineStr">
        <is>
          <t>AJD350379</t>
        </is>
      </c>
      <c r="X874" t="inlineStr">
        <is>
          <t>aafc-aac</t>
        </is>
      </c>
      <c r="Y874" t="inlineStr">
        <is>
          <t>Agriculture and Agri-Food Canada | Agriculture et Agroalimentaire Canada</t>
        </is>
      </c>
      <c r="Z874" t="n">
        <v>4</v>
      </c>
      <c r="AA874" t="n">
        <v>1430.99</v>
      </c>
      <c r="AB874">
        <f>ROUND(U874-AA874,2)</f>
        <v/>
      </c>
      <c r="AC874" t="b">
        <v>0</v>
      </c>
      <c r="AD874">
        <f>IF(U874="","MISSING_TOTAL",IF(ABS(AB874)&lt;=0.01,"OK","CHECK"))</f>
        <v/>
      </c>
      <c r="AE874">
        <f>IF(U874="","MISSING",IF(AND(AA874&gt;0,U874/AA874&gt;50),"POSSIBLE_SCALE_ERROR","OK"))</f>
        <v/>
      </c>
    </row>
    <row r="875">
      <c r="A875" t="inlineStr">
        <is>
          <t>T-2017-Q3-00037</t>
        </is>
      </c>
      <c r="B875" t="inlineStr">
        <is>
          <t>SLE</t>
        </is>
      </c>
      <c r="C875" t="inlineStr">
        <is>
          <t>Chief Agriculture Negotiator</t>
        </is>
      </c>
      <c r="D875" t="inlineStr">
        <is>
          <t>Négociateur en chef pour l'agriculture</t>
        </is>
      </c>
      <c r="E875" t="inlineStr">
        <is>
          <t>Frédéric Seppey</t>
        </is>
      </c>
      <c r="F875" t="inlineStr">
        <is>
          <t>North American Trade Agreement Negotiations</t>
        </is>
      </c>
      <c r="G875" t="inlineStr">
        <is>
          <t>Négociations Accord de libre-échange nord-américain</t>
        </is>
      </c>
      <c r="H875" s="1" t="n">
        <v>42978</v>
      </c>
      <c r="I875" s="1" t="n">
        <v>42984</v>
      </c>
      <c r="J875" t="inlineStr">
        <is>
          <t>Mexico City Mexico</t>
        </is>
      </c>
      <c r="K875" t="inlineStr">
        <is>
          <t>Mexico City, Mexique</t>
        </is>
      </c>
      <c r="P875" t="n">
        <v>1706.96</v>
      </c>
      <c r="Q875" t="n">
        <v>150.13</v>
      </c>
      <c r="R875" t="n">
        <v>1814.32</v>
      </c>
      <c r="S875" t="n">
        <v>514.29</v>
      </c>
      <c r="T875" t="n">
        <v>21.37</v>
      </c>
      <c r="U875" t="n">
        <v>4207.07</v>
      </c>
      <c r="V875" t="inlineStr">
        <is>
          <t>AJE542283</t>
        </is>
      </c>
      <c r="X875" t="inlineStr">
        <is>
          <t>aafc-aac</t>
        </is>
      </c>
      <c r="Y875" t="inlineStr">
        <is>
          <t>Agriculture and Agri-Food Canada | Agriculture et Agroalimentaire Canada</t>
        </is>
      </c>
      <c r="Z875" t="n">
        <v>7</v>
      </c>
      <c r="AA875" t="n">
        <v>4207.07</v>
      </c>
      <c r="AB875">
        <f>ROUND(U875-AA875,2)</f>
        <v/>
      </c>
      <c r="AC875" t="b">
        <v>0</v>
      </c>
      <c r="AD875">
        <f>IF(U875="","MISSING_TOTAL",IF(ABS(AB875)&lt;=0.01,"OK","CHECK"))</f>
        <v/>
      </c>
      <c r="AE875">
        <f>IF(U875="","MISSING",IF(AND(AA875&gt;0,U875/AA875&gt;50),"POSSIBLE_SCALE_ERROR","OK"))</f>
        <v/>
      </c>
    </row>
    <row r="876">
      <c r="A876" t="inlineStr">
        <is>
          <t>T-2017-Q2-00099</t>
        </is>
      </c>
      <c r="B876" t="inlineStr">
        <is>
          <t>MPSES</t>
        </is>
      </c>
      <c r="C876" t="inlineStr">
        <is>
          <t>Minister</t>
        </is>
      </c>
      <c r="D876" t="inlineStr">
        <is>
          <t>Ministre</t>
        </is>
      </c>
      <c r="E876" t="inlineStr">
        <is>
          <t>Lawrence MacAulay</t>
        </is>
      </c>
      <c r="F876" t="inlineStr">
        <is>
          <t>To British Columbia for a bilateral meeting with the British Columbia Agriculture Minister and CFIA announcement and to Manitoba for a bilateral meeting with the Manitoba Agriculture Minister and AAFC announcement at the University of Manitoba</t>
        </is>
      </c>
      <c r="G876" t="inlineStr">
        <is>
          <t>À la Colombie-Britannique pour une réunion bilatérale avec le ministre de l'Agriculture de la Colombie-Britannique et l'annonce de l'ACIA et au Manitoba pour une réunion bilatérale avec le ministre de l'Agriculture du Manitoba et l'annonce d'AAC à l'Unive</t>
        </is>
      </c>
      <c r="H876" s="1" t="n">
        <v>42960</v>
      </c>
      <c r="I876" s="1" t="n">
        <v>42964</v>
      </c>
      <c r="J876" t="inlineStr">
        <is>
          <t>Vancouver, BC and Winnipeg, MB</t>
        </is>
      </c>
      <c r="K876" t="inlineStr">
        <is>
          <t>Vancouver, CB et Winnipeg, MB</t>
        </is>
      </c>
      <c r="P876" t="n">
        <v>3046.5</v>
      </c>
      <c r="Q876" t="n">
        <v>25.97</v>
      </c>
      <c r="R876" t="n">
        <v>713.41</v>
      </c>
      <c r="S876" t="n">
        <v>248.65</v>
      </c>
      <c r="U876" t="n">
        <v>4034.53</v>
      </c>
      <c r="V876" t="n">
        <v>1900075874</v>
      </c>
      <c r="X876" t="inlineStr">
        <is>
          <t>aafc-aac</t>
        </is>
      </c>
      <c r="Y876" t="inlineStr">
        <is>
          <t>Agriculture and Agri-Food Canada | Agriculture et Agroalimentaire Canada</t>
        </is>
      </c>
      <c r="Z876" t="n">
        <v>5</v>
      </c>
      <c r="AA876" t="n">
        <v>4034.52999999999</v>
      </c>
      <c r="AB876">
        <f>ROUND(U876-AA876,2)</f>
        <v/>
      </c>
      <c r="AC876" t="b">
        <v>0</v>
      </c>
      <c r="AD876">
        <f>IF(U876="","MISSING_TOTAL",IF(ABS(AB876)&lt;=0.01,"OK","CHECK"))</f>
        <v/>
      </c>
      <c r="AE876">
        <f>IF(U876="","MISSING",IF(AND(AA876&gt;0,U876/AA876&gt;50),"POSSIBLE_SCALE_ERROR","OK"))</f>
        <v/>
      </c>
    </row>
    <row r="877">
      <c r="A877" t="inlineStr">
        <is>
          <t>T-2017-Q2-00100</t>
        </is>
      </c>
      <c r="B877" t="inlineStr">
        <is>
          <t>MPSES</t>
        </is>
      </c>
      <c r="C877" t="inlineStr">
        <is>
          <t>Minister</t>
        </is>
      </c>
      <c r="D877" t="inlineStr">
        <is>
          <t>Ministre</t>
        </is>
      </c>
      <c r="E877" t="inlineStr">
        <is>
          <t>Lawrence MacAulay</t>
        </is>
      </c>
      <c r="F877" t="inlineStr">
        <is>
          <t>To participate in a New Brunswick Outreach</t>
        </is>
      </c>
      <c r="G877" t="inlineStr">
        <is>
          <t>Participer à une visitede sensibilisation à Nouveau-Brunswick</t>
        </is>
      </c>
      <c r="H877" s="1" t="n">
        <v>42972</v>
      </c>
      <c r="I877" s="1" t="n">
        <v>42973</v>
      </c>
      <c r="J877" t="inlineStr">
        <is>
          <t>Saint John, NB</t>
        </is>
      </c>
      <c r="K877" t="inlineStr">
        <is>
          <t>Saint John, NB</t>
        </is>
      </c>
      <c r="P877" t="n">
        <v>424.82</v>
      </c>
      <c r="R877" t="n">
        <v>165.83</v>
      </c>
      <c r="S877" t="n">
        <v>132.9</v>
      </c>
      <c r="U877" t="n">
        <v>723.55</v>
      </c>
      <c r="V877" t="n">
        <v>1900075872</v>
      </c>
      <c r="X877" t="inlineStr">
        <is>
          <t>aafc-aac</t>
        </is>
      </c>
      <c r="Y877" t="inlineStr">
        <is>
          <t>Agriculture and Agri-Food Canada | Agriculture et Agroalimentaire Canada</t>
        </is>
      </c>
      <c r="Z877" t="n">
        <v>2</v>
      </c>
      <c r="AA877" t="n">
        <v>723.55</v>
      </c>
      <c r="AB877">
        <f>ROUND(U877-AA877,2)</f>
        <v/>
      </c>
      <c r="AC877" t="b">
        <v>0</v>
      </c>
      <c r="AD877">
        <f>IF(U877="","MISSING_TOTAL",IF(ABS(AB877)&lt;=0.01,"OK","CHECK"))</f>
        <v/>
      </c>
      <c r="AE877">
        <f>IF(U877="","MISSING",IF(AND(AA877&gt;0,U877/AA877&gt;50),"POSSIBLE_SCALE_ERROR","OK"))</f>
        <v/>
      </c>
    </row>
    <row r="878">
      <c r="A878" t="inlineStr">
        <is>
          <t>T-2017-Q3-00003</t>
        </is>
      </c>
      <c r="B878" t="inlineStr">
        <is>
          <t>SLE</t>
        </is>
      </c>
      <c r="C878" t="inlineStr">
        <is>
          <t>Assistant Deputy Minister, Corporate Management Branch</t>
        </is>
      </c>
      <c r="D878" t="inlineStr">
        <is>
          <t>Sous-ministre Adjoint, Direction générale de la gestion intégrée</t>
        </is>
      </c>
      <c r="E878" t="inlineStr">
        <is>
          <t>Pierre Corriveau</t>
        </is>
      </c>
      <c r="F878" t="inlineStr">
        <is>
          <t>Departmental Audit Committee and Staff Meeting.</t>
        </is>
      </c>
      <c r="G878" t="inlineStr">
        <is>
          <t>Comité de vérification ministériel et réunion du personnel.</t>
        </is>
      </c>
      <c r="H878" s="1" t="n">
        <v>43004</v>
      </c>
      <c r="I878" s="1" t="n">
        <v>43006</v>
      </c>
      <c r="J878" t="inlineStr">
        <is>
          <t>Guelph, Ontario   London, Ontario</t>
        </is>
      </c>
      <c r="K878" t="inlineStr">
        <is>
          <t>Guelph, Ontario   London, Ontario</t>
        </is>
      </c>
      <c r="P878" t="n">
        <v>436.07</v>
      </c>
      <c r="Q878" t="n">
        <v>246.42</v>
      </c>
      <c r="R878" t="n">
        <v>281.37</v>
      </c>
      <c r="S878" t="n">
        <v>242.1</v>
      </c>
      <c r="U878" t="n">
        <v>1205.96</v>
      </c>
      <c r="V878" t="inlineStr">
        <is>
          <t>AJD391735</t>
        </is>
      </c>
      <c r="X878" t="inlineStr">
        <is>
          <t>aafc-aac</t>
        </is>
      </c>
      <c r="Y878" t="inlineStr">
        <is>
          <t>Agriculture and Agri-Food Canada | Agriculture et Agroalimentaire Canada</t>
        </is>
      </c>
      <c r="Z878" t="n">
        <v>3</v>
      </c>
      <c r="AA878" t="n">
        <v>1205.96</v>
      </c>
      <c r="AB878">
        <f>ROUND(U878-AA878,2)</f>
        <v/>
      </c>
      <c r="AC878" t="b">
        <v>0</v>
      </c>
      <c r="AD878">
        <f>IF(U878="","MISSING_TOTAL",IF(ABS(AB878)&lt;=0.01,"OK","CHECK"))</f>
        <v/>
      </c>
      <c r="AE878">
        <f>IF(U878="","MISSING",IF(AND(AA878&gt;0,U878/AA878&gt;50),"POSSIBLE_SCALE_ERROR","OK"))</f>
        <v/>
      </c>
    </row>
    <row r="879">
      <c r="A879" t="inlineStr">
        <is>
          <t>T-2017-Q3-00004</t>
        </is>
      </c>
      <c r="B879" t="inlineStr">
        <is>
          <t>SLE</t>
        </is>
      </c>
      <c r="C879" t="inlineStr">
        <is>
          <t>Assistant Deputy Minister, Corporate Management Branch</t>
        </is>
      </c>
      <c r="D879" t="inlineStr">
        <is>
          <t>Sous-ministre Adjoint, Direction générale de la gestion intégrée</t>
        </is>
      </c>
      <c r="E879" t="inlineStr">
        <is>
          <t>Pierre Corriveau</t>
        </is>
      </c>
      <c r="F879" t="inlineStr">
        <is>
          <t>Staff Meeting and New Infrastructure Visit.</t>
        </is>
      </c>
      <c r="G879" t="inlineStr">
        <is>
          <t>Réunion du personnel et visite de nouvelle infrastructure.</t>
        </is>
      </c>
      <c r="H879" s="1" t="n">
        <v>43021</v>
      </c>
      <c r="I879" s="1" t="n">
        <v>43021</v>
      </c>
      <c r="J879" t="inlineStr">
        <is>
          <t>Québec City, Quebec            Saint-Augustin, Quebec</t>
        </is>
      </c>
      <c r="K879" t="inlineStr">
        <is>
          <t>Québec, Québec  St-Augustin, Québec</t>
        </is>
      </c>
      <c r="P879" t="n">
        <v>387.6</v>
      </c>
      <c r="U879" t="n">
        <v>387.6</v>
      </c>
      <c r="V879" t="inlineStr">
        <is>
          <t>AJD396641</t>
        </is>
      </c>
      <c r="X879" t="inlineStr">
        <is>
          <t>aafc-aac</t>
        </is>
      </c>
      <c r="Y879" t="inlineStr">
        <is>
          <t>Agriculture and Agri-Food Canada | Agriculture et Agroalimentaire Canada</t>
        </is>
      </c>
      <c r="Z879" t="n">
        <v>1</v>
      </c>
      <c r="AA879" t="n">
        <v>387.6</v>
      </c>
      <c r="AB879">
        <f>ROUND(U879-AA879,2)</f>
        <v/>
      </c>
      <c r="AC879" t="b">
        <v>0</v>
      </c>
      <c r="AD879">
        <f>IF(U879="","MISSING_TOTAL",IF(ABS(AB879)&lt;=0.01,"OK","CHECK"))</f>
        <v/>
      </c>
      <c r="AE879">
        <f>IF(U879="","MISSING",IF(AND(AA879&gt;0,U879/AA879&gt;50),"POSSIBLE_SCALE_ERROR","OK"))</f>
        <v/>
      </c>
    </row>
    <row r="880">
      <c r="A880" t="inlineStr">
        <is>
          <t>T-2017-Q3-00022</t>
        </is>
      </c>
      <c r="B880" t="inlineStr">
        <is>
          <t>SLE</t>
        </is>
      </c>
      <c r="C880" t="inlineStr">
        <is>
          <t>Assistant Deputy Minister, Strategic Policy Branch</t>
        </is>
      </c>
      <c r="D880" t="inlineStr">
        <is>
          <t>Sous-ministre adjoint, Direction générale des politiques stratégiques</t>
        </is>
      </c>
      <c r="E880" t="inlineStr">
        <is>
          <t>Tom Rosser</t>
        </is>
      </c>
      <c r="F880" t="inlineStr">
        <is>
          <t>To attend the Quebec Dairy Sector Conference.</t>
        </is>
      </c>
      <c r="G880" t="inlineStr">
        <is>
          <t>Pour assister à la conférence du Secteur laitier du Québec</t>
        </is>
      </c>
      <c r="H880" s="1" t="n">
        <v>43021</v>
      </c>
      <c r="I880" s="1" t="n">
        <v>43022</v>
      </c>
      <c r="J880" t="inlineStr">
        <is>
          <t>Quebec City, Quebec</t>
        </is>
      </c>
      <c r="K880" t="inlineStr">
        <is>
          <t>Québec, Québec</t>
        </is>
      </c>
      <c r="P880" t="n">
        <v>1244.31</v>
      </c>
      <c r="Q880" t="n">
        <v>160</v>
      </c>
      <c r="S880" t="n">
        <v>148.4</v>
      </c>
      <c r="U880" t="n">
        <v>1552.71</v>
      </c>
      <c r="V880" t="inlineStr">
        <is>
          <t>AJE615347</t>
        </is>
      </c>
      <c r="X880" t="inlineStr">
        <is>
          <t>aafc-aac</t>
        </is>
      </c>
      <c r="Y880" t="inlineStr">
        <is>
          <t>Agriculture and Agri-Food Canada | Agriculture et Agroalimentaire Canada</t>
        </is>
      </c>
      <c r="Z880" t="n">
        <v>2</v>
      </c>
      <c r="AA880" t="n">
        <v>1552.71</v>
      </c>
      <c r="AB880">
        <f>ROUND(U880-AA880,2)</f>
        <v/>
      </c>
      <c r="AC880" t="b">
        <v>0</v>
      </c>
      <c r="AD880">
        <f>IF(U880="","MISSING_TOTAL",IF(ABS(AB880)&lt;=0.01,"OK","CHECK"))</f>
        <v/>
      </c>
      <c r="AE880">
        <f>IF(U880="","MISSING",IF(AND(AA880&gt;0,U880/AA880&gt;50),"POSSIBLE_SCALE_ERROR","OK"))</f>
        <v/>
      </c>
    </row>
    <row r="881">
      <c r="A881" t="inlineStr">
        <is>
          <t>T-2017-Q3-00024</t>
        </is>
      </c>
      <c r="B881" t="inlineStr">
        <is>
          <t>SLE</t>
        </is>
      </c>
      <c r="C881" t="inlineStr">
        <is>
          <t>Assistant Deputy Minister, Strategic Policy Branch</t>
        </is>
      </c>
      <c r="D881" t="inlineStr">
        <is>
          <t>Sous-ministre adjoint, Direction générale des politiques stratégiques</t>
        </is>
      </c>
      <c r="E881" t="inlineStr">
        <is>
          <t>Tom Rosser</t>
        </is>
      </c>
      <c r="F881" t="inlineStr">
        <is>
          <t>To attend an Ontario Regional Management meeting.</t>
        </is>
      </c>
      <c r="G881" t="inlineStr">
        <is>
          <t>Pour assister à une réunion de gestion au bureau régional de l'Ontario.</t>
        </is>
      </c>
      <c r="H881" s="1" t="n">
        <v>43055</v>
      </c>
      <c r="I881" s="1" t="n">
        <v>43056</v>
      </c>
      <c r="J881" t="inlineStr">
        <is>
          <t>Guelph, Ontario</t>
        </is>
      </c>
      <c r="K881" t="inlineStr">
        <is>
          <t>Guelph, Ontario</t>
        </is>
      </c>
      <c r="P881" t="n">
        <v>1150.68</v>
      </c>
      <c r="Q881" t="n">
        <v>126.87</v>
      </c>
      <c r="R881" t="n">
        <v>172.89</v>
      </c>
      <c r="S881" t="n">
        <v>167.3</v>
      </c>
      <c r="U881" t="n">
        <v>1617.74</v>
      </c>
      <c r="V881" t="inlineStr">
        <is>
          <t>AJE652704</t>
        </is>
      </c>
      <c r="X881" t="inlineStr">
        <is>
          <t>aafc-aac</t>
        </is>
      </c>
      <c r="Y881" t="inlineStr">
        <is>
          <t>Agriculture and Agri-Food Canada | Agriculture et Agroalimentaire Canada</t>
        </is>
      </c>
      <c r="Z881" t="n">
        <v>2</v>
      </c>
      <c r="AA881" t="n">
        <v>1617.74</v>
      </c>
      <c r="AB881">
        <f>ROUND(U881-AA881,2)</f>
        <v/>
      </c>
      <c r="AC881" t="b">
        <v>0</v>
      </c>
      <c r="AD881">
        <f>IF(U881="","MISSING_TOTAL",IF(ABS(AB881)&lt;=0.01,"OK","CHECK"))</f>
        <v/>
      </c>
      <c r="AE881">
        <f>IF(U881="","MISSING",IF(AND(AA881&gt;0,U881/AA881&gt;50),"POSSIBLE_SCALE_ERROR","OK"))</f>
        <v/>
      </c>
    </row>
    <row r="882">
      <c r="A882" t="inlineStr">
        <is>
          <t>T-2017-Q3-00025</t>
        </is>
      </c>
      <c r="B882" t="inlineStr">
        <is>
          <t>SLE</t>
        </is>
      </c>
      <c r="C882" t="inlineStr">
        <is>
          <t>Associate Assistant Deputy Minister</t>
        </is>
      </c>
      <c r="D882" t="inlineStr">
        <is>
          <t>Sous-ministre adjoint délégué</t>
        </is>
      </c>
      <c r="E882" t="inlineStr">
        <is>
          <t>Gilles Saindon</t>
        </is>
      </c>
      <c r="F882" t="inlineStr">
        <is>
          <t>Outreach at the Research and Development Center, all staff meeting and meetings with industry.</t>
        </is>
      </c>
      <c r="G882" t="inlineStr">
        <is>
          <t>Visite de sensibilisation au centre de recherche et développement, réunions avec tous le personnel et réunions avec l'industrie.</t>
        </is>
      </c>
      <c r="H882" s="1" t="n">
        <v>42997</v>
      </c>
      <c r="I882" s="1" t="n">
        <v>43000</v>
      </c>
      <c r="J882" t="inlineStr">
        <is>
          <t>Saskatoon, Saskatchewan</t>
        </is>
      </c>
      <c r="K882" t="inlineStr">
        <is>
          <t>Saskatoon, Saskatchewan</t>
        </is>
      </c>
      <c r="P882" t="n">
        <v>752.48</v>
      </c>
      <c r="Q882" t="n">
        <v>163</v>
      </c>
      <c r="R882" t="n">
        <v>579.66</v>
      </c>
      <c r="S882" t="n">
        <v>358.6</v>
      </c>
      <c r="T882" t="n">
        <v>0</v>
      </c>
      <c r="U882" t="n">
        <v>1853.74</v>
      </c>
      <c r="V882" t="inlineStr">
        <is>
          <t>AJD969335</t>
        </is>
      </c>
      <c r="X882" t="inlineStr">
        <is>
          <t>aafc-aac</t>
        </is>
      </c>
      <c r="Y882" t="inlineStr">
        <is>
          <t>Agriculture and Agri-Food Canada | Agriculture et Agroalimentaire Canada</t>
        </is>
      </c>
      <c r="Z882" t="n">
        <v>4</v>
      </c>
      <c r="AA882" t="n">
        <v>1853.73999999999</v>
      </c>
      <c r="AB882">
        <f>ROUND(U882-AA882,2)</f>
        <v/>
      </c>
      <c r="AC882" t="b">
        <v>0</v>
      </c>
      <c r="AD882">
        <f>IF(U882="","MISSING_TOTAL",IF(ABS(AB882)&lt;=0.01,"OK","CHECK"))</f>
        <v/>
      </c>
      <c r="AE882">
        <f>IF(U882="","MISSING",IF(AND(AA882&gt;0,U882/AA882&gt;50),"POSSIBLE_SCALE_ERROR","OK"))</f>
        <v/>
      </c>
    </row>
    <row r="883">
      <c r="A883" t="inlineStr">
        <is>
          <t>T-2017-Q3-00029</t>
        </is>
      </c>
      <c r="B883" t="inlineStr">
        <is>
          <t>SLE</t>
        </is>
      </c>
      <c r="C883" t="inlineStr">
        <is>
          <t>Associate Assistant Deputy Minister</t>
        </is>
      </c>
      <c r="D883" t="inlineStr">
        <is>
          <t>Sous-ministre adjoint délégué</t>
        </is>
      </c>
      <c r="E883" t="inlineStr">
        <is>
          <t>Gilles Saindon</t>
        </is>
      </c>
      <c r="F883" t="inlineStr">
        <is>
          <t>Chair the Cooperative Program in Agricultural Research and Technology for the Northern Region Board of Directos meetings and Outreach at the Research and Development Center, meeting with all staff.</t>
        </is>
      </c>
      <c r="G883" t="inlineStr">
        <is>
          <t>Présider la rencondre du Conseil d'administration du Programme de coopération en recherche et technologie agricoles pour la région du Nord et visite de sensibilisation au Centre de recherche et développement, réunion avec tous le personnel.</t>
        </is>
      </c>
      <c r="H883" s="1" t="n">
        <v>43038</v>
      </c>
      <c r="I883" s="1" t="n">
        <v>43041</v>
      </c>
      <c r="J883" t="inlineStr">
        <is>
          <t>London, Ontario</t>
        </is>
      </c>
      <c r="K883" t="inlineStr">
        <is>
          <t>London, Ontario</t>
        </is>
      </c>
      <c r="P883" t="n">
        <v>643.5700000000001</v>
      </c>
      <c r="Q883" t="n">
        <v>311.26</v>
      </c>
      <c r="R883" t="n">
        <v>471.21</v>
      </c>
      <c r="S883" t="n">
        <v>287.45</v>
      </c>
      <c r="U883" t="n">
        <v>1713.49</v>
      </c>
      <c r="V883" t="inlineStr">
        <is>
          <t>AJD956092</t>
        </is>
      </c>
      <c r="X883" t="inlineStr">
        <is>
          <t>aafc-aac</t>
        </is>
      </c>
      <c r="Y883" t="inlineStr">
        <is>
          <t>Agriculture and Agri-Food Canada | Agriculture et Agroalimentaire Canada</t>
        </is>
      </c>
      <c r="Z883" t="n">
        <v>4</v>
      </c>
      <c r="AA883" t="n">
        <v>1713.49</v>
      </c>
      <c r="AB883">
        <f>ROUND(U883-AA883,2)</f>
        <v/>
      </c>
      <c r="AC883" t="b">
        <v>0</v>
      </c>
      <c r="AD883">
        <f>IF(U883="","MISSING_TOTAL",IF(ABS(AB883)&lt;=0.01,"OK","CHECK"))</f>
        <v/>
      </c>
      <c r="AE883">
        <f>IF(U883="","MISSING",IF(AND(AA883&gt;0,U883/AA883&gt;50),"POSSIBLE_SCALE_ERROR","OK"))</f>
        <v/>
      </c>
    </row>
    <row r="884">
      <c r="A884" t="inlineStr">
        <is>
          <t>T-2017-Q3-00030</t>
        </is>
      </c>
      <c r="B884" t="inlineStr">
        <is>
          <t>SLE</t>
        </is>
      </c>
      <c r="C884" t="inlineStr">
        <is>
          <t>Associate Assistant Deputy Minister</t>
        </is>
      </c>
      <c r="D884" t="inlineStr">
        <is>
          <t>Sous-ministre adjoint délégué</t>
        </is>
      </c>
      <c r="E884" t="inlineStr">
        <is>
          <t>Gilles Saindon</t>
        </is>
      </c>
      <c r="F884" t="inlineStr">
        <is>
          <t>To attend the Wheat Initiative International Coordination Committee and the Wheat Initiative Scientifc Board Committee meetings</t>
        </is>
      </c>
      <c r="G884" t="inlineStr">
        <is>
          <t>Participer aux rencontres du Comité international de coordination de l'Initiative sur le blé et du Comité scientifique du Conseil de l'Initiative sur le blé.</t>
        </is>
      </c>
      <c r="H884" s="1" t="n">
        <v>43052</v>
      </c>
      <c r="I884" s="1" t="n">
        <v>43058</v>
      </c>
      <c r="J884" t="inlineStr">
        <is>
          <t>Bologna, Italy</t>
        </is>
      </c>
      <c r="K884" t="inlineStr">
        <is>
          <t>Bologne, Italie</t>
        </is>
      </c>
      <c r="P884" t="n">
        <v>5817.76</v>
      </c>
      <c r="Q884" t="n">
        <v>197.01</v>
      </c>
      <c r="R884" t="n">
        <v>516.29</v>
      </c>
      <c r="S884" t="n">
        <v>585.01</v>
      </c>
      <c r="T884" t="n">
        <v>2.95</v>
      </c>
      <c r="U884" t="n">
        <v>7119.02</v>
      </c>
      <c r="V884" t="inlineStr">
        <is>
          <t>AJD954705</t>
        </is>
      </c>
      <c r="X884" t="inlineStr">
        <is>
          <t>aafc-aac</t>
        </is>
      </c>
      <c r="Y884" t="inlineStr">
        <is>
          <t>Agriculture and Agri-Food Canada | Agriculture et Agroalimentaire Canada</t>
        </is>
      </c>
      <c r="Z884" t="n">
        <v>7</v>
      </c>
      <c r="AA884" t="n">
        <v>7119.02</v>
      </c>
      <c r="AB884">
        <f>ROUND(U884-AA884,2)</f>
        <v/>
      </c>
      <c r="AC884" t="b">
        <v>0</v>
      </c>
      <c r="AD884">
        <f>IF(U884="","MISSING_TOTAL",IF(ABS(AB884)&lt;=0.01,"OK","CHECK"))</f>
        <v/>
      </c>
      <c r="AE884">
        <f>IF(U884="","MISSING",IF(AND(AA884&gt;0,U884/AA884&gt;50),"POSSIBLE_SCALE_ERROR","OK"))</f>
        <v/>
      </c>
    </row>
    <row r="885">
      <c r="A885" t="inlineStr">
        <is>
          <t>T-2017-Q3-00031</t>
        </is>
      </c>
      <c r="B885" t="inlineStr">
        <is>
          <t>SLE</t>
        </is>
      </c>
      <c r="C885" t="inlineStr">
        <is>
          <t>Associate Assistant Deputy Minister</t>
        </is>
      </c>
      <c r="D885" t="inlineStr">
        <is>
          <t>Sous-ministre adjoint délégué</t>
        </is>
      </c>
      <c r="E885" t="inlineStr">
        <is>
          <t>Gilles Saindon</t>
        </is>
      </c>
      <c r="F885" t="inlineStr">
        <is>
          <t>To attend different meetings with the President of National Institute of Agricultural Research, with the Canada Mission representatives, his counterpart at European Union, attend International Bioeconomy Forum and the Organisation for Economic Co-operation and Development - Co-operative Research Program.</t>
        </is>
      </c>
      <c r="G885" t="inlineStr">
        <is>
          <t>Assister à différentes rencontres, avec le Président de l'Institut National recherche agronomique, avec les représentants de Mission Canada, ainsi que son homologue à l'Union européenne, participer au Forum international de Bioéconomie et l'Organisation de Coopération et de Développement Économiques - Programme de recherche en collaboration.</t>
        </is>
      </c>
      <c r="H885" s="1" t="n">
        <v>43064</v>
      </c>
      <c r="I885" s="1" t="n">
        <v>43071</v>
      </c>
      <c r="J885" t="inlineStr">
        <is>
          <t>Brussels, Belgium</t>
        </is>
      </c>
      <c r="K885" t="inlineStr">
        <is>
          <t>Bruxelles, Belgique</t>
        </is>
      </c>
      <c r="P885" t="n">
        <v>4143.24</v>
      </c>
      <c r="Q885" t="n">
        <v>957.5599999999999</v>
      </c>
      <c r="R885" t="n">
        <v>1726.02</v>
      </c>
      <c r="S885" t="n">
        <v>1431.29</v>
      </c>
      <c r="T885" t="n">
        <v>2.95</v>
      </c>
      <c r="U885" t="n">
        <v>8261.059999999999</v>
      </c>
      <c r="V885" t="inlineStr">
        <is>
          <t>AJD975574</t>
        </is>
      </c>
      <c r="X885" t="inlineStr">
        <is>
          <t>aafc-aac</t>
        </is>
      </c>
      <c r="Y885" t="inlineStr">
        <is>
          <t>Agriculture and Agri-Food Canada | Agriculture et Agroalimentaire Canada</t>
        </is>
      </c>
      <c r="Z885" t="n">
        <v>8</v>
      </c>
      <c r="AA885" t="n">
        <v>8261.059999999999</v>
      </c>
      <c r="AB885">
        <f>ROUND(U885-AA885,2)</f>
        <v/>
      </c>
      <c r="AC885" t="b">
        <v>0</v>
      </c>
      <c r="AD885">
        <f>IF(U885="","MISSING_TOTAL",IF(ABS(AB885)&lt;=0.01,"OK","CHECK"))</f>
        <v/>
      </c>
      <c r="AE885">
        <f>IF(U885="","MISSING",IF(AND(AA885&gt;0,U885/AA885&gt;50),"POSSIBLE_SCALE_ERROR","OK"))</f>
        <v/>
      </c>
    </row>
    <row r="886">
      <c r="A886" t="inlineStr">
        <is>
          <t>T-2017-Q3-00032</t>
        </is>
      </c>
      <c r="B886" t="inlineStr">
        <is>
          <t>SLE</t>
        </is>
      </c>
      <c r="C886" t="inlineStr">
        <is>
          <t>Director General, Office of Audit and Evaluation</t>
        </is>
      </c>
      <c r="D886" t="inlineStr">
        <is>
          <t>Directrice générale, Bureau de la Vérification et de l'évaluation</t>
        </is>
      </c>
      <c r="E886" t="inlineStr">
        <is>
          <t>Kimberly Saunders</t>
        </is>
      </c>
      <c r="F886" t="inlineStr">
        <is>
          <t>To attend the Institute of Internal Auditors Conference.</t>
        </is>
      </c>
      <c r="G886" t="inlineStr">
        <is>
          <t>Participer à la conférence de l'Institute of Internal Auditors.</t>
        </is>
      </c>
      <c r="H886" s="1" t="n">
        <v>43001</v>
      </c>
      <c r="I886" s="1" t="n">
        <v>43004</v>
      </c>
      <c r="J886" t="inlineStr">
        <is>
          <t>Edmonton, Alberta</t>
        </is>
      </c>
      <c r="K886" t="inlineStr">
        <is>
          <t>Edmonton, Alberta</t>
        </is>
      </c>
      <c r="P886" t="n">
        <v>609.21</v>
      </c>
      <c r="Q886" t="n">
        <v>125.39</v>
      </c>
      <c r="R886" t="n">
        <v>569.1900000000001</v>
      </c>
      <c r="S886" t="n">
        <v>179</v>
      </c>
      <c r="U886" t="n">
        <v>1482.79</v>
      </c>
      <c r="V886" t="inlineStr">
        <is>
          <t>AJE810389</t>
        </is>
      </c>
      <c r="X886" t="inlineStr">
        <is>
          <t>aafc-aac</t>
        </is>
      </c>
      <c r="Y886" t="inlineStr">
        <is>
          <t>Agriculture and Agri-Food Canada | Agriculture et Agroalimentaire Canada</t>
        </is>
      </c>
      <c r="Z886" t="n">
        <v>4</v>
      </c>
      <c r="AA886" t="n">
        <v>1482.79</v>
      </c>
      <c r="AB886">
        <f>ROUND(U886-AA886,2)</f>
        <v/>
      </c>
      <c r="AC886" t="b">
        <v>0</v>
      </c>
      <c r="AD886">
        <f>IF(U886="","MISSING_TOTAL",IF(ABS(AB886)&lt;=0.01,"OK","CHECK"))</f>
        <v/>
      </c>
      <c r="AE886">
        <f>IF(U886="","MISSING",IF(AND(AA886&gt;0,U886/AA886&gt;50),"POSSIBLE_SCALE_ERROR","OK"))</f>
        <v/>
      </c>
    </row>
    <row r="887">
      <c r="A887" t="inlineStr">
        <is>
          <t>T-2017-Q3-00033</t>
        </is>
      </c>
      <c r="B887" t="inlineStr">
        <is>
          <t>SLE</t>
        </is>
      </c>
      <c r="C887" t="inlineStr">
        <is>
          <t>Director General, Office of Audit and Evaluation</t>
        </is>
      </c>
      <c r="D887" t="inlineStr">
        <is>
          <t>Directrice générale, Bureau de la Vérification et de l'évaluation</t>
        </is>
      </c>
      <c r="E887" t="inlineStr">
        <is>
          <t>Kimberly Saunders</t>
        </is>
      </c>
      <c r="F887" t="inlineStr">
        <is>
          <t>Departmental Audit Committee.</t>
        </is>
      </c>
      <c r="G887" t="inlineStr">
        <is>
          <t>Comité ministériel de vérification</t>
        </is>
      </c>
      <c r="H887" s="1" t="n">
        <v>43005</v>
      </c>
      <c r="I887" s="1" t="n">
        <v>43006</v>
      </c>
      <c r="J887" t="inlineStr">
        <is>
          <t>Guelph, Ontario</t>
        </is>
      </c>
      <c r="K887" t="inlineStr">
        <is>
          <t>Guelph, Ontario</t>
        </is>
      </c>
      <c r="P887" t="n">
        <v>238.96</v>
      </c>
      <c r="Q887" t="n">
        <v>235.44</v>
      </c>
      <c r="R887" t="n">
        <v>248.6</v>
      </c>
      <c r="S887" t="n">
        <v>97.84999999999999</v>
      </c>
      <c r="U887" t="n">
        <v>820.85</v>
      </c>
      <c r="V887" t="inlineStr">
        <is>
          <t>AJE808168</t>
        </is>
      </c>
      <c r="X887" t="inlineStr">
        <is>
          <t>aafc-aac</t>
        </is>
      </c>
      <c r="Y887" t="inlineStr">
        <is>
          <t>Agriculture and Agri-Food Canada | Agriculture et Agroalimentaire Canada</t>
        </is>
      </c>
      <c r="Z887" t="n">
        <v>2</v>
      </c>
      <c r="AA887" t="n">
        <v>820.85</v>
      </c>
      <c r="AB887">
        <f>ROUND(U887-AA887,2)</f>
        <v/>
      </c>
      <c r="AC887" t="b">
        <v>0</v>
      </c>
      <c r="AD887">
        <f>IF(U887="","MISSING_TOTAL",IF(ABS(AB887)&lt;=0.01,"OK","CHECK"))</f>
        <v/>
      </c>
      <c r="AE887">
        <f>IF(U887="","MISSING",IF(AND(AA887&gt;0,U887/AA887&gt;50),"POSSIBLE_SCALE_ERROR","OK"))</f>
        <v/>
      </c>
    </row>
    <row r="888">
      <c r="A888" t="inlineStr">
        <is>
          <t>T-2017-Q3-00034</t>
        </is>
      </c>
      <c r="B888" t="inlineStr">
        <is>
          <t>SLE</t>
        </is>
      </c>
      <c r="C888" t="inlineStr">
        <is>
          <t>Director General, Office of Audit and Evaluation</t>
        </is>
      </c>
      <c r="D888" t="inlineStr">
        <is>
          <t>Directrice générale, Bureau de la Vérification et de l'évaluation</t>
        </is>
      </c>
      <c r="E888" t="inlineStr">
        <is>
          <t>Kimberly Saunders</t>
        </is>
      </c>
      <c r="F888" t="inlineStr">
        <is>
          <t>To attend a training session at Queen's University.</t>
        </is>
      </c>
      <c r="G888" t="inlineStr">
        <is>
          <t>Participer à une session de formation à l'Université Queens.</t>
        </is>
      </c>
      <c r="H888" s="1" t="n">
        <v>43066</v>
      </c>
      <c r="I888" s="1" t="n">
        <v>43070</v>
      </c>
      <c r="J888" t="inlineStr">
        <is>
          <t>Kingston, Ontario</t>
        </is>
      </c>
      <c r="K888" t="inlineStr">
        <is>
          <t>Kingston, Ontario</t>
        </is>
      </c>
      <c r="P888" t="n">
        <v>0</v>
      </c>
      <c r="Q888" t="n">
        <v>146</v>
      </c>
      <c r="R888" t="n">
        <v>0</v>
      </c>
      <c r="S888" t="n">
        <v>103.8</v>
      </c>
      <c r="T888" t="n">
        <v>0</v>
      </c>
      <c r="U888" t="n">
        <v>249.8</v>
      </c>
      <c r="V888" t="inlineStr">
        <is>
          <t>AJE886357</t>
        </is>
      </c>
      <c r="X888" t="inlineStr">
        <is>
          <t>aafc-aac</t>
        </is>
      </c>
      <c r="Y888" t="inlineStr">
        <is>
          <t>Agriculture and Agri-Food Canada | Agriculture et Agroalimentaire Canada</t>
        </is>
      </c>
      <c r="Z888" t="n">
        <v>5</v>
      </c>
      <c r="AA888" t="n">
        <v>249.8</v>
      </c>
      <c r="AB888">
        <f>ROUND(U888-AA888,2)</f>
        <v/>
      </c>
      <c r="AC888" t="b">
        <v>0</v>
      </c>
      <c r="AD888">
        <f>IF(U888="","MISSING_TOTAL",IF(ABS(AB888)&lt;=0.01,"OK","CHECK"))</f>
        <v/>
      </c>
      <c r="AE888">
        <f>IF(U888="","MISSING",IF(AND(AA888&gt;0,U888/AA888&gt;50),"POSSIBLE_SCALE_ERROR","OK"))</f>
        <v/>
      </c>
    </row>
    <row r="889">
      <c r="A889" t="inlineStr">
        <is>
          <t>T-2017-Q3-00035</t>
        </is>
      </c>
      <c r="B889" t="inlineStr">
        <is>
          <t>SLE</t>
        </is>
      </c>
      <c r="C889" t="inlineStr">
        <is>
          <t>Chief Agriculture Negotiator</t>
        </is>
      </c>
      <c r="D889" t="inlineStr">
        <is>
          <t>Négociateur en chef pour l'agriculture</t>
        </is>
      </c>
      <c r="E889" t="inlineStr">
        <is>
          <t>Frédéric Seppey</t>
        </is>
      </c>
      <c r="F889" t="inlineStr">
        <is>
          <t>North American Trade Agreement Negotiations</t>
        </is>
      </c>
      <c r="G889" t="inlineStr">
        <is>
          <t>Négociations Accord de libre-échange nord-américain</t>
        </is>
      </c>
      <c r="H889" s="1" t="n">
        <v>43020</v>
      </c>
      <c r="I889" s="1" t="n">
        <v>43024</v>
      </c>
      <c r="J889" t="inlineStr">
        <is>
          <t>Washington, DC</t>
        </is>
      </c>
      <c r="K889" t="inlineStr">
        <is>
          <t>Washington, DC</t>
        </is>
      </c>
      <c r="P889" t="n">
        <v>1516.44</v>
      </c>
      <c r="Q889" t="n">
        <v>359.47</v>
      </c>
      <c r="R889" t="n">
        <v>1807.75</v>
      </c>
      <c r="S889" t="n">
        <v>494.1</v>
      </c>
      <c r="T889" t="n">
        <v>388.74</v>
      </c>
      <c r="U889" t="n">
        <v>4566.5</v>
      </c>
      <c r="V889" t="inlineStr">
        <is>
          <t>AJE538499</t>
        </is>
      </c>
      <c r="X889" t="inlineStr">
        <is>
          <t>aafc-aac</t>
        </is>
      </c>
      <c r="Y889" t="inlineStr">
        <is>
          <t>Agriculture and Agri-Food Canada | Agriculture et Agroalimentaire Canada</t>
        </is>
      </c>
      <c r="Z889" t="n">
        <v>5</v>
      </c>
      <c r="AA889" t="n">
        <v>4566.5</v>
      </c>
      <c r="AB889">
        <f>ROUND(U889-AA889,2)</f>
        <v/>
      </c>
      <c r="AC889" t="b">
        <v>0</v>
      </c>
      <c r="AD889">
        <f>IF(U889="","MISSING_TOTAL",IF(ABS(AB889)&lt;=0.01,"OK","CHECK"))</f>
        <v/>
      </c>
      <c r="AE889">
        <f>IF(U889="","MISSING",IF(AND(AA889&gt;0,U889/AA889&gt;50),"POSSIBLE_SCALE_ERROR","OK"))</f>
        <v/>
      </c>
    </row>
    <row r="890">
      <c r="A890" t="inlineStr">
        <is>
          <t>T-2017-Q3-00040</t>
        </is>
      </c>
      <c r="B890" t="inlineStr">
        <is>
          <t>MPSES</t>
        </is>
      </c>
      <c r="C890" t="inlineStr">
        <is>
          <t>Associate Deputy Minister</t>
        </is>
      </c>
      <c r="D890" t="inlineStr">
        <is>
          <t>Sous-ministre déléguée</t>
        </is>
      </c>
      <c r="E890" t="inlineStr">
        <is>
          <t>Nada Semaan</t>
        </is>
      </c>
      <c r="F890" t="inlineStr">
        <is>
          <t>Quebec Outreach Conseil de la Transformation Alimentaire du Québec Annual General meetings and Staff visits.</t>
        </is>
      </c>
      <c r="G890" t="inlineStr">
        <is>
          <t>Rencontres générales du Québec Conseil de la Transformation Alimentaire du Québec  et visites du personnel.</t>
        </is>
      </c>
      <c r="H890" s="1" t="n">
        <v>42998</v>
      </c>
      <c r="I890" s="1" t="n">
        <v>42999</v>
      </c>
      <c r="J890" t="inlineStr">
        <is>
          <t>Quebec City, Quebec</t>
        </is>
      </c>
      <c r="K890" t="inlineStr">
        <is>
          <t>Québec, Québec</t>
        </is>
      </c>
      <c r="Q890" t="n">
        <v>126.06</v>
      </c>
      <c r="R890" t="n">
        <v>308.21</v>
      </c>
      <c r="S890" t="n">
        <v>178.85</v>
      </c>
      <c r="U890" t="n">
        <v>613.12</v>
      </c>
      <c r="V890" t="inlineStr">
        <is>
          <t>AJG872518</t>
        </is>
      </c>
      <c r="X890" t="inlineStr">
        <is>
          <t>aafc-aac</t>
        </is>
      </c>
      <c r="Y890" t="inlineStr">
        <is>
          <t>Agriculture and Agri-Food Canada | Agriculture et Agroalimentaire Canada</t>
        </is>
      </c>
      <c r="Z890" t="n">
        <v>2</v>
      </c>
      <c r="AA890" t="n">
        <v>613.12</v>
      </c>
      <c r="AB890">
        <f>ROUND(U890-AA890,2)</f>
        <v/>
      </c>
      <c r="AC890" t="b">
        <v>0</v>
      </c>
      <c r="AD890">
        <f>IF(U890="","MISSING_TOTAL",IF(ABS(AB890)&lt;=0.01,"OK","CHECK"))</f>
        <v/>
      </c>
      <c r="AE890">
        <f>IF(U890="","MISSING",IF(AND(AA890&gt;0,U890/AA890&gt;50),"POSSIBLE_SCALE_ERROR","OK"))</f>
        <v/>
      </c>
    </row>
    <row r="891">
      <c r="A891" t="inlineStr">
        <is>
          <t>T-2017-Q3-00041</t>
        </is>
      </c>
      <c r="B891" t="inlineStr">
        <is>
          <t>MPSES</t>
        </is>
      </c>
      <c r="C891" t="inlineStr">
        <is>
          <t>Associate Deputy Minister</t>
        </is>
      </c>
      <c r="D891" t="inlineStr">
        <is>
          <t>Sous-ministre déléguée</t>
        </is>
      </c>
      <c r="E891" t="inlineStr">
        <is>
          <t>Nada Semaan</t>
        </is>
      </c>
      <c r="F891" t="inlineStr">
        <is>
          <t>Associate Deputy Minister 's Ontario outreach visit.</t>
        </is>
      </c>
      <c r="G891" t="inlineStr">
        <is>
          <t>Visite de sensibilisation des sous-ministres adjoints en Ontario.</t>
        </is>
      </c>
      <c r="H891" s="1" t="n">
        <v>43010</v>
      </c>
      <c r="I891" s="1" t="n">
        <v>43012</v>
      </c>
      <c r="J891" t="inlineStr">
        <is>
          <t>London, Ontario</t>
        </is>
      </c>
      <c r="K891" t="inlineStr">
        <is>
          <t>London, Ontario</t>
        </is>
      </c>
      <c r="P891" t="n">
        <v>516.6900000000001</v>
      </c>
      <c r="Q891" t="n">
        <v>11.66</v>
      </c>
      <c r="R891" t="n">
        <v>174.02</v>
      </c>
      <c r="S891" t="n">
        <v>205.3</v>
      </c>
      <c r="U891" t="n">
        <v>907.67</v>
      </c>
      <c r="V891" t="inlineStr">
        <is>
          <t>AJG847729</t>
        </is>
      </c>
      <c r="X891" t="inlineStr">
        <is>
          <t>aafc-aac</t>
        </is>
      </c>
      <c r="Y891" t="inlineStr">
        <is>
          <t>Agriculture and Agri-Food Canada | Agriculture et Agroalimentaire Canada</t>
        </is>
      </c>
      <c r="Z891" t="n">
        <v>3</v>
      </c>
      <c r="AA891" t="n">
        <v>907.67</v>
      </c>
      <c r="AB891">
        <f>ROUND(U891-AA891,2)</f>
        <v/>
      </c>
      <c r="AC891" t="b">
        <v>0</v>
      </c>
      <c r="AD891">
        <f>IF(U891="","MISSING_TOTAL",IF(ABS(AB891)&lt;=0.01,"OK","CHECK"))</f>
        <v/>
      </c>
      <c r="AE891">
        <f>IF(U891="","MISSING",IF(AND(AA891&gt;0,U891/AA891&gt;50),"POSSIBLE_SCALE_ERROR","OK"))</f>
        <v/>
      </c>
    </row>
    <row r="892">
      <c r="A892" t="inlineStr">
        <is>
          <t>T-2017-Q3-00042</t>
        </is>
      </c>
      <c r="B892" t="inlineStr">
        <is>
          <t>MPSES</t>
        </is>
      </c>
      <c r="C892" t="inlineStr">
        <is>
          <t>Associate Deputy Minister</t>
        </is>
      </c>
      <c r="D892" t="inlineStr">
        <is>
          <t>Sous-ministre déléguée</t>
        </is>
      </c>
      <c r="E892" t="inlineStr">
        <is>
          <t>Nada Semaan</t>
        </is>
      </c>
      <c r="F892" t="inlineStr">
        <is>
          <t>Associate Deputy Minister attends at Director Education Program Course.</t>
        </is>
      </c>
      <c r="G892" t="inlineStr">
        <is>
          <t>La sous-ministre déléguée assiste à un cours du programme de formation des administrateurs.</t>
        </is>
      </c>
      <c r="H892" s="1" t="n">
        <v>43020</v>
      </c>
      <c r="I892" s="1" t="n">
        <v>43023</v>
      </c>
      <c r="J892" t="inlineStr">
        <is>
          <t>Toronto, Ontario</t>
        </is>
      </c>
      <c r="K892" t="inlineStr">
        <is>
          <t>Toronto, Ontario</t>
        </is>
      </c>
      <c r="P892" t="n">
        <v>345.92</v>
      </c>
      <c r="Q892" t="n">
        <v>11.66</v>
      </c>
      <c r="R892" t="n">
        <v>1040.55</v>
      </c>
      <c r="S892" t="n">
        <v>193.95</v>
      </c>
      <c r="U892" t="n">
        <v>1592.08</v>
      </c>
      <c r="V892" t="inlineStr">
        <is>
          <t>AJG852293</t>
        </is>
      </c>
      <c r="X892" t="inlineStr">
        <is>
          <t>aafc-aac</t>
        </is>
      </c>
      <c r="Y892" t="inlineStr">
        <is>
          <t>Agriculture and Agri-Food Canada | Agriculture et Agroalimentaire Canada</t>
        </is>
      </c>
      <c r="Z892" t="n">
        <v>4</v>
      </c>
      <c r="AA892" t="n">
        <v>1592.08</v>
      </c>
      <c r="AB892">
        <f>ROUND(U892-AA892,2)</f>
        <v/>
      </c>
      <c r="AC892" t="b">
        <v>0</v>
      </c>
      <c r="AD892">
        <f>IF(U892="","MISSING_TOTAL",IF(ABS(AB892)&lt;=0.01,"OK","CHECK"))</f>
        <v/>
      </c>
      <c r="AE892">
        <f>IF(U892="","MISSING",IF(AND(AA892&gt;0,U892/AA892&gt;50),"POSSIBLE_SCALE_ERROR","OK"))</f>
        <v/>
      </c>
    </row>
    <row r="893">
      <c r="A893" t="inlineStr">
        <is>
          <t>T-2017-Q3-00043</t>
        </is>
      </c>
      <c r="B893" t="inlineStr">
        <is>
          <t>MPSES</t>
        </is>
      </c>
      <c r="C893" t="inlineStr">
        <is>
          <t>Associate Deputy Minister</t>
        </is>
      </c>
      <c r="D893" t="inlineStr">
        <is>
          <t>Sous-ministre déléguée</t>
        </is>
      </c>
      <c r="E893" t="inlineStr">
        <is>
          <t>Nada Semaan</t>
        </is>
      </c>
      <c r="F893" t="inlineStr">
        <is>
          <t>China Mission to Support Minister in opening new market.</t>
        </is>
      </c>
      <c r="G893" t="inlineStr">
        <is>
          <t>Mission en Chine pour soutenir le Ministre dans l'ouverture de nouveaux marchés.</t>
        </is>
      </c>
      <c r="H893" s="1" t="n">
        <v>43049</v>
      </c>
      <c r="I893" s="1" t="n">
        <v>43061</v>
      </c>
      <c r="J893" t="inlineStr">
        <is>
          <t>Beijing, China</t>
        </is>
      </c>
      <c r="K893" t="inlineStr">
        <is>
          <t>Pékin, Chine</t>
        </is>
      </c>
      <c r="P893" t="n">
        <v>8524.860000000001</v>
      </c>
      <c r="Q893" t="n">
        <v>11.66</v>
      </c>
      <c r="R893" t="n">
        <v>3087.42</v>
      </c>
      <c r="S893" t="n">
        <v>1030.03</v>
      </c>
      <c r="T893" t="n">
        <v>20.33</v>
      </c>
      <c r="U893" t="n">
        <v>12674.3</v>
      </c>
      <c r="V893" t="inlineStr">
        <is>
          <t>AJG853527</t>
        </is>
      </c>
      <c r="X893" t="inlineStr">
        <is>
          <t>aafc-aac</t>
        </is>
      </c>
      <c r="Y893" t="inlineStr">
        <is>
          <t>Agriculture and Agri-Food Canada | Agriculture et Agroalimentaire Canada</t>
        </is>
      </c>
      <c r="Z893" t="n">
        <v>13</v>
      </c>
      <c r="AA893" t="n">
        <v>12674.3</v>
      </c>
      <c r="AB893">
        <f>ROUND(U893-AA893,2)</f>
        <v/>
      </c>
      <c r="AC893" t="b">
        <v>0</v>
      </c>
      <c r="AD893">
        <f>IF(U893="","MISSING_TOTAL",IF(ABS(AB893)&lt;=0.01,"OK","CHECK"))</f>
        <v/>
      </c>
      <c r="AE893">
        <f>IF(U893="","MISSING",IF(AND(AA893&gt;0,U893/AA893&gt;50),"POSSIBLE_SCALE_ERROR","OK"))</f>
        <v/>
      </c>
    </row>
    <row r="894">
      <c r="A894" t="inlineStr">
        <is>
          <t>T-2017-Q3-00044</t>
        </is>
      </c>
      <c r="B894" t="inlineStr">
        <is>
          <t>MPSES</t>
        </is>
      </c>
      <c r="C894" t="inlineStr">
        <is>
          <t>Parliamentary Secretary Assistant</t>
        </is>
      </c>
      <c r="D894" t="inlineStr">
        <is>
          <t>Adjoint du Secrétaire parlementaire</t>
        </is>
      </c>
      <c r="E894" t="inlineStr">
        <is>
          <t>Michel-Antoine Renaud</t>
        </is>
      </c>
      <c r="F894" t="inlineStr">
        <is>
          <t>To accompany the Parliamentary Secretary to Meeting with dairy farmers of Québec-Montérégie-Est-Ouest, Meeting with sheep milk producers and sheep cheese and to visit the MacDonald Campus of U McGill.</t>
        </is>
      </c>
      <c r="G894" t="inlineStr">
        <is>
          <t>Pour accompagner le secrétaire parlementaire à la rencontre des éleveurs laitiers du Québec-Montérégie-Est-Ouest, rencontrer des producteurs de lait de brebis et visiter le campus MacDonald de U McGill.</t>
        </is>
      </c>
      <c r="H894" s="1" t="n">
        <v>42992</v>
      </c>
      <c r="I894" s="1" t="n">
        <v>42992</v>
      </c>
      <c r="J894" t="inlineStr">
        <is>
          <t>Montreal, Quebec</t>
        </is>
      </c>
      <c r="K894" t="inlineStr">
        <is>
          <t>Montréal, Québec</t>
        </is>
      </c>
      <c r="Q894" t="n">
        <v>85.78</v>
      </c>
      <c r="S894" t="n">
        <v>35.2</v>
      </c>
      <c r="U894" t="n">
        <v>120.98</v>
      </c>
      <c r="V894" t="n">
        <v>1900079805</v>
      </c>
      <c r="X894" t="inlineStr">
        <is>
          <t>aafc-aac</t>
        </is>
      </c>
      <c r="Y894" t="inlineStr">
        <is>
          <t>Agriculture and Agri-Food Canada | Agriculture et Agroalimentaire Canada</t>
        </is>
      </c>
      <c r="Z894" t="n">
        <v>1</v>
      </c>
      <c r="AA894" t="n">
        <v>120.98</v>
      </c>
      <c r="AB894">
        <f>ROUND(U894-AA894,2)</f>
        <v/>
      </c>
      <c r="AC894" t="b">
        <v>0</v>
      </c>
      <c r="AD894">
        <f>IF(U894="","MISSING_TOTAL",IF(ABS(AB894)&lt;=0.01,"OK","CHECK"))</f>
        <v/>
      </c>
      <c r="AE894">
        <f>IF(U894="","MISSING",IF(AND(AA894&gt;0,U894/AA894&gt;50),"POSSIBLE_SCALE_ERROR","OK"))</f>
        <v/>
      </c>
    </row>
    <row r="895">
      <c r="A895" t="inlineStr">
        <is>
          <t>T-2017-Q3-00048</t>
        </is>
      </c>
      <c r="B895" t="inlineStr">
        <is>
          <t>MPSES</t>
        </is>
      </c>
      <c r="C895" t="inlineStr">
        <is>
          <t>Director of Policy</t>
        </is>
      </c>
      <c r="D895" t="inlineStr">
        <is>
          <t>Directrice de la politique</t>
        </is>
      </c>
      <c r="E895" t="inlineStr">
        <is>
          <t>Alison Porter</t>
        </is>
      </c>
      <c r="F895" t="inlineStr">
        <is>
          <t>Travel for the Agriculture and Agri-Food Canada Ministerial Mission to China.</t>
        </is>
      </c>
      <c r="G895" t="inlineStr">
        <is>
          <t>Voyage pour la mission ministérielle d'Agriculture et Agrioalimentaire Canada en Chine.</t>
        </is>
      </c>
      <c r="H895" s="1" t="n">
        <v>43049</v>
      </c>
      <c r="I895" s="1" t="n">
        <v>43062</v>
      </c>
      <c r="J895" t="inlineStr">
        <is>
          <t>Beijing, China</t>
        </is>
      </c>
      <c r="K895" t="inlineStr">
        <is>
          <t>Pékin, Chine</t>
        </is>
      </c>
      <c r="P895" t="n">
        <v>6909.34</v>
      </c>
      <c r="R895" t="n">
        <v>2962.94</v>
      </c>
      <c r="S895" t="n">
        <v>1741.06</v>
      </c>
      <c r="U895" t="n">
        <v>11613.34</v>
      </c>
      <c r="V895" t="n">
        <v>1900099839</v>
      </c>
      <c r="X895" t="inlineStr">
        <is>
          <t>aafc-aac</t>
        </is>
      </c>
      <c r="Y895" t="inlineStr">
        <is>
          <t>Agriculture and Agri-Food Canada | Agriculture et Agroalimentaire Canada</t>
        </is>
      </c>
      <c r="Z895" t="n">
        <v>14</v>
      </c>
      <c r="AA895" t="n">
        <v>11613.34</v>
      </c>
      <c r="AB895">
        <f>ROUND(U895-AA895,2)</f>
        <v/>
      </c>
      <c r="AC895" t="b">
        <v>0</v>
      </c>
      <c r="AD895">
        <f>IF(U895="","MISSING_TOTAL",IF(ABS(AB895)&lt;=0.01,"OK","CHECK"))</f>
        <v/>
      </c>
      <c r="AE895">
        <f>IF(U895="","MISSING",IF(AND(AA895&gt;0,U895/AA895&gt;50),"POSSIBLE_SCALE_ERROR","OK"))</f>
        <v/>
      </c>
    </row>
    <row r="896">
      <c r="A896" t="inlineStr">
        <is>
          <t>T-2017-Q3-00051</t>
        </is>
      </c>
      <c r="B896" t="inlineStr">
        <is>
          <t>MPSES</t>
        </is>
      </c>
      <c r="C896" t="inlineStr">
        <is>
          <t>Chief of Staff</t>
        </is>
      </c>
      <c r="D896" t="inlineStr">
        <is>
          <t>Chef de cabinet</t>
        </is>
      </c>
      <c r="E896" t="inlineStr">
        <is>
          <t>Mary Jean McFall</t>
        </is>
      </c>
      <c r="F896" t="inlineStr">
        <is>
          <t>To accompany the Minister to the Cabinet Retreat in St. John's, Newfoundland.</t>
        </is>
      </c>
      <c r="G896" t="inlineStr">
        <is>
          <t>Pour accompagner le ministre à la retraite du Cabinet à St. John's, Terre-Neuve.</t>
        </is>
      </c>
      <c r="H896" s="1" t="n">
        <v>42989</v>
      </c>
      <c r="I896" s="1" t="n">
        <v>42990</v>
      </c>
      <c r="J896" t="inlineStr">
        <is>
          <t>St. John's, Newfoundland and Labrador</t>
        </is>
      </c>
      <c r="K896" t="inlineStr">
        <is>
          <t>St. John's, Terre-Neuve-et-Labrador</t>
        </is>
      </c>
      <c r="P896" t="n">
        <v>257.78</v>
      </c>
      <c r="Q896" t="n">
        <v>184.08</v>
      </c>
      <c r="R896" t="n">
        <v>208.25</v>
      </c>
      <c r="S896" t="n">
        <v>115.75</v>
      </c>
      <c r="U896" t="n">
        <v>765.86</v>
      </c>
      <c r="V896" t="n">
        <v>1900079992</v>
      </c>
      <c r="X896" t="inlineStr">
        <is>
          <t>aafc-aac</t>
        </is>
      </c>
      <c r="Y896" t="inlineStr">
        <is>
          <t>Agriculture and Agri-Food Canada | Agriculture et Agroalimentaire Canada</t>
        </is>
      </c>
      <c r="Z896" t="n">
        <v>2</v>
      </c>
      <c r="AA896" t="n">
        <v>765.86</v>
      </c>
      <c r="AB896">
        <f>ROUND(U896-AA896,2)</f>
        <v/>
      </c>
      <c r="AC896" t="b">
        <v>0</v>
      </c>
      <c r="AD896">
        <f>IF(U896="","MISSING_TOTAL",IF(ABS(AB896)&lt;=0.01,"OK","CHECK"))</f>
        <v/>
      </c>
      <c r="AE896">
        <f>IF(U896="","MISSING",IF(AND(AA896&gt;0,U896/AA896&gt;50),"POSSIBLE_SCALE_ERROR","OK"))</f>
        <v/>
      </c>
    </row>
    <row r="897">
      <c r="A897" t="inlineStr">
        <is>
          <t>T-2017-Q3-00053</t>
        </is>
      </c>
      <c r="B897" t="inlineStr">
        <is>
          <t>MPSES</t>
        </is>
      </c>
      <c r="C897" t="inlineStr">
        <is>
          <t>Director of Parliamentary Affairs</t>
        </is>
      </c>
      <c r="D897" t="inlineStr">
        <is>
          <t>Directeur des affaires parlementaires</t>
        </is>
      </c>
      <c r="E897" t="inlineStr">
        <is>
          <t>Matthew Mann</t>
        </is>
      </c>
      <c r="F897" t="inlineStr">
        <is>
          <t>To support the Minister at the Agriculture and Agri-Food Canada Ministerial Mission to Germany, Belgium and Italy.</t>
        </is>
      </c>
      <c r="G897" t="inlineStr">
        <is>
          <t>Soutenir le ministre à la mission ministérielle d'Agriculture et Agrolimentaire Canada en Allemagne, en Belgique et en Italie.</t>
        </is>
      </c>
      <c r="H897" s="1" t="n">
        <v>43013</v>
      </c>
      <c r="I897" s="1" t="n">
        <v>43025</v>
      </c>
      <c r="J897" t="inlineStr">
        <is>
          <t>Dusseldorf, Germany; Cologne, Germany; Brussels, Belgium; Bologna, Italy</t>
        </is>
      </c>
      <c r="K897" t="inlineStr">
        <is>
          <t>Dusseldorf, Allemagne; Cologne, Allemagne; Bruxelles, Belgique; Bologne, Italie</t>
        </is>
      </c>
      <c r="P897" t="n">
        <v>1835.19</v>
      </c>
      <c r="Q897" t="n">
        <v>453.12</v>
      </c>
      <c r="R897" t="n">
        <v>3741.44</v>
      </c>
      <c r="S897" t="n">
        <v>1507.56</v>
      </c>
      <c r="U897" t="n">
        <v>7537.31</v>
      </c>
      <c r="V897" t="n">
        <v>1900090572</v>
      </c>
      <c r="X897" t="inlineStr">
        <is>
          <t>aafc-aac</t>
        </is>
      </c>
      <c r="Y897" t="inlineStr">
        <is>
          <t>Agriculture and Agri-Food Canada | Agriculture et Agroalimentaire Canada</t>
        </is>
      </c>
      <c r="Z897" t="n">
        <v>13</v>
      </c>
      <c r="AA897" t="n">
        <v>7537.30999999999</v>
      </c>
      <c r="AB897">
        <f>ROUND(U897-AA897,2)</f>
        <v/>
      </c>
      <c r="AC897" t="b">
        <v>0</v>
      </c>
      <c r="AD897">
        <f>IF(U897="","MISSING_TOTAL",IF(ABS(AB897)&lt;=0.01,"OK","CHECK"))</f>
        <v/>
      </c>
      <c r="AE897">
        <f>IF(U897="","MISSING",IF(AND(AA897&gt;0,U897/AA897&gt;50),"POSSIBLE_SCALE_ERROR","OK"))</f>
        <v/>
      </c>
    </row>
    <row r="898">
      <c r="A898" t="inlineStr">
        <is>
          <t>T-2017-Q3-00055</t>
        </is>
      </c>
      <c r="B898" t="inlineStr">
        <is>
          <t>MPSES</t>
        </is>
      </c>
      <c r="C898" t="inlineStr">
        <is>
          <t>Minister</t>
        </is>
      </c>
      <c r="D898" t="inlineStr">
        <is>
          <t>Ministre</t>
        </is>
      </c>
      <c r="E898" t="inlineStr">
        <is>
          <t>Lawrence MacAulay</t>
        </is>
      </c>
      <c r="F898" t="inlineStr">
        <is>
          <t>To attend the Cabinet retreat in St. John's, Newfoundland.</t>
        </is>
      </c>
      <c r="G898" t="inlineStr">
        <is>
          <t>Pour assister à la retraite du Cabinet à St. John's, Terre-Neuve.</t>
        </is>
      </c>
      <c r="H898" s="1" t="n">
        <v>42987</v>
      </c>
      <c r="I898" s="1" t="n">
        <v>42990</v>
      </c>
      <c r="J898" t="inlineStr">
        <is>
          <t>St. John's, Newfoundland and Labrador</t>
        </is>
      </c>
      <c r="K898" t="inlineStr">
        <is>
          <t>St. John's, Terre-Neuve-et-Labrador</t>
        </is>
      </c>
      <c r="P898" t="n">
        <v>462.77</v>
      </c>
      <c r="R898" t="n">
        <v>208.25</v>
      </c>
      <c r="S898" t="n">
        <v>115.75</v>
      </c>
      <c r="U898" t="n">
        <v>786.77</v>
      </c>
      <c r="V898" t="n">
        <v>1900079989</v>
      </c>
      <c r="X898" t="inlineStr">
        <is>
          <t>aafc-aac</t>
        </is>
      </c>
      <c r="Y898" t="inlineStr">
        <is>
          <t>Agriculture and Agri-Food Canada | Agriculture et Agroalimentaire Canada</t>
        </is>
      </c>
      <c r="Z898" t="n">
        <v>4</v>
      </c>
      <c r="AA898" t="n">
        <v>786.77</v>
      </c>
      <c r="AB898">
        <f>ROUND(U898-AA898,2)</f>
        <v/>
      </c>
      <c r="AC898" t="b">
        <v>0</v>
      </c>
      <c r="AD898">
        <f>IF(U898="","MISSING_TOTAL",IF(ABS(AB898)&lt;=0.01,"OK","CHECK"))</f>
        <v/>
      </c>
      <c r="AE898">
        <f>IF(U898="","MISSING",IF(AND(AA898&gt;0,U898/AA898&gt;50),"POSSIBLE_SCALE_ERROR","OK"))</f>
        <v/>
      </c>
    </row>
    <row r="899">
      <c r="A899" t="inlineStr">
        <is>
          <t>T-2017-Q3-00058</t>
        </is>
      </c>
      <c r="B899" t="inlineStr">
        <is>
          <t>MPSES</t>
        </is>
      </c>
      <c r="C899" t="inlineStr">
        <is>
          <t>Minister</t>
        </is>
      </c>
      <c r="D899" t="inlineStr">
        <is>
          <t>Ministre</t>
        </is>
      </c>
      <c r="E899" t="inlineStr">
        <is>
          <t>Lawrence MacAulay</t>
        </is>
      </c>
      <c r="F899" t="inlineStr">
        <is>
          <t>For an Outreach to Manitoba.</t>
        </is>
      </c>
      <c r="G899" t="inlineStr">
        <is>
          <t>Pour une sensibilisation au Manitoba.</t>
        </is>
      </c>
      <c r="H899" s="1" t="n">
        <v>43006</v>
      </c>
      <c r="I899" s="1" t="n">
        <v>43007</v>
      </c>
      <c r="J899" t="inlineStr">
        <is>
          <t>Winnipeg, Manitoba</t>
        </is>
      </c>
      <c r="K899" t="inlineStr">
        <is>
          <t>Winnipeg, Manitoba</t>
        </is>
      </c>
      <c r="P899" t="n">
        <v>1595.65</v>
      </c>
      <c r="R899" t="n">
        <v>164.37</v>
      </c>
      <c r="S899" t="n">
        <v>161.7</v>
      </c>
      <c r="U899" t="n">
        <v>1921.72</v>
      </c>
      <c r="V899" t="n">
        <v>1900083453</v>
      </c>
      <c r="X899" t="inlineStr">
        <is>
          <t>aafc-aac</t>
        </is>
      </c>
      <c r="Y899" t="inlineStr">
        <is>
          <t>Agriculture and Agri-Food Canada | Agriculture et Agroalimentaire Canada</t>
        </is>
      </c>
      <c r="Z899" t="n">
        <v>2</v>
      </c>
      <c r="AA899" t="n">
        <v>1921.72</v>
      </c>
      <c r="AB899">
        <f>ROUND(U899-AA899,2)</f>
        <v/>
      </c>
      <c r="AC899" t="b">
        <v>0</v>
      </c>
      <c r="AD899">
        <f>IF(U899="","MISSING_TOTAL",IF(ABS(AB899)&lt;=0.01,"OK","CHECK"))</f>
        <v/>
      </c>
      <c r="AE899">
        <f>IF(U899="","MISSING",IF(AND(AA899&gt;0,U899/AA899&gt;50),"POSSIBLE_SCALE_ERROR","OK"))</f>
        <v/>
      </c>
    </row>
    <row r="900">
      <c r="A900" t="inlineStr">
        <is>
          <t>T-2017-Q3-00059</t>
        </is>
      </c>
      <c r="B900" t="inlineStr">
        <is>
          <t>MPSES</t>
        </is>
      </c>
      <c r="C900" t="inlineStr">
        <is>
          <t>Minister</t>
        </is>
      </c>
      <c r="D900" t="inlineStr">
        <is>
          <t>Ministre</t>
        </is>
      </c>
      <c r="E900" t="inlineStr">
        <is>
          <t>Lawrence MacAulay</t>
        </is>
      </c>
      <c r="F900" t="inlineStr">
        <is>
          <t>Agriculture and Agri-Food Canada MINISTERIAL MISSION to Germany, Belgium and Italy.</t>
        </is>
      </c>
      <c r="G900" t="inlineStr">
        <is>
          <t>MISSION MINISTERIELLE D'Agriculture et Agroalimentaire en Allemagne, Belgique et Italie.</t>
        </is>
      </c>
      <c r="H900" s="1" t="n">
        <v>43015</v>
      </c>
      <c r="I900" s="1" t="n">
        <v>43025</v>
      </c>
      <c r="J900" t="inlineStr">
        <is>
          <t>Dusseldorf, Germany; Cologne, Germany; Brussels, Belgium; Bologna, Italy</t>
        </is>
      </c>
      <c r="K900" t="inlineStr">
        <is>
          <t>Dusseldorf, Allemagne; Cologne, Allemagne; Bruxelles, Belgique; Bologne, Italie</t>
        </is>
      </c>
      <c r="P900" t="n">
        <v>8487.99</v>
      </c>
      <c r="Q900" t="n">
        <v>423.6</v>
      </c>
      <c r="R900" t="n">
        <v>3741.44</v>
      </c>
      <c r="S900" t="n">
        <v>1341.15</v>
      </c>
      <c r="U900" t="n">
        <v>13994.18</v>
      </c>
      <c r="V900" t="n">
        <v>1900090594</v>
      </c>
      <c r="X900" t="inlineStr">
        <is>
          <t>aafc-aac</t>
        </is>
      </c>
      <c r="Y900" t="inlineStr">
        <is>
          <t>Agriculture and Agri-Food Canada | Agriculture et Agroalimentaire Canada</t>
        </is>
      </c>
      <c r="Z900" t="n">
        <v>11</v>
      </c>
      <c r="AA900" t="n">
        <v>13994.18</v>
      </c>
      <c r="AB900">
        <f>ROUND(U900-AA900,2)</f>
        <v/>
      </c>
      <c r="AC900" t="b">
        <v>0</v>
      </c>
      <c r="AD900">
        <f>IF(U900="","MISSING_TOTAL",IF(ABS(AB900)&lt;=0.01,"OK","CHECK"))</f>
        <v/>
      </c>
      <c r="AE900">
        <f>IF(U900="","MISSING",IF(AND(AA900&gt;0,U900/AA900&gt;50),"POSSIBLE_SCALE_ERROR","OK"))</f>
        <v/>
      </c>
    </row>
    <row r="901">
      <c r="A901" t="inlineStr">
        <is>
          <t>T-2017-Q3-00061</t>
        </is>
      </c>
      <c r="B901" t="inlineStr">
        <is>
          <t>MPSES</t>
        </is>
      </c>
      <c r="C901" t="inlineStr">
        <is>
          <t>Minister</t>
        </is>
      </c>
      <c r="D901" t="inlineStr">
        <is>
          <t>Ministre</t>
        </is>
      </c>
      <c r="E901" t="inlineStr">
        <is>
          <t>Lawrence MacAulay</t>
        </is>
      </c>
      <c r="F901" t="inlineStr">
        <is>
          <t>To attend the Royal Agriculture Winter Fair.</t>
        </is>
      </c>
      <c r="G901" t="inlineStr">
        <is>
          <t>Participer à la foire d'hiver de l'Agriculture royale.</t>
        </is>
      </c>
      <c r="H901" s="1" t="n">
        <v>43041</v>
      </c>
      <c r="I901" s="1" t="n">
        <v>43044</v>
      </c>
      <c r="J901" t="inlineStr">
        <is>
          <t>Toronto, Ontario</t>
        </is>
      </c>
      <c r="K901" t="inlineStr">
        <is>
          <t>Toronto, Ontario</t>
        </is>
      </c>
      <c r="P901" t="n">
        <v>1260.23</v>
      </c>
      <c r="Q901" t="n">
        <v>25.97</v>
      </c>
      <c r="R901" t="n">
        <v>174</v>
      </c>
      <c r="S901" t="n">
        <v>167.3</v>
      </c>
      <c r="U901" t="n">
        <v>1627.5</v>
      </c>
      <c r="V901" t="n">
        <v>1900095875</v>
      </c>
      <c r="X901" t="inlineStr">
        <is>
          <t>aafc-aac</t>
        </is>
      </c>
      <c r="Y901" t="inlineStr">
        <is>
          <t>Agriculture and Agri-Food Canada | Agriculture et Agroalimentaire Canada</t>
        </is>
      </c>
      <c r="Z901" t="n">
        <v>4</v>
      </c>
      <c r="AA901" t="n">
        <v>1627.5</v>
      </c>
      <c r="AB901">
        <f>ROUND(U901-AA901,2)</f>
        <v/>
      </c>
      <c r="AC901" t="b">
        <v>0</v>
      </c>
      <c r="AD901">
        <f>IF(U901="","MISSING_TOTAL",IF(ABS(AB901)&lt;=0.01,"OK","CHECK"))</f>
        <v/>
      </c>
      <c r="AE901">
        <f>IF(U901="","MISSING",IF(AND(AA901&gt;0,U901/AA901&gt;50),"POSSIBLE_SCALE_ERROR","OK"))</f>
        <v/>
      </c>
    </row>
    <row r="902">
      <c r="A902" t="inlineStr">
        <is>
          <t>T-2017-Q3-00062</t>
        </is>
      </c>
      <c r="B902" t="inlineStr">
        <is>
          <t>MPSES</t>
        </is>
      </c>
      <c r="C902" t="inlineStr">
        <is>
          <t>Minister</t>
        </is>
      </c>
      <c r="D902" t="inlineStr">
        <is>
          <t>Ministre</t>
        </is>
      </c>
      <c r="E902" t="inlineStr">
        <is>
          <t>Lawrence MacAulay</t>
        </is>
      </c>
      <c r="F902" t="inlineStr">
        <is>
          <t>To attend the Canadian Western Agribition and to make an announcement.</t>
        </is>
      </c>
      <c r="G902" t="inlineStr">
        <is>
          <t>Participer à la Canadian Western Agribition et faire une annonce.</t>
        </is>
      </c>
      <c r="H902" s="1" t="n">
        <v>43062</v>
      </c>
      <c r="I902" s="1" t="n">
        <v>43064</v>
      </c>
      <c r="J902" t="inlineStr">
        <is>
          <t>Regina, Saskatchewan</t>
        </is>
      </c>
      <c r="K902" t="inlineStr">
        <is>
          <t>Régina, Saskatchewan</t>
        </is>
      </c>
      <c r="P902" t="n">
        <v>1601.04</v>
      </c>
      <c r="Q902" t="n">
        <v>25.97</v>
      </c>
      <c r="R902" t="n">
        <v>154.34</v>
      </c>
      <c r="S902" t="n">
        <v>89.90000000000001</v>
      </c>
      <c r="U902" t="n">
        <v>1871.25</v>
      </c>
      <c r="V902" t="n">
        <v>1900099645</v>
      </c>
      <c r="X902" t="inlineStr">
        <is>
          <t>aafc-aac</t>
        </is>
      </c>
      <c r="Y902" t="inlineStr">
        <is>
          <t>Agriculture and Agri-Food Canada | Agriculture et Agroalimentaire Canada</t>
        </is>
      </c>
      <c r="Z902" t="n">
        <v>3</v>
      </c>
      <c r="AA902" t="n">
        <v>1871.25</v>
      </c>
      <c r="AB902">
        <f>ROUND(U902-AA902,2)</f>
        <v/>
      </c>
      <c r="AC902" t="b">
        <v>0</v>
      </c>
      <c r="AD902">
        <f>IF(U902="","MISSING_TOTAL",IF(ABS(AB902)&lt;=0.01,"OK","CHECK"))</f>
        <v/>
      </c>
      <c r="AE902">
        <f>IF(U902="","MISSING",IF(AND(AA902&gt;0,U902/AA902&gt;50),"POSSIBLE_SCALE_ERROR","OK"))</f>
        <v/>
      </c>
    </row>
    <row r="903">
      <c r="A903" t="inlineStr">
        <is>
          <t>T-2017-Q3-00065</t>
        </is>
      </c>
      <c r="B903" t="inlineStr">
        <is>
          <t>MPSES</t>
        </is>
      </c>
      <c r="C903" t="inlineStr">
        <is>
          <t>Director of Communications</t>
        </is>
      </c>
      <c r="D903" t="inlineStr">
        <is>
          <t>Directeur des communications</t>
        </is>
      </c>
      <c r="E903" t="inlineStr">
        <is>
          <t>Guy Gallant</t>
        </is>
      </c>
      <c r="F903" t="inlineStr">
        <is>
          <t>To support the Minister at the Agriculture and Agri-Food Canada Ministerial Mission to Germany, Belgium and Italy.</t>
        </is>
      </c>
      <c r="G903" t="inlineStr">
        <is>
          <t>Soutenir le ministre à la mission ministérielle d'Agriculture et Agrioalimentaire Canada en Allemagne, en Belgique et en Italie.</t>
        </is>
      </c>
      <c r="H903" s="1" t="n">
        <v>43013</v>
      </c>
      <c r="I903" s="1" t="n">
        <v>43025</v>
      </c>
      <c r="J903" t="inlineStr">
        <is>
          <t>Dusseldorf, Germany; Cologne, Germany; Brussels, Belgium; Bologna, Italy</t>
        </is>
      </c>
      <c r="K903" t="inlineStr">
        <is>
          <t>Dusseldorf, Allemagne; Cologne, Allemagne; Brussels, Belgique; Bologne, Italie</t>
        </is>
      </c>
      <c r="P903" t="n">
        <v>1835.19</v>
      </c>
      <c r="Q903" t="n">
        <v>423.6</v>
      </c>
      <c r="R903" t="n">
        <v>3741.44</v>
      </c>
      <c r="S903" t="n">
        <v>1507.56</v>
      </c>
      <c r="U903" t="n">
        <v>7507.79</v>
      </c>
      <c r="V903" t="n">
        <v>1900090595</v>
      </c>
      <c r="X903" t="inlineStr">
        <is>
          <t>aafc-aac</t>
        </is>
      </c>
      <c r="Y903" t="inlineStr">
        <is>
          <t>Agriculture and Agri-Food Canada | Agriculture et Agroalimentaire Canada</t>
        </is>
      </c>
      <c r="Z903" t="n">
        <v>13</v>
      </c>
      <c r="AA903" t="n">
        <v>7507.78999999999</v>
      </c>
      <c r="AB903">
        <f>ROUND(U903-AA903,2)</f>
        <v/>
      </c>
      <c r="AC903" t="b">
        <v>0</v>
      </c>
      <c r="AD903">
        <f>IF(U903="","MISSING_TOTAL",IF(ABS(AB903)&lt;=0.01,"OK","CHECK"))</f>
        <v/>
      </c>
      <c r="AE903">
        <f>IF(U903="","MISSING",IF(AND(AA903&gt;0,U903/AA903&gt;50),"POSSIBLE_SCALE_ERROR","OK"))</f>
        <v/>
      </c>
    </row>
    <row r="904">
      <c r="A904" t="inlineStr">
        <is>
          <t>T-2017-Q3-00067</t>
        </is>
      </c>
      <c r="B904" t="inlineStr">
        <is>
          <t>MPSES</t>
        </is>
      </c>
      <c r="C904" t="inlineStr">
        <is>
          <t>Director of Communications</t>
        </is>
      </c>
      <c r="D904" t="inlineStr">
        <is>
          <t>Directeur des communications</t>
        </is>
      </c>
      <c r="E904" t="inlineStr">
        <is>
          <t>Guy Gallant</t>
        </is>
      </c>
      <c r="F904" t="inlineStr">
        <is>
          <t>To support the Minister for government announcement.</t>
        </is>
      </c>
      <c r="G904" t="inlineStr">
        <is>
          <t>Soutenir le Ministre à l'annonce du Gouvernement.</t>
        </is>
      </c>
      <c r="H904" s="1" t="n">
        <v>43027</v>
      </c>
      <c r="I904" s="1" t="n">
        <v>43028</v>
      </c>
      <c r="J904" t="inlineStr">
        <is>
          <t>Charlottetown, Prince Edward Island</t>
        </is>
      </c>
      <c r="K904" t="inlineStr">
        <is>
          <t>Charlottetown, Île-du-Prince-Edouard</t>
        </is>
      </c>
      <c r="P904" t="n">
        <v>394.92</v>
      </c>
      <c r="Q904" t="n">
        <v>32.86</v>
      </c>
      <c r="R904" t="n">
        <v>188.34</v>
      </c>
      <c r="S904" t="n">
        <v>36.2</v>
      </c>
      <c r="U904" t="n">
        <v>652.3200000000001</v>
      </c>
      <c r="V904" t="n">
        <v>1900092534</v>
      </c>
      <c r="X904" t="inlineStr">
        <is>
          <t>aafc-aac</t>
        </is>
      </c>
      <c r="Y904" t="inlineStr">
        <is>
          <t>Agriculture and Agri-Food Canada | Agriculture et Agroalimentaire Canada</t>
        </is>
      </c>
      <c r="Z904" t="n">
        <v>2</v>
      </c>
      <c r="AA904" t="n">
        <v>652.3200000000001</v>
      </c>
      <c r="AB904">
        <f>ROUND(U904-AA904,2)</f>
        <v/>
      </c>
      <c r="AC904" t="b">
        <v>0</v>
      </c>
      <c r="AD904">
        <f>IF(U904="","MISSING_TOTAL",IF(ABS(AB904)&lt;=0.01,"OK","CHECK"))</f>
        <v/>
      </c>
      <c r="AE904">
        <f>IF(U904="","MISSING",IF(AND(AA904&gt;0,U904/AA904&gt;50),"POSSIBLE_SCALE_ERROR","OK"))</f>
        <v/>
      </c>
    </row>
    <row r="905">
      <c r="A905" t="inlineStr">
        <is>
          <t>T-2017-Q3-00069</t>
        </is>
      </c>
      <c r="B905" t="inlineStr">
        <is>
          <t>MPSES</t>
        </is>
      </c>
      <c r="C905" t="inlineStr">
        <is>
          <t>Director of Communications</t>
        </is>
      </c>
      <c r="D905" t="inlineStr">
        <is>
          <t>Directeur des communications</t>
        </is>
      </c>
      <c r="E905" t="inlineStr">
        <is>
          <t>Guy Gallant</t>
        </is>
      </c>
      <c r="F905" t="inlineStr">
        <is>
          <t>To support the Minister at the Canadian Western Agribition and at an announcement.</t>
        </is>
      </c>
      <c r="G905" t="inlineStr">
        <is>
          <t>Soutenir le ministre à la Canadian Western Agribition et lors d'une annonce.</t>
        </is>
      </c>
      <c r="H905" s="1" t="n">
        <v>43062</v>
      </c>
      <c r="I905" s="1" t="n">
        <v>43063</v>
      </c>
      <c r="J905" t="inlineStr">
        <is>
          <t>Regina, Saskatchewan</t>
        </is>
      </c>
      <c r="K905" t="inlineStr">
        <is>
          <t>Régina, Saskatchewan</t>
        </is>
      </c>
      <c r="P905" t="n">
        <v>1063.1</v>
      </c>
      <c r="R905" t="n">
        <v>154.34</v>
      </c>
      <c r="S905" t="n">
        <v>119.95</v>
      </c>
      <c r="U905" t="n">
        <v>1337.39</v>
      </c>
      <c r="V905" t="n">
        <v>1900098687</v>
      </c>
      <c r="X905" t="inlineStr">
        <is>
          <t>aafc-aac</t>
        </is>
      </c>
      <c r="Y905" t="inlineStr">
        <is>
          <t>Agriculture and Agri-Food Canada | Agriculture et Agroalimentaire Canada</t>
        </is>
      </c>
      <c r="Z905" t="n">
        <v>2</v>
      </c>
      <c r="AA905" t="n">
        <v>1337.38999999999</v>
      </c>
      <c r="AB905">
        <f>ROUND(U905-AA905,2)</f>
        <v/>
      </c>
      <c r="AC905" t="b">
        <v>0</v>
      </c>
      <c r="AD905">
        <f>IF(U905="","MISSING_TOTAL",IF(ABS(AB905)&lt;=0.01,"OK","CHECK"))</f>
        <v/>
      </c>
      <c r="AE905">
        <f>IF(U905="","MISSING",IF(AND(AA905&gt;0,U905/AA905&gt;50),"POSSIBLE_SCALE_ERROR","OK"))</f>
        <v/>
      </c>
    </row>
    <row r="906">
      <c r="A906" t="inlineStr">
        <is>
          <t>T-2017-Q3-00070</t>
        </is>
      </c>
      <c r="B906" t="inlineStr">
        <is>
          <t>MPSES</t>
        </is>
      </c>
      <c r="C906" t="inlineStr">
        <is>
          <t>Policy Advisor</t>
        </is>
      </c>
      <c r="D906" t="inlineStr">
        <is>
          <t>Conseillère en politiques</t>
        </is>
      </c>
      <c r="E906" t="inlineStr">
        <is>
          <t>Sangeeta Lalli</t>
        </is>
      </c>
      <c r="F906" t="inlineStr">
        <is>
          <t>To accompany the Minister to outreach in British Columbia.</t>
        </is>
      </c>
      <c r="G906" t="inlineStr">
        <is>
          <t>Pour accompagner le ministre à la sensibilisation en Colombie-Britannique.</t>
        </is>
      </c>
      <c r="H906" s="1" t="n">
        <v>42982</v>
      </c>
      <c r="I906" s="1" t="n">
        <v>42986</v>
      </c>
      <c r="J906" t="inlineStr">
        <is>
          <t>Vancouver, British Columbia Kelowna, British Columbia</t>
        </is>
      </c>
      <c r="K906" t="inlineStr">
        <is>
          <t>Vancouver, Colombie-Britannique Kelowna, Colombie-Britannique</t>
        </is>
      </c>
      <c r="P906" t="n">
        <v>1669.7</v>
      </c>
      <c r="Q906" t="n">
        <v>75.12</v>
      </c>
      <c r="R906" t="n">
        <v>523.83</v>
      </c>
      <c r="S906" t="n">
        <v>324.3</v>
      </c>
      <c r="U906" t="n">
        <v>2592.95</v>
      </c>
      <c r="V906" t="n">
        <v>1900079807</v>
      </c>
      <c r="X906" t="inlineStr">
        <is>
          <t>aafc-aac</t>
        </is>
      </c>
      <c r="Y906" t="inlineStr">
        <is>
          <t>Agriculture and Agri-Food Canada | Agriculture et Agroalimentaire Canada</t>
        </is>
      </c>
      <c r="Z906" t="n">
        <v>5</v>
      </c>
      <c r="AA906" t="n">
        <v>2592.95</v>
      </c>
      <c r="AB906">
        <f>ROUND(U906-AA906,2)</f>
        <v/>
      </c>
      <c r="AC906" t="b">
        <v>0</v>
      </c>
      <c r="AD906">
        <f>IF(U906="","MISSING_TOTAL",IF(ABS(AB906)&lt;=0.01,"OK","CHECK"))</f>
        <v/>
      </c>
      <c r="AE906">
        <f>IF(U906="","MISSING",IF(AND(AA906&gt;0,U906/AA906&gt;50),"POSSIBLE_SCALE_ERROR","OK"))</f>
        <v/>
      </c>
    </row>
    <row r="907">
      <c r="A907" t="inlineStr">
        <is>
          <t>T-2017-Q3-00071</t>
        </is>
      </c>
      <c r="B907" t="inlineStr">
        <is>
          <t>MPSES</t>
        </is>
      </c>
      <c r="C907" t="inlineStr">
        <is>
          <t>Policy Advisor</t>
        </is>
      </c>
      <c r="D907" t="inlineStr">
        <is>
          <t>Conseillère en politiques</t>
        </is>
      </c>
      <c r="E907" t="inlineStr">
        <is>
          <t>Sangeeta Lalli</t>
        </is>
      </c>
      <c r="F907" t="inlineStr">
        <is>
          <t>To accompany the Minister to Meetings and announcements.</t>
        </is>
      </c>
      <c r="G907" t="inlineStr">
        <is>
          <t>Pour accompagner le ministre aux réunions et aux annonces.</t>
        </is>
      </c>
      <c r="H907" s="1" t="n">
        <v>42999</v>
      </c>
      <c r="I907" s="1" t="n">
        <v>43001</v>
      </c>
      <c r="J907" t="inlineStr">
        <is>
          <t>Charlottetown, Prince Edward Island</t>
        </is>
      </c>
      <c r="K907" t="inlineStr">
        <is>
          <t>Charlottetown, Île-Du-Prince-Edouard</t>
        </is>
      </c>
      <c r="P907" t="n">
        <v>930.04</v>
      </c>
      <c r="Q907" t="n">
        <v>247.1</v>
      </c>
      <c r="R907" t="n">
        <v>287.5</v>
      </c>
      <c r="S907" t="n">
        <v>133.95</v>
      </c>
      <c r="U907" t="n">
        <v>1598.59</v>
      </c>
      <c r="V907" t="n">
        <v>1900083454</v>
      </c>
      <c r="X907" t="inlineStr">
        <is>
          <t>aafc-aac</t>
        </is>
      </c>
      <c r="Y907" t="inlineStr">
        <is>
          <t>Agriculture and Agri-Food Canada | Agriculture et Agroalimentaire Canada</t>
        </is>
      </c>
      <c r="Z907" t="n">
        <v>3</v>
      </c>
      <c r="AA907" t="n">
        <v>1598.59</v>
      </c>
      <c r="AB907">
        <f>ROUND(U907-AA907,2)</f>
        <v/>
      </c>
      <c r="AC907" t="b">
        <v>0</v>
      </c>
      <c r="AD907">
        <f>IF(U907="","MISSING_TOTAL",IF(ABS(AB907)&lt;=0.01,"OK","CHECK"))</f>
        <v/>
      </c>
      <c r="AE907">
        <f>IF(U907="","MISSING",IF(AND(AA907&gt;0,U907/AA907&gt;50),"POSSIBLE_SCALE_ERROR","OK"))</f>
        <v/>
      </c>
    </row>
    <row r="908">
      <c r="A908" t="inlineStr">
        <is>
          <t>T-2017-Q3-00072</t>
        </is>
      </c>
      <c r="B908" t="inlineStr">
        <is>
          <t>MPSES</t>
        </is>
      </c>
      <c r="C908" t="inlineStr">
        <is>
          <t>Policy Advisor</t>
        </is>
      </c>
      <c r="D908" t="inlineStr">
        <is>
          <t>Conseiller en politiques</t>
        </is>
      </c>
      <c r="E908" t="inlineStr">
        <is>
          <t>Dan Lussier</t>
        </is>
      </c>
      <c r="F908" t="inlineStr">
        <is>
          <t>To accompany the Minister to outreach in Manitoba.</t>
        </is>
      </c>
      <c r="G908" t="inlineStr">
        <is>
          <t>Pour accompagner le ministre à la sensibilisation au Manitoba.</t>
        </is>
      </c>
      <c r="H908" s="1" t="n">
        <v>43006</v>
      </c>
      <c r="I908" s="1" t="n">
        <v>43007</v>
      </c>
      <c r="J908" t="inlineStr">
        <is>
          <t>Winnipeg, Manitoba</t>
        </is>
      </c>
      <c r="K908" t="inlineStr">
        <is>
          <t>Winnipeg, Manitoba</t>
        </is>
      </c>
      <c r="P908" t="n">
        <v>1024.32</v>
      </c>
      <c r="Q908" t="n">
        <v>32.67</v>
      </c>
      <c r="R908" t="n">
        <v>164.37</v>
      </c>
      <c r="S908" t="n">
        <v>161.7</v>
      </c>
      <c r="U908" t="n">
        <v>1383.06</v>
      </c>
      <c r="V908" t="n">
        <v>1900083455</v>
      </c>
      <c r="X908" t="inlineStr">
        <is>
          <t>aafc-aac</t>
        </is>
      </c>
      <c r="Y908" t="inlineStr">
        <is>
          <t>Agriculture and Agri-Food Canada | Agriculture et Agroalimentaire Canada</t>
        </is>
      </c>
      <c r="Z908" t="n">
        <v>2</v>
      </c>
      <c r="AA908" t="n">
        <v>1383.06</v>
      </c>
      <c r="AB908">
        <f>ROUND(U908-AA908,2)</f>
        <v/>
      </c>
      <c r="AC908" t="b">
        <v>0</v>
      </c>
      <c r="AD908">
        <f>IF(U908="","MISSING_TOTAL",IF(ABS(AB908)&lt;=0.01,"OK","CHECK"))</f>
        <v/>
      </c>
      <c r="AE908">
        <f>IF(U908="","MISSING",IF(AND(AA908&gt;0,U908/AA908&gt;50),"POSSIBLE_SCALE_ERROR","OK"))</f>
        <v/>
      </c>
    </row>
    <row r="909">
      <c r="A909" t="inlineStr">
        <is>
          <t>T-2017-Q3-00073</t>
        </is>
      </c>
      <c r="B909" t="inlineStr">
        <is>
          <t>MPSES</t>
        </is>
      </c>
      <c r="C909" t="inlineStr">
        <is>
          <t>Deputy Minister</t>
        </is>
      </c>
      <c r="D909" t="inlineStr">
        <is>
          <t>Sous-Ministre</t>
        </is>
      </c>
      <c r="E909" t="inlineStr">
        <is>
          <t>Chris Forbes</t>
        </is>
      </c>
      <c r="F909" t="inlineStr">
        <is>
          <t>Deputy Minister's Outreach to Vineland Research Center and Deputy Minister attending the Departmental Audit Committee.</t>
        </is>
      </c>
      <c r="G909" t="inlineStr">
        <is>
          <t>Centre de sensibilisation de sous-ministre au Centre de recherche de Vineland et sous-ministre assistant au comité ministériel d'audit.</t>
        </is>
      </c>
      <c r="H909" s="1" t="n">
        <v>43004</v>
      </c>
      <c r="I909" s="1" t="n">
        <v>43006</v>
      </c>
      <c r="J909" t="inlineStr">
        <is>
          <t>Toronto, Ontario, Guelph, Ontario</t>
        </is>
      </c>
      <c r="K909" t="inlineStr">
        <is>
          <t>Toronto, Ontario, Guelph, Ontario</t>
        </is>
      </c>
      <c r="P909" t="n">
        <v>408.55</v>
      </c>
      <c r="Q909" t="n">
        <v>117.77</v>
      </c>
      <c r="R909" t="n">
        <v>124.3</v>
      </c>
      <c r="S909" t="n">
        <v>64</v>
      </c>
      <c r="U909" t="n">
        <v>714.62</v>
      </c>
      <c r="X909" t="inlineStr">
        <is>
          <t>aafc-aac</t>
        </is>
      </c>
      <c r="Y909" t="inlineStr">
        <is>
          <t>Agriculture and Agri-Food Canada | Agriculture et Agroalimentaire Canada</t>
        </is>
      </c>
      <c r="Z909" t="n">
        <v>3</v>
      </c>
      <c r="AA909" t="n">
        <v>714.62</v>
      </c>
      <c r="AB909">
        <f>ROUND(U909-AA909,2)</f>
        <v/>
      </c>
      <c r="AC909" t="b">
        <v>0</v>
      </c>
      <c r="AD909">
        <f>IF(U909="","MISSING_TOTAL",IF(ABS(AB909)&lt;=0.01,"OK","CHECK"))</f>
        <v/>
      </c>
      <c r="AE909">
        <f>IF(U909="","MISSING",IF(AND(AA909&gt;0,U909/AA909&gt;50),"POSSIBLE_SCALE_ERROR","OK"))</f>
        <v/>
      </c>
    </row>
    <row r="910">
      <c r="A910" t="inlineStr">
        <is>
          <t>T-2017-Q3-00074</t>
        </is>
      </c>
      <c r="B910" t="inlineStr">
        <is>
          <t>MPSES</t>
        </is>
      </c>
      <c r="C910" t="inlineStr">
        <is>
          <t>Deputy Minister</t>
        </is>
      </c>
      <c r="D910" t="inlineStr">
        <is>
          <t>Sous-Ministre</t>
        </is>
      </c>
      <c r="E910" t="inlineStr">
        <is>
          <t>Chris Forbes</t>
        </is>
      </c>
      <c r="F910" t="inlineStr">
        <is>
          <t>European ministerial mission.</t>
        </is>
      </c>
      <c r="G910" t="inlineStr">
        <is>
          <t>Mission ministérielle européenne.</t>
        </is>
      </c>
      <c r="H910" s="1" t="n">
        <v>43017</v>
      </c>
      <c r="I910" s="1" t="n">
        <v>43025</v>
      </c>
      <c r="J910" t="inlineStr">
        <is>
          <t>Bologna, Italy</t>
        </is>
      </c>
      <c r="K910" t="inlineStr">
        <is>
          <t>Bologne, Italie</t>
        </is>
      </c>
      <c r="P910" t="n">
        <v>7196.26</v>
      </c>
      <c r="Q910" t="n">
        <v>380.95</v>
      </c>
      <c r="R910" t="n">
        <v>2404.37</v>
      </c>
      <c r="S910" t="n">
        <v>463.76</v>
      </c>
      <c r="U910" t="n">
        <v>10445.34</v>
      </c>
      <c r="X910" t="inlineStr">
        <is>
          <t>aafc-aac</t>
        </is>
      </c>
      <c r="Y910" t="inlineStr">
        <is>
          <t>Agriculture and Agri-Food Canada | Agriculture et Agroalimentaire Canada</t>
        </is>
      </c>
      <c r="Z910" t="n">
        <v>9</v>
      </c>
      <c r="AA910" t="n">
        <v>10445.34</v>
      </c>
      <c r="AB910">
        <f>ROUND(U910-AA910,2)</f>
        <v/>
      </c>
      <c r="AC910" t="b">
        <v>0</v>
      </c>
      <c r="AD910">
        <f>IF(U910="","MISSING_TOTAL",IF(ABS(AB910)&lt;=0.01,"OK","CHECK"))</f>
        <v/>
      </c>
      <c r="AE910">
        <f>IF(U910="","MISSING",IF(AND(AA910&gt;0,U910/AA910&gt;50),"POSSIBLE_SCALE_ERROR","OK"))</f>
        <v/>
      </c>
    </row>
    <row r="911">
      <c r="A911" t="inlineStr">
        <is>
          <t>T-2017-Q3-00075</t>
        </is>
      </c>
      <c r="B911" t="inlineStr">
        <is>
          <t>MPSES</t>
        </is>
      </c>
      <c r="C911" t="inlineStr">
        <is>
          <t>Deputy Minister</t>
        </is>
      </c>
      <c r="D911" t="inlineStr">
        <is>
          <t>Sous-Ministre</t>
        </is>
      </c>
      <c r="E911" t="inlineStr">
        <is>
          <t>Chris Forbes</t>
        </is>
      </c>
      <c r="F911" t="inlineStr">
        <is>
          <t>Alberta and British-Columbia outreach.</t>
        </is>
      </c>
      <c r="G911" t="inlineStr">
        <is>
          <t>Alberta et la Colombie-Britannique.</t>
        </is>
      </c>
      <c r="H911" s="1" t="n">
        <v>43046</v>
      </c>
      <c r="I911" s="1" t="n">
        <v>43050</v>
      </c>
      <c r="J911" t="inlineStr">
        <is>
          <t>Vancouver, British Columbia</t>
        </is>
      </c>
      <c r="K911" t="inlineStr">
        <is>
          <t>Vancouver Colombie-Britannique</t>
        </is>
      </c>
      <c r="P911" t="n">
        <v>1149.72</v>
      </c>
      <c r="R911" t="n">
        <v>612.9400000000001</v>
      </c>
      <c r="S911" t="n">
        <v>189.6</v>
      </c>
      <c r="U911" t="n">
        <v>1952.26</v>
      </c>
      <c r="X911" t="inlineStr">
        <is>
          <t>aafc-aac</t>
        </is>
      </c>
      <c r="Y911" t="inlineStr">
        <is>
          <t>Agriculture and Agri-Food Canada | Agriculture et Agroalimentaire Canada</t>
        </is>
      </c>
      <c r="Z911" t="n">
        <v>5</v>
      </c>
      <c r="AA911" t="n">
        <v>1952.26</v>
      </c>
      <c r="AB911">
        <f>ROUND(U911-AA911,2)</f>
        <v/>
      </c>
      <c r="AC911" t="b">
        <v>0</v>
      </c>
      <c r="AD911">
        <f>IF(U911="","MISSING_TOTAL",IF(ABS(AB911)&lt;=0.01,"OK","CHECK"))</f>
        <v/>
      </c>
      <c r="AE911">
        <f>IF(U911="","MISSING",IF(AND(AA911&gt;0,U911/AA911&gt;50),"POSSIBLE_SCALE_ERROR","OK"))</f>
        <v/>
      </c>
    </row>
    <row r="912">
      <c r="A912" t="inlineStr">
        <is>
          <t>T-2017-Q4-00001</t>
        </is>
      </c>
      <c r="B912" t="inlineStr">
        <is>
          <t>SLE</t>
        </is>
      </c>
      <c r="C912" t="inlineStr">
        <is>
          <t>Assistant deputy minister, Science and Technology Branch</t>
        </is>
      </c>
      <c r="D912" t="inlineStr">
        <is>
          <t>Sous-ministre adjoint, Direction Générale des sciences et de la technologie</t>
        </is>
      </c>
      <c r="E912" t="inlineStr">
        <is>
          <t>Brian T. Gray</t>
        </is>
      </c>
      <c r="F912" t="inlineStr">
        <is>
          <t>Participate at the Consultative Committee on Agriculture.</t>
        </is>
      </c>
      <c r="G912" t="inlineStr">
        <is>
          <t>Participer au Comité consultatif de l'agriculture.</t>
        </is>
      </c>
      <c r="H912" s="1" t="n">
        <v>43071</v>
      </c>
      <c r="I912" s="1" t="n">
        <v>43076</v>
      </c>
      <c r="J912" t="inlineStr">
        <is>
          <t>Brasilia, Brazil</t>
        </is>
      </c>
      <c r="K912" t="inlineStr">
        <is>
          <t>Brasilia, Brésil</t>
        </is>
      </c>
      <c r="P912" t="n">
        <v>4439.22</v>
      </c>
      <c r="Q912" t="n">
        <v>152.18</v>
      </c>
      <c r="R912" t="n">
        <v>398.81</v>
      </c>
      <c r="S912" t="n">
        <v>581.72</v>
      </c>
      <c r="T912" t="n">
        <v>11.3</v>
      </c>
      <c r="U912" t="n">
        <v>5583.23</v>
      </c>
      <c r="V912" t="inlineStr">
        <is>
          <t>AJD980247</t>
        </is>
      </c>
      <c r="X912" t="inlineStr">
        <is>
          <t>aafc-aac</t>
        </is>
      </c>
      <c r="Y912" t="inlineStr">
        <is>
          <t>Agriculture and Agri-Food Canada | Agriculture et Agroalimentaire Canada</t>
        </is>
      </c>
      <c r="Z912" t="n">
        <v>6</v>
      </c>
      <c r="AA912" t="n">
        <v>5583.23</v>
      </c>
      <c r="AB912">
        <f>ROUND(U912-AA912,2)</f>
        <v/>
      </c>
      <c r="AC912" t="b">
        <v>0</v>
      </c>
      <c r="AD912">
        <f>IF(U912="","MISSING_TOTAL",IF(ABS(AB912)&lt;=0.01,"OK","CHECK"))</f>
        <v/>
      </c>
      <c r="AE912">
        <f>IF(U912="","MISSING",IF(AND(AA912&gt;0,U912/AA912&gt;50),"POSSIBLE_SCALE_ERROR","OK"))</f>
        <v/>
      </c>
    </row>
    <row r="913">
      <c r="A913" t="inlineStr">
        <is>
          <t>T-2017-Q4-00002</t>
        </is>
      </c>
      <c r="B913" t="inlineStr">
        <is>
          <t>SLE</t>
        </is>
      </c>
      <c r="C913" t="inlineStr">
        <is>
          <t>Assistant deputy minister, Science and Technology Branch</t>
        </is>
      </c>
      <c r="D913" t="inlineStr">
        <is>
          <t>Sous-ministre adjoint, Direction Générale des sciences et de la technologie</t>
        </is>
      </c>
      <c r="E913" t="inlineStr">
        <is>
          <t>Brian T. Gray</t>
        </is>
      </c>
      <c r="F913" t="inlineStr">
        <is>
          <t>Participate at the international meeting of Reseachers, Stakeholders and Decision-Makers.</t>
        </is>
      </c>
      <c r="G913" t="inlineStr">
        <is>
          <t>Participer aux réunions internationales des décideurs, des parties prenantes et des décideurs.</t>
        </is>
      </c>
      <c r="H913" s="1" t="n">
        <v>43080</v>
      </c>
      <c r="I913" s="1" t="n">
        <v>43082</v>
      </c>
      <c r="J913" t="inlineStr">
        <is>
          <t>Quebec, Quebec</t>
        </is>
      </c>
      <c r="K913" t="inlineStr">
        <is>
          <t>Québec, Québec</t>
        </is>
      </c>
      <c r="P913" t="n">
        <v>587.4400000000001</v>
      </c>
      <c r="Q913" t="n">
        <v>99.27</v>
      </c>
      <c r="R913" t="n">
        <v>354.64</v>
      </c>
      <c r="S913" t="n">
        <v>156.35</v>
      </c>
      <c r="U913" t="n">
        <v>1197.7</v>
      </c>
      <c r="V913" t="inlineStr">
        <is>
          <t>AJD989690</t>
        </is>
      </c>
      <c r="X913" t="inlineStr">
        <is>
          <t>aafc-aac</t>
        </is>
      </c>
      <c r="Y913" t="inlineStr">
        <is>
          <t>Agriculture and Agri-Food Canada | Agriculture et Agroalimentaire Canada</t>
        </is>
      </c>
      <c r="Z913" t="n">
        <v>3</v>
      </c>
      <c r="AA913" t="n">
        <v>1197.69999999999</v>
      </c>
      <c r="AB913">
        <f>ROUND(U913-AA913,2)</f>
        <v/>
      </c>
      <c r="AC913" t="b">
        <v>0</v>
      </c>
      <c r="AD913">
        <f>IF(U913="","MISSING_TOTAL",IF(ABS(AB913)&lt;=0.01,"OK","CHECK"))</f>
        <v/>
      </c>
      <c r="AE913">
        <f>IF(U913="","MISSING",IF(AND(AA913&gt;0,U913/AA913&gt;50),"POSSIBLE_SCALE_ERROR","OK"))</f>
        <v/>
      </c>
    </row>
    <row r="914">
      <c r="A914" t="inlineStr">
        <is>
          <t>T-2017-Q4-00003</t>
        </is>
      </c>
      <c r="B914" t="inlineStr">
        <is>
          <t>SLE</t>
        </is>
      </c>
      <c r="C914" t="inlineStr">
        <is>
          <t>Assistant deputy minister, Science and Technology Branch</t>
        </is>
      </c>
      <c r="D914" t="inlineStr">
        <is>
          <t>Sous-ministre adjoint, Direction Générale des sciences et de la technologie</t>
        </is>
      </c>
      <c r="E914" t="inlineStr">
        <is>
          <t>Brian T. Gray</t>
        </is>
      </c>
      <c r="F914" t="inlineStr">
        <is>
          <t>Outreach to the Reasearch and Developpement Centre, All-Staff meeting and meeting with Provincial Counterparts.</t>
        </is>
      </c>
      <c r="G914" t="inlineStr">
        <is>
          <t>Visite de sencibilisation au Centre de recherche et de developpement, réunions avec tout le personnel et réunions avec des collegues du governement provincial.</t>
        </is>
      </c>
      <c r="H914" s="1" t="n">
        <v>43109</v>
      </c>
      <c r="I914" s="1" t="n">
        <v>43112</v>
      </c>
      <c r="J914" t="inlineStr">
        <is>
          <t>Lethbridge, Alberta,  Calgary, Alberta</t>
        </is>
      </c>
      <c r="K914" t="inlineStr">
        <is>
          <t>Lethbridge, Alberta, Calgary, Alberta</t>
        </is>
      </c>
      <c r="P914" t="n">
        <v>1158.67</v>
      </c>
      <c r="Q914" t="n">
        <v>204.49</v>
      </c>
      <c r="R914" t="n">
        <v>490.26</v>
      </c>
      <c r="S914" t="n">
        <v>287.05</v>
      </c>
      <c r="U914" t="n">
        <v>2140.47</v>
      </c>
      <c r="V914" t="inlineStr">
        <is>
          <t>AJD923685</t>
        </is>
      </c>
      <c r="X914" t="inlineStr">
        <is>
          <t>aafc-aac</t>
        </is>
      </c>
      <c r="Y914" t="inlineStr">
        <is>
          <t>Agriculture and Agri-Food Canada | Agriculture et Agroalimentaire Canada</t>
        </is>
      </c>
      <c r="Z914" t="n">
        <v>4</v>
      </c>
      <c r="AA914" t="n">
        <v>2140.47</v>
      </c>
      <c r="AB914">
        <f>ROUND(U914-AA914,2)</f>
        <v/>
      </c>
      <c r="AC914" t="b">
        <v>0</v>
      </c>
      <c r="AD914">
        <f>IF(U914="","MISSING_TOTAL",IF(ABS(AB914)&lt;=0.01,"OK","CHECK"))</f>
        <v/>
      </c>
      <c r="AE914">
        <f>IF(U914="","MISSING",IF(AND(AA914&gt;0,U914/AA914&gt;50),"POSSIBLE_SCALE_ERROR","OK"))</f>
        <v/>
      </c>
    </row>
    <row r="915">
      <c r="A915" t="inlineStr">
        <is>
          <t>T-2017-Q4-00004</t>
        </is>
      </c>
      <c r="B915" t="inlineStr">
        <is>
          <t>SLE</t>
        </is>
      </c>
      <c r="C915" t="inlineStr">
        <is>
          <t>Assistant deputy minister, Science and Technology Branch</t>
        </is>
      </c>
      <c r="D915" t="inlineStr">
        <is>
          <t>Sous-ministre adjoint, Direction Générale des sciences et de la technologie</t>
        </is>
      </c>
      <c r="E915" t="inlineStr">
        <is>
          <t>Brian T. Gray</t>
        </is>
      </c>
      <c r="F915" t="inlineStr">
        <is>
          <t>Outreach to the Reasearch and Developpement Centre, All-Staff meeting and meeting with Provincial Counterparts.</t>
        </is>
      </c>
      <c r="G915" t="inlineStr">
        <is>
          <t>Visite de sencibilisation au Centre de recherche et de developpement, réunions avec tout le personnel et réunions avec des collegues du governement provincial.</t>
        </is>
      </c>
      <c r="H915" s="1" t="n">
        <v>43123</v>
      </c>
      <c r="I915" s="1" t="n">
        <v>43125</v>
      </c>
      <c r="J915" t="inlineStr">
        <is>
          <t>Harrow, Ontario</t>
        </is>
      </c>
      <c r="K915" t="inlineStr">
        <is>
          <t>Harrow, Ontario</t>
        </is>
      </c>
      <c r="P915" t="n">
        <v>673.76</v>
      </c>
      <c r="Q915" t="n">
        <v>226.44</v>
      </c>
      <c r="R915" t="n">
        <v>303.06</v>
      </c>
      <c r="S915" t="n">
        <v>241.5</v>
      </c>
      <c r="U915" t="n">
        <v>1444.76</v>
      </c>
      <c r="V915" t="inlineStr">
        <is>
          <t>AJD933420</t>
        </is>
      </c>
      <c r="X915" t="inlineStr">
        <is>
          <t>aafc-aac</t>
        </is>
      </c>
      <c r="Y915" t="inlineStr">
        <is>
          <t>Agriculture and Agri-Food Canada | Agriculture et Agroalimentaire Canada</t>
        </is>
      </c>
      <c r="Z915" t="n">
        <v>3</v>
      </c>
      <c r="AA915" t="n">
        <v>1444.76</v>
      </c>
      <c r="AB915">
        <f>ROUND(U915-AA915,2)</f>
        <v/>
      </c>
      <c r="AC915" t="b">
        <v>0</v>
      </c>
      <c r="AD915">
        <f>IF(U915="","MISSING_TOTAL",IF(ABS(AB915)&lt;=0.01,"OK","CHECK"))</f>
        <v/>
      </c>
      <c r="AE915">
        <f>IF(U915="","MISSING",IF(AND(AA915&gt;0,U915/AA915&gt;50),"POSSIBLE_SCALE_ERROR","OK"))</f>
        <v/>
      </c>
    </row>
    <row r="916">
      <c r="A916" t="inlineStr">
        <is>
          <t>T-2017-Q4-00005</t>
        </is>
      </c>
      <c r="B916" t="inlineStr">
        <is>
          <t>SLE</t>
        </is>
      </c>
      <c r="C916" t="inlineStr">
        <is>
          <t>Assistant deputy minister, Science and Technology Branch</t>
        </is>
      </c>
      <c r="D916" t="inlineStr">
        <is>
          <t>Sous-ministre adjoint, Direction Générale des sciences et de la technologie</t>
        </is>
      </c>
      <c r="E916" t="inlineStr">
        <is>
          <t>Brian T. Gray</t>
        </is>
      </c>
      <c r="F916" t="inlineStr">
        <is>
          <t>Participate at the the International workshop on National Institute of Agricultural Research Meta Programmes.</t>
        </is>
      </c>
      <c r="G916" t="inlineStr">
        <is>
          <t>Participer à l'atelier international sur les métaprogrammes de l'Institut National recherche agronomique.</t>
        </is>
      </c>
      <c r="H916" s="1" t="n">
        <v>43130</v>
      </c>
      <c r="I916" s="1" t="n">
        <v>43134</v>
      </c>
      <c r="J916" t="inlineStr">
        <is>
          <t>Versaille, France</t>
        </is>
      </c>
      <c r="K916" t="inlineStr">
        <is>
          <t>Versaille, France</t>
        </is>
      </c>
      <c r="P916" t="n">
        <v>7131.98</v>
      </c>
      <c r="Q916" t="n">
        <v>140.22</v>
      </c>
      <c r="S916" t="n">
        <v>440.16</v>
      </c>
      <c r="U916" t="n">
        <v>7712.36</v>
      </c>
      <c r="V916" t="inlineStr">
        <is>
          <t>AJD911441</t>
        </is>
      </c>
      <c r="X916" t="inlineStr">
        <is>
          <t>aafc-aac</t>
        </is>
      </c>
      <c r="Y916" t="inlineStr">
        <is>
          <t>Agriculture and Agri-Food Canada | Agriculture et Agroalimentaire Canada</t>
        </is>
      </c>
      <c r="Z916" t="n">
        <v>5</v>
      </c>
      <c r="AA916" t="n">
        <v>7712.36</v>
      </c>
      <c r="AB916">
        <f>ROUND(U916-AA916,2)</f>
        <v/>
      </c>
      <c r="AC916" t="b">
        <v>0</v>
      </c>
      <c r="AD916">
        <f>IF(U916="","MISSING_TOTAL",IF(ABS(AB916)&lt;=0.01,"OK","CHECK"))</f>
        <v/>
      </c>
      <c r="AE916">
        <f>IF(U916="","MISSING",IF(AND(AA916&gt;0,U916/AA916&gt;50),"POSSIBLE_SCALE_ERROR","OK"))</f>
        <v/>
      </c>
    </row>
    <row r="917">
      <c r="A917" t="inlineStr">
        <is>
          <t>T-2017-Q4-00006</t>
        </is>
      </c>
      <c r="B917" t="inlineStr">
        <is>
          <t>SLE</t>
        </is>
      </c>
      <c r="C917" t="inlineStr">
        <is>
          <t>Assistant deputy minister, Science and Technology Branch</t>
        </is>
      </c>
      <c r="D917" t="inlineStr">
        <is>
          <t>Sous-ministre adjoint, Direction Générale des sciences et de la technologie</t>
        </is>
      </c>
      <c r="E917" t="inlineStr">
        <is>
          <t>Brian T. Gray</t>
        </is>
      </c>
      <c r="F917" t="inlineStr">
        <is>
          <t>To participate to the ArcticNet Board meeting.</t>
        </is>
      </c>
      <c r="G917" t="inlineStr">
        <is>
          <t>Participer à la réunion du conseil d'ArcticNet.</t>
        </is>
      </c>
      <c r="H917" s="1" t="n">
        <v>43144</v>
      </c>
      <c r="I917" s="1" t="n">
        <v>43145</v>
      </c>
      <c r="J917" t="inlineStr">
        <is>
          <t>Montreal, Quebec</t>
        </is>
      </c>
      <c r="K917" t="inlineStr">
        <is>
          <t>Montréal, Québec</t>
        </is>
      </c>
      <c r="P917" t="n">
        <v>392.25</v>
      </c>
      <c r="Q917" t="n">
        <v>414.32</v>
      </c>
      <c r="S917" t="n">
        <v>34.6</v>
      </c>
      <c r="U917" t="n">
        <v>841.17</v>
      </c>
      <c r="V917" t="inlineStr">
        <is>
          <t>AJD926312</t>
        </is>
      </c>
      <c r="X917" t="inlineStr">
        <is>
          <t>aafc-aac</t>
        </is>
      </c>
      <c r="Y917" t="inlineStr">
        <is>
          <t>Agriculture and Agri-Food Canada | Agriculture et Agroalimentaire Canada</t>
        </is>
      </c>
      <c r="Z917" t="n">
        <v>2</v>
      </c>
      <c r="AA917" t="n">
        <v>841.17</v>
      </c>
      <c r="AB917">
        <f>ROUND(U917-AA917,2)</f>
        <v/>
      </c>
      <c r="AC917" t="b">
        <v>0</v>
      </c>
      <c r="AD917">
        <f>IF(U917="","MISSING_TOTAL",IF(ABS(AB917)&lt;=0.01,"OK","CHECK"))</f>
        <v/>
      </c>
      <c r="AE917">
        <f>IF(U917="","MISSING",IF(AND(AA917&gt;0,U917/AA917&gt;50),"POSSIBLE_SCALE_ERROR","OK"))</f>
        <v/>
      </c>
    </row>
    <row r="918">
      <c r="A918" t="inlineStr">
        <is>
          <t>T-2017-Q4-00007</t>
        </is>
      </c>
      <c r="B918" t="inlineStr">
        <is>
          <t>SLE</t>
        </is>
      </c>
      <c r="C918" t="inlineStr">
        <is>
          <t>Assistant deputy minister, Science and Technology Branch</t>
        </is>
      </c>
      <c r="D918" t="inlineStr">
        <is>
          <t>Sous-ministre adjoint, Direction Générale des sciences et de la technologie</t>
        </is>
      </c>
      <c r="E918" t="inlineStr">
        <is>
          <t>Brian T. Gray</t>
        </is>
      </c>
      <c r="F918" t="inlineStr">
        <is>
          <t>Outreach to the Reasearch and Developpement Centre, All-Staff meeting and meeting with Provincial Counterparts.</t>
        </is>
      </c>
      <c r="G918" t="inlineStr">
        <is>
          <t>Visite de sencibilisation au Centre de recherche et de developpement, réunions avec tout le personnel et réunions avec des collegues du governement provincial.</t>
        </is>
      </c>
      <c r="H918" s="1" t="n">
        <v>43158</v>
      </c>
      <c r="I918" s="1" t="n">
        <v>43161</v>
      </c>
      <c r="J918" t="inlineStr">
        <is>
          <t>Guelph, Ontario</t>
        </is>
      </c>
      <c r="K918" t="inlineStr">
        <is>
          <t>Guelph, Ontario</t>
        </is>
      </c>
      <c r="P918" t="n">
        <v>639.64</v>
      </c>
      <c r="Q918" t="n">
        <v>244.39</v>
      </c>
      <c r="R918" t="n">
        <v>459.14</v>
      </c>
      <c r="S918" t="n">
        <v>268.15</v>
      </c>
      <c r="U918" t="n">
        <v>1611.32</v>
      </c>
      <c r="V918" t="inlineStr">
        <is>
          <t>AJD981681</t>
        </is>
      </c>
      <c r="X918" t="inlineStr">
        <is>
          <t>aafc-aac</t>
        </is>
      </c>
      <c r="Y918" t="inlineStr">
        <is>
          <t>Agriculture and Agri-Food Canada | Agriculture et Agroalimentaire Canada</t>
        </is>
      </c>
      <c r="Z918" t="n">
        <v>4</v>
      </c>
      <c r="AA918" t="n">
        <v>1611.32</v>
      </c>
      <c r="AB918">
        <f>ROUND(U918-AA918,2)</f>
        <v/>
      </c>
      <c r="AC918" t="b">
        <v>0</v>
      </c>
      <c r="AD918">
        <f>IF(U918="","MISSING_TOTAL",IF(ABS(AB918)&lt;=0.01,"OK","CHECK"))</f>
        <v/>
      </c>
      <c r="AE918">
        <f>IF(U918="","MISSING",IF(AND(AA918&gt;0,U918/AA918&gt;50),"POSSIBLE_SCALE_ERROR","OK"))</f>
        <v/>
      </c>
    </row>
    <row r="919">
      <c r="A919" t="inlineStr">
        <is>
          <t>T-2017-Q4-00008</t>
        </is>
      </c>
      <c r="B919" t="inlineStr">
        <is>
          <t>SLE</t>
        </is>
      </c>
      <c r="C919" t="inlineStr">
        <is>
          <t>Assistant Deputy Minister, International Affairs Branch</t>
        </is>
      </c>
      <c r="D919" t="inlineStr">
        <is>
          <t>Sous-ministre adjoint, Direction Générale des Affaires Internationales</t>
        </is>
      </c>
      <c r="E919" t="inlineStr">
        <is>
          <t>Fred Gorrell</t>
        </is>
      </c>
      <c r="F919" t="inlineStr">
        <is>
          <t>Accompany Minister to Alimentaria Trade Show in Mexico</t>
        </is>
      </c>
      <c r="G919" t="inlineStr">
        <is>
          <t>Accompagner le ministre à la foire alimentaire Alimentaria au Mexique</t>
        </is>
      </c>
      <c r="H919" s="1" t="n">
        <v>43075</v>
      </c>
      <c r="I919" s="1" t="n">
        <v>43078</v>
      </c>
      <c r="J919" t="inlineStr">
        <is>
          <t>Mexico City, Mexico</t>
        </is>
      </c>
      <c r="K919" t="inlineStr">
        <is>
          <t>Mexico, Mexique</t>
        </is>
      </c>
      <c r="P919" t="n">
        <v>1642.78</v>
      </c>
      <c r="Q919" t="n">
        <v>148.38</v>
      </c>
      <c r="R919" t="n">
        <v>638.45</v>
      </c>
      <c r="S919" t="n">
        <v>415.05</v>
      </c>
      <c r="T919" t="n">
        <v>2.7</v>
      </c>
      <c r="U919" t="n">
        <v>2847.36</v>
      </c>
      <c r="V919" t="inlineStr">
        <is>
          <t>AJE584856</t>
        </is>
      </c>
      <c r="X919" t="inlineStr">
        <is>
          <t>aafc-aac</t>
        </is>
      </c>
      <c r="Y919" t="inlineStr">
        <is>
          <t>Agriculture and Agri-Food Canada | Agriculture et Agroalimentaire Canada</t>
        </is>
      </c>
      <c r="Z919" t="n">
        <v>4</v>
      </c>
      <c r="AA919" t="n">
        <v>2847.35999999999</v>
      </c>
      <c r="AB919">
        <f>ROUND(U919-AA919,2)</f>
        <v/>
      </c>
      <c r="AC919" t="b">
        <v>0</v>
      </c>
      <c r="AD919">
        <f>IF(U919="","MISSING_TOTAL",IF(ABS(AB919)&lt;=0.01,"OK","CHECK"))</f>
        <v/>
      </c>
      <c r="AE919">
        <f>IF(U919="","MISSING",IF(AND(AA919&gt;0,U919/AA919&gt;50),"POSSIBLE_SCALE_ERROR","OK"))</f>
        <v/>
      </c>
    </row>
    <row r="920">
      <c r="A920" t="inlineStr">
        <is>
          <t>T-2017-Q4-00009</t>
        </is>
      </c>
      <c r="B920" t="inlineStr">
        <is>
          <t>SLE</t>
        </is>
      </c>
      <c r="C920" t="inlineStr">
        <is>
          <t>Assistant Deputy Minister, International Affairs Branch</t>
        </is>
      </c>
      <c r="D920" t="inlineStr">
        <is>
          <t>Sous-ministre adjoint, Direction Générale des Affaires Internationales</t>
        </is>
      </c>
      <c r="E920" t="inlineStr">
        <is>
          <t>Fred Gorrell</t>
        </is>
      </c>
      <c r="F920" t="inlineStr">
        <is>
          <t>To accompany the United Arab Emirates Minister to a Hallal Workshop &amp; attend a University Human Ressources Recruitment Event</t>
        </is>
      </c>
      <c r="G920" t="inlineStr">
        <is>
          <t>Accompagner le ministre des Emirates Arabes Unis à un atelier Hallal et assister à un évènement de recrutement d'Université</t>
        </is>
      </c>
      <c r="H920" s="1" t="n">
        <v>43079</v>
      </c>
      <c r="I920" s="1" t="n">
        <v>43081</v>
      </c>
      <c r="J920" t="inlineStr">
        <is>
          <t>Vancouver, British Columbia</t>
        </is>
      </c>
      <c r="K920" t="inlineStr">
        <is>
          <t>Vancouver, Colombie- Britannique</t>
        </is>
      </c>
      <c r="P920" t="n">
        <v>551.99</v>
      </c>
      <c r="Q920" t="n">
        <v>135.4</v>
      </c>
      <c r="R920" t="n">
        <v>308.6</v>
      </c>
      <c r="S920" t="n">
        <v>175.25</v>
      </c>
      <c r="U920" t="n">
        <v>1171.24</v>
      </c>
      <c r="V920" t="inlineStr">
        <is>
          <t>AJE588556</t>
        </is>
      </c>
      <c r="X920" t="inlineStr">
        <is>
          <t>aafc-aac</t>
        </is>
      </c>
      <c r="Y920" t="inlineStr">
        <is>
          <t>Agriculture and Agri-Food Canada | Agriculture et Agroalimentaire Canada</t>
        </is>
      </c>
      <c r="Z920" t="n">
        <v>3</v>
      </c>
      <c r="AA920" t="n">
        <v>1171.24</v>
      </c>
      <c r="AB920">
        <f>ROUND(U920-AA920,2)</f>
        <v/>
      </c>
      <c r="AC920" t="b">
        <v>0</v>
      </c>
      <c r="AD920">
        <f>IF(U920="","MISSING_TOTAL",IF(ABS(AB920)&lt;=0.01,"OK","CHECK"))</f>
        <v/>
      </c>
      <c r="AE920">
        <f>IF(U920="","MISSING",IF(AND(AA920&gt;0,U920/AA920&gt;50),"POSSIBLE_SCALE_ERROR","OK"))</f>
        <v/>
      </c>
    </row>
    <row r="921">
      <c r="A921" t="inlineStr">
        <is>
          <t>T-2017-Q4-00010</t>
        </is>
      </c>
      <c r="B921" t="inlineStr">
        <is>
          <t>SLE</t>
        </is>
      </c>
      <c r="C921" t="inlineStr">
        <is>
          <t>Assistant Deputy Minister, International Affairs Branch</t>
        </is>
      </c>
      <c r="D921" t="inlineStr">
        <is>
          <t>Sous-ministre adjoint, Direction Générale des Affaires Internationales</t>
        </is>
      </c>
      <c r="E921" t="inlineStr">
        <is>
          <t>Fred Gorrell</t>
        </is>
      </c>
      <c r="F921" t="inlineStr">
        <is>
          <t>Attended the Manitoba Beef Producers' annual general meeting</t>
        </is>
      </c>
      <c r="G921" t="inlineStr">
        <is>
          <t>Assister à la réunion annuelle générale des producteurs de bœuf du Manitoba</t>
        </is>
      </c>
      <c r="H921" s="1" t="n">
        <v>43138</v>
      </c>
      <c r="I921" s="1" t="n">
        <v>43140</v>
      </c>
      <c r="J921" t="inlineStr">
        <is>
          <t>Brandon, Manitoba</t>
        </is>
      </c>
      <c r="K921" t="inlineStr">
        <is>
          <t>Brandon, Manitoba</t>
        </is>
      </c>
      <c r="P921" t="n">
        <v>1096.51</v>
      </c>
      <c r="Q921" t="n">
        <v>163.57</v>
      </c>
      <c r="R921" t="n">
        <v>156.82</v>
      </c>
      <c r="S921" t="n">
        <v>186.2</v>
      </c>
      <c r="U921" t="n">
        <v>1603.1</v>
      </c>
      <c r="V921" t="inlineStr">
        <is>
          <t>AJE591472</t>
        </is>
      </c>
      <c r="X921" t="inlineStr">
        <is>
          <t>aafc-aac</t>
        </is>
      </c>
      <c r="Y921" t="inlineStr">
        <is>
          <t>Agriculture and Agri-Food Canada | Agriculture et Agroalimentaire Canada</t>
        </is>
      </c>
      <c r="Z921" t="n">
        <v>3</v>
      </c>
      <c r="AA921" t="n">
        <v>1603.1</v>
      </c>
      <c r="AB921">
        <f>ROUND(U921-AA921,2)</f>
        <v/>
      </c>
      <c r="AC921" t="b">
        <v>0</v>
      </c>
      <c r="AD921">
        <f>IF(U921="","MISSING_TOTAL",IF(ABS(AB921)&lt;=0.01,"OK","CHECK"))</f>
        <v/>
      </c>
      <c r="AE921">
        <f>IF(U921="","MISSING",IF(AND(AA921&gt;0,U921/AA921&gt;50),"POSSIBLE_SCALE_ERROR","OK"))</f>
        <v/>
      </c>
    </row>
    <row r="922">
      <c r="A922" t="inlineStr">
        <is>
          <t>T-2017-Q4-00011</t>
        </is>
      </c>
      <c r="B922" t="inlineStr">
        <is>
          <t>SLE</t>
        </is>
      </c>
      <c r="C922" t="inlineStr">
        <is>
          <t>Assitant Deputy Minister, Market and Industry Service Branch</t>
        </is>
      </c>
      <c r="D922" t="inlineStr">
        <is>
          <t>Sous-ministre adjoint, Direction générale des services à l'industrie et aux marchés</t>
        </is>
      </c>
      <c r="E922" t="inlineStr">
        <is>
          <t>Frédéric Seppey</t>
        </is>
      </c>
      <c r="F922" t="inlineStr">
        <is>
          <t>World Trade Organizations ministerial Conference</t>
        </is>
      </c>
      <c r="G922" t="inlineStr">
        <is>
          <t>Organisation Mondiale du commerce conférence ministérielle</t>
        </is>
      </c>
      <c r="H922" s="1" t="n">
        <v>43076</v>
      </c>
      <c r="I922" s="1" t="n">
        <v>43085</v>
      </c>
      <c r="J922" t="inlineStr">
        <is>
          <t>Buenos Aires, Argentina</t>
        </is>
      </c>
      <c r="K922" t="inlineStr">
        <is>
          <t>Buenos Aires, Argentine</t>
        </is>
      </c>
      <c r="P922" t="n">
        <v>11914.04</v>
      </c>
      <c r="Q922" t="n">
        <v>156.38</v>
      </c>
      <c r="R922" t="n">
        <v>1746.23</v>
      </c>
      <c r="S922" t="n">
        <v>912.83</v>
      </c>
      <c r="T922" t="n">
        <v>19.84</v>
      </c>
      <c r="U922" t="n">
        <v>14749.32</v>
      </c>
      <c r="V922" t="inlineStr">
        <is>
          <t>AJE574869</t>
        </is>
      </c>
      <c r="X922" t="inlineStr">
        <is>
          <t>aafc-aac</t>
        </is>
      </c>
      <c r="Y922" t="inlineStr">
        <is>
          <t>Agriculture and Agri-Food Canada | Agriculture et Agroalimentaire Canada</t>
        </is>
      </c>
      <c r="Z922" t="n">
        <v>10</v>
      </c>
      <c r="AA922" t="n">
        <v>14749.32</v>
      </c>
      <c r="AB922">
        <f>ROUND(U922-AA922,2)</f>
        <v/>
      </c>
      <c r="AC922" t="b">
        <v>0</v>
      </c>
      <c r="AD922">
        <f>IF(U922="","MISSING_TOTAL",IF(ABS(AB922)&lt;=0.01,"OK","CHECK"))</f>
        <v/>
      </c>
      <c r="AE922">
        <f>IF(U922="","MISSING",IF(AND(AA922&gt;0,U922/AA922&gt;50),"POSSIBLE_SCALE_ERROR","OK"))</f>
        <v/>
      </c>
    </row>
    <row r="923">
      <c r="A923" t="inlineStr">
        <is>
          <t>T-2017-Q4-00012</t>
        </is>
      </c>
      <c r="B923" t="inlineStr">
        <is>
          <t>SLE</t>
        </is>
      </c>
      <c r="C923" t="inlineStr">
        <is>
          <t>Assistant Deputy Minister, Market and Industry Service Branch</t>
        </is>
      </c>
      <c r="D923" t="inlineStr">
        <is>
          <t>Sous-ministre adjoint, Direction générale des services à l'industrie et aux marchés</t>
        </is>
      </c>
      <c r="E923" t="inlineStr">
        <is>
          <t>Frédéric Seppey</t>
        </is>
      </c>
      <c r="F923" t="inlineStr">
        <is>
          <t>Ministerial Briefing and meetings with staff</t>
        </is>
      </c>
      <c r="G923" t="inlineStr">
        <is>
          <t>Sessions d`information ministérielles et rencontres avec le personnel</t>
        </is>
      </c>
      <c r="H923" s="1" t="n">
        <v>43108</v>
      </c>
      <c r="I923" s="1" t="n">
        <v>43110</v>
      </c>
      <c r="J923" t="inlineStr">
        <is>
          <t>Charlottetown, Prince edward Island</t>
        </is>
      </c>
      <c r="K923" t="inlineStr">
        <is>
          <t>Charlottetown, Île-du-Prince-Édouard</t>
        </is>
      </c>
      <c r="P923" t="n">
        <v>700.62</v>
      </c>
      <c r="Q923" t="n">
        <v>70</v>
      </c>
      <c r="R923" t="n">
        <v>424.06</v>
      </c>
      <c r="S923" t="n">
        <v>212.85</v>
      </c>
      <c r="U923" t="n">
        <v>1407.53</v>
      </c>
      <c r="V923" t="inlineStr">
        <is>
          <t>AJE562819</t>
        </is>
      </c>
      <c r="X923" t="inlineStr">
        <is>
          <t>aafc-aac</t>
        </is>
      </c>
      <c r="Y923" t="inlineStr">
        <is>
          <t>Agriculture and Agri-Food Canada | Agriculture et Agroalimentaire Canada</t>
        </is>
      </c>
      <c r="Z923" t="n">
        <v>3</v>
      </c>
      <c r="AA923" t="n">
        <v>1407.53</v>
      </c>
      <c r="AB923">
        <f>ROUND(U923-AA923,2)</f>
        <v/>
      </c>
      <c r="AC923" t="b">
        <v>0</v>
      </c>
      <c r="AD923">
        <f>IF(U923="","MISSING_TOTAL",IF(ABS(AB923)&lt;=0.01,"OK","CHECK"))</f>
        <v/>
      </c>
      <c r="AE923">
        <f>IF(U923="","MISSING",IF(AND(AA923&gt;0,U923/AA923&gt;50),"POSSIBLE_SCALE_ERROR","OK"))</f>
        <v/>
      </c>
    </row>
    <row r="924">
      <c r="A924" t="inlineStr">
        <is>
          <t>T-2017-Q4-00013</t>
        </is>
      </c>
      <c r="B924" t="inlineStr">
        <is>
          <t>SLE</t>
        </is>
      </c>
      <c r="C924" t="inlineStr">
        <is>
          <t>Assistant Deputy Minister, Market and Industry Service Branch</t>
        </is>
      </c>
      <c r="D924" t="inlineStr">
        <is>
          <t>Sous-ministre adjoint, Direction générale des services à l'industrie et aux marchés</t>
        </is>
      </c>
      <c r="E924" t="inlineStr">
        <is>
          <t>Frédéric Seppey</t>
        </is>
      </c>
      <c r="F924" t="inlineStr">
        <is>
          <t>North American Free Trade Agreement  negotiations</t>
        </is>
      </c>
      <c r="G924" t="inlineStr">
        <is>
          <t>Négociations L'Accord de libre-échange nord-américain</t>
        </is>
      </c>
      <c r="H924" s="1" t="n">
        <v>43119</v>
      </c>
      <c r="I924" s="1" t="n">
        <v>43123</v>
      </c>
      <c r="J924" t="inlineStr">
        <is>
          <t>Montreal, Quebec</t>
        </is>
      </c>
      <c r="K924" t="inlineStr">
        <is>
          <t>Montréal, Québec</t>
        </is>
      </c>
      <c r="Q924" t="n">
        <v>328.04</v>
      </c>
      <c r="R924" t="n">
        <v>946.0599999999999</v>
      </c>
      <c r="S924" t="n">
        <v>435.65</v>
      </c>
      <c r="U924" t="n">
        <v>1709.75</v>
      </c>
      <c r="V924" t="inlineStr">
        <is>
          <t>AJE576805</t>
        </is>
      </c>
      <c r="X924" t="inlineStr">
        <is>
          <t>aafc-aac</t>
        </is>
      </c>
      <c r="Y924" t="inlineStr">
        <is>
          <t>Agriculture and Agri-Food Canada | Agriculture et Agroalimentaire Canada</t>
        </is>
      </c>
      <c r="Z924" t="n">
        <v>5</v>
      </c>
      <c r="AA924" t="n">
        <v>1709.75</v>
      </c>
      <c r="AB924">
        <f>ROUND(U924-AA924,2)</f>
        <v/>
      </c>
      <c r="AC924" t="b">
        <v>0</v>
      </c>
      <c r="AD924">
        <f>IF(U924="","MISSING_TOTAL",IF(ABS(AB924)&lt;=0.01,"OK","CHECK"))</f>
        <v/>
      </c>
      <c r="AE924">
        <f>IF(U924="","MISSING",IF(AND(AA924&gt;0,U924/AA924&gt;50),"POSSIBLE_SCALE_ERROR","OK"))</f>
        <v/>
      </c>
    </row>
    <row r="925">
      <c r="A925" t="inlineStr">
        <is>
          <t>T-2017-Q4-00014</t>
        </is>
      </c>
      <c r="B925" t="inlineStr">
        <is>
          <t>SLE</t>
        </is>
      </c>
      <c r="C925" t="inlineStr">
        <is>
          <t>Assistant Deputy Minister, Market and Industry Service Branch</t>
        </is>
      </c>
      <c r="D925" t="inlineStr">
        <is>
          <t>Sous-ministre adjoint, Direction générale des services à l'industrie et aux marchés</t>
        </is>
      </c>
      <c r="E925" t="inlineStr">
        <is>
          <t>Frédéric Seppey</t>
        </is>
      </c>
      <c r="F925" t="inlineStr">
        <is>
          <t>Trade Consultations with industry</t>
        </is>
      </c>
      <c r="G925" t="inlineStr">
        <is>
          <t>Consultation sur le commerce international avec l`industrie</t>
        </is>
      </c>
      <c r="H925" s="1" t="n">
        <v>43125</v>
      </c>
      <c r="I925" s="1" t="n">
        <v>43125</v>
      </c>
      <c r="J925" t="inlineStr">
        <is>
          <t>Montreal, Quebec</t>
        </is>
      </c>
      <c r="K925" t="inlineStr">
        <is>
          <t>Montréal, Québec</t>
        </is>
      </c>
      <c r="Q925" t="n">
        <v>267.48</v>
      </c>
      <c r="S925" t="n">
        <v>66.25</v>
      </c>
      <c r="U925" t="n">
        <v>333.73</v>
      </c>
      <c r="V925" t="inlineStr">
        <is>
          <t>AJE561675</t>
        </is>
      </c>
      <c r="X925" t="inlineStr">
        <is>
          <t>aafc-aac</t>
        </is>
      </c>
      <c r="Y925" t="inlineStr">
        <is>
          <t>Agriculture and Agri-Food Canada | Agriculture et Agroalimentaire Canada</t>
        </is>
      </c>
      <c r="Z925" t="n">
        <v>1</v>
      </c>
      <c r="AA925" t="n">
        <v>333.73</v>
      </c>
      <c r="AB925">
        <f>ROUND(U925-AA925,2)</f>
        <v/>
      </c>
      <c r="AC925" t="b">
        <v>0</v>
      </c>
      <c r="AD925">
        <f>IF(U925="","MISSING_TOTAL",IF(ABS(AB925)&lt;=0.01,"OK","CHECK"))</f>
        <v/>
      </c>
      <c r="AE925">
        <f>IF(U925="","MISSING",IF(AND(AA925&gt;0,U925/AA925&gt;50),"POSSIBLE_SCALE_ERROR","OK"))</f>
        <v/>
      </c>
    </row>
    <row r="926">
      <c r="A926" t="inlineStr">
        <is>
          <t>T-2017-Q4-00015</t>
        </is>
      </c>
      <c r="B926" t="inlineStr">
        <is>
          <t>SLE</t>
        </is>
      </c>
      <c r="C926" t="inlineStr">
        <is>
          <t>Assistant Deputy Minister, Market and Industry Service Branch</t>
        </is>
      </c>
      <c r="D926" t="inlineStr">
        <is>
          <t>Sous-ministre adjoint, Direction générale des services à l'industrie et aux marchés</t>
        </is>
      </c>
      <c r="E926" t="inlineStr">
        <is>
          <t>Frédéric Seppey</t>
        </is>
      </c>
      <c r="F926" t="inlineStr">
        <is>
          <t>Meetings with Pulse industry and Staff</t>
        </is>
      </c>
      <c r="G926" t="inlineStr">
        <is>
          <t>Rencontre avec l`industrie des léguminieuses et le personnel</t>
        </is>
      </c>
      <c r="H926" s="1" t="n">
        <v>43135</v>
      </c>
      <c r="I926" s="1" t="n">
        <v>43136</v>
      </c>
      <c r="J926" t="inlineStr">
        <is>
          <t>Regina, Saskatchewan</t>
        </is>
      </c>
      <c r="K926" t="inlineStr">
        <is>
          <t>Regina Saskatchewan</t>
        </is>
      </c>
      <c r="P926" t="n">
        <v>1153.41</v>
      </c>
      <c r="Q926" t="n">
        <v>95</v>
      </c>
      <c r="R926" t="n">
        <v>280.42</v>
      </c>
      <c r="S926" t="n">
        <v>101.05</v>
      </c>
      <c r="U926" t="n">
        <v>1629.88</v>
      </c>
      <c r="V926" t="inlineStr">
        <is>
          <t>AJD994893</t>
        </is>
      </c>
      <c r="X926" t="inlineStr">
        <is>
          <t>aafc-aac</t>
        </is>
      </c>
      <c r="Y926" t="inlineStr">
        <is>
          <t>Agriculture and Agri-Food Canada | Agriculture et Agroalimentaire Canada</t>
        </is>
      </c>
      <c r="Z926" t="n">
        <v>2</v>
      </c>
      <c r="AA926" t="n">
        <v>1629.88</v>
      </c>
      <c r="AB926">
        <f>ROUND(U926-AA926,2)</f>
        <v/>
      </c>
      <c r="AC926" t="b">
        <v>0</v>
      </c>
      <c r="AD926">
        <f>IF(U926="","MISSING_TOTAL",IF(ABS(AB926)&lt;=0.01,"OK","CHECK"))</f>
        <v/>
      </c>
      <c r="AE926">
        <f>IF(U926="","MISSING",IF(AND(AA926&gt;0,U926/AA926&gt;50),"POSSIBLE_SCALE_ERROR","OK"))</f>
        <v/>
      </c>
    </row>
    <row r="927">
      <c r="A927" t="inlineStr">
        <is>
          <t>T-2017-Q4-00016</t>
        </is>
      </c>
      <c r="B927" t="inlineStr">
        <is>
          <t>SLE</t>
        </is>
      </c>
      <c r="C927" t="inlineStr">
        <is>
          <t>Assistant Deputy Minister, Market and Industry Service Branch</t>
        </is>
      </c>
      <c r="D927" t="inlineStr">
        <is>
          <t>Sous-ministre adjoint, Direction générale des services à l'industrie et aux marchés</t>
        </is>
      </c>
      <c r="E927" t="inlineStr">
        <is>
          <t>Frédéric Seppey</t>
        </is>
      </c>
      <c r="F927" t="inlineStr">
        <is>
          <t>Meetings with Ontario Dairy and conceil des industriels laitiers Du Quebec and industry groups and Staff</t>
        </is>
      </c>
      <c r="G927" t="inlineStr">
        <is>
          <t>Rencontre avec l`Ontario Dairy Council,  et rencontres avec les employés et le conseil des Industriels latiers du Québec</t>
        </is>
      </c>
      <c r="H927" s="1" t="n">
        <v>43139</v>
      </c>
      <c r="I927" s="1" t="n">
        <v>43140</v>
      </c>
      <c r="J927" t="inlineStr">
        <is>
          <t>Toronto, Ontario</t>
        </is>
      </c>
      <c r="K927" t="inlineStr">
        <is>
          <t>Toronto, Ontario</t>
        </is>
      </c>
      <c r="P927" t="n">
        <v>664.04</v>
      </c>
      <c r="Q927" t="n">
        <v>125.13</v>
      </c>
      <c r="R927" t="n">
        <v>245.35</v>
      </c>
      <c r="S927" t="n">
        <v>167.3</v>
      </c>
      <c r="U927" t="n">
        <v>1201.82</v>
      </c>
      <c r="V927" t="inlineStr">
        <is>
          <t>AJE552327</t>
        </is>
      </c>
      <c r="X927" t="inlineStr">
        <is>
          <t>aafc-aac</t>
        </is>
      </c>
      <c r="Y927" t="inlineStr">
        <is>
          <t>Agriculture and Agri-Food Canada | Agriculture et Agroalimentaire Canada</t>
        </is>
      </c>
      <c r="Z927" t="n">
        <v>2</v>
      </c>
      <c r="AA927" t="n">
        <v>1201.82</v>
      </c>
      <c r="AB927">
        <f>ROUND(U927-AA927,2)</f>
        <v/>
      </c>
      <c r="AC927" t="b">
        <v>0</v>
      </c>
      <c r="AD927">
        <f>IF(U927="","MISSING_TOTAL",IF(ABS(AB927)&lt;=0.01,"OK","CHECK"))</f>
        <v/>
      </c>
      <c r="AE927">
        <f>IF(U927="","MISSING",IF(AND(AA927&gt;0,U927/AA927&gt;50),"POSSIBLE_SCALE_ERROR","OK"))</f>
        <v/>
      </c>
    </row>
    <row r="928">
      <c r="A928" t="inlineStr">
        <is>
          <t>T-2017-Q4-00017</t>
        </is>
      </c>
      <c r="B928" t="inlineStr">
        <is>
          <t>SLE</t>
        </is>
      </c>
      <c r="C928" t="inlineStr">
        <is>
          <t>Assistant Deputy Minister, Market and Industry Service Branch</t>
        </is>
      </c>
      <c r="D928" t="inlineStr">
        <is>
          <t>Sous-ministre adjoint, Direction générale des services à l'industrie et aux marchés</t>
        </is>
      </c>
      <c r="E928" t="inlineStr">
        <is>
          <t>Frédéric Seppey</t>
        </is>
      </c>
      <c r="F928" t="inlineStr">
        <is>
          <t>Federal Provincial territorial Agriculture Deputy Minister` Retreat</t>
        </is>
      </c>
      <c r="G928" t="inlineStr">
        <is>
          <t>Retraite des sous-Ministres fédéral provinciaux-territoriaux de l`agriculture</t>
        </is>
      </c>
      <c r="H928" s="1" t="n">
        <v>43152</v>
      </c>
      <c r="I928" s="1" t="n">
        <v>43153</v>
      </c>
      <c r="J928" t="inlineStr">
        <is>
          <t>Toronto, Ontario</t>
        </is>
      </c>
      <c r="K928" t="inlineStr">
        <is>
          <t>Toronto, Ontario</t>
        </is>
      </c>
      <c r="P928" t="n">
        <v>562.23</v>
      </c>
      <c r="Q928" t="n">
        <v>82.86</v>
      </c>
      <c r="R928" t="n">
        <v>145.77</v>
      </c>
      <c r="S928" t="n">
        <v>186.2</v>
      </c>
      <c r="U928" t="n">
        <v>977.0599999999999</v>
      </c>
      <c r="V928" t="inlineStr">
        <is>
          <t>AJE566404</t>
        </is>
      </c>
      <c r="X928" t="inlineStr">
        <is>
          <t>aafc-aac</t>
        </is>
      </c>
      <c r="Y928" t="inlineStr">
        <is>
          <t>Agriculture and Agri-Food Canada | Agriculture et Agroalimentaire Canada</t>
        </is>
      </c>
      <c r="Z928" t="n">
        <v>2</v>
      </c>
      <c r="AA928" t="n">
        <v>977.0599999999999</v>
      </c>
      <c r="AB928">
        <f>ROUND(U928-AA928,2)</f>
        <v/>
      </c>
      <c r="AC928" t="b">
        <v>0</v>
      </c>
      <c r="AD928">
        <f>IF(U928="","MISSING_TOTAL",IF(ABS(AB928)&lt;=0.01,"OK","CHECK"))</f>
        <v/>
      </c>
      <c r="AE928">
        <f>IF(U928="","MISSING",IF(AND(AA928&gt;0,U928/AA928&gt;50),"POSSIBLE_SCALE_ERROR","OK"))</f>
        <v/>
      </c>
    </row>
    <row r="929">
      <c r="A929" t="inlineStr">
        <is>
          <t>T-2017-Q4-00018</t>
        </is>
      </c>
      <c r="B929" t="inlineStr">
        <is>
          <t>SLE</t>
        </is>
      </c>
      <c r="C929" t="inlineStr">
        <is>
          <t>Assistant Deputy Ministe, Market  and Industry Service Branch</t>
        </is>
      </c>
      <c r="D929" t="inlineStr">
        <is>
          <t>Sous-ministre adjoint, Direction générale des services à l'industrie et aux marchés</t>
        </is>
      </c>
      <c r="E929" t="inlineStr">
        <is>
          <t>Frédéric Seppey</t>
        </is>
      </c>
      <c r="F929" t="inlineStr">
        <is>
          <t>North American Free Trade Agreement  negotiations</t>
        </is>
      </c>
      <c r="G929" t="inlineStr">
        <is>
          <t>Négociations L'Accord de libre-échange nord-américain</t>
        </is>
      </c>
      <c r="H929" s="1" t="n">
        <v>43154</v>
      </c>
      <c r="I929" s="1" t="n">
        <v>43159</v>
      </c>
      <c r="J929" t="inlineStr">
        <is>
          <t>Mexico city, Mexico</t>
        </is>
      </c>
      <c r="K929" t="inlineStr">
        <is>
          <t>Mexico, Mexique</t>
        </is>
      </c>
      <c r="P929" t="n">
        <v>1212.68</v>
      </c>
      <c r="Q929" t="n">
        <v>96.29000000000001</v>
      </c>
      <c r="R929" t="n">
        <v>931.5599999999999</v>
      </c>
      <c r="S929" t="n">
        <v>429.35</v>
      </c>
      <c r="T929" t="n">
        <v>4.5</v>
      </c>
      <c r="U929" t="n">
        <v>2674.38</v>
      </c>
      <c r="V929" t="inlineStr">
        <is>
          <t>AJE547467</t>
        </is>
      </c>
      <c r="X929" t="inlineStr">
        <is>
          <t>aafc-aac</t>
        </is>
      </c>
      <c r="Y929" t="inlineStr">
        <is>
          <t>Agriculture and Agri-Food Canada | Agriculture et Agroalimentaire Canada</t>
        </is>
      </c>
      <c r="Z929" t="n">
        <v>6</v>
      </c>
      <c r="AA929" t="n">
        <v>2674.37999999999</v>
      </c>
      <c r="AB929">
        <f>ROUND(U929-AA929,2)</f>
        <v/>
      </c>
      <c r="AC929" t="b">
        <v>0</v>
      </c>
      <c r="AD929">
        <f>IF(U929="","MISSING_TOTAL",IF(ABS(AB929)&lt;=0.01,"OK","CHECK"))</f>
        <v/>
      </c>
      <c r="AE929">
        <f>IF(U929="","MISSING",IF(AND(AA929&gt;0,U929/AA929&gt;50),"POSSIBLE_SCALE_ERROR","OK"))</f>
        <v/>
      </c>
    </row>
    <row r="930">
      <c r="A930" t="inlineStr">
        <is>
          <t>T-2017-Q4-00019</t>
        </is>
      </c>
      <c r="B930" t="inlineStr">
        <is>
          <t>SLE</t>
        </is>
      </c>
      <c r="C930" t="inlineStr">
        <is>
          <t>Associate Assistant Deputy Minister, Science and Technology Branch</t>
        </is>
      </c>
      <c r="D930" t="inlineStr">
        <is>
          <t>Sous-ministre adjoint délégué, Direction générale des sciences et technologie</t>
        </is>
      </c>
      <c r="E930" t="inlineStr">
        <is>
          <t>Gilles Saindon</t>
        </is>
      </c>
      <c r="F930" t="inlineStr">
        <is>
          <t>To attend Farm Tech on January 30 and 31, 2018, and meet with Industries</t>
        </is>
      </c>
      <c r="G930" t="inlineStr">
        <is>
          <t>Pour assister à Farm Tech, les 30 et 31 janvier 2018 et rencontrer les gens de l'industrie</t>
        </is>
      </c>
      <c r="H930" s="1" t="n">
        <v>43129</v>
      </c>
      <c r="I930" s="1" t="n">
        <v>43132</v>
      </c>
      <c r="J930" t="inlineStr">
        <is>
          <t>Edmonton, Alberta</t>
        </is>
      </c>
      <c r="K930" t="inlineStr">
        <is>
          <t>Edmonton, Alberta</t>
        </is>
      </c>
      <c r="P930" t="n">
        <v>1106.41</v>
      </c>
      <c r="Q930" t="n">
        <v>157.55</v>
      </c>
      <c r="R930" t="n">
        <v>602.88</v>
      </c>
      <c r="S930" t="n">
        <v>201.9</v>
      </c>
      <c r="U930" t="n">
        <v>2068.74</v>
      </c>
      <c r="V930" t="inlineStr">
        <is>
          <t>AJD964703</t>
        </is>
      </c>
      <c r="W930" t="inlineStr">
        <is>
          <t>AJD964703</t>
        </is>
      </c>
      <c r="X930" t="inlineStr">
        <is>
          <t>aafc-aac</t>
        </is>
      </c>
      <c r="Y930" t="inlineStr">
        <is>
          <t>Agriculture and Agri-Food Canada | Agriculture et Agroalimentaire Canada</t>
        </is>
      </c>
      <c r="Z930" t="n">
        <v>4</v>
      </c>
      <c r="AA930" t="n">
        <v>2068.74</v>
      </c>
      <c r="AB930">
        <f>ROUND(U930-AA930,2)</f>
        <v/>
      </c>
      <c r="AC930" t="b">
        <v>0</v>
      </c>
      <c r="AD930">
        <f>IF(U930="","MISSING_TOTAL",IF(ABS(AB930)&lt;=0.01,"OK","CHECK"))</f>
        <v/>
      </c>
      <c r="AE930">
        <f>IF(U930="","MISSING",IF(AND(AA930&gt;0,U930/AA930&gt;50),"POSSIBLE_SCALE_ERROR","OK"))</f>
        <v/>
      </c>
    </row>
    <row r="931">
      <c r="A931" t="inlineStr">
        <is>
          <t>T-2017-Q4-00037</t>
        </is>
      </c>
      <c r="B931" t="inlineStr">
        <is>
          <t>SLE</t>
        </is>
      </c>
      <c r="C931" t="inlineStr">
        <is>
          <t>Deputy Minister</t>
        </is>
      </c>
      <c r="D931" t="inlineStr">
        <is>
          <t>Sous-Ministre</t>
        </is>
      </c>
      <c r="E931" t="inlineStr">
        <is>
          <t>Chris Forbes</t>
        </is>
      </c>
      <c r="F931" t="inlineStr">
        <is>
          <t>Federal - Provincial - Territorial meeting</t>
        </is>
      </c>
      <c r="G931" t="inlineStr">
        <is>
          <t>Réunion fédérale-provinciale-territoriale</t>
        </is>
      </c>
      <c r="H931" s="1" t="n">
        <v>43152</v>
      </c>
      <c r="I931" s="1" t="n">
        <v>43154</v>
      </c>
      <c r="J931" t="inlineStr">
        <is>
          <t>Toronto, Ontario</t>
        </is>
      </c>
      <c r="K931" t="inlineStr">
        <is>
          <t>Toronto, Ontario</t>
        </is>
      </c>
      <c r="P931" t="n">
        <v>413.1</v>
      </c>
      <c r="R931" t="n">
        <v>145.77</v>
      </c>
      <c r="S931" t="n">
        <v>17.3</v>
      </c>
      <c r="U931" t="n">
        <v>576.17</v>
      </c>
      <c r="V931" t="inlineStr">
        <is>
          <t>AJG802461</t>
        </is>
      </c>
      <c r="X931" t="inlineStr">
        <is>
          <t>aafc-aac</t>
        </is>
      </c>
      <c r="Y931" t="inlineStr">
        <is>
          <t>Agriculture and Agri-Food Canada | Agriculture et Agroalimentaire Canada</t>
        </is>
      </c>
      <c r="Z931" t="n">
        <v>3</v>
      </c>
      <c r="AA931" t="n">
        <v>576.17</v>
      </c>
      <c r="AB931">
        <f>ROUND(U931-AA931,2)</f>
        <v/>
      </c>
      <c r="AC931" t="b">
        <v>0</v>
      </c>
      <c r="AD931">
        <f>IF(U931="","MISSING_TOTAL",IF(ABS(AB931)&lt;=0.01,"OK","CHECK"))</f>
        <v/>
      </c>
      <c r="AE931">
        <f>IF(U931="","MISSING",IF(AND(AA931&gt;0,U931/AA931&gt;50),"POSSIBLE_SCALE_ERROR","OK"))</f>
        <v/>
      </c>
    </row>
    <row r="932">
      <c r="A932" t="inlineStr">
        <is>
          <t>T-2017-Q4-00020</t>
        </is>
      </c>
      <c r="B932" t="inlineStr">
        <is>
          <t>SLE</t>
        </is>
      </c>
      <c r="C932" t="inlineStr">
        <is>
          <t>Assistant Deputy Minister, Programs Branch</t>
        </is>
      </c>
      <c r="D932" t="inlineStr">
        <is>
          <t>Sous-ministre adjointe, Direction Générale des Programmes</t>
        </is>
      </c>
      <c r="E932" t="inlineStr">
        <is>
          <t>Jane Taylor</t>
        </is>
      </c>
      <c r="F932" t="inlineStr">
        <is>
          <t>Requested to attend Canada's Best Diversity Employer Event to receive the award on behalf of the department.</t>
        </is>
      </c>
      <c r="G932" t="inlineStr">
        <is>
          <t>Demandé d`assister l'évènement des meilleurs employeurs en matière de diversité au Canada pour recevoir le prix au nom du ministère.</t>
        </is>
      </c>
      <c r="H932" s="1" t="n">
        <v>42795</v>
      </c>
      <c r="I932" s="1" t="n">
        <v>42796</v>
      </c>
      <c r="J932" t="inlineStr">
        <is>
          <t>Toronto, Ontario</t>
        </is>
      </c>
      <c r="K932" t="inlineStr">
        <is>
          <t>Toronto, Ontario</t>
        </is>
      </c>
      <c r="Q932" t="n">
        <v>739.77</v>
      </c>
      <c r="R932" t="n">
        <v>300.46</v>
      </c>
      <c r="S932" t="n">
        <v>148.4</v>
      </c>
      <c r="U932" t="n">
        <v>1188.63</v>
      </c>
      <c r="V932" t="inlineStr">
        <is>
          <t>AJC176949</t>
        </is>
      </c>
      <c r="X932" t="inlineStr">
        <is>
          <t>aafc-aac</t>
        </is>
      </c>
      <c r="Y932" t="inlineStr">
        <is>
          <t>Agriculture and Agri-Food Canada | Agriculture et Agroalimentaire Canada</t>
        </is>
      </c>
      <c r="Z932" t="n">
        <v>2</v>
      </c>
      <c r="AA932" t="n">
        <v>1188.63</v>
      </c>
      <c r="AB932">
        <f>ROUND(U932-AA932,2)</f>
        <v/>
      </c>
      <c r="AC932" t="b">
        <v>0</v>
      </c>
      <c r="AD932">
        <f>IF(U932="","MISSING_TOTAL",IF(ABS(AB932)&lt;=0.01,"OK","CHECK"))</f>
        <v/>
      </c>
      <c r="AE932">
        <f>IF(U932="","MISSING",IF(AND(AA932&gt;0,U932/AA932&gt;50),"POSSIBLE_SCALE_ERROR","OK"))</f>
        <v/>
      </c>
    </row>
    <row r="933">
      <c r="A933" t="inlineStr">
        <is>
          <t>T-2017-Q4-00022</t>
        </is>
      </c>
      <c r="B933" t="inlineStr">
        <is>
          <t>SLE</t>
        </is>
      </c>
      <c r="C933" t="inlineStr">
        <is>
          <t>Chief Information Officer</t>
        </is>
      </c>
      <c r="D933" t="inlineStr">
        <is>
          <t>Dirigeant principal de l'information</t>
        </is>
      </c>
      <c r="E933" t="inlineStr">
        <is>
          <t>Michel Lessard</t>
        </is>
      </c>
      <c r="F933" t="inlineStr">
        <is>
          <t>Chief Information Strategy Council Meeting</t>
        </is>
      </c>
      <c r="G933" t="inlineStr">
        <is>
          <t>Réunion des stratégies des dirigeants principaux de l'information</t>
        </is>
      </c>
      <c r="H933" s="1" t="n">
        <v>43074</v>
      </c>
      <c r="I933" s="1" t="n">
        <v>43074</v>
      </c>
      <c r="J933" t="inlineStr">
        <is>
          <t>Toronto, Ontario</t>
        </is>
      </c>
      <c r="K933" t="inlineStr">
        <is>
          <t>Toronto, Ontario</t>
        </is>
      </c>
      <c r="P933" t="n">
        <v>373.01</v>
      </c>
      <c r="Q933" t="n">
        <v>123</v>
      </c>
      <c r="U933" t="n">
        <v>496.01</v>
      </c>
      <c r="V933" t="inlineStr">
        <is>
          <t>AJE473360</t>
        </is>
      </c>
      <c r="X933" t="inlineStr">
        <is>
          <t>aafc-aac</t>
        </is>
      </c>
      <c r="Y933" t="inlineStr">
        <is>
          <t>Agriculture and Agri-Food Canada | Agriculture et Agroalimentaire Canada</t>
        </is>
      </c>
      <c r="Z933" t="n">
        <v>1</v>
      </c>
      <c r="AA933" t="n">
        <v>496.01</v>
      </c>
      <c r="AB933">
        <f>ROUND(U933-AA933,2)</f>
        <v/>
      </c>
      <c r="AC933" t="b">
        <v>0</v>
      </c>
      <c r="AD933">
        <f>IF(U933="","MISSING_TOTAL",IF(ABS(AB933)&lt;=0.01,"OK","CHECK"))</f>
        <v/>
      </c>
      <c r="AE933">
        <f>IF(U933="","MISSING",IF(AND(AA933&gt;0,U933/AA933&gt;50),"POSSIBLE_SCALE_ERROR","OK"))</f>
        <v/>
      </c>
    </row>
    <row r="934">
      <c r="A934" t="inlineStr">
        <is>
          <t>T-2017-Q4-00023</t>
        </is>
      </c>
      <c r="B934" t="inlineStr">
        <is>
          <t>SLE</t>
        </is>
      </c>
      <c r="C934" t="inlineStr">
        <is>
          <t>Chief Information Officer</t>
        </is>
      </c>
      <c r="D934" t="inlineStr">
        <is>
          <t>Dirigeant principal de l'information</t>
        </is>
      </c>
      <c r="E934" t="inlineStr">
        <is>
          <t>Michel Lessard</t>
        </is>
      </c>
      <c r="F934" t="inlineStr">
        <is>
          <t>Chief Information visit to Moncton and Charlottetown</t>
        </is>
      </c>
      <c r="G934" t="inlineStr">
        <is>
          <t>Visite à Moncton et Charlottetown du dirigeant principal de l'information</t>
        </is>
      </c>
      <c r="H934" s="1" t="n">
        <v>43080</v>
      </c>
      <c r="I934" s="1" t="n">
        <v>43082</v>
      </c>
      <c r="J934" t="inlineStr">
        <is>
          <t>Moncton, New Brunswick, Charlottetown, Prince Edward Island</t>
        </is>
      </c>
      <c r="K934" t="inlineStr">
        <is>
          <t>Moncton, Nouveau-Brunswick, Charlottetown, Île-du-Prince-Édouard</t>
        </is>
      </c>
      <c r="P934" t="n">
        <v>654</v>
      </c>
      <c r="Q934" t="n">
        <v>74</v>
      </c>
      <c r="R934" t="n">
        <v>272.33</v>
      </c>
      <c r="S934" t="n">
        <v>241.5</v>
      </c>
      <c r="U934" t="n">
        <v>1241.83</v>
      </c>
      <c r="V934" t="inlineStr">
        <is>
          <t>AJE461593</t>
        </is>
      </c>
      <c r="X934" t="inlineStr">
        <is>
          <t>aafc-aac</t>
        </is>
      </c>
      <c r="Y934" t="inlineStr">
        <is>
          <t>Agriculture and Agri-Food Canada | Agriculture et Agroalimentaire Canada</t>
        </is>
      </c>
      <c r="Z934" t="n">
        <v>3</v>
      </c>
      <c r="AA934" t="n">
        <v>1241.83</v>
      </c>
      <c r="AB934">
        <f>ROUND(U934-AA934,2)</f>
        <v/>
      </c>
      <c r="AC934" t="b">
        <v>0</v>
      </c>
      <c r="AD934">
        <f>IF(U934="","MISSING_TOTAL",IF(ABS(AB934)&lt;=0.01,"OK","CHECK"))</f>
        <v/>
      </c>
      <c r="AE934">
        <f>IF(U934="","MISSING",IF(AND(AA934&gt;0,U934/AA934&gt;50),"POSSIBLE_SCALE_ERROR","OK"))</f>
        <v/>
      </c>
    </row>
    <row r="935">
      <c r="A935" t="inlineStr">
        <is>
          <t>T-2017-Q4-00024</t>
        </is>
      </c>
      <c r="B935" t="inlineStr">
        <is>
          <t>SLE</t>
        </is>
      </c>
      <c r="C935" t="inlineStr">
        <is>
          <t>Chief Information Officer</t>
        </is>
      </c>
      <c r="D935" t="inlineStr">
        <is>
          <t>Dirigeant principal de l'information</t>
        </is>
      </c>
      <c r="E935" t="inlineStr">
        <is>
          <t>Michel Lessard</t>
        </is>
      </c>
      <c r="F935" t="inlineStr">
        <is>
          <t>Chief Information Officers Council</t>
        </is>
      </c>
      <c r="G935" t="inlineStr">
        <is>
          <t>Conseil des dirigeants principaux de l'information</t>
        </is>
      </c>
      <c r="H935" s="1" t="n">
        <v>43134</v>
      </c>
      <c r="I935" s="1" t="n">
        <v>43142</v>
      </c>
      <c r="J935" t="inlineStr">
        <is>
          <t>Palo Alto, California</t>
        </is>
      </c>
      <c r="K935" t="inlineStr">
        <is>
          <t>Palo Alto, Californie</t>
        </is>
      </c>
      <c r="P935" t="n">
        <v>743</v>
      </c>
      <c r="Q935" t="n">
        <v>151.29</v>
      </c>
      <c r="R935" t="n">
        <v>1307.77</v>
      </c>
      <c r="S935" t="n">
        <v>312.01</v>
      </c>
      <c r="U935" t="n">
        <v>2514.07</v>
      </c>
      <c r="V935" t="inlineStr">
        <is>
          <t>AJE489764</t>
        </is>
      </c>
      <c r="X935" t="inlineStr">
        <is>
          <t>aafc-aac</t>
        </is>
      </c>
      <c r="Y935" t="inlineStr">
        <is>
          <t>Agriculture and Agri-Food Canada | Agriculture et Agroalimentaire Canada</t>
        </is>
      </c>
      <c r="Z935" t="n">
        <v>9</v>
      </c>
      <c r="AA935" t="n">
        <v>2514.06999999999</v>
      </c>
      <c r="AB935">
        <f>ROUND(U935-AA935,2)</f>
        <v/>
      </c>
      <c r="AC935" t="b">
        <v>0</v>
      </c>
      <c r="AD935">
        <f>IF(U935="","MISSING_TOTAL",IF(ABS(AB935)&lt;=0.01,"OK","CHECK"))</f>
        <v/>
      </c>
      <c r="AE935">
        <f>IF(U935="","MISSING",IF(AND(AA935&gt;0,U935/AA935&gt;50),"POSSIBLE_SCALE_ERROR","OK"))</f>
        <v/>
      </c>
    </row>
    <row r="936">
      <c r="A936" t="inlineStr">
        <is>
          <t>T-2017-Q4-00026</t>
        </is>
      </c>
      <c r="B936" t="inlineStr">
        <is>
          <t>SLE</t>
        </is>
      </c>
      <c r="C936" t="inlineStr">
        <is>
          <t>Assistant deputy minister, Corporate Management Branch</t>
        </is>
      </c>
      <c r="D936" t="inlineStr">
        <is>
          <t>Sous-ministre adjoint, Direction Générale de la gestion intégrée</t>
        </is>
      </c>
      <c r="E936" t="inlineStr">
        <is>
          <t>Pierre Corriveau</t>
        </is>
      </c>
      <c r="F936" t="inlineStr">
        <is>
          <t>Managers Community Meeting</t>
        </is>
      </c>
      <c r="G936" t="inlineStr">
        <is>
          <t>Réunion du comité de la communauté des gestionnaires</t>
        </is>
      </c>
      <c r="H936" s="1" t="n">
        <v>43146</v>
      </c>
      <c r="I936" s="1" t="n">
        <v>43147</v>
      </c>
      <c r="J936" t="inlineStr">
        <is>
          <t>Montreal, Quebec</t>
        </is>
      </c>
      <c r="K936" t="inlineStr">
        <is>
          <t>Montréal, Québec</t>
        </is>
      </c>
      <c r="Q936" t="n">
        <v>170.68</v>
      </c>
      <c r="R936" t="n">
        <v>168.98</v>
      </c>
      <c r="S936" t="n">
        <v>148.2</v>
      </c>
      <c r="U936" t="n">
        <v>487.86</v>
      </c>
      <c r="V936" t="inlineStr">
        <is>
          <t>AJD321773</t>
        </is>
      </c>
      <c r="X936" t="inlineStr">
        <is>
          <t>aafc-aac</t>
        </is>
      </c>
      <c r="Y936" t="inlineStr">
        <is>
          <t>Agriculture and Agri-Food Canada | Agriculture et Agroalimentaire Canada</t>
        </is>
      </c>
      <c r="Z936" t="n">
        <v>2</v>
      </c>
      <c r="AA936" t="n">
        <v>487.859999999999</v>
      </c>
      <c r="AB936">
        <f>ROUND(U936-AA936,2)</f>
        <v/>
      </c>
      <c r="AC936" t="b">
        <v>0</v>
      </c>
      <c r="AD936">
        <f>IF(U936="","MISSING_TOTAL",IF(ABS(AB936)&lt;=0.01,"OK","CHECK"))</f>
        <v/>
      </c>
      <c r="AE936">
        <f>IF(U936="","MISSING",IF(AND(AA936&gt;0,U936/AA936&gt;50),"POSSIBLE_SCALE_ERROR","OK"))</f>
        <v/>
      </c>
    </row>
    <row r="937">
      <c r="A937" t="inlineStr">
        <is>
          <t>T-2017-Q4-00028</t>
        </is>
      </c>
      <c r="B937" t="inlineStr">
        <is>
          <t>SLE</t>
        </is>
      </c>
      <c r="C937" t="inlineStr">
        <is>
          <t>Assistant Deputy Minister, Strategic Policy Branch</t>
        </is>
      </c>
      <c r="D937" t="inlineStr">
        <is>
          <t>Sous-ministre adjoint - Direction générale des politiques stratégiques</t>
        </is>
      </c>
      <c r="E937" t="inlineStr">
        <is>
          <t>Tom Rosser</t>
        </is>
      </c>
      <c r="F937" t="inlineStr">
        <is>
          <t>To attend a meeting of the Conference Board of Canada.</t>
        </is>
      </c>
      <c r="G937" t="inlineStr">
        <is>
          <t>Participer à une réunion de Le Conference Board du Canada.</t>
        </is>
      </c>
      <c r="H937" s="1" t="n">
        <v>43073</v>
      </c>
      <c r="I937" s="1" t="n">
        <v>43076</v>
      </c>
      <c r="J937" t="inlineStr">
        <is>
          <t>Calgary, Alberta</t>
        </is>
      </c>
      <c r="K937" t="inlineStr">
        <is>
          <t>Calgary, Alberta</t>
        </is>
      </c>
      <c r="P937" t="n">
        <v>1297.83</v>
      </c>
      <c r="Q937" t="n">
        <v>172</v>
      </c>
      <c r="R937" t="n">
        <v>334.56</v>
      </c>
      <c r="S937" t="n">
        <v>268.35</v>
      </c>
      <c r="U937" t="n">
        <v>2072.74</v>
      </c>
      <c r="V937" t="inlineStr">
        <is>
          <t>AJE616464</t>
        </is>
      </c>
      <c r="X937" t="inlineStr">
        <is>
          <t>aafc-aac</t>
        </is>
      </c>
      <c r="Y937" t="inlineStr">
        <is>
          <t>Agriculture and Agri-Food Canada | Agriculture et Agroalimentaire Canada</t>
        </is>
      </c>
      <c r="Z937" t="n">
        <v>4</v>
      </c>
      <c r="AA937" t="n">
        <v>2072.74</v>
      </c>
      <c r="AB937">
        <f>ROUND(U937-AA937,2)</f>
        <v/>
      </c>
      <c r="AC937" t="b">
        <v>0</v>
      </c>
      <c r="AD937">
        <f>IF(U937="","MISSING_TOTAL",IF(ABS(AB937)&lt;=0.01,"OK","CHECK"))</f>
        <v/>
      </c>
      <c r="AE937">
        <f>IF(U937="","MISSING",IF(AND(AA937&gt;0,U937/AA937&gt;50),"POSSIBLE_SCALE_ERROR","OK"))</f>
        <v/>
      </c>
    </row>
    <row r="938">
      <c r="A938" t="inlineStr">
        <is>
          <t>T-2017-Q4-00029</t>
        </is>
      </c>
      <c r="B938" t="inlineStr">
        <is>
          <t>SLE</t>
        </is>
      </c>
      <c r="C938" t="inlineStr">
        <is>
          <t>Assistant Deputy Minister, Strategic Policy Branch</t>
        </is>
      </c>
      <c r="D938" t="inlineStr">
        <is>
          <t>Sous-ministre adjoint - Direction générale des politiques stratégiques</t>
        </is>
      </c>
      <c r="E938" t="inlineStr">
        <is>
          <t>Tom Rosser</t>
        </is>
      </c>
      <c r="F938" t="inlineStr">
        <is>
          <t>To attend a conference of The Institute of Public Administration of Canada.</t>
        </is>
      </c>
      <c r="G938" t="inlineStr">
        <is>
          <t>Participer à une conférence de L'Institut d'administration publique du Canada.</t>
        </is>
      </c>
      <c r="H938" s="1" t="n">
        <v>43135</v>
      </c>
      <c r="I938" s="1" t="n">
        <v>43136</v>
      </c>
      <c r="J938" t="inlineStr">
        <is>
          <t>Toronto, Ontario</t>
        </is>
      </c>
      <c r="K938" t="inlineStr">
        <is>
          <t>Toronto, Ontario</t>
        </is>
      </c>
      <c r="P938" t="n">
        <v>621.22</v>
      </c>
      <c r="Q938" t="n">
        <v>169.35</v>
      </c>
      <c r="R938" t="n">
        <v>156.6</v>
      </c>
      <c r="S938" t="n">
        <v>148.4</v>
      </c>
      <c r="U938" t="n">
        <v>1095.57</v>
      </c>
      <c r="V938" t="inlineStr">
        <is>
          <t>AJE615794</t>
        </is>
      </c>
      <c r="X938" t="inlineStr">
        <is>
          <t>aafc-aac</t>
        </is>
      </c>
      <c r="Y938" t="inlineStr">
        <is>
          <t>Agriculture and Agri-Food Canada | Agriculture et Agroalimentaire Canada</t>
        </is>
      </c>
      <c r="Z938" t="n">
        <v>2</v>
      </c>
      <c r="AA938" t="n">
        <v>1095.57</v>
      </c>
      <c r="AB938">
        <f>ROUND(U938-AA938,2)</f>
        <v/>
      </c>
      <c r="AC938" t="b">
        <v>0</v>
      </c>
      <c r="AD938">
        <f>IF(U938="","MISSING_TOTAL",IF(ABS(AB938)&lt;=0.01,"OK","CHECK"))</f>
        <v/>
      </c>
      <c r="AE938">
        <f>IF(U938="","MISSING",IF(AND(AA938&gt;0,U938/AA938&gt;50),"POSSIBLE_SCALE_ERROR","OK"))</f>
        <v/>
      </c>
    </row>
    <row r="939">
      <c r="A939" t="inlineStr">
        <is>
          <t>T-2017-Q4-00030</t>
        </is>
      </c>
      <c r="B939" t="inlineStr">
        <is>
          <t>SLE</t>
        </is>
      </c>
      <c r="C939" t="inlineStr">
        <is>
          <t>Assistant Deputy Minister, Strategic Policy Branch</t>
        </is>
      </c>
      <c r="D939" t="inlineStr">
        <is>
          <t>Sous-ministre adjoint - Direction générale des politiques stratégiques</t>
        </is>
      </c>
      <c r="E939" t="inlineStr">
        <is>
          <t>Tom Rosser</t>
        </is>
      </c>
      <c r="F939" t="inlineStr">
        <is>
          <t>To attend a meeting of the Crop Logistics Working Group.</t>
        </is>
      </c>
      <c r="G939" t="inlineStr">
        <is>
          <t>Participer à une réunion du Groupe de travail sur la logistique du transport des récoltes.</t>
        </is>
      </c>
      <c r="H939" s="1" t="n">
        <v>43137</v>
      </c>
      <c r="I939" s="1" t="n">
        <v>43139</v>
      </c>
      <c r="J939" t="inlineStr">
        <is>
          <t>Winnipeg, Manitoba</t>
        </is>
      </c>
      <c r="K939" t="inlineStr">
        <is>
          <t>Winnipeg, Manitoba</t>
        </is>
      </c>
      <c r="P939" t="n">
        <v>860.13</v>
      </c>
      <c r="Q939" t="n">
        <v>105</v>
      </c>
      <c r="R939" t="n">
        <v>137.93</v>
      </c>
      <c r="S939" t="n">
        <v>165.7</v>
      </c>
      <c r="U939" t="n">
        <v>1268.76</v>
      </c>
      <c r="V939" t="inlineStr">
        <is>
          <t>AJE606609</t>
        </is>
      </c>
      <c r="X939" t="inlineStr">
        <is>
          <t>aafc-aac</t>
        </is>
      </c>
      <c r="Y939" t="inlineStr">
        <is>
          <t>Agriculture and Agri-Food Canada | Agriculture et Agroalimentaire Canada</t>
        </is>
      </c>
      <c r="Z939" t="n">
        <v>3</v>
      </c>
      <c r="AA939" t="n">
        <v>1268.76</v>
      </c>
      <c r="AB939">
        <f>ROUND(U939-AA939,2)</f>
        <v/>
      </c>
      <c r="AC939" t="b">
        <v>0</v>
      </c>
      <c r="AD939">
        <f>IF(U939="","MISSING_TOTAL",IF(ABS(AB939)&lt;=0.01,"OK","CHECK"))</f>
        <v/>
      </c>
      <c r="AE939">
        <f>IF(U939="","MISSING",IF(AND(AA939&gt;0,U939/AA939&gt;50),"POSSIBLE_SCALE_ERROR","OK"))</f>
        <v/>
      </c>
    </row>
    <row r="940">
      <c r="A940" t="inlineStr">
        <is>
          <t>T-2017-Q4-00031</t>
        </is>
      </c>
      <c r="B940" t="inlineStr">
        <is>
          <t>SLE</t>
        </is>
      </c>
      <c r="C940" t="inlineStr">
        <is>
          <t>Assistant Deputy Minister, Strategic Policy Branch</t>
        </is>
      </c>
      <c r="D940" t="inlineStr">
        <is>
          <t>Sous-ministre adjoint - Direction générale des politiques stratégiques</t>
        </is>
      </c>
      <c r="E940" t="inlineStr">
        <is>
          <t>Tom Rosser</t>
        </is>
      </c>
      <c r="F940" t="inlineStr">
        <is>
          <t>To attend a meeting of Federal, Provincial and Territorial Deputy Ministers as well as attending a Regional meeting.</t>
        </is>
      </c>
      <c r="G940" t="inlineStr">
        <is>
          <t>Participer à une rencontre fédérale, provinciale et territoriale des sous-ministres et aussi participer à une réunion régionale.</t>
        </is>
      </c>
      <c r="H940" s="1" t="n">
        <v>43152</v>
      </c>
      <c r="I940" s="1" t="n">
        <v>43154</v>
      </c>
      <c r="J940" t="inlineStr">
        <is>
          <t>Toronto, Ontario, London, Ontario</t>
        </is>
      </c>
      <c r="K940" t="inlineStr">
        <is>
          <t>Toronto, Ontario, London, Ontario</t>
        </is>
      </c>
      <c r="P940" t="n">
        <v>950.4299999999999</v>
      </c>
      <c r="Q940" t="n">
        <v>145</v>
      </c>
      <c r="R940" t="n">
        <v>308.49</v>
      </c>
      <c r="S940" t="n">
        <v>269.95</v>
      </c>
      <c r="U940" t="n">
        <v>1673.87</v>
      </c>
      <c r="V940" t="inlineStr">
        <is>
          <t>AJE603604</t>
        </is>
      </c>
      <c r="X940" t="inlineStr">
        <is>
          <t>aafc-aac</t>
        </is>
      </c>
      <c r="Y940" t="inlineStr">
        <is>
          <t>Agriculture and Agri-Food Canada | Agriculture et Agroalimentaire Canada</t>
        </is>
      </c>
      <c r="Z940" t="n">
        <v>3</v>
      </c>
      <c r="AA940" t="n">
        <v>1673.87</v>
      </c>
      <c r="AB940">
        <f>ROUND(U940-AA940,2)</f>
        <v/>
      </c>
      <c r="AC940" t="b">
        <v>0</v>
      </c>
      <c r="AD940">
        <f>IF(U940="","MISSING_TOTAL",IF(ABS(AB940)&lt;=0.01,"OK","CHECK"))</f>
        <v/>
      </c>
      <c r="AE940">
        <f>IF(U940="","MISSING",IF(AND(AA940&gt;0,U940/AA940&gt;50),"POSSIBLE_SCALE_ERROR","OK"))</f>
        <v/>
      </c>
    </row>
    <row r="941">
      <c r="A941" t="inlineStr">
        <is>
          <t>T-2017-Q4-00033</t>
        </is>
      </c>
      <c r="B941" t="inlineStr">
        <is>
          <t>SLE</t>
        </is>
      </c>
      <c r="C941" t="inlineStr">
        <is>
          <t>Deputy Minister</t>
        </is>
      </c>
      <c r="D941" t="inlineStr">
        <is>
          <t>Sous-Ministre</t>
        </is>
      </c>
      <c r="E941" t="inlineStr">
        <is>
          <t>Chris Forbes</t>
        </is>
      </c>
      <c r="F941" t="inlineStr">
        <is>
          <t>Economic Strategy Table</t>
        </is>
      </c>
      <c r="G941" t="inlineStr">
        <is>
          <t>Table de Stratégie Economique</t>
        </is>
      </c>
      <c r="H941" s="1" t="n">
        <v>43080</v>
      </c>
      <c r="I941" s="1" t="n">
        <v>43081</v>
      </c>
      <c r="J941" t="inlineStr">
        <is>
          <t>Toronto, Ontario</t>
        </is>
      </c>
      <c r="K941" t="inlineStr">
        <is>
          <t>Toronto, Ontario</t>
        </is>
      </c>
      <c r="P941" t="n">
        <v>641.52</v>
      </c>
      <c r="R941" t="n">
        <v>265.65</v>
      </c>
      <c r="S941" t="n">
        <v>83.75</v>
      </c>
      <c r="U941" t="n">
        <v>990.92</v>
      </c>
      <c r="V941" t="inlineStr">
        <is>
          <t>AJG888875</t>
        </is>
      </c>
      <c r="X941" t="inlineStr">
        <is>
          <t>aafc-aac</t>
        </is>
      </c>
      <c r="Y941" t="inlineStr">
        <is>
          <t>Agriculture and Agri-Food Canada | Agriculture et Agroalimentaire Canada</t>
        </is>
      </c>
      <c r="Z941" t="n">
        <v>2</v>
      </c>
      <c r="AA941" t="n">
        <v>990.92</v>
      </c>
      <c r="AB941">
        <f>ROUND(U941-AA941,2)</f>
        <v/>
      </c>
      <c r="AC941" t="b">
        <v>0</v>
      </c>
      <c r="AD941">
        <f>IF(U941="","MISSING_TOTAL",IF(ABS(AB941)&lt;=0.01,"OK","CHECK"))</f>
        <v/>
      </c>
      <c r="AE941">
        <f>IF(U941="","MISSING",IF(AND(AA941&gt;0,U941/AA941&gt;50),"POSSIBLE_SCALE_ERROR","OK"))</f>
        <v/>
      </c>
    </row>
    <row r="942">
      <c r="A942" t="inlineStr">
        <is>
          <t>T-2017-Q4-00034</t>
        </is>
      </c>
      <c r="B942" t="inlineStr">
        <is>
          <t>SLE</t>
        </is>
      </c>
      <c r="C942" t="inlineStr">
        <is>
          <t>Deputy Minister</t>
        </is>
      </c>
      <c r="D942" t="inlineStr">
        <is>
          <t>Sous-Ministre</t>
        </is>
      </c>
      <c r="E942" t="inlineStr">
        <is>
          <t>Chris Forbes</t>
        </is>
      </c>
      <c r="F942" t="inlineStr">
        <is>
          <t>Federal, provincial and territorial call in Prince Edward Island and Nova Scotia Outreach</t>
        </is>
      </c>
      <c r="G942" t="inlineStr">
        <is>
          <t>Appel fédéral, provincial et territorial à l'Île-du-Prince-Édouard et visite de sensibilisation en Nouvelle-Écosse</t>
        </is>
      </c>
      <c r="H942" s="1" t="n">
        <v>43108</v>
      </c>
      <c r="I942" s="1" t="n">
        <v>43110</v>
      </c>
      <c r="J942" t="inlineStr">
        <is>
          <t>Charlottetown, Prince Edward Island and Halifax, Nova Scotia</t>
        </is>
      </c>
      <c r="K942" t="inlineStr">
        <is>
          <t>Charlottetown, Île-du-Prince-Édouard et Halifax, Nouvelle-Écosse</t>
        </is>
      </c>
      <c r="P942" t="n">
        <v>1145.89</v>
      </c>
      <c r="Q942" t="n">
        <v>132.88</v>
      </c>
      <c r="R942" t="n">
        <v>315.97</v>
      </c>
      <c r="S942" t="n">
        <v>198.95</v>
      </c>
      <c r="U942" t="n">
        <v>1793.69</v>
      </c>
      <c r="V942" t="inlineStr">
        <is>
          <t>AJG857747</t>
        </is>
      </c>
      <c r="X942" t="inlineStr">
        <is>
          <t>aafc-aac</t>
        </is>
      </c>
      <c r="Y942" t="inlineStr">
        <is>
          <t>Agriculture and Agri-Food Canada | Agriculture et Agroalimentaire Canada</t>
        </is>
      </c>
      <c r="Z942" t="n">
        <v>3</v>
      </c>
      <c r="AA942" t="n">
        <v>1793.69</v>
      </c>
      <c r="AB942">
        <f>ROUND(U942-AA942,2)</f>
        <v/>
      </c>
      <c r="AC942" t="b">
        <v>0</v>
      </c>
      <c r="AD942">
        <f>IF(U942="","MISSING_TOTAL",IF(ABS(AB942)&lt;=0.01,"OK","CHECK"))</f>
        <v/>
      </c>
      <c r="AE942">
        <f>IF(U942="","MISSING",IF(AND(AA942&gt;0,U942/AA942&gt;50),"POSSIBLE_SCALE_ERROR","OK"))</f>
        <v/>
      </c>
    </row>
    <row r="943">
      <c r="A943" t="inlineStr">
        <is>
          <t>T-2017-Q4-00035</t>
        </is>
      </c>
      <c r="B943" t="inlineStr">
        <is>
          <t>SLE</t>
        </is>
      </c>
      <c r="C943" t="inlineStr">
        <is>
          <t>Deputy Minister</t>
        </is>
      </c>
      <c r="D943" t="inlineStr">
        <is>
          <t>Sous-Ministre</t>
        </is>
      </c>
      <c r="E943" t="inlineStr">
        <is>
          <t>Chris Forbes</t>
        </is>
      </c>
      <c r="F943" t="inlineStr">
        <is>
          <t>Agri-Food Economic Strategy Table Meeting</t>
        </is>
      </c>
      <c r="G943" t="inlineStr">
        <is>
          <t>Réunion, Tables sectorielles de stratégies économiques - Table sur l'agroalimentaire</t>
        </is>
      </c>
      <c r="H943" s="1" t="n">
        <v>43117</v>
      </c>
      <c r="I943" s="1" t="n">
        <v>43118</v>
      </c>
      <c r="J943" t="inlineStr">
        <is>
          <t>Toronto, Ontario</t>
        </is>
      </c>
      <c r="K943" t="inlineStr">
        <is>
          <t>Toronto, Ontario</t>
        </is>
      </c>
      <c r="P943" t="n">
        <v>379.74</v>
      </c>
      <c r="Q943" t="n">
        <v>35.06</v>
      </c>
      <c r="R943" t="n">
        <v>196.62</v>
      </c>
      <c r="S943" t="n">
        <v>81.95</v>
      </c>
      <c r="U943" t="n">
        <v>693.37</v>
      </c>
      <c r="V943" t="inlineStr">
        <is>
          <t>AJG831732</t>
        </is>
      </c>
      <c r="X943" t="inlineStr">
        <is>
          <t>aafc-aac</t>
        </is>
      </c>
      <c r="Y943" t="inlineStr">
        <is>
          <t>Agriculture and Agri-Food Canada | Agriculture et Agroalimentaire Canada</t>
        </is>
      </c>
      <c r="Z943" t="n">
        <v>2</v>
      </c>
      <c r="AA943" t="n">
        <v>693.37</v>
      </c>
      <c r="AB943">
        <f>ROUND(U943-AA943,2)</f>
        <v/>
      </c>
      <c r="AC943" t="b">
        <v>0</v>
      </c>
      <c r="AD943">
        <f>IF(U943="","MISSING_TOTAL",IF(ABS(AB943)&lt;=0.01,"OK","CHECK"))</f>
        <v/>
      </c>
      <c r="AE943">
        <f>IF(U943="","MISSING",IF(AND(AA943&gt;0,U943/AA943&gt;50),"POSSIBLE_SCALE_ERROR","OK"))</f>
        <v/>
      </c>
    </row>
    <row r="944">
      <c r="A944" t="inlineStr">
        <is>
          <t>T-2017-Q4-00036</t>
        </is>
      </c>
      <c r="B944" t="inlineStr">
        <is>
          <t>SLE</t>
        </is>
      </c>
      <c r="C944" t="inlineStr">
        <is>
          <t>Deputy Minister</t>
        </is>
      </c>
      <c r="D944" t="inlineStr">
        <is>
          <t>Sous-Ministre</t>
        </is>
      </c>
      <c r="E944" t="inlineStr">
        <is>
          <t>Chris Forbes</t>
        </is>
      </c>
      <c r="F944" t="inlineStr">
        <is>
          <t>Deputy Minister Outreach to Winnipeg and Brandon</t>
        </is>
      </c>
      <c r="G944" t="inlineStr">
        <is>
          <t>Visite de sensibilisation du Sous-Ministre à Winnipeg et Brandon</t>
        </is>
      </c>
      <c r="H944" s="1" t="n">
        <v>43144</v>
      </c>
      <c r="I944" s="1" t="n">
        <v>43147</v>
      </c>
      <c r="J944" t="inlineStr">
        <is>
          <t>Winnipeg, Manitoba</t>
        </is>
      </c>
      <c r="K944" t="inlineStr">
        <is>
          <t>Winnipeg, Manitoba</t>
        </is>
      </c>
      <c r="P944" t="n">
        <v>528.25</v>
      </c>
      <c r="Q944" t="n">
        <v>35.06</v>
      </c>
      <c r="R944" t="n">
        <v>337.99</v>
      </c>
      <c r="S944" t="n">
        <v>252.65</v>
      </c>
      <c r="U944" t="n">
        <v>1153.95</v>
      </c>
      <c r="V944" t="inlineStr">
        <is>
          <t>AJG866980</t>
        </is>
      </c>
      <c r="X944" t="inlineStr">
        <is>
          <t>aafc-aac</t>
        </is>
      </c>
      <c r="Y944" t="inlineStr">
        <is>
          <t>Agriculture and Agri-Food Canada | Agriculture et Agroalimentaire Canada</t>
        </is>
      </c>
      <c r="Z944" t="n">
        <v>4</v>
      </c>
      <c r="AA944" t="n">
        <v>1153.95</v>
      </c>
      <c r="AB944">
        <f>ROUND(U944-AA944,2)</f>
        <v/>
      </c>
      <c r="AC944" t="b">
        <v>0</v>
      </c>
      <c r="AD944">
        <f>IF(U944="","MISSING_TOTAL",IF(ABS(AB944)&lt;=0.01,"OK","CHECK"))</f>
        <v/>
      </c>
      <c r="AE944">
        <f>IF(U944="","MISSING",IF(AND(AA944&gt;0,U944/AA944&gt;50),"POSSIBLE_SCALE_ERROR","OK"))</f>
        <v/>
      </c>
    </row>
    <row r="945">
      <c r="A945" t="inlineStr">
        <is>
          <t>T-2018-Q2-00003</t>
        </is>
      </c>
      <c r="B945" t="inlineStr">
        <is>
          <t>MPSES</t>
        </is>
      </c>
      <c r="C945" t="inlineStr">
        <is>
          <t>Minister</t>
        </is>
      </c>
      <c r="D945" t="inlineStr">
        <is>
          <t>Ministre</t>
        </is>
      </c>
      <c r="E945" t="inlineStr">
        <is>
          <t>Lawrence MacAulay</t>
        </is>
      </c>
      <c r="F945" t="inlineStr">
        <is>
          <t>Western Outreach: Calgary Stampede and Federal Provincial Territorial Conference</t>
        </is>
      </c>
      <c r="G945" t="inlineStr">
        <is>
          <t>Sensibilisation à l’Ouest: Calgary Stampede et Conférence fédérale provinciale et territoriale</t>
        </is>
      </c>
      <c r="H945" s="1" t="n">
        <v>43291</v>
      </c>
      <c r="I945" s="1" t="n">
        <v>43301</v>
      </c>
      <c r="J945" t="inlineStr">
        <is>
          <t>Calgary Alberta, Saskatoon Saskatchewan, Victoria British Columbia, Vancouver British Columbia,</t>
        </is>
      </c>
      <c r="K945" t="inlineStr">
        <is>
          <t>Calgary Alberta, Saskatoon Saskatchewan, Victoria Colombie-Britannique, Vancouver Colombie-Britannique,</t>
        </is>
      </c>
      <c r="P945" t="n">
        <v>2508.36</v>
      </c>
      <c r="Q945" t="n">
        <v>0</v>
      </c>
      <c r="R945" t="n">
        <v>3870.19</v>
      </c>
      <c r="S945" t="n">
        <v>894.2</v>
      </c>
      <c r="T945" t="n">
        <v>375</v>
      </c>
      <c r="U945" t="n">
        <v>7647.75</v>
      </c>
      <c r="V945" t="inlineStr">
        <is>
          <t>Other expenses: Federal Provincial Territorial Conference fees</t>
        </is>
      </c>
      <c r="W945" t="inlineStr">
        <is>
          <t>Autres dépenses: frais de la conférence fédérale provinciale et territoriale</t>
        </is>
      </c>
      <c r="X945" t="inlineStr">
        <is>
          <t>aafc-aac</t>
        </is>
      </c>
      <c r="Y945" t="inlineStr">
        <is>
          <t>Agriculture and Agri-Food Canada | Agriculture et Agroalimentaire Canada</t>
        </is>
      </c>
      <c r="Z945" t="n">
        <v>11</v>
      </c>
      <c r="AA945" t="n">
        <v>7647.75</v>
      </c>
      <c r="AB945">
        <f>ROUND(U945-AA945,2)</f>
        <v/>
      </c>
      <c r="AC945" t="b">
        <v>0</v>
      </c>
      <c r="AD945">
        <f>IF(U945="","MISSING_TOTAL",IF(ABS(AB945)&lt;=0.01,"OK","CHECK"))</f>
        <v/>
      </c>
      <c r="AE945">
        <f>IF(U945="","MISSING",IF(AND(AA945&gt;0,U945/AA945&gt;50),"POSSIBLE_SCALE_ERROR","OK"))</f>
        <v/>
      </c>
    </row>
    <row r="946">
      <c r="A946" t="inlineStr">
        <is>
          <t>T-2017-Q4-00041</t>
        </is>
      </c>
      <c r="B946" t="inlineStr">
        <is>
          <t>MPSES</t>
        </is>
      </c>
      <c r="C946" t="inlineStr">
        <is>
          <t>Director of Communications</t>
        </is>
      </c>
      <c r="D946" t="inlineStr">
        <is>
          <t>Directeur des communications</t>
        </is>
      </c>
      <c r="E946" t="inlineStr">
        <is>
          <t>Guy Gallant</t>
        </is>
      </c>
      <c r="F946" t="inlineStr">
        <is>
          <t>To support the Minister for Government announcements and the Atlantic Growth Strategy</t>
        </is>
      </c>
      <c r="G946" t="inlineStr">
        <is>
          <t>Soutenir les annonces du ministre des Gouvernements et de la Stratégie de croissance de l'Atlantique</t>
        </is>
      </c>
      <c r="H946" s="1" t="n">
        <v>43118</v>
      </c>
      <c r="I946" s="1" t="n">
        <v>43126</v>
      </c>
      <c r="J946" t="inlineStr">
        <is>
          <t>Halifax, Nova Scotia</t>
        </is>
      </c>
      <c r="K946" t="inlineStr">
        <is>
          <t>Halifax,  Nouvelle-Écosse</t>
        </is>
      </c>
      <c r="P946" t="n">
        <v>975.1900000000001</v>
      </c>
      <c r="Q946" t="n">
        <v>690.2</v>
      </c>
      <c r="R946" t="n">
        <v>655.92</v>
      </c>
      <c r="S946" t="n">
        <v>513.25</v>
      </c>
      <c r="U946" t="n">
        <v>2834.56</v>
      </c>
      <c r="V946" t="n">
        <v>1900114886</v>
      </c>
      <c r="X946" t="inlineStr">
        <is>
          <t>aafc-aac</t>
        </is>
      </c>
      <c r="Y946" t="inlineStr">
        <is>
          <t>Agriculture and Agri-Food Canada | Agriculture et Agroalimentaire Canada</t>
        </is>
      </c>
      <c r="Z946" t="n">
        <v>9</v>
      </c>
      <c r="AA946" t="n">
        <v>2834.56</v>
      </c>
      <c r="AB946">
        <f>ROUND(U946-AA946,2)</f>
        <v/>
      </c>
      <c r="AC946" t="b">
        <v>0</v>
      </c>
      <c r="AD946">
        <f>IF(U946="","MISSING_TOTAL",IF(ABS(AB946)&lt;=0.01,"OK","CHECK"))</f>
        <v/>
      </c>
      <c r="AE946">
        <f>IF(U946="","MISSING",IF(AND(AA946&gt;0,U946/AA946&gt;50),"POSSIBLE_SCALE_ERROR","OK"))</f>
        <v/>
      </c>
    </row>
    <row r="947">
      <c r="A947" t="inlineStr">
        <is>
          <t>T-2017-Q4-00042</t>
        </is>
      </c>
      <c r="B947" t="inlineStr">
        <is>
          <t>MPSES</t>
        </is>
      </c>
      <c r="C947" t="inlineStr">
        <is>
          <t>Director of Communications</t>
        </is>
      </c>
      <c r="D947" t="inlineStr">
        <is>
          <t>Directeur des communications</t>
        </is>
      </c>
      <c r="E947" t="inlineStr">
        <is>
          <t>Guy Gallant</t>
        </is>
      </c>
      <c r="F947" t="inlineStr">
        <is>
          <t>To support the Minister at the Atlantic Growth Strategy Leadership Committee Meeting in Moncton and the Ministerial Mission in Sacramento, California</t>
        </is>
      </c>
      <c r="G947" t="inlineStr">
        <is>
          <t>Soutenir le ministre à la réunion du Comité de direction de la Stratégie de croissance de l'Atlantique à Moncton et à la mission ministérielle à Sacramento, en Californie</t>
        </is>
      </c>
      <c r="H947" s="1" t="n">
        <v>43150</v>
      </c>
      <c r="I947" s="1" t="n">
        <v>43153</v>
      </c>
      <c r="J947" t="inlineStr">
        <is>
          <t>Sacramento, California</t>
        </is>
      </c>
      <c r="K947" t="inlineStr">
        <is>
          <t>Sacramento, Californie</t>
        </is>
      </c>
      <c r="P947" t="n">
        <v>1339.1</v>
      </c>
      <c r="R947" t="n">
        <v>810.96</v>
      </c>
      <c r="S947" t="n">
        <v>458.91</v>
      </c>
      <c r="U947" t="n">
        <v>2608.97</v>
      </c>
      <c r="V947" t="n">
        <v>1900116898</v>
      </c>
      <c r="X947" t="inlineStr">
        <is>
          <t>aafc-aac</t>
        </is>
      </c>
      <c r="Y947" t="inlineStr">
        <is>
          <t>Agriculture and Agri-Food Canada | Agriculture et Agroalimentaire Canada</t>
        </is>
      </c>
      <c r="Z947" t="n">
        <v>4</v>
      </c>
      <c r="AA947" t="n">
        <v>2608.97</v>
      </c>
      <c r="AB947">
        <f>ROUND(U947-AA947,2)</f>
        <v/>
      </c>
      <c r="AC947" t="b">
        <v>0</v>
      </c>
      <c r="AD947">
        <f>IF(U947="","MISSING_TOTAL",IF(ABS(AB947)&lt;=0.01,"OK","CHECK"))</f>
        <v/>
      </c>
      <c r="AE947">
        <f>IF(U947="","MISSING",IF(AND(AA947&gt;0,U947/AA947&gt;50),"POSSIBLE_SCALE_ERROR","OK"))</f>
        <v/>
      </c>
    </row>
    <row r="948">
      <c r="A948" t="inlineStr">
        <is>
          <t>T-2017-Q4-00044</t>
        </is>
      </c>
      <c r="B948" t="inlineStr">
        <is>
          <t>MPSES</t>
        </is>
      </c>
      <c r="C948" t="inlineStr">
        <is>
          <t>Minister</t>
        </is>
      </c>
      <c r="D948" t="inlineStr">
        <is>
          <t>Ministre</t>
        </is>
      </c>
      <c r="E948" t="inlineStr">
        <is>
          <t>Lawrence MacAulay</t>
        </is>
      </c>
      <c r="F948" t="inlineStr">
        <is>
          <t>To attend the Alimentaria Food Show in Mexico City</t>
        </is>
      </c>
      <c r="G948" t="inlineStr">
        <is>
          <t>Participer au Alimentaria Food Show à Mexico</t>
        </is>
      </c>
      <c r="H948" s="1" t="n">
        <v>43075</v>
      </c>
      <c r="I948" s="1" t="n">
        <v>43078</v>
      </c>
      <c r="J948" t="inlineStr">
        <is>
          <t>Mexico City, Mexico</t>
        </is>
      </c>
      <c r="K948" t="inlineStr">
        <is>
          <t>Mexico, Mexique</t>
        </is>
      </c>
      <c r="P948" t="n">
        <v>2231.2</v>
      </c>
      <c r="R948" t="n">
        <v>812.17</v>
      </c>
      <c r="S948" t="n">
        <v>432.5</v>
      </c>
      <c r="U948" t="n">
        <v>3475.87</v>
      </c>
      <c r="V948" t="n">
        <v>1900102945</v>
      </c>
      <c r="X948" t="inlineStr">
        <is>
          <t>aafc-aac</t>
        </is>
      </c>
      <c r="Y948" t="inlineStr">
        <is>
          <t>Agriculture and Agri-Food Canada | Agriculture et Agroalimentaire Canada</t>
        </is>
      </c>
      <c r="Z948" t="n">
        <v>4</v>
      </c>
      <c r="AA948" t="n">
        <v>3475.87</v>
      </c>
      <c r="AB948">
        <f>ROUND(U948-AA948,2)</f>
        <v/>
      </c>
      <c r="AC948" t="b">
        <v>0</v>
      </c>
      <c r="AD948">
        <f>IF(U948="","MISSING_TOTAL",IF(ABS(AB948)&lt;=0.01,"OK","CHECK"))</f>
        <v/>
      </c>
      <c r="AE948">
        <f>IF(U948="","MISSING",IF(AND(AA948&gt;0,U948/AA948&gt;50),"POSSIBLE_SCALE_ERROR","OK"))</f>
        <v/>
      </c>
    </row>
    <row r="949">
      <c r="A949" t="inlineStr">
        <is>
          <t>T-2017-Q4-00045</t>
        </is>
      </c>
      <c r="B949" t="inlineStr">
        <is>
          <t>MPSES</t>
        </is>
      </c>
      <c r="C949" t="inlineStr">
        <is>
          <t>Minister</t>
        </is>
      </c>
      <c r="D949" t="inlineStr">
        <is>
          <t>Ministre</t>
        </is>
      </c>
      <c r="E949" t="inlineStr">
        <is>
          <t>Lawrence MacAulay</t>
        </is>
      </c>
      <c r="F949" t="inlineStr">
        <is>
          <t>To attend the American Farm Bureau Federal Annual Convention in Nashville, Tennessee</t>
        </is>
      </c>
      <c r="G949" t="inlineStr">
        <is>
          <t>Assister à la convention annuelle fédérale de l'American Farm Bureau à Nashville, Tennessee</t>
        </is>
      </c>
      <c r="H949" s="1" t="n">
        <v>43103</v>
      </c>
      <c r="I949" s="1" t="n">
        <v>43108</v>
      </c>
      <c r="J949" t="inlineStr">
        <is>
          <t>Nashville, Tennessee</t>
        </is>
      </c>
      <c r="K949" t="inlineStr">
        <is>
          <t>Nashville, Tennessee</t>
        </is>
      </c>
      <c r="P949" t="n">
        <v>3117.85</v>
      </c>
      <c r="Q949" t="n">
        <v>47</v>
      </c>
      <c r="R949" t="n">
        <v>1261.58</v>
      </c>
      <c r="S949" t="n">
        <v>485.3</v>
      </c>
      <c r="U949" t="n">
        <v>4911.73</v>
      </c>
      <c r="V949" t="n">
        <v>1900114885</v>
      </c>
      <c r="X949" t="inlineStr">
        <is>
          <t>aafc-aac</t>
        </is>
      </c>
      <c r="Y949" t="inlineStr">
        <is>
          <t>Agriculture and Agri-Food Canada | Agriculture et Agroalimentaire Canada</t>
        </is>
      </c>
      <c r="Z949" t="n">
        <v>6</v>
      </c>
      <c r="AA949" t="n">
        <v>4911.73</v>
      </c>
      <c r="AB949">
        <f>ROUND(U949-AA949,2)</f>
        <v/>
      </c>
      <c r="AC949" t="b">
        <v>0</v>
      </c>
      <c r="AD949">
        <f>IF(U949="","MISSING_TOTAL",IF(ABS(AB949)&lt;=0.01,"OK","CHECK"))</f>
        <v/>
      </c>
      <c r="AE949">
        <f>IF(U949="","MISSING",IF(AND(AA949&gt;0,U949/AA949&gt;50),"POSSIBLE_SCALE_ERROR","OK"))</f>
        <v/>
      </c>
    </row>
    <row r="950">
      <c r="A950" t="inlineStr">
        <is>
          <t>T-2017-Q4-00046</t>
        </is>
      </c>
      <c r="B950" t="inlineStr">
        <is>
          <t>MPSES</t>
        </is>
      </c>
      <c r="C950" t="inlineStr">
        <is>
          <t>Minister</t>
        </is>
      </c>
      <c r="D950" t="inlineStr">
        <is>
          <t>Ministre</t>
        </is>
      </c>
      <c r="E950" t="inlineStr">
        <is>
          <t>Lawrence MacAulay</t>
        </is>
      </c>
      <c r="F950" t="inlineStr">
        <is>
          <t>To attend the Cabinet Retreat in London, Ontario</t>
        </is>
      </c>
      <c r="G950" t="inlineStr">
        <is>
          <t>Pour assister à la retraite du Cabinet à London, Ontario</t>
        </is>
      </c>
      <c r="H950" s="1" t="n">
        <v>43109</v>
      </c>
      <c r="I950" s="1" t="n">
        <v>43112</v>
      </c>
      <c r="J950" t="inlineStr">
        <is>
          <t>London, Ontario</t>
        </is>
      </c>
      <c r="K950" t="inlineStr">
        <is>
          <t>London, Ontario</t>
        </is>
      </c>
      <c r="P950" t="n">
        <v>913.98</v>
      </c>
      <c r="R950" t="n">
        <v>312.74</v>
      </c>
      <c r="S950" t="n">
        <v>203.7</v>
      </c>
      <c r="U950" t="n">
        <v>1430.42</v>
      </c>
      <c r="V950" t="n">
        <v>1900111299</v>
      </c>
      <c r="X950" t="inlineStr">
        <is>
          <t>aafc-aac</t>
        </is>
      </c>
      <c r="Y950" t="inlineStr">
        <is>
          <t>Agriculture and Agri-Food Canada | Agriculture et Agroalimentaire Canada</t>
        </is>
      </c>
      <c r="Z950" t="n">
        <v>4</v>
      </c>
      <c r="AA950" t="n">
        <v>1430.42</v>
      </c>
      <c r="AB950">
        <f>ROUND(U950-AA950,2)</f>
        <v/>
      </c>
      <c r="AC950" t="b">
        <v>0</v>
      </c>
      <c r="AD950">
        <f>IF(U950="","MISSING_TOTAL",IF(ABS(AB950)&lt;=0.01,"OK","CHECK"))</f>
        <v/>
      </c>
      <c r="AE950">
        <f>IF(U950="","MISSING",IF(AND(AA950&gt;0,U950/AA950&gt;50),"POSSIBLE_SCALE_ERROR","OK"))</f>
        <v/>
      </c>
    </row>
    <row r="951">
      <c r="A951" t="inlineStr">
        <is>
          <t>T-2017-Q4-00047</t>
        </is>
      </c>
      <c r="B951" t="inlineStr">
        <is>
          <t>MPSES</t>
        </is>
      </c>
      <c r="C951" t="inlineStr">
        <is>
          <t>Minister</t>
        </is>
      </c>
      <c r="D951" t="inlineStr">
        <is>
          <t>Ministre</t>
        </is>
      </c>
      <c r="E951" t="inlineStr">
        <is>
          <t>Lawrence MacAulay</t>
        </is>
      </c>
      <c r="F951" t="inlineStr">
        <is>
          <t>For a Southwest Ontario Outreach which included an Organics Announcement in Guelph and a roundtable with Stakeholder Producer Groups in Kitchener</t>
        </is>
      </c>
      <c r="G951" t="inlineStr">
        <is>
          <t>Pour une campagne de sensibilisation dans le Sud-Ouest de l'Ontario qui comprenait une annonce sur les produits biologiques à Guelph et une table ronde avec des groupes de producteurs intéressés à Kitchener</t>
        </is>
      </c>
      <c r="H951" s="1" t="n">
        <v>43125</v>
      </c>
      <c r="I951" s="1" t="n">
        <v>43126</v>
      </c>
      <c r="J951" t="inlineStr">
        <is>
          <t>Guelph, Ontario</t>
        </is>
      </c>
      <c r="K951" t="inlineStr">
        <is>
          <t>Guelph, Ontario</t>
        </is>
      </c>
      <c r="P951" t="n">
        <v>1173.98</v>
      </c>
      <c r="Q951" t="n">
        <v>26.77</v>
      </c>
      <c r="R951" t="n">
        <v>157.07</v>
      </c>
      <c r="S951" t="n">
        <v>119.95</v>
      </c>
      <c r="U951" t="n">
        <v>1477.77</v>
      </c>
      <c r="V951" t="n">
        <v>1900114131</v>
      </c>
      <c r="X951" t="inlineStr">
        <is>
          <t>aafc-aac</t>
        </is>
      </c>
      <c r="Y951" t="inlineStr">
        <is>
          <t>Agriculture and Agri-Food Canada | Agriculture et Agroalimentaire Canada</t>
        </is>
      </c>
      <c r="Z951" t="n">
        <v>2</v>
      </c>
      <c r="AA951" t="n">
        <v>1477.77</v>
      </c>
      <c r="AB951">
        <f>ROUND(U951-AA951,2)</f>
        <v/>
      </c>
      <c r="AC951" t="b">
        <v>0</v>
      </c>
      <c r="AD951">
        <f>IF(U951="","MISSING_TOTAL",IF(ABS(AB951)&lt;=0.01,"OK","CHECK"))</f>
        <v/>
      </c>
      <c r="AE951">
        <f>IF(U951="","MISSING",IF(AND(AA951&gt;0,U951/AA951&gt;50),"POSSIBLE_SCALE_ERROR","OK"))</f>
        <v/>
      </c>
    </row>
    <row r="952">
      <c r="A952" t="inlineStr">
        <is>
          <t>T-2017-Q4-00048</t>
        </is>
      </c>
      <c r="B952" t="inlineStr">
        <is>
          <t>MPSES</t>
        </is>
      </c>
      <c r="C952" t="inlineStr">
        <is>
          <t>Minister</t>
        </is>
      </c>
      <c r="D952" t="inlineStr">
        <is>
          <t>Ministre</t>
        </is>
      </c>
      <c r="E952" t="inlineStr">
        <is>
          <t>Lawrence MacAulay</t>
        </is>
      </c>
      <c r="F952" t="inlineStr">
        <is>
          <t>Saskatchewan Outreach; Media Interviews, participate in Pulse Roundtable and Announcements at 2018 Winter Regional Pulse Meeting</t>
        </is>
      </c>
      <c r="G952" t="inlineStr">
        <is>
          <t>Sensibilisation de la Saskatchewan; Entrevues avec les médias, participation à la table ronde Pulse et annonces à la réunion régionale d'hiver de 2018</t>
        </is>
      </c>
      <c r="H952" s="1" t="n">
        <v>43135</v>
      </c>
      <c r="I952" s="1" t="n">
        <v>43136</v>
      </c>
      <c r="J952" t="inlineStr">
        <is>
          <t>Regina,  Saskatchewan</t>
        </is>
      </c>
      <c r="K952" t="inlineStr">
        <is>
          <t>Regina,  Saskatchewan</t>
        </is>
      </c>
      <c r="P952" t="n">
        <v>1909</v>
      </c>
      <c r="R952" t="n">
        <v>158.92</v>
      </c>
      <c r="S952" t="n">
        <v>119.95</v>
      </c>
      <c r="U952" t="n">
        <v>2187.87</v>
      </c>
      <c r="V952" t="n">
        <v>1900114130</v>
      </c>
      <c r="X952" t="inlineStr">
        <is>
          <t>aafc-aac</t>
        </is>
      </c>
      <c r="Y952" t="inlineStr">
        <is>
          <t>Agriculture and Agri-Food Canada | Agriculture et Agroalimentaire Canada</t>
        </is>
      </c>
      <c r="Z952" t="n">
        <v>2</v>
      </c>
      <c r="AA952" t="n">
        <v>2187.87</v>
      </c>
      <c r="AB952">
        <f>ROUND(U952-AA952,2)</f>
        <v/>
      </c>
      <c r="AC952" t="b">
        <v>0</v>
      </c>
      <c r="AD952">
        <f>IF(U952="","MISSING_TOTAL",IF(ABS(AB952)&lt;=0.01,"OK","CHECK"))</f>
        <v/>
      </c>
      <c r="AE952">
        <f>IF(U952="","MISSING",IF(AND(AA952&gt;0,U952/AA952&gt;50),"POSSIBLE_SCALE_ERROR","OK"))</f>
        <v/>
      </c>
    </row>
    <row r="953">
      <c r="A953" t="inlineStr">
        <is>
          <t>T-2017-Q4-00049</t>
        </is>
      </c>
      <c r="B953" t="inlineStr">
        <is>
          <t>MPSES</t>
        </is>
      </c>
      <c r="C953" t="inlineStr">
        <is>
          <t>Minister</t>
        </is>
      </c>
      <c r="D953" t="inlineStr">
        <is>
          <t>Ministre</t>
        </is>
      </c>
      <c r="E953" t="inlineStr">
        <is>
          <t>Lawrence MacAulay</t>
        </is>
      </c>
      <c r="F953" t="inlineStr">
        <is>
          <t>To attend the Atlantic Growth Strategy Leadership Committee Meeting in Moncton and the Ministerial Mission to Sacramento, California</t>
        </is>
      </c>
      <c r="G953" t="inlineStr">
        <is>
          <t>Assister à la réunion du Comité de leadership de la Stratégie de croissance de l'Atlantique à Moncton et à la mission ministérielle à Sacramento, en Californie</t>
        </is>
      </c>
      <c r="H953" s="1" t="n">
        <v>43150</v>
      </c>
      <c r="I953" s="1" t="n">
        <v>43154</v>
      </c>
      <c r="J953" t="inlineStr">
        <is>
          <t>Moncton, New Brunswick and Sacramento, California</t>
        </is>
      </c>
      <c r="K953" t="inlineStr">
        <is>
          <t>Moncton, Nouveau-Brunswick et Sacramento, Californie</t>
        </is>
      </c>
      <c r="P953" t="n">
        <v>1982.18</v>
      </c>
      <c r="Q953" t="n">
        <v>169.15</v>
      </c>
      <c r="R953" t="n">
        <v>1145.15</v>
      </c>
      <c r="S953" t="n">
        <v>576.3099999999999</v>
      </c>
      <c r="U953" t="n">
        <v>3872.79</v>
      </c>
      <c r="V953" t="n">
        <v>1900116916</v>
      </c>
      <c r="X953" t="inlineStr">
        <is>
          <t>aafc-aac</t>
        </is>
      </c>
      <c r="Y953" t="inlineStr">
        <is>
          <t>Agriculture and Agri-Food Canada | Agriculture et Agroalimentaire Canada</t>
        </is>
      </c>
      <c r="Z953" t="n">
        <v>5</v>
      </c>
      <c r="AA953" t="n">
        <v>3872.79</v>
      </c>
      <c r="AB953">
        <f>ROUND(U953-AA953,2)</f>
        <v/>
      </c>
      <c r="AC953" t="b">
        <v>0</v>
      </c>
      <c r="AD953">
        <f>IF(U953="","MISSING_TOTAL",IF(ABS(AB953)&lt;=0.01,"OK","CHECK"))</f>
        <v/>
      </c>
      <c r="AE953">
        <f>IF(U953="","MISSING",IF(AND(AA953&gt;0,U953/AA953&gt;50),"POSSIBLE_SCALE_ERROR","OK"))</f>
        <v/>
      </c>
    </row>
    <row r="954">
      <c r="A954" t="inlineStr">
        <is>
          <t>T-2017-Q4-00050</t>
        </is>
      </c>
      <c r="B954" t="inlineStr">
        <is>
          <t>MPSES</t>
        </is>
      </c>
      <c r="C954" t="inlineStr">
        <is>
          <t>Chief of Staff</t>
        </is>
      </c>
      <c r="D954" t="inlineStr">
        <is>
          <t>Chef de cabinet</t>
        </is>
      </c>
      <c r="E954" t="inlineStr">
        <is>
          <t>Mary Jean McFall</t>
        </is>
      </c>
      <c r="F954" t="inlineStr">
        <is>
          <t>To support the Minister at the Alimentaria Food  Show in Mexico City</t>
        </is>
      </c>
      <c r="G954" t="inlineStr">
        <is>
          <t>Soutenir le ministre au salon de l'alimentation Alimentaria à Mexico</t>
        </is>
      </c>
      <c r="H954" s="1" t="n">
        <v>43075</v>
      </c>
      <c r="I954" s="1" t="n">
        <v>43078</v>
      </c>
      <c r="J954" t="inlineStr">
        <is>
          <t>Mexico, Mexico</t>
        </is>
      </c>
      <c r="K954" t="inlineStr">
        <is>
          <t>Mexico, Mexique</t>
        </is>
      </c>
      <c r="P954" t="n">
        <v>1815.5</v>
      </c>
      <c r="R954" t="n">
        <v>929.47</v>
      </c>
      <c r="S954" t="n">
        <v>480.25</v>
      </c>
      <c r="U954" t="n">
        <v>3225.22</v>
      </c>
      <c r="V954" t="n">
        <v>1900103177</v>
      </c>
      <c r="X954" t="inlineStr">
        <is>
          <t>aafc-aac</t>
        </is>
      </c>
      <c r="Y954" t="inlineStr">
        <is>
          <t>Agriculture and Agri-Food Canada | Agriculture et Agroalimentaire Canada</t>
        </is>
      </c>
      <c r="Z954" t="n">
        <v>4</v>
      </c>
      <c r="AA954" t="n">
        <v>3225.22</v>
      </c>
      <c r="AB954">
        <f>ROUND(U954-AA954,2)</f>
        <v/>
      </c>
      <c r="AC954" t="b">
        <v>0</v>
      </c>
      <c r="AD954">
        <f>IF(U954="","MISSING_TOTAL",IF(ABS(AB954)&lt;=0.01,"OK","CHECK"))</f>
        <v/>
      </c>
      <c r="AE954">
        <f>IF(U954="","MISSING",IF(AND(AA954&gt;0,U954/AA954&gt;50),"POSSIBLE_SCALE_ERROR","OK"))</f>
        <v/>
      </c>
    </row>
    <row r="955">
      <c r="A955" t="inlineStr">
        <is>
          <t>T-2017-Q4-00051</t>
        </is>
      </c>
      <c r="B955" t="inlineStr">
        <is>
          <t>MPSES</t>
        </is>
      </c>
      <c r="C955" t="inlineStr">
        <is>
          <t>Chief of Staff</t>
        </is>
      </c>
      <c r="D955" t="inlineStr">
        <is>
          <t>Chef de cabinet</t>
        </is>
      </c>
      <c r="E955" t="inlineStr">
        <is>
          <t>Mary Jean McFall</t>
        </is>
      </c>
      <c r="F955" t="inlineStr">
        <is>
          <t>To support the Minister for the Federal/Provincial/Territorial call with Ministers in Charlottetown and in London to support the Minister at the Cabinet Retreat</t>
        </is>
      </c>
      <c r="G955" t="inlineStr">
        <is>
          <t>Appuyer le ministre dans le cadre de l'appel fédéral / provincial / territorial avec les ministres à Charlottetown et à London pour appuyer le ministre lors de la retraite du Cabinet</t>
        </is>
      </c>
      <c r="H955" s="1" t="n">
        <v>43108</v>
      </c>
      <c r="I955" s="1" t="n">
        <v>43113</v>
      </c>
      <c r="J955" t="inlineStr">
        <is>
          <t>Charlottetown, Prince Edward Island; Halifax, Nova Scotia et London, Ontario</t>
        </is>
      </c>
      <c r="K955" t="inlineStr">
        <is>
          <t>Charlottetown, Île-du-Prince-Édouard; Halifax, Nouvelle-Écosse et London, Ontario</t>
        </is>
      </c>
      <c r="P955" t="n">
        <v>1666.09</v>
      </c>
      <c r="Q955" t="n">
        <v>123.46</v>
      </c>
      <c r="R955" t="n">
        <v>628.71</v>
      </c>
      <c r="S955" t="n">
        <v>473.65</v>
      </c>
      <c r="U955" t="n">
        <v>2891.91</v>
      </c>
      <c r="V955" t="n">
        <v>1900116307</v>
      </c>
      <c r="X955" t="inlineStr">
        <is>
          <t>aafc-aac</t>
        </is>
      </c>
      <c r="Y955" t="inlineStr">
        <is>
          <t>Agriculture and Agri-Food Canada | Agriculture et Agroalimentaire Canada</t>
        </is>
      </c>
      <c r="Z955" t="n">
        <v>6</v>
      </c>
      <c r="AA955" t="n">
        <v>2891.91</v>
      </c>
      <c r="AB955">
        <f>ROUND(U955-AA955,2)</f>
        <v/>
      </c>
      <c r="AC955" t="b">
        <v>0</v>
      </c>
      <c r="AD955">
        <f>IF(U955="","MISSING_TOTAL",IF(ABS(AB955)&lt;=0.01,"OK","CHECK"))</f>
        <v/>
      </c>
      <c r="AE955">
        <f>IF(U955="","MISSING",IF(AND(AA955&gt;0,U955/AA955&gt;50),"POSSIBLE_SCALE_ERROR","OK"))</f>
        <v/>
      </c>
    </row>
    <row r="956">
      <c r="A956" t="inlineStr">
        <is>
          <t>T-2017-Q4-00052</t>
        </is>
      </c>
      <c r="B956" t="inlineStr">
        <is>
          <t>MPSES</t>
        </is>
      </c>
      <c r="C956" t="inlineStr">
        <is>
          <t>Chief of Staff</t>
        </is>
      </c>
      <c r="D956" t="inlineStr">
        <is>
          <t>Chef de cabinet</t>
        </is>
      </c>
      <c r="E956" t="inlineStr">
        <is>
          <t>Mary Jean McFall</t>
        </is>
      </c>
      <c r="F956" t="inlineStr">
        <is>
          <t>To accompany the Minister on Ministerial Mission to Sacramento, California</t>
        </is>
      </c>
      <c r="G956" t="inlineStr">
        <is>
          <t>Accompagner le ministre à une mission ministérielle à Sacramento, en Californie</t>
        </is>
      </c>
      <c r="H956" s="1" t="n">
        <v>43151</v>
      </c>
      <c r="I956" s="1" t="n">
        <v>43154</v>
      </c>
      <c r="J956" t="inlineStr">
        <is>
          <t>Sacramento, California</t>
        </is>
      </c>
      <c r="K956" t="inlineStr">
        <is>
          <t>Sacramento, Californie</t>
        </is>
      </c>
      <c r="P956" t="n">
        <v>1401.89</v>
      </c>
      <c r="Q956" t="n">
        <v>50.17</v>
      </c>
      <c r="R956" t="n">
        <v>1002.55</v>
      </c>
      <c r="S956" t="n">
        <v>390.11</v>
      </c>
      <c r="U956" t="n">
        <v>2844.72</v>
      </c>
      <c r="V956" t="n">
        <v>1900116915</v>
      </c>
      <c r="X956" t="inlineStr">
        <is>
          <t>aafc-aac</t>
        </is>
      </c>
      <c r="Y956" t="inlineStr">
        <is>
          <t>Agriculture and Agri-Food Canada | Agriculture et Agroalimentaire Canada</t>
        </is>
      </c>
      <c r="Z956" t="n">
        <v>4</v>
      </c>
      <c r="AA956" t="n">
        <v>2844.72</v>
      </c>
      <c r="AB956">
        <f>ROUND(U956-AA956,2)</f>
        <v/>
      </c>
      <c r="AC956" t="b">
        <v>0</v>
      </c>
      <c r="AD956">
        <f>IF(U956="","MISSING_TOTAL",IF(ABS(AB956)&lt;=0.01,"OK","CHECK"))</f>
        <v/>
      </c>
      <c r="AE956">
        <f>IF(U956="","MISSING",IF(AND(AA956&gt;0,U956/AA956&gt;50),"POSSIBLE_SCALE_ERROR","OK"))</f>
        <v/>
      </c>
    </row>
    <row r="957">
      <c r="A957" t="inlineStr">
        <is>
          <t>T-2017-Q4-00053</t>
        </is>
      </c>
      <c r="B957" t="inlineStr">
        <is>
          <t>MPSES</t>
        </is>
      </c>
      <c r="C957" t="inlineStr">
        <is>
          <t>Director of Parliamentary Affairs</t>
        </is>
      </c>
      <c r="D957" t="inlineStr">
        <is>
          <t>Directeur des affaires parlementaires</t>
        </is>
      </c>
      <c r="E957" t="inlineStr">
        <is>
          <t>Matthew Mann</t>
        </is>
      </c>
      <c r="F957" t="inlineStr">
        <is>
          <t>To accompany the Minister to the American Farm Bureau Federation Annual Convention Nashville</t>
        </is>
      </c>
      <c r="G957" t="inlineStr">
        <is>
          <t>Accompagner le ministre à la convention annuelle de l'American Farm Bureau Federation à Nashville</t>
        </is>
      </c>
      <c r="H957" s="1" t="n">
        <v>43104</v>
      </c>
      <c r="I957" s="1" t="n">
        <v>43110</v>
      </c>
      <c r="J957" t="inlineStr">
        <is>
          <t>Nashville, Tennessee</t>
        </is>
      </c>
      <c r="K957" t="inlineStr">
        <is>
          <t>Nashville, Tennessee</t>
        </is>
      </c>
      <c r="P957" t="n">
        <v>489.6</v>
      </c>
      <c r="Q957" t="n">
        <v>87.06999999999999</v>
      </c>
      <c r="R957" t="n">
        <v>1096.93</v>
      </c>
      <c r="S957" t="n">
        <v>485.3</v>
      </c>
      <c r="U957" t="n">
        <v>2158.9</v>
      </c>
      <c r="V957" t="n">
        <v>1900111966</v>
      </c>
      <c r="X957" t="inlineStr">
        <is>
          <t>aafc-aac</t>
        </is>
      </c>
      <c r="Y957" t="inlineStr">
        <is>
          <t>Agriculture and Agri-Food Canada | Agriculture et Agroalimentaire Canada</t>
        </is>
      </c>
      <c r="Z957" t="n">
        <v>7</v>
      </c>
      <c r="AA957" t="n">
        <v>2158.9</v>
      </c>
      <c r="AB957">
        <f>ROUND(U957-AA957,2)</f>
        <v/>
      </c>
      <c r="AC957" t="b">
        <v>0</v>
      </c>
      <c r="AD957">
        <f>IF(U957="","MISSING_TOTAL",IF(ABS(AB957)&lt;=0.01,"OK","CHECK"))</f>
        <v/>
      </c>
      <c r="AE957">
        <f>IF(U957="","MISSING",IF(AND(AA957&gt;0,U957/AA957&gt;50),"POSSIBLE_SCALE_ERROR","OK"))</f>
        <v/>
      </c>
    </row>
    <row r="958">
      <c r="A958" t="inlineStr">
        <is>
          <t>T-2017-Q4-00054</t>
        </is>
      </c>
      <c r="B958" t="inlineStr">
        <is>
          <t>MPSES</t>
        </is>
      </c>
      <c r="C958" t="inlineStr">
        <is>
          <t>Parliamentary Secretary Assistant</t>
        </is>
      </c>
      <c r="D958" t="inlineStr">
        <is>
          <t>Adjoint du Secrétaire parlementaire</t>
        </is>
      </c>
      <c r="E958" t="inlineStr">
        <is>
          <t>Michel-Antoine Renaud</t>
        </is>
      </c>
      <c r="F958" t="inlineStr">
        <is>
          <t>To accompany the Parliamentary Secretary to a greenhouse visit and Fierte Agricole in Drummondville</t>
        </is>
      </c>
      <c r="G958" t="inlineStr">
        <is>
          <t>Accompagner le secrétaire parlementaire à une visite à effet de serre et le Fierte Agricole à Drummondville</t>
        </is>
      </c>
      <c r="H958" s="1" t="n">
        <v>43145</v>
      </c>
      <c r="I958" s="1" t="n">
        <v>43145</v>
      </c>
      <c r="J958" t="inlineStr">
        <is>
          <t>Drummondville, Quebec</t>
        </is>
      </c>
      <c r="K958" t="inlineStr">
        <is>
          <t>Drummondville, Québec</t>
        </is>
      </c>
      <c r="Q958" t="n">
        <v>92.09999999999999</v>
      </c>
      <c r="S958" t="n">
        <v>66.45</v>
      </c>
      <c r="U958" t="n">
        <v>158.55</v>
      </c>
      <c r="V958" t="n">
        <v>1900116894</v>
      </c>
      <c r="X958" t="inlineStr">
        <is>
          <t>aafc-aac</t>
        </is>
      </c>
      <c r="Y958" t="inlineStr">
        <is>
          <t>Agriculture and Agri-Food Canada | Agriculture et Agroalimentaire Canada</t>
        </is>
      </c>
      <c r="Z958" t="n">
        <v>1</v>
      </c>
      <c r="AA958" t="n">
        <v>158.55</v>
      </c>
      <c r="AB958">
        <f>ROUND(U958-AA958,2)</f>
        <v/>
      </c>
      <c r="AC958" t="b">
        <v>0</v>
      </c>
      <c r="AD958">
        <f>IF(U958="","MISSING_TOTAL",IF(ABS(AB958)&lt;=0.01,"OK","CHECK"))</f>
        <v/>
      </c>
      <c r="AE958">
        <f>IF(U958="","MISSING",IF(AND(AA958&gt;0,U958/AA958&gt;50),"POSSIBLE_SCALE_ERROR","OK"))</f>
        <v/>
      </c>
    </row>
    <row r="959">
      <c r="A959" t="inlineStr">
        <is>
          <t>T-2017-Q4-00055</t>
        </is>
      </c>
      <c r="B959" t="inlineStr">
        <is>
          <t>MPSES</t>
        </is>
      </c>
      <c r="C959" t="inlineStr">
        <is>
          <t>Parliamentary Secretary Assistant</t>
        </is>
      </c>
      <c r="D959" t="inlineStr">
        <is>
          <t>Adjoint du Secrétaire parlementaire</t>
        </is>
      </c>
      <c r="E959" t="inlineStr">
        <is>
          <t>Michel-Antoine Renaud</t>
        </is>
      </c>
      <c r="F959" t="inlineStr">
        <is>
          <t>To accompany the Parliamentary Secretary to the annual general meeting of La Coop Fédérée</t>
        </is>
      </c>
      <c r="G959" t="inlineStr">
        <is>
          <t>Accompagner le secrétaire parlementaire à l'assemblée générale annuelle de la Coop fédérée</t>
        </is>
      </c>
      <c r="H959" s="1" t="n">
        <v>43152</v>
      </c>
      <c r="I959" s="1" t="n">
        <v>43153</v>
      </c>
      <c r="J959" t="inlineStr">
        <is>
          <t>Montreal, Quebec</t>
        </is>
      </c>
      <c r="K959" t="inlineStr">
        <is>
          <t>Montréal, Québec</t>
        </is>
      </c>
      <c r="Q959" t="n">
        <v>212.92</v>
      </c>
      <c r="R959" t="n">
        <v>196.35</v>
      </c>
      <c r="S959" t="n">
        <v>205.3</v>
      </c>
      <c r="U959" t="n">
        <v>614.5700000000001</v>
      </c>
      <c r="X959" t="inlineStr">
        <is>
          <t>aafc-aac</t>
        </is>
      </c>
      <c r="Y959" t="inlineStr">
        <is>
          <t>Agriculture and Agri-Food Canada | Agriculture et Agroalimentaire Canada</t>
        </is>
      </c>
      <c r="Z959" t="n">
        <v>2</v>
      </c>
      <c r="AA959" t="n">
        <v>614.569999999999</v>
      </c>
      <c r="AB959">
        <f>ROUND(U959-AA959,2)</f>
        <v/>
      </c>
      <c r="AC959" t="b">
        <v>0</v>
      </c>
      <c r="AD959">
        <f>IF(U959="","MISSING_TOTAL",IF(ABS(AB959)&lt;=0.01,"OK","CHECK"))</f>
        <v/>
      </c>
      <c r="AE959">
        <f>IF(U959="","MISSING",IF(AND(AA959&gt;0,U959/AA959&gt;50),"POSSIBLE_SCALE_ERROR","OK"))</f>
        <v/>
      </c>
    </row>
    <row r="960">
      <c r="A960" t="inlineStr">
        <is>
          <t>T-2017-Q4-00057</t>
        </is>
      </c>
      <c r="B960" t="inlineStr">
        <is>
          <t>MPSES</t>
        </is>
      </c>
      <c r="C960" t="inlineStr">
        <is>
          <t>Communications Advisor</t>
        </is>
      </c>
      <c r="D960" t="inlineStr">
        <is>
          <t>Conseiller en communications</t>
        </is>
      </c>
      <c r="E960" t="inlineStr">
        <is>
          <t>Oliver Anderson</t>
        </is>
      </c>
      <c r="F960" t="inlineStr">
        <is>
          <t>To accompany the Minister at the Ontario Outreach - Organics announcement and round-table</t>
        </is>
      </c>
      <c r="G960" t="inlineStr">
        <is>
          <t>Accompagner le ministre à la campagne de sensibilisation de l'Ontario - Produits biologiques et table ronde</t>
        </is>
      </c>
      <c r="H960" s="1" t="n">
        <v>43125</v>
      </c>
      <c r="I960" s="1" t="n">
        <v>43126</v>
      </c>
      <c r="J960" t="inlineStr">
        <is>
          <t>Guelph, Ontario</t>
        </is>
      </c>
      <c r="K960" t="inlineStr">
        <is>
          <t>Guelph, Ontario</t>
        </is>
      </c>
      <c r="P960" t="n">
        <v>621.49</v>
      </c>
      <c r="Q960" t="n">
        <v>34.16</v>
      </c>
      <c r="R960" t="n">
        <v>157.07</v>
      </c>
      <c r="S960" t="n">
        <v>119.95</v>
      </c>
      <c r="U960" t="n">
        <v>932.67</v>
      </c>
      <c r="V960" t="n">
        <v>1900116311</v>
      </c>
      <c r="X960" t="inlineStr">
        <is>
          <t>aafc-aac</t>
        </is>
      </c>
      <c r="Y960" t="inlineStr">
        <is>
          <t>Agriculture and Agri-Food Canada | Agriculture et Agroalimentaire Canada</t>
        </is>
      </c>
      <c r="Z960" t="n">
        <v>2</v>
      </c>
      <c r="AA960" t="n">
        <v>932.67</v>
      </c>
      <c r="AB960">
        <f>ROUND(U960-AA960,2)</f>
        <v/>
      </c>
      <c r="AC960" t="b">
        <v>0</v>
      </c>
      <c r="AD960">
        <f>IF(U960="","MISSING_TOTAL",IF(ABS(AB960)&lt;=0.01,"OK","CHECK"))</f>
        <v/>
      </c>
      <c r="AE960">
        <f>IF(U960="","MISSING",IF(AND(AA960&gt;0,U960/AA960&gt;50),"POSSIBLE_SCALE_ERROR","OK"))</f>
        <v/>
      </c>
    </row>
    <row r="961">
      <c r="A961" t="inlineStr">
        <is>
          <t>T-2017-Q4-00058</t>
        </is>
      </c>
      <c r="B961" t="inlineStr">
        <is>
          <t>MPSES</t>
        </is>
      </c>
      <c r="C961" t="inlineStr">
        <is>
          <t>Legislative Assistant, Policy Advisor</t>
        </is>
      </c>
      <c r="D961" t="inlineStr">
        <is>
          <t>Adjoint législatif et Conseiller en politiques</t>
        </is>
      </c>
      <c r="E961" t="inlineStr">
        <is>
          <t>Wallace McLean</t>
        </is>
      </c>
      <c r="F961" t="inlineStr">
        <is>
          <t>To attend the Atlantic Growth Strategy Meeting</t>
        </is>
      </c>
      <c r="G961" t="inlineStr">
        <is>
          <t>Participer à la réunion sur la stratégie de croissance de l'Atlantique</t>
        </is>
      </c>
      <c r="H961" s="1" t="n">
        <v>43126</v>
      </c>
      <c r="I961" s="1" t="n">
        <v>43126</v>
      </c>
      <c r="J961" t="inlineStr">
        <is>
          <t>Halifax, Nova Scotia</t>
        </is>
      </c>
      <c r="K961" t="inlineStr">
        <is>
          <t>Halifax,  Nouvelle-Écosse</t>
        </is>
      </c>
      <c r="P961" t="n">
        <v>881.11</v>
      </c>
      <c r="Q961" t="n">
        <v>117.45</v>
      </c>
      <c r="S961" t="n">
        <v>85.34999999999999</v>
      </c>
      <c r="U961" t="n">
        <v>1083.91</v>
      </c>
      <c r="V961" t="n">
        <v>1900114133</v>
      </c>
      <c r="X961" t="inlineStr">
        <is>
          <t>aafc-aac</t>
        </is>
      </c>
      <c r="Y961" t="inlineStr">
        <is>
          <t>Agriculture and Agri-Food Canada | Agriculture et Agroalimentaire Canada</t>
        </is>
      </c>
      <c r="Z961" t="n">
        <v>1</v>
      </c>
      <c r="AA961" t="n">
        <v>1083.91</v>
      </c>
      <c r="AB961">
        <f>ROUND(U961-AA961,2)</f>
        <v/>
      </c>
      <c r="AC961" t="b">
        <v>0</v>
      </c>
      <c r="AD961">
        <f>IF(U961="","MISSING_TOTAL",IF(ABS(AB961)&lt;=0.01,"OK","CHECK"))</f>
        <v/>
      </c>
      <c r="AE961">
        <f>IF(U961="","MISSING",IF(AND(AA961&gt;0,U961/AA961&gt;50),"POSSIBLE_SCALE_ERROR","OK"))</f>
        <v/>
      </c>
    </row>
    <row r="962">
      <c r="A962" t="inlineStr">
        <is>
          <t>T-2017-Q4-00059</t>
        </is>
      </c>
      <c r="B962" t="inlineStr">
        <is>
          <t>MPSES</t>
        </is>
      </c>
      <c r="C962" t="inlineStr">
        <is>
          <t>Policy Advisor</t>
        </is>
      </c>
      <c r="D962" t="inlineStr">
        <is>
          <t>Conseillère en politiques</t>
        </is>
      </c>
      <c r="E962" t="inlineStr">
        <is>
          <t>Alison Porter</t>
        </is>
      </c>
      <c r="F962" t="inlineStr">
        <is>
          <t>Roundtable on Comprehensive and Progressive Agreement for Trans-Pacific Partnership with Agriculture Stakeholders</t>
        </is>
      </c>
      <c r="G962" t="inlineStr">
        <is>
          <t>Table ronde sur l'Accord de Partenariat transpacifique global et progressiste avec les intervenants du secteur agricole</t>
        </is>
      </c>
      <c r="H962" s="1" t="n">
        <v>43125</v>
      </c>
      <c r="I962" s="1" t="n">
        <v>43125</v>
      </c>
      <c r="J962" t="inlineStr">
        <is>
          <t>Montreal, Quebec</t>
        </is>
      </c>
      <c r="K962" t="inlineStr">
        <is>
          <t>Montréal, Québec</t>
        </is>
      </c>
      <c r="Q962" t="n">
        <v>121.69</v>
      </c>
      <c r="S962" t="n">
        <v>36.2</v>
      </c>
      <c r="U962" t="n">
        <v>157.89</v>
      </c>
      <c r="V962" t="n">
        <v>1900114135</v>
      </c>
      <c r="X962" t="inlineStr">
        <is>
          <t>aafc-aac</t>
        </is>
      </c>
      <c r="Y962" t="inlineStr">
        <is>
          <t>Agriculture and Agri-Food Canada | Agriculture et Agroalimentaire Canada</t>
        </is>
      </c>
      <c r="Z962" t="n">
        <v>1</v>
      </c>
      <c r="AA962" t="n">
        <v>157.89</v>
      </c>
      <c r="AB962">
        <f>ROUND(U962-AA962,2)</f>
        <v/>
      </c>
      <c r="AC962" t="b">
        <v>0</v>
      </c>
      <c r="AD962">
        <f>IF(U962="","MISSING_TOTAL",IF(ABS(AB962)&lt;=0.01,"OK","CHECK"))</f>
        <v/>
      </c>
      <c r="AE962">
        <f>IF(U962="","MISSING",IF(AND(AA962&gt;0,U962/AA962&gt;50),"POSSIBLE_SCALE_ERROR","OK"))</f>
        <v/>
      </c>
    </row>
    <row r="963">
      <c r="A963" t="inlineStr">
        <is>
          <t>T-2017-Q4-00060</t>
        </is>
      </c>
      <c r="B963" t="inlineStr">
        <is>
          <t>SLE</t>
        </is>
      </c>
      <c r="C963" t="inlineStr">
        <is>
          <t>Associate Deputy Minister</t>
        </is>
      </c>
      <c r="D963" t="inlineStr">
        <is>
          <t>Sous-ministre déléguée</t>
        </is>
      </c>
      <c r="E963" t="inlineStr">
        <is>
          <t>Nada Semaan</t>
        </is>
      </c>
      <c r="F963" t="inlineStr">
        <is>
          <t>Director Education Program Course (Module III ) (DEP)</t>
        </is>
      </c>
      <c r="G963" t="inlineStr">
        <is>
          <t>Directeur du programme de formation (Module III) (DEP)</t>
        </is>
      </c>
      <c r="H963" s="1" t="n">
        <v>43072</v>
      </c>
      <c r="I963" s="1" t="n">
        <v>43075</v>
      </c>
      <c r="J963" t="inlineStr">
        <is>
          <t>Toronto, Ontario</t>
        </is>
      </c>
      <c r="K963" t="inlineStr">
        <is>
          <t>Toronto, Ontario</t>
        </is>
      </c>
      <c r="P963" t="n">
        <v>446.63</v>
      </c>
      <c r="Q963" t="n">
        <v>23.32</v>
      </c>
      <c r="R963" t="n">
        <v>901.38</v>
      </c>
      <c r="S963" t="n">
        <v>241.3</v>
      </c>
      <c r="U963" t="n">
        <v>1612.63</v>
      </c>
      <c r="X963" t="inlineStr">
        <is>
          <t>aafc-aac</t>
        </is>
      </c>
      <c r="Y963" t="inlineStr">
        <is>
          <t>Agriculture and Agri-Food Canada | Agriculture et Agroalimentaire Canada</t>
        </is>
      </c>
      <c r="Z963" t="n">
        <v>4</v>
      </c>
      <c r="AA963" t="n">
        <v>1612.62999999999</v>
      </c>
      <c r="AB963">
        <f>ROUND(U963-AA963,2)</f>
        <v/>
      </c>
      <c r="AC963" t="b">
        <v>0</v>
      </c>
      <c r="AD963">
        <f>IF(U963="","MISSING_TOTAL",IF(ABS(AB963)&lt;=0.01,"OK","CHECK"))</f>
        <v/>
      </c>
      <c r="AE963">
        <f>IF(U963="","MISSING",IF(AND(AA963&gt;0,U963/AA963&gt;50),"POSSIBLE_SCALE_ERROR","OK"))</f>
        <v/>
      </c>
    </row>
    <row r="964">
      <c r="A964" t="inlineStr">
        <is>
          <t>T-2017-Q4-00061</t>
        </is>
      </c>
      <c r="B964" t="inlineStr">
        <is>
          <t>SLE</t>
        </is>
      </c>
      <c r="C964" t="inlineStr">
        <is>
          <t>Associate Deputy Minister</t>
        </is>
      </c>
      <c r="D964" t="inlineStr">
        <is>
          <t>Sous-ministre déléguée</t>
        </is>
      </c>
      <c r="E964" t="inlineStr">
        <is>
          <t>Nada Semaan</t>
        </is>
      </c>
      <c r="F964" t="inlineStr">
        <is>
          <t>Director Education Program Course (DEP)</t>
        </is>
      </c>
      <c r="G964" t="inlineStr">
        <is>
          <t>Directeur du programme de formation (DEP)</t>
        </is>
      </c>
      <c r="H964" s="1" t="n">
        <v>43139</v>
      </c>
      <c r="I964" s="1" t="n">
        <v>43142</v>
      </c>
      <c r="J964" t="inlineStr">
        <is>
          <t>Toronto, Ontario</t>
        </is>
      </c>
      <c r="K964" t="inlineStr">
        <is>
          <t>Toronto, Ontario</t>
        </is>
      </c>
      <c r="P964" t="n">
        <v>274.56</v>
      </c>
      <c r="Q964" t="n">
        <v>61</v>
      </c>
      <c r="R964" t="n">
        <v>901.38</v>
      </c>
      <c r="S964" t="n">
        <v>182.8</v>
      </c>
      <c r="U964" t="n">
        <v>1419.74</v>
      </c>
      <c r="X964" t="inlineStr">
        <is>
          <t>aafc-aac</t>
        </is>
      </c>
      <c r="Y964" t="inlineStr">
        <is>
          <t>Agriculture and Agri-Food Canada | Agriculture et Agroalimentaire Canada</t>
        </is>
      </c>
      <c r="Z964" t="n">
        <v>4</v>
      </c>
      <c r="AA964" t="n">
        <v>1419.74</v>
      </c>
      <c r="AB964">
        <f>ROUND(U964-AA964,2)</f>
        <v/>
      </c>
      <c r="AC964" t="b">
        <v>0</v>
      </c>
      <c r="AD964">
        <f>IF(U964="","MISSING_TOTAL",IF(ABS(AB964)&lt;=0.01,"OK","CHECK"))</f>
        <v/>
      </c>
      <c r="AE964">
        <f>IF(U964="","MISSING",IF(AND(AA964&gt;0,U964/AA964&gt;50),"POSSIBLE_SCALE_ERROR","OK"))</f>
        <v/>
      </c>
    </row>
    <row r="965">
      <c r="A965" t="inlineStr">
        <is>
          <t>T-2017-Q4-00040</t>
        </is>
      </c>
      <c r="B965" t="inlineStr">
        <is>
          <t>MPSES</t>
        </is>
      </c>
      <c r="C965" t="inlineStr">
        <is>
          <t>Director of Communications</t>
        </is>
      </c>
      <c r="D965" t="inlineStr">
        <is>
          <t>Directeur des communications</t>
        </is>
      </c>
      <c r="E965" t="inlineStr">
        <is>
          <t>Guy Gallant</t>
        </is>
      </c>
      <c r="F965" t="inlineStr">
        <is>
          <t>To accompany the Minister to the American Farm Bureau Federation Annual Convention in Nashville, Tenessee</t>
        </is>
      </c>
      <c r="G965" t="inlineStr">
        <is>
          <t>Accompagner le ministre à la convention annuelle de la Fédération américaine du Bureau de l'Agriculture à Nashville, Tennessee</t>
        </is>
      </c>
      <c r="H965" s="1" t="n">
        <v>43104</v>
      </c>
      <c r="I965" s="1" t="n">
        <v>43109</v>
      </c>
      <c r="J965" t="inlineStr">
        <is>
          <t>Nashville, Tennessee</t>
        </is>
      </c>
      <c r="K965" t="inlineStr">
        <is>
          <t>Nashville, Tennessee</t>
        </is>
      </c>
      <c r="P965" t="n">
        <v>531.6</v>
      </c>
      <c r="Q965" t="n">
        <v>74.45</v>
      </c>
      <c r="R965" t="n">
        <v>1096.93</v>
      </c>
      <c r="S965" t="n">
        <v>485.3</v>
      </c>
      <c r="U965" t="n">
        <v>2188.28</v>
      </c>
      <c r="V965" t="n">
        <v>1900111970</v>
      </c>
      <c r="X965" t="inlineStr">
        <is>
          <t>aafc-aac</t>
        </is>
      </c>
      <c r="Y965" t="inlineStr">
        <is>
          <t>Agriculture and Agri-Food Canada | Agriculture et Agroalimentaire Canada</t>
        </is>
      </c>
      <c r="Z965" t="n">
        <v>6</v>
      </c>
      <c r="AA965" t="n">
        <v>2188.28</v>
      </c>
      <c r="AB965">
        <f>ROUND(U965-AA965,2)</f>
        <v/>
      </c>
      <c r="AC965" t="b">
        <v>0</v>
      </c>
      <c r="AD965">
        <f>IF(U965="","MISSING_TOTAL",IF(ABS(AB965)&lt;=0.01,"OK","CHECK"))</f>
        <v/>
      </c>
      <c r="AE965">
        <f>IF(U965="","MISSING",IF(AND(AA965&gt;0,U965/AA965&gt;50),"POSSIBLE_SCALE_ERROR","OK"))</f>
        <v/>
      </c>
    </row>
    <row r="966">
      <c r="A966" t="inlineStr">
        <is>
          <t>T-2018-Q1-00002</t>
        </is>
      </c>
      <c r="B966" t="inlineStr">
        <is>
          <t>MPSES</t>
        </is>
      </c>
      <c r="C966" t="inlineStr">
        <is>
          <t>Minister</t>
        </is>
      </c>
      <c r="D966" t="inlineStr">
        <is>
          <t>Ministre</t>
        </is>
      </c>
      <c r="E966" t="inlineStr">
        <is>
          <t>Lawrence MacAulay</t>
        </is>
      </c>
      <c r="F966" t="inlineStr">
        <is>
          <t>Ministerial Mission to Boston Seafood Expo North America</t>
        </is>
      </c>
      <c r="G966" t="inlineStr">
        <is>
          <t>Mission ministérielle au Boston Seafood Expo North America</t>
        </is>
      </c>
      <c r="H966" s="1" t="n">
        <v>43170</v>
      </c>
      <c r="I966" s="1" t="n">
        <v>43171</v>
      </c>
      <c r="J966" t="inlineStr">
        <is>
          <t>Boston, Massachusetts</t>
        </is>
      </c>
      <c r="K966" t="inlineStr">
        <is>
          <t>Boston, Massachusetts</t>
        </is>
      </c>
      <c r="P966" t="n">
        <v>804.23</v>
      </c>
      <c r="Q966" t="n">
        <v>0</v>
      </c>
      <c r="R966" t="n">
        <v>293.14</v>
      </c>
      <c r="S966" t="n">
        <v>215.33</v>
      </c>
      <c r="T966" t="n">
        <v>0</v>
      </c>
      <c r="U966" t="n">
        <v>1312.7</v>
      </c>
      <c r="V966" t="n">
        <v>1900121268</v>
      </c>
      <c r="X966" t="inlineStr">
        <is>
          <t>aafc-aac</t>
        </is>
      </c>
      <c r="Y966" t="inlineStr">
        <is>
          <t>Agriculture and Agri-Food Canada | Agriculture et Agroalimentaire Canada</t>
        </is>
      </c>
      <c r="Z966" t="n">
        <v>2</v>
      </c>
      <c r="AA966" t="n">
        <v>1312.69999999999</v>
      </c>
      <c r="AB966">
        <f>ROUND(U966-AA966,2)</f>
        <v/>
      </c>
      <c r="AC966" t="b">
        <v>0</v>
      </c>
      <c r="AD966">
        <f>IF(U966="","MISSING_TOTAL",IF(ABS(AB966)&lt;=0.01,"OK","CHECK"))</f>
        <v/>
      </c>
      <c r="AE966">
        <f>IF(U966="","MISSING",IF(AND(AA966&gt;0,U966/AA966&gt;50),"POSSIBLE_SCALE_ERROR","OK"))</f>
        <v/>
      </c>
    </row>
    <row r="967">
      <c r="A967" t="inlineStr">
        <is>
          <t>T-2017-Q3-00057</t>
        </is>
      </c>
      <c r="B967" t="inlineStr">
        <is>
          <t>MPSES</t>
        </is>
      </c>
      <c r="C967" t="inlineStr">
        <is>
          <t>Minister</t>
        </is>
      </c>
      <c r="D967" t="inlineStr">
        <is>
          <t>Ministre</t>
        </is>
      </c>
      <c r="E967" t="inlineStr">
        <is>
          <t>Lawrence MacAulay</t>
        </is>
      </c>
      <c r="F967" t="inlineStr">
        <is>
          <t>Swearing-in of the new Commissioner of the Northwest Territories</t>
        </is>
      </c>
      <c r="G967" t="inlineStr">
        <is>
          <t>Assermentation du nouveau commissaire des Territoires du Nord-Ouest</t>
        </is>
      </c>
      <c r="H967" s="1" t="n">
        <v>42995</v>
      </c>
      <c r="I967" s="1" t="n">
        <v>42997</v>
      </c>
      <c r="J967" t="inlineStr">
        <is>
          <t>Yellowknife, Northwest Territories</t>
        </is>
      </c>
      <c r="K967" t="inlineStr">
        <is>
          <t>Yellowknife, Territoires du Nord-Ouest</t>
        </is>
      </c>
      <c r="P967" t="n">
        <v>3442.73</v>
      </c>
      <c r="R967" t="n">
        <v>323.01</v>
      </c>
      <c r="S967" t="n">
        <v>216.55</v>
      </c>
      <c r="U967" t="n">
        <v>3982.29</v>
      </c>
      <c r="V967" t="n">
        <v>1900079991</v>
      </c>
      <c r="X967" t="inlineStr">
        <is>
          <t>aafc-aac</t>
        </is>
      </c>
      <c r="Y967" t="inlineStr">
        <is>
          <t>Agriculture and Agri-Food Canada | Agriculture et Agroalimentaire Canada</t>
        </is>
      </c>
      <c r="Z967" t="n">
        <v>3</v>
      </c>
      <c r="AA967" t="n">
        <v>3982.29</v>
      </c>
      <c r="AB967">
        <f>ROUND(U967-AA967,2)</f>
        <v/>
      </c>
      <c r="AC967" t="b">
        <v>0</v>
      </c>
      <c r="AD967">
        <f>IF(U967="","MISSING_TOTAL",IF(ABS(AB967)&lt;=0.01,"OK","CHECK"))</f>
        <v/>
      </c>
      <c r="AE967">
        <f>IF(U967="","MISSING",IF(AND(AA967&gt;0,U967/AA967&gt;50),"POSSIBLE_SCALE_ERROR","OK"))</f>
        <v/>
      </c>
    </row>
    <row r="968">
      <c r="A968" t="inlineStr">
        <is>
          <t>T-2017-Q3-00063</t>
        </is>
      </c>
      <c r="B968" t="inlineStr">
        <is>
          <t>MPSES</t>
        </is>
      </c>
      <c r="C968" t="inlineStr">
        <is>
          <t>Director of Communications</t>
        </is>
      </c>
      <c r="D968" t="inlineStr">
        <is>
          <t>Directeur des communications</t>
        </is>
      </c>
      <c r="E968" t="inlineStr">
        <is>
          <t>Guy Gallant</t>
        </is>
      </c>
      <c r="F968" t="inlineStr">
        <is>
          <t>To accompany the Minister to the swearing-in of the new Commissioner of the Northwest Territories</t>
        </is>
      </c>
      <c r="G968" t="inlineStr">
        <is>
          <t>Pour accompagner le ministre à l'assermentation du nouveau commissaire des Territoires du Nord-Ouest</t>
        </is>
      </c>
      <c r="H968" s="1" t="n">
        <v>42995</v>
      </c>
      <c r="I968" s="1" t="n">
        <v>42997</v>
      </c>
      <c r="J968" t="inlineStr">
        <is>
          <t>Yellowknife, Northwest Territories</t>
        </is>
      </c>
      <c r="K968" t="inlineStr">
        <is>
          <t>Yellowknife, Territoires du Nord-Ouest</t>
        </is>
      </c>
      <c r="P968" t="n">
        <v>3332.48</v>
      </c>
      <c r="Q968" t="n">
        <v>105.57</v>
      </c>
      <c r="R968" t="n">
        <v>323.01</v>
      </c>
      <c r="S968" t="n">
        <v>243.15</v>
      </c>
      <c r="U968" t="n">
        <v>4004.21</v>
      </c>
      <c r="V968" t="n">
        <v>1900079994</v>
      </c>
      <c r="X968" t="inlineStr">
        <is>
          <t>aafc-aac</t>
        </is>
      </c>
      <c r="Y968" t="inlineStr">
        <is>
          <t>Agriculture and Agri-Food Canada | Agriculture et Agroalimentaire Canada</t>
        </is>
      </c>
      <c r="Z968" t="n">
        <v>3</v>
      </c>
      <c r="AA968" t="n">
        <v>4004.21</v>
      </c>
      <c r="AB968">
        <f>ROUND(U968-AA968,2)</f>
        <v/>
      </c>
      <c r="AC968" t="b">
        <v>0</v>
      </c>
      <c r="AD968">
        <f>IF(U968="","MISSING_TOTAL",IF(ABS(AB968)&lt;=0.01,"OK","CHECK"))</f>
        <v/>
      </c>
      <c r="AE968">
        <f>IF(U968="","MISSING",IF(AND(AA968&gt;0,U968/AA968&gt;50),"POSSIBLE_SCALE_ERROR","OK"))</f>
        <v/>
      </c>
    </row>
    <row r="969">
      <c r="A969" t="inlineStr">
        <is>
          <t>T-2017-Q1-00077</t>
        </is>
      </c>
      <c r="B969" t="inlineStr">
        <is>
          <t>MPSES</t>
        </is>
      </c>
      <c r="C969" t="inlineStr">
        <is>
          <t>Policy Advisor</t>
        </is>
      </c>
      <c r="D969" t="inlineStr">
        <is>
          <t>Conseillère en politiques</t>
        </is>
      </c>
      <c r="E969" t="inlineStr">
        <is>
          <t>Alison Porter</t>
        </is>
      </c>
      <c r="F969" t="inlineStr">
        <is>
          <t>To accompany the Minister to launch the Government's Consultation on a Food Policy for Canada</t>
        </is>
      </c>
      <c r="G969" t="inlineStr">
        <is>
          <t>Pour accompagner le ministre pour lancer la Consultation du gouvernement sur une politique alimentaire pour le Canada</t>
        </is>
      </c>
      <c r="H969" s="1" t="n">
        <v>42883</v>
      </c>
      <c r="I969" s="1" t="n">
        <v>42884</v>
      </c>
      <c r="J969" t="inlineStr">
        <is>
          <t>Toronto, Ontario</t>
        </is>
      </c>
      <c r="K969" t="inlineStr">
        <is>
          <t>Toronto, Ontario</t>
        </is>
      </c>
      <c r="P969" t="n">
        <v>551.72</v>
      </c>
      <c r="R969" t="n">
        <v>230.84</v>
      </c>
      <c r="S969" t="n">
        <v>115.75</v>
      </c>
      <c r="U969" t="n">
        <v>898.3099999999999</v>
      </c>
      <c r="V969" t="n">
        <v>1900019907</v>
      </c>
      <c r="X969" t="inlineStr">
        <is>
          <t>aafc-aac</t>
        </is>
      </c>
      <c r="Y969" t="inlineStr">
        <is>
          <t>Agriculture and Agri-Food Canada | Agriculture et Agroalimentaire Canada</t>
        </is>
      </c>
      <c r="Z969" t="n">
        <v>2</v>
      </c>
      <c r="AA969" t="n">
        <v>898.3099999999999</v>
      </c>
      <c r="AB969">
        <f>ROUND(U969-AA969,2)</f>
        <v/>
      </c>
      <c r="AC969" t="b">
        <v>0</v>
      </c>
      <c r="AD969">
        <f>IF(U969="","MISSING_TOTAL",IF(ABS(AB969)&lt;=0.01,"OK","CHECK"))</f>
        <v/>
      </c>
      <c r="AE969">
        <f>IF(U969="","MISSING",IF(AND(AA969&gt;0,U969/AA969&gt;50),"POSSIBLE_SCALE_ERROR","OK"))</f>
        <v/>
      </c>
    </row>
    <row r="970">
      <c r="A970" t="inlineStr">
        <is>
          <t>T-2017-Q1-00078</t>
        </is>
      </c>
      <c r="B970" t="inlineStr">
        <is>
          <t>MPSES</t>
        </is>
      </c>
      <c r="C970" t="inlineStr">
        <is>
          <t>Policy Advisor</t>
        </is>
      </c>
      <c r="D970" t="inlineStr">
        <is>
          <t>Conseillère en politiques</t>
        </is>
      </c>
      <c r="E970" t="inlineStr">
        <is>
          <t>Abed Harb</t>
        </is>
      </c>
      <c r="F970" t="inlineStr">
        <is>
          <t>To accompany the Minister on an outreach to Alberta where he took part in a Grain Industry Roundtable on Transportation, a round-table with Beef sector Stakeholders and local media Interviews</t>
        </is>
      </c>
      <c r="G970" t="inlineStr">
        <is>
          <t>Pour accompagner le ministre lors d'une conférence auprès de l'Alberta, il a participé à une table ronde sur les transports du secteur des grains, une table ronde avec les intervenants du secteur du boeuf et les entrevues avec les médias locaux</t>
        </is>
      </c>
      <c r="H970" s="1" t="n">
        <v>42879</v>
      </c>
      <c r="I970" s="1" t="n">
        <v>42887</v>
      </c>
      <c r="J970" t="inlineStr">
        <is>
          <t>Calgary, Alberta</t>
        </is>
      </c>
      <c r="K970" t="inlineStr">
        <is>
          <t>Calgary, Alberta</t>
        </is>
      </c>
      <c r="P970" t="n">
        <v>1556.23</v>
      </c>
      <c r="Q970" t="n">
        <v>73.31999999999999</v>
      </c>
      <c r="R970" t="n">
        <v>446.44</v>
      </c>
      <c r="S970" t="n">
        <v>161.7</v>
      </c>
      <c r="U970" t="n">
        <v>2237.69</v>
      </c>
      <c r="V970" t="n">
        <v>1900019969</v>
      </c>
      <c r="X970" t="inlineStr">
        <is>
          <t>aafc-aac</t>
        </is>
      </c>
      <c r="Y970" t="inlineStr">
        <is>
          <t>Agriculture and Agri-Food Canada | Agriculture et Agroalimentaire Canada</t>
        </is>
      </c>
      <c r="Z970" t="n">
        <v>9</v>
      </c>
      <c r="AA970" t="n">
        <v>2237.68999999999</v>
      </c>
      <c r="AB970">
        <f>ROUND(U970-AA970,2)</f>
        <v/>
      </c>
      <c r="AC970" t="b">
        <v>0</v>
      </c>
      <c r="AD970">
        <f>IF(U970="","MISSING_TOTAL",IF(ABS(AB970)&lt;=0.01,"OK","CHECK"))</f>
        <v/>
      </c>
      <c r="AE970">
        <f>IF(U970="","MISSING",IF(AND(AA970&gt;0,U970/AA970&gt;50),"POSSIBLE_SCALE_ERROR","OK"))</f>
        <v/>
      </c>
    </row>
    <row r="971">
      <c r="A971" t="inlineStr">
        <is>
          <t>T-2018-Q2-00004</t>
        </is>
      </c>
      <c r="B971" t="inlineStr">
        <is>
          <t>MPSES</t>
        </is>
      </c>
      <c r="C971" t="inlineStr">
        <is>
          <t>Minister</t>
        </is>
      </c>
      <c r="D971" t="inlineStr">
        <is>
          <t>Ministre</t>
        </is>
      </c>
      <c r="E971" t="inlineStr">
        <is>
          <t>Lawrence MacAulay</t>
        </is>
      </c>
      <c r="F971" t="inlineStr">
        <is>
          <t>To attend G20 Agriculture Ministerial Meetings and outreach to Latin America</t>
        </is>
      </c>
      <c r="G971" t="inlineStr">
        <is>
          <t>Assister aux réunions ministérielles sur l'agriculture du G20 et à la sensibilisation en Amérique latine</t>
        </is>
      </c>
      <c r="H971" s="1" t="n">
        <v>43306</v>
      </c>
      <c r="I971" s="1" t="n">
        <v>43316</v>
      </c>
      <c r="J971" t="inlineStr">
        <is>
          <t>Buenos Aires Argentina, and Santiago Chile</t>
        </is>
      </c>
      <c r="K971" t="inlineStr">
        <is>
          <t>Buenos Aires Argentine et Santiago Chili</t>
        </is>
      </c>
      <c r="P971" t="n">
        <v>6280.57</v>
      </c>
      <c r="Q971" t="n">
        <v>25.39</v>
      </c>
      <c r="R971" t="n">
        <v>2536.03</v>
      </c>
      <c r="S971" t="n">
        <v>758.78</v>
      </c>
      <c r="T971" t="n">
        <v>0</v>
      </c>
      <c r="U971" t="n">
        <v>9600.77</v>
      </c>
      <c r="X971" t="inlineStr">
        <is>
          <t>aafc-aac</t>
        </is>
      </c>
      <c r="Y971" t="inlineStr">
        <is>
          <t>Agriculture and Agri-Food Canada | Agriculture et Agroalimentaire Canada</t>
        </is>
      </c>
      <c r="Z971" t="n">
        <v>11</v>
      </c>
      <c r="AA971" t="n">
        <v>9600.77</v>
      </c>
      <c r="AB971">
        <f>ROUND(U971-AA971,2)</f>
        <v/>
      </c>
      <c r="AC971" t="b">
        <v>0</v>
      </c>
      <c r="AD971">
        <f>IF(U971="","MISSING_TOTAL",IF(ABS(AB971)&lt;=0.01,"OK","CHECK"))</f>
        <v/>
      </c>
      <c r="AE971">
        <f>IF(U971="","MISSING",IF(AND(AA971&gt;0,U971/AA971&gt;50),"POSSIBLE_SCALE_ERROR","OK"))</f>
        <v/>
      </c>
    </row>
    <row r="972">
      <c r="A972" t="inlineStr">
        <is>
          <t>T-2018-Q2-00005</t>
        </is>
      </c>
      <c r="B972" t="inlineStr">
        <is>
          <t>MPSES</t>
        </is>
      </c>
      <c r="C972" t="inlineStr">
        <is>
          <t>Minister</t>
        </is>
      </c>
      <c r="D972" t="inlineStr">
        <is>
          <t>Ministre</t>
        </is>
      </c>
      <c r="E972" t="inlineStr">
        <is>
          <t>Lawrence MacAulay</t>
        </is>
      </c>
      <c r="F972" t="inlineStr">
        <is>
          <t>Attend the Cabinet retreat and for announcements</t>
        </is>
      </c>
      <c r="G972" t="inlineStr">
        <is>
          <t>Assister à la retraite du Cabinet et aux annonces</t>
        </is>
      </c>
      <c r="H972" s="1" t="n">
        <v>43333</v>
      </c>
      <c r="I972" s="1" t="n">
        <v>43337</v>
      </c>
      <c r="J972" t="inlineStr">
        <is>
          <t>Vancouver and Nanaimo, British Columbia</t>
        </is>
      </c>
      <c r="K972" t="inlineStr">
        <is>
          <t>Vancouver et Nanaimo, Colombie-Britannique</t>
        </is>
      </c>
      <c r="P972" t="n">
        <v>2609.99</v>
      </c>
      <c r="Q972" t="n">
        <v>212.85</v>
      </c>
      <c r="R972" t="n">
        <v>727.01</v>
      </c>
      <c r="S972" t="n">
        <v>414.75</v>
      </c>
      <c r="T972" t="n">
        <v>0</v>
      </c>
      <c r="U972" t="n">
        <v>3964.6</v>
      </c>
      <c r="X972" t="inlineStr">
        <is>
          <t>aafc-aac</t>
        </is>
      </c>
      <c r="Y972" t="inlineStr">
        <is>
          <t>Agriculture and Agri-Food Canada | Agriculture et Agroalimentaire Canada</t>
        </is>
      </c>
      <c r="Z972" t="n">
        <v>5</v>
      </c>
      <c r="AA972" t="n">
        <v>3964.59999999999</v>
      </c>
      <c r="AB972">
        <f>ROUND(U972-AA972,2)</f>
        <v/>
      </c>
      <c r="AC972" t="b">
        <v>0</v>
      </c>
      <c r="AD972">
        <f>IF(U972="","MISSING_TOTAL",IF(ABS(AB972)&lt;=0.01,"OK","CHECK"))</f>
        <v/>
      </c>
      <c r="AE972">
        <f>IF(U972="","MISSING",IF(AND(AA972&gt;0,U972/AA972&gt;50),"POSSIBLE_SCALE_ERROR","OK"))</f>
        <v/>
      </c>
    </row>
    <row r="973">
      <c r="A973" t="inlineStr">
        <is>
          <t>T-2018-Q2-00006</t>
        </is>
      </c>
      <c r="B973" t="inlineStr">
        <is>
          <t>MPSES</t>
        </is>
      </c>
      <c r="C973" t="inlineStr">
        <is>
          <t>Chief of Staff</t>
        </is>
      </c>
      <c r="D973" t="inlineStr">
        <is>
          <t>Chef de cabinet</t>
        </is>
      </c>
      <c r="E973" t="inlineStr">
        <is>
          <t>Mary Jean McFall</t>
        </is>
      </c>
      <c r="F973" t="inlineStr">
        <is>
          <t>To support the Minister with the official visit of the United States Secretary of Agriculture</t>
        </is>
      </c>
      <c r="G973" t="inlineStr">
        <is>
          <t>Soutenir le ministre lors de la visite officielle du secrétaire américain à l'agriculture</t>
        </is>
      </c>
      <c r="H973" s="1" t="n">
        <v>43264</v>
      </c>
      <c r="I973" s="1" t="n">
        <v>43267</v>
      </c>
      <c r="J973" t="inlineStr">
        <is>
          <t>Charlottetown, Prince Edward Island</t>
        </is>
      </c>
      <c r="K973" t="inlineStr">
        <is>
          <t>Charlottetown, Île-du-Prince-Édouard</t>
        </is>
      </c>
      <c r="P973" t="n">
        <v>817.67</v>
      </c>
      <c r="Q973" t="n">
        <v>300.51</v>
      </c>
      <c r="R973" t="n">
        <v>557.75</v>
      </c>
      <c r="S973" t="n">
        <v>243.05</v>
      </c>
      <c r="T973" t="n">
        <v>0</v>
      </c>
      <c r="U973" t="n">
        <v>1918.98</v>
      </c>
      <c r="X973" t="inlineStr">
        <is>
          <t>aafc-aac</t>
        </is>
      </c>
      <c r="Y973" t="inlineStr">
        <is>
          <t>Agriculture and Agri-Food Canada | Agriculture et Agroalimentaire Canada</t>
        </is>
      </c>
      <c r="Z973" t="n">
        <v>4</v>
      </c>
      <c r="AA973" t="n">
        <v>1918.97999999999</v>
      </c>
      <c r="AB973">
        <f>ROUND(U973-AA973,2)</f>
        <v/>
      </c>
      <c r="AC973" t="b">
        <v>0</v>
      </c>
      <c r="AD973">
        <f>IF(U973="","MISSING_TOTAL",IF(ABS(AB973)&lt;=0.01,"OK","CHECK"))</f>
        <v/>
      </c>
      <c r="AE973">
        <f>IF(U973="","MISSING",IF(AND(AA973&gt;0,U973/AA973&gt;50),"POSSIBLE_SCALE_ERROR","OK"))</f>
        <v/>
      </c>
    </row>
    <row r="974">
      <c r="A974" t="inlineStr">
        <is>
          <t>T-2018-Q1-00041</t>
        </is>
      </c>
      <c r="B974" t="inlineStr">
        <is>
          <t>SLE</t>
        </is>
      </c>
      <c r="C974" t="inlineStr">
        <is>
          <t>Deputy Minister</t>
        </is>
      </c>
      <c r="D974" t="inlineStr">
        <is>
          <t>Sous-Ministre</t>
        </is>
      </c>
      <c r="E974" t="inlineStr">
        <is>
          <t>Chris Forbes</t>
        </is>
      </c>
      <c r="F974" t="inlineStr">
        <is>
          <t>Agri-Food Economic Strategy Table meeting</t>
        </is>
      </c>
      <c r="G974" t="inlineStr">
        <is>
          <t>Tables sectorielles de stratégies économiques - Table sur l'agroalimentaire</t>
        </is>
      </c>
      <c r="H974" s="1" t="n">
        <v>43222</v>
      </c>
      <c r="I974" s="1" t="n">
        <v>43223</v>
      </c>
      <c r="J974" t="inlineStr">
        <is>
          <t>Toronto, Ontario</t>
        </is>
      </c>
      <c r="K974" t="inlineStr">
        <is>
          <t>Toronto, Onatrio</t>
        </is>
      </c>
      <c r="P974" t="n">
        <v>924.5700000000001</v>
      </c>
      <c r="Q974" t="n">
        <v>0</v>
      </c>
      <c r="R974" t="n">
        <v>186.86</v>
      </c>
      <c r="S974" t="n">
        <v>48.15</v>
      </c>
      <c r="T974" t="n">
        <v>0</v>
      </c>
      <c r="U974" t="n">
        <v>1159.58</v>
      </c>
      <c r="X974" t="inlineStr">
        <is>
          <t>aafc-aac</t>
        </is>
      </c>
      <c r="Y974" t="inlineStr">
        <is>
          <t>Agriculture and Agri-Food Canada | Agriculture et Agroalimentaire Canada</t>
        </is>
      </c>
      <c r="Z974" t="n">
        <v>2</v>
      </c>
      <c r="AA974" t="n">
        <v>1159.58</v>
      </c>
      <c r="AB974">
        <f>ROUND(U974-AA974,2)</f>
        <v/>
      </c>
      <c r="AC974" t="b">
        <v>0</v>
      </c>
      <c r="AD974">
        <f>IF(U974="","MISSING_TOTAL",IF(ABS(AB974)&lt;=0.01,"OK","CHECK"))</f>
        <v/>
      </c>
      <c r="AE974">
        <f>IF(U974="","MISSING",IF(AND(AA974&gt;0,U974/AA974&gt;50),"POSSIBLE_SCALE_ERROR","OK"))</f>
        <v/>
      </c>
    </row>
    <row r="975">
      <c r="A975" t="inlineStr">
        <is>
          <t>T-2018-Q1-00042</t>
        </is>
      </c>
      <c r="B975" t="inlineStr">
        <is>
          <t>SLE</t>
        </is>
      </c>
      <c r="C975" t="inlineStr">
        <is>
          <t>Deputy Minister</t>
        </is>
      </c>
      <c r="D975" t="inlineStr">
        <is>
          <t>Sous-Ministre</t>
        </is>
      </c>
      <c r="E975" t="inlineStr">
        <is>
          <t>Chris Forbes</t>
        </is>
      </c>
      <c r="F975" t="inlineStr">
        <is>
          <t>Travel for the  Ministerial Mission to China</t>
        </is>
      </c>
      <c r="G975" t="inlineStr">
        <is>
          <t>Voyage pour la mission ministérielle en Chine</t>
        </is>
      </c>
      <c r="H975" s="1" t="n">
        <v>43232</v>
      </c>
      <c r="I975" s="1" t="n">
        <v>43239</v>
      </c>
      <c r="J975" t="inlineStr">
        <is>
          <t>Shanghai &amp; Hangzhou, China</t>
        </is>
      </c>
      <c r="K975" t="inlineStr">
        <is>
          <t>Shanghai et Hangzhou, Chine</t>
        </is>
      </c>
      <c r="P975" t="n">
        <v>8947.540000000001</v>
      </c>
      <c r="Q975" t="n">
        <v>0</v>
      </c>
      <c r="R975" t="n">
        <v>1505.74</v>
      </c>
      <c r="S975" t="n">
        <v>564.98</v>
      </c>
      <c r="T975" t="n">
        <v>0</v>
      </c>
      <c r="U975" t="n">
        <v>11018.26</v>
      </c>
      <c r="X975" t="inlineStr">
        <is>
          <t>aafc-aac</t>
        </is>
      </c>
      <c r="Y975" t="inlineStr">
        <is>
          <t>Agriculture and Agri-Food Canada | Agriculture et Agroalimentaire Canada</t>
        </is>
      </c>
      <c r="Z975" t="n">
        <v>8</v>
      </c>
      <c r="AA975" t="n">
        <v>11018.26</v>
      </c>
      <c r="AB975">
        <f>ROUND(U975-AA975,2)</f>
        <v/>
      </c>
      <c r="AC975" t="b">
        <v>0</v>
      </c>
      <c r="AD975">
        <f>IF(U975="","MISSING_TOTAL",IF(ABS(AB975)&lt;=0.01,"OK","CHECK"))</f>
        <v/>
      </c>
      <c r="AE975">
        <f>IF(U975="","MISSING",IF(AND(AA975&gt;0,U975/AA975&gt;50),"POSSIBLE_SCALE_ERROR","OK"))</f>
        <v/>
      </c>
    </row>
    <row r="976">
      <c r="A976" t="inlineStr">
        <is>
          <t>T-2018-Q1-00043</t>
        </is>
      </c>
      <c r="B976" t="inlineStr">
        <is>
          <t>SLE</t>
        </is>
      </c>
      <c r="C976" t="inlineStr">
        <is>
          <t>Deputy Minister</t>
        </is>
      </c>
      <c r="D976" t="inlineStr">
        <is>
          <t>Sous-Ministre</t>
        </is>
      </c>
      <c r="E976" t="inlineStr">
        <is>
          <t>Chris Forbes</t>
        </is>
      </c>
      <c r="F976" t="inlineStr">
        <is>
          <t>Federal/Provincial/Territorial Deputy Ministers’ meeting.</t>
        </is>
      </c>
      <c r="G976" t="inlineStr">
        <is>
          <t>Rencontre fédérale-provinciale-territoriale des sous-ministres.</t>
        </is>
      </c>
      <c r="H976" s="1" t="n">
        <v>43243</v>
      </c>
      <c r="I976" s="1" t="n">
        <v>43244</v>
      </c>
      <c r="J976" t="inlineStr">
        <is>
          <t>Montreal, Quebec</t>
        </is>
      </c>
      <c r="K976" t="inlineStr">
        <is>
          <t>Montréal, Québec</t>
        </is>
      </c>
      <c r="P976" t="n">
        <v>0</v>
      </c>
      <c r="Q976" t="n">
        <v>188.71</v>
      </c>
      <c r="R976" t="n">
        <v>236.82</v>
      </c>
      <c r="S976" t="n">
        <v>67.59999999999999</v>
      </c>
      <c r="T976" t="n">
        <v>0</v>
      </c>
      <c r="U976" t="n">
        <v>493.13</v>
      </c>
      <c r="X976" t="inlineStr">
        <is>
          <t>aafc-aac</t>
        </is>
      </c>
      <c r="Y976" t="inlineStr">
        <is>
          <t>Agriculture and Agri-Food Canada | Agriculture et Agroalimentaire Canada</t>
        </is>
      </c>
      <c r="Z976" t="n">
        <v>2</v>
      </c>
      <c r="AA976" t="n">
        <v>493.13</v>
      </c>
      <c r="AB976">
        <f>ROUND(U976-AA976,2)</f>
        <v/>
      </c>
      <c r="AC976" t="b">
        <v>0</v>
      </c>
      <c r="AD976">
        <f>IF(U976="","MISSING_TOTAL",IF(ABS(AB976)&lt;=0.01,"OK","CHECK"))</f>
        <v/>
      </c>
      <c r="AE976">
        <f>IF(U976="","MISSING",IF(AND(AA976&gt;0,U976/AA976&gt;50),"POSSIBLE_SCALE_ERROR","OK"))</f>
        <v/>
      </c>
    </row>
    <row r="977">
      <c r="A977" t="inlineStr">
        <is>
          <t>T-2018-Q1-00045</t>
        </is>
      </c>
      <c r="B977" t="inlineStr">
        <is>
          <t>SLE</t>
        </is>
      </c>
      <c r="C977" t="inlineStr">
        <is>
          <t>Assistant deputy minister,Corporate Management Branch</t>
        </is>
      </c>
      <c r="D977" t="inlineStr">
        <is>
          <t>Sous-ministre adjoint, Direction Générale de la gestion intégrée</t>
        </is>
      </c>
      <c r="E977" t="inlineStr">
        <is>
          <t>Pierre Corriveau</t>
        </is>
      </c>
      <c r="F977" t="inlineStr">
        <is>
          <t>Keynote Speaker at Canada School of Public Service event and Staff meetings</t>
        </is>
      </c>
      <c r="G977" t="inlineStr">
        <is>
          <t>conférencier d'honneur pour évenement de l'ecole de la fonction publique et réunion d'employés</t>
        </is>
      </c>
      <c r="H977" s="1" t="n">
        <v>43172</v>
      </c>
      <c r="I977" s="1" t="n">
        <v>43178</v>
      </c>
      <c r="J977" t="inlineStr">
        <is>
          <t>Vancouver, British Columbia  Agassiz, British Columbia</t>
        </is>
      </c>
      <c r="K977" t="inlineStr">
        <is>
          <t>Vancouver, Colombie Britanique  Agassiz, Colombie Britanique</t>
        </is>
      </c>
      <c r="P977" t="n">
        <v>1011.49</v>
      </c>
      <c r="Q977" t="n">
        <v>188.25</v>
      </c>
      <c r="R977" t="n">
        <v>507.7</v>
      </c>
      <c r="S977" t="n">
        <v>372.6</v>
      </c>
      <c r="U977" t="n">
        <v>2080.04</v>
      </c>
      <c r="V977" t="inlineStr">
        <is>
          <t>AJD339579   AJD329480</t>
        </is>
      </c>
      <c r="X977" t="inlineStr">
        <is>
          <t>aafc-aac</t>
        </is>
      </c>
      <c r="Y977" t="inlineStr">
        <is>
          <t>Agriculture and Agri-Food Canada | Agriculture et Agroalimentaire Canada</t>
        </is>
      </c>
      <c r="Z977" t="n">
        <v>7</v>
      </c>
      <c r="AA977" t="n">
        <v>2080.04</v>
      </c>
      <c r="AB977">
        <f>ROUND(U977-AA977,2)</f>
        <v/>
      </c>
      <c r="AC977" t="b">
        <v>0</v>
      </c>
      <c r="AD977">
        <f>IF(U977="","MISSING_TOTAL",IF(ABS(AB977)&lt;=0.01,"OK","CHECK"))</f>
        <v/>
      </c>
      <c r="AE977">
        <f>IF(U977="","MISSING",IF(AND(AA977&gt;0,U977/AA977&gt;50),"POSSIBLE_SCALE_ERROR","OK"))</f>
        <v/>
      </c>
    </row>
    <row r="978">
      <c r="A978" t="inlineStr">
        <is>
          <t>T-2018-Q1-00046</t>
        </is>
      </c>
      <c r="B978" t="inlineStr">
        <is>
          <t>SLE</t>
        </is>
      </c>
      <c r="C978" t="inlineStr">
        <is>
          <t>Assistant deputy minister,Corporate Management Branch</t>
        </is>
      </c>
      <c r="D978" t="inlineStr">
        <is>
          <t>Sous-ministre adjoint, Direction Générale de la gestion intégrée</t>
        </is>
      </c>
      <c r="E978" t="inlineStr">
        <is>
          <t>Pierre Corriveau</t>
        </is>
      </c>
      <c r="F978" t="inlineStr">
        <is>
          <t>Quebec Regional Management Committee Meeting and Staff meeting</t>
        </is>
      </c>
      <c r="G978" t="inlineStr">
        <is>
          <t>Réunion du Comité de gestion de la région du Quebec et réunion d'employés</t>
        </is>
      </c>
      <c r="H978" s="1" t="n">
        <v>43228</v>
      </c>
      <c r="I978" s="1" t="n">
        <v>43229</v>
      </c>
      <c r="J978" t="inlineStr">
        <is>
          <t>St-Hyacinthe, Quebec</t>
        </is>
      </c>
      <c r="K978" t="inlineStr">
        <is>
          <t>St-Hyacinthe, Quebec</t>
        </is>
      </c>
      <c r="Q978" t="n">
        <v>346.72</v>
      </c>
      <c r="R978" t="n">
        <v>164.93</v>
      </c>
      <c r="S978" t="n">
        <v>169.55</v>
      </c>
      <c r="U978" t="n">
        <v>681.2</v>
      </c>
      <c r="V978" t="inlineStr">
        <is>
          <t>AJD343126</t>
        </is>
      </c>
      <c r="X978" t="inlineStr">
        <is>
          <t>aafc-aac</t>
        </is>
      </c>
      <c r="Y978" t="inlineStr">
        <is>
          <t>Agriculture and Agri-Food Canada | Agriculture et Agroalimentaire Canada</t>
        </is>
      </c>
      <c r="Z978" t="n">
        <v>2</v>
      </c>
      <c r="AA978" t="n">
        <v>681.2</v>
      </c>
      <c r="AB978">
        <f>ROUND(U978-AA978,2)</f>
        <v/>
      </c>
      <c r="AC978" t="b">
        <v>0</v>
      </c>
      <c r="AD978">
        <f>IF(U978="","MISSING_TOTAL",IF(ABS(AB978)&lt;=0.01,"OK","CHECK"))</f>
        <v/>
      </c>
      <c r="AE978">
        <f>IF(U978="","MISSING",IF(AND(AA978&gt;0,U978/AA978&gt;50),"POSSIBLE_SCALE_ERROR","OK"))</f>
        <v/>
      </c>
    </row>
    <row r="979">
      <c r="A979" t="inlineStr">
        <is>
          <t>T-2018-Q1-00047</t>
        </is>
      </c>
      <c r="B979" t="inlineStr">
        <is>
          <t>SLE</t>
        </is>
      </c>
      <c r="C979" t="inlineStr">
        <is>
          <t>Assistant deputy minister, Strategic Policy Branch</t>
        </is>
      </c>
      <c r="D979" t="inlineStr">
        <is>
          <t>Sous-ministre adjoint, Direction générale des politiques stratégiques</t>
        </is>
      </c>
      <c r="E979" t="inlineStr">
        <is>
          <t>Tom Rosser</t>
        </is>
      </c>
      <c r="F979" t="inlineStr">
        <is>
          <t>Accompany the Minister at the Boston Seafood Show.</t>
        </is>
      </c>
      <c r="G979" t="inlineStr">
        <is>
          <t>Pour accompagner le ministre au Boston Seafood Show.</t>
        </is>
      </c>
      <c r="H979" s="1" t="n">
        <v>43170</v>
      </c>
      <c r="I979" s="1" t="n">
        <v>43171</v>
      </c>
      <c r="J979" t="inlineStr">
        <is>
          <t>Boston, Massachusetts</t>
        </is>
      </c>
      <c r="K979" t="inlineStr">
        <is>
          <t>Boston, Massachusetts</t>
        </is>
      </c>
      <c r="P979" t="n">
        <v>1432.61</v>
      </c>
      <c r="Q979" t="n">
        <v>115.71</v>
      </c>
      <c r="R979" t="n">
        <v>447.56</v>
      </c>
      <c r="S979" t="n">
        <v>232.07</v>
      </c>
      <c r="U979" t="n">
        <v>2227.95</v>
      </c>
      <c r="V979" t="inlineStr">
        <is>
          <t>AJE611473</t>
        </is>
      </c>
      <c r="X979" t="inlineStr">
        <is>
          <t>aafc-aac</t>
        </is>
      </c>
      <c r="Y979" t="inlineStr">
        <is>
          <t>Agriculture and Agri-Food Canada | Agriculture et Agroalimentaire Canada</t>
        </is>
      </c>
      <c r="Z979" t="n">
        <v>2</v>
      </c>
      <c r="AA979" t="n">
        <v>2227.95</v>
      </c>
      <c r="AB979">
        <f>ROUND(U979-AA979,2)</f>
        <v/>
      </c>
      <c r="AC979" t="b">
        <v>0</v>
      </c>
      <c r="AD979">
        <f>IF(U979="","MISSING_TOTAL",IF(ABS(AB979)&lt;=0.01,"OK","CHECK"))</f>
        <v/>
      </c>
      <c r="AE979">
        <f>IF(U979="","MISSING",IF(AND(AA979&gt;0,U979/AA979&gt;50),"POSSIBLE_SCALE_ERROR","OK"))</f>
        <v/>
      </c>
    </row>
    <row r="980">
      <c r="A980" t="inlineStr">
        <is>
          <t>T-2018-Q1-00062</t>
        </is>
      </c>
      <c r="B980" t="inlineStr">
        <is>
          <t>SLE</t>
        </is>
      </c>
      <c r="C980" t="inlineStr">
        <is>
          <t>Assistant deputy minister, Information Systems Branch</t>
        </is>
      </c>
      <c r="D980" t="inlineStr">
        <is>
          <t>Sous-ministre adjoint, Direction Générale</t>
        </is>
      </c>
      <c r="E980" t="inlineStr">
        <is>
          <t>Michel Lessard</t>
        </is>
      </c>
      <c r="F980" t="inlineStr">
        <is>
          <t>2018 Council of Chief Information Officers</t>
        </is>
      </c>
      <c r="G980" t="inlineStr">
        <is>
          <t>conseil des directeurs de l'information 2018</t>
        </is>
      </c>
      <c r="H980" s="1" t="n">
        <v>43214</v>
      </c>
      <c r="I980" s="1" t="n">
        <v>43216</v>
      </c>
      <c r="J980" t="inlineStr">
        <is>
          <t>Toronto, Ontario</t>
        </is>
      </c>
      <c r="K980" t="inlineStr">
        <is>
          <t>Toronto, Ontario</t>
        </is>
      </c>
      <c r="P980" t="n">
        <v>345.68</v>
      </c>
      <c r="Q980" t="n">
        <v>46.77</v>
      </c>
      <c r="R980" t="n">
        <v>514.74</v>
      </c>
      <c r="S980" t="n">
        <v>51.9</v>
      </c>
      <c r="U980" t="n">
        <v>959.09</v>
      </c>
      <c r="V980" t="inlineStr">
        <is>
          <t>AJE422975</t>
        </is>
      </c>
      <c r="X980" t="inlineStr">
        <is>
          <t>aafc-aac</t>
        </is>
      </c>
      <c r="Y980" t="inlineStr">
        <is>
          <t>Agriculture and Agri-Food Canada | Agriculture et Agroalimentaire Canada</t>
        </is>
      </c>
      <c r="Z980" t="n">
        <v>3</v>
      </c>
      <c r="AA980" t="n">
        <v>959.09</v>
      </c>
      <c r="AB980">
        <f>ROUND(U980-AA980,2)</f>
        <v/>
      </c>
      <c r="AC980" t="b">
        <v>0</v>
      </c>
      <c r="AD980">
        <f>IF(U980="","MISSING_TOTAL",IF(ABS(AB980)&lt;=0.01,"OK","CHECK"))</f>
        <v/>
      </c>
      <c r="AE980">
        <f>IF(U980="","MISSING",IF(AND(AA980&gt;0,U980/AA980&gt;50),"POSSIBLE_SCALE_ERROR","OK"))</f>
        <v/>
      </c>
    </row>
    <row r="981">
      <c r="A981" t="inlineStr">
        <is>
          <t>T-2018-Q2-00007</t>
        </is>
      </c>
      <c r="B981" t="inlineStr">
        <is>
          <t>MPSES</t>
        </is>
      </c>
      <c r="C981" t="inlineStr">
        <is>
          <t>Chief of Staff</t>
        </is>
      </c>
      <c r="D981" t="inlineStr">
        <is>
          <t>Chef de cabinet</t>
        </is>
      </c>
      <c r="E981" t="inlineStr">
        <is>
          <t>Vincent MacNeil</t>
        </is>
      </c>
      <c r="F981" t="inlineStr">
        <is>
          <t>To support and attend briefings with the Minister</t>
        </is>
      </c>
      <c r="G981" t="inlineStr">
        <is>
          <t>Soutenir et assister à des séances d'information avec le ministre</t>
        </is>
      </c>
      <c r="H981" s="1" t="n">
        <v>43328</v>
      </c>
      <c r="I981" s="1" t="n">
        <v>43329</v>
      </c>
      <c r="J981" t="inlineStr">
        <is>
          <t>Charlottetown, Prince Edward Island</t>
        </is>
      </c>
      <c r="K981" t="inlineStr">
        <is>
          <t>Charlottetown, Île-du-Prince-Édouard</t>
        </is>
      </c>
      <c r="P981" t="n">
        <v>1376.47</v>
      </c>
      <c r="Q981" t="n">
        <v>78.78</v>
      </c>
      <c r="R981" t="n">
        <v>155.25</v>
      </c>
      <c r="S981" t="n">
        <v>208.2</v>
      </c>
      <c r="T981" t="n">
        <v>0</v>
      </c>
      <c r="U981" t="n">
        <v>1818.7</v>
      </c>
      <c r="X981" t="inlineStr">
        <is>
          <t>aafc-aac</t>
        </is>
      </c>
      <c r="Y981" t="inlineStr">
        <is>
          <t>Agriculture and Agri-Food Canada | Agriculture et Agroalimentaire Canada</t>
        </is>
      </c>
      <c r="Z981" t="n">
        <v>2</v>
      </c>
      <c r="AA981" t="n">
        <v>1818.7</v>
      </c>
      <c r="AB981">
        <f>ROUND(U981-AA981,2)</f>
        <v/>
      </c>
      <c r="AC981" t="b">
        <v>0</v>
      </c>
      <c r="AD981">
        <f>IF(U981="","MISSING_TOTAL",IF(ABS(AB981)&lt;=0.01,"OK","CHECK"))</f>
        <v/>
      </c>
      <c r="AE981">
        <f>IF(U981="","MISSING",IF(AND(AA981&gt;0,U981/AA981&gt;50),"POSSIBLE_SCALE_ERROR","OK"))</f>
        <v/>
      </c>
    </row>
    <row r="982">
      <c r="A982" t="inlineStr">
        <is>
          <t>T-2018-Q2-00008</t>
        </is>
      </c>
      <c r="B982" t="inlineStr">
        <is>
          <t>MPSES</t>
        </is>
      </c>
      <c r="C982" t="inlineStr">
        <is>
          <t>Chief of Staff</t>
        </is>
      </c>
      <c r="D982" t="inlineStr">
        <is>
          <t>Chef de cabinet</t>
        </is>
      </c>
      <c r="E982" t="inlineStr">
        <is>
          <t>Vincent MacNeil</t>
        </is>
      </c>
      <c r="F982" t="inlineStr">
        <is>
          <t>To accompany the Minister to the Cabinet retreat and for announcements</t>
        </is>
      </c>
      <c r="G982" t="inlineStr">
        <is>
          <t>Accompagner le ministre à la retraite du Cabinet et aux annonces</t>
        </is>
      </c>
      <c r="H982" s="1" t="n">
        <v>43333</v>
      </c>
      <c r="I982" s="1" t="n">
        <v>43337</v>
      </c>
      <c r="J982" t="inlineStr">
        <is>
          <t>Vancouver and Nanaimo, British Columbia</t>
        </is>
      </c>
      <c r="K982" t="inlineStr">
        <is>
          <t>Vancouver et Nanaimo, Colombie-Britannique</t>
        </is>
      </c>
      <c r="P982" t="n">
        <v>2089.93</v>
      </c>
      <c r="Q982" t="n">
        <v>40.58</v>
      </c>
      <c r="R982" t="n">
        <v>504.9</v>
      </c>
      <c r="S982" t="n">
        <v>378</v>
      </c>
      <c r="T982" t="n">
        <v>0</v>
      </c>
      <c r="U982" t="n">
        <v>3013.41</v>
      </c>
      <c r="X982" t="inlineStr">
        <is>
          <t>aafc-aac</t>
        </is>
      </c>
      <c r="Y982" t="inlineStr">
        <is>
          <t>Agriculture and Agri-Food Canada | Agriculture et Agroalimentaire Canada</t>
        </is>
      </c>
      <c r="Z982" t="n">
        <v>5</v>
      </c>
      <c r="AA982" t="n">
        <v>3013.41</v>
      </c>
      <c r="AB982">
        <f>ROUND(U982-AA982,2)</f>
        <v/>
      </c>
      <c r="AC982" t="b">
        <v>0</v>
      </c>
      <c r="AD982">
        <f>IF(U982="","MISSING_TOTAL",IF(ABS(AB982)&lt;=0.01,"OK","CHECK"))</f>
        <v/>
      </c>
      <c r="AE982">
        <f>IF(U982="","MISSING",IF(AND(AA982&gt;0,U982/AA982&gt;50),"POSSIBLE_SCALE_ERROR","OK"))</f>
        <v/>
      </c>
    </row>
    <row r="983">
      <c r="A983" t="inlineStr">
        <is>
          <t>T-2018-Q2-00009</t>
        </is>
      </c>
      <c r="B983" t="inlineStr">
        <is>
          <t>MPSES</t>
        </is>
      </c>
      <c r="C983" t="inlineStr">
        <is>
          <t>Communications Advisor</t>
        </is>
      </c>
      <c r="D983" t="inlineStr">
        <is>
          <t>Conseiller en communications</t>
        </is>
      </c>
      <c r="E983" t="inlineStr">
        <is>
          <t>Oliver Anderson</t>
        </is>
      </c>
      <c r="F983" t="inlineStr">
        <is>
          <t>To support the Minister for Government announcements</t>
        </is>
      </c>
      <c r="G983" t="inlineStr">
        <is>
          <t>Soutenir le ministre pour les annonces du gouvernement</t>
        </is>
      </c>
      <c r="H983" s="1" t="n">
        <v>43259</v>
      </c>
      <c r="I983" s="1" t="n">
        <v>43259</v>
      </c>
      <c r="J983" t="inlineStr">
        <is>
          <t>Charlottetown, Prince Edward Island</t>
        </is>
      </c>
      <c r="K983" t="inlineStr">
        <is>
          <t>Charlottetown, Île-du-Prince-Édouard</t>
        </is>
      </c>
      <c r="P983" t="n">
        <v>1326.17</v>
      </c>
      <c r="Q983" t="n">
        <v>80.05</v>
      </c>
      <c r="R983" t="n">
        <v>0</v>
      </c>
      <c r="S983" t="n">
        <v>86.8</v>
      </c>
      <c r="T983" t="n">
        <v>0</v>
      </c>
      <c r="U983" t="n">
        <v>1493.02</v>
      </c>
      <c r="X983" t="inlineStr">
        <is>
          <t>aafc-aac</t>
        </is>
      </c>
      <c r="Y983" t="inlineStr">
        <is>
          <t>Agriculture and Agri-Food Canada | Agriculture et Agroalimentaire Canada</t>
        </is>
      </c>
      <c r="Z983" t="n">
        <v>1</v>
      </c>
      <c r="AA983" t="n">
        <v>1493.02</v>
      </c>
      <c r="AB983">
        <f>ROUND(U983-AA983,2)</f>
        <v/>
      </c>
      <c r="AC983" t="b">
        <v>0</v>
      </c>
      <c r="AD983">
        <f>IF(U983="","MISSING_TOTAL",IF(ABS(AB983)&lt;=0.01,"OK","CHECK"))</f>
        <v/>
      </c>
      <c r="AE983">
        <f>IF(U983="","MISSING",IF(AND(AA983&gt;0,U983/AA983&gt;50),"POSSIBLE_SCALE_ERROR","OK"))</f>
        <v/>
      </c>
    </row>
    <row r="984">
      <c r="A984" t="inlineStr">
        <is>
          <t>T-2018-Q2-00010</t>
        </is>
      </c>
      <c r="B984" t="inlineStr">
        <is>
          <t>MPSES</t>
        </is>
      </c>
      <c r="C984" t="inlineStr">
        <is>
          <t>Communications Advisor</t>
        </is>
      </c>
      <c r="D984" t="inlineStr">
        <is>
          <t>Conseiller en communications</t>
        </is>
      </c>
      <c r="E984" t="inlineStr">
        <is>
          <t>Oliver Anderson</t>
        </is>
      </c>
      <c r="F984" t="inlineStr">
        <is>
          <t>To support the Minister for Government announcements</t>
        </is>
      </c>
      <c r="G984" t="inlineStr">
        <is>
          <t>Soutenir le ministre pour les annonces du gouvernement</t>
        </is>
      </c>
      <c r="H984" s="1" t="n">
        <v>43335</v>
      </c>
      <c r="I984" s="1" t="n">
        <v>43336</v>
      </c>
      <c r="J984" t="inlineStr">
        <is>
          <t>Vernon, British Columbia</t>
        </is>
      </c>
      <c r="K984" t="inlineStr">
        <is>
          <t>Vernon, Colombie-Britannique</t>
        </is>
      </c>
      <c r="P984" t="n">
        <v>1697.47</v>
      </c>
      <c r="Q984" t="n">
        <v>49.16</v>
      </c>
      <c r="R984" t="n">
        <v>139.2</v>
      </c>
      <c r="S984" t="n">
        <v>208.2</v>
      </c>
      <c r="T984" t="n">
        <v>0</v>
      </c>
      <c r="U984" t="n">
        <v>2094.03</v>
      </c>
      <c r="X984" t="inlineStr">
        <is>
          <t>aafc-aac</t>
        </is>
      </c>
      <c r="Y984" t="inlineStr">
        <is>
          <t>Agriculture and Agri-Food Canada | Agriculture et Agroalimentaire Canada</t>
        </is>
      </c>
      <c r="Z984" t="n">
        <v>2</v>
      </c>
      <c r="AA984" t="n">
        <v>2094.03</v>
      </c>
      <c r="AB984">
        <f>ROUND(U984-AA984,2)</f>
        <v/>
      </c>
      <c r="AC984" t="b">
        <v>0</v>
      </c>
      <c r="AD984">
        <f>IF(U984="","MISSING_TOTAL",IF(ABS(AB984)&lt;=0.01,"OK","CHECK"))</f>
        <v/>
      </c>
      <c r="AE984">
        <f>IF(U984="","MISSING",IF(AND(AA984&gt;0,U984/AA984&gt;50),"POSSIBLE_SCALE_ERROR","OK"))</f>
        <v/>
      </c>
    </row>
    <row r="985">
      <c r="A985" t="inlineStr">
        <is>
          <t>T-2018-Q2-00011</t>
        </is>
      </c>
      <c r="B985" t="inlineStr">
        <is>
          <t>MPSES</t>
        </is>
      </c>
      <c r="C985" t="inlineStr">
        <is>
          <t>Communications Advisor</t>
        </is>
      </c>
      <c r="D985" t="inlineStr">
        <is>
          <t>Conseiller en communications</t>
        </is>
      </c>
      <c r="E985" t="inlineStr">
        <is>
          <t>Oliver Anderson</t>
        </is>
      </c>
      <c r="F985" t="inlineStr">
        <is>
          <t>To accompany the Minister to the Youth Elite Farmer Gala and Expo Champs</t>
        </is>
      </c>
      <c r="G985" t="inlineStr">
        <is>
          <t>Accompagner le ministre au Gala des Jeunes Élites et à l'Expo Champs</t>
        </is>
      </c>
      <c r="H985" s="1" t="n">
        <v>43339</v>
      </c>
      <c r="I985" s="1" t="n">
        <v>43340</v>
      </c>
      <c r="J985" t="inlineStr">
        <is>
          <t>Bromont, Quebec</t>
        </is>
      </c>
      <c r="K985" t="inlineStr">
        <is>
          <t>Bromont, Québec</t>
        </is>
      </c>
      <c r="P985" t="n">
        <v>0</v>
      </c>
      <c r="Q985" t="n">
        <v>296.16</v>
      </c>
      <c r="R985" t="n">
        <v>135.66</v>
      </c>
      <c r="S985" t="n">
        <v>84.65000000000001</v>
      </c>
      <c r="T985" t="n">
        <v>0</v>
      </c>
      <c r="U985" t="n">
        <v>516.47</v>
      </c>
      <c r="X985" t="inlineStr">
        <is>
          <t>aafc-aac</t>
        </is>
      </c>
      <c r="Y985" t="inlineStr">
        <is>
          <t>Agriculture and Agri-Food Canada | Agriculture et Agroalimentaire Canada</t>
        </is>
      </c>
      <c r="Z985" t="n">
        <v>2</v>
      </c>
      <c r="AA985" t="n">
        <v>516.47</v>
      </c>
      <c r="AB985">
        <f>ROUND(U985-AA985,2)</f>
        <v/>
      </c>
      <c r="AC985" t="b">
        <v>0</v>
      </c>
      <c r="AD985">
        <f>IF(U985="","MISSING_TOTAL",IF(ABS(AB985)&lt;=0.01,"OK","CHECK"))</f>
        <v/>
      </c>
      <c r="AE985">
        <f>IF(U985="","MISSING",IF(AND(AA985&gt;0,U985/AA985&gt;50),"POSSIBLE_SCALE_ERROR","OK"))</f>
        <v/>
      </c>
    </row>
    <row r="986">
      <c r="A986" t="inlineStr">
        <is>
          <t>T-2018-Q2-00012</t>
        </is>
      </c>
      <c r="B986" t="inlineStr">
        <is>
          <t>MPSES</t>
        </is>
      </c>
      <c r="C986" t="inlineStr">
        <is>
          <t>Communications Advisor</t>
        </is>
      </c>
      <c r="D986" t="inlineStr">
        <is>
          <t>Conseiller en communications</t>
        </is>
      </c>
      <c r="E986" t="inlineStr">
        <is>
          <t>Oliver Anderson</t>
        </is>
      </c>
      <c r="F986" t="inlineStr">
        <is>
          <t>To support the Minister for Government announcements</t>
        </is>
      </c>
      <c r="G986" t="inlineStr">
        <is>
          <t>Soutenir le ministre pour les annonces du gouvernement</t>
        </is>
      </c>
      <c r="H986" s="1" t="n">
        <v>43340</v>
      </c>
      <c r="I986" s="1" t="n">
        <v>43342</v>
      </c>
      <c r="J986" t="inlineStr">
        <is>
          <t>Charlottetown, Prince Edward Island</t>
        </is>
      </c>
      <c r="K986" t="inlineStr">
        <is>
          <t>Charlottetown, Île-du-Prince-Édouard</t>
        </is>
      </c>
      <c r="P986" t="n">
        <v>1162.24</v>
      </c>
      <c r="Q986" t="n">
        <v>206.75</v>
      </c>
      <c r="R986" t="n">
        <v>361.06</v>
      </c>
      <c r="S986" t="n">
        <v>186.6</v>
      </c>
      <c r="U986" t="n">
        <v>1916.65</v>
      </c>
      <c r="X986" t="inlineStr">
        <is>
          <t>aafc-aac</t>
        </is>
      </c>
      <c r="Y986" t="inlineStr">
        <is>
          <t>Agriculture and Agri-Food Canada | Agriculture et Agroalimentaire Canada</t>
        </is>
      </c>
      <c r="Z986" t="n">
        <v>3</v>
      </c>
      <c r="AA986" t="n">
        <v>1916.64999999999</v>
      </c>
      <c r="AB986">
        <f>ROUND(U986-AA986,2)</f>
        <v/>
      </c>
      <c r="AC986" t="b">
        <v>0</v>
      </c>
      <c r="AD986">
        <f>IF(U986="","MISSING_TOTAL",IF(ABS(AB986)&lt;=0.01,"OK","CHECK"))</f>
        <v/>
      </c>
      <c r="AE986">
        <f>IF(U986="","MISSING",IF(AND(AA986&gt;0,U986/AA986&gt;50),"POSSIBLE_SCALE_ERROR","OK"))</f>
        <v/>
      </c>
    </row>
    <row r="987">
      <c r="A987" t="inlineStr">
        <is>
          <t>T-2018-Q2-00013</t>
        </is>
      </c>
      <c r="B987" t="inlineStr">
        <is>
          <t>MPSES</t>
        </is>
      </c>
      <c r="C987" t="inlineStr">
        <is>
          <t>Director of Communications</t>
        </is>
      </c>
      <c r="D987" t="inlineStr">
        <is>
          <t>Directeur des communications</t>
        </is>
      </c>
      <c r="E987" t="inlineStr">
        <is>
          <t>Guy Gallant</t>
        </is>
      </c>
      <c r="F987" t="inlineStr">
        <is>
          <t>To support the Minister with the official visit of the United States Secretary of Agriculture</t>
        </is>
      </c>
      <c r="G987" t="inlineStr">
        <is>
          <t>Soutenir le ministre lors de la visite officielle du secrétaire américain à l'agriculture</t>
        </is>
      </c>
      <c r="H987" s="1" t="n">
        <v>43265</v>
      </c>
      <c r="I987" s="1" t="n">
        <v>43267</v>
      </c>
      <c r="J987" t="inlineStr">
        <is>
          <t>Charlottetown, Prince Edward Island</t>
        </is>
      </c>
      <c r="K987" t="inlineStr">
        <is>
          <t>Charlottetown, Île-du-Prince-Édouard</t>
        </is>
      </c>
      <c r="P987" t="n">
        <v>595.53</v>
      </c>
      <c r="Q987" t="n">
        <v>0</v>
      </c>
      <c r="R987" t="n">
        <v>414</v>
      </c>
      <c r="S987" t="n">
        <v>158.15</v>
      </c>
      <c r="T987" t="n">
        <v>0</v>
      </c>
      <c r="U987" t="n">
        <v>1167.68</v>
      </c>
      <c r="X987" t="inlineStr">
        <is>
          <t>aafc-aac</t>
        </is>
      </c>
      <c r="Y987" t="inlineStr">
        <is>
          <t>Agriculture and Agri-Food Canada | Agriculture et Agroalimentaire Canada</t>
        </is>
      </c>
      <c r="Z987" t="n">
        <v>3</v>
      </c>
      <c r="AA987" t="n">
        <v>1167.68</v>
      </c>
      <c r="AB987">
        <f>ROUND(U987-AA987,2)</f>
        <v/>
      </c>
      <c r="AC987" t="b">
        <v>0</v>
      </c>
      <c r="AD987">
        <f>IF(U987="","MISSING_TOTAL",IF(ABS(AB987)&lt;=0.01,"OK","CHECK"))</f>
        <v/>
      </c>
      <c r="AE987">
        <f>IF(U987="","MISSING",IF(AND(AA987&gt;0,U987/AA987&gt;50),"POSSIBLE_SCALE_ERROR","OK"))</f>
        <v/>
      </c>
    </row>
    <row r="988">
      <c r="A988" t="inlineStr">
        <is>
          <t>T-2018-Q2-00014</t>
        </is>
      </c>
      <c r="B988" t="inlineStr">
        <is>
          <t>MPSES</t>
        </is>
      </c>
      <c r="C988" t="inlineStr">
        <is>
          <t>Director of Communications</t>
        </is>
      </c>
      <c r="D988" t="inlineStr">
        <is>
          <t>Directeur des communications</t>
        </is>
      </c>
      <c r="E988" t="inlineStr">
        <is>
          <t>Guy Gallant</t>
        </is>
      </c>
      <c r="F988" t="inlineStr">
        <is>
          <t>To accompany the Minister on an Ontario outreach - announcements in St. Anne's, Simcoe, Scotland area, St. Catherines, and Niagara on the Lake</t>
        </is>
      </c>
      <c r="G988" t="inlineStr">
        <is>
          <t>Accompagner le ministre lors d'une campagne de sensibilisation en Ontario - annonces à St. Anne's, à Simcoe, en Écosse, à St. Catharines et à Niagara-on-the-Lake</t>
        </is>
      </c>
      <c r="H988" s="1" t="n">
        <v>43283</v>
      </c>
      <c r="I988" s="1" t="n">
        <v>43285</v>
      </c>
      <c r="J988" t="inlineStr">
        <is>
          <t>Niagara Falls, Ontario</t>
        </is>
      </c>
      <c r="K988" t="inlineStr">
        <is>
          <t>Niagara Falls, Ontario</t>
        </is>
      </c>
      <c r="P988" t="n">
        <v>364.14</v>
      </c>
      <c r="Q988" t="n">
        <v>32.03</v>
      </c>
      <c r="R988" t="n">
        <v>528.64</v>
      </c>
      <c r="S988" t="n">
        <v>225.5</v>
      </c>
      <c r="T988" t="n">
        <v>0</v>
      </c>
      <c r="U988" t="n">
        <v>1150.31</v>
      </c>
      <c r="X988" t="inlineStr">
        <is>
          <t>aafc-aac</t>
        </is>
      </c>
      <c r="Y988" t="inlineStr">
        <is>
          <t>Agriculture and Agri-Food Canada | Agriculture et Agroalimentaire Canada</t>
        </is>
      </c>
      <c r="Z988" t="n">
        <v>3</v>
      </c>
      <c r="AA988" t="n">
        <v>1150.31</v>
      </c>
      <c r="AB988">
        <f>ROUND(U988-AA988,2)</f>
        <v/>
      </c>
      <c r="AC988" t="b">
        <v>0</v>
      </c>
      <c r="AD988">
        <f>IF(U988="","MISSING_TOTAL",IF(ABS(AB988)&lt;=0.01,"OK","CHECK"))</f>
        <v/>
      </c>
      <c r="AE988">
        <f>IF(U988="","MISSING",IF(AND(AA988&gt;0,U988/AA988&gt;50),"POSSIBLE_SCALE_ERROR","OK"))</f>
        <v/>
      </c>
    </row>
    <row r="989">
      <c r="A989" t="inlineStr">
        <is>
          <t>T-2018-Q2-00015</t>
        </is>
      </c>
      <c r="B989" t="inlineStr">
        <is>
          <t>MPSES</t>
        </is>
      </c>
      <c r="C989" t="inlineStr">
        <is>
          <t>Director of Communications</t>
        </is>
      </c>
      <c r="D989" t="inlineStr">
        <is>
          <t>Directeur des communications</t>
        </is>
      </c>
      <c r="E989" t="inlineStr">
        <is>
          <t>Guy Gallant</t>
        </is>
      </c>
      <c r="F989" t="inlineStr">
        <is>
          <t>To accompany the Minister for announcements and stakeholder meetings, the Atlantic Growth Strategy meetings, and Western outreach</t>
        </is>
      </c>
      <c r="G989" t="inlineStr">
        <is>
          <t>Accompagner le ministre pour les annonces et les réunions des intervenants, les réunions sur la stratégie de croissance de l'Atlantique et les activités de sensibilisation à l'Ouest.</t>
        </is>
      </c>
      <c r="H989" s="1" t="n">
        <v>43286</v>
      </c>
      <c r="I989" s="1" t="n">
        <v>43294</v>
      </c>
      <c r="J989" t="inlineStr">
        <is>
          <t>Charlottetown, Prince Edward Island; Calgary, Alberta; Saskatoon, Saskatchewan</t>
        </is>
      </c>
      <c r="K989" t="inlineStr">
        <is>
          <t>Charlottetown, Île-du-Prince-Édouard; Calgary, Alberta; Saskatoon, Saskatchewan</t>
        </is>
      </c>
      <c r="P989" t="n">
        <v>1562.21</v>
      </c>
      <c r="Q989" t="n">
        <v>81.87</v>
      </c>
      <c r="R989" t="n">
        <v>1245.69</v>
      </c>
      <c r="S989" t="n">
        <v>470.45</v>
      </c>
      <c r="T989" t="n">
        <v>0</v>
      </c>
      <c r="U989" t="n">
        <v>3360.22</v>
      </c>
      <c r="X989" t="inlineStr">
        <is>
          <t>aafc-aac</t>
        </is>
      </c>
      <c r="Y989" t="inlineStr">
        <is>
          <t>Agriculture and Agri-Food Canada | Agriculture et Agroalimentaire Canada</t>
        </is>
      </c>
      <c r="Z989" t="n">
        <v>9</v>
      </c>
      <c r="AA989" t="n">
        <v>3360.22</v>
      </c>
      <c r="AB989">
        <f>ROUND(U989-AA989,2)</f>
        <v/>
      </c>
      <c r="AC989" t="b">
        <v>0</v>
      </c>
      <c r="AD989">
        <f>IF(U989="","MISSING_TOTAL",IF(ABS(AB989)&lt;=0.01,"OK","CHECK"))</f>
        <v/>
      </c>
      <c r="AE989">
        <f>IF(U989="","MISSING",IF(AND(AA989&gt;0,U989/AA989&gt;50),"POSSIBLE_SCALE_ERROR","OK"))</f>
        <v/>
      </c>
    </row>
    <row r="990">
      <c r="A990" t="inlineStr">
        <is>
          <t>T-2018-Q2-00016</t>
        </is>
      </c>
      <c r="B990" t="inlineStr">
        <is>
          <t>MPSES</t>
        </is>
      </c>
      <c r="C990" t="inlineStr">
        <is>
          <t>Director of Communications</t>
        </is>
      </c>
      <c r="D990" t="inlineStr">
        <is>
          <t>Directeur des communications</t>
        </is>
      </c>
      <c r="E990" t="inlineStr">
        <is>
          <t>Guy Gallant</t>
        </is>
      </c>
      <c r="F990" t="inlineStr">
        <is>
          <t>To support the Minister for a British Columbia outreach and at the Federal Provincial Territorial Conference in Vancouver, British Columbia</t>
        </is>
      </c>
      <c r="G990" t="inlineStr">
        <is>
          <t>Soutenir le ministre lors d'une campagne de sensibilisation en Colombie-Britannique et à la conférence fédérale provinciale et territoriale à Vancouver, en Colombie-Britannique</t>
        </is>
      </c>
      <c r="H990" s="1" t="n">
        <v>43297</v>
      </c>
      <c r="I990" s="1" t="n">
        <v>43301</v>
      </c>
      <c r="J990" t="inlineStr">
        <is>
          <t>Vancouver, British Columbia</t>
        </is>
      </c>
      <c r="K990" t="inlineStr">
        <is>
          <t>Vancouver, Colombie-Britannique</t>
        </is>
      </c>
      <c r="P990" t="n">
        <v>1010.99</v>
      </c>
      <c r="Q990" t="n">
        <v>62.62</v>
      </c>
      <c r="R990" t="n">
        <v>1440.57</v>
      </c>
      <c r="S990" t="n">
        <v>308.25</v>
      </c>
      <c r="T990" t="n">
        <v>375</v>
      </c>
      <c r="U990" t="n">
        <v>3197.43</v>
      </c>
      <c r="V990" t="inlineStr">
        <is>
          <t>Other expenses: Federal Provincial Territorial Conference fees</t>
        </is>
      </c>
      <c r="W990" t="inlineStr">
        <is>
          <t>Autres dépenses: frais de la conférence fédérale provinciale et territoriale</t>
        </is>
      </c>
      <c r="X990" t="inlineStr">
        <is>
          <t>aafc-aac</t>
        </is>
      </c>
      <c r="Y990" t="inlineStr">
        <is>
          <t>Agriculture and Agri-Food Canada | Agriculture et Agroalimentaire Canada</t>
        </is>
      </c>
      <c r="Z990" t="n">
        <v>5</v>
      </c>
      <c r="AA990" t="n">
        <v>3197.43</v>
      </c>
      <c r="AB990">
        <f>ROUND(U990-AA990,2)</f>
        <v/>
      </c>
      <c r="AC990" t="b">
        <v>0</v>
      </c>
      <c r="AD990">
        <f>IF(U990="","MISSING_TOTAL",IF(ABS(AB990)&lt;=0.01,"OK","CHECK"))</f>
        <v/>
      </c>
      <c r="AE990">
        <f>IF(U990="","MISSING",IF(AND(AA990&gt;0,U990/AA990&gt;50),"POSSIBLE_SCALE_ERROR","OK"))</f>
        <v/>
      </c>
    </row>
    <row r="991">
      <c r="A991" t="inlineStr">
        <is>
          <t>T-2018-Q2-00017</t>
        </is>
      </c>
      <c r="B991" t="inlineStr">
        <is>
          <t>MPSES</t>
        </is>
      </c>
      <c r="C991" t="inlineStr">
        <is>
          <t>Director of Communications</t>
        </is>
      </c>
      <c r="D991" t="inlineStr">
        <is>
          <t>Directeur des communications</t>
        </is>
      </c>
      <c r="E991" t="inlineStr">
        <is>
          <t>Guy Gallant</t>
        </is>
      </c>
      <c r="F991" t="inlineStr">
        <is>
          <t>To attend G20 Agriculture Ministerial Meetings and outreach to Latin America</t>
        </is>
      </c>
      <c r="G991" t="inlineStr">
        <is>
          <t>Assister aux réunions ministérielles sur l'agriculture du G20 et à la sensibilisation en Amérique latine</t>
        </is>
      </c>
      <c r="H991" s="1" t="n">
        <v>43306</v>
      </c>
      <c r="I991" s="1" t="n">
        <v>43316</v>
      </c>
      <c r="J991" t="inlineStr">
        <is>
          <t>Buenos Aires, Argentina and Santiago, Chile</t>
        </is>
      </c>
      <c r="K991" t="inlineStr">
        <is>
          <t>Buenos Aires, Argentine et Santiago, Chili</t>
        </is>
      </c>
      <c r="P991" t="n">
        <v>5410.56</v>
      </c>
      <c r="Q991" t="n">
        <v>0</v>
      </c>
      <c r="R991" t="n">
        <v>2598.43</v>
      </c>
      <c r="S991" t="n">
        <v>824.73</v>
      </c>
      <c r="T991" t="n">
        <v>0</v>
      </c>
      <c r="U991" t="n">
        <v>8833.719999999999</v>
      </c>
      <c r="X991" t="inlineStr">
        <is>
          <t>aafc-aac</t>
        </is>
      </c>
      <c r="Y991" t="inlineStr">
        <is>
          <t>Agriculture and Agri-Food Canada | Agriculture et Agroalimentaire Canada</t>
        </is>
      </c>
      <c r="Z991" t="n">
        <v>11</v>
      </c>
      <c r="AA991" t="n">
        <v>8833.719999999999</v>
      </c>
      <c r="AB991">
        <f>ROUND(U991-AA991,2)</f>
        <v/>
      </c>
      <c r="AC991" t="b">
        <v>0</v>
      </c>
      <c r="AD991">
        <f>IF(U991="","MISSING_TOTAL",IF(ABS(AB991)&lt;=0.01,"OK","CHECK"))</f>
        <v/>
      </c>
      <c r="AE991">
        <f>IF(U991="","MISSING",IF(AND(AA991&gt;0,U991/AA991&gt;50),"POSSIBLE_SCALE_ERROR","OK"))</f>
        <v/>
      </c>
    </row>
    <row r="992">
      <c r="A992" t="inlineStr">
        <is>
          <t>T-2018-Q2-00018</t>
        </is>
      </c>
      <c r="B992" t="inlineStr">
        <is>
          <t>MPSES</t>
        </is>
      </c>
      <c r="C992" t="inlineStr">
        <is>
          <t>Director of Policy</t>
        </is>
      </c>
      <c r="D992" t="inlineStr">
        <is>
          <t>Directrice de la politique</t>
        </is>
      </c>
      <c r="E992" t="inlineStr">
        <is>
          <t>Alison Porter</t>
        </is>
      </c>
      <c r="F992" t="inlineStr">
        <is>
          <t>To support the Minister with the official visit of the United States Secretary of Agriculture</t>
        </is>
      </c>
      <c r="G992" t="inlineStr">
        <is>
          <t>Soutenir le ministre lors de la visite officielle du secrétaire américain à l'agriculture</t>
        </is>
      </c>
      <c r="H992" s="1" t="n">
        <v>43265</v>
      </c>
      <c r="I992" s="1" t="n">
        <v>43267</v>
      </c>
      <c r="J992" t="inlineStr">
        <is>
          <t>Charlottetown, Prince Edward Island</t>
        </is>
      </c>
      <c r="K992" t="inlineStr">
        <is>
          <t>Charlottetown, Île-du-Prince-Édouard</t>
        </is>
      </c>
      <c r="P992" t="n">
        <v>752.13</v>
      </c>
      <c r="Q992" t="n">
        <v>228.97</v>
      </c>
      <c r="R992" t="n">
        <v>0</v>
      </c>
      <c r="S992" t="n">
        <v>158.15</v>
      </c>
      <c r="T992" t="n">
        <v>0</v>
      </c>
      <c r="U992" t="n">
        <v>1139.25</v>
      </c>
      <c r="X992" t="inlineStr">
        <is>
          <t>aafc-aac</t>
        </is>
      </c>
      <c r="Y992" t="inlineStr">
        <is>
          <t>Agriculture and Agri-Food Canada | Agriculture et Agroalimentaire Canada</t>
        </is>
      </c>
      <c r="Z992" t="n">
        <v>3</v>
      </c>
      <c r="AA992" t="n">
        <v>1139.25</v>
      </c>
      <c r="AB992">
        <f>ROUND(U992-AA992,2)</f>
        <v/>
      </c>
      <c r="AC992" t="b">
        <v>0</v>
      </c>
      <c r="AD992">
        <f>IF(U992="","MISSING_TOTAL",IF(ABS(AB992)&lt;=0.01,"OK","CHECK"))</f>
        <v/>
      </c>
      <c r="AE992">
        <f>IF(U992="","MISSING",IF(AND(AA992&gt;0,U992/AA992&gt;50),"POSSIBLE_SCALE_ERROR","OK"))</f>
        <v/>
      </c>
    </row>
    <row r="993">
      <c r="A993" t="inlineStr">
        <is>
          <t>T-2018-Q2-00019</t>
        </is>
      </c>
      <c r="B993" t="inlineStr">
        <is>
          <t>MPSES</t>
        </is>
      </c>
      <c r="C993" t="inlineStr">
        <is>
          <t>Director of Policy</t>
        </is>
      </c>
      <c r="D993" t="inlineStr">
        <is>
          <t>Directrice de la politique</t>
        </is>
      </c>
      <c r="E993" t="inlineStr">
        <is>
          <t>Alison Porter</t>
        </is>
      </c>
      <c r="F993" t="inlineStr">
        <is>
          <t>To accompany the Minister and the Parliamentary Secretary to the Quebec outreach</t>
        </is>
      </c>
      <c r="G993" t="inlineStr">
        <is>
          <t>Accompagner le ministre et le secrétaire parlementaire à la sensibilisation du Québec</t>
        </is>
      </c>
      <c r="H993" s="1" t="n">
        <v>43276</v>
      </c>
      <c r="I993" s="1" t="n">
        <v>43278</v>
      </c>
      <c r="J993" t="inlineStr">
        <is>
          <t>Sherbrooke and Montreal, Quebec</t>
        </is>
      </c>
      <c r="K993" t="inlineStr">
        <is>
          <t>Sherbrooke et Montréal, Québec</t>
        </is>
      </c>
      <c r="P993" t="n">
        <v>0</v>
      </c>
      <c r="Q993" t="n">
        <v>54.22</v>
      </c>
      <c r="R993" t="n">
        <v>437.94</v>
      </c>
      <c r="S993" t="n">
        <v>196.55</v>
      </c>
      <c r="T993" t="n">
        <v>0</v>
      </c>
      <c r="U993" t="n">
        <v>688.71</v>
      </c>
      <c r="X993" t="inlineStr">
        <is>
          <t>aafc-aac</t>
        </is>
      </c>
      <c r="Y993" t="inlineStr">
        <is>
          <t>Agriculture and Agri-Food Canada | Agriculture et Agroalimentaire Canada</t>
        </is>
      </c>
      <c r="Z993" t="n">
        <v>3</v>
      </c>
      <c r="AA993" t="n">
        <v>688.71</v>
      </c>
      <c r="AB993">
        <f>ROUND(U993-AA993,2)</f>
        <v/>
      </c>
      <c r="AC993" t="b">
        <v>0</v>
      </c>
      <c r="AD993">
        <f>IF(U993="","MISSING_TOTAL",IF(ABS(AB993)&lt;=0.01,"OK","CHECK"))</f>
        <v/>
      </c>
      <c r="AE993">
        <f>IF(U993="","MISSING",IF(AND(AA993&gt;0,U993/AA993&gt;50),"POSSIBLE_SCALE_ERROR","OK"))</f>
        <v/>
      </c>
    </row>
    <row r="994">
      <c r="A994" t="inlineStr">
        <is>
          <t>T-2018-Q2-00020</t>
        </is>
      </c>
      <c r="B994" t="inlineStr">
        <is>
          <t>MPSES</t>
        </is>
      </c>
      <c r="C994" t="inlineStr">
        <is>
          <t>Director of Policy</t>
        </is>
      </c>
      <c r="D994" t="inlineStr">
        <is>
          <t>Directrice de la politique</t>
        </is>
      </c>
      <c r="E994" t="inlineStr">
        <is>
          <t>Alison Porter</t>
        </is>
      </c>
      <c r="F994" t="inlineStr">
        <is>
          <t>To support the Minister for a British Columbia outreach at the Federal-Provincial-Territorial Conference in Vancouver, British Columbia</t>
        </is>
      </c>
      <c r="G994" t="inlineStr">
        <is>
          <t>Soutenir le ministre pour une action de sensibilisation en Colombie-Britannique à la conférence fédérale-provinciale-territoriale à Vancouver, en Colombie-Britannique</t>
        </is>
      </c>
      <c r="H994" s="1" t="n">
        <v>43297</v>
      </c>
      <c r="I994" s="1" t="n">
        <v>43302</v>
      </c>
      <c r="J994" t="inlineStr">
        <is>
          <t>Vancouver, British Columbia</t>
        </is>
      </c>
      <c r="K994" t="inlineStr">
        <is>
          <t>Vancouver, Colombie-Britannique</t>
        </is>
      </c>
      <c r="P994" t="n">
        <v>750.6</v>
      </c>
      <c r="Q994" t="n">
        <v>29.36</v>
      </c>
      <c r="R994" t="n">
        <v>1440.57</v>
      </c>
      <c r="S994" t="n">
        <v>395.05</v>
      </c>
      <c r="T994" t="n">
        <v>375</v>
      </c>
      <c r="U994" t="n">
        <v>2990.58</v>
      </c>
      <c r="V994" t="inlineStr">
        <is>
          <t>Other expenses: Federal Provincial Territorial Conference fees</t>
        </is>
      </c>
      <c r="W994" t="inlineStr">
        <is>
          <t>Autres dépenses: frais de la conférence fédérale provinciale et territoriale</t>
        </is>
      </c>
      <c r="X994" t="inlineStr">
        <is>
          <t>aafc-aac</t>
        </is>
      </c>
      <c r="Y994" t="inlineStr">
        <is>
          <t>Agriculture and Agri-Food Canada | Agriculture et Agroalimentaire Canada</t>
        </is>
      </c>
      <c r="Z994" t="n">
        <v>6</v>
      </c>
      <c r="AA994" t="n">
        <v>2990.58</v>
      </c>
      <c r="AB994">
        <f>ROUND(U994-AA994,2)</f>
        <v/>
      </c>
      <c r="AC994" t="b">
        <v>0</v>
      </c>
      <c r="AD994">
        <f>IF(U994="","MISSING_TOTAL",IF(ABS(AB994)&lt;=0.01,"OK","CHECK"))</f>
        <v/>
      </c>
      <c r="AE994">
        <f>IF(U994="","MISSING",IF(AND(AA994&gt;0,U994/AA994&gt;50),"POSSIBLE_SCALE_ERROR","OK"))</f>
        <v/>
      </c>
    </row>
    <row r="995">
      <c r="A995" t="inlineStr">
        <is>
          <t>T-2018-Q2-00021</t>
        </is>
      </c>
      <c r="B995" t="inlineStr">
        <is>
          <t>MPSES</t>
        </is>
      </c>
      <c r="C995" t="inlineStr">
        <is>
          <t>Director of Policy</t>
        </is>
      </c>
      <c r="D995" t="inlineStr">
        <is>
          <t>Directrice de la politique</t>
        </is>
      </c>
      <c r="E995" t="inlineStr">
        <is>
          <t>Alison Porter</t>
        </is>
      </c>
      <c r="F995" t="inlineStr">
        <is>
          <t>To attend G20 Agriculture Ministerial Meetings, and Latin America outreach</t>
        </is>
      </c>
      <c r="G995" t="inlineStr">
        <is>
          <t>Assister aux réunions ministérielles sur l'agriculture du G20 et à la sensibilisation à l'Amérique latine</t>
        </is>
      </c>
      <c r="H995" s="1" t="n">
        <v>43306</v>
      </c>
      <c r="I995" s="1" t="n">
        <v>43315</v>
      </c>
      <c r="J995" t="inlineStr">
        <is>
          <t>Buenos Aires, Argentina and Santiago, Chile</t>
        </is>
      </c>
      <c r="K995" t="inlineStr">
        <is>
          <t>Buenos Aires, Argentine et Santiago, Chili</t>
        </is>
      </c>
      <c r="P995" t="n">
        <v>5637.97</v>
      </c>
      <c r="Q995" t="n">
        <v>0</v>
      </c>
      <c r="R995" t="n">
        <v>2291.11</v>
      </c>
      <c r="S995" t="n">
        <v>796.88</v>
      </c>
      <c r="T995" t="n">
        <v>0</v>
      </c>
      <c r="U995" t="n">
        <v>8725.959999999999</v>
      </c>
      <c r="X995" t="inlineStr">
        <is>
          <t>aafc-aac</t>
        </is>
      </c>
      <c r="Y995" t="inlineStr">
        <is>
          <t>Agriculture and Agri-Food Canada | Agriculture et Agroalimentaire Canada</t>
        </is>
      </c>
      <c r="Z995" t="n">
        <v>10</v>
      </c>
      <c r="AA995" t="n">
        <v>8725.959999999999</v>
      </c>
      <c r="AB995">
        <f>ROUND(U995-AA995,2)</f>
        <v/>
      </c>
      <c r="AC995" t="b">
        <v>0</v>
      </c>
      <c r="AD995">
        <f>IF(U995="","MISSING_TOTAL",IF(ABS(AB995)&lt;=0.01,"OK","CHECK"))</f>
        <v/>
      </c>
      <c r="AE995">
        <f>IF(U995="","MISSING",IF(AND(AA995&gt;0,U995/AA995&gt;50),"POSSIBLE_SCALE_ERROR","OK"))</f>
        <v/>
      </c>
    </row>
    <row r="996">
      <c r="A996" t="inlineStr">
        <is>
          <t>T-2018-Q2-00022</t>
        </is>
      </c>
      <c r="B996" t="inlineStr">
        <is>
          <t>MPSES</t>
        </is>
      </c>
      <c r="C996" t="inlineStr">
        <is>
          <t>Director of Policy</t>
        </is>
      </c>
      <c r="D996" t="inlineStr">
        <is>
          <t>Directrice de la politique</t>
        </is>
      </c>
      <c r="E996" t="inlineStr">
        <is>
          <t>Alison Porter</t>
        </is>
      </c>
      <c r="F996" t="inlineStr">
        <is>
          <t>To support and attend briefings with the Minister</t>
        </is>
      </c>
      <c r="G996" t="inlineStr">
        <is>
          <t>Soutenir et assister à des séances d'information avec le ministre</t>
        </is>
      </c>
      <c r="H996" s="1" t="n">
        <v>43328</v>
      </c>
      <c r="I996" s="1" t="n">
        <v>43329</v>
      </c>
      <c r="J996" t="inlineStr">
        <is>
          <t>Charlottetown, Prince Edward Island</t>
        </is>
      </c>
      <c r="K996" t="inlineStr">
        <is>
          <t>Charlottetown, Île-du-Prince-Édouard</t>
        </is>
      </c>
      <c r="P996" t="n">
        <v>1236.17</v>
      </c>
      <c r="Q996" t="n">
        <v>144.14</v>
      </c>
      <c r="R996" t="n">
        <v>155.25</v>
      </c>
      <c r="S996" t="n">
        <v>208.2</v>
      </c>
      <c r="T996" t="n">
        <v>0</v>
      </c>
      <c r="U996" t="n">
        <v>1743.76</v>
      </c>
      <c r="X996" t="inlineStr">
        <is>
          <t>aafc-aac</t>
        </is>
      </c>
      <c r="Y996" t="inlineStr">
        <is>
          <t>Agriculture and Agri-Food Canada | Agriculture et Agroalimentaire Canada</t>
        </is>
      </c>
      <c r="Z996" t="n">
        <v>2</v>
      </c>
      <c r="AA996" t="n">
        <v>1743.76</v>
      </c>
      <c r="AB996">
        <f>ROUND(U996-AA996,2)</f>
        <v/>
      </c>
      <c r="AC996" t="b">
        <v>0</v>
      </c>
      <c r="AD996">
        <f>IF(U996="","MISSING_TOTAL",IF(ABS(AB996)&lt;=0.01,"OK","CHECK"))</f>
        <v/>
      </c>
      <c r="AE996">
        <f>IF(U996="","MISSING",IF(AND(AA996&gt;0,U996/AA996&gt;50),"POSSIBLE_SCALE_ERROR","OK"))</f>
        <v/>
      </c>
    </row>
    <row r="997">
      <c r="A997" t="inlineStr">
        <is>
          <t>T-2018-Q2-00023</t>
        </is>
      </c>
      <c r="B997" t="inlineStr">
        <is>
          <t>MPSES</t>
        </is>
      </c>
      <c r="C997" t="inlineStr">
        <is>
          <t>Policy Advisor</t>
        </is>
      </c>
      <c r="D997" t="inlineStr">
        <is>
          <t>Conseiller en politiques</t>
        </is>
      </c>
      <c r="E997" t="inlineStr">
        <is>
          <t>Dan Lussier</t>
        </is>
      </c>
      <c r="F997" t="inlineStr">
        <is>
          <t>To accompany the Minister to Calgary, Alberta and Saskatoon, Saskatchewan outreach</t>
        </is>
      </c>
      <c r="G997" t="inlineStr">
        <is>
          <t>Accompagner le ministre à Calgary, en Alberta et à Saskatoon, en Saskatchewan</t>
        </is>
      </c>
      <c r="H997" s="1" t="n">
        <v>43291</v>
      </c>
      <c r="I997" s="1" t="n">
        <v>43294</v>
      </c>
      <c r="J997" t="inlineStr">
        <is>
          <t>Calgary, Alberta and Saskatoon, Saskatchewan</t>
        </is>
      </c>
      <c r="K997" t="inlineStr">
        <is>
          <t>Calgary, Alberta et Saskatoon, Saskatchewan</t>
        </is>
      </c>
      <c r="P997" t="n">
        <v>914.52</v>
      </c>
      <c r="Q997" t="n">
        <v>30.01</v>
      </c>
      <c r="R997" t="n">
        <v>1106.6</v>
      </c>
      <c r="S997" t="n">
        <v>290.95</v>
      </c>
      <c r="T997" t="n">
        <v>0</v>
      </c>
      <c r="U997" t="n">
        <v>2342.08</v>
      </c>
      <c r="X997" t="inlineStr">
        <is>
          <t>aafc-aac</t>
        </is>
      </c>
      <c r="Y997" t="inlineStr">
        <is>
          <t>Agriculture and Agri-Food Canada | Agriculture et Agroalimentaire Canada</t>
        </is>
      </c>
      <c r="Z997" t="n">
        <v>4</v>
      </c>
      <c r="AA997" t="n">
        <v>2342.08</v>
      </c>
      <c r="AB997">
        <f>ROUND(U997-AA997,2)</f>
        <v/>
      </c>
      <c r="AC997" t="b">
        <v>0</v>
      </c>
      <c r="AD997">
        <f>IF(U997="","MISSING_TOTAL",IF(ABS(AB997)&lt;=0.01,"OK","CHECK"))</f>
        <v/>
      </c>
      <c r="AE997">
        <f>IF(U997="","MISSING",IF(AND(AA997&gt;0,U997/AA997&gt;50),"POSSIBLE_SCALE_ERROR","OK"))</f>
        <v/>
      </c>
    </row>
    <row r="998">
      <c r="A998" t="inlineStr">
        <is>
          <t>T-2018-Q2-00025</t>
        </is>
      </c>
      <c r="B998" t="inlineStr">
        <is>
          <t>MPSES</t>
        </is>
      </c>
      <c r="C998" t="inlineStr">
        <is>
          <t>Director of Parliamentary Affairs</t>
        </is>
      </c>
      <c r="D998" t="inlineStr">
        <is>
          <t>Directeur des affaires parlementaires</t>
        </is>
      </c>
      <c r="E998" t="inlineStr">
        <is>
          <t>Matthew Mann</t>
        </is>
      </c>
      <c r="F998" t="inlineStr">
        <is>
          <t>To support the Minister with the official visit of the United States Secretary of Agriculture</t>
        </is>
      </c>
      <c r="G998" t="inlineStr">
        <is>
          <t>Soutenir le ministre lors de la visite officielle du secrétaire américain à l'agriculture</t>
        </is>
      </c>
      <c r="H998" s="1" t="n">
        <v>43265</v>
      </c>
      <c r="I998" s="1" t="n">
        <v>43267</v>
      </c>
      <c r="J998" t="inlineStr">
        <is>
          <t>Charlottetown, Prince Edward Island</t>
        </is>
      </c>
      <c r="K998" t="inlineStr">
        <is>
          <t>Charlottetown, Île-du-Prince-Édouard</t>
        </is>
      </c>
      <c r="P998" t="n">
        <v>898.75</v>
      </c>
      <c r="Q998" t="n">
        <v>18.54</v>
      </c>
      <c r="R998" t="n">
        <v>0</v>
      </c>
      <c r="S998" t="n">
        <v>158.15</v>
      </c>
      <c r="T998" t="n">
        <v>0</v>
      </c>
      <c r="U998" t="n">
        <v>1075.44</v>
      </c>
      <c r="X998" t="inlineStr">
        <is>
          <t>aafc-aac</t>
        </is>
      </c>
      <c r="Y998" t="inlineStr">
        <is>
          <t>Agriculture and Agri-Food Canada | Agriculture et Agroalimentaire Canada</t>
        </is>
      </c>
      <c r="Z998" t="n">
        <v>3</v>
      </c>
      <c r="AA998" t="n">
        <v>1075.44</v>
      </c>
      <c r="AB998">
        <f>ROUND(U998-AA998,2)</f>
        <v/>
      </c>
      <c r="AC998" t="b">
        <v>0</v>
      </c>
      <c r="AD998">
        <f>IF(U998="","MISSING_TOTAL",IF(ABS(AB998)&lt;=0.01,"OK","CHECK"))</f>
        <v/>
      </c>
      <c r="AE998">
        <f>IF(U998="","MISSING",IF(AND(AA998&gt;0,U998/AA998&gt;50),"POSSIBLE_SCALE_ERROR","OK"))</f>
        <v/>
      </c>
    </row>
    <row r="999">
      <c r="A999" t="inlineStr">
        <is>
          <t>T-2018-Q2-00026</t>
        </is>
      </c>
      <c r="B999" t="inlineStr">
        <is>
          <t>MPSES</t>
        </is>
      </c>
      <c r="C999" t="inlineStr">
        <is>
          <t>Director of Parliamentary Affairs</t>
        </is>
      </c>
      <c r="D999" t="inlineStr">
        <is>
          <t>Directeur des affaires parlementaires</t>
        </is>
      </c>
      <c r="E999" t="inlineStr">
        <is>
          <t>Matthew Mann</t>
        </is>
      </c>
      <c r="F999" t="inlineStr">
        <is>
          <t>To accompany the Minister for government announcements</t>
        </is>
      </c>
      <c r="G999" t="inlineStr">
        <is>
          <t>Accompagner le ministre pour les annonces du gouvernement</t>
        </is>
      </c>
      <c r="H999" s="1" t="n">
        <v>43272</v>
      </c>
      <c r="I999" s="1" t="n">
        <v>43273</v>
      </c>
      <c r="J999" t="inlineStr">
        <is>
          <t>Charlottetown, Prince Edward Island</t>
        </is>
      </c>
      <c r="K999" t="inlineStr">
        <is>
          <t>Charlottetown, Île-du-Prince-Édouard</t>
        </is>
      </c>
      <c r="P999" t="n">
        <v>1002.99</v>
      </c>
      <c r="Q999" t="n">
        <v>123.45</v>
      </c>
      <c r="R999" t="n">
        <v>247.56</v>
      </c>
      <c r="S999" t="n">
        <v>169.55</v>
      </c>
      <c r="T999" t="n">
        <v>0</v>
      </c>
      <c r="U999" t="n">
        <v>1543.55</v>
      </c>
      <c r="X999" t="inlineStr">
        <is>
          <t>aafc-aac</t>
        </is>
      </c>
      <c r="Y999" t="inlineStr">
        <is>
          <t>Agriculture and Agri-Food Canada | Agriculture et Agroalimentaire Canada</t>
        </is>
      </c>
      <c r="Z999" t="n">
        <v>2</v>
      </c>
      <c r="AA999" t="n">
        <v>1543.55</v>
      </c>
      <c r="AB999">
        <f>ROUND(U999-AA999,2)</f>
        <v/>
      </c>
      <c r="AC999" t="b">
        <v>0</v>
      </c>
      <c r="AD999">
        <f>IF(U999="","MISSING_TOTAL",IF(ABS(AB999)&lt;=0.01,"OK","CHECK"))</f>
        <v/>
      </c>
      <c r="AE999">
        <f>IF(U999="","MISSING",IF(AND(AA999&gt;0,U999/AA999&gt;50),"POSSIBLE_SCALE_ERROR","OK"))</f>
        <v/>
      </c>
    </row>
    <row r="1000">
      <c r="A1000" t="inlineStr">
        <is>
          <t>T-2018-Q2-00027</t>
        </is>
      </c>
      <c r="B1000" t="inlineStr">
        <is>
          <t>MPSES</t>
        </is>
      </c>
      <c r="C1000" t="inlineStr">
        <is>
          <t>Director of Parliamentary Affairs</t>
        </is>
      </c>
      <c r="D1000" t="inlineStr">
        <is>
          <t>Directeur des affaires parlementaires</t>
        </is>
      </c>
      <c r="E1000" t="inlineStr">
        <is>
          <t>Matthew Mann</t>
        </is>
      </c>
      <c r="F1000" t="inlineStr">
        <is>
          <t>To support the Minister on the New Brunswick and Nova Scotia outreach</t>
        </is>
      </c>
      <c r="G1000" t="inlineStr">
        <is>
          <t>Soutenir le ministre dans le cadre des activités de sensibilisation au Nouveau-Brunswick et en Nouvelle-Écosse</t>
        </is>
      </c>
      <c r="H1000" s="1" t="n">
        <v>43278</v>
      </c>
      <c r="I1000" s="1" t="n">
        <v>43280</v>
      </c>
      <c r="J1000" t="inlineStr">
        <is>
          <t>Fredericton, New Brunswick and Halifax, Nova Scotia</t>
        </is>
      </c>
      <c r="K1000" t="inlineStr">
        <is>
          <t>Fredericton, Nouveau-Brunswick et Halifax, Nouvelle-Écosse</t>
        </is>
      </c>
      <c r="P1000" t="n">
        <v>1272.28</v>
      </c>
      <c r="Q1000" t="n">
        <v>47.27</v>
      </c>
      <c r="R1000" t="n">
        <v>381.09</v>
      </c>
      <c r="S1000" t="n">
        <v>225.5</v>
      </c>
      <c r="T1000" t="n">
        <v>0</v>
      </c>
      <c r="U1000" t="n">
        <v>1926.14</v>
      </c>
      <c r="X1000" t="inlineStr">
        <is>
          <t>aafc-aac</t>
        </is>
      </c>
      <c r="Y1000" t="inlineStr">
        <is>
          <t>Agriculture and Agri-Food Canada | Agriculture et Agroalimentaire Canada</t>
        </is>
      </c>
      <c r="Z1000" t="n">
        <v>3</v>
      </c>
      <c r="AA1000" t="n">
        <v>1926.13999999999</v>
      </c>
      <c r="AB1000">
        <f>ROUND(U1000-AA1000,2)</f>
        <v/>
      </c>
      <c r="AC1000" t="b">
        <v>0</v>
      </c>
      <c r="AD1000">
        <f>IF(U1000="","MISSING_TOTAL",IF(ABS(AB1000)&lt;=0.01,"OK","CHECK"))</f>
        <v/>
      </c>
      <c r="AE1000">
        <f>IF(U1000="","MISSING",IF(AND(AA1000&gt;0,U1000/AA1000&gt;50),"POSSIBLE_SCALE_ERROR","OK"))</f>
        <v/>
      </c>
    </row>
    <row r="1001">
      <c r="A1001" t="inlineStr">
        <is>
          <t>T-2018-Q2-00064</t>
        </is>
      </c>
      <c r="B1001" t="inlineStr">
        <is>
          <t>SLE</t>
        </is>
      </c>
      <c r="C1001" t="inlineStr">
        <is>
          <t>Chief Information Officer</t>
        </is>
      </c>
      <c r="D1001" t="inlineStr">
        <is>
          <t>Dirigeant principal à l'information</t>
        </is>
      </c>
      <c r="E1001" t="inlineStr">
        <is>
          <t>Michel Lessard</t>
        </is>
      </c>
      <c r="F1001" t="inlineStr">
        <is>
          <t>Chief Information Officer Strategy Council Meeting</t>
        </is>
      </c>
      <c r="G1001" t="inlineStr">
        <is>
          <t>Réunion du conseil stratégique dirigeant principal à l'information</t>
        </is>
      </c>
      <c r="H1001" s="1" t="n">
        <v>43327</v>
      </c>
      <c r="I1001" s="1" t="n">
        <v>43327</v>
      </c>
      <c r="J1001" t="inlineStr">
        <is>
          <t>Toronto, Ontario</t>
        </is>
      </c>
      <c r="K1001" t="inlineStr">
        <is>
          <t>Toronto, Ontario</t>
        </is>
      </c>
      <c r="P1001" t="n">
        <v>335.15</v>
      </c>
      <c r="Q1001" t="n">
        <v>43.8</v>
      </c>
      <c r="S1001" t="n">
        <v>48.15</v>
      </c>
      <c r="U1001" t="n">
        <v>427.1</v>
      </c>
      <c r="X1001" t="inlineStr">
        <is>
          <t>aafc-aac</t>
        </is>
      </c>
      <c r="Y1001" t="inlineStr">
        <is>
          <t>Agriculture and Agri-Food Canada | Agriculture et Agroalimentaire Canada</t>
        </is>
      </c>
      <c r="Z1001" t="n">
        <v>1</v>
      </c>
      <c r="AA1001" t="n">
        <v>427.099999999999</v>
      </c>
      <c r="AB1001">
        <f>ROUND(U1001-AA1001,2)</f>
        <v/>
      </c>
      <c r="AC1001" t="b">
        <v>0</v>
      </c>
      <c r="AD1001">
        <f>IF(U1001="","MISSING_TOTAL",IF(ABS(AB1001)&lt;=0.01,"OK","CHECK"))</f>
        <v/>
      </c>
      <c r="AE1001">
        <f>IF(U1001="","MISSING",IF(AND(AA1001&gt;0,U1001/AA1001&gt;50),"POSSIBLE_SCALE_ERROR","OK"))</f>
        <v/>
      </c>
    </row>
    <row r="1002">
      <c r="A1002" t="inlineStr">
        <is>
          <t>T-2018-Q2-00028</t>
        </is>
      </c>
      <c r="B1002" t="inlineStr">
        <is>
          <t>MPSES</t>
        </is>
      </c>
      <c r="C1002" t="inlineStr">
        <is>
          <t>Director of Parliamentary Affairs</t>
        </is>
      </c>
      <c r="D1002" t="inlineStr">
        <is>
          <t>Directeur des affaires parlementaires</t>
        </is>
      </c>
      <c r="E1002" t="inlineStr">
        <is>
          <t>Matthew Mann</t>
        </is>
      </c>
      <c r="F1002" t="inlineStr">
        <is>
          <t>To support the Minister for a British Columbia outreach and at the Federal Provincial Territorial Conference in Vancouver, British Columbia</t>
        </is>
      </c>
      <c r="G1002" t="inlineStr">
        <is>
          <t>Soutenir le ministre lors d'une campagne de sensibilisation en Colombie-Britannique et à la conférence fédérale provinciale et territoriale à Vancouver, en Colombie-Britannique</t>
        </is>
      </c>
      <c r="H1002" s="1" t="n">
        <v>43297</v>
      </c>
      <c r="I1002" s="1" t="n">
        <v>43301</v>
      </c>
      <c r="J1002" t="inlineStr">
        <is>
          <t>Vancouver, British Columbia</t>
        </is>
      </c>
      <c r="K1002" t="inlineStr">
        <is>
          <t>Vancouver, Colombie-Britannique</t>
        </is>
      </c>
      <c r="P1002" t="n">
        <v>837.34</v>
      </c>
      <c r="Q1002" t="n">
        <v>18.54</v>
      </c>
      <c r="R1002" t="n">
        <v>1440.57</v>
      </c>
      <c r="S1002" t="n">
        <v>308.25</v>
      </c>
      <c r="T1002" t="n">
        <v>375</v>
      </c>
      <c r="U1002" t="n">
        <v>2979.7</v>
      </c>
      <c r="V1002" t="inlineStr">
        <is>
          <t>Other expenses: Federal Provincial Territorial Conference fees</t>
        </is>
      </c>
      <c r="W1002" t="inlineStr">
        <is>
          <t>Autres dépenses: frais de la conférence fédérale provinciale et territoriale</t>
        </is>
      </c>
      <c r="X1002" t="inlineStr">
        <is>
          <t>aafc-aac</t>
        </is>
      </c>
      <c r="Y1002" t="inlineStr">
        <is>
          <t>Agriculture and Agri-Food Canada | Agriculture et Agroalimentaire Canada</t>
        </is>
      </c>
      <c r="Z1002" t="n">
        <v>5</v>
      </c>
      <c r="AA1002" t="n">
        <v>2979.7</v>
      </c>
      <c r="AB1002">
        <f>ROUND(U1002-AA1002,2)</f>
        <v/>
      </c>
      <c r="AC1002" t="b">
        <v>0</v>
      </c>
      <c r="AD1002">
        <f>IF(U1002="","MISSING_TOTAL",IF(ABS(AB1002)&lt;=0.01,"OK","CHECK"))</f>
        <v/>
      </c>
      <c r="AE1002">
        <f>IF(U1002="","MISSING",IF(AND(AA1002&gt;0,U1002/AA1002&gt;50),"POSSIBLE_SCALE_ERROR","OK"))</f>
        <v/>
      </c>
    </row>
    <row r="1003">
      <c r="A1003" t="inlineStr">
        <is>
          <t>T-2018-Q2-00029</t>
        </is>
      </c>
      <c r="B1003" t="inlineStr">
        <is>
          <t>MPSES</t>
        </is>
      </c>
      <c r="C1003" t="inlineStr">
        <is>
          <t>Director of Parliamentary Affairs</t>
        </is>
      </c>
      <c r="D1003" t="inlineStr">
        <is>
          <t>Directeur des affaires parlementaires</t>
        </is>
      </c>
      <c r="E1003" t="inlineStr">
        <is>
          <t>Matthew Mann</t>
        </is>
      </c>
      <c r="F1003" t="inlineStr">
        <is>
          <t>To support the Minister for government announcements and attend briefings with the Minister</t>
        </is>
      </c>
      <c r="G1003" t="inlineStr">
        <is>
          <t>Appuyer le ministre pour les annonces gouvernementales et assister à des séances d'information avec le ministre</t>
        </is>
      </c>
      <c r="H1003" s="1" t="n">
        <v>43327</v>
      </c>
      <c r="I1003" s="1" t="n">
        <v>43329</v>
      </c>
      <c r="J1003" t="inlineStr">
        <is>
          <t>Charlottetown, Prince Edward Island</t>
        </is>
      </c>
      <c r="K1003" t="inlineStr">
        <is>
          <t>Charlottetown, Île-du-Prince-Édouard</t>
        </is>
      </c>
      <c r="P1003" t="n">
        <v>1133.15</v>
      </c>
      <c r="Q1003" t="n">
        <v>157.2</v>
      </c>
      <c r="R1003" t="n">
        <v>310.5</v>
      </c>
      <c r="S1003" t="n">
        <v>273.65</v>
      </c>
      <c r="T1003" t="n">
        <v>0</v>
      </c>
      <c r="U1003" t="n">
        <v>1874.5</v>
      </c>
      <c r="X1003" t="inlineStr">
        <is>
          <t>aafc-aac</t>
        </is>
      </c>
      <c r="Y1003" t="inlineStr">
        <is>
          <t>Agriculture and Agri-Food Canada | Agriculture et Agroalimentaire Canada</t>
        </is>
      </c>
      <c r="Z1003" t="n">
        <v>3</v>
      </c>
      <c r="AA1003" t="n">
        <v>1874.5</v>
      </c>
      <c r="AB1003">
        <f>ROUND(U1003-AA1003,2)</f>
        <v/>
      </c>
      <c r="AC1003" t="b">
        <v>0</v>
      </c>
      <c r="AD1003">
        <f>IF(U1003="","MISSING_TOTAL",IF(ABS(AB1003)&lt;=0.01,"OK","CHECK"))</f>
        <v/>
      </c>
      <c r="AE1003">
        <f>IF(U1003="","MISSING",IF(AND(AA1003&gt;0,U1003/AA1003&gt;50),"POSSIBLE_SCALE_ERROR","OK"))</f>
        <v/>
      </c>
    </row>
    <row r="1004">
      <c r="A1004" t="inlineStr">
        <is>
          <t>T-2018-Q2-00030</t>
        </is>
      </c>
      <c r="B1004" t="inlineStr">
        <is>
          <t>MPSES</t>
        </is>
      </c>
      <c r="C1004" t="inlineStr">
        <is>
          <t>Legislative Assistant, Policy Advisor</t>
        </is>
      </c>
      <c r="D1004" t="inlineStr">
        <is>
          <t>Adjoint législatif et Conseiller en politiques</t>
        </is>
      </c>
      <c r="E1004" t="inlineStr">
        <is>
          <t>Wallace McLean</t>
        </is>
      </c>
      <c r="F1004" t="inlineStr">
        <is>
          <t>To support the Minister on the New Brunswick and Nova Scotia outreach</t>
        </is>
      </c>
      <c r="G1004" t="inlineStr">
        <is>
          <t>Soutenir le ministre dans le cadre des activités de sensibilisation au Nouveau-Brunswick et en Nouvelle-Écosse</t>
        </is>
      </c>
      <c r="H1004" s="1" t="n">
        <v>43278</v>
      </c>
      <c r="I1004" s="1" t="n">
        <v>43280</v>
      </c>
      <c r="J1004" t="inlineStr">
        <is>
          <t>Fredericton, New Brunswick and Halifax, Nova Scotia</t>
        </is>
      </c>
      <c r="K1004" t="inlineStr">
        <is>
          <t>Fredericton, Nouveau-Brunswick et Halifax, Nouvelle-Écosse</t>
        </is>
      </c>
      <c r="P1004" t="n">
        <v>1184.64</v>
      </c>
      <c r="Q1004" t="n">
        <v>47.67</v>
      </c>
      <c r="R1004" t="n">
        <v>381.09</v>
      </c>
      <c r="S1004" t="n">
        <v>225.5</v>
      </c>
      <c r="T1004" t="n">
        <v>0</v>
      </c>
      <c r="U1004" t="n">
        <v>1838.9</v>
      </c>
      <c r="X1004" t="inlineStr">
        <is>
          <t>aafc-aac</t>
        </is>
      </c>
      <c r="Y1004" t="inlineStr">
        <is>
          <t>Agriculture and Agri-Food Canada | Agriculture et Agroalimentaire Canada</t>
        </is>
      </c>
      <c r="Z1004" t="n">
        <v>3</v>
      </c>
      <c r="AA1004" t="n">
        <v>1838.9</v>
      </c>
      <c r="AB1004">
        <f>ROUND(U1004-AA1004,2)</f>
        <v/>
      </c>
      <c r="AC1004" t="b">
        <v>0</v>
      </c>
      <c r="AD1004">
        <f>IF(U1004="","MISSING_TOTAL",IF(ABS(AB1004)&lt;=0.01,"OK","CHECK"))</f>
        <v/>
      </c>
      <c r="AE1004">
        <f>IF(U1004="","MISSING",IF(AND(AA1004&gt;0,U1004/AA1004&gt;50),"POSSIBLE_SCALE_ERROR","OK"))</f>
        <v/>
      </c>
    </row>
    <row r="1005">
      <c r="A1005" t="inlineStr">
        <is>
          <t>T-2018-Q2-00031</t>
        </is>
      </c>
      <c r="B1005" t="inlineStr">
        <is>
          <t>MPSES</t>
        </is>
      </c>
      <c r="C1005" t="inlineStr">
        <is>
          <t>Legislative Assistant, Policy Advisor</t>
        </is>
      </c>
      <c r="D1005" t="inlineStr">
        <is>
          <t>Adjoint législatif et Conseiller en politiques</t>
        </is>
      </c>
      <c r="E1005" t="inlineStr">
        <is>
          <t>Wallace McLean</t>
        </is>
      </c>
      <c r="F1005" t="inlineStr">
        <is>
          <t>To accompany the Minister for announcements and the Atlantic Growth Strategy Meetings</t>
        </is>
      </c>
      <c r="G1005" t="inlineStr">
        <is>
          <t>Accompagner le ministre aux annonces et aux réunions sur la stratégie de croissance de l'Atlantique</t>
        </is>
      </c>
      <c r="H1005" s="1" t="n">
        <v>43289</v>
      </c>
      <c r="I1005" s="1" t="n">
        <v>43291</v>
      </c>
      <c r="J1005" t="inlineStr">
        <is>
          <t>Summerside, Prince Edward Island</t>
        </is>
      </c>
      <c r="K1005" t="inlineStr">
        <is>
          <t>Summerside, Île-du-Prince-Édouard</t>
        </is>
      </c>
      <c r="P1005" t="n">
        <v>1037.74</v>
      </c>
      <c r="Q1005" t="n">
        <v>92.20999999999999</v>
      </c>
      <c r="R1005" t="n">
        <v>355.34</v>
      </c>
      <c r="S1005" t="n">
        <v>225.5</v>
      </c>
      <c r="T1005" t="n">
        <v>0</v>
      </c>
      <c r="U1005" t="n">
        <v>1710.79</v>
      </c>
      <c r="X1005" t="inlineStr">
        <is>
          <t>aafc-aac</t>
        </is>
      </c>
      <c r="Y1005" t="inlineStr">
        <is>
          <t>Agriculture and Agri-Food Canada | Agriculture et Agroalimentaire Canada</t>
        </is>
      </c>
      <c r="Z1005" t="n">
        <v>3</v>
      </c>
      <c r="AA1005" t="n">
        <v>1710.79</v>
      </c>
      <c r="AB1005">
        <f>ROUND(U1005-AA1005,2)</f>
        <v/>
      </c>
      <c r="AC1005" t="b">
        <v>0</v>
      </c>
      <c r="AD1005">
        <f>IF(U1005="","MISSING_TOTAL",IF(ABS(AB1005)&lt;=0.01,"OK","CHECK"))</f>
        <v/>
      </c>
      <c r="AE1005">
        <f>IF(U1005="","MISSING",IF(AND(AA1005&gt;0,U1005/AA1005&gt;50),"POSSIBLE_SCALE_ERROR","OK"))</f>
        <v/>
      </c>
    </row>
    <row r="1006">
      <c r="A1006" t="inlineStr">
        <is>
          <t>T-2018-Q2-00032</t>
        </is>
      </c>
      <c r="B1006" t="inlineStr">
        <is>
          <t>MPSES</t>
        </is>
      </c>
      <c r="C1006" t="inlineStr">
        <is>
          <t>Student</t>
        </is>
      </c>
      <c r="D1006" t="inlineStr">
        <is>
          <t>Etudiant</t>
        </is>
      </c>
      <c r="E1006" t="inlineStr">
        <is>
          <t>Nicholas McRoberts</t>
        </is>
      </c>
      <c r="F1006" t="inlineStr">
        <is>
          <t>To accompany the Minister for announcements and the Atlantic Growth Strategy Meetings</t>
        </is>
      </c>
      <c r="G1006" t="inlineStr">
        <is>
          <t>Accompagner le ministre aux annonces et aux réunions sur la stratégie de croissance de l'Atlantique</t>
        </is>
      </c>
      <c r="H1006" s="1" t="n">
        <v>43286</v>
      </c>
      <c r="I1006" s="1" t="n">
        <v>43291</v>
      </c>
      <c r="J1006" t="inlineStr">
        <is>
          <t>Charlottetown, Prince Edward Island</t>
        </is>
      </c>
      <c r="K1006" t="inlineStr">
        <is>
          <t>Charlottetown, Île-du-Prince-Édouard</t>
        </is>
      </c>
      <c r="P1006" t="n">
        <v>764.5599999999999</v>
      </c>
      <c r="Q1006" t="n">
        <v>0</v>
      </c>
      <c r="R1006" t="n">
        <v>0</v>
      </c>
      <c r="S1006" t="n">
        <v>318.2</v>
      </c>
      <c r="T1006" t="n">
        <v>0</v>
      </c>
      <c r="U1006" t="n">
        <v>1082.76</v>
      </c>
      <c r="X1006" t="inlineStr">
        <is>
          <t>aafc-aac</t>
        </is>
      </c>
      <c r="Y1006" t="inlineStr">
        <is>
          <t>Agriculture and Agri-Food Canada | Agriculture et Agroalimentaire Canada</t>
        </is>
      </c>
      <c r="Z1006" t="n">
        <v>6</v>
      </c>
      <c r="AA1006" t="n">
        <v>1082.76</v>
      </c>
      <c r="AB1006">
        <f>ROUND(U1006-AA1006,2)</f>
        <v/>
      </c>
      <c r="AC1006" t="b">
        <v>0</v>
      </c>
      <c r="AD1006">
        <f>IF(U1006="","MISSING_TOTAL",IF(ABS(AB1006)&lt;=0.01,"OK","CHECK"))</f>
        <v/>
      </c>
      <c r="AE1006">
        <f>IF(U1006="","MISSING",IF(AND(AA1006&gt;0,U1006/AA1006&gt;50),"POSSIBLE_SCALE_ERROR","OK"))</f>
        <v/>
      </c>
    </row>
    <row r="1007">
      <c r="A1007" t="inlineStr">
        <is>
          <t>T-2018-Q2-00033</t>
        </is>
      </c>
      <c r="B1007" t="inlineStr">
        <is>
          <t>MPSES</t>
        </is>
      </c>
      <c r="C1007" t="inlineStr">
        <is>
          <t>Student</t>
        </is>
      </c>
      <c r="D1007" t="inlineStr">
        <is>
          <t>Etudiant</t>
        </is>
      </c>
      <c r="E1007" t="inlineStr">
        <is>
          <t>Nicholas McRoberts</t>
        </is>
      </c>
      <c r="F1007" t="inlineStr">
        <is>
          <t>To support the Minister for Government annoucements</t>
        </is>
      </c>
      <c r="G1007" t="inlineStr">
        <is>
          <t>Soutenir le ministre pour les annonces du gouvernement</t>
        </is>
      </c>
      <c r="H1007" s="1" t="n">
        <v>43340</v>
      </c>
      <c r="I1007" s="1" t="n">
        <v>43342</v>
      </c>
      <c r="J1007" t="inlineStr">
        <is>
          <t>Charlottetown, Prince Edward Island</t>
        </is>
      </c>
      <c r="K1007" t="inlineStr">
        <is>
          <t>Charlottetown, Île-du-Prince-Édouard</t>
        </is>
      </c>
      <c r="P1007" t="n">
        <v>762.3</v>
      </c>
      <c r="Q1007" t="n">
        <v>0</v>
      </c>
      <c r="R1007" t="n">
        <v>0</v>
      </c>
      <c r="S1007" t="n">
        <v>121.15</v>
      </c>
      <c r="T1007" t="n">
        <v>0</v>
      </c>
      <c r="U1007" t="n">
        <v>883.45</v>
      </c>
      <c r="X1007" t="inlineStr">
        <is>
          <t>aafc-aac</t>
        </is>
      </c>
      <c r="Y1007" t="inlineStr">
        <is>
          <t>Agriculture and Agri-Food Canada | Agriculture et Agroalimentaire Canada</t>
        </is>
      </c>
      <c r="Z1007" t="n">
        <v>3</v>
      </c>
      <c r="AA1007" t="n">
        <v>883.449999999999</v>
      </c>
      <c r="AB1007">
        <f>ROUND(U1007-AA1007,2)</f>
        <v/>
      </c>
      <c r="AC1007" t="b">
        <v>0</v>
      </c>
      <c r="AD1007">
        <f>IF(U1007="","MISSING_TOTAL",IF(ABS(AB1007)&lt;=0.01,"OK","CHECK"))</f>
        <v/>
      </c>
      <c r="AE1007">
        <f>IF(U1007="","MISSING",IF(AND(AA1007&gt;0,U1007/AA1007&gt;50),"POSSIBLE_SCALE_ERROR","OK"))</f>
        <v/>
      </c>
    </row>
    <row r="1008">
      <c r="A1008" t="inlineStr">
        <is>
          <t>T-2018-Q2-00034</t>
        </is>
      </c>
      <c r="B1008" t="inlineStr">
        <is>
          <t>MPSES</t>
        </is>
      </c>
      <c r="C1008" t="inlineStr">
        <is>
          <t>Parliamentary Secretary</t>
        </is>
      </c>
      <c r="D1008" t="inlineStr">
        <is>
          <t>Secrétaire parlementaire</t>
        </is>
      </c>
      <c r="E1008" t="inlineStr">
        <is>
          <t>Jean-Claude Poissant</t>
        </is>
      </c>
      <c r="F1008" t="inlineStr">
        <is>
          <t>To attend Fierte Agricole meeting about mental health in Agriculture</t>
        </is>
      </c>
      <c r="G1008" t="inlineStr">
        <is>
          <t>Assister à la réunion Fierte Agricole sur la santé mentale en agriculture</t>
        </is>
      </c>
      <c r="H1008" s="1" t="n">
        <v>43280</v>
      </c>
      <c r="I1008" s="1" t="n">
        <v>43280</v>
      </c>
      <c r="J1008" t="inlineStr">
        <is>
          <t>Bonaventure, Quebec</t>
        </is>
      </c>
      <c r="K1008" t="inlineStr">
        <is>
          <t>Bonaventure, Québec</t>
        </is>
      </c>
      <c r="P1008" t="n">
        <v>1641.34</v>
      </c>
      <c r="Q1008" t="n">
        <v>0</v>
      </c>
      <c r="R1008" t="n">
        <v>0</v>
      </c>
      <c r="S1008" t="n">
        <v>86.8</v>
      </c>
      <c r="T1008" t="n">
        <v>0</v>
      </c>
      <c r="U1008" t="n">
        <v>1728.14</v>
      </c>
      <c r="X1008" t="inlineStr">
        <is>
          <t>aafc-aac</t>
        </is>
      </c>
      <c r="Y1008" t="inlineStr">
        <is>
          <t>Agriculture and Agri-Food Canada | Agriculture et Agroalimentaire Canada</t>
        </is>
      </c>
      <c r="Z1008" t="n">
        <v>1</v>
      </c>
      <c r="AA1008" t="n">
        <v>1728.13999999999</v>
      </c>
      <c r="AB1008">
        <f>ROUND(U1008-AA1008,2)</f>
        <v/>
      </c>
      <c r="AC1008" t="b">
        <v>0</v>
      </c>
      <c r="AD1008">
        <f>IF(U1008="","MISSING_TOTAL",IF(ABS(AB1008)&lt;=0.01,"OK","CHECK"))</f>
        <v/>
      </c>
      <c r="AE1008">
        <f>IF(U1008="","MISSING",IF(AND(AA1008&gt;0,U1008/AA1008&gt;50),"POSSIBLE_SCALE_ERROR","OK"))</f>
        <v/>
      </c>
    </row>
    <row r="1009">
      <c r="A1009" t="inlineStr">
        <is>
          <t>T-2018-Q2-00035</t>
        </is>
      </c>
      <c r="B1009" t="inlineStr">
        <is>
          <t>MPSES</t>
        </is>
      </c>
      <c r="C1009" t="inlineStr">
        <is>
          <t>Parliamentary Secretary</t>
        </is>
      </c>
      <c r="D1009" t="inlineStr">
        <is>
          <t>Secrétaire parlementaire</t>
        </is>
      </c>
      <c r="E1009" t="inlineStr">
        <is>
          <t>Jean-Claude Poissant</t>
        </is>
      </c>
      <c r="F1009" t="inlineStr">
        <is>
          <t>To attend the Canadian Horticultural Council - The Voice of the Canadian fruit and vegetable growers</t>
        </is>
      </c>
      <c r="G1009" t="inlineStr">
        <is>
          <t>Assister au Conseil canadien de l'horticulture - La voix des producteurs canadiens de fruits et légumes</t>
        </is>
      </c>
      <c r="H1009" s="1" t="n">
        <v>43285</v>
      </c>
      <c r="I1009" s="1" t="n">
        <v>43286</v>
      </c>
      <c r="J1009" t="inlineStr">
        <is>
          <t>Quebec, Quebec</t>
        </is>
      </c>
      <c r="K1009" t="inlineStr">
        <is>
          <t>Québec, Québec</t>
        </is>
      </c>
      <c r="P1009" t="n">
        <v>0</v>
      </c>
      <c r="Q1009" t="n">
        <v>0</v>
      </c>
      <c r="R1009" t="n">
        <v>213.01</v>
      </c>
      <c r="S1009" t="n">
        <v>130.9</v>
      </c>
      <c r="T1009" t="n">
        <v>0</v>
      </c>
      <c r="U1009" t="n">
        <v>343.91</v>
      </c>
      <c r="X1009" t="inlineStr">
        <is>
          <t>aafc-aac</t>
        </is>
      </c>
      <c r="Y1009" t="inlineStr">
        <is>
          <t>Agriculture and Agri-Food Canada | Agriculture et Agroalimentaire Canada</t>
        </is>
      </c>
      <c r="Z1009" t="n">
        <v>2</v>
      </c>
      <c r="AA1009" t="n">
        <v>343.909999999999</v>
      </c>
      <c r="AB1009">
        <f>ROUND(U1009-AA1009,2)</f>
        <v/>
      </c>
      <c r="AC1009" t="b">
        <v>0</v>
      </c>
      <c r="AD1009">
        <f>IF(U1009="","MISSING_TOTAL",IF(ABS(AB1009)&lt;=0.01,"OK","CHECK"))</f>
        <v/>
      </c>
      <c r="AE1009">
        <f>IF(U1009="","MISSING",IF(AND(AA1009&gt;0,U1009/AA1009&gt;50),"POSSIBLE_SCALE_ERROR","OK"))</f>
        <v/>
      </c>
    </row>
    <row r="1010">
      <c r="A1010" t="inlineStr">
        <is>
          <t>T-2018-Q2-00036</t>
        </is>
      </c>
      <c r="B1010" t="inlineStr">
        <is>
          <t>MPSES</t>
        </is>
      </c>
      <c r="C1010" t="inlineStr">
        <is>
          <t>Parliamentary Secretary Assistant</t>
        </is>
      </c>
      <c r="D1010" t="inlineStr">
        <is>
          <t>Adjoint du Secrétaire parlementaire</t>
        </is>
      </c>
      <c r="E1010" t="inlineStr">
        <is>
          <t>Michel-Antoine Renaud</t>
        </is>
      </c>
      <c r="F1010" t="inlineStr">
        <is>
          <t>To accompany the Parliamentary Secretary to the Ormstown Fair for a speech</t>
        </is>
      </c>
      <c r="G1010" t="inlineStr">
        <is>
          <t>Accompagner le secrétaire parlementaire à la foire d'Ormstown pour un discours</t>
        </is>
      </c>
      <c r="H1010" s="1" t="n">
        <v>43258</v>
      </c>
      <c r="I1010" s="1" t="n">
        <v>43258</v>
      </c>
      <c r="J1010" t="inlineStr">
        <is>
          <t>Ormstown, Quebec</t>
        </is>
      </c>
      <c r="K1010" t="inlineStr">
        <is>
          <t>Ormstown, Québec</t>
        </is>
      </c>
      <c r="P1010" t="n">
        <v>0</v>
      </c>
      <c r="Q1010" t="n">
        <v>75.67</v>
      </c>
      <c r="R1010" t="n">
        <v>0</v>
      </c>
      <c r="S1010" t="n">
        <v>0</v>
      </c>
      <c r="T1010" t="n">
        <v>0</v>
      </c>
      <c r="U1010" t="n">
        <v>75.67</v>
      </c>
      <c r="X1010" t="inlineStr">
        <is>
          <t>aafc-aac</t>
        </is>
      </c>
      <c r="Y1010" t="inlineStr">
        <is>
          <t>Agriculture and Agri-Food Canada | Agriculture et Agroalimentaire Canada</t>
        </is>
      </c>
      <c r="Z1010" t="n">
        <v>1</v>
      </c>
      <c r="AA1010" t="n">
        <v>75.67</v>
      </c>
      <c r="AB1010">
        <f>ROUND(U1010-AA1010,2)</f>
        <v/>
      </c>
      <c r="AC1010" t="b">
        <v>0</v>
      </c>
      <c r="AD1010">
        <f>IF(U1010="","MISSING_TOTAL",IF(ABS(AB1010)&lt;=0.01,"OK","CHECK"))</f>
        <v/>
      </c>
      <c r="AE1010">
        <f>IF(U1010="","MISSING",IF(AND(AA1010&gt;0,U1010/AA1010&gt;50),"POSSIBLE_SCALE_ERROR","OK"))</f>
        <v/>
      </c>
    </row>
    <row r="1011">
      <c r="A1011" t="inlineStr">
        <is>
          <t>T-2018-Q2-00037</t>
        </is>
      </c>
      <c r="B1011" t="inlineStr">
        <is>
          <t>MPSES</t>
        </is>
      </c>
      <c r="C1011" t="inlineStr">
        <is>
          <t>Parliamentary Secretary Assistant</t>
        </is>
      </c>
      <c r="D1011" t="inlineStr">
        <is>
          <t>Adjoint du Secrétaire parlementaire</t>
        </is>
      </c>
      <c r="E1011" t="inlineStr">
        <is>
          <t>Michel-Antoine Renaud</t>
        </is>
      </c>
      <c r="F1011" t="inlineStr">
        <is>
          <t>To accompany the Minister and the Parliamentary Secretary on Quebec outreach</t>
        </is>
      </c>
      <c r="G1011" t="inlineStr">
        <is>
          <t>Accompagner le ministre et le secrétaire parlementaire sur la sensibilisation du Québec</t>
        </is>
      </c>
      <c r="H1011" s="1" t="n">
        <v>43276</v>
      </c>
      <c r="I1011" s="1" t="n">
        <v>43278</v>
      </c>
      <c r="J1011" t="inlineStr">
        <is>
          <t>Sherbrooke and Montreal, Quebec</t>
        </is>
      </c>
      <c r="K1011" t="inlineStr">
        <is>
          <t>Sherbrooke et Montréal, Québec</t>
        </is>
      </c>
      <c r="P1011" t="n">
        <v>0</v>
      </c>
      <c r="Q1011" t="n">
        <v>265.95</v>
      </c>
      <c r="R1011" t="n">
        <v>437.94</v>
      </c>
      <c r="S1011" t="n">
        <v>196.55</v>
      </c>
      <c r="T1011" t="n">
        <v>0</v>
      </c>
      <c r="U1011" t="n">
        <v>900.4400000000001</v>
      </c>
      <c r="X1011" t="inlineStr">
        <is>
          <t>aafc-aac</t>
        </is>
      </c>
      <c r="Y1011" t="inlineStr">
        <is>
          <t>Agriculture and Agri-Food Canada | Agriculture et Agroalimentaire Canada</t>
        </is>
      </c>
      <c r="Z1011" t="n">
        <v>3</v>
      </c>
      <c r="AA1011" t="n">
        <v>900.4400000000001</v>
      </c>
      <c r="AB1011">
        <f>ROUND(U1011-AA1011,2)</f>
        <v/>
      </c>
      <c r="AC1011" t="b">
        <v>0</v>
      </c>
      <c r="AD1011">
        <f>IF(U1011="","MISSING_TOTAL",IF(ABS(AB1011)&lt;=0.01,"OK","CHECK"))</f>
        <v/>
      </c>
      <c r="AE1011">
        <f>IF(U1011="","MISSING",IF(AND(AA1011&gt;0,U1011/AA1011&gt;50),"POSSIBLE_SCALE_ERROR","OK"))</f>
        <v/>
      </c>
    </row>
    <row r="1012">
      <c r="A1012" t="inlineStr">
        <is>
          <t>T-2018-Q2-00038</t>
        </is>
      </c>
      <c r="B1012" t="inlineStr">
        <is>
          <t>MPSES</t>
        </is>
      </c>
      <c r="C1012" t="inlineStr">
        <is>
          <t>Parliamentary Secretary Assistant</t>
        </is>
      </c>
      <c r="D1012" t="inlineStr">
        <is>
          <t>Adjoint du Secrétaire parlementaire</t>
        </is>
      </c>
      <c r="E1012" t="inlineStr">
        <is>
          <t>Michel-Antoine Renaud</t>
        </is>
      </c>
      <c r="F1012" t="inlineStr">
        <is>
          <t>To accompany Parliamentary Secretary to the Canadian Horticultural Council - The voice of the Canadian fruit and vegetable growers</t>
        </is>
      </c>
      <c r="G1012" t="inlineStr">
        <is>
          <t>Accompagner le secrétaire parlementaire du Conseil canadien de l'horticulture - La voix des producteurs canadiens de fruits et légumes</t>
        </is>
      </c>
      <c r="H1012" s="1" t="n">
        <v>43285</v>
      </c>
      <c r="I1012" s="1" t="n">
        <v>43286</v>
      </c>
      <c r="J1012" t="inlineStr">
        <is>
          <t>Quebec, Quebec</t>
        </is>
      </c>
      <c r="K1012" t="inlineStr">
        <is>
          <t>Québec, Québec</t>
        </is>
      </c>
      <c r="P1012" t="n">
        <v>0</v>
      </c>
      <c r="Q1012" t="n">
        <v>170.24</v>
      </c>
      <c r="R1012" t="n">
        <v>213.01</v>
      </c>
      <c r="S1012" t="n">
        <v>130.9</v>
      </c>
      <c r="T1012" t="n">
        <v>0</v>
      </c>
      <c r="U1012" t="n">
        <v>514.15</v>
      </c>
      <c r="X1012" t="inlineStr">
        <is>
          <t>aafc-aac</t>
        </is>
      </c>
      <c r="Y1012" t="inlineStr">
        <is>
          <t>Agriculture and Agri-Food Canada | Agriculture et Agroalimentaire Canada</t>
        </is>
      </c>
      <c r="Z1012" t="n">
        <v>2</v>
      </c>
      <c r="AA1012" t="n">
        <v>514.15</v>
      </c>
      <c r="AB1012">
        <f>ROUND(U1012-AA1012,2)</f>
        <v/>
      </c>
      <c r="AC1012" t="b">
        <v>0</v>
      </c>
      <c r="AD1012">
        <f>IF(U1012="","MISSING_TOTAL",IF(ABS(AB1012)&lt;=0.01,"OK","CHECK"))</f>
        <v/>
      </c>
      <c r="AE1012">
        <f>IF(U1012="","MISSING",IF(AND(AA1012&gt;0,U1012/AA1012&gt;50),"POSSIBLE_SCALE_ERROR","OK"))</f>
        <v/>
      </c>
    </row>
    <row r="1013">
      <c r="A1013" t="inlineStr">
        <is>
          <t>T-2018-Q2-00039</t>
        </is>
      </c>
      <c r="B1013" t="inlineStr">
        <is>
          <t>MPSES</t>
        </is>
      </c>
      <c r="C1013" t="inlineStr">
        <is>
          <t>Parliamentary Secretary Assistant</t>
        </is>
      </c>
      <c r="D1013" t="inlineStr">
        <is>
          <t>Adjoint du Secrétaire parlementaire</t>
        </is>
      </c>
      <c r="E1013" t="inlineStr">
        <is>
          <t>Michel-Antoine Renaud</t>
        </is>
      </c>
      <c r="F1013" t="inlineStr">
        <is>
          <t>To accompany Parliamentary Secretary to the Dairy Farmers of Canada annual general meeting in Quebec</t>
        </is>
      </c>
      <c r="G1013" t="inlineStr">
        <is>
          <t>Accompagner le secrétaire parlementaire à l'assemblée générale annuelle des Producteurs laitiers du Canada à Québec</t>
        </is>
      </c>
      <c r="H1013" s="1" t="n">
        <v>43297</v>
      </c>
      <c r="I1013" s="1" t="n">
        <v>43298</v>
      </c>
      <c r="J1013" t="inlineStr">
        <is>
          <t>Quebec, Quebec</t>
        </is>
      </c>
      <c r="K1013" t="inlineStr">
        <is>
          <t>Québec, Québec</t>
        </is>
      </c>
      <c r="P1013" t="n">
        <v>0</v>
      </c>
      <c r="Q1013" t="n">
        <v>221.52</v>
      </c>
      <c r="R1013" t="n">
        <v>175.58</v>
      </c>
      <c r="S1013" t="n">
        <v>121.4</v>
      </c>
      <c r="T1013" t="n">
        <v>0</v>
      </c>
      <c r="U1013" t="n">
        <v>518.5</v>
      </c>
      <c r="X1013" t="inlineStr">
        <is>
          <t>aafc-aac</t>
        </is>
      </c>
      <c r="Y1013" t="inlineStr">
        <is>
          <t>Agriculture and Agri-Food Canada | Agriculture et Agroalimentaire Canada</t>
        </is>
      </c>
      <c r="Z1013" t="n">
        <v>2</v>
      </c>
      <c r="AA1013" t="n">
        <v>518.5</v>
      </c>
      <c r="AB1013">
        <f>ROUND(U1013-AA1013,2)</f>
        <v/>
      </c>
      <c r="AC1013" t="b">
        <v>0</v>
      </c>
      <c r="AD1013">
        <f>IF(U1013="","MISSING_TOTAL",IF(ABS(AB1013)&lt;=0.01,"OK","CHECK"))</f>
        <v/>
      </c>
      <c r="AE1013">
        <f>IF(U1013="","MISSING",IF(AND(AA1013&gt;0,U1013/AA1013&gt;50),"POSSIBLE_SCALE_ERROR","OK"))</f>
        <v/>
      </c>
    </row>
    <row r="1014">
      <c r="A1014" t="inlineStr">
        <is>
          <t>T-2018-Q2-00040</t>
        </is>
      </c>
      <c r="B1014" t="inlineStr">
        <is>
          <t>MPSES</t>
        </is>
      </c>
      <c r="C1014" t="inlineStr">
        <is>
          <t>Parliamentary Secretary Assistant</t>
        </is>
      </c>
      <c r="D1014" t="inlineStr">
        <is>
          <t>Adjoint du Secrétaire parlementaire</t>
        </is>
      </c>
      <c r="E1014" t="inlineStr">
        <is>
          <t>Michel-Antoine Renaud</t>
        </is>
      </c>
      <c r="F1014" t="inlineStr">
        <is>
          <t>To accompany the Minister and the Parliamentary Secretary to the Youth Elite Farmer Gala and EXPO Champs</t>
        </is>
      </c>
      <c r="G1014" t="inlineStr">
        <is>
          <t>Accompagner le ministre et le secrétaire parlementaire du Gala de la jeunesse et de l'EXPO</t>
        </is>
      </c>
      <c r="H1014" s="1" t="n">
        <v>43339</v>
      </c>
      <c r="I1014" s="1" t="n">
        <v>43341</v>
      </c>
      <c r="J1014" t="inlineStr">
        <is>
          <t>Bromont, Quebec</t>
        </is>
      </c>
      <c r="K1014" t="inlineStr">
        <is>
          <t>Bromont, Québec</t>
        </is>
      </c>
      <c r="P1014" t="n">
        <v>0</v>
      </c>
      <c r="Q1014" t="n">
        <v>156.44</v>
      </c>
      <c r="R1014" t="n">
        <v>271.32</v>
      </c>
      <c r="S1014" t="n">
        <v>157.9</v>
      </c>
      <c r="T1014" t="n">
        <v>0</v>
      </c>
      <c r="U1014" t="n">
        <v>585.66</v>
      </c>
      <c r="X1014" t="inlineStr">
        <is>
          <t>aafc-aac</t>
        </is>
      </c>
      <c r="Y1014" t="inlineStr">
        <is>
          <t>Agriculture and Agri-Food Canada | Agriculture et Agroalimentaire Canada</t>
        </is>
      </c>
      <c r="Z1014" t="n">
        <v>3</v>
      </c>
      <c r="AA1014" t="n">
        <v>585.66</v>
      </c>
      <c r="AB1014">
        <f>ROUND(U1014-AA1014,2)</f>
        <v/>
      </c>
      <c r="AC1014" t="b">
        <v>0</v>
      </c>
      <c r="AD1014">
        <f>IF(U1014="","MISSING_TOTAL",IF(ABS(AB1014)&lt;=0.01,"OK","CHECK"))</f>
        <v/>
      </c>
      <c r="AE1014">
        <f>IF(U1014="","MISSING",IF(AND(AA1014&gt;0,U1014/AA1014&gt;50),"POSSIBLE_SCALE_ERROR","OK"))</f>
        <v/>
      </c>
    </row>
    <row r="1015">
      <c r="A1015" t="inlineStr">
        <is>
          <t>T-2018-Q1-00012</t>
        </is>
      </c>
      <c r="B1015" t="inlineStr">
        <is>
          <t>MPSES</t>
        </is>
      </c>
      <c r="C1015" t="inlineStr">
        <is>
          <t>Chief of Staff</t>
        </is>
      </c>
      <c r="D1015" t="inlineStr">
        <is>
          <t>Chef de cabinet</t>
        </is>
      </c>
      <c r="E1015" t="inlineStr">
        <is>
          <t>Mary Jean McFall</t>
        </is>
      </c>
      <c r="F1015" t="inlineStr">
        <is>
          <t>Travel for the Ministerial Mission to China</t>
        </is>
      </c>
      <c r="G1015" t="inlineStr">
        <is>
          <t>Voyage pour la mission ministérielle en Chine</t>
        </is>
      </c>
      <c r="H1015" s="1" t="n">
        <v>43231</v>
      </c>
      <c r="I1015" s="1" t="n">
        <v>43239</v>
      </c>
      <c r="J1015" t="inlineStr">
        <is>
          <t>Shanghai &amp; Hangzhou, China</t>
        </is>
      </c>
      <c r="K1015" t="inlineStr">
        <is>
          <t>Shanghai et Hangzhou, Chine</t>
        </is>
      </c>
      <c r="P1015" t="n">
        <v>8309.18</v>
      </c>
      <c r="Q1015" t="n">
        <v>36.35</v>
      </c>
      <c r="R1015" t="n">
        <v>2045.04</v>
      </c>
      <c r="S1015" t="n">
        <v>1270.47</v>
      </c>
      <c r="T1015" t="n">
        <v>0</v>
      </c>
      <c r="U1015" t="n">
        <v>11661.04</v>
      </c>
      <c r="V1015" t="n">
        <v>1900016116</v>
      </c>
      <c r="X1015" t="inlineStr">
        <is>
          <t>aafc-aac</t>
        </is>
      </c>
      <c r="Y1015" t="inlineStr">
        <is>
          <t>Agriculture and Agri-Food Canada | Agriculture et Agroalimentaire Canada</t>
        </is>
      </c>
      <c r="Z1015" t="n">
        <v>9</v>
      </c>
      <c r="AA1015" t="n">
        <v>11661.0399999999</v>
      </c>
      <c r="AB1015">
        <f>ROUND(U1015-AA1015,2)</f>
        <v/>
      </c>
      <c r="AC1015" t="b">
        <v>0</v>
      </c>
      <c r="AD1015">
        <f>IF(U1015="","MISSING_TOTAL",IF(ABS(AB1015)&lt;=0.01,"OK","CHECK"))</f>
        <v/>
      </c>
      <c r="AE1015">
        <f>IF(U1015="","MISSING",IF(AND(AA1015&gt;0,U1015/AA1015&gt;50),"POSSIBLE_SCALE_ERROR","OK"))</f>
        <v/>
      </c>
    </row>
    <row r="1016">
      <c r="A1016" t="inlineStr">
        <is>
          <t>T-2018-Q2-00041</t>
        </is>
      </c>
      <c r="B1016" t="inlineStr">
        <is>
          <t>SLE</t>
        </is>
      </c>
      <c r="C1016" t="inlineStr">
        <is>
          <t>Deputy Minister</t>
        </is>
      </c>
      <c r="D1016" t="inlineStr">
        <is>
          <t>Sous-Ministre</t>
        </is>
      </c>
      <c r="E1016" t="inlineStr">
        <is>
          <t>Chris Forbes</t>
        </is>
      </c>
      <c r="F1016" t="inlineStr">
        <is>
          <t>Co-chair and attend an Agri-Food Economic Strategy Table</t>
        </is>
      </c>
      <c r="G1016" t="inlineStr">
        <is>
          <t>Coprésider et assister à une table de stratégie économique agroalimentaire</t>
        </is>
      </c>
      <c r="H1016" s="1" t="n">
        <v>43255</v>
      </c>
      <c r="I1016" s="1" t="n">
        <v>43256</v>
      </c>
      <c r="J1016" t="inlineStr">
        <is>
          <t>Toronto, Ontario</t>
        </is>
      </c>
      <c r="K1016" t="inlineStr">
        <is>
          <t>Toronto, Ontario</t>
        </is>
      </c>
      <c r="P1016" t="n">
        <v>545.59</v>
      </c>
      <c r="Q1016" t="n">
        <v>0</v>
      </c>
      <c r="R1016" t="n">
        <v>304.38</v>
      </c>
      <c r="S1016" t="n">
        <v>19.45</v>
      </c>
      <c r="T1016" t="n">
        <v>0</v>
      </c>
      <c r="U1016" t="n">
        <v>869.42</v>
      </c>
      <c r="X1016" t="inlineStr">
        <is>
          <t>aafc-aac</t>
        </is>
      </c>
      <c r="Y1016" t="inlineStr">
        <is>
          <t>Agriculture and Agri-Food Canada | Agriculture et Agroalimentaire Canada</t>
        </is>
      </c>
      <c r="Z1016" t="n">
        <v>2</v>
      </c>
      <c r="AA1016" t="n">
        <v>869.42</v>
      </c>
      <c r="AB1016">
        <f>ROUND(U1016-AA1016,2)</f>
        <v/>
      </c>
      <c r="AC1016" t="b">
        <v>0</v>
      </c>
      <c r="AD1016">
        <f>IF(U1016="","MISSING_TOTAL",IF(ABS(AB1016)&lt;=0.01,"OK","CHECK"))</f>
        <v/>
      </c>
      <c r="AE1016">
        <f>IF(U1016="","MISSING",IF(AND(AA1016&gt;0,U1016/AA1016&gt;50),"POSSIBLE_SCALE_ERROR","OK"))</f>
        <v/>
      </c>
    </row>
    <row r="1017">
      <c r="A1017" t="inlineStr">
        <is>
          <t>T-2018-Q2-00042</t>
        </is>
      </c>
      <c r="B1017" t="inlineStr">
        <is>
          <t>SLE</t>
        </is>
      </c>
      <c r="C1017" t="inlineStr">
        <is>
          <t>Deputy Minister</t>
        </is>
      </c>
      <c r="D1017" t="inlineStr">
        <is>
          <t>Sous-Ministre</t>
        </is>
      </c>
      <c r="E1017" t="inlineStr">
        <is>
          <t>Chris Forbes</t>
        </is>
      </c>
      <c r="F1017" t="inlineStr">
        <is>
          <t>Outreach to Winnipeg, Manitoba and speaking engagement at the Canola Council Board meeting in Winnipeg, Manitoba</t>
        </is>
      </c>
      <c r="G1017" t="inlineStr">
        <is>
          <t>Sensibilisation à Winnipeg (Manitoba) et participation à la réunion du conseil du conseil du canola à Winnipeg (Manitoba)</t>
        </is>
      </c>
      <c r="H1017" s="1" t="n">
        <v>43269</v>
      </c>
      <c r="I1017" s="1" t="n">
        <v>43270</v>
      </c>
      <c r="J1017" t="inlineStr">
        <is>
          <t>Winnipeg, Manitoba</t>
        </is>
      </c>
      <c r="K1017" t="inlineStr">
        <is>
          <t>Winnipeg, Manitoba</t>
        </is>
      </c>
      <c r="P1017" t="n">
        <v>543.28</v>
      </c>
      <c r="Q1017" t="n">
        <v>0</v>
      </c>
      <c r="R1017" t="n">
        <v>199.84</v>
      </c>
      <c r="S1017" t="n">
        <v>134.95</v>
      </c>
      <c r="T1017" t="n">
        <v>0</v>
      </c>
      <c r="U1017" t="n">
        <v>878.0700000000001</v>
      </c>
      <c r="X1017" t="inlineStr">
        <is>
          <t>aafc-aac</t>
        </is>
      </c>
      <c r="Y1017" t="inlineStr">
        <is>
          <t>Agriculture and Agri-Food Canada | Agriculture et Agroalimentaire Canada</t>
        </is>
      </c>
      <c r="Z1017" t="n">
        <v>2</v>
      </c>
      <c r="AA1017" t="n">
        <v>878.069999999999</v>
      </c>
      <c r="AB1017">
        <f>ROUND(U1017-AA1017,2)</f>
        <v/>
      </c>
      <c r="AC1017" t="b">
        <v>0</v>
      </c>
      <c r="AD1017">
        <f>IF(U1017="","MISSING_TOTAL",IF(ABS(AB1017)&lt;=0.01,"OK","CHECK"))</f>
        <v/>
      </c>
      <c r="AE1017">
        <f>IF(U1017="","MISSING",IF(AND(AA1017&gt;0,U1017/AA1017&gt;50),"POSSIBLE_SCALE_ERROR","OK"))</f>
        <v/>
      </c>
    </row>
    <row r="1018">
      <c r="A1018" t="inlineStr">
        <is>
          <t>T-2018-Q2-00043</t>
        </is>
      </c>
      <c r="B1018" t="inlineStr">
        <is>
          <t>SLE</t>
        </is>
      </c>
      <c r="C1018" t="inlineStr">
        <is>
          <t>Deputy Minister</t>
        </is>
      </c>
      <c r="D1018" t="inlineStr">
        <is>
          <t>Sous-Ministre</t>
        </is>
      </c>
      <c r="E1018" t="inlineStr">
        <is>
          <t>Chris Forbes</t>
        </is>
      </c>
      <c r="F1018" t="inlineStr">
        <is>
          <t>Outreach to Regina, Saskatchewan and speaking engagement at the Pulse and Special Crops Convention in Regina, Saskatchewan</t>
        </is>
      </c>
      <c r="G1018" t="inlineStr">
        <is>
          <t>Sensibilisation à Regina (Saskatchewan) et participation à la Convention sur les légumineuses et les cultures spéciales à Regina, en Saskatchewan</t>
        </is>
      </c>
      <c r="H1018" s="1" t="n">
        <v>43291</v>
      </c>
      <c r="I1018" s="1" t="n">
        <v>43294</v>
      </c>
      <c r="J1018" t="inlineStr">
        <is>
          <t>Regina, Saskatchewan</t>
        </is>
      </c>
      <c r="K1018" t="inlineStr">
        <is>
          <t>Regina, Saskatchewan</t>
        </is>
      </c>
      <c r="P1018" t="n">
        <v>867.65</v>
      </c>
      <c r="Q1018" t="n">
        <v>43</v>
      </c>
      <c r="R1018" t="n">
        <v>170.35</v>
      </c>
      <c r="S1018" t="n">
        <v>106</v>
      </c>
      <c r="T1018" t="n">
        <v>0</v>
      </c>
      <c r="U1018" t="n">
        <v>1187</v>
      </c>
      <c r="X1018" t="inlineStr">
        <is>
          <t>aafc-aac</t>
        </is>
      </c>
      <c r="Y1018" t="inlineStr">
        <is>
          <t>Agriculture and Agri-Food Canada | Agriculture et Agroalimentaire Canada</t>
        </is>
      </c>
      <c r="Z1018" t="n">
        <v>4</v>
      </c>
      <c r="AA1018" t="n">
        <v>1187</v>
      </c>
      <c r="AB1018">
        <f>ROUND(U1018-AA1018,2)</f>
        <v/>
      </c>
      <c r="AC1018" t="b">
        <v>0</v>
      </c>
      <c r="AD1018">
        <f>IF(U1018="","MISSING_TOTAL",IF(ABS(AB1018)&lt;=0.01,"OK","CHECK"))</f>
        <v/>
      </c>
      <c r="AE1018">
        <f>IF(U1018="","MISSING",IF(AND(AA1018&gt;0,U1018/AA1018&gt;50),"POSSIBLE_SCALE_ERROR","OK"))</f>
        <v/>
      </c>
    </row>
    <row r="1019">
      <c r="A1019" t="inlineStr">
        <is>
          <t>T-2018-Q2-00044</t>
        </is>
      </c>
      <c r="B1019" t="inlineStr">
        <is>
          <t>SLE</t>
        </is>
      </c>
      <c r="C1019" t="inlineStr">
        <is>
          <t>Deputy Minister</t>
        </is>
      </c>
      <c r="D1019" t="inlineStr">
        <is>
          <t>Sous-Ministre</t>
        </is>
      </c>
      <c r="E1019" t="inlineStr">
        <is>
          <t>Chris Forbes</t>
        </is>
      </c>
      <c r="F1019" t="inlineStr">
        <is>
          <t>Outreach to Vancouver, British Columbia and attend the 2018 annual conference of Federal Provincial Territorial Ministers and Deputy Ministers of Agriculture in Vancouver, British Columbia</t>
        </is>
      </c>
      <c r="G1019" t="inlineStr">
        <is>
          <t>Sensibilisation à Vancouver (Colombie-Britannique) et participation à la conférence annuelle des ministres provinciaux et territoriaux fédéraux et des sous-ministres de l'Agriculture de 2018 à Vancouver (Colombie-Britannique)</t>
        </is>
      </c>
      <c r="H1019" s="1" t="n">
        <v>43296</v>
      </c>
      <c r="I1019" s="1" t="n">
        <v>43302</v>
      </c>
      <c r="J1019" t="inlineStr">
        <is>
          <t>Vancouver, British Columbia</t>
        </is>
      </c>
      <c r="K1019" t="inlineStr">
        <is>
          <t>Vancouver, Colombie-Britannique</t>
        </is>
      </c>
      <c r="P1019" t="n">
        <v>830.24</v>
      </c>
      <c r="Q1019" t="n">
        <v>34.5</v>
      </c>
      <c r="R1019" t="n">
        <v>1897.65</v>
      </c>
      <c r="S1019" t="n">
        <v>347.2</v>
      </c>
      <c r="T1019" t="n">
        <v>375</v>
      </c>
      <c r="U1019" t="n">
        <v>3484.59</v>
      </c>
      <c r="X1019" t="inlineStr">
        <is>
          <t>aafc-aac</t>
        </is>
      </c>
      <c r="Y1019" t="inlineStr">
        <is>
          <t>Agriculture and Agri-Food Canada | Agriculture et Agroalimentaire Canada</t>
        </is>
      </c>
      <c r="Z1019" t="n">
        <v>7</v>
      </c>
      <c r="AA1019" t="n">
        <v>3484.59</v>
      </c>
      <c r="AB1019">
        <f>ROUND(U1019-AA1019,2)</f>
        <v/>
      </c>
      <c r="AC1019" t="b">
        <v>0</v>
      </c>
      <c r="AD1019">
        <f>IF(U1019="","MISSING_TOTAL",IF(ABS(AB1019)&lt;=0.01,"OK","CHECK"))</f>
        <v/>
      </c>
      <c r="AE1019">
        <f>IF(U1019="","MISSING",IF(AND(AA1019&gt;0,U1019/AA1019&gt;50),"POSSIBLE_SCALE_ERROR","OK"))</f>
        <v/>
      </c>
    </row>
    <row r="1020">
      <c r="A1020" t="inlineStr">
        <is>
          <t>T-2018-Q2-00045</t>
        </is>
      </c>
      <c r="B1020" t="inlineStr">
        <is>
          <t>SLE</t>
        </is>
      </c>
      <c r="C1020" t="inlineStr">
        <is>
          <t>Deputy Minister</t>
        </is>
      </c>
      <c r="D1020" t="inlineStr">
        <is>
          <t>Sous-Ministre</t>
        </is>
      </c>
      <c r="E1020" t="inlineStr">
        <is>
          <t>Chris Forbes</t>
        </is>
      </c>
      <c r="F1020" t="inlineStr">
        <is>
          <t>Outreach to Calgary, Alberta on July 26 and to Agassiz, British Columbia on July 27 as well as attending and speaking at the Canadian Agriculture Economics Association Workshop in Vancouver, British Columbia on July 28 and 29.</t>
        </is>
      </c>
      <c r="G1020" t="inlineStr">
        <is>
          <t>Sensibilisation à Calgary, en Alberta, le 26 juillet et à Agassiz, en Colombie-Britannique, le 27 juillet, ainsi qu’à l’atelier de l’Association canadienne d’économie agricole à Vancouver, en Colombie-Britannique, les 28 et 29 juillet.</t>
        </is>
      </c>
      <c r="H1020" s="1" t="n">
        <v>43306</v>
      </c>
      <c r="I1020" s="1" t="n">
        <v>43311</v>
      </c>
      <c r="J1020" t="inlineStr">
        <is>
          <t>Calgary, Alberta, Agassiz and Vancouver, British Columbia</t>
        </is>
      </c>
      <c r="K1020" t="inlineStr">
        <is>
          <t>Calgary, Alberta, Agassiz et Vancouver, Colombie-Britannique</t>
        </is>
      </c>
      <c r="P1020" t="n">
        <v>1353.73</v>
      </c>
      <c r="Q1020" t="n">
        <v>154.22</v>
      </c>
      <c r="R1020" t="n">
        <v>914.5</v>
      </c>
      <c r="S1020" t="n">
        <v>328</v>
      </c>
      <c r="T1020" t="n">
        <v>0</v>
      </c>
      <c r="U1020" t="n">
        <v>2750.45</v>
      </c>
      <c r="X1020" t="inlineStr">
        <is>
          <t>aafc-aac</t>
        </is>
      </c>
      <c r="Y1020" t="inlineStr">
        <is>
          <t>Agriculture and Agri-Food Canada | Agriculture et Agroalimentaire Canada</t>
        </is>
      </c>
      <c r="Z1020" t="n">
        <v>6</v>
      </c>
      <c r="AA1020" t="n">
        <v>2750.45</v>
      </c>
      <c r="AB1020">
        <f>ROUND(U1020-AA1020,2)</f>
        <v/>
      </c>
      <c r="AC1020" t="b">
        <v>0</v>
      </c>
      <c r="AD1020">
        <f>IF(U1020="","MISSING_TOTAL",IF(ABS(AB1020)&lt;=0.01,"OK","CHECK"))</f>
        <v/>
      </c>
      <c r="AE1020">
        <f>IF(U1020="","MISSING",IF(AND(AA1020&gt;0,U1020/AA1020&gt;50),"POSSIBLE_SCALE_ERROR","OK"))</f>
        <v/>
      </c>
    </row>
    <row r="1021">
      <c r="A1021" t="inlineStr">
        <is>
          <t>T-2018-Q2-00046</t>
        </is>
      </c>
      <c r="B1021" t="inlineStr">
        <is>
          <t>SLE</t>
        </is>
      </c>
      <c r="C1021" t="inlineStr">
        <is>
          <t>Deputy Minister</t>
        </is>
      </c>
      <c r="D1021" t="inlineStr">
        <is>
          <t>Sous-Ministre</t>
        </is>
      </c>
      <c r="E1021" t="inlineStr">
        <is>
          <t>Chris Forbes</t>
        </is>
      </c>
      <c r="F1021" t="inlineStr">
        <is>
          <t>Trilateral meeting with the Minister and Canadian Food Inspection Agency President</t>
        </is>
      </c>
      <c r="G1021" t="inlineStr">
        <is>
          <t>Réunion trilatérale avec le ministre et le président de l'Agence canadienne d'inspection des aliments</t>
        </is>
      </c>
      <c r="H1021" s="1" t="n">
        <v>43328</v>
      </c>
      <c r="I1021" s="1" t="n">
        <v>43329</v>
      </c>
      <c r="J1021" t="inlineStr">
        <is>
          <t>Charlottetown, Prince Edward Island</t>
        </is>
      </c>
      <c r="K1021" t="inlineStr">
        <is>
          <t>Charlottetown, Île-du-Prince-Édouard</t>
        </is>
      </c>
      <c r="P1021" t="n">
        <v>1322.01</v>
      </c>
      <c r="Q1021" t="n">
        <v>130.81</v>
      </c>
      <c r="R1021" t="n">
        <v>322</v>
      </c>
      <c r="S1021" t="n">
        <v>0</v>
      </c>
      <c r="T1021" t="n">
        <v>0</v>
      </c>
      <c r="U1021" t="n">
        <v>1774.82</v>
      </c>
      <c r="X1021" t="inlineStr">
        <is>
          <t>aafc-aac</t>
        </is>
      </c>
      <c r="Y1021" t="inlineStr">
        <is>
          <t>Agriculture and Agri-Food Canada | Agriculture et Agroalimentaire Canada</t>
        </is>
      </c>
      <c r="Z1021" t="n">
        <v>2</v>
      </c>
      <c r="AA1021" t="n">
        <v>1774.82</v>
      </c>
      <c r="AB1021">
        <f>ROUND(U1021-AA1021,2)</f>
        <v/>
      </c>
      <c r="AC1021" t="b">
        <v>0</v>
      </c>
      <c r="AD1021">
        <f>IF(U1021="","MISSING_TOTAL",IF(ABS(AB1021)&lt;=0.01,"OK","CHECK"))</f>
        <v/>
      </c>
      <c r="AE1021">
        <f>IF(U1021="","MISSING",IF(AND(AA1021&gt;0,U1021/AA1021&gt;50),"POSSIBLE_SCALE_ERROR","OK"))</f>
        <v/>
      </c>
    </row>
    <row r="1022">
      <c r="A1022" t="inlineStr">
        <is>
          <t>T-2018-Q2-00052</t>
        </is>
      </c>
      <c r="B1022" t="inlineStr">
        <is>
          <t>SLE</t>
        </is>
      </c>
      <c r="C1022" t="inlineStr">
        <is>
          <t>Assistant deputy minister, Science and Technology Branch</t>
        </is>
      </c>
      <c r="D1022" t="inlineStr">
        <is>
          <t>Sous-ministre adjoint, Direction Générale des sciences et de la technologie</t>
        </is>
      </c>
      <c r="E1022" t="inlineStr">
        <is>
          <t>Brian Gray</t>
        </is>
      </c>
      <c r="F1022" t="inlineStr">
        <is>
          <t>ArcticNet Board Meeting</t>
        </is>
      </c>
      <c r="G1022" t="inlineStr">
        <is>
          <t>Réunion scientifique Annuelle 2018 ArcticNet</t>
        </is>
      </c>
      <c r="H1022" s="1" t="n">
        <v>43286</v>
      </c>
      <c r="I1022" s="1" t="n">
        <v>43287</v>
      </c>
      <c r="J1022" t="inlineStr">
        <is>
          <t>Quebec City, Quebec</t>
        </is>
      </c>
      <c r="K1022" t="inlineStr">
        <is>
          <t>Ville de Québec, Québec</t>
        </is>
      </c>
      <c r="P1022" t="n">
        <v>557.04</v>
      </c>
      <c r="Q1022" t="n">
        <v>85.86</v>
      </c>
      <c r="S1022" t="n">
        <v>34.6</v>
      </c>
      <c r="U1022" t="n">
        <v>677.5</v>
      </c>
      <c r="X1022" t="inlineStr">
        <is>
          <t>aafc-aac</t>
        </is>
      </c>
      <c r="Y1022" t="inlineStr">
        <is>
          <t>Agriculture and Agri-Food Canada | Agriculture et Agroalimentaire Canada</t>
        </is>
      </c>
      <c r="Z1022" t="n">
        <v>2</v>
      </c>
      <c r="AA1022" t="n">
        <v>677.5</v>
      </c>
      <c r="AB1022">
        <f>ROUND(U1022-AA1022,2)</f>
        <v/>
      </c>
      <c r="AC1022" t="b">
        <v>0</v>
      </c>
      <c r="AD1022">
        <f>IF(U1022="","MISSING_TOTAL",IF(ABS(AB1022)&lt;=0.01,"OK","CHECK"))</f>
        <v/>
      </c>
      <c r="AE1022">
        <f>IF(U1022="","MISSING",IF(AND(AA1022&gt;0,U1022/AA1022&gt;50),"POSSIBLE_SCALE_ERROR","OK"))</f>
        <v/>
      </c>
    </row>
    <row r="1023">
      <c r="A1023" t="inlineStr">
        <is>
          <t>T-2018-Q2-00047</t>
        </is>
      </c>
      <c r="B1023" t="inlineStr">
        <is>
          <t>SLE</t>
        </is>
      </c>
      <c r="C1023" t="inlineStr">
        <is>
          <t>Assistant Deputy Minister, Corporate Management Branch</t>
        </is>
      </c>
      <c r="D1023" t="inlineStr">
        <is>
          <t>Sous-ministre adjoint, direction générale de la gestion intégrée</t>
        </is>
      </c>
      <c r="E1023" t="inlineStr">
        <is>
          <t>Pierre Corriveau</t>
        </is>
      </c>
      <c r="F1023" t="inlineStr">
        <is>
          <t>Staff meeting (Fredericton, Moncton)     PSPC Pay Centre Visit organized by Public Services and Procurement Canada (Miramichi)</t>
        </is>
      </c>
      <c r="G1023" t="inlineStr">
        <is>
          <t>Réunion du personnel (Frédericton, Moncton)     Visite au centre de paye organisé par Services publics et approvisionnement Canada</t>
        </is>
      </c>
      <c r="H1023" s="1" t="n">
        <v>43275</v>
      </c>
      <c r="I1023" s="1" t="n">
        <v>43278</v>
      </c>
      <c r="J1023" t="inlineStr">
        <is>
          <t>Fredericton, New-Brunswick, Moncton, New-Brunswick  Miramichi, New-Brunswick</t>
        </is>
      </c>
      <c r="K1023" t="inlineStr">
        <is>
          <t>Fredericton, Nouveau-Brunswick   Moncton, Nouveau-Brunswick   Miramichi, Nouveau-Brunswick</t>
        </is>
      </c>
      <c r="P1023" t="n">
        <v>514.11</v>
      </c>
      <c r="Q1023" t="n">
        <v>90.51000000000001</v>
      </c>
      <c r="R1023" t="n">
        <v>519.8</v>
      </c>
      <c r="S1023" t="n">
        <v>271.75</v>
      </c>
      <c r="U1023" t="n">
        <v>1396.17</v>
      </c>
      <c r="X1023" t="inlineStr">
        <is>
          <t>aafc-aac</t>
        </is>
      </c>
      <c r="Y1023" t="inlineStr">
        <is>
          <t>Agriculture and Agri-Food Canada | Agriculture et Agroalimentaire Canada</t>
        </is>
      </c>
      <c r="Z1023" t="n">
        <v>4</v>
      </c>
      <c r="AA1023" t="n">
        <v>1396.17</v>
      </c>
      <c r="AB1023">
        <f>ROUND(U1023-AA1023,2)</f>
        <v/>
      </c>
      <c r="AC1023" t="b">
        <v>0</v>
      </c>
      <c r="AD1023">
        <f>IF(U1023="","MISSING_TOTAL",IF(ABS(AB1023)&lt;=0.01,"OK","CHECK"))</f>
        <v/>
      </c>
      <c r="AE1023">
        <f>IF(U1023="","MISSING",IF(AND(AA1023&gt;0,U1023/AA1023&gt;50),"POSSIBLE_SCALE_ERROR","OK"))</f>
        <v/>
      </c>
    </row>
    <row r="1024">
      <c r="A1024" t="inlineStr">
        <is>
          <t>T-2018-Q2-00048</t>
        </is>
      </c>
      <c r="B1024" t="inlineStr">
        <is>
          <t>SLE</t>
        </is>
      </c>
      <c r="C1024" t="inlineStr">
        <is>
          <t>Assistant Deputy Minister, Corporate Management Branch</t>
        </is>
      </c>
      <c r="D1024" t="inlineStr">
        <is>
          <t>Sous-ministre adjoint, direction générale de la gestion intégrée</t>
        </is>
      </c>
      <c r="E1024" t="inlineStr">
        <is>
          <t>Pierre Corriveau</t>
        </is>
      </c>
      <c r="F1024" t="inlineStr">
        <is>
          <t>Staff Meetings (Regina, Indian Head and Swift Current)</t>
        </is>
      </c>
      <c r="G1024" t="inlineStr">
        <is>
          <t>Réunion du personnel (Regina, Indian Head, Swift Current)</t>
        </is>
      </c>
      <c r="H1024" s="1" t="n">
        <v>43331</v>
      </c>
      <c r="I1024" s="1" t="n">
        <v>43335</v>
      </c>
      <c r="J1024" t="inlineStr">
        <is>
          <t>Regina, Saskatchewan   Indian Head, Saskatchewan   Swift Current, Saskatchewan</t>
        </is>
      </c>
      <c r="K1024" t="inlineStr">
        <is>
          <t>Régina, Saskatchewan   Indian Head, Saskatchewan   Swift Current, Saskatchewan</t>
        </is>
      </c>
      <c r="P1024" t="n">
        <v>834.9299999999999</v>
      </c>
      <c r="Q1024" t="n">
        <v>62.4</v>
      </c>
      <c r="R1024" t="n">
        <v>525.92</v>
      </c>
      <c r="S1024" t="n">
        <v>355.9</v>
      </c>
      <c r="U1024" t="n">
        <v>1779.15</v>
      </c>
      <c r="X1024" t="inlineStr">
        <is>
          <t>aafc-aac</t>
        </is>
      </c>
      <c r="Y1024" t="inlineStr">
        <is>
          <t>Agriculture and Agri-Food Canada | Agriculture et Agroalimentaire Canada</t>
        </is>
      </c>
      <c r="Z1024" t="n">
        <v>5</v>
      </c>
      <c r="AA1024" t="n">
        <v>1779.15</v>
      </c>
      <c r="AB1024">
        <f>ROUND(U1024-AA1024,2)</f>
        <v/>
      </c>
      <c r="AC1024" t="b">
        <v>0</v>
      </c>
      <c r="AD1024">
        <f>IF(U1024="","MISSING_TOTAL",IF(ABS(AB1024)&lt;=0.01,"OK","CHECK"))</f>
        <v/>
      </c>
      <c r="AE1024">
        <f>IF(U1024="","MISSING",IF(AND(AA1024&gt;0,U1024/AA1024&gt;50),"POSSIBLE_SCALE_ERROR","OK"))</f>
        <v/>
      </c>
    </row>
    <row r="1025">
      <c r="A1025" t="inlineStr">
        <is>
          <t>T-2018-Q2-00049</t>
        </is>
      </c>
      <c r="B1025" t="inlineStr">
        <is>
          <t>SLE</t>
        </is>
      </c>
      <c r="C1025" t="inlineStr">
        <is>
          <t>Assistant deputy minister, Science and Technology Branch</t>
        </is>
      </c>
      <c r="D1025" t="inlineStr">
        <is>
          <t>Sous-ministre adjoint, Direction Générale des sciences et de la technologie</t>
        </is>
      </c>
      <c r="E1025" t="inlineStr">
        <is>
          <t>Brian Gray</t>
        </is>
      </c>
      <c r="F1025" t="inlineStr">
        <is>
          <t>Outreach to the Reasearch and Developpement Centre, All-Staff meeting and meeting with Provincial Counterparts.</t>
        </is>
      </c>
      <c r="G1025" t="inlineStr">
        <is>
          <t>Visite de sencibilisation au Centre de recherche et de developpement, réunions avec tout le personnel et réunions avec des collegues du governement provincial.</t>
        </is>
      </c>
      <c r="H1025" s="1" t="n">
        <v>43263</v>
      </c>
      <c r="I1025" s="1" t="n">
        <v>43266</v>
      </c>
      <c r="J1025" t="inlineStr">
        <is>
          <t>Lacombe, Alberta</t>
        </is>
      </c>
      <c r="K1025" t="inlineStr">
        <is>
          <t>Lacombe, Alberta</t>
        </is>
      </c>
      <c r="P1025" t="n">
        <v>3095.12</v>
      </c>
      <c r="Q1025" t="n">
        <v>295.67</v>
      </c>
      <c r="R1025" t="n">
        <v>535.74</v>
      </c>
      <c r="S1025" t="n">
        <v>329.35</v>
      </c>
      <c r="U1025" t="n">
        <v>4255.88</v>
      </c>
      <c r="V1025" t="inlineStr">
        <is>
          <t>Cancelled flight due to an error on Air Canada's part. Brian had to reschedule his flight to the next day which is why flight costs are so high. Credit applied for August 21-23 trip.</t>
        </is>
      </c>
      <c r="W1025" t="inlineStr">
        <is>
          <t>Vol annulé en raison d'une erreur de la part d'Air Canada. Brian a dû reporter son vol au lendemain, ce qui explique pourquoi les coûts de vol sont si élevés. Crédit appliqué pour le voyage du 21 au 23 août.</t>
        </is>
      </c>
      <c r="X1025" t="inlineStr">
        <is>
          <t>aafc-aac</t>
        </is>
      </c>
      <c r="Y1025" t="inlineStr">
        <is>
          <t>Agriculture and Agri-Food Canada | Agriculture et Agroalimentaire Canada</t>
        </is>
      </c>
      <c r="Z1025" t="n">
        <v>4</v>
      </c>
      <c r="AA1025" t="n">
        <v>4255.88</v>
      </c>
      <c r="AB1025">
        <f>ROUND(U1025-AA1025,2)</f>
        <v/>
      </c>
      <c r="AC1025" t="b">
        <v>0</v>
      </c>
      <c r="AD1025">
        <f>IF(U1025="","MISSING_TOTAL",IF(ABS(AB1025)&lt;=0.01,"OK","CHECK"))</f>
        <v/>
      </c>
      <c r="AE1025">
        <f>IF(U1025="","MISSING",IF(AND(AA1025&gt;0,U1025/AA1025&gt;50),"POSSIBLE_SCALE_ERROR","OK"))</f>
        <v/>
      </c>
    </row>
    <row r="1026">
      <c r="A1026" t="inlineStr">
        <is>
          <t>T-2018-Q2-00050</t>
        </is>
      </c>
      <c r="B1026" t="inlineStr">
        <is>
          <t>SLE</t>
        </is>
      </c>
      <c r="C1026" t="inlineStr">
        <is>
          <t>Assistant deputy minister, Science and Technology Branch</t>
        </is>
      </c>
      <c r="D1026" t="inlineStr">
        <is>
          <t>Sous-ministre adjoint, Direction Générale des sciences et de la technologie</t>
        </is>
      </c>
      <c r="E1026" t="inlineStr">
        <is>
          <t>Brian Gray</t>
        </is>
      </c>
      <c r="F1026" t="inlineStr">
        <is>
          <t>Outreach to the Reasearch and Developpement Centre, All-Staff meeting and meeting with Provincial Counterparts / Meeting in Washington with Dr. Jacobs-Young to discuss Joint Report</t>
        </is>
      </c>
      <c r="G1026" t="inlineStr">
        <is>
          <t>Visite de sencibilisation au Centre de recherche et de developpement, réunions avec tout le personnel et réunions avec des collegues du governement provincial / Rencontre à Washington avec Dr. Jacobs-Young</t>
        </is>
      </c>
      <c r="H1026" s="1" t="n">
        <v>43269</v>
      </c>
      <c r="I1026" s="1" t="n">
        <v>43271</v>
      </c>
      <c r="J1026" t="inlineStr">
        <is>
          <t>Washington, DC / London, Ontario</t>
        </is>
      </c>
      <c r="K1026" t="inlineStr">
        <is>
          <t>Washington, DC / London, Ontario</t>
        </is>
      </c>
      <c r="P1026" t="n">
        <v>1095.06</v>
      </c>
      <c r="Q1026" t="n">
        <v>240.53</v>
      </c>
      <c r="R1026" t="n">
        <v>586.87</v>
      </c>
      <c r="S1026" t="n">
        <v>280.71</v>
      </c>
      <c r="U1026" t="n">
        <v>2203.17</v>
      </c>
      <c r="X1026" t="inlineStr">
        <is>
          <t>aafc-aac</t>
        </is>
      </c>
      <c r="Y1026" t="inlineStr">
        <is>
          <t>Agriculture and Agri-Food Canada | Agriculture et Agroalimentaire Canada</t>
        </is>
      </c>
      <c r="Z1026" t="n">
        <v>3</v>
      </c>
      <c r="AA1026" t="n">
        <v>2203.17</v>
      </c>
      <c r="AB1026">
        <f>ROUND(U1026-AA1026,2)</f>
        <v/>
      </c>
      <c r="AC1026" t="b">
        <v>0</v>
      </c>
      <c r="AD1026">
        <f>IF(U1026="","MISSING_TOTAL",IF(ABS(AB1026)&lt;=0.01,"OK","CHECK"))</f>
        <v/>
      </c>
      <c r="AE1026">
        <f>IF(U1026="","MISSING",IF(AND(AA1026&gt;0,U1026/AA1026&gt;50),"POSSIBLE_SCALE_ERROR","OK"))</f>
        <v/>
      </c>
    </row>
    <row r="1027">
      <c r="A1027" t="inlineStr">
        <is>
          <t>T-2018-Q2-00051</t>
        </is>
      </c>
      <c r="B1027" t="inlineStr">
        <is>
          <t>SLE</t>
        </is>
      </c>
      <c r="C1027" t="inlineStr">
        <is>
          <t>Assistant deputy minister, Science and Technology Branch</t>
        </is>
      </c>
      <c r="D1027" t="inlineStr">
        <is>
          <t>Sous-ministre adjoint, Direction Générale des sciences et de la technologie</t>
        </is>
      </c>
      <c r="E1027" t="inlineStr">
        <is>
          <t>Brian Gray</t>
        </is>
      </c>
      <c r="F1027" t="inlineStr">
        <is>
          <t>Outreach to the Reasearch and Developpement Centre, All-Staff meeting and meeting with Provincial Counterparts. / Branch Executive Committee Meeting</t>
        </is>
      </c>
      <c r="G1027" t="inlineStr">
        <is>
          <t>Visite de sencibilisation au Centre de recherche et de developpement, réunions avec tout le personnel et réunions avec des collegues du governement provincial.  / Comité exécutif de la direction générale</t>
        </is>
      </c>
      <c r="H1027" s="1" t="n">
        <v>43276</v>
      </c>
      <c r="I1027" s="1" t="n">
        <v>43278</v>
      </c>
      <c r="J1027" t="inlineStr">
        <is>
          <t>Charlottetown, prince Edward Island</t>
        </is>
      </c>
      <c r="K1027" t="inlineStr">
        <is>
          <t>Charlottetown, 
Île-du-Prince-Édouard</t>
        </is>
      </c>
      <c r="P1027" t="n">
        <v>708.2</v>
      </c>
      <c r="Q1027" t="n">
        <v>109.02</v>
      </c>
      <c r="R1027" t="n">
        <v>495.12</v>
      </c>
      <c r="S1027" t="n">
        <v>225.25</v>
      </c>
      <c r="U1027" t="n">
        <v>1537.59</v>
      </c>
      <c r="X1027" t="inlineStr">
        <is>
          <t>aafc-aac</t>
        </is>
      </c>
      <c r="Y1027" t="inlineStr">
        <is>
          <t>Agriculture and Agri-Food Canada | Agriculture et Agroalimentaire Canada</t>
        </is>
      </c>
      <c r="Z1027" t="n">
        <v>3</v>
      </c>
      <c r="AA1027" t="n">
        <v>1537.59</v>
      </c>
      <c r="AB1027">
        <f>ROUND(U1027-AA1027,2)</f>
        <v/>
      </c>
      <c r="AC1027" t="b">
        <v>0</v>
      </c>
      <c r="AD1027">
        <f>IF(U1027="","MISSING_TOTAL",IF(ABS(AB1027)&lt;=0.01,"OK","CHECK"))</f>
        <v/>
      </c>
      <c r="AE1027">
        <f>IF(U1027="","MISSING",IF(AND(AA1027&gt;0,U1027/AA1027&gt;50),"POSSIBLE_SCALE_ERROR","OK"))</f>
        <v/>
      </c>
    </row>
    <row r="1028">
      <c r="A1028" t="inlineStr">
        <is>
          <t>T-2018-Q2-00053</t>
        </is>
      </c>
      <c r="B1028" t="inlineStr">
        <is>
          <t>SLE</t>
        </is>
      </c>
      <c r="C1028" t="inlineStr">
        <is>
          <t>Assistant deputy minister, Science and Technology Branch</t>
        </is>
      </c>
      <c r="D1028" t="inlineStr">
        <is>
          <t>Sous-ministre adjoint, Direction Générale des sciences et de la technologie</t>
        </is>
      </c>
      <c r="E1028" t="inlineStr">
        <is>
          <t>Brian Gray</t>
        </is>
      </c>
      <c r="F1028" t="inlineStr">
        <is>
          <t>Outreach to the Reasearch and Developpement Centre, All-Staff meeting and meeting with Provincial Counterparts. / Branch Executive Committee Meeting</t>
        </is>
      </c>
      <c r="G1028" t="inlineStr">
        <is>
          <t>Visite de sencibilisation au Centre de recherche et de developpement, réunions avec tout le personnel et réunions avec des collegues du governement provincial.</t>
        </is>
      </c>
      <c r="H1028" s="1" t="n">
        <v>43291</v>
      </c>
      <c r="I1028" s="1" t="n">
        <v>43294</v>
      </c>
      <c r="J1028" t="inlineStr">
        <is>
          <t>Morden, Manitoba</t>
        </is>
      </c>
      <c r="K1028" t="inlineStr">
        <is>
          <t>Morden, Manitoba</t>
        </is>
      </c>
      <c r="P1028" t="n">
        <v>777.98</v>
      </c>
      <c r="Q1028" t="n">
        <v>130.68</v>
      </c>
      <c r="R1028" t="n">
        <v>547.83</v>
      </c>
      <c r="S1028" t="n">
        <v>262</v>
      </c>
      <c r="U1028" t="n">
        <v>1718.49</v>
      </c>
      <c r="X1028" t="inlineStr">
        <is>
          <t>aafc-aac</t>
        </is>
      </c>
      <c r="Y1028" t="inlineStr">
        <is>
          <t>Agriculture and Agri-Food Canada | Agriculture et Agroalimentaire Canada</t>
        </is>
      </c>
      <c r="Z1028" t="n">
        <v>4</v>
      </c>
      <c r="AA1028" t="n">
        <v>1718.49</v>
      </c>
      <c r="AB1028">
        <f>ROUND(U1028-AA1028,2)</f>
        <v/>
      </c>
      <c r="AC1028" t="b">
        <v>0</v>
      </c>
      <c r="AD1028">
        <f>IF(U1028="","MISSING_TOTAL",IF(ABS(AB1028)&lt;=0.01,"OK","CHECK"))</f>
        <v/>
      </c>
      <c r="AE1028">
        <f>IF(U1028="","MISSING",IF(AND(AA1028&gt;0,U1028/AA1028&gt;50),"POSSIBLE_SCALE_ERROR","OK"))</f>
        <v/>
      </c>
    </row>
    <row r="1029">
      <c r="A1029" t="inlineStr">
        <is>
          <t>T-2018-Q2-00054</t>
        </is>
      </c>
      <c r="B1029" t="inlineStr">
        <is>
          <t>SLE</t>
        </is>
      </c>
      <c r="C1029" t="inlineStr">
        <is>
          <t>Assistant deputy minister, Science and Technology Branch</t>
        </is>
      </c>
      <c r="D1029" t="inlineStr">
        <is>
          <t>Sous-ministre adjoint, Direction Générale des sciences et de la technologie</t>
        </is>
      </c>
      <c r="E1029" t="inlineStr">
        <is>
          <t>Brian Gray</t>
        </is>
      </c>
      <c r="F1029" t="inlineStr">
        <is>
          <t>Outreach to the Reasearch and Developpement Centre, All-Staff meeting and meeting with Provincial Counterparts. / Branch Executive Committee Meeting</t>
        </is>
      </c>
      <c r="G1029" t="inlineStr">
        <is>
          <t>Visite de sencibilisation au Centre de recherche et de developpement, réunions avec tout le personnel et réunions avec des collegues du governement provincial.</t>
        </is>
      </c>
      <c r="H1029" s="1" t="n">
        <v>43299</v>
      </c>
      <c r="I1029" s="1" t="n">
        <v>43301</v>
      </c>
      <c r="J1029" t="inlineStr">
        <is>
          <t>Fredericton, New Brunswick</t>
        </is>
      </c>
      <c r="K1029" t="inlineStr">
        <is>
          <t>Fredericton, Nouveau-Brunswick</t>
        </is>
      </c>
      <c r="P1029" t="n">
        <v>336.29</v>
      </c>
      <c r="Q1029" t="n">
        <v>136.46</v>
      </c>
      <c r="R1029" t="n">
        <v>400.2</v>
      </c>
      <c r="S1029" t="n">
        <v>292.85</v>
      </c>
      <c r="U1029" t="n">
        <v>1165.8</v>
      </c>
      <c r="X1029" t="inlineStr">
        <is>
          <t>aafc-aac</t>
        </is>
      </c>
      <c r="Y1029" t="inlineStr">
        <is>
          <t>Agriculture and Agri-Food Canada | Agriculture et Agroalimentaire Canada</t>
        </is>
      </c>
      <c r="Z1029" t="n">
        <v>3</v>
      </c>
      <c r="AA1029" t="n">
        <v>1165.8</v>
      </c>
      <c r="AB1029">
        <f>ROUND(U1029-AA1029,2)</f>
        <v/>
      </c>
      <c r="AC1029" t="b">
        <v>0</v>
      </c>
      <c r="AD1029">
        <f>IF(U1029="","MISSING_TOTAL",IF(ABS(AB1029)&lt;=0.01,"OK","CHECK"))</f>
        <v/>
      </c>
      <c r="AE1029">
        <f>IF(U1029="","MISSING",IF(AND(AA1029&gt;0,U1029/AA1029&gt;50),"POSSIBLE_SCALE_ERROR","OK"))</f>
        <v/>
      </c>
    </row>
    <row r="1030">
      <c r="A1030" t="inlineStr">
        <is>
          <t>T-2018-Q2-00055</t>
        </is>
      </c>
      <c r="B1030" t="inlineStr">
        <is>
          <t>SLE</t>
        </is>
      </c>
      <c r="C1030" t="inlineStr">
        <is>
          <t>Assistant deputy minister, Science and Technology Branch</t>
        </is>
      </c>
      <c r="D1030" t="inlineStr">
        <is>
          <t>Sous-ministre adjoint, Direction Générale des sciences et de la technologie</t>
        </is>
      </c>
      <c r="E1030" t="inlineStr">
        <is>
          <t>Brian Gray</t>
        </is>
      </c>
      <c r="F1030" t="inlineStr">
        <is>
          <t>Outreach to the Reasearch and Developpement Centre, All-Staff meeting and meeting with Provincial Counterparts. / Branch Executive Committee Meeting</t>
        </is>
      </c>
      <c r="G1030" t="inlineStr">
        <is>
          <t>Visite de sencibilisation au Centre de recherche et de developpement, réunions avec tout le personnel et réunions avec des collegues du governement provincial.</t>
        </is>
      </c>
      <c r="H1030" s="1" t="n">
        <v>43305</v>
      </c>
      <c r="I1030" s="1" t="n">
        <v>43307</v>
      </c>
      <c r="J1030" t="inlineStr">
        <is>
          <t>St-John's, Newfoundland</t>
        </is>
      </c>
      <c r="K1030" t="inlineStr">
        <is>
          <t>St-John's, Terre-Neuve</t>
        </is>
      </c>
      <c r="P1030" t="n">
        <v>764</v>
      </c>
      <c r="Q1030" t="n">
        <v>109.36</v>
      </c>
      <c r="R1030" t="n">
        <v>440.3</v>
      </c>
      <c r="S1030" t="n">
        <v>244.7</v>
      </c>
      <c r="U1030" t="n">
        <v>1558.36</v>
      </c>
      <c r="X1030" t="inlineStr">
        <is>
          <t>aafc-aac</t>
        </is>
      </c>
      <c r="Y1030" t="inlineStr">
        <is>
          <t>Agriculture and Agri-Food Canada | Agriculture et Agroalimentaire Canada</t>
        </is>
      </c>
      <c r="Z1030" t="n">
        <v>3</v>
      </c>
      <c r="AA1030" t="n">
        <v>1558.36</v>
      </c>
      <c r="AB1030">
        <f>ROUND(U1030-AA1030,2)</f>
        <v/>
      </c>
      <c r="AC1030" t="b">
        <v>0</v>
      </c>
      <c r="AD1030">
        <f>IF(U1030="","MISSING_TOTAL",IF(ABS(AB1030)&lt;=0.01,"OK","CHECK"))</f>
        <v/>
      </c>
      <c r="AE1030">
        <f>IF(U1030="","MISSING",IF(AND(AA1030&gt;0,U1030/AA1030&gt;50),"POSSIBLE_SCALE_ERROR","OK"))</f>
        <v/>
      </c>
    </row>
    <row r="1031">
      <c r="A1031" t="inlineStr">
        <is>
          <t>T-2018-Q2-00056</t>
        </is>
      </c>
      <c r="B1031" t="inlineStr">
        <is>
          <t>SLE</t>
        </is>
      </c>
      <c r="C1031" t="inlineStr">
        <is>
          <t>Assistant deputy minister, Science and Technology Branch</t>
        </is>
      </c>
      <c r="D1031" t="inlineStr">
        <is>
          <t>Sous-ministre adjoint, Direction Générale des sciences et de la technologie</t>
        </is>
      </c>
      <c r="E1031" t="inlineStr">
        <is>
          <t>Brian Gray</t>
        </is>
      </c>
      <c r="F1031" t="inlineStr">
        <is>
          <t>Outreach to the Reasearch and Developpement Centre, All-Staff meeting and meeting with Provincial Counterparts.</t>
        </is>
      </c>
      <c r="G1031" t="inlineStr">
        <is>
          <t>Visite de sencibilisation au Centre de recherche et de developpement, réunions avec tout le personnel et réunions avec des collegues du governement provincial.</t>
        </is>
      </c>
      <c r="H1031" s="1" t="n">
        <v>43326</v>
      </c>
      <c r="I1031" s="1" t="n">
        <v>43329</v>
      </c>
      <c r="J1031" t="inlineStr">
        <is>
          <t>Saskatoon, Saskatchewan</t>
        </is>
      </c>
      <c r="K1031" t="inlineStr">
        <is>
          <t>Saskatoon, Saskatchewan</t>
        </is>
      </c>
      <c r="P1031" t="n">
        <v>788.55</v>
      </c>
      <c r="Q1031" t="n">
        <v>184.69</v>
      </c>
      <c r="R1031" t="n">
        <v>475.86</v>
      </c>
      <c r="S1031" t="n">
        <v>329.35</v>
      </c>
      <c r="U1031" t="n">
        <v>1778.45</v>
      </c>
      <c r="X1031" t="inlineStr">
        <is>
          <t>aafc-aac</t>
        </is>
      </c>
      <c r="Y1031" t="inlineStr">
        <is>
          <t>Agriculture and Agri-Food Canada | Agriculture et Agroalimentaire Canada</t>
        </is>
      </c>
      <c r="Z1031" t="n">
        <v>4</v>
      </c>
      <c r="AA1031" t="n">
        <v>1778.44999999999</v>
      </c>
      <c r="AB1031">
        <f>ROUND(U1031-AA1031,2)</f>
        <v/>
      </c>
      <c r="AC1031" t="b">
        <v>0</v>
      </c>
      <c r="AD1031">
        <f>IF(U1031="","MISSING_TOTAL",IF(ABS(AB1031)&lt;=0.01,"OK","CHECK"))</f>
        <v/>
      </c>
      <c r="AE1031">
        <f>IF(U1031="","MISSING",IF(AND(AA1031&gt;0,U1031/AA1031&gt;50),"POSSIBLE_SCALE_ERROR","OK"))</f>
        <v/>
      </c>
    </row>
    <row r="1032">
      <c r="A1032" t="inlineStr">
        <is>
          <t>T-2018-Q1-00001</t>
        </is>
      </c>
      <c r="B1032" t="inlineStr">
        <is>
          <t>MPSES</t>
        </is>
      </c>
      <c r="C1032" t="inlineStr">
        <is>
          <t>Minister</t>
        </is>
      </c>
      <c r="D1032" t="inlineStr">
        <is>
          <t>Ministre</t>
        </is>
      </c>
      <c r="E1032" t="inlineStr">
        <is>
          <t>Lawrence MacAulay</t>
        </is>
      </c>
      <c r="F1032" t="inlineStr">
        <is>
          <t>Ministerial Mission to Japan and South Korea</t>
        </is>
      </c>
      <c r="G1032" t="inlineStr">
        <is>
          <t>Mission ministérielle au Japon et en Corée du Sud</t>
        </is>
      </c>
      <c r="H1032" s="1" t="n">
        <v>43160</v>
      </c>
      <c r="I1032" s="1" t="n">
        <v>43169</v>
      </c>
      <c r="J1032" t="inlineStr">
        <is>
          <t>Tokyo Japan, Seoul South Korea</t>
        </is>
      </c>
      <c r="K1032" t="inlineStr">
        <is>
          <t>Tokyo, Japon, Séoul, Corée du Sud</t>
        </is>
      </c>
      <c r="P1032" t="n">
        <v>7553.19</v>
      </c>
      <c r="Q1032" t="n">
        <v>0</v>
      </c>
      <c r="R1032" t="n">
        <v>2380.12</v>
      </c>
      <c r="S1032" t="n">
        <v>1774.01</v>
      </c>
      <c r="T1032" t="n">
        <v>0</v>
      </c>
      <c r="U1032" t="n">
        <v>11707.32</v>
      </c>
      <c r="V1032" t="n">
        <v>1900120308</v>
      </c>
      <c r="X1032" t="inlineStr">
        <is>
          <t>aafc-aac</t>
        </is>
      </c>
      <c r="Y1032" t="inlineStr">
        <is>
          <t>Agriculture and Agri-Food Canada | Agriculture et Agroalimentaire Canada</t>
        </is>
      </c>
      <c r="Z1032" t="n">
        <v>10</v>
      </c>
      <c r="AA1032" t="n">
        <v>11707.32</v>
      </c>
      <c r="AB1032">
        <f>ROUND(U1032-AA1032,2)</f>
        <v/>
      </c>
      <c r="AC1032" t="b">
        <v>0</v>
      </c>
      <c r="AD1032">
        <f>IF(U1032="","MISSING_TOTAL",IF(ABS(AB1032)&lt;=0.01,"OK","CHECK"))</f>
        <v/>
      </c>
      <c r="AE1032">
        <f>IF(U1032="","MISSING",IF(AND(AA1032&gt;0,U1032/AA1032&gt;50),"POSSIBLE_SCALE_ERROR","OK"))</f>
        <v/>
      </c>
    </row>
    <row r="1033">
      <c r="A1033" t="inlineStr">
        <is>
          <t>T-2018-Q1-00003</t>
        </is>
      </c>
      <c r="B1033" t="inlineStr">
        <is>
          <t>MPSES</t>
        </is>
      </c>
      <c r="C1033" t="inlineStr">
        <is>
          <t>Minister</t>
        </is>
      </c>
      <c r="D1033" t="inlineStr">
        <is>
          <t>Ministre</t>
        </is>
      </c>
      <c r="E1033" t="inlineStr">
        <is>
          <t>Lawrence MacAulay</t>
        </is>
      </c>
      <c r="F1033" t="inlineStr">
        <is>
          <t>Montreal Outreach - Various meetings and events</t>
        </is>
      </c>
      <c r="G1033" t="inlineStr">
        <is>
          <t>Visite de sensibilisation à Montréal - diverses réunions et événements</t>
        </is>
      </c>
      <c r="H1033" s="1" t="n">
        <v>43174</v>
      </c>
      <c r="I1033" s="1" t="n">
        <v>43175</v>
      </c>
      <c r="J1033" t="inlineStr">
        <is>
          <t>Montreal, Quebec</t>
        </is>
      </c>
      <c r="K1033" t="inlineStr">
        <is>
          <t>Montréal, Québec</t>
        </is>
      </c>
      <c r="P1033" t="n">
        <v>803.6</v>
      </c>
      <c r="Q1033" t="n">
        <v>53.53</v>
      </c>
      <c r="R1033" t="n">
        <v>189.22</v>
      </c>
      <c r="S1033" t="n">
        <v>148.4</v>
      </c>
      <c r="T1033" t="n">
        <v>0</v>
      </c>
      <c r="U1033" t="n">
        <v>1194.75</v>
      </c>
      <c r="V1033" t="n">
        <v>1900121047</v>
      </c>
      <c r="X1033" t="inlineStr">
        <is>
          <t>aafc-aac</t>
        </is>
      </c>
      <c r="Y1033" t="inlineStr">
        <is>
          <t>Agriculture and Agri-Food Canada | Agriculture et Agroalimentaire Canada</t>
        </is>
      </c>
      <c r="Z1033" t="n">
        <v>2</v>
      </c>
      <c r="AA1033" t="n">
        <v>1194.75</v>
      </c>
      <c r="AB1033">
        <f>ROUND(U1033-AA1033,2)</f>
        <v/>
      </c>
      <c r="AC1033" t="b">
        <v>0</v>
      </c>
      <c r="AD1033">
        <f>IF(U1033="","MISSING_TOTAL",IF(ABS(AB1033)&lt;=0.01,"OK","CHECK"))</f>
        <v/>
      </c>
      <c r="AE1033">
        <f>IF(U1033="","MISSING",IF(AND(AA1033&gt;0,U1033/AA1033&gt;50),"POSSIBLE_SCALE_ERROR","OK"))</f>
        <v/>
      </c>
    </row>
    <row r="1034">
      <c r="A1034" t="inlineStr">
        <is>
          <t>T-2018-Q1-00004</t>
        </is>
      </c>
      <c r="B1034" t="inlineStr">
        <is>
          <t>MPSES</t>
        </is>
      </c>
      <c r="C1034" t="inlineStr">
        <is>
          <t>Minister</t>
        </is>
      </c>
      <c r="D1034" t="inlineStr">
        <is>
          <t>Ministre</t>
        </is>
      </c>
      <c r="E1034" t="inlineStr">
        <is>
          <t>Lawrence MacAulay</t>
        </is>
      </c>
      <c r="F1034" t="inlineStr">
        <is>
          <t>To participate in the installation of Mr. Thomas Molloy as 22nd Lieutenant Governor of Saskatchewan, and a meeting with Saskatchewan's Minister of Agriculture</t>
        </is>
      </c>
      <c r="G1034" t="inlineStr">
        <is>
          <t>Participer à l'installation de M. Thomas Molloy à titre de 22e lieutenant-gouverneur de la Saskatchewan et à une réunion avec le ministre d'Agriculture de la Saskatchewan</t>
        </is>
      </c>
      <c r="H1034" s="1" t="n">
        <v>43179</v>
      </c>
      <c r="I1034" s="1" t="n">
        <v>43180</v>
      </c>
      <c r="J1034" t="inlineStr">
        <is>
          <t>Regina, Saskatchewan</t>
        </is>
      </c>
      <c r="K1034" t="inlineStr">
        <is>
          <t>Regina, Saskatchewan</t>
        </is>
      </c>
      <c r="P1034" t="n">
        <v>1563.39</v>
      </c>
      <c r="Q1034" t="n">
        <v>0</v>
      </c>
      <c r="R1034" t="n">
        <v>193.21</v>
      </c>
      <c r="S1034" t="n">
        <v>72.59999999999999</v>
      </c>
      <c r="T1034" t="n">
        <v>0</v>
      </c>
      <c r="U1034" t="n">
        <v>1829.2</v>
      </c>
      <c r="V1034" t="n">
        <v>1900121049</v>
      </c>
      <c r="X1034" t="inlineStr">
        <is>
          <t>aafc-aac</t>
        </is>
      </c>
      <c r="Y1034" t="inlineStr">
        <is>
          <t>Agriculture and Agri-Food Canada | Agriculture et Agroalimentaire Canada</t>
        </is>
      </c>
      <c r="Z1034" t="n">
        <v>2</v>
      </c>
      <c r="AA1034" t="n">
        <v>1829.2</v>
      </c>
      <c r="AB1034">
        <f>ROUND(U1034-AA1034,2)</f>
        <v/>
      </c>
      <c r="AC1034" t="b">
        <v>0</v>
      </c>
      <c r="AD1034">
        <f>IF(U1034="","MISSING_TOTAL",IF(ABS(AB1034)&lt;=0.01,"OK","CHECK"))</f>
        <v/>
      </c>
      <c r="AE1034">
        <f>IF(U1034="","MISSING",IF(AND(AA1034&gt;0,U1034/AA1034&gt;50),"POSSIBLE_SCALE_ERROR","OK"))</f>
        <v/>
      </c>
    </row>
    <row r="1035">
      <c r="A1035" t="inlineStr">
        <is>
          <t>T-2018-Q1-00005</t>
        </is>
      </c>
      <c r="B1035" t="inlineStr">
        <is>
          <t>MPSES</t>
        </is>
      </c>
      <c r="C1035" t="inlineStr">
        <is>
          <t>Minister</t>
        </is>
      </c>
      <c r="D1035" t="inlineStr">
        <is>
          <t>Ministre</t>
        </is>
      </c>
      <c r="E1035" t="inlineStr">
        <is>
          <t>Lawrence MacAulay</t>
        </is>
      </c>
      <c r="F1035" t="inlineStr">
        <is>
          <t>Ministerial outreach to Alberta</t>
        </is>
      </c>
      <c r="G1035" t="inlineStr">
        <is>
          <t>Visite de sensibilisation ministérielle à Alberta</t>
        </is>
      </c>
      <c r="H1035" s="1" t="n">
        <v>43183</v>
      </c>
      <c r="I1035" s="1" t="n">
        <v>43186</v>
      </c>
      <c r="J1035" t="inlineStr">
        <is>
          <t>Calgary, Alberta</t>
        </is>
      </c>
      <c r="K1035" t="inlineStr">
        <is>
          <t>Calgary, Alberta</t>
        </is>
      </c>
      <c r="P1035" t="n">
        <v>1261.36</v>
      </c>
      <c r="Q1035" t="n">
        <v>0</v>
      </c>
      <c r="R1035" t="n">
        <v>515.3099999999999</v>
      </c>
      <c r="S1035" t="n">
        <v>192.75</v>
      </c>
      <c r="T1035" t="n">
        <v>0</v>
      </c>
      <c r="U1035" t="n">
        <v>1969.42</v>
      </c>
      <c r="V1035" t="n">
        <v>1900122237</v>
      </c>
      <c r="X1035" t="inlineStr">
        <is>
          <t>aafc-aac</t>
        </is>
      </c>
      <c r="Y1035" t="inlineStr">
        <is>
          <t>Agriculture and Agri-Food Canada | Agriculture et Agroalimentaire Canada</t>
        </is>
      </c>
      <c r="Z1035" t="n">
        <v>4</v>
      </c>
      <c r="AA1035" t="n">
        <v>1969.41999999999</v>
      </c>
      <c r="AB1035">
        <f>ROUND(U1035-AA1035,2)</f>
        <v/>
      </c>
      <c r="AC1035" t="b">
        <v>0</v>
      </c>
      <c r="AD1035">
        <f>IF(U1035="","MISSING_TOTAL",IF(ABS(AB1035)&lt;=0.01,"OK","CHECK"))</f>
        <v/>
      </c>
      <c r="AE1035">
        <f>IF(U1035="","MISSING",IF(AND(AA1035&gt;0,U1035/AA1035&gt;50),"POSSIBLE_SCALE_ERROR","OK"))</f>
        <v/>
      </c>
    </row>
    <row r="1036">
      <c r="A1036" t="inlineStr">
        <is>
          <t>T-2018-Q1-00006</t>
        </is>
      </c>
      <c r="B1036" t="inlineStr">
        <is>
          <t>MPSES</t>
        </is>
      </c>
      <c r="C1036" t="inlineStr">
        <is>
          <t>Minister</t>
        </is>
      </c>
      <c r="D1036" t="inlineStr">
        <is>
          <t>Ministre</t>
        </is>
      </c>
      <c r="E1036" t="inlineStr">
        <is>
          <t>Lawrence MacAulay</t>
        </is>
      </c>
      <c r="F1036" t="inlineStr">
        <is>
          <t>For Ministerial Western Outreach</t>
        </is>
      </c>
      <c r="G1036" t="inlineStr">
        <is>
          <t>Campagne de sensibilisation ministérielle de l'Ouest</t>
        </is>
      </c>
      <c r="H1036" s="1" t="n">
        <v>43192</v>
      </c>
      <c r="I1036" s="1" t="n">
        <v>43195</v>
      </c>
      <c r="J1036" t="inlineStr">
        <is>
          <t>Victoria British Columbia, Kelowna British Columbia, Winnipeg Manitoba</t>
        </is>
      </c>
      <c r="K1036" t="inlineStr">
        <is>
          <t>Victoria Colombie-Britannique, Kelowna Colombie-Britannique, Winnipeg Manitoba</t>
        </is>
      </c>
      <c r="P1036" t="n">
        <v>3190.97</v>
      </c>
      <c r="Q1036" t="n">
        <v>24.9</v>
      </c>
      <c r="R1036" t="n">
        <v>549.73</v>
      </c>
      <c r="S1036" t="n">
        <v>310.4</v>
      </c>
      <c r="T1036" t="n">
        <v>0</v>
      </c>
      <c r="U1036" t="n">
        <v>4076</v>
      </c>
      <c r="V1036" t="n">
        <v>1900002020</v>
      </c>
      <c r="X1036" t="inlineStr">
        <is>
          <t>aafc-aac</t>
        </is>
      </c>
      <c r="Y1036" t="inlineStr">
        <is>
          <t>Agriculture and Agri-Food Canada | Agriculture et Agroalimentaire Canada</t>
        </is>
      </c>
      <c r="Z1036" t="n">
        <v>4</v>
      </c>
      <c r="AA1036" t="n">
        <v>4076</v>
      </c>
      <c r="AB1036">
        <f>ROUND(U1036-AA1036,2)</f>
        <v/>
      </c>
      <c r="AC1036" t="b">
        <v>0</v>
      </c>
      <c r="AD1036">
        <f>IF(U1036="","MISSING_TOTAL",IF(ABS(AB1036)&lt;=0.01,"OK","CHECK"))</f>
        <v/>
      </c>
      <c r="AE1036">
        <f>IF(U1036="","MISSING",IF(AND(AA1036&gt;0,U1036/AA1036&gt;50),"POSSIBLE_SCALE_ERROR","OK"))</f>
        <v/>
      </c>
    </row>
    <row r="1037">
      <c r="A1037" t="inlineStr">
        <is>
          <t>T-2018-Q1-00007</t>
        </is>
      </c>
      <c r="B1037" t="inlineStr">
        <is>
          <t>MPSES</t>
        </is>
      </c>
      <c r="C1037" t="inlineStr">
        <is>
          <t>Minister</t>
        </is>
      </c>
      <c r="D1037" t="inlineStr">
        <is>
          <t>Ministre</t>
        </is>
      </c>
      <c r="E1037" t="inlineStr">
        <is>
          <t>Lawrence MacAulay</t>
        </is>
      </c>
      <c r="F1037" t="inlineStr">
        <is>
          <t>Travel for the Ministerial Mission to China</t>
        </is>
      </c>
      <c r="G1037" t="inlineStr">
        <is>
          <t>Voyage pour la mission ministérielle en Chine</t>
        </is>
      </c>
      <c r="H1037" s="1" t="n">
        <v>43231</v>
      </c>
      <c r="I1037" s="1" t="n">
        <v>43239</v>
      </c>
      <c r="J1037" t="inlineStr">
        <is>
          <t>Shanghai &amp; Hangzhou, China</t>
        </is>
      </c>
      <c r="K1037" t="inlineStr">
        <is>
          <t>Shanghai et Hangzhou, Chine</t>
        </is>
      </c>
      <c r="P1037" t="n">
        <v>8311.440000000001</v>
      </c>
      <c r="Q1037" t="n">
        <v>0</v>
      </c>
      <c r="R1037" t="n">
        <v>2045.04</v>
      </c>
      <c r="S1037" t="n">
        <v>1270.47</v>
      </c>
      <c r="U1037" t="n">
        <v>11626.95</v>
      </c>
      <c r="V1037" t="n">
        <v>1900016111</v>
      </c>
      <c r="X1037" t="inlineStr">
        <is>
          <t>aafc-aac</t>
        </is>
      </c>
      <c r="Y1037" t="inlineStr">
        <is>
          <t>Agriculture and Agri-Food Canada | Agriculture et Agroalimentaire Canada</t>
        </is>
      </c>
      <c r="Z1037" t="n">
        <v>9</v>
      </c>
      <c r="AA1037" t="n">
        <v>11626.9499999999</v>
      </c>
      <c r="AB1037">
        <f>ROUND(U1037-AA1037,2)</f>
        <v/>
      </c>
      <c r="AC1037" t="b">
        <v>0</v>
      </c>
      <c r="AD1037">
        <f>IF(U1037="","MISSING_TOTAL",IF(ABS(AB1037)&lt;=0.01,"OK","CHECK"))</f>
        <v/>
      </c>
      <c r="AE1037">
        <f>IF(U1037="","MISSING",IF(AND(AA1037&gt;0,U1037/AA1037&gt;50),"POSSIBLE_SCALE_ERROR","OK"))</f>
        <v/>
      </c>
    </row>
    <row r="1038">
      <c r="A1038" t="inlineStr">
        <is>
          <t>T-2018-Q1-00008</t>
        </is>
      </c>
      <c r="B1038" t="inlineStr">
        <is>
          <t>MPSES</t>
        </is>
      </c>
      <c r="C1038" t="inlineStr">
        <is>
          <t>Minister</t>
        </is>
      </c>
      <c r="D1038" t="inlineStr">
        <is>
          <t>Ministre</t>
        </is>
      </c>
      <c r="E1038" t="inlineStr">
        <is>
          <t>Lawrence MacAulay</t>
        </is>
      </c>
      <c r="F1038" t="inlineStr">
        <is>
          <t>To formally announce that Bill C-49, the Transportation Modernization Act had received Royal Assent (Winnipeg, Manitoba), and to Toronto to speak at the Arrell Global Food Innovation Awards.</t>
        </is>
      </c>
      <c r="G1038" t="inlineStr">
        <is>
          <t>Pour annoncer officiellement la sanction royale du projet de loi C-49, la Loi sur la modernisation des transports (Winnipeg, Manitoba), et ensuite à Toronto pour prendre la parole aux Arrell Global Food Innovation Awards.</t>
        </is>
      </c>
      <c r="H1038" s="1" t="n">
        <v>43243</v>
      </c>
      <c r="I1038" s="1" t="n">
        <v>43245</v>
      </c>
      <c r="J1038" t="inlineStr">
        <is>
          <t>Winnipeg Manitoba, and Toronto Onatrio</t>
        </is>
      </c>
      <c r="K1038" t="inlineStr">
        <is>
          <t>Winnipeg Manitoba et Toronto Onatrio</t>
        </is>
      </c>
      <c r="P1038" t="n">
        <v>1696.65</v>
      </c>
      <c r="Q1038" t="n">
        <v>24.9</v>
      </c>
      <c r="R1038" t="n">
        <v>201.03</v>
      </c>
      <c r="S1038" t="n">
        <v>121.4</v>
      </c>
      <c r="T1038" t="n">
        <v>0</v>
      </c>
      <c r="U1038" t="n">
        <v>2043.98</v>
      </c>
      <c r="V1038" t="n">
        <v>1900017667</v>
      </c>
      <c r="X1038" t="inlineStr">
        <is>
          <t>aafc-aac</t>
        </is>
      </c>
      <c r="Y1038" t="inlineStr">
        <is>
          <t>Agriculture and Agri-Food Canada | Agriculture et Agroalimentaire Canada</t>
        </is>
      </c>
      <c r="Z1038" t="n">
        <v>3</v>
      </c>
      <c r="AA1038" t="n">
        <v>2043.98</v>
      </c>
      <c r="AB1038">
        <f>ROUND(U1038-AA1038,2)</f>
        <v/>
      </c>
      <c r="AC1038" t="b">
        <v>0</v>
      </c>
      <c r="AD1038">
        <f>IF(U1038="","MISSING_TOTAL",IF(ABS(AB1038)&lt;=0.01,"OK","CHECK"))</f>
        <v/>
      </c>
      <c r="AE1038">
        <f>IF(U1038="","MISSING",IF(AND(AA1038&gt;0,U1038/AA1038&gt;50),"POSSIBLE_SCALE_ERROR","OK"))</f>
        <v/>
      </c>
    </row>
    <row r="1039">
      <c r="A1039" t="inlineStr">
        <is>
          <t>T-2018-Q1-00009</t>
        </is>
      </c>
      <c r="B1039" t="inlineStr">
        <is>
          <t>MPSES</t>
        </is>
      </c>
      <c r="C1039" t="inlineStr">
        <is>
          <t>Minister</t>
        </is>
      </c>
      <c r="D1039" t="inlineStr">
        <is>
          <t>Ministre</t>
        </is>
      </c>
      <c r="E1039" t="inlineStr">
        <is>
          <t>Lawrence MacAulay</t>
        </is>
      </c>
      <c r="F1039" t="inlineStr">
        <is>
          <t>To attend and speak at the World Meat Congress in Dallas, Texas</t>
        </is>
      </c>
      <c r="G1039" t="inlineStr">
        <is>
          <t>Participer et parler au World Meat Congress à Dallas, Texas</t>
        </is>
      </c>
      <c r="H1039" s="1" t="n">
        <v>43250</v>
      </c>
      <c r="I1039" s="1" t="n">
        <v>43253</v>
      </c>
      <c r="J1039" t="inlineStr">
        <is>
          <t>Dallas, Texas</t>
        </is>
      </c>
      <c r="K1039" t="inlineStr">
        <is>
          <t>Dallas, Texas</t>
        </is>
      </c>
      <c r="P1039" t="n">
        <v>1844.3</v>
      </c>
      <c r="Q1039" t="n">
        <v>24.9</v>
      </c>
      <c r="R1039" t="n">
        <v>462.2</v>
      </c>
      <c r="S1039" t="n">
        <v>199.5</v>
      </c>
      <c r="T1039" t="n">
        <v>0</v>
      </c>
      <c r="U1039" t="n">
        <v>2530.9</v>
      </c>
      <c r="V1039" t="n">
        <v>1900017960</v>
      </c>
      <c r="X1039" t="inlineStr">
        <is>
          <t>aafc-aac</t>
        </is>
      </c>
      <c r="Y1039" t="inlineStr">
        <is>
          <t>Agriculture and Agri-Food Canada | Agriculture et Agroalimentaire Canada</t>
        </is>
      </c>
      <c r="Z1039" t="n">
        <v>4</v>
      </c>
      <c r="AA1039" t="n">
        <v>2530.9</v>
      </c>
      <c r="AB1039">
        <f>ROUND(U1039-AA1039,2)</f>
        <v/>
      </c>
      <c r="AC1039" t="b">
        <v>0</v>
      </c>
      <c r="AD1039">
        <f>IF(U1039="","MISSING_TOTAL",IF(ABS(AB1039)&lt;=0.01,"OK","CHECK"))</f>
        <v/>
      </c>
      <c r="AE1039">
        <f>IF(U1039="","MISSING",IF(AND(AA1039&gt;0,U1039/AA1039&gt;50),"POSSIBLE_SCALE_ERROR","OK"))</f>
        <v/>
      </c>
    </row>
    <row r="1040">
      <c r="A1040" t="inlineStr">
        <is>
          <t>T-2018-Q1-00010</t>
        </is>
      </c>
      <c r="B1040" t="inlineStr">
        <is>
          <t>MPSES</t>
        </is>
      </c>
      <c r="C1040" t="inlineStr">
        <is>
          <t>Chief of Staff</t>
        </is>
      </c>
      <c r="D1040" t="inlineStr">
        <is>
          <t>Chef de cabinet</t>
        </is>
      </c>
      <c r="E1040" t="inlineStr">
        <is>
          <t>Mary Jean McFall</t>
        </is>
      </c>
      <c r="F1040" t="inlineStr">
        <is>
          <t>To brief the Minister for a Cabinet Committee Call</t>
        </is>
      </c>
      <c r="G1040" t="inlineStr">
        <is>
          <t>Breffage au ministre d'un appel du Comité du Cabinet</t>
        </is>
      </c>
      <c r="H1040" s="1" t="n">
        <v>43172</v>
      </c>
      <c r="I1040" s="1" t="n">
        <v>43173</v>
      </c>
      <c r="J1040" t="inlineStr">
        <is>
          <t>Charlottetown, Prince Edward Island</t>
        </is>
      </c>
      <c r="K1040" t="inlineStr">
        <is>
          <t>Charlottetown, Île-du-Prince-Édouard</t>
        </is>
      </c>
      <c r="P1040" t="n">
        <v>1086.61</v>
      </c>
      <c r="Q1040" t="n">
        <v>139.7</v>
      </c>
      <c r="R1040" t="n">
        <v>115</v>
      </c>
      <c r="S1040" t="n">
        <v>157.95</v>
      </c>
      <c r="T1040" t="n">
        <v>0</v>
      </c>
      <c r="U1040" t="n">
        <v>1499.26</v>
      </c>
      <c r="V1040" t="n">
        <v>1900120746</v>
      </c>
      <c r="X1040" t="inlineStr">
        <is>
          <t>aafc-aac</t>
        </is>
      </c>
      <c r="Y1040" t="inlineStr">
        <is>
          <t>Agriculture and Agri-Food Canada | Agriculture et Agroalimentaire Canada</t>
        </is>
      </c>
      <c r="Z1040" t="n">
        <v>2</v>
      </c>
      <c r="AA1040" t="n">
        <v>1499.26</v>
      </c>
      <c r="AB1040">
        <f>ROUND(U1040-AA1040,2)</f>
        <v/>
      </c>
      <c r="AC1040" t="b">
        <v>0</v>
      </c>
      <c r="AD1040">
        <f>IF(U1040="","MISSING_TOTAL",IF(ABS(AB1040)&lt;=0.01,"OK","CHECK"))</f>
        <v/>
      </c>
      <c r="AE1040">
        <f>IF(U1040="","MISSING",IF(AND(AA1040&gt;0,U1040/AA1040&gt;50),"POSSIBLE_SCALE_ERROR","OK"))</f>
        <v/>
      </c>
    </row>
    <row r="1041">
      <c r="A1041" t="inlineStr">
        <is>
          <t>T-2018-Q1-00011</t>
        </is>
      </c>
      <c r="B1041" t="inlineStr">
        <is>
          <t>MPSES</t>
        </is>
      </c>
      <c r="C1041" t="inlineStr">
        <is>
          <t>Chief of Staff</t>
        </is>
      </c>
      <c r="D1041" t="inlineStr">
        <is>
          <t>Chef de cabinet</t>
        </is>
      </c>
      <c r="E1041" t="inlineStr">
        <is>
          <t>Mary Jean McFall</t>
        </is>
      </c>
      <c r="F1041" t="inlineStr">
        <is>
          <t>Support Minister in the  Ministerial Outreach in Alberta</t>
        </is>
      </c>
      <c r="G1041" t="inlineStr">
        <is>
          <t>Appuyer le ministre lors de la visite de sensibilisation ministérielle en Alberta</t>
        </is>
      </c>
      <c r="H1041" s="1" t="n">
        <v>43183</v>
      </c>
      <c r="I1041" s="1" t="n">
        <v>43186</v>
      </c>
      <c r="J1041" t="inlineStr">
        <is>
          <t>Calgary, Alberta</t>
        </is>
      </c>
      <c r="K1041" t="inlineStr">
        <is>
          <t>Calgary, Alberta</t>
        </is>
      </c>
      <c r="P1041" t="n">
        <v>1173.36</v>
      </c>
      <c r="Q1041" t="n">
        <v>76.76000000000001</v>
      </c>
      <c r="R1041" t="n">
        <v>515.3099999999999</v>
      </c>
      <c r="S1041" t="n">
        <v>259</v>
      </c>
      <c r="T1041" t="n">
        <v>131.25</v>
      </c>
      <c r="U1041" t="n">
        <v>2155.68</v>
      </c>
      <c r="V1041" t="n">
        <v>1900122241</v>
      </c>
      <c r="X1041" t="inlineStr">
        <is>
          <t>aafc-aac</t>
        </is>
      </c>
      <c r="Y1041" t="inlineStr">
        <is>
          <t>Agriculture and Agri-Food Canada | Agriculture et Agroalimentaire Canada</t>
        </is>
      </c>
      <c r="Z1041" t="n">
        <v>4</v>
      </c>
      <c r="AA1041" t="n">
        <v>2155.68</v>
      </c>
      <c r="AB1041">
        <f>ROUND(U1041-AA1041,2)</f>
        <v/>
      </c>
      <c r="AC1041" t="b">
        <v>0</v>
      </c>
      <c r="AD1041">
        <f>IF(U1041="","MISSING_TOTAL",IF(ABS(AB1041)&lt;=0.01,"OK","CHECK"))</f>
        <v/>
      </c>
      <c r="AE1041">
        <f>IF(U1041="","MISSING",IF(AND(AA1041&gt;0,U1041/AA1041&gt;50),"POSSIBLE_SCALE_ERROR","OK"))</f>
        <v/>
      </c>
    </row>
    <row r="1042">
      <c r="A1042" t="inlineStr">
        <is>
          <t>T-2018-Q1-00013</t>
        </is>
      </c>
      <c r="B1042" t="inlineStr">
        <is>
          <t>MPSES</t>
        </is>
      </c>
      <c r="C1042" t="inlineStr">
        <is>
          <t>Communications Advisor</t>
        </is>
      </c>
      <c r="D1042" t="inlineStr">
        <is>
          <t>Conseiller en communications</t>
        </is>
      </c>
      <c r="E1042" t="inlineStr">
        <is>
          <t>Oliver Anderson</t>
        </is>
      </c>
      <c r="F1042" t="inlineStr">
        <is>
          <t>To accompany the Minister at the Western Outreach</t>
        </is>
      </c>
      <c r="G1042" t="inlineStr">
        <is>
          <t>Accompagner le ministre à la campagne de sensibilisation de l'Ouest</t>
        </is>
      </c>
      <c r="H1042" s="1" t="n">
        <v>43192</v>
      </c>
      <c r="I1042" s="1" t="n">
        <v>43195</v>
      </c>
      <c r="J1042" t="inlineStr">
        <is>
          <t>Victoria, British Columbia, Kelowna, British Columbia,  Winnipeg, Manitoba</t>
        </is>
      </c>
      <c r="K1042" t="inlineStr">
        <is>
          <t>Victoria Colombie-Britannique, Kelowna Colombie-Britannique, Winnipeg Manitoba</t>
        </is>
      </c>
      <c r="P1042" t="n">
        <v>2448.85</v>
      </c>
      <c r="Q1042" t="n">
        <v>39.85</v>
      </c>
      <c r="R1042" t="n">
        <v>479.44</v>
      </c>
      <c r="S1042" t="n">
        <v>397.2</v>
      </c>
      <c r="U1042" t="n">
        <v>3365.34</v>
      </c>
      <c r="V1042" t="n">
        <v>1900001665</v>
      </c>
      <c r="X1042" t="inlineStr">
        <is>
          <t>aafc-aac</t>
        </is>
      </c>
      <c r="Y1042" t="inlineStr">
        <is>
          <t>Agriculture and Agri-Food Canada | Agriculture et Agroalimentaire Canada</t>
        </is>
      </c>
      <c r="Z1042" t="n">
        <v>4</v>
      </c>
      <c r="AA1042" t="n">
        <v>3365.33999999999</v>
      </c>
      <c r="AB1042">
        <f>ROUND(U1042-AA1042,2)</f>
        <v/>
      </c>
      <c r="AC1042" t="b">
        <v>0</v>
      </c>
      <c r="AD1042">
        <f>IF(U1042="","MISSING_TOTAL",IF(ABS(AB1042)&lt;=0.01,"OK","CHECK"))</f>
        <v/>
      </c>
      <c r="AE1042">
        <f>IF(U1042="","MISSING",IF(AND(AA1042&gt;0,U1042/AA1042&gt;50),"POSSIBLE_SCALE_ERROR","OK"))</f>
        <v/>
      </c>
    </row>
    <row r="1043">
      <c r="A1043" t="inlineStr">
        <is>
          <t>T-2018-Q1-00014</t>
        </is>
      </c>
      <c r="B1043" t="inlineStr">
        <is>
          <t>MPSES</t>
        </is>
      </c>
      <c r="C1043" t="inlineStr">
        <is>
          <t>Director of Communications</t>
        </is>
      </c>
      <c r="D1043" t="inlineStr">
        <is>
          <t>Directeur des communications</t>
        </is>
      </c>
      <c r="E1043" t="inlineStr">
        <is>
          <t>Guy Gallant</t>
        </is>
      </c>
      <c r="F1043" t="inlineStr">
        <is>
          <t>To accompany the Minister on the Ministerial Mission to Japan and South Korea.</t>
        </is>
      </c>
      <c r="G1043" t="inlineStr">
        <is>
          <t>Accompagner le ministre à la mission ministérielle au Japon et en Corée du Sud.</t>
        </is>
      </c>
      <c r="H1043" s="1" t="n">
        <v>43160</v>
      </c>
      <c r="I1043" s="1" t="n">
        <v>43169</v>
      </c>
      <c r="J1043" t="inlineStr">
        <is>
          <t>Tokyo, Japan, Seoul South, Korea</t>
        </is>
      </c>
      <c r="K1043" t="inlineStr">
        <is>
          <t>Tokyo, Japon, Séoul, Corée du Sud</t>
        </is>
      </c>
      <c r="P1043" t="n">
        <v>7553.19</v>
      </c>
      <c r="Q1043" t="n">
        <v>0</v>
      </c>
      <c r="R1043" t="n">
        <v>2380.12</v>
      </c>
      <c r="S1043" t="n">
        <v>1838.59</v>
      </c>
      <c r="T1043" t="n">
        <v>0</v>
      </c>
      <c r="U1043" t="n">
        <v>11771.9</v>
      </c>
      <c r="V1043" t="n">
        <v>1900120314</v>
      </c>
      <c r="X1043" t="inlineStr">
        <is>
          <t>aafc-aac</t>
        </is>
      </c>
      <c r="Y1043" t="inlineStr">
        <is>
          <t>Agriculture and Agri-Food Canada | Agriculture et Agroalimentaire Canada</t>
        </is>
      </c>
      <c r="Z1043" t="n">
        <v>10</v>
      </c>
      <c r="AA1043" t="n">
        <v>11771.9</v>
      </c>
      <c r="AB1043">
        <f>ROUND(U1043-AA1043,2)</f>
        <v/>
      </c>
      <c r="AC1043" t="b">
        <v>0</v>
      </c>
      <c r="AD1043">
        <f>IF(U1043="","MISSING_TOTAL",IF(ABS(AB1043)&lt;=0.01,"OK","CHECK"))</f>
        <v/>
      </c>
      <c r="AE1043">
        <f>IF(U1043="","MISSING",IF(AND(AA1043&gt;0,U1043/AA1043&gt;50),"POSSIBLE_SCALE_ERROR","OK"))</f>
        <v/>
      </c>
    </row>
    <row r="1044">
      <c r="A1044" t="inlineStr">
        <is>
          <t>T-2018-Q1-00015</t>
        </is>
      </c>
      <c r="B1044" t="inlineStr">
        <is>
          <t>MPSES</t>
        </is>
      </c>
      <c r="C1044" t="inlineStr">
        <is>
          <t>Director of Communications</t>
        </is>
      </c>
      <c r="D1044" t="inlineStr">
        <is>
          <t>Directeur des communications</t>
        </is>
      </c>
      <c r="E1044" t="inlineStr">
        <is>
          <t>Guy Gallant</t>
        </is>
      </c>
      <c r="F1044" t="inlineStr">
        <is>
          <t>To accompany the Minister to the Ministerial Mission to Boston Seafood Expo North America</t>
        </is>
      </c>
      <c r="G1044" t="inlineStr">
        <is>
          <t>Accompagner le ministre à la mission ministérielle au Boston Seafood Expo North America</t>
        </is>
      </c>
      <c r="H1044" s="1" t="n">
        <v>43170</v>
      </c>
      <c r="I1044" s="1" t="n">
        <v>43172</v>
      </c>
      <c r="J1044" t="inlineStr">
        <is>
          <t>Boston, Massachusetts</t>
        </is>
      </c>
      <c r="K1044" t="inlineStr">
        <is>
          <t>Boston, Massachusetts</t>
        </is>
      </c>
      <c r="P1044" t="n">
        <v>785.4400000000001</v>
      </c>
      <c r="Q1044" t="n">
        <v>28.07</v>
      </c>
      <c r="R1044" t="n">
        <v>586.27</v>
      </c>
      <c r="S1044" t="n">
        <v>215.33</v>
      </c>
      <c r="T1044" t="n">
        <v>0</v>
      </c>
      <c r="U1044" t="n">
        <v>1615.11</v>
      </c>
      <c r="V1044" t="n">
        <v>1900121472</v>
      </c>
      <c r="X1044" t="inlineStr">
        <is>
          <t>aafc-aac</t>
        </is>
      </c>
      <c r="Y1044" t="inlineStr">
        <is>
          <t>Agriculture and Agri-Food Canada | Agriculture et Agroalimentaire Canada</t>
        </is>
      </c>
      <c r="Z1044" t="n">
        <v>3</v>
      </c>
      <c r="AA1044" t="n">
        <v>1615.11</v>
      </c>
      <c r="AB1044">
        <f>ROUND(U1044-AA1044,2)</f>
        <v/>
      </c>
      <c r="AC1044" t="b">
        <v>0</v>
      </c>
      <c r="AD1044">
        <f>IF(U1044="","MISSING_TOTAL",IF(ABS(AB1044)&lt;=0.01,"OK","CHECK"))</f>
        <v/>
      </c>
      <c r="AE1044">
        <f>IF(U1044="","MISSING",IF(AND(AA1044&gt;0,U1044/AA1044&gt;50),"POSSIBLE_SCALE_ERROR","OK"))</f>
        <v/>
      </c>
    </row>
    <row r="1045">
      <c r="A1045" t="inlineStr">
        <is>
          <t>T-2018-Q1-00016</t>
        </is>
      </c>
      <c r="B1045" t="inlineStr">
        <is>
          <t>MPSES</t>
        </is>
      </c>
      <c r="C1045" t="inlineStr">
        <is>
          <t>Director of Communications</t>
        </is>
      </c>
      <c r="D1045" t="inlineStr">
        <is>
          <t>Directeur des communications</t>
        </is>
      </c>
      <c r="E1045" t="inlineStr">
        <is>
          <t>Guy Gallant</t>
        </is>
      </c>
      <c r="F1045" t="inlineStr">
        <is>
          <t>To accompany the Minister to Montreal Outreach</t>
        </is>
      </c>
      <c r="G1045" t="inlineStr">
        <is>
          <t>Accompagner le ministre à la visite de sensibilisation à Montréal</t>
        </is>
      </c>
      <c r="H1045" s="1" t="n">
        <v>43174</v>
      </c>
      <c r="I1045" s="1" t="n">
        <v>43175</v>
      </c>
      <c r="J1045" t="inlineStr">
        <is>
          <t>Montreal, Quebec</t>
        </is>
      </c>
      <c r="K1045" t="inlineStr">
        <is>
          <t>Montréal, Québec</t>
        </is>
      </c>
      <c r="P1045" t="n">
        <v>0</v>
      </c>
      <c r="Q1045" t="n">
        <v>193.23</v>
      </c>
      <c r="R1045" t="n">
        <v>189.22</v>
      </c>
      <c r="S1045" t="n">
        <v>148.4</v>
      </c>
      <c r="T1045" t="n">
        <v>0</v>
      </c>
      <c r="U1045" t="n">
        <v>530.85</v>
      </c>
      <c r="V1045" t="n">
        <v>1900121470</v>
      </c>
      <c r="X1045" t="inlineStr">
        <is>
          <t>aafc-aac</t>
        </is>
      </c>
      <c r="Y1045" t="inlineStr">
        <is>
          <t>Agriculture and Agri-Food Canada | Agriculture et Agroalimentaire Canada</t>
        </is>
      </c>
      <c r="Z1045" t="n">
        <v>2</v>
      </c>
      <c r="AA1045" t="n">
        <v>530.85</v>
      </c>
      <c r="AB1045">
        <f>ROUND(U1045-AA1045,2)</f>
        <v/>
      </c>
      <c r="AC1045" t="b">
        <v>0</v>
      </c>
      <c r="AD1045">
        <f>IF(U1045="","MISSING_TOTAL",IF(ABS(AB1045)&lt;=0.01,"OK","CHECK"))</f>
        <v/>
      </c>
      <c r="AE1045">
        <f>IF(U1045="","MISSING",IF(AND(AA1045&gt;0,U1045/AA1045&gt;50),"POSSIBLE_SCALE_ERROR","OK"))</f>
        <v/>
      </c>
    </row>
    <row r="1046">
      <c r="A1046" t="inlineStr">
        <is>
          <t>T-2018-Q1-00017</t>
        </is>
      </c>
      <c r="B1046" t="inlineStr">
        <is>
          <t>MPSES</t>
        </is>
      </c>
      <c r="C1046" t="inlineStr">
        <is>
          <t>Director of Communications</t>
        </is>
      </c>
      <c r="D1046" t="inlineStr">
        <is>
          <t>Directeur des communications</t>
        </is>
      </c>
      <c r="E1046" t="inlineStr">
        <is>
          <t>Guy Gallant</t>
        </is>
      </c>
      <c r="F1046" t="inlineStr">
        <is>
          <t>Support the Minister in the Ministerial Outreach to Alberta</t>
        </is>
      </c>
      <c r="G1046" t="inlineStr">
        <is>
          <t>Soutenir le ministre à la visite de sensibilisation ministérielle en Alberta</t>
        </is>
      </c>
      <c r="H1046" s="1" t="n">
        <v>43184</v>
      </c>
      <c r="I1046" s="1" t="n">
        <v>43186</v>
      </c>
      <c r="J1046" t="inlineStr">
        <is>
          <t>Calgary, Alberta</t>
        </is>
      </c>
      <c r="K1046" t="inlineStr">
        <is>
          <t>Calgary, Alberta</t>
        </is>
      </c>
      <c r="P1046" t="n">
        <v>415.09</v>
      </c>
      <c r="Q1046" t="n">
        <v>0</v>
      </c>
      <c r="R1046" t="n">
        <v>343.54</v>
      </c>
      <c r="S1046" t="n">
        <v>175.25</v>
      </c>
      <c r="T1046" t="n">
        <v>131.25</v>
      </c>
      <c r="U1046" t="n">
        <v>1065.13</v>
      </c>
      <c r="V1046" t="n">
        <v>1900122125</v>
      </c>
      <c r="X1046" t="inlineStr">
        <is>
          <t>aafc-aac</t>
        </is>
      </c>
      <c r="Y1046" t="inlineStr">
        <is>
          <t>Agriculture and Agri-Food Canada | Agriculture et Agroalimentaire Canada</t>
        </is>
      </c>
      <c r="Z1046" t="n">
        <v>3</v>
      </c>
      <c r="AA1046" t="n">
        <v>1065.13</v>
      </c>
      <c r="AB1046">
        <f>ROUND(U1046-AA1046,2)</f>
        <v/>
      </c>
      <c r="AC1046" t="b">
        <v>0</v>
      </c>
      <c r="AD1046">
        <f>IF(U1046="","MISSING_TOTAL",IF(ABS(AB1046)&lt;=0.01,"OK","CHECK"))</f>
        <v/>
      </c>
      <c r="AE1046">
        <f>IF(U1046="","MISSING",IF(AND(AA1046&gt;0,U1046/AA1046&gt;50),"POSSIBLE_SCALE_ERROR","OK"))</f>
        <v/>
      </c>
    </row>
    <row r="1047">
      <c r="A1047" t="inlineStr">
        <is>
          <t>T-2018-Q1-00018</t>
        </is>
      </c>
      <c r="B1047" t="inlineStr">
        <is>
          <t>MPSES</t>
        </is>
      </c>
      <c r="C1047" t="inlineStr">
        <is>
          <t>Director of Communications</t>
        </is>
      </c>
      <c r="D1047" t="inlineStr">
        <is>
          <t>Directeur des communications</t>
        </is>
      </c>
      <c r="E1047" t="inlineStr">
        <is>
          <t>Guy Gallant</t>
        </is>
      </c>
      <c r="F1047" t="inlineStr">
        <is>
          <t>To accompany the Minister to briefings and meetings</t>
        </is>
      </c>
      <c r="G1047" t="inlineStr">
        <is>
          <t>Accompagner le ministre aux breffages et aux réunions</t>
        </is>
      </c>
      <c r="H1047" s="1" t="n">
        <v>43198</v>
      </c>
      <c r="I1047" s="1" t="n">
        <v>43202</v>
      </c>
      <c r="J1047" t="inlineStr">
        <is>
          <t>Charlottetown, Prince Edward Island</t>
        </is>
      </c>
      <c r="K1047" t="inlineStr">
        <is>
          <t>Charlottetown, Île-du-Prince-Édouard</t>
        </is>
      </c>
      <c r="P1047" t="n">
        <v>839.55</v>
      </c>
      <c r="Q1047" t="n">
        <v>243.37</v>
      </c>
      <c r="R1047" t="n">
        <v>493.95</v>
      </c>
      <c r="S1047" t="n">
        <v>300.65</v>
      </c>
      <c r="T1047" t="n">
        <v>0</v>
      </c>
      <c r="U1047" t="n">
        <v>1877.52</v>
      </c>
      <c r="V1047" t="n">
        <v>1900002032</v>
      </c>
      <c r="X1047" t="inlineStr">
        <is>
          <t>aafc-aac</t>
        </is>
      </c>
      <c r="Y1047" t="inlineStr">
        <is>
          <t>Agriculture and Agri-Food Canada | Agriculture et Agroalimentaire Canada</t>
        </is>
      </c>
      <c r="Z1047" t="n">
        <v>5</v>
      </c>
      <c r="AA1047" t="n">
        <v>1877.52</v>
      </c>
      <c r="AB1047">
        <f>ROUND(U1047-AA1047,2)</f>
        <v/>
      </c>
      <c r="AC1047" t="b">
        <v>0</v>
      </c>
      <c r="AD1047">
        <f>IF(U1047="","MISSING_TOTAL",IF(ABS(AB1047)&lt;=0.01,"OK","CHECK"))</f>
        <v/>
      </c>
      <c r="AE1047">
        <f>IF(U1047="","MISSING",IF(AND(AA1047&gt;0,U1047/AA1047&gt;50),"POSSIBLE_SCALE_ERROR","OK"))</f>
        <v/>
      </c>
    </row>
    <row r="1048">
      <c r="A1048" t="inlineStr">
        <is>
          <t>T-2018-Q1-00019</t>
        </is>
      </c>
      <c r="B1048" t="inlineStr">
        <is>
          <t>MPSES</t>
        </is>
      </c>
      <c r="C1048" t="inlineStr">
        <is>
          <t>Director of Communications</t>
        </is>
      </c>
      <c r="D1048" t="inlineStr">
        <is>
          <t>Directeur des communications</t>
        </is>
      </c>
      <c r="E1048" t="inlineStr">
        <is>
          <t>Guy Gallant</t>
        </is>
      </c>
      <c r="F1048" t="inlineStr">
        <is>
          <t>Travel for the Ministerial Mission to China</t>
        </is>
      </c>
      <c r="G1048" t="inlineStr">
        <is>
          <t>Voyage pour la mission ministérielle en Chine</t>
        </is>
      </c>
      <c r="H1048" s="1" t="n">
        <v>43231</v>
      </c>
      <c r="I1048" s="1" t="n">
        <v>43239</v>
      </c>
      <c r="J1048" t="inlineStr">
        <is>
          <t>Shanghai &amp; Hangzhou, China</t>
        </is>
      </c>
      <c r="K1048" t="inlineStr">
        <is>
          <t>Shanghai et Hangzhou, Chine</t>
        </is>
      </c>
      <c r="P1048" t="n">
        <v>8309.18</v>
      </c>
      <c r="Q1048" t="n">
        <v>29.48</v>
      </c>
      <c r="R1048" t="n">
        <v>2045.04</v>
      </c>
      <c r="S1048" t="n">
        <v>1270.47</v>
      </c>
      <c r="T1048" t="n">
        <v>0</v>
      </c>
      <c r="U1048" t="n">
        <v>11654.17</v>
      </c>
      <c r="V1048" t="n">
        <v>1900016118</v>
      </c>
      <c r="X1048" t="inlineStr">
        <is>
          <t>aafc-aac</t>
        </is>
      </c>
      <c r="Y1048" t="inlineStr">
        <is>
          <t>Agriculture and Agri-Food Canada | Agriculture et Agroalimentaire Canada</t>
        </is>
      </c>
      <c r="Z1048" t="n">
        <v>9</v>
      </c>
      <c r="AA1048" t="n">
        <v>11654.17</v>
      </c>
      <c r="AB1048">
        <f>ROUND(U1048-AA1048,2)</f>
        <v/>
      </c>
      <c r="AC1048" t="b">
        <v>0</v>
      </c>
      <c r="AD1048">
        <f>IF(U1048="","MISSING_TOTAL",IF(ABS(AB1048)&lt;=0.01,"OK","CHECK"))</f>
        <v/>
      </c>
      <c r="AE1048">
        <f>IF(U1048="","MISSING",IF(AND(AA1048&gt;0,U1048/AA1048&gt;50),"POSSIBLE_SCALE_ERROR","OK"))</f>
        <v/>
      </c>
    </row>
    <row r="1049">
      <c r="A1049" t="inlineStr">
        <is>
          <t>T-2018-Q1-00026</t>
        </is>
      </c>
      <c r="B1049" t="inlineStr">
        <is>
          <t>MPSES</t>
        </is>
      </c>
      <c r="C1049" t="inlineStr">
        <is>
          <t>Director of Parliamentary Affairs</t>
        </is>
      </c>
      <c r="D1049" t="inlineStr">
        <is>
          <t>Directeur des affaires parlementaires</t>
        </is>
      </c>
      <c r="E1049" t="inlineStr">
        <is>
          <t>Matthew Mann</t>
        </is>
      </c>
      <c r="F1049" t="inlineStr">
        <is>
          <t>To support the Minister at the World Meat Congress in Dallas, Texas</t>
        </is>
      </c>
      <c r="G1049" t="inlineStr">
        <is>
          <t>Soutenir le ministre au Congrès mondial de la viande à Dallas, au Texas</t>
        </is>
      </c>
      <c r="H1049" s="1" t="n">
        <v>43250</v>
      </c>
      <c r="I1049" s="1" t="n">
        <v>43253</v>
      </c>
      <c r="J1049" t="inlineStr">
        <is>
          <t>Dallas, Texas</t>
        </is>
      </c>
      <c r="K1049" t="inlineStr">
        <is>
          <t>Dallas, Texas</t>
        </is>
      </c>
      <c r="P1049" t="n">
        <v>1462.9</v>
      </c>
      <c r="Q1049" t="n">
        <v>17.77</v>
      </c>
      <c r="R1049" t="n">
        <v>714.8099999999999</v>
      </c>
      <c r="S1049" t="n">
        <v>357.48</v>
      </c>
      <c r="U1049" t="n">
        <v>2552.96</v>
      </c>
      <c r="V1049" t="n">
        <v>1900020023</v>
      </c>
      <c r="X1049" t="inlineStr">
        <is>
          <t>aafc-aac</t>
        </is>
      </c>
      <c r="Y1049" t="inlineStr">
        <is>
          <t>Agriculture and Agri-Food Canada | Agriculture et Agroalimentaire Canada</t>
        </is>
      </c>
      <c r="Z1049" t="n">
        <v>4</v>
      </c>
      <c r="AA1049" t="n">
        <v>2552.96</v>
      </c>
      <c r="AB1049">
        <f>ROUND(U1049-AA1049,2)</f>
        <v/>
      </c>
      <c r="AC1049" t="b">
        <v>0</v>
      </c>
      <c r="AD1049">
        <f>IF(U1049="","MISSING_TOTAL",IF(ABS(AB1049)&lt;=0.01,"OK","CHECK"))</f>
        <v/>
      </c>
      <c r="AE1049">
        <f>IF(U1049="","MISSING",IF(AND(AA1049&gt;0,U1049/AA1049&gt;50),"POSSIBLE_SCALE_ERROR","OK"))</f>
        <v/>
      </c>
    </row>
    <row r="1050">
      <c r="A1050" t="inlineStr">
        <is>
          <t>T-2018-Q1-00020</t>
        </is>
      </c>
      <c r="B1050" t="inlineStr">
        <is>
          <t>MPSES</t>
        </is>
      </c>
      <c r="C1050" t="inlineStr">
        <is>
          <t>Director of Communications</t>
        </is>
      </c>
      <c r="D1050" t="inlineStr">
        <is>
          <t>Directeur des communications</t>
        </is>
      </c>
      <c r="E1050" t="inlineStr">
        <is>
          <t>Guy Gallant</t>
        </is>
      </c>
      <c r="F1050" t="inlineStr">
        <is>
          <t>To support the Minister in the announcement of Bill C-49, the Transportation Modernization Act had received Royal Assent</t>
        </is>
      </c>
      <c r="G1050" t="inlineStr">
        <is>
          <t>Pour appuyer le ministre dans l'annonce du projet de loi C-49, la Loi sur la modernisation des transports qui a reçu la sanction royale</t>
        </is>
      </c>
      <c r="H1050" s="1" t="n">
        <v>43243</v>
      </c>
      <c r="I1050" s="1" t="n">
        <v>43245</v>
      </c>
      <c r="J1050" t="inlineStr">
        <is>
          <t>Winnipeg, Manitoba, Toronto, Ontario, Charlottetown, Prince Edward Island</t>
        </is>
      </c>
      <c r="K1050" t="inlineStr">
        <is>
          <t>Winnipeg, Manitoba Toronto, Ontario, Charlottetown, Île-du-Prince-Edouard</t>
        </is>
      </c>
      <c r="P1050" t="n">
        <v>2162.73</v>
      </c>
      <c r="Q1050" t="n">
        <v>0</v>
      </c>
      <c r="R1050" t="n">
        <v>353.83</v>
      </c>
      <c r="S1050" t="n">
        <v>273.65</v>
      </c>
      <c r="T1050" t="n">
        <v>0</v>
      </c>
      <c r="U1050" t="n">
        <v>2790.21</v>
      </c>
      <c r="V1050" t="n">
        <v>1900017806</v>
      </c>
      <c r="X1050" t="inlineStr">
        <is>
          <t>aafc-aac</t>
        </is>
      </c>
      <c r="Y1050" t="inlineStr">
        <is>
          <t>Agriculture and Agri-Food Canada | Agriculture et Agroalimentaire Canada</t>
        </is>
      </c>
      <c r="Z1050" t="n">
        <v>3</v>
      </c>
      <c r="AA1050" t="n">
        <v>2790.21</v>
      </c>
      <c r="AB1050">
        <f>ROUND(U1050-AA1050,2)</f>
        <v/>
      </c>
      <c r="AC1050" t="b">
        <v>0</v>
      </c>
      <c r="AD1050">
        <f>IF(U1050="","MISSING_TOTAL",IF(ABS(AB1050)&lt;=0.01,"OK","CHECK"))</f>
        <v/>
      </c>
      <c r="AE1050">
        <f>IF(U1050="","MISSING",IF(AND(AA1050&gt;0,U1050/AA1050&gt;50),"POSSIBLE_SCALE_ERROR","OK"))</f>
        <v/>
      </c>
    </row>
    <row r="1051">
      <c r="A1051" t="inlineStr">
        <is>
          <t>T-2018-Q1-00021</t>
        </is>
      </c>
      <c r="B1051" t="inlineStr">
        <is>
          <t>MPSES</t>
        </is>
      </c>
      <c r="C1051" t="inlineStr">
        <is>
          <t>Director of Communications</t>
        </is>
      </c>
      <c r="D1051" t="inlineStr">
        <is>
          <t>Directeur des communications</t>
        </is>
      </c>
      <c r="E1051" t="inlineStr">
        <is>
          <t>Guy Gallant</t>
        </is>
      </c>
      <c r="F1051" t="inlineStr">
        <is>
          <t>To support the Minister at the World Meat Congress in Dallas, Texas</t>
        </is>
      </c>
      <c r="G1051" t="inlineStr">
        <is>
          <t>Soutenir le ministre au Congrès mondial de la viande à Dallas, au Texas</t>
        </is>
      </c>
      <c r="H1051" s="1" t="n">
        <v>43250</v>
      </c>
      <c r="I1051" s="1" t="n">
        <v>43253</v>
      </c>
      <c r="J1051" t="inlineStr">
        <is>
          <t>Dallas, Texas</t>
        </is>
      </c>
      <c r="K1051" t="inlineStr">
        <is>
          <t>Dallas, Texas</t>
        </is>
      </c>
      <c r="P1051" t="n">
        <v>1327.31</v>
      </c>
      <c r="Q1051" t="n">
        <v>31.94</v>
      </c>
      <c r="R1051" t="n">
        <v>693.3</v>
      </c>
      <c r="S1051" t="n">
        <v>357.48</v>
      </c>
      <c r="T1051" t="n">
        <v>0</v>
      </c>
      <c r="U1051" t="n">
        <v>2410.03</v>
      </c>
      <c r="V1051" t="n">
        <v>1900018086</v>
      </c>
      <c r="X1051" t="inlineStr">
        <is>
          <t>aafc-aac</t>
        </is>
      </c>
      <c r="Y1051" t="inlineStr">
        <is>
          <t>Agriculture and Agri-Food Canada | Agriculture et Agroalimentaire Canada</t>
        </is>
      </c>
      <c r="Z1051" t="n">
        <v>4</v>
      </c>
      <c r="AA1051" t="n">
        <v>2410.03</v>
      </c>
      <c r="AB1051">
        <f>ROUND(U1051-AA1051,2)</f>
        <v/>
      </c>
      <c r="AC1051" t="b">
        <v>0</v>
      </c>
      <c r="AD1051">
        <f>IF(U1051="","MISSING_TOTAL",IF(ABS(AB1051)&lt;=0.01,"OK","CHECK"))</f>
        <v/>
      </c>
      <c r="AE1051">
        <f>IF(U1051="","MISSING",IF(AND(AA1051&gt;0,U1051/AA1051&gt;50),"POSSIBLE_SCALE_ERROR","OK"))</f>
        <v/>
      </c>
    </row>
    <row r="1052">
      <c r="A1052" t="inlineStr">
        <is>
          <t>T-2018-Q1-00022</t>
        </is>
      </c>
      <c r="B1052" t="inlineStr">
        <is>
          <t>MPSES</t>
        </is>
      </c>
      <c r="C1052" t="inlineStr">
        <is>
          <t>Policy Advisor</t>
        </is>
      </c>
      <c r="D1052" t="inlineStr">
        <is>
          <t>Conseiller en politiques</t>
        </is>
      </c>
      <c r="E1052" t="inlineStr">
        <is>
          <t>Abed Harb</t>
        </is>
      </c>
      <c r="F1052" t="inlineStr">
        <is>
          <t>To accompany the Minnister for the Installation of Mr. W. Thomas Malloy as the 22nd Lieutenant Governor of Saskatchewan, and a meeting with Saskatchewan's Minister of Agriculture</t>
        </is>
      </c>
      <c r="G1052" t="inlineStr">
        <is>
          <t>Accompagner le ministre à l'installation de MW Thomas Malloy à titre de 22e lieutenant-gouverneur de la Saskatchewan et à une réunion avec le ministre d'Agriculture de la Saskatchewan</t>
        </is>
      </c>
      <c r="H1052" s="1" t="n">
        <v>43179</v>
      </c>
      <c r="I1052" s="1" t="n">
        <v>43180</v>
      </c>
      <c r="J1052" t="inlineStr">
        <is>
          <t>Regina, Saskatchewan</t>
        </is>
      </c>
      <c r="K1052" t="inlineStr">
        <is>
          <t>Regina, Saskatchewan</t>
        </is>
      </c>
      <c r="P1052" t="n">
        <v>1402.93</v>
      </c>
      <c r="Q1052" t="n">
        <v>64.43000000000001</v>
      </c>
      <c r="R1052" t="n">
        <v>193.21</v>
      </c>
      <c r="S1052" t="n">
        <v>119.95</v>
      </c>
      <c r="T1052" t="n">
        <v>0</v>
      </c>
      <c r="U1052" t="n">
        <v>1780.52</v>
      </c>
      <c r="V1052" t="n">
        <v>1900121469</v>
      </c>
      <c r="X1052" t="inlineStr">
        <is>
          <t>aafc-aac</t>
        </is>
      </c>
      <c r="Y1052" t="inlineStr">
        <is>
          <t>Agriculture and Agri-Food Canada | Agriculture et Agroalimentaire Canada</t>
        </is>
      </c>
      <c r="Z1052" t="n">
        <v>2</v>
      </c>
      <c r="AA1052" t="n">
        <v>1780.52</v>
      </c>
      <c r="AB1052">
        <f>ROUND(U1052-AA1052,2)</f>
        <v/>
      </c>
      <c r="AC1052" t="b">
        <v>0</v>
      </c>
      <c r="AD1052">
        <f>IF(U1052="","MISSING_TOTAL",IF(ABS(AB1052)&lt;=0.01,"OK","CHECK"))</f>
        <v/>
      </c>
      <c r="AE1052">
        <f>IF(U1052="","MISSING",IF(AND(AA1052&gt;0,U1052/AA1052&gt;50),"POSSIBLE_SCALE_ERROR","OK"))</f>
        <v/>
      </c>
    </row>
    <row r="1053">
      <c r="A1053" t="inlineStr">
        <is>
          <t>T-2018-Q1-00023</t>
        </is>
      </c>
      <c r="B1053" t="inlineStr">
        <is>
          <t>MPSES</t>
        </is>
      </c>
      <c r="C1053" t="inlineStr">
        <is>
          <t>Policy Advisor</t>
        </is>
      </c>
      <c r="D1053" t="inlineStr">
        <is>
          <t>Conseiller en politiques</t>
        </is>
      </c>
      <c r="E1053" t="inlineStr">
        <is>
          <t>Abed Harb</t>
        </is>
      </c>
      <c r="F1053" t="inlineStr">
        <is>
          <t>To support the Minister in the announcement of Bill C-49, the Transportation Modernization Act had received Royal Assent</t>
        </is>
      </c>
      <c r="G1053" t="inlineStr">
        <is>
          <t>Pour appuyer le ministre dans l'annonce du projet de loi C-49, la Loi sur la modernisation des transports qui a reçu la sanction royale</t>
        </is>
      </c>
      <c r="H1053" s="1" t="n">
        <v>43243</v>
      </c>
      <c r="I1053" s="1" t="n">
        <v>43244</v>
      </c>
      <c r="J1053" t="inlineStr">
        <is>
          <t>Winnipeg, Manitoba</t>
        </is>
      </c>
      <c r="K1053" t="inlineStr">
        <is>
          <t>Winnipeg (Manitoba)</t>
        </is>
      </c>
      <c r="P1053" t="n">
        <v>1168.96</v>
      </c>
      <c r="Q1053" t="n">
        <v>67.73999999999999</v>
      </c>
      <c r="R1053" t="n">
        <v>201.03</v>
      </c>
      <c r="S1053" t="n">
        <v>169.55</v>
      </c>
      <c r="T1053" t="n">
        <v>0</v>
      </c>
      <c r="U1053" t="n">
        <v>1607.28</v>
      </c>
      <c r="V1053" t="n">
        <v>1900017620</v>
      </c>
      <c r="X1053" t="inlineStr">
        <is>
          <t>aafc-aac</t>
        </is>
      </c>
      <c r="Y1053" t="inlineStr">
        <is>
          <t>Agriculture and Agri-Food Canada | Agriculture et Agroalimentaire Canada</t>
        </is>
      </c>
      <c r="Z1053" t="n">
        <v>2</v>
      </c>
      <c r="AA1053" t="n">
        <v>1607.28</v>
      </c>
      <c r="AB1053">
        <f>ROUND(U1053-AA1053,2)</f>
        <v/>
      </c>
      <c r="AC1053" t="b">
        <v>0</v>
      </c>
      <c r="AD1053">
        <f>IF(U1053="","MISSING_TOTAL",IF(ABS(AB1053)&lt;=0.01,"OK","CHECK"))</f>
        <v/>
      </c>
      <c r="AE1053">
        <f>IF(U1053="","MISSING",IF(AND(AA1053&gt;0,U1053/AA1053&gt;50),"POSSIBLE_SCALE_ERROR","OK"))</f>
        <v/>
      </c>
    </row>
    <row r="1054">
      <c r="A1054" t="inlineStr">
        <is>
          <t>T-2018-Q1-00024</t>
        </is>
      </c>
      <c r="B1054" t="inlineStr">
        <is>
          <t>MPSES</t>
        </is>
      </c>
      <c r="C1054" t="inlineStr">
        <is>
          <t>Policy Advisor</t>
        </is>
      </c>
      <c r="D1054" t="inlineStr">
        <is>
          <t>Conseiller en politiques</t>
        </is>
      </c>
      <c r="E1054" t="inlineStr">
        <is>
          <t>Dan Lussier</t>
        </is>
      </c>
      <c r="F1054" t="inlineStr">
        <is>
          <t>To accompany the Minister at the Western Outreach</t>
        </is>
      </c>
      <c r="G1054" t="inlineStr">
        <is>
          <t>Accompagner le ministre à la campagne de sensibilisation de l'Ouest</t>
        </is>
      </c>
      <c r="H1054" s="1" t="n">
        <v>43192</v>
      </c>
      <c r="I1054" s="1" t="n">
        <v>43197</v>
      </c>
      <c r="J1054" t="inlineStr">
        <is>
          <t>Victoria British Columbia, Kelowna British Columbia, Winnipeg Manitoba</t>
        </is>
      </c>
      <c r="K1054" t="inlineStr">
        <is>
          <t>Victoria Colombie-Britannique, Kelowna Colombie-Britannique, Winnipeg Manitoba</t>
        </is>
      </c>
      <c r="P1054" t="n">
        <v>2524.56</v>
      </c>
      <c r="Q1054" t="n">
        <v>192.94</v>
      </c>
      <c r="R1054" t="n">
        <v>479.44</v>
      </c>
      <c r="S1054" t="n">
        <v>397.2</v>
      </c>
      <c r="T1054" t="n">
        <v>0</v>
      </c>
      <c r="U1054" t="n">
        <v>3594.14</v>
      </c>
      <c r="V1054" t="n">
        <v>1900001664</v>
      </c>
      <c r="X1054" t="inlineStr">
        <is>
          <t>aafc-aac</t>
        </is>
      </c>
      <c r="Y1054" t="inlineStr">
        <is>
          <t>Agriculture and Agri-Food Canada | Agriculture et Agroalimentaire Canada</t>
        </is>
      </c>
      <c r="Z1054" t="n">
        <v>6</v>
      </c>
      <c r="AA1054" t="n">
        <v>3594.14</v>
      </c>
      <c r="AB1054">
        <f>ROUND(U1054-AA1054,2)</f>
        <v/>
      </c>
      <c r="AC1054" t="b">
        <v>0</v>
      </c>
      <c r="AD1054">
        <f>IF(U1054="","MISSING_TOTAL",IF(ABS(AB1054)&lt;=0.01,"OK","CHECK"))</f>
        <v/>
      </c>
      <c r="AE1054">
        <f>IF(U1054="","MISSING",IF(AND(AA1054&gt;0,U1054/AA1054&gt;50),"POSSIBLE_SCALE_ERROR","OK"))</f>
        <v/>
      </c>
    </row>
    <row r="1055">
      <c r="A1055" t="inlineStr">
        <is>
          <t>T-2018-Q1-00025</t>
        </is>
      </c>
      <c r="B1055" t="inlineStr">
        <is>
          <t>MPSES</t>
        </is>
      </c>
      <c r="C1055" t="inlineStr">
        <is>
          <t>Director of Parliamentary Affairs</t>
        </is>
      </c>
      <c r="D1055" t="inlineStr">
        <is>
          <t>Directeur des affaires parlementaires</t>
        </is>
      </c>
      <c r="E1055" t="inlineStr">
        <is>
          <t>Matthew Mann</t>
        </is>
      </c>
      <c r="F1055" t="inlineStr">
        <is>
          <t>To accompany the Minister to the Ministerial Mission to Boston Seafood Expo North America</t>
        </is>
      </c>
      <c r="G1055" t="inlineStr">
        <is>
          <t>Accompagner le ministre à la mission ministérielle  au Boston Seafood Expo North America</t>
        </is>
      </c>
      <c r="H1055" s="1" t="n">
        <v>43170</v>
      </c>
      <c r="I1055" s="1" t="n">
        <v>43171</v>
      </c>
      <c r="J1055" t="inlineStr">
        <is>
          <t>Boston, Massachusetts</t>
        </is>
      </c>
      <c r="K1055" t="inlineStr">
        <is>
          <t>Boston, Massachusetts</t>
        </is>
      </c>
      <c r="P1055" t="n">
        <v>785.4400000000001</v>
      </c>
      <c r="Q1055" t="n">
        <v>20</v>
      </c>
      <c r="R1055" t="n">
        <v>421.85</v>
      </c>
      <c r="S1055" t="n">
        <v>215.33</v>
      </c>
      <c r="U1055" t="n">
        <v>1442.62</v>
      </c>
      <c r="V1055" t="n">
        <v>1900121476</v>
      </c>
      <c r="X1055" t="inlineStr">
        <is>
          <t>aafc-aac</t>
        </is>
      </c>
      <c r="Y1055" t="inlineStr">
        <is>
          <t>Agriculture and Agri-Food Canada | Agriculture et Agroalimentaire Canada</t>
        </is>
      </c>
      <c r="Z1055" t="n">
        <v>2</v>
      </c>
      <c r="AA1055" t="n">
        <v>1442.62</v>
      </c>
      <c r="AB1055">
        <f>ROUND(U1055-AA1055,2)</f>
        <v/>
      </c>
      <c r="AC1055" t="b">
        <v>0</v>
      </c>
      <c r="AD1055">
        <f>IF(U1055="","MISSING_TOTAL",IF(ABS(AB1055)&lt;=0.01,"OK","CHECK"))</f>
        <v/>
      </c>
      <c r="AE1055">
        <f>IF(U1055="","MISSING",IF(AND(AA1055&gt;0,U1055/AA1055&gt;50),"POSSIBLE_SCALE_ERROR","OK"))</f>
        <v/>
      </c>
    </row>
    <row r="1056">
      <c r="A1056" t="inlineStr">
        <is>
          <t>T-2018-Q1-00028</t>
        </is>
      </c>
      <c r="B1056" t="inlineStr">
        <is>
          <t>MPSES</t>
        </is>
      </c>
      <c r="C1056" t="inlineStr">
        <is>
          <t>Director of Policy</t>
        </is>
      </c>
      <c r="D1056" t="inlineStr">
        <is>
          <t>Directrice de la politique</t>
        </is>
      </c>
      <c r="E1056" t="inlineStr">
        <is>
          <t>Alison Porter</t>
        </is>
      </c>
      <c r="F1056" t="inlineStr">
        <is>
          <t>To accompany the Minister on the Ministerial Mission to Japan and South Korea</t>
        </is>
      </c>
      <c r="G1056" t="inlineStr">
        <is>
          <t>Accompagner le ministre à la mission ministérielle au Japon et en Corée du Sud</t>
        </is>
      </c>
      <c r="H1056" s="1" t="n">
        <v>43160</v>
      </c>
      <c r="I1056" s="1" t="n">
        <v>43169</v>
      </c>
      <c r="J1056" t="inlineStr">
        <is>
          <t>Tokyo, Japan, Seoul, South Korea</t>
        </is>
      </c>
      <c r="K1056" t="inlineStr">
        <is>
          <t>Tokyo, Japon, Séoul, Corée du Sud</t>
        </is>
      </c>
      <c r="P1056" t="n">
        <v>7553.19</v>
      </c>
      <c r="Q1056" t="n">
        <v>34.21</v>
      </c>
      <c r="R1056" t="n">
        <v>2380.12</v>
      </c>
      <c r="S1056" t="n">
        <v>1774.01</v>
      </c>
      <c r="T1056" t="n">
        <v>0</v>
      </c>
      <c r="U1056" t="n">
        <v>11741.53</v>
      </c>
      <c r="V1056" t="n">
        <v>1900120170</v>
      </c>
      <c r="X1056" t="inlineStr">
        <is>
          <t>aafc-aac</t>
        </is>
      </c>
      <c r="Y1056" t="inlineStr">
        <is>
          <t>Agriculture and Agri-Food Canada | Agriculture et Agroalimentaire Canada</t>
        </is>
      </c>
      <c r="Z1056" t="n">
        <v>10</v>
      </c>
      <c r="AA1056" t="n">
        <v>11741.53</v>
      </c>
      <c r="AB1056">
        <f>ROUND(U1056-AA1056,2)</f>
        <v/>
      </c>
      <c r="AC1056" t="b">
        <v>0</v>
      </c>
      <c r="AD1056">
        <f>IF(U1056="","MISSING_TOTAL",IF(ABS(AB1056)&lt;=0.01,"OK","CHECK"))</f>
        <v/>
      </c>
      <c r="AE1056">
        <f>IF(U1056="","MISSING",IF(AND(AA1056&gt;0,U1056/AA1056&gt;50),"POSSIBLE_SCALE_ERROR","OK"))</f>
        <v/>
      </c>
    </row>
    <row r="1057">
      <c r="A1057" t="inlineStr">
        <is>
          <t>T-2018-Q1-00029</t>
        </is>
      </c>
      <c r="B1057" t="inlineStr">
        <is>
          <t>MPSES</t>
        </is>
      </c>
      <c r="C1057" t="inlineStr">
        <is>
          <t>Director of Policy</t>
        </is>
      </c>
      <c r="D1057" t="inlineStr">
        <is>
          <t>Directrice de la politique</t>
        </is>
      </c>
      <c r="E1057" t="inlineStr">
        <is>
          <t>Alison Porter</t>
        </is>
      </c>
      <c r="F1057" t="inlineStr">
        <is>
          <t>Support the Minister in the Ministerial Outreach to Alberta</t>
        </is>
      </c>
      <c r="G1057" t="inlineStr">
        <is>
          <t>Soutenir le ministre à la visite de sensibilisation ministérielle en Alberta</t>
        </is>
      </c>
      <c r="H1057" s="1" t="n">
        <v>43183</v>
      </c>
      <c r="I1057" s="1" t="n">
        <v>43186</v>
      </c>
      <c r="J1057" t="inlineStr">
        <is>
          <t>Calgary, Alberta</t>
        </is>
      </c>
      <c r="K1057" t="inlineStr">
        <is>
          <t>Calgary, Alberta</t>
        </is>
      </c>
      <c r="P1057" t="n">
        <v>1169.36</v>
      </c>
      <c r="Q1057" t="n">
        <v>0</v>
      </c>
      <c r="R1057" t="n">
        <v>515.3099999999999</v>
      </c>
      <c r="S1057" t="n">
        <v>259</v>
      </c>
      <c r="T1057" t="n">
        <v>131.25</v>
      </c>
      <c r="U1057" t="n">
        <v>2074.92</v>
      </c>
      <c r="V1057" t="n">
        <v>1900122120</v>
      </c>
      <c r="X1057" t="inlineStr">
        <is>
          <t>aafc-aac</t>
        </is>
      </c>
      <c r="Y1057" t="inlineStr">
        <is>
          <t>Agriculture and Agri-Food Canada | Agriculture et Agroalimentaire Canada</t>
        </is>
      </c>
      <c r="Z1057" t="n">
        <v>4</v>
      </c>
      <c r="AA1057" t="n">
        <v>2074.92</v>
      </c>
      <c r="AB1057">
        <f>ROUND(U1057-AA1057,2)</f>
        <v/>
      </c>
      <c r="AC1057" t="b">
        <v>0</v>
      </c>
      <c r="AD1057">
        <f>IF(U1057="","MISSING_TOTAL",IF(ABS(AB1057)&lt;=0.01,"OK","CHECK"))</f>
        <v/>
      </c>
      <c r="AE1057">
        <f>IF(U1057="","MISSING",IF(AND(AA1057&gt;0,U1057/AA1057&gt;50),"POSSIBLE_SCALE_ERROR","OK"))</f>
        <v/>
      </c>
    </row>
    <row r="1058">
      <c r="A1058" t="inlineStr">
        <is>
          <t>T-2018-Q1-00030</t>
        </is>
      </c>
      <c r="B1058" t="inlineStr">
        <is>
          <t>MPSES</t>
        </is>
      </c>
      <c r="C1058" t="inlineStr">
        <is>
          <t>Director of Policy</t>
        </is>
      </c>
      <c r="D1058" t="inlineStr">
        <is>
          <t>Directrice de la politique</t>
        </is>
      </c>
      <c r="E1058" t="inlineStr">
        <is>
          <t>Alison Porter</t>
        </is>
      </c>
      <c r="F1058" t="inlineStr">
        <is>
          <t>To accompany the Minister to briefings and meetings</t>
        </is>
      </c>
      <c r="G1058" t="inlineStr">
        <is>
          <t>Accompagner le ministre aux breffages et aux réunions</t>
        </is>
      </c>
      <c r="H1058" s="1" t="n">
        <v>43200</v>
      </c>
      <c r="I1058" s="1" t="n">
        <v>43201</v>
      </c>
      <c r="J1058" t="inlineStr">
        <is>
          <t>Charlottetown, Prince Edward Island</t>
        </is>
      </c>
      <c r="K1058" t="inlineStr">
        <is>
          <t>Charlottetown, Île-du-Prince-Édouard</t>
        </is>
      </c>
      <c r="P1058" t="n">
        <v>973.61</v>
      </c>
      <c r="Q1058" t="n">
        <v>0</v>
      </c>
      <c r="R1058" t="n">
        <v>164.65</v>
      </c>
      <c r="S1058" t="n">
        <v>111.9</v>
      </c>
      <c r="U1058" t="n">
        <v>1250.16</v>
      </c>
      <c r="V1058" t="n">
        <v>1900002033</v>
      </c>
      <c r="X1058" t="inlineStr">
        <is>
          <t>aafc-aac</t>
        </is>
      </c>
      <c r="Y1058" t="inlineStr">
        <is>
          <t>Agriculture and Agri-Food Canada | Agriculture et Agroalimentaire Canada</t>
        </is>
      </c>
      <c r="Z1058" t="n">
        <v>2</v>
      </c>
      <c r="AA1058" t="n">
        <v>1250.16</v>
      </c>
      <c r="AB1058">
        <f>ROUND(U1058-AA1058,2)</f>
        <v/>
      </c>
      <c r="AC1058" t="b">
        <v>0</v>
      </c>
      <c r="AD1058">
        <f>IF(U1058="","MISSING_TOTAL",IF(ABS(AB1058)&lt;=0.01,"OK","CHECK"))</f>
        <v/>
      </c>
      <c r="AE1058">
        <f>IF(U1058="","MISSING",IF(AND(AA1058&gt;0,U1058/AA1058&gt;50),"POSSIBLE_SCALE_ERROR","OK"))</f>
        <v/>
      </c>
    </row>
    <row r="1059">
      <c r="A1059" t="inlineStr">
        <is>
          <t>T-2018-Q1-00031</t>
        </is>
      </c>
      <c r="B1059" t="inlineStr">
        <is>
          <t>MPSES</t>
        </is>
      </c>
      <c r="C1059" t="inlineStr">
        <is>
          <t>Parliamentary Secretary Assistant</t>
        </is>
      </c>
      <c r="D1059" t="inlineStr">
        <is>
          <t>Adjoint du Secrétaire parlementaire</t>
        </is>
      </c>
      <c r="E1059" t="inlineStr">
        <is>
          <t>Michel-Antoine Renaud</t>
        </is>
      </c>
      <c r="F1059" t="inlineStr">
        <is>
          <t>To accompany the Minister on a Montreal outreach</t>
        </is>
      </c>
      <c r="G1059" t="inlineStr">
        <is>
          <t>Accompagner le ministre lors de la visite de sensibilisation à Montréal</t>
        </is>
      </c>
      <c r="H1059" s="1" t="n">
        <v>43174</v>
      </c>
      <c r="I1059" s="1" t="n">
        <v>43175</v>
      </c>
      <c r="J1059" t="inlineStr">
        <is>
          <t>Montreal, Quebec</t>
        </is>
      </c>
      <c r="K1059" t="inlineStr">
        <is>
          <t>Montréal, Québec</t>
        </is>
      </c>
      <c r="P1059" t="n">
        <v>0</v>
      </c>
      <c r="Q1059" t="n">
        <v>193.23</v>
      </c>
      <c r="R1059" t="n">
        <v>189.22</v>
      </c>
      <c r="S1059" t="n">
        <v>148.4</v>
      </c>
      <c r="T1059" t="n">
        <v>0</v>
      </c>
      <c r="U1059" t="n">
        <v>530.85</v>
      </c>
      <c r="V1059" t="n">
        <v>1900120877</v>
      </c>
      <c r="X1059" t="inlineStr">
        <is>
          <t>aafc-aac</t>
        </is>
      </c>
      <c r="Y1059" t="inlineStr">
        <is>
          <t>Agriculture and Agri-Food Canada | Agriculture et Agroalimentaire Canada</t>
        </is>
      </c>
      <c r="Z1059" t="n">
        <v>2</v>
      </c>
      <c r="AA1059" t="n">
        <v>530.85</v>
      </c>
      <c r="AB1059">
        <f>ROUND(U1059-AA1059,2)</f>
        <v/>
      </c>
      <c r="AC1059" t="b">
        <v>0</v>
      </c>
      <c r="AD1059">
        <f>IF(U1059="","MISSING_TOTAL",IF(ABS(AB1059)&lt;=0.01,"OK","CHECK"))</f>
        <v/>
      </c>
      <c r="AE1059">
        <f>IF(U1059="","MISSING",IF(AND(AA1059&gt;0,U1059/AA1059&gt;50),"POSSIBLE_SCALE_ERROR","OK"))</f>
        <v/>
      </c>
    </row>
    <row r="1060">
      <c r="A1060" t="inlineStr">
        <is>
          <t>T-2018-Q1-00032</t>
        </is>
      </c>
      <c r="B1060" t="inlineStr">
        <is>
          <t>MPSES</t>
        </is>
      </c>
      <c r="C1060" t="inlineStr">
        <is>
          <t>Parliamentary Secretary Assistant</t>
        </is>
      </c>
      <c r="D1060" t="inlineStr">
        <is>
          <t>Adjoint du Secrétaire parlementaire</t>
        </is>
      </c>
      <c r="E1060" t="inlineStr">
        <is>
          <t>Michel-Antoine Renaud</t>
        </is>
      </c>
      <c r="F1060" t="inlineStr">
        <is>
          <t>Investment announcement at Fromagerie Bergeron and speech at the Annual General Meeting of Potato Growers of Quebec</t>
        </is>
      </c>
      <c r="G1060" t="inlineStr">
        <is>
          <t>Annonce d'investissement à la Fromagerie Bergeron  et une allocution à l'assemblée générale annuelle des Producteurs de pommes de terre du Québec</t>
        </is>
      </c>
      <c r="H1060" s="1" t="n">
        <v>43187</v>
      </c>
      <c r="I1060" s="1" t="n">
        <v>43188</v>
      </c>
      <c r="J1060" t="inlineStr">
        <is>
          <t>Quebec, Quebec</t>
        </is>
      </c>
      <c r="K1060" t="inlineStr">
        <is>
          <t>Québec, Québec</t>
        </is>
      </c>
      <c r="P1060" t="n">
        <v>0</v>
      </c>
      <c r="Q1060" t="n">
        <v>212.65</v>
      </c>
      <c r="R1060" t="n">
        <v>126.14</v>
      </c>
      <c r="S1060" t="n">
        <v>148.4</v>
      </c>
      <c r="T1060" t="n">
        <v>0</v>
      </c>
      <c r="U1060" t="n">
        <v>487.19</v>
      </c>
      <c r="V1060" t="n">
        <v>1900122279</v>
      </c>
      <c r="X1060" t="inlineStr">
        <is>
          <t>aafc-aac</t>
        </is>
      </c>
      <c r="Y1060" t="inlineStr">
        <is>
          <t>Agriculture and Agri-Food Canada | Agriculture et Agroalimentaire Canada</t>
        </is>
      </c>
      <c r="Z1060" t="n">
        <v>2</v>
      </c>
      <c r="AA1060" t="n">
        <v>487.19</v>
      </c>
      <c r="AB1060">
        <f>ROUND(U1060-AA1060,2)</f>
        <v/>
      </c>
      <c r="AC1060" t="b">
        <v>0</v>
      </c>
      <c r="AD1060">
        <f>IF(U1060="","MISSING_TOTAL",IF(ABS(AB1060)&lt;=0.01,"OK","CHECK"))</f>
        <v/>
      </c>
      <c r="AE1060">
        <f>IF(U1060="","MISSING",IF(AND(AA1060&gt;0,U1060/AA1060&gt;50),"POSSIBLE_SCALE_ERROR","OK"))</f>
        <v/>
      </c>
    </row>
    <row r="1061">
      <c r="A1061" t="inlineStr">
        <is>
          <t>T-2018-Q1-00048</t>
        </is>
      </c>
      <c r="B1061" t="inlineStr">
        <is>
          <t>SLE</t>
        </is>
      </c>
      <c r="C1061" t="inlineStr">
        <is>
          <t>Assistant deputy minister, Strategic Policy Branch</t>
        </is>
      </c>
      <c r="D1061" t="inlineStr">
        <is>
          <t>Sous-ministre adjoint, Direction générale des politiques stratégiques</t>
        </is>
      </c>
      <c r="E1061" t="inlineStr">
        <is>
          <t>Tom Rosser</t>
        </is>
      </c>
      <c r="F1061" t="inlineStr">
        <is>
          <t>To participate in a "Food Security Symposium".</t>
        </is>
      </c>
      <c r="G1061" t="inlineStr">
        <is>
          <t>Pour participer à la "Symposium sur la sécurité alimentaire".</t>
        </is>
      </c>
      <c r="H1061" s="1" t="n">
        <v>43186</v>
      </c>
      <c r="I1061" s="1" t="n">
        <v>43187</v>
      </c>
      <c r="J1061" t="inlineStr">
        <is>
          <t>Toronto, Ontario</t>
        </is>
      </c>
      <c r="K1061" t="inlineStr">
        <is>
          <t>Toronto, Ontario</t>
        </is>
      </c>
      <c r="P1061" t="n">
        <v>615.6799999999999</v>
      </c>
      <c r="Q1061" t="n">
        <v>164</v>
      </c>
      <c r="R1061" t="n">
        <v>230.85</v>
      </c>
      <c r="S1061" t="n">
        <v>148.4</v>
      </c>
      <c r="U1061" t="n">
        <v>1158.93</v>
      </c>
      <c r="V1061" t="inlineStr">
        <is>
          <t>AJE682200</t>
        </is>
      </c>
      <c r="X1061" t="inlineStr">
        <is>
          <t>aafc-aac</t>
        </is>
      </c>
      <c r="Y1061" t="inlineStr">
        <is>
          <t>Agriculture and Agri-Food Canada | Agriculture et Agroalimentaire Canada</t>
        </is>
      </c>
      <c r="Z1061" t="n">
        <v>2</v>
      </c>
      <c r="AA1061" t="n">
        <v>1158.93</v>
      </c>
      <c r="AB1061">
        <f>ROUND(U1061-AA1061,2)</f>
        <v/>
      </c>
      <c r="AC1061" t="b">
        <v>0</v>
      </c>
      <c r="AD1061">
        <f>IF(U1061="","MISSING_TOTAL",IF(ABS(AB1061)&lt;=0.01,"OK","CHECK"))</f>
        <v/>
      </c>
      <c r="AE1061">
        <f>IF(U1061="","MISSING",IF(AND(AA1061&gt;0,U1061/AA1061&gt;50),"POSSIBLE_SCALE_ERROR","OK"))</f>
        <v/>
      </c>
    </row>
    <row r="1062">
      <c r="A1062" t="inlineStr">
        <is>
          <t>T-2018-Q1-00033</t>
        </is>
      </c>
      <c r="B1062" t="inlineStr">
        <is>
          <t>MPSES</t>
        </is>
      </c>
      <c r="C1062" t="inlineStr">
        <is>
          <t>Parliamentary Secretary Assistant</t>
        </is>
      </c>
      <c r="D1062" t="inlineStr">
        <is>
          <t>Adjoint du Secrétaire parlementaire</t>
        </is>
      </c>
      <c r="E1062" t="inlineStr">
        <is>
          <t>Michel-Antoine Renaud</t>
        </is>
      </c>
      <c r="F1062" t="inlineStr">
        <is>
          <t>Agri-Innovation announcement at Patates Dolbec's potato packaging facility, Speech at the annual general meeting for Les producteurs de lait du Québec, Speech at the annual general meeting for la Fédération des producteurs d'oeufs du Québec</t>
        </is>
      </c>
      <c r="G1062" t="inlineStr">
        <is>
          <t>Annonce Agri-Innovation à l'entreprise Patates Dolbec, discours à l'assemblée générale annuelle des Producteurs de lait du Québec, discours à l'assemblée générale annuelle de la Fédération des producteurs d'oeufs du Québec</t>
        </is>
      </c>
      <c r="H1062" s="1" t="n">
        <v>43200</v>
      </c>
      <c r="I1062" s="1" t="n">
        <v>43202</v>
      </c>
      <c r="J1062" t="inlineStr">
        <is>
          <t>Quebec City, Delson, Saint-Ubalde, Quebec</t>
        </is>
      </c>
      <c r="K1062" t="inlineStr">
        <is>
          <t>Québec, Delson, Saint-Ubalde, Québec</t>
        </is>
      </c>
      <c r="P1062" t="n">
        <v>0</v>
      </c>
      <c r="Q1062" t="n">
        <v>269.97</v>
      </c>
      <c r="R1062" t="n">
        <v>127.45</v>
      </c>
      <c r="S1062" t="n">
        <v>92.7</v>
      </c>
      <c r="T1062" t="n">
        <v>0</v>
      </c>
      <c r="U1062" t="n">
        <v>490.12</v>
      </c>
      <c r="V1062" t="n">
        <v>1900004506</v>
      </c>
      <c r="X1062" t="inlineStr">
        <is>
          <t>aafc-aac</t>
        </is>
      </c>
      <c r="Y1062" t="inlineStr">
        <is>
          <t>Agriculture and Agri-Food Canada | Agriculture et Agroalimentaire Canada</t>
        </is>
      </c>
      <c r="Z1062" t="n">
        <v>3</v>
      </c>
      <c r="AA1062" t="n">
        <v>490.12</v>
      </c>
      <c r="AB1062">
        <f>ROUND(U1062-AA1062,2)</f>
        <v/>
      </c>
      <c r="AC1062" t="b">
        <v>0</v>
      </c>
      <c r="AD1062">
        <f>IF(U1062="","MISSING_TOTAL",IF(ABS(AB1062)&lt;=0.01,"OK","CHECK"))</f>
        <v/>
      </c>
      <c r="AE1062">
        <f>IF(U1062="","MISSING",IF(AND(AA1062&gt;0,U1062/AA1062&gt;50),"POSSIBLE_SCALE_ERROR","OK"))</f>
        <v/>
      </c>
    </row>
    <row r="1063">
      <c r="A1063" t="inlineStr">
        <is>
          <t>T-2018-Q1-00034</t>
        </is>
      </c>
      <c r="B1063" t="inlineStr">
        <is>
          <t>MPSES</t>
        </is>
      </c>
      <c r="C1063" t="inlineStr">
        <is>
          <t>Parliamentary Secretary Assistant</t>
        </is>
      </c>
      <c r="D1063" t="inlineStr">
        <is>
          <t>Adjoint du Secrétaire parlementaire</t>
        </is>
      </c>
      <c r="E1063" t="inlineStr">
        <is>
          <t>Michel-Antoine Renaud</t>
        </is>
      </c>
      <c r="F1063" t="inlineStr">
        <is>
          <t>To attend SIAL in Montreal, Palais des Congrés de Montreal</t>
        </is>
      </c>
      <c r="G1063" t="inlineStr">
        <is>
          <t>To attend SIAL in Montreal, Palais des Congrés de Montreal</t>
        </is>
      </c>
      <c r="H1063" s="1" t="n">
        <v>43222</v>
      </c>
      <c r="I1063" s="1" t="n">
        <v>43222</v>
      </c>
      <c r="J1063" t="inlineStr">
        <is>
          <t>Montreal, Quebec</t>
        </is>
      </c>
      <c r="K1063" t="inlineStr">
        <is>
          <t>Montréal, Québec</t>
        </is>
      </c>
      <c r="P1063" t="n">
        <v>0</v>
      </c>
      <c r="Q1063" t="n">
        <v>128.15</v>
      </c>
      <c r="R1063" t="n">
        <v>0</v>
      </c>
      <c r="S1063" t="n">
        <v>67.34999999999999</v>
      </c>
      <c r="T1063" t="n">
        <v>0</v>
      </c>
      <c r="U1063" t="n">
        <v>195.5</v>
      </c>
      <c r="V1063" t="n">
        <v>1900009336</v>
      </c>
      <c r="X1063" t="inlineStr">
        <is>
          <t>aafc-aac</t>
        </is>
      </c>
      <c r="Y1063" t="inlineStr">
        <is>
          <t>Agriculture and Agri-Food Canada | Agriculture et Agroalimentaire Canada</t>
        </is>
      </c>
      <c r="Z1063" t="n">
        <v>1</v>
      </c>
      <c r="AA1063" t="n">
        <v>195.5</v>
      </c>
      <c r="AB1063">
        <f>ROUND(U1063-AA1063,2)</f>
        <v/>
      </c>
      <c r="AC1063" t="b">
        <v>0</v>
      </c>
      <c r="AD1063">
        <f>IF(U1063="","MISSING_TOTAL",IF(ABS(AB1063)&lt;=0.01,"OK","CHECK"))</f>
        <v/>
      </c>
      <c r="AE1063">
        <f>IF(U1063="","MISSING",IF(AND(AA1063&gt;0,U1063/AA1063&gt;50),"POSSIBLE_SCALE_ERROR","OK"))</f>
        <v/>
      </c>
    </row>
    <row r="1064">
      <c r="A1064" t="inlineStr">
        <is>
          <t>T-2018-Q1-00035</t>
        </is>
      </c>
      <c r="B1064" t="inlineStr">
        <is>
          <t>MPSES</t>
        </is>
      </c>
      <c r="C1064" t="inlineStr">
        <is>
          <t>Parliamentary Secretary</t>
        </is>
      </c>
      <c r="D1064" t="inlineStr">
        <is>
          <t>Secrétaire parlementaire</t>
        </is>
      </c>
      <c r="E1064" t="inlineStr">
        <is>
          <t>Jean-Claude Poissant</t>
        </is>
      </c>
      <c r="F1064" t="inlineStr">
        <is>
          <t>Agri-Innovation announcement at Patates Dolbec's potato packaging facility, Speech at the annual general meeting for Les producteurs de lait du Québec, Speech at the annual general meeting for la Fédération des producteurs d'oeufs du Québec</t>
        </is>
      </c>
      <c r="G1064" t="inlineStr">
        <is>
          <t>Annonce Agri-Innovation à l'entreprise Patates Dolbec, discours à l'assemblée générale annuelle des Producteurs de lait du Québec, discours à l'assemblée générale annuelle de la Fédération des producteurs d'oeufs du Québec</t>
        </is>
      </c>
      <c r="H1064" s="1" t="n">
        <v>43201</v>
      </c>
      <c r="I1064" s="1" t="n">
        <v>43202</v>
      </c>
      <c r="J1064" t="inlineStr">
        <is>
          <t>Quebec City, Delson, Saint-Ubalde, Quebec</t>
        </is>
      </c>
      <c r="K1064" t="inlineStr">
        <is>
          <t>Québec, Delson, Saint-Ubalde, Québec</t>
        </is>
      </c>
      <c r="P1064" t="n">
        <v>0</v>
      </c>
      <c r="Q1064" t="n">
        <v>335.97</v>
      </c>
      <c r="R1064" t="n">
        <v>148.87</v>
      </c>
      <c r="S1064" t="n">
        <v>73.25</v>
      </c>
      <c r="T1064" t="n">
        <v>0</v>
      </c>
      <c r="U1064" t="n">
        <v>558.09</v>
      </c>
      <c r="V1064" t="n">
        <v>1900004508</v>
      </c>
      <c r="X1064" t="inlineStr">
        <is>
          <t>aafc-aac</t>
        </is>
      </c>
      <c r="Y1064" t="inlineStr">
        <is>
          <t>Agriculture and Agri-Food Canada | Agriculture et Agroalimentaire Canada</t>
        </is>
      </c>
      <c r="Z1064" t="n">
        <v>2</v>
      </c>
      <c r="AA1064" t="n">
        <v>558.09</v>
      </c>
      <c r="AB1064">
        <f>ROUND(U1064-AA1064,2)</f>
        <v/>
      </c>
      <c r="AC1064" t="b">
        <v>0</v>
      </c>
      <c r="AD1064">
        <f>IF(U1064="","MISSING_TOTAL",IF(ABS(AB1064)&lt;=0.01,"OK","CHECK"))</f>
        <v/>
      </c>
      <c r="AE1064">
        <f>IF(U1064="","MISSING",IF(AND(AA1064&gt;0,U1064/AA1064&gt;50),"POSSIBLE_SCALE_ERROR","OK"))</f>
        <v/>
      </c>
    </row>
    <row r="1065">
      <c r="A1065" t="inlineStr">
        <is>
          <t>T-2018-Q1-00037</t>
        </is>
      </c>
      <c r="B1065" t="inlineStr">
        <is>
          <t>SLE</t>
        </is>
      </c>
      <c r="C1065" t="inlineStr">
        <is>
          <t>Deputy Minister</t>
        </is>
      </c>
      <c r="D1065" t="inlineStr">
        <is>
          <t>Sous-Ministre</t>
        </is>
      </c>
      <c r="E1065" t="inlineStr">
        <is>
          <t>Chris Forbes</t>
        </is>
      </c>
      <c r="F1065" t="inlineStr">
        <is>
          <t>All Chairs Economic Strategy Tables meeting on March 5 and Agri-Food Economic Strategy Table meeting on March 6</t>
        </is>
      </c>
      <c r="G1065" t="inlineStr">
        <is>
          <t>Réunion (5 mars)  des présidents de tables aux Tables sectorielles de stratégies économiques et réunion (6 mars) des tables sectorielles de stratégies économiques - Table sur l'agroalimentaire</t>
        </is>
      </c>
      <c r="H1065" s="1" t="n">
        <v>43164</v>
      </c>
      <c r="I1065" s="1" t="n">
        <v>43165</v>
      </c>
      <c r="J1065" t="inlineStr">
        <is>
          <t>Toronto, Ontario</t>
        </is>
      </c>
      <c r="K1065" t="inlineStr">
        <is>
          <t>Toronto, Onatrio</t>
        </is>
      </c>
      <c r="P1065" t="n">
        <v>758.24</v>
      </c>
      <c r="Q1065" t="n">
        <v>0</v>
      </c>
      <c r="R1065" t="n">
        <v>196.62</v>
      </c>
      <c r="S1065" t="n">
        <v>112</v>
      </c>
      <c r="T1065" t="n">
        <v>0</v>
      </c>
      <c r="U1065" t="n">
        <v>1066.86</v>
      </c>
      <c r="X1065" t="inlineStr">
        <is>
          <t>aafc-aac</t>
        </is>
      </c>
      <c r="Y1065" t="inlineStr">
        <is>
          <t>Agriculture and Agri-Food Canada | Agriculture et Agroalimentaire Canada</t>
        </is>
      </c>
      <c r="Z1065" t="n">
        <v>2</v>
      </c>
      <c r="AA1065" t="n">
        <v>1066.86</v>
      </c>
      <c r="AB1065">
        <f>ROUND(U1065-AA1065,2)</f>
        <v/>
      </c>
      <c r="AC1065" t="b">
        <v>0</v>
      </c>
      <c r="AD1065">
        <f>IF(U1065="","MISSING_TOTAL",IF(ABS(AB1065)&lt;=0.01,"OK","CHECK"))</f>
        <v/>
      </c>
      <c r="AE1065">
        <f>IF(U1065="","MISSING",IF(AND(AA1065&gt;0,U1065/AA1065&gt;50),"POSSIBLE_SCALE_ERROR","OK"))</f>
        <v/>
      </c>
    </row>
    <row r="1066">
      <c r="A1066" t="inlineStr">
        <is>
          <t>T-2018-Q1-00038</t>
        </is>
      </c>
      <c r="B1066" t="inlineStr">
        <is>
          <t>SLE</t>
        </is>
      </c>
      <c r="C1066" t="inlineStr">
        <is>
          <t>Deputy Minister</t>
        </is>
      </c>
      <c r="D1066" t="inlineStr">
        <is>
          <t>Sous-Ministre</t>
        </is>
      </c>
      <c r="E1066" t="inlineStr">
        <is>
          <t>Chris Forbes</t>
        </is>
      </c>
      <c r="F1066" t="inlineStr">
        <is>
          <t>Meeting with University of New Brunswick as Deputy Minister University Champion and outreach to Fredericton</t>
        </is>
      </c>
      <c r="G1066" t="inlineStr">
        <is>
          <t>Rencontre avec l'Université du Nouveau-Brunswick à titre de sous-ministre champion des relations universitaires et une visite de sensibilisation à Fredericton</t>
        </is>
      </c>
      <c r="H1066" s="1" t="n">
        <v>43184</v>
      </c>
      <c r="I1066" s="1" t="n">
        <v>43186</v>
      </c>
      <c r="J1066" t="inlineStr">
        <is>
          <t>Fredericton, New Brunswick</t>
        </is>
      </c>
      <c r="K1066" t="inlineStr">
        <is>
          <t>Fredericton, Nouveau-Brunswick</t>
        </is>
      </c>
      <c r="P1066" t="n">
        <v>583.9</v>
      </c>
      <c r="Q1066" t="n">
        <v>61.17</v>
      </c>
      <c r="R1066" t="n">
        <v>342.7</v>
      </c>
      <c r="S1066" t="n">
        <v>91.7</v>
      </c>
      <c r="T1066" t="n">
        <v>0</v>
      </c>
      <c r="U1066" t="n">
        <v>1079.47</v>
      </c>
      <c r="X1066" t="inlineStr">
        <is>
          <t>aafc-aac</t>
        </is>
      </c>
      <c r="Y1066" t="inlineStr">
        <is>
          <t>Agriculture and Agri-Food Canada | Agriculture et Agroalimentaire Canada</t>
        </is>
      </c>
      <c r="Z1066" t="n">
        <v>3</v>
      </c>
      <c r="AA1066" t="n">
        <v>1079.47</v>
      </c>
      <c r="AB1066">
        <f>ROUND(U1066-AA1066,2)</f>
        <v/>
      </c>
      <c r="AC1066" t="b">
        <v>0</v>
      </c>
      <c r="AD1066">
        <f>IF(U1066="","MISSING_TOTAL",IF(ABS(AB1066)&lt;=0.01,"OK","CHECK"))</f>
        <v/>
      </c>
      <c r="AE1066">
        <f>IF(U1066="","MISSING",IF(AND(AA1066&gt;0,U1066/AA1066&gt;50),"POSSIBLE_SCALE_ERROR","OK"))</f>
        <v/>
      </c>
    </row>
    <row r="1067">
      <c r="A1067" t="inlineStr">
        <is>
          <t>T-2018-Q1-00039</t>
        </is>
      </c>
      <c r="B1067" t="inlineStr">
        <is>
          <t>SLE</t>
        </is>
      </c>
      <c r="C1067" t="inlineStr">
        <is>
          <t>Deputy Minister</t>
        </is>
      </c>
      <c r="D1067" t="inlineStr">
        <is>
          <t>Sous-Ministre</t>
        </is>
      </c>
      <c r="E1067" t="inlineStr">
        <is>
          <t>Chris Forbes</t>
        </is>
      </c>
      <c r="F1067" t="inlineStr">
        <is>
          <t>Economic Strategy Tables Interactive Workshop</t>
        </is>
      </c>
      <c r="G1067" t="inlineStr">
        <is>
          <t>Tables sectorielles de stratégies économiques - Atelier interactif</t>
        </is>
      </c>
      <c r="H1067" s="1" t="n">
        <v>43201</v>
      </c>
      <c r="I1067" s="1" t="n">
        <v>43203</v>
      </c>
      <c r="J1067" t="inlineStr">
        <is>
          <t>Toronto, Ontario</t>
        </is>
      </c>
      <c r="K1067" t="inlineStr">
        <is>
          <t>Toronto, Onatrio</t>
        </is>
      </c>
      <c r="P1067" t="n">
        <v>404.59</v>
      </c>
      <c r="Q1067" t="n">
        <v>15</v>
      </c>
      <c r="R1067" t="n">
        <v>702.76</v>
      </c>
      <c r="S1067" t="n">
        <v>38.65</v>
      </c>
      <c r="T1067" t="n">
        <v>0</v>
      </c>
      <c r="U1067" t="n">
        <v>1161</v>
      </c>
      <c r="X1067" t="inlineStr">
        <is>
          <t>aafc-aac</t>
        </is>
      </c>
      <c r="Y1067" t="inlineStr">
        <is>
          <t>Agriculture and Agri-Food Canada | Agriculture et Agroalimentaire Canada</t>
        </is>
      </c>
      <c r="Z1067" t="n">
        <v>3</v>
      </c>
      <c r="AA1067" t="n">
        <v>1161</v>
      </c>
      <c r="AB1067">
        <f>ROUND(U1067-AA1067,2)</f>
        <v/>
      </c>
      <c r="AC1067" t="b">
        <v>0</v>
      </c>
      <c r="AD1067">
        <f>IF(U1067="","MISSING_TOTAL",IF(ABS(AB1067)&lt;=0.01,"OK","CHECK"))</f>
        <v/>
      </c>
      <c r="AE1067">
        <f>IF(U1067="","MISSING",IF(AND(AA1067&gt;0,U1067/AA1067&gt;50),"POSSIBLE_SCALE_ERROR","OK"))</f>
        <v/>
      </c>
    </row>
    <row r="1068">
      <c r="A1068" t="inlineStr">
        <is>
          <t>T-2018-Q1-00049</t>
        </is>
      </c>
      <c r="B1068" t="inlineStr">
        <is>
          <t>SLE</t>
        </is>
      </c>
      <c r="C1068" t="inlineStr">
        <is>
          <t>Assistant deputy minister, Strategic Policy Branch</t>
        </is>
      </c>
      <c r="D1068" t="inlineStr">
        <is>
          <t>Sous-ministre adjoint, Direction générale des politiques stratégiques</t>
        </is>
      </c>
      <c r="E1068" t="inlineStr">
        <is>
          <t>Tom Rosser</t>
        </is>
      </c>
      <c r="F1068" t="inlineStr">
        <is>
          <t>To make participate in a Food Summit in Guelph; and to attend a Federal, Provincial, Territorial meeting of Deputy Ministers in Montreal.</t>
        </is>
      </c>
      <c r="G1068" t="inlineStr">
        <is>
          <t>Participer au "Food Summit" à Guelph; et participer à une rencontre fédérale, provinciale et territoriale des sous-ministres.</t>
        </is>
      </c>
      <c r="H1068" s="1" t="n">
        <v>43242</v>
      </c>
      <c r="I1068" s="1" t="n">
        <v>43244</v>
      </c>
      <c r="J1068" t="inlineStr">
        <is>
          <t>Guelph, Ontario and Montreal, Quebec</t>
        </is>
      </c>
      <c r="K1068" t="inlineStr">
        <is>
          <t>Guelph, Ontario and Montréal, Quebec</t>
        </is>
      </c>
      <c r="P1068" t="n">
        <v>938.41</v>
      </c>
      <c r="Q1068" t="n">
        <v>241.59</v>
      </c>
      <c r="R1068" t="n">
        <v>236.82</v>
      </c>
      <c r="S1068" t="n">
        <v>235.25</v>
      </c>
      <c r="U1068" t="n">
        <v>1652.07</v>
      </c>
      <c r="V1068" t="inlineStr">
        <is>
          <t>AJE679891</t>
        </is>
      </c>
      <c r="X1068" t="inlineStr">
        <is>
          <t>aafc-aac</t>
        </is>
      </c>
      <c r="Y1068" t="inlineStr">
        <is>
          <t>Agriculture and Agri-Food Canada | Agriculture et Agroalimentaire Canada</t>
        </is>
      </c>
      <c r="Z1068" t="n">
        <v>3</v>
      </c>
      <c r="AA1068" t="n">
        <v>1652.07</v>
      </c>
      <c r="AB1068">
        <f>ROUND(U1068-AA1068,2)</f>
        <v/>
      </c>
      <c r="AC1068" t="b">
        <v>0</v>
      </c>
      <c r="AD1068">
        <f>IF(U1068="","MISSING_TOTAL",IF(ABS(AB1068)&lt;=0.01,"OK","CHECK"))</f>
        <v/>
      </c>
      <c r="AE1068">
        <f>IF(U1068="","MISSING",IF(AND(AA1068&gt;0,U1068/AA1068&gt;50),"POSSIBLE_SCALE_ERROR","OK"))</f>
        <v/>
      </c>
    </row>
    <row r="1069">
      <c r="A1069" t="inlineStr">
        <is>
          <t>T-2018-Q1-00050</t>
        </is>
      </c>
      <c r="B1069" t="inlineStr">
        <is>
          <t>SLE</t>
        </is>
      </c>
      <c r="C1069" t="inlineStr">
        <is>
          <t>Associate Assistant Deputy Minister, Science and Technology Branch</t>
        </is>
      </c>
      <c r="D1069" t="inlineStr">
        <is>
          <t>Sous-minitre adjoint délégué, Direction générale des sciences et de la technologie</t>
        </is>
      </c>
      <c r="E1069" t="inlineStr">
        <is>
          <t>Gilles Saindon</t>
        </is>
      </c>
      <c r="F1069" t="inlineStr">
        <is>
          <t>To attend Plant Science thought Leaders meeting</t>
        </is>
      </c>
      <c r="G1069" t="inlineStr">
        <is>
          <t>Pour assister à la rencontre des Chefs de file en science végétale</t>
        </is>
      </c>
      <c r="H1069" s="1" t="n">
        <v>43229</v>
      </c>
      <c r="I1069" s="1" t="n">
        <v>43229</v>
      </c>
      <c r="J1069" t="inlineStr">
        <is>
          <t>Guelph, Ontario</t>
        </is>
      </c>
      <c r="K1069" t="inlineStr">
        <is>
          <t>Guelph, Ontario</t>
        </is>
      </c>
      <c r="P1069" t="n">
        <v>581.4400000000001</v>
      </c>
      <c r="Q1069" t="n">
        <v>202</v>
      </c>
      <c r="S1069" t="n">
        <v>67.59999999999999</v>
      </c>
      <c r="U1069" t="n">
        <v>851.04</v>
      </c>
      <c r="V1069" t="inlineStr">
        <is>
          <t>AJD941941</t>
        </is>
      </c>
      <c r="X1069" t="inlineStr">
        <is>
          <t>aafc-aac</t>
        </is>
      </c>
      <c r="Y1069" t="inlineStr">
        <is>
          <t>Agriculture and Agri-Food Canada | Agriculture et Agroalimentaire Canada</t>
        </is>
      </c>
      <c r="Z1069" t="n">
        <v>1</v>
      </c>
      <c r="AA1069" t="n">
        <v>851.04</v>
      </c>
      <c r="AB1069">
        <f>ROUND(U1069-AA1069,2)</f>
        <v/>
      </c>
      <c r="AC1069" t="b">
        <v>0</v>
      </c>
      <c r="AD1069">
        <f>IF(U1069="","MISSING_TOTAL",IF(ABS(AB1069)&lt;=0.01,"OK","CHECK"))</f>
        <v/>
      </c>
      <c r="AE1069">
        <f>IF(U1069="","MISSING",IF(AND(AA1069&gt;0,U1069/AA1069&gt;50),"POSSIBLE_SCALE_ERROR","OK"))</f>
        <v/>
      </c>
    </row>
    <row r="1070">
      <c r="A1070" t="inlineStr">
        <is>
          <t>T-2018-Q1-00051</t>
        </is>
      </c>
      <c r="B1070" t="inlineStr">
        <is>
          <t>SLE</t>
        </is>
      </c>
      <c r="C1070" t="inlineStr">
        <is>
          <t>Assistant Deputy Minister, Market and Industry Service Branch</t>
        </is>
      </c>
      <c r="D1070" t="inlineStr">
        <is>
          <t>Sous-ministre adjoint, Direction Générale</t>
        </is>
      </c>
      <c r="E1070" t="inlineStr">
        <is>
          <t>Frédéric Seppey</t>
        </is>
      </c>
      <c r="F1070" t="inlineStr">
        <is>
          <t>Accompanied the Minister to meetings in Montreal</t>
        </is>
      </c>
      <c r="G1070" t="inlineStr">
        <is>
          <t>Accompagné le ministre à des réunions</t>
        </is>
      </c>
      <c r="H1070" s="1" t="n">
        <v>43174</v>
      </c>
      <c r="I1070" s="1" t="n">
        <v>43175</v>
      </c>
      <c r="J1070" t="inlineStr">
        <is>
          <t>Montreal, Quebec</t>
        </is>
      </c>
      <c r="K1070" t="inlineStr">
        <is>
          <t>Montréal, Québec</t>
        </is>
      </c>
      <c r="Q1070" t="n">
        <v>279.23</v>
      </c>
      <c r="R1070" t="n">
        <v>266.56</v>
      </c>
      <c r="S1070" t="n">
        <v>101.05</v>
      </c>
      <c r="U1070" t="n">
        <v>646.84</v>
      </c>
      <c r="V1070" t="inlineStr">
        <is>
          <t>AJE513399</t>
        </is>
      </c>
      <c r="X1070" t="inlineStr">
        <is>
          <t>aafc-aac</t>
        </is>
      </c>
      <c r="Y1070" t="inlineStr">
        <is>
          <t>Agriculture and Agri-Food Canada | Agriculture et Agroalimentaire Canada</t>
        </is>
      </c>
      <c r="Z1070" t="n">
        <v>2</v>
      </c>
      <c r="AA1070" t="n">
        <v>646.839999999999</v>
      </c>
      <c r="AB1070">
        <f>ROUND(U1070-AA1070,2)</f>
        <v/>
      </c>
      <c r="AC1070" t="b">
        <v>0</v>
      </c>
      <c r="AD1070">
        <f>IF(U1070="","MISSING_TOTAL",IF(ABS(AB1070)&lt;=0.01,"OK","CHECK"))</f>
        <v/>
      </c>
      <c r="AE1070">
        <f>IF(U1070="","MISSING",IF(AND(AA1070&gt;0,U1070/AA1070&gt;50),"POSSIBLE_SCALE_ERROR","OK"))</f>
        <v/>
      </c>
    </row>
    <row r="1071">
      <c r="A1071" t="inlineStr">
        <is>
          <t>T-2018-Q1-00052</t>
        </is>
      </c>
      <c r="B1071" t="inlineStr">
        <is>
          <t>SLE</t>
        </is>
      </c>
      <c r="C1071" t="inlineStr">
        <is>
          <t>Assitant Deputy Minister, Market and Industry Service Branch</t>
        </is>
      </c>
      <c r="D1071" t="inlineStr">
        <is>
          <t>Sous-ministre adjoint, Direction générale des services à l'industrie et aux marchés</t>
        </is>
      </c>
      <c r="E1071" t="inlineStr">
        <is>
          <t>Frédéric Seppey</t>
        </is>
      </c>
      <c r="F1071" t="inlineStr">
        <is>
          <t>North American Free Trade Agreement  negotiations</t>
        </is>
      </c>
      <c r="G1071" t="inlineStr">
        <is>
          <t>Négociations sur L'Accord de libre-échange nord-américain</t>
        </is>
      </c>
      <c r="H1071" s="1" t="n">
        <v>43181</v>
      </c>
      <c r="I1071" s="1" t="n">
        <v>43183</v>
      </c>
      <c r="J1071" t="inlineStr">
        <is>
          <t>Washington, United States</t>
        </is>
      </c>
      <c r="K1071" t="inlineStr">
        <is>
          <t>Washington, États-Unis</t>
        </is>
      </c>
      <c r="P1071" t="n">
        <v>3074.94</v>
      </c>
      <c r="Q1071" t="n">
        <v>110.64</v>
      </c>
      <c r="R1071" t="n">
        <v>746.78</v>
      </c>
      <c r="S1071" t="n">
        <v>191.21</v>
      </c>
      <c r="U1071" t="n">
        <v>4123.57</v>
      </c>
      <c r="V1071" t="inlineStr">
        <is>
          <t>AJE589404</t>
        </is>
      </c>
      <c r="X1071" t="inlineStr">
        <is>
          <t>aafc-aac</t>
        </is>
      </c>
      <c r="Y1071" t="inlineStr">
        <is>
          <t>Agriculture and Agri-Food Canada | Agriculture et Agroalimentaire Canada</t>
        </is>
      </c>
      <c r="Z1071" t="n">
        <v>3</v>
      </c>
      <c r="AA1071" t="n">
        <v>4123.57</v>
      </c>
      <c r="AB1071">
        <f>ROUND(U1071-AA1071,2)</f>
        <v/>
      </c>
      <c r="AC1071" t="b">
        <v>0</v>
      </c>
      <c r="AD1071">
        <f>IF(U1071="","MISSING_TOTAL",IF(ABS(AB1071)&lt;=0.01,"OK","CHECK"))</f>
        <v/>
      </c>
      <c r="AE1071">
        <f>IF(U1071="","MISSING",IF(AND(AA1071&gt;0,U1071/AA1071&gt;50),"POSSIBLE_SCALE_ERROR","OK"))</f>
        <v/>
      </c>
    </row>
    <row r="1072">
      <c r="A1072" t="inlineStr">
        <is>
          <t>T-2018-Q1-00053</t>
        </is>
      </c>
      <c r="B1072" t="inlineStr">
        <is>
          <t>SLE</t>
        </is>
      </c>
      <c r="C1072" t="inlineStr">
        <is>
          <t>Assistant Deputy Minister, Market and Industry Service Branch</t>
        </is>
      </c>
      <c r="D1072" t="inlineStr">
        <is>
          <t>Sous-ministre adjoint, Direction générale des services à l'industrie et aux marchés</t>
        </is>
      </c>
      <c r="E1072" t="inlineStr">
        <is>
          <t>Frédéric Seppey</t>
        </is>
      </c>
      <c r="F1072" t="inlineStr">
        <is>
          <t>Regional Staff meetings</t>
        </is>
      </c>
      <c r="G1072" t="inlineStr">
        <is>
          <t>Réunions avec le  personnel régional</t>
        </is>
      </c>
      <c r="H1072" s="1" t="n">
        <v>43194</v>
      </c>
      <c r="I1072" s="1" t="n">
        <v>43194</v>
      </c>
      <c r="J1072" t="inlineStr">
        <is>
          <t>Montreal, Quebec</t>
        </is>
      </c>
      <c r="K1072" t="inlineStr">
        <is>
          <t>Montréal, Québec</t>
        </is>
      </c>
      <c r="Q1072" t="n">
        <v>304.64</v>
      </c>
      <c r="S1072" t="n">
        <v>19.2</v>
      </c>
      <c r="U1072" t="n">
        <v>323.84</v>
      </c>
      <c r="V1072" t="inlineStr">
        <is>
          <t>AJE521017</t>
        </is>
      </c>
      <c r="X1072" t="inlineStr">
        <is>
          <t>aafc-aac</t>
        </is>
      </c>
      <c r="Y1072" t="inlineStr">
        <is>
          <t>Agriculture and Agri-Food Canada | Agriculture et Agroalimentaire Canada</t>
        </is>
      </c>
      <c r="Z1072" t="n">
        <v>1</v>
      </c>
      <c r="AA1072" t="n">
        <v>323.84</v>
      </c>
      <c r="AB1072">
        <f>ROUND(U1072-AA1072,2)</f>
        <v/>
      </c>
      <c r="AC1072" t="b">
        <v>0</v>
      </c>
      <c r="AD1072">
        <f>IF(U1072="","MISSING_TOTAL",IF(ABS(AB1072)&lt;=0.01,"OK","CHECK"))</f>
        <v/>
      </c>
      <c r="AE1072">
        <f>IF(U1072="","MISSING",IF(AND(AA1072&gt;0,U1072/AA1072&gt;50),"POSSIBLE_SCALE_ERROR","OK"))</f>
        <v/>
      </c>
    </row>
    <row r="1073">
      <c r="A1073" t="inlineStr">
        <is>
          <t>T-2018-Q1-00054</t>
        </is>
      </c>
      <c r="B1073" t="inlineStr">
        <is>
          <t>SLE</t>
        </is>
      </c>
      <c r="C1073" t="inlineStr">
        <is>
          <t>Assistant Deputy Minister, Market and Industry Service Branch</t>
        </is>
      </c>
      <c r="D1073" t="inlineStr">
        <is>
          <t>Sous-ministre adjoint, Direction générale des services à l'industrie et aux marchés</t>
        </is>
      </c>
      <c r="E1073" t="inlineStr">
        <is>
          <t>Frédéric Seppey</t>
        </is>
      </c>
      <c r="F1073" t="inlineStr">
        <is>
          <t>Accompanied the minister with departmental and stakeholder meetings; regional staff meetings</t>
        </is>
      </c>
      <c r="G1073" t="inlineStr">
        <is>
          <t>Accompagné le ministre à des réunions sectorielles; rencontres avec le personnel régional</t>
        </is>
      </c>
      <c r="H1073" s="1" t="n">
        <v>43198</v>
      </c>
      <c r="I1073" s="1" t="n">
        <v>43200</v>
      </c>
      <c r="J1073" t="inlineStr">
        <is>
          <t>Charlottetown, Prince Edward Island And Nova Scotia</t>
        </is>
      </c>
      <c r="K1073" t="inlineStr">
        <is>
          <t>Charlottetown, Île-du-Prince-Édouard, et Novelle-Ecosse</t>
        </is>
      </c>
      <c r="P1073" t="n">
        <v>658.24</v>
      </c>
      <c r="Q1073" t="n">
        <v>208.23</v>
      </c>
      <c r="R1073" t="n">
        <v>233.45</v>
      </c>
      <c r="S1073" t="n">
        <v>273.65</v>
      </c>
      <c r="U1073" t="n">
        <v>1373.57</v>
      </c>
      <c r="V1073" t="inlineStr">
        <is>
          <t>AJE558288</t>
        </is>
      </c>
      <c r="X1073" t="inlineStr">
        <is>
          <t>aafc-aac</t>
        </is>
      </c>
      <c r="Y1073" t="inlineStr">
        <is>
          <t>Agriculture and Agri-Food Canada | Agriculture et Agroalimentaire Canada</t>
        </is>
      </c>
      <c r="Z1073" t="n">
        <v>3</v>
      </c>
      <c r="AA1073" t="n">
        <v>1373.57</v>
      </c>
      <c r="AB1073">
        <f>ROUND(U1073-AA1073,2)</f>
        <v/>
      </c>
      <c r="AC1073" t="b">
        <v>0</v>
      </c>
      <c r="AD1073">
        <f>IF(U1073="","MISSING_TOTAL",IF(ABS(AB1073)&lt;=0.01,"OK","CHECK"))</f>
        <v/>
      </c>
      <c r="AE1073">
        <f>IF(U1073="","MISSING",IF(AND(AA1073&gt;0,U1073/AA1073&gt;50),"POSSIBLE_SCALE_ERROR","OK"))</f>
        <v/>
      </c>
    </row>
    <row r="1074">
      <c r="A1074" t="inlineStr">
        <is>
          <t>T-2018-Q1-00055</t>
        </is>
      </c>
      <c r="B1074" t="inlineStr">
        <is>
          <t>SLE</t>
        </is>
      </c>
      <c r="C1074" t="inlineStr">
        <is>
          <t>Assistant Deputy Minister, Market and Industry Service Branch</t>
        </is>
      </c>
      <c r="D1074" t="inlineStr">
        <is>
          <t>Sous-ministre adjoint, Direction générale des services à l'industrie et aux marchés</t>
        </is>
      </c>
      <c r="E1074" t="inlineStr">
        <is>
          <t>Frédéric Seppey</t>
        </is>
      </c>
      <c r="F1074" t="inlineStr">
        <is>
          <t>North American Free Trade Agreement  negotiations</t>
        </is>
      </c>
      <c r="G1074" t="inlineStr">
        <is>
          <t>Négociations sur L'Accord de libre-échange nord-américain</t>
        </is>
      </c>
      <c r="H1074" s="1" t="n">
        <v>43227</v>
      </c>
      <c r="I1074" s="1" t="n">
        <v>43230</v>
      </c>
      <c r="J1074" t="inlineStr">
        <is>
          <t>Washington, United States</t>
        </is>
      </c>
      <c r="K1074" t="inlineStr">
        <is>
          <t>Washington, États-Unis</t>
        </is>
      </c>
      <c r="P1074" t="n">
        <v>351.05</v>
      </c>
      <c r="Q1074" t="n">
        <v>106.08</v>
      </c>
      <c r="R1074" t="n">
        <v>1555.83</v>
      </c>
      <c r="S1074" t="n">
        <v>344.28</v>
      </c>
      <c r="T1074" t="n">
        <v>4.95</v>
      </c>
      <c r="U1074" t="n">
        <v>2362.19</v>
      </c>
      <c r="V1074" t="inlineStr">
        <is>
          <t>AJE564324</t>
        </is>
      </c>
      <c r="X1074" t="inlineStr">
        <is>
          <t>aafc-aac</t>
        </is>
      </c>
      <c r="Y1074" t="inlineStr">
        <is>
          <t>Agriculture and Agri-Food Canada | Agriculture et Agroalimentaire Canada</t>
        </is>
      </c>
      <c r="Z1074" t="n">
        <v>4</v>
      </c>
      <c r="AA1074" t="n">
        <v>2362.18999999999</v>
      </c>
      <c r="AB1074">
        <f>ROUND(U1074-AA1074,2)</f>
        <v/>
      </c>
      <c r="AC1074" t="b">
        <v>0</v>
      </c>
      <c r="AD1074">
        <f>IF(U1074="","MISSING_TOTAL",IF(ABS(AB1074)&lt;=0.01,"OK","CHECK"))</f>
        <v/>
      </c>
      <c r="AE1074">
        <f>IF(U1074="","MISSING",IF(AND(AA1074&gt;0,U1074/AA1074&gt;50),"POSSIBLE_SCALE_ERROR","OK"))</f>
        <v/>
      </c>
    </row>
    <row r="1075">
      <c r="A1075" t="inlineStr">
        <is>
          <t>T-2018-Q1-00056</t>
        </is>
      </c>
      <c r="B1075" t="inlineStr">
        <is>
          <t>SLE</t>
        </is>
      </c>
      <c r="C1075" t="inlineStr">
        <is>
          <t>Assistant Deputy Minister, Market and Industry Service Branch</t>
        </is>
      </c>
      <c r="D1075" t="inlineStr">
        <is>
          <t>Sous-ministre adjoint, Direction générale des services à l'industrie et aux marchés</t>
        </is>
      </c>
      <c r="E1075" t="inlineStr">
        <is>
          <t>Frédéric Seppey</t>
        </is>
      </c>
      <c r="F1075" t="inlineStr">
        <is>
          <t>Outreach and North American Free Trade Agreement  negotiations</t>
        </is>
      </c>
      <c r="G1075" t="inlineStr">
        <is>
          <t>Rencontres avec des intervenants et le personnel en Colombie-Britannique et Négociations sur L'Accord de libre-échange nord-américain</t>
        </is>
      </c>
      <c r="H1075" s="1" t="n">
        <v>43211</v>
      </c>
      <c r="I1075" s="1" t="n">
        <v>43217</v>
      </c>
      <c r="J1075" t="inlineStr">
        <is>
          <t>Vancouver, British Columbia  and Washington, United States</t>
        </is>
      </c>
      <c r="K1075" t="inlineStr">
        <is>
          <t>Vancouver, Colombie-Britannique</t>
        </is>
      </c>
      <c r="P1075" t="n">
        <v>5137.77</v>
      </c>
      <c r="Q1075" t="n">
        <v>453.74</v>
      </c>
      <c r="R1075" t="n">
        <v>938.1900000000001</v>
      </c>
      <c r="S1075" t="n">
        <v>736.45</v>
      </c>
      <c r="T1075" t="n">
        <v>14.51</v>
      </c>
      <c r="U1075" t="n">
        <v>7280.66</v>
      </c>
      <c r="V1075" t="inlineStr">
        <is>
          <t>AJE531427</t>
        </is>
      </c>
      <c r="X1075" t="inlineStr">
        <is>
          <t>aafc-aac</t>
        </is>
      </c>
      <c r="Y1075" t="inlineStr">
        <is>
          <t>Agriculture and Agri-Food Canada | Agriculture et Agroalimentaire Canada</t>
        </is>
      </c>
      <c r="Z1075" t="n">
        <v>7</v>
      </c>
      <c r="AA1075" t="n">
        <v>7280.66</v>
      </c>
      <c r="AB1075">
        <f>ROUND(U1075-AA1075,2)</f>
        <v/>
      </c>
      <c r="AC1075" t="b">
        <v>0</v>
      </c>
      <c r="AD1075">
        <f>IF(U1075="","MISSING_TOTAL",IF(ABS(AB1075)&lt;=0.01,"OK","CHECK"))</f>
        <v/>
      </c>
      <c r="AE1075">
        <f>IF(U1075="","MISSING",IF(AND(AA1075&gt;0,U1075/AA1075&gt;50),"POSSIBLE_SCALE_ERROR","OK"))</f>
        <v/>
      </c>
    </row>
    <row r="1076">
      <c r="A1076" t="inlineStr">
        <is>
          <t>T-2018-Q1-00057</t>
        </is>
      </c>
      <c r="B1076" t="inlineStr">
        <is>
          <t>SLE</t>
        </is>
      </c>
      <c r="C1076" t="inlineStr">
        <is>
          <t>Assistant Deputy Minister, Market and Industry Service Branch</t>
        </is>
      </c>
      <c r="D1076" t="inlineStr">
        <is>
          <t>Sous-ministre adjoint, Direction générale des services à l'industrie et aux marchés</t>
        </is>
      </c>
      <c r="E1076" t="inlineStr">
        <is>
          <t>Frédéric Seppey</t>
        </is>
      </c>
      <c r="F1076" t="inlineStr">
        <is>
          <t>Meeting of Federal/Provincial/Territorial Minister and Deputy Ministers of Agriculture</t>
        </is>
      </c>
      <c r="G1076" t="inlineStr">
        <is>
          <t>Rencontre fédérale/provinciale/territoriale des sous-ministres de l'agriculture</t>
        </is>
      </c>
      <c r="H1076" s="1" t="n">
        <v>43242</v>
      </c>
      <c r="I1076" s="1" t="n">
        <v>43244</v>
      </c>
      <c r="J1076" t="inlineStr">
        <is>
          <t>Montreal, Quebec</t>
        </is>
      </c>
      <c r="K1076" t="inlineStr">
        <is>
          <t>Montréal, Québec</t>
        </is>
      </c>
      <c r="Q1076" t="n">
        <v>292.77</v>
      </c>
      <c r="R1076" t="n">
        <v>473.64</v>
      </c>
      <c r="S1076" t="n">
        <v>138.45</v>
      </c>
      <c r="U1076" t="n">
        <v>904.86</v>
      </c>
      <c r="V1076" t="inlineStr">
        <is>
          <t>AJE554611</t>
        </is>
      </c>
      <c r="X1076" t="inlineStr">
        <is>
          <t>aafc-aac</t>
        </is>
      </c>
      <c r="Y1076" t="inlineStr">
        <is>
          <t>Agriculture and Agri-Food Canada | Agriculture et Agroalimentaire Canada</t>
        </is>
      </c>
      <c r="Z1076" t="n">
        <v>3</v>
      </c>
      <c r="AA1076" t="n">
        <v>904.859999999999</v>
      </c>
      <c r="AB1076">
        <f>ROUND(U1076-AA1076,2)</f>
        <v/>
      </c>
      <c r="AC1076" t="b">
        <v>0</v>
      </c>
      <c r="AD1076">
        <f>IF(U1076="","MISSING_TOTAL",IF(ABS(AB1076)&lt;=0.01,"OK","CHECK"))</f>
        <v/>
      </c>
      <c r="AE1076">
        <f>IF(U1076="","MISSING",IF(AND(AA1076&gt;0,U1076/AA1076&gt;50),"POSSIBLE_SCALE_ERROR","OK"))</f>
        <v/>
      </c>
    </row>
    <row r="1077">
      <c r="A1077" t="inlineStr">
        <is>
          <t>T-2018-Q1-00058</t>
        </is>
      </c>
      <c r="B1077" t="inlineStr">
        <is>
          <t>SLE</t>
        </is>
      </c>
      <c r="C1077" t="inlineStr">
        <is>
          <t>Assistant Deputy Minister, Market and Industry Service Branch</t>
        </is>
      </c>
      <c r="D1077" t="inlineStr">
        <is>
          <t>Sous-ministre adjoint, Direction générale des services à l'industrie et aux marchés</t>
        </is>
      </c>
      <c r="E1077" t="inlineStr">
        <is>
          <t>Frédéric Seppey</t>
        </is>
      </c>
      <c r="F1077" t="inlineStr">
        <is>
          <t>Regional staff and stakeholder meetings</t>
        </is>
      </c>
      <c r="G1077" t="inlineStr">
        <is>
          <t>Réunions personnel régional et intervenants</t>
        </is>
      </c>
      <c r="H1077" s="1" t="n">
        <v>43247</v>
      </c>
      <c r="I1077" s="1" t="n">
        <v>43250</v>
      </c>
      <c r="J1077" t="inlineStr">
        <is>
          <t>Edmonton, Alberta And Toronto, Ontario</t>
        </is>
      </c>
      <c r="K1077" t="inlineStr">
        <is>
          <t>Edmonton, Alberta et Toronto, Ontario</t>
        </is>
      </c>
      <c r="P1077" t="n">
        <v>673.45</v>
      </c>
      <c r="Q1077" t="n">
        <v>240.7</v>
      </c>
      <c r="R1077" t="n">
        <v>541.77</v>
      </c>
      <c r="S1077" t="n">
        <v>377.75</v>
      </c>
      <c r="T1077" t="n">
        <v>13.6</v>
      </c>
      <c r="U1077" t="n">
        <v>1847.27</v>
      </c>
      <c r="V1077" t="inlineStr">
        <is>
          <t>AJE513399</t>
        </is>
      </c>
      <c r="X1077" t="inlineStr">
        <is>
          <t>aafc-aac</t>
        </is>
      </c>
      <c r="Y1077" t="inlineStr">
        <is>
          <t>Agriculture and Agri-Food Canada | Agriculture et Agroalimentaire Canada</t>
        </is>
      </c>
      <c r="Z1077" t="n">
        <v>4</v>
      </c>
      <c r="AA1077" t="n">
        <v>1847.27</v>
      </c>
      <c r="AB1077">
        <f>ROUND(U1077-AA1077,2)</f>
        <v/>
      </c>
      <c r="AC1077" t="b">
        <v>0</v>
      </c>
      <c r="AD1077">
        <f>IF(U1077="","MISSING_TOTAL",IF(ABS(AB1077)&lt;=0.01,"OK","CHECK"))</f>
        <v/>
      </c>
      <c r="AE1077">
        <f>IF(U1077="","MISSING",IF(AND(AA1077&gt;0,U1077/AA1077&gt;50),"POSSIBLE_SCALE_ERROR","OK"))</f>
        <v/>
      </c>
    </row>
    <row r="1078">
      <c r="A1078" t="inlineStr">
        <is>
          <t>T-2018-Q1-00059</t>
        </is>
      </c>
      <c r="B1078" t="inlineStr">
        <is>
          <t>SLE</t>
        </is>
      </c>
      <c r="C1078" t="inlineStr">
        <is>
          <t>Assistant deputy minister, Programs Branch</t>
        </is>
      </c>
      <c r="D1078" t="inlineStr">
        <is>
          <t>Sous-ministre adjointe, Direction Générale des programmes</t>
        </is>
      </c>
      <c r="E1078" t="inlineStr">
        <is>
          <t>Jane Taylor</t>
        </is>
      </c>
      <c r="F1078" t="inlineStr">
        <is>
          <t>Winnipeg Regional Meeting</t>
        </is>
      </c>
      <c r="G1078" t="inlineStr">
        <is>
          <t>Réunion regionale à Winnipeg</t>
        </is>
      </c>
      <c r="H1078" s="1" t="n">
        <v>43166</v>
      </c>
      <c r="I1078" s="1" t="n">
        <v>43168</v>
      </c>
      <c r="J1078" t="inlineStr">
        <is>
          <t>Winnipeg, Manitoba</t>
        </is>
      </c>
      <c r="K1078" t="inlineStr">
        <is>
          <t>Winnipeg, Manitoba</t>
        </is>
      </c>
      <c r="P1078" t="n">
        <v>567.8</v>
      </c>
      <c r="Q1078" t="n">
        <v>127</v>
      </c>
      <c r="R1078" t="n">
        <v>423.34</v>
      </c>
      <c r="S1078" t="n">
        <v>217.95</v>
      </c>
      <c r="U1078" t="n">
        <v>1336.09</v>
      </c>
      <c r="V1078" t="inlineStr">
        <is>
          <t>AJC171248</t>
        </is>
      </c>
      <c r="X1078" t="inlineStr">
        <is>
          <t>aafc-aac</t>
        </is>
      </c>
      <c r="Y1078" t="inlineStr">
        <is>
          <t>Agriculture and Agri-Food Canada | Agriculture et Agroalimentaire Canada</t>
        </is>
      </c>
      <c r="Z1078" t="n">
        <v>3</v>
      </c>
      <c r="AA1078" t="n">
        <v>1336.09</v>
      </c>
      <c r="AB1078">
        <f>ROUND(U1078-AA1078,2)</f>
        <v/>
      </c>
      <c r="AC1078" t="b">
        <v>0</v>
      </c>
      <c r="AD1078">
        <f>IF(U1078="","MISSING_TOTAL",IF(ABS(AB1078)&lt;=0.01,"OK","CHECK"))</f>
        <v/>
      </c>
      <c r="AE1078">
        <f>IF(U1078="","MISSING",IF(AND(AA1078&gt;0,U1078/AA1078&gt;50),"POSSIBLE_SCALE_ERROR","OK"))</f>
        <v/>
      </c>
    </row>
    <row r="1079">
      <c r="A1079" t="inlineStr">
        <is>
          <t>T-2018-Q1-00060</t>
        </is>
      </c>
      <c r="B1079" t="inlineStr">
        <is>
          <t>SLE</t>
        </is>
      </c>
      <c r="C1079" t="inlineStr">
        <is>
          <t>Assistant deputy minister, Programs Branch</t>
        </is>
      </c>
      <c r="D1079" t="inlineStr">
        <is>
          <t>Sous-ministre adjointe, Direction Générale des programmes</t>
        </is>
      </c>
      <c r="E1079" t="inlineStr">
        <is>
          <t>Jane Taylor</t>
        </is>
      </c>
      <c r="F1079" t="inlineStr">
        <is>
          <t>Deputy Minister`s Federal/ Provincial and Trerritorial Meeting</t>
        </is>
      </c>
      <c r="G1079" t="inlineStr">
        <is>
          <t>Réunion fédérale-provinciale-territoriale du sous-ministre</t>
        </is>
      </c>
      <c r="H1079" s="1" t="n">
        <v>43243</v>
      </c>
      <c r="I1079" s="1" t="n">
        <v>43244</v>
      </c>
      <c r="J1079" t="inlineStr">
        <is>
          <t>Montreal, Quebec</t>
        </is>
      </c>
      <c r="K1079" t="inlineStr">
        <is>
          <t>Montréal, Québec</t>
        </is>
      </c>
      <c r="P1079" t="n">
        <v>0</v>
      </c>
      <c r="Q1079" t="n">
        <v>325.72</v>
      </c>
      <c r="R1079" t="n">
        <v>224.91</v>
      </c>
      <c r="S1079" t="n">
        <v>102.2</v>
      </c>
      <c r="U1079" t="n">
        <v>652.83</v>
      </c>
      <c r="V1079" t="inlineStr">
        <is>
          <t>AJC188439</t>
        </is>
      </c>
      <c r="X1079" t="inlineStr">
        <is>
          <t>aafc-aac</t>
        </is>
      </c>
      <c r="Y1079" t="inlineStr">
        <is>
          <t>Agriculture and Agri-Food Canada | Agriculture et Agroalimentaire Canada</t>
        </is>
      </c>
      <c r="Z1079" t="n">
        <v>2</v>
      </c>
      <c r="AA1079" t="n">
        <v>652.83</v>
      </c>
      <c r="AB1079">
        <f>ROUND(U1079-AA1079,2)</f>
        <v/>
      </c>
      <c r="AC1079" t="b">
        <v>0</v>
      </c>
      <c r="AD1079">
        <f>IF(U1079="","MISSING_TOTAL",IF(ABS(AB1079)&lt;=0.01,"OK","CHECK"))</f>
        <v/>
      </c>
      <c r="AE1079">
        <f>IF(U1079="","MISSING",IF(AND(AA1079&gt;0,U1079/AA1079&gt;50),"POSSIBLE_SCALE_ERROR","OK"))</f>
        <v/>
      </c>
    </row>
    <row r="1080">
      <c r="A1080" t="inlineStr">
        <is>
          <t>T-2018-Q1-00063</t>
        </is>
      </c>
      <c r="B1080" t="inlineStr">
        <is>
          <t>SLE</t>
        </is>
      </c>
      <c r="C1080" t="inlineStr">
        <is>
          <t>Assistant deputy minister, Inforamtion Systems Branch</t>
        </is>
      </c>
      <c r="D1080" t="inlineStr">
        <is>
          <t>sous-ministre adjoint, Direction Générale des systèmes d'information</t>
        </is>
      </c>
      <c r="E1080" t="inlineStr">
        <is>
          <t>Michel Lessard</t>
        </is>
      </c>
      <c r="F1080" t="inlineStr">
        <is>
          <t>Ontario Trade &amp; Investment Centre</t>
        </is>
      </c>
      <c r="G1080" t="inlineStr">
        <is>
          <t>Centre de commerce et d'investissement de l'Ontario</t>
        </is>
      </c>
      <c r="H1080" s="1" t="n">
        <v>43208</v>
      </c>
      <c r="I1080" s="1" t="n">
        <v>43208</v>
      </c>
      <c r="J1080" t="inlineStr">
        <is>
          <t>Toronto, Ontario</t>
        </is>
      </c>
      <c r="K1080" t="inlineStr">
        <is>
          <t>Toronto, Ontario</t>
        </is>
      </c>
      <c r="P1080" t="n">
        <v>336.71</v>
      </c>
      <c r="Q1080" t="n">
        <v>82</v>
      </c>
      <c r="R1080" t="n">
        <v>0</v>
      </c>
      <c r="S1080" t="n">
        <v>36.75</v>
      </c>
      <c r="U1080" t="n">
        <v>455.46</v>
      </c>
      <c r="V1080" t="inlineStr">
        <is>
          <t>AJE475846</t>
        </is>
      </c>
      <c r="X1080" t="inlineStr">
        <is>
          <t>aafc-aac</t>
        </is>
      </c>
      <c r="Y1080" t="inlineStr">
        <is>
          <t>Agriculture and Agri-Food Canada | Agriculture et Agroalimentaire Canada</t>
        </is>
      </c>
      <c r="Z1080" t="n">
        <v>1</v>
      </c>
      <c r="AA1080" t="n">
        <v>455.46</v>
      </c>
      <c r="AB1080">
        <f>ROUND(U1080-AA1080,2)</f>
        <v/>
      </c>
      <c r="AC1080" t="b">
        <v>0</v>
      </c>
      <c r="AD1080">
        <f>IF(U1080="","MISSING_TOTAL",IF(ABS(AB1080)&lt;=0.01,"OK","CHECK"))</f>
        <v/>
      </c>
      <c r="AE1080">
        <f>IF(U1080="","MISSING",IF(AND(AA1080&gt;0,U1080/AA1080&gt;50),"POSSIBLE_SCALE_ERROR","OK"))</f>
        <v/>
      </c>
    </row>
    <row r="1081">
      <c r="A1081" t="inlineStr">
        <is>
          <t>T-2018-Q1-00064</t>
        </is>
      </c>
      <c r="B1081" t="inlineStr">
        <is>
          <t>SLE</t>
        </is>
      </c>
      <c r="C1081" t="inlineStr">
        <is>
          <t>Assistant deputy minister, Information Systems Branch</t>
        </is>
      </c>
      <c r="D1081" t="inlineStr">
        <is>
          <t>sous-ministre adjoint, Direction Générale des systèmes d'informaton</t>
        </is>
      </c>
      <c r="E1081" t="inlineStr">
        <is>
          <t>Michel Lessard</t>
        </is>
      </c>
      <c r="F1081" t="inlineStr">
        <is>
          <t>2018 Annual Executive Retreat</t>
        </is>
      </c>
      <c r="G1081" t="inlineStr">
        <is>
          <t>retraite annuelle d'administration 2018</t>
        </is>
      </c>
      <c r="H1081" s="1" t="n">
        <v>43194</v>
      </c>
      <c r="I1081" s="1" t="n">
        <v>43195</v>
      </c>
      <c r="J1081" t="inlineStr">
        <is>
          <t>Washington</t>
        </is>
      </c>
      <c r="K1081" t="inlineStr">
        <is>
          <t>Washington</t>
        </is>
      </c>
      <c r="P1081" t="n">
        <v>774.9400000000001</v>
      </c>
      <c r="Q1081" t="n">
        <v>102.72</v>
      </c>
      <c r="R1081" t="n">
        <v>379.09</v>
      </c>
      <c r="S1081" t="n">
        <v>149.06</v>
      </c>
      <c r="U1081" t="n">
        <v>1405.81</v>
      </c>
      <c r="V1081" t="inlineStr">
        <is>
          <t>AJE444623</t>
        </is>
      </c>
      <c r="X1081" t="inlineStr">
        <is>
          <t>aafc-aac</t>
        </is>
      </c>
      <c r="Y1081" t="inlineStr">
        <is>
          <t>Agriculture and Agri-Food Canada | Agriculture et Agroalimentaire Canada</t>
        </is>
      </c>
      <c r="Z1081" t="n">
        <v>2</v>
      </c>
      <c r="AA1081" t="n">
        <v>1405.81</v>
      </c>
      <c r="AB1081">
        <f>ROUND(U1081-AA1081,2)</f>
        <v/>
      </c>
      <c r="AC1081" t="b">
        <v>0</v>
      </c>
      <c r="AD1081">
        <f>IF(U1081="","MISSING_TOTAL",IF(ABS(AB1081)&lt;=0.01,"OK","CHECK"))</f>
        <v/>
      </c>
      <c r="AE1081">
        <f>IF(U1081="","MISSING",IF(AND(AA1081&gt;0,U1081/AA1081&gt;50),"POSSIBLE_SCALE_ERROR","OK"))</f>
        <v/>
      </c>
    </row>
    <row r="1082">
      <c r="A1082" t="inlineStr">
        <is>
          <t>T-2018-Q1-00070</t>
        </is>
      </c>
      <c r="B1082" t="inlineStr">
        <is>
          <t>SLE</t>
        </is>
      </c>
      <c r="C1082" t="inlineStr">
        <is>
          <t>Assistant Deputy Minister, International Affairs Branch</t>
        </is>
      </c>
      <c r="D1082" t="inlineStr">
        <is>
          <t>Sous-minister adjoint, direction générale des affaires internationales</t>
        </is>
      </c>
      <c r="E1082" t="inlineStr">
        <is>
          <t>Fred Gorrell</t>
        </is>
      </c>
      <c r="F1082" t="inlineStr">
        <is>
          <t>Minister Mission in Japan - Corée du sud</t>
        </is>
      </c>
      <c r="G1082" t="inlineStr">
        <is>
          <t>Japon et Seoul mission de ministre</t>
        </is>
      </c>
      <c r="H1082" s="1" t="n">
        <v>43161</v>
      </c>
      <c r="I1082" s="1" t="n">
        <v>43169</v>
      </c>
      <c r="J1082" t="inlineStr">
        <is>
          <t>Tokyo, Japan
Seoul, South Korea</t>
        </is>
      </c>
      <c r="K1082" t="inlineStr">
        <is>
          <t>Tokyo, Japon
Seoul, Korée du Nord</t>
        </is>
      </c>
      <c r="P1082" t="n">
        <v>4965.88</v>
      </c>
      <c r="Q1082" t="n">
        <v>211.5</v>
      </c>
      <c r="R1082" t="n">
        <v>2285.8</v>
      </c>
      <c r="S1082" t="n">
        <v>1500.12</v>
      </c>
      <c r="T1082" t="n">
        <v>0</v>
      </c>
      <c r="U1082" t="n">
        <v>8963.299999999999</v>
      </c>
      <c r="V1082" t="inlineStr">
        <is>
          <t>AJE537287</t>
        </is>
      </c>
      <c r="X1082" t="inlineStr">
        <is>
          <t>aafc-aac</t>
        </is>
      </c>
      <c r="Y1082" t="inlineStr">
        <is>
          <t>Agriculture and Agri-Food Canada | Agriculture et Agroalimentaire Canada</t>
        </is>
      </c>
      <c r="Z1082" t="n">
        <v>9</v>
      </c>
      <c r="AA1082" t="n">
        <v>8963.299999999999</v>
      </c>
      <c r="AB1082">
        <f>ROUND(U1082-AA1082,2)</f>
        <v/>
      </c>
      <c r="AC1082" t="b">
        <v>0</v>
      </c>
      <c r="AD1082">
        <f>IF(U1082="","MISSING_TOTAL",IF(ABS(AB1082)&lt;=0.01,"OK","CHECK"))</f>
        <v/>
      </c>
      <c r="AE1082">
        <f>IF(U1082="","MISSING",IF(AND(AA1082&gt;0,U1082/AA1082&gt;50),"POSSIBLE_SCALE_ERROR","OK"))</f>
        <v/>
      </c>
    </row>
    <row r="1083">
      <c r="A1083" t="inlineStr">
        <is>
          <t>T-2018-Q1-00071</t>
        </is>
      </c>
      <c r="B1083" t="inlineStr">
        <is>
          <t>SLE</t>
        </is>
      </c>
      <c r="C1083" t="inlineStr">
        <is>
          <t>Assistant deputy minister, Public Affairs Branch</t>
        </is>
      </c>
      <c r="D1083" t="inlineStr">
        <is>
          <t>Sous-ministre adjoint, Direction Générale des affaires publiques</t>
        </is>
      </c>
      <c r="E1083" t="inlineStr">
        <is>
          <t>Steven Jurgutis</t>
        </is>
      </c>
      <c r="F1083" t="inlineStr">
        <is>
          <t>Steven Jurgutis travelled to Berlin &amp; London for a European Study tour which is part of the Certificate Program in Public Sector Leadership and Governance course he is a part of.</t>
        </is>
      </c>
      <c r="G1083" t="inlineStr">
        <is>
          <t>Steven Jurgutis a voyagé à Berlin et Londres pour une étude européenne fesant partie du Programme de certificat en leadership du secteur public et gouvernance.</t>
        </is>
      </c>
      <c r="H1083" s="1" t="n">
        <v>43197</v>
      </c>
      <c r="I1083" s="1" t="n">
        <v>43207</v>
      </c>
      <c r="J1083" t="inlineStr">
        <is>
          <t>Berlin, Germany London, England</t>
        </is>
      </c>
      <c r="K1083" t="inlineStr">
        <is>
          <t>Berlin, Allemagne  Londres, Angleterre</t>
        </is>
      </c>
      <c r="P1083" t="n">
        <v>5069.78</v>
      </c>
      <c r="Q1083" t="n">
        <v>146.94</v>
      </c>
      <c r="R1083" t="n">
        <v>3062.68</v>
      </c>
      <c r="S1083" t="n">
        <v>1650.95</v>
      </c>
      <c r="T1083" t="n">
        <v>0</v>
      </c>
      <c r="U1083" t="n">
        <v>9930.35</v>
      </c>
      <c r="V1083" t="inlineStr">
        <is>
          <t>AJC169140</t>
        </is>
      </c>
      <c r="X1083" t="inlineStr">
        <is>
          <t>aafc-aac</t>
        </is>
      </c>
      <c r="Y1083" t="inlineStr">
        <is>
          <t>Agriculture and Agri-Food Canada | Agriculture et Agroalimentaire Canada</t>
        </is>
      </c>
      <c r="Z1083" t="n">
        <v>11</v>
      </c>
      <c r="AA1083" t="n">
        <v>9930.35</v>
      </c>
      <c r="AB1083">
        <f>ROUND(U1083-AA1083,2)</f>
        <v/>
      </c>
      <c r="AC1083" t="b">
        <v>0</v>
      </c>
      <c r="AD1083">
        <f>IF(U1083="","MISSING_TOTAL",IF(ABS(AB1083)&lt;=0.01,"OK","CHECK"))</f>
        <v/>
      </c>
      <c r="AE1083">
        <f>IF(U1083="","MISSING",IF(AND(AA1083&gt;0,U1083/AA1083&gt;50),"POSSIBLE_SCALE_ERROR","OK"))</f>
        <v/>
      </c>
    </row>
    <row r="1084">
      <c r="A1084" t="inlineStr">
        <is>
          <t>T-2018-Q2-00057</t>
        </is>
      </c>
      <c r="B1084" t="inlineStr">
        <is>
          <t>SLE</t>
        </is>
      </c>
      <c r="C1084" t="inlineStr">
        <is>
          <t>Assistant deputy minister, Science and Technology Branch</t>
        </is>
      </c>
      <c r="D1084" t="inlineStr">
        <is>
          <t>Sous-ministre adjoint, Direction Générale des sciences et de la technologie</t>
        </is>
      </c>
      <c r="E1084" t="inlineStr">
        <is>
          <t>Brian Gray</t>
        </is>
      </c>
      <c r="F1084" t="inlineStr">
        <is>
          <t>Outreach to the Reasearch and Developpement Centre, All-Staff meeting and meeting with Provincial Counterparts.</t>
        </is>
      </c>
      <c r="G1084" t="inlineStr">
        <is>
          <t>Visite de sencibilisation au Centre de recherche et de developpement, réunions avec tout le personnel et réunions avec des collegues du governement provincial.</t>
        </is>
      </c>
      <c r="H1084" s="1" t="n">
        <v>43333</v>
      </c>
      <c r="I1084" s="1" t="n">
        <v>43335</v>
      </c>
      <c r="J1084" t="inlineStr">
        <is>
          <t>St-Augustin, Quebec</t>
        </is>
      </c>
      <c r="K1084" t="inlineStr">
        <is>
          <t>St-Augustin, Québec</t>
        </is>
      </c>
      <c r="P1084" t="n">
        <v>219.3</v>
      </c>
      <c r="Q1084" t="n">
        <v>137.11</v>
      </c>
      <c r="R1084" t="n">
        <v>245.14</v>
      </c>
      <c r="S1084" t="n">
        <v>225.5</v>
      </c>
      <c r="U1084" t="n">
        <v>827.05</v>
      </c>
      <c r="V1084" t="inlineStr">
        <is>
          <t>Credit applied from June 12th mistake by Air Canada.</t>
        </is>
      </c>
      <c r="W1084" t="inlineStr">
        <is>
          <t>Crédit appliqué à partir de l'erreur du 12 juin par Air Canada.</t>
        </is>
      </c>
      <c r="X1084" t="inlineStr">
        <is>
          <t>aafc-aac</t>
        </is>
      </c>
      <c r="Y1084" t="inlineStr">
        <is>
          <t>Agriculture and Agri-Food Canada | Agriculture et Agroalimentaire Canada</t>
        </is>
      </c>
      <c r="Z1084" t="n">
        <v>3</v>
      </c>
      <c r="AA1084" t="n">
        <v>827.05</v>
      </c>
      <c r="AB1084">
        <f>ROUND(U1084-AA1084,2)</f>
        <v/>
      </c>
      <c r="AC1084" t="b">
        <v>0</v>
      </c>
      <c r="AD1084">
        <f>IF(U1084="","MISSING_TOTAL",IF(ABS(AB1084)&lt;=0.01,"OK","CHECK"))</f>
        <v/>
      </c>
      <c r="AE1084">
        <f>IF(U1084="","MISSING",IF(AND(AA1084&gt;0,U1084/AA1084&gt;50),"POSSIBLE_SCALE_ERROR","OK"))</f>
        <v/>
      </c>
    </row>
    <row r="1085">
      <c r="A1085" t="inlineStr">
        <is>
          <t>T-2018-Q2-00058</t>
        </is>
      </c>
      <c r="B1085" t="inlineStr">
        <is>
          <t>SLE</t>
        </is>
      </c>
      <c r="C1085" t="inlineStr">
        <is>
          <t>Associate Assistant Deputy Ministerm, Science and Technology Branch</t>
        </is>
      </c>
      <c r="D1085" t="inlineStr">
        <is>
          <t>Sous-ministre adjoint délégué, Direction générale des sciences et de la technologie</t>
        </is>
      </c>
      <c r="E1085" t="inlineStr">
        <is>
          <t>Gilles Saindon</t>
        </is>
      </c>
      <c r="F1085" t="inlineStr">
        <is>
          <t>To attend the Gold Harvest Award</t>
        </is>
      </c>
      <c r="G1085" t="inlineStr">
        <is>
          <t>Pour assister à la remise des prix Moissons d'Or</t>
        </is>
      </c>
      <c r="H1085" s="1" t="n">
        <v>43263</v>
      </c>
      <c r="I1085" s="1" t="n">
        <v>43264</v>
      </c>
      <c r="J1085" t="inlineStr">
        <is>
          <t>Sherbrooke, Quebec</t>
        </is>
      </c>
      <c r="K1085" t="inlineStr">
        <is>
          <t>Sherbrooke, Québec</t>
        </is>
      </c>
      <c r="Q1085" t="n">
        <v>133.35</v>
      </c>
      <c r="S1085" t="n">
        <v>121.4</v>
      </c>
      <c r="U1085" t="n">
        <v>254.75</v>
      </c>
      <c r="X1085" t="inlineStr">
        <is>
          <t>aafc-aac</t>
        </is>
      </c>
      <c r="Y1085" t="inlineStr">
        <is>
          <t>Agriculture and Agri-Food Canada | Agriculture et Agroalimentaire Canada</t>
        </is>
      </c>
      <c r="Z1085" t="n">
        <v>2</v>
      </c>
      <c r="AA1085" t="n">
        <v>254.75</v>
      </c>
      <c r="AB1085">
        <f>ROUND(U1085-AA1085,2)</f>
        <v/>
      </c>
      <c r="AC1085" t="b">
        <v>0</v>
      </c>
      <c r="AD1085">
        <f>IF(U1085="","MISSING_TOTAL",IF(ABS(AB1085)&lt;=0.01,"OK","CHECK"))</f>
        <v/>
      </c>
      <c r="AE1085">
        <f>IF(U1085="","MISSING",IF(AND(AA1085&gt;0,U1085/AA1085&gt;50),"POSSIBLE_SCALE_ERROR","OK"))</f>
        <v/>
      </c>
    </row>
    <row r="1086">
      <c r="A1086" t="inlineStr">
        <is>
          <t>T-2018-Q2-00059</t>
        </is>
      </c>
      <c r="B1086" t="inlineStr">
        <is>
          <t>SLE</t>
        </is>
      </c>
      <c r="C1086" t="inlineStr">
        <is>
          <t>Associate Assistant Deputy Ministerm, Science and Technology Branch</t>
        </is>
      </c>
      <c r="D1086" t="inlineStr">
        <is>
          <t>Sous-ministre adjoint délégué, Direction générale des sciences et de la technologie</t>
        </is>
      </c>
      <c r="E1086" t="inlineStr">
        <is>
          <t>Gilles Saindon</t>
        </is>
      </c>
      <c r="F1086" t="inlineStr">
        <is>
          <t>To attend the Branch Executive Committee face to face, meetings with the industry, and meeting with all staff at the Research and Development Center</t>
        </is>
      </c>
      <c r="G1086" t="inlineStr">
        <is>
          <t>Pour assister à la rencontre du Comité exécutif de la direction générale en personne, des rencontres avec l'industrie et une rencontre avec tout le personnel au Centre de recherche et développement</t>
        </is>
      </c>
      <c r="H1086" s="1" t="n">
        <v>43275</v>
      </c>
      <c r="I1086" s="1" t="n">
        <v>43278</v>
      </c>
      <c r="J1086" t="inlineStr">
        <is>
          <t>Charlottetown, Prince-Edward-Island</t>
        </is>
      </c>
      <c r="K1086" t="inlineStr">
        <is>
          <t>Charlottetown, Ile-du-Prince-Edouard</t>
        </is>
      </c>
      <c r="P1086" t="n">
        <v>546.47</v>
      </c>
      <c r="Q1086" t="n">
        <v>148</v>
      </c>
      <c r="R1086" t="n">
        <v>742.6799999999999</v>
      </c>
      <c r="S1086" t="n">
        <v>319.4</v>
      </c>
      <c r="U1086" t="n">
        <v>1756.55</v>
      </c>
      <c r="X1086" t="inlineStr">
        <is>
          <t>aafc-aac</t>
        </is>
      </c>
      <c r="Y1086" t="inlineStr">
        <is>
          <t>Agriculture and Agri-Food Canada | Agriculture et Agroalimentaire Canada</t>
        </is>
      </c>
      <c r="Z1086" t="n">
        <v>4</v>
      </c>
      <c r="AA1086" t="n">
        <v>1756.55</v>
      </c>
      <c r="AB1086">
        <f>ROUND(U1086-AA1086,2)</f>
        <v/>
      </c>
      <c r="AC1086" t="b">
        <v>0</v>
      </c>
      <c r="AD1086">
        <f>IF(U1086="","MISSING_TOTAL",IF(ABS(AB1086)&lt;=0.01,"OK","CHECK"))</f>
        <v/>
      </c>
      <c r="AE1086">
        <f>IF(U1086="","MISSING",IF(AND(AA1086&gt;0,U1086/AA1086&gt;50),"POSSIBLE_SCALE_ERROR","OK"))</f>
        <v/>
      </c>
    </row>
    <row r="1087">
      <c r="A1087" t="inlineStr">
        <is>
          <t>T-2018-Q2-00060</t>
        </is>
      </c>
      <c r="B1087" t="inlineStr">
        <is>
          <t>SLE</t>
        </is>
      </c>
      <c r="C1087" t="inlineStr">
        <is>
          <t>Associate Assistant Deputy Ministerm, Science and Technology Branch</t>
        </is>
      </c>
      <c r="D1087" t="inlineStr">
        <is>
          <t>Sous-ministre adjoint délégué, Direction générale des sciences et de la technologie</t>
        </is>
      </c>
      <c r="E1087" t="inlineStr">
        <is>
          <t>Gilles Saindon</t>
        </is>
      </c>
      <c r="F1087" t="inlineStr">
        <is>
          <t>To attend the Wheat Initiative International Coordination Committee and the Wheat Initiative Scientifc Board Committee meetings  and meetings with German counterparts</t>
        </is>
      </c>
      <c r="G1087" t="inlineStr">
        <is>
          <t>Participer aux rencontres du Comité international de coordination de l'Initiative sur le blé etdu Comité scientifique du Conseil de l'Initiative sur le blé et des rencontres avec des homologues allemands</t>
        </is>
      </c>
      <c r="H1087" s="1" t="n">
        <v>43282</v>
      </c>
      <c r="I1087" s="1" t="n">
        <v>43287</v>
      </c>
      <c r="J1087" t="inlineStr">
        <is>
          <t>Berlin, Germany</t>
        </is>
      </c>
      <c r="K1087" t="inlineStr">
        <is>
          <t>Berlin, Allemagne</t>
        </is>
      </c>
      <c r="P1087" t="n">
        <v>6495.18</v>
      </c>
      <c r="Q1087" t="n">
        <v>245.1</v>
      </c>
      <c r="R1087" t="n">
        <v>494.07</v>
      </c>
      <c r="S1087" t="n">
        <v>676.45</v>
      </c>
      <c r="T1087" t="n">
        <v>2.95</v>
      </c>
      <c r="U1087" t="n">
        <v>7913.75</v>
      </c>
      <c r="X1087" t="inlineStr">
        <is>
          <t>aafc-aac</t>
        </is>
      </c>
      <c r="Y1087" t="inlineStr">
        <is>
          <t>Agriculture and Agri-Food Canada | Agriculture et Agroalimentaire Canada</t>
        </is>
      </c>
      <c r="Z1087" t="n">
        <v>6</v>
      </c>
      <c r="AA1087" t="n">
        <v>7913.75</v>
      </c>
      <c r="AB1087">
        <f>ROUND(U1087-AA1087,2)</f>
        <v/>
      </c>
      <c r="AC1087" t="b">
        <v>0</v>
      </c>
      <c r="AD1087">
        <f>IF(U1087="","MISSING_TOTAL",IF(ABS(AB1087)&lt;=0.01,"OK","CHECK"))</f>
        <v/>
      </c>
      <c r="AE1087">
        <f>IF(U1087="","MISSING",IF(AND(AA1087&gt;0,U1087/AA1087&gt;50),"POSSIBLE_SCALE_ERROR","OK"))</f>
        <v/>
      </c>
    </row>
    <row r="1088">
      <c r="A1088" t="inlineStr">
        <is>
          <t>T-2018-Q2-00061</t>
        </is>
      </c>
      <c r="B1088" t="inlineStr">
        <is>
          <t>SLE</t>
        </is>
      </c>
      <c r="C1088" t="inlineStr">
        <is>
          <t>Associate Assistant Deputy Ministerm, Science and Technology Branch</t>
        </is>
      </c>
      <c r="D1088" t="inlineStr">
        <is>
          <t>Sous-ministre adjoint délégué, Direction générale des sciences et de la technologie</t>
        </is>
      </c>
      <c r="E1088" t="inlineStr">
        <is>
          <t>Gilles Saindon</t>
        </is>
      </c>
      <c r="F1088" t="inlineStr">
        <is>
          <t>Outreach at the Research and Development Center, all staff meetings and attend 2018 Indian Head Crop Management Field Day</t>
        </is>
      </c>
      <c r="G1088" t="inlineStr">
        <is>
          <t>Visite de sensibilisation au Centre de recherche et développement, réunions avec tous le personnel et assister à la journée annuelle d'Indian Head sur la gestion des cultures</t>
        </is>
      </c>
      <c r="H1088" s="1" t="n">
        <v>43297</v>
      </c>
      <c r="I1088" s="1" t="n">
        <v>43300</v>
      </c>
      <c r="J1088" t="inlineStr">
        <is>
          <t>Regina, Indian Head and Swift Current, Saskatchewan</t>
        </is>
      </c>
      <c r="K1088" t="inlineStr">
        <is>
          <t>Regina, Indian Head et Swift Current, Saskatchewan</t>
        </is>
      </c>
      <c r="P1088" t="n">
        <v>889.87</v>
      </c>
      <c r="Q1088" t="n">
        <v>142</v>
      </c>
      <c r="R1088" t="n">
        <v>420.29</v>
      </c>
      <c r="S1088" t="n">
        <v>319.4</v>
      </c>
      <c r="U1088" t="n">
        <v>1771.56</v>
      </c>
      <c r="X1088" t="inlineStr">
        <is>
          <t>aafc-aac</t>
        </is>
      </c>
      <c r="Y1088" t="inlineStr">
        <is>
          <t>Agriculture and Agri-Food Canada | Agriculture et Agroalimentaire Canada</t>
        </is>
      </c>
      <c r="Z1088" t="n">
        <v>4</v>
      </c>
      <c r="AA1088" t="n">
        <v>1771.56</v>
      </c>
      <c r="AB1088">
        <f>ROUND(U1088-AA1088,2)</f>
        <v/>
      </c>
      <c r="AC1088" t="b">
        <v>0</v>
      </c>
      <c r="AD1088">
        <f>IF(U1088="","MISSING_TOTAL",IF(ABS(AB1088)&lt;=0.01,"OK","CHECK"))</f>
        <v/>
      </c>
      <c r="AE1088">
        <f>IF(U1088="","MISSING",IF(AND(AA1088&gt;0,U1088/AA1088&gt;50),"POSSIBLE_SCALE_ERROR","OK"))</f>
        <v/>
      </c>
    </row>
    <row r="1089">
      <c r="A1089" t="inlineStr">
        <is>
          <t>T-2018-Q2-00062</t>
        </is>
      </c>
      <c r="B1089" t="inlineStr">
        <is>
          <t>SLE</t>
        </is>
      </c>
      <c r="C1089" t="inlineStr">
        <is>
          <t>Associate Assistant Deputy Ministerm, Science and Technology Branch</t>
        </is>
      </c>
      <c r="D1089" t="inlineStr">
        <is>
          <t>Sous-ministre adjoint délégué, Direction générale des sciences et de la technologie</t>
        </is>
      </c>
      <c r="E1089" t="inlineStr">
        <is>
          <t>Gilles Saindon</t>
        </is>
      </c>
      <c r="F1089" t="inlineStr">
        <is>
          <t>Outreach at the Research and Development Center, all staff meeting</t>
        </is>
      </c>
      <c r="G1089" t="inlineStr">
        <is>
          <t>Visite de sensibilisation au Centre de recherche et développement, réunion avec tous le personnel</t>
        </is>
      </c>
      <c r="H1089" s="1" t="n">
        <v>43305</v>
      </c>
      <c r="I1089" s="1" t="n">
        <v>43307</v>
      </c>
      <c r="J1089" t="inlineStr">
        <is>
          <t>Harrow, Ontario</t>
        </is>
      </c>
      <c r="K1089" t="inlineStr">
        <is>
          <t>Harrow, Ontario</t>
        </is>
      </c>
      <c r="P1089" t="n">
        <v>640.89</v>
      </c>
      <c r="Q1089" t="n">
        <v>160.5</v>
      </c>
      <c r="R1089" t="n">
        <v>343.74</v>
      </c>
      <c r="S1089" t="n">
        <v>273.65</v>
      </c>
      <c r="U1089" t="n">
        <v>1418.78</v>
      </c>
      <c r="X1089" t="inlineStr">
        <is>
          <t>aafc-aac</t>
        </is>
      </c>
      <c r="Y1089" t="inlineStr">
        <is>
          <t>Agriculture and Agri-Food Canada | Agriculture et Agroalimentaire Canada</t>
        </is>
      </c>
      <c r="Z1089" t="n">
        <v>3</v>
      </c>
      <c r="AA1089" t="n">
        <v>1418.78</v>
      </c>
      <c r="AB1089">
        <f>ROUND(U1089-AA1089,2)</f>
        <v/>
      </c>
      <c r="AC1089" t="b">
        <v>0</v>
      </c>
      <c r="AD1089">
        <f>IF(U1089="","MISSING_TOTAL",IF(ABS(AB1089)&lt;=0.01,"OK","CHECK"))</f>
        <v/>
      </c>
      <c r="AE1089">
        <f>IF(U1089="","MISSING",IF(AND(AA1089&gt;0,U1089/AA1089&gt;50),"POSSIBLE_SCALE_ERROR","OK"))</f>
        <v/>
      </c>
    </row>
    <row r="1090">
      <c r="A1090" t="inlineStr">
        <is>
          <t>T-2018-Q2-00063</t>
        </is>
      </c>
      <c r="B1090" t="inlineStr">
        <is>
          <t>SLE</t>
        </is>
      </c>
      <c r="C1090" t="inlineStr">
        <is>
          <t>Associate Assistant Deputy Ministerm, Science and Technology Branch</t>
        </is>
      </c>
      <c r="D1090" t="inlineStr">
        <is>
          <t>Sous-ministre adjoint délégué, Direction générale des sciences et de la technologie</t>
        </is>
      </c>
      <c r="E1090" t="inlineStr">
        <is>
          <t>Gilles Saindon</t>
        </is>
      </c>
      <c r="F1090" t="inlineStr">
        <is>
          <t>Outreach at the Research and Development Center, all staff meeting</t>
        </is>
      </c>
      <c r="G1090" t="inlineStr">
        <is>
          <t>Visite de sensibilisation au Centre de recherche et développement, réunion avec tous le personnel</t>
        </is>
      </c>
      <c r="H1090" s="1" t="n">
        <v>43326</v>
      </c>
      <c r="I1090" s="1" t="n">
        <v>43329</v>
      </c>
      <c r="J1090" t="inlineStr">
        <is>
          <t>Summerland, British Columbia</t>
        </is>
      </c>
      <c r="K1090" t="inlineStr">
        <is>
          <t>Summerland, Colombie-Britanique</t>
        </is>
      </c>
      <c r="P1090" t="n">
        <v>916.71</v>
      </c>
      <c r="Q1090" t="n">
        <v>128.5</v>
      </c>
      <c r="R1090" t="n">
        <v>569.25</v>
      </c>
      <c r="S1090" t="n">
        <v>377.75</v>
      </c>
      <c r="U1090" t="n">
        <v>1992.21</v>
      </c>
      <c r="X1090" t="inlineStr">
        <is>
          <t>aafc-aac</t>
        </is>
      </c>
      <c r="Y1090" t="inlineStr">
        <is>
          <t>Agriculture and Agri-Food Canada | Agriculture et Agroalimentaire Canada</t>
        </is>
      </c>
      <c r="Z1090" t="n">
        <v>4</v>
      </c>
      <c r="AA1090" t="n">
        <v>1992.21</v>
      </c>
      <c r="AB1090">
        <f>ROUND(U1090-AA1090,2)</f>
        <v/>
      </c>
      <c r="AC1090" t="b">
        <v>0</v>
      </c>
      <c r="AD1090">
        <f>IF(U1090="","MISSING_TOTAL",IF(ABS(AB1090)&lt;=0.01,"OK","CHECK"))</f>
        <v/>
      </c>
      <c r="AE1090">
        <f>IF(U1090="","MISSING",IF(AND(AA1090&gt;0,U1090/AA1090&gt;50),"POSSIBLE_SCALE_ERROR","OK"))</f>
        <v/>
      </c>
    </row>
    <row r="1091">
      <c r="A1091" t="inlineStr">
        <is>
          <t>T-2018-Q2-00065</t>
        </is>
      </c>
      <c r="B1091" t="inlineStr">
        <is>
          <t>SLE</t>
        </is>
      </c>
      <c r="C1091" t="inlineStr">
        <is>
          <t>Assistant Deputy Minister, Strategic Policy Branch</t>
        </is>
      </c>
      <c r="D1091" t="inlineStr">
        <is>
          <t>Sous-Ministre Adjoint, Direction Générale des politiques stratégiques</t>
        </is>
      </c>
      <c r="E1091" t="inlineStr">
        <is>
          <t>Tom Rosser</t>
        </is>
      </c>
      <c r="F1091" t="inlineStr">
        <is>
          <t>To attend a Regional Management Meeting with AAFC staff held in Windsor, Ontario.</t>
        </is>
      </c>
      <c r="G1091" t="inlineStr">
        <is>
          <t>Pour assister à une réunion de gestion régionale avec le personnel d'AAC tenue à Windsor, Ontario.</t>
        </is>
      </c>
      <c r="H1091" s="1" t="n">
        <v>43272</v>
      </c>
      <c r="I1091" s="1" t="n">
        <v>43273</v>
      </c>
      <c r="J1091" t="inlineStr">
        <is>
          <t>Harrow, Ontario</t>
        </is>
      </c>
      <c r="K1091" t="inlineStr">
        <is>
          <t>Harrow, Ontario</t>
        </is>
      </c>
      <c r="P1091" t="n">
        <v>1352.28</v>
      </c>
      <c r="Q1091" t="n">
        <v>189.82</v>
      </c>
      <c r="R1091" t="n">
        <v>146.64</v>
      </c>
      <c r="S1091" t="n">
        <v>169.55</v>
      </c>
      <c r="U1091" t="n">
        <v>1858.29</v>
      </c>
      <c r="X1091" t="inlineStr">
        <is>
          <t>aafc-aac</t>
        </is>
      </c>
      <c r="Y1091" t="inlineStr">
        <is>
          <t>Agriculture and Agri-Food Canada | Agriculture et Agroalimentaire Canada</t>
        </is>
      </c>
      <c r="Z1091" t="n">
        <v>2</v>
      </c>
      <c r="AA1091" t="n">
        <v>1858.28999999999</v>
      </c>
      <c r="AB1091">
        <f>ROUND(U1091-AA1091,2)</f>
        <v/>
      </c>
      <c r="AC1091" t="b">
        <v>0</v>
      </c>
      <c r="AD1091">
        <f>IF(U1091="","MISSING_TOTAL",IF(ABS(AB1091)&lt;=0.01,"OK","CHECK"))</f>
        <v/>
      </c>
      <c r="AE1091">
        <f>IF(U1091="","MISSING",IF(AND(AA1091&gt;0,U1091/AA1091&gt;50),"POSSIBLE_SCALE_ERROR","OK"))</f>
        <v/>
      </c>
    </row>
    <row r="1092">
      <c r="A1092" t="inlineStr">
        <is>
          <t>T-2018-Q3-00020</t>
        </is>
      </c>
      <c r="B1092" t="inlineStr">
        <is>
          <t>MPSES</t>
        </is>
      </c>
      <c r="C1092" t="inlineStr">
        <is>
          <t>Communications Advisor</t>
        </is>
      </c>
      <c r="D1092" t="inlineStr">
        <is>
          <t>Conseiller en communications</t>
        </is>
      </c>
      <c r="E1092" t="inlineStr">
        <is>
          <t>Oliver Anderson</t>
        </is>
      </c>
      <c r="F1092" t="inlineStr">
        <is>
          <t>To accompany the Minister for announcements and meetings</t>
        </is>
      </c>
      <c r="G1092" t="inlineStr">
        <is>
          <t>Pour accompagner le ministre pour les annonces et les réunions</t>
        </is>
      </c>
      <c r="H1092" s="1" t="n">
        <v>43346</v>
      </c>
      <c r="I1092" s="1" t="n">
        <v>43347</v>
      </c>
      <c r="J1092" t="inlineStr">
        <is>
          <t>Winnipeg, Manitoba</t>
        </is>
      </c>
      <c r="K1092" t="inlineStr">
        <is>
          <t>Winnipeg, Manitoba</t>
        </is>
      </c>
      <c r="P1092" t="n">
        <v>1017.54</v>
      </c>
      <c r="Q1092" t="n">
        <v>34.17</v>
      </c>
      <c r="R1092" t="n">
        <v>201.03</v>
      </c>
      <c r="S1092" t="n">
        <v>169.55</v>
      </c>
      <c r="T1092" t="n">
        <v>0</v>
      </c>
      <c r="U1092" t="n">
        <v>1422.29</v>
      </c>
      <c r="X1092" t="inlineStr">
        <is>
          <t>aafc-aac</t>
        </is>
      </c>
      <c r="Y1092" t="inlineStr">
        <is>
          <t>Agriculture and Agri-Food Canada | Agriculture et Agroalimentaire Canada</t>
        </is>
      </c>
      <c r="Z1092" t="n">
        <v>2</v>
      </c>
      <c r="AA1092" t="n">
        <v>1422.29</v>
      </c>
      <c r="AB1092">
        <f>ROUND(U1092-AA1092,2)</f>
        <v/>
      </c>
      <c r="AC1092" t="b">
        <v>0</v>
      </c>
      <c r="AD1092">
        <f>IF(U1092="","MISSING_TOTAL",IF(ABS(AB1092)&lt;=0.01,"OK","CHECK"))</f>
        <v/>
      </c>
      <c r="AE1092">
        <f>IF(U1092="","MISSING",IF(AND(AA1092&gt;0,U1092/AA1092&gt;50),"POSSIBLE_SCALE_ERROR","OK"))</f>
        <v/>
      </c>
    </row>
    <row r="1093">
      <c r="A1093" t="inlineStr">
        <is>
          <t>T-2018-Q2-00066</t>
        </is>
      </c>
      <c r="B1093" t="inlineStr">
        <is>
          <t>SLE</t>
        </is>
      </c>
      <c r="C1093" t="inlineStr">
        <is>
          <t>Assistant Deputy Minister, Strategic Policy Branch</t>
        </is>
      </c>
      <c r="D1093" t="inlineStr">
        <is>
          <t>Sous-Ministre Adjoint, Direction Générale des politiques stratégiques</t>
        </is>
      </c>
      <c r="E1093" t="inlineStr">
        <is>
          <t>Tom Rosser</t>
        </is>
      </c>
      <c r="F1093" t="inlineStr">
        <is>
          <t>To participate in a McCain Foods Workshop  Panel.</t>
        </is>
      </c>
      <c r="G1093" t="inlineStr">
        <is>
          <t>Participer à un atelier avec McCain Foods.</t>
        </is>
      </c>
      <c r="H1093" s="1" t="n">
        <v>43275</v>
      </c>
      <c r="I1093" s="1" t="n">
        <v>43276</v>
      </c>
      <c r="J1093" t="inlineStr">
        <is>
          <t>Toronto, Ontario</t>
        </is>
      </c>
      <c r="K1093" t="inlineStr">
        <is>
          <t>Toronto, Ontario</t>
        </is>
      </c>
      <c r="P1093" t="n">
        <v>957.96</v>
      </c>
      <c r="Q1093" t="n">
        <v>104.7</v>
      </c>
      <c r="R1093" t="n">
        <v>421.9</v>
      </c>
      <c r="S1093" t="n">
        <v>121.4</v>
      </c>
      <c r="U1093" t="n">
        <v>1605.96</v>
      </c>
      <c r="X1093" t="inlineStr">
        <is>
          <t>aafc-aac</t>
        </is>
      </c>
      <c r="Y1093" t="inlineStr">
        <is>
          <t>Agriculture and Agri-Food Canada | Agriculture et Agroalimentaire Canada</t>
        </is>
      </c>
      <c r="Z1093" t="n">
        <v>2</v>
      </c>
      <c r="AA1093" t="n">
        <v>1605.96</v>
      </c>
      <c r="AB1093">
        <f>ROUND(U1093-AA1093,2)</f>
        <v/>
      </c>
      <c r="AC1093" t="b">
        <v>0</v>
      </c>
      <c r="AD1093">
        <f>IF(U1093="","MISSING_TOTAL",IF(ABS(AB1093)&lt;=0.01,"OK","CHECK"))</f>
        <v/>
      </c>
      <c r="AE1093">
        <f>IF(U1093="","MISSING",IF(AND(AA1093&gt;0,U1093/AA1093&gt;50),"POSSIBLE_SCALE_ERROR","OK"))</f>
        <v/>
      </c>
    </row>
    <row r="1094">
      <c r="A1094" t="inlineStr">
        <is>
          <t>T-2018-Q2-00067</t>
        </is>
      </c>
      <c r="B1094" t="inlineStr">
        <is>
          <t>SLE</t>
        </is>
      </c>
      <c r="C1094" t="inlineStr">
        <is>
          <t>Assistant Deputy Minister, Strategic Policy Branch</t>
        </is>
      </c>
      <c r="D1094" t="inlineStr">
        <is>
          <t>Sous-Ministre Adjoint, Direction Générale des politiques stratégiques</t>
        </is>
      </c>
      <c r="E1094" t="inlineStr">
        <is>
          <t>Tom Rosser</t>
        </is>
      </c>
      <c r="F1094" t="inlineStr">
        <is>
          <t>To attend the Federal/Provincial/Territorial Annual Conference of Deputy Ministers and Ministers of Agriculture.</t>
        </is>
      </c>
      <c r="G1094" t="inlineStr">
        <is>
          <t>Participer au conférence annuelle fédérale, provinciale et territoriale des sous-ministres et ministres d'agriculture.</t>
        </is>
      </c>
      <c r="H1094" s="1" t="n">
        <v>43298</v>
      </c>
      <c r="I1094" s="1" t="n">
        <v>43302</v>
      </c>
      <c r="J1094" t="inlineStr">
        <is>
          <t>Vancouver, British Columbia</t>
        </is>
      </c>
      <c r="K1094" t="inlineStr">
        <is>
          <t>Vancouver, Colombie-Britannique</t>
        </is>
      </c>
      <c r="P1094" t="n">
        <v>2824.81</v>
      </c>
      <c r="Q1094" t="n">
        <v>80</v>
      </c>
      <c r="R1094" t="n">
        <v>983.49</v>
      </c>
      <c r="S1094" t="n">
        <v>327.7</v>
      </c>
      <c r="T1094" t="n">
        <v>375</v>
      </c>
      <c r="U1094" t="n">
        <v>4591</v>
      </c>
      <c r="X1094" t="inlineStr">
        <is>
          <t>aafc-aac</t>
        </is>
      </c>
      <c r="Y1094" t="inlineStr">
        <is>
          <t>Agriculture and Agri-Food Canada | Agriculture et Agroalimentaire Canada</t>
        </is>
      </c>
      <c r="Z1094" t="n">
        <v>5</v>
      </c>
      <c r="AA1094" t="n">
        <v>4591</v>
      </c>
      <c r="AB1094">
        <f>ROUND(U1094-AA1094,2)</f>
        <v/>
      </c>
      <c r="AC1094" t="b">
        <v>0</v>
      </c>
      <c r="AD1094">
        <f>IF(U1094="","MISSING_TOTAL",IF(ABS(AB1094)&lt;=0.01,"OK","CHECK"))</f>
        <v/>
      </c>
      <c r="AE1094">
        <f>IF(U1094="","MISSING",IF(AND(AA1094&gt;0,U1094/AA1094&gt;50),"POSSIBLE_SCALE_ERROR","OK"))</f>
        <v/>
      </c>
    </row>
    <row r="1095">
      <c r="A1095" t="inlineStr">
        <is>
          <t>T-2018-Q2-00068</t>
        </is>
      </c>
      <c r="B1095" t="inlineStr">
        <is>
          <t>SLE</t>
        </is>
      </c>
      <c r="C1095" t="inlineStr">
        <is>
          <t>Assistant Deputy Minister, Strategic Policy Branch</t>
        </is>
      </c>
      <c r="D1095" t="inlineStr">
        <is>
          <t>Sous-Ministre Adjoint, Direction Générale des politiques stratégiques</t>
        </is>
      </c>
      <c r="E1095" t="inlineStr">
        <is>
          <t>Tom Rosser</t>
        </is>
      </c>
      <c r="F1095" t="inlineStr">
        <is>
          <t>To attend the International Conference of Agricultural Economists (ICAE).</t>
        </is>
      </c>
      <c r="G1095" t="inlineStr">
        <is>
          <t>Pour assister à la conférence internationale des économistes agricoles.</t>
        </is>
      </c>
      <c r="H1095" s="1" t="n">
        <v>43312</v>
      </c>
      <c r="I1095" s="1" t="n">
        <v>43315</v>
      </c>
      <c r="J1095" t="inlineStr">
        <is>
          <t>Vancouver, British Columbia</t>
        </is>
      </c>
      <c r="K1095" t="inlineStr">
        <is>
          <t>Vancouver, Colombie-Britannique</t>
        </is>
      </c>
      <c r="P1095" t="n">
        <v>2124.12</v>
      </c>
      <c r="Q1095" t="n">
        <v>165</v>
      </c>
      <c r="R1095" t="n">
        <v>702.66</v>
      </c>
      <c r="S1095" t="n">
        <v>262</v>
      </c>
      <c r="T1095" t="n">
        <v>1121.06</v>
      </c>
      <c r="U1095" t="n">
        <v>4374.84</v>
      </c>
      <c r="X1095" t="inlineStr">
        <is>
          <t>aafc-aac</t>
        </is>
      </c>
      <c r="Y1095" t="inlineStr">
        <is>
          <t>Agriculture and Agri-Food Canada | Agriculture et Agroalimentaire Canada</t>
        </is>
      </c>
      <c r="Z1095" t="n">
        <v>4</v>
      </c>
      <c r="AA1095" t="n">
        <v>4374.84</v>
      </c>
      <c r="AB1095">
        <f>ROUND(U1095-AA1095,2)</f>
        <v/>
      </c>
      <c r="AC1095" t="b">
        <v>0</v>
      </c>
      <c r="AD1095">
        <f>IF(U1095="","MISSING_TOTAL",IF(ABS(AB1095)&lt;=0.01,"OK","CHECK"))</f>
        <v/>
      </c>
      <c r="AE1095">
        <f>IF(U1095="","MISSING",IF(AND(AA1095&gt;0,U1095/AA1095&gt;50),"POSSIBLE_SCALE_ERROR","OK"))</f>
        <v/>
      </c>
    </row>
    <row r="1096">
      <c r="A1096" t="inlineStr">
        <is>
          <t>T-2018-Q2-00069</t>
        </is>
      </c>
      <c r="B1096" t="inlineStr">
        <is>
          <t>SLE</t>
        </is>
      </c>
      <c r="C1096" t="inlineStr">
        <is>
          <t>Assistant Deputy Minister, International Affairs Branch</t>
        </is>
      </c>
      <c r="D1096" t="inlineStr">
        <is>
          <t>Sous-ministre adjoint,Direction générale des affaires internationales</t>
        </is>
      </c>
      <c r="E1096" t="inlineStr">
        <is>
          <t>Frederick Gorrell</t>
        </is>
      </c>
      <c r="F1096" t="inlineStr">
        <is>
          <t>US Secretary of Agriculture Sonny Perdue Visit with Minister MacAuley</t>
        </is>
      </c>
      <c r="G1096" t="inlineStr">
        <is>
          <t>Réunion avec sécrétaire des états-unis de l'agriculture Sonny Perdu et ministre MacAulay</t>
        </is>
      </c>
      <c r="H1096" s="1" t="n">
        <v>43264</v>
      </c>
      <c r="I1096" s="1" t="n">
        <v>43267</v>
      </c>
      <c r="J1096" t="inlineStr">
        <is>
          <t>Charlottetown, Prince Edward Island &amp; Dartmouth, Nova Scotia</t>
        </is>
      </c>
      <c r="K1096" t="inlineStr">
        <is>
          <t>‎Charlottetown, Île-du-Prince-Édouard et Dartmouth, Nouvelle--Écosse</t>
        </is>
      </c>
      <c r="P1096" t="n">
        <v>945.3200000000001</v>
      </c>
      <c r="Q1096" t="n">
        <v>129.32</v>
      </c>
      <c r="R1096" t="n">
        <v>713.71</v>
      </c>
      <c r="S1096" t="n">
        <v>310.4</v>
      </c>
      <c r="U1096" t="n">
        <v>2098.75</v>
      </c>
      <c r="X1096" t="inlineStr">
        <is>
          <t>aafc-aac</t>
        </is>
      </c>
      <c r="Y1096" t="inlineStr">
        <is>
          <t>Agriculture and Agri-Food Canada | Agriculture et Agroalimentaire Canada</t>
        </is>
      </c>
      <c r="Z1096" t="n">
        <v>4</v>
      </c>
      <c r="AA1096" t="n">
        <v>2098.75</v>
      </c>
      <c r="AB1096">
        <f>ROUND(U1096-AA1096,2)</f>
        <v/>
      </c>
      <c r="AC1096" t="b">
        <v>0</v>
      </c>
      <c r="AD1096">
        <f>IF(U1096="","MISSING_TOTAL",IF(ABS(AB1096)&lt;=0.01,"OK","CHECK"))</f>
        <v/>
      </c>
      <c r="AE1096">
        <f>IF(U1096="","MISSING",IF(AND(AA1096&gt;0,U1096/AA1096&gt;50),"POSSIBLE_SCALE_ERROR","OK"))</f>
        <v/>
      </c>
    </row>
    <row r="1097">
      <c r="A1097" t="inlineStr">
        <is>
          <t>T-2018-Q2-00070</t>
        </is>
      </c>
      <c r="B1097" t="inlineStr">
        <is>
          <t>SLE</t>
        </is>
      </c>
      <c r="C1097" t="inlineStr">
        <is>
          <t>Assistant Deputy Minister, International Affairs Branch</t>
        </is>
      </c>
      <c r="D1097" t="inlineStr">
        <is>
          <t>Sous-ministre adjoint,Direction générale des affaires internationales</t>
        </is>
      </c>
      <c r="E1097" t="inlineStr">
        <is>
          <t>Frederick Gorrell</t>
        </is>
      </c>
      <c r="F1097" t="inlineStr">
        <is>
          <t>Atlantic Regional Management Committee</t>
        </is>
      </c>
      <c r="G1097" t="inlineStr">
        <is>
          <t>Comité régional de gestion atlantique</t>
        </is>
      </c>
      <c r="H1097" s="1" t="n">
        <v>43269</v>
      </c>
      <c r="I1097" s="1" t="n">
        <v>43270</v>
      </c>
      <c r="J1097" t="inlineStr">
        <is>
          <t>Halifax, Nova Scotia</t>
        </is>
      </c>
      <c r="K1097" t="inlineStr">
        <is>
          <t>Halifax,
Nouvelle-Écosse</t>
        </is>
      </c>
      <c r="P1097" t="n">
        <v>412.51</v>
      </c>
      <c r="Q1097" t="n">
        <v>157.82</v>
      </c>
      <c r="R1097" t="n">
        <v>192.37</v>
      </c>
      <c r="S1097" t="n">
        <v>169.55</v>
      </c>
      <c r="U1097" t="n">
        <v>932.25</v>
      </c>
      <c r="X1097" t="inlineStr">
        <is>
          <t>aafc-aac</t>
        </is>
      </c>
      <c r="Y1097" t="inlineStr">
        <is>
          <t>Agriculture and Agri-Food Canada | Agriculture et Agroalimentaire Canada</t>
        </is>
      </c>
      <c r="Z1097" t="n">
        <v>2</v>
      </c>
      <c r="AA1097" t="n">
        <v>932.25</v>
      </c>
      <c r="AB1097">
        <f>ROUND(U1097-AA1097,2)</f>
        <v/>
      </c>
      <c r="AC1097" t="b">
        <v>0</v>
      </c>
      <c r="AD1097">
        <f>IF(U1097="","MISSING_TOTAL",IF(ABS(AB1097)&lt;=0.01,"OK","CHECK"))</f>
        <v/>
      </c>
      <c r="AE1097">
        <f>IF(U1097="","MISSING",IF(AND(AA1097&gt;0,U1097/AA1097&gt;50),"POSSIBLE_SCALE_ERROR","OK"))</f>
        <v/>
      </c>
    </row>
    <row r="1098">
      <c r="A1098" t="inlineStr">
        <is>
          <t>T-2018-Q2-00071</t>
        </is>
      </c>
      <c r="B1098" t="inlineStr">
        <is>
          <t>SLE</t>
        </is>
      </c>
      <c r="C1098" t="inlineStr">
        <is>
          <t>Assistant Deputy Minister, International Affairs Branch</t>
        </is>
      </c>
      <c r="D1098" t="inlineStr">
        <is>
          <t>Sous-ministre adjoint,Direction générale des affaires internationales</t>
        </is>
      </c>
      <c r="E1098" t="inlineStr">
        <is>
          <t>Frederick Gorrell</t>
        </is>
      </c>
      <c r="F1098" t="inlineStr">
        <is>
          <t>To attend G20 Agriculture Ministerial Meetings and outreach to Latin America</t>
        </is>
      </c>
      <c r="G1098" t="inlineStr">
        <is>
          <t>Assister aux réunions ministérielles sur l'agriculture du G20 et à la sensibilisation en Amérique latine</t>
        </is>
      </c>
      <c r="H1098" s="1" t="n">
        <v>43306</v>
      </c>
      <c r="I1098" s="1" t="n">
        <v>43312</v>
      </c>
      <c r="J1098" t="inlineStr">
        <is>
          <t>Buenos Aires, Argentina and Santiago, Chile</t>
        </is>
      </c>
      <c r="K1098" t="inlineStr">
        <is>
          <t>Buenos Aires, Argentine,  et Santiago, Chile</t>
        </is>
      </c>
      <c r="P1098" t="n">
        <v>5528.58</v>
      </c>
      <c r="Q1098" t="n">
        <v>262.84</v>
      </c>
      <c r="R1098" t="n">
        <v>2599.06</v>
      </c>
      <c r="S1098" t="n">
        <v>718.76</v>
      </c>
      <c r="U1098" t="n">
        <v>9109.24</v>
      </c>
      <c r="X1098" t="inlineStr">
        <is>
          <t>aafc-aac</t>
        </is>
      </c>
      <c r="Y1098" t="inlineStr">
        <is>
          <t>Agriculture and Agri-Food Canada | Agriculture et Agroalimentaire Canada</t>
        </is>
      </c>
      <c r="Z1098" t="n">
        <v>7</v>
      </c>
      <c r="AA1098" t="n">
        <v>9109.24</v>
      </c>
      <c r="AB1098">
        <f>ROUND(U1098-AA1098,2)</f>
        <v/>
      </c>
      <c r="AC1098" t="b">
        <v>0</v>
      </c>
      <c r="AD1098">
        <f>IF(U1098="","MISSING_TOTAL",IF(ABS(AB1098)&lt;=0.01,"OK","CHECK"))</f>
        <v/>
      </c>
      <c r="AE1098">
        <f>IF(U1098="","MISSING",IF(AND(AA1098&gt;0,U1098/AA1098&gt;50),"POSSIBLE_SCALE_ERROR","OK"))</f>
        <v/>
      </c>
    </row>
    <row r="1099">
      <c r="A1099" t="inlineStr">
        <is>
          <t>T-2018-Q2-00072</t>
        </is>
      </c>
      <c r="B1099" t="inlineStr">
        <is>
          <t>SLE</t>
        </is>
      </c>
      <c r="C1099" t="inlineStr">
        <is>
          <t>Assistant Deputy Minister, Market and Industry Service Branch</t>
        </is>
      </c>
      <c r="D1099" t="inlineStr">
        <is>
          <t>Sous Ministre Adjoint,Direction générale des services à l'industrie et aux marchés</t>
        </is>
      </c>
      <c r="E1099" t="inlineStr">
        <is>
          <t>Frédéric Seppey</t>
        </is>
      </c>
      <c r="F1099" t="inlineStr">
        <is>
          <t>Speaking Engement at the Canadian Poultry and Egg Processors council</t>
        </is>
      </c>
      <c r="G1099" t="inlineStr">
        <is>
          <t>Engagement de parole au congrès du Conseil canadien des transformateurs d'oeufs et de volailles</t>
        </is>
      </c>
      <c r="H1099" s="1" t="n">
        <v>43255</v>
      </c>
      <c r="I1099" s="1" t="n">
        <v>43255</v>
      </c>
      <c r="J1099" t="inlineStr">
        <is>
          <t>Montreal , Quebec</t>
        </is>
      </c>
      <c r="K1099" t="inlineStr">
        <is>
          <t>Montréal, Québec</t>
        </is>
      </c>
      <c r="Q1099" t="n">
        <v>268.66</v>
      </c>
      <c r="U1099" t="n">
        <v>268.66</v>
      </c>
      <c r="X1099" t="inlineStr">
        <is>
          <t>aafc-aac</t>
        </is>
      </c>
      <c r="Y1099" t="inlineStr">
        <is>
          <t>Agriculture and Agri-Food Canada | Agriculture et Agroalimentaire Canada</t>
        </is>
      </c>
      <c r="Z1099" t="n">
        <v>1</v>
      </c>
      <c r="AA1099" t="n">
        <v>268.66</v>
      </c>
      <c r="AB1099">
        <f>ROUND(U1099-AA1099,2)</f>
        <v/>
      </c>
      <c r="AC1099" t="b">
        <v>0</v>
      </c>
      <c r="AD1099">
        <f>IF(U1099="","MISSING_TOTAL",IF(ABS(AB1099)&lt;=0.01,"OK","CHECK"))</f>
        <v/>
      </c>
      <c r="AE1099">
        <f>IF(U1099="","MISSING",IF(AND(AA1099&gt;0,U1099/AA1099&gt;50),"POSSIBLE_SCALE_ERROR","OK"))</f>
        <v/>
      </c>
    </row>
    <row r="1100">
      <c r="A1100" t="inlineStr">
        <is>
          <t>T-2018-Q2-00073</t>
        </is>
      </c>
      <c r="B1100" t="inlineStr">
        <is>
          <t>SLE</t>
        </is>
      </c>
      <c r="C1100" t="inlineStr">
        <is>
          <t>Assistant Deputy Minister,Market and Industry Service Branch</t>
        </is>
      </c>
      <c r="D1100" t="inlineStr">
        <is>
          <t>Sous Ministre Adjoint,Direction générale des services à l'industrie et aux marchés</t>
        </is>
      </c>
      <c r="E1100" t="inlineStr">
        <is>
          <t>Frédéric Seppey</t>
        </is>
      </c>
      <c r="F1100" t="inlineStr">
        <is>
          <t>Regional outreach</t>
        </is>
      </c>
      <c r="G1100" t="inlineStr">
        <is>
          <t>Visite de sensibilisation régional</t>
        </is>
      </c>
      <c r="H1100" s="1" t="n">
        <v>43262</v>
      </c>
      <c r="I1100" s="1" t="n">
        <v>43265</v>
      </c>
      <c r="J1100" t="inlineStr">
        <is>
          <t>Regina, Saskatchewan, Winnipeg , Manitoba</t>
        </is>
      </c>
      <c r="K1100" t="inlineStr">
        <is>
          <t>Regina, Saskatchewan, Winnipeg , Manitoba</t>
        </is>
      </c>
      <c r="P1100" t="n">
        <v>1307.21</v>
      </c>
      <c r="Q1100" t="n">
        <v>110.66</v>
      </c>
      <c r="R1100" t="n">
        <v>624.6</v>
      </c>
      <c r="S1100" t="n">
        <v>319.4</v>
      </c>
      <c r="T1100" t="n">
        <v>14.63</v>
      </c>
      <c r="U1100" t="n">
        <v>2376.5</v>
      </c>
      <c r="X1100" t="inlineStr">
        <is>
          <t>aafc-aac</t>
        </is>
      </c>
      <c r="Y1100" t="inlineStr">
        <is>
          <t>Agriculture and Agri-Food Canada | Agriculture et Agroalimentaire Canada</t>
        </is>
      </c>
      <c r="Z1100" t="n">
        <v>4</v>
      </c>
      <c r="AA1100" t="n">
        <v>2376.5</v>
      </c>
      <c r="AB1100">
        <f>ROUND(U1100-AA1100,2)</f>
        <v/>
      </c>
      <c r="AC1100" t="b">
        <v>0</v>
      </c>
      <c r="AD1100">
        <f>IF(U1100="","MISSING_TOTAL",IF(ABS(AB1100)&lt;=0.01,"OK","CHECK"))</f>
        <v/>
      </c>
      <c r="AE1100">
        <f>IF(U1100="","MISSING",IF(AND(AA1100&gt;0,U1100/AA1100&gt;50),"POSSIBLE_SCALE_ERROR","OK"))</f>
        <v/>
      </c>
    </row>
    <row r="1101">
      <c r="A1101" t="inlineStr">
        <is>
          <t>T-2018-Q2-00074</t>
        </is>
      </c>
      <c r="B1101" t="inlineStr">
        <is>
          <t>SLE</t>
        </is>
      </c>
      <c r="C1101" t="inlineStr">
        <is>
          <t>Assistant Deputy Minister,Market and Industry Service Branch</t>
        </is>
      </c>
      <c r="D1101" t="inlineStr">
        <is>
          <t>Sous Ministre Adjoint,Direction générale des services à l'industrie et aux marchés</t>
        </is>
      </c>
      <c r="E1101" t="inlineStr">
        <is>
          <t>Frédéric Seppey</t>
        </is>
      </c>
      <c r="F1101" t="inlineStr">
        <is>
          <t>Federal, Provincial and Territorial conference</t>
        </is>
      </c>
      <c r="G1101" t="inlineStr">
        <is>
          <t>Conférence Fédéreau des Ministres, provinciaux et territoriaux</t>
        </is>
      </c>
      <c r="H1101" s="1" t="n">
        <v>43299</v>
      </c>
      <c r="I1101" s="1" t="n">
        <v>43302</v>
      </c>
      <c r="J1101" t="inlineStr">
        <is>
          <t>Vancouver British Columbia</t>
        </is>
      </c>
      <c r="K1101" t="inlineStr">
        <is>
          <t>Vancouver, Colombie britannique</t>
        </is>
      </c>
      <c r="P1101" t="n">
        <v>967.09</v>
      </c>
      <c r="Q1101" t="n">
        <v>131.2</v>
      </c>
      <c r="R1101" t="n">
        <v>655.66</v>
      </c>
      <c r="S1101" t="n">
        <v>262.25</v>
      </c>
      <c r="T1101" t="n">
        <v>404.14</v>
      </c>
      <c r="U1101" t="n">
        <v>2420.34</v>
      </c>
      <c r="X1101" t="inlineStr">
        <is>
          <t>aafc-aac</t>
        </is>
      </c>
      <c r="Y1101" t="inlineStr">
        <is>
          <t>Agriculture and Agri-Food Canada | Agriculture et Agroalimentaire Canada</t>
        </is>
      </c>
      <c r="Z1101" t="n">
        <v>4</v>
      </c>
      <c r="AA1101" t="n">
        <v>2420.33999999999</v>
      </c>
      <c r="AB1101">
        <f>ROUND(U1101-AA1101,2)</f>
        <v/>
      </c>
      <c r="AC1101" t="b">
        <v>0</v>
      </c>
      <c r="AD1101">
        <f>IF(U1101="","MISSING_TOTAL",IF(ABS(AB1101)&lt;=0.01,"OK","CHECK"))</f>
        <v/>
      </c>
      <c r="AE1101">
        <f>IF(U1101="","MISSING",IF(AND(AA1101&gt;0,U1101/AA1101&gt;50),"POSSIBLE_SCALE_ERROR","OK"))</f>
        <v/>
      </c>
    </row>
    <row r="1102">
      <c r="A1102" t="inlineStr">
        <is>
          <t>T-2018-Q2-00075</t>
        </is>
      </c>
      <c r="B1102" t="inlineStr">
        <is>
          <t>SLE</t>
        </is>
      </c>
      <c r="C1102" t="inlineStr">
        <is>
          <t>Assistant Deputy Minister,Market and Industry Service Branch</t>
        </is>
      </c>
      <c r="D1102" t="inlineStr">
        <is>
          <t>Sous Ministre Adjoint,Direction générale des services à l'industrie et aux marchés</t>
        </is>
      </c>
      <c r="E1102" t="inlineStr">
        <is>
          <t>Frédéric Seppey</t>
        </is>
      </c>
      <c r="F1102" t="inlineStr">
        <is>
          <t>North American Free Trade Agreement Negotiations</t>
        </is>
      </c>
      <c r="G1102" t="inlineStr">
        <is>
          <t>Négociations de l’Accord de libre-échange nord-américain</t>
        </is>
      </c>
      <c r="H1102" s="1" t="n">
        <v>43341</v>
      </c>
      <c r="I1102" s="1" t="n">
        <v>43344</v>
      </c>
      <c r="J1102" t="inlineStr">
        <is>
          <t>Washington, United States</t>
        </is>
      </c>
      <c r="K1102" t="inlineStr">
        <is>
          <t>Washington, États-Unis</t>
        </is>
      </c>
      <c r="P1102" t="n">
        <v>1248.79</v>
      </c>
      <c r="Q1102" t="n">
        <v>470.56</v>
      </c>
      <c r="R1102" t="n">
        <v>748.0599999999999</v>
      </c>
      <c r="S1102" t="n">
        <v>605.38</v>
      </c>
      <c r="T1102" t="n">
        <v>4.57</v>
      </c>
      <c r="U1102" t="n">
        <v>3077.36</v>
      </c>
      <c r="X1102" t="inlineStr">
        <is>
          <t>aafc-aac</t>
        </is>
      </c>
      <c r="Y1102" t="inlineStr">
        <is>
          <t>Agriculture and Agri-Food Canada | Agriculture et Agroalimentaire Canada</t>
        </is>
      </c>
      <c r="Z1102" t="n">
        <v>4</v>
      </c>
      <c r="AA1102" t="n">
        <v>3077.36</v>
      </c>
      <c r="AB1102">
        <f>ROUND(U1102-AA1102,2)</f>
        <v/>
      </c>
      <c r="AC1102" t="b">
        <v>0</v>
      </c>
      <c r="AD1102">
        <f>IF(U1102="","MISSING_TOTAL",IF(ABS(AB1102)&lt;=0.01,"OK","CHECK"))</f>
        <v/>
      </c>
      <c r="AE1102">
        <f>IF(U1102="","MISSING",IF(AND(AA1102&gt;0,U1102/AA1102&gt;50),"POSSIBLE_SCALE_ERROR","OK"))</f>
        <v/>
      </c>
    </row>
    <row r="1103">
      <c r="A1103" t="inlineStr">
        <is>
          <t>T-2018-Q2-00076</t>
        </is>
      </c>
      <c r="B1103" t="inlineStr">
        <is>
          <t>SLE</t>
        </is>
      </c>
      <c r="C1103" t="inlineStr">
        <is>
          <t>Acting Assistant Deputy Minister, Public Affairs Branch</t>
        </is>
      </c>
      <c r="D1103" t="inlineStr">
        <is>
          <t>Sous-Ministre adjoint par intérim, Direction générale des affaires publiques</t>
        </is>
      </c>
      <c r="E1103" t="inlineStr">
        <is>
          <t>Steven Jurgutis</t>
        </is>
      </c>
      <c r="F1103" t="inlineStr">
        <is>
          <t>Federal, Provincial and Territorial conference</t>
        </is>
      </c>
      <c r="G1103" t="inlineStr">
        <is>
          <t>Conférence Fédéreau des Ministres, provinciaux et territoriaux</t>
        </is>
      </c>
      <c r="H1103" s="1" t="n">
        <v>43298</v>
      </c>
      <c r="I1103" s="1" t="n">
        <v>43302</v>
      </c>
      <c r="J1103" t="inlineStr">
        <is>
          <t>Vancouver, British-Columbia</t>
        </is>
      </c>
      <c r="K1103" t="inlineStr">
        <is>
          <t>Vancouver, Colombie-Britannique</t>
        </is>
      </c>
      <c r="P1103" t="n">
        <v>829.23</v>
      </c>
      <c r="Q1103" t="n">
        <v>159.75</v>
      </c>
      <c r="R1103" t="n">
        <v>983.49</v>
      </c>
      <c r="S1103" t="n">
        <v>204.15</v>
      </c>
      <c r="T1103" t="n">
        <v>375</v>
      </c>
      <c r="U1103" t="n">
        <v>2551.62</v>
      </c>
      <c r="X1103" t="inlineStr">
        <is>
          <t>aafc-aac</t>
        </is>
      </c>
      <c r="Y1103" t="inlineStr">
        <is>
          <t>Agriculture and Agri-Food Canada | Agriculture et Agroalimentaire Canada</t>
        </is>
      </c>
      <c r="Z1103" t="n">
        <v>5</v>
      </c>
      <c r="AA1103" t="n">
        <v>2551.62</v>
      </c>
      <c r="AB1103">
        <f>ROUND(U1103-AA1103,2)</f>
        <v/>
      </c>
      <c r="AC1103" t="b">
        <v>0</v>
      </c>
      <c r="AD1103">
        <f>IF(U1103="","MISSING_TOTAL",IF(ABS(AB1103)&lt;=0.01,"OK","CHECK"))</f>
        <v/>
      </c>
      <c r="AE1103">
        <f>IF(U1103="","MISSING",IF(AND(AA1103&gt;0,U1103/AA1103&gt;50),"POSSIBLE_SCALE_ERROR","OK"))</f>
        <v/>
      </c>
    </row>
    <row r="1104">
      <c r="A1104" t="inlineStr">
        <is>
          <t>T-2018-Q2-00077</t>
        </is>
      </c>
      <c r="B1104" t="inlineStr">
        <is>
          <t>SLE</t>
        </is>
      </c>
      <c r="C1104" t="inlineStr">
        <is>
          <t>Assistant Deputy Minister, Programs Branch</t>
        </is>
      </c>
      <c r="D1104" t="inlineStr">
        <is>
          <t>Sous Ministre Adjointe, direction générale des programmes</t>
        </is>
      </c>
      <c r="E1104" t="inlineStr">
        <is>
          <t>Jane Taylor</t>
        </is>
      </c>
      <c r="F1104" t="inlineStr">
        <is>
          <t>Winnipeg Regional Visit</t>
        </is>
      </c>
      <c r="G1104" t="inlineStr">
        <is>
          <t>Visite régionale à Winnipeg</t>
        </is>
      </c>
      <c r="H1104" s="1" t="n">
        <v>42891</v>
      </c>
      <c r="I1104" s="1" t="n">
        <v>42893</v>
      </c>
      <c r="J1104" t="inlineStr">
        <is>
          <t>Winnipeg, Manitoba</t>
        </is>
      </c>
      <c r="K1104" t="inlineStr">
        <is>
          <t>Winnipeg, Manitoba</t>
        </is>
      </c>
      <c r="P1104" t="n">
        <v>910.64</v>
      </c>
      <c r="Q1104" t="n">
        <v>71</v>
      </c>
      <c r="R1104" t="n">
        <v>188.02</v>
      </c>
      <c r="S1104" t="n">
        <v>169.55</v>
      </c>
      <c r="T1104" t="n">
        <v>0</v>
      </c>
      <c r="U1104" t="n">
        <v>1339.21</v>
      </c>
      <c r="X1104" t="inlineStr">
        <is>
          <t>aafc-aac</t>
        </is>
      </c>
      <c r="Y1104" t="inlineStr">
        <is>
          <t>Agriculture and Agri-Food Canada | Agriculture et Agroalimentaire Canada</t>
        </is>
      </c>
      <c r="Z1104" t="n">
        <v>3</v>
      </c>
      <c r="AA1104" t="n">
        <v>1339.21</v>
      </c>
      <c r="AB1104">
        <f>ROUND(U1104-AA1104,2)</f>
        <v/>
      </c>
      <c r="AC1104" t="b">
        <v>0</v>
      </c>
      <c r="AD1104">
        <f>IF(U1104="","MISSING_TOTAL",IF(ABS(AB1104)&lt;=0.01,"OK","CHECK"))</f>
        <v/>
      </c>
      <c r="AE1104">
        <f>IF(U1104="","MISSING",IF(AND(AA1104&gt;0,U1104/AA1104&gt;50),"POSSIBLE_SCALE_ERROR","OK"))</f>
        <v/>
      </c>
    </row>
    <row r="1105">
      <c r="A1105" t="inlineStr">
        <is>
          <t>T-2018-Q2-00078</t>
        </is>
      </c>
      <c r="B1105" t="inlineStr">
        <is>
          <t>SLE</t>
        </is>
      </c>
      <c r="C1105" t="inlineStr">
        <is>
          <t>Assistant Deputy Minister, Programs Branch</t>
        </is>
      </c>
      <c r="D1105" t="inlineStr">
        <is>
          <t>Sous Ministre Adjointe, direction générale des programmes</t>
        </is>
      </c>
      <c r="E1105" t="inlineStr">
        <is>
          <t>Jane Taylor</t>
        </is>
      </c>
      <c r="F1105" t="inlineStr">
        <is>
          <t>Minister's  Federal/ Provincial and Territorial (FPT) Meeting</t>
        </is>
      </c>
      <c r="G1105" t="inlineStr">
        <is>
          <t>Réunion fédérale-provinciale et territoriale (FPT) du Ministre</t>
        </is>
      </c>
      <c r="H1105" s="1" t="n">
        <v>42933</v>
      </c>
      <c r="I1105" s="1" t="n">
        <v>42936</v>
      </c>
      <c r="J1105" t="inlineStr">
        <is>
          <t>Vancouver, British-Columbia</t>
        </is>
      </c>
      <c r="K1105" t="inlineStr">
        <is>
          <t>Vancouver, Colombie-Britannique</t>
        </is>
      </c>
      <c r="P1105" t="n">
        <v>928.02</v>
      </c>
      <c r="Q1105" t="n">
        <v>84.04000000000001</v>
      </c>
      <c r="R1105" t="n">
        <v>983.49</v>
      </c>
      <c r="S1105" t="n">
        <v>252.3</v>
      </c>
      <c r="T1105" t="n">
        <v>375</v>
      </c>
      <c r="U1105" t="n">
        <v>2622.85</v>
      </c>
      <c r="X1105" t="inlineStr">
        <is>
          <t>aafc-aac</t>
        </is>
      </c>
      <c r="Y1105" t="inlineStr">
        <is>
          <t>Agriculture and Agri-Food Canada | Agriculture et Agroalimentaire Canada</t>
        </is>
      </c>
      <c r="Z1105" t="n">
        <v>4</v>
      </c>
      <c r="AA1105" t="n">
        <v>2622.85</v>
      </c>
      <c r="AB1105">
        <f>ROUND(U1105-AA1105,2)</f>
        <v/>
      </c>
      <c r="AC1105" t="b">
        <v>0</v>
      </c>
      <c r="AD1105">
        <f>IF(U1105="","MISSING_TOTAL",IF(ABS(AB1105)&lt;=0.01,"OK","CHECK"))</f>
        <v/>
      </c>
      <c r="AE1105">
        <f>IF(U1105="","MISSING",IF(AND(AA1105&gt;0,U1105/AA1105&gt;50),"POSSIBLE_SCALE_ERROR","OK"))</f>
        <v/>
      </c>
    </row>
    <row r="1106">
      <c r="A1106" t="inlineStr">
        <is>
          <t>T-2018-Q3-00007</t>
        </is>
      </c>
      <c r="B1106" t="inlineStr">
        <is>
          <t>MPSES</t>
        </is>
      </c>
      <c r="C1106" t="inlineStr">
        <is>
          <t>Director of Policy</t>
        </is>
      </c>
      <c r="D1106" t="inlineStr">
        <is>
          <t>Directrice de la politique</t>
        </is>
      </c>
      <c r="E1106" t="inlineStr">
        <is>
          <t>Alison Porter</t>
        </is>
      </c>
      <c r="F1106" t="inlineStr">
        <is>
          <t>To accompany the Minister on the Ministerial Mission to China</t>
        </is>
      </c>
      <c r="G1106" t="inlineStr">
        <is>
          <t>Pour accompagner le ministre à la mission ministérielle en Chine.</t>
        </is>
      </c>
      <c r="H1106" s="1" t="n">
        <v>43406</v>
      </c>
      <c r="I1106" s="1" t="n">
        <v>43419</v>
      </c>
      <c r="J1106" t="inlineStr">
        <is>
          <t>Shanghai, China; Qingdao, China; Beijing, China</t>
        </is>
      </c>
      <c r="K1106" t="inlineStr">
        <is>
          <t>Shanghai, Chine; Qingdao, Chine; Beijing, Chine</t>
        </is>
      </c>
      <c r="P1106" t="n">
        <v>7089.58</v>
      </c>
      <c r="Q1106" t="n">
        <v>28.98</v>
      </c>
      <c r="R1106" t="n">
        <v>3662.46</v>
      </c>
      <c r="S1106" t="n">
        <v>1993.16</v>
      </c>
      <c r="T1106" t="n">
        <v>0</v>
      </c>
      <c r="U1106" t="n">
        <v>12774.18</v>
      </c>
      <c r="X1106" t="inlineStr">
        <is>
          <t>aafc-aac</t>
        </is>
      </c>
      <c r="Y1106" t="inlineStr">
        <is>
          <t>Agriculture and Agri-Food Canada | Agriculture et Agroalimentaire Canada</t>
        </is>
      </c>
      <c r="Z1106" t="n">
        <v>14</v>
      </c>
      <c r="AA1106" t="n">
        <v>12774.18</v>
      </c>
      <c r="AB1106">
        <f>ROUND(U1106-AA1106,2)</f>
        <v/>
      </c>
      <c r="AC1106" t="b">
        <v>0</v>
      </c>
      <c r="AD1106">
        <f>IF(U1106="","MISSING_TOTAL",IF(ABS(AB1106)&lt;=0.01,"OK","CHECK"))</f>
        <v/>
      </c>
      <c r="AE1106">
        <f>IF(U1106="","MISSING",IF(AND(AA1106&gt;0,U1106/AA1106&gt;50),"POSSIBLE_SCALE_ERROR","OK"))</f>
        <v/>
      </c>
    </row>
    <row r="1107">
      <c r="A1107" t="inlineStr">
        <is>
          <t>T-2018-Q3-00008</t>
        </is>
      </c>
      <c r="B1107" t="inlineStr">
        <is>
          <t>MPSES</t>
        </is>
      </c>
      <c r="C1107" t="inlineStr">
        <is>
          <t>Special Assistant</t>
        </is>
      </c>
      <c r="D1107" t="inlineStr">
        <is>
          <t>Assistant spécial</t>
        </is>
      </c>
      <c r="E1107" t="inlineStr">
        <is>
          <t>George Summers-Lubar</t>
        </is>
      </c>
      <c r="F1107" t="inlineStr">
        <is>
          <t>To accompany the Minister for announcements and meetings during the Ontario Outreach</t>
        </is>
      </c>
      <c r="G1107" t="inlineStr">
        <is>
          <t>Pour accompagner le ministre pour les annonces et les réunions lors de la campagne de sensibilisation en Ontario</t>
        </is>
      </c>
      <c r="H1107" s="1" t="n">
        <v>43430</v>
      </c>
      <c r="I1107" s="1" t="n">
        <v>43431</v>
      </c>
      <c r="J1107" t="inlineStr">
        <is>
          <t>London, Ontario</t>
        </is>
      </c>
      <c r="K1107" t="inlineStr">
        <is>
          <t>London, Ontario</t>
        </is>
      </c>
      <c r="P1107" t="n">
        <v>651.16</v>
      </c>
      <c r="Q1107" t="n">
        <v>32.94</v>
      </c>
      <c r="R1107" t="n">
        <v>128.1</v>
      </c>
      <c r="S1107" t="n">
        <v>164.8</v>
      </c>
      <c r="T1107" t="n">
        <v>0</v>
      </c>
      <c r="U1107" t="n">
        <v>977</v>
      </c>
      <c r="X1107" t="inlineStr">
        <is>
          <t>aafc-aac</t>
        </is>
      </c>
      <c r="Y1107" t="inlineStr">
        <is>
          <t>Agriculture and Agri-Food Canada | Agriculture et Agroalimentaire Canada</t>
        </is>
      </c>
      <c r="Z1107" t="n">
        <v>2</v>
      </c>
      <c r="AA1107" t="n">
        <v>977</v>
      </c>
      <c r="AB1107">
        <f>ROUND(U1107-AA1107,2)</f>
        <v/>
      </c>
      <c r="AC1107" t="b">
        <v>0</v>
      </c>
      <c r="AD1107">
        <f>IF(U1107="","MISSING_TOTAL",IF(ABS(AB1107)&lt;=0.01,"OK","CHECK"))</f>
        <v/>
      </c>
      <c r="AE1107">
        <f>IF(U1107="","MISSING",IF(AND(AA1107&gt;0,U1107/AA1107&gt;50),"POSSIBLE_SCALE_ERROR","OK"))</f>
        <v/>
      </c>
    </row>
    <row r="1108">
      <c r="A1108" t="inlineStr">
        <is>
          <t>T-2018-Q3-00009</t>
        </is>
      </c>
      <c r="B1108" t="inlineStr">
        <is>
          <t>MPSES</t>
        </is>
      </c>
      <c r="C1108" t="inlineStr">
        <is>
          <t>Director of Communications</t>
        </is>
      </c>
      <c r="D1108" t="inlineStr">
        <is>
          <t>Directrice des communications</t>
        </is>
      </c>
      <c r="E1108" t="inlineStr">
        <is>
          <t>Katie Hawkins</t>
        </is>
      </c>
      <c r="F1108" t="inlineStr">
        <is>
          <t>To accompany the Minister to an announcement, a round-table with stakeholders and to various meetings</t>
        </is>
      </c>
      <c r="G1108" t="inlineStr">
        <is>
          <t>Pour accompagner le ministre à l'annonce, la table ronde avec les parties pertinantes et divers réunions</t>
        </is>
      </c>
      <c r="H1108" s="1" t="n">
        <v>43354</v>
      </c>
      <c r="I1108" s="1" t="n">
        <v>43356</v>
      </c>
      <c r="J1108" t="inlineStr">
        <is>
          <t>Saskatoon, Saskatchewan</t>
        </is>
      </c>
      <c r="K1108" t="inlineStr">
        <is>
          <t>Saskatoon, Saskatchewan</t>
        </is>
      </c>
      <c r="P1108" t="n">
        <v>1230.07</v>
      </c>
      <c r="Q1108" t="n">
        <v>50.61</v>
      </c>
      <c r="R1108" t="n">
        <v>329.28</v>
      </c>
      <c r="S1108" t="n">
        <v>312.3</v>
      </c>
      <c r="T1108" t="n">
        <v>0</v>
      </c>
      <c r="U1108" t="n">
        <v>1922.26</v>
      </c>
      <c r="X1108" t="inlineStr">
        <is>
          <t>aafc-aac</t>
        </is>
      </c>
      <c r="Y1108" t="inlineStr">
        <is>
          <t>Agriculture and Agri-Food Canada | Agriculture et Agroalimentaire Canada</t>
        </is>
      </c>
      <c r="Z1108" t="n">
        <v>3</v>
      </c>
      <c r="AA1108" t="n">
        <v>1922.25999999999</v>
      </c>
      <c r="AB1108">
        <f>ROUND(U1108-AA1108,2)</f>
        <v/>
      </c>
      <c r="AC1108" t="b">
        <v>0</v>
      </c>
      <c r="AD1108">
        <f>IF(U1108="","MISSING_TOTAL",IF(ABS(AB1108)&lt;=0.01,"OK","CHECK"))</f>
        <v/>
      </c>
      <c r="AE1108">
        <f>IF(U1108="","MISSING",IF(AND(AA1108&gt;0,U1108/AA1108&gt;50),"POSSIBLE_SCALE_ERROR","OK"))</f>
        <v/>
      </c>
    </row>
    <row r="1109">
      <c r="A1109" t="inlineStr">
        <is>
          <t>T-2018-Q3-00010</t>
        </is>
      </c>
      <c r="B1109" t="inlineStr">
        <is>
          <t>MPSES</t>
        </is>
      </c>
      <c r="C1109" t="inlineStr">
        <is>
          <t>Director of Communications</t>
        </is>
      </c>
      <c r="D1109" t="inlineStr">
        <is>
          <t>Directrice des communications</t>
        </is>
      </c>
      <c r="E1109" t="inlineStr">
        <is>
          <t>Katie Hawkins</t>
        </is>
      </c>
      <c r="F1109" t="inlineStr">
        <is>
          <t>To accompany the Minister to the Ontario Outreach</t>
        </is>
      </c>
      <c r="G1109" t="inlineStr">
        <is>
          <t>Pour accompagner le ministre  lors de la campagne de sensibilisation en Ontario</t>
        </is>
      </c>
      <c r="H1109" s="1" t="n">
        <v>43362</v>
      </c>
      <c r="I1109" s="1" t="n">
        <v>43364</v>
      </c>
      <c r="J1109" t="inlineStr">
        <is>
          <t>Chatham, Ontario</t>
        </is>
      </c>
      <c r="K1109" t="inlineStr">
        <is>
          <t>Chatham, Ontario</t>
        </is>
      </c>
      <c r="P1109" t="n">
        <v>1070.39</v>
      </c>
      <c r="Q1109" t="n">
        <v>96.90000000000001</v>
      </c>
      <c r="R1109" t="n">
        <v>293.78</v>
      </c>
      <c r="S1109" t="n">
        <v>234.75</v>
      </c>
      <c r="T1109" t="n">
        <v>0</v>
      </c>
      <c r="U1109" t="n">
        <v>1695.82</v>
      </c>
      <c r="X1109" t="inlineStr">
        <is>
          <t>aafc-aac</t>
        </is>
      </c>
      <c r="Y1109" t="inlineStr">
        <is>
          <t>Agriculture and Agri-Food Canada | Agriculture et Agroalimentaire Canada</t>
        </is>
      </c>
      <c r="Z1109" t="n">
        <v>3</v>
      </c>
      <c r="AA1109" t="n">
        <v>1695.82</v>
      </c>
      <c r="AB1109">
        <f>ROUND(U1109-AA1109,2)</f>
        <v/>
      </c>
      <c r="AC1109" t="b">
        <v>0</v>
      </c>
      <c r="AD1109">
        <f>IF(U1109="","MISSING_TOTAL",IF(ABS(AB1109)&lt;=0.01,"OK","CHECK"))</f>
        <v/>
      </c>
      <c r="AE1109">
        <f>IF(U1109="","MISSING",IF(AND(AA1109&gt;0,U1109/AA1109&gt;50),"POSSIBLE_SCALE_ERROR","OK"))</f>
        <v/>
      </c>
    </row>
    <row r="1110">
      <c r="A1110" t="inlineStr">
        <is>
          <t>T-2018-Q3-00011</t>
        </is>
      </c>
      <c r="B1110" t="inlineStr">
        <is>
          <t>MPSES</t>
        </is>
      </c>
      <c r="C1110" t="inlineStr">
        <is>
          <t>Director of Parliamentary Affairs</t>
        </is>
      </c>
      <c r="D1110" t="inlineStr">
        <is>
          <t>Directeur des affaires parlementaires</t>
        </is>
      </c>
      <c r="E1110" t="inlineStr">
        <is>
          <t>Matthew Mann</t>
        </is>
      </c>
      <c r="F1110" t="inlineStr">
        <is>
          <t>To accompany the minister to high-level meetings with European Union Commissioners and representatives of the European Union members states; and trade promotion activities</t>
        </is>
      </c>
      <c r="G1110" t="inlineStr">
        <is>
          <t>Pour accompagner le ministre aux réunions de haut niveau avec les commissaires de l'Union européenne et les représentants d'États membres de l'Union européenne; et des activités de promotion commerciale</t>
        </is>
      </c>
      <c r="H1110" s="1" t="n">
        <v>43378</v>
      </c>
      <c r="I1110" s="1" t="n">
        <v>43385</v>
      </c>
      <c r="J1110" t="inlineStr">
        <is>
          <t>Madrid, Spain; Brussels, Belgium; Rome, Italy</t>
        </is>
      </c>
      <c r="K1110" t="inlineStr">
        <is>
          <t>Madrid, Espagne; Bruxelles, Belgique; Rome, Italie</t>
        </is>
      </c>
      <c r="P1110" t="n">
        <v>6546.64</v>
      </c>
      <c r="Q1110" t="n">
        <v>192.57</v>
      </c>
      <c r="R1110" t="n">
        <v>2088.83</v>
      </c>
      <c r="S1110" t="n">
        <v>996.45</v>
      </c>
      <c r="T1110" t="n">
        <v>0</v>
      </c>
      <c r="U1110" t="n">
        <v>9824.49</v>
      </c>
      <c r="X1110" t="inlineStr">
        <is>
          <t>aafc-aac</t>
        </is>
      </c>
      <c r="Y1110" t="inlineStr">
        <is>
          <t>Agriculture and Agri-Food Canada | Agriculture et Agroalimentaire Canada</t>
        </is>
      </c>
      <c r="Z1110" t="n">
        <v>8</v>
      </c>
      <c r="AA1110" t="n">
        <v>9824.49</v>
      </c>
      <c r="AB1110">
        <f>ROUND(U1110-AA1110,2)</f>
        <v/>
      </c>
      <c r="AC1110" t="b">
        <v>0</v>
      </c>
      <c r="AD1110">
        <f>IF(U1110="","MISSING_TOTAL",IF(ABS(AB1110)&lt;=0.01,"OK","CHECK"))</f>
        <v/>
      </c>
      <c r="AE1110">
        <f>IF(U1110="","MISSING",IF(AND(AA1110&gt;0,U1110/AA1110&gt;50),"POSSIBLE_SCALE_ERROR","OK"))</f>
        <v/>
      </c>
    </row>
    <row r="1111">
      <c r="A1111" t="inlineStr">
        <is>
          <t>T-2018-Q3-00012</t>
        </is>
      </c>
      <c r="B1111" t="inlineStr">
        <is>
          <t>MPSES</t>
        </is>
      </c>
      <c r="C1111" t="inlineStr">
        <is>
          <t>Parliamentary Secretary Assistant</t>
        </is>
      </c>
      <c r="D1111" t="inlineStr">
        <is>
          <t>Adjoint du Secrétaire parlementaire</t>
        </is>
      </c>
      <c r="E1111" t="inlineStr">
        <is>
          <t>Michel-Antoine Renaud</t>
        </is>
      </c>
      <c r="F1111" t="inlineStr">
        <is>
          <t>To accompany the Parliamentary Secretary to a meeting with the Prime Minister, the Union des producteurs agricoles and Dairy Farmers of Canada</t>
        </is>
      </c>
      <c r="G1111" t="inlineStr">
        <is>
          <t>Pour accompagner le Secrétaire parlementaire à une réunion avec le Premier ministre, l’Union des producteurs agricoles et les Producteurs de lait du Canada</t>
        </is>
      </c>
      <c r="H1111" s="1" t="n">
        <v>43376</v>
      </c>
      <c r="I1111" s="1" t="n">
        <v>43377</v>
      </c>
      <c r="J1111" t="inlineStr">
        <is>
          <t>Montreal, Quebec</t>
        </is>
      </c>
      <c r="K1111" t="inlineStr">
        <is>
          <t>Montréal, Québec</t>
        </is>
      </c>
      <c r="P1111" t="n">
        <v>0</v>
      </c>
      <c r="Q1111" t="n">
        <v>236.34</v>
      </c>
      <c r="R1111" t="n">
        <v>192.06</v>
      </c>
      <c r="S1111" t="n">
        <v>107.4</v>
      </c>
      <c r="T1111" t="n">
        <v>0</v>
      </c>
      <c r="U1111" t="n">
        <v>535.8</v>
      </c>
      <c r="X1111" t="inlineStr">
        <is>
          <t>aafc-aac</t>
        </is>
      </c>
      <c r="Y1111" t="inlineStr">
        <is>
          <t>Agriculture and Agri-Food Canada | Agriculture et Agroalimentaire Canada</t>
        </is>
      </c>
      <c r="Z1111" t="n">
        <v>2</v>
      </c>
      <c r="AA1111" t="n">
        <v>535.8</v>
      </c>
      <c r="AB1111">
        <f>ROUND(U1111-AA1111,2)</f>
        <v/>
      </c>
      <c r="AC1111" t="b">
        <v>0</v>
      </c>
      <c r="AD1111">
        <f>IF(U1111="","MISSING_TOTAL",IF(ABS(AB1111)&lt;=0.01,"OK","CHECK"))</f>
        <v/>
      </c>
      <c r="AE1111">
        <f>IF(U1111="","MISSING",IF(AND(AA1111&gt;0,U1111/AA1111&gt;50),"POSSIBLE_SCALE_ERROR","OK"))</f>
        <v/>
      </c>
    </row>
    <row r="1112">
      <c r="A1112" t="inlineStr">
        <is>
          <t>T-2018-Q3-00019</t>
        </is>
      </c>
      <c r="B1112" t="inlineStr">
        <is>
          <t>MPSES</t>
        </is>
      </c>
      <c r="C1112" t="inlineStr">
        <is>
          <t>Student</t>
        </is>
      </c>
      <c r="D1112" t="inlineStr">
        <is>
          <t>Étudiant</t>
        </is>
      </c>
      <c r="E1112" t="inlineStr">
        <is>
          <t>Nick McRoberts</t>
        </is>
      </c>
      <c r="F1112" t="inlineStr">
        <is>
          <t>To accompany the Minister for announcements and meetings</t>
        </is>
      </c>
      <c r="G1112" t="inlineStr">
        <is>
          <t>Pour accompagner le ministre pour les annonces et les réunions</t>
        </is>
      </c>
      <c r="H1112" s="1" t="n">
        <v>43433</v>
      </c>
      <c r="I1112" s="1" t="n">
        <v>43436</v>
      </c>
      <c r="J1112" t="inlineStr">
        <is>
          <t>Charlottetown, Prince Edward Island</t>
        </is>
      </c>
      <c r="K1112" t="inlineStr">
        <is>
          <t>Charottetown, Île-du-Prince-Édouard</t>
        </is>
      </c>
      <c r="P1112" t="n">
        <v>889.99</v>
      </c>
      <c r="Q1112" t="n">
        <v>0</v>
      </c>
      <c r="R1112" t="n">
        <v>0</v>
      </c>
      <c r="S1112" t="n">
        <v>174.7</v>
      </c>
      <c r="T1112" t="n">
        <v>0</v>
      </c>
      <c r="U1112" t="n">
        <v>1064.69</v>
      </c>
      <c r="X1112" t="inlineStr">
        <is>
          <t>aafc-aac</t>
        </is>
      </c>
      <c r="Y1112" t="inlineStr">
        <is>
          <t>Agriculture and Agri-Food Canada | Agriculture et Agroalimentaire Canada</t>
        </is>
      </c>
      <c r="Z1112" t="n">
        <v>4</v>
      </c>
      <c r="AA1112" t="n">
        <v>1064.69</v>
      </c>
      <c r="AB1112">
        <f>ROUND(U1112-AA1112,2)</f>
        <v/>
      </c>
      <c r="AC1112" t="b">
        <v>0</v>
      </c>
      <c r="AD1112">
        <f>IF(U1112="","MISSING_TOTAL",IF(ABS(AB1112)&lt;=0.01,"OK","CHECK"))</f>
        <v/>
      </c>
      <c r="AE1112">
        <f>IF(U1112="","MISSING",IF(AND(AA1112&gt;0,U1112/AA1112&gt;50),"POSSIBLE_SCALE_ERROR","OK"))</f>
        <v/>
      </c>
    </row>
    <row r="1113">
      <c r="A1113" t="inlineStr">
        <is>
          <t>T-2018-Q3-00013</t>
        </is>
      </c>
      <c r="B1113" t="inlineStr">
        <is>
          <t>MPSES</t>
        </is>
      </c>
      <c r="C1113" t="inlineStr">
        <is>
          <t>Parliamentary Secretary Assistant</t>
        </is>
      </c>
      <c r="D1113" t="inlineStr">
        <is>
          <t>Adjoint du Secrétaire parlementaire</t>
        </is>
      </c>
      <c r="E1113" t="inlineStr">
        <is>
          <t>Michel-Antoine Renaud</t>
        </is>
      </c>
      <c r="F1113" t="inlineStr">
        <is>
          <t>To accompany the Parliamentary Secretary to an announcement and reception of the Organic Cluster at the Victoriaville College</t>
        </is>
      </c>
      <c r="G1113" t="inlineStr">
        <is>
          <t>Pour accompagner le Secrétaire parlementaire à une annonce et réception de les groupes du secteur organique au Cégep de Victoriaville</t>
        </is>
      </c>
      <c r="H1113" s="1" t="n">
        <v>43384</v>
      </c>
      <c r="I1113" s="1" t="n">
        <v>43384</v>
      </c>
      <c r="J1113" t="inlineStr">
        <is>
          <t>Victoriaville, Quebec</t>
        </is>
      </c>
      <c r="K1113" t="inlineStr">
        <is>
          <t>Victoriaville, Québec</t>
        </is>
      </c>
      <c r="P1113" t="n">
        <v>0</v>
      </c>
      <c r="Q1113" t="n">
        <v>425.63</v>
      </c>
      <c r="R1113" t="n">
        <v>0</v>
      </c>
      <c r="S1113" t="n">
        <v>19.85</v>
      </c>
      <c r="T1113" t="n">
        <v>0</v>
      </c>
      <c r="U1113" t="n">
        <v>445.48</v>
      </c>
      <c r="X1113" t="inlineStr">
        <is>
          <t>aafc-aac</t>
        </is>
      </c>
      <c r="Y1113" t="inlineStr">
        <is>
          <t>Agriculture and Agri-Food Canada | Agriculture et Agroalimentaire Canada</t>
        </is>
      </c>
      <c r="Z1113" t="n">
        <v>1</v>
      </c>
      <c r="AA1113" t="n">
        <v>445.48</v>
      </c>
      <c r="AB1113">
        <f>ROUND(U1113-AA1113,2)</f>
        <v/>
      </c>
      <c r="AC1113" t="b">
        <v>0</v>
      </c>
      <c r="AD1113">
        <f>IF(U1113="","MISSING_TOTAL",IF(ABS(AB1113)&lt;=0.01,"OK","CHECK"))</f>
        <v/>
      </c>
      <c r="AE1113">
        <f>IF(U1113="","MISSING",IF(AND(AA1113&gt;0,U1113/AA1113&gt;50),"POSSIBLE_SCALE_ERROR","OK"))</f>
        <v/>
      </c>
    </row>
    <row r="1114">
      <c r="A1114" t="inlineStr">
        <is>
          <t>T-2018-Q3-00014</t>
        </is>
      </c>
      <c r="B1114" t="inlineStr">
        <is>
          <t>MPSES</t>
        </is>
      </c>
      <c r="C1114" t="inlineStr">
        <is>
          <t>Parliamentary Secretary Assistant</t>
        </is>
      </c>
      <c r="D1114" t="inlineStr">
        <is>
          <t>Adjoint du Secrétaire parlementaire</t>
        </is>
      </c>
      <c r="E1114" t="inlineStr">
        <is>
          <t>Michel-Antoine Renaud</t>
        </is>
      </c>
      <c r="F1114" t="inlineStr">
        <is>
          <t>To accompany the Parliamentary Secretary to visit the Chinese Minister of Agriculture in Montreal. To visit the Olymel plant in Saint-Esprit, Quebec and Prograin in Saint-Cesaire, Quebec</t>
        </is>
      </c>
      <c r="G1114" t="inlineStr">
        <is>
          <t>Pour accompagner le Secrétaire parlementaire à visiter le ministre chinois de l'Agriculture à Montréal et visiter l’installation Olymel à Saint-Esprit, Québec et Prograin à Saint-Césaire, Québec</t>
        </is>
      </c>
      <c r="H1114" s="1" t="n">
        <v>43388</v>
      </c>
      <c r="I1114" s="1" t="n">
        <v>43389</v>
      </c>
      <c r="J1114" t="inlineStr">
        <is>
          <t>Montreal, Quebec; Saint-Esprit, Quebec; Saint-Cesaire, Quebec</t>
        </is>
      </c>
      <c r="K1114" t="inlineStr">
        <is>
          <t>Montréal, Québec; Saint-Esprit, Québec; Saint-Césaire, Québec</t>
        </is>
      </c>
      <c r="P1114" t="n">
        <v>0</v>
      </c>
      <c r="Q1114" t="n">
        <v>340.52</v>
      </c>
      <c r="R1114" t="n">
        <v>172.55</v>
      </c>
      <c r="S1114" t="n">
        <v>107.4</v>
      </c>
      <c r="T1114" t="n">
        <v>0</v>
      </c>
      <c r="U1114" t="n">
        <v>620.47</v>
      </c>
      <c r="X1114" t="inlineStr">
        <is>
          <t>aafc-aac</t>
        </is>
      </c>
      <c r="Y1114" t="inlineStr">
        <is>
          <t>Agriculture and Agri-Food Canada | Agriculture et Agroalimentaire Canada</t>
        </is>
      </c>
      <c r="Z1114" t="n">
        <v>2</v>
      </c>
      <c r="AA1114" t="n">
        <v>620.469999999999</v>
      </c>
      <c r="AB1114">
        <f>ROUND(U1114-AA1114,2)</f>
        <v/>
      </c>
      <c r="AC1114" t="b">
        <v>0</v>
      </c>
      <c r="AD1114">
        <f>IF(U1114="","MISSING_TOTAL",IF(ABS(AB1114)&lt;=0.01,"OK","CHECK"))</f>
        <v/>
      </c>
      <c r="AE1114">
        <f>IF(U1114="","MISSING",IF(AND(AA1114&gt;0,U1114/AA1114&gt;50),"POSSIBLE_SCALE_ERROR","OK"))</f>
        <v/>
      </c>
    </row>
    <row r="1115">
      <c r="A1115" t="inlineStr">
        <is>
          <t>T-2018-Q3-00015</t>
        </is>
      </c>
      <c r="B1115" t="inlineStr">
        <is>
          <t>MPSES</t>
        </is>
      </c>
      <c r="C1115" t="inlineStr">
        <is>
          <t>Parliamentary Secretary Assistant</t>
        </is>
      </c>
      <c r="D1115" t="inlineStr">
        <is>
          <t>Adjoint du Secrétaire parlementaire</t>
        </is>
      </c>
      <c r="E1115" t="inlineStr">
        <is>
          <t>Michel-Antoine Renaud</t>
        </is>
      </c>
      <c r="F1115" t="inlineStr">
        <is>
          <t>To accompany the Parliamentary Secretary to the Food Secure – Reset the Table assembly</t>
        </is>
      </c>
      <c r="G1115" t="inlineStr">
        <is>
          <t>Pour accompagner le Secrétaire parlementaire à l’assemblée Tablée des idées du Réseau pour une alimentation durable</t>
        </is>
      </c>
      <c r="H1115" s="1" t="n">
        <v>43406</v>
      </c>
      <c r="I1115" s="1" t="n">
        <v>43407</v>
      </c>
      <c r="J1115" t="inlineStr">
        <is>
          <t>Montreal, Quebec</t>
        </is>
      </c>
      <c r="K1115" t="inlineStr">
        <is>
          <t>Montréal, Québec</t>
        </is>
      </c>
      <c r="P1115" t="n">
        <v>0</v>
      </c>
      <c r="Q1115" t="n">
        <v>93.33</v>
      </c>
      <c r="R1115" t="n">
        <v>0</v>
      </c>
      <c r="S1115" t="n">
        <v>69.84999999999999</v>
      </c>
      <c r="T1115" t="n">
        <v>0</v>
      </c>
      <c r="U1115" t="n">
        <v>163.18</v>
      </c>
      <c r="X1115" t="inlineStr">
        <is>
          <t>aafc-aac</t>
        </is>
      </c>
      <c r="Y1115" t="inlineStr">
        <is>
          <t>Agriculture and Agri-Food Canada | Agriculture et Agroalimentaire Canada</t>
        </is>
      </c>
      <c r="Z1115" t="n">
        <v>2</v>
      </c>
      <c r="AA1115" t="n">
        <v>163.18</v>
      </c>
      <c r="AB1115">
        <f>ROUND(U1115-AA1115,2)</f>
        <v/>
      </c>
      <c r="AC1115" t="b">
        <v>0</v>
      </c>
      <c r="AD1115">
        <f>IF(U1115="","MISSING_TOTAL",IF(ABS(AB1115)&lt;=0.01,"OK","CHECK"))</f>
        <v/>
      </c>
      <c r="AE1115">
        <f>IF(U1115="","MISSING",IF(AND(AA1115&gt;0,U1115/AA1115&gt;50),"POSSIBLE_SCALE_ERROR","OK"))</f>
        <v/>
      </c>
    </row>
    <row r="1116">
      <c r="A1116" t="inlineStr">
        <is>
          <t>T-2018-Q3-00016</t>
        </is>
      </c>
      <c r="B1116" t="inlineStr">
        <is>
          <t>MPSES</t>
        </is>
      </c>
      <c r="C1116" t="inlineStr">
        <is>
          <t>Parliamentary Secretary Assistant</t>
        </is>
      </c>
      <c r="D1116" t="inlineStr">
        <is>
          <t>Adjoint du Secrétaire parlementaire</t>
        </is>
      </c>
      <c r="E1116" t="inlineStr">
        <is>
          <t>Michel-Antoine Renaud</t>
        </is>
      </c>
      <c r="F1116" t="inlineStr">
        <is>
          <t>To accompany the Parliamentary Secretary to dairy meetings and Dairy Farm Investment Program announcements</t>
        </is>
      </c>
      <c r="G1116" t="inlineStr">
        <is>
          <t>Pour accompagner le Secrétaire parlementaire à des réunions de laiterie et des annonces du Programme d'investissement pour fermes laitières</t>
        </is>
      </c>
      <c r="H1116" s="1" t="n">
        <v>43415</v>
      </c>
      <c r="I1116" s="1" t="n">
        <v>43417</v>
      </c>
      <c r="J1116" t="inlineStr">
        <is>
          <t>Brome-Missisquoi, Quebec</t>
        </is>
      </c>
      <c r="K1116" t="inlineStr">
        <is>
          <t>Brome-Missisquoi, Québec</t>
        </is>
      </c>
      <c r="P1116" t="n">
        <v>0</v>
      </c>
      <c r="Q1116" t="n">
        <v>171.41</v>
      </c>
      <c r="R1116" t="n">
        <v>0</v>
      </c>
      <c r="S1116" t="n">
        <v>90.09999999999999</v>
      </c>
      <c r="U1116" t="n">
        <v>261.51</v>
      </c>
      <c r="X1116" t="inlineStr">
        <is>
          <t>aafc-aac</t>
        </is>
      </c>
      <c r="Y1116" t="inlineStr">
        <is>
          <t>Agriculture and Agri-Food Canada | Agriculture et Agroalimentaire Canada</t>
        </is>
      </c>
      <c r="Z1116" t="n">
        <v>3</v>
      </c>
      <c r="AA1116" t="n">
        <v>261.51</v>
      </c>
      <c r="AB1116">
        <f>ROUND(U1116-AA1116,2)</f>
        <v/>
      </c>
      <c r="AC1116" t="b">
        <v>0</v>
      </c>
      <c r="AD1116">
        <f>IF(U1116="","MISSING_TOTAL",IF(ABS(AB1116)&lt;=0.01,"OK","CHECK"))</f>
        <v/>
      </c>
      <c r="AE1116">
        <f>IF(U1116="","MISSING",IF(AND(AA1116&gt;0,U1116/AA1116&gt;50),"POSSIBLE_SCALE_ERROR","OK"))</f>
        <v/>
      </c>
    </row>
    <row r="1117">
      <c r="A1117" t="inlineStr">
        <is>
          <t>T-2018-Q3-00017</t>
        </is>
      </c>
      <c r="B1117" t="inlineStr">
        <is>
          <t>MPSES</t>
        </is>
      </c>
      <c r="C1117" t="inlineStr">
        <is>
          <t>Parliamentary Secretary Assistant</t>
        </is>
      </c>
      <c r="D1117" t="inlineStr">
        <is>
          <t>Adjoint du Secrétaire parlementaire</t>
        </is>
      </c>
      <c r="E1117" t="inlineStr">
        <is>
          <t>Michel-Antoine Renaud</t>
        </is>
      </c>
      <c r="F1117" t="inlineStr">
        <is>
          <t>To accompany the Parliamentary Secretary to Expo-FIHOQ in Drummondville for Ornamental Horticulture Cluster announcements</t>
        </is>
      </c>
      <c r="G1117" t="inlineStr">
        <is>
          <t>Pour accompagner le Secrétaire parlementaire à l'Expo-FIHOQ à Drummondville pour des annonces pour les groupes du secteur de l'horticulture ornementale</t>
        </is>
      </c>
      <c r="H1117" s="1" t="n">
        <v>43419</v>
      </c>
      <c r="I1117" s="1" t="n">
        <v>43420</v>
      </c>
      <c r="J1117" t="inlineStr">
        <is>
          <t>Drummondville, Quebec</t>
        </is>
      </c>
      <c r="K1117" t="inlineStr">
        <is>
          <t>Drummondville, Québec</t>
        </is>
      </c>
      <c r="P1117" t="n">
        <v>0</v>
      </c>
      <c r="Q1117" t="n">
        <v>141.95</v>
      </c>
      <c r="R1117" t="n">
        <v>118.99</v>
      </c>
      <c r="S1117" t="n">
        <v>117.3</v>
      </c>
      <c r="T1117" t="n">
        <v>0</v>
      </c>
      <c r="U1117" t="n">
        <v>378.24</v>
      </c>
      <c r="X1117" t="inlineStr">
        <is>
          <t>aafc-aac</t>
        </is>
      </c>
      <c r="Y1117" t="inlineStr">
        <is>
          <t>Agriculture and Agri-Food Canada | Agriculture et Agroalimentaire Canada</t>
        </is>
      </c>
      <c r="Z1117" t="n">
        <v>2</v>
      </c>
      <c r="AA1117" t="n">
        <v>378.24</v>
      </c>
      <c r="AB1117">
        <f>ROUND(U1117-AA1117,2)</f>
        <v/>
      </c>
      <c r="AC1117" t="b">
        <v>0</v>
      </c>
      <c r="AD1117">
        <f>IF(U1117="","MISSING_TOTAL",IF(ABS(AB1117)&lt;=0.01,"OK","CHECK"))</f>
        <v/>
      </c>
      <c r="AE1117">
        <f>IF(U1117="","MISSING",IF(AND(AA1117&gt;0,U1117/AA1117&gt;50),"POSSIBLE_SCALE_ERROR","OK"))</f>
        <v/>
      </c>
    </row>
    <row r="1118">
      <c r="A1118" t="inlineStr">
        <is>
          <t>T-2018-Q3-00018</t>
        </is>
      </c>
      <c r="B1118" t="inlineStr">
        <is>
          <t>MPSES</t>
        </is>
      </c>
      <c r="C1118" t="inlineStr">
        <is>
          <t>Student</t>
        </is>
      </c>
      <c r="D1118" t="inlineStr">
        <is>
          <t>Étudiant</t>
        </is>
      </c>
      <c r="E1118" t="inlineStr">
        <is>
          <t>Nick McRoberts</t>
        </is>
      </c>
      <c r="F1118" t="inlineStr">
        <is>
          <t>To support the Minister for announcements and meetings</t>
        </is>
      </c>
      <c r="G1118" t="inlineStr">
        <is>
          <t>Pour soutenir le ministre pour les annonces et les réunions</t>
        </is>
      </c>
      <c r="H1118" s="1" t="n">
        <v>43377</v>
      </c>
      <c r="I1118" s="1" t="n">
        <v>43378</v>
      </c>
      <c r="J1118" t="inlineStr">
        <is>
          <t>Charlottetown, Prince Edward Island</t>
        </is>
      </c>
      <c r="K1118" t="inlineStr">
        <is>
          <t>Charottetown, Île-du-Prince-Édouard</t>
        </is>
      </c>
      <c r="P1118" t="n">
        <v>1012.03</v>
      </c>
      <c r="Q1118" t="n">
        <v>0</v>
      </c>
      <c r="R1118" t="n">
        <v>0</v>
      </c>
      <c r="S1118" t="n">
        <v>124.7</v>
      </c>
      <c r="T1118" t="n">
        <v>0</v>
      </c>
      <c r="U1118" t="n">
        <v>1136.73</v>
      </c>
      <c r="X1118" t="inlineStr">
        <is>
          <t>aafc-aac</t>
        </is>
      </c>
      <c r="Y1118" t="inlineStr">
        <is>
          <t>Agriculture and Agri-Food Canada | Agriculture et Agroalimentaire Canada</t>
        </is>
      </c>
      <c r="Z1118" t="n">
        <v>2</v>
      </c>
      <c r="AA1118" t="n">
        <v>1136.73</v>
      </c>
      <c r="AB1118">
        <f>ROUND(U1118-AA1118,2)</f>
        <v/>
      </c>
      <c r="AC1118" t="b">
        <v>0</v>
      </c>
      <c r="AD1118">
        <f>IF(U1118="","MISSING_TOTAL",IF(ABS(AB1118)&lt;=0.01,"OK","CHECK"))</f>
        <v/>
      </c>
      <c r="AE1118">
        <f>IF(U1118="","MISSING",IF(AND(AA1118&gt;0,U1118/AA1118&gt;50),"POSSIBLE_SCALE_ERROR","OK"))</f>
        <v/>
      </c>
    </row>
    <row r="1119">
      <c r="A1119" t="inlineStr">
        <is>
          <t>T-2018-Q3-00035</t>
        </is>
      </c>
      <c r="B1119" t="inlineStr">
        <is>
          <t>MPSES</t>
        </is>
      </c>
      <c r="C1119" t="inlineStr">
        <is>
          <t>Minister</t>
        </is>
      </c>
      <c r="D1119" t="inlineStr">
        <is>
          <t>Ministre</t>
        </is>
      </c>
      <c r="E1119" t="inlineStr">
        <is>
          <t>Lawrence MacAulay</t>
        </is>
      </c>
      <c r="F1119" t="inlineStr">
        <is>
          <t>To attend the Ministerial Mission to China</t>
        </is>
      </c>
      <c r="G1119" t="inlineStr">
        <is>
          <t>Assister à la mission ministérielle en Chine</t>
        </is>
      </c>
      <c r="H1119" s="1" t="n">
        <v>43406</v>
      </c>
      <c r="I1119" s="1" t="n">
        <v>43419</v>
      </c>
      <c r="J1119" t="inlineStr">
        <is>
          <t>Shanghai, China; Qingdao, China; Beijing, China</t>
        </is>
      </c>
      <c r="K1119" t="inlineStr">
        <is>
          <t>Shanghai, Chine; Qingdao, Chine; Beijing, Chine</t>
        </is>
      </c>
      <c r="P1119" t="n">
        <v>12693.6</v>
      </c>
      <c r="Q1119" t="n">
        <v>0</v>
      </c>
      <c r="R1119" t="n">
        <v>3662.46</v>
      </c>
      <c r="S1119" t="n">
        <v>1797.26</v>
      </c>
      <c r="U1119" t="n">
        <v>18153.32</v>
      </c>
      <c r="X1119" t="inlineStr">
        <is>
          <t>aafc-aac</t>
        </is>
      </c>
      <c r="Y1119" t="inlineStr">
        <is>
          <t>Agriculture and Agri-Food Canada | Agriculture et Agroalimentaire Canada</t>
        </is>
      </c>
      <c r="Z1119" t="n">
        <v>14</v>
      </c>
      <c r="AA1119" t="n">
        <v>18153.32</v>
      </c>
      <c r="AB1119">
        <f>ROUND(U1119-AA1119,2)</f>
        <v/>
      </c>
      <c r="AC1119" t="b">
        <v>0</v>
      </c>
      <c r="AD1119">
        <f>IF(U1119="","MISSING_TOTAL",IF(ABS(AB1119)&lt;=0.01,"OK","CHECK"))</f>
        <v/>
      </c>
      <c r="AE1119">
        <f>IF(U1119="","MISSING",IF(AND(AA1119&gt;0,U1119/AA1119&gt;50),"POSSIBLE_SCALE_ERROR","OK"))</f>
        <v/>
      </c>
    </row>
    <row r="1120">
      <c r="A1120" t="inlineStr">
        <is>
          <t>T-2018-Q3-00021</t>
        </is>
      </c>
      <c r="B1120" t="inlineStr">
        <is>
          <t>MPSES</t>
        </is>
      </c>
      <c r="C1120" t="inlineStr">
        <is>
          <t>Communications Advisor</t>
        </is>
      </c>
      <c r="D1120" t="inlineStr">
        <is>
          <t>Conseiller en communications</t>
        </is>
      </c>
      <c r="E1120" t="inlineStr">
        <is>
          <t>Oliver Anderson</t>
        </is>
      </c>
      <c r="F1120" t="inlineStr">
        <is>
          <t>To accompany the Minister to an announcement, a round-table with stakeholders and to various meetings</t>
        </is>
      </c>
      <c r="G1120" t="inlineStr">
        <is>
          <t>Pour accompagner le ministre à l'annonce, la table ronde avec les parties pertinentes et divers réunions</t>
        </is>
      </c>
      <c r="H1120" s="1" t="n">
        <v>43354</v>
      </c>
      <c r="I1120" s="1" t="n">
        <v>43356</v>
      </c>
      <c r="J1120" t="inlineStr">
        <is>
          <t>Saskatoon, Saskatchewan</t>
        </is>
      </c>
      <c r="K1120" t="inlineStr">
        <is>
          <t>Saskatoon, Saskatchewan</t>
        </is>
      </c>
      <c r="P1120" t="n">
        <v>1054.92</v>
      </c>
      <c r="Q1120" t="n">
        <v>69.68000000000001</v>
      </c>
      <c r="R1120" t="n">
        <v>331.56</v>
      </c>
      <c r="S1120" t="n">
        <v>244.7</v>
      </c>
      <c r="T1120" t="n">
        <v>0</v>
      </c>
      <c r="U1120" t="n">
        <v>1700.86</v>
      </c>
      <c r="X1120" t="inlineStr">
        <is>
          <t>aafc-aac</t>
        </is>
      </c>
      <c r="Y1120" t="inlineStr">
        <is>
          <t>Agriculture and Agri-Food Canada | Agriculture et Agroalimentaire Canada</t>
        </is>
      </c>
      <c r="Z1120" t="n">
        <v>3</v>
      </c>
      <c r="AA1120" t="n">
        <v>1700.86</v>
      </c>
      <c r="AB1120">
        <f>ROUND(U1120-AA1120,2)</f>
        <v/>
      </c>
      <c r="AC1120" t="b">
        <v>0</v>
      </c>
      <c r="AD1120">
        <f>IF(U1120="","MISSING_TOTAL",IF(ABS(AB1120)&lt;=0.01,"OK","CHECK"))</f>
        <v/>
      </c>
      <c r="AE1120">
        <f>IF(U1120="","MISSING",IF(AND(AA1120&gt;0,U1120/AA1120&gt;50),"POSSIBLE_SCALE_ERROR","OK"))</f>
        <v/>
      </c>
    </row>
    <row r="1121">
      <c r="A1121" t="inlineStr">
        <is>
          <t>T-2018-Q3-00022</t>
        </is>
      </c>
      <c r="B1121" t="inlineStr">
        <is>
          <t>MPSES</t>
        </is>
      </c>
      <c r="C1121" t="inlineStr">
        <is>
          <t>Communications Advisor</t>
        </is>
      </c>
      <c r="D1121" t="inlineStr">
        <is>
          <t>Conseiller en communications</t>
        </is>
      </c>
      <c r="E1121" t="inlineStr">
        <is>
          <t>Oliver Anderson</t>
        </is>
      </c>
      <c r="F1121" t="inlineStr">
        <is>
          <t>To accompany the Minister to the Ontario Outreach</t>
        </is>
      </c>
      <c r="G1121" t="inlineStr">
        <is>
          <t>Pour accompagner le ministre  lors de la campagne de sensibilisation en Ontario</t>
        </is>
      </c>
      <c r="H1121" s="1" t="n">
        <v>43362</v>
      </c>
      <c r="I1121" s="1" t="n">
        <v>43364</v>
      </c>
      <c r="J1121" t="inlineStr">
        <is>
          <t>Chatham, Ontario</t>
        </is>
      </c>
      <c r="K1121" t="inlineStr">
        <is>
          <t>Chatham, Ontario</t>
        </is>
      </c>
      <c r="P1121" t="n">
        <v>1039.88</v>
      </c>
      <c r="Q1121" t="n">
        <v>33.41</v>
      </c>
      <c r="R1121" t="n">
        <v>293.78</v>
      </c>
      <c r="S1121" t="n">
        <v>234.75</v>
      </c>
      <c r="T1121" t="n">
        <v>0</v>
      </c>
      <c r="U1121" t="n">
        <v>1601.82</v>
      </c>
      <c r="X1121" t="inlineStr">
        <is>
          <t>aafc-aac</t>
        </is>
      </c>
      <c r="Y1121" t="inlineStr">
        <is>
          <t>Agriculture and Agri-Food Canada | Agriculture et Agroalimentaire Canada</t>
        </is>
      </c>
      <c r="Z1121" t="n">
        <v>3</v>
      </c>
      <c r="AA1121" t="n">
        <v>1601.82</v>
      </c>
      <c r="AB1121">
        <f>ROUND(U1121-AA1121,2)</f>
        <v/>
      </c>
      <c r="AC1121" t="b">
        <v>0</v>
      </c>
      <c r="AD1121">
        <f>IF(U1121="","MISSING_TOTAL",IF(ABS(AB1121)&lt;=0.01,"OK","CHECK"))</f>
        <v/>
      </c>
      <c r="AE1121">
        <f>IF(U1121="","MISSING",IF(AND(AA1121&gt;0,U1121/AA1121&gt;50),"POSSIBLE_SCALE_ERROR","OK"))</f>
        <v/>
      </c>
    </row>
    <row r="1122">
      <c r="A1122" t="inlineStr">
        <is>
          <t>T-2018-Q3-00023</t>
        </is>
      </c>
      <c r="B1122" t="inlineStr">
        <is>
          <t>MPSES</t>
        </is>
      </c>
      <c r="C1122" t="inlineStr">
        <is>
          <t>Communications Advisor</t>
        </is>
      </c>
      <c r="D1122" t="inlineStr">
        <is>
          <t>Conseiller en communications</t>
        </is>
      </c>
      <c r="E1122" t="inlineStr">
        <is>
          <t>Oliver Anderson</t>
        </is>
      </c>
      <c r="F1122" t="inlineStr">
        <is>
          <t>To accompany the Minister for announcements and meetings</t>
        </is>
      </c>
      <c r="G1122" t="inlineStr">
        <is>
          <t>Pour accompagner le ministre pour les annonces et les réunions</t>
        </is>
      </c>
      <c r="H1122" s="1" t="n">
        <v>43377</v>
      </c>
      <c r="I1122" s="1" t="n">
        <v>43378</v>
      </c>
      <c r="J1122" t="inlineStr">
        <is>
          <t>Charlottetown, Prince Edward Island</t>
        </is>
      </c>
      <c r="K1122" t="inlineStr">
        <is>
          <t>Charottetown, Île-du-Prince-Édouard</t>
        </is>
      </c>
      <c r="P1122" t="n">
        <v>929.54</v>
      </c>
      <c r="Q1122" t="n">
        <v>107.93</v>
      </c>
      <c r="R1122" t="n">
        <v>164.65</v>
      </c>
      <c r="S1122" t="n">
        <v>124.7</v>
      </c>
      <c r="T1122" t="n">
        <v>0</v>
      </c>
      <c r="U1122" t="n">
        <v>1326.82</v>
      </c>
      <c r="X1122" t="inlineStr">
        <is>
          <t>aafc-aac</t>
        </is>
      </c>
      <c r="Y1122" t="inlineStr">
        <is>
          <t>Agriculture and Agri-Food Canada | Agriculture et Agroalimentaire Canada</t>
        </is>
      </c>
      <c r="Z1122" t="n">
        <v>2</v>
      </c>
      <c r="AA1122" t="n">
        <v>1326.82</v>
      </c>
      <c r="AB1122">
        <f>ROUND(U1122-AA1122,2)</f>
        <v/>
      </c>
      <c r="AC1122" t="b">
        <v>0</v>
      </c>
      <c r="AD1122">
        <f>IF(U1122="","MISSING_TOTAL",IF(ABS(AB1122)&lt;=0.01,"OK","CHECK"))</f>
        <v/>
      </c>
      <c r="AE1122">
        <f>IF(U1122="","MISSING",IF(AND(AA1122&gt;0,U1122/AA1122&gt;50),"POSSIBLE_SCALE_ERROR","OK"))</f>
        <v/>
      </c>
    </row>
    <row r="1123">
      <c r="A1123" t="inlineStr">
        <is>
          <t>T-2018-Q3-00024</t>
        </is>
      </c>
      <c r="B1123" t="inlineStr">
        <is>
          <t>MPSES</t>
        </is>
      </c>
      <c r="C1123" t="inlineStr">
        <is>
          <t>Communications Advisor</t>
        </is>
      </c>
      <c r="D1123" t="inlineStr">
        <is>
          <t>Conseiller en communications</t>
        </is>
      </c>
      <c r="E1123" t="inlineStr">
        <is>
          <t>Oliver Anderson</t>
        </is>
      </c>
      <c r="F1123" t="inlineStr">
        <is>
          <t>To accompany the Minister for announcements and meetings during the Ontario Outreach</t>
        </is>
      </c>
      <c r="G1123" t="inlineStr">
        <is>
          <t>Pour accompagner le ministre pour les annonces et les réunions lors de la campagne de sensibilisation en Ontario</t>
        </is>
      </c>
      <c r="H1123" s="1" t="n">
        <v>43430</v>
      </c>
      <c r="I1123" s="1" t="n">
        <v>43431</v>
      </c>
      <c r="J1123" t="inlineStr">
        <is>
          <t>London, Ontario</t>
        </is>
      </c>
      <c r="K1123" t="inlineStr">
        <is>
          <t>London, Ontario</t>
        </is>
      </c>
      <c r="P1123" t="n">
        <v>651.16</v>
      </c>
      <c r="Q1123" t="n">
        <v>24.02</v>
      </c>
      <c r="R1123" t="n">
        <v>128.1</v>
      </c>
      <c r="S1123" t="n">
        <v>164.8</v>
      </c>
      <c r="T1123" t="n">
        <v>0</v>
      </c>
      <c r="U1123" t="n">
        <v>968.08</v>
      </c>
      <c r="X1123" t="inlineStr">
        <is>
          <t>aafc-aac</t>
        </is>
      </c>
      <c r="Y1123" t="inlineStr">
        <is>
          <t>Agriculture and Agri-Food Canada | Agriculture et Agroalimentaire Canada</t>
        </is>
      </c>
      <c r="Z1123" t="n">
        <v>2</v>
      </c>
      <c r="AA1123" t="n">
        <v>968.079999999999</v>
      </c>
      <c r="AB1123">
        <f>ROUND(U1123-AA1123,2)</f>
        <v/>
      </c>
      <c r="AC1123" t="b">
        <v>0</v>
      </c>
      <c r="AD1123">
        <f>IF(U1123="","MISSING_TOTAL",IF(ABS(AB1123)&lt;=0.01,"OK","CHECK"))</f>
        <v/>
      </c>
      <c r="AE1123">
        <f>IF(U1123="","MISSING",IF(AND(AA1123&gt;0,U1123/AA1123&gt;50),"POSSIBLE_SCALE_ERROR","OK"))</f>
        <v/>
      </c>
    </row>
    <row r="1124">
      <c r="A1124" t="inlineStr">
        <is>
          <t>T-2018-Q3-00025</t>
        </is>
      </c>
      <c r="B1124" t="inlineStr">
        <is>
          <t>MPSES</t>
        </is>
      </c>
      <c r="C1124" t="inlineStr">
        <is>
          <t>Communications Advisor</t>
        </is>
      </c>
      <c r="D1124" t="inlineStr">
        <is>
          <t>Conseiller en communications</t>
        </is>
      </c>
      <c r="E1124" t="inlineStr">
        <is>
          <t>Oliver Anderson</t>
        </is>
      </c>
      <c r="F1124" t="inlineStr">
        <is>
          <t>To accompany the Minister for announcements and meetings</t>
        </is>
      </c>
      <c r="G1124" t="inlineStr">
        <is>
          <t>Pour accompagner le ministre pour les annonces et les réunions</t>
        </is>
      </c>
      <c r="H1124" s="1" t="n">
        <v>43433</v>
      </c>
      <c r="I1124" s="1" t="n">
        <v>43434</v>
      </c>
      <c r="J1124" t="inlineStr">
        <is>
          <t>Charlottetown, Prince Edward Island</t>
        </is>
      </c>
      <c r="K1124" t="inlineStr">
        <is>
          <t>Charottetown, Île-du-Prince-Édouard</t>
        </is>
      </c>
      <c r="P1124" t="n">
        <v>892.25</v>
      </c>
      <c r="Q1124" t="n">
        <v>283.38</v>
      </c>
      <c r="R1124" t="n">
        <v>181.23</v>
      </c>
      <c r="S1124" t="n">
        <v>174.7</v>
      </c>
      <c r="T1124" t="n">
        <v>0</v>
      </c>
      <c r="U1124" t="n">
        <v>1531.56</v>
      </c>
      <c r="X1124" t="inlineStr">
        <is>
          <t>aafc-aac</t>
        </is>
      </c>
      <c r="Y1124" t="inlineStr">
        <is>
          <t>Agriculture and Agri-Food Canada | Agriculture et Agroalimentaire Canada</t>
        </is>
      </c>
      <c r="Z1124" t="n">
        <v>2</v>
      </c>
      <c r="AA1124" t="n">
        <v>1531.56</v>
      </c>
      <c r="AB1124">
        <f>ROUND(U1124-AA1124,2)</f>
        <v/>
      </c>
      <c r="AC1124" t="b">
        <v>0</v>
      </c>
      <c r="AD1124">
        <f>IF(U1124="","MISSING_TOTAL",IF(ABS(AB1124)&lt;=0.01,"OK","CHECK"))</f>
        <v/>
      </c>
      <c r="AE1124">
        <f>IF(U1124="","MISSING",IF(AND(AA1124&gt;0,U1124/AA1124&gt;50),"POSSIBLE_SCALE_ERROR","OK"))</f>
        <v/>
      </c>
    </row>
    <row r="1125">
      <c r="A1125" t="inlineStr">
        <is>
          <t>T-2018-Q3-00026</t>
        </is>
      </c>
      <c r="B1125" t="inlineStr">
        <is>
          <t>MPSES</t>
        </is>
      </c>
      <c r="C1125" t="inlineStr">
        <is>
          <t>Chief of Staff</t>
        </is>
      </c>
      <c r="D1125" t="inlineStr">
        <is>
          <t>Chef de cabinet</t>
        </is>
      </c>
      <c r="E1125" t="inlineStr">
        <is>
          <t>Vincent MacNeil</t>
        </is>
      </c>
      <c r="F1125" t="inlineStr">
        <is>
          <t>To accompany the Minister for announcements and meetings</t>
        </is>
      </c>
      <c r="G1125" t="inlineStr">
        <is>
          <t>Pour accompagner le ministre pour les annonces et les réunions</t>
        </is>
      </c>
      <c r="H1125" s="1" t="n">
        <v>43346</v>
      </c>
      <c r="I1125" s="1" t="n">
        <v>43347</v>
      </c>
      <c r="J1125" t="inlineStr">
        <is>
          <t>Winnipeg, Manitoba</t>
        </is>
      </c>
      <c r="K1125" t="inlineStr">
        <is>
          <t>Winnipeg, Mantiboa</t>
        </is>
      </c>
      <c r="P1125" t="n">
        <v>1175.74</v>
      </c>
      <c r="Q1125" t="n">
        <v>22.08</v>
      </c>
      <c r="R1125" t="n">
        <v>201.03</v>
      </c>
      <c r="S1125" t="n">
        <v>169.55</v>
      </c>
      <c r="T1125" t="n">
        <v>0</v>
      </c>
      <c r="U1125" t="n">
        <v>1568.4</v>
      </c>
      <c r="X1125" t="inlineStr">
        <is>
          <t>aafc-aac</t>
        </is>
      </c>
      <c r="Y1125" t="inlineStr">
        <is>
          <t>Agriculture and Agri-Food Canada | Agriculture et Agroalimentaire Canada</t>
        </is>
      </c>
      <c r="Z1125" t="n">
        <v>2</v>
      </c>
      <c r="AA1125" t="n">
        <v>1568.39999999999</v>
      </c>
      <c r="AB1125">
        <f>ROUND(U1125-AA1125,2)</f>
        <v/>
      </c>
      <c r="AC1125" t="b">
        <v>0</v>
      </c>
      <c r="AD1125">
        <f>IF(U1125="","MISSING_TOTAL",IF(ABS(AB1125)&lt;=0.01,"OK","CHECK"))</f>
        <v/>
      </c>
      <c r="AE1125">
        <f>IF(U1125="","MISSING",IF(AND(AA1125&gt;0,U1125/AA1125&gt;50),"POSSIBLE_SCALE_ERROR","OK"))</f>
        <v/>
      </c>
    </row>
    <row r="1126">
      <c r="A1126" t="inlineStr">
        <is>
          <t>T-2018-Q3-00027</t>
        </is>
      </c>
      <c r="B1126" t="inlineStr">
        <is>
          <t>MPSES</t>
        </is>
      </c>
      <c r="C1126" t="inlineStr">
        <is>
          <t>Chief of Staff</t>
        </is>
      </c>
      <c r="D1126" t="inlineStr">
        <is>
          <t>Chef de cabinet</t>
        </is>
      </c>
      <c r="E1126" t="inlineStr">
        <is>
          <t>Vincent MacNeil</t>
        </is>
      </c>
      <c r="F1126" t="inlineStr">
        <is>
          <t>To accompany the Minister to an announcement, a round-table with stakeholders and to various meetings</t>
        </is>
      </c>
      <c r="G1126" t="inlineStr">
        <is>
          <t>Pour accompagner le ministre à l'annonce, la table ronde avec les parties pertinentes et divers réunions</t>
        </is>
      </c>
      <c r="H1126" s="1" t="n">
        <v>43354</v>
      </c>
      <c r="I1126" s="1" t="n">
        <v>43356</v>
      </c>
      <c r="J1126" t="inlineStr">
        <is>
          <t>Saskatoon, Saskatchewan</t>
        </is>
      </c>
      <c r="K1126" t="inlineStr">
        <is>
          <t>Saskatoon, Saskatchewan</t>
        </is>
      </c>
      <c r="P1126" t="n">
        <v>1470.67</v>
      </c>
      <c r="Q1126" t="n">
        <v>65.54000000000001</v>
      </c>
      <c r="R1126" t="n">
        <v>329.28</v>
      </c>
      <c r="S1126" t="n">
        <v>264.15</v>
      </c>
      <c r="T1126" t="n">
        <v>0</v>
      </c>
      <c r="U1126" t="n">
        <v>2129.64</v>
      </c>
      <c r="X1126" t="inlineStr">
        <is>
          <t>aafc-aac</t>
        </is>
      </c>
      <c r="Y1126" t="inlineStr">
        <is>
          <t>Agriculture and Agri-Food Canada | Agriculture et Agroalimentaire Canada</t>
        </is>
      </c>
      <c r="Z1126" t="n">
        <v>3</v>
      </c>
      <c r="AA1126" t="n">
        <v>2129.64</v>
      </c>
      <c r="AB1126">
        <f>ROUND(U1126-AA1126,2)</f>
        <v/>
      </c>
      <c r="AC1126" t="b">
        <v>0</v>
      </c>
      <c r="AD1126">
        <f>IF(U1126="","MISSING_TOTAL",IF(ABS(AB1126)&lt;=0.01,"OK","CHECK"))</f>
        <v/>
      </c>
      <c r="AE1126">
        <f>IF(U1126="","MISSING",IF(AND(AA1126&gt;0,U1126/AA1126&gt;50),"POSSIBLE_SCALE_ERROR","OK"))</f>
        <v/>
      </c>
    </row>
    <row r="1127">
      <c r="A1127" t="inlineStr">
        <is>
          <t>T-2018-Q3-00036</t>
        </is>
      </c>
      <c r="B1127" t="inlineStr">
        <is>
          <t>MPSES</t>
        </is>
      </c>
      <c r="C1127" t="inlineStr">
        <is>
          <t>Minister</t>
        </is>
      </c>
      <c r="D1127" t="inlineStr">
        <is>
          <t>Ministre</t>
        </is>
      </c>
      <c r="E1127" t="inlineStr">
        <is>
          <t>Lawrence MacAulay</t>
        </is>
      </c>
      <c r="F1127" t="inlineStr">
        <is>
          <t>To attend various tours and an announcement during the Ontario Outreach</t>
        </is>
      </c>
      <c r="G1127" t="inlineStr">
        <is>
          <t>Pour assister à divers visites et une annonce lors de la campagne de sensibilisation en Ontario</t>
        </is>
      </c>
      <c r="H1127" s="1" t="n">
        <v>43430</v>
      </c>
      <c r="I1127" s="1" t="n">
        <v>43431</v>
      </c>
      <c r="J1127" t="inlineStr">
        <is>
          <t>London, Ontario</t>
        </is>
      </c>
      <c r="K1127" t="inlineStr">
        <is>
          <t>London, Ontario</t>
        </is>
      </c>
      <c r="P1127" t="n">
        <v>1035.7</v>
      </c>
      <c r="Q1127" t="n">
        <v>0</v>
      </c>
      <c r="R1127" t="n">
        <v>134.41</v>
      </c>
      <c r="S1127" t="n">
        <v>144.55</v>
      </c>
      <c r="T1127" t="n">
        <v>0</v>
      </c>
      <c r="U1127" t="n">
        <v>1314.66</v>
      </c>
      <c r="X1127" t="inlineStr">
        <is>
          <t>aafc-aac</t>
        </is>
      </c>
      <c r="Y1127" t="inlineStr">
        <is>
          <t>Agriculture and Agri-Food Canada | Agriculture et Agroalimentaire Canada</t>
        </is>
      </c>
      <c r="Z1127" t="n">
        <v>2</v>
      </c>
      <c r="AA1127" t="n">
        <v>1314.66</v>
      </c>
      <c r="AB1127">
        <f>ROUND(U1127-AA1127,2)</f>
        <v/>
      </c>
      <c r="AC1127" t="b">
        <v>0</v>
      </c>
      <c r="AD1127">
        <f>IF(U1127="","MISSING_TOTAL",IF(ABS(AB1127)&lt;=0.01,"OK","CHECK"))</f>
        <v/>
      </c>
      <c r="AE1127">
        <f>IF(U1127="","MISSING",IF(AND(AA1127&gt;0,U1127/AA1127&gt;50),"POSSIBLE_SCALE_ERROR","OK"))</f>
        <v/>
      </c>
    </row>
    <row r="1128">
      <c r="A1128" t="inlineStr">
        <is>
          <t>T-2018-Q3-00028</t>
        </is>
      </c>
      <c r="B1128" t="inlineStr">
        <is>
          <t>MPSES</t>
        </is>
      </c>
      <c r="C1128" t="inlineStr">
        <is>
          <t>Chief of Staff</t>
        </is>
      </c>
      <c r="D1128" t="inlineStr">
        <is>
          <t>Chef de cabinet</t>
        </is>
      </c>
      <c r="E1128" t="inlineStr">
        <is>
          <t>Vincent MacNeil</t>
        </is>
      </c>
      <c r="F1128" t="inlineStr">
        <is>
          <t>To accompany the Minister to high-level meetings with European Union Commissioners and representatives of the European Union members states; and trade promotion activities</t>
        </is>
      </c>
      <c r="G1128" t="inlineStr">
        <is>
          <t>Pour accompagner le ministre aux réunions de haut niveau avec les commissaires de l'Union européenne et les représentants d'États membres de l'Union européenne; et des activités de promotion commerciale</t>
        </is>
      </c>
      <c r="H1128" s="1" t="n">
        <v>43378</v>
      </c>
      <c r="I1128" s="1" t="n">
        <v>43385</v>
      </c>
      <c r="J1128" t="inlineStr">
        <is>
          <t>Madrid, Spain; Brussels, Belgium; Rome, Italy</t>
        </is>
      </c>
      <c r="K1128" t="inlineStr">
        <is>
          <t>Madrid, Espagne; Bruxelles, Belgique; Rome, Italie</t>
        </is>
      </c>
      <c r="P1128" t="n">
        <v>6546.64</v>
      </c>
      <c r="Q1128" t="n">
        <v>190.61</v>
      </c>
      <c r="R1128" t="n">
        <v>2067.67</v>
      </c>
      <c r="S1128" t="n">
        <v>996.45</v>
      </c>
      <c r="T1128" t="n">
        <v>0</v>
      </c>
      <c r="U1128" t="n">
        <v>9801.370000000001</v>
      </c>
      <c r="X1128" t="inlineStr">
        <is>
          <t>aafc-aac</t>
        </is>
      </c>
      <c r="Y1128" t="inlineStr">
        <is>
          <t>Agriculture and Agri-Food Canada | Agriculture et Agroalimentaire Canada</t>
        </is>
      </c>
      <c r="Z1128" t="n">
        <v>8</v>
      </c>
      <c r="AA1128" t="n">
        <v>9801.370000000001</v>
      </c>
      <c r="AB1128">
        <f>ROUND(U1128-AA1128,2)</f>
        <v/>
      </c>
      <c r="AC1128" t="b">
        <v>0</v>
      </c>
      <c r="AD1128">
        <f>IF(U1128="","MISSING_TOTAL",IF(ABS(AB1128)&lt;=0.01,"OK","CHECK"))</f>
        <v/>
      </c>
      <c r="AE1128">
        <f>IF(U1128="","MISSING",IF(AND(AA1128&gt;0,U1128/AA1128&gt;50),"POSSIBLE_SCALE_ERROR","OK"))</f>
        <v/>
      </c>
    </row>
    <row r="1129">
      <c r="A1129" t="inlineStr">
        <is>
          <t>T-2018-Q3-00029</t>
        </is>
      </c>
      <c r="B1129" t="inlineStr">
        <is>
          <t>MPSES</t>
        </is>
      </c>
      <c r="C1129" t="inlineStr">
        <is>
          <t>Chief of Staff</t>
        </is>
      </c>
      <c r="D1129" t="inlineStr">
        <is>
          <t>Chef de cabinet</t>
        </is>
      </c>
      <c r="E1129" t="inlineStr">
        <is>
          <t>Vincent MacNeil</t>
        </is>
      </c>
      <c r="F1129" t="inlineStr">
        <is>
          <t>To support and attend various meetings with the Minister</t>
        </is>
      </c>
      <c r="G1129" t="inlineStr">
        <is>
          <t>Pour assister et soutenir le ministre  à divers réunions</t>
        </is>
      </c>
      <c r="H1129" s="1" t="n">
        <v>43392</v>
      </c>
      <c r="I1129" s="1" t="n">
        <v>43394</v>
      </c>
      <c r="J1129" t="inlineStr">
        <is>
          <t>Charlottetown, Prince Edward Island</t>
        </is>
      </c>
      <c r="K1129" t="inlineStr">
        <is>
          <t>Charottetown, Île-du-Prince-Édouard</t>
        </is>
      </c>
      <c r="P1129" t="n">
        <v>1066.27</v>
      </c>
      <c r="S1129" t="n">
        <v>107.4</v>
      </c>
      <c r="T1129" t="n">
        <v>0</v>
      </c>
      <c r="U1129" t="n">
        <v>1173.67</v>
      </c>
      <c r="X1129" t="inlineStr">
        <is>
          <t>aafc-aac</t>
        </is>
      </c>
      <c r="Y1129" t="inlineStr">
        <is>
          <t>Agriculture and Agri-Food Canada | Agriculture et Agroalimentaire Canada</t>
        </is>
      </c>
      <c r="Z1129" t="n">
        <v>3</v>
      </c>
      <c r="AA1129" t="n">
        <v>1173.67</v>
      </c>
      <c r="AB1129">
        <f>ROUND(U1129-AA1129,2)</f>
        <v/>
      </c>
      <c r="AC1129" t="b">
        <v>0</v>
      </c>
      <c r="AD1129">
        <f>IF(U1129="","MISSING_TOTAL",IF(ABS(AB1129)&lt;=0.01,"OK","CHECK"))</f>
        <v/>
      </c>
      <c r="AE1129">
        <f>IF(U1129="","MISSING",IF(AND(AA1129&gt;0,U1129/AA1129&gt;50),"POSSIBLE_SCALE_ERROR","OK"))</f>
        <v/>
      </c>
    </row>
    <row r="1130">
      <c r="A1130" t="inlineStr">
        <is>
          <t>T-2018-Q3-00030</t>
        </is>
      </c>
      <c r="B1130" t="inlineStr">
        <is>
          <t>MPSES</t>
        </is>
      </c>
      <c r="C1130" t="inlineStr">
        <is>
          <t>Chief of Staff</t>
        </is>
      </c>
      <c r="D1130" t="inlineStr">
        <is>
          <t>Chef de cabinet</t>
        </is>
      </c>
      <c r="E1130" t="inlineStr">
        <is>
          <t>Vincent MacNeil</t>
        </is>
      </c>
      <c r="F1130" t="inlineStr">
        <is>
          <t>To accompany the Minister on the Ministerial Mission to China</t>
        </is>
      </c>
      <c r="G1130" t="inlineStr">
        <is>
          <t>Pour accompagner le ministre à la mission ministérielle en Chine.</t>
        </is>
      </c>
      <c r="H1130" s="1" t="n">
        <v>43406</v>
      </c>
      <c r="I1130" s="1" t="n">
        <v>43419</v>
      </c>
      <c r="J1130" t="inlineStr">
        <is>
          <t>Shanghai, China; Qingdao, China; Beijing, China</t>
        </is>
      </c>
      <c r="K1130" t="inlineStr">
        <is>
          <t>Shanghai, Chine; Qingdao, Chine; Beijing, Chine</t>
        </is>
      </c>
      <c r="P1130" t="n">
        <v>7089.58</v>
      </c>
      <c r="Q1130" t="n">
        <v>82.09</v>
      </c>
      <c r="R1130" t="n">
        <v>3751.56</v>
      </c>
      <c r="S1130" t="n">
        <v>1993.16</v>
      </c>
      <c r="T1130" t="n">
        <v>0</v>
      </c>
      <c r="U1130" t="n">
        <v>12916.39</v>
      </c>
      <c r="X1130" t="inlineStr">
        <is>
          <t>aafc-aac</t>
        </is>
      </c>
      <c r="Y1130" t="inlineStr">
        <is>
          <t>Agriculture and Agri-Food Canada | Agriculture et Agroalimentaire Canada</t>
        </is>
      </c>
      <c r="Z1130" t="n">
        <v>14</v>
      </c>
      <c r="AA1130" t="n">
        <v>12916.39</v>
      </c>
      <c r="AB1130">
        <f>ROUND(U1130-AA1130,2)</f>
        <v/>
      </c>
      <c r="AC1130" t="b">
        <v>0</v>
      </c>
      <c r="AD1130">
        <f>IF(U1130="","MISSING_TOTAL",IF(ABS(AB1130)&lt;=0.01,"OK","CHECK"))</f>
        <v/>
      </c>
      <c r="AE1130">
        <f>IF(U1130="","MISSING",IF(AND(AA1130&gt;0,U1130/AA1130&gt;50),"POSSIBLE_SCALE_ERROR","OK"))</f>
        <v/>
      </c>
    </row>
    <row r="1131">
      <c r="A1131" t="inlineStr">
        <is>
          <t>T-2018-Q3-00031</t>
        </is>
      </c>
      <c r="B1131" t="inlineStr">
        <is>
          <t>MPSES</t>
        </is>
      </c>
      <c r="C1131" t="inlineStr">
        <is>
          <t>Chief of Staff</t>
        </is>
      </c>
      <c r="D1131" t="inlineStr">
        <is>
          <t>Chef de cabinet</t>
        </is>
      </c>
      <c r="E1131" t="inlineStr">
        <is>
          <t>Vincent MacNeil</t>
        </is>
      </c>
      <c r="F1131" t="inlineStr">
        <is>
          <t>To attend meetings on the Minister's behalf with Stakeholders</t>
        </is>
      </c>
      <c r="G1131" t="inlineStr">
        <is>
          <t>Pour assister à des réunions avec les intervenants au nom du ministre</t>
        </is>
      </c>
      <c r="H1131" s="1" t="n">
        <v>43429</v>
      </c>
      <c r="I1131" s="1" t="n">
        <v>43430</v>
      </c>
      <c r="J1131" t="inlineStr">
        <is>
          <t>Charlottetown, Prince Edward Island</t>
        </is>
      </c>
      <c r="K1131" t="inlineStr">
        <is>
          <t>Charottetown, Île-du-Prince-Édouard</t>
        </is>
      </c>
      <c r="P1131" t="n">
        <v>1264.92</v>
      </c>
      <c r="Q1131" t="n">
        <v>99.84999999999999</v>
      </c>
      <c r="R1131" t="n">
        <v>0</v>
      </c>
      <c r="S1131" t="n">
        <v>214.8</v>
      </c>
      <c r="T1131" t="n">
        <v>0</v>
      </c>
      <c r="U1131" t="n">
        <v>1579.57</v>
      </c>
      <c r="X1131" t="inlineStr">
        <is>
          <t>aafc-aac</t>
        </is>
      </c>
      <c r="Y1131" t="inlineStr">
        <is>
          <t>Agriculture and Agri-Food Canada | Agriculture et Agroalimentaire Canada</t>
        </is>
      </c>
      <c r="Z1131" t="n">
        <v>2</v>
      </c>
      <c r="AA1131" t="n">
        <v>1579.57</v>
      </c>
      <c r="AB1131">
        <f>ROUND(U1131-AA1131,2)</f>
        <v/>
      </c>
      <c r="AC1131" t="b">
        <v>0</v>
      </c>
      <c r="AD1131">
        <f>IF(U1131="","MISSING_TOTAL",IF(ABS(AB1131)&lt;=0.01,"OK","CHECK"))</f>
        <v/>
      </c>
      <c r="AE1131">
        <f>IF(U1131="","MISSING",IF(AND(AA1131&gt;0,U1131/AA1131&gt;50),"POSSIBLE_SCALE_ERROR","OK"))</f>
        <v/>
      </c>
    </row>
    <row r="1132">
      <c r="A1132" t="inlineStr">
        <is>
          <t>T-2018-Q3-00032</t>
        </is>
      </c>
      <c r="B1132" t="inlineStr">
        <is>
          <t>MPSES</t>
        </is>
      </c>
      <c r="C1132" t="inlineStr">
        <is>
          <t>Minister</t>
        </is>
      </c>
      <c r="D1132" t="inlineStr">
        <is>
          <t>Ministre</t>
        </is>
      </c>
      <c r="E1132" t="inlineStr">
        <is>
          <t>Lawrence MacAulay</t>
        </is>
      </c>
      <c r="F1132" t="inlineStr">
        <is>
          <t>For announcements and meetings</t>
        </is>
      </c>
      <c r="G1132" t="inlineStr">
        <is>
          <t>Pour les annonces et les réunions</t>
        </is>
      </c>
      <c r="H1132" s="1" t="n">
        <v>43346</v>
      </c>
      <c r="I1132" s="1" t="n">
        <v>43347</v>
      </c>
      <c r="J1132" t="inlineStr">
        <is>
          <t>Winnipeg, Manitoba</t>
        </is>
      </c>
      <c r="K1132" t="inlineStr">
        <is>
          <t>Winnipeg, Manitoba</t>
        </is>
      </c>
      <c r="P1132" t="n">
        <v>1097.77</v>
      </c>
      <c r="Q1132" t="n">
        <v>0</v>
      </c>
      <c r="R1132" t="n">
        <v>201.03</v>
      </c>
      <c r="S1132" t="n">
        <v>169.55</v>
      </c>
      <c r="T1132" t="n">
        <v>0</v>
      </c>
      <c r="U1132" t="n">
        <v>1468.35</v>
      </c>
      <c r="X1132" t="inlineStr">
        <is>
          <t>aafc-aac</t>
        </is>
      </c>
      <c r="Y1132" t="inlineStr">
        <is>
          <t>Agriculture and Agri-Food Canada | Agriculture et Agroalimentaire Canada</t>
        </is>
      </c>
      <c r="Z1132" t="n">
        <v>2</v>
      </c>
      <c r="AA1132" t="n">
        <v>1468.35</v>
      </c>
      <c r="AB1132">
        <f>ROUND(U1132-AA1132,2)</f>
        <v/>
      </c>
      <c r="AC1132" t="b">
        <v>0</v>
      </c>
      <c r="AD1132">
        <f>IF(U1132="","MISSING_TOTAL",IF(ABS(AB1132)&lt;=0.01,"OK","CHECK"))</f>
        <v/>
      </c>
      <c r="AE1132">
        <f>IF(U1132="","MISSING",IF(AND(AA1132&gt;0,U1132/AA1132&gt;50),"POSSIBLE_SCALE_ERROR","OK"))</f>
        <v/>
      </c>
    </row>
    <row r="1133">
      <c r="A1133" t="inlineStr">
        <is>
          <t>T-2018-Q3-00033</t>
        </is>
      </c>
      <c r="B1133" t="inlineStr">
        <is>
          <t>MPSES</t>
        </is>
      </c>
      <c r="C1133" t="inlineStr">
        <is>
          <t>Minister</t>
        </is>
      </c>
      <c r="D1133" t="inlineStr">
        <is>
          <t>Ministre</t>
        </is>
      </c>
      <c r="E1133" t="inlineStr">
        <is>
          <t>Lawrence MacAulay</t>
        </is>
      </c>
      <c r="F1133" t="inlineStr">
        <is>
          <t>Ontario Outreach, attend the International Plowing Match, various farm tours and an announcement</t>
        </is>
      </c>
      <c r="G1133" t="inlineStr">
        <is>
          <t>Campagne de sensibilisation en Ontario, assister au championnat international de labour, divers visites de fermes et une annonce</t>
        </is>
      </c>
      <c r="H1133" s="1" t="n">
        <v>43362</v>
      </c>
      <c r="I1133" s="1" t="n">
        <v>43364</v>
      </c>
      <c r="J1133" t="inlineStr">
        <is>
          <t>Chatham, Ontario</t>
        </is>
      </c>
      <c r="K1133" t="inlineStr">
        <is>
          <t>Chatham, Ontario</t>
        </is>
      </c>
      <c r="P1133" t="n">
        <v>1293</v>
      </c>
      <c r="Q1133" t="n">
        <v>24.77</v>
      </c>
      <c r="R1133" t="n">
        <v>293.78</v>
      </c>
      <c r="S1133" t="n">
        <v>234.75</v>
      </c>
      <c r="T1133" t="n">
        <v>0</v>
      </c>
      <c r="U1133" t="n">
        <v>1846.3</v>
      </c>
      <c r="X1133" t="inlineStr">
        <is>
          <t>aafc-aac</t>
        </is>
      </c>
      <c r="Y1133" t="inlineStr">
        <is>
          <t>Agriculture and Agri-Food Canada | Agriculture et Agroalimentaire Canada</t>
        </is>
      </c>
      <c r="Z1133" t="n">
        <v>3</v>
      </c>
      <c r="AA1133" t="n">
        <v>1846.3</v>
      </c>
      <c r="AB1133">
        <f>ROUND(U1133-AA1133,2)</f>
        <v/>
      </c>
      <c r="AC1133" t="b">
        <v>0</v>
      </c>
      <c r="AD1133">
        <f>IF(U1133="","MISSING_TOTAL",IF(ABS(AB1133)&lt;=0.01,"OK","CHECK"))</f>
        <v/>
      </c>
      <c r="AE1133">
        <f>IF(U1133="","MISSING",IF(AND(AA1133&gt;0,U1133/AA1133&gt;50),"POSSIBLE_SCALE_ERROR","OK"))</f>
        <v/>
      </c>
    </row>
    <row r="1134">
      <c r="A1134" t="inlineStr">
        <is>
          <t>T-2018-Q3-00034</t>
        </is>
      </c>
      <c r="B1134" t="inlineStr">
        <is>
          <t>MPSES</t>
        </is>
      </c>
      <c r="C1134" t="inlineStr">
        <is>
          <t>Minister</t>
        </is>
      </c>
      <c r="D1134" t="inlineStr">
        <is>
          <t>Ministre</t>
        </is>
      </c>
      <c r="E1134" t="inlineStr">
        <is>
          <t>Lawrence MacAulay</t>
        </is>
      </c>
      <c r="F1134" t="inlineStr">
        <is>
          <t>To attend high-level meetings with European Union Commissioners and representatives of European members states; and trade promotion activities</t>
        </is>
      </c>
      <c r="G1134" t="inlineStr">
        <is>
          <t>Assister aux réunions de haut niveau avec les commissaires de l'Union européenne et les représentants d'États membres de l'Union européenne; et des activités de promotion commerciale</t>
        </is>
      </c>
      <c r="H1134" s="1" t="n">
        <v>43379</v>
      </c>
      <c r="I1134" s="1" t="n">
        <v>43385</v>
      </c>
      <c r="J1134" t="inlineStr">
        <is>
          <t>Madrid, Spain; Brussels, Belgium; Rome, Italy</t>
        </is>
      </c>
      <c r="K1134" t="inlineStr">
        <is>
          <t>Madrid, Espagne; Bruxelles, Belgique; Rome, Italie</t>
        </is>
      </c>
      <c r="P1134" t="n">
        <v>10750.44</v>
      </c>
      <c r="Q1134" t="n">
        <v>147.62</v>
      </c>
      <c r="R1134" t="n">
        <v>2032.57</v>
      </c>
      <c r="S1134" t="n">
        <v>996.45</v>
      </c>
      <c r="T1134" t="n">
        <v>0</v>
      </c>
      <c r="U1134" t="n">
        <v>13927.08</v>
      </c>
      <c r="X1134" t="inlineStr">
        <is>
          <t>aafc-aac</t>
        </is>
      </c>
      <c r="Y1134" t="inlineStr">
        <is>
          <t>Agriculture and Agri-Food Canada | Agriculture et Agroalimentaire Canada</t>
        </is>
      </c>
      <c r="Z1134" t="n">
        <v>7</v>
      </c>
      <c r="AA1134" t="n">
        <v>13927.08</v>
      </c>
      <c r="AB1134">
        <f>ROUND(U1134-AA1134,2)</f>
        <v/>
      </c>
      <c r="AC1134" t="b">
        <v>0</v>
      </c>
      <c r="AD1134">
        <f>IF(U1134="","MISSING_TOTAL",IF(ABS(AB1134)&lt;=0.01,"OK","CHECK"))</f>
        <v/>
      </c>
      <c r="AE1134">
        <f>IF(U1134="","MISSING",IF(AND(AA1134&gt;0,U1134/AA1134&gt;50),"POSSIBLE_SCALE_ERROR","OK"))</f>
        <v/>
      </c>
    </row>
    <row r="1135">
      <c r="A1135" t="inlineStr">
        <is>
          <t>T-2018-Q3-00037</t>
        </is>
      </c>
      <c r="B1135" t="inlineStr">
        <is>
          <t>SLE</t>
        </is>
      </c>
      <c r="C1135" t="inlineStr">
        <is>
          <t>Associate Deputy Minister</t>
        </is>
      </c>
      <c r="D1135" t="inlineStr">
        <is>
          <t>Sous-ministre déléguée</t>
        </is>
      </c>
      <c r="E1135" t="inlineStr">
        <is>
          <t>Annette Gibbons</t>
        </is>
      </c>
      <c r="F1135" t="inlineStr">
        <is>
          <t>To attend key Stakeholder engagement meetings</t>
        </is>
      </c>
      <c r="G1135" t="inlineStr">
        <is>
          <t>Pour assiter à des réunions d'engement avec des intervenants clés</t>
        </is>
      </c>
      <c r="H1135" s="1" t="n">
        <v>43432</v>
      </c>
      <c r="I1135" s="1" t="n">
        <v>43432</v>
      </c>
      <c r="J1135" t="inlineStr">
        <is>
          <t>Montreal, Quebec</t>
        </is>
      </c>
      <c r="K1135" t="inlineStr">
        <is>
          <t>Montréal, Québec</t>
        </is>
      </c>
      <c r="Q1135" t="n">
        <v>160.06</v>
      </c>
      <c r="R1135" t="n">
        <v>0</v>
      </c>
      <c r="S1135" t="n">
        <v>40.1</v>
      </c>
      <c r="T1135" t="n">
        <v>0</v>
      </c>
      <c r="U1135" t="n">
        <v>200.16</v>
      </c>
      <c r="X1135" t="inlineStr">
        <is>
          <t>aafc-aac</t>
        </is>
      </c>
      <c r="Y1135" t="inlineStr">
        <is>
          <t>Agriculture and Agri-Food Canada | Agriculture et Agroalimentaire Canada</t>
        </is>
      </c>
      <c r="Z1135" t="n">
        <v>1</v>
      </c>
      <c r="AA1135" t="n">
        <v>200.16</v>
      </c>
      <c r="AB1135">
        <f>ROUND(U1135-AA1135,2)</f>
        <v/>
      </c>
      <c r="AC1135" t="b">
        <v>0</v>
      </c>
      <c r="AD1135">
        <f>IF(U1135="","MISSING_TOTAL",IF(ABS(AB1135)&lt;=0.01,"OK","CHECK"))</f>
        <v/>
      </c>
      <c r="AE1135">
        <f>IF(U1135="","MISSING",IF(AND(AA1135&gt;0,U1135/AA1135&gt;50),"POSSIBLE_SCALE_ERROR","OK"))</f>
        <v/>
      </c>
    </row>
    <row r="1136">
      <c r="A1136" t="inlineStr">
        <is>
          <t>T-2018-Q3-00038</t>
        </is>
      </c>
      <c r="B1136" t="inlineStr">
        <is>
          <t>SLE</t>
        </is>
      </c>
      <c r="C1136" t="inlineStr">
        <is>
          <t>Deputy Minister</t>
        </is>
      </c>
      <c r="D1136" t="inlineStr">
        <is>
          <t>Sous-Ministre</t>
        </is>
      </c>
      <c r="E1136" t="inlineStr">
        <is>
          <t>Chris Forbes</t>
        </is>
      </c>
      <c r="F1136" t="inlineStr">
        <is>
          <t>To attend meetings during Quebec Outreach</t>
        </is>
      </c>
      <c r="G1136" t="inlineStr">
        <is>
          <t>Pour assister à des réunions durant la campagne de sensibilisation au Québec</t>
        </is>
      </c>
      <c r="H1136" s="1" t="n">
        <v>43364</v>
      </c>
      <c r="I1136" s="1" t="n">
        <v>43364</v>
      </c>
      <c r="J1136" t="inlineStr">
        <is>
          <t>Montreal, Quebec</t>
        </is>
      </c>
      <c r="K1136" t="inlineStr">
        <is>
          <t>Montréal, Québec</t>
        </is>
      </c>
      <c r="P1136" t="n">
        <v>0</v>
      </c>
      <c r="Q1136" t="n">
        <v>180.58</v>
      </c>
      <c r="R1136" t="n">
        <v>0</v>
      </c>
      <c r="S1136" t="n">
        <v>0</v>
      </c>
      <c r="T1136" t="n">
        <v>0</v>
      </c>
      <c r="U1136" t="n">
        <v>180.58</v>
      </c>
      <c r="X1136" t="inlineStr">
        <is>
          <t>aafc-aac</t>
        </is>
      </c>
      <c r="Y1136" t="inlineStr">
        <is>
          <t>Agriculture and Agri-Food Canada | Agriculture et Agroalimentaire Canada</t>
        </is>
      </c>
      <c r="Z1136" t="n">
        <v>1</v>
      </c>
      <c r="AA1136" t="n">
        <v>180.58</v>
      </c>
      <c r="AB1136">
        <f>ROUND(U1136-AA1136,2)</f>
        <v/>
      </c>
      <c r="AC1136" t="b">
        <v>0</v>
      </c>
      <c r="AD1136">
        <f>IF(U1136="","MISSING_TOTAL",IF(ABS(AB1136)&lt;=0.01,"OK","CHECK"))</f>
        <v/>
      </c>
      <c r="AE1136">
        <f>IF(U1136="","MISSING",IF(AND(AA1136&gt;0,U1136/AA1136&gt;50),"POSSIBLE_SCALE_ERROR","OK"))</f>
        <v/>
      </c>
    </row>
    <row r="1137">
      <c r="A1137" t="inlineStr">
        <is>
          <t>T-2018-Q3-00039</t>
        </is>
      </c>
      <c r="B1137" t="inlineStr">
        <is>
          <t>SLE</t>
        </is>
      </c>
      <c r="C1137" t="inlineStr">
        <is>
          <t>Deputy Minister</t>
        </is>
      </c>
      <c r="D1137" t="inlineStr">
        <is>
          <t>Sous-Ministre</t>
        </is>
      </c>
      <c r="E1137" t="inlineStr">
        <is>
          <t>Chris Forbes</t>
        </is>
      </c>
      <c r="F1137" t="inlineStr">
        <is>
          <t>To attend key Stakeholder engagement meetings</t>
        </is>
      </c>
      <c r="G1137" t="inlineStr">
        <is>
          <t>Pour assister à des réunions d'engagement avec des intervenants clés</t>
        </is>
      </c>
      <c r="H1137" s="1" t="n">
        <v>43375</v>
      </c>
      <c r="I1137" s="1" t="n">
        <v>43377</v>
      </c>
      <c r="J1137" t="inlineStr">
        <is>
          <t>Winnipeg, Manitoba</t>
        </is>
      </c>
      <c r="K1137" t="inlineStr">
        <is>
          <t>Winnipeg, Manitoba</t>
        </is>
      </c>
      <c r="P1137" t="n">
        <v>606.62</v>
      </c>
      <c r="Q1137" t="n">
        <v>46.49</v>
      </c>
      <c r="R1137" t="n">
        <v>399.68</v>
      </c>
      <c r="S1137" t="n">
        <v>140.5</v>
      </c>
      <c r="T1137" t="n">
        <v>0</v>
      </c>
      <c r="U1137" t="n">
        <v>1193.29</v>
      </c>
      <c r="X1137" t="inlineStr">
        <is>
          <t>aafc-aac</t>
        </is>
      </c>
      <c r="Y1137" t="inlineStr">
        <is>
          <t>Agriculture and Agri-Food Canada | Agriculture et Agroalimentaire Canada</t>
        </is>
      </c>
      <c r="Z1137" t="n">
        <v>3</v>
      </c>
      <c r="AA1137" t="n">
        <v>1193.29</v>
      </c>
      <c r="AB1137">
        <f>ROUND(U1137-AA1137,2)</f>
        <v/>
      </c>
      <c r="AC1137" t="b">
        <v>0</v>
      </c>
      <c r="AD1137">
        <f>IF(U1137="","MISSING_TOTAL",IF(ABS(AB1137)&lt;=0.01,"OK","CHECK"))</f>
        <v/>
      </c>
      <c r="AE1137">
        <f>IF(U1137="","MISSING",IF(AND(AA1137&gt;0,U1137/AA1137&gt;50),"POSSIBLE_SCALE_ERROR","OK"))</f>
        <v/>
      </c>
    </row>
    <row r="1138">
      <c r="A1138" t="inlineStr">
        <is>
          <t>T-2018-Q3-00040</t>
        </is>
      </c>
      <c r="B1138" t="inlineStr">
        <is>
          <t>SLE</t>
        </is>
      </c>
      <c r="C1138" t="inlineStr">
        <is>
          <t>Deputy Minister</t>
        </is>
      </c>
      <c r="D1138" t="inlineStr">
        <is>
          <t>Sous-Ministre</t>
        </is>
      </c>
      <c r="E1138" t="inlineStr">
        <is>
          <t>Chris Forbes</t>
        </is>
      </c>
      <c r="F1138" t="inlineStr">
        <is>
          <t>To accompany the Minister to high-level meetings with European Union Commissioners and representatives of the European Union members states; and trade promotion activities</t>
        </is>
      </c>
      <c r="G1138" t="inlineStr">
        <is>
          <t>Pour accompagner le ministre aux réunions de haut niveau avec les commissaires de l'Union européenne et les représentants d'États membres de l'Union européenne; et des activités de promotion commerciale</t>
        </is>
      </c>
      <c r="H1138" s="1" t="n">
        <v>43379</v>
      </c>
      <c r="I1138" s="1" t="n">
        <v>43385</v>
      </c>
      <c r="J1138" t="inlineStr">
        <is>
          <t>Madrid, Spain; Brussels, Belgium; Rome, Italy</t>
        </is>
      </c>
      <c r="K1138" t="inlineStr">
        <is>
          <t>Madrid, Espagne; Bruxelles, Belgique; Rome, Italie</t>
        </is>
      </c>
      <c r="P1138" t="n">
        <v>11467.24</v>
      </c>
      <c r="Q1138" t="n">
        <v>229.25</v>
      </c>
      <c r="R1138" t="n">
        <v>2026.06</v>
      </c>
      <c r="S1138" t="n">
        <v>630.29</v>
      </c>
      <c r="T1138" t="n">
        <v>0</v>
      </c>
      <c r="U1138" t="n">
        <v>14352.84</v>
      </c>
      <c r="X1138" t="inlineStr">
        <is>
          <t>aafc-aac</t>
        </is>
      </c>
      <c r="Y1138" t="inlineStr">
        <is>
          <t>Agriculture and Agri-Food Canada | Agriculture et Agroalimentaire Canada</t>
        </is>
      </c>
      <c r="Z1138" t="n">
        <v>7</v>
      </c>
      <c r="AA1138" t="n">
        <v>14352.84</v>
      </c>
      <c r="AB1138">
        <f>ROUND(U1138-AA1138,2)</f>
        <v/>
      </c>
      <c r="AC1138" t="b">
        <v>0</v>
      </c>
      <c r="AD1138">
        <f>IF(U1138="","MISSING_TOTAL",IF(ABS(AB1138)&lt;=0.01,"OK","CHECK"))</f>
        <v/>
      </c>
      <c r="AE1138">
        <f>IF(U1138="","MISSING",IF(AND(AA1138&gt;0,U1138/AA1138&gt;50),"POSSIBLE_SCALE_ERROR","OK"))</f>
        <v/>
      </c>
    </row>
    <row r="1139">
      <c r="A1139" t="inlineStr">
        <is>
          <t>T-2018-Q3-00041</t>
        </is>
      </c>
      <c r="B1139" t="inlineStr">
        <is>
          <t>SLE</t>
        </is>
      </c>
      <c r="C1139" t="inlineStr">
        <is>
          <t>Deputy Minister</t>
        </is>
      </c>
      <c r="D1139" t="inlineStr">
        <is>
          <t>Sous-Ministre</t>
        </is>
      </c>
      <c r="E1139" t="inlineStr">
        <is>
          <t>Chris Forbes</t>
        </is>
      </c>
      <c r="F1139" t="inlineStr">
        <is>
          <t>To accompany the Minister on the Ministerial Mission to China</t>
        </is>
      </c>
      <c r="G1139" t="inlineStr">
        <is>
          <t>Pour accompagner le ministre à la mission ministérielle en Chine</t>
        </is>
      </c>
      <c r="H1139" s="1" t="n">
        <v>43415</v>
      </c>
      <c r="I1139" s="1" t="n">
        <v>43420</v>
      </c>
      <c r="J1139" t="inlineStr">
        <is>
          <t>Shanghai, China; Beijing, China</t>
        </is>
      </c>
      <c r="K1139" t="inlineStr">
        <is>
          <t>Shanghai, Chine; Beijing, Chine</t>
        </is>
      </c>
      <c r="P1139" t="n">
        <v>5945.52</v>
      </c>
      <c r="Q1139" t="n">
        <v>0</v>
      </c>
      <c r="R1139" t="n">
        <v>1511.78</v>
      </c>
      <c r="S1139" t="n">
        <v>277.55</v>
      </c>
      <c r="T1139" t="n">
        <v>0</v>
      </c>
      <c r="U1139" t="n">
        <v>7734.85</v>
      </c>
      <c r="X1139" t="inlineStr">
        <is>
          <t>aafc-aac</t>
        </is>
      </c>
      <c r="Y1139" t="inlineStr">
        <is>
          <t>Agriculture and Agri-Food Canada | Agriculture et Agroalimentaire Canada</t>
        </is>
      </c>
      <c r="Z1139" t="n">
        <v>6</v>
      </c>
      <c r="AA1139" t="n">
        <v>7734.85</v>
      </c>
      <c r="AB1139">
        <f>ROUND(U1139-AA1139,2)</f>
        <v/>
      </c>
      <c r="AC1139" t="b">
        <v>0</v>
      </c>
      <c r="AD1139">
        <f>IF(U1139="","MISSING_TOTAL",IF(ABS(AB1139)&lt;=0.01,"OK","CHECK"))</f>
        <v/>
      </c>
      <c r="AE1139">
        <f>IF(U1139="","MISSING",IF(AND(AA1139&gt;0,U1139/AA1139&gt;50),"POSSIBLE_SCALE_ERROR","OK"))</f>
        <v/>
      </c>
    </row>
    <row r="1140">
      <c r="A1140" t="inlineStr">
        <is>
          <t>T-2018-Q3-00042</t>
        </is>
      </c>
      <c r="B1140" t="inlineStr">
        <is>
          <t>SLE</t>
        </is>
      </c>
      <c r="C1140" t="inlineStr">
        <is>
          <t>Associate Assistant Deputy Minister, Science and Techonologie Branch</t>
        </is>
      </c>
      <c r="D1140" t="inlineStr">
        <is>
          <t>Sous-ministre adjoint délégué, Direction générale des sciences et de la technologie</t>
        </is>
      </c>
      <c r="E1140" t="inlineStr">
        <is>
          <t>Gilles Saindon</t>
        </is>
      </c>
      <c r="F1140" t="inlineStr">
        <is>
          <t>Outreach at the Research and Development Center, all staff meetings and meet with industry</t>
        </is>
      </c>
      <c r="G1140" t="inlineStr">
        <is>
          <t>Visite de sensibilisation au Centre de recherche et développement, réunions avec tous le personnel et rencontres avec l'industrie</t>
        </is>
      </c>
      <c r="H1140" s="1" t="n">
        <v>43354</v>
      </c>
      <c r="I1140" s="1" t="n">
        <v>43356</v>
      </c>
      <c r="J1140" t="inlineStr">
        <is>
          <t>Kentville, Nova Scotia</t>
        </is>
      </c>
      <c r="K1140" t="inlineStr">
        <is>
          <t>Kentville, Nouvelle-Écosse</t>
        </is>
      </c>
      <c r="P1140" t="n">
        <v>469.79</v>
      </c>
      <c r="Q1140" t="n">
        <v>257.25</v>
      </c>
      <c r="R1140" t="n">
        <v>329.13</v>
      </c>
      <c r="S1140" t="n">
        <v>234.75</v>
      </c>
      <c r="U1140" t="n">
        <v>1290.92</v>
      </c>
      <c r="X1140" t="inlineStr">
        <is>
          <t>aafc-aac</t>
        </is>
      </c>
      <c r="Y1140" t="inlineStr">
        <is>
          <t>Agriculture and Agri-Food Canada | Agriculture et Agroalimentaire Canada</t>
        </is>
      </c>
      <c r="Z1140" t="n">
        <v>3</v>
      </c>
      <c r="AA1140" t="n">
        <v>1290.92</v>
      </c>
      <c r="AB1140">
        <f>ROUND(U1140-AA1140,2)</f>
        <v/>
      </c>
      <c r="AC1140" t="b">
        <v>0</v>
      </c>
      <c r="AD1140">
        <f>IF(U1140="","MISSING_TOTAL",IF(ABS(AB1140)&lt;=0.01,"OK","CHECK"))</f>
        <v/>
      </c>
      <c r="AE1140">
        <f>IF(U1140="","MISSING",IF(AND(AA1140&gt;0,U1140/AA1140&gt;50),"POSSIBLE_SCALE_ERROR","OK"))</f>
        <v/>
      </c>
    </row>
    <row r="1141">
      <c r="A1141" t="inlineStr">
        <is>
          <t>T-2018-Q3-00043</t>
        </is>
      </c>
      <c r="B1141" t="inlineStr">
        <is>
          <t>SLE</t>
        </is>
      </c>
      <c r="C1141" t="inlineStr">
        <is>
          <t>Associate Assistant Deputy Minister, Science and Techonologie Branch</t>
        </is>
      </c>
      <c r="D1141" t="inlineStr">
        <is>
          <t>Sous-ministre adjoint délégué, Direction générale des sciences et de la technologie</t>
        </is>
      </c>
      <c r="E1141" t="inlineStr">
        <is>
          <t>Gilles Saindon</t>
        </is>
      </c>
      <c r="F1141" t="inlineStr">
        <is>
          <t>Branch Executive Committee Face to Face meeting and outreach at the Research and Development Center, all staff meeting</t>
        </is>
      </c>
      <c r="G1141" t="inlineStr">
        <is>
          <t>Réunion du Comité exécutif en personne et visite de sensibilisation au Centre de recherche et développement, réunions avec tous le personnel</t>
        </is>
      </c>
      <c r="H1141" s="1" t="n">
        <v>43361</v>
      </c>
      <c r="I1141" s="1" t="n">
        <v>43363</v>
      </c>
      <c r="J1141" t="inlineStr">
        <is>
          <t>Brandon, Manitoba</t>
        </is>
      </c>
      <c r="K1141" t="inlineStr">
        <is>
          <t>Brandon, Manitoba</t>
        </is>
      </c>
      <c r="P1141" t="n">
        <v>615.26</v>
      </c>
      <c r="Q1141" t="n">
        <v>203.49</v>
      </c>
      <c r="R1141" t="n">
        <v>221</v>
      </c>
      <c r="S1141" t="n">
        <v>234.75</v>
      </c>
      <c r="U1141" t="n">
        <v>1274.5</v>
      </c>
      <c r="X1141" t="inlineStr">
        <is>
          <t>aafc-aac</t>
        </is>
      </c>
      <c r="Y1141" t="inlineStr">
        <is>
          <t>Agriculture and Agri-Food Canada | Agriculture et Agroalimentaire Canada</t>
        </is>
      </c>
      <c r="Z1141" t="n">
        <v>3</v>
      </c>
      <c r="AA1141" t="n">
        <v>1274.5</v>
      </c>
      <c r="AB1141">
        <f>ROUND(U1141-AA1141,2)</f>
        <v/>
      </c>
      <c r="AC1141" t="b">
        <v>0</v>
      </c>
      <c r="AD1141">
        <f>IF(U1141="","MISSING_TOTAL",IF(ABS(AB1141)&lt;=0.01,"OK","CHECK"))</f>
        <v/>
      </c>
      <c r="AE1141">
        <f>IF(U1141="","MISSING",IF(AND(AA1141&gt;0,U1141/AA1141&gt;50),"POSSIBLE_SCALE_ERROR","OK"))</f>
        <v/>
      </c>
    </row>
    <row r="1142">
      <c r="A1142" t="inlineStr">
        <is>
          <t>T-2018-Q3-00044</t>
        </is>
      </c>
      <c r="B1142" t="inlineStr">
        <is>
          <t>SLE</t>
        </is>
      </c>
      <c r="C1142" t="inlineStr">
        <is>
          <t>Associate Assistant Deputy Minister, Science and Techonologie Branch</t>
        </is>
      </c>
      <c r="D1142" t="inlineStr">
        <is>
          <t>Sous-ministre adjoint délégué, Direction générale des sciences et de la technologie</t>
        </is>
      </c>
      <c r="E1142" t="inlineStr">
        <is>
          <t>Gilles Saindon</t>
        </is>
      </c>
      <c r="F1142" t="inlineStr">
        <is>
          <t>Outreach at the Research and Development Center, all staff meetings and meet with industry</t>
        </is>
      </c>
      <c r="G1142" t="inlineStr">
        <is>
          <t>Visite de sensibilisation au Centre de recherche et développement, réunions avec tous le personnel et rencontres avec l'industrie</t>
        </is>
      </c>
      <c r="H1142" s="1" t="n">
        <v>43368</v>
      </c>
      <c r="I1142" s="1" t="n">
        <v>43371</v>
      </c>
      <c r="J1142" t="inlineStr">
        <is>
          <t>Lethbridge and Calgary, Alberta</t>
        </is>
      </c>
      <c r="K1142" t="inlineStr">
        <is>
          <t>Lethbridge et Calgary, Alberta</t>
        </is>
      </c>
      <c r="P1142" t="n">
        <v>1339.66</v>
      </c>
      <c r="Q1142" t="n">
        <v>94</v>
      </c>
      <c r="R1142" t="n">
        <v>494.7</v>
      </c>
      <c r="S1142" t="n">
        <v>309.9</v>
      </c>
      <c r="U1142" t="n">
        <v>2238.26</v>
      </c>
      <c r="X1142" t="inlineStr">
        <is>
          <t>aafc-aac</t>
        </is>
      </c>
      <c r="Y1142" t="inlineStr">
        <is>
          <t>Agriculture and Agri-Food Canada | Agriculture et Agroalimentaire Canada</t>
        </is>
      </c>
      <c r="Z1142" t="n">
        <v>4</v>
      </c>
      <c r="AA1142" t="n">
        <v>2238.26</v>
      </c>
      <c r="AB1142">
        <f>ROUND(U1142-AA1142,2)</f>
        <v/>
      </c>
      <c r="AC1142" t="b">
        <v>0</v>
      </c>
      <c r="AD1142">
        <f>IF(U1142="","MISSING_TOTAL",IF(ABS(AB1142)&lt;=0.01,"OK","CHECK"))</f>
        <v/>
      </c>
      <c r="AE1142">
        <f>IF(U1142="","MISSING",IF(AND(AA1142&gt;0,U1142/AA1142&gt;50),"POSSIBLE_SCALE_ERROR","OK"))</f>
        <v/>
      </c>
    </row>
    <row r="1143">
      <c r="A1143" t="inlineStr">
        <is>
          <t>T-2018-Q3-00045</t>
        </is>
      </c>
      <c r="B1143" t="inlineStr">
        <is>
          <t>SLE</t>
        </is>
      </c>
      <c r="C1143" t="inlineStr">
        <is>
          <t>Associate Assistant Deputy Minister, Science and Techonologie Branch</t>
        </is>
      </c>
      <c r="D1143" t="inlineStr">
        <is>
          <t>Sous-ministre adjoint délégué, Direction générale des sciences et de la technologie</t>
        </is>
      </c>
      <c r="E1143" t="inlineStr">
        <is>
          <t>Gilles Saindon</t>
        </is>
      </c>
      <c r="F1143" t="inlineStr">
        <is>
          <t>Attend  the Cooperative Program in Agricultural Research and Technology for the Northern Region (PROCINORTE) Board of Directos meetings</t>
        </is>
      </c>
      <c r="G1143" t="inlineStr">
        <is>
          <t>Assister à la rencondre du Conseil d'administration du Programme de coopération en recherche et technologie agricoles pour la région du Nord (PROCINORTE)</t>
        </is>
      </c>
      <c r="H1143" s="1" t="n">
        <v>43397</v>
      </c>
      <c r="I1143" s="1" t="n">
        <v>43399</v>
      </c>
      <c r="J1143" t="inlineStr">
        <is>
          <t>Las Cruces, New Mexico</t>
        </is>
      </c>
      <c r="K1143" t="inlineStr">
        <is>
          <t>Las Cruces, Nouveau Mexique</t>
        </is>
      </c>
      <c r="P1143" t="n">
        <v>2082.81</v>
      </c>
      <c r="Q1143" t="n">
        <v>75</v>
      </c>
      <c r="R1143" t="n">
        <v>286.82</v>
      </c>
      <c r="S1143" t="n">
        <v>248.53</v>
      </c>
      <c r="U1143" t="n">
        <v>2693.16</v>
      </c>
      <c r="X1143" t="inlineStr">
        <is>
          <t>aafc-aac</t>
        </is>
      </c>
      <c r="Y1143" t="inlineStr">
        <is>
          <t>Agriculture and Agri-Food Canada | Agriculture et Agroalimentaire Canada</t>
        </is>
      </c>
      <c r="Z1143" t="n">
        <v>3</v>
      </c>
      <c r="AA1143" t="n">
        <v>2693.16</v>
      </c>
      <c r="AB1143">
        <f>ROUND(U1143-AA1143,2)</f>
        <v/>
      </c>
      <c r="AC1143" t="b">
        <v>0</v>
      </c>
      <c r="AD1143">
        <f>IF(U1143="","MISSING_TOTAL",IF(ABS(AB1143)&lt;=0.01,"OK","CHECK"))</f>
        <v/>
      </c>
      <c r="AE1143">
        <f>IF(U1143="","MISSING",IF(AND(AA1143&gt;0,U1143/AA1143&gt;50),"POSSIBLE_SCALE_ERROR","OK"))</f>
        <v/>
      </c>
    </row>
    <row r="1144">
      <c r="A1144" t="inlineStr">
        <is>
          <t>T-2018-Q3-00046</t>
        </is>
      </c>
      <c r="B1144" t="inlineStr">
        <is>
          <t>SLE</t>
        </is>
      </c>
      <c r="C1144" t="inlineStr">
        <is>
          <t>Associate Assistant Deputy Minister, Science and Techonologie Branch</t>
        </is>
      </c>
      <c r="D1144" t="inlineStr">
        <is>
          <t>Sous-ministre adjoint délégué, Direction générale des sciences et de la technologie</t>
        </is>
      </c>
      <c r="E1144" t="inlineStr">
        <is>
          <t>Gilles Saindon</t>
        </is>
      </c>
      <c r="F1144" t="inlineStr">
        <is>
          <t>Attend the Canada-China Joint Committee as the Co-Chair, to visit the Oil Crops Research Institute of Chnese Academy  of Agricultural Sciences.  Attend the 25th China Yangling Agricultural Hi-tech Fair (CAF).</t>
        </is>
      </c>
      <c r="G1144" t="inlineStr">
        <is>
          <t>Assister en tant que Co-président du Comité conjoint Canada-Chine, visiter l'Institut de recherche sur les cultures oléagineuses de l'Académie des sciences de l'agriculture de Chine. Assistez à la 25e Foire agricole de haute technologie de Yangling (FAC).</t>
        </is>
      </c>
      <c r="H1144" s="1" t="n">
        <v>43400</v>
      </c>
      <c r="I1144" s="1" t="n">
        <v>43411</v>
      </c>
      <c r="J1144" t="inlineStr">
        <is>
          <t>Beijing, Wuhan, Xi'An - China</t>
        </is>
      </c>
      <c r="K1144" t="inlineStr">
        <is>
          <t>Beijing, Wuhan, Xi'An - Chine</t>
        </is>
      </c>
      <c r="P1144" t="n">
        <v>8607.83</v>
      </c>
      <c r="Q1144" t="n">
        <v>68</v>
      </c>
      <c r="R1144" t="n">
        <v>2139.38</v>
      </c>
      <c r="S1144" t="n">
        <v>896.78</v>
      </c>
      <c r="T1144" t="n">
        <v>36.84</v>
      </c>
      <c r="U1144" t="n">
        <v>11748.83</v>
      </c>
      <c r="X1144" t="inlineStr">
        <is>
          <t>aafc-aac</t>
        </is>
      </c>
      <c r="Y1144" t="inlineStr">
        <is>
          <t>Agriculture and Agri-Food Canada | Agriculture et Agroalimentaire Canada</t>
        </is>
      </c>
      <c r="Z1144" t="n">
        <v>12</v>
      </c>
      <c r="AA1144" t="n">
        <v>11748.83</v>
      </c>
      <c r="AB1144">
        <f>ROUND(U1144-AA1144,2)</f>
        <v/>
      </c>
      <c r="AC1144" t="b">
        <v>0</v>
      </c>
      <c r="AD1144">
        <f>IF(U1144="","MISSING_TOTAL",IF(ABS(AB1144)&lt;=0.01,"OK","CHECK"))</f>
        <v/>
      </c>
      <c r="AE1144">
        <f>IF(U1144="","MISSING",IF(AND(AA1144&gt;0,U1144/AA1144&gt;50),"POSSIBLE_SCALE_ERROR","OK"))</f>
        <v/>
      </c>
    </row>
    <row r="1145">
      <c r="A1145" t="inlineStr">
        <is>
          <t>T-2018-Q3-00047</t>
        </is>
      </c>
      <c r="B1145" t="inlineStr">
        <is>
          <t>SLE</t>
        </is>
      </c>
      <c r="C1145" t="inlineStr">
        <is>
          <t>Associate Assistant Deputy Minister, Science and Techonologie Branch</t>
        </is>
      </c>
      <c r="D1145" t="inlineStr">
        <is>
          <t>Sous-ministre adjoint délégué, Direction générale des sciences et de la technologie</t>
        </is>
      </c>
      <c r="E1145" t="inlineStr">
        <is>
          <t>Gilles Saindon</t>
        </is>
      </c>
      <c r="F1145" t="inlineStr">
        <is>
          <t>To attend different meetings with representatives of the European Union, and the Organisation for Economic Co-operation and Development - Co-operative Research Program</t>
        </is>
      </c>
      <c r="G1145" t="inlineStr">
        <is>
          <t>Assister à différentes rencontres, avec différents représentants de l'Union Européenne et l'Organisation de Coopération et de Développement Économiques - Programme de recherche en collaboration</t>
        </is>
      </c>
      <c r="H1145" s="1" t="n">
        <v>43430</v>
      </c>
      <c r="I1145" s="1" t="n">
        <v>43435</v>
      </c>
      <c r="J1145" t="inlineStr">
        <is>
          <t>Brussel, Belgium and Paris, France</t>
        </is>
      </c>
      <c r="K1145" t="inlineStr">
        <is>
          <t>Bruxelles, Belgique et Paris, France</t>
        </is>
      </c>
      <c r="P1145" t="n">
        <v>8909.879999999999</v>
      </c>
      <c r="Q1145" t="n">
        <v>428.19</v>
      </c>
      <c r="R1145" t="n">
        <v>1526.76</v>
      </c>
      <c r="S1145" t="n">
        <v>1102.6</v>
      </c>
      <c r="T1145" t="n">
        <v>2.95</v>
      </c>
      <c r="U1145" t="n">
        <v>11970.38</v>
      </c>
      <c r="X1145" t="inlineStr">
        <is>
          <t>aafc-aac</t>
        </is>
      </c>
      <c r="Y1145" t="inlineStr">
        <is>
          <t>Agriculture and Agri-Food Canada | Agriculture et Agroalimentaire Canada</t>
        </is>
      </c>
      <c r="Z1145" t="n">
        <v>6</v>
      </c>
      <c r="AA1145" t="n">
        <v>11970.38</v>
      </c>
      <c r="AB1145">
        <f>ROUND(U1145-AA1145,2)</f>
        <v/>
      </c>
      <c r="AC1145" t="b">
        <v>0</v>
      </c>
      <c r="AD1145">
        <f>IF(U1145="","MISSING_TOTAL",IF(ABS(AB1145)&lt;=0.01,"OK","CHECK"))</f>
        <v/>
      </c>
      <c r="AE1145">
        <f>IF(U1145="","MISSING",IF(AND(AA1145&gt;0,U1145/AA1145&gt;50),"POSSIBLE_SCALE_ERROR","OK"))</f>
        <v/>
      </c>
    </row>
    <row r="1146">
      <c r="A1146" t="inlineStr">
        <is>
          <t>T-2018-Q3-00068</t>
        </is>
      </c>
      <c r="B1146" t="inlineStr">
        <is>
          <t>SLE</t>
        </is>
      </c>
      <c r="C1146" t="inlineStr">
        <is>
          <t>Assistant Deputy Minister
International Affairs Branch</t>
        </is>
      </c>
      <c r="D1146" t="inlineStr">
        <is>
          <t>Sous-ministre adjoint, Direction générale des affaires internationales</t>
        </is>
      </c>
      <c r="E1146" t="inlineStr">
        <is>
          <t>Fred Gorrell</t>
        </is>
      </c>
      <c r="F1146" t="inlineStr">
        <is>
          <t>Meeting with Mexican Secretary</t>
        </is>
      </c>
      <c r="G1146" t="inlineStr">
        <is>
          <t>Réunion avec secrétaire du Mexique</t>
        </is>
      </c>
      <c r="H1146" s="1" t="n">
        <v>43395</v>
      </c>
      <c r="I1146" s="1" t="n">
        <v>43396</v>
      </c>
      <c r="J1146" t="inlineStr">
        <is>
          <t>Toronto, Ontario</t>
        </is>
      </c>
      <c r="K1146" t="inlineStr">
        <is>
          <t>Toronto, Ontario</t>
        </is>
      </c>
      <c r="P1146" t="n">
        <v>789.3099999999999</v>
      </c>
      <c r="Q1146" t="n">
        <v>0</v>
      </c>
      <c r="R1146" t="n">
        <v>171.76</v>
      </c>
      <c r="S1146" t="n">
        <v>104.85</v>
      </c>
      <c r="T1146" t="n">
        <v>0</v>
      </c>
      <c r="U1146" t="n">
        <v>1065.92</v>
      </c>
      <c r="X1146" t="inlineStr">
        <is>
          <t>aafc-aac</t>
        </is>
      </c>
      <c r="Y1146" t="inlineStr">
        <is>
          <t>Agriculture and Agri-Food Canada | Agriculture et Agroalimentaire Canada</t>
        </is>
      </c>
      <c r="Z1146" t="n">
        <v>2</v>
      </c>
      <c r="AA1146" t="n">
        <v>1065.91999999999</v>
      </c>
      <c r="AB1146">
        <f>ROUND(U1146-AA1146,2)</f>
        <v/>
      </c>
      <c r="AC1146" t="b">
        <v>0</v>
      </c>
      <c r="AD1146">
        <f>IF(U1146="","MISSING_TOTAL",IF(ABS(AB1146)&lt;=0.01,"OK","CHECK"))</f>
        <v/>
      </c>
      <c r="AE1146">
        <f>IF(U1146="","MISSING",IF(AND(AA1146&gt;0,U1146/AA1146&gt;50),"POSSIBLE_SCALE_ERROR","OK"))</f>
        <v/>
      </c>
    </row>
    <row r="1147">
      <c r="A1147" t="inlineStr">
        <is>
          <t>T-2018-Q3-00048</t>
        </is>
      </c>
      <c r="B1147" t="inlineStr">
        <is>
          <t>SLE</t>
        </is>
      </c>
      <c r="C1147" t="inlineStr">
        <is>
          <t>Assistant Deputy Minister, Corporate Management Branch</t>
        </is>
      </c>
      <c r="D1147" t="inlineStr">
        <is>
          <t>Sous-ministre adjointe, direction générale de la gestion intégrée</t>
        </is>
      </c>
      <c r="E1147" t="inlineStr">
        <is>
          <t>Christine Walker</t>
        </is>
      </c>
      <c r="F1147" t="inlineStr">
        <is>
          <t>Departmental Audit Committee site visit</t>
        </is>
      </c>
      <c r="G1147" t="inlineStr">
        <is>
          <t>visite de site du Comité ministériel de vérification</t>
        </is>
      </c>
      <c r="H1147" s="1" t="n">
        <v>43346</v>
      </c>
      <c r="I1147" s="1" t="n">
        <v>43348</v>
      </c>
      <c r="J1147" t="inlineStr">
        <is>
          <t>Halifax, Nova Scotia, Kentville, Nova Scotia</t>
        </is>
      </c>
      <c r="K1147" t="inlineStr">
        <is>
          <t>Halifax, Nouvelle-Écosse, Kentville, Nouvelle-Écosse</t>
        </is>
      </c>
      <c r="P1147" t="n">
        <v>260.04</v>
      </c>
      <c r="Q1147" t="n">
        <v>182.66</v>
      </c>
      <c r="R1147" t="n">
        <v>339.8</v>
      </c>
      <c r="S1147" t="n">
        <v>262</v>
      </c>
      <c r="U1147" t="n">
        <v>1044.5</v>
      </c>
      <c r="X1147" t="inlineStr">
        <is>
          <t>aafc-aac</t>
        </is>
      </c>
      <c r="Y1147" t="inlineStr">
        <is>
          <t>Agriculture and Agri-Food Canada | Agriculture et Agroalimentaire Canada</t>
        </is>
      </c>
      <c r="Z1147" t="n">
        <v>3</v>
      </c>
      <c r="AA1147" t="n">
        <v>1044.5</v>
      </c>
      <c r="AB1147">
        <f>ROUND(U1147-AA1147,2)</f>
        <v/>
      </c>
      <c r="AC1147" t="b">
        <v>0</v>
      </c>
      <c r="AD1147">
        <f>IF(U1147="","MISSING_TOTAL",IF(ABS(AB1147)&lt;=0.01,"OK","CHECK"))</f>
        <v/>
      </c>
      <c r="AE1147">
        <f>IF(U1147="","MISSING",IF(AND(AA1147&gt;0,U1147/AA1147&gt;50),"POSSIBLE_SCALE_ERROR","OK"))</f>
        <v/>
      </c>
    </row>
    <row r="1148">
      <c r="A1148" t="inlineStr">
        <is>
          <t>T-2018-Q3-00049</t>
        </is>
      </c>
      <c r="B1148" t="inlineStr">
        <is>
          <t>SLE</t>
        </is>
      </c>
      <c r="C1148" t="inlineStr">
        <is>
          <t>Assistant Deputy Minister, Corporate Management Branch</t>
        </is>
      </c>
      <c r="D1148" t="inlineStr">
        <is>
          <t>Sous-ministre adjoint, direction générale de la gestion intégrée</t>
        </is>
      </c>
      <c r="E1148" t="inlineStr">
        <is>
          <t>Pierre Corriveau</t>
        </is>
      </c>
      <c r="F1148" t="inlineStr">
        <is>
          <t>Departmental Audit Committee site visit</t>
        </is>
      </c>
      <c r="G1148" t="inlineStr">
        <is>
          <t>visite de site du Comité ministériel de vérification</t>
        </is>
      </c>
      <c r="H1148" s="1" t="n">
        <v>43346</v>
      </c>
      <c r="I1148" s="1" t="n">
        <v>43348</v>
      </c>
      <c r="J1148" t="inlineStr">
        <is>
          <t>Halifax, Nova Scotia, Kentville, Nova Scotia</t>
        </is>
      </c>
      <c r="K1148" t="inlineStr">
        <is>
          <t>Halifax, Nouvelle-Écosse, Kentville, Nouvelle-Écosse</t>
        </is>
      </c>
      <c r="P1148" t="n">
        <v>492</v>
      </c>
      <c r="Q1148" t="n">
        <v>218.48</v>
      </c>
      <c r="R1148" t="n">
        <v>339.8</v>
      </c>
      <c r="S1148" t="n">
        <v>238.06</v>
      </c>
      <c r="U1148" t="n">
        <v>1288.34</v>
      </c>
      <c r="X1148" t="inlineStr">
        <is>
          <t>aafc-aac</t>
        </is>
      </c>
      <c r="Y1148" t="inlineStr">
        <is>
          <t>Agriculture and Agri-Food Canada | Agriculture et Agroalimentaire Canada</t>
        </is>
      </c>
      <c r="Z1148" t="n">
        <v>3</v>
      </c>
      <c r="AA1148" t="n">
        <v>1288.34</v>
      </c>
      <c r="AB1148">
        <f>ROUND(U1148-AA1148,2)</f>
        <v/>
      </c>
      <c r="AC1148" t="b">
        <v>0</v>
      </c>
      <c r="AD1148">
        <f>IF(U1148="","MISSING_TOTAL",IF(ABS(AB1148)&lt;=0.01,"OK","CHECK"))</f>
        <v/>
      </c>
      <c r="AE1148">
        <f>IF(U1148="","MISSING",IF(AND(AA1148&gt;0,U1148/AA1148&gt;50),"POSSIBLE_SCALE_ERROR","OK"))</f>
        <v/>
      </c>
    </row>
    <row r="1149">
      <c r="A1149" t="inlineStr">
        <is>
          <t>T-2018-Q3-00050</t>
        </is>
      </c>
      <c r="B1149" t="inlineStr">
        <is>
          <t>SLE</t>
        </is>
      </c>
      <c r="C1149" t="inlineStr">
        <is>
          <t>Acting Assistant Deputy Minister, Public Affairs branch</t>
        </is>
      </c>
      <c r="D1149" t="inlineStr">
        <is>
          <t>Sous-ministre adjoint par intérim, Direction générale des affaires publiques</t>
        </is>
      </c>
      <c r="E1149" t="inlineStr">
        <is>
          <t>Steven Jurgutis</t>
        </is>
      </c>
      <c r="F1149" t="inlineStr">
        <is>
          <t>Steve participated in a Study Tour in Washington and New York City as part of his program "Certificate Program in Public Sector Leadership and Governance</t>
        </is>
      </c>
      <c r="G1149" t="inlineStr">
        <is>
          <t>Steve a participé à une visite d'étude à Washington et New York qui fait partie de son "Programme de certificat en leadership du secteur public et gouvernance"</t>
        </is>
      </c>
      <c r="H1149" s="1" t="n">
        <v>43429</v>
      </c>
      <c r="I1149" s="1" t="n">
        <v>43435</v>
      </c>
      <c r="J1149" t="inlineStr">
        <is>
          <t>Washington, DC &amp; New York City, New York</t>
        </is>
      </c>
      <c r="K1149" t="inlineStr">
        <is>
          <t>Washington et New York, New York</t>
        </is>
      </c>
      <c r="P1149" t="n">
        <v>1497.71</v>
      </c>
      <c r="Q1149" t="n">
        <v>134.44</v>
      </c>
      <c r="R1149" t="n">
        <v>1973.45</v>
      </c>
      <c r="S1149" t="n">
        <v>728.45</v>
      </c>
      <c r="U1149" t="n">
        <v>4334.05</v>
      </c>
      <c r="X1149" t="inlineStr">
        <is>
          <t>aafc-aac</t>
        </is>
      </c>
      <c r="Y1149" t="inlineStr">
        <is>
          <t>Agriculture and Agri-Food Canada | Agriculture et Agroalimentaire Canada</t>
        </is>
      </c>
      <c r="Z1149" t="n">
        <v>7</v>
      </c>
      <c r="AA1149" t="n">
        <v>4334.05</v>
      </c>
      <c r="AB1149">
        <f>ROUND(U1149-AA1149,2)</f>
        <v/>
      </c>
      <c r="AC1149" t="b">
        <v>0</v>
      </c>
      <c r="AD1149">
        <f>IF(U1149="","MISSING_TOTAL",IF(ABS(AB1149)&lt;=0.01,"OK","CHECK"))</f>
        <v/>
      </c>
      <c r="AE1149">
        <f>IF(U1149="","MISSING",IF(AND(AA1149&gt;0,U1149/AA1149&gt;50),"POSSIBLE_SCALE_ERROR","OK"))</f>
        <v/>
      </c>
    </row>
    <row r="1150">
      <c r="A1150" t="inlineStr">
        <is>
          <t>T-2018-Q3-00051</t>
        </is>
      </c>
      <c r="B1150" t="inlineStr">
        <is>
          <t>SLE</t>
        </is>
      </c>
      <c r="C1150" t="inlineStr">
        <is>
          <t>Assistant Deputy Minister, Market and Industry Service Branch</t>
        </is>
      </c>
      <c r="D1150" t="inlineStr">
        <is>
          <t>Sous-ministre adjoint, Direction générale des services à l'industrie et aux marchés</t>
        </is>
      </c>
      <c r="E1150" t="inlineStr">
        <is>
          <t>Frédéric Seppey</t>
        </is>
      </c>
      <c r="F1150" t="inlineStr">
        <is>
          <t>Travel required for the North American Free Trade Agreement negotiations in Washington</t>
        </is>
      </c>
      <c r="G1150" t="inlineStr">
        <is>
          <t>Voyage pour les négociations de l’Accord de libre-échange Nord-Américain à Washington.</t>
        </is>
      </c>
      <c r="H1150" s="1" t="n">
        <v>43347</v>
      </c>
      <c r="I1150" s="1" t="n">
        <v>43351</v>
      </c>
      <c r="J1150" t="inlineStr">
        <is>
          <t>Washington, United States</t>
        </is>
      </c>
      <c r="K1150" t="inlineStr">
        <is>
          <t>Washington, États-Unis</t>
        </is>
      </c>
      <c r="P1150" t="n">
        <v>1721.69</v>
      </c>
      <c r="Q1150" t="n">
        <v>206.94</v>
      </c>
      <c r="R1150" t="n">
        <v>797.34</v>
      </c>
      <c r="S1150" t="n">
        <v>553.78</v>
      </c>
      <c r="U1150" t="n">
        <v>3279.75</v>
      </c>
      <c r="X1150" t="inlineStr">
        <is>
          <t>aafc-aac</t>
        </is>
      </c>
      <c r="Y1150" t="inlineStr">
        <is>
          <t>Agriculture and Agri-Food Canada | Agriculture et Agroalimentaire Canada</t>
        </is>
      </c>
      <c r="Z1150" t="n">
        <v>5</v>
      </c>
      <c r="AA1150" t="n">
        <v>3279.75</v>
      </c>
      <c r="AB1150">
        <f>ROUND(U1150-AA1150,2)</f>
        <v/>
      </c>
      <c r="AC1150" t="b">
        <v>0</v>
      </c>
      <c r="AD1150">
        <f>IF(U1150="","MISSING_TOTAL",IF(ABS(AB1150)&lt;=0.01,"OK","CHECK"))</f>
        <v/>
      </c>
      <c r="AE1150">
        <f>IF(U1150="","MISSING",IF(AND(AA1150&gt;0,U1150/AA1150&gt;50),"POSSIBLE_SCALE_ERROR","OK"))</f>
        <v/>
      </c>
    </row>
    <row r="1151">
      <c r="A1151" t="inlineStr">
        <is>
          <t>T-2018-Q3-00052</t>
        </is>
      </c>
      <c r="B1151" t="inlineStr">
        <is>
          <t>SLE</t>
        </is>
      </c>
      <c r="C1151" t="inlineStr">
        <is>
          <t>Assistant Deputy Minister, Market and Industry Service Branch</t>
        </is>
      </c>
      <c r="D1151" t="inlineStr">
        <is>
          <t>Sous-ministre adjoint, Direction générale des services à l'industrie et aux marchés</t>
        </is>
      </c>
      <c r="E1151" t="inlineStr">
        <is>
          <t>Frédéric Seppey</t>
        </is>
      </c>
      <c r="F1151" t="inlineStr">
        <is>
          <t>Meetings with Brazilian Government in Brasilia and chairing the 6th Global Low Level Presence Initiative  meetings in Natal, Brazil</t>
        </is>
      </c>
      <c r="G1151" t="inlineStr">
        <is>
          <t>Rencontre avec le Government Brésil à Brasilia et présidence de la 6ème initiative mondiale de la présence en faible concentration à Natal, Brésil.</t>
        </is>
      </c>
      <c r="H1151" s="1" t="n">
        <v>43366</v>
      </c>
      <c r="I1151" s="1" t="n">
        <v>43372</v>
      </c>
      <c r="J1151" t="inlineStr">
        <is>
          <t>Brasilia, Brazil and Natal, Brazil</t>
        </is>
      </c>
      <c r="K1151" t="inlineStr">
        <is>
          <t>Brasilia, Brésil et Natal, Brésil</t>
        </is>
      </c>
      <c r="P1151" t="n">
        <v>10004.58</v>
      </c>
      <c r="Q1151" t="n">
        <v>132.23</v>
      </c>
      <c r="R1151" t="n">
        <v>238.43</v>
      </c>
      <c r="S1151" t="n">
        <v>687.87</v>
      </c>
      <c r="T1151" t="n">
        <v>4.5</v>
      </c>
      <c r="U1151" t="n">
        <v>11067.61</v>
      </c>
      <c r="X1151" t="inlineStr">
        <is>
          <t>aafc-aac</t>
        </is>
      </c>
      <c r="Y1151" t="inlineStr">
        <is>
          <t>Agriculture and Agri-Food Canada | Agriculture et Agroalimentaire Canada</t>
        </is>
      </c>
      <c r="Z1151" t="n">
        <v>7</v>
      </c>
      <c r="AA1151" t="n">
        <v>11067.61</v>
      </c>
      <c r="AB1151">
        <f>ROUND(U1151-AA1151,2)</f>
        <v/>
      </c>
      <c r="AC1151" t="b">
        <v>0</v>
      </c>
      <c r="AD1151">
        <f>IF(U1151="","MISSING_TOTAL",IF(ABS(AB1151)&lt;=0.01,"OK","CHECK"))</f>
        <v/>
      </c>
      <c r="AE1151">
        <f>IF(U1151="","MISSING",IF(AND(AA1151&gt;0,U1151/AA1151&gt;50),"POSSIBLE_SCALE_ERROR","OK"))</f>
        <v/>
      </c>
    </row>
    <row r="1152">
      <c r="A1152" t="inlineStr">
        <is>
          <t>T-2018-Q3-00059</t>
        </is>
      </c>
      <c r="B1152" t="inlineStr">
        <is>
          <t>SLE</t>
        </is>
      </c>
      <c r="C1152" t="inlineStr">
        <is>
          <t>Assistant Deputy Minister, Strategic Policy Branch</t>
        </is>
      </c>
      <c r="D1152" t="inlineStr">
        <is>
          <t>Sous-ministre adjoint, Direction générale des politiques stratégiques</t>
        </is>
      </c>
      <c r="E1152" t="inlineStr">
        <is>
          <t>Tom Rosser</t>
        </is>
      </c>
      <c r="F1152" t="inlineStr">
        <is>
          <t>Meeting with Staff in Winnipeg and a Tour of HyLife in Neepawa, Manitoba.</t>
        </is>
      </c>
      <c r="G1152" t="inlineStr">
        <is>
          <t>Rencontre avec le personnel de Winnipeg et une tour de HyLife à Neepawa, Manitoba.</t>
        </is>
      </c>
      <c r="H1152" s="1" t="n">
        <v>43387</v>
      </c>
      <c r="I1152" s="1" t="n">
        <v>43389</v>
      </c>
      <c r="J1152" t="inlineStr">
        <is>
          <t>Winnipeg, Manitoba</t>
        </is>
      </c>
      <c r="K1152" t="inlineStr">
        <is>
          <t>Winnipeg, Manitoba</t>
        </is>
      </c>
      <c r="P1152" t="n">
        <v>1488.3</v>
      </c>
      <c r="Q1152" t="n">
        <v>105</v>
      </c>
      <c r="R1152" t="n">
        <v>345.01</v>
      </c>
      <c r="S1152" t="n">
        <v>262.25</v>
      </c>
      <c r="U1152" t="n">
        <v>2200.56</v>
      </c>
      <c r="X1152" t="inlineStr">
        <is>
          <t>aafc-aac</t>
        </is>
      </c>
      <c r="Y1152" t="inlineStr">
        <is>
          <t>Agriculture and Agri-Food Canada | Agriculture et Agroalimentaire Canada</t>
        </is>
      </c>
      <c r="Z1152" t="n">
        <v>3</v>
      </c>
      <c r="AA1152" t="n">
        <v>2200.56</v>
      </c>
      <c r="AB1152">
        <f>ROUND(U1152-AA1152,2)</f>
        <v/>
      </c>
      <c r="AC1152" t="b">
        <v>0</v>
      </c>
      <c r="AD1152">
        <f>IF(U1152="","MISSING_TOTAL",IF(ABS(AB1152)&lt;=0.01,"OK","CHECK"))</f>
        <v/>
      </c>
      <c r="AE1152">
        <f>IF(U1152="","MISSING",IF(AND(AA1152&gt;0,U1152/AA1152&gt;50),"POSSIBLE_SCALE_ERROR","OK"))</f>
        <v/>
      </c>
    </row>
    <row r="1153">
      <c r="A1153" t="inlineStr">
        <is>
          <t>T-2018-Q3-00060</t>
        </is>
      </c>
      <c r="B1153" t="inlineStr">
        <is>
          <t>SLE</t>
        </is>
      </c>
      <c r="C1153" t="inlineStr">
        <is>
          <t>Assistant Deputy Minister, Strategic Policy Branch</t>
        </is>
      </c>
      <c r="D1153" t="inlineStr">
        <is>
          <t>Sous-ministre adjoint, Direction générale des politiques stratégiques</t>
        </is>
      </c>
      <c r="E1153" t="inlineStr">
        <is>
          <t>Tom Rosser</t>
        </is>
      </c>
      <c r="F1153" t="inlineStr">
        <is>
          <t>Invited Panelist on the Food Secure Canada's Assembly.</t>
        </is>
      </c>
      <c r="G1153" t="inlineStr">
        <is>
          <t>Invité conferencier sur la sécurité alimentaire de l'assemblée du Canada.</t>
        </is>
      </c>
      <c r="H1153" s="1" t="n">
        <v>43406</v>
      </c>
      <c r="I1153" s="1" t="n">
        <v>43407</v>
      </c>
      <c r="J1153" t="inlineStr">
        <is>
          <t>Montreal, Quebec</t>
        </is>
      </c>
      <c r="K1153" t="inlineStr">
        <is>
          <t>Montréal, Québec</t>
        </is>
      </c>
      <c r="Q1153" t="n">
        <v>372.44</v>
      </c>
      <c r="R1153" t="n">
        <v>182.45</v>
      </c>
      <c r="S1153" t="n">
        <v>174.7</v>
      </c>
      <c r="U1153" t="n">
        <v>729.59</v>
      </c>
      <c r="X1153" t="inlineStr">
        <is>
          <t>aafc-aac</t>
        </is>
      </c>
      <c r="Y1153" t="inlineStr">
        <is>
          <t>Agriculture and Agri-Food Canada | Agriculture et Agroalimentaire Canada</t>
        </is>
      </c>
      <c r="Z1153" t="n">
        <v>2</v>
      </c>
      <c r="AA1153" t="n">
        <v>729.589999999999</v>
      </c>
      <c r="AB1153">
        <f>ROUND(U1153-AA1153,2)</f>
        <v/>
      </c>
      <c r="AC1153" t="b">
        <v>0</v>
      </c>
      <c r="AD1153">
        <f>IF(U1153="","MISSING_TOTAL",IF(ABS(AB1153)&lt;=0.01,"OK","CHECK"))</f>
        <v/>
      </c>
      <c r="AE1153">
        <f>IF(U1153="","MISSING",IF(AND(AA1153&gt;0,U1153/AA1153&gt;50),"POSSIBLE_SCALE_ERROR","OK"))</f>
        <v/>
      </c>
    </row>
    <row r="1154">
      <c r="A1154" t="inlineStr">
        <is>
          <t>T-2018-Q3-00053</t>
        </is>
      </c>
      <c r="B1154" t="inlineStr">
        <is>
          <t>SLE</t>
        </is>
      </c>
      <c r="C1154" t="inlineStr">
        <is>
          <t>Assistant Deputy Minister, Market and Industry Service Branch</t>
        </is>
      </c>
      <c r="D1154" t="inlineStr">
        <is>
          <t>Sous-ministre adjoint, Direction générale des services à l'industrie et aux marchés</t>
        </is>
      </c>
      <c r="E1154" t="inlineStr">
        <is>
          <t>Frédéric Seppey</t>
        </is>
      </c>
      <c r="F1154" t="inlineStr">
        <is>
          <t>Speaker at the World Grain Conference on trade and negotiations in Winnipeg and a briefing to dairy sector representatives in Toronto</t>
        </is>
      </c>
      <c r="G1154" t="inlineStr">
        <is>
          <t>Discours sur le commerce et les négociations à la conférence World Grain Conference ainsi qu’une rencontre avec des représentants du secteur laitier à Toronto.</t>
        </is>
      </c>
      <c r="H1154" s="1" t="n">
        <v>43416</v>
      </c>
      <c r="I1154" s="1" t="n">
        <v>43419</v>
      </c>
      <c r="J1154" t="inlineStr">
        <is>
          <t>Winnipeg, Manitoba and Toronto, Ontario</t>
        </is>
      </c>
      <c r="K1154" t="inlineStr">
        <is>
          <t>Winnipeg, Manitoba et Toronto, Ontario</t>
        </is>
      </c>
      <c r="P1154" t="n">
        <v>1285.92</v>
      </c>
      <c r="Q1154" t="n">
        <v>130.01</v>
      </c>
      <c r="R1154" t="n">
        <v>787.21</v>
      </c>
      <c r="S1154" t="n">
        <v>319.65</v>
      </c>
      <c r="T1154" t="n">
        <v>7.86</v>
      </c>
      <c r="U1154" t="n">
        <v>2530.65</v>
      </c>
      <c r="X1154" t="inlineStr">
        <is>
          <t>aafc-aac</t>
        </is>
      </c>
      <c r="Y1154" t="inlineStr">
        <is>
          <t>Agriculture and Agri-Food Canada | Agriculture et Agroalimentaire Canada</t>
        </is>
      </c>
      <c r="Z1154" t="n">
        <v>4</v>
      </c>
      <c r="AA1154" t="n">
        <v>2530.65</v>
      </c>
      <c r="AB1154">
        <f>ROUND(U1154-AA1154,2)</f>
        <v/>
      </c>
      <c r="AC1154" t="b">
        <v>0</v>
      </c>
      <c r="AD1154">
        <f>IF(U1154="","MISSING_TOTAL",IF(ABS(AB1154)&lt;=0.01,"OK","CHECK"))</f>
        <v/>
      </c>
      <c r="AE1154">
        <f>IF(U1154="","MISSING",IF(AND(AA1154&gt;0,U1154/AA1154&gt;50),"POSSIBLE_SCALE_ERROR","OK"))</f>
        <v/>
      </c>
    </row>
    <row r="1155">
      <c r="A1155" t="inlineStr">
        <is>
          <t>T-2018-Q3-00054</t>
        </is>
      </c>
      <c r="B1155" t="inlineStr">
        <is>
          <t>SLE</t>
        </is>
      </c>
      <c r="C1155" t="inlineStr">
        <is>
          <t>Assistant Deputy Minister, Market and Industry Service Branch</t>
        </is>
      </c>
      <c r="D1155" t="inlineStr">
        <is>
          <t>Sous-ministre adjoint, Direction générale des services à l'industrie et aux marchés</t>
        </is>
      </c>
      <c r="E1155" t="inlineStr">
        <is>
          <t>Frédéric Seppey</t>
        </is>
      </c>
      <c r="F1155" t="inlineStr">
        <is>
          <t>Chair of Panel for the Food and Agriculture Organization of the United Nations Symposium on Agriculture Innovation in Rome, Italy</t>
        </is>
      </c>
      <c r="G1155" t="inlineStr">
        <is>
          <t>Présidence d'un panel au symposium international sur l’innovation agricole à l’organisation des Nations Unies pour l’alimentation et l’agriculture, Rome, Italie.</t>
        </is>
      </c>
      <c r="H1155" s="1" t="n">
        <v>43424</v>
      </c>
      <c r="I1155" s="1" t="n">
        <v>43427</v>
      </c>
      <c r="J1155" t="inlineStr">
        <is>
          <t>Rome, Italy</t>
        </is>
      </c>
      <c r="K1155" t="inlineStr">
        <is>
          <t>Rome, Italie</t>
        </is>
      </c>
      <c r="P1155" t="n">
        <v>8993.67</v>
      </c>
      <c r="Q1155" t="n">
        <v>271.64</v>
      </c>
      <c r="R1155" t="n">
        <v>476.91</v>
      </c>
      <c r="S1155" t="n">
        <v>598.9400000000001</v>
      </c>
      <c r="T1155" t="n">
        <v>2.72</v>
      </c>
      <c r="U1155" t="n">
        <v>10343.88</v>
      </c>
      <c r="X1155" t="inlineStr">
        <is>
          <t>aafc-aac</t>
        </is>
      </c>
      <c r="Y1155" t="inlineStr">
        <is>
          <t>Agriculture and Agri-Food Canada | Agriculture et Agroalimentaire Canada</t>
        </is>
      </c>
      <c r="Z1155" t="n">
        <v>4</v>
      </c>
      <c r="AA1155" t="n">
        <v>10343.88</v>
      </c>
      <c r="AB1155">
        <f>ROUND(U1155-AA1155,2)</f>
        <v/>
      </c>
      <c r="AC1155" t="b">
        <v>0</v>
      </c>
      <c r="AD1155">
        <f>IF(U1155="","MISSING_TOTAL",IF(ABS(AB1155)&lt;=0.01,"OK","CHECK"))</f>
        <v/>
      </c>
      <c r="AE1155">
        <f>IF(U1155="","MISSING",IF(AND(AA1155&gt;0,U1155/AA1155&gt;50),"POSSIBLE_SCALE_ERROR","OK"))</f>
        <v/>
      </c>
    </row>
    <row r="1156">
      <c r="A1156" t="inlineStr">
        <is>
          <t>T-2018-Q3-00055</t>
        </is>
      </c>
      <c r="B1156" t="inlineStr">
        <is>
          <t>SLE</t>
        </is>
      </c>
      <c r="C1156" t="inlineStr">
        <is>
          <t>Assistant Deputy Minister, Programs Branch</t>
        </is>
      </c>
      <c r="D1156" t="inlineStr">
        <is>
          <t>Sous-ministre adjointe, Direction générale des programmes</t>
        </is>
      </c>
      <c r="E1156" t="inlineStr">
        <is>
          <t>Jane Taylor</t>
        </is>
      </c>
      <c r="F1156" t="inlineStr">
        <is>
          <t>Operational Activities - Meetings</t>
        </is>
      </c>
      <c r="G1156" t="inlineStr">
        <is>
          <t>Activités opérationnelles - Réunions</t>
        </is>
      </c>
      <c r="H1156" s="1" t="n">
        <v>43361</v>
      </c>
      <c r="I1156" s="1" t="n">
        <v>43364</v>
      </c>
      <c r="J1156" t="inlineStr">
        <is>
          <t>Whitehorse, Yukon</t>
        </is>
      </c>
      <c r="K1156" t="inlineStr">
        <is>
          <t>Whitehorse, Yukon</t>
        </is>
      </c>
      <c r="P1156" t="n">
        <v>2016.83</v>
      </c>
      <c r="Q1156" t="n">
        <v>45</v>
      </c>
      <c r="R1156" t="n">
        <v>537.6</v>
      </c>
      <c r="S1156" t="n">
        <v>342.7</v>
      </c>
      <c r="U1156" t="n">
        <v>2942.13</v>
      </c>
      <c r="X1156" t="inlineStr">
        <is>
          <t>aafc-aac</t>
        </is>
      </c>
      <c r="Y1156" t="inlineStr">
        <is>
          <t>Agriculture and Agri-Food Canada | Agriculture et Agroalimentaire Canada</t>
        </is>
      </c>
      <c r="Z1156" t="n">
        <v>4</v>
      </c>
      <c r="AA1156" t="n">
        <v>2942.12999999999</v>
      </c>
      <c r="AB1156">
        <f>ROUND(U1156-AA1156,2)</f>
        <v/>
      </c>
      <c r="AC1156" t="b">
        <v>0</v>
      </c>
      <c r="AD1156">
        <f>IF(U1156="","MISSING_TOTAL",IF(ABS(AB1156)&lt;=0.01,"OK","CHECK"))</f>
        <v/>
      </c>
      <c r="AE1156">
        <f>IF(U1156="","MISSING",IF(AND(AA1156&gt;0,U1156/AA1156&gt;50),"POSSIBLE_SCALE_ERROR","OK"))</f>
        <v/>
      </c>
    </row>
    <row r="1157">
      <c r="A1157" t="inlineStr">
        <is>
          <t>T-2018-Q3-00056</t>
        </is>
      </c>
      <c r="B1157" t="inlineStr">
        <is>
          <t>SLE</t>
        </is>
      </c>
      <c r="C1157" t="inlineStr">
        <is>
          <t>Assistant Deputy Minister, Strategic Policy Branch</t>
        </is>
      </c>
      <c r="D1157" t="inlineStr">
        <is>
          <t>Sous-ministre adjoint, Direction générale des politiques stratégiques</t>
        </is>
      </c>
      <c r="E1157" t="inlineStr">
        <is>
          <t>Tom Rosser</t>
        </is>
      </c>
      <c r="F1157" t="inlineStr">
        <is>
          <t>To participate in a Climate Agriculture Summit.</t>
        </is>
      </c>
      <c r="G1157" t="inlineStr">
        <is>
          <t>Participer à un sommet de l'agriculture climatique.</t>
        </is>
      </c>
      <c r="H1157" s="1" t="n">
        <v>43353</v>
      </c>
      <c r="I1157" s="1" t="n">
        <v>43355</v>
      </c>
      <c r="J1157" t="inlineStr">
        <is>
          <t>Petaluma, California</t>
        </is>
      </c>
      <c r="K1157" t="inlineStr">
        <is>
          <t>Petaluma, Californie</t>
        </is>
      </c>
      <c r="P1157" t="n">
        <v>3569.16</v>
      </c>
      <c r="Q1157" t="n">
        <v>646.29</v>
      </c>
      <c r="R1157" t="n">
        <v>682.45</v>
      </c>
      <c r="S1157" t="n">
        <v>287.47</v>
      </c>
      <c r="U1157" t="n">
        <v>5185.37</v>
      </c>
      <c r="X1157" t="inlineStr">
        <is>
          <t>aafc-aac</t>
        </is>
      </c>
      <c r="Y1157" t="inlineStr">
        <is>
          <t>Agriculture and Agri-Food Canada | Agriculture et Agroalimentaire Canada</t>
        </is>
      </c>
      <c r="Z1157" t="n">
        <v>3</v>
      </c>
      <c r="AA1157" t="n">
        <v>5185.37</v>
      </c>
      <c r="AB1157">
        <f>ROUND(U1157-AA1157,2)</f>
        <v/>
      </c>
      <c r="AC1157" t="b">
        <v>0</v>
      </c>
      <c r="AD1157">
        <f>IF(U1157="","MISSING_TOTAL",IF(ABS(AB1157)&lt;=0.01,"OK","CHECK"))</f>
        <v/>
      </c>
      <c r="AE1157">
        <f>IF(U1157="","MISSING",IF(AND(AA1157&gt;0,U1157/AA1157&gt;50),"POSSIBLE_SCALE_ERROR","OK"))</f>
        <v/>
      </c>
    </row>
    <row r="1158">
      <c r="A1158" t="inlineStr">
        <is>
          <t>T-2018-Q3-00057</t>
        </is>
      </c>
      <c r="B1158" t="inlineStr">
        <is>
          <t>SLE</t>
        </is>
      </c>
      <c r="C1158" t="inlineStr">
        <is>
          <t>Assistant Deputy Minister, Strategic Policy Branch</t>
        </is>
      </c>
      <c r="D1158" t="inlineStr">
        <is>
          <t>Sous-ministre adjoint, Direction générale des politiques stratégiques</t>
        </is>
      </c>
      <c r="E1158" t="inlineStr">
        <is>
          <t>Tom Rosser</t>
        </is>
      </c>
      <c r="F1158" t="inlineStr">
        <is>
          <t>To participate in a Grain Transportation Roundtable.</t>
        </is>
      </c>
      <c r="G1158" t="inlineStr">
        <is>
          <t>Participer à une table ronde de transport du grain.</t>
        </is>
      </c>
      <c r="H1158" s="1" t="n">
        <v>43355</v>
      </c>
      <c r="I1158" s="1" t="n">
        <v>43356</v>
      </c>
      <c r="J1158" t="inlineStr">
        <is>
          <t>Saskatoon, Saskatchewan</t>
        </is>
      </c>
      <c r="K1158" t="inlineStr">
        <is>
          <t>Saskatoon, Saskatchewan</t>
        </is>
      </c>
      <c r="P1158" t="n">
        <v>1945.51</v>
      </c>
      <c r="Q1158" t="n">
        <v>65</v>
      </c>
      <c r="R1158" t="n">
        <v>164.44</v>
      </c>
      <c r="S1158" t="n">
        <v>104.1</v>
      </c>
      <c r="U1158" t="n">
        <v>2279.05</v>
      </c>
      <c r="X1158" t="inlineStr">
        <is>
          <t>aafc-aac</t>
        </is>
      </c>
      <c r="Y1158" t="inlineStr">
        <is>
          <t>Agriculture and Agri-Food Canada | Agriculture et Agroalimentaire Canada</t>
        </is>
      </c>
      <c r="Z1158" t="n">
        <v>2</v>
      </c>
      <c r="AA1158" t="n">
        <v>2279.04999999999</v>
      </c>
      <c r="AB1158">
        <f>ROUND(U1158-AA1158,2)</f>
        <v/>
      </c>
      <c r="AC1158" t="b">
        <v>0</v>
      </c>
      <c r="AD1158">
        <f>IF(U1158="","MISSING_TOTAL",IF(ABS(AB1158)&lt;=0.01,"OK","CHECK"))</f>
        <v/>
      </c>
      <c r="AE1158">
        <f>IF(U1158="","MISSING",IF(AND(AA1158&gt;0,U1158/AA1158&gt;50),"POSSIBLE_SCALE_ERROR","OK"))</f>
        <v/>
      </c>
    </row>
    <row r="1159">
      <c r="A1159" t="inlineStr">
        <is>
          <t>T-2018-Q3-00058</t>
        </is>
      </c>
      <c r="B1159" t="inlineStr">
        <is>
          <t>SLE</t>
        </is>
      </c>
      <c r="C1159" t="inlineStr">
        <is>
          <t>Assistant Deputy Minister, Strategic Policy Branch</t>
        </is>
      </c>
      <c r="D1159" t="inlineStr">
        <is>
          <t>Sous-ministre adjoint, Direction générale des politiques stratégiques</t>
        </is>
      </c>
      <c r="E1159" t="inlineStr">
        <is>
          <t>Tom Rosser</t>
        </is>
      </c>
      <c r="F1159" t="inlineStr">
        <is>
          <t>To participate in a meeting of Federal, Provincial and Territorial Assistant Deputy Ministers.</t>
        </is>
      </c>
      <c r="G1159" t="inlineStr">
        <is>
          <t>Participer à une réunion fédérale, provinciale et territoriale des sous-ministres adjoints.</t>
        </is>
      </c>
      <c r="H1159" s="1" t="n">
        <v>43382</v>
      </c>
      <c r="I1159" s="1" t="n">
        <v>43384</v>
      </c>
      <c r="J1159" t="inlineStr">
        <is>
          <t>Toronto, Ontario</t>
        </is>
      </c>
      <c r="K1159" t="inlineStr">
        <is>
          <t>Toronto, Ontario</t>
        </is>
      </c>
      <c r="P1159" t="n">
        <v>615.6799999999999</v>
      </c>
      <c r="Q1159" t="n">
        <v>80</v>
      </c>
      <c r="R1159" t="n">
        <v>317.3</v>
      </c>
      <c r="S1159" t="n">
        <v>212.45</v>
      </c>
      <c r="U1159" t="n">
        <v>1225.43</v>
      </c>
      <c r="X1159" t="inlineStr">
        <is>
          <t>aafc-aac</t>
        </is>
      </c>
      <c r="Y1159" t="inlineStr">
        <is>
          <t>Agriculture and Agri-Food Canada | Agriculture et Agroalimentaire Canada</t>
        </is>
      </c>
      <c r="Z1159" t="n">
        <v>3</v>
      </c>
      <c r="AA1159" t="n">
        <v>1225.43</v>
      </c>
      <c r="AB1159">
        <f>ROUND(U1159-AA1159,2)</f>
        <v/>
      </c>
      <c r="AC1159" t="b">
        <v>0</v>
      </c>
      <c r="AD1159">
        <f>IF(U1159="","MISSING_TOTAL",IF(ABS(AB1159)&lt;=0.01,"OK","CHECK"))</f>
        <v/>
      </c>
      <c r="AE1159">
        <f>IF(U1159="","MISSING",IF(AND(AA1159&gt;0,U1159/AA1159&gt;50),"POSSIBLE_SCALE_ERROR","OK"))</f>
        <v/>
      </c>
    </row>
    <row r="1160">
      <c r="A1160" t="inlineStr">
        <is>
          <t>T-2018-Q3-00067</t>
        </is>
      </c>
      <c r="B1160" t="inlineStr">
        <is>
          <t>SLE</t>
        </is>
      </c>
      <c r="C1160" t="inlineStr">
        <is>
          <t>Chief Information Officer</t>
        </is>
      </c>
      <c r="D1160" t="inlineStr">
        <is>
          <t>Dirigeant principal de l'information</t>
        </is>
      </c>
      <c r="E1160" t="inlineStr">
        <is>
          <t>Michel Lessard</t>
        </is>
      </c>
      <c r="F1160" t="inlineStr">
        <is>
          <t>Outreach visit</t>
        </is>
      </c>
      <c r="G1160" t="inlineStr">
        <is>
          <t>Visite de sensibilisation</t>
        </is>
      </c>
      <c r="H1160" s="1" t="n">
        <v>43417</v>
      </c>
      <c r="I1160" s="1" t="n">
        <v>43420</v>
      </c>
      <c r="J1160" t="inlineStr">
        <is>
          <t>Guelph and London, Ontario</t>
        </is>
      </c>
      <c r="K1160" t="inlineStr">
        <is>
          <t>Guelph et London, Ontario</t>
        </is>
      </c>
      <c r="P1160" t="n">
        <v>561.38</v>
      </c>
      <c r="Q1160" t="n">
        <v>345.3</v>
      </c>
      <c r="R1160" t="n">
        <v>564.42</v>
      </c>
      <c r="S1160" t="n">
        <v>242.4</v>
      </c>
      <c r="U1160" t="n">
        <v>1713.5</v>
      </c>
      <c r="X1160" t="inlineStr">
        <is>
          <t>aafc-aac</t>
        </is>
      </c>
      <c r="Y1160" t="inlineStr">
        <is>
          <t>Agriculture and Agri-Food Canada | Agriculture et Agroalimentaire Canada</t>
        </is>
      </c>
      <c r="Z1160" t="n">
        <v>4</v>
      </c>
      <c r="AA1160" t="n">
        <v>1713.5</v>
      </c>
      <c r="AB1160">
        <f>ROUND(U1160-AA1160,2)</f>
        <v/>
      </c>
      <c r="AC1160" t="b">
        <v>0</v>
      </c>
      <c r="AD1160">
        <f>IF(U1160="","MISSING_TOTAL",IF(ABS(AB1160)&lt;=0.01,"OK","CHECK"))</f>
        <v/>
      </c>
      <c r="AE1160">
        <f>IF(U1160="","MISSING",IF(AND(AA1160&gt;0,U1160/AA1160&gt;50),"POSSIBLE_SCALE_ERROR","OK"))</f>
        <v/>
      </c>
    </row>
    <row r="1161">
      <c r="A1161" t="inlineStr">
        <is>
          <t>T-2018-Q3-00061</t>
        </is>
      </c>
      <c r="B1161" t="inlineStr">
        <is>
          <t>SLE</t>
        </is>
      </c>
      <c r="C1161" t="inlineStr">
        <is>
          <t>Assistant Deputy Minister, Strategic Policy Branch</t>
        </is>
      </c>
      <c r="D1161" t="inlineStr">
        <is>
          <t>Sous-ministre adjoint, Direction générale des politiques stratégiques</t>
        </is>
      </c>
      <c r="E1161" t="inlineStr">
        <is>
          <t>Tom Rosser</t>
        </is>
      </c>
      <c r="F1161" t="inlineStr">
        <is>
          <t>To participate in a conference on zero waste.</t>
        </is>
      </c>
      <c r="G1161" t="inlineStr">
        <is>
          <t>Participer à une conférence sur le zéro déchet.</t>
        </is>
      </c>
      <c r="H1161" s="1" t="n">
        <v>43411</v>
      </c>
      <c r="I1161" s="1" t="n">
        <v>43413</v>
      </c>
      <c r="J1161" t="inlineStr">
        <is>
          <t>Vancouver, British-Columbia</t>
        </is>
      </c>
      <c r="K1161" t="inlineStr">
        <is>
          <t>Vancouver, Colombie-Britanique</t>
        </is>
      </c>
      <c r="P1161" t="n">
        <v>2760.09</v>
      </c>
      <c r="Q1161" t="n">
        <v>125</v>
      </c>
      <c r="R1161" t="n">
        <v>467.66</v>
      </c>
      <c r="S1161" t="n">
        <v>232.1</v>
      </c>
      <c r="U1161" t="n">
        <v>3584.85</v>
      </c>
      <c r="X1161" t="inlineStr">
        <is>
          <t>aafc-aac</t>
        </is>
      </c>
      <c r="Y1161" t="inlineStr">
        <is>
          <t>Agriculture and Agri-Food Canada | Agriculture et Agroalimentaire Canada</t>
        </is>
      </c>
      <c r="Z1161" t="n">
        <v>3</v>
      </c>
      <c r="AA1161" t="n">
        <v>3584.85</v>
      </c>
      <c r="AB1161">
        <f>ROUND(U1161-AA1161,2)</f>
        <v/>
      </c>
      <c r="AC1161" t="b">
        <v>0</v>
      </c>
      <c r="AD1161">
        <f>IF(U1161="","MISSING_TOTAL",IF(ABS(AB1161)&lt;=0.01,"OK","CHECK"))</f>
        <v/>
      </c>
      <c r="AE1161">
        <f>IF(U1161="","MISSING",IF(AND(AA1161&gt;0,U1161/AA1161&gt;50),"POSSIBLE_SCALE_ERROR","OK"))</f>
        <v/>
      </c>
    </row>
    <row r="1162">
      <c r="A1162" t="inlineStr">
        <is>
          <t>T-2018-Q3-00062</t>
        </is>
      </c>
      <c r="B1162" t="inlineStr">
        <is>
          <t>SLE</t>
        </is>
      </c>
      <c r="C1162" t="inlineStr">
        <is>
          <t>Assistant deputy minister, Science and Technology Branch</t>
        </is>
      </c>
      <c r="D1162" t="inlineStr">
        <is>
          <t>Sous-ministre adjoint, Direction Générale des sciences et de la technologie</t>
        </is>
      </c>
      <c r="E1162" t="inlineStr">
        <is>
          <t>Brian Gray</t>
        </is>
      </c>
      <c r="F1162" t="inlineStr">
        <is>
          <t>Outreach to the Reasearch and Developpement Centre, All-Staff meeting and meeting with Provincial Counterparts.</t>
        </is>
      </c>
      <c r="G1162" t="inlineStr">
        <is>
          <t>Visite de sencibilisation au Centre de recherche et de developpement, réunions avec tout le personnel et réunions avec des collegues du governement provincial.</t>
        </is>
      </c>
      <c r="H1162" s="1" t="n">
        <v>43361</v>
      </c>
      <c r="I1162" s="1" t="n">
        <v>43364</v>
      </c>
      <c r="J1162" t="inlineStr">
        <is>
          <t>Brandon, Manitoba</t>
        </is>
      </c>
      <c r="K1162" t="inlineStr">
        <is>
          <t>Brandon, Manitoba</t>
        </is>
      </c>
      <c r="P1162" t="n">
        <v>306.74</v>
      </c>
      <c r="Q1162" t="n">
        <v>334.54</v>
      </c>
      <c r="R1162" t="n">
        <v>364.08</v>
      </c>
      <c r="S1162" t="n">
        <v>358.05</v>
      </c>
      <c r="U1162" t="n">
        <v>1363.41</v>
      </c>
      <c r="X1162" t="inlineStr">
        <is>
          <t>aafc-aac</t>
        </is>
      </c>
      <c r="Y1162" t="inlineStr">
        <is>
          <t>Agriculture and Agri-Food Canada | Agriculture et Agroalimentaire Canada</t>
        </is>
      </c>
      <c r="Z1162" t="n">
        <v>4</v>
      </c>
      <c r="AA1162" t="n">
        <v>1363.40999999999</v>
      </c>
      <c r="AB1162">
        <f>ROUND(U1162-AA1162,2)</f>
        <v/>
      </c>
      <c r="AC1162" t="b">
        <v>0</v>
      </c>
      <c r="AD1162">
        <f>IF(U1162="","MISSING_TOTAL",IF(ABS(AB1162)&lt;=0.01,"OK","CHECK"))</f>
        <v/>
      </c>
      <c r="AE1162">
        <f>IF(U1162="","MISSING",IF(AND(AA1162&gt;0,U1162/AA1162&gt;50),"POSSIBLE_SCALE_ERROR","OK"))</f>
        <v/>
      </c>
    </row>
    <row r="1163">
      <c r="A1163" t="inlineStr">
        <is>
          <t>T-2018-Q3-00063</t>
        </is>
      </c>
      <c r="B1163" t="inlineStr">
        <is>
          <t>SLE</t>
        </is>
      </c>
      <c r="C1163" t="inlineStr">
        <is>
          <t>Assistant deputy minister, Science and Technology Branch</t>
        </is>
      </c>
      <c r="D1163" t="inlineStr">
        <is>
          <t>Sous-ministre adjoint, Direction Générale des sciences et de la technologie</t>
        </is>
      </c>
      <c r="E1163" t="inlineStr">
        <is>
          <t>Brian Gray</t>
        </is>
      </c>
      <c r="F1163" t="inlineStr">
        <is>
          <t>Outreach to the Reasearch and Developpement Centre, All-Staff meeting and meeting with Provincial Counterparts.</t>
        </is>
      </c>
      <c r="G1163" t="inlineStr">
        <is>
          <t>Visite de sencibilisation au Centre de recherche et de developpement, réunions avec tout le personnel.</t>
        </is>
      </c>
      <c r="H1163" s="1" t="n">
        <v>43389</v>
      </c>
      <c r="I1163" s="1" t="n">
        <v>43391</v>
      </c>
      <c r="J1163" t="inlineStr">
        <is>
          <t>Agassiz, British-Columbia</t>
        </is>
      </c>
      <c r="K1163" t="inlineStr">
        <is>
          <t>Agassiz, Colombie-Britannique</t>
        </is>
      </c>
      <c r="P1163" t="n">
        <v>1395.14</v>
      </c>
      <c r="Q1163" t="n">
        <v>366.16</v>
      </c>
      <c r="R1163" t="n">
        <v>324.59</v>
      </c>
      <c r="S1163" t="n">
        <v>251.95</v>
      </c>
      <c r="U1163" t="n">
        <v>2337.34</v>
      </c>
      <c r="X1163" t="inlineStr">
        <is>
          <t>aafc-aac</t>
        </is>
      </c>
      <c r="Y1163" t="inlineStr">
        <is>
          <t>Agriculture and Agri-Food Canada | Agriculture et Agroalimentaire Canada</t>
        </is>
      </c>
      <c r="Z1163" t="n">
        <v>3</v>
      </c>
      <c r="AA1163" t="n">
        <v>2337.84</v>
      </c>
      <c r="AB1163">
        <f>ROUND(U1163-AA1163,2)</f>
        <v/>
      </c>
      <c r="AC1163" t="b">
        <v>0</v>
      </c>
      <c r="AD1163">
        <f>IF(U1163="","MISSING_TOTAL",IF(ABS(AB1163)&lt;=0.01,"OK","CHECK"))</f>
        <v/>
      </c>
      <c r="AE1163">
        <f>IF(U1163="","MISSING",IF(AND(AA1163&gt;0,U1163/AA1163&gt;50),"POSSIBLE_SCALE_ERROR","OK"))</f>
        <v/>
      </c>
    </row>
    <row r="1164">
      <c r="A1164" t="inlineStr">
        <is>
          <t>T-2018-Q3-00064</t>
        </is>
      </c>
      <c r="B1164" t="inlineStr">
        <is>
          <t>SLE</t>
        </is>
      </c>
      <c r="C1164" t="inlineStr">
        <is>
          <t>Assistant deputy minister, Science and Technology Branch</t>
        </is>
      </c>
      <c r="D1164" t="inlineStr">
        <is>
          <t>Sous-ministre adjoint, Direction Générale des sciences et de la technologie</t>
        </is>
      </c>
      <c r="E1164" t="inlineStr">
        <is>
          <t>Brian Gray</t>
        </is>
      </c>
      <c r="F1164" t="inlineStr">
        <is>
          <t>National Forum on Earth Observation from Space</t>
        </is>
      </c>
      <c r="G1164" t="inlineStr">
        <is>
          <t>Forum national sur l'observation de la Terre depuis l'espace</t>
        </is>
      </c>
      <c r="H1164" s="1" t="n">
        <v>43423</v>
      </c>
      <c r="I1164" s="1" t="n">
        <v>43424</v>
      </c>
      <c r="J1164" t="inlineStr">
        <is>
          <t>Montreal, Quebec</t>
        </is>
      </c>
      <c r="K1164" t="inlineStr">
        <is>
          <t>Montréal, Québec</t>
        </is>
      </c>
      <c r="Q1164" t="n">
        <v>309.72</v>
      </c>
      <c r="R1164" t="n">
        <v>177.31</v>
      </c>
      <c r="S1164" t="n">
        <v>74.7</v>
      </c>
      <c r="U1164" t="n">
        <v>561.73</v>
      </c>
      <c r="X1164" t="inlineStr">
        <is>
          <t>aafc-aac</t>
        </is>
      </c>
      <c r="Y1164" t="inlineStr">
        <is>
          <t>Agriculture and Agri-Food Canada | Agriculture et Agroalimentaire Canada</t>
        </is>
      </c>
      <c r="Z1164" t="n">
        <v>2</v>
      </c>
      <c r="AA1164" t="n">
        <v>561.73</v>
      </c>
      <c r="AB1164">
        <f>ROUND(U1164-AA1164,2)</f>
        <v/>
      </c>
      <c r="AC1164" t="b">
        <v>0</v>
      </c>
      <c r="AD1164">
        <f>IF(U1164="","MISSING_TOTAL",IF(ABS(AB1164)&lt;=0.01,"OK","CHECK"))</f>
        <v/>
      </c>
      <c r="AE1164">
        <f>IF(U1164="","MISSING",IF(AND(AA1164&gt;0,U1164/AA1164&gt;50),"POSSIBLE_SCALE_ERROR","OK"))</f>
        <v/>
      </c>
    </row>
    <row r="1165">
      <c r="A1165" t="inlineStr">
        <is>
          <t>T-2018-Q3-00065</t>
        </is>
      </c>
      <c r="B1165" t="inlineStr">
        <is>
          <t>SLE</t>
        </is>
      </c>
      <c r="C1165" t="inlineStr">
        <is>
          <t>Chief Information Officer</t>
        </is>
      </c>
      <c r="D1165" t="inlineStr">
        <is>
          <t>Dirigeant principal de l'information</t>
        </is>
      </c>
      <c r="E1165" t="inlineStr">
        <is>
          <t>Michel Lessard</t>
        </is>
      </c>
      <c r="F1165" t="inlineStr">
        <is>
          <t>Outreach visit</t>
        </is>
      </c>
      <c r="G1165" t="inlineStr">
        <is>
          <t>Visite de sensibilisation</t>
        </is>
      </c>
      <c r="H1165" s="1" t="n">
        <v>43367</v>
      </c>
      <c r="I1165" s="1" t="n">
        <v>43370</v>
      </c>
      <c r="J1165" t="inlineStr">
        <is>
          <t>St-Jean-sur-Richelieu, St-Hyacinthe, Sherbrooke and Quebec, Quebec</t>
        </is>
      </c>
      <c r="K1165" t="inlineStr">
        <is>
          <t>St-Jean-sur-Richelieu, St-Hyacinthe, Sherbrooke et Québec, Québec</t>
        </is>
      </c>
      <c r="P1165" t="n">
        <v>0</v>
      </c>
      <c r="Q1165" t="n">
        <v>394.5</v>
      </c>
      <c r="R1165" t="n">
        <v>510.51</v>
      </c>
      <c r="S1165" t="n">
        <v>273.15</v>
      </c>
      <c r="U1165" t="n">
        <v>1178.16</v>
      </c>
      <c r="X1165" t="inlineStr">
        <is>
          <t>aafc-aac</t>
        </is>
      </c>
      <c r="Y1165" t="inlineStr">
        <is>
          <t>Agriculture and Agri-Food Canada | Agriculture et Agroalimentaire Canada</t>
        </is>
      </c>
      <c r="Z1165" t="n">
        <v>4</v>
      </c>
      <c r="AA1165" t="n">
        <v>1178.15999999999</v>
      </c>
      <c r="AB1165">
        <f>ROUND(U1165-AA1165,2)</f>
        <v/>
      </c>
      <c r="AC1165" t="b">
        <v>0</v>
      </c>
      <c r="AD1165">
        <f>IF(U1165="","MISSING_TOTAL",IF(ABS(AB1165)&lt;=0.01,"OK","CHECK"))</f>
        <v/>
      </c>
      <c r="AE1165">
        <f>IF(U1165="","MISSING",IF(AND(AA1165&gt;0,U1165/AA1165&gt;50),"POSSIBLE_SCALE_ERROR","OK"))</f>
        <v/>
      </c>
    </row>
    <row r="1166">
      <c r="A1166" t="inlineStr">
        <is>
          <t>T-2018-Q3-00066</t>
        </is>
      </c>
      <c r="B1166" t="inlineStr">
        <is>
          <t>SLE</t>
        </is>
      </c>
      <c r="C1166" t="inlineStr">
        <is>
          <t>Chief Information Officer</t>
        </is>
      </c>
      <c r="D1166" t="inlineStr">
        <is>
          <t>Dirigeant principal de l'information</t>
        </is>
      </c>
      <c r="E1166" t="inlineStr">
        <is>
          <t>Michel Lessard</t>
        </is>
      </c>
      <c r="F1166" t="inlineStr">
        <is>
          <t>Gartner Symposium/Itxpo</t>
        </is>
      </c>
      <c r="G1166" t="inlineStr">
        <is>
          <t>Gartner Symposium/Itxpo</t>
        </is>
      </c>
      <c r="H1166" s="1" t="n">
        <v>43386</v>
      </c>
      <c r="I1166" s="1" t="n">
        <v>43392</v>
      </c>
      <c r="J1166" t="inlineStr">
        <is>
          <t>Orlando, Florida</t>
        </is>
      </c>
      <c r="K1166" t="inlineStr">
        <is>
          <t>Orlando, Floride</t>
        </is>
      </c>
      <c r="P1166" t="n">
        <v>832.02</v>
      </c>
      <c r="Q1166" t="n">
        <v>123.95</v>
      </c>
      <c r="R1166" t="n">
        <v>2911</v>
      </c>
      <c r="S1166" t="n">
        <v>363.01</v>
      </c>
      <c r="U1166" t="n">
        <v>4229.98</v>
      </c>
      <c r="X1166" t="inlineStr">
        <is>
          <t>aafc-aac</t>
        </is>
      </c>
      <c r="Y1166" t="inlineStr">
        <is>
          <t>Agriculture and Agri-Food Canada | Agriculture et Agroalimentaire Canada</t>
        </is>
      </c>
      <c r="Z1166" t="n">
        <v>7</v>
      </c>
      <c r="AA1166" t="n">
        <v>4229.98</v>
      </c>
      <c r="AB1166">
        <f>ROUND(U1166-AA1166,2)</f>
        <v/>
      </c>
      <c r="AC1166" t="b">
        <v>0</v>
      </c>
      <c r="AD1166">
        <f>IF(U1166="","MISSING_TOTAL",IF(ABS(AB1166)&lt;=0.01,"OK","CHECK"))</f>
        <v/>
      </c>
      <c r="AE1166">
        <f>IF(U1166="","MISSING",IF(AND(AA1166&gt;0,U1166/AA1166&gt;50),"POSSIBLE_SCALE_ERROR","OK"))</f>
        <v/>
      </c>
    </row>
    <row r="1167">
      <c r="A1167" t="inlineStr">
        <is>
          <t>T-2018-Q3-00069</t>
        </is>
      </c>
      <c r="B1167" t="inlineStr">
        <is>
          <t>SLE</t>
        </is>
      </c>
      <c r="C1167" t="inlineStr">
        <is>
          <t>Assistant Deputy Minister
International Affairs Branch</t>
        </is>
      </c>
      <c r="D1167" t="inlineStr">
        <is>
          <t>Sous-ministre adjoint, Direction générale des affaires internationales</t>
        </is>
      </c>
      <c r="E1167" t="inlineStr">
        <is>
          <t>Fred Gorrell</t>
        </is>
      </c>
      <c r="F1167" t="inlineStr">
        <is>
          <t>Potato Outreach</t>
        </is>
      </c>
      <c r="G1167" t="inlineStr">
        <is>
          <t>Sensibilisation de la pomme de terre</t>
        </is>
      </c>
      <c r="H1167" s="1" t="n">
        <v>43417</v>
      </c>
      <c r="I1167" s="1" t="n">
        <v>43418</v>
      </c>
      <c r="J1167" t="inlineStr">
        <is>
          <t>Edmonton, Alebrta Vancouver, British-Columbia</t>
        </is>
      </c>
      <c r="K1167" t="inlineStr">
        <is>
          <t>Edmonton, Alberta Vancouver, Colombie-Britannique</t>
        </is>
      </c>
      <c r="P1167" t="n">
        <v>934.65</v>
      </c>
      <c r="Q1167" t="n">
        <v>103</v>
      </c>
      <c r="R1167" t="n">
        <v>181.87</v>
      </c>
      <c r="S1167" t="n">
        <v>174.7</v>
      </c>
      <c r="T1167" t="n">
        <v>0</v>
      </c>
      <c r="U1167" t="n">
        <v>1394.22</v>
      </c>
      <c r="X1167" t="inlineStr">
        <is>
          <t>aafc-aac</t>
        </is>
      </c>
      <c r="Y1167" t="inlineStr">
        <is>
          <t>Agriculture and Agri-Food Canada | Agriculture et Agroalimentaire Canada</t>
        </is>
      </c>
      <c r="Z1167" t="n">
        <v>2</v>
      </c>
      <c r="AA1167" t="n">
        <v>1394.22</v>
      </c>
      <c r="AB1167">
        <f>ROUND(U1167-AA1167,2)</f>
        <v/>
      </c>
      <c r="AC1167" t="b">
        <v>0</v>
      </c>
      <c r="AD1167">
        <f>IF(U1167="","MISSING_TOTAL",IF(ABS(AB1167)&lt;=0.01,"OK","CHECK"))</f>
        <v/>
      </c>
      <c r="AE1167">
        <f>IF(U1167="","MISSING",IF(AND(AA1167&gt;0,U1167/AA1167&gt;50),"POSSIBLE_SCALE_ERROR","OK"))</f>
        <v/>
      </c>
    </row>
    <row r="1168">
      <c r="A1168" t="inlineStr">
        <is>
          <t>T-2018-Q3-00070</t>
        </is>
      </c>
      <c r="B1168" t="inlineStr">
        <is>
          <t>SLE</t>
        </is>
      </c>
      <c r="C1168" t="inlineStr">
        <is>
          <t>Director General, Office of Audit and Evaluation</t>
        </is>
      </c>
      <c r="D1168" t="inlineStr">
        <is>
          <t>Directrice générale, Bureau de la vérification et de l’évaluation</t>
        </is>
      </c>
      <c r="E1168" t="inlineStr">
        <is>
          <t>Kimberly Saunders</t>
        </is>
      </c>
      <c r="F1168" t="inlineStr">
        <is>
          <t>Departmental Audit Committee site visit</t>
        </is>
      </c>
      <c r="G1168" t="inlineStr">
        <is>
          <t>Comité ministériel de vérification visite sur le terrain</t>
        </is>
      </c>
      <c r="H1168" s="1" t="n">
        <v>43346</v>
      </c>
      <c r="I1168" s="1" t="n">
        <v>43346</v>
      </c>
      <c r="J1168" t="inlineStr">
        <is>
          <t>Halifax and Kentville, Nova Scotia</t>
        </is>
      </c>
      <c r="K1168" t="inlineStr">
        <is>
          <t>Halifax et Kentville, Nouvelle-Écosse</t>
        </is>
      </c>
      <c r="P1168" t="n">
        <v>502.85</v>
      </c>
      <c r="R1168" t="n">
        <v>339.8</v>
      </c>
      <c r="S1168" t="n">
        <v>206.3</v>
      </c>
      <c r="U1168" t="n">
        <v>1048.95</v>
      </c>
      <c r="X1168" t="inlineStr">
        <is>
          <t>aafc-aac</t>
        </is>
      </c>
      <c r="Y1168" t="inlineStr">
        <is>
          <t>Agriculture and Agri-Food Canada | Agriculture et Agroalimentaire Canada</t>
        </is>
      </c>
      <c r="Z1168" t="n">
        <v>1</v>
      </c>
      <c r="AA1168" t="n">
        <v>1048.95</v>
      </c>
      <c r="AB1168">
        <f>ROUND(U1168-AA1168,2)</f>
        <v/>
      </c>
      <c r="AC1168" t="b">
        <v>0</v>
      </c>
      <c r="AD1168">
        <f>IF(U1168="","MISSING_TOTAL",IF(ABS(AB1168)&lt;=0.01,"OK","CHECK"))</f>
        <v/>
      </c>
      <c r="AE1168">
        <f>IF(U1168="","MISSING",IF(AND(AA1168&gt;0,U1168/AA1168&gt;50),"POSSIBLE_SCALE_ERROR","OK"))</f>
        <v/>
      </c>
    </row>
    <row r="1169">
      <c r="A1169" t="inlineStr">
        <is>
          <t>T-2018-Q3-00071</t>
        </is>
      </c>
      <c r="B1169" t="inlineStr">
        <is>
          <t>SLE</t>
        </is>
      </c>
      <c r="C1169" t="inlineStr">
        <is>
          <t>Director General, Office of Audit and Evaluation</t>
        </is>
      </c>
      <c r="D1169" t="inlineStr">
        <is>
          <t>Directrice générale, Bureau de la vérification et de l’évaluation</t>
        </is>
      </c>
      <c r="E1169" t="inlineStr">
        <is>
          <t>Kimberly Saunders</t>
        </is>
      </c>
      <c r="F1169" t="inlineStr">
        <is>
          <t>Internal Institute of Auditors Conference</t>
        </is>
      </c>
      <c r="G1169" t="inlineStr">
        <is>
          <t>Conférence de l'institut des vérificateurs internes</t>
        </is>
      </c>
      <c r="H1169" s="1" t="n">
        <v>43373</v>
      </c>
      <c r="I1169" s="1" t="n">
        <v>43376</v>
      </c>
      <c r="J1169" t="inlineStr">
        <is>
          <t>Montreal, Quebec</t>
        </is>
      </c>
      <c r="K1169" t="inlineStr">
        <is>
          <t>Montréal, Québec</t>
        </is>
      </c>
      <c r="Q1169" t="n">
        <v>317.19</v>
      </c>
      <c r="R1169" t="n">
        <v>710.46</v>
      </c>
      <c r="S1169" t="n">
        <v>240.15</v>
      </c>
      <c r="T1169" t="n">
        <v>1890</v>
      </c>
      <c r="U1169" t="n">
        <v>3157.8</v>
      </c>
      <c r="X1169" t="inlineStr">
        <is>
          <t>aafc-aac</t>
        </is>
      </c>
      <c r="Y1169" t="inlineStr">
        <is>
          <t>Agriculture and Agri-Food Canada | Agriculture et Agroalimentaire Canada</t>
        </is>
      </c>
      <c r="Z1169" t="n">
        <v>4</v>
      </c>
      <c r="AA1169" t="n">
        <v>3157.8</v>
      </c>
      <c r="AB1169">
        <f>ROUND(U1169-AA1169,2)</f>
        <v/>
      </c>
      <c r="AC1169" t="b">
        <v>0</v>
      </c>
      <c r="AD1169">
        <f>IF(U1169="","MISSING_TOTAL",IF(ABS(AB1169)&lt;=0.01,"OK","CHECK"))</f>
        <v/>
      </c>
      <c r="AE1169">
        <f>IF(U1169="","MISSING",IF(AND(AA1169&gt;0,U1169/AA1169&gt;50),"POSSIBLE_SCALE_ERROR","OK"))</f>
        <v/>
      </c>
    </row>
    <row r="1170">
      <c r="A1170" t="inlineStr">
        <is>
          <t>T-2018-Q4-00001</t>
        </is>
      </c>
      <c r="B1170" t="inlineStr">
        <is>
          <t>MPSES</t>
        </is>
      </c>
      <c r="C1170" t="inlineStr">
        <is>
          <t>Minister</t>
        </is>
      </c>
      <c r="D1170" t="inlineStr">
        <is>
          <t>Ministre</t>
        </is>
      </c>
      <c r="E1170" t="inlineStr">
        <is>
          <t>Lawrence MacAulay</t>
        </is>
      </c>
      <c r="F1170" t="inlineStr">
        <is>
          <t>To attend the CropSphere Conference and attend stakeholder meetings with Saskatchewan Wheat Commission and Canadian Wheat Research Coalition. To attend the Cabinet Retreat in Sherbrooke and to attend meetings with stakeholders and the provincial Minister of Agriculture.</t>
        </is>
      </c>
      <c r="G1170" t="inlineStr">
        <is>
          <t>Pour assister à la conférence CropSphere et assister à des réunions avec la Commission du blé de Saskatchewan et la Coalition canadienne pour la recherche sur le blé. Pour assister à la retraite du Conseil des ministres à Sherbrooke et pour assister à des réunions avec des intervenants clés et le ministre de l’Agriculture provincial</t>
        </is>
      </c>
      <c r="H1170" s="1" t="n">
        <v>43479</v>
      </c>
      <c r="I1170" s="1" t="n">
        <v>43483</v>
      </c>
      <c r="J1170" t="inlineStr">
        <is>
          <t>Saskatoon, Saskatchewan; Sherbrooke, Quebec</t>
        </is>
      </c>
      <c r="K1170" t="inlineStr">
        <is>
          <t>Saskatoon, Saskatchewan; Sherbrooke, Québec</t>
        </is>
      </c>
      <c r="P1170" t="n">
        <v>2512.25</v>
      </c>
      <c r="Q1170" t="n">
        <v>25.01</v>
      </c>
      <c r="R1170" t="n">
        <v>485.47</v>
      </c>
      <c r="S1170" t="n">
        <v>276.65</v>
      </c>
      <c r="T1170" t="n">
        <v>0</v>
      </c>
      <c r="U1170" t="n">
        <v>3299.38</v>
      </c>
      <c r="X1170" t="inlineStr">
        <is>
          <t>aafc-aac</t>
        </is>
      </c>
      <c r="Y1170" t="inlineStr">
        <is>
          <t>Agriculture and Agri-Food Canada | Agriculture et Agroalimentaire Canada</t>
        </is>
      </c>
      <c r="Z1170" t="n">
        <v>5</v>
      </c>
      <c r="AA1170" t="n">
        <v>3299.38</v>
      </c>
      <c r="AB1170">
        <f>ROUND(U1170-AA1170,2)</f>
        <v/>
      </c>
      <c r="AC1170" t="b">
        <v>0</v>
      </c>
      <c r="AD1170">
        <f>IF(U1170="","MISSING_TOTAL",IF(ABS(AB1170)&lt;=0.01,"OK","CHECK"))</f>
        <v/>
      </c>
      <c r="AE1170">
        <f>IF(U1170="","MISSING",IF(AND(AA1170&gt;0,U1170/AA1170&gt;50),"POSSIBLE_SCALE_ERROR","OK"))</f>
        <v/>
      </c>
    </row>
    <row r="1171">
      <c r="A1171" t="inlineStr">
        <is>
          <t>T-2018-Q4-00002</t>
        </is>
      </c>
      <c r="B1171" t="inlineStr">
        <is>
          <t>MPSES</t>
        </is>
      </c>
      <c r="C1171" t="inlineStr">
        <is>
          <t>Minister</t>
        </is>
      </c>
      <c r="D1171" t="inlineStr">
        <is>
          <t>Ministre</t>
        </is>
      </c>
      <c r="E1171" t="inlineStr">
        <is>
          <t>Lawrence MacAulay</t>
        </is>
      </c>
      <c r="F1171" t="inlineStr">
        <is>
          <t>To attend an outreach in Montreal</t>
        </is>
      </c>
      <c r="G1171" t="inlineStr">
        <is>
          <t>Pour assister à une campagne de sensibilisation à Montréal</t>
        </is>
      </c>
      <c r="H1171" s="1" t="n">
        <v>43506</v>
      </c>
      <c r="I1171" s="1" t="n">
        <v>43507</v>
      </c>
      <c r="J1171" t="inlineStr">
        <is>
          <t>Montreal, Quebec</t>
        </is>
      </c>
      <c r="K1171" t="inlineStr">
        <is>
          <t>Montréal, Québec</t>
        </is>
      </c>
      <c r="P1171" t="n">
        <v>536.33</v>
      </c>
      <c r="Q1171" t="n">
        <v>0</v>
      </c>
      <c r="R1171" t="n">
        <v>196.35</v>
      </c>
      <c r="S1171" t="n">
        <v>124.7</v>
      </c>
      <c r="T1171" t="n">
        <v>0</v>
      </c>
      <c r="U1171" t="n">
        <v>857.38</v>
      </c>
      <c r="X1171" t="inlineStr">
        <is>
          <t>aafc-aac</t>
        </is>
      </c>
      <c r="Y1171" t="inlineStr">
        <is>
          <t>Agriculture and Agri-Food Canada | Agriculture et Agroalimentaire Canada</t>
        </is>
      </c>
      <c r="Z1171" t="n">
        <v>2</v>
      </c>
      <c r="AA1171" t="n">
        <v>857.38</v>
      </c>
      <c r="AB1171">
        <f>ROUND(U1171-AA1171,2)</f>
        <v/>
      </c>
      <c r="AC1171" t="b">
        <v>0</v>
      </c>
      <c r="AD1171">
        <f>IF(U1171="","MISSING_TOTAL",IF(ABS(AB1171)&lt;=0.01,"OK","CHECK"))</f>
        <v/>
      </c>
      <c r="AE1171">
        <f>IF(U1171="","MISSING",IF(AND(AA1171&gt;0,U1171/AA1171&gt;50),"POSSIBLE_SCALE_ERROR","OK"))</f>
        <v/>
      </c>
    </row>
    <row r="1172">
      <c r="A1172" t="inlineStr">
        <is>
          <t>T-2018-Q4-00003</t>
        </is>
      </c>
      <c r="B1172" t="inlineStr">
        <is>
          <t>MPSES</t>
        </is>
      </c>
      <c r="C1172" t="inlineStr">
        <is>
          <t>Minister</t>
        </is>
      </c>
      <c r="D1172" t="inlineStr">
        <is>
          <t>Ministre</t>
        </is>
      </c>
      <c r="E1172" t="inlineStr">
        <is>
          <t>Lawrence MacAulay</t>
        </is>
      </c>
      <c r="F1172" t="inlineStr">
        <is>
          <t>To attend government announcements</t>
        </is>
      </c>
      <c r="G1172" t="inlineStr">
        <is>
          <t>Pour assister à des annonces gouvernementales</t>
        </is>
      </c>
      <c r="H1172" s="1" t="n">
        <v>43510</v>
      </c>
      <c r="I1172" s="1" t="n">
        <v>43510</v>
      </c>
      <c r="J1172" t="inlineStr">
        <is>
          <t>Halifax, Nova Scotia</t>
        </is>
      </c>
      <c r="K1172" t="inlineStr">
        <is>
          <t>Halifax, Nouvelle-Écosse</t>
        </is>
      </c>
      <c r="P1172" t="n">
        <v>483.78</v>
      </c>
      <c r="Q1172" t="n">
        <v>0</v>
      </c>
      <c r="R1172" t="n">
        <v>0</v>
      </c>
      <c r="S1172" t="n">
        <v>69.84999999999999</v>
      </c>
      <c r="T1172" t="n">
        <v>0</v>
      </c>
      <c r="U1172" t="n">
        <v>553.63</v>
      </c>
      <c r="X1172" t="inlineStr">
        <is>
          <t>aafc-aac</t>
        </is>
      </c>
      <c r="Y1172" t="inlineStr">
        <is>
          <t>Agriculture and Agri-Food Canada | Agriculture et Agroalimentaire Canada</t>
        </is>
      </c>
      <c r="Z1172" t="n">
        <v>1</v>
      </c>
      <c r="AA1172" t="n">
        <v>553.63</v>
      </c>
      <c r="AB1172">
        <f>ROUND(U1172-AA1172,2)</f>
        <v/>
      </c>
      <c r="AC1172" t="b">
        <v>0</v>
      </c>
      <c r="AD1172">
        <f>IF(U1172="","MISSING_TOTAL",IF(ABS(AB1172)&lt;=0.01,"OK","CHECK"))</f>
        <v/>
      </c>
      <c r="AE1172">
        <f>IF(U1172="","MISSING",IF(AND(AA1172&gt;0,U1172/AA1172&gt;50),"POSSIBLE_SCALE_ERROR","OK"))</f>
        <v/>
      </c>
    </row>
    <row r="1173">
      <c r="A1173" t="inlineStr">
        <is>
          <t>T-2018-Q4-00004</t>
        </is>
      </c>
      <c r="B1173" t="inlineStr">
        <is>
          <t>MPSES</t>
        </is>
      </c>
      <c r="C1173" t="inlineStr">
        <is>
          <t>Minister</t>
        </is>
      </c>
      <c r="D1173" t="inlineStr">
        <is>
          <t>Ministre</t>
        </is>
      </c>
      <c r="E1173" t="inlineStr">
        <is>
          <t>Lawrence MacAulay</t>
        </is>
      </c>
      <c r="F1173" t="inlineStr">
        <is>
          <t>To attend the Ministerial Mission in Washington</t>
        </is>
      </c>
      <c r="G1173" t="inlineStr">
        <is>
          <t>Pour assister à la mission ministérielle à Washington</t>
        </is>
      </c>
      <c r="H1173" s="1" t="n">
        <v>43515</v>
      </c>
      <c r="I1173" s="1" t="n">
        <v>43518</v>
      </c>
      <c r="J1173" t="inlineStr">
        <is>
          <t>Washington, District of Columbia</t>
        </is>
      </c>
      <c r="K1173" t="inlineStr">
        <is>
          <t>Washington, district de Columbia</t>
        </is>
      </c>
      <c r="P1173" t="n">
        <v>1569.25</v>
      </c>
      <c r="Q1173" t="n">
        <v>0</v>
      </c>
      <c r="R1173" t="n">
        <v>884.21</v>
      </c>
      <c r="S1173" t="n">
        <v>426.43</v>
      </c>
      <c r="T1173" t="n">
        <v>0</v>
      </c>
      <c r="U1173" t="n">
        <v>2879.89</v>
      </c>
      <c r="X1173" t="inlineStr">
        <is>
          <t>aafc-aac</t>
        </is>
      </c>
      <c r="Y1173" t="inlineStr">
        <is>
          <t>Agriculture and Agri-Food Canada | Agriculture et Agroalimentaire Canada</t>
        </is>
      </c>
      <c r="Z1173" t="n">
        <v>4</v>
      </c>
      <c r="AA1173" t="n">
        <v>2879.89</v>
      </c>
      <c r="AB1173">
        <f>ROUND(U1173-AA1173,2)</f>
        <v/>
      </c>
      <c r="AC1173" t="b">
        <v>0</v>
      </c>
      <c r="AD1173">
        <f>IF(U1173="","MISSING_TOTAL",IF(ABS(AB1173)&lt;=0.01,"OK","CHECK"))</f>
        <v/>
      </c>
      <c r="AE1173">
        <f>IF(U1173="","MISSING",IF(AND(AA1173&gt;0,U1173/AA1173&gt;50),"POSSIBLE_SCALE_ERROR","OK"))</f>
        <v/>
      </c>
    </row>
    <row r="1174">
      <c r="A1174" t="inlineStr">
        <is>
          <t>T-2018-Q4-00005</t>
        </is>
      </c>
      <c r="B1174" t="inlineStr">
        <is>
          <t>MPSES</t>
        </is>
      </c>
      <c r="C1174" t="inlineStr">
        <is>
          <t>Minister</t>
        </is>
      </c>
      <c r="D1174" t="inlineStr">
        <is>
          <t>Ministre</t>
        </is>
      </c>
      <c r="E1174" t="inlineStr">
        <is>
          <t>Lawrence MacAulay</t>
        </is>
      </c>
      <c r="F1174" t="inlineStr">
        <is>
          <t>To attend an outreach in Halifax and the Agriculture Growth Summit</t>
        </is>
      </c>
      <c r="G1174" t="inlineStr">
        <is>
          <t>Pour assister à une campagne de sensibilisation à Halifax et au Agriculture Growth Summit</t>
        </is>
      </c>
      <c r="H1174" s="1" t="n">
        <v>43524</v>
      </c>
      <c r="I1174" s="1" t="n">
        <v>43524</v>
      </c>
      <c r="J1174" t="inlineStr">
        <is>
          <t>Halifax, Nova Scotia</t>
        </is>
      </c>
      <c r="K1174" t="inlineStr">
        <is>
          <t>Halifax, Nouvelle-Écosse</t>
        </is>
      </c>
      <c r="P1174" t="n">
        <v>1027.78</v>
      </c>
      <c r="Q1174" t="n">
        <v>0</v>
      </c>
      <c r="R1174" t="n">
        <v>0</v>
      </c>
      <c r="S1174" t="n">
        <v>69.84999999999999</v>
      </c>
      <c r="T1174" t="n">
        <v>0</v>
      </c>
      <c r="U1174" t="n">
        <v>1097.63</v>
      </c>
      <c r="X1174" t="inlineStr">
        <is>
          <t>aafc-aac</t>
        </is>
      </c>
      <c r="Y1174" t="inlineStr">
        <is>
          <t>Agriculture and Agri-Food Canada | Agriculture et Agroalimentaire Canada</t>
        </is>
      </c>
      <c r="Z1174" t="n">
        <v>1</v>
      </c>
      <c r="AA1174" t="n">
        <v>1097.62999999999</v>
      </c>
      <c r="AB1174">
        <f>ROUND(U1174-AA1174,2)</f>
        <v/>
      </c>
      <c r="AC1174" t="b">
        <v>0</v>
      </c>
      <c r="AD1174">
        <f>IF(U1174="","MISSING_TOTAL",IF(ABS(AB1174)&lt;=0.01,"OK","CHECK"))</f>
        <v/>
      </c>
      <c r="AE1174">
        <f>IF(U1174="","MISSING",IF(AND(AA1174&gt;0,U1174/AA1174&gt;50),"POSSIBLE_SCALE_ERROR","OK"))</f>
        <v/>
      </c>
    </row>
    <row r="1175">
      <c r="A1175" t="inlineStr">
        <is>
          <t>T-2018-Q4-00006</t>
        </is>
      </c>
      <c r="B1175" t="inlineStr">
        <is>
          <t>MPSES</t>
        </is>
      </c>
      <c r="C1175" t="inlineStr">
        <is>
          <t>Chief of Staff</t>
        </is>
      </c>
      <c r="D1175" t="inlineStr">
        <is>
          <t>Chef de cabinet</t>
        </is>
      </c>
      <c r="E1175" t="inlineStr">
        <is>
          <t>Vincent MacNeil</t>
        </is>
      </c>
      <c r="F1175" t="inlineStr">
        <is>
          <t>To attend meetings with stakeholders and a briefing/succession planning meeting</t>
        </is>
      </c>
      <c r="G1175" t="inlineStr">
        <is>
          <t>Pour assister à des réunions avec des intervenants clés et à une réunion de planification de succession</t>
        </is>
      </c>
      <c r="H1175" s="1" t="n">
        <v>43441</v>
      </c>
      <c r="I1175" s="1" t="n">
        <v>43442</v>
      </c>
      <c r="J1175" t="inlineStr">
        <is>
          <t>Calgary, Alberta</t>
        </is>
      </c>
      <c r="K1175" t="inlineStr">
        <is>
          <t>Calgary, Alberta</t>
        </is>
      </c>
      <c r="P1175" t="n">
        <v>1533.03</v>
      </c>
      <c r="Q1175" t="n">
        <v>160.18</v>
      </c>
      <c r="R1175" t="n">
        <v>133.6</v>
      </c>
      <c r="S1175" t="n">
        <v>144.95</v>
      </c>
      <c r="T1175" t="n">
        <v>0</v>
      </c>
      <c r="U1175" t="n">
        <v>1971.76</v>
      </c>
      <c r="X1175" t="inlineStr">
        <is>
          <t>aafc-aac</t>
        </is>
      </c>
      <c r="Y1175" t="inlineStr">
        <is>
          <t>Agriculture and Agri-Food Canada | Agriculture et Agroalimentaire Canada</t>
        </is>
      </c>
      <c r="Z1175" t="n">
        <v>2</v>
      </c>
      <c r="AA1175" t="n">
        <v>1971.76</v>
      </c>
      <c r="AB1175">
        <f>ROUND(U1175-AA1175,2)</f>
        <v/>
      </c>
      <c r="AC1175" t="b">
        <v>0</v>
      </c>
      <c r="AD1175">
        <f>IF(U1175="","MISSING_TOTAL",IF(ABS(AB1175)&lt;=0.01,"OK","CHECK"))</f>
        <v/>
      </c>
      <c r="AE1175">
        <f>IF(U1175="","MISSING",IF(AND(AA1175&gt;0,U1175/AA1175&gt;50),"POSSIBLE_SCALE_ERROR","OK"))</f>
        <v/>
      </c>
    </row>
    <row r="1176">
      <c r="A1176" t="inlineStr">
        <is>
          <t>T-2018-Q4-00007</t>
        </is>
      </c>
      <c r="B1176" t="inlineStr">
        <is>
          <t>MPSES</t>
        </is>
      </c>
      <c r="C1176" t="inlineStr">
        <is>
          <t>Chief of Staff</t>
        </is>
      </c>
      <c r="D1176" t="inlineStr">
        <is>
          <t>Chef de cabinet</t>
        </is>
      </c>
      <c r="E1176" t="inlineStr">
        <is>
          <t>Vincent MacNeil</t>
        </is>
      </c>
      <c r="F1176" t="inlineStr">
        <is>
          <t>To attend various meetings on behalf of the Minister</t>
        </is>
      </c>
      <c r="G1176" t="inlineStr">
        <is>
          <t>Pour assister à diverses réunions au nom du ministre</t>
        </is>
      </c>
      <c r="H1176" s="1" t="n">
        <v>43445</v>
      </c>
      <c r="I1176" s="1" t="n">
        <v>43446</v>
      </c>
      <c r="J1176" t="inlineStr">
        <is>
          <t>Toronto, Ontario</t>
        </is>
      </c>
      <c r="K1176" t="inlineStr">
        <is>
          <t>Toronto, Ontario</t>
        </is>
      </c>
      <c r="P1176" t="n">
        <v>733.65</v>
      </c>
      <c r="Q1176" t="n">
        <v>213.57</v>
      </c>
      <c r="R1176" t="n">
        <v>210.36</v>
      </c>
      <c r="S1176" t="n">
        <v>144.95</v>
      </c>
      <c r="T1176" t="n">
        <v>0</v>
      </c>
      <c r="U1176" t="n">
        <v>1302.53</v>
      </c>
      <c r="X1176" t="inlineStr">
        <is>
          <t>aafc-aac</t>
        </is>
      </c>
      <c r="Y1176" t="inlineStr">
        <is>
          <t>Agriculture and Agri-Food Canada | Agriculture et Agroalimentaire Canada</t>
        </is>
      </c>
      <c r="Z1176" t="n">
        <v>2</v>
      </c>
      <c r="AA1176" t="n">
        <v>1302.53</v>
      </c>
      <c r="AB1176">
        <f>ROUND(U1176-AA1176,2)</f>
        <v/>
      </c>
      <c r="AC1176" t="b">
        <v>0</v>
      </c>
      <c r="AD1176">
        <f>IF(U1176="","MISSING_TOTAL",IF(ABS(AB1176)&lt;=0.01,"OK","CHECK"))</f>
        <v/>
      </c>
      <c r="AE1176">
        <f>IF(U1176="","MISSING",IF(AND(AA1176&gt;0,U1176/AA1176&gt;50),"POSSIBLE_SCALE_ERROR","OK"))</f>
        <v/>
      </c>
    </row>
    <row r="1177">
      <c r="A1177" t="inlineStr">
        <is>
          <t>T-2018-Q4-00008</t>
        </is>
      </c>
      <c r="B1177" t="inlineStr">
        <is>
          <t>MPSES</t>
        </is>
      </c>
      <c r="C1177" t="inlineStr">
        <is>
          <t>Chief of Staff</t>
        </is>
      </c>
      <c r="D1177" t="inlineStr">
        <is>
          <t>Chef de cabinet</t>
        </is>
      </c>
      <c r="E1177" t="inlineStr">
        <is>
          <t>Vincent MacNeil</t>
        </is>
      </c>
      <c r="F1177" t="inlineStr">
        <is>
          <t>To support and attend various meetings with the Minister</t>
        </is>
      </c>
      <c r="G1177" t="inlineStr">
        <is>
          <t>Pour assister et soutenir le ministre à diverses réunions</t>
        </is>
      </c>
      <c r="H1177" s="1" t="n">
        <v>43447</v>
      </c>
      <c r="I1177" s="1" t="n">
        <v>43448</v>
      </c>
      <c r="J1177" t="inlineStr">
        <is>
          <t>Charlottetown, Prince Edward Island</t>
        </is>
      </c>
      <c r="K1177" t="inlineStr">
        <is>
          <t>Charlottetown, Île-du-Prince-Édouard</t>
        </is>
      </c>
      <c r="P1177" t="n">
        <v>1534.99</v>
      </c>
      <c r="Q1177" t="n">
        <v>41.39</v>
      </c>
      <c r="R1177" t="n">
        <v>0</v>
      </c>
      <c r="S1177" t="n">
        <v>124.7</v>
      </c>
      <c r="T1177" t="n">
        <v>0</v>
      </c>
      <c r="U1177" t="n">
        <v>1701.08</v>
      </c>
      <c r="X1177" t="inlineStr">
        <is>
          <t>aafc-aac</t>
        </is>
      </c>
      <c r="Y1177" t="inlineStr">
        <is>
          <t>Agriculture and Agri-Food Canada | Agriculture et Agroalimentaire Canada</t>
        </is>
      </c>
      <c r="Z1177" t="n">
        <v>2</v>
      </c>
      <c r="AA1177" t="n">
        <v>1701.08</v>
      </c>
      <c r="AB1177">
        <f>ROUND(U1177-AA1177,2)</f>
        <v/>
      </c>
      <c r="AC1177" t="b">
        <v>0</v>
      </c>
      <c r="AD1177">
        <f>IF(U1177="","MISSING_TOTAL",IF(ABS(AB1177)&lt;=0.01,"OK","CHECK"))</f>
        <v/>
      </c>
      <c r="AE1177">
        <f>IF(U1177="","MISSING",IF(AND(AA1177&gt;0,U1177/AA1177&gt;50),"POSSIBLE_SCALE_ERROR","OK"))</f>
        <v/>
      </c>
    </row>
    <row r="1178">
      <c r="A1178" t="inlineStr">
        <is>
          <t>T-2018-Q4-00009</t>
        </is>
      </c>
      <c r="B1178" t="inlineStr">
        <is>
          <t>MPSES</t>
        </is>
      </c>
      <c r="C1178" t="inlineStr">
        <is>
          <t>Chief of Staff</t>
        </is>
      </c>
      <c r="D1178" t="inlineStr">
        <is>
          <t>Chef de cabinet</t>
        </is>
      </c>
      <c r="E1178" t="inlineStr">
        <is>
          <t>Vincent MacNeil</t>
        </is>
      </c>
      <c r="F1178" t="inlineStr">
        <is>
          <t>To meet with provincial officials and to accompany the minister to meetings</t>
        </is>
      </c>
      <c r="G1178" t="inlineStr">
        <is>
          <t>Pour assister à des rencontres avec des agents provinciaux et accompagner le ministre à des réunions</t>
        </is>
      </c>
      <c r="H1178" s="1" t="n">
        <v>43452</v>
      </c>
      <c r="I1178" s="1" t="n">
        <v>43453</v>
      </c>
      <c r="J1178" t="inlineStr">
        <is>
          <t>Halifax, Nova Scotia</t>
        </is>
      </c>
      <c r="K1178" t="inlineStr">
        <is>
          <t>Halifax, Nouvelle-Écosse</t>
        </is>
      </c>
      <c r="P1178" t="n">
        <v>695.79</v>
      </c>
      <c r="Q1178" t="n">
        <v>230.94</v>
      </c>
      <c r="R1178" t="n">
        <v>143.11</v>
      </c>
      <c r="S1178" t="n">
        <v>147.5</v>
      </c>
      <c r="T1178" t="n">
        <v>0</v>
      </c>
      <c r="U1178" t="n">
        <v>1217.34</v>
      </c>
      <c r="X1178" t="inlineStr">
        <is>
          <t>aafc-aac</t>
        </is>
      </c>
      <c r="Y1178" t="inlineStr">
        <is>
          <t>Agriculture and Agri-Food Canada | Agriculture et Agroalimentaire Canada</t>
        </is>
      </c>
      <c r="Z1178" t="n">
        <v>2</v>
      </c>
      <c r="AA1178" t="n">
        <v>1217.34</v>
      </c>
      <c r="AB1178">
        <f>ROUND(U1178-AA1178,2)</f>
        <v/>
      </c>
      <c r="AC1178" t="b">
        <v>0</v>
      </c>
      <c r="AD1178">
        <f>IF(U1178="","MISSING_TOTAL",IF(ABS(AB1178)&lt;=0.01,"OK","CHECK"))</f>
        <v/>
      </c>
      <c r="AE1178">
        <f>IF(U1178="","MISSING",IF(AND(AA1178&gt;0,U1178/AA1178&gt;50),"POSSIBLE_SCALE_ERROR","OK"))</f>
        <v/>
      </c>
    </row>
    <row r="1179">
      <c r="A1179" t="inlineStr">
        <is>
          <t>T-2018-Q4-00010</t>
        </is>
      </c>
      <c r="B1179" t="inlineStr">
        <is>
          <t>MPSES</t>
        </is>
      </c>
      <c r="C1179" t="inlineStr">
        <is>
          <t>Senior Communications and Policy Advisor</t>
        </is>
      </c>
      <c r="D1179" t="inlineStr">
        <is>
          <t>Conseiller principal en communications et politiques</t>
        </is>
      </c>
      <c r="E1179" t="inlineStr">
        <is>
          <t>Oliver Anderson</t>
        </is>
      </c>
      <c r="F1179" t="inlineStr">
        <is>
          <t>To accompany the Minister for announcements, stakeholder meetings and to brief the Minister for year-end interviews</t>
        </is>
      </c>
      <c r="G1179" t="inlineStr">
        <is>
          <t>Pour accompagner le ministre à des annonces, des réunions avec des intervenants clés et pour informer le ministre dans le cadre des entrevues de fin d’année</t>
        </is>
      </c>
      <c r="H1179" s="1" t="n">
        <v>43440</v>
      </c>
      <c r="I1179" s="1" t="n">
        <v>43442</v>
      </c>
      <c r="J1179" t="inlineStr">
        <is>
          <t>Charlottetown, Prince Edward Island</t>
        </is>
      </c>
      <c r="K1179" t="inlineStr">
        <is>
          <t>Charlottetown, Île-du-Prince-Édouard</t>
        </is>
      </c>
      <c r="P1179" t="n">
        <v>1527.31</v>
      </c>
      <c r="Q1179" t="n">
        <v>0</v>
      </c>
      <c r="R1179" t="n">
        <v>362.46</v>
      </c>
      <c r="S1179" t="n">
        <v>212.25</v>
      </c>
      <c r="T1179" t="n">
        <v>0</v>
      </c>
      <c r="U1179" t="n">
        <v>2102.02</v>
      </c>
      <c r="X1179" t="inlineStr">
        <is>
          <t>aafc-aac</t>
        </is>
      </c>
      <c r="Y1179" t="inlineStr">
        <is>
          <t>Agriculture and Agri-Food Canada | Agriculture et Agroalimentaire Canada</t>
        </is>
      </c>
      <c r="Z1179" t="n">
        <v>3</v>
      </c>
      <c r="AA1179" t="n">
        <v>2102.02</v>
      </c>
      <c r="AB1179">
        <f>ROUND(U1179-AA1179,2)</f>
        <v/>
      </c>
      <c r="AC1179" t="b">
        <v>0</v>
      </c>
      <c r="AD1179">
        <f>IF(U1179="","MISSING_TOTAL",IF(ABS(AB1179)&lt;=0.01,"OK","CHECK"))</f>
        <v/>
      </c>
      <c r="AE1179">
        <f>IF(U1179="","MISSING",IF(AND(AA1179&gt;0,U1179/AA1179&gt;50),"POSSIBLE_SCALE_ERROR","OK"))</f>
        <v/>
      </c>
    </row>
    <row r="1180">
      <c r="A1180" t="inlineStr">
        <is>
          <t>T-2018-Q4-00011</t>
        </is>
      </c>
      <c r="B1180" t="inlineStr">
        <is>
          <t>MPSES</t>
        </is>
      </c>
      <c r="C1180" t="inlineStr">
        <is>
          <t>Senior Communications and Policy Advisor</t>
        </is>
      </c>
      <c r="D1180" t="inlineStr">
        <is>
          <t>Conseiller principal en communications et politiques</t>
        </is>
      </c>
      <c r="E1180" t="inlineStr">
        <is>
          <t>Oliver Anderson</t>
        </is>
      </c>
      <c r="F1180" t="inlineStr">
        <is>
          <t>To make an announcement on a new innovation program on behalf of Minister Bains</t>
        </is>
      </c>
      <c r="G1180" t="inlineStr">
        <is>
          <t>Pour faire une annonce sur un nouveau programme d’innovation au nom du ministre Bains</t>
        </is>
      </c>
      <c r="H1180" s="1" t="n">
        <v>43448</v>
      </c>
      <c r="I1180" s="1" t="n">
        <v>43448</v>
      </c>
      <c r="J1180" t="inlineStr">
        <is>
          <t>Montreal, Quebec</t>
        </is>
      </c>
      <c r="K1180" t="inlineStr">
        <is>
          <t>Montréal, Québec</t>
        </is>
      </c>
      <c r="P1180" t="n">
        <v>0</v>
      </c>
      <c r="Q1180" t="n">
        <v>92.23999999999999</v>
      </c>
      <c r="R1180" t="n">
        <v>0</v>
      </c>
      <c r="S1180" t="n">
        <v>40.1</v>
      </c>
      <c r="T1180" t="n">
        <v>0</v>
      </c>
      <c r="U1180" t="n">
        <v>132.34</v>
      </c>
      <c r="X1180" t="inlineStr">
        <is>
          <t>aafc-aac</t>
        </is>
      </c>
      <c r="Y1180" t="inlineStr">
        <is>
          <t>Agriculture and Agri-Food Canada | Agriculture et Agroalimentaire Canada</t>
        </is>
      </c>
      <c r="Z1180" t="n">
        <v>1</v>
      </c>
      <c r="AA1180" t="n">
        <v>132.34</v>
      </c>
      <c r="AB1180">
        <f>ROUND(U1180-AA1180,2)</f>
        <v/>
      </c>
      <c r="AC1180" t="b">
        <v>0</v>
      </c>
      <c r="AD1180">
        <f>IF(U1180="","MISSING_TOTAL",IF(ABS(AB1180)&lt;=0.01,"OK","CHECK"))</f>
        <v/>
      </c>
      <c r="AE1180">
        <f>IF(U1180="","MISSING",IF(AND(AA1180&gt;0,U1180/AA1180&gt;50),"POSSIBLE_SCALE_ERROR","OK"))</f>
        <v/>
      </c>
    </row>
    <row r="1181">
      <c r="A1181" t="inlineStr">
        <is>
          <t>T-2018-Q4-00012</t>
        </is>
      </c>
      <c r="B1181" t="inlineStr">
        <is>
          <t>MPSES</t>
        </is>
      </c>
      <c r="C1181" t="inlineStr">
        <is>
          <t>Senior Communications and Policy Advisor</t>
        </is>
      </c>
      <c r="D1181" t="inlineStr">
        <is>
          <t>Conseiller principal en communications et politiques</t>
        </is>
      </c>
      <c r="E1181" t="inlineStr">
        <is>
          <t>Oliver Anderson</t>
        </is>
      </c>
      <c r="F1181" t="inlineStr">
        <is>
          <t>To accompany the Minister at the CropSphere Conference and attend stakeholder meetings with Saskatchewan Wheat Commission and Canadian Wheat Research Coalition</t>
        </is>
      </c>
      <c r="G1181" t="inlineStr">
        <is>
          <t>Pour accompagner le ministre à la conférence CropSphere et assister à des réunions avec la Commission du blé de Saskatchewan et la Coalition canadienne pour la recherche sur le blé</t>
        </is>
      </c>
      <c r="H1181" s="1" t="n">
        <v>43479</v>
      </c>
      <c r="I1181" s="1" t="n">
        <v>43480</v>
      </c>
      <c r="J1181" t="inlineStr">
        <is>
          <t>Saskatoon, Saskatchewan</t>
        </is>
      </c>
      <c r="K1181" t="inlineStr">
        <is>
          <t>Saskatoon, Saskatchewan</t>
        </is>
      </c>
      <c r="P1181" t="n">
        <v>1475.01</v>
      </c>
      <c r="Q1181" t="n">
        <v>59.7</v>
      </c>
      <c r="R1181" t="n">
        <v>176.07</v>
      </c>
      <c r="S1181" t="n">
        <v>124.7</v>
      </c>
      <c r="T1181" t="n">
        <v>0</v>
      </c>
      <c r="U1181" t="n">
        <v>1835.48</v>
      </c>
      <c r="X1181" t="inlineStr">
        <is>
          <t>aafc-aac</t>
        </is>
      </c>
      <c r="Y1181" t="inlineStr">
        <is>
          <t>Agriculture and Agri-Food Canada | Agriculture et Agroalimentaire Canada</t>
        </is>
      </c>
      <c r="Z1181" t="n">
        <v>2</v>
      </c>
      <c r="AA1181" t="n">
        <v>1835.48</v>
      </c>
      <c r="AB1181">
        <f>ROUND(U1181-AA1181,2)</f>
        <v/>
      </c>
      <c r="AC1181" t="b">
        <v>0</v>
      </c>
      <c r="AD1181">
        <f>IF(U1181="","MISSING_TOTAL",IF(ABS(AB1181)&lt;=0.01,"OK","CHECK"))</f>
        <v/>
      </c>
      <c r="AE1181">
        <f>IF(U1181="","MISSING",IF(AND(AA1181&gt;0,U1181/AA1181&gt;50),"POSSIBLE_SCALE_ERROR","OK"))</f>
        <v/>
      </c>
    </row>
    <row r="1182">
      <c r="A1182" t="inlineStr">
        <is>
          <t>T-2018-Q4-00013</t>
        </is>
      </c>
      <c r="B1182" t="inlineStr">
        <is>
          <t>MPSES</t>
        </is>
      </c>
      <c r="C1182" t="inlineStr">
        <is>
          <t>Senior Communications and Policy Advisor</t>
        </is>
      </c>
      <c r="D1182" t="inlineStr">
        <is>
          <t>Conseiller principal en communications et politiques</t>
        </is>
      </c>
      <c r="E1182" t="inlineStr">
        <is>
          <t>Oliver Anderson</t>
        </is>
      </c>
      <c r="F1182" t="inlineStr">
        <is>
          <t>To accompany the Minister to the Cabinet Retreat in Sherbrooke and to attend meetings with stakeholders and the provincial Minister of Agriculture</t>
        </is>
      </c>
      <c r="G1182" t="inlineStr">
        <is>
          <t>Pour accompagner le ministre à la retraite du Conseil des ministres à Sherbrooke et pour assister à des réunions avec des intervenants clés et le ministre de l’Agriculture provincial</t>
        </is>
      </c>
      <c r="H1182" s="1" t="n">
        <v>43481</v>
      </c>
      <c r="I1182" s="1" t="n">
        <v>43483</v>
      </c>
      <c r="J1182" t="inlineStr">
        <is>
          <t>Sherbrooke, Quebec</t>
        </is>
      </c>
      <c r="K1182" t="inlineStr">
        <is>
          <t>Sherbrooke, Québec</t>
        </is>
      </c>
      <c r="P1182" t="n">
        <v>0</v>
      </c>
      <c r="Q1182" t="n">
        <v>207.34</v>
      </c>
      <c r="R1182" t="n">
        <v>285.48</v>
      </c>
      <c r="S1182" t="n">
        <v>251.95</v>
      </c>
      <c r="T1182" t="n">
        <v>0</v>
      </c>
      <c r="U1182" t="n">
        <v>744.77</v>
      </c>
      <c r="X1182" t="inlineStr">
        <is>
          <t>aafc-aac</t>
        </is>
      </c>
      <c r="Y1182" t="inlineStr">
        <is>
          <t>Agriculture and Agri-Food Canada | Agriculture et Agroalimentaire Canada</t>
        </is>
      </c>
      <c r="Z1182" t="n">
        <v>3</v>
      </c>
      <c r="AA1182" t="n">
        <v>744.77</v>
      </c>
      <c r="AB1182">
        <f>ROUND(U1182-AA1182,2)</f>
        <v/>
      </c>
      <c r="AC1182" t="b">
        <v>0</v>
      </c>
      <c r="AD1182">
        <f>IF(U1182="","MISSING_TOTAL",IF(ABS(AB1182)&lt;=0.01,"OK","CHECK"))</f>
        <v/>
      </c>
      <c r="AE1182">
        <f>IF(U1182="","MISSING",IF(AND(AA1182&gt;0,U1182/AA1182&gt;50),"POSSIBLE_SCALE_ERROR","OK"))</f>
        <v/>
      </c>
    </row>
    <row r="1183">
      <c r="A1183" t="inlineStr">
        <is>
          <t>T-2018-Q4-00014</t>
        </is>
      </c>
      <c r="B1183" t="inlineStr">
        <is>
          <t>MPSES</t>
        </is>
      </c>
      <c r="C1183" t="inlineStr">
        <is>
          <t>Senior Communications and Policy Advisor</t>
        </is>
      </c>
      <c r="D1183" t="inlineStr">
        <is>
          <t>Conseiller principal en communications et politiques</t>
        </is>
      </c>
      <c r="E1183" t="inlineStr">
        <is>
          <t>Oliver Anderson</t>
        </is>
      </c>
      <c r="F1183" t="inlineStr">
        <is>
          <t>To accompany the Minister and Parliamentary Secretary to an outreach in Montreal</t>
        </is>
      </c>
      <c r="G1183" t="inlineStr">
        <is>
          <t>Pour accompagner le ministre et le secrétaire parlementaire à une campagne de sensibilisation à Montréal</t>
        </is>
      </c>
      <c r="H1183" s="1" t="n">
        <v>43506</v>
      </c>
      <c r="I1183" s="1" t="n">
        <v>43507</v>
      </c>
      <c r="J1183" t="inlineStr">
        <is>
          <t>Montreal, Quebec</t>
        </is>
      </c>
      <c r="K1183" t="inlineStr">
        <is>
          <t>Montréal, Québec</t>
        </is>
      </c>
      <c r="S1183" t="n">
        <v>124.7</v>
      </c>
      <c r="T1183" t="n">
        <v>0</v>
      </c>
      <c r="U1183" t="n">
        <v>124.7</v>
      </c>
      <c r="X1183" t="inlineStr">
        <is>
          <t>aafc-aac</t>
        </is>
      </c>
      <c r="Y1183" t="inlineStr">
        <is>
          <t>Agriculture and Agri-Food Canada | Agriculture et Agroalimentaire Canada</t>
        </is>
      </c>
      <c r="Z1183" t="n">
        <v>2</v>
      </c>
      <c r="AA1183" t="n">
        <v>124.7</v>
      </c>
      <c r="AB1183">
        <f>ROUND(U1183-AA1183,2)</f>
        <v/>
      </c>
      <c r="AC1183" t="b">
        <v>0</v>
      </c>
      <c r="AD1183">
        <f>IF(U1183="","MISSING_TOTAL",IF(ABS(AB1183)&lt;=0.01,"OK","CHECK"))</f>
        <v/>
      </c>
      <c r="AE1183">
        <f>IF(U1183="","MISSING",IF(AND(AA1183&gt;0,U1183/AA1183&gt;50),"POSSIBLE_SCALE_ERROR","OK"))</f>
        <v/>
      </c>
    </row>
    <row r="1184">
      <c r="A1184" t="inlineStr">
        <is>
          <t>T-2018-Q4-00015</t>
        </is>
      </c>
      <c r="B1184" t="inlineStr">
        <is>
          <t>MPSES</t>
        </is>
      </c>
      <c r="C1184" t="inlineStr">
        <is>
          <t>Senior Communications and Policy Advisor</t>
        </is>
      </c>
      <c r="D1184" t="inlineStr">
        <is>
          <t>Conseiller principal en communications et politiques</t>
        </is>
      </c>
      <c r="E1184" t="inlineStr">
        <is>
          <t>Oliver Anderson</t>
        </is>
      </c>
      <c r="F1184" t="inlineStr">
        <is>
          <t>To accompany the Minister to an outreach in Burlington</t>
        </is>
      </c>
      <c r="G1184" t="inlineStr">
        <is>
          <t>Pour accompagner le ministre à une campagne de sensibilisation à Burlington</t>
        </is>
      </c>
      <c r="H1184" s="1" t="n">
        <v>43508</v>
      </c>
      <c r="I1184" s="1" t="n">
        <v>43508</v>
      </c>
      <c r="J1184" t="inlineStr">
        <is>
          <t>Burlington, Ontario</t>
        </is>
      </c>
      <c r="K1184" t="inlineStr">
        <is>
          <t>Burlington, Ontario</t>
        </is>
      </c>
      <c r="P1184" t="n">
        <v>0</v>
      </c>
      <c r="Q1184" t="n">
        <v>0</v>
      </c>
      <c r="R1184" t="n">
        <v>145.72</v>
      </c>
      <c r="S1184" t="n">
        <v>0</v>
      </c>
      <c r="T1184" t="n">
        <v>0</v>
      </c>
      <c r="U1184" t="n">
        <v>145.72</v>
      </c>
      <c r="X1184" t="inlineStr">
        <is>
          <t>aafc-aac</t>
        </is>
      </c>
      <c r="Y1184" t="inlineStr">
        <is>
          <t>Agriculture and Agri-Food Canada | Agriculture et Agroalimentaire Canada</t>
        </is>
      </c>
      <c r="Z1184" t="n">
        <v>1</v>
      </c>
      <c r="AA1184" t="n">
        <v>145.72</v>
      </c>
      <c r="AB1184">
        <f>ROUND(U1184-AA1184,2)</f>
        <v/>
      </c>
      <c r="AC1184" t="b">
        <v>0</v>
      </c>
      <c r="AD1184">
        <f>IF(U1184="","MISSING_TOTAL",IF(ABS(AB1184)&lt;=0.01,"OK","CHECK"))</f>
        <v/>
      </c>
      <c r="AE1184">
        <f>IF(U1184="","MISSING",IF(AND(AA1184&gt;0,U1184/AA1184&gt;50),"POSSIBLE_SCALE_ERROR","OK"))</f>
        <v/>
      </c>
    </row>
    <row r="1185">
      <c r="A1185" t="inlineStr">
        <is>
          <t>T-2018-Q4-00016</t>
        </is>
      </c>
      <c r="B1185" t="inlineStr">
        <is>
          <t>MPSES</t>
        </is>
      </c>
      <c r="C1185" t="inlineStr">
        <is>
          <t>Senior Communications and Policy Advisor</t>
        </is>
      </c>
      <c r="D1185" t="inlineStr">
        <is>
          <t>Conseiller principal en communications et politiques</t>
        </is>
      </c>
      <c r="E1185" t="inlineStr">
        <is>
          <t>Oliver Anderson</t>
        </is>
      </c>
      <c r="F1185" t="inlineStr">
        <is>
          <t>To accompany the Minister for government announcements</t>
        </is>
      </c>
      <c r="G1185" t="inlineStr">
        <is>
          <t>Pour accompagner le ministre pour des annonces gouvernementales</t>
        </is>
      </c>
      <c r="H1185" s="1" t="n">
        <v>43508</v>
      </c>
      <c r="I1185" s="1" t="n">
        <v>43512</v>
      </c>
      <c r="J1185" t="inlineStr">
        <is>
          <t>Charlottetown, Prince Edward Island</t>
        </is>
      </c>
      <c r="K1185" t="inlineStr">
        <is>
          <t>Charlottetown, Île-du-Prince-Édouard</t>
        </is>
      </c>
      <c r="P1185" t="n">
        <v>1892.41</v>
      </c>
      <c r="Q1185" t="n">
        <v>234.12</v>
      </c>
      <c r="R1185" t="n">
        <v>395.62</v>
      </c>
      <c r="S1185" t="n">
        <v>232.1</v>
      </c>
      <c r="T1185" t="n">
        <v>0</v>
      </c>
      <c r="U1185" t="n">
        <v>2754.25</v>
      </c>
      <c r="X1185" t="inlineStr">
        <is>
          <t>aafc-aac</t>
        </is>
      </c>
      <c r="Y1185" t="inlineStr">
        <is>
          <t>Agriculture and Agri-Food Canada | Agriculture et Agroalimentaire Canada</t>
        </is>
      </c>
      <c r="Z1185" t="n">
        <v>5</v>
      </c>
      <c r="AA1185" t="n">
        <v>2754.25</v>
      </c>
      <c r="AB1185">
        <f>ROUND(U1185-AA1185,2)</f>
        <v/>
      </c>
      <c r="AC1185" t="b">
        <v>0</v>
      </c>
      <c r="AD1185">
        <f>IF(U1185="","MISSING_TOTAL",IF(ABS(AB1185)&lt;=0.01,"OK","CHECK"))</f>
        <v/>
      </c>
      <c r="AE1185">
        <f>IF(U1185="","MISSING",IF(AND(AA1185&gt;0,U1185/AA1185&gt;50),"POSSIBLE_SCALE_ERROR","OK"))</f>
        <v/>
      </c>
    </row>
    <row r="1186">
      <c r="A1186" t="inlineStr">
        <is>
          <t>T-2018-Q4-00017</t>
        </is>
      </c>
      <c r="B1186" t="inlineStr">
        <is>
          <t>MPSES</t>
        </is>
      </c>
      <c r="C1186" t="inlineStr">
        <is>
          <t>Special Assistant</t>
        </is>
      </c>
      <c r="D1186" t="inlineStr">
        <is>
          <t>Assistant spécial</t>
        </is>
      </c>
      <c r="E1186" t="inlineStr">
        <is>
          <t>Jean-Sébastien Comeau</t>
        </is>
      </c>
      <c r="F1186" t="inlineStr">
        <is>
          <t>To accompany the Parliamentary Secretary for a speech at the Union des producteurs agricoles Congress</t>
        </is>
      </c>
      <c r="G1186" t="inlineStr">
        <is>
          <t>Pour accompagner le secrétaire parlementaire pour prononcer un discours au Congrès de l'Union des producteurs agricoles</t>
        </is>
      </c>
      <c r="H1186" s="1" t="n">
        <v>43438</v>
      </c>
      <c r="I1186" s="1" t="n">
        <v>43439</v>
      </c>
      <c r="J1186" t="inlineStr">
        <is>
          <t>Quebec City, Quebec</t>
        </is>
      </c>
      <c r="K1186" t="inlineStr">
        <is>
          <t>Québec, Québec</t>
        </is>
      </c>
      <c r="P1186" t="n">
        <v>953.92</v>
      </c>
      <c r="Q1186" t="n">
        <v>0</v>
      </c>
      <c r="R1186" t="n">
        <v>208.26</v>
      </c>
      <c r="S1186" t="n">
        <v>174.7</v>
      </c>
      <c r="T1186" t="n">
        <v>0</v>
      </c>
      <c r="U1186" t="n">
        <v>1336.88</v>
      </c>
      <c r="X1186" t="inlineStr">
        <is>
          <t>aafc-aac</t>
        </is>
      </c>
      <c r="Y1186" t="inlineStr">
        <is>
          <t>Agriculture and Agri-Food Canada | Agriculture et Agroalimentaire Canada</t>
        </is>
      </c>
      <c r="Z1186" t="n">
        <v>2</v>
      </c>
      <c r="AA1186" t="n">
        <v>1336.87999999999</v>
      </c>
      <c r="AB1186">
        <f>ROUND(U1186-AA1186,2)</f>
        <v/>
      </c>
      <c r="AC1186" t="b">
        <v>0</v>
      </c>
      <c r="AD1186">
        <f>IF(U1186="","MISSING_TOTAL",IF(ABS(AB1186)&lt;=0.01,"OK","CHECK"))</f>
        <v/>
      </c>
      <c r="AE1186">
        <f>IF(U1186="","MISSING",IF(AND(AA1186&gt;0,U1186/AA1186&gt;50),"POSSIBLE_SCALE_ERROR","OK"))</f>
        <v/>
      </c>
    </row>
    <row r="1187">
      <c r="A1187" t="inlineStr">
        <is>
          <t>T-2018-Q4-00018</t>
        </is>
      </c>
      <c r="B1187" t="inlineStr">
        <is>
          <t>MPSES</t>
        </is>
      </c>
      <c r="C1187" t="inlineStr">
        <is>
          <t>Special Assistant</t>
        </is>
      </c>
      <c r="D1187" t="inlineStr">
        <is>
          <t>Assistant spécial</t>
        </is>
      </c>
      <c r="E1187" t="inlineStr">
        <is>
          <t>Jean-Sébastien Comeau</t>
        </is>
      </c>
      <c r="F1187" t="inlineStr">
        <is>
          <t>To accompany the Parliamentary Secretary to an announcement in St-Benoit-du-Lac with Minister Bibeau.  To accompany the Minister and Parliamentary Secretary to a meeting with the Union des Producteurs Agricoles and ministerial bilateral meeting with Minister Lamontagne in Sherbrooke</t>
        </is>
      </c>
      <c r="G1187" t="inlineStr">
        <is>
          <t>Pour accompagner le secrétaire parlementaire pour faire une annonce à St-Benoît-du-Lac avec le ministre Bibeau. Pour accompagner le ministre et le secrétaire parlementaire à une réunion avec l’Union des producteurs agricoles et une réunion bilatérale avec le ministre Lamontagne à Sherbrooke</t>
        </is>
      </c>
      <c r="H1187" s="1" t="n">
        <v>43480</v>
      </c>
      <c r="I1187" s="1" t="n">
        <v>43482</v>
      </c>
      <c r="J1187" t="inlineStr">
        <is>
          <t>St-Benoit-du-Lac, Quebec; Sherbrooke, Quebec</t>
        </is>
      </c>
      <c r="K1187" t="inlineStr">
        <is>
          <t>St-Benoît-du-Lac, Québec; Sherbrooke, Québec</t>
        </is>
      </c>
      <c r="P1187" t="n">
        <v>0</v>
      </c>
      <c r="Q1187" t="n">
        <v>274.99</v>
      </c>
      <c r="R1187" t="n">
        <v>0</v>
      </c>
      <c r="S1187" t="n">
        <v>194.55</v>
      </c>
      <c r="T1187" t="n">
        <v>0</v>
      </c>
      <c r="U1187" t="n">
        <v>469.54</v>
      </c>
      <c r="X1187" t="inlineStr">
        <is>
          <t>aafc-aac</t>
        </is>
      </c>
      <c r="Y1187" t="inlineStr">
        <is>
          <t>Agriculture and Agri-Food Canada | Agriculture et Agroalimentaire Canada</t>
        </is>
      </c>
      <c r="Z1187" t="n">
        <v>3</v>
      </c>
      <c r="AA1187" t="n">
        <v>469.54</v>
      </c>
      <c r="AB1187">
        <f>ROUND(U1187-AA1187,2)</f>
        <v/>
      </c>
      <c r="AC1187" t="b">
        <v>0</v>
      </c>
      <c r="AD1187">
        <f>IF(U1187="","MISSING_TOTAL",IF(ABS(AB1187)&lt;=0.01,"OK","CHECK"))</f>
        <v/>
      </c>
      <c r="AE1187">
        <f>IF(U1187="","MISSING",IF(AND(AA1187&gt;0,U1187/AA1187&gt;50),"POSSIBLE_SCALE_ERROR","OK"))</f>
        <v/>
      </c>
    </row>
    <row r="1188">
      <c r="A1188" t="inlineStr">
        <is>
          <t>T-2018-Q4-00046</t>
        </is>
      </c>
      <c r="B1188" t="inlineStr">
        <is>
          <t>SLE</t>
        </is>
      </c>
      <c r="C1188" t="inlineStr">
        <is>
          <t>Corporate Secretary</t>
        </is>
      </c>
      <c r="D1188" t="inlineStr">
        <is>
          <t>Secrétaire générale</t>
        </is>
      </c>
      <c r="E1188" t="inlineStr">
        <is>
          <t>Lisa Foss</t>
        </is>
      </c>
      <c r="F1188" t="inlineStr">
        <is>
          <t>To attend operational activity meetings</t>
        </is>
      </c>
      <c r="G1188" t="inlineStr">
        <is>
          <t>Pour assister à des réunions des activités opérationnelles</t>
        </is>
      </c>
      <c r="H1188" s="1" t="n">
        <v>43488</v>
      </c>
      <c r="I1188" s="1" t="n">
        <v>43490</v>
      </c>
      <c r="J1188" t="inlineStr">
        <is>
          <t>Winnipeg, Manitoba</t>
        </is>
      </c>
      <c r="K1188" t="inlineStr">
        <is>
          <t>Winnipeg, Manitoba</t>
        </is>
      </c>
      <c r="P1188" t="n">
        <v>565.54</v>
      </c>
      <c r="Q1188" t="n">
        <v>82</v>
      </c>
      <c r="R1188" t="n">
        <v>352.38</v>
      </c>
      <c r="S1188" t="n">
        <v>177.65</v>
      </c>
      <c r="T1188" t="n">
        <v>0</v>
      </c>
      <c r="U1188" t="n">
        <v>1177.57</v>
      </c>
      <c r="X1188" t="inlineStr">
        <is>
          <t>aafc-aac</t>
        </is>
      </c>
      <c r="Y1188" t="inlineStr">
        <is>
          <t>Agriculture and Agri-Food Canada | Agriculture et Agroalimentaire Canada</t>
        </is>
      </c>
      <c r="Z1188" t="n">
        <v>3</v>
      </c>
      <c r="AA1188" t="n">
        <v>1177.57</v>
      </c>
      <c r="AB1188">
        <f>ROUND(U1188-AA1188,2)</f>
        <v/>
      </c>
      <c r="AC1188" t="b">
        <v>0</v>
      </c>
      <c r="AD1188">
        <f>IF(U1188="","MISSING_TOTAL",IF(ABS(AB1188)&lt;=0.01,"OK","CHECK"))</f>
        <v/>
      </c>
      <c r="AE1188">
        <f>IF(U1188="","MISSING",IF(AND(AA1188&gt;0,U1188/AA1188&gt;50),"POSSIBLE_SCALE_ERROR","OK"))</f>
        <v/>
      </c>
    </row>
    <row r="1189">
      <c r="A1189" t="inlineStr">
        <is>
          <t>T-2018-Q4-00019</t>
        </is>
      </c>
      <c r="B1189" t="inlineStr">
        <is>
          <t>MPSES</t>
        </is>
      </c>
      <c r="C1189" t="inlineStr">
        <is>
          <t>Special Assistant</t>
        </is>
      </c>
      <c r="D1189" t="inlineStr">
        <is>
          <t>Assistant spécial</t>
        </is>
      </c>
      <c r="E1189" t="inlineStr">
        <is>
          <t>Jean-Sébastien Comeau</t>
        </is>
      </c>
      <c r="F1189" t="inlineStr">
        <is>
          <t>To accompany the Minister and Parliamentary Secretary to an outreach in Montreal.</t>
        </is>
      </c>
      <c r="G1189" t="inlineStr">
        <is>
          <t>Pour accompagner le ministre et le secrétaire parlementaire à une campagne de sensibilisation à Montréal</t>
        </is>
      </c>
      <c r="H1189" s="1" t="n">
        <v>43506</v>
      </c>
      <c r="I1189" s="1" t="n">
        <v>43508</v>
      </c>
      <c r="J1189" t="inlineStr">
        <is>
          <t>Montreal, Quebec</t>
        </is>
      </c>
      <c r="K1189" t="inlineStr">
        <is>
          <t>Montréal, Québec</t>
        </is>
      </c>
      <c r="P1189" t="n">
        <v>0</v>
      </c>
      <c r="Q1189" t="n">
        <v>217.81</v>
      </c>
      <c r="R1189" t="n">
        <v>0</v>
      </c>
      <c r="S1189" t="n">
        <v>124.7</v>
      </c>
      <c r="T1189" t="n">
        <v>0</v>
      </c>
      <c r="U1189" t="n">
        <v>342.51</v>
      </c>
      <c r="X1189" t="inlineStr">
        <is>
          <t>aafc-aac</t>
        </is>
      </c>
      <c r="Y1189" t="inlineStr">
        <is>
          <t>Agriculture and Agri-Food Canada | Agriculture et Agroalimentaire Canada</t>
        </is>
      </c>
      <c r="Z1189" t="n">
        <v>3</v>
      </c>
      <c r="AA1189" t="n">
        <v>342.51</v>
      </c>
      <c r="AB1189">
        <f>ROUND(U1189-AA1189,2)</f>
        <v/>
      </c>
      <c r="AC1189" t="b">
        <v>0</v>
      </c>
      <c r="AD1189">
        <f>IF(U1189="","MISSING_TOTAL",IF(ABS(AB1189)&lt;=0.01,"OK","CHECK"))</f>
        <v/>
      </c>
      <c r="AE1189">
        <f>IF(U1189="","MISSING",IF(AND(AA1189&gt;0,U1189/AA1189&gt;50),"POSSIBLE_SCALE_ERROR","OK"))</f>
        <v/>
      </c>
    </row>
    <row r="1190">
      <c r="A1190" t="inlineStr">
        <is>
          <t>T-2018-Q4-00020</t>
        </is>
      </c>
      <c r="B1190" t="inlineStr">
        <is>
          <t>MPSES</t>
        </is>
      </c>
      <c r="C1190" t="inlineStr">
        <is>
          <t>Special Assistant</t>
        </is>
      </c>
      <c r="D1190" t="inlineStr">
        <is>
          <t>Assistant spécial</t>
        </is>
      </c>
      <c r="E1190" t="inlineStr">
        <is>
          <t>Jean-Sébastien Comeau</t>
        </is>
      </c>
      <c r="F1190" t="inlineStr">
        <is>
          <t>To attend an outreach in Halifax and the Agriculture Growth Summit</t>
        </is>
      </c>
      <c r="G1190" t="inlineStr">
        <is>
          <t>Pour assister à une campagne de sensibilisation à Halifax et au Agriculture Growth Summit</t>
        </is>
      </c>
      <c r="H1190" s="1" t="n">
        <v>43524</v>
      </c>
      <c r="I1190" s="1" t="n">
        <v>43525</v>
      </c>
      <c r="J1190" t="inlineStr">
        <is>
          <t>Halifax, Nova Scotia</t>
        </is>
      </c>
      <c r="K1190" t="inlineStr">
        <is>
          <t>Halifax, Nouvelle-Écosse</t>
        </is>
      </c>
      <c r="P1190" t="n">
        <v>724.1799999999999</v>
      </c>
      <c r="Q1190" t="n">
        <v>67.84999999999999</v>
      </c>
      <c r="R1190" t="n">
        <v>174.78</v>
      </c>
      <c r="S1190" t="n">
        <v>154.45</v>
      </c>
      <c r="T1190" t="n">
        <v>0</v>
      </c>
      <c r="U1190" t="n">
        <v>1121.26</v>
      </c>
      <c r="X1190" t="inlineStr">
        <is>
          <t>aafc-aac</t>
        </is>
      </c>
      <c r="Y1190" t="inlineStr">
        <is>
          <t>Agriculture and Agri-Food Canada | Agriculture et Agroalimentaire Canada</t>
        </is>
      </c>
      <c r="Z1190" t="n">
        <v>2</v>
      </c>
      <c r="AA1190" t="n">
        <v>1121.26</v>
      </c>
      <c r="AB1190">
        <f>ROUND(U1190-AA1190,2)</f>
        <v/>
      </c>
      <c r="AC1190" t="b">
        <v>0</v>
      </c>
      <c r="AD1190">
        <f>IF(U1190="","MISSING_TOTAL",IF(ABS(AB1190)&lt;=0.01,"OK","CHECK"))</f>
        <v/>
      </c>
      <c r="AE1190">
        <f>IF(U1190="","MISSING",IF(AND(AA1190&gt;0,U1190/AA1190&gt;50),"POSSIBLE_SCALE_ERROR","OK"))</f>
        <v/>
      </c>
    </row>
    <row r="1191">
      <c r="A1191" t="inlineStr">
        <is>
          <t>T-2018-Q4-00021</t>
        </is>
      </c>
      <c r="B1191" t="inlineStr">
        <is>
          <t>MPSES</t>
        </is>
      </c>
      <c r="C1191" t="inlineStr">
        <is>
          <t>Chief of Staff</t>
        </is>
      </c>
      <c r="D1191" t="inlineStr">
        <is>
          <t>Chef de cabinet</t>
        </is>
      </c>
      <c r="E1191" t="inlineStr">
        <is>
          <t>Guy Gallant</t>
        </is>
      </c>
      <c r="F1191" t="inlineStr">
        <is>
          <t>To accompany the Minister to the Cabinet Retreat in Sherbrooke</t>
        </is>
      </c>
      <c r="G1191" t="inlineStr">
        <is>
          <t>Pour accompagner le ministre à la retraite du Conseil des ministres à Sherbrooke</t>
        </is>
      </c>
      <c r="H1191" s="1" t="n">
        <v>43482</v>
      </c>
      <c r="I1191" s="1" t="n">
        <v>43483</v>
      </c>
      <c r="J1191" t="inlineStr">
        <is>
          <t>Sherbrooke, Quebec</t>
        </is>
      </c>
      <c r="K1191" t="inlineStr">
        <is>
          <t>Sherbrooke, Québec</t>
        </is>
      </c>
      <c r="P1191" t="n">
        <v>0</v>
      </c>
      <c r="Q1191" t="n">
        <v>0</v>
      </c>
      <c r="R1191" t="n">
        <v>154.7</v>
      </c>
      <c r="S1191" t="n">
        <v>164.8</v>
      </c>
      <c r="T1191" t="n">
        <v>0</v>
      </c>
      <c r="U1191" t="n">
        <v>319.5</v>
      </c>
      <c r="V1191" t="inlineStr">
        <is>
          <t>as per TBS, AAFC to pay even though he wasn't an AAFC staff at the time</t>
        </is>
      </c>
      <c r="X1191" t="inlineStr">
        <is>
          <t>aafc-aac</t>
        </is>
      </c>
      <c r="Y1191" t="inlineStr">
        <is>
          <t>Agriculture and Agri-Food Canada | Agriculture et Agroalimentaire Canada</t>
        </is>
      </c>
      <c r="Z1191" t="n">
        <v>2</v>
      </c>
      <c r="AA1191" t="n">
        <v>319.5</v>
      </c>
      <c r="AB1191">
        <f>ROUND(U1191-AA1191,2)</f>
        <v/>
      </c>
      <c r="AC1191" t="b">
        <v>0</v>
      </c>
      <c r="AD1191">
        <f>IF(U1191="","MISSING_TOTAL",IF(ABS(AB1191)&lt;=0.01,"OK","CHECK"))</f>
        <v/>
      </c>
      <c r="AE1191">
        <f>IF(U1191="","MISSING",IF(AND(AA1191&gt;0,U1191/AA1191&gt;50),"POSSIBLE_SCALE_ERROR","OK"))</f>
        <v/>
      </c>
    </row>
    <row r="1192">
      <c r="A1192" t="inlineStr">
        <is>
          <t>T-2018-Q4-00022</t>
        </is>
      </c>
      <c r="B1192" t="inlineStr">
        <is>
          <t>MPSES</t>
        </is>
      </c>
      <c r="C1192" t="inlineStr">
        <is>
          <t>Chief of Staff</t>
        </is>
      </c>
      <c r="D1192" t="inlineStr">
        <is>
          <t>Chef de cabinet</t>
        </is>
      </c>
      <c r="E1192" t="inlineStr">
        <is>
          <t>Guy Gallant</t>
        </is>
      </c>
      <c r="F1192" t="inlineStr">
        <is>
          <t>To accompany the Minister to the Ministerial Mission in Washington</t>
        </is>
      </c>
      <c r="G1192" t="inlineStr">
        <is>
          <t>Pour accompagner le ministre lors de la mission ministérielle à Washington</t>
        </is>
      </c>
      <c r="H1192" s="1" t="n">
        <v>43515</v>
      </c>
      <c r="I1192" s="1" t="n">
        <v>43518</v>
      </c>
      <c r="J1192" t="inlineStr">
        <is>
          <t>Washington, District of Columbia</t>
        </is>
      </c>
      <c r="K1192" t="inlineStr">
        <is>
          <t>Washington, district de Columbia</t>
        </is>
      </c>
      <c r="P1192" t="n">
        <v>1201.63</v>
      </c>
      <c r="Q1192" t="n">
        <v>6.32</v>
      </c>
      <c r="R1192" t="n">
        <v>578.7</v>
      </c>
      <c r="S1192" t="n">
        <v>346.79</v>
      </c>
      <c r="T1192" t="n">
        <v>0</v>
      </c>
      <c r="U1192" t="n">
        <v>2133.44</v>
      </c>
      <c r="X1192" t="inlineStr">
        <is>
          <t>aafc-aac</t>
        </is>
      </c>
      <c r="Y1192" t="inlineStr">
        <is>
          <t>Agriculture and Agri-Food Canada | Agriculture et Agroalimentaire Canada</t>
        </is>
      </c>
      <c r="Z1192" t="n">
        <v>4</v>
      </c>
      <c r="AA1192" t="n">
        <v>2133.44</v>
      </c>
      <c r="AB1192">
        <f>ROUND(U1192-AA1192,2)</f>
        <v/>
      </c>
      <c r="AC1192" t="b">
        <v>0</v>
      </c>
      <c r="AD1192">
        <f>IF(U1192="","MISSING_TOTAL",IF(ABS(AB1192)&lt;=0.01,"OK","CHECK"))</f>
        <v/>
      </c>
      <c r="AE1192">
        <f>IF(U1192="","MISSING",IF(AND(AA1192&gt;0,U1192/AA1192&gt;50),"POSSIBLE_SCALE_ERROR","OK"))</f>
        <v/>
      </c>
    </row>
    <row r="1193">
      <c r="A1193" t="inlineStr">
        <is>
          <t>T-2018-Q4-00023</t>
        </is>
      </c>
      <c r="B1193" t="inlineStr">
        <is>
          <t>MPSES</t>
        </is>
      </c>
      <c r="C1193" t="inlineStr">
        <is>
          <t>Chief of Staff</t>
        </is>
      </c>
      <c r="D1193" t="inlineStr">
        <is>
          <t>Chef de cabinet</t>
        </is>
      </c>
      <c r="E1193" t="inlineStr">
        <is>
          <t>Guy Gallant</t>
        </is>
      </c>
      <c r="F1193" t="inlineStr">
        <is>
          <t>To accompany the Minister to an outreach in Halifax and the Agriculture Growth Summit</t>
        </is>
      </c>
      <c r="G1193" t="inlineStr">
        <is>
          <t>Pour accompagner le ministre à une campagne de sensibilisation à Halifax et au Agriculture Growth Summit</t>
        </is>
      </c>
      <c r="H1193" s="1" t="n">
        <v>43524</v>
      </c>
      <c r="I1193" s="1" t="n">
        <v>43525</v>
      </c>
      <c r="J1193" t="inlineStr">
        <is>
          <t>Halifax, Nova Scotia</t>
        </is>
      </c>
      <c r="K1193" t="inlineStr">
        <is>
          <t>Halifax, Nouvelle-Écosse</t>
        </is>
      </c>
      <c r="P1193" t="n">
        <v>1027.78</v>
      </c>
      <c r="Q1193" t="n">
        <v>0</v>
      </c>
      <c r="R1193" t="n">
        <v>0</v>
      </c>
      <c r="S1193" t="n">
        <v>87.15000000000001</v>
      </c>
      <c r="T1193" t="n">
        <v>0</v>
      </c>
      <c r="U1193" t="n">
        <v>1114.93</v>
      </c>
      <c r="X1193" t="inlineStr">
        <is>
          <t>aafc-aac</t>
        </is>
      </c>
      <c r="Y1193" t="inlineStr">
        <is>
          <t>Agriculture and Agri-Food Canada | Agriculture et Agroalimentaire Canada</t>
        </is>
      </c>
      <c r="Z1193" t="n">
        <v>2</v>
      </c>
      <c r="AA1193" t="n">
        <v>1114.93</v>
      </c>
      <c r="AB1193">
        <f>ROUND(U1193-AA1193,2)</f>
        <v/>
      </c>
      <c r="AC1193" t="b">
        <v>0</v>
      </c>
      <c r="AD1193">
        <f>IF(U1193="","MISSING_TOTAL",IF(ABS(AB1193)&lt;=0.01,"OK","CHECK"))</f>
        <v/>
      </c>
      <c r="AE1193">
        <f>IF(U1193="","MISSING",IF(AND(AA1193&gt;0,U1193/AA1193&gt;50),"POSSIBLE_SCALE_ERROR","OK"))</f>
        <v/>
      </c>
    </row>
    <row r="1194">
      <c r="A1194" t="inlineStr">
        <is>
          <t>T-2018-Q4-00024</t>
        </is>
      </c>
      <c r="B1194" t="inlineStr">
        <is>
          <t>MPSES</t>
        </is>
      </c>
      <c r="C1194" t="inlineStr">
        <is>
          <t>Director of Parliamentary Affairs</t>
        </is>
      </c>
      <c r="D1194" t="inlineStr">
        <is>
          <t>Directeur des affaires parlementaires</t>
        </is>
      </c>
      <c r="E1194" t="inlineStr">
        <is>
          <t>Matthew Mann</t>
        </is>
      </c>
      <c r="F1194" t="inlineStr">
        <is>
          <t>To accompany the Minister for announcements, stakeholder meetings and to brief the minister for year-end interviews</t>
        </is>
      </c>
      <c r="G1194" t="inlineStr">
        <is>
          <t>Pour accompagner le ministre à des annonces, des réunions avec des intervenants clés et pour informer le ministre dans le cadre des entrevues de fin d’année</t>
        </is>
      </c>
      <c r="H1194" s="1" t="n">
        <v>43440</v>
      </c>
      <c r="I1194" s="1" t="n">
        <v>43442</v>
      </c>
      <c r="J1194" t="inlineStr">
        <is>
          <t>Charlottetown, Prince Edward Island</t>
        </is>
      </c>
      <c r="K1194" t="inlineStr">
        <is>
          <t>Charlottetown, Île-du-Prince-Édouard</t>
        </is>
      </c>
      <c r="P1194" t="n">
        <v>1485.5</v>
      </c>
      <c r="Q1194" t="n">
        <v>190.6</v>
      </c>
      <c r="R1194" t="n">
        <v>362.46</v>
      </c>
      <c r="S1194" t="n">
        <v>212.25</v>
      </c>
      <c r="T1194" t="n">
        <v>0</v>
      </c>
      <c r="U1194" t="n">
        <v>2250.81</v>
      </c>
      <c r="X1194" t="inlineStr">
        <is>
          <t>aafc-aac</t>
        </is>
      </c>
      <c r="Y1194" t="inlineStr">
        <is>
          <t>Agriculture and Agri-Food Canada | Agriculture et Agroalimentaire Canada</t>
        </is>
      </c>
      <c r="Z1194" t="n">
        <v>3</v>
      </c>
      <c r="AA1194" t="n">
        <v>2250.81</v>
      </c>
      <c r="AB1194">
        <f>ROUND(U1194-AA1194,2)</f>
        <v/>
      </c>
      <c r="AC1194" t="b">
        <v>0</v>
      </c>
      <c r="AD1194">
        <f>IF(U1194="","MISSING_TOTAL",IF(ABS(AB1194)&lt;=0.01,"OK","CHECK"))</f>
        <v/>
      </c>
      <c r="AE1194">
        <f>IF(U1194="","MISSING",IF(AND(AA1194&gt;0,U1194/AA1194&gt;50),"POSSIBLE_SCALE_ERROR","OK"))</f>
        <v/>
      </c>
    </row>
    <row r="1195">
      <c r="A1195" t="inlineStr">
        <is>
          <t>T-2018-Q4-00025</t>
        </is>
      </c>
      <c r="B1195" t="inlineStr">
        <is>
          <t>MPSES</t>
        </is>
      </c>
      <c r="C1195" t="inlineStr">
        <is>
          <t>Director of Parliamentary Affairs</t>
        </is>
      </c>
      <c r="D1195" t="inlineStr">
        <is>
          <t>Directeur des affaires parlementaires</t>
        </is>
      </c>
      <c r="E1195" t="inlineStr">
        <is>
          <t>Matthew Mann</t>
        </is>
      </c>
      <c r="F1195" t="inlineStr">
        <is>
          <t>To accompany the Minister to the Cabinet Retreat in Sherbrooke and to attend meetings with stakeholders and the provincial Minister of Agriculture</t>
        </is>
      </c>
      <c r="G1195" t="inlineStr">
        <is>
          <t>Pour accompagner le ministre à la retraite du Conseil des ministres à Sherbrooke et pour assister à des réunions avec des intervenants clés et le ministre de l’Agriculture provincial</t>
        </is>
      </c>
      <c r="H1195" s="1" t="n">
        <v>43482</v>
      </c>
      <c r="I1195" s="1" t="n">
        <v>43483</v>
      </c>
      <c r="J1195" t="inlineStr">
        <is>
          <t>Sherbrooke, Quebec</t>
        </is>
      </c>
      <c r="K1195" t="inlineStr">
        <is>
          <t>Sherbrooke, Québec</t>
        </is>
      </c>
      <c r="P1195" t="n">
        <v>0</v>
      </c>
      <c r="Q1195" t="n">
        <v>0</v>
      </c>
      <c r="R1195" t="n">
        <v>118.94</v>
      </c>
      <c r="S1195" t="n">
        <v>251.95</v>
      </c>
      <c r="T1195" t="n">
        <v>0</v>
      </c>
      <c r="U1195" t="n">
        <v>370.89</v>
      </c>
      <c r="X1195" t="inlineStr">
        <is>
          <t>aafc-aac</t>
        </is>
      </c>
      <c r="Y1195" t="inlineStr">
        <is>
          <t>Agriculture and Agri-Food Canada | Agriculture et Agroalimentaire Canada</t>
        </is>
      </c>
      <c r="Z1195" t="n">
        <v>2</v>
      </c>
      <c r="AA1195" t="n">
        <v>370.89</v>
      </c>
      <c r="AB1195">
        <f>ROUND(U1195-AA1195,2)</f>
        <v/>
      </c>
      <c r="AC1195" t="b">
        <v>0</v>
      </c>
      <c r="AD1195">
        <f>IF(U1195="","MISSING_TOTAL",IF(ABS(AB1195)&lt;=0.01,"OK","CHECK"))</f>
        <v/>
      </c>
      <c r="AE1195">
        <f>IF(U1195="","MISSING",IF(AND(AA1195&gt;0,U1195/AA1195&gt;50),"POSSIBLE_SCALE_ERROR","OK"))</f>
        <v/>
      </c>
    </row>
    <row r="1196">
      <c r="A1196" t="inlineStr">
        <is>
          <t>T-2018-Q4-00026</t>
        </is>
      </c>
      <c r="B1196" t="inlineStr">
        <is>
          <t>MPSES</t>
        </is>
      </c>
      <c r="C1196" t="inlineStr">
        <is>
          <t>Director of Parliamentary Affairs</t>
        </is>
      </c>
      <c r="D1196" t="inlineStr">
        <is>
          <t>Directeur des affaires parlementaires</t>
        </is>
      </c>
      <c r="E1196" t="inlineStr">
        <is>
          <t>Matthew Mann</t>
        </is>
      </c>
      <c r="F1196" t="inlineStr">
        <is>
          <t>To accompany the Minister for government announcements and attend meetings</t>
        </is>
      </c>
      <c r="G1196" t="inlineStr">
        <is>
          <t>Pour accompagner le ministre pour des annonces gouvernementales et assister à des réunions</t>
        </is>
      </c>
      <c r="H1196" s="1" t="n">
        <v>43489</v>
      </c>
      <c r="I1196" s="1" t="n">
        <v>43491</v>
      </c>
      <c r="J1196" t="inlineStr">
        <is>
          <t>Charlottetown, Prince Edward Island</t>
        </is>
      </c>
      <c r="K1196" t="inlineStr">
        <is>
          <t>Charlottetown, Île-du-Prince-Édouard</t>
        </is>
      </c>
      <c r="P1196" t="n">
        <v>868.52</v>
      </c>
      <c r="Q1196" t="n">
        <v>132.64</v>
      </c>
      <c r="R1196" t="n">
        <v>336.4</v>
      </c>
      <c r="S1196" t="n">
        <v>251.95</v>
      </c>
      <c r="T1196" t="n">
        <v>0</v>
      </c>
      <c r="U1196" t="n">
        <v>1589.51</v>
      </c>
      <c r="X1196" t="inlineStr">
        <is>
          <t>aafc-aac</t>
        </is>
      </c>
      <c r="Y1196" t="inlineStr">
        <is>
          <t>Agriculture and Agri-Food Canada | Agriculture et Agroalimentaire Canada</t>
        </is>
      </c>
      <c r="Z1196" t="n">
        <v>3</v>
      </c>
      <c r="AA1196" t="n">
        <v>1589.51</v>
      </c>
      <c r="AB1196">
        <f>ROUND(U1196-AA1196,2)</f>
        <v/>
      </c>
      <c r="AC1196" t="b">
        <v>0</v>
      </c>
      <c r="AD1196">
        <f>IF(U1196="","MISSING_TOTAL",IF(ABS(AB1196)&lt;=0.01,"OK","CHECK"))</f>
        <v/>
      </c>
      <c r="AE1196">
        <f>IF(U1196="","MISSING",IF(AND(AA1196&gt;0,U1196/AA1196&gt;50),"POSSIBLE_SCALE_ERROR","OK"))</f>
        <v/>
      </c>
    </row>
    <row r="1197">
      <c r="A1197" t="inlineStr">
        <is>
          <t>T-2018-Q4-00028</t>
        </is>
      </c>
      <c r="B1197" t="inlineStr">
        <is>
          <t>MPSES</t>
        </is>
      </c>
      <c r="C1197" t="inlineStr">
        <is>
          <t>Director of Policy</t>
        </is>
      </c>
      <c r="D1197" t="inlineStr">
        <is>
          <t>Directrice de la politique</t>
        </is>
      </c>
      <c r="E1197" t="inlineStr">
        <is>
          <t>Alison Porter</t>
        </is>
      </c>
      <c r="F1197" t="inlineStr">
        <is>
          <t>To accompany the Minister to the Ministerial Mission in Washington</t>
        </is>
      </c>
      <c r="G1197" t="inlineStr">
        <is>
          <t>Pour accompagner le ministre à la mission ministérielle à Washington</t>
        </is>
      </c>
      <c r="H1197" s="1" t="n">
        <v>43515</v>
      </c>
      <c r="I1197" s="1" t="n">
        <v>43518</v>
      </c>
      <c r="J1197" t="inlineStr">
        <is>
          <t>Washington, District of Columbia</t>
        </is>
      </c>
      <c r="K1197" t="inlineStr">
        <is>
          <t>Washington, district de Columbia</t>
        </is>
      </c>
      <c r="P1197" t="n">
        <v>1474.33</v>
      </c>
      <c r="Q1197" t="n">
        <v>56.16</v>
      </c>
      <c r="R1197" t="n">
        <v>823.54</v>
      </c>
      <c r="S1197" t="n">
        <v>492.4</v>
      </c>
      <c r="T1197" t="n">
        <v>0</v>
      </c>
      <c r="U1197" t="n">
        <v>2846.43</v>
      </c>
      <c r="X1197" t="inlineStr">
        <is>
          <t>aafc-aac</t>
        </is>
      </c>
      <c r="Y1197" t="inlineStr">
        <is>
          <t>Agriculture and Agri-Food Canada | Agriculture et Agroalimentaire Canada</t>
        </is>
      </c>
      <c r="Z1197" t="n">
        <v>4</v>
      </c>
      <c r="AA1197" t="n">
        <v>2846.43</v>
      </c>
      <c r="AB1197">
        <f>ROUND(U1197-AA1197,2)</f>
        <v/>
      </c>
      <c r="AC1197" t="b">
        <v>0</v>
      </c>
      <c r="AD1197">
        <f>IF(U1197="","MISSING_TOTAL",IF(ABS(AB1197)&lt;=0.01,"OK","CHECK"))</f>
        <v/>
      </c>
      <c r="AE1197">
        <f>IF(U1197="","MISSING",IF(AND(AA1197&gt;0,U1197/AA1197&gt;50),"POSSIBLE_SCALE_ERROR","OK"))</f>
        <v/>
      </c>
    </row>
    <row r="1198">
      <c r="A1198" t="inlineStr">
        <is>
          <t>T-2018-Q4-00029</t>
        </is>
      </c>
      <c r="B1198" t="inlineStr">
        <is>
          <t>MPSES</t>
        </is>
      </c>
      <c r="C1198" t="inlineStr">
        <is>
          <t>Parliamentary Secretary Assistant</t>
        </is>
      </c>
      <c r="D1198" t="inlineStr">
        <is>
          <t>Adjoint du secrétaire parlementaire</t>
        </is>
      </c>
      <c r="E1198" t="inlineStr">
        <is>
          <t>Michel-Antoine Renaud</t>
        </is>
      </c>
      <c r="F1198" t="inlineStr">
        <is>
          <t>To accompany the Parliamentary Secretary for a speech at the Congrès de l'Union des producteurs agricoles</t>
        </is>
      </c>
      <c r="G1198" t="inlineStr">
        <is>
          <t>Pour accompagner le secrétaire parlementaire pour prononcer un discours au Congrès de l'Union des producteurs agricoles</t>
        </is>
      </c>
      <c r="H1198" s="1" t="n">
        <v>43438</v>
      </c>
      <c r="I1198" s="1" t="n">
        <v>43439</v>
      </c>
      <c r="J1198" t="inlineStr">
        <is>
          <t>Quebec City, Quebec</t>
        </is>
      </c>
      <c r="K1198" t="inlineStr">
        <is>
          <t>Québec, Québec</t>
        </is>
      </c>
      <c r="P1198" t="n">
        <v>1152.8</v>
      </c>
      <c r="Q1198" t="n">
        <v>133.77</v>
      </c>
      <c r="R1198" t="n">
        <v>208.26</v>
      </c>
      <c r="S1198" t="n">
        <v>174.7</v>
      </c>
      <c r="T1198" t="n">
        <v>18.11</v>
      </c>
      <c r="U1198" t="n">
        <v>1687.64</v>
      </c>
      <c r="V1198" t="inlineStr">
        <is>
          <t>Other expense was for printing documents at the hotel.</t>
        </is>
      </c>
      <c r="W1198" t="inlineStr">
        <is>
          <t>Frais divers étaient pour les coûts d'impression de documents à l'hôtel.</t>
        </is>
      </c>
      <c r="X1198" t="inlineStr">
        <is>
          <t>aafc-aac</t>
        </is>
      </c>
      <c r="Y1198" t="inlineStr">
        <is>
          <t>Agriculture and Agri-Food Canada | Agriculture et Agroalimentaire Canada</t>
        </is>
      </c>
      <c r="Z1198" t="n">
        <v>2</v>
      </c>
      <c r="AA1198" t="n">
        <v>1687.63999999999</v>
      </c>
      <c r="AB1198">
        <f>ROUND(U1198-AA1198,2)</f>
        <v/>
      </c>
      <c r="AC1198" t="b">
        <v>0</v>
      </c>
      <c r="AD1198">
        <f>IF(U1198="","MISSING_TOTAL",IF(ABS(AB1198)&lt;=0.01,"OK","CHECK"))</f>
        <v/>
      </c>
      <c r="AE1198">
        <f>IF(U1198="","MISSING",IF(AND(AA1198&gt;0,U1198/AA1198&gt;50),"POSSIBLE_SCALE_ERROR","OK"))</f>
        <v/>
      </c>
    </row>
    <row r="1199">
      <c r="A1199" t="inlineStr">
        <is>
          <t>T-2018-Q4-00030</t>
        </is>
      </c>
      <c r="B1199" t="inlineStr">
        <is>
          <t>MPSES</t>
        </is>
      </c>
      <c r="C1199" t="inlineStr">
        <is>
          <t>Parliamentary Secretary Assistant</t>
        </is>
      </c>
      <c r="D1199" t="inlineStr">
        <is>
          <t>Adjoint du secrétaire parlementaire</t>
        </is>
      </c>
      <c r="E1199" t="inlineStr">
        <is>
          <t>Michel-Antoine Renaud</t>
        </is>
      </c>
      <c r="F1199" t="inlineStr">
        <is>
          <t>To accompany the Parliamentary Secretary for an announcement and attendance to The Pork Show</t>
        </is>
      </c>
      <c r="G1199" t="inlineStr">
        <is>
          <t>Pour accompagner le secrétaire parlementaire pour faire une annonce au Porc Show</t>
        </is>
      </c>
      <c r="H1199" s="1" t="n">
        <v>43446</v>
      </c>
      <c r="I1199" s="1" t="n">
        <v>43446</v>
      </c>
      <c r="J1199" t="inlineStr">
        <is>
          <t>Quebec City, Quebec</t>
        </is>
      </c>
      <c r="K1199" t="inlineStr">
        <is>
          <t>Québec, Québec</t>
        </is>
      </c>
      <c r="P1199" t="n">
        <v>773.89</v>
      </c>
      <c r="Q1199" t="n">
        <v>170.38</v>
      </c>
      <c r="R1199" t="n">
        <v>0</v>
      </c>
      <c r="S1199" t="n">
        <v>20.25</v>
      </c>
      <c r="T1199" t="n">
        <v>0</v>
      </c>
      <c r="U1199" t="n">
        <v>964.52</v>
      </c>
      <c r="X1199" t="inlineStr">
        <is>
          <t>aafc-aac</t>
        </is>
      </c>
      <c r="Y1199" t="inlineStr">
        <is>
          <t>Agriculture and Agri-Food Canada | Agriculture et Agroalimentaire Canada</t>
        </is>
      </c>
      <c r="Z1199" t="n">
        <v>1</v>
      </c>
      <c r="AA1199" t="n">
        <v>964.52</v>
      </c>
      <c r="AB1199">
        <f>ROUND(U1199-AA1199,2)</f>
        <v/>
      </c>
      <c r="AC1199" t="b">
        <v>0</v>
      </c>
      <c r="AD1199">
        <f>IF(U1199="","MISSING_TOTAL",IF(ABS(AB1199)&lt;=0.01,"OK","CHECK"))</f>
        <v/>
      </c>
      <c r="AE1199">
        <f>IF(U1199="","MISSING",IF(AND(AA1199&gt;0,U1199/AA1199&gt;50),"POSSIBLE_SCALE_ERROR","OK"))</f>
        <v/>
      </c>
    </row>
    <row r="1200">
      <c r="A1200" t="inlineStr">
        <is>
          <t>T-2018-Q4-00031</t>
        </is>
      </c>
      <c r="B1200" t="inlineStr">
        <is>
          <t>MPSES</t>
        </is>
      </c>
      <c r="C1200" t="inlineStr">
        <is>
          <t>Parliamentary Secretary</t>
        </is>
      </c>
      <c r="D1200" t="inlineStr">
        <is>
          <t>Secrétaire parlementaire</t>
        </is>
      </c>
      <c r="E1200" t="inlineStr">
        <is>
          <t>Jean-Claude Poissant</t>
        </is>
      </c>
      <c r="F1200" t="inlineStr">
        <is>
          <t>To attend a speech at the Congrès de l'Union des producteurs agricoles</t>
        </is>
      </c>
      <c r="G1200" t="inlineStr">
        <is>
          <t>Pour assister à un discours au Congrès de l' Union des producteurs agricoles</t>
        </is>
      </c>
      <c r="H1200" s="1" t="n">
        <v>43438</v>
      </c>
      <c r="I1200" s="1" t="n">
        <v>43439</v>
      </c>
      <c r="J1200" t="inlineStr">
        <is>
          <t>Quebec City, Quebec</t>
        </is>
      </c>
      <c r="K1200" t="inlineStr">
        <is>
          <t>Québec, Québec</t>
        </is>
      </c>
      <c r="P1200" t="n">
        <v>1289.53</v>
      </c>
      <c r="Q1200" t="n">
        <v>0</v>
      </c>
      <c r="R1200" t="n">
        <v>208.26</v>
      </c>
      <c r="S1200" t="n">
        <v>174.7</v>
      </c>
      <c r="T1200" t="n">
        <v>0</v>
      </c>
      <c r="U1200" t="n">
        <v>1672.49</v>
      </c>
      <c r="X1200" t="inlineStr">
        <is>
          <t>aafc-aac</t>
        </is>
      </c>
      <c r="Y1200" t="inlineStr">
        <is>
          <t>Agriculture and Agri-Food Canada | Agriculture et Agroalimentaire Canada</t>
        </is>
      </c>
      <c r="Z1200" t="n">
        <v>2</v>
      </c>
      <c r="AA1200" t="n">
        <v>1672.49</v>
      </c>
      <c r="AB1200">
        <f>ROUND(U1200-AA1200,2)</f>
        <v/>
      </c>
      <c r="AC1200" t="b">
        <v>0</v>
      </c>
      <c r="AD1200">
        <f>IF(U1200="","MISSING_TOTAL",IF(ABS(AB1200)&lt;=0.01,"OK","CHECK"))</f>
        <v/>
      </c>
      <c r="AE1200">
        <f>IF(U1200="","MISSING",IF(AND(AA1200&gt;0,U1200/AA1200&gt;50),"POSSIBLE_SCALE_ERROR","OK"))</f>
        <v/>
      </c>
    </row>
    <row r="1201">
      <c r="A1201" t="inlineStr">
        <is>
          <t>T-2018-Q4-00032</t>
        </is>
      </c>
      <c r="B1201" t="inlineStr">
        <is>
          <t>MPSES</t>
        </is>
      </c>
      <c r="C1201" t="inlineStr">
        <is>
          <t>Parliamentary Secretary</t>
        </is>
      </c>
      <c r="D1201" t="inlineStr">
        <is>
          <t>Secrétaire parlementaire</t>
        </is>
      </c>
      <c r="E1201" t="inlineStr">
        <is>
          <t>Jean-Claude Poissant</t>
        </is>
      </c>
      <c r="F1201" t="inlineStr">
        <is>
          <t>To attend and make an announcement at The Pork Show</t>
        </is>
      </c>
      <c r="G1201" t="inlineStr">
        <is>
          <t>Pour assister et faire une annonce au Porc Show</t>
        </is>
      </c>
      <c r="H1201" s="1" t="n">
        <v>43446</v>
      </c>
      <c r="I1201" s="1" t="n">
        <v>43446</v>
      </c>
      <c r="J1201" t="inlineStr">
        <is>
          <t>Quebec City, Quebec</t>
        </is>
      </c>
      <c r="K1201" t="inlineStr">
        <is>
          <t>Québec, Québec</t>
        </is>
      </c>
      <c r="P1201" t="n">
        <v>773.89</v>
      </c>
      <c r="Q1201" t="n">
        <v>0</v>
      </c>
      <c r="R1201" t="n">
        <v>0</v>
      </c>
      <c r="S1201" t="n">
        <v>20.25</v>
      </c>
      <c r="T1201" t="n">
        <v>0</v>
      </c>
      <c r="U1201" t="n">
        <v>794.14</v>
      </c>
      <c r="X1201" t="inlineStr">
        <is>
          <t>aafc-aac</t>
        </is>
      </c>
      <c r="Y1201" t="inlineStr">
        <is>
          <t>Agriculture and Agri-Food Canada | Agriculture et Agroalimentaire Canada</t>
        </is>
      </c>
      <c r="Z1201" t="n">
        <v>1</v>
      </c>
      <c r="AA1201" t="n">
        <v>794.14</v>
      </c>
      <c r="AB1201">
        <f>ROUND(U1201-AA1201,2)</f>
        <v/>
      </c>
      <c r="AC1201" t="b">
        <v>0</v>
      </c>
      <c r="AD1201">
        <f>IF(U1201="","MISSING_TOTAL",IF(ABS(AB1201)&lt;=0.01,"OK","CHECK"))</f>
        <v/>
      </c>
      <c r="AE1201">
        <f>IF(U1201="","MISSING",IF(AND(AA1201&gt;0,U1201/AA1201&gt;50),"POSSIBLE_SCALE_ERROR","OK"))</f>
        <v/>
      </c>
    </row>
    <row r="1202">
      <c r="A1202" t="inlineStr">
        <is>
          <t>T-2018-Q4-00038</t>
        </is>
      </c>
      <c r="B1202" t="inlineStr">
        <is>
          <t>MPSES</t>
        </is>
      </c>
      <c r="C1202" t="inlineStr">
        <is>
          <t>Director of Communications</t>
        </is>
      </c>
      <c r="D1202" t="inlineStr">
        <is>
          <t>Directrice des communications</t>
        </is>
      </c>
      <c r="E1202" t="inlineStr">
        <is>
          <t>Katie Hawkins</t>
        </is>
      </c>
      <c r="F1202" t="inlineStr">
        <is>
          <t>To accompany the Minister at the CropSphere Conference and attend stakeholder meetings with Saskatchewan Wheat Commission and Canadian Wheat Research Coalition</t>
        </is>
      </c>
      <c r="G1202" t="inlineStr">
        <is>
          <t>Pour accompagner le ministre à la conférence CropSphere et assister à des réunions avec la Commission du blé de Saskatchewan et la Coalition canadienne pour la recherche sur le blé</t>
        </is>
      </c>
      <c r="H1202" s="1" t="n">
        <v>43479</v>
      </c>
      <c r="I1202" s="1" t="n">
        <v>43480</v>
      </c>
      <c r="J1202" t="inlineStr">
        <is>
          <t>Saskatoon, Saskatchewan</t>
        </is>
      </c>
      <c r="K1202" t="inlineStr">
        <is>
          <t>Saskatoon, Saskatchewan</t>
        </is>
      </c>
      <c r="P1202" t="n">
        <v>1443.51</v>
      </c>
      <c r="Q1202" t="n">
        <v>85.40000000000001</v>
      </c>
      <c r="R1202" t="n">
        <v>176.07</v>
      </c>
      <c r="S1202" t="n">
        <v>124.7</v>
      </c>
      <c r="T1202" t="n">
        <v>0</v>
      </c>
      <c r="U1202" t="n">
        <v>1829.68</v>
      </c>
      <c r="X1202" t="inlineStr">
        <is>
          <t>aafc-aac</t>
        </is>
      </c>
      <c r="Y1202" t="inlineStr">
        <is>
          <t>Agriculture and Agri-Food Canada | Agriculture et Agroalimentaire Canada</t>
        </is>
      </c>
      <c r="Z1202" t="n">
        <v>2</v>
      </c>
      <c r="AA1202" t="n">
        <v>1829.68</v>
      </c>
      <c r="AB1202">
        <f>ROUND(U1202-AA1202,2)</f>
        <v/>
      </c>
      <c r="AC1202" t="b">
        <v>0</v>
      </c>
      <c r="AD1202">
        <f>IF(U1202="","MISSING_TOTAL",IF(ABS(AB1202)&lt;=0.01,"OK","CHECK"))</f>
        <v/>
      </c>
      <c r="AE1202">
        <f>IF(U1202="","MISSING",IF(AND(AA1202&gt;0,U1202/AA1202&gt;50),"POSSIBLE_SCALE_ERROR","OK"))</f>
        <v/>
      </c>
    </row>
    <row r="1203">
      <c r="A1203" t="inlineStr">
        <is>
          <t>T-2018-Q4-00039</t>
        </is>
      </c>
      <c r="B1203" t="inlineStr">
        <is>
          <t>SLE</t>
        </is>
      </c>
      <c r="C1203" t="inlineStr">
        <is>
          <t>Deputy Minister</t>
        </is>
      </c>
      <c r="D1203" t="inlineStr">
        <is>
          <t>Sous-ministre</t>
        </is>
      </c>
      <c r="E1203" t="inlineStr">
        <is>
          <t>Chris Forbes</t>
        </is>
      </c>
      <c r="F1203" t="inlineStr">
        <is>
          <t>To attend key stakeholder engagement meetings</t>
        </is>
      </c>
      <c r="G1203" t="inlineStr">
        <is>
          <t>Pour assister à des réunions d'engagement avec des intervenants clés</t>
        </is>
      </c>
      <c r="H1203" s="1" t="n">
        <v>43437</v>
      </c>
      <c r="I1203" s="1" t="n">
        <v>43440</v>
      </c>
      <c r="J1203" t="inlineStr">
        <is>
          <t>Lethbridge, Alberta; Calgary, Alberta</t>
        </is>
      </c>
      <c r="K1203" t="inlineStr">
        <is>
          <t>Lethbridge, Alberta; Calgary, Alberta</t>
        </is>
      </c>
      <c r="P1203" t="n">
        <v>881.3200000000001</v>
      </c>
      <c r="Q1203" t="n">
        <v>35</v>
      </c>
      <c r="R1203" t="n">
        <v>299.59</v>
      </c>
      <c r="S1203" t="n">
        <v>69.84999999999999</v>
      </c>
      <c r="T1203" t="n">
        <v>0</v>
      </c>
      <c r="U1203" t="n">
        <v>1285.76</v>
      </c>
      <c r="X1203" t="inlineStr">
        <is>
          <t>aafc-aac</t>
        </is>
      </c>
      <c r="Y1203" t="inlineStr">
        <is>
          <t>Agriculture and Agri-Food Canada | Agriculture et Agroalimentaire Canada</t>
        </is>
      </c>
      <c r="Z1203" t="n">
        <v>4</v>
      </c>
      <c r="AA1203" t="n">
        <v>1285.76</v>
      </c>
      <c r="AB1203">
        <f>ROUND(U1203-AA1203,2)</f>
        <v/>
      </c>
      <c r="AC1203" t="b">
        <v>0</v>
      </c>
      <c r="AD1203">
        <f>IF(U1203="","MISSING_TOTAL",IF(ABS(AB1203)&lt;=0.01,"OK","CHECK"))</f>
        <v/>
      </c>
      <c r="AE1203">
        <f>IF(U1203="","MISSING",IF(AND(AA1203&gt;0,U1203/AA1203&gt;50),"POSSIBLE_SCALE_ERROR","OK"))</f>
        <v/>
      </c>
    </row>
    <row r="1204">
      <c r="A1204" t="inlineStr">
        <is>
          <t>T-2018-Q4-00040</t>
        </is>
      </c>
      <c r="B1204" t="inlineStr">
        <is>
          <t>SLE</t>
        </is>
      </c>
      <c r="C1204" t="inlineStr">
        <is>
          <t>Deputy Minister</t>
        </is>
      </c>
      <c r="D1204" t="inlineStr">
        <is>
          <t>Sous-ministre</t>
        </is>
      </c>
      <c r="E1204" t="inlineStr">
        <is>
          <t>Chris Forbes</t>
        </is>
      </c>
      <c r="F1204" t="inlineStr">
        <is>
          <t>To attend the Federal-Provincial-Territorial Meeting of Deputy Ministers of Agriculture</t>
        </is>
      </c>
      <c r="G1204" t="inlineStr">
        <is>
          <t>Pour assister à la réunion fédérale, provinciale et territoriale des sous-ministres de l'Agriculture</t>
        </is>
      </c>
      <c r="H1204" s="1" t="n">
        <v>43486</v>
      </c>
      <c r="I1204" s="1" t="n">
        <v>43489</v>
      </c>
      <c r="J1204" t="inlineStr">
        <is>
          <t>Toronto, Ontario</t>
        </is>
      </c>
      <c r="K1204" t="inlineStr">
        <is>
          <t>Toronto, Ontario</t>
        </is>
      </c>
      <c r="P1204" t="n">
        <v>425.66</v>
      </c>
      <c r="Q1204" t="n">
        <v>0</v>
      </c>
      <c r="R1204" t="n">
        <v>151.6</v>
      </c>
      <c r="S1204" t="n">
        <v>69.84999999999999</v>
      </c>
      <c r="T1204" t="n">
        <v>0</v>
      </c>
      <c r="U1204" t="n">
        <v>647.11</v>
      </c>
      <c r="X1204" t="inlineStr">
        <is>
          <t>aafc-aac</t>
        </is>
      </c>
      <c r="Y1204" t="inlineStr">
        <is>
          <t>Agriculture and Agri-Food Canada | Agriculture et Agroalimentaire Canada</t>
        </is>
      </c>
      <c r="Z1204" t="n">
        <v>4</v>
      </c>
      <c r="AA1204" t="n">
        <v>647.11</v>
      </c>
      <c r="AB1204">
        <f>ROUND(U1204-AA1204,2)</f>
        <v/>
      </c>
      <c r="AC1204" t="b">
        <v>0</v>
      </c>
      <c r="AD1204">
        <f>IF(U1204="","MISSING_TOTAL",IF(ABS(AB1204)&lt;=0.01,"OK","CHECK"))</f>
        <v/>
      </c>
      <c r="AE1204">
        <f>IF(U1204="","MISSING",IF(AND(AA1204&gt;0,U1204/AA1204&gt;50),"POSSIBLE_SCALE_ERROR","OK"))</f>
        <v/>
      </c>
    </row>
    <row r="1205">
      <c r="A1205" t="inlineStr">
        <is>
          <t>T-2018-Q4-00041</t>
        </is>
      </c>
      <c r="B1205" t="inlineStr">
        <is>
          <t>SLE</t>
        </is>
      </c>
      <c r="C1205" t="inlineStr">
        <is>
          <t>Deputy Minister</t>
        </is>
      </c>
      <c r="D1205" t="inlineStr">
        <is>
          <t>Sous-ministre</t>
        </is>
      </c>
      <c r="E1205" t="inlineStr">
        <is>
          <t>Chris Forbes</t>
        </is>
      </c>
      <c r="F1205" t="inlineStr">
        <is>
          <t>To attend operational activity meetings</t>
        </is>
      </c>
      <c r="G1205" t="inlineStr">
        <is>
          <t>Pour assister à des réunions des activités opérationnelles</t>
        </is>
      </c>
      <c r="H1205" s="1" t="n">
        <v>43500</v>
      </c>
      <c r="I1205" s="1" t="n">
        <v>43501</v>
      </c>
      <c r="J1205" t="inlineStr">
        <is>
          <t>Vancouver, British Columbia</t>
        </is>
      </c>
      <c r="K1205" t="inlineStr">
        <is>
          <t>Vancouver, Colombie-Britannique</t>
        </is>
      </c>
      <c r="P1205" t="n">
        <v>528.3</v>
      </c>
      <c r="Q1205" t="n">
        <v>38.05</v>
      </c>
      <c r="R1205" t="n">
        <v>233.83</v>
      </c>
      <c r="S1205" t="n">
        <v>90.09999999999999</v>
      </c>
      <c r="T1205" t="n">
        <v>0</v>
      </c>
      <c r="U1205" t="n">
        <v>890.28</v>
      </c>
      <c r="X1205" t="inlineStr">
        <is>
          <t>aafc-aac</t>
        </is>
      </c>
      <c r="Y1205" t="inlineStr">
        <is>
          <t>Agriculture and Agri-Food Canada | Agriculture et Agroalimentaire Canada</t>
        </is>
      </c>
      <c r="Z1205" t="n">
        <v>2</v>
      </c>
      <c r="AA1205" t="n">
        <v>890.28</v>
      </c>
      <c r="AB1205">
        <f>ROUND(U1205-AA1205,2)</f>
        <v/>
      </c>
      <c r="AC1205" t="b">
        <v>0</v>
      </c>
      <c r="AD1205">
        <f>IF(U1205="","MISSING_TOTAL",IF(ABS(AB1205)&lt;=0.01,"OK","CHECK"))</f>
        <v/>
      </c>
      <c r="AE1205">
        <f>IF(U1205="","MISSING",IF(AND(AA1205&gt;0,U1205/AA1205&gt;50),"POSSIBLE_SCALE_ERROR","OK"))</f>
        <v/>
      </c>
    </row>
    <row r="1206">
      <c r="A1206" t="inlineStr">
        <is>
          <t>T-2018-Q4-00042</t>
        </is>
      </c>
      <c r="B1206" t="inlineStr">
        <is>
          <t>SLE</t>
        </is>
      </c>
      <c r="C1206" t="inlineStr">
        <is>
          <t>Deputy Minister</t>
        </is>
      </c>
      <c r="D1206" t="inlineStr">
        <is>
          <t>Sous-ministre</t>
        </is>
      </c>
      <c r="E1206" t="inlineStr">
        <is>
          <t>Chris Forbes</t>
        </is>
      </c>
      <c r="F1206" t="inlineStr">
        <is>
          <t>To attend key stakeholder engagement meetings</t>
        </is>
      </c>
      <c r="G1206" t="inlineStr">
        <is>
          <t>Pour assister à des réunions d'engagement avec des intervenants clés</t>
        </is>
      </c>
      <c r="H1206" s="1" t="n">
        <v>43520</v>
      </c>
      <c r="I1206" s="1" t="n">
        <v>43528</v>
      </c>
      <c r="J1206" t="inlineStr">
        <is>
          <t>Hong Kong; Ho Chi Minh City, Vietnam; Hanoi, Vietnam</t>
        </is>
      </c>
      <c r="K1206" t="inlineStr">
        <is>
          <t>Hong Kong; Hô-Chi-Minh-Ville, Vietnam; Hanoï, Vietnam</t>
        </is>
      </c>
      <c r="P1206" t="n">
        <v>5145.12</v>
      </c>
      <c r="Q1206" t="n">
        <v>0</v>
      </c>
      <c r="R1206" t="n">
        <v>1756.43</v>
      </c>
      <c r="S1206" t="n">
        <v>105.35</v>
      </c>
      <c r="T1206" t="n">
        <v>0</v>
      </c>
      <c r="U1206" t="n">
        <v>7006.9</v>
      </c>
      <c r="X1206" t="inlineStr">
        <is>
          <t>aafc-aac</t>
        </is>
      </c>
      <c r="Y1206" t="inlineStr">
        <is>
          <t>Agriculture and Agri-Food Canada | Agriculture et Agroalimentaire Canada</t>
        </is>
      </c>
      <c r="Z1206" t="n">
        <v>9</v>
      </c>
      <c r="AA1206" t="n">
        <v>7006.9</v>
      </c>
      <c r="AB1206">
        <f>ROUND(U1206-AA1206,2)</f>
        <v/>
      </c>
      <c r="AC1206" t="b">
        <v>0</v>
      </c>
      <c r="AD1206">
        <f>IF(U1206="","MISSING_TOTAL",IF(ABS(AB1206)&lt;=0.01,"OK","CHECK"))</f>
        <v/>
      </c>
      <c r="AE1206">
        <f>IF(U1206="","MISSING",IF(AND(AA1206&gt;0,U1206/AA1206&gt;50),"POSSIBLE_SCALE_ERROR","OK"))</f>
        <v/>
      </c>
    </row>
    <row r="1207">
      <c r="A1207" t="inlineStr">
        <is>
          <t>T-2018-Q4-00043</t>
        </is>
      </c>
      <c r="B1207" t="inlineStr">
        <is>
          <t>SLE</t>
        </is>
      </c>
      <c r="C1207" t="inlineStr">
        <is>
          <t>Associate Deputy Minister</t>
        </is>
      </c>
      <c r="D1207" t="inlineStr">
        <is>
          <t>Sous-ministre déléguée</t>
        </is>
      </c>
      <c r="E1207" t="inlineStr">
        <is>
          <t>Annette Gibbons</t>
        </is>
      </c>
      <c r="F1207" t="inlineStr">
        <is>
          <t>To attend operational activity meetings</t>
        </is>
      </c>
      <c r="G1207" t="inlineStr">
        <is>
          <t>Pour assister à des réunions des activités opérationnelles</t>
        </is>
      </c>
      <c r="H1207" s="1" t="n">
        <v>43479</v>
      </c>
      <c r="I1207" s="1" t="n">
        <v>43479</v>
      </c>
      <c r="J1207" t="inlineStr">
        <is>
          <t>Montreal, Quebec</t>
        </is>
      </c>
      <c r="K1207" t="inlineStr">
        <is>
          <t>Montréal, Québec</t>
        </is>
      </c>
      <c r="P1207" t="n">
        <v>0</v>
      </c>
      <c r="Q1207" t="n">
        <v>65.3</v>
      </c>
      <c r="R1207" t="n">
        <v>0</v>
      </c>
      <c r="S1207" t="n">
        <v>0</v>
      </c>
      <c r="T1207" t="n">
        <v>0</v>
      </c>
      <c r="U1207" t="n">
        <v>65.3</v>
      </c>
      <c r="X1207" t="inlineStr">
        <is>
          <t>aafc-aac</t>
        </is>
      </c>
      <c r="Y1207" t="inlineStr">
        <is>
          <t>Agriculture and Agri-Food Canada | Agriculture et Agroalimentaire Canada</t>
        </is>
      </c>
      <c r="Z1207" t="n">
        <v>1</v>
      </c>
      <c r="AA1207" t="n">
        <v>65.3</v>
      </c>
      <c r="AB1207">
        <f>ROUND(U1207-AA1207,2)</f>
        <v/>
      </c>
      <c r="AC1207" t="b">
        <v>0</v>
      </c>
      <c r="AD1207">
        <f>IF(U1207="","MISSING_TOTAL",IF(ABS(AB1207)&lt;=0.01,"OK","CHECK"))</f>
        <v/>
      </c>
      <c r="AE1207">
        <f>IF(U1207="","MISSING",IF(AND(AA1207&gt;0,U1207/AA1207&gt;50),"POSSIBLE_SCALE_ERROR","OK"))</f>
        <v/>
      </c>
    </row>
    <row r="1208">
      <c r="A1208" t="inlineStr">
        <is>
          <t>T-2018-Q4-00044</t>
        </is>
      </c>
      <c r="B1208" t="inlineStr">
        <is>
          <t>SLE</t>
        </is>
      </c>
      <c r="C1208" t="inlineStr">
        <is>
          <t>Associate Deputy Minister</t>
        </is>
      </c>
      <c r="D1208" t="inlineStr">
        <is>
          <t>Sous-ministre déléguée</t>
        </is>
      </c>
      <c r="E1208" t="inlineStr">
        <is>
          <t>Annette Gibbons</t>
        </is>
      </c>
      <c r="F1208" t="inlineStr">
        <is>
          <t>To attend the Federal-Provincial-Territorial Meeting of Deputy Ministers of Agriculture</t>
        </is>
      </c>
      <c r="G1208" t="inlineStr">
        <is>
          <t>Pour assister à la réunion fédérale, provinciale et territoriale des sous-ministres de l'Agriculture</t>
        </is>
      </c>
      <c r="H1208" s="1" t="n">
        <v>43487</v>
      </c>
      <c r="I1208" s="1" t="n">
        <v>43488</v>
      </c>
      <c r="J1208" t="inlineStr">
        <is>
          <t>Toronto, Ontario</t>
        </is>
      </c>
      <c r="K1208" t="inlineStr">
        <is>
          <t>Toronto, Ontario</t>
        </is>
      </c>
      <c r="P1208" t="n">
        <v>388.38</v>
      </c>
      <c r="Q1208" t="n">
        <v>23</v>
      </c>
      <c r="R1208" t="n">
        <v>151.6</v>
      </c>
      <c r="S1208" t="n">
        <v>0</v>
      </c>
      <c r="T1208" t="n">
        <v>0</v>
      </c>
      <c r="U1208" t="n">
        <v>562.98</v>
      </c>
      <c r="X1208" t="inlineStr">
        <is>
          <t>aafc-aac</t>
        </is>
      </c>
      <c r="Y1208" t="inlineStr">
        <is>
          <t>Agriculture and Agri-Food Canada | Agriculture et Agroalimentaire Canada</t>
        </is>
      </c>
      <c r="Z1208" t="n">
        <v>2</v>
      </c>
      <c r="AA1208" t="n">
        <v>562.98</v>
      </c>
      <c r="AB1208">
        <f>ROUND(U1208-AA1208,2)</f>
        <v/>
      </c>
      <c r="AC1208" t="b">
        <v>0</v>
      </c>
      <c r="AD1208">
        <f>IF(U1208="","MISSING_TOTAL",IF(ABS(AB1208)&lt;=0.01,"OK","CHECK"))</f>
        <v/>
      </c>
      <c r="AE1208">
        <f>IF(U1208="","MISSING",IF(AND(AA1208&gt;0,U1208/AA1208&gt;50),"POSSIBLE_SCALE_ERROR","OK"))</f>
        <v/>
      </c>
    </row>
    <row r="1209">
      <c r="A1209" t="inlineStr">
        <is>
          <t>T-2018-Q4-00045</t>
        </is>
      </c>
      <c r="B1209" t="inlineStr">
        <is>
          <t>SLE</t>
        </is>
      </c>
      <c r="C1209" t="inlineStr">
        <is>
          <t>Associate Deputy Minister</t>
        </is>
      </c>
      <c r="D1209" t="inlineStr">
        <is>
          <t>Sous-ministre déléguée</t>
        </is>
      </c>
      <c r="E1209" t="inlineStr">
        <is>
          <t>Annette Gibbons</t>
        </is>
      </c>
      <c r="F1209" t="inlineStr">
        <is>
          <t>To accompany the Minister to the Ministerial Mission in Washington</t>
        </is>
      </c>
      <c r="G1209" t="inlineStr">
        <is>
          <t>Pour accompagner le ministre lors de la mission ministérielle à Washington</t>
        </is>
      </c>
      <c r="H1209" s="1" t="n">
        <v>43515</v>
      </c>
      <c r="I1209" s="1" t="n">
        <v>43518</v>
      </c>
      <c r="J1209" t="inlineStr">
        <is>
          <t>Washington, District of Columbia</t>
        </is>
      </c>
      <c r="K1209" t="inlineStr">
        <is>
          <t>Washington, district de Columbia</t>
        </is>
      </c>
      <c r="P1209" t="n">
        <v>3807.96</v>
      </c>
      <c r="Q1209" t="n">
        <v>116.92</v>
      </c>
      <c r="R1209" t="n">
        <v>738</v>
      </c>
      <c r="S1209" t="n">
        <v>357.82</v>
      </c>
      <c r="T1209" t="n">
        <v>0</v>
      </c>
      <c r="U1209" t="n">
        <v>5020.7</v>
      </c>
      <c r="V1209" t="inlineStr">
        <is>
          <t>Airfare cost high due to snowstorm and flight cancellations - we are expecting a refund</t>
        </is>
      </c>
      <c r="X1209" t="inlineStr">
        <is>
          <t>aafc-aac</t>
        </is>
      </c>
      <c r="Y1209" t="inlineStr">
        <is>
          <t>Agriculture and Agri-Food Canada | Agriculture et Agroalimentaire Canada</t>
        </is>
      </c>
      <c r="Z1209" t="n">
        <v>4</v>
      </c>
      <c r="AA1209" t="n">
        <v>5020.7</v>
      </c>
      <c r="AB1209">
        <f>ROUND(U1209-AA1209,2)</f>
        <v/>
      </c>
      <c r="AC1209" t="b">
        <v>0</v>
      </c>
      <c r="AD1209">
        <f>IF(U1209="","MISSING_TOTAL",IF(ABS(AB1209)&lt;=0.01,"OK","CHECK"))</f>
        <v/>
      </c>
      <c r="AE1209">
        <f>IF(U1209="","MISSING",IF(AND(AA1209&gt;0,U1209/AA1209&gt;50),"POSSIBLE_SCALE_ERROR","OK"))</f>
        <v/>
      </c>
    </row>
    <row r="1210">
      <c r="A1210" t="inlineStr">
        <is>
          <t>T-2018-Q4-00047</t>
        </is>
      </c>
      <c r="B1210" t="inlineStr">
        <is>
          <t>SLE</t>
        </is>
      </c>
      <c r="C1210" t="inlineStr">
        <is>
          <t>Assistant Deputy Minister, Corporate Management Branch</t>
        </is>
      </c>
      <c r="D1210" t="inlineStr">
        <is>
          <t>Sous-ministre adjointe, Direction Générale de la gestion intégrée</t>
        </is>
      </c>
      <c r="E1210" t="inlineStr">
        <is>
          <t>Christine Walker</t>
        </is>
      </c>
      <c r="F1210" t="inlineStr">
        <is>
          <t>Staff outreach/Site visit</t>
        </is>
      </c>
      <c r="G1210" t="inlineStr">
        <is>
          <t>Réunion avec des employés et visite des emplacements</t>
        </is>
      </c>
      <c r="H1210" s="1" t="n">
        <v>43436</v>
      </c>
      <c r="I1210" s="1" t="n">
        <v>43440</v>
      </c>
      <c r="J1210" t="inlineStr">
        <is>
          <t>Regina, Saskatchewan; Saskatoon, Saskatchewan</t>
        </is>
      </c>
      <c r="K1210" t="inlineStr">
        <is>
          <t>Regina, Saskatchewan; Saskatoon, Saskatchewan</t>
        </is>
      </c>
      <c r="P1210" t="n">
        <v>1328.04</v>
      </c>
      <c r="Q1210" t="n">
        <v>75.2</v>
      </c>
      <c r="R1210" t="n">
        <v>701.53</v>
      </c>
      <c r="S1210" t="n">
        <v>516.75</v>
      </c>
      <c r="U1210" t="n">
        <v>2621.52</v>
      </c>
      <c r="X1210" t="inlineStr">
        <is>
          <t>aafc-aac</t>
        </is>
      </c>
      <c r="Y1210" t="inlineStr">
        <is>
          <t>Agriculture and Agri-Food Canada | Agriculture et Agroalimentaire Canada</t>
        </is>
      </c>
      <c r="Z1210" t="n">
        <v>5</v>
      </c>
      <c r="AA1210" t="n">
        <v>2621.52</v>
      </c>
      <c r="AB1210">
        <f>ROUND(U1210-AA1210,2)</f>
        <v/>
      </c>
      <c r="AC1210" t="b">
        <v>0</v>
      </c>
      <c r="AD1210">
        <f>IF(U1210="","MISSING_TOTAL",IF(ABS(AB1210)&lt;=0.01,"OK","CHECK"))</f>
        <v/>
      </c>
      <c r="AE1210">
        <f>IF(U1210="","MISSING",IF(AND(AA1210&gt;0,U1210/AA1210&gt;50),"POSSIBLE_SCALE_ERROR","OK"))</f>
        <v/>
      </c>
    </row>
    <row r="1211">
      <c r="A1211" t="inlineStr">
        <is>
          <t>T-2018-Q4-00048</t>
        </is>
      </c>
      <c r="B1211" t="inlineStr">
        <is>
          <t>SLE</t>
        </is>
      </c>
      <c r="C1211" t="inlineStr">
        <is>
          <t>Assistant Deputy Minister, Corporate Management Branch</t>
        </is>
      </c>
      <c r="D1211" t="inlineStr">
        <is>
          <t>Sous-ministre adjointe, Direction Générale de la gestion intégrée</t>
        </is>
      </c>
      <c r="E1211" t="inlineStr">
        <is>
          <t>Christine Walker</t>
        </is>
      </c>
      <c r="F1211" t="inlineStr">
        <is>
          <t>Staff outreach/Site visit</t>
        </is>
      </c>
      <c r="G1211" t="inlineStr">
        <is>
          <t>Réunion avec des employés et visite des emplacements</t>
        </is>
      </c>
      <c r="H1211" s="1" t="n">
        <v>43516</v>
      </c>
      <c r="I1211" s="1" t="n">
        <v>43518</v>
      </c>
      <c r="J1211" t="inlineStr">
        <is>
          <t>Guelph, Ontario;           Vineland, Ontario</t>
        </is>
      </c>
      <c r="K1211" t="inlineStr">
        <is>
          <t>Guelph, Ontario;              Vineland, Ontario</t>
        </is>
      </c>
      <c r="P1211" t="n">
        <v>0</v>
      </c>
      <c r="Q1211" t="n">
        <v>641.25</v>
      </c>
      <c r="R1211" t="n">
        <v>357.08</v>
      </c>
      <c r="S1211" t="n">
        <v>262.25</v>
      </c>
      <c r="U1211" t="n">
        <v>1260.58</v>
      </c>
      <c r="X1211" t="inlineStr">
        <is>
          <t>aafc-aac</t>
        </is>
      </c>
      <c r="Y1211" t="inlineStr">
        <is>
          <t>Agriculture and Agri-Food Canada | Agriculture et Agroalimentaire Canada</t>
        </is>
      </c>
      <c r="Z1211" t="n">
        <v>3</v>
      </c>
      <c r="AA1211" t="n">
        <v>1260.58</v>
      </c>
      <c r="AB1211">
        <f>ROUND(U1211-AA1211,2)</f>
        <v/>
      </c>
      <c r="AC1211" t="b">
        <v>0</v>
      </c>
      <c r="AD1211">
        <f>IF(U1211="","MISSING_TOTAL",IF(ABS(AB1211)&lt;=0.01,"OK","CHECK"))</f>
        <v/>
      </c>
      <c r="AE1211">
        <f>IF(U1211="","MISSING",IF(AND(AA1211&gt;0,U1211/AA1211&gt;50),"POSSIBLE_SCALE_ERROR","OK"))</f>
        <v/>
      </c>
    </row>
    <row r="1212">
      <c r="A1212" t="inlineStr">
        <is>
          <t>T-2018-Q4-00049</t>
        </is>
      </c>
      <c r="B1212" t="inlineStr">
        <is>
          <t>SLE</t>
        </is>
      </c>
      <c r="C1212" t="inlineStr">
        <is>
          <t>Assistant Deputy Minister, Strategic Policy Branch</t>
        </is>
      </c>
      <c r="D1212" t="inlineStr">
        <is>
          <t>Sous-ministre adjoint, Direction générale des politiques stratégiques</t>
        </is>
      </c>
      <c r="E1212" t="inlineStr">
        <is>
          <t>Tom Rosser</t>
        </is>
      </c>
      <c r="F1212" t="inlineStr">
        <is>
          <t>To attend a Value Creation session</t>
        </is>
      </c>
      <c r="G1212" t="inlineStr">
        <is>
          <t>Pour assister à une séance de la création de valeur</t>
        </is>
      </c>
      <c r="H1212" s="1" t="n">
        <v>43437</v>
      </c>
      <c r="I1212" s="1" t="n">
        <v>43439</v>
      </c>
      <c r="J1212" t="inlineStr">
        <is>
          <t>Saskatoon, Saskatchewan</t>
        </is>
      </c>
      <c r="K1212" t="inlineStr">
        <is>
          <t>Saskatoon, Saskatchewan</t>
        </is>
      </c>
      <c r="P1212" t="n">
        <v>1671.99</v>
      </c>
      <c r="Q1212" t="n">
        <v>80</v>
      </c>
      <c r="R1212" t="n">
        <v>158.92</v>
      </c>
      <c r="S1212" t="n">
        <v>192</v>
      </c>
      <c r="T1212" t="n">
        <v>0</v>
      </c>
      <c r="U1212" t="n">
        <v>2102.91</v>
      </c>
      <c r="X1212" t="inlineStr">
        <is>
          <t>aafc-aac</t>
        </is>
      </c>
      <c r="Y1212" t="inlineStr">
        <is>
          <t>Agriculture and Agri-Food Canada | Agriculture et Agroalimentaire Canada</t>
        </is>
      </c>
      <c r="Z1212" t="n">
        <v>3</v>
      </c>
      <c r="AA1212" t="n">
        <v>2102.91</v>
      </c>
      <c r="AB1212">
        <f>ROUND(U1212-AA1212,2)</f>
        <v/>
      </c>
      <c r="AC1212" t="b">
        <v>0</v>
      </c>
      <c r="AD1212">
        <f>IF(U1212="","MISSING_TOTAL",IF(ABS(AB1212)&lt;=0.01,"OK","CHECK"))</f>
        <v/>
      </c>
      <c r="AE1212">
        <f>IF(U1212="","MISSING",IF(AND(AA1212&gt;0,U1212/AA1212&gt;50),"POSSIBLE_SCALE_ERROR","OK"))</f>
        <v/>
      </c>
    </row>
    <row r="1213">
      <c r="A1213" t="inlineStr">
        <is>
          <t>T-2018-Q4-00050</t>
        </is>
      </c>
      <c r="B1213" t="inlineStr">
        <is>
          <t>SLE</t>
        </is>
      </c>
      <c r="C1213" t="inlineStr">
        <is>
          <t>Assistant Deputy Minister, Strategic Policy Branch</t>
        </is>
      </c>
      <c r="D1213" t="inlineStr">
        <is>
          <t>Sous-ministre adjoint, Direction générale des politiques stratégiques</t>
        </is>
      </c>
      <c r="E1213" t="inlineStr">
        <is>
          <t>Tom Rosser</t>
        </is>
      </c>
      <c r="F1213" t="inlineStr">
        <is>
          <t>To attend a Federal/Provincial/Territorial meeting of Assistant Deputy Ministers</t>
        </is>
      </c>
      <c r="G1213" t="inlineStr">
        <is>
          <t>Participer à une rencontre fédérale, provinciale et territoriale des sous-ministres adjoints</t>
        </is>
      </c>
      <c r="H1213" s="1" t="n">
        <v>43444</v>
      </c>
      <c r="I1213" s="1" t="n">
        <v>43446</v>
      </c>
      <c r="J1213" t="inlineStr">
        <is>
          <t>Montreal, Quebec</t>
        </is>
      </c>
      <c r="K1213" t="inlineStr">
        <is>
          <t>Montréal, Québec</t>
        </is>
      </c>
      <c r="Q1213" t="n">
        <v>370.35</v>
      </c>
      <c r="R1213" t="n">
        <v>378.44</v>
      </c>
      <c r="S1213" t="n">
        <v>162.25</v>
      </c>
      <c r="T1213" t="n">
        <v>0</v>
      </c>
      <c r="U1213" t="n">
        <v>911.04</v>
      </c>
      <c r="X1213" t="inlineStr">
        <is>
          <t>aafc-aac</t>
        </is>
      </c>
      <c r="Y1213" t="inlineStr">
        <is>
          <t>Agriculture and Agri-Food Canada | Agriculture et Agroalimentaire Canada</t>
        </is>
      </c>
      <c r="Z1213" t="n">
        <v>3</v>
      </c>
      <c r="AA1213" t="n">
        <v>911.04</v>
      </c>
      <c r="AB1213">
        <f>ROUND(U1213-AA1213,2)</f>
        <v/>
      </c>
      <c r="AC1213" t="b">
        <v>0</v>
      </c>
      <c r="AD1213">
        <f>IF(U1213="","MISSING_TOTAL",IF(ABS(AB1213)&lt;=0.01,"OK","CHECK"))</f>
        <v/>
      </c>
      <c r="AE1213">
        <f>IF(U1213="","MISSING",IF(AND(AA1213&gt;0,U1213/AA1213&gt;50),"POSSIBLE_SCALE_ERROR","OK"))</f>
        <v/>
      </c>
    </row>
    <row r="1214">
      <c r="A1214" t="inlineStr">
        <is>
          <t>T-2018-Q4-00051</t>
        </is>
      </c>
      <c r="B1214" t="inlineStr">
        <is>
          <t>SLE</t>
        </is>
      </c>
      <c r="C1214" t="inlineStr">
        <is>
          <t>Assistant Deputy Minister, Strategic Policy Branch</t>
        </is>
      </c>
      <c r="D1214" t="inlineStr">
        <is>
          <t>Sous-ministre adjoint,  Direction générale des politiques stratégiques</t>
        </is>
      </c>
      <c r="E1214" t="inlineStr">
        <is>
          <t>Tom Rosser</t>
        </is>
      </c>
      <c r="F1214" t="inlineStr">
        <is>
          <t>To attend a meeting of Federal-Provincial- Territorial Deputy Ministers</t>
        </is>
      </c>
      <c r="G1214" t="inlineStr">
        <is>
          <t>Participer à une rencontre fédérale, provinciale et territoriale des sous-ministres</t>
        </is>
      </c>
      <c r="H1214" s="1" t="n">
        <v>43486</v>
      </c>
      <c r="I1214" s="1" t="n">
        <v>43488</v>
      </c>
      <c r="J1214" t="inlineStr">
        <is>
          <t>Toronto, Ontario</t>
        </is>
      </c>
      <c r="K1214" t="inlineStr">
        <is>
          <t>Toronto, Ontario</t>
        </is>
      </c>
      <c r="P1214" t="n">
        <v>640.3099999999999</v>
      </c>
      <c r="Q1214" t="n">
        <v>151</v>
      </c>
      <c r="R1214" t="n">
        <v>151.6</v>
      </c>
      <c r="S1214" t="n">
        <v>124.7</v>
      </c>
      <c r="T1214" t="n">
        <v>0</v>
      </c>
      <c r="U1214" t="n">
        <v>1067.61</v>
      </c>
      <c r="X1214" t="inlineStr">
        <is>
          <t>aafc-aac</t>
        </is>
      </c>
      <c r="Y1214" t="inlineStr">
        <is>
          <t>Agriculture and Agri-Food Canada | Agriculture et Agroalimentaire Canada</t>
        </is>
      </c>
      <c r="Z1214" t="n">
        <v>3</v>
      </c>
      <c r="AA1214" t="n">
        <v>1067.61</v>
      </c>
      <c r="AB1214">
        <f>ROUND(U1214-AA1214,2)</f>
        <v/>
      </c>
      <c r="AC1214" t="b">
        <v>0</v>
      </c>
      <c r="AD1214">
        <f>IF(U1214="","MISSING_TOTAL",IF(ABS(AB1214)&lt;=0.01,"OK","CHECK"))</f>
        <v/>
      </c>
      <c r="AE1214">
        <f>IF(U1214="","MISSING",IF(AND(AA1214&gt;0,U1214/AA1214&gt;50),"POSSIBLE_SCALE_ERROR","OK"))</f>
        <v/>
      </c>
    </row>
    <row r="1215">
      <c r="A1215" t="inlineStr">
        <is>
          <t>T-2018-Q4-00052</t>
        </is>
      </c>
      <c r="B1215" t="inlineStr">
        <is>
          <t>SLE</t>
        </is>
      </c>
      <c r="C1215" t="inlineStr">
        <is>
          <t>Assistant Deputy Minister, Strategic Policy Branch</t>
        </is>
      </c>
      <c r="D1215" t="inlineStr">
        <is>
          <t>Sous-ministre adjoint,  Direction générale des politiques stratégiques</t>
        </is>
      </c>
      <c r="E1215" t="inlineStr">
        <is>
          <t>Tom Rosser</t>
        </is>
      </c>
      <c r="F1215" t="inlineStr">
        <is>
          <t>To attend a board meeting of Quebec and Ontario Dairies</t>
        </is>
      </c>
      <c r="G1215" t="inlineStr">
        <is>
          <t>Assister à une réunion du conseil de laiteries du Québec et de l'Ontario</t>
        </is>
      </c>
      <c r="H1215" s="1" t="n">
        <v>43496</v>
      </c>
      <c r="I1215" s="1" t="n">
        <v>43496</v>
      </c>
      <c r="J1215" t="inlineStr">
        <is>
          <t>Montreal, Quebec</t>
        </is>
      </c>
      <c r="K1215" t="inlineStr">
        <is>
          <t>Montréal, Québec</t>
        </is>
      </c>
      <c r="Q1215" t="n">
        <v>248.34</v>
      </c>
      <c r="S1215" t="n">
        <v>69.84999999999999</v>
      </c>
      <c r="T1215" t="n">
        <v>0</v>
      </c>
      <c r="U1215" t="n">
        <v>318.19</v>
      </c>
      <c r="X1215" t="inlineStr">
        <is>
          <t>aafc-aac</t>
        </is>
      </c>
      <c r="Y1215" t="inlineStr">
        <is>
          <t>Agriculture and Agri-Food Canada | Agriculture et Agroalimentaire Canada</t>
        </is>
      </c>
      <c r="Z1215" t="n">
        <v>1</v>
      </c>
      <c r="AA1215" t="n">
        <v>318.19</v>
      </c>
      <c r="AB1215">
        <f>ROUND(U1215-AA1215,2)</f>
        <v/>
      </c>
      <c r="AC1215" t="b">
        <v>0</v>
      </c>
      <c r="AD1215">
        <f>IF(U1215="","MISSING_TOTAL",IF(ABS(AB1215)&lt;=0.01,"OK","CHECK"))</f>
        <v/>
      </c>
      <c r="AE1215">
        <f>IF(U1215="","MISSING",IF(AND(AA1215&gt;0,U1215/AA1215&gt;50),"POSSIBLE_SCALE_ERROR","OK"))</f>
        <v/>
      </c>
    </row>
    <row r="1216">
      <c r="A1216" t="inlineStr">
        <is>
          <t>T-2018-Q4-00053</t>
        </is>
      </c>
      <c r="B1216" t="inlineStr">
        <is>
          <t>SLE</t>
        </is>
      </c>
      <c r="C1216" t="inlineStr">
        <is>
          <t>Associate Assistant Deputy Minister, Science and Technology Branch</t>
        </is>
      </c>
      <c r="D1216" t="inlineStr">
        <is>
          <t>Sous-ministre adjoint délégué, Direction générale des sciences et de la technologie</t>
        </is>
      </c>
      <c r="E1216" t="inlineStr">
        <is>
          <t>Gilles Saindon</t>
        </is>
      </c>
      <c r="F1216" t="inlineStr">
        <is>
          <t>Attend the session of How Washington Works part of Executive Leadership Development Program</t>
        </is>
      </c>
      <c r="G1216" t="inlineStr">
        <is>
          <t>Assister à la session Washington et ses rouages, qui fait partie du Programme de développement en leadership pour cadres</t>
        </is>
      </c>
      <c r="H1216" s="1" t="n">
        <v>43506</v>
      </c>
      <c r="I1216" s="1" t="n">
        <v>43510</v>
      </c>
      <c r="J1216" t="inlineStr">
        <is>
          <t>Washington, District of Columbia</t>
        </is>
      </c>
      <c r="K1216" t="inlineStr">
        <is>
          <t>Washington, district de Columbia</t>
        </is>
      </c>
      <c r="P1216" t="n">
        <v>1299.62</v>
      </c>
      <c r="Q1216" t="n">
        <v>207.88</v>
      </c>
      <c r="R1216" t="n">
        <v>1463.04</v>
      </c>
      <c r="S1216" t="n">
        <v>284.61</v>
      </c>
      <c r="U1216" t="n">
        <v>3255.15</v>
      </c>
      <c r="X1216" t="inlineStr">
        <is>
          <t>aafc-aac</t>
        </is>
      </c>
      <c r="Y1216" t="inlineStr">
        <is>
          <t>Agriculture and Agri-Food Canada | Agriculture et Agroalimentaire Canada</t>
        </is>
      </c>
      <c r="Z1216" t="n">
        <v>5</v>
      </c>
      <c r="AA1216" t="n">
        <v>3255.15</v>
      </c>
      <c r="AB1216">
        <f>ROUND(U1216-AA1216,2)</f>
        <v/>
      </c>
      <c r="AC1216" t="b">
        <v>0</v>
      </c>
      <c r="AD1216">
        <f>IF(U1216="","MISSING_TOTAL",IF(ABS(AB1216)&lt;=0.01,"OK","CHECK"))</f>
        <v/>
      </c>
      <c r="AE1216">
        <f>IF(U1216="","MISSING",IF(AND(AA1216&gt;0,U1216/AA1216&gt;50),"POSSIBLE_SCALE_ERROR","OK"))</f>
        <v/>
      </c>
    </row>
    <row r="1217">
      <c r="A1217" t="inlineStr">
        <is>
          <t>T-2018-Q4-00054</t>
        </is>
      </c>
      <c r="B1217" t="inlineStr">
        <is>
          <t>SLE</t>
        </is>
      </c>
      <c r="C1217" t="inlineStr">
        <is>
          <t>Associate Assistant Deputy Minister, Science and Technology Branch</t>
        </is>
      </c>
      <c r="D1217" t="inlineStr">
        <is>
          <t>Sous-ministre adjoint délégué, Direction générale des sciences et de la technologie</t>
        </is>
      </c>
      <c r="E1217" t="inlineStr">
        <is>
          <t>Gilles Saindon</t>
        </is>
      </c>
      <c r="F1217" t="inlineStr">
        <is>
          <t>Outreach at the Research and Development Center, all staff meetings and meet with industry</t>
        </is>
      </c>
      <c r="G1217" t="inlineStr">
        <is>
          <t>Visite de sensibilisation au Centre de recherche et développement, réunions avec tout le personnel et rencontres avec l'industrie</t>
        </is>
      </c>
      <c r="H1217" s="1" t="n">
        <v>43521</v>
      </c>
      <c r="I1217" s="1" t="n">
        <v>43523</v>
      </c>
      <c r="J1217" t="inlineStr">
        <is>
          <t>Agassiz, British-Columbia</t>
        </is>
      </c>
      <c r="K1217" t="inlineStr">
        <is>
          <t>Agassiz, Colombie-Britannique</t>
        </is>
      </c>
      <c r="P1217" t="n">
        <v>869.91</v>
      </c>
      <c r="Q1217" t="n">
        <v>218.58</v>
      </c>
      <c r="R1217" t="n">
        <v>464.69</v>
      </c>
      <c r="S1217" t="n">
        <v>272.2</v>
      </c>
      <c r="U1217" t="n">
        <v>1825.38</v>
      </c>
      <c r="X1217" t="inlineStr">
        <is>
          <t>aafc-aac</t>
        </is>
      </c>
      <c r="Y1217" t="inlineStr">
        <is>
          <t>Agriculture and Agri-Food Canada | Agriculture et Agroalimentaire Canada</t>
        </is>
      </c>
      <c r="Z1217" t="n">
        <v>3</v>
      </c>
      <c r="AA1217" t="n">
        <v>1825.38</v>
      </c>
      <c r="AB1217">
        <f>ROUND(U1217-AA1217,2)</f>
        <v/>
      </c>
      <c r="AC1217" t="b">
        <v>0</v>
      </c>
      <c r="AD1217">
        <f>IF(U1217="","MISSING_TOTAL",IF(ABS(AB1217)&lt;=0.01,"OK","CHECK"))</f>
        <v/>
      </c>
      <c r="AE1217">
        <f>IF(U1217="","MISSING",IF(AND(AA1217&gt;0,U1217/AA1217&gt;50),"POSSIBLE_SCALE_ERROR","OK"))</f>
        <v/>
      </c>
    </row>
    <row r="1218">
      <c r="A1218" t="inlineStr">
        <is>
          <t>T-2018-Q4-00055</t>
        </is>
      </c>
      <c r="B1218" t="inlineStr">
        <is>
          <t>SLE</t>
        </is>
      </c>
      <c r="C1218" t="inlineStr">
        <is>
          <t>Assistant Deputy Minister, Programs Branch</t>
        </is>
      </c>
      <c r="D1218" t="inlineStr">
        <is>
          <t>Sous-ministre ajointe, Direction générale des programmes</t>
        </is>
      </c>
      <c r="E1218" t="inlineStr">
        <is>
          <t>Jane Taylor</t>
        </is>
      </c>
      <c r="F1218" t="inlineStr">
        <is>
          <t>Federal-Provincial-Territorial Meetings</t>
        </is>
      </c>
      <c r="G1218" t="inlineStr">
        <is>
          <t>Réunions fédérales,  provinciales et territoriales</t>
        </is>
      </c>
      <c r="H1218" s="1" t="n">
        <v>43487</v>
      </c>
      <c r="I1218" s="1" t="n">
        <v>43488</v>
      </c>
      <c r="J1218" t="inlineStr">
        <is>
          <t>Toronto, Ontario</t>
        </is>
      </c>
      <c r="K1218" t="inlineStr">
        <is>
          <t>Toronto, Ontario</t>
        </is>
      </c>
      <c r="P1218" t="n">
        <v>277.98</v>
      </c>
      <c r="Q1218" t="n">
        <v>80</v>
      </c>
      <c r="R1218" t="n">
        <v>151.6</v>
      </c>
      <c r="S1218" t="n">
        <v>54.85</v>
      </c>
      <c r="T1218" t="n">
        <v>0</v>
      </c>
      <c r="U1218" t="n">
        <v>564.4299999999999</v>
      </c>
      <c r="X1218" t="inlineStr">
        <is>
          <t>aafc-aac</t>
        </is>
      </c>
      <c r="Y1218" t="inlineStr">
        <is>
          <t>Agriculture and Agri-Food Canada | Agriculture et Agroalimentaire Canada</t>
        </is>
      </c>
      <c r="Z1218" t="n">
        <v>2</v>
      </c>
      <c r="AA1218" t="n">
        <v>564.4299999999999</v>
      </c>
      <c r="AB1218">
        <f>ROUND(U1218-AA1218,2)</f>
        <v/>
      </c>
      <c r="AC1218" t="b">
        <v>0</v>
      </c>
      <c r="AD1218">
        <f>IF(U1218="","MISSING_TOTAL",IF(ABS(AB1218)&lt;=0.01,"OK","CHECK"))</f>
        <v/>
      </c>
      <c r="AE1218">
        <f>IF(U1218="","MISSING",IF(AND(AA1218&gt;0,U1218/AA1218&gt;50),"POSSIBLE_SCALE_ERROR","OK"))</f>
        <v/>
      </c>
    </row>
    <row r="1219">
      <c r="A1219" t="inlineStr">
        <is>
          <t>T-2018-Q4-00056</t>
        </is>
      </c>
      <c r="B1219" t="inlineStr">
        <is>
          <t>SLE</t>
        </is>
      </c>
      <c r="C1219" t="inlineStr">
        <is>
          <t>Director General, Office of Audit and Evaluation</t>
        </is>
      </c>
      <c r="D1219" t="inlineStr">
        <is>
          <t>Directrice Générale, Bureau de la vérification et de l'évaluation</t>
        </is>
      </c>
      <c r="E1219" t="inlineStr">
        <is>
          <t>Kimberly Saunders</t>
        </is>
      </c>
      <c r="F1219" t="inlineStr">
        <is>
          <t>Canada's Best Diversity Employers Awards Reception</t>
        </is>
      </c>
      <c r="G1219" t="inlineStr">
        <is>
          <t>Remise de prix du meilleur employeur canadien pour la diversité</t>
        </is>
      </c>
      <c r="H1219" s="1" t="n">
        <v>43525</v>
      </c>
      <c r="I1219" s="1" t="n">
        <v>43525</v>
      </c>
      <c r="J1219" t="inlineStr">
        <is>
          <t>Toronto, Ontario</t>
        </is>
      </c>
      <c r="K1219" t="inlineStr">
        <is>
          <t>Toronto, Ontario</t>
        </is>
      </c>
      <c r="P1219" t="n">
        <v>0</v>
      </c>
      <c r="Q1219" t="n">
        <v>385.44</v>
      </c>
      <c r="R1219" t="n">
        <v>0</v>
      </c>
      <c r="S1219" t="n">
        <v>0</v>
      </c>
      <c r="T1219" t="n">
        <v>0</v>
      </c>
      <c r="U1219" t="n">
        <v>385.44</v>
      </c>
      <c r="X1219" t="inlineStr">
        <is>
          <t>aafc-aac</t>
        </is>
      </c>
      <c r="Y1219" t="inlineStr">
        <is>
          <t>Agriculture and Agri-Food Canada | Agriculture et Agroalimentaire Canada</t>
        </is>
      </c>
      <c r="Z1219" t="n">
        <v>1</v>
      </c>
      <c r="AA1219" t="n">
        <v>385.44</v>
      </c>
      <c r="AB1219">
        <f>ROUND(U1219-AA1219,2)</f>
        <v/>
      </c>
      <c r="AC1219" t="b">
        <v>0</v>
      </c>
      <c r="AD1219">
        <f>IF(U1219="","MISSING_TOTAL",IF(ABS(AB1219)&lt;=0.01,"OK","CHECK"))</f>
        <v/>
      </c>
      <c r="AE1219">
        <f>IF(U1219="","MISSING",IF(AND(AA1219&gt;0,U1219/AA1219&gt;50),"POSSIBLE_SCALE_ERROR","OK"))</f>
        <v/>
      </c>
    </row>
    <row r="1220">
      <c r="A1220" t="inlineStr">
        <is>
          <t>T-2018-Q4-00057</t>
        </is>
      </c>
      <c r="B1220" t="inlineStr">
        <is>
          <t>SLE</t>
        </is>
      </c>
      <c r="C1220" t="inlineStr">
        <is>
          <t>Chief Information Officer</t>
        </is>
      </c>
      <c r="D1220" t="inlineStr">
        <is>
          <t>Dirigeant principal de l'information</t>
        </is>
      </c>
      <c r="E1220" t="inlineStr">
        <is>
          <t>Michel Lessard</t>
        </is>
      </c>
      <c r="F1220" t="inlineStr">
        <is>
          <t>Chief Information Officer Strategy Council Meeting</t>
        </is>
      </c>
      <c r="G1220" t="inlineStr">
        <is>
          <t>Réunion du Conseil stratégique des dirigeants principaux de l'information</t>
        </is>
      </c>
      <c r="H1220" s="1" t="n">
        <v>43516</v>
      </c>
      <c r="I1220" s="1" t="n">
        <v>43516</v>
      </c>
      <c r="J1220" t="inlineStr">
        <is>
          <t>Toronto, Ontario</t>
        </is>
      </c>
      <c r="K1220" t="inlineStr">
        <is>
          <t>Toronto, Ontario</t>
        </is>
      </c>
      <c r="P1220" t="n">
        <v>549.87</v>
      </c>
      <c r="Q1220" t="n">
        <v>29.7</v>
      </c>
      <c r="R1220" t="n">
        <v>0</v>
      </c>
      <c r="S1220" t="n">
        <v>0</v>
      </c>
      <c r="T1220" t="n">
        <v>0</v>
      </c>
      <c r="U1220" t="n">
        <v>579.97</v>
      </c>
      <c r="X1220" t="inlineStr">
        <is>
          <t>aafc-aac</t>
        </is>
      </c>
      <c r="Y1220" t="inlineStr">
        <is>
          <t>Agriculture and Agri-Food Canada | Agriculture et Agroalimentaire Canada</t>
        </is>
      </c>
      <c r="Z1220" t="n">
        <v>1</v>
      </c>
      <c r="AA1220" t="n">
        <v>579.5700000000001</v>
      </c>
      <c r="AB1220">
        <f>ROUND(U1220-AA1220,2)</f>
        <v/>
      </c>
      <c r="AC1220" t="b">
        <v>0</v>
      </c>
      <c r="AD1220">
        <f>IF(U1220="","MISSING_TOTAL",IF(ABS(AB1220)&lt;=0.01,"OK","CHECK"))</f>
        <v/>
      </c>
      <c r="AE1220">
        <f>IF(U1220="","MISSING",IF(AND(AA1220&gt;0,U1220/AA1220&gt;50),"POSSIBLE_SCALE_ERROR","OK"))</f>
        <v/>
      </c>
    </row>
    <row r="1221">
      <c r="A1221" t="inlineStr">
        <is>
          <t>T-2018-Q4-00058</t>
        </is>
      </c>
      <c r="B1221" t="inlineStr">
        <is>
          <t>SLE</t>
        </is>
      </c>
      <c r="C1221" t="inlineStr">
        <is>
          <t>Chief Information Officer</t>
        </is>
      </c>
      <c r="D1221" t="inlineStr">
        <is>
          <t>Dirigeant principal de l'information</t>
        </is>
      </c>
      <c r="E1221" t="inlineStr">
        <is>
          <t>Michel Lessard</t>
        </is>
      </c>
      <c r="F1221" t="inlineStr">
        <is>
          <t>Chief Information Officer Strategy Council Meeting</t>
        </is>
      </c>
      <c r="G1221" t="inlineStr">
        <is>
          <t>Réunion du Conseil stratégique des dirigeants principaux de l'information</t>
        </is>
      </c>
      <c r="H1221" s="1" t="n">
        <v>43521</v>
      </c>
      <c r="I1221" s="1" t="n">
        <v>43525</v>
      </c>
      <c r="J1221" t="inlineStr">
        <is>
          <t>Vancouver, Agassiz, Burnaby and Summerland, British Columbia</t>
        </is>
      </c>
      <c r="K1221" t="inlineStr">
        <is>
          <t>Vancouver, Agassiz, Burnaby et Summerland, Colombie-Britannique</t>
        </is>
      </c>
      <c r="P1221" t="n">
        <v>1882.45</v>
      </c>
      <c r="Q1221" t="n">
        <v>470.05</v>
      </c>
      <c r="R1221" t="n">
        <v>760.7</v>
      </c>
      <c r="S1221" t="n">
        <v>356.8</v>
      </c>
      <c r="T1221" t="n">
        <v>0</v>
      </c>
      <c r="U1221" t="n">
        <v>3470</v>
      </c>
      <c r="X1221" t="inlineStr">
        <is>
          <t>aafc-aac</t>
        </is>
      </c>
      <c r="Y1221" t="inlineStr">
        <is>
          <t>Agriculture and Agri-Food Canada | Agriculture et Agroalimentaire Canada</t>
        </is>
      </c>
      <c r="Z1221" t="n">
        <v>5</v>
      </c>
      <c r="AA1221" t="n">
        <v>3470</v>
      </c>
      <c r="AB1221">
        <f>ROUND(U1221-AA1221,2)</f>
        <v/>
      </c>
      <c r="AC1221" t="b">
        <v>0</v>
      </c>
      <c r="AD1221">
        <f>IF(U1221="","MISSING_TOTAL",IF(ABS(AB1221)&lt;=0.01,"OK","CHECK"))</f>
        <v/>
      </c>
      <c r="AE1221">
        <f>IF(U1221="","MISSING",IF(AND(AA1221&gt;0,U1221/AA1221&gt;50),"POSSIBLE_SCALE_ERROR","OK"))</f>
        <v/>
      </c>
    </row>
    <row r="1222">
      <c r="A1222" t="inlineStr">
        <is>
          <t>T-2018-Q4-00059</t>
        </is>
      </c>
      <c r="B1222" t="inlineStr">
        <is>
          <t>SLE</t>
        </is>
      </c>
      <c r="C1222" t="inlineStr">
        <is>
          <t>Assistant Deputy Minister, Science and Technology Branch</t>
        </is>
      </c>
      <c r="D1222" t="inlineStr">
        <is>
          <t>Sous-ministre adjoint, Direction Générale des sciences et de la technologie</t>
        </is>
      </c>
      <c r="E1222" t="inlineStr">
        <is>
          <t>Brian Gray</t>
        </is>
      </c>
      <c r="F1222" t="inlineStr">
        <is>
          <t>Meet with senior officials of the New Zealand government and Indigenous Science Mission</t>
        </is>
      </c>
      <c r="G1222" t="inlineStr">
        <is>
          <t>Rencontrer les hauts fonctionnaires du gouvernement néo-zélandais et Mission scientifique autochtone</t>
        </is>
      </c>
      <c r="H1222" s="1" t="n">
        <v>43431</v>
      </c>
      <c r="I1222" s="1" t="n">
        <v>43442</v>
      </c>
      <c r="J1222" t="inlineStr">
        <is>
          <t>Hamilton, New Zealand</t>
        </is>
      </c>
      <c r="K1222" t="inlineStr">
        <is>
          <t>Hamilton, Nouvelle-Zélande</t>
        </is>
      </c>
      <c r="P1222" t="n">
        <v>11709.48</v>
      </c>
      <c r="Q1222" t="n">
        <v>242.44</v>
      </c>
      <c r="R1222" t="n">
        <v>1826.65</v>
      </c>
      <c r="S1222" t="n">
        <v>1581.01</v>
      </c>
      <c r="T1222" t="n">
        <v>0</v>
      </c>
      <c r="U1222" t="n">
        <v>15359.58</v>
      </c>
      <c r="X1222" t="inlineStr">
        <is>
          <t>aafc-aac</t>
        </is>
      </c>
      <c r="Y1222" t="inlineStr">
        <is>
          <t>Agriculture and Agri-Food Canada | Agriculture et Agroalimentaire Canada</t>
        </is>
      </c>
      <c r="Z1222" t="n">
        <v>12</v>
      </c>
      <c r="AA1222" t="n">
        <v>15359.58</v>
      </c>
      <c r="AB1222">
        <f>ROUND(U1222-AA1222,2)</f>
        <v/>
      </c>
      <c r="AC1222" t="b">
        <v>0</v>
      </c>
      <c r="AD1222">
        <f>IF(U1222="","MISSING_TOTAL",IF(ABS(AB1222)&lt;=0.01,"OK","CHECK"))</f>
        <v/>
      </c>
      <c r="AE1222">
        <f>IF(U1222="","MISSING",IF(AND(AA1222&gt;0,U1222/AA1222&gt;50),"POSSIBLE_SCALE_ERROR","OK"))</f>
        <v/>
      </c>
    </row>
    <row r="1223">
      <c r="A1223" t="inlineStr">
        <is>
          <t>T-2018-Q4-00060</t>
        </is>
      </c>
      <c r="B1223" t="inlineStr">
        <is>
          <t>SLE</t>
        </is>
      </c>
      <c r="C1223" t="inlineStr">
        <is>
          <t>Assistant Deputy Minister, Science and Technology Branch</t>
        </is>
      </c>
      <c r="D1223" t="inlineStr">
        <is>
          <t>Sous-ministre adjoint, Direction Générale des sciences et de la technologie</t>
        </is>
      </c>
      <c r="E1223" t="inlineStr">
        <is>
          <t>Brian Gray</t>
        </is>
      </c>
      <c r="F1223" t="inlineStr">
        <is>
          <t>Agricultural Chief Scientists Collaboration</t>
        </is>
      </c>
      <c r="G1223" t="inlineStr">
        <is>
          <t>Collaboration des scientifiques en chef en agriculture</t>
        </is>
      </c>
      <c r="H1223" s="1" t="n">
        <v>43444</v>
      </c>
      <c r="I1223" s="1" t="n">
        <v>43447</v>
      </c>
      <c r="J1223" t="inlineStr">
        <is>
          <t>Washington DC, United States</t>
        </is>
      </c>
      <c r="K1223" t="inlineStr">
        <is>
          <t>Washington DC, États-Unis</t>
        </is>
      </c>
      <c r="P1223" t="n">
        <v>1865.36</v>
      </c>
      <c r="Q1223" t="n">
        <v>128.49</v>
      </c>
      <c r="R1223" t="n">
        <v>994.39</v>
      </c>
      <c r="S1223" t="n">
        <v>394.7</v>
      </c>
      <c r="T1223" t="n">
        <v>0</v>
      </c>
      <c r="U1223" t="n">
        <v>3382.94</v>
      </c>
      <c r="X1223" t="inlineStr">
        <is>
          <t>aafc-aac</t>
        </is>
      </c>
      <c r="Y1223" t="inlineStr">
        <is>
          <t>Agriculture and Agri-Food Canada | Agriculture et Agroalimentaire Canada</t>
        </is>
      </c>
      <c r="Z1223" t="n">
        <v>4</v>
      </c>
      <c r="AA1223" t="n">
        <v>3382.93999999999</v>
      </c>
      <c r="AB1223">
        <f>ROUND(U1223-AA1223,2)</f>
        <v/>
      </c>
      <c r="AC1223" t="b">
        <v>0</v>
      </c>
      <c r="AD1223">
        <f>IF(U1223="","MISSING_TOTAL",IF(ABS(AB1223)&lt;=0.01,"OK","CHECK"))</f>
        <v/>
      </c>
      <c r="AE1223">
        <f>IF(U1223="","MISSING",IF(AND(AA1223&gt;0,U1223/AA1223&gt;50),"POSSIBLE_SCALE_ERROR","OK"))</f>
        <v/>
      </c>
    </row>
    <row r="1224">
      <c r="A1224" t="inlineStr">
        <is>
          <t>T-2018-Q4-00061</t>
        </is>
      </c>
      <c r="B1224" t="inlineStr">
        <is>
          <t>SLE</t>
        </is>
      </c>
      <c r="C1224" t="inlineStr">
        <is>
          <t>Assistant Deputy Minister, Science and Technology Branch</t>
        </is>
      </c>
      <c r="D1224" t="inlineStr">
        <is>
          <t>Sous-ministre adjoint, Direction Générale des sciences et de la technologie</t>
        </is>
      </c>
      <c r="E1224" t="inlineStr">
        <is>
          <t>Brian Gray</t>
        </is>
      </c>
      <c r="F1224" t="inlineStr">
        <is>
          <t>Vision and planning exercises</t>
        </is>
      </c>
      <c r="G1224" t="inlineStr">
        <is>
          <t>Exercices de planification et de vision</t>
        </is>
      </c>
      <c r="H1224" s="1" t="n">
        <v>43451</v>
      </c>
      <c r="I1224" s="1" t="n">
        <v>43453</v>
      </c>
      <c r="J1224" t="inlineStr">
        <is>
          <t>Winnipeg, Manitoba</t>
        </is>
      </c>
      <c r="K1224" t="inlineStr">
        <is>
          <t>Winnipeg, Manitoba</t>
        </is>
      </c>
      <c r="P1224" t="n">
        <v>679.67</v>
      </c>
      <c r="Q1224" t="n">
        <v>110.89</v>
      </c>
      <c r="R1224" t="n">
        <v>312.18</v>
      </c>
      <c r="S1224" t="n">
        <v>171.75</v>
      </c>
      <c r="T1224" t="n">
        <v>0</v>
      </c>
      <c r="U1224" t="n">
        <v>1274.49</v>
      </c>
      <c r="X1224" t="inlineStr">
        <is>
          <t>aafc-aac</t>
        </is>
      </c>
      <c r="Y1224" t="inlineStr">
        <is>
          <t>Agriculture and Agri-Food Canada | Agriculture et Agroalimentaire Canada</t>
        </is>
      </c>
      <c r="Z1224" t="n">
        <v>3</v>
      </c>
      <c r="AA1224" t="n">
        <v>1274.49</v>
      </c>
      <c r="AB1224">
        <f>ROUND(U1224-AA1224,2)</f>
        <v/>
      </c>
      <c r="AC1224" t="b">
        <v>0</v>
      </c>
      <c r="AD1224">
        <f>IF(U1224="","MISSING_TOTAL",IF(ABS(AB1224)&lt;=0.01,"OK","CHECK"))</f>
        <v/>
      </c>
      <c r="AE1224">
        <f>IF(U1224="","MISSING",IF(AND(AA1224&gt;0,U1224/AA1224&gt;50),"POSSIBLE_SCALE_ERROR","OK"))</f>
        <v/>
      </c>
    </row>
    <row r="1225">
      <c r="A1225" t="inlineStr">
        <is>
          <t>T-2018-Q4-00062</t>
        </is>
      </c>
      <c r="B1225" t="inlineStr">
        <is>
          <t>SLE</t>
        </is>
      </c>
      <c r="C1225" t="inlineStr">
        <is>
          <t>Assistant Deputy Minister, Science and Technology Branch</t>
        </is>
      </c>
      <c r="D1225" t="inlineStr">
        <is>
          <t>Sous-ministre adjoint, Direction Générale des sciences et de la technologie</t>
        </is>
      </c>
      <c r="E1225" t="inlineStr">
        <is>
          <t>Brian Gray</t>
        </is>
      </c>
      <c r="F1225" t="inlineStr">
        <is>
          <t>ArcticNet Board of Directors Meeting</t>
        </is>
      </c>
      <c r="G1225" t="inlineStr">
        <is>
          <t>Réunion du Conseil d'administration d'ArcticNet</t>
        </is>
      </c>
      <c r="H1225" s="1" t="n">
        <v>43494</v>
      </c>
      <c r="I1225" s="1" t="n">
        <v>43495</v>
      </c>
      <c r="J1225" t="inlineStr">
        <is>
          <t>Montreal, Quebec</t>
        </is>
      </c>
      <c r="K1225" t="inlineStr">
        <is>
          <t>Montréal, Québec</t>
        </is>
      </c>
      <c r="P1225" t="n">
        <v>0</v>
      </c>
      <c r="Q1225" t="n">
        <v>263.7</v>
      </c>
      <c r="R1225" t="n">
        <v>0</v>
      </c>
      <c r="S1225" t="n">
        <v>84.59999999999999</v>
      </c>
      <c r="T1225" t="n">
        <v>0</v>
      </c>
      <c r="U1225" t="n">
        <v>348.3</v>
      </c>
      <c r="X1225" t="inlineStr">
        <is>
          <t>aafc-aac</t>
        </is>
      </c>
      <c r="Y1225" t="inlineStr">
        <is>
          <t>Agriculture and Agri-Food Canada | Agriculture et Agroalimentaire Canada</t>
        </is>
      </c>
      <c r="Z1225" t="n">
        <v>2</v>
      </c>
      <c r="AA1225" t="n">
        <v>348.299999999999</v>
      </c>
      <c r="AB1225">
        <f>ROUND(U1225-AA1225,2)</f>
        <v/>
      </c>
      <c r="AC1225" t="b">
        <v>0</v>
      </c>
      <c r="AD1225">
        <f>IF(U1225="","MISSING_TOTAL",IF(ABS(AB1225)&lt;=0.01,"OK","CHECK"))</f>
        <v/>
      </c>
      <c r="AE1225">
        <f>IF(U1225="","MISSING",IF(AND(AA1225&gt;0,U1225/AA1225&gt;50),"POSSIBLE_SCALE_ERROR","OK"))</f>
        <v/>
      </c>
    </row>
    <row r="1226">
      <c r="A1226" t="inlineStr">
        <is>
          <t>T-2018-Q4-00063</t>
        </is>
      </c>
      <c r="B1226" t="inlineStr">
        <is>
          <t>SLE</t>
        </is>
      </c>
      <c r="C1226" t="inlineStr">
        <is>
          <t>Assistant Deputy Minister, Science and Technology Branch</t>
        </is>
      </c>
      <c r="D1226" t="inlineStr">
        <is>
          <t>Sous-ministre adjoint, Direction Générale des sciences et de la technologie</t>
        </is>
      </c>
      <c r="E1226" t="inlineStr">
        <is>
          <t>Brian Gray</t>
        </is>
      </c>
      <c r="F1226" t="inlineStr">
        <is>
          <t>Outreach to Swift Current and Regina</t>
        </is>
      </c>
      <c r="G1226" t="inlineStr">
        <is>
          <t>Visite de sensibilisation de Swift Current et Régina</t>
        </is>
      </c>
      <c r="H1226" s="1" t="n">
        <v>43516</v>
      </c>
      <c r="I1226" s="1" t="n">
        <v>43518</v>
      </c>
      <c r="J1226" t="inlineStr">
        <is>
          <t>Swift Current and Regina, Saskatchewan</t>
        </is>
      </c>
      <c r="K1226" t="inlineStr">
        <is>
          <t>Swift Current et Régina, Saskatchewan</t>
        </is>
      </c>
      <c r="P1226" t="n">
        <v>895.36</v>
      </c>
      <c r="Q1226" t="n">
        <v>172.5</v>
      </c>
      <c r="R1226" t="n">
        <v>280.06</v>
      </c>
      <c r="S1226" t="n">
        <v>211.85</v>
      </c>
      <c r="T1226" t="n">
        <v>0</v>
      </c>
      <c r="U1226" t="n">
        <v>1559.77</v>
      </c>
      <c r="X1226" t="inlineStr">
        <is>
          <t>aafc-aac</t>
        </is>
      </c>
      <c r="Y1226" t="inlineStr">
        <is>
          <t>Agriculture and Agri-Food Canada | Agriculture et Agroalimentaire Canada</t>
        </is>
      </c>
      <c r="Z1226" t="n">
        <v>3</v>
      </c>
      <c r="AA1226" t="n">
        <v>1559.77</v>
      </c>
      <c r="AB1226">
        <f>ROUND(U1226-AA1226,2)</f>
        <v/>
      </c>
      <c r="AC1226" t="b">
        <v>0</v>
      </c>
      <c r="AD1226">
        <f>IF(U1226="","MISSING_TOTAL",IF(ABS(AB1226)&lt;=0.01,"OK","CHECK"))</f>
        <v/>
      </c>
      <c r="AE1226">
        <f>IF(U1226="","MISSING",IF(AND(AA1226&gt;0,U1226/AA1226&gt;50),"POSSIBLE_SCALE_ERROR","OK"))</f>
        <v/>
      </c>
    </row>
    <row r="1227">
      <c r="A1227" t="inlineStr">
        <is>
          <t>T-2018-Q4-00064</t>
        </is>
      </c>
      <c r="B1227" t="inlineStr">
        <is>
          <t>SLE</t>
        </is>
      </c>
      <c r="C1227" t="inlineStr">
        <is>
          <t>Assistant Deputy Minister, International Affairs Branch</t>
        </is>
      </c>
      <c r="D1227" t="inlineStr">
        <is>
          <t>Sous-ministre adjoint, Direction générale des affaires internationales</t>
        </is>
      </c>
      <c r="E1227" t="inlineStr">
        <is>
          <t>Fred Gorrell</t>
        </is>
      </c>
      <c r="F1227" t="inlineStr">
        <is>
          <t>Trade mission to Germany and Turkey</t>
        </is>
      </c>
      <c r="G1227" t="inlineStr">
        <is>
          <t>Missions commerciales en Allemagne et en Turquie</t>
        </is>
      </c>
      <c r="H1227" s="1" t="n">
        <v>43481</v>
      </c>
      <c r="I1227" s="1" t="n">
        <v>43489</v>
      </c>
      <c r="J1227" t="inlineStr">
        <is>
          <t>Berlin, Germany; Ankara, Turkey</t>
        </is>
      </c>
      <c r="K1227" t="inlineStr">
        <is>
          <t>Berlin, Allemagne; Ankara, Turquie</t>
        </is>
      </c>
      <c r="P1227" t="n">
        <v>7671.18</v>
      </c>
      <c r="Q1227" t="n">
        <v>142.86</v>
      </c>
      <c r="R1227" t="n">
        <v>1005.86</v>
      </c>
      <c r="S1227" t="n">
        <v>896.64</v>
      </c>
      <c r="T1227" t="n">
        <v>0</v>
      </c>
      <c r="U1227" t="n">
        <v>9716.540000000001</v>
      </c>
      <c r="X1227" t="inlineStr">
        <is>
          <t>aafc-aac</t>
        </is>
      </c>
      <c r="Y1227" t="inlineStr">
        <is>
          <t>Agriculture and Agri-Food Canada | Agriculture et Agroalimentaire Canada</t>
        </is>
      </c>
      <c r="Z1227" t="n">
        <v>9</v>
      </c>
      <c r="AA1227" t="n">
        <v>9716.53999999999</v>
      </c>
      <c r="AB1227">
        <f>ROUND(U1227-AA1227,2)</f>
        <v/>
      </c>
      <c r="AC1227" t="b">
        <v>0</v>
      </c>
      <c r="AD1227">
        <f>IF(U1227="","MISSING_TOTAL",IF(ABS(AB1227)&lt;=0.01,"OK","CHECK"))</f>
        <v/>
      </c>
      <c r="AE1227">
        <f>IF(U1227="","MISSING",IF(AND(AA1227&gt;0,U1227/AA1227&gt;50),"POSSIBLE_SCALE_ERROR","OK"))</f>
        <v/>
      </c>
    </row>
    <row r="1228">
      <c r="A1228" t="inlineStr">
        <is>
          <t>T-2018-Q4-00065</t>
        </is>
      </c>
      <c r="B1228" t="inlineStr">
        <is>
          <t>SLE</t>
        </is>
      </c>
      <c r="C1228" t="inlineStr">
        <is>
          <t>Assistant Deputy Minister, International Affairs Branch</t>
        </is>
      </c>
      <c r="D1228" t="inlineStr">
        <is>
          <t>Sous-ministre adjoint, Direction générale des affaires internationales</t>
        </is>
      </c>
      <c r="E1228" t="inlineStr">
        <is>
          <t>Fred Gorrell</t>
        </is>
      </c>
      <c r="F1228" t="inlineStr">
        <is>
          <t>Canada Pork International Conference</t>
        </is>
      </c>
      <c r="G1228" t="inlineStr">
        <is>
          <t>Conférence de Canada Porc International</t>
        </is>
      </c>
      <c r="H1228" s="1" t="n">
        <v>43517</v>
      </c>
      <c r="I1228" s="1" t="n">
        <v>43517</v>
      </c>
      <c r="J1228" t="inlineStr">
        <is>
          <t>Toronto, Ontario</t>
        </is>
      </c>
      <c r="K1228" t="inlineStr">
        <is>
          <t>Toronto, Ontario</t>
        </is>
      </c>
      <c r="P1228" t="n">
        <v>702.83</v>
      </c>
      <c r="Q1228" t="n">
        <v>90.47</v>
      </c>
      <c r="R1228" t="n">
        <v>0</v>
      </c>
      <c r="S1228" t="n">
        <v>40.1</v>
      </c>
      <c r="T1228" t="n">
        <v>24</v>
      </c>
      <c r="U1228" t="n">
        <v>857.4</v>
      </c>
      <c r="X1228" t="inlineStr">
        <is>
          <t>aafc-aac</t>
        </is>
      </c>
      <c r="Y1228" t="inlineStr">
        <is>
          <t>Agriculture and Agri-Food Canada | Agriculture et Agroalimentaire Canada</t>
        </is>
      </c>
      <c r="Z1228" t="n">
        <v>1</v>
      </c>
      <c r="AA1228" t="n">
        <v>857.4</v>
      </c>
      <c r="AB1228">
        <f>ROUND(U1228-AA1228,2)</f>
        <v/>
      </c>
      <c r="AC1228" t="b">
        <v>0</v>
      </c>
      <c r="AD1228">
        <f>IF(U1228="","MISSING_TOTAL",IF(ABS(AB1228)&lt;=0.01,"OK","CHECK"))</f>
        <v/>
      </c>
      <c r="AE1228">
        <f>IF(U1228="","MISSING",IF(AND(AA1228&gt;0,U1228/AA1228&gt;50),"POSSIBLE_SCALE_ERROR","OK"))</f>
        <v/>
      </c>
    </row>
    <row r="1229">
      <c r="A1229" t="inlineStr">
        <is>
          <t>T-2018-Q4-00066</t>
        </is>
      </c>
      <c r="B1229" t="inlineStr">
        <is>
          <t>SLE</t>
        </is>
      </c>
      <c r="C1229" t="inlineStr">
        <is>
          <t>Assistant Deputy Minister, Market and Industry Services Branch</t>
        </is>
      </c>
      <c r="D1229" t="inlineStr">
        <is>
          <t>Sous-ministre adjoint, Direction générale des services à l'industrie et aux marchés</t>
        </is>
      </c>
      <c r="E1229" t="inlineStr">
        <is>
          <t>Frédéric Seppey</t>
        </is>
      </c>
      <c r="F1229" t="inlineStr">
        <is>
          <t>Meeting in Montreal - dairy sector</t>
        </is>
      </c>
      <c r="G1229" t="inlineStr">
        <is>
          <t>Rencontre à Montréal - secteur laitier</t>
        </is>
      </c>
      <c r="H1229" s="1" t="n">
        <v>43438</v>
      </c>
      <c r="I1229" s="1" t="n">
        <v>43438</v>
      </c>
      <c r="J1229" t="inlineStr">
        <is>
          <t>Montreal, Quebec</t>
        </is>
      </c>
      <c r="K1229" t="inlineStr">
        <is>
          <t>Montréal, Québec</t>
        </is>
      </c>
      <c r="P1229" t="n">
        <v>0</v>
      </c>
      <c r="Q1229" t="n">
        <v>262.77</v>
      </c>
      <c r="R1229" t="n">
        <v>0</v>
      </c>
      <c r="S1229" t="n">
        <v>20.25</v>
      </c>
      <c r="T1229" t="n">
        <v>5.65</v>
      </c>
      <c r="U1229" t="n">
        <v>288.67</v>
      </c>
      <c r="X1229" t="inlineStr">
        <is>
          <t>aafc-aac</t>
        </is>
      </c>
      <c r="Y1229" t="inlineStr">
        <is>
          <t>Agriculture and Agri-Food Canada | Agriculture et Agroalimentaire Canada</t>
        </is>
      </c>
      <c r="Z1229" t="n">
        <v>1</v>
      </c>
      <c r="AA1229" t="n">
        <v>288.669999999999</v>
      </c>
      <c r="AB1229">
        <f>ROUND(U1229-AA1229,2)</f>
        <v/>
      </c>
      <c r="AC1229" t="b">
        <v>0</v>
      </c>
      <c r="AD1229">
        <f>IF(U1229="","MISSING_TOTAL",IF(ABS(AB1229)&lt;=0.01,"OK","CHECK"))</f>
        <v/>
      </c>
      <c r="AE1229">
        <f>IF(U1229="","MISSING",IF(AND(AA1229&gt;0,U1229/AA1229&gt;50),"POSSIBLE_SCALE_ERROR","OK"))</f>
        <v/>
      </c>
    </row>
    <row r="1230">
      <c r="A1230" t="inlineStr">
        <is>
          <t>T-2018-Q4-00067</t>
        </is>
      </c>
      <c r="B1230" t="inlineStr">
        <is>
          <t>SLE</t>
        </is>
      </c>
      <c r="C1230" t="inlineStr">
        <is>
          <t>Assistant Deputy Minister, Market and Industry Services Branch</t>
        </is>
      </c>
      <c r="D1230" t="inlineStr">
        <is>
          <t>Sous-ministre adjoint, Direction générale des services à l'industrie et aux marchés</t>
        </is>
      </c>
      <c r="E1230" t="inlineStr">
        <is>
          <t>Frédéric Seppey</t>
        </is>
      </c>
      <c r="F1230" t="inlineStr">
        <is>
          <t>Assistant Deputy Minister Federal-Provincial-Territorial Meeting December 11 in Montreal and the Toronto Global Forum on December 12 in Toronto</t>
        </is>
      </c>
      <c r="G1230" t="inlineStr">
        <is>
          <t>Rencontre fédérale, provinciale et territoriale des sous-ministres adjoints le 11 décembre à Montréal et le Toronto Global Forum le 12 décembre à Toronto</t>
        </is>
      </c>
      <c r="H1230" s="1" t="n">
        <v>43445</v>
      </c>
      <c r="I1230" s="1" t="n">
        <v>43446</v>
      </c>
      <c r="J1230" t="inlineStr">
        <is>
          <t>Montreal, Quebec;  Toronto, Ontario</t>
        </is>
      </c>
      <c r="K1230" t="inlineStr">
        <is>
          <t>Montréal, Québec; Toronto, Ontario</t>
        </is>
      </c>
      <c r="P1230" t="n">
        <v>484.01</v>
      </c>
      <c r="Q1230" t="n">
        <v>316.96</v>
      </c>
      <c r="R1230" t="n">
        <v>233.86</v>
      </c>
      <c r="S1230" t="n">
        <v>134.6</v>
      </c>
      <c r="T1230" t="n">
        <v>0</v>
      </c>
      <c r="U1230" t="n">
        <v>1169.43</v>
      </c>
      <c r="X1230" t="inlineStr">
        <is>
          <t>aafc-aac</t>
        </is>
      </c>
      <c r="Y1230" t="inlineStr">
        <is>
          <t>Agriculture and Agri-Food Canada | Agriculture et Agroalimentaire Canada</t>
        </is>
      </c>
      <c r="Z1230" t="n">
        <v>2</v>
      </c>
      <c r="AA1230" t="n">
        <v>1169.42999999999</v>
      </c>
      <c r="AB1230">
        <f>ROUND(U1230-AA1230,2)</f>
        <v/>
      </c>
      <c r="AC1230" t="b">
        <v>0</v>
      </c>
      <c r="AD1230">
        <f>IF(U1230="","MISSING_TOTAL",IF(ABS(AB1230)&lt;=0.01,"OK","CHECK"))</f>
        <v/>
      </c>
      <c r="AE1230">
        <f>IF(U1230="","MISSING",IF(AND(AA1230&gt;0,U1230/AA1230&gt;50),"POSSIBLE_SCALE_ERROR","OK"))</f>
        <v/>
      </c>
    </row>
    <row r="1231">
      <c r="A1231" t="inlineStr">
        <is>
          <t>T-2018-Q4-00068</t>
        </is>
      </c>
      <c r="B1231" t="inlineStr">
        <is>
          <t>SLE</t>
        </is>
      </c>
      <c r="C1231" t="inlineStr">
        <is>
          <t>Assistant Deputy Minister, Market and Industry Services Branch</t>
        </is>
      </c>
      <c r="D1231" t="inlineStr">
        <is>
          <t>Sous-ministre adjoint, Direction générale des services à l'industrie et aux marchés</t>
        </is>
      </c>
      <c r="E1231" t="inlineStr">
        <is>
          <t>Frédéric Seppey</t>
        </is>
      </c>
      <c r="F1231" t="inlineStr">
        <is>
          <t>Deputy Ministers Federal- Provincial-Territorial Policy Retreat in Toronto and visit to Guelph regional office</t>
        </is>
      </c>
      <c r="G1231" t="inlineStr">
        <is>
          <t>Séance de réflexion fédérale, provinciale et territoriale des sous-ministres à Toronto et la visite du bureau régional de Guelph</t>
        </is>
      </c>
      <c r="H1231" s="1" t="n">
        <v>43486</v>
      </c>
      <c r="I1231" s="1" t="n">
        <v>43488</v>
      </c>
      <c r="J1231" t="inlineStr">
        <is>
          <t>Toronto, Ontario</t>
        </is>
      </c>
      <c r="K1231" t="inlineStr">
        <is>
          <t>Toronto, Ontario</t>
        </is>
      </c>
      <c r="P1231" t="n">
        <v>561.89</v>
      </c>
      <c r="Q1231" t="n">
        <v>168.71</v>
      </c>
      <c r="R1231" t="n">
        <v>331.27</v>
      </c>
      <c r="S1231" t="n">
        <v>282.1</v>
      </c>
      <c r="T1231" t="n">
        <v>0</v>
      </c>
      <c r="U1231" t="n">
        <v>1343.97</v>
      </c>
      <c r="X1231" t="inlineStr">
        <is>
          <t>aafc-aac</t>
        </is>
      </c>
      <c r="Y1231" t="inlineStr">
        <is>
          <t>Agriculture and Agri-Food Canada | Agriculture et Agroalimentaire Canada</t>
        </is>
      </c>
      <c r="Z1231" t="n">
        <v>3</v>
      </c>
      <c r="AA1231" t="n">
        <v>1343.96999999999</v>
      </c>
      <c r="AB1231">
        <f>ROUND(U1231-AA1231,2)</f>
        <v/>
      </c>
      <c r="AC1231" t="b">
        <v>0</v>
      </c>
      <c r="AD1231">
        <f>IF(U1231="","MISSING_TOTAL",IF(ABS(AB1231)&lt;=0.01,"OK","CHECK"))</f>
        <v/>
      </c>
      <c r="AE1231">
        <f>IF(U1231="","MISSING",IF(AND(AA1231&gt;0,U1231/AA1231&gt;50),"POSSIBLE_SCALE_ERROR","OK"))</f>
        <v/>
      </c>
    </row>
    <row r="1232">
      <c r="A1232" t="inlineStr">
        <is>
          <t>T-2018-Q4-00069</t>
        </is>
      </c>
      <c r="B1232" t="inlineStr">
        <is>
          <t>SLE</t>
        </is>
      </c>
      <c r="C1232" t="inlineStr">
        <is>
          <t>Acting Assistant Deputy Minister, Public Affairs Branch</t>
        </is>
      </c>
      <c r="D1232" t="inlineStr">
        <is>
          <t>Sous-ministre adjoint par intérim, Direction générale des affaires publiques</t>
        </is>
      </c>
      <c r="E1232" t="inlineStr">
        <is>
          <t>Steven Jurgutis</t>
        </is>
      </c>
      <c r="F1232" t="inlineStr">
        <is>
          <t>To attend Agriculture Days and visit sites in Manitoba</t>
        </is>
      </c>
      <c r="G1232" t="inlineStr">
        <is>
          <t>Pour assister aux journées d'agriculture et visiter des lieux de travail au Manitoba</t>
        </is>
      </c>
      <c r="H1232" s="1" t="n">
        <v>43486</v>
      </c>
      <c r="I1232" s="1" t="n">
        <v>43489</v>
      </c>
      <c r="J1232" t="inlineStr">
        <is>
          <t>Winnipeg, Manitoba</t>
        </is>
      </c>
      <c r="K1232" t="inlineStr">
        <is>
          <t>Winnipeg, Manitoba</t>
        </is>
      </c>
      <c r="P1232" t="n">
        <v>603.96</v>
      </c>
      <c r="Q1232" t="n">
        <v>35.33</v>
      </c>
      <c r="R1232" t="n">
        <v>521.36</v>
      </c>
      <c r="S1232" t="n">
        <v>368.85</v>
      </c>
      <c r="T1232" t="n">
        <v>0</v>
      </c>
      <c r="U1232" t="n">
        <v>1529.5</v>
      </c>
      <c r="X1232" t="inlineStr">
        <is>
          <t>aafc-aac</t>
        </is>
      </c>
      <c r="Y1232" t="inlineStr">
        <is>
          <t>Agriculture and Agri-Food Canada | Agriculture et Agroalimentaire Canada</t>
        </is>
      </c>
      <c r="Z1232" t="n">
        <v>4</v>
      </c>
      <c r="AA1232" t="n">
        <v>1529.5</v>
      </c>
      <c r="AB1232">
        <f>ROUND(U1232-AA1232,2)</f>
        <v/>
      </c>
      <c r="AC1232" t="b">
        <v>0</v>
      </c>
      <c r="AD1232">
        <f>IF(U1232="","MISSING_TOTAL",IF(ABS(AB1232)&lt;=0.01,"OK","CHECK"))</f>
        <v/>
      </c>
      <c r="AE1232">
        <f>IF(U1232="","MISSING",IF(AND(AA1232&gt;0,U1232/AA1232&gt;50),"POSSIBLE_SCALE_ERROR","OK"))</f>
        <v/>
      </c>
    </row>
    <row r="1233">
      <c r="A1233" t="inlineStr">
        <is>
          <t>T-2019-Q1-00001</t>
        </is>
      </c>
      <c r="B1233" t="inlineStr">
        <is>
          <t>MPSES</t>
        </is>
      </c>
      <c r="C1233" t="inlineStr">
        <is>
          <t>Driver</t>
        </is>
      </c>
      <c r="D1233" t="inlineStr">
        <is>
          <t>Chauffeur</t>
        </is>
      </c>
      <c r="E1233" t="inlineStr">
        <is>
          <t>Michel Gendreau</t>
        </is>
      </c>
      <c r="F1233" t="inlineStr">
        <is>
          <t>To drive the Minister to Sherbrooke</t>
        </is>
      </c>
      <c r="G1233" t="inlineStr">
        <is>
          <t>Pour conduire la Ministre à Sherbrooke</t>
        </is>
      </c>
      <c r="H1233" s="1" t="n">
        <v>43602</v>
      </c>
      <c r="I1233" s="1" t="n">
        <v>43602</v>
      </c>
      <c r="J1233" t="inlineStr">
        <is>
          <t>Sherbrooke, Quebec</t>
        </is>
      </c>
      <c r="K1233" t="inlineStr">
        <is>
          <t>Sherbrooke (Québec)</t>
        </is>
      </c>
      <c r="P1233" t="n">
        <v>0</v>
      </c>
      <c r="Q1233" t="n">
        <v>6.2</v>
      </c>
      <c r="R1233" t="n">
        <v>0</v>
      </c>
      <c r="S1233" t="n">
        <v>50.65</v>
      </c>
      <c r="T1233" t="n">
        <v>0</v>
      </c>
      <c r="U1233" t="n">
        <v>56.85</v>
      </c>
      <c r="X1233" t="inlineStr">
        <is>
          <t>aafc-aac</t>
        </is>
      </c>
      <c r="Y1233" t="inlineStr">
        <is>
          <t>Agriculture and Agri-Food Canada | Agriculture et Agroalimentaire Canada</t>
        </is>
      </c>
      <c r="Z1233" t="n">
        <v>1</v>
      </c>
      <c r="AA1233" t="n">
        <v>56.85</v>
      </c>
      <c r="AB1233">
        <f>ROUND(U1233-AA1233,2)</f>
        <v/>
      </c>
      <c r="AC1233" t="b">
        <v>0</v>
      </c>
      <c r="AD1233">
        <f>IF(U1233="","MISSING_TOTAL",IF(ABS(AB1233)&lt;=0.01,"OK","CHECK"))</f>
        <v/>
      </c>
      <c r="AE1233">
        <f>IF(U1233="","MISSING",IF(AND(AA1233&gt;0,U1233/AA1233&gt;50),"POSSIBLE_SCALE_ERROR","OK"))</f>
        <v/>
      </c>
    </row>
    <row r="1234">
      <c r="A1234" t="inlineStr">
        <is>
          <t>T-2019-Q1-00002</t>
        </is>
      </c>
      <c r="B1234" t="inlineStr">
        <is>
          <t>MPSES</t>
        </is>
      </c>
      <c r="C1234" t="inlineStr">
        <is>
          <t>Driver</t>
        </is>
      </c>
      <c r="D1234" t="inlineStr">
        <is>
          <t>Chauffeur</t>
        </is>
      </c>
      <c r="E1234" t="inlineStr">
        <is>
          <t>Michel Gendreau</t>
        </is>
      </c>
      <c r="F1234" t="inlineStr">
        <is>
          <t>To drive the Minister to Sherbrooke</t>
        </is>
      </c>
      <c r="G1234" t="inlineStr">
        <is>
          <t>Pour conduire la Ministre à Sherbrooke</t>
        </is>
      </c>
      <c r="H1234" s="1" t="n">
        <v>43608</v>
      </c>
      <c r="I1234" s="1" t="n">
        <v>43609</v>
      </c>
      <c r="J1234" t="inlineStr">
        <is>
          <t>Sherbrooke, Quebec</t>
        </is>
      </c>
      <c r="K1234" t="inlineStr">
        <is>
          <t>Sherbrooke (Québec)</t>
        </is>
      </c>
      <c r="P1234" t="n">
        <v>0</v>
      </c>
      <c r="Q1234" t="n">
        <v>6.2</v>
      </c>
      <c r="R1234" t="n">
        <v>146.95</v>
      </c>
      <c r="S1234" t="n">
        <v>105.75</v>
      </c>
      <c r="T1234" t="n">
        <v>0</v>
      </c>
      <c r="U1234" t="n">
        <v>258.9</v>
      </c>
      <c r="X1234" t="inlineStr">
        <is>
          <t>aafc-aac</t>
        </is>
      </c>
      <c r="Y1234" t="inlineStr">
        <is>
          <t>Agriculture and Agri-Food Canada | Agriculture et Agroalimentaire Canada</t>
        </is>
      </c>
      <c r="Z1234" t="n">
        <v>2</v>
      </c>
      <c r="AA1234" t="n">
        <v>258.9</v>
      </c>
      <c r="AB1234">
        <f>ROUND(U1234-AA1234,2)</f>
        <v/>
      </c>
      <c r="AC1234" t="b">
        <v>0</v>
      </c>
      <c r="AD1234">
        <f>IF(U1234="","MISSING_TOTAL",IF(ABS(AB1234)&lt;=0.01,"OK","CHECK"))</f>
        <v/>
      </c>
      <c r="AE1234">
        <f>IF(U1234="","MISSING",IF(AND(AA1234&gt;0,U1234/AA1234&gt;50),"POSSIBLE_SCALE_ERROR","OK"))</f>
        <v/>
      </c>
    </row>
    <row r="1235">
      <c r="A1235" t="inlineStr">
        <is>
          <t>T-2019-Q1-00003</t>
        </is>
      </c>
      <c r="B1235" t="inlineStr">
        <is>
          <t>MPSES</t>
        </is>
      </c>
      <c r="C1235" t="inlineStr">
        <is>
          <t>Driver</t>
        </is>
      </c>
      <c r="D1235" t="inlineStr">
        <is>
          <t>Chauffeur</t>
        </is>
      </c>
      <c r="E1235" t="inlineStr">
        <is>
          <t>Michel Gendreau</t>
        </is>
      </c>
      <c r="F1235" t="inlineStr">
        <is>
          <t>To pick up the Minister from Sherbrooke and drive her to Ottawa</t>
        </is>
      </c>
      <c r="G1235" t="inlineStr">
        <is>
          <t>Pour aller chercher la Ministre à Sherbrooke et la conduire à Ottawa</t>
        </is>
      </c>
      <c r="H1235" s="1" t="n">
        <v>43611</v>
      </c>
      <c r="I1235" s="1" t="n">
        <v>43612</v>
      </c>
      <c r="J1235" t="inlineStr">
        <is>
          <t>Sherbrooke, Quebec</t>
        </is>
      </c>
      <c r="K1235" t="inlineStr">
        <is>
          <t>Sherbrooke (Québec)</t>
        </is>
      </c>
      <c r="P1235" t="n">
        <v>0</v>
      </c>
      <c r="Q1235" t="n">
        <v>6.2</v>
      </c>
      <c r="R1235" t="n">
        <v>141.3</v>
      </c>
      <c r="S1235" t="n">
        <v>105.75</v>
      </c>
      <c r="T1235" t="n">
        <v>0</v>
      </c>
      <c r="U1235" t="n">
        <v>253.25</v>
      </c>
      <c r="X1235" t="inlineStr">
        <is>
          <t>aafc-aac</t>
        </is>
      </c>
      <c r="Y1235" t="inlineStr">
        <is>
          <t>Agriculture and Agri-Food Canada | Agriculture et Agroalimentaire Canada</t>
        </is>
      </c>
      <c r="Z1235" t="n">
        <v>2</v>
      </c>
      <c r="AA1235" t="n">
        <v>253.25</v>
      </c>
      <c r="AB1235">
        <f>ROUND(U1235-AA1235,2)</f>
        <v/>
      </c>
      <c r="AC1235" t="b">
        <v>0</v>
      </c>
      <c r="AD1235">
        <f>IF(U1235="","MISSING_TOTAL",IF(ABS(AB1235)&lt;=0.01,"OK","CHECK"))</f>
        <v/>
      </c>
      <c r="AE1235">
        <f>IF(U1235="","MISSING",IF(AND(AA1235&gt;0,U1235/AA1235&gt;50),"POSSIBLE_SCALE_ERROR","OK"))</f>
        <v/>
      </c>
    </row>
    <row r="1236">
      <c r="A1236" t="inlineStr">
        <is>
          <t>T-2019-Q1-00004</t>
        </is>
      </c>
      <c r="B1236" t="inlineStr">
        <is>
          <t>MPSES</t>
        </is>
      </c>
      <c r="C1236" t="inlineStr">
        <is>
          <t>Driver</t>
        </is>
      </c>
      <c r="D1236" t="inlineStr">
        <is>
          <t>Chauffeur</t>
        </is>
      </c>
      <c r="E1236" t="inlineStr">
        <is>
          <t>Michel Gendreau</t>
        </is>
      </c>
      <c r="F1236" t="inlineStr">
        <is>
          <t>To pick up the Minister from Sherbrooke and drive her to Ottawa</t>
        </is>
      </c>
      <c r="G1236" t="inlineStr">
        <is>
          <t>Pour aller chercher la Ministre à Sherbrooke et la conduire à Ottawa</t>
        </is>
      </c>
      <c r="H1236" s="1" t="n">
        <v>43615</v>
      </c>
      <c r="I1236" s="1" t="n">
        <v>43616</v>
      </c>
      <c r="J1236" t="inlineStr">
        <is>
          <t>Sherbrooke, Quebec</t>
        </is>
      </c>
      <c r="K1236" t="inlineStr">
        <is>
          <t>Sherbrooke (Québec)</t>
        </is>
      </c>
      <c r="P1236" t="n">
        <v>0</v>
      </c>
      <c r="Q1236" t="n">
        <v>34.1</v>
      </c>
      <c r="R1236" t="n">
        <v>176.12</v>
      </c>
      <c r="S1236" t="n">
        <v>176.5</v>
      </c>
      <c r="T1236" t="n">
        <v>0</v>
      </c>
      <c r="U1236" t="n">
        <v>386.72</v>
      </c>
      <c r="X1236" t="inlineStr">
        <is>
          <t>aafc-aac</t>
        </is>
      </c>
      <c r="Y1236" t="inlineStr">
        <is>
          <t>Agriculture and Agri-Food Canada | Agriculture et Agroalimentaire Canada</t>
        </is>
      </c>
      <c r="Z1236" t="n">
        <v>2</v>
      </c>
      <c r="AA1236" t="n">
        <v>386.72</v>
      </c>
      <c r="AB1236">
        <f>ROUND(U1236-AA1236,2)</f>
        <v/>
      </c>
      <c r="AC1236" t="b">
        <v>0</v>
      </c>
      <c r="AD1236">
        <f>IF(U1236="","MISSING_TOTAL",IF(ABS(AB1236)&lt;=0.01,"OK","CHECK"))</f>
        <v/>
      </c>
      <c r="AE1236">
        <f>IF(U1236="","MISSING",IF(AND(AA1236&gt;0,U1236/AA1236&gt;50),"POSSIBLE_SCALE_ERROR","OK"))</f>
        <v/>
      </c>
    </row>
    <row r="1237">
      <c r="A1237" t="inlineStr">
        <is>
          <t>T-2019-Q1-00005</t>
        </is>
      </c>
      <c r="B1237" t="inlineStr">
        <is>
          <t>MPSES</t>
        </is>
      </c>
      <c r="C1237" t="inlineStr">
        <is>
          <t>Senior Policy Advisor</t>
        </is>
      </c>
      <c r="D1237" t="inlineStr">
        <is>
          <t>Conseiller principal des politiques</t>
        </is>
      </c>
      <c r="E1237" t="inlineStr">
        <is>
          <t>Michel-Antoine Renaud</t>
        </is>
      </c>
      <c r="F1237" t="inlineStr">
        <is>
          <t>To accompany the Parliamentary Secretary to the Annual General Meeting of Au coeur des familles agricole</t>
        </is>
      </c>
      <c r="G1237" t="inlineStr">
        <is>
          <t>Pour accompagner le secrétaire parlementaire à l'assemblée générale d'Au coeur des familles agricoles</t>
        </is>
      </c>
      <c r="H1237" s="1" t="n">
        <v>43531</v>
      </c>
      <c r="I1237" s="1" t="n">
        <v>43532</v>
      </c>
      <c r="J1237" t="inlineStr">
        <is>
          <t>St-Hyacinthe, Quebec</t>
        </is>
      </c>
      <c r="K1237" t="inlineStr">
        <is>
          <t>St-Hyacinthe (Québec)</t>
        </is>
      </c>
      <c r="P1237" t="n">
        <v>0</v>
      </c>
      <c r="Q1237" t="n">
        <v>125.89</v>
      </c>
      <c r="R1237" t="n">
        <v>0</v>
      </c>
      <c r="S1237" t="n">
        <v>40.1</v>
      </c>
      <c r="T1237" t="n">
        <v>0</v>
      </c>
      <c r="U1237" t="n">
        <v>165.99</v>
      </c>
      <c r="X1237" t="inlineStr">
        <is>
          <t>aafc-aac</t>
        </is>
      </c>
      <c r="Y1237" t="inlineStr">
        <is>
          <t>Agriculture and Agri-Food Canada | Agriculture et Agroalimentaire Canada</t>
        </is>
      </c>
      <c r="Z1237" t="n">
        <v>2</v>
      </c>
      <c r="AA1237" t="n">
        <v>165.99</v>
      </c>
      <c r="AB1237">
        <f>ROUND(U1237-AA1237,2)</f>
        <v/>
      </c>
      <c r="AC1237" t="b">
        <v>0</v>
      </c>
      <c r="AD1237">
        <f>IF(U1237="","MISSING_TOTAL",IF(ABS(AB1237)&lt;=0.01,"OK","CHECK"))</f>
        <v/>
      </c>
      <c r="AE1237">
        <f>IF(U1237="","MISSING",IF(AND(AA1237&gt;0,U1237/AA1237&gt;50),"POSSIBLE_SCALE_ERROR","OK"))</f>
        <v/>
      </c>
    </row>
    <row r="1238">
      <c r="A1238" t="inlineStr">
        <is>
          <t>T-2019-Q1-00006</t>
        </is>
      </c>
      <c r="B1238" t="inlineStr">
        <is>
          <t>MPSES</t>
        </is>
      </c>
      <c r="C1238" t="inlineStr">
        <is>
          <t>Senior Policy Advisor</t>
        </is>
      </c>
      <c r="D1238" t="inlineStr">
        <is>
          <t>Conseiller principal des politiques</t>
        </is>
      </c>
      <c r="E1238" t="inlineStr">
        <is>
          <t>Michel-Antoine Renaud</t>
        </is>
      </c>
      <c r="F1238" t="inlineStr">
        <is>
          <t>To accompany the Minster to the Quebec Outreach</t>
        </is>
      </c>
      <c r="G1238" t="inlineStr">
        <is>
          <t>Pour accompagner la Ministre à la campagne de sensibilisation au Québec</t>
        </is>
      </c>
      <c r="H1238" s="1" t="n">
        <v>43539</v>
      </c>
      <c r="I1238" s="1" t="n">
        <v>43540</v>
      </c>
      <c r="J1238" t="inlineStr">
        <is>
          <t>St-Hyacinthe, Quebec</t>
        </is>
      </c>
      <c r="K1238" t="inlineStr">
        <is>
          <t>St-Hyacinthe (Québec)</t>
        </is>
      </c>
      <c r="P1238" t="n">
        <v>0</v>
      </c>
      <c r="Q1238" t="n">
        <v>121.25</v>
      </c>
      <c r="R1238" t="n">
        <v>0</v>
      </c>
      <c r="S1238" t="n">
        <v>69.84999999999999</v>
      </c>
      <c r="T1238" t="n">
        <v>0</v>
      </c>
      <c r="U1238" t="n">
        <v>191.1</v>
      </c>
      <c r="X1238" t="inlineStr">
        <is>
          <t>aafc-aac</t>
        </is>
      </c>
      <c r="Y1238" t="inlineStr">
        <is>
          <t>Agriculture and Agri-Food Canada | Agriculture et Agroalimentaire Canada</t>
        </is>
      </c>
      <c r="Z1238" t="n">
        <v>2</v>
      </c>
      <c r="AA1238" t="n">
        <v>191.1</v>
      </c>
      <c r="AB1238">
        <f>ROUND(U1238-AA1238,2)</f>
        <v/>
      </c>
      <c r="AC1238" t="b">
        <v>0</v>
      </c>
      <c r="AD1238">
        <f>IF(U1238="","MISSING_TOTAL",IF(ABS(AB1238)&lt;=0.01,"OK","CHECK"))</f>
        <v/>
      </c>
      <c r="AE1238">
        <f>IF(U1238="","MISSING",IF(AND(AA1238&gt;0,U1238/AA1238&gt;50),"POSSIBLE_SCALE_ERROR","OK"))</f>
        <v/>
      </c>
    </row>
    <row r="1239">
      <c r="A1239" t="inlineStr">
        <is>
          <t>T-2019-Q1-00007</t>
        </is>
      </c>
      <c r="B1239" t="inlineStr">
        <is>
          <t>MPSES</t>
        </is>
      </c>
      <c r="C1239" t="inlineStr">
        <is>
          <t>Senior Policy Advisor</t>
        </is>
      </c>
      <c r="D1239" t="inlineStr">
        <is>
          <t>Conseiller principal des politiques</t>
        </is>
      </c>
      <c r="E1239" t="inlineStr">
        <is>
          <t>Michel-Antoine Renaud</t>
        </is>
      </c>
      <c r="F1239" t="inlineStr">
        <is>
          <t>To accompany the Minister to the Quebec outreach</t>
        </is>
      </c>
      <c r="G1239" t="inlineStr">
        <is>
          <t>Pour accompagner la Ministre à la campagne de sensibilisation au Québec</t>
        </is>
      </c>
      <c r="H1239" s="1" t="n">
        <v>43543</v>
      </c>
      <c r="I1239" s="1" t="n">
        <v>43547</v>
      </c>
      <c r="J1239" t="inlineStr">
        <is>
          <t>Sherbrooke, Quebec; Plessisville, Quebec; Quebec City, Quebec</t>
        </is>
      </c>
      <c r="K1239" t="inlineStr">
        <is>
          <t>Sherbrooke (Québec); Plessisville (Québec); Québec (Québec)</t>
        </is>
      </c>
      <c r="P1239" t="n">
        <v>0</v>
      </c>
      <c r="Q1239" t="n">
        <v>245.64</v>
      </c>
      <c r="R1239" t="n">
        <v>230.88</v>
      </c>
      <c r="S1239" t="n">
        <v>191.6</v>
      </c>
      <c r="T1239" t="n">
        <v>0</v>
      </c>
      <c r="U1239" t="n">
        <v>668.12</v>
      </c>
      <c r="X1239" t="inlineStr">
        <is>
          <t>aafc-aac</t>
        </is>
      </c>
      <c r="Y1239" t="inlineStr">
        <is>
          <t>Agriculture and Agri-Food Canada | Agriculture et Agroalimentaire Canada</t>
        </is>
      </c>
      <c r="Z1239" t="n">
        <v>5</v>
      </c>
      <c r="AA1239" t="n">
        <v>668.12</v>
      </c>
      <c r="AB1239">
        <f>ROUND(U1239-AA1239,2)</f>
        <v/>
      </c>
      <c r="AC1239" t="b">
        <v>0</v>
      </c>
      <c r="AD1239">
        <f>IF(U1239="","MISSING_TOTAL",IF(ABS(AB1239)&lt;=0.01,"OK","CHECK"))</f>
        <v/>
      </c>
      <c r="AE1239">
        <f>IF(U1239="","MISSING",IF(AND(AA1239&gt;0,U1239/AA1239&gt;50),"POSSIBLE_SCALE_ERROR","OK"))</f>
        <v/>
      </c>
    </row>
    <row r="1240">
      <c r="A1240" t="inlineStr">
        <is>
          <t>T-2019-Q1-00008</t>
        </is>
      </c>
      <c r="B1240" t="inlineStr">
        <is>
          <t>MPSES</t>
        </is>
      </c>
      <c r="C1240" t="inlineStr">
        <is>
          <t>Senior Policy Advisor</t>
        </is>
      </c>
      <c r="D1240" t="inlineStr">
        <is>
          <t>Conseiller principal des politiques</t>
        </is>
      </c>
      <c r="E1240" t="inlineStr">
        <is>
          <t>Michel-Antoine Renaud</t>
        </is>
      </c>
      <c r="F1240" t="inlineStr">
        <is>
          <t>To accompany the Minister for announcements in Drummondville and the Grain Farmers of Quebec Conference</t>
        </is>
      </c>
      <c r="G1240" t="inlineStr">
        <is>
          <t>Pour accompagner la Ministre pour des annonces à Drummondville et à la conférence des Producteurs de grains du Québec</t>
        </is>
      </c>
      <c r="H1240" s="1" t="n">
        <v>43551</v>
      </c>
      <c r="I1240" s="1" t="n">
        <v>43553</v>
      </c>
      <c r="J1240" t="inlineStr">
        <is>
          <t>Drummondville, Quebec</t>
        </is>
      </c>
      <c r="K1240" t="inlineStr">
        <is>
          <t>Drummondville (Québec)</t>
        </is>
      </c>
      <c r="P1240" t="n">
        <v>0</v>
      </c>
      <c r="Q1240" t="n">
        <v>148.44</v>
      </c>
      <c r="R1240" t="n">
        <v>0</v>
      </c>
      <c r="S1240" t="n">
        <v>90.09999999999999</v>
      </c>
      <c r="T1240" t="n">
        <v>0</v>
      </c>
      <c r="U1240" t="n">
        <v>238.54</v>
      </c>
      <c r="X1240" t="inlineStr">
        <is>
          <t>aafc-aac</t>
        </is>
      </c>
      <c r="Y1240" t="inlineStr">
        <is>
          <t>Agriculture and Agri-Food Canada | Agriculture et Agroalimentaire Canada</t>
        </is>
      </c>
      <c r="Z1240" t="n">
        <v>3</v>
      </c>
      <c r="AA1240" t="n">
        <v>238.54</v>
      </c>
      <c r="AB1240">
        <f>ROUND(U1240-AA1240,2)</f>
        <v/>
      </c>
      <c r="AC1240" t="b">
        <v>0</v>
      </c>
      <c r="AD1240">
        <f>IF(U1240="","MISSING_TOTAL",IF(ABS(AB1240)&lt;=0.01,"OK","CHECK"))</f>
        <v/>
      </c>
      <c r="AE1240">
        <f>IF(U1240="","MISSING",IF(AND(AA1240&gt;0,U1240/AA1240&gt;50),"POSSIBLE_SCALE_ERROR","OK"))</f>
        <v/>
      </c>
    </row>
    <row r="1241">
      <c r="A1241" t="inlineStr">
        <is>
          <t>T-2019-Q1-00009</t>
        </is>
      </c>
      <c r="B1241" t="inlineStr">
        <is>
          <t>MPSES</t>
        </is>
      </c>
      <c r="C1241" t="inlineStr">
        <is>
          <t>Senior Policy Advisor</t>
        </is>
      </c>
      <c r="D1241" t="inlineStr">
        <is>
          <t>Conseiller principal des politiques</t>
        </is>
      </c>
      <c r="E1241" t="inlineStr">
        <is>
          <t>Michel-Antoine Renaud</t>
        </is>
      </c>
      <c r="F1241" t="inlineStr">
        <is>
          <t>To accompany the Parliamentary Secretary for the announcement for Soil Protection in Sherrington</t>
        </is>
      </c>
      <c r="G1241" t="inlineStr">
        <is>
          <t>Pour accompagner le secrétaire parlementaire à l'annonce relative à la protection des sols à Sherrington</t>
        </is>
      </c>
      <c r="H1241" s="1" t="n">
        <v>43578</v>
      </c>
      <c r="I1241" s="1" t="n">
        <v>43579</v>
      </c>
      <c r="J1241" t="inlineStr">
        <is>
          <t>Sherrington, Quebec</t>
        </is>
      </c>
      <c r="K1241" t="inlineStr">
        <is>
          <t>Sherrington (Québec)</t>
        </is>
      </c>
      <c r="P1241" t="n">
        <v>0</v>
      </c>
      <c r="Q1241" t="n">
        <v>101.06</v>
      </c>
      <c r="R1241" t="n">
        <v>0</v>
      </c>
      <c r="S1241" t="n">
        <v>91.25</v>
      </c>
      <c r="T1241" t="n">
        <v>0</v>
      </c>
      <c r="U1241" t="n">
        <v>192.31</v>
      </c>
      <c r="X1241" t="inlineStr">
        <is>
          <t>aafc-aac</t>
        </is>
      </c>
      <c r="Y1241" t="inlineStr">
        <is>
          <t>Agriculture and Agri-Food Canada | Agriculture et Agroalimentaire Canada</t>
        </is>
      </c>
      <c r="Z1241" t="n">
        <v>2</v>
      </c>
      <c r="AA1241" t="n">
        <v>192.31</v>
      </c>
      <c r="AB1241">
        <f>ROUND(U1241-AA1241,2)</f>
        <v/>
      </c>
      <c r="AC1241" t="b">
        <v>0</v>
      </c>
      <c r="AD1241">
        <f>IF(U1241="","MISSING_TOTAL",IF(ABS(AB1241)&lt;=0.01,"OK","CHECK"))</f>
        <v/>
      </c>
      <c r="AE1241">
        <f>IF(U1241="","MISSING",IF(AND(AA1241&gt;0,U1241/AA1241&gt;50),"POSSIBLE_SCALE_ERROR","OK"))</f>
        <v/>
      </c>
    </row>
    <row r="1242">
      <c r="A1242" t="inlineStr">
        <is>
          <t>T-2019-Q1-00010</t>
        </is>
      </c>
      <c r="B1242" t="inlineStr">
        <is>
          <t>MPSES</t>
        </is>
      </c>
      <c r="C1242" t="inlineStr">
        <is>
          <t>Senior Policy Advisor</t>
        </is>
      </c>
      <c r="D1242" t="inlineStr">
        <is>
          <t>Conseiller principal des politiques</t>
        </is>
      </c>
      <c r="E1242" t="inlineStr">
        <is>
          <t>Michel-Antoine Renaud</t>
        </is>
      </c>
      <c r="F1242" t="inlineStr">
        <is>
          <t>To accompany the Minister for Poultry meetings and a meeting with the Fédération de la relève agricole du Québec</t>
        </is>
      </c>
      <c r="G1242" t="inlineStr">
        <is>
          <t>Pour accompagner la Ministre à réunions sur la volaille et à une réunion avec la Fédération de la relève agricole du Québec</t>
        </is>
      </c>
      <c r="H1242" s="1" t="n">
        <v>43608</v>
      </c>
      <c r="I1242" s="1" t="n">
        <v>43609</v>
      </c>
      <c r="J1242" t="inlineStr">
        <is>
          <t>Sherbrooke, Quebec; St-Hyacythe, Quebec</t>
        </is>
      </c>
      <c r="K1242" t="inlineStr">
        <is>
          <t>Sherbrooke (Québec); St­Hyacinthe (Québec)</t>
        </is>
      </c>
      <c r="P1242" t="n">
        <v>0</v>
      </c>
      <c r="Q1242" t="n">
        <v>0</v>
      </c>
      <c r="R1242" t="n">
        <v>133.86</v>
      </c>
      <c r="S1242" t="n">
        <v>156</v>
      </c>
      <c r="T1242" t="n">
        <v>0</v>
      </c>
      <c r="U1242" t="n">
        <v>289.86</v>
      </c>
      <c r="X1242" t="inlineStr">
        <is>
          <t>aafc-aac</t>
        </is>
      </c>
      <c r="Y1242" t="inlineStr">
        <is>
          <t>Agriculture and Agri-Food Canada | Agriculture et Agroalimentaire Canada</t>
        </is>
      </c>
      <c r="Z1242" t="n">
        <v>2</v>
      </c>
      <c r="AA1242" t="n">
        <v>289.86</v>
      </c>
      <c r="AB1242">
        <f>ROUND(U1242-AA1242,2)</f>
        <v/>
      </c>
      <c r="AC1242" t="b">
        <v>0</v>
      </c>
      <c r="AD1242">
        <f>IF(U1242="","MISSING_TOTAL",IF(ABS(AB1242)&lt;=0.01,"OK","CHECK"))</f>
        <v/>
      </c>
      <c r="AE1242">
        <f>IF(U1242="","MISSING",IF(AND(AA1242&gt;0,U1242/AA1242&gt;50),"POSSIBLE_SCALE_ERROR","OK"))</f>
        <v/>
      </c>
    </row>
    <row r="1243">
      <c r="A1243" t="inlineStr">
        <is>
          <t>T-2019-Q1-00011</t>
        </is>
      </c>
      <c r="B1243" t="inlineStr">
        <is>
          <t>MPSES</t>
        </is>
      </c>
      <c r="C1243" t="inlineStr">
        <is>
          <t>Senior Policy Advisor</t>
        </is>
      </c>
      <c r="D1243" t="inlineStr">
        <is>
          <t>Conseiller principal des politiques</t>
        </is>
      </c>
      <c r="E1243" t="inlineStr">
        <is>
          <t>Michel-Antoine Renaud</t>
        </is>
      </c>
      <c r="F1243" t="inlineStr">
        <is>
          <t>To accompany the Minister for an event in Montreal</t>
        </is>
      </c>
      <c r="G1243" t="inlineStr">
        <is>
          <t>Pour accompagner la Ministre à une activité à Montréal</t>
        </is>
      </c>
      <c r="H1243" s="1" t="n">
        <v>43615</v>
      </c>
      <c r="I1243" s="1" t="n">
        <v>43616</v>
      </c>
      <c r="J1243" t="inlineStr">
        <is>
          <t>Montreal, Quebec</t>
        </is>
      </c>
      <c r="K1243" t="inlineStr">
        <is>
          <t>Montréal (Québec)</t>
        </is>
      </c>
      <c r="P1243" t="n">
        <v>0</v>
      </c>
      <c r="Q1243" t="n">
        <v>0</v>
      </c>
      <c r="R1243" t="n">
        <v>176.12</v>
      </c>
      <c r="S1243" t="n">
        <v>156</v>
      </c>
      <c r="T1243" t="n">
        <v>0</v>
      </c>
      <c r="U1243" t="n">
        <v>332.12</v>
      </c>
      <c r="X1243" t="inlineStr">
        <is>
          <t>aafc-aac</t>
        </is>
      </c>
      <c r="Y1243" t="inlineStr">
        <is>
          <t>Agriculture and Agri-Food Canada | Agriculture et Agroalimentaire Canada</t>
        </is>
      </c>
      <c r="Z1243" t="n">
        <v>2</v>
      </c>
      <c r="AA1243" t="n">
        <v>332.12</v>
      </c>
      <c r="AB1243">
        <f>ROUND(U1243-AA1243,2)</f>
        <v/>
      </c>
      <c r="AC1243" t="b">
        <v>0</v>
      </c>
      <c r="AD1243">
        <f>IF(U1243="","MISSING_TOTAL",IF(ABS(AB1243)&lt;=0.01,"OK","CHECK"))</f>
        <v/>
      </c>
      <c r="AE1243">
        <f>IF(U1243="","MISSING",IF(AND(AA1243&gt;0,U1243/AA1243&gt;50),"POSSIBLE_SCALE_ERROR","OK"))</f>
        <v/>
      </c>
    </row>
    <row r="1244">
      <c r="A1244" t="inlineStr">
        <is>
          <t>T-2019-Q1-00012</t>
        </is>
      </c>
      <c r="B1244" t="inlineStr">
        <is>
          <t>MPSES</t>
        </is>
      </c>
      <c r="C1244" t="inlineStr">
        <is>
          <t>Senior Communications  and Policy Advisor</t>
        </is>
      </c>
      <c r="D1244" t="inlineStr">
        <is>
          <t>Conseiller principal en communications et politiques</t>
        </is>
      </c>
      <c r="E1244" t="inlineStr">
        <is>
          <t>Oliver Anderson</t>
        </is>
      </c>
      <c r="F1244" t="inlineStr">
        <is>
          <t>To accompany the Minister for government announcements</t>
        </is>
      </c>
      <c r="G1244" t="inlineStr">
        <is>
          <t>Pour accompagner la Ministre pour des annonces du gouvernement</t>
        </is>
      </c>
      <c r="H1244" s="1" t="n">
        <v>43531</v>
      </c>
      <c r="I1244" s="1" t="n">
        <v>43531</v>
      </c>
      <c r="J1244" t="inlineStr">
        <is>
          <t>Montreal, Quebec</t>
        </is>
      </c>
      <c r="K1244" t="inlineStr">
        <is>
          <t>Montréal (Québec)</t>
        </is>
      </c>
      <c r="P1244" t="n">
        <v>0</v>
      </c>
      <c r="Q1244" t="n">
        <v>161.55</v>
      </c>
      <c r="R1244" t="n">
        <v>0</v>
      </c>
      <c r="S1244" t="n">
        <v>40.1</v>
      </c>
      <c r="T1244" t="n">
        <v>0</v>
      </c>
      <c r="U1244" t="n">
        <v>201.65</v>
      </c>
      <c r="X1244" t="inlineStr">
        <is>
          <t>aafc-aac</t>
        </is>
      </c>
      <c r="Y1244" t="inlineStr">
        <is>
          <t>Agriculture and Agri-Food Canada | Agriculture et Agroalimentaire Canada</t>
        </is>
      </c>
      <c r="Z1244" t="n">
        <v>1</v>
      </c>
      <c r="AA1244" t="n">
        <v>201.65</v>
      </c>
      <c r="AB1244">
        <f>ROUND(U1244-AA1244,2)</f>
        <v/>
      </c>
      <c r="AC1244" t="b">
        <v>0</v>
      </c>
      <c r="AD1244">
        <f>IF(U1244="","MISSING_TOTAL",IF(ABS(AB1244)&lt;=0.01,"OK","CHECK"))</f>
        <v/>
      </c>
      <c r="AE1244">
        <f>IF(U1244="","MISSING",IF(AND(AA1244&gt;0,U1244/AA1244&gt;50),"POSSIBLE_SCALE_ERROR","OK"))</f>
        <v/>
      </c>
    </row>
    <row r="1245">
      <c r="A1245" t="inlineStr">
        <is>
          <t>T-2019-Q1-00013</t>
        </is>
      </c>
      <c r="B1245" t="inlineStr">
        <is>
          <t>MPSES</t>
        </is>
      </c>
      <c r="C1245" t="inlineStr">
        <is>
          <t>Senior Communications  and Policy Advisor</t>
        </is>
      </c>
      <c r="D1245" t="inlineStr">
        <is>
          <t>Conseiller principal en communications et politiques</t>
        </is>
      </c>
      <c r="E1245" t="inlineStr">
        <is>
          <t>Oliver Anderson</t>
        </is>
      </c>
      <c r="F1245" t="inlineStr">
        <is>
          <t>To accompany the Minister on a Western Outreach</t>
        </is>
      </c>
      <c r="G1245" t="inlineStr">
        <is>
          <t>Pour accompagner la Ministre à une campagne de sensibilisation dans les provinces de l'Ouest</t>
        </is>
      </c>
      <c r="H1245" s="1" t="n">
        <v>43533</v>
      </c>
      <c r="I1245" s="1" t="n">
        <v>43538</v>
      </c>
      <c r="J1245" t="inlineStr">
        <is>
          <t>Vancouver, British Columbia; Kelowna, British Columbia; Calgary Alberta; Winnipeg, Manitoba</t>
        </is>
      </c>
      <c r="K1245" t="inlineStr">
        <is>
          <t>Vancouver (Colombie-Britannique); Kelowna (Colombie-Britannique); Calgary (Alberta); Winnipeg (Manitoba)</t>
        </is>
      </c>
      <c r="P1245" t="n">
        <v>1834.98</v>
      </c>
      <c r="Q1245" t="n">
        <v>55.04</v>
      </c>
      <c r="R1245" t="n">
        <v>387.79</v>
      </c>
      <c r="S1245" t="n">
        <v>339.5</v>
      </c>
      <c r="T1245" t="n">
        <v>0</v>
      </c>
      <c r="U1245" t="n">
        <v>2617.31</v>
      </c>
      <c r="X1245" t="inlineStr">
        <is>
          <t>aafc-aac</t>
        </is>
      </c>
      <c r="Y1245" t="inlineStr">
        <is>
          <t>Agriculture and Agri-Food Canada | Agriculture et Agroalimentaire Canada</t>
        </is>
      </c>
      <c r="Z1245" t="n">
        <v>6</v>
      </c>
      <c r="AA1245" t="n">
        <v>2617.31</v>
      </c>
      <c r="AB1245">
        <f>ROUND(U1245-AA1245,2)</f>
        <v/>
      </c>
      <c r="AC1245" t="b">
        <v>0</v>
      </c>
      <c r="AD1245">
        <f>IF(U1245="","MISSING_TOTAL",IF(ABS(AB1245)&lt;=0.01,"OK","CHECK"))</f>
        <v/>
      </c>
      <c r="AE1245">
        <f>IF(U1245="","MISSING",IF(AND(AA1245&gt;0,U1245/AA1245&gt;50),"POSSIBLE_SCALE_ERROR","OK"))</f>
        <v/>
      </c>
    </row>
    <row r="1246">
      <c r="A1246" t="inlineStr">
        <is>
          <t>T-2019-Q1-00014</t>
        </is>
      </c>
      <c r="B1246" t="inlineStr">
        <is>
          <t>MPSES</t>
        </is>
      </c>
      <c r="C1246" t="inlineStr">
        <is>
          <t>Senior Communications  and Policy Advisor</t>
        </is>
      </c>
      <c r="D1246" t="inlineStr">
        <is>
          <t>Conseiller principal en communications et politiques</t>
        </is>
      </c>
      <c r="E1246" t="inlineStr">
        <is>
          <t>Oliver Anderson</t>
        </is>
      </c>
      <c r="F1246" t="inlineStr">
        <is>
          <t>To accompany the Minister to meet with local farmers and to visit a seniors home</t>
        </is>
      </c>
      <c r="G1246" t="inlineStr">
        <is>
          <t>Pour accompagner la Ministre pour des rencontres avec des agriculteurs locaux et la visite d'une résidence pour personnes âgées</t>
        </is>
      </c>
      <c r="H1246" s="1" t="n">
        <v>43548</v>
      </c>
      <c r="I1246" s="1" t="n">
        <v>43549</v>
      </c>
      <c r="J1246" t="inlineStr">
        <is>
          <t>Napanee, Ontario</t>
        </is>
      </c>
      <c r="K1246" t="inlineStr">
        <is>
          <t>Napanee (Ontario)</t>
        </is>
      </c>
      <c r="P1246" t="n">
        <v>0</v>
      </c>
      <c r="Q1246" t="n">
        <v>132.21</v>
      </c>
      <c r="R1246" t="n">
        <v>187.58</v>
      </c>
      <c r="S1246" t="n">
        <v>124.7</v>
      </c>
      <c r="T1246" t="n">
        <v>0</v>
      </c>
      <c r="U1246" t="n">
        <v>444.49</v>
      </c>
      <c r="X1246" t="inlineStr">
        <is>
          <t>aafc-aac</t>
        </is>
      </c>
      <c r="Y1246" t="inlineStr">
        <is>
          <t>Agriculture and Agri-Food Canada | Agriculture et Agroalimentaire Canada</t>
        </is>
      </c>
      <c r="Z1246" t="n">
        <v>2</v>
      </c>
      <c r="AA1246" t="n">
        <v>444.49</v>
      </c>
      <c r="AB1246">
        <f>ROUND(U1246-AA1246,2)</f>
        <v/>
      </c>
      <c r="AC1246" t="b">
        <v>0</v>
      </c>
      <c r="AD1246">
        <f>IF(U1246="","MISSING_TOTAL",IF(ABS(AB1246)&lt;=0.01,"OK","CHECK"))</f>
        <v/>
      </c>
      <c r="AE1246">
        <f>IF(U1246="","MISSING",IF(AND(AA1246&gt;0,U1246/AA1246&gt;50),"POSSIBLE_SCALE_ERROR","OK"))</f>
        <v/>
      </c>
    </row>
    <row r="1247">
      <c r="A1247" t="inlineStr">
        <is>
          <t>T-2019-Q1-00015</t>
        </is>
      </c>
      <c r="B1247" t="inlineStr">
        <is>
          <t>MPSES</t>
        </is>
      </c>
      <c r="C1247" t="inlineStr">
        <is>
          <t>Senior Communications  and Policy Advisor</t>
        </is>
      </c>
      <c r="D1247" t="inlineStr">
        <is>
          <t>Conseiller principal en communications et politiques</t>
        </is>
      </c>
      <c r="E1247" t="inlineStr">
        <is>
          <t>Oliver Anderson</t>
        </is>
      </c>
      <c r="F1247" t="inlineStr">
        <is>
          <t>To accompany the Minister for a dairy announcement</t>
        </is>
      </c>
      <c r="G1247" t="inlineStr">
        <is>
          <t>Pour accompagner la Ministre pour une annonce visant l'industrie laitière</t>
        </is>
      </c>
      <c r="H1247" s="1" t="n">
        <v>43584</v>
      </c>
      <c r="I1247" s="1" t="n">
        <v>43584</v>
      </c>
      <c r="J1247" t="inlineStr">
        <is>
          <t>St-Albert, Ontario</t>
        </is>
      </c>
      <c r="K1247" t="inlineStr">
        <is>
          <t>St-Albert (Ontario)</t>
        </is>
      </c>
      <c r="P1247" t="n">
        <v>0</v>
      </c>
      <c r="Q1247" t="n">
        <v>59.95</v>
      </c>
      <c r="R1247" t="n">
        <v>0</v>
      </c>
      <c r="S1247" t="n">
        <v>0</v>
      </c>
      <c r="T1247" t="n">
        <v>0</v>
      </c>
      <c r="U1247" t="n">
        <v>59.95</v>
      </c>
      <c r="X1247" t="inlineStr">
        <is>
          <t>aafc-aac</t>
        </is>
      </c>
      <c r="Y1247" t="inlineStr">
        <is>
          <t>Agriculture and Agri-Food Canada | Agriculture et Agroalimentaire Canada</t>
        </is>
      </c>
      <c r="Z1247" t="n">
        <v>1</v>
      </c>
      <c r="AA1247" t="n">
        <v>59.95</v>
      </c>
      <c r="AB1247">
        <f>ROUND(U1247-AA1247,2)</f>
        <v/>
      </c>
      <c r="AC1247" t="b">
        <v>0</v>
      </c>
      <c r="AD1247">
        <f>IF(U1247="","MISSING_TOTAL",IF(ABS(AB1247)&lt;=0.01,"OK","CHECK"))</f>
        <v/>
      </c>
      <c r="AE1247">
        <f>IF(U1247="","MISSING",IF(AND(AA1247&gt;0,U1247/AA1247&gt;50),"POSSIBLE_SCALE_ERROR","OK"))</f>
        <v/>
      </c>
    </row>
    <row r="1248">
      <c r="A1248" t="inlineStr">
        <is>
          <t>T-2019-Q1-00016</t>
        </is>
      </c>
      <c r="B1248" t="inlineStr">
        <is>
          <t>MPSES</t>
        </is>
      </c>
      <c r="C1248" t="inlineStr">
        <is>
          <t>Director of Parliamentary Affairs</t>
        </is>
      </c>
      <c r="D1248" t="inlineStr">
        <is>
          <t>Directeur des affaires parlementaires</t>
        </is>
      </c>
      <c r="E1248" t="inlineStr">
        <is>
          <t>Russell Milon</t>
        </is>
      </c>
      <c r="F1248" t="inlineStr">
        <is>
          <t>To accompany the Minster to the Ontario Outreach</t>
        </is>
      </c>
      <c r="G1248" t="inlineStr">
        <is>
          <t>Pour accompagner la Ministre à la campagne de sensibilisation en Ontario</t>
        </is>
      </c>
      <c r="H1248" s="1" t="n">
        <v>43579</v>
      </c>
      <c r="I1248" s="1" t="n">
        <v>43583</v>
      </c>
      <c r="J1248" t="inlineStr">
        <is>
          <t>Burlington, Ontario; Vaughan, Ontario</t>
        </is>
      </c>
      <c r="K1248" t="inlineStr">
        <is>
          <t>Burlington (Ontario); Vaughan (Ontario)</t>
        </is>
      </c>
      <c r="P1248" t="n">
        <v>979.99</v>
      </c>
      <c r="Q1248" t="n">
        <v>212.45</v>
      </c>
      <c r="R1248" t="n">
        <v>349.58</v>
      </c>
      <c r="S1248" t="n">
        <v>244.05</v>
      </c>
      <c r="T1248" t="n">
        <v>0</v>
      </c>
      <c r="U1248" t="n">
        <v>1786.07</v>
      </c>
      <c r="X1248" t="inlineStr">
        <is>
          <t>aafc-aac</t>
        </is>
      </c>
      <c r="Y1248" t="inlineStr">
        <is>
          <t>Agriculture and Agri-Food Canada | Agriculture et Agroalimentaire Canada</t>
        </is>
      </c>
      <c r="Z1248" t="n">
        <v>5</v>
      </c>
      <c r="AA1248" t="n">
        <v>1786.07</v>
      </c>
      <c r="AB1248">
        <f>ROUND(U1248-AA1248,2)</f>
        <v/>
      </c>
      <c r="AC1248" t="b">
        <v>0</v>
      </c>
      <c r="AD1248">
        <f>IF(U1248="","MISSING_TOTAL",IF(ABS(AB1248)&lt;=0.01,"OK","CHECK"))</f>
        <v/>
      </c>
      <c r="AE1248">
        <f>IF(U1248="","MISSING",IF(AND(AA1248&gt;0,U1248/AA1248&gt;50),"POSSIBLE_SCALE_ERROR","OK"))</f>
        <v/>
      </c>
    </row>
    <row r="1249">
      <c r="A1249" t="inlineStr">
        <is>
          <t>T-2019-Q1-00017</t>
        </is>
      </c>
      <c r="B1249" t="inlineStr">
        <is>
          <t>MPSES</t>
        </is>
      </c>
      <c r="C1249" t="inlineStr">
        <is>
          <t>Parliamentary Secretary</t>
        </is>
      </c>
      <c r="D1249" t="inlineStr">
        <is>
          <t>Secrétaire parlementaire</t>
        </is>
      </c>
      <c r="E1249" t="inlineStr">
        <is>
          <t>Jean-Claude Poissant</t>
        </is>
      </c>
      <c r="F1249" t="inlineStr">
        <is>
          <t>To make an announcement at the Annual Meeting of the Éleveurs de volailles du Québec and to attend the Annual Meeting of the Producteurs laitiers du Québec</t>
        </is>
      </c>
      <c r="G1249" t="inlineStr">
        <is>
          <t>Pour une annonce à l'assemblée annuelle des Éleveurs de volailles du Québec et pour participer à l'assemblée annuelle des Producteurs laitiers du Québec</t>
        </is>
      </c>
      <c r="H1249" s="1" t="n">
        <v>43572</v>
      </c>
      <c r="I1249" s="1" t="n">
        <v>43573</v>
      </c>
      <c r="J1249" t="inlineStr">
        <is>
          <t>Quebec City, Quebec</t>
        </is>
      </c>
      <c r="K1249" t="inlineStr">
        <is>
          <t>Québec (Québec)</t>
        </is>
      </c>
      <c r="P1249" t="n">
        <v>0</v>
      </c>
      <c r="Q1249" t="n">
        <v>299.74</v>
      </c>
      <c r="R1249" t="n">
        <v>186.67</v>
      </c>
      <c r="S1249" t="n">
        <v>217.1</v>
      </c>
      <c r="T1249" t="n">
        <v>0</v>
      </c>
      <c r="U1249" t="n">
        <v>703.51</v>
      </c>
      <c r="X1249" t="inlineStr">
        <is>
          <t>aafc-aac</t>
        </is>
      </c>
      <c r="Y1249" t="inlineStr">
        <is>
          <t>Agriculture and Agri-Food Canada | Agriculture et Agroalimentaire Canada</t>
        </is>
      </c>
      <c r="Z1249" t="n">
        <v>2</v>
      </c>
      <c r="AA1249" t="n">
        <v>703.51</v>
      </c>
      <c r="AB1249">
        <f>ROUND(U1249-AA1249,2)</f>
        <v/>
      </c>
      <c r="AC1249" t="b">
        <v>0</v>
      </c>
      <c r="AD1249">
        <f>IF(U1249="","MISSING_TOTAL",IF(ABS(AB1249)&lt;=0.01,"OK","CHECK"))</f>
        <v/>
      </c>
      <c r="AE1249">
        <f>IF(U1249="","MISSING",IF(AND(AA1249&gt;0,U1249/AA1249&gt;50),"POSSIBLE_SCALE_ERROR","OK"))</f>
        <v/>
      </c>
    </row>
    <row r="1250">
      <c r="A1250" t="inlineStr">
        <is>
          <t>T-2019-Q1-00018</t>
        </is>
      </c>
      <c r="B1250" t="inlineStr">
        <is>
          <t>MPSES</t>
        </is>
      </c>
      <c r="C1250" t="inlineStr">
        <is>
          <t>Parliamentary Secretary</t>
        </is>
      </c>
      <c r="D1250" t="inlineStr">
        <is>
          <t>Secrétaire parlementaire</t>
        </is>
      </c>
      <c r="E1250" t="inlineStr">
        <is>
          <t>Jean-Claude Poissant</t>
        </is>
      </c>
      <c r="F1250" t="inlineStr">
        <is>
          <t>To attend SIAL (Salon International de l'alimentation)</t>
        </is>
      </c>
      <c r="G1250" t="inlineStr">
        <is>
          <t>Pour assister au Salon international de l'alimentation (SIAL)</t>
        </is>
      </c>
      <c r="H1250" s="1" t="n">
        <v>43585</v>
      </c>
      <c r="I1250" s="1" t="n">
        <v>43585</v>
      </c>
      <c r="J1250" t="inlineStr">
        <is>
          <t>Toronto, Ontario</t>
        </is>
      </c>
      <c r="K1250" t="inlineStr">
        <is>
          <t>Toronto (Ontario)</t>
        </is>
      </c>
      <c r="P1250" t="n">
        <v>764.71</v>
      </c>
      <c r="Q1250" t="n">
        <v>0</v>
      </c>
      <c r="R1250" t="n">
        <v>0</v>
      </c>
      <c r="S1250" t="n">
        <v>70.75</v>
      </c>
      <c r="T1250" t="n">
        <v>0</v>
      </c>
      <c r="U1250" t="n">
        <v>835.46</v>
      </c>
      <c r="X1250" t="inlineStr">
        <is>
          <t>aafc-aac</t>
        </is>
      </c>
      <c r="Y1250" t="inlineStr">
        <is>
          <t>Agriculture and Agri-Food Canada | Agriculture et Agroalimentaire Canada</t>
        </is>
      </c>
      <c r="Z1250" t="n">
        <v>1</v>
      </c>
      <c r="AA1250" t="n">
        <v>835.46</v>
      </c>
      <c r="AB1250">
        <f>ROUND(U1250-AA1250,2)</f>
        <v/>
      </c>
      <c r="AC1250" t="b">
        <v>0</v>
      </c>
      <c r="AD1250">
        <f>IF(U1250="","MISSING_TOTAL",IF(ABS(AB1250)&lt;=0.01,"OK","CHECK"))</f>
        <v/>
      </c>
      <c r="AE1250">
        <f>IF(U1250="","MISSING",IF(AND(AA1250&gt;0,U1250/AA1250&gt;50),"POSSIBLE_SCALE_ERROR","OK"))</f>
        <v/>
      </c>
    </row>
    <row r="1251">
      <c r="A1251" t="inlineStr">
        <is>
          <t>T-2019-Q1-00019</t>
        </is>
      </c>
      <c r="B1251" t="inlineStr">
        <is>
          <t>MPSES</t>
        </is>
      </c>
      <c r="C1251" t="inlineStr">
        <is>
          <t>Parliamentary Secretary</t>
        </is>
      </c>
      <c r="D1251" t="inlineStr">
        <is>
          <t>Secrétaire parlementaire</t>
        </is>
      </c>
      <c r="E1251" t="inlineStr">
        <is>
          <t>Jean-Claude Poissant</t>
        </is>
      </c>
      <c r="F1251" t="inlineStr">
        <is>
          <t>To attend a meeting with the Producteurs et Productrices acéricoles du Québec; announcements for small businesses and promotion of exportations in Saint-Damier-de-Buckland; visit La Fromagerie Les Rivières</t>
        </is>
      </c>
      <c r="G1251" t="inlineStr">
        <is>
          <t>Pour se réunir avec les Producteurs et productrices acéricoles du Québec; faire des annonces pour les petites entreprises; faire la promotion des exportations à Saint­Damien­de­Buckland; visiter la Fromagerie Les Rivières.</t>
        </is>
      </c>
      <c r="H1251" s="1" t="n">
        <v>43614</v>
      </c>
      <c r="I1251" s="1" t="n">
        <v>43614</v>
      </c>
      <c r="J1251" t="inlineStr">
        <is>
          <t>Quebec City, Quebec</t>
        </is>
      </c>
      <c r="K1251" t="inlineStr">
        <is>
          <t>Québec (Québec)</t>
        </is>
      </c>
      <c r="P1251" t="n">
        <v>1162.61</v>
      </c>
      <c r="Q1251" t="n">
        <v>24</v>
      </c>
      <c r="R1251" t="n">
        <v>0</v>
      </c>
      <c r="S1251" t="n">
        <v>91.25</v>
      </c>
      <c r="T1251" t="n">
        <v>0</v>
      </c>
      <c r="U1251" t="n">
        <v>1277.86</v>
      </c>
      <c r="X1251" t="inlineStr">
        <is>
          <t>aafc-aac</t>
        </is>
      </c>
      <c r="Y1251" t="inlineStr">
        <is>
          <t>Agriculture and Agri-Food Canada | Agriculture et Agroalimentaire Canada</t>
        </is>
      </c>
      <c r="Z1251" t="n">
        <v>1</v>
      </c>
      <c r="AA1251" t="n">
        <v>1277.86</v>
      </c>
      <c r="AB1251">
        <f>ROUND(U1251-AA1251,2)</f>
        <v/>
      </c>
      <c r="AC1251" t="b">
        <v>0</v>
      </c>
      <c r="AD1251">
        <f>IF(U1251="","MISSING_TOTAL",IF(ABS(AB1251)&lt;=0.01,"OK","CHECK"))</f>
        <v/>
      </c>
      <c r="AE1251">
        <f>IF(U1251="","MISSING",IF(AND(AA1251&gt;0,U1251/AA1251&gt;50),"POSSIBLE_SCALE_ERROR","OK"))</f>
        <v/>
      </c>
    </row>
    <row r="1252">
      <c r="A1252" t="inlineStr">
        <is>
          <t>T-2019-Q1-00020</t>
        </is>
      </c>
      <c r="B1252" t="inlineStr">
        <is>
          <t>SLE</t>
        </is>
      </c>
      <c r="C1252" t="inlineStr">
        <is>
          <t>Associate Deputy Minister</t>
        </is>
      </c>
      <c r="D1252" t="inlineStr">
        <is>
          <t>Sous-ministre déléguée</t>
        </is>
      </c>
      <c r="E1252" t="inlineStr">
        <is>
          <t>Annette Gibbons</t>
        </is>
      </c>
      <c r="F1252" t="inlineStr">
        <is>
          <t>Meeting with Stakeholders and staff in Alberta</t>
        </is>
      </c>
      <c r="G1252" t="inlineStr">
        <is>
          <t>Pour tenir des réunions avec le personnel et des intervenants en Alberta</t>
        </is>
      </c>
      <c r="H1252" s="1" t="n">
        <v>43536</v>
      </c>
      <c r="I1252" s="1" t="n">
        <v>43542</v>
      </c>
      <c r="J1252" t="inlineStr">
        <is>
          <t>Edmonton, Alberta; Red Deer, Aberta</t>
        </is>
      </c>
      <c r="K1252" t="inlineStr">
        <is>
          <t>Edmonton (Alberta); Red Deer (Alberta)</t>
        </is>
      </c>
      <c r="P1252" t="n">
        <v>944.85</v>
      </c>
      <c r="Q1252" t="n">
        <v>63</v>
      </c>
      <c r="R1252" t="n">
        <v>314.96</v>
      </c>
      <c r="S1252" t="n">
        <v>282.1</v>
      </c>
      <c r="T1252" t="n">
        <v>0</v>
      </c>
      <c r="U1252" t="n">
        <v>1604.91</v>
      </c>
      <c r="X1252" t="inlineStr">
        <is>
          <t>aafc-aac</t>
        </is>
      </c>
      <c r="Y1252" t="inlineStr">
        <is>
          <t>Agriculture and Agri-Food Canada | Agriculture et Agroalimentaire Canada</t>
        </is>
      </c>
      <c r="Z1252" t="n">
        <v>7</v>
      </c>
      <c r="AA1252" t="n">
        <v>1604.90999999999</v>
      </c>
      <c r="AB1252">
        <f>ROUND(U1252-AA1252,2)</f>
        <v/>
      </c>
      <c r="AC1252" t="b">
        <v>0</v>
      </c>
      <c r="AD1252">
        <f>IF(U1252="","MISSING_TOTAL",IF(ABS(AB1252)&lt;=0.01,"OK","CHECK"))</f>
        <v/>
      </c>
      <c r="AE1252">
        <f>IF(U1252="","MISSING",IF(AND(AA1252&gt;0,U1252/AA1252&gt;50),"POSSIBLE_SCALE_ERROR","OK"))</f>
        <v/>
      </c>
    </row>
    <row r="1253">
      <c r="A1253" t="inlineStr">
        <is>
          <t>T-2019-Q1-00021</t>
        </is>
      </c>
      <c r="B1253" t="inlineStr">
        <is>
          <t>SLE</t>
        </is>
      </c>
      <c r="C1253" t="inlineStr">
        <is>
          <t>Associate Deputy Minister</t>
        </is>
      </c>
      <c r="D1253" t="inlineStr">
        <is>
          <t>Sous-ministre déléguée</t>
        </is>
      </c>
      <c r="E1253" t="inlineStr">
        <is>
          <t>Annette Gibbons</t>
        </is>
      </c>
      <c r="F1253" t="inlineStr">
        <is>
          <t>To attend an Ontario Outreach</t>
        </is>
      </c>
      <c r="G1253" t="inlineStr">
        <is>
          <t>Pour participer à une campagne de sensibilisation en Ontario</t>
        </is>
      </c>
      <c r="H1253" s="1" t="n">
        <v>43558</v>
      </c>
      <c r="I1253" s="1" t="n">
        <v>43561</v>
      </c>
      <c r="J1253" t="inlineStr">
        <is>
          <t>Brantford, Ontario; Burlington, Ontario</t>
        </is>
      </c>
      <c r="K1253" t="inlineStr">
        <is>
          <t>Brantford (Ontario); Burlington (Ontario)</t>
        </is>
      </c>
      <c r="P1253" t="n">
        <v>423.92</v>
      </c>
      <c r="Q1253" t="n">
        <v>43.02</v>
      </c>
      <c r="R1253" t="n">
        <v>277.56</v>
      </c>
      <c r="S1253" t="n">
        <v>244.05</v>
      </c>
      <c r="T1253" t="n">
        <v>0</v>
      </c>
      <c r="U1253" t="n">
        <v>988.55</v>
      </c>
      <c r="X1253" t="inlineStr">
        <is>
          <t>aafc-aac</t>
        </is>
      </c>
      <c r="Y1253" t="inlineStr">
        <is>
          <t>Agriculture and Agri-Food Canada | Agriculture et Agroalimentaire Canada</t>
        </is>
      </c>
      <c r="Z1253" t="n">
        <v>4</v>
      </c>
      <c r="AA1253" t="n">
        <v>988.55</v>
      </c>
      <c r="AB1253">
        <f>ROUND(U1253-AA1253,2)</f>
        <v/>
      </c>
      <c r="AC1253" t="b">
        <v>0</v>
      </c>
      <c r="AD1253">
        <f>IF(U1253="","MISSING_TOTAL",IF(ABS(AB1253)&lt;=0.01,"OK","CHECK"))</f>
        <v/>
      </c>
      <c r="AE1253">
        <f>IF(U1253="","MISSING",IF(AND(AA1253&gt;0,U1253/AA1253&gt;50),"POSSIBLE_SCALE_ERROR","OK"))</f>
        <v/>
      </c>
    </row>
    <row r="1254">
      <c r="A1254" t="inlineStr">
        <is>
          <t>T-2019-Q1-00022</t>
        </is>
      </c>
      <c r="B1254" t="inlineStr">
        <is>
          <t>SLE</t>
        </is>
      </c>
      <c r="C1254" t="inlineStr">
        <is>
          <t>Associate Deputy Minister</t>
        </is>
      </c>
      <c r="D1254" t="inlineStr">
        <is>
          <t>Sous-ministre déléguée</t>
        </is>
      </c>
      <c r="E1254" t="inlineStr">
        <is>
          <t>Annette Gibbons</t>
        </is>
      </c>
      <c r="F1254" t="inlineStr">
        <is>
          <t>To attend a meeting with the Minister in Montreal</t>
        </is>
      </c>
      <c r="G1254" t="inlineStr">
        <is>
          <t>Pour participer à une réunion avec la Ministre à Montréal</t>
        </is>
      </c>
      <c r="H1254" s="1" t="n">
        <v>43577</v>
      </c>
      <c r="I1254" s="1" t="n">
        <v>43577</v>
      </c>
      <c r="J1254" t="inlineStr">
        <is>
          <t>Montreal, Quebec</t>
        </is>
      </c>
      <c r="K1254" t="inlineStr">
        <is>
          <t>Montréal (Québec)</t>
        </is>
      </c>
      <c r="P1254" t="n">
        <v>0</v>
      </c>
      <c r="Q1254" t="n">
        <v>148.48</v>
      </c>
      <c r="S1254" t="n">
        <v>20.1</v>
      </c>
      <c r="T1254" t="n">
        <v>0</v>
      </c>
      <c r="U1254" t="n">
        <v>168.58</v>
      </c>
      <c r="X1254" t="inlineStr">
        <is>
          <t>aafc-aac</t>
        </is>
      </c>
      <c r="Y1254" t="inlineStr">
        <is>
          <t>Agriculture and Agri-Food Canada | Agriculture et Agroalimentaire Canada</t>
        </is>
      </c>
      <c r="Z1254" t="n">
        <v>1</v>
      </c>
      <c r="AA1254" t="n">
        <v>168.579999999999</v>
      </c>
      <c r="AB1254">
        <f>ROUND(U1254-AA1254,2)</f>
        <v/>
      </c>
      <c r="AC1254" t="b">
        <v>0</v>
      </c>
      <c r="AD1254">
        <f>IF(U1254="","MISSING_TOTAL",IF(ABS(AB1254)&lt;=0.01,"OK","CHECK"))</f>
        <v/>
      </c>
      <c r="AE1254">
        <f>IF(U1254="","MISSING",IF(AND(AA1254&gt;0,U1254/AA1254&gt;50),"POSSIBLE_SCALE_ERROR","OK"))</f>
        <v/>
      </c>
    </row>
    <row r="1255">
      <c r="A1255" t="inlineStr">
        <is>
          <t>T-2019-Q1-00023</t>
        </is>
      </c>
      <c r="B1255" t="inlineStr">
        <is>
          <t>SLE</t>
        </is>
      </c>
      <c r="C1255" t="inlineStr">
        <is>
          <t>Associate Deputy Minister</t>
        </is>
      </c>
      <c r="D1255" t="inlineStr">
        <is>
          <t>Sous-ministre déléguée</t>
        </is>
      </c>
      <c r="E1255" t="inlineStr">
        <is>
          <t>Annette Gibbons</t>
        </is>
      </c>
      <c r="F1255" t="inlineStr">
        <is>
          <t>To accompany the Minister to the G20 Niigata Agriculture Ministers' Meeting</t>
        </is>
      </c>
      <c r="G1255" t="inlineStr">
        <is>
          <t>Pour accompagner la Ministre à la réunion des ministres de l'Agriculture du G20 à Niigata, au Japon</t>
        </is>
      </c>
      <c r="H1255" s="1" t="n">
        <v>43594</v>
      </c>
      <c r="I1255" s="1" t="n">
        <v>43599</v>
      </c>
      <c r="J1255" t="inlineStr">
        <is>
          <t>Niigata, Japan; Tokyo, Japan</t>
        </is>
      </c>
      <c r="K1255" t="inlineStr">
        <is>
          <t>Niigata (Japon); Tokyo (Japon)</t>
        </is>
      </c>
      <c r="P1255" t="n">
        <v>5333.48</v>
      </c>
      <c r="Q1255" t="n">
        <v>41.2</v>
      </c>
      <c r="R1255" t="n">
        <v>918.83</v>
      </c>
      <c r="S1255" t="n">
        <v>386.28</v>
      </c>
      <c r="T1255" t="n">
        <v>0</v>
      </c>
      <c r="U1255" t="n">
        <v>6679.79</v>
      </c>
      <c r="X1255" t="inlineStr">
        <is>
          <t>aafc-aac</t>
        </is>
      </c>
      <c r="Y1255" t="inlineStr">
        <is>
          <t>Agriculture and Agri-Food Canada | Agriculture et Agroalimentaire Canada</t>
        </is>
      </c>
      <c r="Z1255" t="n">
        <v>6</v>
      </c>
      <c r="AA1255" t="n">
        <v>6679.78999999999</v>
      </c>
      <c r="AB1255">
        <f>ROUND(U1255-AA1255,2)</f>
        <v/>
      </c>
      <c r="AC1255" t="b">
        <v>0</v>
      </c>
      <c r="AD1255">
        <f>IF(U1255="","MISSING_TOTAL",IF(ABS(AB1255)&lt;=0.01,"OK","CHECK"))</f>
        <v/>
      </c>
      <c r="AE1255">
        <f>IF(U1255="","MISSING",IF(AND(AA1255&gt;0,U1255/AA1255&gt;50),"POSSIBLE_SCALE_ERROR","OK"))</f>
        <v/>
      </c>
    </row>
    <row r="1256">
      <c r="A1256" t="inlineStr">
        <is>
          <t>T-2019-Q1-00024</t>
        </is>
      </c>
      <c r="B1256" t="inlineStr">
        <is>
          <t>SLE</t>
        </is>
      </c>
      <c r="C1256" t="inlineStr">
        <is>
          <t>Deputy Minister</t>
        </is>
      </c>
      <c r="D1256" t="inlineStr">
        <is>
          <t>Sous-ministre</t>
        </is>
      </c>
      <c r="E1256" t="inlineStr">
        <is>
          <t>Chris Forbes</t>
        </is>
      </c>
      <c r="F1256" t="inlineStr">
        <is>
          <t>To attend the Conference Board of Canada Canadian Food and Drink Summit 2019</t>
        </is>
      </c>
      <c r="G1256" t="inlineStr">
        <is>
          <t>Pour assister au Sommet canadien de 2019 sur l'alimentation et les boissons du Conference Board of Canada</t>
        </is>
      </c>
      <c r="H1256" s="1" t="n">
        <v>43551</v>
      </c>
      <c r="I1256" s="1" t="n">
        <v>43553</v>
      </c>
      <c r="J1256" t="inlineStr">
        <is>
          <t>Toronto, Ontario</t>
        </is>
      </c>
      <c r="K1256" t="inlineStr">
        <is>
          <t>Toronto (Ontario)</t>
        </is>
      </c>
      <c r="P1256" t="n">
        <v>449.85</v>
      </c>
      <c r="Q1256" t="n">
        <v>0</v>
      </c>
      <c r="R1256" t="n">
        <v>420.72</v>
      </c>
      <c r="S1256" t="n">
        <v>140.1</v>
      </c>
      <c r="T1256" t="n">
        <v>0</v>
      </c>
      <c r="U1256" t="n">
        <v>1010.67</v>
      </c>
      <c r="X1256" t="inlineStr">
        <is>
          <t>aafc-aac</t>
        </is>
      </c>
      <c r="Y1256" t="inlineStr">
        <is>
          <t>Agriculture and Agri-Food Canada | Agriculture et Agroalimentaire Canada</t>
        </is>
      </c>
      <c r="Z1256" t="n">
        <v>3</v>
      </c>
      <c r="AA1256" t="n">
        <v>1010.67</v>
      </c>
      <c r="AB1256">
        <f>ROUND(U1256-AA1256,2)</f>
        <v/>
      </c>
      <c r="AC1256" t="b">
        <v>0</v>
      </c>
      <c r="AD1256">
        <f>IF(U1256="","MISSING_TOTAL",IF(ABS(AB1256)&lt;=0.01,"OK","CHECK"))</f>
        <v/>
      </c>
      <c r="AE1256">
        <f>IF(U1256="","MISSING",IF(AND(AA1256&gt;0,U1256/AA1256&gt;50),"POSSIBLE_SCALE_ERROR","OK"))</f>
        <v/>
      </c>
    </row>
    <row r="1257">
      <c r="A1257" t="inlineStr">
        <is>
          <t>T-2019-Q1-00025</t>
        </is>
      </c>
      <c r="B1257" t="inlineStr">
        <is>
          <t>SLE</t>
        </is>
      </c>
      <c r="C1257" t="inlineStr">
        <is>
          <t>Deputy Minister</t>
        </is>
      </c>
      <c r="D1257" t="inlineStr">
        <is>
          <t>Sous-ministre</t>
        </is>
      </c>
      <c r="E1257" t="inlineStr">
        <is>
          <t>Chris Forbes</t>
        </is>
      </c>
      <c r="F1257" t="inlineStr">
        <is>
          <t>To attend the Public Policy Forum Testimonial Dinner and Awards</t>
        </is>
      </c>
      <c r="G1257" t="inlineStr">
        <is>
          <t>Pour participer au banquet et à la remise de Prix d’honneur 2019 du Forum des politiques publiques</t>
        </is>
      </c>
      <c r="H1257" s="1" t="n">
        <v>43566</v>
      </c>
      <c r="I1257" s="1" t="n">
        <v>43567</v>
      </c>
      <c r="J1257" t="inlineStr">
        <is>
          <t>Toronto, Ontario</t>
        </is>
      </c>
      <c r="K1257" t="inlineStr">
        <is>
          <t>Toronto (Ontario)</t>
        </is>
      </c>
      <c r="P1257" t="n">
        <v>574.63</v>
      </c>
      <c r="Q1257" t="n">
        <v>0</v>
      </c>
      <c r="R1257" t="n">
        <v>280.87</v>
      </c>
      <c r="S1257" t="n">
        <v>20.5</v>
      </c>
      <c r="T1257" t="n">
        <v>0</v>
      </c>
      <c r="U1257" t="n">
        <v>876</v>
      </c>
      <c r="X1257" t="inlineStr">
        <is>
          <t>aafc-aac</t>
        </is>
      </c>
      <c r="Y1257" t="inlineStr">
        <is>
          <t>Agriculture and Agri-Food Canada | Agriculture et Agroalimentaire Canada</t>
        </is>
      </c>
      <c r="Z1257" t="n">
        <v>2</v>
      </c>
      <c r="AA1257" t="n">
        <v>876</v>
      </c>
      <c r="AB1257">
        <f>ROUND(U1257-AA1257,2)</f>
        <v/>
      </c>
      <c r="AC1257" t="b">
        <v>0</v>
      </c>
      <c r="AD1257">
        <f>IF(U1257="","MISSING_TOTAL",IF(ABS(AB1257)&lt;=0.01,"OK","CHECK"))</f>
        <v/>
      </c>
      <c r="AE1257">
        <f>IF(U1257="","MISSING",IF(AND(AA1257&gt;0,U1257/AA1257&gt;50),"POSSIBLE_SCALE_ERROR","OK"))</f>
        <v/>
      </c>
    </row>
    <row r="1258">
      <c r="A1258" t="inlineStr">
        <is>
          <t>T-2019-Q1-00026</t>
        </is>
      </c>
      <c r="B1258" t="inlineStr">
        <is>
          <t>SLE</t>
        </is>
      </c>
      <c r="C1258" t="inlineStr">
        <is>
          <t>Deputy Minister</t>
        </is>
      </c>
      <c r="D1258" t="inlineStr">
        <is>
          <t>Sous-ministre</t>
        </is>
      </c>
      <c r="E1258" t="inlineStr">
        <is>
          <t>Chris Forbes</t>
        </is>
      </c>
      <c r="F1258" t="inlineStr">
        <is>
          <t>To attend and chair a Canola Working Group meeting</t>
        </is>
      </c>
      <c r="G1258" t="inlineStr">
        <is>
          <t>Pour participer à une réunion du groupe de travail sur le canola et la présider</t>
        </is>
      </c>
      <c r="H1258" s="1" t="n">
        <v>43573</v>
      </c>
      <c r="I1258" s="1" t="n">
        <v>43573</v>
      </c>
      <c r="J1258" t="inlineStr">
        <is>
          <t>Winnipeg, Manitoba</t>
        </is>
      </c>
      <c r="K1258" t="inlineStr">
        <is>
          <t>Winnipeg (Manitoba)</t>
        </is>
      </c>
      <c r="P1258" t="n">
        <v>1723.06</v>
      </c>
      <c r="Q1258" t="n">
        <v>0</v>
      </c>
      <c r="R1258" t="n">
        <v>0</v>
      </c>
      <c r="S1258" t="n">
        <v>20.1</v>
      </c>
      <c r="T1258" t="n">
        <v>0</v>
      </c>
      <c r="U1258" t="n">
        <v>1743.16</v>
      </c>
      <c r="X1258" t="inlineStr">
        <is>
          <t>aafc-aac</t>
        </is>
      </c>
      <c r="Y1258" t="inlineStr">
        <is>
          <t>Agriculture and Agri-Food Canada | Agriculture et Agroalimentaire Canada</t>
        </is>
      </c>
      <c r="Z1258" t="n">
        <v>1</v>
      </c>
      <c r="AA1258" t="n">
        <v>1743.15999999999</v>
      </c>
      <c r="AB1258">
        <f>ROUND(U1258-AA1258,2)</f>
        <v/>
      </c>
      <c r="AC1258" t="b">
        <v>0</v>
      </c>
      <c r="AD1258">
        <f>IF(U1258="","MISSING_TOTAL",IF(ABS(AB1258)&lt;=0.01,"OK","CHECK"))</f>
        <v/>
      </c>
      <c r="AE1258">
        <f>IF(U1258="","MISSING",IF(AND(AA1258&gt;0,U1258/AA1258&gt;50),"POSSIBLE_SCALE_ERROR","OK"))</f>
        <v/>
      </c>
    </row>
    <row r="1259">
      <c r="A1259" t="inlineStr">
        <is>
          <t>T-2019-Q1-00027</t>
        </is>
      </c>
      <c r="B1259" t="inlineStr">
        <is>
          <t>SLE</t>
        </is>
      </c>
      <c r="C1259" t="inlineStr">
        <is>
          <t>Deputy Minister</t>
        </is>
      </c>
      <c r="D1259" t="inlineStr">
        <is>
          <t>Sous-ministre</t>
        </is>
      </c>
      <c r="E1259" t="inlineStr">
        <is>
          <t>Chris Forbes</t>
        </is>
      </c>
      <c r="F1259" t="inlineStr">
        <is>
          <t>To attend a meeting with the Minister in Montreal</t>
        </is>
      </c>
      <c r="G1259" t="inlineStr">
        <is>
          <t>Pour participer à une réunion avec la Ministre à Montréal</t>
        </is>
      </c>
      <c r="H1259" s="1" t="n">
        <v>43577</v>
      </c>
      <c r="I1259" s="1" t="n">
        <v>43577</v>
      </c>
      <c r="J1259" t="inlineStr">
        <is>
          <t>Montreal, Quebec</t>
        </is>
      </c>
      <c r="K1259" t="inlineStr">
        <is>
          <t>Montréal (Québec)</t>
        </is>
      </c>
      <c r="P1259" t="n">
        <v>0</v>
      </c>
      <c r="Q1259" t="n">
        <v>177.13</v>
      </c>
      <c r="R1259" t="n">
        <v>0</v>
      </c>
      <c r="S1259" t="n">
        <v>20.1</v>
      </c>
      <c r="T1259" t="n">
        <v>0</v>
      </c>
      <c r="U1259" t="n">
        <v>197.23</v>
      </c>
      <c r="X1259" t="inlineStr">
        <is>
          <t>aafc-aac</t>
        </is>
      </c>
      <c r="Y1259" t="inlineStr">
        <is>
          <t>Agriculture and Agri-Food Canada | Agriculture et Agroalimentaire Canada</t>
        </is>
      </c>
      <c r="Z1259" t="n">
        <v>1</v>
      </c>
      <c r="AA1259" t="n">
        <v>197.23</v>
      </c>
      <c r="AB1259">
        <f>ROUND(U1259-AA1259,2)</f>
        <v/>
      </c>
      <c r="AC1259" t="b">
        <v>0</v>
      </c>
      <c r="AD1259">
        <f>IF(U1259="","MISSING_TOTAL",IF(ABS(AB1259)&lt;=0.01,"OK","CHECK"))</f>
        <v/>
      </c>
      <c r="AE1259">
        <f>IF(U1259="","MISSING",IF(AND(AA1259&gt;0,U1259/AA1259&gt;50),"POSSIBLE_SCALE_ERROR","OK"))</f>
        <v/>
      </c>
    </row>
    <row r="1260">
      <c r="A1260" t="inlineStr">
        <is>
          <t>T-2019-Q1-00028</t>
        </is>
      </c>
      <c r="B1260" t="inlineStr">
        <is>
          <t>SLE</t>
        </is>
      </c>
      <c r="C1260" t="inlineStr">
        <is>
          <t>Deputy Minister</t>
        </is>
      </c>
      <c r="D1260" t="inlineStr">
        <is>
          <t>Sous-ministre</t>
        </is>
      </c>
      <c r="E1260" t="inlineStr">
        <is>
          <t>Chris Forbes</t>
        </is>
      </c>
      <c r="F1260" t="inlineStr">
        <is>
          <t>To attend and chair a Canola Working Group meeting</t>
        </is>
      </c>
      <c r="G1260" t="inlineStr">
        <is>
          <t>Pour participer à une réunion du groupe de travail sur le canola et la présider</t>
        </is>
      </c>
      <c r="H1260" s="1" t="n">
        <v>43586</v>
      </c>
      <c r="I1260" s="1" t="n">
        <v>43587</v>
      </c>
      <c r="J1260" t="inlineStr">
        <is>
          <t>Calgary, Alberta</t>
        </is>
      </c>
      <c r="K1260" t="inlineStr">
        <is>
          <t>Calgary (Alberta)</t>
        </is>
      </c>
      <c r="P1260" t="n">
        <v>3253.53</v>
      </c>
      <c r="Q1260" t="n">
        <v>35.43</v>
      </c>
      <c r="R1260" t="n">
        <v>245.87</v>
      </c>
      <c r="S1260" t="n">
        <v>71.15000000000001</v>
      </c>
      <c r="T1260" t="n">
        <v>0</v>
      </c>
      <c r="U1260" t="n">
        <v>3605.98</v>
      </c>
      <c r="X1260" t="inlineStr">
        <is>
          <t>aafc-aac</t>
        </is>
      </c>
      <c r="Y1260" t="inlineStr">
        <is>
          <t>Agriculture and Agri-Food Canada | Agriculture et Agroalimentaire Canada</t>
        </is>
      </c>
      <c r="Z1260" t="n">
        <v>2</v>
      </c>
      <c r="AA1260" t="n">
        <v>3605.98</v>
      </c>
      <c r="AB1260">
        <f>ROUND(U1260-AA1260,2)</f>
        <v/>
      </c>
      <c r="AC1260" t="b">
        <v>0</v>
      </c>
      <c r="AD1260">
        <f>IF(U1260="","MISSING_TOTAL",IF(ABS(AB1260)&lt;=0.01,"OK","CHECK"))</f>
        <v/>
      </c>
      <c r="AE1260">
        <f>IF(U1260="","MISSING",IF(AND(AA1260&gt;0,U1260/AA1260&gt;50),"POSSIBLE_SCALE_ERROR","OK"))</f>
        <v/>
      </c>
    </row>
    <row r="1261">
      <c r="A1261" t="inlineStr">
        <is>
          <t>T-2019-Q1-00031</t>
        </is>
      </c>
      <c r="B1261" t="inlineStr">
        <is>
          <t>SLE</t>
        </is>
      </c>
      <c r="C1261" t="inlineStr">
        <is>
          <t>Assistant deputy minister, Science and Technology Branch</t>
        </is>
      </c>
      <c r="D1261" t="inlineStr">
        <is>
          <t>Sous-ministre adjoint, Direction générale des sciences et de la technologie</t>
        </is>
      </c>
      <c r="E1261" t="inlineStr">
        <is>
          <t>Brian T. Gray</t>
        </is>
      </c>
      <c r="F1261" t="inlineStr">
        <is>
          <t>Indigenous Network Circle Face to Face</t>
        </is>
      </c>
      <c r="G1261" t="inlineStr">
        <is>
          <t>Réunion en personne du Cercle de réseautage des employés autochtones</t>
        </is>
      </c>
      <c r="H1261" s="1" t="n">
        <v>43528</v>
      </c>
      <c r="I1261" s="1" t="n">
        <v>43531</v>
      </c>
      <c r="J1261" t="inlineStr">
        <is>
          <t>Winnipeg, Manitoba</t>
        </is>
      </c>
      <c r="K1261" t="inlineStr">
        <is>
          <t>Winnipeg (Manitoba)</t>
        </is>
      </c>
      <c r="P1261" t="n">
        <v>675.15</v>
      </c>
      <c r="Q1261" t="n">
        <v>136.77</v>
      </c>
      <c r="R1261" t="n">
        <v>478.92</v>
      </c>
      <c r="S1261" t="n">
        <v>239.05</v>
      </c>
      <c r="T1261" t="n">
        <v>0</v>
      </c>
      <c r="U1261" t="n">
        <v>1529.89</v>
      </c>
      <c r="X1261" t="inlineStr">
        <is>
          <t>aafc-aac</t>
        </is>
      </c>
      <c r="Y1261" t="inlineStr">
        <is>
          <t>Agriculture and Agri-Food Canada | Agriculture et Agroalimentaire Canada</t>
        </is>
      </c>
      <c r="Z1261" t="n">
        <v>4</v>
      </c>
      <c r="AA1261" t="n">
        <v>1529.88999999999</v>
      </c>
      <c r="AB1261">
        <f>ROUND(U1261-AA1261,2)</f>
        <v/>
      </c>
      <c r="AC1261" t="b">
        <v>0</v>
      </c>
      <c r="AD1261">
        <f>IF(U1261="","MISSING_TOTAL",IF(ABS(AB1261)&lt;=0.01,"OK","CHECK"))</f>
        <v/>
      </c>
      <c r="AE1261">
        <f>IF(U1261="","MISSING",IF(AND(AA1261&gt;0,U1261/AA1261&gt;50),"POSSIBLE_SCALE_ERROR","OK"))</f>
        <v/>
      </c>
    </row>
    <row r="1262">
      <c r="A1262" t="inlineStr">
        <is>
          <t>T-2019-Q1-00032</t>
        </is>
      </c>
      <c r="B1262" t="inlineStr">
        <is>
          <t>SLE</t>
        </is>
      </c>
      <c r="C1262" t="inlineStr">
        <is>
          <t>Assistant deputy minister, Science and Technology Branch</t>
        </is>
      </c>
      <c r="D1262" t="inlineStr">
        <is>
          <t>Sous-ministre adjoint, Direction générale des sciences et de la technologie</t>
        </is>
      </c>
      <c r="E1262" t="inlineStr">
        <is>
          <t>Brian T. Gray</t>
        </is>
      </c>
      <c r="F1262" t="inlineStr">
        <is>
          <t>To attend Tetrapartite Annual Meeting 2019</t>
        </is>
      </c>
      <c r="G1262" t="inlineStr">
        <is>
          <t>Participer à la rencontre annuelle tétrapartite de 2019</t>
        </is>
      </c>
      <c r="H1262" s="1" t="n">
        <v>43534</v>
      </c>
      <c r="I1262" s="1" t="n">
        <v>43538</v>
      </c>
      <c r="J1262" t="inlineStr">
        <is>
          <t>Lodi, California</t>
        </is>
      </c>
      <c r="K1262" t="inlineStr">
        <is>
          <t>Lodi (Californie)</t>
        </is>
      </c>
      <c r="P1262" t="n">
        <v>1412.11</v>
      </c>
      <c r="Q1262" t="n">
        <v>158.19</v>
      </c>
      <c r="R1262" t="n">
        <v>1192.22</v>
      </c>
      <c r="S1262" t="n">
        <v>278.2</v>
      </c>
      <c r="T1262" t="n">
        <v>0</v>
      </c>
      <c r="U1262" t="n">
        <v>3040.72</v>
      </c>
      <c r="X1262" t="inlineStr">
        <is>
          <t>aafc-aac</t>
        </is>
      </c>
      <c r="Y1262" t="inlineStr">
        <is>
          <t>Agriculture and Agri-Food Canada | Agriculture et Agroalimentaire Canada</t>
        </is>
      </c>
      <c r="Z1262" t="n">
        <v>5</v>
      </c>
      <c r="AA1262" t="n">
        <v>3040.72</v>
      </c>
      <c r="AB1262">
        <f>ROUND(U1262-AA1262,2)</f>
        <v/>
      </c>
      <c r="AC1262" t="b">
        <v>0</v>
      </c>
      <c r="AD1262">
        <f>IF(U1262="","MISSING_TOTAL",IF(ABS(AB1262)&lt;=0.01,"OK","CHECK"))</f>
        <v/>
      </c>
      <c r="AE1262">
        <f>IF(U1262="","MISSING",IF(AND(AA1262&gt;0,U1262/AA1262&gt;50),"POSSIBLE_SCALE_ERROR","OK"))</f>
        <v/>
      </c>
    </row>
    <row r="1263">
      <c r="A1263" t="inlineStr">
        <is>
          <t>T-2019-Q1-00033</t>
        </is>
      </c>
      <c r="B1263" t="inlineStr">
        <is>
          <t>SLE</t>
        </is>
      </c>
      <c r="C1263" t="inlineStr">
        <is>
          <t>Assistant deputy minister, Science and Technology Branch</t>
        </is>
      </c>
      <c r="D1263" t="inlineStr">
        <is>
          <t>Sous-ministre adjoint, Direction générale des sciences et de la technologie</t>
        </is>
      </c>
      <c r="E1263" t="inlineStr">
        <is>
          <t>Brian T. Gray</t>
        </is>
      </c>
      <c r="F1263" t="inlineStr">
        <is>
          <t>Outreach to the Reasearch and Developpement Centre, All-Staff meeting and meeting with Provincial Counterparts.</t>
        </is>
      </c>
      <c r="G1263" t="inlineStr">
        <is>
          <t>Visite de sensibilisation au Centre de recherche et de développement, réunion avec tout le personnel et réunions avec des homologues provinciaux</t>
        </is>
      </c>
      <c r="H1263" s="1" t="n">
        <v>43550</v>
      </c>
      <c r="I1263" s="1" t="n">
        <v>43553</v>
      </c>
      <c r="J1263" t="inlineStr">
        <is>
          <t>Lethbridge, Alberta</t>
        </is>
      </c>
      <c r="K1263" t="inlineStr">
        <is>
          <t>Lethbridge (Alberta)</t>
        </is>
      </c>
      <c r="P1263" t="n">
        <v>920.62</v>
      </c>
      <c r="Q1263" t="n">
        <v>139.68</v>
      </c>
      <c r="R1263" t="n">
        <v>620.76</v>
      </c>
      <c r="S1263" t="n">
        <v>339.5</v>
      </c>
      <c r="T1263" t="n">
        <v>0</v>
      </c>
      <c r="U1263" t="n">
        <v>2020.56</v>
      </c>
      <c r="X1263" t="inlineStr">
        <is>
          <t>aafc-aac</t>
        </is>
      </c>
      <c r="Y1263" t="inlineStr">
        <is>
          <t>Agriculture and Agri-Food Canada | Agriculture et Agroalimentaire Canada</t>
        </is>
      </c>
      <c r="Z1263" t="n">
        <v>4</v>
      </c>
      <c r="AA1263" t="n">
        <v>2020.56</v>
      </c>
      <c r="AB1263">
        <f>ROUND(U1263-AA1263,2)</f>
        <v/>
      </c>
      <c r="AC1263" t="b">
        <v>0</v>
      </c>
      <c r="AD1263">
        <f>IF(U1263="","MISSING_TOTAL",IF(ABS(AB1263)&lt;=0.01,"OK","CHECK"))</f>
        <v/>
      </c>
      <c r="AE1263">
        <f>IF(U1263="","MISSING",IF(AND(AA1263&gt;0,U1263/AA1263&gt;50),"POSSIBLE_SCALE_ERROR","OK"))</f>
        <v/>
      </c>
    </row>
    <row r="1264">
      <c r="A1264" t="inlineStr">
        <is>
          <t>T-2019-Q1-00034</t>
        </is>
      </c>
      <c r="B1264" t="inlineStr">
        <is>
          <t>SLE</t>
        </is>
      </c>
      <c r="C1264" t="inlineStr">
        <is>
          <t>Assistant deputy minister, Science and Technology Branch</t>
        </is>
      </c>
      <c r="D1264" t="inlineStr">
        <is>
          <t>Sous-ministre adjoint, Direction générale des sciences et de la technologie</t>
        </is>
      </c>
      <c r="E1264" t="inlineStr">
        <is>
          <t>Brian T. Gray</t>
        </is>
      </c>
      <c r="F1264" t="inlineStr">
        <is>
          <t>Outreach to the Reasearch and Developpement Centre, All-Staff meeting and meeting with Provincial Counterparts.</t>
        </is>
      </c>
      <c r="G1264" t="inlineStr">
        <is>
          <t>Visite de sensibilisation au Centre de recherche et de développement, réunion avec tout le personnel et réunions avec des homologues provinciaux</t>
        </is>
      </c>
      <c r="H1264" s="1" t="n">
        <v>43564</v>
      </c>
      <c r="I1264" s="1" t="n">
        <v>43566</v>
      </c>
      <c r="J1264" t="inlineStr">
        <is>
          <t>Brandon / Winnipeg, Manitoba</t>
        </is>
      </c>
      <c r="K1264" t="inlineStr">
        <is>
          <t>Brandon/ Winnipeg (Manitoba)</t>
        </is>
      </c>
      <c r="P1264" t="n">
        <v>551.98</v>
      </c>
      <c r="Q1264" t="n">
        <v>108.85</v>
      </c>
      <c r="R1264" t="n">
        <v>270.14</v>
      </c>
      <c r="S1264" t="n">
        <v>264.15</v>
      </c>
      <c r="T1264" t="n">
        <v>0</v>
      </c>
      <c r="U1264" t="n">
        <v>1195.12</v>
      </c>
      <c r="X1264" t="inlineStr">
        <is>
          <t>aafc-aac</t>
        </is>
      </c>
      <c r="Y1264" t="inlineStr">
        <is>
          <t>Agriculture and Agri-Food Canada | Agriculture et Agroalimentaire Canada</t>
        </is>
      </c>
      <c r="Z1264" t="n">
        <v>3</v>
      </c>
      <c r="AA1264" t="n">
        <v>1195.12</v>
      </c>
      <c r="AB1264">
        <f>ROUND(U1264-AA1264,2)</f>
        <v/>
      </c>
      <c r="AC1264" t="b">
        <v>0</v>
      </c>
      <c r="AD1264">
        <f>IF(U1264="","MISSING_TOTAL",IF(ABS(AB1264)&lt;=0.01,"OK","CHECK"))</f>
        <v/>
      </c>
      <c r="AE1264">
        <f>IF(U1264="","MISSING",IF(AND(AA1264&gt;0,U1264/AA1264&gt;50),"POSSIBLE_SCALE_ERROR","OK"))</f>
        <v/>
      </c>
    </row>
    <row r="1265">
      <c r="A1265" t="inlineStr">
        <is>
          <t>T-2019-Q1-00035</t>
        </is>
      </c>
      <c r="B1265" t="inlineStr">
        <is>
          <t>SLE</t>
        </is>
      </c>
      <c r="C1265" t="inlineStr">
        <is>
          <t>Assistant deputy minister, Science and Technology Branch</t>
        </is>
      </c>
      <c r="D1265" t="inlineStr">
        <is>
          <t>Sous-ministre adjoint, Direction générale des sciences et de la technologie</t>
        </is>
      </c>
      <c r="E1265" t="inlineStr">
        <is>
          <t>Brian T. Gray</t>
        </is>
      </c>
      <c r="F1265" t="inlineStr">
        <is>
          <t>To accompany the Minister to the G20 Niigata Agriculture Ministers' Meeting</t>
        </is>
      </c>
      <c r="G1265" t="inlineStr">
        <is>
          <t>Pour accompagner la Ministre à la réunion des ministres de l'Agriculture du G20 à Niigata, au Japon</t>
        </is>
      </c>
      <c r="H1265" s="1" t="n">
        <v>43577</v>
      </c>
      <c r="I1265" s="1" t="n">
        <v>43581</v>
      </c>
      <c r="J1265" t="inlineStr">
        <is>
          <t>Tokyo, Japan</t>
        </is>
      </c>
      <c r="K1265" t="inlineStr">
        <is>
          <t>Tokyo (Japon)</t>
        </is>
      </c>
      <c r="P1265" t="n">
        <v>6195.1</v>
      </c>
      <c r="Q1265" t="n">
        <v>213.64</v>
      </c>
      <c r="R1265" t="n">
        <v>628.8099999999999</v>
      </c>
      <c r="S1265" t="n">
        <v>253.6</v>
      </c>
      <c r="T1265" t="n">
        <v>0</v>
      </c>
      <c r="U1265" t="n">
        <v>7291.15</v>
      </c>
      <c r="X1265" t="inlineStr">
        <is>
          <t>aafc-aac</t>
        </is>
      </c>
      <c r="Y1265" t="inlineStr">
        <is>
          <t>Agriculture and Agri-Food Canada | Agriculture et Agroalimentaire Canada</t>
        </is>
      </c>
      <c r="Z1265" t="n">
        <v>5</v>
      </c>
      <c r="AA1265" t="n">
        <v>7291.15</v>
      </c>
      <c r="AB1265">
        <f>ROUND(U1265-AA1265,2)</f>
        <v/>
      </c>
      <c r="AC1265" t="b">
        <v>0</v>
      </c>
      <c r="AD1265">
        <f>IF(U1265="","MISSING_TOTAL",IF(ABS(AB1265)&lt;=0.01,"OK","CHECK"))</f>
        <v/>
      </c>
      <c r="AE1265">
        <f>IF(U1265="","MISSING",IF(AND(AA1265&gt;0,U1265/AA1265&gt;50),"POSSIBLE_SCALE_ERROR","OK"))</f>
        <v/>
      </c>
    </row>
    <row r="1266">
      <c r="A1266" t="inlineStr">
        <is>
          <t>T-2019-Q1-00036</t>
        </is>
      </c>
      <c r="B1266" t="inlineStr">
        <is>
          <t>SLE</t>
        </is>
      </c>
      <c r="C1266" t="inlineStr">
        <is>
          <t>Assistant deputy minister, Science and Technology Branch</t>
        </is>
      </c>
      <c r="D1266" t="inlineStr">
        <is>
          <t>Sous-ministre adjoint, Direction générale des sciences et de la technologie</t>
        </is>
      </c>
      <c r="E1266" t="inlineStr">
        <is>
          <t>Brian T. Gray</t>
        </is>
      </c>
      <c r="F1266" t="inlineStr">
        <is>
          <t>Branch Executive Committee Face to Face and Outreach to the Reasearch and Developpement Centre, All-Staff meeting and meeting with Provincial Counterparts.</t>
        </is>
      </c>
      <c r="G1266" t="inlineStr">
        <is>
          <t>Réunion en personne du Comité des cadres de la direction générale, visite de sensibilisation au Centre de recherche et de développement, réunion avec tout le personnel et réunion avec des homologues provinciaux</t>
        </is>
      </c>
      <c r="H1266" s="1" t="n">
        <v>43593</v>
      </c>
      <c r="I1266" s="1" t="n">
        <v>43595</v>
      </c>
      <c r="J1266" t="inlineStr">
        <is>
          <t>Harrow, Ontario</t>
        </is>
      </c>
      <c r="K1266" t="inlineStr">
        <is>
          <t>Harrow (Ontario)</t>
        </is>
      </c>
      <c r="P1266" t="n">
        <v>572.2</v>
      </c>
      <c r="Q1266" t="n">
        <v>178.86</v>
      </c>
      <c r="R1266" t="n">
        <v>201.14</v>
      </c>
      <c r="S1266" t="n">
        <v>254.5</v>
      </c>
      <c r="T1266" t="n">
        <v>0</v>
      </c>
      <c r="U1266" t="n">
        <v>1206.7</v>
      </c>
      <c r="X1266" t="inlineStr">
        <is>
          <t>aafc-aac</t>
        </is>
      </c>
      <c r="Y1266" t="inlineStr">
        <is>
          <t>Agriculture and Agri-Food Canada | Agriculture et Agroalimentaire Canada</t>
        </is>
      </c>
      <c r="Z1266" t="n">
        <v>3</v>
      </c>
      <c r="AA1266" t="n">
        <v>1206.7</v>
      </c>
      <c r="AB1266">
        <f>ROUND(U1266-AA1266,2)</f>
        <v/>
      </c>
      <c r="AC1266" t="b">
        <v>0</v>
      </c>
      <c r="AD1266">
        <f>IF(U1266="","MISSING_TOTAL",IF(ABS(AB1266)&lt;=0.01,"OK","CHECK"))</f>
        <v/>
      </c>
      <c r="AE1266">
        <f>IF(U1266="","MISSING",IF(AND(AA1266&gt;0,U1266/AA1266&gt;50),"POSSIBLE_SCALE_ERROR","OK"))</f>
        <v/>
      </c>
    </row>
    <row r="1267">
      <c r="A1267" t="inlineStr">
        <is>
          <t>T-2019-Q1-00037</t>
        </is>
      </c>
      <c r="B1267" t="inlineStr">
        <is>
          <t>SLE</t>
        </is>
      </c>
      <c r="C1267" t="inlineStr">
        <is>
          <t>Assistant deputy minister, Science and Technology Branch</t>
        </is>
      </c>
      <c r="D1267" t="inlineStr">
        <is>
          <t>Sous-ministre adjoint, Direction générale des sciences et de la technologie</t>
        </is>
      </c>
      <c r="E1267" t="inlineStr">
        <is>
          <t>Brian T. Gray</t>
        </is>
      </c>
      <c r="F1267" t="inlineStr">
        <is>
          <t>Outreach to the Reasearch and Developpement Centre, All-Staff meeting and meeting with Provincial Counterparts.</t>
        </is>
      </c>
      <c r="G1267" t="inlineStr">
        <is>
          <t>Visite de sensibilisation au Centre de recherche et de développement, réunion avec tout le personnel et réunion avec des homologues provinciaux</t>
        </is>
      </c>
      <c r="H1267" s="1" t="n">
        <v>43599</v>
      </c>
      <c r="I1267" s="1" t="n">
        <v>43601</v>
      </c>
      <c r="J1267" t="inlineStr">
        <is>
          <t>Summerland, British Columbia</t>
        </is>
      </c>
      <c r="K1267" t="inlineStr">
        <is>
          <t>Summerland (Colombie-Britannique)</t>
        </is>
      </c>
      <c r="P1267" t="n">
        <v>1712.21</v>
      </c>
      <c r="Q1267" t="n">
        <v>588.58</v>
      </c>
      <c r="R1267" t="n">
        <v>533.0599999999999</v>
      </c>
      <c r="S1267" t="n">
        <v>363.05</v>
      </c>
      <c r="T1267" t="n">
        <v>0</v>
      </c>
      <c r="U1267" t="n">
        <v>3196.9</v>
      </c>
      <c r="X1267" t="inlineStr">
        <is>
          <t>aafc-aac</t>
        </is>
      </c>
      <c r="Y1267" t="inlineStr">
        <is>
          <t>Agriculture and Agri-Food Canada | Agriculture et Agroalimentaire Canada</t>
        </is>
      </c>
      <c r="Z1267" t="n">
        <v>3</v>
      </c>
      <c r="AA1267" t="n">
        <v>3196.9</v>
      </c>
      <c r="AB1267">
        <f>ROUND(U1267-AA1267,2)</f>
        <v/>
      </c>
      <c r="AC1267" t="b">
        <v>0</v>
      </c>
      <c r="AD1267">
        <f>IF(U1267="","MISSING_TOTAL",IF(ABS(AB1267)&lt;=0.01,"OK","CHECK"))</f>
        <v/>
      </c>
      <c r="AE1267">
        <f>IF(U1267="","MISSING",IF(AND(AA1267&gt;0,U1267/AA1267&gt;50),"POSSIBLE_SCALE_ERROR","OK"))</f>
        <v/>
      </c>
    </row>
    <row r="1268">
      <c r="A1268" t="inlineStr">
        <is>
          <t>T-2019-Q1-00039</t>
        </is>
      </c>
      <c r="B1268" t="inlineStr">
        <is>
          <t>SLE</t>
        </is>
      </c>
      <c r="C1268" t="inlineStr">
        <is>
          <t>Assistant Deputy Minister, International Affairs Branch</t>
        </is>
      </c>
      <c r="D1268" t="inlineStr">
        <is>
          <t>Sous-ministre adjoint, Direction générale des affaires internationales</t>
        </is>
      </c>
      <c r="E1268" t="inlineStr">
        <is>
          <t>Fred Gorrell</t>
        </is>
      </c>
      <c r="F1268" t="inlineStr">
        <is>
          <t>To attend the National Association of Self-service and Department Stores Mexico Expo</t>
        </is>
      </c>
      <c r="G1268" t="inlineStr">
        <is>
          <t>Participer à l'expo pour l'association nationale des magasins libre­service et des grands magasins du Mexique</t>
        </is>
      </c>
      <c r="H1268" s="1" t="n">
        <v>43527</v>
      </c>
      <c r="I1268" s="1" t="n">
        <v>43531</v>
      </c>
      <c r="J1268" t="inlineStr">
        <is>
          <t>Guadalajara, Mexico</t>
        </is>
      </c>
      <c r="K1268" t="inlineStr">
        <is>
          <t>Guadalajara (Mexique)</t>
        </is>
      </c>
      <c r="P1268" t="n">
        <v>1955.96</v>
      </c>
      <c r="Q1268" t="n">
        <v>183.56</v>
      </c>
      <c r="R1268" t="n">
        <v>924.98</v>
      </c>
      <c r="S1268" t="n">
        <v>413.3</v>
      </c>
      <c r="T1268" t="n">
        <v>0</v>
      </c>
      <c r="U1268" t="n">
        <v>3477.8</v>
      </c>
      <c r="X1268" t="inlineStr">
        <is>
          <t>aafc-aac</t>
        </is>
      </c>
      <c r="Y1268" t="inlineStr">
        <is>
          <t>Agriculture and Agri-Food Canada | Agriculture et Agroalimentaire Canada</t>
        </is>
      </c>
      <c r="Z1268" t="n">
        <v>5</v>
      </c>
      <c r="AA1268" t="n">
        <v>3477.8</v>
      </c>
      <c r="AB1268">
        <f>ROUND(U1268-AA1268,2)</f>
        <v/>
      </c>
      <c r="AC1268" t="b">
        <v>0</v>
      </c>
      <c r="AD1268">
        <f>IF(U1268="","MISSING_TOTAL",IF(ABS(AB1268)&lt;=0.01,"OK","CHECK"))</f>
        <v/>
      </c>
      <c r="AE1268">
        <f>IF(U1268="","MISSING",IF(AND(AA1268&gt;0,U1268/AA1268&gt;50),"POSSIBLE_SCALE_ERROR","OK"))</f>
        <v/>
      </c>
    </row>
    <row r="1269">
      <c r="A1269" t="inlineStr">
        <is>
          <t>T-2019-Q1-00040</t>
        </is>
      </c>
      <c r="B1269" t="inlineStr">
        <is>
          <t>SLE</t>
        </is>
      </c>
      <c r="C1269" t="inlineStr">
        <is>
          <t>Assistant Deputy Minister, International Affairs Branch</t>
        </is>
      </c>
      <c r="D1269" t="inlineStr">
        <is>
          <t>Sous-ministre adjoint, Direction générale des affaires internationales</t>
        </is>
      </c>
      <c r="E1269" t="inlineStr">
        <is>
          <t>Fred Gorrell</t>
        </is>
      </c>
      <c r="F1269" t="inlineStr">
        <is>
          <t>To attend outreach with  Minister Carr</t>
        </is>
      </c>
      <c r="G1269" t="inlineStr">
        <is>
          <t>Participer à des activités de sensibilisation avec le ministre Carr</t>
        </is>
      </c>
      <c r="H1269" s="1" t="n">
        <v>43551</v>
      </c>
      <c r="I1269" s="1" t="n">
        <v>43553</v>
      </c>
      <c r="J1269" t="inlineStr">
        <is>
          <t>Winnipeg, Manitoba</t>
        </is>
      </c>
      <c r="K1269" t="inlineStr">
        <is>
          <t>Winnipeg (Manitoba)</t>
        </is>
      </c>
      <c r="P1269" t="n">
        <v>2055.22</v>
      </c>
      <c r="Q1269" t="n">
        <v>138.47</v>
      </c>
      <c r="R1269" t="n">
        <v>293.26</v>
      </c>
      <c r="S1269" t="n">
        <v>162.25</v>
      </c>
      <c r="T1269" t="n">
        <v>0</v>
      </c>
      <c r="U1269" t="n">
        <v>2649.2</v>
      </c>
      <c r="X1269" t="inlineStr">
        <is>
          <t>aafc-aac</t>
        </is>
      </c>
      <c r="Y1269" t="inlineStr">
        <is>
          <t>Agriculture and Agri-Food Canada | Agriculture et Agroalimentaire Canada</t>
        </is>
      </c>
      <c r="Z1269" t="n">
        <v>3</v>
      </c>
      <c r="AA1269" t="n">
        <v>2649.2</v>
      </c>
      <c r="AB1269">
        <f>ROUND(U1269-AA1269,2)</f>
        <v/>
      </c>
      <c r="AC1269" t="b">
        <v>0</v>
      </c>
      <c r="AD1269">
        <f>IF(U1269="","MISSING_TOTAL",IF(ABS(AB1269)&lt;=0.01,"OK","CHECK"))</f>
        <v/>
      </c>
      <c r="AE1269">
        <f>IF(U1269="","MISSING",IF(AND(AA1269&gt;0,U1269/AA1269&gt;50),"POSSIBLE_SCALE_ERROR","OK"))</f>
        <v/>
      </c>
    </row>
    <row r="1270">
      <c r="A1270" t="inlineStr">
        <is>
          <t>T-2019-Q1-00041</t>
        </is>
      </c>
      <c r="B1270" t="inlineStr">
        <is>
          <t>SLE</t>
        </is>
      </c>
      <c r="C1270" t="inlineStr">
        <is>
          <t>Assistant Deputy Minister, International Affairs Branch</t>
        </is>
      </c>
      <c r="D1270" t="inlineStr">
        <is>
          <t>Sous-ministre adjoint, Direction générale des affaires internationales</t>
        </is>
      </c>
      <c r="E1270" t="inlineStr">
        <is>
          <t>Fred Gorrell</t>
        </is>
      </c>
      <c r="F1270" t="inlineStr">
        <is>
          <t>To attend Outreach in Saskatoon</t>
        </is>
      </c>
      <c r="G1270" t="inlineStr">
        <is>
          <t>Participer à des activités de sensibilisation à Saskatoon</t>
        </is>
      </c>
      <c r="H1270" s="1" t="n">
        <v>43581</v>
      </c>
      <c r="I1270" s="1" t="n">
        <v>43583</v>
      </c>
      <c r="J1270" t="inlineStr">
        <is>
          <t>Saskatoon, Saskatchewan</t>
        </is>
      </c>
      <c r="K1270" t="inlineStr">
        <is>
          <t>Saskatoon (Saskatchewan)</t>
        </is>
      </c>
      <c r="P1270" t="n">
        <v>1603.79</v>
      </c>
      <c r="Q1270" t="n">
        <v>151.55</v>
      </c>
      <c r="R1270" t="n">
        <v>317.84</v>
      </c>
      <c r="S1270" t="n">
        <v>183.75</v>
      </c>
      <c r="T1270" t="n">
        <v>0</v>
      </c>
      <c r="U1270" t="n">
        <v>2256.93</v>
      </c>
      <c r="X1270" t="inlineStr">
        <is>
          <t>aafc-aac</t>
        </is>
      </c>
      <c r="Y1270" t="inlineStr">
        <is>
          <t>Agriculture and Agri-Food Canada | Agriculture et Agroalimentaire Canada</t>
        </is>
      </c>
      <c r="Z1270" t="n">
        <v>3</v>
      </c>
      <c r="AA1270" t="n">
        <v>2256.93</v>
      </c>
      <c r="AB1270">
        <f>ROUND(U1270-AA1270,2)</f>
        <v/>
      </c>
      <c r="AC1270" t="b">
        <v>0</v>
      </c>
      <c r="AD1270">
        <f>IF(U1270="","MISSING_TOTAL",IF(ABS(AB1270)&lt;=0.01,"OK","CHECK"))</f>
        <v/>
      </c>
      <c r="AE1270">
        <f>IF(U1270="","MISSING",IF(AND(AA1270&gt;0,U1270/AA1270&gt;50),"POSSIBLE_SCALE_ERROR","OK"))</f>
        <v/>
      </c>
    </row>
    <row r="1271">
      <c r="A1271" t="inlineStr">
        <is>
          <t>T-2019-Q1-00042</t>
        </is>
      </c>
      <c r="B1271" t="inlineStr">
        <is>
          <t>SLE</t>
        </is>
      </c>
      <c r="C1271" t="inlineStr">
        <is>
          <t>Assistant Deputy Minister, International Affairs Branch</t>
        </is>
      </c>
      <c r="D1271" t="inlineStr">
        <is>
          <t>Sous-ministre adjoint, Direction générale des affaires internationales</t>
        </is>
      </c>
      <c r="E1271" t="inlineStr">
        <is>
          <t>Fred Gorrell</t>
        </is>
      </c>
      <c r="F1271" t="inlineStr">
        <is>
          <t>To attend Outreach in Washington</t>
        </is>
      </c>
      <c r="G1271" t="inlineStr">
        <is>
          <t>Participer à des activités de sensibilisation à Washington</t>
        </is>
      </c>
      <c r="H1271" s="1" t="n">
        <v>43598</v>
      </c>
      <c r="I1271" s="1" t="n">
        <v>43600</v>
      </c>
      <c r="J1271" t="inlineStr">
        <is>
          <t>Washington, District of Columbia</t>
        </is>
      </c>
      <c r="K1271" t="inlineStr">
        <is>
          <t>Washington D.C.</t>
        </is>
      </c>
      <c r="P1271" t="n">
        <v>1153.58</v>
      </c>
      <c r="Q1271" t="n">
        <v>165.13</v>
      </c>
      <c r="R1271" t="n">
        <v>535.25</v>
      </c>
      <c r="S1271" t="n">
        <v>333.03</v>
      </c>
      <c r="T1271" t="n">
        <v>0</v>
      </c>
      <c r="U1271" t="n">
        <v>2186.99</v>
      </c>
      <c r="X1271" t="inlineStr">
        <is>
          <t>aafc-aac</t>
        </is>
      </c>
      <c r="Y1271" t="inlineStr">
        <is>
          <t>Agriculture and Agri-Food Canada | Agriculture et Agroalimentaire Canada</t>
        </is>
      </c>
      <c r="Z1271" t="n">
        <v>3</v>
      </c>
      <c r="AA1271" t="n">
        <v>2186.99</v>
      </c>
      <c r="AB1271">
        <f>ROUND(U1271-AA1271,2)</f>
        <v/>
      </c>
      <c r="AC1271" t="b">
        <v>0</v>
      </c>
      <c r="AD1271">
        <f>IF(U1271="","MISSING_TOTAL",IF(ABS(AB1271)&lt;=0.01,"OK","CHECK"))</f>
        <v/>
      </c>
      <c r="AE1271">
        <f>IF(U1271="","MISSING",IF(AND(AA1271&gt;0,U1271/AA1271&gt;50),"POSSIBLE_SCALE_ERROR","OK"))</f>
        <v/>
      </c>
    </row>
    <row r="1272">
      <c r="A1272" t="inlineStr">
        <is>
          <t>T-2019-Q1-00043</t>
        </is>
      </c>
      <c r="B1272" t="inlineStr">
        <is>
          <t>SLE</t>
        </is>
      </c>
      <c r="C1272" t="inlineStr">
        <is>
          <t>Assistant Deputy Minister, International Affairs Branch</t>
        </is>
      </c>
      <c r="D1272" t="inlineStr">
        <is>
          <t>Sous-ministre adjoint, Direction générale des affaires internationales</t>
        </is>
      </c>
      <c r="E1272" t="inlineStr">
        <is>
          <t>Fred Gorrell</t>
        </is>
      </c>
      <c r="F1272" t="inlineStr">
        <is>
          <t>To attend Outreach in Washington</t>
        </is>
      </c>
      <c r="G1272" t="inlineStr">
        <is>
          <t>Participer à des activités de sensibilisation à Washington</t>
        </is>
      </c>
      <c r="H1272" s="1" t="n">
        <v>43605</v>
      </c>
      <c r="I1272" s="1" t="n">
        <v>43607</v>
      </c>
      <c r="J1272" t="inlineStr">
        <is>
          <t>Washington, District of Columbia</t>
        </is>
      </c>
      <c r="K1272" t="inlineStr">
        <is>
          <t>Washington D.C.</t>
        </is>
      </c>
      <c r="P1272" t="n">
        <v>980.71</v>
      </c>
      <c r="Q1272" t="n">
        <v>124.46</v>
      </c>
      <c r="R1272" t="n">
        <v>537.33</v>
      </c>
      <c r="S1272" t="n">
        <v>377.59</v>
      </c>
      <c r="T1272" t="n">
        <v>0</v>
      </c>
      <c r="U1272" t="n">
        <v>2020.09</v>
      </c>
      <c r="X1272" t="inlineStr">
        <is>
          <t>aafc-aac</t>
        </is>
      </c>
      <c r="Y1272" t="inlineStr">
        <is>
          <t>Agriculture and Agri-Food Canada | Agriculture et Agroalimentaire Canada</t>
        </is>
      </c>
      <c r="Z1272" t="n">
        <v>3</v>
      </c>
      <c r="AA1272" t="n">
        <v>2020.09</v>
      </c>
      <c r="AB1272">
        <f>ROUND(U1272-AA1272,2)</f>
        <v/>
      </c>
      <c r="AC1272" t="b">
        <v>0</v>
      </c>
      <c r="AD1272">
        <f>IF(U1272="","MISSING_TOTAL",IF(ABS(AB1272)&lt;=0.01,"OK","CHECK"))</f>
        <v/>
      </c>
      <c r="AE1272">
        <f>IF(U1272="","MISSING",IF(AND(AA1272&gt;0,U1272/AA1272&gt;50),"POSSIBLE_SCALE_ERROR","OK"))</f>
        <v/>
      </c>
    </row>
    <row r="1273">
      <c r="A1273" t="inlineStr">
        <is>
          <t>T-2019-Q1-00044</t>
        </is>
      </c>
      <c r="B1273" t="inlineStr">
        <is>
          <t>SLE</t>
        </is>
      </c>
      <c r="C1273" t="inlineStr">
        <is>
          <t>Assistant Deputy Minister, Market and Industry Services Branch</t>
        </is>
      </c>
      <c r="D1273" t="inlineStr">
        <is>
          <t>Sous-ministre adjoint, Direction générale des services à l'industrie et aux marchés</t>
        </is>
      </c>
      <c r="E1273" t="inlineStr">
        <is>
          <t>Frédéric Seppey</t>
        </is>
      </c>
      <c r="F1273" t="inlineStr">
        <is>
          <t>To attend 7th Annual Canadian Food &amp; Drink Summit</t>
        </is>
      </c>
      <c r="G1273" t="inlineStr">
        <is>
          <t>Participer au 7e sommet canadien annuel sur l'alimentation et les boissons</t>
        </is>
      </c>
      <c r="H1273" s="1" t="n">
        <v>43551</v>
      </c>
      <c r="I1273" s="1" t="n">
        <v>43552</v>
      </c>
      <c r="J1273" t="inlineStr">
        <is>
          <t>Toronto, Ontario</t>
        </is>
      </c>
      <c r="K1273" t="inlineStr">
        <is>
          <t>Toronto (Ontario)</t>
        </is>
      </c>
      <c r="P1273" t="n">
        <v>347.7</v>
      </c>
      <c r="Q1273" t="n">
        <v>37.12</v>
      </c>
      <c r="R1273" t="n">
        <v>233.86</v>
      </c>
      <c r="S1273" t="n">
        <v>84.59999999999999</v>
      </c>
      <c r="T1273" t="n">
        <v>0</v>
      </c>
      <c r="U1273" t="n">
        <v>703.28</v>
      </c>
      <c r="X1273" t="inlineStr">
        <is>
          <t>aafc-aac</t>
        </is>
      </c>
      <c r="Y1273" t="inlineStr">
        <is>
          <t>Agriculture and Agri-Food Canada | Agriculture et Agroalimentaire Canada</t>
        </is>
      </c>
      <c r="Z1273" t="n">
        <v>2</v>
      </c>
      <c r="AA1273" t="n">
        <v>703.28</v>
      </c>
      <c r="AB1273">
        <f>ROUND(U1273-AA1273,2)</f>
        <v/>
      </c>
      <c r="AC1273" t="b">
        <v>0</v>
      </c>
      <c r="AD1273">
        <f>IF(U1273="","MISSING_TOTAL",IF(ABS(AB1273)&lt;=0.01,"OK","CHECK"))</f>
        <v/>
      </c>
      <c r="AE1273">
        <f>IF(U1273="","MISSING",IF(AND(AA1273&gt;0,U1273/AA1273&gt;50),"POSSIBLE_SCALE_ERROR","OK"))</f>
        <v/>
      </c>
    </row>
    <row r="1274">
      <c r="A1274" t="inlineStr">
        <is>
          <t>T-2019-Q1-00045</t>
        </is>
      </c>
      <c r="B1274" t="inlineStr">
        <is>
          <t>SLE</t>
        </is>
      </c>
      <c r="C1274" t="inlineStr">
        <is>
          <t>Assistant Deputy Minister, Market and Industry Services Branch</t>
        </is>
      </c>
      <c r="D1274" t="inlineStr">
        <is>
          <t>Sous-ministre adjoint, Direction générale des services à l'industrie et aux marchés</t>
        </is>
      </c>
      <c r="E1274" t="inlineStr">
        <is>
          <t>Frédéric Seppey</t>
        </is>
      </c>
      <c r="F1274" t="inlineStr">
        <is>
          <t>To accompany the Minister to meet with Canola Stakeholders</t>
        </is>
      </c>
      <c r="G1274" t="inlineStr">
        <is>
          <t>Accompagner la ministre lors de réunions avec des intervenants de l'industrie du canola</t>
        </is>
      </c>
      <c r="H1274" s="1" t="n">
        <v>43552</v>
      </c>
      <c r="I1274" s="1" t="n">
        <v>43553</v>
      </c>
      <c r="J1274" t="inlineStr">
        <is>
          <t>Saskatoon, Saskatchewan</t>
        </is>
      </c>
      <c r="K1274" t="inlineStr">
        <is>
          <t>Saskatoon (Saskatchewan)</t>
        </is>
      </c>
      <c r="P1274" t="n">
        <v>1060.02</v>
      </c>
      <c r="Q1274" t="n">
        <v>93.92</v>
      </c>
      <c r="R1274" t="n">
        <v>176.07</v>
      </c>
      <c r="S1274" t="n">
        <v>174.7</v>
      </c>
      <c r="T1274" t="n">
        <v>14.63</v>
      </c>
      <c r="U1274" t="n">
        <v>1519.34</v>
      </c>
      <c r="X1274" t="inlineStr">
        <is>
          <t>aafc-aac</t>
        </is>
      </c>
      <c r="Y1274" t="inlineStr">
        <is>
          <t>Agriculture and Agri-Food Canada | Agriculture et Agroalimentaire Canada</t>
        </is>
      </c>
      <c r="Z1274" t="n">
        <v>2</v>
      </c>
      <c r="AA1274" t="n">
        <v>1519.34</v>
      </c>
      <c r="AB1274">
        <f>ROUND(U1274-AA1274,2)</f>
        <v/>
      </c>
      <c r="AC1274" t="b">
        <v>0</v>
      </c>
      <c r="AD1274">
        <f>IF(U1274="","MISSING_TOTAL",IF(ABS(AB1274)&lt;=0.01,"OK","CHECK"))</f>
        <v/>
      </c>
      <c r="AE1274">
        <f>IF(U1274="","MISSING",IF(AND(AA1274&gt;0,U1274/AA1274&gt;50),"POSSIBLE_SCALE_ERROR","OK"))</f>
        <v/>
      </c>
    </row>
    <row r="1275">
      <c r="A1275" t="inlineStr">
        <is>
          <t>T-2019-Q1-00046</t>
        </is>
      </c>
      <c r="B1275" t="inlineStr">
        <is>
          <t>SLE</t>
        </is>
      </c>
      <c r="C1275" t="inlineStr">
        <is>
          <t>Assistant Deputy Minister, Market and Industry Services Branch</t>
        </is>
      </c>
      <c r="D1275" t="inlineStr">
        <is>
          <t>Sous-ministre adjoint, Direction générale des services à l'industrie et aux marchés</t>
        </is>
      </c>
      <c r="E1275" t="inlineStr">
        <is>
          <t>Frédéric Seppey</t>
        </is>
      </c>
      <c r="F1275" t="inlineStr">
        <is>
          <t>To attend International Forum on Food Safety and Trade; and meetings with the World Trade Organization and Food and Agriculture Organization of the United Nations</t>
        </is>
      </c>
      <c r="G1275" t="inlineStr">
        <is>
          <t>Participer au Forum international sur la salubrité des aliments et le commerce; réunions avec l'Organisation mondiale du commerce et l'Organisation des Nations Unies pour l'alimentation et l'agriculture</t>
        </is>
      </c>
      <c r="H1275" s="1" t="n">
        <v>43574</v>
      </c>
      <c r="I1275" s="1" t="n">
        <v>43580</v>
      </c>
      <c r="J1275" t="inlineStr">
        <is>
          <t>Geneva, Switzerland</t>
        </is>
      </c>
      <c r="K1275" t="inlineStr">
        <is>
          <t>Genève (Suisse)</t>
        </is>
      </c>
      <c r="P1275" t="n">
        <v>1935.6</v>
      </c>
      <c r="Q1275" t="n">
        <v>60.97</v>
      </c>
      <c r="R1275" t="n">
        <v>771.17</v>
      </c>
      <c r="S1275" t="n">
        <v>973.4</v>
      </c>
      <c r="T1275" t="n">
        <v>4.5</v>
      </c>
      <c r="U1275" t="n">
        <v>3745.64</v>
      </c>
      <c r="X1275" t="inlineStr">
        <is>
          <t>aafc-aac</t>
        </is>
      </c>
      <c r="Y1275" t="inlineStr">
        <is>
          <t>Agriculture and Agri-Food Canada | Agriculture et Agroalimentaire Canada</t>
        </is>
      </c>
      <c r="Z1275" t="n">
        <v>7</v>
      </c>
      <c r="AA1275" t="n">
        <v>3745.64</v>
      </c>
      <c r="AB1275">
        <f>ROUND(U1275-AA1275,2)</f>
        <v/>
      </c>
      <c r="AC1275" t="b">
        <v>0</v>
      </c>
      <c r="AD1275">
        <f>IF(U1275="","MISSING_TOTAL",IF(ABS(AB1275)&lt;=0.01,"OK","CHECK"))</f>
        <v/>
      </c>
      <c r="AE1275">
        <f>IF(U1275="","MISSING",IF(AND(AA1275&gt;0,U1275/AA1275&gt;50),"POSSIBLE_SCALE_ERROR","OK"))</f>
        <v/>
      </c>
    </row>
    <row r="1276">
      <c r="A1276" t="inlineStr">
        <is>
          <t>T-2019-Q1-00047</t>
        </is>
      </c>
      <c r="B1276" t="inlineStr">
        <is>
          <t>SLE</t>
        </is>
      </c>
      <c r="C1276" t="inlineStr">
        <is>
          <t>Assistant Deputy Minister, Market and Industry Services Branch</t>
        </is>
      </c>
      <c r="D1276" t="inlineStr">
        <is>
          <t>Sous-ministre adjoint, Direction générale des services à l'industrie et aux marchés</t>
        </is>
      </c>
      <c r="E1276" t="inlineStr">
        <is>
          <t>Frédéric Seppey</t>
        </is>
      </c>
      <c r="F1276" t="inlineStr">
        <is>
          <t>To attend the 87th General Session of the World organization for animal health</t>
        </is>
      </c>
      <c r="G1276" t="inlineStr">
        <is>
          <t>Participer au 87e session générale de l'Organisation mondiale de la santé animale</t>
        </is>
      </c>
      <c r="H1276" s="1" t="n">
        <v>43609</v>
      </c>
      <c r="I1276" s="1" t="n">
        <v>43614</v>
      </c>
      <c r="J1276" t="inlineStr">
        <is>
          <t>Paris, France</t>
        </is>
      </c>
      <c r="K1276" t="inlineStr">
        <is>
          <t>Paris (France)</t>
        </is>
      </c>
      <c r="P1276" t="n">
        <v>5116.1</v>
      </c>
      <c r="Q1276" t="n">
        <v>223.54</v>
      </c>
      <c r="R1276" t="n">
        <v>1420.6</v>
      </c>
      <c r="S1276" t="n">
        <v>1286.95</v>
      </c>
      <c r="T1276" t="n">
        <v>0</v>
      </c>
      <c r="U1276" t="n">
        <v>8047.19</v>
      </c>
      <c r="X1276" t="inlineStr">
        <is>
          <t>aafc-aac</t>
        </is>
      </c>
      <c r="Y1276" t="inlineStr">
        <is>
          <t>Agriculture and Agri-Food Canada | Agriculture et Agroalimentaire Canada</t>
        </is>
      </c>
      <c r="Z1276" t="n">
        <v>6</v>
      </c>
      <c r="AA1276" t="n">
        <v>8047.19</v>
      </c>
      <c r="AB1276">
        <f>ROUND(U1276-AA1276,2)</f>
        <v/>
      </c>
      <c r="AC1276" t="b">
        <v>0</v>
      </c>
      <c r="AD1276">
        <f>IF(U1276="","MISSING_TOTAL",IF(ABS(AB1276)&lt;=0.01,"OK","CHECK"))</f>
        <v/>
      </c>
      <c r="AE1276">
        <f>IF(U1276="","MISSING",IF(AND(AA1276&gt;0,U1276/AA1276&gt;50),"POSSIBLE_SCALE_ERROR","OK"))</f>
        <v/>
      </c>
    </row>
    <row r="1277">
      <c r="A1277" t="inlineStr">
        <is>
          <t>T-2019-Q1-00048</t>
        </is>
      </c>
      <c r="B1277" t="inlineStr">
        <is>
          <t>SLE</t>
        </is>
      </c>
      <c r="C1277" t="inlineStr">
        <is>
          <t>Assistant Deputy Minister, Market and Industry Services Branch</t>
        </is>
      </c>
      <c r="D1277" t="inlineStr">
        <is>
          <t>Sous-ministre adjoint, Direction générale des services à l'industrie et aux marchés</t>
        </is>
      </c>
      <c r="E1277" t="inlineStr">
        <is>
          <t>Frédéric Seppey</t>
        </is>
      </c>
      <c r="F1277" t="inlineStr">
        <is>
          <t>To attend 12th Plant Protein Ingredients Summit North-America 2019</t>
        </is>
      </c>
      <c r="G1277" t="inlineStr">
        <is>
          <t>Participer au 12e sommet sur les ingrédients de protéines végétales (Amérique du Nord) 2019</t>
        </is>
      </c>
      <c r="H1277" s="1" t="n">
        <v>43616</v>
      </c>
      <c r="I1277" s="1" t="n">
        <v>43617</v>
      </c>
      <c r="J1277" t="inlineStr">
        <is>
          <t>Saskatoon, Saskatchewan</t>
        </is>
      </c>
      <c r="K1277" t="inlineStr">
        <is>
          <t>Saskatoon (Saskatchewan)</t>
        </is>
      </c>
      <c r="P1277" t="n">
        <v>622.01</v>
      </c>
      <c r="Q1277" t="n">
        <v>109.96</v>
      </c>
      <c r="R1277" t="n">
        <v>340.7</v>
      </c>
      <c r="S1277" t="n">
        <v>207.05</v>
      </c>
      <c r="T1277" t="n">
        <v>1500.59</v>
      </c>
      <c r="U1277" t="n">
        <v>2780.31</v>
      </c>
      <c r="X1277" t="inlineStr">
        <is>
          <t>aafc-aac</t>
        </is>
      </c>
      <c r="Y1277" t="inlineStr">
        <is>
          <t>Agriculture and Agri-Food Canada | Agriculture et Agroalimentaire Canada</t>
        </is>
      </c>
      <c r="Z1277" t="n">
        <v>2</v>
      </c>
      <c r="AA1277" t="n">
        <v>2780.31</v>
      </c>
      <c r="AB1277">
        <f>ROUND(U1277-AA1277,2)</f>
        <v/>
      </c>
      <c r="AC1277" t="b">
        <v>0</v>
      </c>
      <c r="AD1277">
        <f>IF(U1277="","MISSING_TOTAL",IF(ABS(AB1277)&lt;=0.01,"OK","CHECK"))</f>
        <v/>
      </c>
      <c r="AE1277">
        <f>IF(U1277="","MISSING",IF(AND(AA1277&gt;0,U1277/AA1277&gt;50),"POSSIBLE_SCALE_ERROR","OK"))</f>
        <v/>
      </c>
    </row>
    <row r="1278">
      <c r="A1278" t="inlineStr">
        <is>
          <t>T-2019-Q1-00049</t>
        </is>
      </c>
      <c r="B1278" t="inlineStr">
        <is>
          <t>SLE</t>
        </is>
      </c>
      <c r="C1278" t="inlineStr">
        <is>
          <t>Associate Assistant Deputy Mininister, Science and Technology Branch</t>
        </is>
      </c>
      <c r="D1278" t="inlineStr">
        <is>
          <t>Sous-ministre adjoint délégué, Direction générale des sciences et de la technologie</t>
        </is>
      </c>
      <c r="E1278" t="inlineStr">
        <is>
          <t>Gilles Saindon</t>
        </is>
      </c>
      <c r="F1278" t="inlineStr">
        <is>
          <t>To attend the 4th session  of Executive Leadership Development Program</t>
        </is>
      </c>
      <c r="G1278" t="inlineStr">
        <is>
          <t>Participer à la 4e séance du Programme de perfectionnement du leadership des cadres</t>
        </is>
      </c>
      <c r="H1278" s="1" t="n">
        <v>43556</v>
      </c>
      <c r="I1278" s="1" t="n">
        <v>43558</v>
      </c>
      <c r="J1278" t="inlineStr">
        <is>
          <t>Waterloo, Ontario</t>
        </is>
      </c>
      <c r="K1278" t="inlineStr">
        <is>
          <t>Waterloo (Ontario)</t>
        </is>
      </c>
      <c r="P1278" t="n">
        <v>666.25</v>
      </c>
      <c r="Q1278" t="n">
        <v>72</v>
      </c>
      <c r="R1278" t="n">
        <v>381.94</v>
      </c>
      <c r="S1278" t="n">
        <v>265.35</v>
      </c>
      <c r="T1278" t="n">
        <v>0</v>
      </c>
      <c r="U1278" t="n">
        <v>1385.54</v>
      </c>
      <c r="X1278" t="inlineStr">
        <is>
          <t>aafc-aac</t>
        </is>
      </c>
      <c r="Y1278" t="inlineStr">
        <is>
          <t>Agriculture and Agri-Food Canada | Agriculture et Agroalimentaire Canada</t>
        </is>
      </c>
      <c r="Z1278" t="n">
        <v>3</v>
      </c>
      <c r="AA1278" t="n">
        <v>1385.54</v>
      </c>
      <c r="AB1278">
        <f>ROUND(U1278-AA1278,2)</f>
        <v/>
      </c>
      <c r="AC1278" t="b">
        <v>0</v>
      </c>
      <c r="AD1278">
        <f>IF(U1278="","MISSING_TOTAL",IF(ABS(AB1278)&lt;=0.01,"OK","CHECK"))</f>
        <v/>
      </c>
      <c r="AE1278">
        <f>IF(U1278="","MISSING",IF(AND(AA1278&gt;0,U1278/AA1278&gt;50),"POSSIBLE_SCALE_ERROR","OK"))</f>
        <v/>
      </c>
    </row>
    <row r="1279">
      <c r="A1279" t="inlineStr">
        <is>
          <t>T-2019-Q1-00050</t>
        </is>
      </c>
      <c r="B1279" t="inlineStr">
        <is>
          <t>SLE</t>
        </is>
      </c>
      <c r="C1279" t="inlineStr">
        <is>
          <t>Associate Assistant Deputy Mininister, Science and Technology Branch</t>
        </is>
      </c>
      <c r="D1279" t="inlineStr">
        <is>
          <t>Sous-ministre adjoint délégué, Direction générale des sciences et de la technologie</t>
        </is>
      </c>
      <c r="E1279" t="inlineStr">
        <is>
          <t>Gilles Saindon</t>
        </is>
      </c>
      <c r="F1279" t="inlineStr">
        <is>
          <t>Outreach at the Research and Development Center, all staff meetings and meet with industry</t>
        </is>
      </c>
      <c r="G1279" t="inlineStr">
        <is>
          <t>Sensibilisation au Centre de recherche et développement, réunions avec tous le personnel et rencontre avec l'industrie</t>
        </is>
      </c>
      <c r="H1279" s="1" t="n">
        <v>43565</v>
      </c>
      <c r="I1279" s="1" t="n">
        <v>43566</v>
      </c>
      <c r="J1279" t="inlineStr">
        <is>
          <t>London, Ontario</t>
        </is>
      </c>
      <c r="K1279" t="inlineStr">
        <is>
          <t>London (Ontario)</t>
        </is>
      </c>
      <c r="P1279" t="n">
        <v>531.38</v>
      </c>
      <c r="Q1279" t="n">
        <v>48</v>
      </c>
      <c r="R1279" t="n">
        <v>175.1</v>
      </c>
      <c r="S1279" t="n">
        <v>196.6</v>
      </c>
      <c r="T1279" t="n">
        <v>0</v>
      </c>
      <c r="U1279" t="n">
        <v>951.08</v>
      </c>
      <c r="X1279" t="inlineStr">
        <is>
          <t>aafc-aac</t>
        </is>
      </c>
      <c r="Y1279" t="inlineStr">
        <is>
          <t>Agriculture and Agri-Food Canada | Agriculture et Agroalimentaire Canada</t>
        </is>
      </c>
      <c r="Z1279" t="n">
        <v>2</v>
      </c>
      <c r="AA1279" t="n">
        <v>951.08</v>
      </c>
      <c r="AB1279">
        <f>ROUND(U1279-AA1279,2)</f>
        <v/>
      </c>
      <c r="AC1279" t="b">
        <v>0</v>
      </c>
      <c r="AD1279">
        <f>IF(U1279="","MISSING_TOTAL",IF(ABS(AB1279)&lt;=0.01,"OK","CHECK"))</f>
        <v/>
      </c>
      <c r="AE1279">
        <f>IF(U1279="","MISSING",IF(AND(AA1279&gt;0,U1279/AA1279&gt;50),"POSSIBLE_SCALE_ERROR","OK"))</f>
        <v/>
      </c>
    </row>
    <row r="1280">
      <c r="A1280" t="inlineStr">
        <is>
          <t>T-2019-Q1-00051</t>
        </is>
      </c>
      <c r="B1280" t="inlineStr">
        <is>
          <t>SLE</t>
        </is>
      </c>
      <c r="C1280" t="inlineStr">
        <is>
          <t>Associate Assistant Deputy Mininister, Science and Technology Branch</t>
        </is>
      </c>
      <c r="D1280" t="inlineStr">
        <is>
          <t>Sous-ministre adjoint délégué, Direction générale des sciences et de la technologie</t>
        </is>
      </c>
      <c r="E1280" t="inlineStr">
        <is>
          <t>Gilles Saindon</t>
        </is>
      </c>
      <c r="F1280" t="inlineStr">
        <is>
          <t>Outreach at the Research and Development Center, all staff meetings and meet with industry</t>
        </is>
      </c>
      <c r="G1280" t="inlineStr">
        <is>
          <t>Sensibilisation au Centre de recherche et développement, réunions avec tous le personnel et rencontre avec l'industrie</t>
        </is>
      </c>
      <c r="H1280" s="1" t="n">
        <v>43593</v>
      </c>
      <c r="I1280" s="1" t="n">
        <v>43595</v>
      </c>
      <c r="J1280" t="inlineStr">
        <is>
          <t>Harrow, Ontario</t>
        </is>
      </c>
      <c r="K1280" t="inlineStr">
        <is>
          <t>Harrow (Ontario)</t>
        </is>
      </c>
      <c r="P1280" t="n">
        <v>567.9</v>
      </c>
      <c r="Q1280" t="n">
        <v>72</v>
      </c>
      <c r="R1280" t="n">
        <v>201.14</v>
      </c>
      <c r="S1280" t="n">
        <v>285.05</v>
      </c>
      <c r="T1280" t="n">
        <v>0</v>
      </c>
      <c r="U1280" t="n">
        <v>1126.09</v>
      </c>
      <c r="X1280" t="inlineStr">
        <is>
          <t>aafc-aac</t>
        </is>
      </c>
      <c r="Y1280" t="inlineStr">
        <is>
          <t>Agriculture and Agri-Food Canada | Agriculture et Agroalimentaire Canada</t>
        </is>
      </c>
      <c r="Z1280" t="n">
        <v>3</v>
      </c>
      <c r="AA1280" t="n">
        <v>1126.09</v>
      </c>
      <c r="AB1280">
        <f>ROUND(U1280-AA1280,2)</f>
        <v/>
      </c>
      <c r="AC1280" t="b">
        <v>0</v>
      </c>
      <c r="AD1280">
        <f>IF(U1280="","MISSING_TOTAL",IF(ABS(AB1280)&lt;=0.01,"OK","CHECK"))</f>
        <v/>
      </c>
      <c r="AE1280">
        <f>IF(U1280="","MISSING",IF(AND(AA1280&gt;0,U1280/AA1280&gt;50),"POSSIBLE_SCALE_ERROR","OK"))</f>
        <v/>
      </c>
    </row>
    <row r="1281">
      <c r="A1281" t="inlineStr">
        <is>
          <t>T-2019-Q1-00052</t>
        </is>
      </c>
      <c r="B1281" t="inlineStr">
        <is>
          <t>SLE</t>
        </is>
      </c>
      <c r="C1281" t="inlineStr">
        <is>
          <t>Associate Assistant Deputy Mininister, Science and Technology Branch</t>
        </is>
      </c>
      <c r="D1281" t="inlineStr">
        <is>
          <t>Sous-ministre adjoint délégué, Direction générale des sciences et de la technologie</t>
        </is>
      </c>
      <c r="E1281" t="inlineStr">
        <is>
          <t>Gilles Saindon</t>
        </is>
      </c>
      <c r="F1281" t="inlineStr">
        <is>
          <t>Attend the plenary session of the International Bioeconomy Forum</t>
        </is>
      </c>
      <c r="G1281" t="inlineStr">
        <is>
          <t>Participer à la séance plénière du Forum international sur la bioéconomie</t>
        </is>
      </c>
      <c r="H1281" s="1" t="n">
        <v>43610</v>
      </c>
      <c r="I1281" s="1" t="n">
        <v>43614</v>
      </c>
      <c r="J1281" t="inlineStr">
        <is>
          <t>Vancouver, British-Columbia</t>
        </is>
      </c>
      <c r="K1281" t="inlineStr">
        <is>
          <t>Vancouver (Colombie-Britannique)</t>
        </is>
      </c>
      <c r="P1281" t="n">
        <v>873.3</v>
      </c>
      <c r="Q1281" t="n">
        <v>229</v>
      </c>
      <c r="R1281" t="n">
        <v>583.08</v>
      </c>
      <c r="S1281" t="n">
        <v>319.65</v>
      </c>
      <c r="T1281" t="n">
        <v>0</v>
      </c>
      <c r="U1281" t="n">
        <v>2005.03</v>
      </c>
      <c r="X1281" t="inlineStr">
        <is>
          <t>aafc-aac</t>
        </is>
      </c>
      <c r="Y1281" t="inlineStr">
        <is>
          <t>Agriculture and Agri-Food Canada | Agriculture et Agroalimentaire Canada</t>
        </is>
      </c>
      <c r="Z1281" t="n">
        <v>5</v>
      </c>
      <c r="AA1281" t="n">
        <v>2005.03</v>
      </c>
      <c r="AB1281">
        <f>ROUND(U1281-AA1281,2)</f>
        <v/>
      </c>
      <c r="AC1281" t="b">
        <v>0</v>
      </c>
      <c r="AD1281">
        <f>IF(U1281="","MISSING_TOTAL",IF(ABS(AB1281)&lt;=0.01,"OK","CHECK"))</f>
        <v/>
      </c>
      <c r="AE1281">
        <f>IF(U1281="","MISSING",IF(AND(AA1281&gt;0,U1281/AA1281&gt;50),"POSSIBLE_SCALE_ERROR","OK"))</f>
        <v/>
      </c>
    </row>
    <row r="1282">
      <c r="A1282" t="inlineStr">
        <is>
          <t>T-2026-P04-00064</t>
        </is>
      </c>
      <c r="B1282" t="inlineStr">
        <is>
          <t>SLE</t>
        </is>
      </c>
      <c r="C1282" t="inlineStr">
        <is>
          <t>Commander MARPAC/JTFP</t>
        </is>
      </c>
      <c r="D1282" t="inlineStr">
        <is>
          <t>Commandant FMAR(P)/FOIP</t>
        </is>
      </c>
      <c r="E1282" t="inlineStr">
        <is>
          <t>David Patchell</t>
        </is>
      </c>
      <c r="F1282" t="inlineStr">
        <is>
          <t>US Consul General 250th Independence Day Celebration</t>
        </is>
      </c>
      <c r="G1282" t="inlineStr">
        <is>
          <t>Célébration du 250e anniversaire de l’indépendance des États-Unis organisée par le consul général des États-Unis</t>
        </is>
      </c>
      <c r="H1282" s="1" t="n">
        <v>46212</v>
      </c>
      <c r="I1282" s="1" t="n">
        <v>46213</v>
      </c>
      <c r="J1282" t="inlineStr">
        <is>
          <t>Vancouver, Canada</t>
        </is>
      </c>
      <c r="K1282" t="inlineStr">
        <is>
          <t>Vancouver, Canada</t>
        </is>
      </c>
      <c r="P1282" t="n">
        <v>504.62</v>
      </c>
      <c r="Q1282" t="n">
        <v>0</v>
      </c>
      <c r="R1282" t="n">
        <v>463.6</v>
      </c>
      <c r="S1282" t="n">
        <v>171.25</v>
      </c>
      <c r="T1282" t="n">
        <v>0</v>
      </c>
      <c r="U1282" t="n">
        <v>113947</v>
      </c>
      <c r="X1282" t="inlineStr">
        <is>
          <t>dnd-mdn</t>
        </is>
      </c>
      <c r="Y1282" t="inlineStr">
        <is>
          <t>National Defence | Défense nationale</t>
        </is>
      </c>
      <c r="Z1282" t="n">
        <v>2</v>
      </c>
      <c r="AA1282" t="n">
        <v>1139.47</v>
      </c>
      <c r="AB1282">
        <f>ROUND(U1282-AA1282,2)</f>
        <v/>
      </c>
      <c r="AC1282" t="b">
        <v>0</v>
      </c>
      <c r="AD1282">
        <f>IF(U1282="","MISSING_TOTAL",IF(ABS(AB1282)&lt;=0.01,"OK","CHECK"))</f>
        <v/>
      </c>
      <c r="AE1282">
        <f>IF(U1282="","MISSING",IF(AND(AA1282&gt;0,U1282/AA1282&gt;50),"POSSIBLE_SCALE_ERROR","OK"))</f>
        <v/>
      </c>
    </row>
    <row r="1283">
      <c r="A1283" t="inlineStr">
        <is>
          <t>T-2019-Q1-00055</t>
        </is>
      </c>
      <c r="B1283" t="inlineStr">
        <is>
          <t>SLE</t>
        </is>
      </c>
      <c r="C1283" t="inlineStr">
        <is>
          <t>Assistant Deputy Minister, Public Affairs Branch</t>
        </is>
      </c>
      <c r="D1283" t="inlineStr">
        <is>
          <t>Sous-ministre adjointe, Direction générale des affaires publiques</t>
        </is>
      </c>
      <c r="E1283" t="inlineStr">
        <is>
          <t>Mary Dila</t>
        </is>
      </c>
      <c r="F1283" t="inlineStr">
        <is>
          <t>To accompany the Associate Deputy Minister to a meeting with stakeholders and staff in Alberta</t>
        </is>
      </c>
      <c r="G1283" t="inlineStr">
        <is>
          <t>Pour accompagner la sous­ministre déléguée à une réunion avec des intervenants et le personnel en Alberta</t>
        </is>
      </c>
      <c r="H1283" s="1" t="n">
        <v>43536</v>
      </c>
      <c r="I1283" s="1" t="n">
        <v>43539</v>
      </c>
      <c r="J1283" t="inlineStr">
        <is>
          <t>Edmonton, Alberta</t>
        </is>
      </c>
      <c r="K1283" t="inlineStr">
        <is>
          <t>Edmonton (Alberta)</t>
        </is>
      </c>
      <c r="P1283" t="n">
        <v>2076.15</v>
      </c>
      <c r="Q1283" t="n">
        <v>60</v>
      </c>
      <c r="R1283" t="n">
        <v>750.5</v>
      </c>
      <c r="S1283" t="n">
        <v>269.65</v>
      </c>
      <c r="U1283" t="n">
        <v>3156.3</v>
      </c>
      <c r="X1283" t="inlineStr">
        <is>
          <t>aafc-aac</t>
        </is>
      </c>
      <c r="Y1283" t="inlineStr">
        <is>
          <t>Agriculture and Agri-Food Canada | Agriculture et Agroalimentaire Canada</t>
        </is>
      </c>
      <c r="Z1283" t="n">
        <v>4</v>
      </c>
      <c r="AA1283" t="n">
        <v>3156.3</v>
      </c>
      <c r="AB1283">
        <f>ROUND(U1283-AA1283,2)</f>
        <v/>
      </c>
      <c r="AC1283" t="b">
        <v>0</v>
      </c>
      <c r="AD1283">
        <f>IF(U1283="","MISSING_TOTAL",IF(ABS(AB1283)&lt;=0.01,"OK","CHECK"))</f>
        <v/>
      </c>
      <c r="AE1283">
        <f>IF(U1283="","MISSING",IF(AND(AA1283&gt;0,U1283/AA1283&gt;50),"POSSIBLE_SCALE_ERROR","OK"))</f>
        <v/>
      </c>
    </row>
    <row r="1284">
      <c r="A1284" t="inlineStr">
        <is>
          <t>T-2019-Q1-00056</t>
        </is>
      </c>
      <c r="B1284" t="inlineStr">
        <is>
          <t>SLE</t>
        </is>
      </c>
      <c r="C1284" t="inlineStr">
        <is>
          <t>Assistant Deputy Minister, Public Affairs Branch</t>
        </is>
      </c>
      <c r="D1284" t="inlineStr">
        <is>
          <t>Sous-ministre adjointe, Direction générale des affaires publiques</t>
        </is>
      </c>
      <c r="E1284" t="inlineStr">
        <is>
          <t>Mary Dila</t>
        </is>
      </c>
      <c r="F1284" t="inlineStr">
        <is>
          <t>Outreach to regional staff</t>
        </is>
      </c>
      <c r="G1284" t="inlineStr">
        <is>
          <t>Sensibilisation des employés régionaux</t>
        </is>
      </c>
      <c r="H1284" s="1" t="n">
        <v>43570</v>
      </c>
      <c r="I1284" s="1" t="n">
        <v>43572</v>
      </c>
      <c r="J1284" t="inlineStr">
        <is>
          <t>Guelph, Ontario</t>
        </is>
      </c>
      <c r="K1284" t="inlineStr">
        <is>
          <t>Guelph (Ontario)</t>
        </is>
      </c>
      <c r="P1284" t="n">
        <v>346.05</v>
      </c>
      <c r="Q1284" t="n">
        <v>428.21</v>
      </c>
      <c r="R1284" t="n">
        <v>0</v>
      </c>
      <c r="S1284" t="n">
        <v>146.35</v>
      </c>
      <c r="U1284" t="n">
        <v>920.61</v>
      </c>
      <c r="X1284" t="inlineStr">
        <is>
          <t>aafc-aac</t>
        </is>
      </c>
      <c r="Y1284" t="inlineStr">
        <is>
          <t>Agriculture and Agri-Food Canada | Agriculture et Agroalimentaire Canada</t>
        </is>
      </c>
      <c r="Z1284" t="n">
        <v>3</v>
      </c>
      <c r="AA1284" t="n">
        <v>920.61</v>
      </c>
      <c r="AB1284">
        <f>ROUND(U1284-AA1284,2)</f>
        <v/>
      </c>
      <c r="AC1284" t="b">
        <v>0</v>
      </c>
      <c r="AD1284">
        <f>IF(U1284="","MISSING_TOTAL",IF(ABS(AB1284)&lt;=0.01,"OK","CHECK"))</f>
        <v/>
      </c>
      <c r="AE1284">
        <f>IF(U1284="","MISSING",IF(AND(AA1284&gt;0,U1284/AA1284&gt;50),"POSSIBLE_SCALE_ERROR","OK"))</f>
        <v/>
      </c>
    </row>
    <row r="1285">
      <c r="A1285" t="inlineStr">
        <is>
          <t>T-2019-Q1-00057</t>
        </is>
      </c>
      <c r="B1285" t="inlineStr">
        <is>
          <t>SLE</t>
        </is>
      </c>
      <c r="C1285" t="inlineStr">
        <is>
          <t>Assistant Deputy Minister, Public Affairs Branch</t>
        </is>
      </c>
      <c r="D1285" t="inlineStr">
        <is>
          <t>Sous-ministre adjointe, Direction générale des affaires publiques</t>
        </is>
      </c>
      <c r="E1285" t="inlineStr">
        <is>
          <t>Mary Dila</t>
        </is>
      </c>
      <c r="F1285" t="inlineStr">
        <is>
          <t>To attend Food Sector Symposium</t>
        </is>
      </c>
      <c r="G1285" t="inlineStr">
        <is>
          <t>Participer au Symposium de l'industrie de l'alimentation</t>
        </is>
      </c>
      <c r="H1285" s="1" t="n">
        <v>43581</v>
      </c>
      <c r="I1285" s="1" t="n">
        <v>43581</v>
      </c>
      <c r="J1285" t="inlineStr">
        <is>
          <t>Toronto, Ontario</t>
        </is>
      </c>
      <c r="K1285" t="inlineStr">
        <is>
          <t>Toronto (Ontario)</t>
        </is>
      </c>
      <c r="P1285" t="n">
        <v>646.23</v>
      </c>
      <c r="Q1285" t="n">
        <v>47.2</v>
      </c>
      <c r="R1285" t="n">
        <v>0</v>
      </c>
      <c r="S1285" t="n">
        <v>91.25</v>
      </c>
      <c r="T1285" t="n">
        <v>0</v>
      </c>
      <c r="U1285" t="n">
        <v>784.6799999999999</v>
      </c>
      <c r="X1285" t="inlineStr">
        <is>
          <t>aafc-aac</t>
        </is>
      </c>
      <c r="Y1285" t="inlineStr">
        <is>
          <t>Agriculture and Agri-Food Canada | Agriculture et Agroalimentaire Canada</t>
        </is>
      </c>
      <c r="Z1285" t="n">
        <v>1</v>
      </c>
      <c r="AA1285" t="n">
        <v>784.6799999999999</v>
      </c>
      <c r="AB1285">
        <f>ROUND(U1285-AA1285,2)</f>
        <v/>
      </c>
      <c r="AC1285" t="b">
        <v>0</v>
      </c>
      <c r="AD1285">
        <f>IF(U1285="","MISSING_TOTAL",IF(ABS(AB1285)&lt;=0.01,"OK","CHECK"))</f>
        <v/>
      </c>
      <c r="AE1285">
        <f>IF(U1285="","MISSING",IF(AND(AA1285&gt;0,U1285/AA1285&gt;50),"POSSIBLE_SCALE_ERROR","OK"))</f>
        <v/>
      </c>
    </row>
    <row r="1286">
      <c r="A1286" t="inlineStr">
        <is>
          <t>T-2019-Q1-00058</t>
        </is>
      </c>
      <c r="B1286" t="inlineStr">
        <is>
          <t>SLE</t>
        </is>
      </c>
      <c r="C1286" t="inlineStr">
        <is>
          <t>Assistant Deputy Minister, Public Affairs Branch</t>
        </is>
      </c>
      <c r="D1286" t="inlineStr">
        <is>
          <t>Sous-ministre adjointe, Direction générale des affaires publiques</t>
        </is>
      </c>
      <c r="E1286" t="inlineStr">
        <is>
          <t>Mary Dila</t>
        </is>
      </c>
      <c r="F1286" t="inlineStr">
        <is>
          <t>To participate in Strategy Program training</t>
        </is>
      </c>
      <c r="G1286" t="inlineStr">
        <is>
          <t>Participer au programme de formation en stratégie</t>
        </is>
      </c>
      <c r="H1286" s="1" t="n">
        <v>43612</v>
      </c>
      <c r="I1286" s="1" t="n">
        <v>43616</v>
      </c>
      <c r="J1286" t="inlineStr">
        <is>
          <t>Kingston, Ontario</t>
        </is>
      </c>
      <c r="K1286" t="inlineStr">
        <is>
          <t>Kingston (Ontario)</t>
        </is>
      </c>
      <c r="Q1286" t="n">
        <v>279.47</v>
      </c>
      <c r="R1286" t="n">
        <v>0</v>
      </c>
      <c r="S1286" t="n">
        <v>127.1</v>
      </c>
      <c r="U1286" t="n">
        <v>406.57</v>
      </c>
      <c r="X1286" t="inlineStr">
        <is>
          <t>aafc-aac</t>
        </is>
      </c>
      <c r="Y1286" t="inlineStr">
        <is>
          <t>Agriculture and Agri-Food Canada | Agriculture et Agroalimentaire Canada</t>
        </is>
      </c>
      <c r="Z1286" t="n">
        <v>5</v>
      </c>
      <c r="AA1286" t="n">
        <v>406.57</v>
      </c>
      <c r="AB1286">
        <f>ROUND(U1286-AA1286,2)</f>
        <v/>
      </c>
      <c r="AC1286" t="b">
        <v>0</v>
      </c>
      <c r="AD1286">
        <f>IF(U1286="","MISSING_TOTAL",IF(ABS(AB1286)&lt;=0.01,"OK","CHECK"))</f>
        <v/>
      </c>
      <c r="AE1286">
        <f>IF(U1286="","MISSING",IF(AND(AA1286&gt;0,U1286/AA1286&gt;50),"POSSIBLE_SCALE_ERROR","OK"))</f>
        <v/>
      </c>
    </row>
    <row r="1287">
      <c r="A1287" t="inlineStr">
        <is>
          <t>T-2019-Q1-00059</t>
        </is>
      </c>
      <c r="B1287" t="inlineStr">
        <is>
          <t>SLE</t>
        </is>
      </c>
      <c r="C1287" t="inlineStr">
        <is>
          <t>Chief Information Officer, Information Systems Branch</t>
        </is>
      </c>
      <c r="D1287" t="inlineStr">
        <is>
          <t>Dirigeant principal de l'information, Direction générale des systèmes d'information</t>
        </is>
      </c>
      <c r="E1287" t="inlineStr">
        <is>
          <t>Michel Lessard</t>
        </is>
      </c>
      <c r="F1287" t="inlineStr">
        <is>
          <t>To attend 2019 Annual Executive Symposium</t>
        </is>
      </c>
      <c r="G1287" t="inlineStr">
        <is>
          <t>Participer au symposium annuelle des cadres 2019</t>
        </is>
      </c>
      <c r="H1287" s="1" t="n">
        <v>43565</v>
      </c>
      <c r="I1287" s="1" t="n">
        <v>43566</v>
      </c>
      <c r="J1287" t="inlineStr">
        <is>
          <t>Washington, District of Columbia</t>
        </is>
      </c>
      <c r="K1287" t="inlineStr">
        <is>
          <t>Washington D.C.</t>
        </is>
      </c>
      <c r="P1287" t="n">
        <v>728.12</v>
      </c>
      <c r="Q1287" t="n">
        <v>163.87</v>
      </c>
      <c r="R1287" t="n">
        <v>363.27</v>
      </c>
      <c r="S1287" t="n">
        <v>159.13</v>
      </c>
      <c r="U1287" t="n">
        <v>1414.39</v>
      </c>
      <c r="X1287" t="inlineStr">
        <is>
          <t>aafc-aac</t>
        </is>
      </c>
      <c r="Y1287" t="inlineStr">
        <is>
          <t>Agriculture and Agri-Food Canada | Agriculture et Agroalimentaire Canada</t>
        </is>
      </c>
      <c r="Z1287" t="n">
        <v>2</v>
      </c>
      <c r="AA1287" t="n">
        <v>1414.38999999999</v>
      </c>
      <c r="AB1287">
        <f>ROUND(U1287-AA1287,2)</f>
        <v/>
      </c>
      <c r="AC1287" t="b">
        <v>0</v>
      </c>
      <c r="AD1287">
        <f>IF(U1287="","MISSING_TOTAL",IF(ABS(AB1287)&lt;=0.01,"OK","CHECK"))</f>
        <v/>
      </c>
      <c r="AE1287">
        <f>IF(U1287="","MISSING",IF(AND(AA1287&gt;0,U1287/AA1287&gt;50),"POSSIBLE_SCALE_ERROR","OK"))</f>
        <v/>
      </c>
    </row>
    <row r="1288">
      <c r="A1288" t="inlineStr">
        <is>
          <t>T-2019-Q1-00061</t>
        </is>
      </c>
      <c r="B1288" t="inlineStr">
        <is>
          <t>SLE</t>
        </is>
      </c>
      <c r="C1288" t="inlineStr">
        <is>
          <t>Assistant Deputy Minister, Strategic Policy Branch</t>
        </is>
      </c>
      <c r="D1288" t="inlineStr">
        <is>
          <t>Sous-ministre adjoint, Direction générale des politiques stratégiques</t>
        </is>
      </c>
      <c r="E1288" t="inlineStr">
        <is>
          <t>Tom Rosser</t>
        </is>
      </c>
      <c r="F1288" t="inlineStr">
        <is>
          <t>To attend a meeting of the Grains Roundtable.</t>
        </is>
      </c>
      <c r="G1288" t="inlineStr">
        <is>
          <t>Participer à une réunion de la Table ronde sur l'industrie des grains</t>
        </is>
      </c>
      <c r="H1288" s="1" t="n">
        <v>43531</v>
      </c>
      <c r="I1288" s="1" t="n">
        <v>43532</v>
      </c>
      <c r="J1288" t="inlineStr">
        <is>
          <t>Montreal, Quebec</t>
        </is>
      </c>
      <c r="K1288" t="inlineStr">
        <is>
          <t>Montréal (Québec)</t>
        </is>
      </c>
      <c r="P1288" t="n">
        <v>0</v>
      </c>
      <c r="Q1288" t="n">
        <v>471.02</v>
      </c>
      <c r="R1288" t="n">
        <v>224.91</v>
      </c>
      <c r="S1288" t="n">
        <v>54.85</v>
      </c>
      <c r="U1288" t="n">
        <v>750.78</v>
      </c>
      <c r="X1288" t="inlineStr">
        <is>
          <t>aafc-aac</t>
        </is>
      </c>
      <c r="Y1288" t="inlineStr">
        <is>
          <t>Agriculture and Agri-Food Canada | Agriculture et Agroalimentaire Canada</t>
        </is>
      </c>
      <c r="Z1288" t="n">
        <v>2</v>
      </c>
      <c r="AA1288" t="n">
        <v>750.78</v>
      </c>
      <c r="AB1288">
        <f>ROUND(U1288-AA1288,2)</f>
        <v/>
      </c>
      <c r="AC1288" t="b">
        <v>0</v>
      </c>
      <c r="AD1288">
        <f>IF(U1288="","MISSING_TOTAL",IF(ABS(AB1288)&lt;=0.01,"OK","CHECK"))</f>
        <v/>
      </c>
      <c r="AE1288">
        <f>IF(U1288="","MISSING",IF(AND(AA1288&gt;0,U1288/AA1288&gt;50),"POSSIBLE_SCALE_ERROR","OK"))</f>
        <v/>
      </c>
    </row>
    <row r="1289">
      <c r="A1289" t="inlineStr">
        <is>
          <t>T-2019-Q1-00062</t>
        </is>
      </c>
      <c r="B1289" t="inlineStr">
        <is>
          <t>SLE</t>
        </is>
      </c>
      <c r="C1289" t="inlineStr">
        <is>
          <t>Assistant Deputy Minister, Strategic Policy Branch</t>
        </is>
      </c>
      <c r="D1289" t="inlineStr">
        <is>
          <t>Sous-ministre adjoint, Direction générale des politiques stratégiques</t>
        </is>
      </c>
      <c r="E1289" t="inlineStr">
        <is>
          <t>Tom Rosser</t>
        </is>
      </c>
      <c r="F1289" t="inlineStr">
        <is>
          <t>To attend a meeting of the Crop Logistics Working Group.</t>
        </is>
      </c>
      <c r="G1289" t="inlineStr">
        <is>
          <t>Participer à une réunion du Groupe de travail sur la logistique du transport des récoltes</t>
        </is>
      </c>
      <c r="H1289" s="1" t="n">
        <v>43552</v>
      </c>
      <c r="I1289" s="1" t="n">
        <v>43554</v>
      </c>
      <c r="J1289" t="inlineStr">
        <is>
          <t>Winnipeg, Manitoba</t>
        </is>
      </c>
      <c r="K1289" t="inlineStr">
        <is>
          <t>Winnipeg (Manitoba)</t>
        </is>
      </c>
      <c r="P1289" t="n">
        <v>1758.82</v>
      </c>
      <c r="Q1289" t="n">
        <v>98</v>
      </c>
      <c r="R1289" t="n">
        <v>147.81</v>
      </c>
      <c r="S1289" t="n">
        <v>154.85</v>
      </c>
      <c r="U1289" t="n">
        <v>2159.48</v>
      </c>
      <c r="X1289" t="inlineStr">
        <is>
          <t>aafc-aac</t>
        </is>
      </c>
      <c r="Y1289" t="inlineStr">
        <is>
          <t>Agriculture and Agri-Food Canada | Agriculture et Agroalimentaire Canada</t>
        </is>
      </c>
      <c r="Z1289" t="n">
        <v>3</v>
      </c>
      <c r="AA1289" t="n">
        <v>2159.48</v>
      </c>
      <c r="AB1289">
        <f>ROUND(U1289-AA1289,2)</f>
        <v/>
      </c>
      <c r="AC1289" t="b">
        <v>0</v>
      </c>
      <c r="AD1289">
        <f>IF(U1289="","MISSING_TOTAL",IF(ABS(AB1289)&lt;=0.01,"OK","CHECK"))</f>
        <v/>
      </c>
      <c r="AE1289">
        <f>IF(U1289="","MISSING",IF(AND(AA1289&gt;0,U1289/AA1289&gt;50),"POSSIBLE_SCALE_ERROR","OK"))</f>
        <v/>
      </c>
    </row>
    <row r="1290">
      <c r="A1290" t="inlineStr">
        <is>
          <t>T-2019-Q1-00063</t>
        </is>
      </c>
      <c r="B1290" t="inlineStr">
        <is>
          <t>SLE</t>
        </is>
      </c>
      <c r="C1290" t="inlineStr">
        <is>
          <t>Assistant Deputy Minister, Strategic Policy Branch</t>
        </is>
      </c>
      <c r="D1290" t="inlineStr">
        <is>
          <t>Sous-ministre adjoint, Direction générale des politiques stratégiques</t>
        </is>
      </c>
      <c r="E1290" t="inlineStr">
        <is>
          <t>Tom Rosser</t>
        </is>
      </c>
      <c r="F1290" t="inlineStr">
        <is>
          <t>To attend a Industry Stakeholder Event.</t>
        </is>
      </c>
      <c r="G1290" t="inlineStr">
        <is>
          <t>Participer à une activité d'industry destinée aux intervenants</t>
        </is>
      </c>
      <c r="H1290" s="1" t="n">
        <v>43549</v>
      </c>
      <c r="I1290" s="1" t="n">
        <v>43550</v>
      </c>
      <c r="J1290" t="inlineStr">
        <is>
          <t>Toronto, Ontario</t>
        </is>
      </c>
      <c r="K1290" t="inlineStr">
        <is>
          <t>Toronto (Ontario)</t>
        </is>
      </c>
      <c r="P1290" t="n">
        <v>606.41</v>
      </c>
      <c r="Q1290" t="n">
        <v>104.7</v>
      </c>
      <c r="R1290" t="n">
        <v>269.12</v>
      </c>
      <c r="S1290" t="n">
        <v>124.7</v>
      </c>
      <c r="U1290" t="n">
        <v>1104.93</v>
      </c>
      <c r="X1290" t="inlineStr">
        <is>
          <t>aafc-aac</t>
        </is>
      </c>
      <c r="Y1290" t="inlineStr">
        <is>
          <t>Agriculture and Agri-Food Canada | Agriculture et Agroalimentaire Canada</t>
        </is>
      </c>
      <c r="Z1290" t="n">
        <v>2</v>
      </c>
      <c r="AA1290" t="n">
        <v>1104.93</v>
      </c>
      <c r="AB1290">
        <f>ROUND(U1290-AA1290,2)</f>
        <v/>
      </c>
      <c r="AC1290" t="b">
        <v>0</v>
      </c>
      <c r="AD1290">
        <f>IF(U1290="","MISSING_TOTAL",IF(ABS(AB1290)&lt;=0.01,"OK","CHECK"))</f>
        <v/>
      </c>
      <c r="AE1290">
        <f>IF(U1290="","MISSING",IF(AND(AA1290&gt;0,U1290/AA1290&gt;50),"POSSIBLE_SCALE_ERROR","OK"))</f>
        <v/>
      </c>
    </row>
    <row r="1291">
      <c r="A1291" t="inlineStr">
        <is>
          <t>T-2019-Q1-00064</t>
        </is>
      </c>
      <c r="B1291" t="inlineStr">
        <is>
          <t>SLE</t>
        </is>
      </c>
      <c r="C1291" t="inlineStr">
        <is>
          <t>Assistant Deputy Minister, Strategic Policy Branch</t>
        </is>
      </c>
      <c r="D1291" t="inlineStr">
        <is>
          <t>Sous-ministre adjoint, Direction générale des politiques stratégiques</t>
        </is>
      </c>
      <c r="E1291" t="inlineStr">
        <is>
          <t>Tom Rosser</t>
        </is>
      </c>
      <c r="F1291" t="inlineStr">
        <is>
          <t>To attend a Food Security Symposium.</t>
        </is>
      </c>
      <c r="G1291" t="inlineStr">
        <is>
          <t>Participer à un symposium sur la sécurité alimentaire</t>
        </is>
      </c>
      <c r="H1291" s="1" t="n">
        <v>43580</v>
      </c>
      <c r="I1291" s="1" t="n">
        <v>43581</v>
      </c>
      <c r="J1291" t="inlineStr">
        <is>
          <t>Toronto, Ontario</t>
        </is>
      </c>
      <c r="K1291" t="inlineStr">
        <is>
          <t>Toronto (Ontario)</t>
        </is>
      </c>
      <c r="P1291" t="n">
        <v>774.5</v>
      </c>
      <c r="Q1291" t="n">
        <v>175</v>
      </c>
      <c r="R1291" t="n">
        <v>280.87</v>
      </c>
      <c r="S1291" t="n">
        <v>105.75</v>
      </c>
      <c r="T1291" t="n">
        <v>15.37</v>
      </c>
      <c r="U1291" t="n">
        <v>1351.49</v>
      </c>
      <c r="X1291" t="inlineStr">
        <is>
          <t>aafc-aac</t>
        </is>
      </c>
      <c r="Y1291" t="inlineStr">
        <is>
          <t>Agriculture and Agri-Food Canada | Agriculture et Agroalimentaire Canada</t>
        </is>
      </c>
      <c r="Z1291" t="n">
        <v>2</v>
      </c>
      <c r="AA1291" t="n">
        <v>1351.48999999999</v>
      </c>
      <c r="AB1291">
        <f>ROUND(U1291-AA1291,2)</f>
        <v/>
      </c>
      <c r="AC1291" t="b">
        <v>0</v>
      </c>
      <c r="AD1291">
        <f>IF(U1291="","MISSING_TOTAL",IF(ABS(AB1291)&lt;=0.01,"OK","CHECK"))</f>
        <v/>
      </c>
      <c r="AE1291">
        <f>IF(U1291="","MISSING",IF(AND(AA1291&gt;0,U1291/AA1291&gt;50),"POSSIBLE_SCALE_ERROR","OK"))</f>
        <v/>
      </c>
    </row>
    <row r="1292">
      <c r="A1292" t="inlineStr">
        <is>
          <t>T-2019-Q1-00065</t>
        </is>
      </c>
      <c r="B1292" t="inlineStr">
        <is>
          <t>SLE</t>
        </is>
      </c>
      <c r="C1292" t="inlineStr">
        <is>
          <t>Assistant Deputy Minister, Strategic Policy Branch</t>
        </is>
      </c>
      <c r="D1292" t="inlineStr">
        <is>
          <t>Sous-ministre adjoint, Direction générale des politiques stratégiques</t>
        </is>
      </c>
      <c r="E1292" t="inlineStr">
        <is>
          <t>Tom Rosser</t>
        </is>
      </c>
      <c r="F1292" t="inlineStr">
        <is>
          <t>To attend a Briefing with the Minister.</t>
        </is>
      </c>
      <c r="G1292" t="inlineStr">
        <is>
          <t>Participer à une séance d'information avec la Ministre</t>
        </is>
      </c>
      <c r="H1292" s="1" t="n">
        <v>43576</v>
      </c>
      <c r="I1292" s="1" t="n">
        <v>43577</v>
      </c>
      <c r="J1292" t="inlineStr">
        <is>
          <t>Montreal, Quebec</t>
        </is>
      </c>
      <c r="K1292" t="inlineStr">
        <is>
          <t>Montréal (Québec)</t>
        </is>
      </c>
      <c r="P1292" t="n">
        <v>443.55</v>
      </c>
      <c r="Q1292" t="n">
        <v>359.13</v>
      </c>
      <c r="R1292" t="n">
        <v>201.28</v>
      </c>
      <c r="S1292" t="n">
        <v>176.5</v>
      </c>
      <c r="U1292" t="n">
        <v>1180.46</v>
      </c>
      <c r="X1292" t="inlineStr">
        <is>
          <t>aafc-aac</t>
        </is>
      </c>
      <c r="Y1292" t="inlineStr">
        <is>
          <t>Agriculture and Agri-Food Canada | Agriculture et Agroalimentaire Canada</t>
        </is>
      </c>
      <c r="Z1292" t="n">
        <v>2</v>
      </c>
      <c r="AA1292" t="n">
        <v>1180.46</v>
      </c>
      <c r="AB1292">
        <f>ROUND(U1292-AA1292,2)</f>
        <v/>
      </c>
      <c r="AC1292" t="b">
        <v>0</v>
      </c>
      <c r="AD1292">
        <f>IF(U1292="","MISSING_TOTAL",IF(ABS(AB1292)&lt;=0.01,"OK","CHECK"))</f>
        <v/>
      </c>
      <c r="AE1292">
        <f>IF(U1292="","MISSING",IF(AND(AA1292&gt;0,U1292/AA1292&gt;50),"POSSIBLE_SCALE_ERROR","OK"))</f>
        <v/>
      </c>
    </row>
    <row r="1293">
      <c r="A1293" t="inlineStr">
        <is>
          <t>T-2019-Q1-00066</t>
        </is>
      </c>
      <c r="B1293" t="inlineStr">
        <is>
          <t>SLE</t>
        </is>
      </c>
      <c r="C1293" t="inlineStr">
        <is>
          <t>Assistant Deputy Minister, Strategic Policy Branch</t>
        </is>
      </c>
      <c r="D1293" t="inlineStr">
        <is>
          <t>Sous-ministre adjoint, Direction générale des politiques stratégiques</t>
        </is>
      </c>
      <c r="E1293" t="inlineStr">
        <is>
          <t>Tom Rosser</t>
        </is>
      </c>
      <c r="F1293" t="inlineStr">
        <is>
          <t>To attend the Organisation for Economic Co-operation and Development  meetings in Paris.</t>
        </is>
      </c>
      <c r="G1293" t="inlineStr">
        <is>
          <t>Participer aux réunions de l’Organisation de coopération et de développement économiques à Paris</t>
        </is>
      </c>
      <c r="H1293" s="1" t="n">
        <v>43596</v>
      </c>
      <c r="I1293" s="1" t="n">
        <v>43601</v>
      </c>
      <c r="J1293" t="inlineStr">
        <is>
          <t>Paris, France</t>
        </is>
      </c>
      <c r="K1293" t="inlineStr">
        <is>
          <t>Paris (France)</t>
        </is>
      </c>
      <c r="P1293" t="n">
        <v>5879.34</v>
      </c>
      <c r="Q1293" t="n">
        <v>233.43</v>
      </c>
      <c r="R1293" t="n">
        <v>1082.37</v>
      </c>
      <c r="S1293" t="n">
        <v>1350.05</v>
      </c>
      <c r="U1293" t="n">
        <v>8545.190000000001</v>
      </c>
      <c r="X1293" t="inlineStr">
        <is>
          <t>aafc-aac</t>
        </is>
      </c>
      <c r="Y1293" t="inlineStr">
        <is>
          <t>Agriculture and Agri-Food Canada | Agriculture et Agroalimentaire Canada</t>
        </is>
      </c>
      <c r="Z1293" t="n">
        <v>6</v>
      </c>
      <c r="AA1293" t="n">
        <v>8545.190000000001</v>
      </c>
      <c r="AB1293">
        <f>ROUND(U1293-AA1293,2)</f>
        <v/>
      </c>
      <c r="AC1293" t="b">
        <v>0</v>
      </c>
      <c r="AD1293">
        <f>IF(U1293="","MISSING_TOTAL",IF(ABS(AB1293)&lt;=0.01,"OK","CHECK"))</f>
        <v/>
      </c>
      <c r="AE1293">
        <f>IF(U1293="","MISSING",IF(AND(AA1293&gt;0,U1293/AA1293&gt;50),"POSSIBLE_SCALE_ERROR","OK"))</f>
        <v/>
      </c>
    </row>
    <row r="1294">
      <c r="A1294" t="inlineStr">
        <is>
          <t>T-2018-Q1-00065</t>
        </is>
      </c>
      <c r="B1294" t="inlineStr">
        <is>
          <t>SLE</t>
        </is>
      </c>
      <c r="C1294" t="inlineStr">
        <is>
          <t>Assistant deputy minister, Science and Technology Branch</t>
        </is>
      </c>
      <c r="D1294" t="inlineStr">
        <is>
          <t>Sous-ministre adjoint, Direction Générale des sciences et de la technologie</t>
        </is>
      </c>
      <c r="E1294" t="inlineStr">
        <is>
          <t>Brian T. Gray</t>
        </is>
      </c>
      <c r="F1294" t="inlineStr">
        <is>
          <t>Outreach to the Reasearch and Developpement Centre, All-Staff meeting and meeting with Provincial Counterparts.</t>
        </is>
      </c>
      <c r="G1294" t="inlineStr">
        <is>
          <t>Visite de sensibilisation au Centre de recherche et de développement, réunions avec tout le personnel et réunions avec des collègues du gouvernement provincial.</t>
        </is>
      </c>
      <c r="H1294" s="1" t="n">
        <v>43166</v>
      </c>
      <c r="I1294" s="1" t="n">
        <v>43168</v>
      </c>
      <c r="J1294" t="inlineStr">
        <is>
          <t>Manitoba, Winnipeg, Canada</t>
        </is>
      </c>
      <c r="K1294" t="inlineStr">
        <is>
          <t>Manitoba, Winnipeg, Canada</t>
        </is>
      </c>
      <c r="P1294" t="n">
        <v>824.26</v>
      </c>
      <c r="Q1294" t="n">
        <v>136.28</v>
      </c>
      <c r="R1294" t="n">
        <v>312.18</v>
      </c>
      <c r="S1294" t="n">
        <v>203.5</v>
      </c>
      <c r="T1294" t="n">
        <v>0</v>
      </c>
      <c r="U1294" t="n">
        <v>1476.22</v>
      </c>
      <c r="V1294" t="inlineStr">
        <is>
          <t>AJD997784</t>
        </is>
      </c>
      <c r="W1294" t="inlineStr">
        <is>
          <t>AJD997784</t>
        </is>
      </c>
      <c r="X1294" t="inlineStr">
        <is>
          <t>aafc-aac</t>
        </is>
      </c>
      <c r="Y1294" t="inlineStr">
        <is>
          <t>Agriculture and Agri-Food Canada | Agriculture et Agroalimentaire Canada</t>
        </is>
      </c>
      <c r="Z1294" t="n">
        <v>3</v>
      </c>
      <c r="AA1294" t="n">
        <v>1476.22</v>
      </c>
      <c r="AB1294">
        <f>ROUND(U1294-AA1294,2)</f>
        <v/>
      </c>
      <c r="AC1294" t="b">
        <v>0</v>
      </c>
      <c r="AD1294">
        <f>IF(U1294="","MISSING_TOTAL",IF(ABS(AB1294)&lt;=0.01,"OK","CHECK"))</f>
        <v/>
      </c>
      <c r="AE1294">
        <f>IF(U1294="","MISSING",IF(AND(AA1294&gt;0,U1294/AA1294&gt;50),"POSSIBLE_SCALE_ERROR","OK"))</f>
        <v/>
      </c>
    </row>
    <row r="1295">
      <c r="A1295" t="inlineStr">
        <is>
          <t>T-2018-Q1-00066</t>
        </is>
      </c>
      <c r="B1295" t="inlineStr">
        <is>
          <t>SLE</t>
        </is>
      </c>
      <c r="C1295" t="inlineStr">
        <is>
          <t>Assistant deputy minister, Science and Technology Branch</t>
        </is>
      </c>
      <c r="D1295" t="inlineStr">
        <is>
          <t>Sous-ministre adjoint, Direction Générale des sciences et de la technologie</t>
        </is>
      </c>
      <c r="E1295" t="inlineStr">
        <is>
          <t>Brian T. Gray</t>
        </is>
      </c>
      <c r="F1295" t="inlineStr">
        <is>
          <t>Outreach to the Reasearch and Developpement Centre, All-Staff meeting and meeting with Provincial Counterparts.</t>
        </is>
      </c>
      <c r="G1295" t="inlineStr">
        <is>
          <t>Visite de sensibilisation au Centre de recherche et de développement, réunions avec tout le personnel et réunions avec des collègues du gouvernement provincial.</t>
        </is>
      </c>
      <c r="H1295" s="1" t="n">
        <v>43173</v>
      </c>
      <c r="I1295" s="1" t="n">
        <v>43175</v>
      </c>
      <c r="J1295" t="inlineStr">
        <is>
          <t>Kentville, Nova-Scotia, Canada</t>
        </is>
      </c>
      <c r="K1295" t="inlineStr">
        <is>
          <t>Kentville, Nouvelle-Ecosse, Canada</t>
        </is>
      </c>
      <c r="P1295" t="n">
        <v>734.33</v>
      </c>
      <c r="Q1295" t="n">
        <v>328.19</v>
      </c>
      <c r="R1295" t="n">
        <v>313.43</v>
      </c>
      <c r="S1295" t="n">
        <v>203.3</v>
      </c>
      <c r="T1295" t="n">
        <v>0</v>
      </c>
      <c r="U1295" t="n">
        <v>1579.25</v>
      </c>
      <c r="V1295" t="inlineStr">
        <is>
          <t>AJD960327</t>
        </is>
      </c>
      <c r="W1295" t="inlineStr">
        <is>
          <t>AJD960327</t>
        </is>
      </c>
      <c r="X1295" t="inlineStr">
        <is>
          <t>aafc-aac</t>
        </is>
      </c>
      <c r="Y1295" t="inlineStr">
        <is>
          <t>Agriculture and Agri-Food Canada | Agriculture et Agroalimentaire Canada</t>
        </is>
      </c>
      <c r="Z1295" t="n">
        <v>3</v>
      </c>
      <c r="AA1295" t="n">
        <v>1579.25</v>
      </c>
      <c r="AB1295">
        <f>ROUND(U1295-AA1295,2)</f>
        <v/>
      </c>
      <c r="AC1295" t="b">
        <v>0</v>
      </c>
      <c r="AD1295">
        <f>IF(U1295="","MISSING_TOTAL",IF(ABS(AB1295)&lt;=0.01,"OK","CHECK"))</f>
        <v/>
      </c>
      <c r="AE1295">
        <f>IF(U1295="","MISSING",IF(AND(AA1295&gt;0,U1295/AA1295&gt;50),"POSSIBLE_SCALE_ERROR","OK"))</f>
        <v/>
      </c>
    </row>
    <row r="1296">
      <c r="A1296" t="inlineStr">
        <is>
          <t>T-2018-Q1-00067</t>
        </is>
      </c>
      <c r="B1296" t="inlineStr">
        <is>
          <t>SLE</t>
        </is>
      </c>
      <c r="C1296" t="inlineStr">
        <is>
          <t>Assistant deputy minister, Science and Technology Branch</t>
        </is>
      </c>
      <c r="D1296" t="inlineStr">
        <is>
          <t>Sous-ministre adjoint, Direction Générale des sciences et de la technologie</t>
        </is>
      </c>
      <c r="E1296" t="inlineStr">
        <is>
          <t>Brian T. Gray</t>
        </is>
      </c>
      <c r="F1296" t="inlineStr">
        <is>
          <t>Outreach to the Reasearch and Developpement Centre, All-Staff meeting and meeting with Provincial Counterparts.</t>
        </is>
      </c>
      <c r="G1296" t="inlineStr">
        <is>
          <t>Visite de sensibilisation au Centre de recherche et de développement, réunions avec tout le personnel et réunions avec des collègues du gouvernement provincial.</t>
        </is>
      </c>
      <c r="H1296" s="1" t="n">
        <v>43185</v>
      </c>
      <c r="I1296" s="1" t="n">
        <v>43188</v>
      </c>
      <c r="J1296" t="inlineStr">
        <is>
          <t>Summerland, British-Columbia, Canada</t>
        </is>
      </c>
      <c r="K1296" t="inlineStr">
        <is>
          <t>Summerland, Colombie-Britannique, Canada</t>
        </is>
      </c>
      <c r="P1296" t="n">
        <v>1375.3</v>
      </c>
      <c r="Q1296" t="n">
        <v>481.65</v>
      </c>
      <c r="R1296" t="n">
        <v>329.67</v>
      </c>
      <c r="S1296" t="n">
        <v>325.25</v>
      </c>
      <c r="T1296" t="n">
        <v>0</v>
      </c>
      <c r="U1296" t="n">
        <v>2511.87</v>
      </c>
      <c r="V1296" t="inlineStr">
        <is>
          <t>AJD935708</t>
        </is>
      </c>
      <c r="W1296" t="inlineStr">
        <is>
          <t>AJD935708</t>
        </is>
      </c>
      <c r="X1296" t="inlineStr">
        <is>
          <t>aafc-aac</t>
        </is>
      </c>
      <c r="Y1296" t="inlineStr">
        <is>
          <t>Agriculture and Agri-Food Canada | Agriculture et Agroalimentaire Canada</t>
        </is>
      </c>
      <c r="Z1296" t="n">
        <v>4</v>
      </c>
      <c r="AA1296" t="n">
        <v>2511.87</v>
      </c>
      <c r="AB1296">
        <f>ROUND(U1296-AA1296,2)</f>
        <v/>
      </c>
      <c r="AC1296" t="b">
        <v>0</v>
      </c>
      <c r="AD1296">
        <f>IF(U1296="","MISSING_TOTAL",IF(ABS(AB1296)&lt;=0.01,"OK","CHECK"))</f>
        <v/>
      </c>
      <c r="AE1296">
        <f>IF(U1296="","MISSING",IF(AND(AA1296&gt;0,U1296/AA1296&gt;50),"POSSIBLE_SCALE_ERROR","OK"))</f>
        <v/>
      </c>
    </row>
    <row r="1297">
      <c r="A1297" t="inlineStr">
        <is>
          <t>T-2018-Q1-00068</t>
        </is>
      </c>
      <c r="B1297" t="inlineStr">
        <is>
          <t>SLE</t>
        </is>
      </c>
      <c r="C1297" t="inlineStr">
        <is>
          <t>Assistant deputy minister, Science and Technology Branch</t>
        </is>
      </c>
      <c r="D1297" t="inlineStr">
        <is>
          <t>Sous-ministre adjoint, Direction Générale des sciences et de la technologie</t>
        </is>
      </c>
      <c r="E1297" t="inlineStr">
        <is>
          <t>Brian T. Gray</t>
        </is>
      </c>
      <c r="F1297" t="inlineStr">
        <is>
          <t>Ivey Business School at Western University - Senior Public Sector Program Module 2</t>
        </is>
      </c>
      <c r="G1297" t="inlineStr">
        <is>
          <t>Ecole d'entreprise Ivey à l'Université Western - Programme du secteur public senior Module 2</t>
        </is>
      </c>
      <c r="H1297" s="1" t="n">
        <v>43194</v>
      </c>
      <c r="I1297" s="1" t="n">
        <v>43196</v>
      </c>
      <c r="J1297" t="inlineStr">
        <is>
          <t>London, Ontario. Canada</t>
        </is>
      </c>
      <c r="K1297" t="inlineStr">
        <is>
          <t>London, Ontario, Canada</t>
        </is>
      </c>
      <c r="P1297" t="n">
        <v>483.92</v>
      </c>
      <c r="Q1297" t="n">
        <v>138.63</v>
      </c>
      <c r="R1297" t="n">
        <v>0</v>
      </c>
      <c r="S1297" t="n">
        <v>71.09999999999999</v>
      </c>
      <c r="T1297" t="n">
        <v>0</v>
      </c>
      <c r="U1297" t="n">
        <v>693.65</v>
      </c>
      <c r="V1297" t="inlineStr">
        <is>
          <t>AJD924629</t>
        </is>
      </c>
      <c r="W1297" t="inlineStr">
        <is>
          <t>AJD924629</t>
        </is>
      </c>
      <c r="X1297" t="inlineStr">
        <is>
          <t>aafc-aac</t>
        </is>
      </c>
      <c r="Y1297" t="inlineStr">
        <is>
          <t>Agriculture and Agri-Food Canada | Agriculture et Agroalimentaire Canada</t>
        </is>
      </c>
      <c r="Z1297" t="n">
        <v>3</v>
      </c>
      <c r="AA1297" t="n">
        <v>693.65</v>
      </c>
      <c r="AB1297">
        <f>ROUND(U1297-AA1297,2)</f>
        <v/>
      </c>
      <c r="AC1297" t="b">
        <v>0</v>
      </c>
      <c r="AD1297">
        <f>IF(U1297="","MISSING_TOTAL",IF(ABS(AB1297)&lt;=0.01,"OK","CHECK"))</f>
        <v/>
      </c>
      <c r="AE1297">
        <f>IF(U1297="","MISSING",IF(AND(AA1297&gt;0,U1297/AA1297&gt;50),"POSSIBLE_SCALE_ERROR","OK"))</f>
        <v/>
      </c>
    </row>
    <row r="1298">
      <c r="A1298" t="inlineStr">
        <is>
          <t>T-2018-Q1-00069</t>
        </is>
      </c>
      <c r="B1298" t="inlineStr">
        <is>
          <t>SLE</t>
        </is>
      </c>
      <c r="C1298" t="inlineStr">
        <is>
          <t>Assistant deputy minister, Science and Technology Branch</t>
        </is>
      </c>
      <c r="D1298" t="inlineStr">
        <is>
          <t>Sous-ministre adjoint, Direction Générale des sciences et de la technologie</t>
        </is>
      </c>
      <c r="E1298" t="inlineStr">
        <is>
          <t>Brian T. Gray</t>
        </is>
      </c>
      <c r="F1298" t="inlineStr">
        <is>
          <t>Meeting pf Agricultural Chief Scientists of G20 States</t>
        </is>
      </c>
      <c r="G1298" t="inlineStr">
        <is>
          <t>Réunion des scientifiques en chef agricoles des États du G20</t>
        </is>
      </c>
      <c r="H1298" s="1" t="n">
        <v>43245</v>
      </c>
      <c r="I1298" s="1" t="n">
        <v>43252</v>
      </c>
      <c r="J1298" t="inlineStr">
        <is>
          <t>San Salvador de Jujuy, Argentina</t>
        </is>
      </c>
      <c r="K1298" t="inlineStr">
        <is>
          <t>San Salvador de Jujuy, Argentine</t>
        </is>
      </c>
      <c r="P1298" t="n">
        <v>6875</v>
      </c>
      <c r="Q1298" t="n">
        <v>286.14</v>
      </c>
      <c r="R1298" t="n">
        <v>638.58</v>
      </c>
      <c r="S1298" t="n">
        <v>722.48</v>
      </c>
      <c r="T1298" t="n">
        <v>0</v>
      </c>
      <c r="U1298" t="n">
        <v>8522.200000000001</v>
      </c>
      <c r="V1298" t="inlineStr">
        <is>
          <t>AJD932368</t>
        </is>
      </c>
      <c r="W1298" t="inlineStr">
        <is>
          <t>AJD932368</t>
        </is>
      </c>
      <c r="X1298" t="inlineStr">
        <is>
          <t>aafc-aac</t>
        </is>
      </c>
      <c r="Y1298" t="inlineStr">
        <is>
          <t>Agriculture and Agri-Food Canada | Agriculture et Agroalimentaire Canada</t>
        </is>
      </c>
      <c r="Z1298" t="n">
        <v>8</v>
      </c>
      <c r="AA1298" t="n">
        <v>8522.200000000001</v>
      </c>
      <c r="AB1298">
        <f>ROUND(U1298-AA1298,2)</f>
        <v/>
      </c>
      <c r="AC1298" t="b">
        <v>0</v>
      </c>
      <c r="AD1298">
        <f>IF(U1298="","MISSING_TOTAL",IF(ABS(AB1298)&lt;=0.01,"OK","CHECK"))</f>
        <v/>
      </c>
      <c r="AE1298">
        <f>IF(U1298="","MISSING",IF(AND(AA1298&gt;0,U1298/AA1298&gt;50),"POSSIBLE_SCALE_ERROR","OK"))</f>
        <v/>
      </c>
    </row>
    <row r="1299">
      <c r="A1299" t="inlineStr">
        <is>
          <t>T-2019-P3-0001</t>
        </is>
      </c>
      <c r="B1299" t="inlineStr">
        <is>
          <t>MPSES</t>
        </is>
      </c>
      <c r="C1299" t="inlineStr">
        <is>
          <t>Press Secretary</t>
        </is>
      </c>
      <c r="D1299" t="inlineStr">
        <is>
          <t>Attachée de Presse</t>
        </is>
      </c>
      <c r="E1299" t="inlineStr">
        <is>
          <t>Justine Lesage</t>
        </is>
      </c>
      <c r="F1299" t="inlineStr">
        <is>
          <t>To accompany the Minister to the announcement of the Youth Employment and Skills Program</t>
        </is>
      </c>
      <c r="G1299" t="inlineStr">
        <is>
          <t>Pour accompagner la Ministre à l'annonce du Programme d'emploi et de compétences des jeunes</t>
        </is>
      </c>
      <c r="H1299" s="1" t="n">
        <v>43619</v>
      </c>
      <c r="I1299" s="1" t="n">
        <v>43619</v>
      </c>
      <c r="J1299" t="inlineStr">
        <is>
          <t>Beauharnois (Quebec) Canada</t>
        </is>
      </c>
      <c r="K1299" t="inlineStr">
        <is>
          <t>Beauharnois (Québec) Canada</t>
        </is>
      </c>
      <c r="P1299" t="n">
        <v>0</v>
      </c>
      <c r="Q1299" t="n">
        <v>134.4</v>
      </c>
      <c r="R1299" t="n">
        <v>0</v>
      </c>
      <c r="S1299" t="n">
        <v>20.5</v>
      </c>
      <c r="T1299" t="n">
        <v>0</v>
      </c>
      <c r="U1299" t="n">
        <v>154.9</v>
      </c>
      <c r="X1299" t="inlineStr">
        <is>
          <t>aafc-aac</t>
        </is>
      </c>
      <c r="Y1299" t="inlineStr">
        <is>
          <t>Agriculture and Agri-Food Canada | Agriculture et Agroalimentaire Canada</t>
        </is>
      </c>
      <c r="Z1299" t="n">
        <v>1</v>
      </c>
      <c r="AA1299" t="n">
        <v>154.9</v>
      </c>
      <c r="AB1299">
        <f>ROUND(U1299-AA1299,2)</f>
        <v/>
      </c>
      <c r="AC1299" t="b">
        <v>0</v>
      </c>
      <c r="AD1299">
        <f>IF(U1299="","MISSING_TOTAL",IF(ABS(AB1299)&lt;=0.01,"OK","CHECK"))</f>
        <v/>
      </c>
      <c r="AE1299">
        <f>IF(U1299="","MISSING",IF(AND(AA1299&gt;0,U1299/AA1299&gt;50),"POSSIBLE_SCALE_ERROR","OK"))</f>
        <v/>
      </c>
    </row>
    <row r="1300">
      <c r="A1300" t="inlineStr">
        <is>
          <t>T-2019-P3-0002</t>
        </is>
      </c>
      <c r="B1300" t="inlineStr">
        <is>
          <t>MPSES</t>
        </is>
      </c>
      <c r="C1300" t="inlineStr">
        <is>
          <t>Press Secretary</t>
        </is>
      </c>
      <c r="D1300" t="inlineStr">
        <is>
          <t>Attachée de Presse</t>
        </is>
      </c>
      <c r="E1300" t="inlineStr">
        <is>
          <t>Justine Lesage</t>
        </is>
      </c>
      <c r="F1300" t="inlineStr">
        <is>
          <t>To accompany the Minister for an investment announcement in organic trade</t>
        </is>
      </c>
      <c r="G1300" t="inlineStr">
        <is>
          <t>Pour accompagner la Ministre une annonce d'investissement dans la commerce biologique</t>
        </is>
      </c>
      <c r="H1300" s="1" t="n">
        <v>43630</v>
      </c>
      <c r="I1300" s="1" t="n">
        <v>43630</v>
      </c>
      <c r="J1300" t="inlineStr">
        <is>
          <t>Sherbrooke (Quebec) Canada</t>
        </is>
      </c>
      <c r="K1300" t="inlineStr">
        <is>
          <t>Sherbrooke (Québec) Canada</t>
        </is>
      </c>
      <c r="P1300" t="n">
        <v>0</v>
      </c>
      <c r="Q1300" t="n">
        <v>217.98</v>
      </c>
      <c r="R1300" t="n">
        <v>0</v>
      </c>
      <c r="S1300" t="n">
        <v>20.1</v>
      </c>
      <c r="T1300" t="n">
        <v>0</v>
      </c>
      <c r="U1300" t="n">
        <v>238.08</v>
      </c>
      <c r="X1300" t="inlineStr">
        <is>
          <t>aafc-aac</t>
        </is>
      </c>
      <c r="Y1300" t="inlineStr">
        <is>
          <t>Agriculture and Agri-Food Canada | Agriculture et Agroalimentaire Canada</t>
        </is>
      </c>
      <c r="Z1300" t="n">
        <v>1</v>
      </c>
      <c r="AA1300" t="n">
        <v>238.079999999999</v>
      </c>
      <c r="AB1300">
        <f>ROUND(U1300-AA1300,2)</f>
        <v/>
      </c>
      <c r="AC1300" t="b">
        <v>0</v>
      </c>
      <c r="AD1300">
        <f>IF(U1300="","MISSING_TOTAL",IF(ABS(AB1300)&lt;=0.01,"OK","CHECK"))</f>
        <v/>
      </c>
      <c r="AE1300">
        <f>IF(U1300="","MISSING",IF(AND(AA1300&gt;0,U1300/AA1300&gt;50),"POSSIBLE_SCALE_ERROR","OK"))</f>
        <v/>
      </c>
    </row>
    <row r="1301">
      <c r="A1301" t="inlineStr">
        <is>
          <t>T-2019-P3-0003</t>
        </is>
      </c>
      <c r="B1301" t="inlineStr">
        <is>
          <t>MPSES</t>
        </is>
      </c>
      <c r="C1301" t="inlineStr">
        <is>
          <t>Driver</t>
        </is>
      </c>
      <c r="D1301" t="inlineStr">
        <is>
          <t>Conducteur</t>
        </is>
      </c>
      <c r="E1301" t="inlineStr">
        <is>
          <t>Michel Gendreau</t>
        </is>
      </c>
      <c r="F1301" t="inlineStr">
        <is>
          <t>To pick up the Minister from Sherbrooke and drive her to Ottawa</t>
        </is>
      </c>
      <c r="G1301" t="inlineStr">
        <is>
          <t>Pour aller chercher la Ministre à Sherbrooke et la conduire à Ottawa</t>
        </is>
      </c>
      <c r="H1301" s="1" t="n">
        <v>43618</v>
      </c>
      <c r="I1301" s="1" t="n">
        <v>43619</v>
      </c>
      <c r="J1301" t="inlineStr">
        <is>
          <t>Sherbrooke (Quebec) Canada</t>
        </is>
      </c>
      <c r="K1301" t="inlineStr">
        <is>
          <t>Sherbrooke (Québec) Canada</t>
        </is>
      </c>
      <c r="P1301" t="n">
        <v>0</v>
      </c>
      <c r="Q1301" t="n">
        <v>6.2</v>
      </c>
      <c r="R1301" t="n">
        <v>141.3</v>
      </c>
      <c r="S1301" t="n">
        <v>105.75</v>
      </c>
      <c r="T1301" t="n">
        <v>0</v>
      </c>
      <c r="U1301" t="n">
        <v>253.25</v>
      </c>
      <c r="X1301" t="inlineStr">
        <is>
          <t>aafc-aac</t>
        </is>
      </c>
      <c r="Y1301" t="inlineStr">
        <is>
          <t>Agriculture and Agri-Food Canada | Agriculture et Agroalimentaire Canada</t>
        </is>
      </c>
      <c r="Z1301" t="n">
        <v>2</v>
      </c>
      <c r="AA1301" t="n">
        <v>253.25</v>
      </c>
      <c r="AB1301">
        <f>ROUND(U1301-AA1301,2)</f>
        <v/>
      </c>
      <c r="AC1301" t="b">
        <v>0</v>
      </c>
      <c r="AD1301">
        <f>IF(U1301="","MISSING_TOTAL",IF(ABS(AB1301)&lt;=0.01,"OK","CHECK"))</f>
        <v/>
      </c>
      <c r="AE1301">
        <f>IF(U1301="","MISSING",IF(AND(AA1301&gt;0,U1301/AA1301&gt;50),"POSSIBLE_SCALE_ERROR","OK"))</f>
        <v/>
      </c>
    </row>
    <row r="1302">
      <c r="A1302" t="inlineStr">
        <is>
          <t>T-2019-P3-0004</t>
        </is>
      </c>
      <c r="B1302" t="inlineStr">
        <is>
          <t>MPSES</t>
        </is>
      </c>
      <c r="C1302" t="inlineStr">
        <is>
          <t>Driver</t>
        </is>
      </c>
      <c r="D1302" t="inlineStr">
        <is>
          <t>Conducteur</t>
        </is>
      </c>
      <c r="E1302" t="inlineStr">
        <is>
          <t>Michel Gendreau</t>
        </is>
      </c>
      <c r="F1302" t="inlineStr">
        <is>
          <t>To drive the Minister to Sherbrooke</t>
        </is>
      </c>
      <c r="G1302" t="inlineStr">
        <is>
          <t>Pour reconduire la Ministre à Sherbrooke</t>
        </is>
      </c>
      <c r="H1302" s="1" t="n">
        <v>43623</v>
      </c>
      <c r="I1302" s="1" t="n">
        <v>43623</v>
      </c>
      <c r="J1302" t="inlineStr">
        <is>
          <t>Sherbrooke (Quebec) Canada</t>
        </is>
      </c>
      <c r="K1302" t="inlineStr">
        <is>
          <t>Sherbrooke (Québec) Canada</t>
        </is>
      </c>
      <c r="P1302" t="n">
        <v>0</v>
      </c>
      <c r="Q1302" t="n">
        <v>6.2</v>
      </c>
      <c r="R1302" t="n">
        <v>0</v>
      </c>
      <c r="S1302" t="n">
        <v>50.65</v>
      </c>
      <c r="T1302" t="n">
        <v>0</v>
      </c>
      <c r="U1302" t="n">
        <v>56.85</v>
      </c>
      <c r="X1302" t="inlineStr">
        <is>
          <t>aafc-aac</t>
        </is>
      </c>
      <c r="Y1302" t="inlineStr">
        <is>
          <t>Agriculture and Agri-Food Canada | Agriculture et Agroalimentaire Canada</t>
        </is>
      </c>
      <c r="Z1302" t="n">
        <v>1</v>
      </c>
      <c r="AA1302" t="n">
        <v>56.85</v>
      </c>
      <c r="AB1302">
        <f>ROUND(U1302-AA1302,2)</f>
        <v/>
      </c>
      <c r="AC1302" t="b">
        <v>0</v>
      </c>
      <c r="AD1302">
        <f>IF(U1302="","MISSING_TOTAL",IF(ABS(AB1302)&lt;=0.01,"OK","CHECK"))</f>
        <v/>
      </c>
      <c r="AE1302">
        <f>IF(U1302="","MISSING",IF(AND(AA1302&gt;0,U1302/AA1302&gt;50),"POSSIBLE_SCALE_ERROR","OK"))</f>
        <v/>
      </c>
    </row>
    <row r="1303">
      <c r="A1303" t="inlineStr">
        <is>
          <t>T-2019-P3-0005</t>
        </is>
      </c>
      <c r="B1303" t="inlineStr">
        <is>
          <t>MPSES</t>
        </is>
      </c>
      <c r="C1303" t="inlineStr">
        <is>
          <t>Driver</t>
        </is>
      </c>
      <c r="D1303" t="inlineStr">
        <is>
          <t>Conducteur</t>
        </is>
      </c>
      <c r="E1303" t="inlineStr">
        <is>
          <t>Michel Gendreau</t>
        </is>
      </c>
      <c r="F1303" t="inlineStr">
        <is>
          <t>To pick up the Minister from Sherbrooke and drive her to Ottawa</t>
        </is>
      </c>
      <c r="G1303" t="inlineStr">
        <is>
          <t>Pour aller chercher la Ministre à Sherbrooke et la conduire à Ottawa</t>
        </is>
      </c>
      <c r="H1303" s="1" t="n">
        <v>43625</v>
      </c>
      <c r="I1303" s="1" t="n">
        <v>43626</v>
      </c>
      <c r="J1303" t="inlineStr">
        <is>
          <t>Sherbrooke (Quebec) Canada</t>
        </is>
      </c>
      <c r="K1303" t="inlineStr">
        <is>
          <t>Sherbrooke (Québec) Canada</t>
        </is>
      </c>
      <c r="P1303" t="n">
        <v>0</v>
      </c>
      <c r="Q1303" t="n">
        <v>6.2</v>
      </c>
      <c r="R1303" t="n">
        <v>160.64</v>
      </c>
      <c r="S1303" t="n">
        <v>105.75</v>
      </c>
      <c r="T1303" t="n">
        <v>0</v>
      </c>
      <c r="U1303" t="n">
        <v>272.59</v>
      </c>
      <c r="X1303" t="inlineStr">
        <is>
          <t>aafc-aac</t>
        </is>
      </c>
      <c r="Y1303" t="inlineStr">
        <is>
          <t>Agriculture and Agri-Food Canada | Agriculture et Agroalimentaire Canada</t>
        </is>
      </c>
      <c r="Z1303" t="n">
        <v>2</v>
      </c>
      <c r="AA1303" t="n">
        <v>272.59</v>
      </c>
      <c r="AB1303">
        <f>ROUND(U1303-AA1303,2)</f>
        <v/>
      </c>
      <c r="AC1303" t="b">
        <v>0</v>
      </c>
      <c r="AD1303">
        <f>IF(U1303="","MISSING_TOTAL",IF(ABS(AB1303)&lt;=0.01,"OK","CHECK"))</f>
        <v/>
      </c>
      <c r="AE1303">
        <f>IF(U1303="","MISSING",IF(AND(AA1303&gt;0,U1303/AA1303&gt;50),"POSSIBLE_SCALE_ERROR","OK"))</f>
        <v/>
      </c>
    </row>
    <row r="1304">
      <c r="A1304" t="inlineStr">
        <is>
          <t>T-2019-P3-0006</t>
        </is>
      </c>
      <c r="B1304" t="inlineStr">
        <is>
          <t>MPSES</t>
        </is>
      </c>
      <c r="C1304" t="inlineStr">
        <is>
          <t>Driver</t>
        </is>
      </c>
      <c r="D1304" t="inlineStr">
        <is>
          <t>Conducteur</t>
        </is>
      </c>
      <c r="E1304" t="inlineStr">
        <is>
          <t>Michel Gendreau</t>
        </is>
      </c>
      <c r="F1304" t="inlineStr">
        <is>
          <t>To drive the Minister to Sherbrooke and to make announcements</t>
        </is>
      </c>
      <c r="G1304" t="inlineStr">
        <is>
          <t>Pour reconduire la Ministre à Sherbrooke et pour faire des annonces</t>
        </is>
      </c>
      <c r="H1304" s="1" t="n">
        <v>43629</v>
      </c>
      <c r="I1304" s="1" t="n">
        <v>43630</v>
      </c>
      <c r="J1304" t="inlineStr">
        <is>
          <t>Sherbrooke (Quebec) Canada</t>
        </is>
      </c>
      <c r="K1304" t="inlineStr">
        <is>
          <t>Sherbrooke (Québec) Canada</t>
        </is>
      </c>
      <c r="P1304" t="n">
        <v>0</v>
      </c>
      <c r="Q1304" t="n">
        <v>6.2</v>
      </c>
      <c r="R1304" t="n">
        <v>141.3</v>
      </c>
      <c r="S1304" t="n">
        <v>125.85</v>
      </c>
      <c r="T1304" t="n">
        <v>0</v>
      </c>
      <c r="U1304" t="n">
        <v>273.35</v>
      </c>
      <c r="X1304" t="inlineStr">
        <is>
          <t>aafc-aac</t>
        </is>
      </c>
      <c r="Y1304" t="inlineStr">
        <is>
          <t>Agriculture and Agri-Food Canada | Agriculture et Agroalimentaire Canada</t>
        </is>
      </c>
      <c r="Z1304" t="n">
        <v>2</v>
      </c>
      <c r="AA1304" t="n">
        <v>273.35</v>
      </c>
      <c r="AB1304">
        <f>ROUND(U1304-AA1304,2)</f>
        <v/>
      </c>
      <c r="AC1304" t="b">
        <v>0</v>
      </c>
      <c r="AD1304">
        <f>IF(U1304="","MISSING_TOTAL",IF(ABS(AB1304)&lt;=0.01,"OK","CHECK"))</f>
        <v/>
      </c>
      <c r="AE1304">
        <f>IF(U1304="","MISSING",IF(AND(AA1304&gt;0,U1304/AA1304&gt;50),"POSSIBLE_SCALE_ERROR","OK"))</f>
        <v/>
      </c>
    </row>
    <row r="1305">
      <c r="A1305" t="inlineStr">
        <is>
          <t>T-2019-P3-0007</t>
        </is>
      </c>
      <c r="B1305" t="inlineStr">
        <is>
          <t>MPSES</t>
        </is>
      </c>
      <c r="C1305" t="inlineStr">
        <is>
          <t>Driver</t>
        </is>
      </c>
      <c r="D1305" t="inlineStr">
        <is>
          <t>Conducteur</t>
        </is>
      </c>
      <c r="E1305" t="inlineStr">
        <is>
          <t>Michel Gendreau</t>
        </is>
      </c>
      <c r="F1305" t="inlineStr">
        <is>
          <t>To pick up the Minister from Sherbrooke and drive her to Ottawa</t>
        </is>
      </c>
      <c r="G1305" t="inlineStr">
        <is>
          <t>Pour aller chercher la Ministre à Sherbrooke et la conduire à Ottawa</t>
        </is>
      </c>
      <c r="H1305" s="1" t="n">
        <v>43632</v>
      </c>
      <c r="I1305" s="1" t="n">
        <v>43633</v>
      </c>
      <c r="J1305" t="inlineStr">
        <is>
          <t>Sherbrooke (Quebec) Canada</t>
        </is>
      </c>
      <c r="K1305" t="inlineStr">
        <is>
          <t>Sherbrooke (Québec) Canada</t>
        </is>
      </c>
      <c r="P1305" t="n">
        <v>0</v>
      </c>
      <c r="Q1305" t="n">
        <v>3.1</v>
      </c>
      <c r="R1305" t="n">
        <v>141.3</v>
      </c>
      <c r="S1305" t="n">
        <v>105.75</v>
      </c>
      <c r="T1305" t="n">
        <v>0</v>
      </c>
      <c r="U1305" t="n">
        <v>250.15</v>
      </c>
      <c r="X1305" t="inlineStr">
        <is>
          <t>aafc-aac</t>
        </is>
      </c>
      <c r="Y1305" t="inlineStr">
        <is>
          <t>Agriculture and Agri-Food Canada | Agriculture et Agroalimentaire Canada</t>
        </is>
      </c>
      <c r="Z1305" t="n">
        <v>2</v>
      </c>
      <c r="AA1305" t="n">
        <v>250.15</v>
      </c>
      <c r="AB1305">
        <f>ROUND(U1305-AA1305,2)</f>
        <v/>
      </c>
      <c r="AC1305" t="b">
        <v>0</v>
      </c>
      <c r="AD1305">
        <f>IF(U1305="","MISSING_TOTAL",IF(ABS(AB1305)&lt;=0.01,"OK","CHECK"))</f>
        <v/>
      </c>
      <c r="AE1305">
        <f>IF(U1305="","MISSING",IF(AND(AA1305&gt;0,U1305/AA1305&gt;50),"POSSIBLE_SCALE_ERROR","OK"))</f>
        <v/>
      </c>
    </row>
    <row r="1306">
      <c r="A1306" t="inlineStr">
        <is>
          <t>T-2019-P3-0008</t>
        </is>
      </c>
      <c r="B1306" t="inlineStr">
        <is>
          <t>MPSES</t>
        </is>
      </c>
      <c r="C1306" t="inlineStr">
        <is>
          <t>Senior Communications and Policy Advisor</t>
        </is>
      </c>
      <c r="D1306" t="inlineStr">
        <is>
          <t>Conseiller principal en communications et politiques</t>
        </is>
      </c>
      <c r="E1306" t="inlineStr">
        <is>
          <t>Oliver Anderson</t>
        </is>
      </c>
      <c r="F1306" t="inlineStr">
        <is>
          <t>To accompany the Minister to the launch the Food Policy for Canada</t>
        </is>
      </c>
      <c r="G1306" t="inlineStr">
        <is>
          <t>Pour accompagner la Ministre au lancement de la Politique alimentaire pour le Canada</t>
        </is>
      </c>
      <c r="H1306" s="1" t="n">
        <v>43633</v>
      </c>
      <c r="I1306" s="1" t="n">
        <v>43633</v>
      </c>
      <c r="J1306" t="inlineStr">
        <is>
          <t>Montreal (Quebec) Canada</t>
        </is>
      </c>
      <c r="K1306" t="inlineStr">
        <is>
          <t>Montréal (Québec) Canada</t>
        </is>
      </c>
      <c r="P1306" t="n">
        <v>0</v>
      </c>
      <c r="Q1306" t="n">
        <v>140.09</v>
      </c>
      <c r="R1306" t="n">
        <v>0</v>
      </c>
      <c r="S1306" t="n">
        <v>20.5</v>
      </c>
      <c r="T1306" t="n">
        <v>0</v>
      </c>
      <c r="U1306" t="n">
        <v>160.59</v>
      </c>
      <c r="X1306" t="inlineStr">
        <is>
          <t>aafc-aac</t>
        </is>
      </c>
      <c r="Y1306" t="inlineStr">
        <is>
          <t>Agriculture and Agri-Food Canada | Agriculture et Agroalimentaire Canada</t>
        </is>
      </c>
      <c r="Z1306" t="n">
        <v>1</v>
      </c>
      <c r="AA1306" t="n">
        <v>160.59</v>
      </c>
      <c r="AB1306">
        <f>ROUND(U1306-AA1306,2)</f>
        <v/>
      </c>
      <c r="AC1306" t="b">
        <v>0</v>
      </c>
      <c r="AD1306">
        <f>IF(U1306="","MISSING_TOTAL",IF(ABS(AB1306)&lt;=0.01,"OK","CHECK"))</f>
        <v/>
      </c>
      <c r="AE1306">
        <f>IF(U1306="","MISSING",IF(AND(AA1306&gt;0,U1306/AA1306&gt;50),"POSSIBLE_SCALE_ERROR","OK"))</f>
        <v/>
      </c>
    </row>
    <row r="1307">
      <c r="A1307" t="inlineStr">
        <is>
          <t>T-2019-P3-0009</t>
        </is>
      </c>
      <c r="B1307" t="inlineStr">
        <is>
          <t>SLE</t>
        </is>
      </c>
      <c r="C1307" t="inlineStr">
        <is>
          <t>Associate Deputy Minister</t>
        </is>
      </c>
      <c r="D1307" t="inlineStr">
        <is>
          <t>Sous-ministre déléguée</t>
        </is>
      </c>
      <c r="E1307" t="inlineStr">
        <is>
          <t>Annette Gibbons</t>
        </is>
      </c>
      <c r="F1307" t="inlineStr">
        <is>
          <t>To attend the Conference of Montreal and chair the Food Processing Industry Roundtable</t>
        </is>
      </c>
      <c r="G1307" t="inlineStr">
        <is>
          <t>Pour assister à la Conférence de Montréal et pour présider à la Table ronde de l'industrie de la transformation des aliments</t>
        </is>
      </c>
      <c r="H1307" s="1" t="n">
        <v>43626</v>
      </c>
      <c r="I1307" s="1" t="n">
        <v>43628</v>
      </c>
      <c r="J1307" t="inlineStr">
        <is>
          <t>Montreal (Quebec) Canada</t>
        </is>
      </c>
      <c r="K1307" t="inlineStr">
        <is>
          <t>Montréal (Québec) Canada</t>
        </is>
      </c>
      <c r="P1307" t="n">
        <v>0</v>
      </c>
      <c r="Q1307" t="n">
        <v>220.47</v>
      </c>
      <c r="R1307" t="n">
        <v>414.13</v>
      </c>
      <c r="S1307" t="n">
        <v>176.5</v>
      </c>
      <c r="T1307" t="n">
        <v>0</v>
      </c>
      <c r="U1307" t="n">
        <v>811.1</v>
      </c>
      <c r="X1307" t="inlineStr">
        <is>
          <t>aafc-aac</t>
        </is>
      </c>
      <c r="Y1307" t="inlineStr">
        <is>
          <t>Agriculture and Agri-Food Canada | Agriculture et Agroalimentaire Canada</t>
        </is>
      </c>
      <c r="Z1307" t="n">
        <v>3</v>
      </c>
      <c r="AA1307" t="n">
        <v>811.1</v>
      </c>
      <c r="AB1307">
        <f>ROUND(U1307-AA1307,2)</f>
        <v/>
      </c>
      <c r="AC1307" t="b">
        <v>0</v>
      </c>
      <c r="AD1307">
        <f>IF(U1307="","MISSING_TOTAL",IF(ABS(AB1307)&lt;=0.01,"OK","CHECK"))</f>
        <v/>
      </c>
      <c r="AE1307">
        <f>IF(U1307="","MISSING",IF(AND(AA1307&gt;0,U1307/AA1307&gt;50),"POSSIBLE_SCALE_ERROR","OK"))</f>
        <v/>
      </c>
    </row>
    <row r="1308">
      <c r="A1308" t="inlineStr">
        <is>
          <t>T-2019-P3-0010</t>
        </is>
      </c>
      <c r="B1308" t="inlineStr">
        <is>
          <t>SLE</t>
        </is>
      </c>
      <c r="C1308" t="inlineStr">
        <is>
          <t>Deputy Minister</t>
        </is>
      </c>
      <c r="D1308" t="inlineStr">
        <is>
          <t>Sous-ministre</t>
        </is>
      </c>
      <c r="E1308" t="inlineStr">
        <is>
          <t>Chris Forbes</t>
        </is>
      </c>
      <c r="F1308" t="inlineStr">
        <is>
          <t>To attend the Plant Protein Ingredients Summit</t>
        </is>
      </c>
      <c r="G1308" t="inlineStr">
        <is>
          <t>Pour assister au sommet des ingrédients de protéine végétale</t>
        </is>
      </c>
      <c r="H1308" s="1" t="n">
        <v>43615</v>
      </c>
      <c r="I1308" s="1" t="n">
        <v>43618</v>
      </c>
      <c r="J1308" t="inlineStr">
        <is>
          <t>Saskatoon (Saskatchewan) Canada</t>
        </is>
      </c>
      <c r="K1308" t="inlineStr">
        <is>
          <t>Saskatoon (Saskatchewan) Canada</t>
        </is>
      </c>
      <c r="P1308" t="n">
        <v>2961.69</v>
      </c>
      <c r="Q1308" t="n">
        <v>60.82</v>
      </c>
      <c r="R1308" t="n">
        <v>365.86</v>
      </c>
      <c r="S1308" t="n">
        <v>318.4</v>
      </c>
      <c r="T1308" t="n">
        <v>0</v>
      </c>
      <c r="U1308" t="n">
        <v>3706.77</v>
      </c>
      <c r="V1308" t="inlineStr">
        <is>
          <t>Due to an error in booking, a refund will follow shortly.</t>
        </is>
      </c>
      <c r="W1308" t="inlineStr">
        <is>
          <t>En raison d'une erreur de réservation, un remboursement sera effectué sous peu.</t>
        </is>
      </c>
      <c r="X1308" t="inlineStr">
        <is>
          <t>aafc-aac</t>
        </is>
      </c>
      <c r="Y1308" t="inlineStr">
        <is>
          <t>Agriculture and Agri-Food Canada | Agriculture et Agroalimentaire Canada</t>
        </is>
      </c>
      <c r="Z1308" t="n">
        <v>4</v>
      </c>
      <c r="AA1308" t="n">
        <v>3706.77</v>
      </c>
      <c r="AB1308">
        <f>ROUND(U1308-AA1308,2)</f>
        <v/>
      </c>
      <c r="AC1308" t="b">
        <v>0</v>
      </c>
      <c r="AD1308">
        <f>IF(U1308="","MISSING_TOTAL",IF(ABS(AB1308)&lt;=0.01,"OK","CHECK"))</f>
        <v/>
      </c>
      <c r="AE1308">
        <f>IF(U1308="","MISSING",IF(AND(AA1308&gt;0,U1308/AA1308&gt;50),"POSSIBLE_SCALE_ERROR","OK"))</f>
        <v/>
      </c>
    </row>
    <row r="1309">
      <c r="A1309" t="inlineStr">
        <is>
          <t>T-2019-P3-0011</t>
        </is>
      </c>
      <c r="B1309" t="inlineStr">
        <is>
          <t>SLE</t>
        </is>
      </c>
      <c r="C1309" t="inlineStr">
        <is>
          <t>Deputy Minister</t>
        </is>
      </c>
      <c r="D1309" t="inlineStr">
        <is>
          <t>Sous-ministre</t>
        </is>
      </c>
      <c r="E1309" t="inlineStr">
        <is>
          <t>Chris Forbes</t>
        </is>
      </c>
      <c r="F1309" t="inlineStr">
        <is>
          <t>To attend the Conference of Montreal</t>
        </is>
      </c>
      <c r="G1309" t="inlineStr">
        <is>
          <t>Pour assister à la Conférence de Montréal</t>
        </is>
      </c>
      <c r="H1309" s="1" t="n">
        <v>43626</v>
      </c>
      <c r="I1309" s="1" t="n">
        <v>43627</v>
      </c>
      <c r="J1309" t="inlineStr">
        <is>
          <t>Montreal (Quebec) Canada</t>
        </is>
      </c>
      <c r="K1309" t="inlineStr">
        <is>
          <t>Montréal (Québec) Canada</t>
        </is>
      </c>
      <c r="P1309" t="n">
        <v>0</v>
      </c>
      <c r="Q1309" t="n">
        <v>193.23</v>
      </c>
      <c r="R1309" t="n">
        <v>232.05</v>
      </c>
      <c r="S1309" t="n">
        <v>50.65</v>
      </c>
      <c r="T1309" t="n">
        <v>0</v>
      </c>
      <c r="U1309" t="n">
        <v>475.93</v>
      </c>
      <c r="X1309" t="inlineStr">
        <is>
          <t>aafc-aac</t>
        </is>
      </c>
      <c r="Y1309" t="inlineStr">
        <is>
          <t>Agriculture and Agri-Food Canada | Agriculture et Agroalimentaire Canada</t>
        </is>
      </c>
      <c r="Z1309" t="n">
        <v>2</v>
      </c>
      <c r="AA1309" t="n">
        <v>475.929999999999</v>
      </c>
      <c r="AB1309">
        <f>ROUND(U1309-AA1309,2)</f>
        <v/>
      </c>
      <c r="AC1309" t="b">
        <v>0</v>
      </c>
      <c r="AD1309">
        <f>IF(U1309="","MISSING_TOTAL",IF(ABS(AB1309)&lt;=0.01,"OK","CHECK"))</f>
        <v/>
      </c>
      <c r="AE1309">
        <f>IF(U1309="","MISSING",IF(AND(AA1309&gt;0,U1309/AA1309&gt;50),"POSSIBLE_SCALE_ERROR","OK"))</f>
        <v/>
      </c>
    </row>
    <row r="1310">
      <c r="A1310" t="inlineStr">
        <is>
          <t>T-2019-P3-0012</t>
        </is>
      </c>
      <c r="B1310" t="inlineStr">
        <is>
          <t>SLE</t>
        </is>
      </c>
      <c r="C1310" t="inlineStr">
        <is>
          <t>Assistant Deputy Minister, Science and Technology Branch</t>
        </is>
      </c>
      <c r="D1310" t="inlineStr">
        <is>
          <t>Sous-ministre adjoint, Direction générale des sciences et de la technologie</t>
        </is>
      </c>
      <c r="E1310" t="inlineStr">
        <is>
          <t>Brian Gray</t>
        </is>
      </c>
      <c r="F1310" t="inlineStr">
        <is>
          <t>Outreach to the Research and Development Centre, All-Staff meeting and meeting with Provincial Counterparts.</t>
        </is>
      </c>
      <c r="G1310" t="inlineStr">
        <is>
          <t>Visite de sensibilisation au Centre de recherche et de développement, réunions avec tout le personnel et réunions avec des collègues du gouvernement provincial.</t>
        </is>
      </c>
      <c r="H1310" s="1" t="n">
        <v>43626</v>
      </c>
      <c r="I1310" s="1" t="n">
        <v>43627</v>
      </c>
      <c r="J1310" t="inlineStr">
        <is>
          <t>Saskatoon (Saskatchewan) Canada</t>
        </is>
      </c>
      <c r="K1310" t="inlineStr">
        <is>
          <t>Saskatoon (Saskatchewan) Canada</t>
        </is>
      </c>
      <c r="P1310" t="n">
        <v>817.5700000000001</v>
      </c>
      <c r="Q1310" t="n">
        <v>73.3</v>
      </c>
      <c r="R1310" t="n">
        <v>170.35</v>
      </c>
      <c r="S1310" t="n">
        <v>145.95</v>
      </c>
      <c r="T1310" t="n">
        <v>0</v>
      </c>
      <c r="U1310" t="n">
        <v>1207.17</v>
      </c>
      <c r="X1310" t="inlineStr">
        <is>
          <t>aafc-aac</t>
        </is>
      </c>
      <c r="Y1310" t="inlineStr">
        <is>
          <t>Agriculture and Agri-Food Canada | Agriculture et Agroalimentaire Canada</t>
        </is>
      </c>
      <c r="Z1310" t="n">
        <v>2</v>
      </c>
      <c r="AA1310" t="n">
        <v>1207.17</v>
      </c>
      <c r="AB1310">
        <f>ROUND(U1310-AA1310,2)</f>
        <v/>
      </c>
      <c r="AC1310" t="b">
        <v>0</v>
      </c>
      <c r="AD1310">
        <f>IF(U1310="","MISSING_TOTAL",IF(ABS(AB1310)&lt;=0.01,"OK","CHECK"))</f>
        <v/>
      </c>
      <c r="AE1310">
        <f>IF(U1310="","MISSING",IF(AND(AA1310&gt;0,U1310/AA1310&gt;50),"POSSIBLE_SCALE_ERROR","OK"))</f>
        <v/>
      </c>
    </row>
    <row r="1311">
      <c r="A1311" t="inlineStr">
        <is>
          <t>T-2019-P3-0013</t>
        </is>
      </c>
      <c r="B1311" t="inlineStr">
        <is>
          <t>SLE</t>
        </is>
      </c>
      <c r="C1311" t="inlineStr">
        <is>
          <t>Chief Information Officer, Information Systems Branch</t>
        </is>
      </c>
      <c r="D1311" t="inlineStr">
        <is>
          <t>Dirigeant principal de l'information, Direction générale des systèmes information</t>
        </is>
      </c>
      <c r="E1311" t="inlineStr">
        <is>
          <t>Michel Lessard</t>
        </is>
      </c>
      <c r="F1311" t="inlineStr">
        <is>
          <t>2019 Gartner IT Symposium/Xpo</t>
        </is>
      </c>
      <c r="G1311" t="inlineStr">
        <is>
          <t>Symposium Gartner sur l'information/Xpo 2019</t>
        </is>
      </c>
      <c r="H1311" s="1" t="n">
        <v>43618</v>
      </c>
      <c r="I1311" s="1" t="n">
        <v>43622</v>
      </c>
      <c r="J1311" t="inlineStr">
        <is>
          <t>Toronto (Ontario) Canada</t>
        </is>
      </c>
      <c r="K1311" t="inlineStr">
        <is>
          <t>Toronto (Ontario) Canada</t>
        </is>
      </c>
      <c r="P1311" t="n">
        <v>338.88</v>
      </c>
      <c r="Q1311" t="n">
        <v>71.18000000000001</v>
      </c>
      <c r="R1311" t="n">
        <v>1311.52</v>
      </c>
      <c r="S1311" t="n">
        <v>228.4</v>
      </c>
      <c r="T1311" t="n">
        <v>0</v>
      </c>
      <c r="U1311" t="n">
        <v>1949.98</v>
      </c>
      <c r="X1311" t="inlineStr">
        <is>
          <t>aafc-aac</t>
        </is>
      </c>
      <c r="Y1311" t="inlineStr">
        <is>
          <t>Agriculture and Agri-Food Canada | Agriculture et Agroalimentaire Canada</t>
        </is>
      </c>
      <c r="Z1311" t="n">
        <v>5</v>
      </c>
      <c r="AA1311" t="n">
        <v>1949.98</v>
      </c>
      <c r="AB1311">
        <f>ROUND(U1311-AA1311,2)</f>
        <v/>
      </c>
      <c r="AC1311" t="b">
        <v>0</v>
      </c>
      <c r="AD1311">
        <f>IF(U1311="","MISSING_TOTAL",IF(ABS(AB1311)&lt;=0.01,"OK","CHECK"))</f>
        <v/>
      </c>
      <c r="AE1311">
        <f>IF(U1311="","MISSING",IF(AND(AA1311&gt;0,U1311/AA1311&gt;50),"POSSIBLE_SCALE_ERROR","OK"))</f>
        <v/>
      </c>
    </row>
    <row r="1312">
      <c r="A1312" t="inlineStr">
        <is>
          <t>T-2019-P4-0001</t>
        </is>
      </c>
      <c r="B1312" t="inlineStr">
        <is>
          <t>MPSES</t>
        </is>
      </c>
      <c r="C1312" t="inlineStr">
        <is>
          <t>Driver</t>
        </is>
      </c>
      <c r="D1312" t="inlineStr">
        <is>
          <t>Conducteur</t>
        </is>
      </c>
      <c r="E1312" t="inlineStr">
        <is>
          <t>Michel Gendreau</t>
        </is>
      </c>
      <c r="F1312" t="inlineStr">
        <is>
          <t>To bring documents to the Minister</t>
        </is>
      </c>
      <c r="G1312" t="inlineStr">
        <is>
          <t>Apporter des documents à la ministre</t>
        </is>
      </c>
      <c r="H1312" s="1" t="n">
        <v>43641</v>
      </c>
      <c r="I1312" s="1" t="n">
        <v>43641</v>
      </c>
      <c r="J1312" t="inlineStr">
        <is>
          <t>Sherbrooke (Quebec) Canada</t>
        </is>
      </c>
      <c r="K1312" t="inlineStr">
        <is>
          <t>Sherbrooke (Québec) Canada</t>
        </is>
      </c>
      <c r="P1312" t="n">
        <v>0</v>
      </c>
      <c r="Q1312" t="n">
        <v>6.2</v>
      </c>
      <c r="R1312" t="n">
        <v>0</v>
      </c>
      <c r="S1312" t="n">
        <v>20.1</v>
      </c>
      <c r="T1312" t="n">
        <v>0</v>
      </c>
      <c r="U1312" t="n">
        <v>26.3</v>
      </c>
      <c r="X1312" t="inlineStr">
        <is>
          <t>aafc-aac</t>
        </is>
      </c>
      <c r="Y1312" t="inlineStr">
        <is>
          <t>Agriculture and Agri-Food Canada | Agriculture et Agroalimentaire Canada</t>
        </is>
      </c>
      <c r="Z1312" t="n">
        <v>1</v>
      </c>
      <c r="AA1312" t="n">
        <v>26.3</v>
      </c>
      <c r="AB1312">
        <f>ROUND(U1312-AA1312,2)</f>
        <v/>
      </c>
      <c r="AC1312" t="b">
        <v>0</v>
      </c>
      <c r="AD1312">
        <f>IF(U1312="","MISSING_TOTAL",IF(ABS(AB1312)&lt;=0.01,"OK","CHECK"))</f>
        <v/>
      </c>
      <c r="AE1312">
        <f>IF(U1312="","MISSING",IF(AND(AA1312&gt;0,U1312/AA1312&gt;50),"POSSIBLE_SCALE_ERROR","OK"))</f>
        <v/>
      </c>
    </row>
    <row r="1313">
      <c r="A1313" t="inlineStr">
        <is>
          <t>T-2019-P4-0002</t>
        </is>
      </c>
      <c r="B1313" t="inlineStr">
        <is>
          <t>MPSES</t>
        </is>
      </c>
      <c r="C1313" t="inlineStr">
        <is>
          <t>Senior Policy Advisor</t>
        </is>
      </c>
      <c r="D1313" t="inlineStr">
        <is>
          <t>Conseiller principal des politiques</t>
        </is>
      </c>
      <c r="E1313" t="inlineStr">
        <is>
          <t>Michel-Antoine Renaud</t>
        </is>
      </c>
      <c r="F1313" t="inlineStr">
        <is>
          <t>To accompany the Minister for an investment announcement in organic trade</t>
        </is>
      </c>
      <c r="G1313" t="inlineStr">
        <is>
          <t>Accompagner la ministre pour une annonce d'investissement dans le commerce des produits biologiques</t>
        </is>
      </c>
      <c r="H1313" s="1" t="n">
        <v>43630</v>
      </c>
      <c r="I1313" s="1" t="n">
        <v>43630</v>
      </c>
      <c r="J1313" t="inlineStr">
        <is>
          <t>Sherbrooke (Quebec) Canada</t>
        </is>
      </c>
      <c r="K1313" t="inlineStr">
        <is>
          <t>Sherbrooke (Québec) Canada</t>
        </is>
      </c>
      <c r="P1313" t="n">
        <v>0</v>
      </c>
      <c r="Q1313" t="n">
        <v>0</v>
      </c>
      <c r="R1313" t="n">
        <v>160.52</v>
      </c>
      <c r="S1313" t="n">
        <v>105.35</v>
      </c>
      <c r="T1313" t="n">
        <v>0</v>
      </c>
      <c r="U1313" t="n">
        <v>265.87</v>
      </c>
      <c r="X1313" t="inlineStr">
        <is>
          <t>aafc-aac</t>
        </is>
      </c>
      <c r="Y1313" t="inlineStr">
        <is>
          <t>Agriculture and Agri-Food Canada | Agriculture et Agroalimentaire Canada</t>
        </is>
      </c>
      <c r="Z1313" t="n">
        <v>1</v>
      </c>
      <c r="AA1313" t="n">
        <v>265.87</v>
      </c>
      <c r="AB1313">
        <f>ROUND(U1313-AA1313,2)</f>
        <v/>
      </c>
      <c r="AC1313" t="b">
        <v>0</v>
      </c>
      <c r="AD1313">
        <f>IF(U1313="","MISSING_TOTAL",IF(ABS(AB1313)&lt;=0.01,"OK","CHECK"))</f>
        <v/>
      </c>
      <c r="AE1313">
        <f>IF(U1313="","MISSING",IF(AND(AA1313&gt;0,U1313/AA1313&gt;50),"POSSIBLE_SCALE_ERROR","OK"))</f>
        <v/>
      </c>
    </row>
    <row r="1314">
      <c r="A1314" t="inlineStr">
        <is>
          <t>T-2019-P4-0003</t>
        </is>
      </c>
      <c r="B1314" t="inlineStr">
        <is>
          <t>MPSES</t>
        </is>
      </c>
      <c r="C1314" t="inlineStr">
        <is>
          <t>Senior Policy Advisor</t>
        </is>
      </c>
      <c r="D1314" t="inlineStr">
        <is>
          <t>Conseiller principal des politiques</t>
        </is>
      </c>
      <c r="E1314" t="inlineStr">
        <is>
          <t>Michel-Antoine Renaud</t>
        </is>
      </c>
      <c r="F1314" t="inlineStr">
        <is>
          <t>To accompany the Minister for a meeting with pork and beef producers at the Sherbrooke Research and Development Centre</t>
        </is>
      </c>
      <c r="G1314" t="inlineStr">
        <is>
          <t>Accompagner la ministre à une rencontre avec des producteurs de porc et de bœuf au Centre de recherche et de développement de Sherbrooke</t>
        </is>
      </c>
      <c r="H1314" s="1" t="n">
        <v>43648</v>
      </c>
      <c r="I1314" s="1" t="n">
        <v>43648</v>
      </c>
      <c r="J1314" t="inlineStr">
        <is>
          <t>Sherbrooke (Quebec) Canada</t>
        </is>
      </c>
      <c r="K1314" t="inlineStr">
        <is>
          <t>Sherbrooke (Québec) Canada</t>
        </is>
      </c>
      <c r="P1314" t="n">
        <v>0</v>
      </c>
      <c r="Q1314" t="n">
        <v>118.07</v>
      </c>
      <c r="R1314" t="n">
        <v>0</v>
      </c>
      <c r="S1314" t="n">
        <v>70.75</v>
      </c>
      <c r="T1314" t="n">
        <v>0</v>
      </c>
      <c r="U1314" t="n">
        <v>188.82</v>
      </c>
      <c r="X1314" t="inlineStr">
        <is>
          <t>aafc-aac</t>
        </is>
      </c>
      <c r="Y1314" t="inlineStr">
        <is>
          <t>Agriculture and Agri-Food Canada | Agriculture et Agroalimentaire Canada</t>
        </is>
      </c>
      <c r="Z1314" t="n">
        <v>1</v>
      </c>
      <c r="AA1314" t="n">
        <v>188.82</v>
      </c>
      <c r="AB1314">
        <f>ROUND(U1314-AA1314,2)</f>
        <v/>
      </c>
      <c r="AC1314" t="b">
        <v>0</v>
      </c>
      <c r="AD1314">
        <f>IF(U1314="","MISSING_TOTAL",IF(ABS(AB1314)&lt;=0.01,"OK","CHECK"))</f>
        <v/>
      </c>
      <c r="AE1314">
        <f>IF(U1314="","MISSING",IF(AND(AA1314&gt;0,U1314/AA1314&gt;50),"POSSIBLE_SCALE_ERROR","OK"))</f>
        <v/>
      </c>
    </row>
    <row r="1315">
      <c r="A1315" t="inlineStr">
        <is>
          <t>T-2019-P4-0004</t>
        </is>
      </c>
      <c r="B1315" t="inlineStr">
        <is>
          <t>SLE</t>
        </is>
      </c>
      <c r="C1315" t="inlineStr">
        <is>
          <t>Associate Deputy Minister</t>
        </is>
      </c>
      <c r="D1315" t="inlineStr">
        <is>
          <t>Sous-ministre déléguée</t>
        </is>
      </c>
      <c r="E1315" t="inlineStr">
        <is>
          <t>Annette Gibbons</t>
        </is>
      </c>
      <c r="F1315" t="inlineStr">
        <is>
          <t>To attend the British Columbia Outreach</t>
        </is>
      </c>
      <c r="G1315" t="inlineStr">
        <is>
          <t>Participer à la visite en Colombie-Britannique</t>
        </is>
      </c>
      <c r="H1315" s="1" t="n">
        <v>43653</v>
      </c>
      <c r="I1315" s="1" t="n">
        <v>43656</v>
      </c>
      <c r="J1315" t="inlineStr">
        <is>
          <t>Kelowna (British Columbia);Vancouver (British Columbia); Whistler (British Columbia) Canada</t>
        </is>
      </c>
      <c r="K1315" t="inlineStr">
        <is>
          <t>Kelowna (Colombie-Britannique);Vancouver (Colombie-Britannique); Whistler (Colombie-Britannique) Canada</t>
        </is>
      </c>
      <c r="P1315" t="n">
        <v>1841.56</v>
      </c>
      <c r="Q1315" t="n">
        <v>179.02</v>
      </c>
      <c r="R1315" t="n">
        <v>865.1900000000001</v>
      </c>
      <c r="S1315" t="n">
        <v>243.6</v>
      </c>
      <c r="T1315" t="n">
        <v>0</v>
      </c>
      <c r="U1315" t="n">
        <v>3129.37</v>
      </c>
      <c r="X1315" t="inlineStr">
        <is>
          <t>aafc-aac</t>
        </is>
      </c>
      <c r="Y1315" t="inlineStr">
        <is>
          <t>Agriculture and Agri-Food Canada | Agriculture et Agroalimentaire Canada</t>
        </is>
      </c>
      <c r="Z1315" t="n">
        <v>4</v>
      </c>
      <c r="AA1315" t="n">
        <v>3129.37</v>
      </c>
      <c r="AB1315">
        <f>ROUND(U1315-AA1315,2)</f>
        <v/>
      </c>
      <c r="AC1315" t="b">
        <v>0</v>
      </c>
      <c r="AD1315">
        <f>IF(U1315="","MISSING_TOTAL",IF(ABS(AB1315)&lt;=0.01,"OK","CHECK"))</f>
        <v/>
      </c>
      <c r="AE1315">
        <f>IF(U1315="","MISSING",IF(AND(AA1315&gt;0,U1315/AA1315&gt;50),"POSSIBLE_SCALE_ERROR","OK"))</f>
        <v/>
      </c>
    </row>
    <row r="1316">
      <c r="A1316" t="inlineStr">
        <is>
          <t>T-2019-P4-0005</t>
        </is>
      </c>
      <c r="B1316" t="inlineStr">
        <is>
          <t>SLE</t>
        </is>
      </c>
      <c r="C1316" t="inlineStr">
        <is>
          <t>Assistant Deputy Minister, Science and Technology Branch</t>
        </is>
      </c>
      <c r="D1316" t="inlineStr">
        <is>
          <t>Sous-ministre adjoint, Direction générale des sciences et de la technologie</t>
        </is>
      </c>
      <c r="E1316" t="inlineStr">
        <is>
          <t>Brian Gray</t>
        </is>
      </c>
      <c r="F1316" t="inlineStr">
        <is>
          <t>Outreach to the Reasearch and Development Centre, All-Staff meeting and meeting with Provincial Counterparts.</t>
        </is>
      </c>
      <c r="G1316" t="inlineStr">
        <is>
          <t>Visite au Centre de recherche et de développement, réunion du personnel et réunion avec des homologues du gouvernement provincial.</t>
        </is>
      </c>
      <c r="H1316" s="1" t="n">
        <v>43641</v>
      </c>
      <c r="I1316" s="1" t="n">
        <v>43643</v>
      </c>
      <c r="J1316" t="inlineStr">
        <is>
          <t>Saskatoon (Saskatchewan) Canada</t>
        </is>
      </c>
      <c r="K1316" t="inlineStr">
        <is>
          <t>Saskatoon (Saskatchewan) Canada</t>
        </is>
      </c>
      <c r="P1316" t="n">
        <v>1517.08</v>
      </c>
      <c r="Q1316" t="n">
        <v>133.4</v>
      </c>
      <c r="R1316" t="n">
        <v>340.7</v>
      </c>
      <c r="S1316" t="n">
        <v>285.45</v>
      </c>
      <c r="T1316" t="n">
        <v>0</v>
      </c>
      <c r="U1316" t="n">
        <v>2276.63</v>
      </c>
      <c r="X1316" t="inlineStr">
        <is>
          <t>aafc-aac</t>
        </is>
      </c>
      <c r="Y1316" t="inlineStr">
        <is>
          <t>Agriculture and Agri-Food Canada | Agriculture et Agroalimentaire Canada</t>
        </is>
      </c>
      <c r="Z1316" t="n">
        <v>3</v>
      </c>
      <c r="AA1316" t="n">
        <v>2276.63</v>
      </c>
      <c r="AB1316">
        <f>ROUND(U1316-AA1316,2)</f>
        <v/>
      </c>
      <c r="AC1316" t="b">
        <v>0</v>
      </c>
      <c r="AD1316">
        <f>IF(U1316="","MISSING_TOTAL",IF(ABS(AB1316)&lt;=0.01,"OK","CHECK"))</f>
        <v/>
      </c>
      <c r="AE1316">
        <f>IF(U1316="","MISSING",IF(AND(AA1316&gt;0,U1316/AA1316&gt;50),"POSSIBLE_SCALE_ERROR","OK"))</f>
        <v/>
      </c>
    </row>
    <row r="1317">
      <c r="A1317" t="inlineStr">
        <is>
          <t>T-2019-P4-0006</t>
        </is>
      </c>
      <c r="B1317" t="inlineStr">
        <is>
          <t>SLE</t>
        </is>
      </c>
      <c r="C1317" t="inlineStr">
        <is>
          <t>Assistant Deputy Minister, Science and Technology Branch</t>
        </is>
      </c>
      <c r="D1317" t="inlineStr">
        <is>
          <t>Sous-ministre adjoint, Direction générale des sciences et de la technologie</t>
        </is>
      </c>
      <c r="E1317" t="inlineStr">
        <is>
          <t>Brian Gray</t>
        </is>
      </c>
      <c r="F1317" t="inlineStr">
        <is>
          <t>Outreach to the Reasearch and Development Centre, All-Staff meeting and meeting with Provincial Counterparts.</t>
        </is>
      </c>
      <c r="G1317" t="inlineStr">
        <is>
          <t>Visite au Centre de recherche et de développement, réunion du personnel et réunion avec des homologues du gouvernement provincial.</t>
        </is>
      </c>
      <c r="H1317" s="1" t="n">
        <v>43663</v>
      </c>
      <c r="I1317" s="1" t="n">
        <v>43665</v>
      </c>
      <c r="J1317" t="inlineStr">
        <is>
          <t>Kentville and Truro (Nova Scotia) Canada</t>
        </is>
      </c>
      <c r="K1317" t="inlineStr">
        <is>
          <t>Kentville et Truro (Nouvelle-Écosse) Canada</t>
        </is>
      </c>
      <c r="P1317" t="n">
        <v>447.19</v>
      </c>
      <c r="Q1317" t="n">
        <v>245.87</v>
      </c>
      <c r="R1317" t="n">
        <v>460.16</v>
      </c>
      <c r="S1317" t="n">
        <v>305.15</v>
      </c>
      <c r="T1317" t="n">
        <v>0</v>
      </c>
      <c r="U1317" t="n">
        <v>1458.37</v>
      </c>
      <c r="X1317" t="inlineStr">
        <is>
          <t>aafc-aac</t>
        </is>
      </c>
      <c r="Y1317" t="inlineStr">
        <is>
          <t>Agriculture and Agri-Food Canada | Agriculture et Agroalimentaire Canada</t>
        </is>
      </c>
      <c r="Z1317" t="n">
        <v>3</v>
      </c>
      <c r="AA1317" t="n">
        <v>1458.37</v>
      </c>
      <c r="AB1317">
        <f>ROUND(U1317-AA1317,2)</f>
        <v/>
      </c>
      <c r="AC1317" t="b">
        <v>0</v>
      </c>
      <c r="AD1317">
        <f>IF(U1317="","MISSING_TOTAL",IF(ABS(AB1317)&lt;=0.01,"OK","CHECK"))</f>
        <v/>
      </c>
      <c r="AE1317">
        <f>IF(U1317="","MISSING",IF(AND(AA1317&gt;0,U1317/AA1317&gt;50),"POSSIBLE_SCALE_ERROR","OK"))</f>
        <v/>
      </c>
    </row>
    <row r="1318">
      <c r="A1318" t="inlineStr">
        <is>
          <t>T-2019-P4-0007</t>
        </is>
      </c>
      <c r="B1318" t="inlineStr">
        <is>
          <t>SLE</t>
        </is>
      </c>
      <c r="C1318" t="inlineStr">
        <is>
          <t>Assistant Deputy Minister, Corporate Management Branch</t>
        </is>
      </c>
      <c r="D1318" t="inlineStr">
        <is>
          <t>Sous-ministre adjoint, Direction générale de la gestion intégrée</t>
        </is>
      </c>
      <c r="E1318" t="inlineStr">
        <is>
          <t>Christine Walker</t>
        </is>
      </c>
      <c r="F1318" t="inlineStr">
        <is>
          <t>National Public Service Week and Awards Ceremony 2019, staff Meeting</t>
        </is>
      </c>
      <c r="G1318" t="inlineStr">
        <is>
          <t>Semaine nationale de la fonction publique et cérémonie de remise des prix de 2019, réunion du personnel</t>
        </is>
      </c>
      <c r="H1318" s="1" t="n">
        <v>43624</v>
      </c>
      <c r="I1318" s="1" t="n">
        <v>43627</v>
      </c>
      <c r="J1318" t="inlineStr">
        <is>
          <t>Swift Current (Saskatchewan) Canada; Regina (Saskatchewan) Canada</t>
        </is>
      </c>
      <c r="K1318" t="inlineStr">
        <is>
          <t>Swift Current (Saskatchewan) Canada; Regina (Saskatchewan) Canada</t>
        </is>
      </c>
      <c r="P1318" t="n">
        <v>1071.3</v>
      </c>
      <c r="Q1318" t="n">
        <v>168.2</v>
      </c>
      <c r="R1318" t="n">
        <v>317.84</v>
      </c>
      <c r="S1318" t="n">
        <v>322.45</v>
      </c>
      <c r="T1318" t="n">
        <v>0</v>
      </c>
      <c r="U1318" t="n">
        <v>1879.79</v>
      </c>
      <c r="X1318" t="inlineStr">
        <is>
          <t>aafc-aac</t>
        </is>
      </c>
      <c r="Y1318" t="inlineStr">
        <is>
          <t>Agriculture and Agri-Food Canada | Agriculture et Agroalimentaire Canada</t>
        </is>
      </c>
      <c r="Z1318" t="n">
        <v>4</v>
      </c>
      <c r="AA1318" t="n">
        <v>1879.79</v>
      </c>
      <c r="AB1318">
        <f>ROUND(U1318-AA1318,2)</f>
        <v/>
      </c>
      <c r="AC1318" t="b">
        <v>0</v>
      </c>
      <c r="AD1318">
        <f>IF(U1318="","MISSING_TOTAL",IF(ABS(AB1318)&lt;=0.01,"OK","CHECK"))</f>
        <v/>
      </c>
      <c r="AE1318">
        <f>IF(U1318="","MISSING",IF(AND(AA1318&gt;0,U1318/AA1318&gt;50),"POSSIBLE_SCALE_ERROR","OK"))</f>
        <v/>
      </c>
    </row>
    <row r="1319">
      <c r="A1319" t="inlineStr">
        <is>
          <t>T-2019-P4-0008</t>
        </is>
      </c>
      <c r="B1319" t="inlineStr">
        <is>
          <t>SLE</t>
        </is>
      </c>
      <c r="C1319" t="inlineStr">
        <is>
          <t>Assistant Deputy Minister, Market and Industry Services Branch</t>
        </is>
      </c>
      <c r="D1319" t="inlineStr">
        <is>
          <t>Sous-ministre adjoint, Direction générale des services à l'industrie et aux marchés</t>
        </is>
      </c>
      <c r="E1319" t="inlineStr">
        <is>
          <t>Frédéric Seppey</t>
        </is>
      </c>
      <c r="F1319" t="inlineStr">
        <is>
          <t>To attend the Conference de Montreal, visit regional staff and attend meetings</t>
        </is>
      </c>
      <c r="G1319" t="inlineStr">
        <is>
          <t>Participer à la Conférence de Montréal, rencontrer des employés de la région et participer à des réunions</t>
        </is>
      </c>
      <c r="H1319" s="1" t="n">
        <v>43626</v>
      </c>
      <c r="I1319" s="1" t="n">
        <v>43629</v>
      </c>
      <c r="J1319" t="inlineStr">
        <is>
          <t>Montreal (Quebec) Canada</t>
        </is>
      </c>
      <c r="K1319" t="inlineStr">
        <is>
          <t>Montréal (Québec) Canada</t>
        </is>
      </c>
      <c r="Q1319" t="n">
        <v>324.28</v>
      </c>
      <c r="R1319" t="n">
        <v>1053.18</v>
      </c>
      <c r="S1319" t="n">
        <v>281.85</v>
      </c>
      <c r="U1319" t="n">
        <v>1659.31</v>
      </c>
      <c r="X1319" t="inlineStr">
        <is>
          <t>aafc-aac</t>
        </is>
      </c>
      <c r="Y1319" t="inlineStr">
        <is>
          <t>Agriculture and Agri-Food Canada | Agriculture et Agroalimentaire Canada</t>
        </is>
      </c>
      <c r="Z1319" t="n">
        <v>4</v>
      </c>
      <c r="AA1319" t="n">
        <v>1659.31</v>
      </c>
      <c r="AB1319">
        <f>ROUND(U1319-AA1319,2)</f>
        <v/>
      </c>
      <c r="AC1319" t="b">
        <v>0</v>
      </c>
      <c r="AD1319">
        <f>IF(U1319="","MISSING_TOTAL",IF(ABS(AB1319)&lt;=0.01,"OK","CHECK"))</f>
        <v/>
      </c>
      <c r="AE1319">
        <f>IF(U1319="","MISSING",IF(AND(AA1319&gt;0,U1319/AA1319&gt;50),"POSSIBLE_SCALE_ERROR","OK"))</f>
        <v/>
      </c>
    </row>
    <row r="1320">
      <c r="A1320" t="inlineStr">
        <is>
          <t>T-2019-P4-0009</t>
        </is>
      </c>
      <c r="B1320" t="inlineStr">
        <is>
          <t>SLE</t>
        </is>
      </c>
      <c r="C1320" t="inlineStr">
        <is>
          <t>Associate Assistant Deputy Mininister, Science and Technology Branch</t>
        </is>
      </c>
      <c r="D1320" t="inlineStr">
        <is>
          <t>Sous-ministre adjoint délégué, Direction générale des sciences et de la technologie</t>
        </is>
      </c>
      <c r="E1320" t="inlineStr">
        <is>
          <t>Gilles Saindon</t>
        </is>
      </c>
      <c r="F1320" t="inlineStr">
        <is>
          <t>Outreach to Quebec Research and Development Centre &amp; Normandin Farm</t>
        </is>
      </c>
      <c r="G1320" t="inlineStr">
        <is>
          <t>Visite au Centre de recherche et de développement de Québec et à la Ferme Normandin</t>
        </is>
      </c>
      <c r="H1320" s="1" t="n">
        <v>43633</v>
      </c>
      <c r="I1320" s="1" t="n">
        <v>43636</v>
      </c>
      <c r="J1320" t="inlineStr">
        <is>
          <t>Quebec (Quebec) Canada</t>
        </is>
      </c>
      <c r="K1320" t="inlineStr">
        <is>
          <t>Québec (Québec) Canada</t>
        </is>
      </c>
      <c r="P1320" t="n">
        <v>620.21</v>
      </c>
      <c r="Q1320" t="n">
        <v>126</v>
      </c>
      <c r="R1320" t="n">
        <v>537.52</v>
      </c>
      <c r="S1320" t="n">
        <v>393.6</v>
      </c>
      <c r="T1320" t="n">
        <v>0</v>
      </c>
      <c r="U1320" t="n">
        <v>1677.33</v>
      </c>
      <c r="X1320" t="inlineStr">
        <is>
          <t>aafc-aac</t>
        </is>
      </c>
      <c r="Y1320" t="inlineStr">
        <is>
          <t>Agriculture and Agri-Food Canada | Agriculture et Agroalimentaire Canada</t>
        </is>
      </c>
      <c r="Z1320" t="n">
        <v>4</v>
      </c>
      <c r="AA1320" t="n">
        <v>1677.33</v>
      </c>
      <c r="AB1320">
        <f>ROUND(U1320-AA1320,2)</f>
        <v/>
      </c>
      <c r="AC1320" t="b">
        <v>0</v>
      </c>
      <c r="AD1320">
        <f>IF(U1320="","MISSING_TOTAL",IF(ABS(AB1320)&lt;=0.01,"OK","CHECK"))</f>
        <v/>
      </c>
      <c r="AE1320">
        <f>IF(U1320="","MISSING",IF(AND(AA1320&gt;0,U1320/AA1320&gt;50),"POSSIBLE_SCALE_ERROR","OK"))</f>
        <v/>
      </c>
    </row>
    <row r="1321">
      <c r="A1321" t="inlineStr">
        <is>
          <t>T-2019-P4-0010</t>
        </is>
      </c>
      <c r="B1321" t="inlineStr">
        <is>
          <t>SLE</t>
        </is>
      </c>
      <c r="C1321" t="inlineStr">
        <is>
          <t>Associate Assistant Deputy Mininister, Science and Technology Branch</t>
        </is>
      </c>
      <c r="D1321" t="inlineStr">
        <is>
          <t>Sous-ministre adjoint délégué, Direction générale des sciences et de la technologie</t>
        </is>
      </c>
      <c r="E1321" t="inlineStr">
        <is>
          <t>Gilles Saindon</t>
        </is>
      </c>
      <c r="F1321" t="inlineStr">
        <is>
          <t>Outreach to Guelph Research and Development Centre &amp; Vineland</t>
        </is>
      </c>
      <c r="G1321" t="inlineStr">
        <is>
          <t>Visite au Centre de recherche et de développement de Guelph et à Vineland</t>
        </is>
      </c>
      <c r="H1321" s="1" t="n">
        <v>43641</v>
      </c>
      <c r="I1321" s="1" t="n">
        <v>43643</v>
      </c>
      <c r="J1321" t="inlineStr">
        <is>
          <t>Guelph and Vineland (Ontario) Canada</t>
        </is>
      </c>
      <c r="K1321" t="inlineStr">
        <is>
          <t>Guelph et Vineland (Ontario) Canada</t>
        </is>
      </c>
      <c r="P1321" t="n">
        <v>650.99</v>
      </c>
      <c r="Q1321" t="n">
        <v>220</v>
      </c>
      <c r="R1321" t="n">
        <v>332.22</v>
      </c>
      <c r="S1321" t="n">
        <v>244.85</v>
      </c>
      <c r="T1321" t="n">
        <v>0</v>
      </c>
      <c r="U1321" t="n">
        <v>1448.06</v>
      </c>
      <c r="X1321" t="inlineStr">
        <is>
          <t>aafc-aac</t>
        </is>
      </c>
      <c r="Y1321" t="inlineStr">
        <is>
          <t>Agriculture and Agri-Food Canada | Agriculture et Agroalimentaire Canada</t>
        </is>
      </c>
      <c r="Z1321" t="n">
        <v>3</v>
      </c>
      <c r="AA1321" t="n">
        <v>1448.06</v>
      </c>
      <c r="AB1321">
        <f>ROUND(U1321-AA1321,2)</f>
        <v/>
      </c>
      <c r="AC1321" t="b">
        <v>0</v>
      </c>
      <c r="AD1321">
        <f>IF(U1321="","MISSING_TOTAL",IF(ABS(AB1321)&lt;=0.01,"OK","CHECK"))</f>
        <v/>
      </c>
      <c r="AE1321">
        <f>IF(U1321="","MISSING",IF(AND(AA1321&gt;0,U1321/AA1321&gt;50),"POSSIBLE_SCALE_ERROR","OK"))</f>
        <v/>
      </c>
    </row>
    <row r="1322">
      <c r="A1322" t="inlineStr">
        <is>
          <t>T-2019-P4-0011</t>
        </is>
      </c>
      <c r="B1322" t="inlineStr">
        <is>
          <t>SLE</t>
        </is>
      </c>
      <c r="C1322" t="inlineStr">
        <is>
          <t>Associate Assistant Deputy Mininister, Science and Technology Branch</t>
        </is>
      </c>
      <c r="D1322" t="inlineStr">
        <is>
          <t>Sous-ministre adjoint délégué, Direction générale des sciences et de la technologie</t>
        </is>
      </c>
      <c r="E1322" t="inlineStr">
        <is>
          <t>Gilles Saindon</t>
        </is>
      </c>
      <c r="F1322" t="inlineStr">
        <is>
          <t>Executive Leadership Development Program - Block 6</t>
        </is>
      </c>
      <c r="G1322" t="inlineStr">
        <is>
          <t>Programme de développement du leadership pour les cadres supérieurs - Bloc 6</t>
        </is>
      </c>
      <c r="H1322" s="1" t="n">
        <v>43655</v>
      </c>
      <c r="I1322" s="1" t="n">
        <v>43658</v>
      </c>
      <c r="J1322" t="inlineStr">
        <is>
          <t>Iqaluit (Nunavut) Canada</t>
        </is>
      </c>
      <c r="K1322" t="inlineStr">
        <is>
          <t>Iqaluit (Nunavut) Canada</t>
        </is>
      </c>
      <c r="P1322" t="n">
        <v>1165.31</v>
      </c>
      <c r="Q1322" t="n">
        <v>186</v>
      </c>
      <c r="R1322" t="n">
        <v>708.75</v>
      </c>
      <c r="S1322" t="n">
        <v>569.95</v>
      </c>
      <c r="T1322" t="n">
        <v>0</v>
      </c>
      <c r="U1322" t="n">
        <v>2630.01</v>
      </c>
      <c r="X1322" t="inlineStr">
        <is>
          <t>aafc-aac</t>
        </is>
      </c>
      <c r="Y1322" t="inlineStr">
        <is>
          <t>Agriculture and Agri-Food Canada | Agriculture et Agroalimentaire Canada</t>
        </is>
      </c>
      <c r="Z1322" t="n">
        <v>4</v>
      </c>
      <c r="AA1322" t="n">
        <v>2630.01</v>
      </c>
      <c r="AB1322">
        <f>ROUND(U1322-AA1322,2)</f>
        <v/>
      </c>
      <c r="AC1322" t="b">
        <v>0</v>
      </c>
      <c r="AD1322">
        <f>IF(U1322="","MISSING_TOTAL",IF(ABS(AB1322)&lt;=0.01,"OK","CHECK"))</f>
        <v/>
      </c>
      <c r="AE1322">
        <f>IF(U1322="","MISSING",IF(AND(AA1322&gt;0,U1322/AA1322&gt;50),"POSSIBLE_SCALE_ERROR","OK"))</f>
        <v/>
      </c>
    </row>
    <row r="1323">
      <c r="A1323" t="inlineStr">
        <is>
          <t>T-2019-P4-0012</t>
        </is>
      </c>
      <c r="B1323" t="inlineStr">
        <is>
          <t>SLE</t>
        </is>
      </c>
      <c r="C1323" t="inlineStr">
        <is>
          <t>Assistant Deputy Minister, Public Affairs Branch</t>
        </is>
      </c>
      <c r="D1323" t="inlineStr">
        <is>
          <t>Sous-ministre adjoint, Direction générale des affaires publiques</t>
        </is>
      </c>
      <c r="E1323" t="inlineStr">
        <is>
          <t>Mary Dila</t>
        </is>
      </c>
      <c r="F1323" t="inlineStr">
        <is>
          <t>To attend the Annual Conference of Federal-Provincial-Territorial Ministers and Deputy Ministers of Agriculture</t>
        </is>
      </c>
      <c r="G1323" t="inlineStr">
        <is>
          <t>Assister à la Conférence annuelle des ministres et des sous-ministres fédéraux, provinciaux et territoriaux de l’Agriculture</t>
        </is>
      </c>
      <c r="H1323" s="1" t="n">
        <v>43662</v>
      </c>
      <c r="I1323" s="1" t="n">
        <v>43665</v>
      </c>
      <c r="J1323" t="inlineStr">
        <is>
          <t>Quebec (Quebec) Canada</t>
        </is>
      </c>
      <c r="K1323" t="inlineStr">
        <is>
          <t>Québec (Québec) Canada</t>
        </is>
      </c>
      <c r="P1323" t="n">
        <v>318.98</v>
      </c>
      <c r="Q1323" t="n">
        <v>0</v>
      </c>
      <c r="R1323" t="n">
        <v>996.03</v>
      </c>
      <c r="S1323" t="n">
        <v>241.25</v>
      </c>
      <c r="T1323" t="n">
        <v>375</v>
      </c>
      <c r="U1323" t="n">
        <v>1931.26</v>
      </c>
      <c r="V1323" t="inlineStr">
        <is>
          <t>Airfare credit was used to partially pay for the flight.  Other expenses are conference fees.</t>
        </is>
      </c>
      <c r="W1323" t="inlineStr">
        <is>
          <t>Un crédit de billet d'avion a été utilisé pour payer une partie du vol.  Les autres dépenses sont les frais d'inscriptions à la conférence.</t>
        </is>
      </c>
      <c r="X1323" t="inlineStr">
        <is>
          <t>aafc-aac</t>
        </is>
      </c>
      <c r="Y1323" t="inlineStr">
        <is>
          <t>Agriculture and Agri-Food Canada | Agriculture et Agroalimentaire Canada</t>
        </is>
      </c>
      <c r="Z1323" t="n">
        <v>4</v>
      </c>
      <c r="AA1323" t="n">
        <v>1931.26</v>
      </c>
      <c r="AB1323">
        <f>ROUND(U1323-AA1323,2)</f>
        <v/>
      </c>
      <c r="AC1323" t="b">
        <v>0</v>
      </c>
      <c r="AD1323">
        <f>IF(U1323="","MISSING_TOTAL",IF(ABS(AB1323)&lt;=0.01,"OK","CHECK"))</f>
        <v/>
      </c>
      <c r="AE1323">
        <f>IF(U1323="","MISSING",IF(AND(AA1323&gt;0,U1323/AA1323&gt;50),"POSSIBLE_SCALE_ERROR","OK"))</f>
        <v/>
      </c>
    </row>
    <row r="1324">
      <c r="A1324" t="inlineStr">
        <is>
          <t>T-2019-P4-0013</t>
        </is>
      </c>
      <c r="B1324" t="inlineStr">
        <is>
          <t>SLE</t>
        </is>
      </c>
      <c r="C1324" t="inlineStr">
        <is>
          <t>Chief Information Officer, Information Systems Branch</t>
        </is>
      </c>
      <c r="D1324" t="inlineStr">
        <is>
          <t>Dirigeant principal de l'information, Direction générale des systèmes information</t>
        </is>
      </c>
      <c r="E1324" t="inlineStr">
        <is>
          <t>Michel Lessard</t>
        </is>
      </c>
      <c r="F1324" t="inlineStr">
        <is>
          <t>Outreach to the Reasearch and Development Centre, All-Staff meeting and meeting with Provincial Counterparts.</t>
        </is>
      </c>
      <c r="G1324" t="inlineStr">
        <is>
          <t>Visite au Centre de recherche et de développement, réunion du personnel et réunion avec des homologues du gouvernement provincial.</t>
        </is>
      </c>
      <c r="H1324" s="1" t="n">
        <v>43633</v>
      </c>
      <c r="I1324" s="1" t="n">
        <v>43635</v>
      </c>
      <c r="J1324" t="inlineStr">
        <is>
          <t>Fredericton and Moncton (New Brunswick) Canada</t>
        </is>
      </c>
      <c r="K1324" t="inlineStr">
        <is>
          <t>Fredericton et Moncton (Nouveau-Brunswick) Canada</t>
        </is>
      </c>
      <c r="P1324" t="n">
        <v>508.15</v>
      </c>
      <c r="Q1324" t="n">
        <v>296.6</v>
      </c>
      <c r="R1324" t="n">
        <v>353.5</v>
      </c>
      <c r="S1324" t="n">
        <v>193.4</v>
      </c>
      <c r="U1324" t="n">
        <v>1351.65</v>
      </c>
      <c r="X1324" t="inlineStr">
        <is>
          <t>aafc-aac</t>
        </is>
      </c>
      <c r="Y1324" t="inlineStr">
        <is>
          <t>Agriculture and Agri-Food Canada | Agriculture et Agroalimentaire Canada</t>
        </is>
      </c>
      <c r="Z1324" t="n">
        <v>3</v>
      </c>
      <c r="AA1324" t="n">
        <v>1351.65</v>
      </c>
      <c r="AB1324">
        <f>ROUND(U1324-AA1324,2)</f>
        <v/>
      </c>
      <c r="AC1324" t="b">
        <v>0</v>
      </c>
      <c r="AD1324">
        <f>IF(U1324="","MISSING_TOTAL",IF(ABS(AB1324)&lt;=0.01,"OK","CHECK"))</f>
        <v/>
      </c>
      <c r="AE1324">
        <f>IF(U1324="","MISSING",IF(AND(AA1324&gt;0,U1324/AA1324&gt;50),"POSSIBLE_SCALE_ERROR","OK"))</f>
        <v/>
      </c>
    </row>
    <row r="1325">
      <c r="A1325" t="inlineStr">
        <is>
          <t>T-2019-P4-0014</t>
        </is>
      </c>
      <c r="B1325" t="inlineStr">
        <is>
          <t>SLE</t>
        </is>
      </c>
      <c r="C1325" t="inlineStr">
        <is>
          <t>Assistant Deputy Minister, Strategic Policy Branch</t>
        </is>
      </c>
      <c r="D1325" t="inlineStr">
        <is>
          <t>Sous-ministre adjoint, Direction générale des politiques stratégiques</t>
        </is>
      </c>
      <c r="E1325" t="inlineStr">
        <is>
          <t>Tom Rosser</t>
        </is>
      </c>
      <c r="F1325" t="inlineStr">
        <is>
          <t>Launch of the Food Policy</t>
        </is>
      </c>
      <c r="G1325" t="inlineStr">
        <is>
          <t>Lancement de la Politique alimentaire</t>
        </is>
      </c>
      <c r="H1325" s="1" t="n">
        <v>43632</v>
      </c>
      <c r="I1325" s="1" t="n">
        <v>43633</v>
      </c>
      <c r="J1325" t="inlineStr">
        <is>
          <t>Montreal (Quebec) Canada</t>
        </is>
      </c>
      <c r="K1325" t="inlineStr">
        <is>
          <t>Montréal (Québec) Canada</t>
        </is>
      </c>
      <c r="Q1325" t="n">
        <v>342.65</v>
      </c>
      <c r="R1325" t="n">
        <v>183.26</v>
      </c>
      <c r="S1325" t="n">
        <v>125.85</v>
      </c>
      <c r="U1325" t="n">
        <v>651.76</v>
      </c>
      <c r="X1325" t="inlineStr">
        <is>
          <t>aafc-aac</t>
        </is>
      </c>
      <c r="Y1325" t="inlineStr">
        <is>
          <t>Agriculture and Agri-Food Canada | Agriculture et Agroalimentaire Canada</t>
        </is>
      </c>
      <c r="Z1325" t="n">
        <v>2</v>
      </c>
      <c r="AA1325" t="n">
        <v>651.76</v>
      </c>
      <c r="AB1325">
        <f>ROUND(U1325-AA1325,2)</f>
        <v/>
      </c>
      <c r="AC1325" t="b">
        <v>0</v>
      </c>
      <c r="AD1325">
        <f>IF(U1325="","MISSING_TOTAL",IF(ABS(AB1325)&lt;=0.01,"OK","CHECK"))</f>
        <v/>
      </c>
      <c r="AE1325">
        <f>IF(U1325="","MISSING",IF(AND(AA1325&gt;0,U1325/AA1325&gt;50),"POSSIBLE_SCALE_ERROR","OK"))</f>
        <v/>
      </c>
    </row>
    <row r="1326">
      <c r="A1326" t="inlineStr">
        <is>
          <t>T-2019-P4-0015</t>
        </is>
      </c>
      <c r="B1326" t="inlineStr">
        <is>
          <t>SLE</t>
        </is>
      </c>
      <c r="C1326" t="inlineStr">
        <is>
          <t>Assistant Deputy Minister, Strategic Policy Branch</t>
        </is>
      </c>
      <c r="D1326" t="inlineStr">
        <is>
          <t>Sous-ministre adjoint, Direction générale des politiques stratégiques</t>
        </is>
      </c>
      <c r="E1326" t="inlineStr">
        <is>
          <t>Tom Rosser</t>
        </is>
      </c>
      <c r="F1326" t="inlineStr">
        <is>
          <t>Meeting with staff located in Winnipeg</t>
        </is>
      </c>
      <c r="G1326" t="inlineStr">
        <is>
          <t>Rencontrer le personnel situé à Winnipeg</t>
        </is>
      </c>
      <c r="H1326" s="1" t="n">
        <v>43643</v>
      </c>
      <c r="I1326" s="1" t="n">
        <v>43644</v>
      </c>
      <c r="J1326" t="inlineStr">
        <is>
          <t>Winnipeg (Manitoba) Canada</t>
        </is>
      </c>
      <c r="K1326" t="inlineStr">
        <is>
          <t>Winnipeg (Manitoba) Canada</t>
        </is>
      </c>
      <c r="P1326" t="n">
        <v>1117.83</v>
      </c>
      <c r="Q1326" t="n">
        <v>135</v>
      </c>
      <c r="R1326" t="n">
        <v>147.81</v>
      </c>
      <c r="S1326" t="n">
        <v>176.5</v>
      </c>
      <c r="U1326" t="n">
        <v>1577.14</v>
      </c>
      <c r="X1326" t="inlineStr">
        <is>
          <t>aafc-aac</t>
        </is>
      </c>
      <c r="Y1326" t="inlineStr">
        <is>
          <t>Agriculture and Agri-Food Canada | Agriculture et Agroalimentaire Canada</t>
        </is>
      </c>
      <c r="Z1326" t="n">
        <v>2</v>
      </c>
      <c r="AA1326" t="n">
        <v>1577.13999999999</v>
      </c>
      <c r="AB1326">
        <f>ROUND(U1326-AA1326,2)</f>
        <v/>
      </c>
      <c r="AC1326" t="b">
        <v>0</v>
      </c>
      <c r="AD1326">
        <f>IF(U1326="","MISSING_TOTAL",IF(ABS(AB1326)&lt;=0.01,"OK","CHECK"))</f>
        <v/>
      </c>
      <c r="AE1326">
        <f>IF(U1326="","MISSING",IF(AND(AA1326&gt;0,U1326/AA1326&gt;50),"POSSIBLE_SCALE_ERROR","OK"))</f>
        <v/>
      </c>
    </row>
    <row r="1327">
      <c r="A1327" t="inlineStr">
        <is>
          <t>T-2019-P5-0001</t>
        </is>
      </c>
      <c r="B1327" t="inlineStr">
        <is>
          <t>MPSES</t>
        </is>
      </c>
      <c r="C1327" t="inlineStr">
        <is>
          <t>Minister</t>
        </is>
      </c>
      <c r="D1327" t="inlineStr">
        <is>
          <t>Ministre</t>
        </is>
      </c>
      <c r="E1327" t="inlineStr">
        <is>
          <t>Marie-Claude Bibeau</t>
        </is>
      </c>
      <c r="F1327" t="inlineStr">
        <is>
          <t>To attend the Western Outreach</t>
        </is>
      </c>
      <c r="G1327" t="inlineStr">
        <is>
          <t>Pour assister à une campagne de sensibilisation dans les provinces de l'Ouest</t>
        </is>
      </c>
      <c r="H1327" s="1" t="n">
        <v>43649</v>
      </c>
      <c r="I1327" s="1" t="n">
        <v>43662</v>
      </c>
      <c r="J1327" t="inlineStr">
        <is>
          <t>Vancouver (British Columbia) Canada; Victoria (British Columbia) Canada; Whitehorse (Yukon) Canada; Calgary (Alberta) Canada; Edmonton (Alberta) Canada; Saskatoon (Saskatchewan) Canada</t>
        </is>
      </c>
      <c r="K1327" t="inlineStr">
        <is>
          <t>Vancouver (Colombie-Britannique) Canada; Victoria (Colombie-Britannique) Canada; Whitehorse (Yukon) Canada; Calgary (Alberta) Canada; Edmonton (Alberta) Canada; Saskatoon (Saskatchewan) Canada</t>
        </is>
      </c>
      <c r="P1327" t="n">
        <v>3913.46</v>
      </c>
      <c r="Q1327" t="n">
        <v>320.7</v>
      </c>
      <c r="R1327" t="n">
        <v>2375.51</v>
      </c>
      <c r="S1327" t="n">
        <v>1067.45</v>
      </c>
      <c r="T1327" t="n">
        <v>0</v>
      </c>
      <c r="U1327" t="n">
        <v>7677.12</v>
      </c>
      <c r="V1327" t="inlineStr">
        <is>
          <t>Airfare credit anticipated which will be applied to future travel</t>
        </is>
      </c>
      <c r="W1327" t="inlineStr">
        <is>
          <t>Crédit de billet d'avion prévu qui sera appliqué aux voyages futurs</t>
        </is>
      </c>
      <c r="X1327" t="inlineStr">
        <is>
          <t>aafc-aac</t>
        </is>
      </c>
      <c r="Y1327" t="inlineStr">
        <is>
          <t>Agriculture and Agri-Food Canada | Agriculture et Agroalimentaire Canada</t>
        </is>
      </c>
      <c r="Z1327" t="n">
        <v>14</v>
      </c>
      <c r="AA1327" t="n">
        <v>7677.12</v>
      </c>
      <c r="AB1327">
        <f>ROUND(U1327-AA1327,2)</f>
        <v/>
      </c>
      <c r="AC1327" t="b">
        <v>0</v>
      </c>
      <c r="AD1327">
        <f>IF(U1327="","MISSING_TOTAL",IF(ABS(AB1327)&lt;=0.01,"OK","CHECK"))</f>
        <v/>
      </c>
      <c r="AE1327">
        <f>IF(U1327="","MISSING",IF(AND(AA1327&gt;0,U1327/AA1327&gt;50),"POSSIBLE_SCALE_ERROR","OK"))</f>
        <v/>
      </c>
    </row>
    <row r="1328">
      <c r="A1328" t="inlineStr">
        <is>
          <t>T-2019-P5-0002</t>
        </is>
      </c>
      <c r="B1328" t="inlineStr">
        <is>
          <t>MPSES</t>
        </is>
      </c>
      <c r="C1328" t="inlineStr">
        <is>
          <t>Minister</t>
        </is>
      </c>
      <c r="D1328" t="inlineStr">
        <is>
          <t>Ministre</t>
        </is>
      </c>
      <c r="E1328" t="inlineStr">
        <is>
          <t>Marie-Claude Bibeau</t>
        </is>
      </c>
      <c r="F1328" t="inlineStr">
        <is>
          <t>To attend the Annual Conference of Federal-Provincial-Territorial Ministers and Deputy Ministers of Agriculture</t>
        </is>
      </c>
      <c r="G1328" t="inlineStr">
        <is>
          <t>Participer à la Conférence annuelle des ministres et des sous-ministres fédéraux, provinciaux et territoriaux de l’Agriculture</t>
        </is>
      </c>
      <c r="H1328" s="1" t="n">
        <v>43662</v>
      </c>
      <c r="I1328" s="1" t="n">
        <v>43665</v>
      </c>
      <c r="J1328" t="inlineStr">
        <is>
          <t>Quebec (Quebec) Canada</t>
        </is>
      </c>
      <c r="K1328" t="inlineStr">
        <is>
          <t>Québec (Québec) Canada</t>
        </is>
      </c>
      <c r="P1328" t="n">
        <v>0</v>
      </c>
      <c r="Q1328" t="n">
        <v>0</v>
      </c>
      <c r="R1328" t="n">
        <v>996.03</v>
      </c>
      <c r="S1328" t="n">
        <v>173.3</v>
      </c>
      <c r="T1328" t="n">
        <v>375</v>
      </c>
      <c r="U1328" t="n">
        <v>1544.32</v>
      </c>
      <c r="V1328" t="inlineStr">
        <is>
          <t>Other expenses: Conference fee</t>
        </is>
      </c>
      <c r="W1328" t="inlineStr">
        <is>
          <t>Autres dépenses: Frais d'inscription à la  conférence</t>
        </is>
      </c>
      <c r="X1328" t="inlineStr">
        <is>
          <t>aafc-aac</t>
        </is>
      </c>
      <c r="Y1328" t="inlineStr">
        <is>
          <t>Agriculture and Agri-Food Canada | Agriculture et Agroalimentaire Canada</t>
        </is>
      </c>
      <c r="Z1328" t="n">
        <v>4</v>
      </c>
      <c r="AA1328" t="n">
        <v>1544.33</v>
      </c>
      <c r="AB1328">
        <f>ROUND(U1328-AA1328,2)</f>
        <v/>
      </c>
      <c r="AC1328" t="b">
        <v>0</v>
      </c>
      <c r="AD1328">
        <f>IF(U1328="","MISSING_TOTAL",IF(ABS(AB1328)&lt;=0.01,"OK","CHECK"))</f>
        <v/>
      </c>
      <c r="AE1328">
        <f>IF(U1328="","MISSING",IF(AND(AA1328&gt;0,U1328/AA1328&gt;50),"POSSIBLE_SCALE_ERROR","OK"))</f>
        <v/>
      </c>
    </row>
    <row r="1329">
      <c r="A1329" t="inlineStr">
        <is>
          <t>T-2019-P5-0003</t>
        </is>
      </c>
      <c r="B1329" t="inlineStr">
        <is>
          <t>MPSES</t>
        </is>
      </c>
      <c r="C1329" t="inlineStr">
        <is>
          <t>Minister</t>
        </is>
      </c>
      <c r="D1329" t="inlineStr">
        <is>
          <t>Ministre</t>
        </is>
      </c>
      <c r="E1329" t="inlineStr">
        <is>
          <t>Marie-Claude Bibeau</t>
        </is>
      </c>
      <c r="F1329" t="inlineStr">
        <is>
          <t>To attend the Ontario Outreach and make AgriMarketing and Dairy Processing Investment Fund announcements</t>
        </is>
      </c>
      <c r="G1329" t="inlineStr">
        <is>
          <t>Pour assister à la campagne de sensibilisation en Ontario et faire des annonces pour Agrimarketing et les Fonds d'investissement dans la transformation des produits laitiers</t>
        </is>
      </c>
      <c r="H1329" s="1" t="n">
        <v>43669</v>
      </c>
      <c r="I1329" s="1" t="n">
        <v>43671</v>
      </c>
      <c r="J1329" t="inlineStr">
        <is>
          <t>London (Ontario) Canada; Guelph (Ontario) Canada</t>
        </is>
      </c>
      <c r="K1329" t="inlineStr">
        <is>
          <t>London (Ontario) Canada; Guelph (Ontario) Canada</t>
        </is>
      </c>
      <c r="P1329" t="n">
        <v>879.0599999999999</v>
      </c>
      <c r="Q1329" t="n">
        <v>0</v>
      </c>
      <c r="R1329" t="n">
        <v>316.13</v>
      </c>
      <c r="S1329" t="n">
        <v>234.8</v>
      </c>
      <c r="T1329" t="n">
        <v>0</v>
      </c>
      <c r="U1329" t="n">
        <v>1429.99</v>
      </c>
      <c r="X1329" t="inlineStr">
        <is>
          <t>aafc-aac</t>
        </is>
      </c>
      <c r="Y1329" t="inlineStr">
        <is>
          <t>Agriculture and Agri-Food Canada | Agriculture et Agroalimentaire Canada</t>
        </is>
      </c>
      <c r="Z1329" t="n">
        <v>3</v>
      </c>
      <c r="AA1329" t="n">
        <v>1429.99</v>
      </c>
      <c r="AB1329">
        <f>ROUND(U1329-AA1329,2)</f>
        <v/>
      </c>
      <c r="AC1329" t="b">
        <v>0</v>
      </c>
      <c r="AD1329">
        <f>IF(U1329="","MISSING_TOTAL",IF(ABS(AB1329)&lt;=0.01,"OK","CHECK"))</f>
        <v/>
      </c>
      <c r="AE1329">
        <f>IF(U1329="","MISSING",IF(AND(AA1329&gt;0,U1329/AA1329&gt;50),"POSSIBLE_SCALE_ERROR","OK"))</f>
        <v/>
      </c>
    </row>
    <row r="1330">
      <c r="A1330" t="inlineStr">
        <is>
          <t>T-2019-P5-0004</t>
        </is>
      </c>
      <c r="B1330" t="inlineStr">
        <is>
          <t>MPSES</t>
        </is>
      </c>
      <c r="C1330" t="inlineStr">
        <is>
          <t>Minister</t>
        </is>
      </c>
      <c r="D1330" t="inlineStr">
        <is>
          <t>Ministre</t>
        </is>
      </c>
      <c r="E1330" t="inlineStr">
        <is>
          <t>Marie-Claude Bibeau</t>
        </is>
      </c>
      <c r="F1330" t="inlineStr">
        <is>
          <t>To attend the Atlantic Outreach</t>
        </is>
      </c>
      <c r="G1330" t="inlineStr">
        <is>
          <t>Pour assister à une campagne de sensibilisation dans les provinces de l'Atlantique</t>
        </is>
      </c>
      <c r="H1330" s="1" t="n">
        <v>43688</v>
      </c>
      <c r="I1330" s="1" t="n">
        <v>43691</v>
      </c>
      <c r="J1330" t="inlineStr">
        <is>
          <t>Wolfville (Nova Scotia) Canada; Halifax (Nova Scotia) Canada; Port Hood (Nova Scotia) Canada</t>
        </is>
      </c>
      <c r="K1330" t="inlineStr">
        <is>
          <t>Wolfville (Nouvelle-Écosse) Canada; Halifax (Nouvelle-Écosse) Canada; Port Hood (Nouvelle-Écosse) Canada</t>
        </is>
      </c>
      <c r="P1330" t="n">
        <v>1087.31</v>
      </c>
      <c r="Q1330" t="n">
        <v>0</v>
      </c>
      <c r="R1330" t="n">
        <v>596.37</v>
      </c>
      <c r="S1330" t="n">
        <v>281.45</v>
      </c>
      <c r="T1330" t="n">
        <v>0</v>
      </c>
      <c r="U1330" t="n">
        <v>1965.13</v>
      </c>
      <c r="X1330" t="inlineStr">
        <is>
          <t>aafc-aac</t>
        </is>
      </c>
      <c r="Y1330" t="inlineStr">
        <is>
          <t>Agriculture and Agri-Food Canada | Agriculture et Agroalimentaire Canada</t>
        </is>
      </c>
      <c r="Z1330" t="n">
        <v>4</v>
      </c>
      <c r="AA1330" t="n">
        <v>1965.12999999999</v>
      </c>
      <c r="AB1330">
        <f>ROUND(U1330-AA1330,2)</f>
        <v/>
      </c>
      <c r="AC1330" t="b">
        <v>0</v>
      </c>
      <c r="AD1330">
        <f>IF(U1330="","MISSING_TOTAL",IF(ABS(AB1330)&lt;=0.01,"OK","CHECK"))</f>
        <v/>
      </c>
      <c r="AE1330">
        <f>IF(U1330="","MISSING",IF(AND(AA1330&gt;0,U1330/AA1330&gt;50),"POSSIBLE_SCALE_ERROR","OK"))</f>
        <v/>
      </c>
    </row>
    <row r="1331">
      <c r="A1331" t="inlineStr">
        <is>
          <t>T-2019-P5-0005</t>
        </is>
      </c>
      <c r="B1331" t="inlineStr">
        <is>
          <t>MPSES</t>
        </is>
      </c>
      <c r="C1331" t="inlineStr">
        <is>
          <t>Chief of Staff</t>
        </is>
      </c>
      <c r="D1331" t="inlineStr">
        <is>
          <t>Chef de cabinet</t>
        </is>
      </c>
      <c r="E1331" t="inlineStr">
        <is>
          <t>Alison Porter</t>
        </is>
      </c>
      <c r="F1331" t="inlineStr">
        <is>
          <t>To accompany the Minister for an announcement at the Dairy Farmers of Canada Annual General ; To accompany the Minister to the Annual Conference of Federal-Provincial-Territorial Ministers and Deputy Ministers of Agriculture</t>
        </is>
      </c>
      <c r="G1331" t="inlineStr">
        <is>
          <t>Accompagner la Ministre pour une annonce à l'assemblée générale annuelle des Producteurs laitiers du Canada; Pour accompagner la Ministre à la Conférence annuelle des ministres et des sous-ministres fédéraux, provinciaux et territoriaux de l’Agriculture</t>
        </is>
      </c>
      <c r="H1331" s="1" t="n">
        <v>43663</v>
      </c>
      <c r="I1331" s="1" t="n">
        <v>43665</v>
      </c>
      <c r="J1331" t="inlineStr">
        <is>
          <t>Saskatoon (Saskatchewan) Canada; Quebec (Quebec) Canada</t>
        </is>
      </c>
      <c r="K1331" t="inlineStr">
        <is>
          <t>Saskatoon (Saskatchewan) Canada; Québec (Québec) Canada</t>
        </is>
      </c>
      <c r="P1331" t="n">
        <v>1908.43</v>
      </c>
      <c r="Q1331" t="n">
        <v>508.7</v>
      </c>
      <c r="R1331" t="n">
        <v>1134.17</v>
      </c>
      <c r="S1331" t="n">
        <v>349.8</v>
      </c>
      <c r="T1331" t="n">
        <v>375</v>
      </c>
      <c r="U1331" t="n">
        <v>4276.1</v>
      </c>
      <c r="V1331" t="inlineStr">
        <is>
          <t>Other expenses: Conference fee</t>
        </is>
      </c>
      <c r="W1331" t="inlineStr">
        <is>
          <t>Autres dépenses: Frais d'inscription à la  conférence</t>
        </is>
      </c>
      <c r="X1331" t="inlineStr">
        <is>
          <t>aafc-aac</t>
        </is>
      </c>
      <c r="Y1331" t="inlineStr">
        <is>
          <t>Agriculture and Agri-Food Canada | Agriculture et Agroalimentaire Canada</t>
        </is>
      </c>
      <c r="Z1331" t="n">
        <v>3</v>
      </c>
      <c r="AA1331" t="n">
        <v>4276.1</v>
      </c>
      <c r="AB1331">
        <f>ROUND(U1331-AA1331,2)</f>
        <v/>
      </c>
      <c r="AC1331" t="b">
        <v>0</v>
      </c>
      <c r="AD1331">
        <f>IF(U1331="","MISSING_TOTAL",IF(ABS(AB1331)&lt;=0.01,"OK","CHECK"))</f>
        <v/>
      </c>
      <c r="AE1331">
        <f>IF(U1331="","MISSING",IF(AND(AA1331&gt;0,U1331/AA1331&gt;50),"POSSIBLE_SCALE_ERROR","OK"))</f>
        <v/>
      </c>
    </row>
    <row r="1332">
      <c r="A1332" t="inlineStr">
        <is>
          <t>T-2019-P5-0006</t>
        </is>
      </c>
      <c r="B1332" t="inlineStr">
        <is>
          <t>MPSES</t>
        </is>
      </c>
      <c r="C1332" t="inlineStr">
        <is>
          <t>Director of Policy</t>
        </is>
      </c>
      <c r="D1332" t="inlineStr">
        <is>
          <t>Directeur des politiques</t>
        </is>
      </c>
      <c r="E1332" t="inlineStr">
        <is>
          <t>Dan Lussier</t>
        </is>
      </c>
      <c r="F1332" t="inlineStr">
        <is>
          <t>To accompany the Minister to the Annual Conference of Federal-Provincial-Territorial Ministers and Deputy Ministers of Agriculture</t>
        </is>
      </c>
      <c r="G1332" t="inlineStr">
        <is>
          <t>Accompagner la Ministre à la Conférence annuelle des ministres et des sous-ministres fédéraux, provinciaux et territoriaux de l’Agriculture</t>
        </is>
      </c>
      <c r="H1332" s="1" t="n">
        <v>43662</v>
      </c>
      <c r="I1332" s="1" t="n">
        <v>43665</v>
      </c>
      <c r="J1332" t="inlineStr">
        <is>
          <t>Quebec (Quebec) Canada</t>
        </is>
      </c>
      <c r="K1332" t="inlineStr">
        <is>
          <t>Québec (Québec) Canada</t>
        </is>
      </c>
      <c r="P1332" t="n">
        <v>0</v>
      </c>
      <c r="Q1332" t="n">
        <v>441.92</v>
      </c>
      <c r="R1332" t="n">
        <v>960.33</v>
      </c>
      <c r="S1332" t="n">
        <v>261.35</v>
      </c>
      <c r="T1332" t="n">
        <v>375</v>
      </c>
      <c r="U1332" t="n">
        <v>2038.6</v>
      </c>
      <c r="V1332" t="inlineStr">
        <is>
          <t>Other expenses: Conference fee</t>
        </is>
      </c>
      <c r="W1332" t="inlineStr">
        <is>
          <t>Autres dépenses: Frais d'inscription à la  conférence</t>
        </is>
      </c>
      <c r="X1332" t="inlineStr">
        <is>
          <t>aafc-aac</t>
        </is>
      </c>
      <c r="Y1332" t="inlineStr">
        <is>
          <t>Agriculture and Agri-Food Canada | Agriculture et Agroalimentaire Canada</t>
        </is>
      </c>
      <c r="Z1332" t="n">
        <v>4</v>
      </c>
      <c r="AA1332" t="n">
        <v>2038.6</v>
      </c>
      <c r="AB1332">
        <f>ROUND(U1332-AA1332,2)</f>
        <v/>
      </c>
      <c r="AC1332" t="b">
        <v>0</v>
      </c>
      <c r="AD1332">
        <f>IF(U1332="","MISSING_TOTAL",IF(ABS(AB1332)&lt;=0.01,"OK","CHECK"))</f>
        <v/>
      </c>
      <c r="AE1332">
        <f>IF(U1332="","MISSING",IF(AND(AA1332&gt;0,U1332/AA1332&gt;50),"POSSIBLE_SCALE_ERROR","OK"))</f>
        <v/>
      </c>
    </row>
    <row r="1333">
      <c r="A1333" t="inlineStr">
        <is>
          <t>T-2019-P5-0007</t>
        </is>
      </c>
      <c r="B1333" t="inlineStr">
        <is>
          <t>MPSES</t>
        </is>
      </c>
      <c r="C1333" t="inlineStr">
        <is>
          <t>Director of Policy</t>
        </is>
      </c>
      <c r="D1333" t="inlineStr">
        <is>
          <t>Directeur des politiques</t>
        </is>
      </c>
      <c r="E1333" t="inlineStr">
        <is>
          <t>Dan Lussier</t>
        </is>
      </c>
      <c r="F1333" t="inlineStr">
        <is>
          <t>To accompany the Minister for a roundtable with Stakeholders</t>
        </is>
      </c>
      <c r="G1333" t="inlineStr">
        <is>
          <t>Accompagner la Ministre à une table ronde avec des intervenants clés</t>
        </is>
      </c>
      <c r="H1333" s="1" t="n">
        <v>43699</v>
      </c>
      <c r="I1333" s="1" t="n">
        <v>43699</v>
      </c>
      <c r="J1333" t="inlineStr">
        <is>
          <t>Montreal (Quebec) Canada</t>
        </is>
      </c>
      <c r="K1333" t="inlineStr">
        <is>
          <t>Montréal (Québec) Canada</t>
        </is>
      </c>
      <c r="P1333" t="n">
        <v>0</v>
      </c>
      <c r="Q1333" t="n">
        <v>250.28</v>
      </c>
      <c r="R1333" t="n">
        <v>0</v>
      </c>
      <c r="S1333" t="n">
        <v>71.15000000000001</v>
      </c>
      <c r="T1333" t="n">
        <v>0</v>
      </c>
      <c r="U1333" t="n">
        <v>321.43</v>
      </c>
      <c r="X1333" t="inlineStr">
        <is>
          <t>aafc-aac</t>
        </is>
      </c>
      <c r="Y1333" t="inlineStr">
        <is>
          <t>Agriculture and Agri-Food Canada | Agriculture et Agroalimentaire Canada</t>
        </is>
      </c>
      <c r="Z1333" t="n">
        <v>1</v>
      </c>
      <c r="AA1333" t="n">
        <v>321.43</v>
      </c>
      <c r="AB1333">
        <f>ROUND(U1333-AA1333,2)</f>
        <v/>
      </c>
      <c r="AC1333" t="b">
        <v>0</v>
      </c>
      <c r="AD1333">
        <f>IF(U1333="","MISSING_TOTAL",IF(ABS(AB1333)&lt;=0.01,"OK","CHECK"))</f>
        <v/>
      </c>
      <c r="AE1333">
        <f>IF(U1333="","MISSING",IF(AND(AA1333&gt;0,U1333/AA1333&gt;50),"POSSIBLE_SCALE_ERROR","OK"))</f>
        <v/>
      </c>
    </row>
    <row r="1334">
      <c r="A1334" t="inlineStr">
        <is>
          <t>T-2019-P5-0008</t>
        </is>
      </c>
      <c r="B1334" t="inlineStr">
        <is>
          <t>MPSES</t>
        </is>
      </c>
      <c r="C1334" t="inlineStr">
        <is>
          <t>Special Assistant</t>
        </is>
      </c>
      <c r="D1334" t="inlineStr">
        <is>
          <t>Assistant Spécial</t>
        </is>
      </c>
      <c r="E1334" t="inlineStr">
        <is>
          <t>Jean-Sébastien Comeau</t>
        </is>
      </c>
      <c r="F1334" t="inlineStr">
        <is>
          <t>To accompany the Parliamentary Secretary to the Saint-Hyacinthe Expo Agricole</t>
        </is>
      </c>
      <c r="G1334" t="inlineStr">
        <is>
          <t>Accompagner le Secrétaire parlementaire à l'Expo agricole de Saint-Hyacinthe</t>
        </is>
      </c>
      <c r="H1334" s="1" t="n">
        <v>43669</v>
      </c>
      <c r="I1334" s="1" t="n">
        <v>43669</v>
      </c>
      <c r="J1334" t="inlineStr">
        <is>
          <t>Saint-Hyacinthe (Quebec) Canada</t>
        </is>
      </c>
      <c r="K1334" t="inlineStr">
        <is>
          <t>Saint-Hyacinthe (Québec) Canada</t>
        </is>
      </c>
      <c r="P1334" t="n">
        <v>0</v>
      </c>
      <c r="Q1334" t="n">
        <v>103.77</v>
      </c>
      <c r="R1334" t="n">
        <v>0</v>
      </c>
      <c r="S1334" t="n">
        <v>40.6</v>
      </c>
      <c r="T1334" t="n">
        <v>0</v>
      </c>
      <c r="U1334" t="n">
        <v>144.37</v>
      </c>
      <c r="X1334" t="inlineStr">
        <is>
          <t>aafc-aac</t>
        </is>
      </c>
      <c r="Y1334" t="inlineStr">
        <is>
          <t>Agriculture and Agri-Food Canada | Agriculture et Agroalimentaire Canada</t>
        </is>
      </c>
      <c r="Z1334" t="n">
        <v>1</v>
      </c>
      <c r="AA1334" t="n">
        <v>144.37</v>
      </c>
      <c r="AB1334">
        <f>ROUND(U1334-AA1334,2)</f>
        <v/>
      </c>
      <c r="AC1334" t="b">
        <v>0</v>
      </c>
      <c r="AD1334">
        <f>IF(U1334="","MISSING_TOTAL",IF(ABS(AB1334)&lt;=0.01,"OK","CHECK"))</f>
        <v/>
      </c>
      <c r="AE1334">
        <f>IF(U1334="","MISSING",IF(AND(AA1334&gt;0,U1334/AA1334&gt;50),"POSSIBLE_SCALE_ERROR","OK"))</f>
        <v/>
      </c>
    </row>
    <row r="1335">
      <c r="A1335" t="inlineStr">
        <is>
          <t>T-2019-P5-0009</t>
        </is>
      </c>
      <c r="B1335" t="inlineStr">
        <is>
          <t>MPSES</t>
        </is>
      </c>
      <c r="C1335" t="inlineStr">
        <is>
          <t>Special Assistant</t>
        </is>
      </c>
      <c r="D1335" t="inlineStr">
        <is>
          <t>Assistant Spécial</t>
        </is>
      </c>
      <c r="E1335" t="inlineStr">
        <is>
          <t>Jean-Sébastien Comeau</t>
        </is>
      </c>
      <c r="F1335" t="inlineStr">
        <is>
          <t>To accompany the Minister on an Atlantic Outreach</t>
        </is>
      </c>
      <c r="G1335" t="inlineStr">
        <is>
          <t>Accompagner la Ministre à une campagne de sensibilisation dans les provinces Atlantique</t>
        </is>
      </c>
      <c r="H1335" s="1" t="n">
        <v>43688</v>
      </c>
      <c r="I1335" s="1" t="n">
        <v>43691</v>
      </c>
      <c r="J1335" t="inlineStr">
        <is>
          <t>Wolfville (Nova Scotia) Canada; Halifax (Nova Scotia) Canada; Port Hood (Nova Scotia) Canada</t>
        </is>
      </c>
      <c r="K1335" t="inlineStr">
        <is>
          <t>Wolfville (Nouvelle-Écosse) Canada; Halifax (Nouvelle-Écosse) Canada; Port Hood (Nouvelle-Écosse) Canada</t>
        </is>
      </c>
      <c r="P1335" t="n">
        <v>1100.28</v>
      </c>
      <c r="Q1335" t="n">
        <v>120.83</v>
      </c>
      <c r="R1335" t="n">
        <v>521.16</v>
      </c>
      <c r="S1335" t="n">
        <v>332.1</v>
      </c>
      <c r="T1335" t="n">
        <v>0</v>
      </c>
      <c r="U1335" t="n">
        <v>2074.37</v>
      </c>
      <c r="X1335" t="inlineStr">
        <is>
          <t>aafc-aac</t>
        </is>
      </c>
      <c r="Y1335" t="inlineStr">
        <is>
          <t>Agriculture and Agri-Food Canada | Agriculture et Agroalimentaire Canada</t>
        </is>
      </c>
      <c r="Z1335" t="n">
        <v>4</v>
      </c>
      <c r="AA1335" t="n">
        <v>2074.37</v>
      </c>
      <c r="AB1335">
        <f>ROUND(U1335-AA1335,2)</f>
        <v/>
      </c>
      <c r="AC1335" t="b">
        <v>0</v>
      </c>
      <c r="AD1335">
        <f>IF(U1335="","MISSING_TOTAL",IF(ABS(AB1335)&lt;=0.01,"OK","CHECK"))</f>
        <v/>
      </c>
      <c r="AE1335">
        <f>IF(U1335="","MISSING",IF(AND(AA1335&gt;0,U1335/AA1335&gt;50),"POSSIBLE_SCALE_ERROR","OK"))</f>
        <v/>
      </c>
    </row>
    <row r="1336">
      <c r="A1336" t="inlineStr">
        <is>
          <t>T-2019-P5-0010</t>
        </is>
      </c>
      <c r="B1336" t="inlineStr">
        <is>
          <t>MPSES</t>
        </is>
      </c>
      <c r="C1336" t="inlineStr">
        <is>
          <t>Special Assistant</t>
        </is>
      </c>
      <c r="D1336" t="inlineStr">
        <is>
          <t>Assistant Spécial</t>
        </is>
      </c>
      <c r="E1336" t="inlineStr">
        <is>
          <t>Jean-Sébastien Comeau</t>
        </is>
      </c>
      <c r="F1336" t="inlineStr">
        <is>
          <t>To accompany the Parliamentary Secretary for an announcement at the Mirabel Agri-Food Research Center (CRAM)</t>
        </is>
      </c>
      <c r="G1336" t="inlineStr">
        <is>
          <t>Accompagner le Secrétaire parlementaire pour une annonce au Centre de recherche agroalimentaire de Mirabel (CRAM)</t>
        </is>
      </c>
      <c r="H1336" s="1" t="n">
        <v>43693</v>
      </c>
      <c r="I1336" s="1" t="n">
        <v>43693</v>
      </c>
      <c r="J1336" t="inlineStr">
        <is>
          <t>Mirabel (Quebec) Canada</t>
        </is>
      </c>
      <c r="K1336" t="inlineStr">
        <is>
          <t>Mirabel (Québec) Canada</t>
        </is>
      </c>
      <c r="P1336" t="n">
        <v>0</v>
      </c>
      <c r="Q1336" t="n">
        <v>61.68</v>
      </c>
      <c r="R1336" t="n">
        <v>0</v>
      </c>
      <c r="S1336" t="n">
        <v>20.1</v>
      </c>
      <c r="T1336" t="n">
        <v>0</v>
      </c>
      <c r="U1336" t="n">
        <v>81.78</v>
      </c>
      <c r="X1336" t="inlineStr">
        <is>
          <t>aafc-aac</t>
        </is>
      </c>
      <c r="Y1336" t="inlineStr">
        <is>
          <t>Agriculture and Agri-Food Canada | Agriculture et Agroalimentaire Canada</t>
        </is>
      </c>
      <c r="Z1336" t="n">
        <v>1</v>
      </c>
      <c r="AA1336" t="n">
        <v>81.78</v>
      </c>
      <c r="AB1336">
        <f>ROUND(U1336-AA1336,2)</f>
        <v/>
      </c>
      <c r="AC1336" t="b">
        <v>0</v>
      </c>
      <c r="AD1336">
        <f>IF(U1336="","MISSING_TOTAL",IF(ABS(AB1336)&lt;=0.01,"OK","CHECK"))</f>
        <v/>
      </c>
      <c r="AE1336">
        <f>IF(U1336="","MISSING",IF(AND(AA1336&gt;0,U1336/AA1336&gt;50),"POSSIBLE_SCALE_ERROR","OK"))</f>
        <v/>
      </c>
    </row>
    <row r="1337">
      <c r="A1337" t="inlineStr">
        <is>
          <t>T-2019-P5-0011</t>
        </is>
      </c>
      <c r="B1337" t="inlineStr">
        <is>
          <t>MPSES</t>
        </is>
      </c>
      <c r="C1337" t="inlineStr">
        <is>
          <t>Special Assistant</t>
        </is>
      </c>
      <c r="D1337" t="inlineStr">
        <is>
          <t>Assistant Spécial</t>
        </is>
      </c>
      <c r="E1337" t="inlineStr">
        <is>
          <t>Jean-Sébastien Comeau</t>
        </is>
      </c>
      <c r="F1337" t="inlineStr">
        <is>
          <t>To accompany the Parliamentary Secretary for an announcement regarding the Dairy Processing Investment Fund</t>
        </is>
      </c>
      <c r="G1337" t="inlineStr">
        <is>
          <t>Accompagner le Secrétaire parlementaire pour une annonce concernant le Fonds d’investissement dans la transformation des produits laitiers</t>
        </is>
      </c>
      <c r="H1337" s="1" t="n">
        <v>43697</v>
      </c>
      <c r="I1337" s="1" t="n">
        <v>43697</v>
      </c>
      <c r="J1337" t="inlineStr">
        <is>
          <t>Saint-Jean-de-Matha (Quebec) Canada</t>
        </is>
      </c>
      <c r="K1337" t="inlineStr">
        <is>
          <t>Saint-Jean-de-Matha (Québec) Canada</t>
        </is>
      </c>
      <c r="P1337" t="n">
        <v>0</v>
      </c>
      <c r="Q1337" t="n">
        <v>75.84999999999999</v>
      </c>
      <c r="R1337" t="n">
        <v>0</v>
      </c>
      <c r="S1337" t="n">
        <v>20.1</v>
      </c>
      <c r="T1337" t="n">
        <v>0</v>
      </c>
      <c r="U1337" t="n">
        <v>95.95</v>
      </c>
      <c r="X1337" t="inlineStr">
        <is>
          <t>aafc-aac</t>
        </is>
      </c>
      <c r="Y1337" t="inlineStr">
        <is>
          <t>Agriculture and Agri-Food Canada | Agriculture et Agroalimentaire Canada</t>
        </is>
      </c>
      <c r="Z1337" t="n">
        <v>1</v>
      </c>
      <c r="AA1337" t="n">
        <v>95.9499999999999</v>
      </c>
      <c r="AB1337">
        <f>ROUND(U1337-AA1337,2)</f>
        <v/>
      </c>
      <c r="AC1337" t="b">
        <v>0</v>
      </c>
      <c r="AD1337">
        <f>IF(U1337="","MISSING_TOTAL",IF(ABS(AB1337)&lt;=0.01,"OK","CHECK"))</f>
        <v/>
      </c>
      <c r="AE1337">
        <f>IF(U1337="","MISSING",IF(AND(AA1337&gt;0,U1337/AA1337&gt;50),"POSSIBLE_SCALE_ERROR","OK"))</f>
        <v/>
      </c>
    </row>
    <row r="1338">
      <c r="A1338" t="inlineStr">
        <is>
          <t>T-2019-P5-0012</t>
        </is>
      </c>
      <c r="B1338" t="inlineStr">
        <is>
          <t>MPSES</t>
        </is>
      </c>
      <c r="C1338" t="inlineStr">
        <is>
          <t>Press Secretary</t>
        </is>
      </c>
      <c r="D1338" t="inlineStr">
        <is>
          <t>Attachée de Presse</t>
        </is>
      </c>
      <c r="E1338" t="inlineStr">
        <is>
          <t>Justine Lesage</t>
        </is>
      </c>
      <c r="F1338" t="inlineStr">
        <is>
          <t>To accompany the Minister to the Annual Conference of Federal-Provincial-Territorial Ministers and Deputy Ministers of Agriculture</t>
        </is>
      </c>
      <c r="G1338" t="inlineStr">
        <is>
          <t>Accompagner la Ministre à la Conférence annuelle des ministres et des sous-ministres fédéraux, provinciaux et territoriaux de l’Agriculture</t>
        </is>
      </c>
      <c r="H1338" s="1" t="n">
        <v>43664</v>
      </c>
      <c r="I1338" s="1" t="n">
        <v>43665</v>
      </c>
      <c r="J1338" t="inlineStr">
        <is>
          <t>Quebec (Quebec) Canada</t>
        </is>
      </c>
      <c r="K1338" t="inlineStr">
        <is>
          <t>Québec (Québec) Canada</t>
        </is>
      </c>
      <c r="P1338" t="n">
        <v>0</v>
      </c>
      <c r="Q1338" t="n">
        <v>173.59</v>
      </c>
      <c r="R1338" t="n">
        <v>224.91</v>
      </c>
      <c r="S1338" t="n">
        <v>85.25</v>
      </c>
      <c r="T1338" t="n">
        <v>0</v>
      </c>
      <c r="U1338" t="n">
        <v>483.75</v>
      </c>
      <c r="X1338" t="inlineStr">
        <is>
          <t>aafc-aac</t>
        </is>
      </c>
      <c r="Y1338" t="inlineStr">
        <is>
          <t>Agriculture and Agri-Food Canada | Agriculture et Agroalimentaire Canada</t>
        </is>
      </c>
      <c r="Z1338" t="n">
        <v>2</v>
      </c>
      <c r="AA1338" t="n">
        <v>483.75</v>
      </c>
      <c r="AB1338">
        <f>ROUND(U1338-AA1338,2)</f>
        <v/>
      </c>
      <c r="AC1338" t="b">
        <v>0</v>
      </c>
      <c r="AD1338">
        <f>IF(U1338="","MISSING_TOTAL",IF(ABS(AB1338)&lt;=0.01,"OK","CHECK"))</f>
        <v/>
      </c>
      <c r="AE1338">
        <f>IF(U1338="","MISSING",IF(AND(AA1338&gt;0,U1338/AA1338&gt;50),"POSSIBLE_SCALE_ERROR","OK"))</f>
        <v/>
      </c>
    </row>
    <row r="1339">
      <c r="A1339" t="inlineStr">
        <is>
          <t>T-2019-P5-0013</t>
        </is>
      </c>
      <c r="B1339" t="inlineStr">
        <is>
          <t>MPSES</t>
        </is>
      </c>
      <c r="C1339" t="inlineStr">
        <is>
          <t>Press Secretary</t>
        </is>
      </c>
      <c r="D1339" t="inlineStr">
        <is>
          <t>Attachée de Presse</t>
        </is>
      </c>
      <c r="E1339" t="inlineStr">
        <is>
          <t>Justine Lesage</t>
        </is>
      </c>
      <c r="F1339" t="inlineStr">
        <is>
          <t>To accompany the Minister on a Western Outreach</t>
        </is>
      </c>
      <c r="G1339" t="inlineStr">
        <is>
          <t>Accompagner la Ministre à une campagne de sensibilisation dans les provinces de l'Ouest</t>
        </is>
      </c>
      <c r="H1339" s="1" t="n">
        <v>43649</v>
      </c>
      <c r="I1339" s="1" t="n">
        <v>43658</v>
      </c>
      <c r="J1339" t="inlineStr">
        <is>
          <t>Vancouver (British Columbia) Canada; Victoria (British Columbia) Canada; Whitehorse (Yukon) Canada; Calgary (Alberta) Canada; Edmonton (Alberta) Canada; Saskatoon (Saskatchewan) Canada</t>
        </is>
      </c>
      <c r="K1339" t="inlineStr">
        <is>
          <t>Vancouver (Colombie-Britannique) Canada; Victoria (Colombie-Britannique) Canada; Whitehorse (Yukon) Canada; Calgary (Alberta) Canada; Edmonton (Alberta) Canada; Saskatoon (Saskatchewan) Canada</t>
        </is>
      </c>
      <c r="P1339" t="n">
        <v>2607.82</v>
      </c>
      <c r="Q1339" t="n">
        <v>166.11</v>
      </c>
      <c r="R1339" t="n">
        <v>2025.41</v>
      </c>
      <c r="S1339" t="n">
        <v>953</v>
      </c>
      <c r="T1339" t="n">
        <v>0</v>
      </c>
      <c r="U1339" t="n">
        <v>5752.34</v>
      </c>
      <c r="X1339" t="inlineStr">
        <is>
          <t>aafc-aac</t>
        </is>
      </c>
      <c r="Y1339" t="inlineStr">
        <is>
          <t>Agriculture and Agri-Food Canada | Agriculture et Agroalimentaire Canada</t>
        </is>
      </c>
      <c r="Z1339" t="n">
        <v>10</v>
      </c>
      <c r="AA1339" t="n">
        <v>5752.34</v>
      </c>
      <c r="AB1339">
        <f>ROUND(U1339-AA1339,2)</f>
        <v/>
      </c>
      <c r="AC1339" t="b">
        <v>0</v>
      </c>
      <c r="AD1339">
        <f>IF(U1339="","MISSING_TOTAL",IF(ABS(AB1339)&lt;=0.01,"OK","CHECK"))</f>
        <v/>
      </c>
      <c r="AE1339">
        <f>IF(U1339="","MISSING",IF(AND(AA1339&gt;0,U1339/AA1339&gt;50),"POSSIBLE_SCALE_ERROR","OK"))</f>
        <v/>
      </c>
    </row>
    <row r="1340">
      <c r="A1340" t="inlineStr">
        <is>
          <t>T-2019-P5-0014</t>
        </is>
      </c>
      <c r="B1340" t="inlineStr">
        <is>
          <t>MPSES</t>
        </is>
      </c>
      <c r="C1340" t="inlineStr">
        <is>
          <t>Director of Communications</t>
        </is>
      </c>
      <c r="D1340" t="inlineStr">
        <is>
          <t>Directrice des communications</t>
        </is>
      </c>
      <c r="E1340" t="inlineStr">
        <is>
          <t>Katie Hawkins</t>
        </is>
      </c>
      <c r="F1340" t="inlineStr">
        <is>
          <t>To accompany the Minister on an Atlantic Outreach</t>
        </is>
      </c>
      <c r="G1340" t="inlineStr">
        <is>
          <t>Accompagner la Ministre à une campagne de sensibilisation dans les provinces de l'Atlantique</t>
        </is>
      </c>
      <c r="H1340" s="1" t="n">
        <v>43688</v>
      </c>
      <c r="I1340" s="1" t="n">
        <v>43691</v>
      </c>
      <c r="J1340" t="inlineStr">
        <is>
          <t>Wolfville (Nova Scotia) Canada; Halifax (Nova Scotia) Canada; Port Hood (Nova Scotia) Canada</t>
        </is>
      </c>
      <c r="K1340" t="inlineStr">
        <is>
          <t>Wolfville (Nouvelle-Écosse) Canada; Halifax (Nouvelle-Écosse) Canada; Port Hood (Nouvelle-Écosse) Canada</t>
        </is>
      </c>
      <c r="P1340" t="n">
        <v>888.58</v>
      </c>
      <c r="Q1340" t="n">
        <v>241.06</v>
      </c>
      <c r="R1340" t="n">
        <v>574.17</v>
      </c>
      <c r="S1340" t="n">
        <v>332.1</v>
      </c>
      <c r="T1340" t="n">
        <v>0</v>
      </c>
      <c r="U1340" t="n">
        <v>2035.91</v>
      </c>
      <c r="X1340" t="inlineStr">
        <is>
          <t>aafc-aac</t>
        </is>
      </c>
      <c r="Y1340" t="inlineStr">
        <is>
          <t>Agriculture and Agri-Food Canada | Agriculture et Agroalimentaire Canada</t>
        </is>
      </c>
      <c r="Z1340" t="n">
        <v>4</v>
      </c>
      <c r="AA1340" t="n">
        <v>2035.90999999999</v>
      </c>
      <c r="AB1340">
        <f>ROUND(U1340-AA1340,2)</f>
        <v/>
      </c>
      <c r="AC1340" t="b">
        <v>0</v>
      </c>
      <c r="AD1340">
        <f>IF(U1340="","MISSING_TOTAL",IF(ABS(AB1340)&lt;=0.01,"OK","CHECK"))</f>
        <v/>
      </c>
      <c r="AE1340">
        <f>IF(U1340="","MISSING",IF(AND(AA1340&gt;0,U1340/AA1340&gt;50),"POSSIBLE_SCALE_ERROR","OK"))</f>
        <v/>
      </c>
    </row>
    <row r="1341">
      <c r="A1341" t="inlineStr">
        <is>
          <t>T-2019-P5-0015</t>
        </is>
      </c>
      <c r="B1341" t="inlineStr">
        <is>
          <t>MPSES</t>
        </is>
      </c>
      <c r="C1341" t="inlineStr">
        <is>
          <t>Driver</t>
        </is>
      </c>
      <c r="D1341" t="inlineStr">
        <is>
          <t>Conducteur</t>
        </is>
      </c>
      <c r="E1341" t="inlineStr">
        <is>
          <t>Michel Gendreau</t>
        </is>
      </c>
      <c r="F1341" t="inlineStr">
        <is>
          <t>To drive the Minister from the Annual Conference of Federal-Provincial-Territorial Ministers and Deputy Ministers of Agriculture Conference to her riding</t>
        </is>
      </c>
      <c r="G1341" t="inlineStr">
        <is>
          <t>Pour conduire la Ministre de la Conférence annuelle des ministres et des sous-ministres fédéraux, provinciaux et territoriaux de l’Agriculture à sa circonscription</t>
        </is>
      </c>
      <c r="H1341" s="1" t="n">
        <v>43665</v>
      </c>
      <c r="I1341" s="1" t="n">
        <v>43665</v>
      </c>
      <c r="J1341" t="inlineStr">
        <is>
          <t>Quebec (Quebec) Canada; Sherbrooke (Quebec) Canada</t>
        </is>
      </c>
      <c r="K1341" t="inlineStr">
        <is>
          <t>Québec (Québec) Canada; Sherbrooke (Québec) Canada</t>
        </is>
      </c>
      <c r="P1341" t="n">
        <v>0</v>
      </c>
      <c r="Q1341" t="n">
        <v>3.1</v>
      </c>
      <c r="R1341" t="n">
        <v>0</v>
      </c>
      <c r="S1341" t="n">
        <v>70.75</v>
      </c>
      <c r="T1341" t="n">
        <v>0</v>
      </c>
      <c r="U1341" t="n">
        <v>73.84999999999999</v>
      </c>
      <c r="X1341" t="inlineStr">
        <is>
          <t>aafc-aac</t>
        </is>
      </c>
      <c r="Y1341" t="inlineStr">
        <is>
          <t>Agriculture and Agri-Food Canada | Agriculture et Agroalimentaire Canada</t>
        </is>
      </c>
      <c r="Z1341" t="n">
        <v>1</v>
      </c>
      <c r="AA1341" t="n">
        <v>73.84999999999999</v>
      </c>
      <c r="AB1341">
        <f>ROUND(U1341-AA1341,2)</f>
        <v/>
      </c>
      <c r="AC1341" t="b">
        <v>0</v>
      </c>
      <c r="AD1341">
        <f>IF(U1341="","MISSING_TOTAL",IF(ABS(AB1341)&lt;=0.01,"OK","CHECK"))</f>
        <v/>
      </c>
      <c r="AE1341">
        <f>IF(U1341="","MISSING",IF(AND(AA1341&gt;0,U1341/AA1341&gt;50),"POSSIBLE_SCALE_ERROR","OK"))</f>
        <v/>
      </c>
    </row>
    <row r="1342">
      <c r="A1342" t="inlineStr">
        <is>
          <t>T-2019-P5-0016</t>
        </is>
      </c>
      <c r="B1342" t="inlineStr">
        <is>
          <t>MPSES</t>
        </is>
      </c>
      <c r="C1342" t="inlineStr">
        <is>
          <t>Driver</t>
        </is>
      </c>
      <c r="D1342" t="inlineStr">
        <is>
          <t>Conducteur</t>
        </is>
      </c>
      <c r="E1342" t="inlineStr">
        <is>
          <t>Michel Gendreau</t>
        </is>
      </c>
      <c r="F1342" t="inlineStr">
        <is>
          <t>To drive the Minister to announcements near her riding</t>
        </is>
      </c>
      <c r="G1342" t="inlineStr">
        <is>
          <t>Pour conduire la Ministre à des annonces près de sa circonscription</t>
        </is>
      </c>
      <c r="H1342" s="1" t="n">
        <v>43668</v>
      </c>
      <c r="I1342" s="1" t="n">
        <v>43669</v>
      </c>
      <c r="J1342" t="inlineStr">
        <is>
          <t>Sherbrooke (Quebec) Canada</t>
        </is>
      </c>
      <c r="K1342" t="inlineStr">
        <is>
          <t>Sherbrooke (Québec) Canada</t>
        </is>
      </c>
      <c r="P1342" t="n">
        <v>0</v>
      </c>
      <c r="Q1342" t="n">
        <v>3.1</v>
      </c>
      <c r="R1342" t="n">
        <v>152.6</v>
      </c>
      <c r="S1342" t="n">
        <v>105.75</v>
      </c>
      <c r="T1342" t="n">
        <v>0</v>
      </c>
      <c r="U1342" t="n">
        <v>261.45</v>
      </c>
      <c r="X1342" t="inlineStr">
        <is>
          <t>aafc-aac</t>
        </is>
      </c>
      <c r="Y1342" t="inlineStr">
        <is>
          <t>Agriculture and Agri-Food Canada | Agriculture et Agroalimentaire Canada</t>
        </is>
      </c>
      <c r="Z1342" t="n">
        <v>2</v>
      </c>
      <c r="AA1342" t="n">
        <v>261.45</v>
      </c>
      <c r="AB1342">
        <f>ROUND(U1342-AA1342,2)</f>
        <v/>
      </c>
      <c r="AC1342" t="b">
        <v>0</v>
      </c>
      <c r="AD1342">
        <f>IF(U1342="","MISSING_TOTAL",IF(ABS(AB1342)&lt;=0.01,"OK","CHECK"))</f>
        <v/>
      </c>
      <c r="AE1342">
        <f>IF(U1342="","MISSING",IF(AND(AA1342&gt;0,U1342/AA1342&gt;50),"POSSIBLE_SCALE_ERROR","OK"))</f>
        <v/>
      </c>
    </row>
    <row r="1343">
      <c r="A1343" t="inlineStr">
        <is>
          <t>T-2019-P5-0017</t>
        </is>
      </c>
      <c r="B1343" t="inlineStr">
        <is>
          <t>MPSES</t>
        </is>
      </c>
      <c r="C1343" t="inlineStr">
        <is>
          <t>Driver</t>
        </is>
      </c>
      <c r="D1343" t="inlineStr">
        <is>
          <t>Conducteur</t>
        </is>
      </c>
      <c r="E1343" t="inlineStr">
        <is>
          <t>Michel Gendreau</t>
        </is>
      </c>
      <c r="F1343" t="inlineStr">
        <is>
          <t>To pick up the Minister from the Montreal airport to attend announcements then return to her riding</t>
        </is>
      </c>
      <c r="G1343" t="inlineStr">
        <is>
          <t>Pour conduire la Ministre de l'aéroport de Montréal pour assister à des annonces et retourner à sa conscription</t>
        </is>
      </c>
      <c r="H1343" s="1" t="n">
        <v>43671</v>
      </c>
      <c r="I1343" s="1" t="n">
        <v>43671</v>
      </c>
      <c r="J1343" t="inlineStr">
        <is>
          <t>Montreal (Quebec) Canada; Sherbrooke (Quebec) Canada</t>
        </is>
      </c>
      <c r="K1343" t="inlineStr">
        <is>
          <t>Montréal (Québec) Canada; Sherbrooke (Québec) Canada</t>
        </is>
      </c>
      <c r="P1343" t="n">
        <v>0</v>
      </c>
      <c r="Q1343" t="n">
        <v>3.1</v>
      </c>
      <c r="R1343" t="n">
        <v>0</v>
      </c>
      <c r="S1343" t="n">
        <v>70.75</v>
      </c>
      <c r="T1343" t="n">
        <v>0</v>
      </c>
      <c r="U1343" t="n">
        <v>73.84999999999999</v>
      </c>
      <c r="X1343" t="inlineStr">
        <is>
          <t>aafc-aac</t>
        </is>
      </c>
      <c r="Y1343" t="inlineStr">
        <is>
          <t>Agriculture and Agri-Food Canada | Agriculture et Agroalimentaire Canada</t>
        </is>
      </c>
      <c r="Z1343" t="n">
        <v>1</v>
      </c>
      <c r="AA1343" t="n">
        <v>73.84999999999999</v>
      </c>
      <c r="AB1343">
        <f>ROUND(U1343-AA1343,2)</f>
        <v/>
      </c>
      <c r="AC1343" t="b">
        <v>0</v>
      </c>
      <c r="AD1343">
        <f>IF(U1343="","MISSING_TOTAL",IF(ABS(AB1343)&lt;=0.01,"OK","CHECK"))</f>
        <v/>
      </c>
      <c r="AE1343">
        <f>IF(U1343="","MISSING",IF(AND(AA1343&gt;0,U1343/AA1343&gt;50),"POSSIBLE_SCALE_ERROR","OK"))</f>
        <v/>
      </c>
    </row>
    <row r="1344">
      <c r="A1344" t="inlineStr">
        <is>
          <t>T-2019-P5-0018</t>
        </is>
      </c>
      <c r="B1344" t="inlineStr">
        <is>
          <t>MPSES</t>
        </is>
      </c>
      <c r="C1344" t="inlineStr">
        <is>
          <t>Driver</t>
        </is>
      </c>
      <c r="D1344" t="inlineStr">
        <is>
          <t>Conducteur</t>
        </is>
      </c>
      <c r="E1344" t="inlineStr">
        <is>
          <t>Michel Gendreau</t>
        </is>
      </c>
      <c r="F1344" t="inlineStr">
        <is>
          <t>To drive the Minister to announcements near her riding</t>
        </is>
      </c>
      <c r="G1344" t="inlineStr">
        <is>
          <t>Pour conduire la Ministre à des annonces près de sa circonscription</t>
        </is>
      </c>
      <c r="H1344" s="1" t="n">
        <v>43678</v>
      </c>
      <c r="I1344" s="1" t="n">
        <v>43678</v>
      </c>
      <c r="J1344" t="inlineStr">
        <is>
          <t>Sherbrooke (Quebec) Canada</t>
        </is>
      </c>
      <c r="K1344" t="inlineStr">
        <is>
          <t>Sherbrooke (Québec) Canada</t>
        </is>
      </c>
      <c r="P1344" t="n">
        <v>0</v>
      </c>
      <c r="Q1344" t="n">
        <v>6.2</v>
      </c>
      <c r="R1344" t="n">
        <v>0</v>
      </c>
      <c r="S1344" t="n">
        <v>40.6</v>
      </c>
      <c r="T1344" t="n">
        <v>0</v>
      </c>
      <c r="U1344" t="n">
        <v>46.8</v>
      </c>
      <c r="X1344" t="inlineStr">
        <is>
          <t>aafc-aac</t>
        </is>
      </c>
      <c r="Y1344" t="inlineStr">
        <is>
          <t>Agriculture and Agri-Food Canada | Agriculture et Agroalimentaire Canada</t>
        </is>
      </c>
      <c r="Z1344" t="n">
        <v>1</v>
      </c>
      <c r="AA1344" t="n">
        <v>46.8</v>
      </c>
      <c r="AB1344">
        <f>ROUND(U1344-AA1344,2)</f>
        <v/>
      </c>
      <c r="AC1344" t="b">
        <v>0</v>
      </c>
      <c r="AD1344">
        <f>IF(U1344="","MISSING_TOTAL",IF(ABS(AB1344)&lt;=0.01,"OK","CHECK"))</f>
        <v/>
      </c>
      <c r="AE1344">
        <f>IF(U1344="","MISSING",IF(AND(AA1344&gt;0,U1344/AA1344&gt;50),"POSSIBLE_SCALE_ERROR","OK"))</f>
        <v/>
      </c>
    </row>
    <row r="1345">
      <c r="A1345" t="inlineStr">
        <is>
          <t>T-2019-P5-0019</t>
        </is>
      </c>
      <c r="B1345" t="inlineStr">
        <is>
          <t>MPSES</t>
        </is>
      </c>
      <c r="C1345" t="inlineStr">
        <is>
          <t>Driver</t>
        </is>
      </c>
      <c r="D1345" t="inlineStr">
        <is>
          <t>Conducteur</t>
        </is>
      </c>
      <c r="E1345" t="inlineStr">
        <is>
          <t>Michel Gendreau</t>
        </is>
      </c>
      <c r="F1345" t="inlineStr">
        <is>
          <t>To drive the Minister from her riding to the Montreal airport</t>
        </is>
      </c>
      <c r="G1345" t="inlineStr">
        <is>
          <t>Pour conduire la Ministre de sa circonscription à l'aéroport de Montréal</t>
        </is>
      </c>
      <c r="H1345" s="1" t="n">
        <v>43688</v>
      </c>
      <c r="I1345" s="1" t="n">
        <v>43688</v>
      </c>
      <c r="J1345" t="inlineStr">
        <is>
          <t>Sherbrooke (Quebec) Canada; Montreal (Quebec) Canada</t>
        </is>
      </c>
      <c r="K1345" t="inlineStr">
        <is>
          <t>Sherbrooke (Québec) Canada; Montréal (Québec) Canada</t>
        </is>
      </c>
      <c r="P1345" t="n">
        <v>0</v>
      </c>
      <c r="Q1345" t="n">
        <v>3.1</v>
      </c>
      <c r="R1345" t="n">
        <v>0</v>
      </c>
      <c r="S1345" t="n">
        <v>70.75</v>
      </c>
      <c r="T1345" t="n">
        <v>0</v>
      </c>
      <c r="U1345" t="n">
        <v>73.84999999999999</v>
      </c>
      <c r="X1345" t="inlineStr">
        <is>
          <t>aafc-aac</t>
        </is>
      </c>
      <c r="Y1345" t="inlineStr">
        <is>
          <t>Agriculture and Agri-Food Canada | Agriculture et Agroalimentaire Canada</t>
        </is>
      </c>
      <c r="Z1345" t="n">
        <v>1</v>
      </c>
      <c r="AA1345" t="n">
        <v>73.84999999999999</v>
      </c>
      <c r="AB1345">
        <f>ROUND(U1345-AA1345,2)</f>
        <v/>
      </c>
      <c r="AC1345" t="b">
        <v>0</v>
      </c>
      <c r="AD1345">
        <f>IF(U1345="","MISSING_TOTAL",IF(ABS(AB1345)&lt;=0.01,"OK","CHECK"))</f>
        <v/>
      </c>
      <c r="AE1345">
        <f>IF(U1345="","MISSING",IF(AND(AA1345&gt;0,U1345/AA1345&gt;50),"POSSIBLE_SCALE_ERROR","OK"))</f>
        <v/>
      </c>
    </row>
    <row r="1346">
      <c r="A1346" t="inlineStr">
        <is>
          <t>T-2019-P5-0020</t>
        </is>
      </c>
      <c r="B1346" t="inlineStr">
        <is>
          <t>MPSES</t>
        </is>
      </c>
      <c r="C1346" t="inlineStr">
        <is>
          <t>Driver</t>
        </is>
      </c>
      <c r="D1346" t="inlineStr">
        <is>
          <t>Conducteur</t>
        </is>
      </c>
      <c r="E1346" t="inlineStr">
        <is>
          <t>Michel Gendreau</t>
        </is>
      </c>
      <c r="F1346" t="inlineStr">
        <is>
          <t>To drive the Minister from her riding to Lac St-Jean for announcements</t>
        </is>
      </c>
      <c r="G1346" t="inlineStr">
        <is>
          <t>Pour conduire la Ministre de sa circonscription pour des annonces au Lac St-Jean</t>
        </is>
      </c>
      <c r="H1346" s="1" t="n">
        <v>43697</v>
      </c>
      <c r="I1346" s="1" t="n">
        <v>43699</v>
      </c>
      <c r="J1346" t="inlineStr">
        <is>
          <t>Sherbrooke (Quebec) Canada; Lac St-Jean (Quebec) Canada</t>
        </is>
      </c>
      <c r="K1346" t="inlineStr">
        <is>
          <t>Sherbrooke (Québec) Canada; Lac St-Jean (Québec) Canada</t>
        </is>
      </c>
      <c r="P1346" t="n">
        <v>0</v>
      </c>
      <c r="Q1346" t="n">
        <v>6.2</v>
      </c>
      <c r="R1346" t="n">
        <v>326.05</v>
      </c>
      <c r="S1346" t="n">
        <v>285.05</v>
      </c>
      <c r="T1346" t="n">
        <v>0</v>
      </c>
      <c r="U1346" t="n">
        <v>617.3</v>
      </c>
      <c r="X1346" t="inlineStr">
        <is>
          <t>aafc-aac</t>
        </is>
      </c>
      <c r="Y1346" t="inlineStr">
        <is>
          <t>Agriculture and Agri-Food Canada | Agriculture et Agroalimentaire Canada</t>
        </is>
      </c>
      <c r="Z1346" t="n">
        <v>3</v>
      </c>
      <c r="AA1346" t="n">
        <v>617.3</v>
      </c>
      <c r="AB1346">
        <f>ROUND(U1346-AA1346,2)</f>
        <v/>
      </c>
      <c r="AC1346" t="b">
        <v>0</v>
      </c>
      <c r="AD1346">
        <f>IF(U1346="","MISSING_TOTAL",IF(ABS(AB1346)&lt;=0.01,"OK","CHECK"))</f>
        <v/>
      </c>
      <c r="AE1346">
        <f>IF(U1346="","MISSING",IF(AND(AA1346&gt;0,U1346/AA1346&gt;50),"POSSIBLE_SCALE_ERROR","OK"))</f>
        <v/>
      </c>
    </row>
    <row r="1347">
      <c r="A1347" t="inlineStr">
        <is>
          <t>T-2019-P5-0021</t>
        </is>
      </c>
      <c r="B1347" t="inlineStr">
        <is>
          <t>MPSES</t>
        </is>
      </c>
      <c r="C1347" t="inlineStr">
        <is>
          <t>Driver</t>
        </is>
      </c>
      <c r="D1347" t="inlineStr">
        <is>
          <t>Conducteur</t>
        </is>
      </c>
      <c r="E1347" t="inlineStr">
        <is>
          <t>Michel Gendreau</t>
        </is>
      </c>
      <c r="F1347" t="inlineStr">
        <is>
          <t>To drive the Minister from her riding to the Montreal airport</t>
        </is>
      </c>
      <c r="G1347" t="inlineStr">
        <is>
          <t>Pour conduire la Ministre de sa circonscription à l'aéroport de Montréal</t>
        </is>
      </c>
      <c r="H1347" s="1" t="n">
        <v>43702</v>
      </c>
      <c r="I1347" s="1" t="n">
        <v>43702</v>
      </c>
      <c r="J1347" t="inlineStr">
        <is>
          <t>Sherbrooke (Quebec) Canada; Montreal (Quebec) Canada</t>
        </is>
      </c>
      <c r="K1347" t="inlineStr">
        <is>
          <t>Sherbrooke (Québec) Canada; Montréal (Québec) Canada</t>
        </is>
      </c>
      <c r="P1347" t="n">
        <v>0</v>
      </c>
      <c r="Q1347" t="n">
        <v>3.1</v>
      </c>
      <c r="R1347" t="n">
        <v>0</v>
      </c>
      <c r="S1347" t="n">
        <v>50.65</v>
      </c>
      <c r="T1347" t="n">
        <v>0</v>
      </c>
      <c r="U1347" t="n">
        <v>53.75</v>
      </c>
      <c r="X1347" t="inlineStr">
        <is>
          <t>aafc-aac</t>
        </is>
      </c>
      <c r="Y1347" t="inlineStr">
        <is>
          <t>Agriculture and Agri-Food Canada | Agriculture et Agroalimentaire Canada</t>
        </is>
      </c>
      <c r="Z1347" t="n">
        <v>1</v>
      </c>
      <c r="AA1347" t="n">
        <v>53.75</v>
      </c>
      <c r="AB1347">
        <f>ROUND(U1347-AA1347,2)</f>
        <v/>
      </c>
      <c r="AC1347" t="b">
        <v>0</v>
      </c>
      <c r="AD1347">
        <f>IF(U1347="","MISSING_TOTAL",IF(ABS(AB1347)&lt;=0.01,"OK","CHECK"))</f>
        <v/>
      </c>
      <c r="AE1347">
        <f>IF(U1347="","MISSING",IF(AND(AA1347&gt;0,U1347/AA1347&gt;50),"POSSIBLE_SCALE_ERROR","OK"))</f>
        <v/>
      </c>
    </row>
    <row r="1348">
      <c r="A1348" t="inlineStr">
        <is>
          <t>T-2019-P5-0022</t>
        </is>
      </c>
      <c r="B1348" t="inlineStr">
        <is>
          <t>MPSES</t>
        </is>
      </c>
      <c r="C1348" t="inlineStr">
        <is>
          <t>Senior Policy Advisor</t>
        </is>
      </c>
      <c r="D1348" t="inlineStr">
        <is>
          <t>Conseiller principal des politiques</t>
        </is>
      </c>
      <c r="E1348" t="inlineStr">
        <is>
          <t>Michel-Antoine Renaud</t>
        </is>
      </c>
      <c r="F1348" t="inlineStr">
        <is>
          <t>To accompany the Parliamentary Secretary for an announcement at the Deschambault Animal Science Research Centre</t>
        </is>
      </c>
      <c r="G1348" t="inlineStr">
        <is>
          <t>Accompagner le Secrétaire parlementaire pour une annonce au Centre de recherche en sciences animales de Deschambault</t>
        </is>
      </c>
      <c r="H1348" s="1" t="n">
        <v>43684</v>
      </c>
      <c r="I1348" s="1" t="n">
        <v>43684</v>
      </c>
      <c r="J1348" t="inlineStr">
        <is>
          <t>Deschambault (Quebec) Canada</t>
        </is>
      </c>
      <c r="K1348" t="inlineStr">
        <is>
          <t>Deschambault (Québec) Canada</t>
        </is>
      </c>
      <c r="P1348" t="n">
        <v>0</v>
      </c>
      <c r="Q1348" t="n">
        <v>134.38</v>
      </c>
      <c r="R1348" t="n">
        <v>0</v>
      </c>
      <c r="S1348" t="n">
        <v>91.25</v>
      </c>
      <c r="T1348" t="n">
        <v>0</v>
      </c>
      <c r="U1348" t="n">
        <v>225.63</v>
      </c>
      <c r="X1348" t="inlineStr">
        <is>
          <t>aafc-aac</t>
        </is>
      </c>
      <c r="Y1348" t="inlineStr">
        <is>
          <t>Agriculture and Agri-Food Canada | Agriculture et Agroalimentaire Canada</t>
        </is>
      </c>
      <c r="Z1348" t="n">
        <v>1</v>
      </c>
      <c r="AA1348" t="n">
        <v>225.63</v>
      </c>
      <c r="AB1348">
        <f>ROUND(U1348-AA1348,2)</f>
        <v/>
      </c>
      <c r="AC1348" t="b">
        <v>0</v>
      </c>
      <c r="AD1348">
        <f>IF(U1348="","MISSING_TOTAL",IF(ABS(AB1348)&lt;=0.01,"OK","CHECK"))</f>
        <v/>
      </c>
      <c r="AE1348">
        <f>IF(U1348="","MISSING",IF(AND(AA1348&gt;0,U1348/AA1348&gt;50),"POSSIBLE_SCALE_ERROR","OK"))</f>
        <v/>
      </c>
    </row>
    <row r="1349">
      <c r="A1349" t="inlineStr">
        <is>
          <t>T-2019-P5-0023</t>
        </is>
      </c>
      <c r="B1349" t="inlineStr">
        <is>
          <t>MPSES</t>
        </is>
      </c>
      <c r="C1349" t="inlineStr">
        <is>
          <t>Senior Communications and Policy Advisor</t>
        </is>
      </c>
      <c r="D1349" t="inlineStr">
        <is>
          <t>Conseiller principal en communications et politiques</t>
        </is>
      </c>
      <c r="E1349" t="inlineStr">
        <is>
          <t>Oliver Anderson</t>
        </is>
      </c>
      <c r="F1349" t="inlineStr">
        <is>
          <t>To accompany the Minister on a Western Outreach</t>
        </is>
      </c>
      <c r="G1349" t="inlineStr">
        <is>
          <t>Accompagner la Ministre à une campagne de sensibilisation dans les provinces de l'Ouest</t>
        </is>
      </c>
      <c r="H1349" s="1" t="n">
        <v>43649</v>
      </c>
      <c r="I1349" s="1" t="n">
        <v>43662</v>
      </c>
      <c r="J1349" t="inlineStr">
        <is>
          <t>Vancouver (British Columbia) Canada; Victoria (British Columbia) Canada; Whitehorse (Yukon) Canada; Calgary (Alberta) Canada; Edmonton (Alberta) Canada; Saskatoon (Saskatchewan) Canada</t>
        </is>
      </c>
      <c r="K1349" t="inlineStr">
        <is>
          <t>Vancouver (Colombie-Britannique) Canada; Victoria (Colombie-Britannique) Canada; Whitehorse (Yukon) Canada; Calgary (Alberta) Canada; Edmonton (Alberta) Canada; Saskatoon (Saskatchewan) Canada</t>
        </is>
      </c>
      <c r="P1349" t="n">
        <v>3830.81</v>
      </c>
      <c r="Q1349" t="n">
        <v>485.15</v>
      </c>
      <c r="R1349" t="n">
        <v>2749.36</v>
      </c>
      <c r="S1349" t="n">
        <v>1233.9</v>
      </c>
      <c r="T1349" t="n">
        <v>0</v>
      </c>
      <c r="U1349" t="n">
        <v>8299.219999999999</v>
      </c>
      <c r="X1349" t="inlineStr">
        <is>
          <t>aafc-aac</t>
        </is>
      </c>
      <c r="Y1349" t="inlineStr">
        <is>
          <t>Agriculture and Agri-Food Canada | Agriculture et Agroalimentaire Canada</t>
        </is>
      </c>
      <c r="Z1349" t="n">
        <v>14</v>
      </c>
      <c r="AA1349" t="n">
        <v>8299.219999999999</v>
      </c>
      <c r="AB1349">
        <f>ROUND(U1349-AA1349,2)</f>
        <v/>
      </c>
      <c r="AC1349" t="b">
        <v>0</v>
      </c>
      <c r="AD1349">
        <f>IF(U1349="","MISSING_TOTAL",IF(ABS(AB1349)&lt;=0.01,"OK","CHECK"))</f>
        <v/>
      </c>
      <c r="AE1349">
        <f>IF(U1349="","MISSING",IF(AND(AA1349&gt;0,U1349/AA1349&gt;50),"POSSIBLE_SCALE_ERROR","OK"))</f>
        <v/>
      </c>
    </row>
    <row r="1350">
      <c r="A1350" t="inlineStr">
        <is>
          <t>T-2019-P5-0024</t>
        </is>
      </c>
      <c r="B1350" t="inlineStr">
        <is>
          <t>MPSES</t>
        </is>
      </c>
      <c r="C1350" t="inlineStr">
        <is>
          <t>Senior Communications and Policy Advisor</t>
        </is>
      </c>
      <c r="D1350" t="inlineStr">
        <is>
          <t>Conseiller principal en communications et politiques</t>
        </is>
      </c>
      <c r="E1350" t="inlineStr">
        <is>
          <t>Oliver Anderson</t>
        </is>
      </c>
      <c r="F1350" t="inlineStr">
        <is>
          <t>To accompany the Minister on an Ontario Outreach</t>
        </is>
      </c>
      <c r="G1350" t="inlineStr">
        <is>
          <t>Accompagner la Ministre à la campagne de sensibilisation en Ontario</t>
        </is>
      </c>
      <c r="H1350" s="1" t="n">
        <v>43669</v>
      </c>
      <c r="I1350" s="1" t="n">
        <v>43671</v>
      </c>
      <c r="J1350" t="inlineStr">
        <is>
          <t>London (Ontario) Canada; Guelph (Ontario) Canada</t>
        </is>
      </c>
      <c r="K1350" t="inlineStr">
        <is>
          <t>London (Ontario) Canada; Guelph (Ontario) Canada</t>
        </is>
      </c>
      <c r="P1350" t="n">
        <v>856.8200000000001</v>
      </c>
      <c r="Q1350" t="n">
        <v>48.42</v>
      </c>
      <c r="R1350" t="n">
        <v>316.13</v>
      </c>
      <c r="S1350" t="n">
        <v>234.8</v>
      </c>
      <c r="T1350" t="n">
        <v>0</v>
      </c>
      <c r="U1350" t="n">
        <v>1456.17</v>
      </c>
      <c r="X1350" t="inlineStr">
        <is>
          <t>aafc-aac</t>
        </is>
      </c>
      <c r="Y1350" t="inlineStr">
        <is>
          <t>Agriculture and Agri-Food Canada | Agriculture et Agroalimentaire Canada</t>
        </is>
      </c>
      <c r="Z1350" t="n">
        <v>3</v>
      </c>
      <c r="AA1350" t="n">
        <v>1456.16999999999</v>
      </c>
      <c r="AB1350">
        <f>ROUND(U1350-AA1350,2)</f>
        <v/>
      </c>
      <c r="AC1350" t="b">
        <v>0</v>
      </c>
      <c r="AD1350">
        <f>IF(U1350="","MISSING_TOTAL",IF(ABS(AB1350)&lt;=0.01,"OK","CHECK"))</f>
        <v/>
      </c>
      <c r="AE1350">
        <f>IF(U1350="","MISSING",IF(AND(AA1350&gt;0,U1350/AA1350&gt;50),"POSSIBLE_SCALE_ERROR","OK"))</f>
        <v/>
      </c>
    </row>
    <row r="1351">
      <c r="A1351" t="inlineStr">
        <is>
          <t>T-2019-P5-0025</t>
        </is>
      </c>
      <c r="B1351" t="inlineStr">
        <is>
          <t>MPSES</t>
        </is>
      </c>
      <c r="C1351" t="inlineStr">
        <is>
          <t>Policy Advisor</t>
        </is>
      </c>
      <c r="D1351" t="inlineStr">
        <is>
          <t>Conseillère en politiques</t>
        </is>
      </c>
      <c r="E1351" t="inlineStr">
        <is>
          <t>Pearson Croney-Clark</t>
        </is>
      </c>
      <c r="F1351" t="inlineStr">
        <is>
          <t>To accompany the Minister for an Ontario Outreach</t>
        </is>
      </c>
      <c r="G1351" t="inlineStr">
        <is>
          <t>Accompagner la Ministre pour une campagne de sensibilisation en Ontario</t>
        </is>
      </c>
      <c r="H1351" s="1" t="n">
        <v>43669</v>
      </c>
      <c r="I1351" s="1" t="n">
        <v>43671</v>
      </c>
      <c r="J1351" t="inlineStr">
        <is>
          <t>London (Ontario) Canada; Guelph (Ontario) Canada</t>
        </is>
      </c>
      <c r="K1351" t="inlineStr">
        <is>
          <t>London (Ontario) Canada; Guelph (Ontario) Canada</t>
        </is>
      </c>
      <c r="P1351" t="n">
        <v>959.65</v>
      </c>
      <c r="Q1351" t="n">
        <v>0</v>
      </c>
      <c r="R1351" t="n">
        <v>316.13</v>
      </c>
      <c r="S1351" t="n">
        <v>234.8</v>
      </c>
      <c r="T1351" t="n">
        <v>0</v>
      </c>
      <c r="U1351" t="n">
        <v>1510.58</v>
      </c>
      <c r="X1351" t="inlineStr">
        <is>
          <t>aafc-aac</t>
        </is>
      </c>
      <c r="Y1351" t="inlineStr">
        <is>
          <t>Agriculture and Agri-Food Canada | Agriculture et Agroalimentaire Canada</t>
        </is>
      </c>
      <c r="Z1351" t="n">
        <v>3</v>
      </c>
      <c r="AA1351" t="n">
        <v>1510.58</v>
      </c>
      <c r="AB1351">
        <f>ROUND(U1351-AA1351,2)</f>
        <v/>
      </c>
      <c r="AC1351" t="b">
        <v>0</v>
      </c>
      <c r="AD1351">
        <f>IF(U1351="","MISSING_TOTAL",IF(ABS(AB1351)&lt;=0.01,"OK","CHECK"))</f>
        <v/>
      </c>
      <c r="AE1351">
        <f>IF(U1351="","MISSING",IF(AND(AA1351&gt;0,U1351/AA1351&gt;50),"POSSIBLE_SCALE_ERROR","OK"))</f>
        <v/>
      </c>
    </row>
    <row r="1352">
      <c r="A1352" t="inlineStr">
        <is>
          <t>T-2019-P5-0026</t>
        </is>
      </c>
      <c r="B1352" t="inlineStr">
        <is>
          <t>SLE</t>
        </is>
      </c>
      <c r="C1352" t="inlineStr">
        <is>
          <t>Associate Deputy Minister</t>
        </is>
      </c>
      <c r="D1352" t="inlineStr">
        <is>
          <t>Sous-ministre déléguée</t>
        </is>
      </c>
      <c r="E1352" t="inlineStr">
        <is>
          <t>Annette Gibbons</t>
        </is>
      </c>
      <c r="F1352" t="inlineStr">
        <is>
          <t>To attend the Annual Conference of Federal-Provincial-Territorial Ministers and Deputy Ministers of Agriculture</t>
        </is>
      </c>
      <c r="G1352" t="inlineStr">
        <is>
          <t>Participer à la Conférence annuelle des ministres et des sous-ministres fédéraux, provinciaux et territoriaux de l’Agriculture</t>
        </is>
      </c>
      <c r="H1352" s="1" t="n">
        <v>43662</v>
      </c>
      <c r="I1352" s="1" t="n">
        <v>43665</v>
      </c>
      <c r="J1352" t="inlineStr">
        <is>
          <t>Quebec (Quebec) Canada</t>
        </is>
      </c>
      <c r="K1352" t="inlineStr">
        <is>
          <t>Québec (Québec) Canada</t>
        </is>
      </c>
      <c r="P1352" t="n">
        <v>571.22</v>
      </c>
      <c r="Q1352" t="n">
        <v>84.12</v>
      </c>
      <c r="R1352" t="n">
        <v>960.33</v>
      </c>
      <c r="S1352" t="n">
        <v>85.25</v>
      </c>
      <c r="T1352" t="n">
        <v>375</v>
      </c>
      <c r="U1352" t="n">
        <v>2075.92</v>
      </c>
      <c r="V1352" t="inlineStr">
        <is>
          <t>Other expenses: Conference fee</t>
        </is>
      </c>
      <c r="W1352" t="inlineStr">
        <is>
          <t>Autres dépenses: Frais d'inscription à la  conférence</t>
        </is>
      </c>
      <c r="X1352" t="inlineStr">
        <is>
          <t>aafc-aac</t>
        </is>
      </c>
      <c r="Y1352" t="inlineStr">
        <is>
          <t>Agriculture and Agri-Food Canada | Agriculture et Agroalimentaire Canada</t>
        </is>
      </c>
      <c r="Z1352" t="n">
        <v>4</v>
      </c>
      <c r="AA1352" t="n">
        <v>2075.92</v>
      </c>
      <c r="AB1352">
        <f>ROUND(U1352-AA1352,2)</f>
        <v/>
      </c>
      <c r="AC1352" t="b">
        <v>0</v>
      </c>
      <c r="AD1352">
        <f>IF(U1352="","MISSING_TOTAL",IF(ABS(AB1352)&lt;=0.01,"OK","CHECK"))</f>
        <v/>
      </c>
      <c r="AE1352">
        <f>IF(U1352="","MISSING",IF(AND(AA1352&gt;0,U1352/AA1352&gt;50),"POSSIBLE_SCALE_ERROR","OK"))</f>
        <v/>
      </c>
    </row>
    <row r="1353">
      <c r="A1353" t="inlineStr">
        <is>
          <t>T-2019-P5-0027</t>
        </is>
      </c>
      <c r="B1353" t="inlineStr">
        <is>
          <t>SLE</t>
        </is>
      </c>
      <c r="C1353" t="inlineStr">
        <is>
          <t>Associate Deputy Minister</t>
        </is>
      </c>
      <c r="D1353" t="inlineStr">
        <is>
          <t>Sous-ministre déléguée</t>
        </is>
      </c>
      <c r="E1353" t="inlineStr">
        <is>
          <t>Annette Gibbons</t>
        </is>
      </c>
      <c r="F1353" t="inlineStr">
        <is>
          <t>To attend the Alberta Outreach</t>
        </is>
      </c>
      <c r="G1353" t="inlineStr">
        <is>
          <t>Pour assister à la campagne de sensibilisation en Alberta</t>
        </is>
      </c>
      <c r="H1353" s="1" t="n">
        <v>43689</v>
      </c>
      <c r="I1353" s="1" t="n">
        <v>43692</v>
      </c>
      <c r="J1353" t="inlineStr">
        <is>
          <t>Calgary (Alberta) Canada; Lethbridge (Alberta) Canada</t>
        </is>
      </c>
      <c r="K1353" t="inlineStr">
        <is>
          <t>Calgary (Alberta) Canada; Lethbridge (Alberta) Canada</t>
        </is>
      </c>
      <c r="P1353" t="n">
        <v>1123.61</v>
      </c>
      <c r="Q1353" t="n">
        <v>37.35</v>
      </c>
      <c r="R1353" t="n">
        <v>379.46</v>
      </c>
      <c r="S1353" t="n">
        <v>253.25</v>
      </c>
      <c r="T1353" t="n">
        <v>157.5</v>
      </c>
      <c r="U1353" t="n">
        <v>1951.17</v>
      </c>
      <c r="V1353" t="inlineStr">
        <is>
          <t>Other expenses: Conference fee</t>
        </is>
      </c>
      <c r="W1353" t="inlineStr">
        <is>
          <t>Autres dépenses: Frais d'inscription à la  conférence</t>
        </is>
      </c>
      <c r="X1353" t="inlineStr">
        <is>
          <t>aafc-aac</t>
        </is>
      </c>
      <c r="Y1353" t="inlineStr">
        <is>
          <t>Agriculture and Agri-Food Canada | Agriculture et Agroalimentaire Canada</t>
        </is>
      </c>
      <c r="Z1353" t="n">
        <v>4</v>
      </c>
      <c r="AA1353" t="n">
        <v>1951.16999999999</v>
      </c>
      <c r="AB1353">
        <f>ROUND(U1353-AA1353,2)</f>
        <v/>
      </c>
      <c r="AC1353" t="b">
        <v>0</v>
      </c>
      <c r="AD1353">
        <f>IF(U1353="","MISSING_TOTAL",IF(ABS(AB1353)&lt;=0.01,"OK","CHECK"))</f>
        <v/>
      </c>
      <c r="AE1353">
        <f>IF(U1353="","MISSING",IF(AND(AA1353&gt;0,U1353/AA1353&gt;50),"POSSIBLE_SCALE_ERROR","OK"))</f>
        <v/>
      </c>
    </row>
    <row r="1354">
      <c r="A1354" t="inlineStr">
        <is>
          <t>T-2019-P5-0028</t>
        </is>
      </c>
      <c r="B1354" t="inlineStr">
        <is>
          <t>SLE</t>
        </is>
      </c>
      <c r="C1354" t="inlineStr">
        <is>
          <t>Deputy Minister</t>
        </is>
      </c>
      <c r="D1354" t="inlineStr">
        <is>
          <t>Sous-ministre</t>
        </is>
      </c>
      <c r="E1354" t="inlineStr">
        <is>
          <t>Chris Forbes</t>
        </is>
      </c>
      <c r="F1354" t="inlineStr">
        <is>
          <t>To attend the announcement on Food Waste and the Outreach in Saskatchewan and Swift Current</t>
        </is>
      </c>
      <c r="G1354" t="inlineStr">
        <is>
          <t>Pour assister à l'annonce en vue de réduire le gaspillage alimentaire ainsi que la campagne de sensibilisation au Saskatchewan et Swift Current</t>
        </is>
      </c>
      <c r="H1354" s="1" t="n">
        <v>43649</v>
      </c>
      <c r="I1354" s="1" t="n">
        <v>43656</v>
      </c>
      <c r="J1354" t="inlineStr">
        <is>
          <t>Vancouver (British Columbia) Canada; Saskatoon (Saskatchewan) Canada; Swift Current (Saskatchewan) Canada</t>
        </is>
      </c>
      <c r="K1354" t="inlineStr">
        <is>
          <t>Vancouver (Columbie-Britannique) Canada; Saskatoon (Saskatchewan) Canada; Swift Current (Saskatchewan) Canada</t>
        </is>
      </c>
      <c r="P1354" t="n">
        <v>2599.62</v>
      </c>
      <c r="Q1354" t="n">
        <v>126.86</v>
      </c>
      <c r="R1354" t="n">
        <v>1276.77</v>
      </c>
      <c r="S1354" t="n">
        <v>283.4</v>
      </c>
      <c r="T1354" t="n">
        <v>0</v>
      </c>
      <c r="U1354" t="n">
        <v>4286.65</v>
      </c>
      <c r="X1354" t="inlineStr">
        <is>
          <t>aafc-aac</t>
        </is>
      </c>
      <c r="Y1354" t="inlineStr">
        <is>
          <t>Agriculture and Agri-Food Canada | Agriculture et Agroalimentaire Canada</t>
        </is>
      </c>
      <c r="Z1354" t="n">
        <v>8</v>
      </c>
      <c r="AA1354" t="n">
        <v>4286.65</v>
      </c>
      <c r="AB1354">
        <f>ROUND(U1354-AA1354,2)</f>
        <v/>
      </c>
      <c r="AC1354" t="b">
        <v>0</v>
      </c>
      <c r="AD1354">
        <f>IF(U1354="","MISSING_TOTAL",IF(ABS(AB1354)&lt;=0.01,"OK","CHECK"))</f>
        <v/>
      </c>
      <c r="AE1354">
        <f>IF(U1354="","MISSING",IF(AND(AA1354&gt;0,U1354/AA1354&gt;50),"POSSIBLE_SCALE_ERROR","OK"))</f>
        <v/>
      </c>
    </row>
    <row r="1355">
      <c r="A1355" t="inlineStr">
        <is>
          <t>T-2019-P5-0029</t>
        </is>
      </c>
      <c r="B1355" t="inlineStr">
        <is>
          <t>SLE</t>
        </is>
      </c>
      <c r="C1355" t="inlineStr">
        <is>
          <t>Deputy Minister</t>
        </is>
      </c>
      <c r="D1355" t="inlineStr">
        <is>
          <t>Sous-ministre</t>
        </is>
      </c>
      <c r="E1355" t="inlineStr">
        <is>
          <t>Chris Forbes</t>
        </is>
      </c>
      <c r="F1355" t="inlineStr">
        <is>
          <t>To attend the Annual Conference of Federal-Provincial-Territorial Ministers and Deputy Ministers of Agriculture</t>
        </is>
      </c>
      <c r="G1355" t="inlineStr">
        <is>
          <t>Participer à la Conférence annuelle des ministres et des sous-ministres fédéraux, provinciaux et territoriaux de l’Agriculture</t>
        </is>
      </c>
      <c r="H1355" s="1" t="n">
        <v>43662</v>
      </c>
      <c r="I1355" s="1" t="n">
        <v>43665</v>
      </c>
      <c r="J1355" t="inlineStr">
        <is>
          <t>Quebec (Quebec) Canada</t>
        </is>
      </c>
      <c r="K1355" t="inlineStr">
        <is>
          <t>Québec (Québec) Canada</t>
        </is>
      </c>
      <c r="P1355" t="n">
        <v>723.8099999999999</v>
      </c>
      <c r="Q1355" t="n">
        <v>36</v>
      </c>
      <c r="R1355" t="n">
        <v>960.33</v>
      </c>
      <c r="S1355" t="n">
        <v>91.25</v>
      </c>
      <c r="T1355" t="n">
        <v>375</v>
      </c>
      <c r="U1355" t="n">
        <v>2186.39</v>
      </c>
      <c r="V1355" t="inlineStr">
        <is>
          <t>Other expenses: Conference fee</t>
        </is>
      </c>
      <c r="W1355" t="inlineStr">
        <is>
          <t>Autres dépenses: Frais d'inscription à la  conférence</t>
        </is>
      </c>
      <c r="X1355" t="inlineStr">
        <is>
          <t>aafc-aac</t>
        </is>
      </c>
      <c r="Y1355" t="inlineStr">
        <is>
          <t>Agriculture and Agri-Food Canada | Agriculture et Agroalimentaire Canada</t>
        </is>
      </c>
      <c r="Z1355" t="n">
        <v>4</v>
      </c>
      <c r="AA1355" t="n">
        <v>2186.39</v>
      </c>
      <c r="AB1355">
        <f>ROUND(U1355-AA1355,2)</f>
        <v/>
      </c>
      <c r="AC1355" t="b">
        <v>0</v>
      </c>
      <c r="AD1355">
        <f>IF(U1355="","MISSING_TOTAL",IF(ABS(AB1355)&lt;=0.01,"OK","CHECK"))</f>
        <v/>
      </c>
      <c r="AE1355">
        <f>IF(U1355="","MISSING",IF(AND(AA1355&gt;0,U1355/AA1355&gt;50),"POSSIBLE_SCALE_ERROR","OK"))</f>
        <v/>
      </c>
    </row>
    <row r="1356">
      <c r="A1356" t="inlineStr">
        <is>
          <t>T-2019-P5-0030</t>
        </is>
      </c>
      <c r="B1356" t="inlineStr">
        <is>
          <t>SLE</t>
        </is>
      </c>
      <c r="C1356" t="inlineStr">
        <is>
          <t>Assistant Deputy Minister, Corporate Management Branch</t>
        </is>
      </c>
      <c r="D1356" t="inlineStr">
        <is>
          <t>Sous-ministre adjoint, Direction générale de la gestion intégrée</t>
        </is>
      </c>
      <c r="E1356" t="inlineStr">
        <is>
          <t>Christine Walker</t>
        </is>
      </c>
      <c r="F1356" t="inlineStr">
        <is>
          <t>Site visit and staff meetings</t>
        </is>
      </c>
      <c r="G1356" t="inlineStr">
        <is>
          <t>Visite de l'infrastructure et réunions de personnel</t>
        </is>
      </c>
      <c r="H1356" s="1" t="n">
        <v>43652</v>
      </c>
      <c r="I1356" s="1" t="n">
        <v>43660</v>
      </c>
      <c r="J1356" t="inlineStr">
        <is>
          <t>Calgary (Alberta) Canada; Lethbridge (Alberta) Canada; Beaverlodge (Alberta) Canada; Lacombe (Alberta) Canada</t>
        </is>
      </c>
      <c r="K1356" t="inlineStr">
        <is>
          <t>Calgary (Alberta) Canada; Lethbridge (Alberta) Canada; Beaverlodge (Alberta) Canada; Lacombe (Alberta) Canada</t>
        </is>
      </c>
      <c r="P1356" t="n">
        <v>1246.34</v>
      </c>
      <c r="Q1356" t="n">
        <v>1000.13</v>
      </c>
      <c r="R1356" t="n">
        <v>849.09</v>
      </c>
      <c r="S1356" t="n">
        <v>709.2</v>
      </c>
      <c r="T1356" t="n">
        <v>0</v>
      </c>
      <c r="U1356" t="n">
        <v>3804.76</v>
      </c>
      <c r="X1356" t="inlineStr">
        <is>
          <t>aafc-aac</t>
        </is>
      </c>
      <c r="Y1356" t="inlineStr">
        <is>
          <t>Agriculture and Agri-Food Canada | Agriculture et Agroalimentaire Canada</t>
        </is>
      </c>
      <c r="Z1356" t="n">
        <v>9</v>
      </c>
      <c r="AA1356" t="n">
        <v>3804.76</v>
      </c>
      <c r="AB1356">
        <f>ROUND(U1356-AA1356,2)</f>
        <v/>
      </c>
      <c r="AC1356" t="b">
        <v>0</v>
      </c>
      <c r="AD1356">
        <f>IF(U1356="","MISSING_TOTAL",IF(ABS(AB1356)&lt;=0.01,"OK","CHECK"))</f>
        <v/>
      </c>
      <c r="AE1356">
        <f>IF(U1356="","MISSING",IF(AND(AA1356&gt;0,U1356/AA1356&gt;50),"POSSIBLE_SCALE_ERROR","OK"))</f>
        <v/>
      </c>
    </row>
    <row r="1357">
      <c r="A1357" t="inlineStr">
        <is>
          <t>T-2019-P5-0031</t>
        </is>
      </c>
      <c r="B1357" t="inlineStr">
        <is>
          <t>SLE</t>
        </is>
      </c>
      <c r="C1357" t="inlineStr">
        <is>
          <t>Assistant Deputy Minister, International Affairs Branch</t>
        </is>
      </c>
      <c r="D1357" t="inlineStr">
        <is>
          <t>Sous-ministre adjoint, Direction générale des affaires internationales</t>
        </is>
      </c>
      <c r="E1357" t="inlineStr">
        <is>
          <t>Fred Gorrell</t>
        </is>
      </c>
      <c r="F1357" t="inlineStr">
        <is>
          <t>Domestic outreach and meeting with industry</t>
        </is>
      </c>
      <c r="G1357" t="inlineStr">
        <is>
          <t>Des activités de sensibilisation nationales et réunion avec l’industrie</t>
        </is>
      </c>
      <c r="H1357" s="1" t="n">
        <v>43667</v>
      </c>
      <c r="I1357" s="1" t="n">
        <v>43670</v>
      </c>
      <c r="J1357" t="inlineStr">
        <is>
          <t>St. John 's (Newfoundland) Canada;
Winnipeg (Manitoba) Canada</t>
        </is>
      </c>
      <c r="K1357" t="inlineStr">
        <is>
          <t>St. John's (Terre-Neuve) Canada;
Winnipeg (Manitoba) Canada</t>
        </is>
      </c>
      <c r="P1357" t="n">
        <v>2098.01</v>
      </c>
      <c r="Q1357" t="n">
        <v>187.9</v>
      </c>
      <c r="R1357" t="n">
        <v>509.87</v>
      </c>
      <c r="S1357" t="n">
        <v>322.45</v>
      </c>
      <c r="T1357" t="n">
        <v>0</v>
      </c>
      <c r="U1357" t="n">
        <v>3118.23</v>
      </c>
      <c r="X1357" t="inlineStr">
        <is>
          <t>aafc-aac</t>
        </is>
      </c>
      <c r="Y1357" t="inlineStr">
        <is>
          <t>Agriculture and Agri-Food Canada | Agriculture et Agroalimentaire Canada</t>
        </is>
      </c>
      <c r="Z1357" t="n">
        <v>4</v>
      </c>
      <c r="AA1357" t="n">
        <v>3118.23</v>
      </c>
      <c r="AB1357">
        <f>ROUND(U1357-AA1357,2)</f>
        <v/>
      </c>
      <c r="AC1357" t="b">
        <v>0</v>
      </c>
      <c r="AD1357">
        <f>IF(U1357="","MISSING_TOTAL",IF(ABS(AB1357)&lt;=0.01,"OK","CHECK"))</f>
        <v/>
      </c>
      <c r="AE1357">
        <f>IF(U1357="","MISSING",IF(AND(AA1357&gt;0,U1357/AA1357&gt;50),"POSSIBLE_SCALE_ERROR","OK"))</f>
        <v/>
      </c>
    </row>
    <row r="1358">
      <c r="A1358" t="inlineStr">
        <is>
          <t>T-2019-P5-0032</t>
        </is>
      </c>
      <c r="B1358" t="inlineStr">
        <is>
          <t>SLE</t>
        </is>
      </c>
      <c r="C1358" t="inlineStr">
        <is>
          <t>Assistant Deputy Minister, Market and Industry Services Branch</t>
        </is>
      </c>
      <c r="D1358" t="inlineStr">
        <is>
          <t>Sous-ministre adjoint, Direction générale des services à l'industrie et aux marchés</t>
        </is>
      </c>
      <c r="E1358" t="inlineStr">
        <is>
          <t>Frédéric Seppey</t>
        </is>
      </c>
      <c r="F1358" t="inlineStr">
        <is>
          <t>Attend the strategic management retreat of the regional operations directorate at the Guelph regional office.</t>
        </is>
      </c>
      <c r="G1358" t="inlineStr">
        <is>
          <t>Participation à la retraite stratégique de gestion de la Direction des opérations régionales au bureau régional de Guelph.</t>
        </is>
      </c>
      <c r="H1358" s="1" t="n">
        <v>43621</v>
      </c>
      <c r="I1358" s="1" t="n">
        <v>43622</v>
      </c>
      <c r="J1358" t="inlineStr">
        <is>
          <t>Guelph (Ontario) Canada</t>
        </is>
      </c>
      <c r="K1358" t="inlineStr">
        <is>
          <t>Guelph (Ontario) Canada</t>
        </is>
      </c>
      <c r="P1358" t="n">
        <v>456.18</v>
      </c>
      <c r="Q1358" t="n">
        <v>315.18</v>
      </c>
      <c r="R1358" t="n">
        <v>166.11</v>
      </c>
      <c r="S1358" t="n">
        <v>166.45</v>
      </c>
      <c r="T1358" t="n">
        <v>0</v>
      </c>
      <c r="U1358" t="n">
        <v>1103.92</v>
      </c>
      <c r="X1358" t="inlineStr">
        <is>
          <t>aafc-aac</t>
        </is>
      </c>
      <c r="Y1358" t="inlineStr">
        <is>
          <t>Agriculture and Agri-Food Canada | Agriculture et Agroalimentaire Canada</t>
        </is>
      </c>
      <c r="Z1358" t="n">
        <v>2</v>
      </c>
      <c r="AA1358" t="n">
        <v>1103.92</v>
      </c>
      <c r="AB1358">
        <f>ROUND(U1358-AA1358,2)</f>
        <v/>
      </c>
      <c r="AC1358" t="b">
        <v>0</v>
      </c>
      <c r="AD1358">
        <f>IF(U1358="","MISSING_TOTAL",IF(ABS(AB1358)&lt;=0.01,"OK","CHECK"))</f>
        <v/>
      </c>
      <c r="AE1358">
        <f>IF(U1358="","MISSING",IF(AND(AA1358&gt;0,U1358/AA1358&gt;50),"POSSIBLE_SCALE_ERROR","OK"))</f>
        <v/>
      </c>
    </row>
    <row r="1359">
      <c r="A1359" t="inlineStr">
        <is>
          <t>T-2019-P5-0033</t>
        </is>
      </c>
      <c r="B1359" t="inlineStr">
        <is>
          <t>SLE</t>
        </is>
      </c>
      <c r="C1359" t="inlineStr">
        <is>
          <t>Assistant Deputy Minister, Market and Industry Services Branch</t>
        </is>
      </c>
      <c r="D1359" t="inlineStr">
        <is>
          <t>Sous-ministre adjoint, Direction générale des services à l'industrie et aux marchés</t>
        </is>
      </c>
      <c r="E1359" t="inlineStr">
        <is>
          <t>Frédéric Seppey</t>
        </is>
      </c>
      <c r="F1359" t="inlineStr">
        <is>
          <t>From June 21 to 25, participate at the Food and Agriculture Organization Conference in Rome as Head of Delegation for Canada (replacing the Minister). In Geneva, participate as speaker  to the World Trade Organization Symposium on June 27 and 28.</t>
        </is>
      </c>
      <c r="G1359" t="inlineStr">
        <is>
          <t>Du 21 au 25 juin, participation à la conférence de l'Organisation (des Nations-Unis) pour l'alimentation et l'agriculture à Rome en tant que chef de délégation pour le Canada (en remplacement de la Ministre). A Genève, participation (en tant que conférencier) au Symposium de l'Organisation mondiale du commerce les 27 et 28 juin.</t>
        </is>
      </c>
      <c r="H1359" s="1" t="n">
        <v>43637</v>
      </c>
      <c r="I1359" s="1" t="n">
        <v>43645</v>
      </c>
      <c r="J1359" t="inlineStr">
        <is>
          <t>Rome (Italy); Geneva (Switzerland)</t>
        </is>
      </c>
      <c r="K1359" t="inlineStr">
        <is>
          <t>Rome (Italie); Genève (Suisse)</t>
        </is>
      </c>
      <c r="P1359" t="n">
        <v>6179.14</v>
      </c>
      <c r="Q1359" t="n">
        <v>501.05</v>
      </c>
      <c r="R1359" t="n">
        <v>2094.62</v>
      </c>
      <c r="S1359" t="n">
        <v>1940.71</v>
      </c>
      <c r="T1359" t="n">
        <v>9</v>
      </c>
      <c r="U1359" t="n">
        <v>10724.52</v>
      </c>
      <c r="X1359" t="inlineStr">
        <is>
          <t>aafc-aac</t>
        </is>
      </c>
      <c r="Y1359" t="inlineStr">
        <is>
          <t>Agriculture and Agri-Food Canada | Agriculture et Agroalimentaire Canada</t>
        </is>
      </c>
      <c r="Z1359" t="n">
        <v>9</v>
      </c>
      <c r="AA1359" t="n">
        <v>10724.52</v>
      </c>
      <c r="AB1359">
        <f>ROUND(U1359-AA1359,2)</f>
        <v/>
      </c>
      <c r="AC1359" t="b">
        <v>0</v>
      </c>
      <c r="AD1359">
        <f>IF(U1359="","MISSING_TOTAL",IF(ABS(AB1359)&lt;=0.01,"OK","CHECK"))</f>
        <v/>
      </c>
      <c r="AE1359">
        <f>IF(U1359="","MISSING",IF(AND(AA1359&gt;0,U1359/AA1359&gt;50),"POSSIBLE_SCALE_ERROR","OK"))</f>
        <v/>
      </c>
    </row>
    <row r="1360">
      <c r="A1360" t="inlineStr">
        <is>
          <t>T-2019-P5-0034</t>
        </is>
      </c>
      <c r="B1360" t="inlineStr">
        <is>
          <t>SLE</t>
        </is>
      </c>
      <c r="C1360" t="inlineStr">
        <is>
          <t>Assistant Deputy Minister, Market and Industry Services Branch</t>
        </is>
      </c>
      <c r="D1360" t="inlineStr">
        <is>
          <t>Sous-ministre adjoint, Direction générale des services à l'industrie et aux marchés</t>
        </is>
      </c>
      <c r="E1360" t="inlineStr">
        <is>
          <t>Frédéric Seppey</t>
        </is>
      </c>
      <c r="F1360" t="inlineStr">
        <is>
          <t>Attend the Canadian Horticultural Council - Board Summer business Tour as lead Assistant Deputy Minister for horticulture in Agriculture and Agri-Food Canada.</t>
        </is>
      </c>
      <c r="G1360" t="inlineStr">
        <is>
          <t>Participation à la visite d'entreprises estivale du conseil d'administration du Conseil canadien de l'horticulture en tant que sous-ministre adjoint responsable de l'horticulture au sein d'Agriculture et Agroalimentaire Canada.</t>
        </is>
      </c>
      <c r="H1360" s="1" t="n">
        <v>43654</v>
      </c>
      <c r="I1360" s="1" t="n">
        <v>43655</v>
      </c>
      <c r="J1360" t="inlineStr">
        <is>
          <t>Toronto (Ontario) Canada</t>
        </is>
      </c>
      <c r="K1360" t="inlineStr">
        <is>
          <t>Toronto (Ontario) Canada</t>
        </is>
      </c>
      <c r="P1360" t="n">
        <v>590.14</v>
      </c>
      <c r="Q1360" t="n">
        <v>89.56</v>
      </c>
      <c r="R1360" t="n">
        <v>182.16</v>
      </c>
      <c r="S1360" t="n">
        <v>85.25</v>
      </c>
      <c r="T1360" t="n">
        <v>0</v>
      </c>
      <c r="U1360" t="n">
        <v>947.11</v>
      </c>
      <c r="X1360" t="inlineStr">
        <is>
          <t>aafc-aac</t>
        </is>
      </c>
      <c r="Y1360" t="inlineStr">
        <is>
          <t>Agriculture and Agri-Food Canada | Agriculture et Agroalimentaire Canada</t>
        </is>
      </c>
      <c r="Z1360" t="n">
        <v>2</v>
      </c>
      <c r="AA1360" t="n">
        <v>947.11</v>
      </c>
      <c r="AB1360">
        <f>ROUND(U1360-AA1360,2)</f>
        <v/>
      </c>
      <c r="AC1360" t="b">
        <v>0</v>
      </c>
      <c r="AD1360">
        <f>IF(U1360="","MISSING_TOTAL",IF(ABS(AB1360)&lt;=0.01,"OK","CHECK"))</f>
        <v/>
      </c>
      <c r="AE1360">
        <f>IF(U1360="","MISSING",IF(AND(AA1360&gt;0,U1360/AA1360&gt;50),"POSSIBLE_SCALE_ERROR","OK"))</f>
        <v/>
      </c>
    </row>
    <row r="1361">
      <c r="A1361" t="inlineStr">
        <is>
          <t>T-2019-P5-0035</t>
        </is>
      </c>
      <c r="B1361" t="inlineStr">
        <is>
          <t>SLE</t>
        </is>
      </c>
      <c r="C1361" t="inlineStr">
        <is>
          <t>Associate Assistant Deputy Mininister, Science and Technology Branch</t>
        </is>
      </c>
      <c r="D1361" t="inlineStr">
        <is>
          <t>Sous-ministre adjoint délégué, Direction générale des sciences et de la technologie</t>
        </is>
      </c>
      <c r="E1361" t="inlineStr">
        <is>
          <t>Gilles Saindon</t>
        </is>
      </c>
      <c r="F1361" t="inlineStr">
        <is>
          <t>Outreach to the Fredericton Research and Development Centre, all-staff meeting &amp; meeting with provincial counterparts.</t>
        </is>
      </c>
      <c r="G1361" t="inlineStr">
        <is>
          <t>Visite au Centre de recherche et de développement de Fredericton, réunion du personnel et réunion avec des homologues du gouvernement provincial.</t>
        </is>
      </c>
      <c r="H1361" s="1" t="n">
        <v>43662</v>
      </c>
      <c r="I1361" s="1" t="n">
        <v>43665</v>
      </c>
      <c r="J1361" t="inlineStr">
        <is>
          <t>Fredericton (New Brunswick) Canada</t>
        </is>
      </c>
      <c r="K1361" t="inlineStr">
        <is>
          <t>Fredericton (Nouveau-Brunswick) Canada</t>
        </is>
      </c>
      <c r="P1361" t="n">
        <v>588.38</v>
      </c>
      <c r="Q1361" t="n">
        <v>290.93</v>
      </c>
      <c r="R1361" t="n">
        <v>503.7</v>
      </c>
      <c r="S1361" t="n">
        <v>322.85</v>
      </c>
      <c r="T1361" t="n">
        <v>0</v>
      </c>
      <c r="U1361" t="n">
        <v>1705.86</v>
      </c>
      <c r="X1361" t="inlineStr">
        <is>
          <t>aafc-aac</t>
        </is>
      </c>
      <c r="Y1361" t="inlineStr">
        <is>
          <t>Agriculture and Agri-Food Canada | Agriculture et Agroalimentaire Canada</t>
        </is>
      </c>
      <c r="Z1361" t="n">
        <v>4</v>
      </c>
      <c r="AA1361" t="n">
        <v>1705.86</v>
      </c>
      <c r="AB1361">
        <f>ROUND(U1361-AA1361,2)</f>
        <v/>
      </c>
      <c r="AC1361" t="b">
        <v>0</v>
      </c>
      <c r="AD1361">
        <f>IF(U1361="","MISSING_TOTAL",IF(ABS(AB1361)&lt;=0.01,"OK","CHECK"))</f>
        <v/>
      </c>
      <c r="AE1361">
        <f>IF(U1361="","MISSING",IF(AND(AA1361&gt;0,U1361/AA1361&gt;50),"POSSIBLE_SCALE_ERROR","OK"))</f>
        <v/>
      </c>
    </row>
    <row r="1362">
      <c r="A1362" t="inlineStr">
        <is>
          <t>T-2019-P5-0036</t>
        </is>
      </c>
      <c r="B1362" t="inlineStr">
        <is>
          <t>SLE</t>
        </is>
      </c>
      <c r="C1362" t="inlineStr">
        <is>
          <t>Associate Assistant Deputy Mininister, Science and Technology Branch</t>
        </is>
      </c>
      <c r="D1362" t="inlineStr">
        <is>
          <t>Sous-ministre adjoint délégué, Direction générale des sciences et de la technologie</t>
        </is>
      </c>
      <c r="E1362" t="inlineStr">
        <is>
          <t>Gilles Saindon</t>
        </is>
      </c>
      <c r="F1362" t="inlineStr">
        <is>
          <t>Outreach to the Saskatoon Research and Development Centre, local management meeting &amp; meeting with Provincial Counterparts.  Participate at the Meeting of the Institutions' Coordination Committee (ICC) for the Wheat Initiative.</t>
        </is>
      </c>
      <c r="G1362" t="inlineStr">
        <is>
          <t>Visite  au Centre de recherche et de développement de  Saskatoon, réunion du personnel de gestion et réunions avec des homologues du gouvernement provincial.  Participation à la réunion "Institutions' Coordination Committee (ICC) for the Wheat Initiative".</t>
        </is>
      </c>
      <c r="H1362" s="1" t="n">
        <v>43671</v>
      </c>
      <c r="I1362" s="1" t="n">
        <v>43674</v>
      </c>
      <c r="J1362" t="inlineStr">
        <is>
          <t>Saskatoon (Saskatchewan) Canada</t>
        </is>
      </c>
      <c r="K1362" t="inlineStr">
        <is>
          <t>Saskatoon (Saskatchewan) Canada</t>
        </is>
      </c>
      <c r="P1362" t="n">
        <v>906.9299999999999</v>
      </c>
      <c r="Q1362" t="n">
        <v>150</v>
      </c>
      <c r="R1362" t="n">
        <v>497.34</v>
      </c>
      <c r="S1362" t="n">
        <v>383.55</v>
      </c>
      <c r="T1362" t="n">
        <v>0</v>
      </c>
      <c r="U1362" t="n">
        <v>1937.82</v>
      </c>
      <c r="X1362" t="inlineStr">
        <is>
          <t>aafc-aac</t>
        </is>
      </c>
      <c r="Y1362" t="inlineStr">
        <is>
          <t>Agriculture and Agri-Food Canada | Agriculture et Agroalimentaire Canada</t>
        </is>
      </c>
      <c r="Z1362" t="n">
        <v>4</v>
      </c>
      <c r="AA1362" t="n">
        <v>1937.81999999999</v>
      </c>
      <c r="AB1362">
        <f>ROUND(U1362-AA1362,2)</f>
        <v/>
      </c>
      <c r="AC1362" t="b">
        <v>0</v>
      </c>
      <c r="AD1362">
        <f>IF(U1362="","MISSING_TOTAL",IF(ABS(AB1362)&lt;=0.01,"OK","CHECK"))</f>
        <v/>
      </c>
      <c r="AE1362">
        <f>IF(U1362="","MISSING",IF(AND(AA1362&gt;0,U1362/AA1362&gt;50),"POSSIBLE_SCALE_ERROR","OK"))</f>
        <v/>
      </c>
    </row>
    <row r="1363">
      <c r="A1363" t="inlineStr">
        <is>
          <t>T-2019-P5-0037</t>
        </is>
      </c>
      <c r="B1363" t="inlineStr">
        <is>
          <t>SLE</t>
        </is>
      </c>
      <c r="C1363" t="inlineStr">
        <is>
          <t>Associate Assistant Deputy Mininister, Science and Technology Branch</t>
        </is>
      </c>
      <c r="D1363" t="inlineStr">
        <is>
          <t>Sous-ministre adjoint délégué, Direction générale des sciences et de la technologie</t>
        </is>
      </c>
      <c r="E1363" t="inlineStr">
        <is>
          <t>Gilles Saindon</t>
        </is>
      </c>
      <c r="F1363" t="inlineStr">
        <is>
          <t>Outreach to Winnipeg and Morden Research and Development Centres, all-staff meeting &amp; meeting with provincial counterparts.</t>
        </is>
      </c>
      <c r="G1363" t="inlineStr">
        <is>
          <t>Visite au Centres de recherche et de développement de Winnipeg et Morden, réunion du personnel et réunion avec des homologues du gouvernement provincial.</t>
        </is>
      </c>
      <c r="H1363" s="1" t="n">
        <v>43690</v>
      </c>
      <c r="I1363" s="1" t="n">
        <v>43692</v>
      </c>
      <c r="J1363" t="inlineStr">
        <is>
          <t>Winnipeg (Manitoba) Canada; Morden (Manitoba) Canada</t>
        </is>
      </c>
      <c r="K1363" t="inlineStr">
        <is>
          <t>Winnipeg (Manitoba) Canada; Morden (Manitoba) Canada</t>
        </is>
      </c>
      <c r="P1363" t="n">
        <v>705.66</v>
      </c>
      <c r="Q1363" t="n">
        <v>72</v>
      </c>
      <c r="R1363" t="n">
        <v>255.36</v>
      </c>
      <c r="S1363" t="n">
        <v>305.15</v>
      </c>
      <c r="T1363" t="n">
        <v>0</v>
      </c>
      <c r="U1363" t="n">
        <v>1338.17</v>
      </c>
      <c r="X1363" t="inlineStr">
        <is>
          <t>aafc-aac</t>
        </is>
      </c>
      <c r="Y1363" t="inlineStr">
        <is>
          <t>Agriculture and Agri-Food Canada | Agriculture et Agroalimentaire Canada</t>
        </is>
      </c>
      <c r="Z1363" t="n">
        <v>3</v>
      </c>
      <c r="AA1363" t="n">
        <v>1338.17</v>
      </c>
      <c r="AB1363">
        <f>ROUND(U1363-AA1363,2)</f>
        <v/>
      </c>
      <c r="AC1363" t="b">
        <v>0</v>
      </c>
      <c r="AD1363">
        <f>IF(U1363="","MISSING_TOTAL",IF(ABS(AB1363)&lt;=0.01,"OK","CHECK"))</f>
        <v/>
      </c>
      <c r="AE1363">
        <f>IF(U1363="","MISSING",IF(AND(AA1363&gt;0,U1363/AA1363&gt;50),"POSSIBLE_SCALE_ERROR","OK"))</f>
        <v/>
      </c>
    </row>
    <row r="1364">
      <c r="A1364" t="inlineStr">
        <is>
          <t>T-2019-P5-0038</t>
        </is>
      </c>
      <c r="B1364" t="inlineStr">
        <is>
          <t>SLE</t>
        </is>
      </c>
      <c r="C1364" t="inlineStr">
        <is>
          <t>Associate Assistant Deputy Mininister, Science and Technology Branch</t>
        </is>
      </c>
      <c r="D1364" t="inlineStr">
        <is>
          <t>Sous-ministre adjoint délégué, Direction générale des sciences et de la technologie</t>
        </is>
      </c>
      <c r="E1364" t="inlineStr">
        <is>
          <t>Gilles Saindon</t>
        </is>
      </c>
      <c r="F1364" t="inlineStr">
        <is>
          <t>Outreach to St. John's Research and Development Centre, local management meeting &amp; meeting with provincial counterparts.</t>
        </is>
      </c>
      <c r="G1364" t="inlineStr">
        <is>
          <t>Visite au Centre de recherche et de développement de St. John's, réunion du personnel de gestion et réunion avec des homologues du gouvernement provincial.</t>
        </is>
      </c>
      <c r="H1364" s="1" t="n">
        <v>43697</v>
      </c>
      <c r="I1364" s="1" t="n">
        <v>43699</v>
      </c>
      <c r="J1364" t="inlineStr">
        <is>
          <t>St. John's (Newfoundland) Canada</t>
        </is>
      </c>
      <c r="K1364" t="inlineStr">
        <is>
          <t>St. John's (Terre-Neuve) Canada</t>
        </is>
      </c>
      <c r="P1364" t="n">
        <v>1166.74</v>
      </c>
      <c r="Q1364" t="n">
        <v>136</v>
      </c>
      <c r="R1364" t="n">
        <v>354.62</v>
      </c>
      <c r="S1364" t="n">
        <v>305.15</v>
      </c>
      <c r="T1364" t="n">
        <v>0</v>
      </c>
      <c r="U1364" t="n">
        <v>1962.51</v>
      </c>
      <c r="X1364" t="inlineStr">
        <is>
          <t>aafc-aac</t>
        </is>
      </c>
      <c r="Y1364" t="inlineStr">
        <is>
          <t>Agriculture and Agri-Food Canada | Agriculture et Agroalimentaire Canada</t>
        </is>
      </c>
      <c r="Z1364" t="n">
        <v>3</v>
      </c>
      <c r="AA1364" t="n">
        <v>1962.51</v>
      </c>
      <c r="AB1364">
        <f>ROUND(U1364-AA1364,2)</f>
        <v/>
      </c>
      <c r="AC1364" t="b">
        <v>0</v>
      </c>
      <c r="AD1364">
        <f>IF(U1364="","MISSING_TOTAL",IF(ABS(AB1364)&lt;=0.01,"OK","CHECK"))</f>
        <v/>
      </c>
      <c r="AE1364">
        <f>IF(U1364="","MISSING",IF(AND(AA1364&gt;0,U1364/AA1364&gt;50),"POSSIBLE_SCALE_ERROR","OK"))</f>
        <v/>
      </c>
    </row>
    <row r="1365">
      <c r="A1365" t="inlineStr">
        <is>
          <t>T-2019-P5-0039</t>
        </is>
      </c>
      <c r="B1365" t="inlineStr">
        <is>
          <t>SLE</t>
        </is>
      </c>
      <c r="C1365" t="inlineStr">
        <is>
          <t>Assistant Deputy Minister, Programs Branch</t>
        </is>
      </c>
      <c r="D1365" t="inlineStr">
        <is>
          <t>Sous-ministre adjoint, Direction générale des programmes</t>
        </is>
      </c>
      <c r="E1365" t="inlineStr">
        <is>
          <t>Jane Taylor</t>
        </is>
      </c>
      <c r="F1365" t="inlineStr">
        <is>
          <t>Attend Annual Conference of Federal-Provincial-Territorial Ministers and Deputy Ministers of Agriculture.</t>
        </is>
      </c>
      <c r="G1365" t="inlineStr">
        <is>
          <t>Participer à la Conférence annuelle des ministres et des sous-ministres fédéraux, provinciaux et territoriaux de l’Agriculture</t>
        </is>
      </c>
      <c r="H1365" s="1" t="n">
        <v>43662</v>
      </c>
      <c r="I1365" s="1" t="n">
        <v>43665</v>
      </c>
      <c r="J1365" t="inlineStr">
        <is>
          <t>Quebec (Quebec) Canada</t>
        </is>
      </c>
      <c r="K1365" t="inlineStr">
        <is>
          <t>Québec (Québec) Canada</t>
        </is>
      </c>
      <c r="P1365" t="n">
        <v>695.5599999999999</v>
      </c>
      <c r="Q1365" t="n">
        <v>43</v>
      </c>
      <c r="R1365" t="n">
        <v>960.33</v>
      </c>
      <c r="S1365" t="n">
        <v>211.1</v>
      </c>
      <c r="T1365" t="n">
        <v>375</v>
      </c>
      <c r="U1365" t="n">
        <v>2284.99</v>
      </c>
      <c r="V1365" t="inlineStr">
        <is>
          <t>Other expenses: Conference fee</t>
        </is>
      </c>
      <c r="W1365" t="inlineStr">
        <is>
          <t>Autres dépenses: Frais d'inscription à la  conférence</t>
        </is>
      </c>
      <c r="X1365" t="inlineStr">
        <is>
          <t>aafc-aac</t>
        </is>
      </c>
      <c r="Y1365" t="inlineStr">
        <is>
          <t>Agriculture and Agri-Food Canada | Agriculture et Agroalimentaire Canada</t>
        </is>
      </c>
      <c r="Z1365" t="n">
        <v>4</v>
      </c>
      <c r="AA1365" t="n">
        <v>2284.99</v>
      </c>
      <c r="AB1365">
        <f>ROUND(U1365-AA1365,2)</f>
        <v/>
      </c>
      <c r="AC1365" t="b">
        <v>0</v>
      </c>
      <c r="AD1365">
        <f>IF(U1365="","MISSING_TOTAL",IF(ABS(AB1365)&lt;=0.01,"OK","CHECK"))</f>
        <v/>
      </c>
      <c r="AE1365">
        <f>IF(U1365="","MISSING",IF(AND(AA1365&gt;0,U1365/AA1365&gt;50),"POSSIBLE_SCALE_ERROR","OK"))</f>
        <v/>
      </c>
    </row>
    <row r="1366">
      <c r="A1366" t="inlineStr">
        <is>
          <t>T-2019-P5-0040</t>
        </is>
      </c>
      <c r="B1366" t="inlineStr">
        <is>
          <t>SLE</t>
        </is>
      </c>
      <c r="C1366" t="inlineStr">
        <is>
          <t>Assistant Deputy Minister, Strategic Policy Branch</t>
        </is>
      </c>
      <c r="D1366" t="inlineStr">
        <is>
          <t>Sous-ministre adjoint, Direction générale des politiques stratégiques</t>
        </is>
      </c>
      <c r="E1366" t="inlineStr">
        <is>
          <t>Tom Rosser</t>
        </is>
      </c>
      <c r="F1366" t="inlineStr">
        <is>
          <t>Attend the Canadian Horticultural Council Conference</t>
        </is>
      </c>
      <c r="G1366" t="inlineStr">
        <is>
          <t>Assister à la conférence du Conseil canadien de l'horticulture.</t>
        </is>
      </c>
      <c r="H1366" s="1" t="n">
        <v>43654</v>
      </c>
      <c r="I1366" s="1" t="n">
        <v>43655</v>
      </c>
      <c r="J1366" t="inlineStr">
        <is>
          <t>Toronto (Ontario) Canada</t>
        </is>
      </c>
      <c r="K1366" t="inlineStr">
        <is>
          <t>Toronto (Ontario) Canada</t>
        </is>
      </c>
      <c r="P1366" t="n">
        <v>707.89</v>
      </c>
      <c r="Q1366" t="n">
        <v>80</v>
      </c>
      <c r="R1366" t="n">
        <v>175.1</v>
      </c>
      <c r="S1366" t="n">
        <v>145.95</v>
      </c>
      <c r="T1366" t="n">
        <v>0</v>
      </c>
      <c r="U1366" t="n">
        <v>1108.94</v>
      </c>
      <c r="X1366" t="inlineStr">
        <is>
          <t>aafc-aac</t>
        </is>
      </c>
      <c r="Y1366" t="inlineStr">
        <is>
          <t>Agriculture and Agri-Food Canada | Agriculture et Agroalimentaire Canada</t>
        </is>
      </c>
      <c r="Z1366" t="n">
        <v>2</v>
      </c>
      <c r="AA1366" t="n">
        <v>1108.94</v>
      </c>
      <c r="AB1366">
        <f>ROUND(U1366-AA1366,2)</f>
        <v/>
      </c>
      <c r="AC1366" t="b">
        <v>0</v>
      </c>
      <c r="AD1366">
        <f>IF(U1366="","MISSING_TOTAL",IF(ABS(AB1366)&lt;=0.01,"OK","CHECK"))</f>
        <v/>
      </c>
      <c r="AE1366">
        <f>IF(U1366="","MISSING",IF(AND(AA1366&gt;0,U1366/AA1366&gt;50),"POSSIBLE_SCALE_ERROR","OK"))</f>
        <v/>
      </c>
    </row>
    <row r="1367">
      <c r="A1367" t="inlineStr">
        <is>
          <t>T-2019-P5-0041</t>
        </is>
      </c>
      <c r="B1367" t="inlineStr">
        <is>
          <t>SLE</t>
        </is>
      </c>
      <c r="C1367" t="inlineStr">
        <is>
          <t>Assistant Deputy Minister, Strategic Policy Branch</t>
        </is>
      </c>
      <c r="D1367" t="inlineStr">
        <is>
          <t>Sous-ministre adjoint, Direction générale des politiques stratégiques</t>
        </is>
      </c>
      <c r="E1367" t="inlineStr">
        <is>
          <t>Tom Rosser</t>
        </is>
      </c>
      <c r="F1367" t="inlineStr">
        <is>
          <t>Attend Annual Conference of Federal-Provincial-Territorial Ministers and Deputy Ministers of Agriculture.</t>
        </is>
      </c>
      <c r="G1367" t="inlineStr">
        <is>
          <t>Participer à la Conférence annuelle des ministres et des sous-ministres fédéraux, provinciaux et territoriaux de l’Agriculture</t>
        </is>
      </c>
      <c r="H1367" s="1" t="n">
        <v>43662</v>
      </c>
      <c r="I1367" s="1" t="n">
        <v>43665</v>
      </c>
      <c r="J1367" t="inlineStr">
        <is>
          <t>Quebec (Quebec) Canada</t>
        </is>
      </c>
      <c r="K1367" t="inlineStr">
        <is>
          <t>Québec (Québec) Canada</t>
        </is>
      </c>
      <c r="P1367" t="n">
        <v>1083.66</v>
      </c>
      <c r="Q1367" t="n">
        <v>165</v>
      </c>
      <c r="R1367" t="n">
        <v>960.33</v>
      </c>
      <c r="S1367" t="n">
        <v>251.3</v>
      </c>
      <c r="T1367" t="n">
        <v>425</v>
      </c>
      <c r="U1367" t="n">
        <v>2885.29</v>
      </c>
      <c r="V1367" t="inlineStr">
        <is>
          <t>Other expenses: Conference fee</t>
        </is>
      </c>
      <c r="W1367" t="inlineStr">
        <is>
          <t>Autres dépenses: Frais d'inscription à la  conférence</t>
        </is>
      </c>
      <c r="X1367" t="inlineStr">
        <is>
          <t>aafc-aac</t>
        </is>
      </c>
      <c r="Y1367" t="inlineStr">
        <is>
          <t>Agriculture and Agri-Food Canada | Agriculture et Agroalimentaire Canada</t>
        </is>
      </c>
      <c r="Z1367" t="n">
        <v>4</v>
      </c>
      <c r="AA1367" t="n">
        <v>2885.29</v>
      </c>
      <c r="AB1367">
        <f>ROUND(U1367-AA1367,2)</f>
        <v/>
      </c>
      <c r="AC1367" t="b">
        <v>0</v>
      </c>
      <c r="AD1367">
        <f>IF(U1367="","MISSING_TOTAL",IF(ABS(AB1367)&lt;=0.01,"OK","CHECK"))</f>
        <v/>
      </c>
      <c r="AE1367">
        <f>IF(U1367="","MISSING",IF(AND(AA1367&gt;0,U1367/AA1367&gt;50),"POSSIBLE_SCALE_ERROR","OK"))</f>
        <v/>
      </c>
    </row>
    <row r="1368">
      <c r="A1368" t="inlineStr">
        <is>
          <t>T-2019-P5-0042</t>
        </is>
      </c>
      <c r="B1368" t="inlineStr">
        <is>
          <t>SLE</t>
        </is>
      </c>
      <c r="C1368" t="inlineStr">
        <is>
          <t>Assistant Deputy Minister, Strategic Policy Branch</t>
        </is>
      </c>
      <c r="D1368" t="inlineStr">
        <is>
          <t>Sous-ministre adjoint, Direction générale des politiques stratégiques</t>
        </is>
      </c>
      <c r="E1368" t="inlineStr">
        <is>
          <t>Tom Rosser</t>
        </is>
      </c>
      <c r="F1368" t="inlineStr">
        <is>
          <t>Attend a meeting of the Ontario Dairy Council.</t>
        </is>
      </c>
      <c r="G1368" t="inlineStr">
        <is>
          <t>Assister à une réunion du Ontario Dairy Council.</t>
        </is>
      </c>
      <c r="H1368" s="1" t="n">
        <v>43618</v>
      </c>
      <c r="I1368" s="1" t="n">
        <v>43619</v>
      </c>
      <c r="J1368" t="inlineStr">
        <is>
          <t>Niagara Falls (Ontario) Canada</t>
        </is>
      </c>
      <c r="K1368" t="inlineStr">
        <is>
          <t>Niagara Falls (Ontario) Canada</t>
        </is>
      </c>
      <c r="P1368" t="n">
        <v>903.83</v>
      </c>
      <c r="Q1368" t="n">
        <v>197.79</v>
      </c>
      <c r="R1368" t="n">
        <v>190.27</v>
      </c>
      <c r="S1368" t="n">
        <v>156.4</v>
      </c>
      <c r="T1368" t="n">
        <v>0</v>
      </c>
      <c r="U1368" t="n">
        <v>1448.29</v>
      </c>
      <c r="X1368" t="inlineStr">
        <is>
          <t>aafc-aac</t>
        </is>
      </c>
      <c r="Y1368" t="inlineStr">
        <is>
          <t>Agriculture and Agri-Food Canada | Agriculture et Agroalimentaire Canada</t>
        </is>
      </c>
      <c r="Z1368" t="n">
        <v>2</v>
      </c>
      <c r="AA1368" t="n">
        <v>1448.29</v>
      </c>
      <c r="AB1368">
        <f>ROUND(U1368-AA1368,2)</f>
        <v/>
      </c>
      <c r="AC1368" t="b">
        <v>0</v>
      </c>
      <c r="AD1368">
        <f>IF(U1368="","MISSING_TOTAL",IF(ABS(AB1368)&lt;=0.01,"OK","CHECK"))</f>
        <v/>
      </c>
      <c r="AE1368">
        <f>IF(U1368="","MISSING",IF(AND(AA1368&gt;0,U1368/AA1368&gt;50),"POSSIBLE_SCALE_ERROR","OK"))</f>
        <v/>
      </c>
    </row>
    <row r="1369">
      <c r="A1369" t="inlineStr">
        <is>
          <t>T-2019-P6-0001</t>
        </is>
      </c>
      <c r="B1369" t="inlineStr">
        <is>
          <t>MPSES</t>
        </is>
      </c>
      <c r="C1369" t="inlineStr">
        <is>
          <t>Minister</t>
        </is>
      </c>
      <c r="D1369" t="inlineStr">
        <is>
          <t>Ministre</t>
        </is>
      </c>
      <c r="E1369" t="inlineStr">
        <is>
          <t>Marie-Claude Bibeau</t>
        </is>
      </c>
      <c r="F1369" t="inlineStr">
        <is>
          <t>Make announcements in Lac-Saint-Jean; attend a roundtable with stakeholders in Montreal; make an announcement in Saint-Pie</t>
        </is>
      </c>
      <c r="G1369" t="inlineStr">
        <is>
          <t>Faire des annonces au Lac-Saint-Jean; assister à une table ronde avec des intervenants clés à Montréal; faire une annonce à Saint-Pie</t>
        </is>
      </c>
      <c r="H1369" s="1" t="n">
        <v>43698</v>
      </c>
      <c r="I1369" s="1" t="n">
        <v>43699</v>
      </c>
      <c r="J1369" t="inlineStr">
        <is>
          <t>Lac-Saint-Jean (Quebec) Canada; Montreal (Quebec) Canada; Saint-Pie (Quebec) Canada</t>
        </is>
      </c>
      <c r="K1369" t="inlineStr">
        <is>
          <t>Lac-Saint-Jean (Québec) Canada; Montréal (Québec) Canada; Saint-Pie (Québec) Canada</t>
        </is>
      </c>
      <c r="P1369" t="n">
        <v>0</v>
      </c>
      <c r="Q1369" t="n">
        <v>0</v>
      </c>
      <c r="R1369" t="n">
        <v>147.56</v>
      </c>
      <c r="S1369" t="n">
        <v>146.35</v>
      </c>
      <c r="T1369" t="n">
        <v>0</v>
      </c>
      <c r="U1369" t="n">
        <v>293.91</v>
      </c>
      <c r="X1369" t="inlineStr">
        <is>
          <t>aafc-aac</t>
        </is>
      </c>
      <c r="Y1369" t="inlineStr">
        <is>
          <t>Agriculture and Agri-Food Canada | Agriculture et Agroalimentaire Canada</t>
        </is>
      </c>
      <c r="Z1369" t="n">
        <v>2</v>
      </c>
      <c r="AA1369" t="n">
        <v>293.909999999999</v>
      </c>
      <c r="AB1369">
        <f>ROUND(U1369-AA1369,2)</f>
        <v/>
      </c>
      <c r="AC1369" t="b">
        <v>0</v>
      </c>
      <c r="AD1369">
        <f>IF(U1369="","MISSING_TOTAL",IF(ABS(AB1369)&lt;=0.01,"OK","CHECK"))</f>
        <v/>
      </c>
      <c r="AE1369">
        <f>IF(U1369="","MISSING",IF(AND(AA1369&gt;0,U1369/AA1369&gt;50),"POSSIBLE_SCALE_ERROR","OK"))</f>
        <v/>
      </c>
    </row>
    <row r="1370">
      <c r="A1370" t="inlineStr">
        <is>
          <t>T-2019-P6-0002</t>
        </is>
      </c>
      <c r="B1370" t="inlineStr">
        <is>
          <t>MPSES</t>
        </is>
      </c>
      <c r="C1370" t="inlineStr">
        <is>
          <t>Minister</t>
        </is>
      </c>
      <c r="D1370" t="inlineStr">
        <is>
          <t>Ministre</t>
        </is>
      </c>
      <c r="E1370" t="inlineStr">
        <is>
          <t>Marie-Claude Bibeau</t>
        </is>
      </c>
      <c r="F1370" t="inlineStr">
        <is>
          <t>Make announcements in Rouyn-Noranda; attend Canada’s Outstanding Young Farmers Gala</t>
        </is>
      </c>
      <c r="G1370" t="inlineStr">
        <is>
          <t>Faire des annonces à Rouyn-Noranda; assister au Gala des Jeunes agriculteurs d’élite du Canada</t>
        </is>
      </c>
      <c r="H1370" s="1" t="n">
        <v>43702</v>
      </c>
      <c r="I1370" s="1" t="n">
        <v>43704</v>
      </c>
      <c r="J1370" t="inlineStr">
        <is>
          <t>Rouyn-Noranda (Quebec) Canada; Montreal (Quebec) Canada</t>
        </is>
      </c>
      <c r="K1370" t="inlineStr">
        <is>
          <t>Rouyn-Noranda (Québec) Canada; Montréal (Québec) Canada</t>
        </is>
      </c>
      <c r="P1370" t="n">
        <v>1334.74</v>
      </c>
      <c r="Q1370" t="n">
        <v>0</v>
      </c>
      <c r="R1370" t="n">
        <v>381.4</v>
      </c>
      <c r="S1370" t="n">
        <v>166.45</v>
      </c>
      <c r="T1370" t="n">
        <v>0</v>
      </c>
      <c r="U1370" t="n">
        <v>1882.59</v>
      </c>
      <c r="V1370" t="inlineStr">
        <is>
          <t>Air Canada flight was cancelled. A refund will be issued at a later date.</t>
        </is>
      </c>
      <c r="W1370" t="inlineStr">
        <is>
          <t>Le vol d'Air Canada a été annulé. Un remboursement suivra à une date ultérieure.</t>
        </is>
      </c>
      <c r="X1370" t="inlineStr">
        <is>
          <t>aafc-aac</t>
        </is>
      </c>
      <c r="Y1370" t="inlineStr">
        <is>
          <t>Agriculture and Agri-Food Canada | Agriculture et Agroalimentaire Canada</t>
        </is>
      </c>
      <c r="Z1370" t="n">
        <v>3</v>
      </c>
      <c r="AA1370" t="n">
        <v>1882.59</v>
      </c>
      <c r="AB1370">
        <f>ROUND(U1370-AA1370,2)</f>
        <v/>
      </c>
      <c r="AC1370" t="b">
        <v>0</v>
      </c>
      <c r="AD1370">
        <f>IF(U1370="","MISSING_TOTAL",IF(ABS(AB1370)&lt;=0.01,"OK","CHECK"))</f>
        <v/>
      </c>
      <c r="AE1370">
        <f>IF(U1370="","MISSING",IF(AND(AA1370&gt;0,U1370/AA1370&gt;50),"POSSIBLE_SCALE_ERROR","OK"))</f>
        <v/>
      </c>
    </row>
    <row r="1371">
      <c r="A1371" t="inlineStr">
        <is>
          <t>T-2019-P6-0003</t>
        </is>
      </c>
      <c r="B1371" t="inlineStr">
        <is>
          <t>MPSES</t>
        </is>
      </c>
      <c r="C1371" t="inlineStr">
        <is>
          <t>Press Secretary</t>
        </is>
      </c>
      <c r="D1371" t="inlineStr">
        <is>
          <t>Attachée de Presse</t>
        </is>
      </c>
      <c r="E1371" t="inlineStr">
        <is>
          <t>Justine Lesage</t>
        </is>
      </c>
      <c r="F1371" t="inlineStr">
        <is>
          <t>Accompany the Minister for announcements in Lac-Saint-Jean; accompany the Minister to a roundtable with stakeholders in Montreal; accompany the Minister for an announcement in Saint-Pie</t>
        </is>
      </c>
      <c r="G1371" t="inlineStr">
        <is>
          <t>Accompagner la ministre à des annonces au Lac-Saint-Jean; accompagner la ministre à une table ronde avec des intervenants clés à Montréal; accompagner la ministre à une annonce à Saint-Pie</t>
        </is>
      </c>
      <c r="H1371" s="1" t="n">
        <v>43698</v>
      </c>
      <c r="I1371" s="1" t="n">
        <v>43699</v>
      </c>
      <c r="J1371" t="inlineStr">
        <is>
          <t>Lac-Saint-Jean (Quebec) Canada; Montreal (Quebec) Canada; Saint-Pie (Quebec) Canada</t>
        </is>
      </c>
      <c r="K1371" t="inlineStr">
        <is>
          <t>Lac-Saint-Jean (Québec) Canada; Montréal (Québec) Canada; Saint-Pie (Québec) Canada</t>
        </is>
      </c>
      <c r="P1371" t="n">
        <v>0</v>
      </c>
      <c r="Q1371" t="n">
        <v>284.2</v>
      </c>
      <c r="R1371" t="n">
        <v>111.85</v>
      </c>
      <c r="S1371" t="n">
        <v>146.35</v>
      </c>
      <c r="T1371" t="n">
        <v>0</v>
      </c>
      <c r="U1371" t="n">
        <v>542.4</v>
      </c>
      <c r="X1371" t="inlineStr">
        <is>
          <t>aafc-aac</t>
        </is>
      </c>
      <c r="Y1371" t="inlineStr">
        <is>
          <t>Agriculture and Agri-Food Canada | Agriculture et Agroalimentaire Canada</t>
        </is>
      </c>
      <c r="Z1371" t="n">
        <v>2</v>
      </c>
      <c r="AA1371" t="n">
        <v>542.4</v>
      </c>
      <c r="AB1371">
        <f>ROUND(U1371-AA1371,2)</f>
        <v/>
      </c>
      <c r="AC1371" t="b">
        <v>0</v>
      </c>
      <c r="AD1371">
        <f>IF(U1371="","MISSING_TOTAL",IF(ABS(AB1371)&lt;=0.01,"OK","CHECK"))</f>
        <v/>
      </c>
      <c r="AE1371">
        <f>IF(U1371="","MISSING",IF(AND(AA1371&gt;0,U1371/AA1371&gt;50),"POSSIBLE_SCALE_ERROR","OK"))</f>
        <v/>
      </c>
    </row>
    <row r="1372">
      <c r="A1372" t="inlineStr">
        <is>
          <t>T-2019-P6-0004</t>
        </is>
      </c>
      <c r="B1372" t="inlineStr">
        <is>
          <t>MPSES</t>
        </is>
      </c>
      <c r="C1372" t="inlineStr">
        <is>
          <t>Press Secretary</t>
        </is>
      </c>
      <c r="D1372" t="inlineStr">
        <is>
          <t>Attachée de Presse</t>
        </is>
      </c>
      <c r="E1372" t="inlineStr">
        <is>
          <t>Justine Lesage</t>
        </is>
      </c>
      <c r="F1372" t="inlineStr">
        <is>
          <t>Accompany the Minister for announcements in Rouyn-Noranda; accompany the Minister to Canada’s Outstanding Young Farmers Gala; accompany the Minister for an announcement in Bedford and Saint-Paul-d'Abbotsford</t>
        </is>
      </c>
      <c r="G1372" t="inlineStr">
        <is>
          <t>Accompagner la ministre à des annonces à Rouyn-Noranda; accompagner la ministre au Gala des Jeunes agriculteurs d’élite du Canada; accompagner la ministre à une annonce à Bedford et à Saint-Paul-d'Abbotsford</t>
        </is>
      </c>
      <c r="H1372" s="1" t="n">
        <v>43702</v>
      </c>
      <c r="I1372" s="1" t="n">
        <v>43705</v>
      </c>
      <c r="J1372" t="inlineStr">
        <is>
          <t>Rouyn-Noranda (Quebec) Canada; Montreal (Quebec) Canada; Bedford (Quebec) Canada; Saint-Paul-d'Abbotsford (Quebec) Canada</t>
        </is>
      </c>
      <c r="K1372" t="inlineStr">
        <is>
          <t>Rouyn-Noranda (Québec) Canada; Montréal (Québec) Canada; Bedford (Québec) Canada; Saint-Paul-d'Abbotsford (Québec) Canada</t>
        </is>
      </c>
      <c r="P1372" t="n">
        <v>1300.25</v>
      </c>
      <c r="Q1372" t="n">
        <v>89.76000000000001</v>
      </c>
      <c r="R1372" t="n">
        <v>281.37</v>
      </c>
      <c r="S1372" t="n">
        <v>204.25</v>
      </c>
      <c r="T1372" t="n">
        <v>0</v>
      </c>
      <c r="U1372" t="n">
        <v>1875.63</v>
      </c>
      <c r="V1372" t="inlineStr">
        <is>
          <t>Air Canada flight was cancelled. A refund will be issued at a later date.</t>
        </is>
      </c>
      <c r="W1372" t="inlineStr">
        <is>
          <t>Le vol d'Air Canada a été annulé.  Un remboursement suivra à une date ultérieure.</t>
        </is>
      </c>
      <c r="X1372" t="inlineStr">
        <is>
          <t>aafc-aac</t>
        </is>
      </c>
      <c r="Y1372" t="inlineStr">
        <is>
          <t>Agriculture and Agri-Food Canada | Agriculture et Agroalimentaire Canada</t>
        </is>
      </c>
      <c r="Z1372" t="n">
        <v>4</v>
      </c>
      <c r="AA1372" t="n">
        <v>1875.63</v>
      </c>
      <c r="AB1372">
        <f>ROUND(U1372-AA1372,2)</f>
        <v/>
      </c>
      <c r="AC1372" t="b">
        <v>0</v>
      </c>
      <c r="AD1372">
        <f>IF(U1372="","MISSING_TOTAL",IF(ABS(AB1372)&lt;=0.01,"OK","CHECK"))</f>
        <v/>
      </c>
      <c r="AE1372">
        <f>IF(U1372="","MISSING",IF(AND(AA1372&gt;0,U1372/AA1372&gt;50),"POSSIBLE_SCALE_ERROR","OK"))</f>
        <v/>
      </c>
    </row>
    <row r="1373">
      <c r="A1373" t="inlineStr">
        <is>
          <t>T-2019-P6-0005</t>
        </is>
      </c>
      <c r="B1373" t="inlineStr">
        <is>
          <t>MPSES</t>
        </is>
      </c>
      <c r="C1373" t="inlineStr">
        <is>
          <t>Driver</t>
        </is>
      </c>
      <c r="D1373" t="inlineStr">
        <is>
          <t>Conducteur</t>
        </is>
      </c>
      <c r="E1373" t="inlineStr">
        <is>
          <t>Michel Gendreau</t>
        </is>
      </c>
      <c r="F1373" t="inlineStr">
        <is>
          <t>Drive the Minister for announcements in Saint-Hyacinthe, Bedford, Saint-Paul-D'Abbotsford and Sherbooke</t>
        </is>
      </c>
      <c r="G1373" t="inlineStr">
        <is>
          <t>Conduire la ministre à des annonces à Saint-Hyacinthe, Bedford, Saint-Paul-d'Abbotsford et Sherbrooke</t>
        </is>
      </c>
      <c r="H1373" s="1" t="n">
        <v>43704</v>
      </c>
      <c r="I1373" s="1" t="n">
        <v>43706</v>
      </c>
      <c r="J1373" t="inlineStr">
        <is>
          <t>Saint-Hyacinthe (Quebec) Canada; Bedford (Quebec) Canada; Saint-Paul-D'Abbotsford (Quebec) Canada; Sherbooke (Quebec) Canada</t>
        </is>
      </c>
      <c r="K1373" t="inlineStr">
        <is>
          <t>Saint-Hyacinthe (Québec) Canada; Bedford (Québec) Canada; Saint-Paul-D'Abbotsford (Québec) Canada; Sherbooke (Québec) Canada</t>
        </is>
      </c>
      <c r="P1373" t="n">
        <v>0</v>
      </c>
      <c r="Q1373" t="n">
        <v>3.1</v>
      </c>
      <c r="R1373" t="n">
        <v>327.82</v>
      </c>
      <c r="S1373" t="n">
        <v>325.65</v>
      </c>
      <c r="T1373" t="n">
        <v>0</v>
      </c>
      <c r="U1373" t="n">
        <v>656.5700000000001</v>
      </c>
      <c r="X1373" t="inlineStr">
        <is>
          <t>aafc-aac</t>
        </is>
      </c>
      <c r="Y1373" t="inlineStr">
        <is>
          <t>Agriculture and Agri-Food Canada | Agriculture et Agroalimentaire Canada</t>
        </is>
      </c>
      <c r="Z1373" t="n">
        <v>3</v>
      </c>
      <c r="AA1373" t="n">
        <v>656.569999999999</v>
      </c>
      <c r="AB1373">
        <f>ROUND(U1373-AA1373,2)</f>
        <v/>
      </c>
      <c r="AC1373" t="b">
        <v>0</v>
      </c>
      <c r="AD1373">
        <f>IF(U1373="","MISSING_TOTAL",IF(ABS(AB1373)&lt;=0.01,"OK","CHECK"))</f>
        <v/>
      </c>
      <c r="AE1373">
        <f>IF(U1373="","MISSING",IF(AND(AA1373&gt;0,U1373/AA1373&gt;50),"POSSIBLE_SCALE_ERROR","OK"))</f>
        <v/>
      </c>
    </row>
    <row r="1374">
      <c r="A1374" t="inlineStr">
        <is>
          <t>T-2019-P6-0006</t>
        </is>
      </c>
      <c r="B1374" t="inlineStr">
        <is>
          <t>MPSES</t>
        </is>
      </c>
      <c r="C1374" t="inlineStr">
        <is>
          <t>Driver</t>
        </is>
      </c>
      <c r="D1374" t="inlineStr">
        <is>
          <t>Conducteur</t>
        </is>
      </c>
      <c r="E1374" t="inlineStr">
        <is>
          <t>Michel Gendreau</t>
        </is>
      </c>
      <c r="F1374" t="inlineStr">
        <is>
          <t>Drive documents to the Minister from Ottawa to her riding</t>
        </is>
      </c>
      <c r="G1374" t="inlineStr">
        <is>
          <t>Aller porter des documents à la ministre (d'Ottawa à sa circonscription)</t>
        </is>
      </c>
      <c r="H1374" s="1" t="n">
        <v>43712</v>
      </c>
      <c r="I1374" s="1" t="n">
        <v>43712</v>
      </c>
      <c r="J1374" t="inlineStr">
        <is>
          <t>Sherbrooke (Quebec) Canada</t>
        </is>
      </c>
      <c r="K1374" t="inlineStr">
        <is>
          <t>Sherbrooke (Québec) Canada</t>
        </is>
      </c>
      <c r="P1374" t="n">
        <v>0</v>
      </c>
      <c r="Q1374" t="n">
        <v>10</v>
      </c>
      <c r="R1374" t="n">
        <v>0</v>
      </c>
      <c r="S1374" t="n">
        <v>50.65</v>
      </c>
      <c r="T1374" t="n">
        <v>0</v>
      </c>
      <c r="U1374" t="n">
        <v>60.65</v>
      </c>
      <c r="X1374" t="inlineStr">
        <is>
          <t>aafc-aac</t>
        </is>
      </c>
      <c r="Y1374" t="inlineStr">
        <is>
          <t>Agriculture and Agri-Food Canada | Agriculture et Agroalimentaire Canada</t>
        </is>
      </c>
      <c r="Z1374" t="n">
        <v>1</v>
      </c>
      <c r="AA1374" t="n">
        <v>60.65</v>
      </c>
      <c r="AB1374">
        <f>ROUND(U1374-AA1374,2)</f>
        <v/>
      </c>
      <c r="AC1374" t="b">
        <v>0</v>
      </c>
      <c r="AD1374">
        <f>IF(U1374="","MISSING_TOTAL",IF(ABS(AB1374)&lt;=0.01,"OK","CHECK"))</f>
        <v/>
      </c>
      <c r="AE1374">
        <f>IF(U1374="","MISSING",IF(AND(AA1374&gt;0,U1374/AA1374&gt;50),"POSSIBLE_SCALE_ERROR","OK"))</f>
        <v/>
      </c>
    </row>
    <row r="1375">
      <c r="A1375" t="inlineStr">
        <is>
          <t>T-2019-P6-0007</t>
        </is>
      </c>
      <c r="B1375" t="inlineStr">
        <is>
          <t>MPSES</t>
        </is>
      </c>
      <c r="C1375" t="inlineStr">
        <is>
          <t>Senior Policy Advisor</t>
        </is>
      </c>
      <c r="D1375" t="inlineStr">
        <is>
          <t>Conseiller principal des politiques</t>
        </is>
      </c>
      <c r="E1375" t="inlineStr">
        <is>
          <t>Michel-Antoine Renaud</t>
        </is>
      </c>
      <c r="F1375" t="inlineStr">
        <is>
          <t>Accompany the Parliamentary Secretary for an announcement in Repentigny; accompany the Minister and the Parliamentary Secretary for an announcement in Compton</t>
        </is>
      </c>
      <c r="G1375" t="inlineStr">
        <is>
          <t>Accompagner le secrétaire parlementaire à une annonce à Repentigny; accompagner la ministre et le secrétaire parlementaire à une annonce à Compton</t>
        </is>
      </c>
      <c r="H1375" s="1" t="n">
        <v>43691</v>
      </c>
      <c r="I1375" s="1" t="n">
        <v>43693</v>
      </c>
      <c r="J1375" t="inlineStr">
        <is>
          <t>Repentigny (Quebec) Canada; Compton (Quebec) Canada</t>
        </is>
      </c>
      <c r="K1375" t="inlineStr">
        <is>
          <t>Repentigny (Québec) Canada; Compton (Québec) Canada</t>
        </is>
      </c>
      <c r="P1375" t="n">
        <v>0</v>
      </c>
      <c r="Q1375" t="n">
        <v>194.99</v>
      </c>
      <c r="R1375" t="n">
        <v>408.19</v>
      </c>
      <c r="S1375" t="n">
        <v>264.15</v>
      </c>
      <c r="T1375" t="n">
        <v>0</v>
      </c>
      <c r="U1375" t="n">
        <v>867.33</v>
      </c>
      <c r="X1375" t="inlineStr">
        <is>
          <t>aafc-aac</t>
        </is>
      </c>
      <c r="Y1375" t="inlineStr">
        <is>
          <t>Agriculture and Agri-Food Canada | Agriculture et Agroalimentaire Canada</t>
        </is>
      </c>
      <c r="Z1375" t="n">
        <v>3</v>
      </c>
      <c r="AA1375" t="n">
        <v>867.33</v>
      </c>
      <c r="AB1375">
        <f>ROUND(U1375-AA1375,2)</f>
        <v/>
      </c>
      <c r="AC1375" t="b">
        <v>0</v>
      </c>
      <c r="AD1375">
        <f>IF(U1375="","MISSING_TOTAL",IF(ABS(AB1375)&lt;=0.01,"OK","CHECK"))</f>
        <v/>
      </c>
      <c r="AE1375">
        <f>IF(U1375="","MISSING",IF(AND(AA1375&gt;0,U1375/AA1375&gt;50),"POSSIBLE_SCALE_ERROR","OK"))</f>
        <v/>
      </c>
    </row>
    <row r="1376">
      <c r="A1376" t="inlineStr">
        <is>
          <t>T-2019-P6-0008</t>
        </is>
      </c>
      <c r="B1376" t="inlineStr">
        <is>
          <t>MPSES</t>
        </is>
      </c>
      <c r="C1376" t="inlineStr">
        <is>
          <t>Senior Policy Advisor</t>
        </is>
      </c>
      <c r="D1376" t="inlineStr">
        <is>
          <t>Conseiller principal des politiques</t>
        </is>
      </c>
      <c r="E1376" t="inlineStr">
        <is>
          <t>Michel-Antoine Renaud</t>
        </is>
      </c>
      <c r="F1376" t="inlineStr">
        <is>
          <t>Accompany the Minister for announcements in Lac-Saint-Jean; accompany the Minister to a roundtable with stakeholders in Montreal; accompany the Minister for an announcement in Saint-Pie</t>
        </is>
      </c>
      <c r="G1376" t="inlineStr">
        <is>
          <t>Accompagner la ministre à des annonces au Lac-Saint-Jean; accompagner la ministre à une table ronde avec des intervenants clés à Montréal; accompagner la ministre à une annonce à Saint-Pie</t>
        </is>
      </c>
      <c r="H1376" s="1" t="n">
        <v>43697</v>
      </c>
      <c r="I1376" s="1" t="n">
        <v>43700</v>
      </c>
      <c r="J1376" t="inlineStr">
        <is>
          <t>Lac-Saint-Jean (Quebec) Canada; Montreal (Quebec) Canada; Saint-Pie (Quebec) Canada</t>
        </is>
      </c>
      <c r="K1376" t="inlineStr">
        <is>
          <t>Lac-Saint-Jean (Québec) Canada; Montréal (Québec) Canada; Saint-Pie (Québec) Canada</t>
        </is>
      </c>
      <c r="P1376" t="n">
        <v>0</v>
      </c>
      <c r="Q1376" t="n">
        <v>0</v>
      </c>
      <c r="R1376" t="n">
        <v>470.13</v>
      </c>
      <c r="S1376" t="n">
        <v>302.75</v>
      </c>
      <c r="T1376" t="n">
        <v>0</v>
      </c>
      <c r="U1376" t="n">
        <v>772.88</v>
      </c>
      <c r="X1376" t="inlineStr">
        <is>
          <t>aafc-aac</t>
        </is>
      </c>
      <c r="Y1376" t="inlineStr">
        <is>
          <t>Agriculture and Agri-Food Canada | Agriculture et Agroalimentaire Canada</t>
        </is>
      </c>
      <c r="Z1376" t="n">
        <v>4</v>
      </c>
      <c r="AA1376" t="n">
        <v>772.88</v>
      </c>
      <c r="AB1376">
        <f>ROUND(U1376-AA1376,2)</f>
        <v/>
      </c>
      <c r="AC1376" t="b">
        <v>0</v>
      </c>
      <c r="AD1376">
        <f>IF(U1376="","MISSING_TOTAL",IF(ABS(AB1376)&lt;=0.01,"OK","CHECK"))</f>
        <v/>
      </c>
      <c r="AE1376">
        <f>IF(U1376="","MISSING",IF(AND(AA1376&gt;0,U1376/AA1376&gt;50),"POSSIBLE_SCALE_ERROR","OK"))</f>
        <v/>
      </c>
    </row>
    <row r="1377">
      <c r="A1377" t="inlineStr">
        <is>
          <t>T-2019-P6-0009</t>
        </is>
      </c>
      <c r="B1377" t="inlineStr">
        <is>
          <t>MPSES</t>
        </is>
      </c>
      <c r="C1377" t="inlineStr">
        <is>
          <t>Senior Policy Advisor</t>
        </is>
      </c>
      <c r="D1377" t="inlineStr">
        <is>
          <t>Conseiller principal des politiques</t>
        </is>
      </c>
      <c r="E1377" t="inlineStr">
        <is>
          <t>Michel-Antoine Renaud</t>
        </is>
      </c>
      <c r="F1377" t="inlineStr">
        <is>
          <t>To accompany the Minister for announcements in Rouyn-Noranda; to accompany the Minister to Canada’s Outstanding Young Farmers Gala; to accompany the Minister for an announcement in Bedford and Saint-Paul-d'Abbotsford</t>
        </is>
      </c>
      <c r="G1377" t="inlineStr">
        <is>
          <t>Accompagner la ministre à des annonces à Rouyn-Noranda; accompagner la ministre au Gala des Jeunes agriculteurs d’élite du Canada; accompagner la ministre à une annonce à Bedford et à Saint-Paul-d'Abbotsford</t>
        </is>
      </c>
      <c r="H1377" s="1" t="n">
        <v>43702</v>
      </c>
      <c r="I1377" s="1" t="n">
        <v>43705</v>
      </c>
      <c r="J1377" t="inlineStr">
        <is>
          <t>Rouyn-Noranda (Quebec) Canada; Montreal (Quebec) Canada; Bedford (Quebec) Canada; Saint-Paul-d'Abbotsford (Quebec) Canada</t>
        </is>
      </c>
      <c r="K1377" t="inlineStr">
        <is>
          <t>Rouyn-Noranda (Québec) Canada; Montréal (Québec) Canada; Bedford (Québec) Canada; Saint-Paul-d'Abbotsford (Québec) Canada</t>
        </is>
      </c>
      <c r="P1377" t="n">
        <v>1231.26</v>
      </c>
      <c r="Q1377" t="n">
        <v>313.57</v>
      </c>
      <c r="R1377" t="n">
        <v>518.1900000000001</v>
      </c>
      <c r="S1377" t="n">
        <v>292.3</v>
      </c>
      <c r="T1377" t="n">
        <v>0</v>
      </c>
      <c r="U1377" t="n">
        <v>2355.32</v>
      </c>
      <c r="V1377" t="inlineStr">
        <is>
          <t>Air Canada flight was cancelled. A refund will be issued at a later date.</t>
        </is>
      </c>
      <c r="W1377" t="inlineStr">
        <is>
          <t>Le vol d'Air Canada a été annulé.  Un remboursement suivra à une date ultérieure.</t>
        </is>
      </c>
      <c r="X1377" t="inlineStr">
        <is>
          <t>aafc-aac</t>
        </is>
      </c>
      <c r="Y1377" t="inlineStr">
        <is>
          <t>Agriculture and Agri-Food Canada | Agriculture et Agroalimentaire Canada</t>
        </is>
      </c>
      <c r="Z1377" t="n">
        <v>4</v>
      </c>
      <c r="AA1377" t="n">
        <v>2355.32</v>
      </c>
      <c r="AB1377">
        <f>ROUND(U1377-AA1377,2)</f>
        <v/>
      </c>
      <c r="AC1377" t="b">
        <v>0</v>
      </c>
      <c r="AD1377">
        <f>IF(U1377="","MISSING_TOTAL",IF(ABS(AB1377)&lt;=0.01,"OK","CHECK"))</f>
        <v/>
      </c>
      <c r="AE1377">
        <f>IF(U1377="","MISSING",IF(AND(AA1377&gt;0,U1377/AA1377&gt;50),"POSSIBLE_SCALE_ERROR","OK"))</f>
        <v/>
      </c>
    </row>
    <row r="1378">
      <c r="A1378" t="inlineStr">
        <is>
          <t>T-2019-P6-0010</t>
        </is>
      </c>
      <c r="B1378" t="inlineStr">
        <is>
          <t>SLE</t>
        </is>
      </c>
      <c r="C1378" t="inlineStr">
        <is>
          <t>Associate Deputy Minister</t>
        </is>
      </c>
      <c r="D1378" t="inlineStr">
        <is>
          <t>Sous-ministre déléguée</t>
        </is>
      </c>
      <c r="E1378" t="inlineStr">
        <is>
          <t>Annette Gibbons</t>
        </is>
      </c>
      <c r="F1378" t="inlineStr">
        <is>
          <t>Attend an outreach in Newfoundland</t>
        </is>
      </c>
      <c r="G1378" t="inlineStr">
        <is>
          <t>Participer à une visite à Terre-Neuve</t>
        </is>
      </c>
      <c r="H1378" s="1" t="n">
        <v>43697</v>
      </c>
      <c r="I1378" s="1" t="n">
        <v>43703</v>
      </c>
      <c r="J1378" t="inlineStr">
        <is>
          <t>St. John's (Newfoundland) Canada</t>
        </is>
      </c>
      <c r="K1378" t="inlineStr">
        <is>
          <t>St. John's (Terre-Neuve) Canada</t>
        </is>
      </c>
      <c r="P1378" t="n">
        <v>957.3200000000001</v>
      </c>
      <c r="Q1378" t="n">
        <v>53</v>
      </c>
      <c r="R1378" t="n">
        <v>531.9299999999999</v>
      </c>
      <c r="S1378" t="n">
        <v>223.1</v>
      </c>
      <c r="T1378" t="n">
        <v>0</v>
      </c>
      <c r="U1378" t="n">
        <v>1765.35</v>
      </c>
      <c r="X1378" t="inlineStr">
        <is>
          <t>aafc-aac</t>
        </is>
      </c>
      <c r="Y1378" t="inlineStr">
        <is>
          <t>Agriculture and Agri-Food Canada | Agriculture et Agroalimentaire Canada</t>
        </is>
      </c>
      <c r="Z1378" t="n">
        <v>7</v>
      </c>
      <c r="AA1378" t="n">
        <v>1765.35</v>
      </c>
      <c r="AB1378">
        <f>ROUND(U1378-AA1378,2)</f>
        <v/>
      </c>
      <c r="AC1378" t="b">
        <v>0</v>
      </c>
      <c r="AD1378">
        <f>IF(U1378="","MISSING_TOTAL",IF(ABS(AB1378)&lt;=0.01,"OK","CHECK"))</f>
        <v/>
      </c>
      <c r="AE1378">
        <f>IF(U1378="","MISSING",IF(AND(AA1378&gt;0,U1378/AA1378&gt;50),"POSSIBLE_SCALE_ERROR","OK"))</f>
        <v/>
      </c>
    </row>
    <row r="1379">
      <c r="A1379" t="inlineStr">
        <is>
          <t>T-2019-P6-0011</t>
        </is>
      </c>
      <c r="B1379" t="inlineStr">
        <is>
          <t>SLE</t>
        </is>
      </c>
      <c r="C1379" t="inlineStr">
        <is>
          <t>Deputy Minister</t>
        </is>
      </c>
      <c r="D1379" t="inlineStr">
        <is>
          <t>Sous-ministre</t>
        </is>
      </c>
      <c r="E1379" t="inlineStr">
        <is>
          <t>Chris Forbes</t>
        </is>
      </c>
      <c r="F1379" t="inlineStr">
        <is>
          <t>Attend an outreach in Nova Scotia</t>
        </is>
      </c>
      <c r="G1379" t="inlineStr">
        <is>
          <t>Participer à une visite en Nouvelle-Écosse</t>
        </is>
      </c>
      <c r="H1379" s="1" t="n">
        <v>43704</v>
      </c>
      <c r="I1379" s="1" t="n">
        <v>43706</v>
      </c>
      <c r="J1379" t="inlineStr">
        <is>
          <t>Halifax (Nova Scotia) Canada; Greenwich (Nova Scotia) Canada</t>
        </is>
      </c>
      <c r="K1379" t="inlineStr">
        <is>
          <t>Halifax (Nouvelle-Écosse) Canada; Greenwich (Nouvelle-Écosse) Canada</t>
        </is>
      </c>
      <c r="P1379" t="n">
        <v>597.48</v>
      </c>
      <c r="Q1379" t="n">
        <v>73.59999999999999</v>
      </c>
      <c r="R1379" t="n">
        <v>376.03</v>
      </c>
      <c r="S1379" t="n">
        <v>250.45</v>
      </c>
      <c r="T1379" t="n">
        <v>0</v>
      </c>
      <c r="U1379" t="n">
        <v>1297.56</v>
      </c>
      <c r="X1379" t="inlineStr">
        <is>
          <t>aafc-aac</t>
        </is>
      </c>
      <c r="Y1379" t="inlineStr">
        <is>
          <t>Agriculture and Agri-Food Canada | Agriculture et Agroalimentaire Canada</t>
        </is>
      </c>
      <c r="Z1379" t="n">
        <v>3</v>
      </c>
      <c r="AA1379" t="n">
        <v>1297.56</v>
      </c>
      <c r="AB1379">
        <f>ROUND(U1379-AA1379,2)</f>
        <v/>
      </c>
      <c r="AC1379" t="b">
        <v>0</v>
      </c>
      <c r="AD1379">
        <f>IF(U1379="","MISSING_TOTAL",IF(ABS(AB1379)&lt;=0.01,"OK","CHECK"))</f>
        <v/>
      </c>
      <c r="AE1379">
        <f>IF(U1379="","MISSING",IF(AND(AA1379&gt;0,U1379/AA1379&gt;50),"POSSIBLE_SCALE_ERROR","OK"))</f>
        <v/>
      </c>
    </row>
    <row r="1380">
      <c r="A1380" t="inlineStr">
        <is>
          <t>T-2019-P6-0012</t>
        </is>
      </c>
      <c r="B1380" t="inlineStr">
        <is>
          <t>SLE</t>
        </is>
      </c>
      <c r="C1380" t="inlineStr">
        <is>
          <t>Assistant Deputy Minister, Science and Technology Branch</t>
        </is>
      </c>
      <c r="D1380" t="inlineStr">
        <is>
          <t>Sous-ministre adjoint, Direction générale des sciences et de la technologie</t>
        </is>
      </c>
      <c r="E1380" t="inlineStr">
        <is>
          <t>Brian Gray</t>
        </is>
      </c>
      <c r="F1380" t="inlineStr">
        <is>
          <t>Outreach to the Research and Development Centre, All-Staff meeting and meeting with Provincial Counterparts.</t>
        </is>
      </c>
      <c r="G1380" t="inlineStr">
        <is>
          <t>Visite au Centre de recherche et de développement, réunion du personnel et réunions avec des homologues du gouvernement provincial.</t>
        </is>
      </c>
      <c r="H1380" s="1" t="n">
        <v>43696</v>
      </c>
      <c r="I1380" s="1" t="n">
        <v>43697</v>
      </c>
      <c r="J1380" t="inlineStr">
        <is>
          <t>St. Jean-sur-Richelieu (Quebec) Canada; Frelighsburg (Quebec) Canada</t>
        </is>
      </c>
      <c r="K1380" t="inlineStr">
        <is>
          <t>St. Jean-sur-Richelieu (Québec) Canada; Frelighsburg (Québec) Canada</t>
        </is>
      </c>
      <c r="P1380" t="n">
        <v>0</v>
      </c>
      <c r="Q1380" t="n">
        <v>0</v>
      </c>
      <c r="R1380" t="n">
        <v>148.76</v>
      </c>
      <c r="S1380" t="n">
        <v>105.35</v>
      </c>
      <c r="T1380" t="n">
        <v>0</v>
      </c>
      <c r="U1380" t="n">
        <v>254.11</v>
      </c>
      <c r="X1380" t="inlineStr">
        <is>
          <t>aafc-aac</t>
        </is>
      </c>
      <c r="Y1380" t="inlineStr">
        <is>
          <t>Agriculture and Agri-Food Canada | Agriculture et Agroalimentaire Canada</t>
        </is>
      </c>
      <c r="Z1380" t="n">
        <v>2</v>
      </c>
      <c r="AA1380" t="n">
        <v>254.109999999999</v>
      </c>
      <c r="AB1380">
        <f>ROUND(U1380-AA1380,2)</f>
        <v/>
      </c>
      <c r="AC1380" t="b">
        <v>0</v>
      </c>
      <c r="AD1380">
        <f>IF(U1380="","MISSING_TOTAL",IF(ABS(AB1380)&lt;=0.01,"OK","CHECK"))</f>
        <v/>
      </c>
      <c r="AE1380">
        <f>IF(U1380="","MISSING",IF(AND(AA1380&gt;0,U1380/AA1380&gt;50),"POSSIBLE_SCALE_ERROR","OK"))</f>
        <v/>
      </c>
    </row>
    <row r="1381">
      <c r="A1381" t="inlineStr">
        <is>
          <t>T-2019-P6-0013</t>
        </is>
      </c>
      <c r="B1381" t="inlineStr">
        <is>
          <t>SLE</t>
        </is>
      </c>
      <c r="C1381" t="inlineStr">
        <is>
          <t>Assistant Deputy Minister, Science and Technology Branch</t>
        </is>
      </c>
      <c r="D1381" t="inlineStr">
        <is>
          <t>Sous-ministre adjoint, Direction générale des sciences et de la technologie</t>
        </is>
      </c>
      <c r="E1381" t="inlineStr">
        <is>
          <t>Brian Gray</t>
        </is>
      </c>
      <c r="F1381" t="inlineStr">
        <is>
          <t>Outreach to the Research and Development Centre, All-Staff meeting and meeting with Provincial Counterparts.</t>
        </is>
      </c>
      <c r="G1381" t="inlineStr">
        <is>
          <t>Visite au Centre de recherche et de développement, réunion du personnel et réunions avec des homologues du gouvernement provincial.</t>
        </is>
      </c>
      <c r="H1381" s="1" t="n">
        <v>43724</v>
      </c>
      <c r="I1381" s="1" t="n">
        <v>43727</v>
      </c>
      <c r="J1381" t="inlineStr">
        <is>
          <t>St. John's (Newfoundland) Canada</t>
        </is>
      </c>
      <c r="K1381" t="inlineStr">
        <is>
          <t>St. John's (Terre-Neuve) Canada</t>
        </is>
      </c>
      <c r="P1381" t="n">
        <v>779.55</v>
      </c>
      <c r="Q1381" t="n">
        <v>134.75</v>
      </c>
      <c r="R1381" t="n">
        <v>639.03</v>
      </c>
      <c r="S1381" t="n">
        <v>363.05</v>
      </c>
      <c r="T1381" t="n">
        <v>0</v>
      </c>
      <c r="U1381" t="n">
        <v>1916.38</v>
      </c>
      <c r="X1381" t="inlineStr">
        <is>
          <t>aafc-aac</t>
        </is>
      </c>
      <c r="Y1381" t="inlineStr">
        <is>
          <t>Agriculture and Agri-Food Canada | Agriculture et Agroalimentaire Canada</t>
        </is>
      </c>
      <c r="Z1381" t="n">
        <v>4</v>
      </c>
      <c r="AA1381" t="n">
        <v>1916.37999999999</v>
      </c>
      <c r="AB1381">
        <f>ROUND(U1381-AA1381,2)</f>
        <v/>
      </c>
      <c r="AC1381" t="b">
        <v>0</v>
      </c>
      <c r="AD1381">
        <f>IF(U1381="","MISSING_TOTAL",IF(ABS(AB1381)&lt;=0.01,"OK","CHECK"))</f>
        <v/>
      </c>
      <c r="AE1381">
        <f>IF(U1381="","MISSING",IF(AND(AA1381&gt;0,U1381/AA1381&gt;50),"POSSIBLE_SCALE_ERROR","OK"))</f>
        <v/>
      </c>
    </row>
    <row r="1382">
      <c r="A1382" t="inlineStr">
        <is>
          <t>T-2019-P6-0014</t>
        </is>
      </c>
      <c r="B1382" t="inlineStr">
        <is>
          <t>SLE</t>
        </is>
      </c>
      <c r="C1382" t="inlineStr">
        <is>
          <t>Assistant Deputy Minister, Market and Industry Services Branch</t>
        </is>
      </c>
      <c r="D1382" t="inlineStr">
        <is>
          <t>Sous-ministre adjoint, Direction générale des services à l'industrie et aux marchés</t>
        </is>
      </c>
      <c r="E1382" t="inlineStr">
        <is>
          <t>Frédéric Seppey</t>
        </is>
      </c>
      <c r="F1382" t="inlineStr">
        <is>
          <t>Attended (as supporting official) the Annual Conference of Federal-Provincial-Territorial  Ministers and Deputy Ministers of Agriculture.</t>
        </is>
      </c>
      <c r="G1382" t="inlineStr">
        <is>
          <t>Assisté (en tant que fonctionnaire de soutien) à la Conférence annuelle des ministres et des sous-ministres fédéraux, provinciaux et territoriaux de l'Agriculture.</t>
        </is>
      </c>
      <c r="H1382" s="1" t="n">
        <v>43662</v>
      </c>
      <c r="I1382" s="1" t="n">
        <v>43665</v>
      </c>
      <c r="J1382" t="inlineStr">
        <is>
          <t>Quebec (Quebec) Canada</t>
        </is>
      </c>
      <c r="K1382" t="inlineStr">
        <is>
          <t>Québec (Québec) Canada</t>
        </is>
      </c>
      <c r="P1382" t="n">
        <v>1309.42</v>
      </c>
      <c r="Q1382" t="n">
        <v>197.86</v>
      </c>
      <c r="R1382" t="n">
        <v>960.33</v>
      </c>
      <c r="S1382" t="n">
        <v>271.8</v>
      </c>
      <c r="T1382" t="n">
        <v>375</v>
      </c>
      <c r="U1382" t="n">
        <v>3114.41</v>
      </c>
      <c r="V1382" t="inlineStr">
        <is>
          <t>Other expenses: Conference fee</t>
        </is>
      </c>
      <c r="W1382" t="inlineStr">
        <is>
          <t>Autres dépenses: frais d'inscription à la  Conférence</t>
        </is>
      </c>
      <c r="X1382" t="inlineStr">
        <is>
          <t>aafc-aac</t>
        </is>
      </c>
      <c r="Y1382" t="inlineStr">
        <is>
          <t>Agriculture and Agri-Food Canada | Agriculture et Agroalimentaire Canada</t>
        </is>
      </c>
      <c r="Z1382" t="n">
        <v>4</v>
      </c>
      <c r="AA1382" t="n">
        <v>3114.41</v>
      </c>
      <c r="AB1382">
        <f>ROUND(U1382-AA1382,2)</f>
        <v/>
      </c>
      <c r="AC1382" t="b">
        <v>0</v>
      </c>
      <c r="AD1382">
        <f>IF(U1382="","MISSING_TOTAL",IF(ABS(AB1382)&lt;=0.01,"OK","CHECK"))</f>
        <v/>
      </c>
      <c r="AE1382">
        <f>IF(U1382="","MISSING",IF(AND(AA1382&gt;0,U1382/AA1382&gt;50),"POSSIBLE_SCALE_ERROR","OK"))</f>
        <v/>
      </c>
    </row>
    <row r="1383">
      <c r="A1383" t="inlineStr">
        <is>
          <t>T-2019-P6-0015</t>
        </is>
      </c>
      <c r="B1383" t="inlineStr">
        <is>
          <t>SLE</t>
        </is>
      </c>
      <c r="C1383" t="inlineStr">
        <is>
          <t>Assistant Deputy Minister, Market and Industry Services Branch</t>
        </is>
      </c>
      <c r="D1383" t="inlineStr">
        <is>
          <t>Sous-ministre adjoint, Direction générale des services à l'industrie et aux marchés</t>
        </is>
      </c>
      <c r="E1383" t="inlineStr">
        <is>
          <t>Frédéric Seppey</t>
        </is>
      </c>
      <c r="F1383" t="inlineStr">
        <is>
          <t>Attended the Extended Branch Executive Committee meeting.</t>
        </is>
      </c>
      <c r="G1383" t="inlineStr">
        <is>
          <t>Assisté à la réunion du comité de gestion élargi de la Direction générale.</t>
        </is>
      </c>
      <c r="H1383" s="1" t="n">
        <v>43704</v>
      </c>
      <c r="I1383" s="1" t="n">
        <v>43706</v>
      </c>
      <c r="J1383" t="inlineStr">
        <is>
          <t>Kentville (Nova Scotia) Canada</t>
        </is>
      </c>
      <c r="K1383" t="inlineStr">
        <is>
          <t>Kentville (Nouvelle-Écosse) Canada</t>
        </is>
      </c>
      <c r="P1383" t="n">
        <v>610.6900000000001</v>
      </c>
      <c r="Q1383" t="n">
        <v>290.06</v>
      </c>
      <c r="R1383" t="n">
        <v>285.2</v>
      </c>
      <c r="S1383" t="n">
        <v>285.05</v>
      </c>
      <c r="T1383" t="n">
        <v>0</v>
      </c>
      <c r="U1383" t="n">
        <v>1471</v>
      </c>
      <c r="X1383" t="inlineStr">
        <is>
          <t>aafc-aac</t>
        </is>
      </c>
      <c r="Y1383" t="inlineStr">
        <is>
          <t>Agriculture and Agri-Food Canada | Agriculture et Agroalimentaire Canada</t>
        </is>
      </c>
      <c r="Z1383" t="n">
        <v>3</v>
      </c>
      <c r="AA1383" t="n">
        <v>1471</v>
      </c>
      <c r="AB1383">
        <f>ROUND(U1383-AA1383,2)</f>
        <v/>
      </c>
      <c r="AC1383" t="b">
        <v>0</v>
      </c>
      <c r="AD1383">
        <f>IF(U1383="","MISSING_TOTAL",IF(ABS(AB1383)&lt;=0.01,"OK","CHECK"))</f>
        <v/>
      </c>
      <c r="AE1383">
        <f>IF(U1383="","MISSING",IF(AND(AA1383&gt;0,U1383/AA1383&gt;50),"POSSIBLE_SCALE_ERROR","OK"))</f>
        <v/>
      </c>
    </row>
    <row r="1384">
      <c r="A1384" t="inlineStr">
        <is>
          <t>T-2019-P6-0016</t>
        </is>
      </c>
      <c r="B1384" t="inlineStr">
        <is>
          <t>SLE</t>
        </is>
      </c>
      <c r="C1384" t="inlineStr">
        <is>
          <t>Associate Assistant Deputy Minister, Science and Technology Branch</t>
        </is>
      </c>
      <c r="D1384" t="inlineStr">
        <is>
          <t>Sous-ministre adjoint délégué, Direction générale des sciences et de la technologie</t>
        </is>
      </c>
      <c r="E1384" t="inlineStr">
        <is>
          <t>Gilles Saindon</t>
        </is>
      </c>
      <c r="F1384" t="inlineStr">
        <is>
          <t>Outreach to Charlottetown Research and Development Centre and Harrington Farm, All-Staff meeting &amp; meeting with Provincial Counterparts.</t>
        </is>
      </c>
      <c r="G1384" t="inlineStr">
        <is>
          <t>Visite au Centre de recherche et de développement de Charlottetown et à la Ferme Harrington, réunion du personnel et réunions avec des homologues du gouvernement provincial.</t>
        </is>
      </c>
      <c r="H1384" s="1" t="n">
        <v>43712</v>
      </c>
      <c r="I1384" s="1" t="n">
        <v>43714</v>
      </c>
      <c r="J1384" t="inlineStr">
        <is>
          <t>Charlottetown (Prince Edward Island) Canada</t>
        </is>
      </c>
      <c r="K1384" t="inlineStr">
        <is>
          <t>Charlottetown (Île-du-Prince-Édouard) Canada</t>
        </is>
      </c>
      <c r="P1384" t="n">
        <v>641.83</v>
      </c>
      <c r="Q1384" t="n">
        <v>92</v>
      </c>
      <c r="R1384" t="n">
        <v>495.12</v>
      </c>
      <c r="S1384" t="n">
        <v>234</v>
      </c>
      <c r="T1384" t="n">
        <v>0</v>
      </c>
      <c r="U1384" t="n">
        <v>1462.95</v>
      </c>
      <c r="X1384" t="inlineStr">
        <is>
          <t>aafc-aac</t>
        </is>
      </c>
      <c r="Y1384" t="inlineStr">
        <is>
          <t>Agriculture and Agri-Food Canada | Agriculture et Agroalimentaire Canada</t>
        </is>
      </c>
      <c r="Z1384" t="n">
        <v>3</v>
      </c>
      <c r="AA1384" t="n">
        <v>1462.95</v>
      </c>
      <c r="AB1384">
        <f>ROUND(U1384-AA1384,2)</f>
        <v/>
      </c>
      <c r="AC1384" t="b">
        <v>0</v>
      </c>
      <c r="AD1384">
        <f>IF(U1384="","MISSING_TOTAL",IF(ABS(AB1384)&lt;=0.01,"OK","CHECK"))</f>
        <v/>
      </c>
      <c r="AE1384">
        <f>IF(U1384="","MISSING",IF(AND(AA1384&gt;0,U1384/AA1384&gt;50),"POSSIBLE_SCALE_ERROR","OK"))</f>
        <v/>
      </c>
    </row>
    <row r="1385">
      <c r="A1385" t="inlineStr">
        <is>
          <t>T-2019-P6-0017</t>
        </is>
      </c>
      <c r="B1385" t="inlineStr">
        <is>
          <t>SLE</t>
        </is>
      </c>
      <c r="C1385" t="inlineStr">
        <is>
          <t>Associate Assistant Deputy Minister, Science and Technology Branch</t>
        </is>
      </c>
      <c r="D1385" t="inlineStr">
        <is>
          <t>Sous-ministre adjoint délégué, Direction générale des sciences et de la technologie</t>
        </is>
      </c>
      <c r="E1385" t="inlineStr">
        <is>
          <t>Gilles Saindon</t>
        </is>
      </c>
      <c r="F1385" t="inlineStr">
        <is>
          <t>Branch Executive Committee Face to Face and Outreach to the St. John's Research and Development Centre, All-Staff meeting and meeting with Provincial Counterparts.</t>
        </is>
      </c>
      <c r="G1385" t="inlineStr">
        <is>
          <t>Rencontre en personne du Comité exécutif de la Direction générale et visite au Centre de recherche et de développement de St. John's, réunion du personnel et réunions avec des homologues du gouvernement provincial.</t>
        </is>
      </c>
      <c r="H1385" s="1" t="n">
        <v>43724</v>
      </c>
      <c r="I1385" s="1" t="n">
        <v>43726</v>
      </c>
      <c r="J1385" t="inlineStr">
        <is>
          <t>St. John's (Newfoundland) Canada</t>
        </is>
      </c>
      <c r="K1385" t="inlineStr">
        <is>
          <t>St. John's (Terre-Neuve) Canada</t>
        </is>
      </c>
      <c r="P1385" t="n">
        <v>906</v>
      </c>
      <c r="Q1385" t="n">
        <v>72</v>
      </c>
      <c r="R1385" t="n">
        <v>426.02</v>
      </c>
      <c r="S1385" t="n">
        <v>305.15</v>
      </c>
      <c r="T1385" t="n">
        <v>0</v>
      </c>
      <c r="U1385" t="n">
        <v>1709.17</v>
      </c>
      <c r="X1385" t="inlineStr">
        <is>
          <t>aafc-aac</t>
        </is>
      </c>
      <c r="Y1385" t="inlineStr">
        <is>
          <t>Agriculture and Agri-Food Canada | Agriculture et Agroalimentaire Canada</t>
        </is>
      </c>
      <c r="Z1385" t="n">
        <v>3</v>
      </c>
      <c r="AA1385" t="n">
        <v>1709.17</v>
      </c>
      <c r="AB1385">
        <f>ROUND(U1385-AA1385,2)</f>
        <v/>
      </c>
      <c r="AC1385" t="b">
        <v>0</v>
      </c>
      <c r="AD1385">
        <f>IF(U1385="","MISSING_TOTAL",IF(ABS(AB1385)&lt;=0.01,"OK","CHECK"))</f>
        <v/>
      </c>
      <c r="AE1385">
        <f>IF(U1385="","MISSING",IF(AND(AA1385&gt;0,U1385/AA1385&gt;50),"POSSIBLE_SCALE_ERROR","OK"))</f>
        <v/>
      </c>
    </row>
    <row r="1386">
      <c r="A1386" t="inlineStr">
        <is>
          <t>T-2019-P7-0001</t>
        </is>
      </c>
      <c r="B1386" t="inlineStr">
        <is>
          <t>SLE</t>
        </is>
      </c>
      <c r="C1386" t="inlineStr">
        <is>
          <t>Associate Deputy Minister</t>
        </is>
      </c>
      <c r="D1386" t="inlineStr">
        <is>
          <t>Sous-ministre déléguée</t>
        </is>
      </c>
      <c r="E1386" t="inlineStr">
        <is>
          <t>Annette Gibbons</t>
        </is>
      </c>
      <c r="F1386" t="inlineStr">
        <is>
          <t>Attend an outreach in Regina and attend a Departmental Audit Committee meeting</t>
        </is>
      </c>
      <c r="G1386" t="inlineStr">
        <is>
          <t>Participer à une activité de sensibilisation à Regina et assister à une réunion du comité ministériel de vérification</t>
        </is>
      </c>
      <c r="H1386" s="1" t="n">
        <v>43740</v>
      </c>
      <c r="I1386" s="1" t="n">
        <v>43742</v>
      </c>
      <c r="J1386" t="inlineStr">
        <is>
          <t>Regina (Saskatchewan) Canada;
Saskatoon (Saskatchewan) Canada</t>
        </is>
      </c>
      <c r="K1386" t="inlineStr">
        <is>
          <t>Régina (Saskatchewan) Canada;
Saskatoon (Saskatchewan) Canada</t>
        </is>
      </c>
      <c r="P1386" t="n">
        <v>871.36</v>
      </c>
      <c r="Q1386" t="n">
        <v>72</v>
      </c>
      <c r="R1386" t="n">
        <v>326.98</v>
      </c>
      <c r="S1386" t="n">
        <v>253.9</v>
      </c>
      <c r="T1386" t="n">
        <v>0</v>
      </c>
      <c r="U1386" t="n">
        <v>1524.24</v>
      </c>
      <c r="X1386" t="inlineStr">
        <is>
          <t>aafc-aac</t>
        </is>
      </c>
      <c r="Y1386" t="inlineStr">
        <is>
          <t>Agriculture and Agri-Food Canada | Agriculture et Agroalimentaire Canada</t>
        </is>
      </c>
      <c r="Z1386" t="n">
        <v>3</v>
      </c>
      <c r="AA1386" t="n">
        <v>1524.24</v>
      </c>
      <c r="AB1386">
        <f>ROUND(U1386-AA1386,2)</f>
        <v/>
      </c>
      <c r="AC1386" t="b">
        <v>0</v>
      </c>
      <c r="AD1386">
        <f>IF(U1386="","MISSING_TOTAL",IF(ABS(AB1386)&lt;=0.01,"OK","CHECK"))</f>
        <v/>
      </c>
      <c r="AE1386">
        <f>IF(U1386="","MISSING",IF(AND(AA1386&gt;0,U1386/AA1386&gt;50),"POSSIBLE_SCALE_ERROR","OK"))</f>
        <v/>
      </c>
    </row>
    <row r="1387">
      <c r="A1387" t="inlineStr">
        <is>
          <t>T-2019-P7-0002</t>
        </is>
      </c>
      <c r="B1387" t="inlineStr">
        <is>
          <t>SLE</t>
        </is>
      </c>
      <c r="C1387" t="inlineStr">
        <is>
          <t>Deputy Minister</t>
        </is>
      </c>
      <c r="D1387" t="inlineStr">
        <is>
          <t>Sous-ministre</t>
        </is>
      </c>
      <c r="E1387" t="inlineStr">
        <is>
          <t>Chris Forbes</t>
        </is>
      </c>
      <c r="F1387" t="inlineStr">
        <is>
          <t>Attended the International Economic Policy Council meeting and roundtable luncheon</t>
        </is>
      </c>
      <c r="G1387" t="inlineStr">
        <is>
          <t>Participer à une réunion au Conseil de la politique économique internationale et à une table ronde</t>
        </is>
      </c>
      <c r="H1387" s="1" t="n">
        <v>43732</v>
      </c>
      <c r="I1387" s="1" t="n">
        <v>43733</v>
      </c>
      <c r="J1387" t="inlineStr">
        <is>
          <t>Toronto (Ontario) Canada</t>
        </is>
      </c>
      <c r="K1387" t="inlineStr">
        <is>
          <t>Toronto (Ontario) Canada</t>
        </is>
      </c>
      <c r="P1387" t="n">
        <v>560.71</v>
      </c>
      <c r="Q1387" t="n">
        <v>0</v>
      </c>
      <c r="R1387" t="n">
        <v>217.41</v>
      </c>
      <c r="S1387" t="n">
        <v>20.1</v>
      </c>
      <c r="T1387" t="n">
        <v>0</v>
      </c>
      <c r="U1387" t="n">
        <v>798.22</v>
      </c>
      <c r="X1387" t="inlineStr">
        <is>
          <t>aafc-aac</t>
        </is>
      </c>
      <c r="Y1387" t="inlineStr">
        <is>
          <t>Agriculture and Agri-Food Canada | Agriculture et Agroalimentaire Canada</t>
        </is>
      </c>
      <c r="Z1387" t="n">
        <v>2</v>
      </c>
      <c r="AA1387" t="n">
        <v>798.22</v>
      </c>
      <c r="AB1387">
        <f>ROUND(U1387-AA1387,2)</f>
        <v/>
      </c>
      <c r="AC1387" t="b">
        <v>0</v>
      </c>
      <c r="AD1387">
        <f>IF(U1387="","MISSING_TOTAL",IF(ABS(AB1387)&lt;=0.01,"OK","CHECK"))</f>
        <v/>
      </c>
      <c r="AE1387">
        <f>IF(U1387="","MISSING",IF(AND(AA1387&gt;0,U1387/AA1387&gt;50),"POSSIBLE_SCALE_ERROR","OK"))</f>
        <v/>
      </c>
    </row>
    <row r="1388">
      <c r="A1388" t="inlineStr">
        <is>
          <t>T-2019-P7-0003</t>
        </is>
      </c>
      <c r="B1388" t="inlineStr">
        <is>
          <t>SLE</t>
        </is>
      </c>
      <c r="C1388" t="inlineStr">
        <is>
          <t>Deputy Minister</t>
        </is>
      </c>
      <c r="D1388" t="inlineStr">
        <is>
          <t>Sous-ministre</t>
        </is>
      </c>
      <c r="E1388" t="inlineStr">
        <is>
          <t>Chris Forbes</t>
        </is>
      </c>
      <c r="F1388" t="inlineStr">
        <is>
          <t>Attended the 65th convocation and attend an outreach at the Fredericton Research Development Centre</t>
        </is>
      </c>
      <c r="G1388" t="inlineStr">
        <is>
          <t>Participer à la 65e collation des grades et à une activité de sensibilisation au Centre de recherche et de développement de Fredericton</t>
        </is>
      </c>
      <c r="H1388" s="1" t="n">
        <v>43755</v>
      </c>
      <c r="I1388" s="1" t="n">
        <v>43756</v>
      </c>
      <c r="J1388" t="inlineStr">
        <is>
          <t>Fredericton (New Brunswick) Canada</t>
        </is>
      </c>
      <c r="K1388" t="inlineStr">
        <is>
          <t>Fredericton (Nouveau Brunswick) Canada</t>
        </is>
      </c>
      <c r="P1388" t="n">
        <v>469.42</v>
      </c>
      <c r="Q1388" t="n">
        <v>0</v>
      </c>
      <c r="R1388" t="n">
        <v>195.12</v>
      </c>
      <c r="S1388" t="n">
        <v>70.90000000000001</v>
      </c>
      <c r="T1388" t="n">
        <v>0</v>
      </c>
      <c r="U1388" t="n">
        <v>735.4400000000001</v>
      </c>
      <c r="X1388" t="inlineStr">
        <is>
          <t>aafc-aac</t>
        </is>
      </c>
      <c r="Y1388" t="inlineStr">
        <is>
          <t>Agriculture and Agri-Food Canada | Agriculture et Agroalimentaire Canada</t>
        </is>
      </c>
      <c r="Z1388" t="n">
        <v>2</v>
      </c>
      <c r="AA1388" t="n">
        <v>735.439999999999</v>
      </c>
      <c r="AB1388">
        <f>ROUND(U1388-AA1388,2)</f>
        <v/>
      </c>
      <c r="AC1388" t="b">
        <v>0</v>
      </c>
      <c r="AD1388">
        <f>IF(U1388="","MISSING_TOTAL",IF(ABS(AB1388)&lt;=0.01,"OK","CHECK"))</f>
        <v/>
      </c>
      <c r="AE1388">
        <f>IF(U1388="","MISSING",IF(AND(AA1388&gt;0,U1388/AA1388&gt;50),"POSSIBLE_SCALE_ERROR","OK"))</f>
        <v/>
      </c>
    </row>
    <row r="1389">
      <c r="A1389" t="inlineStr">
        <is>
          <t>T-2019-P7-0004</t>
        </is>
      </c>
      <c r="B1389" t="inlineStr">
        <is>
          <t>SLE</t>
        </is>
      </c>
      <c r="C1389" t="inlineStr">
        <is>
          <t>Assistant Deputy Minister, Science and Technology Branch</t>
        </is>
      </c>
      <c r="D1389" t="inlineStr">
        <is>
          <t>Sous-ministre adjoint, Direction générale des sciences et de la technologie</t>
        </is>
      </c>
      <c r="E1389" t="inlineStr">
        <is>
          <t>Brian Gray</t>
        </is>
      </c>
      <c r="F1389" t="inlineStr">
        <is>
          <t>Outreach to the Research and Development Centre, All-Staff meeting and meeting with Provincial Counterparts.</t>
        </is>
      </c>
      <c r="G1389" t="inlineStr">
        <is>
          <t>Activité de sensibilisation au Centre de recherche et de développement, réunion de l'ensemble du personnel et réunion avec les homologues provinciaux.</t>
        </is>
      </c>
      <c r="H1389" s="1" t="n">
        <v>43754</v>
      </c>
      <c r="I1389" s="1" t="n">
        <v>43756</v>
      </c>
      <c r="J1389" t="inlineStr">
        <is>
          <t>Guelph (Ontario) Canada; London (Ontario) Canada</t>
        </is>
      </c>
      <c r="K1389" t="inlineStr">
        <is>
          <t>Guelph (Ontario) Canada; London (Ontario) Canada</t>
        </is>
      </c>
      <c r="P1389" t="n">
        <v>428.55</v>
      </c>
      <c r="Q1389" t="n">
        <v>413.68</v>
      </c>
      <c r="R1389" t="n">
        <v>198.61</v>
      </c>
      <c r="S1389" t="n">
        <v>184.35</v>
      </c>
      <c r="T1389" t="n">
        <v>0</v>
      </c>
      <c r="U1389" t="n">
        <v>1225.19</v>
      </c>
      <c r="X1389" t="inlineStr">
        <is>
          <t>aafc-aac</t>
        </is>
      </c>
      <c r="Y1389" t="inlineStr">
        <is>
          <t>Agriculture and Agri-Food Canada | Agriculture et Agroalimentaire Canada</t>
        </is>
      </c>
      <c r="Z1389" t="n">
        <v>3</v>
      </c>
      <c r="AA1389" t="n">
        <v>1225.19</v>
      </c>
      <c r="AB1389">
        <f>ROUND(U1389-AA1389,2)</f>
        <v/>
      </c>
      <c r="AC1389" t="b">
        <v>0</v>
      </c>
      <c r="AD1389">
        <f>IF(U1389="","MISSING_TOTAL",IF(ABS(AB1389)&lt;=0.01,"OK","CHECK"))</f>
        <v/>
      </c>
      <c r="AE1389">
        <f>IF(U1389="","MISSING",IF(AND(AA1389&gt;0,U1389/AA1389&gt;50),"POSSIBLE_SCALE_ERROR","OK"))</f>
        <v/>
      </c>
    </row>
    <row r="1390">
      <c r="A1390" t="inlineStr">
        <is>
          <t>T-2019-P7-0005</t>
        </is>
      </c>
      <c r="B1390" t="inlineStr">
        <is>
          <t>SLE</t>
        </is>
      </c>
      <c r="C1390" t="inlineStr">
        <is>
          <t>Assistant Deputy Minister, International Affairs Branch</t>
        </is>
      </c>
      <c r="D1390" t="inlineStr">
        <is>
          <t>Sous-ministre adjoint, Direction générale des affaires internationales</t>
        </is>
      </c>
      <c r="E1390" t="inlineStr">
        <is>
          <t>Fred Gorrell</t>
        </is>
      </c>
      <c r="F1390" t="inlineStr">
        <is>
          <t>Speaker at the Canadian Livestock Genetics Association  Annual General Meeting</t>
        </is>
      </c>
      <c r="G1390" t="inlineStr">
        <is>
          <t>Conférencier à l'assemblée générale annuelle de l’industrie du bétail et de la génétique</t>
        </is>
      </c>
      <c r="H1390" s="1" t="n">
        <v>43754</v>
      </c>
      <c r="I1390" s="1" t="n">
        <v>43755</v>
      </c>
      <c r="J1390" t="inlineStr">
        <is>
          <t>Guelph (Ontario) Canada</t>
        </is>
      </c>
      <c r="K1390" t="inlineStr">
        <is>
          <t>Guelph (Ontario) Canada</t>
        </is>
      </c>
      <c r="P1390" t="n">
        <v>627.21</v>
      </c>
      <c r="Q1390" t="n">
        <v>176.44</v>
      </c>
      <c r="R1390" t="n">
        <v>134.47</v>
      </c>
      <c r="S1390" t="n">
        <v>139</v>
      </c>
      <c r="T1390" t="n">
        <v>0</v>
      </c>
      <c r="U1390" t="n">
        <v>1077.12</v>
      </c>
      <c r="V1390" t="inlineStr">
        <is>
          <t>Michael Hill, Executive Director of the Canadian Livestock Genetics Association requested M. Gorrell to speak.</t>
        </is>
      </c>
      <c r="W1390" t="inlineStr">
        <is>
          <t>Michael Hill, directeur général de l'Association canadienne de l'industrie du bétail et de la génétique a demandé M. Gorrell à faire une allocution.</t>
        </is>
      </c>
      <c r="X1390" t="inlineStr">
        <is>
          <t>aafc-aac</t>
        </is>
      </c>
      <c r="Y1390" t="inlineStr">
        <is>
          <t>Agriculture and Agri-Food Canada | Agriculture et Agroalimentaire Canada</t>
        </is>
      </c>
      <c r="Z1390" t="n">
        <v>2</v>
      </c>
      <c r="AA1390" t="n">
        <v>1077.12</v>
      </c>
      <c r="AB1390">
        <f>ROUND(U1390-AA1390,2)</f>
        <v/>
      </c>
      <c r="AC1390" t="b">
        <v>0</v>
      </c>
      <c r="AD1390">
        <f>IF(U1390="","MISSING_TOTAL",IF(ABS(AB1390)&lt;=0.01,"OK","CHECK"))</f>
        <v/>
      </c>
      <c r="AE1390">
        <f>IF(U1390="","MISSING",IF(AND(AA1390&gt;0,U1390/AA1390&gt;50),"POSSIBLE_SCALE_ERROR","OK"))</f>
        <v/>
      </c>
    </row>
    <row r="1391">
      <c r="A1391" t="inlineStr">
        <is>
          <t>T-2019-P7-0006</t>
        </is>
      </c>
      <c r="B1391" t="inlineStr">
        <is>
          <t>SLE</t>
        </is>
      </c>
      <c r="C1391" t="inlineStr">
        <is>
          <t>Assistant Deputy Minister, Market and Industry Services Branch</t>
        </is>
      </c>
      <c r="D1391" t="inlineStr">
        <is>
          <t>Sous-ministre adjoint, Direction générale des services à l'industrie et aux marchés</t>
        </is>
      </c>
      <c r="E1391" t="inlineStr">
        <is>
          <t>Frédéric Seppey</t>
        </is>
      </c>
      <c r="F1391" t="inlineStr">
        <is>
          <t>Attended the North American European Union Agricultural Conference as a keynote speaker in Copenhagen, Denmark. Also attended meetings with Danish agriculture officials.</t>
        </is>
      </c>
      <c r="G1391" t="inlineStr">
        <is>
          <t>Participer à la Conférence agricole de l'Amérique du Nord et de l'Union européenne en tant que conférencier principal à Copenhague, au Danemark, et assister à des réunions avec des représentants du secteur agricole danois.</t>
        </is>
      </c>
      <c r="H1391" s="1" t="n">
        <v>43725</v>
      </c>
      <c r="I1391" s="1" t="n">
        <v>43729</v>
      </c>
      <c r="J1391" t="inlineStr">
        <is>
          <t>Copenhagen (Denmark) Europe</t>
        </is>
      </c>
      <c r="K1391" t="inlineStr">
        <is>
          <t>Copenhagen (Danemark) Europe</t>
        </is>
      </c>
      <c r="P1391" t="n">
        <v>2843.48</v>
      </c>
      <c r="Q1391" t="n">
        <v>142.06</v>
      </c>
      <c r="R1391" t="n">
        <v>453.47</v>
      </c>
      <c r="S1391" t="n">
        <v>713.46</v>
      </c>
      <c r="T1391" t="n">
        <v>8.5</v>
      </c>
      <c r="U1391" t="n">
        <v>4160.97</v>
      </c>
      <c r="X1391" t="inlineStr">
        <is>
          <t>aafc-aac</t>
        </is>
      </c>
      <c r="Y1391" t="inlineStr">
        <is>
          <t>Agriculture and Agri-Food Canada | Agriculture et Agroalimentaire Canada</t>
        </is>
      </c>
      <c r="Z1391" t="n">
        <v>5</v>
      </c>
      <c r="AA1391" t="n">
        <v>4160.97</v>
      </c>
      <c r="AB1391">
        <f>ROUND(U1391-AA1391,2)</f>
        <v/>
      </c>
      <c r="AC1391" t="b">
        <v>0</v>
      </c>
      <c r="AD1391">
        <f>IF(U1391="","MISSING_TOTAL",IF(ABS(AB1391)&lt;=0.01,"OK","CHECK"))</f>
        <v/>
      </c>
      <c r="AE1391">
        <f>IF(U1391="","MISSING",IF(AND(AA1391&gt;0,U1391/AA1391&gt;50),"POSSIBLE_SCALE_ERROR","OK"))</f>
        <v/>
      </c>
    </row>
    <row r="1392">
      <c r="A1392" t="inlineStr">
        <is>
          <t>T-2019-P7-0007</t>
        </is>
      </c>
      <c r="B1392" t="inlineStr">
        <is>
          <t>SLE</t>
        </is>
      </c>
      <c r="C1392" t="inlineStr">
        <is>
          <t>Assistant Deputy Minister, Market and Industry Services Branch</t>
        </is>
      </c>
      <c r="D1392" t="inlineStr">
        <is>
          <t>Sous-ministre adjoint, Direction générale des services à l'industrie et aux marchés</t>
        </is>
      </c>
      <c r="E1392" t="inlineStr">
        <is>
          <t>Frédéric Seppey</t>
        </is>
      </c>
      <c r="F1392" t="inlineStr">
        <is>
          <t>Attended the Quebec Regional Management Committee meeting.</t>
        </is>
      </c>
      <c r="G1392" t="inlineStr">
        <is>
          <t>Assister à la réunion du Comité de gestion régional du Québec</t>
        </is>
      </c>
      <c r="H1392" s="1" t="n">
        <v>43735</v>
      </c>
      <c r="I1392" s="1" t="n">
        <v>43735</v>
      </c>
      <c r="J1392" t="inlineStr">
        <is>
          <t>Montreal (Quebec) Canada</t>
        </is>
      </c>
      <c r="K1392" t="inlineStr">
        <is>
          <t>Montréal (Québec) Canada</t>
        </is>
      </c>
      <c r="P1392" t="n">
        <v>0</v>
      </c>
      <c r="Q1392" t="n">
        <v>178.15</v>
      </c>
      <c r="R1392" t="n">
        <v>0</v>
      </c>
      <c r="S1392" t="n">
        <v>91.25</v>
      </c>
      <c r="T1392" t="n">
        <v>0</v>
      </c>
      <c r="U1392" t="n">
        <v>269.4</v>
      </c>
      <c r="X1392" t="inlineStr">
        <is>
          <t>aafc-aac</t>
        </is>
      </c>
      <c r="Y1392" t="inlineStr">
        <is>
          <t>Agriculture and Agri-Food Canada | Agriculture et Agroalimentaire Canada</t>
        </is>
      </c>
      <c r="Z1392" t="n">
        <v>1</v>
      </c>
      <c r="AA1392" t="n">
        <v>269.4</v>
      </c>
      <c r="AB1392">
        <f>ROUND(U1392-AA1392,2)</f>
        <v/>
      </c>
      <c r="AC1392" t="b">
        <v>0</v>
      </c>
      <c r="AD1392">
        <f>IF(U1392="","MISSING_TOTAL",IF(ABS(AB1392)&lt;=0.01,"OK","CHECK"))</f>
        <v/>
      </c>
      <c r="AE1392">
        <f>IF(U1392="","MISSING",IF(AND(AA1392&gt;0,U1392/AA1392&gt;50),"POSSIBLE_SCALE_ERROR","OK"))</f>
        <v/>
      </c>
    </row>
    <row r="1393">
      <c r="A1393" t="inlineStr">
        <is>
          <t>T-2019-P7-0008</t>
        </is>
      </c>
      <c r="B1393" t="inlineStr">
        <is>
          <t>SLE</t>
        </is>
      </c>
      <c r="C1393" t="inlineStr">
        <is>
          <t>Associate Assistant Deputy Minister, Science and Technology Branch</t>
        </is>
      </c>
      <c r="D1393" t="inlineStr">
        <is>
          <t>Sous-ministre adjoint délégué, Direction générale des sciences et de la technologie</t>
        </is>
      </c>
      <c r="E1393" t="inlineStr">
        <is>
          <t>Gilles Saindon</t>
        </is>
      </c>
      <c r="F1393" t="inlineStr">
        <is>
          <t>Branch Executive Committee Face to Face and Outreach to the Lacombe Research and Development Centre, All-Staff meeting and meeting with Provincial Counterparts.</t>
        </is>
      </c>
      <c r="G1393" t="inlineStr">
        <is>
          <t>Assister à la réunion en personne du Comité exécutif de la Direction générale et visiter le Centre de recherche et de développement deLacombe. Assister à la  réunion de tout le personnel et à une réunions avec les homologues provinciaux.</t>
        </is>
      </c>
      <c r="H1393" s="1" t="n">
        <v>43719</v>
      </c>
      <c r="I1393" s="1" t="n">
        <v>43721</v>
      </c>
      <c r="J1393" t="inlineStr">
        <is>
          <t>Lacombe (Alberta) Canada</t>
        </is>
      </c>
      <c r="K1393" t="inlineStr">
        <is>
          <t>Lacombe (Alberta) Canada</t>
        </is>
      </c>
      <c r="P1393" t="n">
        <v>779.21</v>
      </c>
      <c r="Q1393" t="n">
        <v>72</v>
      </c>
      <c r="R1393" t="n">
        <v>276.86</v>
      </c>
      <c r="S1393" t="n">
        <v>284.65</v>
      </c>
      <c r="T1393" t="n">
        <v>0</v>
      </c>
      <c r="U1393" t="n">
        <v>1412.72</v>
      </c>
      <c r="X1393" t="inlineStr">
        <is>
          <t>aafc-aac</t>
        </is>
      </c>
      <c r="Y1393" t="inlineStr">
        <is>
          <t>Agriculture and Agri-Food Canada | Agriculture et Agroalimentaire Canada</t>
        </is>
      </c>
      <c r="Z1393" t="n">
        <v>3</v>
      </c>
      <c r="AA1393" t="n">
        <v>1412.72</v>
      </c>
      <c r="AB1393">
        <f>ROUND(U1393-AA1393,2)</f>
        <v/>
      </c>
      <c r="AC1393" t="b">
        <v>0</v>
      </c>
      <c r="AD1393">
        <f>IF(U1393="","MISSING_TOTAL",IF(ABS(AB1393)&lt;=0.01,"OK","CHECK"))</f>
        <v/>
      </c>
      <c r="AE1393">
        <f>IF(U1393="","MISSING",IF(AND(AA1393&gt;0,U1393/AA1393&gt;50),"POSSIBLE_SCALE_ERROR","OK"))</f>
        <v/>
      </c>
    </row>
    <row r="1394">
      <c r="A1394" t="inlineStr">
        <is>
          <t>T-2019-P7-0009</t>
        </is>
      </c>
      <c r="B1394" t="inlineStr">
        <is>
          <t>SLE</t>
        </is>
      </c>
      <c r="C1394" t="inlineStr">
        <is>
          <t>Associate Assistant Deputy Minister, Science and Technology Branch</t>
        </is>
      </c>
      <c r="D1394" t="inlineStr">
        <is>
          <t>Sous-ministre adjoint délégué, Direction générale des sciences et de la technologie</t>
        </is>
      </c>
      <c r="E1394" t="inlineStr">
        <is>
          <t>Gilles Saindon</t>
        </is>
      </c>
      <c r="F1394" t="inlineStr">
        <is>
          <t>Branch Executive Committee Face to Face and Outreach to the St-Hyacinthe Research and Development Centre, the Sherbrooke Research and Development Centre, All-Staff meeting and meeting with Provincial Counterparts.</t>
        </is>
      </c>
      <c r="G1394" t="inlineStr">
        <is>
          <t>Assister à la réunion en personne du Comité exécutif de la Direction générale et visiter le Centre de recherche et de développement de St-Hyacinthe et le Centre de recherche et de développement de Sherbrooke.  Assister à la  réunion de tout le personnel et à une réunions avec les homologues provinciaux.</t>
        </is>
      </c>
      <c r="H1394" s="1" t="n">
        <v>43746</v>
      </c>
      <c r="I1394" s="1" t="n">
        <v>43749</v>
      </c>
      <c r="J1394" t="inlineStr">
        <is>
          <t>St-Hyacinthe (Quebec) Canada;
Sherbrooke (Quebec) Canada</t>
        </is>
      </c>
      <c r="K1394" t="inlineStr">
        <is>
          <t>St-Hyacinthe (Québec) Canada;
Sherbrooke (Québec) Canada</t>
        </is>
      </c>
      <c r="P1394" t="n">
        <v>0</v>
      </c>
      <c r="Q1394" t="n">
        <v>188.28</v>
      </c>
      <c r="R1394" t="n">
        <v>333.21</v>
      </c>
      <c r="S1394" t="n">
        <v>244.75</v>
      </c>
      <c r="T1394" t="n">
        <v>0</v>
      </c>
      <c r="U1394" t="n">
        <v>766.24</v>
      </c>
      <c r="X1394" t="inlineStr">
        <is>
          <t>aafc-aac</t>
        </is>
      </c>
      <c r="Y1394" t="inlineStr">
        <is>
          <t>Agriculture and Agri-Food Canada | Agriculture et Agroalimentaire Canada</t>
        </is>
      </c>
      <c r="Z1394" t="n">
        <v>4</v>
      </c>
      <c r="AA1394" t="n">
        <v>766.24</v>
      </c>
      <c r="AB1394">
        <f>ROUND(U1394-AA1394,2)</f>
        <v/>
      </c>
      <c r="AC1394" t="b">
        <v>0</v>
      </c>
      <c r="AD1394">
        <f>IF(U1394="","MISSING_TOTAL",IF(ABS(AB1394)&lt;=0.01,"OK","CHECK"))</f>
        <v/>
      </c>
      <c r="AE1394">
        <f>IF(U1394="","MISSING",IF(AND(AA1394&gt;0,U1394/AA1394&gt;50),"POSSIBLE_SCALE_ERROR","OK"))</f>
        <v/>
      </c>
    </row>
    <row r="1395">
      <c r="A1395" t="inlineStr">
        <is>
          <t>T-2019-P7-0010</t>
        </is>
      </c>
      <c r="B1395" t="inlineStr">
        <is>
          <t>SLE</t>
        </is>
      </c>
      <c r="C1395" t="inlineStr">
        <is>
          <t>Director General, Office of Audit and Evaluation</t>
        </is>
      </c>
      <c r="D1395" t="inlineStr">
        <is>
          <t>Directrice générale, Bureau de la vérification et de l'évaluation</t>
        </is>
      </c>
      <c r="E1395" t="inlineStr">
        <is>
          <t>Kimberly Saunders</t>
        </is>
      </c>
      <c r="F1395" t="inlineStr">
        <is>
          <t>Attend Institute of Internal Auditors Conference</t>
        </is>
      </c>
      <c r="G1395" t="inlineStr">
        <is>
          <t>Participer à la conférence de l'Institut des vérificateurs internes</t>
        </is>
      </c>
      <c r="H1395" s="1" t="n">
        <v>43721</v>
      </c>
      <c r="I1395" s="1" t="n">
        <v>43726</v>
      </c>
      <c r="J1395" t="inlineStr">
        <is>
          <t>Toronto (Ontario) Canada</t>
        </is>
      </c>
      <c r="K1395" t="inlineStr">
        <is>
          <t>Toronto (Ontario) Canada</t>
        </is>
      </c>
      <c r="P1395" t="n">
        <v>0</v>
      </c>
      <c r="Q1395" t="n">
        <v>261.15</v>
      </c>
      <c r="R1395" t="n">
        <v>652.23</v>
      </c>
      <c r="S1395" t="n">
        <v>211.1</v>
      </c>
      <c r="T1395" t="n">
        <v>2310.85</v>
      </c>
      <c r="U1395" t="n">
        <v>3435.33</v>
      </c>
      <c r="V1395" t="inlineStr">
        <is>
          <t>Other expenses: Conference fee</t>
        </is>
      </c>
      <c r="W1395" t="inlineStr">
        <is>
          <t>Autres dépenses: frais d'inscription à la  conférence</t>
        </is>
      </c>
      <c r="X1395" t="inlineStr">
        <is>
          <t>aafc-aac</t>
        </is>
      </c>
      <c r="Y1395" t="inlineStr">
        <is>
          <t>Agriculture and Agri-Food Canada | Agriculture et Agroalimentaire Canada</t>
        </is>
      </c>
      <c r="Z1395" t="n">
        <v>6</v>
      </c>
      <c r="AA1395" t="n">
        <v>3435.33</v>
      </c>
      <c r="AB1395">
        <f>ROUND(U1395-AA1395,2)</f>
        <v/>
      </c>
      <c r="AC1395" t="b">
        <v>0</v>
      </c>
      <c r="AD1395">
        <f>IF(U1395="","MISSING_TOTAL",IF(ABS(AB1395)&lt;=0.01,"OK","CHECK"))</f>
        <v/>
      </c>
      <c r="AE1395">
        <f>IF(U1395="","MISSING",IF(AND(AA1395&gt;0,U1395/AA1395&gt;50),"POSSIBLE_SCALE_ERROR","OK"))</f>
        <v/>
      </c>
    </row>
    <row r="1396">
      <c r="A1396" t="inlineStr">
        <is>
          <t>T-2019-P7-0011</t>
        </is>
      </c>
      <c r="B1396" t="inlineStr">
        <is>
          <t>SLE</t>
        </is>
      </c>
      <c r="C1396" t="inlineStr">
        <is>
          <t>Director General, Office of Audit and Evaluation</t>
        </is>
      </c>
      <c r="D1396" t="inlineStr">
        <is>
          <t>Directrice générale, Bureau de la vérification et de l'évaluation</t>
        </is>
      </c>
      <c r="E1396" t="inlineStr">
        <is>
          <t>Kimberly Saunders</t>
        </is>
      </c>
      <c r="F1396" t="inlineStr">
        <is>
          <t>Participate in the Departmental Audit Committee Meeting and Site Visit</t>
        </is>
      </c>
      <c r="G1396" t="inlineStr">
        <is>
          <t>Particper à la réunion du Comité ministériel de vérification et à une visite de site.</t>
        </is>
      </c>
      <c r="H1396" s="1" t="n">
        <v>43740</v>
      </c>
      <c r="I1396" s="1" t="n">
        <v>43742</v>
      </c>
      <c r="J1396" t="inlineStr">
        <is>
          <t>Saskatoon (Saskatchewan) Canada</t>
        </is>
      </c>
      <c r="K1396" t="inlineStr">
        <is>
          <t>Saskatoon (Saskatchewan) Canada</t>
        </is>
      </c>
      <c r="P1396" t="n">
        <v>927.63</v>
      </c>
      <c r="Q1396" t="n">
        <v>80</v>
      </c>
      <c r="R1396" t="n">
        <v>326.98</v>
      </c>
      <c r="S1396" t="n">
        <v>326.4</v>
      </c>
      <c r="T1396" t="n">
        <v>0</v>
      </c>
      <c r="U1396" t="n">
        <v>1661.01</v>
      </c>
      <c r="X1396" t="inlineStr">
        <is>
          <t>aafc-aac</t>
        </is>
      </c>
      <c r="Y1396" t="inlineStr">
        <is>
          <t>Agriculture and Agri-Food Canada | Agriculture et Agroalimentaire Canada</t>
        </is>
      </c>
      <c r="Z1396" t="n">
        <v>3</v>
      </c>
      <c r="AA1396" t="n">
        <v>1661.01</v>
      </c>
      <c r="AB1396">
        <f>ROUND(U1396-AA1396,2)</f>
        <v/>
      </c>
      <c r="AC1396" t="b">
        <v>0</v>
      </c>
      <c r="AD1396">
        <f>IF(U1396="","MISSING_TOTAL",IF(ABS(AB1396)&lt;=0.01,"OK","CHECK"))</f>
        <v/>
      </c>
      <c r="AE1396">
        <f>IF(U1396="","MISSING",IF(AND(AA1396&gt;0,U1396/AA1396&gt;50),"POSSIBLE_SCALE_ERROR","OK"))</f>
        <v/>
      </c>
    </row>
    <row r="1397">
      <c r="A1397" t="inlineStr">
        <is>
          <t>T-2019-P7-0012</t>
        </is>
      </c>
      <c r="B1397" t="inlineStr">
        <is>
          <t>SLE</t>
        </is>
      </c>
      <c r="C1397" t="inlineStr">
        <is>
          <t>Chief Information Officer, Information Systems Branch</t>
        </is>
      </c>
      <c r="D1397" t="inlineStr">
        <is>
          <t>Dirigeant principal de l'information, Direction générale des systèmes d'information</t>
        </is>
      </c>
      <c r="E1397" t="inlineStr">
        <is>
          <t>Michel Lessard</t>
        </is>
      </c>
      <c r="F1397" t="inlineStr">
        <is>
          <t>Attended the Canarie Summit 2019</t>
        </is>
      </c>
      <c r="G1397" t="inlineStr">
        <is>
          <t>Assister au Sommet Canarie 2019</t>
        </is>
      </c>
      <c r="H1397" s="1" t="n">
        <v>43738</v>
      </c>
      <c r="I1397" s="1" t="n">
        <v>43740</v>
      </c>
      <c r="J1397" t="inlineStr">
        <is>
          <t>Montreal (Quebec) Canada</t>
        </is>
      </c>
      <c r="K1397" t="inlineStr">
        <is>
          <t>Montréal (Québec) Canada</t>
        </is>
      </c>
      <c r="P1397" t="n">
        <v>0</v>
      </c>
      <c r="Q1397" t="n">
        <v>271.16</v>
      </c>
      <c r="R1397" t="n">
        <v>568.8200000000001</v>
      </c>
      <c r="S1397" t="n">
        <v>51.9</v>
      </c>
      <c r="T1397" t="n">
        <v>516.24</v>
      </c>
      <c r="U1397" t="n">
        <v>1408.12</v>
      </c>
      <c r="V1397" t="inlineStr">
        <is>
          <t>Other expenses: Conference fee</t>
        </is>
      </c>
      <c r="W1397" t="inlineStr">
        <is>
          <t>Autres dépenses: frais d'inscription à la  Conférence</t>
        </is>
      </c>
      <c r="X1397" t="inlineStr">
        <is>
          <t>aafc-aac</t>
        </is>
      </c>
      <c r="Y1397" t="inlineStr">
        <is>
          <t>Agriculture and Agri-Food Canada | Agriculture et Agroalimentaire Canada</t>
        </is>
      </c>
      <c r="Z1397" t="n">
        <v>3</v>
      </c>
      <c r="AA1397" t="n">
        <v>1408.12</v>
      </c>
      <c r="AB1397">
        <f>ROUND(U1397-AA1397,2)</f>
        <v/>
      </c>
      <c r="AC1397" t="b">
        <v>0</v>
      </c>
      <c r="AD1397">
        <f>IF(U1397="","MISSING_TOTAL",IF(ABS(AB1397)&lt;=0.01,"OK","CHECK"))</f>
        <v/>
      </c>
      <c r="AE1397">
        <f>IF(U1397="","MISSING",IF(AND(AA1397&gt;0,U1397/AA1397&gt;50),"POSSIBLE_SCALE_ERROR","OK"))</f>
        <v/>
      </c>
    </row>
    <row r="1398">
      <c r="A1398" t="inlineStr">
        <is>
          <t>T-2019-P7-0013</t>
        </is>
      </c>
      <c r="B1398" t="inlineStr">
        <is>
          <t>SLE</t>
        </is>
      </c>
      <c r="C1398" t="inlineStr">
        <is>
          <t>Chief Information Officer, Information Systems Branch</t>
        </is>
      </c>
      <c r="D1398" t="inlineStr">
        <is>
          <t>Dirigeant principal de l'information, Direction générale des systèmes d'information</t>
        </is>
      </c>
      <c r="E1398" t="inlineStr">
        <is>
          <t>Michel Lessard</t>
        </is>
      </c>
      <c r="F1398" t="inlineStr">
        <is>
          <t>To visit regional staff and attend meetings and to participate a conference of Chief Information Officer Strategy</t>
        </is>
      </c>
      <c r="G1398" t="inlineStr">
        <is>
          <t>Rendre visite aux employés de la région et participer à des réunions et à une conférence sur la stratégie du dirigeant principal de l'information</t>
        </is>
      </c>
      <c r="H1398" s="1" t="n">
        <v>43731</v>
      </c>
      <c r="I1398" s="1" t="n">
        <v>43735</v>
      </c>
      <c r="J1398" t="inlineStr">
        <is>
          <t>Winnipeg (Manitoba) Canada</t>
        </is>
      </c>
      <c r="K1398" t="inlineStr">
        <is>
          <t>Winnipeg (Manitoba) Canada</t>
        </is>
      </c>
      <c r="P1398" t="n">
        <v>719.47</v>
      </c>
      <c r="Q1398" t="n">
        <v>411.77</v>
      </c>
      <c r="R1398" t="n">
        <v>581.5599999999999</v>
      </c>
      <c r="S1398" t="n">
        <v>298.75</v>
      </c>
      <c r="U1398" t="n">
        <v>2011.55</v>
      </c>
      <c r="X1398" t="inlineStr">
        <is>
          <t>aafc-aac</t>
        </is>
      </c>
      <c r="Y1398" t="inlineStr">
        <is>
          <t>Agriculture and Agri-Food Canada | Agriculture et Agroalimentaire Canada</t>
        </is>
      </c>
      <c r="Z1398" t="n">
        <v>5</v>
      </c>
      <c r="AA1398" t="n">
        <v>2011.55</v>
      </c>
      <c r="AB1398">
        <f>ROUND(U1398-AA1398,2)</f>
        <v/>
      </c>
      <c r="AC1398" t="b">
        <v>0</v>
      </c>
      <c r="AD1398">
        <f>IF(U1398="","MISSING_TOTAL",IF(ABS(AB1398)&lt;=0.01,"OK","CHECK"))</f>
        <v/>
      </c>
      <c r="AE1398">
        <f>IF(U1398="","MISSING",IF(AND(AA1398&gt;0,U1398/AA1398&gt;50),"POSSIBLE_SCALE_ERROR","OK"))</f>
        <v/>
      </c>
    </row>
    <row r="1399">
      <c r="A1399" t="inlineStr">
        <is>
          <t>T-2019-P7-0014</t>
        </is>
      </c>
      <c r="B1399" t="inlineStr">
        <is>
          <t>SLE</t>
        </is>
      </c>
      <c r="C1399" t="inlineStr">
        <is>
          <t>Assistant Deputy Minister, Programs Branch</t>
        </is>
      </c>
      <c r="D1399" t="inlineStr">
        <is>
          <t>Sous-ministre adjoint, Direction générale des programmes</t>
        </is>
      </c>
      <c r="E1399" t="inlineStr">
        <is>
          <t>Paul Samson</t>
        </is>
      </c>
      <c r="F1399" t="inlineStr">
        <is>
          <t>Visiting Farm Income Programs Directorate</t>
        </is>
      </c>
      <c r="G1399" t="inlineStr">
        <is>
          <t>Visiter  la Direction des programmes du revenu agricole</t>
        </is>
      </c>
      <c r="H1399" s="1" t="n">
        <v>43721</v>
      </c>
      <c r="I1399" s="1" t="n">
        <v>43721</v>
      </c>
      <c r="J1399" t="inlineStr">
        <is>
          <t>Winnipeg (Manitoba) Canada</t>
        </is>
      </c>
      <c r="K1399" t="inlineStr">
        <is>
          <t>Winnipeg (Manitoba) Canada</t>
        </is>
      </c>
      <c r="P1399" t="n">
        <v>817.14</v>
      </c>
      <c r="Q1399" t="n">
        <v>97.72</v>
      </c>
      <c r="R1399" t="n">
        <v>0</v>
      </c>
      <c r="S1399" t="n">
        <v>20.1</v>
      </c>
      <c r="T1399" t="n">
        <v>0</v>
      </c>
      <c r="U1399" t="n">
        <v>934.96</v>
      </c>
      <c r="V1399" t="inlineStr">
        <is>
          <t>Airfare credit was used to partially pay for the flight.</t>
        </is>
      </c>
      <c r="W1399" t="inlineStr">
        <is>
          <t>Un crédit de billet d'avion a été utilisé pour payer une partie du vol.</t>
        </is>
      </c>
      <c r="X1399" t="inlineStr">
        <is>
          <t>aafc-aac</t>
        </is>
      </c>
      <c r="Y1399" t="inlineStr">
        <is>
          <t>Agriculture and Agri-Food Canada | Agriculture et Agroalimentaire Canada</t>
        </is>
      </c>
      <c r="Z1399" t="n">
        <v>1</v>
      </c>
      <c r="AA1399" t="n">
        <v>934.96</v>
      </c>
      <c r="AB1399">
        <f>ROUND(U1399-AA1399,2)</f>
        <v/>
      </c>
      <c r="AC1399" t="b">
        <v>0</v>
      </c>
      <c r="AD1399">
        <f>IF(U1399="","MISSING_TOTAL",IF(ABS(AB1399)&lt;=0.01,"OK","CHECK"))</f>
        <v/>
      </c>
      <c r="AE1399">
        <f>IF(U1399="","MISSING",IF(AND(AA1399&gt;0,U1399/AA1399&gt;50),"POSSIBLE_SCALE_ERROR","OK"))</f>
        <v/>
      </c>
    </row>
    <row r="1400">
      <c r="A1400" t="inlineStr">
        <is>
          <t>T-2019-P7-0015</t>
        </is>
      </c>
      <c r="B1400" t="inlineStr">
        <is>
          <t>SLE</t>
        </is>
      </c>
      <c r="C1400" t="inlineStr">
        <is>
          <t>Assistant Deputy Minister, Strategic Policy Branch</t>
        </is>
      </c>
      <c r="D1400" t="inlineStr">
        <is>
          <t>Sous-ministre adjoint, Direction générale des politiques stratégiques</t>
        </is>
      </c>
      <c r="E1400" t="inlineStr">
        <is>
          <t>Tom Rosser</t>
        </is>
      </c>
      <c r="F1400" t="inlineStr">
        <is>
          <t>Attend a Food for Health Policy Workshop.</t>
        </is>
      </c>
      <c r="G1400" t="inlineStr">
        <is>
          <t>Participer  à un atelier stratégique sur la santé par l'alimentation</t>
        </is>
      </c>
      <c r="H1400" s="1" t="n">
        <v>43713</v>
      </c>
      <c r="I1400" s="1" t="n">
        <v>43714</v>
      </c>
      <c r="J1400" t="inlineStr">
        <is>
          <t>Montreal (Quebec) Canada</t>
        </is>
      </c>
      <c r="K1400" t="inlineStr">
        <is>
          <t>Montréal (Québec) Canada</t>
        </is>
      </c>
      <c r="Q1400" t="n">
        <v>379.48</v>
      </c>
      <c r="R1400" t="n">
        <v>332.01</v>
      </c>
      <c r="S1400" t="n">
        <v>54.7</v>
      </c>
      <c r="U1400" t="n">
        <v>766.1900000000001</v>
      </c>
      <c r="X1400" t="inlineStr">
        <is>
          <t>aafc-aac</t>
        </is>
      </c>
      <c r="Y1400" t="inlineStr">
        <is>
          <t>Agriculture and Agri-Food Canada | Agriculture et Agroalimentaire Canada</t>
        </is>
      </c>
      <c r="Z1400" t="n">
        <v>2</v>
      </c>
      <c r="AA1400" t="n">
        <v>766.1900000000001</v>
      </c>
      <c r="AB1400">
        <f>ROUND(U1400-AA1400,2)</f>
        <v/>
      </c>
      <c r="AC1400" t="b">
        <v>0</v>
      </c>
      <c r="AD1400">
        <f>IF(U1400="","MISSING_TOTAL",IF(ABS(AB1400)&lt;=0.01,"OK","CHECK"))</f>
        <v/>
      </c>
      <c r="AE1400">
        <f>IF(U1400="","MISSING",IF(AND(AA1400&gt;0,U1400/AA1400&gt;50),"POSSIBLE_SCALE_ERROR","OK"))</f>
        <v/>
      </c>
    </row>
    <row r="1401">
      <c r="A1401" t="inlineStr">
        <is>
          <t>T-2019-P7-0016</t>
        </is>
      </c>
      <c r="B1401" t="inlineStr">
        <is>
          <t>SLE</t>
        </is>
      </c>
      <c r="C1401" t="inlineStr">
        <is>
          <t>Assistant Deputy Minister, Strategic Policy Branch</t>
        </is>
      </c>
      <c r="D1401" t="inlineStr">
        <is>
          <t>Sous-ministre adjoint, Direction générale des politiques stratégiques</t>
        </is>
      </c>
      <c r="E1401" t="inlineStr">
        <is>
          <t>Tom Rosser</t>
        </is>
      </c>
      <c r="F1401" t="inlineStr">
        <is>
          <t>Participated in the Fall 2019 Grain Monitoring Program.</t>
        </is>
      </c>
      <c r="G1401" t="inlineStr">
        <is>
          <t>Participer au programme de surveillance des grains de l'automne 2019.</t>
        </is>
      </c>
      <c r="H1401" s="1" t="n">
        <v>43730</v>
      </c>
      <c r="I1401" s="1" t="n">
        <v>43734</v>
      </c>
      <c r="J1401" t="inlineStr">
        <is>
          <t>Vancouver (British Columbia) Canada; Prince Rupert (British Columbia) Canada</t>
        </is>
      </c>
      <c r="K1401" t="inlineStr">
        <is>
          <t>Vancouver (Colombie-Britannique) Canada; Prince Rupert (Colombie-Britannique) Canada</t>
        </is>
      </c>
      <c r="P1401" t="n">
        <v>106.5</v>
      </c>
      <c r="Q1401" t="n">
        <v>142.95</v>
      </c>
      <c r="R1401" t="n">
        <v>800.77</v>
      </c>
      <c r="S1401" t="n">
        <v>502.15</v>
      </c>
      <c r="U1401" t="n">
        <v>1552.37</v>
      </c>
      <c r="V1401" t="inlineStr">
        <is>
          <t>Airfare credit was used to pay for the flight.</t>
        </is>
      </c>
      <c r="W1401" t="inlineStr">
        <is>
          <t>Un crédit de billet d'avion a été utilisé pour payer le vol.</t>
        </is>
      </c>
      <c r="X1401" t="inlineStr">
        <is>
          <t>aafc-aac</t>
        </is>
      </c>
      <c r="Y1401" t="inlineStr">
        <is>
          <t>Agriculture and Agri-Food Canada | Agriculture et Agroalimentaire Canada</t>
        </is>
      </c>
      <c r="Z1401" t="n">
        <v>5</v>
      </c>
      <c r="AA1401" t="n">
        <v>1552.37</v>
      </c>
      <c r="AB1401">
        <f>ROUND(U1401-AA1401,2)</f>
        <v/>
      </c>
      <c r="AC1401" t="b">
        <v>0</v>
      </c>
      <c r="AD1401">
        <f>IF(U1401="","MISSING_TOTAL",IF(ABS(AB1401)&lt;=0.01,"OK","CHECK"))</f>
        <v/>
      </c>
      <c r="AE1401">
        <f>IF(U1401="","MISSING",IF(AND(AA1401&gt;0,U1401/AA1401&gt;50),"POSSIBLE_SCALE_ERROR","OK"))</f>
        <v/>
      </c>
    </row>
    <row r="1402">
      <c r="A1402" t="inlineStr">
        <is>
          <t>T-2019-P7-0017</t>
        </is>
      </c>
      <c r="B1402" t="inlineStr">
        <is>
          <t>SLE</t>
        </is>
      </c>
      <c r="C1402" t="inlineStr">
        <is>
          <t>Assistant Deputy Minister, Strategic Policy Branch</t>
        </is>
      </c>
      <c r="D1402" t="inlineStr">
        <is>
          <t>Sous-ministre adjoint, Direction générale des politiques stratégiques</t>
        </is>
      </c>
      <c r="E1402" t="inlineStr">
        <is>
          <t>Tom Rosser</t>
        </is>
      </c>
      <c r="F1402" t="inlineStr">
        <is>
          <t>Meeting with staff located in Winnipeg. Attend a meeting with the Canadian Grain Commission.</t>
        </is>
      </c>
      <c r="G1402" t="inlineStr">
        <is>
          <t>Rencontrer les employés de Winnipeg. Participer à une réunion avec la Commission canadienne des grains.</t>
        </is>
      </c>
      <c r="H1402" s="1" t="n">
        <v>43747</v>
      </c>
      <c r="I1402" s="1" t="n">
        <v>43749</v>
      </c>
      <c r="J1402" t="inlineStr">
        <is>
          <t>Winnipeg (Manitoba) Canada</t>
        </is>
      </c>
      <c r="K1402" t="inlineStr">
        <is>
          <t>Winnipeg (Manitoba) Canada</t>
        </is>
      </c>
      <c r="P1402" t="n">
        <v>1617.69</v>
      </c>
      <c r="Q1402" t="n">
        <v>144.65</v>
      </c>
      <c r="R1402" t="n">
        <v>146.56</v>
      </c>
      <c r="S1402" t="n">
        <v>176.65</v>
      </c>
      <c r="U1402" t="n">
        <v>2085.55</v>
      </c>
      <c r="X1402" t="inlineStr">
        <is>
          <t>aafc-aac</t>
        </is>
      </c>
      <c r="Y1402" t="inlineStr">
        <is>
          <t>Agriculture and Agri-Food Canada | Agriculture et Agroalimentaire Canada</t>
        </is>
      </c>
      <c r="Z1402" t="n">
        <v>3</v>
      </c>
      <c r="AA1402" t="n">
        <v>2085.55</v>
      </c>
      <c r="AB1402">
        <f>ROUND(U1402-AA1402,2)</f>
        <v/>
      </c>
      <c r="AC1402" t="b">
        <v>0</v>
      </c>
      <c r="AD1402">
        <f>IF(U1402="","MISSING_TOTAL",IF(ABS(AB1402)&lt;=0.01,"OK","CHECK"))</f>
        <v/>
      </c>
      <c r="AE1402">
        <f>IF(U1402="","MISSING",IF(AND(AA1402&gt;0,U1402/AA1402&gt;50),"POSSIBLE_SCALE_ERROR","OK"))</f>
        <v/>
      </c>
    </row>
    <row r="1403">
      <c r="A1403" t="inlineStr">
        <is>
          <t>T-2019-P8-0001</t>
        </is>
      </c>
      <c r="B1403" t="inlineStr">
        <is>
          <t>MPSES</t>
        </is>
      </c>
      <c r="C1403" t="inlineStr">
        <is>
          <t>Driver</t>
        </is>
      </c>
      <c r="D1403" t="inlineStr">
        <is>
          <t>Chauffeur</t>
        </is>
      </c>
      <c r="E1403" t="inlineStr">
        <is>
          <t>Michel Gendreau</t>
        </is>
      </c>
      <c r="F1403" t="inlineStr">
        <is>
          <t>Drive the Minister to her riding from Ottawa</t>
        </is>
      </c>
      <c r="G1403" t="inlineStr">
        <is>
          <t>Conduire la ministre d'Ottawa à sa circonscription.</t>
        </is>
      </c>
      <c r="H1403" s="1" t="n">
        <v>43775</v>
      </c>
      <c r="I1403" s="1" t="n">
        <v>43777</v>
      </c>
      <c r="J1403" t="inlineStr">
        <is>
          <t>Sherbrooke (Quebec) Canada</t>
        </is>
      </c>
      <c r="K1403" t="inlineStr">
        <is>
          <t>Sherbrooke (Québec) Canada</t>
        </is>
      </c>
      <c r="P1403" t="n">
        <v>0</v>
      </c>
      <c r="Q1403" t="n">
        <v>12.4</v>
      </c>
      <c r="R1403" t="n">
        <v>149.22</v>
      </c>
      <c r="S1403" t="n">
        <v>105.5</v>
      </c>
      <c r="T1403" t="n">
        <v>0</v>
      </c>
      <c r="U1403" t="n">
        <v>267.12</v>
      </c>
      <c r="X1403" t="inlineStr">
        <is>
          <t>aafc-aac</t>
        </is>
      </c>
      <c r="Y1403" t="inlineStr">
        <is>
          <t>Agriculture and Agri-Food Canada | Agriculture et Agroalimentaire Canada</t>
        </is>
      </c>
      <c r="Z1403" t="n">
        <v>3</v>
      </c>
      <c r="AA1403" t="n">
        <v>267.12</v>
      </c>
      <c r="AB1403">
        <f>ROUND(U1403-AA1403,2)</f>
        <v/>
      </c>
      <c r="AC1403" t="b">
        <v>0</v>
      </c>
      <c r="AD1403">
        <f>IF(U1403="","MISSING_TOTAL",IF(ABS(AB1403)&lt;=0.01,"OK","CHECK"))</f>
        <v/>
      </c>
      <c r="AE1403">
        <f>IF(U1403="","MISSING",IF(AND(AA1403&gt;0,U1403/AA1403&gt;50),"POSSIBLE_SCALE_ERROR","OK"))</f>
        <v/>
      </c>
    </row>
    <row r="1404">
      <c r="A1404" t="inlineStr">
        <is>
          <t>T-2019-P8-0002</t>
        </is>
      </c>
      <c r="B1404" t="inlineStr">
        <is>
          <t>MPSES</t>
        </is>
      </c>
      <c r="C1404" t="inlineStr">
        <is>
          <t>Driver</t>
        </is>
      </c>
      <c r="D1404" t="inlineStr">
        <is>
          <t>Chauffeur</t>
        </is>
      </c>
      <c r="E1404" t="inlineStr">
        <is>
          <t>Michel Gendreau</t>
        </is>
      </c>
      <c r="F1404" t="inlineStr">
        <is>
          <t>Pick up the Minister from her riding  to bring to Ottawa and return in the evening</t>
        </is>
      </c>
      <c r="G1404" t="inlineStr">
        <is>
          <t>Conduire la ministre de sa circonscription à Ottawa et la reconduire en soirée.</t>
        </is>
      </c>
      <c r="H1404" s="1" t="n">
        <v>43781</v>
      </c>
      <c r="I1404" s="1" t="n">
        <v>43782</v>
      </c>
      <c r="J1404" t="inlineStr">
        <is>
          <t>Sherbrooke (Quebec) Canada; 
Ottawa (Ontario) Canada</t>
        </is>
      </c>
      <c r="K1404" t="inlineStr">
        <is>
          <t>Sherbrooke (Québec) Canada; 
Ottawa (Ontario) Canada</t>
        </is>
      </c>
      <c r="P1404" t="n">
        <v>0</v>
      </c>
      <c r="Q1404" t="n">
        <v>12.4</v>
      </c>
      <c r="R1404" t="n">
        <v>135.65</v>
      </c>
      <c r="S1404" t="n">
        <v>176.65</v>
      </c>
      <c r="T1404" t="n">
        <v>0</v>
      </c>
      <c r="U1404" t="n">
        <v>324.7</v>
      </c>
      <c r="X1404" t="inlineStr">
        <is>
          <t>aafc-aac</t>
        </is>
      </c>
      <c r="Y1404" t="inlineStr">
        <is>
          <t>Agriculture and Agri-Food Canada | Agriculture et Agroalimentaire Canada</t>
        </is>
      </c>
      <c r="Z1404" t="n">
        <v>2</v>
      </c>
      <c r="AA1404" t="n">
        <v>324.7</v>
      </c>
      <c r="AB1404">
        <f>ROUND(U1404-AA1404,2)</f>
        <v/>
      </c>
      <c r="AC1404" t="b">
        <v>0</v>
      </c>
      <c r="AD1404">
        <f>IF(U1404="","MISSING_TOTAL",IF(ABS(AB1404)&lt;=0.01,"OK","CHECK"))</f>
        <v/>
      </c>
      <c r="AE1404">
        <f>IF(U1404="","MISSING",IF(AND(AA1404&gt;0,U1404/AA1404&gt;50),"POSSIBLE_SCALE_ERROR","OK"))</f>
        <v/>
      </c>
    </row>
    <row r="1405">
      <c r="A1405" t="inlineStr">
        <is>
          <t>T-2019-P8-0003</t>
        </is>
      </c>
      <c r="B1405" t="inlineStr">
        <is>
          <t>SLE</t>
        </is>
      </c>
      <c r="C1405" t="inlineStr">
        <is>
          <t>Associate Deputy Minister</t>
        </is>
      </c>
      <c r="D1405" t="inlineStr">
        <is>
          <t>Sous-ministre déléguée</t>
        </is>
      </c>
      <c r="E1405" t="inlineStr">
        <is>
          <t>Annette Gibbons</t>
        </is>
      </c>
      <c r="F1405" t="inlineStr">
        <is>
          <t>Attend meetings of Tri-National Conference and attend Outreach</t>
        </is>
      </c>
      <c r="G1405" t="inlineStr">
        <is>
          <t>Assister aux réunions de la conférence trinationale et à une campagne de sensibilisation.</t>
        </is>
      </c>
      <c r="H1405" s="1" t="n">
        <v>43781</v>
      </c>
      <c r="I1405" s="1" t="n">
        <v>43783</v>
      </c>
      <c r="J1405" t="inlineStr">
        <is>
          <t>Winnipeg (Manitoba) Canada</t>
        </is>
      </c>
      <c r="K1405" t="inlineStr">
        <is>
          <t>Winnipeg (Manitoba) Canada</t>
        </is>
      </c>
      <c r="P1405" t="n">
        <v>989.46</v>
      </c>
      <c r="Q1405" t="n">
        <v>52.46</v>
      </c>
      <c r="R1405" t="n">
        <v>302.5</v>
      </c>
      <c r="S1405" t="n">
        <v>162.65</v>
      </c>
      <c r="T1405" t="n">
        <v>450</v>
      </c>
      <c r="U1405" t="n">
        <v>1957.07</v>
      </c>
      <c r="V1405" t="inlineStr">
        <is>
          <t>Other expenses: Conference fee</t>
        </is>
      </c>
      <c r="W1405" t="inlineStr">
        <is>
          <t>Autres dépenses : frais d'inscription à la conférence</t>
        </is>
      </c>
      <c r="X1405" t="inlineStr">
        <is>
          <t>aafc-aac</t>
        </is>
      </c>
      <c r="Y1405" t="inlineStr">
        <is>
          <t>Agriculture and Agri-Food Canada | Agriculture et Agroalimentaire Canada</t>
        </is>
      </c>
      <c r="Z1405" t="n">
        <v>3</v>
      </c>
      <c r="AA1405" t="n">
        <v>1957.07</v>
      </c>
      <c r="AB1405">
        <f>ROUND(U1405-AA1405,2)</f>
        <v/>
      </c>
      <c r="AC1405" t="b">
        <v>0</v>
      </c>
      <c r="AD1405">
        <f>IF(U1405="","MISSING_TOTAL",IF(ABS(AB1405)&lt;=0.01,"OK","CHECK"))</f>
        <v/>
      </c>
      <c r="AE1405">
        <f>IF(U1405="","MISSING",IF(AND(AA1405&gt;0,U1405/AA1405&gt;50),"POSSIBLE_SCALE_ERROR","OK"))</f>
        <v/>
      </c>
    </row>
    <row r="1406">
      <c r="A1406" t="inlineStr">
        <is>
          <t>T-2019-P8-0004</t>
        </is>
      </c>
      <c r="B1406" t="inlineStr">
        <is>
          <t>SLE</t>
        </is>
      </c>
      <c r="C1406" t="inlineStr">
        <is>
          <t>Deputy Minister</t>
        </is>
      </c>
      <c r="D1406" t="inlineStr">
        <is>
          <t>Sous-ministre</t>
        </is>
      </c>
      <c r="E1406" t="inlineStr">
        <is>
          <t>Chris Forbes</t>
        </is>
      </c>
      <c r="F1406" t="inlineStr">
        <is>
          <t>Attend the Ivey Academy’s Senior Public Sector Leaders Program. Attend an outreach at the Harrow Research and Development Centre.</t>
        </is>
      </c>
      <c r="G1406" t="inlineStr">
        <is>
          <t>Participer au programme de l'Ivey Academy à l'intention des hauts dirigeants du secteur public. Visiter le Centre de recherche et de développement de Harrow.</t>
        </is>
      </c>
      <c r="H1406" s="1" t="n">
        <v>43719</v>
      </c>
      <c r="I1406" s="1" t="n">
        <v>43720</v>
      </c>
      <c r="J1406" t="inlineStr">
        <is>
          <t>Toronto (Ontario) Canada;
Harrow (Ontario) Canada;
Windsor (Ontario) Canada</t>
        </is>
      </c>
      <c r="K1406" t="inlineStr">
        <is>
          <t>Toronto (Ontario) Canada;
Harrow (Ontario) Canada;
Windsor (Ontario) Canada</t>
        </is>
      </c>
      <c r="P1406" t="n">
        <v>1125.92</v>
      </c>
      <c r="Q1406" t="n">
        <v>137.98</v>
      </c>
      <c r="R1406" t="n">
        <v>0</v>
      </c>
      <c r="S1406" t="n">
        <v>40.6</v>
      </c>
      <c r="T1406" t="n">
        <v>0</v>
      </c>
      <c r="U1406" t="n">
        <v>1304.5</v>
      </c>
      <c r="V1406" t="inlineStr">
        <is>
          <t>Lodging was provided free of charge by the Ivey Leadership Centre who organized the event</t>
        </is>
      </c>
      <c r="W1406" t="inlineStr">
        <is>
          <t>L'hébergement a été fourni gratuitement par l'Ivey Leadership Centre qui a organisé l'événement.</t>
        </is>
      </c>
      <c r="X1406" t="inlineStr">
        <is>
          <t>aafc-aac</t>
        </is>
      </c>
      <c r="Y1406" t="inlineStr">
        <is>
          <t>Agriculture and Agri-Food Canada | Agriculture et Agroalimentaire Canada</t>
        </is>
      </c>
      <c r="Z1406" t="n">
        <v>2</v>
      </c>
      <c r="AA1406" t="n">
        <v>1304.5</v>
      </c>
      <c r="AB1406">
        <f>ROUND(U1406-AA1406,2)</f>
        <v/>
      </c>
      <c r="AC1406" t="b">
        <v>0</v>
      </c>
      <c r="AD1406">
        <f>IF(U1406="","MISSING_TOTAL",IF(ABS(AB1406)&lt;=0.01,"OK","CHECK"))</f>
        <v/>
      </c>
      <c r="AE1406">
        <f>IF(U1406="","MISSING",IF(AND(AA1406&gt;0,U1406/AA1406&gt;50),"POSSIBLE_SCALE_ERROR","OK"))</f>
        <v/>
      </c>
    </row>
    <row r="1407">
      <c r="A1407" t="inlineStr">
        <is>
          <t>T-2019-P8-0005</t>
        </is>
      </c>
      <c r="B1407" t="inlineStr">
        <is>
          <t>SLE</t>
        </is>
      </c>
      <c r="C1407" t="inlineStr">
        <is>
          <t>Deputy Minister</t>
        </is>
      </c>
      <c r="D1407" t="inlineStr">
        <is>
          <t>Sous-ministre</t>
        </is>
      </c>
      <c r="E1407" t="inlineStr">
        <is>
          <t>Chris Forbes</t>
        </is>
      </c>
      <c r="F1407" t="inlineStr">
        <is>
          <t>Participate in the Canadian Ditchley Biennial Conference on the topic of Food Security in the 21st Century.</t>
        </is>
      </c>
      <c r="G1407" t="inlineStr">
        <is>
          <t>Participer à la conférence biennale canadienne Ditchley sur le thème de la sécurité alimentaire au 21e siècle.</t>
        </is>
      </c>
      <c r="H1407" s="1" t="n">
        <v>43769</v>
      </c>
      <c r="I1407" s="1" t="n">
        <v>43772</v>
      </c>
      <c r="J1407" t="inlineStr">
        <is>
          <t>Toronto (Ontario) Canada</t>
        </is>
      </c>
      <c r="K1407" t="inlineStr">
        <is>
          <t>Toronto (Ontario) Canada</t>
        </is>
      </c>
      <c r="P1407" t="n">
        <v>639.0700000000001</v>
      </c>
      <c r="Q1407" t="n">
        <v>0</v>
      </c>
      <c r="R1407" t="n">
        <v>186.86</v>
      </c>
      <c r="S1407" t="n">
        <v>50.55</v>
      </c>
      <c r="T1407" t="n">
        <v>0</v>
      </c>
      <c r="U1407" t="n">
        <v>876.48</v>
      </c>
      <c r="X1407" t="inlineStr">
        <is>
          <t>aafc-aac</t>
        </is>
      </c>
      <c r="Y1407" t="inlineStr">
        <is>
          <t>Agriculture and Agri-Food Canada | Agriculture et Agroalimentaire Canada</t>
        </is>
      </c>
      <c r="Z1407" t="n">
        <v>4</v>
      </c>
      <c r="AA1407" t="n">
        <v>876.48</v>
      </c>
      <c r="AB1407">
        <f>ROUND(U1407-AA1407,2)</f>
        <v/>
      </c>
      <c r="AC1407" t="b">
        <v>0</v>
      </c>
      <c r="AD1407">
        <f>IF(U1407="","MISSING_TOTAL",IF(ABS(AB1407)&lt;=0.01,"OK","CHECK"))</f>
        <v/>
      </c>
      <c r="AE1407">
        <f>IF(U1407="","MISSING",IF(AND(AA1407&gt;0,U1407/AA1407&gt;50),"POSSIBLE_SCALE_ERROR","OK"))</f>
        <v/>
      </c>
    </row>
    <row r="1408">
      <c r="A1408" t="inlineStr">
        <is>
          <t>T-2019-P8-0006</t>
        </is>
      </c>
      <c r="B1408" t="inlineStr">
        <is>
          <t>SLE</t>
        </is>
      </c>
      <c r="C1408" t="inlineStr">
        <is>
          <t>Workplace Well-Being Ombudsperson</t>
        </is>
      </c>
      <c r="D1408" t="inlineStr">
        <is>
          <t>Ombudsman du mieux-être en milieu de travail</t>
        </is>
      </c>
      <c r="E1408" t="inlineStr">
        <is>
          <t>Jane Taylor</t>
        </is>
      </c>
      <c r="F1408" t="inlineStr">
        <is>
          <t>Training for the Certificate for Ombuds</t>
        </is>
      </c>
      <c r="G1408" t="inlineStr">
        <is>
          <t>Suivre la formation liée au certificat à l'intention des ombudsmans.</t>
        </is>
      </c>
      <c r="H1408" s="1" t="n">
        <v>43730</v>
      </c>
      <c r="I1408" s="1" t="n">
        <v>43735</v>
      </c>
      <c r="J1408" t="inlineStr">
        <is>
          <t>Toronto (Ontario) Canada</t>
        </is>
      </c>
      <c r="K1408" t="inlineStr">
        <is>
          <t>Toronto (Ontario) Canada</t>
        </is>
      </c>
      <c r="P1408" t="n">
        <v>0</v>
      </c>
      <c r="Q1408" t="n">
        <v>237.73</v>
      </c>
      <c r="R1408" t="n">
        <v>1110.55</v>
      </c>
      <c r="S1408" t="n">
        <v>408.9</v>
      </c>
      <c r="T1408" t="n">
        <v>0</v>
      </c>
      <c r="U1408" t="n">
        <v>1757.18</v>
      </c>
      <c r="X1408" t="inlineStr">
        <is>
          <t>aafc-aac</t>
        </is>
      </c>
      <c r="Y1408" t="inlineStr">
        <is>
          <t>Agriculture and Agri-Food Canada | Agriculture et Agroalimentaire Canada</t>
        </is>
      </c>
      <c r="Z1408" t="n">
        <v>6</v>
      </c>
      <c r="AA1408" t="n">
        <v>1757.17999999999</v>
      </c>
      <c r="AB1408">
        <f>ROUND(U1408-AA1408,2)</f>
        <v/>
      </c>
      <c r="AC1408" t="b">
        <v>0</v>
      </c>
      <c r="AD1408">
        <f>IF(U1408="","MISSING_TOTAL",IF(ABS(AB1408)&lt;=0.01,"OK","CHECK"))</f>
        <v/>
      </c>
      <c r="AE1408">
        <f>IF(U1408="","MISSING",IF(AND(AA1408&gt;0,U1408/AA1408&gt;50),"POSSIBLE_SCALE_ERROR","OK"))</f>
        <v/>
      </c>
    </row>
    <row r="1409">
      <c r="A1409" t="inlineStr">
        <is>
          <t>T-2019-P8-0007</t>
        </is>
      </c>
      <c r="B1409" t="inlineStr">
        <is>
          <t>SLE</t>
        </is>
      </c>
      <c r="C1409" t="inlineStr">
        <is>
          <t>Workplace Well-Being Ombudsperson</t>
        </is>
      </c>
      <c r="D1409" t="inlineStr">
        <is>
          <t>Ombudsman du mieux-être en milieu de travail</t>
        </is>
      </c>
      <c r="E1409" t="inlineStr">
        <is>
          <t>Jane Taylor</t>
        </is>
      </c>
      <c r="F1409" t="inlineStr">
        <is>
          <t>Outreach to St. Johns and Nova Scotia</t>
        </is>
      </c>
      <c r="G1409" t="inlineStr">
        <is>
          <t>Visiter les centres de St. John's et de Halifax.</t>
        </is>
      </c>
      <c r="H1409" s="1" t="n">
        <v>43753</v>
      </c>
      <c r="I1409" s="1" t="n">
        <v>43756</v>
      </c>
      <c r="J1409" t="inlineStr">
        <is>
          <t>St. John's (Newfoundland) Canada; Halifax (Nova Scotia) Canada</t>
        </is>
      </c>
      <c r="K1409" t="inlineStr">
        <is>
          <t>St. John's (Terre-Neuve) Canada; Halifax (Nouvelle-Écosse) Canada</t>
        </is>
      </c>
      <c r="P1409" t="n">
        <v>1394.86</v>
      </c>
      <c r="Q1409" t="n">
        <v>409.04</v>
      </c>
      <c r="R1409" t="n">
        <v>541.47</v>
      </c>
      <c r="S1409" t="n">
        <v>364.3</v>
      </c>
      <c r="T1409" t="n">
        <v>0</v>
      </c>
      <c r="U1409" t="n">
        <v>2709.67</v>
      </c>
      <c r="X1409" t="inlineStr">
        <is>
          <t>aafc-aac</t>
        </is>
      </c>
      <c r="Y1409" t="inlineStr">
        <is>
          <t>Agriculture and Agri-Food Canada | Agriculture et Agroalimentaire Canada</t>
        </is>
      </c>
      <c r="Z1409" t="n">
        <v>4</v>
      </c>
      <c r="AA1409" t="n">
        <v>2709.67</v>
      </c>
      <c r="AB1409">
        <f>ROUND(U1409-AA1409,2)</f>
        <v/>
      </c>
      <c r="AC1409" t="b">
        <v>0</v>
      </c>
      <c r="AD1409">
        <f>IF(U1409="","MISSING_TOTAL",IF(ABS(AB1409)&lt;=0.01,"OK","CHECK"))</f>
        <v/>
      </c>
      <c r="AE1409">
        <f>IF(U1409="","MISSING",IF(AND(AA1409&gt;0,U1409/AA1409&gt;50),"POSSIBLE_SCALE_ERROR","OK"))</f>
        <v/>
      </c>
    </row>
    <row r="1410">
      <c r="A1410" t="inlineStr">
        <is>
          <t>T-2019-P8-0008</t>
        </is>
      </c>
      <c r="B1410" t="inlineStr">
        <is>
          <t>SLE</t>
        </is>
      </c>
      <c r="C1410" t="inlineStr">
        <is>
          <t>Workplace Well-Being Ombudsperson</t>
        </is>
      </c>
      <c r="D1410" t="inlineStr">
        <is>
          <t>Ombudsman du mieux-être en milieu de travail</t>
        </is>
      </c>
      <c r="E1410" t="inlineStr">
        <is>
          <t>Jane Taylor</t>
        </is>
      </c>
      <c r="F1410" t="inlineStr">
        <is>
          <t>Outreach Morden and Winnipeg</t>
        </is>
      </c>
      <c r="G1410" t="inlineStr">
        <is>
          <t>Visiter les centres de Morden et de Winnipeg.</t>
        </is>
      </c>
      <c r="H1410" s="1" t="n">
        <v>43767</v>
      </c>
      <c r="I1410" s="1" t="n">
        <v>43769</v>
      </c>
      <c r="J1410" t="inlineStr">
        <is>
          <t>Morden (Manitoba) Canada; Winnipeg (Manitoba) Canada</t>
        </is>
      </c>
      <c r="K1410" t="inlineStr">
        <is>
          <t>Morden (Manitoba) Canada; Winnipeg (Manitoba) Canada</t>
        </is>
      </c>
      <c r="P1410" t="n">
        <v>804.09</v>
      </c>
      <c r="Q1410" t="n">
        <v>434.62</v>
      </c>
      <c r="R1410" t="n">
        <v>272.2</v>
      </c>
      <c r="S1410" t="n">
        <v>326.4</v>
      </c>
      <c r="T1410" t="n">
        <v>0</v>
      </c>
      <c r="U1410" t="n">
        <v>1837.31</v>
      </c>
      <c r="X1410" t="inlineStr">
        <is>
          <t>aafc-aac</t>
        </is>
      </c>
      <c r="Y1410" t="inlineStr">
        <is>
          <t>Agriculture and Agri-Food Canada | Agriculture et Agroalimentaire Canada</t>
        </is>
      </c>
      <c r="Z1410" t="n">
        <v>3</v>
      </c>
      <c r="AA1410" t="n">
        <v>1837.31</v>
      </c>
      <c r="AB1410">
        <f>ROUND(U1410-AA1410,2)</f>
        <v/>
      </c>
      <c r="AC1410" t="b">
        <v>0</v>
      </c>
      <c r="AD1410">
        <f>IF(U1410="","MISSING_TOTAL",IF(ABS(AB1410)&lt;=0.01,"OK","CHECK"))</f>
        <v/>
      </c>
      <c r="AE1410">
        <f>IF(U1410="","MISSING",IF(AND(AA1410&gt;0,U1410/AA1410&gt;50),"POSSIBLE_SCALE_ERROR","OK"))</f>
        <v/>
      </c>
    </row>
    <row r="1411">
      <c r="A1411" t="inlineStr">
        <is>
          <t>T-2019-P8-0009</t>
        </is>
      </c>
      <c r="B1411" t="inlineStr">
        <is>
          <t>SLE</t>
        </is>
      </c>
      <c r="C1411" t="inlineStr">
        <is>
          <t>Assistant Deputy Minister, Corporate Management Branch</t>
        </is>
      </c>
      <c r="D1411" t="inlineStr">
        <is>
          <t>Sous-ministre adjoint, Direction générale de la gestion intégrée</t>
        </is>
      </c>
      <c r="E1411" t="inlineStr">
        <is>
          <t>Christine Walker</t>
        </is>
      </c>
      <c r="F1411" t="inlineStr">
        <is>
          <t>Attend 31st Annual International Colloquium on Financial Management for National Governments and outreach at St John's Research and Development Centre</t>
        </is>
      </c>
      <c r="G1411" t="inlineStr">
        <is>
          <t>Participer au 31e Colloque international sur la gestion financière des gouvernements nationaux. Visiter le Centre de recherche et de développement de St. John's.</t>
        </is>
      </c>
      <c r="H1411" s="1" t="n">
        <v>43725</v>
      </c>
      <c r="I1411" s="1" t="n">
        <v>43729</v>
      </c>
      <c r="J1411" t="inlineStr">
        <is>
          <t>St. John's (Newfoundland) Canada</t>
        </is>
      </c>
      <c r="K1411" t="inlineStr">
        <is>
          <t>St. John's (Terre-Neuve) Canada</t>
        </is>
      </c>
      <c r="P1411" t="n">
        <v>1131.51</v>
      </c>
      <c r="Q1411" t="n">
        <v>184.62</v>
      </c>
      <c r="R1411" t="n">
        <v>875.84</v>
      </c>
      <c r="S1411" t="n">
        <v>441.05</v>
      </c>
      <c r="T1411" t="n">
        <v>0</v>
      </c>
      <c r="U1411" t="n">
        <v>2633.02</v>
      </c>
      <c r="X1411" t="inlineStr">
        <is>
          <t>aafc-aac</t>
        </is>
      </c>
      <c r="Y1411" t="inlineStr">
        <is>
          <t>Agriculture and Agri-Food Canada | Agriculture et Agroalimentaire Canada</t>
        </is>
      </c>
      <c r="Z1411" t="n">
        <v>5</v>
      </c>
      <c r="AA1411" t="n">
        <v>2633.02</v>
      </c>
      <c r="AB1411">
        <f>ROUND(U1411-AA1411,2)</f>
        <v/>
      </c>
      <c r="AC1411" t="b">
        <v>0</v>
      </c>
      <c r="AD1411">
        <f>IF(U1411="","MISSING_TOTAL",IF(ABS(AB1411)&lt;=0.01,"OK","CHECK"))</f>
        <v/>
      </c>
      <c r="AE1411">
        <f>IF(U1411="","MISSING",IF(AND(AA1411&gt;0,U1411/AA1411&gt;50),"POSSIBLE_SCALE_ERROR","OK"))</f>
        <v/>
      </c>
    </row>
    <row r="1412">
      <c r="A1412" t="inlineStr">
        <is>
          <t>T-2019-P8-0010</t>
        </is>
      </c>
      <c r="B1412" t="inlineStr">
        <is>
          <t>SLE</t>
        </is>
      </c>
      <c r="C1412" t="inlineStr">
        <is>
          <t>Assistant Deputy Minister, Market and Industry Services Branch</t>
        </is>
      </c>
      <c r="D1412" t="inlineStr">
        <is>
          <t>Sous-ministre adjoint, Direction générale des services à l'industrie et aux marchés</t>
        </is>
      </c>
      <c r="E1412" t="inlineStr">
        <is>
          <t>Frédéric Seppey</t>
        </is>
      </c>
      <c r="F1412" t="inlineStr">
        <is>
          <t>Attend a Quebec Departmental Regional Office strategic planning session</t>
        </is>
      </c>
      <c r="G1412" t="inlineStr">
        <is>
          <t>Participer à une séance de planification stratégique du Bureau régional ministériel du Québec.</t>
        </is>
      </c>
      <c r="H1412" s="1" t="n">
        <v>43747</v>
      </c>
      <c r="I1412" s="1" t="n">
        <v>43748</v>
      </c>
      <c r="J1412" t="inlineStr">
        <is>
          <t>Montreal (Quebec) Canada</t>
        </is>
      </c>
      <c r="K1412" t="inlineStr">
        <is>
          <t>Montréal (Québec) Canada</t>
        </is>
      </c>
      <c r="P1412" t="n">
        <v>0</v>
      </c>
      <c r="Q1412" t="n">
        <v>197.15</v>
      </c>
      <c r="R1412" t="n">
        <v>185.64</v>
      </c>
      <c r="S1412" t="n">
        <v>129.15</v>
      </c>
      <c r="T1412" t="n">
        <v>0</v>
      </c>
      <c r="U1412" t="n">
        <v>511.94</v>
      </c>
      <c r="X1412" t="inlineStr">
        <is>
          <t>aafc-aac</t>
        </is>
      </c>
      <c r="Y1412" t="inlineStr">
        <is>
          <t>Agriculture and Agri-Food Canada | Agriculture et Agroalimentaire Canada</t>
        </is>
      </c>
      <c r="Z1412" t="n">
        <v>2</v>
      </c>
      <c r="AA1412" t="n">
        <v>511.939999999999</v>
      </c>
      <c r="AB1412">
        <f>ROUND(U1412-AA1412,2)</f>
        <v/>
      </c>
      <c r="AC1412" t="b">
        <v>0</v>
      </c>
      <c r="AD1412">
        <f>IF(U1412="","MISSING_TOTAL",IF(ABS(AB1412)&lt;=0.01,"OK","CHECK"))</f>
        <v/>
      </c>
      <c r="AE1412">
        <f>IF(U1412="","MISSING",IF(AND(AA1412&gt;0,U1412/AA1412&gt;50),"POSSIBLE_SCALE_ERROR","OK"))</f>
        <v/>
      </c>
    </row>
    <row r="1413">
      <c r="A1413" t="inlineStr">
        <is>
          <t>T-2019-P8-0011</t>
        </is>
      </c>
      <c r="B1413" t="inlineStr">
        <is>
          <t>SLE</t>
        </is>
      </c>
      <c r="C1413" t="inlineStr">
        <is>
          <t>Assistant Deputy Minister, Market and Industry Services Branch</t>
        </is>
      </c>
      <c r="D1413" t="inlineStr">
        <is>
          <t>Sous-ministre adjoint, Direction générale des services à l'industrie et aux marchés</t>
        </is>
      </c>
      <c r="E1413" t="inlineStr">
        <is>
          <t>Frédéric Seppey</t>
        </is>
      </c>
      <c r="F1413" t="inlineStr">
        <is>
          <t>Attend a Policy Fellowship training program at the University of Guelph and meet with industry stakeholders.</t>
        </is>
      </c>
      <c r="G1413" t="inlineStr">
        <is>
          <t>Participer à un programme de bourses pour l'élaboration de politiques à l'Université de Guelph et assister à des rencontres avec des intervenants clés de l'industrie.</t>
        </is>
      </c>
      <c r="H1413" s="1" t="n">
        <v>43752</v>
      </c>
      <c r="I1413" s="1" t="n">
        <v>43756</v>
      </c>
      <c r="J1413" t="inlineStr">
        <is>
          <t>Guelph (Ontario) Canada</t>
        </is>
      </c>
      <c r="K1413" t="inlineStr">
        <is>
          <t>Guelph (Ontario) Canada</t>
        </is>
      </c>
      <c r="P1413" t="n">
        <v>398.4</v>
      </c>
      <c r="Q1413" t="n">
        <v>263.42</v>
      </c>
      <c r="R1413" t="n">
        <v>664.4400000000001</v>
      </c>
      <c r="S1413" t="n">
        <v>431.9</v>
      </c>
      <c r="T1413" t="n">
        <v>0</v>
      </c>
      <c r="U1413" t="n">
        <v>1758.16</v>
      </c>
      <c r="V1413" t="inlineStr">
        <is>
          <t>Airfare credit was used.</t>
        </is>
      </c>
      <c r="W1413" t="inlineStr">
        <is>
          <t>Un crédit de billet d’avion a été utilisé.</t>
        </is>
      </c>
      <c r="X1413" t="inlineStr">
        <is>
          <t>aafc-aac</t>
        </is>
      </c>
      <c r="Y1413" t="inlineStr">
        <is>
          <t>Agriculture and Agri-Food Canada | Agriculture et Agroalimentaire Canada</t>
        </is>
      </c>
      <c r="Z1413" t="n">
        <v>5</v>
      </c>
      <c r="AA1413" t="n">
        <v>1758.15999999999</v>
      </c>
      <c r="AB1413">
        <f>ROUND(U1413-AA1413,2)</f>
        <v/>
      </c>
      <c r="AC1413" t="b">
        <v>0</v>
      </c>
      <c r="AD1413">
        <f>IF(U1413="","MISSING_TOTAL",IF(ABS(AB1413)&lt;=0.01,"OK","CHECK"))</f>
        <v/>
      </c>
      <c r="AE1413">
        <f>IF(U1413="","MISSING",IF(AND(AA1413&gt;0,U1413/AA1413&gt;50),"POSSIBLE_SCALE_ERROR","OK"))</f>
        <v/>
      </c>
    </row>
    <row r="1414">
      <c r="A1414" t="inlineStr">
        <is>
          <t>T-2019-P8-0012</t>
        </is>
      </c>
      <c r="B1414" t="inlineStr">
        <is>
          <t>SLE</t>
        </is>
      </c>
      <c r="C1414" t="inlineStr">
        <is>
          <t>Assistant Deputy Minister, Market and Industry Services Branch</t>
        </is>
      </c>
      <c r="D1414" t="inlineStr">
        <is>
          <t>Sous-ministre adjoint, Direction générale des services à l'industrie et aux marchés</t>
        </is>
      </c>
      <c r="E1414" t="inlineStr">
        <is>
          <t>Frédéric Seppey</t>
        </is>
      </c>
      <c r="F1414" t="inlineStr">
        <is>
          <t>Attend a Northwest Regional Departmental office strategic planning session and meet with industry stakeholders.</t>
        </is>
      </c>
      <c r="G1414" t="inlineStr">
        <is>
          <t>Participer à la réunion de planification stratégique du Bureau régional du Nord-Ouest et assister à des rencontres avec des intervenants clés de l’industrie.</t>
        </is>
      </c>
      <c r="H1414" s="1" t="n">
        <v>43762</v>
      </c>
      <c r="I1414" s="1" t="n">
        <v>43766</v>
      </c>
      <c r="J1414" t="inlineStr">
        <is>
          <t>Vancouver (British Columbia) Canada</t>
        </is>
      </c>
      <c r="K1414" t="inlineStr">
        <is>
          <t>Vancouver (Colombie-Britannique) Canada</t>
        </is>
      </c>
      <c r="P1414" t="n">
        <v>445.36</v>
      </c>
      <c r="Q1414" t="n">
        <v>128.94</v>
      </c>
      <c r="R1414" t="n">
        <v>354.9</v>
      </c>
      <c r="S1414" t="n">
        <v>206.85</v>
      </c>
      <c r="T1414" t="n">
        <v>14.63</v>
      </c>
      <c r="U1414" t="n">
        <v>1150.68</v>
      </c>
      <c r="X1414" t="inlineStr">
        <is>
          <t>aafc-aac</t>
        </is>
      </c>
      <c r="Y1414" t="inlineStr">
        <is>
          <t>Agriculture and Agri-Food Canada | Agriculture et Agroalimentaire Canada</t>
        </is>
      </c>
      <c r="Z1414" t="n">
        <v>5</v>
      </c>
      <c r="AA1414" t="n">
        <v>1150.68</v>
      </c>
      <c r="AB1414">
        <f>ROUND(U1414-AA1414,2)</f>
        <v/>
      </c>
      <c r="AC1414" t="b">
        <v>0</v>
      </c>
      <c r="AD1414">
        <f>IF(U1414="","MISSING_TOTAL",IF(ABS(AB1414)&lt;=0.01,"OK","CHECK"))</f>
        <v/>
      </c>
      <c r="AE1414">
        <f>IF(U1414="","MISSING",IF(AND(AA1414&gt;0,U1414/AA1414&gt;50),"POSSIBLE_SCALE_ERROR","OK"))</f>
        <v/>
      </c>
    </row>
    <row r="1415">
      <c r="A1415" t="inlineStr">
        <is>
          <t>T-2019-P8-0013</t>
        </is>
      </c>
      <c r="B1415" t="inlineStr">
        <is>
          <t>SLE</t>
        </is>
      </c>
      <c r="C1415" t="inlineStr">
        <is>
          <t>Assistant Deputy Minister, Market and Industry Services Branch</t>
        </is>
      </c>
      <c r="D1415" t="inlineStr">
        <is>
          <t>Sous-ministre adjoint, Direction générale des services à l'industrie et aux marchés</t>
        </is>
      </c>
      <c r="E1415" t="inlineStr">
        <is>
          <t>Frédéric Seppey</t>
        </is>
      </c>
      <c r="F1415" t="inlineStr">
        <is>
          <t>Attend the Inter-American Institute for Cooperation on Agriculture Ministerial Meeting as the head of delegation.</t>
        </is>
      </c>
      <c r="G1415" t="inlineStr">
        <is>
          <t>Participer à la réunion de l'Institut interaméricain de coopération sur l'agriculture en tant que chef de délégation.</t>
        </is>
      </c>
      <c r="H1415" s="1" t="n">
        <v>43766</v>
      </c>
      <c r="I1415" s="1" t="n">
        <v>43770</v>
      </c>
      <c r="J1415" t="inlineStr">
        <is>
          <t>San José, Costa Rica</t>
        </is>
      </c>
      <c r="K1415" t="inlineStr">
        <is>
          <t>San José, Costa Rica</t>
        </is>
      </c>
      <c r="P1415" t="n">
        <v>1301.61</v>
      </c>
      <c r="Q1415" t="n">
        <v>60.96</v>
      </c>
      <c r="R1415" t="n">
        <v>417.96</v>
      </c>
      <c r="S1415" t="n">
        <v>464.6</v>
      </c>
      <c r="T1415" t="n">
        <v>9.220000000000001</v>
      </c>
      <c r="U1415" t="n">
        <v>2254.35</v>
      </c>
      <c r="X1415" t="inlineStr">
        <is>
          <t>aafc-aac</t>
        </is>
      </c>
      <c r="Y1415" t="inlineStr">
        <is>
          <t>Agriculture and Agri-Food Canada | Agriculture et Agroalimentaire Canada</t>
        </is>
      </c>
      <c r="Z1415" t="n">
        <v>5</v>
      </c>
      <c r="AA1415" t="n">
        <v>2254.35</v>
      </c>
      <c r="AB1415">
        <f>ROUND(U1415-AA1415,2)</f>
        <v/>
      </c>
      <c r="AC1415" t="b">
        <v>0</v>
      </c>
      <c r="AD1415">
        <f>IF(U1415="","MISSING_TOTAL",IF(ABS(AB1415)&lt;=0.01,"OK","CHECK"))</f>
        <v/>
      </c>
      <c r="AE1415">
        <f>IF(U1415="","MISSING",IF(AND(AA1415&gt;0,U1415/AA1415&gt;50),"POSSIBLE_SCALE_ERROR","OK"))</f>
        <v/>
      </c>
    </row>
    <row r="1416">
      <c r="A1416" t="inlineStr">
        <is>
          <t>T-2019-P8-0014</t>
        </is>
      </c>
      <c r="B1416" t="inlineStr">
        <is>
          <t>SLE</t>
        </is>
      </c>
      <c r="C1416" t="inlineStr">
        <is>
          <t>Assistant Deputy Minister, Market and Industry Services Branch</t>
        </is>
      </c>
      <c r="D1416" t="inlineStr">
        <is>
          <t>Sous-ministre adjoint, Direction générale des services à l'industrie et aux marchés</t>
        </is>
      </c>
      <c r="E1416" t="inlineStr">
        <is>
          <t>Frédéric Seppey</t>
        </is>
      </c>
      <c r="F1416" t="inlineStr">
        <is>
          <t>Attended Atlantic Regional Office Annual Staff Meeting in Fredericton</t>
        </is>
      </c>
      <c r="G1416" t="inlineStr">
        <is>
          <t>Participer à l’assemblée annuelle du personnel du Bureau régional de l’Atlantique à Fredericton.</t>
        </is>
      </c>
      <c r="H1416" s="1" t="n">
        <v>43775</v>
      </c>
      <c r="I1416" s="1" t="n">
        <v>43776</v>
      </c>
      <c r="J1416" t="inlineStr">
        <is>
          <t>Fredericton (New Brunswick) Canada</t>
        </is>
      </c>
      <c r="K1416" t="inlineStr">
        <is>
          <t>Fredericton (Nouveau-Brunswick) Canada</t>
        </is>
      </c>
      <c r="P1416" t="n">
        <v>557.87</v>
      </c>
      <c r="Q1416" t="n">
        <v>59.02</v>
      </c>
      <c r="R1416" t="n">
        <v>171.4</v>
      </c>
      <c r="S1416" t="n">
        <v>126.1</v>
      </c>
      <c r="T1416" t="n">
        <v>9.609999999999999</v>
      </c>
      <c r="U1416" t="n">
        <v>924</v>
      </c>
      <c r="X1416" t="inlineStr">
        <is>
          <t>aafc-aac</t>
        </is>
      </c>
      <c r="Y1416" t="inlineStr">
        <is>
          <t>Agriculture and Agri-Food Canada | Agriculture et Agroalimentaire Canada</t>
        </is>
      </c>
      <c r="Z1416" t="n">
        <v>2</v>
      </c>
      <c r="AA1416" t="n">
        <v>924</v>
      </c>
      <c r="AB1416">
        <f>ROUND(U1416-AA1416,2)</f>
        <v/>
      </c>
      <c r="AC1416" t="b">
        <v>0</v>
      </c>
      <c r="AD1416">
        <f>IF(U1416="","MISSING_TOTAL",IF(ABS(AB1416)&lt;=0.01,"OK","CHECK"))</f>
        <v/>
      </c>
      <c r="AE1416">
        <f>IF(U1416="","MISSING",IF(AND(AA1416&gt;0,U1416/AA1416&gt;50),"POSSIBLE_SCALE_ERROR","OK"))</f>
        <v/>
      </c>
    </row>
    <row r="1417">
      <c r="A1417" t="inlineStr">
        <is>
          <t>T-2019-P8-0015</t>
        </is>
      </c>
      <c r="B1417" t="inlineStr">
        <is>
          <t>SLE</t>
        </is>
      </c>
      <c r="C1417" t="inlineStr">
        <is>
          <t>Assistant Deputy Minister, Public Affairs Branch</t>
        </is>
      </c>
      <c r="D1417" t="inlineStr">
        <is>
          <t>Sous-ministre adjoint, Direction générale des affaires publiques</t>
        </is>
      </c>
      <c r="E1417" t="inlineStr">
        <is>
          <t>Mary Dila</t>
        </is>
      </c>
      <c r="F1417" t="inlineStr">
        <is>
          <t>Attend an outreach at the Research Centre, All Staff Meeting and attend the Canadian Farm Writers Federation Conference</t>
        </is>
      </c>
      <c r="G1417" t="inlineStr">
        <is>
          <t>Visiter le Centre de recherche, assister à la réunion de tout le personnel et participer à la conférence du Canadian Farm Writers Federation.</t>
        </is>
      </c>
      <c r="H1417" s="1" t="n">
        <v>43729</v>
      </c>
      <c r="I1417" s="1" t="n">
        <v>43740</v>
      </c>
      <c r="J1417" t="inlineStr">
        <is>
          <t>Vancover (British Columbia) Canada; New Westminster (British Columbia) Canada</t>
        </is>
      </c>
      <c r="K1417" t="inlineStr">
        <is>
          <t>Vancouver (Colombie-Britannique) Canada; New Westminster (Colombie-Britannique) Canada</t>
        </is>
      </c>
      <c r="P1417" t="n">
        <v>1216.82</v>
      </c>
      <c r="Q1417" t="n">
        <v>140.76</v>
      </c>
      <c r="R1417" t="n">
        <v>1626.44</v>
      </c>
      <c r="S1417" t="n">
        <v>658.65</v>
      </c>
      <c r="T1417" t="n">
        <v>275</v>
      </c>
      <c r="U1417" t="n">
        <v>3917.67</v>
      </c>
      <c r="V1417" t="inlineStr">
        <is>
          <t>Other expenses: Conference fee</t>
        </is>
      </c>
      <c r="W1417" t="inlineStr">
        <is>
          <t>Autres dépenses : frais d'inscription à la  conférence</t>
        </is>
      </c>
      <c r="X1417" t="inlineStr">
        <is>
          <t>aafc-aac</t>
        </is>
      </c>
      <c r="Y1417" t="inlineStr">
        <is>
          <t>Agriculture and Agri-Food Canada | Agriculture et Agroalimentaire Canada</t>
        </is>
      </c>
      <c r="Z1417" t="n">
        <v>12</v>
      </c>
      <c r="AA1417" t="n">
        <v>3917.67</v>
      </c>
      <c r="AB1417">
        <f>ROUND(U1417-AA1417,2)</f>
        <v/>
      </c>
      <c r="AC1417" t="b">
        <v>0</v>
      </c>
      <c r="AD1417">
        <f>IF(U1417="","MISSING_TOTAL",IF(ABS(AB1417)&lt;=0.01,"OK","CHECK"))</f>
        <v/>
      </c>
      <c r="AE1417">
        <f>IF(U1417="","MISSING",IF(AND(AA1417&gt;0,U1417/AA1417&gt;50),"POSSIBLE_SCALE_ERROR","OK"))</f>
        <v/>
      </c>
    </row>
    <row r="1418">
      <c r="A1418" t="inlineStr">
        <is>
          <t>T-2019-P8-0016</t>
        </is>
      </c>
      <c r="B1418" t="inlineStr">
        <is>
          <t>SLE</t>
        </is>
      </c>
      <c r="C1418" t="inlineStr">
        <is>
          <t>Chief Information Officer, Information Systems Branch</t>
        </is>
      </c>
      <c r="D1418" t="inlineStr">
        <is>
          <t>Dirigeant principal de l'information, Direction générale des systèmes d'information</t>
        </is>
      </c>
      <c r="E1418" t="inlineStr">
        <is>
          <t>Michel Lessard</t>
        </is>
      </c>
      <c r="F1418" t="inlineStr">
        <is>
          <t>To attend Gartner Symposium/Itxpo to create information and technology operating models that are agile, responsive and innovative.</t>
        </is>
      </c>
      <c r="G1418" t="inlineStr">
        <is>
          <t>Assister au Symposium Gartner/Itxpo pour créer des modèles d'exploitation de l'information et de la technologie agiles, réactifs et innovants.</t>
        </is>
      </c>
      <c r="H1418" s="1" t="n">
        <v>43757</v>
      </c>
      <c r="I1418" s="1" t="n">
        <v>43768</v>
      </c>
      <c r="J1418" t="inlineStr">
        <is>
          <t>Orlando (Florida) United States</t>
        </is>
      </c>
      <c r="K1418" t="inlineStr">
        <is>
          <t>Orlando (Floride) États-Unis</t>
        </is>
      </c>
      <c r="P1418" t="n">
        <v>854.96</v>
      </c>
      <c r="Q1418" t="n">
        <v>63.13</v>
      </c>
      <c r="R1418" t="n">
        <v>2739.6</v>
      </c>
      <c r="S1418" t="n">
        <v>481.5</v>
      </c>
      <c r="T1418" t="n">
        <v>0</v>
      </c>
      <c r="U1418" t="n">
        <v>4139.19</v>
      </c>
      <c r="X1418" t="inlineStr">
        <is>
          <t>aafc-aac</t>
        </is>
      </c>
      <c r="Y1418" t="inlineStr">
        <is>
          <t>Agriculture and Agri-Food Canada | Agriculture et Agroalimentaire Canada</t>
        </is>
      </c>
      <c r="Z1418" t="n">
        <v>12</v>
      </c>
      <c r="AA1418" t="n">
        <v>4139.19</v>
      </c>
      <c r="AB1418">
        <f>ROUND(U1418-AA1418,2)</f>
        <v/>
      </c>
      <c r="AC1418" t="b">
        <v>0</v>
      </c>
      <c r="AD1418">
        <f>IF(U1418="","MISSING_TOTAL",IF(ABS(AB1418)&lt;=0.01,"OK","CHECK"))</f>
        <v/>
      </c>
      <c r="AE1418">
        <f>IF(U1418="","MISSING",IF(AND(AA1418&gt;0,U1418/AA1418&gt;50),"POSSIBLE_SCALE_ERROR","OK"))</f>
        <v/>
      </c>
    </row>
    <row r="1419">
      <c r="A1419" t="inlineStr">
        <is>
          <t>T-2019-P8-0017</t>
        </is>
      </c>
      <c r="B1419" t="inlineStr">
        <is>
          <t>SLE</t>
        </is>
      </c>
      <c r="C1419" t="inlineStr">
        <is>
          <t>Assistant Deputy Minister, Strategic Policy Branch</t>
        </is>
      </c>
      <c r="D1419" t="inlineStr">
        <is>
          <t>Sous-ministre adjoint, Direction générale des politiques stratégiques</t>
        </is>
      </c>
      <c r="E1419" t="inlineStr">
        <is>
          <t>Tom Rosser</t>
        </is>
      </c>
      <c r="F1419" t="inlineStr">
        <is>
          <t>Attend a Zero Waste Conference</t>
        </is>
      </c>
      <c r="G1419" t="inlineStr">
        <is>
          <t>Participer à une conférence zéro déchet.</t>
        </is>
      </c>
      <c r="H1419" s="1" t="n">
        <v>43767</v>
      </c>
      <c r="I1419" s="1" t="n">
        <v>43768</v>
      </c>
      <c r="J1419" t="inlineStr">
        <is>
          <t>Vancouver (British Columbia) Canada</t>
        </is>
      </c>
      <c r="K1419" t="inlineStr">
        <is>
          <t>Vancouver (Colombie-Britannique) Canada</t>
        </is>
      </c>
      <c r="P1419" t="n">
        <v>1457.51</v>
      </c>
      <c r="Q1419" t="n">
        <v>105.9</v>
      </c>
      <c r="R1419" t="n">
        <v>386.58</v>
      </c>
      <c r="S1419" t="n">
        <v>156.05</v>
      </c>
      <c r="T1419" t="n">
        <v>0</v>
      </c>
      <c r="U1419" t="n">
        <v>2106.04</v>
      </c>
      <c r="X1419" t="inlineStr">
        <is>
          <t>aafc-aac</t>
        </is>
      </c>
      <c r="Y1419" t="inlineStr">
        <is>
          <t>Agriculture and Agri-Food Canada | Agriculture et Agroalimentaire Canada</t>
        </is>
      </c>
      <c r="Z1419" t="n">
        <v>2</v>
      </c>
      <c r="AA1419" t="n">
        <v>2106.04</v>
      </c>
      <c r="AB1419">
        <f>ROUND(U1419-AA1419,2)</f>
        <v/>
      </c>
      <c r="AC1419" t="b">
        <v>0</v>
      </c>
      <c r="AD1419">
        <f>IF(U1419="","MISSING_TOTAL",IF(ABS(AB1419)&lt;=0.01,"OK","CHECK"))</f>
        <v/>
      </c>
      <c r="AE1419">
        <f>IF(U1419="","MISSING",IF(AND(AA1419&gt;0,U1419/AA1419&gt;50),"POSSIBLE_SCALE_ERROR","OK"))</f>
        <v/>
      </c>
    </row>
    <row r="1420">
      <c r="A1420" t="inlineStr">
        <is>
          <t>T-2019-P8-0018</t>
        </is>
      </c>
      <c r="B1420" t="inlineStr">
        <is>
          <t>SLE</t>
        </is>
      </c>
      <c r="C1420" t="inlineStr">
        <is>
          <t>Assistant Deputy Minister, Strategic Policy Branch</t>
        </is>
      </c>
      <c r="D1420" t="inlineStr">
        <is>
          <t>Sous-ministre adjoint, Direction générale des politiques stratégiques</t>
        </is>
      </c>
      <c r="E1420" t="inlineStr">
        <is>
          <t>Tom Rosser</t>
        </is>
      </c>
      <c r="F1420" t="inlineStr">
        <is>
          <t>Attend a Canadian Food Law and Policy Conference.</t>
        </is>
      </c>
      <c r="G1420" t="inlineStr">
        <is>
          <t>Participer à une conférence canadienne sur le droit et les politiques alimentaires.</t>
        </is>
      </c>
      <c r="H1420" s="1" t="n">
        <v>43776</v>
      </c>
      <c r="I1420" s="1" t="n">
        <v>43777</v>
      </c>
      <c r="J1420" t="inlineStr">
        <is>
          <t>Toronto (Ontario) Canada</t>
        </is>
      </c>
      <c r="K1420" t="inlineStr">
        <is>
          <t>Toronto (Ontario) Canada</t>
        </is>
      </c>
      <c r="P1420" t="n">
        <v>753.71</v>
      </c>
      <c r="Q1420" t="n">
        <v>154.7</v>
      </c>
      <c r="R1420" t="n">
        <v>280.87</v>
      </c>
      <c r="S1420" t="n">
        <v>105.75</v>
      </c>
      <c r="T1420" t="n">
        <v>0</v>
      </c>
      <c r="U1420" t="n">
        <v>1295.03</v>
      </c>
      <c r="X1420" t="inlineStr">
        <is>
          <t>aafc-aac</t>
        </is>
      </c>
      <c r="Y1420" t="inlineStr">
        <is>
          <t>Agriculture and Agri-Food Canada | Agriculture et Agroalimentaire Canada</t>
        </is>
      </c>
      <c r="Z1420" t="n">
        <v>2</v>
      </c>
      <c r="AA1420" t="n">
        <v>1295.03</v>
      </c>
      <c r="AB1420">
        <f>ROUND(U1420-AA1420,2)</f>
        <v/>
      </c>
      <c r="AC1420" t="b">
        <v>0</v>
      </c>
      <c r="AD1420">
        <f>IF(U1420="","MISSING_TOTAL",IF(ABS(AB1420)&lt;=0.01,"OK","CHECK"))</f>
        <v/>
      </c>
      <c r="AE1420">
        <f>IF(U1420="","MISSING",IF(AND(AA1420&gt;0,U1420/AA1420&gt;50),"POSSIBLE_SCALE_ERROR","OK"))</f>
        <v/>
      </c>
    </row>
    <row r="1421">
      <c r="A1421" t="inlineStr">
        <is>
          <t>T-2019-P9-0001</t>
        </is>
      </c>
      <c r="B1421" t="inlineStr">
        <is>
          <t>MPSES</t>
        </is>
      </c>
      <c r="C1421" t="inlineStr">
        <is>
          <t>Minister</t>
        </is>
      </c>
      <c r="D1421" t="inlineStr">
        <is>
          <t>Ministre</t>
        </is>
      </c>
      <c r="E1421" t="inlineStr">
        <is>
          <t>Marie-Claude Bibeau</t>
        </is>
      </c>
      <c r="F1421" t="inlineStr">
        <is>
          <t>Speak at the Congrès de l'Union des producteurs agricoles and meet with the Minister of Agriculture, Fisheries and Food</t>
        </is>
      </c>
      <c r="G1421" t="inlineStr">
        <is>
          <t>Discours au Congrès de l'Union des producteurs agricoles et rencontre avec le ministre de l'Agriculture, des Pêcheries et de l'Alimentation</t>
        </is>
      </c>
      <c r="H1421" s="1" t="n">
        <v>43802</v>
      </c>
      <c r="I1421" s="1" t="n">
        <v>43802</v>
      </c>
      <c r="J1421" t="inlineStr">
        <is>
          <t>Quebec (Quebec) Canada</t>
        </is>
      </c>
      <c r="K1421" t="inlineStr">
        <is>
          <t>Québec (Québec) Canada</t>
        </is>
      </c>
      <c r="P1421" t="n">
        <v>970.51</v>
      </c>
      <c r="Q1421" t="n">
        <v>0</v>
      </c>
      <c r="R1421" t="n">
        <v>0</v>
      </c>
      <c r="S1421" t="n">
        <v>91.5</v>
      </c>
      <c r="T1421" t="n">
        <v>0</v>
      </c>
      <c r="U1421" t="n">
        <v>1062.01</v>
      </c>
      <c r="X1421" t="inlineStr">
        <is>
          <t>aafc-aac</t>
        </is>
      </c>
      <c r="Y1421" t="inlineStr">
        <is>
          <t>Agriculture and Agri-Food Canada | Agriculture et Agroalimentaire Canada</t>
        </is>
      </c>
      <c r="Z1421" t="n">
        <v>1</v>
      </c>
      <c r="AA1421" t="n">
        <v>1062.01</v>
      </c>
      <c r="AB1421">
        <f>ROUND(U1421-AA1421,2)</f>
        <v/>
      </c>
      <c r="AC1421" t="b">
        <v>0</v>
      </c>
      <c r="AD1421">
        <f>IF(U1421="","MISSING_TOTAL",IF(ABS(AB1421)&lt;=0.01,"OK","CHECK"))</f>
        <v/>
      </c>
      <c r="AE1421">
        <f>IF(U1421="","MISSING",IF(AND(AA1421&gt;0,U1421/AA1421&gt;50),"POSSIBLE_SCALE_ERROR","OK"))</f>
        <v/>
      </c>
    </row>
    <row r="1422">
      <c r="A1422" t="inlineStr">
        <is>
          <t>T-2019-P9-0002</t>
        </is>
      </c>
      <c r="B1422" t="inlineStr">
        <is>
          <t>MPSES</t>
        </is>
      </c>
      <c r="C1422" t="inlineStr">
        <is>
          <t>Minister</t>
        </is>
      </c>
      <c r="D1422" t="inlineStr">
        <is>
          <t>Ministre</t>
        </is>
      </c>
      <c r="E1422" t="inlineStr">
        <is>
          <t>Marie-Claude Bibeau</t>
        </is>
      </c>
      <c r="F1422" t="inlineStr">
        <is>
          <t>Attend the Canadian Western Agribition</t>
        </is>
      </c>
      <c r="G1422" t="inlineStr">
        <is>
          <t>Participer à la Canadian Western Agribition</t>
        </is>
      </c>
      <c r="H1422" s="1" t="n">
        <v>43793</v>
      </c>
      <c r="I1422" s="1" t="n">
        <v>43794</v>
      </c>
      <c r="J1422" t="inlineStr">
        <is>
          <t>Regina (Saskatchewan) Canada</t>
        </is>
      </c>
      <c r="K1422" t="inlineStr">
        <is>
          <t>Regina (Saskatchewan) Canada</t>
        </is>
      </c>
      <c r="P1422" t="n">
        <v>1661.58</v>
      </c>
      <c r="Q1422" t="n">
        <v>0</v>
      </c>
      <c r="R1422" t="n">
        <v>196.65</v>
      </c>
      <c r="S1422" t="n">
        <v>156.05</v>
      </c>
      <c r="T1422" t="n">
        <v>0</v>
      </c>
      <c r="U1422" t="n">
        <v>2014.28</v>
      </c>
      <c r="X1422" t="inlineStr">
        <is>
          <t>aafc-aac</t>
        </is>
      </c>
      <c r="Y1422" t="inlineStr">
        <is>
          <t>Agriculture and Agri-Food Canada | Agriculture et Agroalimentaire Canada</t>
        </is>
      </c>
      <c r="Z1422" t="n">
        <v>2</v>
      </c>
      <c r="AA1422" t="n">
        <v>2014.28</v>
      </c>
      <c r="AB1422">
        <f>ROUND(U1422-AA1422,2)</f>
        <v/>
      </c>
      <c r="AC1422" t="b">
        <v>0</v>
      </c>
      <c r="AD1422">
        <f>IF(U1422="","MISSING_TOTAL",IF(ABS(AB1422)&lt;=0.01,"OK","CHECK"))</f>
        <v/>
      </c>
      <c r="AE1422">
        <f>IF(U1422="","MISSING",IF(AND(AA1422&gt;0,U1422/AA1422&gt;50),"POSSIBLE_SCALE_ERROR","OK"))</f>
        <v/>
      </c>
    </row>
    <row r="1423">
      <c r="A1423" t="inlineStr">
        <is>
          <t>T-2019-P9-0003</t>
        </is>
      </c>
      <c r="B1423" t="inlineStr">
        <is>
          <t>MPSES</t>
        </is>
      </c>
      <c r="C1423" t="inlineStr">
        <is>
          <t>Chief of Staff</t>
        </is>
      </c>
      <c r="D1423" t="inlineStr">
        <is>
          <t>Chef de cabinet</t>
        </is>
      </c>
      <c r="E1423" t="inlineStr">
        <is>
          <t>Alison Porter</t>
        </is>
      </c>
      <c r="F1423" t="inlineStr">
        <is>
          <t>Accompany the Minister for the Canadian Western Agribition</t>
        </is>
      </c>
      <c r="G1423" t="inlineStr">
        <is>
          <t>Accompagner la ministre lors de la Canadian Western Agribition</t>
        </is>
      </c>
      <c r="H1423" s="1" t="n">
        <v>43793</v>
      </c>
      <c r="I1423" s="1" t="n">
        <v>43794</v>
      </c>
      <c r="J1423" t="inlineStr">
        <is>
          <t>Regina (Saskatchewan) Canada</t>
        </is>
      </c>
      <c r="K1423" t="inlineStr">
        <is>
          <t>Regina (Saskatchewan) Canada</t>
        </is>
      </c>
      <c r="P1423" t="n">
        <v>1534.46</v>
      </c>
      <c r="Q1423" t="n">
        <v>48.49</v>
      </c>
      <c r="R1423" t="n">
        <v>196.65</v>
      </c>
      <c r="S1423" t="n">
        <v>156.05</v>
      </c>
      <c r="T1423" t="n">
        <v>0</v>
      </c>
      <c r="U1423" t="n">
        <v>1935.65</v>
      </c>
      <c r="X1423" t="inlineStr">
        <is>
          <t>aafc-aac</t>
        </is>
      </c>
      <c r="Y1423" t="inlineStr">
        <is>
          <t>Agriculture and Agri-Food Canada | Agriculture et Agroalimentaire Canada</t>
        </is>
      </c>
      <c r="Z1423" t="n">
        <v>2</v>
      </c>
      <c r="AA1423" t="n">
        <v>1935.65</v>
      </c>
      <c r="AB1423">
        <f>ROUND(U1423-AA1423,2)</f>
        <v/>
      </c>
      <c r="AC1423" t="b">
        <v>0</v>
      </c>
      <c r="AD1423">
        <f>IF(U1423="","MISSING_TOTAL",IF(ABS(AB1423)&lt;=0.01,"OK","CHECK"))</f>
        <v/>
      </c>
      <c r="AE1423">
        <f>IF(U1423="","MISSING",IF(AND(AA1423&gt;0,U1423/AA1423&gt;50),"POSSIBLE_SCALE_ERROR","OK"))</f>
        <v/>
      </c>
    </row>
    <row r="1424">
      <c r="A1424" t="inlineStr">
        <is>
          <t>T-2019-P9-0004</t>
        </is>
      </c>
      <c r="B1424" t="inlineStr">
        <is>
          <t>MPSES</t>
        </is>
      </c>
      <c r="C1424" t="inlineStr">
        <is>
          <t>Driver</t>
        </is>
      </c>
      <c r="D1424" t="inlineStr">
        <is>
          <t>Chauffeur</t>
        </is>
      </c>
      <c r="E1424" t="inlineStr">
        <is>
          <t>Michel Gendreau</t>
        </is>
      </c>
      <c r="F1424" t="inlineStr">
        <is>
          <t>Drive the Minister to her riding from Ottawa</t>
        </is>
      </c>
      <c r="G1424" t="inlineStr">
        <is>
          <t>Conduire la ministre d'Ottawa à sa circonscription</t>
        </is>
      </c>
      <c r="H1424" s="1" t="n">
        <v>43791</v>
      </c>
      <c r="I1424" s="1" t="n">
        <v>43791</v>
      </c>
      <c r="J1424" t="inlineStr">
        <is>
          <t>Sherbrooke (Quebec) Canada</t>
        </is>
      </c>
      <c r="K1424" t="inlineStr">
        <is>
          <t>Sherbrooke (Québec) Canada</t>
        </is>
      </c>
      <c r="P1424" t="n">
        <v>0</v>
      </c>
      <c r="Q1424" t="n">
        <v>6.2</v>
      </c>
      <c r="R1424" t="n">
        <v>0</v>
      </c>
      <c r="S1424" t="n">
        <v>50.55</v>
      </c>
      <c r="T1424" t="n">
        <v>0</v>
      </c>
      <c r="U1424" t="n">
        <v>56.75</v>
      </c>
      <c r="X1424" t="inlineStr">
        <is>
          <t>aafc-aac</t>
        </is>
      </c>
      <c r="Y1424" t="inlineStr">
        <is>
          <t>Agriculture and Agri-Food Canada | Agriculture et Agroalimentaire Canada</t>
        </is>
      </c>
      <c r="Z1424" t="n">
        <v>1</v>
      </c>
      <c r="AA1424" t="n">
        <v>56.75</v>
      </c>
      <c r="AB1424">
        <f>ROUND(U1424-AA1424,2)</f>
        <v/>
      </c>
      <c r="AC1424" t="b">
        <v>0</v>
      </c>
      <c r="AD1424">
        <f>IF(U1424="","MISSING_TOTAL",IF(ABS(AB1424)&lt;=0.01,"OK","CHECK"))</f>
        <v/>
      </c>
      <c r="AE1424">
        <f>IF(U1424="","MISSING",IF(AND(AA1424&gt;0,U1424/AA1424&gt;50),"POSSIBLE_SCALE_ERROR","OK"))</f>
        <v/>
      </c>
    </row>
    <row r="1425">
      <c r="A1425" t="inlineStr">
        <is>
          <t>T-2019-P9-0005</t>
        </is>
      </c>
      <c r="B1425" t="inlineStr">
        <is>
          <t>MPSES</t>
        </is>
      </c>
      <c r="C1425" t="inlineStr">
        <is>
          <t>Driver</t>
        </is>
      </c>
      <c r="D1425" t="inlineStr">
        <is>
          <t>Chauffeur</t>
        </is>
      </c>
      <c r="E1425" t="inlineStr">
        <is>
          <t>Michel Gendreau</t>
        </is>
      </c>
      <c r="F1425" t="inlineStr">
        <is>
          <t>Drive the Minister from her riding to the Montreal airport for her flight to Regina</t>
        </is>
      </c>
      <c r="G1425" t="inlineStr">
        <is>
          <t>Conduire la ministre de sa circonscription à l'aéroport de Montréal pour son vol vers Regina</t>
        </is>
      </c>
      <c r="H1425" s="1" t="n">
        <v>43793</v>
      </c>
      <c r="I1425" s="1" t="n">
        <v>43793</v>
      </c>
      <c r="J1425" t="inlineStr">
        <is>
          <t>Montreal (Quebec) Canada</t>
        </is>
      </c>
      <c r="K1425" t="inlineStr">
        <is>
          <t>Montréal (Québec) Canada</t>
        </is>
      </c>
      <c r="P1425" t="n">
        <v>0</v>
      </c>
      <c r="Q1425" t="n">
        <v>6.2</v>
      </c>
      <c r="R1425" t="n">
        <v>0</v>
      </c>
      <c r="S1425" t="n">
        <v>50.55</v>
      </c>
      <c r="T1425" t="n">
        <v>0</v>
      </c>
      <c r="U1425" t="n">
        <v>56.75</v>
      </c>
      <c r="X1425" t="inlineStr">
        <is>
          <t>aafc-aac</t>
        </is>
      </c>
      <c r="Y1425" t="inlineStr">
        <is>
          <t>Agriculture and Agri-Food Canada | Agriculture et Agroalimentaire Canada</t>
        </is>
      </c>
      <c r="Z1425" t="n">
        <v>1</v>
      </c>
      <c r="AA1425" t="n">
        <v>56.75</v>
      </c>
      <c r="AB1425">
        <f>ROUND(U1425-AA1425,2)</f>
        <v/>
      </c>
      <c r="AC1425" t="b">
        <v>0</v>
      </c>
      <c r="AD1425">
        <f>IF(U1425="","MISSING_TOTAL",IF(ABS(AB1425)&lt;=0.01,"OK","CHECK"))</f>
        <v/>
      </c>
      <c r="AE1425">
        <f>IF(U1425="","MISSING",IF(AND(AA1425&gt;0,U1425/AA1425&gt;50),"POSSIBLE_SCALE_ERROR","OK"))</f>
        <v/>
      </c>
    </row>
    <row r="1426">
      <c r="A1426" t="inlineStr">
        <is>
          <t>T-2019-P9-0006</t>
        </is>
      </c>
      <c r="B1426" t="inlineStr">
        <is>
          <t>MPSES</t>
        </is>
      </c>
      <c r="C1426" t="inlineStr">
        <is>
          <t>Driver</t>
        </is>
      </c>
      <c r="D1426" t="inlineStr">
        <is>
          <t>Chauffeur</t>
        </is>
      </c>
      <c r="E1426" t="inlineStr">
        <is>
          <t>Michel Gendreau</t>
        </is>
      </c>
      <c r="F1426" t="inlineStr">
        <is>
          <t>Drive the Minister to her riding from Ottawa</t>
        </is>
      </c>
      <c r="G1426" t="inlineStr">
        <is>
          <t>Conduire la ministre d'Ottawa à sa circonscription</t>
        </is>
      </c>
      <c r="H1426" s="1" t="n">
        <v>43798</v>
      </c>
      <c r="I1426" s="1" t="n">
        <v>43798</v>
      </c>
      <c r="J1426" t="inlineStr">
        <is>
          <t>Sherbrooke (Quebec) Canada</t>
        </is>
      </c>
      <c r="K1426" t="inlineStr">
        <is>
          <t>Sherbrooke (Québec) Canada</t>
        </is>
      </c>
      <c r="P1426" t="n">
        <v>0</v>
      </c>
      <c r="Q1426" t="n">
        <v>6.2</v>
      </c>
      <c r="R1426" t="n">
        <v>0</v>
      </c>
      <c r="S1426" t="n">
        <v>50.55</v>
      </c>
      <c r="T1426" t="n">
        <v>0</v>
      </c>
      <c r="U1426" t="n">
        <v>56.75</v>
      </c>
      <c r="X1426" t="inlineStr">
        <is>
          <t>aafc-aac</t>
        </is>
      </c>
      <c r="Y1426" t="inlineStr">
        <is>
          <t>Agriculture and Agri-Food Canada | Agriculture et Agroalimentaire Canada</t>
        </is>
      </c>
      <c r="Z1426" t="n">
        <v>1</v>
      </c>
      <c r="AA1426" t="n">
        <v>56.75</v>
      </c>
      <c r="AB1426">
        <f>ROUND(U1426-AA1426,2)</f>
        <v/>
      </c>
      <c r="AC1426" t="b">
        <v>0</v>
      </c>
      <c r="AD1426">
        <f>IF(U1426="","MISSING_TOTAL",IF(ABS(AB1426)&lt;=0.01,"OK","CHECK"))</f>
        <v/>
      </c>
      <c r="AE1426">
        <f>IF(U1426="","MISSING",IF(AND(AA1426&gt;0,U1426/AA1426&gt;50),"POSSIBLE_SCALE_ERROR","OK"))</f>
        <v/>
      </c>
    </row>
    <row r="1427">
      <c r="A1427" t="inlineStr">
        <is>
          <t>T-2019-P9-0007</t>
        </is>
      </c>
      <c r="B1427" t="inlineStr">
        <is>
          <t>MPSES</t>
        </is>
      </c>
      <c r="C1427" t="inlineStr">
        <is>
          <t>Driver</t>
        </is>
      </c>
      <c r="D1427" t="inlineStr">
        <is>
          <t>Chauffeur</t>
        </is>
      </c>
      <c r="E1427" t="inlineStr">
        <is>
          <t>Michel Gendreau</t>
        </is>
      </c>
      <c r="F1427" t="inlineStr">
        <is>
          <t>Drive the Minister from her riding to Ottawa</t>
        </is>
      </c>
      <c r="G1427" t="inlineStr">
        <is>
          <t>Conduire la ministre de sa circonscription à Ottawa</t>
        </is>
      </c>
      <c r="H1427" s="1" t="n">
        <v>43800</v>
      </c>
      <c r="I1427" s="1" t="n">
        <v>43801</v>
      </c>
      <c r="J1427" t="inlineStr">
        <is>
          <t>Ottawa (Ontario) Canada</t>
        </is>
      </c>
      <c r="K1427" t="inlineStr">
        <is>
          <t>Ottawa (Ontario) Canada</t>
        </is>
      </c>
      <c r="P1427" t="n">
        <v>0</v>
      </c>
      <c r="Q1427" t="n">
        <v>6.2</v>
      </c>
      <c r="R1427" t="n">
        <v>140.17</v>
      </c>
      <c r="S1427" t="n">
        <v>105.5</v>
      </c>
      <c r="T1427" t="n">
        <v>0</v>
      </c>
      <c r="U1427" t="n">
        <v>251.87</v>
      </c>
      <c r="X1427" t="inlineStr">
        <is>
          <t>aafc-aac</t>
        </is>
      </c>
      <c r="Y1427" t="inlineStr">
        <is>
          <t>Agriculture and Agri-Food Canada | Agriculture et Agroalimentaire Canada</t>
        </is>
      </c>
      <c r="Z1427" t="n">
        <v>2</v>
      </c>
      <c r="AA1427" t="n">
        <v>251.869999999999</v>
      </c>
      <c r="AB1427">
        <f>ROUND(U1427-AA1427,2)</f>
        <v/>
      </c>
      <c r="AC1427" t="b">
        <v>0</v>
      </c>
      <c r="AD1427">
        <f>IF(U1427="","MISSING_TOTAL",IF(ABS(AB1427)&lt;=0.01,"OK","CHECK"))</f>
        <v/>
      </c>
      <c r="AE1427">
        <f>IF(U1427="","MISSING",IF(AND(AA1427&gt;0,U1427/AA1427&gt;50),"POSSIBLE_SCALE_ERROR","OK"))</f>
        <v/>
      </c>
    </row>
    <row r="1428">
      <c r="A1428" t="inlineStr">
        <is>
          <t>T-2019-P9-0008</t>
        </is>
      </c>
      <c r="B1428" t="inlineStr">
        <is>
          <t>MPSES</t>
        </is>
      </c>
      <c r="C1428" t="inlineStr">
        <is>
          <t>Driver</t>
        </is>
      </c>
      <c r="D1428" t="inlineStr">
        <is>
          <t>Chauffeur</t>
        </is>
      </c>
      <c r="E1428" t="inlineStr">
        <is>
          <t>Michel Gendreau</t>
        </is>
      </c>
      <c r="F1428" t="inlineStr">
        <is>
          <t>Drive the Minister to her riding from Ottawa</t>
        </is>
      </c>
      <c r="G1428" t="inlineStr">
        <is>
          <t>Conduire la ministre d'Ottawa à sa circonscription</t>
        </is>
      </c>
      <c r="H1428" s="1" t="n">
        <v>43805</v>
      </c>
      <c r="I1428" s="1" t="n">
        <v>43805</v>
      </c>
      <c r="J1428" t="inlineStr">
        <is>
          <t>Sherbrooke (Quebec) Canada</t>
        </is>
      </c>
      <c r="K1428" t="inlineStr">
        <is>
          <t>Sherbrooke (Québec) Canada</t>
        </is>
      </c>
      <c r="P1428" t="n">
        <v>0</v>
      </c>
      <c r="Q1428" t="n">
        <v>6.2</v>
      </c>
      <c r="R1428" t="n">
        <v>0</v>
      </c>
      <c r="S1428" t="n">
        <v>50.55</v>
      </c>
      <c r="T1428" t="n">
        <v>0</v>
      </c>
      <c r="U1428" t="n">
        <v>56.75</v>
      </c>
      <c r="X1428" t="inlineStr">
        <is>
          <t>aafc-aac</t>
        </is>
      </c>
      <c r="Y1428" t="inlineStr">
        <is>
          <t>Agriculture and Agri-Food Canada | Agriculture et Agroalimentaire Canada</t>
        </is>
      </c>
      <c r="Z1428" t="n">
        <v>1</v>
      </c>
      <c r="AA1428" t="n">
        <v>56.75</v>
      </c>
      <c r="AB1428">
        <f>ROUND(U1428-AA1428,2)</f>
        <v/>
      </c>
      <c r="AC1428" t="b">
        <v>0</v>
      </c>
      <c r="AD1428">
        <f>IF(U1428="","MISSING_TOTAL",IF(ABS(AB1428)&lt;=0.01,"OK","CHECK"))</f>
        <v/>
      </c>
      <c r="AE1428">
        <f>IF(U1428="","MISSING",IF(AND(AA1428&gt;0,U1428/AA1428&gt;50),"POSSIBLE_SCALE_ERROR","OK"))</f>
        <v/>
      </c>
    </row>
    <row r="1429">
      <c r="A1429" t="inlineStr">
        <is>
          <t>T-2019-P9-0009</t>
        </is>
      </c>
      <c r="B1429" t="inlineStr">
        <is>
          <t>MPSES</t>
        </is>
      </c>
      <c r="C1429" t="inlineStr">
        <is>
          <t>Driver</t>
        </is>
      </c>
      <c r="D1429" t="inlineStr">
        <is>
          <t>Chauffeur</t>
        </is>
      </c>
      <c r="E1429" t="inlineStr">
        <is>
          <t>Michel Gendreau</t>
        </is>
      </c>
      <c r="F1429" t="inlineStr">
        <is>
          <t>Drive the Minister from her riding to Ottawa</t>
        </is>
      </c>
      <c r="G1429" t="inlineStr">
        <is>
          <t>Conduire la ministre de sa circonscription à Ottawa</t>
        </is>
      </c>
      <c r="H1429" s="1" t="n">
        <v>43807</v>
      </c>
      <c r="I1429" s="1" t="n">
        <v>43808</v>
      </c>
      <c r="J1429" t="inlineStr">
        <is>
          <t>Ottawa (Ontario) Canada</t>
        </is>
      </c>
      <c r="K1429" t="inlineStr">
        <is>
          <t>Ottawa (Ontario) Canada</t>
        </is>
      </c>
      <c r="P1429" t="n">
        <v>0</v>
      </c>
      <c r="Q1429" t="n">
        <v>6.2</v>
      </c>
      <c r="R1429" t="n">
        <v>137.9</v>
      </c>
      <c r="S1429" t="n">
        <v>105.5</v>
      </c>
      <c r="T1429" t="n">
        <v>0</v>
      </c>
      <c r="U1429" t="n">
        <v>249.6</v>
      </c>
      <c r="X1429" t="inlineStr">
        <is>
          <t>aafc-aac</t>
        </is>
      </c>
      <c r="Y1429" t="inlineStr">
        <is>
          <t>Agriculture and Agri-Food Canada | Agriculture et Agroalimentaire Canada</t>
        </is>
      </c>
      <c r="Z1429" t="n">
        <v>2</v>
      </c>
      <c r="AA1429" t="n">
        <v>249.6</v>
      </c>
      <c r="AB1429">
        <f>ROUND(U1429-AA1429,2)</f>
        <v/>
      </c>
      <c r="AC1429" t="b">
        <v>0</v>
      </c>
      <c r="AD1429">
        <f>IF(U1429="","MISSING_TOTAL",IF(ABS(AB1429)&lt;=0.01,"OK","CHECK"))</f>
        <v/>
      </c>
      <c r="AE1429">
        <f>IF(U1429="","MISSING",IF(AND(AA1429&gt;0,U1429/AA1429&gt;50),"POSSIBLE_SCALE_ERROR","OK"))</f>
        <v/>
      </c>
    </row>
    <row r="1430">
      <c r="A1430" t="inlineStr">
        <is>
          <t>T-2019-P9-0010</t>
        </is>
      </c>
      <c r="B1430" t="inlineStr">
        <is>
          <t>MPSES</t>
        </is>
      </c>
      <c r="C1430" t="inlineStr">
        <is>
          <t>Driver</t>
        </is>
      </c>
      <c r="D1430" t="inlineStr">
        <is>
          <t>Chauffeur</t>
        </is>
      </c>
      <c r="E1430" t="inlineStr">
        <is>
          <t>Michel Gendreau</t>
        </is>
      </c>
      <c r="F1430" t="inlineStr">
        <is>
          <t>Drive the Minister to her riding from Ottawa</t>
        </is>
      </c>
      <c r="G1430" t="inlineStr">
        <is>
          <t>Conduire la ministre d'Ottawa à sa circonscription</t>
        </is>
      </c>
      <c r="H1430" s="1" t="n">
        <v>43812</v>
      </c>
      <c r="I1430" s="1" t="n">
        <v>43812</v>
      </c>
      <c r="J1430" t="inlineStr">
        <is>
          <t>Sherbrooke (Quebec) Canada</t>
        </is>
      </c>
      <c r="K1430" t="inlineStr">
        <is>
          <t>Sherbrooke (Québec) Canada</t>
        </is>
      </c>
      <c r="P1430" t="n">
        <v>0</v>
      </c>
      <c r="Q1430" t="n">
        <v>6.2</v>
      </c>
      <c r="R1430" t="n">
        <v>0</v>
      </c>
      <c r="S1430" t="n">
        <v>50.55</v>
      </c>
      <c r="T1430" t="n">
        <v>0</v>
      </c>
      <c r="U1430" t="n">
        <v>56.75</v>
      </c>
      <c r="X1430" t="inlineStr">
        <is>
          <t>aafc-aac</t>
        </is>
      </c>
      <c r="Y1430" t="inlineStr">
        <is>
          <t>Agriculture and Agri-Food Canada | Agriculture et Agroalimentaire Canada</t>
        </is>
      </c>
      <c r="Z1430" t="n">
        <v>1</v>
      </c>
      <c r="AA1430" t="n">
        <v>56.75</v>
      </c>
      <c r="AB1430">
        <f>ROUND(U1430-AA1430,2)</f>
        <v/>
      </c>
      <c r="AC1430" t="b">
        <v>0</v>
      </c>
      <c r="AD1430">
        <f>IF(U1430="","MISSING_TOTAL",IF(ABS(AB1430)&lt;=0.01,"OK","CHECK"))</f>
        <v/>
      </c>
      <c r="AE1430">
        <f>IF(U1430="","MISSING",IF(AND(AA1430&gt;0,U1430/AA1430&gt;50),"POSSIBLE_SCALE_ERROR","OK"))</f>
        <v/>
      </c>
    </row>
    <row r="1431">
      <c r="A1431" t="inlineStr">
        <is>
          <t>T-2019-P9-0011</t>
        </is>
      </c>
      <c r="B1431" t="inlineStr">
        <is>
          <t>MPSES</t>
        </is>
      </c>
      <c r="C1431" t="inlineStr">
        <is>
          <t>Driver</t>
        </is>
      </c>
      <c r="D1431" t="inlineStr">
        <is>
          <t>Chauffeur</t>
        </is>
      </c>
      <c r="E1431" t="inlineStr">
        <is>
          <t>Michel Gendreau</t>
        </is>
      </c>
      <c r="F1431" t="inlineStr">
        <is>
          <t>Drive the Minister from her riding to Ottawa</t>
        </is>
      </c>
      <c r="G1431" t="inlineStr">
        <is>
          <t>Conduire la ministre de sa circonscription à Ottawa</t>
        </is>
      </c>
      <c r="H1431" s="1" t="n">
        <v>43814</v>
      </c>
      <c r="I1431" s="1" t="n">
        <v>43815</v>
      </c>
      <c r="J1431" t="inlineStr">
        <is>
          <t>Ottawa (Ontario) Canada</t>
        </is>
      </c>
      <c r="K1431" t="inlineStr">
        <is>
          <t>Ottawa (Ontario) Canada</t>
        </is>
      </c>
      <c r="P1431" t="n">
        <v>0</v>
      </c>
      <c r="Q1431" t="n">
        <v>6.2</v>
      </c>
      <c r="R1431" t="n">
        <v>135.65</v>
      </c>
      <c r="S1431" t="n">
        <v>105.5</v>
      </c>
      <c r="T1431" t="n">
        <v>0</v>
      </c>
      <c r="U1431" t="n">
        <v>247.35</v>
      </c>
      <c r="X1431" t="inlineStr">
        <is>
          <t>aafc-aac</t>
        </is>
      </c>
      <c r="Y1431" t="inlineStr">
        <is>
          <t>Agriculture and Agri-Food Canada | Agriculture et Agroalimentaire Canada</t>
        </is>
      </c>
      <c r="Z1431" t="n">
        <v>2</v>
      </c>
      <c r="AA1431" t="n">
        <v>247.35</v>
      </c>
      <c r="AB1431">
        <f>ROUND(U1431-AA1431,2)</f>
        <v/>
      </c>
      <c r="AC1431" t="b">
        <v>0</v>
      </c>
      <c r="AD1431">
        <f>IF(U1431="","MISSING_TOTAL",IF(ABS(AB1431)&lt;=0.01,"OK","CHECK"))</f>
        <v/>
      </c>
      <c r="AE1431">
        <f>IF(U1431="","MISSING",IF(AND(AA1431&gt;0,U1431/AA1431&gt;50),"POSSIBLE_SCALE_ERROR","OK"))</f>
        <v/>
      </c>
    </row>
    <row r="1432">
      <c r="A1432" t="inlineStr">
        <is>
          <t>T-2019-P9-0012</t>
        </is>
      </c>
      <c r="B1432" t="inlineStr">
        <is>
          <t>MPSES</t>
        </is>
      </c>
      <c r="C1432" t="inlineStr">
        <is>
          <t>Driver</t>
        </is>
      </c>
      <c r="D1432" t="inlineStr">
        <is>
          <t>Chauffeur</t>
        </is>
      </c>
      <c r="E1432" t="inlineStr">
        <is>
          <t>Michel Gendreau</t>
        </is>
      </c>
      <c r="F1432" t="inlineStr">
        <is>
          <t>Drive the Minister to her riding from Ottawa</t>
        </is>
      </c>
      <c r="G1432" t="inlineStr">
        <is>
          <t>Conduire la ministre d'Ottawa à sa circonscription</t>
        </is>
      </c>
      <c r="H1432" s="1" t="n">
        <v>43817</v>
      </c>
      <c r="I1432" s="1" t="n">
        <v>43817</v>
      </c>
      <c r="J1432" t="inlineStr">
        <is>
          <t>Sherbrooke (Quebec) Canada</t>
        </is>
      </c>
      <c r="K1432" t="inlineStr">
        <is>
          <t>Sherbrooke (Québec) Canada</t>
        </is>
      </c>
      <c r="P1432" t="n">
        <v>0</v>
      </c>
      <c r="Q1432" t="n">
        <v>6.2</v>
      </c>
      <c r="R1432" t="n">
        <v>0</v>
      </c>
      <c r="S1432" t="n">
        <v>50.55</v>
      </c>
      <c r="T1432" t="n">
        <v>0</v>
      </c>
      <c r="U1432" t="n">
        <v>56.75</v>
      </c>
      <c r="X1432" t="inlineStr">
        <is>
          <t>aafc-aac</t>
        </is>
      </c>
      <c r="Y1432" t="inlineStr">
        <is>
          <t>Agriculture and Agri-Food Canada | Agriculture et Agroalimentaire Canada</t>
        </is>
      </c>
      <c r="Z1432" t="n">
        <v>1</v>
      </c>
      <c r="AA1432" t="n">
        <v>56.75</v>
      </c>
      <c r="AB1432">
        <f>ROUND(U1432-AA1432,2)</f>
        <v/>
      </c>
      <c r="AC1432" t="b">
        <v>0</v>
      </c>
      <c r="AD1432">
        <f>IF(U1432="","MISSING_TOTAL",IF(ABS(AB1432)&lt;=0.01,"OK","CHECK"))</f>
        <v/>
      </c>
      <c r="AE1432">
        <f>IF(U1432="","MISSING",IF(AND(AA1432&gt;0,U1432/AA1432&gt;50),"POSSIBLE_SCALE_ERROR","OK"))</f>
        <v/>
      </c>
    </row>
    <row r="1433">
      <c r="A1433" t="inlineStr">
        <is>
          <t>T-2019-P9-0013</t>
        </is>
      </c>
      <c r="B1433" t="inlineStr">
        <is>
          <t>SLE</t>
        </is>
      </c>
      <c r="C1433" t="inlineStr">
        <is>
          <t>Deputy Minister</t>
        </is>
      </c>
      <c r="D1433" t="inlineStr">
        <is>
          <t>Sous-ministre</t>
        </is>
      </c>
      <c r="E1433" t="inlineStr">
        <is>
          <t>Chris Forbes</t>
        </is>
      </c>
      <c r="F1433" t="inlineStr">
        <is>
          <t>To advance canadian trade interests with key countries in the European Union</t>
        </is>
      </c>
      <c r="G1433" t="inlineStr">
        <is>
          <t>Afin de progresser les intérêts commerciaux du Canada avec les pays clés de l'Union européenne</t>
        </is>
      </c>
      <c r="H1433" s="1" t="n">
        <v>43743</v>
      </c>
      <c r="I1433" s="1" t="n">
        <v>43749</v>
      </c>
      <c r="J1433" t="inlineStr">
        <is>
          <t>Berlin (Germany)
Brussels (Belgium) 
Madrid (Spain)</t>
        </is>
      </c>
      <c r="K1433" t="inlineStr">
        <is>
          <t>Berlin (Allemagne)
Bruxelles (Belgique)
Madrid (Espagne)</t>
        </is>
      </c>
      <c r="P1433" t="n">
        <v>2964.82</v>
      </c>
      <c r="Q1433" t="n">
        <v>0</v>
      </c>
      <c r="R1433" t="n">
        <v>1827.61</v>
      </c>
      <c r="S1433" t="n">
        <v>451.11</v>
      </c>
      <c r="T1433" t="n">
        <v>0</v>
      </c>
      <c r="U1433" t="n">
        <v>5243.54</v>
      </c>
      <c r="X1433" t="inlineStr">
        <is>
          <t>aafc-aac</t>
        </is>
      </c>
      <c r="Y1433" t="inlineStr">
        <is>
          <t>Agriculture and Agri-Food Canada | Agriculture et Agroalimentaire Canada</t>
        </is>
      </c>
      <c r="Z1433" t="n">
        <v>7</v>
      </c>
      <c r="AA1433" t="n">
        <v>5243.54</v>
      </c>
      <c r="AB1433">
        <f>ROUND(U1433-AA1433,2)</f>
        <v/>
      </c>
      <c r="AC1433" t="b">
        <v>0</v>
      </c>
      <c r="AD1433">
        <f>IF(U1433="","MISSING_TOTAL",IF(ABS(AB1433)&lt;=0.01,"OK","CHECK"))</f>
        <v/>
      </c>
      <c r="AE1433">
        <f>IF(U1433="","MISSING",IF(AND(AA1433&gt;0,U1433/AA1433&gt;50),"POSSIBLE_SCALE_ERROR","OK"))</f>
        <v/>
      </c>
    </row>
    <row r="1434">
      <c r="A1434" t="inlineStr">
        <is>
          <t>T-2019-P9-0014</t>
        </is>
      </c>
      <c r="B1434" t="inlineStr">
        <is>
          <t>SLE</t>
        </is>
      </c>
      <c r="C1434" t="inlineStr">
        <is>
          <t>Deputy Minister</t>
        </is>
      </c>
      <c r="D1434" t="inlineStr">
        <is>
          <t>Sous-ministre</t>
        </is>
      </c>
      <c r="E1434" t="inlineStr">
        <is>
          <t>Chris Forbes</t>
        </is>
      </c>
      <c r="F1434" t="inlineStr">
        <is>
          <t>Attended Canadian Western Agribition to meet with crop and livestock sector stakeholders to discuss current program and policy issues</t>
        </is>
      </c>
      <c r="G1434" t="inlineStr">
        <is>
          <t>Participer au Canadian Western Agribition afin de rencontrer des intervenants du secteur des cultures et du bétail pour discuter des enjeux actuels du programme et des politiques</t>
        </is>
      </c>
      <c r="H1434" s="1" t="n">
        <v>43793</v>
      </c>
      <c r="I1434" s="1" t="n">
        <v>43794</v>
      </c>
      <c r="J1434" t="inlineStr">
        <is>
          <t>Regina (Saskatchewan) Canada</t>
        </is>
      </c>
      <c r="K1434" t="inlineStr">
        <is>
          <t>Regina (Saskatchewan) Canada</t>
        </is>
      </c>
      <c r="P1434" t="n">
        <v>1392.42</v>
      </c>
      <c r="Q1434" t="n">
        <v>60.27</v>
      </c>
      <c r="R1434" t="n">
        <v>196.65</v>
      </c>
      <c r="S1434" t="n">
        <v>50.55</v>
      </c>
      <c r="T1434" t="n">
        <v>0</v>
      </c>
      <c r="U1434" t="n">
        <v>1699.89</v>
      </c>
      <c r="X1434" t="inlineStr">
        <is>
          <t>aafc-aac</t>
        </is>
      </c>
      <c r="Y1434" t="inlineStr">
        <is>
          <t>Agriculture and Agri-Food Canada | Agriculture et Agroalimentaire Canada</t>
        </is>
      </c>
      <c r="Z1434" t="n">
        <v>2</v>
      </c>
      <c r="AA1434" t="n">
        <v>1699.89</v>
      </c>
      <c r="AB1434">
        <f>ROUND(U1434-AA1434,2)</f>
        <v/>
      </c>
      <c r="AC1434" t="b">
        <v>0</v>
      </c>
      <c r="AD1434">
        <f>IF(U1434="","MISSING_TOTAL",IF(ABS(AB1434)&lt;=0.01,"OK","CHECK"))</f>
        <v/>
      </c>
      <c r="AE1434">
        <f>IF(U1434="","MISSING",IF(AND(AA1434&gt;0,U1434/AA1434&gt;50),"POSSIBLE_SCALE_ERROR","OK"))</f>
        <v/>
      </c>
    </row>
    <row r="1435">
      <c r="A1435" t="inlineStr">
        <is>
          <t>T-2019-P9-0015</t>
        </is>
      </c>
      <c r="B1435" t="inlineStr">
        <is>
          <t>SLE</t>
        </is>
      </c>
      <c r="C1435" t="inlineStr">
        <is>
          <t>Deputy Minister</t>
        </is>
      </c>
      <c r="D1435" t="inlineStr">
        <is>
          <t>Sous-ministre</t>
        </is>
      </c>
      <c r="E1435" t="inlineStr">
        <is>
          <t>Chris Forbes</t>
        </is>
      </c>
      <c r="F1435" t="inlineStr">
        <is>
          <t>Attended a Board of Director's meeting</t>
        </is>
      </c>
      <c r="G1435" t="inlineStr">
        <is>
          <t>Participer à une réunion du conseil de direction</t>
        </is>
      </c>
      <c r="H1435" s="1" t="n">
        <v>43807</v>
      </c>
      <c r="I1435" s="1" t="n">
        <v>43810</v>
      </c>
      <c r="J1435" t="inlineStr">
        <is>
          <t>Saskatoon (Saskatchewan) Canada</t>
        </is>
      </c>
      <c r="K1435" t="inlineStr">
        <is>
          <t>Saskatoon (Saskatchewan) Canada</t>
        </is>
      </c>
      <c r="P1435" t="n">
        <v>1087.73</v>
      </c>
      <c r="Q1435" t="n">
        <v>36.17</v>
      </c>
      <c r="R1435" t="n">
        <v>365.86</v>
      </c>
      <c r="S1435" t="n">
        <v>70.90000000000001</v>
      </c>
      <c r="T1435" t="n">
        <v>0</v>
      </c>
      <c r="U1435" t="n">
        <v>1560.66</v>
      </c>
      <c r="X1435" t="inlineStr">
        <is>
          <t>aafc-aac</t>
        </is>
      </c>
      <c r="Y1435" t="inlineStr">
        <is>
          <t>Agriculture and Agri-Food Canada | Agriculture et Agroalimentaire Canada</t>
        </is>
      </c>
      <c r="Z1435" t="n">
        <v>4</v>
      </c>
      <c r="AA1435" t="n">
        <v>1560.66</v>
      </c>
      <c r="AB1435">
        <f>ROUND(U1435-AA1435,2)</f>
        <v/>
      </c>
      <c r="AC1435" t="b">
        <v>0</v>
      </c>
      <c r="AD1435">
        <f>IF(U1435="","MISSING_TOTAL",IF(ABS(AB1435)&lt;=0.01,"OK","CHECK"))</f>
        <v/>
      </c>
      <c r="AE1435">
        <f>IF(U1435="","MISSING",IF(AND(AA1435&gt;0,U1435/AA1435&gt;50),"POSSIBLE_SCALE_ERROR","OK"))</f>
        <v/>
      </c>
    </row>
    <row r="1436">
      <c r="A1436" t="inlineStr">
        <is>
          <t>T-2019-P9-0016</t>
        </is>
      </c>
      <c r="B1436" t="inlineStr">
        <is>
          <t>SLE</t>
        </is>
      </c>
      <c r="C1436" t="inlineStr">
        <is>
          <t>Workplace Well-Being Ombudsperson</t>
        </is>
      </c>
      <c r="D1436" t="inlineStr">
        <is>
          <t>Ombudsman du mieux-être en milieu de travail</t>
        </is>
      </c>
      <c r="E1436" t="inlineStr">
        <is>
          <t>Jane Taylor</t>
        </is>
      </c>
      <c r="F1436" t="inlineStr">
        <is>
          <t>Outreach to Guelph and Vineland</t>
        </is>
      </c>
      <c r="G1436" t="inlineStr">
        <is>
          <t>Visite de sensibilisation à Guelph et à Vineland</t>
        </is>
      </c>
      <c r="H1436" s="1" t="n">
        <v>43796</v>
      </c>
      <c r="I1436" s="1" t="n">
        <v>43798</v>
      </c>
      <c r="J1436" t="inlineStr">
        <is>
          <t>Guelph (Ontario) Canada; Vineland (Ontario) Canada</t>
        </is>
      </c>
      <c r="K1436" t="inlineStr">
        <is>
          <t>Guelph (Ontario) Canada; Vineland (Ontario) Canada</t>
        </is>
      </c>
      <c r="P1436" t="n">
        <v>639.0700000000001</v>
      </c>
      <c r="Q1436" t="n">
        <v>382.2</v>
      </c>
      <c r="R1436" t="n">
        <v>307.3</v>
      </c>
      <c r="S1436" t="n">
        <v>275.85</v>
      </c>
      <c r="U1436" t="n">
        <v>1604.42</v>
      </c>
      <c r="X1436" t="inlineStr">
        <is>
          <t>aafc-aac</t>
        </is>
      </c>
      <c r="Y1436" t="inlineStr">
        <is>
          <t>Agriculture and Agri-Food Canada | Agriculture et Agroalimentaire Canada</t>
        </is>
      </c>
      <c r="Z1436" t="n">
        <v>3</v>
      </c>
      <c r="AA1436" t="n">
        <v>1604.42</v>
      </c>
      <c r="AB1436">
        <f>ROUND(U1436-AA1436,2)</f>
        <v/>
      </c>
      <c r="AC1436" t="b">
        <v>0</v>
      </c>
      <c r="AD1436">
        <f>IF(U1436="","MISSING_TOTAL",IF(ABS(AB1436)&lt;=0.01,"OK","CHECK"))</f>
        <v/>
      </c>
      <c r="AE1436">
        <f>IF(U1436="","MISSING",IF(AND(AA1436&gt;0,U1436/AA1436&gt;50),"POSSIBLE_SCALE_ERROR","OK"))</f>
        <v/>
      </c>
    </row>
    <row r="1437">
      <c r="A1437" t="inlineStr">
        <is>
          <t>T-2019-P9-0017</t>
        </is>
      </c>
      <c r="B1437" t="inlineStr">
        <is>
          <t>SLE</t>
        </is>
      </c>
      <c r="C1437" t="inlineStr">
        <is>
          <t>Assistant Deputy Minister, Science and Technology Branch</t>
        </is>
      </c>
      <c r="D1437" t="inlineStr">
        <is>
          <t>Sous-ministre adjoint, Direction générale des sciences et de la technologie</t>
        </is>
      </c>
      <c r="E1437" t="inlineStr">
        <is>
          <t>Brian Gray</t>
        </is>
      </c>
      <c r="F1437" t="inlineStr">
        <is>
          <t>Outreach to the Research and Development Centre, All-Staff meeting and meeting with Provincial Counterparts</t>
        </is>
      </c>
      <c r="G1437" t="inlineStr">
        <is>
          <t>Visite au Centre de recherche et de développement, réunion de l'ensemble du personnel et réunion avec les homologues provinciaux</t>
        </is>
      </c>
      <c r="H1437" s="1" t="n">
        <v>43787</v>
      </c>
      <c r="I1437" s="1" t="n">
        <v>43791</v>
      </c>
      <c r="J1437" t="inlineStr">
        <is>
          <t>Regina (Saskachewan) Canada</t>
        </is>
      </c>
      <c r="K1437" t="inlineStr">
        <is>
          <t>Regina (Saskachewan) Canada</t>
        </is>
      </c>
      <c r="P1437" t="n">
        <v>1742.27</v>
      </c>
      <c r="Q1437" t="n">
        <v>399.94</v>
      </c>
      <c r="R1437" t="n">
        <v>569.17</v>
      </c>
      <c r="S1437" t="n">
        <v>411.8</v>
      </c>
      <c r="U1437" t="n">
        <v>3123.18</v>
      </c>
      <c r="X1437" t="inlineStr">
        <is>
          <t>aafc-aac</t>
        </is>
      </c>
      <c r="Y1437" t="inlineStr">
        <is>
          <t>Agriculture and Agri-Food Canada | Agriculture et Agroalimentaire Canada</t>
        </is>
      </c>
      <c r="Z1437" t="n">
        <v>5</v>
      </c>
      <c r="AA1437" t="n">
        <v>3123.18</v>
      </c>
      <c r="AB1437">
        <f>ROUND(U1437-AA1437,2)</f>
        <v/>
      </c>
      <c r="AC1437" t="b">
        <v>0</v>
      </c>
      <c r="AD1437">
        <f>IF(U1437="","MISSING_TOTAL",IF(ABS(AB1437)&lt;=0.01,"OK","CHECK"))</f>
        <v/>
      </c>
      <c r="AE1437">
        <f>IF(U1437="","MISSING",IF(AND(AA1437&gt;0,U1437/AA1437&gt;50),"POSSIBLE_SCALE_ERROR","OK"))</f>
        <v/>
      </c>
    </row>
    <row r="1438">
      <c r="A1438" t="inlineStr">
        <is>
          <t>T-2019-P9-0018</t>
        </is>
      </c>
      <c r="B1438" t="inlineStr">
        <is>
          <t>SLE</t>
        </is>
      </c>
      <c r="C1438" t="inlineStr">
        <is>
          <t>Assistant Deputy Minister, Science and Technology Branch</t>
        </is>
      </c>
      <c r="D1438" t="inlineStr">
        <is>
          <t>Sous-ministre adjoint, Direction générale des sciences et de la technologie</t>
        </is>
      </c>
      <c r="E1438" t="inlineStr">
        <is>
          <t>Brian Gray</t>
        </is>
      </c>
      <c r="F1438" t="inlineStr">
        <is>
          <t>Outreach to the Research and Development Centre, All-Staff meeting and meeting with Provincial Counterparts</t>
        </is>
      </c>
      <c r="G1438" t="inlineStr">
        <is>
          <t>Visite au Centre de recherche et de développement, réunion de l'ensemble du personnel et réunion avec les homologues provinciaux</t>
        </is>
      </c>
      <c r="H1438" s="1" t="n">
        <v>43800</v>
      </c>
      <c r="I1438" s="1" t="n">
        <v>43803</v>
      </c>
      <c r="J1438" t="inlineStr">
        <is>
          <t>Halifax (Nova Scotia) Canada</t>
        </is>
      </c>
      <c r="K1438" t="inlineStr">
        <is>
          <t>Halifax (Nouvelle-Écosse) Canada</t>
        </is>
      </c>
      <c r="P1438" t="n">
        <v>600.76</v>
      </c>
      <c r="Q1438" t="n">
        <v>240.82</v>
      </c>
      <c r="R1438" t="n">
        <v>503.22</v>
      </c>
      <c r="S1438" t="n">
        <v>302.5</v>
      </c>
      <c r="U1438" t="n">
        <v>1647.3</v>
      </c>
      <c r="X1438" t="inlineStr">
        <is>
          <t>aafc-aac</t>
        </is>
      </c>
      <c r="Y1438" t="inlineStr">
        <is>
          <t>Agriculture and Agri-Food Canada | Agriculture et Agroalimentaire Canada</t>
        </is>
      </c>
      <c r="Z1438" t="n">
        <v>4</v>
      </c>
      <c r="AA1438" t="n">
        <v>1647.3</v>
      </c>
      <c r="AB1438">
        <f>ROUND(U1438-AA1438,2)</f>
        <v/>
      </c>
      <c r="AC1438" t="b">
        <v>0</v>
      </c>
      <c r="AD1438">
        <f>IF(U1438="","MISSING_TOTAL",IF(ABS(AB1438)&lt;=0.01,"OK","CHECK"))</f>
        <v/>
      </c>
      <c r="AE1438">
        <f>IF(U1438="","MISSING",IF(AND(AA1438&gt;0,U1438/AA1438&gt;50),"POSSIBLE_SCALE_ERROR","OK"))</f>
        <v/>
      </c>
    </row>
    <row r="1439">
      <c r="A1439" t="inlineStr">
        <is>
          <t>T-2019-P9-0019</t>
        </is>
      </c>
      <c r="B1439" t="inlineStr">
        <is>
          <t>SLE</t>
        </is>
      </c>
      <c r="C1439" t="inlineStr">
        <is>
          <t>Assistant Deputy Minister, Market and Industry Services Branch</t>
        </is>
      </c>
      <c r="D1439" t="inlineStr">
        <is>
          <t>Sous-ministre adjoint, Direction générale des services à l'industrie et aux marchés</t>
        </is>
      </c>
      <c r="E1439" t="inlineStr">
        <is>
          <t>Frédéric Seppey</t>
        </is>
      </c>
      <c r="F1439" t="inlineStr">
        <is>
          <t>Spoke at the GrowCanada conference and attended corporate and industry meetings</t>
        </is>
      </c>
      <c r="G1439" t="inlineStr">
        <is>
          <t>Discours à la conférence GrowCanada et rencontres avec des entreprises et l’industrie</t>
        </is>
      </c>
      <c r="H1439" s="1" t="n">
        <v>43802</v>
      </c>
      <c r="I1439" s="1" t="n">
        <v>43805</v>
      </c>
      <c r="J1439" t="inlineStr">
        <is>
          <t>Calgary (Alberta) Canada</t>
        </is>
      </c>
      <c r="K1439" t="inlineStr">
        <is>
          <t>Calgary (Alberta) Canada</t>
        </is>
      </c>
      <c r="P1439" t="n">
        <v>641.65</v>
      </c>
      <c r="Q1439" t="n">
        <v>116.9</v>
      </c>
      <c r="R1439" t="n">
        <v>467.85</v>
      </c>
      <c r="S1439" t="n">
        <v>244.75</v>
      </c>
      <c r="T1439" t="n">
        <v>14.63</v>
      </c>
      <c r="U1439" t="n">
        <v>1485.78</v>
      </c>
      <c r="V1439" t="inlineStr">
        <is>
          <t>An additional night was spent in a hotel due  to major flight delays</t>
        </is>
      </c>
      <c r="W1439" t="inlineStr">
        <is>
          <t>Une nuit supplémentaire dans un hôtel en raison d'importants retards de vol</t>
        </is>
      </c>
      <c r="X1439" t="inlineStr">
        <is>
          <t>aafc-aac</t>
        </is>
      </c>
      <c r="Y1439" t="inlineStr">
        <is>
          <t>Agriculture and Agri-Food Canada | Agriculture et Agroalimentaire Canada</t>
        </is>
      </c>
      <c r="Z1439" t="n">
        <v>4</v>
      </c>
      <c r="AA1439" t="n">
        <v>1485.78</v>
      </c>
      <c r="AB1439">
        <f>ROUND(U1439-AA1439,2)</f>
        <v/>
      </c>
      <c r="AC1439" t="b">
        <v>0</v>
      </c>
      <c r="AD1439">
        <f>IF(U1439="","MISSING_TOTAL",IF(ABS(AB1439)&lt;=0.01,"OK","CHECK"))</f>
        <v/>
      </c>
      <c r="AE1439">
        <f>IF(U1439="","MISSING",IF(AND(AA1439&gt;0,U1439/AA1439&gt;50),"POSSIBLE_SCALE_ERROR","OK"))</f>
        <v/>
      </c>
    </row>
    <row r="1440">
      <c r="A1440" t="inlineStr">
        <is>
          <t>T-2019-P9-0020</t>
        </is>
      </c>
      <c r="B1440" t="inlineStr">
        <is>
          <t>SLE</t>
        </is>
      </c>
      <c r="C1440" t="inlineStr">
        <is>
          <t>Associate Assistant Deputy Minister, Science and Technology Branch</t>
        </is>
      </c>
      <c r="D1440" t="inlineStr">
        <is>
          <t>Sous-ministre adjoint délégué, Direction générale des sciences et de la technologie</t>
        </is>
      </c>
      <c r="E1440" t="inlineStr">
        <is>
          <t>Gilles Saindon</t>
        </is>
      </c>
      <c r="F1440" t="inlineStr">
        <is>
          <t>Attend  the Cooperative Program in Agricultural Research and Technology for the Northern Region (PROCINORTE) Board of Directos meetings</t>
        </is>
      </c>
      <c r="G1440" t="inlineStr">
        <is>
          <t>Assister à la rencontre du conseil d'administration du Programme de coopération en recherche et technologie agricoles pour la région du Nord (PROCINORTE)</t>
        </is>
      </c>
      <c r="H1440" s="1" t="n">
        <v>43780</v>
      </c>
      <c r="I1440" s="1" t="n">
        <v>43783</v>
      </c>
      <c r="J1440" t="inlineStr">
        <is>
          <t>San Jose, Costa Rica</t>
        </is>
      </c>
      <c r="K1440" t="inlineStr">
        <is>
          <t>San Jose, Costa Rica</t>
        </is>
      </c>
      <c r="P1440" t="n">
        <v>1688.38</v>
      </c>
      <c r="Q1440" t="n">
        <v>73</v>
      </c>
      <c r="R1440" t="n">
        <v>615.72</v>
      </c>
      <c r="S1440" t="n">
        <v>336.72</v>
      </c>
      <c r="T1440" t="n">
        <v>3.75</v>
      </c>
      <c r="U1440" t="n">
        <v>2717.57</v>
      </c>
      <c r="X1440" t="inlineStr">
        <is>
          <t>aafc-aac</t>
        </is>
      </c>
      <c r="Y1440" t="inlineStr">
        <is>
          <t>Agriculture and Agri-Food Canada | Agriculture et Agroalimentaire Canada</t>
        </is>
      </c>
      <c r="Z1440" t="n">
        <v>4</v>
      </c>
      <c r="AA1440" t="n">
        <v>2717.57</v>
      </c>
      <c r="AB1440">
        <f>ROUND(U1440-AA1440,2)</f>
        <v/>
      </c>
      <c r="AC1440" t="b">
        <v>0</v>
      </c>
      <c r="AD1440">
        <f>IF(U1440="","MISSING_TOTAL",IF(ABS(AB1440)&lt;=0.01,"OK","CHECK"))</f>
        <v/>
      </c>
      <c r="AE1440">
        <f>IF(U1440="","MISSING",IF(AND(AA1440&gt;0,U1440/AA1440&gt;50),"POSSIBLE_SCALE_ERROR","OK"))</f>
        <v/>
      </c>
    </row>
    <row r="1441">
      <c r="A1441" t="inlineStr">
        <is>
          <t>T-2019-P9-0021</t>
        </is>
      </c>
      <c r="B1441" t="inlineStr">
        <is>
          <t>SLE</t>
        </is>
      </c>
      <c r="C1441" t="inlineStr">
        <is>
          <t>Associate Assistant Deputy Minister, Science and Technology Branch</t>
        </is>
      </c>
      <c r="D1441" t="inlineStr">
        <is>
          <t>Sous-ministre adjoint délégué, Direction générale des sciences et de la technologie</t>
        </is>
      </c>
      <c r="E1441" t="inlineStr">
        <is>
          <t>Gilles Saindon</t>
        </is>
      </c>
      <c r="F1441" t="inlineStr">
        <is>
          <t>To attend different meetings with representatives of the Centre for Agriculture and Bioscience International (CABI), the European Union, the Institut national de la recherche agronomique (INRA), and the Organisation for Economic Co-operation and Development (OECD) - Co-operative Research Program</t>
        </is>
      </c>
      <c r="G1441" t="inlineStr">
        <is>
          <t>Assister à différentes rencontres avec des représentants du Centre pour l’agriculture et les sciences biologiques internationales (CABI), de l'Union européenne, de l'Institut national de la recherche agronomique (INRA) et de l'Organisation de coopération et de développement économiques (OCDE) - Programme de recherche en collaboration</t>
        </is>
      </c>
      <c r="H1441" s="1" t="n">
        <v>43799</v>
      </c>
      <c r="I1441" s="1" t="n">
        <v>43806</v>
      </c>
      <c r="J1441" t="inlineStr">
        <is>
          <t>London, England;
Paris, France;
Brussels, Belgium</t>
        </is>
      </c>
      <c r="K1441" t="inlineStr">
        <is>
          <t>Londres, Angleterre;
Paris, France;
Bruxelles, Belgique</t>
        </is>
      </c>
      <c r="P1441" t="n">
        <v>3987.38</v>
      </c>
      <c r="Q1441" t="n">
        <v>784.4400000000001</v>
      </c>
      <c r="R1441" t="n">
        <v>1406.35</v>
      </c>
      <c r="S1441" t="n">
        <v>1386.94</v>
      </c>
      <c r="T1441" t="n">
        <v>8.85</v>
      </c>
      <c r="U1441" t="n">
        <v>7573.96</v>
      </c>
      <c r="X1441" t="inlineStr">
        <is>
          <t>aafc-aac</t>
        </is>
      </c>
      <c r="Y1441" t="inlineStr">
        <is>
          <t>Agriculture and Agri-Food Canada | Agriculture et Agroalimentaire Canada</t>
        </is>
      </c>
      <c r="Z1441" t="n">
        <v>8</v>
      </c>
      <c r="AA1441" t="n">
        <v>7573.96</v>
      </c>
      <c r="AB1441">
        <f>ROUND(U1441-AA1441,2)</f>
        <v/>
      </c>
      <c r="AC1441" t="b">
        <v>0</v>
      </c>
      <c r="AD1441">
        <f>IF(U1441="","MISSING_TOTAL",IF(ABS(AB1441)&lt;=0.01,"OK","CHECK"))</f>
        <v/>
      </c>
      <c r="AE1441">
        <f>IF(U1441="","MISSING",IF(AND(AA1441&gt;0,U1441/AA1441&gt;50),"POSSIBLE_SCALE_ERROR","OK"))</f>
        <v/>
      </c>
    </row>
    <row r="1442">
      <c r="A1442" t="inlineStr">
        <is>
          <t>T-2019-P10-0001</t>
        </is>
      </c>
      <c r="B1442" t="inlineStr">
        <is>
          <t>MPSES</t>
        </is>
      </c>
      <c r="C1442" t="inlineStr">
        <is>
          <t>Acting Driver</t>
        </is>
      </c>
      <c r="D1442" t="inlineStr">
        <is>
          <t>Chauffeur par intérim</t>
        </is>
      </c>
      <c r="E1442" t="inlineStr">
        <is>
          <t>Emile McKay</t>
        </is>
      </c>
      <c r="F1442" t="inlineStr">
        <is>
          <t>Drive the Minister from her riding to an outreach meeting in St-Hyacinthe and then to Ottawa</t>
        </is>
      </c>
      <c r="G1442" t="inlineStr">
        <is>
          <t>Conduire la ministre de sa circonscription à une campagne de sensibilisation à St-Hyacinthe puis à Ottawa</t>
        </is>
      </c>
      <c r="H1442" s="1" t="n">
        <v>43844</v>
      </c>
      <c r="I1442" s="1" t="n">
        <v>43844</v>
      </c>
      <c r="J1442" t="inlineStr">
        <is>
          <t>Sherbrooke (Quebec) Canada;
St-Hyacinthe (Quebec) Canada</t>
        </is>
      </c>
      <c r="K1442" t="inlineStr">
        <is>
          <t>Sherbrooke (Québec) Canada;
St-Hyacinthe (Québec) Canada</t>
        </is>
      </c>
      <c r="P1442" t="n">
        <v>0</v>
      </c>
      <c r="Q1442" t="n">
        <v>52.71</v>
      </c>
      <c r="R1442" t="n">
        <v>0</v>
      </c>
      <c r="S1442" t="n">
        <v>0</v>
      </c>
      <c r="T1442" t="n">
        <v>0</v>
      </c>
      <c r="U1442" t="n">
        <v>52.71</v>
      </c>
      <c r="V1442" t="inlineStr">
        <is>
          <t>The regular driver for the Minister was on vacation and Emile replaced him for the day.</t>
        </is>
      </c>
      <c r="W1442" t="inlineStr">
        <is>
          <t>Le chauffeur habituel du ministre était en vacances et Émile l'a remplacé pour la journée.</t>
        </is>
      </c>
      <c r="X1442" t="inlineStr">
        <is>
          <t>aafc-aac</t>
        </is>
      </c>
      <c r="Y1442" t="inlineStr">
        <is>
          <t>Agriculture and Agri-Food Canada | Agriculture et Agroalimentaire Canada</t>
        </is>
      </c>
      <c r="Z1442" t="n">
        <v>1</v>
      </c>
      <c r="AA1442" t="n">
        <v>52.71</v>
      </c>
      <c r="AB1442">
        <f>ROUND(U1442-AA1442,2)</f>
        <v/>
      </c>
      <c r="AC1442" t="b">
        <v>0</v>
      </c>
      <c r="AD1442">
        <f>IF(U1442="","MISSING_TOTAL",IF(ABS(AB1442)&lt;=0.01,"OK","CHECK"))</f>
        <v/>
      </c>
      <c r="AE1442">
        <f>IF(U1442="","MISSING",IF(AND(AA1442&gt;0,U1442/AA1442&gt;50),"POSSIBLE_SCALE_ERROR","OK"))</f>
        <v/>
      </c>
    </row>
    <row r="1443">
      <c r="A1443" t="inlineStr">
        <is>
          <t>T-2019-P10-0002</t>
        </is>
      </c>
      <c r="B1443" t="inlineStr">
        <is>
          <t>MPSES</t>
        </is>
      </c>
      <c r="C1443" t="inlineStr">
        <is>
          <t>Director of Parliamentary Affairs</t>
        </is>
      </c>
      <c r="D1443" t="inlineStr">
        <is>
          <t>Directeur des affaires parlementaires</t>
        </is>
      </c>
      <c r="E1443" t="inlineStr">
        <is>
          <t>Michel-Antoine Renaud</t>
        </is>
      </c>
      <c r="F1443" t="inlineStr">
        <is>
          <t>Accompany the Minister to the Congrés de l'Union des producteurs agricoles and a bilat with the Minister of Agiculture, Fisheries and Food</t>
        </is>
      </c>
      <c r="G1443" t="inlineStr">
        <is>
          <t>Accompagner la ministre aux Congrès de l'Union des producteurs agricoles et un bilatéral avec le ministre de l'Agriculture, des Pêcheries et de l'Alimentation</t>
        </is>
      </c>
      <c r="H1443" s="1" t="n">
        <v>43802</v>
      </c>
      <c r="I1443" s="1" t="n">
        <v>43802</v>
      </c>
      <c r="J1443" t="inlineStr">
        <is>
          <t>Quebec (Quebec) Canada</t>
        </is>
      </c>
      <c r="K1443" t="inlineStr">
        <is>
          <t>Québec (Québec) Canada</t>
        </is>
      </c>
      <c r="P1443" t="n">
        <v>970.51</v>
      </c>
      <c r="Q1443" t="n">
        <v>76.53</v>
      </c>
      <c r="R1443" t="n">
        <v>0</v>
      </c>
      <c r="S1443" t="n">
        <v>91.5</v>
      </c>
      <c r="T1443" t="n">
        <v>0</v>
      </c>
      <c r="U1443" t="n">
        <v>1138.54</v>
      </c>
      <c r="X1443" t="inlineStr">
        <is>
          <t>aafc-aac</t>
        </is>
      </c>
      <c r="Y1443" t="inlineStr">
        <is>
          <t>Agriculture and Agri-Food Canada | Agriculture et Agroalimentaire Canada</t>
        </is>
      </c>
      <c r="Z1443" t="n">
        <v>1</v>
      </c>
      <c r="AA1443" t="n">
        <v>1138.54</v>
      </c>
      <c r="AB1443">
        <f>ROUND(U1443-AA1443,2)</f>
        <v/>
      </c>
      <c r="AC1443" t="b">
        <v>0</v>
      </c>
      <c r="AD1443">
        <f>IF(U1443="","MISSING_TOTAL",IF(ABS(AB1443)&lt;=0.01,"OK","CHECK"))</f>
        <v/>
      </c>
      <c r="AE1443">
        <f>IF(U1443="","MISSING",IF(AND(AA1443&gt;0,U1443/AA1443&gt;50),"POSSIBLE_SCALE_ERROR","OK"))</f>
        <v/>
      </c>
    </row>
    <row r="1444">
      <c r="A1444" t="inlineStr">
        <is>
          <t>T-2019-P10-0003</t>
        </is>
      </c>
      <c r="B1444" t="inlineStr">
        <is>
          <t>SLE</t>
        </is>
      </c>
      <c r="C1444" t="inlineStr">
        <is>
          <t>Associate Deputy Minister</t>
        </is>
      </c>
      <c r="D1444" t="inlineStr">
        <is>
          <t>Sous-ministre déléguée</t>
        </is>
      </c>
      <c r="E1444" t="inlineStr">
        <is>
          <t>Annette Gibbons</t>
        </is>
      </c>
      <c r="F1444" t="inlineStr">
        <is>
          <t>Briefing meeting with the Minister</t>
        </is>
      </c>
      <c r="G1444" t="inlineStr">
        <is>
          <t>Séance d'information avec la ministre</t>
        </is>
      </c>
      <c r="H1444" s="1" t="n">
        <v>43839</v>
      </c>
      <c r="I1444" s="1" t="n">
        <v>43840</v>
      </c>
      <c r="J1444" t="inlineStr">
        <is>
          <t>Montreal (Quebec) Canada;
Sherbrooke (Quebec) Canada</t>
        </is>
      </c>
      <c r="K1444" t="inlineStr">
        <is>
          <t>Montréal (Québec) Canada;
Sherbrooke (Québec) Canada</t>
        </is>
      </c>
      <c r="P1444" t="n">
        <v>0</v>
      </c>
      <c r="Q1444" t="n">
        <v>88.29000000000001</v>
      </c>
      <c r="R1444" t="n">
        <v>228.48</v>
      </c>
      <c r="S1444" t="n">
        <v>20.35</v>
      </c>
      <c r="T1444" t="n">
        <v>0</v>
      </c>
      <c r="U1444" t="n">
        <v>337.12</v>
      </c>
      <c r="X1444" t="inlineStr">
        <is>
          <t>aafc-aac</t>
        </is>
      </c>
      <c r="Y1444" t="inlineStr">
        <is>
          <t>Agriculture and Agri-Food Canada | Agriculture et Agroalimentaire Canada</t>
        </is>
      </c>
      <c r="Z1444" t="n">
        <v>2</v>
      </c>
      <c r="AA1444" t="n">
        <v>337.12</v>
      </c>
      <c r="AB1444">
        <f>ROUND(U1444-AA1444,2)</f>
        <v/>
      </c>
      <c r="AC1444" t="b">
        <v>0</v>
      </c>
      <c r="AD1444">
        <f>IF(U1444="","MISSING_TOTAL",IF(ABS(AB1444)&lt;=0.01,"OK","CHECK"))</f>
        <v/>
      </c>
      <c r="AE1444">
        <f>IF(U1444="","MISSING",IF(AND(AA1444&gt;0,U1444/AA1444&gt;50),"POSSIBLE_SCALE_ERROR","OK"))</f>
        <v/>
      </c>
    </row>
    <row r="1445">
      <c r="A1445" t="inlineStr">
        <is>
          <t>T-2019-P10-0004</t>
        </is>
      </c>
      <c r="B1445" t="inlineStr">
        <is>
          <t>SLE</t>
        </is>
      </c>
      <c r="C1445" t="inlineStr">
        <is>
          <t>Deputy Minister</t>
        </is>
      </c>
      <c r="D1445" t="inlineStr">
        <is>
          <t>Sous-ministre</t>
        </is>
      </c>
      <c r="E1445" t="inlineStr">
        <is>
          <t>Chris Forbes</t>
        </is>
      </c>
      <c r="F1445" t="inlineStr">
        <is>
          <t>Briefing meeting with the Minister</t>
        </is>
      </c>
      <c r="G1445" t="inlineStr">
        <is>
          <t>Séance d'information avec la ministre</t>
        </is>
      </c>
      <c r="H1445" s="1" t="n">
        <v>43839</v>
      </c>
      <c r="I1445" s="1" t="n">
        <v>43840</v>
      </c>
      <c r="J1445" t="inlineStr">
        <is>
          <t>Montreal (Quebec) Canada;
Sherbrooke (Quebec) Canada</t>
        </is>
      </c>
      <c r="K1445" t="inlineStr">
        <is>
          <t>Montréal (Québec) Canada;
Sherbrooke (Québec) Canada</t>
        </is>
      </c>
      <c r="P1445" t="n">
        <v>0</v>
      </c>
      <c r="Q1445" t="n">
        <v>37</v>
      </c>
      <c r="R1445" t="n">
        <v>228.48</v>
      </c>
      <c r="S1445" t="n">
        <v>20.35</v>
      </c>
      <c r="T1445" t="n">
        <v>0</v>
      </c>
      <c r="U1445" t="n">
        <v>285.83</v>
      </c>
      <c r="X1445" t="inlineStr">
        <is>
          <t>aafc-aac</t>
        </is>
      </c>
      <c r="Y1445" t="inlineStr">
        <is>
          <t>Agriculture and Agri-Food Canada | Agriculture et Agroalimentaire Canada</t>
        </is>
      </c>
      <c r="Z1445" t="n">
        <v>2</v>
      </c>
      <c r="AA1445" t="n">
        <v>285.83</v>
      </c>
      <c r="AB1445">
        <f>ROUND(U1445-AA1445,2)</f>
        <v/>
      </c>
      <c r="AC1445" t="b">
        <v>0</v>
      </c>
      <c r="AD1445">
        <f>IF(U1445="","MISSING_TOTAL",IF(ABS(AB1445)&lt;=0.01,"OK","CHECK"))</f>
        <v/>
      </c>
      <c r="AE1445">
        <f>IF(U1445="","MISSING",IF(AND(AA1445&gt;0,U1445/AA1445&gt;50),"POSSIBLE_SCALE_ERROR","OK"))</f>
        <v/>
      </c>
    </row>
    <row r="1446">
      <c r="A1446" t="inlineStr">
        <is>
          <t>T-2019-P10-0005</t>
        </is>
      </c>
      <c r="B1446" t="inlineStr">
        <is>
          <t>SLE</t>
        </is>
      </c>
      <c r="C1446" t="inlineStr">
        <is>
          <t>Workplace Well-Being Ombudsperson</t>
        </is>
      </c>
      <c r="D1446" t="inlineStr">
        <is>
          <t>Ombudsman du mieux-être en milieu de travail</t>
        </is>
      </c>
      <c r="E1446" t="inlineStr">
        <is>
          <t>Jane Taylor</t>
        </is>
      </c>
      <c r="F1446" t="inlineStr">
        <is>
          <t>Visiting the Farm Income Programs Directorate</t>
        </is>
      </c>
      <c r="G1446" t="inlineStr">
        <is>
          <t>Visite avec la direction des programmes du revenu agricole</t>
        </is>
      </c>
      <c r="H1446" s="1" t="n">
        <v>43809</v>
      </c>
      <c r="I1446" s="1" t="n">
        <v>43811</v>
      </c>
      <c r="J1446" t="inlineStr">
        <is>
          <t>Winnipeg (Manitoba) Canada</t>
        </is>
      </c>
      <c r="K1446" t="inlineStr">
        <is>
          <t>Winnipeg (Manitoba) Canada</t>
        </is>
      </c>
      <c r="P1446" t="n">
        <v>1005.34</v>
      </c>
      <c r="Q1446" t="n">
        <v>104</v>
      </c>
      <c r="R1446" t="n">
        <v>325.96</v>
      </c>
      <c r="S1446" t="n">
        <v>234.9</v>
      </c>
      <c r="T1446" t="n">
        <v>0</v>
      </c>
      <c r="U1446" t="n">
        <v>1670.2</v>
      </c>
      <c r="X1446" t="inlineStr">
        <is>
          <t>aafc-aac</t>
        </is>
      </c>
      <c r="Y1446" t="inlineStr">
        <is>
          <t>Agriculture and Agri-Food Canada | Agriculture et Agroalimentaire Canada</t>
        </is>
      </c>
      <c r="Z1446" t="n">
        <v>3</v>
      </c>
      <c r="AA1446" t="n">
        <v>1670.2</v>
      </c>
      <c r="AB1446">
        <f>ROUND(U1446-AA1446,2)</f>
        <v/>
      </c>
      <c r="AC1446" t="b">
        <v>0</v>
      </c>
      <c r="AD1446">
        <f>IF(U1446="","MISSING_TOTAL",IF(ABS(AB1446)&lt;=0.01,"OK","CHECK"))</f>
        <v/>
      </c>
      <c r="AE1446">
        <f>IF(U1446="","MISSING",IF(AND(AA1446&gt;0,U1446/AA1446&gt;50),"POSSIBLE_SCALE_ERROR","OK"))</f>
        <v/>
      </c>
    </row>
    <row r="1447">
      <c r="A1447" t="inlineStr">
        <is>
          <t>T-2019-P10-0006</t>
        </is>
      </c>
      <c r="B1447" t="inlineStr">
        <is>
          <t>SLE</t>
        </is>
      </c>
      <c r="C1447" t="inlineStr">
        <is>
          <t>Workplace Well-Being Ombudsperson</t>
        </is>
      </c>
      <c r="D1447" t="inlineStr">
        <is>
          <t>Ombudsman du mieux-être en milieu de travail</t>
        </is>
      </c>
      <c r="E1447" t="inlineStr">
        <is>
          <t>Jane Taylor</t>
        </is>
      </c>
      <c r="F1447" t="inlineStr">
        <is>
          <t>Outreach to Guelph and Vineland</t>
        </is>
      </c>
      <c r="G1447" t="inlineStr">
        <is>
          <t>Visite de sensibilisation à Guelph et à Vineland</t>
        </is>
      </c>
      <c r="H1447" s="1" t="n">
        <v>43796</v>
      </c>
      <c r="I1447" s="1" t="n">
        <v>43798</v>
      </c>
      <c r="J1447" t="inlineStr">
        <is>
          <t>Guelph (Ontario) Canada; Vineland (Ontario) Canada</t>
        </is>
      </c>
      <c r="K1447" t="inlineStr">
        <is>
          <t>Guelph (Ontario) Canada; Vineland (Ontario) Canada</t>
        </is>
      </c>
      <c r="P1447" t="n">
        <v>0</v>
      </c>
      <c r="Q1447" t="n">
        <v>36.19</v>
      </c>
      <c r="R1447" t="n">
        <v>0</v>
      </c>
      <c r="S1447" t="n">
        <v>0</v>
      </c>
      <c r="T1447" t="n">
        <v>0</v>
      </c>
      <c r="U1447" t="n">
        <v>36.19</v>
      </c>
      <c r="V1447" t="inlineStr">
        <is>
          <t>Additional reimbursement related to T-2019-P9-0016</t>
        </is>
      </c>
      <c r="W1447" t="inlineStr">
        <is>
          <t>Remboursement supplémentaire lié auT-2019-P9-0016</t>
        </is>
      </c>
      <c r="X1447" t="inlineStr">
        <is>
          <t>aafc-aac</t>
        </is>
      </c>
      <c r="Y1447" t="inlineStr">
        <is>
          <t>Agriculture and Agri-Food Canada | Agriculture et Agroalimentaire Canada</t>
        </is>
      </c>
      <c r="Z1447" t="n">
        <v>3</v>
      </c>
      <c r="AA1447" t="n">
        <v>36.19</v>
      </c>
      <c r="AB1447">
        <f>ROUND(U1447-AA1447,2)</f>
        <v/>
      </c>
      <c r="AC1447" t="b">
        <v>0</v>
      </c>
      <c r="AD1447">
        <f>IF(U1447="","MISSING_TOTAL",IF(ABS(AB1447)&lt;=0.01,"OK","CHECK"))</f>
        <v/>
      </c>
      <c r="AE1447">
        <f>IF(U1447="","MISSING",IF(AND(AA1447&gt;0,U1447/AA1447&gt;50),"POSSIBLE_SCALE_ERROR","OK"))</f>
        <v/>
      </c>
    </row>
    <row r="1448">
      <c r="A1448" t="inlineStr">
        <is>
          <t>T-2019-P10-0007</t>
        </is>
      </c>
      <c r="B1448" t="inlineStr">
        <is>
          <t>SLE</t>
        </is>
      </c>
      <c r="C1448" t="inlineStr">
        <is>
          <t>Assistant Deputy Minister, International Affairs Branch</t>
        </is>
      </c>
      <c r="D1448" t="inlineStr">
        <is>
          <t>Sous-ministre adjoint, Direction générale des affaires internationales</t>
        </is>
      </c>
      <c r="E1448" t="inlineStr">
        <is>
          <t>Fred Gorrell</t>
        </is>
      </c>
      <c r="F1448" t="inlineStr">
        <is>
          <t>Attended the Tri-National Agriculture Accord</t>
        </is>
      </c>
      <c r="G1448" t="inlineStr">
        <is>
          <t>Participer à l'Accord trinational sur l'agriculture</t>
        </is>
      </c>
      <c r="H1448" s="1" t="n">
        <v>43781</v>
      </c>
      <c r="I1448" s="1" t="n">
        <v>43783</v>
      </c>
      <c r="J1448" t="inlineStr">
        <is>
          <t>Winnipeg (Manitoba) Canada</t>
        </is>
      </c>
      <c r="K1448" t="inlineStr">
        <is>
          <t>Winnipeg (Manitoba) Canada</t>
        </is>
      </c>
      <c r="P1448" t="n">
        <v>1442.37</v>
      </c>
      <c r="Q1448" t="n">
        <v>152.91</v>
      </c>
      <c r="R1448" t="n">
        <v>379.9</v>
      </c>
      <c r="S1448" t="n">
        <v>51.9</v>
      </c>
      <c r="T1448" t="n">
        <v>0</v>
      </c>
      <c r="U1448" t="n">
        <v>2027.08</v>
      </c>
      <c r="X1448" t="inlineStr">
        <is>
          <t>aafc-aac</t>
        </is>
      </c>
      <c r="Y1448" t="inlineStr">
        <is>
          <t>Agriculture and Agri-Food Canada | Agriculture et Agroalimentaire Canada</t>
        </is>
      </c>
      <c r="Z1448" t="n">
        <v>3</v>
      </c>
      <c r="AA1448" t="n">
        <v>2027.08</v>
      </c>
      <c r="AB1448">
        <f>ROUND(U1448-AA1448,2)</f>
        <v/>
      </c>
      <c r="AC1448" t="b">
        <v>0</v>
      </c>
      <c r="AD1448">
        <f>IF(U1448="","MISSING_TOTAL",IF(ABS(AB1448)&lt;=0.01,"OK","CHECK"))</f>
        <v/>
      </c>
      <c r="AE1448">
        <f>IF(U1448="","MISSING",IF(AND(AA1448&gt;0,U1448/AA1448&gt;50),"POSSIBLE_SCALE_ERROR","OK"))</f>
        <v/>
      </c>
    </row>
    <row r="1449">
      <c r="A1449" t="inlineStr">
        <is>
          <t>T-2019-P10-0008</t>
        </is>
      </c>
      <c r="B1449" t="inlineStr">
        <is>
          <t>SLE</t>
        </is>
      </c>
      <c r="C1449" t="inlineStr">
        <is>
          <t>Assistant Deputy Minister, International Affairs Branch</t>
        </is>
      </c>
      <c r="D1449" t="inlineStr">
        <is>
          <t>Sous-ministre adjoint, Direction générale des affaires internationales</t>
        </is>
      </c>
      <c r="E1449" t="inlineStr">
        <is>
          <t>Fred Gorrell</t>
        </is>
      </c>
      <c r="F1449" t="inlineStr">
        <is>
          <t>Attended the Canola Meeting</t>
        </is>
      </c>
      <c r="G1449" t="inlineStr">
        <is>
          <t>Participer à la réunion sur le canola</t>
        </is>
      </c>
      <c r="H1449" s="1" t="n">
        <v>43794</v>
      </c>
      <c r="I1449" s="1" t="n">
        <v>43795</v>
      </c>
      <c r="J1449" t="inlineStr">
        <is>
          <t>Winnipeg (Manitoba) Canada</t>
        </is>
      </c>
      <c r="K1449" t="inlineStr">
        <is>
          <t>Winnipeg (Manitoba) Canada</t>
        </is>
      </c>
      <c r="P1449" t="n">
        <v>799.9</v>
      </c>
      <c r="Q1449" t="n">
        <v>127.91</v>
      </c>
      <c r="R1449" t="n">
        <v>228.23</v>
      </c>
      <c r="S1449" t="n">
        <v>75.55</v>
      </c>
      <c r="T1449" t="n">
        <v>0</v>
      </c>
      <c r="U1449" t="n">
        <v>1231.59</v>
      </c>
      <c r="X1449" t="inlineStr">
        <is>
          <t>aafc-aac</t>
        </is>
      </c>
      <c r="Y1449" t="inlineStr">
        <is>
          <t>Agriculture and Agri-Food Canada | Agriculture et Agroalimentaire Canada</t>
        </is>
      </c>
      <c r="Z1449" t="n">
        <v>2</v>
      </c>
      <c r="AA1449" t="n">
        <v>1231.59</v>
      </c>
      <c r="AB1449">
        <f>ROUND(U1449-AA1449,2)</f>
        <v/>
      </c>
      <c r="AC1449" t="b">
        <v>0</v>
      </c>
      <c r="AD1449">
        <f>IF(U1449="","MISSING_TOTAL",IF(ABS(AB1449)&lt;=0.01,"OK","CHECK"))</f>
        <v/>
      </c>
      <c r="AE1449">
        <f>IF(U1449="","MISSING",IF(AND(AA1449&gt;0,U1449/AA1449&gt;50),"POSSIBLE_SCALE_ERROR","OK"))</f>
        <v/>
      </c>
    </row>
    <row r="1450">
      <c r="A1450" t="inlineStr">
        <is>
          <t>T-2019-P10-0009</t>
        </is>
      </c>
      <c r="B1450" t="inlineStr">
        <is>
          <t>SLE</t>
        </is>
      </c>
      <c r="C1450" t="inlineStr">
        <is>
          <t>Assistant Deputy Minister, International Affairs Branch</t>
        </is>
      </c>
      <c r="D1450" t="inlineStr">
        <is>
          <t>Sous-ministre adjoint, Direction générale des affaires internationales</t>
        </is>
      </c>
      <c r="E1450" t="inlineStr">
        <is>
          <t>Fred Gorrell</t>
        </is>
      </c>
      <c r="F1450" t="inlineStr">
        <is>
          <t>Attended the Prairie Oat Growers Association Annual Meeting</t>
        </is>
      </c>
      <c r="G1450" t="inlineStr">
        <is>
          <t>Participer à la réunion Annuelle du Prairie Oat Growers Association</t>
        </is>
      </c>
      <c r="H1450" s="1" t="n">
        <v>43803</v>
      </c>
      <c r="I1450" s="1" t="n">
        <v>43804</v>
      </c>
      <c r="J1450" t="inlineStr">
        <is>
          <t>Winnipeg (Manitoba) Canada</t>
        </is>
      </c>
      <c r="K1450" t="inlineStr">
        <is>
          <t>Winnipeg (Manitoba) Canada</t>
        </is>
      </c>
      <c r="P1450" t="n">
        <v>719.22</v>
      </c>
      <c r="Q1450" t="n">
        <v>106.91</v>
      </c>
      <c r="R1450" t="n">
        <v>162.98</v>
      </c>
      <c r="S1450" t="n">
        <v>126.1</v>
      </c>
      <c r="T1450" t="n">
        <v>0</v>
      </c>
      <c r="U1450" t="n">
        <v>1115.21</v>
      </c>
      <c r="X1450" t="inlineStr">
        <is>
          <t>aafc-aac</t>
        </is>
      </c>
      <c r="Y1450" t="inlineStr">
        <is>
          <t>Agriculture and Agri-Food Canada | Agriculture et Agroalimentaire Canada</t>
        </is>
      </c>
      <c r="Z1450" t="n">
        <v>2</v>
      </c>
      <c r="AA1450" t="n">
        <v>1115.21</v>
      </c>
      <c r="AB1450">
        <f>ROUND(U1450-AA1450,2)</f>
        <v/>
      </c>
      <c r="AC1450" t="b">
        <v>0</v>
      </c>
      <c r="AD1450">
        <f>IF(U1450="","MISSING_TOTAL",IF(ABS(AB1450)&lt;=0.01,"OK","CHECK"))</f>
        <v/>
      </c>
      <c r="AE1450">
        <f>IF(U1450="","MISSING",IF(AND(AA1450&gt;0,U1450/AA1450&gt;50),"POSSIBLE_SCALE_ERROR","OK"))</f>
        <v/>
      </c>
    </row>
    <row r="1451">
      <c r="A1451" t="inlineStr">
        <is>
          <t>T-2019-P10-0010</t>
        </is>
      </c>
      <c r="B1451" t="inlineStr">
        <is>
          <t>SLE</t>
        </is>
      </c>
      <c r="C1451" t="inlineStr">
        <is>
          <t>Chief Information Officer, Information Systems Branch</t>
        </is>
      </c>
      <c r="D1451" t="inlineStr">
        <is>
          <t>Dirigeant principal de l'information, Direction générale des systèmes d'information</t>
        </is>
      </c>
      <c r="E1451" t="inlineStr">
        <is>
          <t>Michel Lessard</t>
        </is>
      </c>
      <c r="F1451" t="inlineStr">
        <is>
          <t>Attended  regular meetings with the Government of Canada Chief Information Officer and his council.</t>
        </is>
      </c>
      <c r="G1451" t="inlineStr">
        <is>
          <t>Participer à des réunions régulières avec le dirigeant principal du gouvernement du Canada et son conseil.</t>
        </is>
      </c>
      <c r="H1451" s="1" t="n">
        <v>43838</v>
      </c>
      <c r="I1451" s="1" t="n">
        <v>43838</v>
      </c>
      <c r="J1451" t="inlineStr">
        <is>
          <t>Toronto (Ontario) Canada</t>
        </is>
      </c>
      <c r="K1451" t="inlineStr">
        <is>
          <t>Toronto (Ontario) Canada</t>
        </is>
      </c>
      <c r="P1451" t="n">
        <v>597.59</v>
      </c>
      <c r="Q1451" t="n">
        <v>50.4</v>
      </c>
      <c r="R1451" t="n">
        <v>0</v>
      </c>
      <c r="S1451" t="n">
        <v>0</v>
      </c>
      <c r="T1451" t="n">
        <v>0</v>
      </c>
      <c r="U1451" t="n">
        <v>647.99</v>
      </c>
      <c r="X1451" t="inlineStr">
        <is>
          <t>aafc-aac</t>
        </is>
      </c>
      <c r="Y1451" t="inlineStr">
        <is>
          <t>Agriculture and Agri-Food Canada | Agriculture et Agroalimentaire Canada</t>
        </is>
      </c>
      <c r="Z1451" t="n">
        <v>1</v>
      </c>
      <c r="AA1451" t="n">
        <v>647.99</v>
      </c>
      <c r="AB1451">
        <f>ROUND(U1451-AA1451,2)</f>
        <v/>
      </c>
      <c r="AC1451" t="b">
        <v>0</v>
      </c>
      <c r="AD1451">
        <f>IF(U1451="","MISSING_TOTAL",IF(ABS(AB1451)&lt;=0.01,"OK","CHECK"))</f>
        <v/>
      </c>
      <c r="AE1451">
        <f>IF(U1451="","MISSING",IF(AND(AA1451&gt;0,U1451/AA1451&gt;50),"POSSIBLE_SCALE_ERROR","OK"))</f>
        <v/>
      </c>
    </row>
    <row r="1452">
      <c r="A1452" t="inlineStr">
        <is>
          <t>T-2019-P10-0011</t>
        </is>
      </c>
      <c r="B1452" t="inlineStr">
        <is>
          <t>SLE</t>
        </is>
      </c>
      <c r="C1452" t="inlineStr">
        <is>
          <t>Assistant Deputy Minister, Programs Branch</t>
        </is>
      </c>
      <c r="D1452" t="inlineStr">
        <is>
          <t>Sous-ministre adjoint, Direction générale des programmes</t>
        </is>
      </c>
      <c r="E1452" t="inlineStr">
        <is>
          <t>Paul Samson</t>
        </is>
      </c>
      <c r="F1452" t="inlineStr">
        <is>
          <t>Visiting the Farm Income Programs Directorate</t>
        </is>
      </c>
      <c r="G1452" t="inlineStr">
        <is>
          <t>Visite avec la direction des programmes du revenu agricole</t>
        </is>
      </c>
      <c r="H1452" s="1" t="n">
        <v>43809</v>
      </c>
      <c r="I1452" s="1" t="n">
        <v>43810</v>
      </c>
      <c r="J1452" t="inlineStr">
        <is>
          <t>Winnipeg (Manitoba) Canada</t>
        </is>
      </c>
      <c r="K1452" t="inlineStr">
        <is>
          <t>Winnipeg (Manitoba) Canada</t>
        </is>
      </c>
      <c r="P1452" t="n">
        <v>804.09</v>
      </c>
      <c r="Q1452" t="n">
        <v>112.67</v>
      </c>
      <c r="R1452" t="n">
        <v>209.88</v>
      </c>
      <c r="S1452" t="n">
        <v>105.5</v>
      </c>
      <c r="T1452" t="n">
        <v>0</v>
      </c>
      <c r="U1452" t="n">
        <v>1232.14</v>
      </c>
      <c r="X1452" t="inlineStr">
        <is>
          <t>aafc-aac</t>
        </is>
      </c>
      <c r="Y1452" t="inlineStr">
        <is>
          <t>Agriculture and Agri-Food Canada | Agriculture et Agroalimentaire Canada</t>
        </is>
      </c>
      <c r="Z1452" t="n">
        <v>2</v>
      </c>
      <c r="AA1452" t="n">
        <v>1232.13999999999</v>
      </c>
      <c r="AB1452">
        <f>ROUND(U1452-AA1452,2)</f>
        <v/>
      </c>
      <c r="AC1452" t="b">
        <v>0</v>
      </c>
      <c r="AD1452">
        <f>IF(U1452="","MISSING_TOTAL",IF(ABS(AB1452)&lt;=0.01,"OK","CHECK"))</f>
        <v/>
      </c>
      <c r="AE1452">
        <f>IF(U1452="","MISSING",IF(AND(AA1452&gt;0,U1452/AA1452&gt;50),"POSSIBLE_SCALE_ERROR","OK"))</f>
        <v/>
      </c>
    </row>
    <row r="1453">
      <c r="A1453" t="inlineStr">
        <is>
          <t>T-2019-P10-0012</t>
        </is>
      </c>
      <c r="B1453" t="inlineStr">
        <is>
          <t>SLE</t>
        </is>
      </c>
      <c r="C1453" t="inlineStr">
        <is>
          <t>Assistant Deputy Minister, Strategic Policy Branch</t>
        </is>
      </c>
      <c r="D1453" t="inlineStr">
        <is>
          <t>Sous-ministre adjoint, Direction générale des politiques stratégiques</t>
        </is>
      </c>
      <c r="E1453" t="inlineStr">
        <is>
          <t>Tom Rosser</t>
        </is>
      </c>
      <c r="F1453" t="inlineStr">
        <is>
          <t>Briefing meeting with the Minister in her Riding.</t>
        </is>
      </c>
      <c r="G1453" t="inlineStr">
        <is>
          <t>Séance d'information avec la ministre</t>
        </is>
      </c>
      <c r="H1453" s="1" t="n">
        <v>43839</v>
      </c>
      <c r="I1453" s="1" t="n">
        <v>43840</v>
      </c>
      <c r="J1453" t="inlineStr">
        <is>
          <t>Montreal (Quebec) Canada; Sherbrooke (Quebec) Canada</t>
        </is>
      </c>
      <c r="K1453" t="inlineStr">
        <is>
          <t>Montréal  (Québec) Canada;  Sherbrooke (Québec) Canada</t>
        </is>
      </c>
      <c r="P1453" t="n">
        <v>0</v>
      </c>
      <c r="Q1453" t="n">
        <v>77.62</v>
      </c>
      <c r="R1453" t="n">
        <v>228.48</v>
      </c>
      <c r="S1453" t="n">
        <v>105.5</v>
      </c>
      <c r="T1453" t="n">
        <v>0</v>
      </c>
      <c r="U1453" t="n">
        <v>411.6</v>
      </c>
      <c r="X1453" t="inlineStr">
        <is>
          <t>aafc-aac</t>
        </is>
      </c>
      <c r="Y1453" t="inlineStr">
        <is>
          <t>Agriculture and Agri-Food Canada | Agriculture et Agroalimentaire Canada</t>
        </is>
      </c>
      <c r="Z1453" t="n">
        <v>2</v>
      </c>
      <c r="AA1453" t="n">
        <v>411.6</v>
      </c>
      <c r="AB1453">
        <f>ROUND(U1453-AA1453,2)</f>
        <v/>
      </c>
      <c r="AC1453" t="b">
        <v>0</v>
      </c>
      <c r="AD1453">
        <f>IF(U1453="","MISSING_TOTAL",IF(ABS(AB1453)&lt;=0.01,"OK","CHECK"))</f>
        <v/>
      </c>
      <c r="AE1453">
        <f>IF(U1453="","MISSING",IF(AND(AA1453&gt;0,U1453/AA1453&gt;50),"POSSIBLE_SCALE_ERROR","OK"))</f>
        <v/>
      </c>
    </row>
    <row r="1454">
      <c r="A1454" t="inlineStr">
        <is>
          <t>T-2019-P10-0013</t>
        </is>
      </c>
      <c r="B1454" t="inlineStr">
        <is>
          <t>SLE</t>
        </is>
      </c>
      <c r="C1454" t="inlineStr">
        <is>
          <t>Assistant Deputy Minister, Strategic Policy Branch</t>
        </is>
      </c>
      <c r="D1454" t="inlineStr">
        <is>
          <t>Sous-ministre adjoint, Direction générale des politiques stratégiques</t>
        </is>
      </c>
      <c r="E1454" t="inlineStr">
        <is>
          <t>Tom Rosser</t>
        </is>
      </c>
      <c r="F1454" t="inlineStr">
        <is>
          <t>Attend a Regional Management Meeting in Guelph and the Arrell Food Summit in Toronto.</t>
        </is>
      </c>
      <c r="G1454" t="inlineStr">
        <is>
          <t>Assister à une réunion de gestion régionale à Guelph  et le sommet des aliments Arrell à Toronto</t>
        </is>
      </c>
      <c r="H1454" s="1" t="n">
        <v>43800</v>
      </c>
      <c r="I1454" s="1" t="n">
        <v>43803</v>
      </c>
      <c r="J1454" t="inlineStr">
        <is>
          <t>Guelph (Ontario);Toronto (Ontario) Canada</t>
        </is>
      </c>
      <c r="K1454" t="inlineStr">
        <is>
          <t>Guelph (Ontario) Canada; Toronto (Ontario) Canada</t>
        </is>
      </c>
      <c r="P1454" t="n">
        <v>106.5</v>
      </c>
      <c r="Q1454" t="n">
        <v>193.55</v>
      </c>
      <c r="R1454" t="n">
        <v>482.24</v>
      </c>
      <c r="S1454" t="n">
        <v>252.2</v>
      </c>
      <c r="T1454" t="n">
        <v>0</v>
      </c>
      <c r="U1454" t="n">
        <v>1034.49</v>
      </c>
      <c r="X1454" t="inlineStr">
        <is>
          <t>aafc-aac</t>
        </is>
      </c>
      <c r="Y1454" t="inlineStr">
        <is>
          <t>Agriculture and Agri-Food Canada | Agriculture et Agroalimentaire Canada</t>
        </is>
      </c>
      <c r="Z1454" t="n">
        <v>4</v>
      </c>
      <c r="AA1454" t="n">
        <v>1034.49</v>
      </c>
      <c r="AB1454">
        <f>ROUND(U1454-AA1454,2)</f>
        <v/>
      </c>
      <c r="AC1454" t="b">
        <v>0</v>
      </c>
      <c r="AD1454">
        <f>IF(U1454="","MISSING_TOTAL",IF(ABS(AB1454)&lt;=0.01,"OK","CHECK"))</f>
        <v/>
      </c>
      <c r="AE1454">
        <f>IF(U1454="","MISSING",IF(AND(AA1454&gt;0,U1454/AA1454&gt;50),"POSSIBLE_SCALE_ERROR","OK"))</f>
        <v/>
      </c>
    </row>
    <row r="1455">
      <c r="A1455" t="inlineStr">
        <is>
          <t>T-2019-P11-0001</t>
        </is>
      </c>
      <c r="B1455" t="inlineStr">
        <is>
          <t>MPSES</t>
        </is>
      </c>
      <c r="C1455" t="inlineStr">
        <is>
          <t>Chief of Staff</t>
        </is>
      </c>
      <c r="D1455" t="inlineStr">
        <is>
          <t>Chef de cabinet</t>
        </is>
      </c>
      <c r="E1455" t="inlineStr">
        <is>
          <t>Alison Porter</t>
        </is>
      </c>
      <c r="F1455" t="inlineStr">
        <is>
          <t>Accompanied the Minister at the Cabinet Retreat</t>
        </is>
      </c>
      <c r="G1455" t="inlineStr">
        <is>
          <t>Accompagner la ministre à la retraite du Cabinet</t>
        </is>
      </c>
      <c r="H1455" s="1" t="n">
        <v>43848</v>
      </c>
      <c r="I1455" s="1" t="n">
        <v>43851</v>
      </c>
      <c r="J1455" t="inlineStr">
        <is>
          <t>Winnipeg (Manitoba) Canada</t>
        </is>
      </c>
      <c r="K1455" t="inlineStr">
        <is>
          <t>Winnipeg (Manitoba) Canada</t>
        </is>
      </c>
      <c r="P1455" t="n">
        <v>952.04</v>
      </c>
      <c r="Q1455" t="n">
        <v>29.56</v>
      </c>
      <c r="R1455" t="n">
        <v>562.8</v>
      </c>
      <c r="S1455" t="n">
        <v>192.6</v>
      </c>
      <c r="T1455" t="n">
        <v>0</v>
      </c>
      <c r="U1455" t="n">
        <v>1737</v>
      </c>
      <c r="X1455" t="inlineStr">
        <is>
          <t>aafc-aac</t>
        </is>
      </c>
      <c r="Y1455" t="inlineStr">
        <is>
          <t>Agriculture and Agri-Food Canada | Agriculture et Agroalimentaire Canada</t>
        </is>
      </c>
      <c r="Z1455" t="n">
        <v>4</v>
      </c>
      <c r="AA1455" t="n">
        <v>1736.99999999999</v>
      </c>
      <c r="AB1455">
        <f>ROUND(U1455-AA1455,2)</f>
        <v/>
      </c>
      <c r="AC1455" t="b">
        <v>0</v>
      </c>
      <c r="AD1455">
        <f>IF(U1455="","MISSING_TOTAL",IF(ABS(AB1455)&lt;=0.01,"OK","CHECK"))</f>
        <v/>
      </c>
      <c r="AE1455">
        <f>IF(U1455="","MISSING",IF(AND(AA1455&gt;0,U1455/AA1455&gt;50),"POSSIBLE_SCALE_ERROR","OK"))</f>
        <v/>
      </c>
    </row>
    <row r="1456">
      <c r="A1456" t="inlineStr">
        <is>
          <t>T-2019-P11-0002</t>
        </is>
      </c>
      <c r="B1456" t="inlineStr">
        <is>
          <t>MPSES</t>
        </is>
      </c>
      <c r="C1456" t="inlineStr">
        <is>
          <t>Chief of Staff</t>
        </is>
      </c>
      <c r="D1456" t="inlineStr">
        <is>
          <t>Chef de cabinet</t>
        </is>
      </c>
      <c r="E1456" t="inlineStr">
        <is>
          <t>Alison Porter</t>
        </is>
      </c>
      <c r="F1456" t="inlineStr">
        <is>
          <t>Attended a meeting and a strategic planning session with the Minister</t>
        </is>
      </c>
      <c r="G1456" t="inlineStr">
        <is>
          <t>Participer à une réunion et à une séance de planification stratégique avec la ministre</t>
        </is>
      </c>
      <c r="H1456" s="1" t="n">
        <v>43839</v>
      </c>
      <c r="I1456" s="1" t="n">
        <v>43840</v>
      </c>
      <c r="J1456" t="inlineStr">
        <is>
          <t>Sherbrooke (Quebec) Canada</t>
        </is>
      </c>
      <c r="K1456" t="inlineStr">
        <is>
          <t>Sherbrooke (Québec) Canada</t>
        </is>
      </c>
      <c r="P1456" t="n">
        <v>0</v>
      </c>
      <c r="Q1456" t="n">
        <v>0</v>
      </c>
      <c r="R1456" t="n">
        <v>141.59</v>
      </c>
      <c r="S1456" t="n">
        <v>101.1</v>
      </c>
      <c r="T1456" t="n">
        <v>0</v>
      </c>
      <c r="U1456" t="n">
        <v>242.69</v>
      </c>
      <c r="X1456" t="inlineStr">
        <is>
          <t>aafc-aac</t>
        </is>
      </c>
      <c r="Y1456" t="inlineStr">
        <is>
          <t>Agriculture and Agri-Food Canada | Agriculture et Agroalimentaire Canada</t>
        </is>
      </c>
      <c r="Z1456" t="n">
        <v>2</v>
      </c>
      <c r="AA1456" t="n">
        <v>242.69</v>
      </c>
      <c r="AB1456">
        <f>ROUND(U1456-AA1456,2)</f>
        <v/>
      </c>
      <c r="AC1456" t="b">
        <v>0</v>
      </c>
      <c r="AD1456">
        <f>IF(U1456="","MISSING_TOTAL",IF(ABS(AB1456)&lt;=0.01,"OK","CHECK"))</f>
        <v/>
      </c>
      <c r="AE1456">
        <f>IF(U1456="","MISSING",IF(AND(AA1456&gt;0,U1456/AA1456&gt;50),"POSSIBLE_SCALE_ERROR","OK"))</f>
        <v/>
      </c>
    </row>
    <row r="1457">
      <c r="A1457" t="inlineStr">
        <is>
          <t>T-2019-P11-0003</t>
        </is>
      </c>
      <c r="B1457" t="inlineStr">
        <is>
          <t>MPSES</t>
        </is>
      </c>
      <c r="C1457" t="inlineStr">
        <is>
          <t>Special Assistant, Legislative Affairs</t>
        </is>
      </c>
      <c r="D1457" t="inlineStr">
        <is>
          <t>Adjoint spécial, Affaires Législatives</t>
        </is>
      </c>
      <c r="E1457" t="inlineStr">
        <is>
          <t>Jonathan Poirier</t>
        </is>
      </c>
      <c r="F1457" t="inlineStr">
        <is>
          <t>Accompanied the Minister to various meetings with stakeholders</t>
        </is>
      </c>
      <c r="G1457" t="inlineStr">
        <is>
          <t>Accompagner la ministre à diverses réunions avec des intervenants</t>
        </is>
      </c>
      <c r="H1457" s="1" t="n">
        <v>43861</v>
      </c>
      <c r="I1457" s="1" t="n">
        <v>43861</v>
      </c>
      <c r="J1457" t="inlineStr">
        <is>
          <t>Sherbrooke (Quebec) Canada;
Racine (Quebec) Canada</t>
        </is>
      </c>
      <c r="K1457" t="inlineStr">
        <is>
          <t>Sherbrooke (Québec) Canada;
Racine (Québec) Canada</t>
        </is>
      </c>
      <c r="P1457" t="n">
        <v>0</v>
      </c>
      <c r="Q1457" t="n">
        <v>0</v>
      </c>
      <c r="R1457" t="n">
        <v>0</v>
      </c>
      <c r="S1457" t="n">
        <v>40.95</v>
      </c>
      <c r="T1457" t="n">
        <v>0</v>
      </c>
      <c r="U1457" t="n">
        <v>40.95</v>
      </c>
      <c r="X1457" t="inlineStr">
        <is>
          <t>aafc-aac</t>
        </is>
      </c>
      <c r="Y1457" t="inlineStr">
        <is>
          <t>Agriculture and Agri-Food Canada | Agriculture et Agroalimentaire Canada</t>
        </is>
      </c>
      <c r="Z1457" t="n">
        <v>1</v>
      </c>
      <c r="AA1457" t="n">
        <v>40.95</v>
      </c>
      <c r="AB1457">
        <f>ROUND(U1457-AA1457,2)</f>
        <v/>
      </c>
      <c r="AC1457" t="b">
        <v>0</v>
      </c>
      <c r="AD1457">
        <f>IF(U1457="","MISSING_TOTAL",IF(ABS(AB1457)&lt;=0.01,"OK","CHECK"))</f>
        <v/>
      </c>
      <c r="AE1457">
        <f>IF(U1457="","MISSING",IF(AND(AA1457&gt;0,U1457/AA1457&gt;50),"POSSIBLE_SCALE_ERROR","OK"))</f>
        <v/>
      </c>
    </row>
    <row r="1458">
      <c r="A1458" t="inlineStr">
        <is>
          <t>T-2019-P11-0004</t>
        </is>
      </c>
      <c r="B1458" t="inlineStr">
        <is>
          <t>MPSES</t>
        </is>
      </c>
      <c r="C1458" t="inlineStr">
        <is>
          <t>Driver</t>
        </is>
      </c>
      <c r="D1458" t="inlineStr">
        <is>
          <t>Chauffeur</t>
        </is>
      </c>
      <c r="E1458" t="inlineStr">
        <is>
          <t>Michel Gendreau</t>
        </is>
      </c>
      <c r="F1458" t="inlineStr">
        <is>
          <t>Drove the Minister to her riding from Ottawa and to Montreal Airport for a flight to Winnipeg</t>
        </is>
      </c>
      <c r="G1458" t="inlineStr">
        <is>
          <t>Conduire la ministre d'Ottawa à sa circonscription et à l'aéroport de Montréal pour un vol vers Winnipeg</t>
        </is>
      </c>
      <c r="H1458" s="1" t="n">
        <v>43847</v>
      </c>
      <c r="I1458" s="1" t="n">
        <v>43848</v>
      </c>
      <c r="J1458" t="inlineStr">
        <is>
          <t>Sherbrooke (Quebec) Canada;
Montreal (Quebec) Canada</t>
        </is>
      </c>
      <c r="K1458" t="inlineStr">
        <is>
          <t>Sherbrooke (Québec) Canada;
Montréal (Québec) Canada</t>
        </is>
      </c>
      <c r="P1458" t="n">
        <v>0</v>
      </c>
      <c r="Q1458" t="n">
        <v>3.1</v>
      </c>
      <c r="R1458" t="n">
        <v>136.33</v>
      </c>
      <c r="S1458" t="n">
        <v>70.90000000000001</v>
      </c>
      <c r="T1458" t="n">
        <v>0</v>
      </c>
      <c r="U1458" t="n">
        <v>210.33</v>
      </c>
      <c r="X1458" t="inlineStr">
        <is>
          <t>aafc-aac</t>
        </is>
      </c>
      <c r="Y1458" t="inlineStr">
        <is>
          <t>Agriculture and Agri-Food Canada | Agriculture et Agroalimentaire Canada</t>
        </is>
      </c>
      <c r="Z1458" t="n">
        <v>2</v>
      </c>
      <c r="AA1458" t="n">
        <v>210.33</v>
      </c>
      <c r="AB1458">
        <f>ROUND(U1458-AA1458,2)</f>
        <v/>
      </c>
      <c r="AC1458" t="b">
        <v>0</v>
      </c>
      <c r="AD1458">
        <f>IF(U1458="","MISSING_TOTAL",IF(ABS(AB1458)&lt;=0.01,"OK","CHECK"))</f>
        <v/>
      </c>
      <c r="AE1458">
        <f>IF(U1458="","MISSING",IF(AND(AA1458&gt;0,U1458/AA1458&gt;50),"POSSIBLE_SCALE_ERROR","OK"))</f>
        <v/>
      </c>
    </row>
    <row r="1459">
      <c r="A1459" t="inlineStr">
        <is>
          <t>T-2019-P11-0005</t>
        </is>
      </c>
      <c r="B1459" t="inlineStr">
        <is>
          <t>MPSES</t>
        </is>
      </c>
      <c r="C1459" t="inlineStr">
        <is>
          <t>Driver</t>
        </is>
      </c>
      <c r="D1459" t="inlineStr">
        <is>
          <t>Chauffeur</t>
        </is>
      </c>
      <c r="E1459" t="inlineStr">
        <is>
          <t>Michel Gendreau</t>
        </is>
      </c>
      <c r="F1459" t="inlineStr">
        <is>
          <t>Drove the Minister to her riding from Ottawa</t>
        </is>
      </c>
      <c r="G1459" t="inlineStr">
        <is>
          <t>Conduire la ministre d'Ottawa à sa circonscription</t>
        </is>
      </c>
      <c r="H1459" s="1" t="n">
        <v>43854</v>
      </c>
      <c r="I1459" s="1" t="n">
        <v>43854</v>
      </c>
      <c r="J1459" t="inlineStr">
        <is>
          <t>Sherbrooke (Quebec) Canada</t>
        </is>
      </c>
      <c r="K1459" t="inlineStr">
        <is>
          <t>Sherbrooke (Québec) Canada</t>
        </is>
      </c>
      <c r="P1459" t="n">
        <v>0</v>
      </c>
      <c r="Q1459" t="n">
        <v>6.2</v>
      </c>
      <c r="R1459" t="n">
        <v>0</v>
      </c>
      <c r="S1459" t="n">
        <v>50.55</v>
      </c>
      <c r="T1459" t="n">
        <v>0</v>
      </c>
      <c r="U1459" t="n">
        <v>56.75</v>
      </c>
      <c r="X1459" t="inlineStr">
        <is>
          <t>aafc-aac</t>
        </is>
      </c>
      <c r="Y1459" t="inlineStr">
        <is>
          <t>Agriculture and Agri-Food Canada | Agriculture et Agroalimentaire Canada</t>
        </is>
      </c>
      <c r="Z1459" t="n">
        <v>1</v>
      </c>
      <c r="AA1459" t="n">
        <v>56.75</v>
      </c>
      <c r="AB1459">
        <f>ROUND(U1459-AA1459,2)</f>
        <v/>
      </c>
      <c r="AC1459" t="b">
        <v>0</v>
      </c>
      <c r="AD1459">
        <f>IF(U1459="","MISSING_TOTAL",IF(ABS(AB1459)&lt;=0.01,"OK","CHECK"))</f>
        <v/>
      </c>
      <c r="AE1459">
        <f>IF(U1459="","MISSING",IF(AND(AA1459&gt;0,U1459/AA1459&gt;50),"POSSIBLE_SCALE_ERROR","OK"))</f>
        <v/>
      </c>
    </row>
    <row r="1460">
      <c r="A1460" t="inlineStr">
        <is>
          <t>T-2019-P11-0006</t>
        </is>
      </c>
      <c r="B1460" t="inlineStr">
        <is>
          <t>MPSES</t>
        </is>
      </c>
      <c r="C1460" t="inlineStr">
        <is>
          <t>Driver</t>
        </is>
      </c>
      <c r="D1460" t="inlineStr">
        <is>
          <t>Chauffeur</t>
        </is>
      </c>
      <c r="E1460" t="inlineStr">
        <is>
          <t>Michel Gendreau</t>
        </is>
      </c>
      <c r="F1460" t="inlineStr">
        <is>
          <t>Drove the Minister from her riding to Ottawa</t>
        </is>
      </c>
      <c r="G1460" t="inlineStr">
        <is>
          <t>Conduire la ministre de sa circonscription à Ottawa</t>
        </is>
      </c>
      <c r="H1460" s="1" t="n">
        <v>43856</v>
      </c>
      <c r="I1460" s="1" t="n">
        <v>43857</v>
      </c>
      <c r="J1460" t="inlineStr">
        <is>
          <t>Sherbrooke (Quebec) Canada</t>
        </is>
      </c>
      <c r="K1460" t="inlineStr">
        <is>
          <t>Sherbrooke (Québec) Canada</t>
        </is>
      </c>
      <c r="P1460" t="n">
        <v>0</v>
      </c>
      <c r="Q1460" t="n">
        <v>6.2</v>
      </c>
      <c r="R1460" t="n">
        <v>135.65</v>
      </c>
      <c r="S1460" t="n">
        <v>70.90000000000001</v>
      </c>
      <c r="T1460" t="n">
        <v>0</v>
      </c>
      <c r="U1460" t="n">
        <v>212.75</v>
      </c>
      <c r="X1460" t="inlineStr">
        <is>
          <t>aafc-aac</t>
        </is>
      </c>
      <c r="Y1460" t="inlineStr">
        <is>
          <t>Agriculture and Agri-Food Canada | Agriculture et Agroalimentaire Canada</t>
        </is>
      </c>
      <c r="Z1460" t="n">
        <v>2</v>
      </c>
      <c r="AA1460" t="n">
        <v>212.75</v>
      </c>
      <c r="AB1460">
        <f>ROUND(U1460-AA1460,2)</f>
        <v/>
      </c>
      <c r="AC1460" t="b">
        <v>0</v>
      </c>
      <c r="AD1460">
        <f>IF(U1460="","MISSING_TOTAL",IF(ABS(AB1460)&lt;=0.01,"OK","CHECK"))</f>
        <v/>
      </c>
      <c r="AE1460">
        <f>IF(U1460="","MISSING",IF(AND(AA1460&gt;0,U1460/AA1460&gt;50),"POSSIBLE_SCALE_ERROR","OK"))</f>
        <v/>
      </c>
    </row>
    <row r="1461">
      <c r="A1461" t="inlineStr">
        <is>
          <t>T-2019-P11-0007</t>
        </is>
      </c>
      <c r="B1461" t="inlineStr">
        <is>
          <t>MPSES</t>
        </is>
      </c>
      <c r="C1461" t="inlineStr">
        <is>
          <t>Driver</t>
        </is>
      </c>
      <c r="D1461" t="inlineStr">
        <is>
          <t>Chauffeur</t>
        </is>
      </c>
      <c r="E1461" t="inlineStr">
        <is>
          <t>Michel Gendreau</t>
        </is>
      </c>
      <c r="F1461" t="inlineStr">
        <is>
          <t>Drove the Minister from her riding to Ottawa</t>
        </is>
      </c>
      <c r="G1461" t="inlineStr">
        <is>
          <t>Conduire la ministre de sa circonscription à Ottawa</t>
        </is>
      </c>
      <c r="H1461" s="1" t="n">
        <v>43863</v>
      </c>
      <c r="I1461" s="1" t="n">
        <v>43864</v>
      </c>
      <c r="J1461" t="inlineStr">
        <is>
          <t>Sherbrooke (Quebec) Canada</t>
        </is>
      </c>
      <c r="K1461" t="inlineStr">
        <is>
          <t>Sherbrooke (Québec) Canada</t>
        </is>
      </c>
      <c r="P1461" t="n">
        <v>0</v>
      </c>
      <c r="Q1461" t="n">
        <v>3.2</v>
      </c>
      <c r="R1461" t="n">
        <v>135.65</v>
      </c>
      <c r="S1461" t="n">
        <v>70.90000000000001</v>
      </c>
      <c r="T1461" t="n">
        <v>0</v>
      </c>
      <c r="U1461" t="n">
        <v>209.75</v>
      </c>
      <c r="X1461" t="inlineStr">
        <is>
          <t>aafc-aac</t>
        </is>
      </c>
      <c r="Y1461" t="inlineStr">
        <is>
          <t>Agriculture and Agri-Food Canada | Agriculture et Agroalimentaire Canada</t>
        </is>
      </c>
      <c r="Z1461" t="n">
        <v>2</v>
      </c>
      <c r="AA1461" t="n">
        <v>209.75</v>
      </c>
      <c r="AB1461">
        <f>ROUND(U1461-AA1461,2)</f>
        <v/>
      </c>
      <c r="AC1461" t="b">
        <v>0</v>
      </c>
      <c r="AD1461">
        <f>IF(U1461="","MISSING_TOTAL",IF(ABS(AB1461)&lt;=0.01,"OK","CHECK"))</f>
        <v/>
      </c>
      <c r="AE1461">
        <f>IF(U1461="","MISSING",IF(AND(AA1461&gt;0,U1461/AA1461&gt;50),"POSSIBLE_SCALE_ERROR","OK"))</f>
        <v/>
      </c>
    </row>
    <row r="1462">
      <c r="A1462" t="inlineStr">
        <is>
          <t>T-2019-P11-0008</t>
        </is>
      </c>
      <c r="B1462" t="inlineStr">
        <is>
          <t>MPSES</t>
        </is>
      </c>
      <c r="C1462" t="inlineStr">
        <is>
          <t>Driver</t>
        </is>
      </c>
      <c r="D1462" t="inlineStr">
        <is>
          <t>Chauffeur</t>
        </is>
      </c>
      <c r="E1462" t="inlineStr">
        <is>
          <t>Michel Gendreau</t>
        </is>
      </c>
      <c r="F1462" t="inlineStr">
        <is>
          <t>Drove the Minister to her riding from Ottawa</t>
        </is>
      </c>
      <c r="G1462" t="inlineStr">
        <is>
          <t>Conduire la ministre d'Ottawa à sa circonscription</t>
        </is>
      </c>
      <c r="H1462" s="1" t="n">
        <v>43868</v>
      </c>
      <c r="I1462" s="1" t="n">
        <v>43869</v>
      </c>
      <c r="J1462" t="inlineStr">
        <is>
          <t>Sherbrooke (Quebec) Canada</t>
        </is>
      </c>
      <c r="K1462" t="inlineStr">
        <is>
          <t>Sherbrooke (Québec) Canada</t>
        </is>
      </c>
      <c r="P1462" t="n">
        <v>0</v>
      </c>
      <c r="Q1462" t="n">
        <v>6.4</v>
      </c>
      <c r="R1462" t="n">
        <v>123.75</v>
      </c>
      <c r="S1462" t="n">
        <v>70.90000000000001</v>
      </c>
      <c r="T1462" t="n">
        <v>0</v>
      </c>
      <c r="U1462" t="n">
        <v>201.05</v>
      </c>
      <c r="X1462" t="inlineStr">
        <is>
          <t>aafc-aac</t>
        </is>
      </c>
      <c r="Y1462" t="inlineStr">
        <is>
          <t>Agriculture and Agri-Food Canada | Agriculture et Agroalimentaire Canada</t>
        </is>
      </c>
      <c r="Z1462" t="n">
        <v>2</v>
      </c>
      <c r="AA1462" t="n">
        <v>201.05</v>
      </c>
      <c r="AB1462">
        <f>ROUND(U1462-AA1462,2)</f>
        <v/>
      </c>
      <c r="AC1462" t="b">
        <v>0</v>
      </c>
      <c r="AD1462">
        <f>IF(U1462="","MISSING_TOTAL",IF(ABS(AB1462)&lt;=0.01,"OK","CHECK"))</f>
        <v/>
      </c>
      <c r="AE1462">
        <f>IF(U1462="","MISSING",IF(AND(AA1462&gt;0,U1462/AA1462&gt;50),"POSSIBLE_SCALE_ERROR","OK"))</f>
        <v/>
      </c>
    </row>
    <row r="1463">
      <c r="A1463" t="inlineStr">
        <is>
          <t>T-2019-P11-0009</t>
        </is>
      </c>
      <c r="B1463" t="inlineStr">
        <is>
          <t>MPSES</t>
        </is>
      </c>
      <c r="C1463" t="inlineStr">
        <is>
          <t>Driver</t>
        </is>
      </c>
      <c r="D1463" t="inlineStr">
        <is>
          <t>Chauffeur</t>
        </is>
      </c>
      <c r="E1463" t="inlineStr">
        <is>
          <t>Michel Gendreau</t>
        </is>
      </c>
      <c r="F1463" t="inlineStr">
        <is>
          <t>Drove the Minister from her riding to Ottawa</t>
        </is>
      </c>
      <c r="G1463" t="inlineStr">
        <is>
          <t>Conduire la ministre de sa circonscription à Ottawa</t>
        </is>
      </c>
      <c r="H1463" s="1" t="n">
        <v>43871</v>
      </c>
      <c r="I1463" s="1" t="n">
        <v>43872</v>
      </c>
      <c r="J1463" t="inlineStr">
        <is>
          <t>Sherbrooke (Quebec) Canada</t>
        </is>
      </c>
      <c r="K1463" t="inlineStr">
        <is>
          <t>Sherbrooke (Québec) Canada</t>
        </is>
      </c>
      <c r="P1463" t="n">
        <v>0</v>
      </c>
      <c r="Q1463" t="n">
        <v>6.4</v>
      </c>
      <c r="R1463" t="n">
        <v>140.17</v>
      </c>
      <c r="S1463" t="n">
        <v>70.90000000000001</v>
      </c>
      <c r="T1463" t="n">
        <v>0</v>
      </c>
      <c r="U1463" t="n">
        <v>217.47</v>
      </c>
      <c r="X1463" t="inlineStr">
        <is>
          <t>aafc-aac</t>
        </is>
      </c>
      <c r="Y1463" t="inlineStr">
        <is>
          <t>Agriculture and Agri-Food Canada | Agriculture et Agroalimentaire Canada</t>
        </is>
      </c>
      <c r="Z1463" t="n">
        <v>2</v>
      </c>
      <c r="AA1463" t="n">
        <v>217.47</v>
      </c>
      <c r="AB1463">
        <f>ROUND(U1463-AA1463,2)</f>
        <v/>
      </c>
      <c r="AC1463" t="b">
        <v>0</v>
      </c>
      <c r="AD1463">
        <f>IF(U1463="","MISSING_TOTAL",IF(ABS(AB1463)&lt;=0.01,"OK","CHECK"))</f>
        <v/>
      </c>
      <c r="AE1463">
        <f>IF(U1463="","MISSING",IF(AND(AA1463&gt;0,U1463/AA1463&gt;50),"POSSIBLE_SCALE_ERROR","OK"))</f>
        <v/>
      </c>
    </row>
    <row r="1464">
      <c r="A1464" t="inlineStr">
        <is>
          <t>T-2019-P11-0010</t>
        </is>
      </c>
      <c r="B1464" t="inlineStr">
        <is>
          <t>MPSES</t>
        </is>
      </c>
      <c r="C1464" t="inlineStr">
        <is>
          <t>Parliamentary Secretary</t>
        </is>
      </c>
      <c r="D1464" t="inlineStr">
        <is>
          <t>Secrétaire Parlementaire</t>
        </is>
      </c>
      <c r="E1464" t="inlineStr">
        <is>
          <t>Neil Ellis</t>
        </is>
      </c>
      <c r="F1464" t="inlineStr">
        <is>
          <t>Attended the Chicken Farmers of Canada Annual General Meeting</t>
        </is>
      </c>
      <c r="G1464" t="inlineStr">
        <is>
          <t>Participer à l'Assemblée générale annuelle des Producteurs de poulet du Canada</t>
        </is>
      </c>
      <c r="H1464" s="1" t="n">
        <v>43844</v>
      </c>
      <c r="I1464" s="1" t="n">
        <v>43846</v>
      </c>
      <c r="J1464" t="inlineStr">
        <is>
          <t>Toronto (Ontario) Canada</t>
        </is>
      </c>
      <c r="K1464" t="inlineStr">
        <is>
          <t>Toronto (Ontario) Canada</t>
        </is>
      </c>
      <c r="P1464" t="n">
        <v>0</v>
      </c>
      <c r="Q1464" t="n">
        <v>20</v>
      </c>
      <c r="R1464" t="n">
        <v>210.36</v>
      </c>
      <c r="S1464" t="n">
        <v>101.1</v>
      </c>
      <c r="T1464" t="n">
        <v>0</v>
      </c>
      <c r="U1464" t="n">
        <v>331.46</v>
      </c>
      <c r="X1464" t="inlineStr">
        <is>
          <t>aafc-aac</t>
        </is>
      </c>
      <c r="Y1464" t="inlineStr">
        <is>
          <t>Agriculture and Agri-Food Canada | Agriculture et Agroalimentaire Canada</t>
        </is>
      </c>
      <c r="Z1464" t="n">
        <v>3</v>
      </c>
      <c r="AA1464" t="n">
        <v>331.46</v>
      </c>
      <c r="AB1464">
        <f>ROUND(U1464-AA1464,2)</f>
        <v/>
      </c>
      <c r="AC1464" t="b">
        <v>0</v>
      </c>
      <c r="AD1464">
        <f>IF(U1464="","MISSING_TOTAL",IF(ABS(AB1464)&lt;=0.01,"OK","CHECK"))</f>
        <v/>
      </c>
      <c r="AE1464">
        <f>IF(U1464="","MISSING",IF(AND(AA1464&gt;0,U1464/AA1464&gt;50),"POSSIBLE_SCALE_ERROR","OK"))</f>
        <v/>
      </c>
    </row>
    <row r="1465">
      <c r="A1465" t="inlineStr">
        <is>
          <t>T-2019-P11-0011</t>
        </is>
      </c>
      <c r="B1465" t="inlineStr">
        <is>
          <t>MPSES</t>
        </is>
      </c>
      <c r="C1465" t="inlineStr">
        <is>
          <t>Parliamentary Secretary Assistant</t>
        </is>
      </c>
      <c r="D1465" t="inlineStr">
        <is>
          <t>Adjoint du Secrétaire Parlementaire</t>
        </is>
      </c>
      <c r="E1465" t="inlineStr">
        <is>
          <t>Jean-Sébastien Comeau</t>
        </is>
      </c>
      <c r="F1465" t="inlineStr">
        <is>
          <t>Accompanied the Parliamentary Secretary to the Chicken Farmers of Canada Annual General Meeting</t>
        </is>
      </c>
      <c r="G1465" t="inlineStr">
        <is>
          <t>Accompagner le secrétaire parlementaire à l'Assemblée générale annuelle des Producteurs de poulet du Canada</t>
        </is>
      </c>
      <c r="H1465" s="1" t="n">
        <v>43845</v>
      </c>
      <c r="I1465" s="1" t="n">
        <v>43846</v>
      </c>
      <c r="J1465" t="inlineStr">
        <is>
          <t>Toronto (Ontario) Canada</t>
        </is>
      </c>
      <c r="K1465" t="inlineStr">
        <is>
          <t>Toronto (Ontario) Canada</t>
        </is>
      </c>
      <c r="P1465" t="n">
        <v>0</v>
      </c>
      <c r="Q1465" t="n">
        <v>274.57</v>
      </c>
      <c r="R1465" t="n">
        <v>210.36</v>
      </c>
      <c r="S1465" t="n">
        <v>71.15000000000001</v>
      </c>
      <c r="T1465" t="n">
        <v>0</v>
      </c>
      <c r="U1465" t="n">
        <v>556.08</v>
      </c>
      <c r="X1465" t="inlineStr">
        <is>
          <t>aafc-aac</t>
        </is>
      </c>
      <c r="Y1465" t="inlineStr">
        <is>
          <t>Agriculture and Agri-Food Canada | Agriculture et Agroalimentaire Canada</t>
        </is>
      </c>
      <c r="Z1465" t="n">
        <v>2</v>
      </c>
      <c r="AA1465" t="n">
        <v>556.08</v>
      </c>
      <c r="AB1465">
        <f>ROUND(U1465-AA1465,2)</f>
        <v/>
      </c>
      <c r="AC1465" t="b">
        <v>0</v>
      </c>
      <c r="AD1465">
        <f>IF(U1465="","MISSING_TOTAL",IF(ABS(AB1465)&lt;=0.01,"OK","CHECK"))</f>
        <v/>
      </c>
      <c r="AE1465">
        <f>IF(U1465="","MISSING",IF(AND(AA1465&gt;0,U1465/AA1465&gt;50),"POSSIBLE_SCALE_ERROR","OK"))</f>
        <v/>
      </c>
    </row>
    <row r="1466">
      <c r="A1466" t="inlineStr">
        <is>
          <t>T-2019-P11-0012</t>
        </is>
      </c>
      <c r="B1466" t="inlineStr">
        <is>
          <t>SLE</t>
        </is>
      </c>
      <c r="C1466" t="inlineStr">
        <is>
          <t>Deputy Minister</t>
        </is>
      </c>
      <c r="D1466" t="inlineStr">
        <is>
          <t>Sous-ministre</t>
        </is>
      </c>
      <c r="E1466" t="inlineStr">
        <is>
          <t>Chris Forbes</t>
        </is>
      </c>
      <c r="F1466" t="inlineStr">
        <is>
          <t>Attended an outreach and various meetings with stakeholders</t>
        </is>
      </c>
      <c r="G1466" t="inlineStr">
        <is>
          <t>Participer à une visite de sensibilisation et à diverses réunions avec des intervenants</t>
        </is>
      </c>
      <c r="H1466" s="1" t="n">
        <v>43853</v>
      </c>
      <c r="I1466" s="1" t="n">
        <v>43854</v>
      </c>
      <c r="J1466" t="inlineStr">
        <is>
          <t>Toronto (Ontario) Canada</t>
        </is>
      </c>
      <c r="K1466" t="inlineStr">
        <is>
          <t>Toronto (Ontario) Canada</t>
        </is>
      </c>
      <c r="P1466" t="n">
        <v>975.74</v>
      </c>
      <c r="Q1466" t="n">
        <v>48</v>
      </c>
      <c r="R1466" t="n">
        <v>0</v>
      </c>
      <c r="S1466" t="n">
        <v>20.35</v>
      </c>
      <c r="T1466" t="n">
        <v>0</v>
      </c>
      <c r="U1466" t="n">
        <v>1044.09</v>
      </c>
      <c r="X1466" t="inlineStr">
        <is>
          <t>aafc-aac</t>
        </is>
      </c>
      <c r="Y1466" t="inlineStr">
        <is>
          <t>Agriculture and Agri-Food Canada | Agriculture et Agroalimentaire Canada</t>
        </is>
      </c>
      <c r="Z1466" t="n">
        <v>2</v>
      </c>
      <c r="AA1466" t="n">
        <v>1044.09</v>
      </c>
      <c r="AB1466">
        <f>ROUND(U1466-AA1466,2)</f>
        <v/>
      </c>
      <c r="AC1466" t="b">
        <v>0</v>
      </c>
      <c r="AD1466">
        <f>IF(U1466="","MISSING_TOTAL",IF(ABS(AB1466)&lt;=0.01,"OK","CHECK"))</f>
        <v/>
      </c>
      <c r="AE1466">
        <f>IF(U1466="","MISSING",IF(AND(AA1466&gt;0,U1466/AA1466&gt;50),"POSSIBLE_SCALE_ERROR","OK"))</f>
        <v/>
      </c>
    </row>
    <row r="1467">
      <c r="A1467" t="inlineStr">
        <is>
          <t>T-2019-P11-0013</t>
        </is>
      </c>
      <c r="B1467" t="inlineStr">
        <is>
          <t>SLE</t>
        </is>
      </c>
      <c r="C1467" t="inlineStr">
        <is>
          <t>Deputy Minister</t>
        </is>
      </c>
      <c r="D1467" t="inlineStr">
        <is>
          <t>Sous-ministre</t>
        </is>
      </c>
      <c r="E1467" t="inlineStr">
        <is>
          <t>Chris Forbes</t>
        </is>
      </c>
      <c r="F1467" t="inlineStr">
        <is>
          <t>Participated as a speaker at the Global Forum for Food and Agriculture 2020 international conference on the Minister's behalf</t>
        </is>
      </c>
      <c r="G1467" t="inlineStr">
        <is>
          <t>Participer à titre de conférencier à la conférence internationale du Forum mondial sur l'alimentation et l'agriculture 2020 au nom de la ministre</t>
        </is>
      </c>
      <c r="H1467" s="1" t="n">
        <v>43845</v>
      </c>
      <c r="I1467" s="1" t="n">
        <v>43849</v>
      </c>
      <c r="J1467" t="inlineStr">
        <is>
          <t>Berlin, Germany</t>
        </is>
      </c>
      <c r="K1467" t="inlineStr">
        <is>
          <t>Berlin, Allemagne</t>
        </is>
      </c>
      <c r="P1467" t="n">
        <v>2192.14</v>
      </c>
      <c r="Q1467" t="n">
        <v>92.42</v>
      </c>
      <c r="R1467" t="n">
        <v>0</v>
      </c>
      <c r="S1467" t="n">
        <v>361.23</v>
      </c>
      <c r="T1467" t="n">
        <v>0</v>
      </c>
      <c r="U1467" t="n">
        <v>2645.79</v>
      </c>
      <c r="X1467" t="inlineStr">
        <is>
          <t>aafc-aac</t>
        </is>
      </c>
      <c r="Y1467" t="inlineStr">
        <is>
          <t>Agriculture and Agri-Food Canada | Agriculture et Agroalimentaire Canada</t>
        </is>
      </c>
      <c r="Z1467" t="n">
        <v>5</v>
      </c>
      <c r="AA1467" t="n">
        <v>2645.79</v>
      </c>
      <c r="AB1467">
        <f>ROUND(U1467-AA1467,2)</f>
        <v/>
      </c>
      <c r="AC1467" t="b">
        <v>0</v>
      </c>
      <c r="AD1467">
        <f>IF(U1467="","MISSING_TOTAL",IF(ABS(AB1467)&lt;=0.01,"OK","CHECK"))</f>
        <v/>
      </c>
      <c r="AE1467">
        <f>IF(U1467="","MISSING",IF(AND(AA1467&gt;0,U1467/AA1467&gt;50),"POSSIBLE_SCALE_ERROR","OK"))</f>
        <v/>
      </c>
    </row>
    <row r="1468">
      <c r="A1468" t="inlineStr">
        <is>
          <t>T-2019-P11-0014</t>
        </is>
      </c>
      <c r="B1468" t="inlineStr">
        <is>
          <t>SLE</t>
        </is>
      </c>
      <c r="C1468" t="inlineStr">
        <is>
          <t>Assistant Deputy Minister, International Affairs Branch</t>
        </is>
      </c>
      <c r="D1468" t="inlineStr">
        <is>
          <t>Sous-ministre adjoint, Direction générale des affaires internationales</t>
        </is>
      </c>
      <c r="E1468" t="inlineStr">
        <is>
          <t>Fred Gorrell</t>
        </is>
      </c>
      <c r="F1468" t="inlineStr">
        <is>
          <t>Attended the Canola Meeting</t>
        </is>
      </c>
      <c r="G1468" t="inlineStr">
        <is>
          <t>Participer à la réunion sur le canola</t>
        </is>
      </c>
      <c r="H1468" s="1" t="n">
        <v>43866</v>
      </c>
      <c r="I1468" s="1" t="n">
        <v>43867</v>
      </c>
      <c r="J1468" t="inlineStr">
        <is>
          <t>Winnipeg (Manitoba) Canada</t>
        </is>
      </c>
      <c r="K1468" t="inlineStr">
        <is>
          <t>Winnipeg (Manitoba) Canada</t>
        </is>
      </c>
      <c r="P1468" t="n">
        <v>853.89</v>
      </c>
      <c r="Q1468" t="n">
        <v>106.6</v>
      </c>
      <c r="R1468" t="n">
        <v>162.98</v>
      </c>
      <c r="S1468" t="n">
        <v>37.9</v>
      </c>
      <c r="T1468" t="n">
        <v>0</v>
      </c>
      <c r="U1468" t="n">
        <v>1161.37</v>
      </c>
      <c r="X1468" t="inlineStr">
        <is>
          <t>aafc-aac</t>
        </is>
      </c>
      <c r="Y1468" t="inlineStr">
        <is>
          <t>Agriculture and Agri-Food Canada | Agriculture et Agroalimentaire Canada</t>
        </is>
      </c>
      <c r="Z1468" t="n">
        <v>2</v>
      </c>
      <c r="AA1468" t="n">
        <v>1161.37</v>
      </c>
      <c r="AB1468">
        <f>ROUND(U1468-AA1468,2)</f>
        <v/>
      </c>
      <c r="AC1468" t="b">
        <v>0</v>
      </c>
      <c r="AD1468">
        <f>IF(U1468="","MISSING_TOTAL",IF(ABS(AB1468)&lt;=0.01,"OK","CHECK"))</f>
        <v/>
      </c>
      <c r="AE1468">
        <f>IF(U1468="","MISSING",IF(AND(AA1468&gt;0,U1468/AA1468&gt;50),"POSSIBLE_SCALE_ERROR","OK"))</f>
        <v/>
      </c>
    </row>
    <row r="1469">
      <c r="A1469" t="inlineStr">
        <is>
          <t>T-2019-P11-0015</t>
        </is>
      </c>
      <c r="B1469" t="inlineStr">
        <is>
          <t>SLE</t>
        </is>
      </c>
      <c r="C1469" t="inlineStr">
        <is>
          <t>Assistant Deputy Minister, Market and Industry Services Branch</t>
        </is>
      </c>
      <c r="D1469" t="inlineStr">
        <is>
          <t>Sous-ministre adjoint, Direction générale des services à l'industrie et aux marchés</t>
        </is>
      </c>
      <c r="E1469" t="inlineStr">
        <is>
          <t>Frédéric Seppey</t>
        </is>
      </c>
      <c r="F1469" t="inlineStr">
        <is>
          <t>Attended the Annual Staff Meeting</t>
        </is>
      </c>
      <c r="G1469" t="inlineStr">
        <is>
          <t>Participer à la réunion annuelle du personnel du Bureau</t>
        </is>
      </c>
      <c r="H1469" s="1" t="n">
        <v>43817</v>
      </c>
      <c r="I1469" s="1" t="n">
        <v>43817</v>
      </c>
      <c r="J1469" t="inlineStr">
        <is>
          <t>Guelph (Ontario) Canada</t>
        </is>
      </c>
      <c r="K1469" t="inlineStr">
        <is>
          <t>Guelph (Ontario) Canada</t>
        </is>
      </c>
      <c r="P1469" t="n">
        <v>316.68</v>
      </c>
      <c r="Q1469" t="n">
        <v>112.22</v>
      </c>
      <c r="R1469" t="n">
        <v>0</v>
      </c>
      <c r="S1469" t="n">
        <v>91.5</v>
      </c>
      <c r="T1469" t="n">
        <v>0</v>
      </c>
      <c r="U1469" t="n">
        <v>520.4</v>
      </c>
      <c r="X1469" t="inlineStr">
        <is>
          <t>aafc-aac</t>
        </is>
      </c>
      <c r="Y1469" t="inlineStr">
        <is>
          <t>Agriculture and Agri-Food Canada | Agriculture et Agroalimentaire Canada</t>
        </is>
      </c>
      <c r="Z1469" t="n">
        <v>1</v>
      </c>
      <c r="AA1469" t="n">
        <v>520.4</v>
      </c>
      <c r="AB1469">
        <f>ROUND(U1469-AA1469,2)</f>
        <v/>
      </c>
      <c r="AC1469" t="b">
        <v>0</v>
      </c>
      <c r="AD1469">
        <f>IF(U1469="","MISSING_TOTAL",IF(ABS(AB1469)&lt;=0.01,"OK","CHECK"))</f>
        <v/>
      </c>
      <c r="AE1469">
        <f>IF(U1469="","MISSING",IF(AND(AA1469&gt;0,U1469/AA1469&gt;50),"POSSIBLE_SCALE_ERROR","OK"))</f>
        <v/>
      </c>
    </row>
    <row r="1470">
      <c r="A1470" t="inlineStr">
        <is>
          <t>T-2019-P11-0016</t>
        </is>
      </c>
      <c r="B1470" t="inlineStr">
        <is>
          <t>SLE</t>
        </is>
      </c>
      <c r="C1470" t="inlineStr">
        <is>
          <t>Assistant Deputy Minister, Market and Industry Services Branch</t>
        </is>
      </c>
      <c r="D1470" t="inlineStr">
        <is>
          <t>Sous-ministre adjoint, Direction générale des services à l'industrie et aux marchés</t>
        </is>
      </c>
      <c r="E1470" t="inlineStr">
        <is>
          <t>Frédéric Seppey</t>
        </is>
      </c>
      <c r="F1470" t="inlineStr">
        <is>
          <t>Spoke at the International Dairy Foods Association Dairy Forum</t>
        </is>
      </c>
      <c r="G1470" t="inlineStr">
        <is>
          <t>A prononcé une allocation  au forum laitier de l'International Dairy Foods Association</t>
        </is>
      </c>
      <c r="H1470" s="1" t="n">
        <v>43856</v>
      </c>
      <c r="I1470" s="1" t="n">
        <v>43859</v>
      </c>
      <c r="J1470" t="inlineStr">
        <is>
          <t>Scottsdale (Arizona) United States</t>
        </is>
      </c>
      <c r="K1470" t="inlineStr">
        <is>
          <t>Scottsdale (Arizona) États-Unis</t>
        </is>
      </c>
      <c r="P1470" t="n">
        <v>765.1</v>
      </c>
      <c r="Q1470" t="n">
        <v>320.55</v>
      </c>
      <c r="R1470" t="n">
        <v>453.36</v>
      </c>
      <c r="S1470" t="n">
        <v>357.8</v>
      </c>
      <c r="T1470" t="n">
        <v>7.85</v>
      </c>
      <c r="U1470" t="n">
        <v>1904.66</v>
      </c>
      <c r="X1470" t="inlineStr">
        <is>
          <t>aafc-aac</t>
        </is>
      </c>
      <c r="Y1470" t="inlineStr">
        <is>
          <t>Agriculture and Agri-Food Canada | Agriculture et Agroalimentaire Canada</t>
        </is>
      </c>
      <c r="Z1470" t="n">
        <v>4</v>
      </c>
      <c r="AA1470" t="n">
        <v>1904.66</v>
      </c>
      <c r="AB1470">
        <f>ROUND(U1470-AA1470,2)</f>
        <v/>
      </c>
      <c r="AC1470" t="b">
        <v>0</v>
      </c>
      <c r="AD1470">
        <f>IF(U1470="","MISSING_TOTAL",IF(ABS(AB1470)&lt;=0.01,"OK","CHECK"))</f>
        <v/>
      </c>
      <c r="AE1470">
        <f>IF(U1470="","MISSING",IF(AND(AA1470&gt;0,U1470/AA1470&gt;50),"POSSIBLE_SCALE_ERROR","OK"))</f>
        <v/>
      </c>
    </row>
    <row r="1471">
      <c r="A1471" t="inlineStr">
        <is>
          <t>T-2019-P11-0017</t>
        </is>
      </c>
      <c r="B1471" t="inlineStr">
        <is>
          <t>SLE</t>
        </is>
      </c>
      <c r="C1471" t="inlineStr">
        <is>
          <t>Assistant Deputy Minister, Science and Technology Branch</t>
        </is>
      </c>
      <c r="D1471" t="inlineStr">
        <is>
          <t>Sous-ministre adjoint, Direction générale des sciences et de la technologie</t>
        </is>
      </c>
      <c r="E1471" t="inlineStr">
        <is>
          <t>Gilles Saindon</t>
        </is>
      </c>
      <c r="F1471" t="inlineStr">
        <is>
          <t>Participated in meetings with the United States Department of Agriculture</t>
        </is>
      </c>
      <c r="G1471" t="inlineStr">
        <is>
          <t>Participer à des réunion avec le Ministère de l'agriculture des États-Unis</t>
        </is>
      </c>
      <c r="H1471" s="1" t="n">
        <v>43867</v>
      </c>
      <c r="I1471" s="1" t="n">
        <v>43869</v>
      </c>
      <c r="J1471" t="inlineStr">
        <is>
          <t>Washington (District of Columbia) United States</t>
        </is>
      </c>
      <c r="K1471" t="inlineStr">
        <is>
          <t>Washington (District of Columbia) États-Unis</t>
        </is>
      </c>
      <c r="P1471" t="n">
        <v>923.62</v>
      </c>
      <c r="Q1471" t="n">
        <v>53</v>
      </c>
      <c r="R1471" t="n">
        <v>373.69</v>
      </c>
      <c r="S1471" t="n">
        <v>289.85</v>
      </c>
      <c r="T1471" t="n">
        <v>0</v>
      </c>
      <c r="U1471" t="n">
        <v>1640.16</v>
      </c>
      <c r="X1471" t="inlineStr">
        <is>
          <t>aafc-aac</t>
        </is>
      </c>
      <c r="Y1471" t="inlineStr">
        <is>
          <t>Agriculture and Agri-Food Canada | Agriculture et Agroalimentaire Canada</t>
        </is>
      </c>
      <c r="Z1471" t="n">
        <v>3</v>
      </c>
      <c r="AA1471" t="n">
        <v>1640.15999999999</v>
      </c>
      <c r="AB1471">
        <f>ROUND(U1471-AA1471,2)</f>
        <v/>
      </c>
      <c r="AC1471" t="b">
        <v>0</v>
      </c>
      <c r="AD1471">
        <f>IF(U1471="","MISSING_TOTAL",IF(ABS(AB1471)&lt;=0.01,"OK","CHECK"))</f>
        <v/>
      </c>
      <c r="AE1471">
        <f>IF(U1471="","MISSING",IF(AND(AA1471&gt;0,U1471/AA1471&gt;50),"POSSIBLE_SCALE_ERROR","OK"))</f>
        <v/>
      </c>
    </row>
    <row r="1472">
      <c r="A1472" t="inlineStr">
        <is>
          <t>T-2019-P11-0018</t>
        </is>
      </c>
      <c r="B1472" t="inlineStr">
        <is>
          <t>SLE</t>
        </is>
      </c>
      <c r="C1472" t="inlineStr">
        <is>
          <t>Assistant Deputy Minister, Programs Branch</t>
        </is>
      </c>
      <c r="D1472" t="inlineStr">
        <is>
          <t>Sous-ministre adjoint, Direction générale des programmes</t>
        </is>
      </c>
      <c r="E1472" t="inlineStr">
        <is>
          <t>Paul Samson</t>
        </is>
      </c>
      <c r="F1472" t="inlineStr">
        <is>
          <t>Federal, Provincial and Territorial Deputy Ministers of Agriculture Policy Retreat</t>
        </is>
      </c>
      <c r="G1472" t="inlineStr">
        <is>
          <t>Séance de réflexion stratégique des sous-ministres fédéraux, provinciaux et territoriaux de l'Agriculture</t>
        </is>
      </c>
      <c r="H1472" s="1" t="n">
        <v>43872</v>
      </c>
      <c r="I1472" s="1" t="n">
        <v>43873</v>
      </c>
      <c r="J1472" t="inlineStr">
        <is>
          <t>Toronto (Ontario) Canada</t>
        </is>
      </c>
      <c r="K1472" t="inlineStr">
        <is>
          <t>Toronto (Ontario) Canada</t>
        </is>
      </c>
      <c r="P1472" t="n">
        <v>610.26</v>
      </c>
      <c r="Q1472" t="n">
        <v>64.95</v>
      </c>
      <c r="R1472" t="n">
        <v>163.35</v>
      </c>
      <c r="S1472" t="n">
        <v>88.2</v>
      </c>
      <c r="T1472" t="n">
        <v>0</v>
      </c>
      <c r="U1472" t="n">
        <v>926.76</v>
      </c>
      <c r="X1472" t="inlineStr">
        <is>
          <t>aafc-aac</t>
        </is>
      </c>
      <c r="Y1472" t="inlineStr">
        <is>
          <t>Agriculture and Agri-Food Canada | Agriculture et Agroalimentaire Canada</t>
        </is>
      </c>
      <c r="Z1472" t="n">
        <v>2</v>
      </c>
      <c r="AA1472" t="n">
        <v>926.76</v>
      </c>
      <c r="AB1472">
        <f>ROUND(U1472-AA1472,2)</f>
        <v/>
      </c>
      <c r="AC1472" t="b">
        <v>0</v>
      </c>
      <c r="AD1472">
        <f>IF(U1472="","MISSING_TOTAL",IF(ABS(AB1472)&lt;=0.01,"OK","CHECK"))</f>
        <v/>
      </c>
      <c r="AE1472">
        <f>IF(U1472="","MISSING",IF(AND(AA1472&gt;0,U1472/AA1472&gt;50),"POSSIBLE_SCALE_ERROR","OK"))</f>
        <v/>
      </c>
    </row>
    <row r="1473">
      <c r="A1473" t="inlineStr">
        <is>
          <t>T-2019-P12-0001</t>
        </is>
      </c>
      <c r="B1473" t="inlineStr">
        <is>
          <t>MPSES</t>
        </is>
      </c>
      <c r="C1473" t="inlineStr">
        <is>
          <t>Minister</t>
        </is>
      </c>
      <c r="D1473" t="inlineStr">
        <is>
          <t>Ministre</t>
        </is>
      </c>
      <c r="E1473" t="inlineStr">
        <is>
          <t>Marie-Claude Bibeau</t>
        </is>
      </c>
      <c r="F1473" t="inlineStr">
        <is>
          <t>Attended an outreach and various meetings with stakeholders.</t>
        </is>
      </c>
      <c r="G1473" t="inlineStr">
        <is>
          <t>Participer à une activité de sensibilisation et à diverses réunions avec des intervenants.</t>
        </is>
      </c>
      <c r="H1473" s="1" t="n">
        <v>43893</v>
      </c>
      <c r="I1473" s="1" t="n">
        <v>43897</v>
      </c>
      <c r="J1473" t="inlineStr">
        <is>
          <t>Halifax (Nova Scotia) Canada;
Truro (Nova Scotia)  Canada;
Charlottetown (Prince Edward Island) Canada</t>
        </is>
      </c>
      <c r="K1473" t="inlineStr">
        <is>
          <t>Halifax (Nouvelle-Écosse) Canada;
Truro (Nouvelle-Écosse) Canada; Charlottetown (Île-du-Prince-Édouard) Canada</t>
        </is>
      </c>
      <c r="P1473" t="n">
        <v>1606.53</v>
      </c>
      <c r="Q1473" t="n">
        <v>0</v>
      </c>
      <c r="R1473" t="n">
        <v>738.13</v>
      </c>
      <c r="S1473" t="n">
        <v>294.85</v>
      </c>
      <c r="T1473" t="n">
        <v>0</v>
      </c>
      <c r="U1473" t="n">
        <v>2639.51</v>
      </c>
      <c r="X1473" t="inlineStr">
        <is>
          <t>aafc-aac</t>
        </is>
      </c>
      <c r="Y1473" t="inlineStr">
        <is>
          <t>Agriculture and Agri-Food Canada | Agriculture et Agroalimentaire Canada</t>
        </is>
      </c>
      <c r="Z1473" t="n">
        <v>5</v>
      </c>
      <c r="AA1473" t="n">
        <v>2639.50999999999</v>
      </c>
      <c r="AB1473">
        <f>ROUND(U1473-AA1473,2)</f>
        <v/>
      </c>
      <c r="AC1473" t="b">
        <v>0</v>
      </c>
      <c r="AD1473">
        <f>IF(U1473="","MISSING_TOTAL",IF(ABS(AB1473)&lt;=0.01,"OK","CHECK"))</f>
        <v/>
      </c>
      <c r="AE1473">
        <f>IF(U1473="","MISSING",IF(AND(AA1473&gt;0,U1473/AA1473&gt;50),"POSSIBLE_SCALE_ERROR","OK"))</f>
        <v/>
      </c>
    </row>
    <row r="1474">
      <c r="A1474" t="inlineStr">
        <is>
          <t>T-2019-P12-0002</t>
        </is>
      </c>
      <c r="B1474" t="inlineStr">
        <is>
          <t>MPSES</t>
        </is>
      </c>
      <c r="C1474" t="inlineStr">
        <is>
          <t>Minister</t>
        </is>
      </c>
      <c r="D1474" t="inlineStr">
        <is>
          <t>Ministre</t>
        </is>
      </c>
      <c r="E1474" t="inlineStr">
        <is>
          <t>Marie-Claude Bibeau</t>
        </is>
      </c>
      <c r="F1474" t="inlineStr">
        <is>
          <t>Attended the Cabinet Retreat.</t>
        </is>
      </c>
      <c r="G1474" t="inlineStr">
        <is>
          <t>Participer à la séance de réflexion du Cabinet.</t>
        </is>
      </c>
      <c r="H1474" s="1" t="n">
        <v>43848</v>
      </c>
      <c r="I1474" s="1" t="n">
        <v>43851</v>
      </c>
      <c r="J1474" t="inlineStr">
        <is>
          <t>Winnipeg (Manitoba) Canada</t>
        </is>
      </c>
      <c r="K1474" t="inlineStr">
        <is>
          <t>Winnipeg (Manitoba) Canada</t>
        </is>
      </c>
      <c r="P1474" t="n">
        <v>975.0700000000001</v>
      </c>
      <c r="Q1474" t="n">
        <v>0</v>
      </c>
      <c r="R1474" t="n">
        <v>562.8</v>
      </c>
      <c r="S1474" t="n">
        <v>192.6</v>
      </c>
      <c r="T1474" t="n">
        <v>0</v>
      </c>
      <c r="U1474" t="n">
        <v>1730.47</v>
      </c>
      <c r="X1474" t="inlineStr">
        <is>
          <t>aafc-aac</t>
        </is>
      </c>
      <c r="Y1474" t="inlineStr">
        <is>
          <t>Agriculture and Agri-Food Canada | Agriculture et Agroalimentaire Canada</t>
        </is>
      </c>
      <c r="Z1474" t="n">
        <v>4</v>
      </c>
      <c r="AA1474" t="n">
        <v>1730.46999999999</v>
      </c>
      <c r="AB1474">
        <f>ROUND(U1474-AA1474,2)</f>
        <v/>
      </c>
      <c r="AC1474" t="b">
        <v>0</v>
      </c>
      <c r="AD1474">
        <f>IF(U1474="","MISSING_TOTAL",IF(ABS(AB1474)&lt;=0.01,"OK","CHECK"))</f>
        <v/>
      </c>
      <c r="AE1474">
        <f>IF(U1474="","MISSING",IF(AND(AA1474&gt;0,U1474/AA1474&gt;50),"POSSIBLE_SCALE_ERROR","OK"))</f>
        <v/>
      </c>
    </row>
    <row r="1475">
      <c r="A1475" t="inlineStr">
        <is>
          <t>T-2019-P12-0003</t>
        </is>
      </c>
      <c r="B1475" t="inlineStr">
        <is>
          <t>MPSES</t>
        </is>
      </c>
      <c r="C1475" t="inlineStr">
        <is>
          <t>Minister</t>
        </is>
      </c>
      <c r="D1475" t="inlineStr">
        <is>
          <t>Ministre</t>
        </is>
      </c>
      <c r="E1475" t="inlineStr">
        <is>
          <t>Marie-Claude Bibeau</t>
        </is>
      </c>
      <c r="F1475" t="inlineStr">
        <is>
          <t>Attended Crop Connect and meet with various stakeholders.</t>
        </is>
      </c>
      <c r="G1475" t="inlineStr">
        <is>
          <t>Participer à CropConnect et rencontrer divers intervenants.</t>
        </is>
      </c>
      <c r="H1475" s="1" t="n">
        <v>43872</v>
      </c>
      <c r="I1475" s="1" t="n">
        <v>43875</v>
      </c>
      <c r="J1475" t="inlineStr">
        <is>
          <t>Winnipeg (Manitoba) Canada</t>
        </is>
      </c>
      <c r="K1475" t="inlineStr">
        <is>
          <t>Winnipeg (Manitoba) Canada</t>
        </is>
      </c>
      <c r="P1475" t="n">
        <v>1076.28</v>
      </c>
      <c r="Q1475" t="n">
        <v>22.43</v>
      </c>
      <c r="R1475" t="n">
        <v>488.94</v>
      </c>
      <c r="S1475" t="n">
        <v>253.9</v>
      </c>
      <c r="T1475" t="n">
        <v>0</v>
      </c>
      <c r="U1475" t="n">
        <v>1841.55</v>
      </c>
      <c r="X1475" t="inlineStr">
        <is>
          <t>aafc-aac</t>
        </is>
      </c>
      <c r="Y1475" t="inlineStr">
        <is>
          <t>Agriculture and Agri-Food Canada | Agriculture et Agroalimentaire Canada</t>
        </is>
      </c>
      <c r="Z1475" t="n">
        <v>4</v>
      </c>
      <c r="AA1475" t="n">
        <v>1841.55</v>
      </c>
      <c r="AB1475">
        <f>ROUND(U1475-AA1475,2)</f>
        <v/>
      </c>
      <c r="AC1475" t="b">
        <v>0</v>
      </c>
      <c r="AD1475">
        <f>IF(U1475="","MISSING_TOTAL",IF(ABS(AB1475)&lt;=0.01,"OK","CHECK"))</f>
        <v/>
      </c>
      <c r="AE1475">
        <f>IF(U1475="","MISSING",IF(AND(AA1475&gt;0,U1475/AA1475&gt;50),"POSSIBLE_SCALE_ERROR","OK"))</f>
        <v/>
      </c>
    </row>
    <row r="1476">
      <c r="A1476" t="inlineStr">
        <is>
          <t>T-2019-P12-0004</t>
        </is>
      </c>
      <c r="B1476" t="inlineStr">
        <is>
          <t>MPSES</t>
        </is>
      </c>
      <c r="C1476" t="inlineStr">
        <is>
          <t>Minister</t>
        </is>
      </c>
      <c r="D1476" t="inlineStr">
        <is>
          <t>Ministre</t>
        </is>
      </c>
      <c r="E1476" t="inlineStr">
        <is>
          <t>Marie-Claude Bibeau</t>
        </is>
      </c>
      <c r="F1476" t="inlineStr">
        <is>
          <t>Attended the United States Department of Agriculture's Agricultural Outlook Forum.</t>
        </is>
      </c>
      <c r="G1476" t="inlineStr">
        <is>
          <t>Participer au forum sur les perspectives agricoles du département de l'Agriculture des États-Unis.</t>
        </is>
      </c>
      <c r="H1476" s="1" t="n">
        <v>43881</v>
      </c>
      <c r="I1476" s="1" t="n">
        <v>43882</v>
      </c>
      <c r="J1476" t="inlineStr">
        <is>
          <t>Washington (District of Columbia) United States</t>
        </is>
      </c>
      <c r="K1476" t="inlineStr">
        <is>
          <t>Washington (district de Columbia) États-Unis</t>
        </is>
      </c>
      <c r="P1476" t="n">
        <v>1426.16</v>
      </c>
      <c r="Q1476" t="n">
        <v>0</v>
      </c>
      <c r="R1476" t="n">
        <v>275.56</v>
      </c>
      <c r="S1476" t="n">
        <v>93.76000000000001</v>
      </c>
      <c r="T1476" t="n">
        <v>0</v>
      </c>
      <c r="U1476" t="n">
        <v>1795.48</v>
      </c>
      <c r="X1476" t="inlineStr">
        <is>
          <t>aafc-aac</t>
        </is>
      </c>
      <c r="Y1476" t="inlineStr">
        <is>
          <t>Agriculture and Agri-Food Canada | Agriculture et Agroalimentaire Canada</t>
        </is>
      </c>
      <c r="Z1476" t="n">
        <v>2</v>
      </c>
      <c r="AA1476" t="n">
        <v>1795.48</v>
      </c>
      <c r="AB1476">
        <f>ROUND(U1476-AA1476,2)</f>
        <v/>
      </c>
      <c r="AC1476" t="b">
        <v>0</v>
      </c>
      <c r="AD1476">
        <f>IF(U1476="","MISSING_TOTAL",IF(ABS(AB1476)&lt;=0.01,"OK","CHECK"))</f>
        <v/>
      </c>
      <c r="AE1476">
        <f>IF(U1476="","MISSING",IF(AND(AA1476&gt;0,U1476/AA1476&gt;50),"POSSIBLE_SCALE_ERROR","OK"))</f>
        <v/>
      </c>
    </row>
    <row r="1477">
      <c r="A1477" t="inlineStr">
        <is>
          <t>T-2019-P12-0005</t>
        </is>
      </c>
      <c r="B1477" t="inlineStr">
        <is>
          <t>MPSES</t>
        </is>
      </c>
      <c r="C1477" t="inlineStr">
        <is>
          <t>Senior Advisor</t>
        </is>
      </c>
      <c r="D1477" t="inlineStr">
        <is>
          <t>Conseiller principal</t>
        </is>
      </c>
      <c r="E1477" t="inlineStr">
        <is>
          <t>Abed Harb</t>
        </is>
      </c>
      <c r="F1477" t="inlineStr">
        <is>
          <t>Accompanied the Minister to Crop Connect and to meet with various stakeholders.</t>
        </is>
      </c>
      <c r="G1477" t="inlineStr">
        <is>
          <t>Accompagner la ministre à CropConnect et rencontrer divers intervenants.</t>
        </is>
      </c>
      <c r="H1477" s="1" t="n">
        <v>43872</v>
      </c>
      <c r="I1477" s="1" t="n">
        <v>43875</v>
      </c>
      <c r="J1477" t="inlineStr">
        <is>
          <t>Winnipeg (Manitoba) Canada</t>
        </is>
      </c>
      <c r="K1477" t="inlineStr">
        <is>
          <t>Winnipeg (Manitoba) Canada</t>
        </is>
      </c>
      <c r="P1477" t="n">
        <v>870.4</v>
      </c>
      <c r="Q1477" t="n">
        <v>88.28</v>
      </c>
      <c r="R1477" t="n">
        <v>559.29</v>
      </c>
      <c r="S1477" t="n">
        <v>253.9</v>
      </c>
      <c r="T1477" t="n">
        <v>0</v>
      </c>
      <c r="U1477" t="n">
        <v>1771.87</v>
      </c>
      <c r="X1477" t="inlineStr">
        <is>
          <t>aafc-aac</t>
        </is>
      </c>
      <c r="Y1477" t="inlineStr">
        <is>
          <t>Agriculture and Agri-Food Canada | Agriculture et Agroalimentaire Canada</t>
        </is>
      </c>
      <c r="Z1477" t="n">
        <v>4</v>
      </c>
      <c r="AA1477" t="n">
        <v>1771.87</v>
      </c>
      <c r="AB1477">
        <f>ROUND(U1477-AA1477,2)</f>
        <v/>
      </c>
      <c r="AC1477" t="b">
        <v>0</v>
      </c>
      <c r="AD1477">
        <f>IF(U1477="","MISSING_TOTAL",IF(ABS(AB1477)&lt;=0.01,"OK","CHECK"))</f>
        <v/>
      </c>
      <c r="AE1477">
        <f>IF(U1477="","MISSING",IF(AND(AA1477&gt;0,U1477/AA1477&gt;50),"POSSIBLE_SCALE_ERROR","OK"))</f>
        <v/>
      </c>
    </row>
    <row r="1478">
      <c r="A1478" t="inlineStr">
        <is>
          <t>T-2019-P12-0006</t>
        </is>
      </c>
      <c r="B1478" t="inlineStr">
        <is>
          <t>MPSES</t>
        </is>
      </c>
      <c r="C1478" t="inlineStr">
        <is>
          <t>Chief of Staff</t>
        </is>
      </c>
      <c r="D1478" t="inlineStr">
        <is>
          <t>Chef de cabinet</t>
        </is>
      </c>
      <c r="E1478" t="inlineStr">
        <is>
          <t>Alison Porter</t>
        </is>
      </c>
      <c r="F1478" t="inlineStr">
        <is>
          <t>Accompanied the Minister to the United States Department of Agriculture's Agricultural Outlook Forum.</t>
        </is>
      </c>
      <c r="G1478" t="inlineStr">
        <is>
          <t>Accompagner la ministre au forum sur les perspectives agricoles du département de l'Agriculture des États-Unis.</t>
        </is>
      </c>
      <c r="H1478" s="1" t="n">
        <v>43881</v>
      </c>
      <c r="I1478" s="1" t="n">
        <v>43883</v>
      </c>
      <c r="J1478" t="inlineStr">
        <is>
          <t>Washington (District of Columbia) United States</t>
        </is>
      </c>
      <c r="K1478" t="inlineStr">
        <is>
          <t>Washington (district de Columbia) États-Unis</t>
        </is>
      </c>
      <c r="P1478" t="n">
        <v>1463.76</v>
      </c>
      <c r="Q1478" t="n">
        <v>28.62</v>
      </c>
      <c r="R1478" t="n">
        <v>275.56</v>
      </c>
      <c r="S1478" t="n">
        <v>93.76000000000001</v>
      </c>
      <c r="T1478" t="n">
        <v>0</v>
      </c>
      <c r="U1478" t="n">
        <v>1861.7</v>
      </c>
      <c r="X1478" t="inlineStr">
        <is>
          <t>aafc-aac</t>
        </is>
      </c>
      <c r="Y1478" t="inlineStr">
        <is>
          <t>Agriculture and Agri-Food Canada | Agriculture et Agroalimentaire Canada</t>
        </is>
      </c>
      <c r="Z1478" t="n">
        <v>3</v>
      </c>
      <c r="AA1478" t="n">
        <v>1861.69999999999</v>
      </c>
      <c r="AB1478">
        <f>ROUND(U1478-AA1478,2)</f>
        <v/>
      </c>
      <c r="AC1478" t="b">
        <v>0</v>
      </c>
      <c r="AD1478">
        <f>IF(U1478="","MISSING_TOTAL",IF(ABS(AB1478)&lt;=0.01,"OK","CHECK"))</f>
        <v/>
      </c>
      <c r="AE1478">
        <f>IF(U1478="","MISSING",IF(AND(AA1478&gt;0,U1478/AA1478&gt;50),"POSSIBLE_SCALE_ERROR","OK"))</f>
        <v/>
      </c>
    </row>
    <row r="1479">
      <c r="A1479" t="inlineStr">
        <is>
          <t>T-2019-P12-0007</t>
        </is>
      </c>
      <c r="B1479" t="inlineStr">
        <is>
          <t>MPSES</t>
        </is>
      </c>
      <c r="C1479" t="inlineStr">
        <is>
          <t>Operations Manager</t>
        </is>
      </c>
      <c r="D1479" t="inlineStr">
        <is>
          <t>Gestionnaire des opérations</t>
        </is>
      </c>
      <c r="E1479" t="inlineStr">
        <is>
          <t>Daniel Turner</t>
        </is>
      </c>
      <c r="F1479" t="inlineStr">
        <is>
          <t>Accompanied the Minister to outreach meetings.</t>
        </is>
      </c>
      <c r="G1479" t="inlineStr">
        <is>
          <t>Accompagner la ministre aux réunions de sensibilisation.</t>
        </is>
      </c>
      <c r="H1479" s="1" t="n">
        <v>43875</v>
      </c>
      <c r="I1479" s="1" t="n">
        <v>43875</v>
      </c>
      <c r="J1479" t="inlineStr">
        <is>
          <t>Quebec (Quebec) Canada</t>
        </is>
      </c>
      <c r="K1479" t="inlineStr">
        <is>
          <t>Québec (Québec) Canada</t>
        </is>
      </c>
      <c r="P1479" t="n">
        <v>0</v>
      </c>
      <c r="Q1479" t="n">
        <v>0</v>
      </c>
      <c r="R1479" t="n">
        <v>0</v>
      </c>
      <c r="S1479" t="n">
        <v>71.15000000000001</v>
      </c>
      <c r="T1479" t="n">
        <v>0</v>
      </c>
      <c r="U1479" t="n">
        <v>71.15000000000001</v>
      </c>
      <c r="X1479" t="inlineStr">
        <is>
          <t>aafc-aac</t>
        </is>
      </c>
      <c r="Y1479" t="inlineStr">
        <is>
          <t>Agriculture and Agri-Food Canada | Agriculture et Agroalimentaire Canada</t>
        </is>
      </c>
      <c r="Z1479" t="n">
        <v>1</v>
      </c>
      <c r="AA1479" t="n">
        <v>71.15000000000001</v>
      </c>
      <c r="AB1479">
        <f>ROUND(U1479-AA1479,2)</f>
        <v/>
      </c>
      <c r="AC1479" t="b">
        <v>0</v>
      </c>
      <c r="AD1479">
        <f>IF(U1479="","MISSING_TOTAL",IF(ABS(AB1479)&lt;=0.01,"OK","CHECK"))</f>
        <v/>
      </c>
      <c r="AE1479">
        <f>IF(U1479="","MISSING",IF(AND(AA1479&gt;0,U1479/AA1479&gt;50),"POSSIBLE_SCALE_ERROR","OK"))</f>
        <v/>
      </c>
    </row>
    <row r="1480">
      <c r="A1480" t="inlineStr">
        <is>
          <t>T-2019-P12-0008</t>
        </is>
      </c>
      <c r="B1480" t="inlineStr">
        <is>
          <t>MPSES</t>
        </is>
      </c>
      <c r="C1480" t="inlineStr">
        <is>
          <t>Operations Manager</t>
        </is>
      </c>
      <c r="D1480" t="inlineStr">
        <is>
          <t>Gestionnaire des opérations</t>
        </is>
      </c>
      <c r="E1480" t="inlineStr">
        <is>
          <t>Daniel Turner</t>
        </is>
      </c>
      <c r="F1480" t="inlineStr">
        <is>
          <t>Accompanied the Minister to a communications briefing.</t>
        </is>
      </c>
      <c r="G1480" t="inlineStr">
        <is>
          <t>Accompagner la ministre à une séance d'information sur les communications.</t>
        </is>
      </c>
      <c r="H1480" s="1" t="n">
        <v>43878</v>
      </c>
      <c r="I1480" s="1" t="n">
        <v>43878</v>
      </c>
      <c r="J1480" t="inlineStr">
        <is>
          <t>Sherbrooke (Quebec) Canada</t>
        </is>
      </c>
      <c r="K1480" t="inlineStr">
        <is>
          <t>Sherbrooke (Québec) Canada</t>
        </is>
      </c>
      <c r="P1480" t="n">
        <v>0</v>
      </c>
      <c r="Q1480" t="n">
        <v>0</v>
      </c>
      <c r="R1480" t="n">
        <v>0</v>
      </c>
      <c r="S1480" t="n">
        <v>50.55</v>
      </c>
      <c r="T1480" t="n">
        <v>0</v>
      </c>
      <c r="U1480" t="n">
        <v>50.55</v>
      </c>
      <c r="X1480" t="inlineStr">
        <is>
          <t>aafc-aac</t>
        </is>
      </c>
      <c r="Y1480" t="inlineStr">
        <is>
          <t>Agriculture and Agri-Food Canada | Agriculture et Agroalimentaire Canada</t>
        </is>
      </c>
      <c r="Z1480" t="n">
        <v>1</v>
      </c>
      <c r="AA1480" t="n">
        <v>50.55</v>
      </c>
      <c r="AB1480">
        <f>ROUND(U1480-AA1480,2)</f>
        <v/>
      </c>
      <c r="AC1480" t="b">
        <v>0</v>
      </c>
      <c r="AD1480">
        <f>IF(U1480="","MISSING_TOTAL",IF(ABS(AB1480)&lt;=0.01,"OK","CHECK"))</f>
        <v/>
      </c>
      <c r="AE1480">
        <f>IF(U1480="","MISSING",IF(AND(AA1480&gt;0,U1480/AA1480&gt;50),"POSSIBLE_SCALE_ERROR","OK"))</f>
        <v/>
      </c>
    </row>
    <row r="1481">
      <c r="A1481" t="inlineStr">
        <is>
          <t>T-2019-P12-0009</t>
        </is>
      </c>
      <c r="B1481" t="inlineStr">
        <is>
          <t>MPSES</t>
        </is>
      </c>
      <c r="C1481" t="inlineStr">
        <is>
          <t>Press Secretary</t>
        </is>
      </c>
      <c r="D1481" t="inlineStr">
        <is>
          <t>Attaché de Presse</t>
        </is>
      </c>
      <c r="E1481" t="inlineStr">
        <is>
          <t>Jean-Sébastien Comeau</t>
        </is>
      </c>
      <c r="F1481" t="inlineStr">
        <is>
          <t>Accompanied the Minister to a communications briefing.</t>
        </is>
      </c>
      <c r="G1481" t="inlineStr">
        <is>
          <t>Accompagner la ministre à une séance d'information sur les communications.</t>
        </is>
      </c>
      <c r="H1481" s="1" t="n">
        <v>43878</v>
      </c>
      <c r="I1481" s="1" t="n">
        <v>43878</v>
      </c>
      <c r="J1481" t="inlineStr">
        <is>
          <t>Sherbrooke (Quebec) Canada</t>
        </is>
      </c>
      <c r="K1481" t="inlineStr">
        <is>
          <t>Sherbrooke (Québec) Canada</t>
        </is>
      </c>
      <c r="P1481" t="n">
        <v>0</v>
      </c>
      <c r="Q1481" t="n">
        <v>217.71</v>
      </c>
      <c r="R1481" t="n">
        <v>0</v>
      </c>
      <c r="S1481" t="n">
        <v>70.90000000000001</v>
      </c>
      <c r="T1481" t="n">
        <v>0</v>
      </c>
      <c r="U1481" t="n">
        <v>288.61</v>
      </c>
      <c r="X1481" t="inlineStr">
        <is>
          <t>aafc-aac</t>
        </is>
      </c>
      <c r="Y1481" t="inlineStr">
        <is>
          <t>Agriculture and Agri-Food Canada | Agriculture et Agroalimentaire Canada</t>
        </is>
      </c>
      <c r="Z1481" t="n">
        <v>1</v>
      </c>
      <c r="AA1481" t="n">
        <v>288.61</v>
      </c>
      <c r="AB1481">
        <f>ROUND(U1481-AA1481,2)</f>
        <v/>
      </c>
      <c r="AC1481" t="b">
        <v>0</v>
      </c>
      <c r="AD1481">
        <f>IF(U1481="","MISSING_TOTAL",IF(ABS(AB1481)&lt;=0.01,"OK","CHECK"))</f>
        <v/>
      </c>
      <c r="AE1481">
        <f>IF(U1481="","MISSING",IF(AND(AA1481&gt;0,U1481/AA1481&gt;50),"POSSIBLE_SCALE_ERROR","OK"))</f>
        <v/>
      </c>
    </row>
    <row r="1482">
      <c r="A1482" t="inlineStr">
        <is>
          <t>T-2019-P12-0010</t>
        </is>
      </c>
      <c r="B1482" t="inlineStr">
        <is>
          <t>MPSES</t>
        </is>
      </c>
      <c r="C1482" t="inlineStr">
        <is>
          <t>Press Secretary</t>
        </is>
      </c>
      <c r="D1482" t="inlineStr">
        <is>
          <t>Attaché de presse</t>
        </is>
      </c>
      <c r="E1482" t="inlineStr">
        <is>
          <t>Jean-Sébastien Comeau</t>
        </is>
      </c>
      <c r="F1482" t="inlineStr">
        <is>
          <t>Accompanied the Minister to an outreach and various meetings with stakeholders.</t>
        </is>
      </c>
      <c r="G1482" t="inlineStr">
        <is>
          <t>Accompagner la ministre à une activité de sensibilisation et à diverses réunions avec des intervenants.</t>
        </is>
      </c>
      <c r="H1482" s="1" t="n">
        <v>43894</v>
      </c>
      <c r="I1482" s="1" t="n">
        <v>43897</v>
      </c>
      <c r="J1482" t="inlineStr">
        <is>
          <t>Halifax (Nova Scotia) Canada;
Truro (Nova Scotia)  Canada;
Charlottetown (Prince Edward Island) Canada</t>
        </is>
      </c>
      <c r="K1482" t="inlineStr">
        <is>
          <t>Halifax (Nouvelle-Écosse) Canada;
Truro (Nouvelle-Écosse) Canada; Charlottetown (Île-du-Prince-Édouard) Canada</t>
        </is>
      </c>
      <c r="P1482" t="n">
        <v>1267.97</v>
      </c>
      <c r="Q1482" t="n">
        <v>75.81</v>
      </c>
      <c r="R1482" t="n">
        <v>610.6799999999999</v>
      </c>
      <c r="S1482" t="n">
        <v>244.3</v>
      </c>
      <c r="T1482" t="n">
        <v>0</v>
      </c>
      <c r="U1482" t="n">
        <v>2198.76</v>
      </c>
      <c r="X1482" t="inlineStr">
        <is>
          <t>aafc-aac</t>
        </is>
      </c>
      <c r="Y1482" t="inlineStr">
        <is>
          <t>Agriculture and Agri-Food Canada | Agriculture et Agroalimentaire Canada</t>
        </is>
      </c>
      <c r="Z1482" t="n">
        <v>4</v>
      </c>
      <c r="AA1482" t="n">
        <v>2198.76</v>
      </c>
      <c r="AB1482">
        <f>ROUND(U1482-AA1482,2)</f>
        <v/>
      </c>
      <c r="AC1482" t="b">
        <v>0</v>
      </c>
      <c r="AD1482">
        <f>IF(U1482="","MISSING_TOTAL",IF(ABS(AB1482)&lt;=0.01,"OK","CHECK"))</f>
        <v/>
      </c>
      <c r="AE1482">
        <f>IF(U1482="","MISSING",IF(AND(AA1482&gt;0,U1482/AA1482&gt;50),"POSSIBLE_SCALE_ERROR","OK"))</f>
        <v/>
      </c>
    </row>
    <row r="1483">
      <c r="A1483" t="inlineStr">
        <is>
          <t>T-2019-P12-0011</t>
        </is>
      </c>
      <c r="B1483" t="inlineStr">
        <is>
          <t>MPSES</t>
        </is>
      </c>
      <c r="C1483" t="inlineStr">
        <is>
          <t>Director of Policy</t>
        </is>
      </c>
      <c r="D1483" t="inlineStr">
        <is>
          <t>Directeur des politiques</t>
        </is>
      </c>
      <c r="E1483" t="inlineStr">
        <is>
          <t>Jérémy Gauthier</t>
        </is>
      </c>
      <c r="F1483" t="inlineStr">
        <is>
          <t>Attended a meeting and a strategic planning session with the Minister and Chief of Staff.</t>
        </is>
      </c>
      <c r="G1483" t="inlineStr">
        <is>
          <t>Assister à une réunion et à une séance de planification stratégique avec la ministre 
et la chef de cabinet.</t>
        </is>
      </c>
      <c r="H1483" s="1" t="n">
        <v>43839</v>
      </c>
      <c r="I1483" s="1" t="n">
        <v>43840</v>
      </c>
      <c r="J1483" t="inlineStr">
        <is>
          <t>Sherbrooke (Quebec) Canada</t>
        </is>
      </c>
      <c r="K1483" t="inlineStr">
        <is>
          <t>Sherbrooke (Québec) Canada</t>
        </is>
      </c>
      <c r="P1483" t="n">
        <v>0</v>
      </c>
      <c r="Q1483" t="n">
        <v>54</v>
      </c>
      <c r="R1483" t="n">
        <v>141.59</v>
      </c>
      <c r="S1483" t="n">
        <v>101.1</v>
      </c>
      <c r="T1483" t="n">
        <v>0</v>
      </c>
      <c r="U1483" t="n">
        <v>296.69</v>
      </c>
      <c r="X1483" t="inlineStr">
        <is>
          <t>aafc-aac</t>
        </is>
      </c>
      <c r="Y1483" t="inlineStr">
        <is>
          <t>Agriculture and Agri-Food Canada | Agriculture et Agroalimentaire Canada</t>
        </is>
      </c>
      <c r="Z1483" t="n">
        <v>2</v>
      </c>
      <c r="AA1483" t="n">
        <v>296.69</v>
      </c>
      <c r="AB1483">
        <f>ROUND(U1483-AA1483,2)</f>
        <v/>
      </c>
      <c r="AC1483" t="b">
        <v>0</v>
      </c>
      <c r="AD1483">
        <f>IF(U1483="","MISSING_TOTAL",IF(ABS(AB1483)&lt;=0.01,"OK","CHECK"))</f>
        <v/>
      </c>
      <c r="AE1483">
        <f>IF(U1483="","MISSING",IF(AND(AA1483&gt;0,U1483/AA1483&gt;50),"POSSIBLE_SCALE_ERROR","OK"))</f>
        <v/>
      </c>
    </row>
    <row r="1484">
      <c r="A1484" t="inlineStr">
        <is>
          <t>T-2019-P12-0012</t>
        </is>
      </c>
      <c r="B1484" t="inlineStr">
        <is>
          <t>MPSES</t>
        </is>
      </c>
      <c r="C1484" t="inlineStr">
        <is>
          <t>Director of Policy</t>
        </is>
      </c>
      <c r="D1484" t="inlineStr">
        <is>
          <t>Directeur des politiques</t>
        </is>
      </c>
      <c r="E1484" t="inlineStr">
        <is>
          <t>Jérémy Gauthier</t>
        </is>
      </c>
      <c r="F1484" t="inlineStr">
        <is>
          <t>Accompanied the Minister to the United States Department of Agriculture's Agricultural Outlook Forum.</t>
        </is>
      </c>
      <c r="G1484" t="inlineStr">
        <is>
          <t>Accompagner la ministre au forum sur les perspectives agricoles du département de l'Agriculture des États-Unis.</t>
        </is>
      </c>
      <c r="H1484" s="1" t="n">
        <v>43881</v>
      </c>
      <c r="I1484" s="1" t="n">
        <v>43882</v>
      </c>
      <c r="J1484" t="inlineStr">
        <is>
          <t>Washington (District of Columbia) United States</t>
        </is>
      </c>
      <c r="K1484" t="inlineStr">
        <is>
          <t>Washington (district de Columbia) États-Unis</t>
        </is>
      </c>
      <c r="P1484" t="n">
        <v>1532.64</v>
      </c>
      <c r="Q1484" t="n">
        <v>37.64</v>
      </c>
      <c r="R1484" t="n">
        <v>275.56</v>
      </c>
      <c r="S1484" t="n">
        <v>93.76000000000001</v>
      </c>
      <c r="T1484" t="n">
        <v>18.16</v>
      </c>
      <c r="U1484" t="n">
        <v>1957.76</v>
      </c>
      <c r="X1484" t="inlineStr">
        <is>
          <t>aafc-aac</t>
        </is>
      </c>
      <c r="Y1484" t="inlineStr">
        <is>
          <t>Agriculture and Agri-Food Canada | Agriculture et Agroalimentaire Canada</t>
        </is>
      </c>
      <c r="Z1484" t="n">
        <v>2</v>
      </c>
      <c r="AA1484" t="n">
        <v>1957.76</v>
      </c>
      <c r="AB1484">
        <f>ROUND(U1484-AA1484,2)</f>
        <v/>
      </c>
      <c r="AC1484" t="b">
        <v>0</v>
      </c>
      <c r="AD1484">
        <f>IF(U1484="","MISSING_TOTAL",IF(ABS(AB1484)&lt;=0.01,"OK","CHECK"))</f>
        <v/>
      </c>
      <c r="AE1484">
        <f>IF(U1484="","MISSING",IF(AND(AA1484&gt;0,U1484/AA1484&gt;50),"POSSIBLE_SCALE_ERROR","OK"))</f>
        <v/>
      </c>
    </row>
    <row r="1485">
      <c r="A1485" t="inlineStr">
        <is>
          <t>T-2019-P12-0013</t>
        </is>
      </c>
      <c r="B1485" t="inlineStr">
        <is>
          <t>MPSES</t>
        </is>
      </c>
      <c r="C1485" t="inlineStr">
        <is>
          <t>Driver</t>
        </is>
      </c>
      <c r="D1485" t="inlineStr">
        <is>
          <t>Chauffeur</t>
        </is>
      </c>
      <c r="E1485" t="inlineStr">
        <is>
          <t>Michel Gendreau</t>
        </is>
      </c>
      <c r="F1485" t="inlineStr">
        <is>
          <t>Drove the Minister to her riding from Ottawa.</t>
        </is>
      </c>
      <c r="G1485" t="inlineStr">
        <is>
          <t>Conduire la ministre d'Ottawa jusqu'à sa circonscription.</t>
        </is>
      </c>
      <c r="H1485" s="1" t="n">
        <v>43860</v>
      </c>
      <c r="I1485" s="1" t="n">
        <v>43860</v>
      </c>
      <c r="J1485" t="inlineStr">
        <is>
          <t>Sherbrooke (Quebec) Canada</t>
        </is>
      </c>
      <c r="K1485" t="inlineStr">
        <is>
          <t>Sherbrooke (Québec) Canada</t>
        </is>
      </c>
      <c r="P1485" t="n">
        <v>0</v>
      </c>
      <c r="Q1485" t="n">
        <v>6.2</v>
      </c>
      <c r="R1485" t="n">
        <v>0</v>
      </c>
      <c r="S1485" t="n">
        <v>50.55</v>
      </c>
      <c r="T1485" t="n">
        <v>0</v>
      </c>
      <c r="U1485" t="n">
        <v>56.75</v>
      </c>
      <c r="X1485" t="inlineStr">
        <is>
          <t>aafc-aac</t>
        </is>
      </c>
      <c r="Y1485" t="inlineStr">
        <is>
          <t>Agriculture and Agri-Food Canada | Agriculture et Agroalimentaire Canada</t>
        </is>
      </c>
      <c r="Z1485" t="n">
        <v>1</v>
      </c>
      <c r="AA1485" t="n">
        <v>56.75</v>
      </c>
      <c r="AB1485">
        <f>ROUND(U1485-AA1485,2)</f>
        <v/>
      </c>
      <c r="AC1485" t="b">
        <v>0</v>
      </c>
      <c r="AD1485">
        <f>IF(U1485="","MISSING_TOTAL",IF(ABS(AB1485)&lt;=0.01,"OK","CHECK"))</f>
        <v/>
      </c>
      <c r="AE1485">
        <f>IF(U1485="","MISSING",IF(AND(AA1485&gt;0,U1485/AA1485&gt;50),"POSSIBLE_SCALE_ERROR","OK"))</f>
        <v/>
      </c>
    </row>
    <row r="1486">
      <c r="A1486" t="inlineStr">
        <is>
          <t>T-2019-P12-0014</t>
        </is>
      </c>
      <c r="B1486" t="inlineStr">
        <is>
          <t>MPSES</t>
        </is>
      </c>
      <c r="C1486" t="inlineStr">
        <is>
          <t>Driver</t>
        </is>
      </c>
      <c r="D1486" t="inlineStr">
        <is>
          <t>Chauffeur</t>
        </is>
      </c>
      <c r="E1486" t="inlineStr">
        <is>
          <t>Michel Gendreau</t>
        </is>
      </c>
      <c r="F1486" t="inlineStr">
        <is>
          <t>Drove the Minister to her riding from Ottawa.</t>
        </is>
      </c>
      <c r="G1486" t="inlineStr">
        <is>
          <t>Conduire la ministre d'Ottawa jusqu'à sa circonscription.</t>
        </is>
      </c>
      <c r="H1486" s="1" t="n">
        <v>43875</v>
      </c>
      <c r="I1486" s="1" t="n">
        <v>43875</v>
      </c>
      <c r="J1486" t="inlineStr">
        <is>
          <t>Sherbrooke (Quebec) Canada</t>
        </is>
      </c>
      <c r="K1486" t="inlineStr">
        <is>
          <t>Sherbrooke (Québec) Canada</t>
        </is>
      </c>
      <c r="P1486" t="n">
        <v>0</v>
      </c>
      <c r="Q1486" t="n">
        <v>6.4</v>
      </c>
      <c r="R1486" t="n">
        <v>0</v>
      </c>
      <c r="S1486" t="n">
        <v>91.5</v>
      </c>
      <c r="T1486" t="n">
        <v>0</v>
      </c>
      <c r="U1486" t="n">
        <v>97.90000000000001</v>
      </c>
      <c r="X1486" t="inlineStr">
        <is>
          <t>aafc-aac</t>
        </is>
      </c>
      <c r="Y1486" t="inlineStr">
        <is>
          <t>Agriculture and Agri-Food Canada | Agriculture et Agroalimentaire Canada</t>
        </is>
      </c>
      <c r="Z1486" t="n">
        <v>1</v>
      </c>
      <c r="AA1486" t="n">
        <v>97.90000000000001</v>
      </c>
      <c r="AB1486">
        <f>ROUND(U1486-AA1486,2)</f>
        <v/>
      </c>
      <c r="AC1486" t="b">
        <v>0</v>
      </c>
      <c r="AD1486">
        <f>IF(U1486="","MISSING_TOTAL",IF(ABS(AB1486)&lt;=0.01,"OK","CHECK"))</f>
        <v/>
      </c>
      <c r="AE1486">
        <f>IF(U1486="","MISSING",IF(AND(AA1486&gt;0,U1486/AA1486&gt;50),"POSSIBLE_SCALE_ERROR","OK"))</f>
        <v/>
      </c>
    </row>
    <row r="1487">
      <c r="A1487" t="inlineStr">
        <is>
          <t>T-2019-P12-0015</t>
        </is>
      </c>
      <c r="B1487" t="inlineStr">
        <is>
          <t>MPSES</t>
        </is>
      </c>
      <c r="C1487" t="inlineStr">
        <is>
          <t>Driver</t>
        </is>
      </c>
      <c r="D1487" t="inlineStr">
        <is>
          <t>Chauffeur</t>
        </is>
      </c>
      <c r="E1487" t="inlineStr">
        <is>
          <t>Michel Gendreau</t>
        </is>
      </c>
      <c r="F1487" t="inlineStr">
        <is>
          <t>Drove the Minister to her riding from Ottawa.</t>
        </is>
      </c>
      <c r="G1487" t="inlineStr">
        <is>
          <t>Conduire la ministre d'Ottawa jusqu'à sa circonscription.</t>
        </is>
      </c>
      <c r="H1487" s="1" t="n">
        <v>43878</v>
      </c>
      <c r="I1487" s="1" t="n">
        <v>43879</v>
      </c>
      <c r="J1487" t="inlineStr">
        <is>
          <t>Sherbrooke (Quebec) Canada</t>
        </is>
      </c>
      <c r="K1487" t="inlineStr">
        <is>
          <t>Sherbrooke (Québec) Canada</t>
        </is>
      </c>
      <c r="P1487" t="n">
        <v>0</v>
      </c>
      <c r="Q1487" t="n">
        <v>6.4</v>
      </c>
      <c r="R1487" t="n">
        <v>140.17</v>
      </c>
      <c r="S1487" t="n">
        <v>91.5</v>
      </c>
      <c r="T1487" t="n">
        <v>0</v>
      </c>
      <c r="U1487" t="n">
        <v>238.07</v>
      </c>
      <c r="X1487" t="inlineStr">
        <is>
          <t>aafc-aac</t>
        </is>
      </c>
      <c r="Y1487" t="inlineStr">
        <is>
          <t>Agriculture and Agri-Food Canada | Agriculture et Agroalimentaire Canada</t>
        </is>
      </c>
      <c r="Z1487" t="n">
        <v>2</v>
      </c>
      <c r="AA1487" t="n">
        <v>238.07</v>
      </c>
      <c r="AB1487">
        <f>ROUND(U1487-AA1487,2)</f>
        <v/>
      </c>
      <c r="AC1487" t="b">
        <v>0</v>
      </c>
      <c r="AD1487">
        <f>IF(U1487="","MISSING_TOTAL",IF(ABS(AB1487)&lt;=0.01,"OK","CHECK"))</f>
        <v/>
      </c>
      <c r="AE1487">
        <f>IF(U1487="","MISSING",IF(AND(AA1487&gt;0,U1487/AA1487&gt;50),"POSSIBLE_SCALE_ERROR","OK"))</f>
        <v/>
      </c>
    </row>
    <row r="1488">
      <c r="A1488" t="inlineStr">
        <is>
          <t>T-2019-P12-0016</t>
        </is>
      </c>
      <c r="B1488" t="inlineStr">
        <is>
          <t>MPSES</t>
        </is>
      </c>
      <c r="C1488" t="inlineStr">
        <is>
          <t>Driver</t>
        </is>
      </c>
      <c r="D1488" t="inlineStr">
        <is>
          <t>Chauffeur</t>
        </is>
      </c>
      <c r="E1488" t="inlineStr">
        <is>
          <t>Michel Gendreau</t>
        </is>
      </c>
      <c r="F1488" t="inlineStr">
        <is>
          <t>Drove the Minister to her riding from Ottawa.</t>
        </is>
      </c>
      <c r="G1488" t="inlineStr">
        <is>
          <t>Conduire la ministre d'Ottawa jusqu'à sa circonscription.</t>
        </is>
      </c>
      <c r="H1488" s="1" t="n">
        <v>43889</v>
      </c>
      <c r="I1488" s="1" t="n">
        <v>43889</v>
      </c>
      <c r="J1488" t="inlineStr">
        <is>
          <t>Sherbrooke (Quebec) Canada</t>
        </is>
      </c>
      <c r="K1488" t="inlineStr">
        <is>
          <t>Sherbrooke (Québec) Canada</t>
        </is>
      </c>
      <c r="P1488" t="n">
        <v>0</v>
      </c>
      <c r="Q1488" t="n">
        <v>6.4</v>
      </c>
      <c r="R1488" t="n">
        <v>0</v>
      </c>
      <c r="S1488" t="n">
        <v>40.95</v>
      </c>
      <c r="T1488" t="n">
        <v>0</v>
      </c>
      <c r="U1488" t="n">
        <v>47.35</v>
      </c>
      <c r="X1488" t="inlineStr">
        <is>
          <t>aafc-aac</t>
        </is>
      </c>
      <c r="Y1488" t="inlineStr">
        <is>
          <t>Agriculture and Agri-Food Canada | Agriculture et Agroalimentaire Canada</t>
        </is>
      </c>
      <c r="Z1488" t="n">
        <v>1</v>
      </c>
      <c r="AA1488" t="n">
        <v>47.35</v>
      </c>
      <c r="AB1488">
        <f>ROUND(U1488-AA1488,2)</f>
        <v/>
      </c>
      <c r="AC1488" t="b">
        <v>0</v>
      </c>
      <c r="AD1488">
        <f>IF(U1488="","MISSING_TOTAL",IF(ABS(AB1488)&lt;=0.01,"OK","CHECK"))</f>
        <v/>
      </c>
      <c r="AE1488">
        <f>IF(U1488="","MISSING",IF(AND(AA1488&gt;0,U1488/AA1488&gt;50),"POSSIBLE_SCALE_ERROR","OK"))</f>
        <v/>
      </c>
    </row>
    <row r="1489">
      <c r="A1489" t="inlineStr">
        <is>
          <t>T-2019-P12-0017</t>
        </is>
      </c>
      <c r="B1489" t="inlineStr">
        <is>
          <t>MPSES</t>
        </is>
      </c>
      <c r="C1489" t="inlineStr">
        <is>
          <t>Driver</t>
        </is>
      </c>
      <c r="D1489" t="inlineStr">
        <is>
          <t>Chauffeur</t>
        </is>
      </c>
      <c r="E1489" t="inlineStr">
        <is>
          <t>Michel Gendreau</t>
        </is>
      </c>
      <c r="F1489" t="inlineStr">
        <is>
          <t>Drove the Minister from her riding to Montreal Airport for a flight to Halifax.</t>
        </is>
      </c>
      <c r="G1489" t="inlineStr">
        <is>
          <t>Conduire la ministre de sa circonscription jusqu'à l'aéroport de Montréal pour un vol vers Halifax.</t>
        </is>
      </c>
      <c r="H1489" s="1" t="n">
        <v>43893</v>
      </c>
      <c r="I1489" s="1" t="n">
        <v>43893</v>
      </c>
      <c r="J1489" t="inlineStr">
        <is>
          <t>Sherbrooke (Quebec) Canada</t>
        </is>
      </c>
      <c r="K1489" t="inlineStr">
        <is>
          <t>Sherbrooke (Québec) Canada</t>
        </is>
      </c>
      <c r="P1489" t="n">
        <v>0</v>
      </c>
      <c r="Q1489" t="n">
        <v>3.2</v>
      </c>
      <c r="R1489" t="n">
        <v>0</v>
      </c>
      <c r="S1489" t="n">
        <v>50.55</v>
      </c>
      <c r="T1489" t="n">
        <v>0</v>
      </c>
      <c r="U1489" t="n">
        <v>53.75</v>
      </c>
      <c r="X1489" t="inlineStr">
        <is>
          <t>aafc-aac</t>
        </is>
      </c>
      <c r="Y1489" t="inlineStr">
        <is>
          <t>Agriculture and Agri-Food Canada | Agriculture et Agroalimentaire Canada</t>
        </is>
      </c>
      <c r="Z1489" t="n">
        <v>1</v>
      </c>
      <c r="AA1489" t="n">
        <v>53.75</v>
      </c>
      <c r="AB1489">
        <f>ROUND(U1489-AA1489,2)</f>
        <v/>
      </c>
      <c r="AC1489" t="b">
        <v>0</v>
      </c>
      <c r="AD1489">
        <f>IF(U1489="","MISSING_TOTAL",IF(ABS(AB1489)&lt;=0.01,"OK","CHECK"))</f>
        <v/>
      </c>
      <c r="AE1489">
        <f>IF(U1489="","MISSING",IF(AND(AA1489&gt;0,U1489/AA1489&gt;50),"POSSIBLE_SCALE_ERROR","OK"))</f>
        <v/>
      </c>
    </row>
    <row r="1490">
      <c r="A1490" t="inlineStr">
        <is>
          <t>T-2019-P12-0018</t>
        </is>
      </c>
      <c r="B1490" t="inlineStr">
        <is>
          <t>MPSES</t>
        </is>
      </c>
      <c r="C1490" t="inlineStr">
        <is>
          <t>Driver</t>
        </is>
      </c>
      <c r="D1490" t="inlineStr">
        <is>
          <t>Chauffeur</t>
        </is>
      </c>
      <c r="E1490" t="inlineStr">
        <is>
          <t>Michel Gendreau</t>
        </is>
      </c>
      <c r="F1490" t="inlineStr">
        <is>
          <t>Drove the Minister to her riding from Montreal airport.</t>
        </is>
      </c>
      <c r="G1490" t="inlineStr">
        <is>
          <t>Conduire la ministre de l'aéroport de Montréal jusqu'à sa circonscription.</t>
        </is>
      </c>
      <c r="H1490" s="1" t="n">
        <v>43897</v>
      </c>
      <c r="I1490" s="1" t="n">
        <v>43897</v>
      </c>
      <c r="J1490" t="inlineStr">
        <is>
          <t>Sherbrooke (Quebec) Canada</t>
        </is>
      </c>
      <c r="K1490" t="inlineStr">
        <is>
          <t>Sherbrooke (Québec) Canada</t>
        </is>
      </c>
      <c r="P1490" t="n">
        <v>0</v>
      </c>
      <c r="Q1490" t="n">
        <v>3.2</v>
      </c>
      <c r="R1490" t="n">
        <v>0</v>
      </c>
      <c r="S1490" t="n">
        <v>50.55</v>
      </c>
      <c r="T1490" t="n">
        <v>0</v>
      </c>
      <c r="U1490" t="n">
        <v>53.75</v>
      </c>
      <c r="X1490" t="inlineStr">
        <is>
          <t>aafc-aac</t>
        </is>
      </c>
      <c r="Y1490" t="inlineStr">
        <is>
          <t>Agriculture and Agri-Food Canada | Agriculture et Agroalimentaire Canada</t>
        </is>
      </c>
      <c r="Z1490" t="n">
        <v>1</v>
      </c>
      <c r="AA1490" t="n">
        <v>53.75</v>
      </c>
      <c r="AB1490">
        <f>ROUND(U1490-AA1490,2)</f>
        <v/>
      </c>
      <c r="AC1490" t="b">
        <v>0</v>
      </c>
      <c r="AD1490">
        <f>IF(U1490="","MISSING_TOTAL",IF(ABS(AB1490)&lt;=0.01,"OK","CHECK"))</f>
        <v/>
      </c>
      <c r="AE1490">
        <f>IF(U1490="","MISSING",IF(AND(AA1490&gt;0,U1490/AA1490&gt;50),"POSSIBLE_SCALE_ERROR","OK"))</f>
        <v/>
      </c>
    </row>
    <row r="1491">
      <c r="A1491" t="inlineStr">
        <is>
          <t>T-2019-P12-0019</t>
        </is>
      </c>
      <c r="B1491" t="inlineStr">
        <is>
          <t>MPSES</t>
        </is>
      </c>
      <c r="C1491" t="inlineStr">
        <is>
          <t>Driver</t>
        </is>
      </c>
      <c r="D1491" t="inlineStr">
        <is>
          <t>Chauffeur</t>
        </is>
      </c>
      <c r="E1491" t="inlineStr">
        <is>
          <t>Michel Gendreau</t>
        </is>
      </c>
      <c r="F1491" t="inlineStr">
        <is>
          <t>Drove the Minister from her riding to Ottawa.</t>
        </is>
      </c>
      <c r="G1491" t="inlineStr">
        <is>
          <t>Conduire la Ministre de sa circonscription jusqu'à Ottawa.</t>
        </is>
      </c>
      <c r="H1491" s="1" t="n">
        <v>43898</v>
      </c>
      <c r="I1491" s="1" t="n">
        <v>43899</v>
      </c>
      <c r="J1491" t="inlineStr">
        <is>
          <t>Sherbrooke (Quebec) Canada</t>
        </is>
      </c>
      <c r="K1491" t="inlineStr">
        <is>
          <t>Sherbrooke (Québec) Canada</t>
        </is>
      </c>
      <c r="P1491" t="n">
        <v>0</v>
      </c>
      <c r="Q1491" t="n">
        <v>6.4</v>
      </c>
      <c r="R1491" t="n">
        <v>135.65</v>
      </c>
      <c r="S1491" t="n">
        <v>70.90000000000001</v>
      </c>
      <c r="T1491" t="n">
        <v>0</v>
      </c>
      <c r="U1491" t="n">
        <v>212.95</v>
      </c>
      <c r="X1491" t="inlineStr">
        <is>
          <t>aafc-aac</t>
        </is>
      </c>
      <c r="Y1491" t="inlineStr">
        <is>
          <t>Agriculture and Agri-Food Canada | Agriculture et Agroalimentaire Canada</t>
        </is>
      </c>
      <c r="Z1491" t="n">
        <v>2</v>
      </c>
      <c r="AA1491" t="n">
        <v>212.95</v>
      </c>
      <c r="AB1491">
        <f>ROUND(U1491-AA1491,2)</f>
        <v/>
      </c>
      <c r="AC1491" t="b">
        <v>0</v>
      </c>
      <c r="AD1491">
        <f>IF(U1491="","MISSING_TOTAL",IF(ABS(AB1491)&lt;=0.01,"OK","CHECK"))</f>
        <v/>
      </c>
      <c r="AE1491">
        <f>IF(U1491="","MISSING",IF(AND(AA1491&gt;0,U1491/AA1491&gt;50),"POSSIBLE_SCALE_ERROR","OK"))</f>
        <v/>
      </c>
    </row>
    <row r="1492">
      <c r="A1492" t="inlineStr">
        <is>
          <t>T-2019-P12-0020</t>
        </is>
      </c>
      <c r="B1492" t="inlineStr">
        <is>
          <t>MPSES</t>
        </is>
      </c>
      <c r="C1492" t="inlineStr">
        <is>
          <t>Driver</t>
        </is>
      </c>
      <c r="D1492" t="inlineStr">
        <is>
          <t>Chauffeur</t>
        </is>
      </c>
      <c r="E1492" t="inlineStr">
        <is>
          <t>Michel Gendreau</t>
        </is>
      </c>
      <c r="F1492" t="inlineStr">
        <is>
          <t>Drove the Minister to her riding from Ottawa and back.</t>
        </is>
      </c>
      <c r="G1492" t="inlineStr">
        <is>
          <t>Conduire la ministre aller-retour entre Ottawa et sa circonscription.</t>
        </is>
      </c>
      <c r="H1492" s="1" t="n">
        <v>43882</v>
      </c>
      <c r="I1492" s="1" t="n">
        <v>43885</v>
      </c>
      <c r="J1492" t="inlineStr">
        <is>
          <t>Sherbrooke (Quebec) Canada</t>
        </is>
      </c>
      <c r="K1492" t="inlineStr">
        <is>
          <t>Sherbrooke (Québec) Canada</t>
        </is>
      </c>
      <c r="P1492" t="n">
        <v>0</v>
      </c>
      <c r="Q1492" t="n">
        <v>3.2</v>
      </c>
      <c r="R1492" t="n">
        <v>472.51</v>
      </c>
      <c r="S1492" t="n">
        <v>162.65</v>
      </c>
      <c r="T1492" t="n">
        <v>0</v>
      </c>
      <c r="U1492" t="n">
        <v>638.36</v>
      </c>
      <c r="X1492" t="inlineStr">
        <is>
          <t>aafc-aac</t>
        </is>
      </c>
      <c r="Y1492" t="inlineStr">
        <is>
          <t>Agriculture and Agri-Food Canada | Agriculture et Agroalimentaire Canada</t>
        </is>
      </c>
      <c r="Z1492" t="n">
        <v>4</v>
      </c>
      <c r="AA1492" t="n">
        <v>638.36</v>
      </c>
      <c r="AB1492">
        <f>ROUND(U1492-AA1492,2)</f>
        <v/>
      </c>
      <c r="AC1492" t="b">
        <v>0</v>
      </c>
      <c r="AD1492">
        <f>IF(U1492="","MISSING_TOTAL",IF(ABS(AB1492)&lt;=0.01,"OK","CHECK"))</f>
        <v/>
      </c>
      <c r="AE1492">
        <f>IF(U1492="","MISSING",IF(AND(AA1492&gt;0,U1492/AA1492&gt;50),"POSSIBLE_SCALE_ERROR","OK"))</f>
        <v/>
      </c>
    </row>
    <row r="1493">
      <c r="A1493" t="inlineStr">
        <is>
          <t>T-2019-P12-0021</t>
        </is>
      </c>
      <c r="B1493" t="inlineStr">
        <is>
          <t>MPSES</t>
        </is>
      </c>
      <c r="C1493" t="inlineStr">
        <is>
          <t>Social Media Manager</t>
        </is>
      </c>
      <c r="D1493" t="inlineStr">
        <is>
          <t>Gestionnaire des média sociaux</t>
        </is>
      </c>
      <c r="E1493" t="inlineStr">
        <is>
          <t>Mona Sebbane</t>
        </is>
      </c>
      <c r="F1493" t="inlineStr">
        <is>
          <t>Accompanied the Minister to a communications briefing.</t>
        </is>
      </c>
      <c r="G1493" t="inlineStr">
        <is>
          <t>Accompagner la ministre à une séance d'information sur les communications.</t>
        </is>
      </c>
      <c r="H1493" s="1" t="n">
        <v>43878</v>
      </c>
      <c r="I1493" s="1" t="n">
        <v>43878</v>
      </c>
      <c r="J1493" t="inlineStr">
        <is>
          <t>Sherbrooke (Quebec) Canada</t>
        </is>
      </c>
      <c r="K1493" t="inlineStr">
        <is>
          <t>Sherbrooke (Québec) Canada</t>
        </is>
      </c>
      <c r="P1493" t="n">
        <v>0</v>
      </c>
      <c r="Q1493" t="n">
        <v>0</v>
      </c>
      <c r="R1493" t="n">
        <v>0</v>
      </c>
      <c r="S1493" t="n">
        <v>50.55</v>
      </c>
      <c r="T1493" t="n">
        <v>0</v>
      </c>
      <c r="U1493" t="n">
        <v>50.55</v>
      </c>
      <c r="X1493" t="inlineStr">
        <is>
          <t>aafc-aac</t>
        </is>
      </c>
      <c r="Y1493" t="inlineStr">
        <is>
          <t>Agriculture and Agri-Food Canada | Agriculture et Agroalimentaire Canada</t>
        </is>
      </c>
      <c r="Z1493" t="n">
        <v>1</v>
      </c>
      <c r="AA1493" t="n">
        <v>50.55</v>
      </c>
      <c r="AB1493">
        <f>ROUND(U1493-AA1493,2)</f>
        <v/>
      </c>
      <c r="AC1493" t="b">
        <v>0</v>
      </c>
      <c r="AD1493">
        <f>IF(U1493="","MISSING_TOTAL",IF(ABS(AB1493)&lt;=0.01,"OK","CHECK"))</f>
        <v/>
      </c>
      <c r="AE1493">
        <f>IF(U1493="","MISSING",IF(AND(AA1493&gt;0,U1493/AA1493&gt;50),"POSSIBLE_SCALE_ERROR","OK"))</f>
        <v/>
      </c>
    </row>
    <row r="1494">
      <c r="A1494" t="inlineStr">
        <is>
          <t>T-2019-P12-0022</t>
        </is>
      </c>
      <c r="B1494" t="inlineStr">
        <is>
          <t>MPSES</t>
        </is>
      </c>
      <c r="C1494" t="inlineStr">
        <is>
          <t>Director of Communications</t>
        </is>
      </c>
      <c r="D1494" t="inlineStr">
        <is>
          <t>Directrice des communications</t>
        </is>
      </c>
      <c r="E1494" t="inlineStr">
        <is>
          <t>Oliver Anderson</t>
        </is>
      </c>
      <c r="F1494" t="inlineStr">
        <is>
          <t>Accompanied the Minister to Crop Connect and to meet with various stakeholders.</t>
        </is>
      </c>
      <c r="G1494" t="inlineStr">
        <is>
          <t>Accompagner la ministre à CropConnect et rencontrer divers intervenants.</t>
        </is>
      </c>
      <c r="H1494" s="1" t="n">
        <v>43872</v>
      </c>
      <c r="I1494" s="1" t="n">
        <v>43875</v>
      </c>
      <c r="J1494" t="inlineStr">
        <is>
          <t>Winnipeg (Manitoba) Canada</t>
        </is>
      </c>
      <c r="K1494" t="inlineStr">
        <is>
          <t>Winnipeg (Manitoba) Canada</t>
        </is>
      </c>
      <c r="P1494" t="n">
        <v>890.08</v>
      </c>
      <c r="Q1494" t="n">
        <v>0</v>
      </c>
      <c r="R1494" t="n">
        <v>488.94</v>
      </c>
      <c r="S1494" t="n">
        <v>253.9</v>
      </c>
      <c r="T1494" t="n">
        <v>0</v>
      </c>
      <c r="U1494" t="n">
        <v>1632.92</v>
      </c>
      <c r="X1494" t="inlineStr">
        <is>
          <t>aafc-aac</t>
        </is>
      </c>
      <c r="Y1494" t="inlineStr">
        <is>
          <t>Agriculture and Agri-Food Canada | Agriculture et Agroalimentaire Canada</t>
        </is>
      </c>
      <c r="Z1494" t="n">
        <v>4</v>
      </c>
      <c r="AA1494" t="n">
        <v>1632.92</v>
      </c>
      <c r="AB1494">
        <f>ROUND(U1494-AA1494,2)</f>
        <v/>
      </c>
      <c r="AC1494" t="b">
        <v>0</v>
      </c>
      <c r="AD1494">
        <f>IF(U1494="","MISSING_TOTAL",IF(ABS(AB1494)&lt;=0.01,"OK","CHECK"))</f>
        <v/>
      </c>
      <c r="AE1494">
        <f>IF(U1494="","MISSING",IF(AND(AA1494&gt;0,U1494/AA1494&gt;50),"POSSIBLE_SCALE_ERROR","OK"))</f>
        <v/>
      </c>
    </row>
    <row r="1495">
      <c r="A1495" t="inlineStr">
        <is>
          <t>T-2019-P12-0023</t>
        </is>
      </c>
      <c r="B1495" t="inlineStr">
        <is>
          <t>MPSES</t>
        </is>
      </c>
      <c r="C1495" t="inlineStr">
        <is>
          <t>Director of Communications</t>
        </is>
      </c>
      <c r="D1495" t="inlineStr">
        <is>
          <t>Directrice des communications</t>
        </is>
      </c>
      <c r="E1495" t="inlineStr">
        <is>
          <t>Oliver Anderson</t>
        </is>
      </c>
      <c r="F1495" t="inlineStr">
        <is>
          <t>Accompanied the Minister to a communications briefing.</t>
        </is>
      </c>
      <c r="G1495" t="inlineStr">
        <is>
          <t>Accompagner la ministre à une séance d'information sur les communications.</t>
        </is>
      </c>
      <c r="H1495" s="1" t="n">
        <v>43878</v>
      </c>
      <c r="I1495" s="1" t="n">
        <v>43878</v>
      </c>
      <c r="J1495" t="inlineStr">
        <is>
          <t>Sherbrooke (Quebec) Canada</t>
        </is>
      </c>
      <c r="K1495" t="inlineStr">
        <is>
          <t>Sherbrooke (Québec) Canada</t>
        </is>
      </c>
      <c r="P1495" t="n">
        <v>0</v>
      </c>
      <c r="Q1495" t="n">
        <v>0</v>
      </c>
      <c r="R1495" t="n">
        <v>0</v>
      </c>
      <c r="S1495" t="n">
        <v>50.55</v>
      </c>
      <c r="T1495" t="n">
        <v>0</v>
      </c>
      <c r="U1495" t="n">
        <v>50.55</v>
      </c>
      <c r="X1495" t="inlineStr">
        <is>
          <t>aafc-aac</t>
        </is>
      </c>
      <c r="Y1495" t="inlineStr">
        <is>
          <t>Agriculture and Agri-Food Canada | Agriculture et Agroalimentaire Canada</t>
        </is>
      </c>
      <c r="Z1495" t="n">
        <v>1</v>
      </c>
      <c r="AA1495" t="n">
        <v>50.55</v>
      </c>
      <c r="AB1495">
        <f>ROUND(U1495-AA1495,2)</f>
        <v/>
      </c>
      <c r="AC1495" t="b">
        <v>0</v>
      </c>
      <c r="AD1495">
        <f>IF(U1495="","MISSING_TOTAL",IF(ABS(AB1495)&lt;=0.01,"OK","CHECK"))</f>
        <v/>
      </c>
      <c r="AE1495">
        <f>IF(U1495="","MISSING",IF(AND(AA1495&gt;0,U1495/AA1495&gt;50),"POSSIBLE_SCALE_ERROR","OK"))</f>
        <v/>
      </c>
    </row>
    <row r="1496">
      <c r="A1496" t="inlineStr">
        <is>
          <t>T-2019-P12-0024</t>
        </is>
      </c>
      <c r="B1496" t="inlineStr">
        <is>
          <t>MPSES</t>
        </is>
      </c>
      <c r="C1496" t="inlineStr">
        <is>
          <t>Policy Advisor</t>
        </is>
      </c>
      <c r="D1496" t="inlineStr">
        <is>
          <t>Conseillère en politiques</t>
        </is>
      </c>
      <c r="E1496" t="inlineStr">
        <is>
          <t>Pearson Croney-Clark</t>
        </is>
      </c>
      <c r="F1496" t="inlineStr">
        <is>
          <t>Accompanied the Minister to an outreach and various meetings with stakeholders.</t>
        </is>
      </c>
      <c r="G1496" t="inlineStr">
        <is>
          <t>Accompagner la ministre à une activité de sensibilisation et à diverses réunions avec des intervenants.</t>
        </is>
      </c>
      <c r="H1496" s="1" t="n">
        <v>43894</v>
      </c>
      <c r="I1496" s="1" t="n">
        <v>43897</v>
      </c>
      <c r="J1496" t="inlineStr">
        <is>
          <t>Halifax (Nova Scotia) Canada;
Truro (Nova Scotia)  Canada;
Charlottetown (Prince Edward Island) Canada</t>
        </is>
      </c>
      <c r="K1496" t="inlineStr">
        <is>
          <t>Halifax (Nouvelle-Écosse) Canada;
Truro (Nouvelle-Écosse) Canada; Charlottetown (Île-du-Prince-Édouard) Canada</t>
        </is>
      </c>
      <c r="P1496" t="n">
        <v>1307.52</v>
      </c>
      <c r="Q1496" t="n">
        <v>20.57</v>
      </c>
      <c r="R1496" t="n">
        <v>610.6799999999999</v>
      </c>
      <c r="S1496" t="n">
        <v>244.3</v>
      </c>
      <c r="T1496" t="n">
        <v>0</v>
      </c>
      <c r="U1496" t="n">
        <v>2183.07</v>
      </c>
      <c r="X1496" t="inlineStr">
        <is>
          <t>aafc-aac</t>
        </is>
      </c>
      <c r="Y1496" t="inlineStr">
        <is>
          <t>Agriculture and Agri-Food Canada | Agriculture et Agroalimentaire Canada</t>
        </is>
      </c>
      <c r="Z1496" t="n">
        <v>4</v>
      </c>
      <c r="AA1496" t="n">
        <v>2183.07</v>
      </c>
      <c r="AB1496">
        <f>ROUND(U1496-AA1496,2)</f>
        <v/>
      </c>
      <c r="AC1496" t="b">
        <v>0</v>
      </c>
      <c r="AD1496">
        <f>IF(U1496="","MISSING_TOTAL",IF(ABS(AB1496)&lt;=0.01,"OK","CHECK"))</f>
        <v/>
      </c>
      <c r="AE1496">
        <f>IF(U1496="","MISSING",IF(AND(AA1496&gt;0,U1496/AA1496&gt;50),"POSSIBLE_SCALE_ERROR","OK"))</f>
        <v/>
      </c>
    </row>
    <row r="1497">
      <c r="A1497" t="inlineStr">
        <is>
          <t>T-2019-P12-0025</t>
        </is>
      </c>
      <c r="B1497" t="inlineStr">
        <is>
          <t>SLE</t>
        </is>
      </c>
      <c r="C1497" t="inlineStr">
        <is>
          <t>Deputy Minister</t>
        </is>
      </c>
      <c r="D1497" t="inlineStr">
        <is>
          <t>Sous-ministre</t>
        </is>
      </c>
      <c r="E1497" t="inlineStr">
        <is>
          <t>Chris Forbes</t>
        </is>
      </c>
      <c r="F1497" t="inlineStr">
        <is>
          <t>Attended an outreach and various meetings with stakeholders.</t>
        </is>
      </c>
      <c r="G1497" t="inlineStr">
        <is>
          <t>Participer à une activité de sensibilisation et à diverses réunions avec des intervenants.</t>
        </is>
      </c>
      <c r="H1497" s="1" t="n">
        <v>43866</v>
      </c>
      <c r="I1497" s="1" t="n">
        <v>43869</v>
      </c>
      <c r="J1497" t="inlineStr">
        <is>
          <t>Edmonton (Alberta) Canada</t>
        </is>
      </c>
      <c r="K1497" t="inlineStr">
        <is>
          <t>Edmonton (Alberta) Canada</t>
        </is>
      </c>
      <c r="P1497" t="n">
        <v>1345.64</v>
      </c>
      <c r="Q1497" t="n">
        <v>90.08</v>
      </c>
      <c r="R1497" t="n">
        <v>446.84</v>
      </c>
      <c r="S1497" t="n">
        <v>141.8</v>
      </c>
      <c r="T1497" t="n">
        <v>0</v>
      </c>
      <c r="U1497" t="n">
        <v>2024.36</v>
      </c>
      <c r="X1497" t="inlineStr">
        <is>
          <t>aafc-aac</t>
        </is>
      </c>
      <c r="Y1497" t="inlineStr">
        <is>
          <t>Agriculture and Agri-Food Canada | Agriculture et Agroalimentaire Canada</t>
        </is>
      </c>
      <c r="Z1497" t="n">
        <v>4</v>
      </c>
      <c r="AA1497" t="n">
        <v>2024.36</v>
      </c>
      <c r="AB1497">
        <f>ROUND(U1497-AA1497,2)</f>
        <v/>
      </c>
      <c r="AC1497" t="b">
        <v>0</v>
      </c>
      <c r="AD1497">
        <f>IF(U1497="","MISSING_TOTAL",IF(ABS(AB1497)&lt;=0.01,"OK","CHECK"))</f>
        <v/>
      </c>
      <c r="AE1497">
        <f>IF(U1497="","MISSING",IF(AND(AA1497&gt;0,U1497/AA1497&gt;50),"POSSIBLE_SCALE_ERROR","OK"))</f>
        <v/>
      </c>
    </row>
    <row r="1498">
      <c r="A1498" t="inlineStr">
        <is>
          <t>T-2019-P12-0026</t>
        </is>
      </c>
      <c r="B1498" t="inlineStr">
        <is>
          <t>SLE</t>
        </is>
      </c>
      <c r="C1498" t="inlineStr">
        <is>
          <t>Deputy Minister</t>
        </is>
      </c>
      <c r="D1498" t="inlineStr">
        <is>
          <t>Sous-ministre</t>
        </is>
      </c>
      <c r="E1498" t="inlineStr">
        <is>
          <t>Chris Forbes</t>
        </is>
      </c>
      <c r="F1498" t="inlineStr">
        <is>
          <t>Attended the Federal, Provincial and Territorial Deputy Ministers of Agriculture Policy Retreat.</t>
        </is>
      </c>
      <c r="G1498" t="inlineStr">
        <is>
          <t>Participer à la séance de réflexion stratégique des sous-ministres fédéraux, provinciaux et territoriaux de l'Agriculture.</t>
        </is>
      </c>
      <c r="H1498" s="1" t="n">
        <v>43872</v>
      </c>
      <c r="I1498" s="1" t="n">
        <v>43873</v>
      </c>
      <c r="J1498" t="inlineStr">
        <is>
          <t>Toronto (Ontario) Canada</t>
        </is>
      </c>
      <c r="K1498" t="inlineStr">
        <is>
          <t>Toronto (Ontario) Canada</t>
        </is>
      </c>
      <c r="P1498" t="n">
        <v>407.08</v>
      </c>
      <c r="Q1498" t="n">
        <v>57.81</v>
      </c>
      <c r="R1498" t="n">
        <v>163.35</v>
      </c>
      <c r="S1498" t="n">
        <v>0</v>
      </c>
      <c r="T1498" t="n">
        <v>0</v>
      </c>
      <c r="U1498" t="n">
        <v>628.24</v>
      </c>
      <c r="X1498" t="inlineStr">
        <is>
          <t>aafc-aac</t>
        </is>
      </c>
      <c r="Y1498" t="inlineStr">
        <is>
          <t>Agriculture and Agri-Food Canada | Agriculture et Agroalimentaire Canada</t>
        </is>
      </c>
      <c r="Z1498" t="n">
        <v>2</v>
      </c>
      <c r="AA1498" t="n">
        <v>628.24</v>
      </c>
      <c r="AB1498">
        <f>ROUND(U1498-AA1498,2)</f>
        <v/>
      </c>
      <c r="AC1498" t="b">
        <v>0</v>
      </c>
      <c r="AD1498">
        <f>IF(U1498="","MISSING_TOTAL",IF(ABS(AB1498)&lt;=0.01,"OK","CHECK"))</f>
        <v/>
      </c>
      <c r="AE1498">
        <f>IF(U1498="","MISSING",IF(AND(AA1498&gt;0,U1498/AA1498&gt;50),"POSSIBLE_SCALE_ERROR","OK"))</f>
        <v/>
      </c>
    </row>
    <row r="1499">
      <c r="A1499" t="inlineStr">
        <is>
          <t>T-2019-P12-0027</t>
        </is>
      </c>
      <c r="B1499" t="inlineStr">
        <is>
          <t>SLE</t>
        </is>
      </c>
      <c r="C1499" t="inlineStr">
        <is>
          <t>Workplace Well-Being Ombudsperson</t>
        </is>
      </c>
      <c r="D1499" t="inlineStr">
        <is>
          <t>Ombudsman du mieux-être en milieu de travail</t>
        </is>
      </c>
      <c r="E1499" t="inlineStr">
        <is>
          <t>Jane Taylor</t>
        </is>
      </c>
      <c r="F1499" t="inlineStr">
        <is>
          <t>Outreach visit</t>
        </is>
      </c>
      <c r="G1499" t="inlineStr">
        <is>
          <t>Visite de sensibilisation</t>
        </is>
      </c>
      <c r="H1499" s="1" t="n">
        <v>43872</v>
      </c>
      <c r="I1499" s="1" t="n">
        <v>43883</v>
      </c>
      <c r="J1499" t="inlineStr">
        <is>
          <t>Lethbridge (Alberta) Canada; Lacombe (Alberta) Canada</t>
        </is>
      </c>
      <c r="K1499" t="inlineStr">
        <is>
          <t>Lethbridge (Alberta) Canada; Lacombe (Alberta) Canada</t>
        </is>
      </c>
      <c r="P1499" t="n">
        <v>829.5599999999999</v>
      </c>
      <c r="Q1499" t="n">
        <v>636.23</v>
      </c>
      <c r="R1499" t="n">
        <v>509.88</v>
      </c>
      <c r="S1499" t="n">
        <v>412.05</v>
      </c>
      <c r="T1499" t="n">
        <v>0</v>
      </c>
      <c r="U1499" t="n">
        <v>2387.72</v>
      </c>
      <c r="X1499" t="inlineStr">
        <is>
          <t>aafc-aac</t>
        </is>
      </c>
      <c r="Y1499" t="inlineStr">
        <is>
          <t>Agriculture and Agri-Food Canada | Agriculture et Agroalimentaire Canada</t>
        </is>
      </c>
      <c r="Z1499" t="n">
        <v>12</v>
      </c>
      <c r="AA1499" t="n">
        <v>2387.72</v>
      </c>
      <c r="AB1499">
        <f>ROUND(U1499-AA1499,2)</f>
        <v/>
      </c>
      <c r="AC1499" t="b">
        <v>0</v>
      </c>
      <c r="AD1499">
        <f>IF(U1499="","MISSING_TOTAL",IF(ABS(AB1499)&lt;=0.01,"OK","CHECK"))</f>
        <v/>
      </c>
      <c r="AE1499">
        <f>IF(U1499="","MISSING",IF(AND(AA1499&gt;0,U1499/AA1499&gt;50),"POSSIBLE_SCALE_ERROR","OK"))</f>
        <v/>
      </c>
    </row>
    <row r="1500">
      <c r="A1500" t="inlineStr">
        <is>
          <t>T-2019-P12-0028</t>
        </is>
      </c>
      <c r="B1500" t="inlineStr">
        <is>
          <t>SLE</t>
        </is>
      </c>
      <c r="C1500" t="inlineStr">
        <is>
          <t>Workplace Well-Being Ombudsperson</t>
        </is>
      </c>
      <c r="D1500" t="inlineStr">
        <is>
          <t>Ombudsman du mieux-être en milieu de travail</t>
        </is>
      </c>
      <c r="E1500" t="inlineStr">
        <is>
          <t>Jane Taylor</t>
        </is>
      </c>
      <c r="F1500" t="inlineStr">
        <is>
          <t>Outreach visit</t>
        </is>
      </c>
      <c r="G1500" t="inlineStr">
        <is>
          <t>Visite de sensibilisation</t>
        </is>
      </c>
      <c r="H1500" s="1" t="n">
        <v>43796</v>
      </c>
      <c r="I1500" s="1" t="n">
        <v>43798</v>
      </c>
      <c r="J1500" t="inlineStr">
        <is>
          <t>Guelph (Ontario) Canada; Vineland (Ontario) Canada</t>
        </is>
      </c>
      <c r="K1500" t="inlineStr">
        <is>
          <t>Guelph (Ontario) Canada; Vineland (Ontario) Canada</t>
        </is>
      </c>
      <c r="P1500" t="n">
        <v>0</v>
      </c>
      <c r="Q1500" t="n">
        <v>42.27</v>
      </c>
      <c r="R1500" t="n">
        <v>0</v>
      </c>
      <c r="S1500" t="n">
        <v>0</v>
      </c>
      <c r="T1500" t="n">
        <v>0</v>
      </c>
      <c r="U1500" t="n">
        <v>42.27</v>
      </c>
      <c r="V1500" t="inlineStr">
        <is>
          <t>Toll fee related to T-2019-P9-0016</t>
        </is>
      </c>
      <c r="W1500" t="inlineStr">
        <is>
          <t>Péage lié  au T-2019-P9-0016</t>
        </is>
      </c>
      <c r="X1500" t="inlineStr">
        <is>
          <t>aafc-aac</t>
        </is>
      </c>
      <c r="Y1500" t="inlineStr">
        <is>
          <t>Agriculture and Agri-Food Canada | Agriculture et Agroalimentaire Canada</t>
        </is>
      </c>
      <c r="Z1500" t="n">
        <v>3</v>
      </c>
      <c r="AA1500" t="n">
        <v>42.27</v>
      </c>
      <c r="AB1500">
        <f>ROUND(U1500-AA1500,2)</f>
        <v/>
      </c>
      <c r="AC1500" t="b">
        <v>0</v>
      </c>
      <c r="AD1500">
        <f>IF(U1500="","MISSING_TOTAL",IF(ABS(AB1500)&lt;=0.01,"OK","CHECK"))</f>
        <v/>
      </c>
      <c r="AE1500">
        <f>IF(U1500="","MISSING",IF(AND(AA1500&gt;0,U1500/AA1500&gt;50),"POSSIBLE_SCALE_ERROR","OK"))</f>
        <v/>
      </c>
    </row>
    <row r="1501">
      <c r="A1501" t="inlineStr">
        <is>
          <t>T-2019-P12-0029</t>
        </is>
      </c>
      <c r="B1501" t="inlineStr">
        <is>
          <t>SLE</t>
        </is>
      </c>
      <c r="C1501" t="inlineStr">
        <is>
          <t>Assistant Deputy Minister, International Affairs Branch</t>
        </is>
      </c>
      <c r="D1501" t="inlineStr">
        <is>
          <t>Sous-ministre adjoint, Direction générale des affaires internationales</t>
        </is>
      </c>
      <c r="E1501" t="inlineStr">
        <is>
          <t>Fred Gorrell</t>
        </is>
      </c>
      <c r="F1501" t="inlineStr">
        <is>
          <t>Met with industry and regulatory agencies in Indonesia and participated in Soy-Canada outreach in Malaysia. On his return to Canada, stopped in Vancouver to deliver a presentation at the Canadian Crop Convention.</t>
        </is>
      </c>
      <c r="G1501" t="inlineStr">
        <is>
          <t>Rencontre avec l'industrie et les organismes de réglementation en Indonésie et participation à l'activité de sensibilisation de Soy Canada en Malaisie. Au retour au Canada, arrêt à Vancouver pour faire une présentation à la Canadian Crops Convention.</t>
        </is>
      </c>
      <c r="H1501" s="1" t="n">
        <v>43883</v>
      </c>
      <c r="I1501" s="1" t="n">
        <v>43895</v>
      </c>
      <c r="J1501" t="inlineStr">
        <is>
          <t>Jakarta, Indonesisa; Kuala Lumpur, Malaysia; Vancouver (British Columbia) Canada</t>
        </is>
      </c>
      <c r="K1501" t="inlineStr">
        <is>
          <t>Jakarta, Indonésie; Kuala Lumpur, Malaisie; Vancouver (Colombie-Britannique) Canada</t>
        </is>
      </c>
      <c r="P1501" t="n">
        <v>12740.32</v>
      </c>
      <c r="Q1501" t="n">
        <v>296.04</v>
      </c>
      <c r="R1501" t="n">
        <v>2721.46</v>
      </c>
      <c r="S1501" t="n">
        <v>1276.91</v>
      </c>
      <c r="T1501" t="n">
        <v>0</v>
      </c>
      <c r="U1501" t="n">
        <v>17034.73</v>
      </c>
      <c r="X1501" t="inlineStr">
        <is>
          <t>aafc-aac</t>
        </is>
      </c>
      <c r="Y1501" t="inlineStr">
        <is>
          <t>Agriculture and Agri-Food Canada | Agriculture et Agroalimentaire Canada</t>
        </is>
      </c>
      <c r="Z1501" t="n">
        <v>13</v>
      </c>
      <c r="AA1501" t="n">
        <v>17034.73</v>
      </c>
      <c r="AB1501">
        <f>ROUND(U1501-AA1501,2)</f>
        <v/>
      </c>
      <c r="AC1501" t="b">
        <v>0</v>
      </c>
      <c r="AD1501">
        <f>IF(U1501="","MISSING_TOTAL",IF(ABS(AB1501)&lt;=0.01,"OK","CHECK"))</f>
        <v/>
      </c>
      <c r="AE1501">
        <f>IF(U1501="","MISSING",IF(AND(AA1501&gt;0,U1501/AA1501&gt;50),"POSSIBLE_SCALE_ERROR","OK"))</f>
        <v/>
      </c>
    </row>
    <row r="1502">
      <c r="A1502" t="inlineStr">
        <is>
          <t>T-2019-P12-0030</t>
        </is>
      </c>
      <c r="B1502" t="inlineStr">
        <is>
          <t>SLE</t>
        </is>
      </c>
      <c r="C1502" t="inlineStr">
        <is>
          <t>Assistant Deputy Minister, Market and Industry Services Branch</t>
        </is>
      </c>
      <c r="D1502" t="inlineStr">
        <is>
          <t>Sous-ministre adjoint, Direction générale des services à l'industrie et aux marchés</t>
        </is>
      </c>
      <c r="E1502" t="inlineStr">
        <is>
          <t>Frédéric Seppey</t>
        </is>
      </c>
      <c r="F1502" t="inlineStr">
        <is>
          <t>Attended the Federal, Provincial and Territorial Deputy Ministers of Agriculture Policy Retreat.</t>
        </is>
      </c>
      <c r="G1502" t="inlineStr">
        <is>
          <t>Participer à la séance de réflexion stratégique des sous-ministres fédéraux, provinciaux et territoriaux de l'Agriculture.</t>
        </is>
      </c>
      <c r="H1502" s="1" t="n">
        <v>43872</v>
      </c>
      <c r="I1502" s="1" t="n">
        <v>43873</v>
      </c>
      <c r="J1502" t="inlineStr">
        <is>
          <t>Toronto (Ontario) Canada</t>
        </is>
      </c>
      <c r="K1502" t="inlineStr">
        <is>
          <t>Toronto (Ontario) Canada</t>
        </is>
      </c>
      <c r="P1502" t="n">
        <v>760.21</v>
      </c>
      <c r="Q1502" t="n">
        <v>105.76</v>
      </c>
      <c r="R1502" t="n">
        <v>139.85</v>
      </c>
      <c r="S1502" t="n">
        <v>105.5</v>
      </c>
      <c r="T1502" t="n">
        <v>0</v>
      </c>
      <c r="U1502" t="n">
        <v>1111.32</v>
      </c>
      <c r="X1502" t="inlineStr">
        <is>
          <t>aafc-aac</t>
        </is>
      </c>
      <c r="Y1502" t="inlineStr">
        <is>
          <t>Agriculture and Agri-Food Canada | Agriculture et Agroalimentaire Canada</t>
        </is>
      </c>
      <c r="Z1502" t="n">
        <v>2</v>
      </c>
      <c r="AA1502" t="n">
        <v>1111.32</v>
      </c>
      <c r="AB1502">
        <f>ROUND(U1502-AA1502,2)</f>
        <v/>
      </c>
      <c r="AC1502" t="b">
        <v>0</v>
      </c>
      <c r="AD1502">
        <f>IF(U1502="","MISSING_TOTAL",IF(ABS(AB1502)&lt;=0.01,"OK","CHECK"))</f>
        <v/>
      </c>
      <c r="AE1502">
        <f>IF(U1502="","MISSING",IF(AND(AA1502&gt;0,U1502/AA1502&gt;50),"POSSIBLE_SCALE_ERROR","OK"))</f>
        <v/>
      </c>
    </row>
    <row r="1503">
      <c r="A1503" t="inlineStr">
        <is>
          <t>T-2019-P12-0031</t>
        </is>
      </c>
      <c r="B1503" t="inlineStr">
        <is>
          <t>SLE</t>
        </is>
      </c>
      <c r="C1503" t="inlineStr">
        <is>
          <t>Assistant Deputy Minister, Market and Industry Services Branch</t>
        </is>
      </c>
      <c r="D1503" t="inlineStr">
        <is>
          <t>Sous-ministre adjoint, Direction générale des services à l'industrie et aux marchés</t>
        </is>
      </c>
      <c r="E1503" t="inlineStr">
        <is>
          <t>Frédéric Seppey</t>
        </is>
      </c>
      <c r="F1503" t="inlineStr">
        <is>
          <t>Attended a study tour as part of the curriculum of the Executive Leadership Development Program. Also supported the Minister during her visit to Washington.</t>
        </is>
      </c>
      <c r="G1503" t="inlineStr">
        <is>
          <t>Participer à une visite pédagogique dans le cadre du Programme de développement en leadership pour les cadres supérieurs. Appuyer aussi la ministre lors de sa visite à Washington.</t>
        </is>
      </c>
      <c r="H1503" s="1" t="n">
        <v>43878</v>
      </c>
      <c r="I1503" s="1" t="n">
        <v>43883</v>
      </c>
      <c r="J1503" t="inlineStr">
        <is>
          <t>Washington (District of Columbia) United States</t>
        </is>
      </c>
      <c r="K1503" t="inlineStr">
        <is>
          <t>Washington (district de Columbia) États-Unis</t>
        </is>
      </c>
      <c r="P1503" t="n">
        <v>1222.64</v>
      </c>
      <c r="Q1503" t="n">
        <v>185.96</v>
      </c>
      <c r="R1503" t="n">
        <v>1403.16</v>
      </c>
      <c r="S1503" t="n">
        <v>387.95</v>
      </c>
      <c r="T1503" t="n">
        <v>0</v>
      </c>
      <c r="U1503" t="n">
        <v>3199.71</v>
      </c>
      <c r="X1503" t="inlineStr">
        <is>
          <t>aafc-aac</t>
        </is>
      </c>
      <c r="Y1503" t="inlineStr">
        <is>
          <t>Agriculture and Agri-Food Canada | Agriculture et Agroalimentaire Canada</t>
        </is>
      </c>
      <c r="Z1503" t="n">
        <v>6</v>
      </c>
      <c r="AA1503" t="n">
        <v>3199.71</v>
      </c>
      <c r="AB1503">
        <f>ROUND(U1503-AA1503,2)</f>
        <v/>
      </c>
      <c r="AC1503" t="b">
        <v>0</v>
      </c>
      <c r="AD1503">
        <f>IF(U1503="","MISSING_TOTAL",IF(ABS(AB1503)&lt;=0.01,"OK","CHECK"))</f>
        <v/>
      </c>
      <c r="AE1503">
        <f>IF(U1503="","MISSING",IF(AND(AA1503&gt;0,U1503/AA1503&gt;50),"POSSIBLE_SCALE_ERROR","OK"))</f>
        <v/>
      </c>
    </row>
    <row r="1504">
      <c r="A1504" t="inlineStr">
        <is>
          <t>T-2019-P12-0032</t>
        </is>
      </c>
      <c r="B1504" t="inlineStr">
        <is>
          <t>SLE</t>
        </is>
      </c>
      <c r="C1504" t="inlineStr">
        <is>
          <t>Assistant Deputy Minister, Science and Technology Branch</t>
        </is>
      </c>
      <c r="D1504" t="inlineStr">
        <is>
          <t>Sous-ministre adjoint, Direction générale des sciences et de la technologie</t>
        </is>
      </c>
      <c r="E1504" t="inlineStr">
        <is>
          <t>Gilles Saindon</t>
        </is>
      </c>
      <c r="F1504" t="inlineStr">
        <is>
          <t>Attended the ninth Meeting of the G20 Agricultural Chief Scientists.</t>
        </is>
      </c>
      <c r="G1504" t="inlineStr">
        <is>
          <t>Participer à la neuvième réunion des scientifiques en chef de l'agriculture du G20 .</t>
        </is>
      </c>
      <c r="H1504" s="1" t="n">
        <v>43875</v>
      </c>
      <c r="I1504" s="1" t="n">
        <v>43881</v>
      </c>
      <c r="J1504" t="inlineStr">
        <is>
          <t>Al Khobar, Saudi Arabia</t>
        </is>
      </c>
      <c r="K1504" t="inlineStr">
        <is>
          <t>Al Khobar, Arabie saoudite</t>
        </is>
      </c>
      <c r="P1504" t="n">
        <v>3282.92</v>
      </c>
      <c r="Q1504" t="n">
        <v>149.25</v>
      </c>
      <c r="R1504" t="n">
        <v>934.5700000000001</v>
      </c>
      <c r="S1504" t="n">
        <v>666.51</v>
      </c>
      <c r="T1504" t="n">
        <v>0</v>
      </c>
      <c r="U1504" t="n">
        <v>5033.25</v>
      </c>
      <c r="X1504" t="inlineStr">
        <is>
          <t>aafc-aac</t>
        </is>
      </c>
      <c r="Y1504" t="inlineStr">
        <is>
          <t>Agriculture and Agri-Food Canada | Agriculture et Agroalimentaire Canada</t>
        </is>
      </c>
      <c r="Z1504" t="n">
        <v>7</v>
      </c>
      <c r="AA1504" t="n">
        <v>5033.25</v>
      </c>
      <c r="AB1504">
        <f>ROUND(U1504-AA1504,2)</f>
        <v/>
      </c>
      <c r="AC1504" t="b">
        <v>0</v>
      </c>
      <c r="AD1504">
        <f>IF(U1504="","MISSING_TOTAL",IF(ABS(AB1504)&lt;=0.01,"OK","CHECK"))</f>
        <v/>
      </c>
      <c r="AE1504">
        <f>IF(U1504="","MISSING",IF(AND(AA1504&gt;0,U1504/AA1504&gt;50),"POSSIBLE_SCALE_ERROR","OK"))</f>
        <v/>
      </c>
    </row>
    <row r="1505">
      <c r="A1505" t="inlineStr">
        <is>
          <t>T-2019-P12-0033</t>
        </is>
      </c>
      <c r="B1505" t="inlineStr">
        <is>
          <t>SLE</t>
        </is>
      </c>
      <c r="C1505" t="inlineStr">
        <is>
          <t>Acting Associate Assistant Deputy Minister, Science and Technology Branch</t>
        </is>
      </c>
      <c r="D1505" t="inlineStr">
        <is>
          <t>Sous-ministre adjoint délégué par intérim, Direction générale des sciences et de la technologie</t>
        </is>
      </c>
      <c r="E1505" t="inlineStr">
        <is>
          <t>Liz Foster</t>
        </is>
      </c>
      <c r="F1505" t="inlineStr">
        <is>
          <t>Outreach to the Research and Development Centre, All-Staff meeting and meeting with Provincial Counterparts.</t>
        </is>
      </c>
      <c r="G1505" t="inlineStr">
        <is>
          <t>Visite au Centre de recherche et de développement, réunion de l'ensemble du personnel et réunion avec les homologues provinciaux.</t>
        </is>
      </c>
      <c r="H1505" s="1" t="n">
        <v>43900</v>
      </c>
      <c r="I1505" s="1" t="n">
        <v>43903</v>
      </c>
      <c r="J1505" t="inlineStr">
        <is>
          <t>Agassiz (British Columbia) Canada; Vancouver (British Columbia) Canada</t>
        </is>
      </c>
      <c r="K1505" t="inlineStr">
        <is>
          <t>Agassiz (Colombie-Britannique) Canada; Vancouver (Colombie-Britannique) Canada</t>
        </is>
      </c>
      <c r="P1505" t="n">
        <v>1669.6</v>
      </c>
      <c r="Q1505" t="n">
        <v>125.34</v>
      </c>
      <c r="R1505" t="n">
        <v>545.16</v>
      </c>
      <c r="S1505" t="n">
        <v>343.7</v>
      </c>
      <c r="U1505" t="n">
        <v>2683.8</v>
      </c>
      <c r="X1505" t="inlineStr">
        <is>
          <t>aafc-aac</t>
        </is>
      </c>
      <c r="Y1505" t="inlineStr">
        <is>
          <t>Agriculture and Agri-Food Canada | Agriculture et Agroalimentaire Canada</t>
        </is>
      </c>
      <c r="Z1505" t="n">
        <v>4</v>
      </c>
      <c r="AA1505" t="n">
        <v>2683.79999999999</v>
      </c>
      <c r="AB1505">
        <f>ROUND(U1505-AA1505,2)</f>
        <v/>
      </c>
      <c r="AC1505" t="b">
        <v>0</v>
      </c>
      <c r="AD1505">
        <f>IF(U1505="","MISSING_TOTAL",IF(ABS(AB1505)&lt;=0.01,"OK","CHECK"))</f>
        <v/>
      </c>
      <c r="AE1505">
        <f>IF(U1505="","MISSING",IF(AND(AA1505&gt;0,U1505/AA1505&gt;50),"POSSIBLE_SCALE_ERROR","OK"))</f>
        <v/>
      </c>
    </row>
    <row r="1506">
      <c r="A1506" t="inlineStr">
        <is>
          <t>T-2019-P12-0034</t>
        </is>
      </c>
      <c r="B1506" t="inlineStr">
        <is>
          <t>SLE</t>
        </is>
      </c>
      <c r="C1506" t="inlineStr">
        <is>
          <t>Assistant Deputy Minister, Public Affairs Branch</t>
        </is>
      </c>
      <c r="D1506" t="inlineStr">
        <is>
          <t>Sous-ministre adjoint, Direction générale des affaires publiques</t>
        </is>
      </c>
      <c r="E1506" t="inlineStr">
        <is>
          <t>Mary Dila</t>
        </is>
      </c>
      <c r="F1506" t="inlineStr">
        <is>
          <t>Attended meeting with Communications Community Office and outreach visit</t>
        </is>
      </c>
      <c r="G1506" t="inlineStr">
        <is>
          <t>Réunion avec le Bureau de la collectivité des communications et visite de sensibilisation</t>
        </is>
      </c>
      <c r="H1506" s="1" t="n">
        <v>43874</v>
      </c>
      <c r="I1506" s="1" t="n">
        <v>43875</v>
      </c>
      <c r="J1506" t="inlineStr">
        <is>
          <t>Montreal (Quebec) Canada</t>
        </is>
      </c>
      <c r="K1506" t="inlineStr">
        <is>
          <t>Montréal (Québec) Canada</t>
        </is>
      </c>
      <c r="P1506" t="n">
        <v>0</v>
      </c>
      <c r="Q1506" t="n">
        <v>163.06</v>
      </c>
      <c r="R1506" t="n">
        <v>220.15</v>
      </c>
      <c r="S1506" t="n">
        <v>217.6</v>
      </c>
      <c r="T1506" t="n">
        <v>0</v>
      </c>
      <c r="U1506" t="n">
        <v>600.8099999999999</v>
      </c>
      <c r="X1506" t="inlineStr">
        <is>
          <t>aafc-aac</t>
        </is>
      </c>
      <c r="Y1506" t="inlineStr">
        <is>
          <t>Agriculture and Agri-Food Canada | Agriculture et Agroalimentaire Canada</t>
        </is>
      </c>
      <c r="Z1506" t="n">
        <v>2</v>
      </c>
      <c r="AA1506" t="n">
        <v>600.8099999999999</v>
      </c>
      <c r="AB1506">
        <f>ROUND(U1506-AA1506,2)</f>
        <v/>
      </c>
      <c r="AC1506" t="b">
        <v>0</v>
      </c>
      <c r="AD1506">
        <f>IF(U1506="","MISSING_TOTAL",IF(ABS(AB1506)&lt;=0.01,"OK","CHECK"))</f>
        <v/>
      </c>
      <c r="AE1506">
        <f>IF(U1506="","MISSING",IF(AND(AA1506&gt;0,U1506/AA1506&gt;50),"POSSIBLE_SCALE_ERROR","OK"))</f>
        <v/>
      </c>
    </row>
    <row r="1507">
      <c r="A1507" t="inlineStr">
        <is>
          <t>T-2019-P12-0035</t>
        </is>
      </c>
      <c r="B1507" t="inlineStr">
        <is>
          <t>SLE</t>
        </is>
      </c>
      <c r="C1507" t="inlineStr">
        <is>
          <t>Chief Information Officer, Information Systems Branch</t>
        </is>
      </c>
      <c r="D1507" t="inlineStr">
        <is>
          <t>Dirigeant principal de l'information, Direction générale des systèmes d'information</t>
        </is>
      </c>
      <c r="E1507" t="inlineStr">
        <is>
          <t>Michel Lessard</t>
        </is>
      </c>
      <c r="F1507" t="inlineStr">
        <is>
          <t>Attended meetings with the Government of Canada Chief Information Officer and his council.</t>
        </is>
      </c>
      <c r="G1507" t="inlineStr">
        <is>
          <t>Participer aux réunions avec le dirigeant principal de l'information du gouvernement du Canada et son conseil.</t>
        </is>
      </c>
      <c r="H1507" s="1" t="n">
        <v>43864</v>
      </c>
      <c r="I1507" s="1" t="n">
        <v>43867</v>
      </c>
      <c r="J1507" t="inlineStr">
        <is>
          <t>Toronto (Ontario) Canada</t>
        </is>
      </c>
      <c r="K1507" t="inlineStr">
        <is>
          <t>Toronto (Ontario) Canada</t>
        </is>
      </c>
      <c r="P1507" t="n">
        <v>546.45</v>
      </c>
      <c r="Q1507" t="n">
        <v>268.02</v>
      </c>
      <c r="R1507" t="n">
        <v>567.22</v>
      </c>
      <c r="S1507" t="n">
        <v>156.4</v>
      </c>
      <c r="U1507" t="n">
        <v>1538.09</v>
      </c>
      <c r="X1507" t="inlineStr">
        <is>
          <t>aafc-aac</t>
        </is>
      </c>
      <c r="Y1507" t="inlineStr">
        <is>
          <t>Agriculture and Agri-Food Canada | Agriculture et Agroalimentaire Canada</t>
        </is>
      </c>
      <c r="Z1507" t="n">
        <v>4</v>
      </c>
      <c r="AA1507" t="n">
        <v>1538.09</v>
      </c>
      <c r="AB1507">
        <f>ROUND(U1507-AA1507,2)</f>
        <v/>
      </c>
      <c r="AC1507" t="b">
        <v>0</v>
      </c>
      <c r="AD1507">
        <f>IF(U1507="","MISSING_TOTAL",IF(ABS(AB1507)&lt;=0.01,"OK","CHECK"))</f>
        <v/>
      </c>
      <c r="AE1507">
        <f>IF(U1507="","MISSING",IF(AND(AA1507&gt;0,U1507/AA1507&gt;50),"POSSIBLE_SCALE_ERROR","OK"))</f>
        <v/>
      </c>
    </row>
    <row r="1508">
      <c r="A1508" t="inlineStr">
        <is>
          <t>T-2019-P12-0036</t>
        </is>
      </c>
      <c r="B1508" t="inlineStr">
        <is>
          <t>SLE</t>
        </is>
      </c>
      <c r="C1508" t="inlineStr">
        <is>
          <t>Assistant Deputy Minister, Strategic Policy Branch</t>
        </is>
      </c>
      <c r="D1508" t="inlineStr">
        <is>
          <t>Sous-ministre adjoint, Direction générale des politiques stratégiques</t>
        </is>
      </c>
      <c r="E1508" t="inlineStr">
        <is>
          <t>Tom Rosser</t>
        </is>
      </c>
      <c r="F1508" t="inlineStr">
        <is>
          <t>Attended the Federal, Provincial and Territorial Deputy Ministers of Agriculture Policy Retreat.</t>
        </is>
      </c>
      <c r="G1508" t="inlineStr">
        <is>
          <t>Participer à la séance de réflexion stratégique des sous-ministres fédéraux, provinciaux et territoriaux de l'Agriculture.</t>
        </is>
      </c>
      <c r="H1508" s="1" t="n">
        <v>43872</v>
      </c>
      <c r="I1508" s="1" t="n">
        <v>43873</v>
      </c>
      <c r="J1508" t="inlineStr">
        <is>
          <t>Toronto (Ontario) Canada</t>
        </is>
      </c>
      <c r="K1508" t="inlineStr">
        <is>
          <t>Toronto (Ontario) Canada</t>
        </is>
      </c>
      <c r="P1508" t="n">
        <v>856.4299999999999</v>
      </c>
      <c r="Q1508" t="n">
        <v>85</v>
      </c>
      <c r="R1508" t="n">
        <v>163.35</v>
      </c>
      <c r="S1508" t="n">
        <v>105.5</v>
      </c>
      <c r="T1508" t="n">
        <v>0</v>
      </c>
      <c r="U1508" t="n">
        <v>1210.28</v>
      </c>
      <c r="X1508" t="inlineStr">
        <is>
          <t>aafc-aac</t>
        </is>
      </c>
      <c r="Y1508" t="inlineStr">
        <is>
          <t>Agriculture and Agri-Food Canada | Agriculture et Agroalimentaire Canada</t>
        </is>
      </c>
      <c r="Z1508" t="n">
        <v>2</v>
      </c>
      <c r="AA1508" t="n">
        <v>1210.28</v>
      </c>
      <c r="AB1508">
        <f>ROUND(U1508-AA1508,2)</f>
        <v/>
      </c>
      <c r="AC1508" t="b">
        <v>0</v>
      </c>
      <c r="AD1508">
        <f>IF(U1508="","MISSING_TOTAL",IF(ABS(AB1508)&lt;=0.01,"OK","CHECK"))</f>
        <v/>
      </c>
      <c r="AE1508">
        <f>IF(U1508="","MISSING",IF(AND(AA1508&gt;0,U1508/AA1508&gt;50),"POSSIBLE_SCALE_ERROR","OK"))</f>
        <v/>
      </c>
    </row>
    <row r="1509">
      <c r="A1509" t="inlineStr">
        <is>
          <t>T-2019-P12-0037</t>
        </is>
      </c>
      <c r="B1509" t="inlineStr">
        <is>
          <t>SLE</t>
        </is>
      </c>
      <c r="C1509" t="inlineStr">
        <is>
          <t>Assistant Deputy Minister, Strategic Policy Branch</t>
        </is>
      </c>
      <c r="D1509" t="inlineStr">
        <is>
          <t>Sous-ministre adjoint, Direction générale des politiques stratégiques</t>
        </is>
      </c>
      <c r="E1509" t="inlineStr">
        <is>
          <t>Tom Rosser</t>
        </is>
      </c>
      <c r="F1509" t="inlineStr">
        <is>
          <t>Attended a meeting of the Crop Logistics Working Group.</t>
        </is>
      </c>
      <c r="G1509" t="inlineStr">
        <is>
          <t>Participer à une réunion du Groupe de travail sur la logistique du transport des récoltes.</t>
        </is>
      </c>
      <c r="H1509" s="1" t="n">
        <v>43884</v>
      </c>
      <c r="I1509" s="1" t="n">
        <v>43886</v>
      </c>
      <c r="J1509" t="inlineStr">
        <is>
          <t>Winnipeg (Manitoba) Canada</t>
        </is>
      </c>
      <c r="K1509" t="inlineStr">
        <is>
          <t>Winnipeg (Manitoba) Canada</t>
        </is>
      </c>
      <c r="P1509" t="n">
        <v>1608.65</v>
      </c>
      <c r="Q1509" t="n">
        <v>153</v>
      </c>
      <c r="R1509" t="n">
        <v>279.06</v>
      </c>
      <c r="S1509" t="n">
        <v>264.85</v>
      </c>
      <c r="T1509" t="n">
        <v>0</v>
      </c>
      <c r="U1509" t="n">
        <v>2305.56</v>
      </c>
      <c r="X1509" t="inlineStr">
        <is>
          <t>aafc-aac</t>
        </is>
      </c>
      <c r="Y1509" t="inlineStr">
        <is>
          <t>Agriculture and Agri-Food Canada | Agriculture et Agroalimentaire Canada</t>
        </is>
      </c>
      <c r="Z1509" t="n">
        <v>3</v>
      </c>
      <c r="AA1509" t="n">
        <v>2305.56</v>
      </c>
      <c r="AB1509">
        <f>ROUND(U1509-AA1509,2)</f>
        <v/>
      </c>
      <c r="AC1509" t="b">
        <v>0</v>
      </c>
      <c r="AD1509">
        <f>IF(U1509="","MISSING_TOTAL",IF(ABS(AB1509)&lt;=0.01,"OK","CHECK"))</f>
        <v/>
      </c>
      <c r="AE1509">
        <f>IF(U1509="","MISSING",IF(AND(AA1509&gt;0,U1509/AA1509&gt;50),"POSSIBLE_SCALE_ERROR","OK"))</f>
        <v/>
      </c>
    </row>
    <row r="1510">
      <c r="A1510" t="inlineStr">
        <is>
          <t>T-2020-P1-0001</t>
        </is>
      </c>
      <c r="B1510" t="inlineStr">
        <is>
          <t>MPSES</t>
        </is>
      </c>
      <c r="C1510" t="inlineStr">
        <is>
          <t>Driver</t>
        </is>
      </c>
      <c r="D1510" t="inlineStr">
        <is>
          <t>Chauffeur</t>
        </is>
      </c>
      <c r="E1510" t="inlineStr">
        <is>
          <t>Michel Gendreau</t>
        </is>
      </c>
      <c r="F1510" t="inlineStr">
        <is>
          <t>Drove the Minister to her riding from Ottawa</t>
        </is>
      </c>
      <c r="G1510" t="inlineStr">
        <is>
          <t>Conduire la ministre d'Ottawa jusqu'à sa circonscription.</t>
        </is>
      </c>
      <c r="H1510" s="1" t="n">
        <v>43902</v>
      </c>
      <c r="I1510" s="1" t="n">
        <v>43902</v>
      </c>
      <c r="J1510" t="inlineStr">
        <is>
          <t>Sherbrooke (Quebec) Canada</t>
        </is>
      </c>
      <c r="K1510" t="inlineStr">
        <is>
          <t>Sherbrooke (Québec) Canada</t>
        </is>
      </c>
      <c r="P1510" t="n">
        <v>0</v>
      </c>
      <c r="Q1510" t="n">
        <v>6.4</v>
      </c>
      <c r="R1510" t="n">
        <v>0</v>
      </c>
      <c r="S1510" t="n">
        <v>50.55</v>
      </c>
      <c r="T1510" t="n">
        <v>0</v>
      </c>
      <c r="U1510" t="n">
        <v>56.95</v>
      </c>
      <c r="X1510" t="inlineStr">
        <is>
          <t>aafc-aac</t>
        </is>
      </c>
      <c r="Y1510" t="inlineStr">
        <is>
          <t>Agriculture and Agri-Food Canada | Agriculture et Agroalimentaire Canada</t>
        </is>
      </c>
      <c r="Z1510" t="n">
        <v>1</v>
      </c>
      <c r="AA1510" t="n">
        <v>56.9499999999999</v>
      </c>
      <c r="AB1510">
        <f>ROUND(U1510-AA1510,2)</f>
        <v/>
      </c>
      <c r="AC1510" t="b">
        <v>0</v>
      </c>
      <c r="AD1510">
        <f>IF(U1510="","MISSING_TOTAL",IF(ABS(AB1510)&lt;=0.01,"OK","CHECK"))</f>
        <v/>
      </c>
      <c r="AE1510">
        <f>IF(U1510="","MISSING",IF(AND(AA1510&gt;0,U1510/AA1510&gt;50),"POSSIBLE_SCALE_ERROR","OK"))</f>
        <v/>
      </c>
    </row>
    <row r="1511">
      <c r="A1511" t="inlineStr">
        <is>
          <t>T-2020-P1-0002</t>
        </is>
      </c>
      <c r="B1511" t="inlineStr">
        <is>
          <t>MPSES</t>
        </is>
      </c>
      <c r="C1511" t="inlineStr">
        <is>
          <t>Driver</t>
        </is>
      </c>
      <c r="D1511" t="inlineStr">
        <is>
          <t>Chauffeur</t>
        </is>
      </c>
      <c r="E1511" t="inlineStr">
        <is>
          <t>Michel Gendreau</t>
        </is>
      </c>
      <c r="F1511" t="inlineStr">
        <is>
          <t>Drove the Minister from her riding to Ottawa</t>
        </is>
      </c>
      <c r="G1511" t="inlineStr">
        <is>
          <t>Conduire la Ministre de sa circonscription jusqu'à Ottawa.</t>
        </is>
      </c>
      <c r="H1511" s="1" t="n">
        <v>43908</v>
      </c>
      <c r="I1511" s="1" t="n">
        <v>43908</v>
      </c>
      <c r="J1511" t="inlineStr">
        <is>
          <t>Sherbrooke (Quebec) Canada</t>
        </is>
      </c>
      <c r="K1511" t="inlineStr">
        <is>
          <t>Sherbrooke (Québec) Canada</t>
        </is>
      </c>
      <c r="P1511" t="n">
        <v>0</v>
      </c>
      <c r="Q1511" t="n">
        <v>6.4</v>
      </c>
      <c r="R1511" t="n">
        <v>0</v>
      </c>
      <c r="S1511" t="n">
        <v>71.15000000000001</v>
      </c>
      <c r="T1511" t="n">
        <v>0</v>
      </c>
      <c r="U1511" t="n">
        <v>77.55</v>
      </c>
      <c r="X1511" t="inlineStr">
        <is>
          <t>aafc-aac</t>
        </is>
      </c>
      <c r="Y1511" t="inlineStr">
        <is>
          <t>Agriculture and Agri-Food Canada | Agriculture et Agroalimentaire Canada</t>
        </is>
      </c>
      <c r="Z1511" t="n">
        <v>1</v>
      </c>
      <c r="AA1511" t="n">
        <v>77.55</v>
      </c>
      <c r="AB1511">
        <f>ROUND(U1511-AA1511,2)</f>
        <v/>
      </c>
      <c r="AC1511" t="b">
        <v>0</v>
      </c>
      <c r="AD1511">
        <f>IF(U1511="","MISSING_TOTAL",IF(ABS(AB1511)&lt;=0.01,"OK","CHECK"))</f>
        <v/>
      </c>
      <c r="AE1511">
        <f>IF(U1511="","MISSING",IF(AND(AA1511&gt;0,U1511/AA1511&gt;50),"POSSIBLE_SCALE_ERROR","OK"))</f>
        <v/>
      </c>
    </row>
    <row r="1512">
      <c r="A1512" t="inlineStr">
        <is>
          <t>T-2020-P1-0003</t>
        </is>
      </c>
      <c r="B1512" t="inlineStr">
        <is>
          <t>MPSES</t>
        </is>
      </c>
      <c r="C1512" t="inlineStr">
        <is>
          <t>Driver</t>
        </is>
      </c>
      <c r="D1512" t="inlineStr">
        <is>
          <t>Chauffeur</t>
        </is>
      </c>
      <c r="E1512" t="inlineStr">
        <is>
          <t>Michel Gendreau</t>
        </is>
      </c>
      <c r="F1512" t="inlineStr">
        <is>
          <t>Drove the Minister from her riding to Ottawa</t>
        </is>
      </c>
      <c r="G1512" t="inlineStr">
        <is>
          <t>Conduire la Ministre de sa circonscription jusqu'à Ottawa.</t>
        </is>
      </c>
      <c r="H1512" s="1" t="n">
        <v>43910</v>
      </c>
      <c r="I1512" s="1" t="n">
        <v>43910</v>
      </c>
      <c r="J1512" t="inlineStr">
        <is>
          <t>Sherbrooke (Quebec) Canada</t>
        </is>
      </c>
      <c r="K1512" t="inlineStr">
        <is>
          <t>Sherbrooke (Québec) Canada</t>
        </is>
      </c>
      <c r="P1512" t="n">
        <v>0</v>
      </c>
      <c r="Q1512" t="n">
        <v>6.4</v>
      </c>
      <c r="R1512" t="n">
        <v>0</v>
      </c>
      <c r="S1512" t="n">
        <v>20.35</v>
      </c>
      <c r="T1512" t="n">
        <v>0</v>
      </c>
      <c r="U1512" t="n">
        <v>26.75</v>
      </c>
      <c r="X1512" t="inlineStr">
        <is>
          <t>aafc-aac</t>
        </is>
      </c>
      <c r="Y1512" t="inlineStr">
        <is>
          <t>Agriculture and Agri-Food Canada | Agriculture et Agroalimentaire Canada</t>
        </is>
      </c>
      <c r="Z1512" t="n">
        <v>1</v>
      </c>
      <c r="AA1512" t="n">
        <v>26.75</v>
      </c>
      <c r="AB1512">
        <f>ROUND(U1512-AA1512,2)</f>
        <v/>
      </c>
      <c r="AC1512" t="b">
        <v>0</v>
      </c>
      <c r="AD1512">
        <f>IF(U1512="","MISSING_TOTAL",IF(ABS(AB1512)&lt;=0.01,"OK","CHECK"))</f>
        <v/>
      </c>
      <c r="AE1512">
        <f>IF(U1512="","MISSING",IF(AND(AA1512&gt;0,U1512/AA1512&gt;50),"POSSIBLE_SCALE_ERROR","OK"))</f>
        <v/>
      </c>
    </row>
    <row r="1513">
      <c r="A1513" t="inlineStr">
        <is>
          <t>T-2020-P1-0004</t>
        </is>
      </c>
      <c r="B1513" t="inlineStr">
        <is>
          <t>MPSES</t>
        </is>
      </c>
      <c r="C1513" t="inlineStr">
        <is>
          <t>Driver</t>
        </is>
      </c>
      <c r="D1513" t="inlineStr">
        <is>
          <t>Chauffeur</t>
        </is>
      </c>
      <c r="E1513" t="inlineStr">
        <is>
          <t>Michel Gendreau</t>
        </is>
      </c>
      <c r="F1513" t="inlineStr">
        <is>
          <t>Drove the Minister to her riding from Ottawa</t>
        </is>
      </c>
      <c r="G1513" t="inlineStr">
        <is>
          <t>Conduire la ministre d'Ottawa jusqu'à sa circonscription.</t>
        </is>
      </c>
      <c r="H1513" s="1" t="n">
        <v>43913</v>
      </c>
      <c r="I1513" s="1" t="n">
        <v>43913</v>
      </c>
      <c r="J1513" t="inlineStr">
        <is>
          <t>Sherbrooke (Quebec) Canada</t>
        </is>
      </c>
      <c r="K1513" t="inlineStr">
        <is>
          <t>Sherbrooke (Québec) Canada</t>
        </is>
      </c>
      <c r="P1513" t="n">
        <v>0</v>
      </c>
      <c r="Q1513" t="n">
        <v>6.4</v>
      </c>
      <c r="R1513" t="n">
        <v>0</v>
      </c>
      <c r="S1513" t="n">
        <v>50.55</v>
      </c>
      <c r="T1513" t="n">
        <v>0</v>
      </c>
      <c r="U1513" t="n">
        <v>56.95</v>
      </c>
      <c r="X1513" t="inlineStr">
        <is>
          <t>aafc-aac</t>
        </is>
      </c>
      <c r="Y1513" t="inlineStr">
        <is>
          <t>Agriculture and Agri-Food Canada | Agriculture et Agroalimentaire Canada</t>
        </is>
      </c>
      <c r="Z1513" t="n">
        <v>1</v>
      </c>
      <c r="AA1513" t="n">
        <v>56.9499999999999</v>
      </c>
      <c r="AB1513">
        <f>ROUND(U1513-AA1513,2)</f>
        <v/>
      </c>
      <c r="AC1513" t="b">
        <v>0</v>
      </c>
      <c r="AD1513">
        <f>IF(U1513="","MISSING_TOTAL",IF(ABS(AB1513)&lt;=0.01,"OK","CHECK"))</f>
        <v/>
      </c>
      <c r="AE1513">
        <f>IF(U1513="","MISSING",IF(AND(AA1513&gt;0,U1513/AA1513&gt;50),"POSSIBLE_SCALE_ERROR","OK"))</f>
        <v/>
      </c>
    </row>
    <row r="1514">
      <c r="A1514" t="inlineStr">
        <is>
          <t>T-2020-P1-0005</t>
        </is>
      </c>
      <c r="B1514" t="inlineStr">
        <is>
          <t>SLE</t>
        </is>
      </c>
      <c r="C1514" t="inlineStr">
        <is>
          <t>Assistant Deputy Minister, Corporate Management Branch</t>
        </is>
      </c>
      <c r="D1514" t="inlineStr">
        <is>
          <t>Sous-ministre adjoint, Direction générale de la gestion intégrée</t>
        </is>
      </c>
      <c r="E1514" t="inlineStr">
        <is>
          <t>Christine Walker</t>
        </is>
      </c>
      <c r="F1514" t="inlineStr">
        <is>
          <t>Attended the Diversity Award ceremony.</t>
        </is>
      </c>
      <c r="G1514" t="inlineStr">
        <is>
          <t>Participer à ceremonie de remise de prix.</t>
        </is>
      </c>
      <c r="H1514" s="1" t="n">
        <v>43895</v>
      </c>
      <c r="I1514" s="1" t="n">
        <v>43896</v>
      </c>
      <c r="J1514" t="inlineStr">
        <is>
          <t>Toronto (Ontario) Canada</t>
        </is>
      </c>
      <c r="K1514" t="inlineStr">
        <is>
          <t>Toronto (Ontario) Canada</t>
        </is>
      </c>
      <c r="P1514" t="n">
        <v>958.83</v>
      </c>
      <c r="Q1514" t="n">
        <v>123.34</v>
      </c>
      <c r="R1514" t="n">
        <v>234.46</v>
      </c>
      <c r="S1514" t="n">
        <v>88.2</v>
      </c>
      <c r="T1514" t="n">
        <v>0</v>
      </c>
      <c r="U1514" t="n">
        <v>1404.83</v>
      </c>
      <c r="X1514" t="inlineStr">
        <is>
          <t>aafc-aac</t>
        </is>
      </c>
      <c r="Y1514" t="inlineStr">
        <is>
          <t>Agriculture and Agri-Food Canada | Agriculture et Agroalimentaire Canada</t>
        </is>
      </c>
      <c r="Z1514" t="n">
        <v>2</v>
      </c>
      <c r="AA1514" t="n">
        <v>1404.83</v>
      </c>
      <c r="AB1514">
        <f>ROUND(U1514-AA1514,2)</f>
        <v/>
      </c>
      <c r="AC1514" t="b">
        <v>0</v>
      </c>
      <c r="AD1514">
        <f>IF(U1514="","MISSING_TOTAL",IF(ABS(AB1514)&lt;=0.01,"OK","CHECK"))</f>
        <v/>
      </c>
      <c r="AE1514">
        <f>IF(U1514="","MISSING",IF(AND(AA1514&gt;0,U1514/AA1514&gt;50),"POSSIBLE_SCALE_ERROR","OK"))</f>
        <v/>
      </c>
    </row>
    <row r="1515">
      <c r="A1515" t="inlineStr">
        <is>
          <t>T-2020-P1-0006</t>
        </is>
      </c>
      <c r="B1515" t="inlineStr">
        <is>
          <t>SLE</t>
        </is>
      </c>
      <c r="C1515" t="inlineStr">
        <is>
          <t>Assistant Deputy Minister, Strategic Policy Branch</t>
        </is>
      </c>
      <c r="D1515" t="inlineStr">
        <is>
          <t>Sous-ministre adjoint, Direction générale des politiques stratégiques</t>
        </is>
      </c>
      <c r="E1515" t="inlineStr">
        <is>
          <t>Tom Rosser</t>
        </is>
      </c>
      <c r="F1515" t="inlineStr">
        <is>
          <t>Attended a Cereals Roundtable Meeting.</t>
        </is>
      </c>
      <c r="G1515" t="inlineStr">
        <is>
          <t>Participer à une réunion de la Table Ronde des Céréales.</t>
        </is>
      </c>
      <c r="H1515" s="1" t="n">
        <v>43895</v>
      </c>
      <c r="I1515" s="1" t="n">
        <v>43897</v>
      </c>
      <c r="J1515" t="inlineStr">
        <is>
          <t>Vancouver (British Columbia) Canada</t>
        </is>
      </c>
      <c r="K1515" t="inlineStr">
        <is>
          <t>Vancouver (Colombie-Britannique) Canada</t>
        </is>
      </c>
      <c r="P1515" t="n">
        <v>2691.43</v>
      </c>
      <c r="Q1515" t="n">
        <v>120</v>
      </c>
      <c r="R1515" t="n">
        <v>282</v>
      </c>
      <c r="S1515" t="n">
        <v>173.35</v>
      </c>
      <c r="T1515" t="n">
        <v>0</v>
      </c>
      <c r="U1515" t="n">
        <v>3266.78</v>
      </c>
      <c r="X1515" t="inlineStr">
        <is>
          <t>aafc-aac</t>
        </is>
      </c>
      <c r="Y1515" t="inlineStr">
        <is>
          <t>Agriculture and Agri-Food Canada | Agriculture et Agroalimentaire Canada</t>
        </is>
      </c>
      <c r="Z1515" t="n">
        <v>3</v>
      </c>
      <c r="AA1515" t="n">
        <v>3266.77999999999</v>
      </c>
      <c r="AB1515">
        <f>ROUND(U1515-AA1515,2)</f>
        <v/>
      </c>
      <c r="AC1515" t="b">
        <v>0</v>
      </c>
      <c r="AD1515">
        <f>IF(U1515="","MISSING_TOTAL",IF(ABS(AB1515)&lt;=0.01,"OK","CHECK"))</f>
        <v/>
      </c>
      <c r="AE1515">
        <f>IF(U1515="","MISSING",IF(AND(AA1515&gt;0,U1515/AA1515&gt;50),"POSSIBLE_SCALE_ERROR","OK"))</f>
        <v/>
      </c>
    </row>
    <row r="1516">
      <c r="A1516" t="inlineStr">
        <is>
          <t>T-2019-Q1-00067</t>
        </is>
      </c>
      <c r="B1516" t="inlineStr">
        <is>
          <t>MPSES</t>
        </is>
      </c>
      <c r="C1516" t="inlineStr">
        <is>
          <t>Minister</t>
        </is>
      </c>
      <c r="D1516" t="inlineStr">
        <is>
          <t>Ministre</t>
        </is>
      </c>
      <c r="E1516" t="inlineStr">
        <is>
          <t>Marie-Claude Bibeau</t>
        </is>
      </c>
      <c r="F1516" t="inlineStr">
        <is>
          <t>To attend a Western Outreach</t>
        </is>
      </c>
      <c r="G1516" t="inlineStr">
        <is>
          <t>Pour participer à une campagne de sensibilisation dans les provinces de l'Ouest</t>
        </is>
      </c>
      <c r="H1516" s="1" t="n">
        <v>43534</v>
      </c>
      <c r="I1516" s="1" t="n">
        <v>43537</v>
      </c>
      <c r="J1516" t="inlineStr">
        <is>
          <t>Vancouver, British Columbia; Kelowna, British Columbia; Calgary Alberta; Winnipeg, Manitoba</t>
        </is>
      </c>
      <c r="K1516" t="inlineStr">
        <is>
          <t>Vancouver (Colombie-Britannique); Kelowna (Colombie-Britannique); Calgary (Alberta); Winnipeg (Manitoba)</t>
        </is>
      </c>
      <c r="P1516" t="n">
        <v>2648.21</v>
      </c>
      <c r="Q1516" t="n">
        <v>339.7</v>
      </c>
      <c r="R1516" t="n">
        <v>387.79</v>
      </c>
      <c r="S1516" t="n">
        <v>319.25</v>
      </c>
      <c r="T1516" t="n">
        <v>0</v>
      </c>
      <c r="U1516" t="n">
        <v>3694.95</v>
      </c>
      <c r="X1516" t="inlineStr">
        <is>
          <t>aafc-aac</t>
        </is>
      </c>
      <c r="Y1516" t="inlineStr">
        <is>
          <t>Agriculture and Agri-Food Canada | Agriculture et Agroalimentaire Canada</t>
        </is>
      </c>
      <c r="Z1516" t="n">
        <v>4</v>
      </c>
      <c r="AA1516" t="n">
        <v>3694.95</v>
      </c>
      <c r="AB1516">
        <f>ROUND(U1516-AA1516,2)</f>
        <v/>
      </c>
      <c r="AC1516" t="b">
        <v>0</v>
      </c>
      <c r="AD1516">
        <f>IF(U1516="","MISSING_TOTAL",IF(ABS(AB1516)&lt;=0.01,"OK","CHECK"))</f>
        <v/>
      </c>
      <c r="AE1516">
        <f>IF(U1516="","MISSING",IF(AND(AA1516&gt;0,U1516/AA1516&gt;50),"POSSIBLE_SCALE_ERROR","OK"))</f>
        <v/>
      </c>
    </row>
    <row r="1517">
      <c r="A1517" t="inlineStr">
        <is>
          <t>T-2019-Q1-00068</t>
        </is>
      </c>
      <c r="B1517" t="inlineStr">
        <is>
          <t>MPSES</t>
        </is>
      </c>
      <c r="C1517" t="inlineStr">
        <is>
          <t>Minister</t>
        </is>
      </c>
      <c r="D1517" t="inlineStr">
        <is>
          <t>Ministre</t>
        </is>
      </c>
      <c r="E1517" t="inlineStr">
        <is>
          <t>Marie-Claude Bibeau</t>
        </is>
      </c>
      <c r="F1517" t="inlineStr">
        <is>
          <t>To attend an Outreach in Quebec; announcement on drought; visit of the Agriculture and Agri-Food Research Station and Canadian Food Inspection Agency laboratory in St-Hyacinthe</t>
        </is>
      </c>
      <c r="G1517" t="inlineStr">
        <is>
          <t>Pour participer à une campagne de sensibilisation au Québec; annonce sur la sécheresse; visite du centre de recherche d'Agriculture et Agroalimentaire Canada et du laboratoire de l'Agence canadienne d'inspection des aliments à St­Hyacinthe</t>
        </is>
      </c>
      <c r="H1517" s="1" t="n">
        <v>43539</v>
      </c>
      <c r="I1517" s="1" t="n">
        <v>43539</v>
      </c>
      <c r="J1517" t="inlineStr">
        <is>
          <t>St-Hyacinthe, Quebec</t>
        </is>
      </c>
      <c r="K1517" t="inlineStr">
        <is>
          <t>St-Hyacinthe (Québec)</t>
        </is>
      </c>
      <c r="P1517" t="n">
        <v>0</v>
      </c>
      <c r="Q1517" t="n">
        <v>334.13</v>
      </c>
      <c r="R1517" t="n">
        <v>0</v>
      </c>
      <c r="S1517" t="n">
        <v>19.85</v>
      </c>
      <c r="T1517" t="n">
        <v>0</v>
      </c>
      <c r="U1517" t="n">
        <v>353.98</v>
      </c>
      <c r="X1517" t="inlineStr">
        <is>
          <t>aafc-aac</t>
        </is>
      </c>
      <c r="Y1517" t="inlineStr">
        <is>
          <t>Agriculture and Agri-Food Canada | Agriculture et Agroalimentaire Canada</t>
        </is>
      </c>
      <c r="Z1517" t="n">
        <v>1</v>
      </c>
      <c r="AA1517" t="n">
        <v>353.98</v>
      </c>
      <c r="AB1517">
        <f>ROUND(U1517-AA1517,2)</f>
        <v/>
      </c>
      <c r="AC1517" t="b">
        <v>0</v>
      </c>
      <c r="AD1517">
        <f>IF(U1517="","MISSING_TOTAL",IF(ABS(AB1517)&lt;=0.01,"OK","CHECK"))</f>
        <v/>
      </c>
      <c r="AE1517">
        <f>IF(U1517="","MISSING",IF(AND(AA1517&gt;0,U1517/AA1517&gt;50),"POSSIBLE_SCALE_ERROR","OK"))</f>
        <v/>
      </c>
    </row>
    <row r="1518">
      <c r="A1518" t="inlineStr">
        <is>
          <t>T-2019-Q1-00069</t>
        </is>
      </c>
      <c r="B1518" t="inlineStr">
        <is>
          <t>MPSES</t>
        </is>
      </c>
      <c r="C1518" t="inlineStr">
        <is>
          <t>Minister</t>
        </is>
      </c>
      <c r="D1518" t="inlineStr">
        <is>
          <t>Ministre</t>
        </is>
      </c>
      <c r="E1518" t="inlineStr">
        <is>
          <t>Marie-Claude Bibeau</t>
        </is>
      </c>
      <c r="F1518" t="inlineStr">
        <is>
          <t>To meet local farmers and visit a seniors home</t>
        </is>
      </c>
      <c r="G1518" t="inlineStr">
        <is>
          <t>Pour rencontrer des agriculteurs locaux et visiter une résidence pour personnes âgées</t>
        </is>
      </c>
      <c r="H1518" s="1" t="n">
        <v>43548</v>
      </c>
      <c r="I1518" s="1" t="n">
        <v>43549</v>
      </c>
      <c r="J1518" t="inlineStr">
        <is>
          <t>Napanee, Ontario</t>
        </is>
      </c>
      <c r="K1518" t="inlineStr">
        <is>
          <t>Napanee (Ontario)</t>
        </is>
      </c>
      <c r="P1518" t="n">
        <v>0</v>
      </c>
      <c r="Q1518" t="n">
        <v>0</v>
      </c>
      <c r="R1518" t="n">
        <v>187.58</v>
      </c>
      <c r="S1518" t="n">
        <v>144.55</v>
      </c>
      <c r="T1518" t="n">
        <v>0</v>
      </c>
      <c r="U1518" t="n">
        <v>332.13</v>
      </c>
      <c r="X1518" t="inlineStr">
        <is>
          <t>aafc-aac</t>
        </is>
      </c>
      <c r="Y1518" t="inlineStr">
        <is>
          <t>Agriculture and Agri-Food Canada | Agriculture et Agroalimentaire Canada</t>
        </is>
      </c>
      <c r="Z1518" t="n">
        <v>2</v>
      </c>
      <c r="AA1518" t="n">
        <v>332.13</v>
      </c>
      <c r="AB1518">
        <f>ROUND(U1518-AA1518,2)</f>
        <v/>
      </c>
      <c r="AC1518" t="b">
        <v>0</v>
      </c>
      <c r="AD1518">
        <f>IF(U1518="","MISSING_TOTAL",IF(ABS(AB1518)&lt;=0.01,"OK","CHECK"))</f>
        <v/>
      </c>
      <c r="AE1518">
        <f>IF(U1518="","MISSING",IF(AND(AA1518&gt;0,U1518/AA1518&gt;50),"POSSIBLE_SCALE_ERROR","OK"))</f>
        <v/>
      </c>
    </row>
    <row r="1519">
      <c r="A1519" t="inlineStr">
        <is>
          <t>T-2019-Q1-00070</t>
        </is>
      </c>
      <c r="B1519" t="inlineStr">
        <is>
          <t>MPSES</t>
        </is>
      </c>
      <c r="C1519" t="inlineStr">
        <is>
          <t>Minister</t>
        </is>
      </c>
      <c r="D1519" t="inlineStr">
        <is>
          <t>Ministre</t>
        </is>
      </c>
      <c r="E1519" t="inlineStr">
        <is>
          <t>Marie-Claude Bibeau</t>
        </is>
      </c>
      <c r="F1519" t="inlineStr">
        <is>
          <t>To meet with Canola Stakeholders</t>
        </is>
      </c>
      <c r="G1519" t="inlineStr">
        <is>
          <t>Pour se réunir avec des intervenants de l'industrie du canola</t>
        </is>
      </c>
      <c r="H1519" s="1" t="n">
        <v>43552</v>
      </c>
      <c r="I1519" s="1" t="n">
        <v>43554</v>
      </c>
      <c r="J1519" t="inlineStr">
        <is>
          <t>Saskatoon, Saskatchewan</t>
        </is>
      </c>
      <c r="K1519" t="inlineStr">
        <is>
          <t>Saskatoon (Saskatchewan)</t>
        </is>
      </c>
      <c r="P1519" t="n">
        <v>1840.91</v>
      </c>
      <c r="Q1519" t="n">
        <v>268.53</v>
      </c>
      <c r="R1519" t="n">
        <v>352.14</v>
      </c>
      <c r="S1519" t="n">
        <v>163.65</v>
      </c>
      <c r="T1519" t="n">
        <v>0</v>
      </c>
      <c r="U1519" t="n">
        <v>2625.23</v>
      </c>
      <c r="X1519" t="inlineStr">
        <is>
          <t>aafc-aac</t>
        </is>
      </c>
      <c r="Y1519" t="inlineStr">
        <is>
          <t>Agriculture and Agri-Food Canada | Agriculture et Agroalimentaire Canada</t>
        </is>
      </c>
      <c r="Z1519" t="n">
        <v>3</v>
      </c>
      <c r="AA1519" t="n">
        <v>2625.23</v>
      </c>
      <c r="AB1519">
        <f>ROUND(U1519-AA1519,2)</f>
        <v/>
      </c>
      <c r="AC1519" t="b">
        <v>0</v>
      </c>
      <c r="AD1519">
        <f>IF(U1519="","MISSING_TOTAL",IF(ABS(AB1519)&lt;=0.01,"OK","CHECK"))</f>
        <v/>
      </c>
      <c r="AE1519">
        <f>IF(U1519="","MISSING",IF(AND(AA1519&gt;0,U1519/AA1519&gt;50),"POSSIBLE_SCALE_ERROR","OK"))</f>
        <v/>
      </c>
    </row>
    <row r="1520">
      <c r="A1520" t="inlineStr">
        <is>
          <t>T-2019-Q1-00071</t>
        </is>
      </c>
      <c r="B1520" t="inlineStr">
        <is>
          <t>MPSES</t>
        </is>
      </c>
      <c r="C1520" t="inlineStr">
        <is>
          <t>Minister</t>
        </is>
      </c>
      <c r="D1520" t="inlineStr">
        <is>
          <t>Ministre</t>
        </is>
      </c>
      <c r="E1520" t="inlineStr">
        <is>
          <t>Marie-Claude Bibeau</t>
        </is>
      </c>
      <c r="F1520" t="inlineStr">
        <is>
          <t>To attend an Outreach in New Brunswick and Ontario</t>
        </is>
      </c>
      <c r="G1520" t="inlineStr">
        <is>
          <t>Pour participer à une campagne de sensibilisation au Nouveau­Brunswick et en Ontario</t>
        </is>
      </c>
      <c r="H1520" s="1" t="n">
        <v>43577</v>
      </c>
      <c r="I1520" s="1" t="n">
        <v>43581</v>
      </c>
      <c r="J1520" t="inlineStr">
        <is>
          <t>Miramichi, New Brunswick; Fredericton, New Brunswick; Burlington, Ontario; Vaughan, Ontario</t>
        </is>
      </c>
      <c r="K1520" t="inlineStr">
        <is>
          <t>Miramichi (Nouveau-Brunswick); Fredericton (Nouveau-Brunswick); Burlington (Ontario); Vaughan (Ontario)</t>
        </is>
      </c>
      <c r="P1520" t="n">
        <v>1143.02</v>
      </c>
      <c r="Q1520" t="n">
        <v>0</v>
      </c>
      <c r="R1520" t="n">
        <v>663.99</v>
      </c>
      <c r="S1520" t="n">
        <v>441.85</v>
      </c>
      <c r="T1520" t="n">
        <v>0</v>
      </c>
      <c r="U1520" t="n">
        <v>2248.86</v>
      </c>
      <c r="X1520" t="inlineStr">
        <is>
          <t>aafc-aac</t>
        </is>
      </c>
      <c r="Y1520" t="inlineStr">
        <is>
          <t>Agriculture and Agri-Food Canada | Agriculture et Agroalimentaire Canada</t>
        </is>
      </c>
      <c r="Z1520" t="n">
        <v>5</v>
      </c>
      <c r="AA1520" t="n">
        <v>2248.86</v>
      </c>
      <c r="AB1520">
        <f>ROUND(U1520-AA1520,2)</f>
        <v/>
      </c>
      <c r="AC1520" t="b">
        <v>0</v>
      </c>
      <c r="AD1520">
        <f>IF(U1520="","MISSING_TOTAL",IF(ABS(AB1520)&lt;=0.01,"OK","CHECK"))</f>
        <v/>
      </c>
      <c r="AE1520">
        <f>IF(U1520="","MISSING",IF(AND(AA1520&gt;0,U1520/AA1520&gt;50),"POSSIBLE_SCALE_ERROR","OK"))</f>
        <v/>
      </c>
    </row>
    <row r="1521">
      <c r="A1521" t="inlineStr">
        <is>
          <t>T-2019-Q1-00072</t>
        </is>
      </c>
      <c r="B1521" t="inlineStr">
        <is>
          <t>MPSES</t>
        </is>
      </c>
      <c r="C1521" t="inlineStr">
        <is>
          <t>Minister</t>
        </is>
      </c>
      <c r="D1521" t="inlineStr">
        <is>
          <t>Ministre</t>
        </is>
      </c>
      <c r="E1521" t="inlineStr">
        <is>
          <t>Marie-Claude Bibeau</t>
        </is>
      </c>
      <c r="F1521" t="inlineStr">
        <is>
          <t>To attend the G20 Niigata Agricultural Ministers' meeting in Japan, followed by an outreach</t>
        </is>
      </c>
      <c r="G1521" t="inlineStr">
        <is>
          <t>Pour participer à la réunion des ministres de l'Agriculture du G20 à Niigata, au Japon, puis à une campagne de sensibilisation</t>
        </is>
      </c>
      <c r="H1521" s="1" t="n">
        <v>43594</v>
      </c>
      <c r="I1521" s="1" t="n">
        <v>43599</v>
      </c>
      <c r="J1521" t="inlineStr">
        <is>
          <t>Niigata, Japan; Tokyo, Japan</t>
        </is>
      </c>
      <c r="K1521" t="inlineStr">
        <is>
          <t>Niigata (Japon); Tokyo (Japon)</t>
        </is>
      </c>
      <c r="P1521" t="n">
        <v>7161.52</v>
      </c>
      <c r="Q1521" t="n">
        <v>0</v>
      </c>
      <c r="R1521" t="n">
        <v>371.54</v>
      </c>
      <c r="S1521" t="n">
        <v>735.5</v>
      </c>
      <c r="T1521" t="n">
        <v>0</v>
      </c>
      <c r="U1521" t="n">
        <v>8268.559999999999</v>
      </c>
      <c r="X1521" t="inlineStr">
        <is>
          <t>aafc-aac</t>
        </is>
      </c>
      <c r="Y1521" t="inlineStr">
        <is>
          <t>Agriculture and Agri-Food Canada | Agriculture et Agroalimentaire Canada</t>
        </is>
      </c>
      <c r="Z1521" t="n">
        <v>6</v>
      </c>
      <c r="AA1521" t="n">
        <v>8268.559999999999</v>
      </c>
      <c r="AB1521">
        <f>ROUND(U1521-AA1521,2)</f>
        <v/>
      </c>
      <c r="AC1521" t="b">
        <v>0</v>
      </c>
      <c r="AD1521">
        <f>IF(U1521="","MISSING_TOTAL",IF(ABS(AB1521)&lt;=0.01,"OK","CHECK"))</f>
        <v/>
      </c>
      <c r="AE1521">
        <f>IF(U1521="","MISSING",IF(AND(AA1521&gt;0,U1521/AA1521&gt;50),"POSSIBLE_SCALE_ERROR","OK"))</f>
        <v/>
      </c>
    </row>
    <row r="1522">
      <c r="A1522" t="inlineStr">
        <is>
          <t>T-2019-Q1-00073</t>
        </is>
      </c>
      <c r="B1522" t="inlineStr">
        <is>
          <t>MPSES</t>
        </is>
      </c>
      <c r="C1522" t="inlineStr">
        <is>
          <t>Minister</t>
        </is>
      </c>
      <c r="D1522" t="inlineStr">
        <is>
          <t>Ministre</t>
        </is>
      </c>
      <c r="E1522" t="inlineStr">
        <is>
          <t>Marie-Claude Bibeau</t>
        </is>
      </c>
      <c r="F1522" t="inlineStr">
        <is>
          <t>To make an announcement in Montreal and attend an event in Drummondville</t>
        </is>
      </c>
      <c r="G1522" t="inlineStr">
        <is>
          <t>Pour faire une annonce à Montréal et participer à une activité à Drummondville</t>
        </is>
      </c>
      <c r="H1522" s="1" t="n">
        <v>43615</v>
      </c>
      <c r="I1522" s="1" t="n">
        <v>43616</v>
      </c>
      <c r="J1522" t="inlineStr">
        <is>
          <t>Montreal, Quebec; Drummondville, Quebec</t>
        </is>
      </c>
      <c r="K1522" t="inlineStr">
        <is>
          <t>Montréal (Québec); Drummondville (Québec)</t>
        </is>
      </c>
      <c r="P1522" t="n">
        <v>0</v>
      </c>
      <c r="Q1522" t="n">
        <v>0</v>
      </c>
      <c r="R1522" t="n">
        <v>185.64</v>
      </c>
      <c r="S1522" t="n">
        <v>156</v>
      </c>
      <c r="T1522" t="n">
        <v>0</v>
      </c>
      <c r="U1522" t="n">
        <v>341.64</v>
      </c>
      <c r="X1522" t="inlineStr">
        <is>
          <t>aafc-aac</t>
        </is>
      </c>
      <c r="Y1522" t="inlineStr">
        <is>
          <t>Agriculture and Agri-Food Canada | Agriculture et Agroalimentaire Canada</t>
        </is>
      </c>
      <c r="Z1522" t="n">
        <v>2</v>
      </c>
      <c r="AA1522" t="n">
        <v>341.64</v>
      </c>
      <c r="AB1522">
        <f>ROUND(U1522-AA1522,2)</f>
        <v/>
      </c>
      <c r="AC1522" t="b">
        <v>0</v>
      </c>
      <c r="AD1522">
        <f>IF(U1522="","MISSING_TOTAL",IF(ABS(AB1522)&lt;=0.01,"OK","CHECK"))</f>
        <v/>
      </c>
      <c r="AE1522">
        <f>IF(U1522="","MISSING",IF(AND(AA1522&gt;0,U1522/AA1522&gt;50),"POSSIBLE_SCALE_ERROR","OK"))</f>
        <v/>
      </c>
    </row>
    <row r="1523">
      <c r="A1523" t="inlineStr">
        <is>
          <t>T-2019-Q1-00074</t>
        </is>
      </c>
      <c r="B1523" t="inlineStr">
        <is>
          <t>MPSES</t>
        </is>
      </c>
      <c r="C1523" t="inlineStr">
        <is>
          <t>Chief of Staff</t>
        </is>
      </c>
      <c r="D1523" t="inlineStr">
        <is>
          <t>Chef de cabinet</t>
        </is>
      </c>
      <c r="E1523" t="inlineStr">
        <is>
          <t>Alison Porter</t>
        </is>
      </c>
      <c r="F1523" t="inlineStr">
        <is>
          <t>To accompany the Minister to meet with Canola Stakeholders</t>
        </is>
      </c>
      <c r="G1523" t="inlineStr">
        <is>
          <t>Pour accompagner la Ministre à des réunions avec des intervenants de l'industrie du canola</t>
        </is>
      </c>
      <c r="H1523" s="1" t="n">
        <v>43552</v>
      </c>
      <c r="I1523" s="1" t="n">
        <v>43554</v>
      </c>
      <c r="J1523" t="inlineStr">
        <is>
          <t>Saskatoon, Saskatchewan</t>
        </is>
      </c>
      <c r="K1523" t="inlineStr">
        <is>
          <t>Saskatoon (Saskatchewan)</t>
        </is>
      </c>
      <c r="P1523" t="n">
        <v>1224.95</v>
      </c>
      <c r="Q1523" t="n">
        <v>0</v>
      </c>
      <c r="R1523" t="n">
        <v>352.14</v>
      </c>
      <c r="S1523" t="n">
        <v>163.65</v>
      </c>
      <c r="T1523" t="n">
        <v>0</v>
      </c>
      <c r="U1523" t="n">
        <v>1740.74</v>
      </c>
      <c r="X1523" t="inlineStr">
        <is>
          <t>aafc-aac</t>
        </is>
      </c>
      <c r="Y1523" t="inlineStr">
        <is>
          <t>Agriculture and Agri-Food Canada | Agriculture et Agroalimentaire Canada</t>
        </is>
      </c>
      <c r="Z1523" t="n">
        <v>3</v>
      </c>
      <c r="AA1523" t="n">
        <v>1740.74</v>
      </c>
      <c r="AB1523">
        <f>ROUND(U1523-AA1523,2)</f>
        <v/>
      </c>
      <c r="AC1523" t="b">
        <v>0</v>
      </c>
      <c r="AD1523">
        <f>IF(U1523="","MISSING_TOTAL",IF(ABS(AB1523)&lt;=0.01,"OK","CHECK"))</f>
        <v/>
      </c>
      <c r="AE1523">
        <f>IF(U1523="","MISSING",IF(AND(AA1523&gt;0,U1523/AA1523&gt;50),"POSSIBLE_SCALE_ERROR","OK"))</f>
        <v/>
      </c>
    </row>
    <row r="1524">
      <c r="A1524" t="inlineStr">
        <is>
          <t>T-2019-Q1-00075</t>
        </is>
      </c>
      <c r="B1524" t="inlineStr">
        <is>
          <t>MPSES</t>
        </is>
      </c>
      <c r="C1524" t="inlineStr">
        <is>
          <t>Chief of Staff</t>
        </is>
      </c>
      <c r="D1524" t="inlineStr">
        <is>
          <t>Chef de cabinet</t>
        </is>
      </c>
      <c r="E1524" t="inlineStr">
        <is>
          <t>Alison Porter</t>
        </is>
      </c>
      <c r="F1524" t="inlineStr">
        <is>
          <t>To accompany the Minister to the G20 Niigata Agriculture Ministers' meeting</t>
        </is>
      </c>
      <c r="G1524" t="inlineStr">
        <is>
          <t>Pour accompagner la Ministre à la réunion des ministres de l'Agriculture du G20 à Niigata, au Japon</t>
        </is>
      </c>
      <c r="H1524" s="1" t="n">
        <v>43594</v>
      </c>
      <c r="I1524" s="1" t="n">
        <v>43599</v>
      </c>
      <c r="J1524" t="inlineStr">
        <is>
          <t>Niigata, Japan; Tokyo, Japan</t>
        </is>
      </c>
      <c r="K1524" t="inlineStr">
        <is>
          <t>Niigata (Japon); Tokyo (Japon)</t>
        </is>
      </c>
      <c r="P1524" t="n">
        <v>7161.52</v>
      </c>
      <c r="Q1524" t="n">
        <v>57.24</v>
      </c>
      <c r="R1524" t="n">
        <v>371.54</v>
      </c>
      <c r="S1524" t="n">
        <v>781.5</v>
      </c>
      <c r="T1524" t="n">
        <v>0</v>
      </c>
      <c r="U1524" t="n">
        <v>8371.799999999999</v>
      </c>
      <c r="V1524" t="inlineStr">
        <is>
          <t>First hotel stay was paid by the organizers</t>
        </is>
      </c>
      <c r="W1524" t="inlineStr">
        <is>
          <t>Le premier séjour à l'hôtel a été payé par les organisateurs</t>
        </is>
      </c>
      <c r="X1524" t="inlineStr">
        <is>
          <t>aafc-aac</t>
        </is>
      </c>
      <c r="Y1524" t="inlineStr">
        <is>
          <t>Agriculture and Agri-Food Canada | Agriculture et Agroalimentaire Canada</t>
        </is>
      </c>
      <c r="Z1524" t="n">
        <v>6</v>
      </c>
      <c r="AA1524" t="n">
        <v>8371.799999999999</v>
      </c>
      <c r="AB1524">
        <f>ROUND(U1524-AA1524,2)</f>
        <v/>
      </c>
      <c r="AC1524" t="b">
        <v>0</v>
      </c>
      <c r="AD1524">
        <f>IF(U1524="","MISSING_TOTAL",IF(ABS(AB1524)&lt;=0.01,"OK","CHECK"))</f>
        <v/>
      </c>
      <c r="AE1524">
        <f>IF(U1524="","MISSING",IF(AND(AA1524&gt;0,U1524/AA1524&gt;50),"POSSIBLE_SCALE_ERROR","OK"))</f>
        <v/>
      </c>
    </row>
    <row r="1525">
      <c r="A1525" t="inlineStr">
        <is>
          <t>T-2019-Q1-00076</t>
        </is>
      </c>
      <c r="B1525" t="inlineStr">
        <is>
          <t>MPSES</t>
        </is>
      </c>
      <c r="C1525" t="inlineStr">
        <is>
          <t>Director of Policy</t>
        </is>
      </c>
      <c r="D1525" t="inlineStr">
        <is>
          <t>Directeur de la politique</t>
        </is>
      </c>
      <c r="E1525" t="inlineStr">
        <is>
          <t>Daniel Lussier</t>
        </is>
      </c>
      <c r="F1525" t="inlineStr">
        <is>
          <t>To accompany the Minister to a meeting in Montreal</t>
        </is>
      </c>
      <c r="G1525" t="inlineStr">
        <is>
          <t>Pour accompagner la Ministre à une réunion à Montréal</t>
        </is>
      </c>
      <c r="H1525" s="1" t="n">
        <v>43577</v>
      </c>
      <c r="I1525" s="1" t="n">
        <v>43577</v>
      </c>
      <c r="J1525" t="inlineStr">
        <is>
          <t>Montreal, Quebec</t>
        </is>
      </c>
      <c r="K1525" t="inlineStr">
        <is>
          <t>Montréal (Québec)</t>
        </is>
      </c>
      <c r="P1525" t="n">
        <v>0</v>
      </c>
      <c r="Q1525" t="n">
        <v>238.02</v>
      </c>
      <c r="R1525" t="n">
        <v>0</v>
      </c>
      <c r="S1525" t="n">
        <v>40.6</v>
      </c>
      <c r="T1525" t="n">
        <v>0</v>
      </c>
      <c r="U1525" t="n">
        <v>278.62</v>
      </c>
      <c r="X1525" t="inlineStr">
        <is>
          <t>aafc-aac</t>
        </is>
      </c>
      <c r="Y1525" t="inlineStr">
        <is>
          <t>Agriculture and Agri-Food Canada | Agriculture et Agroalimentaire Canada</t>
        </is>
      </c>
      <c r="Z1525" t="n">
        <v>1</v>
      </c>
      <c r="AA1525" t="n">
        <v>278.62</v>
      </c>
      <c r="AB1525">
        <f>ROUND(U1525-AA1525,2)</f>
        <v/>
      </c>
      <c r="AC1525" t="b">
        <v>0</v>
      </c>
      <c r="AD1525">
        <f>IF(U1525="","MISSING_TOTAL",IF(ABS(AB1525)&lt;=0.01,"OK","CHECK"))</f>
        <v/>
      </c>
      <c r="AE1525">
        <f>IF(U1525="","MISSING",IF(AND(AA1525&gt;0,U1525/AA1525&gt;50),"POSSIBLE_SCALE_ERROR","OK"))</f>
        <v/>
      </c>
    </row>
    <row r="1526">
      <c r="A1526" t="inlineStr">
        <is>
          <t>T-2019-Q1-00077</t>
        </is>
      </c>
      <c r="B1526" t="inlineStr">
        <is>
          <t>MPSES</t>
        </is>
      </c>
      <c r="C1526" t="inlineStr">
        <is>
          <t>Special Assistant</t>
        </is>
      </c>
      <c r="D1526" t="inlineStr">
        <is>
          <t>Assistant spécial</t>
        </is>
      </c>
      <c r="E1526" t="inlineStr">
        <is>
          <t>Jean-Sébastien Comeau</t>
        </is>
      </c>
      <c r="F1526" t="inlineStr">
        <is>
          <t>To accompany the Parliamentary Secretary to the Annual General Meeting of the Producteurs de Volailles du Québec and the  Annual General Meeting of the Producteurs laitiers du Québec</t>
        </is>
      </c>
      <c r="G1526" t="inlineStr">
        <is>
          <t>Pour accompagner le secrétaire parlementaire à l'assemblée générale annuelle des Éleveurs de volailles du Québec et à l'assemblée générale annuelle des Producteurs laitiers du Québec</t>
        </is>
      </c>
      <c r="H1526" s="1" t="n">
        <v>43572</v>
      </c>
      <c r="I1526" s="1" t="n">
        <v>43575</v>
      </c>
      <c r="J1526" t="inlineStr">
        <is>
          <t>Quebec City, Quebec</t>
        </is>
      </c>
      <c r="K1526" t="inlineStr">
        <is>
          <t>Québec (Québec)</t>
        </is>
      </c>
      <c r="P1526" t="n">
        <v>0</v>
      </c>
      <c r="Q1526" t="n">
        <v>289.75</v>
      </c>
      <c r="R1526" t="n">
        <v>195.16</v>
      </c>
      <c r="S1526" t="n">
        <v>217.1</v>
      </c>
      <c r="T1526" t="n">
        <v>0</v>
      </c>
      <c r="U1526" t="n">
        <v>702.01</v>
      </c>
      <c r="X1526" t="inlineStr">
        <is>
          <t>aafc-aac</t>
        </is>
      </c>
      <c r="Y1526" t="inlineStr">
        <is>
          <t>Agriculture and Agri-Food Canada | Agriculture et Agroalimentaire Canada</t>
        </is>
      </c>
      <c r="Z1526" t="n">
        <v>4</v>
      </c>
      <c r="AA1526" t="n">
        <v>702.01</v>
      </c>
      <c r="AB1526">
        <f>ROUND(U1526-AA1526,2)</f>
        <v/>
      </c>
      <c r="AC1526" t="b">
        <v>0</v>
      </c>
      <c r="AD1526">
        <f>IF(U1526="","MISSING_TOTAL",IF(ABS(AB1526)&lt;=0.01,"OK","CHECK"))</f>
        <v/>
      </c>
      <c r="AE1526">
        <f>IF(U1526="","MISSING",IF(AND(AA1526&gt;0,U1526/AA1526&gt;50),"POSSIBLE_SCALE_ERROR","OK"))</f>
        <v/>
      </c>
    </row>
    <row r="1527">
      <c r="A1527" t="inlineStr">
        <is>
          <t>T-2019-Q1-00078</t>
        </is>
      </c>
      <c r="B1527" t="inlineStr">
        <is>
          <t>MPSES</t>
        </is>
      </c>
      <c r="C1527" t="inlineStr">
        <is>
          <t>Special Assistant</t>
        </is>
      </c>
      <c r="D1527" t="inlineStr">
        <is>
          <t>Assistant spécial</t>
        </is>
      </c>
      <c r="E1527" t="inlineStr">
        <is>
          <t>Jean-Sébastien Comeau</t>
        </is>
      </c>
      <c r="F1527" t="inlineStr">
        <is>
          <t>To accompany the Minister to the New Brunswick Outreach</t>
        </is>
      </c>
      <c r="G1527" t="inlineStr">
        <is>
          <t>Pour accompagner la Ministre à la campagne de sensibilisation au Nouveau­Brunswick</t>
        </is>
      </c>
      <c r="H1527" s="1" t="n">
        <v>43577</v>
      </c>
      <c r="I1527" s="1" t="n">
        <v>43579</v>
      </c>
      <c r="J1527" t="inlineStr">
        <is>
          <t>Miramichi, New Brunswick; Fredericton, New Brunswick</t>
        </is>
      </c>
      <c r="K1527" t="inlineStr">
        <is>
          <t>Miramichi (Nouveau-Brunswick); Fredericton (Nouveau-Brunswick)</t>
        </is>
      </c>
      <c r="P1527" t="n">
        <v>799.96</v>
      </c>
      <c r="Q1527" t="n">
        <v>140.33</v>
      </c>
      <c r="R1527" t="n">
        <v>314.41</v>
      </c>
      <c r="S1527" t="n">
        <v>285.05</v>
      </c>
      <c r="T1527" t="n">
        <v>0</v>
      </c>
      <c r="U1527" t="n">
        <v>1539.75</v>
      </c>
      <c r="X1527" t="inlineStr">
        <is>
          <t>aafc-aac</t>
        </is>
      </c>
      <c r="Y1527" t="inlineStr">
        <is>
          <t>Agriculture and Agri-Food Canada | Agriculture et Agroalimentaire Canada</t>
        </is>
      </c>
      <c r="Z1527" t="n">
        <v>3</v>
      </c>
      <c r="AA1527" t="n">
        <v>1539.75</v>
      </c>
      <c r="AB1527">
        <f>ROUND(U1527-AA1527,2)</f>
        <v/>
      </c>
      <c r="AC1527" t="b">
        <v>0</v>
      </c>
      <c r="AD1527">
        <f>IF(U1527="","MISSING_TOTAL",IF(ABS(AB1527)&lt;=0.01,"OK","CHECK"))</f>
        <v/>
      </c>
      <c r="AE1527">
        <f>IF(U1527="","MISSING",IF(AND(AA1527&gt;0,U1527/AA1527&gt;50),"POSSIBLE_SCALE_ERROR","OK"))</f>
        <v/>
      </c>
    </row>
    <row r="1528">
      <c r="A1528" t="inlineStr">
        <is>
          <t>T-2019-Q1-00079</t>
        </is>
      </c>
      <c r="B1528" t="inlineStr">
        <is>
          <t>MPSES</t>
        </is>
      </c>
      <c r="C1528" t="inlineStr">
        <is>
          <t>Special Assistant</t>
        </is>
      </c>
      <c r="D1528" t="inlineStr">
        <is>
          <t>Assistant spécial</t>
        </is>
      </c>
      <c r="E1528" t="inlineStr">
        <is>
          <t>Jean-Sébastien Comeau</t>
        </is>
      </c>
      <c r="F1528" t="inlineStr">
        <is>
          <t>To accompany the Parliamentary Secretary to SIAL (Salon International de l'alimentation)</t>
        </is>
      </c>
      <c r="G1528" t="inlineStr">
        <is>
          <t>Pour accompagner le secrétaire parlementaire au Salon international de l'alimentation (SIAL)</t>
        </is>
      </c>
      <c r="H1528" s="1" t="n">
        <v>43585</v>
      </c>
      <c r="I1528" s="1" t="n">
        <v>43585</v>
      </c>
      <c r="J1528" t="inlineStr">
        <is>
          <t>Toronto, Ontario</t>
        </is>
      </c>
      <c r="K1528" t="inlineStr">
        <is>
          <t>Toronto (Ontario)</t>
        </is>
      </c>
      <c r="P1528" t="n">
        <v>764.71</v>
      </c>
      <c r="Q1528" t="n">
        <v>0</v>
      </c>
      <c r="R1528" t="n">
        <v>0</v>
      </c>
      <c r="S1528" t="n">
        <v>70.75</v>
      </c>
      <c r="T1528" t="n">
        <v>0</v>
      </c>
      <c r="U1528" t="n">
        <v>835.46</v>
      </c>
      <c r="X1528" t="inlineStr">
        <is>
          <t>aafc-aac</t>
        </is>
      </c>
      <c r="Y1528" t="inlineStr">
        <is>
          <t>Agriculture and Agri-Food Canada | Agriculture et Agroalimentaire Canada</t>
        </is>
      </c>
      <c r="Z1528" t="n">
        <v>1</v>
      </c>
      <c r="AA1528" t="n">
        <v>835.46</v>
      </c>
      <c r="AB1528">
        <f>ROUND(U1528-AA1528,2)</f>
        <v/>
      </c>
      <c r="AC1528" t="b">
        <v>0</v>
      </c>
      <c r="AD1528">
        <f>IF(U1528="","MISSING_TOTAL",IF(ABS(AB1528)&lt;=0.01,"OK","CHECK"))</f>
        <v/>
      </c>
      <c r="AE1528">
        <f>IF(U1528="","MISSING",IF(AND(AA1528&gt;0,U1528/AA1528&gt;50),"POSSIBLE_SCALE_ERROR","OK"))</f>
        <v/>
      </c>
    </row>
    <row r="1529">
      <c r="A1529" t="inlineStr">
        <is>
          <t>T-2019-Q1-00080</t>
        </is>
      </c>
      <c r="B1529" t="inlineStr">
        <is>
          <t>MPSES</t>
        </is>
      </c>
      <c r="C1529" t="inlineStr">
        <is>
          <t>Special Assistant</t>
        </is>
      </c>
      <c r="D1529" t="inlineStr">
        <is>
          <t>Assistant spécial</t>
        </is>
      </c>
      <c r="E1529" t="inlineStr">
        <is>
          <t>Jean-Sébastien Comeau</t>
        </is>
      </c>
      <c r="F1529" t="inlineStr">
        <is>
          <t>To accompany the Parliamentary Secretary to the Rendez-vous Plaisirs Maraîchers event</t>
        </is>
      </c>
      <c r="G1529" t="inlineStr">
        <is>
          <t>Pour accompagner le secrétaire parlementaire aux Rendez-vous plaisirs maraîchers</t>
        </is>
      </c>
      <c r="H1529" s="1" t="n">
        <v>43601</v>
      </c>
      <c r="I1529" s="1" t="n">
        <v>43602</v>
      </c>
      <c r="J1529" t="inlineStr">
        <is>
          <t>Vaudreuil, Quebec</t>
        </is>
      </c>
      <c r="K1529" t="inlineStr">
        <is>
          <t>Vaudreuil (Québec)</t>
        </is>
      </c>
      <c r="P1529" t="n">
        <v>0</v>
      </c>
      <c r="Q1529" t="n">
        <v>73.67</v>
      </c>
      <c r="R1529" t="n">
        <v>0</v>
      </c>
      <c r="S1529" t="n">
        <v>0</v>
      </c>
      <c r="T1529" t="n">
        <v>0</v>
      </c>
      <c r="U1529" t="n">
        <v>73.67</v>
      </c>
      <c r="X1529" t="inlineStr">
        <is>
          <t>aafc-aac</t>
        </is>
      </c>
      <c r="Y1529" t="inlineStr">
        <is>
          <t>Agriculture and Agri-Food Canada | Agriculture et Agroalimentaire Canada</t>
        </is>
      </c>
      <c r="Z1529" t="n">
        <v>2</v>
      </c>
      <c r="AA1529" t="n">
        <v>73.67</v>
      </c>
      <c r="AB1529">
        <f>ROUND(U1529-AA1529,2)</f>
        <v/>
      </c>
      <c r="AC1529" t="b">
        <v>0</v>
      </c>
      <c r="AD1529">
        <f>IF(U1529="","MISSING_TOTAL",IF(ABS(AB1529)&lt;=0.01,"OK","CHECK"))</f>
        <v/>
      </c>
      <c r="AE1529">
        <f>IF(U1529="","MISSING",IF(AND(AA1529&gt;0,U1529/AA1529&gt;50),"POSSIBLE_SCALE_ERROR","OK"))</f>
        <v/>
      </c>
    </row>
    <row r="1530">
      <c r="A1530" t="inlineStr">
        <is>
          <t>T-2019-Q1-00081</t>
        </is>
      </c>
      <c r="B1530" t="inlineStr">
        <is>
          <t>MPSES</t>
        </is>
      </c>
      <c r="C1530" t="inlineStr">
        <is>
          <t>Special Assistant</t>
        </is>
      </c>
      <c r="D1530" t="inlineStr">
        <is>
          <t>Assistant spécial</t>
        </is>
      </c>
      <c r="E1530" t="inlineStr">
        <is>
          <t>Jean-Sébastien Comeau</t>
        </is>
      </c>
      <c r="F1530" t="inlineStr">
        <is>
          <t>To accompany the Parliamentary Secretary to meet with the Producteurs et Productrices acéricoles du Québec</t>
        </is>
      </c>
      <c r="G1530" t="inlineStr">
        <is>
          <t>Pour accompagner le secrétaire parlementaire lors de rencontres avec les Producteurs et productrices acéricoles du Québec</t>
        </is>
      </c>
      <c r="H1530" s="1" t="n">
        <v>43614</v>
      </c>
      <c r="I1530" s="1" t="n">
        <v>43614</v>
      </c>
      <c r="J1530" t="inlineStr">
        <is>
          <t>Quebec City, Quebec</t>
        </is>
      </c>
      <c r="K1530" t="inlineStr">
        <is>
          <t>Québec (Québec)</t>
        </is>
      </c>
      <c r="P1530" t="n">
        <v>958.08</v>
      </c>
      <c r="Q1530" t="n">
        <v>87.23999999999999</v>
      </c>
      <c r="R1530" t="n">
        <v>0</v>
      </c>
      <c r="S1530" t="n">
        <v>91.25</v>
      </c>
      <c r="T1530" t="n">
        <v>0</v>
      </c>
      <c r="U1530" t="n">
        <v>1136.57</v>
      </c>
      <c r="X1530" t="inlineStr">
        <is>
          <t>aafc-aac</t>
        </is>
      </c>
      <c r="Y1530" t="inlineStr">
        <is>
          <t>Agriculture and Agri-Food Canada | Agriculture et Agroalimentaire Canada</t>
        </is>
      </c>
      <c r="Z1530" t="n">
        <v>1</v>
      </c>
      <c r="AA1530" t="n">
        <v>1136.57</v>
      </c>
      <c r="AB1530">
        <f>ROUND(U1530-AA1530,2)</f>
        <v/>
      </c>
      <c r="AC1530" t="b">
        <v>0</v>
      </c>
      <c r="AD1530">
        <f>IF(U1530="","MISSING_TOTAL",IF(ABS(AB1530)&lt;=0.01,"OK","CHECK"))</f>
        <v/>
      </c>
      <c r="AE1530">
        <f>IF(U1530="","MISSING",IF(AND(AA1530&gt;0,U1530/AA1530&gt;50),"POSSIBLE_SCALE_ERROR","OK"))</f>
        <v/>
      </c>
    </row>
    <row r="1531">
      <c r="A1531" t="inlineStr">
        <is>
          <t>T-2019-Q1-00082</t>
        </is>
      </c>
      <c r="B1531" t="inlineStr">
        <is>
          <t>MPSES</t>
        </is>
      </c>
      <c r="C1531" t="inlineStr">
        <is>
          <t>Press Secretary</t>
        </is>
      </c>
      <c r="D1531" t="inlineStr">
        <is>
          <t>Attachée de presse</t>
        </is>
      </c>
      <c r="E1531" t="inlineStr">
        <is>
          <t>Justine Lesage</t>
        </is>
      </c>
      <c r="F1531" t="inlineStr">
        <is>
          <t>To accompany the Minister on a Western Outreach.</t>
        </is>
      </c>
      <c r="G1531" t="inlineStr">
        <is>
          <t>Pour accompagner la Ministre à une campagne de sensibilisation dans les provinces de l'ouest.</t>
        </is>
      </c>
      <c r="H1531" s="1" t="n">
        <v>43534</v>
      </c>
      <c r="I1531" s="1" t="n">
        <v>43537</v>
      </c>
      <c r="J1531" t="inlineStr">
        <is>
          <t>Vancouver, British Columbia; Kelowna, British Columbia; Calgary Alberta; Winnipeg, Manitoba</t>
        </is>
      </c>
      <c r="K1531" t="inlineStr">
        <is>
          <t>Vancouver, Colombie-Britannique; Kelowna, (Colombie-Britannique), Calgary; (Alberta); Winnipeg, (Manitoba)</t>
        </is>
      </c>
      <c r="P1531" t="n">
        <v>2815.63</v>
      </c>
      <c r="Q1531" t="n">
        <v>124</v>
      </c>
      <c r="R1531" t="n">
        <v>387.79</v>
      </c>
      <c r="S1531" t="n">
        <v>319.25</v>
      </c>
      <c r="T1531" t="n">
        <v>0</v>
      </c>
      <c r="U1531" t="n">
        <v>3646.67</v>
      </c>
      <c r="X1531" t="inlineStr">
        <is>
          <t>aafc-aac</t>
        </is>
      </c>
      <c r="Y1531" t="inlineStr">
        <is>
          <t>Agriculture and Agri-Food Canada | Agriculture et Agroalimentaire Canada</t>
        </is>
      </c>
      <c r="Z1531" t="n">
        <v>4</v>
      </c>
      <c r="AA1531" t="n">
        <v>3646.67</v>
      </c>
      <c r="AB1531">
        <f>ROUND(U1531-AA1531,2)</f>
        <v/>
      </c>
      <c r="AC1531" t="b">
        <v>0</v>
      </c>
      <c r="AD1531">
        <f>IF(U1531="","MISSING_TOTAL",IF(ABS(AB1531)&lt;=0.01,"OK","CHECK"))</f>
        <v/>
      </c>
      <c r="AE1531">
        <f>IF(U1531="","MISSING",IF(AND(AA1531&gt;0,U1531/AA1531&gt;50),"POSSIBLE_SCALE_ERROR","OK"))</f>
        <v/>
      </c>
    </row>
    <row r="1532">
      <c r="A1532" t="inlineStr">
        <is>
          <t>T-2019-Q1-00083</t>
        </is>
      </c>
      <c r="B1532" t="inlineStr">
        <is>
          <t>MPSES</t>
        </is>
      </c>
      <c r="C1532" t="inlineStr">
        <is>
          <t>Press Secretary</t>
        </is>
      </c>
      <c r="D1532" t="inlineStr">
        <is>
          <t>Attachée de presse</t>
        </is>
      </c>
      <c r="E1532" t="inlineStr">
        <is>
          <t>Justine Lesage</t>
        </is>
      </c>
      <c r="F1532" t="inlineStr">
        <is>
          <t>To accompany the Minister for announcements in Drummondville and the Grain Farmers Conference</t>
        </is>
      </c>
      <c r="G1532" t="inlineStr">
        <is>
          <t>Pour accompagner la Ministre pour des annonces à Drummondville et à la conférence des Producteurs de grains du Québec</t>
        </is>
      </c>
      <c r="H1532" s="1" t="n">
        <v>43550</v>
      </c>
      <c r="I1532" s="1" t="n">
        <v>43552</v>
      </c>
      <c r="J1532" t="inlineStr">
        <is>
          <t>Drummondville, Quebec</t>
        </is>
      </c>
      <c r="K1532" t="inlineStr">
        <is>
          <t>Drummondville (Québec)</t>
        </is>
      </c>
      <c r="P1532" t="n">
        <v>0</v>
      </c>
      <c r="Q1532" t="n">
        <v>260.93</v>
      </c>
      <c r="R1532" t="n">
        <v>271.3</v>
      </c>
      <c r="S1532" t="n">
        <v>283.5</v>
      </c>
      <c r="T1532" t="n">
        <v>0</v>
      </c>
      <c r="U1532" t="n">
        <v>815.73</v>
      </c>
      <c r="X1532" t="inlineStr">
        <is>
          <t>aafc-aac</t>
        </is>
      </c>
      <c r="Y1532" t="inlineStr">
        <is>
          <t>Agriculture and Agri-Food Canada | Agriculture et Agroalimentaire Canada</t>
        </is>
      </c>
      <c r="Z1532" t="n">
        <v>3</v>
      </c>
      <c r="AA1532" t="n">
        <v>815.73</v>
      </c>
      <c r="AB1532">
        <f>ROUND(U1532-AA1532,2)</f>
        <v/>
      </c>
      <c r="AC1532" t="b">
        <v>0</v>
      </c>
      <c r="AD1532">
        <f>IF(U1532="","MISSING_TOTAL",IF(ABS(AB1532)&lt;=0.01,"OK","CHECK"))</f>
        <v/>
      </c>
      <c r="AE1532">
        <f>IF(U1532="","MISSING",IF(AND(AA1532&gt;0,U1532/AA1532&gt;50),"POSSIBLE_SCALE_ERROR","OK"))</f>
        <v/>
      </c>
    </row>
    <row r="1533">
      <c r="A1533" t="inlineStr">
        <is>
          <t>T-2019-Q1-00084</t>
        </is>
      </c>
      <c r="B1533" t="inlineStr">
        <is>
          <t>MPSES</t>
        </is>
      </c>
      <c r="C1533" t="inlineStr">
        <is>
          <t>Press Secretary</t>
        </is>
      </c>
      <c r="D1533" t="inlineStr">
        <is>
          <t>Attachée de presse</t>
        </is>
      </c>
      <c r="E1533" t="inlineStr">
        <is>
          <t>Justine Lesage</t>
        </is>
      </c>
      <c r="F1533" t="inlineStr">
        <is>
          <t>To accompany the Minister to meet with Canola Stakeholders</t>
        </is>
      </c>
      <c r="G1533" t="inlineStr">
        <is>
          <t>Pour accompagner la Ministre à des réunions avec des intervenants de l'industrie du canola</t>
        </is>
      </c>
      <c r="H1533" s="1" t="n">
        <v>43552</v>
      </c>
      <c r="I1533" s="1" t="n">
        <v>43554</v>
      </c>
      <c r="J1533" t="inlineStr">
        <is>
          <t>Saskatoon, Saskatchewan</t>
        </is>
      </c>
      <c r="K1533" t="inlineStr">
        <is>
          <t>Saskatoon (Saskatchewan)</t>
        </is>
      </c>
      <c r="P1533" t="n">
        <v>1840.91</v>
      </c>
      <c r="Q1533" t="n">
        <v>27.3</v>
      </c>
      <c r="R1533" t="n">
        <v>352.14</v>
      </c>
      <c r="S1533" t="n">
        <v>163.65</v>
      </c>
      <c r="T1533" t="n">
        <v>0</v>
      </c>
      <c r="U1533" t="n">
        <v>2384</v>
      </c>
      <c r="V1533" t="inlineStr">
        <is>
          <t>This travel was entered in 2 transactions - Mileage missed on the fist one added with doc. # 19000146399</t>
        </is>
      </c>
      <c r="W1533" t="inlineStr">
        <is>
          <t>Ce déplacement a été consigné en deux transactions financières. Le kilométrage oublié dans la première transaction a été ajouté au moyen du document 19000146399.</t>
        </is>
      </c>
      <c r="X1533" t="inlineStr">
        <is>
          <t>aafc-aac</t>
        </is>
      </c>
      <c r="Y1533" t="inlineStr">
        <is>
          <t>Agriculture and Agri-Food Canada | Agriculture et Agroalimentaire Canada</t>
        </is>
      </c>
      <c r="Z1533" t="n">
        <v>3</v>
      </c>
      <c r="AA1533" t="n">
        <v>2384</v>
      </c>
      <c r="AB1533">
        <f>ROUND(U1533-AA1533,2)</f>
        <v/>
      </c>
      <c r="AC1533" t="b">
        <v>0</v>
      </c>
      <c r="AD1533">
        <f>IF(U1533="","MISSING_TOTAL",IF(ABS(AB1533)&lt;=0.01,"OK","CHECK"))</f>
        <v/>
      </c>
      <c r="AE1533">
        <f>IF(U1533="","MISSING",IF(AND(AA1533&gt;0,U1533/AA1533&gt;50),"POSSIBLE_SCALE_ERROR","OK"))</f>
        <v/>
      </c>
    </row>
    <row r="1534">
      <c r="A1534" t="inlineStr">
        <is>
          <t>T-2019-Q1-00085</t>
        </is>
      </c>
      <c r="B1534" t="inlineStr">
        <is>
          <t>MPSES</t>
        </is>
      </c>
      <c r="C1534" t="inlineStr">
        <is>
          <t>Press Secretary</t>
        </is>
      </c>
      <c r="D1534" t="inlineStr">
        <is>
          <t>Attachée de presse</t>
        </is>
      </c>
      <c r="E1534" t="inlineStr">
        <is>
          <t>Justine Lesage</t>
        </is>
      </c>
      <c r="F1534" t="inlineStr">
        <is>
          <t>To accompany the Minister for an announcement at the Conseil des industriels laitiers du Québec’s annual general meeting</t>
        </is>
      </c>
      <c r="G1534" t="inlineStr">
        <is>
          <t>Pour accompagner la Ministre pour une annonce à l'Assemblée général annuel du Conseil des industriels laitiers du Québec</t>
        </is>
      </c>
      <c r="H1534" s="1" t="n">
        <v>43558</v>
      </c>
      <c r="I1534" s="1" t="n">
        <v>43558</v>
      </c>
      <c r="J1534" t="inlineStr">
        <is>
          <t>Montreal, Quebec</t>
        </is>
      </c>
      <c r="K1534" t="inlineStr">
        <is>
          <t>Montréal, (Québec)</t>
        </is>
      </c>
      <c r="P1534" t="n">
        <v>0</v>
      </c>
      <c r="Q1534" t="n">
        <v>270.01</v>
      </c>
      <c r="R1534" t="n">
        <v>0</v>
      </c>
      <c r="S1534" t="n">
        <v>20.1</v>
      </c>
      <c r="T1534" t="n">
        <v>0</v>
      </c>
      <c r="U1534" t="n">
        <v>290.11</v>
      </c>
      <c r="X1534" t="inlineStr">
        <is>
          <t>aafc-aac</t>
        </is>
      </c>
      <c r="Y1534" t="inlineStr">
        <is>
          <t>Agriculture and Agri-Food Canada | Agriculture et Agroalimentaire Canada</t>
        </is>
      </c>
      <c r="Z1534" t="n">
        <v>1</v>
      </c>
      <c r="AA1534" t="n">
        <v>290.11</v>
      </c>
      <c r="AB1534">
        <f>ROUND(U1534-AA1534,2)</f>
        <v/>
      </c>
      <c r="AC1534" t="b">
        <v>0</v>
      </c>
      <c r="AD1534">
        <f>IF(U1534="","MISSING_TOTAL",IF(ABS(AB1534)&lt;=0.01,"OK","CHECK"))</f>
        <v/>
      </c>
      <c r="AE1534">
        <f>IF(U1534="","MISSING",IF(AND(AA1534&gt;0,U1534/AA1534&gt;50),"POSSIBLE_SCALE_ERROR","OK"))</f>
        <v/>
      </c>
    </row>
    <row r="1535">
      <c r="A1535" t="inlineStr">
        <is>
          <t>T-2019-Q1-00086</t>
        </is>
      </c>
      <c r="B1535" t="inlineStr">
        <is>
          <t>MPSES</t>
        </is>
      </c>
      <c r="C1535" t="inlineStr">
        <is>
          <t>Press Secretary</t>
        </is>
      </c>
      <c r="D1535" t="inlineStr">
        <is>
          <t>Attachée de presse</t>
        </is>
      </c>
      <c r="E1535" t="inlineStr">
        <is>
          <t>Justine Lesage</t>
        </is>
      </c>
      <c r="F1535" t="inlineStr">
        <is>
          <t>To accompany the Minister to the New Brunswick and Ontario Outreach</t>
        </is>
      </c>
      <c r="G1535" t="inlineStr">
        <is>
          <t>Pour accompagner la Ministre aux campagnes de sensibilisation au Nouveau­Brunswick et en Ontario</t>
        </is>
      </c>
      <c r="H1535" s="1" t="n">
        <v>43577</v>
      </c>
      <c r="I1535" s="1" t="n">
        <v>43581</v>
      </c>
      <c r="J1535" t="inlineStr">
        <is>
          <t>Miramichi, New Brunswick; Fredericton, New Brunswick; Burlington, Ontario; Vaughan, Ontario</t>
        </is>
      </c>
      <c r="K1535" t="inlineStr">
        <is>
          <t>Miramichi (Nouveau-Brunswick); Fredericton (Nouveau-Brunswick); Burlington (Ontario); Vaughan (Ontario)</t>
        </is>
      </c>
      <c r="P1535" t="n">
        <v>1067.12</v>
      </c>
      <c r="Q1535" t="n">
        <v>66.15000000000001</v>
      </c>
      <c r="R1535" t="n">
        <v>663.99</v>
      </c>
      <c r="S1535" t="n">
        <v>441.85</v>
      </c>
      <c r="T1535" t="n">
        <v>0</v>
      </c>
      <c r="U1535" t="n">
        <v>2239.11</v>
      </c>
      <c r="X1535" t="inlineStr">
        <is>
          <t>aafc-aac</t>
        </is>
      </c>
      <c r="Y1535" t="inlineStr">
        <is>
          <t>Agriculture and Agri-Food Canada | Agriculture et Agroalimentaire Canada</t>
        </is>
      </c>
      <c r="Z1535" t="n">
        <v>5</v>
      </c>
      <c r="AA1535" t="n">
        <v>2239.11</v>
      </c>
      <c r="AB1535">
        <f>ROUND(U1535-AA1535,2)</f>
        <v/>
      </c>
      <c r="AC1535" t="b">
        <v>0</v>
      </c>
      <c r="AD1535">
        <f>IF(U1535="","MISSING_TOTAL",IF(ABS(AB1535)&lt;=0.01,"OK","CHECK"))</f>
        <v/>
      </c>
      <c r="AE1535">
        <f>IF(U1535="","MISSING",IF(AND(AA1535&gt;0,U1535/AA1535&gt;50),"POSSIBLE_SCALE_ERROR","OK"))</f>
        <v/>
      </c>
    </row>
    <row r="1536">
      <c r="A1536" t="inlineStr">
        <is>
          <t>T-2019-Q1-00087</t>
        </is>
      </c>
      <c r="B1536" t="inlineStr">
        <is>
          <t>MPSES</t>
        </is>
      </c>
      <c r="C1536" t="inlineStr">
        <is>
          <t>Press Secretary</t>
        </is>
      </c>
      <c r="D1536" t="inlineStr">
        <is>
          <t>Attachée de presse</t>
        </is>
      </c>
      <c r="E1536" t="inlineStr">
        <is>
          <t>Justine Lesage</t>
        </is>
      </c>
      <c r="F1536" t="inlineStr">
        <is>
          <t>To accompany the Minister to the G20 Niigata Agriculture Ministers' Meeting</t>
        </is>
      </c>
      <c r="G1536" t="inlineStr">
        <is>
          <t>Pour accompagner la Ministre à la réunion des ministres de l'Agriculture du G20 à Niigata, au Japon</t>
        </is>
      </c>
      <c r="H1536" s="1" t="n">
        <v>43594</v>
      </c>
      <c r="I1536" s="1" t="n">
        <v>43599</v>
      </c>
      <c r="J1536" t="inlineStr">
        <is>
          <t>Niigata, Japan; Tokyo, Japan</t>
        </is>
      </c>
      <c r="K1536" t="inlineStr">
        <is>
          <t>Niigata (Japon); Tokyo (Japon)</t>
        </is>
      </c>
      <c r="P1536" t="n">
        <v>7161.52</v>
      </c>
      <c r="Q1536" t="n">
        <v>0</v>
      </c>
      <c r="R1536" t="n">
        <v>930.1</v>
      </c>
      <c r="S1536" t="n">
        <v>1100.75</v>
      </c>
      <c r="T1536" t="n">
        <v>0</v>
      </c>
      <c r="U1536" t="n">
        <v>9192.370000000001</v>
      </c>
      <c r="X1536" t="inlineStr">
        <is>
          <t>aafc-aac</t>
        </is>
      </c>
      <c r="Y1536" t="inlineStr">
        <is>
          <t>Agriculture and Agri-Food Canada | Agriculture et Agroalimentaire Canada</t>
        </is>
      </c>
      <c r="Z1536" t="n">
        <v>6</v>
      </c>
      <c r="AA1536" t="n">
        <v>9192.370000000001</v>
      </c>
      <c r="AB1536">
        <f>ROUND(U1536-AA1536,2)</f>
        <v/>
      </c>
      <c r="AC1536" t="b">
        <v>0</v>
      </c>
      <c r="AD1536">
        <f>IF(U1536="","MISSING_TOTAL",IF(ABS(AB1536)&lt;=0.01,"OK","CHECK"))</f>
        <v/>
      </c>
      <c r="AE1536">
        <f>IF(U1536="","MISSING",IF(AND(AA1536&gt;0,U1536/AA1536&gt;50),"POSSIBLE_SCALE_ERROR","OK"))</f>
        <v/>
      </c>
    </row>
    <row r="1537">
      <c r="A1537" t="inlineStr">
        <is>
          <t>T-2019-Q1-00088</t>
        </is>
      </c>
      <c r="B1537" t="inlineStr">
        <is>
          <t>MPSES</t>
        </is>
      </c>
      <c r="C1537" t="inlineStr">
        <is>
          <t>Press Secretary</t>
        </is>
      </c>
      <c r="D1537" t="inlineStr">
        <is>
          <t>Attachée de presse</t>
        </is>
      </c>
      <c r="E1537" t="inlineStr">
        <is>
          <t>Justine Lesage</t>
        </is>
      </c>
      <c r="F1537" t="inlineStr">
        <is>
          <t>To accompany the Minister for an announcement and meeting with To accompany the Minister for Poultry meetings and a meeting with the Fédération de la relève agricole du Québec</t>
        </is>
      </c>
      <c r="G1537" t="inlineStr">
        <is>
          <t>Pour accompagner la Ministre pour une annonce et une rencontre avec la Fédération de la relève agricole du Québec</t>
        </is>
      </c>
      <c r="H1537" s="1" t="n">
        <v>43609</v>
      </c>
      <c r="I1537" s="1" t="n">
        <v>43609</v>
      </c>
      <c r="J1537" t="inlineStr">
        <is>
          <t>St-Hyacinthe, Quebec</t>
        </is>
      </c>
      <c r="K1537" t="inlineStr">
        <is>
          <t>St-Hyacinthe, (Québec)</t>
        </is>
      </c>
      <c r="P1537" t="n">
        <v>0</v>
      </c>
      <c r="Q1537" t="n">
        <v>117.5</v>
      </c>
      <c r="R1537" t="n">
        <v>0</v>
      </c>
      <c r="S1537" t="n">
        <v>40.6</v>
      </c>
      <c r="T1537" t="n">
        <v>0</v>
      </c>
      <c r="U1537" t="n">
        <v>158.1</v>
      </c>
      <c r="X1537" t="inlineStr">
        <is>
          <t>aafc-aac</t>
        </is>
      </c>
      <c r="Y1537" t="inlineStr">
        <is>
          <t>Agriculture and Agri-Food Canada | Agriculture et Agroalimentaire Canada</t>
        </is>
      </c>
      <c r="Z1537" t="n">
        <v>1</v>
      </c>
      <c r="AA1537" t="n">
        <v>158.1</v>
      </c>
      <c r="AB1537">
        <f>ROUND(U1537-AA1537,2)</f>
        <v/>
      </c>
      <c r="AC1537" t="b">
        <v>0</v>
      </c>
      <c r="AD1537">
        <f>IF(U1537="","MISSING_TOTAL",IF(ABS(AB1537)&lt;=0.01,"OK","CHECK"))</f>
        <v/>
      </c>
      <c r="AE1537">
        <f>IF(U1537="","MISSING",IF(AND(AA1537&gt;0,U1537/AA1537&gt;50),"POSSIBLE_SCALE_ERROR","OK"))</f>
        <v/>
      </c>
    </row>
    <row r="1538">
      <c r="A1538" t="inlineStr">
        <is>
          <t>T-2019-Q1-00089</t>
        </is>
      </c>
      <c r="B1538" t="inlineStr">
        <is>
          <t>MPSES</t>
        </is>
      </c>
      <c r="C1538" t="inlineStr">
        <is>
          <t>Press Secretary</t>
        </is>
      </c>
      <c r="D1538" t="inlineStr">
        <is>
          <t>Attachée de presse</t>
        </is>
      </c>
      <c r="E1538" t="inlineStr">
        <is>
          <t>Justine Lesage</t>
        </is>
      </c>
      <c r="F1538" t="inlineStr">
        <is>
          <t>To accompany the Minister to the Forum SAM 2019 and the annual meeting of the Politique bioalimentation partners</t>
        </is>
      </c>
      <c r="G1538" t="inlineStr">
        <is>
          <t>Pour accompagner la Ministre au Forum SAM 2019 et à la rencontre annuelle des partenaires de Politique bioalimentaire</t>
        </is>
      </c>
      <c r="H1538" s="1" t="n">
        <v>43616</v>
      </c>
      <c r="I1538" s="1" t="n">
        <v>43616</v>
      </c>
      <c r="J1538" t="inlineStr">
        <is>
          <t>St-Hyacinthe, Quebec; Drummondville, Quebec</t>
        </is>
      </c>
      <c r="K1538" t="inlineStr">
        <is>
          <t>St-Hyacinthe, (Québec); Drummondville, (Québec)</t>
        </is>
      </c>
      <c r="P1538" t="n">
        <v>0</v>
      </c>
      <c r="Q1538" t="n">
        <v>154.82</v>
      </c>
      <c r="R1538" t="n">
        <v>0</v>
      </c>
      <c r="S1538" t="n">
        <v>20.1</v>
      </c>
      <c r="T1538" t="n">
        <v>0</v>
      </c>
      <c r="U1538" t="n">
        <v>174.92</v>
      </c>
      <c r="X1538" t="inlineStr">
        <is>
          <t>aafc-aac</t>
        </is>
      </c>
      <c r="Y1538" t="inlineStr">
        <is>
          <t>Agriculture and Agri-Food Canada | Agriculture et Agroalimentaire Canada</t>
        </is>
      </c>
      <c r="Z1538" t="n">
        <v>1</v>
      </c>
      <c r="AA1538" t="n">
        <v>174.92</v>
      </c>
      <c r="AB1538">
        <f>ROUND(U1538-AA1538,2)</f>
        <v/>
      </c>
      <c r="AC1538" t="b">
        <v>0</v>
      </c>
      <c r="AD1538">
        <f>IF(U1538="","MISSING_TOTAL",IF(ABS(AB1538)&lt;=0.01,"OK","CHECK"))</f>
        <v/>
      </c>
      <c r="AE1538">
        <f>IF(U1538="","MISSING",IF(AND(AA1538&gt;0,U1538/AA1538&gt;50),"POSSIBLE_SCALE_ERROR","OK"))</f>
        <v/>
      </c>
    </row>
    <row r="1539">
      <c r="A1539" t="inlineStr">
        <is>
          <t>T-2019-Q1-00090</t>
        </is>
      </c>
      <c r="B1539" t="inlineStr">
        <is>
          <t>MPSES</t>
        </is>
      </c>
      <c r="C1539" t="inlineStr">
        <is>
          <t>Director of Parliamentary Affairs</t>
        </is>
      </c>
      <c r="D1539" t="inlineStr">
        <is>
          <t>Directeur des affaires parlementaires</t>
        </is>
      </c>
      <c r="E1539" t="inlineStr">
        <is>
          <t>Matthew Mann</t>
        </is>
      </c>
      <c r="F1539" t="inlineStr">
        <is>
          <t>Cancelled</t>
        </is>
      </c>
      <c r="G1539" t="inlineStr">
        <is>
          <t>Annulé</t>
        </is>
      </c>
      <c r="H1539" s="1" t="n">
        <v>43527</v>
      </c>
      <c r="I1539" s="1" t="n">
        <v>43527</v>
      </c>
      <c r="J1539" t="inlineStr">
        <is>
          <t>Charlottetown, Prince Edward Island</t>
        </is>
      </c>
      <c r="K1539" t="inlineStr">
        <is>
          <t>Charlottetown (Île-du-Prince-Édouard)</t>
        </is>
      </c>
      <c r="R1539" t="n">
        <v>192.05</v>
      </c>
      <c r="U1539" t="n">
        <v>192.05</v>
      </c>
      <c r="V1539" t="inlineStr">
        <is>
          <t>No Show Fee - Travel booked before the change in Minister's</t>
        </is>
      </c>
      <c r="W1539" t="inlineStr">
        <is>
          <t>Frais de défection encourus.  Voyage réservé avant le changement de ministre.</t>
        </is>
      </c>
      <c r="X1539" t="inlineStr">
        <is>
          <t>aafc-aac</t>
        </is>
      </c>
      <c r="Y1539" t="inlineStr">
        <is>
          <t>Agriculture and Agri-Food Canada | Agriculture et Agroalimentaire Canada</t>
        </is>
      </c>
      <c r="Z1539" t="n">
        <v>1</v>
      </c>
      <c r="AA1539" t="n">
        <v>192.05</v>
      </c>
      <c r="AB1539">
        <f>ROUND(U1539-AA1539,2)</f>
        <v/>
      </c>
      <c r="AC1539" t="b">
        <v>0</v>
      </c>
      <c r="AD1539">
        <f>IF(U1539="","MISSING_TOTAL",IF(ABS(AB1539)&lt;=0.01,"OK","CHECK"))</f>
        <v/>
      </c>
      <c r="AE1539">
        <f>IF(U1539="","MISSING",IF(AND(AA1539&gt;0,U1539/AA1539&gt;50),"POSSIBLE_SCALE_ERROR","OK"))</f>
        <v/>
      </c>
    </row>
    <row r="1540">
      <c r="A1540" t="inlineStr">
        <is>
          <t>T-2019-Q1-00091</t>
        </is>
      </c>
      <c r="B1540" t="inlineStr">
        <is>
          <t>MPSES</t>
        </is>
      </c>
      <c r="C1540" t="inlineStr">
        <is>
          <t>Driver</t>
        </is>
      </c>
      <c r="D1540" t="inlineStr">
        <is>
          <t>Chauffeur</t>
        </is>
      </c>
      <c r="E1540" t="inlineStr">
        <is>
          <t>Michel Gendreau</t>
        </is>
      </c>
      <c r="F1540" t="inlineStr">
        <is>
          <t>To pick up the Minister from Sherbrooke and drive her to Ottawa</t>
        </is>
      </c>
      <c r="G1540" t="inlineStr">
        <is>
          <t>Pour aller chercher la Ministre à Sherbrooke et la conduire à Ottawa</t>
        </is>
      </c>
      <c r="H1540" s="1" t="n">
        <v>43527</v>
      </c>
      <c r="I1540" s="1" t="n">
        <v>43528</v>
      </c>
      <c r="J1540" t="inlineStr">
        <is>
          <t>Sherbrooke, Quebec</t>
        </is>
      </c>
      <c r="K1540" t="inlineStr">
        <is>
          <t>Sherbrooke (Québec)</t>
        </is>
      </c>
      <c r="P1540" t="n">
        <v>0</v>
      </c>
      <c r="Q1540" t="n">
        <v>6.2</v>
      </c>
      <c r="R1540" t="n">
        <v>141.3</v>
      </c>
      <c r="S1540" t="n">
        <v>67.3</v>
      </c>
      <c r="T1540" t="n">
        <v>0</v>
      </c>
      <c r="U1540" t="n">
        <v>214.8</v>
      </c>
      <c r="X1540" t="inlineStr">
        <is>
          <t>aafc-aac</t>
        </is>
      </c>
      <c r="Y1540" t="inlineStr">
        <is>
          <t>Agriculture and Agri-Food Canada | Agriculture et Agroalimentaire Canada</t>
        </is>
      </c>
      <c r="Z1540" t="n">
        <v>2</v>
      </c>
      <c r="AA1540" t="n">
        <v>214.8</v>
      </c>
      <c r="AB1540">
        <f>ROUND(U1540-AA1540,2)</f>
        <v/>
      </c>
      <c r="AC1540" t="b">
        <v>0</v>
      </c>
      <c r="AD1540">
        <f>IF(U1540="","MISSING_TOTAL",IF(ABS(AB1540)&lt;=0.01,"OK","CHECK"))</f>
        <v/>
      </c>
      <c r="AE1540">
        <f>IF(U1540="","MISSING",IF(AND(AA1540&gt;0,U1540/AA1540&gt;50),"POSSIBLE_SCALE_ERROR","OK"))</f>
        <v/>
      </c>
    </row>
    <row r="1541">
      <c r="A1541" t="inlineStr">
        <is>
          <t>T-2019-Q1-00092</t>
        </is>
      </c>
      <c r="B1541" t="inlineStr">
        <is>
          <t>MPSES</t>
        </is>
      </c>
      <c r="C1541" t="inlineStr">
        <is>
          <t>Driver</t>
        </is>
      </c>
      <c r="D1541" t="inlineStr">
        <is>
          <t>Chauffeur</t>
        </is>
      </c>
      <c r="E1541" t="inlineStr">
        <is>
          <t>Michel Gendreau</t>
        </is>
      </c>
      <c r="F1541" t="inlineStr">
        <is>
          <t>To drive the Minister to Sherbrooke</t>
        </is>
      </c>
      <c r="G1541" t="inlineStr">
        <is>
          <t>Pour conduire la Ministre à Sherbrooke</t>
        </is>
      </c>
      <c r="H1541" s="1" t="n">
        <v>43531</v>
      </c>
      <c r="I1541" s="1" t="n">
        <v>43531</v>
      </c>
      <c r="J1541" t="inlineStr">
        <is>
          <t>Sherbrooke, Quebec</t>
        </is>
      </c>
      <c r="K1541" t="inlineStr">
        <is>
          <t>Sherbrooke (Québec)</t>
        </is>
      </c>
      <c r="P1541" t="n">
        <v>0</v>
      </c>
      <c r="Q1541" t="n">
        <v>6.2</v>
      </c>
      <c r="R1541" t="n">
        <v>0</v>
      </c>
      <c r="S1541" t="n">
        <v>50</v>
      </c>
      <c r="T1541" t="n">
        <v>0</v>
      </c>
      <c r="U1541" t="n">
        <v>56.2</v>
      </c>
      <c r="X1541" t="inlineStr">
        <is>
          <t>aafc-aac</t>
        </is>
      </c>
      <c r="Y1541" t="inlineStr">
        <is>
          <t>Agriculture and Agri-Food Canada | Agriculture et Agroalimentaire Canada</t>
        </is>
      </c>
      <c r="Z1541" t="n">
        <v>1</v>
      </c>
      <c r="AA1541" t="n">
        <v>56.2</v>
      </c>
      <c r="AB1541">
        <f>ROUND(U1541-AA1541,2)</f>
        <v/>
      </c>
      <c r="AC1541" t="b">
        <v>0</v>
      </c>
      <c r="AD1541">
        <f>IF(U1541="","MISSING_TOTAL",IF(ABS(AB1541)&lt;=0.01,"OK","CHECK"))</f>
        <v/>
      </c>
      <c r="AE1541">
        <f>IF(U1541="","MISSING",IF(AND(AA1541&gt;0,U1541/AA1541&gt;50),"POSSIBLE_SCALE_ERROR","OK"))</f>
        <v/>
      </c>
    </row>
    <row r="1542">
      <c r="A1542" t="inlineStr">
        <is>
          <t>T-2019-Q1-00093</t>
        </is>
      </c>
      <c r="B1542" t="inlineStr">
        <is>
          <t>MPSES</t>
        </is>
      </c>
      <c r="C1542" t="inlineStr">
        <is>
          <t>Driver</t>
        </is>
      </c>
      <c r="D1542" t="inlineStr">
        <is>
          <t>Chauffeur</t>
        </is>
      </c>
      <c r="E1542" t="inlineStr">
        <is>
          <t>Michel Gendreau</t>
        </is>
      </c>
      <c r="F1542" t="inlineStr">
        <is>
          <t>To pick up the Minister from Sherbrooke and drive her to Ottawa</t>
        </is>
      </c>
      <c r="G1542" t="inlineStr">
        <is>
          <t>Pour aller chercher la Ministre à Sherbrooke et la conduire à Ottawa</t>
        </is>
      </c>
      <c r="H1542" s="1" t="n">
        <v>43541</v>
      </c>
      <c r="I1542" s="1" t="n">
        <v>43543</v>
      </c>
      <c r="J1542" t="inlineStr">
        <is>
          <t>Sherbrooke, Quebec</t>
        </is>
      </c>
      <c r="K1542" t="inlineStr">
        <is>
          <t>Sherbrooke (Québec)</t>
        </is>
      </c>
      <c r="P1542" t="n">
        <v>0</v>
      </c>
      <c r="Q1542" t="n">
        <v>12.4</v>
      </c>
      <c r="R1542" t="n">
        <v>135.65</v>
      </c>
      <c r="S1542" t="n">
        <v>67.3</v>
      </c>
      <c r="T1542" t="n">
        <v>0</v>
      </c>
      <c r="U1542" t="n">
        <v>215.35</v>
      </c>
      <c r="X1542" t="inlineStr">
        <is>
          <t>aafc-aac</t>
        </is>
      </c>
      <c r="Y1542" t="inlineStr">
        <is>
          <t>Agriculture and Agri-Food Canada | Agriculture et Agroalimentaire Canada</t>
        </is>
      </c>
      <c r="Z1542" t="n">
        <v>3</v>
      </c>
      <c r="AA1542" t="n">
        <v>215.35</v>
      </c>
      <c r="AB1542">
        <f>ROUND(U1542-AA1542,2)</f>
        <v/>
      </c>
      <c r="AC1542" t="b">
        <v>0</v>
      </c>
      <c r="AD1542">
        <f>IF(U1542="","MISSING_TOTAL",IF(ABS(AB1542)&lt;=0.01,"OK","CHECK"))</f>
        <v/>
      </c>
      <c r="AE1542">
        <f>IF(U1542="","MISSING",IF(AND(AA1542&gt;0,U1542/AA1542&gt;50),"POSSIBLE_SCALE_ERROR","OK"))</f>
        <v/>
      </c>
    </row>
    <row r="1543">
      <c r="A1543" t="inlineStr">
        <is>
          <t>T-2019-Q1-00094</t>
        </is>
      </c>
      <c r="B1543" t="inlineStr">
        <is>
          <t>MPSES</t>
        </is>
      </c>
      <c r="C1543" t="inlineStr">
        <is>
          <t>Driver</t>
        </is>
      </c>
      <c r="D1543" t="inlineStr">
        <is>
          <t>Chauffeur</t>
        </is>
      </c>
      <c r="E1543" t="inlineStr">
        <is>
          <t>Michel Gendreau</t>
        </is>
      </c>
      <c r="F1543" t="inlineStr">
        <is>
          <t>To pick up the Minister from Sherbrooke and drive her to Napanee to meet with local farmers and visit a seniors home</t>
        </is>
      </c>
      <c r="G1543" t="inlineStr">
        <is>
          <t>Pour aller chercher la Ministre à Sherbooke et la conduire à Napanee afin qu'elle rencontre des agriculteurs locaux et visite une résidence pour personnes âgées</t>
        </is>
      </c>
      <c r="H1543" s="1" t="n">
        <v>43548</v>
      </c>
      <c r="I1543" s="1" t="n">
        <v>43549</v>
      </c>
      <c r="J1543" t="inlineStr">
        <is>
          <t>Napanee, Ontario</t>
        </is>
      </c>
      <c r="K1543" t="inlineStr">
        <is>
          <t>Napanee (Ontario)</t>
        </is>
      </c>
      <c r="P1543" t="n">
        <v>0</v>
      </c>
      <c r="Q1543" t="n">
        <v>6.2</v>
      </c>
      <c r="R1543" t="n">
        <v>187.58</v>
      </c>
      <c r="S1543" t="n">
        <v>144.55</v>
      </c>
      <c r="T1543" t="n">
        <v>0</v>
      </c>
      <c r="U1543" t="n">
        <v>338.33</v>
      </c>
      <c r="X1543" t="inlineStr">
        <is>
          <t>aafc-aac</t>
        </is>
      </c>
      <c r="Y1543" t="inlineStr">
        <is>
          <t>Agriculture and Agri-Food Canada | Agriculture et Agroalimentaire Canada</t>
        </is>
      </c>
      <c r="Z1543" t="n">
        <v>2</v>
      </c>
      <c r="AA1543" t="n">
        <v>338.33</v>
      </c>
      <c r="AB1543">
        <f>ROUND(U1543-AA1543,2)</f>
        <v/>
      </c>
      <c r="AC1543" t="b">
        <v>0</v>
      </c>
      <c r="AD1543">
        <f>IF(U1543="","MISSING_TOTAL",IF(ABS(AB1543)&lt;=0.01,"OK","CHECK"))</f>
        <v/>
      </c>
      <c r="AE1543">
        <f>IF(U1543="","MISSING",IF(AND(AA1543&gt;0,U1543/AA1543&gt;50),"POSSIBLE_SCALE_ERROR","OK"))</f>
        <v/>
      </c>
    </row>
    <row r="1544">
      <c r="A1544" t="inlineStr">
        <is>
          <t>T-2019-Q1-00095</t>
        </is>
      </c>
      <c r="B1544" t="inlineStr">
        <is>
          <t>MPSES</t>
        </is>
      </c>
      <c r="C1544" t="inlineStr">
        <is>
          <t>Driver</t>
        </is>
      </c>
      <c r="D1544" t="inlineStr">
        <is>
          <t>Chauffeur</t>
        </is>
      </c>
      <c r="E1544" t="inlineStr">
        <is>
          <t>Michel Gendreau</t>
        </is>
      </c>
      <c r="F1544" t="inlineStr">
        <is>
          <t>To drive the Minister to attend announcements in Sherbrooke and Drummondville, visit senior homes and the Grain Farmers Conference.</t>
        </is>
      </c>
      <c r="G1544" t="inlineStr">
        <is>
          <t>Pour conduire la Ministre pour des annonces à Sherbrooke et à Drummondville, visiter une résidence pour personnes âgées et participer à la conférence des Producteurs de grains du Québec</t>
        </is>
      </c>
      <c r="H1544" s="1" t="n">
        <v>43550</v>
      </c>
      <c r="I1544" s="1" t="n">
        <v>43552</v>
      </c>
      <c r="J1544" t="inlineStr">
        <is>
          <t>Sherbrooke, Quebec; Drummondville, Quebec</t>
        </is>
      </c>
      <c r="K1544" t="inlineStr">
        <is>
          <t>Sherbrooke (Québec); Drummondville (Québec)</t>
        </is>
      </c>
      <c r="P1544" t="n">
        <v>0</v>
      </c>
      <c r="Q1544" t="n">
        <v>0</v>
      </c>
      <c r="R1544" t="n">
        <v>271.3</v>
      </c>
      <c r="S1544" t="n">
        <v>322.2</v>
      </c>
      <c r="T1544" t="n">
        <v>0</v>
      </c>
      <c r="U1544" t="n">
        <v>593.5</v>
      </c>
      <c r="X1544" t="inlineStr">
        <is>
          <t>aafc-aac</t>
        </is>
      </c>
      <c r="Y1544" t="inlineStr">
        <is>
          <t>Agriculture and Agri-Food Canada | Agriculture et Agroalimentaire Canada</t>
        </is>
      </c>
      <c r="Z1544" t="n">
        <v>3</v>
      </c>
      <c r="AA1544" t="n">
        <v>593.5</v>
      </c>
      <c r="AB1544">
        <f>ROUND(U1544-AA1544,2)</f>
        <v/>
      </c>
      <c r="AC1544" t="b">
        <v>0</v>
      </c>
      <c r="AD1544">
        <f>IF(U1544="","MISSING_TOTAL",IF(ABS(AB1544)&lt;=0.01,"OK","CHECK"))</f>
        <v/>
      </c>
      <c r="AE1544">
        <f>IF(U1544="","MISSING",IF(AND(AA1544&gt;0,U1544/AA1544&gt;50),"POSSIBLE_SCALE_ERROR","OK"))</f>
        <v/>
      </c>
    </row>
    <row r="1545">
      <c r="A1545" t="inlineStr">
        <is>
          <t>T-2019-Q1-00096</t>
        </is>
      </c>
      <c r="B1545" t="inlineStr">
        <is>
          <t>MPSES</t>
        </is>
      </c>
      <c r="C1545" t="inlineStr">
        <is>
          <t>Driver</t>
        </is>
      </c>
      <c r="D1545" t="inlineStr">
        <is>
          <t>Chauffeur</t>
        </is>
      </c>
      <c r="E1545" t="inlineStr">
        <is>
          <t>Michel Gendreau</t>
        </is>
      </c>
      <c r="F1545" t="inlineStr">
        <is>
          <t>To pick up the Minister from Sherbrooke and drive her to Ottawa</t>
        </is>
      </c>
      <c r="G1545" t="inlineStr">
        <is>
          <t>Pour aller chercher la Ministre à Sherbrooke et la conduire à Ottawa</t>
        </is>
      </c>
      <c r="H1545" s="1" t="n">
        <v>43555</v>
      </c>
      <c r="I1545" s="1" t="n">
        <v>43556</v>
      </c>
      <c r="J1545" t="inlineStr">
        <is>
          <t>Sherbrooke, Quebec</t>
        </is>
      </c>
      <c r="K1545" t="inlineStr">
        <is>
          <t>Sherbrooke (Québec)</t>
        </is>
      </c>
      <c r="P1545" t="n">
        <v>0</v>
      </c>
      <c r="Q1545" t="n">
        <v>6.2</v>
      </c>
      <c r="R1545" t="n">
        <v>141.3</v>
      </c>
      <c r="S1545" t="n">
        <v>67.95</v>
      </c>
      <c r="T1545" t="n">
        <v>0</v>
      </c>
      <c r="U1545" t="n">
        <v>215.45</v>
      </c>
      <c r="X1545" t="inlineStr">
        <is>
          <t>aafc-aac</t>
        </is>
      </c>
      <c r="Y1545" t="inlineStr">
        <is>
          <t>Agriculture and Agri-Food Canada | Agriculture et Agroalimentaire Canada</t>
        </is>
      </c>
      <c r="Z1545" t="n">
        <v>2</v>
      </c>
      <c r="AA1545" t="n">
        <v>215.45</v>
      </c>
      <c r="AB1545">
        <f>ROUND(U1545-AA1545,2)</f>
        <v/>
      </c>
      <c r="AC1545" t="b">
        <v>0</v>
      </c>
      <c r="AD1545">
        <f>IF(U1545="","MISSING_TOTAL",IF(ABS(AB1545)&lt;=0.01,"OK","CHECK"))</f>
        <v/>
      </c>
      <c r="AE1545">
        <f>IF(U1545="","MISSING",IF(AND(AA1545&gt;0,U1545/AA1545&gt;50),"POSSIBLE_SCALE_ERROR","OK"))</f>
        <v/>
      </c>
    </row>
    <row r="1546">
      <c r="A1546" t="inlineStr">
        <is>
          <t>T-2019-Q1-00097</t>
        </is>
      </c>
      <c r="B1546" t="inlineStr">
        <is>
          <t>MPSES</t>
        </is>
      </c>
      <c r="C1546" t="inlineStr">
        <is>
          <t>Driver</t>
        </is>
      </c>
      <c r="D1546" t="inlineStr">
        <is>
          <t>Chauffeur</t>
        </is>
      </c>
      <c r="E1546" t="inlineStr">
        <is>
          <t>Michel Gendreau</t>
        </is>
      </c>
      <c r="F1546" t="inlineStr">
        <is>
          <t>To pick up the Minister from Montreal and drive her to Ottawa</t>
        </is>
      </c>
      <c r="G1546" t="inlineStr">
        <is>
          <t>Pour aller chercher la Ministre à Montréal et la conduire à Ottawa</t>
        </is>
      </c>
      <c r="H1546" s="1" t="n">
        <v>43558</v>
      </c>
      <c r="I1546" s="1" t="n">
        <v>43558</v>
      </c>
      <c r="J1546" t="inlineStr">
        <is>
          <t>Montreal, Quebec</t>
        </is>
      </c>
      <c r="K1546" t="inlineStr">
        <is>
          <t>Montréal (Québec)</t>
        </is>
      </c>
      <c r="P1546" t="n">
        <v>0</v>
      </c>
      <c r="Q1546" t="n">
        <v>3.1</v>
      </c>
      <c r="R1546" t="n">
        <v>0</v>
      </c>
      <c r="S1546" t="n">
        <v>50.65</v>
      </c>
      <c r="T1546" t="n">
        <v>0</v>
      </c>
      <c r="U1546" t="n">
        <v>53.75</v>
      </c>
      <c r="X1546" t="inlineStr">
        <is>
          <t>aafc-aac</t>
        </is>
      </c>
      <c r="Y1546" t="inlineStr">
        <is>
          <t>Agriculture and Agri-Food Canada | Agriculture et Agroalimentaire Canada</t>
        </is>
      </c>
      <c r="Z1546" t="n">
        <v>1</v>
      </c>
      <c r="AA1546" t="n">
        <v>53.75</v>
      </c>
      <c r="AB1546">
        <f>ROUND(U1546-AA1546,2)</f>
        <v/>
      </c>
      <c r="AC1546" t="b">
        <v>0</v>
      </c>
      <c r="AD1546">
        <f>IF(U1546="","MISSING_TOTAL",IF(ABS(AB1546)&lt;=0.01,"OK","CHECK"))</f>
        <v/>
      </c>
      <c r="AE1546">
        <f>IF(U1546="","MISSING",IF(AND(AA1546&gt;0,U1546/AA1546&gt;50),"POSSIBLE_SCALE_ERROR","OK"))</f>
        <v/>
      </c>
    </row>
    <row r="1547">
      <c r="A1547" t="inlineStr">
        <is>
          <t>T-2019-Q1-00098</t>
        </is>
      </c>
      <c r="B1547" t="inlineStr">
        <is>
          <t>MPSES</t>
        </is>
      </c>
      <c r="C1547" t="inlineStr">
        <is>
          <t>Driver</t>
        </is>
      </c>
      <c r="D1547" t="inlineStr">
        <is>
          <t>Chauffeur</t>
        </is>
      </c>
      <c r="E1547" t="inlineStr">
        <is>
          <t>Michel Gendreau</t>
        </is>
      </c>
      <c r="F1547" t="inlineStr">
        <is>
          <t>To drive the Minister to Sherbrooke</t>
        </is>
      </c>
      <c r="G1547" t="inlineStr">
        <is>
          <t>Pour conduire la Ministre à Sherbrooke</t>
        </is>
      </c>
      <c r="H1547" s="1" t="n">
        <v>43560</v>
      </c>
      <c r="I1547" s="1" t="n">
        <v>43560</v>
      </c>
      <c r="J1547" t="inlineStr">
        <is>
          <t>Sherbrooke, Quebec</t>
        </is>
      </c>
      <c r="K1547" t="inlineStr">
        <is>
          <t>Sherbrooke (Québec)</t>
        </is>
      </c>
      <c r="P1547" t="n">
        <v>0</v>
      </c>
      <c r="Q1547" t="n">
        <v>6.2</v>
      </c>
      <c r="R1547" t="n">
        <v>0</v>
      </c>
      <c r="S1547" t="n">
        <v>50.65</v>
      </c>
      <c r="T1547" t="n">
        <v>0</v>
      </c>
      <c r="U1547" t="n">
        <v>56.85</v>
      </c>
      <c r="X1547" t="inlineStr">
        <is>
          <t>aafc-aac</t>
        </is>
      </c>
      <c r="Y1547" t="inlineStr">
        <is>
          <t>Agriculture and Agri-Food Canada | Agriculture et Agroalimentaire Canada</t>
        </is>
      </c>
      <c r="Z1547" t="n">
        <v>1</v>
      </c>
      <c r="AA1547" t="n">
        <v>56.85</v>
      </c>
      <c r="AB1547">
        <f>ROUND(U1547-AA1547,2)</f>
        <v/>
      </c>
      <c r="AC1547" t="b">
        <v>0</v>
      </c>
      <c r="AD1547">
        <f>IF(U1547="","MISSING_TOTAL",IF(ABS(AB1547)&lt;=0.01,"OK","CHECK"))</f>
        <v/>
      </c>
      <c r="AE1547">
        <f>IF(U1547="","MISSING",IF(AND(AA1547&gt;0,U1547/AA1547&gt;50),"POSSIBLE_SCALE_ERROR","OK"))</f>
        <v/>
      </c>
    </row>
    <row r="1548">
      <c r="A1548" t="inlineStr">
        <is>
          <t>T-2019-Q1-00099</t>
        </is>
      </c>
      <c r="B1548" t="inlineStr">
        <is>
          <t>MPSES</t>
        </is>
      </c>
      <c r="C1548" t="inlineStr">
        <is>
          <t>Driver</t>
        </is>
      </c>
      <c r="D1548" t="inlineStr">
        <is>
          <t>Chauffeur</t>
        </is>
      </c>
      <c r="E1548" t="inlineStr">
        <is>
          <t>Michel Gendreau</t>
        </is>
      </c>
      <c r="F1548" t="inlineStr">
        <is>
          <t>To pick up the Minister from Sherbrooke and drive her to Ottawa</t>
        </is>
      </c>
      <c r="G1548" t="inlineStr">
        <is>
          <t>Pour aller chercher la Ministre à Sherbrooke et la conduire à Ottawa</t>
        </is>
      </c>
      <c r="H1548" s="1" t="n">
        <v>43562</v>
      </c>
      <c r="I1548" s="1" t="n">
        <v>43563</v>
      </c>
      <c r="J1548" t="inlineStr">
        <is>
          <t>Sherbrooke, Quebec</t>
        </is>
      </c>
      <c r="K1548" t="inlineStr">
        <is>
          <t>Sherbrooke (Québec)</t>
        </is>
      </c>
      <c r="P1548" t="n">
        <v>0</v>
      </c>
      <c r="Q1548" t="n">
        <v>6.2</v>
      </c>
      <c r="R1548" t="n">
        <v>152.6</v>
      </c>
      <c r="S1548" t="n">
        <v>67.95</v>
      </c>
      <c r="T1548" t="n">
        <v>0</v>
      </c>
      <c r="U1548" t="n">
        <v>226.75</v>
      </c>
      <c r="X1548" t="inlineStr">
        <is>
          <t>aafc-aac</t>
        </is>
      </c>
      <c r="Y1548" t="inlineStr">
        <is>
          <t>Agriculture and Agri-Food Canada | Agriculture et Agroalimentaire Canada</t>
        </is>
      </c>
      <c r="Z1548" t="n">
        <v>2</v>
      </c>
      <c r="AA1548" t="n">
        <v>226.75</v>
      </c>
      <c r="AB1548">
        <f>ROUND(U1548-AA1548,2)</f>
        <v/>
      </c>
      <c r="AC1548" t="b">
        <v>0</v>
      </c>
      <c r="AD1548">
        <f>IF(U1548="","MISSING_TOTAL",IF(ABS(AB1548)&lt;=0.01,"OK","CHECK"))</f>
        <v/>
      </c>
      <c r="AE1548">
        <f>IF(U1548="","MISSING",IF(AND(AA1548&gt;0,U1548/AA1548&gt;50),"POSSIBLE_SCALE_ERROR","OK"))</f>
        <v/>
      </c>
    </row>
    <row r="1549">
      <c r="A1549" t="inlineStr">
        <is>
          <t>T-2019-Q1-00100</t>
        </is>
      </c>
      <c r="B1549" t="inlineStr">
        <is>
          <t>MPSES</t>
        </is>
      </c>
      <c r="C1549" t="inlineStr">
        <is>
          <t>Driver</t>
        </is>
      </c>
      <c r="D1549" t="inlineStr">
        <is>
          <t>Chauffeur</t>
        </is>
      </c>
      <c r="E1549" t="inlineStr">
        <is>
          <t>Michel Gendreau</t>
        </is>
      </c>
      <c r="F1549" t="inlineStr">
        <is>
          <t>To drive the Minister to Sherbrooke</t>
        </is>
      </c>
      <c r="G1549" t="inlineStr">
        <is>
          <t>Pour conduire la Ministre à Sherbrooke</t>
        </is>
      </c>
      <c r="H1549" s="1" t="n">
        <v>43566</v>
      </c>
      <c r="I1549" s="1" t="n">
        <v>43566</v>
      </c>
      <c r="J1549" t="inlineStr">
        <is>
          <t>Sherbrooke, Quebec</t>
        </is>
      </c>
      <c r="K1549" t="inlineStr">
        <is>
          <t>Sherbrooke (Québec)</t>
        </is>
      </c>
      <c r="P1549" t="n">
        <v>0</v>
      </c>
      <c r="Q1549" t="n">
        <v>6.2</v>
      </c>
      <c r="R1549" t="n">
        <v>0</v>
      </c>
      <c r="S1549" t="n">
        <v>50.65</v>
      </c>
      <c r="T1549" t="n">
        <v>0</v>
      </c>
      <c r="U1549" t="n">
        <v>56.85</v>
      </c>
      <c r="X1549" t="inlineStr">
        <is>
          <t>aafc-aac</t>
        </is>
      </c>
      <c r="Y1549" t="inlineStr">
        <is>
          <t>Agriculture and Agri-Food Canada | Agriculture et Agroalimentaire Canada</t>
        </is>
      </c>
      <c r="Z1549" t="n">
        <v>1</v>
      </c>
      <c r="AA1549" t="n">
        <v>56.85</v>
      </c>
      <c r="AB1549">
        <f>ROUND(U1549-AA1549,2)</f>
        <v/>
      </c>
      <c r="AC1549" t="b">
        <v>0</v>
      </c>
      <c r="AD1549">
        <f>IF(U1549="","MISSING_TOTAL",IF(ABS(AB1549)&lt;=0.01,"OK","CHECK"))</f>
        <v/>
      </c>
      <c r="AE1549">
        <f>IF(U1549="","MISSING",IF(AND(AA1549&gt;0,U1549/AA1549&gt;50),"POSSIBLE_SCALE_ERROR","OK"))</f>
        <v/>
      </c>
    </row>
    <row r="1550">
      <c r="A1550" t="inlineStr">
        <is>
          <t>T-2019-Q1-00101</t>
        </is>
      </c>
      <c r="B1550" t="inlineStr">
        <is>
          <t>MPSES</t>
        </is>
      </c>
      <c r="C1550" t="inlineStr">
        <is>
          <t>Driver</t>
        </is>
      </c>
      <c r="D1550" t="inlineStr">
        <is>
          <t>Chauffeur</t>
        </is>
      </c>
      <c r="E1550" t="inlineStr">
        <is>
          <t>Michel Gendreau</t>
        </is>
      </c>
      <c r="F1550" t="inlineStr">
        <is>
          <t>To pick up the Minister from Sherbrooke and drive her to Ottawa</t>
        </is>
      </c>
      <c r="G1550" t="inlineStr">
        <is>
          <t>Pour aller chercher la Ministre à Sherbrooke et la conduire à Ottawa</t>
        </is>
      </c>
      <c r="H1550" s="1" t="n">
        <v>43583</v>
      </c>
      <c r="I1550" s="1" t="n">
        <v>43584</v>
      </c>
      <c r="J1550" t="inlineStr">
        <is>
          <t>Sherbrooke, Quebec</t>
        </is>
      </c>
      <c r="K1550" t="inlineStr">
        <is>
          <t>Sherbrooke (Québec)</t>
        </is>
      </c>
      <c r="P1550" t="n">
        <v>0</v>
      </c>
      <c r="Q1550" t="n">
        <v>0</v>
      </c>
      <c r="R1550" t="n">
        <v>141.3</v>
      </c>
      <c r="S1550" t="n">
        <v>67.95</v>
      </c>
      <c r="T1550" t="n">
        <v>0</v>
      </c>
      <c r="U1550" t="n">
        <v>209.25</v>
      </c>
      <c r="X1550" t="inlineStr">
        <is>
          <t>aafc-aac</t>
        </is>
      </c>
      <c r="Y1550" t="inlineStr">
        <is>
          <t>Agriculture and Agri-Food Canada | Agriculture et Agroalimentaire Canada</t>
        </is>
      </c>
      <c r="Z1550" t="n">
        <v>2</v>
      </c>
      <c r="AA1550" t="n">
        <v>209.25</v>
      </c>
      <c r="AB1550">
        <f>ROUND(U1550-AA1550,2)</f>
        <v/>
      </c>
      <c r="AC1550" t="b">
        <v>0</v>
      </c>
      <c r="AD1550">
        <f>IF(U1550="","MISSING_TOTAL",IF(ABS(AB1550)&lt;=0.01,"OK","CHECK"))</f>
        <v/>
      </c>
      <c r="AE1550">
        <f>IF(U1550="","MISSING",IF(AND(AA1550&gt;0,U1550/AA1550&gt;50),"POSSIBLE_SCALE_ERROR","OK"))</f>
        <v/>
      </c>
    </row>
    <row r="1551">
      <c r="A1551" t="inlineStr">
        <is>
          <t>T-2019-Q1-00102</t>
        </is>
      </c>
      <c r="B1551" t="inlineStr">
        <is>
          <t>MPSES</t>
        </is>
      </c>
      <c r="C1551" t="inlineStr">
        <is>
          <t>Driver</t>
        </is>
      </c>
      <c r="D1551" t="inlineStr">
        <is>
          <t>Chauffeur</t>
        </is>
      </c>
      <c r="E1551" t="inlineStr">
        <is>
          <t>Michel Gendreau</t>
        </is>
      </c>
      <c r="F1551" t="inlineStr">
        <is>
          <t>To pick up the Minister from Sherbrooke and drive her to Ottawa</t>
        </is>
      </c>
      <c r="G1551" t="inlineStr">
        <is>
          <t>Pour aller chercher la Ministre à Sherbrooke et la conduire à Ottawa</t>
        </is>
      </c>
      <c r="H1551" s="1" t="n">
        <v>43590</v>
      </c>
      <c r="I1551" s="1" t="n">
        <v>43591</v>
      </c>
      <c r="J1551" t="inlineStr">
        <is>
          <t>Sherbrooke, Quebec</t>
        </is>
      </c>
      <c r="K1551" t="inlineStr">
        <is>
          <t>Sherbrooke (Québec)</t>
        </is>
      </c>
      <c r="P1551" t="n">
        <v>0</v>
      </c>
      <c r="Q1551" t="n">
        <v>6.2</v>
      </c>
      <c r="R1551" t="n">
        <v>141.3</v>
      </c>
      <c r="S1551" t="n">
        <v>88.45</v>
      </c>
      <c r="T1551" t="n">
        <v>0</v>
      </c>
      <c r="U1551" t="n">
        <v>235.95</v>
      </c>
      <c r="X1551" t="inlineStr">
        <is>
          <t>aafc-aac</t>
        </is>
      </c>
      <c r="Y1551" t="inlineStr">
        <is>
          <t>Agriculture and Agri-Food Canada | Agriculture et Agroalimentaire Canada</t>
        </is>
      </c>
      <c r="Z1551" t="n">
        <v>2</v>
      </c>
      <c r="AA1551" t="n">
        <v>235.95</v>
      </c>
      <c r="AB1551">
        <f>ROUND(U1551-AA1551,2)</f>
        <v/>
      </c>
      <c r="AC1551" t="b">
        <v>0</v>
      </c>
      <c r="AD1551">
        <f>IF(U1551="","MISSING_TOTAL",IF(ABS(AB1551)&lt;=0.01,"OK","CHECK"))</f>
        <v/>
      </c>
      <c r="AE1551">
        <f>IF(U1551="","MISSING",IF(AND(AA1551&gt;0,U1551/AA1551&gt;50),"POSSIBLE_SCALE_ERROR","OK"))</f>
        <v/>
      </c>
    </row>
    <row r="1552">
      <c r="A1552" t="inlineStr">
        <is>
          <t>T-2020-P3-0001</t>
        </is>
      </c>
      <c r="B1552" t="inlineStr">
        <is>
          <t>MPSES</t>
        </is>
      </c>
      <c r="C1552" t="inlineStr">
        <is>
          <t>Driver</t>
        </is>
      </c>
      <c r="D1552" t="inlineStr">
        <is>
          <t>Chauffeur</t>
        </is>
      </c>
      <c r="E1552" t="inlineStr">
        <is>
          <t>Michel Gendreau</t>
        </is>
      </c>
      <c r="F1552" t="inlineStr">
        <is>
          <t>Drive the Minister from her riding to Ottawa</t>
        </is>
      </c>
      <c r="G1552" t="inlineStr">
        <is>
          <t>Conduire la Ministre de sa circonscription à Ottawa</t>
        </is>
      </c>
      <c r="H1552" s="1" t="n">
        <v>43949</v>
      </c>
      <c r="I1552" s="1" t="n">
        <v>43949</v>
      </c>
      <c r="J1552" t="inlineStr">
        <is>
          <t>Sherbrooke (Quebec) Canada</t>
        </is>
      </c>
      <c r="K1552" t="inlineStr">
        <is>
          <t>Sherbrooke (Québec) Canada</t>
        </is>
      </c>
      <c r="P1552" t="n">
        <v>0</v>
      </c>
      <c r="Q1552" t="n">
        <v>0</v>
      </c>
      <c r="R1552" t="n">
        <v>0</v>
      </c>
      <c r="S1552" t="n">
        <v>51.25</v>
      </c>
      <c r="T1552" t="n">
        <v>0</v>
      </c>
      <c r="U1552" t="n">
        <v>51.25</v>
      </c>
      <c r="X1552" t="inlineStr">
        <is>
          <t>aafc-aac</t>
        </is>
      </c>
      <c r="Y1552" t="inlineStr">
        <is>
          <t>Agriculture and Agri-Food Canada | Agriculture et Agroalimentaire Canada</t>
        </is>
      </c>
      <c r="Z1552" t="n">
        <v>1</v>
      </c>
      <c r="AA1552" t="n">
        <v>51.25</v>
      </c>
      <c r="AB1552">
        <f>ROUND(U1552-AA1552,2)</f>
        <v/>
      </c>
      <c r="AC1552" t="b">
        <v>0</v>
      </c>
      <c r="AD1552">
        <f>IF(U1552="","MISSING_TOTAL",IF(ABS(AB1552)&lt;=0.01,"OK","CHECK"))</f>
        <v/>
      </c>
      <c r="AE1552">
        <f>IF(U1552="","MISSING",IF(AND(AA1552&gt;0,U1552/AA1552&gt;50),"POSSIBLE_SCALE_ERROR","OK"))</f>
        <v/>
      </c>
    </row>
    <row r="1553">
      <c r="A1553" t="inlineStr">
        <is>
          <t>T-2020-P3-0002</t>
        </is>
      </c>
      <c r="B1553" t="inlineStr">
        <is>
          <t>MPSES</t>
        </is>
      </c>
      <c r="C1553" t="inlineStr">
        <is>
          <t>Driver</t>
        </is>
      </c>
      <c r="D1553" t="inlineStr">
        <is>
          <t>Chauffeur</t>
        </is>
      </c>
      <c r="E1553" t="inlineStr">
        <is>
          <t>Michel Gendreau</t>
        </is>
      </c>
      <c r="F1553" t="inlineStr">
        <is>
          <t>Drive the Minister to her riding from Ottawa</t>
        </is>
      </c>
      <c r="G1553" t="inlineStr">
        <is>
          <t>Conduire la ministre d'Ottawa jusqu'à sa circonscription.</t>
        </is>
      </c>
      <c r="H1553" s="1" t="n">
        <v>43958</v>
      </c>
      <c r="I1553" s="1" t="n">
        <v>43958</v>
      </c>
      <c r="J1553" t="inlineStr">
        <is>
          <t>Sherbrooke (Quebec) Canada</t>
        </is>
      </c>
      <c r="K1553" t="inlineStr">
        <is>
          <t>Sherbrooke (Québec) Canada</t>
        </is>
      </c>
      <c r="P1553" t="n">
        <v>0</v>
      </c>
      <c r="Q1553" t="n">
        <v>0</v>
      </c>
      <c r="R1553" t="n">
        <v>0</v>
      </c>
      <c r="S1553" t="n">
        <v>20.9</v>
      </c>
      <c r="T1553" t="n">
        <v>0</v>
      </c>
      <c r="U1553" t="n">
        <v>20.9</v>
      </c>
      <c r="X1553" t="inlineStr">
        <is>
          <t>aafc-aac</t>
        </is>
      </c>
      <c r="Y1553" t="inlineStr">
        <is>
          <t>Agriculture and Agri-Food Canada | Agriculture et Agroalimentaire Canada</t>
        </is>
      </c>
      <c r="Z1553" t="n">
        <v>1</v>
      </c>
      <c r="AA1553" t="n">
        <v>20.9</v>
      </c>
      <c r="AB1553">
        <f>ROUND(U1553-AA1553,2)</f>
        <v/>
      </c>
      <c r="AC1553" t="b">
        <v>0</v>
      </c>
      <c r="AD1553">
        <f>IF(U1553="","MISSING_TOTAL",IF(ABS(AB1553)&lt;=0.01,"OK","CHECK"))</f>
        <v/>
      </c>
      <c r="AE1553">
        <f>IF(U1553="","MISSING",IF(AND(AA1553&gt;0,U1553/AA1553&gt;50),"POSSIBLE_SCALE_ERROR","OK"))</f>
        <v/>
      </c>
    </row>
    <row r="1554">
      <c r="A1554" t="inlineStr">
        <is>
          <t>T-2020-P3-0003</t>
        </is>
      </c>
      <c r="B1554" t="inlineStr">
        <is>
          <t>MPSES</t>
        </is>
      </c>
      <c r="C1554" t="inlineStr">
        <is>
          <t>Driver</t>
        </is>
      </c>
      <c r="D1554" t="inlineStr">
        <is>
          <t>Chauffeur</t>
        </is>
      </c>
      <c r="E1554" t="inlineStr">
        <is>
          <t>Michel Gendreau</t>
        </is>
      </c>
      <c r="F1554" t="inlineStr">
        <is>
          <t>Drive the Minister to her riding from Ottawa</t>
        </is>
      </c>
      <c r="G1554" t="inlineStr">
        <is>
          <t>Conduire la ministre d'Ottawa jusqu'à sa circonscription.</t>
        </is>
      </c>
      <c r="H1554" s="1" t="n">
        <v>43952</v>
      </c>
      <c r="I1554" s="1" t="n">
        <v>43952</v>
      </c>
      <c r="J1554" t="inlineStr">
        <is>
          <t>Sherbrooke (Quebec) Canada</t>
        </is>
      </c>
      <c r="K1554" t="inlineStr">
        <is>
          <t>Sherbrooke (Québec) Canada</t>
        </is>
      </c>
      <c r="P1554" t="n">
        <v>0</v>
      </c>
      <c r="Q1554" t="n">
        <v>0</v>
      </c>
      <c r="R1554" t="n">
        <v>0</v>
      </c>
      <c r="S1554" t="n">
        <v>51.25</v>
      </c>
      <c r="T1554" t="n">
        <v>0</v>
      </c>
      <c r="U1554" t="n">
        <v>51.25</v>
      </c>
      <c r="X1554" t="inlineStr">
        <is>
          <t>aafc-aac</t>
        </is>
      </c>
      <c r="Y1554" t="inlineStr">
        <is>
          <t>Agriculture and Agri-Food Canada | Agriculture et Agroalimentaire Canada</t>
        </is>
      </c>
      <c r="Z1554" t="n">
        <v>1</v>
      </c>
      <c r="AA1554" t="n">
        <v>51.25</v>
      </c>
      <c r="AB1554">
        <f>ROUND(U1554-AA1554,2)</f>
        <v/>
      </c>
      <c r="AC1554" t="b">
        <v>0</v>
      </c>
      <c r="AD1554">
        <f>IF(U1554="","MISSING_TOTAL",IF(ABS(AB1554)&lt;=0.01,"OK","CHECK"))</f>
        <v/>
      </c>
      <c r="AE1554">
        <f>IF(U1554="","MISSING",IF(AND(AA1554&gt;0,U1554/AA1554&gt;50),"POSSIBLE_SCALE_ERROR","OK"))</f>
        <v/>
      </c>
    </row>
    <row r="1555">
      <c r="A1555" t="inlineStr">
        <is>
          <t>T-2020-P3-0004</t>
        </is>
      </c>
      <c r="B1555" t="inlineStr">
        <is>
          <t>MPSES</t>
        </is>
      </c>
      <c r="C1555" t="inlineStr">
        <is>
          <t>Driver</t>
        </is>
      </c>
      <c r="D1555" t="inlineStr">
        <is>
          <t>Chauffeur</t>
        </is>
      </c>
      <c r="E1555" t="inlineStr">
        <is>
          <t>Michel Gendreau</t>
        </is>
      </c>
      <c r="F1555" t="inlineStr">
        <is>
          <t>Drive the Minister from her riding to Ottawa</t>
        </is>
      </c>
      <c r="G1555" t="inlineStr">
        <is>
          <t>Conduire la Ministre de sa circonscription à Ottawa</t>
        </is>
      </c>
      <c r="H1555" s="1" t="n">
        <v>43955</v>
      </c>
      <c r="I1555" s="1" t="n">
        <v>43955</v>
      </c>
      <c r="J1555" t="inlineStr">
        <is>
          <t>Sherbrooke (Quebec) Canada</t>
        </is>
      </c>
      <c r="K1555" t="inlineStr">
        <is>
          <t>Sherbrooke (Québec) Canada</t>
        </is>
      </c>
      <c r="P1555" t="n">
        <v>0</v>
      </c>
      <c r="Q1555" t="n">
        <v>0</v>
      </c>
      <c r="R1555" t="n">
        <v>0</v>
      </c>
      <c r="S1555" t="n">
        <v>51.25</v>
      </c>
      <c r="T1555" t="n">
        <v>0</v>
      </c>
      <c r="U1555" t="n">
        <v>51.25</v>
      </c>
      <c r="X1555" t="inlineStr">
        <is>
          <t>aafc-aac</t>
        </is>
      </c>
      <c r="Y1555" t="inlineStr">
        <is>
          <t>Agriculture and Agri-Food Canada | Agriculture et Agroalimentaire Canada</t>
        </is>
      </c>
      <c r="Z1555" t="n">
        <v>1</v>
      </c>
      <c r="AA1555" t="n">
        <v>51.25</v>
      </c>
      <c r="AB1555">
        <f>ROUND(U1555-AA1555,2)</f>
        <v/>
      </c>
      <c r="AC1555" t="b">
        <v>0</v>
      </c>
      <c r="AD1555">
        <f>IF(U1555="","MISSING_TOTAL",IF(ABS(AB1555)&lt;=0.01,"OK","CHECK"))</f>
        <v/>
      </c>
      <c r="AE1555">
        <f>IF(U1555="","MISSING",IF(AND(AA1555&gt;0,U1555/AA1555&gt;50),"POSSIBLE_SCALE_ERROR","OK"))</f>
        <v/>
      </c>
    </row>
    <row r="1556">
      <c r="A1556" t="inlineStr">
        <is>
          <t>T-2020-P4-0001</t>
        </is>
      </c>
      <c r="B1556" t="inlineStr">
        <is>
          <t>MPSES</t>
        </is>
      </c>
      <c r="C1556" t="inlineStr">
        <is>
          <t>Press Secretary</t>
        </is>
      </c>
      <c r="D1556" t="inlineStr">
        <is>
          <t>Attaché de Presse</t>
        </is>
      </c>
      <c r="E1556" t="inlineStr">
        <is>
          <t>Jean-Sébastien Comeau</t>
        </is>
      </c>
      <c r="F1556" t="inlineStr">
        <is>
          <t>Joined the Minister in Sherbrooke and accompanied her to meetings in Quebec City.</t>
        </is>
      </c>
      <c r="G1556" t="inlineStr">
        <is>
          <t>Rejoindre la ministre à Sherbrooke et l'accompagner aux rencontres à Québec.</t>
        </is>
      </c>
      <c r="H1556" s="1" t="n">
        <v>44021</v>
      </c>
      <c r="I1556" s="1" t="n">
        <v>44022</v>
      </c>
      <c r="J1556" t="inlineStr">
        <is>
          <t>Sherbrooke (Quebec) Canada;
Quebec (Quebec) Canada</t>
        </is>
      </c>
      <c r="K1556" t="inlineStr">
        <is>
          <t>Sherbrooke (Québec) Canada;
Québec (Québec) Canada</t>
        </is>
      </c>
      <c r="P1556" t="n">
        <v>0</v>
      </c>
      <c r="Q1556" t="n">
        <v>0</v>
      </c>
      <c r="R1556" t="n">
        <v>124.93</v>
      </c>
      <c r="S1556" t="n">
        <v>144.05</v>
      </c>
      <c r="U1556" t="n">
        <v>268.98</v>
      </c>
      <c r="X1556" t="inlineStr">
        <is>
          <t>aafc-aac</t>
        </is>
      </c>
      <c r="Y1556" t="inlineStr">
        <is>
          <t>Agriculture and Agri-Food Canada | Agriculture et Agroalimentaire Canada</t>
        </is>
      </c>
      <c r="Z1556" t="n">
        <v>2</v>
      </c>
      <c r="AA1556" t="n">
        <v>268.98</v>
      </c>
      <c r="AB1556">
        <f>ROUND(U1556-AA1556,2)</f>
        <v/>
      </c>
      <c r="AC1556" t="b">
        <v>0</v>
      </c>
      <c r="AD1556">
        <f>IF(U1556="","MISSING_TOTAL",IF(ABS(AB1556)&lt;=0.01,"OK","CHECK"))</f>
        <v/>
      </c>
      <c r="AE1556">
        <f>IF(U1556="","MISSING",IF(AND(AA1556&gt;0,U1556/AA1556&gt;50),"POSSIBLE_SCALE_ERROR","OK"))</f>
        <v/>
      </c>
    </row>
    <row r="1557">
      <c r="A1557" t="inlineStr">
        <is>
          <t>T-2020-P4-0002</t>
        </is>
      </c>
      <c r="B1557" t="inlineStr">
        <is>
          <t>MPSES</t>
        </is>
      </c>
      <c r="C1557" t="inlineStr">
        <is>
          <t>Driver</t>
        </is>
      </c>
      <c r="D1557" t="inlineStr">
        <is>
          <t>Chauffeur</t>
        </is>
      </c>
      <c r="E1557" t="inlineStr">
        <is>
          <t>Michel Gendreau</t>
        </is>
      </c>
      <c r="F1557" t="inlineStr">
        <is>
          <t>Drove the Minister from her riding to Ottawa.</t>
        </is>
      </c>
      <c r="G1557" t="inlineStr">
        <is>
          <t>Conduire la ministre de sa circonscription à Ottawa.</t>
        </is>
      </c>
      <c r="H1557" s="1" t="n">
        <v>43963</v>
      </c>
      <c r="I1557" s="1" t="n">
        <v>43963</v>
      </c>
      <c r="J1557" t="inlineStr">
        <is>
          <t>Sherbrooke (Quebec) Canada</t>
        </is>
      </c>
      <c r="K1557" t="inlineStr">
        <is>
          <t>Sherbrooke (Québec) Canada</t>
        </is>
      </c>
      <c r="P1557" t="n">
        <v>0</v>
      </c>
      <c r="Q1557" t="n">
        <v>0</v>
      </c>
      <c r="R1557" t="n">
        <v>0</v>
      </c>
      <c r="S1557" t="n">
        <v>51.25</v>
      </c>
      <c r="U1557" t="n">
        <v>51.25</v>
      </c>
      <c r="X1557" t="inlineStr">
        <is>
          <t>aafc-aac</t>
        </is>
      </c>
      <c r="Y1557" t="inlineStr">
        <is>
          <t>Agriculture and Agri-Food Canada | Agriculture et Agroalimentaire Canada</t>
        </is>
      </c>
      <c r="Z1557" t="n">
        <v>1</v>
      </c>
      <c r="AA1557" t="n">
        <v>51.25</v>
      </c>
      <c r="AB1557">
        <f>ROUND(U1557-AA1557,2)</f>
        <v/>
      </c>
      <c r="AC1557" t="b">
        <v>0</v>
      </c>
      <c r="AD1557">
        <f>IF(U1557="","MISSING_TOTAL",IF(ABS(AB1557)&lt;=0.01,"OK","CHECK"))</f>
        <v/>
      </c>
      <c r="AE1557">
        <f>IF(U1557="","MISSING",IF(AND(AA1557&gt;0,U1557/AA1557&gt;50),"POSSIBLE_SCALE_ERROR","OK"))</f>
        <v/>
      </c>
    </row>
    <row r="1558">
      <c r="A1558" t="inlineStr">
        <is>
          <t>T-2020-P4-0003</t>
        </is>
      </c>
      <c r="B1558" t="inlineStr">
        <is>
          <t>MPSES</t>
        </is>
      </c>
      <c r="C1558" t="inlineStr">
        <is>
          <t>Driver</t>
        </is>
      </c>
      <c r="D1558" t="inlineStr">
        <is>
          <t>Chauffeur</t>
        </is>
      </c>
      <c r="E1558" t="inlineStr">
        <is>
          <t>Michel Gendreau</t>
        </is>
      </c>
      <c r="F1558" t="inlineStr">
        <is>
          <t>Drove the Minister to her riding from Ottawa.</t>
        </is>
      </c>
      <c r="G1558" t="inlineStr">
        <is>
          <t>Conduire la ministre d'Ottawa à sa circonscription.</t>
        </is>
      </c>
      <c r="H1558" s="1" t="n">
        <v>43966</v>
      </c>
      <c r="I1558" s="1" t="n">
        <v>43966</v>
      </c>
      <c r="J1558" t="inlineStr">
        <is>
          <t>Sherbrooke (Quebec) Canada</t>
        </is>
      </c>
      <c r="K1558" t="inlineStr">
        <is>
          <t>Sherbrooke (Québec) Canada</t>
        </is>
      </c>
      <c r="P1558" t="n">
        <v>0</v>
      </c>
      <c r="Q1558" t="n">
        <v>0</v>
      </c>
      <c r="R1558" t="n">
        <v>0</v>
      </c>
      <c r="S1558" t="n">
        <v>51.25</v>
      </c>
      <c r="U1558" t="n">
        <v>51.25</v>
      </c>
      <c r="X1558" t="inlineStr">
        <is>
          <t>aafc-aac</t>
        </is>
      </c>
      <c r="Y1558" t="inlineStr">
        <is>
          <t>Agriculture and Agri-Food Canada | Agriculture et Agroalimentaire Canada</t>
        </is>
      </c>
      <c r="Z1558" t="n">
        <v>1</v>
      </c>
      <c r="AA1558" t="n">
        <v>51.25</v>
      </c>
      <c r="AB1558">
        <f>ROUND(U1558-AA1558,2)</f>
        <v/>
      </c>
      <c r="AC1558" t="b">
        <v>0</v>
      </c>
      <c r="AD1558">
        <f>IF(U1558="","MISSING_TOTAL",IF(ABS(AB1558)&lt;=0.01,"OK","CHECK"))</f>
        <v/>
      </c>
      <c r="AE1558">
        <f>IF(U1558="","MISSING",IF(AND(AA1558&gt;0,U1558/AA1558&gt;50),"POSSIBLE_SCALE_ERROR","OK"))</f>
        <v/>
      </c>
    </row>
    <row r="1559">
      <c r="A1559" t="inlineStr">
        <is>
          <t>T-2020-P4-0004</t>
        </is>
      </c>
      <c r="B1559" t="inlineStr">
        <is>
          <t>MPSES</t>
        </is>
      </c>
      <c r="C1559" t="inlineStr">
        <is>
          <t>Driver</t>
        </is>
      </c>
      <c r="D1559" t="inlineStr">
        <is>
          <t>Chauffeur</t>
        </is>
      </c>
      <c r="E1559" t="inlineStr">
        <is>
          <t>Michel Gendreau</t>
        </is>
      </c>
      <c r="F1559" t="inlineStr">
        <is>
          <t>Drove the Minister from her riding to Ottawa.</t>
        </is>
      </c>
      <c r="G1559" t="inlineStr">
        <is>
          <t>Conduire la ministre de sa circonscription à Ottawa.</t>
        </is>
      </c>
      <c r="H1559" s="1" t="n">
        <v>43970</v>
      </c>
      <c r="I1559" s="1" t="n">
        <v>43970</v>
      </c>
      <c r="J1559" t="inlineStr">
        <is>
          <t>Sherbrooke (Quebec) Canada</t>
        </is>
      </c>
      <c r="K1559" t="inlineStr">
        <is>
          <t>Sherbrooke (Québec) Canada</t>
        </is>
      </c>
      <c r="P1559" t="n">
        <v>0</v>
      </c>
      <c r="Q1559" t="n">
        <v>0</v>
      </c>
      <c r="R1559" t="n">
        <v>0</v>
      </c>
      <c r="S1559" t="n">
        <v>51.25</v>
      </c>
      <c r="U1559" t="n">
        <v>51.25</v>
      </c>
      <c r="X1559" t="inlineStr">
        <is>
          <t>aafc-aac</t>
        </is>
      </c>
      <c r="Y1559" t="inlineStr">
        <is>
          <t>Agriculture and Agri-Food Canada | Agriculture et Agroalimentaire Canada</t>
        </is>
      </c>
      <c r="Z1559" t="n">
        <v>1</v>
      </c>
      <c r="AA1559" t="n">
        <v>51.25</v>
      </c>
      <c r="AB1559">
        <f>ROUND(U1559-AA1559,2)</f>
        <v/>
      </c>
      <c r="AC1559" t="b">
        <v>0</v>
      </c>
      <c r="AD1559">
        <f>IF(U1559="","MISSING_TOTAL",IF(ABS(AB1559)&lt;=0.01,"OK","CHECK"))</f>
        <v/>
      </c>
      <c r="AE1559">
        <f>IF(U1559="","MISSING",IF(AND(AA1559&gt;0,U1559/AA1559&gt;50),"POSSIBLE_SCALE_ERROR","OK"))</f>
        <v/>
      </c>
    </row>
    <row r="1560">
      <c r="A1560" t="inlineStr">
        <is>
          <t>T-2020-P4-0005</t>
        </is>
      </c>
      <c r="B1560" t="inlineStr">
        <is>
          <t>MPSES</t>
        </is>
      </c>
      <c r="C1560" t="inlineStr">
        <is>
          <t>Driver</t>
        </is>
      </c>
      <c r="D1560" t="inlineStr">
        <is>
          <t>Chauffeur</t>
        </is>
      </c>
      <c r="E1560" t="inlineStr">
        <is>
          <t>Michel Gendreau</t>
        </is>
      </c>
      <c r="F1560" t="inlineStr">
        <is>
          <t>Drove the Minister to her riding from Ottawa.</t>
        </is>
      </c>
      <c r="G1560" t="inlineStr">
        <is>
          <t>Conduire la ministre d'Ottawa à sa circonscription.</t>
        </is>
      </c>
      <c r="H1560" s="1" t="n">
        <v>43973</v>
      </c>
      <c r="I1560" s="1" t="n">
        <v>43973</v>
      </c>
      <c r="J1560" t="inlineStr">
        <is>
          <t>Sherbrooke (Quebec) Canada</t>
        </is>
      </c>
      <c r="K1560" t="inlineStr">
        <is>
          <t>Sherbrooke (Québec) Canada</t>
        </is>
      </c>
      <c r="P1560" t="n">
        <v>0</v>
      </c>
      <c r="Q1560" t="n">
        <v>0</v>
      </c>
      <c r="R1560" t="n">
        <v>0</v>
      </c>
      <c r="S1560" t="n">
        <v>51.25</v>
      </c>
      <c r="U1560" t="n">
        <v>51.25</v>
      </c>
      <c r="X1560" t="inlineStr">
        <is>
          <t>aafc-aac</t>
        </is>
      </c>
      <c r="Y1560" t="inlineStr">
        <is>
          <t>Agriculture and Agri-Food Canada | Agriculture et Agroalimentaire Canada</t>
        </is>
      </c>
      <c r="Z1560" t="n">
        <v>1</v>
      </c>
      <c r="AA1560" t="n">
        <v>51.25</v>
      </c>
      <c r="AB1560">
        <f>ROUND(U1560-AA1560,2)</f>
        <v/>
      </c>
      <c r="AC1560" t="b">
        <v>0</v>
      </c>
      <c r="AD1560">
        <f>IF(U1560="","MISSING_TOTAL",IF(ABS(AB1560)&lt;=0.01,"OK","CHECK"))</f>
        <v/>
      </c>
      <c r="AE1560">
        <f>IF(U1560="","MISSING",IF(AND(AA1560&gt;0,U1560/AA1560&gt;50),"POSSIBLE_SCALE_ERROR","OK"))</f>
        <v/>
      </c>
    </row>
    <row r="1561">
      <c r="A1561" t="inlineStr">
        <is>
          <t>T-2020-P4-0006</t>
        </is>
      </c>
      <c r="B1561" t="inlineStr">
        <is>
          <t>SLE</t>
        </is>
      </c>
      <c r="C1561" t="inlineStr">
        <is>
          <t>Special Advisor</t>
        </is>
      </c>
      <c r="D1561" t="inlineStr">
        <is>
          <t>Conseiller Spécial</t>
        </is>
      </c>
      <c r="E1561" t="inlineStr">
        <is>
          <t>Brian Gray</t>
        </is>
      </c>
      <c r="F1561" t="inlineStr">
        <is>
          <t>Attended the face to face gathering for Indigenous Network Circle.</t>
        </is>
      </c>
      <c r="G1561" t="inlineStr">
        <is>
          <t>Participer au rassemblement face à face pour le cercle de réseautage des employés autochtones.</t>
        </is>
      </c>
      <c r="H1561" s="1" t="n">
        <v>43899</v>
      </c>
      <c r="I1561" s="1" t="n">
        <v>43901</v>
      </c>
      <c r="J1561" t="inlineStr">
        <is>
          <t>Wendake (Quebec) Canada</t>
        </is>
      </c>
      <c r="K1561" t="inlineStr">
        <is>
          <t>Wendake (Québec) Canada</t>
        </is>
      </c>
      <c r="P1561" t="n">
        <v>0</v>
      </c>
      <c r="Q1561" t="n">
        <v>337.87</v>
      </c>
      <c r="R1561" t="n">
        <v>0</v>
      </c>
      <c r="S1561" t="n">
        <v>0</v>
      </c>
      <c r="U1561" t="n">
        <v>337.87</v>
      </c>
      <c r="X1561" t="inlineStr">
        <is>
          <t>aafc-aac</t>
        </is>
      </c>
      <c r="Y1561" t="inlineStr">
        <is>
          <t>Agriculture and Agri-Food Canada | Agriculture et Agroalimentaire Canada</t>
        </is>
      </c>
      <c r="Z1561" t="n">
        <v>3</v>
      </c>
      <c r="AA1561" t="n">
        <v>337.87</v>
      </c>
      <c r="AB1561">
        <f>ROUND(U1561-AA1561,2)</f>
        <v/>
      </c>
      <c r="AC1561" t="b">
        <v>0</v>
      </c>
      <c r="AD1561">
        <f>IF(U1561="","MISSING_TOTAL",IF(ABS(AB1561)&lt;=0.01,"OK","CHECK"))</f>
        <v/>
      </c>
      <c r="AE1561">
        <f>IF(U1561="","MISSING",IF(AND(AA1561&gt;0,U1561/AA1561&gt;50),"POSSIBLE_SCALE_ERROR","OK"))</f>
        <v/>
      </c>
    </row>
    <row r="1562">
      <c r="A1562" t="inlineStr">
        <is>
          <t>T-2020-P5-0001</t>
        </is>
      </c>
      <c r="B1562" t="inlineStr">
        <is>
          <t>MPSES</t>
        </is>
      </c>
      <c r="C1562" t="inlineStr">
        <is>
          <t>Press Secretary</t>
        </is>
      </c>
      <c r="D1562" t="inlineStr">
        <is>
          <t>Attaché de presse</t>
        </is>
      </c>
      <c r="E1562" t="inlineStr">
        <is>
          <t>Jean-Sébastien Comeau</t>
        </is>
      </c>
      <c r="F1562" t="inlineStr">
        <is>
          <t>Attended Quebec Outreach meetings with the Minister.</t>
        </is>
      </c>
      <c r="G1562" t="inlineStr">
        <is>
          <t>Participer à une campagne de sensibilisation au Québec avec la Ministre.</t>
        </is>
      </c>
      <c r="H1562" s="1" t="n">
        <v>44056</v>
      </c>
      <c r="I1562" s="1" t="n">
        <v>44056</v>
      </c>
      <c r="J1562" t="inlineStr">
        <is>
          <t>Saint-Hyacinthe (Quebec) Canada; Saint-Patrice-de-Sherrington (Quebec) Canada;  Napierville (Quebec) Canada</t>
        </is>
      </c>
      <c r="K1562" t="inlineStr">
        <is>
          <t>Saint-Hyacinthe (Québec) Canada; Saint-Patrice-de-Sherrington (Québec) Canada;  Napierville (Québec) Canada</t>
        </is>
      </c>
      <c r="P1562" t="n">
        <v>0</v>
      </c>
      <c r="Q1562" t="n">
        <v>0</v>
      </c>
      <c r="R1562" t="n">
        <v>0</v>
      </c>
      <c r="S1562" t="n">
        <v>92.8</v>
      </c>
      <c r="T1562" t="n">
        <v>0</v>
      </c>
      <c r="U1562" t="n">
        <v>92.8</v>
      </c>
      <c r="X1562" t="inlineStr">
        <is>
          <t>aafc-aac</t>
        </is>
      </c>
      <c r="Y1562" t="inlineStr">
        <is>
          <t>Agriculture and Agri-Food Canada | Agriculture et Agroalimentaire Canada</t>
        </is>
      </c>
      <c r="Z1562" t="n">
        <v>1</v>
      </c>
      <c r="AA1562" t="n">
        <v>92.8</v>
      </c>
      <c r="AB1562">
        <f>ROUND(U1562-AA1562,2)</f>
        <v/>
      </c>
      <c r="AC1562" t="b">
        <v>0</v>
      </c>
      <c r="AD1562">
        <f>IF(U1562="","MISSING_TOTAL",IF(ABS(AB1562)&lt;=0.01,"OK","CHECK"))</f>
        <v/>
      </c>
      <c r="AE1562">
        <f>IF(U1562="","MISSING",IF(AND(AA1562&gt;0,U1562/AA1562&gt;50),"POSSIBLE_SCALE_ERROR","OK"))</f>
        <v/>
      </c>
    </row>
    <row r="1563">
      <c r="A1563" t="inlineStr">
        <is>
          <t>T-2020-P6-0001</t>
        </is>
      </c>
      <c r="B1563" t="inlineStr">
        <is>
          <t>MPSES</t>
        </is>
      </c>
      <c r="C1563" t="inlineStr">
        <is>
          <t>Operations Manager</t>
        </is>
      </c>
      <c r="D1563" t="inlineStr">
        <is>
          <t>Gestionnaire des opérations</t>
        </is>
      </c>
      <c r="E1563" t="inlineStr">
        <is>
          <t>Daniel Turner</t>
        </is>
      </c>
      <c r="F1563" t="inlineStr">
        <is>
          <t>Attended Quebec Outreach meetings with the Minister.</t>
        </is>
      </c>
      <c r="G1563" t="inlineStr">
        <is>
          <t>Participer à des réunions de sensibilisation au Québec avec la Ministre.</t>
        </is>
      </c>
      <c r="H1563" s="1" t="n">
        <v>44055</v>
      </c>
      <c r="I1563" s="1" t="n">
        <v>44057</v>
      </c>
      <c r="J1563" t="inlineStr">
        <is>
          <t>Saint-Hyacinthe (Quebec) Canada; Saint-Patrice-de-Sherrington (Quebec) Canada;  Napierville (Quebec) Canada</t>
        </is>
      </c>
      <c r="K1563" t="inlineStr">
        <is>
          <t>Saint-Hyacinthe (Québec) Canada; Saint-Patrice-de-Sherrington (Québec) Canada;  Napierville (Québec) Canada</t>
        </is>
      </c>
      <c r="P1563" t="n">
        <v>0</v>
      </c>
      <c r="Q1563" t="n">
        <v>223.79</v>
      </c>
      <c r="R1563" t="n">
        <v>0</v>
      </c>
      <c r="S1563" t="n">
        <v>92.8</v>
      </c>
      <c r="T1563" t="n">
        <v>0</v>
      </c>
      <c r="U1563" t="n">
        <v>316.59</v>
      </c>
      <c r="X1563" t="inlineStr">
        <is>
          <t>aafc-aac</t>
        </is>
      </c>
      <c r="Y1563" t="inlineStr">
        <is>
          <t>Agriculture and Agri-Food Canada | Agriculture et Agroalimentaire Canada</t>
        </is>
      </c>
      <c r="Z1563" t="n">
        <v>3</v>
      </c>
      <c r="AA1563" t="n">
        <v>316.59</v>
      </c>
      <c r="AB1563">
        <f>ROUND(U1563-AA1563,2)</f>
        <v/>
      </c>
      <c r="AC1563" t="b">
        <v>0</v>
      </c>
      <c r="AD1563">
        <f>IF(U1563="","MISSING_TOTAL",IF(ABS(AB1563)&lt;=0.01,"OK","CHECK"))</f>
        <v/>
      </c>
      <c r="AE1563">
        <f>IF(U1563="","MISSING",IF(AND(AA1563&gt;0,U1563/AA1563&gt;50),"POSSIBLE_SCALE_ERROR","OK"))</f>
        <v/>
      </c>
    </row>
    <row r="1564">
      <c r="A1564" t="inlineStr">
        <is>
          <t>T-2020-P6-0002</t>
        </is>
      </c>
      <c r="B1564" t="inlineStr">
        <is>
          <t>MPSES</t>
        </is>
      </c>
      <c r="C1564" t="inlineStr">
        <is>
          <t>Driver</t>
        </is>
      </c>
      <c r="D1564" t="inlineStr">
        <is>
          <t>Chauffeur</t>
        </is>
      </c>
      <c r="E1564" t="inlineStr">
        <is>
          <t>Michel Gendreau</t>
        </is>
      </c>
      <c r="F1564" t="inlineStr">
        <is>
          <t>Drove the Minister from her riding to Ottawa.</t>
        </is>
      </c>
      <c r="G1564" t="inlineStr">
        <is>
          <t>Conduire la ministre de sa circonscription à Ottawa.</t>
        </is>
      </c>
      <c r="H1564" s="1" t="n">
        <v>43975</v>
      </c>
      <c r="I1564" s="1" t="n">
        <v>43976</v>
      </c>
      <c r="J1564" t="inlineStr">
        <is>
          <t>Sherbrooke (Quebec) Canada</t>
        </is>
      </c>
      <c r="K1564" t="inlineStr">
        <is>
          <t>Sherbrooke (Québec) Canada</t>
        </is>
      </c>
      <c r="P1564" t="n">
        <v>0</v>
      </c>
      <c r="Q1564" t="n">
        <v>3.2</v>
      </c>
      <c r="R1564" t="n">
        <v>123.75</v>
      </c>
      <c r="S1564" t="n">
        <v>71.90000000000001</v>
      </c>
      <c r="T1564" t="n">
        <v>0</v>
      </c>
      <c r="U1564" t="n">
        <v>198.85</v>
      </c>
      <c r="X1564" t="inlineStr">
        <is>
          <t>aafc-aac</t>
        </is>
      </c>
      <c r="Y1564" t="inlineStr">
        <is>
          <t>Agriculture and Agri-Food Canada | Agriculture et Agroalimentaire Canada</t>
        </is>
      </c>
      <c r="Z1564" t="n">
        <v>2</v>
      </c>
      <c r="AA1564" t="n">
        <v>198.85</v>
      </c>
      <c r="AB1564">
        <f>ROUND(U1564-AA1564,2)</f>
        <v/>
      </c>
      <c r="AC1564" t="b">
        <v>0</v>
      </c>
      <c r="AD1564">
        <f>IF(U1564="","MISSING_TOTAL",IF(ABS(AB1564)&lt;=0.01,"OK","CHECK"))</f>
        <v/>
      </c>
      <c r="AE1564">
        <f>IF(U1564="","MISSING",IF(AND(AA1564&gt;0,U1564/AA1564&gt;50),"POSSIBLE_SCALE_ERROR","OK"))</f>
        <v/>
      </c>
    </row>
    <row r="1565">
      <c r="A1565" t="inlineStr">
        <is>
          <t>T-2020-P6-0003</t>
        </is>
      </c>
      <c r="B1565" t="inlineStr">
        <is>
          <t>MPSES</t>
        </is>
      </c>
      <c r="C1565" t="inlineStr">
        <is>
          <t>Driver</t>
        </is>
      </c>
      <c r="D1565" t="inlineStr">
        <is>
          <t>Chauffeur</t>
        </is>
      </c>
      <c r="E1565" t="inlineStr">
        <is>
          <t>Michel Gendreau</t>
        </is>
      </c>
      <c r="F1565" t="inlineStr">
        <is>
          <t>Drove the Minister to her riding from Ottawa.</t>
        </is>
      </c>
      <c r="G1565" t="inlineStr">
        <is>
          <t>Conduire la ministre d'Ottawa à sa circonscription.</t>
        </is>
      </c>
      <c r="H1565" s="1" t="n">
        <v>43979</v>
      </c>
      <c r="I1565" s="1" t="n">
        <v>43979</v>
      </c>
      <c r="J1565" t="inlineStr">
        <is>
          <t>Sherbrooke (Quebec) Canada</t>
        </is>
      </c>
      <c r="K1565" t="inlineStr">
        <is>
          <t>Sherbrooke (Québec) Canada</t>
        </is>
      </c>
      <c r="P1565" t="n">
        <v>0</v>
      </c>
      <c r="Q1565" t="n">
        <v>6.4</v>
      </c>
      <c r="R1565" t="n">
        <v>0</v>
      </c>
      <c r="S1565" t="n">
        <v>51.25</v>
      </c>
      <c r="T1565" t="n">
        <v>0</v>
      </c>
      <c r="U1565" t="n">
        <v>57.65</v>
      </c>
      <c r="X1565" t="inlineStr">
        <is>
          <t>aafc-aac</t>
        </is>
      </c>
      <c r="Y1565" t="inlineStr">
        <is>
          <t>Agriculture and Agri-Food Canada | Agriculture et Agroalimentaire Canada</t>
        </is>
      </c>
      <c r="Z1565" t="n">
        <v>1</v>
      </c>
      <c r="AA1565" t="n">
        <v>57.65</v>
      </c>
      <c r="AB1565">
        <f>ROUND(U1565-AA1565,2)</f>
        <v/>
      </c>
      <c r="AC1565" t="b">
        <v>0</v>
      </c>
      <c r="AD1565">
        <f>IF(U1565="","MISSING_TOTAL",IF(ABS(AB1565)&lt;=0.01,"OK","CHECK"))</f>
        <v/>
      </c>
      <c r="AE1565">
        <f>IF(U1565="","MISSING",IF(AND(AA1565&gt;0,U1565/AA1565&gt;50),"POSSIBLE_SCALE_ERROR","OK"))</f>
        <v/>
      </c>
    </row>
    <row r="1566">
      <c r="A1566" t="inlineStr">
        <is>
          <t>T-2020-P6-0004</t>
        </is>
      </c>
      <c r="B1566" t="inlineStr">
        <is>
          <t>MPSES</t>
        </is>
      </c>
      <c r="C1566" t="inlineStr">
        <is>
          <t>Driver</t>
        </is>
      </c>
      <c r="D1566" t="inlineStr">
        <is>
          <t>Chauffeur</t>
        </is>
      </c>
      <c r="E1566" t="inlineStr">
        <is>
          <t>Michel Gendreau</t>
        </is>
      </c>
      <c r="F1566" t="inlineStr">
        <is>
          <t>Drove the Minister from her riding to Ottawa.</t>
        </is>
      </c>
      <c r="G1566" t="inlineStr">
        <is>
          <t>Conduire la ministre de sa circonscription à Ottawa.</t>
        </is>
      </c>
      <c r="H1566" s="1" t="n">
        <v>43984</v>
      </c>
      <c r="I1566" s="1" t="n">
        <v>43984</v>
      </c>
      <c r="J1566" t="inlineStr">
        <is>
          <t>Sherbrooke (Quebec) Canada</t>
        </is>
      </c>
      <c r="K1566" t="inlineStr">
        <is>
          <t>Sherbrooke (Québec) Canada</t>
        </is>
      </c>
      <c r="P1566" t="n">
        <v>0</v>
      </c>
      <c r="Q1566" t="n">
        <v>6.4</v>
      </c>
      <c r="R1566" t="n">
        <v>0</v>
      </c>
      <c r="S1566" t="n">
        <v>51.25</v>
      </c>
      <c r="T1566" t="n">
        <v>0</v>
      </c>
      <c r="U1566" t="n">
        <v>57.65</v>
      </c>
      <c r="X1566" t="inlineStr">
        <is>
          <t>aafc-aac</t>
        </is>
      </c>
      <c r="Y1566" t="inlineStr">
        <is>
          <t>Agriculture and Agri-Food Canada | Agriculture et Agroalimentaire Canada</t>
        </is>
      </c>
      <c r="Z1566" t="n">
        <v>1</v>
      </c>
      <c r="AA1566" t="n">
        <v>57.65</v>
      </c>
      <c r="AB1566">
        <f>ROUND(U1566-AA1566,2)</f>
        <v/>
      </c>
      <c r="AC1566" t="b">
        <v>0</v>
      </c>
      <c r="AD1566">
        <f>IF(U1566="","MISSING_TOTAL",IF(ABS(AB1566)&lt;=0.01,"OK","CHECK"))</f>
        <v/>
      </c>
      <c r="AE1566">
        <f>IF(U1566="","MISSING",IF(AND(AA1566&gt;0,U1566/AA1566&gt;50),"POSSIBLE_SCALE_ERROR","OK"))</f>
        <v/>
      </c>
    </row>
    <row r="1567">
      <c r="A1567" t="inlineStr">
        <is>
          <t>T-2020-P6-0005</t>
        </is>
      </c>
      <c r="B1567" t="inlineStr">
        <is>
          <t>MPSES</t>
        </is>
      </c>
      <c r="C1567" t="inlineStr">
        <is>
          <t>Driver</t>
        </is>
      </c>
      <c r="D1567" t="inlineStr">
        <is>
          <t>Chauffeur</t>
        </is>
      </c>
      <c r="E1567" t="inlineStr">
        <is>
          <t>Michel Gendreau</t>
        </is>
      </c>
      <c r="F1567" t="inlineStr">
        <is>
          <t>Drove the Minister to her riding from Ottawa.</t>
        </is>
      </c>
      <c r="G1567" t="inlineStr">
        <is>
          <t>Conduire la ministre d'Ottawa à sa circonscription.</t>
        </is>
      </c>
      <c r="H1567" s="1" t="n">
        <v>43986</v>
      </c>
      <c r="I1567" s="1" t="n">
        <v>43986</v>
      </c>
      <c r="J1567" t="inlineStr">
        <is>
          <t>Sherbrooke (Quebec) Canada</t>
        </is>
      </c>
      <c r="K1567" t="inlineStr">
        <is>
          <t>Sherbrooke (Québec) Canada</t>
        </is>
      </c>
      <c r="P1567" t="n">
        <v>0</v>
      </c>
      <c r="Q1567" t="n">
        <v>6.4</v>
      </c>
      <c r="R1567" t="n">
        <v>0</v>
      </c>
      <c r="S1567" t="n">
        <v>51.25</v>
      </c>
      <c r="T1567" t="n">
        <v>0</v>
      </c>
      <c r="U1567" t="n">
        <v>57.65</v>
      </c>
      <c r="X1567" t="inlineStr">
        <is>
          <t>aafc-aac</t>
        </is>
      </c>
      <c r="Y1567" t="inlineStr">
        <is>
          <t>Agriculture and Agri-Food Canada | Agriculture et Agroalimentaire Canada</t>
        </is>
      </c>
      <c r="Z1567" t="n">
        <v>1</v>
      </c>
      <c r="AA1567" t="n">
        <v>57.65</v>
      </c>
      <c r="AB1567">
        <f>ROUND(U1567-AA1567,2)</f>
        <v/>
      </c>
      <c r="AC1567" t="b">
        <v>0</v>
      </c>
      <c r="AD1567">
        <f>IF(U1567="","MISSING_TOTAL",IF(ABS(AB1567)&lt;=0.01,"OK","CHECK"))</f>
        <v/>
      </c>
      <c r="AE1567">
        <f>IF(U1567="","MISSING",IF(AND(AA1567&gt;0,U1567/AA1567&gt;50),"POSSIBLE_SCALE_ERROR","OK"))</f>
        <v/>
      </c>
    </row>
    <row r="1568">
      <c r="A1568" t="inlineStr">
        <is>
          <t>T-2020-P6-0006</t>
        </is>
      </c>
      <c r="B1568" t="inlineStr">
        <is>
          <t>MPSES</t>
        </is>
      </c>
      <c r="C1568" t="inlineStr">
        <is>
          <t>Driver</t>
        </is>
      </c>
      <c r="D1568" t="inlineStr">
        <is>
          <t>Chauffeur</t>
        </is>
      </c>
      <c r="E1568" t="inlineStr">
        <is>
          <t>Michel Gendreau</t>
        </is>
      </c>
      <c r="F1568" t="inlineStr">
        <is>
          <t>Drove the Minister from her riding to Ottawa.</t>
        </is>
      </c>
      <c r="G1568" t="inlineStr">
        <is>
          <t>Conduire la ministre de sa circonscription à Ottawa.</t>
        </is>
      </c>
      <c r="H1568" s="1" t="n">
        <v>43991</v>
      </c>
      <c r="I1568" s="1" t="n">
        <v>43991</v>
      </c>
      <c r="J1568" t="inlineStr">
        <is>
          <t>Sherbrooke (Quebec) Canada</t>
        </is>
      </c>
      <c r="K1568" t="inlineStr">
        <is>
          <t>Sherbrooke (Québec) Canada</t>
        </is>
      </c>
      <c r="P1568" t="n">
        <v>0</v>
      </c>
      <c r="Q1568" t="n">
        <v>6.4</v>
      </c>
      <c r="R1568" t="n">
        <v>0</v>
      </c>
      <c r="S1568" t="n">
        <v>51.25</v>
      </c>
      <c r="T1568" t="n">
        <v>0</v>
      </c>
      <c r="U1568" t="n">
        <v>57.65</v>
      </c>
      <c r="X1568" t="inlineStr">
        <is>
          <t>aafc-aac</t>
        </is>
      </c>
      <c r="Y1568" t="inlineStr">
        <is>
          <t>Agriculture and Agri-Food Canada | Agriculture et Agroalimentaire Canada</t>
        </is>
      </c>
      <c r="Z1568" t="n">
        <v>1</v>
      </c>
      <c r="AA1568" t="n">
        <v>57.65</v>
      </c>
      <c r="AB1568">
        <f>ROUND(U1568-AA1568,2)</f>
        <v/>
      </c>
      <c r="AC1568" t="b">
        <v>0</v>
      </c>
      <c r="AD1568">
        <f>IF(U1568="","MISSING_TOTAL",IF(ABS(AB1568)&lt;=0.01,"OK","CHECK"))</f>
        <v/>
      </c>
      <c r="AE1568">
        <f>IF(U1568="","MISSING",IF(AND(AA1568&gt;0,U1568/AA1568&gt;50),"POSSIBLE_SCALE_ERROR","OK"))</f>
        <v/>
      </c>
    </row>
    <row r="1569">
      <c r="A1569" t="inlineStr">
        <is>
          <t>T-2020-P6-0007</t>
        </is>
      </c>
      <c r="B1569" t="inlineStr">
        <is>
          <t>MPSES</t>
        </is>
      </c>
      <c r="C1569" t="inlineStr">
        <is>
          <t>Driver</t>
        </is>
      </c>
      <c r="D1569" t="inlineStr">
        <is>
          <t>Chauffeur</t>
        </is>
      </c>
      <c r="E1569" t="inlineStr">
        <is>
          <t>Michel Gendreau</t>
        </is>
      </c>
      <c r="F1569" t="inlineStr">
        <is>
          <t>Drove the Minister to her riding from Ottawa.</t>
        </is>
      </c>
      <c r="G1569" t="inlineStr">
        <is>
          <t>Conduire la ministre d'Ottawa à sa circonscription.</t>
        </is>
      </c>
      <c r="H1569" s="1" t="n">
        <v>44000</v>
      </c>
      <c r="I1569" s="1" t="n">
        <v>44000</v>
      </c>
      <c r="J1569" t="inlineStr">
        <is>
          <t>Sherbrooke (Quebec) Canada</t>
        </is>
      </c>
      <c r="K1569" t="inlineStr">
        <is>
          <t>Sherbrooke (Québec) Canada</t>
        </is>
      </c>
      <c r="P1569" t="n">
        <v>0</v>
      </c>
      <c r="Q1569" t="n">
        <v>6.4</v>
      </c>
      <c r="R1569" t="n">
        <v>0</v>
      </c>
      <c r="S1569" t="n">
        <v>51.25</v>
      </c>
      <c r="T1569" t="n">
        <v>0</v>
      </c>
      <c r="U1569" t="n">
        <v>57.65</v>
      </c>
      <c r="X1569" t="inlineStr">
        <is>
          <t>aafc-aac</t>
        </is>
      </c>
      <c r="Y1569" t="inlineStr">
        <is>
          <t>Agriculture and Agri-Food Canada | Agriculture et Agroalimentaire Canada</t>
        </is>
      </c>
      <c r="Z1569" t="n">
        <v>1</v>
      </c>
      <c r="AA1569" t="n">
        <v>57.65</v>
      </c>
      <c r="AB1569">
        <f>ROUND(U1569-AA1569,2)</f>
        <v/>
      </c>
      <c r="AC1569" t="b">
        <v>0</v>
      </c>
      <c r="AD1569">
        <f>IF(U1569="","MISSING_TOTAL",IF(ABS(AB1569)&lt;=0.01,"OK","CHECK"))</f>
        <v/>
      </c>
      <c r="AE1569">
        <f>IF(U1569="","MISSING",IF(AND(AA1569&gt;0,U1569/AA1569&gt;50),"POSSIBLE_SCALE_ERROR","OK"))</f>
        <v/>
      </c>
    </row>
    <row r="1570">
      <c r="A1570" t="inlineStr">
        <is>
          <t>T-2020-P6-0008</t>
        </is>
      </c>
      <c r="B1570" t="inlineStr">
        <is>
          <t>MPSES</t>
        </is>
      </c>
      <c r="C1570" t="inlineStr">
        <is>
          <t>Driver</t>
        </is>
      </c>
      <c r="D1570" t="inlineStr">
        <is>
          <t>Chauffeur</t>
        </is>
      </c>
      <c r="E1570" t="inlineStr">
        <is>
          <t>Michel Gendreau</t>
        </is>
      </c>
      <c r="F1570" t="inlineStr">
        <is>
          <t>Drove the Minister from her riding to Quebec City for announcements.</t>
        </is>
      </c>
      <c r="G1570" t="inlineStr">
        <is>
          <t>Conduire la ministre de sa circonscription à la ville de Québec pour des annonces.</t>
        </is>
      </c>
      <c r="H1570" s="1" t="n">
        <v>44021</v>
      </c>
      <c r="I1570" s="1" t="n">
        <v>44022</v>
      </c>
      <c r="J1570" t="inlineStr">
        <is>
          <t>Sherbrooke (Quebec) Canada;
Quebec (Quebec) Canada</t>
        </is>
      </c>
      <c r="K1570" t="inlineStr">
        <is>
          <t>Sherbrooke (Québec) Canada;
Québec (Québec) Canada</t>
        </is>
      </c>
      <c r="P1570" t="n">
        <v>0</v>
      </c>
      <c r="Q1570" t="n">
        <v>6.4</v>
      </c>
      <c r="R1570" t="n">
        <v>147.56</v>
      </c>
      <c r="S1570" t="n">
        <v>144.05</v>
      </c>
      <c r="T1570" t="n">
        <v>0</v>
      </c>
      <c r="U1570" t="n">
        <v>298.01</v>
      </c>
      <c r="X1570" t="inlineStr">
        <is>
          <t>aafc-aac</t>
        </is>
      </c>
      <c r="Y1570" t="inlineStr">
        <is>
          <t>Agriculture and Agri-Food Canada | Agriculture et Agroalimentaire Canada</t>
        </is>
      </c>
      <c r="Z1570" t="n">
        <v>2</v>
      </c>
      <c r="AA1570" t="n">
        <v>298.01</v>
      </c>
      <c r="AB1570">
        <f>ROUND(U1570-AA1570,2)</f>
        <v/>
      </c>
      <c r="AC1570" t="b">
        <v>0</v>
      </c>
      <c r="AD1570">
        <f>IF(U1570="","MISSING_TOTAL",IF(ABS(AB1570)&lt;=0.01,"OK","CHECK"))</f>
        <v/>
      </c>
      <c r="AE1570">
        <f>IF(U1570="","MISSING",IF(AND(AA1570&gt;0,U1570/AA1570&gt;50),"POSSIBLE_SCALE_ERROR","OK"))</f>
        <v/>
      </c>
    </row>
    <row r="1571">
      <c r="A1571" t="inlineStr">
        <is>
          <t>T-2020-P7-0001</t>
        </is>
      </c>
      <c r="B1571" t="inlineStr">
        <is>
          <t>MPSES</t>
        </is>
      </c>
      <c r="C1571" t="inlineStr">
        <is>
          <t>Minister</t>
        </is>
      </c>
      <c r="D1571" t="inlineStr">
        <is>
          <t>Ministre</t>
        </is>
      </c>
      <c r="E1571" t="inlineStr">
        <is>
          <t>Marie-Claude Bibeau</t>
        </is>
      </c>
      <c r="F1571" t="inlineStr">
        <is>
          <t>Attend a tour of businesses in the agricultural and agri-food sector.</t>
        </is>
      </c>
      <c r="G1571" t="inlineStr">
        <is>
          <t>Visiter des entreprises du secteur agricole et agroalimentaire.</t>
        </is>
      </c>
      <c r="H1571" s="1" t="n">
        <v>44064</v>
      </c>
      <c r="I1571" s="1" t="n">
        <v>44067</v>
      </c>
      <c r="J1571" t="inlineStr">
        <is>
          <t>Îles de la Madeleine (Quebec) Canada</t>
        </is>
      </c>
      <c r="K1571" t="inlineStr">
        <is>
          <t>Îles-de-la-Madeleine (Québec) Canada</t>
        </is>
      </c>
      <c r="P1571" t="n">
        <v>0</v>
      </c>
      <c r="Q1571" t="n">
        <v>0</v>
      </c>
      <c r="R1571" t="n">
        <v>569.13</v>
      </c>
      <c r="S1571" t="n">
        <v>144.05</v>
      </c>
      <c r="T1571" t="n">
        <v>0</v>
      </c>
      <c r="U1571" t="n">
        <v>713.1799999999999</v>
      </c>
      <c r="X1571" t="inlineStr">
        <is>
          <t>aafc-aac</t>
        </is>
      </c>
      <c r="Y1571" t="inlineStr">
        <is>
          <t>Agriculture and Agri-Food Canada | Agriculture et Agroalimentaire Canada</t>
        </is>
      </c>
      <c r="Z1571" t="n">
        <v>4</v>
      </c>
      <c r="AA1571" t="n">
        <v>713.1799999999999</v>
      </c>
      <c r="AB1571">
        <f>ROUND(U1571-AA1571,2)</f>
        <v/>
      </c>
      <c r="AC1571" t="b">
        <v>0</v>
      </c>
      <c r="AD1571">
        <f>IF(U1571="","MISSING_TOTAL",IF(ABS(AB1571)&lt;=0.01,"OK","CHECK"))</f>
        <v/>
      </c>
      <c r="AE1571">
        <f>IF(U1571="","MISSING",IF(AND(AA1571&gt;0,U1571/AA1571&gt;50),"POSSIBLE_SCALE_ERROR","OK"))</f>
        <v/>
      </c>
    </row>
    <row r="1572">
      <c r="A1572" t="inlineStr">
        <is>
          <t>T-2020-P7-0002</t>
        </is>
      </c>
      <c r="B1572" t="inlineStr">
        <is>
          <t>MPSES</t>
        </is>
      </c>
      <c r="C1572" t="inlineStr">
        <is>
          <t>Operations Manager</t>
        </is>
      </c>
      <c r="D1572" t="inlineStr">
        <is>
          <t>Gestionnaire des opérations</t>
        </is>
      </c>
      <c r="E1572" t="inlineStr">
        <is>
          <t>Daniel Turner</t>
        </is>
      </c>
      <c r="F1572" t="inlineStr">
        <is>
          <t>Accompanied the Minister to meetings with Exceldor Cooperative.</t>
        </is>
      </c>
      <c r="G1572" t="inlineStr">
        <is>
          <t>Accompagner la ministre aux réunions avec la coopérative Exceldor.</t>
        </is>
      </c>
      <c r="H1572" s="1" t="n">
        <v>44077</v>
      </c>
      <c r="I1572" s="1" t="n">
        <v>44078</v>
      </c>
      <c r="J1572" t="inlineStr">
        <is>
          <t>Saint-Bruno-de-Montarville (Quebec) Canada</t>
        </is>
      </c>
      <c r="K1572" t="inlineStr">
        <is>
          <t>Saint-Bruno-de-Montarville (Québec) Canada</t>
        </is>
      </c>
      <c r="P1572" t="n">
        <v>0</v>
      </c>
      <c r="Q1572" t="n">
        <v>267.07</v>
      </c>
      <c r="R1572" t="n">
        <v>0</v>
      </c>
      <c r="S1572" t="n">
        <v>20.9</v>
      </c>
      <c r="T1572" t="n">
        <v>0</v>
      </c>
      <c r="U1572" t="n">
        <v>287.97</v>
      </c>
      <c r="X1572" t="inlineStr">
        <is>
          <t>aafc-aac</t>
        </is>
      </c>
      <c r="Y1572" t="inlineStr">
        <is>
          <t>Agriculture and Agri-Food Canada | Agriculture et Agroalimentaire Canada</t>
        </is>
      </c>
      <c r="Z1572" t="n">
        <v>2</v>
      </c>
      <c r="AA1572" t="n">
        <v>287.969999999999</v>
      </c>
      <c r="AB1572">
        <f>ROUND(U1572-AA1572,2)</f>
        <v/>
      </c>
      <c r="AC1572" t="b">
        <v>0</v>
      </c>
      <c r="AD1572">
        <f>IF(U1572="","MISSING_TOTAL",IF(ABS(AB1572)&lt;=0.01,"OK","CHECK"))</f>
        <v/>
      </c>
      <c r="AE1572">
        <f>IF(U1572="","MISSING",IF(AND(AA1572&gt;0,U1572/AA1572&gt;50),"POSSIBLE_SCALE_ERROR","OK"))</f>
        <v/>
      </c>
    </row>
    <row r="1573">
      <c r="A1573" t="inlineStr">
        <is>
          <t>T-2020-P7-0003</t>
        </is>
      </c>
      <c r="B1573" t="inlineStr">
        <is>
          <t>MPSES</t>
        </is>
      </c>
      <c r="C1573" t="inlineStr">
        <is>
          <t>Press Secretary</t>
        </is>
      </c>
      <c r="D1573" t="inlineStr">
        <is>
          <t>Attaché de presse</t>
        </is>
      </c>
      <c r="E1573" t="inlineStr">
        <is>
          <t>Jean-Sébastien Comeau</t>
        </is>
      </c>
      <c r="F1573" t="inlineStr">
        <is>
          <t>Accompanied the Minister to meetings with Exceldor Cooperative.</t>
        </is>
      </c>
      <c r="G1573" t="inlineStr">
        <is>
          <t>Accompagner la ministre aux réunions avec la coopérative Exceldor.</t>
        </is>
      </c>
      <c r="H1573" s="1" t="n">
        <v>44078</v>
      </c>
      <c r="I1573" s="1" t="n">
        <v>44078</v>
      </c>
      <c r="J1573" t="inlineStr">
        <is>
          <t>Saint-Bruno-de-Montarville (Quebec) Canada</t>
        </is>
      </c>
      <c r="K1573" t="inlineStr">
        <is>
          <t>Saint-Bruno-de-Montarville (Québec) Canada</t>
        </is>
      </c>
      <c r="P1573" t="n">
        <v>0</v>
      </c>
      <c r="Q1573" t="n">
        <v>3.2</v>
      </c>
      <c r="R1573" t="n">
        <v>0</v>
      </c>
      <c r="S1573" t="n">
        <v>20.9</v>
      </c>
      <c r="T1573" t="n">
        <v>0</v>
      </c>
      <c r="U1573" t="n">
        <v>24.1</v>
      </c>
      <c r="X1573" t="inlineStr">
        <is>
          <t>aafc-aac</t>
        </is>
      </c>
      <c r="Y1573" t="inlineStr">
        <is>
          <t>Agriculture and Agri-Food Canada | Agriculture et Agroalimentaire Canada</t>
        </is>
      </c>
      <c r="Z1573" t="n">
        <v>1</v>
      </c>
      <c r="AA1573" t="n">
        <v>24.0999999999999</v>
      </c>
      <c r="AB1573">
        <f>ROUND(U1573-AA1573,2)</f>
        <v/>
      </c>
      <c r="AC1573" t="b">
        <v>0</v>
      </c>
      <c r="AD1573">
        <f>IF(U1573="","MISSING_TOTAL",IF(ABS(AB1573)&lt;=0.01,"OK","CHECK"))</f>
        <v/>
      </c>
      <c r="AE1573">
        <f>IF(U1573="","MISSING",IF(AND(AA1573&gt;0,U1573/AA1573&gt;50),"POSSIBLE_SCALE_ERROR","OK"))</f>
        <v/>
      </c>
    </row>
    <row r="1574">
      <c r="A1574" t="inlineStr">
        <is>
          <t>T-2020-P7-0004</t>
        </is>
      </c>
      <c r="B1574" t="inlineStr">
        <is>
          <t>MPSES</t>
        </is>
      </c>
      <c r="C1574" t="inlineStr">
        <is>
          <t>Driver</t>
        </is>
      </c>
      <c r="D1574" t="inlineStr">
        <is>
          <t>Chauffeur</t>
        </is>
      </c>
      <c r="E1574" t="inlineStr">
        <is>
          <t>Michel Gendreau</t>
        </is>
      </c>
      <c r="F1574" t="inlineStr">
        <is>
          <t>Drove the Minister to outreach meetings in Quebec.</t>
        </is>
      </c>
      <c r="G1574" t="inlineStr">
        <is>
          <t>Conduire la Ministre à des réunions de sensibilisation au Québec.</t>
        </is>
      </c>
      <c r="H1574" s="1" t="n">
        <v>44055</v>
      </c>
      <c r="I1574" s="1" t="n">
        <v>44056</v>
      </c>
      <c r="J1574" t="inlineStr">
        <is>
          <t>Saint-Hyacinthe (Quebec) Canada; Saint-Patrice-de-Sherrington (Quebec) Canada;  Napierville (Quebec) Canada</t>
        </is>
      </c>
      <c r="K1574" t="inlineStr">
        <is>
          <t>Saint-Hyacinthe (Québec) Canada; Saint-Patrice-de-Sherrington (Québec) Canada;  Napierville (Québec) Canada</t>
        </is>
      </c>
      <c r="P1574" t="n">
        <v>0</v>
      </c>
      <c r="Q1574" t="n">
        <v>6.4</v>
      </c>
      <c r="R1574" t="n">
        <v>147.56</v>
      </c>
      <c r="S1574" t="n">
        <v>144.05</v>
      </c>
      <c r="T1574" t="n">
        <v>0</v>
      </c>
      <c r="U1574" t="n">
        <v>298.01</v>
      </c>
      <c r="X1574" t="inlineStr">
        <is>
          <t>aafc-aac</t>
        </is>
      </c>
      <c r="Y1574" t="inlineStr">
        <is>
          <t>Agriculture and Agri-Food Canada | Agriculture et Agroalimentaire Canada</t>
        </is>
      </c>
      <c r="Z1574" t="n">
        <v>2</v>
      </c>
      <c r="AA1574" t="n">
        <v>298.01</v>
      </c>
      <c r="AB1574">
        <f>ROUND(U1574-AA1574,2)</f>
        <v/>
      </c>
      <c r="AC1574" t="b">
        <v>0</v>
      </c>
      <c r="AD1574">
        <f>IF(U1574="","MISSING_TOTAL",IF(ABS(AB1574)&lt;=0.01,"OK","CHECK"))</f>
        <v/>
      </c>
      <c r="AE1574">
        <f>IF(U1574="","MISSING",IF(AND(AA1574&gt;0,U1574/AA1574&gt;50),"POSSIBLE_SCALE_ERROR","OK"))</f>
        <v/>
      </c>
    </row>
    <row r="1575">
      <c r="A1575" t="inlineStr">
        <is>
          <t>T-2020-P7-0005</t>
        </is>
      </c>
      <c r="B1575" t="inlineStr">
        <is>
          <t>MPSES</t>
        </is>
      </c>
      <c r="C1575" t="inlineStr">
        <is>
          <t>Driver</t>
        </is>
      </c>
      <c r="D1575" t="inlineStr">
        <is>
          <t>Chauffeur</t>
        </is>
      </c>
      <c r="E1575" t="inlineStr">
        <is>
          <t>Michel Gendreau</t>
        </is>
      </c>
      <c r="F1575" t="inlineStr">
        <is>
          <t>Drove the Minister to meetings in Montreal from Ottawa and return.</t>
        </is>
      </c>
      <c r="G1575" t="inlineStr">
        <is>
          <t>Conduire la Ministre à des réunions à Montréal depuis Ottawa et revenir.</t>
        </is>
      </c>
      <c r="H1575" s="1" t="n">
        <v>44077</v>
      </c>
      <c r="I1575" s="1" t="n">
        <v>44078</v>
      </c>
      <c r="J1575" t="inlineStr">
        <is>
          <t>Montreal (Quebec) Canada;
Sherbrooke (Quebec) Canada</t>
        </is>
      </c>
      <c r="K1575" t="inlineStr">
        <is>
          <t>Montréal (Québec) Canada;
Sherbrooke (Québec) Canada</t>
        </is>
      </c>
      <c r="P1575" t="n">
        <v>0</v>
      </c>
      <c r="Q1575" t="n">
        <v>3.2</v>
      </c>
      <c r="R1575" t="n">
        <v>123.75</v>
      </c>
      <c r="S1575" t="n">
        <v>144.05</v>
      </c>
      <c r="T1575" t="n">
        <v>0</v>
      </c>
      <c r="U1575" t="n">
        <v>271</v>
      </c>
      <c r="X1575" t="inlineStr">
        <is>
          <t>aafc-aac</t>
        </is>
      </c>
      <c r="Y1575" t="inlineStr">
        <is>
          <t>Agriculture and Agri-Food Canada | Agriculture et Agroalimentaire Canada</t>
        </is>
      </c>
      <c r="Z1575" t="n">
        <v>2</v>
      </c>
      <c r="AA1575" t="n">
        <v>271</v>
      </c>
      <c r="AB1575">
        <f>ROUND(U1575-AA1575,2)</f>
        <v/>
      </c>
      <c r="AC1575" t="b">
        <v>0</v>
      </c>
      <c r="AD1575">
        <f>IF(U1575="","MISSING_TOTAL",IF(ABS(AB1575)&lt;=0.01,"OK","CHECK"))</f>
        <v/>
      </c>
      <c r="AE1575">
        <f>IF(U1575="","MISSING",IF(AND(AA1575&gt;0,U1575/AA1575&gt;50),"POSSIBLE_SCALE_ERROR","OK"))</f>
        <v/>
      </c>
    </row>
    <row r="1576">
      <c r="A1576" t="inlineStr">
        <is>
          <t>T-2020-P7-0006</t>
        </is>
      </c>
      <c r="B1576" t="inlineStr">
        <is>
          <t>MPSES</t>
        </is>
      </c>
      <c r="C1576" t="inlineStr">
        <is>
          <t>Driver</t>
        </is>
      </c>
      <c r="D1576" t="inlineStr">
        <is>
          <t>Chauffeur</t>
        </is>
      </c>
      <c r="E1576" t="inlineStr">
        <is>
          <t>Michel Gendreau</t>
        </is>
      </c>
      <c r="F1576" t="inlineStr">
        <is>
          <t>Drove the Minister from her riding to Ottawa.</t>
        </is>
      </c>
      <c r="G1576" t="inlineStr">
        <is>
          <t>Conduire la Ministre de sa circonscription à Ottawa.</t>
        </is>
      </c>
      <c r="H1576" s="1" t="n">
        <v>44082</v>
      </c>
      <c r="I1576" s="1" t="n">
        <v>44082</v>
      </c>
      <c r="J1576" t="inlineStr">
        <is>
          <t>Sherbrooke (Quebec) Canada</t>
        </is>
      </c>
      <c r="K1576" t="inlineStr">
        <is>
          <t>Sherbrooke (Québec) Canada</t>
        </is>
      </c>
      <c r="P1576" t="n">
        <v>0</v>
      </c>
      <c r="Q1576" t="n">
        <v>6.4</v>
      </c>
      <c r="R1576" t="n">
        <v>0</v>
      </c>
      <c r="S1576" t="n">
        <v>51.25</v>
      </c>
      <c r="T1576" t="n">
        <v>0</v>
      </c>
      <c r="U1576" t="n">
        <v>57.65</v>
      </c>
      <c r="X1576" t="inlineStr">
        <is>
          <t>aafc-aac</t>
        </is>
      </c>
      <c r="Y1576" t="inlineStr">
        <is>
          <t>Agriculture and Agri-Food Canada | Agriculture et Agroalimentaire Canada</t>
        </is>
      </c>
      <c r="Z1576" t="n">
        <v>1</v>
      </c>
      <c r="AA1576" t="n">
        <v>57.65</v>
      </c>
      <c r="AB1576">
        <f>ROUND(U1576-AA1576,2)</f>
        <v/>
      </c>
      <c r="AC1576" t="b">
        <v>0</v>
      </c>
      <c r="AD1576">
        <f>IF(U1576="","MISSING_TOTAL",IF(ABS(AB1576)&lt;=0.01,"OK","CHECK"))</f>
        <v/>
      </c>
      <c r="AE1576">
        <f>IF(U1576="","MISSING",IF(AND(AA1576&gt;0,U1576/AA1576&gt;50),"POSSIBLE_SCALE_ERROR","OK"))</f>
        <v/>
      </c>
    </row>
    <row r="1577">
      <c r="A1577" t="inlineStr">
        <is>
          <t>T-2020-P7-0007</t>
        </is>
      </c>
      <c r="B1577" t="inlineStr">
        <is>
          <t>MPSES</t>
        </is>
      </c>
      <c r="C1577" t="inlineStr">
        <is>
          <t>Driver</t>
        </is>
      </c>
      <c r="D1577" t="inlineStr">
        <is>
          <t>Chauffeur</t>
        </is>
      </c>
      <c r="E1577" t="inlineStr">
        <is>
          <t>Michel Gendreau</t>
        </is>
      </c>
      <c r="F1577" t="inlineStr">
        <is>
          <t>Drove the Minister to her riding from Ottawa.</t>
        </is>
      </c>
      <c r="G1577" t="inlineStr">
        <is>
          <t>Conduire la Ministre d'Ottawa à sa circonscription.</t>
        </is>
      </c>
      <c r="H1577" s="1" t="n">
        <v>44084</v>
      </c>
      <c r="I1577" s="1" t="n">
        <v>44084</v>
      </c>
      <c r="J1577" t="inlineStr">
        <is>
          <t>Sherbrooke (Quebec) Canada</t>
        </is>
      </c>
      <c r="K1577" t="inlineStr">
        <is>
          <t>Sherbrooke (Québec) Canada</t>
        </is>
      </c>
      <c r="P1577" t="n">
        <v>0</v>
      </c>
      <c r="Q1577" t="n">
        <v>6.4</v>
      </c>
      <c r="R1577" t="n">
        <v>0</v>
      </c>
      <c r="S1577" t="n">
        <v>51.25</v>
      </c>
      <c r="T1577" t="n">
        <v>0</v>
      </c>
      <c r="U1577" t="n">
        <v>57.65</v>
      </c>
      <c r="X1577" t="inlineStr">
        <is>
          <t>aafc-aac</t>
        </is>
      </c>
      <c r="Y1577" t="inlineStr">
        <is>
          <t>Agriculture and Agri-Food Canada | Agriculture et Agroalimentaire Canada</t>
        </is>
      </c>
      <c r="Z1577" t="n">
        <v>1</v>
      </c>
      <c r="AA1577" t="n">
        <v>57.65</v>
      </c>
      <c r="AB1577">
        <f>ROUND(U1577-AA1577,2)</f>
        <v/>
      </c>
      <c r="AC1577" t="b">
        <v>0</v>
      </c>
      <c r="AD1577">
        <f>IF(U1577="","MISSING_TOTAL",IF(ABS(AB1577)&lt;=0.01,"OK","CHECK"))</f>
        <v/>
      </c>
      <c r="AE1577">
        <f>IF(U1577="","MISSING",IF(AND(AA1577&gt;0,U1577/AA1577&gt;50),"POSSIBLE_SCALE_ERROR","OK"))</f>
        <v/>
      </c>
    </row>
    <row r="1578">
      <c r="A1578" t="inlineStr">
        <is>
          <t>T-2020-P7-0008</t>
        </is>
      </c>
      <c r="B1578" t="inlineStr">
        <is>
          <t>MPSES</t>
        </is>
      </c>
      <c r="C1578" t="inlineStr">
        <is>
          <t>Driver</t>
        </is>
      </c>
      <c r="D1578" t="inlineStr">
        <is>
          <t>Chauffeur</t>
        </is>
      </c>
      <c r="E1578" t="inlineStr">
        <is>
          <t>Michel Gendreau</t>
        </is>
      </c>
      <c r="F1578" t="inlineStr">
        <is>
          <t>Drove the Minister from her riding to Ottawa.</t>
        </is>
      </c>
      <c r="G1578" t="inlineStr">
        <is>
          <t>Conduire la Ministre de sa circonscription à Ottawa.</t>
        </is>
      </c>
      <c r="H1578" s="1" t="n">
        <v>44087</v>
      </c>
      <c r="I1578" s="1" t="n">
        <v>44087</v>
      </c>
      <c r="J1578" t="inlineStr">
        <is>
          <t>Sherbrooke (Quebec) Canada</t>
        </is>
      </c>
      <c r="K1578" t="inlineStr">
        <is>
          <t>Sherbrooke (Québec) Canada</t>
        </is>
      </c>
      <c r="P1578" t="n">
        <v>0</v>
      </c>
      <c r="Q1578" t="n">
        <v>6.4</v>
      </c>
      <c r="R1578" t="n">
        <v>0</v>
      </c>
      <c r="S1578" t="n">
        <v>20.9</v>
      </c>
      <c r="T1578" t="n">
        <v>0</v>
      </c>
      <c r="U1578" t="n">
        <v>27.3</v>
      </c>
      <c r="X1578" t="inlineStr">
        <is>
          <t>aafc-aac</t>
        </is>
      </c>
      <c r="Y1578" t="inlineStr">
        <is>
          <t>Agriculture and Agri-Food Canada | Agriculture et Agroalimentaire Canada</t>
        </is>
      </c>
      <c r="Z1578" t="n">
        <v>1</v>
      </c>
      <c r="AA1578" t="n">
        <v>27.2999999999999</v>
      </c>
      <c r="AB1578">
        <f>ROUND(U1578-AA1578,2)</f>
        <v/>
      </c>
      <c r="AC1578" t="b">
        <v>0</v>
      </c>
      <c r="AD1578">
        <f>IF(U1578="","MISSING_TOTAL",IF(ABS(AB1578)&lt;=0.01,"OK","CHECK"))</f>
        <v/>
      </c>
      <c r="AE1578">
        <f>IF(U1578="","MISSING",IF(AND(AA1578&gt;0,U1578/AA1578&gt;50),"POSSIBLE_SCALE_ERROR","OK"))</f>
        <v/>
      </c>
    </row>
    <row r="1579">
      <c r="A1579" t="inlineStr">
        <is>
          <t>T-2020-P7-0009</t>
        </is>
      </c>
      <c r="B1579" t="inlineStr">
        <is>
          <t>MPSES</t>
        </is>
      </c>
      <c r="C1579" t="inlineStr">
        <is>
          <t>Driver</t>
        </is>
      </c>
      <c r="D1579" t="inlineStr">
        <is>
          <t>Chauffeur</t>
        </is>
      </c>
      <c r="E1579" t="inlineStr">
        <is>
          <t>Michel Gendreau</t>
        </is>
      </c>
      <c r="F1579" t="inlineStr">
        <is>
          <t>Drove the Minister to her riding from Ottawa.</t>
        </is>
      </c>
      <c r="G1579" t="inlineStr">
        <is>
          <t>Conduire la Ministre d'Ottawa à sa circonscription.</t>
        </is>
      </c>
      <c r="H1579" s="1" t="n">
        <v>44090</v>
      </c>
      <c r="I1579" s="1" t="n">
        <v>44090</v>
      </c>
      <c r="J1579" t="inlineStr">
        <is>
          <t>Sherbrooke (Quebec) Canada</t>
        </is>
      </c>
      <c r="K1579" t="inlineStr">
        <is>
          <t>Sherbrooke (Québec) Canada</t>
        </is>
      </c>
      <c r="P1579" t="n">
        <v>0</v>
      </c>
      <c r="Q1579" t="n">
        <v>6.4</v>
      </c>
      <c r="R1579" t="n">
        <v>0</v>
      </c>
      <c r="S1579" t="n">
        <v>51.25</v>
      </c>
      <c r="T1579" t="n">
        <v>0</v>
      </c>
      <c r="U1579" t="n">
        <v>57.65</v>
      </c>
      <c r="X1579" t="inlineStr">
        <is>
          <t>aafc-aac</t>
        </is>
      </c>
      <c r="Y1579" t="inlineStr">
        <is>
          <t>Agriculture and Agri-Food Canada | Agriculture et Agroalimentaire Canada</t>
        </is>
      </c>
      <c r="Z1579" t="n">
        <v>1</v>
      </c>
      <c r="AA1579" t="n">
        <v>57.65</v>
      </c>
      <c r="AB1579">
        <f>ROUND(U1579-AA1579,2)</f>
        <v/>
      </c>
      <c r="AC1579" t="b">
        <v>0</v>
      </c>
      <c r="AD1579">
        <f>IF(U1579="","MISSING_TOTAL",IF(ABS(AB1579)&lt;=0.01,"OK","CHECK"))</f>
        <v/>
      </c>
      <c r="AE1579">
        <f>IF(U1579="","MISSING",IF(AND(AA1579&gt;0,U1579/AA1579&gt;50),"POSSIBLE_SCALE_ERROR","OK"))</f>
        <v/>
      </c>
    </row>
    <row r="1580">
      <c r="A1580" t="inlineStr">
        <is>
          <t>T-2020-P7-0010</t>
        </is>
      </c>
      <c r="B1580" t="inlineStr">
        <is>
          <t>MPSES</t>
        </is>
      </c>
      <c r="C1580" t="inlineStr">
        <is>
          <t>Parliamentary Secretary</t>
        </is>
      </c>
      <c r="D1580" t="inlineStr">
        <is>
          <t>Secrétaire parlementaire</t>
        </is>
      </c>
      <c r="E1580" t="inlineStr">
        <is>
          <t>Neil Ellis</t>
        </is>
      </c>
      <c r="F1580" t="inlineStr">
        <is>
          <t>To attend an announcement.</t>
        </is>
      </c>
      <c r="G1580" t="inlineStr">
        <is>
          <t>Assister à une annonce.</t>
        </is>
      </c>
      <c r="H1580" s="1" t="n">
        <v>44069</v>
      </c>
      <c r="I1580" s="1" t="n">
        <v>44070</v>
      </c>
      <c r="J1580" t="inlineStr">
        <is>
          <t>Simcoe (Ontario) Canada</t>
        </is>
      </c>
      <c r="K1580" t="inlineStr">
        <is>
          <t>Simcoe (Ontario) Canada</t>
        </is>
      </c>
      <c r="P1580" t="n">
        <v>0</v>
      </c>
      <c r="Q1580" t="n">
        <v>0</v>
      </c>
      <c r="R1580" t="n">
        <v>174.57</v>
      </c>
      <c r="S1580" t="n">
        <v>144.05</v>
      </c>
      <c r="T1580" t="n">
        <v>0</v>
      </c>
      <c r="U1580" t="n">
        <v>318.62</v>
      </c>
      <c r="X1580" t="inlineStr">
        <is>
          <t>aafc-aac</t>
        </is>
      </c>
      <c r="Y1580" t="inlineStr">
        <is>
          <t>Agriculture and Agri-Food Canada | Agriculture et Agroalimentaire Canada</t>
        </is>
      </c>
      <c r="Z1580" t="n">
        <v>2</v>
      </c>
      <c r="AA1580" t="n">
        <v>318.62</v>
      </c>
      <c r="AB1580">
        <f>ROUND(U1580-AA1580,2)</f>
        <v/>
      </c>
      <c r="AC1580" t="b">
        <v>0</v>
      </c>
      <c r="AD1580">
        <f>IF(U1580="","MISSING_TOTAL",IF(ABS(AB1580)&lt;=0.01,"OK","CHECK"))</f>
        <v/>
      </c>
      <c r="AE1580">
        <f>IF(U1580="","MISSING",IF(AND(AA1580&gt;0,U1580/AA1580&gt;50),"POSSIBLE_SCALE_ERROR","OK"))</f>
        <v/>
      </c>
    </row>
    <row r="1581">
      <c r="A1581" t="inlineStr">
        <is>
          <t>T-2020-P7-0011</t>
        </is>
      </c>
      <c r="B1581" t="inlineStr">
        <is>
          <t>MPSES</t>
        </is>
      </c>
      <c r="C1581" t="inlineStr">
        <is>
          <t>Parliamentary Secretary Assistant</t>
        </is>
      </c>
      <c r="D1581" t="inlineStr">
        <is>
          <t>Adjoint au secrétaire parlementaire</t>
        </is>
      </c>
      <c r="E1581" t="inlineStr">
        <is>
          <t>Osman Naqvin</t>
        </is>
      </c>
      <c r="F1581" t="inlineStr">
        <is>
          <t>Accompanied the Parliamentary Secretary for an announcement.</t>
        </is>
      </c>
      <c r="G1581" t="inlineStr">
        <is>
          <t>Accompagner le Secrétaire parlementaire pour assister à une annonce.</t>
        </is>
      </c>
      <c r="H1581" s="1" t="n">
        <v>44069</v>
      </c>
      <c r="I1581" s="1" t="n">
        <v>44071</v>
      </c>
      <c r="J1581" t="inlineStr">
        <is>
          <t>Simcoe (Ontario) Canada</t>
        </is>
      </c>
      <c r="K1581" t="inlineStr">
        <is>
          <t>Simcoe (Ontario) Canada</t>
        </is>
      </c>
      <c r="P1581" t="n">
        <v>0</v>
      </c>
      <c r="Q1581" t="n">
        <v>215.97</v>
      </c>
      <c r="R1581" t="n">
        <v>161.86</v>
      </c>
      <c r="S1581" t="n">
        <v>164.95</v>
      </c>
      <c r="T1581" t="n">
        <v>0</v>
      </c>
      <c r="U1581" t="n">
        <v>542.78</v>
      </c>
      <c r="X1581" t="inlineStr">
        <is>
          <t>aafc-aac</t>
        </is>
      </c>
      <c r="Y1581" t="inlineStr">
        <is>
          <t>Agriculture and Agri-Food Canada | Agriculture et Agroalimentaire Canada</t>
        </is>
      </c>
      <c r="Z1581" t="n">
        <v>3</v>
      </c>
      <c r="AA1581" t="n">
        <v>542.78</v>
      </c>
      <c r="AB1581">
        <f>ROUND(U1581-AA1581,2)</f>
        <v/>
      </c>
      <c r="AC1581" t="b">
        <v>0</v>
      </c>
      <c r="AD1581">
        <f>IF(U1581="","MISSING_TOTAL",IF(ABS(AB1581)&lt;=0.01,"OK","CHECK"))</f>
        <v/>
      </c>
      <c r="AE1581">
        <f>IF(U1581="","MISSING",IF(AND(AA1581&gt;0,U1581/AA1581&gt;50),"POSSIBLE_SCALE_ERROR","OK"))</f>
        <v/>
      </c>
    </row>
    <row r="1582">
      <c r="A1582" t="inlineStr">
        <is>
          <t>T-2020-P8-0001</t>
        </is>
      </c>
      <c r="B1582" t="inlineStr">
        <is>
          <t>MPSES</t>
        </is>
      </c>
      <c r="C1582" t="inlineStr">
        <is>
          <t>Senior Policy Advisor</t>
        </is>
      </c>
      <c r="D1582" t="inlineStr">
        <is>
          <t>Conseiller principal en politiques</t>
        </is>
      </c>
      <c r="E1582" t="inlineStr">
        <is>
          <t>Sandenga Yeba</t>
        </is>
      </c>
      <c r="F1582" t="inlineStr">
        <is>
          <t>Attended Quebec Outreach meetings with the Minister.</t>
        </is>
      </c>
      <c r="G1582" t="inlineStr">
        <is>
          <t>Participer à des réunions de sensibilisation au Québec avec la ministre.</t>
        </is>
      </c>
      <c r="H1582" s="1" t="n">
        <v>44056</v>
      </c>
      <c r="I1582" s="1" t="n">
        <v>44056</v>
      </c>
      <c r="J1582" t="inlineStr">
        <is>
          <t>Saint-Hyacinthe (Quebec) Canada; Saint-Patrice-de-Sherrington (Quebec) Canada;  Napierville (Quebec) Canada</t>
        </is>
      </c>
      <c r="K1582" t="inlineStr">
        <is>
          <t>Saint-Hyacinthe (Québec) Canada; Saint-Patrice-de-Sherrington (Québec) Canada;  Napierville (Québec) Canada</t>
        </is>
      </c>
      <c r="P1582" t="n">
        <v>0</v>
      </c>
      <c r="Q1582" t="n">
        <v>111.69</v>
      </c>
      <c r="R1582" t="n">
        <v>0</v>
      </c>
      <c r="S1582" t="n">
        <v>92.8</v>
      </c>
      <c r="T1582" t="n">
        <v>0</v>
      </c>
      <c r="U1582" t="n">
        <v>204.49</v>
      </c>
      <c r="X1582" t="inlineStr">
        <is>
          <t>aafc-aac</t>
        </is>
      </c>
      <c r="Y1582" t="inlineStr">
        <is>
          <t>Agriculture and Agri-Food Canada | Agriculture et Agroalimentaire Canada</t>
        </is>
      </c>
      <c r="Z1582" t="n">
        <v>1</v>
      </c>
      <c r="AA1582" t="n">
        <v>204.49</v>
      </c>
      <c r="AB1582">
        <f>ROUND(U1582-AA1582,2)</f>
        <v/>
      </c>
      <c r="AC1582" t="b">
        <v>0</v>
      </c>
      <c r="AD1582">
        <f>IF(U1582="","MISSING_TOTAL",IF(ABS(AB1582)&lt;=0.01,"OK","CHECK"))</f>
        <v/>
      </c>
      <c r="AE1582">
        <f>IF(U1582="","MISSING",IF(AND(AA1582&gt;0,U1582/AA1582&gt;50),"POSSIBLE_SCALE_ERROR","OK"))</f>
        <v/>
      </c>
    </row>
    <row r="1583">
      <c r="A1583" t="inlineStr">
        <is>
          <t>T-2020-P8-0002</t>
        </is>
      </c>
      <c r="B1583" t="inlineStr">
        <is>
          <t>MPSES</t>
        </is>
      </c>
      <c r="C1583" t="inlineStr">
        <is>
          <t>Senior Policy Advisor</t>
        </is>
      </c>
      <c r="D1583" t="inlineStr">
        <is>
          <t>Conseiller principal en politiques</t>
        </is>
      </c>
      <c r="E1583" t="inlineStr">
        <is>
          <t>Sandenga Yeba</t>
        </is>
      </c>
      <c r="F1583" t="inlineStr">
        <is>
          <t>Accompanied the Minister to meetings in Montreal.</t>
        </is>
      </c>
      <c r="G1583" t="inlineStr">
        <is>
          <t>Accompagner la ministre aux réunions a Montréal.</t>
        </is>
      </c>
      <c r="H1583" s="1" t="n">
        <v>44078</v>
      </c>
      <c r="I1583" s="1" t="n">
        <v>44078</v>
      </c>
      <c r="J1583" t="inlineStr">
        <is>
          <t>Montreal (Quebec) Canada</t>
        </is>
      </c>
      <c r="K1583" t="inlineStr">
        <is>
          <t>Montréal (Québec) Canada</t>
        </is>
      </c>
      <c r="P1583" t="n">
        <v>0</v>
      </c>
      <c r="Q1583" t="n">
        <v>33.15</v>
      </c>
      <c r="R1583" t="n">
        <v>0</v>
      </c>
      <c r="S1583" t="n">
        <v>20.9</v>
      </c>
      <c r="T1583" t="n">
        <v>0</v>
      </c>
      <c r="U1583" t="n">
        <v>54.05</v>
      </c>
      <c r="X1583" t="inlineStr">
        <is>
          <t>aafc-aac</t>
        </is>
      </c>
      <c r="Y1583" t="inlineStr">
        <is>
          <t>Agriculture and Agri-Food Canada | Agriculture et Agroalimentaire Canada</t>
        </is>
      </c>
      <c r="Z1583" t="n">
        <v>1</v>
      </c>
      <c r="AA1583" t="n">
        <v>54.05</v>
      </c>
      <c r="AB1583">
        <f>ROUND(U1583-AA1583,2)</f>
        <v/>
      </c>
      <c r="AC1583" t="b">
        <v>0</v>
      </c>
      <c r="AD1583">
        <f>IF(U1583="","MISSING_TOTAL",IF(ABS(AB1583)&lt;=0.01,"OK","CHECK"))</f>
        <v/>
      </c>
      <c r="AE1583">
        <f>IF(U1583="","MISSING",IF(AND(AA1583&gt;0,U1583/AA1583&gt;50),"POSSIBLE_SCALE_ERROR","OK"))</f>
        <v/>
      </c>
    </row>
    <row r="1584">
      <c r="A1584" t="inlineStr">
        <is>
          <t>T-2020-P8-0003</t>
        </is>
      </c>
      <c r="B1584" t="inlineStr">
        <is>
          <t>MPSES</t>
        </is>
      </c>
      <c r="C1584" t="inlineStr">
        <is>
          <t>Parliamentary Secretary Assistant</t>
        </is>
      </c>
      <c r="D1584" t="inlineStr">
        <is>
          <t>Adjoint au secrétaire parlementaire</t>
        </is>
      </c>
      <c r="E1584" t="inlineStr">
        <is>
          <t>Osman Naqvin</t>
        </is>
      </c>
      <c r="F1584" t="inlineStr">
        <is>
          <t>Accompanied the Parliamentary Secretary for meetings.</t>
        </is>
      </c>
      <c r="G1584" t="inlineStr">
        <is>
          <t>Accompagner le secrétaire parlementaire pour des réunion</t>
        </is>
      </c>
      <c r="H1584" s="1" t="n">
        <v>44091</v>
      </c>
      <c r="I1584" s="1" t="n">
        <v>44092</v>
      </c>
      <c r="J1584" t="inlineStr">
        <is>
          <t>Vankleek Hill (Ontario) Canada</t>
        </is>
      </c>
      <c r="K1584" t="inlineStr">
        <is>
          <t>Vankleek Hill (Ontario) Canada</t>
        </is>
      </c>
      <c r="P1584" t="n">
        <v>0</v>
      </c>
      <c r="Q1584" t="n">
        <v>89.92</v>
      </c>
      <c r="R1584" t="n">
        <v>0</v>
      </c>
      <c r="S1584" t="n">
        <v>0</v>
      </c>
      <c r="T1584" t="n">
        <v>0</v>
      </c>
      <c r="U1584" t="n">
        <v>89.92</v>
      </c>
      <c r="X1584" t="inlineStr">
        <is>
          <t>aafc-aac</t>
        </is>
      </c>
      <c r="Y1584" t="inlineStr">
        <is>
          <t>Agriculture and Agri-Food Canada | Agriculture et Agroalimentaire Canada</t>
        </is>
      </c>
      <c r="Z1584" t="n">
        <v>2</v>
      </c>
      <c r="AA1584" t="n">
        <v>89.92</v>
      </c>
      <c r="AB1584">
        <f>ROUND(U1584-AA1584,2)</f>
        <v/>
      </c>
      <c r="AC1584" t="b">
        <v>0</v>
      </c>
      <c r="AD1584">
        <f>IF(U1584="","MISSING_TOTAL",IF(ABS(AB1584)&lt;=0.01,"OK","CHECK"))</f>
        <v/>
      </c>
      <c r="AE1584">
        <f>IF(U1584="","MISSING",IF(AND(AA1584&gt;0,U1584/AA1584&gt;50),"POSSIBLE_SCALE_ERROR","OK"))</f>
        <v/>
      </c>
    </row>
    <row r="1585">
      <c r="A1585" t="inlineStr">
        <is>
          <t>T-2020-P9-0001</t>
        </is>
      </c>
      <c r="B1585" t="inlineStr">
        <is>
          <t>MPSES</t>
        </is>
      </c>
      <c r="C1585" t="inlineStr">
        <is>
          <t>Driver</t>
        </is>
      </c>
      <c r="D1585" t="inlineStr">
        <is>
          <t>Chauffeur</t>
        </is>
      </c>
      <c r="E1585" t="inlineStr">
        <is>
          <t>Michel Gendreau</t>
        </is>
      </c>
      <c r="F1585" t="inlineStr">
        <is>
          <t>Drove the Minister from her riding to Ottawa.</t>
        </is>
      </c>
      <c r="G1585" t="inlineStr">
        <is>
          <t>Conduire la Ministre de sa circonscription à Ottawa.</t>
        </is>
      </c>
      <c r="H1585" s="1" t="n">
        <v>44122</v>
      </c>
      <c r="I1585" s="1" t="n">
        <v>44123</v>
      </c>
      <c r="J1585" t="inlineStr">
        <is>
          <t>Sherbrooke (Quebec) Canada</t>
        </is>
      </c>
      <c r="K1585" t="inlineStr">
        <is>
          <t>Sherbrooke (Québec) Canada</t>
        </is>
      </c>
      <c r="P1585" t="n">
        <v>0</v>
      </c>
      <c r="Q1585" t="n">
        <v>6.4</v>
      </c>
      <c r="R1585" t="n">
        <v>123.75</v>
      </c>
      <c r="S1585" t="n">
        <v>72.45</v>
      </c>
      <c r="T1585" t="n">
        <v>0</v>
      </c>
      <c r="U1585" t="n">
        <v>202.6</v>
      </c>
      <c r="X1585" t="inlineStr">
        <is>
          <t>aafc-aac</t>
        </is>
      </c>
      <c r="Y1585" t="inlineStr">
        <is>
          <t>Agriculture and Agri-Food Canada | Agriculture et Agroalimentaire Canada</t>
        </is>
      </c>
      <c r="Z1585" t="n">
        <v>2</v>
      </c>
      <c r="AA1585" t="n">
        <v>202.6</v>
      </c>
      <c r="AB1585">
        <f>ROUND(U1585-AA1585,2)</f>
        <v/>
      </c>
      <c r="AC1585" t="b">
        <v>0</v>
      </c>
      <c r="AD1585">
        <f>IF(U1585="","MISSING_TOTAL",IF(ABS(AB1585)&lt;=0.01,"OK","CHECK"))</f>
        <v/>
      </c>
      <c r="AE1585">
        <f>IF(U1585="","MISSING",IF(AND(AA1585&gt;0,U1585/AA1585&gt;50),"POSSIBLE_SCALE_ERROR","OK"))</f>
        <v/>
      </c>
    </row>
    <row r="1586">
      <c r="A1586" t="inlineStr">
        <is>
          <t>T-2020-P9-0002</t>
        </is>
      </c>
      <c r="B1586" t="inlineStr">
        <is>
          <t>MPSES</t>
        </is>
      </c>
      <c r="C1586" t="inlineStr">
        <is>
          <t>Driver</t>
        </is>
      </c>
      <c r="D1586" t="inlineStr">
        <is>
          <t>Chauffeur</t>
        </is>
      </c>
      <c r="E1586" t="inlineStr">
        <is>
          <t>Michel Gendreau</t>
        </is>
      </c>
      <c r="F1586" t="inlineStr">
        <is>
          <t>Drove the Minister to her riding from Ottawa.</t>
        </is>
      </c>
      <c r="G1586" t="inlineStr">
        <is>
          <t>Conduire la Ministre d'Ottawa à sa circonscription.</t>
        </is>
      </c>
      <c r="H1586" s="1" t="n">
        <v>44127</v>
      </c>
      <c r="I1586" s="1" t="n">
        <v>44127</v>
      </c>
      <c r="J1586" t="inlineStr">
        <is>
          <t>Sherbrooke (Quebec) Canada</t>
        </is>
      </c>
      <c r="K1586" t="inlineStr">
        <is>
          <t>Sherbrooke (Québec) Canada</t>
        </is>
      </c>
      <c r="P1586" t="n">
        <v>0</v>
      </c>
      <c r="Q1586" t="n">
        <v>6.4</v>
      </c>
      <c r="R1586" t="n">
        <v>0</v>
      </c>
      <c r="S1586" t="n">
        <v>51.65</v>
      </c>
      <c r="T1586" t="n">
        <v>0</v>
      </c>
      <c r="U1586" t="n">
        <v>58.05</v>
      </c>
      <c r="X1586" t="inlineStr">
        <is>
          <t>aafc-aac</t>
        </is>
      </c>
      <c r="Y1586" t="inlineStr">
        <is>
          <t>Agriculture and Agri-Food Canada | Agriculture et Agroalimentaire Canada</t>
        </is>
      </c>
      <c r="Z1586" t="n">
        <v>1</v>
      </c>
      <c r="AA1586" t="n">
        <v>58.05</v>
      </c>
      <c r="AB1586">
        <f>ROUND(U1586-AA1586,2)</f>
        <v/>
      </c>
      <c r="AC1586" t="b">
        <v>0</v>
      </c>
      <c r="AD1586">
        <f>IF(U1586="","MISSING_TOTAL",IF(ABS(AB1586)&lt;=0.01,"OK","CHECK"))</f>
        <v/>
      </c>
      <c r="AE1586">
        <f>IF(U1586="","MISSING",IF(AND(AA1586&gt;0,U1586/AA1586&gt;50),"POSSIBLE_SCALE_ERROR","OK"))</f>
        <v/>
      </c>
    </row>
    <row r="1587">
      <c r="A1587" t="inlineStr">
        <is>
          <t>T-2020-P9-0003</t>
        </is>
      </c>
      <c r="B1587" t="inlineStr">
        <is>
          <t>MPSES</t>
        </is>
      </c>
      <c r="C1587" t="inlineStr">
        <is>
          <t>Driver</t>
        </is>
      </c>
      <c r="D1587" t="inlineStr">
        <is>
          <t>Chauffeur</t>
        </is>
      </c>
      <c r="E1587" t="inlineStr">
        <is>
          <t>Michel Gendreau</t>
        </is>
      </c>
      <c r="F1587" t="inlineStr">
        <is>
          <t>Drove the Minister from her riding to Ottawa.</t>
        </is>
      </c>
      <c r="G1587" t="inlineStr">
        <is>
          <t>Conduire la Ministre de sa circonscription à Ottawa.</t>
        </is>
      </c>
      <c r="H1587" s="1" t="n">
        <v>44129</v>
      </c>
      <c r="I1587" s="1" t="n">
        <v>44130</v>
      </c>
      <c r="J1587" t="inlineStr">
        <is>
          <t>Sherbrooke (Quebec) Canada</t>
        </is>
      </c>
      <c r="K1587" t="inlineStr">
        <is>
          <t>Sherbrooke (Québec) Canada</t>
        </is>
      </c>
      <c r="P1587" t="n">
        <v>0</v>
      </c>
      <c r="Q1587" t="n">
        <v>6.4</v>
      </c>
      <c r="R1587" t="n">
        <v>123.75</v>
      </c>
      <c r="S1587" t="n">
        <v>72.45</v>
      </c>
      <c r="T1587" t="n">
        <v>0</v>
      </c>
      <c r="U1587" t="n">
        <v>202.6</v>
      </c>
      <c r="X1587" t="inlineStr">
        <is>
          <t>aafc-aac</t>
        </is>
      </c>
      <c r="Y1587" t="inlineStr">
        <is>
          <t>Agriculture and Agri-Food Canada | Agriculture et Agroalimentaire Canada</t>
        </is>
      </c>
      <c r="Z1587" t="n">
        <v>2</v>
      </c>
      <c r="AA1587" t="n">
        <v>202.6</v>
      </c>
      <c r="AB1587">
        <f>ROUND(U1587-AA1587,2)</f>
        <v/>
      </c>
      <c r="AC1587" t="b">
        <v>0</v>
      </c>
      <c r="AD1587">
        <f>IF(U1587="","MISSING_TOTAL",IF(ABS(AB1587)&lt;=0.01,"OK","CHECK"))</f>
        <v/>
      </c>
      <c r="AE1587">
        <f>IF(U1587="","MISSING",IF(AND(AA1587&gt;0,U1587/AA1587&gt;50),"POSSIBLE_SCALE_ERROR","OK"))</f>
        <v/>
      </c>
    </row>
    <row r="1588">
      <c r="A1588" t="inlineStr">
        <is>
          <t>T-2020-P9-0004</t>
        </is>
      </c>
      <c r="B1588" t="inlineStr">
        <is>
          <t>MPSES</t>
        </is>
      </c>
      <c r="C1588" t="inlineStr">
        <is>
          <t>Driver</t>
        </is>
      </c>
      <c r="D1588" t="inlineStr">
        <is>
          <t>Chauffeur</t>
        </is>
      </c>
      <c r="E1588" t="inlineStr">
        <is>
          <t>Michel Gendreau</t>
        </is>
      </c>
      <c r="F1588" t="inlineStr">
        <is>
          <t>Drove the Minister to her riding from Ottawa.</t>
        </is>
      </c>
      <c r="G1588" t="inlineStr">
        <is>
          <t>Conduire la Ministre d'Ottawa à sa circonscription.</t>
        </is>
      </c>
      <c r="H1588" s="1" t="n">
        <v>44134</v>
      </c>
      <c r="I1588" s="1" t="n">
        <v>44134</v>
      </c>
      <c r="J1588" t="inlineStr">
        <is>
          <t>Sherbrooke (Quebec) Canada</t>
        </is>
      </c>
      <c r="K1588" t="inlineStr">
        <is>
          <t>Sherbrooke (Québec) Canada</t>
        </is>
      </c>
      <c r="P1588" t="n">
        <v>0</v>
      </c>
      <c r="Q1588" t="n">
        <v>6.4</v>
      </c>
      <c r="R1588" t="n">
        <v>0</v>
      </c>
      <c r="S1588" t="n">
        <v>51.65</v>
      </c>
      <c r="T1588" t="n">
        <v>0</v>
      </c>
      <c r="U1588" t="n">
        <v>58.05</v>
      </c>
      <c r="X1588" t="inlineStr">
        <is>
          <t>aafc-aac</t>
        </is>
      </c>
      <c r="Y1588" t="inlineStr">
        <is>
          <t>Agriculture and Agri-Food Canada | Agriculture et Agroalimentaire Canada</t>
        </is>
      </c>
      <c r="Z1588" t="n">
        <v>1</v>
      </c>
      <c r="AA1588" t="n">
        <v>58.05</v>
      </c>
      <c r="AB1588">
        <f>ROUND(U1588-AA1588,2)</f>
        <v/>
      </c>
      <c r="AC1588" t="b">
        <v>0</v>
      </c>
      <c r="AD1588">
        <f>IF(U1588="","MISSING_TOTAL",IF(ABS(AB1588)&lt;=0.01,"OK","CHECK"))</f>
        <v/>
      </c>
      <c r="AE1588">
        <f>IF(U1588="","MISSING",IF(AND(AA1588&gt;0,U1588/AA1588&gt;50),"POSSIBLE_SCALE_ERROR","OK"))</f>
        <v/>
      </c>
    </row>
    <row r="1589">
      <c r="A1589" t="inlineStr">
        <is>
          <t>T-2020-P10-0001</t>
        </is>
      </c>
      <c r="B1589" t="inlineStr">
        <is>
          <t>MPSES</t>
        </is>
      </c>
      <c r="C1589" t="inlineStr">
        <is>
          <t>Driver</t>
        </is>
      </c>
      <c r="D1589" t="inlineStr">
        <is>
          <t>Chauffeur</t>
        </is>
      </c>
      <c r="E1589" t="inlineStr">
        <is>
          <t>Michel Gendreau</t>
        </is>
      </c>
      <c r="F1589" t="inlineStr">
        <is>
          <t>Drove the Minister from her riding to Ottawa.</t>
        </is>
      </c>
      <c r="G1589" t="inlineStr">
        <is>
          <t>Conduire la Ministre de sa circonscription à Ottawa.</t>
        </is>
      </c>
      <c r="H1589" s="1" t="n">
        <v>44157</v>
      </c>
      <c r="I1589" s="1" t="n">
        <v>44157</v>
      </c>
      <c r="J1589" t="inlineStr">
        <is>
          <t>Sherbrooke (Quebec) Canada</t>
        </is>
      </c>
      <c r="K1589" t="inlineStr">
        <is>
          <t>Sherbrooke (Québec) Canada</t>
        </is>
      </c>
      <c r="P1589" t="n">
        <v>0</v>
      </c>
      <c r="Q1589" t="n">
        <v>6.4</v>
      </c>
      <c r="R1589" t="n">
        <v>0</v>
      </c>
      <c r="S1589" t="n">
        <v>51.65</v>
      </c>
      <c r="T1589" t="n">
        <v>0</v>
      </c>
      <c r="U1589" t="n">
        <v>58.05</v>
      </c>
      <c r="X1589" t="inlineStr">
        <is>
          <t>aafc-aac</t>
        </is>
      </c>
      <c r="Y1589" t="inlineStr">
        <is>
          <t>Agriculture and Agri-Food Canada | Agriculture et Agroalimentaire Canada</t>
        </is>
      </c>
      <c r="Z1589" t="n">
        <v>1</v>
      </c>
      <c r="AA1589" t="n">
        <v>58.05</v>
      </c>
      <c r="AB1589">
        <f>ROUND(U1589-AA1589,2)</f>
        <v/>
      </c>
      <c r="AC1589" t="b">
        <v>0</v>
      </c>
      <c r="AD1589">
        <f>IF(U1589="","MISSING_TOTAL",IF(ABS(AB1589)&lt;=0.01,"OK","CHECK"))</f>
        <v/>
      </c>
      <c r="AE1589">
        <f>IF(U1589="","MISSING",IF(AND(AA1589&gt;0,U1589/AA1589&gt;50),"POSSIBLE_SCALE_ERROR","OK"))</f>
        <v/>
      </c>
    </row>
    <row r="1590">
      <c r="A1590" t="inlineStr">
        <is>
          <t>T-2020-P11-0001</t>
        </is>
      </c>
      <c r="B1590" t="inlineStr">
        <is>
          <t>MPSES</t>
        </is>
      </c>
      <c r="C1590" t="inlineStr">
        <is>
          <t>Driver</t>
        </is>
      </c>
      <c r="D1590" t="inlineStr">
        <is>
          <t>Chauffeur</t>
        </is>
      </c>
      <c r="E1590" t="inlineStr">
        <is>
          <t>Michel Gendreau</t>
        </is>
      </c>
      <c r="F1590" t="inlineStr">
        <is>
          <t>Drove the Minister to her riding from Ottawa.</t>
        </is>
      </c>
      <c r="G1590" t="inlineStr">
        <is>
          <t>Conduire la Ministre d'Ottawa à sa circonscription.</t>
        </is>
      </c>
      <c r="H1590" s="1" t="n">
        <v>44162</v>
      </c>
      <c r="I1590" s="1" t="n">
        <v>44162</v>
      </c>
      <c r="J1590" t="inlineStr">
        <is>
          <t>Sherbrooke (Quebec) Canada</t>
        </is>
      </c>
      <c r="K1590" t="inlineStr">
        <is>
          <t>Sherbrooke (Québec) Canada</t>
        </is>
      </c>
      <c r="P1590" t="n">
        <v>0</v>
      </c>
      <c r="Q1590" t="n">
        <v>6.4</v>
      </c>
      <c r="R1590" t="n">
        <v>0</v>
      </c>
      <c r="S1590" t="n">
        <v>51.65</v>
      </c>
      <c r="T1590" t="n">
        <v>0</v>
      </c>
      <c r="U1590" t="n">
        <v>58.05</v>
      </c>
      <c r="X1590" t="inlineStr">
        <is>
          <t>aafc-aac</t>
        </is>
      </c>
      <c r="Y1590" t="inlineStr">
        <is>
          <t>Agriculture and Agri-Food Canada | Agriculture et Agroalimentaire Canada</t>
        </is>
      </c>
      <c r="Z1590" t="n">
        <v>1</v>
      </c>
      <c r="AA1590" t="n">
        <v>58.05</v>
      </c>
      <c r="AB1590">
        <f>ROUND(U1590-AA1590,2)</f>
        <v/>
      </c>
      <c r="AC1590" t="b">
        <v>0</v>
      </c>
      <c r="AD1590">
        <f>IF(U1590="","MISSING_TOTAL",IF(ABS(AB1590)&lt;=0.01,"OK","CHECK"))</f>
        <v/>
      </c>
      <c r="AE1590">
        <f>IF(U1590="","MISSING",IF(AND(AA1590&gt;0,U1590/AA1590&gt;50),"POSSIBLE_SCALE_ERROR","OK"))</f>
        <v/>
      </c>
    </row>
    <row r="1591">
      <c r="A1591" t="inlineStr">
        <is>
          <t>T-2020-P11-0002</t>
        </is>
      </c>
      <c r="B1591" t="inlineStr">
        <is>
          <t>MPSES</t>
        </is>
      </c>
      <c r="C1591" t="inlineStr">
        <is>
          <t>Driver</t>
        </is>
      </c>
      <c r="D1591" t="inlineStr">
        <is>
          <t>Chauffeur</t>
        </is>
      </c>
      <c r="E1591" t="inlineStr">
        <is>
          <t>Michel Gendreau</t>
        </is>
      </c>
      <c r="F1591" t="inlineStr">
        <is>
          <t>Drove the Minister from her riding to Ottawa.</t>
        </is>
      </c>
      <c r="G1591" t="inlineStr">
        <is>
          <t>Conduire la Ministre de sa circonscription à Ottawa.</t>
        </is>
      </c>
      <c r="H1591" s="1" t="n">
        <v>44171</v>
      </c>
      <c r="I1591" s="1" t="n">
        <v>44172</v>
      </c>
      <c r="J1591" t="inlineStr">
        <is>
          <t>Sherbrooke (Quebec) Canada</t>
        </is>
      </c>
      <c r="K1591" t="inlineStr">
        <is>
          <t>Sherbrooke (Québec) Canada</t>
        </is>
      </c>
      <c r="P1591" t="n">
        <v>0</v>
      </c>
      <c r="Q1591" t="n">
        <v>6.4</v>
      </c>
      <c r="R1591" t="n">
        <v>123.73</v>
      </c>
      <c r="S1591" t="n">
        <v>72.45</v>
      </c>
      <c r="T1591" t="n">
        <v>0</v>
      </c>
      <c r="U1591" t="n">
        <v>202.58</v>
      </c>
      <c r="X1591" t="inlineStr">
        <is>
          <t>aafc-aac</t>
        </is>
      </c>
      <c r="Y1591" t="inlineStr">
        <is>
          <t>Agriculture and Agri-Food Canada | Agriculture et Agroalimentaire Canada</t>
        </is>
      </c>
      <c r="Z1591" t="n">
        <v>2</v>
      </c>
      <c r="AA1591" t="n">
        <v>202.579999999999</v>
      </c>
      <c r="AB1591">
        <f>ROUND(U1591-AA1591,2)</f>
        <v/>
      </c>
      <c r="AC1591" t="b">
        <v>0</v>
      </c>
      <c r="AD1591">
        <f>IF(U1591="","MISSING_TOTAL",IF(ABS(AB1591)&lt;=0.01,"OK","CHECK"))</f>
        <v/>
      </c>
      <c r="AE1591">
        <f>IF(U1591="","MISSING",IF(AND(AA1591&gt;0,U1591/AA1591&gt;50),"POSSIBLE_SCALE_ERROR","OK"))</f>
        <v/>
      </c>
    </row>
    <row r="1592">
      <c r="A1592" t="inlineStr">
        <is>
          <t>T-2020-P11-0003</t>
        </is>
      </c>
      <c r="B1592" t="inlineStr">
        <is>
          <t>MPSES</t>
        </is>
      </c>
      <c r="C1592" t="inlineStr">
        <is>
          <t>Driver</t>
        </is>
      </c>
      <c r="D1592" t="inlineStr">
        <is>
          <t>Chauffeur</t>
        </is>
      </c>
      <c r="E1592" t="inlineStr">
        <is>
          <t>Michel Gendreau</t>
        </is>
      </c>
      <c r="F1592" t="inlineStr">
        <is>
          <t>Drove the Minister to her riding from Ottawa.</t>
        </is>
      </c>
      <c r="G1592" t="inlineStr">
        <is>
          <t>Conduire la Ministre d'Ottawa à sa circonscription.</t>
        </is>
      </c>
      <c r="H1592" s="1" t="n">
        <v>44176</v>
      </c>
      <c r="I1592" s="1" t="n">
        <v>44176</v>
      </c>
      <c r="J1592" t="inlineStr">
        <is>
          <t>Sherbrooke (Quebec) Canada</t>
        </is>
      </c>
      <c r="K1592" t="inlineStr">
        <is>
          <t>Sherbrooke (Québec) Canada</t>
        </is>
      </c>
      <c r="P1592" t="n">
        <v>0</v>
      </c>
      <c r="Q1592" t="n">
        <v>6.4</v>
      </c>
      <c r="R1592" t="n">
        <v>0</v>
      </c>
      <c r="S1592" t="n">
        <v>51.65</v>
      </c>
      <c r="T1592" t="n">
        <v>0</v>
      </c>
      <c r="U1592" t="n">
        <v>58.05</v>
      </c>
      <c r="X1592" t="inlineStr">
        <is>
          <t>aafc-aac</t>
        </is>
      </c>
      <c r="Y1592" t="inlineStr">
        <is>
          <t>Agriculture and Agri-Food Canada | Agriculture et Agroalimentaire Canada</t>
        </is>
      </c>
      <c r="Z1592" t="n">
        <v>1</v>
      </c>
      <c r="AA1592" t="n">
        <v>58.05</v>
      </c>
      <c r="AB1592">
        <f>ROUND(U1592-AA1592,2)</f>
        <v/>
      </c>
      <c r="AC1592" t="b">
        <v>0</v>
      </c>
      <c r="AD1592">
        <f>IF(U1592="","MISSING_TOTAL",IF(ABS(AB1592)&lt;=0.01,"OK","CHECK"))</f>
        <v/>
      </c>
      <c r="AE1592">
        <f>IF(U1592="","MISSING",IF(AND(AA1592&gt;0,U1592/AA1592&gt;50),"POSSIBLE_SCALE_ERROR","OK"))</f>
        <v/>
      </c>
    </row>
    <row r="1593">
      <c r="A1593" t="inlineStr">
        <is>
          <t>T-2020-P12-0001</t>
        </is>
      </c>
      <c r="B1593" t="inlineStr">
        <is>
          <t>MPSES</t>
        </is>
      </c>
      <c r="C1593" t="inlineStr">
        <is>
          <t>Driver</t>
        </is>
      </c>
      <c r="D1593" t="inlineStr">
        <is>
          <t>Chauffeur</t>
        </is>
      </c>
      <c r="E1593" t="inlineStr">
        <is>
          <t>Michel Gendreau</t>
        </is>
      </c>
      <c r="F1593" t="inlineStr">
        <is>
          <t>Delivered secret documents to the Minister.</t>
        </is>
      </c>
      <c r="G1593" t="inlineStr">
        <is>
          <t>Livraison de documents secrets à la Ministre.</t>
        </is>
      </c>
      <c r="H1593" s="1" t="n">
        <v>44231</v>
      </c>
      <c r="I1593" s="1" t="n">
        <v>44231</v>
      </c>
      <c r="J1593" t="inlineStr">
        <is>
          <t>Sherbrooke (Quebec) Canada</t>
        </is>
      </c>
      <c r="K1593" t="inlineStr">
        <is>
          <t>Sherbrooke (Québec) Canada</t>
        </is>
      </c>
      <c r="P1593" t="n">
        <v>0</v>
      </c>
      <c r="Q1593" t="n">
        <v>6.4</v>
      </c>
      <c r="R1593" t="n">
        <v>0</v>
      </c>
      <c r="S1593" t="n">
        <v>21.05</v>
      </c>
      <c r="T1593" t="n">
        <v>0</v>
      </c>
      <c r="U1593" t="n">
        <v>27.45</v>
      </c>
      <c r="X1593" t="inlineStr">
        <is>
          <t>aafc-aac</t>
        </is>
      </c>
      <c r="Y1593" t="inlineStr">
        <is>
          <t>Agriculture and Agri-Food Canada | Agriculture et Agroalimentaire Canada</t>
        </is>
      </c>
      <c r="Z1593" t="n">
        <v>1</v>
      </c>
      <c r="AA1593" t="n">
        <v>27.45</v>
      </c>
      <c r="AB1593">
        <f>ROUND(U1593-AA1593,2)</f>
        <v/>
      </c>
      <c r="AC1593" t="b">
        <v>0</v>
      </c>
      <c r="AD1593">
        <f>IF(U1593="","MISSING_TOTAL",IF(ABS(AB1593)&lt;=0.01,"OK","CHECK"))</f>
        <v/>
      </c>
      <c r="AE1593">
        <f>IF(U1593="","MISSING",IF(AND(AA1593&gt;0,U1593/AA1593&gt;50),"POSSIBLE_SCALE_ERROR","OK"))</f>
        <v/>
      </c>
    </row>
    <row r="1594">
      <c r="A1594" t="inlineStr">
        <is>
          <t>T-2020-P12-0002</t>
        </is>
      </c>
      <c r="B1594" t="inlineStr">
        <is>
          <t>MPSES</t>
        </is>
      </c>
      <c r="C1594" t="inlineStr">
        <is>
          <t>Driver</t>
        </is>
      </c>
      <c r="D1594" t="inlineStr">
        <is>
          <t>Chauffeur</t>
        </is>
      </c>
      <c r="E1594" t="inlineStr">
        <is>
          <t>Michel Gendreau</t>
        </is>
      </c>
      <c r="F1594" t="inlineStr">
        <is>
          <t>Delivered secret documents to the Minister.</t>
        </is>
      </c>
      <c r="G1594" t="inlineStr">
        <is>
          <t>Livraison de documents secrets à la Ministre.</t>
        </is>
      </c>
      <c r="H1594" s="1" t="n">
        <v>44237</v>
      </c>
      <c r="I1594" s="1" t="n">
        <v>44237</v>
      </c>
      <c r="J1594" t="inlineStr">
        <is>
          <t>Sherbrooke (Quebec) Canada</t>
        </is>
      </c>
      <c r="K1594" t="inlineStr">
        <is>
          <t>Sherbrooke (Québec) Canada</t>
        </is>
      </c>
      <c r="P1594" t="n">
        <v>0</v>
      </c>
      <c r="Q1594" t="n">
        <v>6.4</v>
      </c>
      <c r="R1594" t="n">
        <v>0</v>
      </c>
      <c r="S1594" t="n">
        <v>21.05</v>
      </c>
      <c r="T1594" t="n">
        <v>0</v>
      </c>
      <c r="U1594" t="n">
        <v>27.45</v>
      </c>
      <c r="X1594" t="inlineStr">
        <is>
          <t>aafc-aac</t>
        </is>
      </c>
      <c r="Y1594" t="inlineStr">
        <is>
          <t>Agriculture and Agri-Food Canada | Agriculture et Agroalimentaire Canada</t>
        </is>
      </c>
      <c r="Z1594" t="n">
        <v>1</v>
      </c>
      <c r="AA1594" t="n">
        <v>27.45</v>
      </c>
      <c r="AB1594">
        <f>ROUND(U1594-AA1594,2)</f>
        <v/>
      </c>
      <c r="AC1594" t="b">
        <v>0</v>
      </c>
      <c r="AD1594">
        <f>IF(U1594="","MISSING_TOTAL",IF(ABS(AB1594)&lt;=0.01,"OK","CHECK"))</f>
        <v/>
      </c>
      <c r="AE1594">
        <f>IF(U1594="","MISSING",IF(AND(AA1594&gt;0,U1594/AA1594&gt;50),"POSSIBLE_SCALE_ERROR","OK"))</f>
        <v/>
      </c>
    </row>
    <row r="1595">
      <c r="A1595" t="inlineStr">
        <is>
          <t>T-2020-P12-0003</t>
        </is>
      </c>
      <c r="B1595" t="inlineStr">
        <is>
          <t>MPSES</t>
        </is>
      </c>
      <c r="C1595" t="inlineStr">
        <is>
          <t>Driver</t>
        </is>
      </c>
      <c r="D1595" t="inlineStr">
        <is>
          <t>Chauffeur</t>
        </is>
      </c>
      <c r="E1595" t="inlineStr">
        <is>
          <t>Michel Gendreau</t>
        </is>
      </c>
      <c r="F1595" t="inlineStr">
        <is>
          <t>Delivered secret documents to the Minister.</t>
        </is>
      </c>
      <c r="G1595" t="inlineStr">
        <is>
          <t>Livraison de documents secrets à la Ministre.</t>
        </is>
      </c>
      <c r="H1595" s="1" t="n">
        <v>44244</v>
      </c>
      <c r="I1595" s="1" t="n">
        <v>44244</v>
      </c>
      <c r="J1595" t="inlineStr">
        <is>
          <t>Sherbrooke (Quebec) Canada</t>
        </is>
      </c>
      <c r="K1595" t="inlineStr">
        <is>
          <t>Sherbrooke (Québec) Canada</t>
        </is>
      </c>
      <c r="P1595" t="n">
        <v>0</v>
      </c>
      <c r="Q1595" t="n">
        <v>6.4</v>
      </c>
      <c r="R1595" t="n">
        <v>0</v>
      </c>
      <c r="S1595" t="n">
        <v>21.05</v>
      </c>
      <c r="T1595" t="n">
        <v>0</v>
      </c>
      <c r="U1595" t="n">
        <v>27.45</v>
      </c>
      <c r="X1595" t="inlineStr">
        <is>
          <t>aafc-aac</t>
        </is>
      </c>
      <c r="Y1595" t="inlineStr">
        <is>
          <t>Agriculture and Agri-Food Canada | Agriculture et Agroalimentaire Canada</t>
        </is>
      </c>
      <c r="Z1595" t="n">
        <v>1</v>
      </c>
      <c r="AA1595" t="n">
        <v>27.45</v>
      </c>
      <c r="AB1595">
        <f>ROUND(U1595-AA1595,2)</f>
        <v/>
      </c>
      <c r="AC1595" t="b">
        <v>0</v>
      </c>
      <c r="AD1595">
        <f>IF(U1595="","MISSING_TOTAL",IF(ABS(AB1595)&lt;=0.01,"OK","CHECK"))</f>
        <v/>
      </c>
      <c r="AE1595">
        <f>IF(U1595="","MISSING",IF(AND(AA1595&gt;0,U1595/AA1595&gt;50),"POSSIBLE_SCALE_ERROR","OK"))</f>
        <v/>
      </c>
    </row>
    <row r="1596">
      <c r="A1596" t="inlineStr">
        <is>
          <t>T-2021-P01-0001</t>
        </is>
      </c>
      <c r="B1596" t="inlineStr">
        <is>
          <t>MPSES</t>
        </is>
      </c>
      <c r="C1596" t="inlineStr">
        <is>
          <t>Driver</t>
        </is>
      </c>
      <c r="D1596" t="inlineStr">
        <is>
          <t>Chauffeur</t>
        </is>
      </c>
      <c r="E1596" t="inlineStr">
        <is>
          <t>Michel Gendreau</t>
        </is>
      </c>
      <c r="F1596" t="inlineStr">
        <is>
          <t>Delivered secret documents to the Minister.</t>
        </is>
      </c>
      <c r="G1596" t="inlineStr">
        <is>
          <t>Livraison de documents secrets à la Ministre.</t>
        </is>
      </c>
      <c r="H1596" s="1" t="n">
        <v>44252</v>
      </c>
      <c r="I1596" s="1" t="n">
        <v>44252</v>
      </c>
      <c r="J1596" t="inlineStr">
        <is>
          <t>Sherbrooke (Quebec) Canada</t>
        </is>
      </c>
      <c r="K1596" t="inlineStr">
        <is>
          <t>Sherbrooke (Québec) Canada</t>
        </is>
      </c>
      <c r="P1596" t="n">
        <v>0</v>
      </c>
      <c r="Q1596" t="n">
        <v>6.4</v>
      </c>
      <c r="R1596" t="n">
        <v>0</v>
      </c>
      <c r="S1596" t="n">
        <v>21.05</v>
      </c>
      <c r="T1596" t="n">
        <v>0</v>
      </c>
      <c r="U1596" t="n">
        <v>27.45</v>
      </c>
      <c r="X1596" t="inlineStr">
        <is>
          <t>aafc-aac</t>
        </is>
      </c>
      <c r="Y1596" t="inlineStr">
        <is>
          <t>Agriculture and Agri-Food Canada | Agriculture et Agroalimentaire Canada</t>
        </is>
      </c>
      <c r="Z1596" t="n">
        <v>1</v>
      </c>
      <c r="AA1596" t="n">
        <v>27.45</v>
      </c>
      <c r="AB1596">
        <f>ROUND(U1596-AA1596,2)</f>
        <v/>
      </c>
      <c r="AC1596" t="b">
        <v>0</v>
      </c>
      <c r="AD1596">
        <f>IF(U1596="","MISSING_TOTAL",IF(ABS(AB1596)&lt;=0.01,"OK","CHECK"))</f>
        <v/>
      </c>
      <c r="AE1596">
        <f>IF(U1596="","MISSING",IF(AND(AA1596&gt;0,U1596/AA1596&gt;50),"POSSIBLE_SCALE_ERROR","OK"))</f>
        <v/>
      </c>
    </row>
    <row r="1597">
      <c r="A1597" t="inlineStr">
        <is>
          <t>T-2021-P01-0002</t>
        </is>
      </c>
      <c r="B1597" t="inlineStr">
        <is>
          <t>MPSES</t>
        </is>
      </c>
      <c r="C1597" t="inlineStr">
        <is>
          <t>Driver</t>
        </is>
      </c>
      <c r="D1597" t="inlineStr">
        <is>
          <t>Chauffeur</t>
        </is>
      </c>
      <c r="E1597" t="inlineStr">
        <is>
          <t>Michel Gendreau</t>
        </is>
      </c>
      <c r="F1597" t="inlineStr">
        <is>
          <t>Delivered secret documents to the Minister.</t>
        </is>
      </c>
      <c r="G1597" t="inlineStr">
        <is>
          <t>Livraison de documents secrets à la Ministre.</t>
        </is>
      </c>
      <c r="H1597" s="1" t="n">
        <v>44262</v>
      </c>
      <c r="I1597" s="1" t="n">
        <v>44262</v>
      </c>
      <c r="J1597" t="inlineStr">
        <is>
          <t>Sherbrooke (Quebec) Canada</t>
        </is>
      </c>
      <c r="K1597" t="inlineStr">
        <is>
          <t>Sherbrooke (Québec) Canada</t>
        </is>
      </c>
      <c r="P1597" t="n">
        <v>0</v>
      </c>
      <c r="Q1597" t="n">
        <v>4.8</v>
      </c>
      <c r="R1597" t="n">
        <v>0</v>
      </c>
      <c r="S1597" t="n">
        <v>21.05</v>
      </c>
      <c r="T1597" t="n">
        <v>0</v>
      </c>
      <c r="U1597" t="n">
        <v>25.85</v>
      </c>
      <c r="X1597" t="inlineStr">
        <is>
          <t>aafc-aac</t>
        </is>
      </c>
      <c r="Y1597" t="inlineStr">
        <is>
          <t>Agriculture and Agri-Food Canada | Agriculture et Agroalimentaire Canada</t>
        </is>
      </c>
      <c r="Z1597" t="n">
        <v>1</v>
      </c>
      <c r="AA1597" t="n">
        <v>25.85</v>
      </c>
      <c r="AB1597">
        <f>ROUND(U1597-AA1597,2)</f>
        <v/>
      </c>
      <c r="AC1597" t="b">
        <v>0</v>
      </c>
      <c r="AD1597">
        <f>IF(U1597="","MISSING_TOTAL",IF(ABS(AB1597)&lt;=0.01,"OK","CHECK"))</f>
        <v/>
      </c>
      <c r="AE1597">
        <f>IF(U1597="","MISSING",IF(AND(AA1597&gt;0,U1597/AA1597&gt;50),"POSSIBLE_SCALE_ERROR","OK"))</f>
        <v/>
      </c>
    </row>
    <row r="1598">
      <c r="A1598" t="inlineStr">
        <is>
          <t>T-2021-P01-0003</t>
        </is>
      </c>
      <c r="B1598" t="inlineStr">
        <is>
          <t>MPSES</t>
        </is>
      </c>
      <c r="C1598" t="inlineStr">
        <is>
          <t>Driver</t>
        </is>
      </c>
      <c r="D1598" t="inlineStr">
        <is>
          <t>Chauffeur</t>
        </is>
      </c>
      <c r="E1598" t="inlineStr">
        <is>
          <t>Michel Gendreau</t>
        </is>
      </c>
      <c r="F1598" t="inlineStr">
        <is>
          <t>Delivered secret documents to the Minister.</t>
        </is>
      </c>
      <c r="G1598" t="inlineStr">
        <is>
          <t>Livraison de documents secrets à la Ministre.</t>
        </is>
      </c>
      <c r="H1598" s="1" t="n">
        <v>44273</v>
      </c>
      <c r="I1598" s="1" t="n">
        <v>44273</v>
      </c>
      <c r="J1598" t="inlineStr">
        <is>
          <t>Sherbrooke (Quebec) Canada</t>
        </is>
      </c>
      <c r="K1598" t="inlineStr">
        <is>
          <t>Sherbrooke (Québec) Canada</t>
        </is>
      </c>
      <c r="P1598" t="n">
        <v>0</v>
      </c>
      <c r="Q1598" t="n">
        <v>4.8</v>
      </c>
      <c r="R1598" t="n">
        <v>0</v>
      </c>
      <c r="S1598" t="n">
        <v>21.05</v>
      </c>
      <c r="T1598" t="n">
        <v>0</v>
      </c>
      <c r="U1598" t="n">
        <v>25.85</v>
      </c>
      <c r="X1598" t="inlineStr">
        <is>
          <t>aafc-aac</t>
        </is>
      </c>
      <c r="Y1598" t="inlineStr">
        <is>
          <t>Agriculture and Agri-Food Canada | Agriculture et Agroalimentaire Canada</t>
        </is>
      </c>
      <c r="Z1598" t="n">
        <v>1</v>
      </c>
      <c r="AA1598" t="n">
        <v>25.85</v>
      </c>
      <c r="AB1598">
        <f>ROUND(U1598-AA1598,2)</f>
        <v/>
      </c>
      <c r="AC1598" t="b">
        <v>0</v>
      </c>
      <c r="AD1598">
        <f>IF(U1598="","MISSING_TOTAL",IF(ABS(AB1598)&lt;=0.01,"OK","CHECK"))</f>
        <v/>
      </c>
      <c r="AE1598">
        <f>IF(U1598="","MISSING",IF(AND(AA1598&gt;0,U1598/AA1598&gt;50),"POSSIBLE_SCALE_ERROR","OK"))</f>
        <v/>
      </c>
    </row>
    <row r="1599">
      <c r="A1599" t="inlineStr">
        <is>
          <t>T-2021-P01-0004</t>
        </is>
      </c>
      <c r="B1599" t="inlineStr">
        <is>
          <t>MPSES</t>
        </is>
      </c>
      <c r="C1599" t="inlineStr">
        <is>
          <t>Driver</t>
        </is>
      </c>
      <c r="D1599" t="inlineStr">
        <is>
          <t>Chauffeur</t>
        </is>
      </c>
      <c r="E1599" t="inlineStr">
        <is>
          <t>Michel Gendreau</t>
        </is>
      </c>
      <c r="F1599" t="inlineStr">
        <is>
          <t>Delivered secret documents to the Minister.</t>
        </is>
      </c>
      <c r="G1599" t="inlineStr">
        <is>
          <t>Livraison de documents secrets à la Ministre.</t>
        </is>
      </c>
      <c r="H1599" s="1" t="n">
        <v>44280</v>
      </c>
      <c r="I1599" s="1" t="n">
        <v>44280</v>
      </c>
      <c r="J1599" t="inlineStr">
        <is>
          <t>Sherbrooke (Quebec) Canada</t>
        </is>
      </c>
      <c r="K1599" t="inlineStr">
        <is>
          <t>Sherbrooke (Québec) Canada</t>
        </is>
      </c>
      <c r="P1599" t="n">
        <v>0</v>
      </c>
      <c r="Q1599" t="n">
        <v>4.8</v>
      </c>
      <c r="R1599" t="n">
        <v>0</v>
      </c>
      <c r="S1599" t="n">
        <v>21.05</v>
      </c>
      <c r="T1599" t="n">
        <v>0</v>
      </c>
      <c r="U1599" t="n">
        <v>25.85</v>
      </c>
      <c r="X1599" t="inlineStr">
        <is>
          <t>aafc-aac</t>
        </is>
      </c>
      <c r="Y1599" t="inlineStr">
        <is>
          <t>Agriculture and Agri-Food Canada | Agriculture et Agroalimentaire Canada</t>
        </is>
      </c>
      <c r="Z1599" t="n">
        <v>1</v>
      </c>
      <c r="AA1599" t="n">
        <v>25.85</v>
      </c>
      <c r="AB1599">
        <f>ROUND(U1599-AA1599,2)</f>
        <v/>
      </c>
      <c r="AC1599" t="b">
        <v>0</v>
      </c>
      <c r="AD1599">
        <f>IF(U1599="","MISSING_TOTAL",IF(ABS(AB1599)&lt;=0.01,"OK","CHECK"))</f>
        <v/>
      </c>
      <c r="AE1599">
        <f>IF(U1599="","MISSING",IF(AND(AA1599&gt;0,U1599/AA1599&gt;50),"POSSIBLE_SCALE_ERROR","OK"))</f>
        <v/>
      </c>
    </row>
    <row r="1600">
      <c r="A1600" t="inlineStr">
        <is>
          <t>T-2021-P03-0001</t>
        </is>
      </c>
      <c r="B1600" t="inlineStr">
        <is>
          <t>MPSES</t>
        </is>
      </c>
      <c r="C1600" t="inlineStr">
        <is>
          <t>Driver</t>
        </is>
      </c>
      <c r="D1600" t="inlineStr">
        <is>
          <t>Chauffeur</t>
        </is>
      </c>
      <c r="E1600" t="inlineStr">
        <is>
          <t>Michel Gendreau</t>
        </is>
      </c>
      <c r="F1600" t="inlineStr">
        <is>
          <t>Deliver secure documents to the Minister.</t>
        </is>
      </c>
      <c r="G1600" t="inlineStr">
        <is>
          <t>Livrer des documents sécurisés à la Ministre.</t>
        </is>
      </c>
      <c r="H1600" s="1" t="n">
        <v>44315</v>
      </c>
      <c r="I1600" s="1" t="n">
        <v>44315</v>
      </c>
      <c r="J1600" t="inlineStr">
        <is>
          <t>Sherbrooke (Quebec) Canada</t>
        </is>
      </c>
      <c r="K1600" t="inlineStr">
        <is>
          <t>Sherbrooke (Québec) Canada</t>
        </is>
      </c>
      <c r="P1600" t="n">
        <v>0</v>
      </c>
      <c r="Q1600" t="n">
        <v>2.4</v>
      </c>
      <c r="R1600" t="n">
        <v>0</v>
      </c>
      <c r="S1600" t="n">
        <v>21.35</v>
      </c>
      <c r="T1600" t="n">
        <v>0</v>
      </c>
      <c r="U1600" t="n">
        <v>23.75</v>
      </c>
      <c r="X1600" t="inlineStr">
        <is>
          <t>aafc-aac</t>
        </is>
      </c>
      <c r="Y1600" t="inlineStr">
        <is>
          <t>Agriculture and Agri-Food Canada | Agriculture et Agroalimentaire Canada</t>
        </is>
      </c>
      <c r="Z1600" t="n">
        <v>1</v>
      </c>
      <c r="AA1600" t="n">
        <v>23.75</v>
      </c>
      <c r="AB1600">
        <f>ROUND(U1600-AA1600,2)</f>
        <v/>
      </c>
      <c r="AC1600" t="b">
        <v>0</v>
      </c>
      <c r="AD1600">
        <f>IF(U1600="","MISSING_TOTAL",IF(ABS(AB1600)&lt;=0.01,"OK","CHECK"))</f>
        <v/>
      </c>
      <c r="AE1600">
        <f>IF(U1600="","MISSING",IF(AND(AA1600&gt;0,U1600/AA1600&gt;50),"POSSIBLE_SCALE_ERROR","OK"))</f>
        <v/>
      </c>
    </row>
    <row r="1601">
      <c r="A1601" t="inlineStr">
        <is>
          <t>T-2021-P03-0002</t>
        </is>
      </c>
      <c r="B1601" t="inlineStr">
        <is>
          <t>MPSES</t>
        </is>
      </c>
      <c r="C1601" t="inlineStr">
        <is>
          <t>Driver</t>
        </is>
      </c>
      <c r="D1601" t="inlineStr">
        <is>
          <t>Chauffeur</t>
        </is>
      </c>
      <c r="E1601" t="inlineStr">
        <is>
          <t>Michel Gendreau</t>
        </is>
      </c>
      <c r="F1601" t="inlineStr">
        <is>
          <t>Deliver secure documents to the Minister.</t>
        </is>
      </c>
      <c r="G1601" t="inlineStr">
        <is>
          <t>Livrer des documents sécurisés à la Ministre.</t>
        </is>
      </c>
      <c r="H1601" s="1" t="n">
        <v>44330</v>
      </c>
      <c r="I1601" s="1" t="n">
        <v>44330</v>
      </c>
      <c r="J1601" t="inlineStr">
        <is>
          <t>Sherbrooke (Quebec) Canada</t>
        </is>
      </c>
      <c r="K1601" t="inlineStr">
        <is>
          <t>Sherbrooke (Québec) Canada</t>
        </is>
      </c>
      <c r="P1601" t="n">
        <v>0</v>
      </c>
      <c r="Q1601" t="n">
        <v>4.8</v>
      </c>
      <c r="R1601" t="n">
        <v>0</v>
      </c>
      <c r="S1601" t="n">
        <v>21.35</v>
      </c>
      <c r="T1601" t="n">
        <v>0</v>
      </c>
      <c r="U1601" t="n">
        <v>26.15</v>
      </c>
      <c r="X1601" t="inlineStr">
        <is>
          <t>aafc-aac</t>
        </is>
      </c>
      <c r="Y1601" t="inlineStr">
        <is>
          <t>Agriculture and Agri-Food Canada | Agriculture et Agroalimentaire Canada</t>
        </is>
      </c>
      <c r="Z1601" t="n">
        <v>1</v>
      </c>
      <c r="AA1601" t="n">
        <v>26.15</v>
      </c>
      <c r="AB1601">
        <f>ROUND(U1601-AA1601,2)</f>
        <v/>
      </c>
      <c r="AC1601" t="b">
        <v>0</v>
      </c>
      <c r="AD1601">
        <f>IF(U1601="","MISSING_TOTAL",IF(ABS(AB1601)&lt;=0.01,"OK","CHECK"))</f>
        <v/>
      </c>
      <c r="AE1601">
        <f>IF(U1601="","MISSING",IF(AND(AA1601&gt;0,U1601/AA1601&gt;50),"POSSIBLE_SCALE_ERROR","OK"))</f>
        <v/>
      </c>
    </row>
    <row r="1602">
      <c r="A1602" t="inlineStr">
        <is>
          <t>T-2021-P03-0003</t>
        </is>
      </c>
      <c r="B1602" t="inlineStr">
        <is>
          <t>MPSES</t>
        </is>
      </c>
      <c r="C1602" t="inlineStr">
        <is>
          <t>Driver</t>
        </is>
      </c>
      <c r="D1602" t="inlineStr">
        <is>
          <t>Chauffeur</t>
        </is>
      </c>
      <c r="E1602" t="inlineStr">
        <is>
          <t>Michel Gendreau</t>
        </is>
      </c>
      <c r="F1602" t="inlineStr">
        <is>
          <t>Deliver secure documents to the Minister and drive the Minister to Ministerial announcement in St-Hyacinthe.</t>
        </is>
      </c>
      <c r="G1602" t="inlineStr">
        <is>
          <t>Livrer des documents sécurisés à la  Ministre et conduire la Ministre à l'annonce ministérielle à St-Hyacinthe.</t>
        </is>
      </c>
      <c r="H1602" s="1" t="n">
        <v>44350</v>
      </c>
      <c r="I1602" s="1" t="n">
        <v>44351</v>
      </c>
      <c r="J1602" t="inlineStr">
        <is>
          <t>Sherbrooke (Quebec) Canada
St-Hyacinthe (Quebec) Canada</t>
        </is>
      </c>
      <c r="K1602" t="inlineStr">
        <is>
          <t>Sherbrooke (Québec) Canada
St-Hyacinthe (Québec) Canada</t>
        </is>
      </c>
      <c r="P1602" t="n">
        <v>0</v>
      </c>
      <c r="Q1602" t="n">
        <v>0</v>
      </c>
      <c r="R1602" t="n">
        <v>123.75</v>
      </c>
      <c r="S1602" t="n">
        <v>94.84999999999999</v>
      </c>
      <c r="T1602" t="n">
        <v>0</v>
      </c>
      <c r="U1602" t="n">
        <v>218.6</v>
      </c>
      <c r="X1602" t="inlineStr">
        <is>
          <t>aafc-aac</t>
        </is>
      </c>
      <c r="Y1602" t="inlineStr">
        <is>
          <t>Agriculture and Agri-Food Canada | Agriculture et Agroalimentaire Canada</t>
        </is>
      </c>
      <c r="Z1602" t="n">
        <v>2</v>
      </c>
      <c r="AA1602" t="n">
        <v>218.6</v>
      </c>
      <c r="AB1602">
        <f>ROUND(U1602-AA1602,2)</f>
        <v/>
      </c>
      <c r="AC1602" t="b">
        <v>0</v>
      </c>
      <c r="AD1602">
        <f>IF(U1602="","MISSING_TOTAL",IF(ABS(AB1602)&lt;=0.01,"OK","CHECK"))</f>
        <v/>
      </c>
      <c r="AE1602">
        <f>IF(U1602="","MISSING",IF(AND(AA1602&gt;0,U1602/AA1602&gt;50),"POSSIBLE_SCALE_ERROR","OK"))</f>
        <v/>
      </c>
    </row>
    <row r="1603">
      <c r="A1603" t="inlineStr">
        <is>
          <t>T-2021-P03-0004</t>
        </is>
      </c>
      <c r="B1603" t="inlineStr">
        <is>
          <t>MPSES</t>
        </is>
      </c>
      <c r="C1603" t="inlineStr">
        <is>
          <t>Driver</t>
        </is>
      </c>
      <c r="D1603" t="inlineStr">
        <is>
          <t>Chauffeur</t>
        </is>
      </c>
      <c r="E1603" t="inlineStr">
        <is>
          <t>Michel Gendreau</t>
        </is>
      </c>
      <c r="F1603" t="inlineStr">
        <is>
          <t>Deliver secure documents to the Minister and drive the Minister to Ministerial announcement in Montérégie.</t>
        </is>
      </c>
      <c r="G1603" t="inlineStr">
        <is>
          <t>Livrer des documents sécurisés à la  Ministre et conduire la Ministre à l'annonce ministérielle à Montérégie.</t>
        </is>
      </c>
      <c r="H1603" s="1" t="n">
        <v>44361</v>
      </c>
      <c r="I1603" s="1" t="n">
        <v>44361</v>
      </c>
      <c r="J1603" t="inlineStr">
        <is>
          <t>Sherbrooke (Quebec) Canada
Montérégie (Quebec) Canada</t>
        </is>
      </c>
      <c r="K1603" t="inlineStr">
        <is>
          <t>Sherbrooke (Québec) Canada
Montérégie (Québec) Canada</t>
        </is>
      </c>
      <c r="P1603" t="n">
        <v>0</v>
      </c>
      <c r="Q1603" t="n">
        <v>4.8</v>
      </c>
      <c r="R1603" t="n">
        <v>0</v>
      </c>
      <c r="S1603" t="n">
        <v>94.84999999999999</v>
      </c>
      <c r="T1603" t="n">
        <v>0</v>
      </c>
      <c r="U1603" t="n">
        <v>99.65000000000001</v>
      </c>
      <c r="X1603" t="inlineStr">
        <is>
          <t>aafc-aac</t>
        </is>
      </c>
      <c r="Y1603" t="inlineStr">
        <is>
          <t>Agriculture and Agri-Food Canada | Agriculture et Agroalimentaire Canada</t>
        </is>
      </c>
      <c r="Z1603" t="n">
        <v>1</v>
      </c>
      <c r="AA1603" t="n">
        <v>99.64999999999991</v>
      </c>
      <c r="AB1603">
        <f>ROUND(U1603-AA1603,2)</f>
        <v/>
      </c>
      <c r="AC1603" t="b">
        <v>0</v>
      </c>
      <c r="AD1603">
        <f>IF(U1603="","MISSING_TOTAL",IF(ABS(AB1603)&lt;=0.01,"OK","CHECK"))</f>
        <v/>
      </c>
      <c r="AE1603">
        <f>IF(U1603="","MISSING",IF(AND(AA1603&gt;0,U1603/AA1603&gt;50),"POSSIBLE_SCALE_ERROR","OK"))</f>
        <v/>
      </c>
    </row>
    <row r="1604">
      <c r="A1604" t="inlineStr">
        <is>
          <t>T-2021-P04-0001</t>
        </is>
      </c>
      <c r="B1604" t="inlineStr">
        <is>
          <t>SLE</t>
        </is>
      </c>
      <c r="C1604" t="inlineStr">
        <is>
          <t>Assistant Deputy Minister, Corporate Management Branch</t>
        </is>
      </c>
      <c r="D1604" t="inlineStr">
        <is>
          <t>Sous-ministre adjointe, Direction générale de la gestion intégrée</t>
        </is>
      </c>
      <c r="E1604" t="inlineStr">
        <is>
          <t>Marie-Claude Guérard</t>
        </is>
      </c>
      <c r="F1604" t="inlineStr">
        <is>
          <t>To visit the National Headquarters Complex for the Agriculture Portfolio (NHCAP) and meet with fellow Assistant Deputy Ministers, her direct reports and the Deputy Minister.</t>
        </is>
      </c>
      <c r="G1604" t="inlineStr">
        <is>
          <t>Visiter le complexe de l’Administration centrale pour le portefeuille de l’agriculture (CACPA) afin de rencontrer les sous-ministres adjoints, ses subalternes directs ainsi que le sous-ministre.</t>
        </is>
      </c>
      <c r="H1604" s="1" t="n">
        <v>44368</v>
      </c>
      <c r="I1604" s="1" t="n">
        <v>44369</v>
      </c>
      <c r="J1604" t="inlineStr">
        <is>
          <t>Ottawa (Ontario) Canada</t>
        </is>
      </c>
      <c r="K1604" t="inlineStr">
        <is>
          <t>Ottawa (Ontario) Canada</t>
        </is>
      </c>
      <c r="P1604" t="n">
        <v>0</v>
      </c>
      <c r="Q1604" t="n">
        <v>309</v>
      </c>
      <c r="R1604" t="n">
        <v>151.6</v>
      </c>
      <c r="S1604" t="n">
        <v>150.8</v>
      </c>
      <c r="T1604" t="n">
        <v>0</v>
      </c>
      <c r="U1604" t="n">
        <v>611.4</v>
      </c>
      <c r="X1604" t="inlineStr">
        <is>
          <t>aafc-aac</t>
        </is>
      </c>
      <c r="Y1604" t="inlineStr">
        <is>
          <t>Agriculture and Agri-Food Canada | Agriculture et Agroalimentaire Canada</t>
        </is>
      </c>
      <c r="Z1604" t="n">
        <v>2</v>
      </c>
      <c r="AA1604" t="n">
        <v>611.4</v>
      </c>
      <c r="AB1604">
        <f>ROUND(U1604-AA1604,2)</f>
        <v/>
      </c>
      <c r="AC1604" t="b">
        <v>0</v>
      </c>
      <c r="AD1604">
        <f>IF(U1604="","MISSING_TOTAL",IF(ABS(AB1604)&lt;=0.01,"OK","CHECK"))</f>
        <v/>
      </c>
      <c r="AE1604">
        <f>IF(U1604="","MISSING",IF(AND(AA1604&gt;0,U1604/AA1604&gt;50),"POSSIBLE_SCALE_ERROR","OK"))</f>
        <v/>
      </c>
    </row>
    <row r="1605">
      <c r="A1605" t="inlineStr">
        <is>
          <t>T-2021-P05-0001</t>
        </is>
      </c>
      <c r="B1605" t="inlineStr">
        <is>
          <t>MPSES</t>
        </is>
      </c>
      <c r="C1605" t="inlineStr">
        <is>
          <t>Minister</t>
        </is>
      </c>
      <c r="D1605" t="inlineStr">
        <is>
          <t>Ministre</t>
        </is>
      </c>
      <c r="E1605" t="inlineStr">
        <is>
          <t>Marie-Claude Bibeau</t>
        </is>
      </c>
      <c r="F1605" t="inlineStr">
        <is>
          <t>Attend an Outreach in Montebelo, Laval and Saint-Hyacinthe.</t>
        </is>
      </c>
      <c r="G1605" t="inlineStr">
        <is>
          <t>Participer à une campagne de sensibilisation à Montebelo, à Laval et à Saint-Hyacinthe.</t>
        </is>
      </c>
      <c r="H1605" s="1" t="n">
        <v>44406</v>
      </c>
      <c r="I1605" s="1" t="n">
        <v>44407</v>
      </c>
      <c r="J1605" t="inlineStr">
        <is>
          <t>Montebello (Quebec) Canada; Laval(Quebec) Canada; Saint-Hyacinthe (Quebec) Canada</t>
        </is>
      </c>
      <c r="K1605" t="inlineStr">
        <is>
          <t>Montébello (Québec) Canada; Laval (Québec) Canada; Saint-Hyacinthe (Québec) Canada</t>
        </is>
      </c>
      <c r="P1605" t="n">
        <v>0</v>
      </c>
      <c r="Q1605" t="n">
        <v>0</v>
      </c>
      <c r="R1605" t="n">
        <v>190.4</v>
      </c>
      <c r="S1605" t="n">
        <v>137.3</v>
      </c>
      <c r="T1605" t="n">
        <v>0</v>
      </c>
      <c r="U1605" t="n">
        <v>327.7</v>
      </c>
      <c r="X1605" t="inlineStr">
        <is>
          <t>aafc-aac</t>
        </is>
      </c>
      <c r="Y1605" t="inlineStr">
        <is>
          <t>Agriculture and Agri-Food Canada | Agriculture et Agroalimentaire Canada</t>
        </is>
      </c>
      <c r="Z1605" t="n">
        <v>2</v>
      </c>
      <c r="AA1605" t="n">
        <v>327.7</v>
      </c>
      <c r="AB1605">
        <f>ROUND(U1605-AA1605,2)</f>
        <v/>
      </c>
      <c r="AC1605" t="b">
        <v>0</v>
      </c>
      <c r="AD1605">
        <f>IF(U1605="","MISSING_TOTAL",IF(ABS(AB1605)&lt;=0.01,"OK","CHECK"))</f>
        <v/>
      </c>
      <c r="AE1605">
        <f>IF(U1605="","MISSING",IF(AND(AA1605&gt;0,U1605/AA1605&gt;50),"POSSIBLE_SCALE_ERROR","OK"))</f>
        <v/>
      </c>
    </row>
    <row r="1606">
      <c r="A1606" t="inlineStr">
        <is>
          <t>T-2021-P05-0002</t>
        </is>
      </c>
      <c r="B1606" t="inlineStr">
        <is>
          <t>MPSES</t>
        </is>
      </c>
      <c r="C1606" t="inlineStr">
        <is>
          <t>Minister</t>
        </is>
      </c>
      <c r="D1606" t="inlineStr">
        <is>
          <t>Ministre</t>
        </is>
      </c>
      <c r="E1606" t="inlineStr">
        <is>
          <t>Marie-Claude Bibeau</t>
        </is>
      </c>
      <c r="F1606" t="inlineStr">
        <is>
          <t>Attend an Outreach in Lac-Saint-Jean, Hebertville, Saint-Felicien and Normandin.</t>
        </is>
      </c>
      <c r="G1606" t="inlineStr">
        <is>
          <t>Participer à une campagne de sensibilisation à Lac-Saint-Jean, à Hébertville, à Saint-Félicien et à Normandin.</t>
        </is>
      </c>
      <c r="H1606" s="1" t="n">
        <v>44384</v>
      </c>
      <c r="I1606" s="1" t="n">
        <v>44386</v>
      </c>
      <c r="J1606" t="inlineStr">
        <is>
          <t>Lac-Saint-Jean (Quebec) Canada; Hebertville (Quebec) Canada; Saint-Felicien (Quebec) Canada; Normandin (Quebec) Canada</t>
        </is>
      </c>
      <c r="K1606" t="inlineStr">
        <is>
          <t>Lac-Saint-Jean (Québec) Canada; Hebertville (Québec) Canada; Saint-Félicien (Québec) Canada; Normandin (Québec) Canada</t>
        </is>
      </c>
      <c r="P1606" t="n">
        <v>0</v>
      </c>
      <c r="Q1606" t="n">
        <v>0</v>
      </c>
      <c r="R1606" t="n">
        <v>403.01</v>
      </c>
      <c r="S1606" t="n">
        <v>263.45</v>
      </c>
      <c r="T1606" t="n">
        <v>0</v>
      </c>
      <c r="U1606" t="n">
        <v>666.46</v>
      </c>
      <c r="X1606" t="inlineStr">
        <is>
          <t>aafc-aac</t>
        </is>
      </c>
      <c r="Y1606" t="inlineStr">
        <is>
          <t>Agriculture and Agri-Food Canada | Agriculture et Agroalimentaire Canada</t>
        </is>
      </c>
      <c r="Z1606" t="n">
        <v>3</v>
      </c>
      <c r="AA1606" t="n">
        <v>666.46</v>
      </c>
      <c r="AB1606">
        <f>ROUND(U1606-AA1606,2)</f>
        <v/>
      </c>
      <c r="AC1606" t="b">
        <v>0</v>
      </c>
      <c r="AD1606">
        <f>IF(U1606="","MISSING_TOTAL",IF(ABS(AB1606)&lt;=0.01,"OK","CHECK"))</f>
        <v/>
      </c>
      <c r="AE1606">
        <f>IF(U1606="","MISSING",IF(AND(AA1606&gt;0,U1606/AA1606&gt;50),"POSSIBLE_SCALE_ERROR","OK"))</f>
        <v/>
      </c>
    </row>
    <row r="1607">
      <c r="A1607" t="inlineStr">
        <is>
          <t>T-2021-P05-0003</t>
        </is>
      </c>
      <c r="B1607" t="inlineStr">
        <is>
          <t>MPSES</t>
        </is>
      </c>
      <c r="C1607" t="inlineStr">
        <is>
          <t>Minister</t>
        </is>
      </c>
      <c r="D1607" t="inlineStr">
        <is>
          <t>Ministre</t>
        </is>
      </c>
      <c r="E1607" t="inlineStr">
        <is>
          <t>Marie-Claude Bibeau</t>
        </is>
      </c>
      <c r="F1607" t="inlineStr">
        <is>
          <t>Attend an Outreach in Winnipeg.</t>
        </is>
      </c>
      <c r="G1607" t="inlineStr">
        <is>
          <t>Participer à une campagne de sensibilisation à Winnipeg.</t>
        </is>
      </c>
      <c r="H1607" s="1" t="n">
        <v>44398</v>
      </c>
      <c r="I1607" s="1" t="n">
        <v>44400</v>
      </c>
      <c r="J1607" t="inlineStr">
        <is>
          <t>Winnipeg (Manitoba) Canada</t>
        </is>
      </c>
      <c r="K1607" t="inlineStr">
        <is>
          <t>Winnipeg (Manitoba) Canada</t>
        </is>
      </c>
      <c r="P1607" t="n">
        <v>1475.73</v>
      </c>
      <c r="Q1607" t="n">
        <v>0</v>
      </c>
      <c r="R1607" t="n">
        <v>325.96</v>
      </c>
      <c r="S1607" t="n">
        <v>189.7</v>
      </c>
      <c r="T1607" t="n">
        <v>0</v>
      </c>
      <c r="U1607" t="n">
        <v>1991.39</v>
      </c>
      <c r="X1607" t="inlineStr">
        <is>
          <t>aafc-aac</t>
        </is>
      </c>
      <c r="Y1607" t="inlineStr">
        <is>
          <t>Agriculture and Agri-Food Canada | Agriculture et Agroalimentaire Canada</t>
        </is>
      </c>
      <c r="Z1607" t="n">
        <v>3</v>
      </c>
      <c r="AA1607" t="n">
        <v>1991.39</v>
      </c>
      <c r="AB1607">
        <f>ROUND(U1607-AA1607,2)</f>
        <v/>
      </c>
      <c r="AC1607" t="b">
        <v>0</v>
      </c>
      <c r="AD1607">
        <f>IF(U1607="","MISSING_TOTAL",IF(ABS(AB1607)&lt;=0.01,"OK","CHECK"))</f>
        <v/>
      </c>
      <c r="AE1607">
        <f>IF(U1607="","MISSING",IF(AND(AA1607&gt;0,U1607/AA1607&gt;50),"POSSIBLE_SCALE_ERROR","OK"))</f>
        <v/>
      </c>
    </row>
    <row r="1608">
      <c r="A1608" t="inlineStr">
        <is>
          <t>T-2021-P05-0004</t>
        </is>
      </c>
      <c r="B1608" t="inlineStr">
        <is>
          <t>MPSES</t>
        </is>
      </c>
      <c r="C1608" t="inlineStr">
        <is>
          <t>Chief of Staff</t>
        </is>
      </c>
      <c r="D1608" t="inlineStr">
        <is>
          <t>Chef de cabinet</t>
        </is>
      </c>
      <c r="E1608" t="inlineStr">
        <is>
          <t>Alison Porter</t>
        </is>
      </c>
      <c r="F1608" t="inlineStr">
        <is>
          <t>Accompany the Minister to an Outreach in Warwick.</t>
        </is>
      </c>
      <c r="G1608" t="inlineStr">
        <is>
          <t>Accompagner la ministre à une campagne de sensibilisation à Warwick.</t>
        </is>
      </c>
      <c r="H1608" s="1" t="n">
        <v>44390</v>
      </c>
      <c r="I1608" s="1" t="n">
        <v>44390</v>
      </c>
      <c r="J1608" t="inlineStr">
        <is>
          <t>Warwick (Quebec) Canada</t>
        </is>
      </c>
      <c r="K1608" t="inlineStr">
        <is>
          <t>Warwick (Québec) Canada</t>
        </is>
      </c>
      <c r="P1608" t="n">
        <v>0</v>
      </c>
      <c r="Q1608" t="n">
        <v>43.6</v>
      </c>
      <c r="R1608" t="n">
        <v>0</v>
      </c>
      <c r="S1608" t="n">
        <v>0</v>
      </c>
      <c r="T1608" t="n">
        <v>0</v>
      </c>
      <c r="U1608" t="n">
        <v>43.6</v>
      </c>
      <c r="X1608" t="inlineStr">
        <is>
          <t>aafc-aac</t>
        </is>
      </c>
      <c r="Y1608" t="inlineStr">
        <is>
          <t>Agriculture and Agri-Food Canada | Agriculture et Agroalimentaire Canada</t>
        </is>
      </c>
      <c r="Z1608" t="n">
        <v>1</v>
      </c>
      <c r="AA1608" t="n">
        <v>43.6</v>
      </c>
      <c r="AB1608">
        <f>ROUND(U1608-AA1608,2)</f>
        <v/>
      </c>
      <c r="AC1608" t="b">
        <v>0</v>
      </c>
      <c r="AD1608">
        <f>IF(U1608="","MISSING_TOTAL",IF(ABS(AB1608)&lt;=0.01,"OK","CHECK"))</f>
        <v/>
      </c>
      <c r="AE1608">
        <f>IF(U1608="","MISSING",IF(AND(AA1608&gt;0,U1608/AA1608&gt;50),"POSSIBLE_SCALE_ERROR","OK"))</f>
        <v/>
      </c>
    </row>
    <row r="1609">
      <c r="A1609" t="inlineStr">
        <is>
          <t>T-2021-P05-0005</t>
        </is>
      </c>
      <c r="B1609" t="inlineStr">
        <is>
          <t>MPSES</t>
        </is>
      </c>
      <c r="C1609" t="inlineStr">
        <is>
          <t>Operations Manager</t>
        </is>
      </c>
      <c r="D1609" t="inlineStr">
        <is>
          <t>Gestionnaire des opérations</t>
        </is>
      </c>
      <c r="E1609" t="inlineStr">
        <is>
          <t>Benjamin Hooker</t>
        </is>
      </c>
      <c r="F1609" t="inlineStr">
        <is>
          <t>Accompany the Minister to an Outreach in Montreal.</t>
        </is>
      </c>
      <c r="G1609" t="inlineStr">
        <is>
          <t>Accompagner la ministre à une campagne de sensibilisation à Montréal.</t>
        </is>
      </c>
      <c r="H1609" s="1" t="n">
        <v>44389</v>
      </c>
      <c r="I1609" s="1" t="n">
        <v>44389</v>
      </c>
      <c r="J1609" t="inlineStr">
        <is>
          <t>Montreal (Quebec) Canada</t>
        </is>
      </c>
      <c r="K1609" t="inlineStr">
        <is>
          <t>Montréal (Québec) Canada</t>
        </is>
      </c>
      <c r="P1609" t="n">
        <v>0</v>
      </c>
      <c r="Q1609" t="n">
        <v>93.52</v>
      </c>
      <c r="R1609" t="n">
        <v>0</v>
      </c>
      <c r="S1609" t="n">
        <v>94.84999999999999</v>
      </c>
      <c r="T1609" t="n">
        <v>0</v>
      </c>
      <c r="U1609" t="n">
        <v>188.37</v>
      </c>
      <c r="X1609" t="inlineStr">
        <is>
          <t>aafc-aac</t>
        </is>
      </c>
      <c r="Y1609" t="inlineStr">
        <is>
          <t>Agriculture and Agri-Food Canada | Agriculture et Agroalimentaire Canada</t>
        </is>
      </c>
      <c r="Z1609" t="n">
        <v>1</v>
      </c>
      <c r="AA1609" t="n">
        <v>188.37</v>
      </c>
      <c r="AB1609">
        <f>ROUND(U1609-AA1609,2)</f>
        <v/>
      </c>
      <c r="AC1609" t="b">
        <v>0</v>
      </c>
      <c r="AD1609">
        <f>IF(U1609="","MISSING_TOTAL",IF(ABS(AB1609)&lt;=0.01,"OK","CHECK"))</f>
        <v/>
      </c>
      <c r="AE1609">
        <f>IF(U1609="","MISSING",IF(AND(AA1609&gt;0,U1609/AA1609&gt;50),"POSSIBLE_SCALE_ERROR","OK"))</f>
        <v/>
      </c>
    </row>
    <row r="1610">
      <c r="A1610" t="inlineStr">
        <is>
          <t>T-2021-P05-0006</t>
        </is>
      </c>
      <c r="B1610" t="inlineStr">
        <is>
          <t>MPSES</t>
        </is>
      </c>
      <c r="C1610" t="inlineStr">
        <is>
          <t>Driver</t>
        </is>
      </c>
      <c r="D1610" t="inlineStr">
        <is>
          <t>Chauffeur</t>
        </is>
      </c>
      <c r="E1610" t="inlineStr">
        <is>
          <t>Michel Gendreau</t>
        </is>
      </c>
      <c r="F1610" t="inlineStr">
        <is>
          <t>Accompany the Minister to an Outreach in Quebec.</t>
        </is>
      </c>
      <c r="G1610" t="inlineStr">
        <is>
          <t>Accompagner la ministre à une campagne de sensibilisation au Québec.</t>
        </is>
      </c>
      <c r="H1610" s="1" t="n">
        <v>44382</v>
      </c>
      <c r="I1610" s="1" t="n">
        <v>44386</v>
      </c>
      <c r="J1610" t="inlineStr">
        <is>
          <t>Quebec (Quebec) Canada
Lac-Saint-Jean (Quebec) Canada
Heberville (Quebec) Canada
Saint-Felicien (Quebec) Canada
Normandin (Quebec) Canada</t>
        </is>
      </c>
      <c r="K1610" t="inlineStr">
        <is>
          <t>Québec (Québec) Canada
Lac-Saint-Jean (Québec) Canada
Héberville (Québec) Canada
Saint-Félicien (Québec) Canada
Normandin (Québec) Canada</t>
        </is>
      </c>
      <c r="P1610" t="n">
        <v>0</v>
      </c>
      <c r="Q1610" t="n">
        <v>29.99</v>
      </c>
      <c r="R1610" t="n">
        <v>591.41</v>
      </c>
      <c r="S1610" t="n">
        <v>431.8</v>
      </c>
      <c r="T1610" t="n">
        <v>0</v>
      </c>
      <c r="U1610" t="n">
        <v>1053.2</v>
      </c>
      <c r="X1610" t="inlineStr">
        <is>
          <t>aafc-aac</t>
        </is>
      </c>
      <c r="Y1610" t="inlineStr">
        <is>
          <t>Agriculture and Agri-Food Canada | Agriculture et Agroalimentaire Canada</t>
        </is>
      </c>
      <c r="Z1610" t="n">
        <v>5</v>
      </c>
      <c r="AA1610" t="n">
        <v>1053.2</v>
      </c>
      <c r="AB1610">
        <f>ROUND(U1610-AA1610,2)</f>
        <v/>
      </c>
      <c r="AC1610" t="b">
        <v>0</v>
      </c>
      <c r="AD1610">
        <f>IF(U1610="","MISSING_TOTAL",IF(ABS(AB1610)&lt;=0.01,"OK","CHECK"))</f>
        <v/>
      </c>
      <c r="AE1610">
        <f>IF(U1610="","MISSING",IF(AND(AA1610&gt;0,U1610/AA1610&gt;50),"POSSIBLE_SCALE_ERROR","OK"))</f>
        <v/>
      </c>
    </row>
    <row r="1611">
      <c r="A1611" t="inlineStr">
        <is>
          <t>T-2021-P05-0007</t>
        </is>
      </c>
      <c r="B1611" t="inlineStr">
        <is>
          <t>MPSES</t>
        </is>
      </c>
      <c r="C1611" t="inlineStr">
        <is>
          <t>Driver</t>
        </is>
      </c>
      <c r="D1611" t="inlineStr">
        <is>
          <t>Chauffeur</t>
        </is>
      </c>
      <c r="E1611" t="inlineStr">
        <is>
          <t>Michel Gendreau</t>
        </is>
      </c>
      <c r="F1611" t="inlineStr">
        <is>
          <t>Accompany the Minister to an Outreach in Montreal and Warwick.</t>
        </is>
      </c>
      <c r="G1611" t="inlineStr">
        <is>
          <t>Accompagner la ministre à une campagne de sensibilisation à Montréal et Warwick.</t>
        </is>
      </c>
      <c r="H1611" s="1" t="n">
        <v>44388</v>
      </c>
      <c r="I1611" s="1" t="n">
        <v>44390</v>
      </c>
      <c r="J1611" t="inlineStr">
        <is>
          <t>Montreal (Quebec) Canada
Warwick (Quebec) Canada</t>
        </is>
      </c>
      <c r="K1611" t="inlineStr">
        <is>
          <t>Montréal (Québec) Canada
Warwick (Québec) Canada</t>
        </is>
      </c>
      <c r="P1611" t="n">
        <v>0</v>
      </c>
      <c r="Q1611" t="n">
        <v>4.8</v>
      </c>
      <c r="R1611" t="n">
        <v>247.5</v>
      </c>
      <c r="S1611" t="n">
        <v>242.1</v>
      </c>
      <c r="T1611" t="n">
        <v>0</v>
      </c>
      <c r="U1611" t="n">
        <v>494.4</v>
      </c>
      <c r="X1611" t="inlineStr">
        <is>
          <t>aafc-aac</t>
        </is>
      </c>
      <c r="Y1611" t="inlineStr">
        <is>
          <t>Agriculture and Agri-Food Canada | Agriculture et Agroalimentaire Canada</t>
        </is>
      </c>
      <c r="Z1611" t="n">
        <v>3</v>
      </c>
      <c r="AA1611" t="n">
        <v>494.4</v>
      </c>
      <c r="AB1611">
        <f>ROUND(U1611-AA1611,2)</f>
        <v/>
      </c>
      <c r="AC1611" t="b">
        <v>0</v>
      </c>
      <c r="AD1611">
        <f>IF(U1611="","MISSING_TOTAL",IF(ABS(AB1611)&lt;=0.01,"OK","CHECK"))</f>
        <v/>
      </c>
      <c r="AE1611">
        <f>IF(U1611="","MISSING",IF(AND(AA1611&gt;0,U1611/AA1611&gt;50),"POSSIBLE_SCALE_ERROR","OK"))</f>
        <v/>
      </c>
    </row>
    <row r="1612">
      <c r="A1612" t="inlineStr">
        <is>
          <t>T-2021-P05-0008</t>
        </is>
      </c>
      <c r="B1612" t="inlineStr">
        <is>
          <t>MPSES</t>
        </is>
      </c>
      <c r="C1612" t="inlineStr">
        <is>
          <t>Driver</t>
        </is>
      </c>
      <c r="D1612" t="inlineStr">
        <is>
          <t>Chauffeur</t>
        </is>
      </c>
      <c r="E1612" t="inlineStr">
        <is>
          <t>Michel Gendreau</t>
        </is>
      </c>
      <c r="F1612" t="inlineStr">
        <is>
          <t>Drove the Minister to the Eastern Townships for a tour and to Vaudreuil-Dorion for an annoucement and tour.</t>
        </is>
      </c>
      <c r="G1612" t="inlineStr">
        <is>
          <t>Conduire la ministre en Estrie pour une tournée et à Vaudreuil-Dorion pour une annonce et une tournée.</t>
        </is>
      </c>
      <c r="H1612" s="1" t="n">
        <v>44396</v>
      </c>
      <c r="I1612" s="1" t="n">
        <v>44398</v>
      </c>
      <c r="J1612" t="inlineStr">
        <is>
          <t>Sherbrooke (Quebec) Canada
Vaudreuil-Dorion (Quebec) Canada</t>
        </is>
      </c>
      <c r="K1612" t="inlineStr">
        <is>
          <t>Sherbrooke (Québec) Canada
Vaudreuil-Dorion (Québec) Canada</t>
        </is>
      </c>
      <c r="P1612" t="n">
        <v>0</v>
      </c>
      <c r="Q1612" t="n">
        <v>2.4</v>
      </c>
      <c r="R1612" t="n">
        <v>333.08</v>
      </c>
      <c r="S1612" t="n">
        <v>242.1</v>
      </c>
      <c r="T1612" t="n">
        <v>0</v>
      </c>
      <c r="U1612" t="n">
        <v>577.58</v>
      </c>
      <c r="X1612" t="inlineStr">
        <is>
          <t>aafc-aac</t>
        </is>
      </c>
      <c r="Y1612" t="inlineStr">
        <is>
          <t>Agriculture and Agri-Food Canada | Agriculture et Agroalimentaire Canada</t>
        </is>
      </c>
      <c r="Z1612" t="n">
        <v>3</v>
      </c>
      <c r="AA1612" t="n">
        <v>577.579999999999</v>
      </c>
      <c r="AB1612">
        <f>ROUND(U1612-AA1612,2)</f>
        <v/>
      </c>
      <c r="AC1612" t="b">
        <v>0</v>
      </c>
      <c r="AD1612">
        <f>IF(U1612="","MISSING_TOTAL",IF(ABS(AB1612)&lt;=0.01,"OK","CHECK"))</f>
        <v/>
      </c>
      <c r="AE1612">
        <f>IF(U1612="","MISSING",IF(AND(AA1612&gt;0,U1612/AA1612&gt;50),"POSSIBLE_SCALE_ERROR","OK"))</f>
        <v/>
      </c>
    </row>
    <row r="1613">
      <c r="A1613" t="inlineStr">
        <is>
          <t>T-2021-P05-0009</t>
        </is>
      </c>
      <c r="B1613" t="inlineStr">
        <is>
          <t>MPSES</t>
        </is>
      </c>
      <c r="C1613" t="inlineStr">
        <is>
          <t>Driver</t>
        </is>
      </c>
      <c r="D1613" t="inlineStr">
        <is>
          <t>Chauffeur</t>
        </is>
      </c>
      <c r="E1613" t="inlineStr">
        <is>
          <t>Michel Gendreau</t>
        </is>
      </c>
      <c r="F1613" t="inlineStr">
        <is>
          <t>Drove the Minister to Embrun and Russell area for farm visits and roundtables.</t>
        </is>
      </c>
      <c r="G1613" t="inlineStr">
        <is>
          <t>Conduire la ministre à la région d'Embrun et Russell pour des visites de fermes et des tables rondes.</t>
        </is>
      </c>
      <c r="H1613" s="1" t="n">
        <v>44404</v>
      </c>
      <c r="I1613" s="1" t="n">
        <v>44404</v>
      </c>
      <c r="J1613" t="inlineStr">
        <is>
          <t>Embrun (Ontario) Canada
Russell (Ontario) Canada</t>
        </is>
      </c>
      <c r="K1613" t="inlineStr">
        <is>
          <t>Embrun (Ontario) Canada
Russell (Ontario) Canada</t>
        </is>
      </c>
      <c r="P1613" t="n">
        <v>0</v>
      </c>
      <c r="Q1613" t="n">
        <v>4.8</v>
      </c>
      <c r="R1613" t="n">
        <v>0</v>
      </c>
      <c r="S1613" t="n">
        <v>94.84999999999999</v>
      </c>
      <c r="T1613" t="n">
        <v>0</v>
      </c>
      <c r="U1613" t="n">
        <v>99.65000000000001</v>
      </c>
      <c r="X1613" t="inlineStr">
        <is>
          <t>aafc-aac</t>
        </is>
      </c>
      <c r="Y1613" t="inlineStr">
        <is>
          <t>Agriculture and Agri-Food Canada | Agriculture et Agroalimentaire Canada</t>
        </is>
      </c>
      <c r="Z1613" t="n">
        <v>1</v>
      </c>
      <c r="AA1613" t="n">
        <v>99.64999999999991</v>
      </c>
      <c r="AB1613">
        <f>ROUND(U1613-AA1613,2)</f>
        <v/>
      </c>
      <c r="AC1613" t="b">
        <v>0</v>
      </c>
      <c r="AD1613">
        <f>IF(U1613="","MISSING_TOTAL",IF(ABS(AB1613)&lt;=0.01,"OK","CHECK"))</f>
        <v/>
      </c>
      <c r="AE1613">
        <f>IF(U1613="","MISSING",IF(AND(AA1613&gt;0,U1613/AA1613&gt;50),"POSSIBLE_SCALE_ERROR","OK"))</f>
        <v/>
      </c>
    </row>
    <row r="1614">
      <c r="A1614" t="inlineStr">
        <is>
          <t>T-2021-P05-0010</t>
        </is>
      </c>
      <c r="B1614" t="inlineStr">
        <is>
          <t>MPSES</t>
        </is>
      </c>
      <c r="C1614" t="inlineStr">
        <is>
          <t>Driver</t>
        </is>
      </c>
      <c r="D1614" t="inlineStr">
        <is>
          <t>Chauffeur</t>
        </is>
      </c>
      <c r="E1614" t="inlineStr">
        <is>
          <t>Michel Gendreau</t>
        </is>
      </c>
      <c r="F1614" t="inlineStr">
        <is>
          <t>Accompany the Minister to an Outreach in Montreal and surrounding areas.</t>
        </is>
      </c>
      <c r="G1614" t="inlineStr">
        <is>
          <t>Accompagner la ministre à une campagne de sensibilisation à Montréal et ses environs.</t>
        </is>
      </c>
      <c r="H1614" s="1" t="n">
        <v>44406</v>
      </c>
      <c r="I1614" s="1" t="n">
        <v>44407</v>
      </c>
      <c r="J1614" t="inlineStr">
        <is>
          <t>Montreal (Quebec) Canada
Laval (Quebec) Canada
Montebello (Quebec) Canada
Saint-Hyacinthe (Quebec) Canada</t>
        </is>
      </c>
      <c r="K1614" t="inlineStr">
        <is>
          <t>Montréal (Québec) Canada
Laval (Québec) Canada
Montébello (Québec) Canada
Saint-Hyacinthe (Québec) Canada</t>
        </is>
      </c>
      <c r="P1614" t="n">
        <v>0</v>
      </c>
      <c r="Q1614" t="n">
        <v>35.74</v>
      </c>
      <c r="R1614" t="n">
        <v>190.4</v>
      </c>
      <c r="S1614" t="n">
        <v>168.6</v>
      </c>
      <c r="T1614" t="n">
        <v>0</v>
      </c>
      <c r="U1614" t="n">
        <v>394.74</v>
      </c>
      <c r="X1614" t="inlineStr">
        <is>
          <t>aafc-aac</t>
        </is>
      </c>
      <c r="Y1614" t="inlineStr">
        <is>
          <t>Agriculture and Agri-Food Canada | Agriculture et Agroalimentaire Canada</t>
        </is>
      </c>
      <c r="Z1614" t="n">
        <v>2</v>
      </c>
      <c r="AA1614" t="n">
        <v>394.74</v>
      </c>
      <c r="AB1614">
        <f>ROUND(U1614-AA1614,2)</f>
        <v/>
      </c>
      <c r="AC1614" t="b">
        <v>0</v>
      </c>
      <c r="AD1614">
        <f>IF(U1614="","MISSING_TOTAL",IF(ABS(AB1614)&lt;=0.01,"OK","CHECK"))</f>
        <v/>
      </c>
      <c r="AE1614">
        <f>IF(U1614="","MISSING",IF(AND(AA1614&gt;0,U1614/AA1614&gt;50),"POSSIBLE_SCALE_ERROR","OK"))</f>
        <v/>
      </c>
    </row>
    <row r="1615">
      <c r="A1615" t="inlineStr">
        <is>
          <t>T-2021-P05-0011</t>
        </is>
      </c>
      <c r="B1615" t="inlineStr">
        <is>
          <t>MPSES</t>
        </is>
      </c>
      <c r="C1615" t="inlineStr">
        <is>
          <t>Social Media Manager</t>
        </is>
      </c>
      <c r="D1615" t="inlineStr">
        <is>
          <t>Gestionnaire des média sociaux</t>
        </is>
      </c>
      <c r="E1615" t="inlineStr">
        <is>
          <t>Mona Sebbane</t>
        </is>
      </c>
      <c r="F1615" t="inlineStr">
        <is>
          <t>Accompany the Minister to an Outreach in Quebec.</t>
        </is>
      </c>
      <c r="G1615" t="inlineStr">
        <is>
          <t>Accompagner la ministre à une campagne de sensibilisation à Québec.</t>
        </is>
      </c>
      <c r="H1615" s="1" t="n">
        <v>44384</v>
      </c>
      <c r="I1615" s="1" t="n">
        <v>44386</v>
      </c>
      <c r="J1615" t="inlineStr">
        <is>
          <t>Quebec (Quebec) Canada</t>
        </is>
      </c>
      <c r="K1615" t="inlineStr">
        <is>
          <t>Québec (Québec) Canada</t>
        </is>
      </c>
      <c r="P1615" t="n">
        <v>0</v>
      </c>
      <c r="Q1615" t="n">
        <v>0</v>
      </c>
      <c r="R1615" t="n">
        <v>178.1</v>
      </c>
      <c r="S1615" t="n">
        <v>168.85</v>
      </c>
      <c r="T1615" t="n">
        <v>0</v>
      </c>
      <c r="U1615" t="n">
        <v>346.95</v>
      </c>
      <c r="X1615" t="inlineStr">
        <is>
          <t>aafc-aac</t>
        </is>
      </c>
      <c r="Y1615" t="inlineStr">
        <is>
          <t>Agriculture and Agri-Food Canada | Agriculture et Agroalimentaire Canada</t>
        </is>
      </c>
      <c r="Z1615" t="n">
        <v>3</v>
      </c>
      <c r="AA1615" t="n">
        <v>346.95</v>
      </c>
      <c r="AB1615">
        <f>ROUND(U1615-AA1615,2)</f>
        <v/>
      </c>
      <c r="AC1615" t="b">
        <v>0</v>
      </c>
      <c r="AD1615">
        <f>IF(U1615="","MISSING_TOTAL",IF(ABS(AB1615)&lt;=0.01,"OK","CHECK"))</f>
        <v/>
      </c>
      <c r="AE1615">
        <f>IF(U1615="","MISSING",IF(AND(AA1615&gt;0,U1615/AA1615&gt;50),"POSSIBLE_SCALE_ERROR","OK"))</f>
        <v/>
      </c>
    </row>
    <row r="1616">
      <c r="A1616" t="inlineStr">
        <is>
          <t>T-2021-P05-0012</t>
        </is>
      </c>
      <c r="B1616" t="inlineStr">
        <is>
          <t>MPSES</t>
        </is>
      </c>
      <c r="C1616" t="inlineStr">
        <is>
          <t>Director of Communications</t>
        </is>
      </c>
      <c r="D1616" t="inlineStr">
        <is>
          <t>Directeur des communications</t>
        </is>
      </c>
      <c r="E1616" t="inlineStr">
        <is>
          <t>Oliver Anderson</t>
        </is>
      </c>
      <c r="F1616" t="inlineStr">
        <is>
          <t>Accompany the Minister to an Outreach in Manitoba.</t>
        </is>
      </c>
      <c r="G1616" t="inlineStr">
        <is>
          <t>Accompagner la ministre à une campagne de sensibilisation au Manitoba.</t>
        </is>
      </c>
      <c r="H1616" s="1" t="n">
        <v>44398</v>
      </c>
      <c r="I1616" s="1" t="n">
        <v>44400</v>
      </c>
      <c r="J1616" t="inlineStr">
        <is>
          <t>Winnipeg (Manitoba) Canada</t>
        </is>
      </c>
      <c r="K1616" t="inlineStr">
        <is>
          <t>Winnipeg (Manitoba) Canada</t>
        </is>
      </c>
      <c r="P1616" t="n">
        <v>834.86</v>
      </c>
      <c r="Q1616" t="n">
        <v>240.06</v>
      </c>
      <c r="R1616" t="n">
        <v>325.96</v>
      </c>
      <c r="S1616" t="n">
        <v>242.1</v>
      </c>
      <c r="T1616" t="n">
        <v>0</v>
      </c>
      <c r="U1616" t="n">
        <v>1642.98</v>
      </c>
      <c r="X1616" t="inlineStr">
        <is>
          <t>aafc-aac</t>
        </is>
      </c>
      <c r="Y1616" t="inlineStr">
        <is>
          <t>Agriculture and Agri-Food Canada | Agriculture et Agroalimentaire Canada</t>
        </is>
      </c>
      <c r="Z1616" t="n">
        <v>3</v>
      </c>
      <c r="AA1616" t="n">
        <v>1642.98</v>
      </c>
      <c r="AB1616">
        <f>ROUND(U1616-AA1616,2)</f>
        <v/>
      </c>
      <c r="AC1616" t="b">
        <v>0</v>
      </c>
      <c r="AD1616">
        <f>IF(U1616="","MISSING_TOTAL",IF(ABS(AB1616)&lt;=0.01,"OK","CHECK"))</f>
        <v/>
      </c>
      <c r="AE1616">
        <f>IF(U1616="","MISSING",IF(AND(AA1616&gt;0,U1616/AA1616&gt;50),"POSSIBLE_SCALE_ERROR","OK"))</f>
        <v/>
      </c>
    </row>
    <row r="1617">
      <c r="A1617" t="inlineStr">
        <is>
          <t>T-2021-P05-0013</t>
        </is>
      </c>
      <c r="B1617" t="inlineStr">
        <is>
          <t>MPSES</t>
        </is>
      </c>
      <c r="C1617" t="inlineStr">
        <is>
          <t>Senior Policy Advisor</t>
        </is>
      </c>
      <c r="D1617" t="inlineStr">
        <is>
          <t>Conseiller principal en politiques</t>
        </is>
      </c>
      <c r="E1617" t="inlineStr">
        <is>
          <t>Sandenga Yeba</t>
        </is>
      </c>
      <c r="F1617" t="inlineStr">
        <is>
          <t>Accompany the Minister to an Outreach in Quebec.</t>
        </is>
      </c>
      <c r="G1617" t="inlineStr">
        <is>
          <t>Accompagner la ministre à une campagne de sensibilisation au Québec.</t>
        </is>
      </c>
      <c r="H1617" s="1" t="n">
        <v>44351</v>
      </c>
      <c r="I1617" s="1" t="n">
        <v>44351</v>
      </c>
      <c r="J1617" t="inlineStr">
        <is>
          <t>Saint-Pie de Bagot(Quebec) Canada</t>
        </is>
      </c>
      <c r="K1617" t="inlineStr">
        <is>
          <t>Saint-Pie de Bagot (Québec) Canada</t>
        </is>
      </c>
      <c r="P1617" t="n">
        <v>0</v>
      </c>
      <c r="Q1617" t="n">
        <v>74.94</v>
      </c>
      <c r="R1617" t="n">
        <v>0</v>
      </c>
      <c r="S1617" t="n">
        <v>21.35</v>
      </c>
      <c r="T1617" t="n">
        <v>0</v>
      </c>
      <c r="U1617" t="n">
        <v>96.29000000000001</v>
      </c>
      <c r="X1617" t="inlineStr">
        <is>
          <t>aafc-aac</t>
        </is>
      </c>
      <c r="Y1617" t="inlineStr">
        <is>
          <t>Agriculture and Agri-Food Canada | Agriculture et Agroalimentaire Canada</t>
        </is>
      </c>
      <c r="Z1617" t="n">
        <v>1</v>
      </c>
      <c r="AA1617" t="n">
        <v>96.28999999999991</v>
      </c>
      <c r="AB1617">
        <f>ROUND(U1617-AA1617,2)</f>
        <v/>
      </c>
      <c r="AC1617" t="b">
        <v>0</v>
      </c>
      <c r="AD1617">
        <f>IF(U1617="","MISSING_TOTAL",IF(ABS(AB1617)&lt;=0.01,"OK","CHECK"))</f>
        <v/>
      </c>
      <c r="AE1617">
        <f>IF(U1617="","MISSING",IF(AND(AA1617&gt;0,U1617/AA1617&gt;50),"POSSIBLE_SCALE_ERROR","OK"))</f>
        <v/>
      </c>
    </row>
    <row r="1618">
      <c r="A1618" t="inlineStr">
        <is>
          <t>T-2021-P05-0014</t>
        </is>
      </c>
      <c r="B1618" t="inlineStr">
        <is>
          <t>MPSES</t>
        </is>
      </c>
      <c r="C1618" t="inlineStr">
        <is>
          <t>Senior Policy Advisor</t>
        </is>
      </c>
      <c r="D1618" t="inlineStr">
        <is>
          <t>Conseiller principal en politiques</t>
        </is>
      </c>
      <c r="E1618" t="inlineStr">
        <is>
          <t>Sandenga Yeba</t>
        </is>
      </c>
      <c r="F1618" t="inlineStr">
        <is>
          <t>Accompany the Minister to an Outreach in Quebec.</t>
        </is>
      </c>
      <c r="G1618" t="inlineStr">
        <is>
          <t>Accompagner la ministre à une campagne de sensibilisation au Québec.</t>
        </is>
      </c>
      <c r="H1618" s="1" t="n">
        <v>44382</v>
      </c>
      <c r="I1618" s="1" t="n">
        <v>44386</v>
      </c>
      <c r="J1618" t="inlineStr">
        <is>
          <t>Quebec (Quebec) Canada
Lac-Saint-Jean (Quebec) Canada
Heberville (Quebec) Canada
Saint-Felicien (Quebec) Canada
Normandin (Quebec) Canada</t>
        </is>
      </c>
      <c r="K1618" t="inlineStr">
        <is>
          <t>Québec (Québec) Canada
Lac-Saint-Jean (Québec) Canada
Héberville (Québec) Canada
Saint-Félicien (Québec) Canada
Normandin (Québec) Canada</t>
        </is>
      </c>
      <c r="P1618" t="n">
        <v>0</v>
      </c>
      <c r="Q1618" t="n">
        <v>0</v>
      </c>
      <c r="R1618" t="n">
        <v>581.79</v>
      </c>
      <c r="S1618" t="n">
        <v>431.8</v>
      </c>
      <c r="T1618" t="n">
        <v>0</v>
      </c>
      <c r="U1618" t="n">
        <v>1013.59</v>
      </c>
      <c r="X1618" t="inlineStr">
        <is>
          <t>aafc-aac</t>
        </is>
      </c>
      <c r="Y1618" t="inlineStr">
        <is>
          <t>Agriculture and Agri-Food Canada | Agriculture et Agroalimentaire Canada</t>
        </is>
      </c>
      <c r="Z1618" t="n">
        <v>5</v>
      </c>
      <c r="AA1618" t="n">
        <v>1013.58999999999</v>
      </c>
      <c r="AB1618">
        <f>ROUND(U1618-AA1618,2)</f>
        <v/>
      </c>
      <c r="AC1618" t="b">
        <v>0</v>
      </c>
      <c r="AD1618">
        <f>IF(U1618="","MISSING_TOTAL",IF(ABS(AB1618)&lt;=0.01,"OK","CHECK"))</f>
        <v/>
      </c>
      <c r="AE1618">
        <f>IF(U1618="","MISSING",IF(AND(AA1618&gt;0,U1618/AA1618&gt;50),"POSSIBLE_SCALE_ERROR","OK"))</f>
        <v/>
      </c>
    </row>
    <row r="1619">
      <c r="A1619" t="inlineStr">
        <is>
          <t>T-2021-P05-0015</t>
        </is>
      </c>
      <c r="B1619" t="inlineStr">
        <is>
          <t>MPSES</t>
        </is>
      </c>
      <c r="C1619" t="inlineStr">
        <is>
          <t>Parliamentary Secretary Assistant &amp; Regional Advisor</t>
        </is>
      </c>
      <c r="D1619" t="inlineStr">
        <is>
          <t>Adjoint au Secrétaire Parlementaire et conseiller régional</t>
        </is>
      </c>
      <c r="E1619" t="inlineStr">
        <is>
          <t>Osman Naqvi</t>
        </is>
      </c>
      <c r="F1619" t="inlineStr">
        <is>
          <t>Accompany the Parliamentary Secretary to an announcement and tour in the Niagara Region</t>
        </is>
      </c>
      <c r="G1619" t="inlineStr">
        <is>
          <t>Accompagner le secrétaire parlementaire à une annonce et à une tournée dans la région du Niagara</t>
        </is>
      </c>
      <c r="H1619" s="1" t="n">
        <v>44383</v>
      </c>
      <c r="I1619" s="1" t="n">
        <v>44385</v>
      </c>
      <c r="J1619" t="inlineStr">
        <is>
          <t>Niagara (Ontario) Canada</t>
        </is>
      </c>
      <c r="K1619" t="inlineStr">
        <is>
          <t>Niagara (Ontario) Canada</t>
        </is>
      </c>
      <c r="P1619" t="n">
        <v>0</v>
      </c>
      <c r="Q1619" t="n">
        <v>285.63</v>
      </c>
      <c r="R1619" t="n">
        <v>163.84</v>
      </c>
      <c r="S1619" t="n">
        <v>168.6</v>
      </c>
      <c r="T1619" t="n">
        <v>0</v>
      </c>
      <c r="U1619" t="n">
        <v>618.0700000000001</v>
      </c>
      <c r="X1619" t="inlineStr">
        <is>
          <t>aafc-aac</t>
        </is>
      </c>
      <c r="Y1619" t="inlineStr">
        <is>
          <t>Agriculture and Agri-Food Canada | Agriculture et Agroalimentaire Canada</t>
        </is>
      </c>
      <c r="Z1619" t="n">
        <v>3</v>
      </c>
      <c r="AA1619" t="n">
        <v>618.0700000000001</v>
      </c>
      <c r="AB1619">
        <f>ROUND(U1619-AA1619,2)</f>
        <v/>
      </c>
      <c r="AC1619" t="b">
        <v>0</v>
      </c>
      <c r="AD1619">
        <f>IF(U1619="","MISSING_TOTAL",IF(ABS(AB1619)&lt;=0.01,"OK","CHECK"))</f>
        <v/>
      </c>
      <c r="AE1619">
        <f>IF(U1619="","MISSING",IF(AND(AA1619&gt;0,U1619/AA1619&gt;50),"POSSIBLE_SCALE_ERROR","OK"))</f>
        <v/>
      </c>
    </row>
    <row r="1620">
      <c r="A1620" t="inlineStr">
        <is>
          <t>T-2021-P05-0016</t>
        </is>
      </c>
      <c r="B1620" t="inlineStr">
        <is>
          <t>SLE</t>
        </is>
      </c>
      <c r="C1620" t="inlineStr">
        <is>
          <t>Assistant Deputy Minister, Corporate Management Branch</t>
        </is>
      </c>
      <c r="D1620" t="inlineStr">
        <is>
          <t>Sous-ministre adjointe, Direction générale de la gestion intégrée</t>
        </is>
      </c>
      <c r="E1620" t="inlineStr">
        <is>
          <t>Marie-Claude Guérard</t>
        </is>
      </c>
      <c r="F1620" t="inlineStr">
        <is>
          <t>Visit the National Headquarters Complex for the Agriculture Portfolio (NHCAP) and meet with fellow Assistant Deputy Ministers, her direct reports, the Deputy Minister, a few Directors and Deputy Directors.</t>
        </is>
      </c>
      <c r="G1620" t="inlineStr">
        <is>
          <t>Visiter le complexe de l’administration centrale du portefeuille de l’agriculture (CACPA) afin de rencontrer les autres sous-ministres adjoints, ses subalternes directs, le sous-ministre ainsi que certains directeurs et directeurs adjoints.</t>
        </is>
      </c>
      <c r="H1620" s="1" t="n">
        <v>44389</v>
      </c>
      <c r="I1620" s="1" t="n">
        <v>44390</v>
      </c>
      <c r="J1620" t="inlineStr">
        <is>
          <t>Ottawa (Ontario) Canada</t>
        </is>
      </c>
      <c r="K1620" t="inlineStr">
        <is>
          <t>Ottawa (Ontario) Canada</t>
        </is>
      </c>
      <c r="P1620" t="n">
        <v>0</v>
      </c>
      <c r="Q1620" t="n">
        <v>327.5</v>
      </c>
      <c r="R1620" t="n">
        <v>233.86</v>
      </c>
      <c r="S1620" t="n">
        <v>150.8</v>
      </c>
      <c r="T1620" t="n">
        <v>0</v>
      </c>
      <c r="U1620" t="n">
        <v>712.16</v>
      </c>
      <c r="X1620" t="inlineStr">
        <is>
          <t>aafc-aac</t>
        </is>
      </c>
      <c r="Y1620" t="inlineStr">
        <is>
          <t>Agriculture and Agri-Food Canada | Agriculture et Agroalimentaire Canada</t>
        </is>
      </c>
      <c r="Z1620" t="n">
        <v>2</v>
      </c>
      <c r="AA1620" t="n">
        <v>712.16</v>
      </c>
      <c r="AB1620">
        <f>ROUND(U1620-AA1620,2)</f>
        <v/>
      </c>
      <c r="AC1620" t="b">
        <v>0</v>
      </c>
      <c r="AD1620">
        <f>IF(U1620="","MISSING_TOTAL",IF(ABS(AB1620)&lt;=0.01,"OK","CHECK"))</f>
        <v/>
      </c>
      <c r="AE1620">
        <f>IF(U1620="","MISSING",IF(AND(AA1620&gt;0,U1620/AA1620&gt;50),"POSSIBLE_SCALE_ERROR","OK"))</f>
        <v/>
      </c>
    </row>
    <row r="1621">
      <c r="A1621" t="inlineStr">
        <is>
          <t>T-2021-P7-0001</t>
        </is>
      </c>
      <c r="B1621" t="inlineStr">
        <is>
          <t>MPSES</t>
        </is>
      </c>
      <c r="C1621" t="inlineStr">
        <is>
          <t>Operations Manager</t>
        </is>
      </c>
      <c r="D1621" t="inlineStr">
        <is>
          <t>Gestionnaire des opérations</t>
        </is>
      </c>
      <c r="E1621" t="inlineStr">
        <is>
          <t>Benjamin Hooker</t>
        </is>
      </c>
      <c r="F1621" t="inlineStr">
        <is>
          <t>Accompanied the Minister to an Outreach.</t>
        </is>
      </c>
      <c r="G1621" t="inlineStr">
        <is>
          <t>Accompagner la ministre à une campagne de sensibilisation.</t>
        </is>
      </c>
      <c r="H1621" s="1" t="n">
        <v>44396</v>
      </c>
      <c r="I1621" s="1" t="n">
        <v>44396</v>
      </c>
      <c r="J1621" t="inlineStr">
        <is>
          <t>Vaudreuil-Dorion (Quebec) Canada</t>
        </is>
      </c>
      <c r="K1621" t="inlineStr">
        <is>
          <t>Vaudreuil-Dorion (Québec) Canada</t>
        </is>
      </c>
      <c r="P1621" t="n">
        <v>0</v>
      </c>
      <c r="Q1621" t="n">
        <v>212.55</v>
      </c>
      <c r="R1621" t="n">
        <v>0</v>
      </c>
      <c r="S1621" t="n">
        <v>94.84999999999999</v>
      </c>
      <c r="T1621" t="n">
        <v>0</v>
      </c>
      <c r="U1621" t="n">
        <v>307.4</v>
      </c>
      <c r="X1621" t="inlineStr">
        <is>
          <t>aafc-aac</t>
        </is>
      </c>
      <c r="Y1621" t="inlineStr">
        <is>
          <t>Agriculture and Agri-Food Canada | Agriculture et Agroalimentaire Canada</t>
        </is>
      </c>
      <c r="Z1621" t="n">
        <v>1</v>
      </c>
      <c r="AA1621" t="n">
        <v>307.4</v>
      </c>
      <c r="AB1621">
        <f>ROUND(U1621-AA1621,2)</f>
        <v/>
      </c>
      <c r="AC1621" t="b">
        <v>0</v>
      </c>
      <c r="AD1621">
        <f>IF(U1621="","MISSING_TOTAL",IF(ABS(AB1621)&lt;=0.01,"OK","CHECK"))</f>
        <v/>
      </c>
      <c r="AE1621">
        <f>IF(U1621="","MISSING",IF(AND(AA1621&gt;0,U1621/AA1621&gt;50),"POSSIBLE_SCALE_ERROR","OK"))</f>
        <v/>
      </c>
    </row>
    <row r="1622">
      <c r="A1622" t="inlineStr">
        <is>
          <t>T-2021-P7-0002</t>
        </is>
      </c>
      <c r="B1622" t="inlineStr">
        <is>
          <t>MPSES</t>
        </is>
      </c>
      <c r="C1622" t="inlineStr">
        <is>
          <t>Parliamentary Secretary</t>
        </is>
      </c>
      <c r="D1622" t="inlineStr">
        <is>
          <t>Secrétaire parlementaire</t>
        </is>
      </c>
      <c r="E1622" t="inlineStr">
        <is>
          <t>Neil Ellis</t>
        </is>
      </c>
      <c r="F1622" t="inlineStr">
        <is>
          <t>Attended an announcement and tour in the Niagara Region.</t>
        </is>
      </c>
      <c r="G1622" t="inlineStr">
        <is>
          <t>Participer à une annonce et à une tournée dans la région de Niagara.</t>
        </is>
      </c>
      <c r="H1622" s="1" t="n">
        <v>44383</v>
      </c>
      <c r="I1622" s="1" t="n">
        <v>44384</v>
      </c>
      <c r="J1622" t="inlineStr">
        <is>
          <t>Niagara (Ontario) Canada</t>
        </is>
      </c>
      <c r="K1622" t="inlineStr">
        <is>
          <t>Niagara (Ontario) Canada</t>
        </is>
      </c>
      <c r="P1622" t="n">
        <v>0</v>
      </c>
      <c r="Q1622" t="n">
        <v>0</v>
      </c>
      <c r="R1622" t="n">
        <v>175.14</v>
      </c>
      <c r="S1622" t="n">
        <v>168.6</v>
      </c>
      <c r="T1622" t="n">
        <v>0</v>
      </c>
      <c r="U1622" t="n">
        <v>343.74</v>
      </c>
      <c r="X1622" t="inlineStr">
        <is>
          <t>aafc-aac</t>
        </is>
      </c>
      <c r="Y1622" t="inlineStr">
        <is>
          <t>Agriculture and Agri-Food Canada | Agriculture et Agroalimentaire Canada</t>
        </is>
      </c>
      <c r="Z1622" t="n">
        <v>2</v>
      </c>
      <c r="AA1622" t="n">
        <v>343.74</v>
      </c>
      <c r="AB1622">
        <f>ROUND(U1622-AA1622,2)</f>
        <v/>
      </c>
      <c r="AC1622" t="b">
        <v>0</v>
      </c>
      <c r="AD1622">
        <f>IF(U1622="","MISSING_TOTAL",IF(ABS(AB1622)&lt;=0.01,"OK","CHECK"))</f>
        <v/>
      </c>
      <c r="AE1622">
        <f>IF(U1622="","MISSING",IF(AND(AA1622&gt;0,U1622/AA1622&gt;50),"POSSIBLE_SCALE_ERROR","OK"))</f>
        <v/>
      </c>
    </row>
    <row r="1623">
      <c r="A1623" t="inlineStr">
        <is>
          <t>T-2021-P7-0003</t>
        </is>
      </c>
      <c r="B1623" t="inlineStr">
        <is>
          <t>MPSES</t>
        </is>
      </c>
      <c r="C1623" t="inlineStr">
        <is>
          <t>Parliamentary Secretary Assistant &amp; Regional Advisor</t>
        </is>
      </c>
      <c r="D1623" t="inlineStr">
        <is>
          <t>Adjoint au Secrétaire Parlementaire et conseiller régional</t>
        </is>
      </c>
      <c r="E1623" t="inlineStr">
        <is>
          <t>Osman Naqvi</t>
        </is>
      </c>
      <c r="F1623" t="inlineStr">
        <is>
          <t>Accompanied the Parliamentary Secretary to an announcement.</t>
        </is>
      </c>
      <c r="G1623" t="inlineStr">
        <is>
          <t>Accompagner le secrétaire parlementaire à une annonce.</t>
        </is>
      </c>
      <c r="H1623" s="1" t="n">
        <v>44407</v>
      </c>
      <c r="I1623" s="1" t="n">
        <v>44407</v>
      </c>
      <c r="J1623" t="inlineStr">
        <is>
          <t>Belleville (Ontario) Canada</t>
        </is>
      </c>
      <c r="K1623" t="inlineStr">
        <is>
          <t>Belleville (Ontario) Canada</t>
        </is>
      </c>
      <c r="P1623" t="n">
        <v>0</v>
      </c>
      <c r="Q1623" t="n">
        <v>266.78</v>
      </c>
      <c r="R1623" t="n">
        <v>0</v>
      </c>
      <c r="S1623" t="n">
        <v>94.84999999999999</v>
      </c>
      <c r="T1623" t="n">
        <v>0</v>
      </c>
      <c r="U1623" t="n">
        <v>361.63</v>
      </c>
      <c r="X1623" t="inlineStr">
        <is>
          <t>aafc-aac</t>
        </is>
      </c>
      <c r="Y1623" t="inlineStr">
        <is>
          <t>Agriculture and Agri-Food Canada | Agriculture et Agroalimentaire Canada</t>
        </is>
      </c>
      <c r="Z1623" t="n">
        <v>1</v>
      </c>
      <c r="AA1623" t="n">
        <v>361.63</v>
      </c>
      <c r="AB1623">
        <f>ROUND(U1623-AA1623,2)</f>
        <v/>
      </c>
      <c r="AC1623" t="b">
        <v>0</v>
      </c>
      <c r="AD1623">
        <f>IF(U1623="","MISSING_TOTAL",IF(ABS(AB1623)&lt;=0.01,"OK","CHECK"))</f>
        <v/>
      </c>
      <c r="AE1623">
        <f>IF(U1623="","MISSING",IF(AND(AA1623&gt;0,U1623/AA1623&gt;50),"POSSIBLE_SCALE_ERROR","OK"))</f>
        <v/>
      </c>
    </row>
    <row r="1624">
      <c r="A1624" t="inlineStr">
        <is>
          <t>T-2021-P7-0004</t>
        </is>
      </c>
      <c r="B1624" t="inlineStr">
        <is>
          <t>SLE</t>
        </is>
      </c>
      <c r="C1624" t="inlineStr">
        <is>
          <t>Assistant Deputy Minister, Corporate Management Branch</t>
        </is>
      </c>
      <c r="D1624" t="inlineStr">
        <is>
          <t>Sous-ministre adjointe, Direction générale de la gestion intégrée</t>
        </is>
      </c>
      <c r="E1624" t="inlineStr">
        <is>
          <t>Marie-Claude Guérard</t>
        </is>
      </c>
      <c r="F1624" t="inlineStr">
        <is>
          <t>Visited the National Headquarters Complex for the Agriculture Portfolio (NHCAP) to meet with her direct reports.</t>
        </is>
      </c>
      <c r="G1624" t="inlineStr">
        <is>
          <t>Visiter le complexe de l’Administration centrale pour le portefeuille de l’agriculture (CACPA) afin de rencontrer ses subalternes directs.</t>
        </is>
      </c>
      <c r="H1624" s="1" t="n">
        <v>44459</v>
      </c>
      <c r="I1624" s="1" t="n">
        <v>44460</v>
      </c>
      <c r="J1624" t="inlineStr">
        <is>
          <t>Ottawa (Ontario) Canada</t>
        </is>
      </c>
      <c r="K1624" t="inlineStr">
        <is>
          <t>Ottawa (Ontario) Canada</t>
        </is>
      </c>
      <c r="P1624" t="n">
        <v>0</v>
      </c>
      <c r="Q1624" t="n">
        <v>354.99</v>
      </c>
      <c r="R1624" t="n">
        <v>257.37</v>
      </c>
      <c r="S1624" t="n">
        <v>150.8</v>
      </c>
      <c r="T1624" t="n">
        <v>0</v>
      </c>
      <c r="U1624" t="n">
        <v>763.16</v>
      </c>
      <c r="X1624" t="inlineStr">
        <is>
          <t>aafc-aac</t>
        </is>
      </c>
      <c r="Y1624" t="inlineStr">
        <is>
          <t>Agriculture and Agri-Food Canada | Agriculture et Agroalimentaire Canada</t>
        </is>
      </c>
      <c r="Z1624" t="n">
        <v>2</v>
      </c>
      <c r="AA1624" t="n">
        <v>763.16</v>
      </c>
      <c r="AB1624">
        <f>ROUND(U1624-AA1624,2)</f>
        <v/>
      </c>
      <c r="AC1624" t="b">
        <v>0</v>
      </c>
      <c r="AD1624">
        <f>IF(U1624="","MISSING_TOTAL",IF(ABS(AB1624)&lt;=0.01,"OK","CHECK"))</f>
        <v/>
      </c>
      <c r="AE1624">
        <f>IF(U1624="","MISSING",IF(AND(AA1624&gt;0,U1624/AA1624&gt;50),"POSSIBLE_SCALE_ERROR","OK"))</f>
        <v/>
      </c>
    </row>
    <row r="1625">
      <c r="A1625" t="inlineStr">
        <is>
          <t>T-2021-P7-0005</t>
        </is>
      </c>
      <c r="B1625" t="inlineStr">
        <is>
          <t>SLE</t>
        </is>
      </c>
      <c r="C1625" t="inlineStr">
        <is>
          <t>Assistant Deputy Minister, Programs Branch</t>
        </is>
      </c>
      <c r="D1625" t="inlineStr">
        <is>
          <t>Sous-ministre adjoint, Direction générale des programmes</t>
        </is>
      </c>
      <c r="E1625" t="inlineStr">
        <is>
          <t>Paul Samson</t>
        </is>
      </c>
      <c r="F1625" t="inlineStr">
        <is>
          <t>Attended the "Senior Public Sector Leader Program" training.</t>
        </is>
      </c>
      <c r="G1625" t="inlineStr">
        <is>
          <t>Participer à la formation pour le programme "Senior Public Sector Leader Program".</t>
        </is>
      </c>
      <c r="H1625" s="1" t="n">
        <v>44451</v>
      </c>
      <c r="I1625" s="1" t="n">
        <v>44456</v>
      </c>
      <c r="J1625" t="inlineStr">
        <is>
          <t>London (Ontario) Canada</t>
        </is>
      </c>
      <c r="K1625" t="inlineStr">
        <is>
          <t>London (Ontario) Canada</t>
        </is>
      </c>
      <c r="P1625" t="n">
        <v>674.58</v>
      </c>
      <c r="Q1625" t="n">
        <v>88.08</v>
      </c>
      <c r="R1625" t="n">
        <v>0</v>
      </c>
      <c r="S1625" t="n">
        <v>34.6</v>
      </c>
      <c r="T1625" t="n">
        <v>0</v>
      </c>
      <c r="U1625" t="n">
        <v>797.26</v>
      </c>
      <c r="X1625" t="inlineStr">
        <is>
          <t>aafc-aac</t>
        </is>
      </c>
      <c r="Y1625" t="inlineStr">
        <is>
          <t>Agriculture and Agri-Food Canada | Agriculture et Agroalimentaire Canada</t>
        </is>
      </c>
      <c r="Z1625" t="n">
        <v>6</v>
      </c>
      <c r="AA1625" t="n">
        <v>797.26</v>
      </c>
      <c r="AB1625">
        <f>ROUND(U1625-AA1625,2)</f>
        <v/>
      </c>
      <c r="AC1625" t="b">
        <v>0</v>
      </c>
      <c r="AD1625">
        <f>IF(U1625="","MISSING_TOTAL",IF(ABS(AB1625)&lt;=0.01,"OK","CHECK"))</f>
        <v/>
      </c>
      <c r="AE1625">
        <f>IF(U1625="","MISSING",IF(AND(AA1625&gt;0,U1625/AA1625&gt;50),"POSSIBLE_SCALE_ERROR","OK"))</f>
        <v/>
      </c>
    </row>
    <row r="1626">
      <c r="A1626" t="inlineStr">
        <is>
          <t>T-2021-P7-0006</t>
        </is>
      </c>
      <c r="B1626" t="inlineStr">
        <is>
          <t>SLE</t>
        </is>
      </c>
      <c r="C1626" t="inlineStr">
        <is>
          <t>Assistant Deputy Minister, Programs Branch</t>
        </is>
      </c>
      <c r="D1626" t="inlineStr">
        <is>
          <t>Sous-ministre adjoint, Direction générale des programmes</t>
        </is>
      </c>
      <c r="E1626" t="inlineStr">
        <is>
          <t>Paul Samson</t>
        </is>
      </c>
      <c r="F1626" t="inlineStr">
        <is>
          <t>Attended a meeting with the Canola Council of Canada.</t>
        </is>
      </c>
      <c r="G1626" t="inlineStr">
        <is>
          <t>Participer à une réunion avec le Conseil canadien du canola.</t>
        </is>
      </c>
      <c r="H1626" s="1" t="n">
        <v>44475</v>
      </c>
      <c r="I1626" s="1" t="n">
        <v>44475</v>
      </c>
      <c r="J1626" t="inlineStr">
        <is>
          <t>Ottawa (Ontario) Canada</t>
        </is>
      </c>
      <c r="K1626" t="inlineStr">
        <is>
          <t>Ottawa (Ontario) Canada</t>
        </is>
      </c>
      <c r="P1626" t="n">
        <v>0</v>
      </c>
      <c r="Q1626" t="n">
        <v>17.27</v>
      </c>
      <c r="R1626" t="n">
        <v>0</v>
      </c>
      <c r="S1626" t="n">
        <v>0</v>
      </c>
      <c r="T1626" t="n">
        <v>0</v>
      </c>
      <c r="U1626" t="n">
        <v>17.27</v>
      </c>
      <c r="X1626" t="inlineStr">
        <is>
          <t>aafc-aac</t>
        </is>
      </c>
      <c r="Y1626" t="inlineStr">
        <is>
          <t>Agriculture and Agri-Food Canada | Agriculture et Agroalimentaire Canada</t>
        </is>
      </c>
      <c r="Z1626" t="n">
        <v>1</v>
      </c>
      <c r="AA1626" t="n">
        <v>17.27</v>
      </c>
      <c r="AB1626">
        <f>ROUND(U1626-AA1626,2)</f>
        <v/>
      </c>
      <c r="AC1626" t="b">
        <v>0</v>
      </c>
      <c r="AD1626">
        <f>IF(U1626="","MISSING_TOTAL",IF(ABS(AB1626)&lt;=0.01,"OK","CHECK"))</f>
        <v/>
      </c>
      <c r="AE1626">
        <f>IF(U1626="","MISSING",IF(AND(AA1626&gt;0,U1626/AA1626&gt;50),"POSSIBLE_SCALE_ERROR","OK"))</f>
        <v/>
      </c>
    </row>
    <row r="1627">
      <c r="A1627" t="inlineStr">
        <is>
          <t>T-2021-P8-0001</t>
        </is>
      </c>
      <c r="B1627" t="inlineStr">
        <is>
          <t>MPSES</t>
        </is>
      </c>
      <c r="C1627" t="inlineStr">
        <is>
          <t>Operations Manager</t>
        </is>
      </c>
      <c r="D1627" t="inlineStr">
        <is>
          <t>Gestionnaire des opérations</t>
        </is>
      </c>
      <c r="E1627" t="inlineStr">
        <is>
          <t>Benjamin Hooker</t>
        </is>
      </c>
      <c r="F1627" t="inlineStr">
        <is>
          <t>Accompanied the Minister to an announcement and farm tour.</t>
        </is>
      </c>
      <c r="G1627" t="inlineStr">
        <is>
          <t>Accompagner la ministre à une annonce et visite de la ferme.</t>
        </is>
      </c>
      <c r="H1627" s="1" t="n">
        <v>44398</v>
      </c>
      <c r="I1627" s="1" t="n">
        <v>44398</v>
      </c>
      <c r="J1627" t="inlineStr">
        <is>
          <t>Vaudreuil-Dorion (Quebec) Canada</t>
        </is>
      </c>
      <c r="K1627" t="inlineStr">
        <is>
          <t>Vaudreuil-Dorion (Québec) Canada</t>
        </is>
      </c>
      <c r="P1627" t="n">
        <v>0</v>
      </c>
      <c r="Q1627" t="n">
        <v>66.81999999999999</v>
      </c>
      <c r="R1627" t="n">
        <v>0</v>
      </c>
      <c r="S1627" t="n">
        <v>21.35</v>
      </c>
      <c r="T1627" t="n">
        <v>0</v>
      </c>
      <c r="U1627" t="n">
        <v>88.17</v>
      </c>
      <c r="X1627" t="inlineStr">
        <is>
          <t>aafc-aac</t>
        </is>
      </c>
      <c r="Y1627" t="inlineStr">
        <is>
          <t>Agriculture and Agri-Food Canada | Agriculture et Agroalimentaire Canada</t>
        </is>
      </c>
      <c r="Z1627" t="n">
        <v>1</v>
      </c>
      <c r="AA1627" t="n">
        <v>88.1699999999999</v>
      </c>
      <c r="AB1627">
        <f>ROUND(U1627-AA1627,2)</f>
        <v/>
      </c>
      <c r="AC1627" t="b">
        <v>0</v>
      </c>
      <c r="AD1627">
        <f>IF(U1627="","MISSING_TOTAL",IF(ABS(AB1627)&lt;=0.01,"OK","CHECK"))</f>
        <v/>
      </c>
      <c r="AE1627">
        <f>IF(U1627="","MISSING",IF(AND(AA1627&gt;0,U1627/AA1627&gt;50),"POSSIBLE_SCALE_ERROR","OK"))</f>
        <v/>
      </c>
    </row>
    <row r="1628">
      <c r="A1628" t="inlineStr">
        <is>
          <t>T-2021-P8-0002</t>
        </is>
      </c>
      <c r="B1628" t="inlineStr">
        <is>
          <t>MPSES</t>
        </is>
      </c>
      <c r="C1628" t="inlineStr">
        <is>
          <t>Driver</t>
        </is>
      </c>
      <c r="D1628" t="inlineStr">
        <is>
          <t>Chauffeur</t>
        </is>
      </c>
      <c r="E1628" t="inlineStr">
        <is>
          <t>Michel Gendreau</t>
        </is>
      </c>
      <c r="F1628" t="inlineStr">
        <is>
          <t>Drove the Minister from her riding to Ottawa and return.</t>
        </is>
      </c>
      <c r="G1628" t="inlineStr">
        <is>
          <t>Conduire la Ministre de sa circonscription à Ottawa et revenir.</t>
        </is>
      </c>
      <c r="H1628" s="1" t="n">
        <v>44491</v>
      </c>
      <c r="I1628" s="1" t="n">
        <v>44491</v>
      </c>
      <c r="J1628" t="inlineStr">
        <is>
          <t>Sherbrooke (Quebec) Canada</t>
        </is>
      </c>
      <c r="K1628" t="inlineStr">
        <is>
          <t>Sherbrooke (Québec) Canada</t>
        </is>
      </c>
      <c r="P1628" t="n">
        <v>0</v>
      </c>
      <c r="Q1628" t="n">
        <v>4.8</v>
      </c>
      <c r="R1628" t="n">
        <v>0</v>
      </c>
      <c r="S1628" t="n">
        <v>21.6</v>
      </c>
      <c r="T1628" t="n">
        <v>0</v>
      </c>
      <c r="U1628" t="n">
        <v>26.4</v>
      </c>
      <c r="X1628" t="inlineStr">
        <is>
          <t>aafc-aac</t>
        </is>
      </c>
      <c r="Y1628" t="inlineStr">
        <is>
          <t>Agriculture and Agri-Food Canada | Agriculture et Agroalimentaire Canada</t>
        </is>
      </c>
      <c r="Z1628" t="n">
        <v>1</v>
      </c>
      <c r="AA1628" t="n">
        <v>26.4</v>
      </c>
      <c r="AB1628">
        <f>ROUND(U1628-AA1628,2)</f>
        <v/>
      </c>
      <c r="AC1628" t="b">
        <v>0</v>
      </c>
      <c r="AD1628">
        <f>IF(U1628="","MISSING_TOTAL",IF(ABS(AB1628)&lt;=0.01,"OK","CHECK"))</f>
        <v/>
      </c>
      <c r="AE1628">
        <f>IF(U1628="","MISSING",IF(AND(AA1628&gt;0,U1628/AA1628&gt;50),"POSSIBLE_SCALE_ERROR","OK"))</f>
        <v/>
      </c>
    </row>
    <row r="1629">
      <c r="A1629" t="inlineStr">
        <is>
          <t>T-2021-P8-0003</t>
        </is>
      </c>
      <c r="B1629" t="inlineStr">
        <is>
          <t>MPSES</t>
        </is>
      </c>
      <c r="C1629" t="inlineStr">
        <is>
          <t>Driver</t>
        </is>
      </c>
      <c r="D1629" t="inlineStr">
        <is>
          <t>Chauffeur</t>
        </is>
      </c>
      <c r="E1629" t="inlineStr">
        <is>
          <t>Michel Gendreau</t>
        </is>
      </c>
      <c r="F1629" t="inlineStr">
        <is>
          <t>Drove the Minister to her riding from Ottawa.</t>
        </is>
      </c>
      <c r="G1629" t="inlineStr">
        <is>
          <t>Conduire la Ministre d'Ottawa à sa circonscription.</t>
        </is>
      </c>
      <c r="H1629" s="1" t="n">
        <v>44492</v>
      </c>
      <c r="I1629" s="1" t="n">
        <v>44492</v>
      </c>
      <c r="J1629" t="inlineStr">
        <is>
          <t>Sherbrooke (Quebec) Canada</t>
        </is>
      </c>
      <c r="K1629" t="inlineStr">
        <is>
          <t>Sherbrooke (Québec) Canada</t>
        </is>
      </c>
      <c r="P1629" t="n">
        <v>0</v>
      </c>
      <c r="Q1629" t="n">
        <v>4.8</v>
      </c>
      <c r="R1629" t="n">
        <v>0</v>
      </c>
      <c r="S1629" t="n">
        <v>21.6</v>
      </c>
      <c r="T1629" t="n">
        <v>0</v>
      </c>
      <c r="U1629" t="n">
        <v>26.4</v>
      </c>
      <c r="X1629" t="inlineStr">
        <is>
          <t>aafc-aac</t>
        </is>
      </c>
      <c r="Y1629" t="inlineStr">
        <is>
          <t>Agriculture and Agri-Food Canada | Agriculture et Agroalimentaire Canada</t>
        </is>
      </c>
      <c r="Z1629" t="n">
        <v>1</v>
      </c>
      <c r="AA1629" t="n">
        <v>26.4</v>
      </c>
      <c r="AB1629">
        <f>ROUND(U1629-AA1629,2)</f>
        <v/>
      </c>
      <c r="AC1629" t="b">
        <v>0</v>
      </c>
      <c r="AD1629">
        <f>IF(U1629="","MISSING_TOTAL",IF(ABS(AB1629)&lt;=0.01,"OK","CHECK"))</f>
        <v/>
      </c>
      <c r="AE1629">
        <f>IF(U1629="","MISSING",IF(AND(AA1629&gt;0,U1629/AA1629&gt;50),"POSSIBLE_SCALE_ERROR","OK"))</f>
        <v/>
      </c>
    </row>
    <row r="1630">
      <c r="A1630" t="inlineStr">
        <is>
          <t>T-2021-P8-0004</t>
        </is>
      </c>
      <c r="B1630" t="inlineStr">
        <is>
          <t>MPSES</t>
        </is>
      </c>
      <c r="C1630" t="inlineStr">
        <is>
          <t>Driver</t>
        </is>
      </c>
      <c r="D1630" t="inlineStr">
        <is>
          <t>Chauffeur</t>
        </is>
      </c>
      <c r="E1630" t="inlineStr">
        <is>
          <t>Michel Gendreau</t>
        </is>
      </c>
      <c r="F1630" t="inlineStr">
        <is>
          <t>Drove the Minister to her riding from Ottawa.</t>
        </is>
      </c>
      <c r="G1630" t="inlineStr">
        <is>
          <t>Conduire la Ministre d'Ottawa à sa circonscription .</t>
        </is>
      </c>
      <c r="H1630" s="1" t="n">
        <v>44498</v>
      </c>
      <c r="I1630" s="1" t="n">
        <v>44498</v>
      </c>
      <c r="J1630" t="inlineStr">
        <is>
          <t>Sherbrooke (Quebec) Canada</t>
        </is>
      </c>
      <c r="K1630" t="inlineStr">
        <is>
          <t>Sherbrooke (Québec) Canada</t>
        </is>
      </c>
      <c r="P1630" t="n">
        <v>0</v>
      </c>
      <c r="Q1630" t="n">
        <v>4.8</v>
      </c>
      <c r="R1630" t="n">
        <v>0</v>
      </c>
      <c r="S1630" t="n">
        <v>53</v>
      </c>
      <c r="T1630" t="n">
        <v>0</v>
      </c>
      <c r="U1630" t="n">
        <v>57.8</v>
      </c>
      <c r="X1630" t="inlineStr">
        <is>
          <t>aafc-aac</t>
        </is>
      </c>
      <c r="Y1630" t="inlineStr">
        <is>
          <t>Agriculture and Agri-Food Canada | Agriculture et Agroalimentaire Canada</t>
        </is>
      </c>
      <c r="Z1630" t="n">
        <v>1</v>
      </c>
      <c r="AA1630" t="n">
        <v>57.8</v>
      </c>
      <c r="AB1630">
        <f>ROUND(U1630-AA1630,2)</f>
        <v/>
      </c>
      <c r="AC1630" t="b">
        <v>0</v>
      </c>
      <c r="AD1630">
        <f>IF(U1630="","MISSING_TOTAL",IF(ABS(AB1630)&lt;=0.01,"OK","CHECK"))</f>
        <v/>
      </c>
      <c r="AE1630">
        <f>IF(U1630="","MISSING",IF(AND(AA1630&gt;0,U1630/AA1630&gt;50),"POSSIBLE_SCALE_ERROR","OK"))</f>
        <v/>
      </c>
    </row>
    <row r="1631">
      <c r="A1631" t="inlineStr">
        <is>
          <t>T-2021-P8-0005</t>
        </is>
      </c>
      <c r="B1631" t="inlineStr">
        <is>
          <t>MPSES</t>
        </is>
      </c>
      <c r="C1631" t="inlineStr">
        <is>
          <t>Driver</t>
        </is>
      </c>
      <c r="D1631" t="inlineStr">
        <is>
          <t>Chauffeur</t>
        </is>
      </c>
      <c r="E1631" t="inlineStr">
        <is>
          <t>Michel Gendreau</t>
        </is>
      </c>
      <c r="F1631" t="inlineStr">
        <is>
          <t>Drove the Minister from her riding to Ottawa and return.</t>
        </is>
      </c>
      <c r="G1631" t="inlineStr">
        <is>
          <t>Conduire la Ministre de sa circonscription à Ottawa et revenir.</t>
        </is>
      </c>
      <c r="H1631" s="1" t="n">
        <v>44501</v>
      </c>
      <c r="I1631" s="1" t="n">
        <v>44502</v>
      </c>
      <c r="J1631" t="inlineStr">
        <is>
          <t>Sherbrooke (Quebec) Canada</t>
        </is>
      </c>
      <c r="K1631" t="inlineStr">
        <is>
          <t>Sherbrooke (Québec) Canada</t>
        </is>
      </c>
      <c r="P1631" t="n">
        <v>0</v>
      </c>
      <c r="Q1631" t="n">
        <v>4.8</v>
      </c>
      <c r="R1631" t="n">
        <v>123.75</v>
      </c>
      <c r="S1631" t="n">
        <v>74.34999999999999</v>
      </c>
      <c r="T1631" t="n">
        <v>0</v>
      </c>
      <c r="U1631" t="n">
        <v>202.9</v>
      </c>
      <c r="X1631" t="inlineStr">
        <is>
          <t>aafc-aac</t>
        </is>
      </c>
      <c r="Y1631" t="inlineStr">
        <is>
          <t>Agriculture and Agri-Food Canada | Agriculture et Agroalimentaire Canada</t>
        </is>
      </c>
      <c r="Z1631" t="n">
        <v>2</v>
      </c>
      <c r="AA1631" t="n">
        <v>202.9</v>
      </c>
      <c r="AB1631">
        <f>ROUND(U1631-AA1631,2)</f>
        <v/>
      </c>
      <c r="AC1631" t="b">
        <v>0</v>
      </c>
      <c r="AD1631">
        <f>IF(U1631="","MISSING_TOTAL",IF(ABS(AB1631)&lt;=0.01,"OK","CHECK"))</f>
        <v/>
      </c>
      <c r="AE1631">
        <f>IF(U1631="","MISSING",IF(AND(AA1631&gt;0,U1631/AA1631&gt;50),"POSSIBLE_SCALE_ERROR","OK"))</f>
        <v/>
      </c>
    </row>
    <row r="1632">
      <c r="A1632" t="inlineStr">
        <is>
          <t>T-2021-P8-0006</t>
        </is>
      </c>
      <c r="B1632" t="inlineStr">
        <is>
          <t>MPSES</t>
        </is>
      </c>
      <c r="C1632" t="inlineStr">
        <is>
          <t>Driver</t>
        </is>
      </c>
      <c r="D1632" t="inlineStr">
        <is>
          <t>Chauffeur</t>
        </is>
      </c>
      <c r="E1632" t="inlineStr">
        <is>
          <t>Michel Gendreau</t>
        </is>
      </c>
      <c r="F1632" t="inlineStr">
        <is>
          <t>Drove the Minister to her riding from Ottawa.</t>
        </is>
      </c>
      <c r="G1632" t="inlineStr">
        <is>
          <t>Conduire la Ministre d'Ottawa à sa circonscription.</t>
        </is>
      </c>
      <c r="H1632" s="1" t="n">
        <v>44505</v>
      </c>
      <c r="I1632" s="1" t="n">
        <v>44505</v>
      </c>
      <c r="J1632" t="inlineStr">
        <is>
          <t>Sherbrooke (Quebec) Canada</t>
        </is>
      </c>
      <c r="K1632" t="inlineStr">
        <is>
          <t>Sherbrooke (Québec) Canada</t>
        </is>
      </c>
      <c r="P1632" t="n">
        <v>0</v>
      </c>
      <c r="Q1632" t="n">
        <v>4.8</v>
      </c>
      <c r="R1632" t="n">
        <v>0</v>
      </c>
      <c r="S1632" t="n">
        <v>53</v>
      </c>
      <c r="T1632" t="n">
        <v>0</v>
      </c>
      <c r="U1632" t="n">
        <v>57.8</v>
      </c>
      <c r="X1632" t="inlineStr">
        <is>
          <t>aafc-aac</t>
        </is>
      </c>
      <c r="Y1632" t="inlineStr">
        <is>
          <t>Agriculture and Agri-Food Canada | Agriculture et Agroalimentaire Canada</t>
        </is>
      </c>
      <c r="Z1632" t="n">
        <v>1</v>
      </c>
      <c r="AA1632" t="n">
        <v>57.8</v>
      </c>
      <c r="AB1632">
        <f>ROUND(U1632-AA1632,2)</f>
        <v/>
      </c>
      <c r="AC1632" t="b">
        <v>0</v>
      </c>
      <c r="AD1632">
        <f>IF(U1632="","MISSING_TOTAL",IF(ABS(AB1632)&lt;=0.01,"OK","CHECK"))</f>
        <v/>
      </c>
      <c r="AE1632">
        <f>IF(U1632="","MISSING",IF(AND(AA1632&gt;0,U1632/AA1632&gt;50),"POSSIBLE_SCALE_ERROR","OK"))</f>
        <v/>
      </c>
    </row>
    <row r="1633">
      <c r="A1633" t="inlineStr">
        <is>
          <t>T-2021-P8-0007</t>
        </is>
      </c>
      <c r="B1633" t="inlineStr">
        <is>
          <t>MPSES</t>
        </is>
      </c>
      <c r="C1633" t="inlineStr">
        <is>
          <t>Driver</t>
        </is>
      </c>
      <c r="D1633" t="inlineStr">
        <is>
          <t>Chauffeur</t>
        </is>
      </c>
      <c r="E1633" t="inlineStr">
        <is>
          <t>Michel Gendreau</t>
        </is>
      </c>
      <c r="F1633" t="inlineStr">
        <is>
          <t>Drove the Minister from her riding to the Montréal airport.</t>
        </is>
      </c>
      <c r="G1633" t="inlineStr">
        <is>
          <t>Conduire la Ministre de sa circonscription à l'aéroport de Montréal.</t>
        </is>
      </c>
      <c r="H1633" s="1" t="n">
        <v>44507</v>
      </c>
      <c r="I1633" s="1" t="n">
        <v>44507</v>
      </c>
      <c r="J1633" t="inlineStr">
        <is>
          <t>Sherbrooke (Quebec) Canada; Montréal (Quebec) Canada</t>
        </is>
      </c>
      <c r="K1633" t="inlineStr">
        <is>
          <t>Sherbrooke (Québec) Canada; Montréal (Québec) Canada</t>
        </is>
      </c>
      <c r="P1633" t="n">
        <v>0</v>
      </c>
      <c r="Q1633" t="n">
        <v>2.4</v>
      </c>
      <c r="R1633" t="n">
        <v>0</v>
      </c>
      <c r="S1633" t="n">
        <v>74.59999999999999</v>
      </c>
      <c r="T1633" t="n">
        <v>0</v>
      </c>
      <c r="U1633" t="n">
        <v>77</v>
      </c>
      <c r="X1633" t="inlineStr">
        <is>
          <t>aafc-aac</t>
        </is>
      </c>
      <c r="Y1633" t="inlineStr">
        <is>
          <t>Agriculture and Agri-Food Canada | Agriculture et Agroalimentaire Canada</t>
        </is>
      </c>
      <c r="Z1633" t="n">
        <v>1</v>
      </c>
      <c r="AA1633" t="n">
        <v>77</v>
      </c>
      <c r="AB1633">
        <f>ROUND(U1633-AA1633,2)</f>
        <v/>
      </c>
      <c r="AC1633" t="b">
        <v>0</v>
      </c>
      <c r="AD1633">
        <f>IF(U1633="","MISSING_TOTAL",IF(ABS(AB1633)&lt;=0.01,"OK","CHECK"))</f>
        <v/>
      </c>
      <c r="AE1633">
        <f>IF(U1633="","MISSING",IF(AND(AA1633&gt;0,U1633/AA1633&gt;50),"POSSIBLE_SCALE_ERROR","OK"))</f>
        <v/>
      </c>
    </row>
    <row r="1634">
      <c r="A1634" t="inlineStr">
        <is>
          <t>T-2021-P8-0008</t>
        </is>
      </c>
      <c r="B1634" t="inlineStr">
        <is>
          <t>MPSES</t>
        </is>
      </c>
      <c r="C1634" t="inlineStr">
        <is>
          <t>Senior Policy Advisor</t>
        </is>
      </c>
      <c r="D1634" t="inlineStr">
        <is>
          <t>Conseiller principal en politiques</t>
        </is>
      </c>
      <c r="E1634" t="inlineStr">
        <is>
          <t>Sandenga Yeba</t>
        </is>
      </c>
      <c r="F1634" t="inlineStr">
        <is>
          <t>Accompanied the Minister for an interview.</t>
        </is>
      </c>
      <c r="G1634" t="inlineStr">
        <is>
          <t>Accompagner la ministre pour un entretien.</t>
        </is>
      </c>
      <c r="H1634" s="1" t="n">
        <v>44510</v>
      </c>
      <c r="I1634" s="1" t="n">
        <v>44510</v>
      </c>
      <c r="J1634" t="inlineStr">
        <is>
          <t>Dorval (Quebec) Canada</t>
        </is>
      </c>
      <c r="K1634" t="inlineStr">
        <is>
          <t>Dorval (Québec) Canada</t>
        </is>
      </c>
      <c r="P1634" t="n">
        <v>0</v>
      </c>
      <c r="Q1634" t="n">
        <v>19.36</v>
      </c>
      <c r="R1634" t="n">
        <v>0</v>
      </c>
      <c r="S1634" t="n">
        <v>0</v>
      </c>
      <c r="T1634" t="n">
        <v>0</v>
      </c>
      <c r="U1634" t="n">
        <v>19.36</v>
      </c>
      <c r="X1634" t="inlineStr">
        <is>
          <t>aafc-aac</t>
        </is>
      </c>
      <c r="Y1634" t="inlineStr">
        <is>
          <t>Agriculture and Agri-Food Canada | Agriculture et Agroalimentaire Canada</t>
        </is>
      </c>
      <c r="Z1634" t="n">
        <v>1</v>
      </c>
      <c r="AA1634" t="n">
        <v>19.36</v>
      </c>
      <c r="AB1634">
        <f>ROUND(U1634-AA1634,2)</f>
        <v/>
      </c>
      <c r="AC1634" t="b">
        <v>0</v>
      </c>
      <c r="AD1634">
        <f>IF(U1634="","MISSING_TOTAL",IF(ABS(AB1634)&lt;=0.01,"OK","CHECK"))</f>
        <v/>
      </c>
      <c r="AE1634">
        <f>IF(U1634="","MISSING",IF(AND(AA1634&gt;0,U1634/AA1634&gt;50),"POSSIBLE_SCALE_ERROR","OK"))</f>
        <v/>
      </c>
    </row>
    <row r="1635">
      <c r="A1635" t="inlineStr">
        <is>
          <t>T-2021-P8-0009</t>
        </is>
      </c>
      <c r="B1635" t="inlineStr">
        <is>
          <t>SLE</t>
        </is>
      </c>
      <c r="C1635" t="inlineStr">
        <is>
          <t>Deputy Minister</t>
        </is>
      </c>
      <c r="D1635" t="inlineStr">
        <is>
          <t>Sous-Ministre</t>
        </is>
      </c>
      <c r="E1635" t="inlineStr">
        <is>
          <t>Forbes, Chris</t>
        </is>
      </c>
      <c r="F1635" t="inlineStr">
        <is>
          <t>Attended the Federal, Provincial, and Territorial Ministers of Agriculture conference.</t>
        </is>
      </c>
      <c r="G1635" t="inlineStr">
        <is>
          <t>Participer à la conférence des ministres fédérale, provinciaux et territoriaux de l'Agriculture.</t>
        </is>
      </c>
      <c r="H1635" s="1" t="n">
        <v>44507</v>
      </c>
      <c r="I1635" s="1" t="n">
        <v>44510</v>
      </c>
      <c r="J1635" t="inlineStr">
        <is>
          <t>Guelph (Ontario) Canada</t>
        </is>
      </c>
      <c r="K1635" t="inlineStr">
        <is>
          <t>Guelph (Ontario) Canada</t>
        </is>
      </c>
      <c r="P1635" t="n">
        <v>686.15</v>
      </c>
      <c r="R1635" t="n">
        <v>404.54</v>
      </c>
      <c r="S1635" t="n">
        <v>53</v>
      </c>
      <c r="T1635" t="n">
        <v>0</v>
      </c>
      <c r="U1635" t="n">
        <v>1143.69</v>
      </c>
      <c r="X1635" t="inlineStr">
        <is>
          <t>aafc-aac</t>
        </is>
      </c>
      <c r="Y1635" t="inlineStr">
        <is>
          <t>Agriculture and Agri-Food Canada | Agriculture et Agroalimentaire Canada</t>
        </is>
      </c>
      <c r="Z1635" t="n">
        <v>4</v>
      </c>
      <c r="AA1635" t="n">
        <v>1143.69</v>
      </c>
      <c r="AB1635">
        <f>ROUND(U1635-AA1635,2)</f>
        <v/>
      </c>
      <c r="AC1635" t="b">
        <v>0</v>
      </c>
      <c r="AD1635">
        <f>IF(U1635="","MISSING_TOTAL",IF(ABS(AB1635)&lt;=0.01,"OK","CHECK"))</f>
        <v/>
      </c>
      <c r="AE1635">
        <f>IF(U1635="","MISSING",IF(AND(AA1635&gt;0,U1635/AA1635&gt;50),"POSSIBLE_SCALE_ERROR","OK"))</f>
        <v/>
      </c>
    </row>
    <row r="1636">
      <c r="A1636" t="inlineStr">
        <is>
          <t>T-2021-P8-0010</t>
        </is>
      </c>
      <c r="B1636" t="inlineStr">
        <is>
          <t>SLE</t>
        </is>
      </c>
      <c r="C1636" t="inlineStr">
        <is>
          <t>ADM, Public Affairs Branch</t>
        </is>
      </c>
      <c r="D1636" t="inlineStr">
        <is>
          <t>Sous-Ministre Adjointe, Direction generale des affaires publiques</t>
        </is>
      </c>
      <c r="E1636" t="inlineStr">
        <is>
          <t>Mary Dila</t>
        </is>
      </c>
      <c r="F1636" t="inlineStr">
        <is>
          <t>Attended the Federal, Provincial, and Territorial Ministers of Agriculture conference.</t>
        </is>
      </c>
      <c r="G1636" t="inlineStr">
        <is>
          <t>Participer à la conférence des ministres fédérale, provinciaux et territoriaux de l'Agriculture.</t>
        </is>
      </c>
      <c r="H1636" s="1" t="n">
        <v>44507</v>
      </c>
      <c r="I1636" s="1" t="n">
        <v>44510</v>
      </c>
      <c r="J1636" t="inlineStr">
        <is>
          <t>Guelph (Ontario) Canada</t>
        </is>
      </c>
      <c r="K1636" t="inlineStr">
        <is>
          <t>Guelph (Ontario) Canada</t>
        </is>
      </c>
      <c r="P1636" t="n">
        <v>767.91</v>
      </c>
      <c r="Q1636" t="n">
        <v>225.92</v>
      </c>
      <c r="R1636" t="n">
        <v>635.0599999999999</v>
      </c>
      <c r="S1636" t="n">
        <v>214.1</v>
      </c>
      <c r="T1636" t="n">
        <v>0</v>
      </c>
      <c r="U1636" t="n">
        <v>1842.99</v>
      </c>
      <c r="X1636" t="inlineStr">
        <is>
          <t>aafc-aac</t>
        </is>
      </c>
      <c r="Y1636" t="inlineStr">
        <is>
          <t>Agriculture and Agri-Food Canada | Agriculture et Agroalimentaire Canada</t>
        </is>
      </c>
      <c r="Z1636" t="n">
        <v>4</v>
      </c>
      <c r="AA1636" t="n">
        <v>1842.98999999999</v>
      </c>
      <c r="AB1636">
        <f>ROUND(U1636-AA1636,2)</f>
        <v/>
      </c>
      <c r="AC1636" t="b">
        <v>0</v>
      </c>
      <c r="AD1636">
        <f>IF(U1636="","MISSING_TOTAL",IF(ABS(AB1636)&lt;=0.01,"OK","CHECK"))</f>
        <v/>
      </c>
      <c r="AE1636">
        <f>IF(U1636="","MISSING",IF(AND(AA1636&gt;0,U1636/AA1636&gt;50),"POSSIBLE_SCALE_ERROR","OK"))</f>
        <v/>
      </c>
    </row>
    <row r="1637">
      <c r="A1637" t="inlineStr">
        <is>
          <t>T-2021-P8-0011</t>
        </is>
      </c>
      <c r="B1637" t="inlineStr">
        <is>
          <t>SLE</t>
        </is>
      </c>
      <c r="C1637" t="inlineStr">
        <is>
          <t>Assistant Deputy Minister in Programs Branch</t>
        </is>
      </c>
      <c r="D1637" t="inlineStr">
        <is>
          <t>Sous-ministre adjoint, Direction Générale des programmes</t>
        </is>
      </c>
      <c r="E1637" t="inlineStr">
        <is>
          <t>Paul Samson</t>
        </is>
      </c>
      <c r="F1637" t="inlineStr">
        <is>
          <t>Attended a Terramera meeting.</t>
        </is>
      </c>
      <c r="G1637" t="inlineStr">
        <is>
          <t>Participer à une réunion de Terramera.</t>
        </is>
      </c>
      <c r="H1637" s="1" t="n">
        <v>44496</v>
      </c>
      <c r="I1637" s="1" t="n">
        <v>44496</v>
      </c>
      <c r="J1637" t="inlineStr">
        <is>
          <t>Ottawa (Ontario) Canada</t>
        </is>
      </c>
      <c r="K1637" t="inlineStr">
        <is>
          <t>Ottawa (Ontario) Canada</t>
        </is>
      </c>
      <c r="P1637" t="n">
        <v>0</v>
      </c>
      <c r="Q1637" t="n">
        <v>16</v>
      </c>
      <c r="R1637" t="n">
        <v>0</v>
      </c>
      <c r="S1637" t="n">
        <v>0</v>
      </c>
      <c r="T1637" t="n">
        <v>0</v>
      </c>
      <c r="U1637" t="n">
        <v>16</v>
      </c>
      <c r="X1637" t="inlineStr">
        <is>
          <t>aafc-aac</t>
        </is>
      </c>
      <c r="Y1637" t="inlineStr">
        <is>
          <t>Agriculture and Agri-Food Canada | Agriculture et Agroalimentaire Canada</t>
        </is>
      </c>
      <c r="Z1637" t="n">
        <v>1</v>
      </c>
      <c r="AA1637" t="n">
        <v>16</v>
      </c>
      <c r="AB1637">
        <f>ROUND(U1637-AA1637,2)</f>
        <v/>
      </c>
      <c r="AC1637" t="b">
        <v>0</v>
      </c>
      <c r="AD1637">
        <f>IF(U1637="","MISSING_TOTAL",IF(ABS(AB1637)&lt;=0.01,"OK","CHECK"))</f>
        <v/>
      </c>
      <c r="AE1637">
        <f>IF(U1637="","MISSING",IF(AND(AA1637&gt;0,U1637/AA1637&gt;50),"POSSIBLE_SCALE_ERROR","OK"))</f>
        <v/>
      </c>
    </row>
    <row r="1638">
      <c r="A1638" t="inlineStr">
        <is>
          <t>T-2021-P8-0012</t>
        </is>
      </c>
      <c r="B1638" t="inlineStr">
        <is>
          <t>SLE</t>
        </is>
      </c>
      <c r="C1638" t="inlineStr">
        <is>
          <t>Assistant Deputy Minister in Programs Branch</t>
        </is>
      </c>
      <c r="D1638" t="inlineStr">
        <is>
          <t>Sous-ministre adjoint, Direction Générale des programmes</t>
        </is>
      </c>
      <c r="E1638" t="inlineStr">
        <is>
          <t>Paul Samson</t>
        </is>
      </c>
      <c r="F1638" t="inlineStr">
        <is>
          <t>Attended the Federal, Provincial, and Territorial Ministers of Agriculture conference.</t>
        </is>
      </c>
      <c r="G1638" t="inlineStr">
        <is>
          <t>Participer à la conférence des ministres fédérale, provinciaux et territoriaux de l'Agriculture.</t>
        </is>
      </c>
      <c r="H1638" s="1" t="n">
        <v>44507</v>
      </c>
      <c r="I1638" s="1" t="n">
        <v>44510</v>
      </c>
      <c r="J1638" t="inlineStr">
        <is>
          <t>Guelph (Ontario) Canada</t>
        </is>
      </c>
      <c r="K1638" t="inlineStr">
        <is>
          <t>Guelph (Ontario) Canada</t>
        </is>
      </c>
      <c r="P1638" t="n">
        <v>889.99</v>
      </c>
      <c r="Q1638" t="n">
        <v>70.45999999999999</v>
      </c>
      <c r="R1638" t="n">
        <v>606.8099999999999</v>
      </c>
      <c r="S1638" t="n">
        <v>87.59999999999999</v>
      </c>
      <c r="T1638" t="n">
        <v>0</v>
      </c>
      <c r="U1638" t="n">
        <v>1654.86</v>
      </c>
      <c r="X1638" t="inlineStr">
        <is>
          <t>aafc-aac</t>
        </is>
      </c>
      <c r="Y1638" t="inlineStr">
        <is>
          <t>Agriculture and Agri-Food Canada | Agriculture et Agroalimentaire Canada</t>
        </is>
      </c>
      <c r="Z1638" t="n">
        <v>4</v>
      </c>
      <c r="AA1638" t="n">
        <v>1654.86</v>
      </c>
      <c r="AB1638">
        <f>ROUND(U1638-AA1638,2)</f>
        <v/>
      </c>
      <c r="AC1638" t="b">
        <v>0</v>
      </c>
      <c r="AD1638">
        <f>IF(U1638="","MISSING_TOTAL",IF(ABS(AB1638)&lt;=0.01,"OK","CHECK"))</f>
        <v/>
      </c>
      <c r="AE1638">
        <f>IF(U1638="","MISSING",IF(AND(AA1638&gt;0,U1638/AA1638&gt;50),"POSSIBLE_SCALE_ERROR","OK"))</f>
        <v/>
      </c>
    </row>
    <row r="1639">
      <c r="A1639" t="inlineStr">
        <is>
          <t>T-2021-P9-0001</t>
        </is>
      </c>
      <c r="B1639" t="inlineStr">
        <is>
          <t>MPSES</t>
        </is>
      </c>
      <c r="C1639" t="inlineStr">
        <is>
          <t>Minister</t>
        </is>
      </c>
      <c r="D1639" t="inlineStr">
        <is>
          <t>Ministre</t>
        </is>
      </c>
      <c r="E1639" t="inlineStr">
        <is>
          <t>Marie-Claude Bibeau</t>
        </is>
      </c>
      <c r="F1639" t="inlineStr">
        <is>
          <t>Attended the Federal, Provincial, Territorial Minister's of Agriculture Meeting</t>
        </is>
      </c>
      <c r="G1639" t="inlineStr">
        <is>
          <t>Participer à la réunion des ministres fédérale, provinciaux et territoriaux de l'agriculture</t>
        </is>
      </c>
      <c r="H1639" s="1" t="n">
        <v>44507</v>
      </c>
      <c r="I1639" s="1" t="n">
        <v>44510</v>
      </c>
      <c r="J1639" t="inlineStr">
        <is>
          <t>Guelph (Ontario); Canada</t>
        </is>
      </c>
      <c r="K1639" t="inlineStr">
        <is>
          <t>Guelph (Ontario); Canada</t>
        </is>
      </c>
      <c r="P1639" t="n">
        <v>926.7</v>
      </c>
      <c r="Q1639" t="n">
        <v>0</v>
      </c>
      <c r="R1639" t="n">
        <v>567.26</v>
      </c>
      <c r="S1639" t="n">
        <v>159</v>
      </c>
      <c r="T1639" t="n">
        <v>375</v>
      </c>
      <c r="U1639" t="n">
        <v>2027.96</v>
      </c>
      <c r="X1639" t="inlineStr">
        <is>
          <t>aafc-aac</t>
        </is>
      </c>
      <c r="Y1639" t="inlineStr">
        <is>
          <t>Agriculture and Agri-Food Canada | Agriculture et Agroalimentaire Canada</t>
        </is>
      </c>
      <c r="Z1639" t="n">
        <v>4</v>
      </c>
      <c r="AA1639" t="n">
        <v>2027.96</v>
      </c>
      <c r="AB1639">
        <f>ROUND(U1639-AA1639,2)</f>
        <v/>
      </c>
      <c r="AC1639" t="b">
        <v>0</v>
      </c>
      <c r="AD1639">
        <f>IF(U1639="","MISSING_TOTAL",IF(ABS(AB1639)&lt;=0.01,"OK","CHECK"))</f>
        <v/>
      </c>
      <c r="AE1639">
        <f>IF(U1639="","MISSING",IF(AND(AA1639&gt;0,U1639/AA1639&gt;50),"POSSIBLE_SCALE_ERROR","OK"))</f>
        <v/>
      </c>
    </row>
    <row r="1640">
      <c r="A1640" t="inlineStr">
        <is>
          <t>T-2021-P9-0002</t>
        </is>
      </c>
      <c r="B1640" t="inlineStr">
        <is>
          <t>MPSES</t>
        </is>
      </c>
      <c r="C1640" t="inlineStr">
        <is>
          <t>Minister</t>
        </is>
      </c>
      <c r="D1640" t="inlineStr">
        <is>
          <t>Ministre</t>
        </is>
      </c>
      <c r="E1640" t="inlineStr">
        <is>
          <t>Marie-Claude Bibeau</t>
        </is>
      </c>
      <c r="F1640" t="inlineStr">
        <is>
          <t>To attend a Western Outreach</t>
        </is>
      </c>
      <c r="G1640" t="inlineStr">
        <is>
          <t>Pour assister à une campagne de sensibilisation dans les provinces de l'ouest</t>
        </is>
      </c>
      <c r="H1640" s="1" t="n">
        <v>44517</v>
      </c>
      <c r="I1640" s="1" t="n">
        <v>44519</v>
      </c>
      <c r="J1640" t="inlineStr">
        <is>
          <t>Saskatoon (Saskatchewan) Canada, Calgary (Alberta) Canada; Winnipeg (Manitoba) Canada</t>
        </is>
      </c>
      <c r="K1640" t="inlineStr">
        <is>
          <t>Saskatoon (Saskatchewan) Canada, Calgary (Alberta) Canada; Winnipeg (Manitoba) Canada</t>
        </is>
      </c>
      <c r="P1640" t="n">
        <v>2295.78</v>
      </c>
      <c r="Q1640" t="n">
        <v>0</v>
      </c>
      <c r="R1640" t="n">
        <v>362.48</v>
      </c>
      <c r="S1640" t="n">
        <v>213.5</v>
      </c>
      <c r="T1640" t="n">
        <v>0</v>
      </c>
      <c r="U1640" t="n">
        <v>2871.76</v>
      </c>
      <c r="X1640" t="inlineStr">
        <is>
          <t>aafc-aac</t>
        </is>
      </c>
      <c r="Y1640" t="inlineStr">
        <is>
          <t>Agriculture and Agri-Food Canada | Agriculture et Agroalimentaire Canada</t>
        </is>
      </c>
      <c r="Z1640" t="n">
        <v>3</v>
      </c>
      <c r="AA1640" t="n">
        <v>2871.76</v>
      </c>
      <c r="AB1640">
        <f>ROUND(U1640-AA1640,2)</f>
        <v/>
      </c>
      <c r="AC1640" t="b">
        <v>0</v>
      </c>
      <c r="AD1640">
        <f>IF(U1640="","MISSING_TOTAL",IF(ABS(AB1640)&lt;=0.01,"OK","CHECK"))</f>
        <v/>
      </c>
      <c r="AE1640">
        <f>IF(U1640="","MISSING",IF(AND(AA1640&gt;0,U1640/AA1640&gt;50),"POSSIBLE_SCALE_ERROR","OK"))</f>
        <v/>
      </c>
    </row>
    <row r="1641">
      <c r="A1641" t="inlineStr">
        <is>
          <t>T-2021-P9-0003</t>
        </is>
      </c>
      <c r="B1641" t="inlineStr">
        <is>
          <t>MPSES</t>
        </is>
      </c>
      <c r="C1641" t="inlineStr">
        <is>
          <t>Director of Policy</t>
        </is>
      </c>
      <c r="D1641" t="inlineStr">
        <is>
          <t>Directeur des politiques</t>
        </is>
      </c>
      <c r="E1641" t="inlineStr">
        <is>
          <t>Jérémy Gauthier</t>
        </is>
      </c>
      <c r="F1641" t="inlineStr">
        <is>
          <t>To accompany the Minister to the Federal, Provincial, Territorial Minister's of Agriculture Meeting</t>
        </is>
      </c>
      <c r="G1641" t="inlineStr">
        <is>
          <t>Pour accompagner la ministre à la réunion des ministres fédérale, provinciaux et territoriaux de l'agriculture</t>
        </is>
      </c>
      <c r="H1641" s="1" t="n">
        <v>44507</v>
      </c>
      <c r="I1641" s="1" t="n">
        <v>44510</v>
      </c>
      <c r="J1641" t="inlineStr">
        <is>
          <t>Guelph (Ontario); Canada</t>
        </is>
      </c>
      <c r="K1641" t="inlineStr">
        <is>
          <t>Guelph (Ontario); Canada</t>
        </is>
      </c>
      <c r="P1641" t="n">
        <v>1022.47</v>
      </c>
      <c r="Q1641" t="n">
        <v>0</v>
      </c>
      <c r="R1641" t="n">
        <v>539.01</v>
      </c>
      <c r="S1641" t="n">
        <v>53</v>
      </c>
      <c r="T1641" t="n">
        <v>150</v>
      </c>
      <c r="U1641" t="n">
        <v>1764.48</v>
      </c>
      <c r="X1641" t="inlineStr">
        <is>
          <t>aafc-aac</t>
        </is>
      </c>
      <c r="Y1641" t="inlineStr">
        <is>
          <t>Agriculture and Agri-Food Canada | Agriculture et Agroalimentaire Canada</t>
        </is>
      </c>
      <c r="Z1641" t="n">
        <v>4</v>
      </c>
      <c r="AA1641" t="n">
        <v>1764.48</v>
      </c>
      <c r="AB1641">
        <f>ROUND(U1641-AA1641,2)</f>
        <v/>
      </c>
      <c r="AC1641" t="b">
        <v>0</v>
      </c>
      <c r="AD1641">
        <f>IF(U1641="","MISSING_TOTAL",IF(ABS(AB1641)&lt;=0.01,"OK","CHECK"))</f>
        <v/>
      </c>
      <c r="AE1641">
        <f>IF(U1641="","MISSING",IF(AND(AA1641&gt;0,U1641/AA1641&gt;50),"POSSIBLE_SCALE_ERROR","OK"))</f>
        <v/>
      </c>
    </row>
    <row r="1642">
      <c r="A1642" t="inlineStr">
        <is>
          <t>T-2021-P9-0004</t>
        </is>
      </c>
      <c r="B1642" t="inlineStr">
        <is>
          <t>MPSES</t>
        </is>
      </c>
      <c r="C1642" t="inlineStr">
        <is>
          <t>Driver</t>
        </is>
      </c>
      <c r="D1642" t="inlineStr">
        <is>
          <t>Chauffeur</t>
        </is>
      </c>
      <c r="E1642" t="inlineStr">
        <is>
          <t>Michel Gendreau</t>
        </is>
      </c>
      <c r="F1642" t="inlineStr">
        <is>
          <t>Drive the Minister from her riding to Ottawa</t>
        </is>
      </c>
      <c r="G1642" t="inlineStr">
        <is>
          <t>Conduire la Ministre de à sa circonscription à Ottawa</t>
        </is>
      </c>
      <c r="H1642" s="1" t="n">
        <v>44515</v>
      </c>
      <c r="I1642" s="1" t="n">
        <v>44515</v>
      </c>
      <c r="J1642" t="inlineStr">
        <is>
          <t>Sherbrooke (Quebec) Canada</t>
        </is>
      </c>
      <c r="K1642" t="inlineStr">
        <is>
          <t>Sherbrooke (Québec) Canada</t>
        </is>
      </c>
      <c r="P1642" t="n">
        <v>0</v>
      </c>
      <c r="Q1642" t="n">
        <v>4.8</v>
      </c>
      <c r="R1642" t="n">
        <v>0</v>
      </c>
      <c r="S1642" t="n">
        <v>53</v>
      </c>
      <c r="T1642" t="n">
        <v>0</v>
      </c>
      <c r="U1642" t="n">
        <v>57.8</v>
      </c>
      <c r="X1642" t="inlineStr">
        <is>
          <t>aafc-aac</t>
        </is>
      </c>
      <c r="Y1642" t="inlineStr">
        <is>
          <t>Agriculture and Agri-Food Canada | Agriculture et Agroalimentaire Canada</t>
        </is>
      </c>
      <c r="Z1642" t="n">
        <v>1</v>
      </c>
      <c r="AA1642" t="n">
        <v>57.8</v>
      </c>
      <c r="AB1642">
        <f>ROUND(U1642-AA1642,2)</f>
        <v/>
      </c>
      <c r="AC1642" t="b">
        <v>0</v>
      </c>
      <c r="AD1642">
        <f>IF(U1642="","MISSING_TOTAL",IF(ABS(AB1642)&lt;=0.01,"OK","CHECK"))</f>
        <v/>
      </c>
      <c r="AE1642">
        <f>IF(U1642="","MISSING",IF(AND(AA1642&gt;0,U1642/AA1642&gt;50),"POSSIBLE_SCALE_ERROR","OK"))</f>
        <v/>
      </c>
    </row>
    <row r="1643">
      <c r="A1643" t="inlineStr">
        <is>
          <t>T-2021-P9-0005</t>
        </is>
      </c>
      <c r="B1643" t="inlineStr">
        <is>
          <t>MPSES</t>
        </is>
      </c>
      <c r="C1643" t="inlineStr">
        <is>
          <t>Driver</t>
        </is>
      </c>
      <c r="D1643" t="inlineStr">
        <is>
          <t>Chauffeur</t>
        </is>
      </c>
      <c r="E1643" t="inlineStr">
        <is>
          <t>Michel Gendreau</t>
        </is>
      </c>
      <c r="F1643" t="inlineStr">
        <is>
          <t>Drive the Minister from the Montreal airport to her riding</t>
        </is>
      </c>
      <c r="G1643" t="inlineStr">
        <is>
          <t>Conduire la Ministre de l'aéroport de Montréal à sa circonscription</t>
        </is>
      </c>
      <c r="H1643" s="1" t="n">
        <v>44519</v>
      </c>
      <c r="I1643" s="1" t="n">
        <v>44519</v>
      </c>
      <c r="J1643" t="inlineStr">
        <is>
          <t>Montreal (Quebec) Canada; Sherbrooke (Quebec) Canada</t>
        </is>
      </c>
      <c r="K1643" t="inlineStr">
        <is>
          <t>Montréal (Québec) Canada; Sherbrooke (Québec) Canada</t>
        </is>
      </c>
      <c r="P1643" t="n">
        <v>0</v>
      </c>
      <c r="Q1643" t="n">
        <v>2.4</v>
      </c>
      <c r="R1643" t="n">
        <v>0</v>
      </c>
      <c r="S1643" t="n">
        <v>53</v>
      </c>
      <c r="T1643" t="n">
        <v>0</v>
      </c>
      <c r="U1643" t="n">
        <v>55.4</v>
      </c>
      <c r="X1643" t="inlineStr">
        <is>
          <t>aafc-aac</t>
        </is>
      </c>
      <c r="Y1643" t="inlineStr">
        <is>
          <t>Agriculture and Agri-Food Canada | Agriculture et Agroalimentaire Canada</t>
        </is>
      </c>
      <c r="Z1643" t="n">
        <v>1</v>
      </c>
      <c r="AA1643" t="n">
        <v>55.4</v>
      </c>
      <c r="AB1643">
        <f>ROUND(U1643-AA1643,2)</f>
        <v/>
      </c>
      <c r="AC1643" t="b">
        <v>0</v>
      </c>
      <c r="AD1643">
        <f>IF(U1643="","MISSING_TOTAL",IF(ABS(AB1643)&lt;=0.01,"OK","CHECK"))</f>
        <v/>
      </c>
      <c r="AE1643">
        <f>IF(U1643="","MISSING",IF(AND(AA1643&gt;0,U1643/AA1643&gt;50),"POSSIBLE_SCALE_ERROR","OK"))</f>
        <v/>
      </c>
    </row>
    <row r="1644">
      <c r="A1644" t="inlineStr">
        <is>
          <t>T-2021-P9-0006</t>
        </is>
      </c>
      <c r="B1644" t="inlineStr">
        <is>
          <t>MPSES</t>
        </is>
      </c>
      <c r="C1644" t="inlineStr">
        <is>
          <t>Driver</t>
        </is>
      </c>
      <c r="D1644" t="inlineStr">
        <is>
          <t>Chauffeur</t>
        </is>
      </c>
      <c r="E1644" t="inlineStr">
        <is>
          <t>Michel Gendreau</t>
        </is>
      </c>
      <c r="F1644" t="inlineStr">
        <is>
          <t>Drive the Minister from her riding to Ottawa</t>
        </is>
      </c>
      <c r="G1644" t="inlineStr">
        <is>
          <t>Conduire la Ministre de à sa circonscription à Ottawa</t>
        </is>
      </c>
      <c r="H1644" s="1" t="n">
        <v>44521</v>
      </c>
      <c r="I1644" s="1" t="n">
        <v>44522</v>
      </c>
      <c r="J1644" t="inlineStr">
        <is>
          <t>Sherbrooke (Quebec) Canada</t>
        </is>
      </c>
      <c r="K1644" t="inlineStr">
        <is>
          <t>Sherbrooke (Québec) Canada</t>
        </is>
      </c>
      <c r="P1644" t="n">
        <v>0</v>
      </c>
      <c r="Q1644" t="n">
        <v>4.8</v>
      </c>
      <c r="R1644" t="n">
        <v>123.75</v>
      </c>
      <c r="S1644" t="n">
        <v>74.34999999999999</v>
      </c>
      <c r="T1644" t="n">
        <v>0</v>
      </c>
      <c r="U1644" t="n">
        <v>202.9</v>
      </c>
      <c r="X1644" t="inlineStr">
        <is>
          <t>aafc-aac</t>
        </is>
      </c>
      <c r="Y1644" t="inlineStr">
        <is>
          <t>Agriculture and Agri-Food Canada | Agriculture et Agroalimentaire Canada</t>
        </is>
      </c>
      <c r="Z1644" t="n">
        <v>2</v>
      </c>
      <c r="AA1644" t="n">
        <v>202.9</v>
      </c>
      <c r="AB1644">
        <f>ROUND(U1644-AA1644,2)</f>
        <v/>
      </c>
      <c r="AC1644" t="b">
        <v>0</v>
      </c>
      <c r="AD1644">
        <f>IF(U1644="","MISSING_TOTAL",IF(ABS(AB1644)&lt;=0.01,"OK","CHECK"))</f>
        <v/>
      </c>
      <c r="AE1644">
        <f>IF(U1644="","MISSING",IF(AND(AA1644&gt;0,U1644/AA1644&gt;50),"POSSIBLE_SCALE_ERROR","OK"))</f>
        <v/>
      </c>
    </row>
    <row r="1645">
      <c r="A1645" t="inlineStr">
        <is>
          <t>T-2021-P9-0007</t>
        </is>
      </c>
      <c r="B1645" t="inlineStr">
        <is>
          <t>MPSES</t>
        </is>
      </c>
      <c r="C1645" t="inlineStr">
        <is>
          <t>Driver</t>
        </is>
      </c>
      <c r="D1645" t="inlineStr">
        <is>
          <t>Chauffeur</t>
        </is>
      </c>
      <c r="E1645" t="inlineStr">
        <is>
          <t>Michel Gendreau</t>
        </is>
      </c>
      <c r="F1645" t="inlineStr">
        <is>
          <t>Drive the Minister from Ottawa to her riding</t>
        </is>
      </c>
      <c r="G1645" t="inlineStr">
        <is>
          <t>Conduire la Ministre d'Ottawa à sa circonscription</t>
        </is>
      </c>
      <c r="H1645" s="1" t="n">
        <v>44526</v>
      </c>
      <c r="I1645" s="1" t="n">
        <v>44526</v>
      </c>
      <c r="J1645" t="inlineStr">
        <is>
          <t>Sherbrooke (Quebec) Canada</t>
        </is>
      </c>
      <c r="K1645" t="inlineStr">
        <is>
          <t>Sherbrooke (Québec) Canada</t>
        </is>
      </c>
      <c r="P1645" t="n">
        <v>0</v>
      </c>
      <c r="Q1645" t="n">
        <v>4.8</v>
      </c>
      <c r="R1645" t="n">
        <v>0</v>
      </c>
      <c r="S1645" t="n">
        <v>53</v>
      </c>
      <c r="T1645" t="n">
        <v>0</v>
      </c>
      <c r="U1645" t="n">
        <v>57.8</v>
      </c>
      <c r="X1645" t="inlineStr">
        <is>
          <t>aafc-aac</t>
        </is>
      </c>
      <c r="Y1645" t="inlineStr">
        <is>
          <t>Agriculture and Agri-Food Canada | Agriculture et Agroalimentaire Canada</t>
        </is>
      </c>
      <c r="Z1645" t="n">
        <v>1</v>
      </c>
      <c r="AA1645" t="n">
        <v>57.8</v>
      </c>
      <c r="AB1645">
        <f>ROUND(U1645-AA1645,2)</f>
        <v/>
      </c>
      <c r="AC1645" t="b">
        <v>0</v>
      </c>
      <c r="AD1645">
        <f>IF(U1645="","MISSING_TOTAL",IF(ABS(AB1645)&lt;=0.01,"OK","CHECK"))</f>
        <v/>
      </c>
      <c r="AE1645">
        <f>IF(U1645="","MISSING",IF(AND(AA1645&gt;0,U1645/AA1645&gt;50),"POSSIBLE_SCALE_ERROR","OK"))</f>
        <v/>
      </c>
    </row>
    <row r="1646">
      <c r="A1646" t="inlineStr">
        <is>
          <t>T-2021-P9-0008</t>
        </is>
      </c>
      <c r="B1646" t="inlineStr">
        <is>
          <t>MPSES</t>
        </is>
      </c>
      <c r="C1646" t="inlineStr">
        <is>
          <t>Driver</t>
        </is>
      </c>
      <c r="D1646" t="inlineStr">
        <is>
          <t>Chauffeur</t>
        </is>
      </c>
      <c r="E1646" t="inlineStr">
        <is>
          <t>Michel Gendreau</t>
        </is>
      </c>
      <c r="F1646" t="inlineStr">
        <is>
          <t>Drive the Minister from her riding to  the Union of agricultural producers Conference</t>
        </is>
      </c>
      <c r="G1646" t="inlineStr">
        <is>
          <t>Conduire la Ministre de sa circonscription à la conférence de l'Union des producteurs agricoles</t>
        </is>
      </c>
      <c r="H1646" s="1" t="n">
        <v>44531</v>
      </c>
      <c r="I1646" s="1" t="n">
        <v>44532</v>
      </c>
      <c r="J1646" t="inlineStr">
        <is>
          <t>Sherbrooke (Quebec) Canada; Quebec City (Quebec) Canada</t>
        </is>
      </c>
      <c r="K1646" t="inlineStr">
        <is>
          <t>Sherbrooke (Québec) Canada; Québec (Québec) Canada</t>
        </is>
      </c>
      <c r="P1646" t="n">
        <v>0</v>
      </c>
      <c r="Q1646" t="n">
        <v>4.8</v>
      </c>
      <c r="R1646" t="n">
        <v>123.75</v>
      </c>
      <c r="S1646" t="n">
        <v>148.95</v>
      </c>
      <c r="T1646" t="n">
        <v>0</v>
      </c>
      <c r="U1646" t="n">
        <v>277.5</v>
      </c>
      <c r="X1646" t="inlineStr">
        <is>
          <t>aafc-aac</t>
        </is>
      </c>
      <c r="Y1646" t="inlineStr">
        <is>
          <t>Agriculture and Agri-Food Canada | Agriculture et Agroalimentaire Canada</t>
        </is>
      </c>
      <c r="Z1646" t="n">
        <v>2</v>
      </c>
      <c r="AA1646" t="n">
        <v>277.5</v>
      </c>
      <c r="AB1646">
        <f>ROUND(U1646-AA1646,2)</f>
        <v/>
      </c>
      <c r="AC1646" t="b">
        <v>0</v>
      </c>
      <c r="AD1646">
        <f>IF(U1646="","MISSING_TOTAL",IF(ABS(AB1646)&lt;=0.01,"OK","CHECK"))</f>
        <v/>
      </c>
      <c r="AE1646">
        <f>IF(U1646="","MISSING",IF(AND(AA1646&gt;0,U1646/AA1646&gt;50),"POSSIBLE_SCALE_ERROR","OK"))</f>
        <v/>
      </c>
    </row>
    <row r="1647">
      <c r="A1647" t="inlineStr">
        <is>
          <t>T-2021-P9-0009</t>
        </is>
      </c>
      <c r="B1647" t="inlineStr">
        <is>
          <t>MPSES</t>
        </is>
      </c>
      <c r="C1647" t="inlineStr">
        <is>
          <t>Driver</t>
        </is>
      </c>
      <c r="D1647" t="inlineStr">
        <is>
          <t>Chauffeur</t>
        </is>
      </c>
      <c r="E1647" t="inlineStr">
        <is>
          <t>Michel Gendreau</t>
        </is>
      </c>
      <c r="F1647" t="inlineStr">
        <is>
          <t>Drive the Minister from her riding to Ottawa</t>
        </is>
      </c>
      <c r="G1647" t="inlineStr">
        <is>
          <t>Conduire la Ministre de à sa circonscription à Ottawa</t>
        </is>
      </c>
      <c r="H1647" s="1" t="n">
        <v>44535</v>
      </c>
      <c r="I1647" s="1" t="n">
        <v>44536</v>
      </c>
      <c r="J1647" t="inlineStr">
        <is>
          <t>Sherbrooke (Quebec) Canada</t>
        </is>
      </c>
      <c r="K1647" t="inlineStr">
        <is>
          <t>Sherbrooke (Québec) Canada</t>
        </is>
      </c>
      <c r="P1647" t="n">
        <v>0</v>
      </c>
      <c r="Q1647" t="n">
        <v>4.8</v>
      </c>
      <c r="R1647" t="n">
        <v>123.75</v>
      </c>
      <c r="S1647" t="n">
        <v>73.25</v>
      </c>
      <c r="T1647" t="n">
        <v>0</v>
      </c>
      <c r="U1647" t="n">
        <v>201.8</v>
      </c>
      <c r="X1647" t="inlineStr">
        <is>
          <t>aafc-aac</t>
        </is>
      </c>
      <c r="Y1647" t="inlineStr">
        <is>
          <t>Agriculture and Agri-Food Canada | Agriculture et Agroalimentaire Canada</t>
        </is>
      </c>
      <c r="Z1647" t="n">
        <v>2</v>
      </c>
      <c r="AA1647" t="n">
        <v>201.8</v>
      </c>
      <c r="AB1647">
        <f>ROUND(U1647-AA1647,2)</f>
        <v/>
      </c>
      <c r="AC1647" t="b">
        <v>0</v>
      </c>
      <c r="AD1647">
        <f>IF(U1647="","MISSING_TOTAL",IF(ABS(AB1647)&lt;=0.01,"OK","CHECK"))</f>
        <v/>
      </c>
      <c r="AE1647">
        <f>IF(U1647="","MISSING",IF(AND(AA1647&gt;0,U1647/AA1647&gt;50),"POSSIBLE_SCALE_ERROR","OK"))</f>
        <v/>
      </c>
    </row>
    <row r="1648">
      <c r="A1648" t="inlineStr">
        <is>
          <t>T-2021-P9-0010</t>
        </is>
      </c>
      <c r="B1648" t="inlineStr">
        <is>
          <t>MPSES</t>
        </is>
      </c>
      <c r="C1648" t="inlineStr">
        <is>
          <t>Director of Communications</t>
        </is>
      </c>
      <c r="D1648" t="inlineStr">
        <is>
          <t>Directeur des communications</t>
        </is>
      </c>
      <c r="E1648" t="inlineStr">
        <is>
          <t>Oliver Anderson</t>
        </is>
      </c>
      <c r="F1648" t="inlineStr">
        <is>
          <t>To accompany the Minister to the Federal, Provincial, Territorial Minister's of Agriculture Meeting</t>
        </is>
      </c>
      <c r="G1648" t="inlineStr">
        <is>
          <t>Pour accompagner la ministre à la réunion des ministres fédérale, provinciaux et territoriaux de l'agriculture</t>
        </is>
      </c>
      <c r="H1648" s="1" t="n">
        <v>44507</v>
      </c>
      <c r="I1648" s="1" t="n">
        <v>44510</v>
      </c>
      <c r="J1648" t="inlineStr">
        <is>
          <t>Guelph (Ontario); Canada</t>
        </is>
      </c>
      <c r="K1648" t="inlineStr">
        <is>
          <t>Guelph (Ontario); Canada</t>
        </is>
      </c>
      <c r="P1648" t="n">
        <v>1022.47</v>
      </c>
      <c r="Q1648" t="n">
        <v>103.9</v>
      </c>
      <c r="R1648" t="n">
        <v>539.01</v>
      </c>
      <c r="S1648" t="n">
        <v>53</v>
      </c>
      <c r="T1648" t="n">
        <v>150</v>
      </c>
      <c r="U1648" t="n">
        <v>1868.38</v>
      </c>
      <c r="X1648" t="inlineStr">
        <is>
          <t>aafc-aac</t>
        </is>
      </c>
      <c r="Y1648" t="inlineStr">
        <is>
          <t>Agriculture and Agri-Food Canada | Agriculture et Agroalimentaire Canada</t>
        </is>
      </c>
      <c r="Z1648" t="n">
        <v>4</v>
      </c>
      <c r="AA1648" t="n">
        <v>1868.38</v>
      </c>
      <c r="AB1648">
        <f>ROUND(U1648-AA1648,2)</f>
        <v/>
      </c>
      <c r="AC1648" t="b">
        <v>0</v>
      </c>
      <c r="AD1648">
        <f>IF(U1648="","MISSING_TOTAL",IF(ABS(AB1648)&lt;=0.01,"OK","CHECK"))</f>
        <v/>
      </c>
      <c r="AE1648">
        <f>IF(U1648="","MISSING",IF(AND(AA1648&gt;0,U1648/AA1648&gt;50),"POSSIBLE_SCALE_ERROR","OK"))</f>
        <v/>
      </c>
    </row>
    <row r="1649">
      <c r="A1649" t="inlineStr">
        <is>
          <t>T-2021-P9-0011</t>
        </is>
      </c>
      <c r="B1649" t="inlineStr">
        <is>
          <t>MPSES</t>
        </is>
      </c>
      <c r="C1649" t="inlineStr">
        <is>
          <t>Director of Communications</t>
        </is>
      </c>
      <c r="D1649" t="inlineStr">
        <is>
          <t>Directeur des communications</t>
        </is>
      </c>
      <c r="E1649" t="inlineStr">
        <is>
          <t>Oliver Anderson</t>
        </is>
      </c>
      <c r="F1649" t="inlineStr">
        <is>
          <t>To accompany the Minister on a Western Outreach</t>
        </is>
      </c>
      <c r="G1649" t="inlineStr">
        <is>
          <t>Pour accompagner la ministre à une campagne de sensibilisation dans les provinces de l'ouest</t>
        </is>
      </c>
      <c r="H1649" s="1" t="n">
        <v>44517</v>
      </c>
      <c r="I1649" s="1" t="n">
        <v>44519</v>
      </c>
      <c r="J1649" t="inlineStr">
        <is>
          <t>Saskatoon (Saskatchewan) Canada, Calgary (Alberta) Canada; Winnipeg (Manitoba) Canada</t>
        </is>
      </c>
      <c r="K1649" t="inlineStr">
        <is>
          <t>Saskatoon (Saskatchewan) Canada, Calgary (Alberta) Canada; Winnipeg (Manitoba) Canada</t>
        </is>
      </c>
      <c r="P1649" t="n">
        <v>2454.97</v>
      </c>
      <c r="Q1649" t="n">
        <v>273.22</v>
      </c>
      <c r="R1649" t="n">
        <v>362.48</v>
      </c>
      <c r="S1649" t="n">
        <v>266.5</v>
      </c>
      <c r="T1649" t="n">
        <v>0</v>
      </c>
      <c r="U1649" t="n">
        <v>3357.17</v>
      </c>
      <c r="X1649" t="inlineStr">
        <is>
          <t>aafc-aac</t>
        </is>
      </c>
      <c r="Y1649" t="inlineStr">
        <is>
          <t>Agriculture and Agri-Food Canada | Agriculture et Agroalimentaire Canada</t>
        </is>
      </c>
      <c r="Z1649" t="n">
        <v>3</v>
      </c>
      <c r="AA1649" t="n">
        <v>3357.16999999999</v>
      </c>
      <c r="AB1649">
        <f>ROUND(U1649-AA1649,2)</f>
        <v/>
      </c>
      <c r="AC1649" t="b">
        <v>0</v>
      </c>
      <c r="AD1649">
        <f>IF(U1649="","MISSING_TOTAL",IF(ABS(AB1649)&lt;=0.01,"OK","CHECK"))</f>
        <v/>
      </c>
      <c r="AE1649">
        <f>IF(U1649="","MISSING",IF(AND(AA1649&gt;0,U1649/AA1649&gt;50),"POSSIBLE_SCALE_ERROR","OK"))</f>
        <v/>
      </c>
    </row>
    <row r="1650">
      <c r="A1650" t="inlineStr">
        <is>
          <t>T-2021-P9-0012</t>
        </is>
      </c>
      <c r="B1650" t="inlineStr">
        <is>
          <t>MPSES</t>
        </is>
      </c>
      <c r="C1650" t="inlineStr">
        <is>
          <t>Senior Policy Advisor</t>
        </is>
      </c>
      <c r="D1650" t="inlineStr">
        <is>
          <t>Conseiller principal en politiques</t>
        </is>
      </c>
      <c r="E1650" t="inlineStr">
        <is>
          <t>Sandenga Yeba</t>
        </is>
      </c>
      <c r="F1650" t="inlineStr">
        <is>
          <t>To accompany the Minister to the Union of agricultural producers Conference</t>
        </is>
      </c>
      <c r="G1650" t="inlineStr">
        <is>
          <t>Pour accompagner la ministre à la conférence de l'Union des producteurs agricoles</t>
        </is>
      </c>
      <c r="H1650" s="1" t="n">
        <v>44532</v>
      </c>
      <c r="I1650" s="1" t="n">
        <v>44532</v>
      </c>
      <c r="J1650" t="inlineStr">
        <is>
          <t>Quebec City (Quebec) Canada</t>
        </is>
      </c>
      <c r="K1650" t="inlineStr">
        <is>
          <t>Québec (Québec) Canada</t>
        </is>
      </c>
      <c r="P1650" t="n">
        <v>0</v>
      </c>
      <c r="Q1650" t="n">
        <v>278.44</v>
      </c>
      <c r="R1650" t="n">
        <v>0</v>
      </c>
      <c r="S1650" t="n">
        <v>95.95</v>
      </c>
      <c r="T1650" t="n">
        <v>0</v>
      </c>
      <c r="U1650" t="n">
        <v>374.39</v>
      </c>
      <c r="X1650" t="inlineStr">
        <is>
          <t>aafc-aac</t>
        </is>
      </c>
      <c r="Y1650" t="inlineStr">
        <is>
          <t>Agriculture and Agri-Food Canada | Agriculture et Agroalimentaire Canada</t>
        </is>
      </c>
      <c r="Z1650" t="n">
        <v>1</v>
      </c>
      <c r="AA1650" t="n">
        <v>374.39</v>
      </c>
      <c r="AB1650">
        <f>ROUND(U1650-AA1650,2)</f>
        <v/>
      </c>
      <c r="AC1650" t="b">
        <v>0</v>
      </c>
      <c r="AD1650">
        <f>IF(U1650="","MISSING_TOTAL",IF(ABS(AB1650)&lt;=0.01,"OK","CHECK"))</f>
        <v/>
      </c>
      <c r="AE1650">
        <f>IF(U1650="","MISSING",IF(AND(AA1650&gt;0,U1650/AA1650&gt;50),"POSSIBLE_SCALE_ERROR","OK"))</f>
        <v/>
      </c>
    </row>
    <row r="1651">
      <c r="A1651" t="inlineStr">
        <is>
          <t>T-2021-P9-0013</t>
        </is>
      </c>
      <c r="B1651" t="inlineStr">
        <is>
          <t>SLE</t>
        </is>
      </c>
      <c r="C1651" t="inlineStr">
        <is>
          <t>Assistant Deputy Minister, Corporate Management Branch</t>
        </is>
      </c>
      <c r="D1651" t="inlineStr">
        <is>
          <t>Sous-ministre adjointe, Direction générale de la gestion intégrée</t>
        </is>
      </c>
      <c r="E1651" t="inlineStr">
        <is>
          <t>Marie-Claude Guérard</t>
        </is>
      </c>
      <c r="F1651" t="inlineStr">
        <is>
          <t>First face to face meeting with Minister Bibeau in Ottawa following the final cabinet selection following the federal election.</t>
        </is>
      </c>
      <c r="G1651" t="inlineStr">
        <is>
          <t>Premier face à face avec la Ministre Bibeau après la séléction finale du nouveau cabinet après l'éléction fédérale.</t>
        </is>
      </c>
      <c r="H1651" s="1" t="n">
        <v>44497</v>
      </c>
      <c r="I1651" s="1" t="n">
        <v>44498</v>
      </c>
      <c r="J1651" t="inlineStr">
        <is>
          <t>Ottawa (Ontario) Canada</t>
        </is>
      </c>
      <c r="K1651" t="inlineStr">
        <is>
          <t>Ottawa (Ontario) Canada</t>
        </is>
      </c>
      <c r="P1651" t="n">
        <v>0</v>
      </c>
      <c r="Q1651" t="n">
        <v>312.06</v>
      </c>
      <c r="R1651" t="n">
        <v>233.86</v>
      </c>
      <c r="S1651" t="n">
        <v>130.55</v>
      </c>
      <c r="U1651" t="n">
        <v>676.47</v>
      </c>
      <c r="X1651" t="inlineStr">
        <is>
          <t>aafc-aac</t>
        </is>
      </c>
      <c r="Y1651" t="inlineStr">
        <is>
          <t>Agriculture and Agri-Food Canada | Agriculture et Agroalimentaire Canada</t>
        </is>
      </c>
      <c r="Z1651" t="n">
        <v>2</v>
      </c>
      <c r="AA1651" t="n">
        <v>676.47</v>
      </c>
      <c r="AB1651">
        <f>ROUND(U1651-AA1651,2)</f>
        <v/>
      </c>
      <c r="AC1651" t="b">
        <v>0</v>
      </c>
      <c r="AD1651">
        <f>IF(U1651="","MISSING_TOTAL",IF(ABS(AB1651)&lt;=0.01,"OK","CHECK"))</f>
        <v/>
      </c>
      <c r="AE1651">
        <f>IF(U1651="","MISSING",IF(AND(AA1651&gt;0,U1651/AA1651&gt;50),"POSSIBLE_SCALE_ERROR","OK"))</f>
        <v/>
      </c>
    </row>
    <row r="1652">
      <c r="A1652" t="inlineStr">
        <is>
          <t>T-2021-P9-0014</t>
        </is>
      </c>
      <c r="B1652" t="inlineStr">
        <is>
          <t>SLE</t>
        </is>
      </c>
      <c r="C1652" t="inlineStr">
        <is>
          <t>Assistant Deputy Minister, Corporate Management Branch</t>
        </is>
      </c>
      <c r="D1652" t="inlineStr">
        <is>
          <t>Sous-ministre adjointe, Direction générale de la gestion intégrée</t>
        </is>
      </c>
      <c r="E1652" t="inlineStr">
        <is>
          <t>Marie-Claude Guérard</t>
        </is>
      </c>
      <c r="F1652" t="inlineStr">
        <is>
          <t>Second meeting with minister Bibeau , a continuation of the meeting on October 29th. The meeting location was at the National Headquarters Complex for the Agriculture Portfolio.</t>
        </is>
      </c>
      <c r="G1652" t="inlineStr">
        <is>
          <t>Deuxième rencontre avec la ministre Bibeau, une continuation de la rencontre du 29 octobre. La rencontre a eu lieu au Complexe de l'administration centrale du portefeuille de l'agriculture.</t>
        </is>
      </c>
      <c r="H1652" s="1" t="n">
        <v>44502</v>
      </c>
      <c r="I1652" s="1" t="n">
        <v>44502</v>
      </c>
      <c r="J1652" t="inlineStr">
        <is>
          <t>Ottawa (Ontario) Canada</t>
        </is>
      </c>
      <c r="K1652" t="inlineStr">
        <is>
          <t>Ottawa (Ontario) Canada</t>
        </is>
      </c>
      <c r="P1652" t="n">
        <v>0</v>
      </c>
      <c r="Q1652" t="n">
        <v>371.34</v>
      </c>
      <c r="R1652" t="n">
        <v>0</v>
      </c>
      <c r="S1652" t="n">
        <v>21.6</v>
      </c>
      <c r="U1652" t="n">
        <v>392.94</v>
      </c>
      <c r="X1652" t="inlineStr">
        <is>
          <t>aafc-aac</t>
        </is>
      </c>
      <c r="Y1652" t="inlineStr">
        <is>
          <t>Agriculture and Agri-Food Canada | Agriculture et Agroalimentaire Canada</t>
        </is>
      </c>
      <c r="Z1652" t="n">
        <v>1</v>
      </c>
      <c r="AA1652" t="n">
        <v>392.94</v>
      </c>
      <c r="AB1652">
        <f>ROUND(U1652-AA1652,2)</f>
        <v/>
      </c>
      <c r="AC1652" t="b">
        <v>0</v>
      </c>
      <c r="AD1652">
        <f>IF(U1652="","MISSING_TOTAL",IF(ABS(AB1652)&lt;=0.01,"OK","CHECK"))</f>
        <v/>
      </c>
      <c r="AE1652">
        <f>IF(U1652="","MISSING",IF(AND(AA1652&gt;0,U1652/AA1652&gt;50),"POSSIBLE_SCALE_ERROR","OK"))</f>
        <v/>
      </c>
    </row>
    <row r="1653">
      <c r="A1653" t="inlineStr">
        <is>
          <t>T-2021-P9-0015</t>
        </is>
      </c>
      <c r="B1653" t="inlineStr">
        <is>
          <t>SLE</t>
        </is>
      </c>
      <c r="C1653" t="inlineStr">
        <is>
          <t>Assistant Deputy Minister, Corporate Management Branch</t>
        </is>
      </c>
      <c r="D1653" t="inlineStr">
        <is>
          <t>Sous-ministre adjointe, Direction générale de la gestion intégrée</t>
        </is>
      </c>
      <c r="E1653" t="inlineStr">
        <is>
          <t>Marie-Claude Guérard</t>
        </is>
      </c>
      <c r="F1653" t="inlineStr">
        <is>
          <t>In-person meeting with the Deputy Minister as well as 2 other direct reports at the National Headquarters Complex for the Agriculture Portfolio.</t>
        </is>
      </c>
      <c r="G1653" t="inlineStr">
        <is>
          <t>Rencontre en personne avec le sous-ministre ainsi que 2 autres subordonnés au Complexe de l'administration centrale du portefeuille de l'agriculture.</t>
        </is>
      </c>
      <c r="H1653" s="1" t="n">
        <v>44516</v>
      </c>
      <c r="I1653" s="1" t="n">
        <v>44517</v>
      </c>
      <c r="J1653" t="inlineStr">
        <is>
          <t>Ottawa (Ontario) Canada</t>
        </is>
      </c>
      <c r="K1653" t="inlineStr">
        <is>
          <t>Ottawa (Ontario) Canada</t>
        </is>
      </c>
      <c r="P1653" t="n">
        <v>0</v>
      </c>
      <c r="Q1653" t="n">
        <v>311.87</v>
      </c>
      <c r="R1653" t="n">
        <v>233.86</v>
      </c>
      <c r="S1653" t="n">
        <v>152.15</v>
      </c>
      <c r="U1653" t="n">
        <v>697.88</v>
      </c>
      <c r="X1653" t="inlineStr">
        <is>
          <t>aafc-aac</t>
        </is>
      </c>
      <c r="Y1653" t="inlineStr">
        <is>
          <t>Agriculture and Agri-Food Canada | Agriculture et Agroalimentaire Canada</t>
        </is>
      </c>
      <c r="Z1653" t="n">
        <v>2</v>
      </c>
      <c r="AA1653" t="n">
        <v>697.88</v>
      </c>
      <c r="AB1653">
        <f>ROUND(U1653-AA1653,2)</f>
        <v/>
      </c>
      <c r="AC1653" t="b">
        <v>0</v>
      </c>
      <c r="AD1653">
        <f>IF(U1653="","MISSING_TOTAL",IF(ABS(AB1653)&lt;=0.01,"OK","CHECK"))</f>
        <v/>
      </c>
      <c r="AE1653">
        <f>IF(U1653="","MISSING",IF(AND(AA1653&gt;0,U1653/AA1653&gt;50),"POSSIBLE_SCALE_ERROR","OK"))</f>
        <v/>
      </c>
    </row>
    <row r="1654">
      <c r="A1654" t="inlineStr">
        <is>
          <t>T-2021-P9-0016</t>
        </is>
      </c>
      <c r="B1654" t="inlineStr">
        <is>
          <t>SLE</t>
        </is>
      </c>
      <c r="C1654" t="inlineStr">
        <is>
          <t>Assistant Deputy Minister, Strategic Policy Branch</t>
        </is>
      </c>
      <c r="D1654" t="inlineStr">
        <is>
          <t>Sous-Ministre adjointe, Direction générale des politiques stratégiques</t>
        </is>
      </c>
      <c r="E1654" t="inlineStr">
        <is>
          <t>Natasha Kim</t>
        </is>
      </c>
      <c r="F1654" t="inlineStr">
        <is>
          <t>Attended the Federal, Provincial, and Territorial Ministers of Agriculture conference.</t>
        </is>
      </c>
      <c r="G1654" t="inlineStr">
        <is>
          <t>Participer à la conférence des ministres fédérale, provinciaux et territoriaux de l'Agriculture.</t>
        </is>
      </c>
      <c r="H1654" s="1" t="n">
        <v>44507</v>
      </c>
      <c r="I1654" s="1" t="n">
        <v>44510</v>
      </c>
      <c r="J1654" t="inlineStr">
        <is>
          <t>Guelph (Ontario) Canada</t>
        </is>
      </c>
      <c r="K1654" t="inlineStr">
        <is>
          <t>Guelph (Ontario) Canada</t>
        </is>
      </c>
      <c r="P1654" t="n">
        <v>911.23</v>
      </c>
      <c r="Q1654" t="n">
        <v>43.45</v>
      </c>
      <c r="R1654" t="n">
        <v>606.8099999999999</v>
      </c>
      <c r="S1654" t="n">
        <v>122.2</v>
      </c>
      <c r="U1654" t="n">
        <v>1683.69</v>
      </c>
      <c r="X1654" t="inlineStr">
        <is>
          <t>aafc-aac</t>
        </is>
      </c>
      <c r="Y1654" t="inlineStr">
        <is>
          <t>Agriculture and Agri-Food Canada | Agriculture et Agroalimentaire Canada</t>
        </is>
      </c>
      <c r="Z1654" t="n">
        <v>4</v>
      </c>
      <c r="AA1654" t="n">
        <v>1683.69</v>
      </c>
      <c r="AB1654">
        <f>ROUND(U1654-AA1654,2)</f>
        <v/>
      </c>
      <c r="AC1654" t="b">
        <v>0</v>
      </c>
      <c r="AD1654">
        <f>IF(U1654="","MISSING_TOTAL",IF(ABS(AB1654)&lt;=0.01,"OK","CHECK"))</f>
        <v/>
      </c>
      <c r="AE1654">
        <f>IF(U1654="","MISSING",IF(AND(AA1654&gt;0,U1654/AA1654&gt;50),"POSSIBLE_SCALE_ERROR","OK"))</f>
        <v/>
      </c>
    </row>
    <row r="1655">
      <c r="A1655" t="inlineStr">
        <is>
          <t>T-2021-P9-0017</t>
        </is>
      </c>
      <c r="B1655" t="inlineStr">
        <is>
          <t>SLE</t>
        </is>
      </c>
      <c r="C1655" t="inlineStr">
        <is>
          <t>Assistant Deputy Minister, Market and Industry Services Branch</t>
        </is>
      </c>
      <c r="D1655" t="inlineStr">
        <is>
          <t>Sous-ministre adjoint, Direction générale des services à l'industrie et aux marchés</t>
        </is>
      </c>
      <c r="E1655" t="inlineStr">
        <is>
          <t>Tom Rosser</t>
        </is>
      </c>
      <c r="F1655" t="inlineStr">
        <is>
          <t>Attend the Toronto Global Forum 2021 Conference as a guest speaker.</t>
        </is>
      </c>
      <c r="G1655" t="inlineStr">
        <is>
          <t>Participer à la conférence du Toronto Global Forum 2021 en tant que conférencier invité.</t>
        </is>
      </c>
      <c r="H1655" s="1" t="n">
        <v>44509</v>
      </c>
      <c r="I1655" s="1" t="n">
        <v>44510</v>
      </c>
      <c r="J1655" t="inlineStr">
        <is>
          <t>Toronto (Ontario) Canada</t>
        </is>
      </c>
      <c r="K1655" t="inlineStr">
        <is>
          <t>Toronto (Ontario) Canada</t>
        </is>
      </c>
      <c r="P1655" t="n">
        <v>895.47</v>
      </c>
      <c r="Q1655" t="n">
        <v>124.7</v>
      </c>
      <c r="R1655" t="n">
        <v>233.86</v>
      </c>
      <c r="S1655" t="n">
        <v>130.55</v>
      </c>
      <c r="U1655" t="n">
        <v>1384.58</v>
      </c>
      <c r="X1655" t="inlineStr">
        <is>
          <t>aafc-aac</t>
        </is>
      </c>
      <c r="Y1655" t="inlineStr">
        <is>
          <t>Agriculture and Agri-Food Canada | Agriculture et Agroalimentaire Canada</t>
        </is>
      </c>
      <c r="Z1655" t="n">
        <v>2</v>
      </c>
      <c r="AA1655" t="n">
        <v>1384.58</v>
      </c>
      <c r="AB1655">
        <f>ROUND(U1655-AA1655,2)</f>
        <v/>
      </c>
      <c r="AC1655" t="b">
        <v>0</v>
      </c>
      <c r="AD1655">
        <f>IF(U1655="","MISSING_TOTAL",IF(ABS(AB1655)&lt;=0.01,"OK","CHECK"))</f>
        <v/>
      </c>
      <c r="AE1655">
        <f>IF(U1655="","MISSING",IF(AND(AA1655&gt;0,U1655/AA1655&gt;50),"POSSIBLE_SCALE_ERROR","OK"))</f>
        <v/>
      </c>
    </row>
    <row r="1656">
      <c r="A1656" t="inlineStr">
        <is>
          <t>T-2022-P01-0001</t>
        </is>
      </c>
      <c r="B1656" t="inlineStr">
        <is>
          <t>MPSES</t>
        </is>
      </c>
      <c r="C1656" t="inlineStr">
        <is>
          <t>Minister</t>
        </is>
      </c>
      <c r="D1656" t="inlineStr">
        <is>
          <t>Ministre</t>
        </is>
      </c>
      <c r="E1656" t="inlineStr">
        <is>
          <t>Marie-Claude Bibeau</t>
        </is>
      </c>
      <c r="F1656" t="inlineStr">
        <is>
          <t>To attend an outreach in Charlottetown.</t>
        </is>
      </c>
      <c r="G1656" t="inlineStr">
        <is>
          <t>Pour assister à une campagne de sensibilisation à Charlottetown.</t>
        </is>
      </c>
      <c r="H1656" s="1" t="n">
        <v>44645</v>
      </c>
      <c r="I1656" s="1" t="n">
        <v>44647</v>
      </c>
      <c r="J1656" t="inlineStr">
        <is>
          <t>Charlottetown (Prince Edward Island) Canada</t>
        </is>
      </c>
      <c r="K1656" t="inlineStr">
        <is>
          <t>Charlottetown (Île-du-Prince-Édouard) Canada</t>
        </is>
      </c>
      <c r="P1656" t="n">
        <v>1299.27</v>
      </c>
      <c r="Q1656" t="n">
        <v>0</v>
      </c>
      <c r="R1656" t="n">
        <v>514.08</v>
      </c>
      <c r="S1656" t="n">
        <v>191.9</v>
      </c>
      <c r="T1656" t="n">
        <v>0</v>
      </c>
      <c r="U1656" t="n">
        <v>2005.25</v>
      </c>
      <c r="X1656" t="inlineStr">
        <is>
          <t>aafc-aac</t>
        </is>
      </c>
      <c r="Y1656" t="inlineStr">
        <is>
          <t>Agriculture and Agri-Food Canada | Agriculture et Agroalimentaire Canada</t>
        </is>
      </c>
      <c r="Z1656" t="n">
        <v>3</v>
      </c>
      <c r="AA1656" t="n">
        <v>2005.25</v>
      </c>
      <c r="AB1656">
        <f>ROUND(U1656-AA1656,2)</f>
        <v/>
      </c>
      <c r="AC1656" t="b">
        <v>0</v>
      </c>
      <c r="AD1656">
        <f>IF(U1656="","MISSING_TOTAL",IF(ABS(AB1656)&lt;=0.01,"OK","CHECK"))</f>
        <v/>
      </c>
      <c r="AE1656">
        <f>IF(U1656="","MISSING",IF(AND(AA1656&gt;0,U1656/AA1656&gt;50),"POSSIBLE_SCALE_ERROR","OK"))</f>
        <v/>
      </c>
    </row>
    <row r="1657">
      <c r="A1657" t="inlineStr">
        <is>
          <t>T-2022-P01-0002</t>
        </is>
      </c>
      <c r="B1657" t="inlineStr">
        <is>
          <t>MPSES</t>
        </is>
      </c>
      <c r="C1657" t="inlineStr">
        <is>
          <t>Press Secretary</t>
        </is>
      </c>
      <c r="D1657" t="inlineStr">
        <is>
          <t>Attachée de presse</t>
        </is>
      </c>
      <c r="E1657" t="inlineStr">
        <is>
          <t>Marianne Dandurand</t>
        </is>
      </c>
      <c r="F1657" t="inlineStr">
        <is>
          <t>To accompany the Minister on an outreach in Charlottetown.</t>
        </is>
      </c>
      <c r="G1657" t="inlineStr">
        <is>
          <t>Pour accompagner la ministre à une campagne de sensibilisation à Charlottetown.</t>
        </is>
      </c>
      <c r="H1657" s="1" t="n">
        <v>44645</v>
      </c>
      <c r="I1657" s="1" t="n">
        <v>44647</v>
      </c>
      <c r="J1657" t="inlineStr">
        <is>
          <t>Charlottetown (Prince Edward Island) Canada</t>
        </is>
      </c>
      <c r="K1657" t="inlineStr">
        <is>
          <t>Charlottetown (Île-du-Prince-Édouard) Canada</t>
        </is>
      </c>
      <c r="P1657" t="n">
        <v>1299.27</v>
      </c>
      <c r="Q1657" t="n">
        <v>0</v>
      </c>
      <c r="R1657" t="n">
        <v>542.5</v>
      </c>
      <c r="S1657" t="n">
        <v>170.55</v>
      </c>
      <c r="T1657" t="n">
        <v>0</v>
      </c>
      <c r="U1657" t="n">
        <v>2012.32</v>
      </c>
      <c r="X1657" t="inlineStr">
        <is>
          <t>aafc-aac</t>
        </is>
      </c>
      <c r="Y1657" t="inlineStr">
        <is>
          <t>Agriculture and Agri-Food Canada | Agriculture et Agroalimentaire Canada</t>
        </is>
      </c>
      <c r="Z1657" t="n">
        <v>3</v>
      </c>
      <c r="AA1657" t="n">
        <v>2012.32</v>
      </c>
      <c r="AB1657">
        <f>ROUND(U1657-AA1657,2)</f>
        <v/>
      </c>
      <c r="AC1657" t="b">
        <v>0</v>
      </c>
      <c r="AD1657">
        <f>IF(U1657="","MISSING_TOTAL",IF(ABS(AB1657)&lt;=0.01,"OK","CHECK"))</f>
        <v/>
      </c>
      <c r="AE1657">
        <f>IF(U1657="","MISSING",IF(AND(AA1657&gt;0,U1657/AA1657&gt;50),"POSSIBLE_SCALE_ERROR","OK"))</f>
        <v/>
      </c>
    </row>
    <row r="1658">
      <c r="A1658" t="inlineStr">
        <is>
          <t>T-2022-P01-0003</t>
        </is>
      </c>
      <c r="B1658" t="inlineStr">
        <is>
          <t>MPSES</t>
        </is>
      </c>
      <c r="C1658" t="inlineStr">
        <is>
          <t>Director of Policy</t>
        </is>
      </c>
      <c r="D1658" t="inlineStr">
        <is>
          <t>Directeur des politiques</t>
        </is>
      </c>
      <c r="E1658" t="inlineStr">
        <is>
          <t>Jérémy Gauthier</t>
        </is>
      </c>
      <c r="F1658" t="inlineStr">
        <is>
          <t>To accompany the Minister on an outreach in Charlottetown.</t>
        </is>
      </c>
      <c r="G1658" t="inlineStr">
        <is>
          <t>Pour accompagner la ministre à une campagne de sensibilisation à Charlottetown.</t>
        </is>
      </c>
      <c r="H1658" s="1" t="n">
        <v>44645</v>
      </c>
      <c r="I1658" s="1" t="n">
        <v>44647</v>
      </c>
      <c r="J1658" t="inlineStr">
        <is>
          <t>Charlottetown (Prince Edward Island) Canada</t>
        </is>
      </c>
      <c r="K1658" t="inlineStr">
        <is>
          <t>Charlottetown (Île-du-Prince-Édouard) Canada</t>
        </is>
      </c>
      <c r="P1658" t="n">
        <v>1205.68</v>
      </c>
      <c r="Q1658" t="n">
        <v>43.2</v>
      </c>
      <c r="R1658" t="n">
        <v>589.88</v>
      </c>
      <c r="S1658" t="n">
        <v>53</v>
      </c>
      <c r="T1658" t="n">
        <v>0</v>
      </c>
      <c r="U1658" t="n">
        <v>1891.76</v>
      </c>
      <c r="X1658" t="inlineStr">
        <is>
          <t>aafc-aac</t>
        </is>
      </c>
      <c r="Y1658" t="inlineStr">
        <is>
          <t>Agriculture and Agri-Food Canada | Agriculture et Agroalimentaire Canada</t>
        </is>
      </c>
      <c r="Z1658" t="n">
        <v>3</v>
      </c>
      <c r="AA1658" t="n">
        <v>1891.76</v>
      </c>
      <c r="AB1658">
        <f>ROUND(U1658-AA1658,2)</f>
        <v/>
      </c>
      <c r="AC1658" t="b">
        <v>0</v>
      </c>
      <c r="AD1658">
        <f>IF(U1658="","MISSING_TOTAL",IF(ABS(AB1658)&lt;=0.01,"OK","CHECK"))</f>
        <v/>
      </c>
      <c r="AE1658">
        <f>IF(U1658="","MISSING",IF(AND(AA1658&gt;0,U1658/AA1658&gt;50),"POSSIBLE_SCALE_ERROR","OK"))</f>
        <v/>
      </c>
    </row>
    <row r="1659">
      <c r="A1659" t="inlineStr">
        <is>
          <t>T-2022-P01-0004</t>
        </is>
      </c>
      <c r="B1659" t="inlineStr">
        <is>
          <t>MPSES</t>
        </is>
      </c>
      <c r="C1659" t="inlineStr">
        <is>
          <t>Driver</t>
        </is>
      </c>
      <c r="D1659" t="inlineStr">
        <is>
          <t>Chauffeur</t>
        </is>
      </c>
      <c r="E1659" t="inlineStr">
        <is>
          <t>Michel Gendreau</t>
        </is>
      </c>
      <c r="F1659" t="inlineStr">
        <is>
          <t>Drive the Minister from her riding to Ottawa</t>
        </is>
      </c>
      <c r="G1659" t="inlineStr">
        <is>
          <t>Conduire la Ministre de sa circonscription à Ottawa</t>
        </is>
      </c>
      <c r="H1659" s="1" t="n">
        <v>44614</v>
      </c>
      <c r="I1659" s="1" t="n">
        <v>44614</v>
      </c>
      <c r="J1659" t="inlineStr">
        <is>
          <t>Sherbrooke (Quebec) Canada</t>
        </is>
      </c>
      <c r="K1659" t="inlineStr">
        <is>
          <t>Sherbrooke (Québec) Canada</t>
        </is>
      </c>
      <c r="P1659" t="n">
        <v>0</v>
      </c>
      <c r="Q1659" t="n">
        <v>6</v>
      </c>
      <c r="R1659" t="n">
        <v>0</v>
      </c>
      <c r="S1659" t="n">
        <v>53</v>
      </c>
      <c r="T1659" t="n">
        <v>0</v>
      </c>
      <c r="U1659" t="n">
        <v>59</v>
      </c>
      <c r="X1659" t="inlineStr">
        <is>
          <t>aafc-aac</t>
        </is>
      </c>
      <c r="Y1659" t="inlineStr">
        <is>
          <t>Agriculture and Agri-Food Canada | Agriculture et Agroalimentaire Canada</t>
        </is>
      </c>
      <c r="Z1659" t="n">
        <v>1</v>
      </c>
      <c r="AA1659" t="n">
        <v>59</v>
      </c>
      <c r="AB1659">
        <f>ROUND(U1659-AA1659,2)</f>
        <v/>
      </c>
      <c r="AC1659" t="b">
        <v>0</v>
      </c>
      <c r="AD1659">
        <f>IF(U1659="","MISSING_TOTAL",IF(ABS(AB1659)&lt;=0.01,"OK","CHECK"))</f>
        <v/>
      </c>
      <c r="AE1659">
        <f>IF(U1659="","MISSING",IF(AND(AA1659&gt;0,U1659/AA1659&gt;50),"POSSIBLE_SCALE_ERROR","OK"))</f>
        <v/>
      </c>
    </row>
    <row r="1660">
      <c r="A1660" t="inlineStr">
        <is>
          <t>T-2022-P01-0005</t>
        </is>
      </c>
      <c r="B1660" t="inlineStr">
        <is>
          <t>MPSES</t>
        </is>
      </c>
      <c r="C1660" t="inlineStr">
        <is>
          <t>Driver</t>
        </is>
      </c>
      <c r="D1660" t="inlineStr">
        <is>
          <t>Chauffeur</t>
        </is>
      </c>
      <c r="E1660" t="inlineStr">
        <is>
          <t>Michel Gendreau</t>
        </is>
      </c>
      <c r="F1660" t="inlineStr">
        <is>
          <t>Drive the Minister for a Quebec Outreach</t>
        </is>
      </c>
      <c r="G1660" t="inlineStr">
        <is>
          <t>Conduire la Ministre pour une campagne de sensibilisation au Québec</t>
        </is>
      </c>
      <c r="H1660" s="1" t="n">
        <v>44615</v>
      </c>
      <c r="I1660" s="1" t="n">
        <v>44615</v>
      </c>
      <c r="J1660" t="inlineStr">
        <is>
          <t>Sherbrooke (Quebec) Canada</t>
        </is>
      </c>
      <c r="K1660" t="inlineStr">
        <is>
          <t>Sherbrooke (Québec) Canada</t>
        </is>
      </c>
      <c r="P1660" t="n">
        <v>0</v>
      </c>
      <c r="Q1660" t="n">
        <v>48.97</v>
      </c>
      <c r="R1660" t="n">
        <v>0</v>
      </c>
      <c r="S1660" t="n">
        <v>74.59999999999999</v>
      </c>
      <c r="T1660" t="n">
        <v>0</v>
      </c>
      <c r="U1660" t="n">
        <v>123.57</v>
      </c>
      <c r="X1660" t="inlineStr">
        <is>
          <t>aafc-aac</t>
        </is>
      </c>
      <c r="Y1660" t="inlineStr">
        <is>
          <t>Agriculture and Agri-Food Canada | Agriculture et Agroalimentaire Canada</t>
        </is>
      </c>
      <c r="Z1660" t="n">
        <v>1</v>
      </c>
      <c r="AA1660" t="n">
        <v>123.57</v>
      </c>
      <c r="AB1660">
        <f>ROUND(U1660-AA1660,2)</f>
        <v/>
      </c>
      <c r="AC1660" t="b">
        <v>0</v>
      </c>
      <c r="AD1660">
        <f>IF(U1660="","MISSING_TOTAL",IF(ABS(AB1660)&lt;=0.01,"OK","CHECK"))</f>
        <v/>
      </c>
      <c r="AE1660">
        <f>IF(U1660="","MISSING",IF(AND(AA1660&gt;0,U1660/AA1660&gt;50),"POSSIBLE_SCALE_ERROR","OK"))</f>
        <v/>
      </c>
    </row>
    <row r="1661">
      <c r="A1661" t="inlineStr">
        <is>
          <t>T-2022-P01-0006</t>
        </is>
      </c>
      <c r="B1661" t="inlineStr">
        <is>
          <t>MPSES</t>
        </is>
      </c>
      <c r="C1661" t="inlineStr">
        <is>
          <t>Driver</t>
        </is>
      </c>
      <c r="D1661" t="inlineStr">
        <is>
          <t>Chauffeur</t>
        </is>
      </c>
      <c r="E1661" t="inlineStr">
        <is>
          <t>Michel Gendreau</t>
        </is>
      </c>
      <c r="F1661" t="inlineStr">
        <is>
          <t>Drive the Minister from Ottawa back to her riding</t>
        </is>
      </c>
      <c r="G1661" t="inlineStr">
        <is>
          <t>Conduire la Ministre d'Ottawa à sa circonscription</t>
        </is>
      </c>
      <c r="H1661" s="1" t="n">
        <v>44642</v>
      </c>
      <c r="I1661" s="1" t="n">
        <v>44642</v>
      </c>
      <c r="J1661" t="inlineStr">
        <is>
          <t>Sherbrooke (Quebec) Canada</t>
        </is>
      </c>
      <c r="K1661" t="inlineStr">
        <is>
          <t>Sherbrooke (Québec) Canada</t>
        </is>
      </c>
      <c r="P1661" t="n">
        <v>0</v>
      </c>
      <c r="Q1661" t="n">
        <v>6</v>
      </c>
      <c r="R1661" t="n">
        <v>0</v>
      </c>
      <c r="S1661" t="n">
        <v>53</v>
      </c>
      <c r="T1661" t="n">
        <v>0</v>
      </c>
      <c r="U1661" t="n">
        <v>59</v>
      </c>
      <c r="X1661" t="inlineStr">
        <is>
          <t>aafc-aac</t>
        </is>
      </c>
      <c r="Y1661" t="inlineStr">
        <is>
          <t>Agriculture and Agri-Food Canada | Agriculture et Agroalimentaire Canada</t>
        </is>
      </c>
      <c r="Z1661" t="n">
        <v>1</v>
      </c>
      <c r="AA1661" t="n">
        <v>59</v>
      </c>
      <c r="AB1661">
        <f>ROUND(U1661-AA1661,2)</f>
        <v/>
      </c>
      <c r="AC1661" t="b">
        <v>0</v>
      </c>
      <c r="AD1661">
        <f>IF(U1661="","MISSING_TOTAL",IF(ABS(AB1661)&lt;=0.01,"OK","CHECK"))</f>
        <v/>
      </c>
      <c r="AE1661">
        <f>IF(U1661="","MISSING",IF(AND(AA1661&gt;0,U1661/AA1661&gt;50),"POSSIBLE_SCALE_ERROR","OK"))</f>
        <v/>
      </c>
    </row>
    <row r="1662">
      <c r="A1662" t="inlineStr">
        <is>
          <t>T-2022-P01-0007</t>
        </is>
      </c>
      <c r="B1662" t="inlineStr">
        <is>
          <t>MPSES</t>
        </is>
      </c>
      <c r="C1662" t="inlineStr">
        <is>
          <t>Driver</t>
        </is>
      </c>
      <c r="D1662" t="inlineStr">
        <is>
          <t>Chauffeur</t>
        </is>
      </c>
      <c r="E1662" t="inlineStr">
        <is>
          <t>Michel Gendreau</t>
        </is>
      </c>
      <c r="F1662" t="inlineStr">
        <is>
          <t>Drive the Minister for an Outreach in Drummondville then to the Montréal Airport</t>
        </is>
      </c>
      <c r="G1662" t="inlineStr">
        <is>
          <t>Conduire la Ministre à une campagne de sensibilisation à Drummondville puis à l'aéroport de Montréal</t>
        </is>
      </c>
      <c r="H1662" s="1" t="n">
        <v>44645</v>
      </c>
      <c r="I1662" s="1" t="n">
        <v>44645</v>
      </c>
      <c r="J1662" t="inlineStr">
        <is>
          <t>Sherbrooke (Quebec) Canada; Drummondville (Quebec) Canada; Montréal (Quebec) Canada</t>
        </is>
      </c>
      <c r="K1662" t="inlineStr">
        <is>
          <t>Sherbrooke (Québec) Canada; Drummondville (Québec) Canada; Montréal (Québec) Canada</t>
        </is>
      </c>
      <c r="P1662" t="n">
        <v>0</v>
      </c>
      <c r="Q1662" t="n">
        <v>0</v>
      </c>
      <c r="R1662" t="n">
        <v>0</v>
      </c>
      <c r="S1662" t="n">
        <v>74.59999999999999</v>
      </c>
      <c r="T1662" t="n">
        <v>0</v>
      </c>
      <c r="U1662" t="n">
        <v>74.59999999999999</v>
      </c>
      <c r="X1662" t="inlineStr">
        <is>
          <t>aafc-aac</t>
        </is>
      </c>
      <c r="Y1662" t="inlineStr">
        <is>
          <t>Agriculture and Agri-Food Canada | Agriculture et Agroalimentaire Canada</t>
        </is>
      </c>
      <c r="Z1662" t="n">
        <v>1</v>
      </c>
      <c r="AA1662" t="n">
        <v>74.59999999999999</v>
      </c>
      <c r="AB1662">
        <f>ROUND(U1662-AA1662,2)</f>
        <v/>
      </c>
      <c r="AC1662" t="b">
        <v>0</v>
      </c>
      <c r="AD1662">
        <f>IF(U1662="","MISSING_TOTAL",IF(ABS(AB1662)&lt;=0.01,"OK","CHECK"))</f>
        <v/>
      </c>
      <c r="AE1662">
        <f>IF(U1662="","MISSING",IF(AND(AA1662&gt;0,U1662/AA1662&gt;50),"POSSIBLE_SCALE_ERROR","OK"))</f>
        <v/>
      </c>
    </row>
    <row r="1663">
      <c r="A1663" t="inlineStr">
        <is>
          <t>T-2022-P01-0008</t>
        </is>
      </c>
      <c r="B1663" t="inlineStr">
        <is>
          <t>MPSES</t>
        </is>
      </c>
      <c r="C1663" t="inlineStr">
        <is>
          <t>Driver</t>
        </is>
      </c>
      <c r="D1663" t="inlineStr">
        <is>
          <t>Chauffeur</t>
        </is>
      </c>
      <c r="E1663" t="inlineStr">
        <is>
          <t>Michel Gendreau</t>
        </is>
      </c>
      <c r="F1663" t="inlineStr">
        <is>
          <t>Drive the Minister from Ottawa back to her riding</t>
        </is>
      </c>
      <c r="G1663" t="inlineStr">
        <is>
          <t>Conduire la Ministre d'Ottawa à sa circonscription</t>
        </is>
      </c>
      <c r="H1663" s="1" t="n">
        <v>44651</v>
      </c>
      <c r="I1663" s="1" t="n">
        <v>44652</v>
      </c>
      <c r="J1663" t="inlineStr">
        <is>
          <t>Sherbrooke (Quebec) Canada</t>
        </is>
      </c>
      <c r="K1663" t="inlineStr">
        <is>
          <t>Sherbrooke (Québec) Canada</t>
        </is>
      </c>
      <c r="P1663" t="n">
        <v>0</v>
      </c>
      <c r="Q1663" t="n">
        <v>6</v>
      </c>
      <c r="R1663" t="n">
        <v>121.38</v>
      </c>
      <c r="S1663" t="n">
        <v>151.45</v>
      </c>
      <c r="T1663" t="n">
        <v>0</v>
      </c>
      <c r="U1663" t="n">
        <v>278.83</v>
      </c>
      <c r="X1663" t="inlineStr">
        <is>
          <t>aafc-aac</t>
        </is>
      </c>
      <c r="Y1663" t="inlineStr">
        <is>
          <t>Agriculture and Agri-Food Canada | Agriculture et Agroalimentaire Canada</t>
        </is>
      </c>
      <c r="Z1663" t="n">
        <v>2</v>
      </c>
      <c r="AA1663" t="n">
        <v>278.83</v>
      </c>
      <c r="AB1663">
        <f>ROUND(U1663-AA1663,2)</f>
        <v/>
      </c>
      <c r="AC1663" t="b">
        <v>0</v>
      </c>
      <c r="AD1663">
        <f>IF(U1663="","MISSING_TOTAL",IF(ABS(AB1663)&lt;=0.01,"OK","CHECK"))</f>
        <v/>
      </c>
      <c r="AE1663">
        <f>IF(U1663="","MISSING",IF(AND(AA1663&gt;0,U1663/AA1663&gt;50),"POSSIBLE_SCALE_ERROR","OK"))</f>
        <v/>
      </c>
    </row>
    <row r="1664">
      <c r="A1664" t="inlineStr">
        <is>
          <t>T-2022-P01-0009</t>
        </is>
      </c>
      <c r="B1664" t="inlineStr">
        <is>
          <t>MPSES</t>
        </is>
      </c>
      <c r="C1664" t="inlineStr">
        <is>
          <t>Driver</t>
        </is>
      </c>
      <c r="D1664" t="inlineStr">
        <is>
          <t>Chauffeur</t>
        </is>
      </c>
      <c r="E1664" t="inlineStr">
        <is>
          <t>Michel Gendreau</t>
        </is>
      </c>
      <c r="F1664" t="inlineStr">
        <is>
          <t>Drive the Minister from her riding to Ottawa</t>
        </is>
      </c>
      <c r="G1664" t="inlineStr">
        <is>
          <t>Conduire la Ministre de sa circonscription à Ottawa</t>
        </is>
      </c>
      <c r="H1664" s="1" t="n">
        <v>44654</v>
      </c>
      <c r="I1664" s="1" t="n">
        <v>44655</v>
      </c>
      <c r="J1664" t="inlineStr">
        <is>
          <t>Sherbrooke (Quebec) Canada</t>
        </is>
      </c>
      <c r="K1664" t="inlineStr">
        <is>
          <t>Sherbrooke (Québec) Canada</t>
        </is>
      </c>
      <c r="P1664" t="n">
        <v>0</v>
      </c>
      <c r="Q1664" t="n">
        <v>6</v>
      </c>
      <c r="R1664" t="n">
        <v>121.38</v>
      </c>
      <c r="S1664" t="n">
        <v>76.3</v>
      </c>
      <c r="T1664" t="n">
        <v>0</v>
      </c>
      <c r="U1664" t="n">
        <v>203.68</v>
      </c>
      <c r="X1664" t="inlineStr">
        <is>
          <t>aafc-aac</t>
        </is>
      </c>
      <c r="Y1664" t="inlineStr">
        <is>
          <t>Agriculture and Agri-Food Canada | Agriculture et Agroalimentaire Canada</t>
        </is>
      </c>
      <c r="Z1664" t="n">
        <v>2</v>
      </c>
      <c r="AA1664" t="n">
        <v>203.68</v>
      </c>
      <c r="AB1664">
        <f>ROUND(U1664-AA1664,2)</f>
        <v/>
      </c>
      <c r="AC1664" t="b">
        <v>0</v>
      </c>
      <c r="AD1664">
        <f>IF(U1664="","MISSING_TOTAL",IF(ABS(AB1664)&lt;=0.01,"OK","CHECK"))</f>
        <v/>
      </c>
      <c r="AE1664">
        <f>IF(U1664="","MISSING",IF(AND(AA1664&gt;0,U1664/AA1664&gt;50),"POSSIBLE_SCALE_ERROR","OK"))</f>
        <v/>
      </c>
    </row>
    <row r="1665">
      <c r="A1665" t="inlineStr">
        <is>
          <t>T-2022-P01-0010</t>
        </is>
      </c>
      <c r="B1665" t="inlineStr">
        <is>
          <t>MPSES</t>
        </is>
      </c>
      <c r="C1665" t="inlineStr">
        <is>
          <t>Driver</t>
        </is>
      </c>
      <c r="D1665" t="inlineStr">
        <is>
          <t>Chauffeur</t>
        </is>
      </c>
      <c r="E1665" t="inlineStr">
        <is>
          <t>Michel Gendreau</t>
        </is>
      </c>
      <c r="F1665" t="inlineStr">
        <is>
          <t>Drive the Minister from Ottawa back to her riding</t>
        </is>
      </c>
      <c r="G1665" t="inlineStr">
        <is>
          <t>Conduire la Ministre d'Ottawa à sa circonscription</t>
        </is>
      </c>
      <c r="H1665" s="1" t="n">
        <v>44659</v>
      </c>
      <c r="I1665" s="1" t="n">
        <v>44659</v>
      </c>
      <c r="J1665" t="inlineStr">
        <is>
          <t>Sherbrooke (Quebec) Canada</t>
        </is>
      </c>
      <c r="K1665" t="inlineStr">
        <is>
          <t>Sherbrooke (Québec) Canada</t>
        </is>
      </c>
      <c r="P1665" t="n">
        <v>0</v>
      </c>
      <c r="Q1665" t="n">
        <v>6</v>
      </c>
      <c r="R1665" t="n">
        <v>0</v>
      </c>
      <c r="S1665" t="n">
        <v>54.4</v>
      </c>
      <c r="T1665" t="n">
        <v>0</v>
      </c>
      <c r="U1665" t="n">
        <v>60.4</v>
      </c>
      <c r="X1665" t="inlineStr">
        <is>
          <t>aafc-aac</t>
        </is>
      </c>
      <c r="Y1665" t="inlineStr">
        <is>
          <t>Agriculture and Agri-Food Canada | Agriculture et Agroalimentaire Canada</t>
        </is>
      </c>
      <c r="Z1665" t="n">
        <v>1</v>
      </c>
      <c r="AA1665" t="n">
        <v>60.4</v>
      </c>
      <c r="AB1665">
        <f>ROUND(U1665-AA1665,2)</f>
        <v/>
      </c>
      <c r="AC1665" t="b">
        <v>0</v>
      </c>
      <c r="AD1665">
        <f>IF(U1665="","MISSING_TOTAL",IF(ABS(AB1665)&lt;=0.01,"OK","CHECK"))</f>
        <v/>
      </c>
      <c r="AE1665">
        <f>IF(U1665="","MISSING",IF(AND(AA1665&gt;0,U1665/AA1665&gt;50),"POSSIBLE_SCALE_ERROR","OK"))</f>
        <v/>
      </c>
    </row>
    <row r="1666">
      <c r="A1666" t="inlineStr">
        <is>
          <t>T-2022-P01-0011</t>
        </is>
      </c>
      <c r="B1666" t="inlineStr">
        <is>
          <t>MPSES</t>
        </is>
      </c>
      <c r="C1666" t="inlineStr">
        <is>
          <t>Policy Advisor</t>
        </is>
      </c>
      <c r="D1666" t="inlineStr">
        <is>
          <t>Conseillère en politiques</t>
        </is>
      </c>
      <c r="E1666" t="inlineStr">
        <is>
          <t>Christine Harvey</t>
        </is>
      </c>
      <c r="F1666" t="inlineStr">
        <is>
          <t>To accompany the Minister to a Press Conference in St-Hyacinthe</t>
        </is>
      </c>
      <c r="G1666" t="inlineStr">
        <is>
          <t>Pour accompagner la ministre à une conférence de presse à St-Hyacinthe</t>
        </is>
      </c>
      <c r="H1666" s="1" t="n">
        <v>44652</v>
      </c>
      <c r="I1666" s="1" t="n">
        <v>44652</v>
      </c>
      <c r="J1666" t="inlineStr">
        <is>
          <t>St-Hyacinthe (Quebec) Canada</t>
        </is>
      </c>
      <c r="K1666" t="inlineStr">
        <is>
          <t>St-Hyacinthe (Québec) Canada</t>
        </is>
      </c>
      <c r="P1666" t="n">
        <v>0</v>
      </c>
      <c r="Q1666" t="n">
        <v>66.09999999999999</v>
      </c>
      <c r="R1666" t="n">
        <v>0</v>
      </c>
      <c r="S1666" t="n">
        <v>22.15</v>
      </c>
      <c r="T1666" t="n">
        <v>0</v>
      </c>
      <c r="U1666" t="n">
        <v>88.25</v>
      </c>
      <c r="X1666" t="inlineStr">
        <is>
          <t>aafc-aac</t>
        </is>
      </c>
      <c r="Y1666" t="inlineStr">
        <is>
          <t>Agriculture and Agri-Food Canada | Agriculture et Agroalimentaire Canada</t>
        </is>
      </c>
      <c r="Z1666" t="n">
        <v>1</v>
      </c>
      <c r="AA1666" t="n">
        <v>88.25</v>
      </c>
      <c r="AB1666">
        <f>ROUND(U1666-AA1666,2)</f>
        <v/>
      </c>
      <c r="AC1666" t="b">
        <v>0</v>
      </c>
      <c r="AD1666">
        <f>IF(U1666="","MISSING_TOTAL",IF(ABS(AB1666)&lt;=0.01,"OK","CHECK"))</f>
        <v/>
      </c>
      <c r="AE1666">
        <f>IF(U1666="","MISSING",IF(AND(AA1666&gt;0,U1666/AA1666&gt;50),"POSSIBLE_SCALE_ERROR","OK"))</f>
        <v/>
      </c>
    </row>
    <row r="1667">
      <c r="A1667" t="inlineStr">
        <is>
          <t>T-2022-P01-0012</t>
        </is>
      </c>
      <c r="B1667" t="inlineStr">
        <is>
          <t>MPSES</t>
        </is>
      </c>
      <c r="C1667" t="inlineStr">
        <is>
          <t>Policy Advisor</t>
        </is>
      </c>
      <c r="D1667" t="inlineStr">
        <is>
          <t>Conseillère en politiques</t>
        </is>
      </c>
      <c r="E1667" t="inlineStr">
        <is>
          <t>Christine Harvey</t>
        </is>
      </c>
      <c r="F1667" t="inlineStr">
        <is>
          <t>To accompany the Minister to the Dairy Farmers of Quebec's Annual General Meeting</t>
        </is>
      </c>
      <c r="G1667" t="inlineStr">
        <is>
          <t>Pour accompagner la ministre à l'Assemblée générale annuelle des Producteurs de lait du Québec</t>
        </is>
      </c>
      <c r="H1667" s="1" t="n">
        <v>44665</v>
      </c>
      <c r="I1667" s="1" t="n">
        <v>44665</v>
      </c>
      <c r="J1667" t="inlineStr">
        <is>
          <t>St-Hyacinthe (Quebec) Canada</t>
        </is>
      </c>
      <c r="K1667" t="inlineStr">
        <is>
          <t>St-Hyacinthe (Québec) Canada</t>
        </is>
      </c>
      <c r="P1667" t="n">
        <v>0</v>
      </c>
      <c r="Q1667" t="n">
        <v>57.5</v>
      </c>
      <c r="R1667" t="n">
        <v>0</v>
      </c>
      <c r="S1667" t="n">
        <v>0</v>
      </c>
      <c r="T1667" t="n">
        <v>0</v>
      </c>
      <c r="U1667" t="n">
        <v>57.5</v>
      </c>
      <c r="X1667" t="inlineStr">
        <is>
          <t>aafc-aac</t>
        </is>
      </c>
      <c r="Y1667" t="inlineStr">
        <is>
          <t>Agriculture and Agri-Food Canada | Agriculture et Agroalimentaire Canada</t>
        </is>
      </c>
      <c r="Z1667" t="n">
        <v>1</v>
      </c>
      <c r="AA1667" t="n">
        <v>57.5</v>
      </c>
      <c r="AB1667">
        <f>ROUND(U1667-AA1667,2)</f>
        <v/>
      </c>
      <c r="AC1667" t="b">
        <v>0</v>
      </c>
      <c r="AD1667">
        <f>IF(U1667="","MISSING_TOTAL",IF(ABS(AB1667)&lt;=0.01,"OK","CHECK"))</f>
        <v/>
      </c>
      <c r="AE1667">
        <f>IF(U1667="","MISSING",IF(AND(AA1667&gt;0,U1667/AA1667&gt;50),"POSSIBLE_SCALE_ERROR","OK"))</f>
        <v/>
      </c>
    </row>
    <row r="1668">
      <c r="A1668" t="inlineStr">
        <is>
          <t>T-2022-P01-0013</t>
        </is>
      </c>
      <c r="B1668" t="inlineStr">
        <is>
          <t>MPSES</t>
        </is>
      </c>
      <c r="C1668" t="inlineStr">
        <is>
          <t>Parliamentary Secretary Assistant</t>
        </is>
      </c>
      <c r="D1668" t="inlineStr">
        <is>
          <t>Secrétaire parlementaire adjoint</t>
        </is>
      </c>
      <c r="E1668" t="inlineStr">
        <is>
          <t>Patrick Mangan</t>
        </is>
      </c>
      <c r="F1668" t="inlineStr">
        <is>
          <t>To accompany the Parliamentary Secretary for meetings with agricultural stakeholders in Guelph</t>
        </is>
      </c>
      <c r="G1668" t="inlineStr">
        <is>
          <t>Accompagner le secrétaire parlementaire lors de rencontres avec des intervenants du secteur agricole à Guelph.</t>
        </is>
      </c>
      <c r="H1668" s="1" t="n">
        <v>44663</v>
      </c>
      <c r="I1668" s="1" t="n">
        <v>44663</v>
      </c>
      <c r="J1668" t="inlineStr">
        <is>
          <t>Guelph (Ontario) Canada</t>
        </is>
      </c>
      <c r="K1668" t="inlineStr">
        <is>
          <t>Guelph (Ontario) Canada</t>
        </is>
      </c>
      <c r="P1668" t="n">
        <v>1092.92</v>
      </c>
      <c r="Q1668" t="n">
        <v>29.99</v>
      </c>
      <c r="R1668" t="n">
        <v>0</v>
      </c>
      <c r="S1668" t="n">
        <v>0</v>
      </c>
      <c r="T1668" t="n">
        <v>0</v>
      </c>
      <c r="U1668" t="n">
        <v>1122.91</v>
      </c>
      <c r="X1668" t="inlineStr">
        <is>
          <t>aafc-aac</t>
        </is>
      </c>
      <c r="Y1668" t="inlineStr">
        <is>
          <t>Agriculture and Agri-Food Canada | Agriculture et Agroalimentaire Canada</t>
        </is>
      </c>
      <c r="Z1668" t="n">
        <v>1</v>
      </c>
      <c r="AA1668" t="n">
        <v>1122.91</v>
      </c>
      <c r="AB1668">
        <f>ROUND(U1668-AA1668,2)</f>
        <v/>
      </c>
      <c r="AC1668" t="b">
        <v>0</v>
      </c>
      <c r="AD1668">
        <f>IF(U1668="","MISSING_TOTAL",IF(ABS(AB1668)&lt;=0.01,"OK","CHECK"))</f>
        <v/>
      </c>
      <c r="AE1668">
        <f>IF(U1668="","MISSING",IF(AND(AA1668&gt;0,U1668/AA1668&gt;50),"POSSIBLE_SCALE_ERROR","OK"))</f>
        <v/>
      </c>
    </row>
    <row r="1669">
      <c r="A1669" t="inlineStr">
        <is>
          <t>T-2022-P01-0014</t>
        </is>
      </c>
      <c r="B1669" t="inlineStr">
        <is>
          <t>SLE</t>
        </is>
      </c>
      <c r="C1669" t="inlineStr">
        <is>
          <t>Deputy Minister</t>
        </is>
      </c>
      <c r="D1669" t="inlineStr">
        <is>
          <t>Sous-ministre</t>
        </is>
      </c>
      <c r="E1669" t="inlineStr">
        <is>
          <t>Chris Forbes</t>
        </is>
      </c>
      <c r="F1669" t="inlineStr">
        <is>
          <t>To attend the Meetings of Federal, Provincial and Territorial Ministers of Agriculture</t>
        </is>
      </c>
      <c r="G1669" t="inlineStr">
        <is>
          <t>Pour assister aux réunions des ministres de l'agriculture des gouvernements fédéral, provinciaux et territoriaux</t>
        </is>
      </c>
      <c r="H1669" s="1" t="n">
        <v>44657</v>
      </c>
      <c r="I1669" s="1" t="n">
        <v>44659</v>
      </c>
      <c r="J1669" t="inlineStr">
        <is>
          <t>Toronto (Ontario) Canada</t>
        </is>
      </c>
      <c r="K1669" t="inlineStr">
        <is>
          <t>Toronto (Ontario) Canada</t>
        </is>
      </c>
      <c r="P1669" t="n">
        <v>835.35</v>
      </c>
      <c r="Q1669" t="n">
        <v>61.87</v>
      </c>
      <c r="R1669" t="n">
        <v>373.72</v>
      </c>
      <c r="S1669" t="n">
        <v>120.35</v>
      </c>
      <c r="T1669" t="n">
        <v>0</v>
      </c>
      <c r="U1669" t="n">
        <v>1391.29</v>
      </c>
      <c r="X1669" t="inlineStr">
        <is>
          <t>aafc-aac</t>
        </is>
      </c>
      <c r="Y1669" t="inlineStr">
        <is>
          <t>Agriculture and Agri-Food Canada | Agriculture et Agroalimentaire Canada</t>
        </is>
      </c>
      <c r="Z1669" t="n">
        <v>3</v>
      </c>
      <c r="AA1669" t="n">
        <v>1391.29</v>
      </c>
      <c r="AB1669">
        <f>ROUND(U1669-AA1669,2)</f>
        <v/>
      </c>
      <c r="AC1669" t="b">
        <v>0</v>
      </c>
      <c r="AD1669">
        <f>IF(U1669="","MISSING_TOTAL",IF(ABS(AB1669)&lt;=0.01,"OK","CHECK"))</f>
        <v/>
      </c>
      <c r="AE1669">
        <f>IF(U1669="","MISSING",IF(AND(AA1669&gt;0,U1669/AA1669&gt;50),"POSSIBLE_SCALE_ERROR","OK"))</f>
        <v/>
      </c>
    </row>
    <row r="1670">
      <c r="A1670" t="inlineStr">
        <is>
          <t>T-2022-P01-0015</t>
        </is>
      </c>
      <c r="B1670" t="inlineStr">
        <is>
          <t>SLE</t>
        </is>
      </c>
      <c r="C1670" t="inlineStr">
        <is>
          <t>Associate Deputy Minister</t>
        </is>
      </c>
      <c r="D1670" t="inlineStr">
        <is>
          <t>Sous-ministre délégué</t>
        </is>
      </c>
      <c r="E1670" t="inlineStr">
        <is>
          <t>Paul Samson</t>
        </is>
      </c>
      <c r="F1670" t="inlineStr">
        <is>
          <t>Attend a course at the Ivey Academy at the Ivey Business school in London, Ontario</t>
        </is>
      </c>
      <c r="G1670" t="inlineStr">
        <is>
          <t>Suivre un cours à l'Ivey Academy de l'École de commerce Ivey à London, Ontario.</t>
        </is>
      </c>
      <c r="H1670" s="1" t="n">
        <v>44657</v>
      </c>
      <c r="I1670" s="1" t="n">
        <v>44659</v>
      </c>
      <c r="J1670" t="inlineStr">
        <is>
          <t>London, Ontario</t>
        </is>
      </c>
      <c r="K1670" t="inlineStr">
        <is>
          <t>Londres, Ontario</t>
        </is>
      </c>
      <c r="P1670" t="n">
        <v>302.21</v>
      </c>
      <c r="Q1670" t="n">
        <v>308.37</v>
      </c>
      <c r="R1670" t="n">
        <v>0</v>
      </c>
      <c r="S1670" t="n">
        <v>51.9</v>
      </c>
      <c r="T1670" t="n">
        <v>0</v>
      </c>
      <c r="U1670" t="n">
        <v>662.48</v>
      </c>
      <c r="X1670" t="inlineStr">
        <is>
          <t>aafc-aac</t>
        </is>
      </c>
      <c r="Y1670" t="inlineStr">
        <is>
          <t>Agriculture and Agri-Food Canada | Agriculture et Agroalimentaire Canada</t>
        </is>
      </c>
      <c r="Z1670" t="n">
        <v>3</v>
      </c>
      <c r="AA1670" t="n">
        <v>662.479999999999</v>
      </c>
      <c r="AB1670">
        <f>ROUND(U1670-AA1670,2)</f>
        <v/>
      </c>
      <c r="AC1670" t="b">
        <v>0</v>
      </c>
      <c r="AD1670">
        <f>IF(U1670="","MISSING_TOTAL",IF(ABS(AB1670)&lt;=0.01,"OK","CHECK"))</f>
        <v/>
      </c>
      <c r="AE1670">
        <f>IF(U1670="","MISSING",IF(AND(AA1670&gt;0,U1670/AA1670&gt;50),"POSSIBLE_SCALE_ERROR","OK"))</f>
        <v/>
      </c>
    </row>
    <row r="1671">
      <c r="A1671" t="inlineStr">
        <is>
          <t>T-2022-P01-0016</t>
        </is>
      </c>
      <c r="B1671" t="inlineStr">
        <is>
          <t>SLE</t>
        </is>
      </c>
      <c r="C1671" t="inlineStr">
        <is>
          <t>Assistant Deputy Minister, International Affairs Branch</t>
        </is>
      </c>
      <c r="D1671" t="inlineStr">
        <is>
          <t>Sous-ministre adjointe, Direction générale des affaires internationales</t>
        </is>
      </c>
      <c r="E1671" t="inlineStr">
        <is>
          <t>Kathleen Donohue</t>
        </is>
      </c>
      <c r="F1671" t="inlineStr">
        <is>
          <t>AAFC senior officials to travel to the U.S. to meet with U.S. counterparts in-person in Washington DC, to establish a positive relationship and to discuss areas of current and potential collaboration, including agri-environmental initiatives. Delegates will also meet with industry associations</t>
        </is>
      </c>
      <c r="G1671" t="inlineStr">
        <is>
          <t>Les hauts fonctionnaires d’AAC se rendront aux États-Unis pour rencontrer leurs homologues américains en personne à Washington, afin d’établir une relation positive et de discuter des domaines de collaboration actuels et potentiels, y compris les initiatives agroenvironnementales. Les délégués rencontreront également des associations de l’industrie</t>
        </is>
      </c>
      <c r="H1671" s="1" t="n">
        <v>44539</v>
      </c>
      <c r="I1671" s="1" t="n">
        <v>44540</v>
      </c>
      <c r="J1671" t="inlineStr">
        <is>
          <t>Washington, DC, United States of America</t>
        </is>
      </c>
      <c r="K1671" t="inlineStr">
        <is>
          <t>Washington, DC, États-Unis d’Amérique</t>
        </is>
      </c>
      <c r="P1671" t="n">
        <v>1075.4</v>
      </c>
      <c r="Q1671" t="n">
        <v>71.23</v>
      </c>
      <c r="R1671" t="n">
        <v>274.76</v>
      </c>
      <c r="S1671" t="n">
        <v>262.12</v>
      </c>
      <c r="T1671" t="n">
        <v>90.40000000000001</v>
      </c>
      <c r="U1671" t="n">
        <v>1773.91</v>
      </c>
      <c r="X1671" t="inlineStr">
        <is>
          <t>aafc-aac</t>
        </is>
      </c>
      <c r="Y1671" t="inlineStr">
        <is>
          <t>Agriculture and Agri-Food Canada | Agriculture et Agroalimentaire Canada</t>
        </is>
      </c>
      <c r="Z1671" t="n">
        <v>2</v>
      </c>
      <c r="AA1671" t="n">
        <v>1773.91</v>
      </c>
      <c r="AB1671">
        <f>ROUND(U1671-AA1671,2)</f>
        <v/>
      </c>
      <c r="AC1671" t="b">
        <v>0</v>
      </c>
      <c r="AD1671">
        <f>IF(U1671="","MISSING_TOTAL",IF(ABS(AB1671)&lt;=0.01,"OK","CHECK"))</f>
        <v/>
      </c>
      <c r="AE1671">
        <f>IF(U1671="","MISSING",IF(AND(AA1671&gt;0,U1671/AA1671&gt;50),"POSSIBLE_SCALE_ERROR","OK"))</f>
        <v/>
      </c>
    </row>
    <row r="1672">
      <c r="A1672" t="inlineStr">
        <is>
          <t>T-2022-P01-0017</t>
        </is>
      </c>
      <c r="B1672" t="inlineStr">
        <is>
          <t>SLE</t>
        </is>
      </c>
      <c r="C1672" t="inlineStr">
        <is>
          <t>Assistant Deputy Minister, International Affairs Branch</t>
        </is>
      </c>
      <c r="D1672" t="inlineStr">
        <is>
          <t>Sous-ministre adjointe, Direction générale des affaires internationales</t>
        </is>
      </c>
      <c r="E1672" t="inlineStr">
        <is>
          <t>Kathleen Donohue</t>
        </is>
      </c>
      <c r="F1672" t="inlineStr">
        <is>
          <t>AAFC senior officials to travel to the U.S. to accompany the Minister to meet with U.S. counterparts in-person in Washington DC, to establish a positive relationship and to discuss market access issues, including potatoes. Delegates will also meet with industry associations</t>
        </is>
      </c>
      <c r="G1672" t="inlineStr">
        <is>
          <t>Des hauts fonctionnaires d’AAC se rendront aux États-Unis pour accompagner le ministre afin de rencontrer ses homologues américains en personne à Washington, afin d’établir une relation positive et de discuter des questions d’accès aux marchés, y compris les pommes de terre. Les délégués rencontreront également des associations de l’industrie</t>
        </is>
      </c>
      <c r="H1672" s="1" t="n">
        <v>44587</v>
      </c>
      <c r="I1672" s="1" t="n">
        <v>44589</v>
      </c>
      <c r="J1672" t="inlineStr">
        <is>
          <t>Washington, DC, United States of America</t>
        </is>
      </c>
      <c r="K1672" t="inlineStr">
        <is>
          <t>Washington, DC, États-Unis d’Amérique</t>
        </is>
      </c>
      <c r="P1672" t="n">
        <v>1105.86</v>
      </c>
      <c r="Q1672" t="n">
        <v>0</v>
      </c>
      <c r="R1672" t="n">
        <v>552.03</v>
      </c>
      <c r="S1672" t="n">
        <v>377.4</v>
      </c>
      <c r="T1672" t="n">
        <v>66.67</v>
      </c>
      <c r="U1672" t="n">
        <v>2101.96</v>
      </c>
      <c r="X1672" t="inlineStr">
        <is>
          <t>aafc-aac</t>
        </is>
      </c>
      <c r="Y1672" t="inlineStr">
        <is>
          <t>Agriculture and Agri-Food Canada | Agriculture et Agroalimentaire Canada</t>
        </is>
      </c>
      <c r="Z1672" t="n">
        <v>3</v>
      </c>
      <c r="AA1672" t="n">
        <v>2101.96</v>
      </c>
      <c r="AB1672">
        <f>ROUND(U1672-AA1672,2)</f>
        <v/>
      </c>
      <c r="AC1672" t="b">
        <v>0</v>
      </c>
      <c r="AD1672">
        <f>IF(U1672="","MISSING_TOTAL",IF(ABS(AB1672)&lt;=0.01,"OK","CHECK"))</f>
        <v/>
      </c>
      <c r="AE1672">
        <f>IF(U1672="","MISSING",IF(AND(AA1672&gt;0,U1672/AA1672&gt;50),"POSSIBLE_SCALE_ERROR","OK"))</f>
        <v/>
      </c>
    </row>
    <row r="1673">
      <c r="A1673" t="inlineStr">
        <is>
          <t>T-2022-P01-0018</t>
        </is>
      </c>
      <c r="B1673" t="inlineStr">
        <is>
          <t>SLE</t>
        </is>
      </c>
      <c r="C1673" t="inlineStr">
        <is>
          <t>Assistant Deputy Minister, Corporate Management Branch</t>
        </is>
      </c>
      <c r="D1673" t="inlineStr">
        <is>
          <t>Sous-ministre adjointe, Direction générale de la gestion intégrée</t>
        </is>
      </c>
      <c r="E1673" t="inlineStr">
        <is>
          <t>Marie-Claude Guérard</t>
        </is>
      </c>
      <c r="F1673" t="inlineStr">
        <is>
          <t>Visit to Ottawa for operational meetings</t>
        </is>
      </c>
      <c r="G1673" t="inlineStr">
        <is>
          <t>Visite à Ottawa pour des réunions opérationnelles</t>
        </is>
      </c>
      <c r="H1673" s="1" t="n">
        <v>44650</v>
      </c>
      <c r="I1673" s="1" t="n">
        <v>44651</v>
      </c>
      <c r="J1673" t="inlineStr">
        <is>
          <t>Ottawa (Ontario) Canada</t>
        </is>
      </c>
      <c r="K1673" t="inlineStr">
        <is>
          <t>Ottawa (Ontario) Canada</t>
        </is>
      </c>
      <c r="P1673" t="n">
        <v>0</v>
      </c>
      <c r="Q1673" t="n">
        <v>343.3</v>
      </c>
      <c r="R1673" t="n">
        <v>199.78</v>
      </c>
      <c r="S1673" t="n">
        <v>226.5</v>
      </c>
      <c r="T1673" t="n">
        <v>0</v>
      </c>
      <c r="U1673" t="n">
        <v>769.58</v>
      </c>
      <c r="X1673" t="inlineStr">
        <is>
          <t>aafc-aac</t>
        </is>
      </c>
      <c r="Y1673" t="inlineStr">
        <is>
          <t>Agriculture and Agri-Food Canada | Agriculture et Agroalimentaire Canada</t>
        </is>
      </c>
      <c r="Z1673" t="n">
        <v>2</v>
      </c>
      <c r="AA1673" t="n">
        <v>769.58</v>
      </c>
      <c r="AB1673">
        <f>ROUND(U1673-AA1673,2)</f>
        <v/>
      </c>
      <c r="AC1673" t="b">
        <v>0</v>
      </c>
      <c r="AD1673">
        <f>IF(U1673="","MISSING_TOTAL",IF(ABS(AB1673)&lt;=0.01,"OK","CHECK"))</f>
        <v/>
      </c>
      <c r="AE1673">
        <f>IF(U1673="","MISSING",IF(AND(AA1673&gt;0,U1673/AA1673&gt;50),"POSSIBLE_SCALE_ERROR","OK"))</f>
        <v/>
      </c>
    </row>
    <row r="1674">
      <c r="A1674" t="inlineStr">
        <is>
          <t>T-2022-P01-0019</t>
        </is>
      </c>
      <c r="B1674" t="inlineStr">
        <is>
          <t>SLE</t>
        </is>
      </c>
      <c r="C1674" t="inlineStr">
        <is>
          <t>Assistant Deputy Minister, Strategic Policy Branch</t>
        </is>
      </c>
      <c r="D1674" t="inlineStr">
        <is>
          <t>Sous-ministre adjointe, Direction générale des politiques stratégiques</t>
        </is>
      </c>
      <c r="E1674" t="inlineStr">
        <is>
          <t>Natasha Kim</t>
        </is>
      </c>
      <c r="F1674" t="inlineStr">
        <is>
          <t>Travelled with the deputy minister to attend the Federal, Provincial and Territorial Deputy Ministers meeting in Toronto from April 6th to 8th</t>
        </is>
      </c>
      <c r="G1674" t="inlineStr">
        <is>
          <t>Voyager avec le sous-ministre pour assister à la réunion des sous-ministres fédéral, provinciaux et territoriaux à Toronto du 6 au 8 avril.</t>
        </is>
      </c>
      <c r="H1674" s="1" t="n">
        <v>44657</v>
      </c>
      <c r="I1674" s="1" t="n">
        <v>44659</v>
      </c>
      <c r="J1674" t="inlineStr">
        <is>
          <t>Toronto (Ontario) Canada</t>
        </is>
      </c>
      <c r="K1674" t="inlineStr">
        <is>
          <t>Toronto (Ontario) Canada</t>
        </is>
      </c>
      <c r="P1674" t="n">
        <v>717.83</v>
      </c>
      <c r="Q1674" t="n">
        <v>98.40000000000001</v>
      </c>
      <c r="R1674" t="n">
        <v>373.72</v>
      </c>
      <c r="S1674" t="n">
        <v>248.8</v>
      </c>
      <c r="T1674" t="n">
        <v>0</v>
      </c>
      <c r="U1674" t="n">
        <v>1438.75</v>
      </c>
      <c r="X1674" t="inlineStr">
        <is>
          <t>aafc-aac</t>
        </is>
      </c>
      <c r="Y1674" t="inlineStr">
        <is>
          <t>Agriculture and Agri-Food Canada | Agriculture et Agroalimentaire Canada</t>
        </is>
      </c>
      <c r="Z1674" t="n">
        <v>3</v>
      </c>
      <c r="AA1674" t="n">
        <v>1438.75</v>
      </c>
      <c r="AB1674">
        <f>ROUND(U1674-AA1674,2)</f>
        <v/>
      </c>
      <c r="AC1674" t="b">
        <v>0</v>
      </c>
      <c r="AD1674">
        <f>IF(U1674="","MISSING_TOTAL",IF(ABS(AB1674)&lt;=0.01,"OK","CHECK"))</f>
        <v/>
      </c>
      <c r="AE1674">
        <f>IF(U1674="","MISSING",IF(AND(AA1674&gt;0,U1674/AA1674&gt;50),"POSSIBLE_SCALE_ERROR","OK"))</f>
        <v/>
      </c>
    </row>
    <row r="1675">
      <c r="A1675" t="inlineStr">
        <is>
          <t>T-2022-P01-0020</t>
        </is>
      </c>
      <c r="B1675" t="inlineStr">
        <is>
          <t>SLE</t>
        </is>
      </c>
      <c r="C1675" t="inlineStr">
        <is>
          <t>Assistant Deputy Minister, Programs Branch</t>
        </is>
      </c>
      <c r="D1675" t="inlineStr">
        <is>
          <t>Sous-ministre adjointe, Direction générale des programmes</t>
        </is>
      </c>
      <c r="E1675" t="inlineStr">
        <is>
          <t>Liz Foster</t>
        </is>
      </c>
      <c r="F1675" t="inlineStr">
        <is>
          <t>Federal, Provincial and Territorial Deputy Minister of Agriculture Hybrid Meeting</t>
        </is>
      </c>
      <c r="G1675" t="inlineStr">
        <is>
          <t>Réunion hybride du sous-ministre fédéral, provincial et territorial de l’Agriculture</t>
        </is>
      </c>
      <c r="H1675" s="1" t="n">
        <v>44657</v>
      </c>
      <c r="I1675" s="1" t="n">
        <v>44659</v>
      </c>
      <c r="J1675" t="inlineStr">
        <is>
          <t>Toronto (Ontario) Canada</t>
        </is>
      </c>
      <c r="K1675" t="inlineStr">
        <is>
          <t>Toronto (Ontario) Canada</t>
        </is>
      </c>
      <c r="P1675" t="n">
        <v>772.0700000000001</v>
      </c>
      <c r="Q1675" t="n">
        <v>75.59999999999999</v>
      </c>
      <c r="R1675" t="n">
        <v>373.72</v>
      </c>
      <c r="S1675" t="n">
        <v>172.25</v>
      </c>
      <c r="T1675" t="n">
        <v>0</v>
      </c>
      <c r="U1675" t="n">
        <v>1393.64</v>
      </c>
      <c r="X1675" t="inlineStr">
        <is>
          <t>aafc-aac</t>
        </is>
      </c>
      <c r="Y1675" t="inlineStr">
        <is>
          <t>Agriculture and Agri-Food Canada | Agriculture et Agroalimentaire Canada</t>
        </is>
      </c>
      <c r="Z1675" t="n">
        <v>3</v>
      </c>
      <c r="AA1675" t="n">
        <v>1393.64</v>
      </c>
      <c r="AB1675">
        <f>ROUND(U1675-AA1675,2)</f>
        <v/>
      </c>
      <c r="AC1675" t="b">
        <v>0</v>
      </c>
      <c r="AD1675">
        <f>IF(U1675="","MISSING_TOTAL",IF(ABS(AB1675)&lt;=0.01,"OK","CHECK"))</f>
        <v/>
      </c>
      <c r="AE1675">
        <f>IF(U1675="","MISSING",IF(AND(AA1675&gt;0,U1675/AA1675&gt;50),"POSSIBLE_SCALE_ERROR","OK"))</f>
        <v/>
      </c>
    </row>
    <row r="1676">
      <c r="A1676" t="inlineStr">
        <is>
          <t>T-2022-P01-0021</t>
        </is>
      </c>
      <c r="B1676" t="inlineStr">
        <is>
          <t>SLE</t>
        </is>
      </c>
      <c r="C1676" t="inlineStr">
        <is>
          <t>Assistant Deputy Minister, Market and Industry Services Branch</t>
        </is>
      </c>
      <c r="D1676" t="inlineStr">
        <is>
          <t>Sous-ministre adjoint, Direction générale des services à l'industrie et aux marchés</t>
        </is>
      </c>
      <c r="E1676" t="inlineStr">
        <is>
          <t>Tom Rosser</t>
        </is>
      </c>
      <c r="F1676" t="inlineStr">
        <is>
          <t>Tom Rosser parked downtown during a meeting with the Association of Canadian Port Authorities on April 7, 2022.</t>
        </is>
      </c>
      <c r="G1676" t="inlineStr">
        <is>
          <t>Tom Rosser s'est stationné au centre-ville lors d’une réunion avec l’Association des administrations portuaires canadiennes le 7 avril 2022.</t>
        </is>
      </c>
      <c r="H1676" s="1" t="n">
        <v>44658</v>
      </c>
      <c r="I1676" s="1" t="n">
        <v>44658</v>
      </c>
      <c r="J1676" t="inlineStr">
        <is>
          <t>Ottawa (Ontario) Canada</t>
        </is>
      </c>
      <c r="K1676" t="inlineStr">
        <is>
          <t>Ottawa (Ontario) Canada</t>
        </is>
      </c>
      <c r="P1676" t="n">
        <v>0</v>
      </c>
      <c r="Q1676" t="n">
        <v>12</v>
      </c>
      <c r="R1676" t="n">
        <v>0</v>
      </c>
      <c r="S1676" t="n">
        <v>0</v>
      </c>
      <c r="T1676" t="n">
        <v>0</v>
      </c>
      <c r="U1676" t="n">
        <v>12</v>
      </c>
      <c r="X1676" t="inlineStr">
        <is>
          <t>aafc-aac</t>
        </is>
      </c>
      <c r="Y1676" t="inlineStr">
        <is>
          <t>Agriculture and Agri-Food Canada | Agriculture et Agroalimentaire Canada</t>
        </is>
      </c>
      <c r="Z1676" t="n">
        <v>1</v>
      </c>
      <c r="AA1676" t="n">
        <v>12</v>
      </c>
      <c r="AB1676">
        <f>ROUND(U1676-AA1676,2)</f>
        <v/>
      </c>
      <c r="AC1676" t="b">
        <v>0</v>
      </c>
      <c r="AD1676">
        <f>IF(U1676="","MISSING_TOTAL",IF(ABS(AB1676)&lt;=0.01,"OK","CHECK"))</f>
        <v/>
      </c>
      <c r="AE1676">
        <f>IF(U1676="","MISSING",IF(AND(AA1676&gt;0,U1676/AA1676&gt;50),"POSSIBLE_SCALE_ERROR","OK"))</f>
        <v/>
      </c>
    </row>
    <row r="1677">
      <c r="A1677" t="inlineStr">
        <is>
          <t>T-2022-P02-0001</t>
        </is>
      </c>
      <c r="B1677" t="inlineStr">
        <is>
          <t>MPSES</t>
        </is>
      </c>
      <c r="C1677" t="inlineStr">
        <is>
          <t>Parliamentary Secretary</t>
        </is>
      </c>
      <c r="D1677" t="inlineStr">
        <is>
          <t>Secrétaire parlementaire</t>
        </is>
      </c>
      <c r="E1677" t="inlineStr">
        <is>
          <t>Francis Drouin</t>
        </is>
      </c>
      <c r="F1677" t="inlineStr">
        <is>
          <t>To meet with agricultural stakeholders in Guelph</t>
        </is>
      </c>
      <c r="G1677" t="inlineStr">
        <is>
          <t>Pour rencontrer des intervenants du secteur agricole à Guelph</t>
        </is>
      </c>
      <c r="H1677" s="1" t="n">
        <v>44662</v>
      </c>
      <c r="I1677" s="1" t="n">
        <v>44663</v>
      </c>
      <c r="J1677" t="inlineStr">
        <is>
          <t>Guelph (Ontario) Canada</t>
        </is>
      </c>
      <c r="K1677" t="inlineStr">
        <is>
          <t>Guelph (Ontario) Canada</t>
        </is>
      </c>
      <c r="P1677" t="n">
        <v>619.15</v>
      </c>
      <c r="Q1677" t="n">
        <v>100.88</v>
      </c>
      <c r="R1677" t="n">
        <v>231.51</v>
      </c>
      <c r="S1677" t="n">
        <v>0</v>
      </c>
      <c r="T1677" t="n">
        <v>0</v>
      </c>
      <c r="U1677" t="n">
        <v>951.54</v>
      </c>
      <c r="V1677" t="inlineStr">
        <is>
          <t>No conference fees; meals were provided</t>
        </is>
      </c>
      <c r="W1677" t="inlineStr">
        <is>
          <t>Pas de frais de conférence; les repas étaient inclus</t>
        </is>
      </c>
      <c r="X1677" t="inlineStr">
        <is>
          <t>aafc-aac</t>
        </is>
      </c>
      <c r="Y1677" t="inlineStr">
        <is>
          <t>Agriculture and Agri-Food Canada | Agriculture et Agroalimentaire Canada</t>
        </is>
      </c>
      <c r="Z1677" t="n">
        <v>2</v>
      </c>
      <c r="AA1677" t="n">
        <v>951.54</v>
      </c>
      <c r="AB1677">
        <f>ROUND(U1677-AA1677,2)</f>
        <v/>
      </c>
      <c r="AC1677" t="b">
        <v>0</v>
      </c>
      <c r="AD1677">
        <f>IF(U1677="","MISSING_TOTAL",IF(ABS(AB1677)&lt;=0.01,"OK","CHECK"))</f>
        <v/>
      </c>
      <c r="AE1677">
        <f>IF(U1677="","MISSING",IF(AND(AA1677&gt;0,U1677/AA1677&gt;50),"POSSIBLE_SCALE_ERROR","OK"))</f>
        <v/>
      </c>
    </row>
    <row r="1678">
      <c r="A1678" t="inlineStr">
        <is>
          <t>T-2022-P02-0002</t>
        </is>
      </c>
      <c r="B1678" t="inlineStr">
        <is>
          <t>SLE</t>
        </is>
      </c>
      <c r="C1678" t="inlineStr">
        <is>
          <t>Deputy Minister</t>
        </is>
      </c>
      <c r="D1678" t="inlineStr">
        <is>
          <t>Sous-ministre</t>
        </is>
      </c>
      <c r="E1678" t="inlineStr">
        <is>
          <t>Chris Forbes</t>
        </is>
      </c>
      <c r="F1678" t="inlineStr">
        <is>
          <t>To attend the G7 Conference in Germany</t>
        </is>
      </c>
      <c r="G1678" t="inlineStr">
        <is>
          <t>Pour assister à la conférence G7 en Allemagne</t>
        </is>
      </c>
      <c r="H1678" s="1" t="n">
        <v>44691</v>
      </c>
      <c r="I1678" s="1" t="n">
        <v>44696</v>
      </c>
      <c r="J1678" t="inlineStr">
        <is>
          <t>Brussels, Belgium; Stuttgart, Germany</t>
        </is>
      </c>
      <c r="K1678" t="inlineStr">
        <is>
          <t>Bruxelles, Belgique; Stuttgart, Allemagne</t>
        </is>
      </c>
      <c r="P1678" t="n">
        <v>5085.03</v>
      </c>
      <c r="Q1678" t="n">
        <v>90.18000000000001</v>
      </c>
      <c r="R1678" t="n">
        <v>662.45</v>
      </c>
      <c r="S1678" t="n">
        <v>193.25</v>
      </c>
      <c r="T1678" t="n">
        <v>0</v>
      </c>
      <c r="U1678" t="n">
        <v>6030.91</v>
      </c>
      <c r="V1678" t="inlineStr">
        <is>
          <t>No conference fees</t>
        </is>
      </c>
      <c r="W1678" t="inlineStr">
        <is>
          <t>Pas de frais de conférence</t>
        </is>
      </c>
      <c r="X1678" t="inlineStr">
        <is>
          <t>aafc-aac</t>
        </is>
      </c>
      <c r="Y1678" t="inlineStr">
        <is>
          <t>Agriculture and Agri-Food Canada | Agriculture et Agroalimentaire Canada</t>
        </is>
      </c>
      <c r="Z1678" t="n">
        <v>6</v>
      </c>
      <c r="AA1678" t="n">
        <v>6030.91</v>
      </c>
      <c r="AB1678">
        <f>ROUND(U1678-AA1678,2)</f>
        <v/>
      </c>
      <c r="AC1678" t="b">
        <v>0</v>
      </c>
      <c r="AD1678">
        <f>IF(U1678="","MISSING_TOTAL",IF(ABS(AB1678)&lt;=0.01,"OK","CHECK"))</f>
        <v/>
      </c>
      <c r="AE1678">
        <f>IF(U1678="","MISSING",IF(AND(AA1678&gt;0,U1678/AA1678&gt;50),"POSSIBLE_SCALE_ERROR","OK"))</f>
        <v/>
      </c>
    </row>
    <row r="1679">
      <c r="A1679" t="inlineStr">
        <is>
          <t>T-2022-P02-0003</t>
        </is>
      </c>
      <c r="B1679" t="inlineStr">
        <is>
          <t>SLE</t>
        </is>
      </c>
      <c r="C1679" t="inlineStr">
        <is>
          <t>Assistant Deputy Minister, Corporate Management Branch</t>
        </is>
      </c>
      <c r="D1679" t="inlineStr">
        <is>
          <t>Sous-ministre adjointe, Direction générale de la gestion intégrée</t>
        </is>
      </c>
      <c r="E1679" t="inlineStr">
        <is>
          <t>Marie-Claude Guérard</t>
        </is>
      </c>
      <c r="F1679" t="inlineStr">
        <is>
          <t>Site Visit</t>
        </is>
      </c>
      <c r="G1679" t="inlineStr">
        <is>
          <t>Visite de site</t>
        </is>
      </c>
      <c r="H1679" s="1" t="n">
        <v>44679</v>
      </c>
      <c r="I1679" s="1" t="n">
        <v>44680</v>
      </c>
      <c r="J1679" t="inlineStr">
        <is>
          <t>Sherbrooke (Quebec) Canada</t>
        </is>
      </c>
      <c r="K1679" t="inlineStr">
        <is>
          <t>Sherbrooke (Québec) Canada</t>
        </is>
      </c>
      <c r="P1679" t="n">
        <v>0</v>
      </c>
      <c r="Q1679" t="n">
        <v>252.91</v>
      </c>
      <c r="R1679" t="n">
        <v>0</v>
      </c>
      <c r="S1679" t="n">
        <v>98.45</v>
      </c>
      <c r="T1679" t="n">
        <v>0</v>
      </c>
      <c r="U1679" t="n">
        <v>351.36</v>
      </c>
      <c r="X1679" t="inlineStr">
        <is>
          <t>aafc-aac</t>
        </is>
      </c>
      <c r="Y1679" t="inlineStr">
        <is>
          <t>Agriculture and Agri-Food Canada | Agriculture et Agroalimentaire Canada</t>
        </is>
      </c>
      <c r="Z1679" t="n">
        <v>2</v>
      </c>
      <c r="AA1679" t="n">
        <v>351.36</v>
      </c>
      <c r="AB1679">
        <f>ROUND(U1679-AA1679,2)</f>
        <v/>
      </c>
      <c r="AC1679" t="b">
        <v>0</v>
      </c>
      <c r="AD1679">
        <f>IF(U1679="","MISSING_TOTAL",IF(ABS(AB1679)&lt;=0.01,"OK","CHECK"))</f>
        <v/>
      </c>
      <c r="AE1679">
        <f>IF(U1679="","MISSING",IF(AND(AA1679&gt;0,U1679/AA1679&gt;50),"POSSIBLE_SCALE_ERROR","OK"))</f>
        <v/>
      </c>
    </row>
    <row r="1680">
      <c r="A1680" t="inlineStr">
        <is>
          <t>T-2022-P02-0004</t>
        </is>
      </c>
      <c r="B1680" t="inlineStr">
        <is>
          <t>SLE</t>
        </is>
      </c>
      <c r="C1680" t="inlineStr">
        <is>
          <t>Assistant Deputy Minister, Market and Industry Services Branch</t>
        </is>
      </c>
      <c r="D1680" t="inlineStr">
        <is>
          <t>Sous-ministre adjoint, Direction générale des services à l'industrie et aux marchés</t>
        </is>
      </c>
      <c r="E1680" t="inlineStr">
        <is>
          <t>Tom Rosser</t>
        </is>
      </c>
      <c r="F1680" t="inlineStr">
        <is>
          <t>Participate in regional outreach and visit the AAFC regional office and research center.</t>
        </is>
      </c>
      <c r="G1680" t="inlineStr">
        <is>
          <t>Participer à la sensibilisation régionale et visiter le bureau régional et le centre de recherche d’AAC.</t>
        </is>
      </c>
      <c r="H1680" s="1" t="n">
        <v>44622</v>
      </c>
      <c r="I1680" s="1" t="n">
        <v>44624</v>
      </c>
      <c r="J1680" t="inlineStr">
        <is>
          <t>Charlottetown (Prince Edward Island) Canada</t>
        </is>
      </c>
      <c r="K1680" t="inlineStr">
        <is>
          <t>Charlottetown (Île du Prince Édouard) Canada</t>
        </is>
      </c>
      <c r="P1680" t="n">
        <v>986.8</v>
      </c>
      <c r="Q1680" t="n">
        <v>105</v>
      </c>
      <c r="R1680" t="n">
        <v>432.85</v>
      </c>
      <c r="S1680" t="n">
        <v>296.8</v>
      </c>
      <c r="T1680" t="n">
        <v>0</v>
      </c>
      <c r="U1680" t="n">
        <v>1821.45</v>
      </c>
      <c r="X1680" t="inlineStr">
        <is>
          <t>aafc-aac</t>
        </is>
      </c>
      <c r="Y1680" t="inlineStr">
        <is>
          <t>Agriculture and Agri-Food Canada | Agriculture et Agroalimentaire Canada</t>
        </is>
      </c>
      <c r="Z1680" t="n">
        <v>3</v>
      </c>
      <c r="AA1680" t="n">
        <v>1821.45</v>
      </c>
      <c r="AB1680">
        <f>ROUND(U1680-AA1680,2)</f>
        <v/>
      </c>
      <c r="AC1680" t="b">
        <v>0</v>
      </c>
      <c r="AD1680">
        <f>IF(U1680="","MISSING_TOTAL",IF(ABS(AB1680)&lt;=0.01,"OK","CHECK"))</f>
        <v/>
      </c>
      <c r="AE1680">
        <f>IF(U1680="","MISSING",IF(AND(AA1680&gt;0,U1680/AA1680&gt;50),"POSSIBLE_SCALE_ERROR","OK"))</f>
        <v/>
      </c>
    </row>
    <row r="1681">
      <c r="A1681" t="inlineStr">
        <is>
          <t>T-2022-P02-0005</t>
        </is>
      </c>
      <c r="B1681" t="inlineStr">
        <is>
          <t>SLE</t>
        </is>
      </c>
      <c r="C1681" t="inlineStr">
        <is>
          <t>Assistant Deputy Minister, Market and Industry Services Branch</t>
        </is>
      </c>
      <c r="D1681" t="inlineStr">
        <is>
          <t>Sous-ministre adjoint, Direction générale des services à l'industrie et aux marchés</t>
        </is>
      </c>
      <c r="E1681" t="inlineStr">
        <is>
          <t>Tom Rosser</t>
        </is>
      </c>
      <c r="F1681" t="inlineStr">
        <is>
          <t>Participate in the SIAL event in Montréal, QC, April 19-20, 2022.</t>
        </is>
      </c>
      <c r="G1681" t="inlineStr">
        <is>
          <t>Participer à l’événement SIAL à Montréal, QC, du 19 au 20 avril 2022.</t>
        </is>
      </c>
      <c r="H1681" s="1" t="n">
        <v>44670</v>
      </c>
      <c r="I1681" s="1" t="n">
        <v>44671</v>
      </c>
      <c r="J1681" t="inlineStr">
        <is>
          <t>Montréal (Quebec) Canada</t>
        </is>
      </c>
      <c r="K1681" t="inlineStr">
        <is>
          <t>Montréal (Québec) Canada</t>
        </is>
      </c>
      <c r="P1681" t="n">
        <v>0</v>
      </c>
      <c r="Q1681" t="n">
        <v>173.89</v>
      </c>
      <c r="R1681" t="n">
        <v>292.74</v>
      </c>
      <c r="S1681" t="n">
        <v>133.05</v>
      </c>
      <c r="T1681" t="n">
        <v>0</v>
      </c>
      <c r="U1681" t="n">
        <v>599.6799999999999</v>
      </c>
      <c r="X1681" t="inlineStr">
        <is>
          <t>aafc-aac</t>
        </is>
      </c>
      <c r="Y1681" t="inlineStr">
        <is>
          <t>Agriculture and Agri-Food Canada | Agriculture et Agroalimentaire Canada</t>
        </is>
      </c>
      <c r="Z1681" t="n">
        <v>2</v>
      </c>
      <c r="AA1681" t="n">
        <v>599.6799999999999</v>
      </c>
      <c r="AB1681">
        <f>ROUND(U1681-AA1681,2)</f>
        <v/>
      </c>
      <c r="AC1681" t="b">
        <v>0</v>
      </c>
      <c r="AD1681">
        <f>IF(U1681="","MISSING_TOTAL",IF(ABS(AB1681)&lt;=0.01,"OK","CHECK"))</f>
        <v/>
      </c>
      <c r="AE1681">
        <f>IF(U1681="","MISSING",IF(AND(AA1681&gt;0,U1681/AA1681&gt;50),"POSSIBLE_SCALE_ERROR","OK"))</f>
        <v/>
      </c>
    </row>
    <row r="1682">
      <c r="A1682" t="inlineStr">
        <is>
          <t>T-2022-P02-0006</t>
        </is>
      </c>
      <c r="B1682" t="inlineStr">
        <is>
          <t>SLE</t>
        </is>
      </c>
      <c r="C1682" t="inlineStr">
        <is>
          <t>Assistant Deputy Minister, Market and Industry Services Branch</t>
        </is>
      </c>
      <c r="D1682" t="inlineStr">
        <is>
          <t>Sous-ministre adjoint, Direction générale des services à l'industrie et aux marchés</t>
        </is>
      </c>
      <c r="E1682" t="inlineStr">
        <is>
          <t>Tom Rosser</t>
        </is>
      </c>
      <c r="F1682" t="inlineStr">
        <is>
          <t>Attend a formal announcement by Canada Royal Milk (CRM). The welcome event took place on April 24, 2022 in the evening and the announcement took place on April 25, 2022.</t>
        </is>
      </c>
      <c r="G1682" t="inlineStr">
        <is>
          <t>Participer à une annonce officielle du Lait royal du Canada. L’événement de bienvenue a eu lieu le 24 avril 2022 en soirée et l’annonce a eu lieu le 25 avril 2022.</t>
        </is>
      </c>
      <c r="H1682" s="1" t="n">
        <v>44675</v>
      </c>
      <c r="I1682" s="1" t="n">
        <v>44676</v>
      </c>
      <c r="J1682" t="inlineStr">
        <is>
          <t>Kingston (Ontario) Canada</t>
        </is>
      </c>
      <c r="K1682" t="inlineStr">
        <is>
          <t>Kingston (Ontario) Canada</t>
        </is>
      </c>
      <c r="P1682" t="n">
        <v>0</v>
      </c>
      <c r="Q1682" t="n">
        <v>228.28</v>
      </c>
      <c r="R1682" t="n">
        <v>0</v>
      </c>
      <c r="S1682" t="n">
        <v>0</v>
      </c>
      <c r="T1682" t="n">
        <v>0</v>
      </c>
      <c r="U1682" t="n">
        <v>228.28</v>
      </c>
      <c r="X1682" t="inlineStr">
        <is>
          <t>aafc-aac</t>
        </is>
      </c>
      <c r="Y1682" t="inlineStr">
        <is>
          <t>Agriculture and Agri-Food Canada | Agriculture et Agroalimentaire Canada</t>
        </is>
      </c>
      <c r="Z1682" t="n">
        <v>2</v>
      </c>
      <c r="AA1682" t="n">
        <v>228.28</v>
      </c>
      <c r="AB1682">
        <f>ROUND(U1682-AA1682,2)</f>
        <v/>
      </c>
      <c r="AC1682" t="b">
        <v>0</v>
      </c>
      <c r="AD1682">
        <f>IF(U1682="","MISSING_TOTAL",IF(ABS(AB1682)&lt;=0.01,"OK","CHECK"))</f>
        <v/>
      </c>
      <c r="AE1682">
        <f>IF(U1682="","MISSING",IF(AND(AA1682&gt;0,U1682/AA1682&gt;50),"POSSIBLE_SCALE_ERROR","OK"))</f>
        <v/>
      </c>
    </row>
    <row r="1683">
      <c r="A1683" t="inlineStr">
        <is>
          <t>T-2021-P10-0001</t>
        </is>
      </c>
      <c r="B1683" t="inlineStr">
        <is>
          <t>MPSES</t>
        </is>
      </c>
      <c r="C1683" t="inlineStr">
        <is>
          <t>Driver</t>
        </is>
      </c>
      <c r="D1683" t="inlineStr">
        <is>
          <t>Chauffeur</t>
        </is>
      </c>
      <c r="E1683" t="inlineStr">
        <is>
          <t>Michel Gendreau</t>
        </is>
      </c>
      <c r="F1683" t="inlineStr">
        <is>
          <t>Drive the Minister from the airport to her riding to Ottawa</t>
        </is>
      </c>
      <c r="G1683" t="inlineStr">
        <is>
          <t>Conduire la Ministre de l'aéroport à sa circonscription à Ottawa</t>
        </is>
      </c>
      <c r="H1683" s="1" t="n">
        <v>44541</v>
      </c>
      <c r="I1683" s="1" t="n">
        <v>44543</v>
      </c>
      <c r="J1683" t="inlineStr">
        <is>
          <t>Sherbrooke (Quebec) Canada</t>
        </is>
      </c>
      <c r="K1683" t="inlineStr">
        <is>
          <t>Sherbrooke (Québec) Canada</t>
        </is>
      </c>
      <c r="P1683" t="n">
        <v>0</v>
      </c>
      <c r="Q1683" t="n">
        <v>2.4</v>
      </c>
      <c r="R1683" t="n">
        <v>247.5</v>
      </c>
      <c r="S1683" t="n">
        <v>170.3</v>
      </c>
      <c r="T1683" t="n">
        <v>0</v>
      </c>
      <c r="U1683" t="n">
        <v>420.2</v>
      </c>
      <c r="X1683" t="inlineStr">
        <is>
          <t>aafc-aac</t>
        </is>
      </c>
      <c r="Y1683" t="inlineStr">
        <is>
          <t>Agriculture and Agri-Food Canada | Agriculture et Agroalimentaire Canada</t>
        </is>
      </c>
      <c r="Z1683" t="n">
        <v>3</v>
      </c>
      <c r="AA1683" t="n">
        <v>420.2</v>
      </c>
      <c r="AB1683">
        <f>ROUND(U1683-AA1683,2)</f>
        <v/>
      </c>
      <c r="AC1683" t="b">
        <v>0</v>
      </c>
      <c r="AD1683">
        <f>IF(U1683="","MISSING_TOTAL",IF(ABS(AB1683)&lt;=0.01,"OK","CHECK"))</f>
        <v/>
      </c>
      <c r="AE1683">
        <f>IF(U1683="","MISSING",IF(AND(AA1683&gt;0,U1683/AA1683&gt;50),"POSSIBLE_SCALE_ERROR","OK"))</f>
        <v/>
      </c>
    </row>
    <row r="1684">
      <c r="A1684" t="inlineStr">
        <is>
          <t>T-2021-P10-0002</t>
        </is>
      </c>
      <c r="B1684" t="inlineStr">
        <is>
          <t>MPSES</t>
        </is>
      </c>
      <c r="C1684" t="inlineStr">
        <is>
          <t>Driver</t>
        </is>
      </c>
      <c r="D1684" t="inlineStr">
        <is>
          <t>Chauffeur</t>
        </is>
      </c>
      <c r="E1684" t="inlineStr">
        <is>
          <t>Michel Gendreau</t>
        </is>
      </c>
      <c r="F1684" t="inlineStr">
        <is>
          <t>Drive the Minister from Ottawa to her riding</t>
        </is>
      </c>
      <c r="G1684" t="inlineStr">
        <is>
          <t>Conduire la Ministre d'Ottawa à sa circonscription</t>
        </is>
      </c>
      <c r="H1684" s="1" t="n">
        <v>44546</v>
      </c>
      <c r="I1684" s="1" t="n">
        <v>44547</v>
      </c>
      <c r="J1684" t="inlineStr">
        <is>
          <t>Sherbrooke (Quebec) Canada</t>
        </is>
      </c>
      <c r="K1684" t="inlineStr">
        <is>
          <t>Sherbrooke (Québec) Canada</t>
        </is>
      </c>
      <c r="P1684" t="n">
        <v>0</v>
      </c>
      <c r="Q1684" t="n">
        <v>61.8</v>
      </c>
      <c r="R1684" t="n">
        <v>0</v>
      </c>
      <c r="S1684" t="n">
        <v>0</v>
      </c>
      <c r="T1684" t="n">
        <v>0</v>
      </c>
      <c r="U1684" t="n">
        <v>61.8</v>
      </c>
      <c r="X1684" t="inlineStr">
        <is>
          <t>aafc-aac</t>
        </is>
      </c>
      <c r="Y1684" t="inlineStr">
        <is>
          <t>Agriculture and Agri-Food Canada | Agriculture et Agroalimentaire Canada</t>
        </is>
      </c>
      <c r="Z1684" t="n">
        <v>2</v>
      </c>
      <c r="AA1684" t="n">
        <v>61.8</v>
      </c>
      <c r="AB1684">
        <f>ROUND(U1684-AA1684,2)</f>
        <v/>
      </c>
      <c r="AC1684" t="b">
        <v>0</v>
      </c>
      <c r="AD1684">
        <f>IF(U1684="","MISSING_TOTAL",IF(ABS(AB1684)&lt;=0.01,"OK","CHECK"))</f>
        <v/>
      </c>
      <c r="AE1684">
        <f>IF(U1684="","MISSING",IF(AND(AA1684&gt;0,U1684/AA1684&gt;50),"POSSIBLE_SCALE_ERROR","OK"))</f>
        <v/>
      </c>
    </row>
    <row r="1685">
      <c r="A1685" t="inlineStr">
        <is>
          <t>T-2021-P10-0003</t>
        </is>
      </c>
      <c r="B1685" t="inlineStr">
        <is>
          <t>SLE</t>
        </is>
      </c>
      <c r="C1685" t="inlineStr">
        <is>
          <t>Deputy Minister</t>
        </is>
      </c>
      <c r="D1685" t="inlineStr">
        <is>
          <t>Sous-Ministre</t>
        </is>
      </c>
      <c r="E1685" t="inlineStr">
        <is>
          <t>Chris Forbes</t>
        </is>
      </c>
      <c r="F1685" t="inlineStr">
        <is>
          <t>To meet with senior-level Government Officials, Industry representatives and non-governmental stakeholders to establish positive relationships and to discuss area of current and potential collaboration.</t>
        </is>
      </c>
      <c r="G1685" t="inlineStr">
        <is>
          <t>Pour rencontrer des hauts fonctionnaires, des représentants de l'industrie et des parties prenantes non gouvernementales afin d'établir des relations positives et de discuter des domaines de collaboration actuels et potentiels.</t>
        </is>
      </c>
      <c r="H1685" s="1" t="n">
        <v>44539</v>
      </c>
      <c r="I1685" s="1" t="n">
        <v>44540</v>
      </c>
      <c r="J1685" t="inlineStr">
        <is>
          <t>Washinton (District of Columbia) United States of America</t>
        </is>
      </c>
      <c r="K1685" t="inlineStr">
        <is>
          <t>Washington (district de Columbia) États-Unis d'Amérique</t>
        </is>
      </c>
      <c r="P1685" t="n">
        <v>1092.83</v>
      </c>
      <c r="Q1685" t="n">
        <v>30</v>
      </c>
      <c r="R1685" t="n">
        <v>274.76</v>
      </c>
      <c r="S1685" t="n">
        <v>94.52</v>
      </c>
      <c r="T1685" t="n">
        <v>90.40000000000001</v>
      </c>
      <c r="U1685" t="n">
        <v>1582.51</v>
      </c>
      <c r="X1685" t="inlineStr">
        <is>
          <t>aafc-aac</t>
        </is>
      </c>
      <c r="Y1685" t="inlineStr">
        <is>
          <t>Agriculture and Agri-Food Canada | Agriculture et Agroalimentaire Canada</t>
        </is>
      </c>
      <c r="Z1685" t="n">
        <v>2</v>
      </c>
      <c r="AA1685" t="n">
        <v>1582.51</v>
      </c>
      <c r="AB1685">
        <f>ROUND(U1685-AA1685,2)</f>
        <v/>
      </c>
      <c r="AC1685" t="b">
        <v>0</v>
      </c>
      <c r="AD1685">
        <f>IF(U1685="","MISSING_TOTAL",IF(ABS(AB1685)&lt;=0.01,"OK","CHECK"))</f>
        <v/>
      </c>
      <c r="AE1685">
        <f>IF(U1685="","MISSING",IF(AND(AA1685&gt;0,U1685/AA1685&gt;50),"POSSIBLE_SCALE_ERROR","OK"))</f>
        <v/>
      </c>
    </row>
    <row r="1686">
      <c r="A1686" t="inlineStr">
        <is>
          <t>T-2021-P11-0001</t>
        </is>
      </c>
      <c r="B1686" t="inlineStr">
        <is>
          <t>MPSES</t>
        </is>
      </c>
      <c r="C1686" t="inlineStr">
        <is>
          <t>Minister</t>
        </is>
      </c>
      <c r="D1686" t="inlineStr">
        <is>
          <t>Ministre</t>
        </is>
      </c>
      <c r="E1686" t="inlineStr">
        <is>
          <t>Marie-Claude Bibeau</t>
        </is>
      </c>
      <c r="F1686" t="inlineStr">
        <is>
          <t>To attend an outreach in Vancouver</t>
        </is>
      </c>
      <c r="G1686" t="inlineStr">
        <is>
          <t>Pour assister à une campagne de sensibilisation à Vancouver</t>
        </is>
      </c>
      <c r="H1686" s="1" t="n">
        <v>44539</v>
      </c>
      <c r="I1686" s="1" t="n">
        <v>44541</v>
      </c>
      <c r="J1686" t="inlineStr">
        <is>
          <t>Vancouver (British Columbia) Canada</t>
        </is>
      </c>
      <c r="K1686" t="inlineStr">
        <is>
          <t>Vancouver (Colombie-Britannique) Canada</t>
        </is>
      </c>
      <c r="P1686" t="n">
        <v>3452.58</v>
      </c>
      <c r="Q1686" t="n">
        <v>0</v>
      </c>
      <c r="R1686" t="n">
        <v>368.88</v>
      </c>
      <c r="S1686" t="n">
        <v>117.3</v>
      </c>
      <c r="T1686" t="n">
        <v>0</v>
      </c>
      <c r="U1686" t="n">
        <v>3938.76</v>
      </c>
      <c r="X1686" t="inlineStr">
        <is>
          <t>aafc-aac</t>
        </is>
      </c>
      <c r="Y1686" t="inlineStr">
        <is>
          <t>Agriculture and Agri-Food Canada | Agriculture et Agroalimentaire Canada</t>
        </is>
      </c>
      <c r="Z1686" t="n">
        <v>3</v>
      </c>
      <c r="AA1686" t="n">
        <v>3938.76</v>
      </c>
      <c r="AB1686">
        <f>ROUND(U1686-AA1686,2)</f>
        <v/>
      </c>
      <c r="AC1686" t="b">
        <v>0</v>
      </c>
      <c r="AD1686">
        <f>IF(U1686="","MISSING_TOTAL",IF(ABS(AB1686)&lt;=0.01,"OK","CHECK"))</f>
        <v/>
      </c>
      <c r="AE1686">
        <f>IF(U1686="","MISSING",IF(AND(AA1686&gt;0,U1686/AA1686&gt;50),"POSSIBLE_SCALE_ERROR","OK"))</f>
        <v/>
      </c>
    </row>
    <row r="1687">
      <c r="A1687" t="inlineStr">
        <is>
          <t>T-2021-P11-0002</t>
        </is>
      </c>
      <c r="B1687" t="inlineStr">
        <is>
          <t>MPSES</t>
        </is>
      </c>
      <c r="C1687" t="inlineStr">
        <is>
          <t>Press Secretary</t>
        </is>
      </c>
      <c r="D1687" t="inlineStr">
        <is>
          <t>Attachée de presse</t>
        </is>
      </c>
      <c r="E1687" t="inlineStr">
        <is>
          <t>Marianne Dandurand</t>
        </is>
      </c>
      <c r="F1687" t="inlineStr">
        <is>
          <t>To accompany the Minister to the Union of agricultural producers conference</t>
        </is>
      </c>
      <c r="G1687" t="inlineStr">
        <is>
          <t>Pour accompagner la ministre à la conférence de l'Union des producteurs agricoles</t>
        </is>
      </c>
      <c r="H1687" s="1" t="n">
        <v>44532</v>
      </c>
      <c r="I1687" s="1" t="n">
        <v>44532</v>
      </c>
      <c r="J1687" t="inlineStr">
        <is>
          <t>Québec (Quebec) Canada</t>
        </is>
      </c>
      <c r="K1687" t="inlineStr">
        <is>
          <t>Québec (Québec) Canada</t>
        </is>
      </c>
      <c r="P1687" t="n">
        <v>0</v>
      </c>
      <c r="Q1687" t="n">
        <v>0</v>
      </c>
      <c r="R1687" t="n">
        <v>0</v>
      </c>
      <c r="S1687" t="n">
        <v>95.95</v>
      </c>
      <c r="T1687" t="n">
        <v>0</v>
      </c>
      <c r="U1687" t="n">
        <v>95.95</v>
      </c>
      <c r="X1687" t="inlineStr">
        <is>
          <t>aafc-aac</t>
        </is>
      </c>
      <c r="Y1687" t="inlineStr">
        <is>
          <t>Agriculture and Agri-Food Canada | Agriculture et Agroalimentaire Canada</t>
        </is>
      </c>
      <c r="Z1687" t="n">
        <v>1</v>
      </c>
      <c r="AA1687" t="n">
        <v>95.95</v>
      </c>
      <c r="AB1687">
        <f>ROUND(U1687-AA1687,2)</f>
        <v/>
      </c>
      <c r="AC1687" t="b">
        <v>0</v>
      </c>
      <c r="AD1687">
        <f>IF(U1687="","MISSING_TOTAL",IF(ABS(AB1687)&lt;=0.01,"OK","CHECK"))</f>
        <v/>
      </c>
      <c r="AE1687">
        <f>IF(U1687="","MISSING",IF(AND(AA1687&gt;0,U1687/AA1687&gt;50),"POSSIBLE_SCALE_ERROR","OK"))</f>
        <v/>
      </c>
    </row>
    <row r="1688">
      <c r="A1688" t="inlineStr">
        <is>
          <t>T-2021-P11-0003</t>
        </is>
      </c>
      <c r="B1688" t="inlineStr">
        <is>
          <t>MPSES</t>
        </is>
      </c>
      <c r="C1688" t="inlineStr">
        <is>
          <t>Driver</t>
        </is>
      </c>
      <c r="D1688" t="inlineStr">
        <is>
          <t>Chauffeur</t>
        </is>
      </c>
      <c r="E1688" t="inlineStr">
        <is>
          <t>Michel Gendreau</t>
        </is>
      </c>
      <c r="F1688" t="inlineStr">
        <is>
          <t>Drive to the Minister's riding to deliver secure Cabinet documents</t>
        </is>
      </c>
      <c r="G1688" t="inlineStr">
        <is>
          <t>Se rendre dans la circonscription de la Ministre pour lui remettre les documents du Cabinet sécurisés.</t>
        </is>
      </c>
      <c r="H1688" s="1" t="n">
        <v>44585</v>
      </c>
      <c r="I1688" s="1" t="n">
        <v>44585</v>
      </c>
      <c r="J1688" t="inlineStr">
        <is>
          <t>Sherbrooke (Quebec) Canada</t>
        </is>
      </c>
      <c r="K1688" t="inlineStr">
        <is>
          <t>Sherbrooke (Québec) Canada</t>
        </is>
      </c>
      <c r="P1688" t="n">
        <v>0</v>
      </c>
      <c r="Q1688" t="n">
        <v>4.8</v>
      </c>
      <c r="R1688" t="n">
        <v>0</v>
      </c>
      <c r="S1688" t="n">
        <v>42.95</v>
      </c>
      <c r="T1688" t="n">
        <v>0</v>
      </c>
      <c r="U1688" t="n">
        <v>47.75</v>
      </c>
      <c r="X1688" t="inlineStr">
        <is>
          <t>aafc-aac</t>
        </is>
      </c>
      <c r="Y1688" t="inlineStr">
        <is>
          <t>Agriculture and Agri-Food Canada | Agriculture et Agroalimentaire Canada</t>
        </is>
      </c>
      <c r="Z1688" t="n">
        <v>1</v>
      </c>
      <c r="AA1688" t="n">
        <v>47.75</v>
      </c>
      <c r="AB1688">
        <f>ROUND(U1688-AA1688,2)</f>
        <v/>
      </c>
      <c r="AC1688" t="b">
        <v>0</v>
      </c>
      <c r="AD1688">
        <f>IF(U1688="","MISSING_TOTAL",IF(ABS(AB1688)&lt;=0.01,"OK","CHECK"))</f>
        <v/>
      </c>
      <c r="AE1688">
        <f>IF(U1688="","MISSING",IF(AND(AA1688&gt;0,U1688/AA1688&gt;50),"POSSIBLE_SCALE_ERROR","OK"))</f>
        <v/>
      </c>
    </row>
    <row r="1689">
      <c r="A1689" t="inlineStr">
        <is>
          <t>T-2021-P11-0004</t>
        </is>
      </c>
      <c r="B1689" t="inlineStr">
        <is>
          <t>MPSES</t>
        </is>
      </c>
      <c r="C1689" t="inlineStr">
        <is>
          <t>Driver</t>
        </is>
      </c>
      <c r="D1689" t="inlineStr">
        <is>
          <t>Chauffeur</t>
        </is>
      </c>
      <c r="E1689" t="inlineStr">
        <is>
          <t>Michel Gendreau</t>
        </is>
      </c>
      <c r="F1689" t="inlineStr">
        <is>
          <t>Drive the Minister from her riding to the Montréal airport</t>
        </is>
      </c>
      <c r="G1689" t="inlineStr">
        <is>
          <t>Conduire la Ministre de sa circonscription à l'aéroport de Montréal</t>
        </is>
      </c>
      <c r="H1689" s="1" t="n">
        <v>44587</v>
      </c>
      <c r="I1689" s="1" t="n">
        <v>44587</v>
      </c>
      <c r="J1689" t="inlineStr">
        <is>
          <t>Sherbrooke (Quebec) Canada; Montréal (Quebec) Canada</t>
        </is>
      </c>
      <c r="K1689" t="inlineStr">
        <is>
          <t>Sherbrooke (Québec) Canada; Montréal (Québec) Canada</t>
        </is>
      </c>
      <c r="P1689" t="n">
        <v>0</v>
      </c>
      <c r="Q1689" t="n">
        <v>2.4</v>
      </c>
      <c r="R1689" t="n">
        <v>0</v>
      </c>
      <c r="S1689" t="n">
        <v>74.59999999999999</v>
      </c>
      <c r="T1689" t="n">
        <v>0</v>
      </c>
      <c r="U1689" t="n">
        <v>77</v>
      </c>
      <c r="X1689" t="inlineStr">
        <is>
          <t>aafc-aac</t>
        </is>
      </c>
      <c r="Y1689" t="inlineStr">
        <is>
          <t>Agriculture and Agri-Food Canada | Agriculture et Agroalimentaire Canada</t>
        </is>
      </c>
      <c r="Z1689" t="n">
        <v>1</v>
      </c>
      <c r="AA1689" t="n">
        <v>77</v>
      </c>
      <c r="AB1689">
        <f>ROUND(U1689-AA1689,2)</f>
        <v/>
      </c>
      <c r="AC1689" t="b">
        <v>0</v>
      </c>
      <c r="AD1689">
        <f>IF(U1689="","MISSING_TOTAL",IF(ABS(AB1689)&lt;=0.01,"OK","CHECK"))</f>
        <v/>
      </c>
      <c r="AE1689">
        <f>IF(U1689="","MISSING",IF(AND(AA1689&gt;0,U1689/AA1689&gt;50),"POSSIBLE_SCALE_ERROR","OK"))</f>
        <v/>
      </c>
    </row>
    <row r="1690">
      <c r="A1690" t="inlineStr">
        <is>
          <t>T-2021-P11-0005</t>
        </is>
      </c>
      <c r="B1690" t="inlineStr">
        <is>
          <t>MPSES</t>
        </is>
      </c>
      <c r="C1690" t="inlineStr">
        <is>
          <t>Driver</t>
        </is>
      </c>
      <c r="D1690" t="inlineStr">
        <is>
          <t>Chauffeur</t>
        </is>
      </c>
      <c r="E1690" t="inlineStr">
        <is>
          <t>Michel Gendreau</t>
        </is>
      </c>
      <c r="F1690" t="inlineStr">
        <is>
          <t>Drive the Minister from the Montréal airport to her riding</t>
        </is>
      </c>
      <c r="G1690" t="inlineStr">
        <is>
          <t>Conduire la Ministre de l'aéroport de Montréal à sa circonscription</t>
        </is>
      </c>
      <c r="H1690" s="1" t="n">
        <v>44589</v>
      </c>
      <c r="I1690" s="1" t="n">
        <v>44589</v>
      </c>
      <c r="J1690" t="inlineStr">
        <is>
          <t>Montréal (Quebec) Canada; Sherbrooke (Quebec) Canada</t>
        </is>
      </c>
      <c r="K1690" t="inlineStr">
        <is>
          <t>Montréal (Québec) Canada; Sherbrooke (Québec) Canada</t>
        </is>
      </c>
      <c r="P1690" t="n">
        <v>0</v>
      </c>
      <c r="Q1690" t="n">
        <v>2.4</v>
      </c>
      <c r="R1690" t="n">
        <v>0</v>
      </c>
      <c r="S1690" t="n">
        <v>74.59999999999999</v>
      </c>
      <c r="T1690" t="n">
        <v>0</v>
      </c>
      <c r="U1690" t="n">
        <v>77</v>
      </c>
      <c r="X1690" t="inlineStr">
        <is>
          <t>aafc-aac</t>
        </is>
      </c>
      <c r="Y1690" t="inlineStr">
        <is>
          <t>Agriculture and Agri-Food Canada | Agriculture et Agroalimentaire Canada</t>
        </is>
      </c>
      <c r="Z1690" t="n">
        <v>1</v>
      </c>
      <c r="AA1690" t="n">
        <v>77</v>
      </c>
      <c r="AB1690">
        <f>ROUND(U1690-AA1690,2)</f>
        <v/>
      </c>
      <c r="AC1690" t="b">
        <v>0</v>
      </c>
      <c r="AD1690">
        <f>IF(U1690="","MISSING_TOTAL",IF(ABS(AB1690)&lt;=0.01,"OK","CHECK"))</f>
        <v/>
      </c>
      <c r="AE1690">
        <f>IF(U1690="","MISSING",IF(AND(AA1690&gt;0,U1690/AA1690&gt;50),"POSSIBLE_SCALE_ERROR","OK"))</f>
        <v/>
      </c>
    </row>
    <row r="1691">
      <c r="A1691" t="inlineStr">
        <is>
          <t>T-2021-P11-0006</t>
        </is>
      </c>
      <c r="B1691" t="inlineStr">
        <is>
          <t>MPSES</t>
        </is>
      </c>
      <c r="C1691" t="inlineStr">
        <is>
          <t>Driver</t>
        </is>
      </c>
      <c r="D1691" t="inlineStr">
        <is>
          <t>Chauffeur</t>
        </is>
      </c>
      <c r="E1691" t="inlineStr">
        <is>
          <t>Michel Gendreau</t>
        </is>
      </c>
      <c r="F1691" t="inlineStr">
        <is>
          <t>Drive the Minister from her riding to Ottawa</t>
        </is>
      </c>
      <c r="G1691" t="inlineStr">
        <is>
          <t>Conduire la Ministre de sa circonscription à Ottawa</t>
        </is>
      </c>
      <c r="H1691" s="1" t="n">
        <v>44598</v>
      </c>
      <c r="I1691" s="1" t="n">
        <v>44599</v>
      </c>
      <c r="J1691" t="inlineStr">
        <is>
          <t>Sherbrooke (Quebec) Canada</t>
        </is>
      </c>
      <c r="K1691" t="inlineStr">
        <is>
          <t>Sherbrooke (Québec) Canada</t>
        </is>
      </c>
      <c r="P1691" t="n">
        <v>0</v>
      </c>
      <c r="Q1691" t="n">
        <v>6</v>
      </c>
      <c r="R1691" t="n">
        <v>123.75</v>
      </c>
      <c r="S1691" t="n">
        <v>74.34999999999999</v>
      </c>
      <c r="T1691" t="n">
        <v>0</v>
      </c>
      <c r="U1691" t="n">
        <v>204.1</v>
      </c>
      <c r="X1691" t="inlineStr">
        <is>
          <t>aafc-aac</t>
        </is>
      </c>
      <c r="Y1691" t="inlineStr">
        <is>
          <t>Agriculture and Agri-Food Canada | Agriculture et Agroalimentaire Canada</t>
        </is>
      </c>
      <c r="Z1691" t="n">
        <v>2</v>
      </c>
      <c r="AA1691" t="n">
        <v>204.1</v>
      </c>
      <c r="AB1691">
        <f>ROUND(U1691-AA1691,2)</f>
        <v/>
      </c>
      <c r="AC1691" t="b">
        <v>0</v>
      </c>
      <c r="AD1691">
        <f>IF(U1691="","MISSING_TOTAL",IF(ABS(AB1691)&lt;=0.01,"OK","CHECK"))</f>
        <v/>
      </c>
      <c r="AE1691">
        <f>IF(U1691="","MISSING",IF(AND(AA1691&gt;0,U1691/AA1691&gt;50),"POSSIBLE_SCALE_ERROR","OK"))</f>
        <v/>
      </c>
    </row>
    <row r="1692">
      <c r="A1692" t="inlineStr">
        <is>
          <t>T-2021-P11-0007</t>
        </is>
      </c>
      <c r="B1692" t="inlineStr">
        <is>
          <t>MPSES</t>
        </is>
      </c>
      <c r="C1692" t="inlineStr">
        <is>
          <t>Driver</t>
        </is>
      </c>
      <c r="D1692" t="inlineStr">
        <is>
          <t>Chauffeur</t>
        </is>
      </c>
      <c r="E1692" t="inlineStr">
        <is>
          <t>Michel Gendreau</t>
        </is>
      </c>
      <c r="F1692" t="inlineStr">
        <is>
          <t>Drive the Minister from Ottawa to her riding</t>
        </is>
      </c>
      <c r="G1692" t="inlineStr">
        <is>
          <t>Conduire la Ministre d'Ottawa à sa circonscription</t>
        </is>
      </c>
      <c r="H1692" s="1" t="n">
        <v>44603</v>
      </c>
      <c r="I1692" s="1" t="n">
        <v>44603</v>
      </c>
      <c r="J1692" t="inlineStr">
        <is>
          <t>Sherbrooke (Quebec) Canada</t>
        </is>
      </c>
      <c r="K1692" t="inlineStr">
        <is>
          <t>Sherbrooke (Québec) Canada</t>
        </is>
      </c>
      <c r="P1692" t="n">
        <v>0</v>
      </c>
      <c r="Q1692" t="n">
        <v>6</v>
      </c>
      <c r="R1692" t="n">
        <v>0</v>
      </c>
      <c r="S1692" t="n">
        <v>53</v>
      </c>
      <c r="T1692" t="n">
        <v>0</v>
      </c>
      <c r="U1692" t="n">
        <v>59</v>
      </c>
      <c r="X1692" t="inlineStr">
        <is>
          <t>aafc-aac</t>
        </is>
      </c>
      <c r="Y1692" t="inlineStr">
        <is>
          <t>Agriculture and Agri-Food Canada | Agriculture et Agroalimentaire Canada</t>
        </is>
      </c>
      <c r="Z1692" t="n">
        <v>1</v>
      </c>
      <c r="AA1692" t="n">
        <v>59</v>
      </c>
      <c r="AB1692">
        <f>ROUND(U1692-AA1692,2)</f>
        <v/>
      </c>
      <c r="AC1692" t="b">
        <v>0</v>
      </c>
      <c r="AD1692">
        <f>IF(U1692="","MISSING_TOTAL",IF(ABS(AB1692)&lt;=0.01,"OK","CHECK"))</f>
        <v/>
      </c>
      <c r="AE1692">
        <f>IF(U1692="","MISSING",IF(AND(AA1692&gt;0,U1692/AA1692&gt;50),"POSSIBLE_SCALE_ERROR","OK"))</f>
        <v/>
      </c>
    </row>
    <row r="1693">
      <c r="A1693" t="inlineStr">
        <is>
          <t>T-2021-P11-0008</t>
        </is>
      </c>
      <c r="B1693" t="inlineStr">
        <is>
          <t>MPSES</t>
        </is>
      </c>
      <c r="C1693" t="inlineStr">
        <is>
          <t>Director of Communications</t>
        </is>
      </c>
      <c r="D1693" t="inlineStr">
        <is>
          <t>Directeur des communications</t>
        </is>
      </c>
      <c r="E1693" t="inlineStr">
        <is>
          <t>Oliver Anderson</t>
        </is>
      </c>
      <c r="F1693" t="inlineStr">
        <is>
          <t>To accompany the Minister for an outreach in Vancouver</t>
        </is>
      </c>
      <c r="G1693" t="inlineStr">
        <is>
          <t>Pour accompagner la ministre à une campagne de sensibilisation à Vancouver</t>
        </is>
      </c>
      <c r="H1693" s="1" t="n">
        <v>44539</v>
      </c>
      <c r="I1693" s="1" t="n">
        <v>44541</v>
      </c>
      <c r="J1693" t="inlineStr">
        <is>
          <t>Vancouver (British Columbia) Canada</t>
        </is>
      </c>
      <c r="K1693" t="inlineStr">
        <is>
          <t>Vancouver (Colombie-Britannique) Canada</t>
        </is>
      </c>
      <c r="P1693" t="n">
        <v>2950.49</v>
      </c>
      <c r="Q1693" t="n">
        <v>40.77</v>
      </c>
      <c r="R1693" t="n">
        <v>426.88</v>
      </c>
      <c r="S1693" t="n">
        <v>117.3</v>
      </c>
      <c r="T1693" t="n">
        <v>0</v>
      </c>
      <c r="U1693" t="n">
        <v>3535.44</v>
      </c>
      <c r="X1693" t="inlineStr">
        <is>
          <t>aafc-aac</t>
        </is>
      </c>
      <c r="Y1693" t="inlineStr">
        <is>
          <t>Agriculture and Agri-Food Canada | Agriculture et Agroalimentaire Canada</t>
        </is>
      </c>
      <c r="Z1693" t="n">
        <v>3</v>
      </c>
      <c r="AA1693" t="n">
        <v>3535.44</v>
      </c>
      <c r="AB1693">
        <f>ROUND(U1693-AA1693,2)</f>
        <v/>
      </c>
      <c r="AC1693" t="b">
        <v>0</v>
      </c>
      <c r="AD1693">
        <f>IF(U1693="","MISSING_TOTAL",IF(ABS(AB1693)&lt;=0.01,"OK","CHECK"))</f>
        <v/>
      </c>
      <c r="AE1693">
        <f>IF(U1693="","MISSING",IF(AND(AA1693&gt;0,U1693/AA1693&gt;50),"POSSIBLE_SCALE_ERROR","OK"))</f>
        <v/>
      </c>
    </row>
    <row r="1694">
      <c r="A1694" t="inlineStr">
        <is>
          <t>T-2021-P11-0009</t>
        </is>
      </c>
      <c r="B1694" t="inlineStr">
        <is>
          <t>MPSES</t>
        </is>
      </c>
      <c r="C1694" t="inlineStr">
        <is>
          <t>Senior Policy Advisor</t>
        </is>
      </c>
      <c r="D1694" t="inlineStr">
        <is>
          <t>Conseiller principal en politiques</t>
        </is>
      </c>
      <c r="E1694" t="inlineStr">
        <is>
          <t>Sandenga Yeba</t>
        </is>
      </c>
      <c r="F1694" t="inlineStr">
        <is>
          <t>To accompany the Minister for an outreach in Vancouver</t>
        </is>
      </c>
      <c r="G1694" t="inlineStr">
        <is>
          <t>Pour accompagner la ministre à une campagne de sensibilisation à Vancouver</t>
        </is>
      </c>
      <c r="H1694" s="1" t="n">
        <v>44539</v>
      </c>
      <c r="I1694" s="1" t="n">
        <v>44541</v>
      </c>
      <c r="J1694" t="inlineStr">
        <is>
          <t>Vancouver (British Columbia) Canada</t>
        </is>
      </c>
      <c r="K1694" t="inlineStr">
        <is>
          <t>Vancouver (Colombie-Britannique) Canada</t>
        </is>
      </c>
      <c r="P1694" t="n">
        <v>1206.27</v>
      </c>
      <c r="Q1694" t="n">
        <v>159.77</v>
      </c>
      <c r="R1694" t="n">
        <v>426.88</v>
      </c>
      <c r="S1694" t="n">
        <v>117.3</v>
      </c>
      <c r="T1694" t="n">
        <v>0</v>
      </c>
      <c r="U1694" t="n">
        <v>1910.22</v>
      </c>
      <c r="X1694" t="inlineStr">
        <is>
          <t>aafc-aac</t>
        </is>
      </c>
      <c r="Y1694" t="inlineStr">
        <is>
          <t>Agriculture and Agri-Food Canada | Agriculture et Agroalimentaire Canada</t>
        </is>
      </c>
      <c r="Z1694" t="n">
        <v>3</v>
      </c>
      <c r="AA1694" t="n">
        <v>1910.22</v>
      </c>
      <c r="AB1694">
        <f>ROUND(U1694-AA1694,2)</f>
        <v/>
      </c>
      <c r="AC1694" t="b">
        <v>0</v>
      </c>
      <c r="AD1694">
        <f>IF(U1694="","MISSING_TOTAL",IF(ABS(AB1694)&lt;=0.01,"OK","CHECK"))</f>
        <v/>
      </c>
      <c r="AE1694">
        <f>IF(U1694="","MISSING",IF(AND(AA1694&gt;0,U1694/AA1694&gt;50),"POSSIBLE_SCALE_ERROR","OK"))</f>
        <v/>
      </c>
    </row>
    <row r="1695">
      <c r="A1695" t="inlineStr">
        <is>
          <t>T-2021-P11-0010</t>
        </is>
      </c>
      <c r="B1695" t="inlineStr">
        <is>
          <t>SLE</t>
        </is>
      </c>
      <c r="C1695" t="inlineStr">
        <is>
          <t>Assistant Deputy Minister, Corporate Management Branch</t>
        </is>
      </c>
      <c r="D1695" t="inlineStr">
        <is>
          <t>Sous-ministre adjointe, Direction générale de la gestion intégrée</t>
        </is>
      </c>
      <c r="E1695" t="inlineStr">
        <is>
          <t>Marie-Claude Guérard</t>
        </is>
      </c>
      <c r="F1695" t="inlineStr">
        <is>
          <t>Monthly in-person bilateral meeting with Deputy Minister and scheduled site visit to the Ottawa Hospital as well as Neatby Research Center.</t>
        </is>
      </c>
      <c r="G1695" t="inlineStr">
        <is>
          <t>Rencontre mensuelle en personne avec le sous-ministre incluant une visite de l'hôpital d'Ottawa ainsi que le centre de recherche Neatby.</t>
        </is>
      </c>
      <c r="H1695" s="1" t="n">
        <v>44544</v>
      </c>
      <c r="I1695" s="1" t="n">
        <v>44546</v>
      </c>
      <c r="J1695" t="inlineStr">
        <is>
          <t>Ottawa (Ontario) Canada</t>
        </is>
      </c>
      <c r="K1695" t="inlineStr">
        <is>
          <t>Ottawa (Ontario) Canada</t>
        </is>
      </c>
      <c r="P1695" t="n">
        <v>0</v>
      </c>
      <c r="Q1695" t="n">
        <v>423.26</v>
      </c>
      <c r="R1695" t="n">
        <v>467.72</v>
      </c>
      <c r="S1695" t="n">
        <v>265.4</v>
      </c>
      <c r="T1695" t="n">
        <v>0</v>
      </c>
      <c r="U1695" t="n">
        <v>1156.38</v>
      </c>
      <c r="X1695" t="inlineStr">
        <is>
          <t>aafc-aac</t>
        </is>
      </c>
      <c r="Y1695" t="inlineStr">
        <is>
          <t>Agriculture and Agri-Food Canada | Agriculture et Agroalimentaire Canada</t>
        </is>
      </c>
      <c r="Z1695" t="n">
        <v>3</v>
      </c>
      <c r="AA1695" t="n">
        <v>1156.38</v>
      </c>
      <c r="AB1695">
        <f>ROUND(U1695-AA1695,2)</f>
        <v/>
      </c>
      <c r="AC1695" t="b">
        <v>0</v>
      </c>
      <c r="AD1695">
        <f>IF(U1695="","MISSING_TOTAL",IF(ABS(AB1695)&lt;=0.01,"OK","CHECK"))</f>
        <v/>
      </c>
      <c r="AE1695">
        <f>IF(U1695="","MISSING",IF(AND(AA1695&gt;0,U1695/AA1695&gt;50),"POSSIBLE_SCALE_ERROR","OK"))</f>
        <v/>
      </c>
    </row>
    <row r="1696">
      <c r="A1696" t="inlineStr">
        <is>
          <t>T-2021-P12-0001</t>
        </is>
      </c>
      <c r="B1696" t="inlineStr">
        <is>
          <t>MPSES</t>
        </is>
      </c>
      <c r="C1696" t="inlineStr">
        <is>
          <t>Minister</t>
        </is>
      </c>
      <c r="D1696" t="inlineStr">
        <is>
          <t>Ministre</t>
        </is>
      </c>
      <c r="E1696" t="inlineStr">
        <is>
          <t>Marie-Claude Bibeau</t>
        </is>
      </c>
      <c r="F1696" t="inlineStr">
        <is>
          <t>Meet with Secretary Tom Vilsack and United States Department of Agriculture officials.</t>
        </is>
      </c>
      <c r="G1696" t="inlineStr">
        <is>
          <t>Rencontrer le secrétaire d'État Tom Vilsack et les responsables du ministère de l'Agriculture des États-Unis.</t>
        </is>
      </c>
      <c r="H1696" s="1" t="n">
        <v>44587</v>
      </c>
      <c r="I1696" s="1" t="n">
        <v>44589</v>
      </c>
      <c r="J1696" t="inlineStr">
        <is>
          <t>Washington (District of Columbia) United States of America</t>
        </is>
      </c>
      <c r="K1696" t="inlineStr">
        <is>
          <t>Washington (District de Columbia) États-Unis</t>
        </is>
      </c>
      <c r="P1696" t="n">
        <v>1053.89</v>
      </c>
      <c r="Q1696" t="n">
        <v>0</v>
      </c>
      <c r="R1696" t="n">
        <v>552.03</v>
      </c>
      <c r="S1696" t="n">
        <v>283.52</v>
      </c>
      <c r="T1696" t="n">
        <v>288</v>
      </c>
      <c r="U1696" t="n">
        <v>2177.44</v>
      </c>
      <c r="V1696" t="inlineStr">
        <is>
          <t>Other expences for mandatory Covid testing</t>
        </is>
      </c>
      <c r="W1696" t="inlineStr">
        <is>
          <t>Autres dépenses pour les tests Covid obligatoires</t>
        </is>
      </c>
      <c r="X1696" t="inlineStr">
        <is>
          <t>aafc-aac</t>
        </is>
      </c>
      <c r="Y1696" t="inlineStr">
        <is>
          <t>Agriculture and Agri-Food Canada | Agriculture et Agroalimentaire Canada</t>
        </is>
      </c>
      <c r="Z1696" t="n">
        <v>3</v>
      </c>
      <c r="AA1696" t="n">
        <v>2177.44</v>
      </c>
      <c r="AB1696">
        <f>ROUND(U1696-AA1696,2)</f>
        <v/>
      </c>
      <c r="AC1696" t="b">
        <v>0</v>
      </c>
      <c r="AD1696">
        <f>IF(U1696="","MISSING_TOTAL",IF(ABS(AB1696)&lt;=0.01,"OK","CHECK"))</f>
        <v/>
      </c>
      <c r="AE1696">
        <f>IF(U1696="","MISSING",IF(AND(AA1696&gt;0,U1696/AA1696&gt;50),"POSSIBLE_SCALE_ERROR","OK"))</f>
        <v/>
      </c>
    </row>
    <row r="1697">
      <c r="A1697" t="inlineStr">
        <is>
          <t>T-2021-P12-0002</t>
        </is>
      </c>
      <c r="B1697" t="inlineStr">
        <is>
          <t>MPSES</t>
        </is>
      </c>
      <c r="C1697" t="inlineStr">
        <is>
          <t>Director of Policy</t>
        </is>
      </c>
      <c r="D1697" t="inlineStr">
        <is>
          <t>Directeur des politiques</t>
        </is>
      </c>
      <c r="E1697" t="inlineStr">
        <is>
          <t>Jérémy Gauthier</t>
        </is>
      </c>
      <c r="F1697" t="inlineStr">
        <is>
          <t>To accompany the Minister to meet with Secretary Tom Vilsack and United States Department of Agriculture officials.</t>
        </is>
      </c>
      <c r="G1697" t="inlineStr">
        <is>
          <t>Pour accompagner la Ministre pour rencontrer le secrétaire d'État Tom Vilsack et les responsables du ministère de l'Agriculture des États-Unis.</t>
        </is>
      </c>
      <c r="H1697" s="1" t="n">
        <v>44587</v>
      </c>
      <c r="I1697" s="1" t="n">
        <v>44589</v>
      </c>
      <c r="J1697" t="inlineStr">
        <is>
          <t>Washington (District of Columbia) United States of America</t>
        </is>
      </c>
      <c r="K1697" t="inlineStr">
        <is>
          <t>Washington (District de Columbia) États-Unis</t>
        </is>
      </c>
      <c r="P1697" t="n">
        <v>1059.67</v>
      </c>
      <c r="Q1697" t="n">
        <v>391.94</v>
      </c>
      <c r="R1697" t="n">
        <v>552.03</v>
      </c>
      <c r="S1697" t="n">
        <v>305.12</v>
      </c>
      <c r="T1697" t="n">
        <v>179.67</v>
      </c>
      <c r="U1697" t="n">
        <v>2488.43</v>
      </c>
      <c r="V1697" t="inlineStr">
        <is>
          <t>Other expences for mandatory Covid testing</t>
        </is>
      </c>
      <c r="W1697" t="inlineStr">
        <is>
          <t>Autres dépenses pour les tests Covid obligatoires</t>
        </is>
      </c>
      <c r="X1697" t="inlineStr">
        <is>
          <t>aafc-aac</t>
        </is>
      </c>
      <c r="Y1697" t="inlineStr">
        <is>
          <t>Agriculture and Agri-Food Canada | Agriculture et Agroalimentaire Canada</t>
        </is>
      </c>
      <c r="Z1697" t="n">
        <v>3</v>
      </c>
      <c r="AA1697" t="n">
        <v>2488.43</v>
      </c>
      <c r="AB1697">
        <f>ROUND(U1697-AA1697,2)</f>
        <v/>
      </c>
      <c r="AC1697" t="b">
        <v>0</v>
      </c>
      <c r="AD1697">
        <f>IF(U1697="","MISSING_TOTAL",IF(ABS(AB1697)&lt;=0.01,"OK","CHECK"))</f>
        <v/>
      </c>
      <c r="AE1697">
        <f>IF(U1697="","MISSING",IF(AND(AA1697&gt;0,U1697/AA1697&gt;50),"POSSIBLE_SCALE_ERROR","OK"))</f>
        <v/>
      </c>
    </row>
    <row r="1698">
      <c r="A1698" t="inlineStr">
        <is>
          <t>T-2021-P12-0003</t>
        </is>
      </c>
      <c r="B1698" t="inlineStr">
        <is>
          <t>MPSES</t>
        </is>
      </c>
      <c r="C1698" t="inlineStr">
        <is>
          <t>Driver</t>
        </is>
      </c>
      <c r="D1698" t="inlineStr">
        <is>
          <t>Chauffeur</t>
        </is>
      </c>
      <c r="E1698" t="inlineStr">
        <is>
          <t>Michel Gendreau</t>
        </is>
      </c>
      <c r="F1698" t="inlineStr">
        <is>
          <t>Drive the Minister from her riding to Ottawa then back to Sherbrooke</t>
        </is>
      </c>
      <c r="G1698" t="inlineStr">
        <is>
          <t>Conduire la Ministre de sa circonscription à Ottawa et de retour à Sherbrooke</t>
        </is>
      </c>
      <c r="H1698" s="1" t="n">
        <v>44621</v>
      </c>
      <c r="I1698" s="1" t="n">
        <v>44623</v>
      </c>
      <c r="J1698" t="inlineStr">
        <is>
          <t>Sherbrooke (Quebec) Canada</t>
        </is>
      </c>
      <c r="K1698" t="inlineStr">
        <is>
          <t>Sherbrooke (Québec) Canada</t>
        </is>
      </c>
      <c r="P1698" t="n">
        <v>0</v>
      </c>
      <c r="Q1698" t="n">
        <v>264.69</v>
      </c>
      <c r="R1698" t="n">
        <v>123.75</v>
      </c>
      <c r="S1698" t="n">
        <v>127.35</v>
      </c>
      <c r="T1698" t="n">
        <v>0</v>
      </c>
      <c r="U1698" t="n">
        <v>515.79</v>
      </c>
      <c r="X1698" t="inlineStr">
        <is>
          <t>aafc-aac</t>
        </is>
      </c>
      <c r="Y1698" t="inlineStr">
        <is>
          <t>Agriculture and Agri-Food Canada | Agriculture et Agroalimentaire Canada</t>
        </is>
      </c>
      <c r="Z1698" t="n">
        <v>3</v>
      </c>
      <c r="AA1698" t="n">
        <v>515.79</v>
      </c>
      <c r="AB1698">
        <f>ROUND(U1698-AA1698,2)</f>
        <v/>
      </c>
      <c r="AC1698" t="b">
        <v>0</v>
      </c>
      <c r="AD1698">
        <f>IF(U1698="","MISSING_TOTAL",IF(ABS(AB1698)&lt;=0.01,"OK","CHECK"))</f>
        <v/>
      </c>
      <c r="AE1698">
        <f>IF(U1698="","MISSING",IF(AND(AA1698&gt;0,U1698/AA1698&gt;50),"POSSIBLE_SCALE_ERROR","OK"))</f>
        <v/>
      </c>
    </row>
    <row r="1699">
      <c r="A1699" t="inlineStr">
        <is>
          <t>T-2021-P12-0004</t>
        </is>
      </c>
      <c r="B1699" t="inlineStr">
        <is>
          <t>MPSES</t>
        </is>
      </c>
      <c r="C1699" t="inlineStr">
        <is>
          <t>Driver</t>
        </is>
      </c>
      <c r="D1699" t="inlineStr">
        <is>
          <t>Chauffeur</t>
        </is>
      </c>
      <c r="E1699" t="inlineStr">
        <is>
          <t>Michel Gendreau</t>
        </is>
      </c>
      <c r="F1699" t="inlineStr">
        <is>
          <t>Drive the Minister from her riding to Ottawa</t>
        </is>
      </c>
      <c r="G1699" t="inlineStr">
        <is>
          <t>Conduire la Ministre de sa circonscription à Ottawa</t>
        </is>
      </c>
      <c r="H1699" s="1" t="n">
        <v>44640</v>
      </c>
      <c r="I1699" s="1" t="n">
        <v>44641</v>
      </c>
      <c r="J1699" t="inlineStr">
        <is>
          <t>Sherbrooke (Quebec) Canada</t>
        </is>
      </c>
      <c r="K1699" t="inlineStr">
        <is>
          <t>Sherbrooke (Québec) Canada</t>
        </is>
      </c>
      <c r="P1699" t="n">
        <v>0</v>
      </c>
      <c r="Q1699" t="n">
        <v>6</v>
      </c>
      <c r="R1699" t="n">
        <v>121.38</v>
      </c>
      <c r="S1699" t="n">
        <v>74.34999999999999</v>
      </c>
      <c r="T1699" t="n">
        <v>0</v>
      </c>
      <c r="U1699" t="n">
        <v>201.73</v>
      </c>
      <c r="X1699" t="inlineStr">
        <is>
          <t>aafc-aac</t>
        </is>
      </c>
      <c r="Y1699" t="inlineStr">
        <is>
          <t>Agriculture and Agri-Food Canada | Agriculture et Agroalimentaire Canada</t>
        </is>
      </c>
      <c r="Z1699" t="n">
        <v>2</v>
      </c>
      <c r="AA1699" t="n">
        <v>201.73</v>
      </c>
      <c r="AB1699">
        <f>ROUND(U1699-AA1699,2)</f>
        <v/>
      </c>
      <c r="AC1699" t="b">
        <v>0</v>
      </c>
      <c r="AD1699">
        <f>IF(U1699="","MISSING_TOTAL",IF(ABS(AB1699)&lt;=0.01,"OK","CHECK"))</f>
        <v/>
      </c>
      <c r="AE1699">
        <f>IF(U1699="","MISSING",IF(AND(AA1699&gt;0,U1699/AA1699&gt;50),"POSSIBLE_SCALE_ERROR","OK"))</f>
        <v/>
      </c>
    </row>
    <row r="1700">
      <c r="A1700" t="inlineStr">
        <is>
          <t>T-2021-P12-0005</t>
        </is>
      </c>
      <c r="B1700" t="inlineStr">
        <is>
          <t>MPSES</t>
        </is>
      </c>
      <c r="C1700" t="inlineStr">
        <is>
          <t>Director of Communications</t>
        </is>
      </c>
      <c r="D1700" t="inlineStr">
        <is>
          <t>Directeur des communications</t>
        </is>
      </c>
      <c r="E1700" t="inlineStr">
        <is>
          <t>Allison St-Jean</t>
        </is>
      </c>
      <c r="F1700" t="inlineStr">
        <is>
          <t>To accompany the Minister to meet with Secretary Tom Vilsack and United States Department of Agriculture officials.</t>
        </is>
      </c>
      <c r="G1700" t="inlineStr">
        <is>
          <t>Pour accompagner la Ministre pour rencontrer le secrétaire d'État Tom Vilsack et les responsables du ministère de l'Agriculture des États-Unis.</t>
        </is>
      </c>
      <c r="H1700" s="1" t="n">
        <v>44587</v>
      </c>
      <c r="I1700" s="1" t="n">
        <v>44589</v>
      </c>
      <c r="J1700" t="inlineStr">
        <is>
          <t>Washington (District of Columbia) United States of America</t>
        </is>
      </c>
      <c r="K1700" t="inlineStr">
        <is>
          <t>Washington (District de Columbia) États-Unis</t>
        </is>
      </c>
      <c r="P1700" t="n">
        <v>1059.67</v>
      </c>
      <c r="Q1700" t="n">
        <v>0</v>
      </c>
      <c r="R1700" t="n">
        <v>552.03</v>
      </c>
      <c r="S1700" t="n">
        <v>332.55</v>
      </c>
      <c r="T1700" t="n">
        <v>359.34</v>
      </c>
      <c r="U1700" t="n">
        <v>2303.59</v>
      </c>
      <c r="V1700" t="inlineStr">
        <is>
          <t>Other expences for mandatory Covid testing</t>
        </is>
      </c>
      <c r="W1700" t="inlineStr">
        <is>
          <t>Autres dépenses pour les tests Covid obligatoires</t>
        </is>
      </c>
      <c r="X1700" t="inlineStr">
        <is>
          <t>aafc-aac</t>
        </is>
      </c>
      <c r="Y1700" t="inlineStr">
        <is>
          <t>Agriculture and Agri-Food Canada | Agriculture et Agroalimentaire Canada</t>
        </is>
      </c>
      <c r="Z1700" t="n">
        <v>3</v>
      </c>
      <c r="AA1700" t="n">
        <v>2303.59</v>
      </c>
      <c r="AB1700">
        <f>ROUND(U1700-AA1700,2)</f>
        <v/>
      </c>
      <c r="AC1700" t="b">
        <v>0</v>
      </c>
      <c r="AD1700">
        <f>IF(U1700="","MISSING_TOTAL",IF(ABS(AB1700)&lt;=0.01,"OK","CHECK"))</f>
        <v/>
      </c>
      <c r="AE1700">
        <f>IF(U1700="","MISSING",IF(AND(AA1700&gt;0,U1700/AA1700&gt;50),"POSSIBLE_SCALE_ERROR","OK"))</f>
        <v/>
      </c>
    </row>
    <row r="1701">
      <c r="A1701" t="inlineStr">
        <is>
          <t>T-2021-P12-0006</t>
        </is>
      </c>
      <c r="B1701" t="inlineStr">
        <is>
          <t>SLE</t>
        </is>
      </c>
      <c r="C1701" t="inlineStr">
        <is>
          <t>Federal Co-Chair</t>
        </is>
      </c>
      <c r="D1701" t="inlineStr">
        <is>
          <t>Coprésident fédéral</t>
        </is>
      </c>
      <c r="E1701" t="inlineStr">
        <is>
          <t>Fred Gorrell</t>
        </is>
      </c>
      <c r="F1701" t="inlineStr">
        <is>
          <t>To accompany the Minister on an Outreach in Charlottetown</t>
        </is>
      </c>
      <c r="G1701" t="inlineStr">
        <is>
          <t>Pour accompagner la Ministre à une campagne de sensibilisation à Charlottetown</t>
        </is>
      </c>
      <c r="H1701" s="1" t="n">
        <v>44645</v>
      </c>
      <c r="I1701" s="1" t="n">
        <v>44647</v>
      </c>
      <c r="J1701" t="inlineStr">
        <is>
          <t>Charlottetown (Prince Edward Island) Canada</t>
        </is>
      </c>
      <c r="K1701" t="inlineStr">
        <is>
          <t>Charlottetown (Île-du-Prince-Édouard) Canada</t>
        </is>
      </c>
      <c r="P1701" t="n">
        <v>1134.66</v>
      </c>
      <c r="Q1701" t="n">
        <v>85.38</v>
      </c>
      <c r="R1701" t="n">
        <v>424.06</v>
      </c>
      <c r="S1701" t="n">
        <v>0</v>
      </c>
      <c r="T1701" t="n">
        <v>0</v>
      </c>
      <c r="U1701" t="n">
        <v>1644.1</v>
      </c>
      <c r="X1701" t="inlineStr">
        <is>
          <t>aafc-aac</t>
        </is>
      </c>
      <c r="Y1701" t="inlineStr">
        <is>
          <t>Agriculture and Agri-Food Canada | Agriculture et Agroalimentaire Canada</t>
        </is>
      </c>
      <c r="Z1701" t="n">
        <v>3</v>
      </c>
      <c r="AA1701" t="n">
        <v>1644.1</v>
      </c>
      <c r="AB1701">
        <f>ROUND(U1701-AA1701,2)</f>
        <v/>
      </c>
      <c r="AC1701" t="b">
        <v>0</v>
      </c>
      <c r="AD1701">
        <f>IF(U1701="","MISSING_TOTAL",IF(ABS(AB1701)&lt;=0.01,"OK","CHECK"))</f>
        <v/>
      </c>
      <c r="AE1701">
        <f>IF(U1701="","MISSING",IF(AND(AA1701&gt;0,U1701/AA1701&gt;50),"POSSIBLE_SCALE_ERROR","OK"))</f>
        <v/>
      </c>
    </row>
    <row r="1702">
      <c r="A1702" t="inlineStr">
        <is>
          <t>T-2021-P12-0007</t>
        </is>
      </c>
      <c r="B1702" t="inlineStr">
        <is>
          <t>SLE</t>
        </is>
      </c>
      <c r="C1702" t="inlineStr">
        <is>
          <t>Deputy Minister</t>
        </is>
      </c>
      <c r="D1702" t="inlineStr">
        <is>
          <t>Sous-ministre</t>
        </is>
      </c>
      <c r="E1702" t="inlineStr">
        <is>
          <t>Chris Forbes</t>
        </is>
      </c>
      <c r="F1702" t="inlineStr">
        <is>
          <t>Attend an Outreach in the Sumas Prairie Region</t>
        </is>
      </c>
      <c r="G1702" t="inlineStr">
        <is>
          <t>Assister à une campagne de sensibilisation dans la région de Sumas Prairie</t>
        </is>
      </c>
      <c r="H1702" s="1" t="n">
        <v>44630</v>
      </c>
      <c r="I1702" s="1" t="n">
        <v>44631</v>
      </c>
      <c r="J1702" t="inlineStr">
        <is>
          <t>Vancouver (British Columbia) Canada</t>
        </is>
      </c>
      <c r="K1702" t="inlineStr">
        <is>
          <t>Vancouver (Colombie Britannique) Canada</t>
        </is>
      </c>
      <c r="P1702" t="n">
        <v>0</v>
      </c>
      <c r="Q1702" t="n">
        <v>35.43</v>
      </c>
      <c r="R1702" t="n">
        <v>201.25</v>
      </c>
      <c r="S1702" t="n">
        <v>166.25</v>
      </c>
      <c r="T1702" t="n">
        <v>0</v>
      </c>
      <c r="U1702" t="n">
        <v>402.93</v>
      </c>
      <c r="X1702" t="inlineStr">
        <is>
          <t>aafc-aac</t>
        </is>
      </c>
      <c r="Y1702" t="inlineStr">
        <is>
          <t>Agriculture and Agri-Food Canada | Agriculture et Agroalimentaire Canada</t>
        </is>
      </c>
      <c r="Z1702" t="n">
        <v>2</v>
      </c>
      <c r="AA1702" t="n">
        <v>402.93</v>
      </c>
      <c r="AB1702">
        <f>ROUND(U1702-AA1702,2)</f>
        <v/>
      </c>
      <c r="AC1702" t="b">
        <v>0</v>
      </c>
      <c r="AD1702">
        <f>IF(U1702="","MISSING_TOTAL",IF(ABS(AB1702)&lt;=0.01,"OK","CHECK"))</f>
        <v/>
      </c>
      <c r="AE1702">
        <f>IF(U1702="","MISSING",IF(AND(AA1702&gt;0,U1702/AA1702&gt;50),"POSSIBLE_SCALE_ERROR","OK"))</f>
        <v/>
      </c>
    </row>
    <row r="1703">
      <c r="A1703" t="inlineStr">
        <is>
          <t>T-2021-P12-0008</t>
        </is>
      </c>
      <c r="B1703" t="inlineStr">
        <is>
          <t>SLE</t>
        </is>
      </c>
      <c r="C1703" t="inlineStr">
        <is>
          <t>Associate Deputy Minister</t>
        </is>
      </c>
      <c r="D1703" t="inlineStr">
        <is>
          <t>Sous-ministre délégué</t>
        </is>
      </c>
      <c r="E1703" t="inlineStr">
        <is>
          <t>Paul Samson</t>
        </is>
      </c>
      <c r="F1703" t="inlineStr">
        <is>
          <t>To attend an in-person meeting with the Minister</t>
        </is>
      </c>
      <c r="G1703" t="inlineStr">
        <is>
          <t>Pour assister à une réunion en personne avec la Ministre</t>
        </is>
      </c>
      <c r="H1703" s="1" t="n">
        <v>44630</v>
      </c>
      <c r="I1703" s="1" t="n">
        <v>44630</v>
      </c>
      <c r="J1703" t="inlineStr">
        <is>
          <t>Ottawa (Ontario) Canada</t>
        </is>
      </c>
      <c r="K1703" t="inlineStr">
        <is>
          <t>Ottawa (Ontario) Canada</t>
        </is>
      </c>
      <c r="P1703" t="n">
        <v>0</v>
      </c>
      <c r="Q1703" t="n">
        <v>25.75</v>
      </c>
      <c r="R1703" t="n">
        <v>0</v>
      </c>
      <c r="S1703" t="n">
        <v>0</v>
      </c>
      <c r="T1703" t="n">
        <v>0</v>
      </c>
      <c r="U1703" t="n">
        <v>25.75</v>
      </c>
      <c r="X1703" t="inlineStr">
        <is>
          <t>aafc-aac</t>
        </is>
      </c>
      <c r="Y1703" t="inlineStr">
        <is>
          <t>Agriculture and Agri-Food Canada | Agriculture et Agroalimentaire Canada</t>
        </is>
      </c>
      <c r="Z1703" t="n">
        <v>1</v>
      </c>
      <c r="AA1703" t="n">
        <v>25.75</v>
      </c>
      <c r="AB1703">
        <f>ROUND(U1703-AA1703,2)</f>
        <v/>
      </c>
      <c r="AC1703" t="b">
        <v>0</v>
      </c>
      <c r="AD1703">
        <f>IF(U1703="","MISSING_TOTAL",IF(ABS(AB1703)&lt;=0.01,"OK","CHECK"))</f>
        <v/>
      </c>
      <c r="AE1703">
        <f>IF(U1703="","MISSING",IF(AND(AA1703&gt;0,U1703/AA1703&gt;50),"POSSIBLE_SCALE_ERROR","OK"))</f>
        <v/>
      </c>
    </row>
    <row r="1704">
      <c r="A1704" t="inlineStr">
        <is>
          <t>T-2021-P12-0009</t>
        </is>
      </c>
      <c r="B1704" t="inlineStr">
        <is>
          <t>SLE</t>
        </is>
      </c>
      <c r="C1704" t="inlineStr">
        <is>
          <t>Associate Deputy Minister</t>
        </is>
      </c>
      <c r="D1704" t="inlineStr">
        <is>
          <t>Sous-ministre délégué</t>
        </is>
      </c>
      <c r="E1704" t="inlineStr">
        <is>
          <t>Paul Samson</t>
        </is>
      </c>
      <c r="F1704" t="inlineStr">
        <is>
          <t>To retrieve his Parliamentary Pass and to attend an in-person meeting with the Minister</t>
        </is>
      </c>
      <c r="G1704" t="inlineStr">
        <is>
          <t>Pour récupérer sa passe parlementaire et assister à une réunion en personne avec la Ministre</t>
        </is>
      </c>
      <c r="H1704" s="1" t="n">
        <v>44642</v>
      </c>
      <c r="I1704" s="1" t="n">
        <v>44642</v>
      </c>
      <c r="J1704" t="inlineStr">
        <is>
          <t>Ottawa (Ontario) Canada</t>
        </is>
      </c>
      <c r="K1704" t="inlineStr">
        <is>
          <t>Ottawa (Ontario) Canada</t>
        </is>
      </c>
      <c r="P1704" t="n">
        <v>0</v>
      </c>
      <c r="Q1704" t="n">
        <v>12.5</v>
      </c>
      <c r="R1704" t="n">
        <v>0</v>
      </c>
      <c r="S1704" t="n">
        <v>0</v>
      </c>
      <c r="T1704" t="n">
        <v>0</v>
      </c>
      <c r="U1704" t="n">
        <v>12.5</v>
      </c>
      <c r="X1704" t="inlineStr">
        <is>
          <t>aafc-aac</t>
        </is>
      </c>
      <c r="Y1704" t="inlineStr">
        <is>
          <t>Agriculture and Agri-Food Canada | Agriculture et Agroalimentaire Canada</t>
        </is>
      </c>
      <c r="Z1704" t="n">
        <v>1</v>
      </c>
      <c r="AA1704" t="n">
        <v>12.5</v>
      </c>
      <c r="AB1704">
        <f>ROUND(U1704-AA1704,2)</f>
        <v/>
      </c>
      <c r="AC1704" t="b">
        <v>0</v>
      </c>
      <c r="AD1704">
        <f>IF(U1704="","MISSING_TOTAL",IF(ABS(AB1704)&lt;=0.01,"OK","CHECK"))</f>
        <v/>
      </c>
      <c r="AE1704">
        <f>IF(U1704="","MISSING",IF(AND(AA1704&gt;0,U1704/AA1704&gt;50),"POSSIBLE_SCALE_ERROR","OK"))</f>
        <v/>
      </c>
    </row>
    <row r="1705">
      <c r="A1705" t="inlineStr">
        <is>
          <t>T-2021-P12-0010</t>
        </is>
      </c>
      <c r="B1705" t="inlineStr">
        <is>
          <t>SLE</t>
        </is>
      </c>
      <c r="C1705" t="inlineStr">
        <is>
          <t>Assistant Deputy Minister, Corporate Management Branch</t>
        </is>
      </c>
      <c r="D1705" t="inlineStr">
        <is>
          <t>Sous-ministre adjointe, Direction générale de la gestion intégrée</t>
        </is>
      </c>
      <c r="E1705" t="inlineStr">
        <is>
          <t>Marie-Claude Guérard</t>
        </is>
      </c>
      <c r="F1705" t="inlineStr">
        <is>
          <t>Site visit to Sainte-Foy Research Center and in-person bilat with Director General Crista-Lynn Ferguson.</t>
        </is>
      </c>
      <c r="G1705" t="inlineStr">
        <is>
          <t>Visite du scentre de recherche de Sainte-Foy ainsi que balt en personne avec la Directrice General Crista-Lynn Ferguson.</t>
        </is>
      </c>
      <c r="H1705" s="1" t="n">
        <v>44539</v>
      </c>
      <c r="I1705" s="1" t="n">
        <v>44540</v>
      </c>
      <c r="J1705" t="inlineStr">
        <is>
          <t>Sainte-Foy (Quebec) Canada</t>
        </is>
      </c>
      <c r="K1705" t="inlineStr">
        <is>
          <t>Sainte-Foy (Quebec) Canada</t>
        </is>
      </c>
      <c r="P1705" t="n">
        <v>0</v>
      </c>
      <c r="Q1705" t="n">
        <v>337.33</v>
      </c>
      <c r="R1705" t="n">
        <v>189.22</v>
      </c>
      <c r="S1705" t="n">
        <v>60.25</v>
      </c>
      <c r="T1705" t="n">
        <v>0</v>
      </c>
      <c r="U1705" t="n">
        <v>586.8</v>
      </c>
      <c r="X1705" t="inlineStr">
        <is>
          <t>aafc-aac</t>
        </is>
      </c>
      <c r="Y1705" t="inlineStr">
        <is>
          <t>Agriculture and Agri-Food Canada | Agriculture et Agroalimentaire Canada</t>
        </is>
      </c>
      <c r="Z1705" t="n">
        <v>2</v>
      </c>
      <c r="AA1705" t="n">
        <v>586.8</v>
      </c>
      <c r="AB1705">
        <f>ROUND(U1705-AA1705,2)</f>
        <v/>
      </c>
      <c r="AC1705" t="b">
        <v>0</v>
      </c>
      <c r="AD1705">
        <f>IF(U1705="","MISSING_TOTAL",IF(ABS(AB1705)&lt;=0.01,"OK","CHECK"))</f>
        <v/>
      </c>
      <c r="AE1705">
        <f>IF(U1705="","MISSING",IF(AND(AA1705&gt;0,U1705/AA1705&gt;50),"POSSIBLE_SCALE_ERROR","OK"))</f>
        <v/>
      </c>
    </row>
    <row r="1706">
      <c r="A1706" t="inlineStr">
        <is>
          <t>T-2021-P12-0011</t>
        </is>
      </c>
      <c r="B1706" t="inlineStr">
        <is>
          <t>SLE</t>
        </is>
      </c>
      <c r="C1706" t="inlineStr">
        <is>
          <t>Assistant Deputy Minister, Corporate Management Branch</t>
        </is>
      </c>
      <c r="D1706" t="inlineStr">
        <is>
          <t>Sous-ministre adjointe, Direction générale de la gestion intégrée</t>
        </is>
      </c>
      <c r="E1706" t="inlineStr">
        <is>
          <t>Marie-Claude Guérard</t>
        </is>
      </c>
      <c r="F1706" t="inlineStr">
        <is>
          <t>In-person bilateral with the Deputy Minister and in-person preparation meeting for Public Accounts Appearance.</t>
        </is>
      </c>
      <c r="G1706" t="inlineStr">
        <is>
          <t>Bilatérale en personne avec le Député Ministre ainsi qu'une réunion en personne de préparation  pour la présentation pour les Affaires Publiques.</t>
        </is>
      </c>
      <c r="H1706" s="1" t="n">
        <v>44620</v>
      </c>
      <c r="I1706" s="1" t="n">
        <v>44622</v>
      </c>
      <c r="J1706" t="inlineStr">
        <is>
          <t>Ottawa (Ontario) Canada</t>
        </is>
      </c>
      <c r="K1706" t="inlineStr">
        <is>
          <t>Ottawa (Ontario) Canada</t>
        </is>
      </c>
      <c r="P1706" t="n">
        <v>0</v>
      </c>
      <c r="Q1706" t="n">
        <v>79.09999999999999</v>
      </c>
      <c r="R1706" t="n">
        <v>514.74</v>
      </c>
      <c r="S1706" t="n">
        <v>190.8</v>
      </c>
      <c r="T1706" t="n">
        <v>9.039999999999999</v>
      </c>
      <c r="U1706" t="n">
        <v>793.6799999999999</v>
      </c>
      <c r="X1706" t="inlineStr">
        <is>
          <t>aafc-aac</t>
        </is>
      </c>
      <c r="Y1706" t="inlineStr">
        <is>
          <t>Agriculture and Agri-Food Canada | Agriculture et Agroalimentaire Canada</t>
        </is>
      </c>
      <c r="Z1706" t="n">
        <v>3</v>
      </c>
      <c r="AA1706" t="n">
        <v>793.6799999999999</v>
      </c>
      <c r="AB1706">
        <f>ROUND(U1706-AA1706,2)</f>
        <v/>
      </c>
      <c r="AC1706" t="b">
        <v>0</v>
      </c>
      <c r="AD1706">
        <f>IF(U1706="","MISSING_TOTAL",IF(ABS(AB1706)&lt;=0.01,"OK","CHECK"))</f>
        <v/>
      </c>
      <c r="AE1706">
        <f>IF(U1706="","MISSING",IF(AND(AA1706&gt;0,U1706/AA1706&gt;50),"POSSIBLE_SCALE_ERROR","OK"))</f>
        <v/>
      </c>
    </row>
    <row r="1707">
      <c r="A1707" t="inlineStr">
        <is>
          <t>T-2022-P3-0001</t>
        </is>
      </c>
      <c r="B1707" t="inlineStr">
        <is>
          <t>MPSES</t>
        </is>
      </c>
      <c r="C1707" t="inlineStr">
        <is>
          <t>Minister</t>
        </is>
      </c>
      <c r="D1707" t="inlineStr">
        <is>
          <t>Ministre</t>
        </is>
      </c>
      <c r="E1707" t="inlineStr">
        <is>
          <t>Marie-Claude Bibeau</t>
        </is>
      </c>
      <c r="F1707" t="inlineStr">
        <is>
          <t>To attend the G7 summit in Germany</t>
        </is>
      </c>
      <c r="G1707" t="inlineStr">
        <is>
          <t>Pour assister au sommet du G7 en Allemagne</t>
        </is>
      </c>
      <c r="H1707" s="1" t="n">
        <v>44692</v>
      </c>
      <c r="I1707" s="1" t="n">
        <v>44696</v>
      </c>
      <c r="J1707" t="inlineStr">
        <is>
          <t>Stuttgart, Germany</t>
        </is>
      </c>
      <c r="K1707" t="inlineStr">
        <is>
          <t>Stuttgart, Allemagne</t>
        </is>
      </c>
      <c r="P1707" t="n">
        <v>13401.75</v>
      </c>
      <c r="Q1707" t="n">
        <v>0</v>
      </c>
      <c r="R1707" t="n">
        <v>269.3</v>
      </c>
      <c r="S1707" t="n">
        <v>199.01</v>
      </c>
      <c r="T1707" t="n">
        <v>0</v>
      </c>
      <c r="U1707" t="n">
        <v>13870.06</v>
      </c>
      <c r="V1707" t="inlineStr">
        <is>
          <t>No Conference Fees</t>
        </is>
      </c>
      <c r="W1707" t="inlineStr">
        <is>
          <t>Pas de frais de conférence</t>
        </is>
      </c>
      <c r="X1707" t="inlineStr">
        <is>
          <t>aafc-aac</t>
        </is>
      </c>
      <c r="Y1707" t="inlineStr">
        <is>
          <t>Agriculture and Agri-Food Canada | Agriculture et Agroalimentaire Canada</t>
        </is>
      </c>
      <c r="Z1707" t="n">
        <v>5</v>
      </c>
      <c r="AA1707" t="n">
        <v>13870.06</v>
      </c>
      <c r="AB1707">
        <f>ROUND(U1707-AA1707,2)</f>
        <v/>
      </c>
      <c r="AC1707" t="b">
        <v>0</v>
      </c>
      <c r="AD1707">
        <f>IF(U1707="","MISSING_TOTAL",IF(ABS(AB1707)&lt;=0.01,"OK","CHECK"))</f>
        <v/>
      </c>
      <c r="AE1707">
        <f>IF(U1707="","MISSING",IF(AND(AA1707&gt;0,U1707/AA1707&gt;50),"POSSIBLE_SCALE_ERROR","OK"))</f>
        <v/>
      </c>
    </row>
    <row r="1708">
      <c r="A1708" t="inlineStr">
        <is>
          <t>T-2022-P3-0002</t>
        </is>
      </c>
      <c r="B1708" t="inlineStr">
        <is>
          <t>MPSES</t>
        </is>
      </c>
      <c r="C1708" t="inlineStr">
        <is>
          <t>Minister</t>
        </is>
      </c>
      <c r="D1708" t="inlineStr">
        <is>
          <t>Ministre</t>
        </is>
      </c>
      <c r="E1708" t="inlineStr">
        <is>
          <t>Marie-Claude Bibeau</t>
        </is>
      </c>
      <c r="F1708" t="inlineStr">
        <is>
          <t>To meet with the Chief Executive Officer of BHP and make an announcement</t>
        </is>
      </c>
      <c r="G1708" t="inlineStr">
        <is>
          <t>Pour recontrer le directeur général de BHP et faire une annonce</t>
        </is>
      </c>
      <c r="H1708" s="1" t="n">
        <v>44723</v>
      </c>
      <c r="I1708" s="1" t="n">
        <v>44725</v>
      </c>
      <c r="J1708" t="inlineStr">
        <is>
          <t>Saskatoon (Saskatchewan) Canada</t>
        </is>
      </c>
      <c r="K1708" t="inlineStr">
        <is>
          <t>Saskatoon (Saskatchewan) Canada</t>
        </is>
      </c>
      <c r="P1708" t="n">
        <v>2808.02</v>
      </c>
      <c r="Q1708" t="n">
        <v>0</v>
      </c>
      <c r="R1708" t="n">
        <v>193.22</v>
      </c>
      <c r="S1708" t="n">
        <v>98.7</v>
      </c>
      <c r="T1708" t="n">
        <v>0</v>
      </c>
      <c r="U1708" t="n">
        <v>3099.94</v>
      </c>
      <c r="V1708" t="inlineStr">
        <is>
          <t>No Conference Fees</t>
        </is>
      </c>
      <c r="W1708" t="inlineStr">
        <is>
          <t>Pas de frais de conférence</t>
        </is>
      </c>
      <c r="X1708" t="inlineStr">
        <is>
          <t>aafc-aac</t>
        </is>
      </c>
      <c r="Y1708" t="inlineStr">
        <is>
          <t>Agriculture and Agri-Food Canada | Agriculture et Agroalimentaire Canada</t>
        </is>
      </c>
      <c r="Z1708" t="n">
        <v>3</v>
      </c>
      <c r="AA1708" t="n">
        <v>3099.93999999999</v>
      </c>
      <c r="AB1708">
        <f>ROUND(U1708-AA1708,2)</f>
        <v/>
      </c>
      <c r="AC1708" t="b">
        <v>0</v>
      </c>
      <c r="AD1708">
        <f>IF(U1708="","MISSING_TOTAL",IF(ABS(AB1708)&lt;=0.01,"OK","CHECK"))</f>
        <v/>
      </c>
      <c r="AE1708">
        <f>IF(U1708="","MISSING",IF(AND(AA1708&gt;0,U1708/AA1708&gt;50),"POSSIBLE_SCALE_ERROR","OK"))</f>
        <v/>
      </c>
    </row>
    <row r="1709">
      <c r="A1709" t="inlineStr">
        <is>
          <t>T-2022-P3-0003</t>
        </is>
      </c>
      <c r="B1709" t="inlineStr">
        <is>
          <t>MPSES</t>
        </is>
      </c>
      <c r="C1709" t="inlineStr">
        <is>
          <t>Senior Advisor</t>
        </is>
      </c>
      <c r="D1709" t="inlineStr">
        <is>
          <t>Conseiller principal</t>
        </is>
      </c>
      <c r="E1709" t="inlineStr">
        <is>
          <t>Abed Harb</t>
        </is>
      </c>
      <c r="F1709" t="inlineStr">
        <is>
          <t>To accompany the Minister on a Western Outreach</t>
        </is>
      </c>
      <c r="G1709" t="inlineStr">
        <is>
          <t>Pour accompagner la ministre pour une campagne de sensibilisation dans les provinces de l'ouest</t>
        </is>
      </c>
      <c r="H1709" s="1" t="n">
        <v>44704</v>
      </c>
      <c r="I1709" s="1" t="n">
        <v>44707</v>
      </c>
      <c r="J1709" t="inlineStr">
        <is>
          <t>Vancouver (British Columbia) Canada; Regina (Saskatchewan) Canada</t>
        </is>
      </c>
      <c r="K1709" t="inlineStr">
        <is>
          <t>Vancouver (Colombie-Britannique) Canada; Régina (Saskatchewan) Canada</t>
        </is>
      </c>
      <c r="P1709" t="n">
        <v>1549.6</v>
      </c>
      <c r="Q1709" t="n">
        <v>57.31</v>
      </c>
      <c r="R1709" t="n">
        <v>593.21</v>
      </c>
      <c r="S1709" t="n">
        <v>240.95</v>
      </c>
      <c r="T1709" t="n">
        <v>0</v>
      </c>
      <c r="U1709" t="n">
        <v>2441.07</v>
      </c>
      <c r="V1709" t="inlineStr">
        <is>
          <t>No conference fee</t>
        </is>
      </c>
      <c r="W1709" t="inlineStr">
        <is>
          <t>Pas de frais d'enregistrement</t>
        </is>
      </c>
      <c r="X1709" t="inlineStr">
        <is>
          <t>aafc-aac</t>
        </is>
      </c>
      <c r="Y1709" t="inlineStr">
        <is>
          <t>Agriculture and Agri-Food Canada | Agriculture et Agroalimentaire Canada</t>
        </is>
      </c>
      <c r="Z1709" t="n">
        <v>4</v>
      </c>
      <c r="AA1709" t="n">
        <v>2441.06999999999</v>
      </c>
      <c r="AB1709">
        <f>ROUND(U1709-AA1709,2)</f>
        <v/>
      </c>
      <c r="AC1709" t="b">
        <v>0</v>
      </c>
      <c r="AD1709">
        <f>IF(U1709="","MISSING_TOTAL",IF(ABS(AB1709)&lt;=0.01,"OK","CHECK"))</f>
        <v/>
      </c>
      <c r="AE1709">
        <f>IF(U1709="","MISSING",IF(AND(AA1709&gt;0,U1709/AA1709&gt;50),"POSSIBLE_SCALE_ERROR","OK"))</f>
        <v/>
      </c>
    </row>
    <row r="1710">
      <c r="A1710" t="inlineStr">
        <is>
          <t>T-2022-P3-0004</t>
        </is>
      </c>
      <c r="B1710" t="inlineStr">
        <is>
          <t>MPSES</t>
        </is>
      </c>
      <c r="C1710" t="inlineStr">
        <is>
          <t>Senior Advisor</t>
        </is>
      </c>
      <c r="D1710" t="inlineStr">
        <is>
          <t>Conseiller principal</t>
        </is>
      </c>
      <c r="E1710" t="inlineStr">
        <is>
          <t>Abed Harb</t>
        </is>
      </c>
      <c r="F1710" t="inlineStr">
        <is>
          <t>To meet with the Chief Executive Officer of BHP and make an announcement</t>
        </is>
      </c>
      <c r="G1710" t="inlineStr">
        <is>
          <t>Pour rencontrer le directeur général de BHP et faire une annonce</t>
        </is>
      </c>
      <c r="H1710" s="1" t="n">
        <v>44724</v>
      </c>
      <c r="I1710" s="1" t="n">
        <v>44725</v>
      </c>
      <c r="J1710" t="inlineStr">
        <is>
          <t>Saskatoon (Saskatchewan) Canada</t>
        </is>
      </c>
      <c r="K1710" t="inlineStr">
        <is>
          <t>Saskatoon (Saskatchewan) Canada</t>
        </is>
      </c>
      <c r="P1710" t="n">
        <v>866.3</v>
      </c>
      <c r="Q1710" t="n">
        <v>25.3</v>
      </c>
      <c r="R1710" t="n">
        <v>181.78</v>
      </c>
      <c r="S1710" t="n">
        <v>98.45</v>
      </c>
      <c r="T1710" t="n">
        <v>0</v>
      </c>
      <c r="U1710" t="n">
        <v>1171.83</v>
      </c>
      <c r="V1710" t="inlineStr">
        <is>
          <t>No conference fee</t>
        </is>
      </c>
      <c r="W1710" t="inlineStr">
        <is>
          <t>Pas de frais d'enregistrement</t>
        </is>
      </c>
      <c r="X1710" t="inlineStr">
        <is>
          <t>aafc-aac</t>
        </is>
      </c>
      <c r="Y1710" t="inlineStr">
        <is>
          <t>Agriculture and Agri-Food Canada | Agriculture et Agroalimentaire Canada</t>
        </is>
      </c>
      <c r="Z1710" t="n">
        <v>2</v>
      </c>
      <c r="AA1710" t="n">
        <v>1171.83</v>
      </c>
      <c r="AB1710">
        <f>ROUND(U1710-AA1710,2)</f>
        <v/>
      </c>
      <c r="AC1710" t="b">
        <v>0</v>
      </c>
      <c r="AD1710">
        <f>IF(U1710="","MISSING_TOTAL",IF(ABS(AB1710)&lt;=0.01,"OK","CHECK"))</f>
        <v/>
      </c>
      <c r="AE1710">
        <f>IF(U1710="","MISSING",IF(AND(AA1710&gt;0,U1710/AA1710&gt;50),"POSSIBLE_SCALE_ERROR","OK"))</f>
        <v/>
      </c>
    </row>
    <row r="1711">
      <c r="A1711" t="inlineStr">
        <is>
          <t>T-2022-P3-0005</t>
        </is>
      </c>
      <c r="B1711" t="inlineStr">
        <is>
          <t>MPSES</t>
        </is>
      </c>
      <c r="C1711" t="inlineStr">
        <is>
          <t>Press Secretary</t>
        </is>
      </c>
      <c r="D1711" t="inlineStr">
        <is>
          <t>Attachée de presse</t>
        </is>
      </c>
      <c r="E1711" t="inlineStr">
        <is>
          <t>Marianne Dandurand</t>
        </is>
      </c>
      <c r="F1711" t="inlineStr">
        <is>
          <t>To accompany the Minister to Ferme Roflamme for a visit and announcement</t>
        </is>
      </c>
      <c r="G1711" t="inlineStr">
        <is>
          <t>Pour accompagner la ministre à la Ferme Roflamme pour une visite et faire une annonce</t>
        </is>
      </c>
      <c r="H1711" s="1" t="n">
        <v>44652</v>
      </c>
      <c r="I1711" s="1" t="n">
        <v>44652</v>
      </c>
      <c r="J1711" t="inlineStr">
        <is>
          <t>Saint-Hyacinthe (Quebec) Canada</t>
        </is>
      </c>
      <c r="K1711" t="inlineStr">
        <is>
          <t>Saint-Hyacinthe (Québec) Canada</t>
        </is>
      </c>
      <c r="P1711" t="n">
        <v>0</v>
      </c>
      <c r="Q1711" t="n">
        <v>0</v>
      </c>
      <c r="R1711" t="n">
        <v>0</v>
      </c>
      <c r="S1711" t="n">
        <v>22.15</v>
      </c>
      <c r="T1711" t="n">
        <v>0</v>
      </c>
      <c r="U1711" t="n">
        <v>22.15</v>
      </c>
      <c r="V1711" t="inlineStr">
        <is>
          <t>No Conference Fees</t>
        </is>
      </c>
      <c r="W1711" t="inlineStr">
        <is>
          <t>Pas de frais de conférence</t>
        </is>
      </c>
      <c r="X1711" t="inlineStr">
        <is>
          <t>aafc-aac</t>
        </is>
      </c>
      <c r="Y1711" t="inlineStr">
        <is>
          <t>Agriculture and Agri-Food Canada | Agriculture et Agroalimentaire Canada</t>
        </is>
      </c>
      <c r="Z1711" t="n">
        <v>1</v>
      </c>
      <c r="AA1711" t="n">
        <v>22.15</v>
      </c>
      <c r="AB1711">
        <f>ROUND(U1711-AA1711,2)</f>
        <v/>
      </c>
      <c r="AC1711" t="b">
        <v>0</v>
      </c>
      <c r="AD1711">
        <f>IF(U1711="","MISSING_TOTAL",IF(ABS(AB1711)&lt;=0.01,"OK","CHECK"))</f>
        <v/>
      </c>
      <c r="AE1711">
        <f>IF(U1711="","MISSING",IF(AND(AA1711&gt;0,U1711/AA1711&gt;50),"POSSIBLE_SCALE_ERROR","OK"))</f>
        <v/>
      </c>
    </row>
    <row r="1712">
      <c r="A1712" t="inlineStr">
        <is>
          <t>T-2022-P3-0006</t>
        </is>
      </c>
      <c r="B1712" t="inlineStr">
        <is>
          <t>MPSES</t>
        </is>
      </c>
      <c r="C1712" t="inlineStr">
        <is>
          <t>Press Secretary</t>
        </is>
      </c>
      <c r="D1712" t="inlineStr">
        <is>
          <t>Attachée de presse</t>
        </is>
      </c>
      <c r="E1712" t="inlineStr">
        <is>
          <t>Marianne Dandurand</t>
        </is>
      </c>
      <c r="F1712" t="inlineStr">
        <is>
          <t>To accompany the Minister to the Producteurs de lait du Québec's Annual General Meeting</t>
        </is>
      </c>
      <c r="G1712" t="inlineStr">
        <is>
          <t>Pour accompagner la ministre à l'Assemblée générale annuelle des Producteurs de lait du Québec</t>
        </is>
      </c>
      <c r="H1712" s="1" t="n">
        <v>44665</v>
      </c>
      <c r="I1712" s="1" t="n">
        <v>44665</v>
      </c>
      <c r="J1712" t="inlineStr">
        <is>
          <t>Saint-Hyacinthe (Quebec) Canada</t>
        </is>
      </c>
      <c r="K1712" t="inlineStr">
        <is>
          <t>Saint-Hyacinthe (Québec) Canada</t>
        </is>
      </c>
      <c r="P1712" t="n">
        <v>0</v>
      </c>
      <c r="Q1712" t="n">
        <v>0</v>
      </c>
      <c r="R1712" t="n">
        <v>0</v>
      </c>
      <c r="S1712" t="n">
        <v>22.15</v>
      </c>
      <c r="T1712" t="n">
        <v>0</v>
      </c>
      <c r="U1712" t="n">
        <v>22.15</v>
      </c>
      <c r="V1712" t="inlineStr">
        <is>
          <t>No Conference Fees</t>
        </is>
      </c>
      <c r="W1712" t="inlineStr">
        <is>
          <t>Pas de frais de conférence</t>
        </is>
      </c>
      <c r="X1712" t="inlineStr">
        <is>
          <t>aafc-aac</t>
        </is>
      </c>
      <c r="Y1712" t="inlineStr">
        <is>
          <t>Agriculture and Agri-Food Canada | Agriculture et Agroalimentaire Canada</t>
        </is>
      </c>
      <c r="Z1712" t="n">
        <v>1</v>
      </c>
      <c r="AA1712" t="n">
        <v>22.15</v>
      </c>
      <c r="AB1712">
        <f>ROUND(U1712-AA1712,2)</f>
        <v/>
      </c>
      <c r="AC1712" t="b">
        <v>0</v>
      </c>
      <c r="AD1712">
        <f>IF(U1712="","MISSING_TOTAL",IF(ABS(AB1712)&lt;=0.01,"OK","CHECK"))</f>
        <v/>
      </c>
      <c r="AE1712">
        <f>IF(U1712="","MISSING",IF(AND(AA1712&gt;0,U1712/AA1712&gt;50),"POSSIBLE_SCALE_ERROR","OK"))</f>
        <v/>
      </c>
    </row>
    <row r="1713">
      <c r="A1713" t="inlineStr">
        <is>
          <t>T-2022-P3-0007</t>
        </is>
      </c>
      <c r="B1713" t="inlineStr">
        <is>
          <t>MPSES</t>
        </is>
      </c>
      <c r="C1713" t="inlineStr">
        <is>
          <t>Press Secretary</t>
        </is>
      </c>
      <c r="D1713" t="inlineStr">
        <is>
          <t>Attachée de presse</t>
        </is>
      </c>
      <c r="E1713" t="inlineStr">
        <is>
          <t>Marianne Dandurand</t>
        </is>
      </c>
      <c r="F1713" t="inlineStr">
        <is>
          <t>To accompany the Minister to the Ormstown Fair</t>
        </is>
      </c>
      <c r="G1713" t="inlineStr">
        <is>
          <t>Pour accompagner la ministre à l'expo Ormstown</t>
        </is>
      </c>
      <c r="H1713" s="1" t="n">
        <v>44722</v>
      </c>
      <c r="I1713" s="1" t="n">
        <v>44722</v>
      </c>
      <c r="J1713" t="inlineStr">
        <is>
          <t>Ormstown (Quebec) Canada</t>
        </is>
      </c>
      <c r="K1713" t="inlineStr">
        <is>
          <t>Ormstown (Québec) Canada</t>
        </is>
      </c>
      <c r="P1713" t="n">
        <v>0</v>
      </c>
      <c r="Q1713" t="n">
        <v>0</v>
      </c>
      <c r="R1713" t="n">
        <v>0</v>
      </c>
      <c r="S1713" t="n">
        <v>22.15</v>
      </c>
      <c r="T1713" t="n">
        <v>0</v>
      </c>
      <c r="U1713" t="n">
        <v>22.15</v>
      </c>
      <c r="V1713" t="inlineStr">
        <is>
          <t>No Conference Fees</t>
        </is>
      </c>
      <c r="W1713" t="inlineStr">
        <is>
          <t>Pas de frais de conférence</t>
        </is>
      </c>
      <c r="X1713" t="inlineStr">
        <is>
          <t>aafc-aac</t>
        </is>
      </c>
      <c r="Y1713" t="inlineStr">
        <is>
          <t>Agriculture and Agri-Food Canada | Agriculture et Agroalimentaire Canada</t>
        </is>
      </c>
      <c r="Z1713" t="n">
        <v>1</v>
      </c>
      <c r="AA1713" t="n">
        <v>22.15</v>
      </c>
      <c r="AB1713">
        <f>ROUND(U1713-AA1713,2)</f>
        <v/>
      </c>
      <c r="AC1713" t="b">
        <v>0</v>
      </c>
      <c r="AD1713">
        <f>IF(U1713="","MISSING_TOTAL",IF(ABS(AB1713)&lt;=0.01,"OK","CHECK"))</f>
        <v/>
      </c>
      <c r="AE1713">
        <f>IF(U1713="","MISSING",IF(AND(AA1713&gt;0,U1713/AA1713&gt;50),"POSSIBLE_SCALE_ERROR","OK"))</f>
        <v/>
      </c>
    </row>
    <row r="1714">
      <c r="A1714" t="inlineStr">
        <is>
          <t>T-2022-P3-0008</t>
        </is>
      </c>
      <c r="B1714" t="inlineStr">
        <is>
          <t>MPSES</t>
        </is>
      </c>
      <c r="C1714" t="inlineStr">
        <is>
          <t>Press Secretary</t>
        </is>
      </c>
      <c r="D1714" t="inlineStr">
        <is>
          <t>Attachée de presse</t>
        </is>
      </c>
      <c r="E1714" t="inlineStr">
        <is>
          <t>Marianne Dandurand</t>
        </is>
      </c>
      <c r="F1714" t="inlineStr">
        <is>
          <t>To meet with the Chief Executive Officer of BHP and make an announcement</t>
        </is>
      </c>
      <c r="G1714" t="inlineStr">
        <is>
          <t>Pour rencontrer le directeur général de BHP et faire une annonce</t>
        </is>
      </c>
      <c r="H1714" s="1" t="n">
        <v>44723</v>
      </c>
      <c r="I1714" s="1" t="n">
        <v>44725</v>
      </c>
      <c r="J1714" t="inlineStr">
        <is>
          <t>Saskatoon (Saskatchewan) Canada</t>
        </is>
      </c>
      <c r="K1714" t="inlineStr">
        <is>
          <t>Saskatoon (Saskatchewan) Canada</t>
        </is>
      </c>
      <c r="P1714" t="n">
        <v>1788.19</v>
      </c>
      <c r="Q1714" t="n">
        <v>153.34</v>
      </c>
      <c r="R1714" t="n">
        <v>363.56</v>
      </c>
      <c r="S1714" t="n">
        <v>295.35</v>
      </c>
      <c r="T1714" t="n">
        <v>0</v>
      </c>
      <c r="U1714" t="n">
        <v>2600.44</v>
      </c>
      <c r="V1714" t="inlineStr">
        <is>
          <t>No Conference Fees</t>
        </is>
      </c>
      <c r="W1714" t="inlineStr">
        <is>
          <t>Pas de frais de conférence</t>
        </is>
      </c>
      <c r="X1714" t="inlineStr">
        <is>
          <t>aafc-aac</t>
        </is>
      </c>
      <c r="Y1714" t="inlineStr">
        <is>
          <t>Agriculture and Agri-Food Canada | Agriculture et Agroalimentaire Canada</t>
        </is>
      </c>
      <c r="Z1714" t="n">
        <v>3</v>
      </c>
      <c r="AA1714" t="n">
        <v>2600.44</v>
      </c>
      <c r="AB1714">
        <f>ROUND(U1714-AA1714,2)</f>
        <v/>
      </c>
      <c r="AC1714" t="b">
        <v>0</v>
      </c>
      <c r="AD1714">
        <f>IF(U1714="","MISSING_TOTAL",IF(ABS(AB1714)&lt;=0.01,"OK","CHECK"))</f>
        <v/>
      </c>
      <c r="AE1714">
        <f>IF(U1714="","MISSING",IF(AND(AA1714&gt;0,U1714/AA1714&gt;50),"POSSIBLE_SCALE_ERROR","OK"))</f>
        <v/>
      </c>
    </row>
    <row r="1715">
      <c r="A1715" t="inlineStr">
        <is>
          <t>T-2022-P3-0009</t>
        </is>
      </c>
      <c r="B1715" t="inlineStr">
        <is>
          <t>MPSES</t>
        </is>
      </c>
      <c r="C1715" t="inlineStr">
        <is>
          <t>Director of Policy</t>
        </is>
      </c>
      <c r="D1715" t="inlineStr">
        <is>
          <t>Directeur des politiques</t>
        </is>
      </c>
      <c r="E1715" t="inlineStr">
        <is>
          <t>Jérémy Gauthier</t>
        </is>
      </c>
      <c r="F1715" t="inlineStr">
        <is>
          <t>To accompany the Minister to the G7 summit in Germany</t>
        </is>
      </c>
      <c r="G1715" t="inlineStr">
        <is>
          <t>Pour accompagner la ministre au sommet du G7 en Allemagne</t>
        </is>
      </c>
      <c r="H1715" s="1" t="n">
        <v>44692</v>
      </c>
      <c r="I1715" s="1" t="n">
        <v>44696</v>
      </c>
      <c r="J1715" t="inlineStr">
        <is>
          <t>Stuttgart, Germany</t>
        </is>
      </c>
      <c r="K1715" t="inlineStr">
        <is>
          <t>Stuttgart, Allemagne</t>
        </is>
      </c>
      <c r="P1715" t="n">
        <v>4706.36</v>
      </c>
      <c r="Q1715" t="n">
        <v>46.1</v>
      </c>
      <c r="R1715" t="n">
        <v>673.25</v>
      </c>
      <c r="S1715" t="n">
        <v>199.01</v>
      </c>
      <c r="T1715" t="n">
        <v>0</v>
      </c>
      <c r="U1715" t="n">
        <v>5624.72</v>
      </c>
      <c r="V1715" t="inlineStr">
        <is>
          <t>No Conference Fees</t>
        </is>
      </c>
      <c r="W1715" t="inlineStr">
        <is>
          <t>Pas de frais de conférence</t>
        </is>
      </c>
      <c r="X1715" t="inlineStr">
        <is>
          <t>aafc-aac</t>
        </is>
      </c>
      <c r="Y1715" t="inlineStr">
        <is>
          <t>Agriculture and Agri-Food Canada | Agriculture et Agroalimentaire Canada</t>
        </is>
      </c>
      <c r="Z1715" t="n">
        <v>5</v>
      </c>
      <c r="AA1715" t="n">
        <v>5624.72</v>
      </c>
      <c r="AB1715">
        <f>ROUND(U1715-AA1715,2)</f>
        <v/>
      </c>
      <c r="AC1715" t="b">
        <v>0</v>
      </c>
      <c r="AD1715">
        <f>IF(U1715="","MISSING_TOTAL",IF(ABS(AB1715)&lt;=0.01,"OK","CHECK"))</f>
        <v/>
      </c>
      <c r="AE1715">
        <f>IF(U1715="","MISSING",IF(AND(AA1715&gt;0,U1715/AA1715&gt;50),"POSSIBLE_SCALE_ERROR","OK"))</f>
        <v/>
      </c>
    </row>
    <row r="1716">
      <c r="A1716" t="inlineStr">
        <is>
          <t>T-2022-P3-0010</t>
        </is>
      </c>
      <c r="B1716" t="inlineStr">
        <is>
          <t>MPSES</t>
        </is>
      </c>
      <c r="C1716" t="inlineStr">
        <is>
          <t>Driver</t>
        </is>
      </c>
      <c r="D1716" t="inlineStr">
        <is>
          <t>Chauffeur</t>
        </is>
      </c>
      <c r="E1716" t="inlineStr">
        <is>
          <t>Michel Gendreau</t>
        </is>
      </c>
      <c r="F1716" t="inlineStr">
        <is>
          <t>Drive the Minister from Ottawa back to her riding</t>
        </is>
      </c>
      <c r="G1716" t="inlineStr">
        <is>
          <t>Conduire la Ministre d'Ottawa à sa circonscription</t>
        </is>
      </c>
      <c r="H1716" s="1" t="n">
        <v>44686</v>
      </c>
      <c r="I1716" s="1" t="n">
        <v>44686</v>
      </c>
      <c r="J1716" t="inlineStr">
        <is>
          <t>Sherbrooke (Quebec) Canada</t>
        </is>
      </c>
      <c r="K1716" t="inlineStr">
        <is>
          <t>Sherbrooke (Québec) Canada</t>
        </is>
      </c>
      <c r="P1716" t="n">
        <v>0</v>
      </c>
      <c r="Q1716" t="n">
        <v>6</v>
      </c>
      <c r="R1716" t="n">
        <v>0</v>
      </c>
      <c r="S1716" t="n">
        <v>54.4</v>
      </c>
      <c r="T1716" t="n">
        <v>0</v>
      </c>
      <c r="U1716" t="n">
        <v>60.4</v>
      </c>
      <c r="V1716" t="inlineStr">
        <is>
          <t>No conference fee</t>
        </is>
      </c>
      <c r="W1716" t="inlineStr">
        <is>
          <t>Pas de frais d'enregistrement</t>
        </is>
      </c>
      <c r="X1716" t="inlineStr">
        <is>
          <t>aafc-aac</t>
        </is>
      </c>
      <c r="Y1716" t="inlineStr">
        <is>
          <t>Agriculture and Agri-Food Canada | Agriculture et Agroalimentaire Canada</t>
        </is>
      </c>
      <c r="Z1716" t="n">
        <v>1</v>
      </c>
      <c r="AA1716" t="n">
        <v>60.4</v>
      </c>
      <c r="AB1716">
        <f>ROUND(U1716-AA1716,2)</f>
        <v/>
      </c>
      <c r="AC1716" t="b">
        <v>0</v>
      </c>
      <c r="AD1716">
        <f>IF(U1716="","MISSING_TOTAL",IF(ABS(AB1716)&lt;=0.01,"OK","CHECK"))</f>
        <v/>
      </c>
      <c r="AE1716">
        <f>IF(U1716="","MISSING",IF(AND(AA1716&gt;0,U1716/AA1716&gt;50),"POSSIBLE_SCALE_ERROR","OK"))</f>
        <v/>
      </c>
    </row>
    <row r="1717">
      <c r="A1717" t="inlineStr">
        <is>
          <t>T-2022-P3-0011</t>
        </is>
      </c>
      <c r="B1717" t="inlineStr">
        <is>
          <t>MPSES</t>
        </is>
      </c>
      <c r="C1717" t="inlineStr">
        <is>
          <t>Driver</t>
        </is>
      </c>
      <c r="D1717" t="inlineStr">
        <is>
          <t>Chauffeur</t>
        </is>
      </c>
      <c r="E1717" t="inlineStr">
        <is>
          <t>Michel Gendreau</t>
        </is>
      </c>
      <c r="F1717" t="inlineStr">
        <is>
          <t>Drive the Minister from her riding to Ottawa</t>
        </is>
      </c>
      <c r="G1717" t="inlineStr">
        <is>
          <t>Conduire la Ministre de sa circonscription à Ottawa</t>
        </is>
      </c>
      <c r="H1717" s="1" t="n">
        <v>44689</v>
      </c>
      <c r="I1717" s="1" t="n">
        <v>44690</v>
      </c>
      <c r="J1717" t="inlineStr">
        <is>
          <t>Sherbrooke (Quebec) Canada</t>
        </is>
      </c>
      <c r="K1717" t="inlineStr">
        <is>
          <t>Sherbrooke (Québec) Canada</t>
        </is>
      </c>
      <c r="P1717" t="n">
        <v>0</v>
      </c>
      <c r="Q1717" t="n">
        <v>6</v>
      </c>
      <c r="R1717" t="n">
        <v>121.38</v>
      </c>
      <c r="S1717" t="n">
        <v>76.3</v>
      </c>
      <c r="T1717" t="n">
        <v>0</v>
      </c>
      <c r="U1717" t="n">
        <v>203.68</v>
      </c>
      <c r="V1717" t="inlineStr">
        <is>
          <t>No conference fee</t>
        </is>
      </c>
      <c r="W1717" t="inlineStr">
        <is>
          <t>Pas de frais d'enregistrement</t>
        </is>
      </c>
      <c r="X1717" t="inlineStr">
        <is>
          <t>aafc-aac</t>
        </is>
      </c>
      <c r="Y1717" t="inlineStr">
        <is>
          <t>Agriculture and Agri-Food Canada | Agriculture et Agroalimentaire Canada</t>
        </is>
      </c>
      <c r="Z1717" t="n">
        <v>2</v>
      </c>
      <c r="AA1717" t="n">
        <v>203.68</v>
      </c>
      <c r="AB1717">
        <f>ROUND(U1717-AA1717,2)</f>
        <v/>
      </c>
      <c r="AC1717" t="b">
        <v>0</v>
      </c>
      <c r="AD1717">
        <f>IF(U1717="","MISSING_TOTAL",IF(ABS(AB1717)&lt;=0.01,"OK","CHECK"))</f>
        <v/>
      </c>
      <c r="AE1717">
        <f>IF(U1717="","MISSING",IF(AND(AA1717&gt;0,U1717/AA1717&gt;50),"POSSIBLE_SCALE_ERROR","OK"))</f>
        <v/>
      </c>
    </row>
    <row r="1718">
      <c r="A1718" t="inlineStr">
        <is>
          <t>T-2022-P3-0012</t>
        </is>
      </c>
      <c r="B1718" t="inlineStr">
        <is>
          <t>MPSES</t>
        </is>
      </c>
      <c r="C1718" t="inlineStr">
        <is>
          <t>Driver</t>
        </is>
      </c>
      <c r="D1718" t="inlineStr">
        <is>
          <t>Chauffeur</t>
        </is>
      </c>
      <c r="E1718" t="inlineStr">
        <is>
          <t>Michel Gendreau</t>
        </is>
      </c>
      <c r="F1718" t="inlineStr">
        <is>
          <t>Drive the Minister from Ottawa back to her riding</t>
        </is>
      </c>
      <c r="G1718" t="inlineStr">
        <is>
          <t>Conduire la Ministre d'Ottawa à sa circonscription</t>
        </is>
      </c>
      <c r="H1718" s="1" t="n">
        <v>44701</v>
      </c>
      <c r="I1718" s="1" t="n">
        <v>44701</v>
      </c>
      <c r="J1718" t="inlineStr">
        <is>
          <t>Sherbrooke (Quebec) Canada</t>
        </is>
      </c>
      <c r="K1718" t="inlineStr">
        <is>
          <t>Sherbrooke (Québec) Canada</t>
        </is>
      </c>
      <c r="P1718" t="n">
        <v>0</v>
      </c>
      <c r="Q1718" t="n">
        <v>6</v>
      </c>
      <c r="R1718" t="n">
        <v>0</v>
      </c>
      <c r="S1718" t="n">
        <v>54.4</v>
      </c>
      <c r="T1718" t="n">
        <v>0</v>
      </c>
      <c r="U1718" t="n">
        <v>60.4</v>
      </c>
      <c r="V1718" t="inlineStr">
        <is>
          <t>No conference fee</t>
        </is>
      </c>
      <c r="W1718" t="inlineStr">
        <is>
          <t>Pas de frais d'enregistrement</t>
        </is>
      </c>
      <c r="X1718" t="inlineStr">
        <is>
          <t>aafc-aac</t>
        </is>
      </c>
      <c r="Y1718" t="inlineStr">
        <is>
          <t>Agriculture and Agri-Food Canada | Agriculture et Agroalimentaire Canada</t>
        </is>
      </c>
      <c r="Z1718" t="n">
        <v>1</v>
      </c>
      <c r="AA1718" t="n">
        <v>60.4</v>
      </c>
      <c r="AB1718">
        <f>ROUND(U1718-AA1718,2)</f>
        <v/>
      </c>
      <c r="AC1718" t="b">
        <v>0</v>
      </c>
      <c r="AD1718">
        <f>IF(U1718="","MISSING_TOTAL",IF(ABS(AB1718)&lt;=0.01,"OK","CHECK"))</f>
        <v/>
      </c>
      <c r="AE1718">
        <f>IF(U1718="","MISSING",IF(AND(AA1718&gt;0,U1718/AA1718&gt;50),"POSSIBLE_SCALE_ERROR","OK"))</f>
        <v/>
      </c>
    </row>
    <row r="1719">
      <c r="A1719" t="inlineStr">
        <is>
          <t>T-2022-P3-0013</t>
        </is>
      </c>
      <c r="B1719" t="inlineStr">
        <is>
          <t>MPSES</t>
        </is>
      </c>
      <c r="C1719" t="inlineStr">
        <is>
          <t>Driver</t>
        </is>
      </c>
      <c r="D1719" t="inlineStr">
        <is>
          <t>Chauffeur</t>
        </is>
      </c>
      <c r="E1719" t="inlineStr">
        <is>
          <t>Michel Gendreau</t>
        </is>
      </c>
      <c r="F1719" t="inlineStr">
        <is>
          <t>Drive the Minister from her riding to the Montréal Airport</t>
        </is>
      </c>
      <c r="G1719" t="inlineStr">
        <is>
          <t>Conduire la Ministre de sa circonscription à l'aéroport de Montréal</t>
        </is>
      </c>
      <c r="H1719" s="1" t="n">
        <v>44704</v>
      </c>
      <c r="I1719" s="1" t="n">
        <v>44704</v>
      </c>
      <c r="J1719" t="inlineStr">
        <is>
          <t>Sherbrooke (Quebec) Canada; Montréal (Quebec) Canada</t>
        </is>
      </c>
      <c r="K1719" t="inlineStr">
        <is>
          <t>Sherbrooke (Québec) Canada; Montréal (Québec) Canada</t>
        </is>
      </c>
      <c r="P1719" t="n">
        <v>0</v>
      </c>
      <c r="Q1719" t="n">
        <v>3</v>
      </c>
      <c r="R1719" t="n">
        <v>0</v>
      </c>
      <c r="S1719" t="n">
        <v>54.4</v>
      </c>
      <c r="T1719" t="n">
        <v>0</v>
      </c>
      <c r="U1719" t="n">
        <v>57.4</v>
      </c>
      <c r="V1719" t="inlineStr">
        <is>
          <t>No conference fee</t>
        </is>
      </c>
      <c r="W1719" t="inlineStr">
        <is>
          <t>Pas de frais d'enregistrement</t>
        </is>
      </c>
      <c r="X1719" t="inlineStr">
        <is>
          <t>aafc-aac</t>
        </is>
      </c>
      <c r="Y1719" t="inlineStr">
        <is>
          <t>Agriculture and Agri-Food Canada | Agriculture et Agroalimentaire Canada</t>
        </is>
      </c>
      <c r="Z1719" t="n">
        <v>1</v>
      </c>
      <c r="AA1719" t="n">
        <v>57.4</v>
      </c>
      <c r="AB1719">
        <f>ROUND(U1719-AA1719,2)</f>
        <v/>
      </c>
      <c r="AC1719" t="b">
        <v>0</v>
      </c>
      <c r="AD1719">
        <f>IF(U1719="","MISSING_TOTAL",IF(ABS(AB1719)&lt;=0.01,"OK","CHECK"))</f>
        <v/>
      </c>
      <c r="AE1719">
        <f>IF(U1719="","MISSING",IF(AND(AA1719&gt;0,U1719/AA1719&gt;50),"POSSIBLE_SCALE_ERROR","OK"))</f>
        <v/>
      </c>
    </row>
    <row r="1720">
      <c r="A1720" t="inlineStr">
        <is>
          <t>T-2022-P3-0014</t>
        </is>
      </c>
      <c r="B1720" t="inlineStr">
        <is>
          <t>MPSES</t>
        </is>
      </c>
      <c r="C1720" t="inlineStr">
        <is>
          <t>Driver</t>
        </is>
      </c>
      <c r="D1720" t="inlineStr">
        <is>
          <t>Chauffeur</t>
        </is>
      </c>
      <c r="E1720" t="inlineStr">
        <is>
          <t>Michel Gendreau</t>
        </is>
      </c>
      <c r="F1720" t="inlineStr">
        <is>
          <t>Drive the Minister from the Montréal Airport back to her riding</t>
        </is>
      </c>
      <c r="G1720" t="inlineStr">
        <is>
          <t>Conduire la Ministre de l'aéroport de Montréal à sa circonscription</t>
        </is>
      </c>
      <c r="H1720" s="1" t="n">
        <v>44708</v>
      </c>
      <c r="I1720" s="1" t="n">
        <v>44708</v>
      </c>
      <c r="J1720" t="inlineStr">
        <is>
          <t>Montréal (Quebec) Canada; Sherbrooke (Quebec) Canada</t>
        </is>
      </c>
      <c r="K1720" t="inlineStr">
        <is>
          <t>Montréal (Québec) Canada; Sherbrooke (Québec) Canada</t>
        </is>
      </c>
      <c r="P1720" t="n">
        <v>0</v>
      </c>
      <c r="Q1720" t="n">
        <v>48</v>
      </c>
      <c r="R1720" t="n">
        <v>0</v>
      </c>
      <c r="S1720" t="n">
        <v>0</v>
      </c>
      <c r="T1720" t="n">
        <v>0</v>
      </c>
      <c r="U1720" t="n">
        <v>48</v>
      </c>
      <c r="V1720" t="inlineStr">
        <is>
          <t>No conference fee</t>
        </is>
      </c>
      <c r="W1720" t="inlineStr">
        <is>
          <t>Pas de frais d'enregistrement</t>
        </is>
      </c>
      <c r="X1720" t="inlineStr">
        <is>
          <t>aafc-aac</t>
        </is>
      </c>
      <c r="Y1720" t="inlineStr">
        <is>
          <t>Agriculture and Agri-Food Canada | Agriculture et Agroalimentaire Canada</t>
        </is>
      </c>
      <c r="Z1720" t="n">
        <v>1</v>
      </c>
      <c r="AA1720" t="n">
        <v>48</v>
      </c>
      <c r="AB1720">
        <f>ROUND(U1720-AA1720,2)</f>
        <v/>
      </c>
      <c r="AC1720" t="b">
        <v>0</v>
      </c>
      <c r="AD1720">
        <f>IF(U1720="","MISSING_TOTAL",IF(ABS(AB1720)&lt;=0.01,"OK","CHECK"))</f>
        <v/>
      </c>
      <c r="AE1720">
        <f>IF(U1720="","MISSING",IF(AND(AA1720&gt;0,U1720/AA1720&gt;50),"POSSIBLE_SCALE_ERROR","OK"))</f>
        <v/>
      </c>
    </row>
    <row r="1721">
      <c r="A1721" t="inlineStr">
        <is>
          <t>T-2022-P3-0015</t>
        </is>
      </c>
      <c r="B1721" t="inlineStr">
        <is>
          <t>MPSES</t>
        </is>
      </c>
      <c r="C1721" t="inlineStr">
        <is>
          <t>Driver</t>
        </is>
      </c>
      <c r="D1721" t="inlineStr">
        <is>
          <t>Chauffeur</t>
        </is>
      </c>
      <c r="E1721" t="inlineStr">
        <is>
          <t>Michel Gendreau</t>
        </is>
      </c>
      <c r="F1721" t="inlineStr">
        <is>
          <t>Drive the Minister from her riding to Ottawa</t>
        </is>
      </c>
      <c r="G1721" t="inlineStr">
        <is>
          <t>Conduire la Ministre de sa circonscription à Ottawa</t>
        </is>
      </c>
      <c r="H1721" s="1" t="n">
        <v>44711</v>
      </c>
      <c r="I1721" s="1" t="n">
        <v>44712</v>
      </c>
      <c r="J1721" t="inlineStr">
        <is>
          <t>Sherbrooke (Quebec) Canada</t>
        </is>
      </c>
      <c r="K1721" t="inlineStr">
        <is>
          <t>Sherbrooke (Québec) Canada</t>
        </is>
      </c>
      <c r="P1721" t="n">
        <v>0</v>
      </c>
      <c r="Q1721" t="n">
        <v>6</v>
      </c>
      <c r="R1721" t="n">
        <v>121.38</v>
      </c>
      <c r="S1721" t="n">
        <v>76.3</v>
      </c>
      <c r="T1721" t="n">
        <v>0</v>
      </c>
      <c r="U1721" t="n">
        <v>203.68</v>
      </c>
      <c r="V1721" t="inlineStr">
        <is>
          <t>No conference fee</t>
        </is>
      </c>
      <c r="W1721" t="inlineStr">
        <is>
          <t>Pas de frais d'enregistrement</t>
        </is>
      </c>
      <c r="X1721" t="inlineStr">
        <is>
          <t>aafc-aac</t>
        </is>
      </c>
      <c r="Y1721" t="inlineStr">
        <is>
          <t>Agriculture and Agri-Food Canada | Agriculture et Agroalimentaire Canada</t>
        </is>
      </c>
      <c r="Z1721" t="n">
        <v>2</v>
      </c>
      <c r="AA1721" t="n">
        <v>203.68</v>
      </c>
      <c r="AB1721">
        <f>ROUND(U1721-AA1721,2)</f>
        <v/>
      </c>
      <c r="AC1721" t="b">
        <v>0</v>
      </c>
      <c r="AD1721">
        <f>IF(U1721="","MISSING_TOTAL",IF(ABS(AB1721)&lt;=0.01,"OK","CHECK"))</f>
        <v/>
      </c>
      <c r="AE1721">
        <f>IF(U1721="","MISSING",IF(AND(AA1721&gt;0,U1721/AA1721&gt;50),"POSSIBLE_SCALE_ERROR","OK"))</f>
        <v/>
      </c>
    </row>
    <row r="1722">
      <c r="A1722" t="inlineStr">
        <is>
          <t>T-2022-P3-0016</t>
        </is>
      </c>
      <c r="B1722" t="inlineStr">
        <is>
          <t>MPSES</t>
        </is>
      </c>
      <c r="C1722" t="inlineStr">
        <is>
          <t>Driver</t>
        </is>
      </c>
      <c r="D1722" t="inlineStr">
        <is>
          <t>Chauffeur</t>
        </is>
      </c>
      <c r="E1722" t="inlineStr">
        <is>
          <t>Michel Gendreau</t>
        </is>
      </c>
      <c r="F1722" t="inlineStr">
        <is>
          <t>Drive the Minister from Ottawa back to her riding</t>
        </is>
      </c>
      <c r="G1722" t="inlineStr">
        <is>
          <t>Conduire la Ministre d'Ottawa à sa circonscription</t>
        </is>
      </c>
      <c r="H1722" s="1" t="n">
        <v>44715</v>
      </c>
      <c r="I1722" s="1" t="n">
        <v>44715</v>
      </c>
      <c r="J1722" t="inlineStr">
        <is>
          <t>Sherbrooke (Quebec) Canada</t>
        </is>
      </c>
      <c r="K1722" t="inlineStr">
        <is>
          <t>Sherbrooke (Québec) Canada</t>
        </is>
      </c>
      <c r="P1722" t="n">
        <v>0</v>
      </c>
      <c r="Q1722" t="n">
        <v>6</v>
      </c>
      <c r="R1722" t="n">
        <v>0</v>
      </c>
      <c r="S1722" t="n">
        <v>54.4</v>
      </c>
      <c r="T1722" t="n">
        <v>0</v>
      </c>
      <c r="U1722" t="n">
        <v>60.4</v>
      </c>
      <c r="V1722" t="inlineStr">
        <is>
          <t>No conference fee</t>
        </is>
      </c>
      <c r="W1722" t="inlineStr">
        <is>
          <t>Pas de frais d'enregistrement</t>
        </is>
      </c>
      <c r="X1722" t="inlineStr">
        <is>
          <t>aafc-aac</t>
        </is>
      </c>
      <c r="Y1722" t="inlineStr">
        <is>
          <t>Agriculture and Agri-Food Canada | Agriculture et Agroalimentaire Canada</t>
        </is>
      </c>
      <c r="Z1722" t="n">
        <v>1</v>
      </c>
      <c r="AA1722" t="n">
        <v>60.4</v>
      </c>
      <c r="AB1722">
        <f>ROUND(U1722-AA1722,2)</f>
        <v/>
      </c>
      <c r="AC1722" t="b">
        <v>0</v>
      </c>
      <c r="AD1722">
        <f>IF(U1722="","MISSING_TOTAL",IF(ABS(AB1722)&lt;=0.01,"OK","CHECK"))</f>
        <v/>
      </c>
      <c r="AE1722">
        <f>IF(U1722="","MISSING",IF(AND(AA1722&gt;0,U1722/AA1722&gt;50),"POSSIBLE_SCALE_ERROR","OK"))</f>
        <v/>
      </c>
    </row>
    <row r="1723">
      <c r="A1723" t="inlineStr">
        <is>
          <t>T-2022-P3-0017</t>
        </is>
      </c>
      <c r="B1723" t="inlineStr">
        <is>
          <t>MPSES</t>
        </is>
      </c>
      <c r="C1723" t="inlineStr">
        <is>
          <t>Driver</t>
        </is>
      </c>
      <c r="D1723" t="inlineStr">
        <is>
          <t>Chauffeur</t>
        </is>
      </c>
      <c r="E1723" t="inlineStr">
        <is>
          <t>Michel Gendreau</t>
        </is>
      </c>
      <c r="F1723" t="inlineStr">
        <is>
          <t>Drive the Minister from her riding to Ottawa</t>
        </is>
      </c>
      <c r="G1723" t="inlineStr">
        <is>
          <t>Conduire la Ministre de sa circonscription à Ottawa</t>
        </is>
      </c>
      <c r="H1723" s="1" t="n">
        <v>44718</v>
      </c>
      <c r="I1723" s="1" t="n">
        <v>44719</v>
      </c>
      <c r="J1723" t="inlineStr">
        <is>
          <t>Sherbrooke (Quebec) Canada</t>
        </is>
      </c>
      <c r="K1723" t="inlineStr">
        <is>
          <t>Sherbrooke (Québec) Canada</t>
        </is>
      </c>
      <c r="P1723" t="n">
        <v>0</v>
      </c>
      <c r="Q1723" t="n">
        <v>6</v>
      </c>
      <c r="R1723" t="n">
        <v>192.13</v>
      </c>
      <c r="S1723" t="n">
        <v>76.3</v>
      </c>
      <c r="T1723" t="n">
        <v>0</v>
      </c>
      <c r="U1723" t="n">
        <v>274.43</v>
      </c>
      <c r="V1723" t="inlineStr">
        <is>
          <t>No conference fee</t>
        </is>
      </c>
      <c r="W1723" t="inlineStr">
        <is>
          <t>Pas de frais d'enregistrement</t>
        </is>
      </c>
      <c r="X1723" t="inlineStr">
        <is>
          <t>aafc-aac</t>
        </is>
      </c>
      <c r="Y1723" t="inlineStr">
        <is>
          <t>Agriculture and Agri-Food Canada | Agriculture et Agroalimentaire Canada</t>
        </is>
      </c>
      <c r="Z1723" t="n">
        <v>2</v>
      </c>
      <c r="AA1723" t="n">
        <v>274.43</v>
      </c>
      <c r="AB1723">
        <f>ROUND(U1723-AA1723,2)</f>
        <v/>
      </c>
      <c r="AC1723" t="b">
        <v>0</v>
      </c>
      <c r="AD1723">
        <f>IF(U1723="","MISSING_TOTAL",IF(ABS(AB1723)&lt;=0.01,"OK","CHECK"))</f>
        <v/>
      </c>
      <c r="AE1723">
        <f>IF(U1723="","MISSING",IF(AND(AA1723&gt;0,U1723/AA1723&gt;50),"POSSIBLE_SCALE_ERROR","OK"))</f>
        <v/>
      </c>
    </row>
    <row r="1724">
      <c r="A1724" t="inlineStr">
        <is>
          <t>T-2022-P3-0018</t>
        </is>
      </c>
      <c r="B1724" t="inlineStr">
        <is>
          <t>MPSES</t>
        </is>
      </c>
      <c r="C1724" t="inlineStr">
        <is>
          <t>Driver</t>
        </is>
      </c>
      <c r="D1724" t="inlineStr">
        <is>
          <t>Chauffeur</t>
        </is>
      </c>
      <c r="E1724" t="inlineStr">
        <is>
          <t>Michel Gendreau</t>
        </is>
      </c>
      <c r="F1724" t="inlineStr">
        <is>
          <t>Drive the Minister from her riding to the Montréal Airport</t>
        </is>
      </c>
      <c r="G1724" t="inlineStr">
        <is>
          <t>Conduire la Ministre de sa circonscription à l'aéroport de Montréal</t>
        </is>
      </c>
      <c r="H1724" s="1" t="n">
        <v>44724</v>
      </c>
      <c r="I1724" s="1" t="n">
        <v>44724</v>
      </c>
      <c r="J1724" t="inlineStr">
        <is>
          <t>Sherbrooke (Quebec) Canada; Montréal (Quebec) Canada</t>
        </is>
      </c>
      <c r="K1724" t="inlineStr">
        <is>
          <t>Sherbrooke (Québec) Canada; Montréal (Québec) Canada</t>
        </is>
      </c>
      <c r="P1724" t="n">
        <v>0</v>
      </c>
      <c r="Q1724" t="n">
        <v>3</v>
      </c>
      <c r="R1724" t="n">
        <v>0</v>
      </c>
      <c r="S1724" t="n">
        <v>76.3</v>
      </c>
      <c r="T1724" t="n">
        <v>0</v>
      </c>
      <c r="U1724" t="n">
        <v>79.3</v>
      </c>
      <c r="V1724" t="inlineStr">
        <is>
          <t>No conference fee</t>
        </is>
      </c>
      <c r="W1724" t="inlineStr">
        <is>
          <t>Pas de frais d'enregistrement</t>
        </is>
      </c>
      <c r="X1724" t="inlineStr">
        <is>
          <t>aafc-aac</t>
        </is>
      </c>
      <c r="Y1724" t="inlineStr">
        <is>
          <t>Agriculture and Agri-Food Canada | Agriculture et Agroalimentaire Canada</t>
        </is>
      </c>
      <c r="Z1724" t="n">
        <v>1</v>
      </c>
      <c r="AA1724" t="n">
        <v>79.3</v>
      </c>
      <c r="AB1724">
        <f>ROUND(U1724-AA1724,2)</f>
        <v/>
      </c>
      <c r="AC1724" t="b">
        <v>0</v>
      </c>
      <c r="AD1724">
        <f>IF(U1724="","MISSING_TOTAL",IF(ABS(AB1724)&lt;=0.01,"OK","CHECK"))</f>
        <v/>
      </c>
      <c r="AE1724">
        <f>IF(U1724="","MISSING",IF(AND(AA1724&gt;0,U1724/AA1724&gt;50),"POSSIBLE_SCALE_ERROR","OK"))</f>
        <v/>
      </c>
    </row>
    <row r="1725">
      <c r="A1725" t="inlineStr">
        <is>
          <t>T-2022-P3-0019</t>
        </is>
      </c>
      <c r="B1725" t="inlineStr">
        <is>
          <t>MPSES</t>
        </is>
      </c>
      <c r="C1725" t="inlineStr">
        <is>
          <t>Driver</t>
        </is>
      </c>
      <c r="D1725" t="inlineStr">
        <is>
          <t>Chauffeur</t>
        </is>
      </c>
      <c r="E1725" t="inlineStr">
        <is>
          <t>Michel Gendreau</t>
        </is>
      </c>
      <c r="F1725" t="inlineStr">
        <is>
          <t>Drive the Minister from Ottawa back to her riding</t>
        </is>
      </c>
      <c r="G1725" t="inlineStr">
        <is>
          <t>Conduire la Ministre d'Ottawa à sa circonscription</t>
        </is>
      </c>
      <c r="H1725" s="1" t="n">
        <v>44727</v>
      </c>
      <c r="I1725" s="1" t="n">
        <v>44727</v>
      </c>
      <c r="J1725" t="inlineStr">
        <is>
          <t>Sherbrooke (Quebec) Canada</t>
        </is>
      </c>
      <c r="K1725" t="inlineStr">
        <is>
          <t>Sherbrooke (Québec) Canada</t>
        </is>
      </c>
      <c r="P1725" t="n">
        <v>0</v>
      </c>
      <c r="Q1725" t="n">
        <v>6</v>
      </c>
      <c r="R1725" t="n">
        <v>0</v>
      </c>
      <c r="S1725" t="n">
        <v>22.15</v>
      </c>
      <c r="T1725" t="n">
        <v>0</v>
      </c>
      <c r="U1725" t="n">
        <v>28.15</v>
      </c>
      <c r="V1725" t="inlineStr">
        <is>
          <t>No conference fee</t>
        </is>
      </c>
      <c r="W1725" t="inlineStr">
        <is>
          <t>Pas de frais d'enregistrement</t>
        </is>
      </c>
      <c r="X1725" t="inlineStr">
        <is>
          <t>aafc-aac</t>
        </is>
      </c>
      <c r="Y1725" t="inlineStr">
        <is>
          <t>Agriculture and Agri-Food Canada | Agriculture et Agroalimentaire Canada</t>
        </is>
      </c>
      <c r="Z1725" t="n">
        <v>1</v>
      </c>
      <c r="AA1725" t="n">
        <v>28.15</v>
      </c>
      <c r="AB1725">
        <f>ROUND(U1725-AA1725,2)</f>
        <v/>
      </c>
      <c r="AC1725" t="b">
        <v>0</v>
      </c>
      <c r="AD1725">
        <f>IF(U1725="","MISSING_TOTAL",IF(ABS(AB1725)&lt;=0.01,"OK","CHECK"))</f>
        <v/>
      </c>
      <c r="AE1725">
        <f>IF(U1725="","MISSING",IF(AND(AA1725&gt;0,U1725/AA1725&gt;50),"POSSIBLE_SCALE_ERROR","OK"))</f>
        <v/>
      </c>
    </row>
    <row r="1726">
      <c r="A1726" t="inlineStr">
        <is>
          <t>T-2022-P3-0020</t>
        </is>
      </c>
      <c r="B1726" t="inlineStr">
        <is>
          <t>MPSES</t>
        </is>
      </c>
      <c r="C1726" t="inlineStr">
        <is>
          <t>Driver</t>
        </is>
      </c>
      <c r="D1726" t="inlineStr">
        <is>
          <t>Chauffeur</t>
        </is>
      </c>
      <c r="E1726" t="inlineStr">
        <is>
          <t>Michel Gendreau</t>
        </is>
      </c>
      <c r="F1726" t="inlineStr">
        <is>
          <t>Drive the Minister from her riding to Ottawa</t>
        </is>
      </c>
      <c r="G1726" t="inlineStr">
        <is>
          <t>Conduire la Ministre de sa circonscription à Ottawa</t>
        </is>
      </c>
      <c r="H1726" s="1" t="n">
        <v>44731</v>
      </c>
      <c r="I1726" s="1" t="n">
        <v>44732</v>
      </c>
      <c r="J1726" t="inlineStr">
        <is>
          <t>Sherbrooke (Quebec) Canada</t>
        </is>
      </c>
      <c r="K1726" t="inlineStr">
        <is>
          <t>Sherbrooke (Québec) Canada</t>
        </is>
      </c>
      <c r="P1726" t="n">
        <v>0</v>
      </c>
      <c r="Q1726" t="n">
        <v>6</v>
      </c>
      <c r="R1726" t="n">
        <v>121.38</v>
      </c>
      <c r="S1726" t="n">
        <v>76.3</v>
      </c>
      <c r="T1726" t="n">
        <v>0</v>
      </c>
      <c r="U1726" t="n">
        <v>203.68</v>
      </c>
      <c r="V1726" t="inlineStr">
        <is>
          <t>No conference fee</t>
        </is>
      </c>
      <c r="W1726" t="inlineStr">
        <is>
          <t>Pas de frais d'enregistrement</t>
        </is>
      </c>
      <c r="X1726" t="inlineStr">
        <is>
          <t>aafc-aac</t>
        </is>
      </c>
      <c r="Y1726" t="inlineStr">
        <is>
          <t>Agriculture and Agri-Food Canada | Agriculture et Agroalimentaire Canada</t>
        </is>
      </c>
      <c r="Z1726" t="n">
        <v>2</v>
      </c>
      <c r="AA1726" t="n">
        <v>203.68</v>
      </c>
      <c r="AB1726">
        <f>ROUND(U1726-AA1726,2)</f>
        <v/>
      </c>
      <c r="AC1726" t="b">
        <v>0</v>
      </c>
      <c r="AD1726">
        <f>IF(U1726="","MISSING_TOTAL",IF(ABS(AB1726)&lt;=0.01,"OK","CHECK"))</f>
        <v/>
      </c>
      <c r="AE1726">
        <f>IF(U1726="","MISSING",IF(AND(AA1726&gt;0,U1726/AA1726&gt;50),"POSSIBLE_SCALE_ERROR","OK"))</f>
        <v/>
      </c>
    </row>
    <row r="1727">
      <c r="A1727" t="inlineStr">
        <is>
          <t>T-2022-P3-0021</t>
        </is>
      </c>
      <c r="B1727" t="inlineStr">
        <is>
          <t>MPSES</t>
        </is>
      </c>
      <c r="C1727" t="inlineStr">
        <is>
          <t>Director of Communications</t>
        </is>
      </c>
      <c r="D1727" t="inlineStr">
        <is>
          <t>Directrice des communications</t>
        </is>
      </c>
      <c r="E1727" t="inlineStr">
        <is>
          <t>Allison St-Jean</t>
        </is>
      </c>
      <c r="F1727" t="inlineStr">
        <is>
          <t>To accompany the Minister to the G7 summit in Germany</t>
        </is>
      </c>
      <c r="G1727" t="inlineStr">
        <is>
          <t>Pour accompagner la ministre au sommet du G7 en Allemagne</t>
        </is>
      </c>
      <c r="H1727" s="1" t="n">
        <v>44692</v>
      </c>
      <c r="I1727" s="1" t="n">
        <v>44696</v>
      </c>
      <c r="J1727" t="inlineStr">
        <is>
          <t>Stuttgart, Germany</t>
        </is>
      </c>
      <c r="K1727" t="inlineStr">
        <is>
          <t>Stuttgart, Allemagne</t>
        </is>
      </c>
      <c r="P1727" t="n">
        <v>4706.36</v>
      </c>
      <c r="Q1727" t="n">
        <v>0</v>
      </c>
      <c r="R1727" t="n">
        <v>673.25</v>
      </c>
      <c r="S1727" t="n">
        <v>199.01</v>
      </c>
      <c r="T1727" t="n">
        <v>0</v>
      </c>
      <c r="U1727" t="n">
        <v>5578.62</v>
      </c>
      <c r="V1727" t="inlineStr">
        <is>
          <t>No Conference Fees</t>
        </is>
      </c>
      <c r="W1727" t="inlineStr">
        <is>
          <t>Pas de frais de conférence</t>
        </is>
      </c>
      <c r="X1727" t="inlineStr">
        <is>
          <t>aafc-aac</t>
        </is>
      </c>
      <c r="Y1727" t="inlineStr">
        <is>
          <t>Agriculture and Agri-Food Canada | Agriculture et Agroalimentaire Canada</t>
        </is>
      </c>
      <c r="Z1727" t="n">
        <v>5</v>
      </c>
      <c r="AA1727" t="n">
        <v>5578.62</v>
      </c>
      <c r="AB1727">
        <f>ROUND(U1727-AA1727,2)</f>
        <v/>
      </c>
      <c r="AC1727" t="b">
        <v>0</v>
      </c>
      <c r="AD1727">
        <f>IF(U1727="","MISSING_TOTAL",IF(ABS(AB1727)&lt;=0.01,"OK","CHECK"))</f>
        <v/>
      </c>
      <c r="AE1727">
        <f>IF(U1727="","MISSING",IF(AND(AA1727&gt;0,U1727/AA1727&gt;50),"POSSIBLE_SCALE_ERROR","OK"))</f>
        <v/>
      </c>
    </row>
    <row r="1728">
      <c r="A1728" t="inlineStr">
        <is>
          <t>T-2022-P3-0022</t>
        </is>
      </c>
      <c r="B1728" t="inlineStr">
        <is>
          <t>SLE</t>
        </is>
      </c>
      <c r="C1728" t="inlineStr">
        <is>
          <t>Associate Deputy Minister</t>
        </is>
      </c>
      <c r="D1728" t="inlineStr">
        <is>
          <t>Sous-ministre délégué</t>
        </is>
      </c>
      <c r="E1728" t="inlineStr">
        <is>
          <t>Paul Samson</t>
        </is>
      </c>
      <c r="F1728" t="inlineStr">
        <is>
          <t>To attend the AGRI appearance on Parliament Hill</t>
        </is>
      </c>
      <c r="G1728" t="inlineStr">
        <is>
          <t>Pour assister à la comparution d'AGRI sur la Colline du Parlement</t>
        </is>
      </c>
      <c r="H1728" s="1" t="n">
        <v>44700</v>
      </c>
      <c r="I1728" s="1" t="n">
        <v>44700</v>
      </c>
      <c r="J1728" t="inlineStr">
        <is>
          <t>Ottawa (Ontario) Canada</t>
        </is>
      </c>
      <c r="K1728" t="inlineStr">
        <is>
          <t>Ottawa (Ontario) Canada</t>
        </is>
      </c>
      <c r="P1728" t="n">
        <v>0</v>
      </c>
      <c r="Q1728" t="n">
        <v>26.31</v>
      </c>
      <c r="R1728" t="n">
        <v>0</v>
      </c>
      <c r="S1728" t="n">
        <v>0</v>
      </c>
      <c r="T1728" t="n">
        <v>0</v>
      </c>
      <c r="U1728" t="n">
        <v>26.31</v>
      </c>
      <c r="V1728" t="inlineStr">
        <is>
          <t>No conference fee</t>
        </is>
      </c>
      <c r="W1728" t="inlineStr">
        <is>
          <t>Pas de frais d'enregistrement</t>
        </is>
      </c>
      <c r="X1728" t="inlineStr">
        <is>
          <t>aafc-aac</t>
        </is>
      </c>
      <c r="Y1728" t="inlineStr">
        <is>
          <t>Agriculture and Agri-Food Canada | Agriculture et Agroalimentaire Canada</t>
        </is>
      </c>
      <c r="Z1728" t="n">
        <v>1</v>
      </c>
      <c r="AA1728" t="n">
        <v>26.31</v>
      </c>
      <c r="AB1728">
        <f>ROUND(U1728-AA1728,2)</f>
        <v/>
      </c>
      <c r="AC1728" t="b">
        <v>0</v>
      </c>
      <c r="AD1728">
        <f>IF(U1728="","MISSING_TOTAL",IF(ABS(AB1728)&lt;=0.01,"OK","CHECK"))</f>
        <v/>
      </c>
      <c r="AE1728">
        <f>IF(U1728="","MISSING",IF(AND(AA1728&gt;0,U1728/AA1728&gt;50),"POSSIBLE_SCALE_ERROR","OK"))</f>
        <v/>
      </c>
    </row>
    <row r="1729">
      <c r="A1729" t="inlineStr">
        <is>
          <t>T-2022-P3-0023</t>
        </is>
      </c>
      <c r="B1729" t="inlineStr">
        <is>
          <t>SLE</t>
        </is>
      </c>
      <c r="C1729" t="inlineStr">
        <is>
          <t>Assistant Deputy Minister, Corporate Management Branch</t>
        </is>
      </c>
      <c r="D1729" t="inlineStr">
        <is>
          <t>Sous-ministre adjointe, Direction générale de la gestion intégrée</t>
        </is>
      </c>
      <c r="E1729" t="inlineStr">
        <is>
          <t>Marie-Claude Guérard</t>
        </is>
      </c>
      <c r="F1729" t="inlineStr">
        <is>
          <t>Standing Committee on Agriculture and Agri-Food</t>
        </is>
      </c>
      <c r="G1729" t="inlineStr">
        <is>
          <t>Comité permanent de l’agriculture et de l’agroalimentaire</t>
        </is>
      </c>
      <c r="H1729" s="1" t="n">
        <v>44699</v>
      </c>
      <c r="I1729" s="1" t="n">
        <v>44700</v>
      </c>
      <c r="J1729" t="inlineStr">
        <is>
          <t>Ottawa (Ontario) Canada</t>
        </is>
      </c>
      <c r="K1729" t="inlineStr">
        <is>
          <t>Ottawa (Ontario) Canada</t>
        </is>
      </c>
      <c r="P1729" t="n">
        <v>0</v>
      </c>
      <c r="Q1729" t="n">
        <v>361.88</v>
      </c>
      <c r="R1729" t="n">
        <v>233.86</v>
      </c>
      <c r="S1729" t="n">
        <v>231.5</v>
      </c>
      <c r="T1729" t="n">
        <v>0</v>
      </c>
      <c r="U1729" t="n">
        <v>827.24</v>
      </c>
      <c r="X1729" t="inlineStr">
        <is>
          <t>aafc-aac</t>
        </is>
      </c>
      <c r="Y1729" t="inlineStr">
        <is>
          <t>Agriculture and Agri-Food Canada | Agriculture et Agroalimentaire Canada</t>
        </is>
      </c>
      <c r="Z1729" t="n">
        <v>2</v>
      </c>
      <c r="AA1729" t="n">
        <v>827.24</v>
      </c>
      <c r="AB1729">
        <f>ROUND(U1729-AA1729,2)</f>
        <v/>
      </c>
      <c r="AC1729" t="b">
        <v>0</v>
      </c>
      <c r="AD1729">
        <f>IF(U1729="","MISSING_TOTAL",IF(ABS(AB1729)&lt;=0.01,"OK","CHECK"))</f>
        <v/>
      </c>
      <c r="AE1729">
        <f>IF(U1729="","MISSING",IF(AND(AA1729&gt;0,U1729/AA1729&gt;50),"POSSIBLE_SCALE_ERROR","OK"))</f>
        <v/>
      </c>
    </row>
    <row r="1730">
      <c r="A1730" t="inlineStr">
        <is>
          <t>T-2022-P3-0024</t>
        </is>
      </c>
      <c r="B1730" t="inlineStr">
        <is>
          <t>SLE</t>
        </is>
      </c>
      <c r="C1730" t="inlineStr">
        <is>
          <t>Assistant Deputy Minister, Corporate Management Branch</t>
        </is>
      </c>
      <c r="D1730" t="inlineStr">
        <is>
          <t>Sous-ministre adjointe, Direction générale de la gestion intégrée</t>
        </is>
      </c>
      <c r="E1730" t="inlineStr">
        <is>
          <t>Marie-Claude Guérard</t>
        </is>
      </c>
      <c r="F1730" t="inlineStr">
        <is>
          <t>In-person security briefing</t>
        </is>
      </c>
      <c r="G1730" t="inlineStr">
        <is>
          <t>Briefing de sécurité en personne</t>
        </is>
      </c>
      <c r="H1730" s="1" t="n">
        <v>44707</v>
      </c>
      <c r="I1730" s="1" t="n">
        <v>44708</v>
      </c>
      <c r="J1730" t="inlineStr">
        <is>
          <t>Ottawa (Ontario) Canada</t>
        </is>
      </c>
      <c r="K1730" t="inlineStr">
        <is>
          <t>Ottawa (Ontario) Canada</t>
        </is>
      </c>
      <c r="P1730" t="n">
        <v>0</v>
      </c>
      <c r="Q1730" t="n">
        <v>332.34</v>
      </c>
      <c r="R1730" t="n">
        <v>233.86</v>
      </c>
      <c r="S1730" t="n">
        <v>159.8</v>
      </c>
      <c r="T1730" t="n">
        <v>0</v>
      </c>
      <c r="U1730" t="n">
        <v>726</v>
      </c>
      <c r="X1730" t="inlineStr">
        <is>
          <t>aafc-aac</t>
        </is>
      </c>
      <c r="Y1730" t="inlineStr">
        <is>
          <t>Agriculture and Agri-Food Canada | Agriculture et Agroalimentaire Canada</t>
        </is>
      </c>
      <c r="Z1730" t="n">
        <v>2</v>
      </c>
      <c r="AA1730" t="n">
        <v>726</v>
      </c>
      <c r="AB1730">
        <f>ROUND(U1730-AA1730,2)</f>
        <v/>
      </c>
      <c r="AC1730" t="b">
        <v>0</v>
      </c>
      <c r="AD1730">
        <f>IF(U1730="","MISSING_TOTAL",IF(ABS(AB1730)&lt;=0.01,"OK","CHECK"))</f>
        <v/>
      </c>
      <c r="AE1730">
        <f>IF(U1730="","MISSING",IF(AND(AA1730&gt;0,U1730/AA1730&gt;50),"POSSIBLE_SCALE_ERROR","OK"))</f>
        <v/>
      </c>
    </row>
    <row r="1731">
      <c r="A1731" t="inlineStr">
        <is>
          <t>T-2022-P3-0025</t>
        </is>
      </c>
      <c r="B1731" t="inlineStr">
        <is>
          <t>SLE</t>
        </is>
      </c>
      <c r="C1731" t="inlineStr">
        <is>
          <t>Assistant Deputy Minister, Corporate Management Branch</t>
        </is>
      </c>
      <c r="D1731" t="inlineStr">
        <is>
          <t>Sous-ministre adjointe, Direction générale de la gestion intégrée</t>
        </is>
      </c>
      <c r="E1731" t="inlineStr">
        <is>
          <t>Marie-Claude Guérard</t>
        </is>
      </c>
      <c r="F1731" t="inlineStr">
        <is>
          <t>Site visit and meetings</t>
        </is>
      </c>
      <c r="G1731" t="inlineStr">
        <is>
          <t>Visite de site et reunions</t>
        </is>
      </c>
      <c r="H1731" s="1" t="n">
        <v>44720</v>
      </c>
      <c r="I1731" s="1" t="n">
        <v>44722</v>
      </c>
      <c r="J1731" t="inlineStr">
        <is>
          <t>Ottawa (Ontario) Canada</t>
        </is>
      </c>
      <c r="K1731" t="inlineStr">
        <is>
          <t>Ottawa (Ontario) Canada</t>
        </is>
      </c>
      <c r="P1731" t="n">
        <v>0</v>
      </c>
      <c r="Q1731" t="n">
        <v>400.56</v>
      </c>
      <c r="R1731" t="n">
        <v>467.72</v>
      </c>
      <c r="S1731" t="n">
        <v>347.25</v>
      </c>
      <c r="T1731" t="n">
        <v>0</v>
      </c>
      <c r="U1731" t="n">
        <v>1215.53</v>
      </c>
      <c r="X1731" t="inlineStr">
        <is>
          <t>aafc-aac</t>
        </is>
      </c>
      <c r="Y1731" t="inlineStr">
        <is>
          <t>Agriculture and Agri-Food Canada | Agriculture et Agroalimentaire Canada</t>
        </is>
      </c>
      <c r="Z1731" t="n">
        <v>3</v>
      </c>
      <c r="AA1731" t="n">
        <v>1215.53</v>
      </c>
      <c r="AB1731">
        <f>ROUND(U1731-AA1731,2)</f>
        <v/>
      </c>
      <c r="AC1731" t="b">
        <v>0</v>
      </c>
      <c r="AD1731">
        <f>IF(U1731="","MISSING_TOTAL",IF(ABS(AB1731)&lt;=0.01,"OK","CHECK"))</f>
        <v/>
      </c>
      <c r="AE1731">
        <f>IF(U1731="","MISSING",IF(AND(AA1731&gt;0,U1731/AA1731&gt;50),"POSSIBLE_SCALE_ERROR","OK"))</f>
        <v/>
      </c>
    </row>
    <row r="1732">
      <c r="A1732" t="inlineStr">
        <is>
          <t>T-2022-P3-0026</t>
        </is>
      </c>
      <c r="B1732" t="inlineStr">
        <is>
          <t>SLE</t>
        </is>
      </c>
      <c r="C1732" t="inlineStr">
        <is>
          <t>Assistant Deputy Minister, Public Affairs Branch</t>
        </is>
      </c>
      <c r="D1732" t="inlineStr">
        <is>
          <t>Sous-ministre adjointe, Direction générale des affaires publiques</t>
        </is>
      </c>
      <c r="E1732" t="inlineStr">
        <is>
          <t>Mary Dila</t>
        </is>
      </c>
      <c r="F1732" t="inlineStr">
        <is>
          <t>Attend ADM ELDP</t>
        </is>
      </c>
      <c r="G1732" t="inlineStr">
        <is>
          <t>Participer au PDLCS SMA</t>
        </is>
      </c>
      <c r="H1732" s="1" t="n">
        <v>44713</v>
      </c>
      <c r="I1732" s="1" t="n">
        <v>44716</v>
      </c>
      <c r="J1732" t="inlineStr">
        <is>
          <t>Washington (D.C.) United States</t>
        </is>
      </c>
      <c r="K1732" t="inlineStr">
        <is>
          <t>Washington (D.C.) États-Unis</t>
        </is>
      </c>
      <c r="P1732" t="n">
        <v>1232.06</v>
      </c>
      <c r="Q1732" t="n">
        <v>117.02</v>
      </c>
      <c r="R1732" t="n">
        <v>1157.19</v>
      </c>
      <c r="S1732" t="n">
        <v>571.26</v>
      </c>
      <c r="T1732" t="n">
        <v>200</v>
      </c>
      <c r="U1732" t="n">
        <v>3277.53</v>
      </c>
      <c r="X1732" t="inlineStr">
        <is>
          <t>aafc-aac</t>
        </is>
      </c>
      <c r="Y1732" t="inlineStr">
        <is>
          <t>Agriculture and Agri-Food Canada | Agriculture et Agroalimentaire Canada</t>
        </is>
      </c>
      <c r="Z1732" t="n">
        <v>4</v>
      </c>
      <c r="AA1732" t="n">
        <v>3277.52999999999</v>
      </c>
      <c r="AB1732">
        <f>ROUND(U1732-AA1732,2)</f>
        <v/>
      </c>
      <c r="AC1732" t="b">
        <v>0</v>
      </c>
      <c r="AD1732">
        <f>IF(U1732="","MISSING_TOTAL",IF(ABS(AB1732)&lt;=0.01,"OK","CHECK"))</f>
        <v/>
      </c>
      <c r="AE1732">
        <f>IF(U1732="","MISSING",IF(AND(AA1732&gt;0,U1732/AA1732&gt;50),"POSSIBLE_SCALE_ERROR","OK"))</f>
        <v/>
      </c>
    </row>
    <row r="1733">
      <c r="A1733" t="inlineStr">
        <is>
          <t>T-2022-P3-0027</t>
        </is>
      </c>
      <c r="B1733" t="inlineStr">
        <is>
          <t>SLE</t>
        </is>
      </c>
      <c r="C1733" t="inlineStr">
        <is>
          <t>Assistant Deputy Minister, Programs Branch</t>
        </is>
      </c>
      <c r="D1733" t="inlineStr">
        <is>
          <t>Sous-ministre adjointe, Direction générale des programmes</t>
        </is>
      </c>
      <c r="E1733" t="inlineStr">
        <is>
          <t>Liz Foster</t>
        </is>
      </c>
      <c r="F1733" t="inlineStr">
        <is>
          <t>Attend ADM ELDP</t>
        </is>
      </c>
      <c r="G1733" t="inlineStr">
        <is>
          <t>Participer au PDLCS SMA</t>
        </is>
      </c>
      <c r="H1733" s="1" t="n">
        <v>44713</v>
      </c>
      <c r="I1733" s="1" t="n">
        <v>44716</v>
      </c>
      <c r="J1733" t="inlineStr">
        <is>
          <t>Washington (D.C.) United States</t>
        </is>
      </c>
      <c r="K1733" t="inlineStr">
        <is>
          <t>Washington (D.C.) États-Unis</t>
        </is>
      </c>
      <c r="P1733" t="n">
        <v>848.17</v>
      </c>
      <c r="Q1733" t="n">
        <v>124.58</v>
      </c>
      <c r="R1733" t="n">
        <v>1119.17</v>
      </c>
      <c r="S1733" t="n">
        <v>478.06</v>
      </c>
      <c r="T1733" t="n">
        <v>40</v>
      </c>
      <c r="U1733" t="n">
        <v>2609.98</v>
      </c>
      <c r="X1733" t="inlineStr">
        <is>
          <t>aafc-aac</t>
        </is>
      </c>
      <c r="Y1733" t="inlineStr">
        <is>
          <t>Agriculture and Agri-Food Canada | Agriculture et Agroalimentaire Canada</t>
        </is>
      </c>
      <c r="Z1733" t="n">
        <v>4</v>
      </c>
      <c r="AA1733" t="n">
        <v>2609.98</v>
      </c>
      <c r="AB1733">
        <f>ROUND(U1733-AA1733,2)</f>
        <v/>
      </c>
      <c r="AC1733" t="b">
        <v>0</v>
      </c>
      <c r="AD1733">
        <f>IF(U1733="","MISSING_TOTAL",IF(ABS(AB1733)&lt;=0.01,"OK","CHECK"))</f>
        <v/>
      </c>
      <c r="AE1733">
        <f>IF(U1733="","MISSING",IF(AND(AA1733&gt;0,U1733/AA1733&gt;50),"POSSIBLE_SCALE_ERROR","OK"))</f>
        <v/>
      </c>
    </row>
    <row r="1734">
      <c r="A1734" t="inlineStr">
        <is>
          <t>T-2022-P3-0028</t>
        </is>
      </c>
      <c r="B1734" t="inlineStr">
        <is>
          <t>SLE</t>
        </is>
      </c>
      <c r="C1734" t="inlineStr">
        <is>
          <t>Assistant Deputy Minister, Market and Industry Services Branch</t>
        </is>
      </c>
      <c r="D1734" t="inlineStr">
        <is>
          <t>Sous-ministre adjoint, Direction générale des services à l'industrie et aux marchés</t>
        </is>
      </c>
      <c r="E1734" t="inlineStr">
        <is>
          <t>Tom Rosser</t>
        </is>
      </c>
      <c r="F1734" t="inlineStr">
        <is>
          <t>Participate in regional outreach</t>
        </is>
      </c>
      <c r="G1734" t="inlineStr">
        <is>
          <t>Participer à la sensibilisation régionale.</t>
        </is>
      </c>
      <c r="H1734" s="1" t="n">
        <v>44698</v>
      </c>
      <c r="I1734" s="1" t="n">
        <v>44699</v>
      </c>
      <c r="J1734" t="inlineStr">
        <is>
          <t>Vancouver (British Columbia) Canada</t>
        </is>
      </c>
      <c r="K1734" t="inlineStr">
        <is>
          <t>Vancouver (Colombie-Britannique) Canada</t>
        </is>
      </c>
      <c r="P1734" t="n">
        <v>0</v>
      </c>
      <c r="Q1734" t="n">
        <v>143</v>
      </c>
      <c r="R1734" t="n">
        <v>351.33</v>
      </c>
      <c r="S1734" t="n">
        <v>61.35</v>
      </c>
      <c r="T1734" t="n">
        <v>0</v>
      </c>
      <c r="U1734" t="n">
        <v>555.6799999999999</v>
      </c>
      <c r="X1734" t="inlineStr">
        <is>
          <t>aafc-aac</t>
        </is>
      </c>
      <c r="Y1734" t="inlineStr">
        <is>
          <t>Agriculture and Agri-Food Canada | Agriculture et Agroalimentaire Canada</t>
        </is>
      </c>
      <c r="Z1734" t="n">
        <v>2</v>
      </c>
      <c r="AA1734" t="n">
        <v>555.6799999999999</v>
      </c>
      <c r="AB1734">
        <f>ROUND(U1734-AA1734,2)</f>
        <v/>
      </c>
      <c r="AC1734" t="b">
        <v>0</v>
      </c>
      <c r="AD1734">
        <f>IF(U1734="","MISSING_TOTAL",IF(ABS(AB1734)&lt;=0.01,"OK","CHECK"))</f>
        <v/>
      </c>
      <c r="AE1734">
        <f>IF(U1734="","MISSING",IF(AND(AA1734&gt;0,U1734/AA1734&gt;50),"POSSIBLE_SCALE_ERROR","OK"))</f>
        <v/>
      </c>
    </row>
    <row r="1735">
      <c r="A1735" t="inlineStr">
        <is>
          <t>T-2022-P4-0001</t>
        </is>
      </c>
      <c r="B1735" t="inlineStr">
        <is>
          <t>MPSES</t>
        </is>
      </c>
      <c r="C1735" t="inlineStr">
        <is>
          <t>Minister</t>
        </is>
      </c>
      <c r="D1735" t="inlineStr">
        <is>
          <t>Ministre</t>
        </is>
      </c>
      <c r="E1735" t="inlineStr">
        <is>
          <t>Marie-Claude Bibeau</t>
        </is>
      </c>
      <c r="F1735" t="inlineStr">
        <is>
          <t>To attend an outreach in Regina, Saskatoon and Vancouver</t>
        </is>
      </c>
      <c r="G1735" t="inlineStr">
        <is>
          <t>Pour assister à une campagne de sensibilisation à Regina, Saskatoon et Vancouver</t>
        </is>
      </c>
      <c r="H1735" s="1" t="n">
        <v>44704</v>
      </c>
      <c r="I1735" s="1" t="n">
        <v>44707</v>
      </c>
      <c r="J1735" t="inlineStr">
        <is>
          <t>Regina (Saskatchewan) Canada
Saskatoon (Saskatchewan) Canada
Vancouver (British Columbia) Canada</t>
        </is>
      </c>
      <c r="K1735" t="inlineStr">
        <is>
          <t>Régina (Saskatchewan) Canada
Saskatoon (Saskatchewan) Canada
Vancouver (Colombie-Britannique) Canada</t>
        </is>
      </c>
      <c r="P1735" t="n">
        <v>1928.58</v>
      </c>
      <c r="Q1735" t="n">
        <v>0</v>
      </c>
      <c r="R1735" t="n">
        <v>613.21</v>
      </c>
      <c r="S1735" t="n">
        <v>327.6</v>
      </c>
      <c r="T1735" t="n">
        <v>0</v>
      </c>
      <c r="U1735" t="n">
        <v>2869.39</v>
      </c>
      <c r="V1735" t="inlineStr">
        <is>
          <t>No Conference Fees</t>
        </is>
      </c>
      <c r="W1735" t="inlineStr">
        <is>
          <t>Pas de frais de conférence</t>
        </is>
      </c>
      <c r="X1735" t="inlineStr">
        <is>
          <t>aafc-aac</t>
        </is>
      </c>
      <c r="Y1735" t="inlineStr">
        <is>
          <t>Agriculture and Agri-Food Canada | Agriculture et Agroalimentaire Canada</t>
        </is>
      </c>
      <c r="Z1735" t="n">
        <v>4</v>
      </c>
      <c r="AA1735" t="n">
        <v>2869.39</v>
      </c>
      <c r="AB1735">
        <f>ROUND(U1735-AA1735,2)</f>
        <v/>
      </c>
      <c r="AC1735" t="b">
        <v>0</v>
      </c>
      <c r="AD1735">
        <f>IF(U1735="","MISSING_TOTAL",IF(ABS(AB1735)&lt;=0.01,"OK","CHECK"))</f>
        <v/>
      </c>
      <c r="AE1735">
        <f>IF(U1735="","MISSING",IF(AND(AA1735&gt;0,U1735/AA1735&gt;50),"POSSIBLE_SCALE_ERROR","OK"))</f>
        <v/>
      </c>
    </row>
    <row r="1736">
      <c r="A1736" t="inlineStr">
        <is>
          <t>T-2022-P4-0002</t>
        </is>
      </c>
      <c r="B1736" t="inlineStr">
        <is>
          <t>MPSES</t>
        </is>
      </c>
      <c r="C1736" t="inlineStr">
        <is>
          <t>Minister</t>
        </is>
      </c>
      <c r="D1736" t="inlineStr">
        <is>
          <t>Ministre</t>
        </is>
      </c>
      <c r="E1736" t="inlineStr">
        <is>
          <t>Marie-Claude Bibeau</t>
        </is>
      </c>
      <c r="F1736" t="inlineStr">
        <is>
          <t>To attend the Quebec Summer Tour</t>
        </is>
      </c>
      <c r="G1736" t="inlineStr">
        <is>
          <t>Pour assister à la tournée estivale du Québec</t>
        </is>
      </c>
      <c r="H1736" s="1" t="n">
        <v>44739</v>
      </c>
      <c r="I1736" s="1" t="n">
        <v>44740</v>
      </c>
      <c r="J1736" t="inlineStr">
        <is>
          <t>Quebec (Quebec) Canada</t>
        </is>
      </c>
      <c r="K1736" t="inlineStr">
        <is>
          <t>Québec (Québec) Canada</t>
        </is>
      </c>
      <c r="P1736" t="n">
        <v>0</v>
      </c>
      <c r="Q1736" t="n">
        <v>0</v>
      </c>
      <c r="R1736" t="n">
        <v>213.13</v>
      </c>
      <c r="S1736" t="n">
        <v>120.6</v>
      </c>
      <c r="T1736" t="n">
        <v>0</v>
      </c>
      <c r="U1736" t="n">
        <v>333.73</v>
      </c>
      <c r="V1736" t="inlineStr">
        <is>
          <t>No Conference Fees</t>
        </is>
      </c>
      <c r="W1736" t="inlineStr">
        <is>
          <t>Pas de frais de conférence</t>
        </is>
      </c>
      <c r="X1736" t="inlineStr">
        <is>
          <t>aafc-aac</t>
        </is>
      </c>
      <c r="Y1736" t="inlineStr">
        <is>
          <t>Agriculture and Agri-Food Canada | Agriculture et Agroalimentaire Canada</t>
        </is>
      </c>
      <c r="Z1736" t="n">
        <v>2</v>
      </c>
      <c r="AA1736" t="n">
        <v>333.73</v>
      </c>
      <c r="AB1736">
        <f>ROUND(U1736-AA1736,2)</f>
        <v/>
      </c>
      <c r="AC1736" t="b">
        <v>0</v>
      </c>
      <c r="AD1736">
        <f>IF(U1736="","MISSING_TOTAL",IF(ABS(AB1736)&lt;=0.01,"OK","CHECK"))</f>
        <v/>
      </c>
      <c r="AE1736">
        <f>IF(U1736="","MISSING",IF(AND(AA1736&gt;0,U1736/AA1736&gt;50),"POSSIBLE_SCALE_ERROR","OK"))</f>
        <v/>
      </c>
    </row>
    <row r="1737">
      <c r="A1737" t="inlineStr">
        <is>
          <t>T-2022-P4-0003</t>
        </is>
      </c>
      <c r="B1737" t="inlineStr">
        <is>
          <t>MPSES</t>
        </is>
      </c>
      <c r="C1737" t="inlineStr">
        <is>
          <t>Senior Advisor</t>
        </is>
      </c>
      <c r="D1737" t="inlineStr">
        <is>
          <t>Conseiller principal</t>
        </is>
      </c>
      <c r="E1737" t="inlineStr">
        <is>
          <t>Abed Harb</t>
        </is>
      </c>
      <c r="F1737" t="inlineStr">
        <is>
          <t>To accompany the Minister at the Calgary Stampede</t>
        </is>
      </c>
      <c r="G1737" t="inlineStr">
        <is>
          <t>Pour accompagner la ministre au Stampede de Calgary</t>
        </is>
      </c>
      <c r="H1737" s="1" t="n">
        <v>44754</v>
      </c>
      <c r="I1737" s="1" t="n">
        <v>44754</v>
      </c>
      <c r="J1737" t="inlineStr">
        <is>
          <t>Calgary (Alberta) Canada</t>
        </is>
      </c>
      <c r="K1737" t="inlineStr">
        <is>
          <t>Calgary (Alberta) Canada</t>
        </is>
      </c>
      <c r="P1737" t="n">
        <v>0</v>
      </c>
      <c r="Q1737" t="n">
        <v>0</v>
      </c>
      <c r="R1737" t="n">
        <v>246.46</v>
      </c>
      <c r="S1737" t="n">
        <v>0</v>
      </c>
      <c r="T1737" t="n">
        <v>0</v>
      </c>
      <c r="U1737" t="n">
        <v>246.46</v>
      </c>
      <c r="V1737" t="inlineStr">
        <is>
          <t>No conference fee.</t>
        </is>
      </c>
      <c r="W1737" t="inlineStr">
        <is>
          <t>Pas de frais d'enregistrement</t>
        </is>
      </c>
      <c r="X1737" t="inlineStr">
        <is>
          <t>aafc-aac</t>
        </is>
      </c>
      <c r="Y1737" t="inlineStr">
        <is>
          <t>Agriculture and Agri-Food Canada | Agriculture et Agroalimentaire Canada</t>
        </is>
      </c>
      <c r="Z1737" t="n">
        <v>1</v>
      </c>
      <c r="AA1737" t="n">
        <v>246.46</v>
      </c>
      <c r="AB1737">
        <f>ROUND(U1737-AA1737,2)</f>
        <v/>
      </c>
      <c r="AC1737" t="b">
        <v>0</v>
      </c>
      <c r="AD1737">
        <f>IF(U1737="","MISSING_TOTAL",IF(ABS(AB1737)&lt;=0.01,"OK","CHECK"))</f>
        <v/>
      </c>
      <c r="AE1737">
        <f>IF(U1737="","MISSING",IF(AND(AA1737&gt;0,U1737/AA1737&gt;50),"POSSIBLE_SCALE_ERROR","OK"))</f>
        <v/>
      </c>
    </row>
    <row r="1738">
      <c r="A1738" t="inlineStr">
        <is>
          <t>T-2022-P4-0004</t>
        </is>
      </c>
      <c r="B1738" t="inlineStr">
        <is>
          <t>MPSES</t>
        </is>
      </c>
      <c r="C1738" t="inlineStr">
        <is>
          <t>Press Secretary</t>
        </is>
      </c>
      <c r="D1738" t="inlineStr">
        <is>
          <t>Attachée de presse</t>
        </is>
      </c>
      <c r="E1738" t="inlineStr">
        <is>
          <t>Marianne Dandurand</t>
        </is>
      </c>
      <c r="F1738" t="inlineStr">
        <is>
          <t>To accompany the Minister on an outreach in Regina, Saskatoon and Vancouver</t>
        </is>
      </c>
      <c r="G1738" t="inlineStr">
        <is>
          <t>Accompagner la ministre lors d'une campagne de sensibilisation à Regina, Saskatoon et Vancouver</t>
        </is>
      </c>
      <c r="H1738" s="1" t="n">
        <v>44704</v>
      </c>
      <c r="I1738" s="1" t="n">
        <v>44707</v>
      </c>
      <c r="J1738" t="inlineStr">
        <is>
          <t>Regina (Saskatchewan) Canada
Saskatoon (Saskatchewan) Canada
Vancouver (British Columbia) Canada</t>
        </is>
      </c>
      <c r="K1738" t="inlineStr">
        <is>
          <t>Regina (Saskatchewan) Canada
Saskatoon (Saskatchewan) Canada
Vancouver (Colombie-Britannique) Canada</t>
        </is>
      </c>
      <c r="P1738" t="n">
        <v>1762.83</v>
      </c>
      <c r="Q1738" t="n">
        <v>33.4</v>
      </c>
      <c r="R1738" t="n">
        <v>613.21</v>
      </c>
      <c r="S1738" t="n">
        <v>349.75</v>
      </c>
      <c r="T1738" t="n">
        <v>0</v>
      </c>
      <c r="U1738" t="n">
        <v>2759.19</v>
      </c>
      <c r="V1738" t="inlineStr">
        <is>
          <t>No Conference Fees</t>
        </is>
      </c>
      <c r="W1738" t="inlineStr">
        <is>
          <t>Pas de frais de conférence</t>
        </is>
      </c>
      <c r="X1738" t="inlineStr">
        <is>
          <t>aafc-aac</t>
        </is>
      </c>
      <c r="Y1738" t="inlineStr">
        <is>
          <t>Agriculture and Agri-Food Canada | Agriculture et Agroalimentaire Canada</t>
        </is>
      </c>
      <c r="Z1738" t="n">
        <v>4</v>
      </c>
      <c r="AA1738" t="n">
        <v>2759.19</v>
      </c>
      <c r="AB1738">
        <f>ROUND(U1738-AA1738,2)</f>
        <v/>
      </c>
      <c r="AC1738" t="b">
        <v>0</v>
      </c>
      <c r="AD1738">
        <f>IF(U1738="","MISSING_TOTAL",IF(ABS(AB1738)&lt;=0.01,"OK","CHECK"))</f>
        <v/>
      </c>
      <c r="AE1738">
        <f>IF(U1738="","MISSING",IF(AND(AA1738&gt;0,U1738/AA1738&gt;50),"POSSIBLE_SCALE_ERROR","OK"))</f>
        <v/>
      </c>
    </row>
    <row r="1739">
      <c r="A1739" t="inlineStr">
        <is>
          <t>T-2022-P4-0005</t>
        </is>
      </c>
      <c r="B1739" t="inlineStr">
        <is>
          <t>MPSES</t>
        </is>
      </c>
      <c r="C1739" t="inlineStr">
        <is>
          <t>Press Secretary</t>
        </is>
      </c>
      <c r="D1739" t="inlineStr">
        <is>
          <t>Attachée de presse</t>
        </is>
      </c>
      <c r="E1739" t="inlineStr">
        <is>
          <t>Marianne Dandurand</t>
        </is>
      </c>
      <c r="F1739" t="inlineStr">
        <is>
          <t>To accompany the Minister for the Quebec Summer Tour</t>
        </is>
      </c>
      <c r="G1739" t="inlineStr">
        <is>
          <t>Pour accompagner la ministre pour la tournée estivale du Québec</t>
        </is>
      </c>
      <c r="H1739" s="1" t="n">
        <v>44739</v>
      </c>
      <c r="I1739" s="1" t="n">
        <v>44740</v>
      </c>
      <c r="J1739" t="inlineStr">
        <is>
          <t>Quebec (Quebec) Canada</t>
        </is>
      </c>
      <c r="K1739" t="inlineStr">
        <is>
          <t>Québec (Québec) Canada</t>
        </is>
      </c>
      <c r="P1739" t="n">
        <v>0</v>
      </c>
      <c r="Q1739" t="n">
        <v>0</v>
      </c>
      <c r="R1739" t="n">
        <v>202.41</v>
      </c>
      <c r="S1739" t="n">
        <v>196.9</v>
      </c>
      <c r="T1739" t="n">
        <v>0</v>
      </c>
      <c r="U1739" t="n">
        <v>399.31</v>
      </c>
      <c r="V1739" t="inlineStr">
        <is>
          <t>No Conference Fees</t>
        </is>
      </c>
      <c r="W1739" t="inlineStr">
        <is>
          <t>Pas de frais de conférence</t>
        </is>
      </c>
      <c r="X1739" t="inlineStr">
        <is>
          <t>aafc-aac</t>
        </is>
      </c>
      <c r="Y1739" t="inlineStr">
        <is>
          <t>Agriculture and Agri-Food Canada | Agriculture et Agroalimentaire Canada</t>
        </is>
      </c>
      <c r="Z1739" t="n">
        <v>2</v>
      </c>
      <c r="AA1739" t="n">
        <v>399.31</v>
      </c>
      <c r="AB1739">
        <f>ROUND(U1739-AA1739,2)</f>
        <v/>
      </c>
      <c r="AC1739" t="b">
        <v>0</v>
      </c>
      <c r="AD1739">
        <f>IF(U1739="","MISSING_TOTAL",IF(ABS(AB1739)&lt;=0.01,"OK","CHECK"))</f>
        <v/>
      </c>
      <c r="AE1739">
        <f>IF(U1739="","MISSING",IF(AND(AA1739&gt;0,U1739/AA1739&gt;50),"POSSIBLE_SCALE_ERROR","OK"))</f>
        <v/>
      </c>
    </row>
    <row r="1740">
      <c r="A1740" t="inlineStr">
        <is>
          <t>T-2022-P4-0006</t>
        </is>
      </c>
      <c r="B1740" t="inlineStr">
        <is>
          <t>MPSES</t>
        </is>
      </c>
      <c r="C1740" t="inlineStr">
        <is>
          <t>Press Secretary</t>
        </is>
      </c>
      <c r="D1740" t="inlineStr">
        <is>
          <t>Attachée de presse</t>
        </is>
      </c>
      <c r="E1740" t="inlineStr">
        <is>
          <t>Marianne Dandurand</t>
        </is>
      </c>
      <c r="F1740" t="inlineStr">
        <is>
          <t>To accompany the Minister to a wine announcement and visit</t>
        </is>
      </c>
      <c r="G1740" t="inlineStr">
        <is>
          <t>Accompagner la Ministre à une annonce vinicole et visiter</t>
        </is>
      </c>
      <c r="H1740" s="1" t="n">
        <v>44741</v>
      </c>
      <c r="I1740" s="1" t="n">
        <v>44741</v>
      </c>
      <c r="J1740" t="inlineStr">
        <is>
          <t>Sherbrooke (Quebec) Canada</t>
        </is>
      </c>
      <c r="K1740" t="inlineStr">
        <is>
          <t>Sherbrooke (Québec) Canada</t>
        </is>
      </c>
      <c r="P1740" t="n">
        <v>0</v>
      </c>
      <c r="Q1740" t="n">
        <v>0</v>
      </c>
      <c r="R1740" t="n">
        <v>0</v>
      </c>
      <c r="S1740" t="n">
        <v>22.15</v>
      </c>
      <c r="T1740" t="n">
        <v>0</v>
      </c>
      <c r="U1740" t="n">
        <v>22.15</v>
      </c>
      <c r="V1740" t="inlineStr">
        <is>
          <t>No Conference Fees</t>
        </is>
      </c>
      <c r="W1740" t="inlineStr">
        <is>
          <t>Pas de frais de conférence</t>
        </is>
      </c>
      <c r="X1740" t="inlineStr">
        <is>
          <t>aafc-aac</t>
        </is>
      </c>
      <c r="Y1740" t="inlineStr">
        <is>
          <t>Agriculture and Agri-Food Canada | Agriculture et Agroalimentaire Canada</t>
        </is>
      </c>
      <c r="Z1740" t="n">
        <v>1</v>
      </c>
      <c r="AA1740" t="n">
        <v>22.15</v>
      </c>
      <c r="AB1740">
        <f>ROUND(U1740-AA1740,2)</f>
        <v/>
      </c>
      <c r="AC1740" t="b">
        <v>0</v>
      </c>
      <c r="AD1740">
        <f>IF(U1740="","MISSING_TOTAL",IF(ABS(AB1740)&lt;=0.01,"OK","CHECK"))</f>
        <v/>
      </c>
      <c r="AE1740">
        <f>IF(U1740="","MISSING",IF(AND(AA1740&gt;0,U1740/AA1740&gt;50),"POSSIBLE_SCALE_ERROR","OK"))</f>
        <v/>
      </c>
    </row>
    <row r="1741">
      <c r="A1741" t="inlineStr">
        <is>
          <t>T-2022-P4-0007</t>
        </is>
      </c>
      <c r="B1741" t="inlineStr">
        <is>
          <t>MPSES</t>
        </is>
      </c>
      <c r="C1741" t="inlineStr">
        <is>
          <t>Press Secretary</t>
        </is>
      </c>
      <c r="D1741" t="inlineStr">
        <is>
          <t>Attachée de presse</t>
        </is>
      </c>
      <c r="E1741" t="inlineStr">
        <is>
          <t>Marianne Dandurand</t>
        </is>
      </c>
      <c r="F1741" t="inlineStr">
        <is>
          <t>To accompany the Minister to a roundtable with women farmers and a visit to Living Labs</t>
        </is>
      </c>
      <c r="G1741" t="inlineStr">
        <is>
          <t>Accompagner la Ministre à une table ronde avec des agricultrices et une visite aux Living Labs</t>
        </is>
      </c>
      <c r="H1741" s="1" t="n">
        <v>44754</v>
      </c>
      <c r="I1741" s="1" t="n">
        <v>44754</v>
      </c>
      <c r="J1741" t="inlineStr">
        <is>
          <t>Saint-Léonard-d'Aston (Quebec) Canada
Baie-du-Febvre (Quebec) Canada
Drummondville (Quebec) Canada</t>
        </is>
      </c>
      <c r="K1741" t="inlineStr">
        <is>
          <t>Saint-Léonard-d'Aston (Québec) Canada
Baie-du-Febvre (Québec) Canada
Drummondville (Quebec) Canada</t>
        </is>
      </c>
      <c r="P1741" t="n">
        <v>0</v>
      </c>
      <c r="Q1741" t="n">
        <v>0</v>
      </c>
      <c r="R1741" t="n">
        <v>0</v>
      </c>
      <c r="S1741" t="n">
        <v>22.15</v>
      </c>
      <c r="T1741" t="n">
        <v>0</v>
      </c>
      <c r="U1741" t="n">
        <v>22.15</v>
      </c>
      <c r="V1741" t="inlineStr">
        <is>
          <t>No Conference Fees</t>
        </is>
      </c>
      <c r="W1741" t="inlineStr">
        <is>
          <t>Pas de frais de conférence</t>
        </is>
      </c>
      <c r="X1741" t="inlineStr">
        <is>
          <t>aafc-aac</t>
        </is>
      </c>
      <c r="Y1741" t="inlineStr">
        <is>
          <t>Agriculture and Agri-Food Canada | Agriculture et Agroalimentaire Canada</t>
        </is>
      </c>
      <c r="Z1741" t="n">
        <v>1</v>
      </c>
      <c r="AA1741" t="n">
        <v>22.15</v>
      </c>
      <c r="AB1741">
        <f>ROUND(U1741-AA1741,2)</f>
        <v/>
      </c>
      <c r="AC1741" t="b">
        <v>0</v>
      </c>
      <c r="AD1741">
        <f>IF(U1741="","MISSING_TOTAL",IF(ABS(AB1741)&lt;=0.01,"OK","CHECK"))</f>
        <v/>
      </c>
      <c r="AE1741">
        <f>IF(U1741="","MISSING",IF(AND(AA1741&gt;0,U1741/AA1741&gt;50),"POSSIBLE_SCALE_ERROR","OK"))</f>
        <v/>
      </c>
    </row>
    <row r="1742">
      <c r="A1742" t="inlineStr">
        <is>
          <t>T-2022-P4-0008</t>
        </is>
      </c>
      <c r="B1742" t="inlineStr">
        <is>
          <t>MPSES</t>
        </is>
      </c>
      <c r="C1742" t="inlineStr">
        <is>
          <t>Driver</t>
        </is>
      </c>
      <c r="D1742" t="inlineStr">
        <is>
          <t>Chauffeur</t>
        </is>
      </c>
      <c r="E1742" t="inlineStr">
        <is>
          <t>Michel Gendreau</t>
        </is>
      </c>
      <c r="F1742" t="inlineStr">
        <is>
          <t>Drive the Minister from Ottawa back to her riding</t>
        </is>
      </c>
      <c r="G1742" t="inlineStr">
        <is>
          <t>Conduire la Ministre d'Ottawa à sa circonscription</t>
        </is>
      </c>
      <c r="H1742" s="1" t="n">
        <v>44722</v>
      </c>
      <c r="I1742" s="1" t="n">
        <v>44722</v>
      </c>
      <c r="J1742" t="inlineStr">
        <is>
          <t>Sherbrooke (Quebec) Canada</t>
        </is>
      </c>
      <c r="K1742" t="inlineStr">
        <is>
          <t>Sherbrooke (Québec) Canada</t>
        </is>
      </c>
      <c r="P1742" t="n">
        <v>0</v>
      </c>
      <c r="Q1742" t="n">
        <v>6</v>
      </c>
      <c r="R1742" t="n">
        <v>0</v>
      </c>
      <c r="S1742" t="n">
        <v>54.4</v>
      </c>
      <c r="T1742" t="n">
        <v>0</v>
      </c>
      <c r="U1742" t="n">
        <v>60.4</v>
      </c>
      <c r="V1742" t="inlineStr">
        <is>
          <t>No conference fee</t>
        </is>
      </c>
      <c r="W1742" t="inlineStr">
        <is>
          <t>Pas de frais d'enregistrement</t>
        </is>
      </c>
      <c r="X1742" t="inlineStr">
        <is>
          <t>aafc-aac</t>
        </is>
      </c>
      <c r="Y1742" t="inlineStr">
        <is>
          <t>Agriculture and Agri-Food Canada | Agriculture et Agroalimentaire Canada</t>
        </is>
      </c>
      <c r="Z1742" t="n">
        <v>1</v>
      </c>
      <c r="AA1742" t="n">
        <v>60.4</v>
      </c>
      <c r="AB1742">
        <f>ROUND(U1742-AA1742,2)</f>
        <v/>
      </c>
      <c r="AC1742" t="b">
        <v>0</v>
      </c>
      <c r="AD1742">
        <f>IF(U1742="","MISSING_TOTAL",IF(ABS(AB1742)&lt;=0.01,"OK","CHECK"))</f>
        <v/>
      </c>
      <c r="AE1742">
        <f>IF(U1742="","MISSING",IF(AND(AA1742&gt;0,U1742/AA1742&gt;50),"POSSIBLE_SCALE_ERROR","OK"))</f>
        <v/>
      </c>
    </row>
    <row r="1743">
      <c r="A1743" t="inlineStr">
        <is>
          <t>T-2022-P4-0009</t>
        </is>
      </c>
      <c r="B1743" t="inlineStr">
        <is>
          <t>MPSES</t>
        </is>
      </c>
      <c r="C1743" t="inlineStr">
        <is>
          <t>Driver</t>
        </is>
      </c>
      <c r="D1743" t="inlineStr">
        <is>
          <t>Chauffeur</t>
        </is>
      </c>
      <c r="E1743" t="inlineStr">
        <is>
          <t>Michel Gendreau</t>
        </is>
      </c>
      <c r="F1743" t="inlineStr">
        <is>
          <t>Drive the Minister from Ottawa back to her riding</t>
        </is>
      </c>
      <c r="G1743" t="inlineStr">
        <is>
          <t>Conduire la Ministre d'Ottawa à sa circonscription</t>
        </is>
      </c>
      <c r="H1743" s="1" t="n">
        <v>44735</v>
      </c>
      <c r="I1743" s="1" t="n">
        <v>44735</v>
      </c>
      <c r="J1743" t="inlineStr">
        <is>
          <t>Sherbrooke (Quebec) Canada</t>
        </is>
      </c>
      <c r="K1743" t="inlineStr">
        <is>
          <t>Sherbrooke (Québec) Canada</t>
        </is>
      </c>
      <c r="P1743" t="n">
        <v>0</v>
      </c>
      <c r="Q1743" t="n">
        <v>6</v>
      </c>
      <c r="R1743" t="n">
        <v>0</v>
      </c>
      <c r="S1743" t="n">
        <v>54.4</v>
      </c>
      <c r="T1743" t="n">
        <v>0</v>
      </c>
      <c r="U1743" t="n">
        <v>60.4</v>
      </c>
      <c r="V1743" t="inlineStr">
        <is>
          <t>No conference fee</t>
        </is>
      </c>
      <c r="W1743" t="inlineStr">
        <is>
          <t>Pas de frais d'enregistrement</t>
        </is>
      </c>
      <c r="X1743" t="inlineStr">
        <is>
          <t>aafc-aac</t>
        </is>
      </c>
      <c r="Y1743" t="inlineStr">
        <is>
          <t>Agriculture and Agri-Food Canada | Agriculture et Agroalimentaire Canada</t>
        </is>
      </c>
      <c r="Z1743" t="n">
        <v>1</v>
      </c>
      <c r="AA1743" t="n">
        <v>60.4</v>
      </c>
      <c r="AB1743">
        <f>ROUND(U1743-AA1743,2)</f>
        <v/>
      </c>
      <c r="AC1743" t="b">
        <v>0</v>
      </c>
      <c r="AD1743">
        <f>IF(U1743="","MISSING_TOTAL",IF(ABS(AB1743)&lt;=0.01,"OK","CHECK"))</f>
        <v/>
      </c>
      <c r="AE1743">
        <f>IF(U1743="","MISSING",IF(AND(AA1743&gt;0,U1743/AA1743&gt;50),"POSSIBLE_SCALE_ERROR","OK"))</f>
        <v/>
      </c>
    </row>
    <row r="1744">
      <c r="A1744" t="inlineStr">
        <is>
          <t>T-2022-P4-0010</t>
        </is>
      </c>
      <c r="B1744" t="inlineStr">
        <is>
          <t>MPSES</t>
        </is>
      </c>
      <c r="C1744" t="inlineStr">
        <is>
          <t>Driver</t>
        </is>
      </c>
      <c r="D1744" t="inlineStr">
        <is>
          <t>Chauffeur</t>
        </is>
      </c>
      <c r="E1744" t="inlineStr">
        <is>
          <t>Michel Gendreau</t>
        </is>
      </c>
      <c r="F1744" t="inlineStr">
        <is>
          <t>To accompany the Minister for the Quebec Summer Tour</t>
        </is>
      </c>
      <c r="G1744" t="inlineStr">
        <is>
          <t>Pour accompagner la ministre pour la tournée estivale du Québec</t>
        </is>
      </c>
      <c r="H1744" s="1" t="n">
        <v>44738</v>
      </c>
      <c r="I1744" s="1" t="n">
        <v>44740</v>
      </c>
      <c r="J1744" t="inlineStr">
        <is>
          <t>Quebec (Quebec) Canada</t>
        </is>
      </c>
      <c r="K1744" t="inlineStr">
        <is>
          <t>Québec (Québec) Canada</t>
        </is>
      </c>
      <c r="P1744" t="n">
        <v>0</v>
      </c>
      <c r="Q1744" t="n">
        <v>6</v>
      </c>
      <c r="R1744" t="n">
        <v>323.79</v>
      </c>
      <c r="S1744" t="n">
        <v>251.3</v>
      </c>
      <c r="T1744" t="n">
        <v>0</v>
      </c>
      <c r="U1744" t="n">
        <v>581.09</v>
      </c>
      <c r="V1744" t="inlineStr">
        <is>
          <t>No conference fee</t>
        </is>
      </c>
      <c r="W1744" t="inlineStr">
        <is>
          <t>Pas de frais d'enregistrement</t>
        </is>
      </c>
      <c r="X1744" t="inlineStr">
        <is>
          <t>aafc-aac</t>
        </is>
      </c>
      <c r="Y1744" t="inlineStr">
        <is>
          <t>Agriculture and Agri-Food Canada | Agriculture et Agroalimentaire Canada</t>
        </is>
      </c>
      <c r="Z1744" t="n">
        <v>3</v>
      </c>
      <c r="AA1744" t="n">
        <v>581.09</v>
      </c>
      <c r="AB1744">
        <f>ROUND(U1744-AA1744,2)</f>
        <v/>
      </c>
      <c r="AC1744" t="b">
        <v>0</v>
      </c>
      <c r="AD1744">
        <f>IF(U1744="","MISSING_TOTAL",IF(ABS(AB1744)&lt;=0.01,"OK","CHECK"))</f>
        <v/>
      </c>
      <c r="AE1744">
        <f>IF(U1744="","MISSING",IF(AND(AA1744&gt;0,U1744/AA1744&gt;50),"POSSIBLE_SCALE_ERROR","OK"))</f>
        <v/>
      </c>
    </row>
    <row r="1745">
      <c r="A1745" t="inlineStr">
        <is>
          <t>T-2022-P4-0011</t>
        </is>
      </c>
      <c r="B1745" t="inlineStr">
        <is>
          <t>MPSES</t>
        </is>
      </c>
      <c r="C1745" t="inlineStr">
        <is>
          <t>Policy Advisor</t>
        </is>
      </c>
      <c r="D1745" t="inlineStr">
        <is>
          <t>Conseillère en politiques</t>
        </is>
      </c>
      <c r="E1745" t="inlineStr">
        <is>
          <t>Christine Harvey</t>
        </is>
      </c>
      <c r="F1745" t="inlineStr">
        <is>
          <t>To accompany the Minister to a wine announcement and visit</t>
        </is>
      </c>
      <c r="G1745" t="inlineStr">
        <is>
          <t>Accompagner la Ministre à une annonce vinicole et visiter</t>
        </is>
      </c>
      <c r="H1745" s="1" t="n">
        <v>44739</v>
      </c>
      <c r="I1745" s="1" t="n">
        <v>44740</v>
      </c>
      <c r="J1745" t="inlineStr">
        <is>
          <t>Quebec (Quebec) Canada</t>
        </is>
      </c>
      <c r="K1745" t="inlineStr">
        <is>
          <t>Québec (Québec) Canada</t>
        </is>
      </c>
      <c r="P1745" t="n">
        <v>0</v>
      </c>
      <c r="Q1745" t="n">
        <v>0</v>
      </c>
      <c r="R1745" t="n">
        <v>202.41</v>
      </c>
      <c r="S1745" t="n">
        <v>120.6</v>
      </c>
      <c r="T1745" t="n">
        <v>0</v>
      </c>
      <c r="U1745" t="n">
        <v>323.01</v>
      </c>
      <c r="V1745" t="inlineStr">
        <is>
          <t>No Conference Fees</t>
        </is>
      </c>
      <c r="W1745" t="inlineStr">
        <is>
          <t>Pas de frais de conférence</t>
        </is>
      </c>
      <c r="X1745" t="inlineStr">
        <is>
          <t>aafc-aac</t>
        </is>
      </c>
      <c r="Y1745" t="inlineStr">
        <is>
          <t>Agriculture and Agri-Food Canada | Agriculture et Agroalimentaire Canada</t>
        </is>
      </c>
      <c r="Z1745" t="n">
        <v>2</v>
      </c>
      <c r="AA1745" t="n">
        <v>323.01</v>
      </c>
      <c r="AB1745">
        <f>ROUND(U1745-AA1745,2)</f>
        <v/>
      </c>
      <c r="AC1745" t="b">
        <v>0</v>
      </c>
      <c r="AD1745">
        <f>IF(U1745="","MISSING_TOTAL",IF(ABS(AB1745)&lt;=0.01,"OK","CHECK"))</f>
        <v/>
      </c>
      <c r="AE1745">
        <f>IF(U1745="","MISSING",IF(AND(AA1745&gt;0,U1745/AA1745&gt;50),"POSSIBLE_SCALE_ERROR","OK"))</f>
        <v/>
      </c>
    </row>
    <row r="1746">
      <c r="A1746" t="inlineStr">
        <is>
          <t>T-2022-P4-0012</t>
        </is>
      </c>
      <c r="B1746" t="inlineStr">
        <is>
          <t>MPSES</t>
        </is>
      </c>
      <c r="C1746" t="inlineStr">
        <is>
          <t>Policy Advisor</t>
        </is>
      </c>
      <c r="D1746" t="inlineStr">
        <is>
          <t>Conseillère en politiques</t>
        </is>
      </c>
      <c r="E1746" t="inlineStr">
        <is>
          <t>Christine Harvey</t>
        </is>
      </c>
      <c r="F1746" t="inlineStr">
        <is>
          <t>To accompany the Minister to a roundtable with women farmers and a visit to Living Labs</t>
        </is>
      </c>
      <c r="G1746" t="inlineStr">
        <is>
          <t>Accompagner la Ministre à une table ronde avec des agricultrices et une visite aux Living Labs</t>
        </is>
      </c>
      <c r="H1746" s="1" t="n">
        <v>44754</v>
      </c>
      <c r="I1746" s="1" t="n">
        <v>44754</v>
      </c>
      <c r="J1746" t="inlineStr">
        <is>
          <t>Saint-Léonard-d'Aston (Quebec) CanadaBaie-du-Febvre (Quebec) CanadaDrummondville (Quebec) Canada</t>
        </is>
      </c>
      <c r="K1746" t="inlineStr">
        <is>
          <t>Saint-Léonard-d'Aston (Québec) CanadaBaie-du-Febvre (Québec) CanadaDrummondville (Quebec) Canada</t>
        </is>
      </c>
      <c r="P1746" t="n">
        <v>0</v>
      </c>
      <c r="Q1746" t="n">
        <v>113.68</v>
      </c>
      <c r="R1746" t="n">
        <v>0</v>
      </c>
      <c r="S1746" t="n">
        <v>22.15</v>
      </c>
      <c r="T1746" t="n">
        <v>0</v>
      </c>
      <c r="U1746" t="n">
        <v>135.83</v>
      </c>
      <c r="V1746" t="inlineStr">
        <is>
          <t>No Conference Fees</t>
        </is>
      </c>
      <c r="W1746" t="inlineStr">
        <is>
          <t>Pas de frais de conférence</t>
        </is>
      </c>
      <c r="X1746" t="inlineStr">
        <is>
          <t>aafc-aac</t>
        </is>
      </c>
      <c r="Y1746" t="inlineStr">
        <is>
          <t>Agriculture and Agri-Food Canada | Agriculture et Agroalimentaire Canada</t>
        </is>
      </c>
      <c r="Z1746" t="n">
        <v>1</v>
      </c>
      <c r="AA1746" t="n">
        <v>135.83</v>
      </c>
      <c r="AB1746">
        <f>ROUND(U1746-AA1746,2)</f>
        <v/>
      </c>
      <c r="AC1746" t="b">
        <v>0</v>
      </c>
      <c r="AD1746">
        <f>IF(U1746="","MISSING_TOTAL",IF(ABS(AB1746)&lt;=0.01,"OK","CHECK"))</f>
        <v/>
      </c>
      <c r="AE1746">
        <f>IF(U1746="","MISSING",IF(AND(AA1746&gt;0,U1746/AA1746&gt;50),"POSSIBLE_SCALE_ERROR","OK"))</f>
        <v/>
      </c>
    </row>
    <row r="1747">
      <c r="A1747" t="inlineStr">
        <is>
          <t>T-2022-P4-0013</t>
        </is>
      </c>
      <c r="B1747" t="inlineStr">
        <is>
          <t>SLE</t>
        </is>
      </c>
      <c r="C1747" t="inlineStr">
        <is>
          <t>Associate Deputy Minister</t>
        </is>
      </c>
      <c r="D1747" t="inlineStr">
        <is>
          <t>Sous-ministre délégué</t>
        </is>
      </c>
      <c r="E1747" t="inlineStr">
        <is>
          <t>Paul Samson</t>
        </is>
      </c>
      <c r="F1747" t="inlineStr">
        <is>
          <t>To accompany the Minister on an outreach in Calgary</t>
        </is>
      </c>
      <c r="G1747" t="inlineStr">
        <is>
          <t>Accompagner la ministre lors d'une campagne de sensibilisation à Calgary</t>
        </is>
      </c>
      <c r="H1747" s="1" t="n">
        <v>44754</v>
      </c>
      <c r="I1747" s="1" t="n">
        <v>44757</v>
      </c>
      <c r="J1747" t="inlineStr">
        <is>
          <t>Calgary (Alberta) Canada</t>
        </is>
      </c>
      <c r="K1747" t="inlineStr">
        <is>
          <t>Calgary (Alberta) Canada</t>
        </is>
      </c>
      <c r="P1747" t="n">
        <v>1926.17</v>
      </c>
      <c r="Q1747" t="n">
        <v>186.99</v>
      </c>
      <c r="R1747" t="n">
        <v>1159.91</v>
      </c>
      <c r="S1747" t="n">
        <v>288.25</v>
      </c>
      <c r="T1747" t="n">
        <v>0</v>
      </c>
      <c r="U1747" t="n">
        <v>3561.32</v>
      </c>
      <c r="V1747" t="inlineStr">
        <is>
          <t>No conference fee</t>
        </is>
      </c>
      <c r="W1747" t="inlineStr">
        <is>
          <t>Pas de frais de conférence</t>
        </is>
      </c>
      <c r="X1747" t="inlineStr">
        <is>
          <t>aafc-aac</t>
        </is>
      </c>
      <c r="Y1747" t="inlineStr">
        <is>
          <t>Agriculture and Agri-Food Canada | Agriculture et Agroalimentaire Canada</t>
        </is>
      </c>
      <c r="Z1747" t="n">
        <v>4</v>
      </c>
      <c r="AA1747" t="n">
        <v>3561.31999999999</v>
      </c>
      <c r="AB1747">
        <f>ROUND(U1747-AA1747,2)</f>
        <v/>
      </c>
      <c r="AC1747" t="b">
        <v>0</v>
      </c>
      <c r="AD1747">
        <f>IF(U1747="","MISSING_TOTAL",IF(ABS(AB1747)&lt;=0.01,"OK","CHECK"))</f>
        <v/>
      </c>
      <c r="AE1747">
        <f>IF(U1747="","MISSING",IF(AND(AA1747&gt;0,U1747/AA1747&gt;50),"POSSIBLE_SCALE_ERROR","OK"))</f>
        <v/>
      </c>
    </row>
    <row r="1748">
      <c r="A1748" t="inlineStr">
        <is>
          <t>T-2022-P4-0014</t>
        </is>
      </c>
      <c r="B1748" t="inlineStr">
        <is>
          <t>SLE</t>
        </is>
      </c>
      <c r="C1748" t="inlineStr">
        <is>
          <t>Assistant Deputy Minister, Science and Technology Branch</t>
        </is>
      </c>
      <c r="D1748" t="inlineStr">
        <is>
          <t>Sous-ministre adjoint, Direction générale des sciences et de la technologie</t>
        </is>
      </c>
      <c r="E1748" t="inlineStr">
        <is>
          <t>Gilles Saindon</t>
        </is>
      </c>
      <c r="F1748" t="inlineStr">
        <is>
          <t>To attend the G20 Agricultural Chief Scientists (MACS) Meeting</t>
        </is>
      </c>
      <c r="G1748" t="inlineStr">
        <is>
          <t>Participer à la réunion des scientifiques en chef de l'agriculture du G20 (MACS)</t>
        </is>
      </c>
      <c r="H1748" s="1" t="n">
        <v>44744</v>
      </c>
      <c r="I1748" s="1" t="n">
        <v>44751</v>
      </c>
      <c r="J1748" t="inlineStr">
        <is>
          <t>Bali, Indonesia</t>
        </is>
      </c>
      <c r="K1748" t="inlineStr">
        <is>
          <t>Bali, Indonésie</t>
        </is>
      </c>
      <c r="P1748" t="n">
        <v>13221.84</v>
      </c>
      <c r="Q1748" t="n">
        <v>174</v>
      </c>
      <c r="R1748" t="n">
        <v>809.53</v>
      </c>
      <c r="S1748" t="n">
        <v>527.4400000000001</v>
      </c>
      <c r="T1748" t="n">
        <v>646.66</v>
      </c>
      <c r="U1748" t="n">
        <v>15379.47</v>
      </c>
      <c r="X1748" t="inlineStr">
        <is>
          <t>aafc-aac</t>
        </is>
      </c>
      <c r="Y1748" t="inlineStr">
        <is>
          <t>Agriculture and Agri-Food Canada | Agriculture et Agroalimentaire Canada</t>
        </is>
      </c>
      <c r="Z1748" t="n">
        <v>8</v>
      </c>
      <c r="AA1748" t="n">
        <v>15379.47</v>
      </c>
      <c r="AB1748">
        <f>ROUND(U1748-AA1748,2)</f>
        <v/>
      </c>
      <c r="AC1748" t="b">
        <v>0</v>
      </c>
      <c r="AD1748">
        <f>IF(U1748="","MISSING_TOTAL",IF(ABS(AB1748)&lt;=0.01,"OK","CHECK"))</f>
        <v/>
      </c>
      <c r="AE1748">
        <f>IF(U1748="","MISSING",IF(AND(AA1748&gt;0,U1748/AA1748&gt;50),"POSSIBLE_SCALE_ERROR","OK"))</f>
        <v/>
      </c>
    </row>
    <row r="1749">
      <c r="A1749" t="inlineStr">
        <is>
          <t>T-2022-P4-0015</t>
        </is>
      </c>
      <c r="B1749" t="inlineStr">
        <is>
          <t>SLE</t>
        </is>
      </c>
      <c r="C1749" t="inlineStr">
        <is>
          <t>Associate Assistant Deputy Minister, Science and Technology Branch</t>
        </is>
      </c>
      <c r="D1749" t="inlineStr">
        <is>
          <t>Sous-ministre adjoint délégué, Direction générale des sciences et de la technologie</t>
        </is>
      </c>
      <c r="E1749" t="inlineStr">
        <is>
          <t>Andrew Goldstein</t>
        </is>
      </c>
      <c r="F1749" t="inlineStr">
        <is>
          <t>Meeting of the Deans Council - Agriculture, Food &amp; Veterinary Medicine</t>
        </is>
      </c>
      <c r="G1749" t="inlineStr">
        <is>
          <t>Réunion du Conseils des Doyens - Agriculture, Alimentation et Médecine Vétérinaire</t>
        </is>
      </c>
      <c r="H1749" s="1" t="n">
        <v>44685</v>
      </c>
      <c r="I1749" s="1" t="n">
        <v>44685</v>
      </c>
      <c r="J1749" t="inlineStr">
        <is>
          <t>Ottawa (Ontario) Canada</t>
        </is>
      </c>
      <c r="K1749" t="inlineStr">
        <is>
          <t>Ottawa (Ontario) Canada</t>
        </is>
      </c>
      <c r="P1749" t="n">
        <v>0</v>
      </c>
      <c r="Q1749" t="n">
        <v>20</v>
      </c>
      <c r="R1749" t="n">
        <v>0</v>
      </c>
      <c r="S1749" t="n">
        <v>0</v>
      </c>
      <c r="T1749" t="n">
        <v>0</v>
      </c>
      <c r="U1749" t="n">
        <v>20</v>
      </c>
      <c r="X1749" t="inlineStr">
        <is>
          <t>aafc-aac</t>
        </is>
      </c>
      <c r="Y1749" t="inlineStr">
        <is>
          <t>Agriculture and Agri-Food Canada | Agriculture et Agroalimentaire Canada</t>
        </is>
      </c>
      <c r="Z1749" t="n">
        <v>1</v>
      </c>
      <c r="AA1749" t="n">
        <v>20</v>
      </c>
      <c r="AB1749">
        <f>ROUND(U1749-AA1749,2)</f>
        <v/>
      </c>
      <c r="AC1749" t="b">
        <v>0</v>
      </c>
      <c r="AD1749">
        <f>IF(U1749="","MISSING_TOTAL",IF(ABS(AB1749)&lt;=0.01,"OK","CHECK"))</f>
        <v/>
      </c>
      <c r="AE1749">
        <f>IF(U1749="","MISSING",IF(AND(AA1749&gt;0,U1749/AA1749&gt;50),"POSSIBLE_SCALE_ERROR","OK"))</f>
        <v/>
      </c>
    </row>
    <row r="1750">
      <c r="A1750" t="inlineStr">
        <is>
          <t>T-2022-P4-0016</t>
        </is>
      </c>
      <c r="B1750" t="inlineStr">
        <is>
          <t>SLE</t>
        </is>
      </c>
      <c r="C1750" t="inlineStr">
        <is>
          <t>Assistant Deputy Minister, Public Affairs Branch</t>
        </is>
      </c>
      <c r="D1750" t="inlineStr">
        <is>
          <t>Sous-ministre adjointe, Direction générale des affaires publiques</t>
        </is>
      </c>
      <c r="E1750" t="inlineStr">
        <is>
          <t>Mary Dila</t>
        </is>
      </c>
      <c r="F1750" t="inlineStr">
        <is>
          <t>To attend a ministerial briefing</t>
        </is>
      </c>
      <c r="G1750" t="inlineStr">
        <is>
          <t>Participer à un breffage ministériel</t>
        </is>
      </c>
      <c r="H1750" s="1" t="n">
        <v>44746</v>
      </c>
      <c r="I1750" s="1" t="n">
        <v>44747</v>
      </c>
      <c r="J1750" t="inlineStr">
        <is>
          <t>Sherbrooke (Quebec) Canada</t>
        </is>
      </c>
      <c r="K1750" t="inlineStr">
        <is>
          <t>Sherbrooke (Québec) Canada</t>
        </is>
      </c>
      <c r="P1750" t="n">
        <v>0</v>
      </c>
      <c r="Q1750" t="n">
        <v>367.96</v>
      </c>
      <c r="R1750" t="n">
        <v>292.66</v>
      </c>
      <c r="S1750" t="n">
        <v>177.1</v>
      </c>
      <c r="T1750" t="n">
        <v>0</v>
      </c>
      <c r="U1750" t="n">
        <v>837.72</v>
      </c>
      <c r="X1750" t="inlineStr">
        <is>
          <t>aafc-aac</t>
        </is>
      </c>
      <c r="Y1750" t="inlineStr">
        <is>
          <t>Agriculture and Agri-Food Canada | Agriculture et Agroalimentaire Canada</t>
        </is>
      </c>
      <c r="Z1750" t="n">
        <v>2</v>
      </c>
      <c r="AA1750" t="n">
        <v>837.72</v>
      </c>
      <c r="AB1750">
        <f>ROUND(U1750-AA1750,2)</f>
        <v/>
      </c>
      <c r="AC1750" t="b">
        <v>0</v>
      </c>
      <c r="AD1750">
        <f>IF(U1750="","MISSING_TOTAL",IF(ABS(AB1750)&lt;=0.01,"OK","CHECK"))</f>
        <v/>
      </c>
      <c r="AE1750">
        <f>IF(U1750="","MISSING",IF(AND(AA1750&gt;0,U1750/AA1750&gt;50),"POSSIBLE_SCALE_ERROR","OK"))</f>
        <v/>
      </c>
    </row>
    <row r="1751">
      <c r="A1751" t="inlineStr">
        <is>
          <t>T-2022-P4-0017</t>
        </is>
      </c>
      <c r="B1751" t="inlineStr">
        <is>
          <t>SLE</t>
        </is>
      </c>
      <c r="C1751" t="inlineStr">
        <is>
          <t>Assistant Deputy Minister, Public Affairs Branch</t>
        </is>
      </c>
      <c r="D1751" t="inlineStr">
        <is>
          <t>Sous-ministre adjointe, Direction générale des affaires publiques</t>
        </is>
      </c>
      <c r="E1751" t="inlineStr">
        <is>
          <t>Mary Dila</t>
        </is>
      </c>
      <c r="F1751" t="inlineStr">
        <is>
          <t>To attend federal, provincial and territorial deputy ministers meeting</t>
        </is>
      </c>
      <c r="G1751" t="inlineStr">
        <is>
          <t>Assister à la réunion des sous-ministres fédérale, provinciaux et territoriaux</t>
        </is>
      </c>
      <c r="H1751" s="1" t="n">
        <v>44748</v>
      </c>
      <c r="I1751" s="1" t="n">
        <v>44749</v>
      </c>
      <c r="J1751" t="inlineStr">
        <is>
          <t>Toronto (Ontario) Canada</t>
        </is>
      </c>
      <c r="K1751" t="inlineStr">
        <is>
          <t>Toronto, (Ontario) Canada</t>
        </is>
      </c>
      <c r="P1751" t="n">
        <v>538.16</v>
      </c>
      <c r="Q1751" t="n">
        <v>0</v>
      </c>
      <c r="R1751" t="n">
        <v>151.6</v>
      </c>
      <c r="S1751" t="n">
        <v>133.05</v>
      </c>
      <c r="T1751" t="n">
        <v>0</v>
      </c>
      <c r="U1751" t="n">
        <v>822.8099999999999</v>
      </c>
      <c r="X1751" t="inlineStr">
        <is>
          <t>aafc-aac</t>
        </is>
      </c>
      <c r="Y1751" t="inlineStr">
        <is>
          <t>Agriculture and Agri-Food Canada | Agriculture et Agroalimentaire Canada</t>
        </is>
      </c>
      <c r="Z1751" t="n">
        <v>2</v>
      </c>
      <c r="AA1751" t="n">
        <v>822.8099999999999</v>
      </c>
      <c r="AB1751">
        <f>ROUND(U1751-AA1751,2)</f>
        <v/>
      </c>
      <c r="AC1751" t="b">
        <v>0</v>
      </c>
      <c r="AD1751">
        <f>IF(U1751="","MISSING_TOTAL",IF(ABS(AB1751)&lt;=0.01,"OK","CHECK"))</f>
        <v/>
      </c>
      <c r="AE1751">
        <f>IF(U1751="","MISSING",IF(AND(AA1751&gt;0,U1751/AA1751&gt;50),"POSSIBLE_SCALE_ERROR","OK"))</f>
        <v/>
      </c>
    </row>
    <row r="1752">
      <c r="A1752" t="inlineStr">
        <is>
          <t>T-2022-P4-0018</t>
        </is>
      </c>
      <c r="B1752" t="inlineStr">
        <is>
          <t>SLE</t>
        </is>
      </c>
      <c r="C1752" t="inlineStr">
        <is>
          <t>Assistant Deputy Minister, Public Affairs Branch</t>
        </is>
      </c>
      <c r="D1752" t="inlineStr">
        <is>
          <t>Sous-ministre adjointe, Direction générale des affaires publiques</t>
        </is>
      </c>
      <c r="E1752" t="inlineStr">
        <is>
          <t>Mary Dila</t>
        </is>
      </c>
      <c r="F1752" t="inlineStr">
        <is>
          <t>To attend federal, provincial and territorial ministers meeting in Saskatoon</t>
        </is>
      </c>
      <c r="G1752" t="inlineStr">
        <is>
          <t>Assister à la réunion des ministres fédérale, provinciaux et territoriaux à Saskatoon</t>
        </is>
      </c>
      <c r="H1752" s="1" t="n">
        <v>44761</v>
      </c>
      <c r="I1752" s="1" t="n">
        <v>44764</v>
      </c>
      <c r="J1752" t="inlineStr">
        <is>
          <t>Saskatoon (Saskatchewan) Canada</t>
        </is>
      </c>
      <c r="K1752" t="inlineStr">
        <is>
          <t>Saskatoon (Saskatchewan) Canada</t>
        </is>
      </c>
      <c r="P1752" t="n">
        <v>1708.87</v>
      </c>
      <c r="Q1752" t="n">
        <v>76.34</v>
      </c>
      <c r="R1752" t="n">
        <v>531.63</v>
      </c>
      <c r="S1752" t="n">
        <v>239.6</v>
      </c>
      <c r="T1752" t="n">
        <v>0</v>
      </c>
      <c r="U1752" t="n">
        <v>2556.44</v>
      </c>
      <c r="X1752" t="inlineStr">
        <is>
          <t>aafc-aac</t>
        </is>
      </c>
      <c r="Y1752" t="inlineStr">
        <is>
          <t>Agriculture and Agri-Food Canada | Agriculture et Agroalimentaire Canada</t>
        </is>
      </c>
      <c r="Z1752" t="n">
        <v>4</v>
      </c>
      <c r="AA1752" t="n">
        <v>2556.43999999999</v>
      </c>
      <c r="AB1752">
        <f>ROUND(U1752-AA1752,2)</f>
        <v/>
      </c>
      <c r="AC1752" t="b">
        <v>0</v>
      </c>
      <c r="AD1752">
        <f>IF(U1752="","MISSING_TOTAL",IF(ABS(AB1752)&lt;=0.01,"OK","CHECK"))</f>
        <v/>
      </c>
      <c r="AE1752">
        <f>IF(U1752="","MISSING",IF(AND(AA1752&gt;0,U1752/AA1752&gt;50),"POSSIBLE_SCALE_ERROR","OK"))</f>
        <v/>
      </c>
    </row>
    <row r="1753">
      <c r="A1753" t="inlineStr">
        <is>
          <t>T-2022-P4-0019</t>
        </is>
      </c>
      <c r="B1753" t="inlineStr">
        <is>
          <t>SLE</t>
        </is>
      </c>
      <c r="C1753" t="inlineStr">
        <is>
          <t>Assistant Deputy Minister, Strategic Policy Branch</t>
        </is>
      </c>
      <c r="D1753" t="inlineStr">
        <is>
          <t>Sous-ministre adjointe, Direction générale des politiques stratégiques</t>
        </is>
      </c>
      <c r="E1753" t="inlineStr">
        <is>
          <t>Natasha Kim</t>
        </is>
      </c>
      <c r="F1753" t="inlineStr">
        <is>
          <t>To attend a ministerial briefing</t>
        </is>
      </c>
      <c r="G1753" t="inlineStr">
        <is>
          <t>Participer à un breffage ministériel</t>
        </is>
      </c>
      <c r="H1753" s="1" t="n">
        <v>44745</v>
      </c>
      <c r="I1753" s="1" t="n">
        <v>44746</v>
      </c>
      <c r="J1753" t="inlineStr">
        <is>
          <t>Sherbrooke (Quebec) Canada</t>
        </is>
      </c>
      <c r="K1753" t="inlineStr">
        <is>
          <t>Sherbrooke (Québec) Canada</t>
        </is>
      </c>
      <c r="P1753" t="n">
        <v>0</v>
      </c>
      <c r="Q1753" t="n">
        <v>444.28</v>
      </c>
      <c r="R1753" t="n">
        <v>180.88</v>
      </c>
      <c r="S1753" t="n">
        <v>165.3</v>
      </c>
      <c r="T1753" t="n">
        <v>0</v>
      </c>
      <c r="U1753" t="n">
        <v>790.46</v>
      </c>
      <c r="X1753" t="inlineStr">
        <is>
          <t>aafc-aac</t>
        </is>
      </c>
      <c r="Y1753" t="inlineStr">
        <is>
          <t>Agriculture and Agri-Food Canada | Agriculture et Agroalimentaire Canada</t>
        </is>
      </c>
      <c r="Z1753" t="n">
        <v>2</v>
      </c>
      <c r="AA1753" t="n">
        <v>790.46</v>
      </c>
      <c r="AB1753">
        <f>ROUND(U1753-AA1753,2)</f>
        <v/>
      </c>
      <c r="AC1753" t="b">
        <v>0</v>
      </c>
      <c r="AD1753">
        <f>IF(U1753="","MISSING_TOTAL",IF(ABS(AB1753)&lt;=0.01,"OK","CHECK"))</f>
        <v/>
      </c>
      <c r="AE1753">
        <f>IF(U1753="","MISSING",IF(AND(AA1753&gt;0,U1753/AA1753&gt;50),"POSSIBLE_SCALE_ERROR","OK"))</f>
        <v/>
      </c>
    </row>
    <row r="1754">
      <c r="A1754" t="inlineStr">
        <is>
          <t>T-2022-P4-0020</t>
        </is>
      </c>
      <c r="B1754" t="inlineStr">
        <is>
          <t>SLE</t>
        </is>
      </c>
      <c r="C1754" t="inlineStr">
        <is>
          <t>Assistant Deputy Minister, Strategic Policy Branch</t>
        </is>
      </c>
      <c r="D1754" t="inlineStr">
        <is>
          <t>Sous-ministre adjointe, Direction générale des politiques stratégiques</t>
        </is>
      </c>
      <c r="E1754" t="inlineStr">
        <is>
          <t>Natasha Kim</t>
        </is>
      </c>
      <c r="F1754" t="inlineStr">
        <is>
          <t>To attend federal, provincial and territorial deputy ministers meeting</t>
        </is>
      </c>
      <c r="G1754" t="inlineStr">
        <is>
          <t>Assister à la réunion des sous-ministres fédérale, provinciaux et territoriaux</t>
        </is>
      </c>
      <c r="H1754" s="1" t="n">
        <v>44748</v>
      </c>
      <c r="I1754" s="1" t="n">
        <v>44749</v>
      </c>
      <c r="J1754" t="inlineStr">
        <is>
          <t>Toronto (Ontario) Canada</t>
        </is>
      </c>
      <c r="K1754" t="inlineStr">
        <is>
          <t>Toronto (Ontario) Canada</t>
        </is>
      </c>
      <c r="P1754" t="n">
        <v>676.02</v>
      </c>
      <c r="Q1754" t="n">
        <v>93.59999999999999</v>
      </c>
      <c r="R1754" t="n">
        <v>152</v>
      </c>
      <c r="S1754" t="n">
        <v>165.3</v>
      </c>
      <c r="T1754" t="n">
        <v>0</v>
      </c>
      <c r="U1754" t="n">
        <v>1086.92</v>
      </c>
      <c r="X1754" t="inlineStr">
        <is>
          <t>aafc-aac</t>
        </is>
      </c>
      <c r="Y1754" t="inlineStr">
        <is>
          <t>Agriculture and Agri-Food Canada | Agriculture et Agroalimentaire Canada</t>
        </is>
      </c>
      <c r="Z1754" t="n">
        <v>2</v>
      </c>
      <c r="AA1754" t="n">
        <v>1086.92</v>
      </c>
      <c r="AB1754">
        <f>ROUND(U1754-AA1754,2)</f>
        <v/>
      </c>
      <c r="AC1754" t="b">
        <v>0</v>
      </c>
      <c r="AD1754">
        <f>IF(U1754="","MISSING_TOTAL",IF(ABS(AB1754)&lt;=0.01,"OK","CHECK"))</f>
        <v/>
      </c>
      <c r="AE1754">
        <f>IF(U1754="","MISSING",IF(AND(AA1754&gt;0,U1754/AA1754&gt;50),"POSSIBLE_SCALE_ERROR","OK"))</f>
        <v/>
      </c>
    </row>
    <row r="1755">
      <c r="A1755" t="inlineStr">
        <is>
          <t>T-2022-P4-0021</t>
        </is>
      </c>
      <c r="B1755" t="inlineStr">
        <is>
          <t>SLE</t>
        </is>
      </c>
      <c r="C1755" t="inlineStr">
        <is>
          <t>Assistant Deputy Minister, Market and Industry Services Branch</t>
        </is>
      </c>
      <c r="D1755" t="inlineStr">
        <is>
          <t>Sous-ministre adjoint, Direction générale des services à l'industrie et aux marchés</t>
        </is>
      </c>
      <c r="E1755" t="inlineStr">
        <is>
          <t>Tom Rosser</t>
        </is>
      </c>
      <c r="F1755" t="inlineStr">
        <is>
          <t>Attend a ministerial briefing</t>
        </is>
      </c>
      <c r="G1755" t="inlineStr">
        <is>
          <t>Participer à un breffage ministériel</t>
        </is>
      </c>
      <c r="H1755" s="1" t="n">
        <v>44746</v>
      </c>
      <c r="I1755" s="1" t="n">
        <v>44746</v>
      </c>
      <c r="J1755" t="inlineStr">
        <is>
          <t>Sherbrooke (Quebec) Canada</t>
        </is>
      </c>
      <c r="K1755" t="inlineStr">
        <is>
          <t>Sherbrooke (Québec) Canada</t>
        </is>
      </c>
      <c r="P1755" t="n">
        <v>0</v>
      </c>
      <c r="Q1755" t="n">
        <v>400.8</v>
      </c>
      <c r="R1755" t="n">
        <v>0</v>
      </c>
      <c r="S1755" t="n">
        <v>0</v>
      </c>
      <c r="T1755" t="n">
        <v>0</v>
      </c>
      <c r="U1755" t="n">
        <v>400.8</v>
      </c>
      <c r="X1755" t="inlineStr">
        <is>
          <t>aafc-aac</t>
        </is>
      </c>
      <c r="Y1755" t="inlineStr">
        <is>
          <t>Agriculture and Agri-Food Canada | Agriculture et Agroalimentaire Canada</t>
        </is>
      </c>
      <c r="Z1755" t="n">
        <v>1</v>
      </c>
      <c r="AA1755" t="n">
        <v>400.8</v>
      </c>
      <c r="AB1755">
        <f>ROUND(U1755-AA1755,2)</f>
        <v/>
      </c>
      <c r="AC1755" t="b">
        <v>0</v>
      </c>
      <c r="AD1755">
        <f>IF(U1755="","MISSING_TOTAL",IF(ABS(AB1755)&lt;=0.01,"OK","CHECK"))</f>
        <v/>
      </c>
      <c r="AE1755">
        <f>IF(U1755="","MISSING",IF(AND(AA1755&gt;0,U1755/AA1755&gt;50),"POSSIBLE_SCALE_ERROR","OK"))</f>
        <v/>
      </c>
    </row>
    <row r="1756">
      <c r="A1756" t="inlineStr">
        <is>
          <t>T-2022-P4-0022</t>
        </is>
      </c>
      <c r="B1756" t="inlineStr">
        <is>
          <t>SLE</t>
        </is>
      </c>
      <c r="C1756" t="inlineStr">
        <is>
          <t>Chief Information Officer, Information Systems Branch</t>
        </is>
      </c>
      <c r="D1756" t="inlineStr">
        <is>
          <t>Dirigeante principale de l'information, Direction générale des systèmes information</t>
        </is>
      </c>
      <c r="E1756" t="inlineStr">
        <is>
          <t>Vidya ShankarNarayan</t>
        </is>
      </c>
      <c r="F1756" t="inlineStr">
        <is>
          <t>AAFC Site Visits</t>
        </is>
      </c>
      <c r="G1756" t="inlineStr">
        <is>
          <t>Visites des sites d'AAC</t>
        </is>
      </c>
      <c r="H1756" s="1" t="n">
        <v>44731</v>
      </c>
      <c r="I1756" s="1" t="n">
        <v>44735</v>
      </c>
      <c r="J1756" t="inlineStr">
        <is>
          <t>Halifax (NS) Canada and Charlottetown (PEI) Canada</t>
        </is>
      </c>
      <c r="K1756" t="inlineStr">
        <is>
          <t>Halifax (N-E) Canada et Charlottetown (IPE) Canada</t>
        </is>
      </c>
      <c r="P1756" t="n">
        <v>708.67</v>
      </c>
      <c r="Q1756" t="n">
        <v>686.39</v>
      </c>
      <c r="R1756" t="n">
        <v>1065.86</v>
      </c>
      <c r="S1756" t="n">
        <v>534.7</v>
      </c>
      <c r="T1756" t="n">
        <v>0</v>
      </c>
      <c r="U1756" t="n">
        <v>2995.62</v>
      </c>
      <c r="X1756" t="inlineStr">
        <is>
          <t>aafc-aac</t>
        </is>
      </c>
      <c r="Y1756" t="inlineStr">
        <is>
          <t>Agriculture and Agri-Food Canada | Agriculture et Agroalimentaire Canada</t>
        </is>
      </c>
      <c r="Z1756" t="n">
        <v>5</v>
      </c>
      <c r="AA1756" t="n">
        <v>2995.62</v>
      </c>
      <c r="AB1756">
        <f>ROUND(U1756-AA1756,2)</f>
        <v/>
      </c>
      <c r="AC1756" t="b">
        <v>0</v>
      </c>
      <c r="AD1756">
        <f>IF(U1756="","MISSING_TOTAL",IF(ABS(AB1756)&lt;=0.01,"OK","CHECK"))</f>
        <v/>
      </c>
      <c r="AE1756">
        <f>IF(U1756="","MISSING",IF(AND(AA1756&gt;0,U1756/AA1756&gt;50),"POSSIBLE_SCALE_ERROR","OK"))</f>
        <v/>
      </c>
    </row>
    <row r="1757">
      <c r="A1757" t="inlineStr">
        <is>
          <t>T-2022-P5-0001</t>
        </is>
      </c>
      <c r="B1757" t="inlineStr">
        <is>
          <t>MPSES</t>
        </is>
      </c>
      <c r="C1757" t="inlineStr">
        <is>
          <t>Minister</t>
        </is>
      </c>
      <c r="D1757" t="inlineStr">
        <is>
          <t>Ministre</t>
        </is>
      </c>
      <c r="E1757" t="inlineStr">
        <is>
          <t>Marie-Claude Bibeau</t>
        </is>
      </c>
      <c r="F1757" t="inlineStr">
        <is>
          <t>To visit the Calgary Stampede.</t>
        </is>
      </c>
      <c r="G1757" t="inlineStr">
        <is>
          <t>Pour visiter le Stampede de Calgary.</t>
        </is>
      </c>
      <c r="H1757" s="1" t="n">
        <v>44754</v>
      </c>
      <c r="I1757" s="1" t="n">
        <v>44757</v>
      </c>
      <c r="J1757" t="inlineStr">
        <is>
          <t>Calgary (Alberta) Canada</t>
        </is>
      </c>
      <c r="K1757" t="inlineStr">
        <is>
          <t>Calgary (Alberta) Canada</t>
        </is>
      </c>
      <c r="P1757" t="n">
        <v>1326.64</v>
      </c>
      <c r="Q1757" t="n">
        <v>0</v>
      </c>
      <c r="R1757" t="n">
        <v>770.1900000000001</v>
      </c>
      <c r="S1757" t="n">
        <v>229.65</v>
      </c>
      <c r="T1757" t="n">
        <v>0</v>
      </c>
      <c r="U1757" t="n">
        <v>2326.48</v>
      </c>
      <c r="V1757" t="inlineStr">
        <is>
          <t>No Conference Fees</t>
        </is>
      </c>
      <c r="W1757" t="inlineStr">
        <is>
          <t>Pas de frais de conférence</t>
        </is>
      </c>
      <c r="X1757" t="inlineStr">
        <is>
          <t>aafc-aac</t>
        </is>
      </c>
      <c r="Y1757" t="inlineStr">
        <is>
          <t>Agriculture and Agri-Food Canada | Agriculture et Agroalimentaire Canada</t>
        </is>
      </c>
      <c r="Z1757" t="n">
        <v>4</v>
      </c>
      <c r="AA1757" t="n">
        <v>2326.48</v>
      </c>
      <c r="AB1757">
        <f>ROUND(U1757-AA1757,2)</f>
        <v/>
      </c>
      <c r="AC1757" t="b">
        <v>0</v>
      </c>
      <c r="AD1757">
        <f>IF(U1757="","MISSING_TOTAL",IF(ABS(AB1757)&lt;=0.01,"OK","CHECK"))</f>
        <v/>
      </c>
      <c r="AE1757">
        <f>IF(U1757="","MISSING",IF(AND(AA1757&gt;0,U1757/AA1757&gt;50),"POSSIBLE_SCALE_ERROR","OK"))</f>
        <v/>
      </c>
    </row>
    <row r="1758">
      <c r="A1758" t="inlineStr">
        <is>
          <t>T-2022-P5-0002</t>
        </is>
      </c>
      <c r="B1758" t="inlineStr">
        <is>
          <t>MPSES</t>
        </is>
      </c>
      <c r="C1758" t="inlineStr">
        <is>
          <t>Minister</t>
        </is>
      </c>
      <c r="D1758" t="inlineStr">
        <is>
          <t>Ministre</t>
        </is>
      </c>
      <c r="E1758" t="inlineStr">
        <is>
          <t>Marie-Claude Bibeau</t>
        </is>
      </c>
      <c r="F1758" t="inlineStr">
        <is>
          <t>To attend an Outreach in Manitoba and attend the meetings of Federal, Provincial and Territorial Ministers of Agriculture.</t>
        </is>
      </c>
      <c r="G1758" t="inlineStr">
        <is>
          <t>Pour assister à une campagne de sensibilisation au Manitoba et pour assister aux réunions des ministres de l'agriculture des gouvernements fédéral, provinciaux et territoriaux.</t>
        </is>
      </c>
      <c r="H1758" s="1" t="n">
        <v>44759</v>
      </c>
      <c r="I1758" s="1" t="n">
        <v>44764</v>
      </c>
      <c r="J1758" t="inlineStr">
        <is>
          <t>Calgary (Alberta) Canada; Winnipeg (Manitoba) Canada; Saskatoon (Saskatchewan) Candada</t>
        </is>
      </c>
      <c r="K1758" t="inlineStr">
        <is>
          <t>Calgary (Alberta) Canada; Winnipeg (Manitoba) Canada; Saskatoon (Saskatchewan) Candada</t>
        </is>
      </c>
      <c r="P1758" t="n">
        <v>3030.29</v>
      </c>
      <c r="Q1758" t="n">
        <v>23.39</v>
      </c>
      <c r="R1758" t="n">
        <v>904.78</v>
      </c>
      <c r="S1758" t="n">
        <v>273.45</v>
      </c>
      <c r="T1758" t="n">
        <v>0</v>
      </c>
      <c r="U1758" t="n">
        <v>4231.91</v>
      </c>
      <c r="V1758" t="inlineStr">
        <is>
          <t>No Conference Fees</t>
        </is>
      </c>
      <c r="W1758" t="inlineStr">
        <is>
          <t>Pas de frais de conférence</t>
        </is>
      </c>
      <c r="X1758" t="inlineStr">
        <is>
          <t>aafc-aac</t>
        </is>
      </c>
      <c r="Y1758" t="inlineStr">
        <is>
          <t>Agriculture and Agri-Food Canada | Agriculture et Agroalimentaire Canada</t>
        </is>
      </c>
      <c r="Z1758" t="n">
        <v>6</v>
      </c>
      <c r="AA1758" t="n">
        <v>4231.91</v>
      </c>
      <c r="AB1758">
        <f>ROUND(U1758-AA1758,2)</f>
        <v/>
      </c>
      <c r="AC1758" t="b">
        <v>0</v>
      </c>
      <c r="AD1758">
        <f>IF(U1758="","MISSING_TOTAL",IF(ABS(AB1758)&lt;=0.01,"OK","CHECK"))</f>
        <v/>
      </c>
      <c r="AE1758">
        <f>IF(U1758="","MISSING",IF(AND(AA1758&gt;0,U1758/AA1758&gt;50),"POSSIBLE_SCALE_ERROR","OK"))</f>
        <v/>
      </c>
    </row>
    <row r="1759">
      <c r="A1759" t="inlineStr">
        <is>
          <t>T-2022-P5-0003</t>
        </is>
      </c>
      <c r="B1759" t="inlineStr">
        <is>
          <t>MPSES</t>
        </is>
      </c>
      <c r="C1759" t="inlineStr">
        <is>
          <t>Senior Advisor</t>
        </is>
      </c>
      <c r="D1759" t="inlineStr">
        <is>
          <t>Conseiller principal</t>
        </is>
      </c>
      <c r="E1759" t="inlineStr">
        <is>
          <t>Abed Harb</t>
        </is>
      </c>
      <c r="F1759" t="inlineStr">
        <is>
          <t>To accompany the Minister to meet with AAFC Officials and visit research centre</t>
        </is>
      </c>
      <c r="G1759" t="inlineStr">
        <is>
          <t>Pour accompagner la ministre à une rencontre avec les représentants d'AAC et visiter le centre de recherche</t>
        </is>
      </c>
      <c r="H1759" s="1" t="n">
        <v>44746</v>
      </c>
      <c r="I1759" s="1" t="n">
        <v>44749</v>
      </c>
      <c r="J1759" t="inlineStr">
        <is>
          <t>Calgary (Alberta) Canada</t>
        </is>
      </c>
      <c r="K1759" t="inlineStr">
        <is>
          <t>Calgary (Alberta) Canada</t>
        </is>
      </c>
      <c r="P1759" t="n">
        <v>916.79</v>
      </c>
      <c r="Q1759" t="n">
        <v>201.26</v>
      </c>
      <c r="R1759" t="n">
        <v>261.78</v>
      </c>
      <c r="S1759" t="n">
        <v>185.35</v>
      </c>
      <c r="T1759" t="n">
        <v>0</v>
      </c>
      <c r="U1759" t="n">
        <v>1565.18</v>
      </c>
      <c r="V1759" t="inlineStr">
        <is>
          <t>No conference fee.</t>
        </is>
      </c>
      <c r="W1759" t="inlineStr">
        <is>
          <t>Pas de frais d'enregistrement</t>
        </is>
      </c>
      <c r="X1759" t="inlineStr">
        <is>
          <t>aafc-aac</t>
        </is>
      </c>
      <c r="Y1759" t="inlineStr">
        <is>
          <t>Agriculture and Agri-Food Canada | Agriculture et Agroalimentaire Canada</t>
        </is>
      </c>
      <c r="Z1759" t="n">
        <v>4</v>
      </c>
      <c r="AA1759" t="n">
        <v>1565.17999999999</v>
      </c>
      <c r="AB1759">
        <f>ROUND(U1759-AA1759,2)</f>
        <v/>
      </c>
      <c r="AC1759" t="b">
        <v>0</v>
      </c>
      <c r="AD1759">
        <f>IF(U1759="","MISSING_TOTAL",IF(ABS(AB1759)&lt;=0.01,"OK","CHECK"))</f>
        <v/>
      </c>
      <c r="AE1759">
        <f>IF(U1759="","MISSING",IF(AND(AA1759&gt;0,U1759/AA1759&gt;50),"POSSIBLE_SCALE_ERROR","OK"))</f>
        <v/>
      </c>
    </row>
    <row r="1760">
      <c r="A1760" t="inlineStr">
        <is>
          <t>T-2022-P5-0004</t>
        </is>
      </c>
      <c r="B1760" t="inlineStr">
        <is>
          <t>MPSES</t>
        </is>
      </c>
      <c r="C1760" t="inlineStr">
        <is>
          <t>Director of Policy</t>
        </is>
      </c>
      <c r="D1760" t="inlineStr">
        <is>
          <t>Directeur des politiques</t>
        </is>
      </c>
      <c r="E1760" t="inlineStr">
        <is>
          <t>Jérémy Gauthier</t>
        </is>
      </c>
      <c r="F1760" t="inlineStr">
        <is>
          <t>To accompany the Minister to the meetings of Federal, Provincial and Territorial Ministers of Agriculture</t>
        </is>
      </c>
      <c r="G1760" t="inlineStr">
        <is>
          <t>Pour accompagner la ministre aux réunions des ministres de l'agriculture des gouvernements fédéral, provinciaux et territoriaux</t>
        </is>
      </c>
      <c r="H1760" s="1" t="n">
        <v>44761</v>
      </c>
      <c r="I1760" s="1" t="n">
        <v>44764</v>
      </c>
      <c r="J1760" t="inlineStr">
        <is>
          <t>Saskatoon (Sasckatchewan) Canada</t>
        </is>
      </c>
      <c r="K1760" t="inlineStr">
        <is>
          <t>Saskatoon (Sasckatchewan) Canada</t>
        </is>
      </c>
      <c r="P1760" t="n">
        <v>1509.12</v>
      </c>
      <c r="Q1760" t="n">
        <v>0</v>
      </c>
      <c r="R1760" t="n">
        <v>531.63</v>
      </c>
      <c r="S1760" t="n">
        <v>207.5</v>
      </c>
      <c r="T1760" t="n">
        <v>0</v>
      </c>
      <c r="U1760" t="n">
        <v>2248.25</v>
      </c>
      <c r="V1760" t="inlineStr">
        <is>
          <t>No Conference Fees</t>
        </is>
      </c>
      <c r="W1760" t="inlineStr">
        <is>
          <t>Pas de frais de conférence</t>
        </is>
      </c>
      <c r="X1760" t="inlineStr">
        <is>
          <t>aafc-aac</t>
        </is>
      </c>
      <c r="Y1760" t="inlineStr">
        <is>
          <t>Agriculture and Agri-Food Canada | Agriculture et Agroalimentaire Canada</t>
        </is>
      </c>
      <c r="Z1760" t="n">
        <v>4</v>
      </c>
      <c r="AA1760" t="n">
        <v>2248.25</v>
      </c>
      <c r="AB1760">
        <f>ROUND(U1760-AA1760,2)</f>
        <v/>
      </c>
      <c r="AC1760" t="b">
        <v>0</v>
      </c>
      <c r="AD1760">
        <f>IF(U1760="","MISSING_TOTAL",IF(ABS(AB1760)&lt;=0.01,"OK","CHECK"))</f>
        <v/>
      </c>
      <c r="AE1760">
        <f>IF(U1760="","MISSING",IF(AND(AA1760&gt;0,U1760/AA1760&gt;50),"POSSIBLE_SCALE_ERROR","OK"))</f>
        <v/>
      </c>
    </row>
    <row r="1761">
      <c r="A1761" t="inlineStr">
        <is>
          <t>T-2022-P5-0005</t>
        </is>
      </c>
      <c r="B1761" t="inlineStr">
        <is>
          <t>MPSES</t>
        </is>
      </c>
      <c r="C1761" t="inlineStr">
        <is>
          <t>Driver</t>
        </is>
      </c>
      <c r="D1761" t="inlineStr">
        <is>
          <t>Chauffeur</t>
        </is>
      </c>
      <c r="E1761" t="inlineStr">
        <is>
          <t>Michel Gendreau</t>
        </is>
      </c>
      <c r="F1761" t="inlineStr">
        <is>
          <t>Drive the Minister from her riding to the Montréal Airport.</t>
        </is>
      </c>
      <c r="G1761" t="inlineStr">
        <is>
          <t>Conduire la Ministre de sa circonscription à l'aéroport de Montréal.</t>
        </is>
      </c>
      <c r="H1761" s="1" t="n">
        <v>44783</v>
      </c>
      <c r="I1761" s="1" t="n">
        <v>44783</v>
      </c>
      <c r="J1761" t="inlineStr">
        <is>
          <t>Sherbrooke (Quebec) Canada; Montréal (Quebec) Canada</t>
        </is>
      </c>
      <c r="K1761" t="inlineStr">
        <is>
          <t>Sherbrooke (Québec) Canada; Montréal (Québec) Canada</t>
        </is>
      </c>
      <c r="P1761" t="n">
        <v>0</v>
      </c>
      <c r="Q1761" t="n">
        <v>3</v>
      </c>
      <c r="R1761" t="n">
        <v>0</v>
      </c>
      <c r="S1761" t="n">
        <v>22.15</v>
      </c>
      <c r="T1761" t="n">
        <v>0</v>
      </c>
      <c r="U1761" t="n">
        <v>25.15</v>
      </c>
      <c r="V1761" t="inlineStr">
        <is>
          <t>No conference fee</t>
        </is>
      </c>
      <c r="W1761" t="inlineStr">
        <is>
          <t>Pas de frais d'enregistrement</t>
        </is>
      </c>
      <c r="X1761" t="inlineStr">
        <is>
          <t>aafc-aac</t>
        </is>
      </c>
      <c r="Y1761" t="inlineStr">
        <is>
          <t>Agriculture and Agri-Food Canada | Agriculture et Agroalimentaire Canada</t>
        </is>
      </c>
      <c r="Z1761" t="n">
        <v>1</v>
      </c>
      <c r="AA1761" t="n">
        <v>25.15</v>
      </c>
      <c r="AB1761">
        <f>ROUND(U1761-AA1761,2)</f>
        <v/>
      </c>
      <c r="AC1761" t="b">
        <v>0</v>
      </c>
      <c r="AD1761">
        <f>IF(U1761="","MISSING_TOTAL",IF(ABS(AB1761)&lt;=0.01,"OK","CHECK"))</f>
        <v/>
      </c>
      <c r="AE1761">
        <f>IF(U1761="","MISSING",IF(AND(AA1761&gt;0,U1761/AA1761&gt;50),"POSSIBLE_SCALE_ERROR","OK"))</f>
        <v/>
      </c>
    </row>
    <row r="1762">
      <c r="A1762" t="inlineStr">
        <is>
          <t>T-2022-P5-0006</t>
        </is>
      </c>
      <c r="B1762" t="inlineStr">
        <is>
          <t>MPSES</t>
        </is>
      </c>
      <c r="C1762" t="inlineStr">
        <is>
          <t>Driver</t>
        </is>
      </c>
      <c r="D1762" t="inlineStr">
        <is>
          <t>Chauffeur</t>
        </is>
      </c>
      <c r="E1762" t="inlineStr">
        <is>
          <t>Michel Gendreau</t>
        </is>
      </c>
      <c r="F1762" t="inlineStr">
        <is>
          <t>Drive the Minister from her riding to the Montreal Airport.</t>
        </is>
      </c>
      <c r="G1762" t="inlineStr">
        <is>
          <t>Conduire la Ministre de sa circonscription à l'aéroport de Montréal.</t>
        </is>
      </c>
      <c r="H1762" s="1" t="n">
        <v>44754</v>
      </c>
      <c r="I1762" s="1" t="n">
        <v>44754</v>
      </c>
      <c r="J1762" t="inlineStr">
        <is>
          <t>Sherbrooke (Quebec) Canada; Montréal (Quebec) Canada</t>
        </is>
      </c>
      <c r="K1762" t="inlineStr">
        <is>
          <t>Sherbrooke (Québec) Canada; Montréal (Québec) Canada</t>
        </is>
      </c>
      <c r="P1762" t="n">
        <v>0</v>
      </c>
      <c r="Q1762" t="n">
        <v>3</v>
      </c>
      <c r="R1762" t="n">
        <v>0</v>
      </c>
      <c r="S1762" t="n">
        <v>76.55</v>
      </c>
      <c r="T1762" t="n">
        <v>0</v>
      </c>
      <c r="U1762" t="n">
        <v>79.55</v>
      </c>
      <c r="V1762" t="inlineStr">
        <is>
          <t>No conference fee</t>
        </is>
      </c>
      <c r="W1762" t="inlineStr">
        <is>
          <t>Pas de frais d'enregistrement</t>
        </is>
      </c>
      <c r="X1762" t="inlineStr">
        <is>
          <t>aafc-aac</t>
        </is>
      </c>
      <c r="Y1762" t="inlineStr">
        <is>
          <t>Agriculture and Agri-Food Canada | Agriculture et Agroalimentaire Canada</t>
        </is>
      </c>
      <c r="Z1762" t="n">
        <v>1</v>
      </c>
      <c r="AA1762" t="n">
        <v>79.55</v>
      </c>
      <c r="AB1762">
        <f>ROUND(U1762-AA1762,2)</f>
        <v/>
      </c>
      <c r="AC1762" t="b">
        <v>0</v>
      </c>
      <c r="AD1762">
        <f>IF(U1762="","MISSING_TOTAL",IF(ABS(AB1762)&lt;=0.01,"OK","CHECK"))</f>
        <v/>
      </c>
      <c r="AE1762">
        <f>IF(U1762="","MISSING",IF(AND(AA1762&gt;0,U1762/AA1762&gt;50),"POSSIBLE_SCALE_ERROR","OK"))</f>
        <v/>
      </c>
    </row>
    <row r="1763">
      <c r="A1763" t="inlineStr">
        <is>
          <t>T-2022-P5-0007</t>
        </is>
      </c>
      <c r="B1763" t="inlineStr">
        <is>
          <t>MPSES</t>
        </is>
      </c>
      <c r="C1763" t="inlineStr">
        <is>
          <t>Driver</t>
        </is>
      </c>
      <c r="D1763" t="inlineStr">
        <is>
          <t>Chauffeur</t>
        </is>
      </c>
      <c r="E1763" t="inlineStr">
        <is>
          <t>Michel Gendreau</t>
        </is>
      </c>
      <c r="F1763" t="inlineStr">
        <is>
          <t>Drive the Minister from her riding to the Montréal Airport.</t>
        </is>
      </c>
      <c r="G1763" t="inlineStr">
        <is>
          <t>Conduire la Ministre de sa circonscription à l'aéroport de Montréal.</t>
        </is>
      </c>
      <c r="H1763" s="1" t="n">
        <v>44759</v>
      </c>
      <c r="I1763" s="1" t="n">
        <v>44759</v>
      </c>
      <c r="J1763" t="inlineStr">
        <is>
          <t>Sherbrooke (Quebec) Canada; Montréal (Quebec) Canada</t>
        </is>
      </c>
      <c r="K1763" t="inlineStr">
        <is>
          <t>Sherbrooke (Québec) Canada; Montréal (Québec) Canada</t>
        </is>
      </c>
      <c r="P1763" t="n">
        <v>0</v>
      </c>
      <c r="Q1763" t="n">
        <v>3</v>
      </c>
      <c r="R1763" t="n">
        <v>0</v>
      </c>
      <c r="S1763" t="n">
        <v>54.4</v>
      </c>
      <c r="T1763" t="n">
        <v>0</v>
      </c>
      <c r="U1763" t="n">
        <v>57.4</v>
      </c>
      <c r="V1763" t="inlineStr">
        <is>
          <t>No conference fee</t>
        </is>
      </c>
      <c r="W1763" t="inlineStr">
        <is>
          <t>Pas de frais d'enregistrement</t>
        </is>
      </c>
      <c r="X1763" t="inlineStr">
        <is>
          <t>aafc-aac</t>
        </is>
      </c>
      <c r="Y1763" t="inlineStr">
        <is>
          <t>Agriculture and Agri-Food Canada | Agriculture et Agroalimentaire Canada</t>
        </is>
      </c>
      <c r="Z1763" t="n">
        <v>1</v>
      </c>
      <c r="AA1763" t="n">
        <v>57.4</v>
      </c>
      <c r="AB1763">
        <f>ROUND(U1763-AA1763,2)</f>
        <v/>
      </c>
      <c r="AC1763" t="b">
        <v>0</v>
      </c>
      <c r="AD1763">
        <f>IF(U1763="","MISSING_TOTAL",IF(ABS(AB1763)&lt;=0.01,"OK","CHECK"))</f>
        <v/>
      </c>
      <c r="AE1763">
        <f>IF(U1763="","MISSING",IF(AND(AA1763&gt;0,U1763/AA1763&gt;50),"POSSIBLE_SCALE_ERROR","OK"))</f>
        <v/>
      </c>
    </row>
    <row r="1764">
      <c r="A1764" t="inlineStr">
        <is>
          <t>T-2022-P5-0008</t>
        </is>
      </c>
      <c r="B1764" t="inlineStr">
        <is>
          <t>MPSES</t>
        </is>
      </c>
      <c r="C1764" t="inlineStr">
        <is>
          <t>Social Media Manager</t>
        </is>
      </c>
      <c r="D1764" t="inlineStr">
        <is>
          <t>Directeur des médias sociaux</t>
        </is>
      </c>
      <c r="E1764" t="inlineStr">
        <is>
          <t>Malek-Michel Jamali</t>
        </is>
      </c>
      <c r="F1764" t="inlineStr">
        <is>
          <t>To accompany the Minister to visit AAFC's research center in Sherbrooke.</t>
        </is>
      </c>
      <c r="G1764" t="inlineStr">
        <is>
          <t>Pour accompagner la ministre pour visiter le centre de recherche d'AAC à Sherbrooke</t>
        </is>
      </c>
      <c r="H1764" s="1" t="n">
        <v>44746</v>
      </c>
      <c r="I1764" s="1" t="n">
        <v>44748</v>
      </c>
      <c r="J1764" t="inlineStr">
        <is>
          <t>Sherbrooke (Quebec) Canada</t>
        </is>
      </c>
      <c r="K1764" t="inlineStr">
        <is>
          <t>Sherbrooke (Québec) Canada</t>
        </is>
      </c>
      <c r="P1764" t="n">
        <v>0</v>
      </c>
      <c r="Q1764" t="n">
        <v>0</v>
      </c>
      <c r="R1764" t="n">
        <v>261.78</v>
      </c>
      <c r="S1764" t="n">
        <v>0</v>
      </c>
      <c r="T1764" t="n">
        <v>0</v>
      </c>
      <c r="U1764" t="n">
        <v>261.78</v>
      </c>
      <c r="V1764" t="inlineStr">
        <is>
          <t>No Conference Fees</t>
        </is>
      </c>
      <c r="W1764" t="inlineStr">
        <is>
          <t>Pas de frais de conférence</t>
        </is>
      </c>
      <c r="X1764" t="inlineStr">
        <is>
          <t>aafc-aac</t>
        </is>
      </c>
      <c r="Y1764" t="inlineStr">
        <is>
          <t>Agriculture and Agri-Food Canada | Agriculture et Agroalimentaire Canada</t>
        </is>
      </c>
      <c r="Z1764" t="n">
        <v>3</v>
      </c>
      <c r="AA1764" t="n">
        <v>261.78</v>
      </c>
      <c r="AB1764">
        <f>ROUND(U1764-AA1764,2)</f>
        <v/>
      </c>
      <c r="AC1764" t="b">
        <v>0</v>
      </c>
      <c r="AD1764">
        <f>IF(U1764="","MISSING_TOTAL",IF(ABS(AB1764)&lt;=0.01,"OK","CHECK"))</f>
        <v/>
      </c>
      <c r="AE1764">
        <f>IF(U1764="","MISSING",IF(AND(AA1764&gt;0,U1764/AA1764&gt;50),"POSSIBLE_SCALE_ERROR","OK"))</f>
        <v/>
      </c>
    </row>
    <row r="1765">
      <c r="A1765" t="inlineStr">
        <is>
          <t>T-2022-P5-0009</t>
        </is>
      </c>
      <c r="B1765" t="inlineStr">
        <is>
          <t>MPSES</t>
        </is>
      </c>
      <c r="C1765" t="inlineStr">
        <is>
          <t>Policy Advisor</t>
        </is>
      </c>
      <c r="D1765" t="inlineStr">
        <is>
          <t>Conseillère en politiques</t>
        </is>
      </c>
      <c r="E1765" t="inlineStr">
        <is>
          <t>Christine Harvey</t>
        </is>
      </c>
      <c r="F1765" t="inlineStr">
        <is>
          <t>To accompany the Minister to ministerial announcements in Sherbrooke and Coaticook, Quebec.</t>
        </is>
      </c>
      <c r="G1765" t="inlineStr">
        <is>
          <t>Accompagner la Ministre à des annonces ministérielles à Sherbrooke et Coaticook, Québec.</t>
        </is>
      </c>
      <c r="H1765" s="1" t="n">
        <v>44741</v>
      </c>
      <c r="I1765" s="1" t="n">
        <v>44742</v>
      </c>
      <c r="J1765" t="inlineStr">
        <is>
          <t>Sherbrooke (Quebec) Canada; Coaticook (Quebec) Canada</t>
        </is>
      </c>
      <c r="K1765" t="inlineStr">
        <is>
          <t>Sherbrooke (Québec) Canada; Coaticook (Québec) Canada</t>
        </is>
      </c>
      <c r="P1765" t="n">
        <v>0</v>
      </c>
      <c r="Q1765" t="n">
        <v>195.36</v>
      </c>
      <c r="R1765" t="n">
        <v>118.98</v>
      </c>
      <c r="S1765" t="n">
        <v>120.6</v>
      </c>
      <c r="T1765" t="n">
        <v>0</v>
      </c>
      <c r="U1765" t="n">
        <v>434.94</v>
      </c>
      <c r="V1765" t="inlineStr">
        <is>
          <t>No Conference Fees</t>
        </is>
      </c>
      <c r="W1765" t="inlineStr">
        <is>
          <t>Pas de frais de conférence</t>
        </is>
      </c>
      <c r="X1765" t="inlineStr">
        <is>
          <t>aafc-aac</t>
        </is>
      </c>
      <c r="Y1765" t="inlineStr">
        <is>
          <t>Agriculture and Agri-Food Canada | Agriculture et Agroalimentaire Canada</t>
        </is>
      </c>
      <c r="Z1765" t="n">
        <v>2</v>
      </c>
      <c r="AA1765" t="n">
        <v>434.94</v>
      </c>
      <c r="AB1765">
        <f>ROUND(U1765-AA1765,2)</f>
        <v/>
      </c>
      <c r="AC1765" t="b">
        <v>0</v>
      </c>
      <c r="AD1765">
        <f>IF(U1765="","MISSING_TOTAL",IF(ABS(AB1765)&lt;=0.01,"OK","CHECK"))</f>
        <v/>
      </c>
      <c r="AE1765">
        <f>IF(U1765="","MISSING",IF(AND(AA1765&gt;0,U1765/AA1765&gt;50),"POSSIBLE_SCALE_ERROR","OK"))</f>
        <v/>
      </c>
    </row>
    <row r="1766">
      <c r="A1766" t="inlineStr">
        <is>
          <t>T-2022-P5-0010</t>
        </is>
      </c>
      <c r="B1766" t="inlineStr">
        <is>
          <t>MPSES</t>
        </is>
      </c>
      <c r="C1766" t="inlineStr">
        <is>
          <t>Parliamentary Secretary Assistant</t>
        </is>
      </c>
      <c r="D1766" t="inlineStr">
        <is>
          <t>Secrétaire parlementaire adjoint</t>
        </is>
      </c>
      <c r="E1766" t="inlineStr">
        <is>
          <t>Patrick Mangan</t>
        </is>
      </c>
      <c r="F1766" t="inlineStr">
        <is>
          <t>To accompany the Minister to visit AAFC's research center in Sherbrooke.</t>
        </is>
      </c>
      <c r="G1766" t="inlineStr">
        <is>
          <t>Pour accompagner la ministre pour visiter le centre de recherche d'AAC à Sherbrooke</t>
        </is>
      </c>
      <c r="H1766" s="1" t="n">
        <v>44746</v>
      </c>
      <c r="I1766" s="1" t="n">
        <v>44749</v>
      </c>
      <c r="J1766" t="inlineStr">
        <is>
          <t>Sherbrooke (Quebec) Canada</t>
        </is>
      </c>
      <c r="K1766" t="inlineStr">
        <is>
          <t>Sherbrooke (Québec) Canada</t>
        </is>
      </c>
      <c r="P1766" t="n">
        <v>0</v>
      </c>
      <c r="Q1766" t="n">
        <v>0</v>
      </c>
      <c r="R1766" t="n">
        <v>237.96</v>
      </c>
      <c r="S1766" t="n">
        <v>0</v>
      </c>
      <c r="T1766" t="n">
        <v>0</v>
      </c>
      <c r="U1766" t="n">
        <v>237.96</v>
      </c>
      <c r="V1766" t="inlineStr">
        <is>
          <t>No conference fee.</t>
        </is>
      </c>
      <c r="W1766" t="inlineStr">
        <is>
          <t>Pas de frais d'enregistrement</t>
        </is>
      </c>
      <c r="X1766" t="inlineStr">
        <is>
          <t>aafc-aac</t>
        </is>
      </c>
      <c r="Y1766" t="inlineStr">
        <is>
          <t>Agriculture and Agri-Food Canada | Agriculture et Agroalimentaire Canada</t>
        </is>
      </c>
      <c r="Z1766" t="n">
        <v>4</v>
      </c>
      <c r="AA1766" t="n">
        <v>237.96</v>
      </c>
      <c r="AB1766">
        <f>ROUND(U1766-AA1766,2)</f>
        <v/>
      </c>
      <c r="AC1766" t="b">
        <v>0</v>
      </c>
      <c r="AD1766">
        <f>IF(U1766="","MISSING_TOTAL",IF(ABS(AB1766)&lt;=0.01,"OK","CHECK"))</f>
        <v/>
      </c>
      <c r="AE1766">
        <f>IF(U1766="","MISSING",IF(AND(AA1766&gt;0,U1766/AA1766&gt;50),"POSSIBLE_SCALE_ERROR","OK"))</f>
        <v/>
      </c>
    </row>
    <row r="1767">
      <c r="A1767" t="inlineStr">
        <is>
          <t>T-2022-P5-0011</t>
        </is>
      </c>
      <c r="B1767" t="inlineStr">
        <is>
          <t>MPSES</t>
        </is>
      </c>
      <c r="C1767" t="inlineStr">
        <is>
          <t>Deputy Minister</t>
        </is>
      </c>
      <c r="D1767" t="inlineStr">
        <is>
          <t>Sous-ministre</t>
        </is>
      </c>
      <c r="E1767" t="inlineStr">
        <is>
          <t>Chris Forbes</t>
        </is>
      </c>
      <c r="F1767" t="inlineStr">
        <is>
          <t>To attend the meetings of Federal, Provincial and Territorial Ministers of Agriculture</t>
        </is>
      </c>
      <c r="G1767" t="inlineStr">
        <is>
          <t>Pour assister aux réunions des ministres de l'agriculture des gouvernements fédéral, provinciaux et territoriaux</t>
        </is>
      </c>
      <c r="H1767" s="1" t="n">
        <v>44760</v>
      </c>
      <c r="I1767" s="1" t="n">
        <v>44765</v>
      </c>
      <c r="J1767" t="inlineStr">
        <is>
          <t>Calgary (Alberta) Canada; Saskatoon (Saskatchewan) Canada</t>
        </is>
      </c>
      <c r="K1767" t="inlineStr">
        <is>
          <t>Calgary (Alberta) Canada; Saskatoon (Saskatchewan) Canada</t>
        </is>
      </c>
      <c r="P1767" t="n">
        <v>2042.48</v>
      </c>
      <c r="Q1767" t="n">
        <v>0</v>
      </c>
      <c r="R1767" t="n">
        <v>732.59</v>
      </c>
      <c r="S1767" t="n">
        <v>207.5</v>
      </c>
      <c r="T1767" t="n">
        <v>0</v>
      </c>
      <c r="U1767" t="n">
        <v>2982.57</v>
      </c>
      <c r="V1767" t="inlineStr">
        <is>
          <t>No Conference Fees</t>
        </is>
      </c>
      <c r="W1767" t="inlineStr">
        <is>
          <t>Pas de frais de conférence</t>
        </is>
      </c>
      <c r="X1767" t="inlineStr">
        <is>
          <t>aafc-aac</t>
        </is>
      </c>
      <c r="Y1767" t="inlineStr">
        <is>
          <t>Agriculture and Agri-Food Canada | Agriculture et Agroalimentaire Canada</t>
        </is>
      </c>
      <c r="Z1767" t="n">
        <v>6</v>
      </c>
      <c r="AA1767" t="n">
        <v>2982.57</v>
      </c>
      <c r="AB1767">
        <f>ROUND(U1767-AA1767,2)</f>
        <v/>
      </c>
      <c r="AC1767" t="b">
        <v>0</v>
      </c>
      <c r="AD1767">
        <f>IF(U1767="","MISSING_TOTAL",IF(ABS(AB1767)&lt;=0.01,"OK","CHECK"))</f>
        <v/>
      </c>
      <c r="AE1767">
        <f>IF(U1767="","MISSING",IF(AND(AA1767&gt;0,U1767/AA1767&gt;50),"POSSIBLE_SCALE_ERROR","OK"))</f>
        <v/>
      </c>
    </row>
    <row r="1768">
      <c r="A1768" t="inlineStr">
        <is>
          <t>T-2022-P5-0012</t>
        </is>
      </c>
      <c r="B1768" t="inlineStr">
        <is>
          <t>SLE</t>
        </is>
      </c>
      <c r="C1768" t="inlineStr">
        <is>
          <t>Assistant Deputy Minister, International Affairs Branch</t>
        </is>
      </c>
      <c r="D1768" t="inlineStr">
        <is>
          <t>Sous-ministre adjointe, Direction générale des affaires internationales</t>
        </is>
      </c>
      <c r="E1768" t="inlineStr">
        <is>
          <t>Kathleen Donohue</t>
        </is>
      </c>
      <c r="F1768" t="inlineStr">
        <is>
          <t>Training</t>
        </is>
      </c>
      <c r="G1768" t="inlineStr">
        <is>
          <t>Formation</t>
        </is>
      </c>
      <c r="H1768" s="1" t="n">
        <v>44722</v>
      </c>
      <c r="I1768" s="1" t="n">
        <v>44729</v>
      </c>
      <c r="J1768" t="inlineStr">
        <is>
          <t>Victoria and Vancouver (British Colombia) Canada</t>
        </is>
      </c>
      <c r="K1768" t="inlineStr">
        <is>
          <t>Victoria et Vancouver (Colombie-Britannique) Canada</t>
        </is>
      </c>
      <c r="P1768" t="n">
        <v>416.4</v>
      </c>
      <c r="Q1768" t="n">
        <v>190.15</v>
      </c>
      <c r="R1768" t="n">
        <v>1167.53</v>
      </c>
      <c r="S1768" t="n">
        <v>833.5</v>
      </c>
      <c r="T1768" t="n">
        <v>0</v>
      </c>
      <c r="U1768" t="n">
        <v>2607.58</v>
      </c>
      <c r="X1768" t="inlineStr">
        <is>
          <t>aafc-aac</t>
        </is>
      </c>
      <c r="Y1768" t="inlineStr">
        <is>
          <t>Agriculture and Agri-Food Canada | Agriculture et Agroalimentaire Canada</t>
        </is>
      </c>
      <c r="Z1768" t="n">
        <v>8</v>
      </c>
      <c r="AA1768" t="n">
        <v>2607.58</v>
      </c>
      <c r="AB1768">
        <f>ROUND(U1768-AA1768,2)</f>
        <v/>
      </c>
      <c r="AC1768" t="b">
        <v>0</v>
      </c>
      <c r="AD1768">
        <f>IF(U1768="","MISSING_TOTAL",IF(ABS(AB1768)&lt;=0.01,"OK","CHECK"))</f>
        <v/>
      </c>
      <c r="AE1768">
        <f>IF(U1768="","MISSING",IF(AND(AA1768&gt;0,U1768/AA1768&gt;50),"POSSIBLE_SCALE_ERROR","OK"))</f>
        <v/>
      </c>
    </row>
    <row r="1769">
      <c r="A1769" t="inlineStr">
        <is>
          <t>T-2022-P5-0013</t>
        </is>
      </c>
      <c r="B1769" t="inlineStr">
        <is>
          <t>SLE</t>
        </is>
      </c>
      <c r="C1769" t="inlineStr">
        <is>
          <t>Assistant Deputy Minister, Strategic Policy Branch</t>
        </is>
      </c>
      <c r="D1769" t="inlineStr">
        <is>
          <t>Sous-ministre adjointe, Direction générale des politiques stratégiques</t>
        </is>
      </c>
      <c r="E1769" t="inlineStr">
        <is>
          <t>Natasha Kim</t>
        </is>
      </c>
      <c r="F1769" t="inlineStr">
        <is>
          <t>To attend the meetings of Federal, Provincial and Territorial Ministers of Agriculture</t>
        </is>
      </c>
      <c r="G1769" t="inlineStr">
        <is>
          <t>Pour assister aux réunions des ministres de l'agriculture des gouvernements fédéral, provinciaux et territoriaux</t>
        </is>
      </c>
      <c r="H1769" s="1" t="n">
        <v>44760</v>
      </c>
      <c r="I1769" s="1" t="n">
        <v>44764</v>
      </c>
      <c r="J1769" t="inlineStr">
        <is>
          <t>Saskatoon (Sasketchewan) Caaada</t>
        </is>
      </c>
      <c r="K1769" t="inlineStr">
        <is>
          <t>Saskatoon (Sasketchewan) Caaada</t>
        </is>
      </c>
      <c r="P1769" t="n">
        <v>1099.63</v>
      </c>
      <c r="Q1769" t="n">
        <v>0</v>
      </c>
      <c r="R1769" t="n">
        <v>732.59</v>
      </c>
      <c r="S1769" t="n">
        <v>261.5</v>
      </c>
      <c r="T1769" t="n">
        <v>400</v>
      </c>
      <c r="U1769" t="n">
        <v>2493.72</v>
      </c>
      <c r="X1769" t="inlineStr">
        <is>
          <t>aafc-aac</t>
        </is>
      </c>
      <c r="Y1769" t="inlineStr">
        <is>
          <t>Agriculture and Agri-Food Canada | Agriculture et Agroalimentaire Canada</t>
        </is>
      </c>
      <c r="Z1769" t="n">
        <v>5</v>
      </c>
      <c r="AA1769" t="n">
        <v>2493.72</v>
      </c>
      <c r="AB1769">
        <f>ROUND(U1769-AA1769,2)</f>
        <v/>
      </c>
      <c r="AC1769" t="b">
        <v>0</v>
      </c>
      <c r="AD1769">
        <f>IF(U1769="","MISSING_TOTAL",IF(ABS(AB1769)&lt;=0.01,"OK","CHECK"))</f>
        <v/>
      </c>
      <c r="AE1769">
        <f>IF(U1769="","MISSING",IF(AND(AA1769&gt;0,U1769/AA1769&gt;50),"POSSIBLE_SCALE_ERROR","OK"))</f>
        <v/>
      </c>
    </row>
    <row r="1770">
      <c r="A1770" t="inlineStr">
        <is>
          <t>T-2022-P5-0014</t>
        </is>
      </c>
      <c r="B1770" t="inlineStr">
        <is>
          <t>SLE</t>
        </is>
      </c>
      <c r="C1770" t="inlineStr">
        <is>
          <t>Assistant Deputy Minister, Strategic Policy Branch</t>
        </is>
      </c>
      <c r="D1770" t="inlineStr">
        <is>
          <t>Sous-ministre adjointe, Direction générale des politiques stratégiques</t>
        </is>
      </c>
      <c r="E1770" t="inlineStr">
        <is>
          <t>Natasha Kim</t>
        </is>
      </c>
      <c r="F1770" t="inlineStr">
        <is>
          <t>To participate on an Outreach in Winnipeg.</t>
        </is>
      </c>
      <c r="G1770" t="inlineStr">
        <is>
          <t>Participer à une campagne de sensibilisation à Winnipeg.</t>
        </is>
      </c>
      <c r="H1770" s="1" t="n">
        <v>44780</v>
      </c>
      <c r="I1770" s="1" t="n">
        <v>44782</v>
      </c>
      <c r="J1770" t="inlineStr">
        <is>
          <t>Winnipeg (Manitoba) Canada</t>
        </is>
      </c>
      <c r="K1770" t="inlineStr">
        <is>
          <t>Winnipeg (Manitoba) Canada</t>
        </is>
      </c>
      <c r="P1770" t="n">
        <v>0</v>
      </c>
      <c r="Q1770" t="n">
        <v>51.86</v>
      </c>
      <c r="R1770" t="n">
        <v>255.6</v>
      </c>
      <c r="S1770" t="n">
        <v>248.8</v>
      </c>
      <c r="T1770" t="n">
        <v>0</v>
      </c>
      <c r="U1770" t="n">
        <v>556.26</v>
      </c>
      <c r="X1770" t="inlineStr">
        <is>
          <t>aafc-aac</t>
        </is>
      </c>
      <c r="Y1770" t="inlineStr">
        <is>
          <t>Agriculture and Agri-Food Canada | Agriculture et Agroalimentaire Canada</t>
        </is>
      </c>
      <c r="Z1770" t="n">
        <v>3</v>
      </c>
      <c r="AA1770" t="n">
        <v>556.26</v>
      </c>
      <c r="AB1770">
        <f>ROUND(U1770-AA1770,2)</f>
        <v/>
      </c>
      <c r="AC1770" t="b">
        <v>0</v>
      </c>
      <c r="AD1770">
        <f>IF(U1770="","MISSING_TOTAL",IF(ABS(AB1770)&lt;=0.01,"OK","CHECK"))</f>
        <v/>
      </c>
      <c r="AE1770">
        <f>IF(U1770="","MISSING",IF(AND(AA1770&gt;0,U1770/AA1770&gt;50),"POSSIBLE_SCALE_ERROR","OK"))</f>
        <v/>
      </c>
    </row>
    <row r="1771">
      <c r="A1771" t="inlineStr">
        <is>
          <t>T-2022-P5-0015</t>
        </is>
      </c>
      <c r="B1771" t="inlineStr">
        <is>
          <t>SLE</t>
        </is>
      </c>
      <c r="C1771" t="inlineStr">
        <is>
          <t>Assistant Deputy Minister, Strategic Policy Branch</t>
        </is>
      </c>
      <c r="D1771" t="inlineStr">
        <is>
          <t>Sous-ministre adjointe, Direction générale des politiques stratégiques</t>
        </is>
      </c>
      <c r="E1771" t="inlineStr">
        <is>
          <t>Natasha Kim</t>
        </is>
      </c>
      <c r="F1771" t="inlineStr">
        <is>
          <t>To attend the AgSmart Event in Olds, AB (near Calgary).</t>
        </is>
      </c>
      <c r="G1771" t="inlineStr">
        <is>
          <t>Participer à l'événement AgSmart à Olds, AB (près de Calgary).</t>
        </is>
      </c>
      <c r="H1771" s="1" t="n">
        <v>44782</v>
      </c>
      <c r="I1771" s="1" t="n">
        <v>44783</v>
      </c>
      <c r="J1771" t="inlineStr">
        <is>
          <t>Calgary (Alberta) Canada</t>
        </is>
      </c>
      <c r="K1771" t="inlineStr">
        <is>
          <t>Calgary (Alberta) Canada</t>
        </is>
      </c>
      <c r="P1771" t="n">
        <v>1319.48</v>
      </c>
      <c r="Q1771" t="n">
        <v>127.29</v>
      </c>
      <c r="R1771" t="n">
        <v>268.33</v>
      </c>
      <c r="S1771" t="n">
        <v>165.55</v>
      </c>
      <c r="T1771" t="n">
        <v>45.62</v>
      </c>
      <c r="U1771" t="n">
        <v>1926.27</v>
      </c>
      <c r="X1771" t="inlineStr">
        <is>
          <t>aafc-aac</t>
        </is>
      </c>
      <c r="Y1771" t="inlineStr">
        <is>
          <t>Agriculture and Agri-Food Canada | Agriculture et Agroalimentaire Canada</t>
        </is>
      </c>
      <c r="Z1771" t="n">
        <v>2</v>
      </c>
      <c r="AA1771" t="n">
        <v>1926.26999999999</v>
      </c>
      <c r="AB1771">
        <f>ROUND(U1771-AA1771,2)</f>
        <v/>
      </c>
      <c r="AC1771" t="b">
        <v>0</v>
      </c>
      <c r="AD1771">
        <f>IF(U1771="","MISSING_TOTAL",IF(ABS(AB1771)&lt;=0.01,"OK","CHECK"))</f>
        <v/>
      </c>
      <c r="AE1771">
        <f>IF(U1771="","MISSING",IF(AND(AA1771&gt;0,U1771/AA1771&gt;50),"POSSIBLE_SCALE_ERROR","OK"))</f>
        <v/>
      </c>
    </row>
    <row r="1772">
      <c r="A1772" t="inlineStr">
        <is>
          <t>T-2022-P5-0016</t>
        </is>
      </c>
      <c r="B1772" t="inlineStr">
        <is>
          <t>SLE</t>
        </is>
      </c>
      <c r="C1772" t="inlineStr">
        <is>
          <t>Assistant Deputy Minister, Strategic Policy Branch</t>
        </is>
      </c>
      <c r="D1772" t="inlineStr">
        <is>
          <t>Sous-ministre adjointe, Direction générale des politiques stratégiques</t>
        </is>
      </c>
      <c r="E1772" t="inlineStr">
        <is>
          <t>Natasha Kim</t>
        </is>
      </c>
      <c r="F1772" t="inlineStr">
        <is>
          <t>To participate on an Outreach near Calgary, AB.</t>
        </is>
      </c>
      <c r="G1772" t="inlineStr">
        <is>
          <t>Participer à une campagne de la sensibilisation près de Calgary, AB.</t>
        </is>
      </c>
      <c r="H1772" s="1" t="n">
        <v>44783</v>
      </c>
      <c r="I1772" s="1" t="n">
        <v>44784</v>
      </c>
      <c r="J1772" t="inlineStr">
        <is>
          <t>Calgary (Alberta) Canada</t>
        </is>
      </c>
      <c r="K1772" t="inlineStr">
        <is>
          <t>Calgary (Alberta) Canada</t>
        </is>
      </c>
      <c r="P1772" t="n">
        <v>0</v>
      </c>
      <c r="Q1772" t="n">
        <v>0</v>
      </c>
      <c r="R1772" t="n">
        <v>207.74</v>
      </c>
      <c r="S1772" t="n">
        <v>71.7</v>
      </c>
      <c r="T1772" t="n">
        <v>0</v>
      </c>
      <c r="U1772" t="n">
        <v>279.44</v>
      </c>
      <c r="X1772" t="inlineStr">
        <is>
          <t>aafc-aac</t>
        </is>
      </c>
      <c r="Y1772" t="inlineStr">
        <is>
          <t>Agriculture and Agri-Food Canada | Agriculture et Agroalimentaire Canada</t>
        </is>
      </c>
      <c r="Z1772" t="n">
        <v>2</v>
      </c>
      <c r="AA1772" t="n">
        <v>279.44</v>
      </c>
      <c r="AB1772">
        <f>ROUND(U1772-AA1772,2)</f>
        <v/>
      </c>
      <c r="AC1772" t="b">
        <v>0</v>
      </c>
      <c r="AD1772">
        <f>IF(U1772="","MISSING_TOTAL",IF(ABS(AB1772)&lt;=0.01,"OK","CHECK"))</f>
        <v/>
      </c>
      <c r="AE1772">
        <f>IF(U1772="","MISSING",IF(AND(AA1772&gt;0,U1772/AA1772&gt;50),"POSSIBLE_SCALE_ERROR","OK"))</f>
        <v/>
      </c>
    </row>
    <row r="1773">
      <c r="A1773" t="inlineStr">
        <is>
          <t>T-2022-P5-0017</t>
        </is>
      </c>
      <c r="B1773" t="inlineStr">
        <is>
          <t>SLE</t>
        </is>
      </c>
      <c r="C1773" t="inlineStr">
        <is>
          <t>Assistant Deputy Minister, Programs Branch</t>
        </is>
      </c>
      <c r="D1773" t="inlineStr">
        <is>
          <t>Sous-ministre adjointe, Direction générale des programmes</t>
        </is>
      </c>
      <c r="E1773" t="inlineStr">
        <is>
          <t>Liz Foster</t>
        </is>
      </c>
      <c r="F1773" t="inlineStr">
        <is>
          <t>FPT Policy and BRM ADMs In Person Meeting</t>
        </is>
      </c>
      <c r="G1773" t="inlineStr">
        <is>
          <t>Réunion en personne des SMA FPT chargés des politiques et de la GRE</t>
        </is>
      </c>
      <c r="H1773" s="1" t="n">
        <v>44748</v>
      </c>
      <c r="I1773" s="1" t="n">
        <v>44749</v>
      </c>
      <c r="J1773" t="inlineStr">
        <is>
          <t>Toronto (Ontario) Canada</t>
        </is>
      </c>
      <c r="K1773" t="inlineStr">
        <is>
          <t>Toronto (Ontario) Canada</t>
        </is>
      </c>
      <c r="P1773" t="n">
        <v>1064.57</v>
      </c>
      <c r="Q1773" t="n">
        <v>0</v>
      </c>
      <c r="R1773" t="n">
        <v>151.6</v>
      </c>
      <c r="S1773" t="n">
        <v>110.9</v>
      </c>
      <c r="T1773" t="n">
        <v>0</v>
      </c>
      <c r="U1773" t="n">
        <v>1327.07</v>
      </c>
      <c r="X1773" t="inlineStr">
        <is>
          <t>aafc-aac</t>
        </is>
      </c>
      <c r="Y1773" t="inlineStr">
        <is>
          <t>Agriculture and Agri-Food Canada | Agriculture et Agroalimentaire Canada</t>
        </is>
      </c>
      <c r="Z1773" t="n">
        <v>2</v>
      </c>
      <c r="AA1773" t="n">
        <v>1327.07</v>
      </c>
      <c r="AB1773">
        <f>ROUND(U1773-AA1773,2)</f>
        <v/>
      </c>
      <c r="AC1773" t="b">
        <v>0</v>
      </c>
      <c r="AD1773">
        <f>IF(U1773="","MISSING_TOTAL",IF(ABS(AB1773)&lt;=0.01,"OK","CHECK"))</f>
        <v/>
      </c>
      <c r="AE1773">
        <f>IF(U1773="","MISSING",IF(AND(AA1773&gt;0,U1773/AA1773&gt;50),"POSSIBLE_SCALE_ERROR","OK"))</f>
        <v/>
      </c>
    </row>
    <row r="1774">
      <c r="A1774" t="inlineStr">
        <is>
          <t>T-2022-P5-0018</t>
        </is>
      </c>
      <c r="B1774" t="inlineStr">
        <is>
          <t>SLE</t>
        </is>
      </c>
      <c r="C1774" t="inlineStr">
        <is>
          <t>Assistant Deputy Minister, Programs Branch</t>
        </is>
      </c>
      <c r="D1774" t="inlineStr">
        <is>
          <t>Sous-ministre adjointe, Direction générale des programmes</t>
        </is>
      </c>
      <c r="E1774" t="inlineStr">
        <is>
          <t>Liz Foster</t>
        </is>
      </c>
      <c r="F1774" t="inlineStr">
        <is>
          <t>To attend the meetings of Federal, Provincial and Territorial Ministers of Agriculture</t>
        </is>
      </c>
      <c r="G1774" t="inlineStr">
        <is>
          <t>Pour assister aux réunions des ministres de l'agriculture des gouvernements fédéral, provinciaux et territoriaux</t>
        </is>
      </c>
      <c r="H1774" s="1" t="n">
        <v>44761</v>
      </c>
      <c r="I1774" s="1" t="n">
        <v>44764</v>
      </c>
      <c r="J1774" t="inlineStr">
        <is>
          <t>Saskatoon (Saskatchewan) Canada</t>
        </is>
      </c>
      <c r="K1774" t="inlineStr">
        <is>
          <t>Saskatoon (Saskatchewan) Canada</t>
        </is>
      </c>
      <c r="P1774" t="n">
        <v>1429.64</v>
      </c>
      <c r="Q1774" t="n">
        <v>96</v>
      </c>
      <c r="R1774" t="n">
        <v>531.63</v>
      </c>
      <c r="S1774" t="n">
        <v>244.2</v>
      </c>
      <c r="T1774" t="n">
        <v>375</v>
      </c>
      <c r="U1774" t="n">
        <v>2676.47</v>
      </c>
      <c r="X1774" t="inlineStr">
        <is>
          <t>aafc-aac</t>
        </is>
      </c>
      <c r="Y1774" t="inlineStr">
        <is>
          <t>Agriculture and Agri-Food Canada | Agriculture et Agroalimentaire Canada</t>
        </is>
      </c>
      <c r="Z1774" t="n">
        <v>4</v>
      </c>
      <c r="AA1774" t="n">
        <v>2676.47</v>
      </c>
      <c r="AB1774">
        <f>ROUND(U1774-AA1774,2)</f>
        <v/>
      </c>
      <c r="AC1774" t="b">
        <v>0</v>
      </c>
      <c r="AD1774">
        <f>IF(U1774="","MISSING_TOTAL",IF(ABS(AB1774)&lt;=0.01,"OK","CHECK"))</f>
        <v/>
      </c>
      <c r="AE1774">
        <f>IF(U1774="","MISSING",IF(AND(AA1774&gt;0,U1774/AA1774&gt;50),"POSSIBLE_SCALE_ERROR","OK"))</f>
        <v/>
      </c>
    </row>
    <row r="1775">
      <c r="A1775" t="inlineStr">
        <is>
          <t>T-2022-P5-0019</t>
        </is>
      </c>
      <c r="B1775" t="inlineStr">
        <is>
          <t>SLE</t>
        </is>
      </c>
      <c r="C1775" t="inlineStr">
        <is>
          <t>Assistant Deputy Minister, Market and Industry Services Branch</t>
        </is>
      </c>
      <c r="D1775" t="inlineStr">
        <is>
          <t>Sous-ministre adjoint, Direction générale des services à l'industrie et aux marchés</t>
        </is>
      </c>
      <c r="E1775" t="inlineStr">
        <is>
          <t>Tom Rosser</t>
        </is>
      </c>
      <c r="F1775" t="inlineStr">
        <is>
          <t>Participate in the Arrell Food Summit 2022, regional staff meetings, and a Toronto Global Forum event.</t>
        </is>
      </c>
      <c r="G1775" t="inlineStr">
        <is>
          <t>Participer au Sommet de l’alimentation Arrell 2022, aux réunions régionales du personnel et à l’événement du Forum mondial de Toronto.</t>
        </is>
      </c>
      <c r="H1775" s="1" t="n">
        <v>44738</v>
      </c>
      <c r="I1775" s="1" t="n">
        <v>44741</v>
      </c>
      <c r="J1775" t="inlineStr">
        <is>
          <t>Guelph (Ontario) Canada</t>
        </is>
      </c>
      <c r="K1775" t="inlineStr">
        <is>
          <t>Guelph (Ontario) Canada</t>
        </is>
      </c>
      <c r="P1775" t="n">
        <v>677.37</v>
      </c>
      <c r="Q1775" t="n">
        <v>495.8</v>
      </c>
      <c r="R1775" t="n">
        <v>0</v>
      </c>
      <c r="S1775" t="n">
        <v>111.15</v>
      </c>
      <c r="T1775" t="n">
        <v>0</v>
      </c>
      <c r="U1775" t="n">
        <v>1284.32</v>
      </c>
      <c r="X1775" t="inlineStr">
        <is>
          <t>aafc-aac</t>
        </is>
      </c>
      <c r="Y1775" t="inlineStr">
        <is>
          <t>Agriculture and Agri-Food Canada | Agriculture et Agroalimentaire Canada</t>
        </is>
      </c>
      <c r="Z1775" t="n">
        <v>4</v>
      </c>
      <c r="AA1775" t="n">
        <v>1284.32</v>
      </c>
      <c r="AB1775">
        <f>ROUND(U1775-AA1775,2)</f>
        <v/>
      </c>
      <c r="AC1775" t="b">
        <v>0</v>
      </c>
      <c r="AD1775">
        <f>IF(U1775="","MISSING_TOTAL",IF(ABS(AB1775)&lt;=0.01,"OK","CHECK"))</f>
        <v/>
      </c>
      <c r="AE1775">
        <f>IF(U1775="","MISSING",IF(AND(AA1775&gt;0,U1775/AA1775&gt;50),"POSSIBLE_SCALE_ERROR","OK"))</f>
        <v/>
      </c>
    </row>
    <row r="1776">
      <c r="A1776" t="inlineStr">
        <is>
          <t>T-2022-P5-0020</t>
        </is>
      </c>
      <c r="B1776" t="inlineStr">
        <is>
          <t>SLE</t>
        </is>
      </c>
      <c r="C1776" t="inlineStr">
        <is>
          <t>Assistant Deputy Minister, Market and Industry Services Branch</t>
        </is>
      </c>
      <c r="D1776" t="inlineStr">
        <is>
          <t>Sous-ministre adjoint, Direction générale des services à l'industrie et aux marchés</t>
        </is>
      </c>
      <c r="E1776" t="inlineStr">
        <is>
          <t>Tom Rosser</t>
        </is>
      </c>
      <c r="F1776" t="inlineStr">
        <is>
          <t>Participate in the meetings of Federal, Provincial and Territorial Ministers of Agriculture and regional outreach.</t>
        </is>
      </c>
      <c r="G1776" t="inlineStr">
        <is>
          <t>Participer aux réunions des ministres de l'agriculture des gouvernements fédéral, provinciaux et territoriaux et de la sensibilisation régionale.</t>
        </is>
      </c>
      <c r="H1776" s="1" t="n">
        <v>44760</v>
      </c>
      <c r="I1776" s="1" t="n">
        <v>44765</v>
      </c>
      <c r="J1776" t="inlineStr">
        <is>
          <t>Saskatoon (Saskatchewan) Canada</t>
        </is>
      </c>
      <c r="K1776" t="inlineStr">
        <is>
          <t>Saskatoon (Saskatchewan) Canada</t>
        </is>
      </c>
      <c r="P1776" t="n">
        <v>1539.87</v>
      </c>
      <c r="Q1776" t="n">
        <v>147.67</v>
      </c>
      <c r="R1776" t="n">
        <v>880.2</v>
      </c>
      <c r="S1776" t="n">
        <v>596.05</v>
      </c>
      <c r="T1776" t="n">
        <v>423.49</v>
      </c>
      <c r="U1776" t="n">
        <v>3587.28</v>
      </c>
      <c r="X1776" t="inlineStr">
        <is>
          <t>aafc-aac</t>
        </is>
      </c>
      <c r="Y1776" t="inlineStr">
        <is>
          <t>Agriculture and Agri-Food Canada | Agriculture et Agroalimentaire Canada</t>
        </is>
      </c>
      <c r="Z1776" t="n">
        <v>6</v>
      </c>
      <c r="AA1776" t="n">
        <v>3587.27999999999</v>
      </c>
      <c r="AB1776">
        <f>ROUND(U1776-AA1776,2)</f>
        <v/>
      </c>
      <c r="AC1776" t="b">
        <v>0</v>
      </c>
      <c r="AD1776">
        <f>IF(U1776="","MISSING_TOTAL",IF(ABS(AB1776)&lt;=0.01,"OK","CHECK"))</f>
        <v/>
      </c>
      <c r="AE1776">
        <f>IF(U1776="","MISSING",IF(AND(AA1776&gt;0,U1776/AA1776&gt;50),"POSSIBLE_SCALE_ERROR","OK"))</f>
        <v/>
      </c>
    </row>
    <row r="1777">
      <c r="A1777" t="inlineStr">
        <is>
          <t>T-2022-P6-0001</t>
        </is>
      </c>
      <c r="B1777" t="inlineStr">
        <is>
          <t>MPSES</t>
        </is>
      </c>
      <c r="C1777" t="inlineStr">
        <is>
          <t>Minister</t>
        </is>
      </c>
      <c r="D1777" t="inlineStr">
        <is>
          <t>Ministre</t>
        </is>
      </c>
      <c r="E1777" t="inlineStr">
        <is>
          <t>Marie-Claude Bibeau</t>
        </is>
      </c>
      <c r="F1777" t="inlineStr">
        <is>
          <t>To attend the Federal-Provincial-Teritorial meeting</t>
        </is>
      </c>
      <c r="G1777" t="inlineStr">
        <is>
          <t>Pour assister à la rencontre fédérale-provinciale-territoriale</t>
        </is>
      </c>
      <c r="H1777" s="1" t="n">
        <v>44761</v>
      </c>
      <c r="I1777" s="1" t="n">
        <v>44761</v>
      </c>
      <c r="J1777" t="inlineStr">
        <is>
          <t>Saskatoon (Saskatchewan) Canada</t>
        </is>
      </c>
      <c r="K1777" t="inlineStr">
        <is>
          <t>Saskatoon (Saskatchewan) Canada</t>
        </is>
      </c>
      <c r="P1777" t="n">
        <v>0</v>
      </c>
      <c r="Q1777" t="n">
        <v>0</v>
      </c>
      <c r="R1777" t="n">
        <v>0</v>
      </c>
      <c r="S1777" t="n">
        <v>0</v>
      </c>
      <c r="T1777" t="n">
        <v>375</v>
      </c>
      <c r="U1777" t="n">
        <v>375</v>
      </c>
      <c r="V1777" t="inlineStr">
        <is>
          <t>Conference fee only</t>
        </is>
      </c>
      <c r="W1777" t="inlineStr">
        <is>
          <t>Frais de conférence seulement</t>
        </is>
      </c>
      <c r="X1777" t="inlineStr">
        <is>
          <t>aafc-aac</t>
        </is>
      </c>
      <c r="Y1777" t="inlineStr">
        <is>
          <t>Agriculture and Agri-Food Canada | Agriculture et Agroalimentaire Canada</t>
        </is>
      </c>
      <c r="Z1777" t="n">
        <v>1</v>
      </c>
      <c r="AA1777" t="n">
        <v>375</v>
      </c>
      <c r="AB1777">
        <f>ROUND(U1777-AA1777,2)</f>
        <v/>
      </c>
      <c r="AC1777" t="b">
        <v>0</v>
      </c>
      <c r="AD1777">
        <f>IF(U1777="","MISSING_TOTAL",IF(ABS(AB1777)&lt;=0.01,"OK","CHECK"))</f>
        <v/>
      </c>
      <c r="AE1777">
        <f>IF(U1777="","MISSING",IF(AND(AA1777&gt;0,U1777/AA1777&gt;50),"POSSIBLE_SCALE_ERROR","OK"))</f>
        <v/>
      </c>
    </row>
    <row r="1778">
      <c r="A1778" t="inlineStr">
        <is>
          <t>T-2022-P6-0002</t>
        </is>
      </c>
      <c r="B1778" t="inlineStr">
        <is>
          <t>MPSES</t>
        </is>
      </c>
      <c r="C1778" t="inlineStr">
        <is>
          <t>Minister</t>
        </is>
      </c>
      <c r="D1778" t="inlineStr">
        <is>
          <t>Ministre</t>
        </is>
      </c>
      <c r="E1778" t="inlineStr">
        <is>
          <t>Marie-Claude Bibeau</t>
        </is>
      </c>
      <c r="F1778" t="inlineStr">
        <is>
          <t>To attend the Northern Ontario Tour</t>
        </is>
      </c>
      <c r="G1778" t="inlineStr">
        <is>
          <t>Pour assister à la tournée du Nord de l'Ontario</t>
        </is>
      </c>
      <c r="H1778" s="1" t="n">
        <v>44783</v>
      </c>
      <c r="I1778" s="1" t="n">
        <v>44785</v>
      </c>
      <c r="J1778" t="inlineStr">
        <is>
          <t>Sudbury (Ontario) Canada</t>
        </is>
      </c>
      <c r="K1778" t="inlineStr">
        <is>
          <t>Sudbury (Ontario) Canada</t>
        </is>
      </c>
      <c r="P1778" t="n">
        <v>796.3099999999999</v>
      </c>
      <c r="Q1778" t="n">
        <v>0</v>
      </c>
      <c r="R1778" t="n">
        <v>282.02</v>
      </c>
      <c r="S1778" t="n">
        <v>130.95</v>
      </c>
      <c r="T1778" t="n">
        <v>0</v>
      </c>
      <c r="U1778" t="n">
        <v>1209.28</v>
      </c>
      <c r="V1778" t="inlineStr">
        <is>
          <t>No Conference Fees</t>
        </is>
      </c>
      <c r="W1778" t="inlineStr">
        <is>
          <t>Pas de frais de conférence</t>
        </is>
      </c>
      <c r="X1778" t="inlineStr">
        <is>
          <t>aafc-aac</t>
        </is>
      </c>
      <c r="Y1778" t="inlineStr">
        <is>
          <t>Agriculture and Agri-Food Canada | Agriculture et Agroalimentaire Canada</t>
        </is>
      </c>
      <c r="Z1778" t="n">
        <v>3</v>
      </c>
      <c r="AA1778" t="n">
        <v>1209.28</v>
      </c>
      <c r="AB1778">
        <f>ROUND(U1778-AA1778,2)</f>
        <v/>
      </c>
      <c r="AC1778" t="b">
        <v>0</v>
      </c>
      <c r="AD1778">
        <f>IF(U1778="","MISSING_TOTAL",IF(ABS(AB1778)&lt;=0.01,"OK","CHECK"))</f>
        <v/>
      </c>
      <c r="AE1778">
        <f>IF(U1778="","MISSING",IF(AND(AA1778&gt;0,U1778/AA1778&gt;50),"POSSIBLE_SCALE_ERROR","OK"))</f>
        <v/>
      </c>
    </row>
    <row r="1779">
      <c r="A1779" t="inlineStr">
        <is>
          <t>T-2022-P6-0003</t>
        </is>
      </c>
      <c r="B1779" t="inlineStr">
        <is>
          <t>MPSES</t>
        </is>
      </c>
      <c r="C1779" t="inlineStr">
        <is>
          <t>Minister</t>
        </is>
      </c>
      <c r="D1779" t="inlineStr">
        <is>
          <t>Ministre</t>
        </is>
      </c>
      <c r="E1779" t="inlineStr">
        <is>
          <t>Marie-Claude Bibeau</t>
        </is>
      </c>
      <c r="F1779" t="inlineStr">
        <is>
          <t>To attend the Atlantic Tour</t>
        </is>
      </c>
      <c r="G1779" t="inlineStr">
        <is>
          <t>Pour assister à la tournée Atlantique</t>
        </is>
      </c>
      <c r="H1779" s="1" t="n">
        <v>44787</v>
      </c>
      <c r="I1779" s="1" t="n">
        <v>44789</v>
      </c>
      <c r="J1779" t="inlineStr">
        <is>
          <t>Halifax (Nova-Scotia) Canada</t>
        </is>
      </c>
      <c r="K1779" t="inlineStr">
        <is>
          <t>Halifax (Nouvelle-Écosse) Canada</t>
        </is>
      </c>
      <c r="P1779" t="n">
        <v>1102.38</v>
      </c>
      <c r="Q1779" t="n">
        <v>0</v>
      </c>
      <c r="R1779" t="n">
        <v>384.75</v>
      </c>
      <c r="S1779" t="n">
        <v>174.75</v>
      </c>
      <c r="T1779" t="n">
        <v>0</v>
      </c>
      <c r="U1779" t="n">
        <v>1661.88</v>
      </c>
      <c r="V1779" t="inlineStr">
        <is>
          <t>No Conference Fees</t>
        </is>
      </c>
      <c r="W1779" t="inlineStr">
        <is>
          <t>Pas de frais de conférence</t>
        </is>
      </c>
      <c r="X1779" t="inlineStr">
        <is>
          <t>aafc-aac</t>
        </is>
      </c>
      <c r="Y1779" t="inlineStr">
        <is>
          <t>Agriculture and Agri-Food Canada | Agriculture et Agroalimentaire Canada</t>
        </is>
      </c>
      <c r="Z1779" t="n">
        <v>3</v>
      </c>
      <c r="AA1779" t="n">
        <v>1661.88</v>
      </c>
      <c r="AB1779">
        <f>ROUND(U1779-AA1779,2)</f>
        <v/>
      </c>
      <c r="AC1779" t="b">
        <v>0</v>
      </c>
      <c r="AD1779">
        <f>IF(U1779="","MISSING_TOTAL",IF(ABS(AB1779)&lt;=0.01,"OK","CHECK"))</f>
        <v/>
      </c>
      <c r="AE1779">
        <f>IF(U1779="","MISSING",IF(AND(AA1779&gt;0,U1779/AA1779&gt;50),"POSSIBLE_SCALE_ERROR","OK"))</f>
        <v/>
      </c>
    </row>
    <row r="1780">
      <c r="A1780" t="inlineStr">
        <is>
          <t>T-2022-P6-0004</t>
        </is>
      </c>
      <c r="B1780" t="inlineStr">
        <is>
          <t>MPSES</t>
        </is>
      </c>
      <c r="C1780" t="inlineStr">
        <is>
          <t>Minister</t>
        </is>
      </c>
      <c r="D1780" t="inlineStr">
        <is>
          <t>Ministre</t>
        </is>
      </c>
      <c r="E1780" t="inlineStr">
        <is>
          <t>Marie-Claude Bibeau</t>
        </is>
      </c>
      <c r="F1780" t="inlineStr">
        <is>
          <t>To attend a roundtable with women farmers and a visit to Living Labs</t>
        </is>
      </c>
      <c r="G1780" t="inlineStr">
        <is>
          <t>Participer à une table ronde avec des agricultrices et à une visite du laboratoire vivant</t>
        </is>
      </c>
      <c r="H1780" s="1" t="n">
        <v>44799</v>
      </c>
      <c r="I1780" s="1" t="n">
        <v>44803</v>
      </c>
      <c r="J1780" t="inlineStr">
        <is>
          <t>Rivière-du-Loup (Quebec) Canada
Rimouski (Quebec) Canada
Sainte-Anne-des-Monts (Quebec) Canada
Lévis (Quebec) Canada</t>
        </is>
      </c>
      <c r="K1780" t="inlineStr">
        <is>
          <t>Rivière-du-Loup (Québec) Canada
Rimouski (Québec) Canada
Sainte-Anne-des-Monts (Québec) Canada
Lévis (Québec) Canada</t>
        </is>
      </c>
      <c r="P1780" t="n">
        <v>0</v>
      </c>
      <c r="Q1780" t="n">
        <v>0</v>
      </c>
      <c r="R1780" t="n">
        <v>916.6900000000001</v>
      </c>
      <c r="S1780" t="n">
        <v>415.95</v>
      </c>
      <c r="T1780" t="n">
        <v>0</v>
      </c>
      <c r="U1780" t="n">
        <v>1332.64</v>
      </c>
      <c r="V1780" t="inlineStr">
        <is>
          <t>No Conference Fees</t>
        </is>
      </c>
      <c r="W1780" t="inlineStr">
        <is>
          <t>Pas de frais de conférence</t>
        </is>
      </c>
      <c r="X1780" t="inlineStr">
        <is>
          <t>aafc-aac</t>
        </is>
      </c>
      <c r="Y1780" t="inlineStr">
        <is>
          <t>Agriculture and Agri-Food Canada | Agriculture et Agroalimentaire Canada</t>
        </is>
      </c>
      <c r="Z1780" t="n">
        <v>5</v>
      </c>
      <c r="AA1780" t="n">
        <v>1332.64</v>
      </c>
      <c r="AB1780">
        <f>ROUND(U1780-AA1780,2)</f>
        <v/>
      </c>
      <c r="AC1780" t="b">
        <v>0</v>
      </c>
      <c r="AD1780">
        <f>IF(U1780="","MISSING_TOTAL",IF(ABS(AB1780)&lt;=0.01,"OK","CHECK"))</f>
        <v/>
      </c>
      <c r="AE1780">
        <f>IF(U1780="","MISSING",IF(AND(AA1780&gt;0,U1780/AA1780&gt;50),"POSSIBLE_SCALE_ERROR","OK"))</f>
        <v/>
      </c>
    </row>
    <row r="1781">
      <c r="A1781" t="inlineStr">
        <is>
          <t>T-2022-P6-0005</t>
        </is>
      </c>
      <c r="B1781" t="inlineStr">
        <is>
          <t>MPSES</t>
        </is>
      </c>
      <c r="C1781" t="inlineStr">
        <is>
          <t>Minister</t>
        </is>
      </c>
      <c r="D1781" t="inlineStr">
        <is>
          <t>Ministre</t>
        </is>
      </c>
      <c r="E1781" t="inlineStr">
        <is>
          <t>Marie-Claude Bibeau</t>
        </is>
      </c>
      <c r="F1781" t="inlineStr">
        <is>
          <t>To attend the Minister's Cabinet Retreat</t>
        </is>
      </c>
      <c r="G1781" t="inlineStr">
        <is>
          <t>Pour assister à la Retraite du Cabinet du Ministre</t>
        </is>
      </c>
      <c r="H1781" s="1" t="n">
        <v>44810</v>
      </c>
      <c r="I1781" s="1" t="n">
        <v>44813</v>
      </c>
      <c r="J1781" t="inlineStr">
        <is>
          <t>Vancouver (British Columbia) Canada</t>
        </is>
      </c>
      <c r="K1781" t="inlineStr">
        <is>
          <t>Vancouver (Colombie-Britannique) Canada</t>
        </is>
      </c>
      <c r="P1781" t="n">
        <v>1552.81</v>
      </c>
      <c r="Q1781" t="n">
        <v>0</v>
      </c>
      <c r="R1781" t="n">
        <v>1221.49</v>
      </c>
      <c r="S1781" t="n">
        <v>295.1</v>
      </c>
      <c r="T1781" t="n">
        <v>0</v>
      </c>
      <c r="U1781" t="n">
        <v>3069.4</v>
      </c>
      <c r="V1781" t="inlineStr">
        <is>
          <t>No Conference Fees</t>
        </is>
      </c>
      <c r="W1781" t="inlineStr">
        <is>
          <t>Pas de frais de conférence</t>
        </is>
      </c>
      <c r="X1781" t="inlineStr">
        <is>
          <t>aafc-aac</t>
        </is>
      </c>
      <c r="Y1781" t="inlineStr">
        <is>
          <t>Agriculture and Agri-Food Canada | Agriculture et Agroalimentaire Canada</t>
        </is>
      </c>
      <c r="Z1781" t="n">
        <v>4</v>
      </c>
      <c r="AA1781" t="n">
        <v>3069.4</v>
      </c>
      <c r="AB1781">
        <f>ROUND(U1781-AA1781,2)</f>
        <v/>
      </c>
      <c r="AC1781" t="b">
        <v>0</v>
      </c>
      <c r="AD1781">
        <f>IF(U1781="","MISSING_TOTAL",IF(ABS(AB1781)&lt;=0.01,"OK","CHECK"))</f>
        <v/>
      </c>
      <c r="AE1781">
        <f>IF(U1781="","MISSING",IF(AND(AA1781&gt;0,U1781/AA1781&gt;50),"POSSIBLE_SCALE_ERROR","OK"))</f>
        <v/>
      </c>
    </row>
    <row r="1782">
      <c r="A1782" t="inlineStr">
        <is>
          <t>T-2022-P6-0006</t>
        </is>
      </c>
      <c r="B1782" t="inlineStr">
        <is>
          <t>MPSES</t>
        </is>
      </c>
      <c r="C1782" t="inlineStr">
        <is>
          <t>Policy Advisor</t>
        </is>
      </c>
      <c r="D1782" t="inlineStr">
        <is>
          <t>Conseiller en politiques</t>
        </is>
      </c>
      <c r="E1782" t="inlineStr">
        <is>
          <t>Emerson Vanderberg</t>
        </is>
      </c>
      <c r="F1782" t="inlineStr">
        <is>
          <t>To accomany the Minister to attend the Manitoba Outreach and the Federal-Provincial-Teritorial meeting</t>
        </is>
      </c>
      <c r="G1782" t="inlineStr">
        <is>
          <t>Pour accompagner la Ministre pour assister à la sensibilisation du Manitoba et à la réunion fédérale-provinciale-territoriale</t>
        </is>
      </c>
      <c r="H1782" s="1" t="n">
        <v>44761</v>
      </c>
      <c r="I1782" s="1" t="n">
        <v>44765</v>
      </c>
      <c r="J1782" t="inlineStr">
        <is>
          <t>Saskatoon (Saskatchewan) Canada
Winnipeg (Manitoba) Canada</t>
        </is>
      </c>
      <c r="K1782" t="inlineStr">
        <is>
          <t>Saskatoon (Saskatchewan) Canada
Winnipeg (Manitoba) Canada</t>
        </is>
      </c>
      <c r="P1782" t="n">
        <v>2674.66</v>
      </c>
      <c r="Q1782" t="n">
        <v>43.15</v>
      </c>
      <c r="R1782" t="n">
        <v>904.78</v>
      </c>
      <c r="S1782" t="n">
        <v>426.3</v>
      </c>
      <c r="T1782" t="n">
        <v>375</v>
      </c>
      <c r="U1782" t="n">
        <v>4423.89</v>
      </c>
      <c r="V1782" t="inlineStr">
        <is>
          <t>Conference fee of $375 included</t>
        </is>
      </c>
      <c r="W1782" t="inlineStr">
        <is>
          <t>Frais de conférence de 375 $ inclus</t>
        </is>
      </c>
      <c r="X1782" t="inlineStr">
        <is>
          <t>aafc-aac</t>
        </is>
      </c>
      <c r="Y1782" t="inlineStr">
        <is>
          <t>Agriculture and Agri-Food Canada | Agriculture et Agroalimentaire Canada</t>
        </is>
      </c>
      <c r="Z1782" t="n">
        <v>5</v>
      </c>
      <c r="AA1782" t="n">
        <v>4423.89</v>
      </c>
      <c r="AB1782">
        <f>ROUND(U1782-AA1782,2)</f>
        <v/>
      </c>
      <c r="AC1782" t="b">
        <v>0</v>
      </c>
      <c r="AD1782">
        <f>IF(U1782="","MISSING_TOTAL",IF(ABS(AB1782)&lt;=0.01,"OK","CHECK"))</f>
        <v/>
      </c>
      <c r="AE1782">
        <f>IF(U1782="","MISSING",IF(AND(AA1782&gt;0,U1782/AA1782&gt;50),"POSSIBLE_SCALE_ERROR","OK"))</f>
        <v/>
      </c>
    </row>
    <row r="1783">
      <c r="A1783" t="inlineStr">
        <is>
          <t>T-2022-P6-0007</t>
        </is>
      </c>
      <c r="B1783" t="inlineStr">
        <is>
          <t>MPSES</t>
        </is>
      </c>
      <c r="C1783" t="inlineStr">
        <is>
          <t>Press Secretary</t>
        </is>
      </c>
      <c r="D1783" t="inlineStr">
        <is>
          <t>Attachée de presse</t>
        </is>
      </c>
      <c r="E1783" t="inlineStr">
        <is>
          <t>Marianne Dandurand</t>
        </is>
      </c>
      <c r="F1783" t="inlineStr">
        <is>
          <t>To accompany the Minister to the Calgary Stampede and to Winnipeg for the Manitoba Outreach.</t>
        </is>
      </c>
      <c r="G1783" t="inlineStr">
        <is>
          <t>Pour accompagner la ministre au Stampede de Calagary et lors d'une campagne de sensibilisation à Winnipeg, Manitoba</t>
        </is>
      </c>
      <c r="H1783" s="1" t="n">
        <v>44754</v>
      </c>
      <c r="I1783" s="1" t="n">
        <v>44759</v>
      </c>
      <c r="J1783" t="inlineStr">
        <is>
          <t>Calagary (Alberta) Canada
Winnipeg (Manitoba) Canada</t>
        </is>
      </c>
      <c r="K1783" t="inlineStr">
        <is>
          <t>Calagary (Alberta) Canada
Winnipeg (Manitoba) Canada</t>
        </is>
      </c>
      <c r="P1783" t="n">
        <v>2368.52</v>
      </c>
      <c r="Q1783" t="n">
        <v>194.87</v>
      </c>
      <c r="R1783" t="n">
        <v>1438.18</v>
      </c>
      <c r="S1783" t="n">
        <v>645.35</v>
      </c>
      <c r="T1783" t="n">
        <v>0</v>
      </c>
      <c r="U1783" t="n">
        <v>4646.92</v>
      </c>
      <c r="V1783" t="inlineStr">
        <is>
          <t>No Conference Fees</t>
        </is>
      </c>
      <c r="W1783" t="inlineStr">
        <is>
          <t>Pas de frais de conférence</t>
        </is>
      </c>
      <c r="X1783" t="inlineStr">
        <is>
          <t>aafc-aac</t>
        </is>
      </c>
      <c r="Y1783" t="inlineStr">
        <is>
          <t>Agriculture and Agri-Food Canada | Agriculture et Agroalimentaire Canada</t>
        </is>
      </c>
      <c r="Z1783" t="n">
        <v>6</v>
      </c>
      <c r="AA1783" t="n">
        <v>4646.92</v>
      </c>
      <c r="AB1783">
        <f>ROUND(U1783-AA1783,2)</f>
        <v/>
      </c>
      <c r="AC1783" t="b">
        <v>0</v>
      </c>
      <c r="AD1783">
        <f>IF(U1783="","MISSING_TOTAL",IF(ABS(AB1783)&lt;=0.01,"OK","CHECK"))</f>
        <v/>
      </c>
      <c r="AE1783">
        <f>IF(U1783="","MISSING",IF(AND(AA1783&gt;0,U1783/AA1783&gt;50),"POSSIBLE_SCALE_ERROR","OK"))</f>
        <v/>
      </c>
    </row>
    <row r="1784">
      <c r="A1784" t="inlineStr">
        <is>
          <t>T-2022-P6-0008</t>
        </is>
      </c>
      <c r="B1784" t="inlineStr">
        <is>
          <t>MPSES</t>
        </is>
      </c>
      <c r="C1784" t="inlineStr">
        <is>
          <t>Press Secretary</t>
        </is>
      </c>
      <c r="D1784" t="inlineStr">
        <is>
          <t>Attachée de presse</t>
        </is>
      </c>
      <c r="E1784" t="inlineStr">
        <is>
          <t>Marianne Dandurand</t>
        </is>
      </c>
      <c r="F1784" t="inlineStr">
        <is>
          <t>To accompany the Minister for the Atlantic Tour</t>
        </is>
      </c>
      <c r="G1784" t="inlineStr">
        <is>
          <t>Pour accompagner la Ministre pour la tournée en Altantique</t>
        </is>
      </c>
      <c r="H1784" s="1" t="n">
        <v>44787</v>
      </c>
      <c r="I1784" s="1" t="n">
        <v>44789</v>
      </c>
      <c r="J1784" t="inlineStr">
        <is>
          <t>Halifax (Nova-Scotia) Canada</t>
        </is>
      </c>
      <c r="K1784" t="inlineStr">
        <is>
          <t>Halifax (Nouvelle-Écosse) Canada</t>
        </is>
      </c>
      <c r="P1784" t="n">
        <v>901.7</v>
      </c>
      <c r="Q1784" t="n">
        <v>0</v>
      </c>
      <c r="R1784" t="n">
        <v>384.75</v>
      </c>
      <c r="S1784" t="n">
        <v>174.75</v>
      </c>
      <c r="T1784" t="n">
        <v>0</v>
      </c>
      <c r="U1784" t="n">
        <v>1461.2</v>
      </c>
      <c r="V1784" t="inlineStr">
        <is>
          <t>No Conference Fees</t>
        </is>
      </c>
      <c r="W1784" t="inlineStr">
        <is>
          <t>Pas de frais de conférence</t>
        </is>
      </c>
      <c r="X1784" t="inlineStr">
        <is>
          <t>aafc-aac</t>
        </is>
      </c>
      <c r="Y1784" t="inlineStr">
        <is>
          <t>Agriculture and Agri-Food Canada | Agriculture et Agroalimentaire Canada</t>
        </is>
      </c>
      <c r="Z1784" t="n">
        <v>3</v>
      </c>
      <c r="AA1784" t="n">
        <v>1461.2</v>
      </c>
      <c r="AB1784">
        <f>ROUND(U1784-AA1784,2)</f>
        <v/>
      </c>
      <c r="AC1784" t="b">
        <v>0</v>
      </c>
      <c r="AD1784">
        <f>IF(U1784="","MISSING_TOTAL",IF(ABS(AB1784)&lt;=0.01,"OK","CHECK"))</f>
        <v/>
      </c>
      <c r="AE1784">
        <f>IF(U1784="","MISSING",IF(AND(AA1784&gt;0,U1784/AA1784&gt;50),"POSSIBLE_SCALE_ERROR","OK"))</f>
        <v/>
      </c>
    </row>
    <row r="1785">
      <c r="A1785" t="inlineStr">
        <is>
          <t>T-2022-P6-0009</t>
        </is>
      </c>
      <c r="B1785" t="inlineStr">
        <is>
          <t>MPSES</t>
        </is>
      </c>
      <c r="C1785" t="inlineStr">
        <is>
          <t>Press Secretary</t>
        </is>
      </c>
      <c r="D1785" t="inlineStr">
        <is>
          <t>Attachée de presse</t>
        </is>
      </c>
      <c r="E1785" t="inlineStr">
        <is>
          <t>Marianne Dandurand</t>
        </is>
      </c>
      <c r="F1785" t="inlineStr">
        <is>
          <t>To accompany the Minister for the Canadian Agricultural Youth Council</t>
        </is>
      </c>
      <c r="G1785" t="inlineStr">
        <is>
          <t>Pour accompagner la Ministre au Conseil canadien de la jeunesse agricole</t>
        </is>
      </c>
      <c r="H1785" s="1" t="n">
        <v>44797</v>
      </c>
      <c r="I1785" s="1" t="n">
        <v>44797</v>
      </c>
      <c r="J1785" t="inlineStr">
        <is>
          <t>Dorval (Quebec) Canada</t>
        </is>
      </c>
      <c r="K1785" t="inlineStr">
        <is>
          <t>Dorval (Québec) Canada</t>
        </is>
      </c>
      <c r="P1785" t="n">
        <v>0</v>
      </c>
      <c r="Q1785" t="n">
        <v>217.76</v>
      </c>
      <c r="R1785" t="n">
        <v>0</v>
      </c>
      <c r="S1785" t="n">
        <v>54.4</v>
      </c>
      <c r="T1785" t="n">
        <v>0</v>
      </c>
      <c r="U1785" t="n">
        <v>272.16</v>
      </c>
      <c r="V1785" t="inlineStr">
        <is>
          <t>No Conference Fees</t>
        </is>
      </c>
      <c r="W1785" t="inlineStr">
        <is>
          <t>Pas de frais de conférence</t>
        </is>
      </c>
      <c r="X1785" t="inlineStr">
        <is>
          <t>aafc-aac</t>
        </is>
      </c>
      <c r="Y1785" t="inlineStr">
        <is>
          <t>Agriculture and Agri-Food Canada | Agriculture et Agroalimentaire Canada</t>
        </is>
      </c>
      <c r="Z1785" t="n">
        <v>1</v>
      </c>
      <c r="AA1785" t="n">
        <v>272.159999999999</v>
      </c>
      <c r="AB1785">
        <f>ROUND(U1785-AA1785,2)</f>
        <v/>
      </c>
      <c r="AC1785" t="b">
        <v>0</v>
      </c>
      <c r="AD1785">
        <f>IF(U1785="","MISSING_TOTAL",IF(ABS(AB1785)&lt;=0.01,"OK","CHECK"))</f>
        <v/>
      </c>
      <c r="AE1785">
        <f>IF(U1785="","MISSING",IF(AND(AA1785&gt;0,U1785/AA1785&gt;50),"POSSIBLE_SCALE_ERROR","OK"))</f>
        <v/>
      </c>
    </row>
    <row r="1786">
      <c r="A1786" t="inlineStr">
        <is>
          <t>T-2022-P6-0010</t>
        </is>
      </c>
      <c r="B1786" t="inlineStr">
        <is>
          <t>MPSES</t>
        </is>
      </c>
      <c r="C1786" t="inlineStr">
        <is>
          <t>Press Secretary</t>
        </is>
      </c>
      <c r="D1786" t="inlineStr">
        <is>
          <t>Attachée de presse</t>
        </is>
      </c>
      <c r="E1786" t="inlineStr">
        <is>
          <t>Marianne Dandurand</t>
        </is>
      </c>
      <c r="F1786" t="inlineStr">
        <is>
          <t>To accompany the Minister to a roundtable with women farmers and a visit to Living Labs</t>
        </is>
      </c>
      <c r="G1786" t="inlineStr">
        <is>
          <t>Pour participer à une table ronde avec des agricultrices et à une visite du laboratoire vivant</t>
        </is>
      </c>
      <c r="H1786" s="1" t="n">
        <v>44799</v>
      </c>
      <c r="I1786" s="1" t="n">
        <v>44803</v>
      </c>
      <c r="J1786" t="inlineStr">
        <is>
          <t>Rivière-du-Loup (Quebec) Canada
Rimouski (Quebec) Canada
St-Anne-des-Monts (Quebec) Canada
Lévis (Quebec) Canada</t>
        </is>
      </c>
      <c r="K1786" t="inlineStr">
        <is>
          <t>Rivière-du-Loup (Québec) Canada
Rimouski (Québec) Canada
Sainte-Anne-des-Monts (Québec) Canada
Lévis (Québec) Canada</t>
        </is>
      </c>
      <c r="P1786" t="n">
        <v>0</v>
      </c>
      <c r="Q1786" t="n">
        <v>0</v>
      </c>
      <c r="R1786" t="n">
        <v>977.02</v>
      </c>
      <c r="S1786" t="n">
        <v>415.95</v>
      </c>
      <c r="T1786" t="n">
        <v>0</v>
      </c>
      <c r="U1786" t="n">
        <v>1392.97</v>
      </c>
      <c r="V1786" t="inlineStr">
        <is>
          <t>No Conference Fees</t>
        </is>
      </c>
      <c r="W1786" t="inlineStr">
        <is>
          <t>Pas de frais de conférence</t>
        </is>
      </c>
      <c r="X1786" t="inlineStr">
        <is>
          <t>aafc-aac</t>
        </is>
      </c>
      <c r="Y1786" t="inlineStr">
        <is>
          <t>Agriculture and Agri-Food Canada | Agriculture et Agroalimentaire Canada</t>
        </is>
      </c>
      <c r="Z1786" t="n">
        <v>5</v>
      </c>
      <c r="AA1786" t="n">
        <v>1392.97</v>
      </c>
      <c r="AB1786">
        <f>ROUND(U1786-AA1786,2)</f>
        <v/>
      </c>
      <c r="AC1786" t="b">
        <v>0</v>
      </c>
      <c r="AD1786">
        <f>IF(U1786="","MISSING_TOTAL",IF(ABS(AB1786)&lt;=0.01,"OK","CHECK"))</f>
        <v/>
      </c>
      <c r="AE1786">
        <f>IF(U1786="","MISSING",IF(AND(AA1786&gt;0,U1786/AA1786&gt;50),"POSSIBLE_SCALE_ERROR","OK"))</f>
        <v/>
      </c>
    </row>
    <row r="1787">
      <c r="A1787" t="inlineStr">
        <is>
          <t>T-2022-P6-0011</t>
        </is>
      </c>
      <c r="B1787" t="inlineStr">
        <is>
          <t>MPSES</t>
        </is>
      </c>
      <c r="C1787" t="inlineStr">
        <is>
          <t>Press Secretary</t>
        </is>
      </c>
      <c r="D1787" t="inlineStr">
        <is>
          <t>Attachée de presse</t>
        </is>
      </c>
      <c r="E1787" t="inlineStr">
        <is>
          <t>Marianne Dandurand</t>
        </is>
      </c>
      <c r="F1787" t="inlineStr">
        <is>
          <t>Drive the Minister to the Montreal airport to catch her flight to Vancouver</t>
        </is>
      </c>
      <c r="G1787" t="inlineStr">
        <is>
          <t>Pour conduire la Ministre à l'aéroport de Montréal pour prendre son vol vers Vancouver</t>
        </is>
      </c>
      <c r="H1787" s="1" t="n">
        <v>44809</v>
      </c>
      <c r="I1787" s="1" t="n">
        <v>44809</v>
      </c>
      <c r="J1787" t="inlineStr">
        <is>
          <t>Montréal (Quebec) Canada</t>
        </is>
      </c>
      <c r="K1787" t="inlineStr">
        <is>
          <t>Montréal (Québec) Canada</t>
        </is>
      </c>
      <c r="P1787" t="n">
        <v>0</v>
      </c>
      <c r="Q1787" t="n">
        <v>176.9</v>
      </c>
      <c r="R1787" t="n">
        <v>0</v>
      </c>
      <c r="S1787" t="n">
        <v>54.4</v>
      </c>
      <c r="T1787" t="n">
        <v>0</v>
      </c>
      <c r="U1787" t="n">
        <v>231.3</v>
      </c>
      <c r="V1787" t="inlineStr">
        <is>
          <t>No Conference Fees</t>
        </is>
      </c>
      <c r="W1787" t="inlineStr">
        <is>
          <t>Pas de frais de conférence</t>
        </is>
      </c>
      <c r="X1787" t="inlineStr">
        <is>
          <t>aafc-aac</t>
        </is>
      </c>
      <c r="Y1787" t="inlineStr">
        <is>
          <t>Agriculture and Agri-Food Canada | Agriculture et Agroalimentaire Canada</t>
        </is>
      </c>
      <c r="Z1787" t="n">
        <v>1</v>
      </c>
      <c r="AA1787" t="n">
        <v>231.3</v>
      </c>
      <c r="AB1787">
        <f>ROUND(U1787-AA1787,2)</f>
        <v/>
      </c>
      <c r="AC1787" t="b">
        <v>0</v>
      </c>
      <c r="AD1787">
        <f>IF(U1787="","MISSING_TOTAL",IF(ABS(AB1787)&lt;=0.01,"OK","CHECK"))</f>
        <v/>
      </c>
      <c r="AE1787">
        <f>IF(U1787="","MISSING",IF(AND(AA1787&gt;0,U1787/AA1787&gt;50),"POSSIBLE_SCALE_ERROR","OK"))</f>
        <v/>
      </c>
    </row>
    <row r="1788">
      <c r="A1788" t="inlineStr">
        <is>
          <t>T-2022-P6-0012</t>
        </is>
      </c>
      <c r="B1788" t="inlineStr">
        <is>
          <t>MPSES</t>
        </is>
      </c>
      <c r="C1788" t="inlineStr">
        <is>
          <t>Director of Policy</t>
        </is>
      </c>
      <c r="D1788" t="inlineStr">
        <is>
          <t>Directeur des politiques</t>
        </is>
      </c>
      <c r="E1788" t="inlineStr">
        <is>
          <t>Jérémy Gauthier</t>
        </is>
      </c>
      <c r="F1788" t="inlineStr">
        <is>
          <t>To accompany the Minister to the Minister's Cabinet Retreat</t>
        </is>
      </c>
      <c r="G1788" t="inlineStr">
        <is>
          <t>Pour accompagner la Ministre à la Retraite du Cabinet du Ministre</t>
        </is>
      </c>
      <c r="H1788" s="1" t="n">
        <v>44810</v>
      </c>
      <c r="I1788" s="1" t="n">
        <v>44813</v>
      </c>
      <c r="J1788" t="inlineStr">
        <is>
          <t>Vancouver (British Columbia) Canada</t>
        </is>
      </c>
      <c r="K1788" t="inlineStr">
        <is>
          <t>Vancouver (Colombie-Britannique) Canada</t>
        </is>
      </c>
      <c r="P1788" t="n">
        <v>1159.69</v>
      </c>
      <c r="Q1788" t="n">
        <v>123.53</v>
      </c>
      <c r="R1788" t="n">
        <v>983.49</v>
      </c>
      <c r="S1788" t="n">
        <v>240.7</v>
      </c>
      <c r="T1788" t="n">
        <v>0</v>
      </c>
      <c r="U1788" t="n">
        <v>2507.41</v>
      </c>
      <c r="V1788" t="inlineStr">
        <is>
          <t>No Conference Fees</t>
        </is>
      </c>
      <c r="W1788" t="inlineStr">
        <is>
          <t>Pas de frais de conférence</t>
        </is>
      </c>
      <c r="X1788" t="inlineStr">
        <is>
          <t>aafc-aac</t>
        </is>
      </c>
      <c r="Y1788" t="inlineStr">
        <is>
          <t>Agriculture and Agri-Food Canada | Agriculture et Agroalimentaire Canada</t>
        </is>
      </c>
      <c r="Z1788" t="n">
        <v>4</v>
      </c>
      <c r="AA1788" t="n">
        <v>2507.41</v>
      </c>
      <c r="AB1788">
        <f>ROUND(U1788-AA1788,2)</f>
        <v/>
      </c>
      <c r="AC1788" t="b">
        <v>0</v>
      </c>
      <c r="AD1788">
        <f>IF(U1788="","MISSING_TOTAL",IF(ABS(AB1788)&lt;=0.01,"OK","CHECK"))</f>
        <v/>
      </c>
      <c r="AE1788">
        <f>IF(U1788="","MISSING",IF(AND(AA1788&gt;0,U1788/AA1788&gt;50),"POSSIBLE_SCALE_ERROR","OK"))</f>
        <v/>
      </c>
    </row>
    <row r="1789">
      <c r="A1789" t="inlineStr">
        <is>
          <t>T-2022-P6-0013</t>
        </is>
      </c>
      <c r="B1789" t="inlineStr">
        <is>
          <t>MPSES</t>
        </is>
      </c>
      <c r="C1789" t="inlineStr">
        <is>
          <t>Driver</t>
        </is>
      </c>
      <c r="D1789" t="inlineStr">
        <is>
          <t>Chauffeur</t>
        </is>
      </c>
      <c r="E1789" t="inlineStr">
        <is>
          <t>Michel Gendreau</t>
        </is>
      </c>
      <c r="F1789" t="inlineStr">
        <is>
          <t>Drive the Minister to the Montreal airport to catch her flight to Halifax</t>
        </is>
      </c>
      <c r="G1789" t="inlineStr">
        <is>
          <t>Conduire la Ministre à l'aéroport de Montréal pour prendre son vol vers Halifax</t>
        </is>
      </c>
      <c r="H1789" s="1" t="n">
        <v>44787</v>
      </c>
      <c r="I1789" s="1" t="n">
        <v>44787</v>
      </c>
      <c r="J1789" t="inlineStr">
        <is>
          <t>Montréal (Quebec) Canada</t>
        </is>
      </c>
      <c r="K1789" t="inlineStr">
        <is>
          <t>Montréal (Québec) Canada</t>
        </is>
      </c>
      <c r="P1789" t="n">
        <v>0</v>
      </c>
      <c r="Q1789" t="n">
        <v>0</v>
      </c>
      <c r="R1789" t="n">
        <v>0</v>
      </c>
      <c r="S1789" t="n">
        <v>76.55</v>
      </c>
      <c r="T1789" t="n">
        <v>0</v>
      </c>
      <c r="U1789" t="n">
        <v>76.55</v>
      </c>
      <c r="V1789" t="inlineStr">
        <is>
          <t>No conference fee</t>
        </is>
      </c>
      <c r="W1789" t="inlineStr">
        <is>
          <t>Pas de frais d'enregistrement</t>
        </is>
      </c>
      <c r="X1789" t="inlineStr">
        <is>
          <t>aafc-aac</t>
        </is>
      </c>
      <c r="Y1789" t="inlineStr">
        <is>
          <t>Agriculture and Agri-Food Canada | Agriculture et Agroalimentaire Canada</t>
        </is>
      </c>
      <c r="Z1789" t="n">
        <v>1</v>
      </c>
      <c r="AA1789" t="n">
        <v>76.55</v>
      </c>
      <c r="AB1789">
        <f>ROUND(U1789-AA1789,2)</f>
        <v/>
      </c>
      <c r="AC1789" t="b">
        <v>0</v>
      </c>
      <c r="AD1789">
        <f>IF(U1789="","MISSING_TOTAL",IF(ABS(AB1789)&lt;=0.01,"OK","CHECK"))</f>
        <v/>
      </c>
      <c r="AE1789">
        <f>IF(U1789="","MISSING",IF(AND(AA1789&gt;0,U1789/AA1789&gt;50),"POSSIBLE_SCALE_ERROR","OK"))</f>
        <v/>
      </c>
    </row>
    <row r="1790">
      <c r="A1790" t="inlineStr">
        <is>
          <t>T-2022-P6-0014</t>
        </is>
      </c>
      <c r="B1790" t="inlineStr">
        <is>
          <t>MPSES</t>
        </is>
      </c>
      <c r="C1790" t="inlineStr">
        <is>
          <t>Driver</t>
        </is>
      </c>
      <c r="D1790" t="inlineStr">
        <is>
          <t>Chauffeur</t>
        </is>
      </c>
      <c r="E1790" t="inlineStr">
        <is>
          <t>Michel Gendreau</t>
        </is>
      </c>
      <c r="F1790" t="inlineStr">
        <is>
          <t>Drive the Minister from Montreal Aiport to her riding and then to Ottawa</t>
        </is>
      </c>
      <c r="G1790" t="inlineStr">
        <is>
          <t>Conduire la Ministre de l'aéroport de Montréal à sa circonscription puis à Ottawa</t>
        </is>
      </c>
      <c r="H1790" s="1" t="n">
        <v>44789</v>
      </c>
      <c r="I1790" s="1" t="n">
        <v>44790</v>
      </c>
      <c r="J1790" t="inlineStr">
        <is>
          <t>Sherbrooke (Quebec) Canada</t>
        </is>
      </c>
      <c r="K1790" t="inlineStr">
        <is>
          <t>Sherbrooke (Québec) Canada</t>
        </is>
      </c>
      <c r="P1790" t="n">
        <v>0</v>
      </c>
      <c r="Q1790" t="n">
        <v>3</v>
      </c>
      <c r="R1790" t="n">
        <v>121.38</v>
      </c>
      <c r="S1790" t="n">
        <v>152.85</v>
      </c>
      <c r="T1790" t="n">
        <v>0</v>
      </c>
      <c r="U1790" t="n">
        <v>277.23</v>
      </c>
      <c r="V1790" t="inlineStr">
        <is>
          <t>No conference fee</t>
        </is>
      </c>
      <c r="W1790" t="inlineStr">
        <is>
          <t>Pas de frais d'enregistrement</t>
        </is>
      </c>
      <c r="X1790" t="inlineStr">
        <is>
          <t>aafc-aac</t>
        </is>
      </c>
      <c r="Y1790" t="inlineStr">
        <is>
          <t>Agriculture and Agri-Food Canada | Agriculture et Agroalimentaire Canada</t>
        </is>
      </c>
      <c r="Z1790" t="n">
        <v>2</v>
      </c>
      <c r="AA1790" t="n">
        <v>277.23</v>
      </c>
      <c r="AB1790">
        <f>ROUND(U1790-AA1790,2)</f>
        <v/>
      </c>
      <c r="AC1790" t="b">
        <v>0</v>
      </c>
      <c r="AD1790">
        <f>IF(U1790="","MISSING_TOTAL",IF(ABS(AB1790)&lt;=0.01,"OK","CHECK"))</f>
        <v/>
      </c>
      <c r="AE1790">
        <f>IF(U1790="","MISSING",IF(AND(AA1790&gt;0,U1790/AA1790&gt;50),"POSSIBLE_SCALE_ERROR","OK"))</f>
        <v/>
      </c>
    </row>
    <row r="1791">
      <c r="A1791" t="inlineStr">
        <is>
          <t>T-2022-P6-0015</t>
        </is>
      </c>
      <c r="B1791" t="inlineStr">
        <is>
          <t>MPSES</t>
        </is>
      </c>
      <c r="C1791" t="inlineStr">
        <is>
          <t>Driver</t>
        </is>
      </c>
      <c r="D1791" t="inlineStr">
        <is>
          <t>Chauffeur</t>
        </is>
      </c>
      <c r="E1791" t="inlineStr">
        <is>
          <t>Michel Gendreau</t>
        </is>
      </c>
      <c r="F1791" t="inlineStr">
        <is>
          <t>Drive the Minister from Ottawa to her riding</t>
        </is>
      </c>
      <c r="G1791" t="inlineStr">
        <is>
          <t>Conduire la Ministre d'Ottawa à sa circonscription</t>
        </is>
      </c>
      <c r="H1791" s="1" t="n">
        <v>44792</v>
      </c>
      <c r="I1791" s="1" t="n">
        <v>44792</v>
      </c>
      <c r="J1791" t="inlineStr">
        <is>
          <t>Sherbrooke (Quebec) Canada</t>
        </is>
      </c>
      <c r="K1791" t="inlineStr">
        <is>
          <t>Sherbrooke (Québec) Canada</t>
        </is>
      </c>
      <c r="P1791" t="n">
        <v>0</v>
      </c>
      <c r="Q1791" t="n">
        <v>3</v>
      </c>
      <c r="R1791" t="n">
        <v>0</v>
      </c>
      <c r="S1791" t="n">
        <v>54.4</v>
      </c>
      <c r="T1791" t="n">
        <v>0</v>
      </c>
      <c r="U1791" t="n">
        <v>57.4</v>
      </c>
      <c r="V1791" t="inlineStr">
        <is>
          <t>No conference fee</t>
        </is>
      </c>
      <c r="W1791" t="inlineStr">
        <is>
          <t>Pas de frais d'enregistrement</t>
        </is>
      </c>
      <c r="X1791" t="inlineStr">
        <is>
          <t>aafc-aac</t>
        </is>
      </c>
      <c r="Y1791" t="inlineStr">
        <is>
          <t>Agriculture and Agri-Food Canada | Agriculture et Agroalimentaire Canada</t>
        </is>
      </c>
      <c r="Z1791" t="n">
        <v>1</v>
      </c>
      <c r="AA1791" t="n">
        <v>57.4</v>
      </c>
      <c r="AB1791">
        <f>ROUND(U1791-AA1791,2)</f>
        <v/>
      </c>
      <c r="AC1791" t="b">
        <v>0</v>
      </c>
      <c r="AD1791">
        <f>IF(U1791="","MISSING_TOTAL",IF(ABS(AB1791)&lt;=0.01,"OK","CHECK"))</f>
        <v/>
      </c>
      <c r="AE1791">
        <f>IF(U1791="","MISSING",IF(AND(AA1791&gt;0,U1791/AA1791&gt;50),"POSSIBLE_SCALE_ERROR","OK"))</f>
        <v/>
      </c>
    </row>
    <row r="1792">
      <c r="A1792" t="inlineStr">
        <is>
          <t>T-2022-P6-0016</t>
        </is>
      </c>
      <c r="B1792" t="inlineStr">
        <is>
          <t>MPSES</t>
        </is>
      </c>
      <c r="C1792" t="inlineStr">
        <is>
          <t>Driver</t>
        </is>
      </c>
      <c r="D1792" t="inlineStr">
        <is>
          <t>Chauffeur</t>
        </is>
      </c>
      <c r="E1792" t="inlineStr">
        <is>
          <t>Michel Gendreau</t>
        </is>
      </c>
      <c r="F1792" t="inlineStr">
        <is>
          <t>To accompany the Minister to a roundtable with women farmers and a visit to Living Labs</t>
        </is>
      </c>
      <c r="G1792" t="inlineStr">
        <is>
          <t>Pour accompagner la Ministre à une table ronde avec des agricultrices et à une visite du laboratoire vivant</t>
        </is>
      </c>
      <c r="H1792" s="1" t="n">
        <v>44798</v>
      </c>
      <c r="I1792" s="1" t="n">
        <v>44803</v>
      </c>
      <c r="J1792" t="inlineStr">
        <is>
          <t>Rimouski (Quebec) Canada
Sainte-Anne-des-Monts (Quebec) Canada
Lévis (Quebec) Canada</t>
        </is>
      </c>
      <c r="K1792" t="inlineStr">
        <is>
          <t>Rimouski (Québec) Canada
Sainte-Anne-des-Monts (Québec) Canada
Lévis (Québec) Canada</t>
        </is>
      </c>
      <c r="P1792" t="n">
        <v>0</v>
      </c>
      <c r="Q1792" t="n">
        <v>6</v>
      </c>
      <c r="R1792" t="n">
        <v>1022.24</v>
      </c>
      <c r="S1792" t="n">
        <v>546.65</v>
      </c>
      <c r="T1792" t="n">
        <v>0</v>
      </c>
      <c r="U1792" t="n">
        <v>1574.89</v>
      </c>
      <c r="V1792" t="inlineStr">
        <is>
          <t>No conference fee</t>
        </is>
      </c>
      <c r="W1792" t="inlineStr">
        <is>
          <t>Pas de frais d'enregistrement</t>
        </is>
      </c>
      <c r="X1792" t="inlineStr">
        <is>
          <t>aafc-aac</t>
        </is>
      </c>
      <c r="Y1792" t="inlineStr">
        <is>
          <t>Agriculture and Agri-Food Canada | Agriculture et Agroalimentaire Canada</t>
        </is>
      </c>
      <c r="Z1792" t="n">
        <v>6</v>
      </c>
      <c r="AA1792" t="n">
        <v>1574.88999999999</v>
      </c>
      <c r="AB1792">
        <f>ROUND(U1792-AA1792,2)</f>
        <v/>
      </c>
      <c r="AC1792" t="b">
        <v>0</v>
      </c>
      <c r="AD1792">
        <f>IF(U1792="","MISSING_TOTAL",IF(ABS(AB1792)&lt;=0.01,"OK","CHECK"))</f>
        <v/>
      </c>
      <c r="AE1792">
        <f>IF(U1792="","MISSING",IF(AND(AA1792&gt;0,U1792/AA1792&gt;50),"POSSIBLE_SCALE_ERROR","OK"))</f>
        <v/>
      </c>
    </row>
    <row r="1793">
      <c r="A1793" t="inlineStr">
        <is>
          <t>T-2022-P6-0017</t>
        </is>
      </c>
      <c r="B1793" t="inlineStr">
        <is>
          <t>MPSES</t>
        </is>
      </c>
      <c r="C1793" t="inlineStr">
        <is>
          <t>Driver</t>
        </is>
      </c>
      <c r="D1793" t="inlineStr">
        <is>
          <t>Chauffeur</t>
        </is>
      </c>
      <c r="E1793" t="inlineStr">
        <is>
          <t>Michel Gendreau</t>
        </is>
      </c>
      <c r="F1793" t="inlineStr">
        <is>
          <t>Drive the Minister from Ottawa to her riding</t>
        </is>
      </c>
      <c r="G1793" t="inlineStr">
        <is>
          <t>Conduire la Ministre d'Ottawa à sa circonscription</t>
        </is>
      </c>
      <c r="H1793" s="1" t="n">
        <v>44819</v>
      </c>
      <c r="I1793" s="1" t="n">
        <v>44819</v>
      </c>
      <c r="J1793" t="inlineStr">
        <is>
          <t>Sherbrooke (Quebec) Canada</t>
        </is>
      </c>
      <c r="K1793" t="inlineStr">
        <is>
          <t>Sherbrooke (Québec) Canada</t>
        </is>
      </c>
      <c r="P1793" t="n">
        <v>0</v>
      </c>
      <c r="Q1793" t="n">
        <v>6</v>
      </c>
      <c r="R1793" t="n">
        <v>0</v>
      </c>
      <c r="S1793" t="n">
        <v>54.4</v>
      </c>
      <c r="T1793" t="n">
        <v>0</v>
      </c>
      <c r="U1793" t="n">
        <v>60.4</v>
      </c>
      <c r="V1793" t="inlineStr">
        <is>
          <t>No conference fee</t>
        </is>
      </c>
      <c r="W1793" t="inlineStr">
        <is>
          <t>Pas de frais d'enregistrement</t>
        </is>
      </c>
      <c r="X1793" t="inlineStr">
        <is>
          <t>aafc-aac</t>
        </is>
      </c>
      <c r="Y1793" t="inlineStr">
        <is>
          <t>Agriculture and Agri-Food Canada | Agriculture et Agroalimentaire Canada</t>
        </is>
      </c>
      <c r="Z1793" t="n">
        <v>1</v>
      </c>
      <c r="AA1793" t="n">
        <v>60.4</v>
      </c>
      <c r="AB1793">
        <f>ROUND(U1793-AA1793,2)</f>
        <v/>
      </c>
      <c r="AC1793" t="b">
        <v>0</v>
      </c>
      <c r="AD1793">
        <f>IF(U1793="","MISSING_TOTAL",IF(ABS(AB1793)&lt;=0.01,"OK","CHECK"))</f>
        <v/>
      </c>
      <c r="AE1793">
        <f>IF(U1793="","MISSING",IF(AND(AA1793&gt;0,U1793/AA1793&gt;50),"POSSIBLE_SCALE_ERROR","OK"))</f>
        <v/>
      </c>
    </row>
    <row r="1794">
      <c r="A1794" t="inlineStr">
        <is>
          <t>T-2022-P6-0018</t>
        </is>
      </c>
      <c r="B1794" t="inlineStr">
        <is>
          <t>MPSES</t>
        </is>
      </c>
      <c r="C1794" t="inlineStr">
        <is>
          <t>Director of Communications</t>
        </is>
      </c>
      <c r="D1794" t="inlineStr">
        <is>
          <t>Directrice des communications</t>
        </is>
      </c>
      <c r="E1794" t="inlineStr">
        <is>
          <t>Allison St-Jean</t>
        </is>
      </c>
      <c r="F1794" t="inlineStr">
        <is>
          <t>To accomany the Minister to attend the Federal-Provincial-Teritorial meeting</t>
        </is>
      </c>
      <c r="G1794" t="inlineStr">
        <is>
          <t>Pour accompagner la ministre à la rencontre fédérale-provinciale-territoriale</t>
        </is>
      </c>
      <c r="H1794" s="1" t="n">
        <v>44761</v>
      </c>
      <c r="I1794" s="1" t="n">
        <v>44765</v>
      </c>
      <c r="J1794" t="inlineStr">
        <is>
          <t>Saskatoon (Saskatchewan) Canada</t>
        </is>
      </c>
      <c r="K1794" t="inlineStr">
        <is>
          <t>Saskatoon (Saskatchewan) Canada</t>
        </is>
      </c>
      <c r="P1794" t="n">
        <v>1578.22</v>
      </c>
      <c r="Q1794" t="n">
        <v>78.45</v>
      </c>
      <c r="R1794" t="n">
        <v>531.63</v>
      </c>
      <c r="S1794" t="n">
        <v>229.4</v>
      </c>
      <c r="T1794" t="n">
        <v>0</v>
      </c>
      <c r="U1794" t="n">
        <v>2417.7</v>
      </c>
      <c r="V1794" t="inlineStr">
        <is>
          <t>No conference fee.</t>
        </is>
      </c>
      <c r="W1794" t="inlineStr">
        <is>
          <t>Pas de frais d'enregistrement</t>
        </is>
      </c>
      <c r="X1794" t="inlineStr">
        <is>
          <t>aafc-aac</t>
        </is>
      </c>
      <c r="Y1794" t="inlineStr">
        <is>
          <t>Agriculture and Agri-Food Canada | Agriculture et Agroalimentaire Canada</t>
        </is>
      </c>
      <c r="Z1794" t="n">
        <v>5</v>
      </c>
      <c r="AA1794" t="n">
        <v>2417.7</v>
      </c>
      <c r="AB1794">
        <f>ROUND(U1794-AA1794,2)</f>
        <v/>
      </c>
      <c r="AC1794" t="b">
        <v>0</v>
      </c>
      <c r="AD1794">
        <f>IF(U1794="","MISSING_TOTAL",IF(ABS(AB1794)&lt;=0.01,"OK","CHECK"))</f>
        <v/>
      </c>
      <c r="AE1794">
        <f>IF(U1794="","MISSING",IF(AND(AA1794&gt;0,U1794/AA1794&gt;50),"POSSIBLE_SCALE_ERROR","OK"))</f>
        <v/>
      </c>
    </row>
    <row r="1795">
      <c r="A1795" t="inlineStr">
        <is>
          <t>T-2022-P6-0019</t>
        </is>
      </c>
      <c r="B1795" t="inlineStr">
        <is>
          <t>MPSES</t>
        </is>
      </c>
      <c r="C1795" t="inlineStr">
        <is>
          <t>Director of Communications</t>
        </is>
      </c>
      <c r="D1795" t="inlineStr">
        <is>
          <t>Directrice des communications</t>
        </is>
      </c>
      <c r="E1795" t="inlineStr">
        <is>
          <t>Allison St-Jean</t>
        </is>
      </c>
      <c r="F1795" t="inlineStr">
        <is>
          <t>To accomany the Minister to attend the Northern Ontario Tour</t>
        </is>
      </c>
      <c r="G1795" t="inlineStr">
        <is>
          <t>Pour accompagner la ministre pour assister à la tournée du Nord de l'Ontario</t>
        </is>
      </c>
      <c r="H1795" s="1" t="n">
        <v>44783</v>
      </c>
      <c r="I1795" s="1" t="n">
        <v>44785</v>
      </c>
      <c r="J1795" t="inlineStr">
        <is>
          <t>Sudbury (Ontario) Canada</t>
        </is>
      </c>
      <c r="K1795" t="inlineStr">
        <is>
          <t>Sudbury (Ontario) Canada</t>
        </is>
      </c>
      <c r="P1795" t="n">
        <v>1125.3</v>
      </c>
      <c r="Q1795" t="n">
        <v>43.01</v>
      </c>
      <c r="R1795" t="n">
        <v>282.02</v>
      </c>
      <c r="S1795" t="n">
        <v>153.1</v>
      </c>
      <c r="T1795" t="n">
        <v>0</v>
      </c>
      <c r="U1795" t="n">
        <v>1603.43</v>
      </c>
      <c r="V1795" t="inlineStr">
        <is>
          <t>No conference fee.</t>
        </is>
      </c>
      <c r="W1795" t="inlineStr">
        <is>
          <t>Pas de frais d'enregistrement</t>
        </is>
      </c>
      <c r="X1795" t="inlineStr">
        <is>
          <t>aafc-aac</t>
        </is>
      </c>
      <c r="Y1795" t="inlineStr">
        <is>
          <t>Agriculture and Agri-Food Canada | Agriculture et Agroalimentaire Canada</t>
        </is>
      </c>
      <c r="Z1795" t="n">
        <v>3</v>
      </c>
      <c r="AA1795" t="n">
        <v>1603.42999999999</v>
      </c>
      <c r="AB1795">
        <f>ROUND(U1795-AA1795,2)</f>
        <v/>
      </c>
      <c r="AC1795" t="b">
        <v>0</v>
      </c>
      <c r="AD1795">
        <f>IF(U1795="","MISSING_TOTAL",IF(ABS(AB1795)&lt;=0.01,"OK","CHECK"))</f>
        <v/>
      </c>
      <c r="AE1795">
        <f>IF(U1795="","MISSING",IF(AND(AA1795&gt;0,U1795/AA1795&gt;50),"POSSIBLE_SCALE_ERROR","OK"))</f>
        <v/>
      </c>
    </row>
    <row r="1796">
      <c r="A1796" t="inlineStr">
        <is>
          <t>T-2022-P6-0020</t>
        </is>
      </c>
      <c r="B1796" t="inlineStr">
        <is>
          <t>MPSES</t>
        </is>
      </c>
      <c r="C1796" t="inlineStr">
        <is>
          <t>Policy Advisor</t>
        </is>
      </c>
      <c r="D1796" t="inlineStr">
        <is>
          <t>Conseillère en politiques</t>
        </is>
      </c>
      <c r="E1796" t="inlineStr">
        <is>
          <t>Christine Harvey</t>
        </is>
      </c>
      <c r="F1796" t="inlineStr">
        <is>
          <t>To accompany the Minister for the Canadian Agricultural Youth Council</t>
        </is>
      </c>
      <c r="G1796" t="inlineStr">
        <is>
          <t>Pour accompagner la Ministre au Conseil canadien de la jeunesse agricole</t>
        </is>
      </c>
      <c r="H1796" s="1" t="n">
        <v>44797</v>
      </c>
      <c r="I1796" s="1" t="n">
        <v>44797</v>
      </c>
      <c r="J1796" t="inlineStr">
        <is>
          <t>Dorval (Quebec) Canada</t>
        </is>
      </c>
      <c r="K1796" t="inlineStr">
        <is>
          <t>Dorval (Québec) Canada</t>
        </is>
      </c>
      <c r="P1796" t="n">
        <v>0</v>
      </c>
      <c r="Q1796" t="n">
        <v>56.99</v>
      </c>
      <c r="R1796" t="n">
        <v>0</v>
      </c>
      <c r="S1796" t="n">
        <v>0</v>
      </c>
      <c r="T1796" t="n">
        <v>0</v>
      </c>
      <c r="U1796" t="n">
        <v>56.99</v>
      </c>
      <c r="V1796" t="inlineStr">
        <is>
          <t>No Conference Fees</t>
        </is>
      </c>
      <c r="W1796" t="inlineStr">
        <is>
          <t>Pas de frais de conférence</t>
        </is>
      </c>
      <c r="X1796" t="inlineStr">
        <is>
          <t>aafc-aac</t>
        </is>
      </c>
      <c r="Y1796" t="inlineStr">
        <is>
          <t>Agriculture and Agri-Food Canada | Agriculture et Agroalimentaire Canada</t>
        </is>
      </c>
      <c r="Z1796" t="n">
        <v>1</v>
      </c>
      <c r="AA1796" t="n">
        <v>56.99</v>
      </c>
      <c r="AB1796">
        <f>ROUND(U1796-AA1796,2)</f>
        <v/>
      </c>
      <c r="AC1796" t="b">
        <v>0</v>
      </c>
      <c r="AD1796">
        <f>IF(U1796="","MISSING_TOTAL",IF(ABS(AB1796)&lt;=0.01,"OK","CHECK"))</f>
        <v/>
      </c>
      <c r="AE1796">
        <f>IF(U1796="","MISSING",IF(AND(AA1796&gt;0,U1796/AA1796&gt;50),"POSSIBLE_SCALE_ERROR","OK"))</f>
        <v/>
      </c>
    </row>
    <row r="1797">
      <c r="A1797" t="inlineStr">
        <is>
          <t>T-2022-P6-0021</t>
        </is>
      </c>
      <c r="B1797" t="inlineStr">
        <is>
          <t>MPSES</t>
        </is>
      </c>
      <c r="C1797" t="inlineStr">
        <is>
          <t>Policy Advisor</t>
        </is>
      </c>
      <c r="D1797" t="inlineStr">
        <is>
          <t>Conseillère en politiques</t>
        </is>
      </c>
      <c r="E1797" t="inlineStr">
        <is>
          <t>Christine Harvey</t>
        </is>
      </c>
      <c r="F1797" t="inlineStr">
        <is>
          <t>To accompany the Minister to a roundtable with women farmers and a visit to Living Labs</t>
        </is>
      </c>
      <c r="G1797" t="inlineStr">
        <is>
          <t>Pour accompagner la Ministre à une table ronde avec des agricultrices et à une visite du laboratoire vivant</t>
        </is>
      </c>
      <c r="H1797" s="1" t="n">
        <v>44799</v>
      </c>
      <c r="I1797" s="1" t="n">
        <v>44803</v>
      </c>
      <c r="J1797" t="inlineStr">
        <is>
          <t>Rimouski (Quebec) Canada
St-Anne-des-Monts (Quebec) Canada
Lévis (Quebec) Canada</t>
        </is>
      </c>
      <c r="K1797" t="inlineStr">
        <is>
          <t>Rimouski (Québec) Canada
Sainte-Anne-des-Monts (Québec) Canada
Lévis (Quebec) Canada</t>
        </is>
      </c>
      <c r="P1797" t="n">
        <v>0</v>
      </c>
      <c r="Q1797" t="n">
        <v>113.04</v>
      </c>
      <c r="R1797" t="n">
        <v>977.02</v>
      </c>
      <c r="S1797" t="n">
        <v>415.95</v>
      </c>
      <c r="T1797" t="n">
        <v>0</v>
      </c>
      <c r="U1797" t="n">
        <v>1506.01</v>
      </c>
      <c r="V1797" t="inlineStr">
        <is>
          <t>No Conference Fees</t>
        </is>
      </c>
      <c r="W1797" t="inlineStr">
        <is>
          <t>Pas de frais de conférence</t>
        </is>
      </c>
      <c r="X1797" t="inlineStr">
        <is>
          <t>aafc-aac</t>
        </is>
      </c>
      <c r="Y1797" t="inlineStr">
        <is>
          <t>Agriculture and Agri-Food Canada | Agriculture et Agroalimentaire Canada</t>
        </is>
      </c>
      <c r="Z1797" t="n">
        <v>5</v>
      </c>
      <c r="AA1797" t="n">
        <v>1506.01</v>
      </c>
      <c r="AB1797">
        <f>ROUND(U1797-AA1797,2)</f>
        <v/>
      </c>
      <c r="AC1797" t="b">
        <v>0</v>
      </c>
      <c r="AD1797">
        <f>IF(U1797="","MISSING_TOTAL",IF(ABS(AB1797)&lt;=0.01,"OK","CHECK"))</f>
        <v/>
      </c>
      <c r="AE1797">
        <f>IF(U1797="","MISSING",IF(AND(AA1797&gt;0,U1797/AA1797&gt;50),"POSSIBLE_SCALE_ERROR","OK"))</f>
        <v/>
      </c>
    </row>
    <row r="1798">
      <c r="A1798" t="inlineStr">
        <is>
          <t>T-2022-P6-0022</t>
        </is>
      </c>
      <c r="B1798" t="inlineStr">
        <is>
          <t>SLE</t>
        </is>
      </c>
      <c r="C1798" t="inlineStr">
        <is>
          <t>Federal Co-Chair</t>
        </is>
      </c>
      <c r="D1798" t="inlineStr">
        <is>
          <t>Coprésident fédéral</t>
        </is>
      </c>
      <c r="E1798" t="inlineStr">
        <is>
          <t>Fred Gorrell</t>
        </is>
      </c>
      <c r="F1798" t="inlineStr">
        <is>
          <t>To work with the Canadian Food Inspection Agency and steakeholders on the Potato Wart Planning</t>
        </is>
      </c>
      <c r="G1798" t="inlineStr">
        <is>
          <t>Pour travailler avec l'Agence canadienne d'inspection des aliments et les parties prenantes sur la planification de la verrue de la pomme de terre</t>
        </is>
      </c>
      <c r="H1798" s="1" t="n">
        <v>44786</v>
      </c>
      <c r="I1798" s="1" t="n">
        <v>44793</v>
      </c>
      <c r="J1798" t="inlineStr">
        <is>
          <t>Charlottetown (Prince Edward Island) Canada</t>
        </is>
      </c>
      <c r="K1798" t="inlineStr">
        <is>
          <t>Charlottetown (Île-du-Prince-Édouard) Canada</t>
        </is>
      </c>
      <c r="P1798" t="n">
        <v>1379.51</v>
      </c>
      <c r="Q1798" t="n">
        <v>129.8</v>
      </c>
      <c r="R1798" t="n">
        <v>3419.65</v>
      </c>
      <c r="S1798" t="n">
        <v>696.4</v>
      </c>
      <c r="T1798" t="n">
        <v>0</v>
      </c>
      <c r="U1798" t="n">
        <v>5625.36</v>
      </c>
      <c r="V1798" t="inlineStr">
        <is>
          <t>No conference fee.</t>
        </is>
      </c>
      <c r="W1798" t="inlineStr">
        <is>
          <t>Pas de frais d'enregistrement</t>
        </is>
      </c>
      <c r="X1798" t="inlineStr">
        <is>
          <t>aafc-aac</t>
        </is>
      </c>
      <c r="Y1798" t="inlineStr">
        <is>
          <t>Agriculture and Agri-Food Canada | Agriculture et Agroalimentaire Canada</t>
        </is>
      </c>
      <c r="Z1798" t="n">
        <v>8</v>
      </c>
      <c r="AA1798" t="n">
        <v>5625.36</v>
      </c>
      <c r="AB1798">
        <f>ROUND(U1798-AA1798,2)</f>
        <v/>
      </c>
      <c r="AC1798" t="b">
        <v>0</v>
      </c>
      <c r="AD1798">
        <f>IF(U1798="","MISSING_TOTAL",IF(ABS(AB1798)&lt;=0.01,"OK","CHECK"))</f>
        <v/>
      </c>
      <c r="AE1798">
        <f>IF(U1798="","MISSING",IF(AND(AA1798&gt;0,U1798/AA1798&gt;50),"POSSIBLE_SCALE_ERROR","OK"))</f>
        <v/>
      </c>
    </row>
    <row r="1799">
      <c r="A1799" t="inlineStr">
        <is>
          <t>T-2022-P6-0023</t>
        </is>
      </c>
      <c r="B1799" t="inlineStr">
        <is>
          <t>SLE</t>
        </is>
      </c>
      <c r="C1799" t="inlineStr">
        <is>
          <t>Assistant Deputy Minister, Science and Technology Branch</t>
        </is>
      </c>
      <c r="D1799" t="inlineStr">
        <is>
          <t>Sous-ministre adjoint, Direction générale des sciences et de la technologie</t>
        </is>
      </c>
      <c r="E1799" t="inlineStr">
        <is>
          <t>Gilles Saindon</t>
        </is>
      </c>
      <c r="F1799" t="inlineStr">
        <is>
          <t>Outreach visit to St. John's research centre. Retrofit meeting with Public Service and Procurement Canada. Visit to Avondale and Lester's Farm</t>
        </is>
      </c>
      <c r="G1799" t="inlineStr">
        <is>
          <t>Visite de sensibilisation au centre de recherche de St. John's. Réunion de rénovation avec Services publics et Approvisionnement Canada. Visit à Avondale et de la ferme Lester's.</t>
        </is>
      </c>
      <c r="H1799" s="1" t="n">
        <v>44810</v>
      </c>
      <c r="I1799" s="1" t="n">
        <v>44812</v>
      </c>
      <c r="J1799" t="inlineStr">
        <is>
          <t>St. John's (Newfoundland) Canada</t>
        </is>
      </c>
      <c r="K1799" t="inlineStr">
        <is>
          <t>St. John's (Terre-Neuve) Canada</t>
        </is>
      </c>
      <c r="P1799" t="n">
        <v>952.67</v>
      </c>
      <c r="Q1799" t="n">
        <v>99.75</v>
      </c>
      <c r="R1799" t="n">
        <v>485.04</v>
      </c>
      <c r="S1799" t="n">
        <v>292.85</v>
      </c>
      <c r="T1799" t="n">
        <v>0</v>
      </c>
      <c r="U1799" t="n">
        <v>1830.31</v>
      </c>
      <c r="X1799" t="inlineStr">
        <is>
          <t>aafc-aac</t>
        </is>
      </c>
      <c r="Y1799" t="inlineStr">
        <is>
          <t>Agriculture and Agri-Food Canada | Agriculture et Agroalimentaire Canada</t>
        </is>
      </c>
      <c r="Z1799" t="n">
        <v>3</v>
      </c>
      <c r="AA1799" t="n">
        <v>1830.31</v>
      </c>
      <c r="AB1799">
        <f>ROUND(U1799-AA1799,2)</f>
        <v/>
      </c>
      <c r="AC1799" t="b">
        <v>0</v>
      </c>
      <c r="AD1799">
        <f>IF(U1799="","MISSING_TOTAL",IF(ABS(AB1799)&lt;=0.01,"OK","CHECK"))</f>
        <v/>
      </c>
      <c r="AE1799">
        <f>IF(U1799="","MISSING",IF(AND(AA1799&gt;0,U1799/AA1799&gt;50),"POSSIBLE_SCALE_ERROR","OK"))</f>
        <v/>
      </c>
    </row>
    <row r="1800">
      <c r="A1800" t="inlineStr">
        <is>
          <t>T-2022-P6-0024</t>
        </is>
      </c>
      <c r="B1800" t="inlineStr">
        <is>
          <t>SLE</t>
        </is>
      </c>
      <c r="C1800" t="inlineStr">
        <is>
          <t>Associate Assistant Deputy Minister, Science and Technology Branch</t>
        </is>
      </c>
      <c r="D1800" t="inlineStr">
        <is>
          <t>Sous-ministre adjoint délégué, Direction générale des sciences et de la technologie</t>
        </is>
      </c>
      <c r="E1800" t="inlineStr">
        <is>
          <t>Andrew Goldstein</t>
        </is>
      </c>
      <c r="F1800" t="inlineStr">
        <is>
          <t>Research Information technology Policy Project site visit to St-Jean-sur-Richelieu, Quebec.</t>
        </is>
      </c>
      <c r="G1800" t="inlineStr">
        <is>
          <t>Visite de St-Jean-sur-Richelieu, QC dans le cadre du projet de politique sur les technologies de l’information pour la recherche</t>
        </is>
      </c>
      <c r="H1800" s="1" t="n">
        <v>44811</v>
      </c>
      <c r="I1800" s="1" t="n">
        <v>44811</v>
      </c>
      <c r="J1800" t="inlineStr">
        <is>
          <t>St-Jean-sur-Richelieu (Quebec) Canada</t>
        </is>
      </c>
      <c r="K1800" t="inlineStr">
        <is>
          <t>St-Jean-sur-Richelieu (Québec) Canada</t>
        </is>
      </c>
      <c r="P1800" t="n">
        <v>0</v>
      </c>
      <c r="Q1800" t="n">
        <v>0</v>
      </c>
      <c r="R1800" t="n">
        <v>0</v>
      </c>
      <c r="S1800" t="n">
        <v>22.15</v>
      </c>
      <c r="T1800" t="n">
        <v>0</v>
      </c>
      <c r="U1800" t="n">
        <v>22.15</v>
      </c>
      <c r="X1800" t="inlineStr">
        <is>
          <t>aafc-aac</t>
        </is>
      </c>
      <c r="Y1800" t="inlineStr">
        <is>
          <t>Agriculture and Agri-Food Canada | Agriculture et Agroalimentaire Canada</t>
        </is>
      </c>
      <c r="Z1800" t="n">
        <v>1</v>
      </c>
      <c r="AA1800" t="n">
        <v>22.15</v>
      </c>
      <c r="AB1800">
        <f>ROUND(U1800-AA1800,2)</f>
        <v/>
      </c>
      <c r="AC1800" t="b">
        <v>0</v>
      </c>
      <c r="AD1800">
        <f>IF(U1800="","MISSING_TOTAL",IF(ABS(AB1800)&lt;=0.01,"OK","CHECK"))</f>
        <v/>
      </c>
      <c r="AE1800">
        <f>IF(U1800="","MISSING",IF(AND(AA1800&gt;0,U1800/AA1800&gt;50),"POSSIBLE_SCALE_ERROR","OK"))</f>
        <v/>
      </c>
    </row>
    <row r="1801">
      <c r="A1801" t="inlineStr">
        <is>
          <t>T-2022-P6-0025</t>
        </is>
      </c>
      <c r="B1801" t="inlineStr">
        <is>
          <t>SLE</t>
        </is>
      </c>
      <c r="C1801" t="inlineStr">
        <is>
          <t>Assistant Deputy Minister, Corporate Management Branch</t>
        </is>
      </c>
      <c r="D1801" t="inlineStr">
        <is>
          <t>Sous-ministre adjointe, Direction générale de la gestion intégrée</t>
        </is>
      </c>
      <c r="E1801" t="inlineStr">
        <is>
          <t>Marie-Claude Guérard</t>
        </is>
      </c>
      <c r="F1801" t="inlineStr">
        <is>
          <t>Attend meetings with stakeholders in Ottawa</t>
        </is>
      </c>
      <c r="G1801" t="inlineStr">
        <is>
          <t>Participer à des réunions avec des intervenants à Ottawa</t>
        </is>
      </c>
      <c r="H1801" s="1" t="n">
        <v>44789</v>
      </c>
      <c r="I1801" s="1" t="n">
        <v>44790</v>
      </c>
      <c r="J1801" t="inlineStr">
        <is>
          <t>Ottawa (Ontario) Canada</t>
        </is>
      </c>
      <c r="K1801" t="inlineStr">
        <is>
          <t>Ottawa (Ontario) Canada</t>
        </is>
      </c>
      <c r="P1801" t="n">
        <v>0</v>
      </c>
      <c r="Q1801" t="n">
        <v>421.01</v>
      </c>
      <c r="R1801" t="n">
        <v>233.86</v>
      </c>
      <c r="S1801" t="n">
        <v>231.5</v>
      </c>
      <c r="T1801" t="n">
        <v>0</v>
      </c>
      <c r="U1801" t="n">
        <v>886.37</v>
      </c>
      <c r="X1801" t="inlineStr">
        <is>
          <t>aafc-aac</t>
        </is>
      </c>
      <c r="Y1801" t="inlineStr">
        <is>
          <t>Agriculture and Agri-Food Canada | Agriculture et Agroalimentaire Canada</t>
        </is>
      </c>
      <c r="Z1801" t="n">
        <v>2</v>
      </c>
      <c r="AA1801" t="n">
        <v>886.37</v>
      </c>
      <c r="AB1801">
        <f>ROUND(U1801-AA1801,2)</f>
        <v/>
      </c>
      <c r="AC1801" t="b">
        <v>0</v>
      </c>
      <c r="AD1801">
        <f>IF(U1801="","MISSING_TOTAL",IF(ABS(AB1801)&lt;=0.01,"OK","CHECK"))</f>
        <v/>
      </c>
      <c r="AE1801">
        <f>IF(U1801="","MISSING",IF(AND(AA1801&gt;0,U1801/AA1801&gt;50),"POSSIBLE_SCALE_ERROR","OK"))</f>
        <v/>
      </c>
    </row>
    <row r="1802">
      <c r="A1802" t="inlineStr">
        <is>
          <t>T-2022-P6-0026</t>
        </is>
      </c>
      <c r="B1802" t="inlineStr">
        <is>
          <t>SLE</t>
        </is>
      </c>
      <c r="C1802" t="inlineStr">
        <is>
          <t>Assistant Deputy Minister, Corporate Management Branch</t>
        </is>
      </c>
      <c r="D1802" t="inlineStr">
        <is>
          <t>Sous-ministre adjointe, Direction générale de la gestion intégrée</t>
        </is>
      </c>
      <c r="E1802" t="inlineStr">
        <is>
          <t>Marie-Claude Guérard</t>
        </is>
      </c>
      <c r="F1802" t="inlineStr">
        <is>
          <t>Attend a Chief Financial Officers workshop and meetings in Ottawa</t>
        </is>
      </c>
      <c r="G1802" t="inlineStr">
        <is>
          <t>Participer à un atelier de directeurs principaux financiers et réunions à Ottawa</t>
        </is>
      </c>
      <c r="H1802" s="1" t="n">
        <v>44802</v>
      </c>
      <c r="I1802" s="1" t="n">
        <v>44804</v>
      </c>
      <c r="J1802" t="inlineStr">
        <is>
          <t>Ottawa (Ontario) Canada</t>
        </is>
      </c>
      <c r="K1802" t="inlineStr">
        <is>
          <t>Ottawa (Ontario) Canada</t>
        </is>
      </c>
      <c r="P1802" t="n">
        <v>0</v>
      </c>
      <c r="Q1802" t="n">
        <v>347.37</v>
      </c>
      <c r="R1802" t="n">
        <v>467.73</v>
      </c>
      <c r="S1802" t="n">
        <v>248.8</v>
      </c>
      <c r="T1802" t="n">
        <v>0</v>
      </c>
      <c r="U1802" t="n">
        <v>1063.9</v>
      </c>
      <c r="X1802" t="inlineStr">
        <is>
          <t>aafc-aac</t>
        </is>
      </c>
      <c r="Y1802" t="inlineStr">
        <is>
          <t>Agriculture and Agri-Food Canada | Agriculture et Agroalimentaire Canada</t>
        </is>
      </c>
      <c r="Z1802" t="n">
        <v>3</v>
      </c>
      <c r="AA1802" t="n">
        <v>1063.9</v>
      </c>
      <c r="AB1802">
        <f>ROUND(U1802-AA1802,2)</f>
        <v/>
      </c>
      <c r="AC1802" t="b">
        <v>0</v>
      </c>
      <c r="AD1802">
        <f>IF(U1802="","MISSING_TOTAL",IF(ABS(AB1802)&lt;=0.01,"OK","CHECK"))</f>
        <v/>
      </c>
      <c r="AE1802">
        <f>IF(U1802="","MISSING",IF(AND(AA1802&gt;0,U1802/AA1802&gt;50),"POSSIBLE_SCALE_ERROR","OK"))</f>
        <v/>
      </c>
    </row>
    <row r="1803">
      <c r="A1803" t="inlineStr">
        <is>
          <t>T-2022-P6-0027</t>
        </is>
      </c>
      <c r="B1803" t="inlineStr">
        <is>
          <t>SLE</t>
        </is>
      </c>
      <c r="C1803" t="inlineStr">
        <is>
          <t>Assistant Deputy Minister, Market and Industry Services Branch</t>
        </is>
      </c>
      <c r="D1803" t="inlineStr">
        <is>
          <t>Sous-ministre adjoint, Direction générale des services à l'industrie et aux marchés</t>
        </is>
      </c>
      <c r="E1803" t="inlineStr">
        <is>
          <t>Tom Rosser</t>
        </is>
      </c>
      <c r="F1803" t="inlineStr">
        <is>
          <t>Participate in regional outreach.</t>
        </is>
      </c>
      <c r="G1803" t="inlineStr">
        <is>
          <t>Participer à la sensibilisation régionale.</t>
        </is>
      </c>
      <c r="H1803" s="1" t="n">
        <v>44787</v>
      </c>
      <c r="I1803" s="1" t="n">
        <v>44790</v>
      </c>
      <c r="J1803" t="inlineStr">
        <is>
          <t>Kelowna (British Columbia) Canada, Penticton (British Columbia) Canada</t>
        </is>
      </c>
      <c r="K1803" t="inlineStr">
        <is>
          <t>Kelowna (Colombie-Britannique) Canada, Penticton (Colombie-Britannique) Canada</t>
        </is>
      </c>
      <c r="P1803" t="n">
        <v>1131.67</v>
      </c>
      <c r="Q1803" t="n">
        <v>167.34</v>
      </c>
      <c r="R1803" t="n">
        <v>923.36</v>
      </c>
      <c r="S1803" t="n">
        <v>276.7</v>
      </c>
      <c r="T1803" t="n">
        <v>91.22</v>
      </c>
      <c r="U1803" t="n">
        <v>2590.29</v>
      </c>
      <c r="X1803" t="inlineStr">
        <is>
          <t>aafc-aac</t>
        </is>
      </c>
      <c r="Y1803" t="inlineStr">
        <is>
          <t>Agriculture and Agri-Food Canada | Agriculture et Agroalimentaire Canada</t>
        </is>
      </c>
      <c r="Z1803" t="n">
        <v>4</v>
      </c>
      <c r="AA1803" t="n">
        <v>2590.28999999999</v>
      </c>
      <c r="AB1803">
        <f>ROUND(U1803-AA1803,2)</f>
        <v/>
      </c>
      <c r="AC1803" t="b">
        <v>0</v>
      </c>
      <c r="AD1803">
        <f>IF(U1803="","MISSING_TOTAL",IF(ABS(AB1803)&lt;=0.01,"OK","CHECK"))</f>
        <v/>
      </c>
      <c r="AE1803">
        <f>IF(U1803="","MISSING",IF(AND(AA1803&gt;0,U1803/AA1803&gt;50),"POSSIBLE_SCALE_ERROR","OK"))</f>
        <v/>
      </c>
    </row>
    <row r="1804">
      <c r="A1804" t="inlineStr">
        <is>
          <t>T-2022-P6-0028</t>
        </is>
      </c>
      <c r="B1804" t="inlineStr">
        <is>
          <t>SLE</t>
        </is>
      </c>
      <c r="C1804" t="inlineStr">
        <is>
          <t>Chief Information Officer, Information Systems Branch</t>
        </is>
      </c>
      <c r="D1804" t="inlineStr">
        <is>
          <t>Dirigeante principale de l'information, Direction générale des systèmes information</t>
        </is>
      </c>
      <c r="E1804" t="inlineStr">
        <is>
          <t>Vidya ShankarNarayan</t>
        </is>
      </c>
      <c r="F1804" t="inlineStr">
        <is>
          <t>To attend the AgSmart Summit</t>
        </is>
      </c>
      <c r="G1804" t="inlineStr">
        <is>
          <t>Pour assister au sommet AgSmart</t>
        </is>
      </c>
      <c r="H1804" s="1" t="n">
        <v>44781</v>
      </c>
      <c r="I1804" s="1" t="n">
        <v>44785</v>
      </c>
      <c r="J1804" t="inlineStr">
        <is>
          <t>Olds, Alberta</t>
        </is>
      </c>
      <c r="K1804" t="inlineStr">
        <is>
          <t>Olds, Alberta</t>
        </is>
      </c>
      <c r="P1804" t="n">
        <v>1083.41</v>
      </c>
      <c r="Q1804" t="n">
        <v>141.66</v>
      </c>
      <c r="R1804" t="n">
        <v>727.51</v>
      </c>
      <c r="S1804" t="n">
        <v>480.55</v>
      </c>
      <c r="T1804" t="n">
        <v>0</v>
      </c>
      <c r="U1804" t="n">
        <v>2433.13</v>
      </c>
      <c r="X1804" t="inlineStr">
        <is>
          <t>aafc-aac</t>
        </is>
      </c>
      <c r="Y1804" t="inlineStr">
        <is>
          <t>Agriculture and Agri-Food Canada | Agriculture et Agroalimentaire Canada</t>
        </is>
      </c>
      <c r="Z1804" t="n">
        <v>5</v>
      </c>
      <c r="AA1804" t="n">
        <v>2433.13</v>
      </c>
      <c r="AB1804">
        <f>ROUND(U1804-AA1804,2)</f>
        <v/>
      </c>
      <c r="AC1804" t="b">
        <v>0</v>
      </c>
      <c r="AD1804">
        <f>IF(U1804="","MISSING_TOTAL",IF(ABS(AB1804)&lt;=0.01,"OK","CHECK"))</f>
        <v/>
      </c>
      <c r="AE1804">
        <f>IF(U1804="","MISSING",IF(AND(AA1804&gt;0,U1804/AA1804&gt;50),"POSSIBLE_SCALE_ERROR","OK"))</f>
        <v/>
      </c>
    </row>
    <row r="1805">
      <c r="A1805" t="inlineStr">
        <is>
          <t>T-2022-P7-0001</t>
        </is>
      </c>
      <c r="B1805" t="inlineStr">
        <is>
          <t>MPSES</t>
        </is>
      </c>
      <c r="C1805" t="inlineStr">
        <is>
          <t>Senior Advisor</t>
        </is>
      </c>
      <c r="D1805" t="inlineStr">
        <is>
          <t>Conseiller principal</t>
        </is>
      </c>
      <c r="E1805" t="inlineStr">
        <is>
          <t>Abed Harb</t>
        </is>
      </c>
      <c r="F1805" t="inlineStr">
        <is>
          <t>To accompany the Minister for the Atlantic Tour</t>
        </is>
      </c>
      <c r="G1805" t="inlineStr">
        <is>
          <t>Pour accompagner la ministre à la tournée des provinces de l'Atlantique</t>
        </is>
      </c>
      <c r="H1805" s="1" t="n">
        <v>44786</v>
      </c>
      <c r="I1805" s="1" t="n">
        <v>44789</v>
      </c>
      <c r="J1805" t="inlineStr">
        <is>
          <t>Halifax (Nova Scotia) Canada</t>
        </is>
      </c>
      <c r="K1805" t="inlineStr">
        <is>
          <t>Halifax (Nouvelle-Écosse) Canada</t>
        </is>
      </c>
      <c r="P1805" t="n">
        <v>2095.48</v>
      </c>
      <c r="Q1805" t="n">
        <v>59.09</v>
      </c>
      <c r="R1805" t="n">
        <v>384.75</v>
      </c>
      <c r="S1805" t="n">
        <v>251.3</v>
      </c>
      <c r="T1805" t="n">
        <v>0</v>
      </c>
      <c r="U1805" t="n">
        <v>2790.62</v>
      </c>
      <c r="V1805" t="inlineStr">
        <is>
          <t>No conference fee.</t>
        </is>
      </c>
      <c r="W1805" t="inlineStr">
        <is>
          <t>Pas de frais d'enregistrement</t>
        </is>
      </c>
      <c r="X1805" t="inlineStr">
        <is>
          <t>aafc-aac</t>
        </is>
      </c>
      <c r="Y1805" t="inlineStr">
        <is>
          <t>Agriculture and Agri-Food Canada | Agriculture et Agroalimentaire Canada</t>
        </is>
      </c>
      <c r="Z1805" t="n">
        <v>4</v>
      </c>
      <c r="AA1805" t="n">
        <v>2790.62</v>
      </c>
      <c r="AB1805">
        <f>ROUND(U1805-AA1805,2)</f>
        <v/>
      </c>
      <c r="AC1805" t="b">
        <v>0</v>
      </c>
      <c r="AD1805">
        <f>IF(U1805="","MISSING_TOTAL",IF(ABS(AB1805)&lt;=0.01,"OK","CHECK"))</f>
        <v/>
      </c>
      <c r="AE1805">
        <f>IF(U1805="","MISSING",IF(AND(AA1805&gt;0,U1805/AA1805&gt;50),"POSSIBLE_SCALE_ERROR","OK"))</f>
        <v/>
      </c>
    </row>
    <row r="1806">
      <c r="A1806" t="inlineStr">
        <is>
          <t>T-2022-P7-0002</t>
        </is>
      </c>
      <c r="B1806" t="inlineStr">
        <is>
          <t>MPSES</t>
        </is>
      </c>
      <c r="C1806" t="inlineStr">
        <is>
          <t>Driver</t>
        </is>
      </c>
      <c r="D1806" t="inlineStr">
        <is>
          <t>Chauffeur</t>
        </is>
      </c>
      <c r="E1806" t="inlineStr">
        <is>
          <t>Michel Gendreau</t>
        </is>
      </c>
      <c r="F1806" t="inlineStr">
        <is>
          <t>Drive the Minister from her riding to Ottawa</t>
        </is>
      </c>
      <c r="G1806" t="inlineStr">
        <is>
          <t>Conduire la Ministre de sa circonscription à Ottawa</t>
        </is>
      </c>
      <c r="H1806" s="1" t="n">
        <v>44822</v>
      </c>
      <c r="I1806" s="1" t="n">
        <v>44823</v>
      </c>
      <c r="J1806" t="inlineStr">
        <is>
          <t>Sherbrooke (Quebec) Canada</t>
        </is>
      </c>
      <c r="K1806" t="inlineStr">
        <is>
          <t>Sherbrooke (Québec) Canada</t>
        </is>
      </c>
      <c r="P1806" t="n">
        <v>0</v>
      </c>
      <c r="Q1806" t="n">
        <v>6</v>
      </c>
      <c r="R1806" t="n">
        <v>202.25</v>
      </c>
      <c r="S1806" t="n">
        <v>76.3</v>
      </c>
      <c r="T1806" t="n">
        <v>0</v>
      </c>
      <c r="U1806" t="n">
        <v>284.55</v>
      </c>
      <c r="V1806" t="inlineStr">
        <is>
          <t>No conference fee</t>
        </is>
      </c>
      <c r="W1806" t="inlineStr">
        <is>
          <t>Pas de frais d'enregistrement</t>
        </is>
      </c>
      <c r="X1806" t="inlineStr">
        <is>
          <t>aafc-aac</t>
        </is>
      </c>
      <c r="Y1806" t="inlineStr">
        <is>
          <t>Agriculture and Agri-Food Canada | Agriculture et Agroalimentaire Canada</t>
        </is>
      </c>
      <c r="Z1806" t="n">
        <v>2</v>
      </c>
      <c r="AA1806" t="n">
        <v>284.55</v>
      </c>
      <c r="AB1806">
        <f>ROUND(U1806-AA1806,2)</f>
        <v/>
      </c>
      <c r="AC1806" t="b">
        <v>0</v>
      </c>
      <c r="AD1806">
        <f>IF(U1806="","MISSING_TOTAL",IF(ABS(AB1806)&lt;=0.01,"OK","CHECK"))</f>
        <v/>
      </c>
      <c r="AE1806">
        <f>IF(U1806="","MISSING",IF(AND(AA1806&gt;0,U1806/AA1806&gt;50),"POSSIBLE_SCALE_ERROR","OK"))</f>
        <v/>
      </c>
    </row>
    <row r="1807">
      <c r="A1807" t="inlineStr">
        <is>
          <t>T-2022-P7-0003</t>
        </is>
      </c>
      <c r="B1807" t="inlineStr">
        <is>
          <t>MPSES</t>
        </is>
      </c>
      <c r="C1807" t="inlineStr">
        <is>
          <t>Driver</t>
        </is>
      </c>
      <c r="D1807" t="inlineStr">
        <is>
          <t>Chauffeur</t>
        </is>
      </c>
      <c r="E1807" t="inlineStr">
        <is>
          <t>Michel Gendreau</t>
        </is>
      </c>
      <c r="F1807" t="inlineStr">
        <is>
          <t>Drive the Minister from the Montréal Airport to her riding</t>
        </is>
      </c>
      <c r="G1807" t="inlineStr">
        <is>
          <t>Conduire la Ministre de l'aéroport de Montréal à sa circonscription</t>
        </is>
      </c>
      <c r="H1807" s="1" t="n">
        <v>44834</v>
      </c>
      <c r="I1807" s="1" t="n">
        <v>44834</v>
      </c>
      <c r="J1807" t="inlineStr">
        <is>
          <t>Montréal (Quebec) Canada; Sherbrooke (Quebec) Canada</t>
        </is>
      </c>
      <c r="K1807" t="inlineStr">
        <is>
          <t>Montréal (Québec) Canada; Sherbrooke (Québec) Canada</t>
        </is>
      </c>
      <c r="P1807" t="n">
        <v>0</v>
      </c>
      <c r="Q1807" t="n">
        <v>3</v>
      </c>
      <c r="R1807" t="n">
        <v>0</v>
      </c>
      <c r="S1807" t="n">
        <v>54.4</v>
      </c>
      <c r="T1807" t="n">
        <v>0</v>
      </c>
      <c r="U1807" t="n">
        <v>57.4</v>
      </c>
      <c r="V1807" t="inlineStr">
        <is>
          <t>No conference fee</t>
        </is>
      </c>
      <c r="W1807" t="inlineStr">
        <is>
          <t>Pas de frais d'enregistrement</t>
        </is>
      </c>
      <c r="X1807" t="inlineStr">
        <is>
          <t>aafc-aac</t>
        </is>
      </c>
      <c r="Y1807" t="inlineStr">
        <is>
          <t>Agriculture and Agri-Food Canada | Agriculture et Agroalimentaire Canada</t>
        </is>
      </c>
      <c r="Z1807" t="n">
        <v>1</v>
      </c>
      <c r="AA1807" t="n">
        <v>57.4</v>
      </c>
      <c r="AB1807">
        <f>ROUND(U1807-AA1807,2)</f>
        <v/>
      </c>
      <c r="AC1807" t="b">
        <v>0</v>
      </c>
      <c r="AD1807">
        <f>IF(U1807="","MISSING_TOTAL",IF(ABS(AB1807)&lt;=0.01,"OK","CHECK"))</f>
        <v/>
      </c>
      <c r="AE1807">
        <f>IF(U1807="","MISSING",IF(AND(AA1807&gt;0,U1807/AA1807&gt;50),"POSSIBLE_SCALE_ERROR","OK"))</f>
        <v/>
      </c>
    </row>
    <row r="1808">
      <c r="A1808" t="inlineStr">
        <is>
          <t>T-2022-P7-0004</t>
        </is>
      </c>
      <c r="B1808" t="inlineStr">
        <is>
          <t>MPSES</t>
        </is>
      </c>
      <c r="C1808" t="inlineStr">
        <is>
          <t>Driver</t>
        </is>
      </c>
      <c r="D1808" t="inlineStr">
        <is>
          <t>Chauffeur</t>
        </is>
      </c>
      <c r="E1808" t="inlineStr">
        <is>
          <t>Michel Gendreau</t>
        </is>
      </c>
      <c r="F1808" t="inlineStr">
        <is>
          <t>Drive the Minister from her riding to Ottawa</t>
        </is>
      </c>
      <c r="G1808" t="inlineStr">
        <is>
          <t>Conduire la Ministre de sa circonscription à Ottawa</t>
        </is>
      </c>
      <c r="H1808" s="1" t="n">
        <v>44836</v>
      </c>
      <c r="I1808" s="1" t="n">
        <v>44837</v>
      </c>
      <c r="J1808" t="inlineStr">
        <is>
          <t>Sherbrooke (Quebec) Canada</t>
        </is>
      </c>
      <c r="K1808" t="inlineStr">
        <is>
          <t>Sherbrooke (Québec) Canada</t>
        </is>
      </c>
      <c r="P1808" t="n">
        <v>0</v>
      </c>
      <c r="Q1808" t="n">
        <v>6</v>
      </c>
      <c r="R1808" t="n">
        <v>121.38</v>
      </c>
      <c r="S1808" t="n">
        <v>79.40000000000001</v>
      </c>
      <c r="T1808" t="n">
        <v>0</v>
      </c>
      <c r="U1808" t="n">
        <v>206.78</v>
      </c>
      <c r="V1808" t="inlineStr">
        <is>
          <t>No conference fee</t>
        </is>
      </c>
      <c r="W1808" t="inlineStr">
        <is>
          <t>Pas de frais d'enregistrement</t>
        </is>
      </c>
      <c r="X1808" t="inlineStr">
        <is>
          <t>aafc-aac</t>
        </is>
      </c>
      <c r="Y1808" t="inlineStr">
        <is>
          <t>Agriculture and Agri-Food Canada | Agriculture et Agroalimentaire Canada</t>
        </is>
      </c>
      <c r="Z1808" t="n">
        <v>2</v>
      </c>
      <c r="AA1808" t="n">
        <v>206.78</v>
      </c>
      <c r="AB1808">
        <f>ROUND(U1808-AA1808,2)</f>
        <v/>
      </c>
      <c r="AC1808" t="b">
        <v>0</v>
      </c>
      <c r="AD1808">
        <f>IF(U1808="","MISSING_TOTAL",IF(ABS(AB1808)&lt;=0.01,"OK","CHECK"))</f>
        <v/>
      </c>
      <c r="AE1808">
        <f>IF(U1808="","MISSING",IF(AND(AA1808&gt;0,U1808/AA1808&gt;50),"POSSIBLE_SCALE_ERROR","OK"))</f>
        <v/>
      </c>
    </row>
    <row r="1809">
      <c r="A1809" t="inlineStr">
        <is>
          <t>T-2022-P7-0005</t>
        </is>
      </c>
      <c r="B1809" t="inlineStr">
        <is>
          <t>MPSES</t>
        </is>
      </c>
      <c r="C1809" t="inlineStr">
        <is>
          <t>Driver</t>
        </is>
      </c>
      <c r="D1809" t="inlineStr">
        <is>
          <t>Chauffeur</t>
        </is>
      </c>
      <c r="E1809" t="inlineStr">
        <is>
          <t>Michel Gendreau</t>
        </is>
      </c>
      <c r="F1809" t="inlineStr">
        <is>
          <t>Drive the Minister from Ottawa to her riding</t>
        </is>
      </c>
      <c r="G1809" t="inlineStr">
        <is>
          <t>Conduire la Ministre d'Ottawa à sa circonscription</t>
        </is>
      </c>
      <c r="H1809" s="1" t="n">
        <v>44841</v>
      </c>
      <c r="I1809" s="1" t="n">
        <v>44841</v>
      </c>
      <c r="J1809" t="inlineStr">
        <is>
          <t>Sherbrooke (Quebec) Canada</t>
        </is>
      </c>
      <c r="K1809" t="inlineStr">
        <is>
          <t>Sherbrooke (Québec) Canada</t>
        </is>
      </c>
      <c r="P1809" t="n">
        <v>0</v>
      </c>
      <c r="Q1809" t="n">
        <v>6</v>
      </c>
      <c r="R1809" t="n">
        <v>0</v>
      </c>
      <c r="S1809" t="n">
        <v>56.6</v>
      </c>
      <c r="T1809" t="n">
        <v>0</v>
      </c>
      <c r="U1809" t="n">
        <v>62.6</v>
      </c>
      <c r="V1809" t="inlineStr">
        <is>
          <t>No conference fee</t>
        </is>
      </c>
      <c r="W1809" t="inlineStr">
        <is>
          <t>Pas de frais d'enregistrement</t>
        </is>
      </c>
      <c r="X1809" t="inlineStr">
        <is>
          <t>aafc-aac</t>
        </is>
      </c>
      <c r="Y1809" t="inlineStr">
        <is>
          <t>Agriculture and Agri-Food Canada | Agriculture et Agroalimentaire Canada</t>
        </is>
      </c>
      <c r="Z1809" t="n">
        <v>1</v>
      </c>
      <c r="AA1809" t="n">
        <v>62.6</v>
      </c>
      <c r="AB1809">
        <f>ROUND(U1809-AA1809,2)</f>
        <v/>
      </c>
      <c r="AC1809" t="b">
        <v>0</v>
      </c>
      <c r="AD1809">
        <f>IF(U1809="","MISSING_TOTAL",IF(ABS(AB1809)&lt;=0.01,"OK","CHECK"))</f>
        <v/>
      </c>
      <c r="AE1809">
        <f>IF(U1809="","MISSING",IF(AND(AA1809&gt;0,U1809/AA1809&gt;50),"POSSIBLE_SCALE_ERROR","OK"))</f>
        <v/>
      </c>
    </row>
    <row r="1810">
      <c r="A1810" t="inlineStr">
        <is>
          <t>T-2022-P7-0006</t>
        </is>
      </c>
      <c r="B1810" t="inlineStr">
        <is>
          <t>MPSES</t>
        </is>
      </c>
      <c r="C1810" t="inlineStr">
        <is>
          <t>Driver</t>
        </is>
      </c>
      <c r="D1810" t="inlineStr">
        <is>
          <t>Chauffeur</t>
        </is>
      </c>
      <c r="E1810" t="inlineStr">
        <is>
          <t>Michel Gendreau</t>
        </is>
      </c>
      <c r="F1810" t="inlineStr">
        <is>
          <t>Drive the Minister from her riding to the Montréal Airport</t>
        </is>
      </c>
      <c r="G1810" t="inlineStr">
        <is>
          <t>Conduire la Ministre de sa circonscription à l'aéroport de Montréal</t>
        </is>
      </c>
      <c r="H1810" s="1" t="n">
        <v>44845</v>
      </c>
      <c r="I1810" s="1" t="n">
        <v>44845</v>
      </c>
      <c r="J1810" t="inlineStr">
        <is>
          <t>Sherbrooke (Quebec) Canada; Montréal (Quebec) Canada</t>
        </is>
      </c>
      <c r="K1810" t="inlineStr">
        <is>
          <t>Sherbrooke (Québec) Canada; Montréal (Québec) Canada</t>
        </is>
      </c>
      <c r="P1810" t="n">
        <v>0</v>
      </c>
      <c r="Q1810" t="n">
        <v>3</v>
      </c>
      <c r="R1810" t="n">
        <v>0</v>
      </c>
      <c r="S1810" t="n">
        <v>56.6</v>
      </c>
      <c r="T1810" t="n">
        <v>0</v>
      </c>
      <c r="U1810" t="n">
        <v>59.6</v>
      </c>
      <c r="V1810" t="inlineStr">
        <is>
          <t>No conference fee</t>
        </is>
      </c>
      <c r="W1810" t="inlineStr">
        <is>
          <t>Pas de frais d'enregistrement</t>
        </is>
      </c>
      <c r="X1810" t="inlineStr">
        <is>
          <t>aafc-aac</t>
        </is>
      </c>
      <c r="Y1810" t="inlineStr">
        <is>
          <t>Agriculture and Agri-Food Canada | Agriculture et Agroalimentaire Canada</t>
        </is>
      </c>
      <c r="Z1810" t="n">
        <v>1</v>
      </c>
      <c r="AA1810" t="n">
        <v>59.6</v>
      </c>
      <c r="AB1810">
        <f>ROUND(U1810-AA1810,2)</f>
        <v/>
      </c>
      <c r="AC1810" t="b">
        <v>0</v>
      </c>
      <c r="AD1810">
        <f>IF(U1810="","MISSING_TOTAL",IF(ABS(AB1810)&lt;=0.01,"OK","CHECK"))</f>
        <v/>
      </c>
      <c r="AE1810">
        <f>IF(U1810="","MISSING",IF(AND(AA1810&gt;0,U1810/AA1810&gt;50),"POSSIBLE_SCALE_ERROR","OK"))</f>
        <v/>
      </c>
    </row>
    <row r="1811">
      <c r="A1811" t="inlineStr">
        <is>
          <t>T-2022-P7-0007</t>
        </is>
      </c>
      <c r="B1811" t="inlineStr">
        <is>
          <t>MPSES</t>
        </is>
      </c>
      <c r="C1811" t="inlineStr">
        <is>
          <t>Driver</t>
        </is>
      </c>
      <c r="D1811" t="inlineStr">
        <is>
          <t>Chauffeur</t>
        </is>
      </c>
      <c r="E1811" t="inlineStr">
        <is>
          <t>Michel Gendreau</t>
        </is>
      </c>
      <c r="F1811" t="inlineStr">
        <is>
          <t>Drive the Minister from the Montréal Airport to her riding</t>
        </is>
      </c>
      <c r="G1811" t="inlineStr">
        <is>
          <t>Conduire la Ministre de l'aéroport de Montréal à sa circonscription</t>
        </is>
      </c>
      <c r="H1811" s="1" t="n">
        <v>44848</v>
      </c>
      <c r="I1811" s="1" t="n">
        <v>44848</v>
      </c>
      <c r="J1811" t="inlineStr">
        <is>
          <t>Montréal (Quebec) Canada; Sherbrooke (Quebec) Canada</t>
        </is>
      </c>
      <c r="K1811" t="inlineStr">
        <is>
          <t>Montréal (Québec) Canada; Sherbrooke (Québec) Canada</t>
        </is>
      </c>
      <c r="P1811" t="n">
        <v>0</v>
      </c>
      <c r="Q1811" t="n">
        <v>3</v>
      </c>
      <c r="R1811" t="n">
        <v>0</v>
      </c>
      <c r="S1811" t="n">
        <v>45.85</v>
      </c>
      <c r="T1811" t="n">
        <v>0</v>
      </c>
      <c r="U1811" t="n">
        <v>48.85</v>
      </c>
      <c r="V1811" t="inlineStr">
        <is>
          <t>No conference fee</t>
        </is>
      </c>
      <c r="W1811" t="inlineStr">
        <is>
          <t>Pas de frais d'enregistrement</t>
        </is>
      </c>
      <c r="X1811" t="inlineStr">
        <is>
          <t>aafc-aac</t>
        </is>
      </c>
      <c r="Y1811" t="inlineStr">
        <is>
          <t>Agriculture and Agri-Food Canada | Agriculture et Agroalimentaire Canada</t>
        </is>
      </c>
      <c r="Z1811" t="n">
        <v>1</v>
      </c>
      <c r="AA1811" t="n">
        <v>48.85</v>
      </c>
      <c r="AB1811">
        <f>ROUND(U1811-AA1811,2)</f>
        <v/>
      </c>
      <c r="AC1811" t="b">
        <v>0</v>
      </c>
      <c r="AD1811">
        <f>IF(U1811="","MISSING_TOTAL",IF(ABS(AB1811)&lt;=0.01,"OK","CHECK"))</f>
        <v/>
      </c>
      <c r="AE1811">
        <f>IF(U1811="","MISSING",IF(AND(AA1811&gt;0,U1811/AA1811&gt;50),"POSSIBLE_SCALE_ERROR","OK"))</f>
        <v/>
      </c>
    </row>
    <row r="1812">
      <c r="A1812" t="inlineStr">
        <is>
          <t>T-2022-P7-0008</t>
        </is>
      </c>
      <c r="B1812" t="inlineStr">
        <is>
          <t>MPSES</t>
        </is>
      </c>
      <c r="C1812" t="inlineStr">
        <is>
          <t>Driver</t>
        </is>
      </c>
      <c r="D1812" t="inlineStr">
        <is>
          <t>Chauffeur</t>
        </is>
      </c>
      <c r="E1812" t="inlineStr">
        <is>
          <t>Michel Gendreau</t>
        </is>
      </c>
      <c r="F1812" t="inlineStr">
        <is>
          <t>Drive the Minister from her riding to Ottawa</t>
        </is>
      </c>
      <c r="G1812" t="inlineStr">
        <is>
          <t>Conduire la Ministre de sa circonscription à Ottawa</t>
        </is>
      </c>
      <c r="H1812" s="1" t="n">
        <v>44850</v>
      </c>
      <c r="I1812" s="1" t="n">
        <v>44851</v>
      </c>
      <c r="J1812" t="inlineStr">
        <is>
          <t>Sherbrooke (Quebec) Canada</t>
        </is>
      </c>
      <c r="K1812" t="inlineStr">
        <is>
          <t>Sherbrooke (Québec) Canada</t>
        </is>
      </c>
      <c r="P1812" t="n">
        <v>0</v>
      </c>
      <c r="Q1812" t="n">
        <v>6</v>
      </c>
      <c r="R1812" t="n">
        <v>121.38</v>
      </c>
      <c r="S1812" t="n">
        <v>79.40000000000001</v>
      </c>
      <c r="T1812" t="n">
        <v>0</v>
      </c>
      <c r="U1812" t="n">
        <v>206.78</v>
      </c>
      <c r="V1812" t="inlineStr">
        <is>
          <t>No conference fee</t>
        </is>
      </c>
      <c r="W1812" t="inlineStr">
        <is>
          <t>Pas de frais d'enregistrement</t>
        </is>
      </c>
      <c r="X1812" t="inlineStr">
        <is>
          <t>aafc-aac</t>
        </is>
      </c>
      <c r="Y1812" t="inlineStr">
        <is>
          <t>Agriculture and Agri-Food Canada | Agriculture et Agroalimentaire Canada</t>
        </is>
      </c>
      <c r="Z1812" t="n">
        <v>2</v>
      </c>
      <c r="AA1812" t="n">
        <v>206.78</v>
      </c>
      <c r="AB1812">
        <f>ROUND(U1812-AA1812,2)</f>
        <v/>
      </c>
      <c r="AC1812" t="b">
        <v>0</v>
      </c>
      <c r="AD1812">
        <f>IF(U1812="","MISSING_TOTAL",IF(ABS(AB1812)&lt;=0.01,"OK","CHECK"))</f>
        <v/>
      </c>
      <c r="AE1812">
        <f>IF(U1812="","MISSING",IF(AND(AA1812&gt;0,U1812/AA1812&gt;50),"POSSIBLE_SCALE_ERROR","OK"))</f>
        <v/>
      </c>
    </row>
    <row r="1813">
      <c r="A1813" t="inlineStr">
        <is>
          <t>T-2022-P7-0009</t>
        </is>
      </c>
      <c r="B1813" t="inlineStr">
        <is>
          <t>MPSES</t>
        </is>
      </c>
      <c r="C1813" t="inlineStr">
        <is>
          <t>Deputy Minister</t>
        </is>
      </c>
      <c r="D1813" t="inlineStr">
        <is>
          <t>Sous-ministre</t>
        </is>
      </c>
      <c r="E1813" t="inlineStr">
        <is>
          <t>Chris Forbes</t>
        </is>
      </c>
      <c r="F1813" t="inlineStr">
        <is>
          <t>To attend a Prairies Outreach</t>
        </is>
      </c>
      <c r="G1813" t="inlineStr">
        <is>
          <t>Pour assister à une campagne de sensibilisation dans les Prairies</t>
        </is>
      </c>
      <c r="H1813" s="1" t="n">
        <v>44838</v>
      </c>
      <c r="I1813" s="1" t="n">
        <v>44842</v>
      </c>
      <c r="J1813" t="inlineStr">
        <is>
          <t>Calgary (Alberta) Canada; Winnipeg (Manitoba) Canada</t>
        </is>
      </c>
      <c r="K1813" t="inlineStr">
        <is>
          <t>Calgary (Alberta) Canada; Winnipeg (Manitoba) Canada</t>
        </is>
      </c>
      <c r="P1813" t="n">
        <v>1316.02</v>
      </c>
      <c r="Q1813" t="n">
        <v>150.67</v>
      </c>
      <c r="R1813" t="n">
        <v>643.8200000000001</v>
      </c>
      <c r="S1813" t="n">
        <v>340.9</v>
      </c>
      <c r="T1813" t="n">
        <v>0</v>
      </c>
      <c r="U1813" t="n">
        <v>2451.41</v>
      </c>
      <c r="V1813" t="inlineStr">
        <is>
          <t>No Conference Fees</t>
        </is>
      </c>
      <c r="W1813" t="inlineStr">
        <is>
          <t>Pas de frais de conférence</t>
        </is>
      </c>
      <c r="X1813" t="inlineStr">
        <is>
          <t>aafc-aac</t>
        </is>
      </c>
      <c r="Y1813" t="inlineStr">
        <is>
          <t>Agriculture and Agri-Food Canada | Agriculture et Agroalimentaire Canada</t>
        </is>
      </c>
      <c r="Z1813" t="n">
        <v>5</v>
      </c>
      <c r="AA1813" t="n">
        <v>2451.41</v>
      </c>
      <c r="AB1813">
        <f>ROUND(U1813-AA1813,2)</f>
        <v/>
      </c>
      <c r="AC1813" t="b">
        <v>0</v>
      </c>
      <c r="AD1813">
        <f>IF(U1813="","MISSING_TOTAL",IF(ABS(AB1813)&lt;=0.01,"OK","CHECK"))</f>
        <v/>
      </c>
      <c r="AE1813">
        <f>IF(U1813="","MISSING",IF(AND(AA1813&gt;0,U1813/AA1813&gt;50),"POSSIBLE_SCALE_ERROR","OK"))</f>
        <v/>
      </c>
    </row>
    <row r="1814">
      <c r="A1814" t="inlineStr">
        <is>
          <t>T-2022-P7-0010</t>
        </is>
      </c>
      <c r="B1814" t="inlineStr">
        <is>
          <t>MPSES</t>
        </is>
      </c>
      <c r="C1814" t="inlineStr">
        <is>
          <t>Deputy Minister</t>
        </is>
      </c>
      <c r="D1814" t="inlineStr">
        <is>
          <t>Sous-ministre</t>
        </is>
      </c>
      <c r="E1814" t="inlineStr">
        <is>
          <t>Chris Forbes</t>
        </is>
      </c>
      <c r="F1814" t="inlineStr">
        <is>
          <t>To attend an Ontario Outreach</t>
        </is>
      </c>
      <c r="G1814" t="inlineStr">
        <is>
          <t>Pour assister à une campagne de sensibilisation en Ontario</t>
        </is>
      </c>
      <c r="H1814" s="1" t="n">
        <v>44851</v>
      </c>
      <c r="I1814" s="1" t="n">
        <v>44853</v>
      </c>
      <c r="J1814" t="inlineStr">
        <is>
          <t>Toronto (Ontario) Canada</t>
        </is>
      </c>
      <c r="K1814" t="inlineStr">
        <is>
          <t>Toronto (Ontario) Canada</t>
        </is>
      </c>
      <c r="P1814" t="n">
        <v>2095.44</v>
      </c>
      <c r="Q1814" t="n">
        <v>232.6</v>
      </c>
      <c r="R1814" t="n">
        <v>679.26</v>
      </c>
      <c r="S1814" t="n">
        <v>68.65000000000001</v>
      </c>
      <c r="T1814" t="n">
        <v>0</v>
      </c>
      <c r="U1814" t="n">
        <v>3075.95</v>
      </c>
      <c r="V1814" t="inlineStr">
        <is>
          <t>No Conference Fees</t>
        </is>
      </c>
      <c r="W1814" t="inlineStr">
        <is>
          <t>Pas de frais de conférence</t>
        </is>
      </c>
      <c r="X1814" t="inlineStr">
        <is>
          <t>aafc-aac</t>
        </is>
      </c>
      <c r="Y1814" t="inlineStr">
        <is>
          <t>Agriculture and Agri-Food Canada | Agriculture et Agroalimentaire Canada</t>
        </is>
      </c>
      <c r="Z1814" t="n">
        <v>3</v>
      </c>
      <c r="AA1814" t="n">
        <v>3075.95</v>
      </c>
      <c r="AB1814">
        <f>ROUND(U1814-AA1814,2)</f>
        <v/>
      </c>
      <c r="AC1814" t="b">
        <v>0</v>
      </c>
      <c r="AD1814">
        <f>IF(U1814="","MISSING_TOTAL",IF(ABS(AB1814)&lt;=0.01,"OK","CHECK"))</f>
        <v/>
      </c>
      <c r="AE1814">
        <f>IF(U1814="","MISSING",IF(AND(AA1814&gt;0,U1814/AA1814&gt;50),"POSSIBLE_SCALE_ERROR","OK"))</f>
        <v/>
      </c>
    </row>
    <row r="1815">
      <c r="A1815" t="inlineStr">
        <is>
          <t>T-2022-P7-0011</t>
        </is>
      </c>
      <c r="B1815" t="inlineStr">
        <is>
          <t>SLE</t>
        </is>
      </c>
      <c r="C1815" t="inlineStr">
        <is>
          <t>Director General, Office of Audit and Evaluation</t>
        </is>
      </c>
      <c r="D1815" t="inlineStr">
        <is>
          <t>Directrice générale, Bureau de la vérification et de l'évaluation</t>
        </is>
      </c>
      <c r="E1815" t="inlineStr">
        <is>
          <t>Kimberly Saunders</t>
        </is>
      </c>
      <c r="F1815" t="inlineStr">
        <is>
          <t>Attend the Institute of Internal Auditors Canada Conference</t>
        </is>
      </c>
      <c r="G1815" t="inlineStr">
        <is>
          <t>Assister à la conférence de l'Institut des auditeurs internes Canada</t>
        </is>
      </c>
      <c r="H1815" s="1" t="n">
        <v>44848</v>
      </c>
      <c r="I1815" s="1" t="n">
        <v>44854</v>
      </c>
      <c r="J1815" t="inlineStr">
        <is>
          <t>Calgary (Alberta) Canada</t>
        </is>
      </c>
      <c r="K1815" t="inlineStr">
        <is>
          <t>Calgary (Alberta) Canada</t>
        </is>
      </c>
      <c r="P1815" t="n">
        <v>696.95</v>
      </c>
      <c r="Q1815" t="n">
        <v>177.75</v>
      </c>
      <c r="R1815" t="n">
        <v>1002.15</v>
      </c>
      <c r="S1815" t="n">
        <v>421.9</v>
      </c>
      <c r="T1815" t="n">
        <v>0</v>
      </c>
      <c r="U1815" t="n">
        <v>2298.75</v>
      </c>
      <c r="X1815" t="inlineStr">
        <is>
          <t>aafc-aac</t>
        </is>
      </c>
      <c r="Y1815" t="inlineStr">
        <is>
          <t>Agriculture and Agri-Food Canada | Agriculture et Agroalimentaire Canada</t>
        </is>
      </c>
      <c r="Z1815" t="n">
        <v>7</v>
      </c>
      <c r="AA1815" t="n">
        <v>2298.75</v>
      </c>
      <c r="AB1815">
        <f>ROUND(U1815-AA1815,2)</f>
        <v/>
      </c>
      <c r="AC1815" t="b">
        <v>0</v>
      </c>
      <c r="AD1815">
        <f>IF(U1815="","MISSING_TOTAL",IF(ABS(AB1815)&lt;=0.01,"OK","CHECK"))</f>
        <v/>
      </c>
      <c r="AE1815">
        <f>IF(U1815="","MISSING",IF(AND(AA1815&gt;0,U1815/AA1815&gt;50),"POSSIBLE_SCALE_ERROR","OK"))</f>
        <v/>
      </c>
    </row>
    <row r="1816">
      <c r="A1816" t="inlineStr">
        <is>
          <t>T-2022-P7-0012</t>
        </is>
      </c>
      <c r="B1816" t="inlineStr">
        <is>
          <t>SLE</t>
        </is>
      </c>
      <c r="C1816" t="inlineStr">
        <is>
          <t>Assistant Deputy Minister, Corporate Management Branch</t>
        </is>
      </c>
      <c r="D1816" t="inlineStr">
        <is>
          <t>Sous-ministre adjointe, Direction générale de la gestion intégrée</t>
        </is>
      </c>
      <c r="E1816" t="inlineStr">
        <is>
          <t>Marie-Claude Guérard</t>
        </is>
      </c>
      <c r="F1816" t="inlineStr">
        <is>
          <t>In-person meetings in Ottawa</t>
        </is>
      </c>
      <c r="G1816" t="inlineStr">
        <is>
          <t>Rencontre en personne à Ottawa</t>
        </is>
      </c>
      <c r="H1816" s="1" t="n">
        <v>44818</v>
      </c>
      <c r="I1816" s="1" t="n">
        <v>44819</v>
      </c>
      <c r="J1816" t="inlineStr">
        <is>
          <t>Ottawa (Ontario) Canada</t>
        </is>
      </c>
      <c r="K1816" t="inlineStr">
        <is>
          <t>Ottawa (Ontario) Canada</t>
        </is>
      </c>
      <c r="P1816" t="n">
        <v>0</v>
      </c>
      <c r="Q1816" t="n">
        <v>302.97</v>
      </c>
      <c r="R1816" t="n">
        <v>467.72</v>
      </c>
      <c r="S1816" t="n">
        <v>106.3</v>
      </c>
      <c r="T1816" t="n">
        <v>0</v>
      </c>
      <c r="U1816" t="n">
        <v>876.99</v>
      </c>
      <c r="X1816" t="inlineStr">
        <is>
          <t>aafc-aac</t>
        </is>
      </c>
      <c r="Y1816" t="inlineStr">
        <is>
          <t>Agriculture and Agri-Food Canada | Agriculture et Agroalimentaire Canada</t>
        </is>
      </c>
      <c r="Z1816" t="n">
        <v>2</v>
      </c>
      <c r="AA1816" t="n">
        <v>876.99</v>
      </c>
      <c r="AB1816">
        <f>ROUND(U1816-AA1816,2)</f>
        <v/>
      </c>
      <c r="AC1816" t="b">
        <v>0</v>
      </c>
      <c r="AD1816">
        <f>IF(U1816="","MISSING_TOTAL",IF(ABS(AB1816)&lt;=0.01,"OK","CHECK"))</f>
        <v/>
      </c>
      <c r="AE1816">
        <f>IF(U1816="","MISSING",IF(AND(AA1816&gt;0,U1816/AA1816&gt;50),"POSSIBLE_SCALE_ERROR","OK"))</f>
        <v/>
      </c>
    </row>
    <row r="1817">
      <c r="A1817" t="inlineStr">
        <is>
          <t>T-2022-P7-0013</t>
        </is>
      </c>
      <c r="B1817" t="inlineStr">
        <is>
          <t>SLE</t>
        </is>
      </c>
      <c r="C1817" t="inlineStr">
        <is>
          <t>Assistant Deputy Minister, Corporate Management Branch</t>
        </is>
      </c>
      <c r="D1817" t="inlineStr">
        <is>
          <t>Sous-ministre adjointe, Direction générale de la gestion intégrée</t>
        </is>
      </c>
      <c r="E1817" t="inlineStr">
        <is>
          <t>Marie-Claude Guérard</t>
        </is>
      </c>
      <c r="F1817" t="inlineStr">
        <is>
          <t>In-person meetings in Ottawa</t>
        </is>
      </c>
      <c r="G1817" t="inlineStr">
        <is>
          <t>Rencontre en personne à Ottawa</t>
        </is>
      </c>
      <c r="H1817" s="1" t="n">
        <v>44824</v>
      </c>
      <c r="I1817" s="1" t="n">
        <v>44824</v>
      </c>
      <c r="J1817" t="inlineStr">
        <is>
          <t>Ottawa (Ontario) Canada</t>
        </is>
      </c>
      <c r="K1817" t="inlineStr">
        <is>
          <t>Ottawa (Ontario) Canada</t>
        </is>
      </c>
      <c r="P1817" t="n">
        <v>0</v>
      </c>
      <c r="Q1817" t="n">
        <v>317.81</v>
      </c>
      <c r="R1817" t="n">
        <v>0</v>
      </c>
      <c r="S1817" t="n">
        <v>22.15</v>
      </c>
      <c r="T1817" t="n">
        <v>0</v>
      </c>
      <c r="U1817" t="n">
        <v>339.96</v>
      </c>
      <c r="X1817" t="inlineStr">
        <is>
          <t>aafc-aac</t>
        </is>
      </c>
      <c r="Y1817" t="inlineStr">
        <is>
          <t>Agriculture and Agri-Food Canada | Agriculture et Agroalimentaire Canada</t>
        </is>
      </c>
      <c r="Z1817" t="n">
        <v>1</v>
      </c>
      <c r="AA1817" t="n">
        <v>339.96</v>
      </c>
      <c r="AB1817">
        <f>ROUND(U1817-AA1817,2)</f>
        <v/>
      </c>
      <c r="AC1817" t="b">
        <v>0</v>
      </c>
      <c r="AD1817">
        <f>IF(U1817="","MISSING_TOTAL",IF(ABS(AB1817)&lt;=0.01,"OK","CHECK"))</f>
        <v/>
      </c>
      <c r="AE1817">
        <f>IF(U1817="","MISSING",IF(AND(AA1817&gt;0,U1817/AA1817&gt;50),"POSSIBLE_SCALE_ERROR","OK"))</f>
        <v/>
      </c>
    </row>
    <row r="1818">
      <c r="A1818" t="inlineStr">
        <is>
          <t>T-2022-P7-0014</t>
        </is>
      </c>
      <c r="B1818" t="inlineStr">
        <is>
          <t>SLE</t>
        </is>
      </c>
      <c r="C1818" t="inlineStr">
        <is>
          <t>Assistant Deputy Minister, Corporate Management Branch</t>
        </is>
      </c>
      <c r="D1818" t="inlineStr">
        <is>
          <t>Sous-ministre adjointe, Direction générale de la gestion intégrée</t>
        </is>
      </c>
      <c r="E1818" t="inlineStr">
        <is>
          <t>Marie-Claude Guérard</t>
        </is>
      </c>
      <c r="F1818" t="inlineStr">
        <is>
          <t>Outreach in Southern Ontario</t>
        </is>
      </c>
      <c r="G1818" t="inlineStr">
        <is>
          <t>Rencontre au sud de l'Ontario</t>
        </is>
      </c>
      <c r="H1818" s="1" t="n">
        <v>44845</v>
      </c>
      <c r="I1818" s="1" t="n">
        <v>44848</v>
      </c>
      <c r="J1818" t="inlineStr">
        <is>
          <t>Harrow (Ontario) Canada; Guelph (Ontario) Canada; Jerseyville (Ontario) Canada; London (Ontario) Canada</t>
        </is>
      </c>
      <c r="K1818" t="inlineStr">
        <is>
          <t>Harrow (Ontario) Canada; Guelph (Ontario) Canada; Jerseyville (Ontario) Canada; London (Ontario) Canada</t>
        </is>
      </c>
      <c r="P1818" t="n">
        <v>346.48</v>
      </c>
      <c r="Q1818" t="n">
        <v>243.43</v>
      </c>
      <c r="R1818" t="n">
        <v>489.65</v>
      </c>
      <c r="S1818" t="n">
        <v>399.6</v>
      </c>
      <c r="T1818" t="n">
        <v>0</v>
      </c>
      <c r="U1818" t="n">
        <v>1479.16</v>
      </c>
      <c r="X1818" t="inlineStr">
        <is>
          <t>aafc-aac</t>
        </is>
      </c>
      <c r="Y1818" t="inlineStr">
        <is>
          <t>Agriculture and Agri-Food Canada | Agriculture et Agroalimentaire Canada</t>
        </is>
      </c>
      <c r="Z1818" t="n">
        <v>4</v>
      </c>
      <c r="AA1818" t="n">
        <v>1479.15999999999</v>
      </c>
      <c r="AB1818">
        <f>ROUND(U1818-AA1818,2)</f>
        <v/>
      </c>
      <c r="AC1818" t="b">
        <v>0</v>
      </c>
      <c r="AD1818">
        <f>IF(U1818="","MISSING_TOTAL",IF(ABS(AB1818)&lt;=0.01,"OK","CHECK"))</f>
        <v/>
      </c>
      <c r="AE1818">
        <f>IF(U1818="","MISSING",IF(AND(AA1818&gt;0,U1818/AA1818&gt;50),"POSSIBLE_SCALE_ERROR","OK"))</f>
        <v/>
      </c>
    </row>
    <row r="1819">
      <c r="A1819" t="inlineStr">
        <is>
          <t>T-2022-P7-0015</t>
        </is>
      </c>
      <c r="B1819" t="inlineStr">
        <is>
          <t>SLE</t>
        </is>
      </c>
      <c r="C1819" t="inlineStr">
        <is>
          <t>Assistant Deputy Minister, Strategic Policy Branch</t>
        </is>
      </c>
      <c r="D1819" t="inlineStr">
        <is>
          <t>Sous-ministre adjointe, Direction générale des politiques stratégiques</t>
        </is>
      </c>
      <c r="E1819" t="inlineStr">
        <is>
          <t>Natasha Kim</t>
        </is>
      </c>
      <c r="F1819" t="inlineStr">
        <is>
          <t>Travel to Vancouver for the outreach and tours with other members</t>
        </is>
      </c>
      <c r="G1819" t="inlineStr">
        <is>
          <t>Voyage à Vancouver pour les activités de sensibilisation et les visites avec d'autres membres</t>
        </is>
      </c>
      <c r="H1819" s="1" t="n">
        <v>44818</v>
      </c>
      <c r="I1819" s="1" t="n">
        <v>44822</v>
      </c>
      <c r="J1819" t="inlineStr">
        <is>
          <t>Vancouver (British Columbia) Canada</t>
        </is>
      </c>
      <c r="K1819" t="inlineStr">
        <is>
          <t>Vancouver (Colombie-Britannique) Canada</t>
        </is>
      </c>
      <c r="P1819" t="n">
        <v>1712.83</v>
      </c>
      <c r="Q1819" t="n">
        <v>191.68</v>
      </c>
      <c r="R1819" t="n">
        <v>990.2</v>
      </c>
      <c r="S1819" t="n">
        <v>226.9</v>
      </c>
      <c r="T1819" t="n">
        <v>0</v>
      </c>
      <c r="U1819" t="n">
        <v>3121.61</v>
      </c>
      <c r="X1819" t="inlineStr">
        <is>
          <t>aafc-aac</t>
        </is>
      </c>
      <c r="Y1819" t="inlineStr">
        <is>
          <t>Agriculture and Agri-Food Canada | Agriculture et Agroalimentaire Canada</t>
        </is>
      </c>
      <c r="Z1819" t="n">
        <v>5</v>
      </c>
      <c r="AA1819" t="n">
        <v>3121.61</v>
      </c>
      <c r="AB1819">
        <f>ROUND(U1819-AA1819,2)</f>
        <v/>
      </c>
      <c r="AC1819" t="b">
        <v>0</v>
      </c>
      <c r="AD1819">
        <f>IF(U1819="","MISSING_TOTAL",IF(ABS(AB1819)&lt;=0.01,"OK","CHECK"))</f>
        <v/>
      </c>
      <c r="AE1819">
        <f>IF(U1819="","MISSING",IF(AND(AA1819&gt;0,U1819/AA1819&gt;50),"POSSIBLE_SCALE_ERROR","OK"))</f>
        <v/>
      </c>
    </row>
    <row r="1820">
      <c r="A1820" t="inlineStr">
        <is>
          <t>T-2022-P7-0016</t>
        </is>
      </c>
      <c r="B1820" t="inlineStr">
        <is>
          <t>SLE</t>
        </is>
      </c>
      <c r="C1820" t="inlineStr">
        <is>
          <t>Assistant Deputy Minister, Strategic Policy Branch</t>
        </is>
      </c>
      <c r="D1820" t="inlineStr">
        <is>
          <t>Sous-ministre adjointe, Direction générale des politiques stratégiques</t>
        </is>
      </c>
      <c r="E1820" t="inlineStr">
        <is>
          <t>Natasha Kim</t>
        </is>
      </c>
      <c r="F1820" t="inlineStr">
        <is>
          <t>Travel to London, ON for a leadership course.</t>
        </is>
      </c>
      <c r="G1820" t="inlineStr">
        <is>
          <t>Voyage à London, en Ontario, pour suivre un cours de leadership.</t>
        </is>
      </c>
      <c r="H1820" s="1" t="n">
        <v>44829</v>
      </c>
      <c r="I1820" s="1" t="n">
        <v>44834</v>
      </c>
      <c r="J1820" t="inlineStr">
        <is>
          <t>London (Ontario)Canada</t>
        </is>
      </c>
      <c r="K1820" t="inlineStr">
        <is>
          <t>London (Ontario) Canada</t>
        </is>
      </c>
      <c r="P1820" t="n">
        <v>619.85</v>
      </c>
      <c r="Q1820" t="n">
        <v>227.08</v>
      </c>
      <c r="R1820" t="n">
        <v>0</v>
      </c>
      <c r="S1820" t="n">
        <v>180.35</v>
      </c>
      <c r="T1820" t="n">
        <v>0</v>
      </c>
      <c r="U1820" t="n">
        <v>1027.28</v>
      </c>
      <c r="X1820" t="inlineStr">
        <is>
          <t>aafc-aac</t>
        </is>
      </c>
      <c r="Y1820" t="inlineStr">
        <is>
          <t>Agriculture and Agri-Food Canada | Agriculture et Agroalimentaire Canada</t>
        </is>
      </c>
      <c r="Z1820" t="n">
        <v>6</v>
      </c>
      <c r="AA1820" t="n">
        <v>1027.28</v>
      </c>
      <c r="AB1820">
        <f>ROUND(U1820-AA1820,2)</f>
        <v/>
      </c>
      <c r="AC1820" t="b">
        <v>0</v>
      </c>
      <c r="AD1820">
        <f>IF(U1820="","MISSING_TOTAL",IF(ABS(AB1820)&lt;=0.01,"OK","CHECK"))</f>
        <v/>
      </c>
      <c r="AE1820">
        <f>IF(U1820="","MISSING",IF(AND(AA1820&gt;0,U1820/AA1820&gt;50),"POSSIBLE_SCALE_ERROR","OK"))</f>
        <v/>
      </c>
    </row>
    <row r="1821">
      <c r="A1821" t="inlineStr">
        <is>
          <t>T-2022-P7-0017</t>
        </is>
      </c>
      <c r="B1821" t="inlineStr">
        <is>
          <t>SLE</t>
        </is>
      </c>
      <c r="C1821" t="inlineStr">
        <is>
          <t>Assistant Deputy Minister, Market and Industry Services Branch</t>
        </is>
      </c>
      <c r="D1821" t="inlineStr">
        <is>
          <t>Sous-ministre adjoint, Direction générale des services à l'industrie et aux marchés</t>
        </is>
      </c>
      <c r="E1821" t="inlineStr">
        <is>
          <t>Tom Rosser</t>
        </is>
      </c>
      <c r="F1821" t="inlineStr">
        <is>
          <t>Participate in the Cairns Group Retreat on behalf of AAFC.</t>
        </is>
      </c>
      <c r="G1821" t="inlineStr">
        <is>
          <t>Participer à la retraite du groupe de Cairns au nom d’AAC.</t>
        </is>
      </c>
      <c r="H1821" s="1" t="n">
        <v>44818</v>
      </c>
      <c r="I1821" s="1" t="n">
        <v>44822</v>
      </c>
      <c r="J1821" t="inlineStr">
        <is>
          <t>Montreux, Switzerland</t>
        </is>
      </c>
      <c r="K1821" t="inlineStr">
        <is>
          <t>Montreux, Suisse</t>
        </is>
      </c>
      <c r="P1821" t="n">
        <v>3335.46</v>
      </c>
      <c r="Q1821" t="n">
        <v>252.29</v>
      </c>
      <c r="R1821" t="n">
        <v>903.21</v>
      </c>
      <c r="S1821" t="n">
        <v>315.18</v>
      </c>
      <c r="T1821" t="n">
        <v>0</v>
      </c>
      <c r="U1821" t="n">
        <v>4806.14</v>
      </c>
      <c r="X1821" t="inlineStr">
        <is>
          <t>aafc-aac</t>
        </is>
      </c>
      <c r="Y1821" t="inlineStr">
        <is>
          <t>Agriculture and Agri-Food Canada | Agriculture et Agroalimentaire Canada</t>
        </is>
      </c>
      <c r="Z1821" t="n">
        <v>5</v>
      </c>
      <c r="AA1821" t="n">
        <v>4806.14</v>
      </c>
      <c r="AB1821">
        <f>ROUND(U1821-AA1821,2)</f>
        <v/>
      </c>
      <c r="AC1821" t="b">
        <v>0</v>
      </c>
      <c r="AD1821">
        <f>IF(U1821="","MISSING_TOTAL",IF(ABS(AB1821)&lt;=0.01,"OK","CHECK"))</f>
        <v/>
      </c>
      <c r="AE1821">
        <f>IF(U1821="","MISSING",IF(AND(AA1821&gt;0,U1821/AA1821&gt;50),"POSSIBLE_SCALE_ERROR","OK"))</f>
        <v/>
      </c>
    </row>
    <row r="1822">
      <c r="A1822" t="inlineStr">
        <is>
          <t>T-2022-P7-0018</t>
        </is>
      </c>
      <c r="B1822" t="inlineStr">
        <is>
          <t>SLE</t>
        </is>
      </c>
      <c r="C1822" t="inlineStr">
        <is>
          <t>Chief Information Officer, Information Systems Branch</t>
        </is>
      </c>
      <c r="D1822" t="inlineStr">
        <is>
          <t>Dirigeante principale de l'information, Direction générale des systèmes information</t>
        </is>
      </c>
      <c r="E1822" t="inlineStr">
        <is>
          <t>Vidya ShankarNarayan</t>
        </is>
      </c>
      <c r="F1822" t="inlineStr">
        <is>
          <t>To attend AgTech Conference</t>
        </is>
      </c>
      <c r="G1822" t="inlineStr">
        <is>
          <t>Pour assister à la conférence AgTech</t>
        </is>
      </c>
      <c r="H1822" s="1" t="n">
        <v>44822</v>
      </c>
      <c r="I1822" s="1" t="n">
        <v>44828</v>
      </c>
      <c r="J1822" t="inlineStr">
        <is>
          <t>London, England</t>
        </is>
      </c>
      <c r="K1822" t="inlineStr">
        <is>
          <t>Londre, Angleterre</t>
        </is>
      </c>
      <c r="P1822" t="n">
        <v>1815.85</v>
      </c>
      <c r="Q1822" t="n">
        <v>204.47</v>
      </c>
      <c r="R1822" t="n">
        <v>2364.02</v>
      </c>
      <c r="S1822" t="n">
        <v>1055.43</v>
      </c>
      <c r="T1822" t="n">
        <v>0</v>
      </c>
      <c r="U1822" t="n">
        <v>5439.77</v>
      </c>
      <c r="X1822" t="inlineStr">
        <is>
          <t>aafc-aac</t>
        </is>
      </c>
      <c r="Y1822" t="inlineStr">
        <is>
          <t>Agriculture and Agri-Food Canada | Agriculture et Agroalimentaire Canada</t>
        </is>
      </c>
      <c r="Z1822" t="n">
        <v>7</v>
      </c>
      <c r="AA1822" t="n">
        <v>5439.77</v>
      </c>
      <c r="AB1822">
        <f>ROUND(U1822-AA1822,2)</f>
        <v/>
      </c>
      <c r="AC1822" t="b">
        <v>0</v>
      </c>
      <c r="AD1822">
        <f>IF(U1822="","MISSING_TOTAL",IF(ABS(AB1822)&lt;=0.01,"OK","CHECK"))</f>
        <v/>
      </c>
      <c r="AE1822">
        <f>IF(U1822="","MISSING",IF(AND(AA1822&gt;0,U1822/AA1822&gt;50),"POSSIBLE_SCALE_ERROR","OK"))</f>
        <v/>
      </c>
    </row>
    <row r="1823">
      <c r="A1823" t="inlineStr">
        <is>
          <t>T-2022-P8-0001</t>
        </is>
      </c>
      <c r="B1823" t="inlineStr">
        <is>
          <t>MPSES</t>
        </is>
      </c>
      <c r="C1823" t="inlineStr">
        <is>
          <t>Minister</t>
        </is>
      </c>
      <c r="D1823" t="inlineStr">
        <is>
          <t>Ministre</t>
        </is>
      </c>
      <c r="E1823" t="inlineStr">
        <is>
          <t>Marie-Claude Bibeau</t>
        </is>
      </c>
      <c r="F1823" t="inlineStr">
        <is>
          <t>To attend the 17th G20 Heads of State and Government Summit</t>
        </is>
      </c>
      <c r="G1823" t="inlineStr">
        <is>
          <t>Pour assister le 17e sommet des chefs d'État et de gouvernement du G20</t>
        </is>
      </c>
      <c r="H1823" s="1" t="n">
        <v>44827</v>
      </c>
      <c r="I1823" s="1" t="n">
        <v>44834</v>
      </c>
      <c r="J1823" t="inlineStr">
        <is>
          <t>(Manila) Philippines
(Bali) Indonesia</t>
        </is>
      </c>
      <c r="K1823" t="inlineStr">
        <is>
          <t>(Manille) Philippines
(Bali) Indonésie</t>
        </is>
      </c>
      <c r="P1823" t="n">
        <v>14788.85</v>
      </c>
      <c r="Q1823" t="n">
        <v>0</v>
      </c>
      <c r="R1823" t="n">
        <v>1450.15</v>
      </c>
      <c r="S1823" t="n">
        <v>568.02</v>
      </c>
      <c r="T1823" t="n">
        <v>65.54000000000001</v>
      </c>
      <c r="U1823" t="n">
        <v>16872.56</v>
      </c>
      <c r="V1823" t="inlineStr">
        <is>
          <t>No Conference Fees</t>
        </is>
      </c>
      <c r="W1823" t="inlineStr">
        <is>
          <t>Pas de frais de conférence</t>
        </is>
      </c>
      <c r="X1823" t="inlineStr">
        <is>
          <t>aafc-aac</t>
        </is>
      </c>
      <c r="Y1823" t="inlineStr">
        <is>
          <t>Agriculture and Agri-Food Canada | Agriculture et Agroalimentaire Canada</t>
        </is>
      </c>
      <c r="Z1823" t="n">
        <v>8</v>
      </c>
      <c r="AA1823" t="n">
        <v>16872.56</v>
      </c>
      <c r="AB1823">
        <f>ROUND(U1823-AA1823,2)</f>
        <v/>
      </c>
      <c r="AC1823" t="b">
        <v>0</v>
      </c>
      <c r="AD1823">
        <f>IF(U1823="","MISSING_TOTAL",IF(ABS(AB1823)&lt;=0.01,"OK","CHECK"))</f>
        <v/>
      </c>
      <c r="AE1823">
        <f>IF(U1823="","MISSING",IF(AND(AA1823&gt;0,U1823/AA1823&gt;50),"POSSIBLE_SCALE_ERROR","OK"))</f>
        <v/>
      </c>
    </row>
    <row r="1824">
      <c r="A1824" t="inlineStr">
        <is>
          <t>T-2022-P8-0002</t>
        </is>
      </c>
      <c r="B1824" t="inlineStr">
        <is>
          <t>MPSES</t>
        </is>
      </c>
      <c r="C1824" t="inlineStr">
        <is>
          <t>Minister</t>
        </is>
      </c>
      <c r="D1824" t="inlineStr">
        <is>
          <t>Ministre</t>
        </is>
      </c>
      <c r="E1824" t="inlineStr">
        <is>
          <t>Marie-Claude Bibeau</t>
        </is>
      </c>
      <c r="F1824" t="inlineStr">
        <is>
          <t>To attend the Eastern Outreach meetings</t>
        </is>
      </c>
      <c r="G1824" t="inlineStr">
        <is>
          <t>Pour assister aux réunions de sensibilisation de l'Est</t>
        </is>
      </c>
      <c r="H1824" s="1" t="n">
        <v>44845</v>
      </c>
      <c r="I1824" s="1" t="n">
        <v>44848</v>
      </c>
      <c r="J1824" t="inlineStr">
        <is>
          <t>Halifax (Nova Scotia) Canada
Charlottetown (Prince Edward Island) Canada</t>
        </is>
      </c>
      <c r="K1824" t="inlineStr">
        <is>
          <t>Halifax (Nouvelle-Écosse) Canada
Charlottetown (Île-du-Prince-Édouard) Canada</t>
        </is>
      </c>
      <c r="P1824" t="n">
        <v>900.96</v>
      </c>
      <c r="Q1824" t="n">
        <v>0</v>
      </c>
      <c r="R1824" t="n">
        <v>468.65</v>
      </c>
      <c r="S1824" t="n">
        <v>227.7</v>
      </c>
      <c r="T1824" t="n">
        <v>0</v>
      </c>
      <c r="U1824" t="n">
        <v>1597.31</v>
      </c>
      <c r="V1824" t="inlineStr">
        <is>
          <t>No Conference Fees</t>
        </is>
      </c>
      <c r="W1824" t="inlineStr">
        <is>
          <t>Pas de frais de conférence</t>
        </is>
      </c>
      <c r="X1824" t="inlineStr">
        <is>
          <t>aafc-aac</t>
        </is>
      </c>
      <c r="Y1824" t="inlineStr">
        <is>
          <t>Agriculture and Agri-Food Canada | Agriculture et Agroalimentaire Canada</t>
        </is>
      </c>
      <c r="Z1824" t="n">
        <v>4</v>
      </c>
      <c r="AA1824" t="n">
        <v>1597.31</v>
      </c>
      <c r="AB1824">
        <f>ROUND(U1824-AA1824,2)</f>
        <v/>
      </c>
      <c r="AC1824" t="b">
        <v>0</v>
      </c>
      <c r="AD1824">
        <f>IF(U1824="","MISSING_TOTAL",IF(ABS(AB1824)&lt;=0.01,"OK","CHECK"))</f>
        <v/>
      </c>
      <c r="AE1824">
        <f>IF(U1824="","MISSING",IF(AND(AA1824&gt;0,U1824/AA1824&gt;50),"POSSIBLE_SCALE_ERROR","OK"))</f>
        <v/>
      </c>
    </row>
    <row r="1825">
      <c r="A1825" t="inlineStr">
        <is>
          <t>T-2022-P8-0003</t>
        </is>
      </c>
      <c r="B1825" t="inlineStr">
        <is>
          <t>MPSES</t>
        </is>
      </c>
      <c r="C1825" t="inlineStr">
        <is>
          <t>Minister</t>
        </is>
      </c>
      <c r="D1825" t="inlineStr">
        <is>
          <t>Ministre</t>
        </is>
      </c>
      <c r="E1825" t="inlineStr">
        <is>
          <t>Marie-Claude Bibeau</t>
        </is>
      </c>
      <c r="F1825" t="inlineStr">
        <is>
          <t>To attend the Quebec Tour</t>
        </is>
      </c>
      <c r="G1825" t="inlineStr">
        <is>
          <t>Pour assister à la tournée québécoise</t>
        </is>
      </c>
      <c r="H1825" s="1" t="n">
        <v>44855</v>
      </c>
      <c r="I1825" s="1" t="n">
        <v>44857</v>
      </c>
      <c r="J1825" t="inlineStr">
        <is>
          <t>Québec (Quebec) Canada</t>
        </is>
      </c>
      <c r="K1825" t="inlineStr">
        <is>
          <t>Québec (Québec) Canada</t>
        </is>
      </c>
      <c r="P1825" t="n">
        <v>0</v>
      </c>
      <c r="Q1825" t="n">
        <v>0</v>
      </c>
      <c r="R1825" t="n">
        <v>312.02</v>
      </c>
      <c r="S1825" t="n">
        <v>171.35</v>
      </c>
      <c r="T1825" t="n">
        <v>0</v>
      </c>
      <c r="U1825" t="n">
        <v>483.37</v>
      </c>
      <c r="V1825" t="inlineStr">
        <is>
          <t>No Conference Fees</t>
        </is>
      </c>
      <c r="W1825" t="inlineStr">
        <is>
          <t>Pas de frais de conférence</t>
        </is>
      </c>
      <c r="X1825" t="inlineStr">
        <is>
          <t>aafc-aac</t>
        </is>
      </c>
      <c r="Y1825" t="inlineStr">
        <is>
          <t>Agriculture and Agri-Food Canada | Agriculture et Agroalimentaire Canada</t>
        </is>
      </c>
      <c r="Z1825" t="n">
        <v>3</v>
      </c>
      <c r="AA1825" t="n">
        <v>483.37</v>
      </c>
      <c r="AB1825">
        <f>ROUND(U1825-AA1825,2)</f>
        <v/>
      </c>
      <c r="AC1825" t="b">
        <v>0</v>
      </c>
      <c r="AD1825">
        <f>IF(U1825="","MISSING_TOTAL",IF(ABS(AB1825)&lt;=0.01,"OK","CHECK"))</f>
        <v/>
      </c>
      <c r="AE1825">
        <f>IF(U1825="","MISSING",IF(AND(AA1825&gt;0,U1825/AA1825&gt;50),"POSSIBLE_SCALE_ERROR","OK"))</f>
        <v/>
      </c>
    </row>
    <row r="1826">
      <c r="A1826" t="inlineStr">
        <is>
          <t>T-2022-P8-0004</t>
        </is>
      </c>
      <c r="B1826" t="inlineStr">
        <is>
          <t>MPSES</t>
        </is>
      </c>
      <c r="C1826" t="inlineStr">
        <is>
          <t>Senior Advisor</t>
        </is>
      </c>
      <c r="D1826" t="inlineStr">
        <is>
          <t>Conseiller principal</t>
        </is>
      </c>
      <c r="E1826" t="inlineStr">
        <is>
          <t>Abed Harb</t>
        </is>
      </c>
      <c r="F1826" t="inlineStr">
        <is>
          <t>To accompany the Minister attending the 17th G20 Heads of State and Government Summit</t>
        </is>
      </c>
      <c r="G1826" t="inlineStr">
        <is>
          <t>Accompagner la ministre au 17e sommet des chefs d'État et de gouvernement du G20</t>
        </is>
      </c>
      <c r="H1826" s="1" t="n">
        <v>44827</v>
      </c>
      <c r="I1826" s="1" t="n">
        <v>44834</v>
      </c>
      <c r="J1826" t="inlineStr">
        <is>
          <t>(Manila) Philippines
(Bali) Indonesia</t>
        </is>
      </c>
      <c r="K1826" t="inlineStr">
        <is>
          <t>(Manille) Philippines
(Bali) Indonésie</t>
        </is>
      </c>
      <c r="P1826" t="n">
        <v>4686.28</v>
      </c>
      <c r="Q1826" t="n">
        <v>1835.9</v>
      </c>
      <c r="R1826" t="n">
        <v>1402.31</v>
      </c>
      <c r="S1826" t="n">
        <v>568.02</v>
      </c>
      <c r="T1826" t="n">
        <v>46.05</v>
      </c>
      <c r="U1826" t="n">
        <v>8538.559999999999</v>
      </c>
      <c r="V1826" t="inlineStr">
        <is>
          <t>No conference fee.</t>
        </is>
      </c>
      <c r="W1826" t="inlineStr">
        <is>
          <t>Pas de frais d'enregistrement</t>
        </is>
      </c>
      <c r="X1826" t="inlineStr">
        <is>
          <t>aafc-aac</t>
        </is>
      </c>
      <c r="Y1826" t="inlineStr">
        <is>
          <t>Agriculture and Agri-Food Canada | Agriculture et Agroalimentaire Canada</t>
        </is>
      </c>
      <c r="Z1826" t="n">
        <v>8</v>
      </c>
      <c r="AA1826" t="n">
        <v>8538.559999999999</v>
      </c>
      <c r="AB1826">
        <f>ROUND(U1826-AA1826,2)</f>
        <v/>
      </c>
      <c r="AC1826" t="b">
        <v>0</v>
      </c>
      <c r="AD1826">
        <f>IF(U1826="","MISSING_TOTAL",IF(ABS(AB1826)&lt;=0.01,"OK","CHECK"))</f>
        <v/>
      </c>
      <c r="AE1826">
        <f>IF(U1826="","MISSING",IF(AND(AA1826&gt;0,U1826/AA1826&gt;50),"POSSIBLE_SCALE_ERROR","OK"))</f>
        <v/>
      </c>
    </row>
    <row r="1827">
      <c r="A1827" t="inlineStr">
        <is>
          <t>T-2022-P8-0005</t>
        </is>
      </c>
      <c r="B1827" t="inlineStr">
        <is>
          <t>MPSES</t>
        </is>
      </c>
      <c r="C1827" t="inlineStr">
        <is>
          <t>Press Secretary</t>
        </is>
      </c>
      <c r="D1827" t="inlineStr">
        <is>
          <t>Attachée de presse</t>
        </is>
      </c>
      <c r="E1827" t="inlineStr">
        <is>
          <t>Marianne Dandurand</t>
        </is>
      </c>
      <c r="F1827" t="inlineStr">
        <is>
          <t>To accompany the Minister on to her Quebec tour</t>
        </is>
      </c>
      <c r="G1827" t="inlineStr">
        <is>
          <t>Pour accompagner la ministre à sa tournée québécoise</t>
        </is>
      </c>
      <c r="H1827" s="1" t="n">
        <v>44820</v>
      </c>
      <c r="I1827" s="1" t="n">
        <v>44820</v>
      </c>
      <c r="J1827" t="inlineStr">
        <is>
          <t>Sherbrooke (Quebec) Canada</t>
        </is>
      </c>
      <c r="K1827" t="inlineStr">
        <is>
          <t>Sherbrooke (Québec) Canada</t>
        </is>
      </c>
      <c r="P1827" t="n">
        <v>0</v>
      </c>
      <c r="Q1827" t="n">
        <v>46.23</v>
      </c>
      <c r="R1827" t="n">
        <v>0</v>
      </c>
      <c r="S1827" t="n">
        <v>0</v>
      </c>
      <c r="T1827" t="n">
        <v>0</v>
      </c>
      <c r="U1827" t="n">
        <v>46.23</v>
      </c>
      <c r="V1827" t="inlineStr">
        <is>
          <t>No Conference Fees</t>
        </is>
      </c>
      <c r="W1827" t="inlineStr">
        <is>
          <t>Pas de frais de conférence</t>
        </is>
      </c>
      <c r="X1827" t="inlineStr">
        <is>
          <t>aafc-aac</t>
        </is>
      </c>
      <c r="Y1827" t="inlineStr">
        <is>
          <t>Agriculture and Agri-Food Canada | Agriculture et Agroalimentaire Canada</t>
        </is>
      </c>
      <c r="Z1827" t="n">
        <v>1</v>
      </c>
      <c r="AA1827" t="n">
        <v>46.23</v>
      </c>
      <c r="AB1827">
        <f>ROUND(U1827-AA1827,2)</f>
        <v/>
      </c>
      <c r="AC1827" t="b">
        <v>0</v>
      </c>
      <c r="AD1827">
        <f>IF(U1827="","MISSING_TOTAL",IF(ABS(AB1827)&lt;=0.01,"OK","CHECK"))</f>
        <v/>
      </c>
      <c r="AE1827">
        <f>IF(U1827="","MISSING",IF(AND(AA1827&gt;0,U1827/AA1827&gt;50),"POSSIBLE_SCALE_ERROR","OK"))</f>
        <v/>
      </c>
    </row>
    <row r="1828">
      <c r="A1828" t="inlineStr">
        <is>
          <t>T-2022-P8-0006</t>
        </is>
      </c>
      <c r="B1828" t="inlineStr">
        <is>
          <t>MPSES</t>
        </is>
      </c>
      <c r="C1828" t="inlineStr">
        <is>
          <t>Press Secretary</t>
        </is>
      </c>
      <c r="D1828" t="inlineStr">
        <is>
          <t>Attachée de presse</t>
        </is>
      </c>
      <c r="E1828" t="inlineStr">
        <is>
          <t>Marianne Dandurand</t>
        </is>
      </c>
      <c r="F1828" t="inlineStr">
        <is>
          <t>To accompany the Minister on the Eastern Outreach meetings</t>
        </is>
      </c>
      <c r="G1828" t="inlineStr">
        <is>
          <t>Pour accompagner la ministre aux réunions de sensibilisation de l'Est</t>
        </is>
      </c>
      <c r="H1828" s="1" t="n">
        <v>44846</v>
      </c>
      <c r="I1828" s="1" t="n">
        <v>44848</v>
      </c>
      <c r="J1828" t="inlineStr">
        <is>
          <t>Halifax (Nova Scotia) Canada
Charlottetown (Prince Edward Island) Canada</t>
        </is>
      </c>
      <c r="K1828" t="inlineStr">
        <is>
          <t>Halifax (Nouvelle-Écosse) Canada
Charlottetown (Île-du-Prince-Édouard) Canada</t>
        </is>
      </c>
      <c r="P1828" t="n">
        <v>900.96</v>
      </c>
      <c r="Q1828" t="n">
        <v>36.23</v>
      </c>
      <c r="R1828" t="n">
        <v>468.65</v>
      </c>
      <c r="S1828" t="n">
        <v>227.7</v>
      </c>
      <c r="T1828" t="n">
        <v>0</v>
      </c>
      <c r="U1828" t="n">
        <v>1633.54</v>
      </c>
      <c r="V1828" t="inlineStr">
        <is>
          <t>No Conference Fees</t>
        </is>
      </c>
      <c r="W1828" t="inlineStr">
        <is>
          <t>Pas de frais de conférence</t>
        </is>
      </c>
      <c r="X1828" t="inlineStr">
        <is>
          <t>aafc-aac</t>
        </is>
      </c>
      <c r="Y1828" t="inlineStr">
        <is>
          <t>Agriculture and Agri-Food Canada | Agriculture et Agroalimentaire Canada</t>
        </is>
      </c>
      <c r="Z1828" t="n">
        <v>3</v>
      </c>
      <c r="AA1828" t="n">
        <v>1633.54</v>
      </c>
      <c r="AB1828">
        <f>ROUND(U1828-AA1828,2)</f>
        <v/>
      </c>
      <c r="AC1828" t="b">
        <v>0</v>
      </c>
      <c r="AD1828">
        <f>IF(U1828="","MISSING_TOTAL",IF(ABS(AB1828)&lt;=0.01,"OK","CHECK"))</f>
        <v/>
      </c>
      <c r="AE1828">
        <f>IF(U1828="","MISSING",IF(AND(AA1828&gt;0,U1828/AA1828&gt;50),"POSSIBLE_SCALE_ERROR","OK"))</f>
        <v/>
      </c>
    </row>
    <row r="1829">
      <c r="A1829" t="inlineStr">
        <is>
          <t>T-2022-P8-0007</t>
        </is>
      </c>
      <c r="B1829" t="inlineStr">
        <is>
          <t>MPSES</t>
        </is>
      </c>
      <c r="C1829" t="inlineStr">
        <is>
          <t>Driver</t>
        </is>
      </c>
      <c r="D1829" t="inlineStr">
        <is>
          <t>Chauffeur</t>
        </is>
      </c>
      <c r="E1829" t="inlineStr">
        <is>
          <t>Michel Gendreau</t>
        </is>
      </c>
      <c r="F1829" t="inlineStr">
        <is>
          <t>Drive the Minister from her riding to her Quebec tour</t>
        </is>
      </c>
      <c r="G1829" t="inlineStr">
        <is>
          <t>Conduire la Ministre de sa circonscription à sa tournée québécoise</t>
        </is>
      </c>
      <c r="H1829" s="1" t="n">
        <v>44855</v>
      </c>
      <c r="I1829" s="1" t="n">
        <v>44857</v>
      </c>
      <c r="J1829" t="inlineStr">
        <is>
          <t>Québec (Quebec) Canada</t>
        </is>
      </c>
      <c r="K1829" t="inlineStr">
        <is>
          <t>Québec (Québec) Canada</t>
        </is>
      </c>
      <c r="P1829" t="n">
        <v>0</v>
      </c>
      <c r="Q1829" t="n">
        <v>3</v>
      </c>
      <c r="R1829" t="n">
        <v>312.02</v>
      </c>
      <c r="S1829" t="n">
        <v>284.55</v>
      </c>
      <c r="T1829" t="n">
        <v>0</v>
      </c>
      <c r="U1829" t="n">
        <v>599.5700000000001</v>
      </c>
      <c r="V1829" t="inlineStr">
        <is>
          <t>No conference fee</t>
        </is>
      </c>
      <c r="W1829" t="inlineStr">
        <is>
          <t>Pas de frais d'enregistrement</t>
        </is>
      </c>
      <c r="X1829" t="inlineStr">
        <is>
          <t>aafc-aac</t>
        </is>
      </c>
      <c r="Y1829" t="inlineStr">
        <is>
          <t>Agriculture and Agri-Food Canada | Agriculture et Agroalimentaire Canada</t>
        </is>
      </c>
      <c r="Z1829" t="n">
        <v>3</v>
      </c>
      <c r="AA1829" t="n">
        <v>599.569999999999</v>
      </c>
      <c r="AB1829">
        <f>ROUND(U1829-AA1829,2)</f>
        <v/>
      </c>
      <c r="AC1829" t="b">
        <v>0</v>
      </c>
      <c r="AD1829">
        <f>IF(U1829="","MISSING_TOTAL",IF(ABS(AB1829)&lt;=0.01,"OK","CHECK"))</f>
        <v/>
      </c>
      <c r="AE1829">
        <f>IF(U1829="","MISSING",IF(AND(AA1829&gt;0,U1829/AA1829&gt;50),"POSSIBLE_SCALE_ERROR","OK"))</f>
        <v/>
      </c>
    </row>
    <row r="1830">
      <c r="A1830" t="inlineStr">
        <is>
          <t>T-2022-P8-0008</t>
        </is>
      </c>
      <c r="B1830" t="inlineStr">
        <is>
          <t>MPSES</t>
        </is>
      </c>
      <c r="C1830" t="inlineStr">
        <is>
          <t>Driver</t>
        </is>
      </c>
      <c r="D1830" t="inlineStr">
        <is>
          <t>Chauffeur</t>
        </is>
      </c>
      <c r="E1830" t="inlineStr">
        <is>
          <t>Michel Gendreau</t>
        </is>
      </c>
      <c r="F1830" t="inlineStr">
        <is>
          <t>Drive the Minister from her riding to Ottawa</t>
        </is>
      </c>
      <c r="G1830" t="inlineStr">
        <is>
          <t>Conduire la Ministre de sa circonscription à Ottawa</t>
        </is>
      </c>
      <c r="H1830" s="1" t="n">
        <v>44858</v>
      </c>
      <c r="I1830" s="1" t="n">
        <v>44859</v>
      </c>
      <c r="J1830" t="inlineStr">
        <is>
          <t>Sherbrooke (Quebec) Canada</t>
        </is>
      </c>
      <c r="K1830" t="inlineStr">
        <is>
          <t>Sherbrooke (Québec) Canada</t>
        </is>
      </c>
      <c r="P1830" t="n">
        <v>0</v>
      </c>
      <c r="Q1830" t="n">
        <v>6</v>
      </c>
      <c r="R1830" t="n">
        <v>121.38</v>
      </c>
      <c r="S1830" t="n">
        <v>79.40000000000001</v>
      </c>
      <c r="T1830" t="n">
        <v>0</v>
      </c>
      <c r="U1830" t="n">
        <v>206.78</v>
      </c>
      <c r="V1830" t="inlineStr">
        <is>
          <t>No conference fee</t>
        </is>
      </c>
      <c r="W1830" t="inlineStr">
        <is>
          <t>Pas de frais d'enregistrement</t>
        </is>
      </c>
      <c r="X1830" t="inlineStr">
        <is>
          <t>aafc-aac</t>
        </is>
      </c>
      <c r="Y1830" t="inlineStr">
        <is>
          <t>Agriculture and Agri-Food Canada | Agriculture et Agroalimentaire Canada</t>
        </is>
      </c>
      <c r="Z1830" t="n">
        <v>2</v>
      </c>
      <c r="AA1830" t="n">
        <v>206.78</v>
      </c>
      <c r="AB1830">
        <f>ROUND(U1830-AA1830,2)</f>
        <v/>
      </c>
      <c r="AC1830" t="b">
        <v>0</v>
      </c>
      <c r="AD1830">
        <f>IF(U1830="","MISSING_TOTAL",IF(ABS(AB1830)&lt;=0.01,"OK","CHECK"))</f>
        <v/>
      </c>
      <c r="AE1830">
        <f>IF(U1830="","MISSING",IF(AND(AA1830&gt;0,U1830/AA1830&gt;50),"POSSIBLE_SCALE_ERROR","OK"))</f>
        <v/>
      </c>
    </row>
    <row r="1831">
      <c r="A1831" t="inlineStr">
        <is>
          <t>T-2022-P8-0009</t>
        </is>
      </c>
      <c r="B1831" t="inlineStr">
        <is>
          <t>MPSES</t>
        </is>
      </c>
      <c r="C1831" t="inlineStr">
        <is>
          <t>Driver</t>
        </is>
      </c>
      <c r="D1831" t="inlineStr">
        <is>
          <t>Chauffeur</t>
        </is>
      </c>
      <c r="E1831" t="inlineStr">
        <is>
          <t>Michel Gendreau</t>
        </is>
      </c>
      <c r="F1831" t="inlineStr">
        <is>
          <t>Drive the Minister from her riding to Ottawa</t>
        </is>
      </c>
      <c r="G1831" t="inlineStr">
        <is>
          <t>Conduire la Ministre de sa circonscription à Ottawa</t>
        </is>
      </c>
      <c r="H1831" s="1" t="n">
        <v>44861</v>
      </c>
      <c r="I1831" s="1" t="n">
        <v>44861</v>
      </c>
      <c r="J1831" t="inlineStr">
        <is>
          <t>Sherbrooke (Quebec) Canada</t>
        </is>
      </c>
      <c r="K1831" t="inlineStr">
        <is>
          <t>Sherbrooke (Québec) Canada</t>
        </is>
      </c>
      <c r="P1831" t="n">
        <v>0</v>
      </c>
      <c r="Q1831" t="n">
        <v>6</v>
      </c>
      <c r="R1831" t="n">
        <v>0</v>
      </c>
      <c r="S1831" t="n">
        <v>56.6</v>
      </c>
      <c r="T1831" t="n">
        <v>0</v>
      </c>
      <c r="U1831" t="n">
        <v>62.6</v>
      </c>
      <c r="V1831" t="inlineStr">
        <is>
          <t>No conference fee</t>
        </is>
      </c>
      <c r="W1831" t="inlineStr">
        <is>
          <t>Pas de frais d'enregistrement</t>
        </is>
      </c>
      <c r="X1831" t="inlineStr">
        <is>
          <t>aafc-aac</t>
        </is>
      </c>
      <c r="Y1831" t="inlineStr">
        <is>
          <t>Agriculture and Agri-Food Canada | Agriculture et Agroalimentaire Canada</t>
        </is>
      </c>
      <c r="Z1831" t="n">
        <v>1</v>
      </c>
      <c r="AA1831" t="n">
        <v>62.6</v>
      </c>
      <c r="AB1831">
        <f>ROUND(U1831-AA1831,2)</f>
        <v/>
      </c>
      <c r="AC1831" t="b">
        <v>0</v>
      </c>
      <c r="AD1831">
        <f>IF(U1831="","MISSING_TOTAL",IF(ABS(AB1831)&lt;=0.01,"OK","CHECK"))</f>
        <v/>
      </c>
      <c r="AE1831">
        <f>IF(U1831="","MISSING",IF(AND(AA1831&gt;0,U1831/AA1831&gt;50),"POSSIBLE_SCALE_ERROR","OK"))</f>
        <v/>
      </c>
    </row>
    <row r="1832">
      <c r="A1832" t="inlineStr">
        <is>
          <t>T-2022-P8-0010</t>
        </is>
      </c>
      <c r="B1832" t="inlineStr">
        <is>
          <t>MPSES</t>
        </is>
      </c>
      <c r="C1832" t="inlineStr">
        <is>
          <t>Driver</t>
        </is>
      </c>
      <c r="D1832" t="inlineStr">
        <is>
          <t>Chauffeur</t>
        </is>
      </c>
      <c r="E1832" t="inlineStr">
        <is>
          <t>Michel Gendreau</t>
        </is>
      </c>
      <c r="F1832" t="inlineStr">
        <is>
          <t>Drive the Minister from her riding to Ottawa</t>
        </is>
      </c>
      <c r="G1832" t="inlineStr">
        <is>
          <t>Conduire la Ministre de sa circonscription à Ottawa</t>
        </is>
      </c>
      <c r="H1832" s="1" t="n">
        <v>44878</v>
      </c>
      <c r="I1832" s="1" t="n">
        <v>44879</v>
      </c>
      <c r="J1832" t="inlineStr">
        <is>
          <t>Sherbrooke (Quebec) Canada</t>
        </is>
      </c>
      <c r="K1832" t="inlineStr">
        <is>
          <t>Sherbrooke (Québec) Canada</t>
        </is>
      </c>
      <c r="P1832" t="n">
        <v>0</v>
      </c>
      <c r="Q1832" t="n">
        <v>6</v>
      </c>
      <c r="R1832" t="n">
        <v>166.54</v>
      </c>
      <c r="S1832" t="n">
        <v>79.40000000000001</v>
      </c>
      <c r="T1832" t="n">
        <v>0</v>
      </c>
      <c r="U1832" t="n">
        <v>251.94</v>
      </c>
      <c r="V1832" t="inlineStr">
        <is>
          <t>No conference fee</t>
        </is>
      </c>
      <c r="W1832" t="inlineStr">
        <is>
          <t>Pas de frais d'enregistrement</t>
        </is>
      </c>
      <c r="X1832" t="inlineStr">
        <is>
          <t>aafc-aac</t>
        </is>
      </c>
      <c r="Y1832" t="inlineStr">
        <is>
          <t>Agriculture and Agri-Food Canada | Agriculture et Agroalimentaire Canada</t>
        </is>
      </c>
      <c r="Z1832" t="n">
        <v>2</v>
      </c>
      <c r="AA1832" t="n">
        <v>251.94</v>
      </c>
      <c r="AB1832">
        <f>ROUND(U1832-AA1832,2)</f>
        <v/>
      </c>
      <c r="AC1832" t="b">
        <v>0</v>
      </c>
      <c r="AD1832">
        <f>IF(U1832="","MISSING_TOTAL",IF(ABS(AB1832)&lt;=0.01,"OK","CHECK"))</f>
        <v/>
      </c>
      <c r="AE1832">
        <f>IF(U1832="","MISSING",IF(AND(AA1832&gt;0,U1832/AA1832&gt;50),"POSSIBLE_SCALE_ERROR","OK"))</f>
        <v/>
      </c>
    </row>
    <row r="1833">
      <c r="A1833" t="inlineStr">
        <is>
          <t>T-2022-P8-0011</t>
        </is>
      </c>
      <c r="B1833" t="inlineStr">
        <is>
          <t>MPSES</t>
        </is>
      </c>
      <c r="C1833" t="inlineStr">
        <is>
          <t>Driver</t>
        </is>
      </c>
      <c r="D1833" t="inlineStr">
        <is>
          <t>Chauffeur</t>
        </is>
      </c>
      <c r="E1833" t="inlineStr">
        <is>
          <t>Michel Gendreau</t>
        </is>
      </c>
      <c r="F1833" t="inlineStr">
        <is>
          <t>Drive the Minister from her riding to Ottawa</t>
        </is>
      </c>
      <c r="G1833" t="inlineStr">
        <is>
          <t>Conduire la Ministre de sa circonscription à Ottawa</t>
        </is>
      </c>
      <c r="H1833" s="1" t="n">
        <v>44885</v>
      </c>
      <c r="I1833" s="1" t="n">
        <v>44886</v>
      </c>
      <c r="J1833" t="inlineStr">
        <is>
          <t>Sherbrooke (Quebec) Canada</t>
        </is>
      </c>
      <c r="K1833" t="inlineStr">
        <is>
          <t>Sherbrooke (Québec) Canada</t>
        </is>
      </c>
      <c r="P1833" t="n">
        <v>0</v>
      </c>
      <c r="Q1833" t="n">
        <v>6</v>
      </c>
      <c r="R1833" t="n">
        <v>121.38</v>
      </c>
      <c r="S1833" t="n">
        <v>79.40000000000001</v>
      </c>
      <c r="T1833" t="n">
        <v>0</v>
      </c>
      <c r="U1833" t="n">
        <v>206.78</v>
      </c>
      <c r="V1833" t="inlineStr">
        <is>
          <t>No conference fee</t>
        </is>
      </c>
      <c r="W1833" t="inlineStr">
        <is>
          <t>Pas de frais d'enregistrement</t>
        </is>
      </c>
      <c r="X1833" t="inlineStr">
        <is>
          <t>aafc-aac</t>
        </is>
      </c>
      <c r="Y1833" t="inlineStr">
        <is>
          <t>Agriculture and Agri-Food Canada | Agriculture et Agroalimentaire Canada</t>
        </is>
      </c>
      <c r="Z1833" t="n">
        <v>2</v>
      </c>
      <c r="AA1833" t="n">
        <v>206.78</v>
      </c>
      <c r="AB1833">
        <f>ROUND(U1833-AA1833,2)</f>
        <v/>
      </c>
      <c r="AC1833" t="b">
        <v>0</v>
      </c>
      <c r="AD1833">
        <f>IF(U1833="","MISSING_TOTAL",IF(ABS(AB1833)&lt;=0.01,"OK","CHECK"))</f>
        <v/>
      </c>
      <c r="AE1833">
        <f>IF(U1833="","MISSING",IF(AND(AA1833&gt;0,U1833/AA1833&gt;50),"POSSIBLE_SCALE_ERROR","OK"))</f>
        <v/>
      </c>
    </row>
    <row r="1834">
      <c r="A1834" t="inlineStr">
        <is>
          <t>T-2022-P8-0012</t>
        </is>
      </c>
      <c r="B1834" t="inlineStr">
        <is>
          <t>MPSES</t>
        </is>
      </c>
      <c r="C1834" t="inlineStr">
        <is>
          <t>Executive Assistant to the Minister and Chief of Staff</t>
        </is>
      </c>
      <c r="D1834" t="inlineStr">
        <is>
          <t>Adjointe exécutive de la ministre et chef de cabinet</t>
        </is>
      </c>
      <c r="E1834" t="inlineStr">
        <is>
          <t>Mirna Vukicevic</t>
        </is>
      </c>
      <c r="F1834" t="inlineStr">
        <is>
          <t>Travel from 407 Confederation to 1341 Baseline Road for meetings</t>
        </is>
      </c>
      <c r="G1834" t="inlineStr">
        <is>
          <t>Déplacement du 407 Confederation au 1341 Baseline Road pour les réunions</t>
        </is>
      </c>
      <c r="H1834" s="1" t="n">
        <v>44852</v>
      </c>
      <c r="I1834" s="1" t="n">
        <v>44852</v>
      </c>
      <c r="J1834" t="inlineStr">
        <is>
          <t>Ottawa (Ontario) Canada</t>
        </is>
      </c>
      <c r="K1834" t="inlineStr">
        <is>
          <t>Ottawa (Ontario) Canada</t>
        </is>
      </c>
      <c r="P1834" t="n">
        <v>0</v>
      </c>
      <c r="Q1834" t="n">
        <v>17.37</v>
      </c>
      <c r="R1834" t="n">
        <v>0</v>
      </c>
      <c r="S1834" t="n">
        <v>0</v>
      </c>
      <c r="T1834" t="n">
        <v>0</v>
      </c>
      <c r="U1834" t="n">
        <v>17.37</v>
      </c>
      <c r="V1834" t="inlineStr">
        <is>
          <t>No Conference Fees</t>
        </is>
      </c>
      <c r="W1834" t="inlineStr">
        <is>
          <t>Pas de frais de conférence</t>
        </is>
      </c>
      <c r="X1834" t="inlineStr">
        <is>
          <t>aafc-aac</t>
        </is>
      </c>
      <c r="Y1834" t="inlineStr">
        <is>
          <t>Agriculture and Agri-Food Canada | Agriculture et Agroalimentaire Canada</t>
        </is>
      </c>
      <c r="Z1834" t="n">
        <v>1</v>
      </c>
      <c r="AA1834" t="n">
        <v>17.37</v>
      </c>
      <c r="AB1834">
        <f>ROUND(U1834-AA1834,2)</f>
        <v/>
      </c>
      <c r="AC1834" t="b">
        <v>0</v>
      </c>
      <c r="AD1834">
        <f>IF(U1834="","MISSING_TOTAL",IF(ABS(AB1834)&lt;=0.01,"OK","CHECK"))</f>
        <v/>
      </c>
      <c r="AE1834">
        <f>IF(U1834="","MISSING",IF(AND(AA1834&gt;0,U1834/AA1834&gt;50),"POSSIBLE_SCALE_ERROR","OK"))</f>
        <v/>
      </c>
    </row>
    <row r="1835">
      <c r="A1835" t="inlineStr">
        <is>
          <t>T-2022-P8-0013</t>
        </is>
      </c>
      <c r="B1835" t="inlineStr">
        <is>
          <t>MPSES</t>
        </is>
      </c>
      <c r="C1835" t="inlineStr">
        <is>
          <t>Director of Communications</t>
        </is>
      </c>
      <c r="D1835" t="inlineStr">
        <is>
          <t>Directrice des communications</t>
        </is>
      </c>
      <c r="E1835" t="inlineStr">
        <is>
          <t>Allison St-Jean</t>
        </is>
      </c>
      <c r="F1835" t="inlineStr">
        <is>
          <t>To accompany the Minister attending the 17th G20 Heads of State and Government Summit</t>
        </is>
      </c>
      <c r="G1835" t="inlineStr">
        <is>
          <t>Accompagner la ministre au 17e sommet des chefs d'État et de gouvernement du G20</t>
        </is>
      </c>
      <c r="H1835" s="1" t="n">
        <v>44827</v>
      </c>
      <c r="I1835" s="1" t="n">
        <v>44834</v>
      </c>
      <c r="J1835" t="inlineStr">
        <is>
          <t>(Manila) Philippines
(Bali) Indonesia</t>
        </is>
      </c>
      <c r="K1835" t="inlineStr">
        <is>
          <t>(Manille) Philippines
(Bali) Indonésie</t>
        </is>
      </c>
      <c r="P1835" t="n">
        <v>7421.06</v>
      </c>
      <c r="Q1835" t="n">
        <v>1727.7</v>
      </c>
      <c r="R1835" t="n">
        <v>1369.69</v>
      </c>
      <c r="S1835" t="n">
        <v>568.02</v>
      </c>
      <c r="T1835" t="n">
        <v>65.54000000000001</v>
      </c>
      <c r="U1835" t="n">
        <v>11152.01</v>
      </c>
      <c r="V1835" t="inlineStr">
        <is>
          <t>No conference fee.</t>
        </is>
      </c>
      <c r="W1835" t="inlineStr">
        <is>
          <t>Pas de frais d'enregistrement</t>
        </is>
      </c>
      <c r="X1835" t="inlineStr">
        <is>
          <t>aafc-aac</t>
        </is>
      </c>
      <c r="Y1835" t="inlineStr">
        <is>
          <t>Agriculture and Agri-Food Canada | Agriculture et Agroalimentaire Canada</t>
        </is>
      </c>
      <c r="Z1835" t="n">
        <v>8</v>
      </c>
      <c r="AA1835" t="n">
        <v>11152.01</v>
      </c>
      <c r="AB1835">
        <f>ROUND(U1835-AA1835,2)</f>
        <v/>
      </c>
      <c r="AC1835" t="b">
        <v>0</v>
      </c>
      <c r="AD1835">
        <f>IF(U1835="","MISSING_TOTAL",IF(ABS(AB1835)&lt;=0.01,"OK","CHECK"))</f>
        <v/>
      </c>
      <c r="AE1835">
        <f>IF(U1835="","MISSING",IF(AND(AA1835&gt;0,U1835/AA1835&gt;50),"POSSIBLE_SCALE_ERROR","OK"))</f>
        <v/>
      </c>
    </row>
    <row r="1836">
      <c r="A1836" t="inlineStr">
        <is>
          <t>T-2022-P8-0014</t>
        </is>
      </c>
      <c r="B1836" t="inlineStr">
        <is>
          <t>MPSES</t>
        </is>
      </c>
      <c r="C1836" t="inlineStr">
        <is>
          <t>Policy Advisor</t>
        </is>
      </c>
      <c r="D1836" t="inlineStr">
        <is>
          <t>Conseillère en politiques</t>
        </is>
      </c>
      <c r="E1836" t="inlineStr">
        <is>
          <t>Christine Harvey</t>
        </is>
      </c>
      <c r="F1836" t="inlineStr">
        <is>
          <t>To accompany the Minister on the Quebec Tour</t>
        </is>
      </c>
      <c r="G1836" t="inlineStr">
        <is>
          <t>Accompagner la Ministre sur la tournée québécoise</t>
        </is>
      </c>
      <c r="H1836" s="1" t="n">
        <v>44855</v>
      </c>
      <c r="I1836" s="1" t="n">
        <v>44857</v>
      </c>
      <c r="J1836" t="inlineStr">
        <is>
          <t>Québec (Quebec) Canada</t>
        </is>
      </c>
      <c r="K1836" t="inlineStr">
        <is>
          <t>Québec (Québec) Canada</t>
        </is>
      </c>
      <c r="P1836" t="n">
        <v>0</v>
      </c>
      <c r="Q1836" t="n">
        <v>110.38</v>
      </c>
      <c r="R1836" t="n">
        <v>312.02</v>
      </c>
      <c r="S1836" t="n">
        <v>171.35</v>
      </c>
      <c r="T1836" t="n">
        <v>0</v>
      </c>
      <c r="U1836" t="n">
        <v>593.75</v>
      </c>
      <c r="V1836" t="inlineStr">
        <is>
          <t>No Conference Fees</t>
        </is>
      </c>
      <c r="W1836" t="inlineStr">
        <is>
          <t>Pas de frais de conférence</t>
        </is>
      </c>
      <c r="X1836" t="inlineStr">
        <is>
          <t>aafc-aac</t>
        </is>
      </c>
      <c r="Y1836" t="inlineStr">
        <is>
          <t>Agriculture and Agri-Food Canada | Agriculture et Agroalimentaire Canada</t>
        </is>
      </c>
      <c r="Z1836" t="n">
        <v>3</v>
      </c>
      <c r="AA1836" t="n">
        <v>593.75</v>
      </c>
      <c r="AB1836">
        <f>ROUND(U1836-AA1836,2)</f>
        <v/>
      </c>
      <c r="AC1836" t="b">
        <v>0</v>
      </c>
      <c r="AD1836">
        <f>IF(U1836="","MISSING_TOTAL",IF(ABS(AB1836)&lt;=0.01,"OK","CHECK"))</f>
        <v/>
      </c>
      <c r="AE1836">
        <f>IF(U1836="","MISSING",IF(AND(AA1836&gt;0,U1836/AA1836&gt;50),"POSSIBLE_SCALE_ERROR","OK"))</f>
        <v/>
      </c>
    </row>
    <row r="1837">
      <c r="A1837" t="inlineStr">
        <is>
          <t>T-2022-P8-0015</t>
        </is>
      </c>
      <c r="B1837" t="inlineStr">
        <is>
          <t>MPSES</t>
        </is>
      </c>
      <c r="C1837" t="inlineStr">
        <is>
          <t>Policy Advisor</t>
        </is>
      </c>
      <c r="D1837" t="inlineStr">
        <is>
          <t>Conseillère en politiques</t>
        </is>
      </c>
      <c r="E1837" t="inlineStr">
        <is>
          <t>Jérome Coté</t>
        </is>
      </c>
      <c r="F1837" t="inlineStr">
        <is>
          <t>To accompany the Minister on the Eastern Outreach meetings</t>
        </is>
      </c>
      <c r="G1837" t="inlineStr">
        <is>
          <t>Pour accompagner la ministre aux réunions de sensibilisation de l'Est</t>
        </is>
      </c>
      <c r="H1837" s="1" t="n">
        <v>44845</v>
      </c>
      <c r="I1837" s="1" t="n">
        <v>44848</v>
      </c>
      <c r="J1837" t="inlineStr">
        <is>
          <t>Halifax (Nova Scotia) Canada
Charlottetown (Prince Edward Island) Canada</t>
        </is>
      </c>
      <c r="K1837" t="inlineStr">
        <is>
          <t>Halifax (Nouvelle-Écosse) Canada
Charlottetown (Île-du-Prince-Édouard) Canada</t>
        </is>
      </c>
      <c r="P1837" t="n">
        <v>900.95</v>
      </c>
      <c r="Q1837" t="n">
        <v>17.5</v>
      </c>
      <c r="R1837" t="n">
        <v>468.65</v>
      </c>
      <c r="S1837" t="n">
        <v>227.7</v>
      </c>
      <c r="T1837" t="n">
        <v>0</v>
      </c>
      <c r="U1837" t="n">
        <v>1614.8</v>
      </c>
      <c r="V1837" t="inlineStr">
        <is>
          <t>No Conference Fees</t>
        </is>
      </c>
      <c r="W1837" t="inlineStr">
        <is>
          <t>Pas de frais de conférence</t>
        </is>
      </c>
      <c r="X1837" t="inlineStr">
        <is>
          <t>aafc-aac</t>
        </is>
      </c>
      <c r="Y1837" t="inlineStr">
        <is>
          <t>Agriculture and Agri-Food Canada | Agriculture et Agroalimentaire Canada</t>
        </is>
      </c>
      <c r="Z1837" t="n">
        <v>4</v>
      </c>
      <c r="AA1837" t="n">
        <v>1614.8</v>
      </c>
      <c r="AB1837">
        <f>ROUND(U1837-AA1837,2)</f>
        <v/>
      </c>
      <c r="AC1837" t="b">
        <v>0</v>
      </c>
      <c r="AD1837">
        <f>IF(U1837="","MISSING_TOTAL",IF(ABS(AB1837)&lt;=0.01,"OK","CHECK"))</f>
        <v/>
      </c>
      <c r="AE1837">
        <f>IF(U1837="","MISSING",IF(AND(AA1837&gt;0,U1837/AA1837&gt;50),"POSSIBLE_SCALE_ERROR","OK"))</f>
        <v/>
      </c>
    </row>
    <row r="1838">
      <c r="A1838" t="inlineStr">
        <is>
          <t>T-2022-P8-0016</t>
        </is>
      </c>
      <c r="B1838" t="inlineStr">
        <is>
          <t>MPSES</t>
        </is>
      </c>
      <c r="C1838" t="inlineStr">
        <is>
          <t>Tours and Operations Manager</t>
        </is>
      </c>
      <c r="D1838" t="inlineStr">
        <is>
          <t>Gestionnaire, Visites et opérations</t>
        </is>
      </c>
      <c r="E1838" t="inlineStr">
        <is>
          <t>Olivia Scieur-Aparicio</t>
        </is>
      </c>
      <c r="F1838" t="inlineStr">
        <is>
          <t>Accompany the Minister on the Quebec tour</t>
        </is>
      </c>
      <c r="G1838" t="inlineStr">
        <is>
          <t>Accompagner la Ministre sur la tournée québécoise</t>
        </is>
      </c>
      <c r="H1838" s="1" t="n">
        <v>44855</v>
      </c>
      <c r="I1838" s="1" t="n">
        <v>44857</v>
      </c>
      <c r="J1838" t="inlineStr">
        <is>
          <t>Québec (Quebec) Canada</t>
        </is>
      </c>
      <c r="K1838" t="inlineStr">
        <is>
          <t>Québec (Québec) Canada</t>
        </is>
      </c>
      <c r="P1838" t="n">
        <v>0</v>
      </c>
      <c r="Q1838" t="n">
        <v>230.77</v>
      </c>
      <c r="R1838" t="n">
        <v>312.02</v>
      </c>
      <c r="S1838" t="n">
        <v>227.95</v>
      </c>
      <c r="T1838" t="n">
        <v>0</v>
      </c>
      <c r="U1838" t="n">
        <v>770.74</v>
      </c>
      <c r="V1838" t="inlineStr">
        <is>
          <t>No Conference Fees</t>
        </is>
      </c>
      <c r="W1838" t="inlineStr">
        <is>
          <t>Pas de frais de conférence</t>
        </is>
      </c>
      <c r="X1838" t="inlineStr">
        <is>
          <t>aafc-aac</t>
        </is>
      </c>
      <c r="Y1838" t="inlineStr">
        <is>
          <t>Agriculture and Agri-Food Canada | Agriculture et Agroalimentaire Canada</t>
        </is>
      </c>
      <c r="Z1838" t="n">
        <v>3</v>
      </c>
      <c r="AA1838" t="n">
        <v>770.74</v>
      </c>
      <c r="AB1838">
        <f>ROUND(U1838-AA1838,2)</f>
        <v/>
      </c>
      <c r="AC1838" t="b">
        <v>0</v>
      </c>
      <c r="AD1838">
        <f>IF(U1838="","MISSING_TOTAL",IF(ABS(AB1838)&lt;=0.01,"OK","CHECK"))</f>
        <v/>
      </c>
      <c r="AE1838">
        <f>IF(U1838="","MISSING",IF(AND(AA1838&gt;0,U1838/AA1838&gt;50),"POSSIBLE_SCALE_ERROR","OK"))</f>
        <v/>
      </c>
    </row>
    <row r="1839">
      <c r="A1839" t="inlineStr">
        <is>
          <t>T-2022-P8-0017</t>
        </is>
      </c>
      <c r="B1839" t="inlineStr">
        <is>
          <t>MPSES</t>
        </is>
      </c>
      <c r="C1839" t="inlineStr">
        <is>
          <t>Parliamentary Secretary</t>
        </is>
      </c>
      <c r="D1839" t="inlineStr">
        <is>
          <t>Secrétaire parlementaire</t>
        </is>
      </c>
      <c r="E1839" t="inlineStr">
        <is>
          <t>Francis Drouin</t>
        </is>
      </c>
      <c r="F1839" t="inlineStr">
        <is>
          <t>Attend the Calgary Stampede</t>
        </is>
      </c>
      <c r="G1839" t="inlineStr">
        <is>
          <t>Assister au Stampede de Calgary</t>
        </is>
      </c>
      <c r="H1839" s="1" t="n">
        <v>44809</v>
      </c>
      <c r="I1839" s="1" t="n">
        <v>44811</v>
      </c>
      <c r="J1839" t="inlineStr">
        <is>
          <t>Calgary (Alberta) Canada</t>
        </is>
      </c>
      <c r="K1839" t="inlineStr">
        <is>
          <t>Calgary (Alberta) Canada</t>
        </is>
      </c>
      <c r="P1839" t="n">
        <v>0</v>
      </c>
      <c r="Q1839" t="n">
        <v>175.3</v>
      </c>
      <c r="R1839" t="n">
        <v>200.43</v>
      </c>
      <c r="S1839" t="n">
        <v>196.9</v>
      </c>
      <c r="T1839" t="n">
        <v>0</v>
      </c>
      <c r="U1839" t="n">
        <v>572.63</v>
      </c>
      <c r="V1839" t="inlineStr">
        <is>
          <t>No conference fee</t>
        </is>
      </c>
      <c r="W1839" t="inlineStr">
        <is>
          <t>Pas de frais de conférence</t>
        </is>
      </c>
      <c r="X1839" t="inlineStr">
        <is>
          <t>aafc-aac</t>
        </is>
      </c>
      <c r="Y1839" t="inlineStr">
        <is>
          <t>Agriculture and Agri-Food Canada | Agriculture et Agroalimentaire Canada</t>
        </is>
      </c>
      <c r="Z1839" t="n">
        <v>3</v>
      </c>
      <c r="AA1839" t="n">
        <v>572.63</v>
      </c>
      <c r="AB1839">
        <f>ROUND(U1839-AA1839,2)</f>
        <v/>
      </c>
      <c r="AC1839" t="b">
        <v>0</v>
      </c>
      <c r="AD1839">
        <f>IF(U1839="","MISSING_TOTAL",IF(ABS(AB1839)&lt;=0.01,"OK","CHECK"))</f>
        <v/>
      </c>
      <c r="AE1839">
        <f>IF(U1839="","MISSING",IF(AND(AA1839&gt;0,U1839/AA1839&gt;50),"POSSIBLE_SCALE_ERROR","OK"))</f>
        <v/>
      </c>
    </row>
    <row r="1840">
      <c r="A1840" t="inlineStr">
        <is>
          <t>T-2022-P8-0018</t>
        </is>
      </c>
      <c r="B1840" t="inlineStr">
        <is>
          <t>MPSES</t>
        </is>
      </c>
      <c r="C1840" t="inlineStr">
        <is>
          <t>Parliamentary Secretary</t>
        </is>
      </c>
      <c r="D1840" t="inlineStr">
        <is>
          <t>Secrétaire parlementaire</t>
        </is>
      </c>
      <c r="E1840" t="inlineStr">
        <is>
          <t>Francis Drouin</t>
        </is>
      </c>
      <c r="F1840" t="inlineStr">
        <is>
          <t>To visit sustainable farms and promote their success</t>
        </is>
      </c>
      <c r="G1840" t="inlineStr">
        <is>
          <t>Pour visiter des fermes durables et promouvoir leur réussite</t>
        </is>
      </c>
      <c r="H1840" s="1" t="n">
        <v>44847</v>
      </c>
      <c r="I1840" s="1" t="n">
        <v>44848</v>
      </c>
      <c r="J1840" t="inlineStr">
        <is>
          <t>Cambridge (Ontario) Canada</t>
        </is>
      </c>
      <c r="K1840" t="inlineStr">
        <is>
          <t>Cambridge (Ontario) Canada</t>
        </is>
      </c>
      <c r="P1840" t="n">
        <v>1013.89</v>
      </c>
      <c r="Q1840" t="n">
        <v>0</v>
      </c>
      <c r="R1840" t="n">
        <v>133.97</v>
      </c>
      <c r="S1840" t="n">
        <v>79.65000000000001</v>
      </c>
      <c r="T1840" t="n">
        <v>0</v>
      </c>
      <c r="U1840" t="n">
        <v>1227.51</v>
      </c>
      <c r="V1840" t="inlineStr">
        <is>
          <t>No conference fee</t>
        </is>
      </c>
      <c r="W1840" t="inlineStr">
        <is>
          <t>Pas de frais de conférence</t>
        </is>
      </c>
      <c r="X1840" t="inlineStr">
        <is>
          <t>aafc-aac</t>
        </is>
      </c>
      <c r="Y1840" t="inlineStr">
        <is>
          <t>Agriculture and Agri-Food Canada | Agriculture et Agroalimentaire Canada</t>
        </is>
      </c>
      <c r="Z1840" t="n">
        <v>2</v>
      </c>
      <c r="AA1840" t="n">
        <v>1227.51</v>
      </c>
      <c r="AB1840">
        <f>ROUND(U1840-AA1840,2)</f>
        <v/>
      </c>
      <c r="AC1840" t="b">
        <v>0</v>
      </c>
      <c r="AD1840">
        <f>IF(U1840="","MISSING_TOTAL",IF(ABS(AB1840)&lt;=0.01,"OK","CHECK"))</f>
        <v/>
      </c>
      <c r="AE1840">
        <f>IF(U1840="","MISSING",IF(AND(AA1840&gt;0,U1840/AA1840&gt;50),"POSSIBLE_SCALE_ERROR","OK"))</f>
        <v/>
      </c>
    </row>
    <row r="1841">
      <c r="A1841" t="inlineStr">
        <is>
          <t>T-2022-P8-0019</t>
        </is>
      </c>
      <c r="B1841" t="inlineStr">
        <is>
          <t>MPSES</t>
        </is>
      </c>
      <c r="C1841" t="inlineStr">
        <is>
          <t>Parliamentary Secretary Assistant</t>
        </is>
      </c>
      <c r="D1841" t="inlineStr">
        <is>
          <t>Secrétaire parlementaire adjoint</t>
        </is>
      </c>
      <c r="E1841" t="inlineStr">
        <is>
          <t>Patrick Mangan</t>
        </is>
      </c>
      <c r="F1841" t="inlineStr">
        <is>
          <t>To visit sustainable farms and promote their success</t>
        </is>
      </c>
      <c r="G1841" t="inlineStr">
        <is>
          <t>Pour visiter des fermes durables et promouvoir leur réussite</t>
        </is>
      </c>
      <c r="H1841" s="1" t="n">
        <v>44847</v>
      </c>
      <c r="I1841" s="1" t="n">
        <v>44848</v>
      </c>
      <c r="J1841" t="inlineStr">
        <is>
          <t>Cambridge (Ontario) Canada</t>
        </is>
      </c>
      <c r="K1841" t="inlineStr">
        <is>
          <t>Cambridge (Ontario) Canada</t>
        </is>
      </c>
      <c r="P1841" t="n">
        <v>1039.07</v>
      </c>
      <c r="Q1841" t="n">
        <v>194.71</v>
      </c>
      <c r="R1841" t="n">
        <v>133.97</v>
      </c>
      <c r="S1841" t="n">
        <v>79.65000000000001</v>
      </c>
      <c r="T1841" t="n">
        <v>0</v>
      </c>
      <c r="U1841" t="n">
        <v>1447.4</v>
      </c>
      <c r="V1841" t="inlineStr">
        <is>
          <t>No conference fee</t>
        </is>
      </c>
      <c r="W1841" t="inlineStr">
        <is>
          <t>Pas de frais de conférence</t>
        </is>
      </c>
      <c r="X1841" t="inlineStr">
        <is>
          <t>aafc-aac</t>
        </is>
      </c>
      <c r="Y1841" t="inlineStr">
        <is>
          <t>Agriculture and Agri-Food Canada | Agriculture et Agroalimentaire Canada</t>
        </is>
      </c>
      <c r="Z1841" t="n">
        <v>2</v>
      </c>
      <c r="AA1841" t="n">
        <v>1447.4</v>
      </c>
      <c r="AB1841">
        <f>ROUND(U1841-AA1841,2)</f>
        <v/>
      </c>
      <c r="AC1841" t="b">
        <v>0</v>
      </c>
      <c r="AD1841">
        <f>IF(U1841="","MISSING_TOTAL",IF(ABS(AB1841)&lt;=0.01,"OK","CHECK"))</f>
        <v/>
      </c>
      <c r="AE1841">
        <f>IF(U1841="","MISSING",IF(AND(AA1841&gt;0,U1841/AA1841&gt;50),"POSSIBLE_SCALE_ERROR","OK"))</f>
        <v/>
      </c>
    </row>
    <row r="1842">
      <c r="A1842" t="inlineStr">
        <is>
          <t>T-2022-P8-0020</t>
        </is>
      </c>
      <c r="B1842" t="inlineStr">
        <is>
          <t>MPSES</t>
        </is>
      </c>
      <c r="C1842" t="inlineStr">
        <is>
          <t>Deputy Minister</t>
        </is>
      </c>
      <c r="D1842" t="inlineStr">
        <is>
          <t>Sous-ministre</t>
        </is>
      </c>
      <c r="E1842" t="inlineStr">
        <is>
          <t>Chris Forbes</t>
        </is>
      </c>
      <c r="F1842" t="inlineStr">
        <is>
          <t>To attend a meeting with stakeholders to align views on Agrifood</t>
        </is>
      </c>
      <c r="G1842" t="inlineStr">
        <is>
          <t>Pour assister à une réunion avec les parties prenantes pour aligner les points de vue sur l'agroalimentaire</t>
        </is>
      </c>
      <c r="H1842" s="1" t="n">
        <v>44865</v>
      </c>
      <c r="I1842" s="1" t="n">
        <v>44866</v>
      </c>
      <c r="J1842" t="inlineStr">
        <is>
          <t>Toronto (Ontario) Canada</t>
        </is>
      </c>
      <c r="K1842" t="inlineStr">
        <is>
          <t>Toronto (Ontario) Canada</t>
        </is>
      </c>
      <c r="P1842" t="n">
        <v>0</v>
      </c>
      <c r="Q1842" t="n">
        <v>216.06</v>
      </c>
      <c r="R1842" t="n">
        <v>50</v>
      </c>
      <c r="S1842" t="n">
        <v>160.1</v>
      </c>
      <c r="T1842" t="n">
        <v>0</v>
      </c>
      <c r="U1842" t="n">
        <v>426.16</v>
      </c>
      <c r="V1842" t="inlineStr">
        <is>
          <t>No Conference Fees</t>
        </is>
      </c>
      <c r="W1842" t="inlineStr">
        <is>
          <t>Pas de frais de conférence</t>
        </is>
      </c>
      <c r="X1842" t="inlineStr">
        <is>
          <t>aafc-aac</t>
        </is>
      </c>
      <c r="Y1842" t="inlineStr">
        <is>
          <t>Agriculture and Agri-Food Canada | Agriculture et Agroalimentaire Canada</t>
        </is>
      </c>
      <c r="Z1842" t="n">
        <v>2</v>
      </c>
      <c r="AA1842" t="n">
        <v>426.159999999999</v>
      </c>
      <c r="AB1842">
        <f>ROUND(U1842-AA1842,2)</f>
        <v/>
      </c>
      <c r="AC1842" t="b">
        <v>0</v>
      </c>
      <c r="AD1842">
        <f>IF(U1842="","MISSING_TOTAL",IF(ABS(AB1842)&lt;=0.01,"OK","CHECK"))</f>
        <v/>
      </c>
      <c r="AE1842">
        <f>IF(U1842="","MISSING",IF(AND(AA1842&gt;0,U1842/AA1842&gt;50),"POSSIBLE_SCALE_ERROR","OK"))</f>
        <v/>
      </c>
    </row>
    <row r="1843">
      <c r="A1843" t="inlineStr">
        <is>
          <t>T-2022-P8-0021</t>
        </is>
      </c>
      <c r="B1843" t="inlineStr">
        <is>
          <t>SLE</t>
        </is>
      </c>
      <c r="C1843" t="inlineStr">
        <is>
          <t>Corporate Secretary</t>
        </is>
      </c>
      <c r="D1843" t="inlineStr">
        <is>
          <t>Secrétaire générale</t>
        </is>
      </c>
      <c r="E1843" t="inlineStr">
        <is>
          <t>Tamara Abel</t>
        </is>
      </c>
      <c r="F1843" t="inlineStr">
        <is>
          <t>Travel to Ottawa for work week</t>
        </is>
      </c>
      <c r="G1843" t="inlineStr">
        <is>
          <t>Voyage à Ottawa pour la semaine de travail</t>
        </is>
      </c>
      <c r="H1843" s="1" t="n">
        <v>44858</v>
      </c>
      <c r="I1843" s="1" t="n">
        <v>44862</v>
      </c>
      <c r="J1843" t="inlineStr">
        <is>
          <t>Ottawa (Ontario) Canada</t>
        </is>
      </c>
      <c r="K1843" t="inlineStr">
        <is>
          <t>Ottawa (Ontario) Canada</t>
        </is>
      </c>
      <c r="P1843" t="n">
        <v>703.83</v>
      </c>
      <c r="Q1843" t="n">
        <v>322.81</v>
      </c>
      <c r="R1843" t="n">
        <v>935.4400000000001</v>
      </c>
      <c r="S1843" t="n">
        <v>575.95</v>
      </c>
      <c r="T1843" t="n">
        <v>0</v>
      </c>
      <c r="U1843" t="n">
        <v>2538.03</v>
      </c>
      <c r="V1843" t="inlineStr">
        <is>
          <t>No Conference Fees</t>
        </is>
      </c>
      <c r="W1843" t="inlineStr">
        <is>
          <t>Pas de frais de conférence</t>
        </is>
      </c>
      <c r="X1843" t="inlineStr">
        <is>
          <t>aafc-aac</t>
        </is>
      </c>
      <c r="Y1843" t="inlineStr">
        <is>
          <t>Agriculture and Agri-Food Canada | Agriculture et Agroalimentaire Canada</t>
        </is>
      </c>
      <c r="Z1843" t="n">
        <v>5</v>
      </c>
      <c r="AA1843" t="n">
        <v>2538.03</v>
      </c>
      <c r="AB1843">
        <f>ROUND(U1843-AA1843,2)</f>
        <v/>
      </c>
      <c r="AC1843" t="b">
        <v>0</v>
      </c>
      <c r="AD1843">
        <f>IF(U1843="","MISSING_TOTAL",IF(ABS(AB1843)&lt;=0.01,"OK","CHECK"))</f>
        <v/>
      </c>
      <c r="AE1843">
        <f>IF(U1843="","MISSING",IF(AND(AA1843&gt;0,U1843/AA1843&gt;50),"POSSIBLE_SCALE_ERROR","OK"))</f>
        <v/>
      </c>
    </row>
    <row r="1844">
      <c r="A1844" t="inlineStr">
        <is>
          <t>T-2022-P8-0022</t>
        </is>
      </c>
      <c r="B1844" t="inlineStr">
        <is>
          <t>SLE</t>
        </is>
      </c>
      <c r="C1844" t="inlineStr">
        <is>
          <t>Assistant Deputy Minister, Science and Technology Branch</t>
        </is>
      </c>
      <c r="D1844" t="inlineStr">
        <is>
          <t>Sous-ministre adjoint, Direction générale des sciences et de la technologie</t>
        </is>
      </c>
      <c r="E1844" t="inlineStr">
        <is>
          <t>Gilles Saindon</t>
        </is>
      </c>
      <c r="F1844" t="inlineStr">
        <is>
          <t>Attend the annual meeting of the Heads of National Agriculture Research organization from Canada, US, France and the United Kingdom</t>
        </is>
      </c>
      <c r="G1844" t="inlineStr">
        <is>
          <t>Participer à la réunion annuelle des chefs des organismes nationaux de recherche agricole du Canada, des États-Unis, de la France et du Royaume-Uni</t>
        </is>
      </c>
      <c r="H1844" s="1" t="n">
        <v>44855</v>
      </c>
      <c r="I1844" s="1" t="n">
        <v>44861</v>
      </c>
      <c r="J1844" t="inlineStr">
        <is>
          <t>Edinburgh (Scotland) United Kingdom</t>
        </is>
      </c>
      <c r="K1844" t="inlineStr">
        <is>
          <t>Édimbourg (Écosse) Royaume-Uni</t>
        </is>
      </c>
      <c r="P1844" t="n">
        <v>3416.62</v>
      </c>
      <c r="Q1844" t="n">
        <v>209.28</v>
      </c>
      <c r="R1844" t="n">
        <v>1576.74</v>
      </c>
      <c r="S1844" t="n">
        <v>625.35</v>
      </c>
      <c r="T1844" t="n">
        <v>3.5</v>
      </c>
      <c r="U1844" t="n">
        <v>5831.49</v>
      </c>
      <c r="X1844" t="inlineStr">
        <is>
          <t>aafc-aac</t>
        </is>
      </c>
      <c r="Y1844" t="inlineStr">
        <is>
          <t>Agriculture and Agri-Food Canada | Agriculture et Agroalimentaire Canada</t>
        </is>
      </c>
      <c r="Z1844" t="n">
        <v>7</v>
      </c>
      <c r="AA1844" t="n">
        <v>5831.49</v>
      </c>
      <c r="AB1844">
        <f>ROUND(U1844-AA1844,2)</f>
        <v/>
      </c>
      <c r="AC1844" t="b">
        <v>0</v>
      </c>
      <c r="AD1844">
        <f>IF(U1844="","MISSING_TOTAL",IF(ABS(AB1844)&lt;=0.01,"OK","CHECK"))</f>
        <v/>
      </c>
      <c r="AE1844">
        <f>IF(U1844="","MISSING",IF(AND(AA1844&gt;0,U1844/AA1844&gt;50),"POSSIBLE_SCALE_ERROR","OK"))</f>
        <v/>
      </c>
    </row>
    <row r="1845">
      <c r="A1845" t="inlineStr">
        <is>
          <t>T-2022-P8-0023</t>
        </is>
      </c>
      <c r="B1845" t="inlineStr">
        <is>
          <t>SLE</t>
        </is>
      </c>
      <c r="C1845" t="inlineStr">
        <is>
          <t>Assistant Deputy Minister, Science and Technology Branch</t>
        </is>
      </c>
      <c r="D1845" t="inlineStr">
        <is>
          <t>Sous-ministre adjoint, Direction générale des sciences et de la technologie</t>
        </is>
      </c>
      <c r="E1845" t="inlineStr">
        <is>
          <t>Gilles Saindon</t>
        </is>
      </c>
      <c r="F1845" t="inlineStr">
        <is>
          <t>On behalf of Minister Bibeau, attend the Inter-American Institute for Cooperation on Agriculture (IICA)'s celebration: 80th anniversary as an institute and 50th anniversary in Canada</t>
        </is>
      </c>
      <c r="G1845" t="inlineStr">
        <is>
          <t>Au nom du ministre Bibeau, assister à la célébration de l'Institut interaméricain de coopération pour l'agriculture (IICA) : 80e anniversaire en tant qu'institut et 50e anniversaire en Canada</t>
        </is>
      </c>
      <c r="H1845" s="1" t="n">
        <v>44873</v>
      </c>
      <c r="I1845" s="1" t="n">
        <v>44874</v>
      </c>
      <c r="J1845" t="inlineStr">
        <is>
          <t>Québec (Quebec) Canada</t>
        </is>
      </c>
      <c r="K1845" t="inlineStr">
        <is>
          <t>Quebec (Québec) Canada</t>
        </is>
      </c>
      <c r="P1845" t="n">
        <v>908.3200000000001</v>
      </c>
      <c r="Q1845" t="n">
        <v>138</v>
      </c>
      <c r="R1845" t="n">
        <v>135.66</v>
      </c>
      <c r="S1845" t="n">
        <v>159.85</v>
      </c>
      <c r="T1845" t="n">
        <v>0</v>
      </c>
      <c r="U1845" t="n">
        <v>1341.83</v>
      </c>
      <c r="X1845" t="inlineStr">
        <is>
          <t>aafc-aac</t>
        </is>
      </c>
      <c r="Y1845" t="inlineStr">
        <is>
          <t>Agriculture and Agri-Food Canada | Agriculture et Agroalimentaire Canada</t>
        </is>
      </c>
      <c r="Z1845" t="n">
        <v>2</v>
      </c>
      <c r="AA1845" t="n">
        <v>1341.83</v>
      </c>
      <c r="AB1845">
        <f>ROUND(U1845-AA1845,2)</f>
        <v/>
      </c>
      <c r="AC1845" t="b">
        <v>0</v>
      </c>
      <c r="AD1845">
        <f>IF(U1845="","MISSING_TOTAL",IF(ABS(AB1845)&lt;=0.01,"OK","CHECK"))</f>
        <v/>
      </c>
      <c r="AE1845">
        <f>IF(U1845="","MISSING",IF(AND(AA1845&gt;0,U1845/AA1845&gt;50),"POSSIBLE_SCALE_ERROR","OK"))</f>
        <v/>
      </c>
    </row>
    <row r="1846">
      <c r="A1846" t="inlineStr">
        <is>
          <t>T-2022-P8-0024</t>
        </is>
      </c>
      <c r="B1846" t="inlineStr">
        <is>
          <t>SLE</t>
        </is>
      </c>
      <c r="C1846" t="inlineStr">
        <is>
          <t>Assistant Deputy Minister, International Affairs Branch</t>
        </is>
      </c>
      <c r="D1846" t="inlineStr">
        <is>
          <t>Sous-ministre adjointe, Direction générale des affaires internationales</t>
        </is>
      </c>
      <c r="E1846" t="inlineStr">
        <is>
          <t>Kathleen Donohue</t>
        </is>
      </c>
      <c r="F1846" t="inlineStr">
        <is>
          <t>Meet with foreign counterparts and stakeholders and attend the World Food Expo (Philippines)</t>
        </is>
      </c>
      <c r="G1846" t="inlineStr">
        <is>
          <t>Rencontrer les homologues étrangers et les parties prenantes et assister au World Food Expo (Philippines)</t>
        </is>
      </c>
      <c r="H1846" s="1" t="n">
        <v>44770</v>
      </c>
      <c r="I1846" s="1" t="n">
        <v>44783</v>
      </c>
      <c r="J1846" t="inlineStr">
        <is>
          <t>Jakarta, Indonesia
Manila, Philippines
Hanoi, Vietnam</t>
        </is>
      </c>
      <c r="K1846" t="inlineStr">
        <is>
          <t>Jakarta, Indonésie
Manille, Philippines
Hanoi, Vietnam</t>
        </is>
      </c>
      <c r="P1846" t="n">
        <v>14488.08</v>
      </c>
      <c r="Q1846" t="n">
        <v>276.55</v>
      </c>
      <c r="R1846" t="n">
        <v>2719.64</v>
      </c>
      <c r="S1846" t="n">
        <v>1768.87</v>
      </c>
      <c r="T1846" t="n">
        <v>106.19</v>
      </c>
      <c r="U1846" t="n">
        <v>19359.33</v>
      </c>
      <c r="X1846" t="inlineStr">
        <is>
          <t>aafc-aac</t>
        </is>
      </c>
      <c r="Y1846" t="inlineStr">
        <is>
          <t>Agriculture and Agri-Food Canada | Agriculture et Agroalimentaire Canada</t>
        </is>
      </c>
      <c r="Z1846" t="n">
        <v>14</v>
      </c>
      <c r="AA1846" t="n">
        <v>19359.3299999999</v>
      </c>
      <c r="AB1846">
        <f>ROUND(U1846-AA1846,2)</f>
        <v/>
      </c>
      <c r="AC1846" t="b">
        <v>0</v>
      </c>
      <c r="AD1846">
        <f>IF(U1846="","MISSING_TOTAL",IF(ABS(AB1846)&lt;=0.01,"OK","CHECK"))</f>
        <v/>
      </c>
      <c r="AE1846">
        <f>IF(U1846="","MISSING",IF(AND(AA1846&gt;0,U1846/AA1846&gt;50),"POSSIBLE_SCALE_ERROR","OK"))</f>
        <v/>
      </c>
    </row>
    <row r="1847">
      <c r="A1847" t="inlineStr">
        <is>
          <t>T-2022-P8-0025</t>
        </is>
      </c>
      <c r="B1847" t="inlineStr">
        <is>
          <t>SLE</t>
        </is>
      </c>
      <c r="C1847" t="inlineStr">
        <is>
          <t>Assistant Deputy Minister, Corporate Management Branch</t>
        </is>
      </c>
      <c r="D1847" t="inlineStr">
        <is>
          <t>Sous-ministre adjointe, Direction générale de la gestion intégrée</t>
        </is>
      </c>
      <c r="E1847" t="inlineStr">
        <is>
          <t>Marie-Claude Guérard</t>
        </is>
      </c>
      <c r="F1847" t="inlineStr">
        <is>
          <t>Outreach in British Columbia</t>
        </is>
      </c>
      <c r="G1847" t="inlineStr">
        <is>
          <t>Visite en Colombie-Britannique</t>
        </is>
      </c>
      <c r="H1847" s="1" t="n">
        <v>44851</v>
      </c>
      <c r="I1847" s="1" t="n">
        <v>44855</v>
      </c>
      <c r="J1847" t="inlineStr">
        <is>
          <t>Summerland and Agassiz (British-Columbia) Canada</t>
        </is>
      </c>
      <c r="K1847" t="inlineStr">
        <is>
          <t>Summerland et Agassiz (Colombie-Britannique) Canada</t>
        </is>
      </c>
      <c r="P1847" t="n">
        <v>1118.37</v>
      </c>
      <c r="Q1847" t="n">
        <v>341.89</v>
      </c>
      <c r="R1847" t="n">
        <v>625.36</v>
      </c>
      <c r="S1847" t="n">
        <v>598.75</v>
      </c>
      <c r="T1847" t="n">
        <v>0</v>
      </c>
      <c r="U1847" t="n">
        <v>2684.37</v>
      </c>
      <c r="X1847" t="inlineStr">
        <is>
          <t>aafc-aac</t>
        </is>
      </c>
      <c r="Y1847" t="inlineStr">
        <is>
          <t>Agriculture and Agri-Food Canada | Agriculture et Agroalimentaire Canada</t>
        </is>
      </c>
      <c r="Z1847" t="n">
        <v>5</v>
      </c>
      <c r="AA1847" t="n">
        <v>2684.37</v>
      </c>
      <c r="AB1847">
        <f>ROUND(U1847-AA1847,2)</f>
        <v/>
      </c>
      <c r="AC1847" t="b">
        <v>0</v>
      </c>
      <c r="AD1847">
        <f>IF(U1847="","MISSING_TOTAL",IF(ABS(AB1847)&lt;=0.01,"OK","CHECK"))</f>
        <v/>
      </c>
      <c r="AE1847">
        <f>IF(U1847="","MISSING",IF(AND(AA1847&gt;0,U1847/AA1847&gt;50),"POSSIBLE_SCALE_ERROR","OK"))</f>
        <v/>
      </c>
    </row>
    <row r="1848">
      <c r="A1848" t="inlineStr">
        <is>
          <t>T-2022-P8-0026</t>
        </is>
      </c>
      <c r="B1848" t="inlineStr">
        <is>
          <t>SLE</t>
        </is>
      </c>
      <c r="C1848" t="inlineStr">
        <is>
          <t>Assistant Deputy Minister, Corporate Management Branch</t>
        </is>
      </c>
      <c r="D1848" t="inlineStr">
        <is>
          <t>Sous-ministre adjointe, Direction générale de la gestion intégrée</t>
        </is>
      </c>
      <c r="E1848" t="inlineStr">
        <is>
          <t>Marie-Claude Guérard</t>
        </is>
      </c>
      <c r="F1848" t="inlineStr">
        <is>
          <t>Meetings in Ottawa</t>
        </is>
      </c>
      <c r="G1848" t="inlineStr">
        <is>
          <t>Rencontre à Ottawa</t>
        </is>
      </c>
      <c r="H1848" s="1" t="n">
        <v>44859</v>
      </c>
      <c r="I1848" s="1" t="n">
        <v>44861</v>
      </c>
      <c r="J1848" t="inlineStr">
        <is>
          <t>Ottawa (Ontario) Canada</t>
        </is>
      </c>
      <c r="K1848" t="inlineStr">
        <is>
          <t>Ottawa (Ontario) Canada</t>
        </is>
      </c>
      <c r="P1848" t="n">
        <v>0</v>
      </c>
      <c r="Q1848" t="n">
        <v>453.41</v>
      </c>
      <c r="R1848" t="n">
        <v>467.72</v>
      </c>
      <c r="S1848" t="n">
        <v>234</v>
      </c>
      <c r="T1848" t="n">
        <v>0</v>
      </c>
      <c r="U1848" t="n">
        <v>1155.13</v>
      </c>
      <c r="X1848" t="inlineStr">
        <is>
          <t>aafc-aac</t>
        </is>
      </c>
      <c r="Y1848" t="inlineStr">
        <is>
          <t>Agriculture and Agri-Food Canada | Agriculture et Agroalimentaire Canada</t>
        </is>
      </c>
      <c r="Z1848" t="n">
        <v>3</v>
      </c>
      <c r="AA1848" t="n">
        <v>1155.13</v>
      </c>
      <c r="AB1848">
        <f>ROUND(U1848-AA1848,2)</f>
        <v/>
      </c>
      <c r="AC1848" t="b">
        <v>0</v>
      </c>
      <c r="AD1848">
        <f>IF(U1848="","MISSING_TOTAL",IF(ABS(AB1848)&lt;=0.01,"OK","CHECK"))</f>
        <v/>
      </c>
      <c r="AE1848">
        <f>IF(U1848="","MISSING",IF(AND(AA1848&gt;0,U1848/AA1848&gt;50),"POSSIBLE_SCALE_ERROR","OK"))</f>
        <v/>
      </c>
    </row>
    <row r="1849">
      <c r="A1849" t="inlineStr">
        <is>
          <t>T-2022-P8-0027</t>
        </is>
      </c>
      <c r="B1849" t="inlineStr">
        <is>
          <t>SLE</t>
        </is>
      </c>
      <c r="C1849" t="inlineStr">
        <is>
          <t>Assistant Deputy Minister, Corporate Management Branch</t>
        </is>
      </c>
      <c r="D1849" t="inlineStr">
        <is>
          <t>Sous-ministre adjointe, Direction générale de la gestion intégrée</t>
        </is>
      </c>
      <c r="E1849" t="inlineStr">
        <is>
          <t>Marie-Claude Guérard</t>
        </is>
      </c>
      <c r="F1849" t="inlineStr">
        <is>
          <t>Outreach in Brandon, MB</t>
        </is>
      </c>
      <c r="G1849" t="inlineStr">
        <is>
          <t>Visite à Brandon, Manitoba</t>
        </is>
      </c>
      <c r="H1849" s="1" t="n">
        <v>44872</v>
      </c>
      <c r="I1849" s="1" t="n">
        <v>44875</v>
      </c>
      <c r="J1849" t="inlineStr">
        <is>
          <t>Winnipeg and Brandon (Manitoba)</t>
        </is>
      </c>
      <c r="K1849" t="inlineStr">
        <is>
          <t>Winnipeg et Brandon (Manitoba)</t>
        </is>
      </c>
      <c r="P1849" t="n">
        <v>904.52</v>
      </c>
      <c r="Q1849" t="n">
        <v>336.58</v>
      </c>
      <c r="R1849" t="n">
        <v>577.11</v>
      </c>
      <c r="S1849" t="n">
        <v>410.6</v>
      </c>
      <c r="T1849" t="n">
        <v>0</v>
      </c>
      <c r="U1849" t="n">
        <v>2228.81</v>
      </c>
      <c r="X1849" t="inlineStr">
        <is>
          <t>aafc-aac</t>
        </is>
      </c>
      <c r="Y1849" t="inlineStr">
        <is>
          <t>Agriculture and Agri-Food Canada | Agriculture et Agroalimentaire Canada</t>
        </is>
      </c>
      <c r="Z1849" t="n">
        <v>4</v>
      </c>
      <c r="AA1849" t="n">
        <v>2228.81</v>
      </c>
      <c r="AB1849">
        <f>ROUND(U1849-AA1849,2)</f>
        <v/>
      </c>
      <c r="AC1849" t="b">
        <v>0</v>
      </c>
      <c r="AD1849">
        <f>IF(U1849="","MISSING_TOTAL",IF(ABS(AB1849)&lt;=0.01,"OK","CHECK"))</f>
        <v/>
      </c>
      <c r="AE1849">
        <f>IF(U1849="","MISSING",IF(AND(AA1849&gt;0,U1849/AA1849&gt;50),"POSSIBLE_SCALE_ERROR","OK"))</f>
        <v/>
      </c>
    </row>
    <row r="1850">
      <c r="A1850" t="inlineStr">
        <is>
          <t>T-2022-P8-0028</t>
        </is>
      </c>
      <c r="B1850" t="inlineStr">
        <is>
          <t>SLE</t>
        </is>
      </c>
      <c r="C1850" t="inlineStr">
        <is>
          <t>Assistant Deputy Minister, Corporate Management Branch</t>
        </is>
      </c>
      <c r="D1850" t="inlineStr">
        <is>
          <t>Sous-ministre adjointe, Direction générale de la gestion intégrée</t>
        </is>
      </c>
      <c r="E1850" t="inlineStr">
        <is>
          <t>Marie-Claude Guérard</t>
        </is>
      </c>
      <c r="F1850" t="inlineStr">
        <is>
          <t>Meetings in Ottawa</t>
        </is>
      </c>
      <c r="G1850" t="inlineStr">
        <is>
          <t>Rencontre à Ottawa</t>
        </is>
      </c>
      <c r="H1850" s="1" t="n">
        <v>44837</v>
      </c>
      <c r="I1850" s="1" t="n">
        <v>44865</v>
      </c>
      <c r="J1850" t="inlineStr">
        <is>
          <t>Ottawa (Ontario) Canada</t>
        </is>
      </c>
      <c r="K1850" t="inlineStr">
        <is>
          <t>Ottawa (Ontario) Canada</t>
        </is>
      </c>
      <c r="P1850" t="n">
        <v>0</v>
      </c>
      <c r="Q1850" t="n">
        <v>417.73</v>
      </c>
      <c r="R1850" t="n">
        <v>0</v>
      </c>
      <c r="S1850" t="n">
        <v>23.05</v>
      </c>
      <c r="T1850" t="n">
        <v>0</v>
      </c>
      <c r="U1850" t="n">
        <v>440.78</v>
      </c>
      <c r="X1850" t="inlineStr">
        <is>
          <t>aafc-aac</t>
        </is>
      </c>
      <c r="Y1850" t="inlineStr">
        <is>
          <t>Agriculture and Agri-Food Canada | Agriculture et Agroalimentaire Canada</t>
        </is>
      </c>
      <c r="Z1850" t="n">
        <v>29</v>
      </c>
      <c r="AA1850" t="n">
        <v>440.78</v>
      </c>
      <c r="AB1850">
        <f>ROUND(U1850-AA1850,2)</f>
        <v/>
      </c>
      <c r="AC1850" t="b">
        <v>0</v>
      </c>
      <c r="AD1850">
        <f>IF(U1850="","MISSING_TOTAL",IF(ABS(AB1850)&lt;=0.01,"OK","CHECK"))</f>
        <v/>
      </c>
      <c r="AE1850">
        <f>IF(U1850="","MISSING",IF(AND(AA1850&gt;0,U1850/AA1850&gt;50),"POSSIBLE_SCALE_ERROR","OK"))</f>
        <v/>
      </c>
    </row>
    <row r="1851">
      <c r="A1851" t="inlineStr">
        <is>
          <t>T-2022-P8-0029</t>
        </is>
      </c>
      <c r="B1851" t="inlineStr">
        <is>
          <t>SLE</t>
        </is>
      </c>
      <c r="C1851" t="inlineStr">
        <is>
          <t>Assistant Deputy Minister, Corporate Management Branch</t>
        </is>
      </c>
      <c r="D1851" t="inlineStr">
        <is>
          <t>Sous-ministre adjointe, Direction générale de la gestion intégrée</t>
        </is>
      </c>
      <c r="E1851" t="inlineStr">
        <is>
          <t>Marie-Claude Guérard</t>
        </is>
      </c>
      <c r="F1851" t="inlineStr">
        <is>
          <t>Meetings in Ottawa</t>
        </is>
      </c>
      <c r="G1851" t="inlineStr">
        <is>
          <t>Rencontre à Ottawa</t>
        </is>
      </c>
      <c r="H1851" s="1" t="n">
        <v>44865</v>
      </c>
      <c r="I1851" s="1" t="n">
        <v>44865</v>
      </c>
      <c r="J1851" t="inlineStr">
        <is>
          <t>Ottawa (Ontario) Canada</t>
        </is>
      </c>
      <c r="K1851" t="inlineStr">
        <is>
          <t>Ottawa (Ontario) Canada</t>
        </is>
      </c>
      <c r="P1851" t="n">
        <v>0</v>
      </c>
      <c r="Q1851" t="n">
        <v>279.2</v>
      </c>
      <c r="R1851" t="n">
        <v>0</v>
      </c>
      <c r="S1851" t="n">
        <v>102.45</v>
      </c>
      <c r="T1851" t="n">
        <v>0</v>
      </c>
      <c r="U1851" t="n">
        <v>381.65</v>
      </c>
      <c r="X1851" t="inlineStr">
        <is>
          <t>aafc-aac</t>
        </is>
      </c>
      <c r="Y1851" t="inlineStr">
        <is>
          <t>Agriculture and Agri-Food Canada | Agriculture et Agroalimentaire Canada</t>
        </is>
      </c>
      <c r="Z1851" t="n">
        <v>1</v>
      </c>
      <c r="AA1851" t="n">
        <v>381.65</v>
      </c>
      <c r="AB1851">
        <f>ROUND(U1851-AA1851,2)</f>
        <v/>
      </c>
      <c r="AC1851" t="b">
        <v>0</v>
      </c>
      <c r="AD1851">
        <f>IF(U1851="","MISSING_TOTAL",IF(ABS(AB1851)&lt;=0.01,"OK","CHECK"))</f>
        <v/>
      </c>
      <c r="AE1851">
        <f>IF(U1851="","MISSING",IF(AND(AA1851&gt;0,U1851/AA1851&gt;50),"POSSIBLE_SCALE_ERROR","OK"))</f>
        <v/>
      </c>
    </row>
    <row r="1852">
      <c r="A1852" t="inlineStr">
        <is>
          <t>T-2022-P8-0030</t>
        </is>
      </c>
      <c r="B1852" t="inlineStr">
        <is>
          <t>SLE</t>
        </is>
      </c>
      <c r="C1852" t="inlineStr">
        <is>
          <t>Assistant Deputy Minister, Strategic Policy Branch</t>
        </is>
      </c>
      <c r="D1852" t="inlineStr">
        <is>
          <t>Sous-ministre adjointe, Direction générale des politiques stratégiques</t>
        </is>
      </c>
      <c r="E1852" t="inlineStr">
        <is>
          <t>Natasha Kim</t>
        </is>
      </c>
      <c r="F1852" t="inlineStr">
        <is>
          <t>Travelled to Washington, DC for meetings in advance of the COP-27</t>
        </is>
      </c>
      <c r="G1852" t="inlineStr">
        <is>
          <t>Voyage à Washington, DC, pour des réunions en vue de la COP-27</t>
        </is>
      </c>
      <c r="H1852" s="1" t="n">
        <v>44858</v>
      </c>
      <c r="I1852" s="1" t="n">
        <v>44859</v>
      </c>
      <c r="J1852" t="inlineStr">
        <is>
          <t>Washington (DC) United States</t>
        </is>
      </c>
      <c r="K1852" t="inlineStr">
        <is>
          <t>Washington (DC) États-Unis</t>
        </is>
      </c>
      <c r="P1852" t="n">
        <v>1360.74</v>
      </c>
      <c r="Q1852" t="n">
        <v>189.32</v>
      </c>
      <c r="R1852" t="n">
        <v>402.89</v>
      </c>
      <c r="S1852" t="n">
        <v>188.03</v>
      </c>
      <c r="T1852" t="n">
        <v>4.95</v>
      </c>
      <c r="U1852" t="n">
        <v>2145.93</v>
      </c>
      <c r="X1852" t="inlineStr">
        <is>
          <t>aafc-aac</t>
        </is>
      </c>
      <c r="Y1852" t="inlineStr">
        <is>
          <t>Agriculture and Agri-Food Canada | Agriculture et Agroalimentaire Canada</t>
        </is>
      </c>
      <c r="Z1852" t="n">
        <v>2</v>
      </c>
      <c r="AA1852" t="n">
        <v>2145.93</v>
      </c>
      <c r="AB1852">
        <f>ROUND(U1852-AA1852,2)</f>
        <v/>
      </c>
      <c r="AC1852" t="b">
        <v>0</v>
      </c>
      <c r="AD1852">
        <f>IF(U1852="","MISSING_TOTAL",IF(ABS(AB1852)&lt;=0.01,"OK","CHECK"))</f>
        <v/>
      </c>
      <c r="AE1852">
        <f>IF(U1852="","MISSING",IF(AND(AA1852&gt;0,U1852/AA1852&gt;50),"POSSIBLE_SCALE_ERROR","OK"))</f>
        <v/>
      </c>
    </row>
    <row r="1853">
      <c r="A1853" t="inlineStr">
        <is>
          <t>T-2022-P8-0031</t>
        </is>
      </c>
      <c r="B1853" t="inlineStr">
        <is>
          <t>SLE</t>
        </is>
      </c>
      <c r="C1853" t="inlineStr">
        <is>
          <t>Assistant Deputy Minister, Programs Branch</t>
        </is>
      </c>
      <c r="D1853" t="inlineStr">
        <is>
          <t>Sous-ministre adjointe, Direction générale des programmes</t>
        </is>
      </c>
      <c r="E1853" t="inlineStr">
        <is>
          <t>Liz Foster</t>
        </is>
      </c>
      <c r="F1853" t="inlineStr">
        <is>
          <t>ADM ELDP : Cohort F - Module 7 (Advancing Reconciliation)</t>
        </is>
      </c>
      <c r="G1853" t="inlineStr">
        <is>
          <t>PDLCS SMA : Cohorte F - Module 7 (Soutenir la réconciliation)</t>
        </is>
      </c>
      <c r="H1853" s="1" t="n">
        <v>44857</v>
      </c>
      <c r="I1853" s="1" t="n">
        <v>44862</v>
      </c>
      <c r="J1853" t="inlineStr">
        <is>
          <t>Winnipeg (Manitoba) Canada
Regina (Saskatchewan) Canada</t>
        </is>
      </c>
      <c r="K1853" t="inlineStr">
        <is>
          <t>Winnipeg (Manitoba) Canada
Regina (Saskatchewan) Canada</t>
        </is>
      </c>
      <c r="P1853" t="n">
        <v>1588.99</v>
      </c>
      <c r="Q1853" t="n">
        <v>226.68</v>
      </c>
      <c r="R1853" t="n">
        <v>925.4299999999999</v>
      </c>
      <c r="S1853" t="n">
        <v>513.35</v>
      </c>
      <c r="T1853" t="n">
        <v>0</v>
      </c>
      <c r="U1853" t="n">
        <v>3254.45</v>
      </c>
      <c r="X1853" t="inlineStr">
        <is>
          <t>aafc-aac</t>
        </is>
      </c>
      <c r="Y1853" t="inlineStr">
        <is>
          <t>Agriculture and Agri-Food Canada | Agriculture et Agroalimentaire Canada</t>
        </is>
      </c>
      <c r="Z1853" t="n">
        <v>6</v>
      </c>
      <c r="AA1853" t="n">
        <v>3254.45</v>
      </c>
      <c r="AB1853">
        <f>ROUND(U1853-AA1853,2)</f>
        <v/>
      </c>
      <c r="AC1853" t="b">
        <v>0</v>
      </c>
      <c r="AD1853">
        <f>IF(U1853="","MISSING_TOTAL",IF(ABS(AB1853)&lt;=0.01,"OK","CHECK"))</f>
        <v/>
      </c>
      <c r="AE1853">
        <f>IF(U1853="","MISSING",IF(AND(AA1853&gt;0,U1853/AA1853&gt;50),"POSSIBLE_SCALE_ERROR","OK"))</f>
        <v/>
      </c>
    </row>
    <row r="1854">
      <c r="A1854" t="inlineStr">
        <is>
          <t>T-2022-P8-0032</t>
        </is>
      </c>
      <c r="B1854" t="inlineStr">
        <is>
          <t>SLE</t>
        </is>
      </c>
      <c r="C1854" t="inlineStr">
        <is>
          <t>Assistant Deputy Minister, Market and Industry Services Branch</t>
        </is>
      </c>
      <c r="D1854" t="inlineStr">
        <is>
          <t>Sous-ministre adjoint, Direction générale des services à l'industrie et aux marchés</t>
        </is>
      </c>
      <c r="E1854" t="inlineStr">
        <is>
          <t>Tom Rosser</t>
        </is>
      </c>
      <c r="F1854" t="inlineStr">
        <is>
          <t>Participate in ministerial outreach in Manila, Philippines and participate in the G20 Agriculture Ministers’ Meeting in Bali, Indonesia.</t>
        </is>
      </c>
      <c r="G1854" t="inlineStr">
        <is>
          <t>Participer à des activités de sensibilisation ministérielle à Manille, aux Philippines, et à la réunion des ministres de l’Agriculture du G20 à Bali, en Indonésie.</t>
        </is>
      </c>
      <c r="H1854" s="1" t="n">
        <v>44827</v>
      </c>
      <c r="I1854" s="1" t="n">
        <v>44834</v>
      </c>
      <c r="J1854" t="inlineStr">
        <is>
          <t>(Manila) Philippines
(Bali) Indonesia</t>
        </is>
      </c>
      <c r="K1854" t="inlineStr">
        <is>
          <t>(Manille) Philippines
(Bali) Indonésie</t>
        </is>
      </c>
      <c r="P1854" t="n">
        <v>14880.04</v>
      </c>
      <c r="Q1854" t="n">
        <v>62.01</v>
      </c>
      <c r="R1854" t="n">
        <v>1588.46</v>
      </c>
      <c r="S1854" t="n">
        <v>480.63</v>
      </c>
      <c r="T1854" t="n">
        <v>61.62</v>
      </c>
      <c r="U1854" t="n">
        <v>17072.76</v>
      </c>
      <c r="X1854" t="inlineStr">
        <is>
          <t>aafc-aac</t>
        </is>
      </c>
      <c r="Y1854" t="inlineStr">
        <is>
          <t>Agriculture and Agri-Food Canada | Agriculture et Agroalimentaire Canada</t>
        </is>
      </c>
      <c r="Z1854" t="n">
        <v>8</v>
      </c>
      <c r="AA1854" t="n">
        <v>17072.76</v>
      </c>
      <c r="AB1854">
        <f>ROUND(U1854-AA1854,2)</f>
        <v/>
      </c>
      <c r="AC1854" t="b">
        <v>0</v>
      </c>
      <c r="AD1854">
        <f>IF(U1854="","MISSING_TOTAL",IF(ABS(AB1854)&lt;=0.01,"OK","CHECK"))</f>
        <v/>
      </c>
      <c r="AE1854">
        <f>IF(U1854="","MISSING",IF(AND(AA1854&gt;0,U1854/AA1854&gt;50),"POSSIBLE_SCALE_ERROR","OK"))</f>
        <v/>
      </c>
    </row>
    <row r="1855">
      <c r="A1855" t="inlineStr">
        <is>
          <t>T-2022-P8-0033</t>
        </is>
      </c>
      <c r="B1855" t="inlineStr">
        <is>
          <t>SLE</t>
        </is>
      </c>
      <c r="C1855" t="inlineStr">
        <is>
          <t>Chief Information Officer, Information Systems Branch</t>
        </is>
      </c>
      <c r="D1855" t="inlineStr">
        <is>
          <t>Dirigeante principale de l'information, Direction générale des systèmes information</t>
        </is>
      </c>
      <c r="E1855" t="inlineStr">
        <is>
          <t>Vidya ShankarNarayan</t>
        </is>
      </c>
      <c r="F1855" t="inlineStr">
        <is>
          <t>Attend a 2 day Canada School of Public Service Washington tour.</t>
        </is>
      </c>
      <c r="G1855" t="inlineStr">
        <is>
          <t>Assister à une visite de deux jours de l'École de la fonction publique du Canada à Washington.</t>
        </is>
      </c>
      <c r="H1855" s="1" t="n">
        <v>44859</v>
      </c>
      <c r="I1855" s="1" t="n">
        <v>44862</v>
      </c>
      <c r="J1855" t="inlineStr">
        <is>
          <t>Washington (DC) United States</t>
        </is>
      </c>
      <c r="K1855" t="inlineStr">
        <is>
          <t>Washington (DC) États-Unis</t>
        </is>
      </c>
      <c r="P1855" t="n">
        <v>954.21</v>
      </c>
      <c r="Q1855" t="n">
        <v>131.95</v>
      </c>
      <c r="R1855" t="n">
        <v>1218.09</v>
      </c>
      <c r="S1855" t="n">
        <v>530.03</v>
      </c>
      <c r="T1855" t="n">
        <v>0</v>
      </c>
      <c r="U1855" t="n">
        <v>2834.28</v>
      </c>
      <c r="X1855" t="inlineStr">
        <is>
          <t>aafc-aac</t>
        </is>
      </c>
      <c r="Y1855" t="inlineStr">
        <is>
          <t>Agriculture and Agri-Food Canada | Agriculture et Agroalimentaire Canada</t>
        </is>
      </c>
      <c r="Z1855" t="n">
        <v>4</v>
      </c>
      <c r="AA1855" t="n">
        <v>2834.27999999999</v>
      </c>
      <c r="AB1855">
        <f>ROUND(U1855-AA1855,2)</f>
        <v/>
      </c>
      <c r="AC1855" t="b">
        <v>0</v>
      </c>
      <c r="AD1855">
        <f>IF(U1855="","MISSING_TOTAL",IF(ABS(AB1855)&lt;=0.01,"OK","CHECK"))</f>
        <v/>
      </c>
      <c r="AE1855">
        <f>IF(U1855="","MISSING",IF(AND(AA1855&gt;0,U1855/AA1855&gt;50),"POSSIBLE_SCALE_ERROR","OK"))</f>
        <v/>
      </c>
    </row>
    <row r="1856">
      <c r="A1856" t="inlineStr">
        <is>
          <t>T-2022-P9-0001</t>
        </is>
      </c>
      <c r="B1856" t="inlineStr">
        <is>
          <t>MPSES</t>
        </is>
      </c>
      <c r="C1856" t="inlineStr">
        <is>
          <t>Minister</t>
        </is>
      </c>
      <c r="D1856" t="inlineStr">
        <is>
          <t>Ministre</t>
        </is>
      </c>
      <c r="E1856" t="inlineStr">
        <is>
          <t>Marie-Claude Bibeau</t>
        </is>
      </c>
      <c r="F1856" t="inlineStr">
        <is>
          <t>Co-chaired the Organisation for Economic Co-operation and Development meeting for Agriculture Ministers</t>
        </is>
      </c>
      <c r="G1856" t="inlineStr">
        <is>
          <t>Co-présidence de la réunion des ministres de l'agriculture de l'Organisation de coopération et de développement économiques</t>
        </is>
      </c>
      <c r="H1856" s="1" t="n">
        <v>44865</v>
      </c>
      <c r="I1856" s="1" t="n">
        <v>44870</v>
      </c>
      <c r="J1856" t="inlineStr">
        <is>
          <t>Paris (France) Europe</t>
        </is>
      </c>
      <c r="K1856" t="inlineStr">
        <is>
          <t>Paris (France) Europe</t>
        </is>
      </c>
      <c r="P1856" t="n">
        <v>6465.45</v>
      </c>
      <c r="Q1856" t="n">
        <v>268</v>
      </c>
      <c r="R1856" t="n">
        <v>1469.12</v>
      </c>
      <c r="S1856" t="n">
        <v>418.27</v>
      </c>
      <c r="T1856" t="n">
        <v>0</v>
      </c>
      <c r="U1856" t="n">
        <v>8620.84</v>
      </c>
      <c r="V1856" t="inlineStr">
        <is>
          <t>No Conference Fees</t>
        </is>
      </c>
      <c r="W1856" t="inlineStr">
        <is>
          <t>Pas de frais de conférence</t>
        </is>
      </c>
      <c r="X1856" t="inlineStr">
        <is>
          <t>aafc-aac</t>
        </is>
      </c>
      <c r="Y1856" t="inlineStr">
        <is>
          <t>Agriculture and Agri-Food Canada | Agriculture et Agroalimentaire Canada</t>
        </is>
      </c>
      <c r="Z1856" t="n">
        <v>6</v>
      </c>
      <c r="AA1856" t="n">
        <v>8620.84</v>
      </c>
      <c r="AB1856">
        <f>ROUND(U1856-AA1856,2)</f>
        <v/>
      </c>
      <c r="AC1856" t="b">
        <v>0</v>
      </c>
      <c r="AD1856">
        <f>IF(U1856="","MISSING_TOTAL",IF(ABS(AB1856)&lt;=0.01,"OK","CHECK"))</f>
        <v/>
      </c>
      <c r="AE1856">
        <f>IF(U1856="","MISSING",IF(AND(AA1856&gt;0,U1856/AA1856&gt;50),"POSSIBLE_SCALE_ERROR","OK"))</f>
        <v/>
      </c>
    </row>
    <row r="1857">
      <c r="A1857" t="inlineStr">
        <is>
          <t>T-2022-P9-0002</t>
        </is>
      </c>
      <c r="B1857" t="inlineStr">
        <is>
          <t>MPSES</t>
        </is>
      </c>
      <c r="C1857" t="inlineStr">
        <is>
          <t>Minister</t>
        </is>
      </c>
      <c r="D1857" t="inlineStr">
        <is>
          <t>Ministre</t>
        </is>
      </c>
      <c r="E1857" t="inlineStr">
        <is>
          <t>Marie-Claude Bibeau</t>
        </is>
      </c>
      <c r="F1857" t="inlineStr">
        <is>
          <t>To attend Agribition as well as to make an Indo-Pacific Strategy announcement</t>
        </is>
      </c>
      <c r="G1857" t="inlineStr">
        <is>
          <t>Pour assister à l'Agribition ainsi que pour faire une annonce sur la stratégie indo-pacifique.</t>
        </is>
      </c>
      <c r="H1857" s="1" t="n">
        <v>44897</v>
      </c>
      <c r="I1857" s="1" t="n">
        <v>44899</v>
      </c>
      <c r="J1857" t="inlineStr">
        <is>
          <t>Regina (Sasktachewan) Canada</t>
        </is>
      </c>
      <c r="K1857" t="inlineStr">
        <is>
          <t>Régina (Sasktachewan) Canada</t>
        </is>
      </c>
      <c r="P1857" t="n">
        <v>1618.6</v>
      </c>
      <c r="Q1857" t="n">
        <v>0</v>
      </c>
      <c r="R1857" t="n">
        <v>317.84</v>
      </c>
      <c r="S1857" t="n">
        <v>159.05</v>
      </c>
      <c r="T1857" t="n">
        <v>0</v>
      </c>
      <c r="U1857" t="n">
        <v>2095.49</v>
      </c>
      <c r="V1857" t="inlineStr">
        <is>
          <t>No Conference Fees</t>
        </is>
      </c>
      <c r="W1857" t="inlineStr">
        <is>
          <t>Pas de frais de conférence</t>
        </is>
      </c>
      <c r="X1857" t="inlineStr">
        <is>
          <t>aafc-aac</t>
        </is>
      </c>
      <c r="Y1857" t="inlineStr">
        <is>
          <t>Agriculture and Agri-Food Canada | Agriculture et Agroalimentaire Canada</t>
        </is>
      </c>
      <c r="Z1857" t="n">
        <v>3</v>
      </c>
      <c r="AA1857" t="n">
        <v>2095.49</v>
      </c>
      <c r="AB1857">
        <f>ROUND(U1857-AA1857,2)</f>
        <v/>
      </c>
      <c r="AC1857" t="b">
        <v>0</v>
      </c>
      <c r="AD1857">
        <f>IF(U1857="","MISSING_TOTAL",IF(ABS(AB1857)&lt;=0.01,"OK","CHECK"))</f>
        <v/>
      </c>
      <c r="AE1857">
        <f>IF(U1857="","MISSING",IF(AND(AA1857&gt;0,U1857/AA1857&gt;50),"POSSIBLE_SCALE_ERROR","OK"))</f>
        <v/>
      </c>
    </row>
    <row r="1858">
      <c r="A1858" t="inlineStr">
        <is>
          <t>T-2022-P9-0003</t>
        </is>
      </c>
      <c r="B1858" t="inlineStr">
        <is>
          <t>MPSES</t>
        </is>
      </c>
      <c r="C1858" t="inlineStr">
        <is>
          <t>Minister</t>
        </is>
      </c>
      <c r="D1858" t="inlineStr">
        <is>
          <t>Ministre</t>
        </is>
      </c>
      <c r="E1858" t="inlineStr">
        <is>
          <t>Marie-Claude Bibeau</t>
        </is>
      </c>
      <c r="F1858" t="inlineStr">
        <is>
          <t>To attend United Nations Biodiversity Conference (COP15)</t>
        </is>
      </c>
      <c r="G1858" t="inlineStr">
        <is>
          <t>Pour assister à la conférence des Nations Unies sur la biodiversité (COP15).</t>
        </is>
      </c>
      <c r="H1858" s="1" t="n">
        <v>44910</v>
      </c>
      <c r="I1858" s="1" t="n">
        <v>44911</v>
      </c>
      <c r="J1858" t="inlineStr">
        <is>
          <t>Montréal (Quebec) Canada</t>
        </is>
      </c>
      <c r="K1858" t="inlineStr">
        <is>
          <t>Montréal (Québec) Canada</t>
        </is>
      </c>
      <c r="P1858" t="n">
        <v>0</v>
      </c>
      <c r="Q1858" t="n">
        <v>0</v>
      </c>
      <c r="R1858" t="n">
        <v>184.45</v>
      </c>
      <c r="S1858" t="n">
        <v>102.45</v>
      </c>
      <c r="T1858" t="n">
        <v>0</v>
      </c>
      <c r="U1858" t="n">
        <v>286.9</v>
      </c>
      <c r="V1858" t="inlineStr">
        <is>
          <t>No Conference Fees</t>
        </is>
      </c>
      <c r="W1858" t="inlineStr">
        <is>
          <t>Pas de frais de conférence</t>
        </is>
      </c>
      <c r="X1858" t="inlineStr">
        <is>
          <t>aafc-aac</t>
        </is>
      </c>
      <c r="Y1858" t="inlineStr">
        <is>
          <t>Agriculture and Agri-Food Canada | Agriculture et Agroalimentaire Canada</t>
        </is>
      </c>
      <c r="Z1858" t="n">
        <v>2</v>
      </c>
      <c r="AA1858" t="n">
        <v>286.9</v>
      </c>
      <c r="AB1858">
        <f>ROUND(U1858-AA1858,2)</f>
        <v/>
      </c>
      <c r="AC1858" t="b">
        <v>0</v>
      </c>
      <c r="AD1858">
        <f>IF(U1858="","MISSING_TOTAL",IF(ABS(AB1858)&lt;=0.01,"OK","CHECK"))</f>
        <v/>
      </c>
      <c r="AE1858">
        <f>IF(U1858="","MISSING",IF(AND(AA1858&gt;0,U1858/AA1858&gt;50),"POSSIBLE_SCALE_ERROR","OK"))</f>
        <v/>
      </c>
    </row>
    <row r="1859">
      <c r="A1859" t="inlineStr">
        <is>
          <t>T-2022-P9-0004</t>
        </is>
      </c>
      <c r="B1859" t="inlineStr">
        <is>
          <t>MPSES</t>
        </is>
      </c>
      <c r="C1859" t="inlineStr">
        <is>
          <t>Policy Advisor</t>
        </is>
      </c>
      <c r="D1859" t="inlineStr">
        <is>
          <t>Conseiller en politiques</t>
        </is>
      </c>
      <c r="E1859" t="inlineStr">
        <is>
          <t>Emerson Vanderberg</t>
        </is>
      </c>
      <c r="F1859" t="inlineStr">
        <is>
          <t>To support the Minister to the Organisation for Economic Co-operation and Development meeting for Agriculture Ministers</t>
        </is>
      </c>
      <c r="G1859" t="inlineStr">
        <is>
          <t>Soutenir la ministre lors de la réunion des ministres de l'Agriculture de l'Organisation de coopération et de développement économique.</t>
        </is>
      </c>
      <c r="H1859" s="1" t="n">
        <v>44865</v>
      </c>
      <c r="I1859" s="1" t="n">
        <v>44870</v>
      </c>
      <c r="J1859" t="inlineStr">
        <is>
          <t>Paris (France) Europe</t>
        </is>
      </c>
      <c r="K1859" t="inlineStr">
        <is>
          <t>Paris (France) Europe</t>
        </is>
      </c>
      <c r="P1859" t="n">
        <v>1691.35</v>
      </c>
      <c r="Q1859" t="n">
        <v>25.28</v>
      </c>
      <c r="R1859" t="n">
        <v>1478.46</v>
      </c>
      <c r="S1859" t="n">
        <v>418.27</v>
      </c>
      <c r="T1859" t="n">
        <v>0</v>
      </c>
      <c r="U1859" t="n">
        <v>3613.36</v>
      </c>
      <c r="V1859" t="inlineStr">
        <is>
          <t>No Conference Fees</t>
        </is>
      </c>
      <c r="W1859" t="inlineStr">
        <is>
          <t>Pas de frais de conférence</t>
        </is>
      </c>
      <c r="X1859" t="inlineStr">
        <is>
          <t>aafc-aac</t>
        </is>
      </c>
      <c r="Y1859" t="inlineStr">
        <is>
          <t>Agriculture and Agri-Food Canada | Agriculture et Agroalimentaire Canada</t>
        </is>
      </c>
      <c r="Z1859" t="n">
        <v>6</v>
      </c>
      <c r="AA1859" t="n">
        <v>3613.36</v>
      </c>
      <c r="AB1859">
        <f>ROUND(U1859-AA1859,2)</f>
        <v/>
      </c>
      <c r="AC1859" t="b">
        <v>0</v>
      </c>
      <c r="AD1859">
        <f>IF(U1859="","MISSING_TOTAL",IF(ABS(AB1859)&lt;=0.01,"OK","CHECK"))</f>
        <v/>
      </c>
      <c r="AE1859">
        <f>IF(U1859="","MISSING",IF(AND(AA1859&gt;0,U1859/AA1859&gt;50),"POSSIBLE_SCALE_ERROR","OK"))</f>
        <v/>
      </c>
    </row>
    <row r="1860">
      <c r="A1860" t="inlineStr">
        <is>
          <t>T-2022-P9-0005</t>
        </is>
      </c>
      <c r="B1860" t="inlineStr">
        <is>
          <t>MPSES</t>
        </is>
      </c>
      <c r="C1860" t="inlineStr">
        <is>
          <t>Press Secretary</t>
        </is>
      </c>
      <c r="D1860" t="inlineStr">
        <is>
          <t>Attachée de presse</t>
        </is>
      </c>
      <c r="E1860" t="inlineStr">
        <is>
          <t>Marianne Dandurand</t>
        </is>
      </c>
      <c r="F1860" t="inlineStr">
        <is>
          <t>To support the Minister to the Organisation for Economic Co-operation and Development meeting for Agriculture Ministers</t>
        </is>
      </c>
      <c r="G1860" t="inlineStr">
        <is>
          <t>Soutenir la ministre lors de la réunion des ministres de l'Agriculture de l'Organisation de coopération et de développement économique.</t>
        </is>
      </c>
      <c r="H1860" s="1" t="n">
        <v>44865</v>
      </c>
      <c r="I1860" s="1" t="n">
        <v>44870</v>
      </c>
      <c r="J1860" t="inlineStr">
        <is>
          <t>Paris (France) Europe</t>
        </is>
      </c>
      <c r="K1860" t="inlineStr">
        <is>
          <t>Paris (France) Europe</t>
        </is>
      </c>
      <c r="P1860" t="n">
        <v>2560.04</v>
      </c>
      <c r="Q1860" t="n">
        <v>0</v>
      </c>
      <c r="R1860" t="n">
        <v>1461.11</v>
      </c>
      <c r="S1860" t="n">
        <v>418.27</v>
      </c>
      <c r="T1860" t="n">
        <v>0</v>
      </c>
      <c r="U1860" t="n">
        <v>4439.42</v>
      </c>
      <c r="V1860" t="inlineStr">
        <is>
          <t>No Conference Fees</t>
        </is>
      </c>
      <c r="W1860" t="inlineStr">
        <is>
          <t>Pas de frais de conférence</t>
        </is>
      </c>
      <c r="X1860" t="inlineStr">
        <is>
          <t>aafc-aac</t>
        </is>
      </c>
      <c r="Y1860" t="inlineStr">
        <is>
          <t>Agriculture and Agri-Food Canada | Agriculture et Agroalimentaire Canada</t>
        </is>
      </c>
      <c r="Z1860" t="n">
        <v>6</v>
      </c>
      <c r="AA1860" t="n">
        <v>4439.42</v>
      </c>
      <c r="AB1860">
        <f>ROUND(U1860-AA1860,2)</f>
        <v/>
      </c>
      <c r="AC1860" t="b">
        <v>0</v>
      </c>
      <c r="AD1860">
        <f>IF(U1860="","MISSING_TOTAL",IF(ABS(AB1860)&lt;=0.01,"OK","CHECK"))</f>
        <v/>
      </c>
      <c r="AE1860">
        <f>IF(U1860="","MISSING",IF(AND(AA1860&gt;0,U1860/AA1860&gt;50),"POSSIBLE_SCALE_ERROR","OK"))</f>
        <v/>
      </c>
    </row>
    <row r="1861">
      <c r="A1861" t="inlineStr">
        <is>
          <t>T-2022-P9-0006</t>
        </is>
      </c>
      <c r="B1861" t="inlineStr">
        <is>
          <t>MPSES</t>
        </is>
      </c>
      <c r="C1861" t="inlineStr">
        <is>
          <t>Press Secretary</t>
        </is>
      </c>
      <c r="D1861" t="inlineStr">
        <is>
          <t>Attachée de presse</t>
        </is>
      </c>
      <c r="E1861" t="inlineStr">
        <is>
          <t>Marianne Dandurand</t>
        </is>
      </c>
      <c r="F1861" t="inlineStr">
        <is>
          <t>To support the Minister to participate in the Union des producteurs agricoles Annual General Congress meeting</t>
        </is>
      </c>
      <c r="G1861" t="inlineStr">
        <is>
          <t>Soutenir la participation de la ministre au congrès annuel de l'Union des producteurs agricoles.</t>
        </is>
      </c>
      <c r="H1861" s="1" t="n">
        <v>44894</v>
      </c>
      <c r="I1861" s="1" t="n">
        <v>44894</v>
      </c>
      <c r="J1861" t="inlineStr">
        <is>
          <t>Québec (Quebec) Canada</t>
        </is>
      </c>
      <c r="K1861" t="inlineStr">
        <is>
          <t>Québec (Québec) Canada</t>
        </is>
      </c>
      <c r="P1861" t="n">
        <v>0</v>
      </c>
      <c r="Q1861" t="n">
        <v>0</v>
      </c>
      <c r="R1861" t="n">
        <v>159.46</v>
      </c>
      <c r="S1861" t="n">
        <v>159.05</v>
      </c>
      <c r="T1861" t="n">
        <v>0</v>
      </c>
      <c r="U1861" t="n">
        <v>318.51</v>
      </c>
      <c r="V1861" t="inlineStr">
        <is>
          <t>No Conference Fees</t>
        </is>
      </c>
      <c r="W1861" t="inlineStr">
        <is>
          <t>Pas de frais de conférence</t>
        </is>
      </c>
      <c r="X1861" t="inlineStr">
        <is>
          <t>aafc-aac</t>
        </is>
      </c>
      <c r="Y1861" t="inlineStr">
        <is>
          <t>Agriculture and Agri-Food Canada | Agriculture et Agroalimentaire Canada</t>
        </is>
      </c>
      <c r="Z1861" t="n">
        <v>1</v>
      </c>
      <c r="AA1861" t="n">
        <v>318.51</v>
      </c>
      <c r="AB1861">
        <f>ROUND(U1861-AA1861,2)</f>
        <v/>
      </c>
      <c r="AC1861" t="b">
        <v>0</v>
      </c>
      <c r="AD1861">
        <f>IF(U1861="","MISSING_TOTAL",IF(ABS(AB1861)&lt;=0.01,"OK","CHECK"))</f>
        <v/>
      </c>
      <c r="AE1861">
        <f>IF(U1861="","MISSING",IF(AND(AA1861&gt;0,U1861/AA1861&gt;50),"POSSIBLE_SCALE_ERROR","OK"))</f>
        <v/>
      </c>
    </row>
    <row r="1862">
      <c r="A1862" t="inlineStr">
        <is>
          <t>T-2022-P9-0007</t>
        </is>
      </c>
      <c r="B1862" t="inlineStr">
        <is>
          <t>MPSES</t>
        </is>
      </c>
      <c r="C1862" t="inlineStr">
        <is>
          <t>Press Secretary</t>
        </is>
      </c>
      <c r="D1862" t="inlineStr">
        <is>
          <t>Attachée de presse</t>
        </is>
      </c>
      <c r="E1862" t="inlineStr">
        <is>
          <t>Marianne Dandurand</t>
        </is>
      </c>
      <c r="F1862" t="inlineStr">
        <is>
          <t>To support the Minister to attend United Nations Biodiversity Conference (COP15)</t>
        </is>
      </c>
      <c r="G1862" t="inlineStr">
        <is>
          <t>Soutenir la participation de la ministre à la conférence des Nations unies sur la biodiversité (COP15).</t>
        </is>
      </c>
      <c r="H1862" s="1" t="n">
        <v>44910</v>
      </c>
      <c r="I1862" s="1" t="n">
        <v>44911</v>
      </c>
      <c r="J1862" t="inlineStr">
        <is>
          <t>Montréal (Quebec) Canada</t>
        </is>
      </c>
      <c r="K1862" t="inlineStr">
        <is>
          <t>Montréal (Québec) Canada</t>
        </is>
      </c>
      <c r="P1862" t="n">
        <v>0</v>
      </c>
      <c r="Q1862" t="n">
        <v>0</v>
      </c>
      <c r="R1862" t="n">
        <v>184.45</v>
      </c>
      <c r="S1862" t="n">
        <v>102.45</v>
      </c>
      <c r="T1862" t="n">
        <v>0</v>
      </c>
      <c r="U1862" t="n">
        <v>286.9</v>
      </c>
      <c r="V1862" t="inlineStr">
        <is>
          <t>No Conference Fees</t>
        </is>
      </c>
      <c r="W1862" t="inlineStr">
        <is>
          <t>Pas de frais de conférence</t>
        </is>
      </c>
      <c r="X1862" t="inlineStr">
        <is>
          <t>aafc-aac</t>
        </is>
      </c>
      <c r="Y1862" t="inlineStr">
        <is>
          <t>Agriculture and Agri-Food Canada | Agriculture et Agroalimentaire Canada</t>
        </is>
      </c>
      <c r="Z1862" t="n">
        <v>2</v>
      </c>
      <c r="AA1862" t="n">
        <v>286.9</v>
      </c>
      <c r="AB1862">
        <f>ROUND(U1862-AA1862,2)</f>
        <v/>
      </c>
      <c r="AC1862" t="b">
        <v>0</v>
      </c>
      <c r="AD1862">
        <f>IF(U1862="","MISSING_TOTAL",IF(ABS(AB1862)&lt;=0.01,"OK","CHECK"))</f>
        <v/>
      </c>
      <c r="AE1862">
        <f>IF(U1862="","MISSING",IF(AND(AA1862&gt;0,U1862/AA1862&gt;50),"POSSIBLE_SCALE_ERROR","OK"))</f>
        <v/>
      </c>
    </row>
    <row r="1863">
      <c r="A1863" t="inlineStr">
        <is>
          <t>T-2022-P9-0008</t>
        </is>
      </c>
      <c r="B1863" t="inlineStr">
        <is>
          <t>MPSES</t>
        </is>
      </c>
      <c r="C1863" t="inlineStr">
        <is>
          <t>Driver</t>
        </is>
      </c>
      <c r="D1863" t="inlineStr">
        <is>
          <t>Chauffeur</t>
        </is>
      </c>
      <c r="E1863" t="inlineStr">
        <is>
          <t>Michel Gendreau</t>
        </is>
      </c>
      <c r="F1863" t="inlineStr">
        <is>
          <t>Drive the Minister from Ottawa to her riding</t>
        </is>
      </c>
      <c r="G1863" t="inlineStr">
        <is>
          <t>Conduire la ministre d'Ottawa à sa circonscription</t>
        </is>
      </c>
      <c r="H1863" s="1" t="n">
        <v>44889</v>
      </c>
      <c r="I1863" s="1" t="n">
        <v>44889</v>
      </c>
      <c r="J1863" t="inlineStr">
        <is>
          <t>Sherbrooke (Quebec) Canada</t>
        </is>
      </c>
      <c r="K1863" t="inlineStr">
        <is>
          <t>Sherbrooke (Québec) Canada</t>
        </is>
      </c>
      <c r="P1863" t="n">
        <v>0</v>
      </c>
      <c r="Q1863" t="n">
        <v>6</v>
      </c>
      <c r="R1863" t="n">
        <v>0</v>
      </c>
      <c r="S1863" t="n">
        <v>56.6</v>
      </c>
      <c r="T1863" t="n">
        <v>0</v>
      </c>
      <c r="U1863" t="n">
        <v>62.6</v>
      </c>
      <c r="V1863" t="inlineStr">
        <is>
          <t>No conference fee</t>
        </is>
      </c>
      <c r="W1863" t="inlineStr">
        <is>
          <t>Pas de frais de conférence</t>
        </is>
      </c>
      <c r="X1863" t="inlineStr">
        <is>
          <t>aafc-aac</t>
        </is>
      </c>
      <c r="Y1863" t="inlineStr">
        <is>
          <t>Agriculture and Agri-Food Canada | Agriculture et Agroalimentaire Canada</t>
        </is>
      </c>
      <c r="Z1863" t="n">
        <v>1</v>
      </c>
      <c r="AA1863" t="n">
        <v>62.6</v>
      </c>
      <c r="AB1863">
        <f>ROUND(U1863-AA1863,2)</f>
        <v/>
      </c>
      <c r="AC1863" t="b">
        <v>0</v>
      </c>
      <c r="AD1863">
        <f>IF(U1863="","MISSING_TOTAL",IF(ABS(AB1863)&lt;=0.01,"OK","CHECK"))</f>
        <v/>
      </c>
      <c r="AE1863">
        <f>IF(U1863="","MISSING",IF(AND(AA1863&gt;0,U1863/AA1863&gt;50),"POSSIBLE_SCALE_ERROR","OK"))</f>
        <v/>
      </c>
    </row>
    <row r="1864">
      <c r="A1864" t="inlineStr">
        <is>
          <t>T-2022-P9-0009</t>
        </is>
      </c>
      <c r="B1864" t="inlineStr">
        <is>
          <t>MPSES</t>
        </is>
      </c>
      <c r="C1864" t="inlineStr">
        <is>
          <t>Driver</t>
        </is>
      </c>
      <c r="D1864" t="inlineStr">
        <is>
          <t>Chauffeur</t>
        </is>
      </c>
      <c r="E1864" t="inlineStr">
        <is>
          <t>Michel Gendreau</t>
        </is>
      </c>
      <c r="F1864" t="inlineStr">
        <is>
          <t>Drive the Minister from her riding to Ottawa</t>
        </is>
      </c>
      <c r="G1864" t="inlineStr">
        <is>
          <t>Conduire la ministre de sa circonscription à Ottawa</t>
        </is>
      </c>
      <c r="H1864" s="1" t="n">
        <v>44892</v>
      </c>
      <c r="I1864" s="1" t="n">
        <v>44892</v>
      </c>
      <c r="J1864" t="inlineStr">
        <is>
          <t>Sherbrooke (Quebec) Canada</t>
        </is>
      </c>
      <c r="K1864" t="inlineStr">
        <is>
          <t>Sherbrooke (Québec) Canada</t>
        </is>
      </c>
      <c r="P1864" t="n">
        <v>0</v>
      </c>
      <c r="Q1864" t="n">
        <v>6</v>
      </c>
      <c r="R1864" t="n">
        <v>121.38</v>
      </c>
      <c r="S1864" t="n">
        <v>79.40000000000001</v>
      </c>
      <c r="T1864" t="n">
        <v>0</v>
      </c>
      <c r="U1864" t="n">
        <v>206.78</v>
      </c>
      <c r="V1864" t="inlineStr">
        <is>
          <t>No conference fee</t>
        </is>
      </c>
      <c r="W1864" t="inlineStr">
        <is>
          <t>Pas de frais de conférence</t>
        </is>
      </c>
      <c r="X1864" t="inlineStr">
        <is>
          <t>aafc-aac</t>
        </is>
      </c>
      <c r="Y1864" t="inlineStr">
        <is>
          <t>Agriculture and Agri-Food Canada | Agriculture et Agroalimentaire Canada</t>
        </is>
      </c>
      <c r="Z1864" t="n">
        <v>1</v>
      </c>
      <c r="AA1864" t="n">
        <v>206.78</v>
      </c>
      <c r="AB1864">
        <f>ROUND(U1864-AA1864,2)</f>
        <v/>
      </c>
      <c r="AC1864" t="b">
        <v>0</v>
      </c>
      <c r="AD1864">
        <f>IF(U1864="","MISSING_TOTAL",IF(ABS(AB1864)&lt;=0.01,"OK","CHECK"))</f>
        <v/>
      </c>
      <c r="AE1864">
        <f>IF(U1864="","MISSING",IF(AND(AA1864&gt;0,U1864/AA1864&gt;50),"POSSIBLE_SCALE_ERROR","OK"))</f>
        <v/>
      </c>
    </row>
    <row r="1865">
      <c r="A1865" t="inlineStr">
        <is>
          <t>T-2022-P9-0010</t>
        </is>
      </c>
      <c r="B1865" t="inlineStr">
        <is>
          <t>MPSES</t>
        </is>
      </c>
      <c r="C1865" t="inlineStr">
        <is>
          <t>Driver</t>
        </is>
      </c>
      <c r="D1865" t="inlineStr">
        <is>
          <t>Chauffeur</t>
        </is>
      </c>
      <c r="E1865" t="inlineStr">
        <is>
          <t>Michel Gendreau</t>
        </is>
      </c>
      <c r="F1865" t="inlineStr">
        <is>
          <t>Drive the Minister to participate in the Union des producteurs agricoles Annual General Congress meeting</t>
        </is>
      </c>
      <c r="G1865" t="inlineStr">
        <is>
          <t>Conduire la ministre pour participer à la réunion du congrès général annuel de l'Union des producteurs agricoles.</t>
        </is>
      </c>
      <c r="H1865" s="1" t="n">
        <v>44894</v>
      </c>
      <c r="I1865" s="1" t="n">
        <v>44895</v>
      </c>
      <c r="J1865" t="inlineStr">
        <is>
          <t>Québec (Quebec) Canada</t>
        </is>
      </c>
      <c r="K1865" t="inlineStr">
        <is>
          <t>Québec (Québec) Canada</t>
        </is>
      </c>
      <c r="P1865" t="n">
        <v>0</v>
      </c>
      <c r="Q1865" t="n">
        <v>13</v>
      </c>
      <c r="R1865" t="n">
        <v>159.46</v>
      </c>
      <c r="S1865" t="n">
        <v>102.45</v>
      </c>
      <c r="T1865" t="n">
        <v>0</v>
      </c>
      <c r="U1865" t="n">
        <v>274.91</v>
      </c>
      <c r="V1865" t="inlineStr">
        <is>
          <t>No conference fee</t>
        </is>
      </c>
      <c r="W1865" t="inlineStr">
        <is>
          <t>Pas de frais de conférence</t>
        </is>
      </c>
      <c r="X1865" t="inlineStr">
        <is>
          <t>aafc-aac</t>
        </is>
      </c>
      <c r="Y1865" t="inlineStr">
        <is>
          <t>Agriculture and Agri-Food Canada | Agriculture et Agroalimentaire Canada</t>
        </is>
      </c>
      <c r="Z1865" t="n">
        <v>2</v>
      </c>
      <c r="AA1865" t="n">
        <v>274.91</v>
      </c>
      <c r="AB1865">
        <f>ROUND(U1865-AA1865,2)</f>
        <v/>
      </c>
      <c r="AC1865" t="b">
        <v>0</v>
      </c>
      <c r="AD1865">
        <f>IF(U1865="","MISSING_TOTAL",IF(ABS(AB1865)&lt;=0.01,"OK","CHECK"))</f>
        <v/>
      </c>
      <c r="AE1865">
        <f>IF(U1865="","MISSING",IF(AND(AA1865&gt;0,U1865/AA1865&gt;50),"POSSIBLE_SCALE_ERROR","OK"))</f>
        <v/>
      </c>
    </row>
    <row r="1866">
      <c r="A1866" t="inlineStr">
        <is>
          <t>T-2022-P9-0011</t>
        </is>
      </c>
      <c r="B1866" t="inlineStr">
        <is>
          <t>MPSES</t>
        </is>
      </c>
      <c r="C1866" t="inlineStr">
        <is>
          <t>Driver</t>
        </is>
      </c>
      <c r="D1866" t="inlineStr">
        <is>
          <t>Chauffeur</t>
        </is>
      </c>
      <c r="E1866" t="inlineStr">
        <is>
          <t>Michel Gendreau</t>
        </is>
      </c>
      <c r="F1866" t="inlineStr">
        <is>
          <t>Drive the Minister from Ottawa to her riding and to Montreal airport for flight</t>
        </is>
      </c>
      <c r="G1866" t="inlineStr">
        <is>
          <t>Conduire la ministre d'Ottawa à sa circonscription et à l'aéroport de Montréal pour son vol.</t>
        </is>
      </c>
      <c r="H1866" s="1" t="n">
        <v>44896</v>
      </c>
      <c r="I1866" s="1" t="n">
        <v>44897</v>
      </c>
      <c r="J1866" t="inlineStr">
        <is>
          <t>Sherbrooke (Quebec) Canada
Montréal (Quebec) Canada</t>
        </is>
      </c>
      <c r="K1866" t="inlineStr">
        <is>
          <t>Sherbrooke (Québec) Canada
Montréal (Québec) Canada</t>
        </is>
      </c>
      <c r="P1866" t="n">
        <v>0</v>
      </c>
      <c r="Q1866" t="n">
        <v>3</v>
      </c>
      <c r="R1866" t="n">
        <v>121.38</v>
      </c>
      <c r="S1866" t="n">
        <v>159.05</v>
      </c>
      <c r="T1866" t="n">
        <v>0</v>
      </c>
      <c r="U1866" t="n">
        <v>283.43</v>
      </c>
      <c r="V1866" t="inlineStr">
        <is>
          <t>No conference fee</t>
        </is>
      </c>
      <c r="W1866" t="inlineStr">
        <is>
          <t>Pas de frais de conférence</t>
        </is>
      </c>
      <c r="X1866" t="inlineStr">
        <is>
          <t>aafc-aac</t>
        </is>
      </c>
      <c r="Y1866" t="inlineStr">
        <is>
          <t>Agriculture and Agri-Food Canada | Agriculture et Agroalimentaire Canada</t>
        </is>
      </c>
      <c r="Z1866" t="n">
        <v>2</v>
      </c>
      <c r="AA1866" t="n">
        <v>283.43</v>
      </c>
      <c r="AB1866">
        <f>ROUND(U1866-AA1866,2)</f>
        <v/>
      </c>
      <c r="AC1866" t="b">
        <v>0</v>
      </c>
      <c r="AD1866">
        <f>IF(U1866="","MISSING_TOTAL",IF(ABS(AB1866)&lt;=0.01,"OK","CHECK"))</f>
        <v/>
      </c>
      <c r="AE1866">
        <f>IF(U1866="","MISSING",IF(AND(AA1866&gt;0,U1866/AA1866&gt;50),"POSSIBLE_SCALE_ERROR","OK"))</f>
        <v/>
      </c>
    </row>
    <row r="1867">
      <c r="A1867" t="inlineStr">
        <is>
          <t>T-2022-P9-0012</t>
        </is>
      </c>
      <c r="B1867" t="inlineStr">
        <is>
          <t>MPSES</t>
        </is>
      </c>
      <c r="C1867" t="inlineStr">
        <is>
          <t>Policy Advisor</t>
        </is>
      </c>
      <c r="D1867" t="inlineStr">
        <is>
          <t>Conseillère en politiques</t>
        </is>
      </c>
      <c r="E1867" t="inlineStr">
        <is>
          <t>Christine Harvey</t>
        </is>
      </c>
      <c r="F1867" t="inlineStr">
        <is>
          <t>To support the Minister to participate in the Union des producteurs agricoles Annual General Congress meeting</t>
        </is>
      </c>
      <c r="G1867" t="inlineStr">
        <is>
          <t>Soutenir la participation de la ministre au congrès annuel de l'Union des producteurs agricoles.</t>
        </is>
      </c>
      <c r="H1867" s="1" t="n">
        <v>44894</v>
      </c>
      <c r="I1867" s="1" t="n">
        <v>44894</v>
      </c>
      <c r="J1867" t="inlineStr">
        <is>
          <t>Québec (Quebec) Canada</t>
        </is>
      </c>
      <c r="K1867" t="inlineStr">
        <is>
          <t>Québec (Québec) Canada</t>
        </is>
      </c>
      <c r="P1867" t="n">
        <v>0</v>
      </c>
      <c r="Q1867" t="n">
        <v>156.37</v>
      </c>
      <c r="R1867" t="n">
        <v>159.46</v>
      </c>
      <c r="S1867" t="n">
        <v>159.05</v>
      </c>
      <c r="T1867" t="n">
        <v>0</v>
      </c>
      <c r="U1867" t="n">
        <v>474.88</v>
      </c>
      <c r="V1867" t="inlineStr">
        <is>
          <t>No Conference Fees</t>
        </is>
      </c>
      <c r="W1867" t="inlineStr">
        <is>
          <t>Pas de frais de conférence</t>
        </is>
      </c>
      <c r="X1867" t="inlineStr">
        <is>
          <t>aafc-aac</t>
        </is>
      </c>
      <c r="Y1867" t="inlineStr">
        <is>
          <t>Agriculture and Agri-Food Canada | Agriculture et Agroalimentaire Canada</t>
        </is>
      </c>
      <c r="Z1867" t="n">
        <v>1</v>
      </c>
      <c r="AA1867" t="n">
        <v>474.88</v>
      </c>
      <c r="AB1867">
        <f>ROUND(U1867-AA1867,2)</f>
        <v/>
      </c>
      <c r="AC1867" t="b">
        <v>0</v>
      </c>
      <c r="AD1867">
        <f>IF(U1867="","MISSING_TOTAL",IF(ABS(AB1867)&lt;=0.01,"OK","CHECK"))</f>
        <v/>
      </c>
      <c r="AE1867">
        <f>IF(U1867="","MISSING",IF(AND(AA1867&gt;0,U1867/AA1867&gt;50),"POSSIBLE_SCALE_ERROR","OK"))</f>
        <v/>
      </c>
    </row>
    <row r="1868">
      <c r="A1868" t="inlineStr">
        <is>
          <t>T-2022-P9-0013</t>
        </is>
      </c>
      <c r="B1868" t="inlineStr">
        <is>
          <t>MPSES</t>
        </is>
      </c>
      <c r="C1868" t="inlineStr">
        <is>
          <t>Deputy Minister</t>
        </is>
      </c>
      <c r="D1868" t="inlineStr">
        <is>
          <t>Sous-ministre</t>
        </is>
      </c>
      <c r="E1868" t="inlineStr">
        <is>
          <t>Chris Forbes</t>
        </is>
      </c>
      <c r="F1868" t="inlineStr">
        <is>
          <t>To attend the Pacific Alliance Summit</t>
        </is>
      </c>
      <c r="G1868" t="inlineStr">
        <is>
          <t>Pour assister au Sommet de l’Alliance du Pacifique</t>
        </is>
      </c>
      <c r="H1868" s="1" t="n">
        <v>44886</v>
      </c>
      <c r="I1868" s="1" t="n">
        <v>44889</v>
      </c>
      <c r="J1868" t="inlineStr">
        <is>
          <t>Mexico City, Mexico</t>
        </is>
      </c>
      <c r="K1868" t="inlineStr">
        <is>
          <t>Ville de Mexico, Mexique</t>
        </is>
      </c>
      <c r="P1868" t="n">
        <v>4526.53</v>
      </c>
      <c r="Q1868" t="n">
        <v>126.18</v>
      </c>
      <c r="R1868" t="n">
        <v>1058.98</v>
      </c>
      <c r="S1868" t="n">
        <v>259.08</v>
      </c>
      <c r="T1868" t="n">
        <v>0</v>
      </c>
      <c r="U1868" t="n">
        <v>5970.77</v>
      </c>
      <c r="V1868" t="inlineStr">
        <is>
          <t>No Conference Fees</t>
        </is>
      </c>
      <c r="W1868" t="inlineStr">
        <is>
          <t>Pas de frais de conférence</t>
        </is>
      </c>
      <c r="X1868" t="inlineStr">
        <is>
          <t>aafc-aac</t>
        </is>
      </c>
      <c r="Y1868" t="inlineStr">
        <is>
          <t>Agriculture and Agri-Food Canada | Agriculture et Agroalimentaire Canada</t>
        </is>
      </c>
      <c r="Z1868" t="n">
        <v>4</v>
      </c>
      <c r="AA1868" t="n">
        <v>5970.77</v>
      </c>
      <c r="AB1868">
        <f>ROUND(U1868-AA1868,2)</f>
        <v/>
      </c>
      <c r="AC1868" t="b">
        <v>0</v>
      </c>
      <c r="AD1868">
        <f>IF(U1868="","MISSING_TOTAL",IF(ABS(AB1868)&lt;=0.01,"OK","CHECK"))</f>
        <v/>
      </c>
      <c r="AE1868">
        <f>IF(U1868="","MISSING",IF(AND(AA1868&gt;0,U1868/AA1868&gt;50),"POSSIBLE_SCALE_ERROR","OK"))</f>
        <v/>
      </c>
    </row>
    <row r="1869">
      <c r="A1869" t="inlineStr">
        <is>
          <t>T-2022-P9-0014</t>
        </is>
      </c>
      <c r="B1869" t="inlineStr">
        <is>
          <t>MPSES</t>
        </is>
      </c>
      <c r="C1869" t="inlineStr">
        <is>
          <t>Deputy Minister</t>
        </is>
      </c>
      <c r="D1869" t="inlineStr">
        <is>
          <t>Sous-ministre</t>
        </is>
      </c>
      <c r="E1869" t="inlineStr">
        <is>
          <t>Chris Forbes</t>
        </is>
      </c>
      <c r="F1869" t="inlineStr">
        <is>
          <t>To attend the Next Green Revolution</t>
        </is>
      </c>
      <c r="G1869" t="inlineStr">
        <is>
          <t>Pour assister à la prochaine révolution verte</t>
        </is>
      </c>
      <c r="H1869" s="1" t="n">
        <v>44896</v>
      </c>
      <c r="I1869" s="1" t="n">
        <v>44896</v>
      </c>
      <c r="J1869" t="inlineStr">
        <is>
          <t>Toronto (Ontario) Canada</t>
        </is>
      </c>
      <c r="K1869" t="inlineStr">
        <is>
          <t>Toronto (Ontario) Canada</t>
        </is>
      </c>
      <c r="P1869" t="n">
        <v>1121.83</v>
      </c>
      <c r="Q1869" t="n">
        <v>24</v>
      </c>
      <c r="R1869" t="n">
        <v>0</v>
      </c>
      <c r="S1869" t="n">
        <v>102.45</v>
      </c>
      <c r="T1869" t="n">
        <v>0</v>
      </c>
      <c r="U1869" t="n">
        <v>1248.28</v>
      </c>
      <c r="V1869" t="inlineStr">
        <is>
          <t>No Conference Fees</t>
        </is>
      </c>
      <c r="W1869" t="inlineStr">
        <is>
          <t>Pas de frais de conférence</t>
        </is>
      </c>
      <c r="X1869" t="inlineStr">
        <is>
          <t>aafc-aac</t>
        </is>
      </c>
      <c r="Y1869" t="inlineStr">
        <is>
          <t>Agriculture and Agri-Food Canada | Agriculture et Agroalimentaire Canada</t>
        </is>
      </c>
      <c r="Z1869" t="n">
        <v>1</v>
      </c>
      <c r="AA1869" t="n">
        <v>1248.28</v>
      </c>
      <c r="AB1869">
        <f>ROUND(U1869-AA1869,2)</f>
        <v/>
      </c>
      <c r="AC1869" t="b">
        <v>0</v>
      </c>
      <c r="AD1869">
        <f>IF(U1869="","MISSING_TOTAL",IF(ABS(AB1869)&lt;=0.01,"OK","CHECK"))</f>
        <v/>
      </c>
      <c r="AE1869">
        <f>IF(U1869="","MISSING",IF(AND(AA1869&gt;0,U1869/AA1869&gt;50),"POSSIBLE_SCALE_ERROR","OK"))</f>
        <v/>
      </c>
    </row>
    <row r="1870">
      <c r="A1870" t="inlineStr">
        <is>
          <t>T-2022-P9-0015</t>
        </is>
      </c>
      <c r="B1870" t="inlineStr">
        <is>
          <t>SLE</t>
        </is>
      </c>
      <c r="C1870" t="inlineStr">
        <is>
          <t>Corporate Secretary</t>
        </is>
      </c>
      <c r="D1870" t="inlineStr">
        <is>
          <t>Secrétaire générale</t>
        </is>
      </c>
      <c r="E1870" t="inlineStr">
        <is>
          <t>Tamara Abel</t>
        </is>
      </c>
      <c r="F1870" t="inlineStr">
        <is>
          <t>Operational activities</t>
        </is>
      </c>
      <c r="G1870" t="inlineStr">
        <is>
          <t>Activités opérationnelles</t>
        </is>
      </c>
      <c r="H1870" s="1" t="n">
        <v>44893</v>
      </c>
      <c r="I1870" s="1" t="n">
        <v>44897</v>
      </c>
      <c r="J1870" t="inlineStr">
        <is>
          <t>Ottawa (Ontario) Canada</t>
        </is>
      </c>
      <c r="K1870" t="inlineStr">
        <is>
          <t>Ottawa (Ontario) Canada</t>
        </is>
      </c>
      <c r="P1870" t="n">
        <v>822.0599999999999</v>
      </c>
      <c r="Q1870" t="n">
        <v>339.16</v>
      </c>
      <c r="R1870" t="n">
        <v>982.48</v>
      </c>
      <c r="S1870" t="n">
        <v>496.3</v>
      </c>
      <c r="T1870" t="n">
        <v>0</v>
      </c>
      <c r="U1870" t="n">
        <v>2640</v>
      </c>
      <c r="V1870" t="inlineStr">
        <is>
          <t>No Conference Fees</t>
        </is>
      </c>
      <c r="W1870" t="inlineStr">
        <is>
          <t>Pas de frais de conférence</t>
        </is>
      </c>
      <c r="X1870" t="inlineStr">
        <is>
          <t>aafc-aac</t>
        </is>
      </c>
      <c r="Y1870" t="inlineStr">
        <is>
          <t>Agriculture and Agri-Food Canada | Agriculture et Agroalimentaire Canada</t>
        </is>
      </c>
      <c r="Z1870" t="n">
        <v>5</v>
      </c>
      <c r="AA1870" t="n">
        <v>2640</v>
      </c>
      <c r="AB1870">
        <f>ROUND(U1870-AA1870,2)</f>
        <v/>
      </c>
      <c r="AC1870" t="b">
        <v>0</v>
      </c>
      <c r="AD1870">
        <f>IF(U1870="","MISSING_TOTAL",IF(ABS(AB1870)&lt;=0.01,"OK","CHECK"))</f>
        <v/>
      </c>
      <c r="AE1870">
        <f>IF(U1870="","MISSING",IF(AND(AA1870&gt;0,U1870/AA1870&gt;50),"POSSIBLE_SCALE_ERROR","OK"))</f>
        <v/>
      </c>
    </row>
    <row r="1871">
      <c r="A1871" t="inlineStr">
        <is>
          <t>T-2022-P9-0016</t>
        </is>
      </c>
      <c r="B1871" t="inlineStr">
        <is>
          <t>SLE</t>
        </is>
      </c>
      <c r="C1871" t="inlineStr">
        <is>
          <t>Assistant Deputy Minister, Science and Technology Branch</t>
        </is>
      </c>
      <c r="D1871" t="inlineStr">
        <is>
          <t>Sous-ministre adjoint, Direction générale des sciences et de la technologie</t>
        </is>
      </c>
      <c r="E1871" t="inlineStr">
        <is>
          <t>Gilles Saindon</t>
        </is>
      </c>
      <c r="F1871" t="inlineStr">
        <is>
          <t>Attend the Governing Body meeting of the Organisation for Economic Co-operation and Development; and Mission to Europe.</t>
        </is>
      </c>
      <c r="G1871" t="inlineStr">
        <is>
          <t>Participer à la réunion du Conseil d'administration de l'Organisation de coopération et de développement économiques ; et Mission en Europe.</t>
        </is>
      </c>
      <c r="H1871" s="1" t="n">
        <v>44898</v>
      </c>
      <c r="I1871" s="1" t="n">
        <v>44905</v>
      </c>
      <c r="J1871" t="inlineStr">
        <is>
          <t>Paris, France; The Hague, Netherlands, Brussels, Belgium</t>
        </is>
      </c>
      <c r="K1871" t="inlineStr">
        <is>
          <t>Paris, France; La Haye, Pays-Bas; Bruxelles, Belgique</t>
        </is>
      </c>
      <c r="P1871" t="n">
        <v>3104.66</v>
      </c>
      <c r="Q1871" t="n">
        <v>2339.4</v>
      </c>
      <c r="R1871" t="n">
        <v>2146.69</v>
      </c>
      <c r="S1871" t="n">
        <v>1528.3</v>
      </c>
      <c r="T1871" t="n">
        <v>0</v>
      </c>
      <c r="U1871" t="n">
        <v>9119.049999999999</v>
      </c>
      <c r="X1871" t="inlineStr">
        <is>
          <t>aafc-aac</t>
        </is>
      </c>
      <c r="Y1871" t="inlineStr">
        <is>
          <t>Agriculture and Agri-Food Canada | Agriculture et Agroalimentaire Canada</t>
        </is>
      </c>
      <c r="Z1871" t="n">
        <v>8</v>
      </c>
      <c r="AA1871" t="n">
        <v>9119.049999999999</v>
      </c>
      <c r="AB1871">
        <f>ROUND(U1871-AA1871,2)</f>
        <v/>
      </c>
      <c r="AC1871" t="b">
        <v>0</v>
      </c>
      <c r="AD1871">
        <f>IF(U1871="","MISSING_TOTAL",IF(ABS(AB1871)&lt;=0.01,"OK","CHECK"))</f>
        <v/>
      </c>
      <c r="AE1871">
        <f>IF(U1871="","MISSING",IF(AND(AA1871&gt;0,U1871/AA1871&gt;50),"POSSIBLE_SCALE_ERROR","OK"))</f>
        <v/>
      </c>
    </row>
    <row r="1872">
      <c r="A1872" t="inlineStr">
        <is>
          <t>T-2022-P9-0017</t>
        </is>
      </c>
      <c r="B1872" t="inlineStr">
        <is>
          <t>SLE</t>
        </is>
      </c>
      <c r="C1872" t="inlineStr">
        <is>
          <t>Associate Assistant Deputy Minister, Science and Technology Branch</t>
        </is>
      </c>
      <c r="D1872" t="inlineStr">
        <is>
          <t>Sous-ministre adjoint délégué, Direction générale des sciences et de la technologie</t>
        </is>
      </c>
      <c r="E1872" t="inlineStr">
        <is>
          <t>Andrew Goldstein</t>
        </is>
      </c>
      <c r="F1872" t="inlineStr">
        <is>
          <t>Visit the Harrow (Ontario) and London (Ontario) Research and Development Centres</t>
        </is>
      </c>
      <c r="G1872" t="inlineStr">
        <is>
          <t>Visitez les centres de recherche et de développement à Harrow (Ontario) et à London (Ontario).</t>
        </is>
      </c>
      <c r="H1872" s="1" t="n">
        <v>44909</v>
      </c>
      <c r="I1872" s="1" t="n">
        <v>44911</v>
      </c>
      <c r="J1872" t="inlineStr">
        <is>
          <t>Harrow (Ontario) Canada, London (Ontario) Canada</t>
        </is>
      </c>
      <c r="K1872" t="inlineStr">
        <is>
          <t>Harrow (Ontario) Canada, London (Ontario) Canada</t>
        </is>
      </c>
      <c r="P1872" t="n">
        <v>0</v>
      </c>
      <c r="Q1872" t="n">
        <v>425.16</v>
      </c>
      <c r="R1872" t="n">
        <v>151.45</v>
      </c>
      <c r="S1872" t="n">
        <v>234</v>
      </c>
      <c r="T1872" t="n">
        <v>0</v>
      </c>
      <c r="U1872" t="n">
        <v>810.61</v>
      </c>
      <c r="X1872" t="inlineStr">
        <is>
          <t>aafc-aac</t>
        </is>
      </c>
      <c r="Y1872" t="inlineStr">
        <is>
          <t>Agriculture and Agri-Food Canada | Agriculture et Agroalimentaire Canada</t>
        </is>
      </c>
      <c r="Z1872" t="n">
        <v>3</v>
      </c>
      <c r="AA1872" t="n">
        <v>810.61</v>
      </c>
      <c r="AB1872">
        <f>ROUND(U1872-AA1872,2)</f>
        <v/>
      </c>
      <c r="AC1872" t="b">
        <v>0</v>
      </c>
      <c r="AD1872">
        <f>IF(U1872="","MISSING_TOTAL",IF(ABS(AB1872)&lt;=0.01,"OK","CHECK"))</f>
        <v/>
      </c>
      <c r="AE1872">
        <f>IF(U1872="","MISSING",IF(AND(AA1872&gt;0,U1872/AA1872&gt;50),"POSSIBLE_SCALE_ERROR","OK"))</f>
        <v/>
      </c>
    </row>
    <row r="1873">
      <c r="A1873" t="inlineStr">
        <is>
          <t>T-2022-P9-0018</t>
        </is>
      </c>
      <c r="B1873" t="inlineStr">
        <is>
          <t>SLE</t>
        </is>
      </c>
      <c r="C1873" t="inlineStr">
        <is>
          <t>Assistant Deputy Minister, Corporate Management Branch</t>
        </is>
      </c>
      <c r="D1873" t="inlineStr">
        <is>
          <t>Sous-ministre adjointe, Direction générale de la gestion intégrée</t>
        </is>
      </c>
      <c r="E1873" t="inlineStr">
        <is>
          <t>Marie-Claude Guérard</t>
        </is>
      </c>
      <c r="F1873" t="inlineStr">
        <is>
          <t>Meetings in Ottawa</t>
        </is>
      </c>
      <c r="G1873" t="inlineStr">
        <is>
          <t>Rencontres à Ottawa</t>
        </is>
      </c>
      <c r="H1873" s="1" t="n">
        <v>44879</v>
      </c>
      <c r="I1873" s="1" t="n">
        <v>44879</v>
      </c>
      <c r="J1873" t="inlineStr">
        <is>
          <t>Ottawa (Ontario) Canada</t>
        </is>
      </c>
      <c r="K1873" t="inlineStr">
        <is>
          <t>Ottawa (Ontario) Canada</t>
        </is>
      </c>
      <c r="P1873" t="n">
        <v>0</v>
      </c>
      <c r="Q1873" t="n">
        <v>327.17</v>
      </c>
      <c r="R1873" t="n">
        <v>0</v>
      </c>
      <c r="S1873" t="n">
        <v>23.05</v>
      </c>
      <c r="T1873" t="n">
        <v>0</v>
      </c>
      <c r="U1873" t="n">
        <v>350.22</v>
      </c>
      <c r="X1873" t="inlineStr">
        <is>
          <t>aafc-aac</t>
        </is>
      </c>
      <c r="Y1873" t="inlineStr">
        <is>
          <t>Agriculture and Agri-Food Canada | Agriculture et Agroalimentaire Canada</t>
        </is>
      </c>
      <c r="Z1873" t="n">
        <v>1</v>
      </c>
      <c r="AA1873" t="n">
        <v>350.22</v>
      </c>
      <c r="AB1873">
        <f>ROUND(U1873-AA1873,2)</f>
        <v/>
      </c>
      <c r="AC1873" t="b">
        <v>0</v>
      </c>
      <c r="AD1873">
        <f>IF(U1873="","MISSING_TOTAL",IF(ABS(AB1873)&lt;=0.01,"OK","CHECK"))</f>
        <v/>
      </c>
      <c r="AE1873">
        <f>IF(U1873="","MISSING",IF(AND(AA1873&gt;0,U1873/AA1873&gt;50),"POSSIBLE_SCALE_ERROR","OK"))</f>
        <v/>
      </c>
    </row>
    <row r="1874">
      <c r="A1874" t="inlineStr">
        <is>
          <t>T-2022-P9-0019</t>
        </is>
      </c>
      <c r="B1874" t="inlineStr">
        <is>
          <t>SLE</t>
        </is>
      </c>
      <c r="C1874" t="inlineStr">
        <is>
          <t>Assistant Deputy Minister, Corporate Management Branch</t>
        </is>
      </c>
      <c r="D1874" t="inlineStr">
        <is>
          <t>Sous-ministre adjointe, Direction générale de la gestion intégrée</t>
        </is>
      </c>
      <c r="E1874" t="inlineStr">
        <is>
          <t>Marie-Claude Guérard</t>
        </is>
      </c>
      <c r="F1874" t="inlineStr">
        <is>
          <t>Meetings in Ottawa</t>
        </is>
      </c>
      <c r="G1874" t="inlineStr">
        <is>
          <t>Rencontres à Ottawa</t>
        </is>
      </c>
      <c r="H1874" s="1" t="n">
        <v>44887</v>
      </c>
      <c r="I1874" s="1" t="n">
        <v>44887</v>
      </c>
      <c r="J1874" t="inlineStr">
        <is>
          <t>Ottawa (Ontario) Canada</t>
        </is>
      </c>
      <c r="K1874" t="inlineStr">
        <is>
          <t>Ottawa (Ontario) Canada</t>
        </is>
      </c>
      <c r="P1874" t="n">
        <v>0</v>
      </c>
      <c r="Q1874" t="n">
        <v>507.09</v>
      </c>
      <c r="R1874" t="n">
        <v>0</v>
      </c>
      <c r="S1874" t="n">
        <v>0</v>
      </c>
      <c r="T1874" t="n">
        <v>0</v>
      </c>
      <c r="U1874" t="n">
        <v>507.09</v>
      </c>
      <c r="X1874" t="inlineStr">
        <is>
          <t>aafc-aac</t>
        </is>
      </c>
      <c r="Y1874" t="inlineStr">
        <is>
          <t>Agriculture and Agri-Food Canada | Agriculture et Agroalimentaire Canada</t>
        </is>
      </c>
      <c r="Z1874" t="n">
        <v>1</v>
      </c>
      <c r="AA1874" t="n">
        <v>507.09</v>
      </c>
      <c r="AB1874">
        <f>ROUND(U1874-AA1874,2)</f>
        <v/>
      </c>
      <c r="AC1874" t="b">
        <v>0</v>
      </c>
      <c r="AD1874">
        <f>IF(U1874="","MISSING_TOTAL",IF(ABS(AB1874)&lt;=0.01,"OK","CHECK"))</f>
        <v/>
      </c>
      <c r="AE1874">
        <f>IF(U1874="","MISSING",IF(AND(AA1874&gt;0,U1874/AA1874&gt;50),"POSSIBLE_SCALE_ERROR","OK"))</f>
        <v/>
      </c>
    </row>
    <row r="1875">
      <c r="A1875" t="inlineStr">
        <is>
          <t>T-2022-P9-0020</t>
        </is>
      </c>
      <c r="B1875" t="inlineStr">
        <is>
          <t>SLE</t>
        </is>
      </c>
      <c r="C1875" t="inlineStr">
        <is>
          <t>Assistant Deputy Minister, Corporate Management Branch</t>
        </is>
      </c>
      <c r="D1875" t="inlineStr">
        <is>
          <t>Sous-ministre adjointe, Direction générale de la gestion intégrée</t>
        </is>
      </c>
      <c r="E1875" t="inlineStr">
        <is>
          <t>Marie-Claude Guérard</t>
        </is>
      </c>
      <c r="F1875" t="inlineStr">
        <is>
          <t>Meetings in Ottawa</t>
        </is>
      </c>
      <c r="G1875" t="inlineStr">
        <is>
          <t>Rencontres à Ottawa</t>
        </is>
      </c>
      <c r="H1875" s="1" t="n">
        <v>44890</v>
      </c>
      <c r="I1875" s="1" t="n">
        <v>44890</v>
      </c>
      <c r="J1875" t="inlineStr">
        <is>
          <t>Ottawa (Ontario) Canada</t>
        </is>
      </c>
      <c r="K1875" t="inlineStr">
        <is>
          <t>Ottawa (Ontario) Canada</t>
        </is>
      </c>
      <c r="P1875" t="n">
        <v>0</v>
      </c>
      <c r="Q1875" t="n">
        <v>349.16</v>
      </c>
      <c r="R1875" t="n">
        <v>0</v>
      </c>
      <c r="S1875" t="n">
        <v>23.05</v>
      </c>
      <c r="T1875" t="n">
        <v>0</v>
      </c>
      <c r="U1875" t="n">
        <v>372.21</v>
      </c>
      <c r="X1875" t="inlineStr">
        <is>
          <t>aafc-aac</t>
        </is>
      </c>
      <c r="Y1875" t="inlineStr">
        <is>
          <t>Agriculture and Agri-Food Canada | Agriculture et Agroalimentaire Canada</t>
        </is>
      </c>
      <c r="Z1875" t="n">
        <v>1</v>
      </c>
      <c r="AA1875" t="n">
        <v>372.21</v>
      </c>
      <c r="AB1875">
        <f>ROUND(U1875-AA1875,2)</f>
        <v/>
      </c>
      <c r="AC1875" t="b">
        <v>0</v>
      </c>
      <c r="AD1875">
        <f>IF(U1875="","MISSING_TOTAL",IF(ABS(AB1875)&lt;=0.01,"OK","CHECK"))</f>
        <v/>
      </c>
      <c r="AE1875">
        <f>IF(U1875="","MISSING",IF(AND(AA1875&gt;0,U1875/AA1875&gt;50),"POSSIBLE_SCALE_ERROR","OK"))</f>
        <v/>
      </c>
    </row>
    <row r="1876">
      <c r="A1876" t="inlineStr">
        <is>
          <t>T-2022-P9-0021</t>
        </is>
      </c>
      <c r="B1876" t="inlineStr">
        <is>
          <t>SLE</t>
        </is>
      </c>
      <c r="C1876" t="inlineStr">
        <is>
          <t>Assistant Deputy Minister, Corporate Management Branch</t>
        </is>
      </c>
      <c r="D1876" t="inlineStr">
        <is>
          <t>Sous-ministre adjointe, Direction générale de la gestion intégrée</t>
        </is>
      </c>
      <c r="E1876" t="inlineStr">
        <is>
          <t>Marie-Claude Guérard</t>
        </is>
      </c>
      <c r="F1876" t="inlineStr">
        <is>
          <t>Meetings in Ottawa</t>
        </is>
      </c>
      <c r="G1876" t="inlineStr">
        <is>
          <t>Rencontres à Ottawa</t>
        </is>
      </c>
      <c r="H1876" s="1" t="n">
        <v>44894</v>
      </c>
      <c r="I1876" s="1" t="n">
        <v>44894</v>
      </c>
      <c r="J1876" t="inlineStr">
        <is>
          <t>Ottawa (Ontario) Canada</t>
        </is>
      </c>
      <c r="K1876" t="inlineStr">
        <is>
          <t>Ottawa (Ontario) Canada</t>
        </is>
      </c>
      <c r="P1876" t="n">
        <v>0</v>
      </c>
      <c r="Q1876" t="n">
        <v>295.7</v>
      </c>
      <c r="R1876" t="n">
        <v>0</v>
      </c>
      <c r="S1876" t="n">
        <v>79.65000000000001</v>
      </c>
      <c r="T1876" t="n">
        <v>0</v>
      </c>
      <c r="U1876" t="n">
        <v>375.35</v>
      </c>
      <c r="X1876" t="inlineStr">
        <is>
          <t>aafc-aac</t>
        </is>
      </c>
      <c r="Y1876" t="inlineStr">
        <is>
          <t>Agriculture and Agri-Food Canada | Agriculture et Agroalimentaire Canada</t>
        </is>
      </c>
      <c r="Z1876" t="n">
        <v>1</v>
      </c>
      <c r="AA1876" t="n">
        <v>375.35</v>
      </c>
      <c r="AB1876">
        <f>ROUND(U1876-AA1876,2)</f>
        <v/>
      </c>
      <c r="AC1876" t="b">
        <v>0</v>
      </c>
      <c r="AD1876">
        <f>IF(U1876="","MISSING_TOTAL",IF(ABS(AB1876)&lt;=0.01,"OK","CHECK"))</f>
        <v/>
      </c>
      <c r="AE1876">
        <f>IF(U1876="","MISSING",IF(AND(AA1876&gt;0,U1876/AA1876&gt;50),"POSSIBLE_SCALE_ERROR","OK"))</f>
        <v/>
      </c>
    </row>
    <row r="1877">
      <c r="A1877" t="inlineStr">
        <is>
          <t>T-2022-P9-0022</t>
        </is>
      </c>
      <c r="B1877" t="inlineStr">
        <is>
          <t>SLE</t>
        </is>
      </c>
      <c r="C1877" t="inlineStr">
        <is>
          <t>Assistant Deputy Minister, Corporate Management Branch</t>
        </is>
      </c>
      <c r="D1877" t="inlineStr">
        <is>
          <t>Sous-ministre adjointe, Direction générale de la gestion intégrée</t>
        </is>
      </c>
      <c r="E1877" t="inlineStr">
        <is>
          <t>Marie-Claude Guérard</t>
        </is>
      </c>
      <c r="F1877" t="inlineStr">
        <is>
          <t>Meetings in Ottawa</t>
        </is>
      </c>
      <c r="G1877" t="inlineStr">
        <is>
          <t>Rencontres à Ottawa</t>
        </is>
      </c>
      <c r="H1877" s="1" t="n">
        <v>44902</v>
      </c>
      <c r="I1877" s="1" t="n">
        <v>44903</v>
      </c>
      <c r="J1877" t="inlineStr">
        <is>
          <t>Ottawa (Ontario) Canada</t>
        </is>
      </c>
      <c r="K1877" t="inlineStr">
        <is>
          <t>Ottawa (Ontario) Canada</t>
        </is>
      </c>
      <c r="P1877" t="n">
        <v>0</v>
      </c>
      <c r="Q1877" t="n">
        <v>921.24</v>
      </c>
      <c r="R1877" t="n">
        <v>453.74</v>
      </c>
      <c r="S1877" t="n">
        <v>160.1</v>
      </c>
      <c r="T1877" t="n">
        <v>0</v>
      </c>
      <c r="U1877" t="n">
        <v>1535.08</v>
      </c>
      <c r="X1877" t="inlineStr">
        <is>
          <t>aafc-aac</t>
        </is>
      </c>
      <c r="Y1877" t="inlineStr">
        <is>
          <t>Agriculture and Agri-Food Canada | Agriculture et Agroalimentaire Canada</t>
        </is>
      </c>
      <c r="Z1877" t="n">
        <v>2</v>
      </c>
      <c r="AA1877" t="n">
        <v>1535.08</v>
      </c>
      <c r="AB1877">
        <f>ROUND(U1877-AA1877,2)</f>
        <v/>
      </c>
      <c r="AC1877" t="b">
        <v>0</v>
      </c>
      <c r="AD1877">
        <f>IF(U1877="","MISSING_TOTAL",IF(ABS(AB1877)&lt;=0.01,"OK","CHECK"))</f>
        <v/>
      </c>
      <c r="AE1877">
        <f>IF(U1877="","MISSING",IF(AND(AA1877&gt;0,U1877/AA1877&gt;50),"POSSIBLE_SCALE_ERROR","OK"))</f>
        <v/>
      </c>
    </row>
    <row r="1878">
      <c r="A1878" t="inlineStr">
        <is>
          <t>T-2022-P9-0023</t>
        </is>
      </c>
      <c r="B1878" t="inlineStr">
        <is>
          <t>SLE</t>
        </is>
      </c>
      <c r="C1878" t="inlineStr">
        <is>
          <t>Assistant Deputy Minister, Corporate Management Branch</t>
        </is>
      </c>
      <c r="D1878" t="inlineStr">
        <is>
          <t>Sous-ministre adjointe, Direction générale de la gestion intégrée</t>
        </is>
      </c>
      <c r="E1878" t="inlineStr">
        <is>
          <t>Marie-Claude Guérard</t>
        </is>
      </c>
      <c r="F1878" t="inlineStr">
        <is>
          <t>Meetings in Ottawa</t>
        </is>
      </c>
      <c r="G1878" t="inlineStr">
        <is>
          <t>Rencontres à Ottawa</t>
        </is>
      </c>
      <c r="H1878" s="1" t="n">
        <v>44907</v>
      </c>
      <c r="I1878" s="1" t="n">
        <v>44910</v>
      </c>
      <c r="J1878" t="inlineStr">
        <is>
          <t>Ottawa (Ontario) Canada</t>
        </is>
      </c>
      <c r="K1878" t="inlineStr">
        <is>
          <t>Ottawa (Ontario) Canada</t>
        </is>
      </c>
      <c r="P1878" t="n">
        <v>0</v>
      </c>
      <c r="Q1878" t="n">
        <v>1266.38</v>
      </c>
      <c r="R1878" t="n">
        <v>935.4400000000001</v>
      </c>
      <c r="S1878" t="n">
        <v>410.1</v>
      </c>
      <c r="T1878" t="n">
        <v>0</v>
      </c>
      <c r="U1878" t="n">
        <v>2611.92</v>
      </c>
      <c r="X1878" t="inlineStr">
        <is>
          <t>aafc-aac</t>
        </is>
      </c>
      <c r="Y1878" t="inlineStr">
        <is>
          <t>Agriculture and Agri-Food Canada | Agriculture et Agroalimentaire Canada</t>
        </is>
      </c>
      <c r="Z1878" t="n">
        <v>4</v>
      </c>
      <c r="AA1878" t="n">
        <v>2611.92</v>
      </c>
      <c r="AB1878">
        <f>ROUND(U1878-AA1878,2)</f>
        <v/>
      </c>
      <c r="AC1878" t="b">
        <v>0</v>
      </c>
      <c r="AD1878">
        <f>IF(U1878="","MISSING_TOTAL",IF(ABS(AB1878)&lt;=0.01,"OK","CHECK"))</f>
        <v/>
      </c>
      <c r="AE1878">
        <f>IF(U1878="","MISSING",IF(AND(AA1878&gt;0,U1878/AA1878&gt;50),"POSSIBLE_SCALE_ERROR","OK"))</f>
        <v/>
      </c>
    </row>
    <row r="1879">
      <c r="A1879" t="inlineStr">
        <is>
          <t>T-2022-P9-0024</t>
        </is>
      </c>
      <c r="B1879" t="inlineStr">
        <is>
          <t>SLE</t>
        </is>
      </c>
      <c r="C1879" t="inlineStr">
        <is>
          <t>Assistant Deputy Minister, Public Affairs Branch</t>
        </is>
      </c>
      <c r="D1879" t="inlineStr">
        <is>
          <t>Sous-ministre adjointe, Direction générale des affaires publiques</t>
        </is>
      </c>
      <c r="E1879" t="inlineStr">
        <is>
          <t>Mary Dila</t>
        </is>
      </c>
      <c r="F1879" t="inlineStr">
        <is>
          <t>Attend the Winter Royal Fair</t>
        </is>
      </c>
      <c r="G1879" t="inlineStr">
        <is>
          <t>Participez à la foire royale d'hiver</t>
        </is>
      </c>
      <c r="H1879" s="1" t="n">
        <v>44874</v>
      </c>
      <c r="I1879" s="1" t="n">
        <v>44877</v>
      </c>
      <c r="J1879" t="inlineStr">
        <is>
          <t>Toronto (Ontario) Canada</t>
        </is>
      </c>
      <c r="K1879" t="inlineStr">
        <is>
          <t>Toronto (Ontario) Canada</t>
        </is>
      </c>
      <c r="P1879" t="n">
        <v>0</v>
      </c>
      <c r="Q1879" t="n">
        <v>455.37</v>
      </c>
      <c r="R1879" t="n">
        <v>0</v>
      </c>
      <c r="S1879" t="n">
        <v>274.1</v>
      </c>
      <c r="T1879" t="n">
        <v>0</v>
      </c>
      <c r="U1879" t="n">
        <v>729.47</v>
      </c>
      <c r="X1879" t="inlineStr">
        <is>
          <t>aafc-aac</t>
        </is>
      </c>
      <c r="Y1879" t="inlineStr">
        <is>
          <t>Agriculture and Agri-Food Canada | Agriculture et Agroalimentaire Canada</t>
        </is>
      </c>
      <c r="Z1879" t="n">
        <v>4</v>
      </c>
      <c r="AA1879" t="n">
        <v>729.47</v>
      </c>
      <c r="AB1879">
        <f>ROUND(U1879-AA1879,2)</f>
        <v/>
      </c>
      <c r="AC1879" t="b">
        <v>0</v>
      </c>
      <c r="AD1879">
        <f>IF(U1879="","MISSING_TOTAL",IF(ABS(AB1879)&lt;=0.01,"OK","CHECK"))</f>
        <v/>
      </c>
      <c r="AE1879">
        <f>IF(U1879="","MISSING",IF(AND(AA1879&gt;0,U1879/AA1879&gt;50),"POSSIBLE_SCALE_ERROR","OK"))</f>
        <v/>
      </c>
    </row>
    <row r="1880">
      <c r="A1880" t="inlineStr">
        <is>
          <t>T-2022-P9-0025</t>
        </is>
      </c>
      <c r="B1880" t="inlineStr">
        <is>
          <t>SLE</t>
        </is>
      </c>
      <c r="C1880" t="inlineStr">
        <is>
          <t>Assistant Deputy Minister, Market and Industry Services Branch</t>
        </is>
      </c>
      <c r="D1880" t="inlineStr">
        <is>
          <t>Sous-ministre adjoint, Direction générale des services à l'industrie et aux marchés</t>
        </is>
      </c>
      <c r="E1880" t="inlineStr">
        <is>
          <t>Tom Rosser</t>
        </is>
      </c>
      <c r="F1880" t="inlineStr">
        <is>
          <t>Railway fare to and from the Canadian Beverage Association 'Beverage Day on the Hill' event.</t>
        </is>
      </c>
      <c r="G1880" t="inlineStr">
        <is>
          <t>Tarif ferroviaire à destination et en provenance de l’événement « Journée des boissons sur la Colline » de l’Association canadienne des boissons.</t>
        </is>
      </c>
      <c r="H1880" s="1" t="n">
        <v>44860</v>
      </c>
      <c r="I1880" s="1" t="n">
        <v>44860</v>
      </c>
      <c r="J1880" t="inlineStr">
        <is>
          <t>Ottawa (Ontario) Canada</t>
        </is>
      </c>
      <c r="K1880" t="inlineStr">
        <is>
          <t>Ottawa (Ontario) Canada</t>
        </is>
      </c>
      <c r="P1880" t="n">
        <v>0</v>
      </c>
      <c r="Q1880" t="n">
        <v>7.4</v>
      </c>
      <c r="R1880" t="n">
        <v>0</v>
      </c>
      <c r="S1880" t="n">
        <v>0</v>
      </c>
      <c r="T1880" t="n">
        <v>0</v>
      </c>
      <c r="U1880" t="n">
        <v>7.4</v>
      </c>
      <c r="X1880" t="inlineStr">
        <is>
          <t>aafc-aac</t>
        </is>
      </c>
      <c r="Y1880" t="inlineStr">
        <is>
          <t>Agriculture and Agri-Food Canada | Agriculture et Agroalimentaire Canada</t>
        </is>
      </c>
      <c r="Z1880" t="n">
        <v>1</v>
      </c>
      <c r="AA1880" t="n">
        <v>7.4</v>
      </c>
      <c r="AB1880">
        <f>ROUND(U1880-AA1880,2)</f>
        <v/>
      </c>
      <c r="AC1880" t="b">
        <v>0</v>
      </c>
      <c r="AD1880">
        <f>IF(U1880="","MISSING_TOTAL",IF(ABS(AB1880)&lt;=0.01,"OK","CHECK"))</f>
        <v/>
      </c>
      <c r="AE1880">
        <f>IF(U1880="","MISSING",IF(AND(AA1880&gt;0,U1880/AA1880&gt;50),"POSSIBLE_SCALE_ERROR","OK"))</f>
        <v/>
      </c>
    </row>
    <row r="1881">
      <c r="A1881" t="inlineStr">
        <is>
          <t>T-2022-P9-0026</t>
        </is>
      </c>
      <c r="B1881" t="inlineStr">
        <is>
          <t>SLE</t>
        </is>
      </c>
      <c r="C1881" t="inlineStr">
        <is>
          <t>Assistant Deputy Minister, Market and Industry Services Branch</t>
        </is>
      </c>
      <c r="D1881" t="inlineStr">
        <is>
          <t>Sous-ministre adjoint, Direction générale des services à l'industrie et aux marchés</t>
        </is>
      </c>
      <c r="E1881" t="inlineStr">
        <is>
          <t>Tom Rosser</t>
        </is>
      </c>
      <c r="F1881" t="inlineStr">
        <is>
          <t>Taxi fare to the 'Champions Appreciation Evening' event hosted by the National Capital Region Young Professionals Network.</t>
        </is>
      </c>
      <c r="G1881" t="inlineStr">
        <is>
          <t>Frais de du taxi pour se rendre à la soirée d’appréciation des champions organisée par le Réseau des jeunes professionnels de la région de la capitale nationale.</t>
        </is>
      </c>
      <c r="H1881" s="1" t="n">
        <v>44874</v>
      </c>
      <c r="I1881" s="1" t="n">
        <v>44874</v>
      </c>
      <c r="J1881" t="inlineStr">
        <is>
          <t>Ottawa (Ontario) Canada</t>
        </is>
      </c>
      <c r="K1881" t="inlineStr">
        <is>
          <t>Ottawa (Ontario) Canada</t>
        </is>
      </c>
      <c r="P1881" t="n">
        <v>0</v>
      </c>
      <c r="Q1881" t="n">
        <v>20</v>
      </c>
      <c r="R1881" t="n">
        <v>0</v>
      </c>
      <c r="S1881" t="n">
        <v>0</v>
      </c>
      <c r="T1881" t="n">
        <v>0</v>
      </c>
      <c r="U1881" t="n">
        <v>20</v>
      </c>
      <c r="X1881" t="inlineStr">
        <is>
          <t>aafc-aac</t>
        </is>
      </c>
      <c r="Y1881" t="inlineStr">
        <is>
          <t>Agriculture and Agri-Food Canada | Agriculture et Agroalimentaire Canada</t>
        </is>
      </c>
      <c r="Z1881" t="n">
        <v>1</v>
      </c>
      <c r="AA1881" t="n">
        <v>20</v>
      </c>
      <c r="AB1881">
        <f>ROUND(U1881-AA1881,2)</f>
        <v/>
      </c>
      <c r="AC1881" t="b">
        <v>0</v>
      </c>
      <c r="AD1881">
        <f>IF(U1881="","MISSING_TOTAL",IF(ABS(AB1881)&lt;=0.01,"OK","CHECK"))</f>
        <v/>
      </c>
      <c r="AE1881">
        <f>IF(U1881="","MISSING",IF(AND(AA1881&gt;0,U1881/AA1881&gt;50),"POSSIBLE_SCALE_ERROR","OK"))</f>
        <v/>
      </c>
    </row>
    <row r="1882">
      <c r="A1882" t="inlineStr">
        <is>
          <t>T-2022-P9-0027</t>
        </is>
      </c>
      <c r="B1882" t="inlineStr">
        <is>
          <t>SLE</t>
        </is>
      </c>
      <c r="C1882" t="inlineStr">
        <is>
          <t>Assistant Deputy Minister, Market and Industry Services Branch</t>
        </is>
      </c>
      <c r="D1882" t="inlineStr">
        <is>
          <t>Sous-ministre adjoint, Direction générale des services à l'industrie et aux marchés</t>
        </is>
      </c>
      <c r="E1882" t="inlineStr">
        <is>
          <t>Tom Rosser</t>
        </is>
      </c>
      <c r="F1882" t="inlineStr">
        <is>
          <t>Parking fee during the 'Advanced Agricultural Leadership Program Class 19' event. Tom was a speaker for this event.</t>
        </is>
      </c>
      <c r="G1882" t="inlineStr">
        <is>
          <t>Frais de stationnement pendant l’événement «Programme avancé de leadership agricole classe 19». Tom était un conférencier pour cet événement.</t>
        </is>
      </c>
      <c r="H1882" s="1" t="n">
        <v>44879</v>
      </c>
      <c r="I1882" s="1" t="n">
        <v>44879</v>
      </c>
      <c r="J1882" t="inlineStr">
        <is>
          <t>Ottawa (Ontario) Canada</t>
        </is>
      </c>
      <c r="K1882" t="inlineStr">
        <is>
          <t>Ottawa (Ontario) Canada</t>
        </is>
      </c>
      <c r="P1882" t="n">
        <v>0</v>
      </c>
      <c r="Q1882" t="n">
        <v>14</v>
      </c>
      <c r="R1882" t="n">
        <v>0</v>
      </c>
      <c r="S1882" t="n">
        <v>0</v>
      </c>
      <c r="T1882" t="n">
        <v>0</v>
      </c>
      <c r="U1882" t="n">
        <v>14</v>
      </c>
      <c r="X1882" t="inlineStr">
        <is>
          <t>aafc-aac</t>
        </is>
      </c>
      <c r="Y1882" t="inlineStr">
        <is>
          <t>Agriculture and Agri-Food Canada | Agriculture et Agroalimentaire Canada</t>
        </is>
      </c>
      <c r="Z1882" t="n">
        <v>1</v>
      </c>
      <c r="AA1882" t="n">
        <v>14</v>
      </c>
      <c r="AB1882">
        <f>ROUND(U1882-AA1882,2)</f>
        <v/>
      </c>
      <c r="AC1882" t="b">
        <v>0</v>
      </c>
      <c r="AD1882">
        <f>IF(U1882="","MISSING_TOTAL",IF(ABS(AB1882)&lt;=0.01,"OK","CHECK"))</f>
        <v/>
      </c>
      <c r="AE1882">
        <f>IF(U1882="","MISSING",IF(AND(AA1882&gt;0,U1882/AA1882&gt;50),"POSSIBLE_SCALE_ERROR","OK"))</f>
        <v/>
      </c>
    </row>
    <row r="1883">
      <c r="A1883" t="inlineStr">
        <is>
          <t>T-2022-P9-0028</t>
        </is>
      </c>
      <c r="B1883" t="inlineStr">
        <is>
          <t>SLE</t>
        </is>
      </c>
      <c r="C1883" t="inlineStr">
        <is>
          <t>Assistant Deputy Minister, Market and Industry Services Branch</t>
        </is>
      </c>
      <c r="D1883" t="inlineStr">
        <is>
          <t>Sous-ministre adjoint, Direction générale des services à l'industrie et aux marchés</t>
        </is>
      </c>
      <c r="E1883" t="inlineStr">
        <is>
          <t>Tom Rosser</t>
        </is>
      </c>
      <c r="F1883" t="inlineStr">
        <is>
          <t>Participate in a branch strategic planning session.</t>
        </is>
      </c>
      <c r="G1883" t="inlineStr">
        <is>
          <t>Participer à une séance de planification stratégique de la Direction générale.</t>
        </is>
      </c>
      <c r="H1883" s="1" t="n">
        <v>44872</v>
      </c>
      <c r="I1883" s="1" t="n">
        <v>44874</v>
      </c>
      <c r="J1883" t="inlineStr">
        <is>
          <t>Québec (Quebec) Canada</t>
        </is>
      </c>
      <c r="K1883" t="inlineStr">
        <is>
          <t>Québec (Québec) Canada</t>
        </is>
      </c>
      <c r="P1883" t="n">
        <v>0</v>
      </c>
      <c r="Q1883" t="n">
        <v>569.63</v>
      </c>
      <c r="R1883" t="n">
        <v>0</v>
      </c>
      <c r="S1883" t="n">
        <v>233.75</v>
      </c>
      <c r="T1883" t="n">
        <v>0</v>
      </c>
      <c r="U1883" t="n">
        <v>803.38</v>
      </c>
      <c r="X1883" t="inlineStr">
        <is>
          <t>aafc-aac</t>
        </is>
      </c>
      <c r="Y1883" t="inlineStr">
        <is>
          <t>Agriculture and Agri-Food Canada | Agriculture et Agroalimentaire Canada</t>
        </is>
      </c>
      <c r="Z1883" t="n">
        <v>3</v>
      </c>
      <c r="AA1883" t="n">
        <v>803.38</v>
      </c>
      <c r="AB1883">
        <f>ROUND(U1883-AA1883,2)</f>
        <v/>
      </c>
      <c r="AC1883" t="b">
        <v>0</v>
      </c>
      <c r="AD1883">
        <f>IF(U1883="","MISSING_TOTAL",IF(ABS(AB1883)&lt;=0.01,"OK","CHECK"))</f>
        <v/>
      </c>
      <c r="AE1883">
        <f>IF(U1883="","MISSING",IF(AND(AA1883&gt;0,U1883/AA1883&gt;50),"POSSIBLE_SCALE_ERROR","OK"))</f>
        <v/>
      </c>
    </row>
    <row r="1884">
      <c r="A1884" t="inlineStr">
        <is>
          <t>T-2022-P9-0029</t>
        </is>
      </c>
      <c r="B1884" t="inlineStr">
        <is>
          <t>SLE</t>
        </is>
      </c>
      <c r="C1884" t="inlineStr">
        <is>
          <t>Assistant Deputy Minister, Market and Industry Services Branch</t>
        </is>
      </c>
      <c r="D1884" t="inlineStr">
        <is>
          <t>Sous-ministre adjoint, Direction générale des services à l'industrie et aux marchés</t>
        </is>
      </c>
      <c r="E1884" t="inlineStr">
        <is>
          <t>Tom Rosser</t>
        </is>
      </c>
      <c r="F1884" t="inlineStr">
        <is>
          <t>Participate in the 2022 Canadian Hemp Trade Alliance National Hemp Conference as a speaker and participate in regional outreach.</t>
        </is>
      </c>
      <c r="G1884" t="inlineStr">
        <is>
          <t>Participer à la Conférence nationale sur l’Alliance commerciale canadienne du chanvre 2022 en tant que conférencier et participer à la sensibilisation régionale.</t>
        </is>
      </c>
      <c r="H1884" s="1" t="n">
        <v>44880</v>
      </c>
      <c r="I1884" s="1" t="n">
        <v>44882</v>
      </c>
      <c r="J1884" t="inlineStr">
        <is>
          <t>Saskatoon (Saskatchewan) Canada</t>
        </is>
      </c>
      <c r="K1884" t="inlineStr">
        <is>
          <t>Saskatoon (Saskatchewan) Canada</t>
        </is>
      </c>
      <c r="P1884" t="n">
        <v>1821.53</v>
      </c>
      <c r="Q1884" t="n">
        <v>102.13</v>
      </c>
      <c r="R1884" t="n">
        <v>386.42</v>
      </c>
      <c r="S1884" t="n">
        <v>302.65</v>
      </c>
      <c r="T1884" t="n">
        <v>18.37</v>
      </c>
      <c r="U1884" t="n">
        <v>2631.1</v>
      </c>
      <c r="X1884" t="inlineStr">
        <is>
          <t>aafc-aac</t>
        </is>
      </c>
      <c r="Y1884" t="inlineStr">
        <is>
          <t>Agriculture and Agri-Food Canada | Agriculture et Agroalimentaire Canada</t>
        </is>
      </c>
      <c r="Z1884" t="n">
        <v>3</v>
      </c>
      <c r="AA1884" t="n">
        <v>2631.1</v>
      </c>
      <c r="AB1884">
        <f>ROUND(U1884-AA1884,2)</f>
        <v/>
      </c>
      <c r="AC1884" t="b">
        <v>0</v>
      </c>
      <c r="AD1884">
        <f>IF(U1884="","MISSING_TOTAL",IF(ABS(AB1884)&lt;=0.01,"OK","CHECK"))</f>
        <v/>
      </c>
      <c r="AE1884">
        <f>IF(U1884="","MISSING",IF(AND(AA1884&gt;0,U1884/AA1884&gt;50),"POSSIBLE_SCALE_ERROR","OK"))</f>
        <v/>
      </c>
    </row>
    <row r="1885">
      <c r="A1885" t="inlineStr">
        <is>
          <t>T-2022-P9-0030</t>
        </is>
      </c>
      <c r="B1885" t="inlineStr">
        <is>
          <t>SLE</t>
        </is>
      </c>
      <c r="C1885" t="inlineStr">
        <is>
          <t>Assistant Deputy Minister, Market and Industry Services Branch</t>
        </is>
      </c>
      <c r="D1885" t="inlineStr">
        <is>
          <t>Sous-ministre adjoint, Direction générale des services à l'industrie et aux marchés</t>
        </is>
      </c>
      <c r="E1885" t="inlineStr">
        <is>
          <t>Tom Rosser</t>
        </is>
      </c>
      <c r="F1885" t="inlineStr">
        <is>
          <t>Participate in the Grains CEO meeting and engage with AAFC regional staff as well.</t>
        </is>
      </c>
      <c r="G1885" t="inlineStr">
        <is>
          <t>Participer à la réunion du chef de la direction du secteur des grains et collaborer avec le personnel régional d’AAC.</t>
        </is>
      </c>
      <c r="H1885" s="1" t="n">
        <v>44889</v>
      </c>
      <c r="I1885" s="1" t="n">
        <v>44890</v>
      </c>
      <c r="J1885" t="inlineStr">
        <is>
          <t>Winnipeg (Manitoba) Canada</t>
        </is>
      </c>
      <c r="K1885" t="inlineStr">
        <is>
          <t>Winnipeg (Manitoba) Canada</t>
        </is>
      </c>
      <c r="P1885" t="n">
        <v>1598.53</v>
      </c>
      <c r="Q1885" t="n">
        <v>131.19</v>
      </c>
      <c r="R1885" t="n">
        <v>262.77</v>
      </c>
      <c r="S1885" t="n">
        <v>193.65</v>
      </c>
      <c r="T1885" t="n">
        <v>0</v>
      </c>
      <c r="U1885" t="n">
        <v>2186.14</v>
      </c>
      <c r="X1885" t="inlineStr">
        <is>
          <t>aafc-aac</t>
        </is>
      </c>
      <c r="Y1885" t="inlineStr">
        <is>
          <t>Agriculture and Agri-Food Canada | Agriculture et Agroalimentaire Canada</t>
        </is>
      </c>
      <c r="Z1885" t="n">
        <v>2</v>
      </c>
      <c r="AA1885" t="n">
        <v>2186.14</v>
      </c>
      <c r="AB1885">
        <f>ROUND(U1885-AA1885,2)</f>
        <v/>
      </c>
      <c r="AC1885" t="b">
        <v>0</v>
      </c>
      <c r="AD1885">
        <f>IF(U1885="","MISSING_TOTAL",IF(ABS(AB1885)&lt;=0.01,"OK","CHECK"))</f>
        <v/>
      </c>
      <c r="AE1885">
        <f>IF(U1885="","MISSING",IF(AND(AA1885&gt;0,U1885/AA1885&gt;50),"POSSIBLE_SCALE_ERROR","OK"))</f>
        <v/>
      </c>
    </row>
    <row r="1886">
      <c r="A1886" t="inlineStr">
        <is>
          <t>T-2022-P10-0001</t>
        </is>
      </c>
      <c r="B1886" t="inlineStr">
        <is>
          <t>MPSES</t>
        </is>
      </c>
      <c r="C1886" t="inlineStr">
        <is>
          <t>Minister</t>
        </is>
      </c>
      <c r="D1886" t="inlineStr">
        <is>
          <t>Ministre</t>
        </is>
      </c>
      <c r="E1886" t="inlineStr">
        <is>
          <t>Marie-Claude Bibeau</t>
        </is>
      </c>
      <c r="F1886" t="inlineStr">
        <is>
          <t>To participate in the Union des producteurs agricoles Annual General Congress meeting</t>
        </is>
      </c>
      <c r="G1886" t="inlineStr">
        <is>
          <t>Participer au général annuel de l'Union des producteurs agricoles.</t>
        </is>
      </c>
      <c r="H1886" s="1" t="n">
        <v>44894</v>
      </c>
      <c r="I1886" s="1" t="n">
        <v>44895</v>
      </c>
      <c r="J1886" t="inlineStr">
        <is>
          <t>Québec (Quebec) Canada</t>
        </is>
      </c>
      <c r="K1886" t="inlineStr">
        <is>
          <t>Québec (Québec) Canada</t>
        </is>
      </c>
      <c r="P1886" t="n">
        <v>0</v>
      </c>
      <c r="Q1886" t="n">
        <v>0</v>
      </c>
      <c r="R1886" t="n">
        <v>159.46</v>
      </c>
      <c r="S1886" t="n">
        <v>159.05</v>
      </c>
      <c r="T1886" t="n">
        <v>0</v>
      </c>
      <c r="U1886" t="n">
        <v>318.51</v>
      </c>
      <c r="V1886" t="inlineStr">
        <is>
          <t>No Conference Fees</t>
        </is>
      </c>
      <c r="W1886" t="inlineStr">
        <is>
          <t>Pas de frais de conférence</t>
        </is>
      </c>
      <c r="X1886" t="inlineStr">
        <is>
          <t>aafc-aac</t>
        </is>
      </c>
      <c r="Y1886" t="inlineStr">
        <is>
          <t>Agriculture and Agri-Food Canada | Agriculture et Agroalimentaire Canada</t>
        </is>
      </c>
      <c r="Z1886" t="n">
        <v>2</v>
      </c>
      <c r="AA1886" t="n">
        <v>318.51</v>
      </c>
      <c r="AB1886">
        <f>ROUND(U1886-AA1886,2)</f>
        <v/>
      </c>
      <c r="AC1886" t="b">
        <v>0</v>
      </c>
      <c r="AD1886">
        <f>IF(U1886="","MISSING_TOTAL",IF(ABS(AB1886)&lt;=0.01,"OK","CHECK"))</f>
        <v/>
      </c>
      <c r="AE1886">
        <f>IF(U1886="","MISSING",IF(AND(AA1886&gt;0,U1886/AA1886&gt;50),"POSSIBLE_SCALE_ERROR","OK"))</f>
        <v/>
      </c>
    </row>
    <row r="1887">
      <c r="A1887" t="inlineStr">
        <is>
          <t>T-2022-P10-0002</t>
        </is>
      </c>
      <c r="B1887" t="inlineStr">
        <is>
          <t>MPSES</t>
        </is>
      </c>
      <c r="C1887" t="inlineStr">
        <is>
          <t>Policy Advisor</t>
        </is>
      </c>
      <c r="D1887" t="inlineStr">
        <is>
          <t>Conseiller en politiques</t>
        </is>
      </c>
      <c r="E1887" t="inlineStr">
        <is>
          <t>Abed Harb</t>
        </is>
      </c>
      <c r="F1887" t="inlineStr">
        <is>
          <t>To support the Minister at Agribition as well as to make an Indo-Pacific Strategy announcement</t>
        </is>
      </c>
      <c r="G1887" t="inlineStr">
        <is>
          <t>Pour soutenir la ministre à Agribition et pour faire une annonce sur la stratégie indo-pacifique</t>
        </is>
      </c>
      <c r="H1887" s="1" t="n">
        <v>44897</v>
      </c>
      <c r="I1887" s="1" t="n">
        <v>44899</v>
      </c>
      <c r="J1887" t="inlineStr">
        <is>
          <t>Regina (Saskatchewan) Canada</t>
        </is>
      </c>
      <c r="K1887" t="inlineStr">
        <is>
          <t>Regina (Saskatchewan) Canada</t>
        </is>
      </c>
      <c r="P1887" t="n">
        <v>947.48</v>
      </c>
      <c r="Q1887" t="n">
        <v>101.78</v>
      </c>
      <c r="R1887" t="n">
        <v>317.84</v>
      </c>
      <c r="S1887" t="n">
        <v>135.9</v>
      </c>
      <c r="T1887" t="n">
        <v>0</v>
      </c>
      <c r="U1887" t="n">
        <v>1503</v>
      </c>
      <c r="V1887" t="inlineStr">
        <is>
          <t>No conference fee.</t>
        </is>
      </c>
      <c r="W1887" t="inlineStr">
        <is>
          <t>Pas de frais de conférence</t>
        </is>
      </c>
      <c r="X1887" t="inlineStr">
        <is>
          <t>aafc-aac</t>
        </is>
      </c>
      <c r="Y1887" t="inlineStr">
        <is>
          <t>Agriculture and Agri-Food Canada | Agriculture et Agroalimentaire Canada</t>
        </is>
      </c>
      <c r="Z1887" t="n">
        <v>3</v>
      </c>
      <c r="AA1887" t="n">
        <v>1503</v>
      </c>
      <c r="AB1887">
        <f>ROUND(U1887-AA1887,2)</f>
        <v/>
      </c>
      <c r="AC1887" t="b">
        <v>0</v>
      </c>
      <c r="AD1887">
        <f>IF(U1887="","MISSING_TOTAL",IF(ABS(AB1887)&lt;=0.01,"OK","CHECK"))</f>
        <v/>
      </c>
      <c r="AE1887">
        <f>IF(U1887="","MISSING",IF(AND(AA1887&gt;0,U1887/AA1887&gt;50),"POSSIBLE_SCALE_ERROR","OK"))</f>
        <v/>
      </c>
    </row>
    <row r="1888">
      <c r="A1888" t="inlineStr">
        <is>
          <t>T-2022-P10-0003</t>
        </is>
      </c>
      <c r="B1888" t="inlineStr">
        <is>
          <t>MPSES</t>
        </is>
      </c>
      <c r="C1888" t="inlineStr">
        <is>
          <t>Director of Policy</t>
        </is>
      </c>
      <c r="D1888" t="inlineStr">
        <is>
          <t>Directeur en politiques</t>
        </is>
      </c>
      <c r="E1888" t="inlineStr">
        <is>
          <t>Emerson Vanderberg</t>
        </is>
      </c>
      <c r="F1888" t="inlineStr">
        <is>
          <t>To support the Minister to attend United Nations Biodiversity Conference (COP15)</t>
        </is>
      </c>
      <c r="G1888" t="inlineStr">
        <is>
          <t>Soutenir la participation de la ministre à la conférence des Nations unies sur la biodiversité (COP15).</t>
        </is>
      </c>
      <c r="H1888" s="1" t="n">
        <v>44910</v>
      </c>
      <c r="I1888" s="1" t="n">
        <v>44911</v>
      </c>
      <c r="J1888" t="inlineStr">
        <is>
          <t>Montréal (Quebec) Canada</t>
        </is>
      </c>
      <c r="K1888" t="inlineStr">
        <is>
          <t>Montréal (Québec) Canada</t>
        </is>
      </c>
      <c r="P1888" t="n">
        <v>0</v>
      </c>
      <c r="Q1888" t="n">
        <v>145.68</v>
      </c>
      <c r="R1888" t="n">
        <v>184.45</v>
      </c>
      <c r="S1888" t="n">
        <v>45.85</v>
      </c>
      <c r="T1888" t="n">
        <v>0</v>
      </c>
      <c r="U1888" t="n">
        <v>375.98</v>
      </c>
      <c r="V1888" t="inlineStr">
        <is>
          <t>No Conference Fees</t>
        </is>
      </c>
      <c r="W1888" t="inlineStr">
        <is>
          <t>Pas de frais de conférence</t>
        </is>
      </c>
      <c r="X1888" t="inlineStr">
        <is>
          <t>aafc-aac</t>
        </is>
      </c>
      <c r="Y1888" t="inlineStr">
        <is>
          <t>Agriculture and Agri-Food Canada | Agriculture et Agroalimentaire Canada</t>
        </is>
      </c>
      <c r="Z1888" t="n">
        <v>2</v>
      </c>
      <c r="AA1888" t="n">
        <v>375.98</v>
      </c>
      <c r="AB1888">
        <f>ROUND(U1888-AA1888,2)</f>
        <v/>
      </c>
      <c r="AC1888" t="b">
        <v>0</v>
      </c>
      <c r="AD1888">
        <f>IF(U1888="","MISSING_TOTAL",IF(ABS(AB1888)&lt;=0.01,"OK","CHECK"))</f>
        <v/>
      </c>
      <c r="AE1888">
        <f>IF(U1888="","MISSING",IF(AND(AA1888&gt;0,U1888/AA1888&gt;50),"POSSIBLE_SCALE_ERROR","OK"))</f>
        <v/>
      </c>
    </row>
    <row r="1889">
      <c r="A1889" t="inlineStr">
        <is>
          <t>T-2022-P10-0004</t>
        </is>
      </c>
      <c r="B1889" t="inlineStr">
        <is>
          <t>MPSES</t>
        </is>
      </c>
      <c r="C1889" t="inlineStr">
        <is>
          <t>Press Secretary</t>
        </is>
      </c>
      <c r="D1889" t="inlineStr">
        <is>
          <t>Attachée de presse</t>
        </is>
      </c>
      <c r="E1889" t="inlineStr">
        <is>
          <t>Marianne Dandurand</t>
        </is>
      </c>
      <c r="F1889" t="inlineStr">
        <is>
          <t>To support the Minister at Agribition as well as to make an Indo-Pacific Strategy announcement</t>
        </is>
      </c>
      <c r="G1889" t="inlineStr">
        <is>
          <t>Pour soutenir la ministre à Agribition et pour faire une annonce sur la stratégie indo-pacifique</t>
        </is>
      </c>
      <c r="H1889" s="1" t="n">
        <v>44897</v>
      </c>
      <c r="I1889" s="1" t="n">
        <v>44899</v>
      </c>
      <c r="J1889" t="inlineStr">
        <is>
          <t>Regina (Saskatchewan) Canada</t>
        </is>
      </c>
      <c r="K1889" t="inlineStr">
        <is>
          <t>Regina (Sasktachewan) Canada</t>
        </is>
      </c>
      <c r="P1889" t="n">
        <v>1110.18</v>
      </c>
      <c r="Q1889" t="n">
        <v>24.15</v>
      </c>
      <c r="R1889" t="n">
        <v>317.84</v>
      </c>
      <c r="S1889" t="n">
        <v>204.9</v>
      </c>
      <c r="T1889" t="n">
        <v>0</v>
      </c>
      <c r="U1889" t="n">
        <v>1657.07</v>
      </c>
      <c r="V1889" t="inlineStr">
        <is>
          <t>No Conference Fees</t>
        </is>
      </c>
      <c r="W1889" t="inlineStr">
        <is>
          <t>Pas de frais de conférence</t>
        </is>
      </c>
      <c r="X1889" t="inlineStr">
        <is>
          <t>aafc-aac</t>
        </is>
      </c>
      <c r="Y1889" t="inlineStr">
        <is>
          <t>Agriculture and Agri-Food Canada | Agriculture et Agroalimentaire Canada</t>
        </is>
      </c>
      <c r="Z1889" t="n">
        <v>3</v>
      </c>
      <c r="AA1889" t="n">
        <v>1657.07</v>
      </c>
      <c r="AB1889">
        <f>ROUND(U1889-AA1889,2)</f>
        <v/>
      </c>
      <c r="AC1889" t="b">
        <v>0</v>
      </c>
      <c r="AD1889">
        <f>IF(U1889="","MISSING_TOTAL",IF(ABS(AB1889)&lt;=0.01,"OK","CHECK"))</f>
        <v/>
      </c>
      <c r="AE1889">
        <f>IF(U1889="","MISSING",IF(AND(AA1889&gt;0,U1889/AA1889&gt;50),"POSSIBLE_SCALE_ERROR","OK"))</f>
        <v/>
      </c>
    </row>
    <row r="1890">
      <c r="A1890" t="inlineStr">
        <is>
          <t>T-2022-P10-0005</t>
        </is>
      </c>
      <c r="B1890" t="inlineStr">
        <is>
          <t>MPSES</t>
        </is>
      </c>
      <c r="C1890" t="inlineStr">
        <is>
          <t>Driver</t>
        </is>
      </c>
      <c r="D1890" t="inlineStr">
        <is>
          <t>Chauffeur</t>
        </is>
      </c>
      <c r="E1890" t="inlineStr">
        <is>
          <t>Michel Gendreau</t>
        </is>
      </c>
      <c r="F1890" t="inlineStr">
        <is>
          <t>Drive the Minister from Ottawa to her riding</t>
        </is>
      </c>
      <c r="G1890" t="inlineStr">
        <is>
          <t>Conduire la ministre d'Ottawa à sa circonscription</t>
        </is>
      </c>
      <c r="H1890" s="1" t="n">
        <v>44903</v>
      </c>
      <c r="I1890" s="1" t="n">
        <v>44903</v>
      </c>
      <c r="J1890" t="inlineStr">
        <is>
          <t>Sherbrooke (Quebec) Canada</t>
        </is>
      </c>
      <c r="K1890" t="inlineStr">
        <is>
          <t>Sherbrooke (Québec) Canada</t>
        </is>
      </c>
      <c r="P1890" t="n">
        <v>0</v>
      </c>
      <c r="Q1890" t="n">
        <v>6</v>
      </c>
      <c r="R1890" t="n">
        <v>0</v>
      </c>
      <c r="S1890" t="n">
        <v>56.6</v>
      </c>
      <c r="T1890" t="n">
        <v>0</v>
      </c>
      <c r="U1890" t="n">
        <v>62.6</v>
      </c>
      <c r="V1890" t="inlineStr">
        <is>
          <t>No conference fee</t>
        </is>
      </c>
      <c r="W1890" t="inlineStr">
        <is>
          <t>Pas de frais de conférence</t>
        </is>
      </c>
      <c r="X1890" t="inlineStr">
        <is>
          <t>aafc-aac</t>
        </is>
      </c>
      <c r="Y1890" t="inlineStr">
        <is>
          <t>Agriculture and Agri-Food Canada | Agriculture et Agroalimentaire Canada</t>
        </is>
      </c>
      <c r="Z1890" t="n">
        <v>1</v>
      </c>
      <c r="AA1890" t="n">
        <v>62.6</v>
      </c>
      <c r="AB1890">
        <f>ROUND(U1890-AA1890,2)</f>
        <v/>
      </c>
      <c r="AC1890" t="b">
        <v>0</v>
      </c>
      <c r="AD1890">
        <f>IF(U1890="","MISSING_TOTAL",IF(ABS(AB1890)&lt;=0.01,"OK","CHECK"))</f>
        <v/>
      </c>
      <c r="AE1890">
        <f>IF(U1890="","MISSING",IF(AND(AA1890&gt;0,U1890/AA1890&gt;50),"POSSIBLE_SCALE_ERROR","OK"))</f>
        <v/>
      </c>
    </row>
    <row r="1891">
      <c r="A1891" t="inlineStr">
        <is>
          <t>T-2022-P10-0006</t>
        </is>
      </c>
      <c r="B1891" t="inlineStr">
        <is>
          <t>MPSES</t>
        </is>
      </c>
      <c r="C1891" t="inlineStr">
        <is>
          <t>Driver</t>
        </is>
      </c>
      <c r="D1891" t="inlineStr">
        <is>
          <t>Chauffeur</t>
        </is>
      </c>
      <c r="E1891" t="inlineStr">
        <is>
          <t>Michel Gendreau</t>
        </is>
      </c>
      <c r="F1891" t="inlineStr">
        <is>
          <t>Drive the Minister from her riding to Ottawa</t>
        </is>
      </c>
      <c r="G1891" t="inlineStr">
        <is>
          <t>Conduire la ministre de sa circonscription à Ottawa</t>
        </is>
      </c>
      <c r="H1891" s="1" t="n">
        <v>44906</v>
      </c>
      <c r="I1891" s="1" t="n">
        <v>44907</v>
      </c>
      <c r="J1891" t="inlineStr">
        <is>
          <t>Ottawa (Ontario) Canada</t>
        </is>
      </c>
      <c r="K1891" t="inlineStr">
        <is>
          <t>Ottawa (Ontario) Canada</t>
        </is>
      </c>
      <c r="P1891" t="n">
        <v>0</v>
      </c>
      <c r="Q1891" t="n">
        <v>6</v>
      </c>
      <c r="R1891" t="n">
        <v>121.38</v>
      </c>
      <c r="S1891" t="n">
        <v>79.40000000000001</v>
      </c>
      <c r="T1891" t="n">
        <v>0</v>
      </c>
      <c r="U1891" t="n">
        <v>206.78</v>
      </c>
      <c r="V1891" t="inlineStr">
        <is>
          <t>No conference fee</t>
        </is>
      </c>
      <c r="W1891" t="inlineStr">
        <is>
          <t>Pas de frais de conférence</t>
        </is>
      </c>
      <c r="X1891" t="inlineStr">
        <is>
          <t>aafc-aac</t>
        </is>
      </c>
      <c r="Y1891" t="inlineStr">
        <is>
          <t>Agriculture and Agri-Food Canada | Agriculture et Agroalimentaire Canada</t>
        </is>
      </c>
      <c r="Z1891" t="n">
        <v>2</v>
      </c>
      <c r="AA1891" t="n">
        <v>206.78</v>
      </c>
      <c r="AB1891">
        <f>ROUND(U1891-AA1891,2)</f>
        <v/>
      </c>
      <c r="AC1891" t="b">
        <v>0</v>
      </c>
      <c r="AD1891">
        <f>IF(U1891="","MISSING_TOTAL",IF(ABS(AB1891)&lt;=0.01,"OK","CHECK"))</f>
        <v/>
      </c>
      <c r="AE1891">
        <f>IF(U1891="","MISSING",IF(AND(AA1891&gt;0,U1891/AA1891&gt;50),"POSSIBLE_SCALE_ERROR","OK"))</f>
        <v/>
      </c>
    </row>
    <row r="1892">
      <c r="A1892" t="inlineStr">
        <is>
          <t>T-2022-P10-0007</t>
        </is>
      </c>
      <c r="B1892" t="inlineStr">
        <is>
          <t>MPSES</t>
        </is>
      </c>
      <c r="C1892" t="inlineStr">
        <is>
          <t>Parliamentary Secretary</t>
        </is>
      </c>
      <c r="D1892" t="inlineStr">
        <is>
          <t>Secrétaire parlementaire</t>
        </is>
      </c>
      <c r="E1892" t="inlineStr">
        <is>
          <t>Francis Drouin</t>
        </is>
      </c>
      <c r="F1892" t="inlineStr">
        <is>
          <t>To attend a Manitoba and Ontario Outreach</t>
        </is>
      </c>
      <c r="G1892" t="inlineStr">
        <is>
          <t>Pour assister à un événement de sensibilisation au Manitoba et en Ontario</t>
        </is>
      </c>
      <c r="H1892" s="1" t="n">
        <v>44942</v>
      </c>
      <c r="I1892" s="1" t="n">
        <v>44944</v>
      </c>
      <c r="J1892" t="inlineStr">
        <is>
          <t>Winnipeg (Manitoba) Canada
Toronto (Ontario) Canada</t>
        </is>
      </c>
      <c r="K1892" t="inlineStr">
        <is>
          <t>Winnipeg (Manitoba) Canada
Toronto (Ontario) Canada</t>
        </is>
      </c>
      <c r="P1892" t="n">
        <v>1407.61</v>
      </c>
      <c r="Q1892" t="n">
        <v>74.75</v>
      </c>
      <c r="R1892" t="n">
        <v>421.55</v>
      </c>
      <c r="S1892" t="n">
        <v>102.2</v>
      </c>
      <c r="T1892" t="n">
        <v>0</v>
      </c>
      <c r="U1892" t="n">
        <v>2006.11</v>
      </c>
      <c r="V1892" t="inlineStr">
        <is>
          <t>No conference fee.</t>
        </is>
      </c>
      <c r="W1892" t="inlineStr">
        <is>
          <t>Pas de frais de conférence</t>
        </is>
      </c>
      <c r="X1892" t="inlineStr">
        <is>
          <t>aafc-aac</t>
        </is>
      </c>
      <c r="Y1892" t="inlineStr">
        <is>
          <t>Agriculture and Agri-Food Canada | Agriculture et Agroalimentaire Canada</t>
        </is>
      </c>
      <c r="Z1892" t="n">
        <v>3</v>
      </c>
      <c r="AA1892" t="n">
        <v>2006.11</v>
      </c>
      <c r="AB1892">
        <f>ROUND(U1892-AA1892,2)</f>
        <v/>
      </c>
      <c r="AC1892" t="b">
        <v>0</v>
      </c>
      <c r="AD1892">
        <f>IF(U1892="","MISSING_TOTAL",IF(ABS(AB1892)&lt;=0.01,"OK","CHECK"))</f>
        <v/>
      </c>
      <c r="AE1892">
        <f>IF(U1892="","MISSING",IF(AND(AA1892&gt;0,U1892/AA1892&gt;50),"POSSIBLE_SCALE_ERROR","OK"))</f>
        <v/>
      </c>
    </row>
    <row r="1893">
      <c r="A1893" t="inlineStr">
        <is>
          <t>T-2022-P10-0008</t>
        </is>
      </c>
      <c r="B1893" t="inlineStr">
        <is>
          <t>MPSES</t>
        </is>
      </c>
      <c r="C1893" t="inlineStr">
        <is>
          <t>Assistant to the Parliamentary Secretary</t>
        </is>
      </c>
      <c r="D1893" t="inlineStr">
        <is>
          <t>Adjoint au secrétaire parlementaire</t>
        </is>
      </c>
      <c r="E1893" t="inlineStr">
        <is>
          <t>Patrick Mangan</t>
        </is>
      </c>
      <c r="F1893" t="inlineStr">
        <is>
          <t>To support the Parliamentary Secretary at a Manitoba and Ontario Outreach</t>
        </is>
      </c>
      <c r="G1893" t="inlineStr">
        <is>
          <t>Soutenir le secrétaire parlementaire à un événement de sensibilisation au Manitoba et en Ontario</t>
        </is>
      </c>
      <c r="H1893" s="1" t="n">
        <v>44942</v>
      </c>
      <c r="I1893" s="1" t="n">
        <v>44944</v>
      </c>
      <c r="J1893" t="inlineStr">
        <is>
          <t>Winnipeg (Manitoba) Canada
Toronto (Ontario) Canada</t>
        </is>
      </c>
      <c r="K1893" t="inlineStr">
        <is>
          <t>Winnipeg (Manitoba) Canada
Toronto (Ontario) Canada</t>
        </is>
      </c>
      <c r="P1893" t="n">
        <v>1397.14</v>
      </c>
      <c r="Q1893" t="n">
        <v>42.65</v>
      </c>
      <c r="R1893" t="n">
        <v>421.55</v>
      </c>
      <c r="S1893" t="n">
        <v>102.2</v>
      </c>
      <c r="T1893" t="n">
        <v>0</v>
      </c>
      <c r="U1893" t="n">
        <v>1963.54</v>
      </c>
      <c r="V1893" t="inlineStr">
        <is>
          <t>No conference fee.</t>
        </is>
      </c>
      <c r="W1893" t="inlineStr">
        <is>
          <t>Pas de frais de conférence</t>
        </is>
      </c>
      <c r="X1893" t="inlineStr">
        <is>
          <t>aafc-aac</t>
        </is>
      </c>
      <c r="Y1893" t="inlineStr">
        <is>
          <t>Agriculture and Agri-Food Canada | Agriculture et Agroalimentaire Canada</t>
        </is>
      </c>
      <c r="Z1893" t="n">
        <v>3</v>
      </c>
      <c r="AA1893" t="n">
        <v>1963.54</v>
      </c>
      <c r="AB1893">
        <f>ROUND(U1893-AA1893,2)</f>
        <v/>
      </c>
      <c r="AC1893" t="b">
        <v>0</v>
      </c>
      <c r="AD1893">
        <f>IF(U1893="","MISSING_TOTAL",IF(ABS(AB1893)&lt;=0.01,"OK","CHECK"))</f>
        <v/>
      </c>
      <c r="AE1893">
        <f>IF(U1893="","MISSING",IF(AND(AA1893&gt;0,U1893/AA1893&gt;50),"POSSIBLE_SCALE_ERROR","OK"))</f>
        <v/>
      </c>
    </row>
    <row r="1894">
      <c r="A1894" t="inlineStr">
        <is>
          <t>T-2022-P10-0009</t>
        </is>
      </c>
      <c r="B1894" t="inlineStr">
        <is>
          <t>MPSES</t>
        </is>
      </c>
      <c r="C1894" t="inlineStr">
        <is>
          <t>Deputy Minister</t>
        </is>
      </c>
      <c r="D1894" t="inlineStr">
        <is>
          <t>Sous-ministre</t>
        </is>
      </c>
      <c r="E1894" t="inlineStr">
        <is>
          <t>Chris Forbes</t>
        </is>
      </c>
      <c r="F1894" t="inlineStr">
        <is>
          <t>To attend a Deputy Minister Outreach and an Agriculture Roundtable organized by Agriculture and Agri-Food Canada</t>
        </is>
      </c>
      <c r="G1894" t="inlineStr">
        <is>
          <t>Assister à une séance de sensibilisation des sous-ministres et à une table ronde sur l'agriculture organisée par Agriculture et Agroalimentaire Canada</t>
        </is>
      </c>
      <c r="H1894" s="1" t="n">
        <v>44937</v>
      </c>
      <c r="I1894" s="1" t="n">
        <v>44939</v>
      </c>
      <c r="J1894" t="inlineStr">
        <is>
          <t>Edmonton (Alberta) Canada</t>
        </is>
      </c>
      <c r="K1894" t="inlineStr">
        <is>
          <t>Edmonton (Alberta) Canada</t>
        </is>
      </c>
      <c r="P1894" t="n">
        <v>1012.43</v>
      </c>
      <c r="Q1894" t="n">
        <v>143.3</v>
      </c>
      <c r="R1894" t="n">
        <v>334.56</v>
      </c>
      <c r="S1894" t="n">
        <v>182.1</v>
      </c>
      <c r="T1894" t="n">
        <v>0</v>
      </c>
      <c r="U1894" t="n">
        <v>1672.39</v>
      </c>
      <c r="V1894" t="inlineStr">
        <is>
          <t>No Conference Fees</t>
        </is>
      </c>
      <c r="W1894" t="inlineStr">
        <is>
          <t>Pas de frais de conférence</t>
        </is>
      </c>
      <c r="X1894" t="inlineStr">
        <is>
          <t>aafc-aac</t>
        </is>
      </c>
      <c r="Y1894" t="inlineStr">
        <is>
          <t>Agriculture and Agri-Food Canada | Agriculture et Agroalimentaire Canada</t>
        </is>
      </c>
      <c r="Z1894" t="n">
        <v>3</v>
      </c>
      <c r="AA1894" t="n">
        <v>1672.38999999999</v>
      </c>
      <c r="AB1894">
        <f>ROUND(U1894-AA1894,2)</f>
        <v/>
      </c>
      <c r="AC1894" t="b">
        <v>0</v>
      </c>
      <c r="AD1894">
        <f>IF(U1894="","MISSING_TOTAL",IF(ABS(AB1894)&lt;=0.01,"OK","CHECK"))</f>
        <v/>
      </c>
      <c r="AE1894">
        <f>IF(U1894="","MISSING",IF(AND(AA1894&gt;0,U1894/AA1894&gt;50),"POSSIBLE_SCALE_ERROR","OK"))</f>
        <v/>
      </c>
    </row>
    <row r="1895">
      <c r="A1895" t="inlineStr">
        <is>
          <t>T-2022-P10-0010</t>
        </is>
      </c>
      <c r="B1895" t="inlineStr">
        <is>
          <t>MPSES</t>
        </is>
      </c>
      <c r="C1895" t="inlineStr">
        <is>
          <t>Corporate Secretary</t>
        </is>
      </c>
      <c r="D1895" t="inlineStr">
        <is>
          <t>Secrétaire générale</t>
        </is>
      </c>
      <c r="E1895" t="inlineStr">
        <is>
          <t>Tamara Abel</t>
        </is>
      </c>
      <c r="F1895" t="inlineStr">
        <is>
          <t>Operational activities</t>
        </is>
      </c>
      <c r="G1895" t="inlineStr">
        <is>
          <t>Activités opérationnelles</t>
        </is>
      </c>
      <c r="H1895" s="1" t="n">
        <v>44908</v>
      </c>
      <c r="I1895" s="1" t="n">
        <v>44911</v>
      </c>
      <c r="J1895" t="inlineStr">
        <is>
          <t>Ottawa (Ontario) Canada</t>
        </is>
      </c>
      <c r="K1895" t="inlineStr">
        <is>
          <t>Ottawa (Ontario) Canada</t>
        </is>
      </c>
      <c r="P1895" t="n">
        <v>1128.32</v>
      </c>
      <c r="Q1895" t="n">
        <v>253.97</v>
      </c>
      <c r="R1895" t="n">
        <v>772.11</v>
      </c>
      <c r="S1895" t="n">
        <v>399.6</v>
      </c>
      <c r="T1895" t="n">
        <v>0</v>
      </c>
      <c r="U1895" t="n">
        <v>2554</v>
      </c>
      <c r="V1895" t="inlineStr">
        <is>
          <t>No Conference Fees</t>
        </is>
      </c>
      <c r="W1895" t="inlineStr">
        <is>
          <t>Pas de frais de conférence</t>
        </is>
      </c>
      <c r="X1895" t="inlineStr">
        <is>
          <t>aafc-aac</t>
        </is>
      </c>
      <c r="Y1895" t="inlineStr">
        <is>
          <t>Agriculture and Agri-Food Canada | Agriculture et Agroalimentaire Canada</t>
        </is>
      </c>
      <c r="Z1895" t="n">
        <v>4</v>
      </c>
      <c r="AA1895" t="n">
        <v>2554</v>
      </c>
      <c r="AB1895">
        <f>ROUND(U1895-AA1895,2)</f>
        <v/>
      </c>
      <c r="AC1895" t="b">
        <v>0</v>
      </c>
      <c r="AD1895">
        <f>IF(U1895="","MISSING_TOTAL",IF(ABS(AB1895)&lt;=0.01,"OK","CHECK"))</f>
        <v/>
      </c>
      <c r="AE1895">
        <f>IF(U1895="","MISSING",IF(AND(AA1895&gt;0,U1895/AA1895&gt;50),"POSSIBLE_SCALE_ERROR","OK"))</f>
        <v/>
      </c>
    </row>
    <row r="1896">
      <c r="A1896" t="inlineStr">
        <is>
          <t>T-2022-P10-0011</t>
        </is>
      </c>
      <c r="B1896" t="inlineStr">
        <is>
          <t>MPSES</t>
        </is>
      </c>
      <c r="C1896" t="inlineStr">
        <is>
          <t>Corporate Secretary</t>
        </is>
      </c>
      <c r="D1896" t="inlineStr">
        <is>
          <t>Secrétaire générale</t>
        </is>
      </c>
      <c r="E1896" t="inlineStr">
        <is>
          <t>Tamara Abel</t>
        </is>
      </c>
      <c r="F1896" t="inlineStr">
        <is>
          <t>Operational activities</t>
        </is>
      </c>
      <c r="G1896" t="inlineStr">
        <is>
          <t>Activités opérationnelles</t>
        </is>
      </c>
      <c r="H1896" s="1" t="n">
        <v>44934</v>
      </c>
      <c r="I1896" s="1" t="n">
        <v>44939</v>
      </c>
      <c r="J1896" t="inlineStr">
        <is>
          <t>Ottawa (Ontario) Canada</t>
        </is>
      </c>
      <c r="K1896" t="inlineStr">
        <is>
          <t>Ottawa (Ontario) Canada</t>
        </is>
      </c>
      <c r="P1896" t="n">
        <v>748.63</v>
      </c>
      <c r="Q1896" t="n">
        <v>428.62</v>
      </c>
      <c r="R1896" t="n">
        <v>1295.63</v>
      </c>
      <c r="S1896" t="n">
        <v>639.1</v>
      </c>
      <c r="T1896" t="n">
        <v>0</v>
      </c>
      <c r="U1896" t="n">
        <v>3111.98</v>
      </c>
      <c r="V1896" t="inlineStr">
        <is>
          <t>No Conference Fees; Total of all uber receipts is $281.91, but only claimed $281.87</t>
        </is>
      </c>
      <c r="W1896" t="inlineStr">
        <is>
          <t>Pas de frais de conférence; Le total de tous les reçus uber est de 281,91 $, mais n'a réclamé que 281,87 $</t>
        </is>
      </c>
      <c r="X1896" t="inlineStr">
        <is>
          <t>aafc-aac</t>
        </is>
      </c>
      <c r="Y1896" t="inlineStr">
        <is>
          <t>Agriculture and Agri-Food Canada | Agriculture et Agroalimentaire Canada</t>
        </is>
      </c>
      <c r="Z1896" t="n">
        <v>6</v>
      </c>
      <c r="AA1896" t="n">
        <v>3111.98</v>
      </c>
      <c r="AB1896">
        <f>ROUND(U1896-AA1896,2)</f>
        <v/>
      </c>
      <c r="AC1896" t="b">
        <v>0</v>
      </c>
      <c r="AD1896">
        <f>IF(U1896="","MISSING_TOTAL",IF(ABS(AB1896)&lt;=0.01,"OK","CHECK"))</f>
        <v/>
      </c>
      <c r="AE1896">
        <f>IF(U1896="","MISSING",IF(AND(AA1896&gt;0,U1896/AA1896&gt;50),"POSSIBLE_SCALE_ERROR","OK"))</f>
        <v/>
      </c>
    </row>
    <row r="1897">
      <c r="A1897" t="inlineStr">
        <is>
          <t>T-2022-P10-0012</t>
        </is>
      </c>
      <c r="B1897" t="inlineStr">
        <is>
          <t>SLE</t>
        </is>
      </c>
      <c r="C1897" t="inlineStr">
        <is>
          <t>Assistant Deputy Minister</t>
        </is>
      </c>
      <c r="D1897" t="inlineStr">
        <is>
          <t>Sous-ministre adjoint</t>
        </is>
      </c>
      <c r="E1897" t="inlineStr">
        <is>
          <t>Gilles Saindon</t>
        </is>
      </c>
      <c r="F1897" t="inlineStr">
        <is>
          <t>Meeting with Genome Canada at 150 Metcalfe St. Suite 2100</t>
        </is>
      </c>
      <c r="G1897" t="inlineStr">
        <is>
          <t>Rencontre avec Génome Canada au 150, rue Metcalfe, Suite 2100</t>
        </is>
      </c>
      <c r="H1897" s="1" t="n">
        <v>44943</v>
      </c>
      <c r="I1897" s="1" t="n">
        <v>44943</v>
      </c>
      <c r="J1897" t="inlineStr">
        <is>
          <t>Ottawa (Ontario) Canada</t>
        </is>
      </c>
      <c r="K1897" t="inlineStr">
        <is>
          <t>Ottawa (Ontario) Canada</t>
        </is>
      </c>
      <c r="P1897" t="n">
        <v>0</v>
      </c>
      <c r="Q1897" t="n">
        <v>10</v>
      </c>
      <c r="R1897" t="n">
        <v>0</v>
      </c>
      <c r="S1897" t="n">
        <v>0</v>
      </c>
      <c r="T1897" t="n">
        <v>0</v>
      </c>
      <c r="U1897" t="n">
        <v>10</v>
      </c>
      <c r="V1897" t="inlineStr">
        <is>
          <t>Parking fee - reimbursed his BTA</t>
        </is>
      </c>
      <c r="W1897" t="inlineStr">
        <is>
          <t>Frais de stationnement - remboursé via son AGV</t>
        </is>
      </c>
      <c r="X1897" t="inlineStr">
        <is>
          <t>aafc-aac</t>
        </is>
      </c>
      <c r="Y1897" t="inlineStr">
        <is>
          <t>Agriculture and Agri-Food Canada | Agriculture et Agroalimentaire Canada</t>
        </is>
      </c>
      <c r="Z1897" t="n">
        <v>1</v>
      </c>
      <c r="AA1897" t="n">
        <v>10</v>
      </c>
      <c r="AB1897">
        <f>ROUND(U1897-AA1897,2)</f>
        <v/>
      </c>
      <c r="AC1897" t="b">
        <v>0</v>
      </c>
      <c r="AD1897">
        <f>IF(U1897="","MISSING_TOTAL",IF(ABS(AB1897)&lt;=0.01,"OK","CHECK"))</f>
        <v/>
      </c>
      <c r="AE1897">
        <f>IF(U1897="","MISSING",IF(AND(AA1897&gt;0,U1897/AA1897&gt;50),"POSSIBLE_SCALE_ERROR","OK"))</f>
        <v/>
      </c>
    </row>
    <row r="1898">
      <c r="A1898" t="inlineStr">
        <is>
          <t>T-2022-P10-0013</t>
        </is>
      </c>
      <c r="B1898" t="inlineStr">
        <is>
          <t>SLE</t>
        </is>
      </c>
      <c r="C1898" t="inlineStr">
        <is>
          <t>Assistant Deputy Minister</t>
        </is>
      </c>
      <c r="D1898" t="inlineStr">
        <is>
          <t>Sous-Ministre Adjointe</t>
        </is>
      </c>
      <c r="E1898" t="inlineStr">
        <is>
          <t>Kathleen Donohue</t>
        </is>
      </c>
      <c r="F1898" t="inlineStr">
        <is>
          <t>Attend the National Association of State Departments of Agriculture (NASDA)</t>
        </is>
      </c>
      <c r="G1898" t="inlineStr">
        <is>
          <t>Assister le National Association of State Departments of Agriculture (NASDA)</t>
        </is>
      </c>
      <c r="H1898" s="1" t="n">
        <v>44831</v>
      </c>
      <c r="I1898" s="1" t="n">
        <v>44833</v>
      </c>
      <c r="J1898" t="inlineStr">
        <is>
          <t>Saratoga Springs (New York) USA</t>
        </is>
      </c>
      <c r="K1898" t="inlineStr">
        <is>
          <t>Saratoga Springs (New York) États-Unis</t>
        </is>
      </c>
      <c r="P1898" t="n">
        <v>0</v>
      </c>
      <c r="Q1898" t="n">
        <v>517.01</v>
      </c>
      <c r="R1898" t="n">
        <v>541.04</v>
      </c>
      <c r="S1898" t="n">
        <v>231.94</v>
      </c>
      <c r="T1898" t="n">
        <v>1139.14</v>
      </c>
      <c r="U1898" t="n">
        <v>2429.13</v>
      </c>
      <c r="V1898" t="inlineStr">
        <is>
          <t>Other expenses is her Confernce fee</t>
        </is>
      </c>
      <c r="W1898" t="inlineStr">
        <is>
          <t>Autres dépenses sont ses frais de conférence</t>
        </is>
      </c>
      <c r="X1898" t="inlineStr">
        <is>
          <t>aafc-aac</t>
        </is>
      </c>
      <c r="Y1898" t="inlineStr">
        <is>
          <t>Agriculture and Agri-Food Canada | Agriculture et Agroalimentaire Canada</t>
        </is>
      </c>
      <c r="Z1898" t="n">
        <v>3</v>
      </c>
      <c r="AA1898" t="n">
        <v>2429.13</v>
      </c>
      <c r="AB1898">
        <f>ROUND(U1898-AA1898,2)</f>
        <v/>
      </c>
      <c r="AC1898" t="b">
        <v>0</v>
      </c>
      <c r="AD1898">
        <f>IF(U1898="","MISSING_TOTAL",IF(ABS(AB1898)&lt;=0.01,"OK","CHECK"))</f>
        <v/>
      </c>
      <c r="AE1898">
        <f>IF(U1898="","MISSING",IF(AND(AA1898&gt;0,U1898/AA1898&gt;50),"POSSIBLE_SCALE_ERROR","OK"))</f>
        <v/>
      </c>
    </row>
    <row r="1899">
      <c r="A1899" t="inlineStr">
        <is>
          <t>T-2022-P10-0014</t>
        </is>
      </c>
      <c r="B1899" t="inlineStr">
        <is>
          <t>SLE</t>
        </is>
      </c>
      <c r="C1899" t="inlineStr">
        <is>
          <t>Assistant Deputy Minister</t>
        </is>
      </c>
      <c r="D1899" t="inlineStr">
        <is>
          <t>Sous-Ministre Adjointe</t>
        </is>
      </c>
      <c r="E1899" t="inlineStr">
        <is>
          <t>Kathleen Donohue</t>
        </is>
      </c>
      <c r="F1899" t="inlineStr">
        <is>
          <t>Study Visit Washington /New York</t>
        </is>
      </c>
      <c r="G1899" t="inlineStr">
        <is>
          <t>Visite d’étude Washington / New York</t>
        </is>
      </c>
      <c r="H1899" s="1" t="n">
        <v>44815</v>
      </c>
      <c r="I1899" s="1" t="n">
        <v>44822</v>
      </c>
      <c r="J1899" t="inlineStr">
        <is>
          <t>Washington (DC) United States
New York (New York) United States</t>
        </is>
      </c>
      <c r="K1899" t="inlineStr">
        <is>
          <t>Washington (DC) États-Unis
New York (New York) États-Unis</t>
        </is>
      </c>
      <c r="P1899" t="n">
        <v>1322.11</v>
      </c>
      <c r="Q1899" t="n">
        <v>563.86</v>
      </c>
      <c r="R1899" t="n">
        <v>2739.05</v>
      </c>
      <c r="S1899" t="n">
        <v>1028.8</v>
      </c>
      <c r="T1899" t="n">
        <v>0</v>
      </c>
      <c r="U1899" t="n">
        <v>5653.82</v>
      </c>
      <c r="X1899" t="inlineStr">
        <is>
          <t>aafc-aac</t>
        </is>
      </c>
      <c r="Y1899" t="inlineStr">
        <is>
          <t>Agriculture and Agri-Food Canada | Agriculture et Agroalimentaire Canada</t>
        </is>
      </c>
      <c r="Z1899" t="n">
        <v>8</v>
      </c>
      <c r="AA1899" t="n">
        <v>5653.82</v>
      </c>
      <c r="AB1899">
        <f>ROUND(U1899-AA1899,2)</f>
        <v/>
      </c>
      <c r="AC1899" t="b">
        <v>0</v>
      </c>
      <c r="AD1899">
        <f>IF(U1899="","MISSING_TOTAL",IF(ABS(AB1899)&lt;=0.01,"OK","CHECK"))</f>
        <v/>
      </c>
      <c r="AE1899">
        <f>IF(U1899="","MISSING",IF(AND(AA1899&gt;0,U1899/AA1899&gt;50),"POSSIBLE_SCALE_ERROR","OK"))</f>
        <v/>
      </c>
    </row>
    <row r="1900">
      <c r="A1900" t="inlineStr">
        <is>
          <t>T-2022-P10-0015</t>
        </is>
      </c>
      <c r="B1900" t="inlineStr">
        <is>
          <t>SLE</t>
        </is>
      </c>
      <c r="C1900" t="inlineStr">
        <is>
          <t>Chief Audit Executive</t>
        </is>
      </c>
      <c r="D1900" t="inlineStr">
        <is>
          <t>Dirigeante principale de la vérification</t>
        </is>
      </c>
      <c r="E1900" t="inlineStr">
        <is>
          <t>Kimberly Saunders</t>
        </is>
      </c>
      <c r="F1900" t="inlineStr">
        <is>
          <t>Training on risk management</t>
        </is>
      </c>
      <c r="G1900" t="inlineStr">
        <is>
          <t>Formation sur la gestion des risques</t>
        </is>
      </c>
      <c r="H1900" s="1" t="n">
        <v>44906</v>
      </c>
      <c r="I1900" s="1" t="n">
        <v>44908</v>
      </c>
      <c r="J1900" t="inlineStr">
        <is>
          <t>Toronto (Ontario) Canada</t>
        </is>
      </c>
      <c r="K1900" t="inlineStr">
        <is>
          <t>Toronto (Ontario) Canada</t>
        </is>
      </c>
      <c r="P1900" t="n">
        <v>0</v>
      </c>
      <c r="Q1900" t="n">
        <v>676.52</v>
      </c>
      <c r="R1900" t="n">
        <v>444.22</v>
      </c>
      <c r="S1900" t="n">
        <v>221.7</v>
      </c>
      <c r="T1900" t="n">
        <v>0</v>
      </c>
      <c r="U1900" t="n">
        <v>1342.44</v>
      </c>
      <c r="X1900" t="inlineStr">
        <is>
          <t>aafc-aac</t>
        </is>
      </c>
      <c r="Y1900" t="inlineStr">
        <is>
          <t>Agriculture and Agri-Food Canada | Agriculture et Agroalimentaire Canada</t>
        </is>
      </c>
      <c r="Z1900" t="n">
        <v>3</v>
      </c>
      <c r="AA1900" t="n">
        <v>1342.44</v>
      </c>
      <c r="AB1900">
        <f>ROUND(U1900-AA1900,2)</f>
        <v/>
      </c>
      <c r="AC1900" t="b">
        <v>0</v>
      </c>
      <c r="AD1900">
        <f>IF(U1900="","MISSING_TOTAL",IF(ABS(AB1900)&lt;=0.01,"OK","CHECK"))</f>
        <v/>
      </c>
      <c r="AE1900">
        <f>IF(U1900="","MISSING",IF(AND(AA1900&gt;0,U1900/AA1900&gt;50),"POSSIBLE_SCALE_ERROR","OK"))</f>
        <v/>
      </c>
    </row>
    <row r="1901">
      <c r="A1901" t="inlineStr">
        <is>
          <t>T-2022-P10-0016</t>
        </is>
      </c>
      <c r="B1901" t="inlineStr">
        <is>
          <t>SLE</t>
        </is>
      </c>
      <c r="C1901" t="inlineStr">
        <is>
          <t>Assistant Deputy Minister, Strategic Policy Branch</t>
        </is>
      </c>
      <c r="D1901" t="inlineStr">
        <is>
          <t>Sous-ministre adjointe, Direction générale des politiques stratégiques</t>
        </is>
      </c>
      <c r="E1901" t="inlineStr">
        <is>
          <t>Natasha Kim</t>
        </is>
      </c>
      <c r="F1901" t="inlineStr">
        <is>
          <t>ADM Natasha Kim attended the United Nations Biodiversity Conference (COP15) in Montreal to support the minister</t>
        </is>
      </c>
      <c r="G1901" t="inlineStr">
        <is>
          <t>La SMA Natasha Kim a assisté à la conférence des Nations unies sur la biodiversité (COP15) à Montréal pour soutenir la ministre.</t>
        </is>
      </c>
      <c r="H1901" s="1" t="n">
        <v>44908</v>
      </c>
      <c r="I1901" s="1" t="n">
        <v>44912</v>
      </c>
      <c r="J1901" t="inlineStr">
        <is>
          <t>Montréal (Quebec) Canada</t>
        </is>
      </c>
      <c r="K1901" t="inlineStr">
        <is>
          <t>Montréal (Québec) Canada</t>
        </is>
      </c>
      <c r="P1901" t="n">
        <v>0</v>
      </c>
      <c r="Q1901" t="n">
        <v>424.8</v>
      </c>
      <c r="R1901" t="n">
        <v>1375.68</v>
      </c>
      <c r="S1901" t="n">
        <v>416.65</v>
      </c>
      <c r="T1901" t="n">
        <v>0</v>
      </c>
      <c r="U1901" t="n">
        <v>2217.13</v>
      </c>
      <c r="X1901" t="inlineStr">
        <is>
          <t>aafc-aac</t>
        </is>
      </c>
      <c r="Y1901" t="inlineStr">
        <is>
          <t>Agriculture and Agri-Food Canada | Agriculture et Agroalimentaire Canada</t>
        </is>
      </c>
      <c r="Z1901" t="n">
        <v>5</v>
      </c>
      <c r="AA1901" t="n">
        <v>2217.13</v>
      </c>
      <c r="AB1901">
        <f>ROUND(U1901-AA1901,2)</f>
        <v/>
      </c>
      <c r="AC1901" t="b">
        <v>0</v>
      </c>
      <c r="AD1901">
        <f>IF(U1901="","MISSING_TOTAL",IF(ABS(AB1901)&lt;=0.01,"OK","CHECK"))</f>
        <v/>
      </c>
      <c r="AE1901">
        <f>IF(U1901="","MISSING",IF(AND(AA1901&gt;0,U1901/AA1901&gt;50),"POSSIBLE_SCALE_ERROR","OK"))</f>
        <v/>
      </c>
    </row>
    <row r="1902">
      <c r="A1902" t="inlineStr">
        <is>
          <t>T-2022-P10-0017</t>
        </is>
      </c>
      <c r="B1902" t="inlineStr">
        <is>
          <t>SLE</t>
        </is>
      </c>
      <c r="C1902" t="inlineStr">
        <is>
          <t>Assistant Deputy Minister, Strategic Policy Branch</t>
        </is>
      </c>
      <c r="D1902" t="inlineStr">
        <is>
          <t>Sous-ministre adjointe, Direction générale des politiques stratégiques</t>
        </is>
      </c>
      <c r="E1902" t="inlineStr">
        <is>
          <t>Natasha Kim</t>
        </is>
      </c>
      <c r="F1902" t="inlineStr">
        <is>
          <t>ADM Natasha Kim went to Niagara Falls for the Women in Ag conference (she spoke at a roundtable event).</t>
        </is>
      </c>
      <c r="G1902" t="inlineStr">
        <is>
          <t>La SMA Natasha Kim s'est rendue à Niagara Falls pour la conférence Women in Ag (elle a pris la parole lors d'une table ronde).</t>
        </is>
      </c>
      <c r="H1902" s="1" t="n">
        <v>44886</v>
      </c>
      <c r="I1902" s="1" t="n">
        <v>44887</v>
      </c>
      <c r="J1902" t="inlineStr">
        <is>
          <t>Niagara Falls (Ontario) Canada</t>
        </is>
      </c>
      <c r="K1902" t="inlineStr">
        <is>
          <t>Niagara Falls (Ontario) Canada</t>
        </is>
      </c>
      <c r="P1902" t="n">
        <v>737.27</v>
      </c>
      <c r="Q1902" t="n">
        <v>337.74</v>
      </c>
      <c r="R1902" t="n">
        <v>193.17</v>
      </c>
      <c r="S1902" t="n">
        <v>170.85</v>
      </c>
      <c r="T1902" t="n">
        <v>0</v>
      </c>
      <c r="U1902" t="n">
        <v>1439.03</v>
      </c>
      <c r="X1902" t="inlineStr">
        <is>
          <t>aafc-aac</t>
        </is>
      </c>
      <c r="Y1902" t="inlineStr">
        <is>
          <t>Agriculture and Agri-Food Canada | Agriculture et Agroalimentaire Canada</t>
        </is>
      </c>
      <c r="Z1902" t="n">
        <v>2</v>
      </c>
      <c r="AA1902" t="n">
        <v>1439.03</v>
      </c>
      <c r="AB1902">
        <f>ROUND(U1902-AA1902,2)</f>
        <v/>
      </c>
      <c r="AC1902" t="b">
        <v>0</v>
      </c>
      <c r="AD1902">
        <f>IF(U1902="","MISSING_TOTAL",IF(ABS(AB1902)&lt;=0.01,"OK","CHECK"))</f>
        <v/>
      </c>
      <c r="AE1902">
        <f>IF(U1902="","MISSING",IF(AND(AA1902&gt;0,U1902/AA1902&gt;50),"POSSIBLE_SCALE_ERROR","OK"))</f>
        <v/>
      </c>
    </row>
    <row r="1903">
      <c r="A1903" t="inlineStr">
        <is>
          <t>T-2022-P10-0018</t>
        </is>
      </c>
      <c r="B1903" t="inlineStr">
        <is>
          <t>SLE</t>
        </is>
      </c>
      <c r="C1903" t="inlineStr">
        <is>
          <t>Assistant Deputy Minister, Market and Industry Services Branch</t>
        </is>
      </c>
      <c r="D1903" t="inlineStr">
        <is>
          <t>Sous-ministre adjoint, Direction générale des services à l'industrie et aux marchés</t>
        </is>
      </c>
      <c r="E1903" t="inlineStr">
        <is>
          <t>Tom Rosser</t>
        </is>
      </c>
      <c r="F1903" t="inlineStr">
        <is>
          <t>Taxi fare to the Canadian Food Inspection Agency Ministerial meeting.</t>
        </is>
      </c>
      <c r="G1903" t="inlineStr">
        <is>
          <t>Tarif du taxi jusqu’à la réunion ministérielle de  l’Agence canadienne d'inspection des aliments.</t>
        </is>
      </c>
      <c r="H1903" s="1" t="n">
        <v>44900</v>
      </c>
      <c r="I1903" s="1" t="n">
        <v>44900</v>
      </c>
      <c r="J1903" t="inlineStr">
        <is>
          <t>Ottawa (Ontario) Canada</t>
        </is>
      </c>
      <c r="K1903" t="inlineStr">
        <is>
          <t>Ottawa (Ontario) Canada</t>
        </is>
      </c>
      <c r="P1903" t="n">
        <v>0</v>
      </c>
      <c r="Q1903" t="n">
        <v>14.5</v>
      </c>
      <c r="R1903" t="n">
        <v>0</v>
      </c>
      <c r="S1903" t="n">
        <v>0</v>
      </c>
      <c r="T1903" t="n">
        <v>0</v>
      </c>
      <c r="U1903" t="n">
        <v>14.5</v>
      </c>
      <c r="X1903" t="inlineStr">
        <is>
          <t>aafc-aac</t>
        </is>
      </c>
      <c r="Y1903" t="inlineStr">
        <is>
          <t>Agriculture and Agri-Food Canada | Agriculture et Agroalimentaire Canada</t>
        </is>
      </c>
      <c r="Z1903" t="n">
        <v>1</v>
      </c>
      <c r="AA1903" t="n">
        <v>14.5</v>
      </c>
      <c r="AB1903">
        <f>ROUND(U1903-AA1903,2)</f>
        <v/>
      </c>
      <c r="AC1903" t="b">
        <v>0</v>
      </c>
      <c r="AD1903">
        <f>IF(U1903="","MISSING_TOTAL",IF(ABS(AB1903)&lt;=0.01,"OK","CHECK"))</f>
        <v/>
      </c>
      <c r="AE1903">
        <f>IF(U1903="","MISSING",IF(AND(AA1903&gt;0,U1903/AA1903&gt;50),"POSSIBLE_SCALE_ERROR","OK"))</f>
        <v/>
      </c>
    </row>
    <row r="1904">
      <c r="A1904" t="inlineStr">
        <is>
          <t>T-2022-P11-0001</t>
        </is>
      </c>
      <c r="B1904" t="inlineStr">
        <is>
          <t>MPSES</t>
        </is>
      </c>
      <c r="C1904" t="inlineStr">
        <is>
          <t>Minister</t>
        </is>
      </c>
      <c r="D1904" t="inlineStr">
        <is>
          <t>Ministre</t>
        </is>
      </c>
      <c r="E1904" t="inlineStr">
        <is>
          <t>Marie-Claude Bibeau</t>
        </is>
      </c>
      <c r="F1904" t="inlineStr">
        <is>
          <t>To meet with the Minister of State at the Department for Environment, Food and Rural Affairs as well as Columbia's Minister of Agriculture and various members of the German Federal Ministry</t>
        </is>
      </c>
      <c r="G1904" t="inlineStr">
        <is>
          <t>Pour rencontrer la ministre d'État au ministère de l'environnement, de l'alimentation et des affaires rurales ainsi que le ministre de l'agriculture de la Colombie et plusieurs membres du ministère fédéral allemand.</t>
        </is>
      </c>
      <c r="H1904" s="1" t="n">
        <v>44943</v>
      </c>
      <c r="I1904" s="1" t="n">
        <v>44948</v>
      </c>
      <c r="J1904" t="inlineStr">
        <is>
          <t>London (England) United Kingdom;
Berlin, Germany</t>
        </is>
      </c>
      <c r="K1904" t="inlineStr">
        <is>
          <t>Londres (Angleterre) Royaume-Uni;
Berlin, Allemagne</t>
        </is>
      </c>
      <c r="P1904" t="n">
        <v>8273.540000000001</v>
      </c>
      <c r="Q1904" t="n">
        <v>0</v>
      </c>
      <c r="R1904" t="n">
        <v>511.2</v>
      </c>
      <c r="S1904" t="n">
        <v>694.92</v>
      </c>
      <c r="T1904" t="n">
        <v>0</v>
      </c>
      <c r="U1904" t="n">
        <v>9479.66</v>
      </c>
      <c r="V1904" t="inlineStr">
        <is>
          <t>No conference fees</t>
        </is>
      </c>
      <c r="W1904" t="inlineStr">
        <is>
          <t>Pas de frais de conférence</t>
        </is>
      </c>
      <c r="X1904" t="inlineStr">
        <is>
          <t>aafc-aac</t>
        </is>
      </c>
      <c r="Y1904" t="inlineStr">
        <is>
          <t>Agriculture and Agri-Food Canada | Agriculture et Agroalimentaire Canada</t>
        </is>
      </c>
      <c r="Z1904" t="n">
        <v>6</v>
      </c>
      <c r="AA1904" t="n">
        <v>9479.66</v>
      </c>
      <c r="AB1904">
        <f>ROUND(U1904-AA1904,2)</f>
        <v/>
      </c>
      <c r="AC1904" t="b">
        <v>0</v>
      </c>
      <c r="AD1904">
        <f>IF(U1904="","MISSING_TOTAL",IF(ABS(AB1904)&lt;=0.01,"OK","CHECK"))</f>
        <v/>
      </c>
      <c r="AE1904">
        <f>IF(U1904="","MISSING",IF(AND(AA1904&gt;0,U1904/AA1904&gt;50),"POSSIBLE_SCALE_ERROR","OK"))</f>
        <v/>
      </c>
    </row>
    <row r="1905">
      <c r="A1905" t="inlineStr">
        <is>
          <t>T-2022-P11-0002</t>
        </is>
      </c>
      <c r="B1905" t="inlineStr">
        <is>
          <t>MPSES</t>
        </is>
      </c>
      <c r="C1905" t="inlineStr">
        <is>
          <t>Minister</t>
        </is>
      </c>
      <c r="D1905" t="inlineStr">
        <is>
          <t>Ministre</t>
        </is>
      </c>
      <c r="E1905" t="inlineStr">
        <is>
          <t>Marie-Claude Bibeau</t>
        </is>
      </c>
      <c r="F1905" t="inlineStr">
        <is>
          <t>To attend the Minister's Cabinet Retreat</t>
        </is>
      </c>
      <c r="G1905" t="inlineStr">
        <is>
          <t>Participer à la retraite du cabinet de la ministre</t>
        </is>
      </c>
      <c r="H1905" s="1" t="n">
        <v>44948</v>
      </c>
      <c r="I1905" s="1" t="n">
        <v>44952</v>
      </c>
      <c r="J1905" t="inlineStr">
        <is>
          <t>Hamilton (Ontario) Canada</t>
        </is>
      </c>
      <c r="K1905" t="inlineStr">
        <is>
          <t>Hamilton (Ontario) Canada</t>
        </is>
      </c>
      <c r="P1905" t="n">
        <v>460.62</v>
      </c>
      <c r="Q1905" t="n">
        <v>0</v>
      </c>
      <c r="R1905" t="n">
        <v>841.4400000000001</v>
      </c>
      <c r="S1905" t="n">
        <v>363.7</v>
      </c>
      <c r="T1905" t="n">
        <v>0</v>
      </c>
      <c r="U1905" t="n">
        <v>1665.76</v>
      </c>
      <c r="V1905" t="inlineStr">
        <is>
          <t>No conference fees</t>
        </is>
      </c>
      <c r="W1905" t="inlineStr">
        <is>
          <t>Pas de frais de conférence</t>
        </is>
      </c>
      <c r="X1905" t="inlineStr">
        <is>
          <t>aafc-aac</t>
        </is>
      </c>
      <c r="Y1905" t="inlineStr">
        <is>
          <t>Agriculture and Agri-Food Canada | Agriculture et Agroalimentaire Canada</t>
        </is>
      </c>
      <c r="Z1905" t="n">
        <v>5</v>
      </c>
      <c r="AA1905" t="n">
        <v>1665.76</v>
      </c>
      <c r="AB1905">
        <f>ROUND(U1905-AA1905,2)</f>
        <v/>
      </c>
      <c r="AC1905" t="b">
        <v>0</v>
      </c>
      <c r="AD1905">
        <f>IF(U1905="","MISSING_TOTAL",IF(ABS(AB1905)&lt;=0.01,"OK","CHECK"))</f>
        <v/>
      </c>
      <c r="AE1905">
        <f>IF(U1905="","MISSING",IF(AND(AA1905&gt;0,U1905/AA1905&gt;50),"POSSIBLE_SCALE_ERROR","OK"))</f>
        <v/>
      </c>
    </row>
    <row r="1906">
      <c r="A1906" t="inlineStr">
        <is>
          <t>T-2022-P11-0003</t>
        </is>
      </c>
      <c r="B1906" t="inlineStr">
        <is>
          <t>MPSES</t>
        </is>
      </c>
      <c r="C1906" t="inlineStr">
        <is>
          <t>Director of Operations</t>
        </is>
      </c>
      <c r="D1906" t="inlineStr">
        <is>
          <t>Directeur des opérations</t>
        </is>
      </c>
      <c r="E1906" t="inlineStr">
        <is>
          <t>Abed Harb</t>
        </is>
      </c>
      <c r="F1906" t="inlineStr">
        <is>
          <t>To support the Minister in various meetings with stakeholders</t>
        </is>
      </c>
      <c r="G1906" t="inlineStr">
        <is>
          <t>Pour soutenir la ministre lors de diverses réunions avec les parties prenantes</t>
        </is>
      </c>
      <c r="H1906" s="1" t="n">
        <v>44907</v>
      </c>
      <c r="I1906" s="1" t="n">
        <v>44910</v>
      </c>
      <c r="J1906" t="inlineStr">
        <is>
          <t>Ottawa (Ontario) Canada</t>
        </is>
      </c>
      <c r="K1906" t="inlineStr">
        <is>
          <t>Ottawa (Ontario) Canada</t>
        </is>
      </c>
      <c r="P1906" t="n">
        <v>732.55</v>
      </c>
      <c r="Q1906" t="n">
        <v>95.38</v>
      </c>
      <c r="R1906" t="n">
        <v>498.47</v>
      </c>
      <c r="S1906" t="n">
        <v>0</v>
      </c>
      <c r="T1906" t="n">
        <v>0</v>
      </c>
      <c r="U1906" t="n">
        <v>1326.4</v>
      </c>
      <c r="V1906" t="inlineStr">
        <is>
          <t>No conference fees</t>
        </is>
      </c>
      <c r="W1906" t="inlineStr">
        <is>
          <t>Pas de frais de conférence</t>
        </is>
      </c>
      <c r="X1906" t="inlineStr">
        <is>
          <t>aafc-aac</t>
        </is>
      </c>
      <c r="Y1906" t="inlineStr">
        <is>
          <t>Agriculture and Agri-Food Canada | Agriculture et Agroalimentaire Canada</t>
        </is>
      </c>
      <c r="Z1906" t="n">
        <v>4</v>
      </c>
      <c r="AA1906" t="n">
        <v>1326.4</v>
      </c>
      <c r="AB1906">
        <f>ROUND(U1906-AA1906,2)</f>
        <v/>
      </c>
      <c r="AC1906" t="b">
        <v>0</v>
      </c>
      <c r="AD1906">
        <f>IF(U1906="","MISSING_TOTAL",IF(ABS(AB1906)&lt;=0.01,"OK","CHECK"))</f>
        <v/>
      </c>
      <c r="AE1906">
        <f>IF(U1906="","MISSING",IF(AND(AA1906&gt;0,U1906/AA1906&gt;50),"POSSIBLE_SCALE_ERROR","OK"))</f>
        <v/>
      </c>
    </row>
    <row r="1907">
      <c r="A1907" t="inlineStr">
        <is>
          <t>T-2022-P11-0004</t>
        </is>
      </c>
      <c r="B1907" t="inlineStr">
        <is>
          <t>MPSES</t>
        </is>
      </c>
      <c r="C1907" t="inlineStr">
        <is>
          <t>Director of Communications</t>
        </is>
      </c>
      <c r="D1907" t="inlineStr">
        <is>
          <t>Directrice des communications</t>
        </is>
      </c>
      <c r="E1907" t="inlineStr">
        <is>
          <t>Marianne Dandurand</t>
        </is>
      </c>
      <c r="F1907" t="inlineStr">
        <is>
          <t>To support the Minister to meet with the Minister of State at the Department for Environment, Food and Rural Affairs as well as Columbia's Minister of Agriculture and various members of the German Federal Ministry</t>
        </is>
      </c>
      <c r="G1907" t="inlineStr">
        <is>
          <t>Pour soutenir la ministre pour qu'elle rencontre la ministre d'État au ministère de l'environnement, de l'alimentation et des affaires rurales ainsi que le ministre de l'agriculture de la Colombie et divers membres du ministère fédéral allemand.</t>
        </is>
      </c>
      <c r="H1907" s="1" t="n">
        <v>44942</v>
      </c>
      <c r="I1907" s="1" t="n">
        <v>44948</v>
      </c>
      <c r="J1907" t="inlineStr">
        <is>
          <t>London (England) United Kingdom;
Berlin, Germany</t>
        </is>
      </c>
      <c r="K1907" t="inlineStr">
        <is>
          <t>Londres (Angleterre) Royaume-Uni;
Berlin, Allemagne</t>
        </is>
      </c>
      <c r="P1907" t="n">
        <v>2083.04</v>
      </c>
      <c r="Q1907" t="n">
        <v>329.82</v>
      </c>
      <c r="R1907" t="n">
        <v>2511.78</v>
      </c>
      <c r="S1907" t="n">
        <v>938.71</v>
      </c>
      <c r="T1907" t="n">
        <v>0</v>
      </c>
      <c r="U1907" t="n">
        <v>5863.35</v>
      </c>
      <c r="V1907" t="inlineStr">
        <is>
          <t>No conference fees</t>
        </is>
      </c>
      <c r="W1907" t="inlineStr">
        <is>
          <t>Pas de frais de conférence</t>
        </is>
      </c>
      <c r="X1907" t="inlineStr">
        <is>
          <t>aafc-aac</t>
        </is>
      </c>
      <c r="Y1907" t="inlineStr">
        <is>
          <t>Agriculture and Agri-Food Canada | Agriculture et Agroalimentaire Canada</t>
        </is>
      </c>
      <c r="Z1907" t="n">
        <v>7</v>
      </c>
      <c r="AA1907" t="n">
        <v>5863.35</v>
      </c>
      <c r="AB1907">
        <f>ROUND(U1907-AA1907,2)</f>
        <v/>
      </c>
      <c r="AC1907" t="b">
        <v>0</v>
      </c>
      <c r="AD1907">
        <f>IF(U1907="","MISSING_TOTAL",IF(ABS(AB1907)&lt;=0.01,"OK","CHECK"))</f>
        <v/>
      </c>
      <c r="AE1907">
        <f>IF(U1907="","MISSING",IF(AND(AA1907&gt;0,U1907/AA1907&gt;50),"POSSIBLE_SCALE_ERROR","OK"))</f>
        <v/>
      </c>
    </row>
    <row r="1908">
      <c r="A1908" t="inlineStr">
        <is>
          <t>T-2022-P11-0005</t>
        </is>
      </c>
      <c r="B1908" t="inlineStr">
        <is>
          <t>MPSES</t>
        </is>
      </c>
      <c r="C1908" t="inlineStr">
        <is>
          <t>Chief of Staff</t>
        </is>
      </c>
      <c r="D1908" t="inlineStr">
        <is>
          <t>Chef de cabinet</t>
        </is>
      </c>
      <c r="E1908" t="inlineStr">
        <is>
          <t>Jérémy Gauthier</t>
        </is>
      </c>
      <c r="F1908" t="inlineStr">
        <is>
          <t>To support the Minister to meet with the Minister of State at the Department for Environment, Food and Rural Affairs as well as Columbia's Minister of Agriculture and various members of the German Federal Ministry</t>
        </is>
      </c>
      <c r="G1908" t="inlineStr">
        <is>
          <t>Pour soutenir la ministre pour qu'elle rencontre la ministre d'État au ministère de l'environnement, de l'alimentation et des affaires rurales ainsi que le ministre de l'agriculture de la Colombie et divers membres du ministère fédéral allemand.</t>
        </is>
      </c>
      <c r="H1908" s="1" t="n">
        <v>44942</v>
      </c>
      <c r="I1908" s="1" t="n">
        <v>44948</v>
      </c>
      <c r="J1908" t="inlineStr">
        <is>
          <t>London (England) United Kingdom;
Berlin, Germany</t>
        </is>
      </c>
      <c r="K1908" t="inlineStr">
        <is>
          <t>Londres (Angleterre) Royaume-Uni;
Berlin, Allemagne</t>
        </is>
      </c>
      <c r="P1908" t="n">
        <v>2442.54</v>
      </c>
      <c r="Q1908" t="n">
        <v>59.34</v>
      </c>
      <c r="R1908" t="n">
        <v>2455.8</v>
      </c>
      <c r="S1908" t="n">
        <v>938.71</v>
      </c>
      <c r="T1908" t="n">
        <v>0</v>
      </c>
      <c r="U1908" t="n">
        <v>5896.39</v>
      </c>
      <c r="V1908" t="inlineStr">
        <is>
          <t>No conference fees</t>
        </is>
      </c>
      <c r="W1908" t="inlineStr">
        <is>
          <t>Pas de frais de conférence</t>
        </is>
      </c>
      <c r="X1908" t="inlineStr">
        <is>
          <t>aafc-aac</t>
        </is>
      </c>
      <c r="Y1908" t="inlineStr">
        <is>
          <t>Agriculture and Agri-Food Canada | Agriculture et Agroalimentaire Canada</t>
        </is>
      </c>
      <c r="Z1908" t="n">
        <v>7</v>
      </c>
      <c r="AA1908" t="n">
        <v>5896.39</v>
      </c>
      <c r="AB1908">
        <f>ROUND(U1908-AA1908,2)</f>
        <v/>
      </c>
      <c r="AC1908" t="b">
        <v>0</v>
      </c>
      <c r="AD1908">
        <f>IF(U1908="","MISSING_TOTAL",IF(ABS(AB1908)&lt;=0.01,"OK","CHECK"))</f>
        <v/>
      </c>
      <c r="AE1908">
        <f>IF(U1908="","MISSING",IF(AND(AA1908&gt;0,U1908/AA1908&gt;50),"POSSIBLE_SCALE_ERROR","OK"))</f>
        <v/>
      </c>
    </row>
    <row r="1909">
      <c r="A1909" t="inlineStr">
        <is>
          <t>T-2022-P11-0006</t>
        </is>
      </c>
      <c r="B1909" t="inlineStr">
        <is>
          <t>MPSES</t>
        </is>
      </c>
      <c r="C1909" t="inlineStr">
        <is>
          <t>Chief of Staff</t>
        </is>
      </c>
      <c r="D1909" t="inlineStr">
        <is>
          <t>Chef de cabinet</t>
        </is>
      </c>
      <c r="E1909" t="inlineStr">
        <is>
          <t>Jérémy Gauthier</t>
        </is>
      </c>
      <c r="F1909" t="inlineStr">
        <is>
          <t>To support the Minister at the Minister's Cabinet Retreat</t>
        </is>
      </c>
      <c r="G1909" t="inlineStr">
        <is>
          <t>Participer à la retraite du cabinet du ministre</t>
        </is>
      </c>
      <c r="H1909" s="1" t="n">
        <v>44948</v>
      </c>
      <c r="I1909" s="1" t="n">
        <v>44952</v>
      </c>
      <c r="J1909" t="inlineStr">
        <is>
          <t>Hamilton (Ontario) Canada</t>
        </is>
      </c>
      <c r="K1909" t="inlineStr">
        <is>
          <t>Hamilton (Ontario) Canada</t>
        </is>
      </c>
      <c r="P1909" t="n">
        <v>460.62</v>
      </c>
      <c r="Q1909" t="n">
        <v>307.02</v>
      </c>
      <c r="R1909" t="n">
        <v>913.52</v>
      </c>
      <c r="S1909" t="n">
        <v>363.7</v>
      </c>
      <c r="T1909" t="n">
        <v>0</v>
      </c>
      <c r="U1909" t="n">
        <v>2044.86</v>
      </c>
      <c r="V1909" t="inlineStr">
        <is>
          <t>No conference fees</t>
        </is>
      </c>
      <c r="W1909" t="inlineStr">
        <is>
          <t>Pas de frais de conférence</t>
        </is>
      </c>
      <c r="X1909" t="inlineStr">
        <is>
          <t>aafc-aac</t>
        </is>
      </c>
      <c r="Y1909" t="inlineStr">
        <is>
          <t>Agriculture and Agri-Food Canada | Agriculture et Agroalimentaire Canada</t>
        </is>
      </c>
      <c r="Z1909" t="n">
        <v>5</v>
      </c>
      <c r="AA1909" t="n">
        <v>2044.86</v>
      </c>
      <c r="AB1909">
        <f>ROUND(U1909-AA1909,2)</f>
        <v/>
      </c>
      <c r="AC1909" t="b">
        <v>0</v>
      </c>
      <c r="AD1909">
        <f>IF(U1909="","MISSING_TOTAL",IF(ABS(AB1909)&lt;=0.01,"OK","CHECK"))</f>
        <v/>
      </c>
      <c r="AE1909">
        <f>IF(U1909="","MISSING",IF(AND(AA1909&gt;0,U1909/AA1909&gt;50),"POSSIBLE_SCALE_ERROR","OK"))</f>
        <v/>
      </c>
    </row>
    <row r="1910">
      <c r="A1910" t="inlineStr">
        <is>
          <t>T-2022-P11-0007</t>
        </is>
      </c>
      <c r="B1910" t="inlineStr">
        <is>
          <t>MPSES</t>
        </is>
      </c>
      <c r="C1910" t="inlineStr">
        <is>
          <t>Driver</t>
        </is>
      </c>
      <c r="D1910" t="inlineStr">
        <is>
          <t>Chauffeur</t>
        </is>
      </c>
      <c r="E1910" t="inlineStr">
        <is>
          <t>Michel Gendreau</t>
        </is>
      </c>
      <c r="F1910" t="inlineStr">
        <is>
          <t>Drive the Minister from Ottawa to her riding</t>
        </is>
      </c>
      <c r="G1910" t="inlineStr">
        <is>
          <t>Conduire la ministre d'Ottawa à sa circonscription</t>
        </is>
      </c>
      <c r="H1910" s="1" t="n">
        <v>44954</v>
      </c>
      <c r="I1910" s="1" t="n">
        <v>44956</v>
      </c>
      <c r="J1910" t="inlineStr">
        <is>
          <t>Sherbrooke (Quebec) Canada</t>
        </is>
      </c>
      <c r="K1910" t="inlineStr">
        <is>
          <t>Sherbrooke (Québec) Canada</t>
        </is>
      </c>
      <c r="P1910" t="n">
        <v>0</v>
      </c>
      <c r="Q1910" t="n">
        <v>6</v>
      </c>
      <c r="R1910" t="n">
        <v>259.42</v>
      </c>
      <c r="S1910" t="n">
        <v>181.85</v>
      </c>
      <c r="T1910" t="n">
        <v>0</v>
      </c>
      <c r="U1910" t="n">
        <v>447.27</v>
      </c>
      <c r="V1910" t="inlineStr">
        <is>
          <t>No conference fees</t>
        </is>
      </c>
      <c r="W1910" t="inlineStr">
        <is>
          <t>Pas de frais de conférence</t>
        </is>
      </c>
      <c r="X1910" t="inlineStr">
        <is>
          <t>aafc-aac</t>
        </is>
      </c>
      <c r="Y1910" t="inlineStr">
        <is>
          <t>Agriculture and Agri-Food Canada | Agriculture et Agroalimentaire Canada</t>
        </is>
      </c>
      <c r="Z1910" t="n">
        <v>3</v>
      </c>
      <c r="AA1910" t="n">
        <v>447.27</v>
      </c>
      <c r="AB1910">
        <f>ROUND(U1910-AA1910,2)</f>
        <v/>
      </c>
      <c r="AC1910" t="b">
        <v>0</v>
      </c>
      <c r="AD1910">
        <f>IF(U1910="","MISSING_TOTAL",IF(ABS(AB1910)&lt;=0.01,"OK","CHECK"))</f>
        <v/>
      </c>
      <c r="AE1910">
        <f>IF(U1910="","MISSING",IF(AND(AA1910&gt;0,U1910/AA1910&gt;50),"POSSIBLE_SCALE_ERROR","OK"))</f>
        <v/>
      </c>
    </row>
    <row r="1911">
      <c r="A1911" t="inlineStr">
        <is>
          <t>T-2022-P11-0008</t>
        </is>
      </c>
      <c r="B1911" t="inlineStr">
        <is>
          <t>MPSES</t>
        </is>
      </c>
      <c r="C1911" t="inlineStr">
        <is>
          <t>Driver</t>
        </is>
      </c>
      <c r="D1911" t="inlineStr">
        <is>
          <t>Chauffeur</t>
        </is>
      </c>
      <c r="E1911" t="inlineStr">
        <is>
          <t>Michel Gendreau</t>
        </is>
      </c>
      <c r="F1911" t="inlineStr">
        <is>
          <t>Drive the Minister from Ottawa to her riding</t>
        </is>
      </c>
      <c r="G1911" t="inlineStr">
        <is>
          <t>Conduire la ministre d'Ottawa à sa circonscription</t>
        </is>
      </c>
      <c r="H1911" s="1" t="n">
        <v>44960</v>
      </c>
      <c r="I1911" s="1" t="n">
        <v>44960</v>
      </c>
      <c r="J1911" t="inlineStr">
        <is>
          <t>Sherbrooke (Quebec) Canada</t>
        </is>
      </c>
      <c r="K1911" t="inlineStr">
        <is>
          <t>Sherbrooke (Québec) Canada</t>
        </is>
      </c>
      <c r="P1911" t="n">
        <v>0</v>
      </c>
      <c r="Q1911" t="n">
        <v>7</v>
      </c>
      <c r="R1911" t="n">
        <v>0</v>
      </c>
      <c r="S1911" t="n">
        <v>56.6</v>
      </c>
      <c r="T1911" t="n">
        <v>0</v>
      </c>
      <c r="U1911" t="n">
        <v>63.6</v>
      </c>
      <c r="V1911" t="inlineStr">
        <is>
          <t>No conference fees</t>
        </is>
      </c>
      <c r="W1911" t="inlineStr">
        <is>
          <t>Pas de frais de conférence</t>
        </is>
      </c>
      <c r="X1911" t="inlineStr">
        <is>
          <t>aafc-aac</t>
        </is>
      </c>
      <c r="Y1911" t="inlineStr">
        <is>
          <t>Agriculture and Agri-Food Canada | Agriculture et Agroalimentaire Canada</t>
        </is>
      </c>
      <c r="Z1911" t="n">
        <v>1</v>
      </c>
      <c r="AA1911" t="n">
        <v>63.6</v>
      </c>
      <c r="AB1911">
        <f>ROUND(U1911-AA1911,2)</f>
        <v/>
      </c>
      <c r="AC1911" t="b">
        <v>0</v>
      </c>
      <c r="AD1911">
        <f>IF(U1911="","MISSING_TOTAL",IF(ABS(AB1911)&lt;=0.01,"OK","CHECK"))</f>
        <v/>
      </c>
      <c r="AE1911">
        <f>IF(U1911="","MISSING",IF(AND(AA1911&gt;0,U1911/AA1911&gt;50),"POSSIBLE_SCALE_ERROR","OK"))</f>
        <v/>
      </c>
    </row>
    <row r="1912">
      <c r="A1912" t="inlineStr">
        <is>
          <t>T-2022-P11-0009</t>
        </is>
      </c>
      <c r="B1912" t="inlineStr">
        <is>
          <t>MPSES</t>
        </is>
      </c>
      <c r="C1912" t="inlineStr">
        <is>
          <t>Driver</t>
        </is>
      </c>
      <c r="D1912" t="inlineStr">
        <is>
          <t>Chauffeur</t>
        </is>
      </c>
      <c r="E1912" t="inlineStr">
        <is>
          <t>Michel Gendreau</t>
        </is>
      </c>
      <c r="F1912" t="inlineStr">
        <is>
          <t>Drive the Minister from her riding to Ottawa</t>
        </is>
      </c>
      <c r="G1912" t="inlineStr">
        <is>
          <t>Conduire la ministre de sa circonscription à Ottawa</t>
        </is>
      </c>
      <c r="H1912" s="1" t="n">
        <v>44962</v>
      </c>
      <c r="I1912" s="1" t="n">
        <v>44963</v>
      </c>
      <c r="J1912" t="inlineStr">
        <is>
          <t>Ottawa (Ontario) Canada</t>
        </is>
      </c>
      <c r="K1912" t="inlineStr">
        <is>
          <t>Ottawa (Ontario) Canada</t>
        </is>
      </c>
      <c r="P1912" t="n">
        <v>0</v>
      </c>
      <c r="Q1912" t="n">
        <v>7</v>
      </c>
      <c r="R1912" t="n">
        <v>129.71</v>
      </c>
      <c r="S1912" t="n">
        <v>79.40000000000001</v>
      </c>
      <c r="T1912" t="n">
        <v>0</v>
      </c>
      <c r="U1912" t="n">
        <v>216.11</v>
      </c>
      <c r="V1912" t="inlineStr">
        <is>
          <t>No conference fees</t>
        </is>
      </c>
      <c r="W1912" t="inlineStr">
        <is>
          <t>Pas de frais de conférence</t>
        </is>
      </c>
      <c r="X1912" t="inlineStr">
        <is>
          <t>aafc-aac</t>
        </is>
      </c>
      <c r="Y1912" t="inlineStr">
        <is>
          <t>Agriculture and Agri-Food Canada | Agriculture et Agroalimentaire Canada</t>
        </is>
      </c>
      <c r="Z1912" t="n">
        <v>2</v>
      </c>
      <c r="AA1912" t="n">
        <v>216.11</v>
      </c>
      <c r="AB1912">
        <f>ROUND(U1912-AA1912,2)</f>
        <v/>
      </c>
      <c r="AC1912" t="b">
        <v>0</v>
      </c>
      <c r="AD1912">
        <f>IF(U1912="","MISSING_TOTAL",IF(ABS(AB1912)&lt;=0.01,"OK","CHECK"))</f>
        <v/>
      </c>
      <c r="AE1912">
        <f>IF(U1912="","MISSING",IF(AND(AA1912&gt;0,U1912/AA1912&gt;50),"POSSIBLE_SCALE_ERROR","OK"))</f>
        <v/>
      </c>
    </row>
    <row r="1913">
      <c r="A1913" t="inlineStr">
        <is>
          <t>T-2022-P11-0010</t>
        </is>
      </c>
      <c r="B1913" t="inlineStr">
        <is>
          <t>MPSES</t>
        </is>
      </c>
      <c r="C1913" t="inlineStr">
        <is>
          <t>Driver</t>
        </is>
      </c>
      <c r="D1913" t="inlineStr">
        <is>
          <t>Chauffeur</t>
        </is>
      </c>
      <c r="E1913" t="inlineStr">
        <is>
          <t>Michel Gendreau</t>
        </is>
      </c>
      <c r="F1913" t="inlineStr">
        <is>
          <t>Drive the Minister from Ottawa to her riding</t>
        </is>
      </c>
      <c r="G1913" t="inlineStr">
        <is>
          <t>Conduire la ministre d'Ottawa à sa circonscription</t>
        </is>
      </c>
      <c r="H1913" s="1" t="n">
        <v>44967</v>
      </c>
      <c r="I1913" s="1" t="n">
        <v>44967</v>
      </c>
      <c r="J1913" t="inlineStr">
        <is>
          <t>Sherbrooke (Quebec) Canada</t>
        </is>
      </c>
      <c r="K1913" t="inlineStr">
        <is>
          <t>Sherbrooke (Québec) Canada</t>
        </is>
      </c>
      <c r="P1913" t="n">
        <v>0</v>
      </c>
      <c r="Q1913" t="n">
        <v>7</v>
      </c>
      <c r="R1913" t="n">
        <v>0</v>
      </c>
      <c r="S1913" t="n">
        <v>56.6</v>
      </c>
      <c r="T1913" t="n">
        <v>0</v>
      </c>
      <c r="U1913" t="n">
        <v>63.6</v>
      </c>
      <c r="V1913" t="inlineStr">
        <is>
          <t>No conference fees</t>
        </is>
      </c>
      <c r="W1913" t="inlineStr">
        <is>
          <t>Pas de frais de conférence</t>
        </is>
      </c>
      <c r="X1913" t="inlineStr">
        <is>
          <t>aafc-aac</t>
        </is>
      </c>
      <c r="Y1913" t="inlineStr">
        <is>
          <t>Agriculture and Agri-Food Canada | Agriculture et Agroalimentaire Canada</t>
        </is>
      </c>
      <c r="Z1913" t="n">
        <v>1</v>
      </c>
      <c r="AA1913" t="n">
        <v>63.6</v>
      </c>
      <c r="AB1913">
        <f>ROUND(U1913-AA1913,2)</f>
        <v/>
      </c>
      <c r="AC1913" t="b">
        <v>0</v>
      </c>
      <c r="AD1913">
        <f>IF(U1913="","MISSING_TOTAL",IF(ABS(AB1913)&lt;=0.01,"OK","CHECK"))</f>
        <v/>
      </c>
      <c r="AE1913">
        <f>IF(U1913="","MISSING",IF(AND(AA1913&gt;0,U1913/AA1913&gt;50),"POSSIBLE_SCALE_ERROR","OK"))</f>
        <v/>
      </c>
    </row>
    <row r="1914">
      <c r="A1914" t="inlineStr">
        <is>
          <t>T-2022-P11-0011</t>
        </is>
      </c>
      <c r="B1914" t="inlineStr">
        <is>
          <t>MPSES</t>
        </is>
      </c>
      <c r="C1914" t="inlineStr">
        <is>
          <t>Driver</t>
        </is>
      </c>
      <c r="D1914" t="inlineStr">
        <is>
          <t>Chauffeur</t>
        </is>
      </c>
      <c r="E1914" t="inlineStr">
        <is>
          <t>Michel Gendreau</t>
        </is>
      </c>
      <c r="F1914" t="inlineStr">
        <is>
          <t>Drive the Minister from her riding to Ottawa</t>
        </is>
      </c>
      <c r="G1914" t="inlineStr">
        <is>
          <t>Conduire la ministre de sa circonscription à Ottawa</t>
        </is>
      </c>
      <c r="H1914" s="1" t="n">
        <v>44970</v>
      </c>
      <c r="I1914" s="1" t="n">
        <v>44970</v>
      </c>
      <c r="J1914" t="inlineStr">
        <is>
          <t>Ottawa (Ontario) Canada</t>
        </is>
      </c>
      <c r="K1914" t="inlineStr">
        <is>
          <t>Ottawa (Ontario) Canada</t>
        </is>
      </c>
      <c r="P1914" t="n">
        <v>0</v>
      </c>
      <c r="Q1914" t="n">
        <v>7</v>
      </c>
      <c r="R1914" t="n">
        <v>0</v>
      </c>
      <c r="S1914" t="n">
        <v>56.6</v>
      </c>
      <c r="T1914" t="n">
        <v>0</v>
      </c>
      <c r="U1914" t="n">
        <v>63.6</v>
      </c>
      <c r="V1914" t="inlineStr">
        <is>
          <t>No conference fees</t>
        </is>
      </c>
      <c r="W1914" t="inlineStr">
        <is>
          <t>Pas de frais de conférence</t>
        </is>
      </c>
      <c r="X1914" t="inlineStr">
        <is>
          <t>aafc-aac</t>
        </is>
      </c>
      <c r="Y1914" t="inlineStr">
        <is>
          <t>Agriculture and Agri-Food Canada | Agriculture et Agroalimentaire Canada</t>
        </is>
      </c>
      <c r="Z1914" t="n">
        <v>1</v>
      </c>
      <c r="AA1914" t="n">
        <v>63.6</v>
      </c>
      <c r="AB1914">
        <f>ROUND(U1914-AA1914,2)</f>
        <v/>
      </c>
      <c r="AC1914" t="b">
        <v>0</v>
      </c>
      <c r="AD1914">
        <f>IF(U1914="","MISSING_TOTAL",IF(ABS(AB1914)&lt;=0.01,"OK","CHECK"))</f>
        <v/>
      </c>
      <c r="AE1914">
        <f>IF(U1914="","MISSING",IF(AND(AA1914&gt;0,U1914/AA1914&gt;50),"POSSIBLE_SCALE_ERROR","OK"))</f>
        <v/>
      </c>
    </row>
    <row r="1915">
      <c r="A1915" t="inlineStr">
        <is>
          <t>T-2022-P11-0012</t>
        </is>
      </c>
      <c r="B1915" t="inlineStr">
        <is>
          <t>MPSES</t>
        </is>
      </c>
      <c r="C1915" t="inlineStr">
        <is>
          <t>Driver</t>
        </is>
      </c>
      <c r="D1915" t="inlineStr">
        <is>
          <t>Chauffeur</t>
        </is>
      </c>
      <c r="E1915" t="inlineStr">
        <is>
          <t>Michel Gendreau</t>
        </is>
      </c>
      <c r="F1915" t="inlineStr">
        <is>
          <t>Drive the Minister from Ottawa to her riding</t>
        </is>
      </c>
      <c r="G1915" t="inlineStr">
        <is>
          <t>Conduire la ministre d'Ottawa à sa circonscription</t>
        </is>
      </c>
      <c r="H1915" s="1" t="n">
        <v>44974</v>
      </c>
      <c r="I1915" s="1" t="n">
        <v>44974</v>
      </c>
      <c r="J1915" t="inlineStr">
        <is>
          <t>Sherbrooke (Quebec) Canada</t>
        </is>
      </c>
      <c r="K1915" t="inlineStr">
        <is>
          <t>Sherbrooke (Québec) Canada</t>
        </is>
      </c>
      <c r="P1915" t="n">
        <v>0</v>
      </c>
      <c r="Q1915" t="n">
        <v>7</v>
      </c>
      <c r="R1915" t="n">
        <v>0</v>
      </c>
      <c r="S1915" t="n">
        <v>56.6</v>
      </c>
      <c r="T1915" t="n">
        <v>0</v>
      </c>
      <c r="U1915" t="n">
        <v>63.6</v>
      </c>
      <c r="V1915" t="inlineStr">
        <is>
          <t>No conference fees</t>
        </is>
      </c>
      <c r="W1915" t="inlineStr">
        <is>
          <t>Pas de frais de conférence</t>
        </is>
      </c>
      <c r="X1915" t="inlineStr">
        <is>
          <t>aafc-aac</t>
        </is>
      </c>
      <c r="Y1915" t="inlineStr">
        <is>
          <t>Agriculture and Agri-Food Canada | Agriculture et Agroalimentaire Canada</t>
        </is>
      </c>
      <c r="Z1915" t="n">
        <v>1</v>
      </c>
      <c r="AA1915" t="n">
        <v>63.6</v>
      </c>
      <c r="AB1915">
        <f>ROUND(U1915-AA1915,2)</f>
        <v/>
      </c>
      <c r="AC1915" t="b">
        <v>0</v>
      </c>
      <c r="AD1915">
        <f>IF(U1915="","MISSING_TOTAL",IF(ABS(AB1915)&lt;=0.01,"OK","CHECK"))</f>
        <v/>
      </c>
      <c r="AE1915">
        <f>IF(U1915="","MISSING",IF(AND(AA1915&gt;0,U1915/AA1915&gt;50),"POSSIBLE_SCALE_ERROR","OK"))</f>
        <v/>
      </c>
    </row>
    <row r="1916">
      <c r="A1916" t="inlineStr">
        <is>
          <t>T-2022-P11-0013</t>
        </is>
      </c>
      <c r="B1916" t="inlineStr">
        <is>
          <t>MPSES</t>
        </is>
      </c>
      <c r="C1916" t="inlineStr">
        <is>
          <t>Parliamentary Secretary</t>
        </is>
      </c>
      <c r="D1916" t="inlineStr">
        <is>
          <t>Secrétaire parlementaire</t>
        </is>
      </c>
      <c r="E1916" t="inlineStr">
        <is>
          <t>Francis Drouin</t>
        </is>
      </c>
      <c r="F1916" t="inlineStr">
        <is>
          <t>To attend an Alberta and British Columbia Outreach</t>
        </is>
      </c>
      <c r="G1916" t="inlineStr">
        <is>
          <t>Pour assister à un événement de sensibilisation en Alberta et en Colombie-Britannique</t>
        </is>
      </c>
      <c r="H1916" s="1" t="n">
        <v>44949</v>
      </c>
      <c r="I1916" s="1" t="n">
        <v>44953</v>
      </c>
      <c r="J1916" t="inlineStr">
        <is>
          <t>Edmonton (Alberta) Canada;
Vancouver (British Columbia) Canada</t>
        </is>
      </c>
      <c r="K1916" t="inlineStr">
        <is>
          <t>Edmonton (Alberta) Canada;
Vancouver (Colombie-Britannique) Canada</t>
        </is>
      </c>
      <c r="P1916" t="n">
        <v>618.98</v>
      </c>
      <c r="Q1916" t="n">
        <v>0</v>
      </c>
      <c r="R1916" t="n">
        <v>711.84</v>
      </c>
      <c r="S1916" t="n">
        <v>261.25</v>
      </c>
      <c r="T1916" t="n">
        <v>183.75</v>
      </c>
      <c r="U1916" t="n">
        <v>1775.82</v>
      </c>
      <c r="V1916" t="inlineStr">
        <is>
          <t>Gala ticket purchased for event</t>
        </is>
      </c>
      <c r="W1916" t="inlineStr">
        <is>
          <t>Billet de gala acheté pour l'événement</t>
        </is>
      </c>
      <c r="X1916" t="inlineStr">
        <is>
          <t>aafc-aac</t>
        </is>
      </c>
      <c r="Y1916" t="inlineStr">
        <is>
          <t>Agriculture and Agri-Food Canada | Agriculture et Agroalimentaire Canada</t>
        </is>
      </c>
      <c r="Z1916" t="n">
        <v>5</v>
      </c>
      <c r="AA1916" t="n">
        <v>1775.82</v>
      </c>
      <c r="AB1916">
        <f>ROUND(U1916-AA1916,2)</f>
        <v/>
      </c>
      <c r="AC1916" t="b">
        <v>0</v>
      </c>
      <c r="AD1916">
        <f>IF(U1916="","MISSING_TOTAL",IF(ABS(AB1916)&lt;=0.01,"OK","CHECK"))</f>
        <v/>
      </c>
      <c r="AE1916">
        <f>IF(U1916="","MISSING",IF(AND(AA1916&gt;0,U1916/AA1916&gt;50),"POSSIBLE_SCALE_ERROR","OK"))</f>
        <v/>
      </c>
    </row>
    <row r="1917">
      <c r="A1917" t="inlineStr">
        <is>
          <t>T-2022-P11-0014</t>
        </is>
      </c>
      <c r="B1917" t="inlineStr">
        <is>
          <t>MPSES</t>
        </is>
      </c>
      <c r="C1917" t="inlineStr">
        <is>
          <t>Assistant to the Parliamentary Secretary</t>
        </is>
      </c>
      <c r="D1917" t="inlineStr">
        <is>
          <t>Adjoint au secrétaire parlementaire</t>
        </is>
      </c>
      <c r="E1917" t="inlineStr">
        <is>
          <t>Patrick Mangan</t>
        </is>
      </c>
      <c r="F1917" t="inlineStr">
        <is>
          <t>To support the Parliamentary Secretary at an Alberta and British Columbia Outreach</t>
        </is>
      </c>
      <c r="G1917" t="inlineStr">
        <is>
          <t>Soutenir le secrétaire parlementaire à un événement de sensibilisation en Alberta et en Colombie-Britannique</t>
        </is>
      </c>
      <c r="H1917" s="1" t="n">
        <v>44949</v>
      </c>
      <c r="I1917" s="1" t="n">
        <v>44953</v>
      </c>
      <c r="J1917" t="inlineStr">
        <is>
          <t>Edmonton (Alberta) Canada;
Vancouver (British Columbia) Canada</t>
        </is>
      </c>
      <c r="K1917" t="inlineStr">
        <is>
          <t>Edmonton (Alberta) Canada;
Vancouver (Colombie-Britannique) Canada</t>
        </is>
      </c>
      <c r="P1917" t="n">
        <v>1198.19</v>
      </c>
      <c r="Q1917" t="n">
        <v>159.2</v>
      </c>
      <c r="R1917" t="n">
        <v>711.84</v>
      </c>
      <c r="S1917" t="n">
        <v>261.25</v>
      </c>
      <c r="T1917" t="n">
        <v>183.75</v>
      </c>
      <c r="U1917" t="n">
        <v>2514.23</v>
      </c>
      <c r="V1917" t="inlineStr">
        <is>
          <t>Gala ticket purchased for event</t>
        </is>
      </c>
      <c r="W1917" t="inlineStr">
        <is>
          <t>Billet de gala acheté pour l'événement</t>
        </is>
      </c>
      <c r="X1917" t="inlineStr">
        <is>
          <t>aafc-aac</t>
        </is>
      </c>
      <c r="Y1917" t="inlineStr">
        <is>
          <t>Agriculture and Agri-Food Canada | Agriculture et Agroalimentaire Canada</t>
        </is>
      </c>
      <c r="Z1917" t="n">
        <v>5</v>
      </c>
      <c r="AA1917" t="n">
        <v>2514.23</v>
      </c>
      <c r="AB1917">
        <f>ROUND(U1917-AA1917,2)</f>
        <v/>
      </c>
      <c r="AC1917" t="b">
        <v>0</v>
      </c>
      <c r="AD1917">
        <f>IF(U1917="","MISSING_TOTAL",IF(ABS(AB1917)&lt;=0.01,"OK","CHECK"))</f>
        <v/>
      </c>
      <c r="AE1917">
        <f>IF(U1917="","MISSING",IF(AND(AA1917&gt;0,U1917/AA1917&gt;50),"POSSIBLE_SCALE_ERROR","OK"))</f>
        <v/>
      </c>
    </row>
    <row r="1918">
      <c r="A1918" t="inlineStr">
        <is>
          <t>T-2022-P11-0015</t>
        </is>
      </c>
      <c r="B1918" t="inlineStr">
        <is>
          <t>SLE</t>
        </is>
      </c>
      <c r="C1918" t="inlineStr">
        <is>
          <t>Associate Deputy Minister</t>
        </is>
      </c>
      <c r="D1918" t="inlineStr">
        <is>
          <t>Sous-ministre déléguée</t>
        </is>
      </c>
      <c r="E1918" t="inlineStr">
        <is>
          <t>Suzy McDonald</t>
        </is>
      </c>
      <c r="F1918" t="inlineStr">
        <is>
          <t>To attend a Manitoba Outreach</t>
        </is>
      </c>
      <c r="G1918" t="inlineStr">
        <is>
          <t>Pour assister à un événement de sensibilisation au Manitoba</t>
        </is>
      </c>
      <c r="H1918" s="1" t="n">
        <v>44958</v>
      </c>
      <c r="I1918" s="1" t="n">
        <v>44960</v>
      </c>
      <c r="J1918" t="inlineStr">
        <is>
          <t>Winnipeg (Manitoba) Canada</t>
        </is>
      </c>
      <c r="K1918" t="inlineStr">
        <is>
          <t>Winnipeg (Manitoba) Canada</t>
        </is>
      </c>
      <c r="P1918" t="n">
        <v>938.62</v>
      </c>
      <c r="Q1918" t="n">
        <v>107.33</v>
      </c>
      <c r="R1918" t="n">
        <v>344.72</v>
      </c>
      <c r="S1918" t="n">
        <v>278.8</v>
      </c>
      <c r="T1918" t="n">
        <v>0</v>
      </c>
      <c r="U1918" t="n">
        <v>1669.47</v>
      </c>
      <c r="V1918" t="inlineStr">
        <is>
          <t>No conference fees</t>
        </is>
      </c>
      <c r="W1918" t="inlineStr">
        <is>
          <t>Pas de frais de conférence</t>
        </is>
      </c>
      <c r="X1918" t="inlineStr">
        <is>
          <t>aafc-aac</t>
        </is>
      </c>
      <c r="Y1918" t="inlineStr">
        <is>
          <t>Agriculture and Agri-Food Canada | Agriculture et Agroalimentaire Canada</t>
        </is>
      </c>
      <c r="Z1918" t="n">
        <v>3</v>
      </c>
      <c r="AA1918" t="n">
        <v>1669.47</v>
      </c>
      <c r="AB1918">
        <f>ROUND(U1918-AA1918,2)</f>
        <v/>
      </c>
      <c r="AC1918" t="b">
        <v>0</v>
      </c>
      <c r="AD1918">
        <f>IF(U1918="","MISSING_TOTAL",IF(ABS(AB1918)&lt;=0.01,"OK","CHECK"))</f>
        <v/>
      </c>
      <c r="AE1918">
        <f>IF(U1918="","MISSING",IF(AND(AA1918&gt;0,U1918/AA1918&gt;50),"POSSIBLE_SCALE_ERROR","OK"))</f>
        <v/>
      </c>
    </row>
    <row r="1919">
      <c r="A1919" t="inlineStr">
        <is>
          <t>T-2022-P11-0016</t>
        </is>
      </c>
      <c r="B1919" t="inlineStr">
        <is>
          <t>SLE</t>
        </is>
      </c>
      <c r="C1919" t="inlineStr">
        <is>
          <t>Corporate Secretary</t>
        </is>
      </c>
      <c r="D1919" t="inlineStr">
        <is>
          <t>Secrétaire générale</t>
        </is>
      </c>
      <c r="E1919" t="inlineStr">
        <is>
          <t>Tamara Abel</t>
        </is>
      </c>
      <c r="F1919" t="inlineStr">
        <is>
          <t>Operational activities</t>
        </is>
      </c>
      <c r="G1919" t="inlineStr">
        <is>
          <t>Activités opérationnelles</t>
        </is>
      </c>
      <c r="H1919" s="1" t="n">
        <v>44970</v>
      </c>
      <c r="I1919" s="1" t="n">
        <v>44974</v>
      </c>
      <c r="J1919" t="inlineStr">
        <is>
          <t>Ottawa (Ontario) Canada</t>
        </is>
      </c>
      <c r="K1919" t="inlineStr">
        <is>
          <t>Ottawa (Ontario) Canada</t>
        </is>
      </c>
      <c r="P1919" t="n">
        <v>865.3200000000001</v>
      </c>
      <c r="Q1919" t="n">
        <v>245.74</v>
      </c>
      <c r="R1919" t="n">
        <v>1029.48</v>
      </c>
      <c r="S1919" t="n">
        <v>496.3</v>
      </c>
      <c r="T1919" t="n">
        <v>0</v>
      </c>
      <c r="U1919" t="n">
        <v>2636.84</v>
      </c>
      <c r="V1919" t="inlineStr">
        <is>
          <t>No conference fees</t>
        </is>
      </c>
      <c r="W1919" t="inlineStr">
        <is>
          <t>Pas de frais de conférence</t>
        </is>
      </c>
      <c r="X1919" t="inlineStr">
        <is>
          <t>aafc-aac</t>
        </is>
      </c>
      <c r="Y1919" t="inlineStr">
        <is>
          <t>Agriculture and Agri-Food Canada | Agriculture et Agroalimentaire Canada</t>
        </is>
      </c>
      <c r="Z1919" t="n">
        <v>5</v>
      </c>
      <c r="AA1919" t="n">
        <v>2636.84</v>
      </c>
      <c r="AB1919">
        <f>ROUND(U1919-AA1919,2)</f>
        <v/>
      </c>
      <c r="AC1919" t="b">
        <v>0</v>
      </c>
      <c r="AD1919">
        <f>IF(U1919="","MISSING_TOTAL",IF(ABS(AB1919)&lt;=0.01,"OK","CHECK"))</f>
        <v/>
      </c>
      <c r="AE1919">
        <f>IF(U1919="","MISSING",IF(AND(AA1919&gt;0,U1919/AA1919&gt;50),"POSSIBLE_SCALE_ERROR","OK"))</f>
        <v/>
      </c>
    </row>
    <row r="1920">
      <c r="A1920" t="inlineStr">
        <is>
          <t>T-2022-P11-0017</t>
        </is>
      </c>
      <c r="B1920" t="inlineStr">
        <is>
          <t>SLE</t>
        </is>
      </c>
      <c r="C1920" t="inlineStr">
        <is>
          <t>Assistant Deputy Minister, Corporate Management Branch</t>
        </is>
      </c>
      <c r="D1920" t="inlineStr">
        <is>
          <t>Sous-ministre adjointe, Direction générale de la gestion intégrée</t>
        </is>
      </c>
      <c r="E1920" t="inlineStr">
        <is>
          <t>Marie-Claude Guérard</t>
        </is>
      </c>
      <c r="F1920" t="inlineStr">
        <is>
          <t>In-person meetings in Ottawa</t>
        </is>
      </c>
      <c r="G1920" t="inlineStr">
        <is>
          <t>Rencontres en personne à Ottawa</t>
        </is>
      </c>
      <c r="H1920" s="1" t="n">
        <v>44587</v>
      </c>
      <c r="I1920" s="1" t="n">
        <v>44587</v>
      </c>
      <c r="J1920" t="inlineStr">
        <is>
          <t>Ottawa (Ontario) Canada</t>
        </is>
      </c>
      <c r="K1920" t="inlineStr">
        <is>
          <t>Ottawa (Ontario) Canada</t>
        </is>
      </c>
      <c r="P1920" t="n">
        <v>0</v>
      </c>
      <c r="Q1920" t="n">
        <v>341.33</v>
      </c>
      <c r="R1920" t="n">
        <v>0</v>
      </c>
      <c r="S1920" t="n">
        <v>23.05</v>
      </c>
      <c r="T1920" t="n">
        <v>0</v>
      </c>
      <c r="U1920" t="n">
        <v>364.38</v>
      </c>
      <c r="X1920" t="inlineStr">
        <is>
          <t>aafc-aac</t>
        </is>
      </c>
      <c r="Y1920" t="inlineStr">
        <is>
          <t>Agriculture and Agri-Food Canada | Agriculture et Agroalimentaire Canada</t>
        </is>
      </c>
      <c r="Z1920" t="n">
        <v>1</v>
      </c>
      <c r="AA1920" t="n">
        <v>364.38</v>
      </c>
      <c r="AB1920">
        <f>ROUND(U1920-AA1920,2)</f>
        <v/>
      </c>
      <c r="AC1920" t="b">
        <v>0</v>
      </c>
      <c r="AD1920">
        <f>IF(U1920="","MISSING_TOTAL",IF(ABS(AB1920)&lt;=0.01,"OK","CHECK"))</f>
        <v/>
      </c>
      <c r="AE1920">
        <f>IF(U1920="","MISSING",IF(AND(AA1920&gt;0,U1920/AA1920&gt;50),"POSSIBLE_SCALE_ERROR","OK"))</f>
        <v/>
      </c>
    </row>
    <row r="1921">
      <c r="A1921" t="inlineStr">
        <is>
          <t>T-2022-P11-0018</t>
        </is>
      </c>
      <c r="B1921" t="inlineStr">
        <is>
          <t>SLE</t>
        </is>
      </c>
      <c r="C1921" t="inlineStr">
        <is>
          <t>Assistant Deputy Minister, Strategic Policy Branch</t>
        </is>
      </c>
      <c r="D1921" t="inlineStr">
        <is>
          <t>Sous-ministre adjointe, Direction générale des politiques stratégiques</t>
        </is>
      </c>
      <c r="E1921" t="inlineStr">
        <is>
          <t>Natasha Kim</t>
        </is>
      </c>
      <c r="F1921" t="inlineStr">
        <is>
          <t>ADM Natasha Kim travelled to Saskatoon for Stakeholder meetings and general ADM outreach</t>
        </is>
      </c>
      <c r="G1921" t="inlineStr">
        <is>
          <t>La SMA Natasha Kim s'est rendue à Saskatoon pour des réunions avec les intervenants et des activités générales de sensibilisation des SMA.</t>
        </is>
      </c>
      <c r="H1921" s="1" t="n">
        <v>44948</v>
      </c>
      <c r="I1921" s="1" t="n">
        <v>44951</v>
      </c>
      <c r="J1921" t="inlineStr">
        <is>
          <t>Saskatoon (Saskatchewan) Canada</t>
        </is>
      </c>
      <c r="K1921" t="inlineStr">
        <is>
          <t>Saskatoon (Saskatchewan) Canada</t>
        </is>
      </c>
      <c r="P1921" t="n">
        <v>3283.46</v>
      </c>
      <c r="Q1921" t="n">
        <v>315.74</v>
      </c>
      <c r="R1921" t="n">
        <v>583.11</v>
      </c>
      <c r="S1921" t="n">
        <v>353.5</v>
      </c>
      <c r="T1921" t="n">
        <v>0</v>
      </c>
      <c r="U1921" t="n">
        <v>4535.81</v>
      </c>
      <c r="X1921" t="inlineStr">
        <is>
          <t>aafc-aac</t>
        </is>
      </c>
      <c r="Y1921" t="inlineStr">
        <is>
          <t>Agriculture and Agri-Food Canada | Agriculture et Agroalimentaire Canada</t>
        </is>
      </c>
      <c r="Z1921" t="n">
        <v>4</v>
      </c>
      <c r="AA1921" t="n">
        <v>4535.80999999999</v>
      </c>
      <c r="AB1921">
        <f>ROUND(U1921-AA1921,2)</f>
        <v/>
      </c>
      <c r="AC1921" t="b">
        <v>0</v>
      </c>
      <c r="AD1921">
        <f>IF(U1921="","MISSING_TOTAL",IF(ABS(AB1921)&lt;=0.01,"OK","CHECK"))</f>
        <v/>
      </c>
      <c r="AE1921">
        <f>IF(U1921="","MISSING",IF(AND(AA1921&gt;0,U1921/AA1921&gt;50),"POSSIBLE_SCALE_ERROR","OK"))</f>
        <v/>
      </c>
    </row>
    <row r="1922">
      <c r="A1922" t="inlineStr">
        <is>
          <t>T-2022-P11-0019</t>
        </is>
      </c>
      <c r="B1922" t="inlineStr">
        <is>
          <t>SLE</t>
        </is>
      </c>
      <c r="C1922" t="inlineStr">
        <is>
          <t>Chief Information Officer, Information Systems Branch</t>
        </is>
      </c>
      <c r="D1922" t="inlineStr">
        <is>
          <t>Dirigeante principale de l'information, Direction générale des systèmes information</t>
        </is>
      </c>
      <c r="E1922" t="inlineStr">
        <is>
          <t>Vidya ShankarNarayan</t>
        </is>
      </c>
      <c r="F1922" t="inlineStr">
        <is>
          <t>St-Jean site visit September 7 2022</t>
        </is>
      </c>
      <c r="G1922" t="inlineStr">
        <is>
          <t>Visite du site St-Jean le 7 septembre 2022</t>
        </is>
      </c>
      <c r="H1922" s="1" t="n">
        <v>44811</v>
      </c>
      <c r="I1922" s="1" t="n">
        <v>45176</v>
      </c>
      <c r="J1922" t="inlineStr">
        <is>
          <t>St-Jean-sur-Richelieu (Quebec) Canada</t>
        </is>
      </c>
      <c r="K1922" t="inlineStr">
        <is>
          <t>St-Jean-sur-Richelieu (Québec) Canada</t>
        </is>
      </c>
      <c r="P1922" t="n">
        <v>0</v>
      </c>
      <c r="Q1922" t="n">
        <v>0</v>
      </c>
      <c r="R1922" t="n">
        <v>0</v>
      </c>
      <c r="S1922" t="n">
        <v>54.4</v>
      </c>
      <c r="T1922" t="n">
        <v>0</v>
      </c>
      <c r="U1922" t="n">
        <v>54.4</v>
      </c>
      <c r="X1922" t="inlineStr">
        <is>
          <t>aafc-aac</t>
        </is>
      </c>
      <c r="Y1922" t="inlineStr">
        <is>
          <t>Agriculture and Agri-Food Canada | Agriculture et Agroalimentaire Canada</t>
        </is>
      </c>
      <c r="Z1922" t="n">
        <v>366</v>
      </c>
      <c r="AA1922" t="n">
        <v>54.4</v>
      </c>
      <c r="AB1922">
        <f>ROUND(U1922-AA1922,2)</f>
        <v/>
      </c>
      <c r="AC1922" t="b">
        <v>0</v>
      </c>
      <c r="AD1922">
        <f>IF(U1922="","MISSING_TOTAL",IF(ABS(AB1922)&lt;=0.01,"OK","CHECK"))</f>
        <v/>
      </c>
      <c r="AE1922">
        <f>IF(U1922="","MISSING",IF(AND(AA1922&gt;0,U1922/AA1922&gt;50),"POSSIBLE_SCALE_ERROR","OK"))</f>
        <v/>
      </c>
    </row>
    <row r="1923">
      <c r="A1923" t="inlineStr">
        <is>
          <t>T-2022-P12-0001</t>
        </is>
      </c>
      <c r="B1923" t="inlineStr">
        <is>
          <t>MPSES</t>
        </is>
      </c>
      <c r="C1923" t="inlineStr">
        <is>
          <t>Minister</t>
        </is>
      </c>
      <c r="D1923" t="inlineStr">
        <is>
          <t>Ministre</t>
        </is>
      </c>
      <c r="E1923" t="inlineStr">
        <is>
          <t>Marie-Claude Bibeau</t>
        </is>
      </c>
      <c r="F1923" t="inlineStr">
        <is>
          <t>Attend the Ontario Tour</t>
        </is>
      </c>
      <c r="G1923" t="inlineStr">
        <is>
          <t>Assister à la tournée en Ontario</t>
        </is>
      </c>
      <c r="H1923" s="1" t="n">
        <v>44985</v>
      </c>
      <c r="I1923" s="1" t="n">
        <v>44988</v>
      </c>
      <c r="J1923" t="inlineStr">
        <is>
          <t>Kitchener (Ontario) Canada
Guelph (Ontario) Canada</t>
        </is>
      </c>
      <c r="K1923" t="inlineStr">
        <is>
          <t>Kitchener (Ontario) Canada
Guelph (Ontario) Canada</t>
        </is>
      </c>
      <c r="P1923" t="n">
        <v>650.46</v>
      </c>
      <c r="Q1923" t="n">
        <v>0</v>
      </c>
      <c r="R1923" t="n">
        <v>521.4299999999999</v>
      </c>
      <c r="S1923" t="n">
        <v>295.55</v>
      </c>
      <c r="T1923" t="n">
        <v>0</v>
      </c>
      <c r="U1923" t="n">
        <v>1467.44</v>
      </c>
      <c r="X1923" t="inlineStr">
        <is>
          <t>aafc-aac</t>
        </is>
      </c>
      <c r="Y1923" t="inlineStr">
        <is>
          <t>Agriculture and Agri-Food Canada | Agriculture et Agroalimentaire Canada</t>
        </is>
      </c>
      <c r="Z1923" t="n">
        <v>4</v>
      </c>
      <c r="AA1923" t="n">
        <v>1467.43999999999</v>
      </c>
      <c r="AB1923">
        <f>ROUND(U1923-AA1923,2)</f>
        <v/>
      </c>
      <c r="AC1923" t="b">
        <v>0</v>
      </c>
      <c r="AD1923">
        <f>IF(U1923="","MISSING_TOTAL",IF(ABS(AB1923)&lt;=0.01,"OK","CHECK"))</f>
        <v/>
      </c>
      <c r="AE1923">
        <f>IF(U1923="","MISSING",IF(AND(AA1923&gt;0,U1923/AA1923&gt;50),"POSSIBLE_SCALE_ERROR","OK"))</f>
        <v/>
      </c>
    </row>
    <row r="1924">
      <c r="A1924" t="inlineStr">
        <is>
          <t>T-2022-P12-0002</t>
        </is>
      </c>
      <c r="B1924" t="inlineStr">
        <is>
          <t>MPSES</t>
        </is>
      </c>
      <c r="C1924" t="inlineStr">
        <is>
          <t>Minister</t>
        </is>
      </c>
      <c r="D1924" t="inlineStr">
        <is>
          <t>Ministre</t>
        </is>
      </c>
      <c r="E1924" t="inlineStr">
        <is>
          <t>Marie-Claude Bibeau</t>
        </is>
      </c>
      <c r="F1924" t="inlineStr">
        <is>
          <t>Attend the Western Outreach meetings</t>
        </is>
      </c>
      <c r="G1924" t="inlineStr">
        <is>
          <t>Assister aux réunions de sensibilisation de l'Ouest</t>
        </is>
      </c>
      <c r="H1924" s="1" t="n">
        <v>44997</v>
      </c>
      <c r="I1924" s="1" t="n">
        <v>45001</v>
      </c>
      <c r="J1924" t="inlineStr">
        <is>
          <t>Calgary (Alberta) Canada
Vancouver (British Columbia) Canada</t>
        </is>
      </c>
      <c r="K1924" t="inlineStr">
        <is>
          <t>Calgary (Alberta) Canada
Vancouver (Colombie-Britannique) Canada</t>
        </is>
      </c>
      <c r="P1924" t="n">
        <v>1460.63</v>
      </c>
      <c r="Q1924" t="n">
        <v>0</v>
      </c>
      <c r="R1924" t="n">
        <v>927.16</v>
      </c>
      <c r="S1924" t="n">
        <v>409.8</v>
      </c>
      <c r="T1924" t="n">
        <v>0</v>
      </c>
      <c r="U1924" t="n">
        <v>2797.59</v>
      </c>
      <c r="X1924" t="inlineStr">
        <is>
          <t>aafc-aac</t>
        </is>
      </c>
      <c r="Y1924" t="inlineStr">
        <is>
          <t>Agriculture and Agri-Food Canada | Agriculture et Agroalimentaire Canada</t>
        </is>
      </c>
      <c r="Z1924" t="n">
        <v>5</v>
      </c>
      <c r="AA1924" t="n">
        <v>2797.59</v>
      </c>
      <c r="AB1924">
        <f>ROUND(U1924-AA1924,2)</f>
        <v/>
      </c>
      <c r="AC1924" t="b">
        <v>0</v>
      </c>
      <c r="AD1924">
        <f>IF(U1924="","MISSING_TOTAL",IF(ABS(AB1924)&lt;=0.01,"OK","CHECK"))</f>
        <v/>
      </c>
      <c r="AE1924">
        <f>IF(U1924="","MISSING",IF(AND(AA1924&gt;0,U1924/AA1924&gt;50),"POSSIBLE_SCALE_ERROR","OK"))</f>
        <v/>
      </c>
    </row>
    <row r="1925">
      <c r="A1925" t="inlineStr">
        <is>
          <t>T-2022-P12-0003</t>
        </is>
      </c>
      <c r="B1925" t="inlineStr">
        <is>
          <t>MPSES</t>
        </is>
      </c>
      <c r="C1925" t="inlineStr">
        <is>
          <t>Director of Operations</t>
        </is>
      </c>
      <c r="D1925" t="inlineStr">
        <is>
          <t>Directeur des opérations</t>
        </is>
      </c>
      <c r="E1925" t="inlineStr">
        <is>
          <t>Abed Harb</t>
        </is>
      </c>
      <c r="F1925" t="inlineStr">
        <is>
          <t>Support the Minister to attend the Ontario tour</t>
        </is>
      </c>
      <c r="G1925" t="inlineStr">
        <is>
          <t>Soutenir la ministre à la tournée en Ontario</t>
        </is>
      </c>
      <c r="H1925" s="1" t="n">
        <v>44985</v>
      </c>
      <c r="I1925" s="1" t="n">
        <v>44989</v>
      </c>
      <c r="J1925" t="inlineStr">
        <is>
          <t>Kitchener (Ontario) Canada
Guelph (Ontario) Canada</t>
        </is>
      </c>
      <c r="K1925" t="inlineStr">
        <is>
          <t>Kitchener (Ontario) Canada
Guelph (Ontario) Canada</t>
        </is>
      </c>
      <c r="P1925" t="n">
        <v>854.0700000000001</v>
      </c>
      <c r="Q1925" t="n">
        <v>136.44</v>
      </c>
      <c r="R1925" t="n">
        <v>521.4299999999999</v>
      </c>
      <c r="S1925" t="n">
        <v>364.2</v>
      </c>
      <c r="T1925" t="n">
        <v>0</v>
      </c>
      <c r="U1925" t="n">
        <v>1876.14</v>
      </c>
      <c r="X1925" t="inlineStr">
        <is>
          <t>aafc-aac</t>
        </is>
      </c>
      <c r="Y1925" t="inlineStr">
        <is>
          <t>Agriculture and Agri-Food Canada | Agriculture et Agroalimentaire Canada</t>
        </is>
      </c>
      <c r="Z1925" t="n">
        <v>5</v>
      </c>
      <c r="AA1925" t="n">
        <v>1876.14</v>
      </c>
      <c r="AB1925">
        <f>ROUND(U1925-AA1925,2)</f>
        <v/>
      </c>
      <c r="AC1925" t="b">
        <v>0</v>
      </c>
      <c r="AD1925">
        <f>IF(U1925="","MISSING_TOTAL",IF(ABS(AB1925)&lt;=0.01,"OK","CHECK"))</f>
        <v/>
      </c>
      <c r="AE1925">
        <f>IF(U1925="","MISSING",IF(AND(AA1925&gt;0,U1925/AA1925&gt;50),"POSSIBLE_SCALE_ERROR","OK"))</f>
        <v/>
      </c>
    </row>
    <row r="1926">
      <c r="A1926" t="inlineStr">
        <is>
          <t>T-2022-P12-0004</t>
        </is>
      </c>
      <c r="B1926" t="inlineStr">
        <is>
          <t>MPSES</t>
        </is>
      </c>
      <c r="C1926" t="inlineStr">
        <is>
          <t>Director of Operations</t>
        </is>
      </c>
      <c r="D1926" t="inlineStr">
        <is>
          <t>Directeur des opérations</t>
        </is>
      </c>
      <c r="E1926" t="inlineStr">
        <is>
          <t>Abed Harb</t>
        </is>
      </c>
      <c r="F1926" t="inlineStr">
        <is>
          <t>Support the Minister to attend the Western Outreach meetings</t>
        </is>
      </c>
      <c r="G1926" t="inlineStr">
        <is>
          <t>Assister la ministre aux réunions de sensibilisation de l'Ouest</t>
        </is>
      </c>
      <c r="H1926" s="1" t="n">
        <v>44999</v>
      </c>
      <c r="I1926" s="1" t="n">
        <v>45003</v>
      </c>
      <c r="J1926" t="inlineStr">
        <is>
          <t>Calgary (Alberta) Canada
Vancouver (British Columbia) Canada</t>
        </is>
      </c>
      <c r="K1926" t="inlineStr">
        <is>
          <t>Calgary (Alberta) Canada
Vancouver (Colombie-Britannique) Canada</t>
        </is>
      </c>
      <c r="P1926" t="n">
        <v>344.29</v>
      </c>
      <c r="Q1926" t="n">
        <v>73.23</v>
      </c>
      <c r="R1926" t="n">
        <v>480.32</v>
      </c>
      <c r="S1926" t="n">
        <v>284.55</v>
      </c>
      <c r="T1926" t="n">
        <v>0</v>
      </c>
      <c r="U1926" t="n">
        <v>1182.39</v>
      </c>
      <c r="X1926" t="inlineStr">
        <is>
          <t>aafc-aac</t>
        </is>
      </c>
      <c r="Y1926" t="inlineStr">
        <is>
          <t>Agriculture and Agri-Food Canada | Agriculture et Agroalimentaire Canada</t>
        </is>
      </c>
      <c r="Z1926" t="n">
        <v>5</v>
      </c>
      <c r="AA1926" t="n">
        <v>1182.39</v>
      </c>
      <c r="AB1926">
        <f>ROUND(U1926-AA1926,2)</f>
        <v/>
      </c>
      <c r="AC1926" t="b">
        <v>0</v>
      </c>
      <c r="AD1926">
        <f>IF(U1926="","MISSING_TOTAL",IF(ABS(AB1926)&lt;=0.01,"OK","CHECK"))</f>
        <v/>
      </c>
      <c r="AE1926">
        <f>IF(U1926="","MISSING",IF(AND(AA1926&gt;0,U1926/AA1926&gt;50),"POSSIBLE_SCALE_ERROR","OK"))</f>
        <v/>
      </c>
    </row>
    <row r="1927">
      <c r="A1927" t="inlineStr">
        <is>
          <t>T-2022-P12-0005</t>
        </is>
      </c>
      <c r="B1927" t="inlineStr">
        <is>
          <t>MPSES</t>
        </is>
      </c>
      <c r="C1927" t="inlineStr">
        <is>
          <t>Director of Regional Affairs</t>
        </is>
      </c>
      <c r="D1927" t="inlineStr">
        <is>
          <t>Directrice des affaires régionales</t>
        </is>
      </c>
      <c r="E1927" t="inlineStr">
        <is>
          <t>Alison Porter</t>
        </is>
      </c>
      <c r="F1927" t="inlineStr">
        <is>
          <t>Attend a Prime Minister's Office training as well as meetings with the Minister and stakeholders</t>
        </is>
      </c>
      <c r="G1927" t="inlineStr">
        <is>
          <t>Participer à une formation au cabinet du Premier ministre ainsi qu'à des réunions avec la ministre et les parties prenantes</t>
        </is>
      </c>
      <c r="H1927" s="1" t="n">
        <v>44952</v>
      </c>
      <c r="I1927" s="1" t="n">
        <v>44952</v>
      </c>
      <c r="J1927" t="inlineStr">
        <is>
          <t>Ottawa (Ontario) Canada</t>
        </is>
      </c>
      <c r="K1927" t="inlineStr">
        <is>
          <t>Ottawa (Ontario) Canada</t>
        </is>
      </c>
      <c r="P1927" t="n">
        <v>0</v>
      </c>
      <c r="Q1927" t="n">
        <v>164.51</v>
      </c>
      <c r="R1927" t="n">
        <v>0</v>
      </c>
      <c r="S1927" t="n">
        <v>102.45</v>
      </c>
      <c r="T1927" t="n">
        <v>0</v>
      </c>
      <c r="U1927" t="n">
        <v>266.96</v>
      </c>
      <c r="X1927" t="inlineStr">
        <is>
          <t>aafc-aac</t>
        </is>
      </c>
      <c r="Y1927" t="inlineStr">
        <is>
          <t>Agriculture and Agri-Food Canada | Agriculture et Agroalimentaire Canada</t>
        </is>
      </c>
      <c r="Z1927" t="n">
        <v>1</v>
      </c>
      <c r="AA1927" t="n">
        <v>266.96</v>
      </c>
      <c r="AB1927">
        <f>ROUND(U1927-AA1927,2)</f>
        <v/>
      </c>
      <c r="AC1927" t="b">
        <v>0</v>
      </c>
      <c r="AD1927">
        <f>IF(U1927="","MISSING_TOTAL",IF(ABS(AB1927)&lt;=0.01,"OK","CHECK"))</f>
        <v/>
      </c>
      <c r="AE1927">
        <f>IF(U1927="","MISSING",IF(AND(AA1927&gt;0,U1927/AA1927&gt;50),"POSSIBLE_SCALE_ERROR","OK"))</f>
        <v/>
      </c>
    </row>
    <row r="1928">
      <c r="A1928" t="inlineStr">
        <is>
          <t>T-2022-P12-0006</t>
        </is>
      </c>
      <c r="B1928" t="inlineStr">
        <is>
          <t>MPSES</t>
        </is>
      </c>
      <c r="C1928" t="inlineStr">
        <is>
          <t>Director of Regional Affairs</t>
        </is>
      </c>
      <c r="D1928" t="inlineStr">
        <is>
          <t>Directrice des affaires régionales</t>
        </is>
      </c>
      <c r="E1928" t="inlineStr">
        <is>
          <t>Alison Porter</t>
        </is>
      </c>
      <c r="F1928" t="inlineStr">
        <is>
          <t>Support the Minister at the Canadian Agriculture Day events and meeting with stakeholders</t>
        </is>
      </c>
      <c r="G1928" t="inlineStr">
        <is>
          <t>Soutenir la ministre lors des événements organisés à l'occasion de la Journée de l'agriculture canadienne et lors des réunions avec les parties prenantes</t>
        </is>
      </c>
      <c r="H1928" s="1" t="n">
        <v>44972</v>
      </c>
      <c r="I1928" s="1" t="n">
        <v>44973</v>
      </c>
      <c r="J1928" t="inlineStr">
        <is>
          <t>Ottawa (Ontario) Canada</t>
        </is>
      </c>
      <c r="K1928" t="inlineStr">
        <is>
          <t>Ottawa (Ontario) Canada</t>
        </is>
      </c>
      <c r="P1928" t="n">
        <v>0</v>
      </c>
      <c r="Q1928" t="n">
        <v>240.35</v>
      </c>
      <c r="R1928" t="n">
        <v>0</v>
      </c>
      <c r="S1928" t="n">
        <v>125.5</v>
      </c>
      <c r="T1928" t="n">
        <v>0</v>
      </c>
      <c r="U1928" t="n">
        <v>365.85</v>
      </c>
      <c r="X1928" t="inlineStr">
        <is>
          <t>aafc-aac</t>
        </is>
      </c>
      <c r="Y1928" t="inlineStr">
        <is>
          <t>Agriculture and Agri-Food Canada | Agriculture et Agroalimentaire Canada</t>
        </is>
      </c>
      <c r="Z1928" t="n">
        <v>2</v>
      </c>
      <c r="AA1928" t="n">
        <v>365.85</v>
      </c>
      <c r="AB1928">
        <f>ROUND(U1928-AA1928,2)</f>
        <v/>
      </c>
      <c r="AC1928" t="b">
        <v>0</v>
      </c>
      <c r="AD1928">
        <f>IF(U1928="","MISSING_TOTAL",IF(ABS(AB1928)&lt;=0.01,"OK","CHECK"))</f>
        <v/>
      </c>
      <c r="AE1928">
        <f>IF(U1928="","MISSING",IF(AND(AA1928&gt;0,U1928/AA1928&gt;50),"POSSIBLE_SCALE_ERROR","OK"))</f>
        <v/>
      </c>
    </row>
    <row r="1929">
      <c r="A1929" t="inlineStr">
        <is>
          <t>T-2022-P12-0007</t>
        </is>
      </c>
      <c r="B1929" t="inlineStr">
        <is>
          <t>MPSES</t>
        </is>
      </c>
      <c r="C1929" t="inlineStr">
        <is>
          <t>Director of Regional Affairs</t>
        </is>
      </c>
      <c r="D1929" t="inlineStr">
        <is>
          <t>Directrice des affaires régionales</t>
        </is>
      </c>
      <c r="E1929" t="inlineStr">
        <is>
          <t>Alison Porter</t>
        </is>
      </c>
      <c r="F1929" t="inlineStr">
        <is>
          <t>Support the Minister and Prime Minister at the Union des producteurs agricoles Town Hall meeting</t>
        </is>
      </c>
      <c r="G1929" t="inlineStr">
        <is>
          <t>Soutenir la ministre et le Premier ministre lors de la réunion publique de l'Union des producteurs agricoles</t>
        </is>
      </c>
      <c r="H1929" s="1" t="n">
        <v>44979</v>
      </c>
      <c r="I1929" s="1" t="n">
        <v>44979</v>
      </c>
      <c r="J1929" t="inlineStr">
        <is>
          <t>Québec (Quebec) Canada</t>
        </is>
      </c>
      <c r="K1929" t="inlineStr">
        <is>
          <t>Québec (Québec) Canada</t>
        </is>
      </c>
      <c r="P1929" t="n">
        <v>0</v>
      </c>
      <c r="Q1929" t="n">
        <v>26.85</v>
      </c>
      <c r="R1929" t="n">
        <v>0</v>
      </c>
      <c r="S1929" t="n">
        <v>0</v>
      </c>
      <c r="T1929" t="n">
        <v>0</v>
      </c>
      <c r="U1929" t="n">
        <v>26.85</v>
      </c>
      <c r="X1929" t="inlineStr">
        <is>
          <t>aafc-aac</t>
        </is>
      </c>
      <c r="Y1929" t="inlineStr">
        <is>
          <t>Agriculture and Agri-Food Canada | Agriculture et Agroalimentaire Canada</t>
        </is>
      </c>
      <c r="Z1929" t="n">
        <v>1</v>
      </c>
      <c r="AA1929" t="n">
        <v>26.85</v>
      </c>
      <c r="AB1929">
        <f>ROUND(U1929-AA1929,2)</f>
        <v/>
      </c>
      <c r="AC1929" t="b">
        <v>0</v>
      </c>
      <c r="AD1929">
        <f>IF(U1929="","MISSING_TOTAL",IF(ABS(AB1929)&lt;=0.01,"OK","CHECK"))</f>
        <v/>
      </c>
      <c r="AE1929">
        <f>IF(U1929="","MISSING",IF(AND(AA1929&gt;0,U1929/AA1929&gt;50),"POSSIBLE_SCALE_ERROR","OK"))</f>
        <v/>
      </c>
    </row>
    <row r="1930">
      <c r="A1930" t="inlineStr">
        <is>
          <t>T-2022-P12-0008</t>
        </is>
      </c>
      <c r="B1930" t="inlineStr">
        <is>
          <t>MPSES</t>
        </is>
      </c>
      <c r="C1930" t="inlineStr">
        <is>
          <t>Driver</t>
        </is>
      </c>
      <c r="D1930" t="inlineStr">
        <is>
          <t>Chauffeur</t>
        </is>
      </c>
      <c r="E1930" t="inlineStr">
        <is>
          <t>Michel Gendreau</t>
        </is>
      </c>
      <c r="F1930" t="inlineStr">
        <is>
          <t>Drive the Minister from her riding to surrounding areas for the Quebec tour</t>
        </is>
      </c>
      <c r="G1930" t="inlineStr">
        <is>
          <t>Conduire la ministre de sa circonscription aux régions environnantes pour la tournée du Québec</t>
        </is>
      </c>
      <c r="H1930" s="1" t="n">
        <v>44978</v>
      </c>
      <c r="I1930" s="1" t="n">
        <v>44981</v>
      </c>
      <c r="J1930" t="inlineStr">
        <is>
          <t>Sherbrooke (Quebec) Canada
Québec (Quebec) Canada</t>
        </is>
      </c>
      <c r="K1930" t="inlineStr">
        <is>
          <t>Sherbrooke (Québec) Canada
Québec (Québec) Canada</t>
        </is>
      </c>
      <c r="P1930" t="n">
        <v>0</v>
      </c>
      <c r="Q1930" t="n">
        <v>7</v>
      </c>
      <c r="R1930" t="n">
        <v>389.13</v>
      </c>
      <c r="S1930" t="n">
        <v>56.6</v>
      </c>
      <c r="T1930" t="n">
        <v>0</v>
      </c>
      <c r="U1930" t="n">
        <v>452.73</v>
      </c>
      <c r="X1930" t="inlineStr">
        <is>
          <t>aafc-aac</t>
        </is>
      </c>
      <c r="Y1930" t="inlineStr">
        <is>
          <t>Agriculture and Agri-Food Canada | Agriculture et Agroalimentaire Canada</t>
        </is>
      </c>
      <c r="Z1930" t="n">
        <v>4</v>
      </c>
      <c r="AA1930" t="n">
        <v>452.73</v>
      </c>
      <c r="AB1930">
        <f>ROUND(U1930-AA1930,2)</f>
        <v/>
      </c>
      <c r="AC1930" t="b">
        <v>0</v>
      </c>
      <c r="AD1930">
        <f>IF(U1930="","MISSING_TOTAL",IF(ABS(AB1930)&lt;=0.01,"OK","CHECK"))</f>
        <v/>
      </c>
      <c r="AE1930">
        <f>IF(U1930="","MISSING",IF(AND(AA1930&gt;0,U1930/AA1930&gt;50),"POSSIBLE_SCALE_ERROR","OK"))</f>
        <v/>
      </c>
    </row>
    <row r="1931">
      <c r="A1931" t="inlineStr">
        <is>
          <t>T-2022-P12-0009</t>
        </is>
      </c>
      <c r="B1931" t="inlineStr">
        <is>
          <t>MPSES</t>
        </is>
      </c>
      <c r="C1931" t="inlineStr">
        <is>
          <t>Driver</t>
        </is>
      </c>
      <c r="D1931" t="inlineStr">
        <is>
          <t>Chauffeur</t>
        </is>
      </c>
      <c r="E1931" t="inlineStr">
        <is>
          <t>Michel Gendreau</t>
        </is>
      </c>
      <c r="F1931" t="inlineStr">
        <is>
          <t>Drive the Minister from her riding to the Montréal Airport for her flight</t>
        </is>
      </c>
      <c r="G1931" t="inlineStr">
        <is>
          <t>Conduire la ministre de sa circonscription à l'aéroport de Montréal pour son vol</t>
        </is>
      </c>
      <c r="H1931" s="1" t="n">
        <v>44985</v>
      </c>
      <c r="I1931" s="1" t="n">
        <v>44985</v>
      </c>
      <c r="J1931" t="inlineStr">
        <is>
          <t>Sherbrooke (Quebec) Canada
Montréal (Quebec) Canada</t>
        </is>
      </c>
      <c r="K1931" t="inlineStr">
        <is>
          <t>Sherbrooke (Québec) Canada
Montréal (Québec) Canada</t>
        </is>
      </c>
      <c r="P1931" t="n">
        <v>0</v>
      </c>
      <c r="Q1931" t="n">
        <v>3.5</v>
      </c>
      <c r="R1931" t="n">
        <v>0</v>
      </c>
      <c r="S1931" t="n">
        <v>79.65000000000001</v>
      </c>
      <c r="T1931" t="n">
        <v>0</v>
      </c>
      <c r="U1931" t="n">
        <v>83.15000000000001</v>
      </c>
      <c r="X1931" t="inlineStr">
        <is>
          <t>aafc-aac</t>
        </is>
      </c>
      <c r="Y1931" t="inlineStr">
        <is>
          <t>Agriculture and Agri-Food Canada | Agriculture et Agroalimentaire Canada</t>
        </is>
      </c>
      <c r="Z1931" t="n">
        <v>1</v>
      </c>
      <c r="AA1931" t="n">
        <v>83.15000000000001</v>
      </c>
      <c r="AB1931">
        <f>ROUND(U1931-AA1931,2)</f>
        <v/>
      </c>
      <c r="AC1931" t="b">
        <v>0</v>
      </c>
      <c r="AD1931">
        <f>IF(U1931="","MISSING_TOTAL",IF(ABS(AB1931)&lt;=0.01,"OK","CHECK"))</f>
        <v/>
      </c>
      <c r="AE1931">
        <f>IF(U1931="","MISSING",IF(AND(AA1931&gt;0,U1931/AA1931&gt;50),"POSSIBLE_SCALE_ERROR","OK"))</f>
        <v/>
      </c>
    </row>
    <row r="1932">
      <c r="A1932" t="inlineStr">
        <is>
          <t>T-2022-P12-0010</t>
        </is>
      </c>
      <c r="B1932" t="inlineStr">
        <is>
          <t>MPSES</t>
        </is>
      </c>
      <c r="C1932" t="inlineStr">
        <is>
          <t>Driver</t>
        </is>
      </c>
      <c r="D1932" t="inlineStr">
        <is>
          <t>Chauffeur</t>
        </is>
      </c>
      <c r="E1932" t="inlineStr">
        <is>
          <t>Michel Gendreau</t>
        </is>
      </c>
      <c r="F1932" t="inlineStr">
        <is>
          <t>Drive the Minister from her riding to Ottawa</t>
        </is>
      </c>
      <c r="G1932" t="inlineStr">
        <is>
          <t>Conduire la ministre de sa circonscription à Ottawa</t>
        </is>
      </c>
      <c r="H1932" s="1" t="n">
        <v>44990</v>
      </c>
      <c r="I1932" s="1" t="n">
        <v>44991</v>
      </c>
      <c r="J1932" t="inlineStr">
        <is>
          <t>Sherbrooke (Quebec) Canada
Ottawa (Ontario) Canada</t>
        </is>
      </c>
      <c r="K1932" t="inlineStr">
        <is>
          <t>Sherbrooke (Québec) Canada
Ottawa (Ontario) Canada</t>
        </is>
      </c>
      <c r="P1932" t="n">
        <v>0</v>
      </c>
      <c r="Q1932" t="n">
        <v>7</v>
      </c>
      <c r="R1932" t="n">
        <v>129.71</v>
      </c>
      <c r="S1932" t="n">
        <v>79.40000000000001</v>
      </c>
      <c r="T1932" t="n">
        <v>0</v>
      </c>
      <c r="U1932" t="n">
        <v>216.11</v>
      </c>
      <c r="X1932" t="inlineStr">
        <is>
          <t>aafc-aac</t>
        </is>
      </c>
      <c r="Y1932" t="inlineStr">
        <is>
          <t>Agriculture and Agri-Food Canada | Agriculture et Agroalimentaire Canada</t>
        </is>
      </c>
      <c r="Z1932" t="n">
        <v>2</v>
      </c>
      <c r="AA1932" t="n">
        <v>216.11</v>
      </c>
      <c r="AB1932">
        <f>ROUND(U1932-AA1932,2)</f>
        <v/>
      </c>
      <c r="AC1932" t="b">
        <v>0</v>
      </c>
      <c r="AD1932">
        <f>IF(U1932="","MISSING_TOTAL",IF(ABS(AB1932)&lt;=0.01,"OK","CHECK"))</f>
        <v/>
      </c>
      <c r="AE1932">
        <f>IF(U1932="","MISSING",IF(AND(AA1932&gt;0,U1932/AA1932&gt;50),"POSSIBLE_SCALE_ERROR","OK"))</f>
        <v/>
      </c>
    </row>
    <row r="1933">
      <c r="A1933" t="inlineStr">
        <is>
          <t>T-2022-P12-0011</t>
        </is>
      </c>
      <c r="B1933" t="inlineStr">
        <is>
          <t>MPSES</t>
        </is>
      </c>
      <c r="C1933" t="inlineStr">
        <is>
          <t>Driver</t>
        </is>
      </c>
      <c r="D1933" t="inlineStr">
        <is>
          <t>Chauffeur</t>
        </is>
      </c>
      <c r="E1933" t="inlineStr">
        <is>
          <t>Michel Gendreau</t>
        </is>
      </c>
      <c r="F1933" t="inlineStr">
        <is>
          <t>Drive the Minister from Ottawa to her riding</t>
        </is>
      </c>
      <c r="G1933" t="inlineStr">
        <is>
          <t>Conduire la ministre d'Ottawa à sa circonscription</t>
        </is>
      </c>
      <c r="H1933" s="1" t="n">
        <v>44994</v>
      </c>
      <c r="I1933" s="1" t="n">
        <v>44994</v>
      </c>
      <c r="J1933" t="inlineStr">
        <is>
          <t>Ottawa (Ontario) Canada
Sherbrooke (Quebec) Canada</t>
        </is>
      </c>
      <c r="K1933" t="inlineStr">
        <is>
          <t>Ottawa (Ontario) Canada
Sherbrooke (Québec) Canada</t>
        </is>
      </c>
      <c r="P1933" t="n">
        <v>0</v>
      </c>
      <c r="Q1933" t="n">
        <v>7</v>
      </c>
      <c r="R1933" t="n">
        <v>0</v>
      </c>
      <c r="S1933" t="n">
        <v>56.6</v>
      </c>
      <c r="T1933" t="n">
        <v>0</v>
      </c>
      <c r="U1933" t="n">
        <v>63.6</v>
      </c>
      <c r="X1933" t="inlineStr">
        <is>
          <t>aafc-aac</t>
        </is>
      </c>
      <c r="Y1933" t="inlineStr">
        <is>
          <t>Agriculture and Agri-Food Canada | Agriculture et Agroalimentaire Canada</t>
        </is>
      </c>
      <c r="Z1933" t="n">
        <v>1</v>
      </c>
      <c r="AA1933" t="n">
        <v>63.6</v>
      </c>
      <c r="AB1933">
        <f>ROUND(U1933-AA1933,2)</f>
        <v/>
      </c>
      <c r="AC1933" t="b">
        <v>0</v>
      </c>
      <c r="AD1933">
        <f>IF(U1933="","MISSING_TOTAL",IF(ABS(AB1933)&lt;=0.01,"OK","CHECK"))</f>
        <v/>
      </c>
      <c r="AE1933">
        <f>IF(U1933="","MISSING",IF(AND(AA1933&gt;0,U1933/AA1933&gt;50),"POSSIBLE_SCALE_ERROR","OK"))</f>
        <v/>
      </c>
    </row>
    <row r="1934">
      <c r="A1934" t="inlineStr">
        <is>
          <t>T-2022-P12-0012</t>
        </is>
      </c>
      <c r="B1934" t="inlineStr">
        <is>
          <t>MPSES</t>
        </is>
      </c>
      <c r="C1934" t="inlineStr">
        <is>
          <t>Driver</t>
        </is>
      </c>
      <c r="D1934" t="inlineStr">
        <is>
          <t>Chauffeur</t>
        </is>
      </c>
      <c r="E1934" t="inlineStr">
        <is>
          <t>Michel Gendreau</t>
        </is>
      </c>
      <c r="F1934" t="inlineStr">
        <is>
          <t>Drive the Minister from the Montréal Airport to her riding</t>
        </is>
      </c>
      <c r="G1934" t="inlineStr">
        <is>
          <t>Conduire la ministre de l'aéroport de Montréal à sa circonscription</t>
        </is>
      </c>
      <c r="H1934" s="1" t="n">
        <v>45001</v>
      </c>
      <c r="I1934" s="1" t="n">
        <v>45001</v>
      </c>
      <c r="J1934" t="inlineStr">
        <is>
          <t>Montreal (Quebec) Canada
Sherbrooke (Quebec) Canada</t>
        </is>
      </c>
      <c r="K1934" t="inlineStr">
        <is>
          <t>Montréal (Québec) Canada
Sherbrooke (Québec) Canada</t>
        </is>
      </c>
      <c r="P1934" t="n">
        <v>0</v>
      </c>
      <c r="Q1934" t="n">
        <v>3.5</v>
      </c>
      <c r="R1934" t="n">
        <v>0</v>
      </c>
      <c r="S1934" t="n">
        <v>56.6</v>
      </c>
      <c r="T1934" t="n">
        <v>0</v>
      </c>
      <c r="U1934" t="n">
        <v>60.1</v>
      </c>
      <c r="X1934" t="inlineStr">
        <is>
          <t>aafc-aac</t>
        </is>
      </c>
      <c r="Y1934" t="inlineStr">
        <is>
          <t>Agriculture and Agri-Food Canada | Agriculture et Agroalimentaire Canada</t>
        </is>
      </c>
      <c r="Z1934" t="n">
        <v>1</v>
      </c>
      <c r="AA1934" t="n">
        <v>60.1</v>
      </c>
      <c r="AB1934">
        <f>ROUND(U1934-AA1934,2)</f>
        <v/>
      </c>
      <c r="AC1934" t="b">
        <v>0</v>
      </c>
      <c r="AD1934">
        <f>IF(U1934="","MISSING_TOTAL",IF(ABS(AB1934)&lt;=0.01,"OK","CHECK"))</f>
        <v/>
      </c>
      <c r="AE1934">
        <f>IF(U1934="","MISSING",IF(AND(AA1934&gt;0,U1934/AA1934&gt;50),"POSSIBLE_SCALE_ERROR","OK"))</f>
        <v/>
      </c>
    </row>
    <row r="1935">
      <c r="A1935" t="inlineStr">
        <is>
          <t>T-2022-P12-0013</t>
        </is>
      </c>
      <c r="B1935" t="inlineStr">
        <is>
          <t>MPSES</t>
        </is>
      </c>
      <c r="C1935" t="inlineStr">
        <is>
          <t>Driver</t>
        </is>
      </c>
      <c r="D1935" t="inlineStr">
        <is>
          <t>Chauffeur</t>
        </is>
      </c>
      <c r="E1935" t="inlineStr">
        <is>
          <t>Michel Gendreau</t>
        </is>
      </c>
      <c r="F1935" t="inlineStr">
        <is>
          <t>Drive the Minister from her riding to Ottawa</t>
        </is>
      </c>
      <c r="G1935" t="inlineStr">
        <is>
          <t>Conduire la ministre de sa circonscription à Ottawa</t>
        </is>
      </c>
      <c r="H1935" s="1" t="n">
        <v>45004</v>
      </c>
      <c r="I1935" s="1" t="n">
        <v>45005</v>
      </c>
      <c r="J1935" t="inlineStr">
        <is>
          <t>Ottawa (Ontario) Canada
Sherbrooke (Quebec) Canada</t>
        </is>
      </c>
      <c r="K1935" t="inlineStr">
        <is>
          <t>Ottawa (Ontario) Canada
Sherbrooke (Québec) Canada</t>
        </is>
      </c>
      <c r="P1935" t="n">
        <v>0</v>
      </c>
      <c r="Q1935" t="n">
        <v>7</v>
      </c>
      <c r="R1935" t="n">
        <v>129.71</v>
      </c>
      <c r="S1935" t="n">
        <v>79.40000000000001</v>
      </c>
      <c r="T1935" t="n">
        <v>0</v>
      </c>
      <c r="U1935" t="n">
        <v>216.11</v>
      </c>
      <c r="X1935" t="inlineStr">
        <is>
          <t>aafc-aac</t>
        </is>
      </c>
      <c r="Y1935" t="inlineStr">
        <is>
          <t>Agriculture and Agri-Food Canada | Agriculture et Agroalimentaire Canada</t>
        </is>
      </c>
      <c r="Z1935" t="n">
        <v>2</v>
      </c>
      <c r="AA1935" t="n">
        <v>216.11</v>
      </c>
      <c r="AB1935">
        <f>ROUND(U1935-AA1935,2)</f>
        <v/>
      </c>
      <c r="AC1935" t="b">
        <v>0</v>
      </c>
      <c r="AD1935">
        <f>IF(U1935="","MISSING_TOTAL",IF(ABS(AB1935)&lt;=0.01,"OK","CHECK"))</f>
        <v/>
      </c>
      <c r="AE1935">
        <f>IF(U1935="","MISSING",IF(AND(AA1935&gt;0,U1935/AA1935&gt;50),"POSSIBLE_SCALE_ERROR","OK"))</f>
        <v/>
      </c>
    </row>
    <row r="1936">
      <c r="A1936" t="inlineStr">
        <is>
          <t>T-2022-P12-0014</t>
        </is>
      </c>
      <c r="B1936" t="inlineStr">
        <is>
          <t>MPSES</t>
        </is>
      </c>
      <c r="C1936" t="inlineStr">
        <is>
          <t>Policy Advisor</t>
        </is>
      </c>
      <c r="D1936" t="inlineStr">
        <is>
          <t>Conseillère en politiques</t>
        </is>
      </c>
      <c r="E1936" t="inlineStr">
        <is>
          <t>Christine Harvey</t>
        </is>
      </c>
      <c r="F1936" t="inlineStr">
        <is>
          <t>Support the Minister to attend the Quebec tour</t>
        </is>
      </c>
      <c r="G1936" t="inlineStr">
        <is>
          <t>Soutenir la ministre à la tournée au Québec</t>
        </is>
      </c>
      <c r="H1936" s="1" t="n">
        <v>44979</v>
      </c>
      <c r="I1936" s="1" t="n">
        <v>44981</v>
      </c>
      <c r="J1936" t="inlineStr">
        <is>
          <t>Québec (Quebec) Canada</t>
        </is>
      </c>
      <c r="K1936" t="inlineStr">
        <is>
          <t>Québec (Québec) Canada</t>
        </is>
      </c>
      <c r="P1936" t="n">
        <v>0</v>
      </c>
      <c r="Q1936" t="n">
        <v>108.91</v>
      </c>
      <c r="R1936" t="n">
        <v>141.85</v>
      </c>
      <c r="S1936" t="n">
        <v>46.1</v>
      </c>
      <c r="T1936" t="n">
        <v>0</v>
      </c>
      <c r="U1936" t="n">
        <v>296.86</v>
      </c>
      <c r="X1936" t="inlineStr">
        <is>
          <t>aafc-aac</t>
        </is>
      </c>
      <c r="Y1936" t="inlineStr">
        <is>
          <t>Agriculture and Agri-Food Canada | Agriculture et Agroalimentaire Canada</t>
        </is>
      </c>
      <c r="Z1936" t="n">
        <v>3</v>
      </c>
      <c r="AA1936" t="n">
        <v>296.86</v>
      </c>
      <c r="AB1936">
        <f>ROUND(U1936-AA1936,2)</f>
        <v/>
      </c>
      <c r="AC1936" t="b">
        <v>0</v>
      </c>
      <c r="AD1936">
        <f>IF(U1936="","MISSING_TOTAL",IF(ABS(AB1936)&lt;=0.01,"OK","CHECK"))</f>
        <v/>
      </c>
      <c r="AE1936">
        <f>IF(U1936="","MISSING",IF(AND(AA1936&gt;0,U1936/AA1936&gt;50),"POSSIBLE_SCALE_ERROR","OK"))</f>
        <v/>
      </c>
    </row>
    <row r="1937">
      <c r="A1937" t="inlineStr">
        <is>
          <t>T-2022-P12-0015</t>
        </is>
      </c>
      <c r="B1937" t="inlineStr">
        <is>
          <t>MPSES</t>
        </is>
      </c>
      <c r="C1937" t="inlineStr">
        <is>
          <t>Assistant to the Parliamentary Secretary</t>
        </is>
      </c>
      <c r="D1937" t="inlineStr">
        <is>
          <t>Adjoint au secrétaire parlementaire</t>
        </is>
      </c>
      <c r="E1937" t="inlineStr">
        <is>
          <t>Patrick Mangan</t>
        </is>
      </c>
      <c r="F1937" t="inlineStr">
        <is>
          <t>Support the Minister to attend the Ontario tour</t>
        </is>
      </c>
      <c r="G1937" t="inlineStr">
        <is>
          <t>Soutenir la ministre à la tournée en Ontario</t>
        </is>
      </c>
      <c r="H1937" s="1" t="n">
        <v>44985</v>
      </c>
      <c r="I1937" s="1" t="n">
        <v>44990</v>
      </c>
      <c r="J1937" t="inlineStr">
        <is>
          <t>Kitchener (Ontario) Canada
Guelph (Ontario) Canada</t>
        </is>
      </c>
      <c r="K1937" t="inlineStr">
        <is>
          <t>Kitchener (Ontario) Canada
Guelph (Ontario) Canada</t>
        </is>
      </c>
      <c r="P1937" t="n">
        <v>691.14</v>
      </c>
      <c r="Q1937" t="n">
        <v>59.91</v>
      </c>
      <c r="R1937" t="n">
        <v>521.4299999999999</v>
      </c>
      <c r="S1937" t="n">
        <v>295.55</v>
      </c>
      <c r="T1937" t="n">
        <v>0</v>
      </c>
      <c r="U1937" t="n">
        <v>1568.03</v>
      </c>
      <c r="X1937" t="inlineStr">
        <is>
          <t>aafc-aac</t>
        </is>
      </c>
      <c r="Y1937" t="inlineStr">
        <is>
          <t>Agriculture and Agri-Food Canada | Agriculture et Agroalimentaire Canada</t>
        </is>
      </c>
      <c r="Z1937" t="n">
        <v>6</v>
      </c>
      <c r="AA1937" t="n">
        <v>1568.03</v>
      </c>
      <c r="AB1937">
        <f>ROUND(U1937-AA1937,2)</f>
        <v/>
      </c>
      <c r="AC1937" t="b">
        <v>0</v>
      </c>
      <c r="AD1937">
        <f>IF(U1937="","MISSING_TOTAL",IF(ABS(AB1937)&lt;=0.01,"OK","CHECK"))</f>
        <v/>
      </c>
      <c r="AE1937">
        <f>IF(U1937="","MISSING",IF(AND(AA1937&gt;0,U1937/AA1937&gt;50),"POSSIBLE_SCALE_ERROR","OK"))</f>
        <v/>
      </c>
    </row>
    <row r="1938">
      <c r="A1938" t="inlineStr">
        <is>
          <t>T-2022-P12-0016</t>
        </is>
      </c>
      <c r="B1938" t="inlineStr">
        <is>
          <t>SLE</t>
        </is>
      </c>
      <c r="C1938" t="inlineStr">
        <is>
          <t>Associate Deputy Minister</t>
        </is>
      </c>
      <c r="D1938" t="inlineStr">
        <is>
          <t>Sous-ministre déléguée</t>
        </is>
      </c>
      <c r="E1938" t="inlineStr">
        <is>
          <t>Suzy McDonald</t>
        </is>
      </c>
      <c r="F1938" t="inlineStr">
        <is>
          <t>Attend a Quebec Outreach</t>
        </is>
      </c>
      <c r="G1938" t="inlineStr">
        <is>
          <t>Assister à un événement de sensibilisation à Québec</t>
        </is>
      </c>
      <c r="H1938" s="1" t="n">
        <v>44991</v>
      </c>
      <c r="I1938" s="1" t="n">
        <v>44993</v>
      </c>
      <c r="J1938" t="inlineStr">
        <is>
          <t>Québec (Quebec) Canada</t>
        </is>
      </c>
      <c r="K1938" t="inlineStr">
        <is>
          <t>Québec (Québec) Canada</t>
        </is>
      </c>
      <c r="P1938" t="n">
        <v>0</v>
      </c>
      <c r="Q1938" t="n">
        <v>408.96</v>
      </c>
      <c r="R1938" t="n">
        <v>492.67</v>
      </c>
      <c r="S1938" t="n">
        <v>256.8</v>
      </c>
      <c r="T1938" t="n">
        <v>0</v>
      </c>
      <c r="U1938" t="n">
        <v>1158.43</v>
      </c>
      <c r="X1938" t="inlineStr">
        <is>
          <t>aafc-aac</t>
        </is>
      </c>
      <c r="Y1938" t="inlineStr">
        <is>
          <t>Agriculture and Agri-Food Canada | Agriculture et Agroalimentaire Canada</t>
        </is>
      </c>
      <c r="Z1938" t="n">
        <v>3</v>
      </c>
      <c r="AA1938" t="n">
        <v>1158.43</v>
      </c>
      <c r="AB1938">
        <f>ROUND(U1938-AA1938,2)</f>
        <v/>
      </c>
      <c r="AC1938" t="b">
        <v>0</v>
      </c>
      <c r="AD1938">
        <f>IF(U1938="","MISSING_TOTAL",IF(ABS(AB1938)&lt;=0.01,"OK","CHECK"))</f>
        <v/>
      </c>
      <c r="AE1938">
        <f>IF(U1938="","MISSING",IF(AND(AA1938&gt;0,U1938/AA1938&gt;50),"POSSIBLE_SCALE_ERROR","OK"))</f>
        <v/>
      </c>
    </row>
    <row r="1939">
      <c r="A1939" t="inlineStr">
        <is>
          <t>T-2022-P12-0017</t>
        </is>
      </c>
      <c r="B1939" t="inlineStr">
        <is>
          <t>SLE</t>
        </is>
      </c>
      <c r="C1939" t="inlineStr">
        <is>
          <t>Corporate Secretary</t>
        </is>
      </c>
      <c r="D1939" t="inlineStr">
        <is>
          <t>Secrétaire générale</t>
        </is>
      </c>
      <c r="E1939" t="inlineStr">
        <is>
          <t>Tamara Abel</t>
        </is>
      </c>
      <c r="F1939" t="inlineStr">
        <is>
          <t>Operational activities</t>
        </is>
      </c>
      <c r="G1939" t="inlineStr">
        <is>
          <t>Activités opérationnelles</t>
        </is>
      </c>
      <c r="H1939" s="1" t="n">
        <v>44977</v>
      </c>
      <c r="I1939" s="1" t="n">
        <v>44981</v>
      </c>
      <c r="J1939" t="inlineStr">
        <is>
          <t>Ottawa (Ontario) Canada</t>
        </is>
      </c>
      <c r="K1939" t="inlineStr">
        <is>
          <t>Ottawa (Ontario) Canada</t>
        </is>
      </c>
      <c r="P1939" t="n">
        <v>1051.82</v>
      </c>
      <c r="Q1939" t="n">
        <v>90.67</v>
      </c>
      <c r="R1939" t="n">
        <v>1029.48</v>
      </c>
      <c r="S1939" t="n">
        <v>575.95</v>
      </c>
      <c r="T1939" t="n">
        <v>0</v>
      </c>
      <c r="U1939" t="n">
        <v>2747.92</v>
      </c>
      <c r="X1939" t="inlineStr">
        <is>
          <t>aafc-aac</t>
        </is>
      </c>
      <c r="Y1939" t="inlineStr">
        <is>
          <t>Agriculture and Agri-Food Canada | Agriculture et Agroalimentaire Canada</t>
        </is>
      </c>
      <c r="Z1939" t="n">
        <v>5</v>
      </c>
      <c r="AA1939" t="n">
        <v>2747.92</v>
      </c>
      <c r="AB1939">
        <f>ROUND(U1939-AA1939,2)</f>
        <v/>
      </c>
      <c r="AC1939" t="b">
        <v>0</v>
      </c>
      <c r="AD1939">
        <f>IF(U1939="","MISSING_TOTAL",IF(ABS(AB1939)&lt;=0.01,"OK","CHECK"))</f>
        <v/>
      </c>
      <c r="AE1939">
        <f>IF(U1939="","MISSING",IF(AND(AA1939&gt;0,U1939/AA1939&gt;50),"POSSIBLE_SCALE_ERROR","OK"))</f>
        <v/>
      </c>
    </row>
    <row r="1940">
      <c r="A1940" t="inlineStr">
        <is>
          <t>T-2022-P12-0018</t>
        </is>
      </c>
      <c r="B1940" t="inlineStr">
        <is>
          <t>SLE</t>
        </is>
      </c>
      <c r="C1940" t="inlineStr">
        <is>
          <t>Assistant Deputy Minister, Science and Technology Branch</t>
        </is>
      </c>
      <c r="D1940" t="inlineStr">
        <is>
          <t>Sous-ministre adjoint, Direction générale des sciences et de la technologie</t>
        </is>
      </c>
      <c r="E1940" t="inlineStr">
        <is>
          <t>Gilles Saindon</t>
        </is>
      </c>
      <c r="F1940" t="inlineStr">
        <is>
          <t>Attend a Senate Committee on Agriculture and Forestry</t>
        </is>
      </c>
      <c r="G1940" t="inlineStr">
        <is>
          <t>Participer au Comité sénatorial de l'agriculture et des forêts</t>
        </is>
      </c>
      <c r="H1940" s="1" t="n">
        <v>44971</v>
      </c>
      <c r="I1940" s="1" t="n">
        <v>44971</v>
      </c>
      <c r="J1940" t="inlineStr">
        <is>
          <t>Ottawa (Ontario) Canada</t>
        </is>
      </c>
      <c r="K1940" t="inlineStr">
        <is>
          <t>Ottawa (Ontario) Canada</t>
        </is>
      </c>
      <c r="P1940" t="n">
        <v>0</v>
      </c>
      <c r="Q1940" t="n">
        <v>17</v>
      </c>
      <c r="R1940" t="n">
        <v>0</v>
      </c>
      <c r="S1940" t="n">
        <v>0</v>
      </c>
      <c r="T1940" t="n">
        <v>25.98</v>
      </c>
      <c r="U1940" t="n">
        <v>42.98</v>
      </c>
      <c r="X1940" t="inlineStr">
        <is>
          <t>aafc-aac</t>
        </is>
      </c>
      <c r="Y1940" t="inlineStr">
        <is>
          <t>Agriculture and Agri-Food Canada | Agriculture et Agroalimentaire Canada</t>
        </is>
      </c>
      <c r="Z1940" t="n">
        <v>1</v>
      </c>
      <c r="AA1940" t="n">
        <v>42.98</v>
      </c>
      <c r="AB1940">
        <f>ROUND(U1940-AA1940,2)</f>
        <v/>
      </c>
      <c r="AC1940" t="b">
        <v>0</v>
      </c>
      <c r="AD1940">
        <f>IF(U1940="","MISSING_TOTAL",IF(ABS(AB1940)&lt;=0.01,"OK","CHECK"))</f>
        <v/>
      </c>
      <c r="AE1940">
        <f>IF(U1940="","MISSING",IF(AND(AA1940&gt;0,U1940/AA1940&gt;50),"POSSIBLE_SCALE_ERROR","OK"))</f>
        <v/>
      </c>
    </row>
    <row r="1941">
      <c r="A1941" t="inlineStr">
        <is>
          <t>T-2022-P12-0019</t>
        </is>
      </c>
      <c r="B1941" t="inlineStr">
        <is>
          <t>SLE</t>
        </is>
      </c>
      <c r="C1941" t="inlineStr">
        <is>
          <t>Assistant Deputy Minister, Science and Technology Branch</t>
        </is>
      </c>
      <c r="D1941" t="inlineStr">
        <is>
          <t>Sous-ministre adjoint, Direction générale des sciences et de la technologie</t>
        </is>
      </c>
      <c r="E1941" t="inlineStr">
        <is>
          <t>Gilles Saindon</t>
        </is>
      </c>
      <c r="F1941" t="inlineStr">
        <is>
          <t>Attend the 4th Annual Canadian Crops Convention</t>
        </is>
      </c>
      <c r="G1941" t="inlineStr">
        <is>
          <t>Participer au 4e congrès annuel des cultures canadiennes</t>
        </is>
      </c>
      <c r="H1941" s="1" t="n">
        <v>44992</v>
      </c>
      <c r="I1941" s="1" t="n">
        <v>44994</v>
      </c>
      <c r="J1941" t="inlineStr">
        <is>
          <t>Ottawa (Ontario) Canada</t>
        </is>
      </c>
      <c r="K1941" t="inlineStr">
        <is>
          <t>Ottawa (Ontario) Canada</t>
        </is>
      </c>
      <c r="P1941" t="n">
        <v>0</v>
      </c>
      <c r="Q1941" t="n">
        <v>36</v>
      </c>
      <c r="R1941" t="n">
        <v>0</v>
      </c>
      <c r="S1941" t="n">
        <v>0</v>
      </c>
      <c r="T1941" t="n">
        <v>0</v>
      </c>
      <c r="U1941" t="n">
        <v>36</v>
      </c>
      <c r="X1941" t="inlineStr">
        <is>
          <t>aafc-aac</t>
        </is>
      </c>
      <c r="Y1941" t="inlineStr">
        <is>
          <t>Agriculture and Agri-Food Canada | Agriculture et Agroalimentaire Canada</t>
        </is>
      </c>
      <c r="Z1941" t="n">
        <v>3</v>
      </c>
      <c r="AA1941" t="n">
        <v>36</v>
      </c>
      <c r="AB1941">
        <f>ROUND(U1941-AA1941,2)</f>
        <v/>
      </c>
      <c r="AC1941" t="b">
        <v>0</v>
      </c>
      <c r="AD1941">
        <f>IF(U1941="","MISSING_TOTAL",IF(ABS(AB1941)&lt;=0.01,"OK","CHECK"))</f>
        <v/>
      </c>
      <c r="AE1941">
        <f>IF(U1941="","MISSING",IF(AND(AA1941&gt;0,U1941/AA1941&gt;50),"POSSIBLE_SCALE_ERROR","OK"))</f>
        <v/>
      </c>
    </row>
    <row r="1942">
      <c r="A1942" t="inlineStr">
        <is>
          <t>T-2022-P12-0020</t>
        </is>
      </c>
      <c r="B1942" t="inlineStr">
        <is>
          <t>SLE</t>
        </is>
      </c>
      <c r="C1942" t="inlineStr">
        <is>
          <t>Assistant Deputy Minister, International Affairs Branch</t>
        </is>
      </c>
      <c r="D1942" t="inlineStr">
        <is>
          <t>Sous-ministre adjointe, Direction générale des affaires internationales</t>
        </is>
      </c>
      <c r="E1942" t="inlineStr">
        <is>
          <t>Kathleen Donohue</t>
        </is>
      </c>
      <c r="F1942" t="inlineStr">
        <is>
          <t>Attend the Pork Conference</t>
        </is>
      </c>
      <c r="G1942" t="inlineStr">
        <is>
          <t>Assister à la conférence sur le porc</t>
        </is>
      </c>
      <c r="H1942" s="1" t="n">
        <v>44966</v>
      </c>
      <c r="I1942" s="1" t="n">
        <v>44967</v>
      </c>
      <c r="J1942" t="inlineStr">
        <is>
          <t>Toronto (Ontario) Canada</t>
        </is>
      </c>
      <c r="K1942" t="inlineStr">
        <is>
          <t>Toronto (Ontario) Canada</t>
        </is>
      </c>
      <c r="P1942" t="n">
        <v>541.55</v>
      </c>
      <c r="Q1942" t="n">
        <v>79.73999999999999</v>
      </c>
      <c r="R1942" t="n">
        <v>374.89</v>
      </c>
      <c r="S1942" t="n">
        <v>136.8</v>
      </c>
      <c r="T1942" t="n">
        <v>0</v>
      </c>
      <c r="U1942" t="n">
        <v>1132.98</v>
      </c>
      <c r="X1942" t="inlineStr">
        <is>
          <t>aafc-aac</t>
        </is>
      </c>
      <c r="Y1942" t="inlineStr">
        <is>
          <t>Agriculture and Agri-Food Canada | Agriculture et Agroalimentaire Canada</t>
        </is>
      </c>
      <c r="Z1942" t="n">
        <v>2</v>
      </c>
      <c r="AA1942" t="n">
        <v>1132.98</v>
      </c>
      <c r="AB1942">
        <f>ROUND(U1942-AA1942,2)</f>
        <v/>
      </c>
      <c r="AC1942" t="b">
        <v>0</v>
      </c>
      <c r="AD1942">
        <f>IF(U1942="","MISSING_TOTAL",IF(ABS(AB1942)&lt;=0.01,"OK","CHECK"))</f>
        <v/>
      </c>
      <c r="AE1942">
        <f>IF(U1942="","MISSING",IF(AND(AA1942&gt;0,U1942/AA1942&gt;50),"POSSIBLE_SCALE_ERROR","OK"))</f>
        <v/>
      </c>
    </row>
    <row r="1943">
      <c r="A1943" t="inlineStr">
        <is>
          <t>T-2022-P12-0021</t>
        </is>
      </c>
      <c r="B1943" t="inlineStr">
        <is>
          <t>SLE</t>
        </is>
      </c>
      <c r="C1943" t="inlineStr">
        <is>
          <t>Assistant Deputy Minister, International Affairs Branch</t>
        </is>
      </c>
      <c r="D1943" t="inlineStr">
        <is>
          <t>Sous-ministre adjointe, Direction générale des affaires internationales</t>
        </is>
      </c>
      <c r="E1943" t="inlineStr">
        <is>
          <t>Kathleen Donohue</t>
        </is>
      </c>
      <c r="F1943" t="inlineStr">
        <is>
          <t>Operational Activities</t>
        </is>
      </c>
      <c r="G1943" t="inlineStr">
        <is>
          <t>Activités opérationnelles</t>
        </is>
      </c>
      <c r="H1943" s="1" t="n">
        <v>44881</v>
      </c>
      <c r="I1943" s="1" t="n">
        <v>44888</v>
      </c>
      <c r="J1943" t="inlineStr">
        <is>
          <t>Tokyo, Japan 
Seoul (Republic of Korea, South)</t>
        </is>
      </c>
      <c r="K1943" t="inlineStr">
        <is>
          <t>Tokyo, Japon
Séoul (République de Corée, Sud)</t>
        </is>
      </c>
      <c r="P1943" t="n">
        <v>13262.9</v>
      </c>
      <c r="Q1943" t="n">
        <v>178.79</v>
      </c>
      <c r="R1943" t="n">
        <v>1270.67</v>
      </c>
      <c r="S1943" t="n">
        <v>1121.34</v>
      </c>
      <c r="T1943" t="n">
        <v>0</v>
      </c>
      <c r="U1943" t="n">
        <v>15833.7</v>
      </c>
      <c r="X1943" t="inlineStr">
        <is>
          <t>aafc-aac</t>
        </is>
      </c>
      <c r="Y1943" t="inlineStr">
        <is>
          <t>Agriculture and Agri-Food Canada | Agriculture et Agroalimentaire Canada</t>
        </is>
      </c>
      <c r="Z1943" t="n">
        <v>8</v>
      </c>
      <c r="AA1943" t="n">
        <v>15833.7</v>
      </c>
      <c r="AB1943">
        <f>ROUND(U1943-AA1943,2)</f>
        <v/>
      </c>
      <c r="AC1943" t="b">
        <v>0</v>
      </c>
      <c r="AD1943">
        <f>IF(U1943="","MISSING_TOTAL",IF(ABS(AB1943)&lt;=0.01,"OK","CHECK"))</f>
        <v/>
      </c>
      <c r="AE1943">
        <f>IF(U1943="","MISSING",IF(AND(AA1943&gt;0,U1943/AA1943&gt;50),"POSSIBLE_SCALE_ERROR","OK"))</f>
        <v/>
      </c>
    </row>
    <row r="1944">
      <c r="A1944" t="inlineStr">
        <is>
          <t>T-2022-P12-0022</t>
        </is>
      </c>
      <c r="B1944" t="inlineStr">
        <is>
          <t>SLE</t>
        </is>
      </c>
      <c r="C1944" t="inlineStr">
        <is>
          <t>Assistant Deputy Minister, International Affairs Branch</t>
        </is>
      </c>
      <c r="D1944" t="inlineStr">
        <is>
          <t>Sous-ministre adjointe, Direction générale des affaires internationales</t>
        </is>
      </c>
      <c r="E1944" t="inlineStr">
        <is>
          <t>Kathleen Donohue</t>
        </is>
      </c>
      <c r="F1944" t="inlineStr">
        <is>
          <t>Meet with Ambassador of China</t>
        </is>
      </c>
      <c r="G1944" t="inlineStr">
        <is>
          <t>Rencontrer l'ambassadeur de la Chine</t>
        </is>
      </c>
      <c r="H1944" s="1" t="n">
        <v>44973</v>
      </c>
      <c r="I1944" s="1" t="n">
        <v>44973</v>
      </c>
      <c r="J1944" t="inlineStr">
        <is>
          <t>Ottawa (Ontario) Canada</t>
        </is>
      </c>
      <c r="K1944" t="inlineStr">
        <is>
          <t>Ottawa (Ontario) Canada</t>
        </is>
      </c>
      <c r="P1944" t="n">
        <v>0</v>
      </c>
      <c r="Q1944" t="n">
        <v>21.42</v>
      </c>
      <c r="R1944" t="n">
        <v>0</v>
      </c>
      <c r="S1944" t="n">
        <v>0</v>
      </c>
      <c r="T1944" t="n">
        <v>0</v>
      </c>
      <c r="U1944" t="n">
        <v>21.42</v>
      </c>
      <c r="X1944" t="inlineStr">
        <is>
          <t>aafc-aac</t>
        </is>
      </c>
      <c r="Y1944" t="inlineStr">
        <is>
          <t>Agriculture and Agri-Food Canada | Agriculture et Agroalimentaire Canada</t>
        </is>
      </c>
      <c r="Z1944" t="n">
        <v>1</v>
      </c>
      <c r="AA1944" t="n">
        <v>21.42</v>
      </c>
      <c r="AB1944">
        <f>ROUND(U1944-AA1944,2)</f>
        <v/>
      </c>
      <c r="AC1944" t="b">
        <v>0</v>
      </c>
      <c r="AD1944">
        <f>IF(U1944="","MISSING_TOTAL",IF(ABS(AB1944)&lt;=0.01,"OK","CHECK"))</f>
        <v/>
      </c>
      <c r="AE1944">
        <f>IF(U1944="","MISSING",IF(AND(AA1944&gt;0,U1944/AA1944&gt;50),"POSSIBLE_SCALE_ERROR","OK"))</f>
        <v/>
      </c>
    </row>
    <row r="1945">
      <c r="A1945" t="inlineStr">
        <is>
          <t>T-2022-P12-0023</t>
        </is>
      </c>
      <c r="B1945" t="inlineStr">
        <is>
          <t>SLE</t>
        </is>
      </c>
      <c r="C1945" t="inlineStr">
        <is>
          <t>Assistant Deputy Minister, Corporate Management Branch</t>
        </is>
      </c>
      <c r="D1945" t="inlineStr">
        <is>
          <t>Sous-ministre adjointe, Direction générale de la gestion intégrée</t>
        </is>
      </c>
      <c r="E1945" t="inlineStr">
        <is>
          <t>Marie-Claude Guérard</t>
        </is>
      </c>
      <c r="F1945" t="inlineStr">
        <is>
          <t>Attend meetings in Ottawa</t>
        </is>
      </c>
      <c r="G1945" t="inlineStr">
        <is>
          <t>Participer aux rencontres à Ottawa</t>
        </is>
      </c>
      <c r="H1945" s="1" t="n">
        <v>44964</v>
      </c>
      <c r="I1945" s="1" t="n">
        <v>44965</v>
      </c>
      <c r="J1945" t="inlineStr">
        <is>
          <t>Ottawa (Ontario) Canada</t>
        </is>
      </c>
      <c r="K1945" t="inlineStr">
        <is>
          <t>Ottawa (Ontario) Canada</t>
        </is>
      </c>
      <c r="P1945" t="n">
        <v>0</v>
      </c>
      <c r="Q1945" t="n">
        <v>430.14</v>
      </c>
      <c r="R1945" t="n">
        <v>198.61</v>
      </c>
      <c r="S1945" t="n">
        <v>137.3</v>
      </c>
      <c r="T1945" t="n">
        <v>0</v>
      </c>
      <c r="U1945" t="n">
        <v>766.05</v>
      </c>
      <c r="X1945" t="inlineStr">
        <is>
          <t>aafc-aac</t>
        </is>
      </c>
      <c r="Y1945" t="inlineStr">
        <is>
          <t>Agriculture and Agri-Food Canada | Agriculture et Agroalimentaire Canada</t>
        </is>
      </c>
      <c r="Z1945" t="n">
        <v>2</v>
      </c>
      <c r="AA1945" t="n">
        <v>766.05</v>
      </c>
      <c r="AB1945">
        <f>ROUND(U1945-AA1945,2)</f>
        <v/>
      </c>
      <c r="AC1945" t="b">
        <v>0</v>
      </c>
      <c r="AD1945">
        <f>IF(U1945="","MISSING_TOTAL",IF(ABS(AB1945)&lt;=0.01,"OK","CHECK"))</f>
        <v/>
      </c>
      <c r="AE1945">
        <f>IF(U1945="","MISSING",IF(AND(AA1945&gt;0,U1945/AA1945&gt;50),"POSSIBLE_SCALE_ERROR","OK"))</f>
        <v/>
      </c>
    </row>
    <row r="1946">
      <c r="A1946" t="inlineStr">
        <is>
          <t>T-2022-P12-0024</t>
        </is>
      </c>
      <c r="B1946" t="inlineStr">
        <is>
          <t>SLE</t>
        </is>
      </c>
      <c r="C1946" t="inlineStr">
        <is>
          <t>Assistant Deputy Minister, Corporate Management Branch</t>
        </is>
      </c>
      <c r="D1946" t="inlineStr">
        <is>
          <t>Sous-ministre adjointe, Direction générale de la gestion intégrée</t>
        </is>
      </c>
      <c r="E1946" t="inlineStr">
        <is>
          <t>Marie-Claude Guérard</t>
        </is>
      </c>
      <c r="F1946" t="inlineStr">
        <is>
          <t>Attend meetings in Ottawa</t>
        </is>
      </c>
      <c r="G1946" t="inlineStr">
        <is>
          <t>Participer aux rencontres à Ottawa</t>
        </is>
      </c>
      <c r="H1946" s="1" t="n">
        <v>44971</v>
      </c>
      <c r="I1946" s="1" t="n">
        <v>44971</v>
      </c>
      <c r="J1946" t="inlineStr">
        <is>
          <t>Ottawa (Ontario) Canada</t>
        </is>
      </c>
      <c r="K1946" t="inlineStr">
        <is>
          <t>Ottawa (Ontario) Canada</t>
        </is>
      </c>
      <c r="P1946" t="n">
        <v>0</v>
      </c>
      <c r="Q1946" t="n">
        <v>353.01</v>
      </c>
      <c r="R1946" t="n">
        <v>0</v>
      </c>
      <c r="S1946" t="n">
        <v>23.05</v>
      </c>
      <c r="T1946" t="n">
        <v>0</v>
      </c>
      <c r="U1946" t="n">
        <v>376.06</v>
      </c>
      <c r="X1946" t="inlineStr">
        <is>
          <t>aafc-aac</t>
        </is>
      </c>
      <c r="Y1946" t="inlineStr">
        <is>
          <t>Agriculture and Agri-Food Canada | Agriculture et Agroalimentaire Canada</t>
        </is>
      </c>
      <c r="Z1946" t="n">
        <v>1</v>
      </c>
      <c r="AA1946" t="n">
        <v>376.06</v>
      </c>
      <c r="AB1946">
        <f>ROUND(U1946-AA1946,2)</f>
        <v/>
      </c>
      <c r="AC1946" t="b">
        <v>0</v>
      </c>
      <c r="AD1946">
        <f>IF(U1946="","MISSING_TOTAL",IF(ABS(AB1946)&lt;=0.01,"OK","CHECK"))</f>
        <v/>
      </c>
      <c r="AE1946">
        <f>IF(U1946="","MISSING",IF(AND(AA1946&gt;0,U1946/AA1946&gt;50),"POSSIBLE_SCALE_ERROR","OK"))</f>
        <v/>
      </c>
    </row>
    <row r="1947">
      <c r="A1947" t="inlineStr">
        <is>
          <t>T-2022-P12-0025</t>
        </is>
      </c>
      <c r="B1947" t="inlineStr">
        <is>
          <t>SLE</t>
        </is>
      </c>
      <c r="C1947" t="inlineStr">
        <is>
          <t>Assistant Deputy Minister, Corporate Management Branch</t>
        </is>
      </c>
      <c r="D1947" t="inlineStr">
        <is>
          <t>Sous-ministre adjointe, Direction générale de la gestion intégrée</t>
        </is>
      </c>
      <c r="E1947" t="inlineStr">
        <is>
          <t>Marie-Claude Guérard</t>
        </is>
      </c>
      <c r="F1947" t="inlineStr">
        <is>
          <t>Attend meetings in Ottawa</t>
        </is>
      </c>
      <c r="G1947" t="inlineStr">
        <is>
          <t>Participer aux rencontres à Ottawa</t>
        </is>
      </c>
      <c r="H1947" s="1" t="n">
        <v>44980</v>
      </c>
      <c r="I1947" s="1" t="n">
        <v>44980</v>
      </c>
      <c r="J1947" t="inlineStr">
        <is>
          <t>Ottawa (Ontario) Canada</t>
        </is>
      </c>
      <c r="K1947" t="inlineStr">
        <is>
          <t>Ottawa (Ontario) Canada</t>
        </is>
      </c>
      <c r="P1947" t="n">
        <v>0</v>
      </c>
      <c r="Q1947" t="n">
        <v>360.12</v>
      </c>
      <c r="R1947" t="n">
        <v>0</v>
      </c>
      <c r="S1947" t="n">
        <v>79.65000000000001</v>
      </c>
      <c r="T1947" t="n">
        <v>0</v>
      </c>
      <c r="U1947" t="n">
        <v>439.77</v>
      </c>
      <c r="X1947" t="inlineStr">
        <is>
          <t>aafc-aac</t>
        </is>
      </c>
      <c r="Y1947" t="inlineStr">
        <is>
          <t>Agriculture and Agri-Food Canada | Agriculture et Agroalimentaire Canada</t>
        </is>
      </c>
      <c r="Z1947" t="n">
        <v>1</v>
      </c>
      <c r="AA1947" t="n">
        <v>439.77</v>
      </c>
      <c r="AB1947">
        <f>ROUND(U1947-AA1947,2)</f>
        <v/>
      </c>
      <c r="AC1947" t="b">
        <v>0</v>
      </c>
      <c r="AD1947">
        <f>IF(U1947="","MISSING_TOTAL",IF(ABS(AB1947)&lt;=0.01,"OK","CHECK"))</f>
        <v/>
      </c>
      <c r="AE1947">
        <f>IF(U1947="","MISSING",IF(AND(AA1947&gt;0,U1947/AA1947&gt;50),"POSSIBLE_SCALE_ERROR","OK"))</f>
        <v/>
      </c>
    </row>
    <row r="1948">
      <c r="A1948" t="inlineStr">
        <is>
          <t>T-2022-P12-0026</t>
        </is>
      </c>
      <c r="B1948" t="inlineStr">
        <is>
          <t>SLE</t>
        </is>
      </c>
      <c r="C1948" t="inlineStr">
        <is>
          <t>Assistant Deputy Minister, Corporate Management Branch</t>
        </is>
      </c>
      <c r="D1948" t="inlineStr">
        <is>
          <t>Sous-ministre adjointe, Direction générale de la gestion intégrée</t>
        </is>
      </c>
      <c r="E1948" t="inlineStr">
        <is>
          <t>Marie-Claude Guérard</t>
        </is>
      </c>
      <c r="F1948" t="inlineStr">
        <is>
          <t>Attend meetings in Ottawa</t>
        </is>
      </c>
      <c r="G1948" t="inlineStr">
        <is>
          <t>Participer aux rencontres à Ottawa</t>
        </is>
      </c>
      <c r="H1948" s="1" t="n">
        <v>44984</v>
      </c>
      <c r="I1948" s="1" t="n">
        <v>44985</v>
      </c>
      <c r="J1948" t="inlineStr">
        <is>
          <t>Ottawa (Ontario) Canada</t>
        </is>
      </c>
      <c r="K1948" t="inlineStr">
        <is>
          <t>Ottawa (Ontario) Canada</t>
        </is>
      </c>
      <c r="P1948" t="n">
        <v>0</v>
      </c>
      <c r="Q1948" t="n">
        <v>374.69</v>
      </c>
      <c r="R1948" t="n">
        <v>233.86</v>
      </c>
      <c r="S1948" t="n">
        <v>160.1</v>
      </c>
      <c r="T1948" t="n">
        <v>0</v>
      </c>
      <c r="U1948" t="n">
        <v>768.65</v>
      </c>
      <c r="X1948" t="inlineStr">
        <is>
          <t>aafc-aac</t>
        </is>
      </c>
      <c r="Y1948" t="inlineStr">
        <is>
          <t>Agriculture and Agri-Food Canada | Agriculture et Agroalimentaire Canada</t>
        </is>
      </c>
      <c r="Z1948" t="n">
        <v>2</v>
      </c>
      <c r="AA1948" t="n">
        <v>768.65</v>
      </c>
      <c r="AB1948">
        <f>ROUND(U1948-AA1948,2)</f>
        <v/>
      </c>
      <c r="AC1948" t="b">
        <v>0</v>
      </c>
      <c r="AD1948">
        <f>IF(U1948="","MISSING_TOTAL",IF(ABS(AB1948)&lt;=0.01,"OK","CHECK"))</f>
        <v/>
      </c>
      <c r="AE1948">
        <f>IF(U1948="","MISSING",IF(AND(AA1948&gt;0,U1948/AA1948&gt;50),"POSSIBLE_SCALE_ERROR","OK"))</f>
        <v/>
      </c>
    </row>
    <row r="1949">
      <c r="A1949" t="inlineStr">
        <is>
          <t>T-2022-P12-0027</t>
        </is>
      </c>
      <c r="B1949" t="inlineStr">
        <is>
          <t>SLE</t>
        </is>
      </c>
      <c r="C1949" t="inlineStr">
        <is>
          <t>Assistant Deputy Minister, Corporate Management Branch</t>
        </is>
      </c>
      <c r="D1949" t="inlineStr">
        <is>
          <t>Sous-ministre adjointe, Direction générale de la gestion intégrée</t>
        </is>
      </c>
      <c r="E1949" t="inlineStr">
        <is>
          <t>Marie-Claude Guérard</t>
        </is>
      </c>
      <c r="F1949" t="inlineStr">
        <is>
          <t>Attend meetings in Ottawa</t>
        </is>
      </c>
      <c r="G1949" t="inlineStr">
        <is>
          <t>Participer aux rencontres à Ottawa</t>
        </is>
      </c>
      <c r="H1949" s="1" t="n">
        <v>44986</v>
      </c>
      <c r="I1949" s="1" t="n">
        <v>44986</v>
      </c>
      <c r="J1949" t="inlineStr">
        <is>
          <t>Ottawa (Ontario) Canada</t>
        </is>
      </c>
      <c r="K1949" t="inlineStr">
        <is>
          <t>Ottawa (Ontario) Canada</t>
        </is>
      </c>
      <c r="P1949" t="n">
        <v>0</v>
      </c>
      <c r="Q1949" t="n">
        <v>326.87</v>
      </c>
      <c r="R1949" t="n">
        <v>0</v>
      </c>
      <c r="S1949" t="n">
        <v>23.05</v>
      </c>
      <c r="T1949" t="n">
        <v>0</v>
      </c>
      <c r="U1949" t="n">
        <v>349.92</v>
      </c>
      <c r="X1949" t="inlineStr">
        <is>
          <t>aafc-aac</t>
        </is>
      </c>
      <c r="Y1949" t="inlineStr">
        <is>
          <t>Agriculture and Agri-Food Canada | Agriculture et Agroalimentaire Canada</t>
        </is>
      </c>
      <c r="Z1949" t="n">
        <v>1</v>
      </c>
      <c r="AA1949" t="n">
        <v>349.92</v>
      </c>
      <c r="AB1949">
        <f>ROUND(U1949-AA1949,2)</f>
        <v/>
      </c>
      <c r="AC1949" t="b">
        <v>0</v>
      </c>
      <c r="AD1949">
        <f>IF(U1949="","MISSING_TOTAL",IF(ABS(AB1949)&lt;=0.01,"OK","CHECK"))</f>
        <v/>
      </c>
      <c r="AE1949">
        <f>IF(U1949="","MISSING",IF(AND(AA1949&gt;0,U1949/AA1949&gt;50),"POSSIBLE_SCALE_ERROR","OK"))</f>
        <v/>
      </c>
    </row>
    <row r="1950">
      <c r="A1950" t="inlineStr">
        <is>
          <t>T-2022-P12-0028</t>
        </is>
      </c>
      <c r="B1950" t="inlineStr">
        <is>
          <t>SLE</t>
        </is>
      </c>
      <c r="C1950" t="inlineStr">
        <is>
          <t>Assistant Deputy Minister, Public Affairs Branch</t>
        </is>
      </c>
      <c r="D1950" t="inlineStr">
        <is>
          <t>Sous-ministre adjointe, Direction générale des affaires publiques</t>
        </is>
      </c>
      <c r="E1950" t="inlineStr">
        <is>
          <t>Mary Dila</t>
        </is>
      </c>
      <c r="F1950" t="inlineStr">
        <is>
          <t>Participate in the Quebec Outreach trip with the Associate Deputy Minister</t>
        </is>
      </c>
      <c r="G1950" t="inlineStr">
        <is>
          <t>Participer au voyage de sensibilisation dans la région du Québec avec la sous-ministre déléguée.</t>
        </is>
      </c>
      <c r="H1950" s="1" t="n">
        <v>44991</v>
      </c>
      <c r="I1950" s="1" t="n">
        <v>44993</v>
      </c>
      <c r="J1950" t="inlineStr">
        <is>
          <t>Montréal (Quebec) Canada</t>
        </is>
      </c>
      <c r="K1950" t="inlineStr">
        <is>
          <t>Montréal (Québec) Canada</t>
        </is>
      </c>
      <c r="P1950" t="n">
        <v>0</v>
      </c>
      <c r="Q1950" t="n">
        <v>193.57</v>
      </c>
      <c r="R1950" t="n">
        <v>616.55</v>
      </c>
      <c r="S1950" t="n">
        <v>279.85</v>
      </c>
      <c r="T1950" t="n">
        <v>0</v>
      </c>
      <c r="U1950" t="n">
        <v>1089.97</v>
      </c>
      <c r="X1950" t="inlineStr">
        <is>
          <t>aafc-aac</t>
        </is>
      </c>
      <c r="Y1950" t="inlineStr">
        <is>
          <t>Agriculture and Agri-Food Canada | Agriculture et Agroalimentaire Canada</t>
        </is>
      </c>
      <c r="Z1950" t="n">
        <v>3</v>
      </c>
      <c r="AA1950" t="n">
        <v>1089.96999999999</v>
      </c>
      <c r="AB1950">
        <f>ROUND(U1950-AA1950,2)</f>
        <v/>
      </c>
      <c r="AC1950" t="b">
        <v>0</v>
      </c>
      <c r="AD1950">
        <f>IF(U1950="","MISSING_TOTAL",IF(ABS(AB1950)&lt;=0.01,"OK","CHECK"))</f>
        <v/>
      </c>
      <c r="AE1950">
        <f>IF(U1950="","MISSING",IF(AND(AA1950&gt;0,U1950/AA1950&gt;50),"POSSIBLE_SCALE_ERROR","OK"))</f>
        <v/>
      </c>
    </row>
    <row r="1951">
      <c r="A1951" t="inlineStr">
        <is>
          <t>T-2022-P12-0029</t>
        </is>
      </c>
      <c r="B1951" t="inlineStr">
        <is>
          <t>SLE</t>
        </is>
      </c>
      <c r="C1951" t="inlineStr">
        <is>
          <t>Assistant Deputy Minister, Strategic Policy Branch</t>
        </is>
      </c>
      <c r="D1951" t="inlineStr">
        <is>
          <t>Sous-ministre adjointe, Direction générale des politiques stratégiques</t>
        </is>
      </c>
      <c r="E1951" t="inlineStr">
        <is>
          <t>Natasha Kim</t>
        </is>
      </c>
      <c r="F1951" t="inlineStr">
        <is>
          <t>Attend the Edmonton Roundtable Event</t>
        </is>
      </c>
      <c r="G1951" t="inlineStr">
        <is>
          <t>Participer à la table ronde d'Edmonton</t>
        </is>
      </c>
      <c r="H1951" s="1" t="n">
        <v>44973</v>
      </c>
      <c r="I1951" s="1" t="n">
        <v>44973</v>
      </c>
      <c r="J1951" t="inlineStr">
        <is>
          <t>Calgary (Alberta) Canada</t>
        </is>
      </c>
      <c r="K1951" t="inlineStr">
        <is>
          <t>Calgary (Alberta) Canada</t>
        </is>
      </c>
      <c r="P1951" t="n">
        <v>0</v>
      </c>
      <c r="Q1951" t="n">
        <v>45.9</v>
      </c>
      <c r="R1951" t="n">
        <v>0</v>
      </c>
      <c r="S1951" t="n">
        <v>0</v>
      </c>
      <c r="T1951" t="n">
        <v>0</v>
      </c>
      <c r="U1951" t="n">
        <v>45.9</v>
      </c>
      <c r="X1951" t="inlineStr">
        <is>
          <t>aafc-aac</t>
        </is>
      </c>
      <c r="Y1951" t="inlineStr">
        <is>
          <t>Agriculture and Agri-Food Canada | Agriculture et Agroalimentaire Canada</t>
        </is>
      </c>
      <c r="Z1951" t="n">
        <v>1</v>
      </c>
      <c r="AA1951" t="n">
        <v>45.9</v>
      </c>
      <c r="AB1951">
        <f>ROUND(U1951-AA1951,2)</f>
        <v/>
      </c>
      <c r="AC1951" t="b">
        <v>0</v>
      </c>
      <c r="AD1951">
        <f>IF(U1951="","MISSING_TOTAL",IF(ABS(AB1951)&lt;=0.01,"OK","CHECK"))</f>
        <v/>
      </c>
      <c r="AE1951">
        <f>IF(U1951="","MISSING",IF(AND(AA1951&gt;0,U1951/AA1951&gt;50),"POSSIBLE_SCALE_ERROR","OK"))</f>
        <v/>
      </c>
    </row>
    <row r="1952">
      <c r="A1952" t="inlineStr">
        <is>
          <t>T-2022-P12-0030</t>
        </is>
      </c>
      <c r="B1952" t="inlineStr">
        <is>
          <t>SLE</t>
        </is>
      </c>
      <c r="C1952" t="inlineStr">
        <is>
          <t>Assistant Deputy Minister, Strategic Policy Branch</t>
        </is>
      </c>
      <c r="D1952" t="inlineStr">
        <is>
          <t>Sous-ministre adjointe, Direction générale des politiques stratégiques</t>
        </is>
      </c>
      <c r="E1952" t="inlineStr">
        <is>
          <t>Natasha Kim</t>
        </is>
      </c>
      <c r="F1952" t="inlineStr">
        <is>
          <t>Attend various meetings downtown</t>
        </is>
      </c>
      <c r="G1952" t="inlineStr">
        <is>
          <t>Participer à diverses réunions en ville</t>
        </is>
      </c>
      <c r="H1952" s="1" t="n">
        <v>44861</v>
      </c>
      <c r="I1952" s="1" t="n">
        <v>44889</v>
      </c>
      <c r="J1952" t="inlineStr">
        <is>
          <t>Ottawa (Ontario) Canada</t>
        </is>
      </c>
      <c r="K1952" t="inlineStr">
        <is>
          <t>Ottawa (Ontario) Canada</t>
        </is>
      </c>
      <c r="P1952" t="n">
        <v>0</v>
      </c>
      <c r="Q1952" t="n">
        <v>42</v>
      </c>
      <c r="R1952" t="n">
        <v>0</v>
      </c>
      <c r="S1952" t="n">
        <v>0</v>
      </c>
      <c r="T1952" t="n">
        <v>0</v>
      </c>
      <c r="U1952" t="n">
        <v>42</v>
      </c>
      <c r="X1952" t="inlineStr">
        <is>
          <t>aafc-aac</t>
        </is>
      </c>
      <c r="Y1952" t="inlineStr">
        <is>
          <t>Agriculture and Agri-Food Canada | Agriculture et Agroalimentaire Canada</t>
        </is>
      </c>
      <c r="Z1952" t="n">
        <v>29</v>
      </c>
      <c r="AA1952" t="n">
        <v>42</v>
      </c>
      <c r="AB1952">
        <f>ROUND(U1952-AA1952,2)</f>
        <v/>
      </c>
      <c r="AC1952" t="b">
        <v>0</v>
      </c>
      <c r="AD1952">
        <f>IF(U1952="","MISSING_TOTAL",IF(ABS(AB1952)&lt;=0.01,"OK","CHECK"))</f>
        <v/>
      </c>
      <c r="AE1952">
        <f>IF(U1952="","MISSING",IF(AND(AA1952&gt;0,U1952/AA1952&gt;50),"POSSIBLE_SCALE_ERROR","OK"))</f>
        <v/>
      </c>
    </row>
    <row r="1953">
      <c r="A1953" t="inlineStr">
        <is>
          <t>T-2022-P12-0031</t>
        </is>
      </c>
      <c r="B1953" t="inlineStr">
        <is>
          <t>SLE</t>
        </is>
      </c>
      <c r="C1953" t="inlineStr">
        <is>
          <t>Assistant Deputy Minister, Market and Industry Services Branch</t>
        </is>
      </c>
      <c r="D1953" t="inlineStr">
        <is>
          <t>Sous-ministre adjoint, Direction générale des services à l'industrie et aux marchés</t>
        </is>
      </c>
      <c r="E1953" t="inlineStr">
        <is>
          <t>Tom Rosser</t>
        </is>
      </c>
      <c r="F1953" t="inlineStr">
        <is>
          <t>Attend the 1st Agricultural Senior Officials' Meeting</t>
        </is>
      </c>
      <c r="G1953" t="inlineStr">
        <is>
          <t>Participer à la première réunion des hauts fonctionnaires agricoles</t>
        </is>
      </c>
      <c r="H1953" s="1" t="n">
        <v>44961</v>
      </c>
      <c r="I1953" s="1" t="n">
        <v>44965</v>
      </c>
      <c r="J1953" t="inlineStr">
        <is>
          <t>Tokyo, Japan</t>
        </is>
      </c>
      <c r="K1953" t="inlineStr">
        <is>
          <t>Tokyo, Japon</t>
        </is>
      </c>
      <c r="P1953" t="n">
        <v>6253.75</v>
      </c>
      <c r="Q1953" t="n">
        <v>140.95</v>
      </c>
      <c r="R1953" t="n">
        <v>672.73</v>
      </c>
      <c r="S1953" t="n">
        <v>355.62</v>
      </c>
      <c r="T1953" t="n">
        <v>0</v>
      </c>
      <c r="U1953" t="n">
        <v>7423.05</v>
      </c>
      <c r="X1953" t="inlineStr">
        <is>
          <t>aafc-aac</t>
        </is>
      </c>
      <c r="Y1953" t="inlineStr">
        <is>
          <t>Agriculture and Agri-Food Canada | Agriculture et Agroalimentaire Canada</t>
        </is>
      </c>
      <c r="Z1953" t="n">
        <v>5</v>
      </c>
      <c r="AA1953" t="n">
        <v>7423.05</v>
      </c>
      <c r="AB1953">
        <f>ROUND(U1953-AA1953,2)</f>
        <v/>
      </c>
      <c r="AC1953" t="b">
        <v>0</v>
      </c>
      <c r="AD1953">
        <f>IF(U1953="","MISSING_TOTAL",IF(ABS(AB1953)&lt;=0.01,"OK","CHECK"))</f>
        <v/>
      </c>
      <c r="AE1953">
        <f>IF(U1953="","MISSING",IF(AND(AA1953&gt;0,U1953/AA1953&gt;50),"POSSIBLE_SCALE_ERROR","OK"))</f>
        <v/>
      </c>
    </row>
    <row r="1954">
      <c r="A1954" t="inlineStr">
        <is>
          <t>T-2023-P01-0001</t>
        </is>
      </c>
      <c r="B1954" t="inlineStr">
        <is>
          <t>MPSES</t>
        </is>
      </c>
      <c r="C1954" t="inlineStr">
        <is>
          <t>Driver</t>
        </is>
      </c>
      <c r="D1954" t="inlineStr">
        <is>
          <t>Chauffeur</t>
        </is>
      </c>
      <c r="E1954" t="inlineStr">
        <is>
          <t>Michel Gendreau</t>
        </is>
      </c>
      <c r="F1954" t="inlineStr">
        <is>
          <t>Drive the Minister from her riding to Ottawa</t>
        </is>
      </c>
      <c r="G1954" t="inlineStr">
        <is>
          <t>Conduire la ministre de sa circonscription à Ottawa</t>
        </is>
      </c>
      <c r="H1954" s="1" t="n">
        <v>45011</v>
      </c>
      <c r="I1954" s="1" t="n">
        <v>45012</v>
      </c>
      <c r="J1954" t="inlineStr">
        <is>
          <t>Sherbrooke (Quebec) Canada</t>
        </is>
      </c>
      <c r="K1954" t="inlineStr">
        <is>
          <t>Sherbrooke (Québec) Canada</t>
        </is>
      </c>
      <c r="P1954" t="n">
        <v>0</v>
      </c>
      <c r="Q1954" t="n">
        <v>3.5</v>
      </c>
      <c r="R1954" t="n">
        <v>129.71</v>
      </c>
      <c r="S1954" t="n">
        <v>79.40000000000001</v>
      </c>
      <c r="T1954" t="n">
        <v>0</v>
      </c>
      <c r="U1954" t="n">
        <v>212.61</v>
      </c>
      <c r="X1954" t="inlineStr">
        <is>
          <t>aafc-aac</t>
        </is>
      </c>
      <c r="Y1954" t="inlineStr">
        <is>
          <t>Agriculture and Agri-Food Canada | Agriculture et Agroalimentaire Canada</t>
        </is>
      </c>
      <c r="Z1954" t="n">
        <v>2</v>
      </c>
      <c r="AA1954" t="n">
        <v>212.61</v>
      </c>
      <c r="AB1954">
        <f>ROUND(U1954-AA1954,2)</f>
        <v/>
      </c>
      <c r="AC1954" t="b">
        <v>0</v>
      </c>
      <c r="AD1954">
        <f>IF(U1954="","MISSING_TOTAL",IF(ABS(AB1954)&lt;=0.01,"OK","CHECK"))</f>
        <v/>
      </c>
      <c r="AE1954">
        <f>IF(U1954="","MISSING",IF(AND(AA1954&gt;0,U1954/AA1954&gt;50),"POSSIBLE_SCALE_ERROR","OK"))</f>
        <v/>
      </c>
    </row>
    <row r="1955">
      <c r="A1955" t="inlineStr">
        <is>
          <t>T-2023-P01-0002</t>
        </is>
      </c>
      <c r="B1955" t="inlineStr">
        <is>
          <t>MPSES</t>
        </is>
      </c>
      <c r="C1955" t="inlineStr">
        <is>
          <t>Driver</t>
        </is>
      </c>
      <c r="D1955" t="inlineStr">
        <is>
          <t>Chauffeur</t>
        </is>
      </c>
      <c r="E1955" t="inlineStr">
        <is>
          <t>Michel Gendreau</t>
        </is>
      </c>
      <c r="F1955" t="inlineStr">
        <is>
          <t>Drive the Minister from her riding to an event</t>
        </is>
      </c>
      <c r="G1955" t="inlineStr">
        <is>
          <t>Conduire la ministre de sa circonscription à un événement</t>
        </is>
      </c>
      <c r="H1955" s="1" t="n">
        <v>45027</v>
      </c>
      <c r="I1955" s="1" t="n">
        <v>45028</v>
      </c>
      <c r="J1955" t="inlineStr">
        <is>
          <t>Sherbrooke (Quebec) Canada
Trois-Rivière (Quebec) Canada</t>
        </is>
      </c>
      <c r="K1955" t="inlineStr">
        <is>
          <t>Sherbrooke (Québec) Canada
Trois-Rivière (Québec) Canada</t>
        </is>
      </c>
      <c r="P1955" t="n">
        <v>0</v>
      </c>
      <c r="Q1955" t="n">
        <v>3.5</v>
      </c>
      <c r="R1955" t="n">
        <v>129.71</v>
      </c>
      <c r="S1955" t="n">
        <v>164.7</v>
      </c>
      <c r="T1955" t="n">
        <v>0</v>
      </c>
      <c r="U1955" t="n">
        <v>297.91</v>
      </c>
      <c r="X1955" t="inlineStr">
        <is>
          <t>aafc-aac</t>
        </is>
      </c>
      <c r="Y1955" t="inlineStr">
        <is>
          <t>Agriculture and Agri-Food Canada | Agriculture et Agroalimentaire Canada</t>
        </is>
      </c>
      <c r="Z1955" t="n">
        <v>2</v>
      </c>
      <c r="AA1955" t="n">
        <v>297.909999999999</v>
      </c>
      <c r="AB1955">
        <f>ROUND(U1955-AA1955,2)</f>
        <v/>
      </c>
      <c r="AC1955" t="b">
        <v>0</v>
      </c>
      <c r="AD1955">
        <f>IF(U1955="","MISSING_TOTAL",IF(ABS(AB1955)&lt;=0.01,"OK","CHECK"))</f>
        <v/>
      </c>
      <c r="AE1955">
        <f>IF(U1955="","MISSING",IF(AND(AA1955&gt;0,U1955/AA1955&gt;50),"POSSIBLE_SCALE_ERROR","OK"))</f>
        <v/>
      </c>
    </row>
    <row r="1956">
      <c r="A1956" t="inlineStr">
        <is>
          <t>T-2023-P01-0003</t>
        </is>
      </c>
      <c r="B1956" t="inlineStr">
        <is>
          <t>MPSES</t>
        </is>
      </c>
      <c r="C1956" t="inlineStr">
        <is>
          <t>Driver</t>
        </is>
      </c>
      <c r="D1956" t="inlineStr">
        <is>
          <t>Chauffeur</t>
        </is>
      </c>
      <c r="E1956" t="inlineStr">
        <is>
          <t>Michel Gendreau</t>
        </is>
      </c>
      <c r="F1956" t="inlineStr">
        <is>
          <t>Drive the Minister from her riding to stakeholder meetings</t>
        </is>
      </c>
      <c r="G1956" t="inlineStr">
        <is>
          <t>Conduire la ministre de sa circonscription aux réunions des parties prenantes</t>
        </is>
      </c>
      <c r="H1956" s="1" t="n">
        <v>45030</v>
      </c>
      <c r="I1956" s="1" t="n">
        <v>45030</v>
      </c>
      <c r="J1956" t="inlineStr">
        <is>
          <t>Val-des-Monts (Quebec) Canada
Gracefield (Quebec) Canada
Wakefield (Quebec) Canada
Ottawa (Ontario) Canada</t>
        </is>
      </c>
      <c r="K1956" t="inlineStr">
        <is>
          <t>Val-des-Monts (Québec) Canada
Gracefield (Québec) Canada
Wakefield (Québec) Canada
Ottawa (Ontario) Canada</t>
        </is>
      </c>
      <c r="P1956" t="n">
        <v>0</v>
      </c>
      <c r="Q1956" t="n">
        <v>3.5</v>
      </c>
      <c r="R1956" t="n">
        <v>0</v>
      </c>
      <c r="S1956" t="n">
        <v>82.5</v>
      </c>
      <c r="T1956" t="n">
        <v>0</v>
      </c>
      <c r="U1956" t="n">
        <v>86</v>
      </c>
      <c r="X1956" t="inlineStr">
        <is>
          <t>aafc-aac</t>
        </is>
      </c>
      <c r="Y1956" t="inlineStr">
        <is>
          <t>Agriculture and Agri-Food Canada | Agriculture et Agroalimentaire Canada</t>
        </is>
      </c>
      <c r="Z1956" t="n">
        <v>1</v>
      </c>
      <c r="AA1956" t="n">
        <v>86</v>
      </c>
      <c r="AB1956">
        <f>ROUND(U1956-AA1956,2)</f>
        <v/>
      </c>
      <c r="AC1956" t="b">
        <v>0</v>
      </c>
      <c r="AD1956">
        <f>IF(U1956="","MISSING_TOTAL",IF(ABS(AB1956)&lt;=0.01,"OK","CHECK"))</f>
        <v/>
      </c>
      <c r="AE1956">
        <f>IF(U1956="","MISSING",IF(AND(AA1956&gt;0,U1956/AA1956&gt;50),"POSSIBLE_SCALE_ERROR","OK"))</f>
        <v/>
      </c>
    </row>
    <row r="1957">
      <c r="A1957" t="inlineStr">
        <is>
          <t>T-2023-P01-0004</t>
        </is>
      </c>
      <c r="B1957" t="inlineStr">
        <is>
          <t>MPSES</t>
        </is>
      </c>
      <c r="C1957" t="inlineStr">
        <is>
          <t>Tours and Operations Manager</t>
        </is>
      </c>
      <c r="D1957" t="inlineStr">
        <is>
          <t>Gestionnaire, Visites et opérations</t>
        </is>
      </c>
      <c r="E1957" t="inlineStr">
        <is>
          <t>Olivia Scieur-Aparicio</t>
        </is>
      </c>
      <c r="F1957" t="inlineStr">
        <is>
          <t>To support the Minister to attend the Quebec tour</t>
        </is>
      </c>
      <c r="G1957" t="inlineStr">
        <is>
          <t>Pour soutenir la ministre à la tournée au Québec</t>
        </is>
      </c>
      <c r="H1957" s="1" t="n">
        <v>44979</v>
      </c>
      <c r="I1957" s="1" t="n">
        <v>44981</v>
      </c>
      <c r="J1957" t="inlineStr">
        <is>
          <t>Québec (Quebec) Canada</t>
        </is>
      </c>
      <c r="K1957" t="inlineStr">
        <is>
          <t>Québec (Québec) Canada</t>
        </is>
      </c>
      <c r="P1957" t="n">
        <v>0</v>
      </c>
      <c r="Q1957" t="n">
        <v>31.8</v>
      </c>
      <c r="R1957" t="n">
        <v>0</v>
      </c>
      <c r="S1957" t="n">
        <v>46.1</v>
      </c>
      <c r="T1957" t="n">
        <v>0</v>
      </c>
      <c r="U1957" t="n">
        <v>77.90000000000001</v>
      </c>
      <c r="X1957" t="inlineStr">
        <is>
          <t>aafc-aac</t>
        </is>
      </c>
      <c r="Y1957" t="inlineStr">
        <is>
          <t>Agriculture and Agri-Food Canada | Agriculture et Agroalimentaire Canada</t>
        </is>
      </c>
      <c r="Z1957" t="n">
        <v>3</v>
      </c>
      <c r="AA1957" t="n">
        <v>77.90000000000001</v>
      </c>
      <c r="AB1957">
        <f>ROUND(U1957-AA1957,2)</f>
        <v/>
      </c>
      <c r="AC1957" t="b">
        <v>0</v>
      </c>
      <c r="AD1957">
        <f>IF(U1957="","MISSING_TOTAL",IF(ABS(AB1957)&lt;=0.01,"OK","CHECK"))</f>
        <v/>
      </c>
      <c r="AE1957">
        <f>IF(U1957="","MISSING",IF(AND(AA1957&gt;0,U1957/AA1957&gt;50),"POSSIBLE_SCALE_ERROR","OK"))</f>
        <v/>
      </c>
    </row>
    <row r="1958">
      <c r="A1958" t="inlineStr">
        <is>
          <t>T-2023-P01-0005</t>
        </is>
      </c>
      <c r="B1958" t="inlineStr">
        <is>
          <t>MPSES</t>
        </is>
      </c>
      <c r="C1958" t="inlineStr">
        <is>
          <t>Tours and Operations Manager</t>
        </is>
      </c>
      <c r="D1958" t="inlineStr">
        <is>
          <t>Gestionnaire, Visites et opérations</t>
        </is>
      </c>
      <c r="E1958" t="inlineStr">
        <is>
          <t>Olivia Scieur-Aparicio</t>
        </is>
      </c>
      <c r="F1958" t="inlineStr">
        <is>
          <t>To support the Minister to attend the Quebec tour</t>
        </is>
      </c>
      <c r="G1958" t="inlineStr">
        <is>
          <t>Pour soutenir la ministre à la tournée au Québec</t>
        </is>
      </c>
      <c r="H1958" s="1" t="n">
        <v>45028</v>
      </c>
      <c r="I1958" s="1" t="n">
        <v>45028</v>
      </c>
      <c r="J1958" t="inlineStr">
        <is>
          <t>Trois-Rivière (Quebec) Canada</t>
        </is>
      </c>
      <c r="K1958" t="inlineStr">
        <is>
          <t>Trois-Rivière (Québec) Canada</t>
        </is>
      </c>
      <c r="P1958" t="n">
        <v>0</v>
      </c>
      <c r="Q1958" t="n">
        <v>41.97</v>
      </c>
      <c r="R1958" t="n">
        <v>0</v>
      </c>
      <c r="S1958" t="n">
        <v>23.9</v>
      </c>
      <c r="T1958" t="n">
        <v>0</v>
      </c>
      <c r="U1958" t="n">
        <v>65.87</v>
      </c>
      <c r="X1958" t="inlineStr">
        <is>
          <t>aafc-aac</t>
        </is>
      </c>
      <c r="Y1958" t="inlineStr">
        <is>
          <t>Agriculture and Agri-Food Canada | Agriculture et Agroalimentaire Canada</t>
        </is>
      </c>
      <c r="Z1958" t="n">
        <v>1</v>
      </c>
      <c r="AA1958" t="n">
        <v>65.87</v>
      </c>
      <c r="AB1958">
        <f>ROUND(U1958-AA1958,2)</f>
        <v/>
      </c>
      <c r="AC1958" t="b">
        <v>0</v>
      </c>
      <c r="AD1958">
        <f>IF(U1958="","MISSING_TOTAL",IF(ABS(AB1958)&lt;=0.01,"OK","CHECK"))</f>
        <v/>
      </c>
      <c r="AE1958">
        <f>IF(U1958="","MISSING",IF(AND(AA1958&gt;0,U1958/AA1958&gt;50),"POSSIBLE_SCALE_ERROR","OK"))</f>
        <v/>
      </c>
    </row>
    <row r="1959">
      <c r="A1959" t="inlineStr">
        <is>
          <t>T-2023-P01-0006</t>
        </is>
      </c>
      <c r="B1959" t="inlineStr">
        <is>
          <t>MPSES</t>
        </is>
      </c>
      <c r="C1959" t="inlineStr">
        <is>
          <t>Special Assistant</t>
        </is>
      </c>
      <c r="D1959" t="inlineStr">
        <is>
          <t>Adjointe spéciale</t>
        </is>
      </c>
      <c r="E1959" t="inlineStr">
        <is>
          <t>Arianna Myers</t>
        </is>
      </c>
      <c r="F1959" t="inlineStr">
        <is>
          <t>Attend a meeting at the Confederation  Building</t>
        </is>
      </c>
      <c r="G1959" t="inlineStr">
        <is>
          <t>Assister à une réunion au bâtiment de la Confédération</t>
        </is>
      </c>
      <c r="H1959" s="1" t="n">
        <v>44943</v>
      </c>
      <c r="I1959" s="1" t="n">
        <v>44943</v>
      </c>
      <c r="J1959" t="inlineStr">
        <is>
          <t>Ottawa (Ontario) Canada</t>
        </is>
      </c>
      <c r="K1959" t="inlineStr">
        <is>
          <t>Ottawa (Ontario) Canada</t>
        </is>
      </c>
      <c r="P1959" t="n">
        <v>0</v>
      </c>
      <c r="Q1959" t="n">
        <v>35.42</v>
      </c>
      <c r="R1959" t="n">
        <v>0</v>
      </c>
      <c r="S1959" t="n">
        <v>0</v>
      </c>
      <c r="T1959" t="n">
        <v>0</v>
      </c>
      <c r="U1959" t="n">
        <v>35.42</v>
      </c>
      <c r="X1959" t="inlineStr">
        <is>
          <t>aafc-aac</t>
        </is>
      </c>
      <c r="Y1959" t="inlineStr">
        <is>
          <t>Agriculture and Agri-Food Canada | Agriculture et Agroalimentaire Canada</t>
        </is>
      </c>
      <c r="Z1959" t="n">
        <v>1</v>
      </c>
      <c r="AA1959" t="n">
        <v>35.42</v>
      </c>
      <c r="AB1959">
        <f>ROUND(U1959-AA1959,2)</f>
        <v/>
      </c>
      <c r="AC1959" t="b">
        <v>0</v>
      </c>
      <c r="AD1959">
        <f>IF(U1959="","MISSING_TOTAL",IF(ABS(AB1959)&lt;=0.01,"OK","CHECK"))</f>
        <v/>
      </c>
      <c r="AE1959">
        <f>IF(U1959="","MISSING",IF(AND(AA1959&gt;0,U1959/AA1959&gt;50),"POSSIBLE_SCALE_ERROR","OK"))</f>
        <v/>
      </c>
    </row>
    <row r="1960">
      <c r="A1960" t="inlineStr">
        <is>
          <t>T-2023-P01-0007</t>
        </is>
      </c>
      <c r="B1960" t="inlineStr">
        <is>
          <t>MPSES</t>
        </is>
      </c>
      <c r="C1960" t="inlineStr">
        <is>
          <t>Press Secretary</t>
        </is>
      </c>
      <c r="D1960" t="inlineStr">
        <is>
          <t>Attaché de presse</t>
        </is>
      </c>
      <c r="E1960" t="inlineStr">
        <is>
          <t>Simon Lafortune</t>
        </is>
      </c>
      <c r="F1960" t="inlineStr">
        <is>
          <t>To support the Minister attending Western Outreach meetings</t>
        </is>
      </c>
      <c r="G1960" t="inlineStr">
        <is>
          <t>Soutenir la ministre pour sa participation aux réunions de sensibilisation dans l'Ouest</t>
        </is>
      </c>
      <c r="H1960" s="1" t="n">
        <v>44997</v>
      </c>
      <c r="I1960" s="1" t="n">
        <v>45001</v>
      </c>
      <c r="J1960" t="inlineStr">
        <is>
          <t>Calgary (Alberta) Canada
Vancouver (British-Columbia) Canada</t>
        </is>
      </c>
      <c r="K1960" t="inlineStr">
        <is>
          <t>Calgary (Alberta) Canada
Vancouver (Colombie-Britannique) Canada</t>
        </is>
      </c>
      <c r="P1960" t="n">
        <v>1341.2</v>
      </c>
      <c r="Q1960" t="n">
        <v>80.3</v>
      </c>
      <c r="R1960" t="n">
        <v>927.16</v>
      </c>
      <c r="S1960" t="n">
        <v>409.8</v>
      </c>
      <c r="T1960" t="n">
        <v>0</v>
      </c>
      <c r="U1960" t="n">
        <v>2758.46</v>
      </c>
      <c r="X1960" t="inlineStr">
        <is>
          <t>aafc-aac</t>
        </is>
      </c>
      <c r="Y1960" t="inlineStr">
        <is>
          <t>Agriculture and Agri-Food Canada | Agriculture et Agroalimentaire Canada</t>
        </is>
      </c>
      <c r="Z1960" t="n">
        <v>5</v>
      </c>
      <c r="AA1960" t="n">
        <v>2758.46</v>
      </c>
      <c r="AB1960">
        <f>ROUND(U1960-AA1960,2)</f>
        <v/>
      </c>
      <c r="AC1960" t="b">
        <v>0</v>
      </c>
      <c r="AD1960">
        <f>IF(U1960="","MISSING_TOTAL",IF(ABS(AB1960)&lt;=0.01,"OK","CHECK"))</f>
        <v/>
      </c>
      <c r="AE1960">
        <f>IF(U1960="","MISSING",IF(AND(AA1960&gt;0,U1960/AA1960&gt;50),"POSSIBLE_SCALE_ERROR","OK"))</f>
        <v/>
      </c>
    </row>
    <row r="1961">
      <c r="A1961" t="inlineStr">
        <is>
          <t>T-2023-P01-0008</t>
        </is>
      </c>
      <c r="B1961" t="inlineStr">
        <is>
          <t>SLE</t>
        </is>
      </c>
      <c r="C1961" t="inlineStr">
        <is>
          <t>Associate Deputy Minister</t>
        </is>
      </c>
      <c r="D1961" t="inlineStr">
        <is>
          <t>Sous-ministre déléguée</t>
        </is>
      </c>
      <c r="E1961" t="inlineStr">
        <is>
          <t>Suzy McDonald</t>
        </is>
      </c>
      <c r="F1961" t="inlineStr">
        <is>
          <t>To attend a New Brunswick Outreach</t>
        </is>
      </c>
      <c r="G1961" t="inlineStr">
        <is>
          <t>Pour participer à une action de sensibilisation au Nouveau-Brunswick</t>
        </is>
      </c>
      <c r="H1961" s="1" t="n">
        <v>45012</v>
      </c>
      <c r="I1961" s="1" t="n">
        <v>45014</v>
      </c>
      <c r="J1961" t="inlineStr">
        <is>
          <t>Fredericton (New Brunswick) Canada</t>
        </is>
      </c>
      <c r="K1961" t="inlineStr">
        <is>
          <t>Frédericton (Nouveau-Brunswick) Canada</t>
        </is>
      </c>
      <c r="P1961" t="n">
        <v>751.9400000000001</v>
      </c>
      <c r="Q1961" t="n">
        <v>74.33</v>
      </c>
      <c r="R1961" t="n">
        <v>358.38</v>
      </c>
      <c r="S1961" t="n">
        <v>336.45</v>
      </c>
      <c r="T1961" t="n">
        <v>0</v>
      </c>
      <c r="U1961" t="n">
        <v>1521.1</v>
      </c>
      <c r="X1961" t="inlineStr">
        <is>
          <t>aafc-aac</t>
        </is>
      </c>
      <c r="Y1961" t="inlineStr">
        <is>
          <t>Agriculture and Agri-Food Canada | Agriculture et Agroalimentaire Canada</t>
        </is>
      </c>
      <c r="Z1961" t="n">
        <v>3</v>
      </c>
      <c r="AA1961" t="n">
        <v>1521.1</v>
      </c>
      <c r="AB1961">
        <f>ROUND(U1961-AA1961,2)</f>
        <v/>
      </c>
      <c r="AC1961" t="b">
        <v>0</v>
      </c>
      <c r="AD1961">
        <f>IF(U1961="","MISSING_TOTAL",IF(ABS(AB1961)&lt;=0.01,"OK","CHECK"))</f>
        <v/>
      </c>
      <c r="AE1961">
        <f>IF(U1961="","MISSING",IF(AND(AA1961&gt;0,U1961/AA1961&gt;50),"POSSIBLE_SCALE_ERROR","OK"))</f>
        <v/>
      </c>
    </row>
    <row r="1962">
      <c r="A1962" t="inlineStr">
        <is>
          <t>T-2023-P01-0009</t>
        </is>
      </c>
      <c r="B1962" t="inlineStr">
        <is>
          <t>SLE</t>
        </is>
      </c>
      <c r="C1962" t="inlineStr">
        <is>
          <t>Corporate Secretary</t>
        </is>
      </c>
      <c r="D1962" t="inlineStr">
        <is>
          <t>Secrétaire générale</t>
        </is>
      </c>
      <c r="E1962" t="inlineStr">
        <is>
          <t>Tamara Abel</t>
        </is>
      </c>
      <c r="F1962" t="inlineStr">
        <is>
          <t>Operational activities</t>
        </is>
      </c>
      <c r="G1962" t="inlineStr">
        <is>
          <t>Activités opérationnelles</t>
        </is>
      </c>
      <c r="H1962" s="1" t="n">
        <v>45004</v>
      </c>
      <c r="I1962" s="1" t="n">
        <v>45007</v>
      </c>
      <c r="J1962" t="inlineStr">
        <is>
          <t>Ottawa (Ontario) Canada</t>
        </is>
      </c>
      <c r="K1962" t="inlineStr">
        <is>
          <t>Ottawa (Ontario) Canada</t>
        </is>
      </c>
      <c r="P1962" t="n">
        <v>1195.76</v>
      </c>
      <c r="Q1962" t="n">
        <v>236.95</v>
      </c>
      <c r="R1962" t="n">
        <v>772.11</v>
      </c>
      <c r="S1962" t="n">
        <v>456.2</v>
      </c>
      <c r="T1962" t="n">
        <v>0</v>
      </c>
      <c r="U1962" t="n">
        <v>2661.02</v>
      </c>
      <c r="X1962" t="inlineStr">
        <is>
          <t>aafc-aac</t>
        </is>
      </c>
      <c r="Y1962" t="inlineStr">
        <is>
          <t>Agriculture and Agri-Food Canada | Agriculture et Agroalimentaire Canada</t>
        </is>
      </c>
      <c r="Z1962" t="n">
        <v>4</v>
      </c>
      <c r="AA1962" t="n">
        <v>2661.02</v>
      </c>
      <c r="AB1962">
        <f>ROUND(U1962-AA1962,2)</f>
        <v/>
      </c>
      <c r="AC1962" t="b">
        <v>0</v>
      </c>
      <c r="AD1962">
        <f>IF(U1962="","MISSING_TOTAL",IF(ABS(AB1962)&lt;=0.01,"OK","CHECK"))</f>
        <v/>
      </c>
      <c r="AE1962">
        <f>IF(U1962="","MISSING",IF(AND(AA1962&gt;0,U1962/AA1962&gt;50),"POSSIBLE_SCALE_ERROR","OK"))</f>
        <v/>
      </c>
    </row>
    <row r="1963">
      <c r="A1963" t="inlineStr">
        <is>
          <t>T-2023-P01-0010</t>
        </is>
      </c>
      <c r="B1963" t="inlineStr">
        <is>
          <t>SLE</t>
        </is>
      </c>
      <c r="C1963" t="inlineStr">
        <is>
          <t>Corporate Secretary</t>
        </is>
      </c>
      <c r="D1963" t="inlineStr">
        <is>
          <t>Secrétaire générale</t>
        </is>
      </c>
      <c r="E1963" t="inlineStr">
        <is>
          <t>Tamara Abel</t>
        </is>
      </c>
      <c r="F1963" t="inlineStr">
        <is>
          <t>Operational activities</t>
        </is>
      </c>
      <c r="G1963" t="inlineStr">
        <is>
          <t>Activités opérationnelles</t>
        </is>
      </c>
      <c r="H1963" s="1" t="n">
        <v>45026</v>
      </c>
      <c r="I1963" s="1" t="n">
        <v>45030</v>
      </c>
      <c r="J1963" t="inlineStr">
        <is>
          <t>Ottawa (Ontario) Canada</t>
        </is>
      </c>
      <c r="K1963" t="inlineStr">
        <is>
          <t>Ottawa (Ontario) Canada</t>
        </is>
      </c>
      <c r="P1963" t="n">
        <v>1003.61</v>
      </c>
      <c r="Q1963" t="n">
        <v>339.29</v>
      </c>
      <c r="R1963" t="n">
        <v>1114.09</v>
      </c>
      <c r="S1963" t="n">
        <v>569.5</v>
      </c>
      <c r="T1963" t="n">
        <v>0</v>
      </c>
      <c r="U1963" t="n">
        <v>3026.49</v>
      </c>
      <c r="X1963" t="inlineStr">
        <is>
          <t>aafc-aac</t>
        </is>
      </c>
      <c r="Y1963" t="inlineStr">
        <is>
          <t>Agriculture and Agri-Food Canada | Agriculture et Agroalimentaire Canada</t>
        </is>
      </c>
      <c r="Z1963" t="n">
        <v>5</v>
      </c>
      <c r="AA1963" t="n">
        <v>3026.49</v>
      </c>
      <c r="AB1963">
        <f>ROUND(U1963-AA1963,2)</f>
        <v/>
      </c>
      <c r="AC1963" t="b">
        <v>0</v>
      </c>
      <c r="AD1963">
        <f>IF(U1963="","MISSING_TOTAL",IF(ABS(AB1963)&lt;=0.01,"OK","CHECK"))</f>
        <v/>
      </c>
      <c r="AE1963">
        <f>IF(U1963="","MISSING",IF(AND(AA1963&gt;0,U1963/AA1963&gt;50),"POSSIBLE_SCALE_ERROR","OK"))</f>
        <v/>
      </c>
    </row>
    <row r="1964">
      <c r="A1964" t="inlineStr">
        <is>
          <t>T-2023-P01-0011</t>
        </is>
      </c>
      <c r="B1964" t="inlineStr">
        <is>
          <t>SLE</t>
        </is>
      </c>
      <c r="C1964" t="inlineStr">
        <is>
          <t>Assistant Deputy Minister, Science and Technology Branch</t>
        </is>
      </c>
      <c r="D1964" t="inlineStr">
        <is>
          <t>Sous-ministre adjoint, Direction générale des sciences et de la technologie</t>
        </is>
      </c>
      <c r="E1964" t="inlineStr">
        <is>
          <t>Gilles Saindon</t>
        </is>
      </c>
      <c r="F1964" t="inlineStr">
        <is>
          <t>Attend a Minister and Deputy Minister briefing, the AgriScience Cluster and the ADM Roundtable of the Grain Growers of Canada</t>
        </is>
      </c>
      <c r="G1964" t="inlineStr">
        <is>
          <t>Participer à un compte rendu Ministre et Sous-ministre, au Programme Agri-Science et à la table ronde des SMA de Producteurs de grains du Canada</t>
        </is>
      </c>
      <c r="H1964" s="1" t="n">
        <v>45014</v>
      </c>
      <c r="I1964" s="1" t="n">
        <v>45014</v>
      </c>
      <c r="J1964" t="inlineStr">
        <is>
          <t>Ottawa (Ontario) Canada</t>
        </is>
      </c>
      <c r="K1964" t="inlineStr">
        <is>
          <t>Ottawa (Ontario) Canada</t>
        </is>
      </c>
      <c r="P1964" t="n">
        <v>0</v>
      </c>
      <c r="Q1964" t="n">
        <v>34.5</v>
      </c>
      <c r="R1964" t="n">
        <v>0</v>
      </c>
      <c r="S1964" t="n">
        <v>0</v>
      </c>
      <c r="T1964" t="n">
        <v>0</v>
      </c>
      <c r="U1964" t="n">
        <v>34.5</v>
      </c>
      <c r="X1964" t="inlineStr">
        <is>
          <t>aafc-aac</t>
        </is>
      </c>
      <c r="Y1964" t="inlineStr">
        <is>
          <t>Agriculture and Agri-Food Canada | Agriculture et Agroalimentaire Canada</t>
        </is>
      </c>
      <c r="Z1964" t="n">
        <v>1</v>
      </c>
      <c r="AA1964" t="n">
        <v>34.5</v>
      </c>
      <c r="AB1964">
        <f>ROUND(U1964-AA1964,2)</f>
        <v/>
      </c>
      <c r="AC1964" t="b">
        <v>0</v>
      </c>
      <c r="AD1964">
        <f>IF(U1964="","MISSING_TOTAL",IF(ABS(AB1964)&lt;=0.01,"OK","CHECK"))</f>
        <v/>
      </c>
      <c r="AE1964">
        <f>IF(U1964="","MISSING",IF(AND(AA1964&gt;0,U1964/AA1964&gt;50),"POSSIBLE_SCALE_ERROR","OK"))</f>
        <v/>
      </c>
    </row>
    <row r="1965">
      <c r="A1965" t="inlineStr">
        <is>
          <t>T-2023-P01-0012</t>
        </is>
      </c>
      <c r="B1965" t="inlineStr">
        <is>
          <t>SLE</t>
        </is>
      </c>
      <c r="C1965" t="inlineStr">
        <is>
          <t>Assistant Deputy Minister, International Affairs Branch</t>
        </is>
      </c>
      <c r="D1965" t="inlineStr">
        <is>
          <t>Sous-ministre adjointe, Direction générale des affaires internationales</t>
        </is>
      </c>
      <c r="E1965" t="inlineStr">
        <is>
          <t>Kathleen Donohue</t>
        </is>
      </c>
      <c r="F1965" t="inlineStr">
        <is>
          <t>Attend stakeholder meetings in Singapore and India</t>
        </is>
      </c>
      <c r="G1965" t="inlineStr">
        <is>
          <t>Assister à des réunions des parties prenantes à Singapour et en Inde</t>
        </is>
      </c>
      <c r="H1965" s="1" t="n">
        <v>44974</v>
      </c>
      <c r="I1965" s="1" t="n">
        <v>44986</v>
      </c>
      <c r="J1965" t="inlineStr">
        <is>
          <t>Singapore 
New Delhi (Delhi) India</t>
        </is>
      </c>
      <c r="K1965" t="inlineStr">
        <is>
          <t>Singapour
New Delhi (Delhi) Inde</t>
        </is>
      </c>
      <c r="P1965" t="n">
        <v>14667.45</v>
      </c>
      <c r="Q1965" t="n">
        <v>149.73</v>
      </c>
      <c r="R1965" t="n">
        <v>3814.24</v>
      </c>
      <c r="S1965" t="n">
        <v>1975.54</v>
      </c>
      <c r="T1965" t="n">
        <v>33.89</v>
      </c>
      <c r="U1965" t="n">
        <v>20640.85</v>
      </c>
      <c r="X1965" t="inlineStr">
        <is>
          <t>aafc-aac</t>
        </is>
      </c>
      <c r="Y1965" t="inlineStr">
        <is>
          <t>Agriculture and Agri-Food Canada | Agriculture et Agroalimentaire Canada</t>
        </is>
      </c>
      <c r="Z1965" t="n">
        <v>13</v>
      </c>
      <c r="AA1965" t="n">
        <v>20640.85</v>
      </c>
      <c r="AB1965">
        <f>ROUND(U1965-AA1965,2)</f>
        <v/>
      </c>
      <c r="AC1965" t="b">
        <v>0</v>
      </c>
      <c r="AD1965">
        <f>IF(U1965="","MISSING_TOTAL",IF(ABS(AB1965)&lt;=0.01,"OK","CHECK"))</f>
        <v/>
      </c>
      <c r="AE1965">
        <f>IF(U1965="","MISSING",IF(AND(AA1965&gt;0,U1965/AA1965&gt;50),"POSSIBLE_SCALE_ERROR","OK"))</f>
        <v/>
      </c>
    </row>
    <row r="1966">
      <c r="A1966" t="inlineStr">
        <is>
          <t>T-2023-P01-0013</t>
        </is>
      </c>
      <c r="B1966" t="inlineStr">
        <is>
          <t>SLE</t>
        </is>
      </c>
      <c r="C1966" t="inlineStr">
        <is>
          <t>Assistant Deputy Minister, International Affairs Branch</t>
        </is>
      </c>
      <c r="D1966" t="inlineStr">
        <is>
          <t>Sous-ministre adjointe, Direction générale des affaires internationales</t>
        </is>
      </c>
      <c r="E1966" t="inlineStr">
        <is>
          <t>Kathleen Donohue</t>
        </is>
      </c>
      <c r="F1966" t="inlineStr">
        <is>
          <t>To attend a government-industry mission to the Europeen Union Member States to prepare for African Swine Fever</t>
        </is>
      </c>
      <c r="G1966" t="inlineStr">
        <is>
          <t>Participer à la mission gouvernement-industrie dans les États membres de l'Union européenne pour se préparer à la peste porcine africaine</t>
        </is>
      </c>
      <c r="H1966" s="1" t="n">
        <v>45010</v>
      </c>
      <c r="I1966" s="1" t="n">
        <v>45017</v>
      </c>
      <c r="J1966" t="inlineStr">
        <is>
          <t>Bonn, Germany
Copenhagen, Denmark
The Hague, Netherlands</t>
        </is>
      </c>
      <c r="K1966" t="inlineStr">
        <is>
          <t>Bonn, Allemagne
Copenhague, Danemark
La Haye, Pays-Bas</t>
        </is>
      </c>
      <c r="P1966" t="n">
        <v>10642.85</v>
      </c>
      <c r="Q1966" t="n">
        <v>365.88</v>
      </c>
      <c r="R1966" t="n">
        <v>1447.98</v>
      </c>
      <c r="S1966" t="n">
        <v>1381.15</v>
      </c>
      <c r="T1966" t="n">
        <v>0</v>
      </c>
      <c r="U1966" t="n">
        <v>13837.86</v>
      </c>
      <c r="X1966" t="inlineStr">
        <is>
          <t>aafc-aac</t>
        </is>
      </c>
      <c r="Y1966" t="inlineStr">
        <is>
          <t>Agriculture and Agri-Food Canada | Agriculture et Agroalimentaire Canada</t>
        </is>
      </c>
      <c r="Z1966" t="n">
        <v>8</v>
      </c>
      <c r="AA1966" t="n">
        <v>13837.8599999999</v>
      </c>
      <c r="AB1966">
        <f>ROUND(U1966-AA1966,2)</f>
        <v/>
      </c>
      <c r="AC1966" t="b">
        <v>0</v>
      </c>
      <c r="AD1966">
        <f>IF(U1966="","MISSING_TOTAL",IF(ABS(AB1966)&lt;=0.01,"OK","CHECK"))</f>
        <v/>
      </c>
      <c r="AE1966">
        <f>IF(U1966="","MISSING",IF(AND(AA1966&gt;0,U1966/AA1966&gt;50),"POSSIBLE_SCALE_ERROR","OK"))</f>
        <v/>
      </c>
    </row>
    <row r="1967">
      <c r="A1967" t="inlineStr">
        <is>
          <t>T-2023-P01-0014</t>
        </is>
      </c>
      <c r="B1967" t="inlineStr">
        <is>
          <t>SLE</t>
        </is>
      </c>
      <c r="C1967" t="inlineStr">
        <is>
          <t>Assistant Deputy Minister, Strategic Policy Branch</t>
        </is>
      </c>
      <c r="D1967" t="inlineStr">
        <is>
          <t>Sous-ministre adjointe, Direction générale des politiques stratégiques</t>
        </is>
      </c>
      <c r="E1967" t="inlineStr">
        <is>
          <t>Natasha Kim</t>
        </is>
      </c>
      <c r="F1967" t="inlineStr">
        <is>
          <t>Attend various meetings downtown</t>
        </is>
      </c>
      <c r="G1967" t="inlineStr">
        <is>
          <t>Participer à diverses réunions en ville</t>
        </is>
      </c>
      <c r="H1967" s="1" t="n">
        <v>44991</v>
      </c>
      <c r="I1967" s="1" t="n">
        <v>45014</v>
      </c>
      <c r="J1967" t="inlineStr">
        <is>
          <t>Ottawa (Ontario) Canada</t>
        </is>
      </c>
      <c r="K1967" t="inlineStr">
        <is>
          <t>Ottawa (Ontario) Canada</t>
        </is>
      </c>
      <c r="P1967" t="n">
        <v>0</v>
      </c>
      <c r="Q1967" t="n">
        <v>29</v>
      </c>
      <c r="R1967" t="n">
        <v>0</v>
      </c>
      <c r="S1967" t="n">
        <v>0</v>
      </c>
      <c r="T1967" t="n">
        <v>0</v>
      </c>
      <c r="U1967" t="n">
        <v>29</v>
      </c>
      <c r="X1967" t="inlineStr">
        <is>
          <t>aafc-aac</t>
        </is>
      </c>
      <c r="Y1967" t="inlineStr">
        <is>
          <t>Agriculture and Agri-Food Canada | Agriculture et Agroalimentaire Canada</t>
        </is>
      </c>
      <c r="Z1967" t="n">
        <v>24</v>
      </c>
      <c r="AA1967" t="n">
        <v>29</v>
      </c>
      <c r="AB1967">
        <f>ROUND(U1967-AA1967,2)</f>
        <v/>
      </c>
      <c r="AC1967" t="b">
        <v>0</v>
      </c>
      <c r="AD1967">
        <f>IF(U1967="","MISSING_TOTAL",IF(ABS(AB1967)&lt;=0.01,"OK","CHECK"))</f>
        <v/>
      </c>
      <c r="AE1967">
        <f>IF(U1967="","MISSING",IF(AND(AA1967&gt;0,U1967/AA1967&gt;50),"POSSIBLE_SCALE_ERROR","OK"))</f>
        <v/>
      </c>
    </row>
    <row r="1968">
      <c r="A1968" t="inlineStr">
        <is>
          <t>T-2023-P01-0015</t>
        </is>
      </c>
      <c r="B1968" t="inlineStr">
        <is>
          <t>SLE</t>
        </is>
      </c>
      <c r="C1968" t="inlineStr">
        <is>
          <t>Assistant Deputy Minister, Programs Branch</t>
        </is>
      </c>
      <c r="D1968" t="inlineStr">
        <is>
          <t>Sous-ministre adjointe, Direction générale des programmes</t>
        </is>
      </c>
      <c r="E1968" t="inlineStr">
        <is>
          <t>Liz Foster</t>
        </is>
      </c>
      <c r="F1968" t="inlineStr">
        <is>
          <t>Attend an in-person meeting with the Grain Growers of Canada</t>
        </is>
      </c>
      <c r="G1968" t="inlineStr">
        <is>
          <t>Participer à une rencontre en personne avec les Producteurs de grains du Canada</t>
        </is>
      </c>
      <c r="H1968" s="1" t="n">
        <v>45014</v>
      </c>
      <c r="I1968" s="1" t="n">
        <v>45014</v>
      </c>
      <c r="J1968" t="inlineStr">
        <is>
          <t>Ottawa (Ontario) Canada</t>
        </is>
      </c>
      <c r="K1968" t="inlineStr">
        <is>
          <t>Ottawa (Ontario) Canada</t>
        </is>
      </c>
      <c r="P1968" t="n">
        <v>0</v>
      </c>
      <c r="Q1968" t="n">
        <v>12.5</v>
      </c>
      <c r="R1968" t="n">
        <v>0</v>
      </c>
      <c r="S1968" t="n">
        <v>0</v>
      </c>
      <c r="T1968" t="n">
        <v>0</v>
      </c>
      <c r="U1968" t="n">
        <v>12.5</v>
      </c>
      <c r="X1968" t="inlineStr">
        <is>
          <t>aafc-aac</t>
        </is>
      </c>
      <c r="Y1968" t="inlineStr">
        <is>
          <t>Agriculture and Agri-Food Canada | Agriculture et Agroalimentaire Canada</t>
        </is>
      </c>
      <c r="Z1968" t="n">
        <v>1</v>
      </c>
      <c r="AA1968" t="n">
        <v>12.5</v>
      </c>
      <c r="AB1968">
        <f>ROUND(U1968-AA1968,2)</f>
        <v/>
      </c>
      <c r="AC1968" t="b">
        <v>0</v>
      </c>
      <c r="AD1968">
        <f>IF(U1968="","MISSING_TOTAL",IF(ABS(AB1968)&lt;=0.01,"OK","CHECK"))</f>
        <v/>
      </c>
      <c r="AE1968">
        <f>IF(U1968="","MISSING",IF(AND(AA1968&gt;0,U1968/AA1968&gt;50),"POSSIBLE_SCALE_ERROR","OK"))</f>
        <v/>
      </c>
    </row>
    <row r="1969">
      <c r="A1969" t="inlineStr">
        <is>
          <t>T-2023-P01-0016</t>
        </is>
      </c>
      <c r="B1969" t="inlineStr">
        <is>
          <t>SLE</t>
        </is>
      </c>
      <c r="C1969" t="inlineStr">
        <is>
          <t>Assistant Deputy Minister, Programs Branch</t>
        </is>
      </c>
      <c r="D1969" t="inlineStr">
        <is>
          <t>Sous-ministre adjointe, Direction générale des programmes</t>
        </is>
      </c>
      <c r="E1969" t="inlineStr">
        <is>
          <t>Liz Foster</t>
        </is>
      </c>
      <c r="F1969" t="inlineStr">
        <is>
          <t>Attend a Minister and Deputy minister meeting at the Confederation Building</t>
        </is>
      </c>
      <c r="G1969" t="inlineStr">
        <is>
          <t>Participer à une rencontre Ministre et Sous-ministre</t>
        </is>
      </c>
      <c r="H1969" s="1" t="n">
        <v>45014</v>
      </c>
      <c r="I1969" s="1" t="n">
        <v>45014</v>
      </c>
      <c r="J1969" t="inlineStr">
        <is>
          <t>Ottawa (Ontario) Canada</t>
        </is>
      </c>
      <c r="K1969" t="inlineStr">
        <is>
          <t>Ottawa (Ontario) Canada</t>
        </is>
      </c>
      <c r="P1969" t="n">
        <v>0</v>
      </c>
      <c r="Q1969" t="n">
        <v>22</v>
      </c>
      <c r="R1969" t="n">
        <v>0</v>
      </c>
      <c r="S1969" t="n">
        <v>0</v>
      </c>
      <c r="T1969" t="n">
        <v>0</v>
      </c>
      <c r="U1969" t="n">
        <v>22</v>
      </c>
      <c r="X1969" t="inlineStr">
        <is>
          <t>aafc-aac</t>
        </is>
      </c>
      <c r="Y1969" t="inlineStr">
        <is>
          <t>Agriculture and Agri-Food Canada | Agriculture et Agroalimentaire Canada</t>
        </is>
      </c>
      <c r="Z1969" t="n">
        <v>1</v>
      </c>
      <c r="AA1969" t="n">
        <v>22</v>
      </c>
      <c r="AB1969">
        <f>ROUND(U1969-AA1969,2)</f>
        <v/>
      </c>
      <c r="AC1969" t="b">
        <v>0</v>
      </c>
      <c r="AD1969">
        <f>IF(U1969="","MISSING_TOTAL",IF(ABS(AB1969)&lt;=0.01,"OK","CHECK"))</f>
        <v/>
      </c>
      <c r="AE1969">
        <f>IF(U1969="","MISSING",IF(AND(AA1969&gt;0,U1969/AA1969&gt;50),"POSSIBLE_SCALE_ERROR","OK"))</f>
        <v/>
      </c>
    </row>
    <row r="1970">
      <c r="A1970" t="inlineStr">
        <is>
          <t>T-2023-P01-0017</t>
        </is>
      </c>
      <c r="B1970" t="inlineStr">
        <is>
          <t>SLE</t>
        </is>
      </c>
      <c r="C1970" t="inlineStr">
        <is>
          <t>Assistant Deputy Minister, Programs Branch</t>
        </is>
      </c>
      <c r="D1970" t="inlineStr">
        <is>
          <t>Sous-ministre adjointe, Direction générale des programmes</t>
        </is>
      </c>
      <c r="E1970" t="inlineStr">
        <is>
          <t>Liz Foster</t>
        </is>
      </c>
      <c r="F1970" t="inlineStr">
        <is>
          <t>Attend National Program Advisory Commitee meetings</t>
        </is>
      </c>
      <c r="G1970" t="inlineStr">
        <is>
          <t>Participer aux rencontres du Comité consultatif national sur les programmes</t>
        </is>
      </c>
      <c r="H1970" s="1" t="n">
        <v>45007</v>
      </c>
      <c r="I1970" s="1" t="n">
        <v>45008</v>
      </c>
      <c r="J1970" t="inlineStr">
        <is>
          <t>Ottawa (Ontario) Canada</t>
        </is>
      </c>
      <c r="K1970" t="inlineStr">
        <is>
          <t>Ottawa (Ontario) Canada</t>
        </is>
      </c>
      <c r="P1970" t="n">
        <v>0</v>
      </c>
      <c r="Q1970" t="n">
        <v>42.25</v>
      </c>
      <c r="R1970" t="n">
        <v>0</v>
      </c>
      <c r="S1970" t="n">
        <v>0</v>
      </c>
      <c r="T1970" t="n">
        <v>0</v>
      </c>
      <c r="U1970" t="n">
        <v>42.25</v>
      </c>
      <c r="X1970" t="inlineStr">
        <is>
          <t>aafc-aac</t>
        </is>
      </c>
      <c r="Y1970" t="inlineStr">
        <is>
          <t>Agriculture and Agri-Food Canada | Agriculture et Agroalimentaire Canada</t>
        </is>
      </c>
      <c r="Z1970" t="n">
        <v>2</v>
      </c>
      <c r="AA1970" t="n">
        <v>42.25</v>
      </c>
      <c r="AB1970">
        <f>ROUND(U1970-AA1970,2)</f>
        <v/>
      </c>
      <c r="AC1970" t="b">
        <v>0</v>
      </c>
      <c r="AD1970">
        <f>IF(U1970="","MISSING_TOTAL",IF(ABS(AB1970)&lt;=0.01,"OK","CHECK"))</f>
        <v/>
      </c>
      <c r="AE1970">
        <f>IF(U1970="","MISSING",IF(AND(AA1970&gt;0,U1970/AA1970&gt;50),"POSSIBLE_SCALE_ERROR","OK"))</f>
        <v/>
      </c>
    </row>
    <row r="1971">
      <c r="A1971" t="inlineStr">
        <is>
          <t>T-2023-P01-0018</t>
        </is>
      </c>
      <c r="B1971" t="inlineStr">
        <is>
          <t>SLE</t>
        </is>
      </c>
      <c r="C1971" t="inlineStr">
        <is>
          <t>Chief Information Officer, Information Systems Branch</t>
        </is>
      </c>
      <c r="D1971" t="inlineStr">
        <is>
          <t>Dirigeante principale de l'information, Direction générale des systèmes d'information</t>
        </is>
      </c>
      <c r="E1971" t="inlineStr">
        <is>
          <t>Vidya ShankarNarayan</t>
        </is>
      </c>
      <c r="F1971" t="inlineStr">
        <is>
          <t>Attend meetings</t>
        </is>
      </c>
      <c r="G1971" t="inlineStr">
        <is>
          <t>Participer à des réunions</t>
        </is>
      </c>
      <c r="H1971" s="1" t="n">
        <v>44966</v>
      </c>
      <c r="I1971" s="1" t="n">
        <v>45000</v>
      </c>
      <c r="J1971" t="inlineStr">
        <is>
          <t>Ottawa (Ontario) Canada</t>
        </is>
      </c>
      <c r="K1971" t="inlineStr">
        <is>
          <t>Ottawa (Ontario) Canada</t>
        </is>
      </c>
      <c r="P1971" t="n">
        <v>0</v>
      </c>
      <c r="Q1971" t="n">
        <v>44.2</v>
      </c>
      <c r="R1971" t="n">
        <v>0</v>
      </c>
      <c r="S1971" t="n">
        <v>0</v>
      </c>
      <c r="T1971" t="n">
        <v>0</v>
      </c>
      <c r="U1971" t="n">
        <v>44.2</v>
      </c>
      <c r="X1971" t="inlineStr">
        <is>
          <t>aafc-aac</t>
        </is>
      </c>
      <c r="Y1971" t="inlineStr">
        <is>
          <t>Agriculture and Agri-Food Canada | Agriculture et Agroalimentaire Canada</t>
        </is>
      </c>
      <c r="Z1971" t="n">
        <v>35</v>
      </c>
      <c r="AA1971" t="n">
        <v>44.2</v>
      </c>
      <c r="AB1971">
        <f>ROUND(U1971-AA1971,2)</f>
        <v/>
      </c>
      <c r="AC1971" t="b">
        <v>0</v>
      </c>
      <c r="AD1971">
        <f>IF(U1971="","MISSING_TOTAL",IF(ABS(AB1971)&lt;=0.01,"OK","CHECK"))</f>
        <v/>
      </c>
      <c r="AE1971">
        <f>IF(U1971="","MISSING",IF(AND(AA1971&gt;0,U1971/AA1971&gt;50),"POSSIBLE_SCALE_ERROR","OK"))</f>
        <v/>
      </c>
    </row>
    <row r="1972">
      <c r="A1972" t="inlineStr">
        <is>
          <t>T-2023-P2-0001</t>
        </is>
      </c>
      <c r="B1972" t="inlineStr">
        <is>
          <t>MPSES</t>
        </is>
      </c>
      <c r="C1972" t="inlineStr">
        <is>
          <t>Minister</t>
        </is>
      </c>
      <c r="D1972" t="inlineStr">
        <is>
          <t>Ministre</t>
        </is>
      </c>
      <c r="E1972" t="inlineStr">
        <is>
          <t>Marie-Claude Bibeau</t>
        </is>
      </c>
      <c r="F1972" t="inlineStr">
        <is>
          <t>To attend the Agriculture Ministers 49th G7 Summit</t>
        </is>
      </c>
      <c r="G1972" t="inlineStr">
        <is>
          <t>Assister au 49ième sommet du G7 des ministres de l'agriculture</t>
        </is>
      </c>
      <c r="H1972" s="1" t="n">
        <v>45035</v>
      </c>
      <c r="I1972" s="1" t="n">
        <v>45042</v>
      </c>
      <c r="J1972" t="inlineStr">
        <is>
          <t>Tokyo, JapanMiyazaki, JapanSingapore</t>
        </is>
      </c>
      <c r="K1972" t="inlineStr">
        <is>
          <t>Tokyo, JaponMiyazaki, JaponSingapour</t>
        </is>
      </c>
      <c r="P1972" t="n">
        <v>13007.57</v>
      </c>
      <c r="Q1972" t="n">
        <v>0</v>
      </c>
      <c r="R1972" t="n">
        <v>1289.56</v>
      </c>
      <c r="S1972" t="n">
        <v>245.14</v>
      </c>
      <c r="T1972" t="n">
        <v>0</v>
      </c>
      <c r="U1972" t="n">
        <v>14542.27</v>
      </c>
      <c r="X1972" t="inlineStr">
        <is>
          <t>aafc-aac</t>
        </is>
      </c>
      <c r="Y1972" t="inlineStr">
        <is>
          <t>Agriculture and Agri-Food Canada | Agriculture et Agroalimentaire Canada</t>
        </is>
      </c>
      <c r="Z1972" t="n">
        <v>8</v>
      </c>
      <c r="AA1972" t="n">
        <v>14542.2699999999</v>
      </c>
      <c r="AB1972">
        <f>ROUND(U1972-AA1972,2)</f>
        <v/>
      </c>
      <c r="AC1972" t="b">
        <v>0</v>
      </c>
      <c r="AD1972">
        <f>IF(U1972="","MISSING_TOTAL",IF(ABS(AB1972)&lt;=0.01,"OK","CHECK"))</f>
        <v/>
      </c>
      <c r="AE1972">
        <f>IF(U1972="","MISSING",IF(AND(AA1972&gt;0,U1972/AA1972&gt;50),"POSSIBLE_SCALE_ERROR","OK"))</f>
        <v/>
      </c>
    </row>
    <row r="1973">
      <c r="A1973" t="inlineStr">
        <is>
          <t>T-2023-P2-0002</t>
        </is>
      </c>
      <c r="B1973" t="inlineStr">
        <is>
          <t>MPSES</t>
        </is>
      </c>
      <c r="C1973" t="inlineStr">
        <is>
          <t>Minister</t>
        </is>
      </c>
      <c r="D1973" t="inlineStr">
        <is>
          <t>Ministre</t>
        </is>
      </c>
      <c r="E1973" t="inlineStr">
        <is>
          <t>Marie-Claude Bibeau</t>
        </is>
      </c>
      <c r="F1973" t="inlineStr">
        <is>
          <t>To attend the Minister’s The Agriculture Innovation Mission for Climate conference and meet with stakeholders and US counterparts including Secretary Vilalobos and Ambassador Hillman</t>
        </is>
      </c>
      <c r="G1973" t="inlineStr">
        <is>
          <t>Pour assister à la conférence de la mission d'innovation agricole pour le climat du ministre et rencontrer les parties prenantes et les homologues américains, notamment le secrétaire Vilalobos et l'ambassadeur Hillman.</t>
        </is>
      </c>
      <c r="H1973" s="1" t="n">
        <v>45053</v>
      </c>
      <c r="I1973" s="1" t="n">
        <v>45056</v>
      </c>
      <c r="J1973" t="inlineStr">
        <is>
          <t>Washington (District of Columbia) United States</t>
        </is>
      </c>
      <c r="K1973" t="inlineStr">
        <is>
          <t>Washington (District de Columbia) États-Unis</t>
        </is>
      </c>
      <c r="P1973" t="n">
        <v>1442.85</v>
      </c>
      <c r="Q1973" t="n">
        <v>0</v>
      </c>
      <c r="R1973" t="n">
        <v>1718.33</v>
      </c>
      <c r="S1973" t="n">
        <v>294.4</v>
      </c>
      <c r="T1973" t="n">
        <v>0</v>
      </c>
      <c r="U1973" t="n">
        <v>3455.58</v>
      </c>
      <c r="X1973" t="inlineStr">
        <is>
          <t>aafc-aac</t>
        </is>
      </c>
      <c r="Y1973" t="inlineStr">
        <is>
          <t>Agriculture and Agri-Food Canada | Agriculture et Agroalimentaire Canada</t>
        </is>
      </c>
      <c r="Z1973" t="n">
        <v>4</v>
      </c>
      <c r="AA1973" t="n">
        <v>3455.58</v>
      </c>
      <c r="AB1973">
        <f>ROUND(U1973-AA1973,2)</f>
        <v/>
      </c>
      <c r="AC1973" t="b">
        <v>0</v>
      </c>
      <c r="AD1973">
        <f>IF(U1973="","MISSING_TOTAL",IF(ABS(AB1973)&lt;=0.01,"OK","CHECK"))</f>
        <v/>
      </c>
      <c r="AE1973">
        <f>IF(U1973="","MISSING",IF(AND(AA1973&gt;0,U1973/AA1973&gt;50),"POSSIBLE_SCALE_ERROR","OK"))</f>
        <v/>
      </c>
    </row>
    <row r="1974">
      <c r="A1974" t="inlineStr">
        <is>
          <t>T-2023-P2-0003</t>
        </is>
      </c>
      <c r="B1974" t="inlineStr">
        <is>
          <t>MPSES</t>
        </is>
      </c>
      <c r="C1974" t="inlineStr">
        <is>
          <t>Minister</t>
        </is>
      </c>
      <c r="D1974" t="inlineStr">
        <is>
          <t>Ministre</t>
        </is>
      </c>
      <c r="E1974" t="inlineStr">
        <is>
          <t>Marie-Claude Bibeau</t>
        </is>
      </c>
      <c r="F1974" t="inlineStr">
        <is>
          <t>To attend the strategy announcement for women entrepreneurs (farmers) and round-table discussion</t>
        </is>
      </c>
      <c r="G1974" t="inlineStr">
        <is>
          <t>Participer à l'annonce de la stratégie pour les femmes entrepreneurs (agricultrices) et à la table ronde.</t>
        </is>
      </c>
      <c r="H1974" s="1" t="n">
        <v>45069</v>
      </c>
      <c r="I1974" s="1" t="n">
        <v>45070</v>
      </c>
      <c r="J1974" t="inlineStr">
        <is>
          <t>Québec (Quebec) Canada</t>
        </is>
      </c>
      <c r="K1974" t="inlineStr">
        <is>
          <t>Québec (Québec) Canada</t>
        </is>
      </c>
      <c r="P1974" t="n">
        <v>0</v>
      </c>
      <c r="Q1974" t="n">
        <v>0</v>
      </c>
      <c r="R1974" t="n">
        <v>189.21</v>
      </c>
      <c r="S1974" t="n">
        <v>106.1</v>
      </c>
      <c r="T1974" t="n">
        <v>0</v>
      </c>
      <c r="U1974" t="n">
        <v>295.31</v>
      </c>
      <c r="X1974" t="inlineStr">
        <is>
          <t>aafc-aac</t>
        </is>
      </c>
      <c r="Y1974" t="inlineStr">
        <is>
          <t>Agriculture and Agri-Food Canada | Agriculture et Agroalimentaire Canada</t>
        </is>
      </c>
      <c r="Z1974" t="n">
        <v>2</v>
      </c>
      <c r="AA1974" t="n">
        <v>295.31</v>
      </c>
      <c r="AB1974">
        <f>ROUND(U1974-AA1974,2)</f>
        <v/>
      </c>
      <c r="AC1974" t="b">
        <v>0</v>
      </c>
      <c r="AD1974">
        <f>IF(U1974="","MISSING_TOTAL",IF(ABS(AB1974)&lt;=0.01,"OK","CHECK"))</f>
        <v/>
      </c>
      <c r="AE1974">
        <f>IF(U1974="","MISSING",IF(AND(AA1974&gt;0,U1974/AA1974&gt;50),"POSSIBLE_SCALE_ERROR","OK"))</f>
        <v/>
      </c>
    </row>
    <row r="1975">
      <c r="A1975" t="inlineStr">
        <is>
          <t>T-2023-P2-0004</t>
        </is>
      </c>
      <c r="B1975" t="inlineStr">
        <is>
          <t>MPSES</t>
        </is>
      </c>
      <c r="C1975" t="inlineStr">
        <is>
          <t>Director of Regional Affairs</t>
        </is>
      </c>
      <c r="D1975" t="inlineStr">
        <is>
          <t>Directrice des affaires régionales</t>
        </is>
      </c>
      <c r="E1975" t="inlineStr">
        <is>
          <t>Alison Porter</t>
        </is>
      </c>
      <c r="F1975" t="inlineStr">
        <is>
          <t>To attend a departmental briefing day with the Minister</t>
        </is>
      </c>
      <c r="G1975" t="inlineStr">
        <is>
          <t>Participer à une journée d'information ministérielle avec la ministre</t>
        </is>
      </c>
      <c r="H1975" s="1" t="n">
        <v>45029</v>
      </c>
      <c r="I1975" s="1" t="n">
        <v>45029</v>
      </c>
      <c r="J1975" t="inlineStr">
        <is>
          <t>Ottawa (Ontario) Canada</t>
        </is>
      </c>
      <c r="K1975" t="inlineStr">
        <is>
          <t>Ottawa (Ontario) Canada</t>
        </is>
      </c>
      <c r="P1975" t="n">
        <v>0</v>
      </c>
      <c r="Q1975" t="n">
        <v>223.84</v>
      </c>
      <c r="R1975" t="n">
        <v>0</v>
      </c>
      <c r="S1975" t="n">
        <v>82.2</v>
      </c>
      <c r="T1975" t="n">
        <v>0</v>
      </c>
      <c r="U1975" t="n">
        <v>306.04</v>
      </c>
      <c r="X1975" t="inlineStr">
        <is>
          <t>aafc-aac</t>
        </is>
      </c>
      <c r="Y1975" t="inlineStr">
        <is>
          <t>Agriculture and Agri-Food Canada | Agriculture et Agroalimentaire Canada</t>
        </is>
      </c>
      <c r="Z1975" t="n">
        <v>1</v>
      </c>
      <c r="AA1975" t="n">
        <v>306.04</v>
      </c>
      <c r="AB1975">
        <f>ROUND(U1975-AA1975,2)</f>
        <v/>
      </c>
      <c r="AC1975" t="b">
        <v>0</v>
      </c>
      <c r="AD1975">
        <f>IF(U1975="","MISSING_TOTAL",IF(ABS(AB1975)&lt;=0.01,"OK","CHECK"))</f>
        <v/>
      </c>
      <c r="AE1975">
        <f>IF(U1975="","MISSING",IF(AND(AA1975&gt;0,U1975/AA1975&gt;50),"POSSIBLE_SCALE_ERROR","OK"))</f>
        <v/>
      </c>
    </row>
    <row r="1976">
      <c r="A1976" t="inlineStr">
        <is>
          <t>T-2023-P2-0005</t>
        </is>
      </c>
      <c r="B1976" t="inlineStr">
        <is>
          <t>MPSES</t>
        </is>
      </c>
      <c r="C1976" t="inlineStr">
        <is>
          <t>Director of Communications</t>
        </is>
      </c>
      <c r="D1976" t="inlineStr">
        <is>
          <t>Directrice des communications</t>
        </is>
      </c>
      <c r="E1976" t="inlineStr">
        <is>
          <t>Marianne Dandurand</t>
        </is>
      </c>
      <c r="F1976" t="inlineStr">
        <is>
          <t>To support the Minister at the Agriculture Ministers 49th G7 Summit</t>
        </is>
      </c>
      <c r="G1976" t="inlineStr">
        <is>
          <t>Soutenir la ministre lors du 49ième sommet du G7 des ministres de l'agriculture</t>
        </is>
      </c>
      <c r="H1976" s="1" t="n">
        <v>45035</v>
      </c>
      <c r="I1976" s="1" t="n">
        <v>45042</v>
      </c>
      <c r="J1976" t="inlineStr">
        <is>
          <t>Tokyo, Japan
Miyazaki, Japan
Singapore</t>
        </is>
      </c>
      <c r="K1976" t="inlineStr">
        <is>
          <t>Tokyo, Japon
Miyazaki, Japon
Singapour</t>
        </is>
      </c>
      <c r="P1976" t="n">
        <v>12400.45</v>
      </c>
      <c r="Q1976" t="n">
        <v>0</v>
      </c>
      <c r="R1976" t="n">
        <v>2309.39</v>
      </c>
      <c r="S1976" t="n">
        <v>245.14</v>
      </c>
      <c r="T1976" t="n">
        <v>0</v>
      </c>
      <c r="U1976" t="n">
        <v>14954.98</v>
      </c>
      <c r="X1976" t="inlineStr">
        <is>
          <t>aafc-aac</t>
        </is>
      </c>
      <c r="Y1976" t="inlineStr">
        <is>
          <t>Agriculture and Agri-Food Canada | Agriculture et Agroalimentaire Canada</t>
        </is>
      </c>
      <c r="Z1976" t="n">
        <v>8</v>
      </c>
      <c r="AA1976" t="n">
        <v>14954.98</v>
      </c>
      <c r="AB1976">
        <f>ROUND(U1976-AA1976,2)</f>
        <v/>
      </c>
      <c r="AC1976" t="b">
        <v>0</v>
      </c>
      <c r="AD1976">
        <f>IF(U1976="","MISSING_TOTAL",IF(ABS(AB1976)&lt;=0.01,"OK","CHECK"))</f>
        <v/>
      </c>
      <c r="AE1976">
        <f>IF(U1976="","MISSING",IF(AND(AA1976&gt;0,U1976/AA1976&gt;50),"POSSIBLE_SCALE_ERROR","OK"))</f>
        <v/>
      </c>
    </row>
    <row r="1977">
      <c r="A1977" t="inlineStr">
        <is>
          <t>T-2023-P2-0006</t>
        </is>
      </c>
      <c r="B1977" t="inlineStr">
        <is>
          <t>MPSES</t>
        </is>
      </c>
      <c r="C1977" t="inlineStr">
        <is>
          <t>Director of Communications</t>
        </is>
      </c>
      <c r="D1977" t="inlineStr">
        <is>
          <t>Directrice des communications</t>
        </is>
      </c>
      <c r="E1977" t="inlineStr">
        <is>
          <t>Marianne Dandurand</t>
        </is>
      </c>
      <c r="F1977" t="inlineStr">
        <is>
          <t>Reimbursement for the purchase of a passport photo</t>
        </is>
      </c>
      <c r="G1977" t="inlineStr">
        <is>
          <t>Remboursement de l'achat d'une photo de passport</t>
        </is>
      </c>
      <c r="H1977" s="1" t="n">
        <v>45064</v>
      </c>
      <c r="I1977" s="1" t="n">
        <v>45064</v>
      </c>
      <c r="J1977" t="inlineStr">
        <is>
          <t>Ottawa (Ontario) Canada</t>
        </is>
      </c>
      <c r="K1977" t="inlineStr">
        <is>
          <t>Ottawa (Ontario) Canada</t>
        </is>
      </c>
      <c r="P1977" t="n">
        <v>0</v>
      </c>
      <c r="Q1977" t="n">
        <v>0</v>
      </c>
      <c r="R1977" t="n">
        <v>0</v>
      </c>
      <c r="S1977" t="n">
        <v>0</v>
      </c>
      <c r="T1977" t="n">
        <v>22.59</v>
      </c>
      <c r="U1977" t="n">
        <v>22.59</v>
      </c>
      <c r="X1977" t="inlineStr">
        <is>
          <t>aafc-aac</t>
        </is>
      </c>
      <c r="Y1977" t="inlineStr">
        <is>
          <t>Agriculture and Agri-Food Canada | Agriculture et Agroalimentaire Canada</t>
        </is>
      </c>
      <c r="Z1977" t="n">
        <v>1</v>
      </c>
      <c r="AA1977" t="n">
        <v>22.59</v>
      </c>
      <c r="AB1977">
        <f>ROUND(U1977-AA1977,2)</f>
        <v/>
      </c>
      <c r="AC1977" t="b">
        <v>0</v>
      </c>
      <c r="AD1977">
        <f>IF(U1977="","MISSING_TOTAL",IF(ABS(AB1977)&lt;=0.01,"OK","CHECK"))</f>
        <v/>
      </c>
      <c r="AE1977">
        <f>IF(U1977="","MISSING",IF(AND(AA1977&gt;0,U1977/AA1977&gt;50),"POSSIBLE_SCALE_ERROR","OK"))</f>
        <v/>
      </c>
    </row>
    <row r="1978">
      <c r="A1978" t="inlineStr">
        <is>
          <t>T-2023-P2-0007</t>
        </is>
      </c>
      <c r="B1978" t="inlineStr">
        <is>
          <t>MPSES</t>
        </is>
      </c>
      <c r="C1978" t="inlineStr">
        <is>
          <t>Chief of Staff</t>
        </is>
      </c>
      <c r="D1978" t="inlineStr">
        <is>
          <t>Chef de cabinet</t>
        </is>
      </c>
      <c r="E1978" t="inlineStr">
        <is>
          <t>Jérémy Gauthier</t>
        </is>
      </c>
      <c r="F1978" t="inlineStr">
        <is>
          <t>To support the Minister at the Agriculture Ministers 49th G7 Summit</t>
        </is>
      </c>
      <c r="G1978" t="inlineStr">
        <is>
          <t>Soutenir la ministre lors du 49ième sommet du G7 des ministres de l'agriculture</t>
        </is>
      </c>
      <c r="H1978" s="1" t="n">
        <v>45035</v>
      </c>
      <c r="I1978" s="1" t="n">
        <v>45042</v>
      </c>
      <c r="J1978" t="inlineStr">
        <is>
          <t>Tokyo, Japan
Miyazaki, Japan
Singapore</t>
        </is>
      </c>
      <c r="K1978" t="inlineStr">
        <is>
          <t>Tokyo, Japon
Miyazaki, Japon
Singapour</t>
        </is>
      </c>
      <c r="P1978" t="n">
        <v>12400.45</v>
      </c>
      <c r="Q1978" t="n">
        <v>50.57</v>
      </c>
      <c r="R1978" t="n">
        <v>1294.85</v>
      </c>
      <c r="S1978" t="n">
        <v>245.14</v>
      </c>
      <c r="T1978" t="n">
        <v>0</v>
      </c>
      <c r="U1978" t="n">
        <v>13991.01</v>
      </c>
      <c r="X1978" t="inlineStr">
        <is>
          <t>aafc-aac</t>
        </is>
      </c>
      <c r="Y1978" t="inlineStr">
        <is>
          <t>Agriculture and Agri-Food Canada | Agriculture et Agroalimentaire Canada</t>
        </is>
      </c>
      <c r="Z1978" t="n">
        <v>8</v>
      </c>
      <c r="AA1978" t="n">
        <v>13991.01</v>
      </c>
      <c r="AB1978">
        <f>ROUND(U1978-AA1978,2)</f>
        <v/>
      </c>
      <c r="AC1978" t="b">
        <v>0</v>
      </c>
      <c r="AD1978">
        <f>IF(U1978="","MISSING_TOTAL",IF(ABS(AB1978)&lt;=0.01,"OK","CHECK"))</f>
        <v/>
      </c>
      <c r="AE1978">
        <f>IF(U1978="","MISSING",IF(AND(AA1978&gt;0,U1978/AA1978&gt;50),"POSSIBLE_SCALE_ERROR","OK"))</f>
        <v/>
      </c>
    </row>
    <row r="1979">
      <c r="A1979" t="inlineStr">
        <is>
          <t>T-2023-P2-0008</t>
        </is>
      </c>
      <c r="B1979" t="inlineStr">
        <is>
          <t>MPSES</t>
        </is>
      </c>
      <c r="C1979" t="inlineStr">
        <is>
          <t>Chief of Staff</t>
        </is>
      </c>
      <c r="D1979" t="inlineStr">
        <is>
          <t>Chef de cabinet</t>
        </is>
      </c>
      <c r="E1979" t="inlineStr">
        <is>
          <t>Jérémy Gauthier</t>
        </is>
      </c>
      <c r="F1979" t="inlineStr">
        <is>
          <t>Accompany the Minister to attend the Minister’s Agriculture Innovation Mission for Climate conference and meet with stakeholders and US counterparts including Secretary Vilalobos and Ambassador Hillman</t>
        </is>
      </c>
      <c r="G1979" t="inlineStr">
        <is>
          <t>Accompagner la ministre pour assister à la conférence de la mission d'innovation agricole pour le climat du ministre et rencontrer les parties prenantes et les homologues américains, notamment le secrétaire Vilalobos et l'ambassadeur Hillman.</t>
        </is>
      </c>
      <c r="H1979" s="1" t="n">
        <v>45053</v>
      </c>
      <c r="I1979" s="1" t="n">
        <v>45056</v>
      </c>
      <c r="J1979" t="inlineStr">
        <is>
          <t>Washington (District of Columbia) United States</t>
        </is>
      </c>
      <c r="K1979" t="inlineStr">
        <is>
          <t>Washington (District de Columbia) États-Unis</t>
        </is>
      </c>
      <c r="P1979" t="n">
        <v>1431.71</v>
      </c>
      <c r="Q1979" t="n">
        <v>70.92</v>
      </c>
      <c r="R1979" t="n">
        <v>1718.33</v>
      </c>
      <c r="S1979" t="n">
        <v>342.2</v>
      </c>
      <c r="T1979" t="n">
        <v>0</v>
      </c>
      <c r="U1979" t="n">
        <v>3563.16</v>
      </c>
      <c r="X1979" t="inlineStr">
        <is>
          <t>aafc-aac</t>
        </is>
      </c>
      <c r="Y1979" t="inlineStr">
        <is>
          <t>Agriculture and Agri-Food Canada | Agriculture et Agroalimentaire Canada</t>
        </is>
      </c>
      <c r="Z1979" t="n">
        <v>4</v>
      </c>
      <c r="AA1979" t="n">
        <v>3563.16</v>
      </c>
      <c r="AB1979">
        <f>ROUND(U1979-AA1979,2)</f>
        <v/>
      </c>
      <c r="AC1979" t="b">
        <v>0</v>
      </c>
      <c r="AD1979">
        <f>IF(U1979="","MISSING_TOTAL",IF(ABS(AB1979)&lt;=0.01,"OK","CHECK"))</f>
        <v/>
      </c>
      <c r="AE1979">
        <f>IF(U1979="","MISSING",IF(AND(AA1979&gt;0,U1979/AA1979&gt;50),"POSSIBLE_SCALE_ERROR","OK"))</f>
        <v/>
      </c>
    </row>
    <row r="1980">
      <c r="A1980" t="inlineStr">
        <is>
          <t>T-2023-P2-0009</t>
        </is>
      </c>
      <c r="B1980" t="inlineStr">
        <is>
          <t>MPSES</t>
        </is>
      </c>
      <c r="C1980" t="inlineStr">
        <is>
          <t>Driver</t>
        </is>
      </c>
      <c r="D1980" t="inlineStr">
        <is>
          <t>Chauffeur</t>
        </is>
      </c>
      <c r="E1980" t="inlineStr">
        <is>
          <t>Michel Gendreau</t>
        </is>
      </c>
      <c r="F1980" t="inlineStr">
        <is>
          <t>Drive the Minister from her riding to Ottawa</t>
        </is>
      </c>
      <c r="G1980" t="inlineStr">
        <is>
          <t>Conduire la ministre de sa circonscription à Ottawa</t>
        </is>
      </c>
      <c r="H1980" s="1" t="n">
        <v>45032</v>
      </c>
      <c r="I1980" s="1" t="n">
        <v>45033</v>
      </c>
      <c r="J1980" t="inlineStr">
        <is>
          <t>Ottawa (Ontario) Canada
Sherbrooke (Quebec) Canada</t>
        </is>
      </c>
      <c r="K1980" t="inlineStr">
        <is>
          <t>Ottawa (Ontario) Canada
Sherbrooke (Québec) Canada</t>
        </is>
      </c>
      <c r="P1980" t="n">
        <v>0</v>
      </c>
      <c r="Q1980" t="n">
        <v>7</v>
      </c>
      <c r="R1980" t="n">
        <v>129.71</v>
      </c>
      <c r="S1980" t="n">
        <v>82.2</v>
      </c>
      <c r="T1980" t="n">
        <v>0</v>
      </c>
      <c r="U1980" t="n">
        <v>218.91</v>
      </c>
      <c r="X1980" t="inlineStr">
        <is>
          <t>aafc-aac</t>
        </is>
      </c>
      <c r="Y1980" t="inlineStr">
        <is>
          <t>Agriculture and Agri-Food Canada | Agriculture et Agroalimentaire Canada</t>
        </is>
      </c>
      <c r="Z1980" t="n">
        <v>2</v>
      </c>
      <c r="AA1980" t="n">
        <v>218.91</v>
      </c>
      <c r="AB1980">
        <f>ROUND(U1980-AA1980,2)</f>
        <v/>
      </c>
      <c r="AC1980" t="b">
        <v>0</v>
      </c>
      <c r="AD1980">
        <f>IF(U1980="","MISSING_TOTAL",IF(ABS(AB1980)&lt;=0.01,"OK","CHECK"))</f>
        <v/>
      </c>
      <c r="AE1980">
        <f>IF(U1980="","MISSING",IF(AND(AA1980&gt;0,U1980/AA1980&gt;50),"POSSIBLE_SCALE_ERROR","OK"))</f>
        <v/>
      </c>
    </row>
    <row r="1981">
      <c r="A1981" t="inlineStr">
        <is>
          <t>T-2023-P2-0010</t>
        </is>
      </c>
      <c r="B1981" t="inlineStr">
        <is>
          <t>MPSES</t>
        </is>
      </c>
      <c r="C1981" t="inlineStr">
        <is>
          <t>Driver</t>
        </is>
      </c>
      <c r="D1981" t="inlineStr">
        <is>
          <t>Chauffeur</t>
        </is>
      </c>
      <c r="E1981" t="inlineStr">
        <is>
          <t>Michel Gendreau</t>
        </is>
      </c>
      <c r="F1981" t="inlineStr">
        <is>
          <t>Drive the Minister to her riding from the Montréal Airport</t>
        </is>
      </c>
      <c r="G1981" t="inlineStr">
        <is>
          <t>Conduire la ministre à sa circonscription de l'aéroport de Montréal</t>
        </is>
      </c>
      <c r="H1981" s="1" t="n">
        <v>45042</v>
      </c>
      <c r="I1981" s="1" t="n">
        <v>45042</v>
      </c>
      <c r="J1981" t="inlineStr">
        <is>
          <t>Sherbrooke (Quebec) Canada
Montréal (Quebec) Quebec</t>
        </is>
      </c>
      <c r="K1981" t="inlineStr">
        <is>
          <t>Sherbrooke (Québec) Canada
Montréal (Québec) Québec</t>
        </is>
      </c>
      <c r="P1981" t="n">
        <v>0</v>
      </c>
      <c r="Q1981" t="n">
        <v>3.5</v>
      </c>
      <c r="R1981" t="n">
        <v>0</v>
      </c>
      <c r="S1981" t="n">
        <v>58.6</v>
      </c>
      <c r="T1981" t="n">
        <v>0</v>
      </c>
      <c r="U1981" t="n">
        <v>62.1</v>
      </c>
      <c r="X1981" t="inlineStr">
        <is>
          <t>aafc-aac</t>
        </is>
      </c>
      <c r="Y1981" t="inlineStr">
        <is>
          <t>Agriculture and Agri-Food Canada | Agriculture et Agroalimentaire Canada</t>
        </is>
      </c>
      <c r="Z1981" t="n">
        <v>1</v>
      </c>
      <c r="AA1981" t="n">
        <v>62.1</v>
      </c>
      <c r="AB1981">
        <f>ROUND(U1981-AA1981,2)</f>
        <v/>
      </c>
      <c r="AC1981" t="b">
        <v>0</v>
      </c>
      <c r="AD1981">
        <f>IF(U1981="","MISSING_TOTAL",IF(ABS(AB1981)&lt;=0.01,"OK","CHECK"))</f>
        <v/>
      </c>
      <c r="AE1981">
        <f>IF(U1981="","MISSING",IF(AND(AA1981&gt;0,U1981/AA1981&gt;50),"POSSIBLE_SCALE_ERROR","OK"))</f>
        <v/>
      </c>
    </row>
    <row r="1982">
      <c r="A1982" t="inlineStr">
        <is>
          <t>T-2023-P2-0011</t>
        </is>
      </c>
      <c r="B1982" t="inlineStr">
        <is>
          <t>MPSES</t>
        </is>
      </c>
      <c r="C1982" t="inlineStr">
        <is>
          <t>Driver</t>
        </is>
      </c>
      <c r="D1982" t="inlineStr">
        <is>
          <t>Chauffeur</t>
        </is>
      </c>
      <c r="E1982" t="inlineStr">
        <is>
          <t>Michel Gendreau</t>
        </is>
      </c>
      <c r="F1982" t="inlineStr">
        <is>
          <t>Drive the Minister from her riding to Ottawa</t>
        </is>
      </c>
      <c r="G1982" t="inlineStr">
        <is>
          <t>Conduire la ministre de sa circonscription à Ottawa</t>
        </is>
      </c>
      <c r="H1982" s="1" t="n">
        <v>45046</v>
      </c>
      <c r="I1982" s="1" t="n">
        <v>45047</v>
      </c>
      <c r="J1982" t="inlineStr">
        <is>
          <t>Ottawa (Ontario) Canada
Sherbrooke (Quebec) Canada</t>
        </is>
      </c>
      <c r="K1982" t="inlineStr">
        <is>
          <t>Ottawa (Ontario) Canada
Sherbrooke (Québec) Canada</t>
        </is>
      </c>
      <c r="P1982" t="n">
        <v>0</v>
      </c>
      <c r="Q1982" t="n">
        <v>7</v>
      </c>
      <c r="R1982" t="n">
        <v>129.71</v>
      </c>
      <c r="S1982" t="n">
        <v>82.2</v>
      </c>
      <c r="T1982" t="n">
        <v>0</v>
      </c>
      <c r="U1982" t="n">
        <v>218.91</v>
      </c>
      <c r="X1982" t="inlineStr">
        <is>
          <t>aafc-aac</t>
        </is>
      </c>
      <c r="Y1982" t="inlineStr">
        <is>
          <t>Agriculture and Agri-Food Canada | Agriculture et Agroalimentaire Canada</t>
        </is>
      </c>
      <c r="Z1982" t="n">
        <v>2</v>
      </c>
      <c r="AA1982" t="n">
        <v>218.91</v>
      </c>
      <c r="AB1982">
        <f>ROUND(U1982-AA1982,2)</f>
        <v/>
      </c>
      <c r="AC1982" t="b">
        <v>0</v>
      </c>
      <c r="AD1982">
        <f>IF(U1982="","MISSING_TOTAL",IF(ABS(AB1982)&lt;=0.01,"OK","CHECK"))</f>
        <v/>
      </c>
      <c r="AE1982">
        <f>IF(U1982="","MISSING",IF(AND(AA1982&gt;0,U1982/AA1982&gt;50),"POSSIBLE_SCALE_ERROR","OK"))</f>
        <v/>
      </c>
    </row>
    <row r="1983">
      <c r="A1983" t="inlineStr">
        <is>
          <t>T-2023-P2-0012</t>
        </is>
      </c>
      <c r="B1983" t="inlineStr">
        <is>
          <t>MPSES</t>
        </is>
      </c>
      <c r="C1983" t="inlineStr">
        <is>
          <t>Driver</t>
        </is>
      </c>
      <c r="D1983" t="inlineStr">
        <is>
          <t>Chauffeur</t>
        </is>
      </c>
      <c r="E1983" t="inlineStr">
        <is>
          <t>Michel Gendreau</t>
        </is>
      </c>
      <c r="F1983" t="inlineStr">
        <is>
          <t>Drive the Minister to her riding from Ottawa</t>
        </is>
      </c>
      <c r="G1983" t="inlineStr">
        <is>
          <t>Conduire la ministre à sa circonscription d'Ottawa</t>
        </is>
      </c>
      <c r="H1983" s="1" t="n">
        <v>45058</v>
      </c>
      <c r="I1983" s="1" t="n">
        <v>45058</v>
      </c>
      <c r="J1983" t="inlineStr">
        <is>
          <t>Ottawa (Ontario) Canada
Sherbrooke (Quebec) Canada</t>
        </is>
      </c>
      <c r="K1983" t="inlineStr">
        <is>
          <t>Ottawa (Ontario) Canada
Sherbrooke (Québec) Canada</t>
        </is>
      </c>
      <c r="P1983" t="n">
        <v>0</v>
      </c>
      <c r="Q1983" t="n">
        <v>7</v>
      </c>
      <c r="R1983" t="n">
        <v>0</v>
      </c>
      <c r="S1983" t="n">
        <v>58.6</v>
      </c>
      <c r="T1983" t="n">
        <v>0</v>
      </c>
      <c r="U1983" t="n">
        <v>65.59999999999999</v>
      </c>
      <c r="X1983" t="inlineStr">
        <is>
          <t>aafc-aac</t>
        </is>
      </c>
      <c r="Y1983" t="inlineStr">
        <is>
          <t>Agriculture and Agri-Food Canada | Agriculture et Agroalimentaire Canada</t>
        </is>
      </c>
      <c r="Z1983" t="n">
        <v>1</v>
      </c>
      <c r="AA1983" t="n">
        <v>65.59999999999999</v>
      </c>
      <c r="AB1983">
        <f>ROUND(U1983-AA1983,2)</f>
        <v/>
      </c>
      <c r="AC1983" t="b">
        <v>0</v>
      </c>
      <c r="AD1983">
        <f>IF(U1983="","MISSING_TOTAL",IF(ABS(AB1983)&lt;=0.01,"OK","CHECK"))</f>
        <v/>
      </c>
      <c r="AE1983">
        <f>IF(U1983="","MISSING",IF(AND(AA1983&gt;0,U1983/AA1983&gt;50),"POSSIBLE_SCALE_ERROR","OK"))</f>
        <v/>
      </c>
    </row>
    <row r="1984">
      <c r="A1984" t="inlineStr">
        <is>
          <t>T-2023-P2-0013</t>
        </is>
      </c>
      <c r="B1984" t="inlineStr">
        <is>
          <t>MPSES</t>
        </is>
      </c>
      <c r="C1984" t="inlineStr">
        <is>
          <t>Driver</t>
        </is>
      </c>
      <c r="D1984" t="inlineStr">
        <is>
          <t>Chauffeur</t>
        </is>
      </c>
      <c r="E1984" t="inlineStr">
        <is>
          <t>Michel Gendreau</t>
        </is>
      </c>
      <c r="F1984" t="inlineStr">
        <is>
          <t>Drive the Minister from her riding to Ottawa</t>
        </is>
      </c>
      <c r="G1984" t="inlineStr">
        <is>
          <t>Conduire la ministre de sa circonscription à Ottawa</t>
        </is>
      </c>
      <c r="H1984" s="1" t="n">
        <v>45060</v>
      </c>
      <c r="I1984" s="1" t="n">
        <v>45061</v>
      </c>
      <c r="J1984" t="inlineStr">
        <is>
          <t>Ottawa (Ontario) Canada
Sherbrooke (Quebec) Canada</t>
        </is>
      </c>
      <c r="K1984" t="inlineStr">
        <is>
          <t>Ottawa (Ontario) Canada
Sherbrooke (Québec) Canada</t>
        </is>
      </c>
      <c r="P1984" t="n">
        <v>0</v>
      </c>
      <c r="Q1984" t="n">
        <v>7</v>
      </c>
      <c r="R1984" t="n">
        <v>129.71</v>
      </c>
      <c r="S1984" t="n">
        <v>82.2</v>
      </c>
      <c r="T1984" t="n">
        <v>0</v>
      </c>
      <c r="U1984" t="n">
        <v>218.91</v>
      </c>
      <c r="X1984" t="inlineStr">
        <is>
          <t>aafc-aac</t>
        </is>
      </c>
      <c r="Y1984" t="inlineStr">
        <is>
          <t>Agriculture and Agri-Food Canada | Agriculture et Agroalimentaire Canada</t>
        </is>
      </c>
      <c r="Z1984" t="n">
        <v>2</v>
      </c>
      <c r="AA1984" t="n">
        <v>218.91</v>
      </c>
      <c r="AB1984">
        <f>ROUND(U1984-AA1984,2)</f>
        <v/>
      </c>
      <c r="AC1984" t="b">
        <v>0</v>
      </c>
      <c r="AD1984">
        <f>IF(U1984="","MISSING_TOTAL",IF(ABS(AB1984)&lt;=0.01,"OK","CHECK"))</f>
        <v/>
      </c>
      <c r="AE1984">
        <f>IF(U1984="","MISSING",IF(AND(AA1984&gt;0,U1984/AA1984&gt;50),"POSSIBLE_SCALE_ERROR","OK"))</f>
        <v/>
      </c>
    </row>
    <row r="1985">
      <c r="A1985" t="inlineStr">
        <is>
          <t>T-2023-P2-0014</t>
        </is>
      </c>
      <c r="B1985" t="inlineStr">
        <is>
          <t>MPSES</t>
        </is>
      </c>
      <c r="C1985" t="inlineStr">
        <is>
          <t>Driver</t>
        </is>
      </c>
      <c r="D1985" t="inlineStr">
        <is>
          <t>Chauffeur</t>
        </is>
      </c>
      <c r="E1985" t="inlineStr">
        <is>
          <t>Michel Gendreau</t>
        </is>
      </c>
      <c r="F1985" t="inlineStr">
        <is>
          <t>Drive the Minister to her riding from Ottawa</t>
        </is>
      </c>
      <c r="G1985" t="inlineStr">
        <is>
          <t>Conduire la ministre à sa circonscription d'Ottawa</t>
        </is>
      </c>
      <c r="H1985" s="1" t="n">
        <v>45064</v>
      </c>
      <c r="I1985" s="1" t="n">
        <v>45064</v>
      </c>
      <c r="J1985" t="inlineStr">
        <is>
          <t>Ottawa (Ontario) Canada
Sherbrooke (Quebec) Canada</t>
        </is>
      </c>
      <c r="K1985" t="inlineStr">
        <is>
          <t>Ottawa (Ontario) Canada
Sherbrooke (Québec) Canada</t>
        </is>
      </c>
      <c r="P1985" t="n">
        <v>0</v>
      </c>
      <c r="Q1985" t="n">
        <v>3.5</v>
      </c>
      <c r="R1985" t="n">
        <v>0</v>
      </c>
      <c r="S1985" t="n">
        <v>58.6</v>
      </c>
      <c r="T1985" t="n">
        <v>0</v>
      </c>
      <c r="U1985" t="n">
        <v>62.1</v>
      </c>
      <c r="X1985" t="inlineStr">
        <is>
          <t>aafc-aac</t>
        </is>
      </c>
      <c r="Y1985" t="inlineStr">
        <is>
          <t>Agriculture and Agri-Food Canada | Agriculture et Agroalimentaire Canada</t>
        </is>
      </c>
      <c r="Z1985" t="n">
        <v>1</v>
      </c>
      <c r="AA1985" t="n">
        <v>62.1</v>
      </c>
      <c r="AB1985">
        <f>ROUND(U1985-AA1985,2)</f>
        <v/>
      </c>
      <c r="AC1985" t="b">
        <v>0</v>
      </c>
      <c r="AD1985">
        <f>IF(U1985="","MISSING_TOTAL",IF(ABS(AB1985)&lt;=0.01,"OK","CHECK"))</f>
        <v/>
      </c>
      <c r="AE1985">
        <f>IF(U1985="","MISSING",IF(AND(AA1985&gt;0,U1985/AA1985&gt;50),"POSSIBLE_SCALE_ERROR","OK"))</f>
        <v/>
      </c>
    </row>
    <row r="1986">
      <c r="A1986" t="inlineStr">
        <is>
          <t>T-2023-P2-0015</t>
        </is>
      </c>
      <c r="B1986" t="inlineStr">
        <is>
          <t>MPSES</t>
        </is>
      </c>
      <c r="C1986" t="inlineStr">
        <is>
          <t>Driver</t>
        </is>
      </c>
      <c r="D1986" t="inlineStr">
        <is>
          <t>Chauffeur</t>
        </is>
      </c>
      <c r="E1986" t="inlineStr">
        <is>
          <t>Michel Gendreau</t>
        </is>
      </c>
      <c r="F1986" t="inlineStr">
        <is>
          <t>Drive the Minister to attend the strategy announcement for women entrepreneurs (farmers) and round-table discussion</t>
        </is>
      </c>
      <c r="G1986" t="inlineStr">
        <is>
          <t>Conduire la ministre pour participer à l'annonce de la stratégie pour les femmes entrepreneurs (agricultrices) et à la table ronde.</t>
        </is>
      </c>
      <c r="H1986" s="1" t="n">
        <v>45068</v>
      </c>
      <c r="I1986" s="1" t="n">
        <v>45071</v>
      </c>
      <c r="J1986" t="inlineStr">
        <is>
          <t>Québec (Quebec) Canada</t>
        </is>
      </c>
      <c r="K1986" t="inlineStr">
        <is>
          <t>Québec (Québec) Canada</t>
        </is>
      </c>
      <c r="P1986" t="n">
        <v>0</v>
      </c>
      <c r="Q1986" t="n">
        <v>7</v>
      </c>
      <c r="R1986" t="n">
        <v>448.63</v>
      </c>
      <c r="S1986" t="n">
        <v>318.3</v>
      </c>
      <c r="T1986" t="n">
        <v>0</v>
      </c>
      <c r="U1986" t="n">
        <v>773.9299999999999</v>
      </c>
      <c r="X1986" t="inlineStr">
        <is>
          <t>aafc-aac</t>
        </is>
      </c>
      <c r="Y1986" t="inlineStr">
        <is>
          <t>Agriculture and Agri-Food Canada | Agriculture et Agroalimentaire Canada</t>
        </is>
      </c>
      <c r="Z1986" t="n">
        <v>4</v>
      </c>
      <c r="AA1986" t="n">
        <v>773.9299999999999</v>
      </c>
      <c r="AB1986">
        <f>ROUND(U1986-AA1986,2)</f>
        <v/>
      </c>
      <c r="AC1986" t="b">
        <v>0</v>
      </c>
      <c r="AD1986">
        <f>IF(U1986="","MISSING_TOTAL",IF(ABS(AB1986)&lt;=0.01,"OK","CHECK"))</f>
        <v/>
      </c>
      <c r="AE1986">
        <f>IF(U1986="","MISSING",IF(AND(AA1986&gt;0,U1986/AA1986&gt;50),"POSSIBLE_SCALE_ERROR","OK"))</f>
        <v/>
      </c>
    </row>
    <row r="1987">
      <c r="A1987" t="inlineStr">
        <is>
          <t>T-2023-P2-0016</t>
        </is>
      </c>
      <c r="B1987" t="inlineStr">
        <is>
          <t>MPSES</t>
        </is>
      </c>
      <c r="C1987" t="inlineStr">
        <is>
          <t>Policy Advisor</t>
        </is>
      </c>
      <c r="D1987" t="inlineStr">
        <is>
          <t>Conseillère en politiques</t>
        </is>
      </c>
      <c r="E1987" t="inlineStr">
        <is>
          <t>Christine Harvey</t>
        </is>
      </c>
      <c r="F1987" t="inlineStr">
        <is>
          <t>To support the Minister to attend the Quebec tour</t>
        </is>
      </c>
      <c r="G1987" t="inlineStr">
        <is>
          <t>Pour soutenir la ministre à la tournée au Québec</t>
        </is>
      </c>
      <c r="H1987" s="1" t="n">
        <v>45027</v>
      </c>
      <c r="I1987" s="1" t="n">
        <v>45030</v>
      </c>
      <c r="J1987" t="inlineStr">
        <is>
          <t>Québec (Quebec) Canada</t>
        </is>
      </c>
      <c r="K1987" t="inlineStr">
        <is>
          <t>Québec (Québec) Canada</t>
        </is>
      </c>
      <c r="P1987" t="n">
        <v>0</v>
      </c>
      <c r="Q1987" t="n">
        <v>0</v>
      </c>
      <c r="R1987" t="n">
        <v>569.1799999999999</v>
      </c>
      <c r="S1987" t="n">
        <v>270.5</v>
      </c>
      <c r="T1987" t="n">
        <v>0</v>
      </c>
      <c r="U1987" t="n">
        <v>839.6799999999999</v>
      </c>
      <c r="X1987" t="inlineStr">
        <is>
          <t>aafc-aac</t>
        </is>
      </c>
      <c r="Y1987" t="inlineStr">
        <is>
          <t>Agriculture and Agri-Food Canada | Agriculture et Agroalimentaire Canada</t>
        </is>
      </c>
      <c r="Z1987" t="n">
        <v>4</v>
      </c>
      <c r="AA1987" t="n">
        <v>839.6799999999999</v>
      </c>
      <c r="AB1987">
        <f>ROUND(U1987-AA1987,2)</f>
        <v/>
      </c>
      <c r="AC1987" t="b">
        <v>0</v>
      </c>
      <c r="AD1987">
        <f>IF(U1987="","MISSING_TOTAL",IF(ABS(AB1987)&lt;=0.01,"OK","CHECK"))</f>
        <v/>
      </c>
      <c r="AE1987">
        <f>IF(U1987="","MISSING",IF(AND(AA1987&gt;0,U1987/AA1987&gt;50),"POSSIBLE_SCALE_ERROR","OK"))</f>
        <v/>
      </c>
    </row>
    <row r="1988">
      <c r="A1988" t="inlineStr">
        <is>
          <t>T-2023-P2-0017</t>
        </is>
      </c>
      <c r="B1988" t="inlineStr">
        <is>
          <t>MPSES</t>
        </is>
      </c>
      <c r="C1988" t="inlineStr">
        <is>
          <t>Policy Advisor</t>
        </is>
      </c>
      <c r="D1988" t="inlineStr">
        <is>
          <t>Conseillère en politiques</t>
        </is>
      </c>
      <c r="E1988" t="inlineStr">
        <is>
          <t>Christine Harvey</t>
        </is>
      </c>
      <c r="F1988" t="inlineStr">
        <is>
          <t>To support the Minister to attend the strategy announcement for women entrepreneurs (farmers) and round-table discussion</t>
        </is>
      </c>
      <c r="G1988" t="inlineStr">
        <is>
          <t>Pour soutenir la ministre à participer à l'annonce de la stratégie pour les femmes entrepreneurs (agricultrices) et à la table ronde.</t>
        </is>
      </c>
      <c r="H1988" s="1" t="n">
        <v>45068</v>
      </c>
      <c r="I1988" s="1" t="n">
        <v>45071</v>
      </c>
      <c r="J1988" t="inlineStr">
        <is>
          <t>Québec (Quebec) Canada</t>
        </is>
      </c>
      <c r="K1988" t="inlineStr">
        <is>
          <t>Québec (Québec) Canada</t>
        </is>
      </c>
      <c r="P1988" t="n">
        <v>0</v>
      </c>
      <c r="Q1988" t="n">
        <v>74.64</v>
      </c>
      <c r="R1988" t="n">
        <v>380.26</v>
      </c>
      <c r="S1988" t="n">
        <v>246.9</v>
      </c>
      <c r="T1988" t="n">
        <v>0</v>
      </c>
      <c r="U1988" t="n">
        <v>701.8</v>
      </c>
      <c r="X1988" t="inlineStr">
        <is>
          <t>aafc-aac</t>
        </is>
      </c>
      <c r="Y1988" t="inlineStr">
        <is>
          <t>Agriculture and Agri-Food Canada | Agriculture et Agroalimentaire Canada</t>
        </is>
      </c>
      <c r="Z1988" t="n">
        <v>4</v>
      </c>
      <c r="AA1988" t="n">
        <v>701.8</v>
      </c>
      <c r="AB1988">
        <f>ROUND(U1988-AA1988,2)</f>
        <v/>
      </c>
      <c r="AC1988" t="b">
        <v>0</v>
      </c>
      <c r="AD1988">
        <f>IF(U1988="","MISSING_TOTAL",IF(ABS(AB1988)&lt;=0.01,"OK","CHECK"))</f>
        <v/>
      </c>
      <c r="AE1988">
        <f>IF(U1988="","MISSING",IF(AND(AA1988&gt;0,U1988/AA1988&gt;50),"POSSIBLE_SCALE_ERROR","OK"))</f>
        <v/>
      </c>
    </row>
    <row r="1989">
      <c r="A1989" t="inlineStr">
        <is>
          <t>T-2023-P2-0018</t>
        </is>
      </c>
      <c r="B1989" t="inlineStr">
        <is>
          <t>MPSES</t>
        </is>
      </c>
      <c r="C1989" t="inlineStr">
        <is>
          <t>Tours and Operations Manager</t>
        </is>
      </c>
      <c r="D1989" t="inlineStr">
        <is>
          <t>Gestionnaire, Visites et opérations</t>
        </is>
      </c>
      <c r="E1989" t="inlineStr">
        <is>
          <t>Olivia Scieur-Aparicio</t>
        </is>
      </c>
      <c r="F1989" t="inlineStr">
        <is>
          <t>Attend a meeting at the Confederation  Building</t>
        </is>
      </c>
      <c r="G1989" t="inlineStr">
        <is>
          <t>Assister à une réunion au bâtiment de la Confédération</t>
        </is>
      </c>
      <c r="H1989" s="1" t="n">
        <v>45049</v>
      </c>
      <c r="I1989" s="1" t="n">
        <v>45049</v>
      </c>
      <c r="J1989" t="inlineStr">
        <is>
          <t>Ottawa (Ontario) Canada</t>
        </is>
      </c>
      <c r="K1989" t="inlineStr">
        <is>
          <t>Ottawa (Ontario) Canada</t>
        </is>
      </c>
      <c r="P1989" t="n">
        <v>0</v>
      </c>
      <c r="Q1989" t="n">
        <v>84.73</v>
      </c>
      <c r="R1989" t="n">
        <v>0</v>
      </c>
      <c r="S1989" t="n">
        <v>0</v>
      </c>
      <c r="T1989" t="n">
        <v>0</v>
      </c>
      <c r="U1989" t="n">
        <v>84.73</v>
      </c>
      <c r="X1989" t="inlineStr">
        <is>
          <t>aafc-aac</t>
        </is>
      </c>
      <c r="Y1989" t="inlineStr">
        <is>
          <t>Agriculture and Agri-Food Canada | Agriculture et Agroalimentaire Canada</t>
        </is>
      </c>
      <c r="Z1989" t="n">
        <v>1</v>
      </c>
      <c r="AA1989" t="n">
        <v>84.73</v>
      </c>
      <c r="AB1989">
        <f>ROUND(U1989-AA1989,2)</f>
        <v/>
      </c>
      <c r="AC1989" t="b">
        <v>0</v>
      </c>
      <c r="AD1989">
        <f>IF(U1989="","MISSING_TOTAL",IF(ABS(AB1989)&lt;=0.01,"OK","CHECK"))</f>
        <v/>
      </c>
      <c r="AE1989">
        <f>IF(U1989="","MISSING",IF(AND(AA1989&gt;0,U1989/AA1989&gt;50),"POSSIBLE_SCALE_ERROR","OK"))</f>
        <v/>
      </c>
    </row>
    <row r="1990">
      <c r="A1990" t="inlineStr">
        <is>
          <t>T-2023-P2-0019</t>
        </is>
      </c>
      <c r="B1990" t="inlineStr">
        <is>
          <t>MPSES</t>
        </is>
      </c>
      <c r="C1990" t="inlineStr">
        <is>
          <t>Special Assistant</t>
        </is>
      </c>
      <c r="D1990" t="inlineStr">
        <is>
          <t>Adjointe spéciale</t>
        </is>
      </c>
      <c r="E1990" t="inlineStr">
        <is>
          <t>Arianna Myers</t>
        </is>
      </c>
      <c r="F1990" t="inlineStr">
        <is>
          <t>Attend a meeting at the Confederation  Building</t>
        </is>
      </c>
      <c r="G1990" t="inlineStr">
        <is>
          <t>Assister à une réunion au bâtiment de la Confédération</t>
        </is>
      </c>
      <c r="H1990" s="1" t="n">
        <v>45047</v>
      </c>
      <c r="I1990" s="1" t="n">
        <v>45047</v>
      </c>
      <c r="J1990" t="inlineStr">
        <is>
          <t>Ottawa (Ontario) Canada</t>
        </is>
      </c>
      <c r="K1990" t="inlineStr">
        <is>
          <t>Ottawa (Ontario) Canada</t>
        </is>
      </c>
      <c r="P1990" t="n">
        <v>0</v>
      </c>
      <c r="Q1990" t="n">
        <v>64.61</v>
      </c>
      <c r="R1990" t="n">
        <v>0</v>
      </c>
      <c r="S1990" t="n">
        <v>0</v>
      </c>
      <c r="T1990" t="n">
        <v>0</v>
      </c>
      <c r="U1990" t="n">
        <v>64.61</v>
      </c>
      <c r="X1990" t="inlineStr">
        <is>
          <t>aafc-aac</t>
        </is>
      </c>
      <c r="Y1990" t="inlineStr">
        <is>
          <t>Agriculture and Agri-Food Canada | Agriculture et Agroalimentaire Canada</t>
        </is>
      </c>
      <c r="Z1990" t="n">
        <v>1</v>
      </c>
      <c r="AA1990" t="n">
        <v>64.61</v>
      </c>
      <c r="AB1990">
        <f>ROUND(U1990-AA1990,2)</f>
        <v/>
      </c>
      <c r="AC1990" t="b">
        <v>0</v>
      </c>
      <c r="AD1990">
        <f>IF(U1990="","MISSING_TOTAL",IF(ABS(AB1990)&lt;=0.01,"OK","CHECK"))</f>
        <v/>
      </c>
      <c r="AE1990">
        <f>IF(U1990="","MISSING",IF(AND(AA1990&gt;0,U1990/AA1990&gt;50),"POSSIBLE_SCALE_ERROR","OK"))</f>
        <v/>
      </c>
    </row>
    <row r="1991">
      <c r="A1991" t="inlineStr">
        <is>
          <t>T-2023-P2-0020</t>
        </is>
      </c>
      <c r="B1991" t="inlineStr">
        <is>
          <t>MPSES</t>
        </is>
      </c>
      <c r="C1991" t="inlineStr">
        <is>
          <t>Special Assistant</t>
        </is>
      </c>
      <c r="D1991" t="inlineStr">
        <is>
          <t>Adjointe spéciale</t>
        </is>
      </c>
      <c r="E1991" t="inlineStr">
        <is>
          <t>Arianna Myers</t>
        </is>
      </c>
      <c r="F1991" t="inlineStr">
        <is>
          <t>Attend a meeting at the Confederation  Building</t>
        </is>
      </c>
      <c r="G1991" t="inlineStr">
        <is>
          <t>Assister à une réunion au bâtiment de la Confédération</t>
        </is>
      </c>
      <c r="H1991" s="1" t="n">
        <v>45054</v>
      </c>
      <c r="I1991" s="1" t="n">
        <v>45054</v>
      </c>
      <c r="J1991" t="inlineStr">
        <is>
          <t>Ottawa (Ontario) Canada</t>
        </is>
      </c>
      <c r="K1991" t="inlineStr">
        <is>
          <t>Ottawa (Ontario) Canada</t>
        </is>
      </c>
      <c r="P1991" t="n">
        <v>0</v>
      </c>
      <c r="Q1991" t="n">
        <v>33.12</v>
      </c>
      <c r="R1991" t="n">
        <v>0</v>
      </c>
      <c r="S1991" t="n">
        <v>0</v>
      </c>
      <c r="T1991" t="n">
        <v>0</v>
      </c>
      <c r="U1991" t="n">
        <v>33.12</v>
      </c>
      <c r="X1991" t="inlineStr">
        <is>
          <t>aafc-aac</t>
        </is>
      </c>
      <c r="Y1991" t="inlineStr">
        <is>
          <t>Agriculture and Agri-Food Canada | Agriculture et Agroalimentaire Canada</t>
        </is>
      </c>
      <c r="Z1991" t="n">
        <v>1</v>
      </c>
      <c r="AA1991" t="n">
        <v>33.12</v>
      </c>
      <c r="AB1991">
        <f>ROUND(U1991-AA1991,2)</f>
        <v/>
      </c>
      <c r="AC1991" t="b">
        <v>0</v>
      </c>
      <c r="AD1991">
        <f>IF(U1991="","MISSING_TOTAL",IF(ABS(AB1991)&lt;=0.01,"OK","CHECK"))</f>
        <v/>
      </c>
      <c r="AE1991">
        <f>IF(U1991="","MISSING",IF(AND(AA1991&gt;0,U1991/AA1991&gt;50),"POSSIBLE_SCALE_ERROR","OK"))</f>
        <v/>
      </c>
    </row>
    <row r="1992">
      <c r="A1992" t="inlineStr">
        <is>
          <t>T-2023-P2-0021</t>
        </is>
      </c>
      <c r="B1992" t="inlineStr">
        <is>
          <t>SLE</t>
        </is>
      </c>
      <c r="C1992" t="inlineStr">
        <is>
          <t>Associate Deputy Minister</t>
        </is>
      </c>
      <c r="D1992" t="inlineStr">
        <is>
          <t>Sous-ministre déléguée</t>
        </is>
      </c>
      <c r="E1992" t="inlineStr">
        <is>
          <t>Suzy McDonald</t>
        </is>
      </c>
      <c r="F1992" t="inlineStr">
        <is>
          <t>Accompany the Minister to attend the Minister’s Agriculture Innovation Mission for Climate conference and meet with stakeholders and US counterparts including Secretary Vilalobos and Ambassador Hillman</t>
        </is>
      </c>
      <c r="G1992" t="inlineStr">
        <is>
          <t>Accompagner la ministre pour assister à la conférence de la mission d'innovation agricole pour le climat du ministre et rencontrer les parties prenantes et les homologues américains, notamment le secrétaire Vilalobos et l'ambassadeur Hillman.</t>
        </is>
      </c>
      <c r="H1992" s="1" t="n">
        <v>45053</v>
      </c>
      <c r="I1992" s="1" t="n">
        <v>45056</v>
      </c>
      <c r="J1992" t="inlineStr">
        <is>
          <t>Washington (District of Columbia) United States</t>
        </is>
      </c>
      <c r="K1992" t="inlineStr">
        <is>
          <t>Washington (District de Columbia) États-Unis</t>
        </is>
      </c>
      <c r="P1992" t="n">
        <v>1304.19</v>
      </c>
      <c r="Q1992" t="n">
        <v>108.47</v>
      </c>
      <c r="R1992" t="n">
        <v>1716.79</v>
      </c>
      <c r="S1992" t="n">
        <v>439.88</v>
      </c>
      <c r="T1992" t="n">
        <v>0</v>
      </c>
      <c r="U1992" t="n">
        <v>3569.33</v>
      </c>
      <c r="X1992" t="inlineStr">
        <is>
          <t>aafc-aac</t>
        </is>
      </c>
      <c r="Y1992" t="inlineStr">
        <is>
          <t>Agriculture and Agri-Food Canada | Agriculture et Agroalimentaire Canada</t>
        </is>
      </c>
      <c r="Z1992" t="n">
        <v>4</v>
      </c>
      <c r="AA1992" t="n">
        <v>3569.33</v>
      </c>
      <c r="AB1992">
        <f>ROUND(U1992-AA1992,2)</f>
        <v/>
      </c>
      <c r="AC1992" t="b">
        <v>0</v>
      </c>
      <c r="AD1992">
        <f>IF(U1992="","MISSING_TOTAL",IF(ABS(AB1992)&lt;=0.01,"OK","CHECK"))</f>
        <v/>
      </c>
      <c r="AE1992">
        <f>IF(U1992="","MISSING",IF(AND(AA1992&gt;0,U1992/AA1992&gt;50),"POSSIBLE_SCALE_ERROR","OK"))</f>
        <v/>
      </c>
    </row>
    <row r="1993">
      <c r="A1993" t="inlineStr">
        <is>
          <t>T-2023-P2-0022</t>
        </is>
      </c>
      <c r="B1993" t="inlineStr">
        <is>
          <t>SLE</t>
        </is>
      </c>
      <c r="C1993" t="inlineStr">
        <is>
          <t>Corporate Secretary</t>
        </is>
      </c>
      <c r="D1993" t="inlineStr">
        <is>
          <t>Secrétaire générale</t>
        </is>
      </c>
      <c r="E1993" t="inlineStr">
        <is>
          <t>Tamara Abel</t>
        </is>
      </c>
      <c r="F1993" t="inlineStr">
        <is>
          <t>Operational activities</t>
        </is>
      </c>
      <c r="G1993" t="inlineStr">
        <is>
          <t>Activités opérationnelles</t>
        </is>
      </c>
      <c r="H1993" s="1" t="n">
        <v>45047</v>
      </c>
      <c r="I1993" s="1" t="n">
        <v>45050</v>
      </c>
      <c r="J1993" t="inlineStr">
        <is>
          <t>Ottawa (Ontario) Canada</t>
        </is>
      </c>
      <c r="K1993" t="inlineStr">
        <is>
          <t>Ottawa (Ontario) Canada</t>
        </is>
      </c>
      <c r="P1993" t="n">
        <v>1060.57</v>
      </c>
      <c r="Q1993" t="n">
        <v>290.83</v>
      </c>
      <c r="R1993" t="n">
        <v>1011.84</v>
      </c>
      <c r="S1993" t="n">
        <v>470</v>
      </c>
      <c r="T1993" t="n">
        <v>13.28</v>
      </c>
      <c r="U1993" t="n">
        <v>2846.52</v>
      </c>
      <c r="X1993" t="inlineStr">
        <is>
          <t>aafc-aac</t>
        </is>
      </c>
      <c r="Y1993" t="inlineStr">
        <is>
          <t>Agriculture and Agri-Food Canada | Agriculture et Agroalimentaire Canada</t>
        </is>
      </c>
      <c r="Z1993" t="n">
        <v>4</v>
      </c>
      <c r="AA1993" t="n">
        <v>2846.52</v>
      </c>
      <c r="AB1993">
        <f>ROUND(U1993-AA1993,2)</f>
        <v/>
      </c>
      <c r="AC1993" t="b">
        <v>0</v>
      </c>
      <c r="AD1993">
        <f>IF(U1993="","MISSING_TOTAL",IF(ABS(AB1993)&lt;=0.01,"OK","CHECK"))</f>
        <v/>
      </c>
      <c r="AE1993">
        <f>IF(U1993="","MISSING",IF(AND(AA1993&gt;0,U1993/AA1993&gt;50),"POSSIBLE_SCALE_ERROR","OK"))</f>
        <v/>
      </c>
    </row>
    <row r="1994">
      <c r="A1994" t="inlineStr">
        <is>
          <t>T-2023-P2-0023</t>
        </is>
      </c>
      <c r="B1994" t="inlineStr">
        <is>
          <t>SLE</t>
        </is>
      </c>
      <c r="C1994" t="inlineStr">
        <is>
          <t>Assistant Deputy Minister, Science and Technology Branch</t>
        </is>
      </c>
      <c r="D1994" t="inlineStr">
        <is>
          <t>Sous-ministre adjoint, Direction générale des sciences et de la technologie</t>
        </is>
      </c>
      <c r="E1994" t="inlineStr">
        <is>
          <t>Gilles Saindon</t>
        </is>
      </c>
      <c r="F1994" t="inlineStr">
        <is>
          <t>Attend the meeting of G20 Agricultural Chief Scientists (MACS). As Canada’s Agricultural Chief Scientist, traveler led Canada’s engagement in discussions on ways to strengthen synergies and cooperation of G20 members and international organizations in key fields of agricultural science, technology and innovation, to promote sustainable agricultural development and the sharing of agricultural knowledge to improve agricultural productivity</t>
        </is>
      </c>
      <c r="G1994" t="inlineStr">
        <is>
          <t>Participer à la réunion des scientifiques en chef de l'agriculture du G20 (MACS). En tant que scientifique en chef agricole du Canada, le voyageur a dirigé l'engagement du Canada dans les discussions sur les moyens de renforcer les synergies et la coopération des membres du G20 et des organisations internationales dans les domaines clés de la science, de la technologie et de l'innovation agricoles, de promouvoir le développement agricole durable et le partage des connaissances agricoles pour améliorer la productivité agricole</t>
        </is>
      </c>
      <c r="H1994" s="1" t="n">
        <v>45029</v>
      </c>
      <c r="I1994" s="1" t="n">
        <v>45037</v>
      </c>
      <c r="J1994" t="inlineStr">
        <is>
          <t>Varanasi (Uttar Pradesh) India</t>
        </is>
      </c>
      <c r="K1994" t="inlineStr">
        <is>
          <t>Varanasi (Uttar Pradesh) Inde</t>
        </is>
      </c>
      <c r="P1994" t="n">
        <v>12344.87</v>
      </c>
      <c r="Q1994" t="n">
        <v>175</v>
      </c>
      <c r="R1994" t="n">
        <v>1496.12</v>
      </c>
      <c r="S1994" t="n">
        <v>508.24</v>
      </c>
      <c r="T1994" t="n">
        <v>223.5</v>
      </c>
      <c r="U1994" t="n">
        <v>14747.73</v>
      </c>
      <c r="X1994" t="inlineStr">
        <is>
          <t>aafc-aac</t>
        </is>
      </c>
      <c r="Y1994" t="inlineStr">
        <is>
          <t>Agriculture and Agri-Food Canada | Agriculture et Agroalimentaire Canada</t>
        </is>
      </c>
      <c r="Z1994" t="n">
        <v>9</v>
      </c>
      <c r="AA1994" t="n">
        <v>14747.73</v>
      </c>
      <c r="AB1994">
        <f>ROUND(U1994-AA1994,2)</f>
        <v/>
      </c>
      <c r="AC1994" t="b">
        <v>0</v>
      </c>
      <c r="AD1994">
        <f>IF(U1994="","MISSING_TOTAL",IF(ABS(AB1994)&lt;=0.01,"OK","CHECK"))</f>
        <v/>
      </c>
      <c r="AE1994">
        <f>IF(U1994="","MISSING",IF(AND(AA1994&gt;0,U1994/AA1994&gt;50),"POSSIBLE_SCALE_ERROR","OK"))</f>
        <v/>
      </c>
    </row>
    <row r="1995">
      <c r="A1995" t="inlineStr">
        <is>
          <t>T-2023-P2-0024</t>
        </is>
      </c>
      <c r="B1995" t="inlineStr">
        <is>
          <t>SLE</t>
        </is>
      </c>
      <c r="C1995" t="inlineStr">
        <is>
          <t>Assistant Deputy Minister, Science and Technology Branch</t>
        </is>
      </c>
      <c r="D1995" t="inlineStr">
        <is>
          <t>Sous-ministre adjoint, Direction générale des sciences et de la technologie</t>
        </is>
      </c>
      <c r="E1995" t="inlineStr">
        <is>
          <t>Gilles Saindon</t>
        </is>
      </c>
      <c r="F1995" t="inlineStr">
        <is>
          <t>Accompany the Minister to attend the Minister’s Agriculture Innovation Mission for Climate conference and meet with stakeholders and US counterparts including Secretary Vilalobos and Ambassador Hillman</t>
        </is>
      </c>
      <c r="G1995" t="inlineStr">
        <is>
          <t>Accompagner la ministre pour assister à la conférence de la mission d'innovation agricole pour le climat du ministre et rencontrer les parties prenantes et les homologues américains, notamment le secrétaire Vilalobos et l'ambassadeur Hillman.</t>
        </is>
      </c>
      <c r="H1995" s="1" t="n">
        <v>45053</v>
      </c>
      <c r="I1995" s="1" t="n">
        <v>45056</v>
      </c>
      <c r="J1995" t="inlineStr">
        <is>
          <t>Washington (District of Columbia) United States</t>
        </is>
      </c>
      <c r="K1995" t="inlineStr">
        <is>
          <t>Washington (District de Columbia) États-Unis</t>
        </is>
      </c>
      <c r="P1995" t="n">
        <v>1479.73</v>
      </c>
      <c r="Q1995" t="n">
        <v>228.51</v>
      </c>
      <c r="R1995" t="n">
        <v>1716.79</v>
      </c>
      <c r="S1995" t="n">
        <v>365.19</v>
      </c>
      <c r="T1995" t="n">
        <v>0</v>
      </c>
      <c r="U1995" t="n">
        <v>3790.22</v>
      </c>
      <c r="X1995" t="inlineStr">
        <is>
          <t>aafc-aac</t>
        </is>
      </c>
      <c r="Y1995" t="inlineStr">
        <is>
          <t>Agriculture and Agri-Food Canada | Agriculture et Agroalimentaire Canada</t>
        </is>
      </c>
      <c r="Z1995" t="n">
        <v>4</v>
      </c>
      <c r="AA1995" t="n">
        <v>3790.22</v>
      </c>
      <c r="AB1995">
        <f>ROUND(U1995-AA1995,2)</f>
        <v/>
      </c>
      <c r="AC1995" t="b">
        <v>0</v>
      </c>
      <c r="AD1995">
        <f>IF(U1995="","MISSING_TOTAL",IF(ABS(AB1995)&lt;=0.01,"OK","CHECK"))</f>
        <v/>
      </c>
      <c r="AE1995">
        <f>IF(U1995="","MISSING",IF(AND(AA1995&gt;0,U1995/AA1995&gt;50),"POSSIBLE_SCALE_ERROR","OK"))</f>
        <v/>
      </c>
    </row>
    <row r="1996">
      <c r="A1996" t="inlineStr">
        <is>
          <t>T-2023-P2-0025</t>
        </is>
      </c>
      <c r="B1996" t="inlineStr">
        <is>
          <t>SLE</t>
        </is>
      </c>
      <c r="C1996" t="inlineStr">
        <is>
          <t>Assistant Deputy Minister, International Affairs Branch</t>
        </is>
      </c>
      <c r="D1996" t="inlineStr">
        <is>
          <t>Sous-ministre adjointe, Direction générale des affaires internationales</t>
        </is>
      </c>
      <c r="E1996" t="inlineStr">
        <is>
          <t>Kathleen Donohue</t>
        </is>
      </c>
      <c r="F1996" t="inlineStr">
        <is>
          <t>Attend the SIAL conference</t>
        </is>
      </c>
      <c r="G1996" t="inlineStr">
        <is>
          <t>Participer à la conférence SIAL</t>
        </is>
      </c>
      <c r="H1996" s="1" t="n">
        <v>45055</v>
      </c>
      <c r="I1996" s="1" t="n">
        <v>45055</v>
      </c>
      <c r="J1996" t="inlineStr">
        <is>
          <t>Toronto (Ontario) Canada</t>
        </is>
      </c>
      <c r="K1996" t="inlineStr">
        <is>
          <t>Toronto (Ontario) Canada</t>
        </is>
      </c>
      <c r="P1996" t="n">
        <v>515.5599999999999</v>
      </c>
      <c r="Q1996" t="n">
        <v>87.12</v>
      </c>
      <c r="R1996" t="n">
        <v>0</v>
      </c>
      <c r="S1996" t="n">
        <v>47.5</v>
      </c>
      <c r="T1996" t="n">
        <v>0</v>
      </c>
      <c r="U1996" t="n">
        <v>650.1799999999999</v>
      </c>
      <c r="X1996" t="inlineStr">
        <is>
          <t>aafc-aac</t>
        </is>
      </c>
      <c r="Y1996" t="inlineStr">
        <is>
          <t>Agriculture and Agri-Food Canada | Agriculture et Agroalimentaire Canada</t>
        </is>
      </c>
      <c r="Z1996" t="n">
        <v>1</v>
      </c>
      <c r="AA1996" t="n">
        <v>650.1799999999999</v>
      </c>
      <c r="AB1996">
        <f>ROUND(U1996-AA1996,2)</f>
        <v/>
      </c>
      <c r="AC1996" t="b">
        <v>0</v>
      </c>
      <c r="AD1996">
        <f>IF(U1996="","MISSING_TOTAL",IF(ABS(AB1996)&lt;=0.01,"OK","CHECK"))</f>
        <v/>
      </c>
      <c r="AE1996">
        <f>IF(U1996="","MISSING",IF(AND(AA1996&gt;0,U1996/AA1996&gt;50),"POSSIBLE_SCALE_ERROR","OK"))</f>
        <v/>
      </c>
    </row>
    <row r="1997">
      <c r="A1997" t="inlineStr">
        <is>
          <t>T-2023-P2-0026</t>
        </is>
      </c>
      <c r="B1997" t="inlineStr">
        <is>
          <t>SLE</t>
        </is>
      </c>
      <c r="C1997" t="inlineStr">
        <is>
          <t>Assistant Deputy Minister, Corporate Management Branch</t>
        </is>
      </c>
      <c r="D1997" t="inlineStr">
        <is>
          <t>Sous-ministre adjointe, Direction générale de la gestion intégrée</t>
        </is>
      </c>
      <c r="E1997" t="inlineStr">
        <is>
          <t>Marie-Claude Guérard</t>
        </is>
      </c>
      <c r="F1997" t="inlineStr">
        <is>
          <t>Attend in-person meetings</t>
        </is>
      </c>
      <c r="G1997" t="inlineStr">
        <is>
          <t>Participer à des rencontres en personne</t>
        </is>
      </c>
      <c r="H1997" s="1" t="n">
        <v>45047</v>
      </c>
      <c r="I1997" s="1" t="n">
        <v>45049</v>
      </c>
      <c r="J1997" t="inlineStr">
        <is>
          <t>Ottawa (Ontario) Canada</t>
        </is>
      </c>
      <c r="K1997" t="inlineStr">
        <is>
          <t>Ottawa (Ontario) Canada</t>
        </is>
      </c>
      <c r="P1997" t="n">
        <v>0</v>
      </c>
      <c r="Q1997" t="n">
        <v>418.47</v>
      </c>
      <c r="R1997" t="n">
        <v>528.84</v>
      </c>
      <c r="S1997" t="n">
        <v>205.5</v>
      </c>
      <c r="T1997" t="n">
        <v>0</v>
      </c>
      <c r="U1997" t="n">
        <v>1152.81</v>
      </c>
      <c r="X1997" t="inlineStr">
        <is>
          <t>aafc-aac</t>
        </is>
      </c>
      <c r="Y1997" t="inlineStr">
        <is>
          <t>Agriculture and Agri-Food Canada | Agriculture et Agroalimentaire Canada</t>
        </is>
      </c>
      <c r="Z1997" t="n">
        <v>3</v>
      </c>
      <c r="AA1997" t="n">
        <v>1152.81</v>
      </c>
      <c r="AB1997">
        <f>ROUND(U1997-AA1997,2)</f>
        <v/>
      </c>
      <c r="AC1997" t="b">
        <v>0</v>
      </c>
      <c r="AD1997">
        <f>IF(U1997="","MISSING_TOTAL",IF(ABS(AB1997)&lt;=0.01,"OK","CHECK"))</f>
        <v/>
      </c>
      <c r="AE1997">
        <f>IF(U1997="","MISSING",IF(AND(AA1997&gt;0,U1997/AA1997&gt;50),"POSSIBLE_SCALE_ERROR","OK"))</f>
        <v/>
      </c>
    </row>
    <row r="1998">
      <c r="A1998" t="inlineStr">
        <is>
          <t>T-2023-P2-0027</t>
        </is>
      </c>
      <c r="B1998" t="inlineStr">
        <is>
          <t>SLE</t>
        </is>
      </c>
      <c r="C1998" t="inlineStr">
        <is>
          <t>Assistant Deputy Minister, Corporate Management Branch</t>
        </is>
      </c>
      <c r="D1998" t="inlineStr">
        <is>
          <t>Sous-ministre adjointe, Direction générale de la gestion intégrée</t>
        </is>
      </c>
      <c r="E1998" t="inlineStr">
        <is>
          <t>Marie-Claude Guérard</t>
        </is>
      </c>
      <c r="F1998" t="inlineStr">
        <is>
          <t>Attend in-person meetings</t>
        </is>
      </c>
      <c r="G1998" t="inlineStr">
        <is>
          <t>Participer à des rencontre en-personne</t>
        </is>
      </c>
      <c r="H1998" s="1" t="n">
        <v>45061</v>
      </c>
      <c r="I1998" s="1" t="n">
        <v>45064</v>
      </c>
      <c r="J1998" t="inlineStr">
        <is>
          <t>Ottawa (Ontario) Canada</t>
        </is>
      </c>
      <c r="K1998" t="inlineStr">
        <is>
          <t>Ottawa (Ontario) Canada</t>
        </is>
      </c>
      <c r="P1998" t="n">
        <v>0</v>
      </c>
      <c r="Q1998" t="n">
        <v>508.54</v>
      </c>
      <c r="R1998" t="n">
        <v>631.08</v>
      </c>
      <c r="S1998" t="n">
        <v>387.5</v>
      </c>
      <c r="T1998" t="n">
        <v>0</v>
      </c>
      <c r="U1998" t="n">
        <v>1527.12</v>
      </c>
      <c r="X1998" t="inlineStr">
        <is>
          <t>aafc-aac</t>
        </is>
      </c>
      <c r="Y1998" t="inlineStr">
        <is>
          <t>Agriculture and Agri-Food Canada | Agriculture et Agroalimentaire Canada</t>
        </is>
      </c>
      <c r="Z1998" t="n">
        <v>4</v>
      </c>
      <c r="AA1998" t="n">
        <v>1527.12</v>
      </c>
      <c r="AB1998">
        <f>ROUND(U1998-AA1998,2)</f>
        <v/>
      </c>
      <c r="AC1998" t="b">
        <v>0</v>
      </c>
      <c r="AD1998">
        <f>IF(U1998="","MISSING_TOTAL",IF(ABS(AB1998)&lt;=0.01,"OK","CHECK"))</f>
        <v/>
      </c>
      <c r="AE1998">
        <f>IF(U1998="","MISSING",IF(AND(AA1998&gt;0,U1998/AA1998&gt;50),"POSSIBLE_SCALE_ERROR","OK"))</f>
        <v/>
      </c>
    </row>
    <row r="1999">
      <c r="A1999" t="inlineStr">
        <is>
          <t>T-2023-P2-0028</t>
        </is>
      </c>
      <c r="B1999" t="inlineStr">
        <is>
          <t>SLE</t>
        </is>
      </c>
      <c r="C1999" t="inlineStr">
        <is>
          <t>Chief Information Officer, Information Systems Branch</t>
        </is>
      </c>
      <c r="D1999" t="inlineStr">
        <is>
          <t>Dirigeante principale de l'information, Direction générale des systèmes d'information</t>
        </is>
      </c>
      <c r="E1999" t="inlineStr">
        <is>
          <t>Vidya ShankarNarayan</t>
        </is>
      </c>
      <c r="F1999" t="inlineStr">
        <is>
          <t>Attend meetings</t>
        </is>
      </c>
      <c r="G1999" t="inlineStr">
        <is>
          <t>Participer à des réunions</t>
        </is>
      </c>
      <c r="H1999" s="1" t="n">
        <v>45031</v>
      </c>
      <c r="I1999" s="1" t="n">
        <v>45037</v>
      </c>
      <c r="J1999" t="inlineStr">
        <is>
          <t>Paris, France
Brussels, Belgium</t>
        </is>
      </c>
      <c r="K1999" t="inlineStr">
        <is>
          <t>Paris, France
Bruxelles, Belgique</t>
        </is>
      </c>
      <c r="P1999" t="n">
        <v>2295.28</v>
      </c>
      <c r="Q1999" t="n">
        <v>626.4299999999999</v>
      </c>
      <c r="R1999" t="n">
        <v>1637.86</v>
      </c>
      <c r="S1999" t="n">
        <v>1436.99</v>
      </c>
      <c r="T1999" t="n">
        <v>0</v>
      </c>
      <c r="U1999" t="n">
        <v>5996.56</v>
      </c>
      <c r="X1999" t="inlineStr">
        <is>
          <t>aafc-aac</t>
        </is>
      </c>
      <c r="Y1999" t="inlineStr">
        <is>
          <t>Agriculture and Agri-Food Canada | Agriculture et Agroalimentaire Canada</t>
        </is>
      </c>
      <c r="Z1999" t="n">
        <v>7</v>
      </c>
      <c r="AA1999" t="n">
        <v>5996.55999999999</v>
      </c>
      <c r="AB1999">
        <f>ROUND(U1999-AA1999,2)</f>
        <v/>
      </c>
      <c r="AC1999" t="b">
        <v>0</v>
      </c>
      <c r="AD1999">
        <f>IF(U1999="","MISSING_TOTAL",IF(ABS(AB1999)&lt;=0.01,"OK","CHECK"))</f>
        <v/>
      </c>
      <c r="AE1999">
        <f>IF(U1999="","MISSING",IF(AND(AA1999&gt;0,U1999/AA1999&gt;50),"POSSIBLE_SCALE_ERROR","OK"))</f>
        <v/>
      </c>
    </row>
    <row r="2000">
      <c r="A2000" t="inlineStr">
        <is>
          <t>T-2024-P3-0001</t>
        </is>
      </c>
      <c r="B2000" t="inlineStr">
        <is>
          <t>MPSES</t>
        </is>
      </c>
      <c r="C2000" t="inlineStr">
        <is>
          <t>Director of Policy</t>
        </is>
      </c>
      <c r="D2000" t="inlineStr">
        <is>
          <t>Directeur en politiques</t>
        </is>
      </c>
      <c r="E2000" t="inlineStr">
        <is>
          <t>Emerson Vanderberg</t>
        </is>
      </c>
      <c r="F2000" t="inlineStr">
        <is>
          <t>Support the Minister to attend a future international trip to India</t>
        </is>
      </c>
      <c r="G2000" t="inlineStr">
        <is>
          <t>Soutenir la ministre pour la participation à un voyage international future en Inde</t>
        </is>
      </c>
      <c r="H2000" s="1" t="n">
        <v>45070</v>
      </c>
      <c r="I2000" s="1" t="n">
        <v>45070</v>
      </c>
      <c r="J2000" t="inlineStr">
        <is>
          <t>Ottawa (Ontario) Canada</t>
        </is>
      </c>
      <c r="K2000" t="inlineStr">
        <is>
          <t>Ottawa (Ontario) Canada</t>
        </is>
      </c>
      <c r="P2000" t="n">
        <v>0</v>
      </c>
      <c r="Q2000" t="n">
        <v>0</v>
      </c>
      <c r="R2000" t="n">
        <v>0</v>
      </c>
      <c r="S2000" t="n">
        <v>0</v>
      </c>
      <c r="T2000" t="n">
        <v>22.59</v>
      </c>
      <c r="U2000" t="n">
        <v>22.59</v>
      </c>
      <c r="V2000" t="inlineStr">
        <is>
          <t>Passport Photo purchased for upcoming trip to India</t>
        </is>
      </c>
      <c r="W2000" t="inlineStr">
        <is>
          <t>Photo d'identité achetée pour le prochain voyage en Inde</t>
        </is>
      </c>
      <c r="X2000" t="inlineStr">
        <is>
          <t>aafc-aac</t>
        </is>
      </c>
      <c r="Y2000" t="inlineStr">
        <is>
          <t>Agriculture and Agri-Food Canada | Agriculture et Agroalimentaire Canada</t>
        </is>
      </c>
      <c r="Z2000" t="n">
        <v>1</v>
      </c>
      <c r="AA2000" t="n">
        <v>22.59</v>
      </c>
      <c r="AB2000">
        <f>ROUND(U2000-AA2000,2)</f>
        <v/>
      </c>
      <c r="AC2000" t="b">
        <v>0</v>
      </c>
      <c r="AD2000">
        <f>IF(U2000="","MISSING_TOTAL",IF(ABS(AB2000)&lt;=0.01,"OK","CHECK"))</f>
        <v/>
      </c>
      <c r="AE2000">
        <f>IF(U2000="","MISSING",IF(AND(AA2000&gt;0,U2000/AA2000&gt;50),"POSSIBLE_SCALE_ERROR","OK"))</f>
        <v/>
      </c>
    </row>
    <row r="2001">
      <c r="A2001" t="inlineStr">
        <is>
          <t>T-2024-P3-0002</t>
        </is>
      </c>
      <c r="B2001" t="inlineStr">
        <is>
          <t>MPSES</t>
        </is>
      </c>
      <c r="C2001" t="inlineStr">
        <is>
          <t>Director of Communications</t>
        </is>
      </c>
      <c r="D2001" t="inlineStr">
        <is>
          <t>Directrice des communications</t>
        </is>
      </c>
      <c r="E2001" t="inlineStr">
        <is>
          <t>Marianne Dandurand</t>
        </is>
      </c>
      <c r="F2001" t="inlineStr">
        <is>
          <t>To support the Minister for the CleanFarms visit and for the Pork Producers Annual General Meeting</t>
        </is>
      </c>
      <c r="G2001" t="inlineStr">
        <is>
          <t>Soutenir la ministre lors de la visite de CleanFarms et de l'assemblée générale annuelle des producteurs de porcs</t>
        </is>
      </c>
      <c r="H2001" s="1" t="n">
        <v>45084</v>
      </c>
      <c r="I2001" s="1" t="n">
        <v>45085</v>
      </c>
      <c r="J2001" t="inlineStr">
        <is>
          <t>Québec (Quebec) Canada</t>
        </is>
      </c>
      <c r="K2001" t="inlineStr">
        <is>
          <t>Québec (Québec) Canada</t>
        </is>
      </c>
      <c r="P2001" t="n">
        <v>0</v>
      </c>
      <c r="Q2001" t="n">
        <v>0</v>
      </c>
      <c r="R2001" t="n">
        <v>177.31</v>
      </c>
      <c r="S2001" t="n">
        <v>106.1</v>
      </c>
      <c r="T2001" t="n">
        <v>0</v>
      </c>
      <c r="U2001" t="n">
        <v>283.41</v>
      </c>
      <c r="X2001" t="inlineStr">
        <is>
          <t>aafc-aac</t>
        </is>
      </c>
      <c r="Y2001" t="inlineStr">
        <is>
          <t>Agriculture and Agri-Food Canada | Agriculture et Agroalimentaire Canada</t>
        </is>
      </c>
      <c r="Z2001" t="n">
        <v>2</v>
      </c>
      <c r="AA2001" t="n">
        <v>283.409999999999</v>
      </c>
      <c r="AB2001">
        <f>ROUND(U2001-AA2001,2)</f>
        <v/>
      </c>
      <c r="AC2001" t="b">
        <v>0</v>
      </c>
      <c r="AD2001">
        <f>IF(U2001="","MISSING_TOTAL",IF(ABS(AB2001)&lt;=0.01,"OK","CHECK"))</f>
        <v/>
      </c>
      <c r="AE2001">
        <f>IF(U2001="","MISSING",IF(AND(AA2001&gt;0,U2001/AA2001&gt;50),"POSSIBLE_SCALE_ERROR","OK"))</f>
        <v/>
      </c>
    </row>
    <row r="2002">
      <c r="A2002" t="inlineStr">
        <is>
          <t>T-2024-P3-0003</t>
        </is>
      </c>
      <c r="B2002" t="inlineStr">
        <is>
          <t>MPSES</t>
        </is>
      </c>
      <c r="C2002" t="inlineStr">
        <is>
          <t>Driver</t>
        </is>
      </c>
      <c r="D2002" t="inlineStr">
        <is>
          <t>Chauffeur</t>
        </is>
      </c>
      <c r="E2002" t="inlineStr">
        <is>
          <t>Michel Gendreau</t>
        </is>
      </c>
      <c r="F2002" t="inlineStr">
        <is>
          <t>Drive the Minister from her riding to Ottawa</t>
        </is>
      </c>
      <c r="G2002" t="inlineStr">
        <is>
          <t>Conduire la ministre de sa circonscription à Ottawa</t>
        </is>
      </c>
      <c r="H2002" s="1" t="n">
        <v>45074</v>
      </c>
      <c r="I2002" s="1" t="n">
        <v>45075</v>
      </c>
      <c r="J2002" t="inlineStr">
        <is>
          <t>Ottawa (Ontario) Canada
Sherbrooke (Quebec) Canada</t>
        </is>
      </c>
      <c r="K2002" t="inlineStr">
        <is>
          <t>Ottawa (Ontario) Canada
Sherbrooke (Québec) Canada</t>
        </is>
      </c>
      <c r="P2002" t="n">
        <v>0</v>
      </c>
      <c r="Q2002" t="n">
        <v>7</v>
      </c>
      <c r="R2002" t="n">
        <v>129.71</v>
      </c>
      <c r="S2002" t="n">
        <v>82.2</v>
      </c>
      <c r="T2002" t="n">
        <v>0</v>
      </c>
      <c r="U2002" t="n">
        <v>218.91</v>
      </c>
      <c r="X2002" t="inlineStr">
        <is>
          <t>aafc-aac</t>
        </is>
      </c>
      <c r="Y2002" t="inlineStr">
        <is>
          <t>Agriculture and Agri-Food Canada | Agriculture et Agroalimentaire Canada</t>
        </is>
      </c>
      <c r="Z2002" t="n">
        <v>2</v>
      </c>
      <c r="AA2002" t="n">
        <v>218.91</v>
      </c>
      <c r="AB2002">
        <f>ROUND(U2002-AA2002,2)</f>
        <v/>
      </c>
      <c r="AC2002" t="b">
        <v>0</v>
      </c>
      <c r="AD2002">
        <f>IF(U2002="","MISSING_TOTAL",IF(ABS(AB2002)&lt;=0.01,"OK","CHECK"))</f>
        <v/>
      </c>
      <c r="AE2002">
        <f>IF(U2002="","MISSING",IF(AND(AA2002&gt;0,U2002/AA2002&gt;50),"POSSIBLE_SCALE_ERROR","OK"))</f>
        <v/>
      </c>
    </row>
    <row r="2003">
      <c r="A2003" t="inlineStr">
        <is>
          <t>T-2024-P3-0004</t>
        </is>
      </c>
      <c r="B2003" t="inlineStr">
        <is>
          <t>MPSES</t>
        </is>
      </c>
      <c r="C2003" t="inlineStr">
        <is>
          <t>Driver</t>
        </is>
      </c>
      <c r="D2003" t="inlineStr">
        <is>
          <t>Chauffeur</t>
        </is>
      </c>
      <c r="E2003" t="inlineStr">
        <is>
          <t>Michel Gendreau</t>
        </is>
      </c>
      <c r="F2003" t="inlineStr">
        <is>
          <t>Drive the Minister to her riding from Ottawa</t>
        </is>
      </c>
      <c r="G2003" t="inlineStr">
        <is>
          <t>Conduire la ministre à sa circonscription d'Ottawa</t>
        </is>
      </c>
      <c r="H2003" s="1" t="n">
        <v>45079</v>
      </c>
      <c r="I2003" s="1" t="n">
        <v>45079</v>
      </c>
      <c r="J2003" t="inlineStr">
        <is>
          <t>Ottawa (Ontario) Canada
Sherbrooke (Quebec) Canada</t>
        </is>
      </c>
      <c r="K2003" t="inlineStr">
        <is>
          <t>Ottawa (Ontario) Canada
Sherbrooke (Québec) Canada</t>
        </is>
      </c>
      <c r="P2003" t="n">
        <v>0</v>
      </c>
      <c r="Q2003" t="n">
        <v>3.5</v>
      </c>
      <c r="R2003" t="n">
        <v>0</v>
      </c>
      <c r="S2003" t="n">
        <v>58.6</v>
      </c>
      <c r="T2003" t="n">
        <v>0</v>
      </c>
      <c r="U2003" t="n">
        <v>62.1</v>
      </c>
      <c r="X2003" t="inlineStr">
        <is>
          <t>aafc-aac</t>
        </is>
      </c>
      <c r="Y2003" t="inlineStr">
        <is>
          <t>Agriculture and Agri-Food Canada | Agriculture et Agroalimentaire Canada</t>
        </is>
      </c>
      <c r="Z2003" t="n">
        <v>1</v>
      </c>
      <c r="AA2003" t="n">
        <v>62.1</v>
      </c>
      <c r="AB2003">
        <f>ROUND(U2003-AA2003,2)</f>
        <v/>
      </c>
      <c r="AC2003" t="b">
        <v>0</v>
      </c>
      <c r="AD2003">
        <f>IF(U2003="","MISSING_TOTAL",IF(ABS(AB2003)&lt;=0.01,"OK","CHECK"))</f>
        <v/>
      </c>
      <c r="AE2003">
        <f>IF(U2003="","MISSING",IF(AND(AA2003&gt;0,U2003/AA2003&gt;50),"POSSIBLE_SCALE_ERROR","OK"))</f>
        <v/>
      </c>
    </row>
    <row r="2004">
      <c r="A2004" t="inlineStr">
        <is>
          <t>T-2024-P3-0005</t>
        </is>
      </c>
      <c r="B2004" t="inlineStr">
        <is>
          <t>MPSES</t>
        </is>
      </c>
      <c r="C2004" t="inlineStr">
        <is>
          <t>Driver</t>
        </is>
      </c>
      <c r="D2004" t="inlineStr">
        <is>
          <t>Chauffeur</t>
        </is>
      </c>
      <c r="E2004" t="inlineStr">
        <is>
          <t>Michel Gendreau</t>
        </is>
      </c>
      <c r="F2004" t="inlineStr">
        <is>
          <t>Drive the Minister from her riding to Ottawa</t>
        </is>
      </c>
      <c r="G2004" t="inlineStr">
        <is>
          <t>Conduire la ministre de sa circonscription à Ottawa</t>
        </is>
      </c>
      <c r="H2004" s="1" t="n">
        <v>45081</v>
      </c>
      <c r="I2004" s="1" t="n">
        <v>45082</v>
      </c>
      <c r="J2004" t="inlineStr">
        <is>
          <t>Ottawa (Ontario) Canada
Sherbrooke (Quebec) Canada</t>
        </is>
      </c>
      <c r="K2004" t="inlineStr">
        <is>
          <t>Ottawa (Ontario) Canada
Sherbrooke (Québec) Canada</t>
        </is>
      </c>
      <c r="P2004" t="n">
        <v>0</v>
      </c>
      <c r="Q2004" t="n">
        <v>7</v>
      </c>
      <c r="R2004" t="n">
        <v>129.71</v>
      </c>
      <c r="S2004" t="n">
        <v>82.2</v>
      </c>
      <c r="T2004" t="n">
        <v>0</v>
      </c>
      <c r="U2004" t="n">
        <v>218.91</v>
      </c>
      <c r="X2004" t="inlineStr">
        <is>
          <t>aafc-aac</t>
        </is>
      </c>
      <c r="Y2004" t="inlineStr">
        <is>
          <t>Agriculture and Agri-Food Canada | Agriculture et Agroalimentaire Canada</t>
        </is>
      </c>
      <c r="Z2004" t="n">
        <v>2</v>
      </c>
      <c r="AA2004" t="n">
        <v>218.91</v>
      </c>
      <c r="AB2004">
        <f>ROUND(U2004-AA2004,2)</f>
        <v/>
      </c>
      <c r="AC2004" t="b">
        <v>0</v>
      </c>
      <c r="AD2004">
        <f>IF(U2004="","MISSING_TOTAL",IF(ABS(AB2004)&lt;=0.01,"OK","CHECK"))</f>
        <v/>
      </c>
      <c r="AE2004">
        <f>IF(U2004="","MISSING",IF(AND(AA2004&gt;0,U2004/AA2004&gt;50),"POSSIBLE_SCALE_ERROR","OK"))</f>
        <v/>
      </c>
    </row>
    <row r="2005">
      <c r="A2005" t="inlineStr">
        <is>
          <t>T-2024-P3-0006</t>
        </is>
      </c>
      <c r="B2005" t="inlineStr">
        <is>
          <t>MPSES</t>
        </is>
      </c>
      <c r="C2005" t="inlineStr">
        <is>
          <t>Driver</t>
        </is>
      </c>
      <c r="D2005" t="inlineStr">
        <is>
          <t>Chauffeur</t>
        </is>
      </c>
      <c r="E2005" t="inlineStr">
        <is>
          <t>Michel Gendreau</t>
        </is>
      </c>
      <c r="F2005" t="inlineStr">
        <is>
          <t>Drive the Minister for the CleanFarms visit and for the Pork Producers Annual General Meeting</t>
        </is>
      </c>
      <c r="G2005" t="inlineStr">
        <is>
          <t>Conduire la ministre lors de la visite de CleanFarms et de l'assemblée générale annuelle des producteurs de porcs</t>
        </is>
      </c>
      <c r="H2005" s="1" t="n">
        <v>45084</v>
      </c>
      <c r="I2005" s="1" t="n">
        <v>45085</v>
      </c>
      <c r="J2005" t="inlineStr">
        <is>
          <t>Québec (Quebec) Canada</t>
        </is>
      </c>
      <c r="K2005" t="inlineStr">
        <is>
          <t>Québec (Québec) Canada</t>
        </is>
      </c>
      <c r="P2005" t="n">
        <v>0</v>
      </c>
      <c r="Q2005" t="n">
        <v>3.5</v>
      </c>
      <c r="R2005" t="n">
        <v>177.31</v>
      </c>
      <c r="S2005" t="n">
        <v>164.7</v>
      </c>
      <c r="T2005" t="n">
        <v>0</v>
      </c>
      <c r="U2005" t="n">
        <v>345.51</v>
      </c>
      <c r="X2005" t="inlineStr">
        <is>
          <t>aafc-aac</t>
        </is>
      </c>
      <c r="Y2005" t="inlineStr">
        <is>
          <t>Agriculture and Agri-Food Canada | Agriculture et Agroalimentaire Canada</t>
        </is>
      </c>
      <c r="Z2005" t="n">
        <v>2</v>
      </c>
      <c r="AA2005" t="n">
        <v>345.51</v>
      </c>
      <c r="AB2005">
        <f>ROUND(U2005-AA2005,2)</f>
        <v/>
      </c>
      <c r="AC2005" t="b">
        <v>0</v>
      </c>
      <c r="AD2005">
        <f>IF(U2005="","MISSING_TOTAL",IF(ABS(AB2005)&lt;=0.01,"OK","CHECK"))</f>
        <v/>
      </c>
      <c r="AE2005">
        <f>IF(U2005="","MISSING",IF(AND(AA2005&gt;0,U2005/AA2005&gt;50),"POSSIBLE_SCALE_ERROR","OK"))</f>
        <v/>
      </c>
    </row>
    <row r="2006">
      <c r="A2006" t="inlineStr">
        <is>
          <t>T-2024-P3-0007</t>
        </is>
      </c>
      <c r="B2006" t="inlineStr">
        <is>
          <t>MPSES</t>
        </is>
      </c>
      <c r="C2006" t="inlineStr">
        <is>
          <t>Driver</t>
        </is>
      </c>
      <c r="D2006" t="inlineStr">
        <is>
          <t>Chauffeur</t>
        </is>
      </c>
      <c r="E2006" t="inlineStr">
        <is>
          <t>Michel Gendreau</t>
        </is>
      </c>
      <c r="F2006" t="inlineStr">
        <is>
          <t>Drive the Minister to Montreal for her flight</t>
        </is>
      </c>
      <c r="G2006" t="inlineStr">
        <is>
          <t>Conduire la ministre à Montréal pour son vol</t>
        </is>
      </c>
      <c r="H2006" s="1" t="n">
        <v>45089</v>
      </c>
      <c r="I2006" s="1" t="n">
        <v>45089</v>
      </c>
      <c r="J2006" t="inlineStr">
        <is>
          <t>Montréal (Quebec) Canada</t>
        </is>
      </c>
      <c r="K2006" t="inlineStr">
        <is>
          <t>Montréal (Québec) Canada</t>
        </is>
      </c>
      <c r="P2006" t="n">
        <v>0</v>
      </c>
      <c r="Q2006" t="n">
        <v>3.5</v>
      </c>
      <c r="R2006" t="n">
        <v>0</v>
      </c>
      <c r="S2006" t="n">
        <v>58.6</v>
      </c>
      <c r="T2006" t="n">
        <v>0</v>
      </c>
      <c r="U2006" t="n">
        <v>62.1</v>
      </c>
      <c r="X2006" t="inlineStr">
        <is>
          <t>aafc-aac</t>
        </is>
      </c>
      <c r="Y2006" t="inlineStr">
        <is>
          <t>Agriculture and Agri-Food Canada | Agriculture et Agroalimentaire Canada</t>
        </is>
      </c>
      <c r="Z2006" t="n">
        <v>1</v>
      </c>
      <c r="AA2006" t="n">
        <v>62.1</v>
      </c>
      <c r="AB2006">
        <f>ROUND(U2006-AA2006,2)</f>
        <v/>
      </c>
      <c r="AC2006" t="b">
        <v>0</v>
      </c>
      <c r="AD2006">
        <f>IF(U2006="","MISSING_TOTAL",IF(ABS(AB2006)&lt;=0.01,"OK","CHECK"))</f>
        <v/>
      </c>
      <c r="AE2006">
        <f>IF(U2006="","MISSING",IF(AND(AA2006&gt;0,U2006/AA2006&gt;50),"POSSIBLE_SCALE_ERROR","OK"))</f>
        <v/>
      </c>
    </row>
    <row r="2007">
      <c r="A2007" t="inlineStr">
        <is>
          <t>T-2024-P3-0008</t>
        </is>
      </c>
      <c r="B2007" t="inlineStr">
        <is>
          <t>MPSES</t>
        </is>
      </c>
      <c r="C2007" t="inlineStr">
        <is>
          <t>Policy Advisor</t>
        </is>
      </c>
      <c r="D2007" t="inlineStr">
        <is>
          <t>Conseillère en politiques</t>
        </is>
      </c>
      <c r="E2007" t="inlineStr">
        <is>
          <t>Christine Harvey</t>
        </is>
      </c>
      <c r="F2007" t="inlineStr">
        <is>
          <t>Support the Minister for the CleanFarms visit and for the Pork Producers Annual General Meeting</t>
        </is>
      </c>
      <c r="G2007" t="inlineStr">
        <is>
          <t>Soutenir la ministre lors de la visite de CleanFarms et de l'assemblée générale annuelle des producteurs de porcs</t>
        </is>
      </c>
      <c r="H2007" s="1" t="n">
        <v>45084</v>
      </c>
      <c r="I2007" s="1" t="n">
        <v>45086</v>
      </c>
      <c r="J2007" t="inlineStr">
        <is>
          <t>Québec (Quebec) Canada</t>
        </is>
      </c>
      <c r="K2007" t="inlineStr">
        <is>
          <t>Québec (Québec) Canada</t>
        </is>
      </c>
      <c r="P2007" t="n">
        <v>0</v>
      </c>
      <c r="Q2007" t="n">
        <v>274.59</v>
      </c>
      <c r="R2007" t="n">
        <v>177.31</v>
      </c>
      <c r="S2007" t="n">
        <v>82.5</v>
      </c>
      <c r="T2007" t="n">
        <v>0</v>
      </c>
      <c r="U2007" t="n">
        <v>534.4</v>
      </c>
      <c r="X2007" t="inlineStr">
        <is>
          <t>aafc-aac</t>
        </is>
      </c>
      <c r="Y2007" t="inlineStr">
        <is>
          <t>Agriculture and Agri-Food Canada | Agriculture et Agroalimentaire Canada</t>
        </is>
      </c>
      <c r="Z2007" t="n">
        <v>3</v>
      </c>
      <c r="AA2007" t="n">
        <v>534.4</v>
      </c>
      <c r="AB2007">
        <f>ROUND(U2007-AA2007,2)</f>
        <v/>
      </c>
      <c r="AC2007" t="b">
        <v>0</v>
      </c>
      <c r="AD2007">
        <f>IF(U2007="","MISSING_TOTAL",IF(ABS(AB2007)&lt;=0.01,"OK","CHECK"))</f>
        <v/>
      </c>
      <c r="AE2007">
        <f>IF(U2007="","MISSING",IF(AND(AA2007&gt;0,U2007/AA2007&gt;50),"POSSIBLE_SCALE_ERROR","OK"))</f>
        <v/>
      </c>
    </row>
    <row r="2008">
      <c r="A2008" t="inlineStr">
        <is>
          <t>T-2024-P3-0009</t>
        </is>
      </c>
      <c r="B2008" t="inlineStr">
        <is>
          <t>MPSES</t>
        </is>
      </c>
      <c r="C2008" t="inlineStr">
        <is>
          <t>Tours and Operations Manager</t>
        </is>
      </c>
      <c r="D2008" t="inlineStr">
        <is>
          <t>Gestionnaire, Visites et opérations</t>
        </is>
      </c>
      <c r="E2008" t="inlineStr">
        <is>
          <t>Olivia Scieur-Aparicio</t>
        </is>
      </c>
      <c r="F2008" t="inlineStr">
        <is>
          <t>Support the Minister to attend the strategy announcement for women entrepreneurs (farmers) and round-table discussion</t>
        </is>
      </c>
      <c r="G2008" t="inlineStr">
        <is>
          <t>Soutenir la ministre à participer à l'annonce de la stratégie pour les femmes entrepreneurs (agriculteurs) et à la table ronde.</t>
        </is>
      </c>
      <c r="H2008" s="1" t="n">
        <v>45069</v>
      </c>
      <c r="I2008" s="1" t="n">
        <v>45071</v>
      </c>
      <c r="J2008" t="inlineStr">
        <is>
          <t>Québec (Quebec) Canada</t>
        </is>
      </c>
      <c r="K2008" t="inlineStr">
        <is>
          <t>Québec (Québec) Canada</t>
        </is>
      </c>
      <c r="P2008" t="n">
        <v>0</v>
      </c>
      <c r="Q2008" t="n">
        <v>31.08</v>
      </c>
      <c r="R2008" t="n">
        <v>189.21</v>
      </c>
      <c r="S2008" t="n">
        <v>130</v>
      </c>
      <c r="T2008" t="n">
        <v>0</v>
      </c>
      <c r="U2008" t="n">
        <v>350.29</v>
      </c>
      <c r="X2008" t="inlineStr">
        <is>
          <t>aafc-aac</t>
        </is>
      </c>
      <c r="Y2008" t="inlineStr">
        <is>
          <t>Agriculture and Agri-Food Canada | Agriculture et Agroalimentaire Canada</t>
        </is>
      </c>
      <c r="Z2008" t="n">
        <v>3</v>
      </c>
      <c r="AA2008" t="n">
        <v>350.29</v>
      </c>
      <c r="AB2008">
        <f>ROUND(U2008-AA2008,2)</f>
        <v/>
      </c>
      <c r="AC2008" t="b">
        <v>0</v>
      </c>
      <c r="AD2008">
        <f>IF(U2008="","MISSING_TOTAL",IF(ABS(AB2008)&lt;=0.01,"OK","CHECK"))</f>
        <v/>
      </c>
      <c r="AE2008">
        <f>IF(U2008="","MISSING",IF(AND(AA2008&gt;0,U2008/AA2008&gt;50),"POSSIBLE_SCALE_ERROR","OK"))</f>
        <v/>
      </c>
    </row>
    <row r="2009">
      <c r="A2009" t="inlineStr">
        <is>
          <t>T-2024-P3-0010</t>
        </is>
      </c>
      <c r="B2009" t="inlineStr">
        <is>
          <t>SLE</t>
        </is>
      </c>
      <c r="C2009" t="inlineStr">
        <is>
          <t>Deputy Minister</t>
        </is>
      </c>
      <c r="D2009" t="inlineStr">
        <is>
          <t>Sous-ministre</t>
        </is>
      </c>
      <c r="E2009" t="inlineStr">
        <is>
          <t>Stefanie Beck</t>
        </is>
      </c>
      <c r="F2009" t="inlineStr">
        <is>
          <t>Co-host with Prairies Economic Development Canada for Deputies Engagement with Saskatoon: Opportunities for Inclusive and Sustainable Growth. To build deeper federal knowledge, awareness and relations with some key Saskatchewan stakeholders, rights holders, partners and industries.</t>
        </is>
      </c>
      <c r="G2009" t="inlineStr">
        <is>
          <t>Co-hôte, avec Développement économique des Prairies Canada, de l'événement "Deputies Engagement with Saskatoon" : Opportunités pour une croissance inclusive et durable. Approfondir les connaissances, la sensibilisation et les relations du gouvernement fédéral avec certains acteurs, détenteurs de droits, partenaires et industries clés de la Saskatchewan.</t>
        </is>
      </c>
      <c r="H2009" s="1" t="n">
        <v>45069</v>
      </c>
      <c r="I2009" s="1" t="n">
        <v>45071</v>
      </c>
      <c r="J2009" t="inlineStr">
        <is>
          <t>Saskatoon (Saskatchewan) Canada</t>
        </is>
      </c>
      <c r="K2009" t="inlineStr">
        <is>
          <t>Saskatoon (Saskatchewan) Canada</t>
        </is>
      </c>
      <c r="P2009" t="n">
        <v>54.24</v>
      </c>
      <c r="Q2009" t="n">
        <v>0</v>
      </c>
      <c r="R2009" t="n">
        <v>187.95</v>
      </c>
      <c r="S2009" t="n">
        <v>0</v>
      </c>
      <c r="T2009" t="n">
        <v>0</v>
      </c>
      <c r="U2009" t="n">
        <v>242.19</v>
      </c>
      <c r="V2009" t="inlineStr">
        <is>
          <t>Trip was cancelled due to positive Covid testing.</t>
        </is>
      </c>
      <c r="W2009" t="inlineStr">
        <is>
          <t>Le voyage a été annulé en raison d'un test Covid positif</t>
        </is>
      </c>
      <c r="X2009" t="inlineStr">
        <is>
          <t>aafc-aac</t>
        </is>
      </c>
      <c r="Y2009" t="inlineStr">
        <is>
          <t>Agriculture and Agri-Food Canada | Agriculture et Agroalimentaire Canada</t>
        </is>
      </c>
      <c r="Z2009" t="n">
        <v>3</v>
      </c>
      <c r="AA2009" t="n">
        <v>242.19</v>
      </c>
      <c r="AB2009">
        <f>ROUND(U2009-AA2009,2)</f>
        <v/>
      </c>
      <c r="AC2009" t="b">
        <v>0</v>
      </c>
      <c r="AD2009">
        <f>IF(U2009="","MISSING_TOTAL",IF(ABS(AB2009)&lt;=0.01,"OK","CHECK"))</f>
        <v/>
      </c>
      <c r="AE2009">
        <f>IF(U2009="","MISSING",IF(AND(AA2009&gt;0,U2009/AA2009&gt;50),"POSSIBLE_SCALE_ERROR","OK"))</f>
        <v/>
      </c>
    </row>
    <row r="2010">
      <c r="A2010" t="inlineStr">
        <is>
          <t>T-2024-P3-0011</t>
        </is>
      </c>
      <c r="B2010" t="inlineStr">
        <is>
          <t>SLE</t>
        </is>
      </c>
      <c r="C2010" t="inlineStr">
        <is>
          <t>Deputy Minister</t>
        </is>
      </c>
      <c r="D2010" t="inlineStr">
        <is>
          <t>Sous-ministre</t>
        </is>
      </c>
      <c r="E2010" t="inlineStr">
        <is>
          <t>Stefanie Beck</t>
        </is>
      </c>
      <c r="F2010" t="inlineStr">
        <is>
          <t>Support the Minister at the Agriculture Ministers 49th G7 Summit</t>
        </is>
      </c>
      <c r="G2010" t="inlineStr">
        <is>
          <t>Soutenir la ministre lors du 49e sommet du G7 des ministres de l'agriculture</t>
        </is>
      </c>
      <c r="H2010" s="1" t="n">
        <v>45034</v>
      </c>
      <c r="I2010" s="1" t="n">
        <v>45042</v>
      </c>
      <c r="J2010" t="inlineStr">
        <is>
          <t>Tokyo, Japan
Miyazaki, Japan
Singapore</t>
        </is>
      </c>
      <c r="K2010" t="inlineStr">
        <is>
          <t>Tokyo, Japon
Miyazaki, Japon
Singapour</t>
        </is>
      </c>
      <c r="P2010" t="n">
        <v>23665.71</v>
      </c>
      <c r="Q2010" t="n">
        <v>0</v>
      </c>
      <c r="R2010" t="n">
        <v>2785.77</v>
      </c>
      <c r="S2010" t="n">
        <v>784.87</v>
      </c>
      <c r="T2010" t="n">
        <v>0</v>
      </c>
      <c r="U2010" t="n">
        <v>27236.35</v>
      </c>
      <c r="X2010" t="inlineStr">
        <is>
          <t>aafc-aac</t>
        </is>
      </c>
      <c r="Y2010" t="inlineStr">
        <is>
          <t>Agriculture and Agri-Food Canada | Agriculture et Agroalimentaire Canada</t>
        </is>
      </c>
      <c r="Z2010" t="n">
        <v>9</v>
      </c>
      <c r="AA2010" t="n">
        <v>27236.35</v>
      </c>
      <c r="AB2010">
        <f>ROUND(U2010-AA2010,2)</f>
        <v/>
      </c>
      <c r="AC2010" t="b">
        <v>0</v>
      </c>
      <c r="AD2010">
        <f>IF(U2010="","MISSING_TOTAL",IF(ABS(AB2010)&lt;=0.01,"OK","CHECK"))</f>
        <v/>
      </c>
      <c r="AE2010">
        <f>IF(U2010="","MISSING",IF(AND(AA2010&gt;0,U2010/AA2010&gt;50),"POSSIBLE_SCALE_ERROR","OK"))</f>
        <v/>
      </c>
    </row>
    <row r="2011">
      <c r="A2011" t="inlineStr">
        <is>
          <t>T-2024-P3-0012</t>
        </is>
      </c>
      <c r="B2011" t="inlineStr">
        <is>
          <t>SLE</t>
        </is>
      </c>
      <c r="C2011" t="inlineStr">
        <is>
          <t>Corporate Secretary</t>
        </is>
      </c>
      <c r="D2011" t="inlineStr">
        <is>
          <t>Secrétaire générale</t>
        </is>
      </c>
      <c r="E2011" t="inlineStr">
        <is>
          <t>Tamara Abel</t>
        </is>
      </c>
      <c r="F2011" t="inlineStr">
        <is>
          <t>Operational activities</t>
        </is>
      </c>
      <c r="G2011" t="inlineStr">
        <is>
          <t>Activités opérationnelles</t>
        </is>
      </c>
      <c r="H2011" s="1" t="n">
        <v>45082</v>
      </c>
      <c r="I2011" s="1" t="n">
        <v>45085</v>
      </c>
      <c r="J2011" t="inlineStr">
        <is>
          <t>Ottawa (Ontario) Canada</t>
        </is>
      </c>
      <c r="K2011" t="inlineStr">
        <is>
          <t>Ottawa (Ontario) Canada</t>
        </is>
      </c>
      <c r="P2011" t="n">
        <v>1075.64</v>
      </c>
      <c r="Q2011" t="n">
        <v>260.4</v>
      </c>
      <c r="R2011" t="n">
        <v>1054.14</v>
      </c>
      <c r="S2011" t="n">
        <v>446.1</v>
      </c>
      <c r="T2011" t="n">
        <v>0</v>
      </c>
      <c r="U2011" t="n">
        <v>2836.28</v>
      </c>
      <c r="X2011" t="inlineStr">
        <is>
          <t>aafc-aac</t>
        </is>
      </c>
      <c r="Y2011" t="inlineStr">
        <is>
          <t>Agriculture and Agri-Food Canada | Agriculture et Agroalimentaire Canada</t>
        </is>
      </c>
      <c r="Z2011" t="n">
        <v>4</v>
      </c>
      <c r="AA2011" t="n">
        <v>2836.28</v>
      </c>
      <c r="AB2011">
        <f>ROUND(U2011-AA2011,2)</f>
        <v/>
      </c>
      <c r="AC2011" t="b">
        <v>0</v>
      </c>
      <c r="AD2011">
        <f>IF(U2011="","MISSING_TOTAL",IF(ABS(AB2011)&lt;=0.01,"OK","CHECK"))</f>
        <v/>
      </c>
      <c r="AE2011">
        <f>IF(U2011="","MISSING",IF(AND(AA2011&gt;0,U2011/AA2011&gt;50),"POSSIBLE_SCALE_ERROR","OK"))</f>
        <v/>
      </c>
    </row>
    <row r="2012">
      <c r="A2012" t="inlineStr">
        <is>
          <t>T-2024-P3-0013</t>
        </is>
      </c>
      <c r="B2012" t="inlineStr">
        <is>
          <t>SLE</t>
        </is>
      </c>
      <c r="C2012" t="inlineStr">
        <is>
          <t>Corporate Secretary</t>
        </is>
      </c>
      <c r="D2012" t="inlineStr">
        <is>
          <t>Secrétaire générale</t>
        </is>
      </c>
      <c r="E2012" t="inlineStr">
        <is>
          <t>Tamara Abel</t>
        </is>
      </c>
      <c r="F2012" t="inlineStr">
        <is>
          <t>Operational activities</t>
        </is>
      </c>
      <c r="G2012" t="inlineStr">
        <is>
          <t>Activités opérationnelles</t>
        </is>
      </c>
      <c r="H2012" s="1" t="n">
        <v>45092</v>
      </c>
      <c r="I2012" s="1" t="n">
        <v>45096</v>
      </c>
      <c r="J2012" t="inlineStr">
        <is>
          <t>Ottawa (Ontario) Canada</t>
        </is>
      </c>
      <c r="K2012" t="inlineStr">
        <is>
          <t>Ottawa (Ontario) Canada</t>
        </is>
      </c>
      <c r="P2012" t="n">
        <v>1448.65</v>
      </c>
      <c r="Q2012" t="n">
        <v>371.73</v>
      </c>
      <c r="R2012" t="n">
        <v>1358.52</v>
      </c>
      <c r="S2012" t="n">
        <v>593.4</v>
      </c>
      <c r="T2012" t="n">
        <v>0</v>
      </c>
      <c r="U2012" t="n">
        <v>3772.3</v>
      </c>
      <c r="X2012" t="inlineStr">
        <is>
          <t>aafc-aac</t>
        </is>
      </c>
      <c r="Y2012" t="inlineStr">
        <is>
          <t>Agriculture and Agri-Food Canada | Agriculture et Agroalimentaire Canada</t>
        </is>
      </c>
      <c r="Z2012" t="n">
        <v>5</v>
      </c>
      <c r="AA2012" t="n">
        <v>3772.3</v>
      </c>
      <c r="AB2012">
        <f>ROUND(U2012-AA2012,2)</f>
        <v/>
      </c>
      <c r="AC2012" t="b">
        <v>0</v>
      </c>
      <c r="AD2012">
        <f>IF(U2012="","MISSING_TOTAL",IF(ABS(AB2012)&lt;=0.01,"OK","CHECK"))</f>
        <v/>
      </c>
      <c r="AE2012">
        <f>IF(U2012="","MISSING",IF(AND(AA2012&gt;0,U2012/AA2012&gt;50),"POSSIBLE_SCALE_ERROR","OK"))</f>
        <v/>
      </c>
    </row>
    <row r="2013">
      <c r="A2013" t="inlineStr">
        <is>
          <t>T-2024-P3-0014</t>
        </is>
      </c>
      <c r="B2013" t="inlineStr">
        <is>
          <t>SLE</t>
        </is>
      </c>
      <c r="C2013" t="inlineStr">
        <is>
          <t>Workplace Well-Being Ombudsperson</t>
        </is>
      </c>
      <c r="D2013" t="inlineStr">
        <is>
          <t>Ombudsman du mieux-être en milieu de travail</t>
        </is>
      </c>
      <c r="E2013" t="inlineStr">
        <is>
          <t>Elianne Hall</t>
        </is>
      </c>
      <c r="F2013" t="inlineStr">
        <is>
          <t>Attend the APEX Leadership Summit 2023</t>
        </is>
      </c>
      <c r="G2013" t="inlineStr">
        <is>
          <t>Participer au Sommet des dirigeants de l'APEX 2023</t>
        </is>
      </c>
      <c r="H2013" s="1" t="n">
        <v>45076</v>
      </c>
      <c r="I2013" s="1" t="n">
        <v>45076</v>
      </c>
      <c r="J2013" t="inlineStr">
        <is>
          <t>Ottawa (Ontario) Canada</t>
        </is>
      </c>
      <c r="K2013" t="inlineStr">
        <is>
          <t>Ottawa (Ontario) Canada</t>
        </is>
      </c>
      <c r="P2013" t="n">
        <v>0</v>
      </c>
      <c r="Q2013" t="n">
        <v>20</v>
      </c>
      <c r="R2013" t="n">
        <v>0</v>
      </c>
      <c r="S2013" t="n">
        <v>0</v>
      </c>
      <c r="T2013" t="n">
        <v>0</v>
      </c>
      <c r="U2013" t="n">
        <v>20</v>
      </c>
      <c r="X2013" t="inlineStr">
        <is>
          <t>aafc-aac</t>
        </is>
      </c>
      <c r="Y2013" t="inlineStr">
        <is>
          <t>Agriculture and Agri-Food Canada | Agriculture et Agroalimentaire Canada</t>
        </is>
      </c>
      <c r="Z2013" t="n">
        <v>1</v>
      </c>
      <c r="AA2013" t="n">
        <v>20</v>
      </c>
      <c r="AB2013">
        <f>ROUND(U2013-AA2013,2)</f>
        <v/>
      </c>
      <c r="AC2013" t="b">
        <v>0</v>
      </c>
      <c r="AD2013">
        <f>IF(U2013="","MISSING_TOTAL",IF(ABS(AB2013)&lt;=0.01,"OK","CHECK"))</f>
        <v/>
      </c>
      <c r="AE2013">
        <f>IF(U2013="","MISSING",IF(AND(AA2013&gt;0,U2013/AA2013&gt;50),"POSSIBLE_SCALE_ERROR","OK"))</f>
        <v/>
      </c>
    </row>
    <row r="2014">
      <c r="A2014" t="inlineStr">
        <is>
          <t>T-2024-P3-0015</t>
        </is>
      </c>
      <c r="B2014" t="inlineStr">
        <is>
          <t>SLE</t>
        </is>
      </c>
      <c r="C2014" t="inlineStr">
        <is>
          <t>Assistant Deputy Minister, Science and Technology Branch</t>
        </is>
      </c>
      <c r="D2014" t="inlineStr">
        <is>
          <t>Sous-ministre adjoint, Direction générale des sciences et de la technologie</t>
        </is>
      </c>
      <c r="E2014" t="inlineStr">
        <is>
          <t>Gilles Saindon</t>
        </is>
      </c>
      <c r="F2014" t="inlineStr">
        <is>
          <t>Attend the 2023 European Union AgriResearch Conference</t>
        </is>
      </c>
      <c r="G2014" t="inlineStr">
        <is>
          <t>Participer à la conférence Européenne Union AgriResearch 2023</t>
        </is>
      </c>
      <c r="H2014" s="1" t="n">
        <v>45075</v>
      </c>
      <c r="I2014" s="1" t="n">
        <v>45079</v>
      </c>
      <c r="J2014" t="inlineStr">
        <is>
          <t>Brussels (Belgium)</t>
        </is>
      </c>
      <c r="K2014" t="inlineStr">
        <is>
          <t>Bruxelles (Belgique)</t>
        </is>
      </c>
      <c r="P2014" t="n">
        <v>3667.55</v>
      </c>
      <c r="Q2014" t="n">
        <v>329.53</v>
      </c>
      <c r="R2014" t="n">
        <v>1012.8</v>
      </c>
      <c r="S2014" t="n">
        <v>392.19</v>
      </c>
      <c r="T2014" t="n">
        <v>20.61</v>
      </c>
      <c r="U2014" t="n">
        <v>5422.68</v>
      </c>
      <c r="X2014" t="inlineStr">
        <is>
          <t>aafc-aac</t>
        </is>
      </c>
      <c r="Y2014" t="inlineStr">
        <is>
          <t>Agriculture and Agri-Food Canada | Agriculture et Agroalimentaire Canada</t>
        </is>
      </c>
      <c r="Z2014" t="n">
        <v>5</v>
      </c>
      <c r="AA2014" t="n">
        <v>5422.67999999999</v>
      </c>
      <c r="AB2014">
        <f>ROUND(U2014-AA2014,2)</f>
        <v/>
      </c>
      <c r="AC2014" t="b">
        <v>0</v>
      </c>
      <c r="AD2014">
        <f>IF(U2014="","MISSING_TOTAL",IF(ABS(AB2014)&lt;=0.01,"OK","CHECK"))</f>
        <v/>
      </c>
      <c r="AE2014">
        <f>IF(U2014="","MISSING",IF(AND(AA2014&gt;0,U2014/AA2014&gt;50),"POSSIBLE_SCALE_ERROR","OK"))</f>
        <v/>
      </c>
    </row>
    <row r="2015">
      <c r="A2015" t="inlineStr">
        <is>
          <t>T-2024-P3-0016</t>
        </is>
      </c>
      <c r="B2015" t="inlineStr">
        <is>
          <t>SLE</t>
        </is>
      </c>
      <c r="C2015" t="inlineStr">
        <is>
          <t>Assistant Deputy Minister, Science and Technology Branch</t>
        </is>
      </c>
      <c r="D2015" t="inlineStr">
        <is>
          <t>Sous-ministre adjoint, Direction générale des sciences et de la technologie</t>
        </is>
      </c>
      <c r="E2015" t="inlineStr">
        <is>
          <t>Gilles Saindon</t>
        </is>
      </c>
      <c r="F2015" t="inlineStr">
        <is>
          <t>Host and attend the 2023 Tetrapartite meeting; attend Senior Management Meeting Face-to-Face</t>
        </is>
      </c>
      <c r="G2015" t="inlineStr">
        <is>
          <t>Accueillir et participer à la rencontre Tetrapartite 2023; participer à une réunion de la haute gestion en personne</t>
        </is>
      </c>
      <c r="H2015" s="1" t="n">
        <v>45081</v>
      </c>
      <c r="I2015" s="1" t="n">
        <v>45086</v>
      </c>
      <c r="J2015" t="inlineStr">
        <is>
          <t>Saskatoon (Saskatchewan) Canada</t>
        </is>
      </c>
      <c r="K2015" t="inlineStr">
        <is>
          <t>Saskatoon (Saskatchewan) Canada</t>
        </is>
      </c>
      <c r="P2015" t="n">
        <v>1240.45</v>
      </c>
      <c r="Q2015" t="n">
        <v>196</v>
      </c>
      <c r="R2015" t="n">
        <v>1003.35</v>
      </c>
      <c r="S2015" t="n">
        <v>410.7</v>
      </c>
      <c r="T2015" t="n">
        <v>0</v>
      </c>
      <c r="U2015" t="n">
        <v>2850.5</v>
      </c>
      <c r="X2015" t="inlineStr">
        <is>
          <t>aafc-aac</t>
        </is>
      </c>
      <c r="Y2015" t="inlineStr">
        <is>
          <t>Agriculture and Agri-Food Canada | Agriculture et Agroalimentaire Canada</t>
        </is>
      </c>
      <c r="Z2015" t="n">
        <v>6</v>
      </c>
      <c r="AA2015" t="n">
        <v>2850.5</v>
      </c>
      <c r="AB2015">
        <f>ROUND(U2015-AA2015,2)</f>
        <v/>
      </c>
      <c r="AC2015" t="b">
        <v>0</v>
      </c>
      <c r="AD2015">
        <f>IF(U2015="","MISSING_TOTAL",IF(ABS(AB2015)&lt;=0.01,"OK","CHECK"))</f>
        <v/>
      </c>
      <c r="AE2015">
        <f>IF(U2015="","MISSING",IF(AND(AA2015&gt;0,U2015/AA2015&gt;50),"POSSIBLE_SCALE_ERROR","OK"))</f>
        <v/>
      </c>
    </row>
    <row r="2016">
      <c r="A2016" t="inlineStr">
        <is>
          <t>T-2024-P3-0017</t>
        </is>
      </c>
      <c r="B2016" t="inlineStr">
        <is>
          <t>SLE</t>
        </is>
      </c>
      <c r="C2016" t="inlineStr">
        <is>
          <t>Assistant Deputy Minister, Science and Technology Branch</t>
        </is>
      </c>
      <c r="D2016" t="inlineStr">
        <is>
          <t>Sous-ministre adjoint, Direction générale des sciences et de la technologie</t>
        </is>
      </c>
      <c r="E2016" t="inlineStr">
        <is>
          <t>Gilles Saindon</t>
        </is>
      </c>
      <c r="F2016" t="inlineStr">
        <is>
          <t>Outreach to the London (Ontario) Research and Development Centre.  Meeting with Staff.</t>
        </is>
      </c>
      <c r="G2016" t="inlineStr">
        <is>
          <t>Rencontre de sensibilisation au Centre de recherche et de développement de London, Ontario.  Rencontre avec le personnel.</t>
        </is>
      </c>
      <c r="H2016" s="1" t="n">
        <v>45071</v>
      </c>
      <c r="I2016" s="1" t="n">
        <v>45073</v>
      </c>
      <c r="J2016" t="inlineStr">
        <is>
          <t>London (Ontario) Canada</t>
        </is>
      </c>
      <c r="K2016" t="inlineStr">
        <is>
          <t>London (Ontario) Canada</t>
        </is>
      </c>
      <c r="P2016" t="n">
        <v>1043.59</v>
      </c>
      <c r="Q2016" t="n">
        <v>142</v>
      </c>
      <c r="R2016" t="n">
        <v>392.52</v>
      </c>
      <c r="S2016" t="n">
        <v>240.2</v>
      </c>
      <c r="T2016" t="n">
        <v>0</v>
      </c>
      <c r="U2016" t="n">
        <v>1818.31</v>
      </c>
      <c r="X2016" t="inlineStr">
        <is>
          <t>aafc-aac</t>
        </is>
      </c>
      <c r="Y2016" t="inlineStr">
        <is>
          <t>Agriculture and Agri-Food Canada | Agriculture et Agroalimentaire Canada</t>
        </is>
      </c>
      <c r="Z2016" t="n">
        <v>3</v>
      </c>
      <c r="AA2016" t="n">
        <v>1818.31</v>
      </c>
      <c r="AB2016">
        <f>ROUND(U2016-AA2016,2)</f>
        <v/>
      </c>
      <c r="AC2016" t="b">
        <v>0</v>
      </c>
      <c r="AD2016">
        <f>IF(U2016="","MISSING_TOTAL",IF(ABS(AB2016)&lt;=0.01,"OK","CHECK"))</f>
        <v/>
      </c>
      <c r="AE2016">
        <f>IF(U2016="","MISSING",IF(AND(AA2016&gt;0,U2016/AA2016&gt;50),"POSSIBLE_SCALE_ERROR","OK"))</f>
        <v/>
      </c>
    </row>
    <row r="2017">
      <c r="A2017" t="inlineStr">
        <is>
          <t>T-2024-P3-0018</t>
        </is>
      </c>
      <c r="B2017" t="inlineStr">
        <is>
          <t>SLE</t>
        </is>
      </c>
      <c r="C2017" t="inlineStr">
        <is>
          <t>Assistant Deputy Minister, International Affairs Branch</t>
        </is>
      </c>
      <c r="D2017" t="inlineStr">
        <is>
          <t>Sous-ministre adjointe, Direction générale des affaires internationales</t>
        </is>
      </c>
      <c r="E2017" t="inlineStr">
        <is>
          <t>Kathleen Donohue</t>
        </is>
      </c>
      <c r="F2017" t="inlineStr">
        <is>
          <t>Meeting with the President in Washington, DC</t>
        </is>
      </c>
      <c r="G2017" t="inlineStr">
        <is>
          <t>Rencontre avec le président à Washington, DC</t>
        </is>
      </c>
      <c r="H2017" s="1" t="n">
        <v>45089</v>
      </c>
      <c r="I2017" s="1" t="n">
        <v>45090</v>
      </c>
      <c r="J2017" t="inlineStr">
        <is>
          <t>Washington (District of Columbia) United States</t>
        </is>
      </c>
      <c r="K2017" t="inlineStr">
        <is>
          <t>Washington (District de Columbia) États-Unis</t>
        </is>
      </c>
      <c r="P2017" t="n">
        <v>1092.17</v>
      </c>
      <c r="Q2017" t="n">
        <v>100.6</v>
      </c>
      <c r="R2017" t="n">
        <v>398.17</v>
      </c>
      <c r="S2017" t="n">
        <v>264.99</v>
      </c>
      <c r="T2017" t="n">
        <v>70.06</v>
      </c>
      <c r="U2017" t="n">
        <v>1925.99</v>
      </c>
      <c r="X2017" t="inlineStr">
        <is>
          <t>aafc-aac</t>
        </is>
      </c>
      <c r="Y2017" t="inlineStr">
        <is>
          <t>Agriculture and Agri-Food Canada | Agriculture et Agroalimentaire Canada</t>
        </is>
      </c>
      <c r="Z2017" t="n">
        <v>2</v>
      </c>
      <c r="AA2017" t="n">
        <v>1925.99</v>
      </c>
      <c r="AB2017">
        <f>ROUND(U2017-AA2017,2)</f>
        <v/>
      </c>
      <c r="AC2017" t="b">
        <v>0</v>
      </c>
      <c r="AD2017">
        <f>IF(U2017="","MISSING_TOTAL",IF(ABS(AB2017)&lt;=0.01,"OK","CHECK"))</f>
        <v/>
      </c>
      <c r="AE2017">
        <f>IF(U2017="","MISSING",IF(AND(AA2017&gt;0,U2017/AA2017&gt;50),"POSSIBLE_SCALE_ERROR","OK"))</f>
        <v/>
      </c>
    </row>
    <row r="2018">
      <c r="A2018" t="inlineStr">
        <is>
          <t>T-2024-P3-0019</t>
        </is>
      </c>
      <c r="B2018" t="inlineStr">
        <is>
          <t>SLE</t>
        </is>
      </c>
      <c r="C2018" t="inlineStr">
        <is>
          <t>Assistant Deputy Minister, International Affairs Branch</t>
        </is>
      </c>
      <c r="D2018" t="inlineStr">
        <is>
          <t>Sous-ministre adjointe, Direction générale des affaires internationales</t>
        </is>
      </c>
      <c r="E2018" t="inlineStr">
        <is>
          <t>Kathleen Donohue</t>
        </is>
      </c>
      <c r="F2018" t="inlineStr">
        <is>
          <t>Attend meetings downtown Ottawa with stakeholders and at the Agriculture and Food Museum</t>
        </is>
      </c>
      <c r="G2018" t="inlineStr">
        <is>
          <t>Participer aux rencontres au centre-ville d'Ottawa avec les parties prenantes et au Musée de l'agriculture et de l'alimentation</t>
        </is>
      </c>
      <c r="H2018" s="1" t="n">
        <v>45084</v>
      </c>
      <c r="I2018" s="1" t="n">
        <v>45084</v>
      </c>
      <c r="J2018" t="inlineStr">
        <is>
          <t>Ottawa (Ontario) Canada</t>
        </is>
      </c>
      <c r="K2018" t="inlineStr">
        <is>
          <t>Ottawa (Ontario) Canada</t>
        </is>
      </c>
      <c r="P2018" t="n">
        <v>0</v>
      </c>
      <c r="Q2018" t="n">
        <v>57.5</v>
      </c>
      <c r="R2018" t="n">
        <v>0</v>
      </c>
      <c r="S2018" t="n">
        <v>0</v>
      </c>
      <c r="T2018" t="n">
        <v>0</v>
      </c>
      <c r="U2018" t="n">
        <v>57.5</v>
      </c>
      <c r="X2018" t="inlineStr">
        <is>
          <t>aafc-aac</t>
        </is>
      </c>
      <c r="Y2018" t="inlineStr">
        <is>
          <t>Agriculture and Agri-Food Canada | Agriculture et Agroalimentaire Canada</t>
        </is>
      </c>
      <c r="Z2018" t="n">
        <v>1</v>
      </c>
      <c r="AA2018" t="n">
        <v>57.5</v>
      </c>
      <c r="AB2018">
        <f>ROUND(U2018-AA2018,2)</f>
        <v/>
      </c>
      <c r="AC2018" t="b">
        <v>0</v>
      </c>
      <c r="AD2018">
        <f>IF(U2018="","MISSING_TOTAL",IF(ABS(AB2018)&lt;=0.01,"OK","CHECK"))</f>
        <v/>
      </c>
      <c r="AE2018">
        <f>IF(U2018="","MISSING",IF(AND(AA2018&gt;0,U2018/AA2018&gt;50),"POSSIBLE_SCALE_ERROR","OK"))</f>
        <v/>
      </c>
    </row>
    <row r="2019">
      <c r="A2019" t="inlineStr">
        <is>
          <t>T-2024-P3-0020</t>
        </is>
      </c>
      <c r="B2019" t="inlineStr">
        <is>
          <t>SLE</t>
        </is>
      </c>
      <c r="C2019" t="inlineStr">
        <is>
          <t>Associate Assistant Deputy Minister, Science and Technology Branch</t>
        </is>
      </c>
      <c r="D2019" t="inlineStr">
        <is>
          <t>Sous-ministre adjoint délégué, Direction générale des sciences et de la technologie</t>
        </is>
      </c>
      <c r="E2019" t="inlineStr">
        <is>
          <t>Andrew Goldstein</t>
        </is>
      </c>
      <c r="F2019" t="inlineStr">
        <is>
          <t>Attend the 2023 Tetrapartite meeting; attend Senior Management Meeting Face-to-Face</t>
        </is>
      </c>
      <c r="G2019" t="inlineStr">
        <is>
          <t>Participer à la rencontre Tetrapartite 2023; participer à une réunion de la haute gestion en personne</t>
        </is>
      </c>
      <c r="H2019" s="1" t="n">
        <v>45083</v>
      </c>
      <c r="I2019" s="1" t="n">
        <v>45086</v>
      </c>
      <c r="J2019" t="inlineStr">
        <is>
          <t>Saskatoon (Saskatchewan) Canada</t>
        </is>
      </c>
      <c r="K2019" t="inlineStr">
        <is>
          <t>Saskatoon (Saskatchewan) Canada</t>
        </is>
      </c>
      <c r="P2019" t="n">
        <v>1116.01</v>
      </c>
      <c r="Q2019" t="n">
        <v>125.5</v>
      </c>
      <c r="R2019" t="n">
        <v>633.51</v>
      </c>
      <c r="S2019" t="n">
        <v>328.6</v>
      </c>
      <c r="T2019" t="n">
        <v>0</v>
      </c>
      <c r="U2019" t="n">
        <v>2203.62</v>
      </c>
      <c r="X2019" t="inlineStr">
        <is>
          <t>aafc-aac</t>
        </is>
      </c>
      <c r="Y2019" t="inlineStr">
        <is>
          <t>Agriculture and Agri-Food Canada | Agriculture et Agroalimentaire Canada</t>
        </is>
      </c>
      <c r="Z2019" t="n">
        <v>4</v>
      </c>
      <c r="AA2019" t="n">
        <v>2203.62</v>
      </c>
      <c r="AB2019">
        <f>ROUND(U2019-AA2019,2)</f>
        <v/>
      </c>
      <c r="AC2019" t="b">
        <v>0</v>
      </c>
      <c r="AD2019">
        <f>IF(U2019="","MISSING_TOTAL",IF(ABS(AB2019)&lt;=0.01,"OK","CHECK"))</f>
        <v/>
      </c>
      <c r="AE2019">
        <f>IF(U2019="","MISSING",IF(AND(AA2019&gt;0,U2019/AA2019&gt;50),"POSSIBLE_SCALE_ERROR","OK"))</f>
        <v/>
      </c>
    </row>
    <row r="2020">
      <c r="A2020" t="inlineStr">
        <is>
          <t>T-2024-P3-0021</t>
        </is>
      </c>
      <c r="B2020" t="inlineStr">
        <is>
          <t>SLE</t>
        </is>
      </c>
      <c r="C2020" t="inlineStr">
        <is>
          <t>Assistant Deputy Minister, Corporate Management Branch</t>
        </is>
      </c>
      <c r="D2020" t="inlineStr">
        <is>
          <t>Sous-ministre adjointe, Direction générale de la gestion intégrée</t>
        </is>
      </c>
      <c r="E2020" t="inlineStr">
        <is>
          <t>Marie-Claude Guérard</t>
        </is>
      </c>
      <c r="F2020" t="inlineStr">
        <is>
          <t>Attend in-person meetings in Ottawa</t>
        </is>
      </c>
      <c r="G2020" t="inlineStr">
        <is>
          <t>Participer aux rencontres en personne à Ottawa</t>
        </is>
      </c>
      <c r="H2020" s="1" t="n">
        <v>45079</v>
      </c>
      <c r="I2020" s="1" t="n">
        <v>45079</v>
      </c>
      <c r="J2020" t="inlineStr">
        <is>
          <t>Ottawa (Ontario) Canada</t>
        </is>
      </c>
      <c r="K2020" t="inlineStr">
        <is>
          <t>Ottawa (Ontario) Canada</t>
        </is>
      </c>
      <c r="P2020" t="n">
        <v>0</v>
      </c>
      <c r="Q2020" t="n">
        <v>258.42</v>
      </c>
      <c r="R2020" t="n">
        <v>0</v>
      </c>
      <c r="S2020" t="n">
        <v>106.1</v>
      </c>
      <c r="T2020" t="n">
        <v>0</v>
      </c>
      <c r="U2020" t="n">
        <v>364.52</v>
      </c>
      <c r="X2020" t="inlineStr">
        <is>
          <t>aafc-aac</t>
        </is>
      </c>
      <c r="Y2020" t="inlineStr">
        <is>
          <t>Agriculture and Agri-Food Canada | Agriculture et Agroalimentaire Canada</t>
        </is>
      </c>
      <c r="Z2020" t="n">
        <v>1</v>
      </c>
      <c r="AA2020" t="n">
        <v>364.52</v>
      </c>
      <c r="AB2020">
        <f>ROUND(U2020-AA2020,2)</f>
        <v/>
      </c>
      <c r="AC2020" t="b">
        <v>0</v>
      </c>
      <c r="AD2020">
        <f>IF(U2020="","MISSING_TOTAL",IF(ABS(AB2020)&lt;=0.01,"OK","CHECK"))</f>
        <v/>
      </c>
      <c r="AE2020">
        <f>IF(U2020="","MISSING",IF(AND(AA2020&gt;0,U2020/AA2020&gt;50),"POSSIBLE_SCALE_ERROR","OK"))</f>
        <v/>
      </c>
    </row>
    <row r="2021">
      <c r="A2021" t="inlineStr">
        <is>
          <t>T-2024-P3-0022</t>
        </is>
      </c>
      <c r="B2021" t="inlineStr">
        <is>
          <t>SLE</t>
        </is>
      </c>
      <c r="C2021" t="inlineStr">
        <is>
          <t>Assistant Deputy Minister, Corporate Management Branch</t>
        </is>
      </c>
      <c r="D2021" t="inlineStr">
        <is>
          <t>Sous-ministre adjointe, Direction générale de la gestion intégrée</t>
        </is>
      </c>
      <c r="E2021" t="inlineStr">
        <is>
          <t>Marie-Claude Guérard</t>
        </is>
      </c>
      <c r="F2021" t="inlineStr">
        <is>
          <t>Attend in-person meetings in Ottawa</t>
        </is>
      </c>
      <c r="G2021" t="inlineStr">
        <is>
          <t>Participer aux rencontres en personne à Ottawa</t>
        </is>
      </c>
      <c r="H2021" s="1" t="n">
        <v>45082</v>
      </c>
      <c r="I2021" s="1" t="n">
        <v>45082</v>
      </c>
      <c r="J2021" t="inlineStr">
        <is>
          <t>Ottawa (Ontario) Canada</t>
        </is>
      </c>
      <c r="K2021" t="inlineStr">
        <is>
          <t>Ottawa (Ontario) Canada</t>
        </is>
      </c>
      <c r="P2021" t="n">
        <v>0</v>
      </c>
      <c r="Q2021" t="n">
        <v>258.42</v>
      </c>
      <c r="R2021" t="n">
        <v>0</v>
      </c>
      <c r="S2021" t="n">
        <v>47.5</v>
      </c>
      <c r="T2021" t="n">
        <v>0</v>
      </c>
      <c r="U2021" t="n">
        <v>305.92</v>
      </c>
      <c r="X2021" t="inlineStr">
        <is>
          <t>aafc-aac</t>
        </is>
      </c>
      <c r="Y2021" t="inlineStr">
        <is>
          <t>Agriculture and Agri-Food Canada | Agriculture et Agroalimentaire Canada</t>
        </is>
      </c>
      <c r="Z2021" t="n">
        <v>1</v>
      </c>
      <c r="AA2021" t="n">
        <v>305.92</v>
      </c>
      <c r="AB2021">
        <f>ROUND(U2021-AA2021,2)</f>
        <v/>
      </c>
      <c r="AC2021" t="b">
        <v>0</v>
      </c>
      <c r="AD2021">
        <f>IF(U2021="","MISSING_TOTAL",IF(ABS(AB2021)&lt;=0.01,"OK","CHECK"))</f>
        <v/>
      </c>
      <c r="AE2021">
        <f>IF(U2021="","MISSING",IF(AND(AA2021&gt;0,U2021/AA2021&gt;50),"POSSIBLE_SCALE_ERROR","OK"))</f>
        <v/>
      </c>
    </row>
    <row r="2022">
      <c r="A2022" t="inlineStr">
        <is>
          <t>T-2024-P3-0023</t>
        </is>
      </c>
      <c r="B2022" t="inlineStr">
        <is>
          <t>SLE</t>
        </is>
      </c>
      <c r="C2022" t="inlineStr">
        <is>
          <t>Assistant Deputy Minister, Corporate Management Branch</t>
        </is>
      </c>
      <c r="D2022" t="inlineStr">
        <is>
          <t>Sous-ministre adjointe, Direction générale de la gestion intégrée</t>
        </is>
      </c>
      <c r="E2022" t="inlineStr">
        <is>
          <t>Marie-Claude Guérard</t>
        </is>
      </c>
      <c r="F2022" t="inlineStr">
        <is>
          <t>Attend in-person meetings in Ottawa</t>
        </is>
      </c>
      <c r="G2022" t="inlineStr">
        <is>
          <t>Participer aux rencontres en personne à Ottawa</t>
        </is>
      </c>
      <c r="H2022" s="1" t="n">
        <v>45091</v>
      </c>
      <c r="I2022" s="1" t="n">
        <v>45091</v>
      </c>
      <c r="J2022" t="inlineStr">
        <is>
          <t>Ottawa (Ontario) Canada</t>
        </is>
      </c>
      <c r="K2022" t="inlineStr">
        <is>
          <t>Ottawa (Ontario) Canada</t>
        </is>
      </c>
      <c r="P2022" t="n">
        <v>0</v>
      </c>
      <c r="Q2022" t="n">
        <v>314.93</v>
      </c>
      <c r="R2022" t="n">
        <v>0</v>
      </c>
      <c r="S2022" t="n">
        <v>82.5</v>
      </c>
      <c r="T2022" t="n">
        <v>0</v>
      </c>
      <c r="U2022" t="n">
        <v>397.43</v>
      </c>
      <c r="X2022" t="inlineStr">
        <is>
          <t>aafc-aac</t>
        </is>
      </c>
      <c r="Y2022" t="inlineStr">
        <is>
          <t>Agriculture and Agri-Food Canada | Agriculture et Agroalimentaire Canada</t>
        </is>
      </c>
      <c r="Z2022" t="n">
        <v>1</v>
      </c>
      <c r="AA2022" t="n">
        <v>397.43</v>
      </c>
      <c r="AB2022">
        <f>ROUND(U2022-AA2022,2)</f>
        <v/>
      </c>
      <c r="AC2022" t="b">
        <v>0</v>
      </c>
      <c r="AD2022">
        <f>IF(U2022="","MISSING_TOTAL",IF(ABS(AB2022)&lt;=0.01,"OK","CHECK"))</f>
        <v/>
      </c>
      <c r="AE2022">
        <f>IF(U2022="","MISSING",IF(AND(AA2022&gt;0,U2022/AA2022&gt;50),"POSSIBLE_SCALE_ERROR","OK"))</f>
        <v/>
      </c>
    </row>
    <row r="2023">
      <c r="A2023" t="inlineStr">
        <is>
          <t>T-2024-P3-0024</t>
        </is>
      </c>
      <c r="B2023" t="inlineStr">
        <is>
          <t>SLE</t>
        </is>
      </c>
      <c r="C2023" t="inlineStr">
        <is>
          <t>Assistant Deputy Minister, Corporate Management Branch</t>
        </is>
      </c>
      <c r="D2023" t="inlineStr">
        <is>
          <t>Sous-ministre adjointe, Direction générale de la gestion intégrée</t>
        </is>
      </c>
      <c r="E2023" t="inlineStr">
        <is>
          <t>Marie-Claude Guérard</t>
        </is>
      </c>
      <c r="F2023" t="inlineStr">
        <is>
          <t>Attend in-person meetings in Ottawa</t>
        </is>
      </c>
      <c r="G2023" t="inlineStr">
        <is>
          <t>Participer aux rencontres en personne à Ottawa</t>
        </is>
      </c>
      <c r="H2023" s="1" t="n">
        <v>45097</v>
      </c>
      <c r="I2023" s="1" t="n">
        <v>45097</v>
      </c>
      <c r="J2023" t="inlineStr">
        <is>
          <t>Ottawa (Ontario) Canada</t>
        </is>
      </c>
      <c r="K2023" t="inlineStr">
        <is>
          <t>Ottawa (Ontario) Canada</t>
        </is>
      </c>
      <c r="P2023" t="n">
        <v>0</v>
      </c>
      <c r="Q2023" t="n">
        <v>339.22</v>
      </c>
      <c r="R2023" t="n">
        <v>0</v>
      </c>
      <c r="S2023" t="n">
        <v>23.9</v>
      </c>
      <c r="T2023" t="n">
        <v>0</v>
      </c>
      <c r="U2023" t="n">
        <v>363.12</v>
      </c>
      <c r="X2023" t="inlineStr">
        <is>
          <t>aafc-aac</t>
        </is>
      </c>
      <c r="Y2023" t="inlineStr">
        <is>
          <t>Agriculture and Agri-Food Canada | Agriculture et Agroalimentaire Canada</t>
        </is>
      </c>
      <c r="Z2023" t="n">
        <v>1</v>
      </c>
      <c r="AA2023" t="n">
        <v>363.12</v>
      </c>
      <c r="AB2023">
        <f>ROUND(U2023-AA2023,2)</f>
        <v/>
      </c>
      <c r="AC2023" t="b">
        <v>0</v>
      </c>
      <c r="AD2023">
        <f>IF(U2023="","MISSING_TOTAL",IF(ABS(AB2023)&lt;=0.01,"OK","CHECK"))</f>
        <v/>
      </c>
      <c r="AE2023">
        <f>IF(U2023="","MISSING",IF(AND(AA2023&gt;0,U2023/AA2023&gt;50),"POSSIBLE_SCALE_ERROR","OK"))</f>
        <v/>
      </c>
    </row>
    <row r="2024">
      <c r="A2024" t="inlineStr">
        <is>
          <t>T-2024-P3-0025</t>
        </is>
      </c>
      <c r="B2024" t="inlineStr">
        <is>
          <t>SLE</t>
        </is>
      </c>
      <c r="C2024" t="inlineStr">
        <is>
          <t>Assistant Deputy Minister, Programs Branch</t>
        </is>
      </c>
      <c r="D2024" t="inlineStr">
        <is>
          <t>Sous-ministre adjointe, Direction générale des programmes</t>
        </is>
      </c>
      <c r="E2024" t="inlineStr">
        <is>
          <t>Liz Foster</t>
        </is>
      </c>
      <c r="F2024" t="inlineStr">
        <is>
          <t>Attend a conference</t>
        </is>
      </c>
      <c r="G2024" t="inlineStr">
        <is>
          <t>Participer à une conférence</t>
        </is>
      </c>
      <c r="H2024" s="1" t="n">
        <v>45076</v>
      </c>
      <c r="I2024" s="1" t="n">
        <v>45077</v>
      </c>
      <c r="J2024" t="inlineStr">
        <is>
          <t>Ottawa (Ontario) Canada</t>
        </is>
      </c>
      <c r="K2024" t="inlineStr">
        <is>
          <t>Ottawa (Ontario) Canada</t>
        </is>
      </c>
      <c r="P2024" t="n">
        <v>0</v>
      </c>
      <c r="Q2024" t="n">
        <v>40</v>
      </c>
      <c r="R2024" t="n">
        <v>0</v>
      </c>
      <c r="S2024" t="n">
        <v>0</v>
      </c>
      <c r="T2024" t="n">
        <v>0</v>
      </c>
      <c r="U2024" t="n">
        <v>40</v>
      </c>
      <c r="X2024" t="inlineStr">
        <is>
          <t>aafc-aac</t>
        </is>
      </c>
      <c r="Y2024" t="inlineStr">
        <is>
          <t>Agriculture and Agri-Food Canada | Agriculture et Agroalimentaire Canada</t>
        </is>
      </c>
      <c r="Z2024" t="n">
        <v>2</v>
      </c>
      <c r="AA2024" t="n">
        <v>40</v>
      </c>
      <c r="AB2024">
        <f>ROUND(U2024-AA2024,2)</f>
        <v/>
      </c>
      <c r="AC2024" t="b">
        <v>0</v>
      </c>
      <c r="AD2024">
        <f>IF(U2024="","MISSING_TOTAL",IF(ABS(AB2024)&lt;=0.01,"OK","CHECK"))</f>
        <v/>
      </c>
      <c r="AE2024">
        <f>IF(U2024="","MISSING",IF(AND(AA2024&gt;0,U2024/AA2024&gt;50),"POSSIBLE_SCALE_ERROR","OK"))</f>
        <v/>
      </c>
    </row>
    <row r="2025">
      <c r="A2025" t="inlineStr">
        <is>
          <t>T-2024-P3-0026</t>
        </is>
      </c>
      <c r="B2025" t="inlineStr">
        <is>
          <t>SLE</t>
        </is>
      </c>
      <c r="C2025" t="inlineStr">
        <is>
          <t>Assistant Deputy Minister, Market and Industry Services Branch</t>
        </is>
      </c>
      <c r="D2025" t="inlineStr">
        <is>
          <t>Sous-ministre adjoint, Direction générale des services à l'industrie et aux marchés</t>
        </is>
      </c>
      <c r="E2025" t="inlineStr">
        <is>
          <t>Tom Rosser</t>
        </is>
      </c>
      <c r="F2025" t="inlineStr">
        <is>
          <t>Participate in regional outreach.</t>
        </is>
      </c>
      <c r="G2025" t="inlineStr">
        <is>
          <t>Participer à la sensibilisation régionale.</t>
        </is>
      </c>
      <c r="H2025" s="1" t="n">
        <v>45055</v>
      </c>
      <c r="I2025" s="1" t="n">
        <v>45058</v>
      </c>
      <c r="J2025" t="inlineStr">
        <is>
          <t>Montréal (Quebec) Canada</t>
        </is>
      </c>
      <c r="K2025" t="inlineStr">
        <is>
          <t>Montréal (Québec) Canada</t>
        </is>
      </c>
      <c r="P2025" t="n">
        <v>0</v>
      </c>
      <c r="Q2025" t="n">
        <v>386.68</v>
      </c>
      <c r="R2025" t="n">
        <v>844.5</v>
      </c>
      <c r="S2025" t="n">
        <v>328.9</v>
      </c>
      <c r="T2025" t="n">
        <v>0</v>
      </c>
      <c r="U2025" t="n">
        <v>1560.08</v>
      </c>
      <c r="X2025" t="inlineStr">
        <is>
          <t>aafc-aac</t>
        </is>
      </c>
      <c r="Y2025" t="inlineStr">
        <is>
          <t>Agriculture and Agri-Food Canada | Agriculture et Agroalimentaire Canada</t>
        </is>
      </c>
      <c r="Z2025" t="n">
        <v>4</v>
      </c>
      <c r="AA2025" t="n">
        <v>1560.08</v>
      </c>
      <c r="AB2025">
        <f>ROUND(U2025-AA2025,2)</f>
        <v/>
      </c>
      <c r="AC2025" t="b">
        <v>0</v>
      </c>
      <c r="AD2025">
        <f>IF(U2025="","MISSING_TOTAL",IF(ABS(AB2025)&lt;=0.01,"OK","CHECK"))</f>
        <v/>
      </c>
      <c r="AE2025">
        <f>IF(U2025="","MISSING",IF(AND(AA2025&gt;0,U2025/AA2025&gt;50),"POSSIBLE_SCALE_ERROR","OK"))</f>
        <v/>
      </c>
    </row>
    <row r="2026">
      <c r="A2026" t="inlineStr">
        <is>
          <t>T-2024-P4-001</t>
        </is>
      </c>
      <c r="B2026" t="inlineStr">
        <is>
          <t>MPSES</t>
        </is>
      </c>
      <c r="C2026" t="inlineStr">
        <is>
          <t>Minister</t>
        </is>
      </c>
      <c r="D2026" t="inlineStr">
        <is>
          <t>Ministre</t>
        </is>
      </c>
      <c r="E2026" t="inlineStr">
        <is>
          <t>Marie-Claude Bibeau</t>
        </is>
      </c>
      <c r="F2026" t="inlineStr">
        <is>
          <t>Attend the G20 Agricutural Minister's meeting</t>
        </is>
      </c>
      <c r="G2026" t="inlineStr">
        <is>
          <t>Participer à la réunion des ministres de l'agriculture du G20</t>
        </is>
      </c>
      <c r="H2026" s="1" t="n">
        <v>45090</v>
      </c>
      <c r="I2026" s="1" t="n">
        <v>45097</v>
      </c>
      <c r="J2026" t="inlineStr">
        <is>
          <t>Dubai, Emirate of Dubai
Hyderabad (Telangana) India
Delhi, India</t>
        </is>
      </c>
      <c r="K2026" t="inlineStr">
        <is>
          <t>Dubaï, Émirat de Dubaï
Hyderabad (Telangana) Inde
Delhi, Inde</t>
        </is>
      </c>
      <c r="P2026" t="n">
        <v>10425.6</v>
      </c>
      <c r="Q2026" t="n">
        <v>0</v>
      </c>
      <c r="R2026" t="n">
        <v>1066.32</v>
      </c>
      <c r="S2026" t="n">
        <v>55.47</v>
      </c>
      <c r="T2026" t="n">
        <v>187</v>
      </c>
      <c r="U2026" t="n">
        <v>11734.39</v>
      </c>
      <c r="X2026" t="inlineStr">
        <is>
          <t>aafc-aac</t>
        </is>
      </c>
      <c r="Y2026" t="inlineStr">
        <is>
          <t>Agriculture and Agri-Food Canada | Agriculture et Agroalimentaire Canada</t>
        </is>
      </c>
      <c r="Z2026" t="n">
        <v>8</v>
      </c>
      <c r="AA2026" t="n">
        <v>11734.39</v>
      </c>
      <c r="AB2026">
        <f>ROUND(U2026-AA2026,2)</f>
        <v/>
      </c>
      <c r="AC2026" t="b">
        <v>0</v>
      </c>
      <c r="AD2026">
        <f>IF(U2026="","MISSING_TOTAL",IF(ABS(AB2026)&lt;=0.01,"OK","CHECK"))</f>
        <v/>
      </c>
      <c r="AE2026">
        <f>IF(U2026="","MISSING",IF(AND(AA2026&gt;0,U2026/AA2026&gt;50),"POSSIBLE_SCALE_ERROR","OK"))</f>
        <v/>
      </c>
    </row>
    <row r="2027">
      <c r="A2027" t="inlineStr">
        <is>
          <t>T-2024-P4-002</t>
        </is>
      </c>
      <c r="B2027" t="inlineStr">
        <is>
          <t>MPSES</t>
        </is>
      </c>
      <c r="C2027" t="inlineStr">
        <is>
          <t>Director of Regional Affairs</t>
        </is>
      </c>
      <c r="D2027" t="inlineStr">
        <is>
          <t>Directrice des affaires régionales</t>
        </is>
      </c>
      <c r="E2027" t="inlineStr">
        <is>
          <t>Alison Porter</t>
        </is>
      </c>
      <c r="F2027" t="inlineStr">
        <is>
          <t>Support the Minister attending the Minister’s Agriculture Innovation Mission for Climate conference and meet with stakeholders and US counterparts including Secretary Vilalobos and Ambassador Hillman</t>
        </is>
      </c>
      <c r="G2027" t="inlineStr">
        <is>
          <t>Soutenir la ministre assistant à la conférence de la mission d'innovation agricole pour le climat du ministre et rencontrer les parties prenantes et les homologues américains, notamment le secrétaire Vilalobos et l'ambassadeur Hillman.</t>
        </is>
      </c>
      <c r="H2027" s="1" t="n">
        <v>45053</v>
      </c>
      <c r="I2027" s="1" t="n">
        <v>45056</v>
      </c>
      <c r="J2027" t="inlineStr">
        <is>
          <t>Washington (District of Columbia) United States</t>
        </is>
      </c>
      <c r="K2027" t="inlineStr">
        <is>
          <t>Washington (District de Columbia) États-Unis</t>
        </is>
      </c>
      <c r="P2027" t="n">
        <v>1307.25</v>
      </c>
      <c r="Q2027" t="n">
        <v>173.19</v>
      </c>
      <c r="R2027" t="n">
        <v>1776.02</v>
      </c>
      <c r="S2027" t="n">
        <v>342.2</v>
      </c>
      <c r="T2027" t="n">
        <v>23.79</v>
      </c>
      <c r="U2027" t="n">
        <v>3622.45</v>
      </c>
      <c r="X2027" t="inlineStr">
        <is>
          <t>aafc-aac</t>
        </is>
      </c>
      <c r="Y2027" t="inlineStr">
        <is>
          <t>Agriculture and Agri-Food Canada | Agriculture et Agroalimentaire Canada</t>
        </is>
      </c>
      <c r="Z2027" t="n">
        <v>4</v>
      </c>
      <c r="AA2027" t="n">
        <v>3622.45</v>
      </c>
      <c r="AB2027">
        <f>ROUND(U2027-AA2027,2)</f>
        <v/>
      </c>
      <c r="AC2027" t="b">
        <v>0</v>
      </c>
      <c r="AD2027">
        <f>IF(U2027="","MISSING_TOTAL",IF(ABS(AB2027)&lt;=0.01,"OK","CHECK"))</f>
        <v/>
      </c>
      <c r="AE2027">
        <f>IF(U2027="","MISSING",IF(AND(AA2027&gt;0,U2027/AA2027&gt;50),"POSSIBLE_SCALE_ERROR","OK"))</f>
        <v/>
      </c>
    </row>
    <row r="2028">
      <c r="A2028" t="inlineStr">
        <is>
          <t>T-2024-P4-003</t>
        </is>
      </c>
      <c r="B2028" t="inlineStr">
        <is>
          <t>MPSES</t>
        </is>
      </c>
      <c r="C2028" t="inlineStr">
        <is>
          <t>Director of Policy</t>
        </is>
      </c>
      <c r="D2028" t="inlineStr">
        <is>
          <t>Directeur en politiques</t>
        </is>
      </c>
      <c r="E2028" t="inlineStr">
        <is>
          <t>Emerson Vanderberg</t>
        </is>
      </c>
      <c r="F2028" t="inlineStr">
        <is>
          <t>Support the Minister attending the Food and Agriculture Organization of the United Nations meeting</t>
        </is>
      </c>
      <c r="G2028" t="inlineStr">
        <is>
          <t>Soutenir la participation de la ministre à la réunion de l'Organisation des Nations unies pour l'alimentation et l'agriculture.</t>
        </is>
      </c>
      <c r="H2028" s="1" t="n">
        <v>45106</v>
      </c>
      <c r="I2028" s="1" t="n">
        <v>45115</v>
      </c>
      <c r="J2028" t="inlineStr">
        <is>
          <t>Rome, Italy
Bali, Indonesia</t>
        </is>
      </c>
      <c r="K2028" t="inlineStr">
        <is>
          <t>Rome, Italie
Bali, Indonésie</t>
        </is>
      </c>
      <c r="P2028" t="n">
        <v>3134.81</v>
      </c>
      <c r="Q2028" t="n">
        <v>253.25</v>
      </c>
      <c r="R2028" t="n">
        <v>2061.52</v>
      </c>
      <c r="S2028" t="n">
        <v>1156.6</v>
      </c>
      <c r="T2028" t="n">
        <v>0</v>
      </c>
      <c r="U2028" t="n">
        <v>6606.18</v>
      </c>
      <c r="X2028" t="inlineStr">
        <is>
          <t>aafc-aac</t>
        </is>
      </c>
      <c r="Y2028" t="inlineStr">
        <is>
          <t>Agriculture and Agri-Food Canada | Agriculture et Agroalimentaire Canada</t>
        </is>
      </c>
      <c r="Z2028" t="n">
        <v>10</v>
      </c>
      <c r="AA2028" t="n">
        <v>6606.18</v>
      </c>
      <c r="AB2028">
        <f>ROUND(U2028-AA2028,2)</f>
        <v/>
      </c>
      <c r="AC2028" t="b">
        <v>0</v>
      </c>
      <c r="AD2028">
        <f>IF(U2028="","MISSING_TOTAL",IF(ABS(AB2028)&lt;=0.01,"OK","CHECK"))</f>
        <v/>
      </c>
      <c r="AE2028">
        <f>IF(U2028="","MISSING",IF(AND(AA2028&gt;0,U2028/AA2028&gt;50),"POSSIBLE_SCALE_ERROR","OK"))</f>
        <v/>
      </c>
    </row>
    <row r="2029">
      <c r="A2029" t="inlineStr">
        <is>
          <t>T-2024-P4-004</t>
        </is>
      </c>
      <c r="B2029" t="inlineStr">
        <is>
          <t>MPSES</t>
        </is>
      </c>
      <c r="C2029" t="inlineStr">
        <is>
          <t>Policy Advisor</t>
        </is>
      </c>
      <c r="D2029" t="inlineStr">
        <is>
          <t>Conseillère en politiques</t>
        </is>
      </c>
      <c r="E2029" t="inlineStr">
        <is>
          <t>Christine Harvey</t>
        </is>
      </c>
      <c r="F2029" t="inlineStr">
        <is>
          <t>Briefings with the Minister and stakeholder meetings</t>
        </is>
      </c>
      <c r="G2029" t="inlineStr">
        <is>
          <t>Séances d'information avec la ministre et réunions avec les parties prenantes</t>
        </is>
      </c>
      <c r="H2029" s="1" t="n">
        <v>45120</v>
      </c>
      <c r="I2029" s="1" t="n">
        <v>45120</v>
      </c>
      <c r="J2029" t="inlineStr">
        <is>
          <t>Sherbrooke (Quebec) Canada</t>
        </is>
      </c>
      <c r="K2029" t="inlineStr">
        <is>
          <t>Sherbrooke (Québec) Canada</t>
        </is>
      </c>
      <c r="P2029" t="n">
        <v>0</v>
      </c>
      <c r="Q2029" t="n">
        <v>0</v>
      </c>
      <c r="R2029" t="n">
        <v>154.69</v>
      </c>
      <c r="S2029" t="n">
        <v>0</v>
      </c>
      <c r="T2029" t="n">
        <v>0</v>
      </c>
      <c r="U2029" t="n">
        <v>154.69</v>
      </c>
      <c r="X2029" t="inlineStr">
        <is>
          <t>aafc-aac</t>
        </is>
      </c>
      <c r="Y2029" t="inlineStr">
        <is>
          <t>Agriculture and Agri-Food Canada | Agriculture et Agroalimentaire Canada</t>
        </is>
      </c>
      <c r="Z2029" t="n">
        <v>1</v>
      </c>
      <c r="AA2029" t="n">
        <v>154.69</v>
      </c>
      <c r="AB2029">
        <f>ROUND(U2029-AA2029,2)</f>
        <v/>
      </c>
      <c r="AC2029" t="b">
        <v>0</v>
      </c>
      <c r="AD2029">
        <f>IF(U2029="","MISSING_TOTAL",IF(ABS(AB2029)&lt;=0.01,"OK","CHECK"))</f>
        <v/>
      </c>
      <c r="AE2029">
        <f>IF(U2029="","MISSING",IF(AND(AA2029&gt;0,U2029/AA2029&gt;50),"POSSIBLE_SCALE_ERROR","OK"))</f>
        <v/>
      </c>
    </row>
    <row r="2030">
      <c r="A2030" t="inlineStr">
        <is>
          <t>T-2024-P4-005</t>
        </is>
      </c>
      <c r="B2030" t="inlineStr">
        <is>
          <t>MPSES</t>
        </is>
      </c>
      <c r="C2030" t="inlineStr">
        <is>
          <t>Press Secretary</t>
        </is>
      </c>
      <c r="D2030" t="inlineStr">
        <is>
          <t>Attaché de presse</t>
        </is>
      </c>
      <c r="E2030" t="inlineStr">
        <is>
          <t>Simon Lafortune</t>
        </is>
      </c>
      <c r="F2030" t="inlineStr">
        <is>
          <t>Accompany the Minister to the G20 Agricutural Minister's meeting</t>
        </is>
      </c>
      <c r="G2030" t="inlineStr">
        <is>
          <t>Accompagner la ministre à la réunion des ministres de l'agriculture du G20</t>
        </is>
      </c>
      <c r="H2030" s="1" t="n">
        <v>45089</v>
      </c>
      <c r="I2030" s="1" t="n">
        <v>45100</v>
      </c>
      <c r="J2030" t="inlineStr">
        <is>
          <t>Dubai, Emirate of Dubai
Hyderabad (Telangana) India
Delhi, India</t>
        </is>
      </c>
      <c r="K2030" t="inlineStr">
        <is>
          <t>Dubaï, Émirat de Dubaï
Hyderabad (Telangana) Inde
Delhi, Inde</t>
        </is>
      </c>
      <c r="P2030" t="n">
        <v>5060.2</v>
      </c>
      <c r="Q2030" t="n">
        <v>139.51</v>
      </c>
      <c r="R2030" t="n">
        <v>1270.97</v>
      </c>
      <c r="S2030" t="n">
        <v>110.91</v>
      </c>
      <c r="T2030" t="n">
        <v>0</v>
      </c>
      <c r="U2030" t="n">
        <v>6581.59</v>
      </c>
      <c r="X2030" t="inlineStr">
        <is>
          <t>aafc-aac</t>
        </is>
      </c>
      <c r="Y2030" t="inlineStr">
        <is>
          <t>Agriculture and Agri-Food Canada | Agriculture et Agroalimentaire Canada</t>
        </is>
      </c>
      <c r="Z2030" t="n">
        <v>12</v>
      </c>
      <c r="AA2030" t="n">
        <v>6581.59</v>
      </c>
      <c r="AB2030">
        <f>ROUND(U2030-AA2030,2)</f>
        <v/>
      </c>
      <c r="AC2030" t="b">
        <v>0</v>
      </c>
      <c r="AD2030">
        <f>IF(U2030="","MISSING_TOTAL",IF(ABS(AB2030)&lt;=0.01,"OK","CHECK"))</f>
        <v/>
      </c>
      <c r="AE2030">
        <f>IF(U2030="","MISSING",IF(AND(AA2030&gt;0,U2030/AA2030&gt;50),"POSSIBLE_SCALE_ERROR","OK"))</f>
        <v/>
      </c>
    </row>
    <row r="2031">
      <c r="A2031" t="inlineStr">
        <is>
          <t>T-2024-P4-006</t>
        </is>
      </c>
      <c r="B2031" t="inlineStr">
        <is>
          <t>SLE</t>
        </is>
      </c>
      <c r="C2031" t="inlineStr">
        <is>
          <t>Deputy Minister</t>
        </is>
      </c>
      <c r="D2031" t="inlineStr">
        <is>
          <t>Sous-ministre</t>
        </is>
      </c>
      <c r="E2031" t="inlineStr">
        <is>
          <t>Stefanie Beck</t>
        </is>
      </c>
      <c r="F2031" t="inlineStr">
        <is>
          <t>Visit Quebec Research and Development Center, Institute of food and nutrition at University of Quebec, visit a local farm and meet with Deputy Minister of Agriculture, Fish and Feed of Quebec.</t>
        </is>
      </c>
      <c r="G2031" t="inlineStr">
        <is>
          <t>Visiter le Centre de recherche et de développement du Québec, l'Institut de l'alimentation et de la nutrition de l'Université du Québec, visiter une ferme locale et rencontrer le sous-ministre d'Agriculture, Poisson et Alimentation du Québec.</t>
        </is>
      </c>
      <c r="H2031" s="1" t="n">
        <v>45090</v>
      </c>
      <c r="I2031" s="1" t="n">
        <v>45090</v>
      </c>
      <c r="J2031" t="inlineStr">
        <is>
          <t>Québec (Quebec) Canada</t>
        </is>
      </c>
      <c r="K2031" t="inlineStr">
        <is>
          <t>Québec (Québec) Canada</t>
        </is>
      </c>
      <c r="P2031" t="n">
        <v>989.59</v>
      </c>
      <c r="Q2031" t="n">
        <v>0</v>
      </c>
      <c r="R2031" t="n">
        <v>0</v>
      </c>
      <c r="S2031" t="n">
        <v>106.1</v>
      </c>
      <c r="T2031" t="n">
        <v>0</v>
      </c>
      <c r="U2031" t="n">
        <v>1095.69</v>
      </c>
      <c r="X2031" t="inlineStr">
        <is>
          <t>aafc-aac</t>
        </is>
      </c>
      <c r="Y2031" t="inlineStr">
        <is>
          <t>Agriculture and Agri-Food Canada | Agriculture et Agroalimentaire Canada</t>
        </is>
      </c>
      <c r="Z2031" t="n">
        <v>1</v>
      </c>
      <c r="AA2031" t="n">
        <v>1095.69</v>
      </c>
      <c r="AB2031">
        <f>ROUND(U2031-AA2031,2)</f>
        <v/>
      </c>
      <c r="AC2031" t="b">
        <v>0</v>
      </c>
      <c r="AD2031">
        <f>IF(U2031="","MISSING_TOTAL",IF(ABS(AB2031)&lt;=0.01,"OK","CHECK"))</f>
        <v/>
      </c>
      <c r="AE2031">
        <f>IF(U2031="","MISSING",IF(AND(AA2031&gt;0,U2031/AA2031&gt;50),"POSSIBLE_SCALE_ERROR","OK"))</f>
        <v/>
      </c>
    </row>
    <row r="2032">
      <c r="A2032" t="inlineStr">
        <is>
          <t>T-2024-P4-007</t>
        </is>
      </c>
      <c r="B2032" t="inlineStr">
        <is>
          <t>SLE</t>
        </is>
      </c>
      <c r="C2032" t="inlineStr">
        <is>
          <t>Associate Deputy Minister</t>
        </is>
      </c>
      <c r="D2032" t="inlineStr">
        <is>
          <t>Sous-ministre déléguée</t>
        </is>
      </c>
      <c r="E2032" t="inlineStr">
        <is>
          <t>Suzy McDonald</t>
        </is>
      </c>
      <c r="F2032" t="inlineStr">
        <is>
          <t>Support the Minister to attend a future international trip to India</t>
        </is>
      </c>
      <c r="G2032" t="inlineStr">
        <is>
          <t>Soutenir la ministre pour une participation futur à un voyage international en Inde</t>
        </is>
      </c>
      <c r="H2032" s="1" t="n">
        <v>45090</v>
      </c>
      <c r="I2032" s="1" t="n">
        <v>45097</v>
      </c>
      <c r="J2032" t="inlineStr">
        <is>
          <t>Hyderabad (Telangana) India
Delhi, India</t>
        </is>
      </c>
      <c r="K2032" t="inlineStr">
        <is>
          <t>Hyderabad (Telangana) Inde
Delhi, Inde</t>
        </is>
      </c>
      <c r="P2032" t="n">
        <v>12239.1</v>
      </c>
      <c r="Q2032" t="n">
        <v>0</v>
      </c>
      <c r="R2032" t="n">
        <v>1066.88</v>
      </c>
      <c r="S2032" t="n">
        <v>0</v>
      </c>
      <c r="T2032" t="n">
        <v>172.24</v>
      </c>
      <c r="U2032" t="n">
        <v>13478.22</v>
      </c>
      <c r="X2032" t="inlineStr">
        <is>
          <t>aafc-aac</t>
        </is>
      </c>
      <c r="Y2032" t="inlineStr">
        <is>
          <t>Agriculture and Agri-Food Canada | Agriculture et Agroalimentaire Canada</t>
        </is>
      </c>
      <c r="Z2032" t="n">
        <v>8</v>
      </c>
      <c r="AA2032" t="n">
        <v>13478.22</v>
      </c>
      <c r="AB2032">
        <f>ROUND(U2032-AA2032,2)</f>
        <v/>
      </c>
      <c r="AC2032" t="b">
        <v>0</v>
      </c>
      <c r="AD2032">
        <f>IF(U2032="","MISSING_TOTAL",IF(ABS(AB2032)&lt;=0.01,"OK","CHECK"))</f>
        <v/>
      </c>
      <c r="AE2032">
        <f>IF(U2032="","MISSING",IF(AND(AA2032&gt;0,U2032/AA2032&gt;50),"POSSIBLE_SCALE_ERROR","OK"))</f>
        <v/>
      </c>
    </row>
    <row r="2033">
      <c r="A2033" t="inlineStr">
        <is>
          <t>T-2024-P4-008</t>
        </is>
      </c>
      <c r="B2033" t="inlineStr">
        <is>
          <t>SLE</t>
        </is>
      </c>
      <c r="C2033" t="inlineStr">
        <is>
          <t>Corporate Secretary</t>
        </is>
      </c>
      <c r="D2033" t="inlineStr">
        <is>
          <t>Secrétaire générale</t>
        </is>
      </c>
      <c r="E2033" t="inlineStr">
        <is>
          <t>Tamara Abel</t>
        </is>
      </c>
      <c r="F2033" t="inlineStr">
        <is>
          <t>Operational activities</t>
        </is>
      </c>
      <c r="G2033" t="inlineStr">
        <is>
          <t>Activités opérationnelles</t>
        </is>
      </c>
      <c r="H2033" s="1" t="n">
        <v>45117</v>
      </c>
      <c r="I2033" s="1" t="n">
        <v>45121</v>
      </c>
      <c r="J2033" t="inlineStr">
        <is>
          <t>Ottawa (Ontario) Canada</t>
        </is>
      </c>
      <c r="K2033" t="inlineStr">
        <is>
          <t>Ottawa (Ontario) Canada</t>
        </is>
      </c>
      <c r="P2033" t="n">
        <v>1339.03</v>
      </c>
      <c r="Q2033" t="n">
        <v>352.45</v>
      </c>
      <c r="R2033" t="n">
        <v>1165.8</v>
      </c>
      <c r="S2033" t="n">
        <v>593.4</v>
      </c>
      <c r="T2033" t="n">
        <v>0</v>
      </c>
      <c r="U2033" t="n">
        <v>3450.68</v>
      </c>
      <c r="X2033" t="inlineStr">
        <is>
          <t>aafc-aac</t>
        </is>
      </c>
      <c r="Y2033" t="inlineStr">
        <is>
          <t>Agriculture and Agri-Food Canada | Agriculture et Agroalimentaire Canada</t>
        </is>
      </c>
      <c r="Z2033" t="n">
        <v>5</v>
      </c>
      <c r="AA2033" t="n">
        <v>3450.68</v>
      </c>
      <c r="AB2033">
        <f>ROUND(U2033-AA2033,2)</f>
        <v/>
      </c>
      <c r="AC2033" t="b">
        <v>0</v>
      </c>
      <c r="AD2033">
        <f>IF(U2033="","MISSING_TOTAL",IF(ABS(AB2033)&lt;=0.01,"OK","CHECK"))</f>
        <v/>
      </c>
      <c r="AE2033">
        <f>IF(U2033="","MISSING",IF(AND(AA2033&gt;0,U2033/AA2033&gt;50),"POSSIBLE_SCALE_ERROR","OK"))</f>
        <v/>
      </c>
    </row>
    <row r="2034">
      <c r="A2034" t="inlineStr">
        <is>
          <t>T-2024-P4-009</t>
        </is>
      </c>
      <c r="B2034" t="inlineStr">
        <is>
          <t>SLE</t>
        </is>
      </c>
      <c r="C2034" t="inlineStr">
        <is>
          <t>Workplace Well-Being Ombudsperson</t>
        </is>
      </c>
      <c r="D2034" t="inlineStr">
        <is>
          <t>Ombudsman du mieux-être en milieu de travail</t>
        </is>
      </c>
      <c r="E2034" t="inlineStr">
        <is>
          <t>Elianne Hall</t>
        </is>
      </c>
      <c r="F2034" t="inlineStr">
        <is>
          <t>Attend the Alberta Outreach</t>
        </is>
      </c>
      <c r="G2034" t="inlineStr">
        <is>
          <t>Participer au programme de sensibilisation de l'Alberta</t>
        </is>
      </c>
      <c r="H2034" s="1" t="n">
        <v>45103</v>
      </c>
      <c r="I2034" s="1" t="n">
        <v>45107</v>
      </c>
      <c r="J2034" t="inlineStr">
        <is>
          <t>Calgary (Alberta) Canada</t>
        </is>
      </c>
      <c r="K2034" t="inlineStr">
        <is>
          <t>Calgary (Alberta) Canada</t>
        </is>
      </c>
      <c r="P2034" t="n">
        <v>886.3099999999999</v>
      </c>
      <c r="Q2034" t="n">
        <v>618.36</v>
      </c>
      <c r="R2034" t="n">
        <v>573.6</v>
      </c>
      <c r="S2034" t="n">
        <v>510.9</v>
      </c>
      <c r="T2034" t="n">
        <v>0</v>
      </c>
      <c r="U2034" t="n">
        <v>2589.17</v>
      </c>
      <c r="X2034" t="inlineStr">
        <is>
          <t>aafc-aac</t>
        </is>
      </c>
      <c r="Y2034" t="inlineStr">
        <is>
          <t>Agriculture and Agri-Food Canada | Agriculture et Agroalimentaire Canada</t>
        </is>
      </c>
      <c r="Z2034" t="n">
        <v>5</v>
      </c>
      <c r="AA2034" t="n">
        <v>2589.17</v>
      </c>
      <c r="AB2034">
        <f>ROUND(U2034-AA2034,2)</f>
        <v/>
      </c>
      <c r="AC2034" t="b">
        <v>0</v>
      </c>
      <c r="AD2034">
        <f>IF(U2034="","MISSING_TOTAL",IF(ABS(AB2034)&lt;=0.01,"OK","CHECK"))</f>
        <v/>
      </c>
      <c r="AE2034">
        <f>IF(U2034="","MISSING",IF(AND(AA2034&gt;0,U2034/AA2034&gt;50),"POSSIBLE_SCALE_ERROR","OK"))</f>
        <v/>
      </c>
    </row>
    <row r="2035">
      <c r="A2035" t="inlineStr">
        <is>
          <t>T-2024-P4-010</t>
        </is>
      </c>
      <c r="B2035" t="inlineStr">
        <is>
          <t>SLE</t>
        </is>
      </c>
      <c r="C2035" t="inlineStr">
        <is>
          <t>Assistant Deputy Minister, Science and Technology Branch</t>
        </is>
      </c>
      <c r="D2035" t="inlineStr">
        <is>
          <t>Sous-ministre adjoint, Direction générale des sciences et de la technologie</t>
        </is>
      </c>
      <c r="E2035" t="inlineStr">
        <is>
          <t>Gilles Saindon</t>
        </is>
      </c>
      <c r="F2035" t="inlineStr">
        <is>
          <t>Renew ID Card - House of Commons</t>
        </is>
      </c>
      <c r="G2035" t="inlineStr">
        <is>
          <t>Renouveller la carte d'identité - Chambre des communes</t>
        </is>
      </c>
      <c r="H2035" s="1" t="n">
        <v>45064</v>
      </c>
      <c r="I2035" s="1" t="n">
        <v>45064</v>
      </c>
      <c r="J2035" t="inlineStr">
        <is>
          <t>Ottawa (Ontario) Canada</t>
        </is>
      </c>
      <c r="K2035" t="inlineStr">
        <is>
          <t>Ottawa (Ontario) Canada</t>
        </is>
      </c>
      <c r="P2035" t="n">
        <v>0</v>
      </c>
      <c r="Q2035" t="n">
        <v>3.5</v>
      </c>
      <c r="R2035" t="n">
        <v>0</v>
      </c>
      <c r="S2035" t="n">
        <v>0</v>
      </c>
      <c r="T2035" t="n">
        <v>0</v>
      </c>
      <c r="U2035" t="n">
        <v>3.5</v>
      </c>
      <c r="X2035" t="inlineStr">
        <is>
          <t>aafc-aac</t>
        </is>
      </c>
      <c r="Y2035" t="inlineStr">
        <is>
          <t>Agriculture and Agri-Food Canada | Agriculture et Agroalimentaire Canada</t>
        </is>
      </c>
      <c r="Z2035" t="n">
        <v>1</v>
      </c>
      <c r="AA2035" t="n">
        <v>3.5</v>
      </c>
      <c r="AB2035">
        <f>ROUND(U2035-AA2035,2)</f>
        <v/>
      </c>
      <c r="AC2035" t="b">
        <v>0</v>
      </c>
      <c r="AD2035">
        <f>IF(U2035="","MISSING_TOTAL",IF(ABS(AB2035)&lt;=0.01,"OK","CHECK"))</f>
        <v/>
      </c>
      <c r="AE2035">
        <f>IF(U2035="","MISSING",IF(AND(AA2035&gt;0,U2035/AA2035&gt;50),"POSSIBLE_SCALE_ERROR","OK"))</f>
        <v/>
      </c>
    </row>
    <row r="2036">
      <c r="A2036" t="inlineStr">
        <is>
          <t>T-2024-P4-011</t>
        </is>
      </c>
      <c r="B2036" t="inlineStr">
        <is>
          <t>SLE</t>
        </is>
      </c>
      <c r="C2036" t="inlineStr">
        <is>
          <t>Assistant Deputy Minister, Science and Technology Branch</t>
        </is>
      </c>
      <c r="D2036" t="inlineStr">
        <is>
          <t>Sous-ministre adjoint, Direction générale des sciences et de la technologie</t>
        </is>
      </c>
      <c r="E2036" t="inlineStr">
        <is>
          <t>Gilles Saindon</t>
        </is>
      </c>
      <c r="F2036" t="inlineStr">
        <is>
          <t>Attend the 2023 Canadian Tri-Society Meeting on June 20 as an invited speaker</t>
        </is>
      </c>
      <c r="G2036" t="inlineStr">
        <is>
          <t>Participer à la réunion des trois sociétés canadiennes de 2023 le 20 juin en tant que conférencier invité</t>
        </is>
      </c>
      <c r="H2036" s="1" t="n">
        <v>45098</v>
      </c>
      <c r="I2036" s="1" t="n">
        <v>45098</v>
      </c>
      <c r="J2036" t="inlineStr">
        <is>
          <t>Ottawa (Ontario) Canada</t>
        </is>
      </c>
      <c r="K2036" t="inlineStr">
        <is>
          <t>Ottawa (Ontario) Canada</t>
        </is>
      </c>
      <c r="P2036" t="n">
        <v>0</v>
      </c>
      <c r="Q2036" t="n">
        <v>21</v>
      </c>
      <c r="R2036" t="n">
        <v>0</v>
      </c>
      <c r="S2036" t="n">
        <v>0</v>
      </c>
      <c r="T2036" t="n">
        <v>0</v>
      </c>
      <c r="U2036" t="n">
        <v>21</v>
      </c>
      <c r="X2036" t="inlineStr">
        <is>
          <t>aafc-aac</t>
        </is>
      </c>
      <c r="Y2036" t="inlineStr">
        <is>
          <t>Agriculture and Agri-Food Canada | Agriculture et Agroalimentaire Canada</t>
        </is>
      </c>
      <c r="Z2036" t="n">
        <v>1</v>
      </c>
      <c r="AA2036" t="n">
        <v>21</v>
      </c>
      <c r="AB2036">
        <f>ROUND(U2036-AA2036,2)</f>
        <v/>
      </c>
      <c r="AC2036" t="b">
        <v>0</v>
      </c>
      <c r="AD2036">
        <f>IF(U2036="","MISSING_TOTAL",IF(ABS(AB2036)&lt;=0.01,"OK","CHECK"))</f>
        <v/>
      </c>
      <c r="AE2036">
        <f>IF(U2036="","MISSING",IF(AND(AA2036&gt;0,U2036/AA2036&gt;50),"POSSIBLE_SCALE_ERROR","OK"))</f>
        <v/>
      </c>
    </row>
    <row r="2037">
      <c r="A2037" t="inlineStr">
        <is>
          <t>T-2024-P4-012</t>
        </is>
      </c>
      <c r="B2037" t="inlineStr">
        <is>
          <t>SLE</t>
        </is>
      </c>
      <c r="C2037" t="inlineStr">
        <is>
          <t>Assistant Deputy Minister, International Affairs Branch</t>
        </is>
      </c>
      <c r="D2037" t="inlineStr">
        <is>
          <t>Sous-ministre adjointe, Direction générale des affaires internationales</t>
        </is>
      </c>
      <c r="E2037" t="inlineStr">
        <is>
          <t>Kathleen Donohue</t>
        </is>
      </c>
      <c r="F2037" t="inlineStr">
        <is>
          <t>Parking for Stakeholder meeting</t>
        </is>
      </c>
      <c r="G2037" t="inlineStr">
        <is>
          <t>Stationnement pour une rencontre avec des parties prenantes</t>
        </is>
      </c>
      <c r="H2037" s="1" t="n">
        <v>45086</v>
      </c>
      <c r="I2037" s="1" t="n">
        <v>45086</v>
      </c>
      <c r="J2037" t="inlineStr">
        <is>
          <t>Ottawa (Ontario) Canada</t>
        </is>
      </c>
      <c r="K2037" t="inlineStr">
        <is>
          <t>Ottawa (Ontario) Canada</t>
        </is>
      </c>
      <c r="P2037" t="n">
        <v>0</v>
      </c>
      <c r="Q2037" t="n">
        <v>21.62</v>
      </c>
      <c r="R2037" t="n">
        <v>0</v>
      </c>
      <c r="S2037" t="n">
        <v>0</v>
      </c>
      <c r="T2037" t="n">
        <v>0</v>
      </c>
      <c r="U2037" t="n">
        <v>21.62</v>
      </c>
      <c r="X2037" t="inlineStr">
        <is>
          <t>aafc-aac</t>
        </is>
      </c>
      <c r="Y2037" t="inlineStr">
        <is>
          <t>Agriculture and Agri-Food Canada | Agriculture et Agroalimentaire Canada</t>
        </is>
      </c>
      <c r="Z2037" t="n">
        <v>1</v>
      </c>
      <c r="AA2037" t="n">
        <v>21.62</v>
      </c>
      <c r="AB2037">
        <f>ROUND(U2037-AA2037,2)</f>
        <v/>
      </c>
      <c r="AC2037" t="b">
        <v>0</v>
      </c>
      <c r="AD2037">
        <f>IF(U2037="","MISSING_TOTAL",IF(ABS(AB2037)&lt;=0.01,"OK","CHECK"))</f>
        <v/>
      </c>
      <c r="AE2037">
        <f>IF(U2037="","MISSING",IF(AND(AA2037&gt;0,U2037/AA2037&gt;50),"POSSIBLE_SCALE_ERROR","OK"))</f>
        <v/>
      </c>
    </row>
    <row r="2038">
      <c r="A2038" t="inlineStr">
        <is>
          <t>T-2024-P4-013</t>
        </is>
      </c>
      <c r="B2038" t="inlineStr">
        <is>
          <t>SLE</t>
        </is>
      </c>
      <c r="C2038" t="inlineStr">
        <is>
          <t>Associate Assistant Deputy Minister, Science and Technology Branch</t>
        </is>
      </c>
      <c r="D2038" t="inlineStr">
        <is>
          <t>Sous-ministre adjoint délégué, Direction générale des sciences et de la technologie</t>
        </is>
      </c>
      <c r="E2038" t="inlineStr">
        <is>
          <t>Andrew Goldstein</t>
        </is>
      </c>
      <c r="F2038" t="inlineStr">
        <is>
          <t>Outreach visit and meet with staff at the Saint-Hyacinthe Research and Development Centre</t>
        </is>
      </c>
      <c r="G2038" t="inlineStr">
        <is>
          <t>Rencontre de sensibilisation avec le personnel du centre de recherche et de développement de Saint-Hyacinthe</t>
        </is>
      </c>
      <c r="H2038" s="1" t="n">
        <v>45111</v>
      </c>
      <c r="I2038" s="1" t="n">
        <v>45111</v>
      </c>
      <c r="J2038" t="inlineStr">
        <is>
          <t>Saint-Hyacinthe (Quebec) Canada</t>
        </is>
      </c>
      <c r="K2038" t="inlineStr">
        <is>
          <t>Saint-Hyacinthe (Québec) Canada</t>
        </is>
      </c>
      <c r="P2038" t="n">
        <v>0</v>
      </c>
      <c r="Q2038" t="n">
        <v>306.28</v>
      </c>
      <c r="R2038" t="n">
        <v>0</v>
      </c>
      <c r="S2038" t="n">
        <v>23.9</v>
      </c>
      <c r="T2038" t="n">
        <v>0</v>
      </c>
      <c r="U2038" t="n">
        <v>330.18</v>
      </c>
      <c r="X2038" t="inlineStr">
        <is>
          <t>aafc-aac</t>
        </is>
      </c>
      <c r="Y2038" t="inlineStr">
        <is>
          <t>Agriculture and Agri-Food Canada | Agriculture et Agroalimentaire Canada</t>
        </is>
      </c>
      <c r="Z2038" t="n">
        <v>1</v>
      </c>
      <c r="AA2038" t="n">
        <v>330.179999999999</v>
      </c>
      <c r="AB2038">
        <f>ROUND(U2038-AA2038,2)</f>
        <v/>
      </c>
      <c r="AC2038" t="b">
        <v>0</v>
      </c>
      <c r="AD2038">
        <f>IF(U2038="","MISSING_TOTAL",IF(ABS(AB2038)&lt;=0.01,"OK","CHECK"))</f>
        <v/>
      </c>
      <c r="AE2038">
        <f>IF(U2038="","MISSING",IF(AND(AA2038&gt;0,U2038/AA2038&gt;50),"POSSIBLE_SCALE_ERROR","OK"))</f>
        <v/>
      </c>
    </row>
    <row r="2039">
      <c r="A2039" t="inlineStr">
        <is>
          <t>T-2024-P4-014</t>
        </is>
      </c>
      <c r="B2039" t="inlineStr">
        <is>
          <t>SLE</t>
        </is>
      </c>
      <c r="C2039" t="inlineStr">
        <is>
          <t>Assistant Deputy Minister, Corporate Management Branch</t>
        </is>
      </c>
      <c r="D2039" t="inlineStr">
        <is>
          <t>Sous-ministre adjointe, Direction générale de la gestion intégrée</t>
        </is>
      </c>
      <c r="E2039" t="inlineStr">
        <is>
          <t>Marie-Claude Guérard</t>
        </is>
      </c>
      <c r="F2039" t="inlineStr">
        <is>
          <t>Attend a Leadership Summit at the Ottawa Shaw Centre</t>
        </is>
      </c>
      <c r="G2039" t="inlineStr">
        <is>
          <t>Participer a une rencontre d'apprentissage a Centre Shaw a Ottawa</t>
        </is>
      </c>
      <c r="H2039" s="1" t="n">
        <v>45075</v>
      </c>
      <c r="I2039" s="1" t="n">
        <v>45077</v>
      </c>
      <c r="J2039" t="inlineStr">
        <is>
          <t>Ottawa (Ontario) Canada</t>
        </is>
      </c>
      <c r="K2039" t="inlineStr">
        <is>
          <t>Ottawa (Ontario) Canada</t>
        </is>
      </c>
      <c r="P2039" t="n">
        <v>0</v>
      </c>
      <c r="Q2039" t="n">
        <v>404.62</v>
      </c>
      <c r="R2039" t="n">
        <v>616.42</v>
      </c>
      <c r="S2039" t="n">
        <v>298.8</v>
      </c>
      <c r="T2039" t="n">
        <v>0</v>
      </c>
      <c r="U2039" t="n">
        <v>1319.84</v>
      </c>
      <c r="X2039" t="inlineStr">
        <is>
          <t>aafc-aac</t>
        </is>
      </c>
      <c r="Y2039" t="inlineStr">
        <is>
          <t>Agriculture and Agri-Food Canada | Agriculture et Agroalimentaire Canada</t>
        </is>
      </c>
      <c r="Z2039" t="n">
        <v>3</v>
      </c>
      <c r="AA2039" t="n">
        <v>1319.84</v>
      </c>
      <c r="AB2039">
        <f>ROUND(U2039-AA2039,2)</f>
        <v/>
      </c>
      <c r="AC2039" t="b">
        <v>0</v>
      </c>
      <c r="AD2039">
        <f>IF(U2039="","MISSING_TOTAL",IF(ABS(AB2039)&lt;=0.01,"OK","CHECK"))</f>
        <v/>
      </c>
      <c r="AE2039">
        <f>IF(U2039="","MISSING",IF(AND(AA2039&gt;0,U2039/AA2039&gt;50),"POSSIBLE_SCALE_ERROR","OK"))</f>
        <v/>
      </c>
    </row>
    <row r="2040">
      <c r="A2040" t="inlineStr">
        <is>
          <t>T-2024-P4-015</t>
        </is>
      </c>
      <c r="B2040" t="inlineStr">
        <is>
          <t>SLE</t>
        </is>
      </c>
      <c r="C2040" t="inlineStr">
        <is>
          <t>Assistant Deputy Minister, Corporate Management Branch</t>
        </is>
      </c>
      <c r="D2040" t="inlineStr">
        <is>
          <t>Sous-ministre adjointe, Direction générale de la gestion intégrée</t>
        </is>
      </c>
      <c r="E2040" t="inlineStr">
        <is>
          <t>Marie-Claude Guérard</t>
        </is>
      </c>
      <c r="F2040" t="inlineStr">
        <is>
          <t>Attend the Executive Leadership Development Program in Washington</t>
        </is>
      </c>
      <c r="G2040" t="inlineStr">
        <is>
          <t>Participer au Programme de développement en leadership pour les cadres supérieurs à Washington</t>
        </is>
      </c>
      <c r="H2040" s="1" t="n">
        <v>45083</v>
      </c>
      <c r="I2040" s="1" t="n">
        <v>45086</v>
      </c>
      <c r="J2040" t="inlineStr">
        <is>
          <t>Washington (District of Columbia) United States</t>
        </is>
      </c>
      <c r="K2040" t="inlineStr">
        <is>
          <t>Washington (District de Columbia) États-Unis</t>
        </is>
      </c>
      <c r="P2040" t="n">
        <v>816.23</v>
      </c>
      <c r="Q2040" t="n">
        <v>175.7</v>
      </c>
      <c r="R2040" t="n">
        <v>1526.8</v>
      </c>
      <c r="S2040" t="n">
        <v>566.64</v>
      </c>
      <c r="T2040" t="n">
        <v>0</v>
      </c>
      <c r="U2040" t="n">
        <v>3085.37</v>
      </c>
      <c r="X2040" t="inlineStr">
        <is>
          <t>aafc-aac</t>
        </is>
      </c>
      <c r="Y2040" t="inlineStr">
        <is>
          <t>Agriculture and Agri-Food Canada | Agriculture et Agroalimentaire Canada</t>
        </is>
      </c>
      <c r="Z2040" t="n">
        <v>4</v>
      </c>
      <c r="AA2040" t="n">
        <v>3085.37</v>
      </c>
      <c r="AB2040">
        <f>ROUND(U2040-AA2040,2)</f>
        <v/>
      </c>
      <c r="AC2040" t="b">
        <v>0</v>
      </c>
      <c r="AD2040">
        <f>IF(U2040="","MISSING_TOTAL",IF(ABS(AB2040)&lt;=0.01,"OK","CHECK"))</f>
        <v/>
      </c>
      <c r="AE2040">
        <f>IF(U2040="","MISSING",IF(AND(AA2040&gt;0,U2040/AA2040&gt;50),"POSSIBLE_SCALE_ERROR","OK"))</f>
        <v/>
      </c>
    </row>
    <row r="2041">
      <c r="A2041" t="inlineStr">
        <is>
          <t>T-2024-P4-016</t>
        </is>
      </c>
      <c r="B2041" t="inlineStr">
        <is>
          <t>SLE</t>
        </is>
      </c>
      <c r="C2041" t="inlineStr">
        <is>
          <t>Assistant Deputy Minister, Corporate Management Branch</t>
        </is>
      </c>
      <c r="D2041" t="inlineStr">
        <is>
          <t>Sous-ministre adjointe, Direction générale de la gestion intégrée</t>
        </is>
      </c>
      <c r="E2041" t="inlineStr">
        <is>
          <t>Marie-Claude Guérard</t>
        </is>
      </c>
      <c r="F2041" t="inlineStr">
        <is>
          <t>Attend in-person meetings in Ottawa</t>
        </is>
      </c>
      <c r="G2041" t="inlineStr">
        <is>
          <t>Participer à des rencontres en personne à Ottawa</t>
        </is>
      </c>
      <c r="H2041" s="1" t="n">
        <v>45132</v>
      </c>
      <c r="I2041" s="1" t="n">
        <v>45132</v>
      </c>
      <c r="J2041" t="inlineStr">
        <is>
          <t>Ottawa (Ontario) Canada</t>
        </is>
      </c>
      <c r="K2041" t="inlineStr">
        <is>
          <t>Ottawa (Ontario) Canada</t>
        </is>
      </c>
      <c r="P2041" t="n">
        <v>0</v>
      </c>
      <c r="Q2041" t="n">
        <v>266.42</v>
      </c>
      <c r="R2041" t="n">
        <v>0</v>
      </c>
      <c r="S2041" t="n">
        <v>106.1</v>
      </c>
      <c r="T2041" t="n">
        <v>0</v>
      </c>
      <c r="U2041" t="n">
        <v>372.52</v>
      </c>
      <c r="X2041" t="inlineStr">
        <is>
          <t>aafc-aac</t>
        </is>
      </c>
      <c r="Y2041" t="inlineStr">
        <is>
          <t>Agriculture and Agri-Food Canada | Agriculture et Agroalimentaire Canada</t>
        </is>
      </c>
      <c r="Z2041" t="n">
        <v>1</v>
      </c>
      <c r="AA2041" t="n">
        <v>372.52</v>
      </c>
      <c r="AB2041">
        <f>ROUND(U2041-AA2041,2)</f>
        <v/>
      </c>
      <c r="AC2041" t="b">
        <v>0</v>
      </c>
      <c r="AD2041">
        <f>IF(U2041="","MISSING_TOTAL",IF(ABS(AB2041)&lt;=0.01,"OK","CHECK"))</f>
        <v/>
      </c>
      <c r="AE2041">
        <f>IF(U2041="","MISSING",IF(AND(AA2041&gt;0,U2041/AA2041&gt;50),"POSSIBLE_SCALE_ERROR","OK"))</f>
        <v/>
      </c>
    </row>
    <row r="2042">
      <c r="A2042" t="inlineStr">
        <is>
          <t>T-2024-P4-017</t>
        </is>
      </c>
      <c r="B2042" t="inlineStr">
        <is>
          <t>SLE</t>
        </is>
      </c>
      <c r="C2042" t="inlineStr">
        <is>
          <t>Acting Assistant Deputy Minister, Strategic Policy Branch</t>
        </is>
      </c>
      <c r="D2042" t="inlineStr">
        <is>
          <t>Sous-ministre adjoint intérimaire, Direction générale des politiques stratégiques</t>
        </is>
      </c>
      <c r="E2042" t="inlineStr">
        <is>
          <t>Steven Jurgitis</t>
        </is>
      </c>
      <c r="F2042" t="inlineStr">
        <is>
          <t>Attend a Minister's briefing</t>
        </is>
      </c>
      <c r="G2042" t="inlineStr">
        <is>
          <t>Participer à une réunion d'information de la ministre</t>
        </is>
      </c>
      <c r="H2042" s="1" t="n">
        <v>45118</v>
      </c>
      <c r="I2042" s="1" t="n">
        <v>45119</v>
      </c>
      <c r="J2042" t="inlineStr">
        <is>
          <t>Sherbrooke (Quebec) Canada</t>
        </is>
      </c>
      <c r="K2042" t="inlineStr">
        <is>
          <t>Sherbrooke (Québec) Canada</t>
        </is>
      </c>
      <c r="P2042" t="n">
        <v>0</v>
      </c>
      <c r="Q2042" t="n">
        <v>418.58</v>
      </c>
      <c r="R2042" t="n">
        <v>212.43</v>
      </c>
      <c r="S2042" t="n">
        <v>151.8</v>
      </c>
      <c r="T2042" t="n">
        <v>0</v>
      </c>
      <c r="U2042" t="n">
        <v>782.8099999999999</v>
      </c>
      <c r="X2042" t="inlineStr">
        <is>
          <t>aafc-aac</t>
        </is>
      </c>
      <c r="Y2042" t="inlineStr">
        <is>
          <t>Agriculture and Agri-Food Canada | Agriculture et Agroalimentaire Canada</t>
        </is>
      </c>
      <c r="Z2042" t="n">
        <v>2</v>
      </c>
      <c r="AA2042" t="n">
        <v>782.8099999999999</v>
      </c>
      <c r="AB2042">
        <f>ROUND(U2042-AA2042,2)</f>
        <v/>
      </c>
      <c r="AC2042" t="b">
        <v>0</v>
      </c>
      <c r="AD2042">
        <f>IF(U2042="","MISSING_TOTAL",IF(ABS(AB2042)&lt;=0.01,"OK","CHECK"))</f>
        <v/>
      </c>
      <c r="AE2042">
        <f>IF(U2042="","MISSING",IF(AND(AA2042&gt;0,U2042/AA2042&gt;50),"POSSIBLE_SCALE_ERROR","OK"))</f>
        <v/>
      </c>
    </row>
    <row r="2043">
      <c r="A2043" t="inlineStr">
        <is>
          <t>T-2024-P4-018</t>
        </is>
      </c>
      <c r="B2043" t="inlineStr">
        <is>
          <t>SLE</t>
        </is>
      </c>
      <c r="C2043" t="inlineStr">
        <is>
          <t>Assistant Deputy Minister, Programs Branch</t>
        </is>
      </c>
      <c r="D2043" t="inlineStr">
        <is>
          <t>Sous-ministre adjointe, Direction générale des programmes</t>
        </is>
      </c>
      <c r="E2043" t="inlineStr">
        <is>
          <t>Liz Foster</t>
        </is>
      </c>
      <c r="F2043" t="inlineStr">
        <is>
          <t>Attend the National Public Service Week</t>
        </is>
      </c>
      <c r="G2043" t="inlineStr">
        <is>
          <t>Participer à la Semaine nationale de la fonction publique</t>
        </is>
      </c>
      <c r="H2043" s="1" t="n">
        <v>45088</v>
      </c>
      <c r="I2043" s="1" t="n">
        <v>45089</v>
      </c>
      <c r="J2043" t="inlineStr">
        <is>
          <t>Winnipeg (Manitoba) Canada</t>
        </is>
      </c>
      <c r="K2043" t="inlineStr">
        <is>
          <t>Winnipeg (Manitoba) Canada</t>
        </is>
      </c>
      <c r="P2043" t="n">
        <v>981.76</v>
      </c>
      <c r="Q2043" t="n">
        <v>103.23</v>
      </c>
      <c r="R2043" t="n">
        <v>229.81</v>
      </c>
      <c r="S2043" t="n">
        <v>123.4</v>
      </c>
      <c r="T2043" t="n">
        <v>0</v>
      </c>
      <c r="U2043" t="n">
        <v>1438.2</v>
      </c>
      <c r="X2043" t="inlineStr">
        <is>
          <t>aafc-aac</t>
        </is>
      </c>
      <c r="Y2043" t="inlineStr">
        <is>
          <t>Agriculture and Agri-Food Canada | Agriculture et Agroalimentaire Canada</t>
        </is>
      </c>
      <c r="Z2043" t="n">
        <v>2</v>
      </c>
      <c r="AA2043" t="n">
        <v>1438.2</v>
      </c>
      <c r="AB2043">
        <f>ROUND(U2043-AA2043,2)</f>
        <v/>
      </c>
      <c r="AC2043" t="b">
        <v>0</v>
      </c>
      <c r="AD2043">
        <f>IF(U2043="","MISSING_TOTAL",IF(ABS(AB2043)&lt;=0.01,"OK","CHECK"))</f>
        <v/>
      </c>
      <c r="AE2043">
        <f>IF(U2043="","MISSING",IF(AND(AA2043&gt;0,U2043/AA2043&gt;50),"POSSIBLE_SCALE_ERROR","OK"))</f>
        <v/>
      </c>
    </row>
    <row r="2044">
      <c r="A2044" t="inlineStr">
        <is>
          <t>T-2024-P4-019</t>
        </is>
      </c>
      <c r="B2044" t="inlineStr">
        <is>
          <t>SLE</t>
        </is>
      </c>
      <c r="C2044" t="inlineStr">
        <is>
          <t>Assistant Deputy Minister, Market and Industry Services Branch</t>
        </is>
      </c>
      <c r="D2044" t="inlineStr">
        <is>
          <t>Sous-ministre adjoint, Direction générale des services à l'industrie et aux marchés</t>
        </is>
      </c>
      <c r="E2044" t="inlineStr">
        <is>
          <t>Tom Rosser</t>
        </is>
      </c>
      <c r="F2044" t="inlineStr">
        <is>
          <t>Participate in regional outreach</t>
        </is>
      </c>
      <c r="G2044" t="inlineStr">
        <is>
          <t>Participer à la sensibilisation régionale</t>
        </is>
      </c>
      <c r="H2044" s="1" t="n">
        <v>45089</v>
      </c>
      <c r="I2044" s="1" t="n">
        <v>45094</v>
      </c>
      <c r="J2044" t="inlineStr">
        <is>
          <t>Vancouver (British Columbia) Canada</t>
        </is>
      </c>
      <c r="K2044" t="inlineStr">
        <is>
          <t>Vancouver (Colombie-Britannique) Canada</t>
        </is>
      </c>
      <c r="P2044" t="n">
        <v>1686.01</v>
      </c>
      <c r="Q2044" t="n">
        <v>184.45</v>
      </c>
      <c r="R2044" t="n">
        <v>1693.95</v>
      </c>
      <c r="S2044" t="n">
        <v>569.5</v>
      </c>
      <c r="T2044" t="n">
        <v>0</v>
      </c>
      <c r="U2044" t="n">
        <v>4133.91</v>
      </c>
      <c r="X2044" t="inlineStr">
        <is>
          <t>aafc-aac</t>
        </is>
      </c>
      <c r="Y2044" t="inlineStr">
        <is>
          <t>Agriculture and Agri-Food Canada | Agriculture et Agroalimentaire Canada</t>
        </is>
      </c>
      <c r="Z2044" t="n">
        <v>6</v>
      </c>
      <c r="AA2044" t="n">
        <v>4133.91</v>
      </c>
      <c r="AB2044">
        <f>ROUND(U2044-AA2044,2)</f>
        <v/>
      </c>
      <c r="AC2044" t="b">
        <v>0</v>
      </c>
      <c r="AD2044">
        <f>IF(U2044="","MISSING_TOTAL",IF(ABS(AB2044)&lt;=0.01,"OK","CHECK"))</f>
        <v/>
      </c>
      <c r="AE2044">
        <f>IF(U2044="","MISSING",IF(AND(AA2044&gt;0,U2044/AA2044&gt;50),"POSSIBLE_SCALE_ERROR","OK"))</f>
        <v/>
      </c>
    </row>
    <row r="2045">
      <c r="A2045" t="inlineStr">
        <is>
          <t>T-2024-P4-020</t>
        </is>
      </c>
      <c r="B2045" t="inlineStr">
        <is>
          <t>SLE</t>
        </is>
      </c>
      <c r="C2045" t="inlineStr">
        <is>
          <t>Chief Information Officer, Information Systems Branch</t>
        </is>
      </c>
      <c r="D2045" t="inlineStr">
        <is>
          <t>Dirigeante principale de l'information, Direction générale des systèmes d'information</t>
        </is>
      </c>
      <c r="E2045" t="inlineStr">
        <is>
          <t>Vidya ShankarNarayan</t>
        </is>
      </c>
      <c r="F2045" t="inlineStr">
        <is>
          <t>Attend 1st International Conference on Digital Innovation in Agri-Food</t>
        </is>
      </c>
      <c r="G2045" t="inlineStr">
        <is>
          <t>Assister à la première conférence internationale sur l'innovation digitale</t>
        </is>
      </c>
      <c r="H2045" s="1" t="n">
        <v>45084</v>
      </c>
      <c r="I2045" s="1" t="n">
        <v>45086</v>
      </c>
      <c r="J2045" t="inlineStr">
        <is>
          <t>Guelph (Ontario) Canada</t>
        </is>
      </c>
      <c r="K2045" t="inlineStr">
        <is>
          <t>Guelph (Ontario) Canada</t>
        </is>
      </c>
      <c r="P2045" t="n">
        <v>551.95</v>
      </c>
      <c r="Q2045" t="n">
        <v>205.38</v>
      </c>
      <c r="R2045" t="n">
        <v>467.72</v>
      </c>
      <c r="S2045" t="n">
        <v>298.8</v>
      </c>
      <c r="T2045" t="n">
        <v>33.9</v>
      </c>
      <c r="U2045" t="n">
        <v>1557.75</v>
      </c>
      <c r="X2045" t="inlineStr">
        <is>
          <t>aafc-aac</t>
        </is>
      </c>
      <c r="Y2045" t="inlineStr">
        <is>
          <t>Agriculture and Agri-Food Canada | Agriculture et Agroalimentaire Canada</t>
        </is>
      </c>
      <c r="Z2045" t="n">
        <v>3</v>
      </c>
      <c r="AA2045" t="n">
        <v>1557.75</v>
      </c>
      <c r="AB2045">
        <f>ROUND(U2045-AA2045,2)</f>
        <v/>
      </c>
      <c r="AC2045" t="b">
        <v>0</v>
      </c>
      <c r="AD2045">
        <f>IF(U2045="","MISSING_TOTAL",IF(ABS(AB2045)&lt;=0.01,"OK","CHECK"))</f>
        <v/>
      </c>
      <c r="AE2045">
        <f>IF(U2045="","MISSING",IF(AND(AA2045&gt;0,U2045/AA2045&gt;50),"POSSIBLE_SCALE_ERROR","OK"))</f>
        <v/>
      </c>
    </row>
    <row r="2046">
      <c r="A2046" t="inlineStr">
        <is>
          <t>T-2024-P4-021</t>
        </is>
      </c>
      <c r="B2046" t="inlineStr">
        <is>
          <t>SLE</t>
        </is>
      </c>
      <c r="C2046" t="inlineStr">
        <is>
          <t>Chief Information Officer, Information Systems Branch</t>
        </is>
      </c>
      <c r="D2046" t="inlineStr">
        <is>
          <t>Dirigeante principale de l'information, Direction générale des systèmes d'information</t>
        </is>
      </c>
      <c r="E2046" t="inlineStr">
        <is>
          <t>Vidya ShankarNarayan</t>
        </is>
      </c>
      <c r="F2046" t="inlineStr">
        <is>
          <t>Parking for DPI|TBS Digital Community event</t>
        </is>
      </c>
      <c r="G2046" t="inlineStr">
        <is>
          <t>Stationnement pour l'évènement DPI|SCT de la collectivité du numérique</t>
        </is>
      </c>
      <c r="H2046" s="1" t="n">
        <v>45057</v>
      </c>
      <c r="I2046" s="1" t="n">
        <v>45057</v>
      </c>
      <c r="J2046" t="inlineStr">
        <is>
          <t>Ottawa (Ontario) Canada</t>
        </is>
      </c>
      <c r="K2046" t="inlineStr">
        <is>
          <t>Ottawa (Ontario) Canada</t>
        </is>
      </c>
      <c r="P2046" t="n">
        <v>0</v>
      </c>
      <c r="Q2046" t="n">
        <v>17</v>
      </c>
      <c r="R2046" t="n">
        <v>0</v>
      </c>
      <c r="S2046" t="n">
        <v>0</v>
      </c>
      <c r="T2046" t="n">
        <v>0</v>
      </c>
      <c r="U2046" t="n">
        <v>17</v>
      </c>
      <c r="X2046" t="inlineStr">
        <is>
          <t>aafc-aac</t>
        </is>
      </c>
      <c r="Y2046" t="inlineStr">
        <is>
          <t>Agriculture and Agri-Food Canada | Agriculture et Agroalimentaire Canada</t>
        </is>
      </c>
      <c r="Z2046" t="n">
        <v>1</v>
      </c>
      <c r="AA2046" t="n">
        <v>17</v>
      </c>
      <c r="AB2046">
        <f>ROUND(U2046-AA2046,2)</f>
        <v/>
      </c>
      <c r="AC2046" t="b">
        <v>0</v>
      </c>
      <c r="AD2046">
        <f>IF(U2046="","MISSING_TOTAL",IF(ABS(AB2046)&lt;=0.01,"OK","CHECK"))</f>
        <v/>
      </c>
      <c r="AE2046">
        <f>IF(U2046="","MISSING",IF(AND(AA2046&gt;0,U2046/AA2046&gt;50),"POSSIBLE_SCALE_ERROR","OK"))</f>
        <v/>
      </c>
    </row>
    <row r="2047">
      <c r="A2047" t="inlineStr">
        <is>
          <t>T-2024-P5-0001</t>
        </is>
      </c>
      <c r="B2047" t="inlineStr">
        <is>
          <t>MPSES</t>
        </is>
      </c>
      <c r="C2047" t="inlineStr">
        <is>
          <t>Minister</t>
        </is>
      </c>
      <c r="D2047" t="inlineStr">
        <is>
          <t>Ministre</t>
        </is>
      </c>
      <c r="E2047" t="inlineStr">
        <is>
          <t>Lawrence MacAulay</t>
        </is>
      </c>
      <c r="F2047" t="inlineStr">
        <is>
          <t>Meet with stakeholders</t>
        </is>
      </c>
      <c r="G2047" t="inlineStr">
        <is>
          <t>Rencontrer les parties prenantes</t>
        </is>
      </c>
      <c r="H2047" s="1" t="n">
        <v>45139</v>
      </c>
      <c r="I2047" s="1" t="n">
        <v>45141</v>
      </c>
      <c r="J2047" t="inlineStr">
        <is>
          <t>Calgary (Alberta) Canada</t>
        </is>
      </c>
      <c r="K2047" t="inlineStr">
        <is>
          <t>Calgary (Alberta) Canada</t>
        </is>
      </c>
      <c r="P2047" t="n">
        <v>2387.35</v>
      </c>
      <c r="Q2047" t="n">
        <v>27.36</v>
      </c>
      <c r="R2047" t="n">
        <v>389.91</v>
      </c>
      <c r="S2047" t="n">
        <v>188.3</v>
      </c>
      <c r="T2047" t="n">
        <v>0</v>
      </c>
      <c r="U2047" t="n">
        <v>2992.92</v>
      </c>
      <c r="X2047" t="inlineStr">
        <is>
          <t>aafc-aac</t>
        </is>
      </c>
      <c r="Y2047" t="inlineStr">
        <is>
          <t>Agriculture and Agri-Food Canada | Agriculture et Agroalimentaire Canada</t>
        </is>
      </c>
      <c r="Z2047" t="n">
        <v>3</v>
      </c>
      <c r="AA2047" t="n">
        <v>2992.92</v>
      </c>
      <c r="AB2047">
        <f>ROUND(U2047-AA2047,2)</f>
        <v/>
      </c>
      <c r="AC2047" t="b">
        <v>0</v>
      </c>
      <c r="AD2047">
        <f>IF(U2047="","MISSING_TOTAL",IF(ABS(AB2047)&lt;=0.01,"OK","CHECK"))</f>
        <v/>
      </c>
      <c r="AE2047">
        <f>IF(U2047="","MISSING",IF(AND(AA2047&gt;0,U2047/AA2047&gt;50),"POSSIBLE_SCALE_ERROR","OK"))</f>
        <v/>
      </c>
    </row>
    <row r="2048">
      <c r="A2048" t="inlineStr">
        <is>
          <t>T-2024-P5-0002</t>
        </is>
      </c>
      <c r="B2048" t="inlineStr">
        <is>
          <t>MPSES</t>
        </is>
      </c>
      <c r="C2048" t="inlineStr">
        <is>
          <t>Minister</t>
        </is>
      </c>
      <c r="D2048" t="inlineStr">
        <is>
          <t>Ministre</t>
        </is>
      </c>
      <c r="E2048" t="inlineStr">
        <is>
          <t>Marie-Claude Bibeau</t>
        </is>
      </c>
      <c r="F2048" t="inlineStr">
        <is>
          <t>Attend the 2023 Food &amp; Agriculture Organization Conference</t>
        </is>
      </c>
      <c r="G2048" t="inlineStr">
        <is>
          <t>Assister à la conférence de l'Organisation des Nations unies pour l'alimentation et l'agriculture de 2023</t>
        </is>
      </c>
      <c r="H2048" s="1" t="n">
        <v>45102</v>
      </c>
      <c r="I2048" s="1" t="n">
        <v>45115</v>
      </c>
      <c r="J2048" t="inlineStr">
        <is>
          <t>Rome, Italy</t>
        </is>
      </c>
      <c r="K2048" t="inlineStr">
        <is>
          <t>Rome, Italie</t>
        </is>
      </c>
      <c r="P2048" t="n">
        <v>3676</v>
      </c>
      <c r="Q2048" t="n">
        <v>135.49</v>
      </c>
      <c r="R2048" t="n">
        <v>2400.66</v>
      </c>
      <c r="S2048" t="n">
        <v>961.16</v>
      </c>
      <c r="T2048" t="n">
        <v>0</v>
      </c>
      <c r="U2048" t="n">
        <v>7173.31</v>
      </c>
      <c r="X2048" t="inlineStr">
        <is>
          <t>aafc-aac</t>
        </is>
      </c>
      <c r="Y2048" t="inlineStr">
        <is>
          <t>Agriculture and Agri-Food Canada | Agriculture et Agroalimentaire Canada</t>
        </is>
      </c>
      <c r="Z2048" t="n">
        <v>14</v>
      </c>
      <c r="AA2048" t="n">
        <v>7173.30999999999</v>
      </c>
      <c r="AB2048">
        <f>ROUND(U2048-AA2048,2)</f>
        <v/>
      </c>
      <c r="AC2048" t="b">
        <v>0</v>
      </c>
      <c r="AD2048">
        <f>IF(U2048="","MISSING_TOTAL",IF(ABS(AB2048)&lt;=0.01,"OK","CHECK"))</f>
        <v/>
      </c>
      <c r="AE2048">
        <f>IF(U2048="","MISSING",IF(AND(AA2048&gt;0,U2048/AA2048&gt;50),"POSSIBLE_SCALE_ERROR","OK"))</f>
        <v/>
      </c>
    </row>
    <row r="2049">
      <c r="A2049" t="inlineStr">
        <is>
          <t>T-2024-P5-0003</t>
        </is>
      </c>
      <c r="B2049" t="inlineStr">
        <is>
          <t>MPSES</t>
        </is>
      </c>
      <c r="C2049" t="inlineStr">
        <is>
          <t>Minister</t>
        </is>
      </c>
      <c r="D2049" t="inlineStr">
        <is>
          <t>Ministre</t>
        </is>
      </c>
      <c r="E2049" t="inlineStr">
        <is>
          <t>Marie-Claude Bibeau</t>
        </is>
      </c>
      <c r="F2049" t="inlineStr">
        <is>
          <t>Attend the Federal, Provincial &amp; Territorial Minister's Conference and meet with stakeholders</t>
        </is>
      </c>
      <c r="G2049" t="inlineStr">
        <is>
          <t>Participer à la conférence des ministres fédéraux, provinciaux et territoriaux et rencontrer les parties prenantes</t>
        </is>
      </c>
      <c r="H2049" s="1" t="n">
        <v>45124</v>
      </c>
      <c r="I2049" s="1" t="n">
        <v>45131</v>
      </c>
      <c r="J2049" t="inlineStr">
        <is>
          <t>Edmunston (New Brunswick) Canada
Fredericton  (New Brunswick) Canada
Moncton (New Brunswick) Canada
Deer Lake (Newfoundland) Canada
St.Johns (Newfoundland) Canada</t>
        </is>
      </c>
      <c r="K2049" t="inlineStr">
        <is>
          <t>Edmunston (New Brunswick) Canada
Frédéricton  (New Brunswick) Canada
Moncton (New Brunswick) Canada
Deer Lake (Newfoundland) Canada
St.Johns (Newfoundland) Canada</t>
        </is>
      </c>
      <c r="P2049" t="n">
        <v>1654.76</v>
      </c>
      <c r="Q2049" t="n">
        <v>0</v>
      </c>
      <c r="R2049" t="n">
        <v>1387.94</v>
      </c>
      <c r="S2049" t="n">
        <v>505.2</v>
      </c>
      <c r="T2049" t="n">
        <v>0</v>
      </c>
      <c r="U2049" t="n">
        <v>3547.9</v>
      </c>
      <c r="X2049" t="inlineStr">
        <is>
          <t>aafc-aac</t>
        </is>
      </c>
      <c r="Y2049" t="inlineStr">
        <is>
          <t>Agriculture and Agri-Food Canada | Agriculture et Agroalimentaire Canada</t>
        </is>
      </c>
      <c r="Z2049" t="n">
        <v>8</v>
      </c>
      <c r="AA2049" t="n">
        <v>3547.89999999999</v>
      </c>
      <c r="AB2049">
        <f>ROUND(U2049-AA2049,2)</f>
        <v/>
      </c>
      <c r="AC2049" t="b">
        <v>0</v>
      </c>
      <c r="AD2049">
        <f>IF(U2049="","MISSING_TOTAL",IF(ABS(AB2049)&lt;=0.01,"OK","CHECK"))</f>
        <v/>
      </c>
      <c r="AE2049">
        <f>IF(U2049="","MISSING",IF(AND(AA2049&gt;0,U2049/AA2049&gt;50),"POSSIBLE_SCALE_ERROR","OK"))</f>
        <v/>
      </c>
    </row>
    <row r="2050">
      <c r="A2050" t="inlineStr">
        <is>
          <t>T-2024-P5-0004</t>
        </is>
      </c>
      <c r="B2050" t="inlineStr">
        <is>
          <t>MPSES</t>
        </is>
      </c>
      <c r="C2050" t="inlineStr">
        <is>
          <t>Director of Operations</t>
        </is>
      </c>
      <c r="D2050" t="inlineStr">
        <is>
          <t>Directeur des opérations</t>
        </is>
      </c>
      <c r="E2050" t="inlineStr">
        <is>
          <t>Abed Harb</t>
        </is>
      </c>
      <c r="F2050" t="inlineStr">
        <is>
          <t>To attend the G20 Minister's Conference</t>
        </is>
      </c>
      <c r="G2050" t="inlineStr">
        <is>
          <t>Participer à la conférence des ministres du G20</t>
        </is>
      </c>
      <c r="H2050" s="1" t="n">
        <v>45090</v>
      </c>
      <c r="I2050" s="1" t="n">
        <v>45110</v>
      </c>
      <c r="J2050" t="inlineStr">
        <is>
          <t>Dubai, United Arad Emirates
Beirut, Lebanon
Hyderabad, India</t>
        </is>
      </c>
      <c r="K2050" t="inlineStr">
        <is>
          <t>Dubaï, Émirats arabes unis
Beyrouth, Liban
Hyderabad, Inde</t>
        </is>
      </c>
      <c r="P2050" t="n">
        <v>4791.79</v>
      </c>
      <c r="Q2050" t="n">
        <v>0</v>
      </c>
      <c r="R2050" t="n">
        <v>1066.32</v>
      </c>
      <c r="S2050" t="n">
        <v>761.49</v>
      </c>
      <c r="T2050" t="n">
        <v>0</v>
      </c>
      <c r="U2050" t="n">
        <v>6619.6</v>
      </c>
      <c r="X2050" t="inlineStr">
        <is>
          <t>aafc-aac</t>
        </is>
      </c>
      <c r="Y2050" t="inlineStr">
        <is>
          <t>Agriculture and Agri-Food Canada | Agriculture et Agroalimentaire Canada</t>
        </is>
      </c>
      <c r="Z2050" t="n">
        <v>21</v>
      </c>
      <c r="AA2050" t="n">
        <v>6619.59999999999</v>
      </c>
      <c r="AB2050">
        <f>ROUND(U2050-AA2050,2)</f>
        <v/>
      </c>
      <c r="AC2050" t="b">
        <v>0</v>
      </c>
      <c r="AD2050">
        <f>IF(U2050="","MISSING_TOTAL",IF(ABS(AB2050)&lt;=0.01,"OK","CHECK"))</f>
        <v/>
      </c>
      <c r="AE2050">
        <f>IF(U2050="","MISSING",IF(AND(AA2050&gt;0,U2050/AA2050&gt;50),"POSSIBLE_SCALE_ERROR","OK"))</f>
        <v/>
      </c>
    </row>
    <row r="2051">
      <c r="A2051" t="inlineStr">
        <is>
          <t>T-2024-P5-0005</t>
        </is>
      </c>
      <c r="B2051" t="inlineStr">
        <is>
          <t>MPSES</t>
        </is>
      </c>
      <c r="C2051" t="inlineStr">
        <is>
          <t>Director of Operations</t>
        </is>
      </c>
      <c r="D2051" t="inlineStr">
        <is>
          <t>Directeur des opérations</t>
        </is>
      </c>
      <c r="E2051" t="inlineStr">
        <is>
          <t>Abed Harb</t>
        </is>
      </c>
      <c r="F2051" t="inlineStr">
        <is>
          <t>To attend the Calgary Stampede with the Parliamentary Secretary</t>
        </is>
      </c>
      <c r="G2051" t="inlineStr">
        <is>
          <t>Assister au Stampede de Calgary avec le secrétaire parlementaire</t>
        </is>
      </c>
      <c r="H2051" s="1" t="n">
        <v>45118</v>
      </c>
      <c r="I2051" s="1" t="n">
        <v>45118</v>
      </c>
      <c r="J2051" t="inlineStr">
        <is>
          <t>Calgary (Alberta) Canada</t>
        </is>
      </c>
      <c r="K2051" t="inlineStr">
        <is>
          <t>Calgary (Alberta) Canada</t>
        </is>
      </c>
      <c r="P2051" t="n">
        <v>0</v>
      </c>
      <c r="Q2051" t="n">
        <v>66.26000000000001</v>
      </c>
      <c r="R2051" t="n">
        <v>0</v>
      </c>
      <c r="S2051" t="n">
        <v>0</v>
      </c>
      <c r="T2051" t="n">
        <v>0</v>
      </c>
      <c r="U2051" t="n">
        <v>66.26000000000001</v>
      </c>
      <c r="X2051" t="inlineStr">
        <is>
          <t>aafc-aac</t>
        </is>
      </c>
      <c r="Y2051" t="inlineStr">
        <is>
          <t>Agriculture and Agri-Food Canada | Agriculture et Agroalimentaire Canada</t>
        </is>
      </c>
      <c r="Z2051" t="n">
        <v>1</v>
      </c>
      <c r="AA2051" t="n">
        <v>66.26000000000001</v>
      </c>
      <c r="AB2051">
        <f>ROUND(U2051-AA2051,2)</f>
        <v/>
      </c>
      <c r="AC2051" t="b">
        <v>0</v>
      </c>
      <c r="AD2051">
        <f>IF(U2051="","MISSING_TOTAL",IF(ABS(AB2051)&lt;=0.01,"OK","CHECK"))</f>
        <v/>
      </c>
      <c r="AE2051">
        <f>IF(U2051="","MISSING",IF(AND(AA2051&gt;0,U2051/AA2051&gt;50),"POSSIBLE_SCALE_ERROR","OK"))</f>
        <v/>
      </c>
    </row>
    <row r="2052">
      <c r="A2052" t="inlineStr">
        <is>
          <t>T-2024-P5-0006</t>
        </is>
      </c>
      <c r="B2052" t="inlineStr">
        <is>
          <t>MPSES</t>
        </is>
      </c>
      <c r="C2052" t="inlineStr">
        <is>
          <t>Director of Operations</t>
        </is>
      </c>
      <c r="D2052" t="inlineStr">
        <is>
          <t>Directeur des opérations</t>
        </is>
      </c>
      <c r="E2052" t="inlineStr">
        <is>
          <t>Abed Harb</t>
        </is>
      </c>
      <c r="F2052" t="inlineStr">
        <is>
          <t>To attend stakeholder meetings with the Minister</t>
        </is>
      </c>
      <c r="G2052" t="inlineStr">
        <is>
          <t>Participer aux réunions des parties prenantes avec le ministre</t>
        </is>
      </c>
      <c r="H2052" s="1" t="n">
        <v>45119</v>
      </c>
      <c r="I2052" s="1" t="n">
        <v>45122</v>
      </c>
      <c r="J2052" t="inlineStr">
        <is>
          <t>Sherbrooke (Quebec) Canada</t>
        </is>
      </c>
      <c r="K2052" t="inlineStr">
        <is>
          <t>Sherbrooke (Québec) Canada</t>
        </is>
      </c>
      <c r="P2052" t="n">
        <v>904.9</v>
      </c>
      <c r="Q2052" t="n">
        <v>102.01</v>
      </c>
      <c r="R2052" t="n">
        <v>261.78</v>
      </c>
      <c r="S2052" t="n">
        <v>0</v>
      </c>
      <c r="T2052" t="n">
        <v>0</v>
      </c>
      <c r="U2052" t="n">
        <v>1268.69</v>
      </c>
      <c r="X2052" t="inlineStr">
        <is>
          <t>aafc-aac</t>
        </is>
      </c>
      <c r="Y2052" t="inlineStr">
        <is>
          <t>Agriculture and Agri-Food Canada | Agriculture et Agroalimentaire Canada</t>
        </is>
      </c>
      <c r="Z2052" t="n">
        <v>4</v>
      </c>
      <c r="AA2052" t="n">
        <v>1268.69</v>
      </c>
      <c r="AB2052">
        <f>ROUND(U2052-AA2052,2)</f>
        <v/>
      </c>
      <c r="AC2052" t="b">
        <v>0</v>
      </c>
      <c r="AD2052">
        <f>IF(U2052="","MISSING_TOTAL",IF(ABS(AB2052)&lt;=0.01,"OK","CHECK"))</f>
        <v/>
      </c>
      <c r="AE2052">
        <f>IF(U2052="","MISSING",IF(AND(AA2052&gt;0,U2052/AA2052&gt;50),"POSSIBLE_SCALE_ERROR","OK"))</f>
        <v/>
      </c>
    </row>
    <row r="2053">
      <c r="A2053" t="inlineStr">
        <is>
          <t>T-2024-P5-0007</t>
        </is>
      </c>
      <c r="B2053" t="inlineStr">
        <is>
          <t>MPSES</t>
        </is>
      </c>
      <c r="C2053" t="inlineStr">
        <is>
          <t>Director of Operations</t>
        </is>
      </c>
      <c r="D2053" t="inlineStr">
        <is>
          <t>Directeur des opérations</t>
        </is>
      </c>
      <c r="E2053" t="inlineStr">
        <is>
          <t>Abed Harb</t>
        </is>
      </c>
      <c r="F2053" t="inlineStr">
        <is>
          <t>Assist the Minister for his Outreach to Calgary, Alberta</t>
        </is>
      </c>
      <c r="G2053" t="inlineStr">
        <is>
          <t>Assister le ministre dans sa tournée à Calgary (Alberta)</t>
        </is>
      </c>
      <c r="H2053" s="1" t="n">
        <v>45140</v>
      </c>
      <c r="I2053" s="1" t="n">
        <v>45140</v>
      </c>
      <c r="J2053" t="inlineStr">
        <is>
          <t>Calgary (Alberta) Canada</t>
        </is>
      </c>
      <c r="K2053" t="inlineStr">
        <is>
          <t>Calgary (Alberta) Canada</t>
        </is>
      </c>
      <c r="P2053" t="n">
        <v>0</v>
      </c>
      <c r="Q2053" t="n">
        <v>24.75</v>
      </c>
      <c r="R2053" t="n">
        <v>0</v>
      </c>
      <c r="S2053" t="n">
        <v>0</v>
      </c>
      <c r="T2053" t="n">
        <v>0</v>
      </c>
      <c r="U2053" t="n">
        <v>24.75</v>
      </c>
      <c r="X2053" t="inlineStr">
        <is>
          <t>aafc-aac</t>
        </is>
      </c>
      <c r="Y2053" t="inlineStr">
        <is>
          <t>Agriculture and Agri-Food Canada | Agriculture et Agroalimentaire Canada</t>
        </is>
      </c>
      <c r="Z2053" t="n">
        <v>1</v>
      </c>
      <c r="AA2053" t="n">
        <v>24.75</v>
      </c>
      <c r="AB2053">
        <f>ROUND(U2053-AA2053,2)</f>
        <v/>
      </c>
      <c r="AC2053" t="b">
        <v>0</v>
      </c>
      <c r="AD2053">
        <f>IF(U2053="","MISSING_TOTAL",IF(ABS(AB2053)&lt;=0.01,"OK","CHECK"))</f>
        <v/>
      </c>
      <c r="AE2053">
        <f>IF(U2053="","MISSING",IF(AND(AA2053&gt;0,U2053/AA2053&gt;50),"POSSIBLE_SCALE_ERROR","OK"))</f>
        <v/>
      </c>
    </row>
    <row r="2054">
      <c r="A2054" t="inlineStr">
        <is>
          <t>T-2024-P5-0008</t>
        </is>
      </c>
      <c r="B2054" t="inlineStr">
        <is>
          <t>MPSES</t>
        </is>
      </c>
      <c r="C2054" t="inlineStr">
        <is>
          <t>Director of Operations</t>
        </is>
      </c>
      <c r="D2054" t="inlineStr">
        <is>
          <t>Directeur des opérations</t>
        </is>
      </c>
      <c r="E2054" t="inlineStr">
        <is>
          <t>Abed Harb</t>
        </is>
      </c>
      <c r="F2054" t="inlineStr">
        <is>
          <t>Accompany the Minister for a tour in Winnipeg &amp; Seattle</t>
        </is>
      </c>
      <c r="G2054" t="inlineStr">
        <is>
          <t>Accompagner le ministre lors d'une visite à Winnipeg et à Seattle</t>
        </is>
      </c>
      <c r="H2054" s="1" t="n">
        <v>45137</v>
      </c>
      <c r="I2054" s="1" t="n">
        <v>45141</v>
      </c>
      <c r="J2054" t="inlineStr">
        <is>
          <t>Winnipeg (Manitoba) Canada
Seattle (Washington) United States</t>
        </is>
      </c>
      <c r="K2054" t="inlineStr">
        <is>
          <t>Winnipeg (Manitoba) Canada
Seattle (Washington) États-Unis</t>
        </is>
      </c>
      <c r="P2054" t="n">
        <v>1891.88</v>
      </c>
      <c r="Q2054" t="n">
        <v>0</v>
      </c>
      <c r="R2054" t="n">
        <v>695.24</v>
      </c>
      <c r="S2054" t="n">
        <v>0</v>
      </c>
      <c r="T2054" t="n">
        <v>0</v>
      </c>
      <c r="U2054" t="n">
        <v>2587.12</v>
      </c>
      <c r="X2054" t="inlineStr">
        <is>
          <t>aafc-aac</t>
        </is>
      </c>
      <c r="Y2054" t="inlineStr">
        <is>
          <t>Agriculture and Agri-Food Canada | Agriculture et Agroalimentaire Canada</t>
        </is>
      </c>
      <c r="Z2054" t="n">
        <v>5</v>
      </c>
      <c r="AA2054" t="n">
        <v>2587.12</v>
      </c>
      <c r="AB2054">
        <f>ROUND(U2054-AA2054,2)</f>
        <v/>
      </c>
      <c r="AC2054" t="b">
        <v>0</v>
      </c>
      <c r="AD2054">
        <f>IF(U2054="","MISSING_TOTAL",IF(ABS(AB2054)&lt;=0.01,"OK","CHECK"))</f>
        <v/>
      </c>
      <c r="AE2054">
        <f>IF(U2054="","MISSING",IF(AND(AA2054&gt;0,U2054/AA2054&gt;50),"POSSIBLE_SCALE_ERROR","OK"))</f>
        <v/>
      </c>
    </row>
    <row r="2055">
      <c r="A2055" t="inlineStr">
        <is>
          <t>T-2024-P5-0009</t>
        </is>
      </c>
      <c r="B2055" t="inlineStr">
        <is>
          <t>MPSES</t>
        </is>
      </c>
      <c r="C2055" t="inlineStr">
        <is>
          <t>Director of Operations</t>
        </is>
      </c>
      <c r="D2055" t="inlineStr">
        <is>
          <t>Directeur des opérations</t>
        </is>
      </c>
      <c r="E2055" t="inlineStr">
        <is>
          <t>Abed Harb</t>
        </is>
      </c>
      <c r="F2055" t="inlineStr">
        <is>
          <t>To assist the Minister for his outreach and attend the Tri-National accord</t>
        </is>
      </c>
      <c r="G2055" t="inlineStr">
        <is>
          <t>Assister le ministre dans ses activités de sensibilisation et participer à l'accord tri-national.</t>
        </is>
      </c>
      <c r="H2055" s="1" t="n">
        <v>45152</v>
      </c>
      <c r="I2055" s="1" t="n">
        <v>45153</v>
      </c>
      <c r="J2055" t="inlineStr">
        <is>
          <t>Saskatoon (Saskachewan) Canada</t>
        </is>
      </c>
      <c r="K2055" t="inlineStr">
        <is>
          <t>Saskatoon (Saskachewan) Canada</t>
        </is>
      </c>
      <c r="P2055" t="n">
        <v>970.75</v>
      </c>
      <c r="Q2055" t="n">
        <v>59.58</v>
      </c>
      <c r="R2055" t="n">
        <v>213.8</v>
      </c>
      <c r="S2055" t="n">
        <v>164.7</v>
      </c>
      <c r="T2055" t="n">
        <v>0</v>
      </c>
      <c r="U2055" t="n">
        <v>1408.83</v>
      </c>
      <c r="X2055" t="inlineStr">
        <is>
          <t>aafc-aac</t>
        </is>
      </c>
      <c r="Y2055" t="inlineStr">
        <is>
          <t>Agriculture and Agri-Food Canada | Agriculture et Agroalimentaire Canada</t>
        </is>
      </c>
      <c r="Z2055" t="n">
        <v>2</v>
      </c>
      <c r="AA2055" t="n">
        <v>1408.83</v>
      </c>
      <c r="AB2055">
        <f>ROUND(U2055-AA2055,2)</f>
        <v/>
      </c>
      <c r="AC2055" t="b">
        <v>0</v>
      </c>
      <c r="AD2055">
        <f>IF(U2055="","MISSING_TOTAL",IF(ABS(AB2055)&lt;=0.01,"OK","CHECK"))</f>
        <v/>
      </c>
      <c r="AE2055">
        <f>IF(U2055="","MISSING",IF(AND(AA2055&gt;0,U2055/AA2055&gt;50),"POSSIBLE_SCALE_ERROR","OK"))</f>
        <v/>
      </c>
    </row>
    <row r="2056">
      <c r="A2056" t="inlineStr">
        <is>
          <t>T-2024-P5-0010</t>
        </is>
      </c>
      <c r="B2056" t="inlineStr">
        <is>
          <t>MPSES</t>
        </is>
      </c>
      <c r="C2056" t="inlineStr">
        <is>
          <t>Director of Communications</t>
        </is>
      </c>
      <c r="D2056" t="inlineStr">
        <is>
          <t>Directrice des communications</t>
        </is>
      </c>
      <c r="E2056" t="inlineStr">
        <is>
          <t>Marianne Dandurand</t>
        </is>
      </c>
      <c r="F2056" t="inlineStr">
        <is>
          <t>Attend the 2023 Food &amp; Agriculture Organization Conference</t>
        </is>
      </c>
      <c r="G2056" t="inlineStr">
        <is>
          <t>Assister à la conférence de l'Organisation des Nations unies pour l'alimentation et l'agriculture de 2023</t>
        </is>
      </c>
      <c r="H2056" s="1" t="n">
        <v>45099</v>
      </c>
      <c r="I2056" s="1" t="n">
        <v>45115</v>
      </c>
      <c r="J2056" t="inlineStr">
        <is>
          <t>Rome, Italy
Bari, Italy</t>
        </is>
      </c>
      <c r="K2056" t="inlineStr">
        <is>
          <t>Rome, Italie
Bari, Italie</t>
        </is>
      </c>
      <c r="P2056" t="n">
        <v>2215.5</v>
      </c>
      <c r="Q2056" t="n">
        <v>272.43</v>
      </c>
      <c r="R2056" t="n">
        <v>2298.53</v>
      </c>
      <c r="S2056" t="n">
        <v>1055.96</v>
      </c>
      <c r="T2056" t="n">
        <v>0</v>
      </c>
      <c r="U2056" t="n">
        <v>5842.42</v>
      </c>
      <c r="X2056" t="inlineStr">
        <is>
          <t>aafc-aac</t>
        </is>
      </c>
      <c r="Y2056" t="inlineStr">
        <is>
          <t>Agriculture and Agri-Food Canada | Agriculture et Agroalimentaire Canada</t>
        </is>
      </c>
      <c r="Z2056" t="n">
        <v>17</v>
      </c>
      <c r="AA2056" t="n">
        <v>5842.42</v>
      </c>
      <c r="AB2056">
        <f>ROUND(U2056-AA2056,2)</f>
        <v/>
      </c>
      <c r="AC2056" t="b">
        <v>0</v>
      </c>
      <c r="AD2056">
        <f>IF(U2056="","MISSING_TOTAL",IF(ABS(AB2056)&lt;=0.01,"OK","CHECK"))</f>
        <v/>
      </c>
      <c r="AE2056">
        <f>IF(U2056="","MISSING",IF(AND(AA2056&gt;0,U2056/AA2056&gt;50),"POSSIBLE_SCALE_ERROR","OK"))</f>
        <v/>
      </c>
    </row>
    <row r="2057">
      <c r="A2057" t="inlineStr">
        <is>
          <t>T-2024-P5-0011</t>
        </is>
      </c>
      <c r="B2057" t="inlineStr">
        <is>
          <t>MPSES</t>
        </is>
      </c>
      <c r="C2057" t="inlineStr">
        <is>
          <t>Director of Communications</t>
        </is>
      </c>
      <c r="D2057" t="inlineStr">
        <is>
          <t>Directrice des communications</t>
        </is>
      </c>
      <c r="E2057" t="inlineStr">
        <is>
          <t>Marianne Dandurand</t>
        </is>
      </c>
      <c r="F2057" t="inlineStr">
        <is>
          <t>Attend the Federal, Provincial &amp; Territorial Minister's Conference and meet with stakeholders</t>
        </is>
      </c>
      <c r="G2057" t="inlineStr">
        <is>
          <t>Participer à la conférence des ministres fédéraux, provinciaux et territoriaux et rencontrer les parties prenantes</t>
        </is>
      </c>
      <c r="H2057" s="1" t="n">
        <v>45124</v>
      </c>
      <c r="I2057" s="1" t="n">
        <v>45131</v>
      </c>
      <c r="J2057" t="inlineStr">
        <is>
          <t>Edmunston (New Brunswick) Canada
Fredericton  (New Brunswick) Canada
Moncton (New Brunswick) Canada
Deer Lake (Newfoundland) Canada
St.Johns (Newfoundland) Canada</t>
        </is>
      </c>
      <c r="K2057" t="inlineStr">
        <is>
          <t>Edmunston (New Brunswick) Canada
Frédéricton  (New Brunswick) Canada
Moncton (New Brunswick) Canada
Deer Lake (Newfoundland) Canada
St.Johns (Newfoundland) Canada</t>
        </is>
      </c>
      <c r="P2057" t="n">
        <v>1419.16</v>
      </c>
      <c r="Q2057" t="n">
        <v>172.87</v>
      </c>
      <c r="R2057" t="n">
        <v>1629.62</v>
      </c>
      <c r="S2057" t="n">
        <v>717.4</v>
      </c>
      <c r="T2057" t="n">
        <v>0</v>
      </c>
      <c r="U2057" t="n">
        <v>3939.05</v>
      </c>
      <c r="X2057" t="inlineStr">
        <is>
          <t>aafc-aac</t>
        </is>
      </c>
      <c r="Y2057" t="inlineStr">
        <is>
          <t>Agriculture and Agri-Food Canada | Agriculture et Agroalimentaire Canada</t>
        </is>
      </c>
      <c r="Z2057" t="n">
        <v>8</v>
      </c>
      <c r="AA2057" t="n">
        <v>3939.05</v>
      </c>
      <c r="AB2057">
        <f>ROUND(U2057-AA2057,2)</f>
        <v/>
      </c>
      <c r="AC2057" t="b">
        <v>0</v>
      </c>
      <c r="AD2057">
        <f>IF(U2057="","MISSING_TOTAL",IF(ABS(AB2057)&lt;=0.01,"OK","CHECK"))</f>
        <v/>
      </c>
      <c r="AE2057">
        <f>IF(U2057="","MISSING",IF(AND(AA2057&gt;0,U2057/AA2057&gt;50),"POSSIBLE_SCALE_ERROR","OK"))</f>
        <v/>
      </c>
    </row>
    <row r="2058">
      <c r="A2058" t="inlineStr">
        <is>
          <t>T-2024-P5-0012</t>
        </is>
      </c>
      <c r="B2058" t="inlineStr">
        <is>
          <t>MPSES</t>
        </is>
      </c>
      <c r="C2058" t="inlineStr">
        <is>
          <t>Chief of Staff</t>
        </is>
      </c>
      <c r="D2058" t="inlineStr">
        <is>
          <t>Chef de cabinet</t>
        </is>
      </c>
      <c r="E2058" t="inlineStr">
        <is>
          <t>Jérémy Gauthier</t>
        </is>
      </c>
      <c r="F2058" t="inlineStr">
        <is>
          <t>Attend briefings and stakeholder meetings with the Minister</t>
        </is>
      </c>
      <c r="G2058" t="inlineStr">
        <is>
          <t>Participer aux réunions d'information et aux réunions des parties prenantes avec la ministre</t>
        </is>
      </c>
      <c r="H2058" s="1" t="n">
        <v>45121</v>
      </c>
      <c r="I2058" s="1" t="n">
        <v>45121</v>
      </c>
      <c r="J2058" t="inlineStr">
        <is>
          <t>Sherbrooke (Quebec) Canada</t>
        </is>
      </c>
      <c r="K2058" t="inlineStr">
        <is>
          <t>Sherbrooke (Québec) Canada</t>
        </is>
      </c>
      <c r="P2058" t="n">
        <v>0</v>
      </c>
      <c r="Q2058" t="n">
        <v>85.51000000000001</v>
      </c>
      <c r="R2058" t="n">
        <v>0</v>
      </c>
      <c r="S2058" t="n">
        <v>0</v>
      </c>
      <c r="T2058" t="n">
        <v>0</v>
      </c>
      <c r="U2058" t="n">
        <v>85.51000000000001</v>
      </c>
      <c r="X2058" t="inlineStr">
        <is>
          <t>aafc-aac</t>
        </is>
      </c>
      <c r="Y2058" t="inlineStr">
        <is>
          <t>Agriculture and Agri-Food Canada | Agriculture et Agroalimentaire Canada</t>
        </is>
      </c>
      <c r="Z2058" t="n">
        <v>1</v>
      </c>
      <c r="AA2058" t="n">
        <v>85.51000000000001</v>
      </c>
      <c r="AB2058">
        <f>ROUND(U2058-AA2058,2)</f>
        <v/>
      </c>
      <c r="AC2058" t="b">
        <v>0</v>
      </c>
      <c r="AD2058">
        <f>IF(U2058="","MISSING_TOTAL",IF(ABS(AB2058)&lt;=0.01,"OK","CHECK"))</f>
        <v/>
      </c>
      <c r="AE2058">
        <f>IF(U2058="","MISSING",IF(AND(AA2058&gt;0,U2058/AA2058&gt;50),"POSSIBLE_SCALE_ERROR","OK"))</f>
        <v/>
      </c>
    </row>
    <row r="2059">
      <c r="A2059" t="inlineStr">
        <is>
          <t>T-2024-P5-0013</t>
        </is>
      </c>
      <c r="B2059" t="inlineStr">
        <is>
          <t>MPSES</t>
        </is>
      </c>
      <c r="C2059" t="inlineStr">
        <is>
          <t>Chief of Staff</t>
        </is>
      </c>
      <c r="D2059" t="inlineStr">
        <is>
          <t>Chef de cabinet</t>
        </is>
      </c>
      <c r="E2059" t="inlineStr">
        <is>
          <t>Jérémy Gauthier</t>
        </is>
      </c>
      <c r="F2059" t="inlineStr">
        <is>
          <t>Attend the Federal, Provincial &amp; Territorial Minister's Conference and meet with stakeholders</t>
        </is>
      </c>
      <c r="G2059" t="inlineStr">
        <is>
          <t>Participer à la conférence des ministres fédéraux, provinciaux et territoriaux et rencontrer les parties prenantes</t>
        </is>
      </c>
      <c r="H2059" s="1" t="n">
        <v>45125</v>
      </c>
      <c r="I2059" s="1" t="n">
        <v>45128</v>
      </c>
      <c r="J2059" t="inlineStr">
        <is>
          <t>Fredericton  (New Brunswick) Canada</t>
        </is>
      </c>
      <c r="K2059" t="inlineStr">
        <is>
          <t>Frédéricton  (New Brunswick) Canada</t>
        </is>
      </c>
      <c r="P2059" t="n">
        <v>702.51</v>
      </c>
      <c r="Q2059" t="n">
        <v>144.47</v>
      </c>
      <c r="R2059" t="n">
        <v>567.75</v>
      </c>
      <c r="S2059" t="n">
        <v>141.1</v>
      </c>
      <c r="T2059" t="n">
        <v>0</v>
      </c>
      <c r="U2059" t="n">
        <v>1555.83</v>
      </c>
      <c r="X2059" t="inlineStr">
        <is>
          <t>aafc-aac</t>
        </is>
      </c>
      <c r="Y2059" t="inlineStr">
        <is>
          <t>Agriculture and Agri-Food Canada | Agriculture et Agroalimentaire Canada</t>
        </is>
      </c>
      <c r="Z2059" t="n">
        <v>4</v>
      </c>
      <c r="AA2059" t="n">
        <v>1555.83</v>
      </c>
      <c r="AB2059">
        <f>ROUND(U2059-AA2059,2)</f>
        <v/>
      </c>
      <c r="AC2059" t="b">
        <v>0</v>
      </c>
      <c r="AD2059">
        <f>IF(U2059="","MISSING_TOTAL",IF(ABS(AB2059)&lt;=0.01,"OK","CHECK"))</f>
        <v/>
      </c>
      <c r="AE2059">
        <f>IF(U2059="","MISSING",IF(AND(AA2059&gt;0,U2059/AA2059&gt;50),"POSSIBLE_SCALE_ERROR","OK"))</f>
        <v/>
      </c>
    </row>
    <row r="2060">
      <c r="A2060" t="inlineStr">
        <is>
          <t>T-2024-P5-0014</t>
        </is>
      </c>
      <c r="B2060" t="inlineStr">
        <is>
          <t>MPSES</t>
        </is>
      </c>
      <c r="C2060" t="inlineStr">
        <is>
          <t>Chief of Staff</t>
        </is>
      </c>
      <c r="D2060" t="inlineStr">
        <is>
          <t>Chef de cabinet</t>
        </is>
      </c>
      <c r="E2060" t="inlineStr">
        <is>
          <t>Matthew Mann</t>
        </is>
      </c>
      <c r="F2060" t="inlineStr">
        <is>
          <t>Attend meetings with stakeholder with the Minister</t>
        </is>
      </c>
      <c r="G2060" t="inlineStr">
        <is>
          <t>Participer à des réunions avec les parties prenantes et le ministre</t>
        </is>
      </c>
      <c r="H2060" s="1" t="n">
        <v>45139</v>
      </c>
      <c r="I2060" s="1" t="n">
        <v>45141</v>
      </c>
      <c r="J2060" t="inlineStr">
        <is>
          <t>Calgary (Alberta) Canada</t>
        </is>
      </c>
      <c r="K2060" t="inlineStr">
        <is>
          <t>Calgary (Alberta) Canada</t>
        </is>
      </c>
      <c r="P2060" t="n">
        <v>2341.15</v>
      </c>
      <c r="Q2060" t="n">
        <v>55.65</v>
      </c>
      <c r="R2060" t="n">
        <v>389.91</v>
      </c>
      <c r="S2060" t="n">
        <v>188.3</v>
      </c>
      <c r="T2060" t="n">
        <v>0</v>
      </c>
      <c r="U2060" t="n">
        <v>2975.01</v>
      </c>
      <c r="X2060" t="inlineStr">
        <is>
          <t>aafc-aac</t>
        </is>
      </c>
      <c r="Y2060" t="inlineStr">
        <is>
          <t>Agriculture and Agri-Food Canada | Agriculture et Agroalimentaire Canada</t>
        </is>
      </c>
      <c r="Z2060" t="n">
        <v>3</v>
      </c>
      <c r="AA2060" t="n">
        <v>2975.01</v>
      </c>
      <c r="AB2060">
        <f>ROUND(U2060-AA2060,2)</f>
        <v/>
      </c>
      <c r="AC2060" t="b">
        <v>0</v>
      </c>
      <c r="AD2060">
        <f>IF(U2060="","MISSING_TOTAL",IF(ABS(AB2060)&lt;=0.01,"OK","CHECK"))</f>
        <v/>
      </c>
      <c r="AE2060">
        <f>IF(U2060="","MISSING",IF(AND(AA2060&gt;0,U2060/AA2060&gt;50),"POSSIBLE_SCALE_ERROR","OK"))</f>
        <v/>
      </c>
    </row>
    <row r="2061">
      <c r="A2061" t="inlineStr">
        <is>
          <t>T-2024-P5-0015</t>
        </is>
      </c>
      <c r="B2061" t="inlineStr">
        <is>
          <t>MPSES</t>
        </is>
      </c>
      <c r="C2061" t="inlineStr">
        <is>
          <t>Chief of Staff</t>
        </is>
      </c>
      <c r="D2061" t="inlineStr">
        <is>
          <t>Chef de cabinet</t>
        </is>
      </c>
      <c r="E2061" t="inlineStr">
        <is>
          <t>Matthew Mann</t>
        </is>
      </c>
      <c r="F2061" t="inlineStr">
        <is>
          <t>To accompany the Minister on a Western Outreach</t>
        </is>
      </c>
      <c r="G2061" t="inlineStr">
        <is>
          <t>Accompagner le ministre lors d'une tournée dans l'Ouest</t>
        </is>
      </c>
      <c r="H2061" s="1" t="n">
        <v>45152</v>
      </c>
      <c r="I2061" s="1" t="n">
        <v>45155</v>
      </c>
      <c r="J2061" t="inlineStr">
        <is>
          <t>Saskatoon (Saskatchewan) Canada
Calgary (Alberta) Canada</t>
        </is>
      </c>
      <c r="K2061" t="inlineStr">
        <is>
          <t>Saskatoon (Saskatchewan) Canada
Calgary (Alberta) Canada</t>
        </is>
      </c>
      <c r="P2061" t="n">
        <v>1437.71</v>
      </c>
      <c r="Q2061" t="n">
        <v>77.29000000000001</v>
      </c>
      <c r="R2061" t="n">
        <v>580.3099999999999</v>
      </c>
      <c r="S2061" t="n">
        <v>295.4</v>
      </c>
      <c r="T2061" t="n">
        <v>0</v>
      </c>
      <c r="U2061" t="n">
        <v>2390.71</v>
      </c>
      <c r="X2061" t="inlineStr">
        <is>
          <t>aafc-aac</t>
        </is>
      </c>
      <c r="Y2061" t="inlineStr">
        <is>
          <t>Agriculture and Agri-Food Canada | Agriculture et Agroalimentaire Canada</t>
        </is>
      </c>
      <c r="Z2061" t="n">
        <v>4</v>
      </c>
      <c r="AA2061" t="n">
        <v>2390.71</v>
      </c>
      <c r="AB2061">
        <f>ROUND(U2061-AA2061,2)</f>
        <v/>
      </c>
      <c r="AC2061" t="b">
        <v>0</v>
      </c>
      <c r="AD2061">
        <f>IF(U2061="","MISSING_TOTAL",IF(ABS(AB2061)&lt;=0.01,"OK","CHECK"))</f>
        <v/>
      </c>
      <c r="AE2061">
        <f>IF(U2061="","MISSING",IF(AND(AA2061&gt;0,U2061/AA2061&gt;50),"POSSIBLE_SCALE_ERROR","OK"))</f>
        <v/>
      </c>
    </row>
    <row r="2062">
      <c r="A2062" t="inlineStr">
        <is>
          <t>T-2024-P5-0016</t>
        </is>
      </c>
      <c r="B2062" t="inlineStr">
        <is>
          <t>MPSES</t>
        </is>
      </c>
      <c r="C2062" t="inlineStr">
        <is>
          <t>Driver</t>
        </is>
      </c>
      <c r="D2062" t="inlineStr">
        <is>
          <t>Chauffeur</t>
        </is>
      </c>
      <c r="E2062" t="inlineStr">
        <is>
          <t>Gaston Laurin</t>
        </is>
      </c>
      <c r="F2062" t="inlineStr">
        <is>
          <t>To pick the Minister up from home and bring her to the airport.</t>
        </is>
      </c>
      <c r="G2062" t="inlineStr">
        <is>
          <t>Aller chercher la ministre à son domicile et l'emmener à l'aéroport.</t>
        </is>
      </c>
      <c r="H2062" s="1" t="n">
        <v>45102</v>
      </c>
      <c r="I2062" s="1" t="n">
        <v>45102</v>
      </c>
      <c r="J2062" t="inlineStr">
        <is>
          <t>Sherbrooke (Quebec) Canad</t>
        </is>
      </c>
      <c r="K2062" t="inlineStr">
        <is>
          <t>Sherbrooke (Québec) Canada</t>
        </is>
      </c>
      <c r="P2062" t="n">
        <v>0</v>
      </c>
      <c r="Q2062" t="n">
        <v>0</v>
      </c>
      <c r="R2062" t="n">
        <v>0</v>
      </c>
      <c r="S2062" t="n">
        <v>47.5</v>
      </c>
      <c r="T2062" t="n">
        <v>0</v>
      </c>
      <c r="U2062" t="n">
        <v>47.5</v>
      </c>
      <c r="X2062" t="inlineStr">
        <is>
          <t>aafc-aac</t>
        </is>
      </c>
      <c r="Y2062" t="inlineStr">
        <is>
          <t>Agriculture and Agri-Food Canada | Agriculture et Agroalimentaire Canada</t>
        </is>
      </c>
      <c r="Z2062" t="n">
        <v>1</v>
      </c>
      <c r="AA2062" t="n">
        <v>47.5</v>
      </c>
      <c r="AB2062">
        <f>ROUND(U2062-AA2062,2)</f>
        <v/>
      </c>
      <c r="AC2062" t="b">
        <v>0</v>
      </c>
      <c r="AD2062">
        <f>IF(U2062="","MISSING_TOTAL",IF(ABS(AB2062)&lt;=0.01,"OK","CHECK"))</f>
        <v/>
      </c>
      <c r="AE2062">
        <f>IF(U2062="","MISSING",IF(AND(AA2062&gt;0,U2062/AA2062&gt;50),"POSSIBLE_SCALE_ERROR","OK"))</f>
        <v/>
      </c>
    </row>
    <row r="2063">
      <c r="A2063" t="inlineStr">
        <is>
          <t>T-2024-P5-0017</t>
        </is>
      </c>
      <c r="B2063" t="inlineStr">
        <is>
          <t>MPSES</t>
        </is>
      </c>
      <c r="C2063" t="inlineStr">
        <is>
          <t>Driver</t>
        </is>
      </c>
      <c r="D2063" t="inlineStr">
        <is>
          <t>Chauffeur</t>
        </is>
      </c>
      <c r="E2063" t="inlineStr">
        <is>
          <t>Gaston Laurin</t>
        </is>
      </c>
      <c r="F2063" t="inlineStr">
        <is>
          <t>To pick the Minister up from the airport.</t>
        </is>
      </c>
      <c r="G2063" t="inlineStr">
        <is>
          <t>Pour aller chercher le ministre à l'aéroport.</t>
        </is>
      </c>
      <c r="H2063" s="1" t="n">
        <v>45115</v>
      </c>
      <c r="I2063" s="1" t="n">
        <v>45115</v>
      </c>
      <c r="J2063" t="inlineStr">
        <is>
          <t>Sherbrooke (Quebec) Canad</t>
        </is>
      </c>
      <c r="K2063" t="inlineStr">
        <is>
          <t>Sherbrooke (Québec) Canada</t>
        </is>
      </c>
      <c r="P2063" t="n">
        <v>0</v>
      </c>
      <c r="Q2063" t="n">
        <v>0</v>
      </c>
      <c r="R2063" t="n">
        <v>0</v>
      </c>
      <c r="S2063" t="n">
        <v>58.6</v>
      </c>
      <c r="T2063" t="n">
        <v>0</v>
      </c>
      <c r="U2063" t="n">
        <v>58.6</v>
      </c>
      <c r="X2063" t="inlineStr">
        <is>
          <t>aafc-aac</t>
        </is>
      </c>
      <c r="Y2063" t="inlineStr">
        <is>
          <t>Agriculture and Agri-Food Canada | Agriculture et Agroalimentaire Canada</t>
        </is>
      </c>
      <c r="Z2063" t="n">
        <v>1</v>
      </c>
      <c r="AA2063" t="n">
        <v>58.6</v>
      </c>
      <c r="AB2063">
        <f>ROUND(U2063-AA2063,2)</f>
        <v/>
      </c>
      <c r="AC2063" t="b">
        <v>0</v>
      </c>
      <c r="AD2063">
        <f>IF(U2063="","MISSING_TOTAL",IF(ABS(AB2063)&lt;=0.01,"OK","CHECK"))</f>
        <v/>
      </c>
      <c r="AE2063">
        <f>IF(U2063="","MISSING",IF(AND(AA2063&gt;0,U2063/AA2063&gt;50),"POSSIBLE_SCALE_ERROR","OK"))</f>
        <v/>
      </c>
    </row>
    <row r="2064">
      <c r="A2064" t="inlineStr">
        <is>
          <t>T-2024-P5-0018</t>
        </is>
      </c>
      <c r="B2064" t="inlineStr">
        <is>
          <t>MPSES</t>
        </is>
      </c>
      <c r="C2064" t="inlineStr">
        <is>
          <t>Driver</t>
        </is>
      </c>
      <c r="D2064" t="inlineStr">
        <is>
          <t>Chauffeur</t>
        </is>
      </c>
      <c r="E2064" t="inlineStr">
        <is>
          <t>Gaston Laurin</t>
        </is>
      </c>
      <c r="F2064" t="inlineStr">
        <is>
          <t>To pick the Minister up from the airport.</t>
        </is>
      </c>
      <c r="G2064" t="inlineStr">
        <is>
          <t>Pour aller chercher le ministre à l'aéroport.</t>
        </is>
      </c>
      <c r="H2064" s="1" t="n">
        <v>45130</v>
      </c>
      <c r="I2064" s="1" t="n">
        <v>45131</v>
      </c>
      <c r="J2064" t="inlineStr">
        <is>
          <t>Sherbrooke (Quebec) Canad</t>
        </is>
      </c>
      <c r="K2064" t="inlineStr">
        <is>
          <t>Sherbrooke (Québec) Canada</t>
        </is>
      </c>
      <c r="P2064" t="n">
        <v>0</v>
      </c>
      <c r="Q2064" t="n">
        <v>24</v>
      </c>
      <c r="R2064" t="n">
        <v>202.16</v>
      </c>
      <c r="S2064" t="n">
        <v>106.1</v>
      </c>
      <c r="T2064" t="n">
        <v>0</v>
      </c>
      <c r="U2064" t="n">
        <v>332.26</v>
      </c>
      <c r="X2064" t="inlineStr">
        <is>
          <t>aafc-aac</t>
        </is>
      </c>
      <c r="Y2064" t="inlineStr">
        <is>
          <t>Agriculture and Agri-Food Canada | Agriculture et Agroalimentaire Canada</t>
        </is>
      </c>
      <c r="Z2064" t="n">
        <v>2</v>
      </c>
      <c r="AA2064" t="n">
        <v>332.26</v>
      </c>
      <c r="AB2064">
        <f>ROUND(U2064-AA2064,2)</f>
        <v/>
      </c>
      <c r="AC2064" t="b">
        <v>0</v>
      </c>
      <c r="AD2064">
        <f>IF(U2064="","MISSING_TOTAL",IF(ABS(AB2064)&lt;=0.01,"OK","CHECK"))</f>
        <v/>
      </c>
      <c r="AE2064">
        <f>IF(U2064="","MISSING",IF(AND(AA2064&gt;0,U2064/AA2064&gt;50),"POSSIBLE_SCALE_ERROR","OK"))</f>
        <v/>
      </c>
    </row>
    <row r="2065">
      <c r="A2065" t="inlineStr">
        <is>
          <t>T-2024-P5-0019</t>
        </is>
      </c>
      <c r="B2065" t="inlineStr">
        <is>
          <t>MPSES</t>
        </is>
      </c>
      <c r="C2065" t="inlineStr">
        <is>
          <t>Driver</t>
        </is>
      </c>
      <c r="D2065" t="inlineStr">
        <is>
          <t>Chauffeur</t>
        </is>
      </c>
      <c r="E2065" t="inlineStr">
        <is>
          <t>Gaston Laurin</t>
        </is>
      </c>
      <c r="F2065" t="inlineStr">
        <is>
          <t>To pick the Minister up from home and driver her to Edmunston for the Atlantic Tour</t>
        </is>
      </c>
      <c r="G2065" t="inlineStr">
        <is>
          <t>Aller chercher la ministre à son domicile et la conduire à Edmunston pour la tournée de l'Atlantique.</t>
        </is>
      </c>
      <c r="H2065" s="1" t="n">
        <v>45124</v>
      </c>
      <c r="I2065" s="1" t="n">
        <v>45126</v>
      </c>
      <c r="J2065" t="inlineStr">
        <is>
          <t>Sherbrooke (Quebec) Canada
Edmunston (New Brunswick) Canada</t>
        </is>
      </c>
      <c r="K2065" t="inlineStr">
        <is>
          <t>Sherbrooke (Québec) Canada
Edmunston (Nouveau-Brunswick) Canada</t>
        </is>
      </c>
      <c r="P2065" t="n">
        <v>0</v>
      </c>
      <c r="Q2065" t="n">
        <v>3.5</v>
      </c>
      <c r="R2065" t="n">
        <v>407.75</v>
      </c>
      <c r="S2065" t="n">
        <v>212.2</v>
      </c>
      <c r="T2065" t="n">
        <v>0</v>
      </c>
      <c r="U2065" t="n">
        <v>623.45</v>
      </c>
      <c r="X2065" t="inlineStr">
        <is>
          <t>aafc-aac</t>
        </is>
      </c>
      <c r="Y2065" t="inlineStr">
        <is>
          <t>Agriculture and Agri-Food Canada | Agriculture et Agroalimentaire Canada</t>
        </is>
      </c>
      <c r="Z2065" t="n">
        <v>3</v>
      </c>
      <c r="AA2065" t="n">
        <v>623.45</v>
      </c>
      <c r="AB2065">
        <f>ROUND(U2065-AA2065,2)</f>
        <v/>
      </c>
      <c r="AC2065" t="b">
        <v>0</v>
      </c>
      <c r="AD2065">
        <f>IF(U2065="","MISSING_TOTAL",IF(ABS(AB2065)&lt;=0.01,"OK","CHECK"))</f>
        <v/>
      </c>
      <c r="AE2065">
        <f>IF(U2065="","MISSING",IF(AND(AA2065&gt;0,U2065/AA2065&gt;50),"POSSIBLE_SCALE_ERROR","OK"))</f>
        <v/>
      </c>
    </row>
    <row r="2066">
      <c r="A2066" t="inlineStr">
        <is>
          <t>T-2024-P5-0020</t>
        </is>
      </c>
      <c r="B2066" t="inlineStr">
        <is>
          <t>MPSES</t>
        </is>
      </c>
      <c r="C2066" t="inlineStr">
        <is>
          <t>Driver</t>
        </is>
      </c>
      <c r="D2066" t="inlineStr">
        <is>
          <t>Chauffeur</t>
        </is>
      </c>
      <c r="E2066" t="inlineStr">
        <is>
          <t>Gaston Laurin</t>
        </is>
      </c>
      <c r="F2066" t="inlineStr">
        <is>
          <t>To bring the Minister home after the work week.</t>
        </is>
      </c>
      <c r="G2066" t="inlineStr">
        <is>
          <t>Ramener le ministre à la maison après la semaine de travail.</t>
        </is>
      </c>
      <c r="H2066" s="1" t="n">
        <v>45099</v>
      </c>
      <c r="I2066" s="1" t="n">
        <v>45099</v>
      </c>
      <c r="J2066" t="inlineStr">
        <is>
          <t>Sherbrooke (Quebec) Canada</t>
        </is>
      </c>
      <c r="K2066" t="inlineStr">
        <is>
          <t>Sherbrooke (Québec) Canada</t>
        </is>
      </c>
      <c r="P2066" t="n">
        <v>0</v>
      </c>
      <c r="Q2066" t="n">
        <v>0</v>
      </c>
      <c r="R2066" t="n">
        <v>0</v>
      </c>
      <c r="S2066" t="n">
        <v>58.6</v>
      </c>
      <c r="T2066" t="n">
        <v>0</v>
      </c>
      <c r="U2066" t="n">
        <v>58.6</v>
      </c>
      <c r="X2066" t="inlineStr">
        <is>
          <t>aafc-aac</t>
        </is>
      </c>
      <c r="Y2066" t="inlineStr">
        <is>
          <t>Agriculture and Agri-Food Canada | Agriculture et Agroalimentaire Canada</t>
        </is>
      </c>
      <c r="Z2066" t="n">
        <v>1</v>
      </c>
      <c r="AA2066" t="n">
        <v>58.6</v>
      </c>
      <c r="AB2066">
        <f>ROUND(U2066-AA2066,2)</f>
        <v/>
      </c>
      <c r="AC2066" t="b">
        <v>0</v>
      </c>
      <c r="AD2066">
        <f>IF(U2066="","MISSING_TOTAL",IF(ABS(AB2066)&lt;=0.01,"OK","CHECK"))</f>
        <v/>
      </c>
      <c r="AE2066">
        <f>IF(U2066="","MISSING",IF(AND(AA2066&gt;0,U2066/AA2066&gt;50),"POSSIBLE_SCALE_ERROR","OK"))</f>
        <v/>
      </c>
    </row>
    <row r="2067">
      <c r="A2067" t="inlineStr">
        <is>
          <t>T-2024-P5-0021</t>
        </is>
      </c>
      <c r="B2067" t="inlineStr">
        <is>
          <t>MPSES</t>
        </is>
      </c>
      <c r="C2067" t="inlineStr">
        <is>
          <t>Driver</t>
        </is>
      </c>
      <c r="D2067" t="inlineStr">
        <is>
          <t>Chauffeur</t>
        </is>
      </c>
      <c r="E2067" t="inlineStr">
        <is>
          <t>Gaston Laurin</t>
        </is>
      </c>
      <c r="F2067" t="inlineStr">
        <is>
          <t>To bring the Chief of staff to go to Sherbrooke for meetings with the Minister</t>
        </is>
      </c>
      <c r="G2067" t="inlineStr">
        <is>
          <t>Porter le chef de cabinet pour se rendre à Sherbrooke pour des réunions avec la ministre</t>
        </is>
      </c>
      <c r="H2067" s="1" t="n">
        <v>45119</v>
      </c>
      <c r="I2067" s="1" t="n">
        <v>45121</v>
      </c>
      <c r="J2067" t="inlineStr">
        <is>
          <t>Sherbrooke (Quebec) Canada</t>
        </is>
      </c>
      <c r="K2067" t="inlineStr">
        <is>
          <t>Sherbrooke (Québec) Canada</t>
        </is>
      </c>
      <c r="P2067" t="n">
        <v>0</v>
      </c>
      <c r="Q2067" t="n">
        <v>7</v>
      </c>
      <c r="R2067" t="n">
        <v>0</v>
      </c>
      <c r="S2067" t="n">
        <v>0</v>
      </c>
      <c r="T2067" t="n">
        <v>0</v>
      </c>
      <c r="U2067" t="n">
        <v>7</v>
      </c>
      <c r="X2067" t="inlineStr">
        <is>
          <t>aafc-aac</t>
        </is>
      </c>
      <c r="Y2067" t="inlineStr">
        <is>
          <t>Agriculture and Agri-Food Canada | Agriculture et Agroalimentaire Canada</t>
        </is>
      </c>
      <c r="Z2067" t="n">
        <v>3</v>
      </c>
      <c r="AA2067" t="n">
        <v>7</v>
      </c>
      <c r="AB2067">
        <f>ROUND(U2067-AA2067,2)</f>
        <v/>
      </c>
      <c r="AC2067" t="b">
        <v>0</v>
      </c>
      <c r="AD2067">
        <f>IF(U2067="","MISSING_TOTAL",IF(ABS(AB2067)&lt;=0.01,"OK","CHECK"))</f>
        <v/>
      </c>
      <c r="AE2067">
        <f>IF(U2067="","MISSING",IF(AND(AA2067&gt;0,U2067/AA2067&gt;50),"POSSIBLE_SCALE_ERROR","OK"))</f>
        <v/>
      </c>
    </row>
    <row r="2068">
      <c r="A2068" t="inlineStr">
        <is>
          <t>T-2024-P5-0022</t>
        </is>
      </c>
      <c r="B2068" t="inlineStr">
        <is>
          <t>MPSES</t>
        </is>
      </c>
      <c r="C2068" t="inlineStr">
        <is>
          <t>Special Assistant</t>
        </is>
      </c>
      <c r="D2068" t="inlineStr">
        <is>
          <t>Adjointe spéciale</t>
        </is>
      </c>
      <c r="E2068" t="inlineStr">
        <is>
          <t>Arianna Myers</t>
        </is>
      </c>
      <c r="F2068" t="inlineStr">
        <is>
          <t>Attend Atlantic Tour with the Minister</t>
        </is>
      </c>
      <c r="G2068" t="inlineStr">
        <is>
          <t>Assister à la visite de l'Atlantique avec la ministre</t>
        </is>
      </c>
      <c r="H2068" s="1" t="n">
        <v>45124</v>
      </c>
      <c r="I2068" s="1" t="n">
        <v>45133</v>
      </c>
      <c r="J2068" t="inlineStr">
        <is>
          <t>Edmunston (New Brunswick) Canada
Moncton (New Brunswick) Canada
Deer Lake (Newfoundland) Canada
St.Johns (Newfoundland) Canada
Montréal (Quebec) Canada</t>
        </is>
      </c>
      <c r="K2068" t="inlineStr">
        <is>
          <t>Edmunston (New Brunswick) Canada
Moncton (New Brunswick) Canada
Deer Lake (Newfoundland) Canada
St.Johns (Newfoundland) Canada
Montréal (Québec) Canada</t>
        </is>
      </c>
      <c r="P2068" t="n">
        <v>1419.16</v>
      </c>
      <c r="Q2068" t="n">
        <v>299.28</v>
      </c>
      <c r="R2068" t="n">
        <v>1084.87</v>
      </c>
      <c r="S2068" t="n">
        <v>483</v>
      </c>
      <c r="T2068" t="n">
        <v>0</v>
      </c>
      <c r="U2068" t="n">
        <v>3286.31</v>
      </c>
      <c r="X2068" t="inlineStr">
        <is>
          <t>aafc-aac</t>
        </is>
      </c>
      <c r="Y2068" t="inlineStr">
        <is>
          <t>Agriculture and Agri-Food Canada | Agriculture et Agroalimentaire Canada</t>
        </is>
      </c>
      <c r="Z2068" t="n">
        <v>10</v>
      </c>
      <c r="AA2068" t="n">
        <v>3286.31</v>
      </c>
      <c r="AB2068">
        <f>ROUND(U2068-AA2068,2)</f>
        <v/>
      </c>
      <c r="AC2068" t="b">
        <v>0</v>
      </c>
      <c r="AD2068">
        <f>IF(U2068="","MISSING_TOTAL",IF(ABS(AB2068)&lt;=0.01,"OK","CHECK"))</f>
        <v/>
      </c>
      <c r="AE2068">
        <f>IF(U2068="","MISSING",IF(AND(AA2068&gt;0,U2068/AA2068&gt;50),"POSSIBLE_SCALE_ERROR","OK"))</f>
        <v/>
      </c>
    </row>
    <row r="2069">
      <c r="A2069" t="inlineStr">
        <is>
          <t>T-2024-P5-0023</t>
        </is>
      </c>
      <c r="B2069" t="inlineStr">
        <is>
          <t>MPSES</t>
        </is>
      </c>
      <c r="C2069" t="inlineStr">
        <is>
          <t>Parliamentary Secretary</t>
        </is>
      </c>
      <c r="D2069" t="inlineStr">
        <is>
          <t>Secrétaire parlementaire</t>
        </is>
      </c>
      <c r="E2069" t="inlineStr">
        <is>
          <t>Francis Drouin</t>
        </is>
      </c>
      <c r="F2069" t="inlineStr">
        <is>
          <t>To attend the Calgary Stampede and meetings</t>
        </is>
      </c>
      <c r="G2069" t="inlineStr">
        <is>
          <t>Assister au Stampede de Calgary et à des réunions</t>
        </is>
      </c>
      <c r="H2069" s="1" t="n">
        <v>45117</v>
      </c>
      <c r="I2069" s="1" t="n">
        <v>45120</v>
      </c>
      <c r="J2069" t="inlineStr">
        <is>
          <t>Calgary (Alberta) Canada</t>
        </is>
      </c>
      <c r="K2069" t="inlineStr">
        <is>
          <t>Calgary (Alberta) Canada</t>
        </is>
      </c>
      <c r="P2069" t="n">
        <v>1480.14</v>
      </c>
      <c r="Q2069" t="n">
        <v>70.78</v>
      </c>
      <c r="R2069" t="n">
        <v>551.5599999999999</v>
      </c>
      <c r="S2069" t="n">
        <v>0</v>
      </c>
      <c r="T2069" t="n">
        <v>0</v>
      </c>
      <c r="U2069" t="n">
        <v>2102.48</v>
      </c>
      <c r="X2069" t="inlineStr">
        <is>
          <t>aafc-aac</t>
        </is>
      </c>
      <c r="Y2069" t="inlineStr">
        <is>
          <t>Agriculture and Agri-Food Canada | Agriculture et Agroalimentaire Canada</t>
        </is>
      </c>
      <c r="Z2069" t="n">
        <v>4</v>
      </c>
      <c r="AA2069" t="n">
        <v>2102.48</v>
      </c>
      <c r="AB2069">
        <f>ROUND(U2069-AA2069,2)</f>
        <v/>
      </c>
      <c r="AC2069" t="b">
        <v>0</v>
      </c>
      <c r="AD2069">
        <f>IF(U2069="","MISSING_TOTAL",IF(ABS(AB2069)&lt;=0.01,"OK","CHECK"))</f>
        <v/>
      </c>
      <c r="AE2069">
        <f>IF(U2069="","MISSING",IF(AND(AA2069&gt;0,U2069/AA2069&gt;50),"POSSIBLE_SCALE_ERROR","OK"))</f>
        <v/>
      </c>
    </row>
    <row r="2070">
      <c r="A2070" t="inlineStr">
        <is>
          <t>T-2024-P5-0024</t>
        </is>
      </c>
      <c r="B2070" t="inlineStr">
        <is>
          <t>MPSES</t>
        </is>
      </c>
      <c r="C2070" t="inlineStr">
        <is>
          <t>Parliamentary Secretary</t>
        </is>
      </c>
      <c r="D2070" t="inlineStr">
        <is>
          <t>Secrétaire parlementaire</t>
        </is>
      </c>
      <c r="E2070" t="inlineStr">
        <is>
          <t>Francis Drouin</t>
        </is>
      </c>
      <c r="F2070" t="inlineStr">
        <is>
          <t>To attend the Chicken Farmers of Canada event as guest speaker.</t>
        </is>
      </c>
      <c r="G2070" t="inlineStr">
        <is>
          <t>Participer à l'événement des Producteurs de poulet du Canada en tant qu'orateur invité.</t>
        </is>
      </c>
      <c r="H2070" s="1" t="n">
        <v>45154</v>
      </c>
      <c r="I2070" s="1" t="n">
        <v>45155</v>
      </c>
      <c r="J2070" t="inlineStr">
        <is>
          <t>Montréal (Quebec) Canada</t>
        </is>
      </c>
      <c r="K2070" t="inlineStr">
        <is>
          <t>Montréal (Québec) Canada</t>
        </is>
      </c>
      <c r="P2070" t="n">
        <v>0</v>
      </c>
      <c r="Q2070" t="n">
        <v>238.6</v>
      </c>
      <c r="R2070" t="n">
        <v>197.54</v>
      </c>
      <c r="S2070" t="n">
        <v>0</v>
      </c>
      <c r="T2070" t="n">
        <v>0</v>
      </c>
      <c r="U2070" t="n">
        <v>436.14</v>
      </c>
      <c r="X2070" t="inlineStr">
        <is>
          <t>aafc-aac</t>
        </is>
      </c>
      <c r="Y2070" t="inlineStr">
        <is>
          <t>Agriculture and Agri-Food Canada | Agriculture et Agroalimentaire Canada</t>
        </is>
      </c>
      <c r="Z2070" t="n">
        <v>2</v>
      </c>
      <c r="AA2070" t="n">
        <v>436.14</v>
      </c>
      <c r="AB2070">
        <f>ROUND(U2070-AA2070,2)</f>
        <v/>
      </c>
      <c r="AC2070" t="b">
        <v>0</v>
      </c>
      <c r="AD2070">
        <f>IF(U2070="","MISSING_TOTAL",IF(ABS(AB2070)&lt;=0.01,"OK","CHECK"))</f>
        <v/>
      </c>
      <c r="AE2070">
        <f>IF(U2070="","MISSING",IF(AND(AA2070&gt;0,U2070/AA2070&gt;50),"POSSIBLE_SCALE_ERROR","OK"))</f>
        <v/>
      </c>
    </row>
    <row r="2071">
      <c r="A2071" t="inlineStr">
        <is>
          <t>T-2024-P5-0025</t>
        </is>
      </c>
      <c r="B2071" t="inlineStr">
        <is>
          <t>SLE</t>
        </is>
      </c>
      <c r="C2071" t="inlineStr">
        <is>
          <t>Deputy Minister</t>
        </is>
      </c>
      <c r="D2071" t="inlineStr">
        <is>
          <t>Sous-ministre</t>
        </is>
      </c>
      <c r="E2071" t="inlineStr">
        <is>
          <t>Stefanie Beck</t>
        </is>
      </c>
      <c r="F2071" t="inlineStr">
        <is>
          <t>Attend meetings with the Minister</t>
        </is>
      </c>
      <c r="G2071" t="inlineStr">
        <is>
          <t>Assister aux réunions avec la ministre</t>
        </is>
      </c>
      <c r="H2071" s="1" t="n">
        <v>45119</v>
      </c>
      <c r="I2071" s="1" t="n">
        <v>45120</v>
      </c>
      <c r="J2071" t="inlineStr">
        <is>
          <t>Sherbrooke (Quebec) Canada</t>
        </is>
      </c>
      <c r="K2071" t="inlineStr">
        <is>
          <t>Sherbrooke (Québec) Canada</t>
        </is>
      </c>
      <c r="P2071" t="n">
        <v>0</v>
      </c>
      <c r="Q2071" t="n">
        <v>0</v>
      </c>
      <c r="R2071" t="n">
        <v>0</v>
      </c>
      <c r="S2071" t="n">
        <v>222.9</v>
      </c>
      <c r="T2071" t="n">
        <v>0</v>
      </c>
      <c r="U2071" t="n">
        <v>222.9</v>
      </c>
      <c r="X2071" t="inlineStr">
        <is>
          <t>aafc-aac</t>
        </is>
      </c>
      <c r="Y2071" t="inlineStr">
        <is>
          <t>Agriculture and Agri-Food Canada | Agriculture et Agroalimentaire Canada</t>
        </is>
      </c>
      <c r="Z2071" t="n">
        <v>2</v>
      </c>
      <c r="AA2071" t="n">
        <v>222.9</v>
      </c>
      <c r="AB2071">
        <f>ROUND(U2071-AA2071,2)</f>
        <v/>
      </c>
      <c r="AC2071" t="b">
        <v>0</v>
      </c>
      <c r="AD2071">
        <f>IF(U2071="","MISSING_TOTAL",IF(ABS(AB2071)&lt;=0.01,"OK","CHECK"))</f>
        <v/>
      </c>
      <c r="AE2071">
        <f>IF(U2071="","MISSING",IF(AND(AA2071&gt;0,U2071/AA2071&gt;50),"POSSIBLE_SCALE_ERROR","OK"))</f>
        <v/>
      </c>
    </row>
    <row r="2072">
      <c r="A2072" t="inlineStr">
        <is>
          <t>T-2024-P5-0026</t>
        </is>
      </c>
      <c r="B2072" t="inlineStr">
        <is>
          <t>SLE</t>
        </is>
      </c>
      <c r="C2072" t="inlineStr">
        <is>
          <t>Deputy Minister</t>
        </is>
      </c>
      <c r="D2072" t="inlineStr">
        <is>
          <t>Sous-ministre</t>
        </is>
      </c>
      <c r="E2072" t="inlineStr">
        <is>
          <t>Stefanie Beck</t>
        </is>
      </c>
      <c r="F2072" t="inlineStr">
        <is>
          <t>Attend the Federal, Provincial and Territorial Minister's conference</t>
        </is>
      </c>
      <c r="G2072" t="inlineStr">
        <is>
          <t>Assister à la conférence des ministres fédéraux, provinciaux et territoriaux</t>
        </is>
      </c>
      <c r="H2072" s="1" t="n">
        <v>45124</v>
      </c>
      <c r="I2072" s="1" t="n">
        <v>45128</v>
      </c>
      <c r="J2072" t="inlineStr">
        <is>
          <t>Fredericton (New Brunswick) Canada</t>
        </is>
      </c>
      <c r="K2072" t="inlineStr">
        <is>
          <t>Frédéricton (Nouveau-Brunswick) Canada</t>
        </is>
      </c>
      <c r="P2072" t="n">
        <v>824.65</v>
      </c>
      <c r="Q2072" t="n">
        <v>0</v>
      </c>
      <c r="R2072" t="n">
        <v>757</v>
      </c>
      <c r="S2072" t="n">
        <v>333.4</v>
      </c>
      <c r="T2072" t="n">
        <v>375</v>
      </c>
      <c r="U2072" t="n">
        <v>2290.05</v>
      </c>
      <c r="X2072" t="inlineStr">
        <is>
          <t>aafc-aac</t>
        </is>
      </c>
      <c r="Y2072" t="inlineStr">
        <is>
          <t>Agriculture and Agri-Food Canada | Agriculture et Agroalimentaire Canada</t>
        </is>
      </c>
      <c r="Z2072" t="n">
        <v>5</v>
      </c>
      <c r="AA2072" t="n">
        <v>2290.05</v>
      </c>
      <c r="AB2072">
        <f>ROUND(U2072-AA2072,2)</f>
        <v/>
      </c>
      <c r="AC2072" t="b">
        <v>0</v>
      </c>
      <c r="AD2072">
        <f>IF(U2072="","MISSING_TOTAL",IF(ABS(AB2072)&lt;=0.01,"OK","CHECK"))</f>
        <v/>
      </c>
      <c r="AE2072">
        <f>IF(U2072="","MISSING",IF(AND(AA2072&gt;0,U2072/AA2072&gt;50),"POSSIBLE_SCALE_ERROR","OK"))</f>
        <v/>
      </c>
    </row>
    <row r="2073">
      <c r="A2073" t="inlineStr">
        <is>
          <t>T-2024-P5-0027</t>
        </is>
      </c>
      <c r="B2073" t="inlineStr">
        <is>
          <t>SLE</t>
        </is>
      </c>
      <c r="C2073" t="inlineStr">
        <is>
          <t>Deputy Minister</t>
        </is>
      </c>
      <c r="D2073" t="inlineStr">
        <is>
          <t>Sous-ministre</t>
        </is>
      </c>
      <c r="E2073" t="inlineStr">
        <is>
          <t>Stefanie Beck</t>
        </is>
      </c>
      <c r="F2073" t="inlineStr">
        <is>
          <t>Attend the 2023 Food &amp; Agriculture Organization Conference</t>
        </is>
      </c>
      <c r="G2073" t="inlineStr">
        <is>
          <t>Assister à la conférence de l'Organisation des Nations unies pour l'alimentation et l'agriculture de 2023</t>
        </is>
      </c>
      <c r="H2073" s="1" t="n">
        <v>45104</v>
      </c>
      <c r="I2073" s="1" t="n">
        <v>45117</v>
      </c>
      <c r="J2073" t="inlineStr">
        <is>
          <t>Amsterdam, Netherlands
Rome, Italy</t>
        </is>
      </c>
      <c r="K2073" t="inlineStr">
        <is>
          <t>Amsterdam, Pays-Bas
Rome, Italie</t>
        </is>
      </c>
      <c r="P2073" t="n">
        <v>8166.28</v>
      </c>
      <c r="Q2073" t="n">
        <v>188.93</v>
      </c>
      <c r="R2073" t="n">
        <v>1999.58</v>
      </c>
      <c r="S2073" t="n">
        <v>1574.43</v>
      </c>
      <c r="T2073" t="n">
        <v>0</v>
      </c>
      <c r="U2073" t="n">
        <v>11929.22</v>
      </c>
      <c r="X2073" t="inlineStr">
        <is>
          <t>aafc-aac</t>
        </is>
      </c>
      <c r="Y2073" t="inlineStr">
        <is>
          <t>Agriculture and Agri-Food Canada | Agriculture et Agroalimentaire Canada</t>
        </is>
      </c>
      <c r="Z2073" t="n">
        <v>14</v>
      </c>
      <c r="AA2073" t="n">
        <v>11929.22</v>
      </c>
      <c r="AB2073">
        <f>ROUND(U2073-AA2073,2)</f>
        <v/>
      </c>
      <c r="AC2073" t="b">
        <v>0</v>
      </c>
      <c r="AD2073">
        <f>IF(U2073="","MISSING_TOTAL",IF(ABS(AB2073)&lt;=0.01,"OK","CHECK"))</f>
        <v/>
      </c>
      <c r="AE2073">
        <f>IF(U2073="","MISSING",IF(AND(AA2073&gt;0,U2073/AA2073&gt;50),"POSSIBLE_SCALE_ERROR","OK"))</f>
        <v/>
      </c>
    </row>
    <row r="2074">
      <c r="A2074" t="inlineStr">
        <is>
          <t>T-2024-P5-0028</t>
        </is>
      </c>
      <c r="B2074" t="inlineStr">
        <is>
          <t>SLE</t>
        </is>
      </c>
      <c r="C2074" t="inlineStr">
        <is>
          <t>Deputy Minister</t>
        </is>
      </c>
      <c r="D2074" t="inlineStr">
        <is>
          <t>Sous-ministre</t>
        </is>
      </c>
      <c r="E2074" t="inlineStr">
        <is>
          <t>Stefanie Beck</t>
        </is>
      </c>
      <c r="F2074" t="inlineStr">
        <is>
          <t>Accompany the Minister for meetings with stakeholders</t>
        </is>
      </c>
      <c r="G2074" t="inlineStr">
        <is>
          <t>Accompagner le ministre lors des réunions avec les parties prenantes</t>
        </is>
      </c>
      <c r="H2074" s="1" t="n">
        <v>45139</v>
      </c>
      <c r="I2074" s="1" t="n">
        <v>45141</v>
      </c>
      <c r="J2074" t="inlineStr">
        <is>
          <t>Calgary (Alberta) Canada</t>
        </is>
      </c>
      <c r="K2074" t="inlineStr">
        <is>
          <t>Calgary (Alberta) Canada</t>
        </is>
      </c>
      <c r="P2074" t="n">
        <v>630.38</v>
      </c>
      <c r="Q2074" t="n">
        <v>20.9</v>
      </c>
      <c r="R2074" t="n">
        <v>299.29</v>
      </c>
      <c r="S2074" t="n">
        <v>193</v>
      </c>
      <c r="T2074" t="n">
        <v>0</v>
      </c>
      <c r="U2074" t="n">
        <v>1143.57</v>
      </c>
      <c r="X2074" t="inlineStr">
        <is>
          <t>aafc-aac</t>
        </is>
      </c>
      <c r="Y2074" t="inlineStr">
        <is>
          <t>Agriculture and Agri-Food Canada | Agriculture et Agroalimentaire Canada</t>
        </is>
      </c>
      <c r="Z2074" t="n">
        <v>3</v>
      </c>
      <c r="AA2074" t="n">
        <v>1143.57</v>
      </c>
      <c r="AB2074">
        <f>ROUND(U2074-AA2074,2)</f>
        <v/>
      </c>
      <c r="AC2074" t="b">
        <v>0</v>
      </c>
      <c r="AD2074">
        <f>IF(U2074="","MISSING_TOTAL",IF(ABS(AB2074)&lt;=0.01,"OK","CHECK"))</f>
        <v/>
      </c>
      <c r="AE2074">
        <f>IF(U2074="","MISSING",IF(AND(AA2074&gt;0,U2074/AA2074&gt;50),"POSSIBLE_SCALE_ERROR","OK"))</f>
        <v/>
      </c>
    </row>
    <row r="2075">
      <c r="A2075" t="inlineStr">
        <is>
          <t>T-2024-P5-0029</t>
        </is>
      </c>
      <c r="B2075" t="inlineStr">
        <is>
          <t>SLE</t>
        </is>
      </c>
      <c r="C2075" t="inlineStr">
        <is>
          <t>Associate Deputy Minister</t>
        </is>
      </c>
      <c r="D2075" t="inlineStr">
        <is>
          <t>Sous-ministre déléguée</t>
        </is>
      </c>
      <c r="E2075" t="inlineStr">
        <is>
          <t>Suzy McDonald</t>
        </is>
      </c>
      <c r="F2075" t="inlineStr">
        <is>
          <t>Calgary Outreach</t>
        </is>
      </c>
      <c r="G2075" t="inlineStr">
        <is>
          <t>Tournée à Calgary</t>
        </is>
      </c>
      <c r="H2075" s="1" t="n">
        <v>45118</v>
      </c>
      <c r="I2075" s="1" t="n">
        <v>45122</v>
      </c>
      <c r="J2075" t="inlineStr">
        <is>
          <t>Calgary (Alberta) Canada</t>
        </is>
      </c>
      <c r="K2075" t="inlineStr">
        <is>
          <t>Calgary (Alberta) Canada</t>
        </is>
      </c>
      <c r="P2075" t="n">
        <v>983.46</v>
      </c>
      <c r="Q2075" t="n">
        <v>80.73999999999999</v>
      </c>
      <c r="R2075" t="n">
        <v>697.9</v>
      </c>
      <c r="S2075" t="n">
        <v>334</v>
      </c>
      <c r="T2075" t="n">
        <v>0</v>
      </c>
      <c r="U2075" t="n">
        <v>2096.1</v>
      </c>
      <c r="X2075" t="inlineStr">
        <is>
          <t>aafc-aac</t>
        </is>
      </c>
      <c r="Y2075" t="inlineStr">
        <is>
          <t>Agriculture and Agri-Food Canada | Agriculture et Agroalimentaire Canada</t>
        </is>
      </c>
      <c r="Z2075" t="n">
        <v>5</v>
      </c>
      <c r="AA2075" t="n">
        <v>2096.1</v>
      </c>
      <c r="AB2075">
        <f>ROUND(U2075-AA2075,2)</f>
        <v/>
      </c>
      <c r="AC2075" t="b">
        <v>0</v>
      </c>
      <c r="AD2075">
        <f>IF(U2075="","MISSING_TOTAL",IF(ABS(AB2075)&lt;=0.01,"OK","CHECK"))</f>
        <v/>
      </c>
      <c r="AE2075">
        <f>IF(U2075="","MISSING",IF(AND(AA2075&gt;0,U2075/AA2075&gt;50),"POSSIBLE_SCALE_ERROR","OK"))</f>
        <v/>
      </c>
    </row>
    <row r="2076">
      <c r="A2076" t="inlineStr">
        <is>
          <t>T-2024-P5-0030</t>
        </is>
      </c>
      <c r="B2076" t="inlineStr">
        <is>
          <t>SLE</t>
        </is>
      </c>
      <c r="C2076" t="inlineStr">
        <is>
          <t>Corporate Secretary</t>
        </is>
      </c>
      <c r="D2076" t="inlineStr">
        <is>
          <t>Secrétaire générale</t>
        </is>
      </c>
      <c r="E2076" t="inlineStr">
        <is>
          <t>Tamara Abel</t>
        </is>
      </c>
      <c r="F2076" t="inlineStr">
        <is>
          <t>Operational Activities - Meetings</t>
        </is>
      </c>
      <c r="G2076" t="inlineStr">
        <is>
          <t>Activités opérationnelles - Réunions</t>
        </is>
      </c>
      <c r="H2076" s="1" t="n">
        <v>45137</v>
      </c>
      <c r="I2076" s="1" t="n">
        <v>45140</v>
      </c>
      <c r="J2076" t="inlineStr">
        <is>
          <t>Ottawa (Ontario) Canada</t>
        </is>
      </c>
      <c r="K2076" t="inlineStr">
        <is>
          <t>Ottawa (Ontario) Canada</t>
        </is>
      </c>
      <c r="P2076" t="n">
        <v>1160.16</v>
      </c>
      <c r="Q2076" t="n">
        <v>282.56</v>
      </c>
      <c r="R2076" t="n">
        <v>779.15</v>
      </c>
      <c r="S2076" t="n">
        <v>387.5</v>
      </c>
      <c r="T2076" t="n">
        <v>0</v>
      </c>
      <c r="U2076" t="n">
        <v>2609.37</v>
      </c>
      <c r="X2076" t="inlineStr">
        <is>
          <t>aafc-aac</t>
        </is>
      </c>
      <c r="Y2076" t="inlineStr">
        <is>
          <t>Agriculture and Agri-Food Canada | Agriculture et Agroalimentaire Canada</t>
        </is>
      </c>
      <c r="Z2076" t="n">
        <v>4</v>
      </c>
      <c r="AA2076" t="n">
        <v>2609.37</v>
      </c>
      <c r="AB2076">
        <f>ROUND(U2076-AA2076,2)</f>
        <v/>
      </c>
      <c r="AC2076" t="b">
        <v>0</v>
      </c>
      <c r="AD2076">
        <f>IF(U2076="","MISSING_TOTAL",IF(ABS(AB2076)&lt;=0.01,"OK","CHECK"))</f>
        <v/>
      </c>
      <c r="AE2076">
        <f>IF(U2076="","MISSING",IF(AND(AA2076&gt;0,U2076/AA2076&gt;50),"POSSIBLE_SCALE_ERROR","OK"))</f>
        <v/>
      </c>
    </row>
    <row r="2077">
      <c r="A2077" t="inlineStr">
        <is>
          <t>T-2024-P5-0031</t>
        </is>
      </c>
      <c r="B2077" t="inlineStr">
        <is>
          <t>SLE</t>
        </is>
      </c>
      <c r="C2077" t="inlineStr">
        <is>
          <t>Assistant Deputy Minister, Science and Technology Branch</t>
        </is>
      </c>
      <c r="D2077" t="inlineStr">
        <is>
          <t>Sous-ministre adjoint, Direction générale des sciences et de la technologie</t>
        </is>
      </c>
      <c r="E2077" t="inlineStr">
        <is>
          <t>Gilles Saindon</t>
        </is>
      </c>
      <c r="F2077" t="inlineStr">
        <is>
          <t>Attend the Inter-American Institute for Cooperation on Agriculture (IICA) meeting on July 11, 2023 in Ottawa (IICA Canada office)</t>
        </is>
      </c>
      <c r="G2077" t="inlineStr">
        <is>
          <t>Participer à la réunion "Inter-American Institute for Cooperation on Agriculture (IICA)" le 11 juillet 2023 à Ottawa (Bureau IICA Canada)</t>
        </is>
      </c>
      <c r="H2077" s="1" t="n">
        <v>45118</v>
      </c>
      <c r="I2077" s="1" t="n">
        <v>45118</v>
      </c>
      <c r="J2077" t="inlineStr">
        <is>
          <t>Ottawa (Ontario) Canada</t>
        </is>
      </c>
      <c r="K2077" t="inlineStr">
        <is>
          <t>Ottawa (Ontario) Canada</t>
        </is>
      </c>
      <c r="P2077" t="n">
        <v>0</v>
      </c>
      <c r="Q2077" t="n">
        <v>21</v>
      </c>
      <c r="R2077" t="n">
        <v>0</v>
      </c>
      <c r="S2077" t="n">
        <v>0</v>
      </c>
      <c r="T2077" t="n">
        <v>0</v>
      </c>
      <c r="U2077" t="n">
        <v>21</v>
      </c>
      <c r="X2077" t="inlineStr">
        <is>
          <t>aafc-aac</t>
        </is>
      </c>
      <c r="Y2077" t="inlineStr">
        <is>
          <t>Agriculture and Agri-Food Canada | Agriculture et Agroalimentaire Canada</t>
        </is>
      </c>
      <c r="Z2077" t="n">
        <v>1</v>
      </c>
      <c r="AA2077" t="n">
        <v>21</v>
      </c>
      <c r="AB2077">
        <f>ROUND(U2077-AA2077,2)</f>
        <v/>
      </c>
      <c r="AC2077" t="b">
        <v>0</v>
      </c>
      <c r="AD2077">
        <f>IF(U2077="","MISSING_TOTAL",IF(ABS(AB2077)&lt;=0.01,"OK","CHECK"))</f>
        <v/>
      </c>
      <c r="AE2077">
        <f>IF(U2077="","MISSING",IF(AND(AA2077&gt;0,U2077/AA2077&gt;50),"POSSIBLE_SCALE_ERROR","OK"))</f>
        <v/>
      </c>
    </row>
    <row r="2078">
      <c r="A2078" t="inlineStr">
        <is>
          <t>T-2024-P5-0032</t>
        </is>
      </c>
      <c r="B2078" t="inlineStr">
        <is>
          <t>SLE</t>
        </is>
      </c>
      <c r="C2078" t="inlineStr">
        <is>
          <t>Associate Assistant Deputy Minister, Science and Technology Branch</t>
        </is>
      </c>
      <c r="D2078" t="inlineStr">
        <is>
          <t>Sous-ministre adjoint délégué, Direction générale des sciences et de la technologie</t>
        </is>
      </c>
      <c r="E2078" t="inlineStr">
        <is>
          <t>Andrew Goldstein</t>
        </is>
      </c>
      <c r="F2078" t="inlineStr">
        <is>
          <t>Meeting with a delegation from New Zealand</t>
        </is>
      </c>
      <c r="G2078" t="inlineStr">
        <is>
          <t>Rencontre avec une délégation de la Nouvelle-Zélande</t>
        </is>
      </c>
      <c r="H2078" s="1" t="n">
        <v>45100</v>
      </c>
      <c r="I2078" s="1" t="n">
        <v>45100</v>
      </c>
      <c r="J2078" t="inlineStr">
        <is>
          <t>Ottawa (Ontario) Canada</t>
        </is>
      </c>
      <c r="K2078" t="inlineStr">
        <is>
          <t>Ottawa (Ontario) Canada</t>
        </is>
      </c>
      <c r="P2078" t="n">
        <v>0</v>
      </c>
      <c r="Q2078" t="n">
        <v>4.75</v>
      </c>
      <c r="R2078" t="n">
        <v>0</v>
      </c>
      <c r="S2078" t="n">
        <v>0</v>
      </c>
      <c r="T2078" t="n">
        <v>0</v>
      </c>
      <c r="U2078" t="n">
        <v>4.75</v>
      </c>
      <c r="X2078" t="inlineStr">
        <is>
          <t>aafc-aac</t>
        </is>
      </c>
      <c r="Y2078" t="inlineStr">
        <is>
          <t>Agriculture and Agri-Food Canada | Agriculture et Agroalimentaire Canada</t>
        </is>
      </c>
      <c r="Z2078" t="n">
        <v>1</v>
      </c>
      <c r="AA2078" t="n">
        <v>4.75</v>
      </c>
      <c r="AB2078">
        <f>ROUND(U2078-AA2078,2)</f>
        <v/>
      </c>
      <c r="AC2078" t="b">
        <v>0</v>
      </c>
      <c r="AD2078">
        <f>IF(U2078="","MISSING_TOTAL",IF(ABS(AB2078)&lt;=0.01,"OK","CHECK"))</f>
        <v/>
      </c>
      <c r="AE2078">
        <f>IF(U2078="","MISSING",IF(AND(AA2078&gt;0,U2078/AA2078&gt;50),"POSSIBLE_SCALE_ERROR","OK"))</f>
        <v/>
      </c>
    </row>
    <row r="2079">
      <c r="A2079" t="inlineStr">
        <is>
          <t>T-2024-P5-0033</t>
        </is>
      </c>
      <c r="B2079" t="inlineStr">
        <is>
          <t>SLE</t>
        </is>
      </c>
      <c r="C2079" t="inlineStr">
        <is>
          <t>Assistant Deputy Minister, Corporate Management Branch</t>
        </is>
      </c>
      <c r="D2079" t="inlineStr">
        <is>
          <t>Sous-ministre adjointe, Direction générale de la gestion intégrée</t>
        </is>
      </c>
      <c r="E2079" t="inlineStr">
        <is>
          <t>Marie-Claude Guérard</t>
        </is>
      </c>
      <c r="F2079" t="inlineStr">
        <is>
          <t>Attend in-person meetings in Ottawa</t>
        </is>
      </c>
      <c r="G2079" t="inlineStr">
        <is>
          <t>Participer aux rencontres à Ottawa en personne</t>
        </is>
      </c>
      <c r="H2079" s="1" t="n">
        <v>45125</v>
      </c>
      <c r="I2079" s="1" t="n">
        <v>45126</v>
      </c>
      <c r="J2079" t="inlineStr">
        <is>
          <t>Ottawa (Ontario) Canada</t>
        </is>
      </c>
      <c r="K2079" t="inlineStr">
        <is>
          <t>Ottawa (Ontario) Canada</t>
        </is>
      </c>
      <c r="P2079" t="n">
        <v>0</v>
      </c>
      <c r="Q2079" t="n">
        <v>409.7</v>
      </c>
      <c r="R2079" t="n">
        <v>269.12</v>
      </c>
      <c r="S2079" t="n">
        <v>164.6</v>
      </c>
      <c r="T2079" t="n">
        <v>0</v>
      </c>
      <c r="U2079" t="n">
        <v>843.42</v>
      </c>
      <c r="X2079" t="inlineStr">
        <is>
          <t>aafc-aac</t>
        </is>
      </c>
      <c r="Y2079" t="inlineStr">
        <is>
          <t>Agriculture and Agri-Food Canada | Agriculture et Agroalimentaire Canada</t>
        </is>
      </c>
      <c r="Z2079" t="n">
        <v>2</v>
      </c>
      <c r="AA2079" t="n">
        <v>843.42</v>
      </c>
      <c r="AB2079">
        <f>ROUND(U2079-AA2079,2)</f>
        <v/>
      </c>
      <c r="AC2079" t="b">
        <v>0</v>
      </c>
      <c r="AD2079">
        <f>IF(U2079="","MISSING_TOTAL",IF(ABS(AB2079)&lt;=0.01,"OK","CHECK"))</f>
        <v/>
      </c>
      <c r="AE2079">
        <f>IF(U2079="","MISSING",IF(AND(AA2079&gt;0,U2079/AA2079&gt;50),"POSSIBLE_SCALE_ERROR","OK"))</f>
        <v/>
      </c>
    </row>
    <row r="2080">
      <c r="A2080" t="inlineStr">
        <is>
          <t>T-2024-P5-0034</t>
        </is>
      </c>
      <c r="B2080" t="inlineStr">
        <is>
          <t>SLE</t>
        </is>
      </c>
      <c r="C2080" t="inlineStr">
        <is>
          <t>Assistant Deputy Minister, Corporate Management Branch</t>
        </is>
      </c>
      <c r="D2080" t="inlineStr">
        <is>
          <t>Sous-ministre adjointe, Direction générale de la gestion intégrée</t>
        </is>
      </c>
      <c r="E2080" t="inlineStr">
        <is>
          <t>Marie-Claude Guérard</t>
        </is>
      </c>
      <c r="F2080" t="inlineStr">
        <is>
          <t>Attend in-person meetings in Ottawa</t>
        </is>
      </c>
      <c r="G2080" t="inlineStr">
        <is>
          <t>Participer aux rencontres à Ottawa en personne</t>
        </is>
      </c>
      <c r="H2080" s="1" t="n">
        <v>45138</v>
      </c>
      <c r="I2080" s="1" t="n">
        <v>45139</v>
      </c>
      <c r="J2080" t="inlineStr">
        <is>
          <t>Ottawa (Ontario) Canada</t>
        </is>
      </c>
      <c r="K2080" t="inlineStr">
        <is>
          <t>Ottawa (Ontario) Canada</t>
        </is>
      </c>
      <c r="P2080" t="n">
        <v>0</v>
      </c>
      <c r="Q2080" t="n">
        <v>330.6</v>
      </c>
      <c r="R2080" t="n">
        <v>233.86</v>
      </c>
      <c r="S2080" t="n">
        <v>117.1</v>
      </c>
      <c r="T2080" t="n">
        <v>0</v>
      </c>
      <c r="U2080" t="n">
        <v>681.5599999999999</v>
      </c>
      <c r="X2080" t="inlineStr">
        <is>
          <t>aafc-aac</t>
        </is>
      </c>
      <c r="Y2080" t="inlineStr">
        <is>
          <t>Agriculture and Agri-Food Canada | Agriculture et Agroalimentaire Canada</t>
        </is>
      </c>
      <c r="Z2080" t="n">
        <v>2</v>
      </c>
      <c r="AA2080" t="n">
        <v>681.5599999999999</v>
      </c>
      <c r="AB2080">
        <f>ROUND(U2080-AA2080,2)</f>
        <v/>
      </c>
      <c r="AC2080" t="b">
        <v>0</v>
      </c>
      <c r="AD2080">
        <f>IF(U2080="","MISSING_TOTAL",IF(ABS(AB2080)&lt;=0.01,"OK","CHECK"))</f>
        <v/>
      </c>
      <c r="AE2080">
        <f>IF(U2080="","MISSING",IF(AND(AA2080&gt;0,U2080/AA2080&gt;50),"POSSIBLE_SCALE_ERROR","OK"))</f>
        <v/>
      </c>
    </row>
    <row r="2081">
      <c r="A2081" t="inlineStr">
        <is>
          <t>T-2024-P5-0035</t>
        </is>
      </c>
      <c r="B2081" t="inlineStr">
        <is>
          <t>SLE</t>
        </is>
      </c>
      <c r="C2081" t="inlineStr">
        <is>
          <t>Assistant Deputy Minister, Corporate Management Branch</t>
        </is>
      </c>
      <c r="D2081" t="inlineStr">
        <is>
          <t>Sous-ministre adjointe, Direction générale de la gestion intégrée</t>
        </is>
      </c>
      <c r="E2081" t="inlineStr">
        <is>
          <t>Marie-Claude Guérard</t>
        </is>
      </c>
      <c r="F2081" t="inlineStr">
        <is>
          <t>Outreach to Halifax, NS and Charlottetown, PEI</t>
        </is>
      </c>
      <c r="G2081" t="inlineStr">
        <is>
          <t>Outreach to Halifax, NS and Charlottetown, PEI</t>
        </is>
      </c>
      <c r="H2081" s="1" t="n">
        <v>45140</v>
      </c>
      <c r="I2081" s="1" t="n">
        <v>45142</v>
      </c>
      <c r="J2081" t="inlineStr">
        <is>
          <t>Halifax (Nova Scotia) Canada
Charlottetown (Prince Edward Island) Canada</t>
        </is>
      </c>
      <c r="K2081" t="inlineStr">
        <is>
          <t>Halifax (Nouvelle-Écosse) Canada
Charlottetown (Île-du-Prince-Édouard) Canada</t>
        </is>
      </c>
      <c r="P2081" t="n">
        <v>1115.09</v>
      </c>
      <c r="Q2081" t="n">
        <v>135.68</v>
      </c>
      <c r="R2081" t="n">
        <v>410.56</v>
      </c>
      <c r="S2081" t="n">
        <v>370.2</v>
      </c>
      <c r="T2081" t="n">
        <v>0</v>
      </c>
      <c r="U2081" t="n">
        <v>2031.53</v>
      </c>
      <c r="X2081" t="inlineStr">
        <is>
          <t>aafc-aac</t>
        </is>
      </c>
      <c r="Y2081" t="inlineStr">
        <is>
          <t>Agriculture and Agri-Food Canada | Agriculture et Agroalimentaire Canada</t>
        </is>
      </c>
      <c r="Z2081" t="n">
        <v>3</v>
      </c>
      <c r="AA2081" t="n">
        <v>2031.53</v>
      </c>
      <c r="AB2081">
        <f>ROUND(U2081-AA2081,2)</f>
        <v/>
      </c>
      <c r="AC2081" t="b">
        <v>0</v>
      </c>
      <c r="AD2081">
        <f>IF(U2081="","MISSING_TOTAL",IF(ABS(AB2081)&lt;=0.01,"OK","CHECK"))</f>
        <v/>
      </c>
      <c r="AE2081">
        <f>IF(U2081="","MISSING",IF(AND(AA2081&gt;0,U2081/AA2081&gt;50),"POSSIBLE_SCALE_ERROR","OK"))</f>
        <v/>
      </c>
    </row>
    <row r="2082">
      <c r="A2082" t="inlineStr">
        <is>
          <t>T-2024-P5-0036</t>
        </is>
      </c>
      <c r="B2082" t="inlineStr">
        <is>
          <t>SLE</t>
        </is>
      </c>
      <c r="C2082" t="inlineStr">
        <is>
          <t>Assistant Deputy Minister, Programs Branch</t>
        </is>
      </c>
      <c r="D2082" t="inlineStr">
        <is>
          <t>Sous-ministre adjointe, Direction générale des programmes</t>
        </is>
      </c>
      <c r="E2082" t="inlineStr">
        <is>
          <t>Liz Foster</t>
        </is>
      </c>
      <c r="F2082" t="inlineStr">
        <is>
          <t>Attend the Federal, Provincial and Territorial Minister's conference</t>
        </is>
      </c>
      <c r="G2082" t="inlineStr">
        <is>
          <t>Assister à la conférence des ministres fédéraux, provinciaux et territoriaux</t>
        </is>
      </c>
      <c r="H2082" s="1" t="n">
        <v>45125</v>
      </c>
      <c r="I2082" s="1" t="n">
        <v>45128</v>
      </c>
      <c r="J2082" t="inlineStr">
        <is>
          <t>Frederiction (New Brunswick) Canada</t>
        </is>
      </c>
      <c r="K2082" t="inlineStr">
        <is>
          <t>Frédéricton (Nouveau-Brunswick) Canada</t>
        </is>
      </c>
      <c r="P2082" t="n">
        <v>1293.04</v>
      </c>
      <c r="Q2082" t="n">
        <v>0</v>
      </c>
      <c r="R2082" t="n">
        <v>567.75</v>
      </c>
      <c r="S2082" t="n">
        <v>210.3</v>
      </c>
      <c r="T2082" t="n">
        <v>375</v>
      </c>
      <c r="U2082" t="n">
        <v>2446.09</v>
      </c>
      <c r="X2082" t="inlineStr">
        <is>
          <t>aafc-aac</t>
        </is>
      </c>
      <c r="Y2082" t="inlineStr">
        <is>
          <t>Agriculture and Agri-Food Canada | Agriculture et Agroalimentaire Canada</t>
        </is>
      </c>
      <c r="Z2082" t="n">
        <v>4</v>
      </c>
      <c r="AA2082" t="n">
        <v>2446.09</v>
      </c>
      <c r="AB2082">
        <f>ROUND(U2082-AA2082,2)</f>
        <v/>
      </c>
      <c r="AC2082" t="b">
        <v>0</v>
      </c>
      <c r="AD2082">
        <f>IF(U2082="","MISSING_TOTAL",IF(ABS(AB2082)&lt;=0.01,"OK","CHECK"))</f>
        <v/>
      </c>
      <c r="AE2082">
        <f>IF(U2082="","MISSING",IF(AND(AA2082&gt;0,U2082/AA2082&gt;50),"POSSIBLE_SCALE_ERROR","OK"))</f>
        <v/>
      </c>
    </row>
    <row r="2083">
      <c r="A2083" t="inlineStr">
        <is>
          <t>T-2024-P5-0037</t>
        </is>
      </c>
      <c r="B2083" t="inlineStr">
        <is>
          <t>SLE</t>
        </is>
      </c>
      <c r="C2083" t="inlineStr">
        <is>
          <t>Assistant Deputy Minister, Market and Industry Services Branch</t>
        </is>
      </c>
      <c r="D2083" t="inlineStr">
        <is>
          <t>Sous-ministre adjoint, Direction générale des services à l'industrie et aux marchés</t>
        </is>
      </c>
      <c r="E2083" t="inlineStr">
        <is>
          <t>Tom Rosser</t>
        </is>
      </c>
      <c r="F2083" t="inlineStr">
        <is>
          <t>Participate in a ministerial meeting and regional outreach.</t>
        </is>
      </c>
      <c r="G2083" t="inlineStr">
        <is>
          <t>Participer à une réunion ministérielle et à la sensibilisation régionale.</t>
        </is>
      </c>
      <c r="H2083" s="1" t="n">
        <v>45119</v>
      </c>
      <c r="I2083" s="1" t="n">
        <v>45120</v>
      </c>
      <c r="J2083" t="inlineStr">
        <is>
          <t>Sherbrooke (Quebec) Canada</t>
        </is>
      </c>
      <c r="K2083" t="inlineStr">
        <is>
          <t>Sherbrooke (Québec) Canada</t>
        </is>
      </c>
      <c r="P2083" t="n">
        <v>0</v>
      </c>
      <c r="Q2083" t="n">
        <v>400.6</v>
      </c>
      <c r="R2083" t="n">
        <v>232.65</v>
      </c>
      <c r="S2083" t="n">
        <v>199.3</v>
      </c>
      <c r="T2083" t="n">
        <v>0</v>
      </c>
      <c r="U2083" t="n">
        <v>832.55</v>
      </c>
      <c r="X2083" t="inlineStr">
        <is>
          <t>aafc-aac</t>
        </is>
      </c>
      <c r="Y2083" t="inlineStr">
        <is>
          <t>Agriculture and Agri-Food Canada | Agriculture et Agroalimentaire Canada</t>
        </is>
      </c>
      <c r="Z2083" t="n">
        <v>2</v>
      </c>
      <c r="AA2083" t="n">
        <v>832.55</v>
      </c>
      <c r="AB2083">
        <f>ROUND(U2083-AA2083,2)</f>
        <v/>
      </c>
      <c r="AC2083" t="b">
        <v>0</v>
      </c>
      <c r="AD2083">
        <f>IF(U2083="","MISSING_TOTAL",IF(ABS(AB2083)&lt;=0.01,"OK","CHECK"))</f>
        <v/>
      </c>
      <c r="AE2083">
        <f>IF(U2083="","MISSING",IF(AND(AA2083&gt;0,U2083/AA2083&gt;50),"POSSIBLE_SCALE_ERROR","OK"))</f>
        <v/>
      </c>
    </row>
    <row r="2084">
      <c r="A2084" t="inlineStr">
        <is>
          <t>T-2024-P5-0038</t>
        </is>
      </c>
      <c r="B2084" t="inlineStr">
        <is>
          <t>SLE</t>
        </is>
      </c>
      <c r="C2084" t="inlineStr">
        <is>
          <t>Chief Information Officer, Information Systems Branch</t>
        </is>
      </c>
      <c r="D2084" t="inlineStr">
        <is>
          <t>Dirigeante principale de l'information, Direction générale des systèmes d'information</t>
        </is>
      </c>
      <c r="E2084" t="inlineStr">
        <is>
          <t>Vidya ShankarNarayan</t>
        </is>
      </c>
      <c r="F2084" t="inlineStr">
        <is>
          <t>Attend AgSmart Event</t>
        </is>
      </c>
      <c r="G2084" t="inlineStr">
        <is>
          <t>Assister à AgSmart</t>
        </is>
      </c>
      <c r="H2084" s="1" t="n">
        <v>45138</v>
      </c>
      <c r="I2084" s="1" t="n">
        <v>45142</v>
      </c>
      <c r="J2084" t="inlineStr">
        <is>
          <t>Calgary (Alberta) Canada</t>
        </is>
      </c>
      <c r="K2084" t="inlineStr">
        <is>
          <t>Calgary (Alberta) Canada</t>
        </is>
      </c>
      <c r="P2084" t="n">
        <v>840.3200000000001</v>
      </c>
      <c r="Q2084" t="n">
        <v>96.51000000000001</v>
      </c>
      <c r="R2084" t="n">
        <v>834.98</v>
      </c>
      <c r="S2084" t="n">
        <v>558.4</v>
      </c>
      <c r="T2084" t="n">
        <v>0</v>
      </c>
      <c r="U2084" t="n">
        <v>2330.21</v>
      </c>
      <c r="X2084" t="inlineStr">
        <is>
          <t>aafc-aac</t>
        </is>
      </c>
      <c r="Y2084" t="inlineStr">
        <is>
          <t>Agriculture and Agri-Food Canada | Agriculture et Agroalimentaire Canada</t>
        </is>
      </c>
      <c r="Z2084" t="n">
        <v>5</v>
      </c>
      <c r="AA2084" t="n">
        <v>2330.21</v>
      </c>
      <c r="AB2084">
        <f>ROUND(U2084-AA2084,2)</f>
        <v/>
      </c>
      <c r="AC2084" t="b">
        <v>0</v>
      </c>
      <c r="AD2084">
        <f>IF(U2084="","MISSING_TOTAL",IF(ABS(AB2084)&lt;=0.01,"OK","CHECK"))</f>
        <v/>
      </c>
      <c r="AE2084">
        <f>IF(U2084="","MISSING",IF(AND(AA2084&gt;0,U2084/AA2084&gt;50),"POSSIBLE_SCALE_ERROR","OK"))</f>
        <v/>
      </c>
    </row>
    <row r="2085">
      <c r="A2085" t="inlineStr">
        <is>
          <t>T-2024-P6-0001</t>
        </is>
      </c>
      <c r="B2085" t="inlineStr">
        <is>
          <t>MPSES</t>
        </is>
      </c>
      <c r="C2085" t="inlineStr">
        <is>
          <t>Minister</t>
        </is>
      </c>
      <c r="D2085" t="inlineStr">
        <is>
          <t>Ministre</t>
        </is>
      </c>
      <c r="E2085" t="inlineStr">
        <is>
          <t>Lawrence MacAulay</t>
        </is>
      </c>
      <c r="F2085" t="inlineStr">
        <is>
          <t>To attend the Western Outreach</t>
        </is>
      </c>
      <c r="G2085" t="inlineStr">
        <is>
          <t>Participer à la campagne de sensibilisation de l'Ouest</t>
        </is>
      </c>
      <c r="H2085" s="1" t="n">
        <v>45152</v>
      </c>
      <c r="I2085" s="1" t="n">
        <v>45155</v>
      </c>
      <c r="J2085" t="inlineStr">
        <is>
          <t>Saskatoon (Saskatchewan) Canada
Calgary (Alberta) Canada</t>
        </is>
      </c>
      <c r="K2085" t="inlineStr">
        <is>
          <t>Saskatoon (Saskatchewan) Canada
Calgary (Alberta) Canada</t>
        </is>
      </c>
      <c r="P2085" t="n">
        <v>2221.78</v>
      </c>
      <c r="Q2085" t="n">
        <v>223.53</v>
      </c>
      <c r="R2085" t="n">
        <v>222.89</v>
      </c>
      <c r="S2085" t="n">
        <v>279.35</v>
      </c>
      <c r="T2085" t="n">
        <v>0</v>
      </c>
      <c r="U2085" t="n">
        <v>2947.55</v>
      </c>
      <c r="X2085" t="inlineStr">
        <is>
          <t>aafc-aac</t>
        </is>
      </c>
      <c r="Y2085" t="inlineStr">
        <is>
          <t>Agriculture and Agri-Food Canada | Agriculture et Agroalimentaire Canada</t>
        </is>
      </c>
      <c r="Z2085" t="n">
        <v>4</v>
      </c>
      <c r="AA2085" t="n">
        <v>2947.55</v>
      </c>
      <c r="AB2085">
        <f>ROUND(U2085-AA2085,2)</f>
        <v/>
      </c>
      <c r="AC2085" t="b">
        <v>0</v>
      </c>
      <c r="AD2085">
        <f>IF(U2085="","MISSING_TOTAL",IF(ABS(AB2085)&lt;=0.01,"OK","CHECK"))</f>
        <v/>
      </c>
      <c r="AE2085">
        <f>IF(U2085="","MISSING",IF(AND(AA2085&gt;0,U2085/AA2085&gt;50),"POSSIBLE_SCALE_ERROR","OK"))</f>
        <v/>
      </c>
    </row>
    <row r="2086">
      <c r="A2086" t="inlineStr">
        <is>
          <t>T-2024-P6-0002</t>
        </is>
      </c>
      <c r="B2086" t="inlineStr">
        <is>
          <t>MPSES</t>
        </is>
      </c>
      <c r="C2086" t="inlineStr">
        <is>
          <t>Chief of Staff</t>
        </is>
      </c>
      <c r="D2086" t="inlineStr">
        <is>
          <t>Chef de cabinet</t>
        </is>
      </c>
      <c r="E2086" t="inlineStr">
        <is>
          <t>Matthew Mann</t>
        </is>
      </c>
      <c r="F2086" t="inlineStr">
        <is>
          <t>To accompany the Minister for a Cabinet Retreat</t>
        </is>
      </c>
      <c r="G2086" t="inlineStr">
        <is>
          <t>Accompagner le ministre lors d'une retraite du cabinet</t>
        </is>
      </c>
      <c r="H2086" s="1" t="n">
        <v>45156</v>
      </c>
      <c r="I2086" s="1" t="n">
        <v>45162</v>
      </c>
      <c r="J2086" t="inlineStr">
        <is>
          <t>Charlottetown (Prince Edward Island) Canada</t>
        </is>
      </c>
      <c r="K2086" t="inlineStr">
        <is>
          <t>Charlottetown (Île-du-Prince-Édouard) Canada</t>
        </is>
      </c>
      <c r="P2086" t="n">
        <v>1530.25</v>
      </c>
      <c r="Q2086" t="n">
        <v>264.19</v>
      </c>
      <c r="R2086" t="n">
        <v>1680.22</v>
      </c>
      <c r="S2086" t="n">
        <v>279.35</v>
      </c>
      <c r="T2086" t="n">
        <v>0</v>
      </c>
      <c r="U2086" t="n">
        <v>3754.01</v>
      </c>
      <c r="X2086" t="inlineStr">
        <is>
          <t>aafc-aac</t>
        </is>
      </c>
      <c r="Y2086" t="inlineStr">
        <is>
          <t>Agriculture and Agri-Food Canada | Agriculture et Agroalimentaire Canada</t>
        </is>
      </c>
      <c r="Z2086" t="n">
        <v>7</v>
      </c>
      <c r="AA2086" t="n">
        <v>3754.00999999999</v>
      </c>
      <c r="AB2086">
        <f>ROUND(U2086-AA2086,2)</f>
        <v/>
      </c>
      <c r="AC2086" t="b">
        <v>0</v>
      </c>
      <c r="AD2086">
        <f>IF(U2086="","MISSING_TOTAL",IF(ABS(AB2086)&lt;=0.01,"OK","CHECK"))</f>
        <v/>
      </c>
      <c r="AE2086">
        <f>IF(U2086="","MISSING",IF(AND(AA2086&gt;0,U2086/AA2086&gt;50),"POSSIBLE_SCALE_ERROR","OK"))</f>
        <v/>
      </c>
    </row>
    <row r="2087">
      <c r="A2087" t="inlineStr">
        <is>
          <t>T-2024-P6-0003</t>
        </is>
      </c>
      <c r="B2087" t="inlineStr">
        <is>
          <t>MPSES</t>
        </is>
      </c>
      <c r="C2087" t="inlineStr">
        <is>
          <t>Chief of Staff</t>
        </is>
      </c>
      <c r="D2087" t="inlineStr">
        <is>
          <t>Chef de cabinet</t>
        </is>
      </c>
      <c r="E2087" t="inlineStr">
        <is>
          <t>Matthew Mann</t>
        </is>
      </c>
      <c r="F2087" t="inlineStr">
        <is>
          <t>To accompany the Minister to  the North American Leadership Summit and to the Caucus</t>
        </is>
      </c>
      <c r="G2087" t="inlineStr">
        <is>
          <t>Accompagner le ministre au Sommet de la direction nord-américain et au Caucus</t>
        </is>
      </c>
      <c r="H2087" s="1" t="n">
        <v>45176</v>
      </c>
      <c r="I2087" s="1" t="n">
        <v>45182</v>
      </c>
      <c r="J2087" t="inlineStr">
        <is>
          <t>Charlottetown (Prince Edward Island) Canada
London (Ontario) Canada</t>
        </is>
      </c>
      <c r="K2087" t="inlineStr">
        <is>
          <t>Charlottetown (Île-du-Prince-Édouard) Canada 
London (Ontario) Canada</t>
        </is>
      </c>
      <c r="P2087" t="n">
        <v>2299.51</v>
      </c>
      <c r="Q2087" t="n">
        <v>338.19</v>
      </c>
      <c r="R2087" t="n">
        <v>1805.48</v>
      </c>
      <c r="S2087" t="n">
        <v>589.4</v>
      </c>
      <c r="T2087" t="n">
        <v>0</v>
      </c>
      <c r="U2087" t="n">
        <v>5032.58</v>
      </c>
      <c r="X2087" t="inlineStr">
        <is>
          <t>aafc-aac</t>
        </is>
      </c>
      <c r="Y2087" t="inlineStr">
        <is>
          <t>Agriculture and Agri-Food Canada | Agriculture et Agroalimentaire Canada</t>
        </is>
      </c>
      <c r="Z2087" t="n">
        <v>7</v>
      </c>
      <c r="AA2087" t="n">
        <v>5032.58</v>
      </c>
      <c r="AB2087">
        <f>ROUND(U2087-AA2087,2)</f>
        <v/>
      </c>
      <c r="AC2087" t="b">
        <v>0</v>
      </c>
      <c r="AD2087">
        <f>IF(U2087="","MISSING_TOTAL",IF(ABS(AB2087)&lt;=0.01,"OK","CHECK"))</f>
        <v/>
      </c>
      <c r="AE2087">
        <f>IF(U2087="","MISSING",IF(AND(AA2087&gt;0,U2087/AA2087&gt;50),"POSSIBLE_SCALE_ERROR","OK"))</f>
        <v/>
      </c>
    </row>
    <row r="2088">
      <c r="A2088" t="inlineStr">
        <is>
          <t>T-2024-P6-0004</t>
        </is>
      </c>
      <c r="B2088" t="inlineStr">
        <is>
          <t>MPSES</t>
        </is>
      </c>
      <c r="C2088" t="inlineStr">
        <is>
          <t>Press Secretary</t>
        </is>
      </c>
      <c r="D2088" t="inlineStr">
        <is>
          <t>Attaché de presse</t>
        </is>
      </c>
      <c r="E2088" t="inlineStr">
        <is>
          <t>Simon Lafortune</t>
        </is>
      </c>
      <c r="F2088" t="inlineStr">
        <is>
          <t>To accompany the Minister for a tour</t>
        </is>
      </c>
      <c r="G2088" t="inlineStr">
        <is>
          <t>Accompagner la ministre pour une visite</t>
        </is>
      </c>
      <c r="H2088" s="1" t="n">
        <v>45138</v>
      </c>
      <c r="I2088" s="1" t="n">
        <v>45141</v>
      </c>
      <c r="J2088" t="inlineStr">
        <is>
          <t>Winnipeg (Manitoba) Canada
Seattle (Washington) United States</t>
        </is>
      </c>
      <c r="K2088" t="inlineStr">
        <is>
          <t>Winnipeg (Manitoba) Canada 
Seattle (Washington) États-Unis</t>
        </is>
      </c>
      <c r="P2088" t="n">
        <v>2783.53</v>
      </c>
      <c r="Q2088" t="n">
        <v>0</v>
      </c>
      <c r="R2088" t="n">
        <v>536.77</v>
      </c>
      <c r="S2088" t="n">
        <v>0</v>
      </c>
      <c r="T2088" t="n">
        <v>0</v>
      </c>
      <c r="U2088" t="n">
        <v>3320.3</v>
      </c>
      <c r="V2088" t="inlineStr">
        <is>
          <t>Trip cancelled.  Travel credits received for cancelled flights.</t>
        </is>
      </c>
      <c r="W2088" t="inlineStr">
        <is>
          <t>Voyage annulé. Crédits de voyage reçu pour les vols annulés.</t>
        </is>
      </c>
      <c r="X2088" t="inlineStr">
        <is>
          <t>aafc-aac</t>
        </is>
      </c>
      <c r="Y2088" t="inlineStr">
        <is>
          <t>Agriculture and Agri-Food Canada | Agriculture et Agroalimentaire Canada</t>
        </is>
      </c>
      <c r="Z2088" t="n">
        <v>4</v>
      </c>
      <c r="AA2088" t="n">
        <v>3320.3</v>
      </c>
      <c r="AB2088">
        <f>ROUND(U2088-AA2088,2)</f>
        <v/>
      </c>
      <c r="AC2088" t="b">
        <v>0</v>
      </c>
      <c r="AD2088">
        <f>IF(U2088="","MISSING_TOTAL",IF(ABS(AB2088)&lt;=0.01,"OK","CHECK"))</f>
        <v/>
      </c>
      <c r="AE2088">
        <f>IF(U2088="","MISSING",IF(AND(AA2088&gt;0,U2088/AA2088&gt;50),"POSSIBLE_SCALE_ERROR","OK"))</f>
        <v/>
      </c>
    </row>
    <row r="2089">
      <c r="A2089" t="inlineStr">
        <is>
          <t>T-2024-P6-0005</t>
        </is>
      </c>
      <c r="B2089" t="inlineStr">
        <is>
          <t>SLE</t>
        </is>
      </c>
      <c r="C2089" t="inlineStr">
        <is>
          <t>Associate Deputy Minister</t>
        </is>
      </c>
      <c r="D2089" t="inlineStr">
        <is>
          <t>Sous-ministre déléguée</t>
        </is>
      </c>
      <c r="E2089" t="inlineStr">
        <is>
          <t>Suzy McDonald</t>
        </is>
      </c>
      <c r="F2089" t="inlineStr">
        <is>
          <t>To support the Minister to a Western Outreach</t>
        </is>
      </c>
      <c r="G2089" t="inlineStr">
        <is>
          <t>Soutenir le ministre dans le cadre d'une campagne de sensibilisation dans l'Ouest</t>
        </is>
      </c>
      <c r="H2089" s="1" t="n">
        <v>45151</v>
      </c>
      <c r="I2089" s="1" t="n">
        <v>45155</v>
      </c>
      <c r="J2089" t="inlineStr">
        <is>
          <t>Saskatoon (Saskatchewan) Canada
Calgary (Alberta) Canada</t>
        </is>
      </c>
      <c r="K2089" t="inlineStr">
        <is>
          <t>Saskatoon (Saskatchewan) Canada
Calgary (Alberta) Canada</t>
        </is>
      </c>
      <c r="P2089" t="n">
        <v>2478.32</v>
      </c>
      <c r="Q2089" t="n">
        <v>217.19</v>
      </c>
      <c r="R2089" t="n">
        <v>636.71</v>
      </c>
      <c r="S2089" t="n">
        <v>398.3</v>
      </c>
      <c r="T2089" t="n">
        <v>0</v>
      </c>
      <c r="U2089" t="n">
        <v>3730.52</v>
      </c>
      <c r="X2089" t="inlineStr">
        <is>
          <t>aafc-aac</t>
        </is>
      </c>
      <c r="Y2089" t="inlineStr">
        <is>
          <t>Agriculture and Agri-Food Canada | Agriculture et Agroalimentaire Canada</t>
        </is>
      </c>
      <c r="Z2089" t="n">
        <v>5</v>
      </c>
      <c r="AA2089" t="n">
        <v>3730.52</v>
      </c>
      <c r="AB2089">
        <f>ROUND(U2089-AA2089,2)</f>
        <v/>
      </c>
      <c r="AC2089" t="b">
        <v>0</v>
      </c>
      <c r="AD2089">
        <f>IF(U2089="","MISSING_TOTAL",IF(ABS(AB2089)&lt;=0.01,"OK","CHECK"))</f>
        <v/>
      </c>
      <c r="AE2089">
        <f>IF(U2089="","MISSING",IF(AND(AA2089&gt;0,U2089/AA2089&gt;50),"POSSIBLE_SCALE_ERROR","OK"))</f>
        <v/>
      </c>
    </row>
    <row r="2090">
      <c r="A2090" t="inlineStr">
        <is>
          <t>T-2024-P6-0006</t>
        </is>
      </c>
      <c r="B2090" t="inlineStr">
        <is>
          <t>SLE</t>
        </is>
      </c>
      <c r="C2090" t="inlineStr">
        <is>
          <t>Corporate Secretary</t>
        </is>
      </c>
      <c r="D2090" t="inlineStr">
        <is>
          <t>Secrétaire générale</t>
        </is>
      </c>
      <c r="E2090" t="inlineStr">
        <is>
          <t>Tamara Abel</t>
        </is>
      </c>
      <c r="F2090" t="inlineStr">
        <is>
          <t>Operational activities</t>
        </is>
      </c>
      <c r="G2090" t="inlineStr">
        <is>
          <t>Activités opérationnelles</t>
        </is>
      </c>
      <c r="H2090" s="1" t="n">
        <v>45174</v>
      </c>
      <c r="I2090" s="1" t="n">
        <v>45176</v>
      </c>
      <c r="J2090" t="inlineStr">
        <is>
          <t>Ottawa (Ontario) Canada</t>
        </is>
      </c>
      <c r="K2090" t="inlineStr">
        <is>
          <t>Ottawa (Ontario) Canada</t>
        </is>
      </c>
      <c r="P2090" t="n">
        <v>1046.34</v>
      </c>
      <c r="Q2090" t="n">
        <v>177.44</v>
      </c>
      <c r="R2090" t="n">
        <v>538.24</v>
      </c>
      <c r="S2090" t="n">
        <v>288</v>
      </c>
      <c r="T2090" t="n">
        <v>0</v>
      </c>
      <c r="U2090" t="n">
        <v>2050.02</v>
      </c>
      <c r="X2090" t="inlineStr">
        <is>
          <t>aafc-aac</t>
        </is>
      </c>
      <c r="Y2090" t="inlineStr">
        <is>
          <t>Agriculture and Agri-Food Canada | Agriculture et Agroalimentaire Canada</t>
        </is>
      </c>
      <c r="Z2090" t="n">
        <v>3</v>
      </c>
      <c r="AA2090" t="n">
        <v>2050.02</v>
      </c>
      <c r="AB2090">
        <f>ROUND(U2090-AA2090,2)</f>
        <v/>
      </c>
      <c r="AC2090" t="b">
        <v>0</v>
      </c>
      <c r="AD2090">
        <f>IF(U2090="","MISSING_TOTAL",IF(ABS(AB2090)&lt;=0.01,"OK","CHECK"))</f>
        <v/>
      </c>
      <c r="AE2090">
        <f>IF(U2090="","MISSING",IF(AND(AA2090&gt;0,U2090/AA2090&gt;50),"POSSIBLE_SCALE_ERROR","OK"))</f>
        <v/>
      </c>
    </row>
    <row r="2091">
      <c r="A2091" t="inlineStr">
        <is>
          <t>T-2024-P6-0007</t>
        </is>
      </c>
      <c r="B2091" t="inlineStr">
        <is>
          <t>SLE</t>
        </is>
      </c>
      <c r="C2091" t="inlineStr">
        <is>
          <t>Assistant Deputy Minister, Corporate Management Branch</t>
        </is>
      </c>
      <c r="D2091" t="inlineStr">
        <is>
          <t>Sous-ministre adjointe, Direction générale de la gestion intégrée</t>
        </is>
      </c>
      <c r="E2091" t="inlineStr">
        <is>
          <t>Marie-Claude Guérard</t>
        </is>
      </c>
      <c r="F2091" t="inlineStr">
        <is>
          <t>Attended in-person meetings in Ottawa</t>
        </is>
      </c>
      <c r="G2091" t="inlineStr">
        <is>
          <t>Participer aux rencontres en personne à Ottawa</t>
        </is>
      </c>
      <c r="H2091" s="1" t="n">
        <v>45168</v>
      </c>
      <c r="I2091" s="1" t="n">
        <v>45168</v>
      </c>
      <c r="J2091" t="inlineStr">
        <is>
          <t>Ottawa (Ontario) Canada</t>
        </is>
      </c>
      <c r="K2091" t="inlineStr">
        <is>
          <t>Ottawa (Ontario) Canada</t>
        </is>
      </c>
      <c r="P2091" t="n">
        <v>0</v>
      </c>
      <c r="Q2091" t="n">
        <v>319.28</v>
      </c>
      <c r="R2091" t="n">
        <v>0</v>
      </c>
      <c r="S2091" t="n">
        <v>23.9</v>
      </c>
      <c r="T2091" t="n">
        <v>0</v>
      </c>
      <c r="U2091" t="n">
        <v>343.18</v>
      </c>
      <c r="X2091" t="inlineStr">
        <is>
          <t>aafc-aac</t>
        </is>
      </c>
      <c r="Y2091" t="inlineStr">
        <is>
          <t>Agriculture and Agri-Food Canada | Agriculture et Agroalimentaire Canada</t>
        </is>
      </c>
      <c r="Z2091" t="n">
        <v>1</v>
      </c>
      <c r="AA2091" t="n">
        <v>343.179999999999</v>
      </c>
      <c r="AB2091">
        <f>ROUND(U2091-AA2091,2)</f>
        <v/>
      </c>
      <c r="AC2091" t="b">
        <v>0</v>
      </c>
      <c r="AD2091">
        <f>IF(U2091="","MISSING_TOTAL",IF(ABS(AB2091)&lt;=0.01,"OK","CHECK"))</f>
        <v/>
      </c>
      <c r="AE2091">
        <f>IF(U2091="","MISSING",IF(AND(AA2091&gt;0,U2091/AA2091&gt;50),"POSSIBLE_SCALE_ERROR","OK"))</f>
        <v/>
      </c>
    </row>
    <row r="2092">
      <c r="A2092" t="inlineStr">
        <is>
          <t>T-2024-P6-0008</t>
        </is>
      </c>
      <c r="B2092" t="inlineStr">
        <is>
          <t>SLE</t>
        </is>
      </c>
      <c r="C2092" t="inlineStr">
        <is>
          <t>Assistant Deputy Minister, Corporate Management Branch</t>
        </is>
      </c>
      <c r="D2092" t="inlineStr">
        <is>
          <t>Sous-ministre adjointe, Direction générale de la gestion intégrée</t>
        </is>
      </c>
      <c r="E2092" t="inlineStr">
        <is>
          <t>Marie-Claude Guérard</t>
        </is>
      </c>
      <c r="F2092" t="inlineStr">
        <is>
          <t>Attended in-person retreat in Perth with Deputy Minister and meetings in Ottawa</t>
        </is>
      </c>
      <c r="G2092" t="inlineStr">
        <is>
          <t>Participer à une retraite en personne avec la sous-ministre et aux rencontres à Ottawa</t>
        </is>
      </c>
      <c r="H2092" s="1" t="n">
        <v>45175</v>
      </c>
      <c r="I2092" s="1" t="n">
        <v>45176</v>
      </c>
      <c r="J2092" t="inlineStr">
        <is>
          <t>Ottawa (Ontario) Canada
Perth (Ontario) Canada</t>
        </is>
      </c>
      <c r="K2092" t="inlineStr">
        <is>
          <t>Ottawa (Ontario) Canada
Perth (Ontario) Canada</t>
        </is>
      </c>
      <c r="P2092" t="n">
        <v>0</v>
      </c>
      <c r="Q2092" t="n">
        <v>357.54</v>
      </c>
      <c r="R2092" t="n">
        <v>217.41</v>
      </c>
      <c r="S2092" t="n">
        <v>222.9</v>
      </c>
      <c r="T2092" t="n">
        <v>0</v>
      </c>
      <c r="U2092" t="n">
        <v>797.85</v>
      </c>
      <c r="X2092" t="inlineStr">
        <is>
          <t>aafc-aac</t>
        </is>
      </c>
      <c r="Y2092" t="inlineStr">
        <is>
          <t>Agriculture and Agri-Food Canada | Agriculture et Agroalimentaire Canada</t>
        </is>
      </c>
      <c r="Z2092" t="n">
        <v>2</v>
      </c>
      <c r="AA2092" t="n">
        <v>797.85</v>
      </c>
      <c r="AB2092">
        <f>ROUND(U2092-AA2092,2)</f>
        <v/>
      </c>
      <c r="AC2092" t="b">
        <v>0</v>
      </c>
      <c r="AD2092">
        <f>IF(U2092="","MISSING_TOTAL",IF(ABS(AB2092)&lt;=0.01,"OK","CHECK"))</f>
        <v/>
      </c>
      <c r="AE2092">
        <f>IF(U2092="","MISSING",IF(AND(AA2092&gt;0,U2092/AA2092&gt;50),"POSSIBLE_SCALE_ERROR","OK"))</f>
        <v/>
      </c>
    </row>
    <row r="2093">
      <c r="A2093" t="inlineStr">
        <is>
          <t>T-2024-P6-0009</t>
        </is>
      </c>
      <c r="B2093" t="inlineStr">
        <is>
          <t>SLE</t>
        </is>
      </c>
      <c r="C2093" t="inlineStr">
        <is>
          <t>Assistant Deputy Minister, Corporate Management Branch</t>
        </is>
      </c>
      <c r="D2093" t="inlineStr">
        <is>
          <t>Sous-ministre adjointe, Direction générale de la gestion intégrée</t>
        </is>
      </c>
      <c r="E2093" t="inlineStr">
        <is>
          <t>Marie-Claude Guérard</t>
        </is>
      </c>
      <c r="F2093" t="inlineStr">
        <is>
          <t>Traveled for Executive Leadership Development Program (ELDP). Western trip.</t>
        </is>
      </c>
      <c r="G2093" t="inlineStr">
        <is>
          <t>Voyage pour le programme de développement en leadership les pour cadres supérieurs à l'intention des sous-ministres adjoints (PDLCS SMA)</t>
        </is>
      </c>
      <c r="H2093" s="1" t="n">
        <v>45179</v>
      </c>
      <c r="I2093" s="1" t="n">
        <v>45183</v>
      </c>
      <c r="J2093" t="inlineStr">
        <is>
          <t>Winnipeg (Manitoba) Canada
Regina (Saskachewan) Canada</t>
        </is>
      </c>
      <c r="K2093" t="inlineStr">
        <is>
          <t>Winnipeg (Manitoba)Canada
Régina (Saskachewan) Canada</t>
        </is>
      </c>
      <c r="P2093" t="n">
        <v>1158.52</v>
      </c>
      <c r="Q2093" t="n">
        <v>181.46</v>
      </c>
      <c r="R2093" t="n">
        <v>715.3</v>
      </c>
      <c r="S2093" t="n">
        <v>569.5</v>
      </c>
      <c r="T2093" t="n">
        <v>0</v>
      </c>
      <c r="U2093" t="n">
        <v>2624.78</v>
      </c>
      <c r="X2093" t="inlineStr">
        <is>
          <t>aafc-aac</t>
        </is>
      </c>
      <c r="Y2093" t="inlineStr">
        <is>
          <t>Agriculture and Agri-Food Canada | Agriculture et Agroalimentaire Canada</t>
        </is>
      </c>
      <c r="Z2093" t="n">
        <v>5</v>
      </c>
      <c r="AA2093" t="n">
        <v>2624.77999999999</v>
      </c>
      <c r="AB2093">
        <f>ROUND(U2093-AA2093,2)</f>
        <v/>
      </c>
      <c r="AC2093" t="b">
        <v>0</v>
      </c>
      <c r="AD2093">
        <f>IF(U2093="","MISSING_TOTAL",IF(ABS(AB2093)&lt;=0.01,"OK","CHECK"))</f>
        <v/>
      </c>
      <c r="AE2093">
        <f>IF(U2093="","MISSING",IF(AND(AA2093&gt;0,U2093/AA2093&gt;50),"POSSIBLE_SCALE_ERROR","OK"))</f>
        <v/>
      </c>
    </row>
    <row r="2094">
      <c r="A2094" t="inlineStr">
        <is>
          <t>T-2024-P6-0010</t>
        </is>
      </c>
      <c r="B2094" t="inlineStr">
        <is>
          <t>SLE</t>
        </is>
      </c>
      <c r="C2094" t="inlineStr">
        <is>
          <t>Assistant Deputy Minister, Corporate Management Branch</t>
        </is>
      </c>
      <c r="D2094" t="inlineStr">
        <is>
          <t>Sous-ministre adjointe, Direction générale de la gestion intégrée</t>
        </is>
      </c>
      <c r="E2094" t="inlineStr">
        <is>
          <t>Marie-Claude Guérard</t>
        </is>
      </c>
      <c r="F2094" t="inlineStr">
        <is>
          <t>Attended in-person meetings in Ottawa</t>
        </is>
      </c>
      <c r="G2094" t="inlineStr">
        <is>
          <t>Participer aux rencontres en personne à Ottawa</t>
        </is>
      </c>
      <c r="H2094" s="1" t="n">
        <v>45187</v>
      </c>
      <c r="I2094" s="1" t="n">
        <v>45189</v>
      </c>
      <c r="J2094" t="inlineStr">
        <is>
          <t>Ottawa (Ontario) Canada</t>
        </is>
      </c>
      <c r="K2094" t="inlineStr">
        <is>
          <t>Ottawa (Ontario) Canada</t>
        </is>
      </c>
      <c r="P2094" t="n">
        <v>0</v>
      </c>
      <c r="Q2094" t="n">
        <v>301.88</v>
      </c>
      <c r="R2094" t="n">
        <v>264.42</v>
      </c>
      <c r="S2094" t="n">
        <v>0</v>
      </c>
      <c r="T2094" t="n">
        <v>0</v>
      </c>
      <c r="U2094" t="n">
        <v>566.3</v>
      </c>
      <c r="V2094" t="inlineStr">
        <is>
          <t>Last minute trip cancellation.</t>
        </is>
      </c>
      <c r="W2094" t="inlineStr">
        <is>
          <t>Annulation de voyage de dernière minute.</t>
        </is>
      </c>
      <c r="X2094" t="inlineStr">
        <is>
          <t>aafc-aac</t>
        </is>
      </c>
      <c r="Y2094" t="inlineStr">
        <is>
          <t>Agriculture and Agri-Food Canada | Agriculture et Agroalimentaire Canada</t>
        </is>
      </c>
      <c r="Z2094" t="n">
        <v>3</v>
      </c>
      <c r="AA2094" t="n">
        <v>566.3</v>
      </c>
      <c r="AB2094">
        <f>ROUND(U2094-AA2094,2)</f>
        <v/>
      </c>
      <c r="AC2094" t="b">
        <v>0</v>
      </c>
      <c r="AD2094">
        <f>IF(U2094="","MISSING_TOTAL",IF(ABS(AB2094)&lt;=0.01,"OK","CHECK"))</f>
        <v/>
      </c>
      <c r="AE2094">
        <f>IF(U2094="","MISSING",IF(AND(AA2094&gt;0,U2094/AA2094&gt;50),"POSSIBLE_SCALE_ERROR","OK"))</f>
        <v/>
      </c>
    </row>
    <row r="2095">
      <c r="A2095" t="inlineStr">
        <is>
          <t>T-2024-P6-0011</t>
        </is>
      </c>
      <c r="B2095" t="inlineStr">
        <is>
          <t>SLE</t>
        </is>
      </c>
      <c r="C2095" t="inlineStr">
        <is>
          <t>Assistant Deputy Minister, Corporate Management Branch</t>
        </is>
      </c>
      <c r="D2095" t="inlineStr">
        <is>
          <t>Sous-ministre adjointe, Direction générale de la gestion intégrée</t>
        </is>
      </c>
      <c r="E2095" t="inlineStr">
        <is>
          <t>Marie-Claude Guérard</t>
        </is>
      </c>
      <c r="F2095" t="inlineStr">
        <is>
          <t>Attended in-person meetings in Ottawa</t>
        </is>
      </c>
      <c r="G2095" t="inlineStr">
        <is>
          <t>Participer aux rencontres en personne à Ottawa</t>
        </is>
      </c>
      <c r="H2095" s="1" t="n">
        <v>45194</v>
      </c>
      <c r="I2095" s="1" t="n">
        <v>45194</v>
      </c>
      <c r="J2095" t="inlineStr">
        <is>
          <t>Ottawa (Ontario) Canada</t>
        </is>
      </c>
      <c r="K2095" t="inlineStr">
        <is>
          <t>Ottawa (Ontario) Canada</t>
        </is>
      </c>
      <c r="P2095" t="n">
        <v>0</v>
      </c>
      <c r="Q2095" t="n">
        <v>392.24</v>
      </c>
      <c r="R2095" t="n">
        <v>0</v>
      </c>
      <c r="S2095" t="n">
        <v>23.9</v>
      </c>
      <c r="T2095" t="n">
        <v>0</v>
      </c>
      <c r="U2095" t="n">
        <v>416.14</v>
      </c>
      <c r="X2095" t="inlineStr">
        <is>
          <t>aafc-aac</t>
        </is>
      </c>
      <c r="Y2095" t="inlineStr">
        <is>
          <t>Agriculture and Agri-Food Canada | Agriculture et Agroalimentaire Canada</t>
        </is>
      </c>
      <c r="Z2095" t="n">
        <v>1</v>
      </c>
      <c r="AA2095" t="n">
        <v>416.14</v>
      </c>
      <c r="AB2095">
        <f>ROUND(U2095-AA2095,2)</f>
        <v/>
      </c>
      <c r="AC2095" t="b">
        <v>0</v>
      </c>
      <c r="AD2095">
        <f>IF(U2095="","MISSING_TOTAL",IF(ABS(AB2095)&lt;=0.01,"OK","CHECK"))</f>
        <v/>
      </c>
      <c r="AE2095">
        <f>IF(U2095="","MISSING",IF(AND(AA2095&gt;0,U2095/AA2095&gt;50),"POSSIBLE_SCALE_ERROR","OK"))</f>
        <v/>
      </c>
    </row>
    <row r="2096">
      <c r="A2096" t="inlineStr">
        <is>
          <t>T-2024-P6-0012</t>
        </is>
      </c>
      <c r="B2096" t="inlineStr">
        <is>
          <t>SLE</t>
        </is>
      </c>
      <c r="C2096" t="inlineStr">
        <is>
          <t>Assistant Deputy Minister, Public Affairs Branch</t>
        </is>
      </c>
      <c r="D2096" t="inlineStr">
        <is>
          <t>Sous-ministre adjointe, Direction générale des affaires publiques</t>
        </is>
      </c>
      <c r="E2096" t="inlineStr">
        <is>
          <t>Mary Dila</t>
        </is>
      </c>
      <c r="F2096" t="inlineStr">
        <is>
          <t>Attended the Minister`s Retreat</t>
        </is>
      </c>
      <c r="G2096" t="inlineStr">
        <is>
          <t>Participer à une retraite avec la Ministre</t>
        </is>
      </c>
      <c r="H2096" s="1" t="n">
        <v>45118</v>
      </c>
      <c r="I2096" s="1" t="n">
        <v>45119</v>
      </c>
      <c r="J2096" t="inlineStr">
        <is>
          <t>Sherbrooke (Quebec) Canada</t>
        </is>
      </c>
      <c r="K2096" t="inlineStr">
        <is>
          <t>Sherbrooke (Québec) Canada</t>
        </is>
      </c>
      <c r="P2096" t="n">
        <v>0</v>
      </c>
      <c r="Q2096" t="n">
        <v>414.28</v>
      </c>
      <c r="R2096" t="n">
        <v>250.51</v>
      </c>
      <c r="S2096" t="n">
        <v>175.7</v>
      </c>
      <c r="T2096" t="n">
        <v>0</v>
      </c>
      <c r="U2096" t="n">
        <v>840.49</v>
      </c>
      <c r="X2096" t="inlineStr">
        <is>
          <t>aafc-aac</t>
        </is>
      </c>
      <c r="Y2096" t="inlineStr">
        <is>
          <t>Agriculture and Agri-Food Canada | Agriculture et Agroalimentaire Canada</t>
        </is>
      </c>
      <c r="Z2096" t="n">
        <v>2</v>
      </c>
      <c r="AA2096" t="n">
        <v>840.49</v>
      </c>
      <c r="AB2096">
        <f>ROUND(U2096-AA2096,2)</f>
        <v/>
      </c>
      <c r="AC2096" t="b">
        <v>0</v>
      </c>
      <c r="AD2096">
        <f>IF(U2096="","MISSING_TOTAL",IF(ABS(AB2096)&lt;=0.01,"OK","CHECK"))</f>
        <v/>
      </c>
      <c r="AE2096">
        <f>IF(U2096="","MISSING",IF(AND(AA2096&gt;0,U2096/AA2096&gt;50),"POSSIBLE_SCALE_ERROR","OK"))</f>
        <v/>
      </c>
    </row>
    <row r="2097">
      <c r="A2097" t="inlineStr">
        <is>
          <t>T-2024-P6-0013</t>
        </is>
      </c>
      <c r="B2097" t="inlineStr">
        <is>
          <t>SLE</t>
        </is>
      </c>
      <c r="C2097" t="inlineStr">
        <is>
          <t>Assistant Deputy Minister, Public Affairs Branch</t>
        </is>
      </c>
      <c r="D2097" t="inlineStr">
        <is>
          <t>Sous-ministre adjointe, Direction générale des affaires publiques</t>
        </is>
      </c>
      <c r="E2097" t="inlineStr">
        <is>
          <t>Mary Dila</t>
        </is>
      </c>
      <c r="F2097" t="inlineStr">
        <is>
          <t>Attend the Federal, Provincial and Territorial Minister's conference</t>
        </is>
      </c>
      <c r="G2097" t="inlineStr">
        <is>
          <t>Assister à la conférence des ministres fédéraux, provinciaux et territoriaux</t>
        </is>
      </c>
      <c r="H2097" s="1" t="n">
        <v>45125</v>
      </c>
      <c r="I2097" s="1" t="n">
        <v>45128</v>
      </c>
      <c r="J2097" t="inlineStr">
        <is>
          <t>Fredericton (New Brunswick) Canada</t>
        </is>
      </c>
      <c r="K2097" t="inlineStr">
        <is>
          <t>Frédéricton (Nouveau-Brunswick) Canada</t>
        </is>
      </c>
      <c r="P2097" t="n">
        <v>1208.56</v>
      </c>
      <c r="Q2097" t="n">
        <v>0</v>
      </c>
      <c r="R2097" t="n">
        <v>649.08</v>
      </c>
      <c r="S2097" t="n">
        <v>398.6</v>
      </c>
      <c r="T2097" t="n">
        <v>375</v>
      </c>
      <c r="U2097" t="n">
        <v>2631.24</v>
      </c>
      <c r="X2097" t="inlineStr">
        <is>
          <t>aafc-aac</t>
        </is>
      </c>
      <c r="Y2097" t="inlineStr">
        <is>
          <t>Agriculture and Agri-Food Canada | Agriculture et Agroalimentaire Canada</t>
        </is>
      </c>
      <c r="Z2097" t="n">
        <v>4</v>
      </c>
      <c r="AA2097" t="n">
        <v>2631.24</v>
      </c>
      <c r="AB2097">
        <f>ROUND(U2097-AA2097,2)</f>
        <v/>
      </c>
      <c r="AC2097" t="b">
        <v>0</v>
      </c>
      <c r="AD2097">
        <f>IF(U2097="","MISSING_TOTAL",IF(ABS(AB2097)&lt;=0.01,"OK","CHECK"))</f>
        <v/>
      </c>
      <c r="AE2097">
        <f>IF(U2097="","MISSING",IF(AND(AA2097&gt;0,U2097/AA2097&gt;50),"POSSIBLE_SCALE_ERROR","OK"))</f>
        <v/>
      </c>
    </row>
    <row r="2098">
      <c r="A2098" t="inlineStr">
        <is>
          <t>T-2024-P6-0014</t>
        </is>
      </c>
      <c r="B2098" t="inlineStr">
        <is>
          <t>SLE</t>
        </is>
      </c>
      <c r="C2098" t="inlineStr">
        <is>
          <t>Assistant Deputy Minister, Market and Industry Services Branch</t>
        </is>
      </c>
      <c r="D2098" t="inlineStr">
        <is>
          <t>Sous-ministre adjoint, Direction générale des services à l'industrie et aux marchés</t>
        </is>
      </c>
      <c r="E2098" t="inlineStr">
        <is>
          <t>Tom Rosser</t>
        </is>
      </c>
      <c r="F2098" t="inlineStr">
        <is>
          <t>To participate in the Asia-Pacific Economic Cooperation ministerial meetings.</t>
        </is>
      </c>
      <c r="G2098" t="inlineStr">
        <is>
          <t>Participer aux réunions ministérielles de la Coopération économique Asie-Pacifique.</t>
        </is>
      </c>
      <c r="H2098" s="1" t="n">
        <v>45139</v>
      </c>
      <c r="I2098" s="1" t="n">
        <v>45145</v>
      </c>
      <c r="J2098" t="inlineStr">
        <is>
          <t>Seattle (Washington) United States</t>
        </is>
      </c>
      <c r="K2098" t="inlineStr">
        <is>
          <t>Seattle (Washington) États-Unis</t>
        </is>
      </c>
      <c r="P2098" t="n">
        <v>392.48</v>
      </c>
      <c r="Q2098" t="n">
        <v>76.29000000000001</v>
      </c>
      <c r="R2098" t="n">
        <v>1111.3</v>
      </c>
      <c r="S2098" t="n">
        <v>381.67</v>
      </c>
      <c r="T2098" t="n">
        <v>0</v>
      </c>
      <c r="U2098" t="n">
        <v>1961.74</v>
      </c>
      <c r="X2098" t="inlineStr">
        <is>
          <t>aafc-aac</t>
        </is>
      </c>
      <c r="Y2098" t="inlineStr">
        <is>
          <t>Agriculture and Agri-Food Canada | Agriculture et Agroalimentaire Canada</t>
        </is>
      </c>
      <c r="Z2098" t="n">
        <v>7</v>
      </c>
      <c r="AA2098" t="n">
        <v>1961.74</v>
      </c>
      <c r="AB2098">
        <f>ROUND(U2098-AA2098,2)</f>
        <v/>
      </c>
      <c r="AC2098" t="b">
        <v>0</v>
      </c>
      <c r="AD2098">
        <f>IF(U2098="","MISSING_TOTAL",IF(ABS(AB2098)&lt;=0.01,"OK","CHECK"))</f>
        <v/>
      </c>
      <c r="AE2098">
        <f>IF(U2098="","MISSING",IF(AND(AA2098&gt;0,U2098/AA2098&gt;50),"POSSIBLE_SCALE_ERROR","OK"))</f>
        <v/>
      </c>
    </row>
    <row r="2099">
      <c r="A2099" t="inlineStr">
        <is>
          <t>T-2024-P6-0015</t>
        </is>
      </c>
      <c r="B2099" t="inlineStr">
        <is>
          <t>SLE</t>
        </is>
      </c>
      <c r="C2099" t="inlineStr">
        <is>
          <t>Assistant Deputy Minister, Market and Industry Services Branch</t>
        </is>
      </c>
      <c r="D2099" t="inlineStr">
        <is>
          <t>Sous-ministre adjoint, Direction générale des services à l'industrie et aux marchés</t>
        </is>
      </c>
      <c r="E2099" t="inlineStr">
        <is>
          <t>Tom Rosser</t>
        </is>
      </c>
      <c r="F2099" t="inlineStr">
        <is>
          <t>To participate in the Eastern region of the Council of State Governments 62nd Annual Meeting and Regional Policy Forum and regional outreach.</t>
        </is>
      </c>
      <c r="G2099" t="inlineStr">
        <is>
          <t>Participer à la 62ème réunion annuelle de la région de l'est du Conseil des gouvernements des États et au Forum politique régional et à la sensibilisation régionale.</t>
        </is>
      </c>
      <c r="H2099" s="1" t="n">
        <v>45158</v>
      </c>
      <c r="I2099" s="1" t="n">
        <v>45160</v>
      </c>
      <c r="J2099" t="inlineStr">
        <is>
          <t>Toronto (Ontario) Canada</t>
        </is>
      </c>
      <c r="K2099" t="inlineStr">
        <is>
          <t>Toronto (Ontario) Canada</t>
        </is>
      </c>
      <c r="P2099" t="n">
        <v>567.1</v>
      </c>
      <c r="Q2099" t="n">
        <v>61.56</v>
      </c>
      <c r="R2099" t="n">
        <v>493.04</v>
      </c>
      <c r="S2099" t="n">
        <v>240.5</v>
      </c>
      <c r="T2099" t="n">
        <v>0</v>
      </c>
      <c r="U2099" t="n">
        <v>1362.2</v>
      </c>
      <c r="X2099" t="inlineStr">
        <is>
          <t>aafc-aac</t>
        </is>
      </c>
      <c r="Y2099" t="inlineStr">
        <is>
          <t>Agriculture and Agri-Food Canada | Agriculture et Agroalimentaire Canada</t>
        </is>
      </c>
      <c r="Z2099" t="n">
        <v>3</v>
      </c>
      <c r="AA2099" t="n">
        <v>1362.2</v>
      </c>
      <c r="AB2099">
        <f>ROUND(U2099-AA2099,2)</f>
        <v/>
      </c>
      <c r="AC2099" t="b">
        <v>0</v>
      </c>
      <c r="AD2099">
        <f>IF(U2099="","MISSING_TOTAL",IF(ABS(AB2099)&lt;=0.01,"OK","CHECK"))</f>
        <v/>
      </c>
      <c r="AE2099">
        <f>IF(U2099="","MISSING",IF(AND(AA2099&gt;0,U2099/AA2099&gt;50),"POSSIBLE_SCALE_ERROR","OK"))</f>
        <v/>
      </c>
    </row>
    <row r="2100">
      <c r="A2100" t="inlineStr">
        <is>
          <t>T-2024-P6-0016</t>
        </is>
      </c>
      <c r="B2100" t="inlineStr">
        <is>
          <t>SLE</t>
        </is>
      </c>
      <c r="C2100" t="inlineStr">
        <is>
          <t>Assistant Deputy Minister, Market and Industry Services Branch</t>
        </is>
      </c>
      <c r="D2100" t="inlineStr">
        <is>
          <t>Sous-ministre adjoint, Direction générale des services à l'industrie et aux marchés</t>
        </is>
      </c>
      <c r="E2100" t="inlineStr">
        <is>
          <t>Tom Rosser</t>
        </is>
      </c>
      <c r="F2100" t="inlineStr">
        <is>
          <t>To participate in regional outreach and staff engagement.</t>
        </is>
      </c>
      <c r="G2100" t="inlineStr">
        <is>
          <t>Participer à la sensibilisation régionale et à l’engagement du personnel.</t>
        </is>
      </c>
      <c r="H2100" s="1" t="n">
        <v>45160</v>
      </c>
      <c r="I2100" s="1" t="n">
        <v>45164</v>
      </c>
      <c r="J2100" t="inlineStr">
        <is>
          <t>Edmonton (Alberta) Canada, Calgary (Alberta) Canada</t>
        </is>
      </c>
      <c r="K2100" t="inlineStr">
        <is>
          <t>Edmonton (Alberta) Canada, Calgary (Alberta) Canada</t>
        </is>
      </c>
      <c r="P2100" t="n">
        <v>1569.31</v>
      </c>
      <c r="Q2100" t="n">
        <v>169.42</v>
      </c>
      <c r="R2100" t="n">
        <v>709.52</v>
      </c>
      <c r="S2100" t="n">
        <v>399.2</v>
      </c>
      <c r="T2100" t="n">
        <v>0</v>
      </c>
      <c r="U2100" t="n">
        <v>2847.45</v>
      </c>
      <c r="X2100" t="inlineStr">
        <is>
          <t>aafc-aac</t>
        </is>
      </c>
      <c r="Y2100" t="inlineStr">
        <is>
          <t>Agriculture and Agri-Food Canada | Agriculture et Agroalimentaire Canada</t>
        </is>
      </c>
      <c r="Z2100" t="n">
        <v>5</v>
      </c>
      <c r="AA2100" t="n">
        <v>2847.45</v>
      </c>
      <c r="AB2100">
        <f>ROUND(U2100-AA2100,2)</f>
        <v/>
      </c>
      <c r="AC2100" t="b">
        <v>0</v>
      </c>
      <c r="AD2100">
        <f>IF(U2100="","MISSING_TOTAL",IF(ABS(AB2100)&lt;=0.01,"OK","CHECK"))</f>
        <v/>
      </c>
      <c r="AE2100">
        <f>IF(U2100="","MISSING",IF(AND(AA2100&gt;0,U2100/AA2100&gt;50),"POSSIBLE_SCALE_ERROR","OK"))</f>
        <v/>
      </c>
    </row>
    <row r="2101">
      <c r="A2101" t="inlineStr">
        <is>
          <t>T-2024-P7-0001</t>
        </is>
      </c>
      <c r="B2101" t="inlineStr">
        <is>
          <t>MPSES</t>
        </is>
      </c>
      <c r="C2101" t="inlineStr">
        <is>
          <t>Minister</t>
        </is>
      </c>
      <c r="D2101" t="inlineStr">
        <is>
          <t>Ministre</t>
        </is>
      </c>
      <c r="E2101" t="inlineStr">
        <is>
          <t>Lawrence MacAulay</t>
        </is>
      </c>
      <c r="F2101" t="inlineStr">
        <is>
          <t>To attend the Quebec Outreach</t>
        </is>
      </c>
      <c r="G2101" t="inlineStr">
        <is>
          <t>Participer à la campagne de sensibilisation du Québec</t>
        </is>
      </c>
      <c r="H2101" s="1" t="n">
        <v>45197</v>
      </c>
      <c r="I2101" s="1" t="n">
        <v>45198</v>
      </c>
      <c r="J2101" t="inlineStr">
        <is>
          <t>Saint-Hyacinthe (Quebec) Canada</t>
        </is>
      </c>
      <c r="K2101" t="inlineStr">
        <is>
          <t>Saint-Hyacinthe (Québec) Canada</t>
        </is>
      </c>
      <c r="P2101" t="n">
        <v>1094.17</v>
      </c>
      <c r="Q2101" t="n">
        <v>0</v>
      </c>
      <c r="R2101" t="n">
        <v>208.26</v>
      </c>
      <c r="S2101" t="n">
        <v>164.7</v>
      </c>
      <c r="T2101" t="n">
        <v>0</v>
      </c>
      <c r="U2101" t="n">
        <v>1467.13</v>
      </c>
      <c r="X2101" t="inlineStr">
        <is>
          <t>aafc-aac</t>
        </is>
      </c>
      <c r="Y2101" t="inlineStr">
        <is>
          <t>Agriculture and Agri-Food Canada | Agriculture et Agroalimentaire Canada</t>
        </is>
      </c>
      <c r="Z2101" t="n">
        <v>2</v>
      </c>
      <c r="AA2101" t="n">
        <v>1467.13</v>
      </c>
      <c r="AB2101">
        <f>ROUND(U2101-AA2101,2)</f>
        <v/>
      </c>
      <c r="AC2101" t="b">
        <v>0</v>
      </c>
      <c r="AD2101">
        <f>IF(U2101="","MISSING_TOTAL",IF(ABS(AB2101)&lt;=0.01,"OK","CHECK"))</f>
        <v/>
      </c>
      <c r="AE2101">
        <f>IF(U2101="","MISSING",IF(AND(AA2101&gt;0,U2101/AA2101&gt;50),"POSSIBLE_SCALE_ERROR","OK"))</f>
        <v/>
      </c>
    </row>
    <row r="2102">
      <c r="A2102" t="inlineStr">
        <is>
          <t>T-2024-P7-0002</t>
        </is>
      </c>
      <c r="B2102" t="inlineStr">
        <is>
          <t>MPSES</t>
        </is>
      </c>
      <c r="C2102" t="inlineStr">
        <is>
          <t>Minister</t>
        </is>
      </c>
      <c r="D2102" t="inlineStr">
        <is>
          <t>Ministre</t>
        </is>
      </c>
      <c r="E2102" t="inlineStr">
        <is>
          <t>Lawrence MacAulay</t>
        </is>
      </c>
      <c r="F2102" t="inlineStr">
        <is>
          <t>To attend the Western Outreach</t>
        </is>
      </c>
      <c r="G2102" t="inlineStr">
        <is>
          <t>Participer à la campagne de sensibilisation du l'Ouest</t>
        </is>
      </c>
      <c r="H2102" s="1" t="n">
        <v>45208</v>
      </c>
      <c r="I2102" s="1" t="n">
        <v>45211</v>
      </c>
      <c r="J2102" t="inlineStr">
        <is>
          <t>Vancouver (British-Columbia) Canada</t>
        </is>
      </c>
      <c r="K2102" t="inlineStr">
        <is>
          <t>Vancouver (Colombie-Britannique) Canada</t>
        </is>
      </c>
      <c r="P2102" t="n">
        <v>2678.69</v>
      </c>
      <c r="Q2102" t="n">
        <v>141</v>
      </c>
      <c r="R2102" t="n">
        <v>1082.43</v>
      </c>
      <c r="S2102" t="n">
        <v>386.2</v>
      </c>
      <c r="T2102" t="n">
        <v>0</v>
      </c>
      <c r="U2102" t="n">
        <v>4288.32</v>
      </c>
      <c r="X2102" t="inlineStr">
        <is>
          <t>aafc-aac</t>
        </is>
      </c>
      <c r="Y2102" t="inlineStr">
        <is>
          <t>Agriculture and Agri-Food Canada | Agriculture et Agroalimentaire Canada</t>
        </is>
      </c>
      <c r="Z2102" t="n">
        <v>4</v>
      </c>
      <c r="AA2102" t="n">
        <v>4288.32</v>
      </c>
      <c r="AB2102">
        <f>ROUND(U2102-AA2102,2)</f>
        <v/>
      </c>
      <c r="AC2102" t="b">
        <v>0</v>
      </c>
      <c r="AD2102">
        <f>IF(U2102="","MISSING_TOTAL",IF(ABS(AB2102)&lt;=0.01,"OK","CHECK"))</f>
        <v/>
      </c>
      <c r="AE2102">
        <f>IF(U2102="","MISSING",IF(AND(AA2102&gt;0,U2102/AA2102&gt;50),"POSSIBLE_SCALE_ERROR","OK"))</f>
        <v/>
      </c>
    </row>
    <row r="2103">
      <c r="A2103" t="inlineStr">
        <is>
          <t>T-2024-P7-0003</t>
        </is>
      </c>
      <c r="B2103" t="inlineStr">
        <is>
          <t>MPSES</t>
        </is>
      </c>
      <c r="C2103" t="inlineStr">
        <is>
          <t>Director of Regional Affairs</t>
        </is>
      </c>
      <c r="D2103" t="inlineStr">
        <is>
          <t>Directrice des affaires régionales</t>
        </is>
      </c>
      <c r="E2103" t="inlineStr">
        <is>
          <t>Alison Porter</t>
        </is>
      </c>
      <c r="F2103" t="inlineStr">
        <is>
          <t>To accompany the Minister to attend the North American Leadership Summit</t>
        </is>
      </c>
      <c r="G2103" t="inlineStr">
        <is>
          <t>Accompagner le ministre pour participer au North American Leadership Summit</t>
        </is>
      </c>
      <c r="H2103" s="1" t="n">
        <v>45179</v>
      </c>
      <c r="I2103" s="1" t="n">
        <v>45182</v>
      </c>
      <c r="J2103" t="inlineStr">
        <is>
          <t>Charlottetown (Prince Edward Island) Canada</t>
        </is>
      </c>
      <c r="K2103" t="inlineStr">
        <is>
          <t>Charlottetown (Île-du-Prince-Édouard) Canada</t>
        </is>
      </c>
      <c r="P2103" t="n">
        <v>1099.88</v>
      </c>
      <c r="Q2103" t="n">
        <v>178.02</v>
      </c>
      <c r="R2103" t="n">
        <v>1048.29</v>
      </c>
      <c r="S2103" t="n">
        <v>342.2</v>
      </c>
      <c r="T2103" t="n">
        <v>0</v>
      </c>
      <c r="U2103" t="n">
        <v>2668.39</v>
      </c>
      <c r="X2103" t="inlineStr">
        <is>
          <t>aafc-aac</t>
        </is>
      </c>
      <c r="Y2103" t="inlineStr">
        <is>
          <t>Agriculture and Agri-Food Canada | Agriculture et Agroalimentaire Canada</t>
        </is>
      </c>
      <c r="Z2103" t="n">
        <v>4</v>
      </c>
      <c r="AA2103" t="n">
        <v>2668.39</v>
      </c>
      <c r="AB2103">
        <f>ROUND(U2103-AA2103,2)</f>
        <v/>
      </c>
      <c r="AC2103" t="b">
        <v>0</v>
      </c>
      <c r="AD2103">
        <f>IF(U2103="","MISSING_TOTAL",IF(ABS(AB2103)&lt;=0.01,"OK","CHECK"))</f>
        <v/>
      </c>
      <c r="AE2103">
        <f>IF(U2103="","MISSING",IF(AND(AA2103&gt;0,U2103/AA2103&gt;50),"POSSIBLE_SCALE_ERROR","OK"))</f>
        <v/>
      </c>
    </row>
    <row r="2104">
      <c r="A2104" t="inlineStr">
        <is>
          <t>T-2024-P7-0004</t>
        </is>
      </c>
      <c r="B2104" t="inlineStr">
        <is>
          <t>MPSES</t>
        </is>
      </c>
      <c r="C2104" t="inlineStr">
        <is>
          <t>Chief of Staff</t>
        </is>
      </c>
      <c r="D2104" t="inlineStr">
        <is>
          <t>Chef de cabinet</t>
        </is>
      </c>
      <c r="E2104" t="inlineStr">
        <is>
          <t>Matthew Mann</t>
        </is>
      </c>
      <c r="F2104" t="inlineStr">
        <is>
          <t>Visa photos for upcoming travel</t>
        </is>
      </c>
      <c r="G2104" t="inlineStr">
        <is>
          <t>Photos des visas pour les voyages à venir</t>
        </is>
      </c>
      <c r="H2104" s="1" t="n">
        <v>45202</v>
      </c>
      <c r="I2104" s="1" t="n">
        <v>45202</v>
      </c>
      <c r="J2104" t="inlineStr">
        <is>
          <t>Ottawa (Ontario) Canada</t>
        </is>
      </c>
      <c r="K2104" t="inlineStr">
        <is>
          <t>Ottawa (Ontario) Canada</t>
        </is>
      </c>
      <c r="P2104" t="n">
        <v>0</v>
      </c>
      <c r="Q2104" t="n">
        <v>0</v>
      </c>
      <c r="R2104" t="n">
        <v>0</v>
      </c>
      <c r="S2104" t="n">
        <v>0</v>
      </c>
      <c r="T2104" t="n">
        <v>40.68</v>
      </c>
      <c r="U2104" t="n">
        <v>40.68</v>
      </c>
      <c r="X2104" t="inlineStr">
        <is>
          <t>aafc-aac</t>
        </is>
      </c>
      <c r="Y2104" t="inlineStr">
        <is>
          <t>Agriculture and Agri-Food Canada | Agriculture et Agroalimentaire Canada</t>
        </is>
      </c>
      <c r="Z2104" t="n">
        <v>1</v>
      </c>
      <c r="AA2104" t="n">
        <v>40.68</v>
      </c>
      <c r="AB2104">
        <f>ROUND(U2104-AA2104,2)</f>
        <v/>
      </c>
      <c r="AC2104" t="b">
        <v>0</v>
      </c>
      <c r="AD2104">
        <f>IF(U2104="","MISSING_TOTAL",IF(ABS(AB2104)&lt;=0.01,"OK","CHECK"))</f>
        <v/>
      </c>
      <c r="AE2104">
        <f>IF(U2104="","MISSING",IF(AND(AA2104&gt;0,U2104/AA2104&gt;50),"POSSIBLE_SCALE_ERROR","OK"))</f>
        <v/>
      </c>
    </row>
    <row r="2105">
      <c r="A2105" t="inlineStr">
        <is>
          <t>T-2024-P7-0005</t>
        </is>
      </c>
      <c r="B2105" t="inlineStr">
        <is>
          <t>MPSES</t>
        </is>
      </c>
      <c r="C2105" t="inlineStr">
        <is>
          <t>Special Assistant</t>
        </is>
      </c>
      <c r="D2105" t="inlineStr">
        <is>
          <t>Adjointe spéciale</t>
        </is>
      </c>
      <c r="E2105" t="inlineStr">
        <is>
          <t>Arianna Myers</t>
        </is>
      </c>
      <c r="F2105" t="inlineStr">
        <is>
          <t>To accompany the Minister on his Quebec Outreach</t>
        </is>
      </c>
      <c r="G2105" t="inlineStr">
        <is>
          <t>Accompagner le ministre à la campagne de sensibilisation au Québec</t>
        </is>
      </c>
      <c r="H2105" s="1" t="n">
        <v>45197</v>
      </c>
      <c r="I2105" s="1" t="n">
        <v>45199</v>
      </c>
      <c r="J2105" t="inlineStr">
        <is>
          <t>Saint-Hyacinthe (Quebec) Canada</t>
        </is>
      </c>
      <c r="K2105" t="inlineStr">
        <is>
          <t>Saint-Hyacinthe (Québec) Canada</t>
        </is>
      </c>
      <c r="P2105" t="n">
        <v>0</v>
      </c>
      <c r="Q2105" t="n">
        <v>201.08</v>
      </c>
      <c r="R2105" t="n">
        <v>208.26</v>
      </c>
      <c r="S2105" t="n">
        <v>164.7</v>
      </c>
      <c r="T2105" t="n">
        <v>0</v>
      </c>
      <c r="U2105" t="n">
        <v>574.04</v>
      </c>
      <c r="X2105" t="inlineStr">
        <is>
          <t>aafc-aac</t>
        </is>
      </c>
      <c r="Y2105" t="inlineStr">
        <is>
          <t>Agriculture and Agri-Food Canada | Agriculture et Agroalimentaire Canada</t>
        </is>
      </c>
      <c r="Z2105" t="n">
        <v>3</v>
      </c>
      <c r="AA2105" t="n">
        <v>574.04</v>
      </c>
      <c r="AB2105">
        <f>ROUND(U2105-AA2105,2)</f>
        <v/>
      </c>
      <c r="AC2105" t="b">
        <v>0</v>
      </c>
      <c r="AD2105">
        <f>IF(U2105="","MISSING_TOTAL",IF(ABS(AB2105)&lt;=0.01,"OK","CHECK"))</f>
        <v/>
      </c>
      <c r="AE2105">
        <f>IF(U2105="","MISSING",IF(AND(AA2105&gt;0,U2105/AA2105&gt;50),"POSSIBLE_SCALE_ERROR","OK"))</f>
        <v/>
      </c>
    </row>
    <row r="2106">
      <c r="A2106" t="inlineStr">
        <is>
          <t>T-2024-P7-0006</t>
        </is>
      </c>
      <c r="B2106" t="inlineStr">
        <is>
          <t>MPSES</t>
        </is>
      </c>
      <c r="C2106" t="inlineStr">
        <is>
          <t>Director of Parliamentary Affairs</t>
        </is>
      </c>
      <c r="D2106" t="inlineStr">
        <is>
          <t>Directeur des affaires parlementaires</t>
        </is>
      </c>
      <c r="E2106" t="inlineStr">
        <is>
          <t>Samuel Murray</t>
        </is>
      </c>
      <c r="F2106" t="inlineStr">
        <is>
          <t>To attend meeting with the Minister and Stakeholders</t>
        </is>
      </c>
      <c r="G2106" t="inlineStr">
        <is>
          <t>Participer à des réunions avec le ministre et les parties prenantes</t>
        </is>
      </c>
      <c r="H2106" s="1" t="n">
        <v>45119</v>
      </c>
      <c r="I2106" s="1" t="n">
        <v>45122</v>
      </c>
      <c r="J2106" t="inlineStr">
        <is>
          <t>Montréal (Quebec) Canada</t>
        </is>
      </c>
      <c r="K2106" t="inlineStr">
        <is>
          <t>Montréal (Québec) Canada</t>
        </is>
      </c>
      <c r="P2106" t="n">
        <v>0</v>
      </c>
      <c r="Q2106" t="n">
        <v>233.46</v>
      </c>
      <c r="R2106" t="n">
        <v>0</v>
      </c>
      <c r="S2106" t="n">
        <v>0</v>
      </c>
      <c r="T2106" t="n">
        <v>0</v>
      </c>
      <c r="U2106" t="n">
        <v>233.46</v>
      </c>
      <c r="X2106" t="inlineStr">
        <is>
          <t>aafc-aac</t>
        </is>
      </c>
      <c r="Y2106" t="inlineStr">
        <is>
          <t>Agriculture and Agri-Food Canada | Agriculture et Agroalimentaire Canada</t>
        </is>
      </c>
      <c r="Z2106" t="n">
        <v>4</v>
      </c>
      <c r="AA2106" t="n">
        <v>233.46</v>
      </c>
      <c r="AB2106">
        <f>ROUND(U2106-AA2106,2)</f>
        <v/>
      </c>
      <c r="AC2106" t="b">
        <v>0</v>
      </c>
      <c r="AD2106">
        <f>IF(U2106="","MISSING_TOTAL",IF(ABS(AB2106)&lt;=0.01,"OK","CHECK"))</f>
        <v/>
      </c>
      <c r="AE2106">
        <f>IF(U2106="","MISSING",IF(AND(AA2106&gt;0,U2106/AA2106&gt;50),"POSSIBLE_SCALE_ERROR","OK"))</f>
        <v/>
      </c>
    </row>
    <row r="2107">
      <c r="A2107" t="inlineStr">
        <is>
          <t>T-2024-P7-0007</t>
        </is>
      </c>
      <c r="B2107" t="inlineStr">
        <is>
          <t>MPSES</t>
        </is>
      </c>
      <c r="C2107" t="inlineStr">
        <is>
          <t>Director of Communications</t>
        </is>
      </c>
      <c r="D2107" t="inlineStr">
        <is>
          <t>Directrice des communications</t>
        </is>
      </c>
      <c r="E2107" t="inlineStr">
        <is>
          <t>Annie Cullinan</t>
        </is>
      </c>
      <c r="F2107" t="inlineStr">
        <is>
          <t>To accompany the Minister on his Quebec Outreach</t>
        </is>
      </c>
      <c r="G2107" t="inlineStr">
        <is>
          <t>Accompagner le ministre aux réunions de sensibilisation au Québec</t>
        </is>
      </c>
      <c r="H2107" s="1" t="n">
        <v>45197</v>
      </c>
      <c r="I2107" s="1" t="n">
        <v>45198</v>
      </c>
      <c r="J2107" t="inlineStr">
        <is>
          <t>Saint-Hyacinthe (Quebec) Canada</t>
        </is>
      </c>
      <c r="K2107" t="inlineStr">
        <is>
          <t>Saint-Hyacinthe (Québec) Canada</t>
        </is>
      </c>
      <c r="P2107" t="n">
        <v>0</v>
      </c>
      <c r="Q2107" t="n">
        <v>0</v>
      </c>
      <c r="R2107" t="n">
        <v>208.26</v>
      </c>
      <c r="S2107" t="n">
        <v>164.7</v>
      </c>
      <c r="T2107" t="n">
        <v>0</v>
      </c>
      <c r="U2107" t="n">
        <v>372.96</v>
      </c>
      <c r="X2107" t="inlineStr">
        <is>
          <t>aafc-aac</t>
        </is>
      </c>
      <c r="Y2107" t="inlineStr">
        <is>
          <t>Agriculture and Agri-Food Canada | Agriculture et Agroalimentaire Canada</t>
        </is>
      </c>
      <c r="Z2107" t="n">
        <v>2</v>
      </c>
      <c r="AA2107" t="n">
        <v>372.96</v>
      </c>
      <c r="AB2107">
        <f>ROUND(U2107-AA2107,2)</f>
        <v/>
      </c>
      <c r="AC2107" t="b">
        <v>0</v>
      </c>
      <c r="AD2107">
        <f>IF(U2107="","MISSING_TOTAL",IF(ABS(AB2107)&lt;=0.01,"OK","CHECK"))</f>
        <v/>
      </c>
      <c r="AE2107">
        <f>IF(U2107="","MISSING",IF(AND(AA2107&gt;0,U2107/AA2107&gt;50),"POSSIBLE_SCALE_ERROR","OK"))</f>
        <v/>
      </c>
    </row>
    <row r="2108">
      <c r="A2108" t="inlineStr">
        <is>
          <t>T-2024-P7-0008</t>
        </is>
      </c>
      <c r="B2108" t="inlineStr">
        <is>
          <t>MPSES</t>
        </is>
      </c>
      <c r="C2108" t="inlineStr">
        <is>
          <t>Director of Communications</t>
        </is>
      </c>
      <c r="D2108" t="inlineStr">
        <is>
          <t>Directrice des communications</t>
        </is>
      </c>
      <c r="E2108" t="inlineStr">
        <is>
          <t>Annie Cullinan</t>
        </is>
      </c>
      <c r="F2108" t="inlineStr">
        <is>
          <t>To accompany the Minister on his Western Outreach</t>
        </is>
      </c>
      <c r="G2108" t="inlineStr">
        <is>
          <t>Accompagner le ministre à la campagne de sensibilisation dans l'Ouest</t>
        </is>
      </c>
      <c r="H2108" s="1" t="n">
        <v>45208</v>
      </c>
      <c r="I2108" s="1" t="n">
        <v>45211</v>
      </c>
      <c r="J2108" t="inlineStr">
        <is>
          <t>Vancouver (British-Columbia) Canada</t>
        </is>
      </c>
      <c r="K2108" t="inlineStr">
        <is>
          <t>Vancouver (Colombie-Britannique) Canada</t>
        </is>
      </c>
      <c r="P2108" t="n">
        <v>1868.85</v>
      </c>
      <c r="Q2108" t="n">
        <v>94.48999999999999</v>
      </c>
      <c r="R2108" t="n">
        <v>1082.43</v>
      </c>
      <c r="S2108" t="n">
        <v>386.2</v>
      </c>
      <c r="T2108" t="n">
        <v>0</v>
      </c>
      <c r="U2108" t="n">
        <v>3431.97</v>
      </c>
      <c r="X2108" t="inlineStr">
        <is>
          <t>aafc-aac</t>
        </is>
      </c>
      <c r="Y2108" t="inlineStr">
        <is>
          <t>Agriculture and Agri-Food Canada | Agriculture et Agroalimentaire Canada</t>
        </is>
      </c>
      <c r="Z2108" t="n">
        <v>4</v>
      </c>
      <c r="AA2108" t="n">
        <v>3431.97</v>
      </c>
      <c r="AB2108">
        <f>ROUND(U2108-AA2108,2)</f>
        <v/>
      </c>
      <c r="AC2108" t="b">
        <v>0</v>
      </c>
      <c r="AD2108">
        <f>IF(U2108="","MISSING_TOTAL",IF(ABS(AB2108)&lt;=0.01,"OK","CHECK"))</f>
        <v/>
      </c>
      <c r="AE2108">
        <f>IF(U2108="","MISSING",IF(AND(AA2108&gt;0,U2108/AA2108&gt;50),"POSSIBLE_SCALE_ERROR","OK"))</f>
        <v/>
      </c>
    </row>
    <row r="2109">
      <c r="A2109" t="inlineStr">
        <is>
          <t>T-2024-P7-0009</t>
        </is>
      </c>
      <c r="B2109" t="inlineStr">
        <is>
          <t>MPSES</t>
        </is>
      </c>
      <c r="C2109" t="inlineStr">
        <is>
          <t>Director of Parliamentary Affairs</t>
        </is>
      </c>
      <c r="D2109" t="inlineStr">
        <is>
          <t>Directeur des affaires parlementaires</t>
        </is>
      </c>
      <c r="E2109" t="inlineStr">
        <is>
          <t>Bradley Henstock</t>
        </is>
      </c>
      <c r="F2109" t="inlineStr">
        <is>
          <t>To accompany the Minister on his Outreach tour</t>
        </is>
      </c>
      <c r="G2109" t="inlineStr">
        <is>
          <t>Accompagner le ministre à la campagne de sensibilisation dans l'Ouest</t>
        </is>
      </c>
      <c r="H2109" s="1" t="n">
        <v>45208</v>
      </c>
      <c r="I2109" s="1" t="n">
        <v>45212</v>
      </c>
      <c r="J2109" t="inlineStr">
        <is>
          <t>Vancouver (British-Columbia) Canada</t>
        </is>
      </c>
      <c r="K2109" t="inlineStr">
        <is>
          <t>Vancouver (Colombie-Britannique) Canada</t>
        </is>
      </c>
      <c r="P2109" t="n">
        <v>1758.6</v>
      </c>
      <c r="Q2109" t="n">
        <v>88.28</v>
      </c>
      <c r="R2109" t="n">
        <v>1082.43</v>
      </c>
      <c r="S2109" t="n">
        <v>410.55</v>
      </c>
      <c r="T2109" t="n">
        <v>0</v>
      </c>
      <c r="U2109" t="n">
        <v>3339.86</v>
      </c>
      <c r="X2109" t="inlineStr">
        <is>
          <t>aafc-aac</t>
        </is>
      </c>
      <c r="Y2109" t="inlineStr">
        <is>
          <t>Agriculture and Agri-Food Canada | Agriculture et Agroalimentaire Canada</t>
        </is>
      </c>
      <c r="Z2109" t="n">
        <v>5</v>
      </c>
      <c r="AA2109" t="n">
        <v>3339.86</v>
      </c>
      <c r="AB2109">
        <f>ROUND(U2109-AA2109,2)</f>
        <v/>
      </c>
      <c r="AC2109" t="b">
        <v>0</v>
      </c>
      <c r="AD2109">
        <f>IF(U2109="","MISSING_TOTAL",IF(ABS(AB2109)&lt;=0.01,"OK","CHECK"))</f>
        <v/>
      </c>
      <c r="AE2109">
        <f>IF(U2109="","MISSING",IF(AND(AA2109&gt;0,U2109/AA2109&gt;50),"POSSIBLE_SCALE_ERROR","OK"))</f>
        <v/>
      </c>
    </row>
    <row r="2110">
      <c r="A2110" t="inlineStr">
        <is>
          <t>T-2024-P7-0010</t>
        </is>
      </c>
      <c r="B2110" t="inlineStr">
        <is>
          <t>MPSES</t>
        </is>
      </c>
      <c r="C2110" t="inlineStr">
        <is>
          <t>Parliamentary Secretary</t>
        </is>
      </c>
      <c r="D2110" t="inlineStr">
        <is>
          <t>Secrétaire parlementaire</t>
        </is>
      </c>
      <c r="E2110" t="inlineStr">
        <is>
          <t>Francis Drouin</t>
        </is>
      </c>
      <c r="F2110" t="inlineStr">
        <is>
          <t>To accompany the Minister on his Quebec Outreach</t>
        </is>
      </c>
      <c r="G2110" t="inlineStr">
        <is>
          <t>Accompagner le ministre à la campagne de sensibilisation au Québec</t>
        </is>
      </c>
      <c r="H2110" s="1" t="n">
        <v>45197</v>
      </c>
      <c r="I2110" s="1" t="n">
        <v>45198</v>
      </c>
      <c r="J2110" t="inlineStr">
        <is>
          <t>Saint-Hyacinthe (Quebec) Canada</t>
        </is>
      </c>
      <c r="K2110" t="inlineStr">
        <is>
          <t>Saint-Hyacinthe (Québec) Canada</t>
        </is>
      </c>
      <c r="P2110" t="n">
        <v>0</v>
      </c>
      <c r="Q2110" t="n">
        <v>281.88</v>
      </c>
      <c r="R2110" t="n">
        <v>208.26</v>
      </c>
      <c r="S2110" t="n">
        <v>47.5</v>
      </c>
      <c r="T2110" t="n">
        <v>0</v>
      </c>
      <c r="U2110" t="n">
        <v>537.64</v>
      </c>
      <c r="X2110" t="inlineStr">
        <is>
          <t>aafc-aac</t>
        </is>
      </c>
      <c r="Y2110" t="inlineStr">
        <is>
          <t>Agriculture and Agri-Food Canada | Agriculture et Agroalimentaire Canada</t>
        </is>
      </c>
      <c r="Z2110" t="n">
        <v>2</v>
      </c>
      <c r="AA2110" t="n">
        <v>537.64</v>
      </c>
      <c r="AB2110">
        <f>ROUND(U2110-AA2110,2)</f>
        <v/>
      </c>
      <c r="AC2110" t="b">
        <v>0</v>
      </c>
      <c r="AD2110">
        <f>IF(U2110="","MISSING_TOTAL",IF(ABS(AB2110)&lt;=0.01,"OK","CHECK"))</f>
        <v/>
      </c>
      <c r="AE2110">
        <f>IF(U2110="","MISSING",IF(AND(AA2110&gt;0,U2110/AA2110&gt;50),"POSSIBLE_SCALE_ERROR","OK"))</f>
        <v/>
      </c>
    </row>
    <row r="2111">
      <c r="A2111" t="inlineStr">
        <is>
          <t>T-2024-P7-0011</t>
        </is>
      </c>
      <c r="B2111" t="inlineStr">
        <is>
          <t>SLE</t>
        </is>
      </c>
      <c r="C2111" t="inlineStr">
        <is>
          <t>Deputy Minister</t>
        </is>
      </c>
      <c r="D2111" t="inlineStr">
        <is>
          <t>Sous-ministre</t>
        </is>
      </c>
      <c r="E2111" t="inlineStr">
        <is>
          <t>Stefanie Beck</t>
        </is>
      </c>
      <c r="F2111" t="inlineStr">
        <is>
          <t>To attend Outreach meetings</t>
        </is>
      </c>
      <c r="G2111" t="inlineStr">
        <is>
          <t>Participer aux réunions de sensibilisation</t>
        </is>
      </c>
      <c r="H2111" s="1" t="n">
        <v>45176</v>
      </c>
      <c r="I2111" s="1" t="n">
        <v>45182</v>
      </c>
      <c r="J2111" t="inlineStr">
        <is>
          <t>Charlottetown (Prince Edward Island) Canada</t>
        </is>
      </c>
      <c r="K2111" t="inlineStr">
        <is>
          <t>Charlottetown (Île-du-Prince-Édouard), Canada</t>
        </is>
      </c>
      <c r="P2111" t="n">
        <v>1763.82</v>
      </c>
      <c r="Q2111" t="n">
        <v>0</v>
      </c>
      <c r="R2111" t="n">
        <v>2251.44</v>
      </c>
      <c r="S2111" t="n">
        <v>692.5</v>
      </c>
      <c r="T2111" t="n">
        <v>0</v>
      </c>
      <c r="U2111" t="n">
        <v>4707.76</v>
      </c>
      <c r="X2111" t="inlineStr">
        <is>
          <t>aafc-aac</t>
        </is>
      </c>
      <c r="Y2111" t="inlineStr">
        <is>
          <t>Agriculture and Agri-Food Canada | Agriculture et Agroalimentaire Canada</t>
        </is>
      </c>
      <c r="Z2111" t="n">
        <v>7</v>
      </c>
      <c r="AA2111" t="n">
        <v>4707.76</v>
      </c>
      <c r="AB2111">
        <f>ROUND(U2111-AA2111,2)</f>
        <v/>
      </c>
      <c r="AC2111" t="b">
        <v>0</v>
      </c>
      <c r="AD2111">
        <f>IF(U2111="","MISSING_TOTAL",IF(ABS(AB2111)&lt;=0.01,"OK","CHECK"))</f>
        <v/>
      </c>
      <c r="AE2111">
        <f>IF(U2111="","MISSING",IF(AND(AA2111&gt;0,U2111/AA2111&gt;50),"POSSIBLE_SCALE_ERROR","OK"))</f>
        <v/>
      </c>
    </row>
    <row r="2112">
      <c r="A2112" t="inlineStr">
        <is>
          <t>T-2024-P7-0012</t>
        </is>
      </c>
      <c r="B2112" t="inlineStr">
        <is>
          <t>SLE</t>
        </is>
      </c>
      <c r="C2112" t="inlineStr">
        <is>
          <t>Deputy Minister</t>
        </is>
      </c>
      <c r="D2112" t="inlineStr">
        <is>
          <t>Sous-ministre</t>
        </is>
      </c>
      <c r="E2112" t="inlineStr">
        <is>
          <t>Stefanie Beck</t>
        </is>
      </c>
      <c r="F2112" t="inlineStr">
        <is>
          <t>To attend Outreach meetings</t>
        </is>
      </c>
      <c r="G2112" t="inlineStr">
        <is>
          <t>Participer aux réunions de sensibilisation</t>
        </is>
      </c>
      <c r="H2112" s="1" t="n">
        <v>45209</v>
      </c>
      <c r="I2112" s="1" t="n">
        <v>45210</v>
      </c>
      <c r="J2112" t="inlineStr">
        <is>
          <t>Toronto (Ontario) Canada</t>
        </is>
      </c>
      <c r="K2112" t="inlineStr">
        <is>
          <t>Toronto (Ontario) Canada</t>
        </is>
      </c>
      <c r="P2112" t="n">
        <v>679.41</v>
      </c>
      <c r="Q2112" t="n">
        <v>74.75</v>
      </c>
      <c r="R2112" t="n">
        <v>322.21</v>
      </c>
      <c r="S2112" t="n">
        <v>119.7</v>
      </c>
      <c r="T2112" t="n">
        <v>0</v>
      </c>
      <c r="U2112" t="n">
        <v>1196.07</v>
      </c>
      <c r="X2112" t="inlineStr">
        <is>
          <t>aafc-aac</t>
        </is>
      </c>
      <c r="Y2112" t="inlineStr">
        <is>
          <t>Agriculture and Agri-Food Canada | Agriculture et Agroalimentaire Canada</t>
        </is>
      </c>
      <c r="Z2112" t="n">
        <v>2</v>
      </c>
      <c r="AA2112" t="n">
        <v>1196.07</v>
      </c>
      <c r="AB2112">
        <f>ROUND(U2112-AA2112,2)</f>
        <v/>
      </c>
      <c r="AC2112" t="b">
        <v>0</v>
      </c>
      <c r="AD2112">
        <f>IF(U2112="","MISSING_TOTAL",IF(ABS(AB2112)&lt;=0.01,"OK","CHECK"))</f>
        <v/>
      </c>
      <c r="AE2112">
        <f>IF(U2112="","MISSING",IF(AND(AA2112&gt;0,U2112/AA2112&gt;50),"POSSIBLE_SCALE_ERROR","OK"))</f>
        <v/>
      </c>
    </row>
    <row r="2113">
      <c r="A2113" t="inlineStr">
        <is>
          <t>T-2024-P7-0013</t>
        </is>
      </c>
      <c r="B2113" t="inlineStr">
        <is>
          <t>SLE</t>
        </is>
      </c>
      <c r="C2113" t="inlineStr">
        <is>
          <t>Deputy Minister</t>
        </is>
      </c>
      <c r="D2113" t="inlineStr">
        <is>
          <t>Sous-ministre</t>
        </is>
      </c>
      <c r="E2113" t="inlineStr">
        <is>
          <t>Stefanie Beck</t>
        </is>
      </c>
      <c r="F2113" t="inlineStr">
        <is>
          <t>To attend Outreach meetings</t>
        </is>
      </c>
      <c r="G2113" t="inlineStr">
        <is>
          <t>Participer aux réunions de sensibilisation</t>
        </is>
      </c>
      <c r="H2113" s="1" t="n">
        <v>45211</v>
      </c>
      <c r="I2113" s="1" t="n">
        <v>45212</v>
      </c>
      <c r="J2113" t="inlineStr">
        <is>
          <t>Saint-Hyacinthe (Quebec) Canada</t>
        </is>
      </c>
      <c r="K2113" t="inlineStr">
        <is>
          <t>Saint-Hyacinthe (Québec) Canada</t>
        </is>
      </c>
      <c r="P2113" t="n">
        <v>0</v>
      </c>
      <c r="Q2113" t="n">
        <v>0</v>
      </c>
      <c r="R2113" t="n">
        <v>272.51</v>
      </c>
      <c r="S2113" t="n">
        <v>119.4</v>
      </c>
      <c r="T2113" t="n">
        <v>0</v>
      </c>
      <c r="U2113" t="n">
        <v>391.91</v>
      </c>
      <c r="X2113" t="inlineStr">
        <is>
          <t>aafc-aac</t>
        </is>
      </c>
      <c r="Y2113" t="inlineStr">
        <is>
          <t>Agriculture and Agri-Food Canada | Agriculture et Agroalimentaire Canada</t>
        </is>
      </c>
      <c r="Z2113" t="n">
        <v>2</v>
      </c>
      <c r="AA2113" t="n">
        <v>391.909999999999</v>
      </c>
      <c r="AB2113">
        <f>ROUND(U2113-AA2113,2)</f>
        <v/>
      </c>
      <c r="AC2113" t="b">
        <v>0</v>
      </c>
      <c r="AD2113">
        <f>IF(U2113="","MISSING_TOTAL",IF(ABS(AB2113)&lt;=0.01,"OK","CHECK"))</f>
        <v/>
      </c>
      <c r="AE2113">
        <f>IF(U2113="","MISSING",IF(AND(AA2113&gt;0,U2113/AA2113&gt;50),"POSSIBLE_SCALE_ERROR","OK"))</f>
        <v/>
      </c>
    </row>
    <row r="2114">
      <c r="A2114" t="inlineStr">
        <is>
          <t>T-2024-P7-0014</t>
        </is>
      </c>
      <c r="B2114" t="inlineStr">
        <is>
          <t>SLE</t>
        </is>
      </c>
      <c r="C2114" t="inlineStr">
        <is>
          <t>Assistant Deputy Minister, Science and Technology Branch</t>
        </is>
      </c>
      <c r="D2114" t="inlineStr">
        <is>
          <t>Sous-ministre adjoint, Direction générale des sciences et de la technologie</t>
        </is>
      </c>
      <c r="E2114" t="inlineStr">
        <is>
          <t>Gilles Saindon</t>
        </is>
      </c>
      <c r="F2114" t="inlineStr">
        <is>
          <t>To attend the International Forum on Agroecosystems Living Labs</t>
        </is>
      </c>
      <c r="G2114" t="inlineStr">
        <is>
          <t>Participer au Forum international des laboratoires vivants dans les agroécosystèmes 2023</t>
        </is>
      </c>
      <c r="H2114" s="1" t="n">
        <v>45202</v>
      </c>
      <c r="I2114" s="1" t="n">
        <v>45203</v>
      </c>
      <c r="J2114" t="inlineStr">
        <is>
          <t>Montréal (Quebec) Canada</t>
        </is>
      </c>
      <c r="K2114" t="inlineStr">
        <is>
          <t>Montréal (Québec) Canada</t>
        </is>
      </c>
      <c r="P2114" t="n">
        <v>0</v>
      </c>
      <c r="Q2114" t="n">
        <v>251.42</v>
      </c>
      <c r="R2114" t="n">
        <v>367.71</v>
      </c>
      <c r="S2114" t="n">
        <v>58.95</v>
      </c>
      <c r="T2114" t="n">
        <v>0</v>
      </c>
      <c r="U2114" t="n">
        <v>678.08</v>
      </c>
      <c r="X2114" t="inlineStr">
        <is>
          <t>aafc-aac</t>
        </is>
      </c>
      <c r="Y2114" t="inlineStr">
        <is>
          <t>Agriculture and Agri-Food Canada | Agriculture et Agroalimentaire Canada</t>
        </is>
      </c>
      <c r="Z2114" t="n">
        <v>2</v>
      </c>
      <c r="AA2114" t="n">
        <v>678.08</v>
      </c>
      <c r="AB2114">
        <f>ROUND(U2114-AA2114,2)</f>
        <v/>
      </c>
      <c r="AC2114" t="b">
        <v>0</v>
      </c>
      <c r="AD2114">
        <f>IF(U2114="","MISSING_TOTAL",IF(ABS(AB2114)&lt;=0.01,"OK","CHECK"))</f>
        <v/>
      </c>
      <c r="AE2114">
        <f>IF(U2114="","MISSING",IF(AND(AA2114&gt;0,U2114/AA2114&gt;50),"POSSIBLE_SCALE_ERROR","OK"))</f>
        <v/>
      </c>
    </row>
    <row r="2115">
      <c r="A2115" t="inlineStr">
        <is>
          <t>T-2024-P7-0015</t>
        </is>
      </c>
      <c r="B2115" t="inlineStr">
        <is>
          <t>SLE</t>
        </is>
      </c>
      <c r="C2115" t="inlineStr">
        <is>
          <t>Assistant Deputy Minister, Science and Technology Branch</t>
        </is>
      </c>
      <c r="D2115" t="inlineStr">
        <is>
          <t>Sous-ministre adjoint, Direction générale des sciences et de la technologie</t>
        </is>
      </c>
      <c r="E2115" t="inlineStr">
        <is>
          <t>Gilles Saindon</t>
        </is>
      </c>
      <c r="F2115" t="inlineStr">
        <is>
          <t>To attend the Departmental Audit Committee</t>
        </is>
      </c>
      <c r="G2115" t="inlineStr">
        <is>
          <t>Participer au comité ministériel de vérification</t>
        </is>
      </c>
      <c r="H2115" s="1" t="n">
        <v>45210</v>
      </c>
      <c r="I2115" s="1" t="n">
        <v>45212</v>
      </c>
      <c r="J2115" t="inlineStr">
        <is>
          <t>Saint-Hyacinthe (Quebec) Canada</t>
        </is>
      </c>
      <c r="K2115" t="inlineStr">
        <is>
          <t>Saint-Hyacinthe (Québec) Canada</t>
        </is>
      </c>
      <c r="P2115" t="n">
        <v>0</v>
      </c>
      <c r="Q2115" t="n">
        <v>355.88</v>
      </c>
      <c r="R2115" t="n">
        <v>333.2</v>
      </c>
      <c r="S2115" t="n">
        <v>197.45</v>
      </c>
      <c r="T2115" t="n">
        <v>0</v>
      </c>
      <c r="U2115" t="n">
        <v>886.53</v>
      </c>
      <c r="X2115" t="inlineStr">
        <is>
          <t>aafc-aac</t>
        </is>
      </c>
      <c r="Y2115" t="inlineStr">
        <is>
          <t>Agriculture and Agri-Food Canada | Agriculture et Agroalimentaire Canada</t>
        </is>
      </c>
      <c r="Z2115" t="n">
        <v>3</v>
      </c>
      <c r="AA2115" t="n">
        <v>886.53</v>
      </c>
      <c r="AB2115">
        <f>ROUND(U2115-AA2115,2)</f>
        <v/>
      </c>
      <c r="AC2115" t="b">
        <v>0</v>
      </c>
      <c r="AD2115">
        <f>IF(U2115="","MISSING_TOTAL",IF(ABS(AB2115)&lt;=0.01,"OK","CHECK"))</f>
        <v/>
      </c>
      <c r="AE2115">
        <f>IF(U2115="","MISSING",IF(AND(AA2115&gt;0,U2115/AA2115&gt;50),"POSSIBLE_SCALE_ERROR","OK"))</f>
        <v/>
      </c>
    </row>
    <row r="2116">
      <c r="A2116" t="inlineStr">
        <is>
          <t>T-2024-P7-0016</t>
        </is>
      </c>
      <c r="B2116" t="inlineStr">
        <is>
          <t>SLE</t>
        </is>
      </c>
      <c r="C2116" t="inlineStr">
        <is>
          <t>Assistant Deputy Minister, Science and Technology Branch</t>
        </is>
      </c>
      <c r="D2116" t="inlineStr">
        <is>
          <t>Sous-ministre adjoint, Direction générale des sciences et de la technologie</t>
        </is>
      </c>
      <c r="E2116" t="inlineStr">
        <is>
          <t>Gilles Saindon</t>
        </is>
      </c>
      <c r="F2116" t="inlineStr">
        <is>
          <t>To attend the Lacombe Outreach and meet face-to-face with Associate Directors</t>
        </is>
      </c>
      <c r="G2116" t="inlineStr">
        <is>
          <t>Participer à une rencontre de sensibilisation et rencontrer les directeurs associés en personne à Lacombe</t>
        </is>
      </c>
      <c r="H2116" s="1" t="n">
        <v>41563</v>
      </c>
      <c r="I2116" s="1" t="n">
        <v>45218</v>
      </c>
      <c r="J2116" t="inlineStr">
        <is>
          <t>Lacombe (Alberta) Canada</t>
        </is>
      </c>
      <c r="K2116" t="inlineStr">
        <is>
          <t>Lacombe (Alberta) Canada</t>
        </is>
      </c>
      <c r="P2116" t="n">
        <v>1550.06</v>
      </c>
      <c r="Q2116" t="n">
        <v>327.3</v>
      </c>
      <c r="R2116" t="n">
        <v>405.48</v>
      </c>
      <c r="S2116" t="n">
        <v>348.85</v>
      </c>
      <c r="T2116" t="n">
        <v>0</v>
      </c>
      <c r="U2116" t="n">
        <v>2631.69</v>
      </c>
      <c r="X2116" t="inlineStr">
        <is>
          <t>aafc-aac</t>
        </is>
      </c>
      <c r="Y2116" t="inlineStr">
        <is>
          <t>Agriculture and Agri-Food Canada | Agriculture et Agroalimentaire Canada</t>
        </is>
      </c>
      <c r="Z2116" t="n">
        <v>3656</v>
      </c>
      <c r="AA2116" t="n">
        <v>2631.69</v>
      </c>
      <c r="AB2116">
        <f>ROUND(U2116-AA2116,2)</f>
        <v/>
      </c>
      <c r="AC2116" t="b">
        <v>0</v>
      </c>
      <c r="AD2116">
        <f>IF(U2116="","MISSING_TOTAL",IF(ABS(AB2116)&lt;=0.01,"OK","CHECK"))</f>
        <v/>
      </c>
      <c r="AE2116">
        <f>IF(U2116="","MISSING",IF(AND(AA2116&gt;0,U2116/AA2116&gt;50),"POSSIBLE_SCALE_ERROR","OK"))</f>
        <v/>
      </c>
    </row>
    <row r="2117">
      <c r="A2117" t="inlineStr">
        <is>
          <t>T-2024-P7-0017</t>
        </is>
      </c>
      <c r="B2117" t="inlineStr">
        <is>
          <t>SLE</t>
        </is>
      </c>
      <c r="C2117" t="inlineStr">
        <is>
          <t>Associate Assistant Deputy Minister, Science and Technology Branch</t>
        </is>
      </c>
      <c r="D2117" t="inlineStr">
        <is>
          <t>Sous-ministre adjoint délégué, Direction générale des sciences et de la technologie</t>
        </is>
      </c>
      <c r="E2117" t="inlineStr">
        <is>
          <t>Andrew Goldstein</t>
        </is>
      </c>
      <c r="F2117" t="inlineStr">
        <is>
          <t>To attend an outreach and meet with staff at the Kentville and Charlottetown Research and Development Centres</t>
        </is>
      </c>
      <c r="G2117" t="inlineStr">
        <is>
          <t>Participer à une rencontre de sensibilisation avec le personnel des centres de recherche et de développement à Kentville et de Charlottetown</t>
        </is>
      </c>
      <c r="H2117" s="1" t="n">
        <v>45188</v>
      </c>
      <c r="I2117" s="1" t="n">
        <v>45190</v>
      </c>
      <c r="J2117" t="inlineStr">
        <is>
          <t>Kentville (Nova Scotia) Canada
Charlottetown (Prince Edward Island) Canada</t>
        </is>
      </c>
      <c r="K2117" t="inlineStr">
        <is>
          <t>Kentville (Nouvelle-Écosse) Canada
Charlottetown (Île-du-Prince Édouard) Canada</t>
        </is>
      </c>
      <c r="P2117" t="n">
        <v>379.69</v>
      </c>
      <c r="Q2117" t="n">
        <v>644.71</v>
      </c>
      <c r="R2117" t="n">
        <v>423.8</v>
      </c>
      <c r="S2117" t="n">
        <v>370.2</v>
      </c>
      <c r="T2117" t="n">
        <v>0</v>
      </c>
      <c r="U2117" t="n">
        <v>1818.4</v>
      </c>
      <c r="X2117" t="inlineStr">
        <is>
          <t>aafc-aac</t>
        </is>
      </c>
      <c r="Y2117" t="inlineStr">
        <is>
          <t>Agriculture and Agri-Food Canada | Agriculture et Agroalimentaire Canada</t>
        </is>
      </c>
      <c r="Z2117" t="n">
        <v>3</v>
      </c>
      <c r="AA2117" t="n">
        <v>1818.4</v>
      </c>
      <c r="AB2117">
        <f>ROUND(U2117-AA2117,2)</f>
        <v/>
      </c>
      <c r="AC2117" t="b">
        <v>0</v>
      </c>
      <c r="AD2117">
        <f>IF(U2117="","MISSING_TOTAL",IF(ABS(AB2117)&lt;=0.01,"OK","CHECK"))</f>
        <v/>
      </c>
      <c r="AE2117">
        <f>IF(U2117="","MISSING",IF(AND(AA2117&gt;0,U2117/AA2117&gt;50),"POSSIBLE_SCALE_ERROR","OK"))</f>
        <v/>
      </c>
    </row>
    <row r="2118">
      <c r="A2118" t="inlineStr">
        <is>
          <t>T-2024-P7-0018</t>
        </is>
      </c>
      <c r="B2118" t="inlineStr">
        <is>
          <t>SLE</t>
        </is>
      </c>
      <c r="C2118" t="inlineStr">
        <is>
          <t>Associate Assistant Deputy Minister, Science and Technology Branch</t>
        </is>
      </c>
      <c r="D2118" t="inlineStr">
        <is>
          <t>Sous-ministre adjoint délégué, Direction générale des sciences et de la technologie</t>
        </is>
      </c>
      <c r="E2118" t="inlineStr">
        <is>
          <t>Andrew Goldstein</t>
        </is>
      </c>
      <c r="F2118" t="inlineStr">
        <is>
          <t>To attend the Departmental Audit Committee</t>
        </is>
      </c>
      <c r="G2118" t="inlineStr">
        <is>
          <t>Participer au comité ministériel de vérification</t>
        </is>
      </c>
      <c r="H2118" s="1" t="n">
        <v>45211</v>
      </c>
      <c r="I2118" s="1" t="n">
        <v>45211</v>
      </c>
      <c r="J2118" t="inlineStr">
        <is>
          <t>Saint-Hyacinthe (Quebec) Canada</t>
        </is>
      </c>
      <c r="K2118" t="inlineStr">
        <is>
          <t>Saint-Hyacinthe (Québec) Canada</t>
        </is>
      </c>
      <c r="P2118" t="n">
        <v>0</v>
      </c>
      <c r="Q2118" t="n">
        <v>311.44</v>
      </c>
      <c r="R2118" t="n">
        <v>0</v>
      </c>
      <c r="S2118" t="n">
        <v>0</v>
      </c>
      <c r="T2118" t="n">
        <v>0</v>
      </c>
      <c r="U2118" t="n">
        <v>311.44</v>
      </c>
      <c r="X2118" t="inlineStr">
        <is>
          <t>aafc-aac</t>
        </is>
      </c>
      <c r="Y2118" t="inlineStr">
        <is>
          <t>Agriculture and Agri-Food Canada | Agriculture et Agroalimentaire Canada</t>
        </is>
      </c>
      <c r="Z2118" t="n">
        <v>1</v>
      </c>
      <c r="AA2118" t="n">
        <v>311.44</v>
      </c>
      <c r="AB2118">
        <f>ROUND(U2118-AA2118,2)</f>
        <v/>
      </c>
      <c r="AC2118" t="b">
        <v>0</v>
      </c>
      <c r="AD2118">
        <f>IF(U2118="","MISSING_TOTAL",IF(ABS(AB2118)&lt;=0.01,"OK","CHECK"))</f>
        <v/>
      </c>
      <c r="AE2118">
        <f>IF(U2118="","MISSING",IF(AND(AA2118&gt;0,U2118/AA2118&gt;50),"POSSIBLE_SCALE_ERROR","OK"))</f>
        <v/>
      </c>
    </row>
    <row r="2119">
      <c r="A2119" t="inlineStr">
        <is>
          <t>T-2024-P7-0019</t>
        </is>
      </c>
      <c r="B2119" t="inlineStr">
        <is>
          <t>SLE</t>
        </is>
      </c>
      <c r="C2119" t="inlineStr">
        <is>
          <t>Assistant Deputy Minister, Corporate Management Branch</t>
        </is>
      </c>
      <c r="D2119" t="inlineStr">
        <is>
          <t>Sous-ministre adjointe, Direction générale de la gestion intégrée</t>
        </is>
      </c>
      <c r="E2119" t="inlineStr">
        <is>
          <t>Marie-Claude Guérard</t>
        </is>
      </c>
      <c r="F2119" t="inlineStr">
        <is>
          <t>To attend the Departmental Audit Committee</t>
        </is>
      </c>
      <c r="G2119" t="inlineStr">
        <is>
          <t>Participer au comité ministériel de vérification</t>
        </is>
      </c>
      <c r="H2119" s="1" t="n">
        <v>45211</v>
      </c>
      <c r="I2119" s="1" t="n">
        <v>45212</v>
      </c>
      <c r="J2119" t="inlineStr">
        <is>
          <t>Saint-Hyacinthe (Quebec) Canada</t>
        </is>
      </c>
      <c r="K2119" t="inlineStr">
        <is>
          <t>Saint-Hyacinthe (Québec) Canada</t>
        </is>
      </c>
      <c r="P2119" t="n">
        <v>0</v>
      </c>
      <c r="Q2119" t="n">
        <v>150.64</v>
      </c>
      <c r="R2119" t="n">
        <v>0</v>
      </c>
      <c r="S2119" t="n">
        <v>253.5</v>
      </c>
      <c r="T2119" t="n">
        <v>0</v>
      </c>
      <c r="U2119" t="n">
        <v>404.14</v>
      </c>
      <c r="X2119" t="inlineStr">
        <is>
          <t>aafc-aac</t>
        </is>
      </c>
      <c r="Y2119" t="inlineStr">
        <is>
          <t>Agriculture and Agri-Food Canada | Agriculture et Agroalimentaire Canada</t>
        </is>
      </c>
      <c r="Z2119" t="n">
        <v>2</v>
      </c>
      <c r="AA2119" t="n">
        <v>404.14</v>
      </c>
      <c r="AB2119">
        <f>ROUND(U2119-AA2119,2)</f>
        <v/>
      </c>
      <c r="AC2119" t="b">
        <v>0</v>
      </c>
      <c r="AD2119">
        <f>IF(U2119="","MISSING_TOTAL",IF(ABS(AB2119)&lt;=0.01,"OK","CHECK"))</f>
        <v/>
      </c>
      <c r="AE2119">
        <f>IF(U2119="","MISSING",IF(AND(AA2119&gt;0,U2119/AA2119&gt;50),"POSSIBLE_SCALE_ERROR","OK"))</f>
        <v/>
      </c>
    </row>
    <row r="2120">
      <c r="A2120" t="inlineStr">
        <is>
          <t>T-2024-P7-0020</t>
        </is>
      </c>
      <c r="B2120" t="inlineStr">
        <is>
          <t>SLE</t>
        </is>
      </c>
      <c r="C2120" t="inlineStr">
        <is>
          <t>Assistant Deputy Minister, Corporate Management Branch</t>
        </is>
      </c>
      <c r="D2120" t="inlineStr">
        <is>
          <t>Sous-ministre adjointe, Direction générale de la gestion intégrée</t>
        </is>
      </c>
      <c r="E2120" t="inlineStr">
        <is>
          <t>Marie-Claude Guérard</t>
        </is>
      </c>
      <c r="F2120" t="inlineStr">
        <is>
          <t>To participate in the Northern Tour with the Executive Leadership Development Program (ELDP)</t>
        </is>
      </c>
      <c r="G2120" t="inlineStr">
        <is>
          <t>Participer au voyage au grand nord avec le programme de perfectionnement et apprentissage des cadres</t>
        </is>
      </c>
      <c r="H2120" s="1" t="n">
        <v>45214</v>
      </c>
      <c r="I2120" s="1" t="n">
        <v>45218</v>
      </c>
      <c r="J2120" t="inlineStr">
        <is>
          <t>Iqaluit (Nunavut) Canada</t>
        </is>
      </c>
      <c r="K2120" t="inlineStr">
        <is>
          <t>Iqaluit (Nunavut) Canada</t>
        </is>
      </c>
      <c r="P2120" t="n">
        <v>1746.47</v>
      </c>
      <c r="Q2120" t="n">
        <v>376.28</v>
      </c>
      <c r="R2120" t="n">
        <v>1213.83</v>
      </c>
      <c r="S2120" t="n">
        <v>618.6</v>
      </c>
      <c r="T2120" t="n">
        <v>0</v>
      </c>
      <c r="U2120" t="n">
        <v>3955.18</v>
      </c>
      <c r="X2120" t="inlineStr">
        <is>
          <t>aafc-aac</t>
        </is>
      </c>
      <c r="Y2120" t="inlineStr">
        <is>
          <t>Agriculture and Agri-Food Canada | Agriculture et Agroalimentaire Canada</t>
        </is>
      </c>
      <c r="Z2120" t="n">
        <v>5</v>
      </c>
      <c r="AA2120" t="n">
        <v>3955.18</v>
      </c>
      <c r="AB2120">
        <f>ROUND(U2120-AA2120,2)</f>
        <v/>
      </c>
      <c r="AC2120" t="b">
        <v>0</v>
      </c>
      <c r="AD2120">
        <f>IF(U2120="","MISSING_TOTAL",IF(ABS(AB2120)&lt;=0.01,"OK","CHECK"))</f>
        <v/>
      </c>
      <c r="AE2120">
        <f>IF(U2120="","MISSING",IF(AND(AA2120&gt;0,U2120/AA2120&gt;50),"POSSIBLE_SCALE_ERROR","OK"))</f>
        <v/>
      </c>
    </row>
    <row r="2121">
      <c r="A2121" t="inlineStr">
        <is>
          <t>T-2024-P7-0021</t>
        </is>
      </c>
      <c r="B2121" t="inlineStr">
        <is>
          <t>SLE</t>
        </is>
      </c>
      <c r="C2121" t="inlineStr">
        <is>
          <t>Assistant Deputy Minister, Programs Branch</t>
        </is>
      </c>
      <c r="D2121" t="inlineStr">
        <is>
          <t>Sous-ministre adjointe, Direction générale des programmes</t>
        </is>
      </c>
      <c r="E2121" t="inlineStr">
        <is>
          <t>Liz Foster</t>
        </is>
      </c>
      <c r="F2121" t="inlineStr">
        <is>
          <t>To paticipate in outreach</t>
        </is>
      </c>
      <c r="G2121" t="inlineStr">
        <is>
          <t>Participer à une activité de sensibilisation</t>
        </is>
      </c>
      <c r="H2121" s="1" t="n">
        <v>45215</v>
      </c>
      <c r="I2121" s="1" t="n">
        <v>45219</v>
      </c>
      <c r="J2121" t="inlineStr">
        <is>
          <t>Winnipeg (Manitoba) Canada</t>
        </is>
      </c>
      <c r="K2121" t="inlineStr">
        <is>
          <t>Winnipeg (Manitoba) Canada</t>
        </is>
      </c>
      <c r="P2121" t="n">
        <v>449.85</v>
      </c>
      <c r="Q2121" t="n">
        <v>128.22</v>
      </c>
      <c r="R2121" t="n">
        <v>1112.29</v>
      </c>
      <c r="S2121" t="n">
        <v>524.3</v>
      </c>
      <c r="T2121" t="n">
        <v>0</v>
      </c>
      <c r="U2121" t="n">
        <v>2214.66</v>
      </c>
      <c r="X2121" t="inlineStr">
        <is>
          <t>aafc-aac</t>
        </is>
      </c>
      <c r="Y2121" t="inlineStr">
        <is>
          <t>Agriculture and Agri-Food Canada | Agriculture et Agroalimentaire Canada</t>
        </is>
      </c>
      <c r="Z2121" t="n">
        <v>5</v>
      </c>
      <c r="AA2121" t="n">
        <v>2214.66</v>
      </c>
      <c r="AB2121">
        <f>ROUND(U2121-AA2121,2)</f>
        <v/>
      </c>
      <c r="AC2121" t="b">
        <v>0</v>
      </c>
      <c r="AD2121">
        <f>IF(U2121="","MISSING_TOTAL",IF(ABS(AB2121)&lt;=0.01,"OK","CHECK"))</f>
        <v/>
      </c>
      <c r="AE2121">
        <f>IF(U2121="","MISSING",IF(AND(AA2121&gt;0,U2121/AA2121&gt;50),"POSSIBLE_SCALE_ERROR","OK"))</f>
        <v/>
      </c>
    </row>
    <row r="2122">
      <c r="A2122" t="inlineStr">
        <is>
          <t>T-2024-P7-0022</t>
        </is>
      </c>
      <c r="B2122" t="inlineStr">
        <is>
          <t>SLE</t>
        </is>
      </c>
      <c r="C2122" t="inlineStr">
        <is>
          <t>Assistant Deputy Minister, Market and Industry Services Branch</t>
        </is>
      </c>
      <c r="D2122" t="inlineStr">
        <is>
          <t>Sous-ministre adjoint, Direction générale des services à l'industrie et aux marchés</t>
        </is>
      </c>
      <c r="E2122" t="inlineStr">
        <is>
          <t>Tom Rosser</t>
        </is>
      </c>
      <c r="F2122" t="inlineStr">
        <is>
          <t>To participate in regional outreach.</t>
        </is>
      </c>
      <c r="G2122" t="inlineStr">
        <is>
          <t>Participer à la sensibilisation régionale.</t>
        </is>
      </c>
      <c r="H2122" s="1" t="n">
        <v>45179</v>
      </c>
      <c r="I2122" s="1" t="n">
        <v>45181</v>
      </c>
      <c r="J2122" t="inlineStr">
        <is>
          <t>Saint-Hyacinthe (Quebec) Canada
Drummondville (Quebec) Canada</t>
        </is>
      </c>
      <c r="K2122" t="inlineStr">
        <is>
          <t>Saint-Hyacinthe (Québec) Canada, 
Drummondville (Québec) Canada</t>
        </is>
      </c>
      <c r="P2122" t="n">
        <v>0</v>
      </c>
      <c r="Q2122" t="n">
        <v>333.56</v>
      </c>
      <c r="R2122" t="n">
        <v>416.52</v>
      </c>
      <c r="S2122" t="n">
        <v>240.2</v>
      </c>
      <c r="T2122" t="n">
        <v>0</v>
      </c>
      <c r="U2122" t="n">
        <v>990.28</v>
      </c>
      <c r="X2122" t="inlineStr">
        <is>
          <t>aafc-aac</t>
        </is>
      </c>
      <c r="Y2122" t="inlineStr">
        <is>
          <t>Agriculture and Agri-Food Canada | Agriculture et Agroalimentaire Canada</t>
        </is>
      </c>
      <c r="Z2122" t="n">
        <v>3</v>
      </c>
      <c r="AA2122" t="n">
        <v>990.28</v>
      </c>
      <c r="AB2122">
        <f>ROUND(U2122-AA2122,2)</f>
        <v/>
      </c>
      <c r="AC2122" t="b">
        <v>0</v>
      </c>
      <c r="AD2122">
        <f>IF(U2122="","MISSING_TOTAL",IF(ABS(AB2122)&lt;=0.01,"OK","CHECK"))</f>
        <v/>
      </c>
      <c r="AE2122">
        <f>IF(U2122="","MISSING",IF(AND(AA2122&gt;0,U2122/AA2122&gt;50),"POSSIBLE_SCALE_ERROR","OK"))</f>
        <v/>
      </c>
    </row>
    <row r="2123">
      <c r="A2123" t="inlineStr">
        <is>
          <t>T-2024-P7-0023</t>
        </is>
      </c>
      <c r="B2123" t="inlineStr">
        <is>
          <t>SLE</t>
        </is>
      </c>
      <c r="C2123" t="inlineStr">
        <is>
          <t>Assistant Deputy Minister, Market and Industry Services Branch</t>
        </is>
      </c>
      <c r="D2123" t="inlineStr">
        <is>
          <t>Sous-ministre adjoint, Direction générale des services à l'industrie et aux marchés</t>
        </is>
      </c>
      <c r="E2123" t="inlineStr">
        <is>
          <t>Tom Rosser</t>
        </is>
      </c>
      <c r="F2123" t="inlineStr">
        <is>
          <t>To participate in the meeting of Ministers of Agriculture of the Americas 2023 – Twenty-second Regular Meeting of the Inter-American Board of Agriculture.</t>
        </is>
      </c>
      <c r="G2123" t="inlineStr">
        <is>
          <t>Participer à la réunion des ministres de l'agriculture des Amériques 2023 – Vingt-deuxième réunion ordinaire du Conseil interaméricain de l'agriculture.</t>
        </is>
      </c>
      <c r="H2123" s="1" t="n">
        <v>45201</v>
      </c>
      <c r="I2123" s="1" t="n">
        <v>45205</v>
      </c>
      <c r="J2123" t="inlineStr">
        <is>
          <t>San José, Costa Rica</t>
        </is>
      </c>
      <c r="K2123" t="inlineStr">
        <is>
          <t>San José, Costa Rica</t>
        </is>
      </c>
      <c r="P2123" t="n">
        <v>1782.09</v>
      </c>
      <c r="Q2123" t="n">
        <v>81.88</v>
      </c>
      <c r="R2123" t="n">
        <v>741.92</v>
      </c>
      <c r="S2123" t="n">
        <v>598.84</v>
      </c>
      <c r="T2123" t="n">
        <v>0</v>
      </c>
      <c r="U2123" t="n">
        <v>3204.73</v>
      </c>
      <c r="X2123" t="inlineStr">
        <is>
          <t>aafc-aac</t>
        </is>
      </c>
      <c r="Y2123" t="inlineStr">
        <is>
          <t>Agriculture and Agri-Food Canada | Agriculture et Agroalimentaire Canada</t>
        </is>
      </c>
      <c r="Z2123" t="n">
        <v>5</v>
      </c>
      <c r="AA2123" t="n">
        <v>3204.73</v>
      </c>
      <c r="AB2123">
        <f>ROUND(U2123-AA2123,2)</f>
        <v/>
      </c>
      <c r="AC2123" t="b">
        <v>0</v>
      </c>
      <c r="AD2123">
        <f>IF(U2123="","MISSING_TOTAL",IF(ABS(AB2123)&lt;=0.01,"OK","CHECK"))</f>
        <v/>
      </c>
      <c r="AE2123">
        <f>IF(U2123="","MISSING",IF(AND(AA2123&gt;0,U2123/AA2123&gt;50),"POSSIBLE_SCALE_ERROR","OK"))</f>
        <v/>
      </c>
    </row>
    <row r="2124">
      <c r="A2124" t="inlineStr">
        <is>
          <t>T-2024-P7-0024</t>
        </is>
      </c>
      <c r="B2124" t="inlineStr">
        <is>
          <t>SLE</t>
        </is>
      </c>
      <c r="C2124" t="inlineStr">
        <is>
          <t>Assistant Deputy Minister, Market and Industry Services Branch</t>
        </is>
      </c>
      <c r="D2124" t="inlineStr">
        <is>
          <t>Sous-ministre adjoint, Direction générale des services à l'industrie et aux marchés</t>
        </is>
      </c>
      <c r="E2124" t="inlineStr">
        <is>
          <t>Tom Rosser</t>
        </is>
      </c>
      <c r="F2124" t="inlineStr">
        <is>
          <t>To participate in regional outreach and staff engagement.</t>
        </is>
      </c>
      <c r="G2124" t="inlineStr">
        <is>
          <t>Participer à la sensibilisation régionale et à l’engagement du personnel.</t>
        </is>
      </c>
      <c r="H2124" s="1" t="n">
        <v>45208</v>
      </c>
      <c r="I2124" s="1" t="n">
        <v>45209</v>
      </c>
      <c r="J2124" t="inlineStr">
        <is>
          <t>Montréal (Quebec) Canada</t>
        </is>
      </c>
      <c r="K2124" t="inlineStr">
        <is>
          <t>Montréal (Québec) Canada</t>
        </is>
      </c>
      <c r="P2124" t="n">
        <v>0</v>
      </c>
      <c r="Q2124" t="n">
        <v>341.7</v>
      </c>
      <c r="R2124" t="n">
        <v>236.82</v>
      </c>
      <c r="S2124" t="n">
        <v>58.95</v>
      </c>
      <c r="T2124" t="n">
        <v>0</v>
      </c>
      <c r="U2124" t="n">
        <v>637.47</v>
      </c>
      <c r="X2124" t="inlineStr">
        <is>
          <t>aafc-aac</t>
        </is>
      </c>
      <c r="Y2124" t="inlineStr">
        <is>
          <t>Agriculture and Agri-Food Canada | Agriculture et Agroalimentaire Canada</t>
        </is>
      </c>
      <c r="Z2124" t="n">
        <v>2</v>
      </c>
      <c r="AA2124" t="n">
        <v>637.47</v>
      </c>
      <c r="AB2124">
        <f>ROUND(U2124-AA2124,2)</f>
        <v/>
      </c>
      <c r="AC2124" t="b">
        <v>0</v>
      </c>
      <c r="AD2124">
        <f>IF(U2124="","MISSING_TOTAL",IF(ABS(AB2124)&lt;=0.01,"OK","CHECK"))</f>
        <v/>
      </c>
      <c r="AE2124">
        <f>IF(U2124="","MISSING",IF(AND(AA2124&gt;0,U2124/AA2124&gt;50),"POSSIBLE_SCALE_ERROR","OK"))</f>
        <v/>
      </c>
    </row>
    <row r="2125">
      <c r="A2125" t="inlineStr">
        <is>
          <t>T-2024-P8-0001</t>
        </is>
      </c>
      <c r="B2125" t="inlineStr">
        <is>
          <t>MPSES</t>
        </is>
      </c>
      <c r="C2125" t="inlineStr">
        <is>
          <t>Minister</t>
        </is>
      </c>
      <c r="D2125" t="inlineStr">
        <is>
          <t>Ministre</t>
        </is>
      </c>
      <c r="E2125" t="inlineStr">
        <is>
          <t>Lawrence MacAulay</t>
        </is>
      </c>
      <c r="F2125" t="inlineStr">
        <is>
          <t>To attend a tour in Japan</t>
        </is>
      </c>
      <c r="G2125" t="inlineStr">
        <is>
          <t>Participer à une visite au Japon</t>
        </is>
      </c>
      <c r="H2125" s="1" t="n">
        <v>45226</v>
      </c>
      <c r="I2125" s="1" t="n">
        <v>45235</v>
      </c>
      <c r="J2125" t="inlineStr">
        <is>
          <t>Hanoi, Vietnam
Tokyo, Japan
Seoul, South Korea</t>
        </is>
      </c>
      <c r="K2125" t="inlineStr">
        <is>
          <t>Hanoi, Vietnam
Tokyo, Japon
Séoul, Corée du Sud</t>
        </is>
      </c>
      <c r="P2125" t="n">
        <v>16702.64</v>
      </c>
      <c r="Q2125" t="n">
        <v>0</v>
      </c>
      <c r="R2125" t="n">
        <v>2419.4</v>
      </c>
      <c r="S2125" t="n">
        <v>1081.16</v>
      </c>
      <c r="T2125" t="n">
        <v>0</v>
      </c>
      <c r="U2125" t="n">
        <v>20203.2</v>
      </c>
      <c r="X2125" t="inlineStr">
        <is>
          <t>aafc-aac</t>
        </is>
      </c>
      <c r="Y2125" t="inlineStr">
        <is>
          <t>Agriculture and Agri-Food Canada | Agriculture et Agroalimentaire Canada</t>
        </is>
      </c>
      <c r="Z2125" t="n">
        <v>10</v>
      </c>
      <c r="AA2125" t="n">
        <v>20203.2</v>
      </c>
      <c r="AB2125">
        <f>ROUND(U2125-AA2125,2)</f>
        <v/>
      </c>
      <c r="AC2125" t="b">
        <v>0</v>
      </c>
      <c r="AD2125">
        <f>IF(U2125="","MISSING_TOTAL",IF(ABS(AB2125)&lt;=0.01,"OK","CHECK"))</f>
        <v/>
      </c>
      <c r="AE2125">
        <f>IF(U2125="","MISSING",IF(AND(AA2125&gt;0,U2125/AA2125&gt;50),"POSSIBLE_SCALE_ERROR","OK"))</f>
        <v/>
      </c>
    </row>
    <row r="2126">
      <c r="A2126" t="inlineStr">
        <is>
          <t>T-2024-P8-0002</t>
        </is>
      </c>
      <c r="B2126" t="inlineStr">
        <is>
          <t>MPSES</t>
        </is>
      </c>
      <c r="C2126" t="inlineStr">
        <is>
          <t>Director of Regional Affairs</t>
        </is>
      </c>
      <c r="D2126" t="inlineStr">
        <is>
          <t>Directrice des affaires régionales</t>
        </is>
      </c>
      <c r="E2126" t="inlineStr">
        <is>
          <t>Alison Porter</t>
        </is>
      </c>
      <c r="F2126" t="inlineStr">
        <is>
          <t>To attend a staff retreat</t>
        </is>
      </c>
      <c r="G2126" t="inlineStr">
        <is>
          <t>Participer à une retraite du personnel</t>
        </is>
      </c>
      <c r="H2126" s="1" t="n">
        <v>45191</v>
      </c>
      <c r="I2126" s="1" t="n">
        <v>45191</v>
      </c>
      <c r="J2126" t="inlineStr">
        <is>
          <t>Ottawa (Ontario) Canada</t>
        </is>
      </c>
      <c r="K2126" t="inlineStr">
        <is>
          <t>Ottawa (Ontario) Canada</t>
        </is>
      </c>
      <c r="P2126" t="n">
        <v>0</v>
      </c>
      <c r="Q2126" t="n">
        <v>251.14</v>
      </c>
      <c r="R2126" t="n">
        <v>0</v>
      </c>
      <c r="S2126" t="n">
        <v>0</v>
      </c>
      <c r="T2126" t="n">
        <v>0</v>
      </c>
      <c r="U2126" t="n">
        <v>251.14</v>
      </c>
      <c r="X2126" t="inlineStr">
        <is>
          <t>aafc-aac</t>
        </is>
      </c>
      <c r="Y2126" t="inlineStr">
        <is>
          <t>Agriculture and Agri-Food Canada | Agriculture et Agroalimentaire Canada</t>
        </is>
      </c>
      <c r="Z2126" t="n">
        <v>1</v>
      </c>
      <c r="AA2126" t="n">
        <v>251.14</v>
      </c>
      <c r="AB2126">
        <f>ROUND(U2126-AA2126,2)</f>
        <v/>
      </c>
      <c r="AC2126" t="b">
        <v>0</v>
      </c>
      <c r="AD2126">
        <f>IF(U2126="","MISSING_TOTAL",IF(ABS(AB2126)&lt;=0.01,"OK","CHECK"))</f>
        <v/>
      </c>
      <c r="AE2126">
        <f>IF(U2126="","MISSING",IF(AND(AA2126&gt;0,U2126/AA2126&gt;50),"POSSIBLE_SCALE_ERROR","OK"))</f>
        <v/>
      </c>
    </row>
    <row r="2127">
      <c r="A2127" t="inlineStr">
        <is>
          <t>T-2024-P8-0003</t>
        </is>
      </c>
      <c r="B2127" t="inlineStr">
        <is>
          <t>MPSES</t>
        </is>
      </c>
      <c r="C2127" t="inlineStr">
        <is>
          <t>Director of Regional Affairs</t>
        </is>
      </c>
      <c r="D2127" t="inlineStr">
        <is>
          <t>Directrice des affaires régionales</t>
        </is>
      </c>
      <c r="E2127" t="inlineStr">
        <is>
          <t>Alison Porter</t>
        </is>
      </c>
      <c r="F2127" t="inlineStr">
        <is>
          <t>Reimbursement for passport photo</t>
        </is>
      </c>
      <c r="G2127" t="inlineStr">
        <is>
          <t>Remboursement de la photo de passeport</t>
        </is>
      </c>
      <c r="H2127" s="1" t="n">
        <v>45204</v>
      </c>
      <c r="I2127" s="1" t="n">
        <v>45204</v>
      </c>
      <c r="J2127" t="inlineStr">
        <is>
          <t>Ottawa (Ontario) Canada</t>
        </is>
      </c>
      <c r="K2127" t="inlineStr">
        <is>
          <t>Ottawa (Ontario) Canada</t>
        </is>
      </c>
      <c r="P2127" t="n">
        <v>0</v>
      </c>
      <c r="Q2127" t="n">
        <v>0</v>
      </c>
      <c r="R2127" t="n">
        <v>0</v>
      </c>
      <c r="S2127" t="n">
        <v>0</v>
      </c>
      <c r="T2127" t="n">
        <v>36.73</v>
      </c>
      <c r="U2127" t="n">
        <v>36.73</v>
      </c>
      <c r="X2127" t="inlineStr">
        <is>
          <t>aafc-aac</t>
        </is>
      </c>
      <c r="Y2127" t="inlineStr">
        <is>
          <t>Agriculture and Agri-Food Canada | Agriculture et Agroalimentaire Canada</t>
        </is>
      </c>
      <c r="Z2127" t="n">
        <v>1</v>
      </c>
      <c r="AA2127" t="n">
        <v>36.73</v>
      </c>
      <c r="AB2127">
        <f>ROUND(U2127-AA2127,2)</f>
        <v/>
      </c>
      <c r="AC2127" t="b">
        <v>0</v>
      </c>
      <c r="AD2127">
        <f>IF(U2127="","MISSING_TOTAL",IF(ABS(AB2127)&lt;=0.01,"OK","CHECK"))</f>
        <v/>
      </c>
      <c r="AE2127">
        <f>IF(U2127="","MISSING",IF(AND(AA2127&gt;0,U2127/AA2127&gt;50),"POSSIBLE_SCALE_ERROR","OK"))</f>
        <v/>
      </c>
    </row>
    <row r="2128">
      <c r="A2128" t="inlineStr">
        <is>
          <t>T-2024-P8-0004</t>
        </is>
      </c>
      <c r="B2128" t="inlineStr">
        <is>
          <t>MPSES</t>
        </is>
      </c>
      <c r="C2128" t="inlineStr">
        <is>
          <t>Director of Regional Affairs</t>
        </is>
      </c>
      <c r="D2128" t="inlineStr">
        <is>
          <t>Directrice des affaires régionales</t>
        </is>
      </c>
      <c r="E2128" t="inlineStr">
        <is>
          <t>Alison Porter</t>
        </is>
      </c>
      <c r="F2128" t="inlineStr">
        <is>
          <t>To assist the Minister with a tour</t>
        </is>
      </c>
      <c r="G2128" t="inlineStr">
        <is>
          <t>Soutenir le ministre lors d'une visite</t>
        </is>
      </c>
      <c r="H2128" s="1" t="n">
        <v>45226</v>
      </c>
      <c r="I2128" s="1" t="n">
        <v>45233</v>
      </c>
      <c r="J2128" t="inlineStr">
        <is>
          <t>Hanoi, Vietnam
Tokyo, Japan
Seoul, South Korea</t>
        </is>
      </c>
      <c r="K2128" t="inlineStr">
        <is>
          <t>Hanoi, Vietnam
Tokyo, Japon
Séoul, Corée du Sud</t>
        </is>
      </c>
      <c r="P2128" t="n">
        <v>9923.459999999999</v>
      </c>
      <c r="Q2128" t="n">
        <v>101.44</v>
      </c>
      <c r="R2128" t="n">
        <v>2437.04</v>
      </c>
      <c r="S2128" t="n">
        <v>1028.62</v>
      </c>
      <c r="T2128" t="n">
        <v>36.56</v>
      </c>
      <c r="U2128" t="n">
        <v>13527.12</v>
      </c>
      <c r="X2128" t="inlineStr">
        <is>
          <t>aafc-aac</t>
        </is>
      </c>
      <c r="Y2128" t="inlineStr">
        <is>
          <t>Agriculture and Agri-Food Canada | Agriculture et Agroalimentaire Canada</t>
        </is>
      </c>
      <c r="Z2128" t="n">
        <v>8</v>
      </c>
      <c r="AA2128" t="n">
        <v>13527.1199999999</v>
      </c>
      <c r="AB2128">
        <f>ROUND(U2128-AA2128,2)</f>
        <v/>
      </c>
      <c r="AC2128" t="b">
        <v>0</v>
      </c>
      <c r="AD2128">
        <f>IF(U2128="","MISSING_TOTAL",IF(ABS(AB2128)&lt;=0.01,"OK","CHECK"))</f>
        <v/>
      </c>
      <c r="AE2128">
        <f>IF(U2128="","MISSING",IF(AND(AA2128&gt;0,U2128/AA2128&gt;50),"POSSIBLE_SCALE_ERROR","OK"))</f>
        <v/>
      </c>
    </row>
    <row r="2129">
      <c r="A2129" t="inlineStr">
        <is>
          <t>T-2024-P8-0005</t>
        </is>
      </c>
      <c r="B2129" t="inlineStr">
        <is>
          <t>MPSES</t>
        </is>
      </c>
      <c r="C2129" t="inlineStr">
        <is>
          <t>Chief of Staff</t>
        </is>
      </c>
      <c r="D2129" t="inlineStr">
        <is>
          <t>Chef de cabinet</t>
        </is>
      </c>
      <c r="E2129" t="inlineStr">
        <is>
          <t>Matthew Mann</t>
        </is>
      </c>
      <c r="F2129" t="inlineStr">
        <is>
          <t>To support the Minister with a tour</t>
        </is>
      </c>
      <c r="G2129" t="inlineStr">
        <is>
          <t>Soutenir le ministre lors d'une visite</t>
        </is>
      </c>
      <c r="H2129" s="1" t="n">
        <v>45226</v>
      </c>
      <c r="I2129" s="1" t="n">
        <v>45235</v>
      </c>
      <c r="J2129" t="inlineStr">
        <is>
          <t>Hanoi, Vietnam
Tokyo, Japan
Seoul, South Korea</t>
        </is>
      </c>
      <c r="K2129" t="inlineStr">
        <is>
          <t>Hanoi, Vietnam
Tokyo, Japon
Séoul, Corée du Sud</t>
        </is>
      </c>
      <c r="P2129" t="n">
        <v>10700.29</v>
      </c>
      <c r="Q2129" t="n">
        <v>26.97</v>
      </c>
      <c r="R2129" t="n">
        <v>2419.4</v>
      </c>
      <c r="S2129" t="n">
        <v>1081.16</v>
      </c>
      <c r="T2129" t="n">
        <v>0</v>
      </c>
      <c r="U2129" t="n">
        <v>14227.82</v>
      </c>
      <c r="X2129" t="inlineStr">
        <is>
          <t>aafc-aac</t>
        </is>
      </c>
      <c r="Y2129" t="inlineStr">
        <is>
          <t>Agriculture and Agri-Food Canada | Agriculture et Agroalimentaire Canada</t>
        </is>
      </c>
      <c r="Z2129" t="n">
        <v>10</v>
      </c>
      <c r="AA2129" t="n">
        <v>14227.82</v>
      </c>
      <c r="AB2129">
        <f>ROUND(U2129-AA2129,2)</f>
        <v/>
      </c>
      <c r="AC2129" t="b">
        <v>0</v>
      </c>
      <c r="AD2129">
        <f>IF(U2129="","MISSING_TOTAL",IF(ABS(AB2129)&lt;=0.01,"OK","CHECK"))</f>
        <v/>
      </c>
      <c r="AE2129">
        <f>IF(U2129="","MISSING",IF(AND(AA2129&gt;0,U2129/AA2129&gt;50),"POSSIBLE_SCALE_ERROR","OK"))</f>
        <v/>
      </c>
    </row>
    <row r="2130">
      <c r="A2130" t="inlineStr">
        <is>
          <t>T-2024-P8-0006</t>
        </is>
      </c>
      <c r="B2130" t="inlineStr">
        <is>
          <t>MPSES</t>
        </is>
      </c>
      <c r="C2130" t="inlineStr">
        <is>
          <t>Chief of Staff</t>
        </is>
      </c>
      <c r="D2130" t="inlineStr">
        <is>
          <t>Chef de cabinet</t>
        </is>
      </c>
      <c r="E2130" t="inlineStr">
        <is>
          <t>Matthew Mann</t>
        </is>
      </c>
      <c r="F2130" t="inlineStr">
        <is>
          <t>To support the Minister at briefings and government events</t>
        </is>
      </c>
      <c r="G2130" t="inlineStr">
        <is>
          <t>Soutenir le ministre lors de réunions d'information et d'événements gouvernementaux</t>
        </is>
      </c>
      <c r="H2130" s="1" t="n">
        <v>45245</v>
      </c>
      <c r="I2130" s="1" t="n">
        <v>45248</v>
      </c>
      <c r="J2130" t="inlineStr">
        <is>
          <t>Charlottetown (Prince Edward Island) Canada</t>
        </is>
      </c>
      <c r="K2130" t="inlineStr">
        <is>
          <t>Charlottetown (Île-du-Prince-Édouard) Canada</t>
        </is>
      </c>
      <c r="P2130" t="n">
        <v>1156.51</v>
      </c>
      <c r="Q2130" t="n">
        <v>299.17</v>
      </c>
      <c r="R2130" t="n">
        <v>707.16</v>
      </c>
      <c r="S2130" t="n">
        <v>303.7</v>
      </c>
      <c r="T2130" t="n">
        <v>0</v>
      </c>
      <c r="U2130" t="n">
        <v>2466.54</v>
      </c>
      <c r="X2130" t="inlineStr">
        <is>
          <t>aafc-aac</t>
        </is>
      </c>
      <c r="Y2130" t="inlineStr">
        <is>
          <t>Agriculture and Agri-Food Canada | Agriculture et Agroalimentaire Canada</t>
        </is>
      </c>
      <c r="Z2130" t="n">
        <v>4</v>
      </c>
      <c r="AA2130" t="n">
        <v>2466.54</v>
      </c>
      <c r="AB2130">
        <f>ROUND(U2130-AA2130,2)</f>
        <v/>
      </c>
      <c r="AC2130" t="b">
        <v>0</v>
      </c>
      <c r="AD2130">
        <f>IF(U2130="","MISSING_TOTAL",IF(ABS(AB2130)&lt;=0.01,"OK","CHECK"))</f>
        <v/>
      </c>
      <c r="AE2130">
        <f>IF(U2130="","MISSING",IF(AND(AA2130&gt;0,U2130/AA2130&gt;50),"POSSIBLE_SCALE_ERROR","OK"))</f>
        <v/>
      </c>
    </row>
    <row r="2131">
      <c r="A2131" t="inlineStr">
        <is>
          <t>T-2024-P8-0007</t>
        </is>
      </c>
      <c r="B2131" t="inlineStr">
        <is>
          <t>MPSES</t>
        </is>
      </c>
      <c r="C2131" t="inlineStr">
        <is>
          <t>Director of Communications</t>
        </is>
      </c>
      <c r="D2131" t="inlineStr">
        <is>
          <t>Directrice des communications</t>
        </is>
      </c>
      <c r="E2131" t="inlineStr">
        <is>
          <t>Annie Cullinan</t>
        </is>
      </c>
      <c r="F2131" t="inlineStr">
        <is>
          <t>To support the Minister at the Funding announcement and meetings with stakeholders</t>
        </is>
      </c>
      <c r="G2131" t="inlineStr">
        <is>
          <t>Soutenir le ministre lors de l'annonce du financement et des réunions avec les parties prenantes</t>
        </is>
      </c>
      <c r="H2131" s="1" t="n">
        <v>45249</v>
      </c>
      <c r="I2131" s="1" t="n">
        <v>45250</v>
      </c>
      <c r="J2131" t="inlineStr">
        <is>
          <t>Toronto (Ontario) Canada</t>
        </is>
      </c>
      <c r="K2131" t="inlineStr">
        <is>
          <t>Toronto (Ontario) Canada</t>
        </is>
      </c>
      <c r="P2131" t="n">
        <v>1408.27</v>
      </c>
      <c r="Q2131" t="n">
        <v>72.23</v>
      </c>
      <c r="R2131" t="n">
        <v>238.36</v>
      </c>
      <c r="S2131" t="n">
        <v>60.45</v>
      </c>
      <c r="T2131" t="n">
        <v>0</v>
      </c>
      <c r="U2131" t="n">
        <v>1779.31</v>
      </c>
      <c r="X2131" t="inlineStr">
        <is>
          <t>aafc-aac</t>
        </is>
      </c>
      <c r="Y2131" t="inlineStr">
        <is>
          <t>Agriculture and Agri-Food Canada | Agriculture et Agroalimentaire Canada</t>
        </is>
      </c>
      <c r="Z2131" t="n">
        <v>2</v>
      </c>
      <c r="AA2131" t="n">
        <v>1779.31</v>
      </c>
      <c r="AB2131">
        <f>ROUND(U2131-AA2131,2)</f>
        <v/>
      </c>
      <c r="AC2131" t="b">
        <v>0</v>
      </c>
      <c r="AD2131">
        <f>IF(U2131="","MISSING_TOTAL",IF(ABS(AB2131)&lt;=0.01,"OK","CHECK"))</f>
        <v/>
      </c>
      <c r="AE2131">
        <f>IF(U2131="","MISSING",IF(AND(AA2131&gt;0,U2131/AA2131&gt;50),"POSSIBLE_SCALE_ERROR","OK"))</f>
        <v/>
      </c>
    </row>
    <row r="2132">
      <c r="A2132" t="inlineStr">
        <is>
          <t>T-2024-P8-0008</t>
        </is>
      </c>
      <c r="B2132" t="inlineStr">
        <is>
          <t>MPSES</t>
        </is>
      </c>
      <c r="C2132" t="inlineStr">
        <is>
          <t>Parliamentary Secretary</t>
        </is>
      </c>
      <c r="D2132" t="inlineStr">
        <is>
          <t>Secrétaire parlementaire</t>
        </is>
      </c>
      <c r="E2132" t="inlineStr">
        <is>
          <t>Francis Drouin</t>
        </is>
      </c>
      <c r="F2132" t="inlineStr">
        <is>
          <t>To attend a Quebec Outreach</t>
        </is>
      </c>
      <c r="G2132" t="inlineStr">
        <is>
          <t>Participer aux rencontres de sensibilisation au Québec</t>
        </is>
      </c>
      <c r="H2132" s="1" t="n">
        <v>45243</v>
      </c>
      <c r="I2132" s="1" t="n">
        <v>45244</v>
      </c>
      <c r="J2132" t="inlineStr">
        <is>
          <t>Québec (Quebec) Canada</t>
        </is>
      </c>
      <c r="K2132" t="inlineStr">
        <is>
          <t>Québec (Québec) Canada</t>
        </is>
      </c>
      <c r="P2132" t="n">
        <v>0</v>
      </c>
      <c r="Q2132" t="n">
        <v>533.95</v>
      </c>
      <c r="R2132" t="n">
        <v>162.75</v>
      </c>
      <c r="S2132" t="n">
        <v>49.3</v>
      </c>
      <c r="T2132" t="n">
        <v>0</v>
      </c>
      <c r="U2132" t="n">
        <v>746</v>
      </c>
      <c r="X2132" t="inlineStr">
        <is>
          <t>aafc-aac</t>
        </is>
      </c>
      <c r="Y2132" t="inlineStr">
        <is>
          <t>Agriculture and Agri-Food Canada | Agriculture et Agroalimentaire Canada</t>
        </is>
      </c>
      <c r="Z2132" t="n">
        <v>2</v>
      </c>
      <c r="AA2132" t="n">
        <v>746</v>
      </c>
      <c r="AB2132">
        <f>ROUND(U2132-AA2132,2)</f>
        <v/>
      </c>
      <c r="AC2132" t="b">
        <v>0</v>
      </c>
      <c r="AD2132">
        <f>IF(U2132="","MISSING_TOTAL",IF(ABS(AB2132)&lt;=0.01,"OK","CHECK"))</f>
        <v/>
      </c>
      <c r="AE2132">
        <f>IF(U2132="","MISSING",IF(AND(AA2132&gt;0,U2132/AA2132&gt;50),"POSSIBLE_SCALE_ERROR","OK"))</f>
        <v/>
      </c>
    </row>
    <row r="2133">
      <c r="A2133" t="inlineStr">
        <is>
          <t>T-2024-P8-0009</t>
        </is>
      </c>
      <c r="B2133" t="inlineStr">
        <is>
          <t>MPSES</t>
        </is>
      </c>
      <c r="C2133" t="inlineStr">
        <is>
          <t>Assistant to the Parliamentary Secretary</t>
        </is>
      </c>
      <c r="D2133" t="inlineStr">
        <is>
          <t>Adjoint au secrétaire parlementaire</t>
        </is>
      </c>
      <c r="E2133" t="inlineStr">
        <is>
          <t>Patrick Mangan</t>
        </is>
      </c>
      <c r="F2133" t="inlineStr">
        <is>
          <t>To attend a Quebec Outreach</t>
        </is>
      </c>
      <c r="G2133" t="inlineStr">
        <is>
          <t>Pour participer aux rencontres de sensibilisation au Québec</t>
        </is>
      </c>
      <c r="H2133" s="1" t="n">
        <v>45242</v>
      </c>
      <c r="I2133" s="1" t="n">
        <v>45244</v>
      </c>
      <c r="J2133" t="inlineStr">
        <is>
          <t>Québec (Quebec) Canada</t>
        </is>
      </c>
      <c r="K2133" t="inlineStr">
        <is>
          <t>Québec (Québec) Canada</t>
        </is>
      </c>
      <c r="P2133" t="n">
        <v>0</v>
      </c>
      <c r="Q2133" t="n">
        <v>170.49</v>
      </c>
      <c r="R2133" t="n">
        <v>359.5</v>
      </c>
      <c r="S2133" t="n">
        <v>109.75</v>
      </c>
      <c r="T2133" t="n">
        <v>0</v>
      </c>
      <c r="U2133" t="n">
        <v>639.74</v>
      </c>
      <c r="X2133" t="inlineStr">
        <is>
          <t>aafc-aac</t>
        </is>
      </c>
      <c r="Y2133" t="inlineStr">
        <is>
          <t>Agriculture and Agri-Food Canada | Agriculture et Agroalimentaire Canada</t>
        </is>
      </c>
      <c r="Z2133" t="n">
        <v>3</v>
      </c>
      <c r="AA2133" t="n">
        <v>639.74</v>
      </c>
      <c r="AB2133">
        <f>ROUND(U2133-AA2133,2)</f>
        <v/>
      </c>
      <c r="AC2133" t="b">
        <v>0</v>
      </c>
      <c r="AD2133">
        <f>IF(U2133="","MISSING_TOTAL",IF(ABS(AB2133)&lt;=0.01,"OK","CHECK"))</f>
        <v/>
      </c>
      <c r="AE2133">
        <f>IF(U2133="","MISSING",IF(AND(AA2133&gt;0,U2133/AA2133&gt;50),"POSSIBLE_SCALE_ERROR","OK"))</f>
        <v/>
      </c>
    </row>
    <row r="2134">
      <c r="A2134" t="inlineStr">
        <is>
          <t>T-2024-P8-0010</t>
        </is>
      </c>
      <c r="B2134" t="inlineStr">
        <is>
          <t>SLE</t>
        </is>
      </c>
      <c r="C2134" t="inlineStr">
        <is>
          <t>Workplace Well-Being Ombudsperson</t>
        </is>
      </c>
      <c r="D2134" t="inlineStr">
        <is>
          <t>Ombudsman du mieux-être en milieu de travail</t>
        </is>
      </c>
      <c r="E2134" t="inlineStr">
        <is>
          <t>Elianne Hall</t>
        </is>
      </c>
      <c r="F2134" t="inlineStr">
        <is>
          <t>To attend the British Columbia Outreach</t>
        </is>
      </c>
      <c r="G2134" t="inlineStr">
        <is>
          <t>Participer aux rencontres de sensibilisation en Colombie-Britannique</t>
        </is>
      </c>
      <c r="H2134" s="1" t="n">
        <v>45221</v>
      </c>
      <c r="I2134" s="1" t="n">
        <v>45227</v>
      </c>
      <c r="J2134" t="inlineStr">
        <is>
          <t>Kelowna (British Columbia) Canada</t>
        </is>
      </c>
      <c r="K2134" t="inlineStr">
        <is>
          <t>Kelowna (Colombie-Britannique) Canada</t>
        </is>
      </c>
      <c r="P2134" t="n">
        <v>747.8</v>
      </c>
      <c r="Q2134" t="n">
        <v>815.8099999999999</v>
      </c>
      <c r="R2134" t="n">
        <v>1149.93</v>
      </c>
      <c r="S2134" t="n">
        <v>729.1</v>
      </c>
      <c r="T2134" t="n">
        <v>42</v>
      </c>
      <c r="U2134" t="n">
        <v>3484.64</v>
      </c>
      <c r="X2134" t="inlineStr">
        <is>
          <t>aafc-aac</t>
        </is>
      </c>
      <c r="Y2134" t="inlineStr">
        <is>
          <t>Agriculture and Agri-Food Canada | Agriculture et Agroalimentaire Canada</t>
        </is>
      </c>
      <c r="Z2134" t="n">
        <v>7</v>
      </c>
      <c r="AA2134" t="n">
        <v>3484.64</v>
      </c>
      <c r="AB2134">
        <f>ROUND(U2134-AA2134,2)</f>
        <v/>
      </c>
      <c r="AC2134" t="b">
        <v>0</v>
      </c>
      <c r="AD2134">
        <f>IF(U2134="","MISSING_TOTAL",IF(ABS(AB2134)&lt;=0.01,"OK","CHECK"))</f>
        <v/>
      </c>
      <c r="AE2134">
        <f>IF(U2134="","MISSING",IF(AND(AA2134&gt;0,U2134/AA2134&gt;50),"POSSIBLE_SCALE_ERROR","OK"))</f>
        <v/>
      </c>
    </row>
    <row r="2135">
      <c r="A2135" t="inlineStr">
        <is>
          <t>T-2024-P8-0011</t>
        </is>
      </c>
      <c r="B2135" t="inlineStr">
        <is>
          <t>SLE</t>
        </is>
      </c>
      <c r="C2135" t="inlineStr">
        <is>
          <t>Assistant Deputy Minister, Science and Technology Branch</t>
        </is>
      </c>
      <c r="D2135" t="inlineStr">
        <is>
          <t>Sous-ministre adjoint, Direction générale des sciences et de la technologie</t>
        </is>
      </c>
      <c r="E2135" t="inlineStr">
        <is>
          <t>Gilles Saindon</t>
        </is>
      </c>
      <c r="F2135" t="inlineStr">
        <is>
          <t>To attend (on behalf of the Deputy minister) a session on "Quantum Tech to Quantum Solutions: Pathways for Industry Adoption" hosted by the University of Calgary in Ottawa; breafkast with President Ed McCauley</t>
        </is>
      </c>
      <c r="G2135" t="inlineStr">
        <is>
          <t>Participer (au nom de la sous-ministre) à une séance intitulée « Technologie quantique aux solutions quantiques : voies d'adoption par l'industrie » organisée par l'Université de Calgary à Ottawa ; petit-déjeuner avec le président Ed McCauley</t>
        </is>
      </c>
      <c r="H2135" s="1" t="n">
        <v>45222</v>
      </c>
      <c r="I2135" s="1" t="n">
        <v>45222</v>
      </c>
      <c r="J2135" t="inlineStr">
        <is>
          <t>Ottawa (Ontario) Canada</t>
        </is>
      </c>
      <c r="K2135" t="inlineStr">
        <is>
          <t>Ottawa (Ontario) Canada</t>
        </is>
      </c>
      <c r="P2135" t="n">
        <v>0</v>
      </c>
      <c r="Q2135" t="n">
        <v>10.5</v>
      </c>
      <c r="R2135" t="n">
        <v>0</v>
      </c>
      <c r="S2135" t="n">
        <v>0</v>
      </c>
      <c r="T2135" t="n">
        <v>0</v>
      </c>
      <c r="U2135" t="n">
        <v>10.5</v>
      </c>
      <c r="X2135" t="inlineStr">
        <is>
          <t>aafc-aac</t>
        </is>
      </c>
      <c r="Y2135" t="inlineStr">
        <is>
          <t>Agriculture and Agri-Food Canada | Agriculture et Agroalimentaire Canada</t>
        </is>
      </c>
      <c r="Z2135" t="n">
        <v>1</v>
      </c>
      <c r="AA2135" t="n">
        <v>10.5</v>
      </c>
      <c r="AB2135">
        <f>ROUND(U2135-AA2135,2)</f>
        <v/>
      </c>
      <c r="AC2135" t="b">
        <v>0</v>
      </c>
      <c r="AD2135">
        <f>IF(U2135="","MISSING_TOTAL",IF(ABS(AB2135)&lt;=0.01,"OK","CHECK"))</f>
        <v/>
      </c>
      <c r="AE2135">
        <f>IF(U2135="","MISSING",IF(AND(AA2135&gt;0,U2135/AA2135&gt;50),"POSSIBLE_SCALE_ERROR","OK"))</f>
        <v/>
      </c>
    </row>
    <row r="2136">
      <c r="A2136" t="inlineStr">
        <is>
          <t>T-2024-P8-0012</t>
        </is>
      </c>
      <c r="B2136" t="inlineStr">
        <is>
          <t>SLE</t>
        </is>
      </c>
      <c r="C2136" t="inlineStr">
        <is>
          <t>Assistant Deputy Minister, Science and Technology Branch</t>
        </is>
      </c>
      <c r="D2136" t="inlineStr">
        <is>
          <t>Sous-ministre adjoint, Direction générale des sciences et de la technologie</t>
        </is>
      </c>
      <c r="E2136" t="inlineStr">
        <is>
          <t>Gilles Saindon</t>
        </is>
      </c>
      <c r="F2136" t="inlineStr">
        <is>
          <t>To attend the Confidential Executive-Level Sponsor Briefing - Expert Panel on Regulating Gene-Edited Organisms for Pest Control</t>
        </is>
      </c>
      <c r="G2136" t="inlineStr">
        <is>
          <t>Participer à la réunion d'information confidentielle des sponsors au niveau de la direction - Le comité d’experts sur la réglementation des organismes à génome modifié dans la lutte antiparasitaire</t>
        </is>
      </c>
      <c r="H2136" s="1" t="n">
        <v>45224</v>
      </c>
      <c r="I2136" s="1" t="n">
        <v>45224</v>
      </c>
      <c r="J2136" t="inlineStr">
        <is>
          <t>Ottawa (Ontario) Canada</t>
        </is>
      </c>
      <c r="K2136" t="inlineStr">
        <is>
          <t>Ottawa (Ontario) Canada</t>
        </is>
      </c>
      <c r="P2136" t="n">
        <v>0</v>
      </c>
      <c r="Q2136" t="n">
        <v>21</v>
      </c>
      <c r="R2136" t="n">
        <v>0</v>
      </c>
      <c r="S2136" t="n">
        <v>0</v>
      </c>
      <c r="T2136" t="n">
        <v>0</v>
      </c>
      <c r="U2136" t="n">
        <v>21</v>
      </c>
      <c r="X2136" t="inlineStr">
        <is>
          <t>aafc-aac</t>
        </is>
      </c>
      <c r="Y2136" t="inlineStr">
        <is>
          <t>Agriculture and Agri-Food Canada | Agriculture et Agroalimentaire Canada</t>
        </is>
      </c>
      <c r="Z2136" t="n">
        <v>1</v>
      </c>
      <c r="AA2136" t="n">
        <v>21</v>
      </c>
      <c r="AB2136">
        <f>ROUND(U2136-AA2136,2)</f>
        <v/>
      </c>
      <c r="AC2136" t="b">
        <v>0</v>
      </c>
      <c r="AD2136">
        <f>IF(U2136="","MISSING_TOTAL",IF(ABS(AB2136)&lt;=0.01,"OK","CHECK"))</f>
        <v/>
      </c>
      <c r="AE2136">
        <f>IF(U2136="","MISSING",IF(AND(AA2136&gt;0,U2136/AA2136&gt;50),"POSSIBLE_SCALE_ERROR","OK"))</f>
        <v/>
      </c>
    </row>
    <row r="2137">
      <c r="A2137" t="inlineStr">
        <is>
          <t>T-2024-P8-0013</t>
        </is>
      </c>
      <c r="B2137" t="inlineStr">
        <is>
          <t>SLE</t>
        </is>
      </c>
      <c r="C2137" t="inlineStr">
        <is>
          <t>Assistant Deputy Minister, Science and Technology Branch</t>
        </is>
      </c>
      <c r="D2137" t="inlineStr">
        <is>
          <t>Sous-ministre adjoint, Direction générale des sciences et de la technologie</t>
        </is>
      </c>
      <c r="E2137" t="inlineStr">
        <is>
          <t>Gilles Saindon</t>
        </is>
      </c>
      <c r="F2137" t="inlineStr">
        <is>
          <t>To attend the Seeds Canada Parliamentary Reception</t>
        </is>
      </c>
      <c r="G2137" t="inlineStr">
        <is>
          <t>Participer à la réception parlementaire de Semences Canada</t>
        </is>
      </c>
      <c r="H2137" s="1" t="n">
        <v>45224</v>
      </c>
      <c r="I2137" s="1" t="n">
        <v>45224</v>
      </c>
      <c r="J2137" t="inlineStr">
        <is>
          <t>Ottawa (Ontario) Canada</t>
        </is>
      </c>
      <c r="K2137" t="inlineStr">
        <is>
          <t>Ottawa (Ontario) Canada</t>
        </is>
      </c>
      <c r="P2137" t="n">
        <v>0</v>
      </c>
      <c r="Q2137" t="n">
        <v>11.5</v>
      </c>
      <c r="R2137" t="n">
        <v>0</v>
      </c>
      <c r="S2137" t="n">
        <v>0</v>
      </c>
      <c r="T2137" t="n">
        <v>0</v>
      </c>
      <c r="U2137" t="n">
        <v>11.5</v>
      </c>
      <c r="X2137" t="inlineStr">
        <is>
          <t>aafc-aac</t>
        </is>
      </c>
      <c r="Y2137" t="inlineStr">
        <is>
          <t>Agriculture and Agri-Food Canada | Agriculture et Agroalimentaire Canada</t>
        </is>
      </c>
      <c r="Z2137" t="n">
        <v>1</v>
      </c>
      <c r="AA2137" t="n">
        <v>11.5</v>
      </c>
      <c r="AB2137">
        <f>ROUND(U2137-AA2137,2)</f>
        <v/>
      </c>
      <c r="AC2137" t="b">
        <v>0</v>
      </c>
      <c r="AD2137">
        <f>IF(U2137="","MISSING_TOTAL",IF(ABS(AB2137)&lt;=0.01,"OK","CHECK"))</f>
        <v/>
      </c>
      <c r="AE2137">
        <f>IF(U2137="","MISSING",IF(AND(AA2137&gt;0,U2137/AA2137&gt;50),"POSSIBLE_SCALE_ERROR","OK"))</f>
        <v/>
      </c>
    </row>
    <row r="2138">
      <c r="A2138" t="inlineStr">
        <is>
          <t>T-2024-P8-0014</t>
        </is>
      </c>
      <c r="B2138" t="inlineStr">
        <is>
          <t>SLE</t>
        </is>
      </c>
      <c r="C2138" t="inlineStr">
        <is>
          <t>Assistant Deputy Minister, Science and Technology Branch</t>
        </is>
      </c>
      <c r="D2138" t="inlineStr">
        <is>
          <t>Sous-ministre adjoint, Direction générale des sciences et de la technologie</t>
        </is>
      </c>
      <c r="E2138" t="inlineStr">
        <is>
          <t>Gilles Saindon</t>
        </is>
      </c>
      <c r="F2138" t="inlineStr">
        <is>
          <t>To attend the Inter-American Institute for Cooperations of Agriculture Canada's Advisory Committee meeting</t>
        </is>
      </c>
      <c r="G2138" t="inlineStr">
        <is>
          <t>Participer à la réunion du Comité consultatif du Canada de " Inter-American Institute for Cooperations of Agriculture"</t>
        </is>
      </c>
      <c r="H2138" s="1" t="n">
        <v>45231</v>
      </c>
      <c r="I2138" s="1" t="n">
        <v>45231</v>
      </c>
      <c r="J2138" t="inlineStr">
        <is>
          <t>Ottawa (Ontario) Canada</t>
        </is>
      </c>
      <c r="K2138" t="inlineStr">
        <is>
          <t>Ottawa (Ontario) Canada</t>
        </is>
      </c>
      <c r="P2138" t="n">
        <v>0</v>
      </c>
      <c r="Q2138" t="n">
        <v>21</v>
      </c>
      <c r="R2138" t="n">
        <v>0</v>
      </c>
      <c r="S2138" t="n">
        <v>0</v>
      </c>
      <c r="T2138" t="n">
        <v>0</v>
      </c>
      <c r="U2138" t="n">
        <v>21</v>
      </c>
      <c r="X2138" t="inlineStr">
        <is>
          <t>aafc-aac</t>
        </is>
      </c>
      <c r="Y2138" t="inlineStr">
        <is>
          <t>Agriculture and Agri-Food Canada | Agriculture et Agroalimentaire Canada</t>
        </is>
      </c>
      <c r="Z2138" t="n">
        <v>1</v>
      </c>
      <c r="AA2138" t="n">
        <v>21</v>
      </c>
      <c r="AB2138">
        <f>ROUND(U2138-AA2138,2)</f>
        <v/>
      </c>
      <c r="AC2138" t="b">
        <v>0</v>
      </c>
      <c r="AD2138">
        <f>IF(U2138="","MISSING_TOTAL",IF(ABS(AB2138)&lt;=0.01,"OK","CHECK"))</f>
        <v/>
      </c>
      <c r="AE2138">
        <f>IF(U2138="","MISSING",IF(AND(AA2138&gt;0,U2138/AA2138&gt;50),"POSSIBLE_SCALE_ERROR","OK"))</f>
        <v/>
      </c>
    </row>
    <row r="2139">
      <c r="A2139" t="inlineStr">
        <is>
          <t>T-2024-P8-0015</t>
        </is>
      </c>
      <c r="B2139" t="inlineStr">
        <is>
          <t>SLE</t>
        </is>
      </c>
      <c r="C2139" t="inlineStr">
        <is>
          <t>Assistant Deputy Minister, International Affairs Branch</t>
        </is>
      </c>
      <c r="D2139" t="inlineStr">
        <is>
          <t>Sous-ministre adjointe, Direction générale des affaires internationales</t>
        </is>
      </c>
      <c r="E2139" t="inlineStr">
        <is>
          <t>Kathleen Donohue</t>
        </is>
      </c>
      <c r="F2139" t="inlineStr">
        <is>
          <t>To attend Ivey program activities</t>
        </is>
      </c>
      <c r="G2139" t="inlineStr">
        <is>
          <t>Participer aux activités du programme Ivey</t>
        </is>
      </c>
      <c r="H2139" s="1" t="n">
        <v>45194</v>
      </c>
      <c r="I2139" s="1" t="n">
        <v>45198</v>
      </c>
      <c r="J2139" t="inlineStr">
        <is>
          <t>London (Ontario) Canada</t>
        </is>
      </c>
      <c r="K2139" t="inlineStr">
        <is>
          <t>London (Ontario) Canada</t>
        </is>
      </c>
      <c r="P2139" t="n">
        <v>0</v>
      </c>
      <c r="Q2139" t="n">
        <v>795.28</v>
      </c>
      <c r="R2139" t="n">
        <v>0</v>
      </c>
      <c r="S2139" t="n">
        <v>251.2</v>
      </c>
      <c r="T2139" t="n">
        <v>0</v>
      </c>
      <c r="U2139" t="n">
        <v>1046.48</v>
      </c>
      <c r="X2139" t="inlineStr">
        <is>
          <t>aafc-aac</t>
        </is>
      </c>
      <c r="Y2139" t="inlineStr">
        <is>
          <t>Agriculture and Agri-Food Canada | Agriculture et Agroalimentaire Canada</t>
        </is>
      </c>
      <c r="Z2139" t="n">
        <v>5</v>
      </c>
      <c r="AA2139" t="n">
        <v>1046.48</v>
      </c>
      <c r="AB2139">
        <f>ROUND(U2139-AA2139,2)</f>
        <v/>
      </c>
      <c r="AC2139" t="b">
        <v>0</v>
      </c>
      <c r="AD2139">
        <f>IF(U2139="","MISSING_TOTAL",IF(ABS(AB2139)&lt;=0.01,"OK","CHECK"))</f>
        <v/>
      </c>
      <c r="AE2139">
        <f>IF(U2139="","MISSING",IF(AND(AA2139&gt;0,U2139/AA2139&gt;50),"POSSIBLE_SCALE_ERROR","OK"))</f>
        <v/>
      </c>
    </row>
    <row r="2140">
      <c r="A2140" t="inlineStr">
        <is>
          <t>T-2024-P8-0016</t>
        </is>
      </c>
      <c r="B2140" t="inlineStr">
        <is>
          <t>SLE</t>
        </is>
      </c>
      <c r="C2140" t="inlineStr">
        <is>
          <t>Assistant Deputy Minister, International Affairs Branch</t>
        </is>
      </c>
      <c r="D2140" t="inlineStr">
        <is>
          <t>Sous-ministre adjointe, Direction générale des affaires internationales</t>
        </is>
      </c>
      <c r="E2140" t="inlineStr">
        <is>
          <t>Kathleen Donohue</t>
        </is>
      </c>
      <c r="F2140" t="inlineStr">
        <is>
          <t>To attend the Global Forum for Rural Advisory Services Annual Meeting</t>
        </is>
      </c>
      <c r="G2140" t="inlineStr">
        <is>
          <t>Participer à la réunion annuelle du Forum mondial sur les services de conseil rural</t>
        </is>
      </c>
      <c r="H2140" s="1" t="n">
        <v>45215</v>
      </c>
      <c r="I2140" s="1" t="n">
        <v>45218</v>
      </c>
      <c r="J2140" t="inlineStr">
        <is>
          <t>Denver (Colorado) United States</t>
        </is>
      </c>
      <c r="K2140" t="inlineStr">
        <is>
          <t>Denver (Colorado) États-Unis</t>
        </is>
      </c>
      <c r="P2140" t="n">
        <v>1950.68</v>
      </c>
      <c r="Q2140" t="n">
        <v>84.48</v>
      </c>
      <c r="R2140" t="n">
        <v>2602.48</v>
      </c>
      <c r="S2140" t="n">
        <v>278.6</v>
      </c>
      <c r="T2140" t="n">
        <v>0</v>
      </c>
      <c r="U2140" t="n">
        <v>4916.24</v>
      </c>
      <c r="X2140" t="inlineStr">
        <is>
          <t>aafc-aac</t>
        </is>
      </c>
      <c r="Y2140" t="inlineStr">
        <is>
          <t>Agriculture and Agri-Food Canada | Agriculture et Agroalimentaire Canada</t>
        </is>
      </c>
      <c r="Z2140" t="n">
        <v>4</v>
      </c>
      <c r="AA2140" t="n">
        <v>4916.24</v>
      </c>
      <c r="AB2140">
        <f>ROUND(U2140-AA2140,2)</f>
        <v/>
      </c>
      <c r="AC2140" t="b">
        <v>0</v>
      </c>
      <c r="AD2140">
        <f>IF(U2140="","MISSING_TOTAL",IF(ABS(AB2140)&lt;=0.01,"OK","CHECK"))</f>
        <v/>
      </c>
      <c r="AE2140">
        <f>IF(U2140="","MISSING",IF(AND(AA2140&gt;0,U2140/AA2140&gt;50),"POSSIBLE_SCALE_ERROR","OK"))</f>
        <v/>
      </c>
    </row>
    <row r="2141">
      <c r="A2141" t="inlineStr">
        <is>
          <t>T-2024-P8-0017</t>
        </is>
      </c>
      <c r="B2141" t="inlineStr">
        <is>
          <t>SLE</t>
        </is>
      </c>
      <c r="C2141" t="inlineStr">
        <is>
          <t>Acting Chief Audit Executive</t>
        </is>
      </c>
      <c r="D2141" t="inlineStr">
        <is>
          <t>Dirigeant intérimaire de la vérification</t>
        </is>
      </c>
      <c r="E2141" t="inlineStr">
        <is>
          <t>Douglas Forster</t>
        </is>
      </c>
      <c r="F2141" t="inlineStr">
        <is>
          <t>To attend Departmental Audit Committee meeting</t>
        </is>
      </c>
      <c r="G2141" t="inlineStr">
        <is>
          <t>Participer au comité ministériel de vérification</t>
        </is>
      </c>
      <c r="H2141" s="1" t="n">
        <v>45210</v>
      </c>
      <c r="I2141" s="1" t="n">
        <v>45212</v>
      </c>
      <c r="J2141" t="inlineStr">
        <is>
          <t>Saint-Hyacinthe (Quebec) Canada</t>
        </is>
      </c>
      <c r="K2141" t="inlineStr">
        <is>
          <t>Saint-Hyacinthe (Québec) Canada</t>
        </is>
      </c>
      <c r="P2141" t="n">
        <v>0</v>
      </c>
      <c r="Q2141" t="n">
        <v>292.05</v>
      </c>
      <c r="R2141" t="n">
        <v>337.07</v>
      </c>
      <c r="S2141" t="n">
        <v>172.8</v>
      </c>
      <c r="T2141" t="n">
        <v>0</v>
      </c>
      <c r="U2141" t="n">
        <v>801.92</v>
      </c>
      <c r="X2141" t="inlineStr">
        <is>
          <t>aafc-aac</t>
        </is>
      </c>
      <c r="Y2141" t="inlineStr">
        <is>
          <t>Agriculture and Agri-Food Canada | Agriculture et Agroalimentaire Canada</t>
        </is>
      </c>
      <c r="Z2141" t="n">
        <v>3</v>
      </c>
      <c r="AA2141" t="n">
        <v>801.92</v>
      </c>
      <c r="AB2141">
        <f>ROUND(U2141-AA2141,2)</f>
        <v/>
      </c>
      <c r="AC2141" t="b">
        <v>0</v>
      </c>
      <c r="AD2141">
        <f>IF(U2141="","MISSING_TOTAL",IF(ABS(AB2141)&lt;=0.01,"OK","CHECK"))</f>
        <v/>
      </c>
      <c r="AE2141">
        <f>IF(U2141="","MISSING",IF(AND(AA2141&gt;0,U2141/AA2141&gt;50),"POSSIBLE_SCALE_ERROR","OK"))</f>
        <v/>
      </c>
    </row>
    <row r="2142">
      <c r="A2142" t="inlineStr">
        <is>
          <t>T-2024-P8-0018</t>
        </is>
      </c>
      <c r="B2142" t="inlineStr">
        <is>
          <t>SLE</t>
        </is>
      </c>
      <c r="C2142" t="inlineStr">
        <is>
          <t>Assistant Deputy Minister, Corporate Management Branch</t>
        </is>
      </c>
      <c r="D2142" t="inlineStr">
        <is>
          <t>Sous-ministre adjointe, Direction générale de la gestion intégrée</t>
        </is>
      </c>
      <c r="E2142" t="inlineStr">
        <is>
          <t>Marie-Claude Guérard</t>
        </is>
      </c>
      <c r="F2142" t="inlineStr">
        <is>
          <t>To attend in-person meetings in Ottawa</t>
        </is>
      </c>
      <c r="G2142" t="inlineStr">
        <is>
          <t>Participer à une rencontre en-personne à Ottawa</t>
        </is>
      </c>
      <c r="H2142" s="1" t="n">
        <v>45222</v>
      </c>
      <c r="I2142" s="1" t="n">
        <v>45224</v>
      </c>
      <c r="J2142" t="inlineStr">
        <is>
          <t>Ottawa (Ontario) Canada</t>
        </is>
      </c>
      <c r="K2142" t="inlineStr">
        <is>
          <t>Ottawa (Ontario) Canada</t>
        </is>
      </c>
      <c r="P2142" t="n">
        <v>0</v>
      </c>
      <c r="Q2142" t="n">
        <v>637.42</v>
      </c>
      <c r="R2142" t="n">
        <v>793.26</v>
      </c>
      <c r="S2142" t="n">
        <v>337.1</v>
      </c>
      <c r="T2142" t="n">
        <v>0</v>
      </c>
      <c r="U2142" t="n">
        <v>1767.78</v>
      </c>
      <c r="X2142" t="inlineStr">
        <is>
          <t>aafc-aac</t>
        </is>
      </c>
      <c r="Y2142" t="inlineStr">
        <is>
          <t>Agriculture and Agri-Food Canada | Agriculture et Agroalimentaire Canada</t>
        </is>
      </c>
      <c r="Z2142" t="n">
        <v>3</v>
      </c>
      <c r="AA2142" t="n">
        <v>1767.77999999999</v>
      </c>
      <c r="AB2142">
        <f>ROUND(U2142-AA2142,2)</f>
        <v/>
      </c>
      <c r="AC2142" t="b">
        <v>0</v>
      </c>
      <c r="AD2142">
        <f>IF(U2142="","MISSING_TOTAL",IF(ABS(AB2142)&lt;=0.01,"OK","CHECK"))</f>
        <v/>
      </c>
      <c r="AE2142">
        <f>IF(U2142="","MISSING",IF(AND(AA2142&gt;0,U2142/AA2142&gt;50),"POSSIBLE_SCALE_ERROR","OK"))</f>
        <v/>
      </c>
    </row>
    <row r="2143">
      <c r="A2143" t="inlineStr">
        <is>
          <t>T-2024-P8-0019</t>
        </is>
      </c>
      <c r="B2143" t="inlineStr">
        <is>
          <t>SLE</t>
        </is>
      </c>
      <c r="C2143" t="inlineStr">
        <is>
          <t>Assistant Deputy Minister, Corporate Management Branch</t>
        </is>
      </c>
      <c r="D2143" t="inlineStr">
        <is>
          <t>Sous-ministre adjointe, Direction générale de la gestion intégrée</t>
        </is>
      </c>
      <c r="E2143" t="inlineStr">
        <is>
          <t>Marie-Claude Guérard</t>
        </is>
      </c>
      <c r="F2143" t="inlineStr">
        <is>
          <t>To attend in-person meetings in Ottawa</t>
        </is>
      </c>
      <c r="G2143" t="inlineStr">
        <is>
          <t>Participer à une rencontre en-personne à Ottawa</t>
        </is>
      </c>
      <c r="H2143" s="1" t="n">
        <v>45238</v>
      </c>
      <c r="I2143" s="1" t="n">
        <v>45239</v>
      </c>
      <c r="J2143" t="inlineStr">
        <is>
          <t>Ottawa (Ontario) Canada</t>
        </is>
      </c>
      <c r="K2143" t="inlineStr">
        <is>
          <t>Ottawa (Ontario) Canada</t>
        </is>
      </c>
      <c r="P2143" t="n">
        <v>0</v>
      </c>
      <c r="Q2143" t="n">
        <v>453.9</v>
      </c>
      <c r="R2143" t="n">
        <v>210.36</v>
      </c>
      <c r="S2143" t="n">
        <v>168.7</v>
      </c>
      <c r="T2143" t="n">
        <v>0</v>
      </c>
      <c r="U2143" t="n">
        <v>832.96</v>
      </c>
      <c r="X2143" t="inlineStr">
        <is>
          <t>aafc-aac</t>
        </is>
      </c>
      <c r="Y2143" t="inlineStr">
        <is>
          <t>Agriculture and Agri-Food Canada | Agriculture et Agroalimentaire Canada</t>
        </is>
      </c>
      <c r="Z2143" t="n">
        <v>2</v>
      </c>
      <c r="AA2143" t="n">
        <v>832.96</v>
      </c>
      <c r="AB2143">
        <f>ROUND(U2143-AA2143,2)</f>
        <v/>
      </c>
      <c r="AC2143" t="b">
        <v>0</v>
      </c>
      <c r="AD2143">
        <f>IF(U2143="","MISSING_TOTAL",IF(ABS(AB2143)&lt;=0.01,"OK","CHECK"))</f>
        <v/>
      </c>
      <c r="AE2143">
        <f>IF(U2143="","MISSING",IF(AND(AA2143&gt;0,U2143/AA2143&gt;50),"POSSIBLE_SCALE_ERROR","OK"))</f>
        <v/>
      </c>
    </row>
    <row r="2144">
      <c r="A2144" t="inlineStr">
        <is>
          <t>T-2024-P8-0020</t>
        </is>
      </c>
      <c r="B2144" t="inlineStr">
        <is>
          <t>SLE</t>
        </is>
      </c>
      <c r="C2144" t="inlineStr">
        <is>
          <t>Assistant Deputy Minister, Strategic Policy Branch</t>
        </is>
      </c>
      <c r="D2144" t="inlineStr">
        <is>
          <t>Sous-ministre adjointe, Direction générale des politiques stratégiques</t>
        </is>
      </c>
      <c r="E2144" t="inlineStr">
        <is>
          <t>Shannon Nix</t>
        </is>
      </c>
      <c r="F2144" t="inlineStr">
        <is>
          <t>To engage with stakeholders across the grain supply chain</t>
        </is>
      </c>
      <c r="G2144" t="inlineStr">
        <is>
          <t>Interargir avec les parties prenantes de la chaîne d'approvisionnement en céréales</t>
        </is>
      </c>
      <c r="H2144" s="1" t="n">
        <v>45214</v>
      </c>
      <c r="I2144" s="1" t="n">
        <v>45219</v>
      </c>
      <c r="J2144" t="inlineStr">
        <is>
          <t>Edmonton (Alberta) CanadaVancouver (British Columbia) Canada</t>
        </is>
      </c>
      <c r="K2144" t="inlineStr">
        <is>
          <t>Edmonton (Alberta) CanadaVancouver (Colombie-Britannique) Canada</t>
        </is>
      </c>
      <c r="P2144" t="n">
        <v>1673.06</v>
      </c>
      <c r="Q2144" t="n">
        <v>120.66</v>
      </c>
      <c r="R2144" t="n">
        <v>1334.61</v>
      </c>
      <c r="S2144" t="n">
        <v>541.3</v>
      </c>
      <c r="T2144" t="n">
        <v>0</v>
      </c>
      <c r="U2144" t="n">
        <v>3669.63</v>
      </c>
      <c r="X2144" t="inlineStr">
        <is>
          <t>aafc-aac</t>
        </is>
      </c>
      <c r="Y2144" t="inlineStr">
        <is>
          <t>Agriculture and Agri-Food Canada | Agriculture et Agroalimentaire Canada</t>
        </is>
      </c>
      <c r="Z2144" t="n">
        <v>6</v>
      </c>
      <c r="AA2144" t="n">
        <v>3669.63</v>
      </c>
      <c r="AB2144">
        <f>ROUND(U2144-AA2144,2)</f>
        <v/>
      </c>
      <c r="AC2144" t="b">
        <v>0</v>
      </c>
      <c r="AD2144">
        <f>IF(U2144="","MISSING_TOTAL",IF(ABS(AB2144)&lt;=0.01,"OK","CHECK"))</f>
        <v/>
      </c>
      <c r="AE2144">
        <f>IF(U2144="","MISSING",IF(AND(AA2144&gt;0,U2144/AA2144&gt;50),"POSSIBLE_SCALE_ERROR","OK"))</f>
        <v/>
      </c>
    </row>
    <row r="2145">
      <c r="A2145" t="inlineStr">
        <is>
          <t>T-2024-P8-0021</t>
        </is>
      </c>
      <c r="B2145" t="inlineStr">
        <is>
          <t>SLE</t>
        </is>
      </c>
      <c r="C2145" t="inlineStr">
        <is>
          <t>Assistant Deputy Minister, Strategic Policy Branch</t>
        </is>
      </c>
      <c r="D2145" t="inlineStr">
        <is>
          <t>Sous-ministre adjointe, Direction générale des politiques stratégiques</t>
        </is>
      </c>
      <c r="E2145" t="inlineStr">
        <is>
          <t>Shannon Nix</t>
        </is>
      </c>
      <c r="F2145" t="inlineStr">
        <is>
          <t>To attend meetings.</t>
        </is>
      </c>
      <c r="G2145" t="inlineStr">
        <is>
          <t>Participer à des réunions.</t>
        </is>
      </c>
      <c r="H2145" s="1" t="n">
        <v>45189</v>
      </c>
      <c r="I2145" s="1" t="n">
        <v>45225</v>
      </c>
      <c r="J2145" t="inlineStr">
        <is>
          <t>Ottawa (Ontario) Canada</t>
        </is>
      </c>
      <c r="K2145" t="inlineStr">
        <is>
          <t>Ottawa (Ontario) Canada</t>
        </is>
      </c>
      <c r="P2145" t="n">
        <v>0</v>
      </c>
      <c r="Q2145" t="n">
        <v>75.97</v>
      </c>
      <c r="R2145" t="n">
        <v>0</v>
      </c>
      <c r="S2145" t="n">
        <v>0</v>
      </c>
      <c r="T2145" t="n">
        <v>0</v>
      </c>
      <c r="U2145" t="n">
        <v>75.97</v>
      </c>
      <c r="X2145" t="inlineStr">
        <is>
          <t>aafc-aac</t>
        </is>
      </c>
      <c r="Y2145" t="inlineStr">
        <is>
          <t>Agriculture and Agri-Food Canada | Agriculture et Agroalimentaire Canada</t>
        </is>
      </c>
      <c r="Z2145" t="n">
        <v>37</v>
      </c>
      <c r="AA2145" t="n">
        <v>75.97</v>
      </c>
      <c r="AB2145">
        <f>ROUND(U2145-AA2145,2)</f>
        <v/>
      </c>
      <c r="AC2145" t="b">
        <v>0</v>
      </c>
      <c r="AD2145">
        <f>IF(U2145="","MISSING_TOTAL",IF(ABS(AB2145)&lt;=0.01,"OK","CHECK"))</f>
        <v/>
      </c>
      <c r="AE2145">
        <f>IF(U2145="","MISSING",IF(AND(AA2145&gt;0,U2145/AA2145&gt;50),"POSSIBLE_SCALE_ERROR","OK"))</f>
        <v/>
      </c>
    </row>
    <row r="2146">
      <c r="A2146" t="inlineStr">
        <is>
          <t>T-2024-P8-0022</t>
        </is>
      </c>
      <c r="B2146" t="inlineStr">
        <is>
          <t>SLE</t>
        </is>
      </c>
      <c r="C2146" t="inlineStr">
        <is>
          <t>Assistant Deputy Minister, Market and Industry Services Branch</t>
        </is>
      </c>
      <c r="D2146" t="inlineStr">
        <is>
          <t>Sous-ministre adjoint, Direction générale des services à l'industrie et aux marchés</t>
        </is>
      </c>
      <c r="E2146" t="inlineStr">
        <is>
          <t>Tom Rosser</t>
        </is>
      </c>
      <c r="F2146" t="inlineStr">
        <is>
          <t>To participate in regional outreach.</t>
        </is>
      </c>
      <c r="G2146" t="inlineStr">
        <is>
          <t>Participer à la sensibilisation régionale.</t>
        </is>
      </c>
      <c r="H2146" s="1" t="n">
        <v>45221</v>
      </c>
      <c r="I2146" s="1" t="n">
        <v>45223</v>
      </c>
      <c r="J2146" t="inlineStr">
        <is>
          <t>Halifax (Nova Scotia) Canada</t>
        </is>
      </c>
      <c r="K2146" t="inlineStr">
        <is>
          <t>Halifax (Nouvelle-Écosse) Canada</t>
        </is>
      </c>
      <c r="P2146" t="n">
        <v>1080.14</v>
      </c>
      <c r="Q2146" t="n">
        <v>133.48</v>
      </c>
      <c r="R2146" t="n">
        <v>457.48</v>
      </c>
      <c r="S2146" t="n">
        <v>355.9</v>
      </c>
      <c r="T2146" t="n">
        <v>57.6</v>
      </c>
      <c r="U2146" t="n">
        <v>2084.6</v>
      </c>
      <c r="X2146" t="inlineStr">
        <is>
          <t>aafc-aac</t>
        </is>
      </c>
      <c r="Y2146" t="inlineStr">
        <is>
          <t>Agriculture and Agri-Food Canada | Agriculture et Agroalimentaire Canada</t>
        </is>
      </c>
      <c r="Z2146" t="n">
        <v>3</v>
      </c>
      <c r="AA2146" t="n">
        <v>2084.6</v>
      </c>
      <c r="AB2146">
        <f>ROUND(U2146-AA2146,2)</f>
        <v/>
      </c>
      <c r="AC2146" t="b">
        <v>0</v>
      </c>
      <c r="AD2146">
        <f>IF(U2146="","MISSING_TOTAL",IF(ABS(AB2146)&lt;=0.01,"OK","CHECK"))</f>
        <v/>
      </c>
      <c r="AE2146">
        <f>IF(U2146="","MISSING",IF(AND(AA2146&gt;0,U2146/AA2146&gt;50),"POSSIBLE_SCALE_ERROR","OK"))</f>
        <v/>
      </c>
    </row>
    <row r="2147">
      <c r="A2147" t="inlineStr">
        <is>
          <t>T-2024-P9-001</t>
        </is>
      </c>
      <c r="B2147" t="inlineStr">
        <is>
          <t>MPSES</t>
        </is>
      </c>
      <c r="C2147" t="inlineStr">
        <is>
          <t>Minister</t>
        </is>
      </c>
      <c r="D2147" t="inlineStr">
        <is>
          <t>Ministre</t>
        </is>
      </c>
      <c r="E2147" t="inlineStr">
        <is>
          <t>Lawrence MacAulay</t>
        </is>
      </c>
      <c r="F2147" t="inlineStr">
        <is>
          <t>To attend an Outreach tour</t>
        </is>
      </c>
      <c r="G2147" t="inlineStr">
        <is>
          <t>Participer à une visite de sensibilisation</t>
        </is>
      </c>
      <c r="H2147" s="1" t="n">
        <v>45243</v>
      </c>
      <c r="I2147" s="1" t="n">
        <v>45246</v>
      </c>
      <c r="J2147" t="inlineStr">
        <is>
          <t>Winnipeg (Manitoba) Canada</t>
        </is>
      </c>
      <c r="K2147" t="inlineStr">
        <is>
          <t>Winnipeg (Manitoba) Canada</t>
        </is>
      </c>
      <c r="P2147" t="n">
        <v>2267.21</v>
      </c>
      <c r="Q2147" t="n">
        <v>0</v>
      </c>
      <c r="R2147" t="n">
        <v>412.72</v>
      </c>
      <c r="S2147" t="n">
        <v>304</v>
      </c>
      <c r="T2147" t="n">
        <v>0</v>
      </c>
      <c r="U2147" t="n">
        <v>2983.93</v>
      </c>
      <c r="X2147" t="inlineStr">
        <is>
          <t>aafc-aac</t>
        </is>
      </c>
      <c r="Y2147" t="inlineStr">
        <is>
          <t>Agriculture and Agri-Food Canada | Agriculture et Agroalimentaire Canada</t>
        </is>
      </c>
      <c r="Z2147" t="n">
        <v>4</v>
      </c>
      <c r="AA2147" t="n">
        <v>2983.93</v>
      </c>
      <c r="AB2147">
        <f>ROUND(U2147-AA2147,2)</f>
        <v/>
      </c>
      <c r="AC2147" t="b">
        <v>0</v>
      </c>
      <c r="AD2147">
        <f>IF(U2147="","MISSING_TOTAL",IF(ABS(AB2147)&lt;=0.01,"OK","CHECK"))</f>
        <v/>
      </c>
      <c r="AE2147">
        <f>IF(U2147="","MISSING",IF(AND(AA2147&gt;0,U2147/AA2147&gt;50),"POSSIBLE_SCALE_ERROR","OK"))</f>
        <v/>
      </c>
    </row>
    <row r="2148">
      <c r="A2148" t="inlineStr">
        <is>
          <t>T-2024-P9-002</t>
        </is>
      </c>
      <c r="B2148" t="inlineStr">
        <is>
          <t>MPSES</t>
        </is>
      </c>
      <c r="C2148" t="inlineStr">
        <is>
          <t>Minister</t>
        </is>
      </c>
      <c r="D2148" t="inlineStr">
        <is>
          <t>Ministre</t>
        </is>
      </c>
      <c r="E2148" t="inlineStr">
        <is>
          <t>Lawrence MacAulay</t>
        </is>
      </c>
      <c r="F2148" t="inlineStr">
        <is>
          <t>To attend a funding announcement and attend meetings with stakeholders</t>
        </is>
      </c>
      <c r="G2148" t="inlineStr">
        <is>
          <t>Participer à une annonce de financement et à des réunions avec les parties prenantes</t>
        </is>
      </c>
      <c r="H2148" s="1" t="n">
        <v>45249</v>
      </c>
      <c r="I2148" s="1" t="n">
        <v>45250</v>
      </c>
      <c r="J2148" t="inlineStr">
        <is>
          <t>Toronto (Ontario) Canada</t>
        </is>
      </c>
      <c r="K2148" t="inlineStr">
        <is>
          <t>Toronto (Ontario) Canada</t>
        </is>
      </c>
      <c r="P2148" t="n">
        <v>1449.14</v>
      </c>
      <c r="Q2148" t="n">
        <v>0</v>
      </c>
      <c r="R2148" t="n">
        <v>238.36</v>
      </c>
      <c r="S2148" t="n">
        <v>60.45</v>
      </c>
      <c r="T2148" t="n">
        <v>0</v>
      </c>
      <c r="U2148" t="n">
        <v>1747.95</v>
      </c>
      <c r="X2148" t="inlineStr">
        <is>
          <t>aafc-aac</t>
        </is>
      </c>
      <c r="Y2148" t="inlineStr">
        <is>
          <t>Agriculture and Agri-Food Canada | Agriculture et Agroalimentaire Canada</t>
        </is>
      </c>
      <c r="Z2148" t="n">
        <v>2</v>
      </c>
      <c r="AA2148" t="n">
        <v>1747.95</v>
      </c>
      <c r="AB2148">
        <f>ROUND(U2148-AA2148,2)</f>
        <v/>
      </c>
      <c r="AC2148" t="b">
        <v>0</v>
      </c>
      <c r="AD2148">
        <f>IF(U2148="","MISSING_TOTAL",IF(ABS(AB2148)&lt;=0.01,"OK","CHECK"))</f>
        <v/>
      </c>
      <c r="AE2148">
        <f>IF(U2148="","MISSING",IF(AND(AA2148&gt;0,U2148/AA2148&gt;50),"POSSIBLE_SCALE_ERROR","OK"))</f>
        <v/>
      </c>
    </row>
    <row r="2149">
      <c r="A2149" t="inlineStr">
        <is>
          <t>T-2024-P9-003</t>
        </is>
      </c>
      <c r="B2149" t="inlineStr">
        <is>
          <t>MPSES</t>
        </is>
      </c>
      <c r="C2149" t="inlineStr">
        <is>
          <t>Director of Regional Affairs</t>
        </is>
      </c>
      <c r="D2149" t="inlineStr">
        <is>
          <t>Directrice des affaires régionales</t>
        </is>
      </c>
      <c r="E2149" t="inlineStr">
        <is>
          <t>Alison Porter</t>
        </is>
      </c>
      <c r="F2149" t="inlineStr">
        <is>
          <t>To attend meetings with the Minister</t>
        </is>
      </c>
      <c r="G2149" t="inlineStr">
        <is>
          <t>Assister aux réunions avec le ministre</t>
        </is>
      </c>
      <c r="H2149" s="1" t="n">
        <v>45252</v>
      </c>
      <c r="I2149" s="1" t="n">
        <v>45253</v>
      </c>
      <c r="J2149" t="inlineStr">
        <is>
          <t>Ottawa (Ontario) Canada</t>
        </is>
      </c>
      <c r="K2149" t="inlineStr">
        <is>
          <t>Ottawa (Ontario) Canada</t>
        </is>
      </c>
      <c r="P2149" t="n">
        <v>0</v>
      </c>
      <c r="Q2149" t="n">
        <v>279.55</v>
      </c>
      <c r="R2149" t="n">
        <v>233.86</v>
      </c>
      <c r="S2149" t="n">
        <v>0</v>
      </c>
      <c r="T2149" t="n">
        <v>0</v>
      </c>
      <c r="U2149" t="n">
        <v>513.41</v>
      </c>
      <c r="X2149" t="inlineStr">
        <is>
          <t>aafc-aac</t>
        </is>
      </c>
      <c r="Y2149" t="inlineStr">
        <is>
          <t>Agriculture and Agri-Food Canada | Agriculture et Agroalimentaire Canada</t>
        </is>
      </c>
      <c r="Z2149" t="n">
        <v>2</v>
      </c>
      <c r="AA2149" t="n">
        <v>513.41</v>
      </c>
      <c r="AB2149">
        <f>ROUND(U2149-AA2149,2)</f>
        <v/>
      </c>
      <c r="AC2149" t="b">
        <v>0</v>
      </c>
      <c r="AD2149">
        <f>IF(U2149="","MISSING_TOTAL",IF(ABS(AB2149)&lt;=0.01,"OK","CHECK"))</f>
        <v/>
      </c>
      <c r="AE2149">
        <f>IF(U2149="","MISSING",IF(AND(AA2149&gt;0,U2149/AA2149&gt;50),"POSSIBLE_SCALE_ERROR","OK"))</f>
        <v/>
      </c>
    </row>
    <row r="2150">
      <c r="A2150" t="inlineStr">
        <is>
          <t>T-2024-P9-004</t>
        </is>
      </c>
      <c r="B2150" t="inlineStr">
        <is>
          <t>SLE</t>
        </is>
      </c>
      <c r="C2150" t="inlineStr">
        <is>
          <t>Deputy Minister</t>
        </is>
      </c>
      <c r="D2150" t="inlineStr">
        <is>
          <t>Sous-ministre</t>
        </is>
      </c>
      <c r="E2150" t="inlineStr">
        <is>
          <t>Stefanie Beck</t>
        </is>
      </c>
      <c r="F2150" t="inlineStr">
        <is>
          <t>To attend an Outreach in Vancouver and assist the Minister with a tour Japan, Vietnam and Sount Korea</t>
        </is>
      </c>
      <c r="G2150" t="inlineStr">
        <is>
          <t>Participer à une campagne de sensibilisation à Vancouver et aider le ministre à organiser une tournée au Japon, au Vietnam et en Corée du Sud.</t>
        </is>
      </c>
      <c r="H2150" s="1" t="n">
        <v>45224</v>
      </c>
      <c r="I2150" s="1" t="n">
        <v>45234</v>
      </c>
      <c r="J2150" t="inlineStr">
        <is>
          <t>Vancouver (British-Columbia) Canada
Hanoi, Vietnam
Tokyo, Japan
Seoul, South Korea</t>
        </is>
      </c>
      <c r="K2150" t="inlineStr">
        <is>
          <t>Vancouver, (Colombie-Britannique) Canada
Hanoi, Vietnam
Tokyo, Japon
Séoul, Corée du Sud</t>
        </is>
      </c>
      <c r="P2150" t="n">
        <v>16710.56</v>
      </c>
      <c r="Q2150" t="n">
        <v>93.20999999999999</v>
      </c>
      <c r="R2150" t="n">
        <v>2786.46</v>
      </c>
      <c r="S2150" t="n">
        <v>1266.05</v>
      </c>
      <c r="T2150" t="n">
        <v>56.48</v>
      </c>
      <c r="U2150" t="n">
        <v>20912.76</v>
      </c>
      <c r="X2150" t="inlineStr">
        <is>
          <t>aafc-aac</t>
        </is>
      </c>
      <c r="Y2150" t="inlineStr">
        <is>
          <t>Agriculture and Agri-Food Canada | Agriculture et Agroalimentaire Canada</t>
        </is>
      </c>
      <c r="Z2150" t="n">
        <v>11</v>
      </c>
      <c r="AA2150" t="n">
        <v>20912.76</v>
      </c>
      <c r="AB2150">
        <f>ROUND(U2150-AA2150,2)</f>
        <v/>
      </c>
      <c r="AC2150" t="b">
        <v>0</v>
      </c>
      <c r="AD2150">
        <f>IF(U2150="","MISSING_TOTAL",IF(ABS(AB2150)&lt;=0.01,"OK","CHECK"))</f>
        <v/>
      </c>
      <c r="AE2150">
        <f>IF(U2150="","MISSING",IF(AND(AA2150&gt;0,U2150/AA2150&gt;50),"POSSIBLE_SCALE_ERROR","OK"))</f>
        <v/>
      </c>
    </row>
    <row r="2151">
      <c r="A2151" t="inlineStr">
        <is>
          <t>T-2024-P9-005</t>
        </is>
      </c>
      <c r="B2151" t="inlineStr">
        <is>
          <t>SLE</t>
        </is>
      </c>
      <c r="C2151" t="inlineStr">
        <is>
          <t>Deputy Minister</t>
        </is>
      </c>
      <c r="D2151" t="inlineStr">
        <is>
          <t>Sous-ministre</t>
        </is>
      </c>
      <c r="E2151" t="inlineStr">
        <is>
          <t>Stefanie Beck</t>
        </is>
      </c>
      <c r="F2151" t="inlineStr">
        <is>
          <t>To attend an Outreach</t>
        </is>
      </c>
      <c r="G2151" t="inlineStr">
        <is>
          <t>Participer à une campagne de sensibilisation</t>
        </is>
      </c>
      <c r="H2151" s="1" t="n">
        <v>45249</v>
      </c>
      <c r="I2151" s="1" t="n">
        <v>45251</v>
      </c>
      <c r="J2151" t="inlineStr">
        <is>
          <t>Regina (Saskatchewan) Canada</t>
        </is>
      </c>
      <c r="K2151" t="inlineStr">
        <is>
          <t>Regina (Saskatchewan) Canada</t>
        </is>
      </c>
      <c r="P2151" t="n">
        <v>3555.12</v>
      </c>
      <c r="Q2151" t="n">
        <v>114.46</v>
      </c>
      <c r="R2151" t="n">
        <v>455.04</v>
      </c>
      <c r="S2151" t="n">
        <v>76.55</v>
      </c>
      <c r="T2151" t="n">
        <v>0</v>
      </c>
      <c r="U2151" t="n">
        <v>4201.17</v>
      </c>
      <c r="X2151" t="inlineStr">
        <is>
          <t>aafc-aac</t>
        </is>
      </c>
      <c r="Y2151" t="inlineStr">
        <is>
          <t>Agriculture and Agri-Food Canada | Agriculture et Agroalimentaire Canada</t>
        </is>
      </c>
      <c r="Z2151" t="n">
        <v>3</v>
      </c>
      <c r="AA2151" t="n">
        <v>4201.17</v>
      </c>
      <c r="AB2151">
        <f>ROUND(U2151-AA2151,2)</f>
        <v/>
      </c>
      <c r="AC2151" t="b">
        <v>0</v>
      </c>
      <c r="AD2151">
        <f>IF(U2151="","MISSING_TOTAL",IF(ABS(AB2151)&lt;=0.01,"OK","CHECK"))</f>
        <v/>
      </c>
      <c r="AE2151">
        <f>IF(U2151="","MISSING",IF(AND(AA2151&gt;0,U2151/AA2151&gt;50),"POSSIBLE_SCALE_ERROR","OK"))</f>
        <v/>
      </c>
    </row>
    <row r="2152">
      <c r="A2152" t="inlineStr">
        <is>
          <t>T-2024-P9-006</t>
        </is>
      </c>
      <c r="B2152" t="inlineStr">
        <is>
          <t>SLE</t>
        </is>
      </c>
      <c r="C2152" t="inlineStr">
        <is>
          <t>Corporate Secretary</t>
        </is>
      </c>
      <c r="D2152" t="inlineStr">
        <is>
          <t>Secrétaire générale</t>
        </is>
      </c>
      <c r="E2152" t="inlineStr">
        <is>
          <t>Tamara Abel</t>
        </is>
      </c>
      <c r="F2152" t="inlineStr">
        <is>
          <t>Operational Activities - Meetings</t>
        </is>
      </c>
      <c r="G2152" t="inlineStr">
        <is>
          <t>Activités opérationnelles - Réunions</t>
        </is>
      </c>
      <c r="H2152" s="1" t="n">
        <v>45270</v>
      </c>
      <c r="I2152" s="1" t="n">
        <v>45275</v>
      </c>
      <c r="J2152" t="inlineStr">
        <is>
          <t>Ottawa (Ontario) Canada</t>
        </is>
      </c>
      <c r="K2152" t="inlineStr">
        <is>
          <t>Ottawa (Ontario) Canada</t>
        </is>
      </c>
      <c r="P2152" t="n">
        <v>1185.85</v>
      </c>
      <c r="Q2152" t="n">
        <v>460.63</v>
      </c>
      <c r="R2152" t="n">
        <v>1392.62</v>
      </c>
      <c r="S2152" t="n">
        <v>651.05</v>
      </c>
      <c r="T2152" t="n">
        <v>0</v>
      </c>
      <c r="U2152" t="n">
        <v>3690.15</v>
      </c>
      <c r="X2152" t="inlineStr">
        <is>
          <t>aafc-aac</t>
        </is>
      </c>
      <c r="Y2152" t="inlineStr">
        <is>
          <t>Agriculture and Agri-Food Canada | Agriculture et Agroalimentaire Canada</t>
        </is>
      </c>
      <c r="Z2152" t="n">
        <v>6</v>
      </c>
      <c r="AA2152" t="n">
        <v>3690.14999999999</v>
      </c>
      <c r="AB2152">
        <f>ROUND(U2152-AA2152,2)</f>
        <v/>
      </c>
      <c r="AC2152" t="b">
        <v>0</v>
      </c>
      <c r="AD2152">
        <f>IF(U2152="","MISSING_TOTAL",IF(ABS(AB2152)&lt;=0.01,"OK","CHECK"))</f>
        <v/>
      </c>
      <c r="AE2152">
        <f>IF(U2152="","MISSING",IF(AND(AA2152&gt;0,U2152/AA2152&gt;50),"POSSIBLE_SCALE_ERROR","OK"))</f>
        <v/>
      </c>
    </row>
    <row r="2153">
      <c r="A2153" t="inlineStr">
        <is>
          <t>T-2024-P9-007</t>
        </is>
      </c>
      <c r="B2153" t="inlineStr">
        <is>
          <t>SLE</t>
        </is>
      </c>
      <c r="C2153" t="inlineStr">
        <is>
          <t>Assistant Deputy Minister, Science and Technology Branch</t>
        </is>
      </c>
      <c r="D2153" t="inlineStr">
        <is>
          <t>Sous-ministre adjoint, Direction générale des sciences et de la technologie</t>
        </is>
      </c>
      <c r="E2153" t="inlineStr">
        <is>
          <t>Gilles Saindon</t>
        </is>
      </c>
      <c r="F2153" t="inlineStr">
        <is>
          <t>To attend the Organization for
Economic Co-operation and
Development - Co-operative
Research Program Governing
Body Meeting. Meetings with
National Research Institute for Agriculture, Food and the Environment and Wageningen
University.</t>
        </is>
      </c>
      <c r="G2153" t="inlineStr">
        <is>
          <t>Participer à l’Organisation de coopération et de développement économiques - Réunion du conseil d'administration du Programme de recherche en collaboration.  Réunions avec l'Institut national de recherche pour l'agriculture, l'alimentation et l'environnement et l'Université de Wageningen.</t>
        </is>
      </c>
      <c r="H2153" s="1" t="n">
        <v>45255</v>
      </c>
      <c r="I2153" s="1" t="n">
        <v>45260</v>
      </c>
      <c r="J2153" t="inlineStr">
        <is>
          <t>Paris, France 
Amsterdam, Netherlands
Wageningen, Netherlands</t>
        </is>
      </c>
      <c r="K2153" t="inlineStr">
        <is>
          <t>Paris, France
Amsterdam, Pays-Bas
Wageningen, Pays-Bas</t>
        </is>
      </c>
      <c r="P2153" t="n">
        <v>2135.28</v>
      </c>
      <c r="Q2153" t="n">
        <v>1001.98</v>
      </c>
      <c r="R2153" t="n">
        <v>1505.95</v>
      </c>
      <c r="S2153" t="n">
        <v>987.1900000000001</v>
      </c>
      <c r="T2153" t="n">
        <v>12.16</v>
      </c>
      <c r="U2153" t="n">
        <v>5642.56</v>
      </c>
      <c r="V2153" t="inlineStr">
        <is>
          <t>Other transportation includes an amount of $725.67  for three (3) Eurostar train tickets purchased on Dr. Gilles Saindon's corporate travel card, covering the travel expenses of Dr. Saindon, and two Science and Technology Branch officials</t>
        </is>
      </c>
      <c r="W2153" t="inlineStr">
        <is>
          <t>Autre transport inclut un montant de 725,67 $ pour trois (3) billets de train Eurostar achetés sur la carte de voyage d'affaires du Dr. Gilles Saindon, couvrant les frais de déplacement du Dr. Saindon ainsi que deux officiers de la Direction générale des sciences et de la technologie</t>
        </is>
      </c>
      <c r="X2153" t="inlineStr">
        <is>
          <t>aafc-aac</t>
        </is>
      </c>
      <c r="Y2153" t="inlineStr">
        <is>
          <t>Agriculture and Agri-Food Canada | Agriculture et Agroalimentaire Canada</t>
        </is>
      </c>
      <c r="Z2153" t="n">
        <v>6</v>
      </c>
      <c r="AA2153" t="n">
        <v>5642.55999999999</v>
      </c>
      <c r="AB2153">
        <f>ROUND(U2153-AA2153,2)</f>
        <v/>
      </c>
      <c r="AC2153" t="b">
        <v>0</v>
      </c>
      <c r="AD2153">
        <f>IF(U2153="","MISSING_TOTAL",IF(ABS(AB2153)&lt;=0.01,"OK","CHECK"))</f>
        <v/>
      </c>
      <c r="AE2153">
        <f>IF(U2153="","MISSING",IF(AND(AA2153&gt;0,U2153/AA2153&gt;50),"POSSIBLE_SCALE_ERROR","OK"))</f>
        <v/>
      </c>
    </row>
    <row r="2154">
      <c r="A2154" t="inlineStr">
        <is>
          <t>T-2024-P9-008</t>
        </is>
      </c>
      <c r="B2154" t="inlineStr">
        <is>
          <t>SLE</t>
        </is>
      </c>
      <c r="C2154" t="inlineStr">
        <is>
          <t>Associate Assistant Deputy Minister, Science and Technology Branch</t>
        </is>
      </c>
      <c r="D2154" t="inlineStr">
        <is>
          <t>Sous-ministre adjoint délégué, Direction générale des sciences et de la technologie</t>
        </is>
      </c>
      <c r="E2154" t="inlineStr">
        <is>
          <t>Andrew Goldstein</t>
        </is>
      </c>
      <c r="F2154" t="inlineStr">
        <is>
          <t>To attend a panel discussion on agriculture</t>
        </is>
      </c>
      <c r="G2154" t="inlineStr">
        <is>
          <t>Participer à une table ronde sur l'agriculture</t>
        </is>
      </c>
      <c r="H2154" s="1" t="n">
        <v>45251</v>
      </c>
      <c r="I2154" s="1" t="n">
        <v>45251</v>
      </c>
      <c r="J2154" t="inlineStr">
        <is>
          <t>Ottawa (Ontario) Canada</t>
        </is>
      </c>
      <c r="K2154" t="inlineStr">
        <is>
          <t>Ottawa (Ontario) Canada</t>
        </is>
      </c>
      <c r="P2154" t="n">
        <v>0</v>
      </c>
      <c r="Q2154" t="n">
        <v>7.5</v>
      </c>
      <c r="R2154" t="n">
        <v>0</v>
      </c>
      <c r="S2154" t="n">
        <v>0</v>
      </c>
      <c r="T2154" t="n">
        <v>0</v>
      </c>
      <c r="U2154" t="n">
        <v>7.5</v>
      </c>
      <c r="X2154" t="inlineStr">
        <is>
          <t>aafc-aac</t>
        </is>
      </c>
      <c r="Y2154" t="inlineStr">
        <is>
          <t>Agriculture and Agri-Food Canada | Agriculture et Agroalimentaire Canada</t>
        </is>
      </c>
      <c r="Z2154" t="n">
        <v>1</v>
      </c>
      <c r="AA2154" t="n">
        <v>7.5</v>
      </c>
      <c r="AB2154">
        <f>ROUND(U2154-AA2154,2)</f>
        <v/>
      </c>
      <c r="AC2154" t="b">
        <v>0</v>
      </c>
      <c r="AD2154">
        <f>IF(U2154="","MISSING_TOTAL",IF(ABS(AB2154)&lt;=0.01,"OK","CHECK"))</f>
        <v/>
      </c>
      <c r="AE2154">
        <f>IF(U2154="","MISSING",IF(AND(AA2154&gt;0,U2154/AA2154&gt;50),"POSSIBLE_SCALE_ERROR","OK"))</f>
        <v/>
      </c>
    </row>
    <row r="2155">
      <c r="A2155" t="inlineStr">
        <is>
          <t>T-2024-P9-009</t>
        </is>
      </c>
      <c r="B2155" t="inlineStr">
        <is>
          <t>SLE</t>
        </is>
      </c>
      <c r="C2155" t="inlineStr">
        <is>
          <t>Assistant Deputy Minister, Corporate Management Branch</t>
        </is>
      </c>
      <c r="D2155" t="inlineStr">
        <is>
          <t>Sous-ministre adjointe, Direction générale de la gestion intégrée</t>
        </is>
      </c>
      <c r="E2155" t="inlineStr">
        <is>
          <t>Marie-Claude Guérard</t>
        </is>
      </c>
      <c r="F2155" t="inlineStr">
        <is>
          <t>To attend in-person meetings in Ottawa</t>
        </is>
      </c>
      <c r="G2155" t="inlineStr">
        <is>
          <t>Participer à une rencontre en-personne à Ottawa</t>
        </is>
      </c>
      <c r="H2155" s="1" t="n">
        <v>45252</v>
      </c>
      <c r="I2155" s="1" t="n">
        <v>45253</v>
      </c>
      <c r="J2155" t="inlineStr">
        <is>
          <t>Ottawa (Ontario) Canada</t>
        </is>
      </c>
      <c r="K2155" t="inlineStr">
        <is>
          <t>Ottawa (Ontario) Canada</t>
        </is>
      </c>
      <c r="P2155" t="n">
        <v>0</v>
      </c>
      <c r="Q2155" t="n">
        <v>0</v>
      </c>
      <c r="R2155" t="n">
        <v>274.59</v>
      </c>
      <c r="S2155" t="n">
        <v>0</v>
      </c>
      <c r="T2155" t="n">
        <v>0</v>
      </c>
      <c r="U2155" t="n">
        <v>274.59</v>
      </c>
      <c r="X2155" t="inlineStr">
        <is>
          <t>aafc-aac</t>
        </is>
      </c>
      <c r="Y2155" t="inlineStr">
        <is>
          <t>Agriculture and Agri-Food Canada | Agriculture et Agroalimentaire Canada</t>
        </is>
      </c>
      <c r="Z2155" t="n">
        <v>2</v>
      </c>
      <c r="AA2155" t="n">
        <v>274.59</v>
      </c>
      <c r="AB2155">
        <f>ROUND(U2155-AA2155,2)</f>
        <v/>
      </c>
      <c r="AC2155" t="b">
        <v>0</v>
      </c>
      <c r="AD2155">
        <f>IF(U2155="","MISSING_TOTAL",IF(ABS(AB2155)&lt;=0.01,"OK","CHECK"))</f>
        <v/>
      </c>
      <c r="AE2155">
        <f>IF(U2155="","MISSING",IF(AND(AA2155&gt;0,U2155/AA2155&gt;50),"POSSIBLE_SCALE_ERROR","OK"))</f>
        <v/>
      </c>
    </row>
    <row r="2156">
      <c r="A2156" t="inlineStr">
        <is>
          <t>T-2024-P9-010</t>
        </is>
      </c>
      <c r="B2156" t="inlineStr">
        <is>
          <t>SLE</t>
        </is>
      </c>
      <c r="C2156" t="inlineStr">
        <is>
          <t>Assistant Deputy Minister, Corporate Management Branch</t>
        </is>
      </c>
      <c r="D2156" t="inlineStr">
        <is>
          <t>Sous-ministre adjointe, Direction générale de la gestion intégrée</t>
        </is>
      </c>
      <c r="E2156" t="inlineStr">
        <is>
          <t>Marie-Claude Guérard</t>
        </is>
      </c>
      <c r="F2156" t="inlineStr">
        <is>
          <t>To attend in-person meetings in Ottawa</t>
        </is>
      </c>
      <c r="G2156" t="inlineStr">
        <is>
          <t>Participer à une rencontre en-personne à Ottawa</t>
        </is>
      </c>
      <c r="H2156" s="1" t="n">
        <v>45259</v>
      </c>
      <c r="I2156" s="1" t="n">
        <v>45261</v>
      </c>
      <c r="J2156" t="inlineStr">
        <is>
          <t>Ottawa (Ontario) Canada</t>
        </is>
      </c>
      <c r="K2156" t="inlineStr">
        <is>
          <t>Ottawa (Ontario) Canada</t>
        </is>
      </c>
      <c r="P2156" t="n">
        <v>0</v>
      </c>
      <c r="Q2156" t="n">
        <v>822.08</v>
      </c>
      <c r="R2156" t="n">
        <v>528.84</v>
      </c>
      <c r="S2156" t="n">
        <v>295.45</v>
      </c>
      <c r="T2156" t="n">
        <v>0</v>
      </c>
      <c r="U2156" t="n">
        <v>1646.37</v>
      </c>
      <c r="X2156" t="inlineStr">
        <is>
          <t>aafc-aac</t>
        </is>
      </c>
      <c r="Y2156" t="inlineStr">
        <is>
          <t>Agriculture and Agri-Food Canada | Agriculture et Agroalimentaire Canada</t>
        </is>
      </c>
      <c r="Z2156" t="n">
        <v>3</v>
      </c>
      <c r="AA2156" t="n">
        <v>1646.37</v>
      </c>
      <c r="AB2156">
        <f>ROUND(U2156-AA2156,2)</f>
        <v/>
      </c>
      <c r="AC2156" t="b">
        <v>0</v>
      </c>
      <c r="AD2156">
        <f>IF(U2156="","MISSING_TOTAL",IF(ABS(AB2156)&lt;=0.01,"OK","CHECK"))</f>
        <v/>
      </c>
      <c r="AE2156">
        <f>IF(U2156="","MISSING",IF(AND(AA2156&gt;0,U2156/AA2156&gt;50),"POSSIBLE_SCALE_ERROR","OK"))</f>
        <v/>
      </c>
    </row>
    <row r="2157">
      <c r="A2157" t="inlineStr">
        <is>
          <t>T-2024-P9-011</t>
        </is>
      </c>
      <c r="B2157" t="inlineStr">
        <is>
          <t>SLE</t>
        </is>
      </c>
      <c r="C2157" t="inlineStr">
        <is>
          <t>Assistant Deputy Minister, Corporate Management Branch</t>
        </is>
      </c>
      <c r="D2157" t="inlineStr">
        <is>
          <t>Sous-ministre adjointe, Direction générale de la gestion intégrée</t>
        </is>
      </c>
      <c r="E2157" t="inlineStr">
        <is>
          <t>Marie-Claude Guérard</t>
        </is>
      </c>
      <c r="F2157" t="inlineStr">
        <is>
          <t>To attend in-person meetings in Ottawa</t>
        </is>
      </c>
      <c r="G2157" t="inlineStr">
        <is>
          <t>Participer à une rencontre en-personne à Ottawa</t>
        </is>
      </c>
      <c r="H2157" s="1" t="n">
        <v>45268</v>
      </c>
      <c r="I2157" s="1" t="n">
        <v>45268</v>
      </c>
      <c r="J2157" t="inlineStr">
        <is>
          <t>Ottawa (Ontario) Canada</t>
        </is>
      </c>
      <c r="K2157" t="inlineStr">
        <is>
          <t>Ottawa (Ontario) Canada</t>
        </is>
      </c>
      <c r="P2157" t="n">
        <v>0</v>
      </c>
      <c r="Q2157" t="n">
        <v>717.29</v>
      </c>
      <c r="R2157" t="n">
        <v>0</v>
      </c>
      <c r="S2157" t="n">
        <v>24.65</v>
      </c>
      <c r="T2157" t="n">
        <v>0</v>
      </c>
      <c r="U2157" t="n">
        <v>741.9400000000001</v>
      </c>
      <c r="X2157" t="inlineStr">
        <is>
          <t>aafc-aac</t>
        </is>
      </c>
      <c r="Y2157" t="inlineStr">
        <is>
          <t>Agriculture and Agri-Food Canada | Agriculture et Agroalimentaire Canada</t>
        </is>
      </c>
      <c r="Z2157" t="n">
        <v>1</v>
      </c>
      <c r="AA2157" t="n">
        <v>741.939999999999</v>
      </c>
      <c r="AB2157">
        <f>ROUND(U2157-AA2157,2)</f>
        <v/>
      </c>
      <c r="AC2157" t="b">
        <v>0</v>
      </c>
      <c r="AD2157">
        <f>IF(U2157="","MISSING_TOTAL",IF(ABS(AB2157)&lt;=0.01,"OK","CHECK"))</f>
        <v/>
      </c>
      <c r="AE2157">
        <f>IF(U2157="","MISSING",IF(AND(AA2157&gt;0,U2157/AA2157&gt;50),"POSSIBLE_SCALE_ERROR","OK"))</f>
        <v/>
      </c>
    </row>
    <row r="2158">
      <c r="A2158" t="inlineStr">
        <is>
          <t>T-2024-P9-012</t>
        </is>
      </c>
      <c r="B2158" t="inlineStr">
        <is>
          <t>SLE</t>
        </is>
      </c>
      <c r="C2158" t="inlineStr">
        <is>
          <t>Assistant Deputy Minister, Corporate Management Branch</t>
        </is>
      </c>
      <c r="D2158" t="inlineStr">
        <is>
          <t>Sous-ministre adjointe, Direction générale de la gestion intégrée</t>
        </is>
      </c>
      <c r="E2158" t="inlineStr">
        <is>
          <t>Marie-Claude Guérard</t>
        </is>
      </c>
      <c r="F2158" t="inlineStr">
        <is>
          <t>To attend in-person meetings in Ottawa</t>
        </is>
      </c>
      <c r="G2158" t="inlineStr">
        <is>
          <t>Participer à une rencontre en-personne à Ottawa</t>
        </is>
      </c>
      <c r="H2158" s="1" t="n">
        <v>45271</v>
      </c>
      <c r="I2158" s="1" t="n">
        <v>45274</v>
      </c>
      <c r="J2158" t="inlineStr">
        <is>
          <t>Ottawa (Ontario) Canada</t>
        </is>
      </c>
      <c r="K2158" t="inlineStr">
        <is>
          <t>Ottawa (Ontario) Canada</t>
        </is>
      </c>
      <c r="P2158" t="n">
        <v>0</v>
      </c>
      <c r="Q2158" t="n">
        <v>747.53</v>
      </c>
      <c r="R2158" t="n">
        <v>595.83</v>
      </c>
      <c r="S2158" t="n">
        <v>482.65</v>
      </c>
      <c r="T2158" t="n">
        <v>0</v>
      </c>
      <c r="U2158" t="n">
        <v>1826.01</v>
      </c>
      <c r="X2158" t="inlineStr">
        <is>
          <t>aafc-aac</t>
        </is>
      </c>
      <c r="Y2158" t="inlineStr">
        <is>
          <t>Agriculture and Agri-Food Canada | Agriculture et Agroalimentaire Canada</t>
        </is>
      </c>
      <c r="Z2158" t="n">
        <v>4</v>
      </c>
      <c r="AA2158" t="n">
        <v>1826.01</v>
      </c>
      <c r="AB2158">
        <f>ROUND(U2158-AA2158,2)</f>
        <v/>
      </c>
      <c r="AC2158" t="b">
        <v>0</v>
      </c>
      <c r="AD2158">
        <f>IF(U2158="","MISSING_TOTAL",IF(ABS(AB2158)&lt;=0.01,"OK","CHECK"))</f>
        <v/>
      </c>
      <c r="AE2158">
        <f>IF(U2158="","MISSING",IF(AND(AA2158&gt;0,U2158/AA2158&gt;50),"POSSIBLE_SCALE_ERROR","OK"))</f>
        <v/>
      </c>
    </row>
    <row r="2159">
      <c r="A2159" t="inlineStr">
        <is>
          <t>T-2024-P9-013</t>
        </is>
      </c>
      <c r="B2159" t="inlineStr">
        <is>
          <t>SLE</t>
        </is>
      </c>
      <c r="C2159" t="inlineStr">
        <is>
          <t>Assistant Deputy Minister, Corporate Management Branch</t>
        </is>
      </c>
      <c r="D2159" t="inlineStr">
        <is>
          <t>Sous-ministre adjointe, Direction générale de la gestion intégrée</t>
        </is>
      </c>
      <c r="E2159" t="inlineStr">
        <is>
          <t>Marie-Claude Guérard</t>
        </is>
      </c>
      <c r="F2159" t="inlineStr">
        <is>
          <t>To attend in-person meetings in Ottawa</t>
        </is>
      </c>
      <c r="G2159" t="inlineStr">
        <is>
          <t>Participer à une rencontre en-personne à Ottawa</t>
        </is>
      </c>
      <c r="H2159" s="1" t="n">
        <v>45278</v>
      </c>
      <c r="I2159" s="1" t="n">
        <v>45279</v>
      </c>
      <c r="J2159" t="inlineStr">
        <is>
          <t>Ottawa (Ontario) Canada</t>
        </is>
      </c>
      <c r="K2159" t="inlineStr">
        <is>
          <t>Ottawa (Ontario) Canada</t>
        </is>
      </c>
      <c r="P2159" t="n">
        <v>0</v>
      </c>
      <c r="Q2159" t="n">
        <v>307.7</v>
      </c>
      <c r="R2159" t="n">
        <v>222.11</v>
      </c>
      <c r="S2159" t="n">
        <v>144.05</v>
      </c>
      <c r="T2159" t="n">
        <v>0</v>
      </c>
      <c r="U2159" t="n">
        <v>673.86</v>
      </c>
      <c r="X2159" t="inlineStr">
        <is>
          <t>aafc-aac</t>
        </is>
      </c>
      <c r="Y2159" t="inlineStr">
        <is>
          <t>Agriculture and Agri-Food Canada | Agriculture et Agroalimentaire Canada</t>
        </is>
      </c>
      <c r="Z2159" t="n">
        <v>2</v>
      </c>
      <c r="AA2159" t="n">
        <v>673.859999999999</v>
      </c>
      <c r="AB2159">
        <f>ROUND(U2159-AA2159,2)</f>
        <v/>
      </c>
      <c r="AC2159" t="b">
        <v>0</v>
      </c>
      <c r="AD2159">
        <f>IF(U2159="","MISSING_TOTAL",IF(ABS(AB2159)&lt;=0.01,"OK","CHECK"))</f>
        <v/>
      </c>
      <c r="AE2159">
        <f>IF(U2159="","MISSING",IF(AND(AA2159&gt;0,U2159/AA2159&gt;50),"POSSIBLE_SCALE_ERROR","OK"))</f>
        <v/>
      </c>
    </row>
    <row r="2160">
      <c r="A2160" t="inlineStr">
        <is>
          <t>T-2024-P9-014</t>
        </is>
      </c>
      <c r="B2160" t="inlineStr">
        <is>
          <t>SLE</t>
        </is>
      </c>
      <c r="C2160" t="inlineStr">
        <is>
          <t>Assistant Deputy Minister, Programs Branch</t>
        </is>
      </c>
      <c r="D2160" t="inlineStr">
        <is>
          <t>Sous-ministre adjointe, Direction générale des programmes</t>
        </is>
      </c>
      <c r="E2160" t="inlineStr">
        <is>
          <t>Liz Foster</t>
        </is>
      </c>
      <c r="F2160" t="inlineStr">
        <is>
          <t>Minister/Deputy Minister's meeting</t>
        </is>
      </c>
      <c r="G2160" t="inlineStr">
        <is>
          <t>Rencontre Ministre/Sous-ministre</t>
        </is>
      </c>
      <c r="H2160" s="1" t="n">
        <v>45194</v>
      </c>
      <c r="I2160" s="1" t="n">
        <v>45194</v>
      </c>
      <c r="J2160" t="inlineStr">
        <is>
          <t>Ottawa (Ontario) Canada</t>
        </is>
      </c>
      <c r="K2160" t="inlineStr">
        <is>
          <t>Ottawa (Ontario) Canada</t>
        </is>
      </c>
      <c r="P2160" t="n">
        <v>0</v>
      </c>
      <c r="Q2160" t="n">
        <v>9</v>
      </c>
      <c r="R2160" t="n">
        <v>0</v>
      </c>
      <c r="S2160" t="n">
        <v>0</v>
      </c>
      <c r="T2160" t="n">
        <v>0</v>
      </c>
      <c r="U2160" t="n">
        <v>9</v>
      </c>
      <c r="X2160" t="inlineStr">
        <is>
          <t>aafc-aac</t>
        </is>
      </c>
      <c r="Y2160" t="inlineStr">
        <is>
          <t>Agriculture and Agri-Food Canada | Agriculture et Agroalimentaire Canada</t>
        </is>
      </c>
      <c r="Z2160" t="n">
        <v>1</v>
      </c>
      <c r="AA2160" t="n">
        <v>9</v>
      </c>
      <c r="AB2160">
        <f>ROUND(U2160-AA2160,2)</f>
        <v/>
      </c>
      <c r="AC2160" t="b">
        <v>0</v>
      </c>
      <c r="AD2160">
        <f>IF(U2160="","MISSING_TOTAL",IF(ABS(AB2160)&lt;=0.01,"OK","CHECK"))</f>
        <v/>
      </c>
      <c r="AE2160">
        <f>IF(U2160="","MISSING",IF(AND(AA2160&gt;0,U2160/AA2160&gt;50),"POSSIBLE_SCALE_ERROR","OK"))</f>
        <v/>
      </c>
    </row>
    <row r="2161">
      <c r="A2161" t="inlineStr">
        <is>
          <t>T-2024-P9-015</t>
        </is>
      </c>
      <c r="B2161" t="inlineStr">
        <is>
          <t>SLE</t>
        </is>
      </c>
      <c r="C2161" t="inlineStr">
        <is>
          <t>Assistant Deputy Minister, Programs Branch</t>
        </is>
      </c>
      <c r="D2161" t="inlineStr">
        <is>
          <t>Sous-ministre adjointe, Direction générale des programmes</t>
        </is>
      </c>
      <c r="E2161" t="inlineStr">
        <is>
          <t>Liz Foster</t>
        </is>
      </c>
      <c r="F2161" t="inlineStr">
        <is>
          <t>Senate Committee Appearance</t>
        </is>
      </c>
      <c r="G2161" t="inlineStr">
        <is>
          <t>Comparution devant le comité sénatorial</t>
        </is>
      </c>
      <c r="H2161" s="1" t="n">
        <v>45238</v>
      </c>
      <c r="I2161" s="1" t="n">
        <v>45238</v>
      </c>
      <c r="J2161" t="inlineStr">
        <is>
          <t>Ottawa (Ontario) Canada</t>
        </is>
      </c>
      <c r="K2161" t="inlineStr">
        <is>
          <t>Ottawa (Ontario) Canada</t>
        </is>
      </c>
      <c r="P2161" t="n">
        <v>0</v>
      </c>
      <c r="Q2161" t="n">
        <v>14</v>
      </c>
      <c r="R2161" t="n">
        <v>0</v>
      </c>
      <c r="S2161" t="n">
        <v>0</v>
      </c>
      <c r="T2161" t="n">
        <v>0</v>
      </c>
      <c r="U2161" t="n">
        <v>14</v>
      </c>
      <c r="X2161" t="inlineStr">
        <is>
          <t>aafc-aac</t>
        </is>
      </c>
      <c r="Y2161" t="inlineStr">
        <is>
          <t>Agriculture and Agri-Food Canada | Agriculture et Agroalimentaire Canada</t>
        </is>
      </c>
      <c r="Z2161" t="n">
        <v>1</v>
      </c>
      <c r="AA2161" t="n">
        <v>14</v>
      </c>
      <c r="AB2161">
        <f>ROUND(U2161-AA2161,2)</f>
        <v/>
      </c>
      <c r="AC2161" t="b">
        <v>0</v>
      </c>
      <c r="AD2161">
        <f>IF(U2161="","MISSING_TOTAL",IF(ABS(AB2161)&lt;=0.01,"OK","CHECK"))</f>
        <v/>
      </c>
      <c r="AE2161">
        <f>IF(U2161="","MISSING",IF(AND(AA2161&gt;0,U2161/AA2161&gt;50),"POSSIBLE_SCALE_ERROR","OK"))</f>
        <v/>
      </c>
    </row>
    <row r="2162">
      <c r="A2162" t="inlineStr">
        <is>
          <t>T-2024-P9-016</t>
        </is>
      </c>
      <c r="B2162" t="inlineStr">
        <is>
          <t>SLE</t>
        </is>
      </c>
      <c r="C2162" t="inlineStr">
        <is>
          <t>Assistant Deputy Minister, Market and Industry Services Branch</t>
        </is>
      </c>
      <c r="D2162" t="inlineStr">
        <is>
          <t>Sous-ministre adjoint, Direction générale des services à l'industrie et aux marchés</t>
        </is>
      </c>
      <c r="E2162" t="inlineStr">
        <is>
          <t>Tom Rosser</t>
        </is>
      </c>
      <c r="F2162" t="inlineStr">
        <is>
          <t>To attend meetings downtown Ottawa with stakeholders.</t>
        </is>
      </c>
      <c r="G2162" t="inlineStr">
        <is>
          <t>Participer aux rencontres au centre-ville d'Ottawa avec les parties prenantes.</t>
        </is>
      </c>
      <c r="H2162" s="1" t="n">
        <v>45259</v>
      </c>
      <c r="I2162" s="1" t="n">
        <v>45259</v>
      </c>
      <c r="J2162" t="inlineStr">
        <is>
          <t>Ottawa (Ontario) Canada</t>
        </is>
      </c>
      <c r="K2162" t="inlineStr">
        <is>
          <t>Ottawa (Ontario) Canada</t>
        </is>
      </c>
      <c r="P2162" t="n">
        <v>0</v>
      </c>
      <c r="Q2162" t="n">
        <v>26</v>
      </c>
      <c r="R2162" t="n">
        <v>0</v>
      </c>
      <c r="S2162" t="n">
        <v>0</v>
      </c>
      <c r="T2162" t="n">
        <v>0</v>
      </c>
      <c r="U2162" t="n">
        <v>26</v>
      </c>
      <c r="X2162" t="inlineStr">
        <is>
          <t>aafc-aac</t>
        </is>
      </c>
      <c r="Y2162" t="inlineStr">
        <is>
          <t>Agriculture and Agri-Food Canada | Agriculture et Agroalimentaire Canada</t>
        </is>
      </c>
      <c r="Z2162" t="n">
        <v>1</v>
      </c>
      <c r="AA2162" t="n">
        <v>26</v>
      </c>
      <c r="AB2162">
        <f>ROUND(U2162-AA2162,2)</f>
        <v/>
      </c>
      <c r="AC2162" t="b">
        <v>0</v>
      </c>
      <c r="AD2162">
        <f>IF(U2162="","MISSING_TOTAL",IF(ABS(AB2162)&lt;=0.01,"OK","CHECK"))</f>
        <v/>
      </c>
      <c r="AE2162">
        <f>IF(U2162="","MISSING",IF(AND(AA2162&gt;0,U2162/AA2162&gt;50),"POSSIBLE_SCALE_ERROR","OK"))</f>
        <v/>
      </c>
    </row>
    <row r="2163">
      <c r="A2163" t="inlineStr">
        <is>
          <t>T-2024-P9-017</t>
        </is>
      </c>
      <c r="B2163" t="inlineStr">
        <is>
          <t>SLE</t>
        </is>
      </c>
      <c r="C2163" t="inlineStr">
        <is>
          <t>Assistant Deputy Minister, Market and Industry Services Branch</t>
        </is>
      </c>
      <c r="D2163" t="inlineStr">
        <is>
          <t>Sous-ministre adjoint, Direction générale des services à l'industrie et aux marchés</t>
        </is>
      </c>
      <c r="E2163" t="inlineStr">
        <is>
          <t>Tom Rosser</t>
        </is>
      </c>
      <c r="F2163" t="inlineStr">
        <is>
          <t>To participate in the Crop Logistics Working Group meeting and regional outreach.</t>
        </is>
      </c>
      <c r="G2163" t="inlineStr">
        <is>
          <t>Participer à la réunion du groupe de travail sur la logistique du transport des récoltes et à la sensibilisation régionale.</t>
        </is>
      </c>
      <c r="H2163" s="1" t="n">
        <v>45264</v>
      </c>
      <c r="I2163" s="1" t="n">
        <v>45267</v>
      </c>
      <c r="J2163" t="inlineStr">
        <is>
          <t>Winnipeg (Manitoba) Canada</t>
        </is>
      </c>
      <c r="K2163" t="inlineStr">
        <is>
          <t>Winnipeg (Manitoba) Canada</t>
        </is>
      </c>
      <c r="P2163" t="n">
        <v>1342.9</v>
      </c>
      <c r="Q2163" t="n">
        <v>110</v>
      </c>
      <c r="R2163" t="n">
        <v>412.72</v>
      </c>
      <c r="S2163" t="n">
        <v>372.9</v>
      </c>
      <c r="T2163" t="n">
        <v>0</v>
      </c>
      <c r="U2163" t="n">
        <v>2238.52</v>
      </c>
      <c r="X2163" t="inlineStr">
        <is>
          <t>aafc-aac</t>
        </is>
      </c>
      <c r="Y2163" t="inlineStr">
        <is>
          <t>Agriculture and Agri-Food Canada | Agriculture et Agroalimentaire Canada</t>
        </is>
      </c>
      <c r="Z2163" t="n">
        <v>4</v>
      </c>
      <c r="AA2163" t="n">
        <v>2238.52</v>
      </c>
      <c r="AB2163">
        <f>ROUND(U2163-AA2163,2)</f>
        <v/>
      </c>
      <c r="AC2163" t="b">
        <v>0</v>
      </c>
      <c r="AD2163">
        <f>IF(U2163="","MISSING_TOTAL",IF(ABS(AB2163)&lt;=0.01,"OK","CHECK"))</f>
        <v/>
      </c>
      <c r="AE2163">
        <f>IF(U2163="","MISSING",IF(AND(AA2163&gt;0,U2163/AA2163&gt;50),"POSSIBLE_SCALE_ERROR","OK"))</f>
        <v/>
      </c>
    </row>
    <row r="2164">
      <c r="A2164" t="inlineStr">
        <is>
          <t>T-2024-P9-018</t>
        </is>
      </c>
      <c r="B2164" t="inlineStr">
        <is>
          <t>SLE</t>
        </is>
      </c>
      <c r="C2164" t="inlineStr">
        <is>
          <t>Assistant Deputy Minister, Market and Industry Services Branch</t>
        </is>
      </c>
      <c r="D2164" t="inlineStr">
        <is>
          <t>Sous-ministre adjoint, Direction générale des services à l'industrie et aux marchés</t>
        </is>
      </c>
      <c r="E2164" t="inlineStr">
        <is>
          <t>Tom Rosser</t>
        </is>
      </c>
      <c r="F2164" t="inlineStr">
        <is>
          <t>To participate in the Arrell Food Summit.</t>
        </is>
      </c>
      <c r="G2164" t="inlineStr">
        <is>
          <t>Participer au Sommet de l'alimentation d'Arrell.</t>
        </is>
      </c>
      <c r="H2164" s="1" t="n">
        <v>45243</v>
      </c>
      <c r="I2164" s="1" t="n">
        <v>45244</v>
      </c>
      <c r="J2164" t="inlineStr">
        <is>
          <t>Toronto (Ontario) Canada</t>
        </is>
      </c>
      <c r="K2164" t="inlineStr">
        <is>
          <t>Toronto (Ontario) Canada</t>
        </is>
      </c>
      <c r="P2164" t="n">
        <v>1007.11</v>
      </c>
      <c r="Q2164" t="n">
        <v>99.7</v>
      </c>
      <c r="R2164" t="n">
        <v>214.41</v>
      </c>
      <c r="S2164" t="n">
        <v>180.15</v>
      </c>
      <c r="T2164" t="n">
        <v>0</v>
      </c>
      <c r="U2164" t="n">
        <v>1501.37</v>
      </c>
      <c r="X2164" t="inlineStr">
        <is>
          <t>aafc-aac</t>
        </is>
      </c>
      <c r="Y2164" t="inlineStr">
        <is>
          <t>Agriculture and Agri-Food Canada | Agriculture et Agroalimentaire Canada</t>
        </is>
      </c>
      <c r="Z2164" t="n">
        <v>2</v>
      </c>
      <c r="AA2164" t="n">
        <v>1501.37</v>
      </c>
      <c r="AB2164">
        <f>ROUND(U2164-AA2164,2)</f>
        <v/>
      </c>
      <c r="AC2164" t="b">
        <v>0</v>
      </c>
      <c r="AD2164">
        <f>IF(U2164="","MISSING_TOTAL",IF(ABS(AB2164)&lt;=0.01,"OK","CHECK"))</f>
        <v/>
      </c>
      <c r="AE2164">
        <f>IF(U2164="","MISSING",IF(AND(AA2164&gt;0,U2164/AA2164&gt;50),"POSSIBLE_SCALE_ERROR","OK"))</f>
        <v/>
      </c>
    </row>
    <row r="2165">
      <c r="A2165" t="inlineStr">
        <is>
          <t>T-2024-P9-019</t>
        </is>
      </c>
      <c r="B2165" t="inlineStr">
        <is>
          <t>SLE</t>
        </is>
      </c>
      <c r="C2165" t="inlineStr">
        <is>
          <t>Chief Information Officer, Information Systems Branch</t>
        </is>
      </c>
      <c r="D2165" t="inlineStr">
        <is>
          <t>Dirigeante principale de l'information, Direction générale des systèmes d'information</t>
        </is>
      </c>
      <c r="E2165" t="inlineStr">
        <is>
          <t>Vidya ShankarNarayan</t>
        </is>
      </c>
      <c r="F2165" t="inlineStr">
        <is>
          <t>To attend the Government Transformation Summit</t>
        </is>
      </c>
      <c r="G2165" t="inlineStr">
        <is>
          <t>Participer au Sommet sur la transformation gouvernementale</t>
        </is>
      </c>
      <c r="H2165" s="1" t="n">
        <v>45250</v>
      </c>
      <c r="I2165" s="1" t="n">
        <v>45255</v>
      </c>
      <c r="J2165" t="inlineStr">
        <is>
          <t>London, England</t>
        </is>
      </c>
      <c r="K2165" t="inlineStr">
        <is>
          <t>Londre, Angleterre</t>
        </is>
      </c>
      <c r="P2165" t="n">
        <v>3257.41</v>
      </c>
      <c r="Q2165" t="n">
        <v>602.6</v>
      </c>
      <c r="R2165" t="n">
        <v>1201.08</v>
      </c>
      <c r="S2165" t="n">
        <v>1151.69</v>
      </c>
      <c r="T2165" t="n">
        <v>0</v>
      </c>
      <c r="U2165" t="n">
        <v>6212.78</v>
      </c>
      <c r="X2165" t="inlineStr">
        <is>
          <t>aafc-aac</t>
        </is>
      </c>
      <c r="Y2165" t="inlineStr">
        <is>
          <t>Agriculture and Agri-Food Canada | Agriculture et Agroalimentaire Canada</t>
        </is>
      </c>
      <c r="Z2165" t="n">
        <v>6</v>
      </c>
      <c r="AA2165" t="n">
        <v>6212.78</v>
      </c>
      <c r="AB2165">
        <f>ROUND(U2165-AA2165,2)</f>
        <v/>
      </c>
      <c r="AC2165" t="b">
        <v>0</v>
      </c>
      <c r="AD2165">
        <f>IF(U2165="","MISSING_TOTAL",IF(ABS(AB2165)&lt;=0.01,"OK","CHECK"))</f>
        <v/>
      </c>
      <c r="AE2165">
        <f>IF(U2165="","MISSING",IF(AND(AA2165&gt;0,U2165/AA2165&gt;50),"POSSIBLE_SCALE_ERROR","OK"))</f>
        <v/>
      </c>
    </row>
    <row r="2166">
      <c r="A2166" t="inlineStr">
        <is>
          <t>T-2024-P10-001</t>
        </is>
      </c>
      <c r="B2166" t="inlineStr">
        <is>
          <t>MPSES</t>
        </is>
      </c>
      <c r="C2166" t="inlineStr">
        <is>
          <t>Director of Regional Affairs</t>
        </is>
      </c>
      <c r="D2166" t="inlineStr">
        <is>
          <t>Directrice des affaires régionales</t>
        </is>
      </c>
      <c r="E2166" t="inlineStr">
        <is>
          <t>Alison Porter</t>
        </is>
      </c>
      <c r="F2166" t="inlineStr">
        <is>
          <t>To attend meetings with the Minister, including stakeholder meetings and team meetings</t>
        </is>
      </c>
      <c r="G2166" t="inlineStr">
        <is>
          <t>Participer aux réunions avec le ministre, y compris les réunions avec les parties prenantes et les réunions d'équipe.</t>
        </is>
      </c>
      <c r="H2166" s="1" t="n">
        <v>45271</v>
      </c>
      <c r="I2166" s="1" t="n">
        <v>45272</v>
      </c>
      <c r="J2166" t="inlineStr">
        <is>
          <t>Ottawa (Ontario) Canada</t>
        </is>
      </c>
      <c r="K2166" t="inlineStr">
        <is>
          <t>Ottawa (Ontario) Canada</t>
        </is>
      </c>
      <c r="P2166" t="n">
        <v>0</v>
      </c>
      <c r="Q2166" t="n">
        <v>213.52</v>
      </c>
      <c r="R2166" t="n">
        <v>186.86</v>
      </c>
      <c r="S2166" t="n">
        <v>167.3</v>
      </c>
      <c r="T2166" t="n">
        <v>0</v>
      </c>
      <c r="U2166" t="n">
        <v>567.6799999999999</v>
      </c>
      <c r="X2166" t="inlineStr">
        <is>
          <t>aafc-aac</t>
        </is>
      </c>
      <c r="Y2166" t="inlineStr">
        <is>
          <t>Agriculture and Agri-Food Canada | Agriculture et Agroalimentaire Canada</t>
        </is>
      </c>
      <c r="Z2166" t="n">
        <v>2</v>
      </c>
      <c r="AA2166" t="n">
        <v>567.6799999999999</v>
      </c>
      <c r="AB2166">
        <f>ROUND(U2166-AA2166,2)</f>
        <v/>
      </c>
      <c r="AC2166" t="b">
        <v>0</v>
      </c>
      <c r="AD2166">
        <f>IF(U2166="","MISSING_TOTAL",IF(ABS(AB2166)&lt;=0.01,"OK","CHECK"))</f>
        <v/>
      </c>
      <c r="AE2166">
        <f>IF(U2166="","MISSING",IF(AND(AA2166&gt;0,U2166/AA2166&gt;50),"POSSIBLE_SCALE_ERROR","OK"))</f>
        <v/>
      </c>
    </row>
    <row r="2167">
      <c r="A2167" t="inlineStr">
        <is>
          <t>T-2024-P10-002</t>
        </is>
      </c>
      <c r="B2167" t="inlineStr">
        <is>
          <t>MPSES</t>
        </is>
      </c>
      <c r="C2167" t="inlineStr">
        <is>
          <t>Director of Operations</t>
        </is>
      </c>
      <c r="D2167" t="inlineStr">
        <is>
          <t>Directrice des opérations</t>
        </is>
      </c>
      <c r="E2167" t="inlineStr">
        <is>
          <t>Maria Morley</t>
        </is>
      </c>
      <c r="F2167" t="inlineStr">
        <is>
          <t>To accompany the Minister for an  Outreach tour</t>
        </is>
      </c>
      <c r="G2167" t="inlineStr">
        <is>
          <t>Accompagner le ministre pour une visite de sensibilisation</t>
        </is>
      </c>
      <c r="H2167" s="1" t="n">
        <v>45243</v>
      </c>
      <c r="I2167" s="1" t="n">
        <v>45245</v>
      </c>
      <c r="J2167" t="inlineStr">
        <is>
          <t>Winnipeg (Manitoba) Canada</t>
        </is>
      </c>
      <c r="K2167" t="inlineStr">
        <is>
          <t>Winnipeg (Manitoba) Canada</t>
        </is>
      </c>
      <c r="P2167" t="n">
        <v>1722.84</v>
      </c>
      <c r="Q2167" t="n">
        <v>219.51</v>
      </c>
      <c r="R2167" t="n">
        <v>412.72</v>
      </c>
      <c r="S2167" t="n">
        <v>328.35</v>
      </c>
      <c r="T2167" t="n">
        <v>0</v>
      </c>
      <c r="U2167" t="n">
        <v>2683.42</v>
      </c>
      <c r="X2167" t="inlineStr">
        <is>
          <t>aafc-aac</t>
        </is>
      </c>
      <c r="Y2167" t="inlineStr">
        <is>
          <t>Agriculture and Agri-Food Canada | Agriculture et Agroalimentaire Canada</t>
        </is>
      </c>
      <c r="Z2167" t="n">
        <v>3</v>
      </c>
      <c r="AA2167" t="n">
        <v>2683.41999999999</v>
      </c>
      <c r="AB2167">
        <f>ROUND(U2167-AA2167,2)</f>
        <v/>
      </c>
      <c r="AC2167" t="b">
        <v>0</v>
      </c>
      <c r="AD2167">
        <f>IF(U2167="","MISSING_TOTAL",IF(ABS(AB2167)&lt;=0.01,"OK","CHECK"))</f>
        <v/>
      </c>
      <c r="AE2167">
        <f>IF(U2167="","MISSING",IF(AND(AA2167&gt;0,U2167/AA2167&gt;50),"POSSIBLE_SCALE_ERROR","OK"))</f>
        <v/>
      </c>
    </row>
    <row r="2168">
      <c r="A2168" t="inlineStr">
        <is>
          <t>T-2024-P10-003</t>
        </is>
      </c>
      <c r="B2168" t="inlineStr">
        <is>
          <t>MPSES</t>
        </is>
      </c>
      <c r="C2168" t="inlineStr">
        <is>
          <t>Director of Operations</t>
        </is>
      </c>
      <c r="D2168" t="inlineStr">
        <is>
          <t>Directrice des opérations</t>
        </is>
      </c>
      <c r="E2168" t="inlineStr">
        <is>
          <t>Maria Morley</t>
        </is>
      </c>
      <c r="F2168" t="inlineStr">
        <is>
          <t>To accompany the Minister for a funding announcement and meetings with stakeholders</t>
        </is>
      </c>
      <c r="G2168" t="inlineStr">
        <is>
          <t>Accompagner le ministre lors d'une annonce de financement et aux réunions avec les parties prenantes</t>
        </is>
      </c>
      <c r="H2168" s="1" t="n">
        <v>45249</v>
      </c>
      <c r="I2168" s="1" t="n">
        <v>45250</v>
      </c>
      <c r="J2168" t="inlineStr">
        <is>
          <t>Toronto (Ontario) Canada</t>
        </is>
      </c>
      <c r="K2168" t="inlineStr">
        <is>
          <t>Toronto (Ontario) Canada</t>
        </is>
      </c>
      <c r="P2168" t="n">
        <v>1453.47</v>
      </c>
      <c r="Q2168" t="n">
        <v>172.85</v>
      </c>
      <c r="R2168" t="n">
        <v>238.36</v>
      </c>
      <c r="S2168" t="n">
        <v>109.45</v>
      </c>
      <c r="T2168" t="n">
        <v>0</v>
      </c>
      <c r="U2168" t="n">
        <v>1974.13</v>
      </c>
      <c r="X2168" t="inlineStr">
        <is>
          <t>aafc-aac</t>
        </is>
      </c>
      <c r="Y2168" t="inlineStr">
        <is>
          <t>Agriculture and Agri-Food Canada | Agriculture et Agroalimentaire Canada</t>
        </is>
      </c>
      <c r="Z2168" t="n">
        <v>2</v>
      </c>
      <c r="AA2168" t="n">
        <v>1974.12999999999</v>
      </c>
      <c r="AB2168">
        <f>ROUND(U2168-AA2168,2)</f>
        <v/>
      </c>
      <c r="AC2168" t="b">
        <v>0</v>
      </c>
      <c r="AD2168">
        <f>IF(U2168="","MISSING_TOTAL",IF(ABS(AB2168)&lt;=0.01,"OK","CHECK"))</f>
        <v/>
      </c>
      <c r="AE2168">
        <f>IF(U2168="","MISSING",IF(AND(AA2168&gt;0,U2168/AA2168&gt;50),"POSSIBLE_SCALE_ERROR","OK"))</f>
        <v/>
      </c>
    </row>
    <row r="2169">
      <c r="A2169" t="inlineStr">
        <is>
          <t>T-2024-P10-004</t>
        </is>
      </c>
      <c r="B2169" t="inlineStr">
        <is>
          <t>MPSES</t>
        </is>
      </c>
      <c r="C2169" t="inlineStr">
        <is>
          <t>Parliamentary Secretary</t>
        </is>
      </c>
      <c r="D2169" t="inlineStr">
        <is>
          <t>Secrétaire parlementaire</t>
        </is>
      </c>
      <c r="E2169" t="inlineStr">
        <is>
          <t>Francis Drouin</t>
        </is>
      </c>
      <c r="F2169" t="inlineStr">
        <is>
          <t>To speak on behalf of Minister MacAulay at the Union des Producteurs Agricoles Annual General Meeting and partake in a subsequent Question and Answer period. To meet with 'Les Agricultrices du Quebec' and the Union des Producteurs Agricoles Director General, Charles Felix Ross.</t>
        </is>
      </c>
      <c r="G2169" t="inlineStr">
        <is>
          <t>Intervenir au nom du ministre MacAulay lors de l'assemblée générale annuelle de l'Union des Producteurs Agricoles et participer à la séance de questions-réponses qui s'en est suivie. Rencontrer 'Les Agricultrices du Québec' et le Directeur Général de l'Union des Producteurs Agricoles, Charles Felix Ross.</t>
        </is>
      </c>
      <c r="H2169" s="1" t="n">
        <v>45265</v>
      </c>
      <c r="I2169" s="1" t="n">
        <v>45265</v>
      </c>
      <c r="J2169" t="inlineStr">
        <is>
          <t>Québec (Quebec) Canada</t>
        </is>
      </c>
      <c r="K2169" t="inlineStr">
        <is>
          <t>Québec (Québec) Canada</t>
        </is>
      </c>
      <c r="P2169" t="n">
        <v>1219.11</v>
      </c>
      <c r="Q2169" t="n">
        <v>0</v>
      </c>
      <c r="R2169" t="n">
        <v>0</v>
      </c>
      <c r="S2169" t="n">
        <v>60.45</v>
      </c>
      <c r="T2169" t="n">
        <v>0</v>
      </c>
      <c r="U2169" t="n">
        <v>1279.56</v>
      </c>
      <c r="X2169" t="inlineStr">
        <is>
          <t>aafc-aac</t>
        </is>
      </c>
      <c r="Y2169" t="inlineStr">
        <is>
          <t>Agriculture and Agri-Food Canada | Agriculture et Agroalimentaire Canada</t>
        </is>
      </c>
      <c r="Z2169" t="n">
        <v>1</v>
      </c>
      <c r="AA2169" t="n">
        <v>1279.56</v>
      </c>
      <c r="AB2169">
        <f>ROUND(U2169-AA2169,2)</f>
        <v/>
      </c>
      <c r="AC2169" t="b">
        <v>0</v>
      </c>
      <c r="AD2169">
        <f>IF(U2169="","MISSING_TOTAL",IF(ABS(AB2169)&lt;=0.01,"OK","CHECK"))</f>
        <v/>
      </c>
      <c r="AE2169">
        <f>IF(U2169="","MISSING",IF(AND(AA2169&gt;0,U2169/AA2169&gt;50),"POSSIBLE_SCALE_ERROR","OK"))</f>
        <v/>
      </c>
    </row>
    <row r="2170">
      <c r="A2170" t="inlineStr">
        <is>
          <t>T-2024-P10-005</t>
        </is>
      </c>
      <c r="B2170" t="inlineStr">
        <is>
          <t>MPSES</t>
        </is>
      </c>
      <c r="C2170" t="inlineStr">
        <is>
          <t>Parliamentary Secretary</t>
        </is>
      </c>
      <c r="D2170" t="inlineStr">
        <is>
          <t>Secrétaire parlementaire</t>
        </is>
      </c>
      <c r="E2170" t="inlineStr">
        <is>
          <t>Francis Drouin</t>
        </is>
      </c>
      <c r="F2170" t="inlineStr">
        <is>
          <t>To attend an Ontario Tour</t>
        </is>
      </c>
      <c r="G2170" t="inlineStr">
        <is>
          <t>Participer à une tournée en Ontario</t>
        </is>
      </c>
      <c r="H2170" s="1" t="n">
        <v>45308</v>
      </c>
      <c r="I2170" s="1" t="n">
        <v>45308</v>
      </c>
      <c r="J2170" t="inlineStr">
        <is>
          <t>Toronto (Ontario) Canada</t>
        </is>
      </c>
      <c r="K2170" t="inlineStr">
        <is>
          <t>Toronto (Ontario) Canada</t>
        </is>
      </c>
      <c r="P2170" t="n">
        <v>768.6799999999999</v>
      </c>
      <c r="Q2170" t="n">
        <v>0</v>
      </c>
      <c r="R2170" t="n">
        <v>0</v>
      </c>
      <c r="S2170" t="n">
        <v>109.45</v>
      </c>
      <c r="T2170" t="n">
        <v>0</v>
      </c>
      <c r="U2170" t="n">
        <v>878.13</v>
      </c>
      <c r="X2170" t="inlineStr">
        <is>
          <t>aafc-aac</t>
        </is>
      </c>
      <c r="Y2170" t="inlineStr">
        <is>
          <t>Agriculture and Agri-Food Canada | Agriculture et Agroalimentaire Canada</t>
        </is>
      </c>
      <c r="Z2170" t="n">
        <v>1</v>
      </c>
      <c r="AA2170" t="n">
        <v>878.13</v>
      </c>
      <c r="AB2170">
        <f>ROUND(U2170-AA2170,2)</f>
        <v/>
      </c>
      <c r="AC2170" t="b">
        <v>0</v>
      </c>
      <c r="AD2170">
        <f>IF(U2170="","MISSING_TOTAL",IF(ABS(AB2170)&lt;=0.01,"OK","CHECK"))</f>
        <v/>
      </c>
      <c r="AE2170">
        <f>IF(U2170="","MISSING",IF(AND(AA2170&gt;0,U2170/AA2170&gt;50),"POSSIBLE_SCALE_ERROR","OK"))</f>
        <v/>
      </c>
    </row>
    <row r="2171">
      <c r="A2171" t="inlineStr">
        <is>
          <t>T-2024-P10-006</t>
        </is>
      </c>
      <c r="B2171" t="inlineStr">
        <is>
          <t>MPSES</t>
        </is>
      </c>
      <c r="C2171" t="inlineStr">
        <is>
          <t>Assistant to the Parliamentary Secretary</t>
        </is>
      </c>
      <c r="D2171" t="inlineStr">
        <is>
          <t>Adjoint au secrétaire parlementaire</t>
        </is>
      </c>
      <c r="E2171" t="inlineStr">
        <is>
          <t>Patrick Mangan</t>
        </is>
      </c>
      <c r="F2171" t="inlineStr">
        <is>
          <t>To attend an Ontario Tour</t>
        </is>
      </c>
      <c r="G2171" t="inlineStr">
        <is>
          <t>Participer à une tournée en Ontario</t>
        </is>
      </c>
      <c r="H2171" s="1" t="n">
        <v>45308</v>
      </c>
      <c r="I2171" s="1" t="n">
        <v>45308</v>
      </c>
      <c r="J2171" t="inlineStr">
        <is>
          <t>Toronto (Ontario) Canada</t>
        </is>
      </c>
      <c r="K2171" t="inlineStr">
        <is>
          <t>Toronto (Ontario) Canada</t>
        </is>
      </c>
      <c r="P2171" t="n">
        <v>768.6799999999999</v>
      </c>
      <c r="Q2171" t="n">
        <v>127.56</v>
      </c>
      <c r="R2171" t="n">
        <v>0</v>
      </c>
      <c r="S2171" t="n">
        <v>109.45</v>
      </c>
      <c r="T2171" t="n">
        <v>0</v>
      </c>
      <c r="U2171" t="n">
        <v>1005.69</v>
      </c>
      <c r="X2171" t="inlineStr">
        <is>
          <t>aafc-aac</t>
        </is>
      </c>
      <c r="Y2171" t="inlineStr">
        <is>
          <t>Agriculture and Agri-Food Canada | Agriculture et Agroalimentaire Canada</t>
        </is>
      </c>
      <c r="Z2171" t="n">
        <v>1</v>
      </c>
      <c r="AA2171" t="n">
        <v>1005.69</v>
      </c>
      <c r="AB2171">
        <f>ROUND(U2171-AA2171,2)</f>
        <v/>
      </c>
      <c r="AC2171" t="b">
        <v>0</v>
      </c>
      <c r="AD2171">
        <f>IF(U2171="","MISSING_TOTAL",IF(ABS(AB2171)&lt;=0.01,"OK","CHECK"))</f>
        <v/>
      </c>
      <c r="AE2171">
        <f>IF(U2171="","MISSING",IF(AND(AA2171&gt;0,U2171/AA2171&gt;50),"POSSIBLE_SCALE_ERROR","OK"))</f>
        <v/>
      </c>
    </row>
    <row r="2172">
      <c r="A2172" t="inlineStr">
        <is>
          <t>T-2024-P10-007</t>
        </is>
      </c>
      <c r="B2172" t="inlineStr">
        <is>
          <t>SLE</t>
        </is>
      </c>
      <c r="C2172" t="inlineStr">
        <is>
          <t>Deputy Minister</t>
        </is>
      </c>
      <c r="D2172" t="inlineStr">
        <is>
          <t>Sous-ministre</t>
        </is>
      </c>
      <c r="E2172" t="inlineStr">
        <is>
          <t>Stefanie Beck</t>
        </is>
      </c>
      <c r="F2172" t="inlineStr">
        <is>
          <t>To participate at the stakeholders conference, the final event of the Canada-European Union Dialogue on sustainable agriculture and attend and outreach</t>
        </is>
      </c>
      <c r="G2172" t="inlineStr">
        <is>
          <t>Participer à la conférence des parties prenantes, l'événement final du dialogue Canada-Union européenne sur l'agriculture durable, et participer aux activités de sensibilisation.</t>
        </is>
      </c>
      <c r="H2172" s="1" t="n">
        <v>45261</v>
      </c>
      <c r="I2172" s="1" t="n">
        <v>45270</v>
      </c>
      <c r="J2172" t="inlineStr">
        <is>
          <t>London (England) United KingdomParis, FranceBrussels, Belgium</t>
        </is>
      </c>
      <c r="K2172" t="inlineStr">
        <is>
          <t>Londres (Angleterre) Royaume-UniParis, FranceBruxelles, Belgique</t>
        </is>
      </c>
      <c r="P2172" t="n">
        <v>4110.93</v>
      </c>
      <c r="Q2172" t="n">
        <v>1253.53</v>
      </c>
      <c r="R2172" t="n">
        <v>1322.95</v>
      </c>
      <c r="S2172" t="n">
        <v>1732.3</v>
      </c>
      <c r="T2172" t="n">
        <v>0</v>
      </c>
      <c r="U2172" t="n">
        <v>8419.709999999999</v>
      </c>
      <c r="X2172" t="inlineStr">
        <is>
          <t>aafc-aac</t>
        </is>
      </c>
      <c r="Y2172" t="inlineStr">
        <is>
          <t>Agriculture and Agri-Food Canada | Agriculture et Agroalimentaire Canada</t>
        </is>
      </c>
      <c r="Z2172" t="n">
        <v>10</v>
      </c>
      <c r="AA2172" t="n">
        <v>8419.709999999999</v>
      </c>
      <c r="AB2172">
        <f>ROUND(U2172-AA2172,2)</f>
        <v/>
      </c>
      <c r="AC2172" t="b">
        <v>0</v>
      </c>
      <c r="AD2172">
        <f>IF(U2172="","MISSING_TOTAL",IF(ABS(AB2172)&lt;=0.01,"OK","CHECK"))</f>
        <v/>
      </c>
      <c r="AE2172">
        <f>IF(U2172="","MISSING",IF(AND(AA2172&gt;0,U2172/AA2172&gt;50),"POSSIBLE_SCALE_ERROR","OK"))</f>
        <v/>
      </c>
    </row>
    <row r="2173">
      <c r="A2173" t="inlineStr">
        <is>
          <t>T-2024-P10-008</t>
        </is>
      </c>
      <c r="B2173" t="inlineStr">
        <is>
          <t>SLE</t>
        </is>
      </c>
      <c r="C2173" t="inlineStr">
        <is>
          <t>Deputy Minister</t>
        </is>
      </c>
      <c r="D2173" t="inlineStr">
        <is>
          <t>Sous-ministre</t>
        </is>
      </c>
      <c r="E2173" t="inlineStr">
        <is>
          <t>Stefanie Beck</t>
        </is>
      </c>
      <c r="F2173" t="inlineStr">
        <is>
          <t>To assist the Minister with the objective of the mission to strengthen relationships, highlight the value of Canada-United States bilateral agricultural collaboration, and advance Canada’s agricultural market access to the United States</t>
        </is>
      </c>
      <c r="G2173" t="inlineStr">
        <is>
          <t>Assister le ministre à atteindre l'objectif de la mission, à savoir renforcer les relations, mettre en évidence la valeur de la collaboration agricole bilatérale entre le Canada et les États-Unis et favoriser l'accès du Canada au marché agricole des États-Unis</t>
        </is>
      </c>
      <c r="H2173" s="1" t="n">
        <v>45306</v>
      </c>
      <c r="I2173" s="1" t="n">
        <v>45308</v>
      </c>
      <c r="J2173" t="inlineStr">
        <is>
          <t>Washington (District of Columbia) United States</t>
        </is>
      </c>
      <c r="K2173" t="inlineStr">
        <is>
          <t>Washington (District de Columbia) États-Unis</t>
        </is>
      </c>
      <c r="P2173" t="n">
        <v>838.9400000000001</v>
      </c>
      <c r="Q2173" t="n">
        <v>0</v>
      </c>
      <c r="R2173" t="n">
        <v>602.15</v>
      </c>
      <c r="S2173" t="n">
        <v>358.3</v>
      </c>
      <c r="T2173" t="n">
        <v>0</v>
      </c>
      <c r="U2173" t="n">
        <v>1799.39</v>
      </c>
      <c r="X2173" t="inlineStr">
        <is>
          <t>aafc-aac</t>
        </is>
      </c>
      <c r="Y2173" t="inlineStr">
        <is>
          <t>Agriculture and Agri-Food Canada | Agriculture et Agroalimentaire Canada</t>
        </is>
      </c>
      <c r="Z2173" t="n">
        <v>3</v>
      </c>
      <c r="AA2173" t="n">
        <v>1799.39</v>
      </c>
      <c r="AB2173">
        <f>ROUND(U2173-AA2173,2)</f>
        <v/>
      </c>
      <c r="AC2173" t="b">
        <v>0</v>
      </c>
      <c r="AD2173">
        <f>IF(U2173="","MISSING_TOTAL",IF(ABS(AB2173)&lt;=0.01,"OK","CHECK"))</f>
        <v/>
      </c>
      <c r="AE2173">
        <f>IF(U2173="","MISSING",IF(AND(AA2173&gt;0,U2173/AA2173&gt;50),"POSSIBLE_SCALE_ERROR","OK"))</f>
        <v/>
      </c>
    </row>
    <row r="2174">
      <c r="A2174" t="inlineStr">
        <is>
          <t>T-2024-P10-009</t>
        </is>
      </c>
      <c r="B2174" t="inlineStr">
        <is>
          <t>SLE</t>
        </is>
      </c>
      <c r="C2174" t="inlineStr">
        <is>
          <t>Assistant Deputy Minister, Corporate Management Branch</t>
        </is>
      </c>
      <c r="D2174" t="inlineStr">
        <is>
          <t>Sous-ministre adjointe, Direction générale de la gestion intégrée</t>
        </is>
      </c>
      <c r="E2174" t="inlineStr">
        <is>
          <t>Marie-Claude Guérard</t>
        </is>
      </c>
      <c r="F2174" t="inlineStr">
        <is>
          <t>To attend in-person meetings in Ottawa</t>
        </is>
      </c>
      <c r="G2174" t="inlineStr">
        <is>
          <t>Participer à une rencontre en-personne à Ottawa</t>
        </is>
      </c>
      <c r="H2174" s="1" t="n">
        <v>45303</v>
      </c>
      <c r="I2174" s="1" t="n">
        <v>45303</v>
      </c>
      <c r="J2174" t="inlineStr">
        <is>
          <t>Ottawa (Ontario) Canada</t>
        </is>
      </c>
      <c r="K2174" t="inlineStr">
        <is>
          <t>Ottawa (Ontario) Canada</t>
        </is>
      </c>
      <c r="P2174" t="n">
        <v>0</v>
      </c>
      <c r="Q2174" t="n">
        <v>264.72</v>
      </c>
      <c r="R2174" t="n">
        <v>0</v>
      </c>
      <c r="S2174" t="n">
        <v>24.65</v>
      </c>
      <c r="T2174" t="n">
        <v>0</v>
      </c>
      <c r="U2174" t="n">
        <v>289.37</v>
      </c>
      <c r="X2174" t="inlineStr">
        <is>
          <t>aafc-aac</t>
        </is>
      </c>
      <c r="Y2174" t="inlineStr">
        <is>
          <t>Agriculture and Agri-Food Canada | Agriculture et Agroalimentaire Canada</t>
        </is>
      </c>
      <c r="Z2174" t="n">
        <v>1</v>
      </c>
      <c r="AA2174" t="n">
        <v>289.37</v>
      </c>
      <c r="AB2174">
        <f>ROUND(U2174-AA2174,2)</f>
        <v/>
      </c>
      <c r="AC2174" t="b">
        <v>0</v>
      </c>
      <c r="AD2174">
        <f>IF(U2174="","MISSING_TOTAL",IF(ABS(AB2174)&lt;=0.01,"OK","CHECK"))</f>
        <v/>
      </c>
      <c r="AE2174">
        <f>IF(U2174="","MISSING",IF(AND(AA2174&gt;0,U2174/AA2174&gt;50),"POSSIBLE_SCALE_ERROR","OK"))</f>
        <v/>
      </c>
    </row>
    <row r="2175">
      <c r="A2175" t="inlineStr">
        <is>
          <t>T-2024-P10-010</t>
        </is>
      </c>
      <c r="B2175" t="inlineStr">
        <is>
          <t>SLE</t>
        </is>
      </c>
      <c r="C2175" t="inlineStr">
        <is>
          <t>Assistant Deputy Minister, Corporate Management Branch</t>
        </is>
      </c>
      <c r="D2175" t="inlineStr">
        <is>
          <t>Sous-ministre adjointe, Direction générale de la gestion intégrée</t>
        </is>
      </c>
      <c r="E2175" t="inlineStr">
        <is>
          <t>Marie-Claude Guérard</t>
        </is>
      </c>
      <c r="F2175" t="inlineStr">
        <is>
          <t>To attend in-person meetings in Ottawa</t>
        </is>
      </c>
      <c r="G2175" t="inlineStr">
        <is>
          <t>Participer à une rencontre en-personne à Ottawa</t>
        </is>
      </c>
      <c r="H2175" s="1" t="n">
        <v>45314</v>
      </c>
      <c r="I2175" s="1" t="n">
        <v>45315</v>
      </c>
      <c r="J2175" t="inlineStr">
        <is>
          <t>Ottawa (Ontario) Canada</t>
        </is>
      </c>
      <c r="K2175" t="inlineStr">
        <is>
          <t>Ottawa (Ontario) Canada</t>
        </is>
      </c>
      <c r="P2175" t="n">
        <v>0</v>
      </c>
      <c r="Q2175" t="n">
        <v>396.92</v>
      </c>
      <c r="R2175" t="n">
        <v>200.52</v>
      </c>
      <c r="S2175" t="n">
        <v>168.7</v>
      </c>
      <c r="T2175" t="n">
        <v>0</v>
      </c>
      <c r="U2175" t="n">
        <v>766.14</v>
      </c>
      <c r="X2175" t="inlineStr">
        <is>
          <t>aafc-aac</t>
        </is>
      </c>
      <c r="Y2175" t="inlineStr">
        <is>
          <t>Agriculture and Agri-Food Canada | Agriculture et Agroalimentaire Canada</t>
        </is>
      </c>
      <c r="Z2175" t="n">
        <v>2</v>
      </c>
      <c r="AA2175" t="n">
        <v>766.14</v>
      </c>
      <c r="AB2175">
        <f>ROUND(U2175-AA2175,2)</f>
        <v/>
      </c>
      <c r="AC2175" t="b">
        <v>0</v>
      </c>
      <c r="AD2175">
        <f>IF(U2175="","MISSING_TOTAL",IF(ABS(AB2175)&lt;=0.01,"OK","CHECK"))</f>
        <v/>
      </c>
      <c r="AE2175">
        <f>IF(U2175="","MISSING",IF(AND(AA2175&gt;0,U2175/AA2175&gt;50),"POSSIBLE_SCALE_ERROR","OK"))</f>
        <v/>
      </c>
    </row>
    <row r="2176">
      <c r="A2176" t="inlineStr">
        <is>
          <t>T-2024-P10-011</t>
        </is>
      </c>
      <c r="B2176" t="inlineStr">
        <is>
          <t>SLE</t>
        </is>
      </c>
      <c r="C2176" t="inlineStr">
        <is>
          <t>Assistant Deputy Minister, Market and Industry Services Branch</t>
        </is>
      </c>
      <c r="D2176" t="inlineStr">
        <is>
          <t>Sous-ministre adjoint, Direction générale des services à l'industrie et aux marchés</t>
        </is>
      </c>
      <c r="E2176" t="inlineStr">
        <is>
          <t>Tom Rosser</t>
        </is>
      </c>
      <c r="F2176" t="inlineStr">
        <is>
          <t>To attend meetings in downtown Ottawa with stakeholders.</t>
        </is>
      </c>
      <c r="G2176" t="inlineStr">
        <is>
          <t>Participer aux rencontres au centre-ville d'Ottawa avec les parties prenantes.</t>
        </is>
      </c>
      <c r="H2176" s="1" t="n">
        <v>45278</v>
      </c>
      <c r="I2176" s="1" t="n">
        <v>45278</v>
      </c>
      <c r="J2176" t="inlineStr">
        <is>
          <t>Ottawa (Ontario) Canada</t>
        </is>
      </c>
      <c r="K2176" t="inlineStr">
        <is>
          <t>Ottawa (Ontario) Canada</t>
        </is>
      </c>
      <c r="P2176" t="n">
        <v>0</v>
      </c>
      <c r="Q2176" t="n">
        <v>41.27</v>
      </c>
      <c r="R2176" t="n">
        <v>0</v>
      </c>
      <c r="S2176" t="n">
        <v>0</v>
      </c>
      <c r="T2176" t="n">
        <v>0</v>
      </c>
      <c r="U2176" t="n">
        <v>41.27</v>
      </c>
      <c r="X2176" t="inlineStr">
        <is>
          <t>aafc-aac</t>
        </is>
      </c>
      <c r="Y2176" t="inlineStr">
        <is>
          <t>Agriculture and Agri-Food Canada | Agriculture et Agroalimentaire Canada</t>
        </is>
      </c>
      <c r="Z2176" t="n">
        <v>1</v>
      </c>
      <c r="AA2176" t="n">
        <v>41.27</v>
      </c>
      <c r="AB2176">
        <f>ROUND(U2176-AA2176,2)</f>
        <v/>
      </c>
      <c r="AC2176" t="b">
        <v>0</v>
      </c>
      <c r="AD2176">
        <f>IF(U2176="","MISSING_TOTAL",IF(ABS(AB2176)&lt;=0.01,"OK","CHECK"))</f>
        <v/>
      </c>
      <c r="AE2176">
        <f>IF(U2176="","MISSING",IF(AND(AA2176&gt;0,U2176/AA2176&gt;50),"POSSIBLE_SCALE_ERROR","OK"))</f>
        <v/>
      </c>
    </row>
    <row r="2177">
      <c r="A2177" t="inlineStr">
        <is>
          <t>T-2024-P10-012</t>
        </is>
      </c>
      <c r="B2177" t="inlineStr">
        <is>
          <t>SLE</t>
        </is>
      </c>
      <c r="C2177" t="inlineStr">
        <is>
          <t>Chief Information Officer, Information Systems Branch</t>
        </is>
      </c>
      <c r="D2177" t="inlineStr">
        <is>
          <t>Dirigeante principale de l'information, Direction générale des systèmes d'information</t>
        </is>
      </c>
      <c r="E2177" t="inlineStr">
        <is>
          <t>Vidya ShankarNarayan</t>
        </is>
      </c>
      <c r="F2177" t="inlineStr">
        <is>
          <t>To attend two meetings in Ottawa</t>
        </is>
      </c>
      <c r="G2177" t="inlineStr">
        <is>
          <t>Assister à deux rencontres à Ottawa</t>
        </is>
      </c>
      <c r="H2177" s="1" t="n">
        <v>45202</v>
      </c>
      <c r="I2177" s="1" t="n">
        <v>45202</v>
      </c>
      <c r="J2177" t="inlineStr">
        <is>
          <t>Ottawa (Ontario) Canada</t>
        </is>
      </c>
      <c r="K2177" t="inlineStr">
        <is>
          <t>Ottawa (Ontario) Canada</t>
        </is>
      </c>
      <c r="P2177" t="n">
        <v>0</v>
      </c>
      <c r="Q2177" t="n">
        <v>41</v>
      </c>
      <c r="R2177" t="n">
        <v>0</v>
      </c>
      <c r="S2177" t="n">
        <v>0</v>
      </c>
      <c r="T2177" t="n">
        <v>0</v>
      </c>
      <c r="U2177" t="n">
        <v>41</v>
      </c>
      <c r="X2177" t="inlineStr">
        <is>
          <t>aafc-aac</t>
        </is>
      </c>
      <c r="Y2177" t="inlineStr">
        <is>
          <t>Agriculture and Agri-Food Canada | Agriculture et Agroalimentaire Canada</t>
        </is>
      </c>
      <c r="Z2177" t="n">
        <v>1</v>
      </c>
      <c r="AA2177" t="n">
        <v>41</v>
      </c>
      <c r="AB2177">
        <f>ROUND(U2177-AA2177,2)</f>
        <v/>
      </c>
      <c r="AC2177" t="b">
        <v>0</v>
      </c>
      <c r="AD2177">
        <f>IF(U2177="","MISSING_TOTAL",IF(ABS(AB2177)&lt;=0.01,"OK","CHECK"))</f>
        <v/>
      </c>
      <c r="AE2177">
        <f>IF(U2177="","MISSING",IF(AND(AA2177&gt;0,U2177/AA2177&gt;50),"POSSIBLE_SCALE_ERROR","OK"))</f>
        <v/>
      </c>
    </row>
    <row r="2178">
      <c r="A2178" t="inlineStr">
        <is>
          <t>T-2024-P11-001</t>
        </is>
      </c>
      <c r="B2178" t="inlineStr">
        <is>
          <t>MPSES</t>
        </is>
      </c>
      <c r="C2178" t="inlineStr">
        <is>
          <t>Minister</t>
        </is>
      </c>
      <c r="D2178" t="inlineStr">
        <is>
          <t>Ministre</t>
        </is>
      </c>
      <c r="E2178" t="inlineStr">
        <is>
          <t>Lawrence MacAulay</t>
        </is>
      </c>
      <c r="F2178" t="inlineStr">
        <is>
          <t>Visa photo reimbursement</t>
        </is>
      </c>
      <c r="G2178" t="inlineStr">
        <is>
          <t>Remboursement de la photo du visa</t>
        </is>
      </c>
      <c r="H2178" s="1" t="n">
        <v>45320</v>
      </c>
      <c r="I2178" s="1" t="n">
        <v>45320</v>
      </c>
      <c r="J2178" t="inlineStr">
        <is>
          <t>Ottawa (Ontario) Canada</t>
        </is>
      </c>
      <c r="K2178" t="inlineStr">
        <is>
          <t>Ottawa (Ontario) Canada</t>
        </is>
      </c>
      <c r="P2178" t="n">
        <v>0</v>
      </c>
      <c r="Q2178" t="n">
        <v>0</v>
      </c>
      <c r="R2178" t="n">
        <v>0</v>
      </c>
      <c r="S2178" t="n">
        <v>0</v>
      </c>
      <c r="T2178" t="n">
        <v>22.59</v>
      </c>
      <c r="U2178" t="n">
        <v>22.59</v>
      </c>
      <c r="X2178" t="inlineStr">
        <is>
          <t>aafc-aac</t>
        </is>
      </c>
      <c r="Y2178" t="inlineStr">
        <is>
          <t>Agriculture and Agri-Food Canada | Agriculture et Agroalimentaire Canada</t>
        </is>
      </c>
      <c r="Z2178" t="n">
        <v>1</v>
      </c>
      <c r="AA2178" t="n">
        <v>22.59</v>
      </c>
      <c r="AB2178">
        <f>ROUND(U2178-AA2178,2)</f>
        <v/>
      </c>
      <c r="AC2178" t="b">
        <v>0</v>
      </c>
      <c r="AD2178">
        <f>IF(U2178="","MISSING_TOTAL",IF(ABS(AB2178)&lt;=0.01,"OK","CHECK"))</f>
        <v/>
      </c>
      <c r="AE2178">
        <f>IF(U2178="","MISSING",IF(AND(AA2178&gt;0,U2178/AA2178&gt;50),"POSSIBLE_SCALE_ERROR","OK"))</f>
        <v/>
      </c>
    </row>
    <row r="2179">
      <c r="A2179" t="inlineStr">
        <is>
          <t>T-2024-P11-002</t>
        </is>
      </c>
      <c r="B2179" t="inlineStr">
        <is>
          <t>MPSES</t>
        </is>
      </c>
      <c r="C2179" t="inlineStr">
        <is>
          <t>Minister</t>
        </is>
      </c>
      <c r="D2179" t="inlineStr">
        <is>
          <t>Ministre</t>
        </is>
      </c>
      <c r="E2179" t="inlineStr">
        <is>
          <t>Lawrence MacAulay</t>
        </is>
      </c>
      <c r="F2179" t="inlineStr">
        <is>
          <t>To meet with the objective of the mission to strengthen relationships, highlight the value of Canada-United States bilateral agricultural collaboration, and advance Canada’s agricultural market access to the United States and to attend an Ontario Tour</t>
        </is>
      </c>
      <c r="G2179" t="inlineStr">
        <is>
          <t>Répondre à l'objectif de la mission qui est de renforcer les relations, de souligner la valeur de la collaboration agricole bilatérale entre le Canada et les États-Unis et d'améliorer l'accès du Canada au marché agricole des États-Unis, et pour participer à une tournée en Ontario.</t>
        </is>
      </c>
      <c r="H2179" s="1" t="n">
        <v>45306</v>
      </c>
      <c r="I2179" s="1" t="n">
        <v>45309</v>
      </c>
      <c r="J2179" t="inlineStr">
        <is>
          <t>Washington (District of Columbia) United States
Guelph (Ontario) Canada</t>
        </is>
      </c>
      <c r="K2179" t="inlineStr">
        <is>
          <t>Washington (District de Columbia) États-Unis
Guelph (Ontario) Canada</t>
        </is>
      </c>
      <c r="P2179" t="n">
        <v>1444.95</v>
      </c>
      <c r="Q2179" t="n">
        <v>0</v>
      </c>
      <c r="R2179" t="n">
        <v>839.74</v>
      </c>
      <c r="S2179" t="n">
        <v>353</v>
      </c>
      <c r="T2179" t="n">
        <v>0</v>
      </c>
      <c r="U2179" t="n">
        <v>2637.69</v>
      </c>
      <c r="X2179" t="inlineStr">
        <is>
          <t>aafc-aac</t>
        </is>
      </c>
      <c r="Y2179" t="inlineStr">
        <is>
          <t>Agriculture and Agri-Food Canada | Agriculture et Agroalimentaire Canada</t>
        </is>
      </c>
      <c r="Z2179" t="n">
        <v>4</v>
      </c>
      <c r="AA2179" t="n">
        <v>2637.69</v>
      </c>
      <c r="AB2179">
        <f>ROUND(U2179-AA2179,2)</f>
        <v/>
      </c>
      <c r="AC2179" t="b">
        <v>0</v>
      </c>
      <c r="AD2179">
        <f>IF(U2179="","MISSING_TOTAL",IF(ABS(AB2179)&lt;=0.01,"OK","CHECK"))</f>
        <v/>
      </c>
      <c r="AE2179">
        <f>IF(U2179="","MISSING",IF(AND(AA2179&gt;0,U2179/AA2179&gt;50),"POSSIBLE_SCALE_ERROR","OK"))</f>
        <v/>
      </c>
    </row>
    <row r="2180">
      <c r="A2180" t="inlineStr">
        <is>
          <t>T-2024-P11-003</t>
        </is>
      </c>
      <c r="B2180" t="inlineStr">
        <is>
          <t>MPSES</t>
        </is>
      </c>
      <c r="C2180" t="inlineStr">
        <is>
          <t>Minister</t>
        </is>
      </c>
      <c r="D2180" t="inlineStr">
        <is>
          <t>Ministre</t>
        </is>
      </c>
      <c r="E2180" t="inlineStr">
        <is>
          <t>Lawrence MacAulay</t>
        </is>
      </c>
      <c r="F2180" t="inlineStr">
        <is>
          <t>To attend a Cabinet Retreat</t>
        </is>
      </c>
      <c r="G2180" t="inlineStr">
        <is>
          <t>Participer à une retraite du cabinet</t>
        </is>
      </c>
      <c r="H2180" s="1" t="n">
        <v>45312</v>
      </c>
      <c r="I2180" s="1" t="n">
        <v>45314</v>
      </c>
      <c r="J2180" t="inlineStr">
        <is>
          <t>Montréal (Quebec) Canada</t>
        </is>
      </c>
      <c r="K2180" t="inlineStr">
        <is>
          <t>Montréal (Québec) Canada</t>
        </is>
      </c>
      <c r="P2180" t="n">
        <v>566.03</v>
      </c>
      <c r="Q2180" t="n">
        <v>0</v>
      </c>
      <c r="R2180" t="n">
        <v>592.64</v>
      </c>
      <c r="S2180" t="n">
        <v>109.45</v>
      </c>
      <c r="T2180" t="n">
        <v>0</v>
      </c>
      <c r="U2180" t="n">
        <v>1268.12</v>
      </c>
      <c r="X2180" t="inlineStr">
        <is>
          <t>aafc-aac</t>
        </is>
      </c>
      <c r="Y2180" t="inlineStr">
        <is>
          <t>Agriculture and Agri-Food Canada | Agriculture et Agroalimentaire Canada</t>
        </is>
      </c>
      <c r="Z2180" t="n">
        <v>3</v>
      </c>
      <c r="AA2180" t="n">
        <v>1268.12</v>
      </c>
      <c r="AB2180">
        <f>ROUND(U2180-AA2180,2)</f>
        <v/>
      </c>
      <c r="AC2180" t="b">
        <v>0</v>
      </c>
      <c r="AD2180">
        <f>IF(U2180="","MISSING_TOTAL",IF(ABS(AB2180)&lt;=0.01,"OK","CHECK"))</f>
        <v/>
      </c>
      <c r="AE2180">
        <f>IF(U2180="","MISSING",IF(AND(AA2180&gt;0,U2180/AA2180&gt;50),"POSSIBLE_SCALE_ERROR","OK"))</f>
        <v/>
      </c>
    </row>
    <row r="2181">
      <c r="A2181" t="inlineStr">
        <is>
          <t>T-2024-P11-004</t>
        </is>
      </c>
      <c r="B2181" t="inlineStr">
        <is>
          <t>MPSES</t>
        </is>
      </c>
      <c r="C2181" t="inlineStr">
        <is>
          <t>Director of Regional Affairs</t>
        </is>
      </c>
      <c r="D2181" t="inlineStr">
        <is>
          <t>Directrice des affaires régionales</t>
        </is>
      </c>
      <c r="E2181" t="inlineStr">
        <is>
          <t>Alison Porter</t>
        </is>
      </c>
      <c r="F2181" t="inlineStr">
        <is>
          <t>Delivery of Green Passport</t>
        </is>
      </c>
      <c r="G2181" t="inlineStr">
        <is>
          <t>Remise du passeport vert</t>
        </is>
      </c>
      <c r="H2181" s="1" t="n">
        <v>45307</v>
      </c>
      <c r="I2181" s="1" t="n">
        <v>45307</v>
      </c>
      <c r="J2181" t="inlineStr">
        <is>
          <t>Ottawa (Ontario) Canada</t>
        </is>
      </c>
      <c r="K2181" t="inlineStr">
        <is>
          <t>Ottawa (Ontario) Canada</t>
        </is>
      </c>
      <c r="P2181" t="n">
        <v>0</v>
      </c>
      <c r="Q2181" t="n">
        <v>0</v>
      </c>
      <c r="R2181" t="n">
        <v>0</v>
      </c>
      <c r="S2181" t="n">
        <v>0</v>
      </c>
      <c r="T2181" t="n">
        <v>36.68</v>
      </c>
      <c r="U2181" t="n">
        <v>36.68</v>
      </c>
      <c r="X2181" t="inlineStr">
        <is>
          <t>aafc-aac</t>
        </is>
      </c>
      <c r="Y2181" t="inlineStr">
        <is>
          <t>Agriculture and Agri-Food Canada | Agriculture et Agroalimentaire Canada</t>
        </is>
      </c>
      <c r="Z2181" t="n">
        <v>1</v>
      </c>
      <c r="AA2181" t="n">
        <v>36.68</v>
      </c>
      <c r="AB2181">
        <f>ROUND(U2181-AA2181,2)</f>
        <v/>
      </c>
      <c r="AC2181" t="b">
        <v>0</v>
      </c>
      <c r="AD2181">
        <f>IF(U2181="","MISSING_TOTAL",IF(ABS(AB2181)&lt;=0.01,"OK","CHECK"))</f>
        <v/>
      </c>
      <c r="AE2181">
        <f>IF(U2181="","MISSING",IF(AND(AA2181&gt;0,U2181/AA2181&gt;50),"POSSIBLE_SCALE_ERROR","OK"))</f>
        <v/>
      </c>
    </row>
    <row r="2182">
      <c r="A2182" t="inlineStr">
        <is>
          <t>T-2024-P11-005</t>
        </is>
      </c>
      <c r="B2182" t="inlineStr">
        <is>
          <t>MPSES</t>
        </is>
      </c>
      <c r="C2182" t="inlineStr">
        <is>
          <t>Director of Regional Affairs</t>
        </is>
      </c>
      <c r="D2182" t="inlineStr">
        <is>
          <t>Directrice des affaires régionales</t>
        </is>
      </c>
      <c r="E2182" t="inlineStr">
        <is>
          <t>Alison Porter</t>
        </is>
      </c>
      <c r="F2182" t="inlineStr">
        <is>
          <t>To attend meetings with the Minister, including team meetings</t>
        </is>
      </c>
      <c r="G2182" t="inlineStr">
        <is>
          <t>Participer aux réunions avec le ministre, y compris les réunions d'équipe</t>
        </is>
      </c>
      <c r="H2182" s="1" t="n">
        <v>45323</v>
      </c>
      <c r="I2182" s="1" t="n">
        <v>45324</v>
      </c>
      <c r="J2182" t="inlineStr">
        <is>
          <t>Ottawa (Ontario) Canada</t>
        </is>
      </c>
      <c r="K2182" t="inlineStr">
        <is>
          <t>Ottawa (Ontario) Canada</t>
        </is>
      </c>
      <c r="P2182" t="n">
        <v>0</v>
      </c>
      <c r="Q2182" t="n">
        <v>255.94</v>
      </c>
      <c r="R2182" t="n">
        <v>259.84</v>
      </c>
      <c r="S2182" t="n">
        <v>0</v>
      </c>
      <c r="T2182" t="n">
        <v>0</v>
      </c>
      <c r="U2182" t="n">
        <v>515.78</v>
      </c>
      <c r="X2182" t="inlineStr">
        <is>
          <t>aafc-aac</t>
        </is>
      </c>
      <c r="Y2182" t="inlineStr">
        <is>
          <t>Agriculture and Agri-Food Canada | Agriculture et Agroalimentaire Canada</t>
        </is>
      </c>
      <c r="Z2182" t="n">
        <v>2</v>
      </c>
      <c r="AA2182" t="n">
        <v>515.78</v>
      </c>
      <c r="AB2182">
        <f>ROUND(U2182-AA2182,2)</f>
        <v/>
      </c>
      <c r="AC2182" t="b">
        <v>0</v>
      </c>
      <c r="AD2182">
        <f>IF(U2182="","MISSING_TOTAL",IF(ABS(AB2182)&lt;=0.01,"OK","CHECK"))</f>
        <v/>
      </c>
      <c r="AE2182">
        <f>IF(U2182="","MISSING",IF(AND(AA2182&gt;0,U2182/AA2182&gt;50),"POSSIBLE_SCALE_ERROR","OK"))</f>
        <v/>
      </c>
    </row>
    <row r="2183">
      <c r="A2183" t="inlineStr">
        <is>
          <t>T-2024-P11-006</t>
        </is>
      </c>
      <c r="B2183" t="inlineStr">
        <is>
          <t>MPSES</t>
        </is>
      </c>
      <c r="C2183" t="inlineStr">
        <is>
          <t>Chief of Staff</t>
        </is>
      </c>
      <c r="D2183" t="inlineStr">
        <is>
          <t>Chef de cabinet</t>
        </is>
      </c>
      <c r="E2183" t="inlineStr">
        <is>
          <t>Matthew Mann</t>
        </is>
      </c>
      <c r="F2183" t="inlineStr">
        <is>
          <t>To assist the Minister with the objective of the mission to strengthen relationships, highlight the value of Canada-United States bilateral agricultural collaboration, and advance Canada’s agricultural market access to the United States and to attend an Ontario Tour</t>
        </is>
      </c>
      <c r="G2183" t="inlineStr">
        <is>
          <t>Assister le ministre à atteindre l'objectif de la mission, qui est de renforcer les relations, de souligner la valeur de la collaboration agricole bilatérale entre le Canada et les États-Unis et de favoriser l'accès du Canada au marché agricole des États-Unis, et pour participer à une tournée en Ontario.</t>
        </is>
      </c>
      <c r="H2183" s="1" t="n">
        <v>45306</v>
      </c>
      <c r="I2183" s="1" t="n">
        <v>45309</v>
      </c>
      <c r="J2183" t="inlineStr">
        <is>
          <t>Washington (District of Columbia) United States
Guelph (Ontario) Canada</t>
        </is>
      </c>
      <c r="K2183" t="inlineStr">
        <is>
          <t>Washington (District de Columbia) États-Unis
Guelph (Ontario) Canada</t>
        </is>
      </c>
      <c r="P2183" t="n">
        <v>1353.42</v>
      </c>
      <c r="Q2183" t="n">
        <v>0</v>
      </c>
      <c r="R2183" t="n">
        <v>843.48</v>
      </c>
      <c r="S2183" t="n">
        <v>353</v>
      </c>
      <c r="T2183" t="n">
        <v>0</v>
      </c>
      <c r="U2183" t="n">
        <v>2549.9</v>
      </c>
      <c r="X2183" t="inlineStr">
        <is>
          <t>aafc-aac</t>
        </is>
      </c>
      <c r="Y2183" t="inlineStr">
        <is>
          <t>Agriculture and Agri-Food Canada | Agriculture et Agroalimentaire Canada</t>
        </is>
      </c>
      <c r="Z2183" t="n">
        <v>4</v>
      </c>
      <c r="AA2183" t="n">
        <v>2549.9</v>
      </c>
      <c r="AB2183">
        <f>ROUND(U2183-AA2183,2)</f>
        <v/>
      </c>
      <c r="AC2183" t="b">
        <v>0</v>
      </c>
      <c r="AD2183">
        <f>IF(U2183="","MISSING_TOTAL",IF(ABS(AB2183)&lt;=0.01,"OK","CHECK"))</f>
        <v/>
      </c>
      <c r="AE2183">
        <f>IF(U2183="","MISSING",IF(AND(AA2183&gt;0,U2183/AA2183&gt;50),"POSSIBLE_SCALE_ERROR","OK"))</f>
        <v/>
      </c>
    </row>
    <row r="2184">
      <c r="A2184" t="inlineStr">
        <is>
          <t>T-2024-P11-007</t>
        </is>
      </c>
      <c r="B2184" t="inlineStr">
        <is>
          <t>MPSES</t>
        </is>
      </c>
      <c r="C2184" t="inlineStr">
        <is>
          <t>Chief of Staff</t>
        </is>
      </c>
      <c r="D2184" t="inlineStr">
        <is>
          <t>Chef de cabinet</t>
        </is>
      </c>
      <c r="E2184" t="inlineStr">
        <is>
          <t>Matthew Mann</t>
        </is>
      </c>
      <c r="F2184" t="inlineStr">
        <is>
          <t>To support the Minister at a Cabinet Retreat</t>
        </is>
      </c>
      <c r="G2184" t="inlineStr">
        <is>
          <t>Soutenir le ministre lors d'une retraite du cabinet</t>
        </is>
      </c>
      <c r="H2184" s="1" t="n">
        <v>45311</v>
      </c>
      <c r="I2184" s="1" t="n">
        <v>45315</v>
      </c>
      <c r="J2184" t="inlineStr">
        <is>
          <t>Montréal (Quebec) Canada</t>
        </is>
      </c>
      <c r="K2184" t="inlineStr">
        <is>
          <t>Montréal (Québec) Canada</t>
        </is>
      </c>
      <c r="P2184" t="n">
        <v>0</v>
      </c>
      <c r="Q2184" t="n">
        <v>318</v>
      </c>
      <c r="R2184" t="n">
        <v>888.96</v>
      </c>
      <c r="S2184" t="n">
        <v>169.9</v>
      </c>
      <c r="T2184" t="n">
        <v>0</v>
      </c>
      <c r="U2184" t="n">
        <v>1376.86</v>
      </c>
      <c r="X2184" t="inlineStr">
        <is>
          <t>aafc-aac</t>
        </is>
      </c>
      <c r="Y2184" t="inlineStr">
        <is>
          <t>Agriculture and Agri-Food Canada | Agriculture et Agroalimentaire Canada</t>
        </is>
      </c>
      <c r="Z2184" t="n">
        <v>5</v>
      </c>
      <c r="AA2184" t="n">
        <v>1376.86</v>
      </c>
      <c r="AB2184">
        <f>ROUND(U2184-AA2184,2)</f>
        <v/>
      </c>
      <c r="AC2184" t="b">
        <v>0</v>
      </c>
      <c r="AD2184">
        <f>IF(U2184="","MISSING_TOTAL",IF(ABS(AB2184)&lt;=0.01,"OK","CHECK"))</f>
        <v/>
      </c>
      <c r="AE2184">
        <f>IF(U2184="","MISSING",IF(AND(AA2184&gt;0,U2184/AA2184&gt;50),"POSSIBLE_SCALE_ERROR","OK"))</f>
        <v/>
      </c>
    </row>
    <row r="2185">
      <c r="A2185" t="inlineStr">
        <is>
          <t>T-2024-P11-008</t>
        </is>
      </c>
      <c r="B2185" t="inlineStr">
        <is>
          <t>MPSES</t>
        </is>
      </c>
      <c r="C2185" t="inlineStr">
        <is>
          <t>Chief of Staff</t>
        </is>
      </c>
      <c r="D2185" t="inlineStr">
        <is>
          <t>Chef de cabinet</t>
        </is>
      </c>
      <c r="E2185" t="inlineStr">
        <is>
          <t>Matthew Mann</t>
        </is>
      </c>
      <c r="F2185" t="inlineStr">
        <is>
          <t>Visa photo reimbursement</t>
        </is>
      </c>
      <c r="G2185" t="inlineStr">
        <is>
          <t>Remboursement de la photo du visa</t>
        </is>
      </c>
      <c r="H2185" s="1" t="n">
        <v>45317</v>
      </c>
      <c r="I2185" s="1" t="n">
        <v>45317</v>
      </c>
      <c r="J2185" t="inlineStr">
        <is>
          <t>Ottawa (Ontario) Canada</t>
        </is>
      </c>
      <c r="K2185" t="inlineStr">
        <is>
          <t>Ottawa (Ontario) Canada</t>
        </is>
      </c>
      <c r="P2185" t="n">
        <v>0</v>
      </c>
      <c r="Q2185" t="n">
        <v>0</v>
      </c>
      <c r="R2185" t="n">
        <v>0</v>
      </c>
      <c r="S2185" t="n">
        <v>0</v>
      </c>
      <c r="T2185" t="n">
        <v>40.68</v>
      </c>
      <c r="U2185" t="n">
        <v>40.68</v>
      </c>
      <c r="X2185" t="inlineStr">
        <is>
          <t>aafc-aac</t>
        </is>
      </c>
      <c r="Y2185" t="inlineStr">
        <is>
          <t>Agriculture and Agri-Food Canada | Agriculture et Agroalimentaire Canada</t>
        </is>
      </c>
      <c r="Z2185" t="n">
        <v>1</v>
      </c>
      <c r="AA2185" t="n">
        <v>40.68</v>
      </c>
      <c r="AB2185">
        <f>ROUND(U2185-AA2185,2)</f>
        <v/>
      </c>
      <c r="AC2185" t="b">
        <v>0</v>
      </c>
      <c r="AD2185">
        <f>IF(U2185="","MISSING_TOTAL",IF(ABS(AB2185)&lt;=0.01,"OK","CHECK"))</f>
        <v/>
      </c>
      <c r="AE2185">
        <f>IF(U2185="","MISSING",IF(AND(AA2185&gt;0,U2185/AA2185&gt;50),"POSSIBLE_SCALE_ERROR","OK"))</f>
        <v/>
      </c>
    </row>
    <row r="2186">
      <c r="A2186" t="inlineStr">
        <is>
          <t>T-2024-P11-009</t>
        </is>
      </c>
      <c r="B2186" t="inlineStr">
        <is>
          <t>MPSES</t>
        </is>
      </c>
      <c r="C2186" t="inlineStr">
        <is>
          <t>Director of Operations</t>
        </is>
      </c>
      <c r="D2186" t="inlineStr">
        <is>
          <t>Directrice des opérations</t>
        </is>
      </c>
      <c r="E2186" t="inlineStr">
        <is>
          <t>Maria Morley</t>
        </is>
      </c>
      <c r="F2186" t="inlineStr">
        <is>
          <t>To assist the Minister with the objective of the mission to strengthen relationships, highlight the value of Canada-United States bilateral agricultural collaboration, and advance Canada’s agricultural market access to the United States and to attend an Ontario Tour</t>
        </is>
      </c>
      <c r="G2186" t="inlineStr">
        <is>
          <t>Assister le ministre à atteindre l'objectif de la mission, qui est de renforcer les relations, de souligner la valeur de la collaboration agricole bilatérale entre le Canada et les États-Unis et de favoriser l'accès du Canada au marché agricole des États-Unis, et pour participer à une tournée en Ontario.</t>
        </is>
      </c>
      <c r="H2186" s="1" t="n">
        <v>45306</v>
      </c>
      <c r="I2186" s="1" t="n">
        <v>45309</v>
      </c>
      <c r="J2186" t="inlineStr">
        <is>
          <t>Washington (District of Columbia) United States
Guelph (Ontario) Canada</t>
        </is>
      </c>
      <c r="K2186" t="inlineStr">
        <is>
          <t>Washington (District de Columbia) États-Unis
Guelph (Ontario) Canada</t>
        </is>
      </c>
      <c r="P2186" t="n">
        <v>1439.75</v>
      </c>
      <c r="Q2186" t="n">
        <v>265.62</v>
      </c>
      <c r="R2186" t="n">
        <v>839.74</v>
      </c>
      <c r="S2186" t="n">
        <v>352.7</v>
      </c>
      <c r="T2186" t="n">
        <v>0</v>
      </c>
      <c r="U2186" t="n">
        <v>2897.81</v>
      </c>
      <c r="X2186" t="inlineStr">
        <is>
          <t>aafc-aac</t>
        </is>
      </c>
      <c r="Y2186" t="inlineStr">
        <is>
          <t>Agriculture and Agri-Food Canada | Agriculture et Agroalimentaire Canada</t>
        </is>
      </c>
      <c r="Z2186" t="n">
        <v>4</v>
      </c>
      <c r="AA2186" t="n">
        <v>2897.80999999999</v>
      </c>
      <c r="AB2186">
        <f>ROUND(U2186-AA2186,2)</f>
        <v/>
      </c>
      <c r="AC2186" t="b">
        <v>0</v>
      </c>
      <c r="AD2186">
        <f>IF(U2186="","MISSING_TOTAL",IF(ABS(AB2186)&lt;=0.01,"OK","CHECK"))</f>
        <v/>
      </c>
      <c r="AE2186">
        <f>IF(U2186="","MISSING",IF(AND(AA2186&gt;0,U2186/AA2186&gt;50),"POSSIBLE_SCALE_ERROR","OK"))</f>
        <v/>
      </c>
    </row>
    <row r="2187">
      <c r="A2187" t="inlineStr">
        <is>
          <t>T-2024-P11-010</t>
        </is>
      </c>
      <c r="B2187" t="inlineStr">
        <is>
          <t>MPSES</t>
        </is>
      </c>
      <c r="C2187" t="inlineStr">
        <is>
          <t>Director of Operations</t>
        </is>
      </c>
      <c r="D2187" t="inlineStr">
        <is>
          <t>Directrice des opérations</t>
        </is>
      </c>
      <c r="E2187" t="inlineStr">
        <is>
          <t>Maria Morley</t>
        </is>
      </c>
      <c r="F2187" t="inlineStr">
        <is>
          <t>Visa photo reimbursement</t>
        </is>
      </c>
      <c r="G2187" t="inlineStr">
        <is>
          <t>Remboursement de la photo du visa</t>
        </is>
      </c>
      <c r="H2187" s="1" t="n">
        <v>45327</v>
      </c>
      <c r="I2187" s="1" t="n">
        <v>45327</v>
      </c>
      <c r="J2187" t="inlineStr">
        <is>
          <t>Ottawa (Ontario) Canada</t>
        </is>
      </c>
      <c r="K2187" t="inlineStr">
        <is>
          <t>Ottawa (Ontario) Canada</t>
        </is>
      </c>
      <c r="P2187" t="n">
        <v>0</v>
      </c>
      <c r="Q2187" t="n">
        <v>0</v>
      </c>
      <c r="R2187" t="n">
        <v>0</v>
      </c>
      <c r="S2187" t="n">
        <v>0</v>
      </c>
      <c r="T2187" t="n">
        <v>28.24</v>
      </c>
      <c r="U2187" t="n">
        <v>28.24</v>
      </c>
      <c r="X2187" t="inlineStr">
        <is>
          <t>aafc-aac</t>
        </is>
      </c>
      <c r="Y2187" t="inlineStr">
        <is>
          <t>Agriculture and Agri-Food Canada | Agriculture et Agroalimentaire Canada</t>
        </is>
      </c>
      <c r="Z2187" t="n">
        <v>1</v>
      </c>
      <c r="AA2187" t="n">
        <v>28.24</v>
      </c>
      <c r="AB2187">
        <f>ROUND(U2187-AA2187,2)</f>
        <v/>
      </c>
      <c r="AC2187" t="b">
        <v>0</v>
      </c>
      <c r="AD2187">
        <f>IF(U2187="","MISSING_TOTAL",IF(ABS(AB2187)&lt;=0.01,"OK","CHECK"))</f>
        <v/>
      </c>
      <c r="AE2187">
        <f>IF(U2187="","MISSING",IF(AND(AA2187&gt;0,U2187/AA2187&gt;50),"POSSIBLE_SCALE_ERROR","OK"))</f>
        <v/>
      </c>
    </row>
    <row r="2188">
      <c r="A2188" t="inlineStr">
        <is>
          <t>T-2024-P11-011</t>
        </is>
      </c>
      <c r="B2188" t="inlineStr">
        <is>
          <t>SLE</t>
        </is>
      </c>
      <c r="C2188" t="inlineStr">
        <is>
          <t>Assistant Deputy Minister, International Affairs Branch</t>
        </is>
      </c>
      <c r="D2188" t="inlineStr">
        <is>
          <t>Sous-ministre adjointe, Direction générale des affaires internationales</t>
        </is>
      </c>
      <c r="E2188" t="inlineStr">
        <is>
          <t>Kathleen Donohue</t>
        </is>
      </c>
      <c r="F2188" t="inlineStr">
        <is>
          <t>To participate in key stakeholder meetings</t>
        </is>
      </c>
      <c r="G2188" t="inlineStr">
        <is>
          <t>Participer aux réunions des principales parties prenantes</t>
        </is>
      </c>
      <c r="H2188" s="1" t="n">
        <v>45306</v>
      </c>
      <c r="I2188" s="1" t="n">
        <v>45308</v>
      </c>
      <c r="J2188" t="inlineStr">
        <is>
          <t>Washington (District of Columbia) United States</t>
        </is>
      </c>
      <c r="K2188" t="inlineStr">
        <is>
          <t>Washington (District de Columbia) États-Unis</t>
        </is>
      </c>
      <c r="P2188" t="n">
        <v>952.97</v>
      </c>
      <c r="Q2188" t="n">
        <v>86.16</v>
      </c>
      <c r="R2188" t="n">
        <v>605.77</v>
      </c>
      <c r="S2188" t="n">
        <v>309.78</v>
      </c>
      <c r="T2188" t="n">
        <v>0</v>
      </c>
      <c r="U2188" t="n">
        <v>1954.68</v>
      </c>
      <c r="X2188" t="inlineStr">
        <is>
          <t>aafc-aac</t>
        </is>
      </c>
      <c r="Y2188" t="inlineStr">
        <is>
          <t>Agriculture and Agri-Food Canada | Agriculture et Agroalimentaire Canada</t>
        </is>
      </c>
      <c r="Z2188" t="n">
        <v>3</v>
      </c>
      <c r="AA2188" t="n">
        <v>1954.68</v>
      </c>
      <c r="AB2188">
        <f>ROUND(U2188-AA2188,2)</f>
        <v/>
      </c>
      <c r="AC2188" t="b">
        <v>0</v>
      </c>
      <c r="AD2188">
        <f>IF(U2188="","MISSING_TOTAL",IF(ABS(AB2188)&lt;=0.01,"OK","CHECK"))</f>
        <v/>
      </c>
      <c r="AE2188">
        <f>IF(U2188="","MISSING",IF(AND(AA2188&gt;0,U2188/AA2188&gt;50),"POSSIBLE_SCALE_ERROR","OK"))</f>
        <v/>
      </c>
    </row>
    <row r="2189">
      <c r="A2189" t="inlineStr">
        <is>
          <t>T-2024-P11-012</t>
        </is>
      </c>
      <c r="B2189" t="inlineStr">
        <is>
          <t>SLE</t>
        </is>
      </c>
      <c r="C2189" t="inlineStr">
        <is>
          <t>Assistant Deputy Minister, Corporate Management Branch</t>
        </is>
      </c>
      <c r="D2189" t="inlineStr">
        <is>
          <t>Sous-ministre adjointe, Direction générale de la gestion intégrée</t>
        </is>
      </c>
      <c r="E2189" t="inlineStr">
        <is>
          <t>Marie-Claude Guérard</t>
        </is>
      </c>
      <c r="F2189" t="inlineStr">
        <is>
          <t>To attend in-person meetings in Ottawa</t>
        </is>
      </c>
      <c r="G2189" t="inlineStr">
        <is>
          <t>Participer à des rencontres en personne à Ottawa</t>
        </is>
      </c>
      <c r="H2189" s="1" t="n">
        <v>45327</v>
      </c>
      <c r="I2189" s="1" t="n">
        <v>45327</v>
      </c>
      <c r="J2189" t="inlineStr">
        <is>
          <t>Ottawa (Ontario) Canada</t>
        </is>
      </c>
      <c r="K2189" t="inlineStr">
        <is>
          <t>Ottawa (Ontario) Canada</t>
        </is>
      </c>
      <c r="P2189" t="n">
        <v>0</v>
      </c>
      <c r="Q2189" t="n">
        <v>299.37</v>
      </c>
      <c r="R2189" t="n">
        <v>0</v>
      </c>
      <c r="S2189" t="n">
        <v>24.65</v>
      </c>
      <c r="T2189" t="n">
        <v>0</v>
      </c>
      <c r="U2189" t="n">
        <v>324.02</v>
      </c>
      <c r="X2189" t="inlineStr">
        <is>
          <t>aafc-aac</t>
        </is>
      </c>
      <c r="Y2189" t="inlineStr">
        <is>
          <t>Agriculture and Agri-Food Canada | Agriculture et Agroalimentaire Canada</t>
        </is>
      </c>
      <c r="Z2189" t="n">
        <v>1</v>
      </c>
      <c r="AA2189" t="n">
        <v>324.02</v>
      </c>
      <c r="AB2189">
        <f>ROUND(U2189-AA2189,2)</f>
        <v/>
      </c>
      <c r="AC2189" t="b">
        <v>0</v>
      </c>
      <c r="AD2189">
        <f>IF(U2189="","MISSING_TOTAL",IF(ABS(AB2189)&lt;=0.01,"OK","CHECK"))</f>
        <v/>
      </c>
      <c r="AE2189">
        <f>IF(U2189="","MISSING",IF(AND(AA2189&gt;0,U2189/AA2189&gt;50),"POSSIBLE_SCALE_ERROR","OK"))</f>
        <v/>
      </c>
    </row>
    <row r="2190">
      <c r="A2190" t="inlineStr">
        <is>
          <t>T-2024-P11-013</t>
        </is>
      </c>
      <c r="B2190" t="inlineStr">
        <is>
          <t>SLE</t>
        </is>
      </c>
      <c r="C2190" t="inlineStr">
        <is>
          <t>Assistant Deputy Minister, Corporate Management Branch</t>
        </is>
      </c>
      <c r="D2190" t="inlineStr">
        <is>
          <t>Sous-ministre adjointe, Direction générale de la gestion intégrée</t>
        </is>
      </c>
      <c r="E2190" t="inlineStr">
        <is>
          <t>Marie-Claude Guérard</t>
        </is>
      </c>
      <c r="F2190" t="inlineStr">
        <is>
          <t>To attend in-person meetings in Ottawa</t>
        </is>
      </c>
      <c r="G2190" t="inlineStr">
        <is>
          <t>Participer à des rencontres en personne à Ottawa</t>
        </is>
      </c>
      <c r="H2190" s="1" t="n">
        <v>45334</v>
      </c>
      <c r="I2190" s="1" t="n">
        <v>45334</v>
      </c>
      <c r="J2190" t="inlineStr">
        <is>
          <t>Ottawa (Ontario) Canada</t>
        </is>
      </c>
      <c r="K2190" t="inlineStr">
        <is>
          <t>Ottawa (Ontario) Canada</t>
        </is>
      </c>
      <c r="P2190" t="n">
        <v>0</v>
      </c>
      <c r="Q2190" t="n">
        <v>290.81</v>
      </c>
      <c r="R2190" t="n">
        <v>0</v>
      </c>
      <c r="S2190" t="n">
        <v>24.65</v>
      </c>
      <c r="T2190" t="n">
        <v>0</v>
      </c>
      <c r="U2190" t="n">
        <v>315.46</v>
      </c>
      <c r="X2190" t="inlineStr">
        <is>
          <t>aafc-aac</t>
        </is>
      </c>
      <c r="Y2190" t="inlineStr">
        <is>
          <t>Agriculture and Agri-Food Canada | Agriculture et Agroalimentaire Canada</t>
        </is>
      </c>
      <c r="Z2190" t="n">
        <v>1</v>
      </c>
      <c r="AA2190" t="n">
        <v>315.46</v>
      </c>
      <c r="AB2190">
        <f>ROUND(U2190-AA2190,2)</f>
        <v/>
      </c>
      <c r="AC2190" t="b">
        <v>0</v>
      </c>
      <c r="AD2190">
        <f>IF(U2190="","MISSING_TOTAL",IF(ABS(AB2190)&lt;=0.01,"OK","CHECK"))</f>
        <v/>
      </c>
      <c r="AE2190">
        <f>IF(U2190="","MISSING",IF(AND(AA2190&gt;0,U2190/AA2190&gt;50),"POSSIBLE_SCALE_ERROR","OK"))</f>
        <v/>
      </c>
    </row>
    <row r="2191">
      <c r="A2191" t="inlineStr">
        <is>
          <t>T-2024-P11-014</t>
        </is>
      </c>
      <c r="B2191" t="inlineStr">
        <is>
          <t>SLE</t>
        </is>
      </c>
      <c r="C2191" t="inlineStr">
        <is>
          <t>Assistant Deputy Minister, Corporate Management Branch</t>
        </is>
      </c>
      <c r="D2191" t="inlineStr">
        <is>
          <t>Sous-ministre adjointe, Direction générale de la gestion intégrée</t>
        </is>
      </c>
      <c r="E2191" t="inlineStr">
        <is>
          <t>Marie-Claude Guérard</t>
        </is>
      </c>
      <c r="F2191" t="inlineStr">
        <is>
          <t>To attend in-person meetings in Ottawa</t>
        </is>
      </c>
      <c r="G2191" t="inlineStr">
        <is>
          <t>Participer à des rencontres en personne à Ottawa</t>
        </is>
      </c>
      <c r="H2191" s="1" t="n">
        <v>45337</v>
      </c>
      <c r="I2191" s="1" t="n">
        <v>45338</v>
      </c>
      <c r="J2191" t="inlineStr">
        <is>
          <t>Ottawa (Ontario) Canada</t>
        </is>
      </c>
      <c r="K2191" t="inlineStr">
        <is>
          <t>Ottawa (Ontario) Canada</t>
        </is>
      </c>
      <c r="P2191" t="n">
        <v>0</v>
      </c>
      <c r="Q2191" t="n">
        <v>380.02</v>
      </c>
      <c r="R2191" t="n">
        <v>266.96</v>
      </c>
      <c r="S2191" t="n">
        <v>168.7</v>
      </c>
      <c r="T2191" t="n">
        <v>0</v>
      </c>
      <c r="U2191" t="n">
        <v>815.6799999999999</v>
      </c>
      <c r="X2191" t="inlineStr">
        <is>
          <t>aafc-aac</t>
        </is>
      </c>
      <c r="Y2191" t="inlineStr">
        <is>
          <t>Agriculture and Agri-Food Canada | Agriculture et Agroalimentaire Canada</t>
        </is>
      </c>
      <c r="Z2191" t="n">
        <v>2</v>
      </c>
      <c r="AA2191" t="n">
        <v>815.6799999999999</v>
      </c>
      <c r="AB2191">
        <f>ROUND(U2191-AA2191,2)</f>
        <v/>
      </c>
      <c r="AC2191" t="b">
        <v>0</v>
      </c>
      <c r="AD2191">
        <f>IF(U2191="","MISSING_TOTAL",IF(ABS(AB2191)&lt;=0.01,"OK","CHECK"))</f>
        <v/>
      </c>
      <c r="AE2191">
        <f>IF(U2191="","MISSING",IF(AND(AA2191&gt;0,U2191/AA2191&gt;50),"POSSIBLE_SCALE_ERROR","OK"))</f>
        <v/>
      </c>
    </row>
    <row r="2192">
      <c r="A2192" t="inlineStr">
        <is>
          <t>T-2024-P11-015</t>
        </is>
      </c>
      <c r="B2192" t="inlineStr">
        <is>
          <t>SLE</t>
        </is>
      </c>
      <c r="C2192" t="inlineStr">
        <is>
          <t>Assistant Deputy Minister, Corporate Management Branch</t>
        </is>
      </c>
      <c r="D2192" t="inlineStr">
        <is>
          <t>Sous-ministre adjointe, Direction générale de la gestion intégrée</t>
        </is>
      </c>
      <c r="E2192" t="inlineStr">
        <is>
          <t>Marie-Claude Guérard</t>
        </is>
      </c>
      <c r="F2192" t="inlineStr">
        <is>
          <t>To attend in-person meetings in Ottawa</t>
        </is>
      </c>
      <c r="G2192" t="inlineStr">
        <is>
          <t>Participer à des rencontres en personne à Ottawa</t>
        </is>
      </c>
      <c r="H2192" s="1" t="n">
        <v>45343</v>
      </c>
      <c r="I2192" s="1" t="n">
        <v>45343</v>
      </c>
      <c r="J2192" t="inlineStr">
        <is>
          <t>Ottawa (Ontario) Canada</t>
        </is>
      </c>
      <c r="K2192" t="inlineStr">
        <is>
          <t>Ottawa (Ontario) Canada</t>
        </is>
      </c>
      <c r="P2192" t="n">
        <v>0</v>
      </c>
      <c r="Q2192" t="n">
        <v>378.78</v>
      </c>
      <c r="R2192" t="n">
        <v>0</v>
      </c>
      <c r="S2192" t="n">
        <v>24.65</v>
      </c>
      <c r="T2192" t="n">
        <v>0</v>
      </c>
      <c r="U2192" t="n">
        <v>403.43</v>
      </c>
      <c r="X2192" t="inlineStr">
        <is>
          <t>aafc-aac</t>
        </is>
      </c>
      <c r="Y2192" t="inlineStr">
        <is>
          <t>Agriculture and Agri-Food Canada | Agriculture et Agroalimentaire Canada</t>
        </is>
      </c>
      <c r="Z2192" t="n">
        <v>1</v>
      </c>
      <c r="AA2192" t="n">
        <v>403.429999999999</v>
      </c>
      <c r="AB2192">
        <f>ROUND(U2192-AA2192,2)</f>
        <v/>
      </c>
      <c r="AC2192" t="b">
        <v>0</v>
      </c>
      <c r="AD2192">
        <f>IF(U2192="","MISSING_TOTAL",IF(ABS(AB2192)&lt;=0.01,"OK","CHECK"))</f>
        <v/>
      </c>
      <c r="AE2192">
        <f>IF(U2192="","MISSING",IF(AND(AA2192&gt;0,U2192/AA2192&gt;50),"POSSIBLE_SCALE_ERROR","OK"))</f>
        <v/>
      </c>
    </row>
    <row r="2193">
      <c r="A2193" t="inlineStr">
        <is>
          <t>T-2024-P11-016</t>
        </is>
      </c>
      <c r="B2193" t="inlineStr">
        <is>
          <t>SLE</t>
        </is>
      </c>
      <c r="C2193" t="inlineStr">
        <is>
          <t>Assistant Deputy Minister, Strategic Policy Branch</t>
        </is>
      </c>
      <c r="D2193" t="inlineStr">
        <is>
          <t>Sous-ministre adjointe, Direction générale des politiques stratégiques</t>
        </is>
      </c>
      <c r="E2193" t="inlineStr">
        <is>
          <t>Shannon Nix</t>
        </is>
      </c>
      <c r="F2193" t="inlineStr">
        <is>
          <t>To attend meetings in downtown Ottawa</t>
        </is>
      </c>
      <c r="G2193" t="inlineStr">
        <is>
          <t>Participer aux rencontres au centre-ville d'Ottawa</t>
        </is>
      </c>
      <c r="H2193" s="1" t="n">
        <v>45231</v>
      </c>
      <c r="I2193" s="1" t="n">
        <v>45231</v>
      </c>
      <c r="J2193" t="inlineStr">
        <is>
          <t>Ottawa (Ontario) Canada</t>
        </is>
      </c>
      <c r="K2193" t="inlineStr">
        <is>
          <t>Ottawa (Ontario) Canada</t>
        </is>
      </c>
      <c r="P2193" t="n">
        <v>0</v>
      </c>
      <c r="Q2193" t="n">
        <v>47.88</v>
      </c>
      <c r="R2193" t="n">
        <v>0</v>
      </c>
      <c r="S2193" t="n">
        <v>0</v>
      </c>
      <c r="T2193" t="n">
        <v>0</v>
      </c>
      <c r="U2193" t="n">
        <v>47.88</v>
      </c>
      <c r="X2193" t="inlineStr">
        <is>
          <t>aafc-aac</t>
        </is>
      </c>
      <c r="Y2193" t="inlineStr">
        <is>
          <t>Agriculture and Agri-Food Canada | Agriculture et Agroalimentaire Canada</t>
        </is>
      </c>
      <c r="Z2193" t="n">
        <v>1</v>
      </c>
      <c r="AA2193" t="n">
        <v>47.88</v>
      </c>
      <c r="AB2193">
        <f>ROUND(U2193-AA2193,2)</f>
        <v/>
      </c>
      <c r="AC2193" t="b">
        <v>0</v>
      </c>
      <c r="AD2193">
        <f>IF(U2193="","MISSING_TOTAL",IF(ABS(AB2193)&lt;=0.01,"OK","CHECK"))</f>
        <v/>
      </c>
      <c r="AE2193">
        <f>IF(U2193="","MISSING",IF(AND(AA2193&gt;0,U2193/AA2193&gt;50),"POSSIBLE_SCALE_ERROR","OK"))</f>
        <v/>
      </c>
    </row>
    <row r="2194">
      <c r="A2194" t="inlineStr">
        <is>
          <t>T-2024-P11-017</t>
        </is>
      </c>
      <c r="B2194" t="inlineStr">
        <is>
          <t>SLE</t>
        </is>
      </c>
      <c r="C2194" t="inlineStr">
        <is>
          <t>Assistant Deputy Minister, Market and Industry Services Branch</t>
        </is>
      </c>
      <c r="D2194" t="inlineStr">
        <is>
          <t>Sous-ministre adjoint, Direction générale des services à l'industrie et aux marchés</t>
        </is>
      </c>
      <c r="E2194" t="inlineStr">
        <is>
          <t>Tom Rosser</t>
        </is>
      </c>
      <c r="F2194" t="inlineStr">
        <is>
          <t>To attend meetings in downtown Ottawa with stakeholders.</t>
        </is>
      </c>
      <c r="G2194" t="inlineStr">
        <is>
          <t>Participer aux rencontres au centre-ville d'Ottawa avec les parties prenantes.</t>
        </is>
      </c>
      <c r="H2194" s="1" t="n">
        <v>45307</v>
      </c>
      <c r="I2194" s="1" t="n">
        <v>45307</v>
      </c>
      <c r="J2194" t="inlineStr">
        <is>
          <t>Ottawa (Ontario) Canada</t>
        </is>
      </c>
      <c r="K2194" t="inlineStr">
        <is>
          <t>Ottawa (Ontario) Canada</t>
        </is>
      </c>
      <c r="P2194" t="n">
        <v>0</v>
      </c>
      <c r="Q2194" t="n">
        <v>30.95</v>
      </c>
      <c r="R2194" t="n">
        <v>0</v>
      </c>
      <c r="S2194" t="n">
        <v>0</v>
      </c>
      <c r="T2194" t="n">
        <v>0</v>
      </c>
      <c r="U2194" t="n">
        <v>30.95</v>
      </c>
      <c r="X2194" t="inlineStr">
        <is>
          <t>aafc-aac</t>
        </is>
      </c>
      <c r="Y2194" t="inlineStr">
        <is>
          <t>Agriculture and Agri-Food Canada | Agriculture et Agroalimentaire Canada</t>
        </is>
      </c>
      <c r="Z2194" t="n">
        <v>1</v>
      </c>
      <c r="AA2194" t="n">
        <v>30.95</v>
      </c>
      <c r="AB2194">
        <f>ROUND(U2194-AA2194,2)</f>
        <v/>
      </c>
      <c r="AC2194" t="b">
        <v>0</v>
      </c>
      <c r="AD2194">
        <f>IF(U2194="","MISSING_TOTAL",IF(ABS(AB2194)&lt;=0.01,"OK","CHECK"))</f>
        <v/>
      </c>
      <c r="AE2194">
        <f>IF(U2194="","MISSING",IF(AND(AA2194&gt;0,U2194/AA2194&gt;50),"POSSIBLE_SCALE_ERROR","OK"))</f>
        <v/>
      </c>
    </row>
    <row r="2195">
      <c r="A2195" t="inlineStr">
        <is>
          <t>T-2024-P11-018</t>
        </is>
      </c>
      <c r="B2195" t="inlineStr">
        <is>
          <t>SLE</t>
        </is>
      </c>
      <c r="C2195" t="inlineStr">
        <is>
          <t>Chief Information Officer, Information Systems Branch</t>
        </is>
      </c>
      <c r="D2195" t="inlineStr">
        <is>
          <t>Dirigeante principale de l'information, Direction générale des systèmes d'information</t>
        </is>
      </c>
      <c r="E2195" t="inlineStr">
        <is>
          <t>Vidya ShankarNarayan</t>
        </is>
      </c>
      <c r="F2195" t="inlineStr">
        <is>
          <t>To attend Executive Leadership Development Program Cohort H: Module 1</t>
        </is>
      </c>
      <c r="G2195" t="inlineStr">
        <is>
          <t>Assister à la Cohorte H du Programme de développement en leadership pour les cadres supérieurs : Module 1</t>
        </is>
      </c>
      <c r="H2195" s="1" t="n">
        <v>45336</v>
      </c>
      <c r="I2195" s="1" t="n">
        <v>45338</v>
      </c>
      <c r="J2195" t="inlineStr">
        <is>
          <t>Ottawa (Ontario) Canada</t>
        </is>
      </c>
      <c r="K2195" t="inlineStr">
        <is>
          <t>Ottawa (Ontario) Canada</t>
        </is>
      </c>
      <c r="P2195" t="n">
        <v>0</v>
      </c>
      <c r="Q2195" t="n">
        <v>51</v>
      </c>
      <c r="R2195" t="n">
        <v>0</v>
      </c>
      <c r="S2195" t="n">
        <v>0</v>
      </c>
      <c r="T2195" t="n">
        <v>0</v>
      </c>
      <c r="U2195" t="n">
        <v>51</v>
      </c>
      <c r="X2195" t="inlineStr">
        <is>
          <t>aafc-aac</t>
        </is>
      </c>
      <c r="Y2195" t="inlineStr">
        <is>
          <t>Agriculture and Agri-Food Canada | Agriculture et Agroalimentaire Canada</t>
        </is>
      </c>
      <c r="Z2195" t="n">
        <v>3</v>
      </c>
      <c r="AA2195" t="n">
        <v>51</v>
      </c>
      <c r="AB2195">
        <f>ROUND(U2195-AA2195,2)</f>
        <v/>
      </c>
      <c r="AC2195" t="b">
        <v>0</v>
      </c>
      <c r="AD2195">
        <f>IF(U2195="","MISSING_TOTAL",IF(ABS(AB2195)&lt;=0.01,"OK","CHECK"))</f>
        <v/>
      </c>
      <c r="AE2195">
        <f>IF(U2195="","MISSING",IF(AND(AA2195&gt;0,U2195/AA2195&gt;50),"POSSIBLE_SCALE_ERROR","OK"))</f>
        <v/>
      </c>
    </row>
    <row r="2196">
      <c r="A2196" t="inlineStr">
        <is>
          <t>T-2024-P11-019</t>
        </is>
      </c>
      <c r="B2196" t="inlineStr">
        <is>
          <t>SLE</t>
        </is>
      </c>
      <c r="C2196" t="inlineStr">
        <is>
          <t>Chief Information Officer, Information Systems Branch</t>
        </is>
      </c>
      <c r="D2196" t="inlineStr">
        <is>
          <t>Dirigeante principale de l'information, Direction générale des systèmes d'information</t>
        </is>
      </c>
      <c r="E2196" t="inlineStr">
        <is>
          <t>Vidya ShankarNarayan</t>
        </is>
      </c>
      <c r="F2196" t="inlineStr">
        <is>
          <t>To attend the Better Evidence Conference</t>
        </is>
      </c>
      <c r="G2196" t="inlineStr">
        <is>
          <t>Assister à la Conférence sur les Meilleures Preuves</t>
        </is>
      </c>
      <c r="H2196" s="1" t="n">
        <v>45320</v>
      </c>
      <c r="I2196" s="1" t="n">
        <v>45320</v>
      </c>
      <c r="J2196" t="inlineStr">
        <is>
          <t>Ottawa (Ontario) Canada</t>
        </is>
      </c>
      <c r="K2196" t="inlineStr">
        <is>
          <t>Ottawa (Ontario) Canada</t>
        </is>
      </c>
      <c r="P2196" t="n">
        <v>0</v>
      </c>
      <c r="Q2196" t="n">
        <v>32.1</v>
      </c>
      <c r="R2196" t="n">
        <v>0</v>
      </c>
      <c r="S2196" t="n">
        <v>0</v>
      </c>
      <c r="T2196" t="n">
        <v>0</v>
      </c>
      <c r="U2196" t="n">
        <v>32.1</v>
      </c>
      <c r="X2196" t="inlineStr">
        <is>
          <t>aafc-aac</t>
        </is>
      </c>
      <c r="Y2196" t="inlineStr">
        <is>
          <t>Agriculture and Agri-Food Canada | Agriculture et Agroalimentaire Canada</t>
        </is>
      </c>
      <c r="Z2196" t="n">
        <v>1</v>
      </c>
      <c r="AA2196" t="n">
        <v>32.1</v>
      </c>
      <c r="AB2196">
        <f>ROUND(U2196-AA2196,2)</f>
        <v/>
      </c>
      <c r="AC2196" t="b">
        <v>0</v>
      </c>
      <c r="AD2196">
        <f>IF(U2196="","MISSING_TOTAL",IF(ABS(AB2196)&lt;=0.01,"OK","CHECK"))</f>
        <v/>
      </c>
      <c r="AE2196">
        <f>IF(U2196="","MISSING",IF(AND(AA2196&gt;0,U2196/AA2196&gt;50),"POSSIBLE_SCALE_ERROR","OK"))</f>
        <v/>
      </c>
    </row>
    <row r="2197">
      <c r="A2197" t="inlineStr">
        <is>
          <t>T-2024-P02-001</t>
        </is>
      </c>
      <c r="B2197" t="inlineStr">
        <is>
          <t>MPSES</t>
        </is>
      </c>
      <c r="C2197" t="inlineStr">
        <is>
          <t>Member of Parliament</t>
        </is>
      </c>
      <c r="D2197" t="inlineStr">
        <is>
          <t>Membre du Parlement</t>
        </is>
      </c>
      <c r="E2197" t="inlineStr">
        <is>
          <t>Yves Perron</t>
        </is>
      </c>
      <c r="F2197" t="inlineStr">
        <is>
          <t>To accompany the Minister to meet with officials and stakeholders</t>
        </is>
      </c>
      <c r="G2197" t="inlineStr">
        <is>
          <t>Accompagner la ministre pour rencontrer les fonctionnaires et les parties prenantes</t>
        </is>
      </c>
      <c r="H2197" s="1" t="n">
        <v>45035</v>
      </c>
      <c r="I2197" s="1" t="n">
        <v>45042</v>
      </c>
      <c r="J2197" t="inlineStr">
        <is>
          <t>Toyko, Japan
Miyazaki, Japan
Singapore, Singapore</t>
        </is>
      </c>
      <c r="K2197" t="inlineStr">
        <is>
          <t>Toyko, Japon
Miyazaki, Japon
Singapour, Singapour</t>
        </is>
      </c>
      <c r="P2197" t="n">
        <v>15749.93</v>
      </c>
      <c r="Q2197" t="n">
        <v>192</v>
      </c>
      <c r="R2197" t="n">
        <v>2565.06</v>
      </c>
      <c r="S2197" t="n">
        <v>516.42</v>
      </c>
      <c r="T2197" t="n">
        <v>0</v>
      </c>
      <c r="U2197" t="n">
        <v>19023.41</v>
      </c>
      <c r="X2197" t="inlineStr">
        <is>
          <t>aafc-aac</t>
        </is>
      </c>
      <c r="Y2197" t="inlineStr">
        <is>
          <t>Agriculture and Agri-Food Canada | Agriculture et Agroalimentaire Canada</t>
        </is>
      </c>
      <c r="Z2197" t="n">
        <v>8</v>
      </c>
      <c r="AA2197" t="n">
        <v>19023.41</v>
      </c>
      <c r="AB2197">
        <f>ROUND(U2197-AA2197,2)</f>
        <v/>
      </c>
      <c r="AC2197" t="b">
        <v>0</v>
      </c>
      <c r="AD2197">
        <f>IF(U2197="","MISSING_TOTAL",IF(ABS(AB2197)&lt;=0.01,"OK","CHECK"))</f>
        <v/>
      </c>
      <c r="AE2197">
        <f>IF(U2197="","MISSING",IF(AND(AA2197&gt;0,U2197/AA2197&gt;50),"POSSIBLE_SCALE_ERROR","OK"))</f>
        <v/>
      </c>
    </row>
    <row r="2198">
      <c r="A2198" t="inlineStr">
        <is>
          <t>T-2024-P02-002</t>
        </is>
      </c>
      <c r="B2198" t="inlineStr">
        <is>
          <t>MPSES</t>
        </is>
      </c>
      <c r="C2198" t="inlineStr">
        <is>
          <t>Member of Parliament</t>
        </is>
      </c>
      <c r="D2198" t="inlineStr">
        <is>
          <t>Membre du Parlement</t>
        </is>
      </c>
      <c r="E2198" t="inlineStr">
        <is>
          <t>Yves Perron</t>
        </is>
      </c>
      <c r="F2198" t="inlineStr">
        <is>
          <t>To accompany the Minister to the Minister’s Agriculture Innovation Mission for Climate conference and meet with stakeholders and United States counterparts</t>
        </is>
      </c>
      <c r="G2198" t="inlineStr">
        <is>
          <t>Accompagner la ministre à la conférence de la Mission d’innovation agricole pour le climat du ministre et rencontrer les intervenants et leurs homologues américains</t>
        </is>
      </c>
      <c r="H2198" s="1" t="n">
        <v>45053</v>
      </c>
      <c r="I2198" s="1" t="n">
        <v>45056</v>
      </c>
      <c r="J2198" t="inlineStr">
        <is>
          <t>Washington (District of Columbia) United States</t>
        </is>
      </c>
      <c r="K2198" t="inlineStr">
        <is>
          <t>Washington (District de Columbia) États-Unis</t>
        </is>
      </c>
      <c r="P2198" t="n">
        <v>1574.71</v>
      </c>
      <c r="Q2198" t="n">
        <v>96</v>
      </c>
      <c r="R2198" t="n">
        <v>1417.53</v>
      </c>
      <c r="S2198" t="n">
        <v>342.2</v>
      </c>
      <c r="T2198" t="n">
        <v>0</v>
      </c>
      <c r="U2198" t="n">
        <v>3430.44</v>
      </c>
      <c r="X2198" t="inlineStr">
        <is>
          <t>aafc-aac</t>
        </is>
      </c>
      <c r="Y2198" t="inlineStr">
        <is>
          <t>Agriculture and Agri-Food Canada | Agriculture et Agroalimentaire Canada</t>
        </is>
      </c>
      <c r="Z2198" t="n">
        <v>4</v>
      </c>
      <c r="AA2198" t="n">
        <v>3430.43999999999</v>
      </c>
      <c r="AB2198">
        <f>ROUND(U2198-AA2198,2)</f>
        <v/>
      </c>
      <c r="AC2198" t="b">
        <v>0</v>
      </c>
      <c r="AD2198">
        <f>IF(U2198="","MISSING_TOTAL",IF(ABS(AB2198)&lt;=0.01,"OK","CHECK"))</f>
        <v/>
      </c>
      <c r="AE2198">
        <f>IF(U2198="","MISSING",IF(AND(AA2198&gt;0,U2198/AA2198&gt;50),"POSSIBLE_SCALE_ERROR","OK"))</f>
        <v/>
      </c>
    </row>
    <row r="2199">
      <c r="A2199" t="inlineStr">
        <is>
          <t>T-2024-P05-001</t>
        </is>
      </c>
      <c r="B2199" t="inlineStr">
        <is>
          <t>MPSES</t>
        </is>
      </c>
      <c r="C2199" t="inlineStr">
        <is>
          <t>Member of Parliament</t>
        </is>
      </c>
      <c r="D2199" t="inlineStr">
        <is>
          <t>Membre du Parlement</t>
        </is>
      </c>
      <c r="E2199" t="inlineStr">
        <is>
          <t>Simon-Pierre Savard-Tremblay</t>
        </is>
      </c>
      <c r="F2199" t="inlineStr">
        <is>
          <t>To accompany the Minister to the G20 Agricultural Minister’s meeting</t>
        </is>
      </c>
      <c r="G2199" t="inlineStr">
        <is>
          <t>Accompagner la ministre à la réunion des ministres de l’agriculture du G20</t>
        </is>
      </c>
      <c r="H2199" s="1" t="n">
        <v>45090</v>
      </c>
      <c r="I2199" s="1" t="n">
        <v>45097</v>
      </c>
      <c r="J2199" t="inlineStr">
        <is>
          <t>Hyderabad (Telangana) India</t>
        </is>
      </c>
      <c r="K2199" t="inlineStr">
        <is>
          <t>Hyderabad (Telangana) Inde</t>
        </is>
      </c>
      <c r="P2199" t="n">
        <v>10749.2</v>
      </c>
      <c r="Q2199" t="n">
        <v>68.45999999999999</v>
      </c>
      <c r="R2199" t="n">
        <v>1218.1</v>
      </c>
      <c r="S2199" t="n">
        <v>389.98</v>
      </c>
      <c r="T2199" t="n">
        <v>395.91</v>
      </c>
      <c r="U2199" t="n">
        <v>12821.65</v>
      </c>
      <c r="X2199" t="inlineStr">
        <is>
          <t>aafc-aac</t>
        </is>
      </c>
      <c r="Y2199" t="inlineStr">
        <is>
          <t>Agriculture and Agri-Food Canada | Agriculture et Agroalimentaire Canada</t>
        </is>
      </c>
      <c r="Z2199" t="n">
        <v>8</v>
      </c>
      <c r="AA2199" t="n">
        <v>12821.65</v>
      </c>
      <c r="AB2199">
        <f>ROUND(U2199-AA2199,2)</f>
        <v/>
      </c>
      <c r="AC2199" t="b">
        <v>0</v>
      </c>
      <c r="AD2199">
        <f>IF(U2199="","MISSING_TOTAL",IF(ABS(AB2199)&lt;=0.01,"OK","CHECK"))</f>
        <v/>
      </c>
      <c r="AE2199">
        <f>IF(U2199="","MISSING",IF(AND(AA2199&gt;0,U2199/AA2199&gt;50),"POSSIBLE_SCALE_ERROR","OK"))</f>
        <v/>
      </c>
    </row>
    <row r="2200">
      <c r="A2200" t="inlineStr">
        <is>
          <t>T-2024-P12-001</t>
        </is>
      </c>
      <c r="B2200" t="inlineStr">
        <is>
          <t>MPSES</t>
        </is>
      </c>
      <c r="C2200" t="inlineStr">
        <is>
          <t>Minister</t>
        </is>
      </c>
      <c r="D2200" t="inlineStr">
        <is>
          <t>Ministre</t>
        </is>
      </c>
      <c r="E2200" t="inlineStr">
        <is>
          <t>Lawrence MacAulay</t>
        </is>
      </c>
      <c r="F2200" t="inlineStr">
        <is>
          <t>To attend a tour</t>
        </is>
      </c>
      <c r="G2200" t="inlineStr">
        <is>
          <t>Assister à une visite</t>
        </is>
      </c>
      <c r="H2200" s="1" t="n">
        <v>45338</v>
      </c>
      <c r="I2200" s="1" t="n">
        <v>45346</v>
      </c>
      <c r="J2200" t="inlineStr">
        <is>
          <t>Kuala Lumpur, Malaysia
Manila, Philippines</t>
        </is>
      </c>
      <c r="K2200" t="inlineStr">
        <is>
          <t>Kuala Lumpur, Malaisie
Manille, Philippines</t>
        </is>
      </c>
      <c r="P2200" t="n">
        <v>17861.81</v>
      </c>
      <c r="Q2200" t="n">
        <v>0</v>
      </c>
      <c r="R2200" t="n">
        <v>1728.38</v>
      </c>
      <c r="S2200" t="n">
        <v>752.28</v>
      </c>
      <c r="T2200" t="n">
        <v>0</v>
      </c>
      <c r="U2200" t="n">
        <v>20342.47</v>
      </c>
      <c r="X2200" t="inlineStr">
        <is>
          <t>aafc-aac</t>
        </is>
      </c>
      <c r="Y2200" t="inlineStr">
        <is>
          <t>Agriculture and Agri-Food Canada | Agriculture et Agroalimentaire Canada</t>
        </is>
      </c>
      <c r="Z2200" t="n">
        <v>9</v>
      </c>
      <c r="AA2200" t="n">
        <v>20342.47</v>
      </c>
      <c r="AB2200">
        <f>ROUND(U2200-AA2200,2)</f>
        <v/>
      </c>
      <c r="AC2200" t="b">
        <v>0</v>
      </c>
      <c r="AD2200">
        <f>IF(U2200="","MISSING_TOTAL",IF(ABS(AB2200)&lt;=0.01,"OK","CHECK"))</f>
        <v/>
      </c>
      <c r="AE2200">
        <f>IF(U2200="","MISSING",IF(AND(AA2200&gt;0,U2200/AA2200&gt;50),"POSSIBLE_SCALE_ERROR","OK"))</f>
        <v/>
      </c>
    </row>
    <row r="2201">
      <c r="A2201" t="inlineStr">
        <is>
          <t>T-2024-P12-002</t>
        </is>
      </c>
      <c r="B2201" t="inlineStr">
        <is>
          <t>MPSES</t>
        </is>
      </c>
      <c r="C2201" t="inlineStr">
        <is>
          <t>Minister</t>
        </is>
      </c>
      <c r="D2201" t="inlineStr">
        <is>
          <t>Ministre</t>
        </is>
      </c>
      <c r="E2201" t="inlineStr">
        <is>
          <t>Lawrence MacAulay</t>
        </is>
      </c>
      <c r="F2201" t="inlineStr">
        <is>
          <t>To attend a Wine Sector Support Announcement</t>
        </is>
      </c>
      <c r="G2201" t="inlineStr">
        <is>
          <t>Assister à une annonce de soutien au secteur vitivinicole</t>
        </is>
      </c>
      <c r="H2201" s="1" t="n">
        <v>45351</v>
      </c>
      <c r="I2201" s="1" t="n">
        <v>45352</v>
      </c>
      <c r="J2201" t="inlineStr">
        <is>
          <t>Niagara Falls (Ontario) Canada</t>
        </is>
      </c>
      <c r="K2201" t="inlineStr">
        <is>
          <t>Niagara Falls (Ontario) Canada</t>
        </is>
      </c>
      <c r="P2201" t="n">
        <v>1915.63</v>
      </c>
      <c r="Q2201" t="n">
        <v>86.40000000000001</v>
      </c>
      <c r="R2201" t="n">
        <v>155.89</v>
      </c>
      <c r="S2201" t="n">
        <v>85.09999999999999</v>
      </c>
      <c r="T2201" t="n">
        <v>0</v>
      </c>
      <c r="U2201" t="n">
        <v>2243.02</v>
      </c>
      <c r="X2201" t="inlineStr">
        <is>
          <t>aafc-aac</t>
        </is>
      </c>
      <c r="Y2201" t="inlineStr">
        <is>
          <t>Agriculture and Agri-Food Canada | Agriculture et Agroalimentaire Canada</t>
        </is>
      </c>
      <c r="Z2201" t="n">
        <v>2</v>
      </c>
      <c r="AA2201" t="n">
        <v>2243.02</v>
      </c>
      <c r="AB2201">
        <f>ROUND(U2201-AA2201,2)</f>
        <v/>
      </c>
      <c r="AC2201" t="b">
        <v>0</v>
      </c>
      <c r="AD2201">
        <f>IF(U2201="","MISSING_TOTAL",IF(ABS(AB2201)&lt;=0.01,"OK","CHECK"))</f>
        <v/>
      </c>
      <c r="AE2201">
        <f>IF(U2201="","MISSING",IF(AND(AA2201&gt;0,U2201/AA2201&gt;50),"POSSIBLE_SCALE_ERROR","OK"))</f>
        <v/>
      </c>
    </row>
    <row r="2202">
      <c r="A2202" t="inlineStr">
        <is>
          <t>T-2024-P12-003</t>
        </is>
      </c>
      <c r="B2202" t="inlineStr">
        <is>
          <t>MPSES</t>
        </is>
      </c>
      <c r="C2202" t="inlineStr">
        <is>
          <t>Chief of Staff</t>
        </is>
      </c>
      <c r="D2202" t="inlineStr">
        <is>
          <t>Chef de cabinet</t>
        </is>
      </c>
      <c r="E2202" t="inlineStr">
        <is>
          <t>Matthew Mann</t>
        </is>
      </c>
      <c r="F2202" t="inlineStr">
        <is>
          <t>To accompany the Minister on a tour</t>
        </is>
      </c>
      <c r="G2202" t="inlineStr">
        <is>
          <t>Accompagner le ministre lors d'une visite</t>
        </is>
      </c>
      <c r="H2202" s="1" t="n">
        <v>45338</v>
      </c>
      <c r="I2202" s="1" t="n">
        <v>45346</v>
      </c>
      <c r="J2202" t="inlineStr">
        <is>
          <t>Kuala Lumpur, Malaysia
Manila, Philippines</t>
        </is>
      </c>
      <c r="K2202" t="inlineStr">
        <is>
          <t>Kuala Lumpur, Malaisie
Manille, Philippines</t>
        </is>
      </c>
      <c r="P2202" t="n">
        <v>13899.68</v>
      </c>
      <c r="Q2202" t="n">
        <v>0</v>
      </c>
      <c r="R2202" t="n">
        <v>1407.49</v>
      </c>
      <c r="S2202" t="n">
        <v>752.28</v>
      </c>
      <c r="T2202" t="n">
        <v>0</v>
      </c>
      <c r="U2202" t="n">
        <v>16059.45</v>
      </c>
      <c r="X2202" t="inlineStr">
        <is>
          <t>aafc-aac</t>
        </is>
      </c>
      <c r="Y2202" t="inlineStr">
        <is>
          <t>Agriculture and Agri-Food Canada | Agriculture et Agroalimentaire Canada</t>
        </is>
      </c>
      <c r="Z2202" t="n">
        <v>9</v>
      </c>
      <c r="AA2202" t="n">
        <v>16059.45</v>
      </c>
      <c r="AB2202">
        <f>ROUND(U2202-AA2202,2)</f>
        <v/>
      </c>
      <c r="AC2202" t="b">
        <v>0</v>
      </c>
      <c r="AD2202">
        <f>IF(U2202="","MISSING_TOTAL",IF(ABS(AB2202)&lt;=0.01,"OK","CHECK"))</f>
        <v/>
      </c>
      <c r="AE2202">
        <f>IF(U2202="","MISSING",IF(AND(AA2202&gt;0,U2202/AA2202&gt;50),"POSSIBLE_SCALE_ERROR","OK"))</f>
        <v/>
      </c>
    </row>
    <row r="2203">
      <c r="A2203" t="inlineStr">
        <is>
          <t>T-2024-P12-004</t>
        </is>
      </c>
      <c r="B2203" t="inlineStr">
        <is>
          <t>MPSES</t>
        </is>
      </c>
      <c r="C2203" t="inlineStr">
        <is>
          <t>Chief of Staff</t>
        </is>
      </c>
      <c r="D2203" t="inlineStr">
        <is>
          <t>Chef de cabinet</t>
        </is>
      </c>
      <c r="E2203" t="inlineStr">
        <is>
          <t>Matthew Mann</t>
        </is>
      </c>
      <c r="F2203" t="inlineStr">
        <is>
          <t>To accompany the Minister to meetings and announcements</t>
        </is>
      </c>
      <c r="G2203" t="inlineStr">
        <is>
          <t>Accompagner le ministre lors de réunions et d'annonces</t>
        </is>
      </c>
      <c r="H2203" s="1" t="n">
        <v>45363</v>
      </c>
      <c r="I2203" s="1" t="n">
        <v>45367</v>
      </c>
      <c r="J2203" t="inlineStr">
        <is>
          <t>Charlottetown (Prince Edward Island) Canada</t>
        </is>
      </c>
      <c r="K2203" t="inlineStr">
        <is>
          <t>Charlottetown (Île-du-Prince-Édouard) Canada</t>
        </is>
      </c>
      <c r="P2203" t="n">
        <v>1339.6</v>
      </c>
      <c r="Q2203" t="n">
        <v>338.08</v>
      </c>
      <c r="R2203" t="n">
        <v>800.72</v>
      </c>
      <c r="S2203" t="n">
        <v>364.75</v>
      </c>
      <c r="T2203" t="n">
        <v>0</v>
      </c>
      <c r="U2203" t="n">
        <v>2843.15</v>
      </c>
      <c r="X2203" t="inlineStr">
        <is>
          <t>aafc-aac</t>
        </is>
      </c>
      <c r="Y2203" t="inlineStr">
        <is>
          <t>Agriculture and Agri-Food Canada | Agriculture et Agroalimentaire Canada</t>
        </is>
      </c>
      <c r="Z2203" t="n">
        <v>5</v>
      </c>
      <c r="AA2203" t="n">
        <v>2843.14999999999</v>
      </c>
      <c r="AB2203">
        <f>ROUND(U2203-AA2203,2)</f>
        <v/>
      </c>
      <c r="AC2203" t="b">
        <v>0</v>
      </c>
      <c r="AD2203">
        <f>IF(U2203="","MISSING_TOTAL",IF(ABS(AB2203)&lt;=0.01,"OK","CHECK"))</f>
        <v/>
      </c>
      <c r="AE2203">
        <f>IF(U2203="","MISSING",IF(AND(AA2203&gt;0,U2203/AA2203&gt;50),"POSSIBLE_SCALE_ERROR","OK"))</f>
        <v/>
      </c>
    </row>
    <row r="2204">
      <c r="A2204" t="inlineStr">
        <is>
          <t>T-2024-P12-005</t>
        </is>
      </c>
      <c r="B2204" t="inlineStr">
        <is>
          <t>MPSES</t>
        </is>
      </c>
      <c r="C2204" t="inlineStr">
        <is>
          <t>Director of Communications</t>
        </is>
      </c>
      <c r="D2204" t="inlineStr">
        <is>
          <t>Directrice des communications</t>
        </is>
      </c>
      <c r="E2204" t="inlineStr">
        <is>
          <t>Annie Cullinan</t>
        </is>
      </c>
      <c r="F2204" t="inlineStr">
        <is>
          <t>To accompany the Minister for a Wine Sector Support Announcement</t>
        </is>
      </c>
      <c r="G2204" t="inlineStr">
        <is>
          <t>Accompagner le ministre pour une annonce de soutien au secteur vitivinicole</t>
        </is>
      </c>
      <c r="H2204" s="1" t="n">
        <v>45351</v>
      </c>
      <c r="I2204" s="1" t="n">
        <v>45352</v>
      </c>
      <c r="J2204" t="inlineStr">
        <is>
          <t>Niagara Falls (Ontario) Canada</t>
        </is>
      </c>
      <c r="K2204" t="inlineStr">
        <is>
          <t>Niagara Falls (Ontario) Canada</t>
        </is>
      </c>
      <c r="P2204" t="n">
        <v>1643.31</v>
      </c>
      <c r="Q2204" t="n">
        <v>12.35</v>
      </c>
      <c r="R2204" t="n">
        <v>155.89</v>
      </c>
      <c r="S2204" t="n">
        <v>86.09999999999999</v>
      </c>
      <c r="T2204" t="n">
        <v>0</v>
      </c>
      <c r="U2204" t="n">
        <v>1897.65</v>
      </c>
      <c r="X2204" t="inlineStr">
        <is>
          <t>aafc-aac</t>
        </is>
      </c>
      <c r="Y2204" t="inlineStr">
        <is>
          <t>Agriculture and Agri-Food Canada | Agriculture et Agroalimentaire Canada</t>
        </is>
      </c>
      <c r="Z2204" t="n">
        <v>2</v>
      </c>
      <c r="AA2204" t="n">
        <v>1897.64999999999</v>
      </c>
      <c r="AB2204">
        <f>ROUND(U2204-AA2204,2)</f>
        <v/>
      </c>
      <c r="AC2204" t="b">
        <v>0</v>
      </c>
      <c r="AD2204">
        <f>IF(U2204="","MISSING_TOTAL",IF(ABS(AB2204)&lt;=0.01,"OK","CHECK"))</f>
        <v/>
      </c>
      <c r="AE2204">
        <f>IF(U2204="","MISSING",IF(AND(AA2204&gt;0,U2204/AA2204&gt;50),"POSSIBLE_SCALE_ERROR","OK"))</f>
        <v/>
      </c>
    </row>
    <row r="2205">
      <c r="A2205" t="inlineStr">
        <is>
          <t>T-2024-P12-006</t>
        </is>
      </c>
      <c r="B2205" t="inlineStr">
        <is>
          <t>MPSES</t>
        </is>
      </c>
      <c r="C2205" t="inlineStr">
        <is>
          <t>Director of Communications</t>
        </is>
      </c>
      <c r="D2205" t="inlineStr">
        <is>
          <t>Directrice des communications</t>
        </is>
      </c>
      <c r="E2205" t="inlineStr">
        <is>
          <t>Annie Cullinan</t>
        </is>
      </c>
      <c r="F2205" t="inlineStr">
        <is>
          <t>To support the Minister at the Boston Seafood Show and to attend meetings</t>
        </is>
      </c>
      <c r="G2205" t="inlineStr">
        <is>
          <t>Soutenir le ministre au Boston Seafood Show et participer aux réunions.</t>
        </is>
      </c>
      <c r="H2205" s="1" t="n">
        <v>45360</v>
      </c>
      <c r="I2205" s="1" t="n">
        <v>45367</v>
      </c>
      <c r="J2205" t="inlineStr">
        <is>
          <t>Boston (Massachusetts) United States
Charlottetown (Prince Edward Island) Canada</t>
        </is>
      </c>
      <c r="K2205" t="inlineStr">
        <is>
          <t>Boston (Massachusetts) États-Unis
Charlottetown (Île-du-Prince-Édouard) Canada</t>
        </is>
      </c>
      <c r="P2205" t="n">
        <v>2360.53</v>
      </c>
      <c r="Q2205" t="n">
        <v>46.02</v>
      </c>
      <c r="R2205" t="n">
        <v>2349.75</v>
      </c>
      <c r="S2205" t="n">
        <v>546.1</v>
      </c>
      <c r="T2205" t="n">
        <v>0</v>
      </c>
      <c r="U2205" t="n">
        <v>5302.4</v>
      </c>
      <c r="X2205" t="inlineStr">
        <is>
          <t>aafc-aac</t>
        </is>
      </c>
      <c r="Y2205" t="inlineStr">
        <is>
          <t>Agriculture and Agri-Food Canada | Agriculture et Agroalimentaire Canada</t>
        </is>
      </c>
      <c r="Z2205" t="n">
        <v>8</v>
      </c>
      <c r="AA2205" t="n">
        <v>5302.4</v>
      </c>
      <c r="AB2205">
        <f>ROUND(U2205-AA2205,2)</f>
        <v/>
      </c>
      <c r="AC2205" t="b">
        <v>0</v>
      </c>
      <c r="AD2205">
        <f>IF(U2205="","MISSING_TOTAL",IF(ABS(AB2205)&lt;=0.01,"OK","CHECK"))</f>
        <v/>
      </c>
      <c r="AE2205">
        <f>IF(U2205="","MISSING",IF(AND(AA2205&gt;0,U2205/AA2205&gt;50),"POSSIBLE_SCALE_ERROR","OK"))</f>
        <v/>
      </c>
    </row>
    <row r="2206">
      <c r="A2206" t="inlineStr">
        <is>
          <t>T-2024-P12-007</t>
        </is>
      </c>
      <c r="B2206" t="inlineStr">
        <is>
          <t>MPSES</t>
        </is>
      </c>
      <c r="C2206" t="inlineStr">
        <is>
          <t>Senior Special Assistant</t>
        </is>
      </c>
      <c r="D2206" t="inlineStr">
        <is>
          <t>Adjoint spécial principal</t>
        </is>
      </c>
      <c r="E2206" t="inlineStr">
        <is>
          <t>Michael Ferguson</t>
        </is>
      </c>
      <c r="F2206" t="inlineStr">
        <is>
          <t>To support the Minister at a tour of the Folly River Farm and attend meetings</t>
        </is>
      </c>
      <c r="G2206" t="inlineStr">
        <is>
          <t>Accompagner le ministre lors d'une visite de la ferme de Folly River et participer à des réunions.</t>
        </is>
      </c>
      <c r="H2206" s="1" t="n">
        <v>45357</v>
      </c>
      <c r="I2206" s="1" t="n">
        <v>45361</v>
      </c>
      <c r="J2206" t="inlineStr">
        <is>
          <t>Halifax (Nova Scotia) Canada
Charlottetown (Prince Edward Island) Canada</t>
        </is>
      </c>
      <c r="K2206" t="inlineStr">
        <is>
          <t>Halifax (Nouvelle-Écosse) Canada
Charlottetown (Île-du-Prince-Édouard) Canada</t>
        </is>
      </c>
      <c r="P2206" t="n">
        <v>1621.55</v>
      </c>
      <c r="Q2206" t="n">
        <v>291.7</v>
      </c>
      <c r="R2206" t="n">
        <v>200.27</v>
      </c>
      <c r="S2206" t="n">
        <v>109.45</v>
      </c>
      <c r="T2206" t="n">
        <v>0</v>
      </c>
      <c r="U2206" t="n">
        <v>2222.97</v>
      </c>
      <c r="X2206" t="inlineStr">
        <is>
          <t>aafc-aac</t>
        </is>
      </c>
      <c r="Y2206" t="inlineStr">
        <is>
          <t>Agriculture and Agri-Food Canada | Agriculture et Agroalimentaire Canada</t>
        </is>
      </c>
      <c r="Z2206" t="n">
        <v>5</v>
      </c>
      <c r="AA2206" t="n">
        <v>2222.97</v>
      </c>
      <c r="AB2206">
        <f>ROUND(U2206-AA2206,2)</f>
        <v/>
      </c>
      <c r="AC2206" t="b">
        <v>0</v>
      </c>
      <c r="AD2206">
        <f>IF(U2206="","MISSING_TOTAL",IF(ABS(AB2206)&lt;=0.01,"OK","CHECK"))</f>
        <v/>
      </c>
      <c r="AE2206">
        <f>IF(U2206="","MISSING",IF(AND(AA2206&gt;0,U2206/AA2206&gt;50),"POSSIBLE_SCALE_ERROR","OK"))</f>
        <v/>
      </c>
    </row>
    <row r="2207">
      <c r="A2207" t="inlineStr">
        <is>
          <t>T-2024-P12-008</t>
        </is>
      </c>
      <c r="B2207" t="inlineStr">
        <is>
          <t>MPSES</t>
        </is>
      </c>
      <c r="C2207" t="inlineStr">
        <is>
          <t>Director of Parliamentary Affairs</t>
        </is>
      </c>
      <c r="D2207" t="inlineStr">
        <is>
          <t>Directeur des affaires parlementaires</t>
        </is>
      </c>
      <c r="E2207" t="inlineStr">
        <is>
          <t>Bradley Henstock</t>
        </is>
      </c>
      <c r="F2207" t="inlineStr">
        <is>
          <t>To accompany the Minister for a Wine Sector Support Announcement</t>
        </is>
      </c>
      <c r="G2207" t="inlineStr">
        <is>
          <t>Accompagner le ministre pour une annonce de soutien au secteur vitivinicole</t>
        </is>
      </c>
      <c r="H2207" s="1" t="n">
        <v>45351</v>
      </c>
      <c r="I2207" s="1" t="n">
        <v>45352</v>
      </c>
      <c r="J2207" t="inlineStr">
        <is>
          <t>Niagara Falls (Ontario) Canada</t>
        </is>
      </c>
      <c r="K2207" t="inlineStr">
        <is>
          <t>Niagara Falls (Ontario) Canada</t>
        </is>
      </c>
      <c r="P2207" t="n">
        <v>1198.08</v>
      </c>
      <c r="Q2207" t="n">
        <v>200.13</v>
      </c>
      <c r="R2207" t="n">
        <v>155.89</v>
      </c>
      <c r="S2207" t="n">
        <v>85.09999999999999</v>
      </c>
      <c r="T2207" t="n">
        <v>0</v>
      </c>
      <c r="U2207" t="n">
        <v>1639.2</v>
      </c>
      <c r="X2207" t="inlineStr">
        <is>
          <t>aafc-aac</t>
        </is>
      </c>
      <c r="Y2207" t="inlineStr">
        <is>
          <t>Agriculture and Agri-Food Canada | Agriculture et Agroalimentaire Canada</t>
        </is>
      </c>
      <c r="Z2207" t="n">
        <v>2</v>
      </c>
      <c r="AA2207" t="n">
        <v>1639.19999999999</v>
      </c>
      <c r="AB2207">
        <f>ROUND(U2207-AA2207,2)</f>
        <v/>
      </c>
      <c r="AC2207" t="b">
        <v>0</v>
      </c>
      <c r="AD2207">
        <f>IF(U2207="","MISSING_TOTAL",IF(ABS(AB2207)&lt;=0.01,"OK","CHECK"))</f>
        <v/>
      </c>
      <c r="AE2207">
        <f>IF(U2207="","MISSING",IF(AND(AA2207&gt;0,U2207/AA2207&gt;50),"POSSIBLE_SCALE_ERROR","OK"))</f>
        <v/>
      </c>
    </row>
    <row r="2208">
      <c r="A2208" t="inlineStr">
        <is>
          <t>T-2024-P12-009</t>
        </is>
      </c>
      <c r="B2208" t="inlineStr">
        <is>
          <t>MPSES</t>
        </is>
      </c>
      <c r="C2208" t="inlineStr">
        <is>
          <t>Director of Parliamentary Affairs</t>
        </is>
      </c>
      <c r="D2208" t="inlineStr">
        <is>
          <t>Directeur des affaires parlementaires</t>
        </is>
      </c>
      <c r="E2208" t="inlineStr">
        <is>
          <t>Bradley Henstock</t>
        </is>
      </c>
      <c r="F2208" t="inlineStr">
        <is>
          <t>To support the Minister at a Boston Seafood Show</t>
        </is>
      </c>
      <c r="G2208" t="inlineStr">
        <is>
          <t>Soutenir le ministre lors d'un salon des fruits de mer à Boston</t>
        </is>
      </c>
      <c r="H2208" s="1" t="n">
        <v>45360</v>
      </c>
      <c r="I2208" s="1" t="n">
        <v>45363</v>
      </c>
      <c r="J2208" t="inlineStr">
        <is>
          <t>Boston (Massachusetts) United States</t>
        </is>
      </c>
      <c r="K2208" t="inlineStr">
        <is>
          <t>Boston (Massachusetts) États-Unis</t>
        </is>
      </c>
      <c r="P2208" t="n">
        <v>1152.15</v>
      </c>
      <c r="Q2208" t="n">
        <v>43.54</v>
      </c>
      <c r="R2208" t="n">
        <v>1629.65</v>
      </c>
      <c r="S2208" t="n">
        <v>255</v>
      </c>
      <c r="T2208" t="n">
        <v>0</v>
      </c>
      <c r="U2208" t="n">
        <v>3080.34</v>
      </c>
      <c r="X2208" t="inlineStr">
        <is>
          <t>aafc-aac</t>
        </is>
      </c>
      <c r="Y2208" t="inlineStr">
        <is>
          <t>Agriculture and Agri-Food Canada | Agriculture et Agroalimentaire Canada</t>
        </is>
      </c>
      <c r="Z2208" t="n">
        <v>4</v>
      </c>
      <c r="AA2208" t="n">
        <v>3080.34</v>
      </c>
      <c r="AB2208">
        <f>ROUND(U2208-AA2208,2)</f>
        <v/>
      </c>
      <c r="AC2208" t="b">
        <v>0</v>
      </c>
      <c r="AD2208">
        <f>IF(U2208="","MISSING_TOTAL",IF(ABS(AB2208)&lt;=0.01,"OK","CHECK"))</f>
        <v/>
      </c>
      <c r="AE2208">
        <f>IF(U2208="","MISSING",IF(AND(AA2208&gt;0,U2208/AA2208&gt;50),"POSSIBLE_SCALE_ERROR","OK"))</f>
        <v/>
      </c>
    </row>
    <row r="2209">
      <c r="A2209" t="inlineStr">
        <is>
          <t>T-2024-P12-010</t>
        </is>
      </c>
      <c r="B2209" t="inlineStr">
        <is>
          <t>MPSES</t>
        </is>
      </c>
      <c r="C2209" t="inlineStr">
        <is>
          <t>Director of Operations</t>
        </is>
      </c>
      <c r="D2209" t="inlineStr">
        <is>
          <t>Directrice des opérations</t>
        </is>
      </c>
      <c r="E2209" t="inlineStr">
        <is>
          <t>Maria Morley</t>
        </is>
      </c>
      <c r="F2209" t="inlineStr">
        <is>
          <t>To accompany the Minister on a tour</t>
        </is>
      </c>
      <c r="G2209" t="inlineStr">
        <is>
          <t>Accompagner le ministre lors d'une visite</t>
        </is>
      </c>
      <c r="H2209" s="1" t="n">
        <v>45338</v>
      </c>
      <c r="I2209" s="1" t="n">
        <v>45346</v>
      </c>
      <c r="J2209" t="inlineStr">
        <is>
          <t>Kuala Lumpur, Malaysia
Manila, Philippines</t>
        </is>
      </c>
      <c r="K2209" t="inlineStr">
        <is>
          <t>Kuala Lumpur, Malaisie
Manille, Philippines</t>
        </is>
      </c>
      <c r="P2209" t="n">
        <v>13832.68</v>
      </c>
      <c r="Q2209" t="n">
        <v>68.92</v>
      </c>
      <c r="R2209" t="n">
        <v>1386.49</v>
      </c>
      <c r="S2209" t="n">
        <v>752.28</v>
      </c>
      <c r="T2209" t="n">
        <v>0</v>
      </c>
      <c r="U2209" t="n">
        <v>16040.37</v>
      </c>
      <c r="X2209" t="inlineStr">
        <is>
          <t>aafc-aac</t>
        </is>
      </c>
      <c r="Y2209" t="inlineStr">
        <is>
          <t>Agriculture and Agri-Food Canada | Agriculture et Agroalimentaire Canada</t>
        </is>
      </c>
      <c r="Z2209" t="n">
        <v>9</v>
      </c>
      <c r="AA2209" t="n">
        <v>16040.37</v>
      </c>
      <c r="AB2209">
        <f>ROUND(U2209-AA2209,2)</f>
        <v/>
      </c>
      <c r="AC2209" t="b">
        <v>0</v>
      </c>
      <c r="AD2209">
        <f>IF(U2209="","MISSING_TOTAL",IF(ABS(AB2209)&lt;=0.01,"OK","CHECK"))</f>
        <v/>
      </c>
      <c r="AE2209">
        <f>IF(U2209="","MISSING",IF(AND(AA2209&gt;0,U2209/AA2209&gt;50),"POSSIBLE_SCALE_ERROR","OK"))</f>
        <v/>
      </c>
    </row>
    <row r="2210">
      <c r="A2210" t="inlineStr">
        <is>
          <t>T-2024-P12-011</t>
        </is>
      </c>
      <c r="B2210" t="inlineStr">
        <is>
          <t>SLE</t>
        </is>
      </c>
      <c r="C2210" t="inlineStr">
        <is>
          <t>Deputy Minister</t>
        </is>
      </c>
      <c r="D2210" t="inlineStr">
        <is>
          <t>Sous-ministre</t>
        </is>
      </c>
      <c r="E2210" t="inlineStr">
        <is>
          <t>Stefanie Beck</t>
        </is>
      </c>
      <c r="F2210" t="inlineStr">
        <is>
          <t>To meet with Research and Development and stakeholders</t>
        </is>
      </c>
      <c r="G2210" t="inlineStr">
        <is>
          <t>Rencontrer les responsables de la recherche et du développement et les parties prenantes.</t>
        </is>
      </c>
      <c r="H2210" s="1" t="n">
        <v>45344</v>
      </c>
      <c r="I2210" s="1" t="n">
        <v>45345</v>
      </c>
      <c r="J2210" t="inlineStr">
        <is>
          <t>London (Ontario) Canada</t>
        </is>
      </c>
      <c r="K2210" t="inlineStr">
        <is>
          <t>London (Ontario) Canada</t>
        </is>
      </c>
      <c r="P2210" t="n">
        <v>1295.09</v>
      </c>
      <c r="Q2210" t="n">
        <v>67.20999999999999</v>
      </c>
      <c r="R2210" t="n">
        <v>166.88</v>
      </c>
      <c r="S2210" t="n">
        <v>204.5</v>
      </c>
      <c r="T2210" t="n">
        <v>0</v>
      </c>
      <c r="U2210" t="n">
        <v>1733.68</v>
      </c>
      <c r="X2210" t="inlineStr">
        <is>
          <t>aafc-aac</t>
        </is>
      </c>
      <c r="Y2210" t="inlineStr">
        <is>
          <t>Agriculture and Agri-Food Canada | Agriculture et Agroalimentaire Canada</t>
        </is>
      </c>
      <c r="Z2210" t="n">
        <v>2</v>
      </c>
      <c r="AA2210" t="n">
        <v>1733.67999999999</v>
      </c>
      <c r="AB2210">
        <f>ROUND(U2210-AA2210,2)</f>
        <v/>
      </c>
      <c r="AC2210" t="b">
        <v>0</v>
      </c>
      <c r="AD2210">
        <f>IF(U2210="","MISSING_TOTAL",IF(ABS(AB2210)&lt;=0.01,"OK","CHECK"))</f>
        <v/>
      </c>
      <c r="AE2210">
        <f>IF(U2210="","MISSING",IF(AND(AA2210&gt;0,U2210/AA2210&gt;50),"POSSIBLE_SCALE_ERROR","OK"))</f>
        <v/>
      </c>
    </row>
    <row r="2211">
      <c r="A2211" t="inlineStr">
        <is>
          <t>T-2024-P12-012</t>
        </is>
      </c>
      <c r="B2211" t="inlineStr">
        <is>
          <t>SLE</t>
        </is>
      </c>
      <c r="C2211" t="inlineStr">
        <is>
          <t>Driver</t>
        </is>
      </c>
      <c r="D2211" t="inlineStr">
        <is>
          <t>Chauffeur</t>
        </is>
      </c>
      <c r="E2211" t="inlineStr">
        <is>
          <t>Stephane Lafreniere</t>
        </is>
      </c>
      <c r="F2211" t="inlineStr">
        <is>
          <t>To drive the Deputy Minister to attend meetings with the Minister</t>
        </is>
      </c>
      <c r="G2211" t="inlineStr">
        <is>
          <t>Conduire la sous-ministre pour qu'elle assiste aux réunions avec le ministre</t>
        </is>
      </c>
      <c r="H2211" s="1" t="n">
        <v>45119</v>
      </c>
      <c r="I2211" s="1" t="n">
        <v>45120</v>
      </c>
      <c r="J2211" t="inlineStr">
        <is>
          <t>Sherbrooke (Quebec) Canada</t>
        </is>
      </c>
      <c r="K2211" t="inlineStr">
        <is>
          <t>Sherbrooke (Québec) Canada</t>
        </is>
      </c>
      <c r="P2211" t="n">
        <v>0</v>
      </c>
      <c r="Q2211" t="n">
        <v>19</v>
      </c>
      <c r="R2211" t="n">
        <v>201.8</v>
      </c>
      <c r="S2211" t="n">
        <v>222.9</v>
      </c>
      <c r="T2211" t="n">
        <v>0</v>
      </c>
      <c r="U2211" t="n">
        <v>443.7</v>
      </c>
      <c r="X2211" t="inlineStr">
        <is>
          <t>aafc-aac</t>
        </is>
      </c>
      <c r="Y2211" t="inlineStr">
        <is>
          <t>Agriculture and Agri-Food Canada | Agriculture et Agroalimentaire Canada</t>
        </is>
      </c>
      <c r="Z2211" t="n">
        <v>2</v>
      </c>
      <c r="AA2211" t="n">
        <v>443.7</v>
      </c>
      <c r="AB2211">
        <f>ROUND(U2211-AA2211,2)</f>
        <v/>
      </c>
      <c r="AC2211" t="b">
        <v>0</v>
      </c>
      <c r="AD2211">
        <f>IF(U2211="","MISSING_TOTAL",IF(ABS(AB2211)&lt;=0.01,"OK","CHECK"))</f>
        <v/>
      </c>
      <c r="AE2211">
        <f>IF(U2211="","MISSING",IF(AND(AA2211&gt;0,U2211/AA2211&gt;50),"POSSIBLE_SCALE_ERROR","OK"))</f>
        <v/>
      </c>
    </row>
    <row r="2212">
      <c r="A2212" t="inlineStr">
        <is>
          <t>T-2024-P12-013</t>
        </is>
      </c>
      <c r="B2212" t="inlineStr">
        <is>
          <t>SLE</t>
        </is>
      </c>
      <c r="C2212" t="inlineStr">
        <is>
          <t>Driver</t>
        </is>
      </c>
      <c r="D2212" t="inlineStr">
        <is>
          <t>Chauffeur</t>
        </is>
      </c>
      <c r="E2212" t="inlineStr">
        <is>
          <t>Stephane Lafreniere</t>
        </is>
      </c>
      <c r="F2212" t="inlineStr">
        <is>
          <t>To drive the Deputy Minister to attend a Departmental Advisory Committee</t>
        </is>
      </c>
      <c r="G2212" t="inlineStr">
        <is>
          <t>Conduire la sous-ministre pour assister à un comité consultatif ministériel</t>
        </is>
      </c>
      <c r="H2212" s="1" t="n">
        <v>45211</v>
      </c>
      <c r="I2212" s="1" t="n">
        <v>45212</v>
      </c>
      <c r="J2212" t="inlineStr">
        <is>
          <t>Saint-Hyacinthe (Quebec) Canada</t>
        </is>
      </c>
      <c r="K2212" t="inlineStr">
        <is>
          <t>Saint-Hyacinthe (Québec) Canada</t>
        </is>
      </c>
      <c r="P2212" t="n">
        <v>0</v>
      </c>
      <c r="Q2212" t="n">
        <v>7</v>
      </c>
      <c r="R2212" t="n">
        <v>272.51</v>
      </c>
      <c r="S2212" t="n">
        <v>193.05</v>
      </c>
      <c r="T2212" t="n">
        <v>0</v>
      </c>
      <c r="U2212" t="n">
        <v>472.56</v>
      </c>
      <c r="X2212" t="inlineStr">
        <is>
          <t>aafc-aac</t>
        </is>
      </c>
      <c r="Y2212" t="inlineStr">
        <is>
          <t>Agriculture and Agri-Food Canada | Agriculture et Agroalimentaire Canada</t>
        </is>
      </c>
      <c r="Z2212" t="n">
        <v>2</v>
      </c>
      <c r="AA2212" t="n">
        <v>472.56</v>
      </c>
      <c r="AB2212">
        <f>ROUND(U2212-AA2212,2)</f>
        <v/>
      </c>
      <c r="AC2212" t="b">
        <v>0</v>
      </c>
      <c r="AD2212">
        <f>IF(U2212="","MISSING_TOTAL",IF(ABS(AB2212)&lt;=0.01,"OK","CHECK"))</f>
        <v/>
      </c>
      <c r="AE2212">
        <f>IF(U2212="","MISSING",IF(AND(AA2212&gt;0,U2212/AA2212&gt;50),"POSSIBLE_SCALE_ERROR","OK"))</f>
        <v/>
      </c>
    </row>
    <row r="2213">
      <c r="A2213" t="inlineStr">
        <is>
          <t>T-2024-P12-014</t>
        </is>
      </c>
      <c r="B2213" t="inlineStr">
        <is>
          <t>SLE</t>
        </is>
      </c>
      <c r="C2213" t="inlineStr">
        <is>
          <t>Driver</t>
        </is>
      </c>
      <c r="D2213" t="inlineStr">
        <is>
          <t>Chauffeur</t>
        </is>
      </c>
      <c r="E2213" t="inlineStr">
        <is>
          <t>Stephane Lafreniere</t>
        </is>
      </c>
      <c r="F2213" t="inlineStr">
        <is>
          <t>Drive the Deputy Minister to meet with Research and Development and stakeholders.</t>
        </is>
      </c>
      <c r="G2213" t="inlineStr">
        <is>
          <t>Conduire la sous-ministre à une réunion avec les responsables de la recherche et du développement et les parties prenantes.</t>
        </is>
      </c>
      <c r="H2213" s="1" t="n">
        <v>45344</v>
      </c>
      <c r="I2213" s="1" t="n">
        <v>45345</v>
      </c>
      <c r="J2213" t="inlineStr">
        <is>
          <t>London (Ontario) Canada</t>
        </is>
      </c>
      <c r="K2213" t="inlineStr">
        <is>
          <t>London (Ontario) Canada</t>
        </is>
      </c>
      <c r="P2213" t="n">
        <v>0</v>
      </c>
      <c r="Q2213" t="n">
        <v>6</v>
      </c>
      <c r="R2213" t="n">
        <v>166.88</v>
      </c>
      <c r="S2213" t="n">
        <v>193.05</v>
      </c>
      <c r="T2213" t="n">
        <v>0</v>
      </c>
      <c r="U2213" t="n">
        <v>365.93</v>
      </c>
      <c r="X2213" t="inlineStr">
        <is>
          <t>aafc-aac</t>
        </is>
      </c>
      <c r="Y2213" t="inlineStr">
        <is>
          <t>Agriculture and Agri-Food Canada | Agriculture et Agroalimentaire Canada</t>
        </is>
      </c>
      <c r="Z2213" t="n">
        <v>2</v>
      </c>
      <c r="AA2213" t="n">
        <v>365.93</v>
      </c>
      <c r="AB2213">
        <f>ROUND(U2213-AA2213,2)</f>
        <v/>
      </c>
      <c r="AC2213" t="b">
        <v>0</v>
      </c>
      <c r="AD2213">
        <f>IF(U2213="","MISSING_TOTAL",IF(ABS(AB2213)&lt;=0.01,"OK","CHECK"))</f>
        <v/>
      </c>
      <c r="AE2213">
        <f>IF(U2213="","MISSING",IF(AND(AA2213&gt;0,U2213/AA2213&gt;50),"POSSIBLE_SCALE_ERROR","OK"))</f>
        <v/>
      </c>
    </row>
    <row r="2214">
      <c r="A2214" t="inlineStr">
        <is>
          <t>T-2024-P12-015</t>
        </is>
      </c>
      <c r="B2214" t="inlineStr">
        <is>
          <t>SLE</t>
        </is>
      </c>
      <c r="C2214" t="inlineStr">
        <is>
          <t>Corporate Secretary</t>
        </is>
      </c>
      <c r="D2214" t="inlineStr">
        <is>
          <t>Secrétaire générale</t>
        </is>
      </c>
      <c r="E2214" t="inlineStr">
        <is>
          <t>Tamara Abel</t>
        </is>
      </c>
      <c r="F2214" t="inlineStr">
        <is>
          <t>Operational activities</t>
        </is>
      </c>
      <c r="G2214" t="inlineStr">
        <is>
          <t>Activités opérationnelles</t>
        </is>
      </c>
      <c r="H2214" s="1" t="n">
        <v>45333</v>
      </c>
      <c r="I2214" s="1" t="n">
        <v>45337</v>
      </c>
      <c r="J2214" t="inlineStr">
        <is>
          <t>Ottawa (Ontario) Canada</t>
        </is>
      </c>
      <c r="K2214" t="inlineStr">
        <is>
          <t>Ottawa (Ontario) Canada</t>
        </is>
      </c>
      <c r="P2214" t="n">
        <v>904.97</v>
      </c>
      <c r="Q2214" t="n">
        <v>333.99</v>
      </c>
      <c r="R2214" t="n">
        <v>1057.17</v>
      </c>
      <c r="S2214" t="n">
        <v>524.3</v>
      </c>
      <c r="T2214" t="n">
        <v>0</v>
      </c>
      <c r="U2214" t="n">
        <v>2820.43</v>
      </c>
      <c r="X2214" t="inlineStr">
        <is>
          <t>aafc-aac</t>
        </is>
      </c>
      <c r="Y2214" t="inlineStr">
        <is>
          <t>Agriculture and Agri-Food Canada | Agriculture et Agroalimentaire Canada</t>
        </is>
      </c>
      <c r="Z2214" t="n">
        <v>5</v>
      </c>
      <c r="AA2214" t="n">
        <v>2820.43</v>
      </c>
      <c r="AB2214">
        <f>ROUND(U2214-AA2214,2)</f>
        <v/>
      </c>
      <c r="AC2214" t="b">
        <v>0</v>
      </c>
      <c r="AD2214">
        <f>IF(U2214="","MISSING_TOTAL",IF(ABS(AB2214)&lt;=0.01,"OK","CHECK"))</f>
        <v/>
      </c>
      <c r="AE2214">
        <f>IF(U2214="","MISSING",IF(AND(AA2214&gt;0,U2214/AA2214&gt;50),"POSSIBLE_SCALE_ERROR","OK"))</f>
        <v/>
      </c>
    </row>
    <row r="2215">
      <c r="A2215" t="inlineStr">
        <is>
          <t>T-2024-P12-016</t>
        </is>
      </c>
      <c r="B2215" t="inlineStr">
        <is>
          <t>SLE</t>
        </is>
      </c>
      <c r="C2215" t="inlineStr">
        <is>
          <t>Corporate Secretary</t>
        </is>
      </c>
      <c r="D2215" t="inlineStr">
        <is>
          <t>Secrétaire générale</t>
        </is>
      </c>
      <c r="E2215" t="inlineStr">
        <is>
          <t>Tamara Abel</t>
        </is>
      </c>
      <c r="F2215" t="inlineStr">
        <is>
          <t>Operational activities</t>
        </is>
      </c>
      <c r="G2215" t="inlineStr">
        <is>
          <t>Activités opérationnelles</t>
        </is>
      </c>
      <c r="H2215" s="1" t="n">
        <v>45350</v>
      </c>
      <c r="I2215" s="1" t="n">
        <v>45352</v>
      </c>
      <c r="J2215" t="inlineStr">
        <is>
          <t>Ottawa (Ontario) Canada</t>
        </is>
      </c>
      <c r="K2215" t="inlineStr">
        <is>
          <t>Ottawa (Ontario) Canada</t>
        </is>
      </c>
      <c r="P2215" t="n">
        <v>733.14</v>
      </c>
      <c r="Q2215" t="n">
        <v>384.9</v>
      </c>
      <c r="R2215" t="n">
        <v>1178.2</v>
      </c>
      <c r="S2215" t="n">
        <v>573.3</v>
      </c>
      <c r="T2215" t="n">
        <v>0</v>
      </c>
      <c r="U2215" t="n">
        <v>2869.54</v>
      </c>
      <c r="X2215" t="inlineStr">
        <is>
          <t>aafc-aac</t>
        </is>
      </c>
      <c r="Y2215" t="inlineStr">
        <is>
          <t>Agriculture and Agri-Food Canada | Agriculture et Agroalimentaire Canada</t>
        </is>
      </c>
      <c r="Z2215" t="n">
        <v>3</v>
      </c>
      <c r="AA2215" t="n">
        <v>2869.54</v>
      </c>
      <c r="AB2215">
        <f>ROUND(U2215-AA2215,2)</f>
        <v/>
      </c>
      <c r="AC2215" t="b">
        <v>0</v>
      </c>
      <c r="AD2215">
        <f>IF(U2215="","MISSING_TOTAL",IF(ABS(AB2215)&lt;=0.01,"OK","CHECK"))</f>
        <v/>
      </c>
      <c r="AE2215">
        <f>IF(U2215="","MISSING",IF(AND(AA2215&gt;0,U2215/AA2215&gt;50),"POSSIBLE_SCALE_ERROR","OK"))</f>
        <v/>
      </c>
    </row>
    <row r="2216">
      <c r="A2216" t="inlineStr">
        <is>
          <t>T-2024-P12-017</t>
        </is>
      </c>
      <c r="B2216" t="inlineStr">
        <is>
          <t>SLE</t>
        </is>
      </c>
      <c r="C2216" t="inlineStr">
        <is>
          <t>Assistant Deputy Minister, Science and Technology Branch</t>
        </is>
      </c>
      <c r="D2216" t="inlineStr">
        <is>
          <t>Sous-ministre adjoint, Direction générale des sciences et de la technologie</t>
        </is>
      </c>
      <c r="E2216" t="inlineStr">
        <is>
          <t>Gilles Saindon</t>
        </is>
      </c>
      <c r="F2216" t="inlineStr">
        <is>
          <t>Outreach at the Agassiz Research Centre and at the Summerland Research Centre</t>
        </is>
      </c>
      <c r="G2216" t="inlineStr">
        <is>
          <t>Visite de sensibilisation au centre de recherche Agassiz et au centre de recherche Summerland</t>
        </is>
      </c>
      <c r="H2216" s="1" t="n">
        <v>45355</v>
      </c>
      <c r="I2216" s="1" t="n">
        <v>45359</v>
      </c>
      <c r="J2216" t="inlineStr">
        <is>
          <t>Agassiz (Bristish Columbia) Canada 
Summerland (Bristish Columbia) Canada</t>
        </is>
      </c>
      <c r="K2216" t="inlineStr">
        <is>
          <t>Agassiz (Colombie-Britannique) Canada
Summerland (Colombie-Britannique) Canada</t>
        </is>
      </c>
      <c r="P2216" t="n">
        <v>2388.11</v>
      </c>
      <c r="Q2216" t="n">
        <v>173</v>
      </c>
      <c r="R2216" t="n">
        <v>1073.04</v>
      </c>
      <c r="S2216" t="n">
        <v>524.3</v>
      </c>
      <c r="T2216" t="n">
        <v>0</v>
      </c>
      <c r="U2216" t="n">
        <v>4158.45</v>
      </c>
      <c r="X2216" t="inlineStr">
        <is>
          <t>aafc-aac</t>
        </is>
      </c>
      <c r="Y2216" t="inlineStr">
        <is>
          <t>Agriculture and Agri-Food Canada | Agriculture et Agroalimentaire Canada</t>
        </is>
      </c>
      <c r="Z2216" t="n">
        <v>5</v>
      </c>
      <c r="AA2216" t="n">
        <v>4158.45</v>
      </c>
      <c r="AB2216">
        <f>ROUND(U2216-AA2216,2)</f>
        <v/>
      </c>
      <c r="AC2216" t="b">
        <v>0</v>
      </c>
      <c r="AD2216">
        <f>IF(U2216="","MISSING_TOTAL",IF(ABS(AB2216)&lt;=0.01,"OK","CHECK"))</f>
        <v/>
      </c>
      <c r="AE2216">
        <f>IF(U2216="","MISSING",IF(AND(AA2216&gt;0,U2216/AA2216&gt;50),"POSSIBLE_SCALE_ERROR","OK"))</f>
        <v/>
      </c>
    </row>
    <row r="2217">
      <c r="A2217" t="inlineStr">
        <is>
          <t>T-2024-P12-018</t>
        </is>
      </c>
      <c r="B2217" t="inlineStr">
        <is>
          <t>SLE</t>
        </is>
      </c>
      <c r="C2217" t="inlineStr">
        <is>
          <t>Assistant Deputy Minister, Science and Technology Branch</t>
        </is>
      </c>
      <c r="D2217" t="inlineStr">
        <is>
          <t>Sous-ministre adjoint, Direction générale des sciences et de la technologie</t>
        </is>
      </c>
      <c r="E2217" t="inlineStr">
        <is>
          <t>Gilles Saindon</t>
        </is>
      </c>
      <c r="F2217" t="inlineStr">
        <is>
          <t>To attend the University of Calgary Breakfast on behalf of the Deputy Minister</t>
        </is>
      </c>
      <c r="G2217" t="inlineStr">
        <is>
          <t>Participer au petit déjeuner de l'Université de Calgary au nom de la sous-ministre</t>
        </is>
      </c>
      <c r="H2217" s="1" t="n">
        <v>45328</v>
      </c>
      <c r="I2217" s="1" t="n">
        <v>45328</v>
      </c>
      <c r="J2217" t="inlineStr">
        <is>
          <t>Ottawa (Ontario) Canada</t>
        </is>
      </c>
      <c r="K2217" t="inlineStr">
        <is>
          <t>Ottawa (Ontario) Canada</t>
        </is>
      </c>
      <c r="P2217" t="n">
        <v>0</v>
      </c>
      <c r="Q2217" t="n">
        <v>17.5</v>
      </c>
      <c r="R2217" t="n">
        <v>0</v>
      </c>
      <c r="S2217" t="n">
        <v>0</v>
      </c>
      <c r="T2217" t="n">
        <v>0</v>
      </c>
      <c r="U2217" t="n">
        <v>17.5</v>
      </c>
      <c r="X2217" t="inlineStr">
        <is>
          <t>aafc-aac</t>
        </is>
      </c>
      <c r="Y2217" t="inlineStr">
        <is>
          <t>Agriculture and Agri-Food Canada | Agriculture et Agroalimentaire Canada</t>
        </is>
      </c>
      <c r="Z2217" t="n">
        <v>1</v>
      </c>
      <c r="AA2217" t="n">
        <v>17.5</v>
      </c>
      <c r="AB2217">
        <f>ROUND(U2217-AA2217,2)</f>
        <v/>
      </c>
      <c r="AC2217" t="b">
        <v>0</v>
      </c>
      <c r="AD2217">
        <f>IF(U2217="","MISSING_TOTAL",IF(ABS(AB2217)&lt;=0.01,"OK","CHECK"))</f>
        <v/>
      </c>
      <c r="AE2217">
        <f>IF(U2217="","MISSING",IF(AND(AA2217&gt;0,U2217/AA2217&gt;50),"POSSIBLE_SCALE_ERROR","OK"))</f>
        <v/>
      </c>
    </row>
    <row r="2218">
      <c r="A2218" t="inlineStr">
        <is>
          <t>T-2024-P12-019</t>
        </is>
      </c>
      <c r="B2218" t="inlineStr">
        <is>
          <t>SLE</t>
        </is>
      </c>
      <c r="C2218" t="inlineStr">
        <is>
          <t>Assistant Deputy Minister, Science and Technology Branch</t>
        </is>
      </c>
      <c r="D2218" t="inlineStr">
        <is>
          <t>Sous-ministre adjoint, Direction générale des sciences et de la technologie</t>
        </is>
      </c>
      <c r="E2218" t="inlineStr">
        <is>
          <t>Gilles Saindon</t>
        </is>
      </c>
      <c r="F2218" t="inlineStr">
        <is>
          <t>To attend the Future of Food conference – Canada’s Agriculture Day</t>
        </is>
      </c>
      <c r="G2218" t="inlineStr">
        <is>
          <t>Participer à la conférence Nourrir l'avenir - Jour de l'agriculture canadienne</t>
        </is>
      </c>
      <c r="H2218" s="1" t="n">
        <v>45335</v>
      </c>
      <c r="I2218" s="1" t="n">
        <v>45335</v>
      </c>
      <c r="J2218" t="inlineStr">
        <is>
          <t>Ottawa (Ontario) Canada</t>
        </is>
      </c>
      <c r="K2218" t="inlineStr">
        <is>
          <t>Ottawa (Ontario) Canada</t>
        </is>
      </c>
      <c r="P2218" t="n">
        <v>0</v>
      </c>
      <c r="Q2218" t="n">
        <v>14</v>
      </c>
      <c r="R2218" t="n">
        <v>0</v>
      </c>
      <c r="S2218" t="n">
        <v>0</v>
      </c>
      <c r="T2218" t="n">
        <v>0</v>
      </c>
      <c r="U2218" t="n">
        <v>14</v>
      </c>
      <c r="X2218" t="inlineStr">
        <is>
          <t>aafc-aac</t>
        </is>
      </c>
      <c r="Y2218" t="inlineStr">
        <is>
          <t>Agriculture and Agri-Food Canada | Agriculture et Agroalimentaire Canada</t>
        </is>
      </c>
      <c r="Z2218" t="n">
        <v>1</v>
      </c>
      <c r="AA2218" t="n">
        <v>14</v>
      </c>
      <c r="AB2218">
        <f>ROUND(U2218-AA2218,2)</f>
        <v/>
      </c>
      <c r="AC2218" t="b">
        <v>0</v>
      </c>
      <c r="AD2218">
        <f>IF(U2218="","MISSING_TOTAL",IF(ABS(AB2218)&lt;=0.01,"OK","CHECK"))</f>
        <v/>
      </c>
      <c r="AE2218">
        <f>IF(U2218="","MISSING",IF(AND(AA2218&gt;0,U2218/AA2218&gt;50),"POSSIBLE_SCALE_ERROR","OK"))</f>
        <v/>
      </c>
    </row>
    <row r="2219">
      <c r="A2219" t="inlineStr">
        <is>
          <t>T-2024-P12-020</t>
        </is>
      </c>
      <c r="B2219" t="inlineStr">
        <is>
          <t>SLE</t>
        </is>
      </c>
      <c r="C2219" t="inlineStr">
        <is>
          <t>Assistant Deputy Minister, International Affairs Branch</t>
        </is>
      </c>
      <c r="D2219" t="inlineStr">
        <is>
          <t>Sous-ministre adjointe, Direction générale des affaires internationales</t>
        </is>
      </c>
      <c r="E2219" t="inlineStr">
        <is>
          <t>Kathleen Donohue</t>
        </is>
      </c>
      <c r="F2219" t="inlineStr">
        <is>
          <t>To accompany the Minister for ministerial international outreach, then complete an assistant deputy minister international outreach</t>
        </is>
      </c>
      <c r="G2219" t="inlineStr">
        <is>
          <t>Accompagner le ministre pour la sensibilisation ministérielle à l’international, puis participer à la sensibilisation internationale du sous-ministre adjoint</t>
        </is>
      </c>
      <c r="H2219" s="1" t="n">
        <v>45338</v>
      </c>
      <c r="I2219" s="1" t="n">
        <v>45351</v>
      </c>
      <c r="J2219" t="inlineStr">
        <is>
          <t>Kuala Lumpur, Malaysia
Manila, Philippines
Singapore, Singapore</t>
        </is>
      </c>
      <c r="K2219" t="inlineStr">
        <is>
          <t>Kuala Lumpur, Malaisie
Manille, Philippines
Singapour, Singapour</t>
        </is>
      </c>
      <c r="P2219" t="n">
        <v>18190.12</v>
      </c>
      <c r="Q2219" t="n">
        <v>117.99</v>
      </c>
      <c r="R2219" t="n">
        <v>3160.22</v>
      </c>
      <c r="S2219" t="n">
        <v>1264.02</v>
      </c>
      <c r="T2219" t="n">
        <v>0</v>
      </c>
      <c r="U2219" t="n">
        <v>22732.35</v>
      </c>
      <c r="X2219" t="inlineStr">
        <is>
          <t>aafc-aac</t>
        </is>
      </c>
      <c r="Y2219" t="inlineStr">
        <is>
          <t>Agriculture and Agri-Food Canada | Agriculture et Agroalimentaire Canada</t>
        </is>
      </c>
      <c r="Z2219" t="n">
        <v>14</v>
      </c>
      <c r="AA2219" t="n">
        <v>22732.35</v>
      </c>
      <c r="AB2219">
        <f>ROUND(U2219-AA2219,2)</f>
        <v/>
      </c>
      <c r="AC2219" t="b">
        <v>0</v>
      </c>
      <c r="AD2219">
        <f>IF(U2219="","MISSING_TOTAL",IF(ABS(AB2219)&lt;=0.01,"OK","CHECK"))</f>
        <v/>
      </c>
      <c r="AE2219">
        <f>IF(U2219="","MISSING",IF(AND(AA2219&gt;0,U2219/AA2219&gt;50),"POSSIBLE_SCALE_ERROR","OK"))</f>
        <v/>
      </c>
    </row>
    <row r="2220">
      <c r="A2220" t="inlineStr">
        <is>
          <t>T-2024-P12-021</t>
        </is>
      </c>
      <c r="B2220" t="inlineStr">
        <is>
          <t>SLE</t>
        </is>
      </c>
      <c r="C2220" t="inlineStr">
        <is>
          <t>Assistant Deputy Minister, International Affairs Branch</t>
        </is>
      </c>
      <c r="D2220" t="inlineStr">
        <is>
          <t>Sous-ministre adjointe, Direction générale des affaires internationales</t>
        </is>
      </c>
      <c r="E2220" t="inlineStr">
        <is>
          <t>Kathleen Donohue</t>
        </is>
      </c>
      <c r="F2220" t="inlineStr">
        <is>
          <t>To attend the Japanese National Day Reception</t>
        </is>
      </c>
      <c r="G2220" t="inlineStr">
        <is>
          <t>Participer à la réception de la fête nationale japonaise</t>
        </is>
      </c>
      <c r="H2220" s="1" t="n">
        <v>45335</v>
      </c>
      <c r="I2220" s="1" t="n">
        <v>45335</v>
      </c>
      <c r="J2220" t="inlineStr">
        <is>
          <t>Ottawa (Ontario) Canada</t>
        </is>
      </c>
      <c r="K2220" t="inlineStr">
        <is>
          <t>Ottawa (Ontario) Canada</t>
        </is>
      </c>
      <c r="P2220" t="n">
        <v>0</v>
      </c>
      <c r="Q2220" t="n">
        <v>21.71</v>
      </c>
      <c r="R2220" t="n">
        <v>0</v>
      </c>
      <c r="S2220" t="n">
        <v>0</v>
      </c>
      <c r="T2220" t="n">
        <v>0</v>
      </c>
      <c r="U2220" t="n">
        <v>21.71</v>
      </c>
      <c r="X2220" t="inlineStr">
        <is>
          <t>aafc-aac</t>
        </is>
      </c>
      <c r="Y2220" t="inlineStr">
        <is>
          <t>Agriculture and Agri-Food Canada | Agriculture et Agroalimentaire Canada</t>
        </is>
      </c>
      <c r="Z2220" t="n">
        <v>1</v>
      </c>
      <c r="AA2220" t="n">
        <v>21.71</v>
      </c>
      <c r="AB2220">
        <f>ROUND(U2220-AA2220,2)</f>
        <v/>
      </c>
      <c r="AC2220" t="b">
        <v>0</v>
      </c>
      <c r="AD2220">
        <f>IF(U2220="","MISSING_TOTAL",IF(ABS(AB2220)&lt;=0.01,"OK","CHECK"))</f>
        <v/>
      </c>
      <c r="AE2220">
        <f>IF(U2220="","MISSING",IF(AND(AA2220&gt;0,U2220/AA2220&gt;50),"POSSIBLE_SCALE_ERROR","OK"))</f>
        <v/>
      </c>
    </row>
    <row r="2221">
      <c r="A2221" t="inlineStr">
        <is>
          <t>T-2024-P12-022</t>
        </is>
      </c>
      <c r="B2221" t="inlineStr">
        <is>
          <t>SLE</t>
        </is>
      </c>
      <c r="C2221" t="inlineStr">
        <is>
          <t>Associate Assistant Deputy Minister, Science and Technology Branch</t>
        </is>
      </c>
      <c r="D2221" t="inlineStr">
        <is>
          <t>Sous-ministre adjoint délégué, Direction générale des sciences et de la technologie</t>
        </is>
      </c>
      <c r="E2221" t="inlineStr">
        <is>
          <t>Andrew Goldstein</t>
        </is>
      </c>
      <c r="F2221" t="inlineStr">
        <is>
          <t>Outreach visit and meet with staff at the Guelph Research and Development Centre</t>
        </is>
      </c>
      <c r="G2221" t="inlineStr">
        <is>
          <t>Rencontre de sensibilisation avec le personnel du Centre de recherche et de développement de Guelph</t>
        </is>
      </c>
      <c r="H2221" s="1" t="n">
        <v>45348</v>
      </c>
      <c r="I2221" s="1" t="n">
        <v>45349</v>
      </c>
      <c r="J2221" t="inlineStr">
        <is>
          <t>Guelph (Ontario) Canada</t>
        </is>
      </c>
      <c r="K2221" t="inlineStr">
        <is>
          <t>Guelph (Ontario) Canada</t>
        </is>
      </c>
      <c r="P2221" t="n">
        <v>862.7</v>
      </c>
      <c r="Q2221" t="n">
        <v>92.83</v>
      </c>
      <c r="R2221" t="n">
        <v>233.86</v>
      </c>
      <c r="S2221" t="n">
        <v>253.5</v>
      </c>
      <c r="T2221" t="n">
        <v>99.09999999999999</v>
      </c>
      <c r="U2221" t="n">
        <v>1541.99</v>
      </c>
      <c r="X2221" t="inlineStr">
        <is>
          <t>aafc-aac</t>
        </is>
      </c>
      <c r="Y2221" t="inlineStr">
        <is>
          <t>Agriculture and Agri-Food Canada | Agriculture et Agroalimentaire Canada</t>
        </is>
      </c>
      <c r="Z2221" t="n">
        <v>2</v>
      </c>
      <c r="AA2221" t="n">
        <v>1541.99</v>
      </c>
      <c r="AB2221">
        <f>ROUND(U2221-AA2221,2)</f>
        <v/>
      </c>
      <c r="AC2221" t="b">
        <v>0</v>
      </c>
      <c r="AD2221">
        <f>IF(U2221="","MISSING_TOTAL",IF(ABS(AB2221)&lt;=0.01,"OK","CHECK"))</f>
        <v/>
      </c>
      <c r="AE2221">
        <f>IF(U2221="","MISSING",IF(AND(AA2221&gt;0,U2221/AA2221&gt;50),"POSSIBLE_SCALE_ERROR","OK"))</f>
        <v/>
      </c>
    </row>
    <row r="2222">
      <c r="A2222" t="inlineStr">
        <is>
          <t>T-2024-P12-023</t>
        </is>
      </c>
      <c r="B2222" t="inlineStr">
        <is>
          <t>SLE</t>
        </is>
      </c>
      <c r="C2222" t="inlineStr">
        <is>
          <t>Associate Assistant Deputy Minister, Science and Technology Branch</t>
        </is>
      </c>
      <c r="D2222" t="inlineStr">
        <is>
          <t>Sous-ministre adjoint délégué, Direction générale des sciences et de la technologie</t>
        </is>
      </c>
      <c r="E2222" t="inlineStr">
        <is>
          <t>Andrew Goldstein</t>
        </is>
      </c>
      <c r="F2222" t="inlineStr">
        <is>
          <t>To attend the Future of Food conference – Canada’s Agriculture Day</t>
        </is>
      </c>
      <c r="G2222" t="inlineStr">
        <is>
          <t>Participer à la conférence Nourrir l'avenir - Jour de l'agriculture canadienne</t>
        </is>
      </c>
      <c r="H2222" s="1" t="n">
        <v>45335</v>
      </c>
      <c r="I2222" s="1" t="n">
        <v>45335</v>
      </c>
      <c r="J2222" t="inlineStr">
        <is>
          <t>Ottawa (Ontario) Canada</t>
        </is>
      </c>
      <c r="K2222" t="inlineStr">
        <is>
          <t>Ottawa (Ontario) Canada</t>
        </is>
      </c>
      <c r="P2222" t="n">
        <v>0</v>
      </c>
      <c r="Q2222" t="n">
        <v>20</v>
      </c>
      <c r="R2222" t="n">
        <v>0</v>
      </c>
      <c r="S2222" t="n">
        <v>0</v>
      </c>
      <c r="T2222" t="n">
        <v>0</v>
      </c>
      <c r="U2222" t="n">
        <v>20</v>
      </c>
      <c r="X2222" t="inlineStr">
        <is>
          <t>aafc-aac</t>
        </is>
      </c>
      <c r="Y2222" t="inlineStr">
        <is>
          <t>Agriculture and Agri-Food Canada | Agriculture et Agroalimentaire Canada</t>
        </is>
      </c>
      <c r="Z2222" t="n">
        <v>1</v>
      </c>
      <c r="AA2222" t="n">
        <v>20</v>
      </c>
      <c r="AB2222">
        <f>ROUND(U2222-AA2222,2)</f>
        <v/>
      </c>
      <c r="AC2222" t="b">
        <v>0</v>
      </c>
      <c r="AD2222">
        <f>IF(U2222="","MISSING_TOTAL",IF(ABS(AB2222)&lt;=0.01,"OK","CHECK"))</f>
        <v/>
      </c>
      <c r="AE2222">
        <f>IF(U2222="","MISSING",IF(AND(AA2222&gt;0,U2222/AA2222&gt;50),"POSSIBLE_SCALE_ERROR","OK"))</f>
        <v/>
      </c>
    </row>
    <row r="2223">
      <c r="A2223" t="inlineStr">
        <is>
          <t>T-2024-P12-024</t>
        </is>
      </c>
      <c r="B2223" t="inlineStr">
        <is>
          <t>SLE</t>
        </is>
      </c>
      <c r="C2223" t="inlineStr">
        <is>
          <t>Assistant Deputy Minister, Corporate Management Branch</t>
        </is>
      </c>
      <c r="D2223" t="inlineStr">
        <is>
          <t>Sous-ministre adjointe, Direction générale de la gestion intégrée</t>
        </is>
      </c>
      <c r="E2223" t="inlineStr">
        <is>
          <t>Marie-Claude Guérard</t>
        </is>
      </c>
      <c r="F2223" t="inlineStr">
        <is>
          <t>To attend meetings in Ottawa</t>
        </is>
      </c>
      <c r="G2223" t="inlineStr">
        <is>
          <t>Participer aux rencontres à Ottawa</t>
        </is>
      </c>
      <c r="H2223" s="1" t="n">
        <v>45350</v>
      </c>
      <c r="I2223" s="1" t="n">
        <v>45351</v>
      </c>
      <c r="J2223" t="inlineStr">
        <is>
          <t>Ottawa (Ontario) Canada</t>
        </is>
      </c>
      <c r="K2223" t="inlineStr">
        <is>
          <t>Ottawa (Ontario) Canada</t>
        </is>
      </c>
      <c r="P2223" t="n">
        <v>0</v>
      </c>
      <c r="Q2223" t="n">
        <v>420.22</v>
      </c>
      <c r="R2223" t="n">
        <v>212.38</v>
      </c>
      <c r="S2223" t="n">
        <v>253.5</v>
      </c>
      <c r="T2223" t="n">
        <v>0</v>
      </c>
      <c r="U2223" t="n">
        <v>886.1</v>
      </c>
      <c r="X2223" t="inlineStr">
        <is>
          <t>aafc-aac</t>
        </is>
      </c>
      <c r="Y2223" t="inlineStr">
        <is>
          <t>Agriculture and Agri-Food Canada | Agriculture et Agroalimentaire Canada</t>
        </is>
      </c>
      <c r="Z2223" t="n">
        <v>2</v>
      </c>
      <c r="AA2223" t="n">
        <v>886.1</v>
      </c>
      <c r="AB2223">
        <f>ROUND(U2223-AA2223,2)</f>
        <v/>
      </c>
      <c r="AC2223" t="b">
        <v>0</v>
      </c>
      <c r="AD2223">
        <f>IF(U2223="","MISSING_TOTAL",IF(ABS(AB2223)&lt;=0.01,"OK","CHECK"))</f>
        <v/>
      </c>
      <c r="AE2223">
        <f>IF(U2223="","MISSING",IF(AND(AA2223&gt;0,U2223/AA2223&gt;50),"POSSIBLE_SCALE_ERROR","OK"))</f>
        <v/>
      </c>
    </row>
    <row r="2224">
      <c r="A2224" t="inlineStr">
        <is>
          <t>T-2024-P12-025</t>
        </is>
      </c>
      <c r="B2224" t="inlineStr">
        <is>
          <t>SLE</t>
        </is>
      </c>
      <c r="C2224" t="inlineStr">
        <is>
          <t>Assistant Deputy Minister, Corporate Management Branch</t>
        </is>
      </c>
      <c r="D2224" t="inlineStr">
        <is>
          <t>Sous-ministre adjointe, Direction générale de la gestion intégrée</t>
        </is>
      </c>
      <c r="E2224" t="inlineStr">
        <is>
          <t>Marie-Claude Guérard</t>
        </is>
      </c>
      <c r="F2224" t="inlineStr">
        <is>
          <t>To attend meetings in Ottawa</t>
        </is>
      </c>
      <c r="G2224" t="inlineStr">
        <is>
          <t>Participer aux rencontres à Ottawa</t>
        </is>
      </c>
      <c r="H2224" s="1" t="n">
        <v>45355</v>
      </c>
      <c r="I2224" s="1" t="n">
        <v>45357</v>
      </c>
      <c r="J2224" t="inlineStr">
        <is>
          <t>Ottawa (Ontario) Canada</t>
        </is>
      </c>
      <c r="K2224" t="inlineStr">
        <is>
          <t>Ottawa (Ontario) Canada</t>
        </is>
      </c>
      <c r="P2224" t="n">
        <v>0</v>
      </c>
      <c r="Q2224" t="n">
        <v>388.62</v>
      </c>
      <c r="R2224" t="n">
        <v>519.6799999999999</v>
      </c>
      <c r="S2224" t="n">
        <v>210.35</v>
      </c>
      <c r="T2224" t="n">
        <v>0</v>
      </c>
      <c r="U2224" t="n">
        <v>1118.65</v>
      </c>
      <c r="X2224" t="inlineStr">
        <is>
          <t>aafc-aac</t>
        </is>
      </c>
      <c r="Y2224" t="inlineStr">
        <is>
          <t>Agriculture and Agri-Food Canada | Agriculture et Agroalimentaire Canada</t>
        </is>
      </c>
      <c r="Z2224" t="n">
        <v>3</v>
      </c>
      <c r="AA2224" t="n">
        <v>1118.64999999999</v>
      </c>
      <c r="AB2224">
        <f>ROUND(U2224-AA2224,2)</f>
        <v/>
      </c>
      <c r="AC2224" t="b">
        <v>0</v>
      </c>
      <c r="AD2224">
        <f>IF(U2224="","MISSING_TOTAL",IF(ABS(AB2224)&lt;=0.01,"OK","CHECK"))</f>
        <v/>
      </c>
      <c r="AE2224">
        <f>IF(U2224="","MISSING",IF(AND(AA2224&gt;0,U2224/AA2224&gt;50),"POSSIBLE_SCALE_ERROR","OK"))</f>
        <v/>
      </c>
    </row>
    <row r="2225">
      <c r="A2225" t="inlineStr">
        <is>
          <t>T-2024-P12-026</t>
        </is>
      </c>
      <c r="B2225" t="inlineStr">
        <is>
          <t>SLE</t>
        </is>
      </c>
      <c r="C2225" t="inlineStr">
        <is>
          <t>Assistant Deputy Minister, Corporate Management Branch</t>
        </is>
      </c>
      <c r="D2225" t="inlineStr">
        <is>
          <t>Sous-ministre adjointe, Direction générale de la gestion intégrée</t>
        </is>
      </c>
      <c r="E2225" t="inlineStr">
        <is>
          <t>Marie-Claude Guérard</t>
        </is>
      </c>
      <c r="F2225" t="inlineStr">
        <is>
          <t>To attend meetings in Ottawa</t>
        </is>
      </c>
      <c r="G2225" t="inlineStr">
        <is>
          <t>Participer aux rencontres à Ottawa</t>
        </is>
      </c>
      <c r="H2225" s="1" t="n">
        <v>45362</v>
      </c>
      <c r="I2225" s="1" t="n">
        <v>45362</v>
      </c>
      <c r="J2225" t="inlineStr">
        <is>
          <t>Ottawa (Ontario) Canada</t>
        </is>
      </c>
      <c r="K2225" t="inlineStr">
        <is>
          <t>Ottawa (Ontario) Canada</t>
        </is>
      </c>
      <c r="P2225" t="n">
        <v>0</v>
      </c>
      <c r="Q2225" t="n">
        <v>313.79</v>
      </c>
      <c r="R2225" t="n">
        <v>0</v>
      </c>
      <c r="S2225" t="n">
        <v>24.65</v>
      </c>
      <c r="T2225" t="n">
        <v>0</v>
      </c>
      <c r="U2225" t="n">
        <v>338.44</v>
      </c>
      <c r="X2225" t="inlineStr">
        <is>
          <t>aafc-aac</t>
        </is>
      </c>
      <c r="Y2225" t="inlineStr">
        <is>
          <t>Agriculture and Agri-Food Canada | Agriculture et Agroalimentaire Canada</t>
        </is>
      </c>
      <c r="Z2225" t="n">
        <v>1</v>
      </c>
      <c r="AA2225" t="n">
        <v>338.44</v>
      </c>
      <c r="AB2225">
        <f>ROUND(U2225-AA2225,2)</f>
        <v/>
      </c>
      <c r="AC2225" t="b">
        <v>0</v>
      </c>
      <c r="AD2225">
        <f>IF(U2225="","MISSING_TOTAL",IF(ABS(AB2225)&lt;=0.01,"OK","CHECK"))</f>
        <v/>
      </c>
      <c r="AE2225">
        <f>IF(U2225="","MISSING",IF(AND(AA2225&gt;0,U2225/AA2225&gt;50),"POSSIBLE_SCALE_ERROR","OK"))</f>
        <v/>
      </c>
    </row>
    <row r="2226">
      <c r="A2226" t="inlineStr">
        <is>
          <t>T-2024-P12-027</t>
        </is>
      </c>
      <c r="B2226" t="inlineStr">
        <is>
          <t>SLE</t>
        </is>
      </c>
      <c r="C2226" t="inlineStr">
        <is>
          <t>Assistant Deputy Minister, Corporate Management Branch</t>
        </is>
      </c>
      <c r="D2226" t="inlineStr">
        <is>
          <t>Sous-ministre adjointe, Direction générale de la gestion intégrée</t>
        </is>
      </c>
      <c r="E2226" t="inlineStr">
        <is>
          <t>Marie-Claude Guérard</t>
        </is>
      </c>
      <c r="F2226" t="inlineStr">
        <is>
          <t>To attend meetings in Ottawa</t>
        </is>
      </c>
      <c r="G2226" t="inlineStr">
        <is>
          <t>Participer aux rencontres à Ottawa</t>
        </is>
      </c>
      <c r="H2226" s="1" t="n">
        <v>45369</v>
      </c>
      <c r="I2226" s="1" t="n">
        <v>45372</v>
      </c>
      <c r="J2226" t="inlineStr">
        <is>
          <t>Ottawa (Ontario) Canada</t>
        </is>
      </c>
      <c r="K2226" t="inlineStr">
        <is>
          <t>Ottawa (Ontario) Canada</t>
        </is>
      </c>
      <c r="P2226" t="n">
        <v>0</v>
      </c>
      <c r="Q2226" t="n">
        <v>414.39</v>
      </c>
      <c r="R2226" t="n">
        <v>708.33</v>
      </c>
      <c r="S2226" t="n">
        <v>397.55</v>
      </c>
      <c r="T2226" t="n">
        <v>0</v>
      </c>
      <c r="U2226" t="n">
        <v>1520.27</v>
      </c>
      <c r="X2226" t="inlineStr">
        <is>
          <t>aafc-aac</t>
        </is>
      </c>
      <c r="Y2226" t="inlineStr">
        <is>
          <t>Agriculture and Agri-Food Canada | Agriculture et Agroalimentaire Canada</t>
        </is>
      </c>
      <c r="Z2226" t="n">
        <v>4</v>
      </c>
      <c r="AA2226" t="n">
        <v>1520.27</v>
      </c>
      <c r="AB2226">
        <f>ROUND(U2226-AA2226,2)</f>
        <v/>
      </c>
      <c r="AC2226" t="b">
        <v>0</v>
      </c>
      <c r="AD2226">
        <f>IF(U2226="","MISSING_TOTAL",IF(ABS(AB2226)&lt;=0.01,"OK","CHECK"))</f>
        <v/>
      </c>
      <c r="AE2226">
        <f>IF(U2226="","MISSING",IF(AND(AA2226&gt;0,U2226/AA2226&gt;50),"POSSIBLE_SCALE_ERROR","OK"))</f>
        <v/>
      </c>
    </row>
    <row r="2227">
      <c r="A2227" t="inlineStr">
        <is>
          <t>T-2024-P12-028</t>
        </is>
      </c>
      <c r="B2227" t="inlineStr">
        <is>
          <t>SLE</t>
        </is>
      </c>
      <c r="C2227" t="inlineStr">
        <is>
          <t>Assistant Deputy Minister, Strategic Policy Branch</t>
        </is>
      </c>
      <c r="D2227" t="inlineStr">
        <is>
          <t>Sous-ministre adjointe, Direction générale des politiques stratégiques</t>
        </is>
      </c>
      <c r="E2227" t="inlineStr">
        <is>
          <t>Shannon Nix</t>
        </is>
      </c>
      <c r="F2227" t="inlineStr">
        <is>
          <t>To attend 3 meetings in Ottawa</t>
        </is>
      </c>
      <c r="G2227" t="inlineStr">
        <is>
          <t>Assister à 3 réunions à Ottawa</t>
        </is>
      </c>
      <c r="H2227" s="1" t="n">
        <v>45334</v>
      </c>
      <c r="I2227" s="1" t="n">
        <v>45336</v>
      </c>
      <c r="J2227" t="inlineStr">
        <is>
          <t>Ottawa (Ontario) Canada</t>
        </is>
      </c>
      <c r="K2227" t="inlineStr">
        <is>
          <t>Ottawa (Ontario) Canada</t>
        </is>
      </c>
      <c r="P2227" t="n">
        <v>0</v>
      </c>
      <c r="Q2227" t="n">
        <v>37.08</v>
      </c>
      <c r="R2227" t="n">
        <v>0</v>
      </c>
      <c r="S2227" t="n">
        <v>0</v>
      </c>
      <c r="T2227" t="n">
        <v>0</v>
      </c>
      <c r="U2227" t="n">
        <v>37.08</v>
      </c>
      <c r="X2227" t="inlineStr">
        <is>
          <t>aafc-aac</t>
        </is>
      </c>
      <c r="Y2227" t="inlineStr">
        <is>
          <t>Agriculture and Agri-Food Canada | Agriculture et Agroalimentaire Canada</t>
        </is>
      </c>
      <c r="Z2227" t="n">
        <v>3</v>
      </c>
      <c r="AA2227" t="n">
        <v>37.08</v>
      </c>
      <c r="AB2227">
        <f>ROUND(U2227-AA2227,2)</f>
        <v/>
      </c>
      <c r="AC2227" t="b">
        <v>0</v>
      </c>
      <c r="AD2227">
        <f>IF(U2227="","MISSING_TOTAL",IF(ABS(AB2227)&lt;=0.01,"OK","CHECK"))</f>
        <v/>
      </c>
      <c r="AE2227">
        <f>IF(U2227="","MISSING",IF(AND(AA2227&gt;0,U2227/AA2227&gt;50),"POSSIBLE_SCALE_ERROR","OK"))</f>
        <v/>
      </c>
    </row>
    <row r="2228">
      <c r="A2228" t="inlineStr">
        <is>
          <t>T-2024-P12-029</t>
        </is>
      </c>
      <c r="B2228" t="inlineStr">
        <is>
          <t>SLE</t>
        </is>
      </c>
      <c r="C2228" t="inlineStr">
        <is>
          <t>Assistant Deputy Minister, Strategic Policy Branch</t>
        </is>
      </c>
      <c r="D2228" t="inlineStr">
        <is>
          <t>Sous-ministre adjointe, Direction générale des politiques stratégiques</t>
        </is>
      </c>
      <c r="E2228" t="inlineStr">
        <is>
          <t>Shannon Nix</t>
        </is>
      </c>
      <c r="F2228" t="inlineStr">
        <is>
          <t>To attend 2 meetings in Ottawa</t>
        </is>
      </c>
      <c r="G2228" t="inlineStr">
        <is>
          <t>Assister à 2 réunions à Ottawa</t>
        </is>
      </c>
      <c r="H2228" s="1" t="n">
        <v>45351</v>
      </c>
      <c r="I2228" s="1" t="n">
        <v>45352</v>
      </c>
      <c r="J2228" t="inlineStr">
        <is>
          <t>Ottawa (Ontario) Canada</t>
        </is>
      </c>
      <c r="K2228" t="inlineStr">
        <is>
          <t>Ottawa (Ontario) Canada</t>
        </is>
      </c>
      <c r="P2228" t="n">
        <v>0</v>
      </c>
      <c r="Q2228" t="n">
        <v>32.22</v>
      </c>
      <c r="R2228" t="n">
        <v>0</v>
      </c>
      <c r="S2228" t="n">
        <v>0</v>
      </c>
      <c r="T2228" t="n">
        <v>0</v>
      </c>
      <c r="U2228" t="n">
        <v>32.22</v>
      </c>
      <c r="X2228" t="inlineStr">
        <is>
          <t>aafc-aac</t>
        </is>
      </c>
      <c r="Y2228" t="inlineStr">
        <is>
          <t>Agriculture and Agri-Food Canada | Agriculture et Agroalimentaire Canada</t>
        </is>
      </c>
      <c r="Z2228" t="n">
        <v>2</v>
      </c>
      <c r="AA2228" t="n">
        <v>32.22</v>
      </c>
      <c r="AB2228">
        <f>ROUND(U2228-AA2228,2)</f>
        <v/>
      </c>
      <c r="AC2228" t="b">
        <v>0</v>
      </c>
      <c r="AD2228">
        <f>IF(U2228="","MISSING_TOTAL",IF(ABS(AB2228)&lt;=0.01,"OK","CHECK"))</f>
        <v/>
      </c>
      <c r="AE2228">
        <f>IF(U2228="","MISSING",IF(AND(AA2228&gt;0,U2228/AA2228&gt;50),"POSSIBLE_SCALE_ERROR","OK"))</f>
        <v/>
      </c>
    </row>
    <row r="2229">
      <c r="A2229" t="inlineStr">
        <is>
          <t>T-2024-P12-030</t>
        </is>
      </c>
      <c r="B2229" t="inlineStr">
        <is>
          <t>SLE</t>
        </is>
      </c>
      <c r="C2229" t="inlineStr">
        <is>
          <t>Assistant Deputy Minister, Strategic Policy Branch</t>
        </is>
      </c>
      <c r="D2229" t="inlineStr">
        <is>
          <t>Sous-ministre adjointe, Direction générale des politiques stratégiques</t>
        </is>
      </c>
      <c r="E2229" t="inlineStr">
        <is>
          <t>Shannon Nix</t>
        </is>
      </c>
      <c r="F2229" t="inlineStr">
        <is>
          <t>To attend the Canadian Crops Convention</t>
        </is>
      </c>
      <c r="G2229" t="inlineStr">
        <is>
          <t>Assister au congrès des Cultures Canadiennes</t>
        </is>
      </c>
      <c r="H2229" s="1" t="n">
        <v>45356</v>
      </c>
      <c r="I2229" s="1" t="n">
        <v>45359</v>
      </c>
      <c r="J2229" t="inlineStr">
        <is>
          <t>Winnipeg (Manitoba) Canada</t>
        </is>
      </c>
      <c r="K2229" t="inlineStr">
        <is>
          <t>Winnipeg (Manitoba) Canada</t>
        </is>
      </c>
      <c r="P2229" t="n">
        <v>1539.86</v>
      </c>
      <c r="Q2229" t="n">
        <v>209.5</v>
      </c>
      <c r="R2229" t="n">
        <v>492.45</v>
      </c>
      <c r="S2229" t="n">
        <v>288.1</v>
      </c>
      <c r="T2229" t="n">
        <v>0</v>
      </c>
      <c r="U2229" t="n">
        <v>2529.91</v>
      </c>
      <c r="X2229" t="inlineStr">
        <is>
          <t>aafc-aac</t>
        </is>
      </c>
      <c r="Y2229" t="inlineStr">
        <is>
          <t>Agriculture and Agri-Food Canada | Agriculture et Agroalimentaire Canada</t>
        </is>
      </c>
      <c r="Z2229" t="n">
        <v>4</v>
      </c>
      <c r="AA2229" t="n">
        <v>2529.91</v>
      </c>
      <c r="AB2229">
        <f>ROUND(U2229-AA2229,2)</f>
        <v/>
      </c>
      <c r="AC2229" t="b">
        <v>0</v>
      </c>
      <c r="AD2229">
        <f>IF(U2229="","MISSING_TOTAL",IF(ABS(AB2229)&lt;=0.01,"OK","CHECK"))</f>
        <v/>
      </c>
      <c r="AE2229">
        <f>IF(U2229="","MISSING",IF(AND(AA2229&gt;0,U2229/AA2229&gt;50),"POSSIBLE_SCALE_ERROR","OK"))</f>
        <v/>
      </c>
    </row>
    <row r="2230">
      <c r="A2230" t="inlineStr">
        <is>
          <t>T-2024-P12-031</t>
        </is>
      </c>
      <c r="B2230" t="inlineStr">
        <is>
          <t>SLE</t>
        </is>
      </c>
      <c r="C2230" t="inlineStr">
        <is>
          <t>Assistant Deputy Minister, Programs Branch</t>
        </is>
      </c>
      <c r="D2230" t="inlineStr">
        <is>
          <t>Sous-ministre adjointe, Direction générale des programmes</t>
        </is>
      </c>
      <c r="E2230" t="inlineStr">
        <is>
          <t>Liz Foster</t>
        </is>
      </c>
      <c r="F2230" t="inlineStr">
        <is>
          <t>To attend a meeting with the Minister and Deputy Minister</t>
        </is>
      </c>
      <c r="G2230" t="inlineStr">
        <is>
          <t>Participer à une rencontre avec le Ministre et la Sous-Ministre</t>
        </is>
      </c>
      <c r="H2230" s="1" t="n">
        <v>45330</v>
      </c>
      <c r="I2230" s="1" t="n">
        <v>45330</v>
      </c>
      <c r="J2230" t="inlineStr">
        <is>
          <t>Ottawa (Ontario) Canada</t>
        </is>
      </c>
      <c r="K2230" t="inlineStr">
        <is>
          <t>Ottawa (Ontario) Canada</t>
        </is>
      </c>
      <c r="P2230" t="n">
        <v>0</v>
      </c>
      <c r="Q2230" t="n">
        <v>10</v>
      </c>
      <c r="R2230" t="n">
        <v>0</v>
      </c>
      <c r="S2230" t="n">
        <v>0</v>
      </c>
      <c r="T2230" t="n">
        <v>0</v>
      </c>
      <c r="U2230" t="n">
        <v>10</v>
      </c>
      <c r="X2230" t="inlineStr">
        <is>
          <t>aafc-aac</t>
        </is>
      </c>
      <c r="Y2230" t="inlineStr">
        <is>
          <t>Agriculture and Agri-Food Canada | Agriculture et Agroalimentaire Canada</t>
        </is>
      </c>
      <c r="Z2230" t="n">
        <v>1</v>
      </c>
      <c r="AA2230" t="n">
        <v>10</v>
      </c>
      <c r="AB2230">
        <f>ROUND(U2230-AA2230,2)</f>
        <v/>
      </c>
      <c r="AC2230" t="b">
        <v>0</v>
      </c>
      <c r="AD2230">
        <f>IF(U2230="","MISSING_TOTAL",IF(ABS(AB2230)&lt;=0.01,"OK","CHECK"))</f>
        <v/>
      </c>
      <c r="AE2230">
        <f>IF(U2230="","MISSING",IF(AND(AA2230&gt;0,U2230/AA2230&gt;50),"POSSIBLE_SCALE_ERROR","OK"))</f>
        <v/>
      </c>
    </row>
    <row r="2231">
      <c r="A2231" t="inlineStr">
        <is>
          <t>T-2024-P12-032</t>
        </is>
      </c>
      <c r="B2231" t="inlineStr">
        <is>
          <t>SLE</t>
        </is>
      </c>
      <c r="C2231" t="inlineStr">
        <is>
          <t>Assistant Deputy Minister, Programs Branch</t>
        </is>
      </c>
      <c r="D2231" t="inlineStr">
        <is>
          <t>Sous-ministre adjointe, Direction générale des programmes</t>
        </is>
      </c>
      <c r="E2231" t="inlineStr">
        <is>
          <t>Liz Foster</t>
        </is>
      </c>
      <c r="F2231" t="inlineStr">
        <is>
          <t>To attend the Assistant Deputy Minister's Outreach in Winnipeg</t>
        </is>
      </c>
      <c r="G2231" t="inlineStr">
        <is>
          <t>Participer à une activité de sensibilisation de la Sous-ministre adjointe à Winnipeg</t>
        </is>
      </c>
      <c r="H2231" s="1" t="n">
        <v>45362</v>
      </c>
      <c r="I2231" s="1" t="n">
        <v>45365</v>
      </c>
      <c r="J2231" t="inlineStr">
        <is>
          <t>Winnipeg (Manitoba) Canada</t>
        </is>
      </c>
      <c r="K2231" t="inlineStr">
        <is>
          <t>Winnipeg (Manitoba) Canada</t>
        </is>
      </c>
      <c r="P2231" t="n">
        <v>1313.07</v>
      </c>
      <c r="Q2231" t="n">
        <v>159.96</v>
      </c>
      <c r="R2231" t="n">
        <v>872.34</v>
      </c>
      <c r="S2231" t="n">
        <v>482.65</v>
      </c>
      <c r="T2231" t="n">
        <v>0</v>
      </c>
      <c r="U2231" t="n">
        <v>2828.02</v>
      </c>
      <c r="X2231" t="inlineStr">
        <is>
          <t>aafc-aac</t>
        </is>
      </c>
      <c r="Y2231" t="inlineStr">
        <is>
          <t>Agriculture and Agri-Food Canada | Agriculture et Agroalimentaire Canada</t>
        </is>
      </c>
      <c r="Z2231" t="n">
        <v>4</v>
      </c>
      <c r="AA2231" t="n">
        <v>2828.02</v>
      </c>
      <c r="AB2231">
        <f>ROUND(U2231-AA2231,2)</f>
        <v/>
      </c>
      <c r="AC2231" t="b">
        <v>0</v>
      </c>
      <c r="AD2231">
        <f>IF(U2231="","MISSING_TOTAL",IF(ABS(AB2231)&lt;=0.01,"OK","CHECK"))</f>
        <v/>
      </c>
      <c r="AE2231">
        <f>IF(U2231="","MISSING",IF(AND(AA2231&gt;0,U2231/AA2231&gt;50),"POSSIBLE_SCALE_ERROR","OK"))</f>
        <v/>
      </c>
    </row>
    <row r="2232">
      <c r="A2232" t="inlineStr">
        <is>
          <t>T-2024-P12-033</t>
        </is>
      </c>
      <c r="B2232" t="inlineStr">
        <is>
          <t>SLE</t>
        </is>
      </c>
      <c r="C2232" t="inlineStr">
        <is>
          <t>Assistant Deputy Minister, Programs Branch</t>
        </is>
      </c>
      <c r="D2232" t="inlineStr">
        <is>
          <t>Sous-ministre adjointe, Direction générale des programmes</t>
        </is>
      </c>
      <c r="E2232" t="inlineStr">
        <is>
          <t>Liz Foster</t>
        </is>
      </c>
      <c r="F2232" t="inlineStr">
        <is>
          <t>To appear at the Standing Senate Comittee on Agriculture and Forestry on the 2021 British Columbia floods</t>
        </is>
      </c>
      <c r="G2232" t="inlineStr">
        <is>
          <t>Témoigner au Comité sénatorial permanent sur l'agriculture et forêts sur les inondations de 2021 en Columbie-Britannique</t>
        </is>
      </c>
      <c r="H2232" s="1" t="n">
        <v>45372</v>
      </c>
      <c r="I2232" s="1" t="n">
        <v>45372</v>
      </c>
      <c r="J2232" t="inlineStr">
        <is>
          <t>Ottawa (Ontario) Canada</t>
        </is>
      </c>
      <c r="K2232" t="inlineStr">
        <is>
          <t>Ottawa (Ontario) Canada</t>
        </is>
      </c>
      <c r="P2232" t="n">
        <v>0</v>
      </c>
      <c r="Q2232" t="n">
        <v>17</v>
      </c>
      <c r="R2232" t="n">
        <v>0</v>
      </c>
      <c r="S2232" t="n">
        <v>0</v>
      </c>
      <c r="T2232" t="n">
        <v>0</v>
      </c>
      <c r="U2232" t="n">
        <v>17</v>
      </c>
      <c r="X2232" t="inlineStr">
        <is>
          <t>aafc-aac</t>
        </is>
      </c>
      <c r="Y2232" t="inlineStr">
        <is>
          <t>Agriculture and Agri-Food Canada | Agriculture et Agroalimentaire Canada</t>
        </is>
      </c>
      <c r="Z2232" t="n">
        <v>1</v>
      </c>
      <c r="AA2232" t="n">
        <v>17</v>
      </c>
      <c r="AB2232">
        <f>ROUND(U2232-AA2232,2)</f>
        <v/>
      </c>
      <c r="AC2232" t="b">
        <v>0</v>
      </c>
      <c r="AD2232">
        <f>IF(U2232="","MISSING_TOTAL",IF(ABS(AB2232)&lt;=0.01,"OK","CHECK"))</f>
        <v/>
      </c>
      <c r="AE2232">
        <f>IF(U2232="","MISSING",IF(AND(AA2232&gt;0,U2232/AA2232&gt;50),"POSSIBLE_SCALE_ERROR","OK"))</f>
        <v/>
      </c>
    </row>
    <row r="2233">
      <c r="A2233" t="inlineStr">
        <is>
          <t>T-2024-P12-034</t>
        </is>
      </c>
      <c r="B2233" t="inlineStr">
        <is>
          <t>SLE</t>
        </is>
      </c>
      <c r="C2233" t="inlineStr">
        <is>
          <t>Chief Information Officer, Information Systems Branch</t>
        </is>
      </c>
      <c r="D2233" t="inlineStr">
        <is>
          <t>Dirigeante principale de l'information, Direction générale des systèmes d'information</t>
        </is>
      </c>
      <c r="E2233" t="inlineStr">
        <is>
          <t>Vidya ShankarNarayan</t>
        </is>
      </c>
      <c r="F2233" t="inlineStr">
        <is>
          <t>To attend Agricultural Equipment Roundtable</t>
        </is>
      </c>
      <c r="G2233" t="inlineStr">
        <is>
          <t>Participer à la table ronde sur les équipements en agriculture</t>
        </is>
      </c>
      <c r="H2233" s="1" t="n">
        <v>45343</v>
      </c>
      <c r="I2233" s="1" t="n">
        <v>45343</v>
      </c>
      <c r="J2233" t="inlineStr">
        <is>
          <t>Ottawa (Ontario) Canada</t>
        </is>
      </c>
      <c r="K2233" t="inlineStr">
        <is>
          <t>Ottawa (Ontario) Canada</t>
        </is>
      </c>
      <c r="P2233" t="n">
        <v>0</v>
      </c>
      <c r="Q2233" t="n">
        <v>9.59</v>
      </c>
      <c r="R2233" t="n">
        <v>0</v>
      </c>
      <c r="S2233" t="n">
        <v>0</v>
      </c>
      <c r="T2233" t="n">
        <v>0</v>
      </c>
      <c r="U2233" t="n">
        <v>9.59</v>
      </c>
      <c r="X2233" t="inlineStr">
        <is>
          <t>aafc-aac</t>
        </is>
      </c>
      <c r="Y2233" t="inlineStr">
        <is>
          <t>Agriculture and Agri-Food Canada | Agriculture et Agroalimentaire Canada</t>
        </is>
      </c>
      <c r="Z2233" t="n">
        <v>1</v>
      </c>
      <c r="AA2233" t="n">
        <v>9.59</v>
      </c>
      <c r="AB2233">
        <f>ROUND(U2233-AA2233,2)</f>
        <v/>
      </c>
      <c r="AC2233" t="b">
        <v>0</v>
      </c>
      <c r="AD2233">
        <f>IF(U2233="","MISSING_TOTAL",IF(ABS(AB2233)&lt;=0.01,"OK","CHECK"))</f>
        <v/>
      </c>
      <c r="AE2233">
        <f>IF(U2233="","MISSING",IF(AND(AA2233&gt;0,U2233/AA2233&gt;50),"POSSIBLE_SCALE_ERROR","OK"))</f>
        <v/>
      </c>
    </row>
    <row r="2234">
      <c r="A2234" t="inlineStr">
        <is>
          <t>T-2024-P12-035</t>
        </is>
      </c>
      <c r="B2234" t="inlineStr">
        <is>
          <t>SLE</t>
        </is>
      </c>
      <c r="C2234" t="inlineStr">
        <is>
          <t>Chief Information Officer, Information Systems Branch</t>
        </is>
      </c>
      <c r="D2234" t="inlineStr">
        <is>
          <t>Dirigeante principale de l'information, Direction générale des systèmes d'information</t>
        </is>
      </c>
      <c r="E2234" t="inlineStr">
        <is>
          <t>Vidya ShankarNarayan</t>
        </is>
      </c>
      <c r="F2234" t="inlineStr">
        <is>
          <t>To attend meetings at the House of Commons and with Treasury Board Secretariat</t>
        </is>
      </c>
      <c r="G2234" t="inlineStr">
        <is>
          <t>Participer à une rencontre dans la Chambre des Communes et avec le Secrétariat du Conseil du trésor</t>
        </is>
      </c>
      <c r="H2234" s="1" t="n">
        <v>45349</v>
      </c>
      <c r="I2234" s="1" t="n">
        <v>45352</v>
      </c>
      <c r="J2234" t="inlineStr">
        <is>
          <t>Ottawa (Ontario) Canada</t>
        </is>
      </c>
      <c r="K2234" t="inlineStr">
        <is>
          <t>Ottawa (Ontario) Canada</t>
        </is>
      </c>
      <c r="P2234" t="n">
        <v>0</v>
      </c>
      <c r="Q2234" t="n">
        <v>45.5</v>
      </c>
      <c r="R2234" t="n">
        <v>0</v>
      </c>
      <c r="S2234" t="n">
        <v>0</v>
      </c>
      <c r="T2234" t="n">
        <v>0</v>
      </c>
      <c r="U2234" t="n">
        <v>45.5</v>
      </c>
      <c r="X2234" t="inlineStr">
        <is>
          <t>aafc-aac</t>
        </is>
      </c>
      <c r="Y2234" t="inlineStr">
        <is>
          <t>Agriculture and Agri-Food Canada | Agriculture et Agroalimentaire Canada</t>
        </is>
      </c>
      <c r="Z2234" t="n">
        <v>4</v>
      </c>
      <c r="AA2234" t="n">
        <v>45.5</v>
      </c>
      <c r="AB2234">
        <f>ROUND(U2234-AA2234,2)</f>
        <v/>
      </c>
      <c r="AC2234" t="b">
        <v>0</v>
      </c>
      <c r="AD2234">
        <f>IF(U2234="","MISSING_TOTAL",IF(ABS(AB2234)&lt;=0.01,"OK","CHECK"))</f>
        <v/>
      </c>
      <c r="AE2234">
        <f>IF(U2234="","MISSING",IF(AND(AA2234&gt;0,U2234/AA2234&gt;50),"POSSIBLE_SCALE_ERROR","OK"))</f>
        <v/>
      </c>
    </row>
    <row r="2235">
      <c r="A2235" t="inlineStr">
        <is>
          <t>T-2024-P12-036</t>
        </is>
      </c>
      <c r="B2235" t="inlineStr">
        <is>
          <t>SLE</t>
        </is>
      </c>
      <c r="C2235" t="inlineStr">
        <is>
          <t>Chief Information Officer, Information Systems Branch</t>
        </is>
      </c>
      <c r="D2235" t="inlineStr">
        <is>
          <t>Dirigeante principale de l'information, Direction générale des systèmes d'information</t>
        </is>
      </c>
      <c r="E2235" t="inlineStr">
        <is>
          <t>Vidya ShankarNarayan</t>
        </is>
      </c>
      <c r="F2235" t="inlineStr">
        <is>
          <t>To attend meeting at the Black Executives Network</t>
        </is>
      </c>
      <c r="G2235" t="inlineStr">
        <is>
          <t>Participer à une rencontre avec le Réseau des exécutifs noirs</t>
        </is>
      </c>
      <c r="H2235" s="1" t="n">
        <v>45351</v>
      </c>
      <c r="I2235" s="1" t="n">
        <v>45351</v>
      </c>
      <c r="J2235" t="inlineStr">
        <is>
          <t>Ottawa (Ontario) Canada</t>
        </is>
      </c>
      <c r="K2235" t="inlineStr">
        <is>
          <t>Ottawa (Ontario) Canada</t>
        </is>
      </c>
      <c r="P2235" t="n">
        <v>0</v>
      </c>
      <c r="Q2235" t="n">
        <v>17</v>
      </c>
      <c r="R2235" t="n">
        <v>0</v>
      </c>
      <c r="S2235" t="n">
        <v>0</v>
      </c>
      <c r="T2235" t="n">
        <v>0</v>
      </c>
      <c r="U2235" t="n">
        <v>17</v>
      </c>
      <c r="X2235" t="inlineStr">
        <is>
          <t>aafc-aac</t>
        </is>
      </c>
      <c r="Y2235" t="inlineStr">
        <is>
          <t>Agriculture and Agri-Food Canada | Agriculture et Agroalimentaire Canada</t>
        </is>
      </c>
      <c r="Z2235" t="n">
        <v>1</v>
      </c>
      <c r="AA2235" t="n">
        <v>17</v>
      </c>
      <c r="AB2235">
        <f>ROUND(U2235-AA2235,2)</f>
        <v/>
      </c>
      <c r="AC2235" t="b">
        <v>0</v>
      </c>
      <c r="AD2235">
        <f>IF(U2235="","MISSING_TOTAL",IF(ABS(AB2235)&lt;=0.01,"OK","CHECK"))</f>
        <v/>
      </c>
      <c r="AE2235">
        <f>IF(U2235="","MISSING",IF(AND(AA2235&gt;0,U2235/AA2235&gt;50),"POSSIBLE_SCALE_ERROR","OK"))</f>
        <v/>
      </c>
    </row>
    <row r="2236">
      <c r="A2236" t="inlineStr">
        <is>
          <t>T-2024-P12-037</t>
        </is>
      </c>
      <c r="B2236" t="inlineStr">
        <is>
          <t>SLE</t>
        </is>
      </c>
      <c r="C2236" t="inlineStr">
        <is>
          <t>Chief Information Officer, Information Systems Branch</t>
        </is>
      </c>
      <c r="D2236" t="inlineStr">
        <is>
          <t>Dirigeante principale de l'information, Direction générale des systèmes d'information</t>
        </is>
      </c>
      <c r="E2236" t="inlineStr">
        <is>
          <t>Vidya ShankarNarayan</t>
        </is>
      </c>
      <c r="F2236" t="inlineStr">
        <is>
          <t>To attend the Digital Government Leaders Summit 2024</t>
        </is>
      </c>
      <c r="G2236" t="inlineStr">
        <is>
          <t>Participer au Sommet des dirigeants du gouvernement numérique 2024</t>
        </is>
      </c>
      <c r="H2236" s="1" t="n">
        <v>45320</v>
      </c>
      <c r="I2236" s="1" t="n">
        <v>45321</v>
      </c>
      <c r="J2236" t="inlineStr">
        <is>
          <t>Ottawa (Ontario) Canada</t>
        </is>
      </c>
      <c r="K2236" t="inlineStr">
        <is>
          <t>Ottawa (Ontario) Canada</t>
        </is>
      </c>
      <c r="P2236" t="n">
        <v>0</v>
      </c>
      <c r="Q2236" t="n">
        <v>40</v>
      </c>
      <c r="R2236" t="n">
        <v>0</v>
      </c>
      <c r="S2236" t="n">
        <v>0</v>
      </c>
      <c r="T2236" t="n">
        <v>0</v>
      </c>
      <c r="U2236" t="n">
        <v>40</v>
      </c>
      <c r="X2236" t="inlineStr">
        <is>
          <t>aafc-aac</t>
        </is>
      </c>
      <c r="Y2236" t="inlineStr">
        <is>
          <t>Agriculture and Agri-Food Canada | Agriculture et Agroalimentaire Canada</t>
        </is>
      </c>
      <c r="Z2236" t="n">
        <v>2</v>
      </c>
      <c r="AA2236" t="n">
        <v>40</v>
      </c>
      <c r="AB2236">
        <f>ROUND(U2236-AA2236,2)</f>
        <v/>
      </c>
      <c r="AC2236" t="b">
        <v>0</v>
      </c>
      <c r="AD2236">
        <f>IF(U2236="","MISSING_TOTAL",IF(ABS(AB2236)&lt;=0.01,"OK","CHECK"))</f>
        <v/>
      </c>
      <c r="AE2236">
        <f>IF(U2236="","MISSING",IF(AND(AA2236&gt;0,U2236/AA2236&gt;50),"POSSIBLE_SCALE_ERROR","OK"))</f>
        <v/>
      </c>
    </row>
    <row r="2237">
      <c r="A2237" t="inlineStr">
        <is>
          <t>T-2025-P01-001</t>
        </is>
      </c>
      <c r="B2237" t="inlineStr">
        <is>
          <t>MPSES</t>
        </is>
      </c>
      <c r="C2237" t="inlineStr">
        <is>
          <t>Minister</t>
        </is>
      </c>
      <c r="D2237" t="inlineStr">
        <is>
          <t>Ministre</t>
        </is>
      </c>
      <c r="E2237" t="inlineStr">
        <is>
          <t>Lawrence MacAulay</t>
        </is>
      </c>
      <c r="F2237" t="inlineStr">
        <is>
          <t>To attend a tour of the Folly River Farm</t>
        </is>
      </c>
      <c r="G2237" t="inlineStr">
        <is>
          <t>Assister à une visite des fermes de Folly River</t>
        </is>
      </c>
      <c r="H2237" s="1" t="n">
        <v>45357</v>
      </c>
      <c r="I2237" s="1" t="n">
        <v>45358</v>
      </c>
      <c r="J2237" t="inlineStr">
        <is>
          <t>Halifax (Nova Scotia) Canada</t>
        </is>
      </c>
      <c r="K2237" t="inlineStr">
        <is>
          <t>Halifax (Nouvelle-Écosse) Canada</t>
        </is>
      </c>
      <c r="P2237" t="n">
        <v>0</v>
      </c>
      <c r="Q2237" t="n">
        <v>489.21</v>
      </c>
      <c r="R2237" t="n">
        <v>0</v>
      </c>
      <c r="S2237" t="n">
        <v>0</v>
      </c>
      <c r="T2237" t="n">
        <v>0</v>
      </c>
      <c r="U2237" t="n">
        <v>489.21</v>
      </c>
      <c r="X2237" t="inlineStr">
        <is>
          <t>aafc-aac</t>
        </is>
      </c>
      <c r="Y2237" t="inlineStr">
        <is>
          <t>Agriculture and Agri-Food Canada | Agriculture et Agroalimentaire Canada</t>
        </is>
      </c>
      <c r="Z2237" t="n">
        <v>2</v>
      </c>
      <c r="AA2237" t="n">
        <v>489.21</v>
      </c>
      <c r="AB2237">
        <f>ROUND(U2237-AA2237,2)</f>
        <v/>
      </c>
      <c r="AC2237" t="b">
        <v>0</v>
      </c>
      <c r="AD2237">
        <f>IF(U2237="","MISSING_TOTAL",IF(ABS(AB2237)&lt;=0.01,"OK","CHECK"))</f>
        <v/>
      </c>
      <c r="AE2237">
        <f>IF(U2237="","MISSING",IF(AND(AA2237&gt;0,U2237/AA2237&gt;50),"POSSIBLE_SCALE_ERROR","OK"))</f>
        <v/>
      </c>
    </row>
    <row r="2238">
      <c r="A2238" t="inlineStr">
        <is>
          <t>T-2025-P01-002</t>
        </is>
      </c>
      <c r="B2238" t="inlineStr">
        <is>
          <t>MPSES</t>
        </is>
      </c>
      <c r="C2238" t="inlineStr">
        <is>
          <t>Minister</t>
        </is>
      </c>
      <c r="D2238" t="inlineStr">
        <is>
          <t>Ministre</t>
        </is>
      </c>
      <c r="E2238" t="inlineStr">
        <is>
          <t>Lawrence MacAulay</t>
        </is>
      </c>
      <c r="F2238" t="inlineStr">
        <is>
          <t>To attend a Boston Seafood Show</t>
        </is>
      </c>
      <c r="G2238" t="inlineStr">
        <is>
          <t>Assister à un spectacle de fruits de mer à Boston</t>
        </is>
      </c>
      <c r="H2238" s="1" t="n">
        <v>45360</v>
      </c>
      <c r="I2238" s="1" t="n">
        <v>45363</v>
      </c>
      <c r="J2238" t="inlineStr">
        <is>
          <t>Boston (Massachusetts) United States</t>
        </is>
      </c>
      <c r="K2238" t="inlineStr">
        <is>
          <t>Boston (Massachusetts) États-Unis</t>
        </is>
      </c>
      <c r="P2238" t="n">
        <v>1874.2</v>
      </c>
      <c r="Q2238" t="n">
        <v>0</v>
      </c>
      <c r="R2238" t="n">
        <v>1635.33</v>
      </c>
      <c r="S2238" t="n">
        <v>340.1</v>
      </c>
      <c r="T2238" t="n">
        <v>0</v>
      </c>
      <c r="U2238" t="n">
        <v>3849.63</v>
      </c>
      <c r="X2238" t="inlineStr">
        <is>
          <t>aafc-aac</t>
        </is>
      </c>
      <c r="Y2238" t="inlineStr">
        <is>
          <t>Agriculture and Agri-Food Canada | Agriculture et Agroalimentaire Canada</t>
        </is>
      </c>
      <c r="Z2238" t="n">
        <v>4</v>
      </c>
      <c r="AA2238" t="n">
        <v>3849.62999999999</v>
      </c>
      <c r="AB2238">
        <f>ROUND(U2238-AA2238,2)</f>
        <v/>
      </c>
      <c r="AC2238" t="b">
        <v>0</v>
      </c>
      <c r="AD2238">
        <f>IF(U2238="","MISSING_TOTAL",IF(ABS(AB2238)&lt;=0.01,"OK","CHECK"))</f>
        <v/>
      </c>
      <c r="AE2238">
        <f>IF(U2238="","MISSING",IF(AND(AA2238&gt;0,U2238/AA2238&gt;50),"POSSIBLE_SCALE_ERROR","OK"))</f>
        <v/>
      </c>
    </row>
    <row r="2239">
      <c r="A2239" t="inlineStr">
        <is>
          <t>T-2025-P01-003</t>
        </is>
      </c>
      <c r="B2239" t="inlineStr">
        <is>
          <t>MPSES</t>
        </is>
      </c>
      <c r="C2239" t="inlineStr">
        <is>
          <t>Minister</t>
        </is>
      </c>
      <c r="D2239" t="inlineStr">
        <is>
          <t>Ministre</t>
        </is>
      </c>
      <c r="E2239" t="inlineStr">
        <is>
          <t>Lawrence MacAulay</t>
        </is>
      </c>
      <c r="F2239" t="inlineStr">
        <is>
          <t>To attend an Outreach</t>
        </is>
      </c>
      <c r="G2239" t="inlineStr">
        <is>
          <t>Assister à une activité sensibilisation</t>
        </is>
      </c>
      <c r="H2239" s="1" t="n">
        <v>45383</v>
      </c>
      <c r="I2239" s="1" t="n">
        <v>45386</v>
      </c>
      <c r="J2239" t="inlineStr">
        <is>
          <t>Vancouver (British Columbia) Canada</t>
        </is>
      </c>
      <c r="K2239" t="inlineStr">
        <is>
          <t>Vancouver (Colombie-Britannique) Canada</t>
        </is>
      </c>
      <c r="P2239" t="n">
        <v>3254.62</v>
      </c>
      <c r="Q2239" t="n">
        <v>0</v>
      </c>
      <c r="R2239" t="n">
        <v>1017.3</v>
      </c>
      <c r="S2239" t="n">
        <v>385.95</v>
      </c>
      <c r="T2239" t="n">
        <v>0</v>
      </c>
      <c r="U2239" t="n">
        <v>4657.87</v>
      </c>
      <c r="X2239" t="inlineStr">
        <is>
          <t>aafc-aac</t>
        </is>
      </c>
      <c r="Y2239" t="inlineStr">
        <is>
          <t>Agriculture and Agri-Food Canada | Agriculture et Agroalimentaire Canada</t>
        </is>
      </c>
      <c r="Z2239" t="n">
        <v>4</v>
      </c>
      <c r="AA2239" t="n">
        <v>4657.87</v>
      </c>
      <c r="AB2239">
        <f>ROUND(U2239-AA2239,2)</f>
        <v/>
      </c>
      <c r="AC2239" t="b">
        <v>0</v>
      </c>
      <c r="AD2239">
        <f>IF(U2239="","MISSING_TOTAL",IF(ABS(AB2239)&lt;=0.01,"OK","CHECK"))</f>
        <v/>
      </c>
      <c r="AE2239">
        <f>IF(U2239="","MISSING",IF(AND(AA2239&gt;0,U2239/AA2239&gt;50),"POSSIBLE_SCALE_ERROR","OK"))</f>
        <v/>
      </c>
    </row>
    <row r="2240">
      <c r="A2240" t="inlineStr">
        <is>
          <t>T-2025-P01-004</t>
        </is>
      </c>
      <c r="B2240" t="inlineStr">
        <is>
          <t>MPSES</t>
        </is>
      </c>
      <c r="C2240" t="inlineStr">
        <is>
          <t>Chief of Staff</t>
        </is>
      </c>
      <c r="D2240" t="inlineStr">
        <is>
          <t>Chef de cabinet</t>
        </is>
      </c>
      <c r="E2240" t="inlineStr">
        <is>
          <t>Matthew Mann</t>
        </is>
      </c>
      <c r="F2240" t="inlineStr">
        <is>
          <t>To support the Minister to attend meetings and announcements in Charlottetown</t>
        </is>
      </c>
      <c r="G2240" t="inlineStr">
        <is>
          <t>Aider le ministre à participer à des réunions et à des annonces à Charlottetown</t>
        </is>
      </c>
      <c r="H2240" s="1" t="n">
        <v>45373</v>
      </c>
      <c r="I2240" s="1" t="n">
        <v>45379</v>
      </c>
      <c r="J2240" t="inlineStr">
        <is>
          <t>Charlottetown (Prince Edward Island) Canada</t>
        </is>
      </c>
      <c r="K2240" t="inlineStr">
        <is>
          <t>Charlottetown (Île-du-Prince-Édouard) Canada</t>
        </is>
      </c>
      <c r="P2240" t="n">
        <v>1333.07</v>
      </c>
      <c r="Q2240" t="n">
        <v>351.14</v>
      </c>
      <c r="R2240" t="n">
        <v>1000.9</v>
      </c>
      <c r="S2240" t="n">
        <v>279.65</v>
      </c>
      <c r="T2240" t="n">
        <v>0</v>
      </c>
      <c r="U2240" t="n">
        <v>2964.76</v>
      </c>
      <c r="X2240" t="inlineStr">
        <is>
          <t>aafc-aac</t>
        </is>
      </c>
      <c r="Y2240" t="inlineStr">
        <is>
          <t>Agriculture and Agri-Food Canada | Agriculture et Agroalimentaire Canada</t>
        </is>
      </c>
      <c r="Z2240" t="n">
        <v>7</v>
      </c>
      <c r="AA2240" t="n">
        <v>2964.76</v>
      </c>
      <c r="AB2240">
        <f>ROUND(U2240-AA2240,2)</f>
        <v/>
      </c>
      <c r="AC2240" t="b">
        <v>0</v>
      </c>
      <c r="AD2240">
        <f>IF(U2240="","MISSING_TOTAL",IF(ABS(AB2240)&lt;=0.01,"OK","CHECK"))</f>
        <v/>
      </c>
      <c r="AE2240">
        <f>IF(U2240="","MISSING",IF(AND(AA2240&gt;0,U2240/AA2240&gt;50),"POSSIBLE_SCALE_ERROR","OK"))</f>
        <v/>
      </c>
    </row>
    <row r="2241">
      <c r="A2241" t="inlineStr">
        <is>
          <t>T-2025-P01-005</t>
        </is>
      </c>
      <c r="B2241" t="inlineStr">
        <is>
          <t>MPSES</t>
        </is>
      </c>
      <c r="C2241" t="inlineStr">
        <is>
          <t>Policy Advisor</t>
        </is>
      </c>
      <c r="D2241" t="inlineStr">
        <is>
          <t>Conseiller en politiques</t>
        </is>
      </c>
      <c r="E2241" t="inlineStr">
        <is>
          <t>Jeremy Keats</t>
        </is>
      </c>
      <c r="F2241" t="inlineStr">
        <is>
          <t>To support the Minister at an Outreach tour</t>
        </is>
      </c>
      <c r="G2241" t="inlineStr">
        <is>
          <t>Soutenir le ministre lors d'une tournée de sensibilisation</t>
        </is>
      </c>
      <c r="H2241" s="1" t="n">
        <v>45383</v>
      </c>
      <c r="I2241" s="1" t="n">
        <v>45386</v>
      </c>
      <c r="J2241" t="inlineStr">
        <is>
          <t>Vancouver (British Columbia) Canada</t>
        </is>
      </c>
      <c r="K2241" t="inlineStr">
        <is>
          <t>Vancouver (Colombie-Britannique) Canada</t>
        </is>
      </c>
      <c r="P2241" t="n">
        <v>3064.48</v>
      </c>
      <c r="Q2241" t="n">
        <v>0</v>
      </c>
      <c r="R2241" t="n">
        <v>1017.3</v>
      </c>
      <c r="S2241" t="n">
        <v>324.1</v>
      </c>
      <c r="T2241" t="n">
        <v>0</v>
      </c>
      <c r="U2241" t="n">
        <v>4405.88</v>
      </c>
      <c r="X2241" t="inlineStr">
        <is>
          <t>aafc-aac</t>
        </is>
      </c>
      <c r="Y2241" t="inlineStr">
        <is>
          <t>Agriculture and Agri-Food Canada | Agriculture et Agroalimentaire Canada</t>
        </is>
      </c>
      <c r="Z2241" t="n">
        <v>4</v>
      </c>
      <c r="AA2241" t="n">
        <v>4405.88</v>
      </c>
      <c r="AB2241">
        <f>ROUND(U2241-AA2241,2)</f>
        <v/>
      </c>
      <c r="AC2241" t="b">
        <v>0</v>
      </c>
      <c r="AD2241">
        <f>IF(U2241="","MISSING_TOTAL",IF(ABS(AB2241)&lt;=0.01,"OK","CHECK"))</f>
        <v/>
      </c>
      <c r="AE2241">
        <f>IF(U2241="","MISSING",IF(AND(AA2241&gt;0,U2241/AA2241&gt;50),"POSSIBLE_SCALE_ERROR","OK"))</f>
        <v/>
      </c>
    </row>
    <row r="2242">
      <c r="A2242" t="inlineStr">
        <is>
          <t>T-2025-P01-006</t>
        </is>
      </c>
      <c r="B2242" t="inlineStr">
        <is>
          <t>MPSES</t>
        </is>
      </c>
      <c r="C2242" t="inlineStr">
        <is>
          <t>Director of Operations</t>
        </is>
      </c>
      <c r="D2242" t="inlineStr">
        <is>
          <t>Directrice des opérations</t>
        </is>
      </c>
      <c r="E2242" t="inlineStr">
        <is>
          <t>Maria Morley</t>
        </is>
      </c>
      <c r="F2242" t="inlineStr">
        <is>
          <t>To support the Minister at a tour of the Folly River Farms</t>
        </is>
      </c>
      <c r="G2242" t="inlineStr">
        <is>
          <t>Soutenir le ministre lors d'une visite des fermes de Folly River.</t>
        </is>
      </c>
      <c r="H2242" s="1" t="n">
        <v>45357</v>
      </c>
      <c r="I2242" s="1" t="n">
        <v>45360</v>
      </c>
      <c r="J2242" t="inlineStr">
        <is>
          <t>Halifax (Nova Scotia) Canada</t>
        </is>
      </c>
      <c r="K2242" t="inlineStr">
        <is>
          <t>Halifax (Nouvelle-Écosse) Canada</t>
        </is>
      </c>
      <c r="P2242" t="n">
        <v>1497.1</v>
      </c>
      <c r="Q2242" t="n">
        <v>182.61</v>
      </c>
      <c r="R2242" t="n">
        <v>0</v>
      </c>
      <c r="S2242" t="n">
        <v>109.45</v>
      </c>
      <c r="T2242" t="n">
        <v>0</v>
      </c>
      <c r="U2242" t="n">
        <v>1789.16</v>
      </c>
      <c r="X2242" t="inlineStr">
        <is>
          <t>aafc-aac</t>
        </is>
      </c>
      <c r="Y2242" t="inlineStr">
        <is>
          <t>Agriculture and Agri-Food Canada | Agriculture et Agroalimentaire Canada</t>
        </is>
      </c>
      <c r="Z2242" t="n">
        <v>4</v>
      </c>
      <c r="AA2242" t="n">
        <v>1789.16</v>
      </c>
      <c r="AB2242">
        <f>ROUND(U2242-AA2242,2)</f>
        <v/>
      </c>
      <c r="AC2242" t="b">
        <v>0</v>
      </c>
      <c r="AD2242">
        <f>IF(U2242="","MISSING_TOTAL",IF(ABS(AB2242)&lt;=0.01,"OK","CHECK"))</f>
        <v/>
      </c>
      <c r="AE2242">
        <f>IF(U2242="","MISSING",IF(AND(AA2242&gt;0,U2242/AA2242&gt;50),"POSSIBLE_SCALE_ERROR","OK"))</f>
        <v/>
      </c>
    </row>
    <row r="2243">
      <c r="A2243" t="inlineStr">
        <is>
          <t>T-2025-P01-007</t>
        </is>
      </c>
      <c r="B2243" t="inlineStr">
        <is>
          <t>MPSES</t>
        </is>
      </c>
      <c r="C2243" t="inlineStr">
        <is>
          <t>Director of Operations</t>
        </is>
      </c>
      <c r="D2243" t="inlineStr">
        <is>
          <t>Directrice des opérations</t>
        </is>
      </c>
      <c r="E2243" t="inlineStr">
        <is>
          <t>Maria Morley</t>
        </is>
      </c>
      <c r="F2243" t="inlineStr">
        <is>
          <t>To support the Minister to attend meetings and announcements in Charlottetown and to support the Minister at an Outreach in British Columbia</t>
        </is>
      </c>
      <c r="G2243" t="inlineStr">
        <is>
          <t>Aider le ministre à participer à des réunions et à des annonces à Charlottetown et pour soutenir le ministre lors d'une campagne de sensibilisation en Colombie-Britannique.</t>
        </is>
      </c>
      <c r="H2243" s="1" t="n">
        <v>45373</v>
      </c>
      <c r="I2243" s="1" t="n">
        <v>45388</v>
      </c>
      <c r="J2243" t="inlineStr">
        <is>
          <t>Charlottetown (Prince Edward Island) Canada
Vancouver (British Columbia) Canada</t>
        </is>
      </c>
      <c r="K2243" t="inlineStr">
        <is>
          <t>Charlottetown (Île-du-Prince-Édouard) Canada
Vancouver (Colombie-Britannique) Canada</t>
        </is>
      </c>
      <c r="P2243" t="n">
        <v>4718.29</v>
      </c>
      <c r="Q2243" t="n">
        <v>306.67</v>
      </c>
      <c r="R2243" t="n">
        <v>2465.94</v>
      </c>
      <c r="S2243" t="n">
        <v>796.3</v>
      </c>
      <c r="T2243" t="n">
        <v>0</v>
      </c>
      <c r="U2243" t="n">
        <v>8287.200000000001</v>
      </c>
      <c r="X2243" t="inlineStr">
        <is>
          <t>aafc-aac</t>
        </is>
      </c>
      <c r="Y2243" t="inlineStr">
        <is>
          <t>Agriculture and Agri-Food Canada | Agriculture et Agroalimentaire Canada</t>
        </is>
      </c>
      <c r="Z2243" t="n">
        <v>16</v>
      </c>
      <c r="AA2243" t="n">
        <v>8287.19999999999</v>
      </c>
      <c r="AB2243">
        <f>ROUND(U2243-AA2243,2)</f>
        <v/>
      </c>
      <c r="AC2243" t="b">
        <v>0</v>
      </c>
      <c r="AD2243">
        <f>IF(U2243="","MISSING_TOTAL",IF(ABS(AB2243)&lt;=0.01,"OK","CHECK"))</f>
        <v/>
      </c>
      <c r="AE2243">
        <f>IF(U2243="","MISSING",IF(AND(AA2243&gt;0,U2243/AA2243&gt;50),"POSSIBLE_SCALE_ERROR","OK"))</f>
        <v/>
      </c>
    </row>
    <row r="2244">
      <c r="A2244" t="inlineStr">
        <is>
          <t>T-2025-P01-008</t>
        </is>
      </c>
      <c r="B2244" t="inlineStr">
        <is>
          <t>SLE</t>
        </is>
      </c>
      <c r="C2244" t="inlineStr">
        <is>
          <t>Deputy Minister</t>
        </is>
      </c>
      <c r="D2244" t="inlineStr">
        <is>
          <t>Sous-ministre</t>
        </is>
      </c>
      <c r="E2244" t="inlineStr">
        <is>
          <t>Stefanie Beck</t>
        </is>
      </c>
      <c r="F2244" t="inlineStr">
        <is>
          <t>Visit to regional office, Research and Development Centres and meetings with stakeholders</t>
        </is>
      </c>
      <c r="G2244" t="inlineStr">
        <is>
          <t>Visite des bureaux régionaux, des centres de recherche et de développement et réunions avec les parties prenantes</t>
        </is>
      </c>
      <c r="H2244" s="1" t="n">
        <v>45376</v>
      </c>
      <c r="I2244" s="1" t="n">
        <v>45377</v>
      </c>
      <c r="J2244" t="inlineStr">
        <is>
          <t>Montreal (Quebec) Canada</t>
        </is>
      </c>
      <c r="K2244" t="inlineStr">
        <is>
          <t>Montréal (Québec) Canada</t>
        </is>
      </c>
      <c r="P2244" t="n">
        <v>0</v>
      </c>
      <c r="Q2244" t="n">
        <v>0</v>
      </c>
      <c r="R2244" t="n">
        <v>184.71</v>
      </c>
      <c r="S2244" t="n">
        <v>119.7</v>
      </c>
      <c r="T2244" t="n">
        <v>0</v>
      </c>
      <c r="U2244" t="n">
        <v>304.41</v>
      </c>
      <c r="X2244" t="inlineStr">
        <is>
          <t>aafc-aac</t>
        </is>
      </c>
      <c r="Y2244" t="inlineStr">
        <is>
          <t>Agriculture and Agri-Food Canada | Agriculture et Agroalimentaire Canada</t>
        </is>
      </c>
      <c r="Z2244" t="n">
        <v>2</v>
      </c>
      <c r="AA2244" t="n">
        <v>304.41</v>
      </c>
      <c r="AB2244">
        <f>ROUND(U2244-AA2244,2)</f>
        <v/>
      </c>
      <c r="AC2244" t="b">
        <v>0</v>
      </c>
      <c r="AD2244">
        <f>IF(U2244="","MISSING_TOTAL",IF(ABS(AB2244)&lt;=0.01,"OK","CHECK"))</f>
        <v/>
      </c>
      <c r="AE2244">
        <f>IF(U2244="","MISSING",IF(AND(AA2244&gt;0,U2244/AA2244&gt;50),"POSSIBLE_SCALE_ERROR","OK"))</f>
        <v/>
      </c>
    </row>
    <row r="2245">
      <c r="A2245" t="inlineStr">
        <is>
          <t>T-2025-P01-009</t>
        </is>
      </c>
      <c r="B2245" t="inlineStr">
        <is>
          <t>SLE</t>
        </is>
      </c>
      <c r="C2245" t="inlineStr">
        <is>
          <t>Deputy Minister</t>
        </is>
      </c>
      <c r="D2245" t="inlineStr">
        <is>
          <t>Sous-ministre</t>
        </is>
      </c>
      <c r="E2245" t="inlineStr">
        <is>
          <t>Stefanie Beck</t>
        </is>
      </c>
      <c r="F2245" t="inlineStr">
        <is>
          <t>Speaking commitment at Plant Forward Conference and meeting with stakeholders</t>
        </is>
      </c>
      <c r="G2245" t="inlineStr">
        <is>
          <t>Engagement à prendre la parole lors de la conférence Plant Forward et à rencontrer les parties prenantes</t>
        </is>
      </c>
      <c r="H2245" s="1" t="n">
        <v>45398</v>
      </c>
      <c r="I2245" s="1" t="n">
        <v>45399</v>
      </c>
      <c r="J2245" t="inlineStr">
        <is>
          <t>Toronto (Ontario) Canada</t>
        </is>
      </c>
      <c r="K2245" t="inlineStr">
        <is>
          <t>Toronto (Ontario) Canada</t>
        </is>
      </c>
      <c r="P2245" t="n">
        <v>959.65</v>
      </c>
      <c r="Q2245" t="n">
        <v>94.64</v>
      </c>
      <c r="R2245" t="n">
        <v>383.3</v>
      </c>
      <c r="S2245" t="n">
        <v>208.4</v>
      </c>
      <c r="T2245" t="n">
        <v>0</v>
      </c>
      <c r="U2245" t="n">
        <v>1645.99</v>
      </c>
      <c r="X2245" t="inlineStr">
        <is>
          <t>aafc-aac</t>
        </is>
      </c>
      <c r="Y2245" t="inlineStr">
        <is>
          <t>Agriculture and Agri-Food Canada | Agriculture et Agroalimentaire Canada</t>
        </is>
      </c>
      <c r="Z2245" t="n">
        <v>2</v>
      </c>
      <c r="AA2245" t="n">
        <v>1645.99</v>
      </c>
      <c r="AB2245">
        <f>ROUND(U2245-AA2245,2)</f>
        <v/>
      </c>
      <c r="AC2245" t="b">
        <v>0</v>
      </c>
      <c r="AD2245">
        <f>IF(U2245="","MISSING_TOTAL",IF(ABS(AB2245)&lt;=0.01,"OK","CHECK"))</f>
        <v/>
      </c>
      <c r="AE2245">
        <f>IF(U2245="","MISSING",IF(AND(AA2245&gt;0,U2245/AA2245&gt;50),"POSSIBLE_SCALE_ERROR","OK"))</f>
        <v/>
      </c>
    </row>
    <row r="2246">
      <c r="A2246" t="inlineStr">
        <is>
          <t>T-2025-P01-010</t>
        </is>
      </c>
      <c r="B2246" t="inlineStr">
        <is>
          <t>SLE</t>
        </is>
      </c>
      <c r="C2246" t="inlineStr">
        <is>
          <t>Driver</t>
        </is>
      </c>
      <c r="D2246" t="inlineStr">
        <is>
          <t>Chauffeur</t>
        </is>
      </c>
      <c r="E2246" t="inlineStr">
        <is>
          <t>Stephane Lafreniere</t>
        </is>
      </c>
      <c r="F2246" t="inlineStr">
        <is>
          <t>Drive the Deputy Minister for visit to regional office, Research and Development Centres and meetings with stakeholders</t>
        </is>
      </c>
      <c r="G2246" t="inlineStr">
        <is>
          <t>Conduire le vice-ministre lors des visites des bureaux régionaux, des centres de recherche et de développement et des réunions avec les parties prenantes.</t>
        </is>
      </c>
      <c r="H2246" s="1" t="n">
        <v>45376</v>
      </c>
      <c r="I2246" s="1" t="n">
        <v>45377</v>
      </c>
      <c r="J2246" t="inlineStr">
        <is>
          <t>Montreal (Quebec) Canada</t>
        </is>
      </c>
      <c r="K2246" t="inlineStr">
        <is>
          <t>Montréal (Québec) Canada</t>
        </is>
      </c>
      <c r="P2246" t="n">
        <v>0</v>
      </c>
      <c r="Q2246" t="n">
        <v>55</v>
      </c>
      <c r="R2246" t="n">
        <v>184.71</v>
      </c>
      <c r="S2246" t="n">
        <v>119.7</v>
      </c>
      <c r="T2246" t="n">
        <v>0</v>
      </c>
      <c r="U2246" t="n">
        <v>359.41</v>
      </c>
      <c r="X2246" t="inlineStr">
        <is>
          <t>aafc-aac</t>
        </is>
      </c>
      <c r="Y2246" t="inlineStr">
        <is>
          <t>Agriculture and Agri-Food Canada | Agriculture et Agroalimentaire Canada</t>
        </is>
      </c>
      <c r="Z2246" t="n">
        <v>2</v>
      </c>
      <c r="AA2246" t="n">
        <v>359.41</v>
      </c>
      <c r="AB2246">
        <f>ROUND(U2246-AA2246,2)</f>
        <v/>
      </c>
      <c r="AC2246" t="b">
        <v>0</v>
      </c>
      <c r="AD2246">
        <f>IF(U2246="","MISSING_TOTAL",IF(ABS(AB2246)&lt;=0.01,"OK","CHECK"))</f>
        <v/>
      </c>
      <c r="AE2246">
        <f>IF(U2246="","MISSING",IF(AND(AA2246&gt;0,U2246/AA2246&gt;50),"POSSIBLE_SCALE_ERROR","OK"))</f>
        <v/>
      </c>
    </row>
    <row r="2247">
      <c r="A2247" t="inlineStr">
        <is>
          <t>T-2025-P01-011</t>
        </is>
      </c>
      <c r="B2247" t="inlineStr">
        <is>
          <t>SLE</t>
        </is>
      </c>
      <c r="C2247" t="inlineStr">
        <is>
          <t>Corporate Secretary</t>
        </is>
      </c>
      <c r="D2247" t="inlineStr">
        <is>
          <t>Secrétaire générale</t>
        </is>
      </c>
      <c r="E2247" t="inlineStr">
        <is>
          <t>Tamara Abel</t>
        </is>
      </c>
      <c r="F2247" t="inlineStr">
        <is>
          <t>Operational activities</t>
        </is>
      </c>
      <c r="G2247" t="inlineStr">
        <is>
          <t>Activités opérationnelles</t>
        </is>
      </c>
      <c r="H2247" s="1" t="n">
        <v>45368</v>
      </c>
      <c r="I2247" s="1" t="n">
        <v>45372</v>
      </c>
      <c r="J2247" t="inlineStr">
        <is>
          <t>Ottawa (Ontario) Canada</t>
        </is>
      </c>
      <c r="K2247" t="inlineStr">
        <is>
          <t>Ottawa (Ontario) Canada</t>
        </is>
      </c>
      <c r="P2247" t="n">
        <v>1074.59</v>
      </c>
      <c r="Q2247" t="n">
        <v>310.67</v>
      </c>
      <c r="R2247" t="n">
        <v>1156.84</v>
      </c>
      <c r="S2247" t="n">
        <v>584.75</v>
      </c>
      <c r="T2247" t="n">
        <v>0</v>
      </c>
      <c r="U2247" t="n">
        <v>3126.85</v>
      </c>
      <c r="X2247" t="inlineStr">
        <is>
          <t>aafc-aac</t>
        </is>
      </c>
      <c r="Y2247" t="inlineStr">
        <is>
          <t>Agriculture and Agri-Food Canada | Agriculture et Agroalimentaire Canada</t>
        </is>
      </c>
      <c r="Z2247" t="n">
        <v>5</v>
      </c>
      <c r="AA2247" t="n">
        <v>3126.85</v>
      </c>
      <c r="AB2247">
        <f>ROUND(U2247-AA2247,2)</f>
        <v/>
      </c>
      <c r="AC2247" t="b">
        <v>0</v>
      </c>
      <c r="AD2247">
        <f>IF(U2247="","MISSING_TOTAL",IF(ABS(AB2247)&lt;=0.01,"OK","CHECK"))</f>
        <v/>
      </c>
      <c r="AE2247">
        <f>IF(U2247="","MISSING",IF(AND(AA2247&gt;0,U2247/AA2247&gt;50),"POSSIBLE_SCALE_ERROR","OK"))</f>
        <v/>
      </c>
    </row>
    <row r="2248">
      <c r="A2248" t="inlineStr">
        <is>
          <t>T-2025-P01-012</t>
        </is>
      </c>
      <c r="B2248" t="inlineStr">
        <is>
          <t>SLE</t>
        </is>
      </c>
      <c r="C2248" t="inlineStr">
        <is>
          <t>Workplace Well-Being Ombudsperson</t>
        </is>
      </c>
      <c r="D2248" t="inlineStr">
        <is>
          <t>Ombudsman du mieux-être en milieu de travail</t>
        </is>
      </c>
      <c r="E2248" t="inlineStr">
        <is>
          <t>Elianne Hall</t>
        </is>
      </c>
      <c r="F2248" t="inlineStr">
        <is>
          <t>To attend the International Ombuds Association 19th Annual Conference</t>
        </is>
      </c>
      <c r="G2248" t="inlineStr">
        <is>
          <t>Participation à la 19e conférence annuelle de l'International Ombuds Association</t>
        </is>
      </c>
      <c r="H2248" s="1" t="n">
        <v>45368</v>
      </c>
      <c r="I2248" s="1" t="n">
        <v>45371</v>
      </c>
      <c r="J2248" t="inlineStr">
        <is>
          <t>Indianapolis (Indiana) United States</t>
        </is>
      </c>
      <c r="K2248" t="inlineStr">
        <is>
          <t>Indianapolis (Indiana) United States</t>
        </is>
      </c>
      <c r="P2248" t="n">
        <v>1405.35</v>
      </c>
      <c r="Q2248" t="n">
        <v>147.77</v>
      </c>
      <c r="R2248" t="n">
        <v>1137.45</v>
      </c>
      <c r="S2248" t="n">
        <v>503.49</v>
      </c>
      <c r="T2248" t="n">
        <v>0</v>
      </c>
      <c r="U2248" t="n">
        <v>3194.06</v>
      </c>
      <c r="X2248" t="inlineStr">
        <is>
          <t>aafc-aac</t>
        </is>
      </c>
      <c r="Y2248" t="inlineStr">
        <is>
          <t>Agriculture and Agri-Food Canada | Agriculture et Agroalimentaire Canada</t>
        </is>
      </c>
      <c r="Z2248" t="n">
        <v>4</v>
      </c>
      <c r="AA2248" t="n">
        <v>3194.05999999999</v>
      </c>
      <c r="AB2248">
        <f>ROUND(U2248-AA2248,2)</f>
        <v/>
      </c>
      <c r="AC2248" t="b">
        <v>0</v>
      </c>
      <c r="AD2248">
        <f>IF(U2248="","MISSING_TOTAL",IF(ABS(AB2248)&lt;=0.01,"OK","CHECK"))</f>
        <v/>
      </c>
      <c r="AE2248">
        <f>IF(U2248="","MISSING",IF(AND(AA2248&gt;0,U2248/AA2248&gt;50),"POSSIBLE_SCALE_ERROR","OK"))</f>
        <v/>
      </c>
    </row>
    <row r="2249">
      <c r="A2249" t="inlineStr">
        <is>
          <t>T-2025-P01-013</t>
        </is>
      </c>
      <c r="B2249" t="inlineStr">
        <is>
          <t>SLE</t>
        </is>
      </c>
      <c r="C2249" t="inlineStr">
        <is>
          <t>Assistant Deputy Minister, Science and Technology Branch</t>
        </is>
      </c>
      <c r="D2249" t="inlineStr">
        <is>
          <t>Sous-ministre adjoint, Direction générale des sciences et de la technologie</t>
        </is>
      </c>
      <c r="E2249" t="inlineStr">
        <is>
          <t>Gilles Saindon</t>
        </is>
      </c>
      <c r="F2249" t="inlineStr">
        <is>
          <t>Photos for visa application for Brazil</t>
        </is>
      </c>
      <c r="G2249" t="inlineStr">
        <is>
          <t>Photos pour demande de visa pour le Brésil</t>
        </is>
      </c>
      <c r="H2249" s="1" t="n">
        <v>45351</v>
      </c>
      <c r="I2249" s="1" t="n">
        <v>45351</v>
      </c>
      <c r="J2249" t="inlineStr">
        <is>
          <t>Ottawa (Ontario) Canada</t>
        </is>
      </c>
      <c r="K2249" t="inlineStr">
        <is>
          <t>Ottawa (Ontario) Canada</t>
        </is>
      </c>
      <c r="P2249" t="n">
        <v>0</v>
      </c>
      <c r="Q2249" t="n">
        <v>0</v>
      </c>
      <c r="R2249" t="n">
        <v>0</v>
      </c>
      <c r="S2249" t="n">
        <v>0</v>
      </c>
      <c r="T2249" t="n">
        <v>28.24</v>
      </c>
      <c r="U2249" t="n">
        <v>28.24</v>
      </c>
      <c r="X2249" t="inlineStr">
        <is>
          <t>aafc-aac</t>
        </is>
      </c>
      <c r="Y2249" t="inlineStr">
        <is>
          <t>Agriculture and Agri-Food Canada | Agriculture et Agroalimentaire Canada</t>
        </is>
      </c>
      <c r="Z2249" t="n">
        <v>1</v>
      </c>
      <c r="AA2249" t="n">
        <v>28.24</v>
      </c>
      <c r="AB2249">
        <f>ROUND(U2249-AA2249,2)</f>
        <v/>
      </c>
      <c r="AC2249" t="b">
        <v>0</v>
      </c>
      <c r="AD2249">
        <f>IF(U2249="","MISSING_TOTAL",IF(ABS(AB2249)&lt;=0.01,"OK","CHECK"))</f>
        <v/>
      </c>
      <c r="AE2249">
        <f>IF(U2249="","MISSING",IF(AND(AA2249&gt;0,U2249/AA2249&gt;50),"POSSIBLE_SCALE_ERROR","OK"))</f>
        <v/>
      </c>
    </row>
    <row r="2250">
      <c r="A2250" t="inlineStr">
        <is>
          <t>T-2025-P01-014</t>
        </is>
      </c>
      <c r="B2250" t="inlineStr">
        <is>
          <t>SLE</t>
        </is>
      </c>
      <c r="C2250" t="inlineStr">
        <is>
          <t>Assistant Deputy Minister, International Affairs Branch</t>
        </is>
      </c>
      <c r="D2250" t="inlineStr">
        <is>
          <t>Sous-ministre adjointe, Direction générale des affaires internationales</t>
        </is>
      </c>
      <c r="E2250" t="inlineStr">
        <is>
          <t>Kathleen Donohue</t>
        </is>
      </c>
      <c r="F2250" t="inlineStr">
        <is>
          <t>Parking fees for various events during February 2024</t>
        </is>
      </c>
      <c r="G2250" t="inlineStr">
        <is>
          <t>Frais de stationnement de divers événements en février 2024</t>
        </is>
      </c>
      <c r="H2250" s="1" t="n">
        <v>45330</v>
      </c>
      <c r="I2250" s="1" t="n">
        <v>45334</v>
      </c>
      <c r="J2250" t="inlineStr">
        <is>
          <t>Ottawa (Ontario) Canada</t>
        </is>
      </c>
      <c r="K2250" t="inlineStr">
        <is>
          <t>Ottawa (Ontario) Canada</t>
        </is>
      </c>
      <c r="P2250" t="n">
        <v>0</v>
      </c>
      <c r="Q2250" t="n">
        <v>29</v>
      </c>
      <c r="R2250" t="n">
        <v>0</v>
      </c>
      <c r="S2250" t="n">
        <v>0</v>
      </c>
      <c r="T2250" t="n">
        <v>0</v>
      </c>
      <c r="U2250" t="n">
        <v>29</v>
      </c>
      <c r="X2250" t="inlineStr">
        <is>
          <t>aafc-aac</t>
        </is>
      </c>
      <c r="Y2250" t="inlineStr">
        <is>
          <t>Agriculture and Agri-Food Canada | Agriculture et Agroalimentaire Canada</t>
        </is>
      </c>
      <c r="Z2250" t="n">
        <v>5</v>
      </c>
      <c r="AA2250" t="n">
        <v>29</v>
      </c>
      <c r="AB2250">
        <f>ROUND(U2250-AA2250,2)</f>
        <v/>
      </c>
      <c r="AC2250" t="b">
        <v>0</v>
      </c>
      <c r="AD2250">
        <f>IF(U2250="","MISSING_TOTAL",IF(ABS(AB2250)&lt;=0.01,"OK","CHECK"))</f>
        <v/>
      </c>
      <c r="AE2250">
        <f>IF(U2250="","MISSING",IF(AND(AA2250&gt;0,U2250/AA2250&gt;50),"POSSIBLE_SCALE_ERROR","OK"))</f>
        <v/>
      </c>
    </row>
    <row r="2251">
      <c r="A2251" t="inlineStr">
        <is>
          <t>T-2025-P01-015</t>
        </is>
      </c>
      <c r="B2251" t="inlineStr">
        <is>
          <t>SLE</t>
        </is>
      </c>
      <c r="C2251" t="inlineStr">
        <is>
          <t>Assistant Deputy Minister, International Affairs Branch</t>
        </is>
      </c>
      <c r="D2251" t="inlineStr">
        <is>
          <t>Sous-ministre adjointe, Direction générale des affaires internationales</t>
        </is>
      </c>
      <c r="E2251" t="inlineStr">
        <is>
          <t>Kathleen Donohue</t>
        </is>
      </c>
      <c r="F2251" t="inlineStr">
        <is>
          <t>Taxi to a meeting  held at the Chinese Embassy.</t>
        </is>
      </c>
      <c r="G2251" t="inlineStr">
        <is>
          <t>Taxi pour une réunion tenue à l’ambassade de la Chine</t>
        </is>
      </c>
      <c r="H2251" s="1" t="n">
        <v>45365</v>
      </c>
      <c r="I2251" s="1" t="n">
        <v>45365</v>
      </c>
      <c r="J2251" t="inlineStr">
        <is>
          <t>Ottawa (Ontario) Canada</t>
        </is>
      </c>
      <c r="K2251" t="inlineStr">
        <is>
          <t>Ottawa (Ontario) Canada</t>
        </is>
      </c>
      <c r="P2251" t="n">
        <v>0</v>
      </c>
      <c r="Q2251" t="n">
        <v>10.86</v>
      </c>
      <c r="R2251" t="n">
        <v>0</v>
      </c>
      <c r="S2251" t="n">
        <v>0</v>
      </c>
      <c r="T2251" t="n">
        <v>0</v>
      </c>
      <c r="U2251" t="n">
        <v>10.86</v>
      </c>
      <c r="X2251" t="inlineStr">
        <is>
          <t>aafc-aac</t>
        </is>
      </c>
      <c r="Y2251" t="inlineStr">
        <is>
          <t>Agriculture and Agri-Food Canada | Agriculture et Agroalimentaire Canada</t>
        </is>
      </c>
      <c r="Z2251" t="n">
        <v>1</v>
      </c>
      <c r="AA2251" t="n">
        <v>10.86</v>
      </c>
      <c r="AB2251">
        <f>ROUND(U2251-AA2251,2)</f>
        <v/>
      </c>
      <c r="AC2251" t="b">
        <v>0</v>
      </c>
      <c r="AD2251">
        <f>IF(U2251="","MISSING_TOTAL",IF(ABS(AB2251)&lt;=0.01,"OK","CHECK"))</f>
        <v/>
      </c>
      <c r="AE2251">
        <f>IF(U2251="","MISSING",IF(AND(AA2251&gt;0,U2251/AA2251&gt;50),"POSSIBLE_SCALE_ERROR","OK"))</f>
        <v/>
      </c>
    </row>
    <row r="2252">
      <c r="A2252" t="inlineStr">
        <is>
          <t>T-2025-P01-016</t>
        </is>
      </c>
      <c r="B2252" t="inlineStr">
        <is>
          <t>SLE</t>
        </is>
      </c>
      <c r="C2252" t="inlineStr">
        <is>
          <t>Associate Assistant Deputy Minister, Science and Technology Branch</t>
        </is>
      </c>
      <c r="D2252" t="inlineStr">
        <is>
          <t>Sous-ministre adjoint délégué, Direction générale des sciences et de la technologie</t>
        </is>
      </c>
      <c r="E2252" t="inlineStr">
        <is>
          <t>Andrew Goldstein</t>
        </is>
      </c>
      <c r="F2252" t="inlineStr">
        <is>
          <t>Outreach visit and meet with staff at the Sherbrooke Research and Development Centre</t>
        </is>
      </c>
      <c r="G2252" t="inlineStr">
        <is>
          <t>Rencontre de sensibilisation avec le personnel du centre de recherche et de développement à Sherbrooke</t>
        </is>
      </c>
      <c r="H2252" s="1" t="n">
        <v>45390</v>
      </c>
      <c r="I2252" s="1" t="n">
        <v>45391</v>
      </c>
      <c r="J2252" t="inlineStr">
        <is>
          <t>Sherbrooke (Quebec) Canada</t>
        </is>
      </c>
      <c r="K2252" t="inlineStr">
        <is>
          <t>Sherbrooke (Québec) Canada</t>
        </is>
      </c>
      <c r="P2252" t="n">
        <v>0</v>
      </c>
      <c r="Q2252" t="n">
        <v>443.22</v>
      </c>
      <c r="R2252" t="n">
        <v>205.39</v>
      </c>
      <c r="S2252" t="n">
        <v>146.85</v>
      </c>
      <c r="T2252" t="n">
        <v>0</v>
      </c>
      <c r="U2252" t="n">
        <v>795.46</v>
      </c>
      <c r="X2252" t="inlineStr">
        <is>
          <t>aafc-aac</t>
        </is>
      </c>
      <c r="Y2252" t="inlineStr">
        <is>
          <t>Agriculture and Agri-Food Canada | Agriculture et Agroalimentaire Canada</t>
        </is>
      </c>
      <c r="Z2252" t="n">
        <v>2</v>
      </c>
      <c r="AA2252" t="n">
        <v>795.46</v>
      </c>
      <c r="AB2252">
        <f>ROUND(U2252-AA2252,2)</f>
        <v/>
      </c>
      <c r="AC2252" t="b">
        <v>0</v>
      </c>
      <c r="AD2252">
        <f>IF(U2252="","MISSING_TOTAL",IF(ABS(AB2252)&lt;=0.01,"OK","CHECK"))</f>
        <v/>
      </c>
      <c r="AE2252">
        <f>IF(U2252="","MISSING",IF(AND(AA2252&gt;0,U2252/AA2252&gt;50),"POSSIBLE_SCALE_ERROR","OK"))</f>
        <v/>
      </c>
    </row>
    <row r="2253">
      <c r="A2253" t="inlineStr">
        <is>
          <t>T-2025-P01-017</t>
        </is>
      </c>
      <c r="B2253" t="inlineStr">
        <is>
          <t>SLE</t>
        </is>
      </c>
      <c r="C2253" t="inlineStr">
        <is>
          <t>Assistant Deputy Minister, Corporate Management Branch</t>
        </is>
      </c>
      <c r="D2253" t="inlineStr">
        <is>
          <t>Sous-ministre adjointe, Direction générale de la gestion intégrée</t>
        </is>
      </c>
      <c r="E2253" t="inlineStr">
        <is>
          <t>Marie-Claude Guérard</t>
        </is>
      </c>
      <c r="F2253" t="inlineStr">
        <is>
          <t>Uber with the Deputy Minister on march 26th to a meeting location during the Deputy Minister's outreach in Montreal</t>
        </is>
      </c>
      <c r="G2253" t="inlineStr">
        <is>
          <t>Uber avec la sous-ministre le 26 mars pour se rendre à un lieu de réunion pendant sa mission de sensibilisation à Montréal</t>
        </is>
      </c>
      <c r="H2253" s="1" t="n">
        <v>45377</v>
      </c>
      <c r="I2253" s="1" t="n">
        <v>45377</v>
      </c>
      <c r="J2253" t="inlineStr">
        <is>
          <t>Montreal (Quebec) Canada</t>
        </is>
      </c>
      <c r="K2253" t="inlineStr">
        <is>
          <t>Montréal (Québec) Canada</t>
        </is>
      </c>
      <c r="P2253" t="n">
        <v>0</v>
      </c>
      <c r="Q2253" t="n">
        <v>20.99</v>
      </c>
      <c r="R2253" t="n">
        <v>0</v>
      </c>
      <c r="S2253" t="n">
        <v>0</v>
      </c>
      <c r="T2253" t="n">
        <v>0</v>
      </c>
      <c r="U2253" t="n">
        <v>20.99</v>
      </c>
      <c r="X2253" t="inlineStr">
        <is>
          <t>aafc-aac</t>
        </is>
      </c>
      <c r="Y2253" t="inlineStr">
        <is>
          <t>Agriculture and Agri-Food Canada | Agriculture et Agroalimentaire Canada</t>
        </is>
      </c>
      <c r="Z2253" t="n">
        <v>1</v>
      </c>
      <c r="AA2253" t="n">
        <v>20.99</v>
      </c>
      <c r="AB2253">
        <f>ROUND(U2253-AA2253,2)</f>
        <v/>
      </c>
      <c r="AC2253" t="b">
        <v>0</v>
      </c>
      <c r="AD2253">
        <f>IF(U2253="","MISSING_TOTAL",IF(ABS(AB2253)&lt;=0.01,"OK","CHECK"))</f>
        <v/>
      </c>
      <c r="AE2253">
        <f>IF(U2253="","MISSING",IF(AND(AA2253&gt;0,U2253/AA2253&gt;50),"POSSIBLE_SCALE_ERROR","OK"))</f>
        <v/>
      </c>
    </row>
    <row r="2254">
      <c r="A2254" t="inlineStr">
        <is>
          <t>T-2025-P01-018</t>
        </is>
      </c>
      <c r="B2254" t="inlineStr">
        <is>
          <t>SLE</t>
        </is>
      </c>
      <c r="C2254" t="inlineStr">
        <is>
          <t>Assistant Deputy Minister, Corporate Management Branch</t>
        </is>
      </c>
      <c r="D2254" t="inlineStr">
        <is>
          <t>Sous-ministre adjointe, Direction générale de la gestion intégrée</t>
        </is>
      </c>
      <c r="E2254" t="inlineStr">
        <is>
          <t>Marie-Claude Guérard</t>
        </is>
      </c>
      <c r="F2254" t="inlineStr">
        <is>
          <t>To attend meetings in Ottawa</t>
        </is>
      </c>
      <c r="G2254" t="inlineStr">
        <is>
          <t>Participer aux rencontres à Ottawa</t>
        </is>
      </c>
      <c r="H2254" s="1" t="n">
        <v>45404</v>
      </c>
      <c r="I2254" s="1" t="n">
        <v>45404</v>
      </c>
      <c r="J2254" t="inlineStr">
        <is>
          <t>Ottawa (Ontario) Canada</t>
        </is>
      </c>
      <c r="K2254" t="inlineStr">
        <is>
          <t>Ottawa (Ontario) Canada</t>
        </is>
      </c>
      <c r="P2254" t="n">
        <v>0</v>
      </c>
      <c r="Q2254" t="n">
        <v>361.54</v>
      </c>
      <c r="R2254" t="n">
        <v>0</v>
      </c>
      <c r="S2254" t="n">
        <v>25.2</v>
      </c>
      <c r="T2254" t="n">
        <v>0</v>
      </c>
      <c r="U2254" t="n">
        <v>386.74</v>
      </c>
      <c r="X2254" t="inlineStr">
        <is>
          <t>aafc-aac</t>
        </is>
      </c>
      <c r="Y2254" t="inlineStr">
        <is>
          <t>Agriculture and Agri-Food Canada | Agriculture et Agroalimentaire Canada</t>
        </is>
      </c>
      <c r="Z2254" t="n">
        <v>1</v>
      </c>
      <c r="AA2254" t="n">
        <v>386.74</v>
      </c>
      <c r="AB2254">
        <f>ROUND(U2254-AA2254,2)</f>
        <v/>
      </c>
      <c r="AC2254" t="b">
        <v>0</v>
      </c>
      <c r="AD2254">
        <f>IF(U2254="","MISSING_TOTAL",IF(ABS(AB2254)&lt;=0.01,"OK","CHECK"))</f>
        <v/>
      </c>
      <c r="AE2254">
        <f>IF(U2254="","MISSING",IF(AND(AA2254&gt;0,U2254/AA2254&gt;50),"POSSIBLE_SCALE_ERROR","OK"))</f>
        <v/>
      </c>
    </row>
    <row r="2255">
      <c r="A2255" t="inlineStr">
        <is>
          <t>T-2025-P01-019</t>
        </is>
      </c>
      <c r="B2255" t="inlineStr">
        <is>
          <t>SLE</t>
        </is>
      </c>
      <c r="C2255" t="inlineStr">
        <is>
          <t>Assistant Deputy Minister, Public Affairs Branch</t>
        </is>
      </c>
      <c r="D2255" t="inlineStr">
        <is>
          <t>Sous-ministre adjointe, Direction générale des affaires publiques</t>
        </is>
      </c>
      <c r="E2255" t="inlineStr">
        <is>
          <t>Mary Dila</t>
        </is>
      </c>
      <c r="F2255" t="inlineStr">
        <is>
          <t>To attend an Outreach</t>
        </is>
      </c>
      <c r="G2255" t="inlineStr">
        <is>
          <t>Assister à une activité sensibilisation</t>
        </is>
      </c>
      <c r="H2255" s="1" t="n">
        <v>45363</v>
      </c>
      <c r="I2255" s="1" t="n">
        <v>45370</v>
      </c>
      <c r="J2255" t="inlineStr">
        <is>
          <t>Victoria (British Columbia) Canada
Calgary (Alberta) Canada</t>
        </is>
      </c>
      <c r="K2255" t="inlineStr">
        <is>
          <t>Victoria (Colombie-Britannique) Canada
Calgary (Alberta) Canada</t>
        </is>
      </c>
      <c r="P2255" t="n">
        <v>1690.16</v>
      </c>
      <c r="Q2255" t="n">
        <v>200.71</v>
      </c>
      <c r="R2255" t="n">
        <v>1922.48</v>
      </c>
      <c r="S2255" t="n">
        <v>893.1</v>
      </c>
      <c r="T2255" t="n">
        <v>110.86</v>
      </c>
      <c r="U2255" t="n">
        <v>4817.31</v>
      </c>
      <c r="X2255" t="inlineStr">
        <is>
          <t>aafc-aac</t>
        </is>
      </c>
      <c r="Y2255" t="inlineStr">
        <is>
          <t>Agriculture and Agri-Food Canada | Agriculture et Agroalimentaire Canada</t>
        </is>
      </c>
      <c r="Z2255" t="n">
        <v>8</v>
      </c>
      <c r="AA2255" t="n">
        <v>4817.31</v>
      </c>
      <c r="AB2255">
        <f>ROUND(U2255-AA2255,2)</f>
        <v/>
      </c>
      <c r="AC2255" t="b">
        <v>0</v>
      </c>
      <c r="AD2255">
        <f>IF(U2255="","MISSING_TOTAL",IF(ABS(AB2255)&lt;=0.01,"OK","CHECK"))</f>
        <v/>
      </c>
      <c r="AE2255">
        <f>IF(U2255="","MISSING",IF(AND(AA2255&gt;0,U2255/AA2255&gt;50),"POSSIBLE_SCALE_ERROR","OK"))</f>
        <v/>
      </c>
    </row>
    <row r="2256">
      <c r="A2256" t="inlineStr">
        <is>
          <t>T-2025-P01-020</t>
        </is>
      </c>
      <c r="B2256" t="inlineStr">
        <is>
          <t>SLE</t>
        </is>
      </c>
      <c r="C2256" t="inlineStr">
        <is>
          <t>Assistant Deputy Minister, Strategic Policy Branch</t>
        </is>
      </c>
      <c r="D2256" t="inlineStr">
        <is>
          <t>Sous-ministre adjointe, Direction générale des politiques stratégiques</t>
        </is>
      </c>
      <c r="E2256" t="inlineStr">
        <is>
          <t>Shannon Nix</t>
        </is>
      </c>
      <c r="F2256" t="inlineStr">
        <is>
          <t>To attend the Advancing Women in Agriculture Conference</t>
        </is>
      </c>
      <c r="G2256" t="inlineStr">
        <is>
          <t>Assister à la Conférence sur l’avancement des femmes en agriculture</t>
        </is>
      </c>
      <c r="H2256" s="1" t="n">
        <v>45368</v>
      </c>
      <c r="I2256" s="1" t="n">
        <v>45370</v>
      </c>
      <c r="J2256" t="inlineStr">
        <is>
          <t>Calgary (Alberta) Canada</t>
        </is>
      </c>
      <c r="K2256" t="inlineStr">
        <is>
          <t>Calgary (Alberta) Canada</t>
        </is>
      </c>
      <c r="P2256" t="n">
        <v>1478.45</v>
      </c>
      <c r="Q2256" t="n">
        <v>109.81</v>
      </c>
      <c r="R2256" t="n">
        <v>424.38</v>
      </c>
      <c r="S2256" t="n">
        <v>271.1</v>
      </c>
      <c r="T2256" t="n">
        <v>0</v>
      </c>
      <c r="U2256" t="n">
        <v>2283.74</v>
      </c>
      <c r="X2256" t="inlineStr">
        <is>
          <t>aafc-aac</t>
        </is>
      </c>
      <c r="Y2256" t="inlineStr">
        <is>
          <t>Agriculture and Agri-Food Canada | Agriculture et Agroalimentaire Canada</t>
        </is>
      </c>
      <c r="Z2256" t="n">
        <v>3</v>
      </c>
      <c r="AA2256" t="n">
        <v>2283.74</v>
      </c>
      <c r="AB2256">
        <f>ROUND(U2256-AA2256,2)</f>
        <v/>
      </c>
      <c r="AC2256" t="b">
        <v>0</v>
      </c>
      <c r="AD2256">
        <f>IF(U2256="","MISSING_TOTAL",IF(ABS(AB2256)&lt;=0.01,"OK","CHECK"))</f>
        <v/>
      </c>
      <c r="AE2256">
        <f>IF(U2256="","MISSING",IF(AND(AA2256&gt;0,U2256/AA2256&gt;50),"POSSIBLE_SCALE_ERROR","OK"))</f>
        <v/>
      </c>
    </row>
    <row r="2257">
      <c r="A2257" t="inlineStr">
        <is>
          <t>T-2025-P01-021</t>
        </is>
      </c>
      <c r="B2257" t="inlineStr">
        <is>
          <t>SLE</t>
        </is>
      </c>
      <c r="C2257" t="inlineStr">
        <is>
          <t>Assistant Deputy Minister, Market and Industry Services Branch</t>
        </is>
      </c>
      <c r="D2257" t="inlineStr">
        <is>
          <t>Sous-ministre adjoint, Direction générale des services à l'industrie et aux marchés</t>
        </is>
      </c>
      <c r="E2257" t="inlineStr">
        <is>
          <t>Tom Rosser</t>
        </is>
      </c>
      <c r="F2257" t="inlineStr">
        <is>
          <t>To attend the CTAQ Conference in La Malbaie</t>
        </is>
      </c>
      <c r="G2257" t="inlineStr">
        <is>
          <t>Participer à la conférence de la CTAQ à La Malbaie</t>
        </is>
      </c>
      <c r="H2257" s="1" t="n">
        <v>45365</v>
      </c>
      <c r="I2257" s="1" t="n">
        <v>45368</v>
      </c>
      <c r="J2257" t="inlineStr">
        <is>
          <t>La Malbaie (Quebec) Canada</t>
        </is>
      </c>
      <c r="K2257" t="inlineStr">
        <is>
          <t>La Malbaie (Québec) Canada</t>
        </is>
      </c>
      <c r="P2257" t="n">
        <v>0</v>
      </c>
      <c r="Q2257" t="n">
        <v>687.03</v>
      </c>
      <c r="R2257" t="n">
        <v>659.41</v>
      </c>
      <c r="S2257" t="n">
        <v>112.35</v>
      </c>
      <c r="T2257" t="n">
        <v>0</v>
      </c>
      <c r="U2257" t="n">
        <v>1458.79</v>
      </c>
      <c r="X2257" t="inlineStr">
        <is>
          <t>aafc-aac</t>
        </is>
      </c>
      <c r="Y2257" t="inlineStr">
        <is>
          <t>Agriculture and Agri-Food Canada | Agriculture et Agroalimentaire Canada</t>
        </is>
      </c>
      <c r="Z2257" t="n">
        <v>4</v>
      </c>
      <c r="AA2257" t="n">
        <v>1458.79</v>
      </c>
      <c r="AB2257">
        <f>ROUND(U2257-AA2257,2)</f>
        <v/>
      </c>
      <c r="AC2257" t="b">
        <v>0</v>
      </c>
      <c r="AD2257">
        <f>IF(U2257="","MISSING_TOTAL",IF(ABS(AB2257)&lt;=0.01,"OK","CHECK"))</f>
        <v/>
      </c>
      <c r="AE2257">
        <f>IF(U2257="","MISSING",IF(AND(AA2257&gt;0,U2257/AA2257&gt;50),"POSSIBLE_SCALE_ERROR","OK"))</f>
        <v/>
      </c>
    </row>
    <row r="2258">
      <c r="A2258" t="inlineStr">
        <is>
          <t>T-2025-P01-022</t>
        </is>
      </c>
      <c r="B2258" t="inlineStr">
        <is>
          <t>SLE</t>
        </is>
      </c>
      <c r="C2258" t="inlineStr">
        <is>
          <t>Chief Information Officer, Information Systems Branch</t>
        </is>
      </c>
      <c r="D2258" t="inlineStr">
        <is>
          <t>Dirigeante principale de l'information, Direction générale des systèmes d'information</t>
        </is>
      </c>
      <c r="E2258" t="inlineStr">
        <is>
          <t>Vidya ShankarNarayan</t>
        </is>
      </c>
      <c r="F2258" t="inlineStr">
        <is>
          <t>Parking to attend ELDP</t>
        </is>
      </c>
      <c r="G2258" t="inlineStr">
        <is>
          <t>Stationnement pour participer au ELDP</t>
        </is>
      </c>
      <c r="H2258" s="1" t="n">
        <v>45377</v>
      </c>
      <c r="I2258" s="1" t="n">
        <v>45379</v>
      </c>
      <c r="J2258" t="inlineStr">
        <is>
          <t>Ottawa (Ontario) Canada</t>
        </is>
      </c>
      <c r="K2258" t="inlineStr">
        <is>
          <t>Ottawa (Ontario) Canada</t>
        </is>
      </c>
      <c r="P2258" t="n">
        <v>0</v>
      </c>
      <c r="Q2258" t="n">
        <v>42</v>
      </c>
      <c r="R2258" t="n">
        <v>0</v>
      </c>
      <c r="S2258" t="n">
        <v>0</v>
      </c>
      <c r="T2258" t="n">
        <v>0</v>
      </c>
      <c r="U2258" t="n">
        <v>42</v>
      </c>
      <c r="X2258" t="inlineStr">
        <is>
          <t>aafc-aac</t>
        </is>
      </c>
      <c r="Y2258" t="inlineStr">
        <is>
          <t>Agriculture and Agri-Food Canada | Agriculture et Agroalimentaire Canada</t>
        </is>
      </c>
      <c r="Z2258" t="n">
        <v>3</v>
      </c>
      <c r="AA2258" t="n">
        <v>42</v>
      </c>
      <c r="AB2258">
        <f>ROUND(U2258-AA2258,2)</f>
        <v/>
      </c>
      <c r="AC2258" t="b">
        <v>0</v>
      </c>
      <c r="AD2258">
        <f>IF(U2258="","MISSING_TOTAL",IF(ABS(AB2258)&lt;=0.01,"OK","CHECK"))</f>
        <v/>
      </c>
      <c r="AE2258">
        <f>IF(U2258="","MISSING",IF(AND(AA2258&gt;0,U2258/AA2258&gt;50),"POSSIBLE_SCALE_ERROR","OK"))</f>
        <v/>
      </c>
    </row>
    <row r="2259">
      <c r="A2259" t="inlineStr">
        <is>
          <t>T-2025-P01-023</t>
        </is>
      </c>
      <c r="B2259" t="inlineStr">
        <is>
          <t>MPSES</t>
        </is>
      </c>
      <c r="C2259" t="inlineStr">
        <is>
          <t>Member of Parliament</t>
        </is>
      </c>
      <c r="D2259" t="inlineStr">
        <is>
          <t>Membre du Parlement</t>
        </is>
      </c>
      <c r="E2259" t="inlineStr">
        <is>
          <t>Kevin Lamoureux</t>
        </is>
      </c>
      <c r="F2259" t="inlineStr">
        <is>
          <t>To support the Minister for a tour in Manila</t>
        </is>
      </c>
      <c r="G2259" t="inlineStr">
        <is>
          <t>Soutenir le ministre pour une tournée à Manille</t>
        </is>
      </c>
      <c r="H2259" s="1" t="n">
        <v>45340</v>
      </c>
      <c r="I2259" s="1" t="n">
        <v>45346</v>
      </c>
      <c r="J2259" t="inlineStr">
        <is>
          <t>Manila, Philippines</t>
        </is>
      </c>
      <c r="K2259" t="inlineStr">
        <is>
          <t>Manille, Philippines</t>
        </is>
      </c>
      <c r="P2259" t="n">
        <v>12049.1</v>
      </c>
      <c r="Q2259" t="n">
        <v>0</v>
      </c>
      <c r="R2259" t="n">
        <v>1209.5</v>
      </c>
      <c r="S2259" t="n">
        <v>0</v>
      </c>
      <c r="T2259" t="n">
        <v>0</v>
      </c>
      <c r="U2259" t="n">
        <v>13258.6</v>
      </c>
      <c r="X2259" t="inlineStr">
        <is>
          <t>aafc-aac</t>
        </is>
      </c>
      <c r="Y2259" t="inlineStr">
        <is>
          <t>Agriculture and Agri-Food Canada | Agriculture et Agroalimentaire Canada</t>
        </is>
      </c>
      <c r="Z2259" t="n">
        <v>7</v>
      </c>
      <c r="AA2259" t="n">
        <v>13258.6</v>
      </c>
      <c r="AB2259">
        <f>ROUND(U2259-AA2259,2)</f>
        <v/>
      </c>
      <c r="AC2259" t="b">
        <v>0</v>
      </c>
      <c r="AD2259">
        <f>IF(U2259="","MISSING_TOTAL",IF(ABS(AB2259)&lt;=0.01,"OK","CHECK"))</f>
        <v/>
      </c>
      <c r="AE2259">
        <f>IF(U2259="","MISSING",IF(AND(AA2259&gt;0,U2259/AA2259&gt;50),"POSSIBLE_SCALE_ERROR","OK"))</f>
        <v/>
      </c>
    </row>
    <row r="2260">
      <c r="A2260" t="inlineStr">
        <is>
          <t>T-2025-P01-024</t>
        </is>
      </c>
      <c r="B2260" t="inlineStr">
        <is>
          <t>MPSES</t>
        </is>
      </c>
      <c r="C2260" t="inlineStr">
        <is>
          <t>Member of Parliament</t>
        </is>
      </c>
      <c r="D2260" t="inlineStr">
        <is>
          <t>Membre du Parlement</t>
        </is>
      </c>
      <c r="E2260" t="inlineStr">
        <is>
          <t>Marco Mendicino</t>
        </is>
      </c>
      <c r="F2260" t="inlineStr">
        <is>
          <t>To support the Minister for a tour in Manila</t>
        </is>
      </c>
      <c r="G2260" t="inlineStr">
        <is>
          <t>Soutenir le ministre pour une tournée à Manille</t>
        </is>
      </c>
      <c r="H2260" s="1" t="n">
        <v>45340</v>
      </c>
      <c r="I2260" s="1" t="n">
        <v>45345</v>
      </c>
      <c r="J2260" t="inlineStr">
        <is>
          <t>Manila, Philippines</t>
        </is>
      </c>
      <c r="K2260" t="inlineStr">
        <is>
          <t>Manille, Philippines</t>
        </is>
      </c>
      <c r="P2260" t="n">
        <v>8377.040000000001</v>
      </c>
      <c r="Q2260" t="n">
        <v>203.28</v>
      </c>
      <c r="R2260" t="n">
        <v>849.27</v>
      </c>
      <c r="S2260" t="n">
        <v>0</v>
      </c>
      <c r="T2260" t="n">
        <v>0</v>
      </c>
      <c r="U2260" t="n">
        <v>9429.59</v>
      </c>
      <c r="X2260" t="inlineStr">
        <is>
          <t>aafc-aac</t>
        </is>
      </c>
      <c r="Y2260" t="inlineStr">
        <is>
          <t>Agriculture and Agri-Food Canada | Agriculture et Agroalimentaire Canada</t>
        </is>
      </c>
      <c r="Z2260" t="n">
        <v>6</v>
      </c>
      <c r="AA2260" t="n">
        <v>9429.59</v>
      </c>
      <c r="AB2260">
        <f>ROUND(U2260-AA2260,2)</f>
        <v/>
      </c>
      <c r="AC2260" t="b">
        <v>0</v>
      </c>
      <c r="AD2260">
        <f>IF(U2260="","MISSING_TOTAL",IF(ABS(AB2260)&lt;=0.01,"OK","CHECK"))</f>
        <v/>
      </c>
      <c r="AE2260">
        <f>IF(U2260="","MISSING",IF(AND(AA2260&gt;0,U2260/AA2260&gt;50),"POSSIBLE_SCALE_ERROR","OK"))</f>
        <v/>
      </c>
    </row>
    <row r="2261">
      <c r="A2261" t="inlineStr">
        <is>
          <t>T-2025-P02-001</t>
        </is>
      </c>
      <c r="B2261" t="inlineStr">
        <is>
          <t>MPSES</t>
        </is>
      </c>
      <c r="C2261" t="inlineStr">
        <is>
          <t>Minister</t>
        </is>
      </c>
      <c r="D2261" t="inlineStr">
        <is>
          <t>Ministre</t>
        </is>
      </c>
      <c r="E2261" t="inlineStr">
        <is>
          <t>Lawrence MacAulay</t>
        </is>
      </c>
      <c r="F2261" t="inlineStr">
        <is>
          <t>To attend an Outreach in Halifax with meetings and announcements</t>
        </is>
      </c>
      <c r="G2261" t="inlineStr">
        <is>
          <t>Pour assister à une activité de sensibilisation à Halifax avec des réunions et des annonces</t>
        </is>
      </c>
      <c r="H2261" s="1" t="n">
        <v>45428</v>
      </c>
      <c r="I2261" s="1" t="n">
        <v>45431</v>
      </c>
      <c r="J2261" t="inlineStr">
        <is>
          <t>Halifax (Nova Scotia) Canada</t>
        </is>
      </c>
      <c r="K2261" t="inlineStr">
        <is>
          <t>Halifax (Nouvelle-Écosse) Canada</t>
        </is>
      </c>
      <c r="P2261" t="n">
        <v>0</v>
      </c>
      <c r="Q2261" t="n">
        <v>384.8</v>
      </c>
      <c r="R2261" t="n">
        <v>0</v>
      </c>
      <c r="S2261" t="n">
        <v>50.4</v>
      </c>
      <c r="T2261" t="n">
        <v>0</v>
      </c>
      <c r="U2261" t="n">
        <v>435.2</v>
      </c>
      <c r="X2261" t="inlineStr">
        <is>
          <t>aafc-aac</t>
        </is>
      </c>
      <c r="Y2261" t="inlineStr">
        <is>
          <t>Agriculture and Agri-Food Canada | Agriculture et Agroalimentaire Canada</t>
        </is>
      </c>
      <c r="Z2261" t="n">
        <v>4</v>
      </c>
      <c r="AA2261" t="n">
        <v>435.2</v>
      </c>
      <c r="AB2261">
        <f>ROUND(U2261-AA2261,2)</f>
        <v/>
      </c>
      <c r="AC2261" t="b">
        <v>0</v>
      </c>
      <c r="AD2261">
        <f>IF(U2261="","MISSING_TOTAL",IF(ABS(AB2261)&lt;=0.01,"OK","CHECK"))</f>
        <v/>
      </c>
      <c r="AE2261">
        <f>IF(U2261="","MISSING",IF(AND(AA2261&gt;0,U2261/AA2261&gt;50),"POSSIBLE_SCALE_ERROR","OK"))</f>
        <v/>
      </c>
    </row>
    <row r="2262">
      <c r="A2262" t="inlineStr">
        <is>
          <t>T-2025-P02-002</t>
        </is>
      </c>
      <c r="B2262" t="inlineStr">
        <is>
          <t>MPSES</t>
        </is>
      </c>
      <c r="C2262" t="inlineStr">
        <is>
          <t>Chief of Staff</t>
        </is>
      </c>
      <c r="D2262" t="inlineStr">
        <is>
          <t>Chef de cabinet</t>
        </is>
      </c>
      <c r="E2262" t="inlineStr">
        <is>
          <t>Matthew Mann</t>
        </is>
      </c>
      <c r="F2262" t="inlineStr">
        <is>
          <t>To support the Minister to attend meetings and announcements</t>
        </is>
      </c>
      <c r="G2262" t="inlineStr">
        <is>
          <t>Soutenir le ministre à assister aux réunions et aux annonces</t>
        </is>
      </c>
      <c r="H2262" s="1" t="n">
        <v>45400</v>
      </c>
      <c r="I2262" s="1" t="n">
        <v>45402</v>
      </c>
      <c r="J2262" t="inlineStr">
        <is>
          <t>Charlottetown (Prince Edward Island) Canada</t>
        </is>
      </c>
      <c r="K2262" t="inlineStr">
        <is>
          <t>Charlottetown (Île-du-Prince-Édouard) Canada</t>
        </is>
      </c>
      <c r="P2262" t="n">
        <v>2107.53</v>
      </c>
      <c r="Q2262" t="n">
        <v>227.37</v>
      </c>
      <c r="R2262" t="n">
        <v>537.5</v>
      </c>
      <c r="S2262" t="n">
        <v>173.5</v>
      </c>
      <c r="T2262" t="n">
        <v>0</v>
      </c>
      <c r="U2262" t="n">
        <v>3045.9</v>
      </c>
      <c r="X2262" t="inlineStr">
        <is>
          <t>aafc-aac</t>
        </is>
      </c>
      <c r="Y2262" t="inlineStr">
        <is>
          <t>Agriculture and Agri-Food Canada | Agriculture et Agroalimentaire Canada</t>
        </is>
      </c>
      <c r="Z2262" t="n">
        <v>3</v>
      </c>
      <c r="AA2262" t="n">
        <v>3045.9</v>
      </c>
      <c r="AB2262">
        <f>ROUND(U2262-AA2262,2)</f>
        <v/>
      </c>
      <c r="AC2262" t="b">
        <v>0</v>
      </c>
      <c r="AD2262">
        <f>IF(U2262="","MISSING_TOTAL",IF(ABS(AB2262)&lt;=0.01,"OK","CHECK"))</f>
        <v/>
      </c>
      <c r="AE2262">
        <f>IF(U2262="","MISSING",IF(AND(AA2262&gt;0,U2262/AA2262&gt;50),"POSSIBLE_SCALE_ERROR","OK"))</f>
        <v/>
      </c>
    </row>
    <row r="2263">
      <c r="A2263" t="inlineStr">
        <is>
          <t>T-2025-P02-003</t>
        </is>
      </c>
      <c r="B2263" t="inlineStr">
        <is>
          <t>MPSES</t>
        </is>
      </c>
      <c r="C2263" t="inlineStr">
        <is>
          <t>Chief of Staff</t>
        </is>
      </c>
      <c r="D2263" t="inlineStr">
        <is>
          <t>Chef de cabinet</t>
        </is>
      </c>
      <c r="E2263" t="inlineStr">
        <is>
          <t>Matthew Mann</t>
        </is>
      </c>
      <c r="F2263" t="inlineStr">
        <is>
          <t>To support the Minister to attend meetings and announcements</t>
        </is>
      </c>
      <c r="G2263" t="inlineStr">
        <is>
          <t>Soutenir le ministre à assister aux réunions et aux annonces</t>
        </is>
      </c>
      <c r="H2263" s="1" t="n">
        <v>45404</v>
      </c>
      <c r="I2263" s="1" t="n">
        <v>45407</v>
      </c>
      <c r="J2263" t="inlineStr">
        <is>
          <t>Charlottetown (Prince Edward Island) Canada</t>
        </is>
      </c>
      <c r="K2263" t="inlineStr">
        <is>
          <t>Charlottetown (Île-du-Prince-Édouard) Canada</t>
        </is>
      </c>
      <c r="P2263" t="n">
        <v>1150.2</v>
      </c>
      <c r="Q2263" t="n">
        <v>365.1</v>
      </c>
      <c r="R2263" t="n">
        <v>847.12</v>
      </c>
      <c r="S2263" t="n">
        <v>335.85</v>
      </c>
      <c r="T2263" t="n">
        <v>0</v>
      </c>
      <c r="U2263" t="n">
        <v>2698.27</v>
      </c>
      <c r="X2263" t="inlineStr">
        <is>
          <t>aafc-aac</t>
        </is>
      </c>
      <c r="Y2263" t="inlineStr">
        <is>
          <t>Agriculture and Agri-Food Canada | Agriculture et Agroalimentaire Canada</t>
        </is>
      </c>
      <c r="Z2263" t="n">
        <v>4</v>
      </c>
      <c r="AA2263" t="n">
        <v>2698.27</v>
      </c>
      <c r="AB2263">
        <f>ROUND(U2263-AA2263,2)</f>
        <v/>
      </c>
      <c r="AC2263" t="b">
        <v>0</v>
      </c>
      <c r="AD2263">
        <f>IF(U2263="","MISSING_TOTAL",IF(ABS(AB2263)&lt;=0.01,"OK","CHECK"))</f>
        <v/>
      </c>
      <c r="AE2263">
        <f>IF(U2263="","MISSING",IF(AND(AA2263&gt;0,U2263/AA2263&gt;50),"POSSIBLE_SCALE_ERROR","OK"))</f>
        <v/>
      </c>
    </row>
    <row r="2264">
      <c r="A2264" t="inlineStr">
        <is>
          <t>T-2025-P02-004</t>
        </is>
      </c>
      <c r="B2264" t="inlineStr">
        <is>
          <t>MPSES</t>
        </is>
      </c>
      <c r="C2264" t="inlineStr">
        <is>
          <t>Director of Communications</t>
        </is>
      </c>
      <c r="D2264" t="inlineStr">
        <is>
          <t>Directrice des communications</t>
        </is>
      </c>
      <c r="E2264" t="inlineStr">
        <is>
          <t>Annie Cullinan</t>
        </is>
      </c>
      <c r="F2264" t="inlineStr">
        <is>
          <t>To support the Minister to attend meetings and announcements</t>
        </is>
      </c>
      <c r="G2264" t="inlineStr">
        <is>
          <t>Soutenir le ministre à participer aux réunions et aux annonces</t>
        </is>
      </c>
      <c r="H2264" s="1" t="n">
        <v>45400</v>
      </c>
      <c r="I2264" s="1" t="n">
        <v>45402</v>
      </c>
      <c r="J2264" t="inlineStr">
        <is>
          <t>Charlottetown (Price Edward Island) Canada</t>
        </is>
      </c>
      <c r="K2264" t="inlineStr">
        <is>
          <t>Charlottetown (Île-du-Prince-Édouard) Canada</t>
        </is>
      </c>
      <c r="P2264" t="n">
        <v>2404.32</v>
      </c>
      <c r="Q2264" t="n">
        <v>47.37</v>
      </c>
      <c r="R2264" t="n">
        <v>489.2</v>
      </c>
      <c r="S2264" t="n">
        <v>173.5</v>
      </c>
      <c r="T2264" t="n">
        <v>0</v>
      </c>
      <c r="U2264" t="n">
        <v>3114.39</v>
      </c>
      <c r="X2264" t="inlineStr">
        <is>
          <t>aafc-aac</t>
        </is>
      </c>
      <c r="Y2264" t="inlineStr">
        <is>
          <t>Agriculture and Agri-Food Canada | Agriculture et Agroalimentaire Canada</t>
        </is>
      </c>
      <c r="Z2264" t="n">
        <v>3</v>
      </c>
      <c r="AA2264" t="n">
        <v>3114.39</v>
      </c>
      <c r="AB2264">
        <f>ROUND(U2264-AA2264,2)</f>
        <v/>
      </c>
      <c r="AC2264" t="b">
        <v>0</v>
      </c>
      <c r="AD2264">
        <f>IF(U2264="","MISSING_TOTAL",IF(ABS(AB2264)&lt;=0.01,"OK","CHECK"))</f>
        <v/>
      </c>
      <c r="AE2264">
        <f>IF(U2264="","MISSING",IF(AND(AA2264&gt;0,U2264/AA2264&gt;50),"POSSIBLE_SCALE_ERROR","OK"))</f>
        <v/>
      </c>
    </row>
    <row r="2265">
      <c r="A2265" t="inlineStr">
        <is>
          <t>T-2025-P02-005</t>
        </is>
      </c>
      <c r="B2265" t="inlineStr">
        <is>
          <t>MPSES</t>
        </is>
      </c>
      <c r="C2265" t="inlineStr">
        <is>
          <t>Director of Communications</t>
        </is>
      </c>
      <c r="D2265" t="inlineStr">
        <is>
          <t>Directrice des communications</t>
        </is>
      </c>
      <c r="E2265" t="inlineStr">
        <is>
          <t>Annie Cullinan</t>
        </is>
      </c>
      <c r="F2265" t="inlineStr">
        <is>
          <t>To support the Minister to attend meetings and announcements</t>
        </is>
      </c>
      <c r="G2265" t="inlineStr">
        <is>
          <t>Soutenir le ministre à participer aux réunions et aux annonces</t>
        </is>
      </c>
      <c r="H2265" s="1" t="n">
        <v>45426</v>
      </c>
      <c r="I2265" s="1" t="n">
        <v>45430</v>
      </c>
      <c r="J2265" t="inlineStr">
        <is>
          <t>Charlottetown (Prince Edward Island) Canada
Halifax (Nova Scotia) Canada</t>
        </is>
      </c>
      <c r="K2265" t="inlineStr">
        <is>
          <t>Charlottetown (Île-du-Prince-Édouard) Canada
Halifax (Nouvelle-Écosse) Canada</t>
        </is>
      </c>
      <c r="P2265" t="n">
        <v>1423.63</v>
      </c>
      <c r="Q2265" t="n">
        <v>45.79</v>
      </c>
      <c r="R2265" t="n">
        <v>659.89</v>
      </c>
      <c r="S2265" t="n">
        <v>285.75</v>
      </c>
      <c r="T2265" t="n">
        <v>0</v>
      </c>
      <c r="U2265" t="n">
        <v>2415.06</v>
      </c>
      <c r="X2265" t="inlineStr">
        <is>
          <t>aafc-aac</t>
        </is>
      </c>
      <c r="Y2265" t="inlineStr">
        <is>
          <t>Agriculture and Agri-Food Canada | Agriculture et Agroalimentaire Canada</t>
        </is>
      </c>
      <c r="Z2265" t="n">
        <v>5</v>
      </c>
      <c r="AA2265" t="n">
        <v>2415.06</v>
      </c>
      <c r="AB2265">
        <f>ROUND(U2265-AA2265,2)</f>
        <v/>
      </c>
      <c r="AC2265" t="b">
        <v>0</v>
      </c>
      <c r="AD2265">
        <f>IF(U2265="","MISSING_TOTAL",IF(ABS(AB2265)&lt;=0.01,"OK","CHECK"))</f>
        <v/>
      </c>
      <c r="AE2265">
        <f>IF(U2265="","MISSING",IF(AND(AA2265&gt;0,U2265/AA2265&gt;50),"POSSIBLE_SCALE_ERROR","OK"))</f>
        <v/>
      </c>
    </row>
    <row r="2266">
      <c r="A2266" t="inlineStr">
        <is>
          <t>T-2025-P02-006</t>
        </is>
      </c>
      <c r="B2266" t="inlineStr">
        <is>
          <t>MPSES</t>
        </is>
      </c>
      <c r="C2266" t="inlineStr">
        <is>
          <t>Director of Communications</t>
        </is>
      </c>
      <c r="D2266" t="inlineStr">
        <is>
          <t>Directrice des communications</t>
        </is>
      </c>
      <c r="E2266" t="inlineStr">
        <is>
          <t>Annie Cullinan</t>
        </is>
      </c>
      <c r="F2266" t="inlineStr">
        <is>
          <t>To support the Minister to attend meetings and announcements</t>
        </is>
      </c>
      <c r="G2266" t="inlineStr">
        <is>
          <t>Soutenir le ministre à participer aux réunions et aux annonces</t>
        </is>
      </c>
      <c r="H2266" s="1" t="n">
        <v>45435</v>
      </c>
      <c r="I2266" s="1" t="n">
        <v>45437</v>
      </c>
      <c r="J2266" t="inlineStr">
        <is>
          <t>Charlottetown (Prince Edward Island) Canada</t>
        </is>
      </c>
      <c r="K2266" t="inlineStr">
        <is>
          <t>Charlottetown (Île-du-Prince-Édouard) Canada</t>
        </is>
      </c>
      <c r="P2266" t="n">
        <v>1251.88</v>
      </c>
      <c r="Q2266" t="n">
        <v>24.34</v>
      </c>
      <c r="R2266" t="n">
        <v>439.68</v>
      </c>
      <c r="S2266" t="n">
        <v>173.8</v>
      </c>
      <c r="T2266" t="n">
        <v>0</v>
      </c>
      <c r="U2266" t="n">
        <v>1889.7</v>
      </c>
      <c r="X2266" t="inlineStr">
        <is>
          <t>aafc-aac</t>
        </is>
      </c>
      <c r="Y2266" t="inlineStr">
        <is>
          <t>Agriculture and Agri-Food Canada | Agriculture et Agroalimentaire Canada</t>
        </is>
      </c>
      <c r="Z2266" t="n">
        <v>3</v>
      </c>
      <c r="AA2266" t="n">
        <v>1889.7</v>
      </c>
      <c r="AB2266">
        <f>ROUND(U2266-AA2266,2)</f>
        <v/>
      </c>
      <c r="AC2266" t="b">
        <v>0</v>
      </c>
      <c r="AD2266">
        <f>IF(U2266="","MISSING_TOTAL",IF(ABS(AB2266)&lt;=0.01,"OK","CHECK"))</f>
        <v/>
      </c>
      <c r="AE2266">
        <f>IF(U2266="","MISSING",IF(AND(AA2266&gt;0,U2266/AA2266&gt;50),"POSSIBLE_SCALE_ERROR","OK"))</f>
        <v/>
      </c>
    </row>
    <row r="2267">
      <c r="A2267" t="inlineStr">
        <is>
          <t>T-2025-P02-007</t>
        </is>
      </c>
      <c r="B2267" t="inlineStr">
        <is>
          <t>MPSES</t>
        </is>
      </c>
      <c r="C2267" t="inlineStr">
        <is>
          <t>Director of Parliamentary Affairs</t>
        </is>
      </c>
      <c r="D2267" t="inlineStr">
        <is>
          <t>Directeur des affaires parlementaires</t>
        </is>
      </c>
      <c r="E2267" t="inlineStr">
        <is>
          <t>Bradley Henstock</t>
        </is>
      </c>
      <c r="F2267" t="inlineStr">
        <is>
          <t>To support the Minister to attend meetings and announcements</t>
        </is>
      </c>
      <c r="G2267" t="inlineStr">
        <is>
          <t>Soutenir le ministre à participer aux réunions et aux annonces</t>
        </is>
      </c>
      <c r="H2267" s="1" t="n">
        <v>45435</v>
      </c>
      <c r="I2267" s="1" t="n">
        <v>45437</v>
      </c>
      <c r="J2267" t="inlineStr">
        <is>
          <t>Charlottetown (Prince Edward Island) Canada</t>
        </is>
      </c>
      <c r="K2267" t="inlineStr">
        <is>
          <t>Charlottetown (Île-du-Prince-Édouard) Canada</t>
        </is>
      </c>
      <c r="P2267" t="n">
        <v>1192.56</v>
      </c>
      <c r="Q2267" t="n">
        <v>267.64</v>
      </c>
      <c r="R2267" t="n">
        <v>545.88</v>
      </c>
      <c r="S2267" t="n">
        <v>148.9</v>
      </c>
      <c r="T2267" t="n">
        <v>0</v>
      </c>
      <c r="U2267" t="n">
        <v>2154.98</v>
      </c>
      <c r="X2267" t="inlineStr">
        <is>
          <t>aafc-aac</t>
        </is>
      </c>
      <c r="Y2267" t="inlineStr">
        <is>
          <t>Agriculture and Agri-Food Canada | Agriculture et Agroalimentaire Canada</t>
        </is>
      </c>
      <c r="Z2267" t="n">
        <v>3</v>
      </c>
      <c r="AA2267" t="n">
        <v>2154.98</v>
      </c>
      <c r="AB2267">
        <f>ROUND(U2267-AA2267,2)</f>
        <v/>
      </c>
      <c r="AC2267" t="b">
        <v>0</v>
      </c>
      <c r="AD2267">
        <f>IF(U2267="","MISSING_TOTAL",IF(ABS(AB2267)&lt;=0.01,"OK","CHECK"))</f>
        <v/>
      </c>
      <c r="AE2267">
        <f>IF(U2267="","MISSING",IF(AND(AA2267&gt;0,U2267/AA2267&gt;50),"POSSIBLE_SCALE_ERROR","OK"))</f>
        <v/>
      </c>
    </row>
    <row r="2268">
      <c r="A2268" t="inlineStr">
        <is>
          <t>T-2025-P02-008</t>
        </is>
      </c>
      <c r="B2268" t="inlineStr">
        <is>
          <t>MPSES</t>
        </is>
      </c>
      <c r="C2268" t="inlineStr">
        <is>
          <t>Special Assistant</t>
        </is>
      </c>
      <c r="D2268" t="inlineStr">
        <is>
          <t>Adjoint spécial</t>
        </is>
      </c>
      <c r="E2268" t="inlineStr">
        <is>
          <t>George Williams</t>
        </is>
      </c>
      <c r="F2268" t="inlineStr">
        <is>
          <t>To support the Minister to attend meetings and announcements</t>
        </is>
      </c>
      <c r="G2268" t="inlineStr">
        <is>
          <t>Soutenir le ministre à participer aux réunions et aux annonces</t>
        </is>
      </c>
      <c r="H2268" s="1" t="n">
        <v>45407</v>
      </c>
      <c r="I2268" s="1" t="n">
        <v>45410</v>
      </c>
      <c r="J2268" t="inlineStr">
        <is>
          <t>Charlottetown (Prince Edward Island) Canada</t>
        </is>
      </c>
      <c r="K2268" t="inlineStr">
        <is>
          <t>Charlottetown (Île-du-Prince-Édouard) Canada</t>
        </is>
      </c>
      <c r="P2268" t="n">
        <v>1075.83</v>
      </c>
      <c r="Q2268" t="n">
        <v>132.36</v>
      </c>
      <c r="R2268" t="n">
        <v>338</v>
      </c>
      <c r="S2268" t="n">
        <v>148.9</v>
      </c>
      <c r="T2268" t="n">
        <v>0</v>
      </c>
      <c r="U2268" t="n">
        <v>1695.09</v>
      </c>
      <c r="X2268" t="inlineStr">
        <is>
          <t>aafc-aac</t>
        </is>
      </c>
      <c r="Y2268" t="inlineStr">
        <is>
          <t>Agriculture and Agri-Food Canada | Agriculture et Agroalimentaire Canada</t>
        </is>
      </c>
      <c r="Z2268" t="n">
        <v>4</v>
      </c>
      <c r="AA2268" t="n">
        <v>1695.09</v>
      </c>
      <c r="AB2268">
        <f>ROUND(U2268-AA2268,2)</f>
        <v/>
      </c>
      <c r="AC2268" t="b">
        <v>0</v>
      </c>
      <c r="AD2268">
        <f>IF(U2268="","MISSING_TOTAL",IF(ABS(AB2268)&lt;=0.01,"OK","CHECK"))</f>
        <v/>
      </c>
      <c r="AE2268">
        <f>IF(U2268="","MISSING",IF(AND(AA2268&gt;0,U2268/AA2268&gt;50),"POSSIBLE_SCALE_ERROR","OK"))</f>
        <v/>
      </c>
    </row>
    <row r="2269">
      <c r="A2269" t="inlineStr">
        <is>
          <t>T-2025-P02-009</t>
        </is>
      </c>
      <c r="B2269" t="inlineStr">
        <is>
          <t>MPSES</t>
        </is>
      </c>
      <c r="C2269" t="inlineStr">
        <is>
          <t>Director of Operations</t>
        </is>
      </c>
      <c r="D2269" t="inlineStr">
        <is>
          <t>Directrice des opérations</t>
        </is>
      </c>
      <c r="E2269" t="inlineStr">
        <is>
          <t>Maria Morley</t>
        </is>
      </c>
      <c r="F2269" t="inlineStr">
        <is>
          <t>To support the Minister to attend meetings and announcements</t>
        </is>
      </c>
      <c r="G2269" t="inlineStr">
        <is>
          <t>Aider le ministre à participer aux réunions et aux annonces</t>
        </is>
      </c>
      <c r="H2269" s="1" t="n">
        <v>45404</v>
      </c>
      <c r="I2269" s="1" t="n">
        <v>45407</v>
      </c>
      <c r="J2269" t="inlineStr">
        <is>
          <t>Charlottetown (Prince Edward Island) Canada</t>
        </is>
      </c>
      <c r="K2269" t="inlineStr">
        <is>
          <t>Charlottetown (Île-du-Prince-Édouard) Canada</t>
        </is>
      </c>
      <c r="P2269" t="n">
        <v>1312.95</v>
      </c>
      <c r="Q2269" t="n">
        <v>23.62</v>
      </c>
      <c r="R2269" t="n">
        <v>600.54</v>
      </c>
      <c r="S2269" t="n">
        <v>310.65</v>
      </c>
      <c r="T2269" t="n">
        <v>0</v>
      </c>
      <c r="U2269" t="n">
        <v>2247.76</v>
      </c>
      <c r="X2269" t="inlineStr">
        <is>
          <t>aafc-aac</t>
        </is>
      </c>
      <c r="Y2269" t="inlineStr">
        <is>
          <t>Agriculture and Agri-Food Canada | Agriculture et Agroalimentaire Canada</t>
        </is>
      </c>
      <c r="Z2269" t="n">
        <v>4</v>
      </c>
      <c r="AA2269" t="n">
        <v>2247.75999999999</v>
      </c>
      <c r="AB2269">
        <f>ROUND(U2269-AA2269,2)</f>
        <v/>
      </c>
      <c r="AC2269" t="b">
        <v>0</v>
      </c>
      <c r="AD2269">
        <f>IF(U2269="","MISSING_TOTAL",IF(ABS(AB2269)&lt;=0.01,"OK","CHECK"))</f>
        <v/>
      </c>
      <c r="AE2269">
        <f>IF(U2269="","MISSING",IF(AND(AA2269&gt;0,U2269/AA2269&gt;50),"POSSIBLE_SCALE_ERROR","OK"))</f>
        <v/>
      </c>
    </row>
    <row r="2270">
      <c r="A2270" t="inlineStr">
        <is>
          <t>T-2025-P02-010</t>
        </is>
      </c>
      <c r="B2270" t="inlineStr">
        <is>
          <t>MPSES</t>
        </is>
      </c>
      <c r="C2270" t="inlineStr">
        <is>
          <t>Assistant to the Parliamentary Secretary</t>
        </is>
      </c>
      <c r="D2270" t="inlineStr">
        <is>
          <t>Adjoint au secrétaire parlementaire</t>
        </is>
      </c>
      <c r="E2270" t="inlineStr">
        <is>
          <t>Patrick Mangan</t>
        </is>
      </c>
      <c r="F2270" t="inlineStr">
        <is>
          <t>To attend an announcement with the Pork Industry regarding African Swine Fever</t>
        </is>
      </c>
      <c r="G2270" t="inlineStr">
        <is>
          <t>Assister à une annonce avec l'industrie porcine concernant la peste porcine africaine</t>
        </is>
      </c>
      <c r="H2270" s="1" t="n">
        <v>45428</v>
      </c>
      <c r="I2270" s="1" t="n">
        <v>45429</v>
      </c>
      <c r="J2270" t="inlineStr">
        <is>
          <t>Longueuil (Quebec) Canada</t>
        </is>
      </c>
      <c r="K2270" t="inlineStr">
        <is>
          <t>Longueuil (Québec) Canada</t>
        </is>
      </c>
      <c r="P2270" t="n">
        <v>0</v>
      </c>
      <c r="Q2270" t="n">
        <v>145.31</v>
      </c>
      <c r="R2270" t="n">
        <v>0</v>
      </c>
      <c r="S2270" t="n">
        <v>0</v>
      </c>
      <c r="T2270" t="n">
        <v>0</v>
      </c>
      <c r="U2270" t="n">
        <v>145.31</v>
      </c>
      <c r="X2270" t="inlineStr">
        <is>
          <t>aafc-aac</t>
        </is>
      </c>
      <c r="Y2270" t="inlineStr">
        <is>
          <t>Agriculture and Agri-Food Canada | Agriculture et Agroalimentaire Canada</t>
        </is>
      </c>
      <c r="Z2270" t="n">
        <v>2</v>
      </c>
      <c r="AA2270" t="n">
        <v>145.31</v>
      </c>
      <c r="AB2270">
        <f>ROUND(U2270-AA2270,2)</f>
        <v/>
      </c>
      <c r="AC2270" t="b">
        <v>0</v>
      </c>
      <c r="AD2270">
        <f>IF(U2270="","MISSING_TOTAL",IF(ABS(AB2270)&lt;=0.01,"OK","CHECK"))</f>
        <v/>
      </c>
      <c r="AE2270">
        <f>IF(U2270="","MISSING",IF(AND(AA2270&gt;0,U2270/AA2270&gt;50),"POSSIBLE_SCALE_ERROR","OK"))</f>
        <v/>
      </c>
    </row>
    <row r="2271">
      <c r="A2271" t="inlineStr">
        <is>
          <t>T-2025-P02-011</t>
        </is>
      </c>
      <c r="B2271" t="inlineStr">
        <is>
          <t>SLE</t>
        </is>
      </c>
      <c r="C2271" t="inlineStr">
        <is>
          <t>Deputy Minister</t>
        </is>
      </c>
      <c r="D2271" t="inlineStr">
        <is>
          <t>Sous-ministre</t>
        </is>
      </c>
      <c r="E2271" t="inlineStr">
        <is>
          <t>Stefanie Beck</t>
        </is>
      </c>
      <c r="F2271" t="inlineStr">
        <is>
          <t>To attend the University of Calgary Breakfast: Decarbonization and Energy Research and the Public Service Management Advisory Committee</t>
        </is>
      </c>
      <c r="G2271" t="inlineStr">
        <is>
          <t>Participer au petit-déjeuner de l'Université de Calgary : Décarbonisation et recherche sur l'énergie et au Comité consultatif sur la gestion de la fonction publique</t>
        </is>
      </c>
      <c r="H2271" s="1" t="n">
        <v>45411</v>
      </c>
      <c r="I2271" s="1" t="n">
        <v>45412</v>
      </c>
      <c r="J2271" t="inlineStr">
        <is>
          <t>Ottawa (Ontario) Canada</t>
        </is>
      </c>
      <c r="K2271" t="inlineStr">
        <is>
          <t>Ottawa (Ontario) Canada</t>
        </is>
      </c>
      <c r="P2271" t="n">
        <v>0</v>
      </c>
      <c r="Q2271" t="n">
        <v>66.31</v>
      </c>
      <c r="R2271" t="n">
        <v>0</v>
      </c>
      <c r="S2271" t="n">
        <v>0</v>
      </c>
      <c r="T2271" t="n">
        <v>0</v>
      </c>
      <c r="U2271" t="n">
        <v>66.31</v>
      </c>
      <c r="X2271" t="inlineStr">
        <is>
          <t>aafc-aac</t>
        </is>
      </c>
      <c r="Y2271" t="inlineStr">
        <is>
          <t>Agriculture and Agri-Food Canada | Agriculture et Agroalimentaire Canada</t>
        </is>
      </c>
      <c r="Z2271" t="n">
        <v>2</v>
      </c>
      <c r="AA2271" t="n">
        <v>66.31</v>
      </c>
      <c r="AB2271">
        <f>ROUND(U2271-AA2271,2)</f>
        <v/>
      </c>
      <c r="AC2271" t="b">
        <v>0</v>
      </c>
      <c r="AD2271">
        <f>IF(U2271="","MISSING_TOTAL",IF(ABS(AB2271)&lt;=0.01,"OK","CHECK"))</f>
        <v/>
      </c>
      <c r="AE2271">
        <f>IF(U2271="","MISSING",IF(AND(AA2271&gt;0,U2271/AA2271&gt;50),"POSSIBLE_SCALE_ERROR","OK"))</f>
        <v/>
      </c>
    </row>
    <row r="2272">
      <c r="A2272" t="inlineStr">
        <is>
          <t>T-2025-P02-012</t>
        </is>
      </c>
      <c r="B2272" t="inlineStr">
        <is>
          <t>SLE</t>
        </is>
      </c>
      <c r="C2272" t="inlineStr">
        <is>
          <t>Deputy Minister</t>
        </is>
      </c>
      <c r="D2272" t="inlineStr">
        <is>
          <t>Sous-ministre</t>
        </is>
      </c>
      <c r="E2272" t="inlineStr">
        <is>
          <t>Stefanie Beck</t>
        </is>
      </c>
      <c r="F2272" t="inlineStr">
        <is>
          <t>To attend an Outreach in Winnipeg</t>
        </is>
      </c>
      <c r="G2272" t="inlineStr">
        <is>
          <t>Pour participer à une action de sensibilisation à Winnipeg</t>
        </is>
      </c>
      <c r="H2272" s="1" t="n">
        <v>45425</v>
      </c>
      <c r="I2272" s="1" t="n">
        <v>45428</v>
      </c>
      <c r="J2272" t="inlineStr">
        <is>
          <t>Winnipeg (Manitoba) Canada</t>
        </is>
      </c>
      <c r="K2272" t="inlineStr">
        <is>
          <t>Winnipeg (Manitoba) Canada</t>
        </is>
      </c>
      <c r="P2272" t="n">
        <v>519.8200000000001</v>
      </c>
      <c r="Q2272" t="n">
        <v>75.18000000000001</v>
      </c>
      <c r="R2272" t="n">
        <v>741.75</v>
      </c>
      <c r="S2272" t="n">
        <v>268.2</v>
      </c>
      <c r="T2272" t="n">
        <v>0</v>
      </c>
      <c r="U2272" t="n">
        <v>1604.95</v>
      </c>
      <c r="X2272" t="inlineStr">
        <is>
          <t>aafc-aac</t>
        </is>
      </c>
      <c r="Y2272" t="inlineStr">
        <is>
          <t>Agriculture and Agri-Food Canada | Agriculture et Agroalimentaire Canada</t>
        </is>
      </c>
      <c r="Z2272" t="n">
        <v>4</v>
      </c>
      <c r="AA2272" t="n">
        <v>1604.95</v>
      </c>
      <c r="AB2272">
        <f>ROUND(U2272-AA2272,2)</f>
        <v/>
      </c>
      <c r="AC2272" t="b">
        <v>0</v>
      </c>
      <c r="AD2272">
        <f>IF(U2272="","MISSING_TOTAL",IF(ABS(AB2272)&lt;=0.01,"OK","CHECK"))</f>
        <v/>
      </c>
      <c r="AE2272">
        <f>IF(U2272="","MISSING",IF(AND(AA2272&gt;0,U2272/AA2272&gt;50),"POSSIBLE_SCALE_ERROR","OK"))</f>
        <v/>
      </c>
    </row>
    <row r="2273">
      <c r="A2273" t="inlineStr">
        <is>
          <t>T-2025-P02-013</t>
        </is>
      </c>
      <c r="B2273" t="inlineStr">
        <is>
          <t>SLE</t>
        </is>
      </c>
      <c r="C2273" t="inlineStr">
        <is>
          <t>Corporate Secretary</t>
        </is>
      </c>
      <c r="D2273" t="inlineStr">
        <is>
          <t>Secrétaire générale</t>
        </is>
      </c>
      <c r="E2273" t="inlineStr">
        <is>
          <t>Tamara Abel</t>
        </is>
      </c>
      <c r="F2273" t="inlineStr">
        <is>
          <t>Operational activities</t>
        </is>
      </c>
      <c r="G2273" t="inlineStr">
        <is>
          <t>Activités opérationnelles</t>
        </is>
      </c>
      <c r="H2273" s="1" t="n">
        <v>45403</v>
      </c>
      <c r="I2273" s="1" t="n">
        <v>45407</v>
      </c>
      <c r="J2273" t="inlineStr">
        <is>
          <t>Ottawa (Ontario) Canada</t>
        </is>
      </c>
      <c r="K2273" t="inlineStr">
        <is>
          <t>Ottawa (Ontario) Canada</t>
        </is>
      </c>
      <c r="P2273" t="n">
        <v>1060.11</v>
      </c>
      <c r="Q2273" t="n">
        <v>410.59</v>
      </c>
      <c r="R2273" t="n">
        <v>1511.3</v>
      </c>
      <c r="S2273" t="n">
        <v>621.35</v>
      </c>
      <c r="T2273" t="n">
        <v>0</v>
      </c>
      <c r="U2273" t="n">
        <v>3603.35</v>
      </c>
      <c r="X2273" t="inlineStr">
        <is>
          <t>aafc-aac</t>
        </is>
      </c>
      <c r="Y2273" t="inlineStr">
        <is>
          <t>Agriculture and Agri-Food Canada | Agriculture et Agroalimentaire Canada</t>
        </is>
      </c>
      <c r="Z2273" t="n">
        <v>5</v>
      </c>
      <c r="AA2273" t="n">
        <v>3603.35</v>
      </c>
      <c r="AB2273">
        <f>ROUND(U2273-AA2273,2)</f>
        <v/>
      </c>
      <c r="AC2273" t="b">
        <v>0</v>
      </c>
      <c r="AD2273">
        <f>IF(U2273="","MISSING_TOTAL",IF(ABS(AB2273)&lt;=0.01,"OK","CHECK"))</f>
        <v/>
      </c>
      <c r="AE2273">
        <f>IF(U2273="","MISSING",IF(AND(AA2273&gt;0,U2273/AA2273&gt;50),"POSSIBLE_SCALE_ERROR","OK"))</f>
        <v/>
      </c>
    </row>
    <row r="2274">
      <c r="A2274" t="inlineStr">
        <is>
          <t>T-2025-P02-014</t>
        </is>
      </c>
      <c r="B2274" t="inlineStr">
        <is>
          <t>SLE</t>
        </is>
      </c>
      <c r="C2274" t="inlineStr">
        <is>
          <t>Workplace Well-Being Ombudsperson</t>
        </is>
      </c>
      <c r="D2274" t="inlineStr">
        <is>
          <t>Ombudsman du mieux-être en milieu de travail</t>
        </is>
      </c>
      <c r="E2274" t="inlineStr">
        <is>
          <t>Elianne Hall</t>
        </is>
      </c>
      <c r="F2274" t="inlineStr">
        <is>
          <t>To attend a working lunch with colleagues on the Ombuds Council</t>
        </is>
      </c>
      <c r="G2274" t="inlineStr">
        <is>
          <t>Participer à un déjeuner de travail avec des collègues du Conseil d'ombuds</t>
        </is>
      </c>
      <c r="H2274" s="1" t="n">
        <v>45399</v>
      </c>
      <c r="I2274" s="1" t="n">
        <v>45399</v>
      </c>
      <c r="J2274" t="inlineStr">
        <is>
          <t>Ottawa (Ontario) Canada</t>
        </is>
      </c>
      <c r="K2274" t="inlineStr">
        <is>
          <t>Ottawa (Ontario) Canada</t>
        </is>
      </c>
      <c r="P2274" t="n">
        <v>0</v>
      </c>
      <c r="Q2274" t="n">
        <v>17.99</v>
      </c>
      <c r="R2274" t="n">
        <v>0</v>
      </c>
      <c r="S2274" t="n">
        <v>0</v>
      </c>
      <c r="T2274" t="n">
        <v>0</v>
      </c>
      <c r="U2274" t="n">
        <v>17.99</v>
      </c>
      <c r="X2274" t="inlineStr">
        <is>
          <t>aafc-aac</t>
        </is>
      </c>
      <c r="Y2274" t="inlineStr">
        <is>
          <t>Agriculture and Agri-Food Canada | Agriculture et Agroalimentaire Canada</t>
        </is>
      </c>
      <c r="Z2274" t="n">
        <v>1</v>
      </c>
      <c r="AA2274" t="n">
        <v>17.99</v>
      </c>
      <c r="AB2274">
        <f>ROUND(U2274-AA2274,2)</f>
        <v/>
      </c>
      <c r="AC2274" t="b">
        <v>0</v>
      </c>
      <c r="AD2274">
        <f>IF(U2274="","MISSING_TOTAL",IF(ABS(AB2274)&lt;=0.01,"OK","CHECK"))</f>
        <v/>
      </c>
      <c r="AE2274">
        <f>IF(U2274="","MISSING",IF(AND(AA2274&gt;0,U2274/AA2274&gt;50),"POSSIBLE_SCALE_ERROR","OK"))</f>
        <v/>
      </c>
    </row>
    <row r="2275">
      <c r="A2275" t="inlineStr">
        <is>
          <t>T-2025-P02-015</t>
        </is>
      </c>
      <c r="B2275" t="inlineStr">
        <is>
          <t>SLE</t>
        </is>
      </c>
      <c r="C2275" t="inlineStr">
        <is>
          <t>Workplace Well-Being Ombudsperson</t>
        </is>
      </c>
      <c r="D2275" t="inlineStr">
        <is>
          <t>Ombudsman du mieux-être en milieu de travail</t>
        </is>
      </c>
      <c r="E2275" t="inlineStr">
        <is>
          <t>Elianne Hall</t>
        </is>
      </c>
      <c r="F2275" t="inlineStr">
        <is>
          <t>To attend the Quebec Outreach</t>
        </is>
      </c>
      <c r="G2275" t="inlineStr">
        <is>
          <t>Pour participer à la campagne de sensibilisation au Québec</t>
        </is>
      </c>
      <c r="H2275" s="1" t="n">
        <v>45411</v>
      </c>
      <c r="I2275" s="1" t="n">
        <v>45413</v>
      </c>
      <c r="J2275" t="inlineStr">
        <is>
          <t>Québec (Quebec) Canada</t>
        </is>
      </c>
      <c r="K2275" t="inlineStr">
        <is>
          <t>Québec (Québec) Canada</t>
        </is>
      </c>
      <c r="P2275" t="n">
        <v>0</v>
      </c>
      <c r="Q2275" t="n">
        <v>618.54</v>
      </c>
      <c r="R2275" t="n">
        <v>542.65</v>
      </c>
      <c r="S2275" t="n">
        <v>362.85</v>
      </c>
      <c r="T2275" t="n">
        <v>0</v>
      </c>
      <c r="U2275" t="n">
        <v>1524.04</v>
      </c>
      <c r="X2275" t="inlineStr">
        <is>
          <t>aafc-aac</t>
        </is>
      </c>
      <c r="Y2275" t="inlineStr">
        <is>
          <t>Agriculture and Agri-Food Canada | Agriculture et Agroalimentaire Canada</t>
        </is>
      </c>
      <c r="Z2275" t="n">
        <v>3</v>
      </c>
      <c r="AA2275" t="n">
        <v>1524.04</v>
      </c>
      <c r="AB2275">
        <f>ROUND(U2275-AA2275,2)</f>
        <v/>
      </c>
      <c r="AC2275" t="b">
        <v>0</v>
      </c>
      <c r="AD2275">
        <f>IF(U2275="","MISSING_TOTAL",IF(ABS(AB2275)&lt;=0.01,"OK","CHECK"))</f>
        <v/>
      </c>
      <c r="AE2275">
        <f>IF(U2275="","MISSING",IF(AND(AA2275&gt;0,U2275/AA2275&gt;50),"POSSIBLE_SCALE_ERROR","OK"))</f>
        <v/>
      </c>
    </row>
    <row r="2276">
      <c r="A2276" t="inlineStr">
        <is>
          <t>T-2025-P02-016</t>
        </is>
      </c>
      <c r="B2276" t="inlineStr">
        <is>
          <t>SLE</t>
        </is>
      </c>
      <c r="C2276" t="inlineStr">
        <is>
          <t>Workplace Well-Being Ombudsperson</t>
        </is>
      </c>
      <c r="D2276" t="inlineStr">
        <is>
          <t>Ombudsman du mieux-être en milieu de travail</t>
        </is>
      </c>
      <c r="E2276" t="inlineStr">
        <is>
          <t>Elianne Hall</t>
        </is>
      </c>
      <c r="F2276" t="inlineStr">
        <is>
          <t>To attend the Annual Symposium of the Centre for Informal Dispute Resolution at Saint Paul University</t>
        </is>
      </c>
      <c r="G2276" t="inlineStr">
        <is>
          <t>Participer au symposium annuel du centre de règlement informel des litiges de l'Université de Saint Paul</t>
        </is>
      </c>
      <c r="H2276" s="1" t="n">
        <v>45418</v>
      </c>
      <c r="I2276" s="1" t="n">
        <v>45419</v>
      </c>
      <c r="J2276" t="inlineStr">
        <is>
          <t>Ottawa (Ontario) Canada</t>
        </is>
      </c>
      <c r="K2276" t="inlineStr">
        <is>
          <t>Ottawa (Ontario) Canada</t>
        </is>
      </c>
      <c r="P2276" t="n">
        <v>0</v>
      </c>
      <c r="Q2276" t="n">
        <v>22.5</v>
      </c>
      <c r="R2276" t="n">
        <v>0</v>
      </c>
      <c r="S2276" t="n">
        <v>0</v>
      </c>
      <c r="T2276" t="n">
        <v>0</v>
      </c>
      <c r="U2276" t="n">
        <v>22.5</v>
      </c>
      <c r="X2276" t="inlineStr">
        <is>
          <t>aafc-aac</t>
        </is>
      </c>
      <c r="Y2276" t="inlineStr">
        <is>
          <t>Agriculture and Agri-Food Canada | Agriculture et Agroalimentaire Canada</t>
        </is>
      </c>
      <c r="Z2276" t="n">
        <v>2</v>
      </c>
      <c r="AA2276" t="n">
        <v>22.5</v>
      </c>
      <c r="AB2276">
        <f>ROUND(U2276-AA2276,2)</f>
        <v/>
      </c>
      <c r="AC2276" t="b">
        <v>0</v>
      </c>
      <c r="AD2276">
        <f>IF(U2276="","MISSING_TOTAL",IF(ABS(AB2276)&lt;=0.01,"OK","CHECK"))</f>
        <v/>
      </c>
      <c r="AE2276">
        <f>IF(U2276="","MISSING",IF(AND(AA2276&gt;0,U2276/AA2276&gt;50),"POSSIBLE_SCALE_ERROR","OK"))</f>
        <v/>
      </c>
    </row>
    <row r="2277">
      <c r="A2277" t="inlineStr">
        <is>
          <t>T-2025-P02-017</t>
        </is>
      </c>
      <c r="B2277" t="inlineStr">
        <is>
          <t>SLE</t>
        </is>
      </c>
      <c r="C2277" t="inlineStr">
        <is>
          <t>Assistant Deputy Minister, Science and Technology Branch</t>
        </is>
      </c>
      <c r="D2277" t="inlineStr">
        <is>
          <t>Sous-ministre adjoint, Direction générale des sciences et de la technologie</t>
        </is>
      </c>
      <c r="E2277" t="inlineStr">
        <is>
          <t>Gilles Saindon</t>
        </is>
      </c>
      <c r="F2277" t="inlineStr">
        <is>
          <t>Invited Speaker to CropLife Canada - Spring Dialogue Days</t>
        </is>
      </c>
      <c r="G2277" t="inlineStr">
        <is>
          <t>Présentateur au CropLife Canada - Journées de dialogue de printemps</t>
        </is>
      </c>
      <c r="H2277" s="1" t="n">
        <v>45421</v>
      </c>
      <c r="I2277" s="1" t="n">
        <v>45421</v>
      </c>
      <c r="J2277" t="inlineStr">
        <is>
          <t>Ottawa (Ontario) Canada</t>
        </is>
      </c>
      <c r="K2277" t="inlineStr">
        <is>
          <t>Ottawa (Ontario) Canada</t>
        </is>
      </c>
      <c r="P2277" t="n">
        <v>0</v>
      </c>
      <c r="Q2277" t="n">
        <v>20</v>
      </c>
      <c r="R2277" t="n">
        <v>0</v>
      </c>
      <c r="S2277" t="n">
        <v>0</v>
      </c>
      <c r="T2277" t="n">
        <v>0</v>
      </c>
      <c r="U2277" t="n">
        <v>20</v>
      </c>
      <c r="X2277" t="inlineStr">
        <is>
          <t>aafc-aac</t>
        </is>
      </c>
      <c r="Y2277" t="inlineStr">
        <is>
          <t>Agriculture and Agri-Food Canada | Agriculture et Agroalimentaire Canada</t>
        </is>
      </c>
      <c r="Z2277" t="n">
        <v>1</v>
      </c>
      <c r="AA2277" t="n">
        <v>20</v>
      </c>
      <c r="AB2277">
        <f>ROUND(U2277-AA2277,2)</f>
        <v/>
      </c>
      <c r="AC2277" t="b">
        <v>0</v>
      </c>
      <c r="AD2277">
        <f>IF(U2277="","MISSING_TOTAL",IF(ABS(AB2277)&lt;=0.01,"OK","CHECK"))</f>
        <v/>
      </c>
      <c r="AE2277">
        <f>IF(U2277="","MISSING",IF(AND(AA2277&gt;0,U2277/AA2277&gt;50),"POSSIBLE_SCALE_ERROR","OK"))</f>
        <v/>
      </c>
    </row>
    <row r="2278">
      <c r="A2278" t="inlineStr">
        <is>
          <t>T-2025-P02-018</t>
        </is>
      </c>
      <c r="B2278" t="inlineStr">
        <is>
          <t>SLE</t>
        </is>
      </c>
      <c r="C2278" t="inlineStr">
        <is>
          <t>Assistant Deputy Minister, International Affairs Branch</t>
        </is>
      </c>
      <c r="D2278" t="inlineStr">
        <is>
          <t>Sous-ministre adjointe, Direction générale des affaires internationales</t>
        </is>
      </c>
      <c r="E2278" t="inlineStr">
        <is>
          <t>Kathleen Donohue</t>
        </is>
      </c>
      <c r="F2278" t="inlineStr">
        <is>
          <t>To meet with Agriculture and Agri-Food Canada and Canadian Food Inspection Agency counterparts, and United States industry, to strengthen bilateral relations, to advocate for the voluntary “Product of USA” labelling and Proposition 13</t>
        </is>
      </c>
      <c r="G2278" t="inlineStr">
        <is>
          <t>Rencontrer les homologues d'Agriculture et Agroalimentaire Canada et l'Agence d'inspection des aliments, et l'industrie des États-Unis, pour renforcer les relations bilatérales, pour plaider pour l’étiquetage volontaire « Produit des États-Unis » et Proposition 13</t>
        </is>
      </c>
      <c r="H2278" s="1" t="n">
        <v>45390</v>
      </c>
      <c r="I2278" s="1" t="n">
        <v>45391</v>
      </c>
      <c r="J2278" t="inlineStr">
        <is>
          <t>Washington (District of Columbia) United States</t>
        </is>
      </c>
      <c r="K2278" t="inlineStr">
        <is>
          <t>Washington (District de Columbia) États-Unis</t>
        </is>
      </c>
      <c r="P2278" t="n">
        <v>1851.68</v>
      </c>
      <c r="Q2278" t="n">
        <v>158.67</v>
      </c>
      <c r="R2278" t="n">
        <v>455</v>
      </c>
      <c r="S2278" t="n">
        <v>204.9</v>
      </c>
      <c r="T2278" t="n">
        <v>0</v>
      </c>
      <c r="U2278" t="n">
        <v>2670.25</v>
      </c>
      <c r="X2278" t="inlineStr">
        <is>
          <t>aafc-aac</t>
        </is>
      </c>
      <c r="Y2278" t="inlineStr">
        <is>
          <t>Agriculture and Agri-Food Canada | Agriculture et Agroalimentaire Canada</t>
        </is>
      </c>
      <c r="Z2278" t="n">
        <v>2</v>
      </c>
      <c r="AA2278" t="n">
        <v>2670.25</v>
      </c>
      <c r="AB2278">
        <f>ROUND(U2278-AA2278,2)</f>
        <v/>
      </c>
      <c r="AC2278" t="b">
        <v>0</v>
      </c>
      <c r="AD2278">
        <f>IF(U2278="","MISSING_TOTAL",IF(ABS(AB2278)&lt;=0.01,"OK","CHECK"))</f>
        <v/>
      </c>
      <c r="AE2278">
        <f>IF(U2278="","MISSING",IF(AND(AA2278&gt;0,U2278/AA2278&gt;50),"POSSIBLE_SCALE_ERROR","OK"))</f>
        <v/>
      </c>
    </row>
    <row r="2279">
      <c r="A2279" t="inlineStr">
        <is>
          <t>T-2025-P02-019</t>
        </is>
      </c>
      <c r="B2279" t="inlineStr">
        <is>
          <t>SLE</t>
        </is>
      </c>
      <c r="C2279" t="inlineStr">
        <is>
          <t>Assistant Deputy Minister, International Affairs Branch</t>
        </is>
      </c>
      <c r="D2279" t="inlineStr">
        <is>
          <t>Sous-ministre adjointe, Direction générale des affaires internationales</t>
        </is>
      </c>
      <c r="E2279" t="inlineStr">
        <is>
          <t>Kathleen Donohue</t>
        </is>
      </c>
      <c r="F2279" t="inlineStr">
        <is>
          <t>To attend training under the Ivey Leadership Program</t>
        </is>
      </c>
      <c r="G2279" t="inlineStr">
        <is>
          <t>Participer au programme de formation de leadership Ivey</t>
        </is>
      </c>
      <c r="H2279" s="1" t="n">
        <v>45384</v>
      </c>
      <c r="I2279" s="1" t="n">
        <v>45387</v>
      </c>
      <c r="J2279" t="inlineStr">
        <is>
          <t>London (Ontario) Canada</t>
        </is>
      </c>
      <c r="K2279" t="inlineStr">
        <is>
          <t>London (Ontario) Canada</t>
        </is>
      </c>
      <c r="P2279" t="n">
        <v>1333.34</v>
      </c>
      <c r="Q2279" t="n">
        <v>468.22</v>
      </c>
      <c r="R2279" t="n">
        <v>0</v>
      </c>
      <c r="S2279" t="n">
        <v>79.15000000000001</v>
      </c>
      <c r="T2279" t="n">
        <v>0</v>
      </c>
      <c r="U2279" t="n">
        <v>1880.71</v>
      </c>
      <c r="X2279" t="inlineStr">
        <is>
          <t>aafc-aac</t>
        </is>
      </c>
      <c r="Y2279" t="inlineStr">
        <is>
          <t>Agriculture and Agri-Food Canada | Agriculture et Agroalimentaire Canada</t>
        </is>
      </c>
      <c r="Z2279" t="n">
        <v>4</v>
      </c>
      <c r="AA2279" t="n">
        <v>1880.71</v>
      </c>
      <c r="AB2279">
        <f>ROUND(U2279-AA2279,2)</f>
        <v/>
      </c>
      <c r="AC2279" t="b">
        <v>0</v>
      </c>
      <c r="AD2279">
        <f>IF(U2279="","MISSING_TOTAL",IF(ABS(AB2279)&lt;=0.01,"OK","CHECK"))</f>
        <v/>
      </c>
      <c r="AE2279">
        <f>IF(U2279="","MISSING",IF(AND(AA2279&gt;0,U2279/AA2279&gt;50),"POSSIBLE_SCALE_ERROR","OK"))</f>
        <v/>
      </c>
    </row>
    <row r="2280">
      <c r="A2280" t="inlineStr">
        <is>
          <t>T-2025-P02-020</t>
        </is>
      </c>
      <c r="B2280" t="inlineStr">
        <is>
          <t>SLE</t>
        </is>
      </c>
      <c r="C2280" t="inlineStr">
        <is>
          <t>Associate Assistant Deputy Minister, Science and Technology Branch</t>
        </is>
      </c>
      <c r="D2280" t="inlineStr">
        <is>
          <t>Sous-ministre adjoint délégué, Direction générale des sciences et de la technologie</t>
        </is>
      </c>
      <c r="E2280" t="inlineStr">
        <is>
          <t>Andrew Goldstein</t>
        </is>
      </c>
      <c r="F2280" t="inlineStr">
        <is>
          <t>Meeting held in downtown Ottawa on May 8, 2024</t>
        </is>
      </c>
      <c r="G2280" t="inlineStr">
        <is>
          <t>Réunion tenue au centre-ville d'Ottawa le 8 mai 2024</t>
        </is>
      </c>
      <c r="H2280" s="1" t="n">
        <v>45420</v>
      </c>
      <c r="I2280" s="1" t="n">
        <v>45420</v>
      </c>
      <c r="J2280" t="inlineStr">
        <is>
          <t>Ottawa (Ontario) Canada</t>
        </is>
      </c>
      <c r="K2280" t="inlineStr">
        <is>
          <t>Ottawa (Ontario) Canada</t>
        </is>
      </c>
      <c r="Q2280" t="n">
        <v>17.5</v>
      </c>
      <c r="R2280" t="n">
        <v>0</v>
      </c>
      <c r="S2280" t="n">
        <v>0</v>
      </c>
      <c r="T2280" t="n">
        <v>0</v>
      </c>
      <c r="U2280" t="n">
        <v>17.5</v>
      </c>
      <c r="X2280" t="inlineStr">
        <is>
          <t>aafc-aac</t>
        </is>
      </c>
      <c r="Y2280" t="inlineStr">
        <is>
          <t>Agriculture and Agri-Food Canada | Agriculture et Agroalimentaire Canada</t>
        </is>
      </c>
      <c r="Z2280" t="n">
        <v>1</v>
      </c>
      <c r="AA2280" t="n">
        <v>17.5</v>
      </c>
      <c r="AB2280">
        <f>ROUND(U2280-AA2280,2)</f>
        <v/>
      </c>
      <c r="AC2280" t="b">
        <v>0</v>
      </c>
      <c r="AD2280">
        <f>IF(U2280="","MISSING_TOTAL",IF(ABS(AB2280)&lt;=0.01,"OK","CHECK"))</f>
        <v/>
      </c>
      <c r="AE2280">
        <f>IF(U2280="","MISSING",IF(AND(AA2280&gt;0,U2280/AA2280&gt;50),"POSSIBLE_SCALE_ERROR","OK"))</f>
        <v/>
      </c>
    </row>
    <row r="2281">
      <c r="A2281" t="inlineStr">
        <is>
          <t>T-2025-P02-021</t>
        </is>
      </c>
      <c r="B2281" t="inlineStr">
        <is>
          <t>SLE</t>
        </is>
      </c>
      <c r="C2281" t="inlineStr">
        <is>
          <t>Associate Assistant Deputy Minister, Science and Technology Branch</t>
        </is>
      </c>
      <c r="D2281" t="inlineStr">
        <is>
          <t>Sous-ministre adjoint délégué, Direction générale des sciences et de la technologie</t>
        </is>
      </c>
      <c r="E2281" t="inlineStr">
        <is>
          <t>Andrew Goldstein</t>
        </is>
      </c>
      <c r="F2281" t="inlineStr">
        <is>
          <t>To participate in the G20 Meeting of Agricultural Chief Scientists</t>
        </is>
      </c>
      <c r="G2281" t="inlineStr">
        <is>
          <t>Participer aux réunions du G20 "Meeting of Agricultural Chief Scientists" [rencontre des scientifiques en chef en agriculture]</t>
        </is>
      </c>
      <c r="H2281" s="1" t="n">
        <v>45425</v>
      </c>
      <c r="I2281" s="1" t="n">
        <v>45431</v>
      </c>
      <c r="J2281" t="inlineStr">
        <is>
          <t>Brasilia, Brazil</t>
        </is>
      </c>
      <c r="K2281" t="inlineStr">
        <is>
          <t>Brasilia (Brésil)</t>
        </is>
      </c>
      <c r="P2281" t="n">
        <v>8095.78</v>
      </c>
      <c r="Q2281" t="n">
        <v>82.48999999999999</v>
      </c>
      <c r="R2281" t="n">
        <v>775.92</v>
      </c>
      <c r="S2281" t="n">
        <v>450.91</v>
      </c>
      <c r="T2281" t="n">
        <v>51.88</v>
      </c>
      <c r="U2281" t="n">
        <v>9456.98</v>
      </c>
      <c r="X2281" t="inlineStr">
        <is>
          <t>aafc-aac</t>
        </is>
      </c>
      <c r="Y2281" t="inlineStr">
        <is>
          <t>Agriculture and Agri-Food Canada | Agriculture et Agroalimentaire Canada</t>
        </is>
      </c>
      <c r="Z2281" t="n">
        <v>7</v>
      </c>
      <c r="AA2281" t="n">
        <v>9456.97999999999</v>
      </c>
      <c r="AB2281">
        <f>ROUND(U2281-AA2281,2)</f>
        <v/>
      </c>
      <c r="AC2281" t="b">
        <v>0</v>
      </c>
      <c r="AD2281">
        <f>IF(U2281="","MISSING_TOTAL",IF(ABS(AB2281)&lt;=0.01,"OK","CHECK"))</f>
        <v/>
      </c>
      <c r="AE2281">
        <f>IF(U2281="","MISSING",IF(AND(AA2281&gt;0,U2281/AA2281&gt;50),"POSSIBLE_SCALE_ERROR","OK"))</f>
        <v/>
      </c>
    </row>
    <row r="2282">
      <c r="A2282" t="inlineStr">
        <is>
          <t>T-2025-P02-022</t>
        </is>
      </c>
      <c r="B2282" t="inlineStr">
        <is>
          <t>SLE</t>
        </is>
      </c>
      <c r="C2282" t="inlineStr">
        <is>
          <t>Assistant Deputy Minister, Corporate Management Branch</t>
        </is>
      </c>
      <c r="D2282" t="inlineStr">
        <is>
          <t>Sous-ministre adjointe, Direction générale de la gestion intégrée</t>
        </is>
      </c>
      <c r="E2282" t="inlineStr">
        <is>
          <t>Marie-Claude Guérard</t>
        </is>
      </c>
      <c r="F2282" t="inlineStr">
        <is>
          <t>Attend meetings in Ottawa, in-person</t>
        </is>
      </c>
      <c r="G2282" t="inlineStr">
        <is>
          <t>Participer aux rencontres à Ottawa, en-personne</t>
        </is>
      </c>
      <c r="H2282" s="1" t="n">
        <v>45420</v>
      </c>
      <c r="I2282" s="1" t="n">
        <v>45421</v>
      </c>
      <c r="J2282" t="inlineStr">
        <is>
          <t>Ottawa (Ontario) Canada</t>
        </is>
      </c>
      <c r="K2282" t="inlineStr">
        <is>
          <t>Ottawa (Ontario) Canada</t>
        </is>
      </c>
      <c r="P2282" t="n">
        <v>0</v>
      </c>
      <c r="Q2282" t="n">
        <v>343.82</v>
      </c>
      <c r="R2282" t="n">
        <v>224.25</v>
      </c>
      <c r="S2282" t="n">
        <v>171.75</v>
      </c>
      <c r="T2282" t="n">
        <v>0</v>
      </c>
      <c r="U2282" t="n">
        <v>739.8200000000001</v>
      </c>
      <c r="X2282" t="inlineStr">
        <is>
          <t>aafc-aac</t>
        </is>
      </c>
      <c r="Y2282" t="inlineStr">
        <is>
          <t>Agriculture and Agri-Food Canada | Agriculture et Agroalimentaire Canada</t>
        </is>
      </c>
      <c r="Z2282" t="n">
        <v>2</v>
      </c>
      <c r="AA2282" t="n">
        <v>739.819999999999</v>
      </c>
      <c r="AB2282">
        <f>ROUND(U2282-AA2282,2)</f>
        <v/>
      </c>
      <c r="AC2282" t="b">
        <v>0</v>
      </c>
      <c r="AD2282">
        <f>IF(U2282="","MISSING_TOTAL",IF(ABS(AB2282)&lt;=0.01,"OK","CHECK"))</f>
        <v/>
      </c>
      <c r="AE2282">
        <f>IF(U2282="","MISSING",IF(AND(AA2282&gt;0,U2282/AA2282&gt;50),"POSSIBLE_SCALE_ERROR","OK"))</f>
        <v/>
      </c>
    </row>
    <row r="2283">
      <c r="A2283" t="inlineStr">
        <is>
          <t>T-2025-P02-023</t>
        </is>
      </c>
      <c r="B2283" t="inlineStr">
        <is>
          <t>SLE</t>
        </is>
      </c>
      <c r="C2283" t="inlineStr">
        <is>
          <t>Assistant Deputy Minister, Corporate Management Branch</t>
        </is>
      </c>
      <c r="D2283" t="inlineStr">
        <is>
          <t>Sous-ministre adjointe, Direction générale de la gestion intégrée</t>
        </is>
      </c>
      <c r="E2283" t="inlineStr">
        <is>
          <t>Marie-Claude Guérard</t>
        </is>
      </c>
      <c r="F2283" t="inlineStr">
        <is>
          <t>Attend meetings in Ottawa and attend the APEX Leadership Summit at the Shaw Centre</t>
        </is>
      </c>
      <c r="G2283" t="inlineStr">
        <is>
          <t>Participer au rencontre à Ottawa en-personne et participer au Sommet de leadership de l'APEX au centre Shaw</t>
        </is>
      </c>
      <c r="H2283" s="1" t="n">
        <v>45425</v>
      </c>
      <c r="I2283" s="1" t="n">
        <v>45427</v>
      </c>
      <c r="J2283" t="inlineStr">
        <is>
          <t>Ottawa (Ontario) Canada</t>
        </is>
      </c>
      <c r="K2283" t="inlineStr">
        <is>
          <t>Ottawa (Ontario) Canada</t>
        </is>
      </c>
      <c r="P2283" t="n">
        <v>0</v>
      </c>
      <c r="Q2283" t="n">
        <v>490.4</v>
      </c>
      <c r="R2283" t="n">
        <v>567.14</v>
      </c>
      <c r="S2283" t="n">
        <v>200.8</v>
      </c>
      <c r="T2283" t="n">
        <v>0</v>
      </c>
      <c r="U2283" t="n">
        <v>1258.34</v>
      </c>
      <c r="X2283" t="inlineStr">
        <is>
          <t>aafc-aac</t>
        </is>
      </c>
      <c r="Y2283" t="inlineStr">
        <is>
          <t>Agriculture and Agri-Food Canada | Agriculture et Agroalimentaire Canada</t>
        </is>
      </c>
      <c r="Z2283" t="n">
        <v>3</v>
      </c>
      <c r="AA2283" t="n">
        <v>1258.34</v>
      </c>
      <c r="AB2283">
        <f>ROUND(U2283-AA2283,2)</f>
        <v/>
      </c>
      <c r="AC2283" t="b">
        <v>0</v>
      </c>
      <c r="AD2283">
        <f>IF(U2283="","MISSING_TOTAL",IF(ABS(AB2283)&lt;=0.01,"OK","CHECK"))</f>
        <v/>
      </c>
      <c r="AE2283">
        <f>IF(U2283="","MISSING",IF(AND(AA2283&gt;0,U2283/AA2283&gt;50),"POSSIBLE_SCALE_ERROR","OK"))</f>
        <v/>
      </c>
    </row>
    <row r="2284">
      <c r="A2284" t="inlineStr">
        <is>
          <t>T-2025-P02-024</t>
        </is>
      </c>
      <c r="B2284" t="inlineStr">
        <is>
          <t>SLE</t>
        </is>
      </c>
      <c r="C2284" t="inlineStr">
        <is>
          <t>Assistant Deputy Minister, Strategic Policy Branch</t>
        </is>
      </c>
      <c r="D2284" t="inlineStr">
        <is>
          <t>Sous-ministre adjointe, Direction générale des politiques stratégiques</t>
        </is>
      </c>
      <c r="E2284" t="inlineStr">
        <is>
          <t>Shannon Nix</t>
        </is>
      </c>
      <c r="F2284" t="inlineStr">
        <is>
          <t>To attend the Executive Leadership and Development Program</t>
        </is>
      </c>
      <c r="G2284" t="inlineStr">
        <is>
          <t>Pour assister aux Programme de développement et de leadership des cadres supérieurs</t>
        </is>
      </c>
      <c r="H2284" s="1" t="n">
        <v>45401</v>
      </c>
      <c r="I2284" s="1" t="n">
        <v>45401</v>
      </c>
      <c r="J2284" t="inlineStr">
        <is>
          <t>Ottawa (Ontario) Canada</t>
        </is>
      </c>
      <c r="K2284" t="inlineStr">
        <is>
          <t>Ottawa (Ontario) Canada</t>
        </is>
      </c>
      <c r="P2284" t="n">
        <v>0</v>
      </c>
      <c r="Q2284" t="n">
        <v>23.38</v>
      </c>
      <c r="R2284" t="n">
        <v>0</v>
      </c>
      <c r="S2284" t="n">
        <v>0</v>
      </c>
      <c r="T2284" t="n">
        <v>0</v>
      </c>
      <c r="U2284" t="n">
        <v>23.38</v>
      </c>
      <c r="X2284" t="inlineStr">
        <is>
          <t>aafc-aac</t>
        </is>
      </c>
      <c r="Y2284" t="inlineStr">
        <is>
          <t>Agriculture and Agri-Food Canada | Agriculture et Agroalimentaire Canada</t>
        </is>
      </c>
      <c r="Z2284" t="n">
        <v>1</v>
      </c>
      <c r="AA2284" t="n">
        <v>23.38</v>
      </c>
      <c r="AB2284">
        <f>ROUND(U2284-AA2284,2)</f>
        <v/>
      </c>
      <c r="AC2284" t="b">
        <v>0</v>
      </c>
      <c r="AD2284">
        <f>IF(U2284="","MISSING_TOTAL",IF(ABS(AB2284)&lt;=0.01,"OK","CHECK"))</f>
        <v/>
      </c>
      <c r="AE2284">
        <f>IF(U2284="","MISSING",IF(AND(AA2284&gt;0,U2284/AA2284&gt;50),"POSSIBLE_SCALE_ERROR","OK"))</f>
        <v/>
      </c>
    </row>
    <row r="2285">
      <c r="A2285" t="inlineStr">
        <is>
          <t>T-2025-P02-025</t>
        </is>
      </c>
      <c r="B2285" t="inlineStr">
        <is>
          <t>SLE</t>
        </is>
      </c>
      <c r="C2285" t="inlineStr">
        <is>
          <t>Assistant Deputy Minister, Strategic Policy Branch</t>
        </is>
      </c>
      <c r="D2285" t="inlineStr">
        <is>
          <t>Sous-ministre adjointe, Direction générale des politiques stratégiques</t>
        </is>
      </c>
      <c r="E2285" t="inlineStr">
        <is>
          <t>Shannon Nix</t>
        </is>
      </c>
      <c r="F2285" t="inlineStr">
        <is>
          <t>To attend various meetings downtown</t>
        </is>
      </c>
      <c r="G2285" t="inlineStr">
        <is>
          <t>Assister à diverses réunions au centre-ville</t>
        </is>
      </c>
      <c r="H2285" s="1" t="n">
        <v>45413</v>
      </c>
      <c r="I2285" s="1" t="n">
        <v>45414</v>
      </c>
      <c r="J2285" t="inlineStr">
        <is>
          <t>Ottawa (Ontario) Canada</t>
        </is>
      </c>
      <c r="K2285" t="inlineStr">
        <is>
          <t>Ottawa (Ontario) Canada</t>
        </is>
      </c>
      <c r="P2285" t="n">
        <v>0</v>
      </c>
      <c r="Q2285" t="n">
        <v>27.61</v>
      </c>
      <c r="R2285" t="n">
        <v>0</v>
      </c>
      <c r="S2285" t="n">
        <v>0</v>
      </c>
      <c r="T2285" t="n">
        <v>0</v>
      </c>
      <c r="U2285" t="n">
        <v>27.61</v>
      </c>
      <c r="X2285" t="inlineStr">
        <is>
          <t>aafc-aac</t>
        </is>
      </c>
      <c r="Y2285" t="inlineStr">
        <is>
          <t>Agriculture and Agri-Food Canada | Agriculture et Agroalimentaire Canada</t>
        </is>
      </c>
      <c r="Z2285" t="n">
        <v>2</v>
      </c>
      <c r="AA2285" t="n">
        <v>27.61</v>
      </c>
      <c r="AB2285">
        <f>ROUND(U2285-AA2285,2)</f>
        <v/>
      </c>
      <c r="AC2285" t="b">
        <v>0</v>
      </c>
      <c r="AD2285">
        <f>IF(U2285="","MISSING_TOTAL",IF(ABS(AB2285)&lt;=0.01,"OK","CHECK"))</f>
        <v/>
      </c>
      <c r="AE2285">
        <f>IF(U2285="","MISSING",IF(AND(AA2285&gt;0,U2285/AA2285&gt;50),"POSSIBLE_SCALE_ERROR","OK"))</f>
        <v/>
      </c>
    </row>
    <row r="2286">
      <c r="A2286" t="inlineStr">
        <is>
          <t>T-2025-P02-026</t>
        </is>
      </c>
      <c r="B2286" t="inlineStr">
        <is>
          <t>SLE</t>
        </is>
      </c>
      <c r="C2286" t="inlineStr">
        <is>
          <t>Assistant Deputy Minister, Strategic Policy Branch</t>
        </is>
      </c>
      <c r="D2286" t="inlineStr">
        <is>
          <t>Sous-ministre adjointe, Direction générale des politiques stratégiques</t>
        </is>
      </c>
      <c r="E2286" t="inlineStr">
        <is>
          <t>Shannon Nix</t>
        </is>
      </c>
      <c r="F2286" t="inlineStr">
        <is>
          <t>To attend Spring Dialogue Days Conference</t>
        </is>
      </c>
      <c r="G2286" t="inlineStr">
        <is>
          <t>Assister à la conférence des Journées de dialogue du printemps</t>
        </is>
      </c>
      <c r="H2286" s="1" t="n">
        <v>45421</v>
      </c>
      <c r="I2286" s="1" t="n">
        <v>45421</v>
      </c>
      <c r="J2286" t="inlineStr">
        <is>
          <t>Ottawa (Ontario) Canada</t>
        </is>
      </c>
      <c r="K2286" t="inlineStr">
        <is>
          <t>Ottawa (Ontario) Canada</t>
        </is>
      </c>
      <c r="P2286" t="n">
        <v>0</v>
      </c>
      <c r="Q2286" t="n">
        <v>15.05</v>
      </c>
      <c r="R2286" t="n">
        <v>0</v>
      </c>
      <c r="S2286" t="n">
        <v>0</v>
      </c>
      <c r="T2286" t="n">
        <v>0</v>
      </c>
      <c r="U2286" t="n">
        <v>15.05</v>
      </c>
      <c r="X2286" t="inlineStr">
        <is>
          <t>aafc-aac</t>
        </is>
      </c>
      <c r="Y2286" t="inlineStr">
        <is>
          <t>Agriculture and Agri-Food Canada | Agriculture et Agroalimentaire Canada</t>
        </is>
      </c>
      <c r="Z2286" t="n">
        <v>1</v>
      </c>
      <c r="AA2286" t="n">
        <v>15.05</v>
      </c>
      <c r="AB2286">
        <f>ROUND(U2286-AA2286,2)</f>
        <v/>
      </c>
      <c r="AC2286" t="b">
        <v>0</v>
      </c>
      <c r="AD2286">
        <f>IF(U2286="","MISSING_TOTAL",IF(ABS(AB2286)&lt;=0.01,"OK","CHECK"))</f>
        <v/>
      </c>
      <c r="AE2286">
        <f>IF(U2286="","MISSING",IF(AND(AA2286&gt;0,U2286/AA2286&gt;50),"POSSIBLE_SCALE_ERROR","OK"))</f>
        <v/>
      </c>
    </row>
    <row r="2287">
      <c r="A2287" t="inlineStr">
        <is>
          <t>T-2025-P02-027</t>
        </is>
      </c>
      <c r="B2287" t="inlineStr">
        <is>
          <t>SLE</t>
        </is>
      </c>
      <c r="C2287" t="inlineStr">
        <is>
          <t>Assistant Deputy Minister, Strategic Policy Branch</t>
        </is>
      </c>
      <c r="D2287" t="inlineStr">
        <is>
          <t>Sous-ministre adjointe, Direction générale des politiques stratégiques</t>
        </is>
      </c>
      <c r="E2287" t="inlineStr">
        <is>
          <t>Shannon Nix</t>
        </is>
      </c>
      <c r="F2287" t="inlineStr">
        <is>
          <t>To attend various meetings downtown</t>
        </is>
      </c>
      <c r="G2287" t="inlineStr">
        <is>
          <t>Assister à diverses réunions au centre-ville</t>
        </is>
      </c>
      <c r="H2287" s="1" t="n">
        <v>45435</v>
      </c>
      <c r="I2287" s="1" t="n">
        <v>45436</v>
      </c>
      <c r="J2287" t="inlineStr">
        <is>
          <t>Ottawa (Ontario) Canada</t>
        </is>
      </c>
      <c r="K2287" t="inlineStr">
        <is>
          <t>Ottawa (Ontario) Canada</t>
        </is>
      </c>
      <c r="P2287" t="n">
        <v>0</v>
      </c>
      <c r="Q2287" t="n">
        <v>24.82</v>
      </c>
      <c r="R2287" t="n">
        <v>0</v>
      </c>
      <c r="S2287" t="n">
        <v>0</v>
      </c>
      <c r="T2287" t="n">
        <v>0</v>
      </c>
      <c r="U2287" t="n">
        <v>24.82</v>
      </c>
      <c r="X2287" t="inlineStr">
        <is>
          <t>aafc-aac</t>
        </is>
      </c>
      <c r="Y2287" t="inlineStr">
        <is>
          <t>Agriculture and Agri-Food Canada | Agriculture et Agroalimentaire Canada</t>
        </is>
      </c>
      <c r="Z2287" t="n">
        <v>2</v>
      </c>
      <c r="AA2287" t="n">
        <v>24.82</v>
      </c>
      <c r="AB2287">
        <f>ROUND(U2287-AA2287,2)</f>
        <v/>
      </c>
      <c r="AC2287" t="b">
        <v>0</v>
      </c>
      <c r="AD2287">
        <f>IF(U2287="","MISSING_TOTAL",IF(ABS(AB2287)&lt;=0.01,"OK","CHECK"))</f>
        <v/>
      </c>
      <c r="AE2287">
        <f>IF(U2287="","MISSING",IF(AND(AA2287&gt;0,U2287/AA2287&gt;50),"POSSIBLE_SCALE_ERROR","OK"))</f>
        <v/>
      </c>
    </row>
    <row r="2288">
      <c r="A2288" t="inlineStr">
        <is>
          <t>T-2025-P02-028</t>
        </is>
      </c>
      <c r="B2288" t="inlineStr">
        <is>
          <t>SLE</t>
        </is>
      </c>
      <c r="C2288" t="inlineStr">
        <is>
          <t>Assistant Deputy Minister, Programs Branch</t>
        </is>
      </c>
      <c r="D2288" t="inlineStr">
        <is>
          <t>Sous-ministre adjointe, Direction générale des programmes</t>
        </is>
      </c>
      <c r="E2288" t="inlineStr">
        <is>
          <t>Liz Foster</t>
        </is>
      </c>
      <c r="F2288" t="inlineStr">
        <is>
          <t>Pre-brief for Meeting with Carol McBride - Native Women's Association of Canada</t>
        </is>
      </c>
      <c r="G2288" t="inlineStr">
        <is>
          <t>Pré-breffage pour la rencontre avec Carol McBride - Association des femmes autochtones du Canada</t>
        </is>
      </c>
      <c r="H2288" s="1" t="n">
        <v>45397</v>
      </c>
      <c r="I2288" s="1" t="n">
        <v>45397</v>
      </c>
      <c r="J2288" t="inlineStr">
        <is>
          <t>Ottawa (Ontario) Canada</t>
        </is>
      </c>
      <c r="K2288" t="inlineStr">
        <is>
          <t>Ottawa (Ontario) Canada</t>
        </is>
      </c>
      <c r="P2288" t="n">
        <v>0</v>
      </c>
      <c r="Q2288" t="n">
        <v>10</v>
      </c>
      <c r="R2288" t="n">
        <v>0</v>
      </c>
      <c r="S2288" t="n">
        <v>0</v>
      </c>
      <c r="T2288" t="n">
        <v>0</v>
      </c>
      <c r="U2288" t="n">
        <v>10</v>
      </c>
      <c r="X2288" t="inlineStr">
        <is>
          <t>aafc-aac</t>
        </is>
      </c>
      <c r="Y2288" t="inlineStr">
        <is>
          <t>Agriculture and Agri-Food Canada | Agriculture et Agroalimentaire Canada</t>
        </is>
      </c>
      <c r="Z2288" t="n">
        <v>1</v>
      </c>
      <c r="AA2288" t="n">
        <v>10</v>
      </c>
      <c r="AB2288">
        <f>ROUND(U2288-AA2288,2)</f>
        <v/>
      </c>
      <c r="AC2288" t="b">
        <v>0</v>
      </c>
      <c r="AD2288">
        <f>IF(U2288="","MISSING_TOTAL",IF(ABS(AB2288)&lt;=0.01,"OK","CHECK"))</f>
        <v/>
      </c>
      <c r="AE2288">
        <f>IF(U2288="","MISSING",IF(AND(AA2288&gt;0,U2288/AA2288&gt;50),"POSSIBLE_SCALE_ERROR","OK"))</f>
        <v/>
      </c>
    </row>
    <row r="2289">
      <c r="A2289" t="inlineStr">
        <is>
          <t>T-2025-P02-029</t>
        </is>
      </c>
      <c r="B2289" t="inlineStr">
        <is>
          <t>SLE</t>
        </is>
      </c>
      <c r="C2289" t="inlineStr">
        <is>
          <t>Assistant Deputy Minister, Programs Branch</t>
        </is>
      </c>
      <c r="D2289" t="inlineStr">
        <is>
          <t>Sous-ministre adjointe, Direction générale des programmes</t>
        </is>
      </c>
      <c r="E2289" t="inlineStr">
        <is>
          <t>Liz Foster</t>
        </is>
      </c>
      <c r="F2289" t="inlineStr">
        <is>
          <t>To attend Minister and Deputy Minister meeting</t>
        </is>
      </c>
      <c r="G2289" t="inlineStr">
        <is>
          <t>Participer à la rencontre du ministre et sous-ministre</t>
        </is>
      </c>
      <c r="H2289" s="1" t="n">
        <v>45393</v>
      </c>
      <c r="I2289" s="1" t="n">
        <v>45393</v>
      </c>
      <c r="J2289" t="inlineStr">
        <is>
          <t>Ottawa (Ontario) Canada</t>
        </is>
      </c>
      <c r="K2289" t="inlineStr">
        <is>
          <t>Ottawa (Ontario) Canada</t>
        </is>
      </c>
      <c r="P2289" t="n">
        <v>0</v>
      </c>
      <c r="Q2289" t="n">
        <v>10</v>
      </c>
      <c r="R2289" t="n">
        <v>0</v>
      </c>
      <c r="S2289" t="n">
        <v>0</v>
      </c>
      <c r="T2289" t="n">
        <v>0</v>
      </c>
      <c r="U2289" t="n">
        <v>10</v>
      </c>
      <c r="X2289" t="inlineStr">
        <is>
          <t>aafc-aac</t>
        </is>
      </c>
      <c r="Y2289" t="inlineStr">
        <is>
          <t>Agriculture and Agri-Food Canada | Agriculture et Agroalimentaire Canada</t>
        </is>
      </c>
      <c r="Z2289" t="n">
        <v>1</v>
      </c>
      <c r="AA2289" t="n">
        <v>10</v>
      </c>
      <c r="AB2289">
        <f>ROUND(U2289-AA2289,2)</f>
        <v/>
      </c>
      <c r="AC2289" t="b">
        <v>0</v>
      </c>
      <c r="AD2289">
        <f>IF(U2289="","MISSING_TOTAL",IF(ABS(AB2289)&lt;=0.01,"OK","CHECK"))</f>
        <v/>
      </c>
      <c r="AE2289">
        <f>IF(U2289="","MISSING",IF(AND(AA2289&gt;0,U2289/AA2289&gt;50),"POSSIBLE_SCALE_ERROR","OK"))</f>
        <v/>
      </c>
    </row>
    <row r="2290">
      <c r="A2290" t="inlineStr">
        <is>
          <t>T-2025-P02-030</t>
        </is>
      </c>
      <c r="B2290" t="inlineStr">
        <is>
          <t>SLE</t>
        </is>
      </c>
      <c r="C2290" t="inlineStr">
        <is>
          <t>Assistant Deputy Minister, Market and Industry Services Branch</t>
        </is>
      </c>
      <c r="D2290" t="inlineStr">
        <is>
          <t>Sous-ministre adjoint, Direction générale des services à l'industrie et aux marchés</t>
        </is>
      </c>
      <c r="E2290" t="inlineStr">
        <is>
          <t>Tom Rosser</t>
        </is>
      </c>
      <c r="F2290" t="inlineStr">
        <is>
          <t>To provide remarks at Canadian Produce Marketing Association Convention and Trade Show and participate in regional outreach.</t>
        </is>
      </c>
      <c r="G2290" t="inlineStr">
        <is>
          <t>Prononcer des allocutions au congrès et au salon professionnel de l'Association canadienne de la distribution de fruits et légumes et participer à des activités de sensibilisation régionales.</t>
        </is>
      </c>
      <c r="H2290" s="1" t="n">
        <v>45405</v>
      </c>
      <c r="I2290" s="1" t="n">
        <v>45411</v>
      </c>
      <c r="J2290" t="inlineStr">
        <is>
          <t>Vancouver (British Columbia) Canada</t>
        </is>
      </c>
      <c r="K2290" t="inlineStr">
        <is>
          <t>Vancouver (Colombie-Britannique) Canada</t>
        </is>
      </c>
      <c r="P2290" t="n">
        <v>2106.37</v>
      </c>
      <c r="Q2290" t="n">
        <v>145.1</v>
      </c>
      <c r="R2290" t="n">
        <v>2561.97</v>
      </c>
      <c r="S2290" t="n">
        <v>341.8</v>
      </c>
      <c r="T2290" t="n">
        <v>0</v>
      </c>
      <c r="U2290" t="n">
        <v>5155.24</v>
      </c>
      <c r="X2290" t="inlineStr">
        <is>
          <t>aafc-aac</t>
        </is>
      </c>
      <c r="Y2290" t="inlineStr">
        <is>
          <t>Agriculture and Agri-Food Canada | Agriculture et Agroalimentaire Canada</t>
        </is>
      </c>
      <c r="Z2290" t="n">
        <v>7</v>
      </c>
      <c r="AA2290" t="n">
        <v>5155.24</v>
      </c>
      <c r="AB2290">
        <f>ROUND(U2290-AA2290,2)</f>
        <v/>
      </c>
      <c r="AC2290" t="b">
        <v>0</v>
      </c>
      <c r="AD2290">
        <f>IF(U2290="","MISSING_TOTAL",IF(ABS(AB2290)&lt;=0.01,"OK","CHECK"))</f>
        <v/>
      </c>
      <c r="AE2290">
        <f>IF(U2290="","MISSING",IF(AND(AA2290&gt;0,U2290/AA2290&gt;50),"POSSIBLE_SCALE_ERROR","OK"))</f>
        <v/>
      </c>
    </row>
    <row r="2291">
      <c r="A2291" t="inlineStr">
        <is>
          <t>T-2025-P02-031</t>
        </is>
      </c>
      <c r="B2291" t="inlineStr">
        <is>
          <t>SLE</t>
        </is>
      </c>
      <c r="C2291" t="inlineStr">
        <is>
          <t>Assistant Deputy Minister, Market and Industry Services Branch</t>
        </is>
      </c>
      <c r="D2291" t="inlineStr">
        <is>
          <t>Sous-ministre adjoint, Direction générale des services à l'industrie et aux marchés</t>
        </is>
      </c>
      <c r="E2291" t="inlineStr">
        <is>
          <t>Tom Rosser</t>
        </is>
      </c>
      <c r="F2291" t="inlineStr">
        <is>
          <t>To deliver remarks at the Agri-Tech Venture Forum</t>
        </is>
      </c>
      <c r="G2291" t="inlineStr">
        <is>
          <t>Prononcer des allocutions au Forum Agri-Tech</t>
        </is>
      </c>
      <c r="H2291" s="1" t="n">
        <v>45412</v>
      </c>
      <c r="I2291" s="1" t="n">
        <v>45414</v>
      </c>
      <c r="J2291" t="inlineStr">
        <is>
          <t>Toronto (Ontario) Canada</t>
        </is>
      </c>
      <c r="K2291" t="inlineStr">
        <is>
          <t>Toronto (Ontario) Canada</t>
        </is>
      </c>
      <c r="P2291" t="n">
        <v>1352.58</v>
      </c>
      <c r="Q2291" t="n">
        <v>108.45</v>
      </c>
      <c r="R2291" t="n">
        <v>692.3200000000001</v>
      </c>
      <c r="S2291" t="n">
        <v>113.75</v>
      </c>
      <c r="T2291" t="n">
        <v>0</v>
      </c>
      <c r="U2291" t="n">
        <v>2267.1</v>
      </c>
      <c r="X2291" t="inlineStr">
        <is>
          <t>aafc-aac</t>
        </is>
      </c>
      <c r="Y2291" t="inlineStr">
        <is>
          <t>Agriculture and Agri-Food Canada | Agriculture et Agroalimentaire Canada</t>
        </is>
      </c>
      <c r="Z2291" t="n">
        <v>3</v>
      </c>
      <c r="AA2291" t="n">
        <v>2267.1</v>
      </c>
      <c r="AB2291">
        <f>ROUND(U2291-AA2291,2)</f>
        <v/>
      </c>
      <c r="AC2291" t="b">
        <v>0</v>
      </c>
      <c r="AD2291">
        <f>IF(U2291="","MISSING_TOTAL",IF(ABS(AB2291)&lt;=0.01,"OK","CHECK"))</f>
        <v/>
      </c>
      <c r="AE2291">
        <f>IF(U2291="","MISSING",IF(AND(AA2291&gt;0,U2291/AA2291&gt;50),"POSSIBLE_SCALE_ERROR","OK"))</f>
        <v/>
      </c>
    </row>
    <row r="2292">
      <c r="A2292" t="inlineStr">
        <is>
          <t>T-2025-P03-001</t>
        </is>
      </c>
      <c r="B2292" t="inlineStr">
        <is>
          <t>MPSES</t>
        </is>
      </c>
      <c r="C2292" t="inlineStr">
        <is>
          <t>Chief of Staff</t>
        </is>
      </c>
      <c r="D2292" t="inlineStr">
        <is>
          <t>Chef de cabinet</t>
        </is>
      </c>
      <c r="E2292" t="inlineStr">
        <is>
          <t>Matthew Mann</t>
        </is>
      </c>
      <c r="F2292" t="inlineStr">
        <is>
          <t>Reimbursement for Passport Photo</t>
        </is>
      </c>
      <c r="G2292" t="inlineStr">
        <is>
          <t>Remboursement de la photo de passeport</t>
        </is>
      </c>
      <c r="H2292" s="1" t="n">
        <v>45446</v>
      </c>
      <c r="I2292" s="1" t="n">
        <v>45446</v>
      </c>
      <c r="J2292" t="inlineStr">
        <is>
          <t>Ottawa (Ontario) Canada</t>
        </is>
      </c>
      <c r="K2292" t="inlineStr">
        <is>
          <t>Ottawa (Ontario) Canada</t>
        </is>
      </c>
      <c r="P2292" t="n">
        <v>0</v>
      </c>
      <c r="Q2292" t="n">
        <v>0</v>
      </c>
      <c r="R2292" t="n">
        <v>0</v>
      </c>
      <c r="S2292" t="n">
        <v>0</v>
      </c>
      <c r="T2292" t="n">
        <v>40.68</v>
      </c>
      <c r="U2292" t="n">
        <v>40.68</v>
      </c>
      <c r="X2292" t="inlineStr">
        <is>
          <t>aafc-aac</t>
        </is>
      </c>
      <c r="Y2292" t="inlineStr">
        <is>
          <t>Agriculture and Agri-Food Canada | Agriculture et Agroalimentaire Canada</t>
        </is>
      </c>
      <c r="Z2292" t="n">
        <v>1</v>
      </c>
      <c r="AA2292" t="n">
        <v>40.68</v>
      </c>
      <c r="AB2292">
        <f>ROUND(U2292-AA2292,2)</f>
        <v/>
      </c>
      <c r="AC2292" t="b">
        <v>0</v>
      </c>
      <c r="AD2292">
        <f>IF(U2292="","MISSING_TOTAL",IF(ABS(AB2292)&lt;=0.01,"OK","CHECK"))</f>
        <v/>
      </c>
      <c r="AE2292">
        <f>IF(U2292="","MISSING",IF(AND(AA2292&gt;0,U2292/AA2292&gt;50),"POSSIBLE_SCALE_ERROR","OK"))</f>
        <v/>
      </c>
    </row>
    <row r="2293">
      <c r="A2293" t="inlineStr">
        <is>
          <t>T-2025-P03-002</t>
        </is>
      </c>
      <c r="B2293" t="inlineStr">
        <is>
          <t>MPSES</t>
        </is>
      </c>
      <c r="C2293" t="inlineStr">
        <is>
          <t>Chief of Staff</t>
        </is>
      </c>
      <c r="D2293" t="inlineStr">
        <is>
          <t>Chef de cabinet</t>
        </is>
      </c>
      <c r="E2293" t="inlineStr">
        <is>
          <t>Matthew Mann</t>
        </is>
      </c>
      <c r="F2293" t="inlineStr">
        <is>
          <t>To support the Minister at a Ministerial Mission</t>
        </is>
      </c>
      <c r="G2293" t="inlineStr">
        <is>
          <t>Soutenir le ministre lors d'une mission ministérielle</t>
        </is>
      </c>
      <c r="H2293" s="1" t="n">
        <v>45448</v>
      </c>
      <c r="I2293" s="1" t="n">
        <v>45452</v>
      </c>
      <c r="J2293" t="inlineStr">
        <is>
          <t>Des Moines (Iowa) United States
Minneapolis (Minnesota) United States</t>
        </is>
      </c>
      <c r="K2293" t="inlineStr">
        <is>
          <t>Des Moines (Iowa) États-Unis
Minneapolis (Minnesota) États-Unis</t>
        </is>
      </c>
      <c r="P2293" t="n">
        <v>1325.95</v>
      </c>
      <c r="Q2293" t="n">
        <v>0</v>
      </c>
      <c r="R2293" t="n">
        <v>766.36</v>
      </c>
      <c r="S2293" t="n">
        <v>392.52</v>
      </c>
      <c r="T2293" t="n">
        <v>0</v>
      </c>
      <c r="U2293" t="n">
        <v>2484.83</v>
      </c>
      <c r="X2293" t="inlineStr">
        <is>
          <t>aafc-aac</t>
        </is>
      </c>
      <c r="Y2293" t="inlineStr">
        <is>
          <t>Agriculture and Agri-Food Canada | Agriculture et Agroalimentaire Canada</t>
        </is>
      </c>
      <c r="Z2293" t="n">
        <v>5</v>
      </c>
      <c r="AA2293" t="n">
        <v>2484.83</v>
      </c>
      <c r="AB2293">
        <f>ROUND(U2293-AA2293,2)</f>
        <v/>
      </c>
      <c r="AC2293" t="b">
        <v>0</v>
      </c>
      <c r="AD2293">
        <f>IF(U2293="","MISSING_TOTAL",IF(ABS(AB2293)&lt;=0.01,"OK","CHECK"))</f>
        <v/>
      </c>
      <c r="AE2293">
        <f>IF(U2293="","MISSING",IF(AND(AA2293&gt;0,U2293/AA2293&gt;50),"POSSIBLE_SCALE_ERROR","OK"))</f>
        <v/>
      </c>
    </row>
    <row r="2294">
      <c r="A2294" t="inlineStr">
        <is>
          <t>T-2025-P03-003</t>
        </is>
      </c>
      <c r="B2294" t="inlineStr">
        <is>
          <t>MPSES</t>
        </is>
      </c>
      <c r="C2294" t="inlineStr">
        <is>
          <t>Chief of Staff</t>
        </is>
      </c>
      <c r="D2294" t="inlineStr">
        <is>
          <t>Chef de cabinet</t>
        </is>
      </c>
      <c r="E2294" t="inlineStr">
        <is>
          <t>Matthew Mann</t>
        </is>
      </c>
      <c r="F2294" t="inlineStr">
        <is>
          <t>To support the Minister to attend meetings and announcements</t>
        </is>
      </c>
      <c r="G2294" t="inlineStr">
        <is>
          <t>Soutenir le ministre à participer aux réunions et aux annonces</t>
        </is>
      </c>
      <c r="H2294" s="1" t="n">
        <v>45456</v>
      </c>
      <c r="I2294" s="1" t="n">
        <v>45459</v>
      </c>
      <c r="J2294" t="inlineStr">
        <is>
          <t>Charlottetown (Prince Edward Island) Canada</t>
        </is>
      </c>
      <c r="K2294" t="inlineStr">
        <is>
          <t>Charlottetown (Île-du-Prince-Édouard) Canada</t>
        </is>
      </c>
      <c r="P2294" t="n">
        <v>1489.14</v>
      </c>
      <c r="Q2294" t="n">
        <v>744.04</v>
      </c>
      <c r="R2294" t="n">
        <v>916.86</v>
      </c>
      <c r="S2294" t="n">
        <v>224.2</v>
      </c>
      <c r="T2294" t="n">
        <v>0</v>
      </c>
      <c r="U2294" t="n">
        <v>3374.24</v>
      </c>
      <c r="X2294" t="inlineStr">
        <is>
          <t>aafc-aac</t>
        </is>
      </c>
      <c r="Y2294" t="inlineStr">
        <is>
          <t>Agriculture and Agri-Food Canada | Agriculture et Agroalimentaire Canada</t>
        </is>
      </c>
      <c r="Z2294" t="n">
        <v>4</v>
      </c>
      <c r="AA2294" t="n">
        <v>3374.24</v>
      </c>
      <c r="AB2294">
        <f>ROUND(U2294-AA2294,2)</f>
        <v/>
      </c>
      <c r="AC2294" t="b">
        <v>0</v>
      </c>
      <c r="AD2294">
        <f>IF(U2294="","MISSING_TOTAL",IF(ABS(AB2294)&lt;=0.01,"OK","CHECK"))</f>
        <v/>
      </c>
      <c r="AE2294">
        <f>IF(U2294="","MISSING",IF(AND(AA2294&gt;0,U2294/AA2294&gt;50),"POSSIBLE_SCALE_ERROR","OK"))</f>
        <v/>
      </c>
    </row>
    <row r="2295">
      <c r="A2295" t="inlineStr">
        <is>
          <t>T-2025-P03-004</t>
        </is>
      </c>
      <c r="B2295" t="inlineStr">
        <is>
          <t>MPSES</t>
        </is>
      </c>
      <c r="C2295" t="inlineStr">
        <is>
          <t>Senior Special Assistant</t>
        </is>
      </c>
      <c r="D2295" t="inlineStr">
        <is>
          <t>Adjoint spécial principal</t>
        </is>
      </c>
      <c r="E2295" t="inlineStr">
        <is>
          <t>Michael Ferguson</t>
        </is>
      </c>
      <c r="F2295" t="inlineStr">
        <is>
          <t>To support the Minister to attend meetings and announcements</t>
        </is>
      </c>
      <c r="G2295" t="inlineStr">
        <is>
          <t>Soutenir le ministre à participer aux réunions et aux annonces</t>
        </is>
      </c>
      <c r="H2295" s="1" t="n">
        <v>45426</v>
      </c>
      <c r="I2295" s="1" t="n">
        <v>45432</v>
      </c>
      <c r="J2295" t="inlineStr">
        <is>
          <t>Halifax (Nova Scotia) Canada
Charlottetown (Prince Edward Island) Canada</t>
        </is>
      </c>
      <c r="K2295" t="inlineStr">
        <is>
          <t>Halifax (Nouvelle-Écosse) Canada
Charlottetown (Île-du-Prince-Édouard) Canada</t>
        </is>
      </c>
      <c r="P2295" t="n">
        <v>1154.77</v>
      </c>
      <c r="Q2295" t="n">
        <v>636.83</v>
      </c>
      <c r="R2295" t="n">
        <v>688.5700000000001</v>
      </c>
      <c r="S2295" t="n">
        <v>285.75</v>
      </c>
      <c r="T2295" t="n">
        <v>0</v>
      </c>
      <c r="U2295" t="n">
        <v>2765.92</v>
      </c>
      <c r="X2295" t="inlineStr">
        <is>
          <t>aafc-aac</t>
        </is>
      </c>
      <c r="Y2295" t="inlineStr">
        <is>
          <t>Agriculture and Agri-Food Canada | Agriculture et Agroalimentaire Canada</t>
        </is>
      </c>
      <c r="Z2295" t="n">
        <v>7</v>
      </c>
      <c r="AA2295" t="n">
        <v>2765.92</v>
      </c>
      <c r="AB2295">
        <f>ROUND(U2295-AA2295,2)</f>
        <v/>
      </c>
      <c r="AC2295" t="b">
        <v>0</v>
      </c>
      <c r="AD2295">
        <f>IF(U2295="","MISSING_TOTAL",IF(ABS(AB2295)&lt;=0.01,"OK","CHECK"))</f>
        <v/>
      </c>
      <c r="AE2295">
        <f>IF(U2295="","MISSING",IF(AND(AA2295&gt;0,U2295/AA2295&gt;50),"POSSIBLE_SCALE_ERROR","OK"))</f>
        <v/>
      </c>
    </row>
    <row r="2296">
      <c r="A2296" t="inlineStr">
        <is>
          <t>T-2025-P03-005</t>
        </is>
      </c>
      <c r="B2296" t="inlineStr">
        <is>
          <t>MPSES</t>
        </is>
      </c>
      <c r="C2296" t="inlineStr">
        <is>
          <t>Director of Operations</t>
        </is>
      </c>
      <c r="D2296" t="inlineStr">
        <is>
          <t>Directrice des opérations</t>
        </is>
      </c>
      <c r="E2296" t="inlineStr">
        <is>
          <t>Maria Morley</t>
        </is>
      </c>
      <c r="F2296" t="inlineStr">
        <is>
          <t>To support the Minister at a Ministerial Mission</t>
        </is>
      </c>
      <c r="G2296" t="inlineStr">
        <is>
          <t>Soutenir le ministre lors d'une mission ministérielle</t>
        </is>
      </c>
      <c r="H2296" s="1" t="n">
        <v>45448</v>
      </c>
      <c r="I2296" s="1" t="n">
        <v>45452</v>
      </c>
      <c r="J2296" t="inlineStr">
        <is>
          <t>Des Moines (Iowa) United States
Minneapolis (Minnesota) United States</t>
        </is>
      </c>
      <c r="K2296" t="inlineStr">
        <is>
          <t>Des Moines (Iowa) États-Unis
Minneapolis (Minnesota) États-Unis</t>
        </is>
      </c>
      <c r="P2296" t="n">
        <v>1325.95</v>
      </c>
      <c r="Q2296" t="n">
        <v>48</v>
      </c>
      <c r="R2296" t="n">
        <v>767.83</v>
      </c>
      <c r="S2296" t="n">
        <v>395.49</v>
      </c>
      <c r="T2296" t="n">
        <v>0</v>
      </c>
      <c r="U2296" t="n">
        <v>2537.27</v>
      </c>
      <c r="X2296" t="inlineStr">
        <is>
          <t>aafc-aac</t>
        </is>
      </c>
      <c r="Y2296" t="inlineStr">
        <is>
          <t>Agriculture and Agri-Food Canada | Agriculture et Agroalimentaire Canada</t>
        </is>
      </c>
      <c r="Z2296" t="n">
        <v>5</v>
      </c>
      <c r="AA2296" t="n">
        <v>2537.27</v>
      </c>
      <c r="AB2296">
        <f>ROUND(U2296-AA2296,2)</f>
        <v/>
      </c>
      <c r="AC2296" t="b">
        <v>0</v>
      </c>
      <c r="AD2296">
        <f>IF(U2296="","MISSING_TOTAL",IF(ABS(AB2296)&lt;=0.01,"OK","CHECK"))</f>
        <v/>
      </c>
      <c r="AE2296">
        <f>IF(U2296="","MISSING",IF(AND(AA2296&gt;0,U2296/AA2296&gt;50),"POSSIBLE_SCALE_ERROR","OK"))</f>
        <v/>
      </c>
    </row>
    <row r="2297">
      <c r="A2297" t="inlineStr">
        <is>
          <t>T-2025-P03-006</t>
        </is>
      </c>
      <c r="B2297" t="inlineStr">
        <is>
          <t>MPSES</t>
        </is>
      </c>
      <c r="C2297" t="inlineStr">
        <is>
          <t>Director of Operations</t>
        </is>
      </c>
      <c r="D2297" t="inlineStr">
        <is>
          <t>Directrice des opérations</t>
        </is>
      </c>
      <c r="E2297" t="inlineStr">
        <is>
          <t>Maria Morley</t>
        </is>
      </c>
      <c r="F2297" t="inlineStr">
        <is>
          <t>To support the Minister to attend meetings and announcements</t>
        </is>
      </c>
      <c r="G2297" t="inlineStr">
        <is>
          <t>Soutenir le ministre à participer aux réunions et aux annonces</t>
        </is>
      </c>
      <c r="H2297" s="1" t="n">
        <v>45456</v>
      </c>
      <c r="I2297" s="1" t="n">
        <v>45458</v>
      </c>
      <c r="J2297" t="inlineStr">
        <is>
          <t>Charlottetown (Prince Edward Island) Canada</t>
        </is>
      </c>
      <c r="K2297" t="inlineStr">
        <is>
          <t>Charlottetown (Île-du-Prince-Édouard) Canada</t>
        </is>
      </c>
      <c r="P2297" t="n">
        <v>1736.09</v>
      </c>
      <c r="Q2297" t="n">
        <v>94.55</v>
      </c>
      <c r="R2297" t="n">
        <v>587.64</v>
      </c>
      <c r="S2297" t="n">
        <v>235.95</v>
      </c>
      <c r="T2297" t="n">
        <v>0</v>
      </c>
      <c r="U2297" t="n">
        <v>2654.23</v>
      </c>
      <c r="X2297" t="inlineStr">
        <is>
          <t>aafc-aac</t>
        </is>
      </c>
      <c r="Y2297" t="inlineStr">
        <is>
          <t>Agriculture and Agri-Food Canada | Agriculture et Agroalimentaire Canada</t>
        </is>
      </c>
      <c r="Z2297" t="n">
        <v>3</v>
      </c>
      <c r="AA2297" t="n">
        <v>2654.22999999999</v>
      </c>
      <c r="AB2297">
        <f>ROUND(U2297-AA2297,2)</f>
        <v/>
      </c>
      <c r="AC2297" t="b">
        <v>0</v>
      </c>
      <c r="AD2297">
        <f>IF(U2297="","MISSING_TOTAL",IF(ABS(AB2297)&lt;=0.01,"OK","CHECK"))</f>
        <v/>
      </c>
      <c r="AE2297">
        <f>IF(U2297="","MISSING",IF(AND(AA2297&gt;0,U2297/AA2297&gt;50),"POSSIBLE_SCALE_ERROR","OK"))</f>
        <v/>
      </c>
    </row>
    <row r="2298">
      <c r="A2298" t="inlineStr">
        <is>
          <t>T-2025-P03-007</t>
        </is>
      </c>
      <c r="B2298" t="inlineStr">
        <is>
          <t>SLE</t>
        </is>
      </c>
      <c r="C2298" t="inlineStr">
        <is>
          <t>Corporate Secretary</t>
        </is>
      </c>
      <c r="D2298" t="inlineStr">
        <is>
          <t>Secrétaire générale</t>
        </is>
      </c>
      <c r="E2298" t="inlineStr">
        <is>
          <t>Tamara Abel</t>
        </is>
      </c>
      <c r="F2298" t="inlineStr">
        <is>
          <t>Operational activities</t>
        </is>
      </c>
      <c r="G2298" t="inlineStr">
        <is>
          <t>Activités opérationnelles</t>
        </is>
      </c>
      <c r="H2298" s="1" t="n">
        <v>45445</v>
      </c>
      <c r="I2298" s="1" t="n">
        <v>45447</v>
      </c>
      <c r="J2298" t="inlineStr">
        <is>
          <t>Ottawa (Ontario) Canada</t>
        </is>
      </c>
      <c r="K2298" t="inlineStr">
        <is>
          <t>Ottawa (Ontario) Canada</t>
        </is>
      </c>
      <c r="P2298" t="n">
        <v>897.11</v>
      </c>
      <c r="Q2298" t="n">
        <v>225.29</v>
      </c>
      <c r="R2298" t="n">
        <v>676.3099999999999</v>
      </c>
      <c r="S2298" t="n">
        <v>380.15</v>
      </c>
      <c r="T2298" t="n">
        <v>0</v>
      </c>
      <c r="U2298" t="n">
        <v>2178.86</v>
      </c>
      <c r="X2298" t="inlineStr">
        <is>
          <t>aafc-aac</t>
        </is>
      </c>
      <c r="Y2298" t="inlineStr">
        <is>
          <t>Agriculture and Agri-Food Canada | Agriculture et Agroalimentaire Canada</t>
        </is>
      </c>
      <c r="Z2298" t="n">
        <v>3</v>
      </c>
      <c r="AA2298" t="n">
        <v>2178.86</v>
      </c>
      <c r="AB2298">
        <f>ROUND(U2298-AA2298,2)</f>
        <v/>
      </c>
      <c r="AC2298" t="b">
        <v>0</v>
      </c>
      <c r="AD2298">
        <f>IF(U2298="","MISSING_TOTAL",IF(ABS(AB2298)&lt;=0.01,"OK","CHECK"))</f>
        <v/>
      </c>
      <c r="AE2298">
        <f>IF(U2298="","MISSING",IF(AND(AA2298&gt;0,U2298/AA2298&gt;50),"POSSIBLE_SCALE_ERROR","OK"))</f>
        <v/>
      </c>
    </row>
    <row r="2299">
      <c r="A2299" t="inlineStr">
        <is>
          <t>T-2025-P03-008</t>
        </is>
      </c>
      <c r="B2299" t="inlineStr">
        <is>
          <t>SLE</t>
        </is>
      </c>
      <c r="C2299" t="inlineStr">
        <is>
          <t>Corporate Secretary</t>
        </is>
      </c>
      <c r="D2299" t="inlineStr">
        <is>
          <t>Secrétaire générale</t>
        </is>
      </c>
      <c r="E2299" t="inlineStr">
        <is>
          <t>Tamara Abel</t>
        </is>
      </c>
      <c r="F2299" t="inlineStr">
        <is>
          <t>Operational activities</t>
        </is>
      </c>
      <c r="G2299" t="inlineStr">
        <is>
          <t>Activités opérationnelles</t>
        </is>
      </c>
      <c r="H2299" s="1" t="n">
        <v>45460</v>
      </c>
      <c r="I2299" s="1" t="n">
        <v>45463</v>
      </c>
      <c r="J2299" t="inlineStr">
        <is>
          <t>Ottawa (Ontario) Canada</t>
        </is>
      </c>
      <c r="K2299" t="inlineStr">
        <is>
          <t>Ottawa (Ontario) Canada</t>
        </is>
      </c>
      <c r="P2299" t="n">
        <v>1589.3</v>
      </c>
      <c r="Q2299" t="n">
        <v>382.59</v>
      </c>
      <c r="R2299" t="n">
        <v>943.26</v>
      </c>
      <c r="S2299" t="n">
        <v>466.9</v>
      </c>
      <c r="T2299" t="n">
        <v>0</v>
      </c>
      <c r="U2299" t="n">
        <v>3382.05</v>
      </c>
      <c r="X2299" t="inlineStr">
        <is>
          <t>aafc-aac</t>
        </is>
      </c>
      <c r="Y2299" t="inlineStr">
        <is>
          <t>Agriculture and Agri-Food Canada | Agriculture et Agroalimentaire Canada</t>
        </is>
      </c>
      <c r="Z2299" t="n">
        <v>4</v>
      </c>
      <c r="AA2299" t="n">
        <v>3382.04999999999</v>
      </c>
      <c r="AB2299">
        <f>ROUND(U2299-AA2299,2)</f>
        <v/>
      </c>
      <c r="AC2299" t="b">
        <v>0</v>
      </c>
      <c r="AD2299">
        <f>IF(U2299="","MISSING_TOTAL",IF(ABS(AB2299)&lt;=0.01,"OK","CHECK"))</f>
        <v/>
      </c>
      <c r="AE2299">
        <f>IF(U2299="","MISSING",IF(AND(AA2299&gt;0,U2299/AA2299&gt;50),"POSSIBLE_SCALE_ERROR","OK"))</f>
        <v/>
      </c>
    </row>
    <row r="2300">
      <c r="A2300" t="inlineStr">
        <is>
          <t>T-2025-P03-009</t>
        </is>
      </c>
      <c r="B2300" t="inlineStr">
        <is>
          <t>SLE</t>
        </is>
      </c>
      <c r="C2300" t="inlineStr">
        <is>
          <t>Workplace Well-Being Ombudsperson</t>
        </is>
      </c>
      <c r="D2300" t="inlineStr">
        <is>
          <t>Ombudsman du mieux-être en milieu de travail</t>
        </is>
      </c>
      <c r="E2300" t="inlineStr">
        <is>
          <t>Elianne Hall</t>
        </is>
      </c>
      <c r="F2300" t="inlineStr">
        <is>
          <t>To attend an Outreach</t>
        </is>
      </c>
      <c r="G2300" t="inlineStr">
        <is>
          <t>Participer à une action de sensibilisation</t>
        </is>
      </c>
      <c r="H2300" s="1" t="n">
        <v>45439</v>
      </c>
      <c r="I2300" s="1" t="n">
        <v>45443</v>
      </c>
      <c r="J2300" t="inlineStr">
        <is>
          <t>St-Jean-sur-Richelieu (Quebec) Canada
Saint-Hyacinthe (Quebec) Canada
Sherbrooke (Quebec) Canada</t>
        </is>
      </c>
      <c r="K2300" t="inlineStr">
        <is>
          <t>St-Jean-sur-Richelieu (Québec) Canada
Saint-Hyacinthe (Québec) Canada
Sherbrooke (Québec) Canada</t>
        </is>
      </c>
      <c r="P2300" t="n">
        <v>0</v>
      </c>
      <c r="Q2300" t="n">
        <v>458.04</v>
      </c>
      <c r="R2300" t="n">
        <v>940.0700000000001</v>
      </c>
      <c r="S2300" t="n">
        <v>509.7</v>
      </c>
      <c r="T2300" t="n">
        <v>0</v>
      </c>
      <c r="U2300" t="n">
        <v>1907.81</v>
      </c>
      <c r="X2300" t="inlineStr">
        <is>
          <t>aafc-aac</t>
        </is>
      </c>
      <c r="Y2300" t="inlineStr">
        <is>
          <t>Agriculture and Agri-Food Canada | Agriculture et Agroalimentaire Canada</t>
        </is>
      </c>
      <c r="Z2300" t="n">
        <v>5</v>
      </c>
      <c r="AA2300" t="n">
        <v>1907.81</v>
      </c>
      <c r="AB2300">
        <f>ROUND(U2300-AA2300,2)</f>
        <v/>
      </c>
      <c r="AC2300" t="b">
        <v>0</v>
      </c>
      <c r="AD2300">
        <f>IF(U2300="","MISSING_TOTAL",IF(ABS(AB2300)&lt;=0.01,"OK","CHECK"))</f>
        <v/>
      </c>
      <c r="AE2300">
        <f>IF(U2300="","MISSING",IF(AND(AA2300&gt;0,U2300/AA2300&gt;50),"POSSIBLE_SCALE_ERROR","OK"))</f>
        <v/>
      </c>
    </row>
    <row r="2301">
      <c r="A2301" t="inlineStr">
        <is>
          <t>T-2025-P03-010</t>
        </is>
      </c>
      <c r="B2301" t="inlineStr">
        <is>
          <t>SLE</t>
        </is>
      </c>
      <c r="C2301" t="inlineStr">
        <is>
          <t>Assistant Deputy Minister, Science and Technology Branch</t>
        </is>
      </c>
      <c r="D2301" t="inlineStr">
        <is>
          <t>Sous-ministre adjoint, Direction générale des sciences et de la technologie</t>
        </is>
      </c>
      <c r="E2301" t="inlineStr">
        <is>
          <t>Gilles Saindon</t>
        </is>
      </c>
      <c r="F2301" t="inlineStr">
        <is>
          <t>To attend the Annual Tetrapartite Meeting of Agriculture Chief Scientists and Heads of Agriculture Research from Canada, France, United Kingdom and United State</t>
        </is>
      </c>
      <c r="G2301" t="inlineStr">
        <is>
          <t>Participer à la réunion annuelle Tétrapartite des scientifiques en chef de l'agriculture et des responsables de la recherche agricole du Canada, de la France, du Royaume-Uni et des États-Unis.</t>
        </is>
      </c>
      <c r="H2301" s="1" t="n">
        <v>45444</v>
      </c>
      <c r="I2301" s="1" t="n">
        <v>45449</v>
      </c>
      <c r="J2301" t="inlineStr">
        <is>
          <t>New Orleans (Louisiana) United States</t>
        </is>
      </c>
      <c r="K2301" t="inlineStr">
        <is>
          <t>La Nouvelle-Orléans (Louisiane) États-Unis</t>
        </is>
      </c>
      <c r="P2301" t="n">
        <v>2023.71</v>
      </c>
      <c r="Q2301" t="n">
        <v>175</v>
      </c>
      <c r="R2301" t="n">
        <v>1157.56</v>
      </c>
      <c r="S2301" t="n">
        <v>628.98</v>
      </c>
      <c r="T2301" t="n">
        <v>0</v>
      </c>
      <c r="U2301" t="n">
        <v>3985.25</v>
      </c>
      <c r="X2301" t="inlineStr">
        <is>
          <t>aafc-aac</t>
        </is>
      </c>
      <c r="Y2301" t="inlineStr">
        <is>
          <t>Agriculture and Agri-Food Canada | Agriculture et Agroalimentaire Canada</t>
        </is>
      </c>
      <c r="Z2301" t="n">
        <v>6</v>
      </c>
      <c r="AA2301" t="n">
        <v>3985.25</v>
      </c>
      <c r="AB2301">
        <f>ROUND(U2301-AA2301,2)</f>
        <v/>
      </c>
      <c r="AC2301" t="b">
        <v>0</v>
      </c>
      <c r="AD2301">
        <f>IF(U2301="","MISSING_TOTAL",IF(ABS(AB2301)&lt;=0.01,"OK","CHECK"))</f>
        <v/>
      </c>
      <c r="AE2301">
        <f>IF(U2301="","MISSING",IF(AND(AA2301&gt;0,U2301/AA2301&gt;50),"POSSIBLE_SCALE_ERROR","OK"))</f>
        <v/>
      </c>
    </row>
    <row r="2302">
      <c r="A2302" t="inlineStr">
        <is>
          <t>T-2025-P03-011</t>
        </is>
      </c>
      <c r="B2302" t="inlineStr">
        <is>
          <t>SLE</t>
        </is>
      </c>
      <c r="C2302" t="inlineStr">
        <is>
          <t>Assistant Deputy Minister, Corporate Management Branch</t>
        </is>
      </c>
      <c r="D2302" t="inlineStr">
        <is>
          <t>Sous-ministre adjointe, Direction générale de la gestion intégrée</t>
        </is>
      </c>
      <c r="E2302" t="inlineStr">
        <is>
          <t>Marie-Claude Guérard</t>
        </is>
      </c>
      <c r="F2302" t="inlineStr">
        <is>
          <t>To attend outreach in Saskatchewan: visit Research Centres in Saskatoon, Swift Current and Regina</t>
        </is>
      </c>
      <c r="G2302" t="inlineStr">
        <is>
          <t>Participer à des visites au Saskatchewan:  Visite aux centres de recherches à Saskatoon, Swift Current et Regina.</t>
        </is>
      </c>
      <c r="H2302" s="1" t="n">
        <v>45438</v>
      </c>
      <c r="I2302" s="1" t="n">
        <v>45443</v>
      </c>
      <c r="J2302" t="inlineStr">
        <is>
          <t>Saskatoon (Saskatchewan) Canada 
Swift Current (Saskatchewan) Canada
Regina (Saskatchewan) Canada</t>
        </is>
      </c>
      <c r="K2302" t="inlineStr">
        <is>
          <t>Saskatoon (Saskatchewan) Canada 
Swift Current (Saskatchewan) Canada
Regina (Saskatchewan) Canada</t>
        </is>
      </c>
      <c r="P2302" t="n">
        <v>850.76</v>
      </c>
      <c r="Q2302" t="n">
        <v>109.89</v>
      </c>
      <c r="R2302" t="n">
        <v>1088.37</v>
      </c>
      <c r="S2302" t="n">
        <v>700.5</v>
      </c>
      <c r="T2302" t="n">
        <v>0</v>
      </c>
      <c r="U2302" t="n">
        <v>2749.52</v>
      </c>
      <c r="X2302" t="inlineStr">
        <is>
          <t>aafc-aac</t>
        </is>
      </c>
      <c r="Y2302" t="inlineStr">
        <is>
          <t>Agriculture and Agri-Food Canada | Agriculture et Agroalimentaire Canada</t>
        </is>
      </c>
      <c r="Z2302" t="n">
        <v>6</v>
      </c>
      <c r="AA2302" t="n">
        <v>2749.52</v>
      </c>
      <c r="AB2302">
        <f>ROUND(U2302-AA2302,2)</f>
        <v/>
      </c>
      <c r="AC2302" t="b">
        <v>0</v>
      </c>
      <c r="AD2302">
        <f>IF(U2302="","MISSING_TOTAL",IF(ABS(AB2302)&lt;=0.01,"OK","CHECK"))</f>
        <v/>
      </c>
      <c r="AE2302">
        <f>IF(U2302="","MISSING",IF(AND(AA2302&gt;0,U2302/AA2302&gt;50),"POSSIBLE_SCALE_ERROR","OK"))</f>
        <v/>
      </c>
    </row>
    <row r="2303">
      <c r="A2303" t="inlineStr">
        <is>
          <t>T-2025-P03-012</t>
        </is>
      </c>
      <c r="B2303" t="inlineStr">
        <is>
          <t>SLE</t>
        </is>
      </c>
      <c r="C2303" t="inlineStr">
        <is>
          <t>Assistant Deputy Minister, Corporate Management Branch</t>
        </is>
      </c>
      <c r="D2303" t="inlineStr">
        <is>
          <t>Sous-ministre adjointe, Direction générale de la gestion intégrée</t>
        </is>
      </c>
      <c r="E2303" t="inlineStr">
        <is>
          <t>Marie-Claude Guérard</t>
        </is>
      </c>
      <c r="F2303" t="inlineStr">
        <is>
          <t>Operational activities</t>
        </is>
      </c>
      <c r="G2303" t="inlineStr">
        <is>
          <t>Activités operationnelles</t>
        </is>
      </c>
      <c r="H2303" s="1" t="n">
        <v>45446</v>
      </c>
      <c r="I2303" s="1" t="n">
        <v>45447</v>
      </c>
      <c r="J2303" t="inlineStr">
        <is>
          <t>Ottawa (Ontario) Canada</t>
        </is>
      </c>
      <c r="K2303" t="inlineStr">
        <is>
          <t>Ottawa (Ontario) Canada</t>
        </is>
      </c>
      <c r="P2303" t="n">
        <v>0</v>
      </c>
      <c r="Q2303" t="n">
        <v>612.71</v>
      </c>
      <c r="R2303" t="n">
        <v>325.39</v>
      </c>
      <c r="S2303" t="n">
        <v>171.75</v>
      </c>
      <c r="T2303" t="n">
        <v>0</v>
      </c>
      <c r="U2303" t="n">
        <v>1109.85</v>
      </c>
      <c r="X2303" t="inlineStr">
        <is>
          <t>aafc-aac</t>
        </is>
      </c>
      <c r="Y2303" t="inlineStr">
        <is>
          <t>Agriculture and Agri-Food Canada | Agriculture et Agroalimentaire Canada</t>
        </is>
      </c>
      <c r="Z2303" t="n">
        <v>2</v>
      </c>
      <c r="AA2303" t="n">
        <v>1109.85</v>
      </c>
      <c r="AB2303">
        <f>ROUND(U2303-AA2303,2)</f>
        <v/>
      </c>
      <c r="AC2303" t="b">
        <v>0</v>
      </c>
      <c r="AD2303">
        <f>IF(U2303="","MISSING_TOTAL",IF(ABS(AB2303)&lt;=0.01,"OK","CHECK"))</f>
        <v/>
      </c>
      <c r="AE2303">
        <f>IF(U2303="","MISSING",IF(AND(AA2303&gt;0,U2303/AA2303&gt;50),"POSSIBLE_SCALE_ERROR","OK"))</f>
        <v/>
      </c>
    </row>
    <row r="2304">
      <c r="A2304" t="inlineStr">
        <is>
          <t>T-2025-P03-013</t>
        </is>
      </c>
      <c r="B2304" t="inlineStr">
        <is>
          <t>SLE</t>
        </is>
      </c>
      <c r="C2304" t="inlineStr">
        <is>
          <t>Assistant Deputy Minister, Corporate Management Branch</t>
        </is>
      </c>
      <c r="D2304" t="inlineStr">
        <is>
          <t>Sous-ministre adjointe, Direction générale de la gestion intégrée</t>
        </is>
      </c>
      <c r="E2304" t="inlineStr">
        <is>
          <t>Marie-Claude Guérard</t>
        </is>
      </c>
      <c r="F2304" t="inlineStr">
        <is>
          <t>Operational activities</t>
        </is>
      </c>
      <c r="G2304" t="inlineStr">
        <is>
          <t>Activités operationnelles</t>
        </is>
      </c>
      <c r="H2304" s="1" t="n">
        <v>45450</v>
      </c>
      <c r="I2304" s="1" t="n">
        <v>45450</v>
      </c>
      <c r="J2304" t="inlineStr">
        <is>
          <t>Ottawa (Ontario) Canada</t>
        </is>
      </c>
      <c r="K2304" t="inlineStr">
        <is>
          <t>Ottawa (Ontario) Canada</t>
        </is>
      </c>
      <c r="P2304" t="n">
        <v>0</v>
      </c>
      <c r="Q2304" t="n">
        <v>478.95</v>
      </c>
      <c r="R2304" t="n">
        <v>0</v>
      </c>
      <c r="S2304" t="n">
        <v>111.95</v>
      </c>
      <c r="T2304" t="n">
        <v>0</v>
      </c>
      <c r="U2304" t="n">
        <v>590.9</v>
      </c>
      <c r="X2304" t="inlineStr">
        <is>
          <t>aafc-aac</t>
        </is>
      </c>
      <c r="Y2304" t="inlineStr">
        <is>
          <t>Agriculture and Agri-Food Canada | Agriculture et Agroalimentaire Canada</t>
        </is>
      </c>
      <c r="Z2304" t="n">
        <v>1</v>
      </c>
      <c r="AA2304" t="n">
        <v>590.9</v>
      </c>
      <c r="AB2304">
        <f>ROUND(U2304-AA2304,2)</f>
        <v/>
      </c>
      <c r="AC2304" t="b">
        <v>0</v>
      </c>
      <c r="AD2304">
        <f>IF(U2304="","MISSING_TOTAL",IF(ABS(AB2304)&lt;=0.01,"OK","CHECK"))</f>
        <v/>
      </c>
      <c r="AE2304">
        <f>IF(U2304="","MISSING",IF(AND(AA2304&gt;0,U2304/AA2304&gt;50),"POSSIBLE_SCALE_ERROR","OK"))</f>
        <v/>
      </c>
    </row>
    <row r="2305">
      <c r="A2305" t="inlineStr">
        <is>
          <t>T-2025-P03-014</t>
        </is>
      </c>
      <c r="B2305" t="inlineStr">
        <is>
          <t>SLE</t>
        </is>
      </c>
      <c r="C2305" t="inlineStr">
        <is>
          <t>Assistant Deputy Minister, Corporate Management Branch</t>
        </is>
      </c>
      <c r="D2305" t="inlineStr">
        <is>
          <t>Sous-ministre adjointe, Direction générale de la gestion intégrée</t>
        </is>
      </c>
      <c r="E2305" t="inlineStr">
        <is>
          <t>Marie-Claude Guérard</t>
        </is>
      </c>
      <c r="F2305" t="inlineStr">
        <is>
          <t>Operational activities</t>
        </is>
      </c>
      <c r="G2305" t="inlineStr">
        <is>
          <t>Activités operationnelles</t>
        </is>
      </c>
      <c r="H2305" s="1" t="n">
        <v>45453</v>
      </c>
      <c r="I2305" s="1" t="n">
        <v>45453</v>
      </c>
      <c r="J2305" t="inlineStr">
        <is>
          <t>Ottawa (Ontario) Canada</t>
        </is>
      </c>
      <c r="K2305" t="inlineStr">
        <is>
          <t>Ottawa (Ontario) Canada</t>
        </is>
      </c>
      <c r="P2305" t="n">
        <v>0</v>
      </c>
      <c r="Q2305" t="n">
        <v>286.45</v>
      </c>
      <c r="R2305" t="n">
        <v>0</v>
      </c>
      <c r="S2305" t="n">
        <v>111.95</v>
      </c>
      <c r="T2305" t="n">
        <v>0</v>
      </c>
      <c r="U2305" t="n">
        <v>398.4</v>
      </c>
      <c r="X2305" t="inlineStr">
        <is>
          <t>aafc-aac</t>
        </is>
      </c>
      <c r="Y2305" t="inlineStr">
        <is>
          <t>Agriculture and Agri-Food Canada | Agriculture et Agroalimentaire Canada</t>
        </is>
      </c>
      <c r="Z2305" t="n">
        <v>1</v>
      </c>
      <c r="AA2305" t="n">
        <v>398.4</v>
      </c>
      <c r="AB2305">
        <f>ROUND(U2305-AA2305,2)</f>
        <v/>
      </c>
      <c r="AC2305" t="b">
        <v>0</v>
      </c>
      <c r="AD2305">
        <f>IF(U2305="","MISSING_TOTAL",IF(ABS(AB2305)&lt;=0.01,"OK","CHECK"))</f>
        <v/>
      </c>
      <c r="AE2305">
        <f>IF(U2305="","MISSING",IF(AND(AA2305&gt;0,U2305/AA2305&gt;50),"POSSIBLE_SCALE_ERROR","OK"))</f>
        <v/>
      </c>
    </row>
    <row r="2306">
      <c r="A2306" t="inlineStr">
        <is>
          <t>T-2025-P03-015</t>
        </is>
      </c>
      <c r="B2306" t="inlineStr">
        <is>
          <t>SLE</t>
        </is>
      </c>
      <c r="C2306" t="inlineStr">
        <is>
          <t>Assistant Deputy Minister, Corporate Management Branch</t>
        </is>
      </c>
      <c r="D2306" t="inlineStr">
        <is>
          <t>Sous-ministre adjointe, Direction générale de la gestion intégrée</t>
        </is>
      </c>
      <c r="E2306" t="inlineStr">
        <is>
          <t>Marie-Claude Guérard</t>
        </is>
      </c>
      <c r="F2306" t="inlineStr">
        <is>
          <t>Operational activities</t>
        </is>
      </c>
      <c r="G2306" t="inlineStr">
        <is>
          <t>Activités operationnelles</t>
        </is>
      </c>
      <c r="H2306" s="1" t="n">
        <v>45456</v>
      </c>
      <c r="I2306" s="1" t="n">
        <v>45456</v>
      </c>
      <c r="J2306" t="inlineStr">
        <is>
          <t>Ottawa (Ontario) Canada</t>
        </is>
      </c>
      <c r="K2306" t="inlineStr">
        <is>
          <t>Ottawa (Ontario) Canada</t>
        </is>
      </c>
      <c r="P2306" t="n">
        <v>0</v>
      </c>
      <c r="Q2306" t="n">
        <v>390.39</v>
      </c>
      <c r="R2306" t="n">
        <v>0</v>
      </c>
      <c r="S2306" t="n">
        <v>25.2</v>
      </c>
      <c r="T2306" t="n">
        <v>0</v>
      </c>
      <c r="U2306" t="n">
        <v>415.59</v>
      </c>
      <c r="X2306" t="inlineStr">
        <is>
          <t>aafc-aac</t>
        </is>
      </c>
      <c r="Y2306" t="inlineStr">
        <is>
          <t>Agriculture and Agri-Food Canada | Agriculture et Agroalimentaire Canada</t>
        </is>
      </c>
      <c r="Z2306" t="n">
        <v>1</v>
      </c>
      <c r="AA2306" t="n">
        <v>415.59</v>
      </c>
      <c r="AB2306">
        <f>ROUND(U2306-AA2306,2)</f>
        <v/>
      </c>
      <c r="AC2306" t="b">
        <v>0</v>
      </c>
      <c r="AD2306">
        <f>IF(U2306="","MISSING_TOTAL",IF(ABS(AB2306)&lt;=0.01,"OK","CHECK"))</f>
        <v/>
      </c>
      <c r="AE2306">
        <f>IF(U2306="","MISSING",IF(AND(AA2306&gt;0,U2306/AA2306&gt;50),"POSSIBLE_SCALE_ERROR","OK"))</f>
        <v/>
      </c>
    </row>
    <row r="2307">
      <c r="A2307" t="inlineStr">
        <is>
          <t>T-2025-P03-016</t>
        </is>
      </c>
      <c r="B2307" t="inlineStr">
        <is>
          <t>SLE</t>
        </is>
      </c>
      <c r="C2307" t="inlineStr">
        <is>
          <t>Assistant Deputy Minister, Strategic Policy Branch</t>
        </is>
      </c>
      <c r="D2307" t="inlineStr">
        <is>
          <t>Sous-ministre adjointe, Direction générale des politiques stratégiques</t>
        </is>
      </c>
      <c r="E2307" t="inlineStr">
        <is>
          <t>Shannon Nix</t>
        </is>
      </c>
      <c r="F2307" t="inlineStr">
        <is>
          <t>To attend Executive Leadership Development Program in Washington</t>
        </is>
      </c>
      <c r="G2307" t="inlineStr">
        <is>
          <t>Assister au Programme de développement en leadership pour les cadres supérieurs à Washington</t>
        </is>
      </c>
      <c r="H2307" s="1" t="n">
        <v>45440</v>
      </c>
      <c r="I2307" s="1" t="n">
        <v>45443</v>
      </c>
      <c r="J2307" t="inlineStr">
        <is>
          <t>Washington (District of Columbia) United States</t>
        </is>
      </c>
      <c r="K2307" t="inlineStr">
        <is>
          <t>Washington (District de Columbia) États-Unis</t>
        </is>
      </c>
      <c r="P2307" t="n">
        <v>780.64</v>
      </c>
      <c r="Q2307" t="n">
        <v>54.44</v>
      </c>
      <c r="R2307" t="n">
        <v>1513.57</v>
      </c>
      <c r="S2307" t="n">
        <v>586.71</v>
      </c>
      <c r="T2307" t="n">
        <v>0</v>
      </c>
      <c r="U2307" t="n">
        <v>2935.36</v>
      </c>
      <c r="X2307" t="inlineStr">
        <is>
          <t>aafc-aac</t>
        </is>
      </c>
      <c r="Y2307" t="inlineStr">
        <is>
          <t>Agriculture and Agri-Food Canada | Agriculture et Agroalimentaire Canada</t>
        </is>
      </c>
      <c r="Z2307" t="n">
        <v>4</v>
      </c>
      <c r="AA2307" t="n">
        <v>2935.35999999999</v>
      </c>
      <c r="AB2307">
        <f>ROUND(U2307-AA2307,2)</f>
        <v/>
      </c>
      <c r="AC2307" t="b">
        <v>0</v>
      </c>
      <c r="AD2307">
        <f>IF(U2307="","MISSING_TOTAL",IF(ABS(AB2307)&lt;=0.01,"OK","CHECK"))</f>
        <v/>
      </c>
      <c r="AE2307">
        <f>IF(U2307="","MISSING",IF(AND(AA2307&gt;0,U2307/AA2307&gt;50),"POSSIBLE_SCALE_ERROR","OK"))</f>
        <v/>
      </c>
    </row>
    <row r="2308">
      <c r="A2308" t="inlineStr">
        <is>
          <t>T-2025-P03-017</t>
        </is>
      </c>
      <c r="B2308" t="inlineStr">
        <is>
          <t>SLE</t>
        </is>
      </c>
      <c r="C2308" t="inlineStr">
        <is>
          <t>Assistant Deputy Minister, Programs Branch</t>
        </is>
      </c>
      <c r="D2308" t="inlineStr">
        <is>
          <t>Sous-ministre adjointe, Direction générale des programmes</t>
        </is>
      </c>
      <c r="E2308" t="inlineStr">
        <is>
          <t>Liz Foster</t>
        </is>
      </c>
      <c r="F2308" t="inlineStr">
        <is>
          <t>To attend APEX 2024 Leadership Summit</t>
        </is>
      </c>
      <c r="G2308" t="inlineStr">
        <is>
          <t>Participer au Sommet du Leadership APEX 2024</t>
        </is>
      </c>
      <c r="H2308" s="1" t="n">
        <v>45426</v>
      </c>
      <c r="I2308" s="1" t="n">
        <v>45427</v>
      </c>
      <c r="J2308" t="inlineStr">
        <is>
          <t>Ottawa (Ontario) Canada</t>
        </is>
      </c>
      <c r="K2308" t="inlineStr">
        <is>
          <t>Ottawa (Ontario) Canada</t>
        </is>
      </c>
      <c r="P2308" t="n">
        <v>0</v>
      </c>
      <c r="Q2308" t="n">
        <v>40</v>
      </c>
      <c r="R2308" t="n">
        <v>0</v>
      </c>
      <c r="S2308" t="n">
        <v>0</v>
      </c>
      <c r="T2308" t="n">
        <v>0</v>
      </c>
      <c r="U2308" t="n">
        <v>40</v>
      </c>
      <c r="X2308" t="inlineStr">
        <is>
          <t>aafc-aac</t>
        </is>
      </c>
      <c r="Y2308" t="inlineStr">
        <is>
          <t>Agriculture and Agri-Food Canada | Agriculture et Agroalimentaire Canada</t>
        </is>
      </c>
      <c r="Z2308" t="n">
        <v>2</v>
      </c>
      <c r="AA2308" t="n">
        <v>40</v>
      </c>
      <c r="AB2308">
        <f>ROUND(U2308-AA2308,2)</f>
        <v/>
      </c>
      <c r="AC2308" t="b">
        <v>0</v>
      </c>
      <c r="AD2308">
        <f>IF(U2308="","MISSING_TOTAL",IF(ABS(AB2308)&lt;=0.01,"OK","CHECK"))</f>
        <v/>
      </c>
      <c r="AE2308">
        <f>IF(U2308="","MISSING",IF(AND(AA2308&gt;0,U2308/AA2308&gt;50),"POSSIBLE_SCALE_ERROR","OK"))</f>
        <v/>
      </c>
    </row>
    <row r="2309">
      <c r="A2309" t="inlineStr">
        <is>
          <t>T-2025-P03-018</t>
        </is>
      </c>
      <c r="B2309" t="inlineStr">
        <is>
          <t>SLE</t>
        </is>
      </c>
      <c r="C2309" t="inlineStr">
        <is>
          <t>Assistant Deputy Minister, Programs Branch</t>
        </is>
      </c>
      <c r="D2309" t="inlineStr">
        <is>
          <t>Sous-ministre adjointe, Direction générale des programmes</t>
        </is>
      </c>
      <c r="E2309" t="inlineStr">
        <is>
          <t>Liz Foster</t>
        </is>
      </c>
      <c r="F2309" t="inlineStr">
        <is>
          <t>To attend the Artificial Intelligence Technology, Governance, and Strategy program</t>
        </is>
      </c>
      <c r="G2309" t="inlineStr">
        <is>
          <t>Participer au programme sur la technologie, gouvernance et stratégie sur l'Intelligence artificielle</t>
        </is>
      </c>
      <c r="H2309" s="1" t="n">
        <v>45440</v>
      </c>
      <c r="I2309" s="1" t="n">
        <v>45440</v>
      </c>
      <c r="J2309" t="inlineStr">
        <is>
          <t>Ottawa (Ontario) Canada</t>
        </is>
      </c>
      <c r="K2309" t="inlineStr">
        <is>
          <t>Ottawa (Ontario) Canada</t>
        </is>
      </c>
      <c r="P2309" t="n">
        <v>0</v>
      </c>
      <c r="Q2309" t="n">
        <v>20</v>
      </c>
      <c r="R2309" t="n">
        <v>0</v>
      </c>
      <c r="S2309" t="n">
        <v>0</v>
      </c>
      <c r="T2309" t="n">
        <v>0</v>
      </c>
      <c r="U2309" t="n">
        <v>20</v>
      </c>
      <c r="X2309" t="inlineStr">
        <is>
          <t>aafc-aac</t>
        </is>
      </c>
      <c r="Y2309" t="inlineStr">
        <is>
          <t>Agriculture and Agri-Food Canada | Agriculture et Agroalimentaire Canada</t>
        </is>
      </c>
      <c r="Z2309" t="n">
        <v>1</v>
      </c>
      <c r="AA2309" t="n">
        <v>20</v>
      </c>
      <c r="AB2309">
        <f>ROUND(U2309-AA2309,2)</f>
        <v/>
      </c>
      <c r="AC2309" t="b">
        <v>0</v>
      </c>
      <c r="AD2309">
        <f>IF(U2309="","MISSING_TOTAL",IF(ABS(AB2309)&lt;=0.01,"OK","CHECK"))</f>
        <v/>
      </c>
      <c r="AE2309">
        <f>IF(U2309="","MISSING",IF(AND(AA2309&gt;0,U2309/AA2309&gt;50),"POSSIBLE_SCALE_ERROR","OK"))</f>
        <v/>
      </c>
    </row>
    <row r="2310">
      <c r="A2310" t="inlineStr">
        <is>
          <t>T-2025-P03-019</t>
        </is>
      </c>
      <c r="B2310" t="inlineStr">
        <is>
          <t>SLE</t>
        </is>
      </c>
      <c r="C2310" t="inlineStr">
        <is>
          <t>Assistant Deputy Minister, Market and Industry Services Branch</t>
        </is>
      </c>
      <c r="D2310" t="inlineStr">
        <is>
          <t>Sous-ministre adjoint, Direction générale des services à l'industrie et aux marchés</t>
        </is>
      </c>
      <c r="E2310" t="inlineStr">
        <is>
          <t>Tom Rosser</t>
        </is>
      </c>
      <c r="F2310" t="inlineStr">
        <is>
          <t>To attend a regional outreach</t>
        </is>
      </c>
      <c r="G2310" t="inlineStr">
        <is>
          <t>Participer à des activités de sensibilisation régionales</t>
        </is>
      </c>
      <c r="H2310" s="1" t="n">
        <v>45438</v>
      </c>
      <c r="I2310" s="1" t="n">
        <v>45443</v>
      </c>
      <c r="J2310" t="inlineStr">
        <is>
          <t>Regina (Saskatchewan) Canada
Winnipeg (Manitoba) Canada</t>
        </is>
      </c>
      <c r="K2310" t="inlineStr">
        <is>
          <t>Regina (Saskatchewan) Canada
Winnipeg (Manitoba) Canada</t>
        </is>
      </c>
      <c r="P2310" t="n">
        <v>1724.5</v>
      </c>
      <c r="Q2310" t="n">
        <v>169</v>
      </c>
      <c r="R2310" t="n">
        <v>971.3200000000001</v>
      </c>
      <c r="S2310" t="n">
        <v>663.55</v>
      </c>
      <c r="T2310" t="n">
        <v>0</v>
      </c>
      <c r="U2310" t="n">
        <v>3528.37</v>
      </c>
      <c r="X2310" t="inlineStr">
        <is>
          <t>aafc-aac</t>
        </is>
      </c>
      <c r="Y2310" t="inlineStr">
        <is>
          <t>Agriculture and Agri-Food Canada | Agriculture et Agroalimentaire Canada</t>
        </is>
      </c>
      <c r="Z2310" t="n">
        <v>6</v>
      </c>
      <c r="AA2310" t="n">
        <v>3528.37</v>
      </c>
      <c r="AB2310">
        <f>ROUND(U2310-AA2310,2)</f>
        <v/>
      </c>
      <c r="AC2310" t="b">
        <v>0</v>
      </c>
      <c r="AD2310">
        <f>IF(U2310="","MISSING_TOTAL",IF(ABS(AB2310)&lt;=0.01,"OK","CHECK"))</f>
        <v/>
      </c>
      <c r="AE2310">
        <f>IF(U2310="","MISSING",IF(AND(AA2310&gt;0,U2310/AA2310&gt;50),"POSSIBLE_SCALE_ERROR","OK"))</f>
        <v/>
      </c>
    </row>
    <row r="2311">
      <c r="A2311" t="inlineStr">
        <is>
          <t>T-2025-P03-020</t>
        </is>
      </c>
      <c r="B2311" t="inlineStr">
        <is>
          <t>SLE</t>
        </is>
      </c>
      <c r="C2311" t="inlineStr">
        <is>
          <t>Assistant Deputy Minister, Market and Industry Services Branch</t>
        </is>
      </c>
      <c r="D2311" t="inlineStr">
        <is>
          <t>Sous-ministre adjoint, Direction générale des services à l'industrie et aux marchés</t>
        </is>
      </c>
      <c r="E2311" t="inlineStr">
        <is>
          <t>Tom Rosser</t>
        </is>
      </c>
      <c r="F2311" t="inlineStr">
        <is>
          <t>To participate in the Bioenterprise roundtable</t>
        </is>
      </c>
      <c r="G2311" t="inlineStr">
        <is>
          <t>Participer à la table ronde de Bioentreprise</t>
        </is>
      </c>
      <c r="H2311" s="1" t="n">
        <v>45452</v>
      </c>
      <c r="I2311" s="1" t="n">
        <v>45453</v>
      </c>
      <c r="J2311" t="inlineStr">
        <is>
          <t>L'assomption (Quebec) Canada</t>
        </is>
      </c>
      <c r="K2311" t="inlineStr">
        <is>
          <t>L'Assomption (Québec) Canada</t>
        </is>
      </c>
      <c r="P2311" t="n">
        <v>0</v>
      </c>
      <c r="Q2311" t="n">
        <v>257.07</v>
      </c>
      <c r="R2311" t="n">
        <v>357</v>
      </c>
      <c r="S2311" t="n">
        <v>96.45</v>
      </c>
      <c r="T2311" t="n">
        <v>0</v>
      </c>
      <c r="U2311" t="n">
        <v>710.52</v>
      </c>
      <c r="X2311" t="inlineStr">
        <is>
          <t>aafc-aac</t>
        </is>
      </c>
      <c r="Y2311" t="inlineStr">
        <is>
          <t>Agriculture and Agri-Food Canada | Agriculture et Agroalimentaire Canada</t>
        </is>
      </c>
      <c r="Z2311" t="n">
        <v>2</v>
      </c>
      <c r="AA2311" t="n">
        <v>710.52</v>
      </c>
      <c r="AB2311">
        <f>ROUND(U2311-AA2311,2)</f>
        <v/>
      </c>
      <c r="AC2311" t="b">
        <v>0</v>
      </c>
      <c r="AD2311">
        <f>IF(U2311="","MISSING_TOTAL",IF(ABS(AB2311)&lt;=0.01,"OK","CHECK"))</f>
        <v/>
      </c>
      <c r="AE2311">
        <f>IF(U2311="","MISSING",IF(AND(AA2311&gt;0,U2311/AA2311&gt;50),"POSSIBLE_SCALE_ERROR","OK"))</f>
        <v/>
      </c>
    </row>
    <row r="2312">
      <c r="A2312" t="inlineStr">
        <is>
          <t>T-2025-P03-021</t>
        </is>
      </c>
      <c r="B2312" t="inlineStr">
        <is>
          <t>SLE</t>
        </is>
      </c>
      <c r="C2312" t="inlineStr">
        <is>
          <t>Chief Information Officer, Information Systems Branch</t>
        </is>
      </c>
      <c r="D2312" t="inlineStr">
        <is>
          <t>Dirigeante principale de l'information, Direction générale des systèmes d'information</t>
        </is>
      </c>
      <c r="E2312" t="inlineStr">
        <is>
          <t>Vidya ShankarNarayan</t>
        </is>
      </c>
      <c r="F2312" t="inlineStr">
        <is>
          <t>To attend Executive Leadership Development Program in Washington</t>
        </is>
      </c>
      <c r="G2312" t="inlineStr">
        <is>
          <t>Assister au Programme de développement en leadership pour les cadres supérieurs à Washington</t>
        </is>
      </c>
      <c r="H2312" s="1" t="n">
        <v>45440</v>
      </c>
      <c r="I2312" s="1" t="n">
        <v>45444</v>
      </c>
      <c r="J2312" t="inlineStr">
        <is>
          <t>Washington (District of Columbia) United States</t>
        </is>
      </c>
      <c r="K2312" t="inlineStr">
        <is>
          <t>Washington (District de Columbia) États-Unis</t>
        </is>
      </c>
      <c r="P2312" t="n">
        <v>809.14</v>
      </c>
      <c r="Q2312" t="n">
        <v>238.76</v>
      </c>
      <c r="R2312" t="n">
        <v>2009.57</v>
      </c>
      <c r="S2312" t="n">
        <v>699.87</v>
      </c>
      <c r="T2312" t="n">
        <v>0</v>
      </c>
      <c r="U2312" t="n">
        <v>3757.34</v>
      </c>
      <c r="X2312" t="inlineStr">
        <is>
          <t>aafc-aac</t>
        </is>
      </c>
      <c r="Y2312" t="inlineStr">
        <is>
          <t>Agriculture and Agri-Food Canada | Agriculture et Agroalimentaire Canada</t>
        </is>
      </c>
      <c r="Z2312" t="n">
        <v>5</v>
      </c>
      <c r="AA2312" t="n">
        <v>3757.34</v>
      </c>
      <c r="AB2312">
        <f>ROUND(U2312-AA2312,2)</f>
        <v/>
      </c>
      <c r="AC2312" t="b">
        <v>0</v>
      </c>
      <c r="AD2312">
        <f>IF(U2312="","MISSING_TOTAL",IF(ABS(AB2312)&lt;=0.01,"OK","CHECK"))</f>
        <v/>
      </c>
      <c r="AE2312">
        <f>IF(U2312="","MISSING",IF(AND(AA2312&gt;0,U2312/AA2312&gt;50),"POSSIBLE_SCALE_ERROR","OK"))</f>
        <v/>
      </c>
    </row>
    <row r="2313">
      <c r="A2313" t="inlineStr">
        <is>
          <t>T-2025-P03-022</t>
        </is>
      </c>
      <c r="B2313" t="inlineStr">
        <is>
          <t>SLE</t>
        </is>
      </c>
      <c r="C2313" t="inlineStr">
        <is>
          <t>Chief Information Officer, Information Systems Branch</t>
        </is>
      </c>
      <c r="D2313" t="inlineStr">
        <is>
          <t>Dirigeante principale de l'information, Direction générale des systèmes d'information</t>
        </is>
      </c>
      <c r="E2313" t="inlineStr">
        <is>
          <t>Vidya ShankarNarayan</t>
        </is>
      </c>
      <c r="F2313" t="inlineStr">
        <is>
          <t>To attend Executive Leadership Development Program in Ottawa</t>
        </is>
      </c>
      <c r="G2313" t="inlineStr">
        <is>
          <t>Assister au Programme de développement en leadership pour les cadres supérieurs à Ottawa</t>
        </is>
      </c>
      <c r="H2313" s="1" t="n">
        <v>45399</v>
      </c>
      <c r="I2313" s="1" t="n">
        <v>45400</v>
      </c>
      <c r="J2313" t="inlineStr">
        <is>
          <t>Ottawa (Ontario) Canada</t>
        </is>
      </c>
      <c r="K2313" t="inlineStr">
        <is>
          <t>Ottawa (Ontario) Canada</t>
        </is>
      </c>
      <c r="P2313" t="n">
        <v>0</v>
      </c>
      <c r="Q2313" t="n">
        <v>32</v>
      </c>
      <c r="R2313" t="n">
        <v>0</v>
      </c>
      <c r="S2313" t="n">
        <v>0</v>
      </c>
      <c r="T2313" t="n">
        <v>0</v>
      </c>
      <c r="U2313" t="n">
        <v>32</v>
      </c>
      <c r="X2313" t="inlineStr">
        <is>
          <t>aafc-aac</t>
        </is>
      </c>
      <c r="Y2313" t="inlineStr">
        <is>
          <t>Agriculture and Agri-Food Canada | Agriculture et Agroalimentaire Canada</t>
        </is>
      </c>
      <c r="Z2313" t="n">
        <v>2</v>
      </c>
      <c r="AA2313" t="n">
        <v>32</v>
      </c>
      <c r="AB2313">
        <f>ROUND(U2313-AA2313,2)</f>
        <v/>
      </c>
      <c r="AC2313" t="b">
        <v>0</v>
      </c>
      <c r="AD2313">
        <f>IF(U2313="","MISSING_TOTAL",IF(ABS(AB2313)&lt;=0.01,"OK","CHECK"))</f>
        <v/>
      </c>
      <c r="AE2313">
        <f>IF(U2313="","MISSING",IF(AND(AA2313&gt;0,U2313/AA2313&gt;50),"POSSIBLE_SCALE_ERROR","OK"))</f>
        <v/>
      </c>
    </row>
    <row r="2314">
      <c r="A2314" t="inlineStr">
        <is>
          <t>T-2025-P03-023</t>
        </is>
      </c>
      <c r="B2314" t="inlineStr">
        <is>
          <t>SLE</t>
        </is>
      </c>
      <c r="C2314" t="inlineStr">
        <is>
          <t>Chief Information Officer, Information Systems Branch</t>
        </is>
      </c>
      <c r="D2314" t="inlineStr">
        <is>
          <t>Dirigeante principale de l'information, Direction générale des systèmes d'information</t>
        </is>
      </c>
      <c r="E2314" t="inlineStr">
        <is>
          <t>Vidya ShankarNarayan</t>
        </is>
      </c>
      <c r="F2314" t="inlineStr">
        <is>
          <t>To attend and present at the International Grains Conference and Artificial Intelligence Summit in London, and attend a meeting with the Food and Agriculture Organization in Rome</t>
        </is>
      </c>
      <c r="G2314" t="inlineStr">
        <is>
          <t>Participer et présenter à la Conférence internationale sur les grains et au Sommet sur l'intelligence artificielle à Londres, et participer à une réunion avec l’Organisation pour l’alimentation et l’agriculture (FAO) à Rome</t>
        </is>
      </c>
      <c r="H2314" s="1" t="n">
        <v>45452</v>
      </c>
      <c r="I2314" s="1" t="n">
        <v>45460</v>
      </c>
      <c r="J2314" t="inlineStr">
        <is>
          <t>London, United Kingdom
Rome, Italy</t>
        </is>
      </c>
      <c r="K2314" t="inlineStr">
        <is>
          <t>Londres, Angleterre
Rome, Italie</t>
        </is>
      </c>
      <c r="P2314" t="n">
        <v>1501.34</v>
      </c>
      <c r="Q2314" t="n">
        <v>615.8099999999999</v>
      </c>
      <c r="R2314" t="n">
        <v>1461.86</v>
      </c>
      <c r="S2314" t="n">
        <v>1168.89</v>
      </c>
      <c r="T2314" t="n">
        <v>0</v>
      </c>
      <c r="U2314" t="n">
        <v>4747.9</v>
      </c>
      <c r="X2314" t="inlineStr">
        <is>
          <t>aafc-aac</t>
        </is>
      </c>
      <c r="Y2314" t="inlineStr">
        <is>
          <t>Agriculture and Agri-Food Canada | Agriculture et Agroalimentaire Canada</t>
        </is>
      </c>
      <c r="Z2314" t="n">
        <v>9</v>
      </c>
      <c r="AA2314" t="n">
        <v>4747.9</v>
      </c>
      <c r="AB2314">
        <f>ROUND(U2314-AA2314,2)</f>
        <v/>
      </c>
      <c r="AC2314" t="b">
        <v>0</v>
      </c>
      <c r="AD2314">
        <f>IF(U2314="","MISSING_TOTAL",IF(ABS(AB2314)&lt;=0.01,"OK","CHECK"))</f>
        <v/>
      </c>
      <c r="AE2314">
        <f>IF(U2314="","MISSING",IF(AND(AA2314&gt;0,U2314/AA2314&gt;50),"POSSIBLE_SCALE_ERROR","OK"))</f>
        <v/>
      </c>
    </row>
    <row r="2315">
      <c r="A2315" t="inlineStr">
        <is>
          <t>T-2025-P04-001</t>
        </is>
      </c>
      <c r="B2315" t="inlineStr">
        <is>
          <t>MPSES</t>
        </is>
      </c>
      <c r="C2315" t="inlineStr">
        <is>
          <t>Minister</t>
        </is>
      </c>
      <c r="D2315" t="inlineStr">
        <is>
          <t>Ministre</t>
        </is>
      </c>
      <c r="E2315" t="inlineStr">
        <is>
          <t>Lawrence MacAulay</t>
        </is>
      </c>
      <c r="F2315" t="inlineStr">
        <is>
          <t>To attend the Calgary Stampede</t>
        </is>
      </c>
      <c r="G2315" t="inlineStr">
        <is>
          <t>Participer au Stampede de Calgary</t>
        </is>
      </c>
      <c r="H2315" s="1" t="n">
        <v>45480</v>
      </c>
      <c r="I2315" s="1" t="n">
        <v>45484</v>
      </c>
      <c r="J2315" t="inlineStr">
        <is>
          <t>Calgary (Alberta) Canada</t>
        </is>
      </c>
      <c r="K2315" t="inlineStr">
        <is>
          <t>Calgary (Alberta) Canada</t>
        </is>
      </c>
      <c r="P2315" t="n">
        <v>1579.57</v>
      </c>
      <c r="Q2315" t="n">
        <v>0</v>
      </c>
      <c r="R2315" t="n">
        <v>2020.86</v>
      </c>
      <c r="S2315" t="n">
        <v>373.1</v>
      </c>
      <c r="T2315" t="n">
        <v>0</v>
      </c>
      <c r="U2315" t="n">
        <v>3973.53</v>
      </c>
      <c r="X2315" t="inlineStr">
        <is>
          <t>aafc-aac</t>
        </is>
      </c>
      <c r="Y2315" t="inlineStr">
        <is>
          <t>Agriculture and Agri-Food Canada | Agriculture et Agroalimentaire Canada</t>
        </is>
      </c>
      <c r="Z2315" t="n">
        <v>5</v>
      </c>
      <c r="AA2315" t="n">
        <v>3973.52999999999</v>
      </c>
      <c r="AB2315">
        <f>ROUND(U2315-AA2315,2)</f>
        <v/>
      </c>
      <c r="AC2315" t="b">
        <v>0</v>
      </c>
      <c r="AD2315">
        <f>IF(U2315="","MISSING_TOTAL",IF(ABS(AB2315)&lt;=0.01,"OK","CHECK"))</f>
        <v/>
      </c>
      <c r="AE2315">
        <f>IF(U2315="","MISSING",IF(AND(AA2315&gt;0,U2315/AA2315&gt;50),"POSSIBLE_SCALE_ERROR","OK"))</f>
        <v/>
      </c>
    </row>
    <row r="2316">
      <c r="A2316" t="inlineStr">
        <is>
          <t>T-2025-P04-002</t>
        </is>
      </c>
      <c r="B2316" t="inlineStr">
        <is>
          <t>MPSES</t>
        </is>
      </c>
      <c r="C2316" t="inlineStr">
        <is>
          <t>Chief of Staff</t>
        </is>
      </c>
      <c r="D2316" t="inlineStr">
        <is>
          <t>Chef de cabinet</t>
        </is>
      </c>
      <c r="E2316" t="inlineStr">
        <is>
          <t>Matthew Mann</t>
        </is>
      </c>
      <c r="F2316" t="inlineStr">
        <is>
          <t>To support the Minister to attend the Calgary Stampede</t>
        </is>
      </c>
      <c r="G2316" t="inlineStr">
        <is>
          <t>Soutenir le ministre à participer au Stampede de Calgary</t>
        </is>
      </c>
      <c r="H2316" s="1" t="n">
        <v>45480</v>
      </c>
      <c r="I2316" s="1" t="n">
        <v>45484</v>
      </c>
      <c r="J2316" t="inlineStr">
        <is>
          <t>Calgary (Alberta) Canada</t>
        </is>
      </c>
      <c r="K2316" t="inlineStr">
        <is>
          <t>Calgary (Alberta) Canada</t>
        </is>
      </c>
      <c r="P2316" t="n">
        <v>1603.99</v>
      </c>
      <c r="Q2316" t="n">
        <v>339.48</v>
      </c>
      <c r="R2316" t="n">
        <v>2020.86</v>
      </c>
      <c r="S2316" t="n">
        <v>373.1</v>
      </c>
      <c r="T2316" t="n">
        <v>0</v>
      </c>
      <c r="U2316" t="n">
        <v>4337.43</v>
      </c>
      <c r="X2316" t="inlineStr">
        <is>
          <t>aafc-aac</t>
        </is>
      </c>
      <c r="Y2316" t="inlineStr">
        <is>
          <t>Agriculture and Agri-Food Canada | Agriculture et Agroalimentaire Canada</t>
        </is>
      </c>
      <c r="Z2316" t="n">
        <v>5</v>
      </c>
      <c r="AA2316" t="n">
        <v>4337.43</v>
      </c>
      <c r="AB2316">
        <f>ROUND(U2316-AA2316,2)</f>
        <v/>
      </c>
      <c r="AC2316" t="b">
        <v>0</v>
      </c>
      <c r="AD2316">
        <f>IF(U2316="","MISSING_TOTAL",IF(ABS(AB2316)&lt;=0.01,"OK","CHECK"))</f>
        <v/>
      </c>
      <c r="AE2316">
        <f>IF(U2316="","MISSING",IF(AND(AA2316&gt;0,U2316/AA2316&gt;50),"POSSIBLE_SCALE_ERROR","OK"))</f>
        <v/>
      </c>
    </row>
    <row r="2317">
      <c r="A2317" t="inlineStr">
        <is>
          <t>T-2025-P04-003</t>
        </is>
      </c>
      <c r="B2317" t="inlineStr">
        <is>
          <t>MPSES</t>
        </is>
      </c>
      <c r="C2317" t="inlineStr">
        <is>
          <t>Chief of Staff</t>
        </is>
      </c>
      <c r="D2317" t="inlineStr">
        <is>
          <t>Chef de cabinet</t>
        </is>
      </c>
      <c r="E2317" t="inlineStr">
        <is>
          <t>Matthew Mann</t>
        </is>
      </c>
      <c r="F2317" t="inlineStr">
        <is>
          <t>To support the Minister to attend meetings and announcements</t>
        </is>
      </c>
      <c r="G2317" t="inlineStr">
        <is>
          <t>Soutenir le ministre à participer aux réunions et aux annonces</t>
        </is>
      </c>
      <c r="H2317" s="1" t="n">
        <v>45485</v>
      </c>
      <c r="I2317" s="1" t="n">
        <v>45488</v>
      </c>
      <c r="J2317" t="inlineStr">
        <is>
          <t>Charlottetown (Prince Edward Island) Canada</t>
        </is>
      </c>
      <c r="K2317" t="inlineStr">
        <is>
          <t>Charlottetown (Île-du-Prince-Édouard) Canada</t>
        </is>
      </c>
      <c r="P2317" t="n">
        <v>963.0599999999999</v>
      </c>
      <c r="Q2317" t="n">
        <v>360.12</v>
      </c>
      <c r="R2317" t="n">
        <v>334.54</v>
      </c>
      <c r="S2317" t="n">
        <v>111.95</v>
      </c>
      <c r="T2317" t="n">
        <v>0</v>
      </c>
      <c r="U2317" t="n">
        <v>1769.67</v>
      </c>
      <c r="X2317" t="inlineStr">
        <is>
          <t>aafc-aac</t>
        </is>
      </c>
      <c r="Y2317" t="inlineStr">
        <is>
          <t>Agriculture and Agri-Food Canada | Agriculture et Agroalimentaire Canada</t>
        </is>
      </c>
      <c r="Z2317" t="n">
        <v>4</v>
      </c>
      <c r="AA2317" t="n">
        <v>1769.66999999999</v>
      </c>
      <c r="AB2317">
        <f>ROUND(U2317-AA2317,2)</f>
        <v/>
      </c>
      <c r="AC2317" t="b">
        <v>0</v>
      </c>
      <c r="AD2317">
        <f>IF(U2317="","MISSING_TOTAL",IF(ABS(AB2317)&lt;=0.01,"OK","CHECK"))</f>
        <v/>
      </c>
      <c r="AE2317">
        <f>IF(U2317="","MISSING",IF(AND(AA2317&gt;0,U2317/AA2317&gt;50),"POSSIBLE_SCALE_ERROR","OK"))</f>
        <v/>
      </c>
    </row>
    <row r="2318">
      <c r="A2318" t="inlineStr">
        <is>
          <t>T-2025-P04-004</t>
        </is>
      </c>
      <c r="B2318" t="inlineStr">
        <is>
          <t>MPSES</t>
        </is>
      </c>
      <c r="C2318" t="inlineStr">
        <is>
          <t>Director of Communications</t>
        </is>
      </c>
      <c r="D2318" t="inlineStr">
        <is>
          <t>Directrice des communications</t>
        </is>
      </c>
      <c r="E2318" t="inlineStr">
        <is>
          <t>Annie Cullinan</t>
        </is>
      </c>
      <c r="F2318" t="inlineStr">
        <is>
          <t>To support the Minister to attend the Calgary Stampede</t>
        </is>
      </c>
      <c r="G2318" t="inlineStr">
        <is>
          <t>Soutenir le ministre à participer au Stampede de Calgary</t>
        </is>
      </c>
      <c r="H2318" s="1" t="n">
        <v>45480</v>
      </c>
      <c r="I2318" s="1" t="n">
        <v>45484</v>
      </c>
      <c r="J2318" t="inlineStr">
        <is>
          <t>Calgary (Alberta) Canada</t>
        </is>
      </c>
      <c r="K2318" t="inlineStr">
        <is>
          <t>Calgary (Alberta) Canada</t>
        </is>
      </c>
      <c r="P2318" t="n">
        <v>1547.55</v>
      </c>
      <c r="Q2318" t="n">
        <v>47.08</v>
      </c>
      <c r="R2318" t="n">
        <v>2020.86</v>
      </c>
      <c r="S2318" t="n">
        <v>398</v>
      </c>
      <c r="T2318" t="n">
        <v>0</v>
      </c>
      <c r="U2318" t="n">
        <v>4013.49</v>
      </c>
      <c r="X2318" t="inlineStr">
        <is>
          <t>aafc-aac</t>
        </is>
      </c>
      <c r="Y2318" t="inlineStr">
        <is>
          <t>Agriculture and Agri-Food Canada | Agriculture et Agroalimentaire Canada</t>
        </is>
      </c>
      <c r="Z2318" t="n">
        <v>5</v>
      </c>
      <c r="AA2318" t="n">
        <v>4013.49</v>
      </c>
      <c r="AB2318">
        <f>ROUND(U2318-AA2318,2)</f>
        <v/>
      </c>
      <c r="AC2318" t="b">
        <v>0</v>
      </c>
      <c r="AD2318">
        <f>IF(U2318="","MISSING_TOTAL",IF(ABS(AB2318)&lt;=0.01,"OK","CHECK"))</f>
        <v/>
      </c>
      <c r="AE2318">
        <f>IF(U2318="","MISSING",IF(AND(AA2318&gt;0,U2318/AA2318&gt;50),"POSSIBLE_SCALE_ERROR","OK"))</f>
        <v/>
      </c>
    </row>
    <row r="2319">
      <c r="A2319" t="inlineStr">
        <is>
          <t>T-2025-P04-005</t>
        </is>
      </c>
      <c r="B2319" t="inlineStr">
        <is>
          <t>MPSES</t>
        </is>
      </c>
      <c r="C2319" t="inlineStr">
        <is>
          <t>Director of Communications</t>
        </is>
      </c>
      <c r="D2319" t="inlineStr">
        <is>
          <t>Directrice des communications</t>
        </is>
      </c>
      <c r="E2319" t="inlineStr">
        <is>
          <t>Annie Cullinan</t>
        </is>
      </c>
      <c r="F2319" t="inlineStr">
        <is>
          <t>To support the Minister to attend meetings and announcements</t>
        </is>
      </c>
      <c r="G2319" t="inlineStr">
        <is>
          <t>Soutenir le ministre à participer aux réunions et aux annonces</t>
        </is>
      </c>
      <c r="H2319" s="1" t="n">
        <v>45485</v>
      </c>
      <c r="I2319" s="1" t="n">
        <v>45488</v>
      </c>
      <c r="J2319" t="inlineStr">
        <is>
          <t>Charlottetown (Prince Edward Island) Canada</t>
        </is>
      </c>
      <c r="K2319" t="inlineStr">
        <is>
          <t>Charlottetown (Île-du-Prince-Édouard) Canada</t>
        </is>
      </c>
      <c r="P2319" t="n">
        <v>792.5599999999999</v>
      </c>
      <c r="Q2319" t="n">
        <v>46.16</v>
      </c>
      <c r="R2319" t="n">
        <v>366.4</v>
      </c>
      <c r="S2319" t="n">
        <v>111.95</v>
      </c>
      <c r="T2319" t="n">
        <v>0</v>
      </c>
      <c r="U2319" t="n">
        <v>1317.07</v>
      </c>
      <c r="X2319" t="inlineStr">
        <is>
          <t>aafc-aac</t>
        </is>
      </c>
      <c r="Y2319" t="inlineStr">
        <is>
          <t>Agriculture and Agri-Food Canada | Agriculture et Agroalimentaire Canada</t>
        </is>
      </c>
      <c r="Z2319" t="n">
        <v>4</v>
      </c>
      <c r="AA2319" t="n">
        <v>1317.07</v>
      </c>
      <c r="AB2319">
        <f>ROUND(U2319-AA2319,2)</f>
        <v/>
      </c>
      <c r="AC2319" t="b">
        <v>0</v>
      </c>
      <c r="AD2319">
        <f>IF(U2319="","MISSING_TOTAL",IF(ABS(AB2319)&lt;=0.01,"OK","CHECK"))</f>
        <v/>
      </c>
      <c r="AE2319">
        <f>IF(U2319="","MISSING",IF(AND(AA2319&gt;0,U2319/AA2319&gt;50),"POSSIBLE_SCALE_ERROR","OK"))</f>
        <v/>
      </c>
    </row>
    <row r="2320">
      <c r="A2320" t="inlineStr">
        <is>
          <t>T-2025-P04-006</t>
        </is>
      </c>
      <c r="B2320" t="inlineStr">
        <is>
          <t>MPSES</t>
        </is>
      </c>
      <c r="C2320" t="inlineStr">
        <is>
          <t>Director of Parliamentary Affairs</t>
        </is>
      </c>
      <c r="D2320" t="inlineStr">
        <is>
          <t>Directeur des affaires parlementaires</t>
        </is>
      </c>
      <c r="E2320" t="inlineStr">
        <is>
          <t>Bradley Henstock</t>
        </is>
      </c>
      <c r="F2320" t="inlineStr">
        <is>
          <t>To support the Minister to attend meetings and announcements</t>
        </is>
      </c>
      <c r="G2320" t="inlineStr">
        <is>
          <t>Soutenir le ministre à participer aux réunions et aux annonces</t>
        </is>
      </c>
      <c r="H2320" s="1" t="n">
        <v>45467</v>
      </c>
      <c r="I2320" s="1" t="n">
        <v>45469</v>
      </c>
      <c r="J2320" t="inlineStr">
        <is>
          <t>Fredericton (New Brunswick) Canada</t>
        </is>
      </c>
      <c r="K2320" t="inlineStr">
        <is>
          <t>Fredericton (Nouveau-Brunswick) Canada</t>
        </is>
      </c>
      <c r="P2320" t="n">
        <v>935.02</v>
      </c>
      <c r="Q2320" t="n">
        <v>358.04</v>
      </c>
      <c r="R2320" t="n">
        <v>473.73</v>
      </c>
      <c r="S2320" t="n">
        <v>173.8</v>
      </c>
      <c r="T2320" t="n">
        <v>0</v>
      </c>
      <c r="U2320" t="n">
        <v>1940.59</v>
      </c>
      <c r="X2320" t="inlineStr">
        <is>
          <t>aafc-aac</t>
        </is>
      </c>
      <c r="Y2320" t="inlineStr">
        <is>
          <t>Agriculture and Agri-Food Canada | Agriculture et Agroalimentaire Canada</t>
        </is>
      </c>
      <c r="Z2320" t="n">
        <v>3</v>
      </c>
      <c r="AA2320" t="n">
        <v>1940.59</v>
      </c>
      <c r="AB2320">
        <f>ROUND(U2320-AA2320,2)</f>
        <v/>
      </c>
      <c r="AC2320" t="b">
        <v>0</v>
      </c>
      <c r="AD2320">
        <f>IF(U2320="","MISSING_TOTAL",IF(ABS(AB2320)&lt;=0.01,"OK","CHECK"))</f>
        <v/>
      </c>
      <c r="AE2320">
        <f>IF(U2320="","MISSING",IF(AND(AA2320&gt;0,U2320/AA2320&gt;50),"POSSIBLE_SCALE_ERROR","OK"))</f>
        <v/>
      </c>
    </row>
    <row r="2321">
      <c r="A2321" t="inlineStr">
        <is>
          <t>T-2025-P04-007</t>
        </is>
      </c>
      <c r="B2321" t="inlineStr">
        <is>
          <t>MPSES</t>
        </is>
      </c>
      <c r="C2321" t="inlineStr">
        <is>
          <t>Director of Parliamentary Affairs</t>
        </is>
      </c>
      <c r="D2321" t="inlineStr">
        <is>
          <t>Directeur des affaires parlementaires</t>
        </is>
      </c>
      <c r="E2321" t="inlineStr">
        <is>
          <t>Bradley Henstock</t>
        </is>
      </c>
      <c r="F2321" t="inlineStr">
        <is>
          <t>To support the Minister to attend meetings and announcements</t>
        </is>
      </c>
      <c r="G2321" t="inlineStr">
        <is>
          <t>Soutenir le ministre à participer aux réunions et aux annonces</t>
        </is>
      </c>
      <c r="H2321" s="1" t="n">
        <v>45484</v>
      </c>
      <c r="I2321" s="1" t="n">
        <v>45485</v>
      </c>
      <c r="J2321" t="inlineStr">
        <is>
          <t>Charlottetown (Prince Edward Island) Canada</t>
        </is>
      </c>
      <c r="K2321" t="inlineStr">
        <is>
          <t>Charlottetown (Île-du-Prince-Édouard) Canada</t>
        </is>
      </c>
      <c r="P2321" t="n">
        <v>0</v>
      </c>
      <c r="Q2321" t="n">
        <v>0</v>
      </c>
      <c r="R2321" t="n">
        <v>635.08</v>
      </c>
      <c r="S2321" t="n">
        <v>148.9</v>
      </c>
      <c r="T2321" t="n">
        <v>0</v>
      </c>
      <c r="U2321" t="n">
        <v>783.98</v>
      </c>
      <c r="X2321" t="inlineStr">
        <is>
          <t>aafc-aac</t>
        </is>
      </c>
      <c r="Y2321" t="inlineStr">
        <is>
          <t>Agriculture and Agri-Food Canada | Agriculture et Agroalimentaire Canada</t>
        </is>
      </c>
      <c r="Z2321" t="n">
        <v>2</v>
      </c>
      <c r="AA2321" t="n">
        <v>783.98</v>
      </c>
      <c r="AB2321">
        <f>ROUND(U2321-AA2321,2)</f>
        <v/>
      </c>
      <c r="AC2321" t="b">
        <v>0</v>
      </c>
      <c r="AD2321">
        <f>IF(U2321="","MISSING_TOTAL",IF(ABS(AB2321)&lt;=0.01,"OK","CHECK"))</f>
        <v/>
      </c>
      <c r="AE2321">
        <f>IF(U2321="","MISSING",IF(AND(AA2321&gt;0,U2321/AA2321&gt;50),"POSSIBLE_SCALE_ERROR","OK"))</f>
        <v/>
      </c>
    </row>
    <row r="2322">
      <c r="A2322" t="inlineStr">
        <is>
          <t>T-2025-P04-008</t>
        </is>
      </c>
      <c r="B2322" t="inlineStr">
        <is>
          <t>SLE</t>
        </is>
      </c>
      <c r="C2322" t="inlineStr">
        <is>
          <t>Deputy Minister</t>
        </is>
      </c>
      <c r="D2322" t="inlineStr">
        <is>
          <t>Sous-ministre</t>
        </is>
      </c>
      <c r="E2322" t="inlineStr">
        <is>
          <t>Lawrence Hanson</t>
        </is>
      </c>
      <c r="F2322" t="inlineStr">
        <is>
          <t>To support the Minister and attend meetings and announcements</t>
        </is>
      </c>
      <c r="G2322" t="inlineStr">
        <is>
          <t>Soutenir le ministre et participer aux réunions et aux annonces</t>
        </is>
      </c>
      <c r="H2322" s="1" t="n">
        <v>45467</v>
      </c>
      <c r="I2322" s="1" t="n">
        <v>45469</v>
      </c>
      <c r="J2322" t="inlineStr">
        <is>
          <t>Fredericton (New Brunswick) Canada</t>
        </is>
      </c>
      <c r="K2322" t="inlineStr">
        <is>
          <t>Fredericton (Nouveau-Brunswick) Canada</t>
        </is>
      </c>
      <c r="P2322" t="n">
        <v>618.9400000000001</v>
      </c>
      <c r="Q2322" t="n">
        <v>38.4</v>
      </c>
      <c r="R2322" t="n">
        <v>461.82</v>
      </c>
      <c r="S2322" t="n">
        <v>275.8</v>
      </c>
      <c r="T2322" t="n">
        <v>0</v>
      </c>
      <c r="U2322" t="n">
        <v>1394.96</v>
      </c>
      <c r="X2322" t="inlineStr">
        <is>
          <t>aafc-aac</t>
        </is>
      </c>
      <c r="Y2322" t="inlineStr">
        <is>
          <t>Agriculture and Agri-Food Canada | Agriculture et Agroalimentaire Canada</t>
        </is>
      </c>
      <c r="Z2322" t="n">
        <v>3</v>
      </c>
      <c r="AA2322" t="n">
        <v>1394.96</v>
      </c>
      <c r="AB2322">
        <f>ROUND(U2322-AA2322,2)</f>
        <v/>
      </c>
      <c r="AC2322" t="b">
        <v>0</v>
      </c>
      <c r="AD2322">
        <f>IF(U2322="","MISSING_TOTAL",IF(ABS(AB2322)&lt;=0.01,"OK","CHECK"))</f>
        <v/>
      </c>
      <c r="AE2322">
        <f>IF(U2322="","MISSING",IF(AND(AA2322&gt;0,U2322/AA2322&gt;50),"POSSIBLE_SCALE_ERROR","OK"))</f>
        <v/>
      </c>
    </row>
    <row r="2323">
      <c r="A2323" t="inlineStr">
        <is>
          <t>T-2025-P04-009</t>
        </is>
      </c>
      <c r="B2323" t="inlineStr">
        <is>
          <t>SLE</t>
        </is>
      </c>
      <c r="C2323" t="inlineStr">
        <is>
          <t>Deputy Minister</t>
        </is>
      </c>
      <c r="D2323" t="inlineStr">
        <is>
          <t>Sous-ministre</t>
        </is>
      </c>
      <c r="E2323" t="inlineStr">
        <is>
          <t>Lawrence Hanson</t>
        </is>
      </c>
      <c r="F2323" t="inlineStr">
        <is>
          <t>To attend an Outreach in Calgary and to support the Minister to attend meetings and announcements in Charlottetown</t>
        </is>
      </c>
      <c r="G2323" t="inlineStr">
        <is>
          <t>Participer à une action de sensibilisation à Calgary et soutenir le ministre à participer à des réunions et à des annonces à Charlottetown.</t>
        </is>
      </c>
      <c r="H2323" s="1" t="n">
        <v>45480</v>
      </c>
      <c r="I2323" s="1" t="n">
        <v>45486</v>
      </c>
      <c r="J2323" t="inlineStr">
        <is>
          <t>Calgary (Alberta) Canada
Charlottetown (Prince Edward Island) Canada</t>
        </is>
      </c>
      <c r="K2323" t="inlineStr">
        <is>
          <t>Calgary (Alberta) Canada
Charlottetown (Île-du-Prince-Édouard) Canada</t>
        </is>
      </c>
      <c r="P2323" t="n">
        <v>2420.38</v>
      </c>
      <c r="Q2323" t="n">
        <v>126.31</v>
      </c>
      <c r="R2323" t="n">
        <v>2671.27</v>
      </c>
      <c r="S2323" t="n">
        <v>575.1</v>
      </c>
      <c r="T2323" t="n">
        <v>17.52</v>
      </c>
      <c r="U2323" t="n">
        <v>5810.58</v>
      </c>
      <c r="X2323" t="inlineStr">
        <is>
          <t>aafc-aac</t>
        </is>
      </c>
      <c r="Y2323" t="inlineStr">
        <is>
          <t>Agriculture and Agri-Food Canada | Agriculture et Agroalimentaire Canada</t>
        </is>
      </c>
      <c r="Z2323" t="n">
        <v>7</v>
      </c>
      <c r="AA2323" t="n">
        <v>5810.58</v>
      </c>
      <c r="AB2323">
        <f>ROUND(U2323-AA2323,2)</f>
        <v/>
      </c>
      <c r="AC2323" t="b">
        <v>0</v>
      </c>
      <c r="AD2323">
        <f>IF(U2323="","MISSING_TOTAL",IF(ABS(AB2323)&lt;=0.01,"OK","CHECK"))</f>
        <v/>
      </c>
      <c r="AE2323">
        <f>IF(U2323="","MISSING",IF(AND(AA2323&gt;0,U2323/AA2323&gt;50),"POSSIBLE_SCALE_ERROR","OK"))</f>
        <v/>
      </c>
    </row>
    <row r="2324">
      <c r="A2324" t="inlineStr">
        <is>
          <t>T-2025-P04-010</t>
        </is>
      </c>
      <c r="B2324" t="inlineStr">
        <is>
          <t>SLE</t>
        </is>
      </c>
      <c r="C2324" t="inlineStr">
        <is>
          <t>Deputy Minister</t>
        </is>
      </c>
      <c r="D2324" t="inlineStr">
        <is>
          <t>Sous-ministre</t>
        </is>
      </c>
      <c r="E2324" t="inlineStr">
        <is>
          <t>Lawrence Hanson</t>
        </is>
      </c>
      <c r="F2324" t="inlineStr">
        <is>
          <t>To attend the Annual Conference of Federal, Provincial and Territorial Ministers and Deputy Ministers of Agriculture</t>
        </is>
      </c>
      <c r="G2324" t="inlineStr">
        <is>
          <t>Participer à la conférence annuelle des ministres et sous-ministres fédéraux, provinciaux et territoriaux de l'Agriculture</t>
        </is>
      </c>
      <c r="H2324" s="1" t="n">
        <v>45489</v>
      </c>
      <c r="I2324" s="1" t="n">
        <v>45493</v>
      </c>
      <c r="J2324" t="inlineStr">
        <is>
          <t>Whitehorse (Yukon) Canada</t>
        </is>
      </c>
      <c r="K2324" t="inlineStr">
        <is>
          <t>Whitehorse (Yukon) Canada</t>
        </is>
      </c>
      <c r="P2324" t="n">
        <v>4260.52</v>
      </c>
      <c r="Q2324" t="n">
        <v>52.68</v>
      </c>
      <c r="R2324" t="n">
        <v>810.27</v>
      </c>
      <c r="S2324" t="n">
        <v>358.45</v>
      </c>
      <c r="T2324" t="n">
        <v>0</v>
      </c>
      <c r="U2324" t="n">
        <v>5481.92</v>
      </c>
      <c r="X2324" t="inlineStr">
        <is>
          <t>aafc-aac</t>
        </is>
      </c>
      <c r="Y2324" t="inlineStr">
        <is>
          <t>Agriculture and Agri-Food Canada | Agriculture et Agroalimentaire Canada</t>
        </is>
      </c>
      <c r="Z2324" t="n">
        <v>5</v>
      </c>
      <c r="AA2324" t="n">
        <v>5481.92</v>
      </c>
      <c r="AB2324">
        <f>ROUND(U2324-AA2324,2)</f>
        <v/>
      </c>
      <c r="AC2324" t="b">
        <v>0</v>
      </c>
      <c r="AD2324">
        <f>IF(U2324="","MISSING_TOTAL",IF(ABS(AB2324)&lt;=0.01,"OK","CHECK"))</f>
        <v/>
      </c>
      <c r="AE2324">
        <f>IF(U2324="","MISSING",IF(AND(AA2324&gt;0,U2324/AA2324&gt;50),"POSSIBLE_SCALE_ERROR","OK"))</f>
        <v/>
      </c>
    </row>
    <row r="2325">
      <c r="A2325" t="inlineStr">
        <is>
          <t>T-2025-P04-011</t>
        </is>
      </c>
      <c r="B2325" t="inlineStr">
        <is>
          <t>SLE</t>
        </is>
      </c>
      <c r="C2325" t="inlineStr">
        <is>
          <t>Workplace Well-Being Ombudsperson</t>
        </is>
      </c>
      <c r="D2325" t="inlineStr">
        <is>
          <t>Ombudsman du mieux-être en milieu de travail</t>
        </is>
      </c>
      <c r="E2325" t="inlineStr">
        <is>
          <t>Elianne Hall</t>
        </is>
      </c>
      <c r="F2325" t="inlineStr">
        <is>
          <t>To attend an Outreach</t>
        </is>
      </c>
      <c r="G2325" t="inlineStr">
        <is>
          <t>Participer à une activité de sensibilisation</t>
        </is>
      </c>
      <c r="H2325" s="1" t="n">
        <v>45480</v>
      </c>
      <c r="I2325" s="1" t="n">
        <v>45482</v>
      </c>
      <c r="J2325" t="inlineStr">
        <is>
          <t>Guelph (Ontario) Canada</t>
        </is>
      </c>
      <c r="K2325" t="inlineStr">
        <is>
          <t>Guelph (Ontario) Canada</t>
        </is>
      </c>
      <c r="P2325" t="n">
        <v>0</v>
      </c>
      <c r="Q2325" t="n">
        <v>286.74</v>
      </c>
      <c r="R2325" t="n">
        <v>502.98</v>
      </c>
      <c r="S2325" t="n">
        <v>258.5</v>
      </c>
      <c r="T2325" t="n">
        <v>0</v>
      </c>
      <c r="U2325" t="n">
        <v>1048.22</v>
      </c>
      <c r="X2325" t="inlineStr">
        <is>
          <t>aafc-aac</t>
        </is>
      </c>
      <c r="Y2325" t="inlineStr">
        <is>
          <t>Agriculture and Agri-Food Canada | Agriculture et Agroalimentaire Canada</t>
        </is>
      </c>
      <c r="Z2325" t="n">
        <v>3</v>
      </c>
      <c r="AA2325" t="n">
        <v>1048.22</v>
      </c>
      <c r="AB2325">
        <f>ROUND(U2325-AA2325,2)</f>
        <v/>
      </c>
      <c r="AC2325" t="b">
        <v>0</v>
      </c>
      <c r="AD2325">
        <f>IF(U2325="","MISSING_TOTAL",IF(ABS(AB2325)&lt;=0.01,"OK","CHECK"))</f>
        <v/>
      </c>
      <c r="AE2325">
        <f>IF(U2325="","MISSING",IF(AND(AA2325&gt;0,U2325/AA2325&gt;50),"POSSIBLE_SCALE_ERROR","OK"))</f>
        <v/>
      </c>
    </row>
    <row r="2326">
      <c r="A2326" t="inlineStr">
        <is>
          <t>T-2025-P04-012</t>
        </is>
      </c>
      <c r="B2326" t="inlineStr">
        <is>
          <t>SLE</t>
        </is>
      </c>
      <c r="C2326" t="inlineStr">
        <is>
          <t>Assistant Deputy Minister, Science and Technology Branch</t>
        </is>
      </c>
      <c r="D2326" t="inlineStr">
        <is>
          <t>Sous-ministre adjoint, Direction générale des sciences et de la technologie</t>
        </is>
      </c>
      <c r="E2326" t="inlineStr">
        <is>
          <t>Gilles Saindon</t>
        </is>
      </c>
      <c r="F2326" t="inlineStr">
        <is>
          <t>To attend an Outreach at the Brandon and Morden Research Centres</t>
        </is>
      </c>
      <c r="G2326" t="inlineStr">
        <is>
          <t>Participer à une visite de sensibilisation aux centres de recherche de Brandon et Morden</t>
        </is>
      </c>
      <c r="H2326" s="1" t="n">
        <v>45483</v>
      </c>
      <c r="I2326" s="1" t="n">
        <v>45485</v>
      </c>
      <c r="J2326" t="inlineStr">
        <is>
          <t>Winnipeg (Manitoba) Canada
Brandon (Manitoba) Canada 
Morden (Manitoba) Canada</t>
        </is>
      </c>
      <c r="K2326" t="inlineStr">
        <is>
          <t>Winnipeg (Manitoba) Canada
Brandon (Manitoba) Canada 
Morden (Manitoba) Canada</t>
        </is>
      </c>
      <c r="P2326" t="n">
        <v>803.85</v>
      </c>
      <c r="Q2326" t="n">
        <v>75</v>
      </c>
      <c r="R2326" t="n">
        <v>316.42</v>
      </c>
      <c r="S2326" t="n">
        <v>287.55</v>
      </c>
      <c r="T2326" t="n">
        <v>0</v>
      </c>
      <c r="U2326" t="n">
        <v>1482.82</v>
      </c>
      <c r="X2326" t="inlineStr">
        <is>
          <t>aafc-aac</t>
        </is>
      </c>
      <c r="Y2326" t="inlineStr">
        <is>
          <t>Agriculture and Agri-Food Canada | Agriculture et Agroalimentaire Canada</t>
        </is>
      </c>
      <c r="Z2326" t="n">
        <v>3</v>
      </c>
      <c r="AA2326" t="n">
        <v>1482.82</v>
      </c>
      <c r="AB2326">
        <f>ROUND(U2326-AA2326,2)</f>
        <v/>
      </c>
      <c r="AC2326" t="b">
        <v>0</v>
      </c>
      <c r="AD2326">
        <f>IF(U2326="","MISSING_TOTAL",IF(ABS(AB2326)&lt;=0.01,"OK","CHECK"))</f>
        <v/>
      </c>
      <c r="AE2326">
        <f>IF(U2326="","MISSING",IF(AND(AA2326&gt;0,U2326/AA2326&gt;50),"POSSIBLE_SCALE_ERROR","OK"))</f>
        <v/>
      </c>
    </row>
    <row r="2327">
      <c r="A2327" t="inlineStr">
        <is>
          <t>T-2025-P04-013</t>
        </is>
      </c>
      <c r="B2327" t="inlineStr">
        <is>
          <t>SLE</t>
        </is>
      </c>
      <c r="C2327" t="inlineStr">
        <is>
          <t>Assistant Deputy Minister, International Affairs Branch</t>
        </is>
      </c>
      <c r="D2327" t="inlineStr">
        <is>
          <t>Sous-ministre adjointe, Direction générale des affaires internationales</t>
        </is>
      </c>
      <c r="E2327" t="inlineStr">
        <is>
          <t>Kathleen Donohue</t>
        </is>
      </c>
      <c r="F2327" t="inlineStr">
        <is>
          <t>To accompany the Minister on a mission to Iowa and Minnesota for stakeholder engagements</t>
        </is>
      </c>
      <c r="G2327" t="inlineStr">
        <is>
          <t>Accompagner le ministre lors d’une mission à Iowa et Minnesota pour des consultations avec les intervenants</t>
        </is>
      </c>
      <c r="H2327" s="1" t="n">
        <v>45448</v>
      </c>
      <c r="I2327" s="1" t="n">
        <v>45451</v>
      </c>
      <c r="J2327" t="inlineStr">
        <is>
          <t>Des Moines (Iowa) United States
Saint Paul (Minnesota) United States</t>
        </is>
      </c>
      <c r="K2327" t="inlineStr">
        <is>
          <t>Des Moines (Iowa) États-Unis
Saint Paul (Minnesota) États-Unis</t>
        </is>
      </c>
      <c r="P2327" t="n">
        <v>1396.09</v>
      </c>
      <c r="Q2327" t="n">
        <v>45.13</v>
      </c>
      <c r="R2327" t="n">
        <v>747.42</v>
      </c>
      <c r="S2327" t="n">
        <v>447.96</v>
      </c>
      <c r="T2327" t="n">
        <v>0</v>
      </c>
      <c r="U2327" t="n">
        <v>2636.6</v>
      </c>
      <c r="X2327" t="inlineStr">
        <is>
          <t>aafc-aac</t>
        </is>
      </c>
      <c r="Y2327" t="inlineStr">
        <is>
          <t>Agriculture and Agri-Food Canada | Agriculture et Agroalimentaire Canada</t>
        </is>
      </c>
      <c r="Z2327" t="n">
        <v>4</v>
      </c>
      <c r="AA2327" t="n">
        <v>2636.6</v>
      </c>
      <c r="AB2327">
        <f>ROUND(U2327-AA2327,2)</f>
        <v/>
      </c>
      <c r="AC2327" t="b">
        <v>0</v>
      </c>
      <c r="AD2327">
        <f>IF(U2327="","MISSING_TOTAL",IF(ABS(AB2327)&lt;=0.01,"OK","CHECK"))</f>
        <v/>
      </c>
      <c r="AE2327">
        <f>IF(U2327="","MISSING",IF(AND(AA2327&gt;0,U2327/AA2327&gt;50),"POSSIBLE_SCALE_ERROR","OK"))</f>
        <v/>
      </c>
    </row>
    <row r="2328">
      <c r="A2328" t="inlineStr">
        <is>
          <t>T-2025-P04-014</t>
        </is>
      </c>
      <c r="B2328" t="inlineStr">
        <is>
          <t>SLE</t>
        </is>
      </c>
      <c r="C2328" t="inlineStr">
        <is>
          <t>Assistant Deputy Minister, Corporate Management Branch</t>
        </is>
      </c>
      <c r="D2328" t="inlineStr">
        <is>
          <t>Sous-ministre adjointe, Direction générale de la gestion intégrée</t>
        </is>
      </c>
      <c r="E2328" t="inlineStr">
        <is>
          <t>Marie-Claude Guérard</t>
        </is>
      </c>
      <c r="F2328" t="inlineStr">
        <is>
          <t>To attend meetings in Ottawa</t>
        </is>
      </c>
      <c r="G2328" t="inlineStr">
        <is>
          <t>Participer aux rencontres à Ottawa</t>
        </is>
      </c>
      <c r="H2328" s="1" t="n">
        <v>45488</v>
      </c>
      <c r="I2328" s="1" t="n">
        <v>45489</v>
      </c>
      <c r="J2328" t="inlineStr">
        <is>
          <t>Ottawa (Ontario) Canada</t>
        </is>
      </c>
      <c r="K2328" t="inlineStr">
        <is>
          <t>Ottawa (Ontario) Canada</t>
        </is>
      </c>
      <c r="P2328" t="n">
        <v>0</v>
      </c>
      <c r="Q2328" t="n">
        <v>406.48</v>
      </c>
      <c r="R2328" t="n">
        <v>259.84</v>
      </c>
      <c r="S2328" t="n">
        <v>171.75</v>
      </c>
      <c r="T2328" t="n">
        <v>0</v>
      </c>
      <c r="U2328" t="n">
        <v>838.0700000000001</v>
      </c>
      <c r="X2328" t="inlineStr">
        <is>
          <t>aafc-aac</t>
        </is>
      </c>
      <c r="Y2328" t="inlineStr">
        <is>
          <t>Agriculture and Agri-Food Canada | Agriculture et Agroalimentaire Canada</t>
        </is>
      </c>
      <c r="Z2328" t="n">
        <v>2</v>
      </c>
      <c r="AA2328" t="n">
        <v>838.069999999999</v>
      </c>
      <c r="AB2328">
        <f>ROUND(U2328-AA2328,2)</f>
        <v/>
      </c>
      <c r="AC2328" t="b">
        <v>0</v>
      </c>
      <c r="AD2328">
        <f>IF(U2328="","MISSING_TOTAL",IF(ABS(AB2328)&lt;=0.01,"OK","CHECK"))</f>
        <v/>
      </c>
      <c r="AE2328">
        <f>IF(U2328="","MISSING",IF(AND(AA2328&gt;0,U2328/AA2328&gt;50),"POSSIBLE_SCALE_ERROR","OK"))</f>
        <v/>
      </c>
    </row>
    <row r="2329">
      <c r="A2329" t="inlineStr">
        <is>
          <t>T-2025-P04-015</t>
        </is>
      </c>
      <c r="B2329" t="inlineStr">
        <is>
          <t>SLE</t>
        </is>
      </c>
      <c r="C2329" t="inlineStr">
        <is>
          <t>Assistant Deputy Minister, Strategic Policy Branch</t>
        </is>
      </c>
      <c r="D2329" t="inlineStr">
        <is>
          <t>Sous-ministre adjointe, Direction générale des politiques stratégiques</t>
        </is>
      </c>
      <c r="E2329" t="inlineStr">
        <is>
          <t>Shannon Nix</t>
        </is>
      </c>
      <c r="F2329" t="inlineStr">
        <is>
          <t>To attend Bioenterprise round table meeting in Toronto</t>
        </is>
      </c>
      <c r="G2329" t="inlineStr">
        <is>
          <t>Assister à la table ronde de bioenterprise à Toronto</t>
        </is>
      </c>
      <c r="H2329" s="1" t="n">
        <v>45492</v>
      </c>
      <c r="I2329" s="1" t="n">
        <v>45494</v>
      </c>
      <c r="J2329" t="inlineStr">
        <is>
          <t>Toronto (Ontario) Canada</t>
        </is>
      </c>
      <c r="K2329" t="inlineStr">
        <is>
          <t>Toronto (Ontario) Canada</t>
        </is>
      </c>
      <c r="P2329" t="n">
        <v>1013.52</v>
      </c>
      <c r="Q2329" t="n">
        <v>64.83</v>
      </c>
      <c r="R2329" t="n">
        <v>382.1</v>
      </c>
      <c r="S2329" t="n">
        <v>208.4</v>
      </c>
      <c r="T2329" t="n">
        <v>0</v>
      </c>
      <c r="U2329" t="n">
        <v>1668.85</v>
      </c>
      <c r="X2329" t="inlineStr">
        <is>
          <t>aafc-aac</t>
        </is>
      </c>
      <c r="Y2329" t="inlineStr">
        <is>
          <t>Agriculture and Agri-Food Canada | Agriculture et Agroalimentaire Canada</t>
        </is>
      </c>
      <c r="Z2329" t="n">
        <v>3</v>
      </c>
      <c r="AA2329" t="n">
        <v>1668.85</v>
      </c>
      <c r="AB2329">
        <f>ROUND(U2329-AA2329,2)</f>
        <v/>
      </c>
      <c r="AC2329" t="b">
        <v>0</v>
      </c>
      <c r="AD2329">
        <f>IF(U2329="","MISSING_TOTAL",IF(ABS(AB2329)&lt;=0.01,"OK","CHECK"))</f>
        <v/>
      </c>
      <c r="AE2329">
        <f>IF(U2329="","MISSING",IF(AND(AA2329&gt;0,U2329/AA2329&gt;50),"POSSIBLE_SCALE_ERROR","OK"))</f>
        <v/>
      </c>
    </row>
    <row r="2330">
      <c r="A2330" t="inlineStr">
        <is>
          <t>T-2025-P04-016</t>
        </is>
      </c>
      <c r="B2330" t="inlineStr">
        <is>
          <t>SLE</t>
        </is>
      </c>
      <c r="C2330" t="inlineStr">
        <is>
          <t>Assistant Deputy Minister, Programs Branch</t>
        </is>
      </c>
      <c r="D2330" t="inlineStr">
        <is>
          <t>Sous-ministre adjointe, Direction générale des programmes</t>
        </is>
      </c>
      <c r="E2330" t="inlineStr">
        <is>
          <t>Liz Foster</t>
        </is>
      </c>
      <c r="F2330" t="inlineStr">
        <is>
          <t>To attend to the Graduation Ceremony and lunch for Cohort 7 of the Certificate Program in Leading</t>
        </is>
      </c>
      <c r="G2330" t="inlineStr">
        <is>
          <t>Participer à la cérémonie de remise des diplômes et dîner pour la cohorte 7 du programme de certificat en leadership</t>
        </is>
      </c>
      <c r="H2330" s="1" t="n">
        <v>45449</v>
      </c>
      <c r="I2330" s="1" t="n">
        <v>45449</v>
      </c>
      <c r="J2330" t="inlineStr">
        <is>
          <t>Ottawa (Ontario) Canada</t>
        </is>
      </c>
      <c r="K2330" t="inlineStr">
        <is>
          <t>Ottawa (Ontario) Canada</t>
        </is>
      </c>
      <c r="P2330" t="n">
        <v>0</v>
      </c>
      <c r="Q2330" t="n">
        <v>13.75</v>
      </c>
      <c r="R2330" t="n">
        <v>0</v>
      </c>
      <c r="S2330" t="n">
        <v>0</v>
      </c>
      <c r="T2330" t="n">
        <v>0</v>
      </c>
      <c r="U2330" t="n">
        <v>13.75</v>
      </c>
      <c r="X2330" t="inlineStr">
        <is>
          <t>aafc-aac</t>
        </is>
      </c>
      <c r="Y2330" t="inlineStr">
        <is>
          <t>Agriculture and Agri-Food Canada | Agriculture et Agroalimentaire Canada</t>
        </is>
      </c>
      <c r="Z2330" t="n">
        <v>1</v>
      </c>
      <c r="AA2330" t="n">
        <v>13.75</v>
      </c>
      <c r="AB2330">
        <f>ROUND(U2330-AA2330,2)</f>
        <v/>
      </c>
      <c r="AC2330" t="b">
        <v>0</v>
      </c>
      <c r="AD2330">
        <f>IF(U2330="","MISSING_TOTAL",IF(ABS(AB2330)&lt;=0.01,"OK","CHECK"))</f>
        <v/>
      </c>
      <c r="AE2330">
        <f>IF(U2330="","MISSING",IF(AND(AA2330&gt;0,U2330/AA2330&gt;50),"POSSIBLE_SCALE_ERROR","OK"))</f>
        <v/>
      </c>
    </row>
    <row r="2331">
      <c r="A2331" t="inlineStr">
        <is>
          <t>T-2025-P04-017</t>
        </is>
      </c>
      <c r="B2331" t="inlineStr">
        <is>
          <t>SLE</t>
        </is>
      </c>
      <c r="C2331" t="inlineStr">
        <is>
          <t>Assistant Deputy Minister, Market and Industry Services Branch</t>
        </is>
      </c>
      <c r="D2331" t="inlineStr">
        <is>
          <t>Sous-ministre adjoint, Direction générale des services à l'industrie et aux marchés</t>
        </is>
      </c>
      <c r="E2331" t="inlineStr">
        <is>
          <t>Tom Rosser</t>
        </is>
      </c>
      <c r="F2331" t="inlineStr">
        <is>
          <t>Parking expense for governance meeting</t>
        </is>
      </c>
      <c r="G2331" t="inlineStr">
        <is>
          <t>Frais de stationnement pour une réunion de gouvernance</t>
        </is>
      </c>
      <c r="H2331" s="1" t="n">
        <v>45482</v>
      </c>
      <c r="I2331" s="1" t="n">
        <v>45482</v>
      </c>
      <c r="J2331" t="inlineStr">
        <is>
          <t>Ottawa (Ontario) Canada</t>
        </is>
      </c>
      <c r="K2331" t="inlineStr">
        <is>
          <t>Ottawa (Ontario) Canada</t>
        </is>
      </c>
      <c r="P2331" t="n">
        <v>0</v>
      </c>
      <c r="Q2331" t="n">
        <v>10</v>
      </c>
      <c r="R2331" t="n">
        <v>0</v>
      </c>
      <c r="S2331" t="n">
        <v>0</v>
      </c>
      <c r="T2331" t="n">
        <v>0</v>
      </c>
      <c r="U2331" t="n">
        <v>10</v>
      </c>
      <c r="X2331" t="inlineStr">
        <is>
          <t>aafc-aac</t>
        </is>
      </c>
      <c r="Y2331" t="inlineStr">
        <is>
          <t>Agriculture and Agri-Food Canada | Agriculture et Agroalimentaire Canada</t>
        </is>
      </c>
      <c r="Z2331" t="n">
        <v>1</v>
      </c>
      <c r="AA2331" t="n">
        <v>10</v>
      </c>
      <c r="AB2331">
        <f>ROUND(U2331-AA2331,2)</f>
        <v/>
      </c>
      <c r="AC2331" t="b">
        <v>0</v>
      </c>
      <c r="AD2331">
        <f>IF(U2331="","MISSING_TOTAL",IF(ABS(AB2331)&lt;=0.01,"OK","CHECK"))</f>
        <v/>
      </c>
      <c r="AE2331">
        <f>IF(U2331="","MISSING",IF(AND(AA2331&gt;0,U2331/AA2331&gt;50),"POSSIBLE_SCALE_ERROR","OK"))</f>
        <v/>
      </c>
    </row>
    <row r="2332">
      <c r="A2332" t="inlineStr">
        <is>
          <t>T-2025-P05-001</t>
        </is>
      </c>
      <c r="B2332" t="inlineStr">
        <is>
          <t>MPSES</t>
        </is>
      </c>
      <c r="C2332" t="inlineStr">
        <is>
          <t>Minister</t>
        </is>
      </c>
      <c r="D2332" t="inlineStr">
        <is>
          <t>Ministre</t>
        </is>
      </c>
      <c r="E2332" t="inlineStr">
        <is>
          <t>Lawrence MacAulay</t>
        </is>
      </c>
      <c r="F2332" t="inlineStr">
        <is>
          <t>To attend a Ministerial Mission in Iowa and Minneapolis</t>
        </is>
      </c>
      <c r="G2332" t="inlineStr">
        <is>
          <t>Participer à une mission ministérielle dans l'Iowa et à Minneapolis</t>
        </is>
      </c>
      <c r="H2332" s="1" t="n">
        <v>45448</v>
      </c>
      <c r="I2332" s="1" t="n">
        <v>45451</v>
      </c>
      <c r="J2332" t="inlineStr">
        <is>
          <t>Des Moines (Iowa) United States
Minneapolis (Minnesota) United States</t>
        </is>
      </c>
      <c r="K2332" t="inlineStr">
        <is>
          <t>Des Moines (Iowa) États-Unis
Minneapolis (Minnesota) États-Unis</t>
        </is>
      </c>
      <c r="P2332" t="n">
        <v>1698.04</v>
      </c>
      <c r="Q2332" t="n">
        <v>0</v>
      </c>
      <c r="R2332" t="n">
        <v>746.4299999999999</v>
      </c>
      <c r="S2332" t="n">
        <v>392.52</v>
      </c>
      <c r="T2332" t="n">
        <v>0</v>
      </c>
      <c r="U2332" t="n">
        <v>2836.99</v>
      </c>
      <c r="X2332" t="inlineStr">
        <is>
          <t>aafc-aac</t>
        </is>
      </c>
      <c r="Y2332" t="inlineStr">
        <is>
          <t>Agriculture and Agri-Food Canada | Agriculture et Agroalimentaire Canada</t>
        </is>
      </c>
      <c r="Z2332" t="n">
        <v>4</v>
      </c>
      <c r="AA2332" t="n">
        <v>2836.99</v>
      </c>
      <c r="AB2332">
        <f>ROUND(U2332-AA2332,2)</f>
        <v/>
      </c>
      <c r="AC2332" t="b">
        <v>0</v>
      </c>
      <c r="AD2332">
        <f>IF(U2332="","MISSING_TOTAL",IF(ABS(AB2332)&lt;=0.01,"OK","CHECK"))</f>
        <v/>
      </c>
      <c r="AE2332">
        <f>IF(U2332="","MISSING",IF(AND(AA2332&gt;0,U2332/AA2332&gt;50),"POSSIBLE_SCALE_ERROR","OK"))</f>
        <v/>
      </c>
    </row>
    <row r="2333">
      <c r="A2333" t="inlineStr">
        <is>
          <t>T-2025-P05-002</t>
        </is>
      </c>
      <c r="B2333" t="inlineStr">
        <is>
          <t>MPSES</t>
        </is>
      </c>
      <c r="C2333" t="inlineStr">
        <is>
          <t>Minister</t>
        </is>
      </c>
      <c r="D2333" t="inlineStr">
        <is>
          <t>Ministre</t>
        </is>
      </c>
      <c r="E2333" t="inlineStr">
        <is>
          <t>Lawrence MacAulay</t>
        </is>
      </c>
      <c r="F2333" t="inlineStr">
        <is>
          <t>To attend meetings and announcements</t>
        </is>
      </c>
      <c r="G2333" t="inlineStr">
        <is>
          <t>Participer aux réunions et aux annonces</t>
        </is>
      </c>
      <c r="H2333" s="1" t="n">
        <v>45467</v>
      </c>
      <c r="I2333" s="1" t="n">
        <v>45468</v>
      </c>
      <c r="J2333" t="inlineStr">
        <is>
          <t>Fredericton (New Brunswick) Canada</t>
        </is>
      </c>
      <c r="K2333" t="inlineStr">
        <is>
          <t>Fredericton (Nouveau-Brunswick) Canada</t>
        </is>
      </c>
      <c r="P2333" t="n">
        <v>0</v>
      </c>
      <c r="Q2333" t="n">
        <v>464.02</v>
      </c>
      <c r="R2333" t="n">
        <v>224.96</v>
      </c>
      <c r="S2333" t="n">
        <v>173.8</v>
      </c>
      <c r="T2333" t="n">
        <v>0</v>
      </c>
      <c r="U2333" t="n">
        <v>862.78</v>
      </c>
      <c r="X2333" t="inlineStr">
        <is>
          <t>aafc-aac</t>
        </is>
      </c>
      <c r="Y2333" t="inlineStr">
        <is>
          <t>Agriculture and Agri-Food Canada | Agriculture et Agroalimentaire Canada</t>
        </is>
      </c>
      <c r="Z2333" t="n">
        <v>2</v>
      </c>
      <c r="AA2333" t="n">
        <v>862.78</v>
      </c>
      <c r="AB2333">
        <f>ROUND(U2333-AA2333,2)</f>
        <v/>
      </c>
      <c r="AC2333" t="b">
        <v>0</v>
      </c>
      <c r="AD2333">
        <f>IF(U2333="","MISSING_TOTAL",IF(ABS(AB2333)&lt;=0.01,"OK","CHECK"))</f>
        <v/>
      </c>
      <c r="AE2333">
        <f>IF(U2333="","MISSING",IF(AND(AA2333&gt;0,U2333/AA2333&gt;50),"POSSIBLE_SCALE_ERROR","OK"))</f>
        <v/>
      </c>
    </row>
    <row r="2334">
      <c r="A2334" t="inlineStr">
        <is>
          <t>T-2025-P05-003</t>
        </is>
      </c>
      <c r="B2334" t="inlineStr">
        <is>
          <t>MPSES</t>
        </is>
      </c>
      <c r="C2334" t="inlineStr">
        <is>
          <t>Minister</t>
        </is>
      </c>
      <c r="D2334" t="inlineStr">
        <is>
          <t>Ministre</t>
        </is>
      </c>
      <c r="E2334" t="inlineStr">
        <is>
          <t>Lawrence MacAulay</t>
        </is>
      </c>
      <c r="F2334" t="inlineStr">
        <is>
          <t>To attend meetings and announcements</t>
        </is>
      </c>
      <c r="G2334" t="inlineStr">
        <is>
          <t>Participer aux réunions et aux annonces</t>
        </is>
      </c>
      <c r="H2334" s="1" t="n">
        <v>45467</v>
      </c>
      <c r="I2334" s="1" t="n">
        <v>45468</v>
      </c>
      <c r="J2334" t="inlineStr">
        <is>
          <t>Fredericton (New Brunswick) Canada</t>
        </is>
      </c>
      <c r="K2334" t="inlineStr">
        <is>
          <t>Fredericton (Nouveau-Brunswick) Canada</t>
        </is>
      </c>
      <c r="P2334" t="n">
        <v>0</v>
      </c>
      <c r="Q2334" t="n">
        <v>50.25</v>
      </c>
      <c r="R2334" t="n">
        <v>0</v>
      </c>
      <c r="S2334" t="n">
        <v>0</v>
      </c>
      <c r="T2334" t="n">
        <v>0</v>
      </c>
      <c r="U2334" t="n">
        <v>50.25</v>
      </c>
      <c r="X2334" t="inlineStr">
        <is>
          <t>aafc-aac</t>
        </is>
      </c>
      <c r="Y2334" t="inlineStr">
        <is>
          <t>Agriculture and Agri-Food Canada | Agriculture et Agroalimentaire Canada</t>
        </is>
      </c>
      <c r="Z2334" t="n">
        <v>2</v>
      </c>
      <c r="AA2334" t="n">
        <v>50.25</v>
      </c>
      <c r="AB2334">
        <f>ROUND(U2334-AA2334,2)</f>
        <v/>
      </c>
      <c r="AC2334" t="b">
        <v>0</v>
      </c>
      <c r="AD2334">
        <f>IF(U2334="","MISSING_TOTAL",IF(ABS(AB2334)&lt;=0.01,"OK","CHECK"))</f>
        <v/>
      </c>
      <c r="AE2334">
        <f>IF(U2334="","MISSING",IF(AND(AA2334&gt;0,U2334/AA2334&gt;50),"POSSIBLE_SCALE_ERROR","OK"))</f>
        <v/>
      </c>
    </row>
    <row r="2335">
      <c r="A2335" t="inlineStr">
        <is>
          <t>T-2025-P05-004</t>
        </is>
      </c>
      <c r="B2335" t="inlineStr">
        <is>
          <t>MPSES</t>
        </is>
      </c>
      <c r="C2335" t="inlineStr">
        <is>
          <t>Minister</t>
        </is>
      </c>
      <c r="D2335" t="inlineStr">
        <is>
          <t>Ministre</t>
        </is>
      </c>
      <c r="E2335" t="inlineStr">
        <is>
          <t>Lawrence MacAulay</t>
        </is>
      </c>
      <c r="F2335" t="inlineStr">
        <is>
          <t>To attend the Annual Conference of Federal, Provincial and Territorial Ministers and Deputy Ministers of Agriculture</t>
        </is>
      </c>
      <c r="G2335" t="inlineStr">
        <is>
          <t>Participer à la conférence annuelle des ministres et sous-ministres fédéraux, provinciaux et territoriaux de l'Agriculture</t>
        </is>
      </c>
      <c r="H2335" s="1" t="n">
        <v>45489</v>
      </c>
      <c r="I2335" s="1" t="n">
        <v>45493</v>
      </c>
      <c r="J2335" t="inlineStr">
        <is>
          <t>Whitehorse (Yukon) Canada</t>
        </is>
      </c>
      <c r="K2335" t="inlineStr">
        <is>
          <t>Whitehorse (Yukon) Canada</t>
        </is>
      </c>
      <c r="P2335" t="n">
        <v>3014.43</v>
      </c>
      <c r="Q2335" t="n">
        <v>0</v>
      </c>
      <c r="R2335" t="n">
        <v>1207.44</v>
      </c>
      <c r="S2335" t="n">
        <v>336.15</v>
      </c>
      <c r="T2335" t="n">
        <v>0</v>
      </c>
      <c r="U2335" t="n">
        <v>4558.02</v>
      </c>
      <c r="X2335" t="inlineStr">
        <is>
          <t>aafc-aac</t>
        </is>
      </c>
      <c r="Y2335" t="inlineStr">
        <is>
          <t>Agriculture and Agri-Food Canada | Agriculture et Agroalimentaire Canada</t>
        </is>
      </c>
      <c r="Z2335" t="n">
        <v>5</v>
      </c>
      <c r="AA2335" t="n">
        <v>4558.01999999999</v>
      </c>
      <c r="AB2335">
        <f>ROUND(U2335-AA2335,2)</f>
        <v/>
      </c>
      <c r="AC2335" t="b">
        <v>0</v>
      </c>
      <c r="AD2335">
        <f>IF(U2335="","MISSING_TOTAL",IF(ABS(AB2335)&lt;=0.01,"OK","CHECK"))</f>
        <v/>
      </c>
      <c r="AE2335">
        <f>IF(U2335="","MISSING",IF(AND(AA2335&gt;0,U2335/AA2335&gt;50),"POSSIBLE_SCALE_ERROR","OK"))</f>
        <v/>
      </c>
    </row>
    <row r="2336">
      <c r="A2336" t="inlineStr">
        <is>
          <t>T-2025-P05-005</t>
        </is>
      </c>
      <c r="B2336" t="inlineStr">
        <is>
          <t>MPSES</t>
        </is>
      </c>
      <c r="C2336" t="inlineStr">
        <is>
          <t>Chief of Staff</t>
        </is>
      </c>
      <c r="D2336" t="inlineStr">
        <is>
          <t>Chef de cabinet</t>
        </is>
      </c>
      <c r="E2336" t="inlineStr">
        <is>
          <t>Matthew Mann</t>
        </is>
      </c>
      <c r="F2336" t="inlineStr">
        <is>
          <t>To support the Minister attending the Annual Conference of Federal, Provincial and Territorial Ministers and Deputy Ministers of Agriculture</t>
        </is>
      </c>
      <c r="G2336" t="inlineStr">
        <is>
          <t>Soutenir le ministre participant à la conférence annuelle des ministres et sous-ministres fédéraux, provinciaux et territoriaux de l'Agriculture</t>
        </is>
      </c>
      <c r="H2336" s="1" t="n">
        <v>45489</v>
      </c>
      <c r="I2336" s="1" t="n">
        <v>45493</v>
      </c>
      <c r="J2336" t="inlineStr">
        <is>
          <t>Whitehorse (Yukon) Canada</t>
        </is>
      </c>
      <c r="K2336" t="inlineStr">
        <is>
          <t>Whitehorse (Yukon) Canada</t>
        </is>
      </c>
      <c r="P2336" t="n">
        <v>2049.12</v>
      </c>
      <c r="Q2336" t="n">
        <v>599.08</v>
      </c>
      <c r="R2336" t="n">
        <v>810.27</v>
      </c>
      <c r="S2336" t="n">
        <v>310.95</v>
      </c>
      <c r="T2336" t="n">
        <v>0</v>
      </c>
      <c r="U2336" t="n">
        <v>3769.42</v>
      </c>
      <c r="X2336" t="inlineStr">
        <is>
          <t>aafc-aac</t>
        </is>
      </c>
      <c r="Y2336" t="inlineStr">
        <is>
          <t>Agriculture and Agri-Food Canada | Agriculture et Agroalimentaire Canada</t>
        </is>
      </c>
      <c r="Z2336" t="n">
        <v>5</v>
      </c>
      <c r="AA2336" t="n">
        <v>3769.41999999999</v>
      </c>
      <c r="AB2336">
        <f>ROUND(U2336-AA2336,2)</f>
        <v/>
      </c>
      <c r="AC2336" t="b">
        <v>0</v>
      </c>
      <c r="AD2336">
        <f>IF(U2336="","MISSING_TOTAL",IF(ABS(AB2336)&lt;=0.01,"OK","CHECK"))</f>
        <v/>
      </c>
      <c r="AE2336">
        <f>IF(U2336="","MISSING",IF(AND(AA2336&gt;0,U2336/AA2336&gt;50),"POSSIBLE_SCALE_ERROR","OK"))</f>
        <v/>
      </c>
    </row>
    <row r="2337">
      <c r="A2337" t="inlineStr">
        <is>
          <t>T-2025-P05-006</t>
        </is>
      </c>
      <c r="B2337" t="inlineStr">
        <is>
          <t>MPSES</t>
        </is>
      </c>
      <c r="C2337" t="inlineStr">
        <is>
          <t>Chief of Staff</t>
        </is>
      </c>
      <c r="D2337" t="inlineStr">
        <is>
          <t>Chef de cabinet</t>
        </is>
      </c>
      <c r="E2337" t="inlineStr">
        <is>
          <t>Matthew Mann</t>
        </is>
      </c>
      <c r="F2337" t="inlineStr">
        <is>
          <t>To support the Minister to attend meetings in Prince Edward Island.</t>
        </is>
      </c>
      <c r="G2337" t="inlineStr">
        <is>
          <t>Soutenir le ministre participant à des réunions à l'Île-du-Prince-Édouard.</t>
        </is>
      </c>
      <c r="H2337" s="1" t="n">
        <v>45519</v>
      </c>
      <c r="I2337" s="1" t="n">
        <v>45524</v>
      </c>
      <c r="J2337" t="inlineStr">
        <is>
          <t>Charlottown (Prince Edward Island) Canada</t>
        </is>
      </c>
      <c r="K2337" t="inlineStr">
        <is>
          <t>Charlottetown (l'Île-du-Prince-Édouard) Canada</t>
        </is>
      </c>
      <c r="P2337" t="n">
        <v>1727.02</v>
      </c>
      <c r="Q2337" t="n">
        <v>211.94</v>
      </c>
      <c r="R2337" t="n">
        <v>1148.98</v>
      </c>
      <c r="S2337" t="n">
        <v>335.85</v>
      </c>
      <c r="T2337" t="n">
        <v>0</v>
      </c>
      <c r="U2337" t="n">
        <v>3423.79</v>
      </c>
      <c r="X2337" t="inlineStr">
        <is>
          <t>aafc-aac</t>
        </is>
      </c>
      <c r="Y2337" t="inlineStr">
        <is>
          <t>Agriculture and Agri-Food Canada | Agriculture et Agroalimentaire Canada</t>
        </is>
      </c>
      <c r="Z2337" t="n">
        <v>6</v>
      </c>
      <c r="AA2337" t="n">
        <v>3423.79</v>
      </c>
      <c r="AB2337">
        <f>ROUND(U2337-AA2337,2)</f>
        <v/>
      </c>
      <c r="AC2337" t="b">
        <v>0</v>
      </c>
      <c r="AD2337">
        <f>IF(U2337="","MISSING_TOTAL",IF(ABS(AB2337)&lt;=0.01,"OK","CHECK"))</f>
        <v/>
      </c>
      <c r="AE2337">
        <f>IF(U2337="","MISSING",IF(AND(AA2337&gt;0,U2337/AA2337&gt;50),"POSSIBLE_SCALE_ERROR","OK"))</f>
        <v/>
      </c>
    </row>
    <row r="2338">
      <c r="A2338" t="inlineStr">
        <is>
          <t>T-2025-P05-007</t>
        </is>
      </c>
      <c r="B2338" t="inlineStr">
        <is>
          <t>MPSES</t>
        </is>
      </c>
      <c r="C2338" t="inlineStr">
        <is>
          <t>Special Assistant</t>
        </is>
      </c>
      <c r="D2338" t="inlineStr">
        <is>
          <t>Adjointe spéciale</t>
        </is>
      </c>
      <c r="E2338" t="inlineStr">
        <is>
          <t>Arianna Myers</t>
        </is>
      </c>
      <c r="F2338" t="inlineStr">
        <is>
          <t>To support the Minister to attend an Ontario Outreach</t>
        </is>
      </c>
      <c r="G2338" t="inlineStr">
        <is>
          <t>Soutenir le ministre participant à une action de sensibilisation en Ontario</t>
        </is>
      </c>
      <c r="H2338" s="1" t="n">
        <v>45510</v>
      </c>
      <c r="I2338" s="1" t="n">
        <v>45512</v>
      </c>
      <c r="J2338" t="inlineStr">
        <is>
          <t>Mississauga (Ontario) Canada
Cambridge (Ontario) Canada
Kitchener (Ontario) Canada
Ariss (Ontario) Canada
West Montrose (Ontario) Canada
Waterloo (Ontario) Canada
Woolrich (Ontario) Canada</t>
        </is>
      </c>
      <c r="K2338" t="inlineStr">
        <is>
          <t>Mississauga (Ontario) Canada
Cambridge (Ontario) Canada
Kitchener (Ontario) Canada
Ariss (Ontario) Canada
West Montrose (Ontario) Canada
Waterloo (Ontario) Canada
Woolrich (Ontario) Canada</t>
        </is>
      </c>
      <c r="P2338" t="n">
        <v>1029.12</v>
      </c>
      <c r="Q2338" t="n">
        <v>23.62</v>
      </c>
      <c r="R2338" t="n">
        <v>379.77</v>
      </c>
      <c r="S2338" t="n">
        <v>199</v>
      </c>
      <c r="T2338" t="n">
        <v>0</v>
      </c>
      <c r="U2338" t="n">
        <v>1631.51</v>
      </c>
      <c r="X2338" t="inlineStr">
        <is>
          <t>aafc-aac</t>
        </is>
      </c>
      <c r="Y2338" t="inlineStr">
        <is>
          <t>Agriculture and Agri-Food Canada | Agriculture et Agroalimentaire Canada</t>
        </is>
      </c>
      <c r="Z2338" t="n">
        <v>3</v>
      </c>
      <c r="AA2338" t="n">
        <v>1631.50999999999</v>
      </c>
      <c r="AB2338">
        <f>ROUND(U2338-AA2338,2)</f>
        <v/>
      </c>
      <c r="AC2338" t="b">
        <v>0</v>
      </c>
      <c r="AD2338">
        <f>IF(U2338="","MISSING_TOTAL",IF(ABS(AB2338)&lt;=0.01,"OK","CHECK"))</f>
        <v/>
      </c>
      <c r="AE2338">
        <f>IF(U2338="","MISSING",IF(AND(AA2338&gt;0,U2338/AA2338&gt;50),"POSSIBLE_SCALE_ERROR","OK"))</f>
        <v/>
      </c>
    </row>
    <row r="2339">
      <c r="A2339" t="inlineStr">
        <is>
          <t>T-2025-P05-008</t>
        </is>
      </c>
      <c r="B2339" t="inlineStr">
        <is>
          <t>MPSES</t>
        </is>
      </c>
      <c r="C2339" t="inlineStr">
        <is>
          <t>Director of Communications</t>
        </is>
      </c>
      <c r="D2339" t="inlineStr">
        <is>
          <t>Directrice des communications</t>
        </is>
      </c>
      <c r="E2339" t="inlineStr">
        <is>
          <t>Annie Cullinan</t>
        </is>
      </c>
      <c r="F2339" t="inlineStr">
        <is>
          <t>To support the Minister attending the Annual Conference of Federal, Provincial and Territorial Ministers and Deputy Ministers of Agriculture</t>
        </is>
      </c>
      <c r="G2339" t="inlineStr">
        <is>
          <t>Soutenir le ministre participant à la conférence annuelle des ministres et sous-ministres fédéraux, provinciaux et territoriaux de l'Agriculture</t>
        </is>
      </c>
      <c r="H2339" s="1" t="n">
        <v>45489</v>
      </c>
      <c r="I2339" s="1" t="n">
        <v>45493</v>
      </c>
      <c r="J2339" t="inlineStr">
        <is>
          <t>Whitehorse (Yukon) Canada</t>
        </is>
      </c>
      <c r="K2339" t="inlineStr">
        <is>
          <t>Whitehorse (Yukon) Canada</t>
        </is>
      </c>
      <c r="P2339" t="n">
        <v>2422.08</v>
      </c>
      <c r="Q2339" t="n">
        <v>45.1</v>
      </c>
      <c r="R2339" t="n">
        <v>810.27</v>
      </c>
      <c r="S2339" t="n">
        <v>286.05</v>
      </c>
      <c r="T2339" t="n">
        <v>0</v>
      </c>
      <c r="U2339" t="n">
        <v>3563.5</v>
      </c>
      <c r="X2339" t="inlineStr">
        <is>
          <t>aafc-aac</t>
        </is>
      </c>
      <c r="Y2339" t="inlineStr">
        <is>
          <t>Agriculture and Agri-Food Canada | Agriculture et Agroalimentaire Canada</t>
        </is>
      </c>
      <c r="Z2339" t="n">
        <v>5</v>
      </c>
      <c r="AA2339" t="n">
        <v>3563.5</v>
      </c>
      <c r="AB2339">
        <f>ROUND(U2339-AA2339,2)</f>
        <v/>
      </c>
      <c r="AC2339" t="b">
        <v>0</v>
      </c>
      <c r="AD2339">
        <f>IF(U2339="","MISSING_TOTAL",IF(ABS(AB2339)&lt;=0.01,"OK","CHECK"))</f>
        <v/>
      </c>
      <c r="AE2339">
        <f>IF(U2339="","MISSING",IF(AND(AA2339&gt;0,U2339/AA2339&gt;50),"POSSIBLE_SCALE_ERROR","OK"))</f>
        <v/>
      </c>
    </row>
    <row r="2340">
      <c r="A2340" t="inlineStr">
        <is>
          <t>T-2025-P05-009</t>
        </is>
      </c>
      <c r="B2340" t="inlineStr">
        <is>
          <t>MPSES</t>
        </is>
      </c>
      <c r="C2340" t="inlineStr">
        <is>
          <t>Director of Communications</t>
        </is>
      </c>
      <c r="D2340" t="inlineStr">
        <is>
          <t>Directrice des communications</t>
        </is>
      </c>
      <c r="E2340" t="inlineStr">
        <is>
          <t>Annie Cullinan</t>
        </is>
      </c>
      <c r="F2340" t="inlineStr">
        <is>
          <t>To support the Minister to attend meetings and announcements</t>
        </is>
      </c>
      <c r="G2340" t="inlineStr">
        <is>
          <t>Soutenir le ministre participant aux réunions et aux annonces</t>
        </is>
      </c>
      <c r="H2340" s="1" t="n">
        <v>45501</v>
      </c>
      <c r="I2340" s="1" t="n">
        <v>45508</v>
      </c>
      <c r="J2340" t="inlineStr">
        <is>
          <t>Charlottetown (Prince Edward Island) Canada
Halifax (Nova Scotia) Canada</t>
        </is>
      </c>
      <c r="K2340" t="inlineStr">
        <is>
          <t>Charlottetown (Île-du-Prince-Édouard) Canada
Halifax (Nouvelle-Écosse) Canada</t>
        </is>
      </c>
      <c r="P2340" t="n">
        <v>1144.68</v>
      </c>
      <c r="Q2340" t="n">
        <v>138.81</v>
      </c>
      <c r="R2340" t="n">
        <v>568.6900000000001</v>
      </c>
      <c r="S2340" t="n">
        <v>162.05</v>
      </c>
      <c r="T2340" t="n">
        <v>0</v>
      </c>
      <c r="U2340" t="n">
        <v>2014.23</v>
      </c>
      <c r="X2340" t="inlineStr">
        <is>
          <t>aafc-aac</t>
        </is>
      </c>
      <c r="Y2340" t="inlineStr">
        <is>
          <t>Agriculture and Agri-Food Canada | Agriculture et Agroalimentaire Canada</t>
        </is>
      </c>
      <c r="Z2340" t="n">
        <v>8</v>
      </c>
      <c r="AA2340" t="n">
        <v>2014.23</v>
      </c>
      <c r="AB2340">
        <f>ROUND(U2340-AA2340,2)</f>
        <v/>
      </c>
      <c r="AC2340" t="b">
        <v>0</v>
      </c>
      <c r="AD2340">
        <f>IF(U2340="","MISSING_TOTAL",IF(ABS(AB2340)&lt;=0.01,"OK","CHECK"))</f>
        <v/>
      </c>
      <c r="AE2340">
        <f>IF(U2340="","MISSING",IF(AND(AA2340&gt;0,U2340/AA2340&gt;50),"POSSIBLE_SCALE_ERROR","OK"))</f>
        <v/>
      </c>
    </row>
    <row r="2341">
      <c r="A2341" t="inlineStr">
        <is>
          <t>T-2025-P05-010</t>
        </is>
      </c>
      <c r="B2341" t="inlineStr">
        <is>
          <t>MPSES</t>
        </is>
      </c>
      <c r="C2341" t="inlineStr">
        <is>
          <t>Senior Special Assistant</t>
        </is>
      </c>
      <c r="D2341" t="inlineStr">
        <is>
          <t>Adjoint spécial principal</t>
        </is>
      </c>
      <c r="E2341" t="inlineStr">
        <is>
          <t>Michael Ferguson</t>
        </is>
      </c>
      <c r="F2341" t="inlineStr">
        <is>
          <t>To support the Minister to attend meetings and announcements</t>
        </is>
      </c>
      <c r="G2341" t="inlineStr">
        <is>
          <t>Soutenir le ministre participant aux réunions et aux annonces</t>
        </is>
      </c>
      <c r="H2341" s="1" t="n">
        <v>45502</v>
      </c>
      <c r="I2341" s="1" t="n">
        <v>45503</v>
      </c>
      <c r="J2341" t="inlineStr">
        <is>
          <t>Charlottetown (Prince Edward Island) Canada
Halifax (Nova Scotia) Canada</t>
        </is>
      </c>
      <c r="K2341" t="inlineStr">
        <is>
          <t>Charlottetown (Île-du-Prince-Édouard) Canada
Halifax (Nouvelle-Écosse) Canada</t>
        </is>
      </c>
      <c r="P2341" t="n">
        <v>0</v>
      </c>
      <c r="Q2341" t="n">
        <v>351.73</v>
      </c>
      <c r="R2341" t="n">
        <v>297.44</v>
      </c>
      <c r="S2341" t="n">
        <v>162.05</v>
      </c>
      <c r="T2341" t="n">
        <v>0</v>
      </c>
      <c r="U2341" t="n">
        <v>811.22</v>
      </c>
      <c r="X2341" t="inlineStr">
        <is>
          <t>aafc-aac</t>
        </is>
      </c>
      <c r="Y2341" t="inlineStr">
        <is>
          <t>Agriculture and Agri-Food Canada | Agriculture et Agroalimentaire Canada</t>
        </is>
      </c>
      <c r="Z2341" t="n">
        <v>2</v>
      </c>
      <c r="AA2341" t="n">
        <v>811.22</v>
      </c>
      <c r="AB2341">
        <f>ROUND(U2341-AA2341,2)</f>
        <v/>
      </c>
      <c r="AC2341" t="b">
        <v>0</v>
      </c>
      <c r="AD2341">
        <f>IF(U2341="","MISSING_TOTAL",IF(ABS(AB2341)&lt;=0.01,"OK","CHECK"))</f>
        <v/>
      </c>
      <c r="AE2341">
        <f>IF(U2341="","MISSING",IF(AND(AA2341&gt;0,U2341/AA2341&gt;50),"POSSIBLE_SCALE_ERROR","OK"))</f>
        <v/>
      </c>
    </row>
    <row r="2342">
      <c r="A2342" t="inlineStr">
        <is>
          <t>T-2025-P05-011</t>
        </is>
      </c>
      <c r="B2342" t="inlineStr">
        <is>
          <t>MPSES</t>
        </is>
      </c>
      <c r="C2342" t="inlineStr">
        <is>
          <t>Senior Special Assistant</t>
        </is>
      </c>
      <c r="D2342" t="inlineStr">
        <is>
          <t>Adjoint spécial principal</t>
        </is>
      </c>
      <c r="E2342" t="inlineStr">
        <is>
          <t>Michael Ferguson</t>
        </is>
      </c>
      <c r="F2342" t="inlineStr">
        <is>
          <t>To support the Minister to attend meetings and announcements</t>
        </is>
      </c>
      <c r="G2342" t="inlineStr">
        <is>
          <t>Soutenir le ministre participant aux réunions et aux annonces</t>
        </is>
      </c>
      <c r="H2342" s="1" t="n">
        <v>45467</v>
      </c>
      <c r="I2342" s="1" t="n">
        <v>45468</v>
      </c>
      <c r="J2342" t="inlineStr">
        <is>
          <t>Fredericton (New Brunswick) Canada</t>
        </is>
      </c>
      <c r="K2342" t="inlineStr">
        <is>
          <t>Fredericton (Nouveau-Brunswick) Canada</t>
        </is>
      </c>
      <c r="P2342" t="n">
        <v>0</v>
      </c>
      <c r="Q2342" t="n">
        <v>0</v>
      </c>
      <c r="R2342" t="n">
        <v>224.96</v>
      </c>
      <c r="S2342" t="n">
        <v>173.8</v>
      </c>
      <c r="T2342" t="n">
        <v>0</v>
      </c>
      <c r="U2342" t="n">
        <v>398.76</v>
      </c>
      <c r="X2342" t="inlineStr">
        <is>
          <t>aafc-aac</t>
        </is>
      </c>
      <c r="Y2342" t="inlineStr">
        <is>
          <t>Agriculture and Agri-Food Canada | Agriculture et Agroalimentaire Canada</t>
        </is>
      </c>
      <c r="Z2342" t="n">
        <v>2</v>
      </c>
      <c r="AA2342" t="n">
        <v>398.76</v>
      </c>
      <c r="AB2342">
        <f>ROUND(U2342-AA2342,2)</f>
        <v/>
      </c>
      <c r="AC2342" t="b">
        <v>0</v>
      </c>
      <c r="AD2342">
        <f>IF(U2342="","MISSING_TOTAL",IF(ABS(AB2342)&lt;=0.01,"OK","CHECK"))</f>
        <v/>
      </c>
      <c r="AE2342">
        <f>IF(U2342="","MISSING",IF(AND(AA2342&gt;0,U2342/AA2342&gt;50),"POSSIBLE_SCALE_ERROR","OK"))</f>
        <v/>
      </c>
    </row>
    <row r="2343">
      <c r="A2343" t="inlineStr">
        <is>
          <t>T-2025-P05-012</t>
        </is>
      </c>
      <c r="B2343" t="inlineStr">
        <is>
          <t>MPSES</t>
        </is>
      </c>
      <c r="C2343" t="inlineStr">
        <is>
          <t>Deputy Chief of Staff &amp; Director of Operations</t>
        </is>
      </c>
      <c r="D2343" t="inlineStr">
        <is>
          <t>Chef de cabinet adjointe et Directrice des opérations</t>
        </is>
      </c>
      <c r="E2343" t="inlineStr">
        <is>
          <t>Maria Morley</t>
        </is>
      </c>
      <c r="F2343" t="inlineStr">
        <is>
          <t>To support the Minister to attend meetings and announcements</t>
        </is>
      </c>
      <c r="G2343" t="inlineStr">
        <is>
          <t>Soutenir le ministre participant aux réunions et aux annonces</t>
        </is>
      </c>
      <c r="H2343" s="1" t="n">
        <v>45484</v>
      </c>
      <c r="I2343" s="1" t="n">
        <v>45488</v>
      </c>
      <c r="J2343" t="inlineStr">
        <is>
          <t>Charlottetown (Prince Edward Island) Canada</t>
        </is>
      </c>
      <c r="K2343" t="inlineStr">
        <is>
          <t>Charlottetown (Île-du-Prince-Édouard) Canada</t>
        </is>
      </c>
      <c r="P2343" t="n">
        <v>1253.47</v>
      </c>
      <c r="Q2343" t="n">
        <v>0</v>
      </c>
      <c r="R2343" t="n">
        <v>669.08</v>
      </c>
      <c r="S2343" t="n">
        <v>173.8</v>
      </c>
      <c r="T2343" t="n">
        <v>0</v>
      </c>
      <c r="U2343" t="n">
        <v>2096.35</v>
      </c>
      <c r="X2343" t="inlineStr">
        <is>
          <t>aafc-aac</t>
        </is>
      </c>
      <c r="Y2343" t="inlineStr">
        <is>
          <t>Agriculture and Agri-Food Canada | Agriculture et Agroalimentaire Canada</t>
        </is>
      </c>
      <c r="Z2343" t="n">
        <v>5</v>
      </c>
      <c r="AA2343" t="n">
        <v>2096.35</v>
      </c>
      <c r="AB2343">
        <f>ROUND(U2343-AA2343,2)</f>
        <v/>
      </c>
      <c r="AC2343" t="b">
        <v>0</v>
      </c>
      <c r="AD2343">
        <f>IF(U2343="","MISSING_TOTAL",IF(ABS(AB2343)&lt;=0.01,"OK","CHECK"))</f>
        <v/>
      </c>
      <c r="AE2343">
        <f>IF(U2343="","MISSING",IF(AND(AA2343&gt;0,U2343/AA2343&gt;50),"POSSIBLE_SCALE_ERROR","OK"))</f>
        <v/>
      </c>
    </row>
    <row r="2344">
      <c r="A2344" t="inlineStr">
        <is>
          <t>T-2025-P05-013</t>
        </is>
      </c>
      <c r="B2344" t="inlineStr">
        <is>
          <t>MPSES</t>
        </is>
      </c>
      <c r="C2344" t="inlineStr">
        <is>
          <t>Deputy Chief of Staff &amp; Director of Operations</t>
        </is>
      </c>
      <c r="D2344" t="inlineStr">
        <is>
          <t>Chef de cabinet adjointe et Directrice des opérations</t>
        </is>
      </c>
      <c r="E2344" t="inlineStr">
        <is>
          <t>Maria Morley</t>
        </is>
      </c>
      <c r="F2344" t="inlineStr">
        <is>
          <t>To support the Minister attending the Annual Conference of Federal, Provincial and Territorial Ministers and Deputy Ministers of Agriculture</t>
        </is>
      </c>
      <c r="G2344" t="inlineStr">
        <is>
          <t>Soutenir le ministre participant à la conférence annuelle des ministres et sous-ministres fédéraux, provinciaux et territoriaux de l'Agriculture</t>
        </is>
      </c>
      <c r="H2344" s="1" t="n">
        <v>45489</v>
      </c>
      <c r="I2344" s="1" t="n">
        <v>45492</v>
      </c>
      <c r="J2344" t="inlineStr">
        <is>
          <t>Whitehorse (Yukon) Canada</t>
        </is>
      </c>
      <c r="K2344" t="inlineStr">
        <is>
          <t>Whitehorse (Yukon) Canada</t>
        </is>
      </c>
      <c r="P2344" t="n">
        <v>2634.93</v>
      </c>
      <c r="Q2344" t="n">
        <v>24.44</v>
      </c>
      <c r="R2344" t="n">
        <v>540.1799999999999</v>
      </c>
      <c r="S2344" t="n">
        <v>199</v>
      </c>
      <c r="T2344" t="n">
        <v>0</v>
      </c>
      <c r="U2344" t="n">
        <v>3398.55</v>
      </c>
      <c r="X2344" t="inlineStr">
        <is>
          <t>aafc-aac</t>
        </is>
      </c>
      <c r="Y2344" t="inlineStr">
        <is>
          <t>Agriculture and Agri-Food Canada | Agriculture et Agroalimentaire Canada</t>
        </is>
      </c>
      <c r="Z2344" t="n">
        <v>4</v>
      </c>
      <c r="AA2344" t="n">
        <v>3398.54999999999</v>
      </c>
      <c r="AB2344">
        <f>ROUND(U2344-AA2344,2)</f>
        <v/>
      </c>
      <c r="AC2344" t="b">
        <v>0</v>
      </c>
      <c r="AD2344">
        <f>IF(U2344="","MISSING_TOTAL",IF(ABS(AB2344)&lt;=0.01,"OK","CHECK"))</f>
        <v/>
      </c>
      <c r="AE2344">
        <f>IF(U2344="","MISSING",IF(AND(AA2344&gt;0,U2344/AA2344&gt;50),"POSSIBLE_SCALE_ERROR","OK"))</f>
        <v/>
      </c>
    </row>
    <row r="2345">
      <c r="A2345" t="inlineStr">
        <is>
          <t>T-2025-P05-014</t>
        </is>
      </c>
      <c r="B2345" t="inlineStr">
        <is>
          <t>MPSES</t>
        </is>
      </c>
      <c r="C2345" t="inlineStr">
        <is>
          <t>Deputy Chief of Staff &amp; Director of Operations</t>
        </is>
      </c>
      <c r="D2345" t="inlineStr">
        <is>
          <t>Chef de cabinet adjointe et Directrice des opérations</t>
        </is>
      </c>
      <c r="E2345" t="inlineStr">
        <is>
          <t>Maria Morley</t>
        </is>
      </c>
      <c r="F2345" t="inlineStr">
        <is>
          <t>To support the Minister to attend an Ontario Outreach</t>
        </is>
      </c>
      <c r="G2345" t="inlineStr">
        <is>
          <t>Soutenir le ministre participant à une action de sensibilisation en Ontario</t>
        </is>
      </c>
      <c r="H2345" s="1" t="n">
        <v>45510</v>
      </c>
      <c r="I2345" s="1" t="n">
        <v>45512</v>
      </c>
      <c r="J2345" t="inlineStr">
        <is>
          <t>Mississauga (Ontario) Canada
Cambridge (Ontario) Canada
Kitchener (Ontario) Canada
Ariss (Ontario) Canada
West Montrose (Ontario) Canada
Waterloo (Ontario) Canada
Woolrich (Ontario) Canada</t>
        </is>
      </c>
      <c r="K2345" t="inlineStr">
        <is>
          <t>Mississauga (Ontario) Canada
Cambridge (Ontario) Canada
Kitchener (Ontario) Canada
Ariss (Ontario) Canada
West Montrose (Ontario) Canada
Waterloo (Ontario) Canada
Woolrich (Ontario) Canada</t>
        </is>
      </c>
      <c r="P2345" t="n">
        <v>1029.12</v>
      </c>
      <c r="Q2345" t="n">
        <v>259.38</v>
      </c>
      <c r="R2345" t="n">
        <v>379.77</v>
      </c>
      <c r="S2345" t="n">
        <v>285.75</v>
      </c>
      <c r="T2345" t="n">
        <v>0</v>
      </c>
      <c r="U2345" t="n">
        <v>1954.02</v>
      </c>
      <c r="X2345" t="inlineStr">
        <is>
          <t>aafc-aac</t>
        </is>
      </c>
      <c r="Y2345" t="inlineStr">
        <is>
          <t>Agriculture and Agri-Food Canada | Agriculture et Agroalimentaire Canada</t>
        </is>
      </c>
      <c r="Z2345" t="n">
        <v>3</v>
      </c>
      <c r="AA2345" t="n">
        <v>1954.02</v>
      </c>
      <c r="AB2345">
        <f>ROUND(U2345-AA2345,2)</f>
        <v/>
      </c>
      <c r="AC2345" t="b">
        <v>0</v>
      </c>
      <c r="AD2345">
        <f>IF(U2345="","MISSING_TOTAL",IF(ABS(AB2345)&lt;=0.01,"OK","CHECK"))</f>
        <v/>
      </c>
      <c r="AE2345">
        <f>IF(U2345="","MISSING",IF(AND(AA2345&gt;0,U2345/AA2345&gt;50),"POSSIBLE_SCALE_ERROR","OK"))</f>
        <v/>
      </c>
    </row>
    <row r="2346">
      <c r="A2346" t="inlineStr">
        <is>
          <t>T-2025-P05-015</t>
        </is>
      </c>
      <c r="B2346" t="inlineStr">
        <is>
          <t>SLE</t>
        </is>
      </c>
      <c r="C2346" t="inlineStr">
        <is>
          <t>Corporate Secretary</t>
        </is>
      </c>
      <c r="D2346" t="inlineStr">
        <is>
          <t>Secrétaire générale</t>
        </is>
      </c>
      <c r="E2346" t="inlineStr">
        <is>
          <t>Tamara Abel</t>
        </is>
      </c>
      <c r="F2346" t="inlineStr">
        <is>
          <t>Operational activities</t>
        </is>
      </c>
      <c r="G2346" t="inlineStr">
        <is>
          <t>Activités opérationnelles</t>
        </is>
      </c>
      <c r="H2346" s="1" t="n">
        <v>45501</v>
      </c>
      <c r="I2346" s="1" t="n">
        <v>45505</v>
      </c>
      <c r="J2346" t="inlineStr">
        <is>
          <t>Ottawa (Ontario) Canada</t>
        </is>
      </c>
      <c r="K2346" t="inlineStr">
        <is>
          <t>Ottawa (Ontario) Canada</t>
        </is>
      </c>
      <c r="P2346" t="n">
        <v>502.73</v>
      </c>
      <c r="Q2346" t="n">
        <v>304.63</v>
      </c>
      <c r="R2346" t="n">
        <v>1122.68</v>
      </c>
      <c r="S2346" t="n">
        <v>596.15</v>
      </c>
      <c r="T2346" t="n">
        <v>0</v>
      </c>
      <c r="U2346" t="n">
        <v>2526.19</v>
      </c>
      <c r="X2346" t="inlineStr">
        <is>
          <t>aafc-aac</t>
        </is>
      </c>
      <c r="Y2346" t="inlineStr">
        <is>
          <t>Agriculture and Agri-Food Canada | Agriculture et Agroalimentaire Canada</t>
        </is>
      </c>
      <c r="Z2346" t="n">
        <v>5</v>
      </c>
      <c r="AA2346" t="n">
        <v>2526.19</v>
      </c>
      <c r="AB2346">
        <f>ROUND(U2346-AA2346,2)</f>
        <v/>
      </c>
      <c r="AC2346" t="b">
        <v>0</v>
      </c>
      <c r="AD2346">
        <f>IF(U2346="","MISSING_TOTAL",IF(ABS(AB2346)&lt;=0.01,"OK","CHECK"))</f>
        <v/>
      </c>
      <c r="AE2346">
        <f>IF(U2346="","MISSING",IF(AND(AA2346&gt;0,U2346/AA2346&gt;50),"POSSIBLE_SCALE_ERROR","OK"))</f>
        <v/>
      </c>
    </row>
    <row r="2347">
      <c r="A2347" t="inlineStr">
        <is>
          <t>T-2025-P05-016</t>
        </is>
      </c>
      <c r="B2347" t="inlineStr">
        <is>
          <t>SLE</t>
        </is>
      </c>
      <c r="C2347" t="inlineStr">
        <is>
          <t>Assistant Deputy Minister, International Affairs Branch</t>
        </is>
      </c>
      <c r="D2347" t="inlineStr">
        <is>
          <t>Sous-ministre adjointe, Direction générale des affaires internationales</t>
        </is>
      </c>
      <c r="E2347" t="inlineStr">
        <is>
          <t>Kathleen Donohue</t>
        </is>
      </c>
      <c r="F2347" t="inlineStr">
        <is>
          <t>To participate in an United States Department of Agriculture mission and outreach</t>
        </is>
      </c>
      <c r="G2347" t="inlineStr">
        <is>
          <t>Participer à une mission avec le Département d'agriculture des États-Unis et action de sensibilisation</t>
        </is>
      </c>
      <c r="H2347" s="1" t="n">
        <v>45459</v>
      </c>
      <c r="I2347" s="1" t="n">
        <v>45463</v>
      </c>
      <c r="J2347" t="inlineStr">
        <is>
          <t>Vancouver (British Columbia) Canada</t>
        </is>
      </c>
      <c r="K2347" t="inlineStr">
        <is>
          <t>Vancouver (Colombie-Britannique) Canada</t>
        </is>
      </c>
      <c r="P2347" t="n">
        <v>739.1900000000001</v>
      </c>
      <c r="Q2347" t="n">
        <v>262.55</v>
      </c>
      <c r="R2347" t="n">
        <v>1358.82</v>
      </c>
      <c r="S2347" t="n">
        <v>509.1</v>
      </c>
      <c r="T2347" t="n">
        <v>0</v>
      </c>
      <c r="U2347" t="n">
        <v>2869.66</v>
      </c>
      <c r="X2347" t="inlineStr">
        <is>
          <t>aafc-aac</t>
        </is>
      </c>
      <c r="Y2347" t="inlineStr">
        <is>
          <t>Agriculture and Agri-Food Canada | Agriculture et Agroalimentaire Canada</t>
        </is>
      </c>
      <c r="Z2347" t="n">
        <v>5</v>
      </c>
      <c r="AA2347" t="n">
        <v>2869.66</v>
      </c>
      <c r="AB2347">
        <f>ROUND(U2347-AA2347,2)</f>
        <v/>
      </c>
      <c r="AC2347" t="b">
        <v>0</v>
      </c>
      <c r="AD2347">
        <f>IF(U2347="","MISSING_TOTAL",IF(ABS(AB2347)&lt;=0.01,"OK","CHECK"))</f>
        <v/>
      </c>
      <c r="AE2347">
        <f>IF(U2347="","MISSING",IF(AND(AA2347&gt;0,U2347/AA2347&gt;50),"POSSIBLE_SCALE_ERROR","OK"))</f>
        <v/>
      </c>
    </row>
    <row r="2348">
      <c r="A2348" t="inlineStr">
        <is>
          <t>T-2025-P05-017</t>
        </is>
      </c>
      <c r="B2348" t="inlineStr">
        <is>
          <t>SLE</t>
        </is>
      </c>
      <c r="C2348" t="inlineStr">
        <is>
          <t>Assistant Deputy Minister, Corporate Management Branch</t>
        </is>
      </c>
      <c r="D2348" t="inlineStr">
        <is>
          <t>Sous-ministre adjointe, Direction générale de la gestion intégrée</t>
        </is>
      </c>
      <c r="E2348" t="inlineStr">
        <is>
          <t>Marie-Claude Guérard</t>
        </is>
      </c>
      <c r="F2348" t="inlineStr">
        <is>
          <t>To attend an outreach in Fredericton and Moncton, New Brunswick</t>
        </is>
      </c>
      <c r="G2348" t="inlineStr">
        <is>
          <t>Participer à une visite de sensibilisation à Fredericton et Moncton, Nouveau-Brunswick</t>
        </is>
      </c>
      <c r="H2348" s="1" t="n">
        <v>45495</v>
      </c>
      <c r="I2348" s="1" t="n">
        <v>45498</v>
      </c>
      <c r="J2348" t="inlineStr">
        <is>
          <t>Fredericton (New Brunswick) Canada
Moncton (New Brunswick) Canada</t>
        </is>
      </c>
      <c r="K2348" t="inlineStr">
        <is>
          <t>Fredericton (Nouveau Brunswick) Canada
Moncton (New Brunswick) Canada</t>
        </is>
      </c>
      <c r="P2348" t="n">
        <v>210.86</v>
      </c>
      <c r="Q2348" t="n">
        <v>107.47</v>
      </c>
      <c r="R2348" t="n">
        <v>628.46</v>
      </c>
      <c r="S2348" t="n">
        <v>492.1</v>
      </c>
      <c r="T2348" t="n">
        <v>0</v>
      </c>
      <c r="U2348" t="n">
        <v>1438.89</v>
      </c>
      <c r="X2348" t="inlineStr">
        <is>
          <t>aafc-aac</t>
        </is>
      </c>
      <c r="Y2348" t="inlineStr">
        <is>
          <t>Agriculture and Agri-Food Canada | Agriculture et Agroalimentaire Canada</t>
        </is>
      </c>
      <c r="Z2348" t="n">
        <v>4</v>
      </c>
      <c r="AA2348" t="n">
        <v>1438.89</v>
      </c>
      <c r="AB2348">
        <f>ROUND(U2348-AA2348,2)</f>
        <v/>
      </c>
      <c r="AC2348" t="b">
        <v>0</v>
      </c>
      <c r="AD2348">
        <f>IF(U2348="","MISSING_TOTAL",IF(ABS(AB2348)&lt;=0.01,"OK","CHECK"))</f>
        <v/>
      </c>
      <c r="AE2348">
        <f>IF(U2348="","MISSING",IF(AND(AA2348&gt;0,U2348/AA2348&gt;50),"POSSIBLE_SCALE_ERROR","OK"))</f>
        <v/>
      </c>
    </row>
    <row r="2349">
      <c r="A2349" t="inlineStr">
        <is>
          <t>T-2025-P05-018</t>
        </is>
      </c>
      <c r="B2349" t="inlineStr">
        <is>
          <t>SLE</t>
        </is>
      </c>
      <c r="C2349" t="inlineStr">
        <is>
          <t>Assistant Deputy Minister, Strategic Policy Branch</t>
        </is>
      </c>
      <c r="D2349" t="inlineStr">
        <is>
          <t>Sous-ministre adjointe, Direction générale des politiques stratégiques</t>
        </is>
      </c>
      <c r="E2349" t="inlineStr">
        <is>
          <t>Shannon Nix</t>
        </is>
      </c>
      <c r="F2349" t="inlineStr">
        <is>
          <t>To attend meetings with the Minister in Charlottetown</t>
        </is>
      </c>
      <c r="G2349" t="inlineStr">
        <is>
          <t>Participer aux réunions avec le ministre à Charlottetown</t>
        </is>
      </c>
      <c r="H2349" s="1" t="n">
        <v>45484</v>
      </c>
      <c r="I2349" s="1" t="n">
        <v>45485</v>
      </c>
      <c r="J2349" t="inlineStr">
        <is>
          <t>Charlottetown (Prince Edward Island) Canada</t>
        </is>
      </c>
      <c r="K2349" t="inlineStr">
        <is>
          <t>Charlottetown (île-du-Prince-Édouard) Canada</t>
        </is>
      </c>
      <c r="P2349" t="n">
        <v>1000.44</v>
      </c>
      <c r="Q2349" t="n">
        <v>435.91</v>
      </c>
      <c r="R2349" t="n">
        <v>425.35</v>
      </c>
      <c r="S2349" t="n">
        <v>208.4</v>
      </c>
      <c r="T2349" t="n">
        <v>0</v>
      </c>
      <c r="U2349" t="n">
        <v>2070.1</v>
      </c>
      <c r="X2349" t="inlineStr">
        <is>
          <t>aafc-aac</t>
        </is>
      </c>
      <c r="Y2349" t="inlineStr">
        <is>
          <t>Agriculture and Agri-Food Canada | Agriculture et Agroalimentaire Canada</t>
        </is>
      </c>
      <c r="Z2349" t="n">
        <v>2</v>
      </c>
      <c r="AA2349" t="n">
        <v>2070.1</v>
      </c>
      <c r="AB2349">
        <f>ROUND(U2349-AA2349,2)</f>
        <v/>
      </c>
      <c r="AC2349" t="b">
        <v>0</v>
      </c>
      <c r="AD2349">
        <f>IF(U2349="","MISSING_TOTAL",IF(ABS(AB2349)&lt;=0.01,"OK","CHECK"))</f>
        <v/>
      </c>
      <c r="AE2349">
        <f>IF(U2349="","MISSING",IF(AND(AA2349&gt;0,U2349/AA2349&gt;50),"POSSIBLE_SCALE_ERROR","OK"))</f>
        <v/>
      </c>
    </row>
    <row r="2350">
      <c r="A2350" t="inlineStr">
        <is>
          <t>T-2025-P05-019</t>
        </is>
      </c>
      <c r="B2350" t="inlineStr">
        <is>
          <t>SLE</t>
        </is>
      </c>
      <c r="C2350" t="inlineStr">
        <is>
          <t>Assistant Deputy Minister, Strategic Policy Branch</t>
        </is>
      </c>
      <c r="D2350" t="inlineStr">
        <is>
          <t>Sous-ministre adjointe, Direction générale des politiques stratégiques</t>
        </is>
      </c>
      <c r="E2350" t="inlineStr">
        <is>
          <t>Shannon Nix</t>
        </is>
      </c>
      <c r="F2350" t="inlineStr">
        <is>
          <t>To attend the Annual Conference of Federal, Provincial and Territorial Ministers and Deputy Ministers of Agriculture</t>
        </is>
      </c>
      <c r="G2350" t="inlineStr">
        <is>
          <t>Participer à la conférence annuelle des ministres et sous-ministres fédéraux, provinciaux et territoriaux de l'Agriculture</t>
        </is>
      </c>
      <c r="H2350" s="1" t="n">
        <v>45487</v>
      </c>
      <c r="I2350" s="1" t="n">
        <v>45493</v>
      </c>
      <c r="J2350" t="inlineStr">
        <is>
          <t>Whitehorse (Yukon) Canada</t>
        </is>
      </c>
      <c r="K2350" t="inlineStr">
        <is>
          <t>Whitehorse (Yukon) Canada</t>
        </is>
      </c>
      <c r="P2350" t="n">
        <v>29.38</v>
      </c>
      <c r="Q2350" t="n">
        <v>94.73</v>
      </c>
      <c r="R2350" t="n">
        <v>1080.36</v>
      </c>
      <c r="S2350" t="n">
        <v>603.75</v>
      </c>
      <c r="T2350" t="n">
        <v>0</v>
      </c>
      <c r="U2350" t="n">
        <v>1808.22</v>
      </c>
      <c r="V2350" t="inlineStr">
        <is>
          <t>Departmental travel credit applied to flight purchase</t>
        </is>
      </c>
      <c r="X2350" t="inlineStr">
        <is>
          <t>aafc-aac</t>
        </is>
      </c>
      <c r="Y2350" t="inlineStr">
        <is>
          <t>Agriculture and Agri-Food Canada | Agriculture et Agroalimentaire Canada</t>
        </is>
      </c>
      <c r="Z2350" t="n">
        <v>7</v>
      </c>
      <c r="AA2350" t="n">
        <v>1808.21999999999</v>
      </c>
      <c r="AB2350">
        <f>ROUND(U2350-AA2350,2)</f>
        <v/>
      </c>
      <c r="AC2350" t="b">
        <v>0</v>
      </c>
      <c r="AD2350">
        <f>IF(U2350="","MISSING_TOTAL",IF(ABS(AB2350)&lt;=0.01,"OK","CHECK"))</f>
        <v/>
      </c>
      <c r="AE2350">
        <f>IF(U2350="","MISSING",IF(AND(AA2350&gt;0,U2350/AA2350&gt;50),"POSSIBLE_SCALE_ERROR","OK"))</f>
        <v/>
      </c>
    </row>
    <row r="2351">
      <c r="A2351" t="inlineStr">
        <is>
          <t>T-2025-P05-020</t>
        </is>
      </c>
      <c r="B2351" t="inlineStr">
        <is>
          <t>SLE</t>
        </is>
      </c>
      <c r="C2351" t="inlineStr">
        <is>
          <t>Assistant Deputy Minister, Programs Branch</t>
        </is>
      </c>
      <c r="D2351" t="inlineStr">
        <is>
          <t>Sous-ministre adjointe, Direction générale des programmes</t>
        </is>
      </c>
      <c r="E2351" t="inlineStr">
        <is>
          <t>Liz Foster</t>
        </is>
      </c>
      <c r="F2351" t="inlineStr">
        <is>
          <t>To attend meetings with the Minister in Charlottetown</t>
        </is>
      </c>
      <c r="G2351" t="inlineStr">
        <is>
          <t>Participer aux réunions avec le ministre à Charlottetown</t>
        </is>
      </c>
      <c r="H2351" s="1" t="n">
        <v>45483</v>
      </c>
      <c r="I2351" s="1" t="n">
        <v>45484</v>
      </c>
      <c r="J2351" t="inlineStr">
        <is>
          <t>Charlottetown (Prince Edward Island) Canada</t>
        </is>
      </c>
      <c r="K2351" t="inlineStr">
        <is>
          <t>Charlottetown (Île-du-Prince-Édouard) Canada</t>
        </is>
      </c>
      <c r="P2351" t="n">
        <v>429.29</v>
      </c>
      <c r="Q2351" t="n">
        <v>50</v>
      </c>
      <c r="R2351" t="n">
        <v>425.35</v>
      </c>
      <c r="S2351" t="n">
        <v>233.6</v>
      </c>
      <c r="T2351" t="n">
        <v>0</v>
      </c>
      <c r="U2351" t="n">
        <v>1138.24</v>
      </c>
      <c r="X2351" t="inlineStr">
        <is>
          <t>aafc-aac</t>
        </is>
      </c>
      <c r="Y2351" t="inlineStr">
        <is>
          <t>Agriculture and Agri-Food Canada | Agriculture et Agroalimentaire Canada</t>
        </is>
      </c>
      <c r="Z2351" t="n">
        <v>2</v>
      </c>
      <c r="AA2351" t="n">
        <v>1138.24</v>
      </c>
      <c r="AB2351">
        <f>ROUND(U2351-AA2351,2)</f>
        <v/>
      </c>
      <c r="AC2351" t="b">
        <v>0</v>
      </c>
      <c r="AD2351">
        <f>IF(U2351="","MISSING_TOTAL",IF(ABS(AB2351)&lt;=0.01,"OK","CHECK"))</f>
        <v/>
      </c>
      <c r="AE2351">
        <f>IF(U2351="","MISSING",IF(AND(AA2351&gt;0,U2351/AA2351&gt;50),"POSSIBLE_SCALE_ERROR","OK"))</f>
        <v/>
      </c>
    </row>
    <row r="2352">
      <c r="A2352" t="inlineStr">
        <is>
          <t>T-2025-P05-021</t>
        </is>
      </c>
      <c r="B2352" t="inlineStr">
        <is>
          <t>SLE</t>
        </is>
      </c>
      <c r="C2352" t="inlineStr">
        <is>
          <t>Assistant Deputy Minister, Programs Branch</t>
        </is>
      </c>
      <c r="D2352" t="inlineStr">
        <is>
          <t>Sous-ministre adjointe, Direction générale des programmes</t>
        </is>
      </c>
      <c r="E2352" t="inlineStr">
        <is>
          <t>Liz Foster</t>
        </is>
      </c>
      <c r="F2352" t="inlineStr">
        <is>
          <t>To attend the Annual Conference of Federal, Provincial and Territorial Ministers and Deputy Ministers of Agriculture</t>
        </is>
      </c>
      <c r="G2352" t="inlineStr">
        <is>
          <t>Participer à la conférence annuelle des ministres et sous-ministres fédéraux, provinciaux et territoriaux de l'Agriculture</t>
        </is>
      </c>
      <c r="H2352" s="1" t="n">
        <v>45489</v>
      </c>
      <c r="I2352" s="1" t="n">
        <v>45493</v>
      </c>
      <c r="J2352" t="inlineStr">
        <is>
          <t>Whitehorse (Yukon) Canada</t>
        </is>
      </c>
      <c r="K2352" t="inlineStr">
        <is>
          <t>Whitehorse (Yukon) Canada</t>
        </is>
      </c>
      <c r="P2352" t="n">
        <v>34.78</v>
      </c>
      <c r="Q2352" t="n">
        <v>125</v>
      </c>
      <c r="R2352" t="n">
        <v>1388.99</v>
      </c>
      <c r="S2352" t="n">
        <v>322.25</v>
      </c>
      <c r="T2352" t="n">
        <v>0</v>
      </c>
      <c r="U2352" t="n">
        <v>1871.02</v>
      </c>
      <c r="V2352" t="inlineStr">
        <is>
          <t>Departmental travel credit applied to flight purchase</t>
        </is>
      </c>
      <c r="X2352" t="inlineStr">
        <is>
          <t>aafc-aac</t>
        </is>
      </c>
      <c r="Y2352" t="inlineStr">
        <is>
          <t>Agriculture and Agri-Food Canada | Agriculture et Agroalimentaire Canada</t>
        </is>
      </c>
      <c r="Z2352" t="n">
        <v>5</v>
      </c>
      <c r="AA2352" t="n">
        <v>1871.02</v>
      </c>
      <c r="AB2352">
        <f>ROUND(U2352-AA2352,2)</f>
        <v/>
      </c>
      <c r="AC2352" t="b">
        <v>0</v>
      </c>
      <c r="AD2352">
        <f>IF(U2352="","MISSING_TOTAL",IF(ABS(AB2352)&lt;=0.01,"OK","CHECK"))</f>
        <v/>
      </c>
      <c r="AE2352">
        <f>IF(U2352="","MISSING",IF(AND(AA2352&gt;0,U2352/AA2352&gt;50),"POSSIBLE_SCALE_ERROR","OK"))</f>
        <v/>
      </c>
    </row>
    <row r="2353">
      <c r="A2353" t="inlineStr">
        <is>
          <t>T-2025-P06-001</t>
        </is>
      </c>
      <c r="B2353" t="inlineStr">
        <is>
          <t>MPSES</t>
        </is>
      </c>
      <c r="C2353" t="inlineStr">
        <is>
          <t>Minister</t>
        </is>
      </c>
      <c r="D2353" t="inlineStr">
        <is>
          <t>Ministre</t>
        </is>
      </c>
      <c r="E2353" t="inlineStr">
        <is>
          <t>Lawrence MacAulay</t>
        </is>
      </c>
      <c r="F2353" t="inlineStr">
        <is>
          <t>To attend an Outreach and a Cabinet Retreat in Halifax</t>
        </is>
      </c>
      <c r="G2353" t="inlineStr">
        <is>
          <t>Participer à une réunion de sensibilisation et à une retraite du cabinet à Halifax</t>
        </is>
      </c>
      <c r="H2353" s="1" t="n">
        <v>45526</v>
      </c>
      <c r="I2353" s="1" t="n">
        <v>45527</v>
      </c>
      <c r="J2353" t="inlineStr">
        <is>
          <t>Halifax (Nova-Scotia) Canada</t>
        </is>
      </c>
      <c r="K2353" t="inlineStr">
        <is>
          <t>Halifax (Nouvelle-Écosse) Canada</t>
        </is>
      </c>
      <c r="P2353" t="n">
        <v>0</v>
      </c>
      <c r="Q2353" t="n">
        <v>385.4</v>
      </c>
      <c r="R2353" t="n">
        <v>0</v>
      </c>
      <c r="S2353" t="n">
        <v>0</v>
      </c>
      <c r="T2353" t="n">
        <v>0</v>
      </c>
      <c r="U2353" t="n">
        <v>385.4</v>
      </c>
      <c r="X2353" t="inlineStr">
        <is>
          <t>aafc-aac</t>
        </is>
      </c>
      <c r="Y2353" t="inlineStr">
        <is>
          <t>Agriculture and Agri-Food Canada | Agriculture et Agroalimentaire Canada</t>
        </is>
      </c>
      <c r="Z2353" t="n">
        <v>2</v>
      </c>
      <c r="AA2353" t="n">
        <v>385.4</v>
      </c>
      <c r="AB2353">
        <f>ROUND(U2353-AA2353,2)</f>
        <v/>
      </c>
      <c r="AC2353" t="b">
        <v>0</v>
      </c>
      <c r="AD2353">
        <f>IF(U2353="","MISSING_TOTAL",IF(ABS(AB2353)&lt;=0.01,"OK","CHECK"))</f>
        <v/>
      </c>
      <c r="AE2353">
        <f>IF(U2353="","MISSING",IF(AND(AA2353&gt;0,U2353/AA2353&gt;50),"POSSIBLE_SCALE_ERROR","OK"))</f>
        <v/>
      </c>
    </row>
    <row r="2354">
      <c r="A2354" t="inlineStr">
        <is>
          <t>T-2025-P06-002</t>
        </is>
      </c>
      <c r="B2354" t="inlineStr">
        <is>
          <t>MPSES</t>
        </is>
      </c>
      <c r="C2354" t="inlineStr">
        <is>
          <t>Minister</t>
        </is>
      </c>
      <c r="D2354" t="inlineStr">
        <is>
          <t>Ministre</t>
        </is>
      </c>
      <c r="E2354" t="inlineStr">
        <is>
          <t>Lawrence MacAulay</t>
        </is>
      </c>
      <c r="F2354" t="inlineStr">
        <is>
          <t>To attend the Atlantic Caucus Retreat</t>
        </is>
      </c>
      <c r="G2354" t="inlineStr">
        <is>
          <t>Participer à la retraite du caucus atlantique</t>
        </is>
      </c>
      <c r="H2354" s="1" t="n">
        <v>45540</v>
      </c>
      <c r="I2354" s="1" t="n">
        <v>45541</v>
      </c>
      <c r="J2354" t="inlineStr">
        <is>
          <t>Deer Lake (Newfoundland and Labrador) Canada
St.Johns (Newfoundland and Labrador) Canada</t>
        </is>
      </c>
      <c r="K2354" t="inlineStr">
        <is>
          <t>Deer Lake (Terre-Neuve et Labrador) Canada
St.John's (Terre-Neuve et Labrador) Canada</t>
        </is>
      </c>
      <c r="P2354" t="n">
        <v>937</v>
      </c>
      <c r="Q2354" t="n">
        <v>129.95</v>
      </c>
      <c r="R2354" t="n">
        <v>254.66</v>
      </c>
      <c r="S2354" t="n">
        <v>148.6</v>
      </c>
      <c r="T2354" t="n">
        <v>0</v>
      </c>
      <c r="U2354" t="n">
        <v>1470.21</v>
      </c>
      <c r="X2354" t="inlineStr">
        <is>
          <t>aafc-aac</t>
        </is>
      </c>
      <c r="Y2354" t="inlineStr">
        <is>
          <t>Agriculture and Agri-Food Canada | Agriculture et Agroalimentaire Canada</t>
        </is>
      </c>
      <c r="Z2354" t="n">
        <v>2</v>
      </c>
      <c r="AA2354" t="n">
        <v>1470.21</v>
      </c>
      <c r="AB2354">
        <f>ROUND(U2354-AA2354,2)</f>
        <v/>
      </c>
      <c r="AC2354" t="b">
        <v>0</v>
      </c>
      <c r="AD2354">
        <f>IF(U2354="","MISSING_TOTAL",IF(ABS(AB2354)&lt;=0.01,"OK","CHECK"))</f>
        <v/>
      </c>
      <c r="AE2354">
        <f>IF(U2354="","MISSING",IF(AND(AA2354&gt;0,U2354/AA2354&gt;50),"POSSIBLE_SCALE_ERROR","OK"))</f>
        <v/>
      </c>
    </row>
    <row r="2355">
      <c r="A2355" t="inlineStr">
        <is>
          <t>T-2025-P06-003</t>
        </is>
      </c>
      <c r="B2355" t="inlineStr">
        <is>
          <t>MPSES</t>
        </is>
      </c>
      <c r="C2355" t="inlineStr">
        <is>
          <t>Minister</t>
        </is>
      </c>
      <c r="D2355" t="inlineStr">
        <is>
          <t>Ministre</t>
        </is>
      </c>
      <c r="E2355" t="inlineStr">
        <is>
          <t>Lawrence MacAulay</t>
        </is>
      </c>
      <c r="F2355" t="inlineStr">
        <is>
          <t>To attend the G7 Agriculture Ministerial meeting</t>
        </is>
      </c>
      <c r="G2355" t="inlineStr">
        <is>
          <t>Participer à la réunion des ministres de l'agriculture du G7</t>
        </is>
      </c>
      <c r="H2355" s="1" t="n">
        <v>45557</v>
      </c>
      <c r="I2355" s="1" t="n">
        <v>45564</v>
      </c>
      <c r="J2355" t="inlineStr">
        <is>
          <t>Syracuse (Sicily) Italy</t>
        </is>
      </c>
      <c r="K2355" t="inlineStr">
        <is>
          <t>Syracuse (Sicile) Italie</t>
        </is>
      </c>
      <c r="P2355" t="n">
        <v>751.39</v>
      </c>
      <c r="Q2355" t="n">
        <v>0</v>
      </c>
      <c r="R2355" t="n">
        <v>0</v>
      </c>
      <c r="S2355" t="n">
        <v>0</v>
      </c>
      <c r="T2355" t="n">
        <v>0</v>
      </c>
      <c r="U2355" t="n">
        <v>751.39</v>
      </c>
      <c r="V2355" t="inlineStr">
        <is>
          <t>This trip was canceled. The airfare incurred non-refundable service fees and a penalty fee</t>
        </is>
      </c>
      <c r="W2355" t="inlineStr">
        <is>
          <t>Ce voyage a été annulé. Le billet d'avion a entraîné des frais de service non remboursables et une pénalité</t>
        </is>
      </c>
      <c r="X2355" t="inlineStr">
        <is>
          <t>aafc-aac</t>
        </is>
      </c>
      <c r="Y2355" t="inlineStr">
        <is>
          <t>Agriculture and Agri-Food Canada | Agriculture et Agroalimentaire Canada</t>
        </is>
      </c>
      <c r="Z2355" t="n">
        <v>8</v>
      </c>
      <c r="AA2355" t="n">
        <v>751.39</v>
      </c>
      <c r="AB2355">
        <f>ROUND(U2355-AA2355,2)</f>
        <v/>
      </c>
      <c r="AC2355" t="b">
        <v>0</v>
      </c>
      <c r="AD2355">
        <f>IF(U2355="","MISSING_TOTAL",IF(ABS(AB2355)&lt;=0.01,"OK","CHECK"))</f>
        <v/>
      </c>
      <c r="AE2355">
        <f>IF(U2355="","MISSING",IF(AND(AA2355&gt;0,U2355/AA2355&gt;50),"POSSIBLE_SCALE_ERROR","OK"))</f>
        <v/>
      </c>
    </row>
    <row r="2356">
      <c r="A2356" t="inlineStr">
        <is>
          <t>T-2025-P06-004</t>
        </is>
      </c>
      <c r="B2356" t="inlineStr">
        <is>
          <t>MPSES</t>
        </is>
      </c>
      <c r="C2356" t="inlineStr">
        <is>
          <t>Chief of Staff</t>
        </is>
      </c>
      <c r="D2356" t="inlineStr">
        <is>
          <t>Chef de cabinet</t>
        </is>
      </c>
      <c r="E2356" t="inlineStr">
        <is>
          <t>Matthew Mann</t>
        </is>
      </c>
      <c r="F2356" t="inlineStr">
        <is>
          <t>To support the Minister in attending a Cabinet Retreat in Halifax</t>
        </is>
      </c>
      <c r="G2356" t="inlineStr">
        <is>
          <t>Soutenir le ministre lors de sa participation à une retraite du cabinet à Halifax</t>
        </is>
      </c>
      <c r="H2356" s="1" t="n">
        <v>45526</v>
      </c>
      <c r="I2356" s="1" t="n">
        <v>45531</v>
      </c>
      <c r="J2356" t="inlineStr">
        <is>
          <t>Halifax (Nova-Scotia) Canada</t>
        </is>
      </c>
      <c r="K2356" t="inlineStr">
        <is>
          <t>Halifax (Nouvelle-Écosse) Canada</t>
        </is>
      </c>
      <c r="P2356" t="n">
        <v>1465.64</v>
      </c>
      <c r="Q2356" t="n">
        <v>193.51</v>
      </c>
      <c r="R2356" t="n">
        <v>1486.2</v>
      </c>
      <c r="S2356" t="n">
        <v>223.9</v>
      </c>
      <c r="T2356" t="n">
        <v>0</v>
      </c>
      <c r="U2356" t="n">
        <v>3369.25</v>
      </c>
      <c r="X2356" t="inlineStr">
        <is>
          <t>aafc-aac</t>
        </is>
      </c>
      <c r="Y2356" t="inlineStr">
        <is>
          <t>Agriculture and Agri-Food Canada | Agriculture et Agroalimentaire Canada</t>
        </is>
      </c>
      <c r="Z2356" t="n">
        <v>6</v>
      </c>
      <c r="AA2356" t="n">
        <v>3369.25</v>
      </c>
      <c r="AB2356">
        <f>ROUND(U2356-AA2356,2)</f>
        <v/>
      </c>
      <c r="AC2356" t="b">
        <v>0</v>
      </c>
      <c r="AD2356">
        <f>IF(U2356="","MISSING_TOTAL",IF(ABS(AB2356)&lt;=0.01,"OK","CHECK"))</f>
        <v/>
      </c>
      <c r="AE2356">
        <f>IF(U2356="","MISSING",IF(AND(AA2356&gt;0,U2356/AA2356&gt;50),"POSSIBLE_SCALE_ERROR","OK"))</f>
        <v/>
      </c>
    </row>
    <row r="2357">
      <c r="A2357" t="inlineStr">
        <is>
          <t>T-2025-P06-005</t>
        </is>
      </c>
      <c r="B2357" t="inlineStr">
        <is>
          <t>MPSES</t>
        </is>
      </c>
      <c r="C2357" t="inlineStr">
        <is>
          <t>Director of Communications</t>
        </is>
      </c>
      <c r="D2357" t="inlineStr">
        <is>
          <t>Directrice des communications</t>
        </is>
      </c>
      <c r="E2357" t="inlineStr">
        <is>
          <t>Annie Cullinan</t>
        </is>
      </c>
      <c r="F2357" t="inlineStr">
        <is>
          <t>To support the Minister at the University of Prince Edward Island Climate Centre</t>
        </is>
      </c>
      <c r="G2357" t="inlineStr">
        <is>
          <t>Soutenir le ministre au Centre climatique de l'Université de l'Île-du-Prince-Édouard</t>
        </is>
      </c>
      <c r="H2357" s="1" t="n">
        <v>45532</v>
      </c>
      <c r="I2357" s="1" t="n">
        <v>45536</v>
      </c>
      <c r="J2357" t="inlineStr">
        <is>
          <t>Charlottetown (Prince Edward Island) Canada</t>
        </is>
      </c>
      <c r="K2357" t="inlineStr">
        <is>
          <t>Charlottetown (Île-du-Prince-Édouard) Canada</t>
        </is>
      </c>
      <c r="P2357" t="n">
        <v>1192.63</v>
      </c>
      <c r="Q2357" t="n">
        <v>66.87</v>
      </c>
      <c r="R2357" t="n">
        <v>677.5599999999999</v>
      </c>
      <c r="S2357" t="n">
        <v>310.95</v>
      </c>
      <c r="T2357" t="n">
        <v>0</v>
      </c>
      <c r="U2357" t="n">
        <v>2248.01</v>
      </c>
      <c r="X2357" t="inlineStr">
        <is>
          <t>aafc-aac</t>
        </is>
      </c>
      <c r="Y2357" t="inlineStr">
        <is>
          <t>Agriculture and Agri-Food Canada | Agriculture et Agroalimentaire Canada</t>
        </is>
      </c>
      <c r="Z2357" t="n">
        <v>5</v>
      </c>
      <c r="AA2357" t="n">
        <v>2248.00999999999</v>
      </c>
      <c r="AB2357">
        <f>ROUND(U2357-AA2357,2)</f>
        <v/>
      </c>
      <c r="AC2357" t="b">
        <v>0</v>
      </c>
      <c r="AD2357">
        <f>IF(U2357="","MISSING_TOTAL",IF(ABS(AB2357)&lt;=0.01,"OK","CHECK"))</f>
        <v/>
      </c>
      <c r="AE2357">
        <f>IF(U2357="","MISSING",IF(AND(AA2357&gt;0,U2357/AA2357&gt;50),"POSSIBLE_SCALE_ERROR","OK"))</f>
        <v/>
      </c>
    </row>
    <row r="2358">
      <c r="A2358" t="inlineStr">
        <is>
          <t>T-2025-P06-006</t>
        </is>
      </c>
      <c r="B2358" t="inlineStr">
        <is>
          <t>MPSES</t>
        </is>
      </c>
      <c r="C2358" t="inlineStr">
        <is>
          <t>Director of Communications</t>
        </is>
      </c>
      <c r="D2358" t="inlineStr">
        <is>
          <t>Directrice des communications</t>
        </is>
      </c>
      <c r="E2358" t="inlineStr">
        <is>
          <t>Annie Cullinan</t>
        </is>
      </c>
      <c r="F2358" t="inlineStr">
        <is>
          <t>To support the Minister to attend meetings and announcements</t>
        </is>
      </c>
      <c r="G2358" t="inlineStr">
        <is>
          <t>Soutenir le ministre à participer aux réunions et aux annonces</t>
        </is>
      </c>
      <c r="H2358" s="1" t="n">
        <v>45540</v>
      </c>
      <c r="I2358" s="1" t="n">
        <v>45541</v>
      </c>
      <c r="J2358" t="inlineStr">
        <is>
          <t>St.John's (Newfoundland and Labrador) Canada</t>
        </is>
      </c>
      <c r="K2358" t="inlineStr">
        <is>
          <t>St.John's (Terre-Neuve et Labrador) Canada</t>
        </is>
      </c>
      <c r="P2358" t="n">
        <v>1988.7</v>
      </c>
      <c r="Q2358" t="n">
        <v>81.31</v>
      </c>
      <c r="R2358" t="n">
        <v>247.58</v>
      </c>
      <c r="S2358" t="n">
        <v>198.7</v>
      </c>
      <c r="T2358" t="n">
        <v>0</v>
      </c>
      <c r="U2358" t="n">
        <v>2516.29</v>
      </c>
      <c r="X2358" t="inlineStr">
        <is>
          <t>aafc-aac</t>
        </is>
      </c>
      <c r="Y2358" t="inlineStr">
        <is>
          <t>Agriculture and Agri-Food Canada | Agriculture et Agroalimentaire Canada</t>
        </is>
      </c>
      <c r="Z2358" t="n">
        <v>2</v>
      </c>
      <c r="AA2358" t="n">
        <v>2516.29</v>
      </c>
      <c r="AB2358">
        <f>ROUND(U2358-AA2358,2)</f>
        <v/>
      </c>
      <c r="AC2358" t="b">
        <v>0</v>
      </c>
      <c r="AD2358">
        <f>IF(U2358="","MISSING_TOTAL",IF(ABS(AB2358)&lt;=0.01,"OK","CHECK"))</f>
        <v/>
      </c>
      <c r="AE2358">
        <f>IF(U2358="","MISSING",IF(AND(AA2358&gt;0,U2358/AA2358&gt;50),"POSSIBLE_SCALE_ERROR","OK"))</f>
        <v/>
      </c>
    </row>
    <row r="2359">
      <c r="A2359" t="inlineStr">
        <is>
          <t>T-2025-P06-007</t>
        </is>
      </c>
      <c r="B2359" t="inlineStr">
        <is>
          <t>MPSES</t>
        </is>
      </c>
      <c r="C2359" t="inlineStr">
        <is>
          <t>Deputy Chief of Staff &amp; Director of Operations</t>
        </is>
      </c>
      <c r="D2359" t="inlineStr">
        <is>
          <t>Chef de cabinet adjointe et Directrice des opérations</t>
        </is>
      </c>
      <c r="E2359" t="inlineStr">
        <is>
          <t>Maria Morley</t>
        </is>
      </c>
      <c r="F2359" t="inlineStr">
        <is>
          <t>To support the Minister in attending meetings and tours in Halifax</t>
        </is>
      </c>
      <c r="G2359" t="inlineStr">
        <is>
          <t>Soutenir le ministre lors de sa participation à des réunions et des visites à Halifax</t>
        </is>
      </c>
      <c r="H2359" s="1" t="n">
        <v>45526</v>
      </c>
      <c r="I2359" s="1" t="n">
        <v>45532</v>
      </c>
      <c r="J2359" t="inlineStr">
        <is>
          <t>Halifax (Nova-Scotia) Canada</t>
        </is>
      </c>
      <c r="K2359" t="inlineStr">
        <is>
          <t>Halifax (Nouvelle-Écosse) Canada</t>
        </is>
      </c>
      <c r="P2359" t="n">
        <v>942.26</v>
      </c>
      <c r="Q2359" t="n">
        <v>447.25</v>
      </c>
      <c r="R2359" t="n">
        <v>0</v>
      </c>
      <c r="S2359" t="n">
        <v>223.9</v>
      </c>
      <c r="T2359" t="n">
        <v>0</v>
      </c>
      <c r="U2359" t="n">
        <v>1613.41</v>
      </c>
      <c r="X2359" t="inlineStr">
        <is>
          <t>aafc-aac</t>
        </is>
      </c>
      <c r="Y2359" t="inlineStr">
        <is>
          <t>Agriculture and Agri-Food Canada | Agriculture et Agroalimentaire Canada</t>
        </is>
      </c>
      <c r="Z2359" t="n">
        <v>7</v>
      </c>
      <c r="AA2359" t="n">
        <v>1613.41</v>
      </c>
      <c r="AB2359">
        <f>ROUND(U2359-AA2359,2)</f>
        <v/>
      </c>
      <c r="AC2359" t="b">
        <v>0</v>
      </c>
      <c r="AD2359">
        <f>IF(U2359="","MISSING_TOTAL",IF(ABS(AB2359)&lt;=0.01,"OK","CHECK"))</f>
        <v/>
      </c>
      <c r="AE2359">
        <f>IF(U2359="","MISSING",IF(AND(AA2359&gt;0,U2359/AA2359&gt;50),"POSSIBLE_SCALE_ERROR","OK"))</f>
        <v/>
      </c>
    </row>
    <row r="2360">
      <c r="A2360" t="inlineStr">
        <is>
          <t>T-2025-P06-008</t>
        </is>
      </c>
      <c r="B2360" t="inlineStr">
        <is>
          <t>MPSES</t>
        </is>
      </c>
      <c r="C2360" t="inlineStr">
        <is>
          <t>Deputy Chief of Staff &amp; Director of Operations</t>
        </is>
      </c>
      <c r="D2360" t="inlineStr">
        <is>
          <t>Chef de cabinet adjointe et Directrice des opérations</t>
        </is>
      </c>
      <c r="E2360" t="inlineStr">
        <is>
          <t>Maria Morley</t>
        </is>
      </c>
      <c r="F2360" t="inlineStr">
        <is>
          <t>To support the Minister in attending the Atlantic Caucus Retreat</t>
        </is>
      </c>
      <c r="G2360" t="inlineStr">
        <is>
          <t>Soutenir le ministre lors de sa participation à la retraite du caucus atlantique</t>
        </is>
      </c>
      <c r="H2360" s="1" t="n">
        <v>45538</v>
      </c>
      <c r="I2360" s="1" t="n">
        <v>45541</v>
      </c>
      <c r="J2360" t="inlineStr">
        <is>
          <t>Deer Lake (Newfoundland and Labrador) Canada
St.Johns (Newfoundland and Labrador) Canada</t>
        </is>
      </c>
      <c r="K2360" t="inlineStr">
        <is>
          <t>Deer Lake (Terre-Neuve et Labrador) Canada
St.John's (Terre-Neuve et Labrador) Canada</t>
        </is>
      </c>
      <c r="P2360" t="n">
        <v>1845.31</v>
      </c>
      <c r="Q2360" t="n">
        <v>472.1</v>
      </c>
      <c r="R2360" t="n">
        <v>724.3</v>
      </c>
      <c r="S2360" t="n">
        <v>422.9</v>
      </c>
      <c r="T2360" t="n">
        <v>0</v>
      </c>
      <c r="U2360" t="n">
        <v>3464.61</v>
      </c>
      <c r="X2360" t="inlineStr">
        <is>
          <t>aafc-aac</t>
        </is>
      </c>
      <c r="Y2360" t="inlineStr">
        <is>
          <t>Agriculture and Agri-Food Canada | Agriculture et Agroalimentaire Canada</t>
        </is>
      </c>
      <c r="Z2360" t="n">
        <v>4</v>
      </c>
      <c r="AA2360" t="n">
        <v>3464.61</v>
      </c>
      <c r="AB2360">
        <f>ROUND(U2360-AA2360,2)</f>
        <v/>
      </c>
      <c r="AC2360" t="b">
        <v>0</v>
      </c>
      <c r="AD2360">
        <f>IF(U2360="","MISSING_TOTAL",IF(ABS(AB2360)&lt;=0.01,"OK","CHECK"))</f>
        <v/>
      </c>
      <c r="AE2360">
        <f>IF(U2360="","MISSING",IF(AND(AA2360&gt;0,U2360/AA2360&gt;50),"POSSIBLE_SCALE_ERROR","OK"))</f>
        <v/>
      </c>
    </row>
    <row r="2361">
      <c r="A2361" t="inlineStr">
        <is>
          <t>T-2025-P06-009</t>
        </is>
      </c>
      <c r="B2361" t="inlineStr">
        <is>
          <t>MPSES</t>
        </is>
      </c>
      <c r="C2361" t="inlineStr">
        <is>
          <t>Deputy Chief of Staff &amp; Director of Operations</t>
        </is>
      </c>
      <c r="D2361" t="inlineStr">
        <is>
          <t>Chef de cabinet adjointe et Directrice des opérations</t>
        </is>
      </c>
      <c r="E2361" t="inlineStr">
        <is>
          <t>Maria Morley</t>
        </is>
      </c>
      <c r="F2361" t="inlineStr">
        <is>
          <t>To support the Minister in attending the National Liberal Caucus Retreat</t>
        </is>
      </c>
      <c r="G2361" t="inlineStr">
        <is>
          <t>Soutenir le ministre lors de sa participation à la retraite du caucus libéral national</t>
        </is>
      </c>
      <c r="H2361" s="1" t="n">
        <v>45543</v>
      </c>
      <c r="I2361" s="1" t="n">
        <v>45547</v>
      </c>
      <c r="J2361" t="inlineStr">
        <is>
          <t>Nanaimo (British Columbia) Canada
Vancouver (British Columbia) Canada</t>
        </is>
      </c>
      <c r="K2361" t="inlineStr">
        <is>
          <t>Nanaimo (Colombie-Britannique) Canada
Vancouver (Colombie-Britannique) Canada</t>
        </is>
      </c>
      <c r="P2361" t="n">
        <v>2018.91</v>
      </c>
      <c r="Q2361" t="n">
        <v>174.88</v>
      </c>
      <c r="R2361" t="n">
        <v>1094.52</v>
      </c>
      <c r="S2361" t="n">
        <v>559.75</v>
      </c>
      <c r="T2361" t="n">
        <v>0</v>
      </c>
      <c r="U2361" t="n">
        <v>3848.06</v>
      </c>
      <c r="X2361" t="inlineStr">
        <is>
          <t>aafc-aac</t>
        </is>
      </c>
      <c r="Y2361" t="inlineStr">
        <is>
          <t>Agriculture and Agri-Food Canada | Agriculture et Agroalimentaire Canada</t>
        </is>
      </c>
      <c r="Z2361" t="n">
        <v>5</v>
      </c>
      <c r="AA2361" t="n">
        <v>3848.06</v>
      </c>
      <c r="AB2361">
        <f>ROUND(U2361-AA2361,2)</f>
        <v/>
      </c>
      <c r="AC2361" t="b">
        <v>0</v>
      </c>
      <c r="AD2361">
        <f>IF(U2361="","MISSING_TOTAL",IF(ABS(AB2361)&lt;=0.01,"OK","CHECK"))</f>
        <v/>
      </c>
      <c r="AE2361">
        <f>IF(U2361="","MISSING",IF(AND(AA2361&gt;0,U2361/AA2361&gt;50),"POSSIBLE_SCALE_ERROR","OK"))</f>
        <v/>
      </c>
    </row>
    <row r="2362">
      <c r="A2362" t="inlineStr">
        <is>
          <t>T-2025-P06-010</t>
        </is>
      </c>
      <c r="B2362" t="inlineStr">
        <is>
          <t>SLE</t>
        </is>
      </c>
      <c r="C2362" t="inlineStr">
        <is>
          <t>Deputy Minister</t>
        </is>
      </c>
      <c r="D2362" t="inlineStr">
        <is>
          <t>Sous-ministre</t>
        </is>
      </c>
      <c r="E2362" t="inlineStr">
        <is>
          <t>Lawrence Hanson</t>
        </is>
      </c>
      <c r="F2362" t="inlineStr">
        <is>
          <t>To attend an Outreach in Ontario</t>
        </is>
      </c>
      <c r="G2362" t="inlineStr">
        <is>
          <t>Participer à une réunion de sensibilisation en Ontario</t>
        </is>
      </c>
      <c r="H2362" s="1" t="n">
        <v>45539</v>
      </c>
      <c r="I2362" s="1" t="n">
        <v>45541</v>
      </c>
      <c r="J2362" t="inlineStr">
        <is>
          <t>Guelph (Ontario) Canada</t>
        </is>
      </c>
      <c r="K2362" t="inlineStr">
        <is>
          <t>Guelph (Ontario) Canada</t>
        </is>
      </c>
      <c r="P2362" t="n">
        <v>948.4299999999999</v>
      </c>
      <c r="Q2362" t="n">
        <v>67.79000000000001</v>
      </c>
      <c r="R2362" t="n">
        <v>621.84</v>
      </c>
      <c r="S2362" t="n">
        <v>275.8</v>
      </c>
      <c r="T2362" t="n">
        <v>0</v>
      </c>
      <c r="U2362" t="n">
        <v>1913.86</v>
      </c>
      <c r="X2362" t="inlineStr">
        <is>
          <t>aafc-aac</t>
        </is>
      </c>
      <c r="Y2362" t="inlineStr">
        <is>
          <t>Agriculture and Agri-Food Canada | Agriculture et Agroalimentaire Canada</t>
        </is>
      </c>
      <c r="Z2362" t="n">
        <v>3</v>
      </c>
      <c r="AA2362" t="n">
        <v>1913.86</v>
      </c>
      <c r="AB2362">
        <f>ROUND(U2362-AA2362,2)</f>
        <v/>
      </c>
      <c r="AC2362" t="b">
        <v>0</v>
      </c>
      <c r="AD2362">
        <f>IF(U2362="","MISSING_TOTAL",IF(ABS(AB2362)&lt;=0.01,"OK","CHECK"))</f>
        <v/>
      </c>
      <c r="AE2362">
        <f>IF(U2362="","MISSING",IF(AND(AA2362&gt;0,U2362/AA2362&gt;50),"POSSIBLE_SCALE_ERROR","OK"))</f>
        <v/>
      </c>
    </row>
    <row r="2363">
      <c r="A2363" t="inlineStr">
        <is>
          <t>T-2025-P06-011</t>
        </is>
      </c>
      <c r="B2363" t="inlineStr">
        <is>
          <t>SLE</t>
        </is>
      </c>
      <c r="C2363" t="inlineStr">
        <is>
          <t>Deputy Minister</t>
        </is>
      </c>
      <c r="D2363" t="inlineStr">
        <is>
          <t>Sous-ministre</t>
        </is>
      </c>
      <c r="E2363" t="inlineStr">
        <is>
          <t>Lawrence Hanson</t>
        </is>
      </c>
      <c r="F2363" t="inlineStr">
        <is>
          <t>To attend an Outreach in Saskatchewan</t>
        </is>
      </c>
      <c r="G2363" t="inlineStr">
        <is>
          <t>Participer à une réunion de sensibilisation à Saskatchewan</t>
        </is>
      </c>
      <c r="H2363" s="1" t="n">
        <v>45544</v>
      </c>
      <c r="I2363" s="1" t="n">
        <v>45547</v>
      </c>
      <c r="J2363" t="inlineStr">
        <is>
          <t>Saskatoon (Saskatchewan) Canada</t>
        </is>
      </c>
      <c r="K2363" t="inlineStr">
        <is>
          <t>Saskatoon (Saskatchewan) Canada</t>
        </is>
      </c>
      <c r="P2363" t="n">
        <v>1840.38</v>
      </c>
      <c r="Q2363" t="n">
        <v>24.69</v>
      </c>
      <c r="R2363" t="n">
        <v>610.53</v>
      </c>
      <c r="S2363" t="n">
        <v>441.7</v>
      </c>
      <c r="T2363" t="n">
        <v>17.52</v>
      </c>
      <c r="U2363" t="n">
        <v>2934.82</v>
      </c>
      <c r="X2363" t="inlineStr">
        <is>
          <t>aafc-aac</t>
        </is>
      </c>
      <c r="Y2363" t="inlineStr">
        <is>
          <t>Agriculture and Agri-Food Canada | Agriculture et Agroalimentaire Canada</t>
        </is>
      </c>
      <c r="Z2363" t="n">
        <v>4</v>
      </c>
      <c r="AA2363" t="n">
        <v>2934.82</v>
      </c>
      <c r="AB2363">
        <f>ROUND(U2363-AA2363,2)</f>
        <v/>
      </c>
      <c r="AC2363" t="b">
        <v>0</v>
      </c>
      <c r="AD2363">
        <f>IF(U2363="","MISSING_TOTAL",IF(ABS(AB2363)&lt;=0.01,"OK","CHECK"))</f>
        <v/>
      </c>
      <c r="AE2363">
        <f>IF(U2363="","MISSING",IF(AND(AA2363&gt;0,U2363/AA2363&gt;50),"POSSIBLE_SCALE_ERROR","OK"))</f>
        <v/>
      </c>
    </row>
    <row r="2364">
      <c r="A2364" t="inlineStr">
        <is>
          <t>T-2025-P06-012</t>
        </is>
      </c>
      <c r="B2364" t="inlineStr">
        <is>
          <t>SLE</t>
        </is>
      </c>
      <c r="C2364" t="inlineStr">
        <is>
          <t>Assistant Deputy Minister, Corporate Management Branch</t>
        </is>
      </c>
      <c r="D2364" t="inlineStr">
        <is>
          <t>Sous-ministre adjointe, Direction générale de la gestion intégrée</t>
        </is>
      </c>
      <c r="E2364" t="inlineStr">
        <is>
          <t>Marie-Claude Guérard</t>
        </is>
      </c>
      <c r="F2364" t="inlineStr">
        <is>
          <t>To attend in-person meetings in Ottawa</t>
        </is>
      </c>
      <c r="G2364" t="inlineStr">
        <is>
          <t>Assister à des réunions en personne à Ottawa</t>
        </is>
      </c>
      <c r="H2364" s="1" t="n">
        <v>45530</v>
      </c>
      <c r="I2364" s="1" t="n">
        <v>45531</v>
      </c>
      <c r="J2364" t="inlineStr">
        <is>
          <t>Ottawa (Ontario) Canada</t>
        </is>
      </c>
      <c r="K2364" t="inlineStr">
        <is>
          <t>Ottawa (Ontario) Canada</t>
        </is>
      </c>
      <c r="P2364" t="n">
        <v>0</v>
      </c>
      <c r="Q2364" t="n">
        <v>406.9</v>
      </c>
      <c r="R2364" t="n">
        <v>259.84</v>
      </c>
      <c r="S2364" t="n">
        <v>171.75</v>
      </c>
      <c r="T2364" t="n">
        <v>0</v>
      </c>
      <c r="U2364" t="n">
        <v>838.49</v>
      </c>
      <c r="X2364" t="inlineStr">
        <is>
          <t>aafc-aac</t>
        </is>
      </c>
      <c r="Y2364" t="inlineStr">
        <is>
          <t>Agriculture and Agri-Food Canada | Agriculture et Agroalimentaire Canada</t>
        </is>
      </c>
      <c r="Z2364" t="n">
        <v>2</v>
      </c>
      <c r="AA2364" t="n">
        <v>838.49</v>
      </c>
      <c r="AB2364">
        <f>ROUND(U2364-AA2364,2)</f>
        <v/>
      </c>
      <c r="AC2364" t="b">
        <v>0</v>
      </c>
      <c r="AD2364">
        <f>IF(U2364="","MISSING_TOTAL",IF(ABS(AB2364)&lt;=0.01,"OK","CHECK"))</f>
        <v/>
      </c>
      <c r="AE2364">
        <f>IF(U2364="","MISSING",IF(AND(AA2364&gt;0,U2364/AA2364&gt;50),"POSSIBLE_SCALE_ERROR","OK"))</f>
        <v/>
      </c>
    </row>
    <row r="2365">
      <c r="A2365" t="inlineStr">
        <is>
          <t>T-2025-P06-013</t>
        </is>
      </c>
      <c r="B2365" t="inlineStr">
        <is>
          <t>SLE</t>
        </is>
      </c>
      <c r="C2365" t="inlineStr">
        <is>
          <t>Assistant Deputy Minister, Corporate Management Branch</t>
        </is>
      </c>
      <c r="D2365" t="inlineStr">
        <is>
          <t>Sous-ministre adjointe, Direction générale de la gestion intégrée</t>
        </is>
      </c>
      <c r="E2365" t="inlineStr">
        <is>
          <t>Marie-Claude Guérard</t>
        </is>
      </c>
      <c r="F2365" t="inlineStr">
        <is>
          <t>To attend an outreach event in Charlottetown and the Colloquium on Financial Management</t>
        </is>
      </c>
      <c r="G2365" t="inlineStr">
        <is>
          <t>Participer à un événement de sensibilisation à Charlottetown ainsi qu'au Colloque sur la gestion financière</t>
        </is>
      </c>
      <c r="H2365" s="1" t="n">
        <v>45544</v>
      </c>
      <c r="I2365" s="1" t="n">
        <v>45547</v>
      </c>
      <c r="J2365" t="inlineStr">
        <is>
          <t>Charlottetown (Prince Edward Island) Canada</t>
        </is>
      </c>
      <c r="K2365" t="inlineStr">
        <is>
          <t>Charlottetown (Île-du-Prince-Édouard) Canada</t>
        </is>
      </c>
      <c r="P2365" t="n">
        <v>717.36</v>
      </c>
      <c r="Q2365" t="n">
        <v>133.89</v>
      </c>
      <c r="R2365" t="n">
        <v>1169.1</v>
      </c>
      <c r="S2365" t="n">
        <v>466.6</v>
      </c>
      <c r="T2365" t="n">
        <v>0</v>
      </c>
      <c r="U2365" t="n">
        <v>2486.95</v>
      </c>
      <c r="X2365" t="inlineStr">
        <is>
          <t>aafc-aac</t>
        </is>
      </c>
      <c r="Y2365" t="inlineStr">
        <is>
          <t>Agriculture and Agri-Food Canada | Agriculture et Agroalimentaire Canada</t>
        </is>
      </c>
      <c r="Z2365" t="n">
        <v>4</v>
      </c>
      <c r="AA2365" t="n">
        <v>2486.95</v>
      </c>
      <c r="AB2365">
        <f>ROUND(U2365-AA2365,2)</f>
        <v/>
      </c>
      <c r="AC2365" t="b">
        <v>0</v>
      </c>
      <c r="AD2365">
        <f>IF(U2365="","MISSING_TOTAL",IF(ABS(AB2365)&lt;=0.01,"OK","CHECK"))</f>
        <v/>
      </c>
      <c r="AE2365">
        <f>IF(U2365="","MISSING",IF(AND(AA2365&gt;0,U2365/AA2365&gt;50),"POSSIBLE_SCALE_ERROR","OK"))</f>
        <v/>
      </c>
    </row>
    <row r="2366">
      <c r="A2366" t="inlineStr">
        <is>
          <t>T-2025-P06-014</t>
        </is>
      </c>
      <c r="B2366" t="inlineStr">
        <is>
          <t>SLE</t>
        </is>
      </c>
      <c r="C2366" t="inlineStr">
        <is>
          <t>Assistant Deputy Minister, Strategic Policy Branch</t>
        </is>
      </c>
      <c r="D2366" t="inlineStr">
        <is>
          <t>Sous-ministre adjointe, Direction générale des politiques stratégiques</t>
        </is>
      </c>
      <c r="E2366" t="inlineStr">
        <is>
          <t>Shannon Nix</t>
        </is>
      </c>
      <c r="F2366" t="inlineStr">
        <is>
          <t>To attend in-person meetings in Ottawa</t>
        </is>
      </c>
      <c r="G2366" t="inlineStr">
        <is>
          <t>Assister à des réunions en personne à Ottawa</t>
        </is>
      </c>
      <c r="H2366" s="1" t="n">
        <v>45527</v>
      </c>
      <c r="I2366" s="1" t="n">
        <v>45545</v>
      </c>
      <c r="J2366" t="inlineStr">
        <is>
          <t>Ottawa (Ontario) Canada</t>
        </is>
      </c>
      <c r="K2366" t="inlineStr">
        <is>
          <t>Ottawa (Ontario) Canada</t>
        </is>
      </c>
      <c r="P2366" t="n">
        <v>0</v>
      </c>
      <c r="Q2366" t="n">
        <v>70.69</v>
      </c>
      <c r="R2366" t="n">
        <v>0</v>
      </c>
      <c r="S2366" t="n">
        <v>0</v>
      </c>
      <c r="T2366" t="n">
        <v>0</v>
      </c>
      <c r="U2366" t="n">
        <v>70.69</v>
      </c>
      <c r="X2366" t="inlineStr">
        <is>
          <t>aafc-aac</t>
        </is>
      </c>
      <c r="Y2366" t="inlineStr">
        <is>
          <t>Agriculture and Agri-Food Canada | Agriculture et Agroalimentaire Canada</t>
        </is>
      </c>
      <c r="Z2366" t="n">
        <v>19</v>
      </c>
      <c r="AA2366" t="n">
        <v>70.69</v>
      </c>
      <c r="AB2366">
        <f>ROUND(U2366-AA2366,2)</f>
        <v/>
      </c>
      <c r="AC2366" t="b">
        <v>0</v>
      </c>
      <c r="AD2366">
        <f>IF(U2366="","MISSING_TOTAL",IF(ABS(AB2366)&lt;=0.01,"OK","CHECK"))</f>
        <v/>
      </c>
      <c r="AE2366">
        <f>IF(U2366="","MISSING",IF(AND(AA2366&gt;0,U2366/AA2366&gt;50),"POSSIBLE_SCALE_ERROR","OK"))</f>
        <v/>
      </c>
    </row>
    <row r="2367">
      <c r="A2367" t="inlineStr">
        <is>
          <t>T-2025-P06-015</t>
        </is>
      </c>
      <c r="B2367" t="inlineStr">
        <is>
          <t>SLE</t>
        </is>
      </c>
      <c r="C2367" t="inlineStr">
        <is>
          <t>Assistant Deputy Minister, Programs Branch</t>
        </is>
      </c>
      <c r="D2367" t="inlineStr">
        <is>
          <t>Sous-ministre adjointe, Direction générale des programmes</t>
        </is>
      </c>
      <c r="E2367" t="inlineStr">
        <is>
          <t>Liz Foster</t>
        </is>
      </c>
      <c r="F2367" t="inlineStr">
        <is>
          <t>To attend the Indigenous Network Circle Face-to-Face Meeting</t>
        </is>
      </c>
      <c r="G2367" t="inlineStr">
        <is>
          <t>Participer à une réunion en personne du Cercle du réseau autochtone</t>
        </is>
      </c>
      <c r="H2367" s="1" t="n">
        <v>45543</v>
      </c>
      <c r="I2367" s="1" t="n">
        <v>45550</v>
      </c>
      <c r="J2367" t="inlineStr">
        <is>
          <t>Penticton (British Columbia) Canada</t>
        </is>
      </c>
      <c r="K2367" t="inlineStr">
        <is>
          <t>Penticton (Colombie-Britannique) Canada</t>
        </is>
      </c>
      <c r="P2367" t="n">
        <v>1053.56</v>
      </c>
      <c r="Q2367" t="n">
        <v>460.95</v>
      </c>
      <c r="R2367" t="n">
        <v>1118.02</v>
      </c>
      <c r="S2367" t="n">
        <v>650.1</v>
      </c>
      <c r="T2367" t="n">
        <v>0</v>
      </c>
      <c r="U2367" t="n">
        <v>3282.63</v>
      </c>
      <c r="X2367" t="inlineStr">
        <is>
          <t>aafc-aac</t>
        </is>
      </c>
      <c r="Y2367" t="inlineStr">
        <is>
          <t>Agriculture and Agri-Food Canada | Agriculture et Agroalimentaire Canada</t>
        </is>
      </c>
      <c r="Z2367" t="n">
        <v>8</v>
      </c>
      <c r="AA2367" t="n">
        <v>3282.62999999999</v>
      </c>
      <c r="AB2367">
        <f>ROUND(U2367-AA2367,2)</f>
        <v/>
      </c>
      <c r="AC2367" t="b">
        <v>0</v>
      </c>
      <c r="AD2367">
        <f>IF(U2367="","MISSING_TOTAL",IF(ABS(AB2367)&lt;=0.01,"OK","CHECK"))</f>
        <v/>
      </c>
      <c r="AE2367">
        <f>IF(U2367="","MISSING",IF(AND(AA2367&gt;0,U2367/AA2367&gt;50),"POSSIBLE_SCALE_ERROR","OK"))</f>
        <v/>
      </c>
    </row>
    <row r="2368">
      <c r="A2368" t="inlineStr">
        <is>
          <t>T-2025-P06-016</t>
        </is>
      </c>
      <c r="B2368" t="inlineStr">
        <is>
          <t>SLE</t>
        </is>
      </c>
      <c r="C2368" t="inlineStr">
        <is>
          <t>Assistant Deputy Minister, Market and Industry Services Branch</t>
        </is>
      </c>
      <c r="D2368" t="inlineStr">
        <is>
          <t>Sous-ministre adjoint, Direction générale des services à l'industrie et aux marchés</t>
        </is>
      </c>
      <c r="E2368" t="inlineStr">
        <is>
          <t>Tom Rosser</t>
        </is>
      </c>
      <c r="F2368" t="inlineStr">
        <is>
          <t>To attend the Asia-Pacific Economic Cooperation Conference in Peru</t>
        </is>
      </c>
      <c r="G2368" t="inlineStr">
        <is>
          <t>Assister à la conférence de la Coopération économique pour l'Asie-Pacifique au Pérou</t>
        </is>
      </c>
      <c r="H2368" s="1" t="n">
        <v>45519</v>
      </c>
      <c r="I2368" s="1" t="n">
        <v>45524</v>
      </c>
      <c r="J2368" t="inlineStr">
        <is>
          <t>Trujillo (La Libertad) Peru</t>
        </is>
      </c>
      <c r="K2368" t="inlineStr">
        <is>
          <t>Trujillo (La Libertad) Pérou</t>
        </is>
      </c>
      <c r="P2368" t="n">
        <v>6447.29</v>
      </c>
      <c r="Q2368" t="n">
        <v>65</v>
      </c>
      <c r="R2368" t="n">
        <v>208.42</v>
      </c>
      <c r="S2368" t="n">
        <v>660.25</v>
      </c>
      <c r="T2368" t="n">
        <v>0</v>
      </c>
      <c r="U2368" t="n">
        <v>7380.96</v>
      </c>
      <c r="X2368" t="inlineStr">
        <is>
          <t>aafc-aac</t>
        </is>
      </c>
      <c r="Y2368" t="inlineStr">
        <is>
          <t>Agriculture and Agri-Food Canada | Agriculture et Agroalimentaire Canada</t>
        </is>
      </c>
      <c r="Z2368" t="n">
        <v>6</v>
      </c>
      <c r="AA2368" t="n">
        <v>7380.96</v>
      </c>
      <c r="AB2368">
        <f>ROUND(U2368-AA2368,2)</f>
        <v/>
      </c>
      <c r="AC2368" t="b">
        <v>0</v>
      </c>
      <c r="AD2368">
        <f>IF(U2368="","MISSING_TOTAL",IF(ABS(AB2368)&lt;=0.01,"OK","CHECK"))</f>
        <v/>
      </c>
      <c r="AE2368">
        <f>IF(U2368="","MISSING",IF(AND(AA2368&gt;0,U2368/AA2368&gt;50),"POSSIBLE_SCALE_ERROR","OK"))</f>
        <v/>
      </c>
    </row>
    <row r="2369">
      <c r="A2369" t="inlineStr">
        <is>
          <t>T-2025-P07-001</t>
        </is>
      </c>
      <c r="B2369" t="inlineStr">
        <is>
          <t>MPSES</t>
        </is>
      </c>
      <c r="C2369" t="inlineStr">
        <is>
          <t>Minister</t>
        </is>
      </c>
      <c r="D2369" t="inlineStr">
        <is>
          <t>Ministre</t>
        </is>
      </c>
      <c r="E2369" t="inlineStr">
        <is>
          <t>Lawrence MacAulay</t>
        </is>
      </c>
      <c r="F2369" t="inlineStr">
        <is>
          <t>To attend an Ontario Outreach</t>
        </is>
      </c>
      <c r="G2369" t="inlineStr">
        <is>
          <t>Participer à une action de sensibilisation en Ontario</t>
        </is>
      </c>
      <c r="H2369" s="1" t="n">
        <v>45580</v>
      </c>
      <c r="I2369" s="1" t="n">
        <v>45582</v>
      </c>
      <c r="J2369" t="inlineStr">
        <is>
          <t>Guelph (Ontario) Canada
Niagara Falls (Ontario) Canada</t>
        </is>
      </c>
      <c r="K2369" t="inlineStr">
        <is>
          <t>Guelph (Ontario) Canada
Niagara Falls (Ontario) Canada</t>
        </is>
      </c>
      <c r="P2369" t="n">
        <v>1311.23</v>
      </c>
      <c r="Q2369" t="n">
        <v>28.35</v>
      </c>
      <c r="R2369" t="n">
        <v>239.74</v>
      </c>
      <c r="S2369" t="n">
        <v>223.6</v>
      </c>
      <c r="T2369" t="n">
        <v>0</v>
      </c>
      <c r="U2369" t="n">
        <v>1802.92</v>
      </c>
      <c r="X2369" t="inlineStr">
        <is>
          <t>aafc-aac</t>
        </is>
      </c>
      <c r="Y2369" t="inlineStr">
        <is>
          <t>Agriculture and Agri-Food Canada | Agriculture et Agroalimentaire Canada</t>
        </is>
      </c>
      <c r="Z2369" t="n">
        <v>3</v>
      </c>
      <c r="AA2369" t="n">
        <v>1802.91999999999</v>
      </c>
      <c r="AB2369">
        <f>ROUND(U2369-AA2369,2)</f>
        <v/>
      </c>
      <c r="AC2369" t="b">
        <v>0</v>
      </c>
      <c r="AD2369">
        <f>IF(U2369="","MISSING_TOTAL",IF(ABS(AB2369)&lt;=0.01,"OK","CHECK"))</f>
        <v/>
      </c>
      <c r="AE2369">
        <f>IF(U2369="","MISSING",IF(AND(AA2369&gt;0,U2369/AA2369&gt;50),"POSSIBLE_SCALE_ERROR","OK"))</f>
        <v/>
      </c>
    </row>
    <row r="2370">
      <c r="A2370" t="inlineStr">
        <is>
          <t>T-2025-P07-002</t>
        </is>
      </c>
      <c r="B2370" t="inlineStr">
        <is>
          <t>MPSES</t>
        </is>
      </c>
      <c r="C2370" t="inlineStr">
        <is>
          <t>Minister</t>
        </is>
      </c>
      <c r="D2370" t="inlineStr">
        <is>
          <t>Ministre</t>
        </is>
      </c>
      <c r="E2370" t="inlineStr">
        <is>
          <t>Lawrence MacAulay</t>
        </is>
      </c>
      <c r="F2370" t="inlineStr">
        <is>
          <t>Visa photo for upcoming travel to China</t>
        </is>
      </c>
      <c r="G2370" t="inlineStr">
        <is>
          <t>Photo de visa pour le prochain voyage en Chine</t>
        </is>
      </c>
      <c r="H2370" s="1" t="n">
        <v>45575</v>
      </c>
      <c r="I2370" s="1" t="n">
        <v>45575</v>
      </c>
      <c r="J2370" t="inlineStr">
        <is>
          <t>Ottawa (Ontario) Canada</t>
        </is>
      </c>
      <c r="K2370" t="inlineStr">
        <is>
          <t>Ottawa (Ontario) Canada</t>
        </is>
      </c>
      <c r="P2370" t="n">
        <v>0</v>
      </c>
      <c r="Q2370" t="n">
        <v>0</v>
      </c>
      <c r="R2370" t="n">
        <v>0</v>
      </c>
      <c r="S2370" t="n">
        <v>0</v>
      </c>
      <c r="T2370" t="n">
        <v>40.68</v>
      </c>
      <c r="U2370" t="n">
        <v>40.68</v>
      </c>
      <c r="X2370" t="inlineStr">
        <is>
          <t>aafc-aac</t>
        </is>
      </c>
      <c r="Y2370" t="inlineStr">
        <is>
          <t>Agriculture and Agri-Food Canada | Agriculture et Agroalimentaire Canada</t>
        </is>
      </c>
      <c r="Z2370" t="n">
        <v>1</v>
      </c>
      <c r="AA2370" t="n">
        <v>40.68</v>
      </c>
      <c r="AB2370">
        <f>ROUND(U2370-AA2370,2)</f>
        <v/>
      </c>
      <c r="AC2370" t="b">
        <v>0</v>
      </c>
      <c r="AD2370">
        <f>IF(U2370="","MISSING_TOTAL",IF(ABS(AB2370)&lt;=0.01,"OK","CHECK"))</f>
        <v/>
      </c>
      <c r="AE2370">
        <f>IF(U2370="","MISSING",IF(AND(AA2370&gt;0,U2370/AA2370&gt;50),"POSSIBLE_SCALE_ERROR","OK"))</f>
        <v/>
      </c>
    </row>
    <row r="2371">
      <c r="A2371" t="inlineStr">
        <is>
          <t>T-2025-P07-003</t>
        </is>
      </c>
      <c r="B2371" t="inlineStr">
        <is>
          <t>MPSES</t>
        </is>
      </c>
      <c r="C2371" t="inlineStr">
        <is>
          <t>Chief of Staff</t>
        </is>
      </c>
      <c r="D2371" t="inlineStr">
        <is>
          <t>Chef de cabinet</t>
        </is>
      </c>
      <c r="E2371" t="inlineStr">
        <is>
          <t>Matthew Mann</t>
        </is>
      </c>
      <c r="F2371" t="inlineStr">
        <is>
          <t>To support the Minister attending an announcement at the Heritage Research Farm and visiting Abegweit First Nation</t>
        </is>
      </c>
      <c r="G2371" t="inlineStr">
        <is>
          <t>Soutenir le ministre lors d'une annonce à la ferme de recherche Heritage et d'une visite de la Première Nation Abegweit</t>
        </is>
      </c>
      <c r="H2371" s="1" t="n">
        <v>45568</v>
      </c>
      <c r="I2371" s="1" t="n">
        <v>45570</v>
      </c>
      <c r="J2371" t="inlineStr">
        <is>
          <t>Charlottetown (Prince Edward Island) Canada</t>
        </is>
      </c>
      <c r="K2371" t="inlineStr">
        <is>
          <t>Charlottetown (Île-du-Prince-Édouard) Canada</t>
        </is>
      </c>
      <c r="P2371" t="n">
        <v>1033.69</v>
      </c>
      <c r="Q2371" t="n">
        <v>162.03</v>
      </c>
      <c r="R2371" t="n">
        <v>281.92</v>
      </c>
      <c r="S2371" t="n">
        <v>198.7</v>
      </c>
      <c r="T2371" t="n">
        <v>0</v>
      </c>
      <c r="U2371" t="n">
        <v>1676.34</v>
      </c>
      <c r="X2371" t="inlineStr">
        <is>
          <t>aafc-aac</t>
        </is>
      </c>
      <c r="Y2371" t="inlineStr">
        <is>
          <t>Agriculture and Agri-Food Canada | Agriculture et Agroalimentaire Canada</t>
        </is>
      </c>
      <c r="Z2371" t="n">
        <v>3</v>
      </c>
      <c r="AA2371" t="n">
        <v>1676.34</v>
      </c>
      <c r="AB2371">
        <f>ROUND(U2371-AA2371,2)</f>
        <v/>
      </c>
      <c r="AC2371" t="b">
        <v>0</v>
      </c>
      <c r="AD2371">
        <f>IF(U2371="","MISSING_TOTAL",IF(ABS(AB2371)&lt;=0.01,"OK","CHECK"))</f>
        <v/>
      </c>
      <c r="AE2371">
        <f>IF(U2371="","MISSING",IF(AND(AA2371&gt;0,U2371/AA2371&gt;50),"POSSIBLE_SCALE_ERROR","OK"))</f>
        <v/>
      </c>
    </row>
    <row r="2372">
      <c r="A2372" t="inlineStr">
        <is>
          <t>T-2025-P07-004</t>
        </is>
      </c>
      <c r="B2372" t="inlineStr">
        <is>
          <t>MPSES</t>
        </is>
      </c>
      <c r="C2372" t="inlineStr">
        <is>
          <t>Chief of Staff</t>
        </is>
      </c>
      <c r="D2372" t="inlineStr">
        <is>
          <t>Chef de cabinet</t>
        </is>
      </c>
      <c r="E2372" t="inlineStr">
        <is>
          <t>Matthew Mann</t>
        </is>
      </c>
      <c r="F2372" t="inlineStr">
        <is>
          <t>Visa photo for upcoming travel to China</t>
        </is>
      </c>
      <c r="G2372" t="inlineStr">
        <is>
          <t>Photo de visa pour le prochain voyage en Chine</t>
        </is>
      </c>
      <c r="H2372" s="1" t="n">
        <v>45575</v>
      </c>
      <c r="I2372" s="1" t="n">
        <v>45575</v>
      </c>
      <c r="J2372" t="inlineStr">
        <is>
          <t>Ottawa (Ontario) Canada</t>
        </is>
      </c>
      <c r="K2372" t="inlineStr">
        <is>
          <t>Ottawa (Ontario) Canada</t>
        </is>
      </c>
      <c r="P2372" t="n">
        <v>0</v>
      </c>
      <c r="Q2372" t="n">
        <v>0</v>
      </c>
      <c r="R2372" t="n">
        <v>0</v>
      </c>
      <c r="S2372" t="n">
        <v>0</v>
      </c>
      <c r="T2372" t="n">
        <v>40.68</v>
      </c>
      <c r="U2372" t="n">
        <v>40.68</v>
      </c>
      <c r="X2372" t="inlineStr">
        <is>
          <t>aafc-aac</t>
        </is>
      </c>
      <c r="Y2372" t="inlineStr">
        <is>
          <t>Agriculture and Agri-Food Canada | Agriculture et Agroalimentaire Canada</t>
        </is>
      </c>
      <c r="Z2372" t="n">
        <v>1</v>
      </c>
      <c r="AA2372" t="n">
        <v>40.68</v>
      </c>
      <c r="AB2372">
        <f>ROUND(U2372-AA2372,2)</f>
        <v/>
      </c>
      <c r="AC2372" t="b">
        <v>0</v>
      </c>
      <c r="AD2372">
        <f>IF(U2372="","MISSING_TOTAL",IF(ABS(AB2372)&lt;=0.01,"OK","CHECK"))</f>
        <v/>
      </c>
      <c r="AE2372">
        <f>IF(U2372="","MISSING",IF(AND(AA2372&gt;0,U2372/AA2372&gt;50),"POSSIBLE_SCALE_ERROR","OK"))</f>
        <v/>
      </c>
    </row>
    <row r="2373">
      <c r="A2373" t="inlineStr">
        <is>
          <t>T-2025-P07-005</t>
        </is>
      </c>
      <c r="B2373" t="inlineStr">
        <is>
          <t>MPSES</t>
        </is>
      </c>
      <c r="C2373" t="inlineStr">
        <is>
          <t>Chief of Staff</t>
        </is>
      </c>
      <c r="D2373" t="inlineStr">
        <is>
          <t>Chef de cabinet</t>
        </is>
      </c>
      <c r="E2373" t="inlineStr">
        <is>
          <t>Matthew Mann</t>
        </is>
      </c>
      <c r="F2373" t="inlineStr">
        <is>
          <t>To support the Minister in attending an Ontario Outreach</t>
        </is>
      </c>
      <c r="G2373" t="inlineStr">
        <is>
          <t>Soutenir le ministre lors d'une activité de sensibilisation en Ontario</t>
        </is>
      </c>
      <c r="H2373" s="1" t="n">
        <v>45579</v>
      </c>
      <c r="I2373" s="1" t="n">
        <v>45582</v>
      </c>
      <c r="J2373" t="inlineStr">
        <is>
          <t>Guelph (Ontario) Canada
Niagara Falls (Ontario) Canada</t>
        </is>
      </c>
      <c r="K2373" t="inlineStr">
        <is>
          <t>Guelph (Ontario) Canada
Niagara Falls (Ontario) Canada</t>
        </is>
      </c>
      <c r="P2373" t="n">
        <v>1503.72</v>
      </c>
      <c r="Q2373" t="n">
        <v>0</v>
      </c>
      <c r="R2373" t="n">
        <v>344.33</v>
      </c>
      <c r="S2373" t="n">
        <v>223.6</v>
      </c>
      <c r="T2373" t="n">
        <v>0</v>
      </c>
      <c r="U2373" t="n">
        <v>2071.65</v>
      </c>
      <c r="X2373" t="inlineStr">
        <is>
          <t>aafc-aac</t>
        </is>
      </c>
      <c r="Y2373" t="inlineStr">
        <is>
          <t>Agriculture and Agri-Food Canada | Agriculture et Agroalimentaire Canada</t>
        </is>
      </c>
      <c r="Z2373" t="n">
        <v>4</v>
      </c>
      <c r="AA2373" t="n">
        <v>2071.65</v>
      </c>
      <c r="AB2373">
        <f>ROUND(U2373-AA2373,2)</f>
        <v/>
      </c>
      <c r="AC2373" t="b">
        <v>0</v>
      </c>
      <c r="AD2373">
        <f>IF(U2373="","MISSING_TOTAL",IF(ABS(AB2373)&lt;=0.01,"OK","CHECK"))</f>
        <v/>
      </c>
      <c r="AE2373">
        <f>IF(U2373="","MISSING",IF(AND(AA2373&gt;0,U2373/AA2373&gt;50),"POSSIBLE_SCALE_ERROR","OK"))</f>
        <v/>
      </c>
    </row>
    <row r="2374">
      <c r="A2374" t="inlineStr">
        <is>
          <t>T-2025-P07-006</t>
        </is>
      </c>
      <c r="B2374" t="inlineStr">
        <is>
          <t>MPSES</t>
        </is>
      </c>
      <c r="C2374" t="inlineStr">
        <is>
          <t>Chief of Staff</t>
        </is>
      </c>
      <c r="D2374" t="inlineStr">
        <is>
          <t>Chef de cabinet</t>
        </is>
      </c>
      <c r="E2374" t="inlineStr">
        <is>
          <t>Matthew Mann</t>
        </is>
      </c>
      <c r="F2374" t="inlineStr">
        <is>
          <t>To support the Minister in attending meetings and announcements</t>
        </is>
      </c>
      <c r="G2374" t="inlineStr">
        <is>
          <t>Soutenir le ministre lors de réunions et d'annonces</t>
        </is>
      </c>
      <c r="H2374" s="1" t="n">
        <v>45582</v>
      </c>
      <c r="I2374" s="1" t="n">
        <v>45583</v>
      </c>
      <c r="J2374" t="inlineStr">
        <is>
          <t>Charlottetown (Prince Edward Island) Canada</t>
        </is>
      </c>
      <c r="K2374" t="inlineStr">
        <is>
          <t>Charlottetown (Île-du-Prince-Édouard) Canada</t>
        </is>
      </c>
      <c r="P2374" t="n">
        <v>2517.82</v>
      </c>
      <c r="Q2374" t="n">
        <v>109.29</v>
      </c>
      <c r="R2374" t="n">
        <v>289.02</v>
      </c>
      <c r="S2374" t="n">
        <v>195.65</v>
      </c>
      <c r="T2374" t="n">
        <v>0</v>
      </c>
      <c r="U2374" t="n">
        <v>3111.78</v>
      </c>
      <c r="X2374" t="inlineStr">
        <is>
          <t>aafc-aac</t>
        </is>
      </c>
      <c r="Y2374" t="inlineStr">
        <is>
          <t>Agriculture and Agri-Food Canada | Agriculture et Agroalimentaire Canada</t>
        </is>
      </c>
      <c r="Z2374" t="n">
        <v>2</v>
      </c>
      <c r="AA2374" t="n">
        <v>3111.78</v>
      </c>
      <c r="AB2374">
        <f>ROUND(U2374-AA2374,2)</f>
        <v/>
      </c>
      <c r="AC2374" t="b">
        <v>0</v>
      </c>
      <c r="AD2374">
        <f>IF(U2374="","MISSING_TOTAL",IF(ABS(AB2374)&lt;=0.01,"OK","CHECK"))</f>
        <v/>
      </c>
      <c r="AE2374">
        <f>IF(U2374="","MISSING",IF(AND(AA2374&gt;0,U2374/AA2374&gt;50),"POSSIBLE_SCALE_ERROR","OK"))</f>
        <v/>
      </c>
    </row>
    <row r="2375">
      <c r="A2375" t="inlineStr">
        <is>
          <t>T-2025-P07-007</t>
        </is>
      </c>
      <c r="B2375" t="inlineStr">
        <is>
          <t>MPSES</t>
        </is>
      </c>
      <c r="C2375" t="inlineStr">
        <is>
          <t>Chief of Staff</t>
        </is>
      </c>
      <c r="D2375" t="inlineStr">
        <is>
          <t>Chef de cabinet</t>
        </is>
      </c>
      <c r="E2375" t="inlineStr">
        <is>
          <t>Matthew Mann</t>
        </is>
      </c>
      <c r="F2375" t="inlineStr">
        <is>
          <t>To attend the G7 Agriculture Ministerial meeting</t>
        </is>
      </c>
      <c r="G2375" t="inlineStr">
        <is>
          <t>Participer à la réunion des ministres de l'agriculture du G7</t>
        </is>
      </c>
      <c r="H2375" s="1" t="n">
        <v>45559</v>
      </c>
      <c r="I2375" s="1" t="n">
        <v>45564</v>
      </c>
      <c r="J2375" t="inlineStr">
        <is>
          <t>Syracuse (Sicily) Italy</t>
        </is>
      </c>
      <c r="K2375" t="inlineStr">
        <is>
          <t>Syracuse (Sicile) Italie</t>
        </is>
      </c>
      <c r="P2375" t="n">
        <v>163.74</v>
      </c>
      <c r="Q2375" t="n">
        <v>0</v>
      </c>
      <c r="R2375" t="n">
        <v>2176.01</v>
      </c>
      <c r="S2375" t="n">
        <v>0</v>
      </c>
      <c r="T2375" t="n">
        <v>0</v>
      </c>
      <c r="U2375" t="n">
        <v>2339.75</v>
      </c>
      <c r="V2375" t="inlineStr">
        <is>
          <t>This trip was canceled. The airfare incurred non-refundable service fees and a penalty fee. Hotel was non refundable because of late cancellation.</t>
        </is>
      </c>
      <c r="W2375" t="inlineStr">
        <is>
          <t>Ce voyage a été annulé. Le billet d'avion a entraîné des frais de service non remboursables et une pénalité. L'hôtel était non remboursable vu le délai d'annulation.</t>
        </is>
      </c>
      <c r="X2375" t="inlineStr">
        <is>
          <t>aafc-aac</t>
        </is>
      </c>
      <c r="Y2375" t="inlineStr">
        <is>
          <t>Agriculture and Agri-Food Canada | Agriculture et Agroalimentaire Canada</t>
        </is>
      </c>
      <c r="Z2375" t="n">
        <v>6</v>
      </c>
      <c r="AA2375" t="n">
        <v>2339.75</v>
      </c>
      <c r="AB2375">
        <f>ROUND(U2375-AA2375,2)</f>
        <v/>
      </c>
      <c r="AC2375" t="b">
        <v>0</v>
      </c>
      <c r="AD2375">
        <f>IF(U2375="","MISSING_TOTAL",IF(ABS(AB2375)&lt;=0.01,"OK","CHECK"))</f>
        <v/>
      </c>
      <c r="AE2375">
        <f>IF(U2375="","MISSING",IF(AND(AA2375&gt;0,U2375/AA2375&gt;50),"POSSIBLE_SCALE_ERROR","OK"))</f>
        <v/>
      </c>
    </row>
    <row r="2376">
      <c r="A2376" t="inlineStr">
        <is>
          <t>T-2025-P07-008</t>
        </is>
      </c>
      <c r="B2376" t="inlineStr">
        <is>
          <t>MPSES</t>
        </is>
      </c>
      <c r="C2376" t="inlineStr">
        <is>
          <t>Special Assistant</t>
        </is>
      </c>
      <c r="D2376" t="inlineStr">
        <is>
          <t>Adjointe spéciale</t>
        </is>
      </c>
      <c r="E2376" t="inlineStr">
        <is>
          <t>Arianna Myers</t>
        </is>
      </c>
      <c r="F2376" t="inlineStr">
        <is>
          <t>To support the Minister in attending an Ontario Outreach</t>
        </is>
      </c>
      <c r="G2376" t="inlineStr">
        <is>
          <t>Soutenir le ministre lors d'une activité de sensibilisation en Ontario</t>
        </is>
      </c>
      <c r="H2376" s="1" t="n">
        <v>45579</v>
      </c>
      <c r="I2376" s="1" t="n">
        <v>45582</v>
      </c>
      <c r="J2376" t="inlineStr">
        <is>
          <t>Guelph (Ontario) Canada
Niagara Falls (Ontario) Canada</t>
        </is>
      </c>
      <c r="K2376" t="inlineStr">
        <is>
          <t>Guelph (Ontario) Canada
Niagara Falls (Ontario) Canada</t>
        </is>
      </c>
      <c r="P2376" t="n">
        <v>1248.34</v>
      </c>
      <c r="Q2376" t="n">
        <v>204.25</v>
      </c>
      <c r="R2376" t="n">
        <v>465.9</v>
      </c>
      <c r="S2376" t="n">
        <v>223.6</v>
      </c>
      <c r="T2376" t="n">
        <v>0</v>
      </c>
      <c r="U2376" t="n">
        <v>2142.09</v>
      </c>
      <c r="X2376" t="inlineStr">
        <is>
          <t>aafc-aac</t>
        </is>
      </c>
      <c r="Y2376" t="inlineStr">
        <is>
          <t>Agriculture and Agri-Food Canada | Agriculture et Agroalimentaire Canada</t>
        </is>
      </c>
      <c r="Z2376" t="n">
        <v>4</v>
      </c>
      <c r="AA2376" t="n">
        <v>2142.08999999999</v>
      </c>
      <c r="AB2376">
        <f>ROUND(U2376-AA2376,2)</f>
        <v/>
      </c>
      <c r="AC2376" t="b">
        <v>0</v>
      </c>
      <c r="AD2376">
        <f>IF(U2376="","MISSING_TOTAL",IF(ABS(AB2376)&lt;=0.01,"OK","CHECK"))</f>
        <v/>
      </c>
      <c r="AE2376">
        <f>IF(U2376="","MISSING",IF(AND(AA2376&gt;0,U2376/AA2376&gt;50),"POSSIBLE_SCALE_ERROR","OK"))</f>
        <v/>
      </c>
    </row>
    <row r="2377">
      <c r="A2377" t="inlineStr">
        <is>
          <t>T-2025-P07-009</t>
        </is>
      </c>
      <c r="B2377" t="inlineStr">
        <is>
          <t>MPSES</t>
        </is>
      </c>
      <c r="C2377" t="inlineStr">
        <is>
          <t>Director of Communications</t>
        </is>
      </c>
      <c r="D2377" t="inlineStr">
        <is>
          <t>Directrice des communications</t>
        </is>
      </c>
      <c r="E2377" t="inlineStr">
        <is>
          <t>Annie Cullinan</t>
        </is>
      </c>
      <c r="F2377" t="inlineStr">
        <is>
          <t>To support the Minister attending an announcement at the Heritage Research Farm and visiting Abegweit First Nation</t>
        </is>
      </c>
      <c r="G2377" t="inlineStr">
        <is>
          <t>Soutenir le ministre pour lors d'une annonce à la Ferme de recherche Heritage et d'une visite à la Première Nation d'Abegweit.</t>
        </is>
      </c>
      <c r="H2377" s="1" t="n">
        <v>45568</v>
      </c>
      <c r="I2377" s="1" t="n">
        <v>45570</v>
      </c>
      <c r="J2377" t="inlineStr">
        <is>
          <t>Charlottetown (Prince Edward Island) Canada</t>
        </is>
      </c>
      <c r="K2377" t="inlineStr">
        <is>
          <t>Charlottetown (Île-du-Prince-Édouard) Canada</t>
        </is>
      </c>
      <c r="P2377" t="n">
        <v>908.77</v>
      </c>
      <c r="Q2377" t="n">
        <v>23.81</v>
      </c>
      <c r="R2377" t="n">
        <v>281.92</v>
      </c>
      <c r="S2377" t="n">
        <v>198.7</v>
      </c>
      <c r="T2377" t="n">
        <v>0</v>
      </c>
      <c r="U2377" t="n">
        <v>1413.2</v>
      </c>
      <c r="X2377" t="inlineStr">
        <is>
          <t>aafc-aac</t>
        </is>
      </c>
      <c r="Y2377" t="inlineStr">
        <is>
          <t>Agriculture and Agri-Food Canada | Agriculture et Agroalimentaire Canada</t>
        </is>
      </c>
      <c r="Z2377" t="n">
        <v>3</v>
      </c>
      <c r="AA2377" t="n">
        <v>1413.2</v>
      </c>
      <c r="AB2377">
        <f>ROUND(U2377-AA2377,2)</f>
        <v/>
      </c>
      <c r="AC2377" t="b">
        <v>0</v>
      </c>
      <c r="AD2377">
        <f>IF(U2377="","MISSING_TOTAL",IF(ABS(AB2377)&lt;=0.01,"OK","CHECK"))</f>
        <v/>
      </c>
      <c r="AE2377">
        <f>IF(U2377="","MISSING",IF(AND(AA2377&gt;0,U2377/AA2377&gt;50),"POSSIBLE_SCALE_ERROR","OK"))</f>
        <v/>
      </c>
    </row>
    <row r="2378">
      <c r="A2378" t="inlineStr">
        <is>
          <t>T-2025-P07-010</t>
        </is>
      </c>
      <c r="B2378" t="inlineStr">
        <is>
          <t>MPSES</t>
        </is>
      </c>
      <c r="C2378" t="inlineStr">
        <is>
          <t>Director of Communications</t>
        </is>
      </c>
      <c r="D2378" t="inlineStr">
        <is>
          <t>Directrice des communications</t>
        </is>
      </c>
      <c r="E2378" t="inlineStr">
        <is>
          <t>Annie Cullinan</t>
        </is>
      </c>
      <c r="F2378" t="inlineStr">
        <is>
          <t>Visa and Passport Photo for upcoming travel to China</t>
        </is>
      </c>
      <c r="G2378" t="inlineStr">
        <is>
          <t>Visa et photo d'identité de passeport pour le prochain voyage en Chine</t>
        </is>
      </c>
      <c r="H2378" s="1" t="n">
        <v>45575</v>
      </c>
      <c r="I2378" s="1" t="n">
        <v>45575</v>
      </c>
      <c r="J2378" t="inlineStr">
        <is>
          <t>Ottawa (Ontario) Canada</t>
        </is>
      </c>
      <c r="K2378" t="inlineStr">
        <is>
          <t>Ottawa (Ontario) Canada</t>
        </is>
      </c>
      <c r="P2378" t="n">
        <v>0</v>
      </c>
      <c r="Q2378" t="n">
        <v>0</v>
      </c>
      <c r="R2378" t="n">
        <v>0</v>
      </c>
      <c r="S2378" t="n">
        <v>0</v>
      </c>
      <c r="T2378" t="n">
        <v>65.54000000000001</v>
      </c>
      <c r="U2378" t="n">
        <v>65.54000000000001</v>
      </c>
      <c r="X2378" t="inlineStr">
        <is>
          <t>aafc-aac</t>
        </is>
      </c>
      <c r="Y2378" t="inlineStr">
        <is>
          <t>Agriculture and Agri-Food Canada | Agriculture et Agroalimentaire Canada</t>
        </is>
      </c>
      <c r="Z2378" t="n">
        <v>1</v>
      </c>
      <c r="AA2378" t="n">
        <v>65.54000000000001</v>
      </c>
      <c r="AB2378">
        <f>ROUND(U2378-AA2378,2)</f>
        <v/>
      </c>
      <c r="AC2378" t="b">
        <v>0</v>
      </c>
      <c r="AD2378">
        <f>IF(U2378="","MISSING_TOTAL",IF(ABS(AB2378)&lt;=0.01,"OK","CHECK"))</f>
        <v/>
      </c>
      <c r="AE2378">
        <f>IF(U2378="","MISSING",IF(AND(AA2378&gt;0,U2378/AA2378&gt;50),"POSSIBLE_SCALE_ERROR","OK"))</f>
        <v/>
      </c>
    </row>
    <row r="2379">
      <c r="A2379" t="inlineStr">
        <is>
          <t>T-2025-P07-011</t>
        </is>
      </c>
      <c r="B2379" t="inlineStr">
        <is>
          <t>SLE</t>
        </is>
      </c>
      <c r="C2379" t="inlineStr">
        <is>
          <t>Deputy Minister</t>
        </is>
      </c>
      <c r="D2379" t="inlineStr">
        <is>
          <t>Sous-ministre</t>
        </is>
      </c>
      <c r="E2379" t="inlineStr">
        <is>
          <t>Lawrence Hanson</t>
        </is>
      </c>
      <c r="F2379" t="inlineStr">
        <is>
          <t>To attend the G7 Agriculture Ministerial meeting</t>
        </is>
      </c>
      <c r="G2379" t="inlineStr">
        <is>
          <t>Participer à la réunion des ministres de l'agriculture du G7</t>
        </is>
      </c>
      <c r="H2379" s="1" t="n">
        <v>45559</v>
      </c>
      <c r="I2379" s="1" t="n">
        <v>45564</v>
      </c>
      <c r="J2379" t="inlineStr">
        <is>
          <t>Catania (Sicily) Italy</t>
        </is>
      </c>
      <c r="K2379" t="inlineStr">
        <is>
          <t>Catane (Sicile) Italie</t>
        </is>
      </c>
      <c r="P2379" t="n">
        <v>4788.42</v>
      </c>
      <c r="Q2379" t="n">
        <v>0</v>
      </c>
      <c r="R2379" t="n">
        <v>1449.11</v>
      </c>
      <c r="S2379" t="n">
        <v>556.49</v>
      </c>
      <c r="T2379" t="n">
        <v>0</v>
      </c>
      <c r="U2379" t="n">
        <v>6794.02</v>
      </c>
      <c r="X2379" t="inlineStr">
        <is>
          <t>aafc-aac</t>
        </is>
      </c>
      <c r="Y2379" t="inlineStr">
        <is>
          <t>Agriculture and Agri-Food Canada | Agriculture et Agroalimentaire Canada</t>
        </is>
      </c>
      <c r="Z2379" t="n">
        <v>6</v>
      </c>
      <c r="AA2379" t="n">
        <v>6794.01999999999</v>
      </c>
      <c r="AB2379">
        <f>ROUND(U2379-AA2379,2)</f>
        <v/>
      </c>
      <c r="AC2379" t="b">
        <v>0</v>
      </c>
      <c r="AD2379">
        <f>IF(U2379="","MISSING_TOTAL",IF(ABS(AB2379)&lt;=0.01,"OK","CHECK"))</f>
        <v/>
      </c>
      <c r="AE2379">
        <f>IF(U2379="","MISSING",IF(AND(AA2379&gt;0,U2379/AA2379&gt;50),"POSSIBLE_SCALE_ERROR","OK"))</f>
        <v/>
      </c>
    </row>
    <row r="2380">
      <c r="A2380" t="inlineStr">
        <is>
          <t>T-2025-P07-012</t>
        </is>
      </c>
      <c r="B2380" t="inlineStr">
        <is>
          <t>SLE</t>
        </is>
      </c>
      <c r="C2380" t="inlineStr">
        <is>
          <t>Deputy Minister</t>
        </is>
      </c>
      <c r="D2380" t="inlineStr">
        <is>
          <t>Sous-ministre</t>
        </is>
      </c>
      <c r="E2380" t="inlineStr">
        <is>
          <t>Lawrence Hanson</t>
        </is>
      </c>
      <c r="F2380" t="inlineStr">
        <is>
          <t>To attend the National Values and Ethics Symposium</t>
        </is>
      </c>
      <c r="G2380" t="inlineStr">
        <is>
          <t>Participer au Symposium national sur les valeurs et l'éthique</t>
        </is>
      </c>
      <c r="H2380" s="1" t="n">
        <v>45579</v>
      </c>
      <c r="I2380" s="1" t="n">
        <v>45581</v>
      </c>
      <c r="J2380" t="inlineStr">
        <is>
          <t>Charlottetown (Prince Edward Island) Canada</t>
        </is>
      </c>
      <c r="K2380" t="inlineStr">
        <is>
          <t>Charlottetown (Île-du-Prince-Édouard) Canada</t>
        </is>
      </c>
      <c r="P2380" t="n">
        <v>1073.23</v>
      </c>
      <c r="Q2380" t="n">
        <v>42.9</v>
      </c>
      <c r="R2380" t="n">
        <v>435.9</v>
      </c>
      <c r="S2380" t="n">
        <v>337.65</v>
      </c>
      <c r="T2380" t="n">
        <v>0</v>
      </c>
      <c r="U2380" t="n">
        <v>1889.68</v>
      </c>
      <c r="X2380" t="inlineStr">
        <is>
          <t>aafc-aac</t>
        </is>
      </c>
      <c r="Y2380" t="inlineStr">
        <is>
          <t>Agriculture and Agri-Food Canada | Agriculture et Agroalimentaire Canada</t>
        </is>
      </c>
      <c r="Z2380" t="n">
        <v>3</v>
      </c>
      <c r="AA2380" t="n">
        <v>1889.68</v>
      </c>
      <c r="AB2380">
        <f>ROUND(U2380-AA2380,2)</f>
        <v/>
      </c>
      <c r="AC2380" t="b">
        <v>0</v>
      </c>
      <c r="AD2380">
        <f>IF(U2380="","MISSING_TOTAL",IF(ABS(AB2380)&lt;=0.01,"OK","CHECK"))</f>
        <v/>
      </c>
      <c r="AE2380">
        <f>IF(U2380="","MISSING",IF(AND(AA2380&gt;0,U2380/AA2380&gt;50),"POSSIBLE_SCALE_ERROR","OK"))</f>
        <v/>
      </c>
    </row>
    <row r="2381">
      <c r="A2381" t="inlineStr">
        <is>
          <t>T-2025-P07-013</t>
        </is>
      </c>
      <c r="B2381" t="inlineStr">
        <is>
          <t>SLE</t>
        </is>
      </c>
      <c r="C2381" t="inlineStr">
        <is>
          <t>Corporate Secretary</t>
        </is>
      </c>
      <c r="D2381" t="inlineStr">
        <is>
          <t>Secrétaire générale</t>
        </is>
      </c>
      <c r="E2381" t="inlineStr">
        <is>
          <t>Tamara Abel</t>
        </is>
      </c>
      <c r="F2381" t="inlineStr">
        <is>
          <t>Operational activities</t>
        </is>
      </c>
      <c r="G2381" t="inlineStr">
        <is>
          <t>Activités opérationnelles</t>
        </is>
      </c>
      <c r="H2381" s="1" t="n">
        <v>45572</v>
      </c>
      <c r="I2381" s="1" t="n">
        <v>45575</v>
      </c>
      <c r="J2381" t="inlineStr">
        <is>
          <t>Ottawa (Ontario) Canada</t>
        </is>
      </c>
      <c r="K2381" t="inlineStr">
        <is>
          <t>Ottawa (Ontario) Canada</t>
        </is>
      </c>
      <c r="P2381" t="n">
        <v>474.8</v>
      </c>
      <c r="Q2381" t="n">
        <v>312.88</v>
      </c>
      <c r="R2381" t="n">
        <v>1177</v>
      </c>
      <c r="S2381" t="n">
        <v>466.9</v>
      </c>
      <c r="T2381" t="n">
        <v>0</v>
      </c>
      <c r="U2381" t="n">
        <v>2431.58</v>
      </c>
      <c r="X2381" t="inlineStr">
        <is>
          <t>aafc-aac</t>
        </is>
      </c>
      <c r="Y2381" t="inlineStr">
        <is>
          <t>Agriculture and Agri-Food Canada | Agriculture et Agroalimentaire Canada</t>
        </is>
      </c>
      <c r="Z2381" t="n">
        <v>4</v>
      </c>
      <c r="AA2381" t="n">
        <v>2431.58</v>
      </c>
      <c r="AB2381">
        <f>ROUND(U2381-AA2381,2)</f>
        <v/>
      </c>
      <c r="AC2381" t="b">
        <v>0</v>
      </c>
      <c r="AD2381">
        <f>IF(U2381="","MISSING_TOTAL",IF(ABS(AB2381)&lt;=0.01,"OK","CHECK"))</f>
        <v/>
      </c>
      <c r="AE2381">
        <f>IF(U2381="","MISSING",IF(AND(AA2381&gt;0,U2381/AA2381&gt;50),"POSSIBLE_SCALE_ERROR","OK"))</f>
        <v/>
      </c>
    </row>
    <row r="2382">
      <c r="A2382" t="inlineStr">
        <is>
          <t>T-2025-P07-014</t>
        </is>
      </c>
      <c r="B2382" t="inlineStr">
        <is>
          <t>SLE</t>
        </is>
      </c>
      <c r="C2382" t="inlineStr">
        <is>
          <t>Workplace Well-Being Ombudsperson</t>
        </is>
      </c>
      <c r="D2382" t="inlineStr">
        <is>
          <t>Ombudsman du mieux-être en milieu de travail</t>
        </is>
      </c>
      <c r="E2382" t="inlineStr">
        <is>
          <t>Elianne Hall</t>
        </is>
      </c>
      <c r="F2382" t="inlineStr">
        <is>
          <t>To attend, as an observer, the International Ombuds Association Annual Conference at St-Paul's University</t>
        </is>
      </c>
      <c r="G2382" t="inlineStr">
        <is>
          <t>Assister, en tant qu'observateur, à la conférence annuelle de l'Association internationale des ombuds à l'Université St. Paul</t>
        </is>
      </c>
      <c r="H2382" s="1" t="n">
        <v>45551</v>
      </c>
      <c r="I2382" s="1" t="n">
        <v>45553</v>
      </c>
      <c r="J2382" t="inlineStr">
        <is>
          <t>Ottawa (Ontario) Canada</t>
        </is>
      </c>
      <c r="K2382" t="inlineStr">
        <is>
          <t>Ottawa (Ontario) Canada</t>
        </is>
      </c>
      <c r="P2382" t="n">
        <v>0</v>
      </c>
      <c r="Q2382" t="n">
        <v>40.5</v>
      </c>
      <c r="R2382" t="n">
        <v>0</v>
      </c>
      <c r="S2382" t="n">
        <v>0</v>
      </c>
      <c r="T2382" t="n">
        <v>0</v>
      </c>
      <c r="U2382" t="n">
        <v>40.5</v>
      </c>
      <c r="X2382" t="inlineStr">
        <is>
          <t>aafc-aac</t>
        </is>
      </c>
      <c r="Y2382" t="inlineStr">
        <is>
          <t>Agriculture and Agri-Food Canada | Agriculture et Agroalimentaire Canada</t>
        </is>
      </c>
      <c r="Z2382" t="n">
        <v>3</v>
      </c>
      <c r="AA2382" t="n">
        <v>40.5</v>
      </c>
      <c r="AB2382">
        <f>ROUND(U2382-AA2382,2)</f>
        <v/>
      </c>
      <c r="AC2382" t="b">
        <v>0</v>
      </c>
      <c r="AD2382">
        <f>IF(U2382="","MISSING_TOTAL",IF(ABS(AB2382)&lt;=0.01,"OK","CHECK"))</f>
        <v/>
      </c>
      <c r="AE2382">
        <f>IF(U2382="","MISSING",IF(AND(AA2382&gt;0,U2382/AA2382&gt;50),"POSSIBLE_SCALE_ERROR","OK"))</f>
        <v/>
      </c>
    </row>
    <row r="2383">
      <c r="A2383" t="inlineStr">
        <is>
          <t>T-2025-P07-015</t>
        </is>
      </c>
      <c r="B2383" t="inlineStr">
        <is>
          <t>SLE</t>
        </is>
      </c>
      <c r="C2383" t="inlineStr">
        <is>
          <t>Workplace Well-Being Ombudsperson</t>
        </is>
      </c>
      <c r="D2383" t="inlineStr">
        <is>
          <t>Ombudsman du mieux-être en milieu de travail</t>
        </is>
      </c>
      <c r="E2383" t="inlineStr">
        <is>
          <t>Elianne Hall</t>
        </is>
      </c>
      <c r="F2383" t="inlineStr">
        <is>
          <t>To attend, as an observer, the Associate Directors of Research and Development Centres' Annual Face-to-Face Meeting to present our service</t>
        </is>
      </c>
      <c r="G2383" t="inlineStr">
        <is>
          <t>Assister, en tant qu'observateur, à la réunion annuelle en personne des directeurs associés des centres de recherche et développement pour présenter nos services</t>
        </is>
      </c>
      <c r="H2383" s="1" t="n">
        <v>45558</v>
      </c>
      <c r="I2383" s="1" t="n">
        <v>45559</v>
      </c>
      <c r="J2383" t="inlineStr">
        <is>
          <t>Sainte-Foy (Quebec) Canada</t>
        </is>
      </c>
      <c r="K2383" t="inlineStr">
        <is>
          <t>Sainte-Foy (Québec) Canada</t>
        </is>
      </c>
      <c r="P2383" t="n">
        <v>0</v>
      </c>
      <c r="Q2383" t="n">
        <v>410.53</v>
      </c>
      <c r="R2383" t="n">
        <v>232.05</v>
      </c>
      <c r="S2383" t="n">
        <v>233.6</v>
      </c>
      <c r="T2383" t="n">
        <v>0</v>
      </c>
      <c r="U2383" t="n">
        <v>876.1799999999999</v>
      </c>
      <c r="X2383" t="inlineStr">
        <is>
          <t>aafc-aac</t>
        </is>
      </c>
      <c r="Y2383" t="inlineStr">
        <is>
          <t>Agriculture and Agri-Food Canada | Agriculture et Agroalimentaire Canada</t>
        </is>
      </c>
      <c r="Z2383" t="n">
        <v>2</v>
      </c>
      <c r="AA2383" t="n">
        <v>876.1799999999999</v>
      </c>
      <c r="AB2383">
        <f>ROUND(U2383-AA2383,2)</f>
        <v/>
      </c>
      <c r="AC2383" t="b">
        <v>0</v>
      </c>
      <c r="AD2383">
        <f>IF(U2383="","MISSING_TOTAL",IF(ABS(AB2383)&lt;=0.01,"OK","CHECK"))</f>
        <v/>
      </c>
      <c r="AE2383">
        <f>IF(U2383="","MISSING",IF(AND(AA2383&gt;0,U2383/AA2383&gt;50),"POSSIBLE_SCALE_ERROR","OK"))</f>
        <v/>
      </c>
    </row>
    <row r="2384">
      <c r="A2384" t="inlineStr">
        <is>
          <t>T-2025-P07-016</t>
        </is>
      </c>
      <c r="B2384" t="inlineStr">
        <is>
          <t>SLE</t>
        </is>
      </c>
      <c r="C2384" t="inlineStr">
        <is>
          <t>Workplace Well-Being Ombudsperson</t>
        </is>
      </c>
      <c r="D2384" t="inlineStr">
        <is>
          <t>Ombudsman du mieux-être en milieu de travail</t>
        </is>
      </c>
      <c r="E2384" t="inlineStr">
        <is>
          <t>Elianne Hall</t>
        </is>
      </c>
      <c r="F2384" t="inlineStr">
        <is>
          <t>To attend an Outreach</t>
        </is>
      </c>
      <c r="G2384" t="inlineStr">
        <is>
          <t>Participer à une activité de sensibilisation</t>
        </is>
      </c>
      <c r="H2384" s="1" t="n">
        <v>45565</v>
      </c>
      <c r="I2384" s="1" t="n">
        <v>45569</v>
      </c>
      <c r="J2384" t="inlineStr">
        <is>
          <t>Fredericton (New Brunswick) Canada
Charlottetown (Prince Edward Island) Canada</t>
        </is>
      </c>
      <c r="K2384" t="inlineStr">
        <is>
          <t>Fredericton (New Brunswick) Canada
Charlottetown (Île-du-Prince-Édouard) Canada</t>
        </is>
      </c>
      <c r="P2384" t="n">
        <v>918.76</v>
      </c>
      <c r="Q2384" t="n">
        <v>829.5700000000001</v>
      </c>
      <c r="R2384" t="n">
        <v>1084.13</v>
      </c>
      <c r="S2384" t="n">
        <v>509.1</v>
      </c>
      <c r="T2384" t="n">
        <v>0</v>
      </c>
      <c r="U2384" t="n">
        <v>3341.56</v>
      </c>
      <c r="X2384" t="inlineStr">
        <is>
          <t>aafc-aac</t>
        </is>
      </c>
      <c r="Y2384" t="inlineStr">
        <is>
          <t>Agriculture and Agri-Food Canada | Agriculture et Agroalimentaire Canada</t>
        </is>
      </c>
      <c r="Z2384" t="n">
        <v>5</v>
      </c>
      <c r="AA2384" t="n">
        <v>3341.56</v>
      </c>
      <c r="AB2384">
        <f>ROUND(U2384-AA2384,2)</f>
        <v/>
      </c>
      <c r="AC2384" t="b">
        <v>0</v>
      </c>
      <c r="AD2384">
        <f>IF(U2384="","MISSING_TOTAL",IF(ABS(AB2384)&lt;=0.01,"OK","CHECK"))</f>
        <v/>
      </c>
      <c r="AE2384">
        <f>IF(U2384="","MISSING",IF(AND(AA2384&gt;0,U2384/AA2384&gt;50),"POSSIBLE_SCALE_ERROR","OK"))</f>
        <v/>
      </c>
    </row>
    <row r="2385">
      <c r="A2385" t="inlineStr">
        <is>
          <t>T-2025-P07-017</t>
        </is>
      </c>
      <c r="B2385" t="inlineStr">
        <is>
          <t>SLE</t>
        </is>
      </c>
      <c r="C2385" t="inlineStr">
        <is>
          <t>Assistant Deputy Minister, Science and Technology Branch</t>
        </is>
      </c>
      <c r="D2385" t="inlineStr">
        <is>
          <t>Sous-ministre adjoint, Direction générale des sciences et de la technologie</t>
        </is>
      </c>
      <c r="E2385" t="inlineStr">
        <is>
          <t>Gilles Saindon</t>
        </is>
      </c>
      <c r="F2385" t="inlineStr">
        <is>
          <t>To attend the Departmental Audit Committee (DAC) meeting</t>
        </is>
      </c>
      <c r="G2385" t="inlineStr">
        <is>
          <t>Assister à la réunion du Comité d'audit ministériel (CAM)</t>
        </is>
      </c>
      <c r="H2385" s="1" t="n">
        <v>45585</v>
      </c>
      <c r="I2385" s="1" t="n">
        <v>45587</v>
      </c>
      <c r="J2385" t="inlineStr">
        <is>
          <t>Harrow (Ontario) Canada</t>
        </is>
      </c>
      <c r="K2385" t="inlineStr">
        <is>
          <t>Harrow (Ontario) Canada</t>
        </is>
      </c>
      <c r="P2385" t="n">
        <v>1385.12</v>
      </c>
      <c r="Q2385" t="n">
        <v>184.32</v>
      </c>
      <c r="R2385" t="n">
        <v>304.46</v>
      </c>
      <c r="S2385" t="n">
        <v>250.6</v>
      </c>
      <c r="T2385" t="n">
        <v>0</v>
      </c>
      <c r="U2385" t="n">
        <v>2124.5</v>
      </c>
      <c r="X2385" t="inlineStr">
        <is>
          <t>aafc-aac</t>
        </is>
      </c>
      <c r="Y2385" t="inlineStr">
        <is>
          <t>Agriculture and Agri-Food Canada | Agriculture et Agroalimentaire Canada</t>
        </is>
      </c>
      <c r="Z2385" t="n">
        <v>3</v>
      </c>
      <c r="AA2385" t="n">
        <v>2124.5</v>
      </c>
      <c r="AB2385">
        <f>ROUND(U2385-AA2385,2)</f>
        <v/>
      </c>
      <c r="AC2385" t="b">
        <v>0</v>
      </c>
      <c r="AD2385">
        <f>IF(U2385="","MISSING_TOTAL",IF(ABS(AB2385)&lt;=0.01,"OK","CHECK"))</f>
        <v/>
      </c>
      <c r="AE2385">
        <f>IF(U2385="","MISSING",IF(AND(AA2385&gt;0,U2385/AA2385&gt;50),"POSSIBLE_SCALE_ERROR","OK"))</f>
        <v/>
      </c>
    </row>
    <row r="2386">
      <c r="A2386" t="inlineStr">
        <is>
          <t>T-2025-P07-018</t>
        </is>
      </c>
      <c r="B2386" t="inlineStr">
        <is>
          <t>SLE</t>
        </is>
      </c>
      <c r="C2386" t="inlineStr">
        <is>
          <t>Associate Assistant Deputy Minister, Science and Technology Branch</t>
        </is>
      </c>
      <c r="D2386" t="inlineStr">
        <is>
          <t>Sous-ministre adjoint délégué, Direction générale des sciences et de la technologie</t>
        </is>
      </c>
      <c r="E2386" t="inlineStr">
        <is>
          <t>Andrew Goldstein</t>
        </is>
      </c>
      <c r="F2386" t="inlineStr">
        <is>
          <t>To participate in an outreach visit and meet with staff at the Lethbridge and Lacombe Research and Development Centres, as well as with AAFC staff located in Calgary</t>
        </is>
      </c>
      <c r="G2386" t="inlineStr">
        <is>
          <t>Participer à une visite de sensibilisation et rencontrer le personnel des Centres de recherche et développement de Lethbridge et de Lacombe, ainsi que le personnel d'AAC situé à Calgary</t>
        </is>
      </c>
      <c r="H2386" s="1" t="n">
        <v>45572</v>
      </c>
      <c r="I2386" s="1" t="n">
        <v>45576</v>
      </c>
      <c r="J2386" t="inlineStr">
        <is>
          <t>Calgary (Alberta) Canada</t>
        </is>
      </c>
      <c r="K2386" t="inlineStr">
        <is>
          <t>Calgary (Alberta) Canada</t>
        </is>
      </c>
      <c r="P2386" t="n">
        <v>962.13</v>
      </c>
      <c r="Q2386" t="n">
        <v>362.42</v>
      </c>
      <c r="R2386" t="n">
        <v>820.2</v>
      </c>
      <c r="S2386" t="n">
        <v>509.7</v>
      </c>
      <c r="T2386" t="n">
        <v>0</v>
      </c>
      <c r="U2386" t="n">
        <v>2654.45</v>
      </c>
      <c r="X2386" t="inlineStr">
        <is>
          <t>aafc-aac</t>
        </is>
      </c>
      <c r="Y2386" t="inlineStr">
        <is>
          <t>Agriculture and Agri-Food Canada | Agriculture et Agroalimentaire Canada</t>
        </is>
      </c>
      <c r="Z2386" t="n">
        <v>5</v>
      </c>
      <c r="AA2386" t="n">
        <v>2654.45</v>
      </c>
      <c r="AB2386">
        <f>ROUND(U2386-AA2386,2)</f>
        <v/>
      </c>
      <c r="AC2386" t="b">
        <v>0</v>
      </c>
      <c r="AD2386">
        <f>IF(U2386="","MISSING_TOTAL",IF(ABS(AB2386)&lt;=0.01,"OK","CHECK"))</f>
        <v/>
      </c>
      <c r="AE2386">
        <f>IF(U2386="","MISSING",IF(AND(AA2386&gt;0,U2386/AA2386&gt;50),"POSSIBLE_SCALE_ERROR","OK"))</f>
        <v/>
      </c>
    </row>
    <row r="2387">
      <c r="A2387" t="inlineStr">
        <is>
          <t>T-2025-P07-019</t>
        </is>
      </c>
      <c r="B2387" t="inlineStr">
        <is>
          <t>SLE</t>
        </is>
      </c>
      <c r="C2387" t="inlineStr">
        <is>
          <t>Assistant Deputy Minister, Corporate Management Branch</t>
        </is>
      </c>
      <c r="D2387" t="inlineStr">
        <is>
          <t>Sous-ministre adjointe, Direction générale de la gestion intégrée</t>
        </is>
      </c>
      <c r="E2387" t="inlineStr">
        <is>
          <t>Marie-Claude Guérard</t>
        </is>
      </c>
      <c r="F2387" t="inlineStr">
        <is>
          <t>To attend meeting in Montréal</t>
        </is>
      </c>
      <c r="G2387" t="inlineStr">
        <is>
          <t>Assister à une rencontre à Montréal</t>
        </is>
      </c>
      <c r="H2387" s="1" t="n">
        <v>45562</v>
      </c>
      <c r="I2387" s="1" t="n">
        <v>45562</v>
      </c>
      <c r="J2387" t="inlineStr">
        <is>
          <t>Montreal (Quebec) Canada</t>
        </is>
      </c>
      <c r="K2387" t="inlineStr">
        <is>
          <t>Montréal (Québec) Canada</t>
        </is>
      </c>
      <c r="P2387" t="n">
        <v>0</v>
      </c>
      <c r="Q2387" t="n">
        <v>24</v>
      </c>
      <c r="R2387" t="n">
        <v>0</v>
      </c>
      <c r="S2387" t="n">
        <v>0</v>
      </c>
      <c r="T2387" t="n">
        <v>0</v>
      </c>
      <c r="U2387" t="n">
        <v>24</v>
      </c>
      <c r="X2387" t="inlineStr">
        <is>
          <t>aafc-aac</t>
        </is>
      </c>
      <c r="Y2387" t="inlineStr">
        <is>
          <t>Agriculture and Agri-Food Canada | Agriculture et Agroalimentaire Canada</t>
        </is>
      </c>
      <c r="Z2387" t="n">
        <v>1</v>
      </c>
      <c r="AA2387" t="n">
        <v>24</v>
      </c>
      <c r="AB2387">
        <f>ROUND(U2387-AA2387,2)</f>
        <v/>
      </c>
      <c r="AC2387" t="b">
        <v>0</v>
      </c>
      <c r="AD2387">
        <f>IF(U2387="","MISSING_TOTAL",IF(ABS(AB2387)&lt;=0.01,"OK","CHECK"))</f>
        <v/>
      </c>
      <c r="AE2387">
        <f>IF(U2387="","MISSING",IF(AND(AA2387&gt;0,U2387/AA2387&gt;50),"POSSIBLE_SCALE_ERROR","OK"))</f>
        <v/>
      </c>
    </row>
    <row r="2388">
      <c r="A2388" t="inlineStr">
        <is>
          <t>T-2025-P07-020</t>
        </is>
      </c>
      <c r="B2388" t="inlineStr">
        <is>
          <t>SLE</t>
        </is>
      </c>
      <c r="C2388" t="inlineStr">
        <is>
          <t>Assistant Deputy Minister, Corporate Management Branch</t>
        </is>
      </c>
      <c r="D2388" t="inlineStr">
        <is>
          <t>Sous-ministre adjointe, Direction générale de la gestion intégrée</t>
        </is>
      </c>
      <c r="E2388" t="inlineStr">
        <is>
          <t>Marie-Claude Guérard</t>
        </is>
      </c>
      <c r="F2388" t="inlineStr">
        <is>
          <t>To attend meetings in Ottawa</t>
        </is>
      </c>
      <c r="G2388" t="inlineStr">
        <is>
          <t>Assister à des rencontres à Ottawa</t>
        </is>
      </c>
      <c r="H2388" s="1" t="n">
        <v>45565</v>
      </c>
      <c r="I2388" s="1" t="n">
        <v>45567</v>
      </c>
      <c r="J2388" t="inlineStr">
        <is>
          <t>Ottawa (Ontario) Canada</t>
        </is>
      </c>
      <c r="K2388" t="inlineStr">
        <is>
          <t>Ottawa (Ontario) Canada</t>
        </is>
      </c>
      <c r="P2388" t="n">
        <v>0</v>
      </c>
      <c r="Q2388" t="n">
        <v>609.09</v>
      </c>
      <c r="R2388" t="n">
        <v>448</v>
      </c>
      <c r="S2388" t="n">
        <v>337.65</v>
      </c>
      <c r="T2388" t="n">
        <v>0</v>
      </c>
      <c r="U2388" t="n">
        <v>1394.74</v>
      </c>
      <c r="X2388" t="inlineStr">
        <is>
          <t>aafc-aac</t>
        </is>
      </c>
      <c r="Y2388" t="inlineStr">
        <is>
          <t>Agriculture and Agri-Food Canada | Agriculture et Agroalimentaire Canada</t>
        </is>
      </c>
      <c r="Z2388" t="n">
        <v>3</v>
      </c>
      <c r="AA2388" t="n">
        <v>1394.74</v>
      </c>
      <c r="AB2388">
        <f>ROUND(U2388-AA2388,2)</f>
        <v/>
      </c>
      <c r="AC2388" t="b">
        <v>0</v>
      </c>
      <c r="AD2388">
        <f>IF(U2388="","MISSING_TOTAL",IF(ABS(AB2388)&lt;=0.01,"OK","CHECK"))</f>
        <v/>
      </c>
      <c r="AE2388">
        <f>IF(U2388="","MISSING",IF(AND(AA2388&gt;0,U2388/AA2388&gt;50),"POSSIBLE_SCALE_ERROR","OK"))</f>
        <v/>
      </c>
    </row>
    <row r="2389">
      <c r="A2389" t="inlineStr">
        <is>
          <t>T-2025-P07-021</t>
        </is>
      </c>
      <c r="B2389" t="inlineStr">
        <is>
          <t>SLE</t>
        </is>
      </c>
      <c r="C2389" t="inlineStr">
        <is>
          <t>Assistant Deputy Minister, Corporate Management Branch</t>
        </is>
      </c>
      <c r="D2389" t="inlineStr">
        <is>
          <t>Sous-ministre adjointe, Direction générale de la gestion intégrée</t>
        </is>
      </c>
      <c r="E2389" t="inlineStr">
        <is>
          <t>Marie-Claude Guérard</t>
        </is>
      </c>
      <c r="F2389" t="inlineStr">
        <is>
          <t>To attend meetings in Ottawa</t>
        </is>
      </c>
      <c r="G2389" t="inlineStr">
        <is>
          <t>Assister à des rencontres à Ottawa</t>
        </is>
      </c>
      <c r="H2389" s="1" t="n">
        <v>45574</v>
      </c>
      <c r="I2389" s="1" t="n">
        <v>45575</v>
      </c>
      <c r="J2389" t="inlineStr">
        <is>
          <t>Ottawa (Ontario) Canada</t>
        </is>
      </c>
      <c r="K2389" t="inlineStr">
        <is>
          <t>Ottawa (Ontario) Canada</t>
        </is>
      </c>
      <c r="P2389" t="n">
        <v>0</v>
      </c>
      <c r="Q2389" t="n">
        <v>220.23</v>
      </c>
      <c r="R2389" t="n">
        <v>213.57</v>
      </c>
      <c r="S2389" t="n">
        <v>0</v>
      </c>
      <c r="T2389" t="n">
        <v>0</v>
      </c>
      <c r="U2389" t="n">
        <v>433.8</v>
      </c>
      <c r="X2389" t="inlineStr">
        <is>
          <t>aafc-aac</t>
        </is>
      </c>
      <c r="Y2389" t="inlineStr">
        <is>
          <t>Agriculture and Agri-Food Canada | Agriculture et Agroalimentaire Canada</t>
        </is>
      </c>
      <c r="Z2389" t="n">
        <v>2</v>
      </c>
      <c r="AA2389" t="n">
        <v>433.799999999999</v>
      </c>
      <c r="AB2389">
        <f>ROUND(U2389-AA2389,2)</f>
        <v/>
      </c>
      <c r="AC2389" t="b">
        <v>0</v>
      </c>
      <c r="AD2389">
        <f>IF(U2389="","MISSING_TOTAL",IF(ABS(AB2389)&lt;=0.01,"OK","CHECK"))</f>
        <v/>
      </c>
      <c r="AE2389">
        <f>IF(U2389="","MISSING",IF(AND(AA2389&gt;0,U2389/AA2389&gt;50),"POSSIBLE_SCALE_ERROR","OK"))</f>
        <v/>
      </c>
    </row>
    <row r="2390">
      <c r="A2390" t="inlineStr">
        <is>
          <t>T-2025-P07-022</t>
        </is>
      </c>
      <c r="B2390" t="inlineStr">
        <is>
          <t>SLE</t>
        </is>
      </c>
      <c r="C2390" t="inlineStr">
        <is>
          <t>Assistant Deputy Minister, Corporate Management Branch</t>
        </is>
      </c>
      <c r="D2390" t="inlineStr">
        <is>
          <t>Sous-ministre adjointe, Direction générale de la gestion intégrée</t>
        </is>
      </c>
      <c r="E2390" t="inlineStr">
        <is>
          <t>Marie-Claude Guérard</t>
        </is>
      </c>
      <c r="F2390" t="inlineStr">
        <is>
          <t>To attend meetings in Ottawa</t>
        </is>
      </c>
      <c r="G2390" t="inlineStr">
        <is>
          <t>Assister à des rencontres à Ottawa</t>
        </is>
      </c>
      <c r="H2390" s="1" t="n">
        <v>45580</v>
      </c>
      <c r="I2390" s="1" t="n">
        <v>45582</v>
      </c>
      <c r="J2390" t="inlineStr">
        <is>
          <t>Ottawa (Ontario) Canada</t>
        </is>
      </c>
      <c r="K2390" t="inlineStr">
        <is>
          <t>Ottawa (Ontario) Canada</t>
        </is>
      </c>
      <c r="P2390" t="n">
        <v>0</v>
      </c>
      <c r="Q2390" t="n">
        <v>455.78</v>
      </c>
      <c r="R2390" t="n">
        <v>520.98</v>
      </c>
      <c r="S2390" t="n">
        <v>250.6</v>
      </c>
      <c r="T2390" t="n">
        <v>0</v>
      </c>
      <c r="U2390" t="n">
        <v>1227.36</v>
      </c>
      <c r="X2390" t="inlineStr">
        <is>
          <t>aafc-aac</t>
        </is>
      </c>
      <c r="Y2390" t="inlineStr">
        <is>
          <t>Agriculture and Agri-Food Canada | Agriculture et Agroalimentaire Canada</t>
        </is>
      </c>
      <c r="Z2390" t="n">
        <v>3</v>
      </c>
      <c r="AA2390" t="n">
        <v>1227.36</v>
      </c>
      <c r="AB2390">
        <f>ROUND(U2390-AA2390,2)</f>
        <v/>
      </c>
      <c r="AC2390" t="b">
        <v>0</v>
      </c>
      <c r="AD2390">
        <f>IF(U2390="","MISSING_TOTAL",IF(ABS(AB2390)&lt;=0.01,"OK","CHECK"))</f>
        <v/>
      </c>
      <c r="AE2390">
        <f>IF(U2390="","MISSING",IF(AND(AA2390&gt;0,U2390/AA2390&gt;50),"POSSIBLE_SCALE_ERROR","OK"))</f>
        <v/>
      </c>
    </row>
    <row r="2391">
      <c r="A2391" t="inlineStr">
        <is>
          <t>T-2025-P07-023</t>
        </is>
      </c>
      <c r="B2391" t="inlineStr">
        <is>
          <t>SLE</t>
        </is>
      </c>
      <c r="C2391" t="inlineStr">
        <is>
          <t>Assistant Deputy Minister, Corporate Management Branch</t>
        </is>
      </c>
      <c r="D2391" t="inlineStr">
        <is>
          <t>Sous-ministre adjointe, Direction générale de la gestion intégrée</t>
        </is>
      </c>
      <c r="E2391" t="inlineStr">
        <is>
          <t>Marie-Claude Guérard</t>
        </is>
      </c>
      <c r="F2391" t="inlineStr">
        <is>
          <t>To attend the Departmental Audit Committee (DAC) meeting</t>
        </is>
      </c>
      <c r="G2391" t="inlineStr">
        <is>
          <t>Assister à la réunion du Comité d'audit ministériel (CAM)</t>
        </is>
      </c>
      <c r="H2391" s="1" t="n">
        <v>45585</v>
      </c>
      <c r="I2391" s="1" t="n">
        <v>45588</v>
      </c>
      <c r="J2391" t="inlineStr">
        <is>
          <t>Harrow(Ontario) Canada</t>
        </is>
      </c>
      <c r="K2391" t="inlineStr">
        <is>
          <t>Harrow (Ontario) Canada</t>
        </is>
      </c>
      <c r="P2391" t="n">
        <v>720.13</v>
      </c>
      <c r="Q2391" t="n">
        <v>250.11</v>
      </c>
      <c r="R2391" t="n">
        <v>581.89</v>
      </c>
      <c r="S2391" t="n">
        <v>354.65</v>
      </c>
      <c r="T2391" t="n">
        <v>0</v>
      </c>
      <c r="U2391" t="n">
        <v>1906.78</v>
      </c>
      <c r="X2391" t="inlineStr">
        <is>
          <t>aafc-aac</t>
        </is>
      </c>
      <c r="Y2391" t="inlineStr">
        <is>
          <t>Agriculture and Agri-Food Canada | Agriculture et Agroalimentaire Canada</t>
        </is>
      </c>
      <c r="Z2391" t="n">
        <v>4</v>
      </c>
      <c r="AA2391" t="n">
        <v>1906.78</v>
      </c>
      <c r="AB2391">
        <f>ROUND(U2391-AA2391,2)</f>
        <v/>
      </c>
      <c r="AC2391" t="b">
        <v>0</v>
      </c>
      <c r="AD2391">
        <f>IF(U2391="","MISSING_TOTAL",IF(ABS(AB2391)&lt;=0.01,"OK","CHECK"))</f>
        <v/>
      </c>
      <c r="AE2391">
        <f>IF(U2391="","MISSING",IF(AND(AA2391&gt;0,U2391/AA2391&gt;50),"POSSIBLE_SCALE_ERROR","OK"))</f>
        <v/>
      </c>
    </row>
    <row r="2392">
      <c r="A2392" t="inlineStr">
        <is>
          <t>T-2025-P07-024</t>
        </is>
      </c>
      <c r="B2392" t="inlineStr">
        <is>
          <t>SLE</t>
        </is>
      </c>
      <c r="C2392" t="inlineStr">
        <is>
          <t>Assistant Deputy Minister, Public Affairs Branch</t>
        </is>
      </c>
      <c r="D2392" t="inlineStr">
        <is>
          <t>Sous-ministre adjointe, Direction générale des affaires publiques</t>
        </is>
      </c>
      <c r="E2392" t="inlineStr">
        <is>
          <t>Mary Dila</t>
        </is>
      </c>
      <c r="F2392" t="inlineStr">
        <is>
          <t>To attend an Outreach in Quebec</t>
        </is>
      </c>
      <c r="G2392" t="inlineStr">
        <is>
          <t>Assister à une activité de sensibilisation au Québec</t>
        </is>
      </c>
      <c r="H2392" s="1" t="n">
        <v>45575</v>
      </c>
      <c r="I2392" s="1" t="n">
        <v>45576</v>
      </c>
      <c r="J2392" t="inlineStr">
        <is>
          <t>Montréal (Quebec) Canada</t>
        </is>
      </c>
      <c r="K2392" t="inlineStr">
        <is>
          <t>Montréal (Québec) Canada</t>
        </is>
      </c>
      <c r="P2392" t="n">
        <v>0</v>
      </c>
      <c r="Q2392" t="n">
        <v>305.44</v>
      </c>
      <c r="R2392" t="n">
        <v>203.49</v>
      </c>
      <c r="S2392" t="n">
        <v>183.5</v>
      </c>
      <c r="T2392" t="n">
        <v>0</v>
      </c>
      <c r="U2392" t="n">
        <v>692.4299999999999</v>
      </c>
      <c r="X2392" t="inlineStr">
        <is>
          <t>aafc-aac</t>
        </is>
      </c>
      <c r="Y2392" t="inlineStr">
        <is>
          <t>Agriculture and Agri-Food Canada | Agriculture et Agroalimentaire Canada</t>
        </is>
      </c>
      <c r="Z2392" t="n">
        <v>2</v>
      </c>
      <c r="AA2392" t="n">
        <v>692.4299999999999</v>
      </c>
      <c r="AB2392">
        <f>ROUND(U2392-AA2392,2)</f>
        <v/>
      </c>
      <c r="AC2392" t="b">
        <v>0</v>
      </c>
      <c r="AD2392">
        <f>IF(U2392="","MISSING_TOTAL",IF(ABS(AB2392)&lt;=0.01,"OK","CHECK"))</f>
        <v/>
      </c>
      <c r="AE2392">
        <f>IF(U2392="","MISSING",IF(AND(AA2392&gt;0,U2392/AA2392&gt;50),"POSSIBLE_SCALE_ERROR","OK"))</f>
        <v/>
      </c>
    </row>
    <row r="2393">
      <c r="A2393" t="inlineStr">
        <is>
          <t>T-2025-P07-025</t>
        </is>
      </c>
      <c r="B2393" t="inlineStr">
        <is>
          <t>SLE</t>
        </is>
      </c>
      <c r="C2393" t="inlineStr">
        <is>
          <t>Assistant Deputy Minister, Strategic Policy Branch</t>
        </is>
      </c>
      <c r="D2393" t="inlineStr">
        <is>
          <t>Sous-ministre adjointe, Direction générale des politiques stratégiques</t>
        </is>
      </c>
      <c r="E2393" t="inlineStr">
        <is>
          <t>Shannon Nix</t>
        </is>
      </c>
      <c r="F2393" t="inlineStr">
        <is>
          <t>To attend the Executive Leadership Development Programme in Iqaluit</t>
        </is>
      </c>
      <c r="G2393" t="inlineStr">
        <is>
          <t>Assister au Programme de développement en leadership des cadres supérieurs à Iqaluit</t>
        </is>
      </c>
      <c r="H2393" s="1" t="n">
        <v>45551</v>
      </c>
      <c r="I2393" s="1" t="n">
        <v>45555</v>
      </c>
      <c r="J2393" t="inlineStr">
        <is>
          <t>Iqaluit (Nunavut) Canada</t>
        </is>
      </c>
      <c r="K2393" t="inlineStr">
        <is>
          <t>Iqaluit (Nunavut) Canada</t>
        </is>
      </c>
      <c r="P2393" t="n">
        <v>2982.02</v>
      </c>
      <c r="Q2393" t="n">
        <v>53.89</v>
      </c>
      <c r="R2393" t="n">
        <v>1386</v>
      </c>
      <c r="S2393" t="n">
        <v>839.85</v>
      </c>
      <c r="T2393" t="n">
        <v>0</v>
      </c>
      <c r="U2393" t="n">
        <v>5261.76</v>
      </c>
      <c r="X2393" t="inlineStr">
        <is>
          <t>aafc-aac</t>
        </is>
      </c>
      <c r="Y2393" t="inlineStr">
        <is>
          <t>Agriculture and Agri-Food Canada | Agriculture et Agroalimentaire Canada</t>
        </is>
      </c>
      <c r="Z2393" t="n">
        <v>5</v>
      </c>
      <c r="AA2393" t="n">
        <v>5261.76</v>
      </c>
      <c r="AB2393">
        <f>ROUND(U2393-AA2393,2)</f>
        <v/>
      </c>
      <c r="AC2393" t="b">
        <v>0</v>
      </c>
      <c r="AD2393">
        <f>IF(U2393="","MISSING_TOTAL",IF(ABS(AB2393)&lt;=0.01,"OK","CHECK"))</f>
        <v/>
      </c>
      <c r="AE2393">
        <f>IF(U2393="","MISSING",IF(AND(AA2393&gt;0,U2393/AA2393&gt;50),"POSSIBLE_SCALE_ERROR","OK"))</f>
        <v/>
      </c>
    </row>
    <row r="2394">
      <c r="A2394" t="inlineStr">
        <is>
          <t>T-2025-P07-026</t>
        </is>
      </c>
      <c r="B2394" t="inlineStr">
        <is>
          <t>SLE</t>
        </is>
      </c>
      <c r="C2394" t="inlineStr">
        <is>
          <t>Assistant Deputy Minister, Strategic Policy Branch</t>
        </is>
      </c>
      <c r="D2394" t="inlineStr">
        <is>
          <t>Sous-ministre adjointe, Direction générale des politiques stratégiques</t>
        </is>
      </c>
      <c r="E2394" t="inlineStr">
        <is>
          <t>Shannon Nix</t>
        </is>
      </c>
      <c r="F2394" t="inlineStr">
        <is>
          <t>To attend meetings in Ottawa</t>
        </is>
      </c>
      <c r="G2394" t="inlineStr">
        <is>
          <t>Assister à des rencontres à Ottawa</t>
        </is>
      </c>
      <c r="H2394" s="1" t="n">
        <v>45575</v>
      </c>
      <c r="I2394" s="1" t="n">
        <v>45575</v>
      </c>
      <c r="J2394" t="inlineStr">
        <is>
          <t>Ottawa (Ontario) Canada</t>
        </is>
      </c>
      <c r="K2394" t="inlineStr">
        <is>
          <t>Ottawa (Ontario) Canada</t>
        </is>
      </c>
      <c r="P2394" t="n">
        <v>0</v>
      </c>
      <c r="Q2394" t="n">
        <v>58.61</v>
      </c>
      <c r="R2394" t="n">
        <v>0</v>
      </c>
      <c r="S2394" t="n">
        <v>0</v>
      </c>
      <c r="T2394" t="n">
        <v>0</v>
      </c>
      <c r="U2394" t="n">
        <v>58.61</v>
      </c>
      <c r="X2394" t="inlineStr">
        <is>
          <t>aafc-aac</t>
        </is>
      </c>
      <c r="Y2394" t="inlineStr">
        <is>
          <t>Agriculture and Agri-Food Canada | Agriculture et Agroalimentaire Canada</t>
        </is>
      </c>
      <c r="Z2394" t="n">
        <v>1</v>
      </c>
      <c r="AA2394" t="n">
        <v>58.61</v>
      </c>
      <c r="AB2394">
        <f>ROUND(U2394-AA2394,2)</f>
        <v/>
      </c>
      <c r="AC2394" t="b">
        <v>0</v>
      </c>
      <c r="AD2394">
        <f>IF(U2394="","MISSING_TOTAL",IF(ABS(AB2394)&lt;=0.01,"OK","CHECK"))</f>
        <v/>
      </c>
      <c r="AE2394">
        <f>IF(U2394="","MISSING",IF(AND(AA2394&gt;0,U2394/AA2394&gt;50),"POSSIBLE_SCALE_ERROR","OK"))</f>
        <v/>
      </c>
    </row>
    <row r="2395">
      <c r="A2395" t="inlineStr">
        <is>
          <t>T-2025-P07-027</t>
        </is>
      </c>
      <c r="B2395" t="inlineStr">
        <is>
          <t>SLE</t>
        </is>
      </c>
      <c r="C2395" t="inlineStr">
        <is>
          <t>Assistant Deputy Minister, Strategic Policy Branch</t>
        </is>
      </c>
      <c r="D2395" t="inlineStr">
        <is>
          <t>Sous-ministre adjointe, Direction générale des politiques stratégiques</t>
        </is>
      </c>
      <c r="E2395" t="inlineStr">
        <is>
          <t>Shannon Nix</t>
        </is>
      </c>
      <c r="F2395" t="inlineStr">
        <is>
          <t>To attend Arrell Food Summit</t>
        </is>
      </c>
      <c r="G2395" t="inlineStr">
        <is>
          <t>Assister au sommet de l'alimentation d'Arrell</t>
        </is>
      </c>
      <c r="H2395" s="1" t="n">
        <v>45580</v>
      </c>
      <c r="I2395" s="1" t="n">
        <v>45581</v>
      </c>
      <c r="J2395" t="inlineStr">
        <is>
          <t>Toronto (Ontario) Canada</t>
        </is>
      </c>
      <c r="K2395" t="inlineStr">
        <is>
          <t>Toronto (Ontario) Canada</t>
        </is>
      </c>
      <c r="P2395" t="n">
        <v>1104.21</v>
      </c>
      <c r="Q2395" t="n">
        <v>97.42</v>
      </c>
      <c r="R2395" t="n">
        <v>370.12</v>
      </c>
      <c r="S2395" t="n">
        <v>158.3</v>
      </c>
      <c r="T2395" t="n">
        <v>0</v>
      </c>
      <c r="U2395" t="n">
        <v>1730.05</v>
      </c>
      <c r="X2395" t="inlineStr">
        <is>
          <t>aafc-aac</t>
        </is>
      </c>
      <c r="Y2395" t="inlineStr">
        <is>
          <t>Agriculture and Agri-Food Canada | Agriculture et Agroalimentaire Canada</t>
        </is>
      </c>
      <c r="Z2395" t="n">
        <v>2</v>
      </c>
      <c r="AA2395" t="n">
        <v>1730.05</v>
      </c>
      <c r="AB2395">
        <f>ROUND(U2395-AA2395,2)</f>
        <v/>
      </c>
      <c r="AC2395" t="b">
        <v>0</v>
      </c>
      <c r="AD2395">
        <f>IF(U2395="","MISSING_TOTAL",IF(ABS(AB2395)&lt;=0.01,"OK","CHECK"))</f>
        <v/>
      </c>
      <c r="AE2395">
        <f>IF(U2395="","MISSING",IF(AND(AA2395&gt;0,U2395/AA2395&gt;50),"POSSIBLE_SCALE_ERROR","OK"))</f>
        <v/>
      </c>
    </row>
    <row r="2396">
      <c r="A2396" t="inlineStr">
        <is>
          <t>T-2025-P07-028</t>
        </is>
      </c>
      <c r="B2396" t="inlineStr">
        <is>
          <t>SLE</t>
        </is>
      </c>
      <c r="C2396" t="inlineStr">
        <is>
          <t>Assistant Deputy Minister, Programs Branch</t>
        </is>
      </c>
      <c r="D2396" t="inlineStr">
        <is>
          <t>Sous-ministre adjointe, Direction générale des programmes</t>
        </is>
      </c>
      <c r="E2396" t="inlineStr">
        <is>
          <t>Liz Foster</t>
        </is>
      </c>
      <c r="F2396" t="inlineStr">
        <is>
          <t>To attend the Assistant Deputy Minister'S Outreach to Winnipeg and Brandon, Manitoba</t>
        </is>
      </c>
      <c r="G2396" t="inlineStr">
        <is>
          <t>Participer à une tournée de sensibilisation de la sous-ministre adjointe à Winnipeg and Brandon, Manitoba</t>
        </is>
      </c>
      <c r="H2396" s="1" t="n">
        <v>45552</v>
      </c>
      <c r="I2396" s="1" t="n">
        <v>45555</v>
      </c>
      <c r="J2396" t="inlineStr">
        <is>
          <t>Winnipeg (Manitoba) Canada
Brandon (Manitoba) Canada</t>
        </is>
      </c>
      <c r="K2396" t="inlineStr">
        <is>
          <t>Winnipeg (Manitoba) Canada
Brandon (Manitoba) Canada</t>
        </is>
      </c>
      <c r="P2396" t="n">
        <v>605.26</v>
      </c>
      <c r="Q2396" t="n">
        <v>418.41</v>
      </c>
      <c r="R2396" t="n">
        <v>454.35</v>
      </c>
      <c r="S2396" t="n">
        <v>405.05</v>
      </c>
      <c r="T2396" t="n">
        <v>0</v>
      </c>
      <c r="U2396" t="n">
        <v>1883.07</v>
      </c>
      <c r="X2396" t="inlineStr">
        <is>
          <t>aafc-aac</t>
        </is>
      </c>
      <c r="Y2396" t="inlineStr">
        <is>
          <t>Agriculture and Agri-Food Canada | Agriculture et Agroalimentaire Canada</t>
        </is>
      </c>
      <c r="Z2396" t="n">
        <v>4</v>
      </c>
      <c r="AA2396" t="n">
        <v>1883.07</v>
      </c>
      <c r="AB2396">
        <f>ROUND(U2396-AA2396,2)</f>
        <v/>
      </c>
      <c r="AC2396" t="b">
        <v>0</v>
      </c>
      <c r="AD2396">
        <f>IF(U2396="","MISSING_TOTAL",IF(ABS(AB2396)&lt;=0.01,"OK","CHECK"))</f>
        <v/>
      </c>
      <c r="AE2396">
        <f>IF(U2396="","MISSING",IF(AND(AA2396&gt;0,U2396/AA2396&gt;50),"POSSIBLE_SCALE_ERROR","OK"))</f>
        <v/>
      </c>
    </row>
    <row r="2397">
      <c r="A2397" t="inlineStr">
        <is>
          <t>T-2025-P07-029</t>
        </is>
      </c>
      <c r="B2397" t="inlineStr">
        <is>
          <t>SLE</t>
        </is>
      </c>
      <c r="C2397" t="inlineStr">
        <is>
          <t>Assistant Deputy Minister, Programs Branch</t>
        </is>
      </c>
      <c r="D2397" t="inlineStr">
        <is>
          <t>Sous-ministre adjointe, Direction générale des programmes</t>
        </is>
      </c>
      <c r="E2397" t="inlineStr">
        <is>
          <t>Liz Foster</t>
        </is>
      </c>
      <c r="F2397" t="inlineStr">
        <is>
          <t>To attend the Standing Senate Committee on Energy, the Environment and Natual Resources (ENEV) - Appearance on the Commissionner of the environment and sustainable development (CESD) Spring Reports</t>
        </is>
      </c>
      <c r="G2397" t="inlineStr">
        <is>
          <t>Participer au Comité sénatorial permanent de l'énergie, de l'environnement et des ressources naturelles (ENEV) - Comparution dans les rapports du printemps du Commissionnaire à l'environnement et au développement durable (CEDD)</t>
        </is>
      </c>
      <c r="H2397" s="1" t="n">
        <v>45575</v>
      </c>
      <c r="I2397" s="1" t="n">
        <v>45575</v>
      </c>
      <c r="J2397" t="inlineStr">
        <is>
          <t>Ottawa (Ontario) Canada</t>
        </is>
      </c>
      <c r="K2397" t="inlineStr">
        <is>
          <t>Ottawa (Ontario) Canada</t>
        </is>
      </c>
      <c r="P2397" t="n">
        <v>0</v>
      </c>
      <c r="Q2397" t="n">
        <v>17</v>
      </c>
      <c r="R2397" t="n">
        <v>0</v>
      </c>
      <c r="S2397" t="n">
        <v>0</v>
      </c>
      <c r="T2397" t="n">
        <v>0</v>
      </c>
      <c r="U2397" t="n">
        <v>17</v>
      </c>
      <c r="X2397" t="inlineStr">
        <is>
          <t>aafc-aac</t>
        </is>
      </c>
      <c r="Y2397" t="inlineStr">
        <is>
          <t>Agriculture and Agri-Food Canada | Agriculture et Agroalimentaire Canada</t>
        </is>
      </c>
      <c r="Z2397" t="n">
        <v>1</v>
      </c>
      <c r="AA2397" t="n">
        <v>17</v>
      </c>
      <c r="AB2397">
        <f>ROUND(U2397-AA2397,2)</f>
        <v/>
      </c>
      <c r="AC2397" t="b">
        <v>0</v>
      </c>
      <c r="AD2397">
        <f>IF(U2397="","MISSING_TOTAL",IF(ABS(AB2397)&lt;=0.01,"OK","CHECK"))</f>
        <v/>
      </c>
      <c r="AE2397">
        <f>IF(U2397="","MISSING",IF(AND(AA2397&gt;0,U2397/AA2397&gt;50),"POSSIBLE_SCALE_ERROR","OK"))</f>
        <v/>
      </c>
    </row>
    <row r="2398">
      <c r="A2398" t="inlineStr">
        <is>
          <t>T-2025-P07-030</t>
        </is>
      </c>
      <c r="B2398" t="inlineStr">
        <is>
          <t>SLE</t>
        </is>
      </c>
      <c r="C2398" t="inlineStr">
        <is>
          <t>Assistant Deputy Minister, Programs Branch</t>
        </is>
      </c>
      <c r="D2398" t="inlineStr">
        <is>
          <t>Sous-ministre adjointe, Direction générale des programmes</t>
        </is>
      </c>
      <c r="E2398" t="inlineStr">
        <is>
          <t>Liz Foster</t>
        </is>
      </c>
      <c r="F2398" t="inlineStr">
        <is>
          <t>To attend the Minister and Deputy Minister's meeting</t>
        </is>
      </c>
      <c r="G2398" t="inlineStr">
        <is>
          <t>Assister à la réunion du ministre and du sous-ministre</t>
        </is>
      </c>
      <c r="H2398" s="1" t="n">
        <v>45586</v>
      </c>
      <c r="I2398" s="1" t="n">
        <v>45586</v>
      </c>
      <c r="J2398" t="inlineStr">
        <is>
          <t>Ottawa (Ontario) Canada</t>
        </is>
      </c>
      <c r="K2398" t="inlineStr">
        <is>
          <t>Ottawa (Ontario) Canada</t>
        </is>
      </c>
      <c r="P2398" t="n">
        <v>0</v>
      </c>
      <c r="Q2398" t="n">
        <v>10.5</v>
      </c>
      <c r="R2398" t="n">
        <v>0</v>
      </c>
      <c r="S2398" t="n">
        <v>0</v>
      </c>
      <c r="T2398" t="n">
        <v>0</v>
      </c>
      <c r="U2398" t="n">
        <v>10.5</v>
      </c>
      <c r="X2398" t="inlineStr">
        <is>
          <t>aafc-aac</t>
        </is>
      </c>
      <c r="Y2398" t="inlineStr">
        <is>
          <t>Agriculture and Agri-Food Canada | Agriculture et Agroalimentaire Canada</t>
        </is>
      </c>
      <c r="Z2398" t="n">
        <v>1</v>
      </c>
      <c r="AA2398" t="n">
        <v>10.5</v>
      </c>
      <c r="AB2398">
        <f>ROUND(U2398-AA2398,2)</f>
        <v/>
      </c>
      <c r="AC2398" t="b">
        <v>0</v>
      </c>
      <c r="AD2398">
        <f>IF(U2398="","MISSING_TOTAL",IF(ABS(AB2398)&lt;=0.01,"OK","CHECK"))</f>
        <v/>
      </c>
      <c r="AE2398">
        <f>IF(U2398="","MISSING",IF(AND(AA2398&gt;0,U2398/AA2398&gt;50),"POSSIBLE_SCALE_ERROR","OK"))</f>
        <v/>
      </c>
    </row>
    <row r="2399">
      <c r="A2399" t="inlineStr">
        <is>
          <t>T-2025-P07-031</t>
        </is>
      </c>
      <c r="B2399" t="inlineStr">
        <is>
          <t>SLE</t>
        </is>
      </c>
      <c r="C2399" t="inlineStr">
        <is>
          <t>Assistant Deputy Minister, Market and Industry Services Branch</t>
        </is>
      </c>
      <c r="D2399" t="inlineStr">
        <is>
          <t>Sous-ministre adjoint, Direction générale des services à l'industrie et aux marchés</t>
        </is>
      </c>
      <c r="E2399" t="inlineStr">
        <is>
          <t>Tom Rosser</t>
        </is>
      </c>
      <c r="F2399" t="inlineStr">
        <is>
          <t>To assist G20 meetings in Brazil</t>
        </is>
      </c>
      <c r="G2399" t="inlineStr">
        <is>
          <t>Assister aux rencontres G20 au Brésil</t>
        </is>
      </c>
      <c r="H2399" s="1" t="n">
        <v>45545</v>
      </c>
      <c r="I2399" s="1" t="n">
        <v>45551</v>
      </c>
      <c r="J2399" t="inlineStr">
        <is>
          <t>São Paulo (São Paulo) Brazil</t>
        </is>
      </c>
      <c r="K2399" t="inlineStr">
        <is>
          <t>São Paulo (São Paulo) Brésil</t>
        </is>
      </c>
      <c r="P2399" t="n">
        <v>8177.94</v>
      </c>
      <c r="Q2399" t="n">
        <v>80</v>
      </c>
      <c r="R2399" t="n">
        <v>1153.73</v>
      </c>
      <c r="S2399" t="n">
        <v>255.56</v>
      </c>
      <c r="T2399" t="n">
        <v>0</v>
      </c>
      <c r="U2399" t="n">
        <v>9667.23</v>
      </c>
      <c r="X2399" t="inlineStr">
        <is>
          <t>aafc-aac</t>
        </is>
      </c>
      <c r="Y2399" t="inlineStr">
        <is>
          <t>Agriculture and Agri-Food Canada | Agriculture et Agroalimentaire Canada</t>
        </is>
      </c>
      <c r="Z2399" t="n">
        <v>7</v>
      </c>
      <c r="AA2399" t="n">
        <v>9667.22999999999</v>
      </c>
      <c r="AB2399">
        <f>ROUND(U2399-AA2399,2)</f>
        <v/>
      </c>
      <c r="AC2399" t="b">
        <v>0</v>
      </c>
      <c r="AD2399">
        <f>IF(U2399="","MISSING_TOTAL",IF(ABS(AB2399)&lt;=0.01,"OK","CHECK"))</f>
        <v/>
      </c>
      <c r="AE2399">
        <f>IF(U2399="","MISSING",IF(AND(AA2399&gt;0,U2399/AA2399&gt;50),"POSSIBLE_SCALE_ERROR","OK"))</f>
        <v/>
      </c>
    </row>
    <row r="2400">
      <c r="A2400" t="inlineStr">
        <is>
          <t>T-2025-P07-032</t>
        </is>
      </c>
      <c r="B2400" t="inlineStr">
        <is>
          <t>SLE</t>
        </is>
      </c>
      <c r="C2400" t="inlineStr">
        <is>
          <t>Assistant Deputy Minister, Market and Industry Services Branch</t>
        </is>
      </c>
      <c r="D2400" t="inlineStr">
        <is>
          <t>Sous-ministre adjoint, Direction générale des services à l'industrie et aux marchés</t>
        </is>
      </c>
      <c r="E2400" t="inlineStr">
        <is>
          <t>Tom Rosser</t>
        </is>
      </c>
      <c r="F2400" t="inlineStr">
        <is>
          <t>To attend meetings in Montreal</t>
        </is>
      </c>
      <c r="G2400" t="inlineStr">
        <is>
          <t>Assister à des rencontres à Montréal</t>
        </is>
      </c>
      <c r="H2400" s="1" t="n">
        <v>45558</v>
      </c>
      <c r="I2400" s="1" t="n">
        <v>45560</v>
      </c>
      <c r="J2400" t="inlineStr">
        <is>
          <t>Montréal (Quebec) Canada</t>
        </is>
      </c>
      <c r="K2400" t="inlineStr">
        <is>
          <t>Montréal (Québec) Canada</t>
        </is>
      </c>
      <c r="P2400" t="n">
        <v>0</v>
      </c>
      <c r="Q2400" t="n">
        <v>507.85</v>
      </c>
      <c r="R2400" t="n">
        <v>929.61</v>
      </c>
      <c r="S2400" t="n">
        <v>275.8</v>
      </c>
      <c r="T2400" t="n">
        <v>0</v>
      </c>
      <c r="U2400" t="n">
        <v>1713.26</v>
      </c>
      <c r="X2400" t="inlineStr">
        <is>
          <t>aafc-aac</t>
        </is>
      </c>
      <c r="Y2400" t="inlineStr">
        <is>
          <t>Agriculture and Agri-Food Canada | Agriculture et Agroalimentaire Canada</t>
        </is>
      </c>
      <c r="Z2400" t="n">
        <v>3</v>
      </c>
      <c r="AA2400" t="n">
        <v>1713.26</v>
      </c>
      <c r="AB2400">
        <f>ROUND(U2400-AA2400,2)</f>
        <v/>
      </c>
      <c r="AC2400" t="b">
        <v>0</v>
      </c>
      <c r="AD2400">
        <f>IF(U2400="","MISSING_TOTAL",IF(ABS(AB2400)&lt;=0.01,"OK","CHECK"))</f>
        <v/>
      </c>
      <c r="AE2400">
        <f>IF(U2400="","MISSING",IF(AND(AA2400&gt;0,U2400/AA2400&gt;50),"POSSIBLE_SCALE_ERROR","OK"))</f>
        <v/>
      </c>
    </row>
    <row r="2401">
      <c r="A2401" t="inlineStr">
        <is>
          <t>T-2025-P08-001</t>
        </is>
      </c>
      <c r="B2401" t="inlineStr">
        <is>
          <t>MPSES</t>
        </is>
      </c>
      <c r="C2401" t="inlineStr">
        <is>
          <t>Chief of Staff</t>
        </is>
      </c>
      <c r="D2401" t="inlineStr">
        <is>
          <t>Chef de cabinet</t>
        </is>
      </c>
      <c r="E2401" t="inlineStr">
        <is>
          <t>Matthew Mann</t>
        </is>
      </c>
      <c r="F2401" t="inlineStr">
        <is>
          <t>To support the Minister in attending the AAFC Ministerial Mission</t>
        </is>
      </c>
      <c r="G2401" t="inlineStr">
        <is>
          <t>Soutenir la participation du ministre à la mission ministérielle de l'AAC</t>
        </is>
      </c>
      <c r="H2401" s="1" t="n">
        <v>45606</v>
      </c>
      <c r="I2401" s="1" t="n">
        <v>45613</v>
      </c>
      <c r="J2401" t="inlineStr">
        <is>
          <t>Beijing, China</t>
        </is>
      </c>
      <c r="K2401" t="inlineStr">
        <is>
          <t>Beijing, Chine</t>
        </is>
      </c>
      <c r="P2401" t="n">
        <v>17040.85</v>
      </c>
      <c r="Q2401" t="n">
        <v>0</v>
      </c>
      <c r="R2401" t="n">
        <v>1052.1</v>
      </c>
      <c r="S2401" t="n">
        <v>1085.68</v>
      </c>
      <c r="T2401" t="n">
        <v>0</v>
      </c>
      <c r="U2401" t="n">
        <v>19178.63</v>
      </c>
      <c r="X2401" t="inlineStr">
        <is>
          <t>aafc-aac</t>
        </is>
      </c>
      <c r="Y2401" t="inlineStr">
        <is>
          <t>Agriculture and Agri-Food Canada | Agriculture et Agroalimentaire Canada</t>
        </is>
      </c>
      <c r="Z2401" t="n">
        <v>8</v>
      </c>
      <c r="AA2401" t="n">
        <v>19178.6299999999</v>
      </c>
      <c r="AB2401">
        <f>ROUND(U2401-AA2401,2)</f>
        <v/>
      </c>
      <c r="AC2401" t="b">
        <v>0</v>
      </c>
      <c r="AD2401">
        <f>IF(U2401="","MISSING_TOTAL",IF(ABS(AB2401)&lt;=0.01,"OK","CHECK"))</f>
        <v/>
      </c>
      <c r="AE2401">
        <f>IF(U2401="","MISSING",IF(AND(AA2401&gt;0,U2401/AA2401&gt;50),"POSSIBLE_SCALE_ERROR","OK"))</f>
        <v/>
      </c>
    </row>
    <row r="2402">
      <c r="A2402" t="inlineStr">
        <is>
          <t>T-2025-P08-002</t>
        </is>
      </c>
      <c r="B2402" t="inlineStr">
        <is>
          <t>MPSES</t>
        </is>
      </c>
      <c r="C2402" t="inlineStr">
        <is>
          <t>Chief of Staff</t>
        </is>
      </c>
      <c r="D2402" t="inlineStr">
        <is>
          <t>Chef de cabinet</t>
        </is>
      </c>
      <c r="E2402" t="inlineStr">
        <is>
          <t>Matthew Mann</t>
        </is>
      </c>
      <c r="F2402" t="inlineStr">
        <is>
          <t>To support the Minister in attending the Prince Edward Island Potato Industry Banquet</t>
        </is>
      </c>
      <c r="G2402" t="inlineStr">
        <is>
          <t>Soutenir le ministre lors du banquet de l'industrie de la pomme de terre à l'Île-du-Prince-Édouard</t>
        </is>
      </c>
      <c r="H2402" s="1" t="n">
        <v>45617</v>
      </c>
      <c r="I2402" s="1" t="n">
        <v>45619</v>
      </c>
      <c r="J2402" t="inlineStr">
        <is>
          <t>Charlottetown (Prince Edward Island) Canada</t>
        </is>
      </c>
      <c r="K2402" t="inlineStr">
        <is>
          <t>Charlottetown (Île-du-Prince-Édouard) Canada</t>
        </is>
      </c>
      <c r="P2402" t="n">
        <v>1383.76</v>
      </c>
      <c r="Q2402" t="n">
        <v>209.14</v>
      </c>
      <c r="R2402" t="n">
        <v>519.73</v>
      </c>
      <c r="S2402" t="n">
        <v>139.75</v>
      </c>
      <c r="T2402" t="n">
        <v>0</v>
      </c>
      <c r="U2402" t="n">
        <v>2252.38</v>
      </c>
      <c r="X2402" t="inlineStr">
        <is>
          <t>aafc-aac</t>
        </is>
      </c>
      <c r="Y2402" t="inlineStr">
        <is>
          <t>Agriculture and Agri-Food Canada | Agriculture et Agroalimentaire Canada</t>
        </is>
      </c>
      <c r="Z2402" t="n">
        <v>3</v>
      </c>
      <c r="AA2402" t="n">
        <v>2252.38</v>
      </c>
      <c r="AB2402">
        <f>ROUND(U2402-AA2402,2)</f>
        <v/>
      </c>
      <c r="AC2402" t="b">
        <v>0</v>
      </c>
      <c r="AD2402">
        <f>IF(U2402="","MISSING_TOTAL",IF(ABS(AB2402)&lt;=0.01,"OK","CHECK"))</f>
        <v/>
      </c>
      <c r="AE2402">
        <f>IF(U2402="","MISSING",IF(AND(AA2402&gt;0,U2402/AA2402&gt;50),"POSSIBLE_SCALE_ERROR","OK"))</f>
        <v/>
      </c>
    </row>
    <row r="2403">
      <c r="A2403" t="inlineStr">
        <is>
          <t>T-2025-P08-003</t>
        </is>
      </c>
      <c r="B2403" t="inlineStr">
        <is>
          <t>MPSES</t>
        </is>
      </c>
      <c r="C2403" t="inlineStr">
        <is>
          <t>Director of Communications</t>
        </is>
      </c>
      <c r="D2403" t="inlineStr">
        <is>
          <t>Directrice des communications</t>
        </is>
      </c>
      <c r="E2403" t="inlineStr">
        <is>
          <t>Annie Cullinan</t>
        </is>
      </c>
      <c r="F2403" t="inlineStr">
        <is>
          <t>To support the Minister in attending the AAFC Ministerial Mission</t>
        </is>
      </c>
      <c r="G2403" t="inlineStr">
        <is>
          <t>Soutenir la participation du ministre à la mission ministérielle de l'AAC</t>
        </is>
      </c>
      <c r="H2403" s="1" t="n">
        <v>45606</v>
      </c>
      <c r="I2403" s="1" t="n">
        <v>45613</v>
      </c>
      <c r="J2403" t="inlineStr">
        <is>
          <t>Beijing, China</t>
        </is>
      </c>
      <c r="K2403" t="inlineStr">
        <is>
          <t>Beijing, Chine</t>
        </is>
      </c>
      <c r="P2403" t="n">
        <v>12265.85</v>
      </c>
      <c r="Q2403" t="n">
        <v>47.52</v>
      </c>
      <c r="R2403" t="n">
        <v>1023.27</v>
      </c>
      <c r="S2403" t="n">
        <v>1085.68</v>
      </c>
      <c r="T2403" t="n">
        <v>0</v>
      </c>
      <c r="U2403" t="n">
        <v>14422.32</v>
      </c>
      <c r="X2403" t="inlineStr">
        <is>
          <t>aafc-aac</t>
        </is>
      </c>
      <c r="Y2403" t="inlineStr">
        <is>
          <t>Agriculture and Agri-Food Canada | Agriculture et Agroalimentaire Canada</t>
        </is>
      </c>
      <c r="Z2403" t="n">
        <v>8</v>
      </c>
      <c r="AA2403" t="n">
        <v>14422.32</v>
      </c>
      <c r="AB2403">
        <f>ROUND(U2403-AA2403,2)</f>
        <v/>
      </c>
      <c r="AC2403" t="b">
        <v>0</v>
      </c>
      <c r="AD2403">
        <f>IF(U2403="","MISSING_TOTAL",IF(ABS(AB2403)&lt;=0.01,"OK","CHECK"))</f>
        <v/>
      </c>
      <c r="AE2403">
        <f>IF(U2403="","MISSING",IF(AND(AA2403&gt;0,U2403/AA2403&gt;50),"POSSIBLE_SCALE_ERROR","OK"))</f>
        <v/>
      </c>
    </row>
    <row r="2404">
      <c r="A2404" t="inlineStr">
        <is>
          <t>T-2025-P08-004</t>
        </is>
      </c>
      <c r="B2404" t="inlineStr">
        <is>
          <t>SLE</t>
        </is>
      </c>
      <c r="C2404" t="inlineStr">
        <is>
          <t>Deputy Minister</t>
        </is>
      </c>
      <c r="D2404" t="inlineStr">
        <is>
          <t>Sous-ministre</t>
        </is>
      </c>
      <c r="E2404" t="inlineStr">
        <is>
          <t>Lawrence Hanson</t>
        </is>
      </c>
      <c r="F2404" t="inlineStr">
        <is>
          <t>To attend the Departmental Audit Committee</t>
        </is>
      </c>
      <c r="G2404" t="inlineStr">
        <is>
          <t>Assister au Comité d'audit ministériel</t>
        </is>
      </c>
      <c r="H2404" s="1" t="n">
        <v>45586</v>
      </c>
      <c r="I2404" s="1" t="n">
        <v>45588</v>
      </c>
      <c r="J2404" t="inlineStr">
        <is>
          <t>Windsor (Ontario) Canada</t>
        </is>
      </c>
      <c r="K2404" t="inlineStr">
        <is>
          <t>Windsor (Ontario) Canada</t>
        </is>
      </c>
      <c r="P2404" t="n">
        <v>922.53</v>
      </c>
      <c r="Q2404" t="n">
        <v>33</v>
      </c>
      <c r="R2404" t="n">
        <v>361.96</v>
      </c>
      <c r="S2404" t="n">
        <v>226</v>
      </c>
      <c r="T2404" t="n">
        <v>0</v>
      </c>
      <c r="U2404" t="n">
        <v>1543.49</v>
      </c>
      <c r="X2404" t="inlineStr">
        <is>
          <t>aafc-aac</t>
        </is>
      </c>
      <c r="Y2404" t="inlineStr">
        <is>
          <t>Agriculture and Agri-Food Canada | Agriculture et Agroalimentaire Canada</t>
        </is>
      </c>
      <c r="Z2404" t="n">
        <v>3</v>
      </c>
      <c r="AA2404" t="n">
        <v>1543.49</v>
      </c>
      <c r="AB2404">
        <f>ROUND(U2404-AA2404,2)</f>
        <v/>
      </c>
      <c r="AC2404" t="b">
        <v>0</v>
      </c>
      <c r="AD2404">
        <f>IF(U2404="","MISSING_TOTAL",IF(ABS(AB2404)&lt;=0.01,"OK","CHECK"))</f>
        <v/>
      </c>
      <c r="AE2404">
        <f>IF(U2404="","MISSING",IF(AND(AA2404&gt;0,U2404/AA2404&gt;50),"POSSIBLE_SCALE_ERROR","OK"))</f>
        <v/>
      </c>
    </row>
    <row r="2405">
      <c r="A2405" t="inlineStr">
        <is>
          <t>T-2025-P08-005</t>
        </is>
      </c>
      <c r="B2405" t="inlineStr">
        <is>
          <t>SLE</t>
        </is>
      </c>
      <c r="C2405" t="inlineStr">
        <is>
          <t>Workplace Well-Being Ombudsperson</t>
        </is>
      </c>
      <c r="D2405" t="inlineStr">
        <is>
          <t>Ombudsman du mieux-être en milieu de travail</t>
        </is>
      </c>
      <c r="E2405" t="inlineStr">
        <is>
          <t>Elianne Hall</t>
        </is>
      </c>
      <c r="F2405" t="inlineStr">
        <is>
          <t>To attend the Forum of Canadian Ombudsman</t>
        </is>
      </c>
      <c r="G2405" t="inlineStr">
        <is>
          <t>Participer au Forum Canadien des Ombudsman</t>
        </is>
      </c>
      <c r="H2405" s="1" t="n">
        <v>45585</v>
      </c>
      <c r="I2405" s="1" t="n">
        <v>45590</v>
      </c>
      <c r="J2405" t="inlineStr">
        <is>
          <t>Victoria (British Columbia) Canada</t>
        </is>
      </c>
      <c r="K2405" t="inlineStr">
        <is>
          <t>Victoria (Colombie-Britannique) Canada</t>
        </is>
      </c>
      <c r="P2405" t="n">
        <v>523.09</v>
      </c>
      <c r="Q2405" t="n">
        <v>252.49</v>
      </c>
      <c r="R2405" t="n">
        <v>1608.6</v>
      </c>
      <c r="S2405" t="n">
        <v>700.8</v>
      </c>
      <c r="T2405" t="n">
        <v>0</v>
      </c>
      <c r="U2405" t="n">
        <v>3084.98</v>
      </c>
      <c r="X2405" t="inlineStr">
        <is>
          <t>aafc-aac</t>
        </is>
      </c>
      <c r="Y2405" t="inlineStr">
        <is>
          <t>Agriculture and Agri-Food Canada | Agriculture et Agroalimentaire Canada</t>
        </is>
      </c>
      <c r="Z2405" t="n">
        <v>6</v>
      </c>
      <c r="AA2405" t="n">
        <v>3084.97999999999</v>
      </c>
      <c r="AB2405">
        <f>ROUND(U2405-AA2405,2)</f>
        <v/>
      </c>
      <c r="AC2405" t="b">
        <v>0</v>
      </c>
      <c r="AD2405">
        <f>IF(U2405="","MISSING_TOTAL",IF(ABS(AB2405)&lt;=0.01,"OK","CHECK"))</f>
        <v/>
      </c>
      <c r="AE2405">
        <f>IF(U2405="","MISSING",IF(AND(AA2405&gt;0,U2405/AA2405&gt;50),"POSSIBLE_SCALE_ERROR","OK"))</f>
        <v/>
      </c>
    </row>
    <row r="2406">
      <c r="A2406" t="inlineStr">
        <is>
          <t>T-2025-P08-006</t>
        </is>
      </c>
      <c r="B2406" t="inlineStr">
        <is>
          <t>SLE</t>
        </is>
      </c>
      <c r="C2406" t="inlineStr">
        <is>
          <t>Assistant Deputy Minister, Science and Technology Branch</t>
        </is>
      </c>
      <c r="D2406" t="inlineStr">
        <is>
          <t>Sous-ministre adjoint, Direction générale des sciences et de la technologie</t>
        </is>
      </c>
      <c r="E2406" t="inlineStr">
        <is>
          <t>Gilles Saindon</t>
        </is>
      </c>
      <c r="F2406" t="inlineStr">
        <is>
          <t>To attend the Public Service Award of Excellence on behalf of the Deputy Minister</t>
        </is>
      </c>
      <c r="G2406" t="inlineStr">
        <is>
          <t>Assister à la remise du Prix d'excellence de la fonction publique au nom du sous-ministre</t>
        </is>
      </c>
      <c r="H2406" s="1" t="n">
        <v>45587</v>
      </c>
      <c r="I2406" s="1" t="n">
        <v>45587</v>
      </c>
      <c r="J2406" t="inlineStr">
        <is>
          <t>Ottawa (Ontario) Canada</t>
        </is>
      </c>
      <c r="K2406" t="inlineStr">
        <is>
          <t>Ottawa (Ontario) Canada</t>
        </is>
      </c>
      <c r="P2406" t="n">
        <v>0</v>
      </c>
      <c r="Q2406" t="n">
        <v>14</v>
      </c>
      <c r="R2406" t="n">
        <v>0</v>
      </c>
      <c r="S2406" t="n">
        <v>0</v>
      </c>
      <c r="T2406" t="n">
        <v>0</v>
      </c>
      <c r="U2406" t="n">
        <v>14</v>
      </c>
      <c r="X2406" t="inlineStr">
        <is>
          <t>aafc-aac</t>
        </is>
      </c>
      <c r="Y2406" t="inlineStr">
        <is>
          <t>Agriculture and Agri-Food Canada | Agriculture et Agroalimentaire Canada</t>
        </is>
      </c>
      <c r="Z2406" t="n">
        <v>1</v>
      </c>
      <c r="AA2406" t="n">
        <v>14</v>
      </c>
      <c r="AB2406">
        <f>ROUND(U2406-AA2406,2)</f>
        <v/>
      </c>
      <c r="AC2406" t="b">
        <v>0</v>
      </c>
      <c r="AD2406">
        <f>IF(U2406="","MISSING_TOTAL",IF(ABS(AB2406)&lt;=0.01,"OK","CHECK"))</f>
        <v/>
      </c>
      <c r="AE2406">
        <f>IF(U2406="","MISSING",IF(AND(AA2406&gt;0,U2406/AA2406&gt;50),"POSSIBLE_SCALE_ERROR","OK"))</f>
        <v/>
      </c>
    </row>
    <row r="2407">
      <c r="A2407" t="inlineStr">
        <is>
          <t>T-2025-P08-007</t>
        </is>
      </c>
      <c r="B2407" t="inlineStr">
        <is>
          <t>SLE</t>
        </is>
      </c>
      <c r="C2407" t="inlineStr">
        <is>
          <t>Assistant Deputy Minister, Science and Technology Branch</t>
        </is>
      </c>
      <c r="D2407" t="inlineStr">
        <is>
          <t>Sous-ministre adjoint, Direction générale des sciences et de la technologie</t>
        </is>
      </c>
      <c r="E2407" t="inlineStr">
        <is>
          <t>Gilles Saindon</t>
        </is>
      </c>
      <c r="F2407" t="inlineStr">
        <is>
          <t>To attend a meeting with the Minister and a Member of Parliament</t>
        </is>
      </c>
      <c r="G2407" t="inlineStr">
        <is>
          <t>Assister à une réunion avec le ministre et un député</t>
        </is>
      </c>
      <c r="H2407" s="1" t="n">
        <v>45593</v>
      </c>
      <c r="I2407" s="1" t="n">
        <v>45593</v>
      </c>
      <c r="J2407" t="inlineStr">
        <is>
          <t>Ottawa (Ontario) Canada</t>
        </is>
      </c>
      <c r="K2407" t="inlineStr">
        <is>
          <t>Ottawa (Ontario) Canada</t>
        </is>
      </c>
      <c r="P2407" t="n">
        <v>0</v>
      </c>
      <c r="Q2407" t="n">
        <v>25</v>
      </c>
      <c r="R2407" t="n">
        <v>0</v>
      </c>
      <c r="S2407" t="n">
        <v>0</v>
      </c>
      <c r="T2407" t="n">
        <v>0</v>
      </c>
      <c r="U2407" t="n">
        <v>25</v>
      </c>
      <c r="X2407" t="inlineStr">
        <is>
          <t>aafc-aac</t>
        </is>
      </c>
      <c r="Y2407" t="inlineStr">
        <is>
          <t>Agriculture and Agri-Food Canada | Agriculture et Agroalimentaire Canada</t>
        </is>
      </c>
      <c r="Z2407" t="n">
        <v>1</v>
      </c>
      <c r="AA2407" t="n">
        <v>25</v>
      </c>
      <c r="AB2407">
        <f>ROUND(U2407-AA2407,2)</f>
        <v/>
      </c>
      <c r="AC2407" t="b">
        <v>0</v>
      </c>
      <c r="AD2407">
        <f>IF(U2407="","MISSING_TOTAL",IF(ABS(AB2407)&lt;=0.01,"OK","CHECK"))</f>
        <v/>
      </c>
      <c r="AE2407">
        <f>IF(U2407="","MISSING",IF(AND(AA2407&gt;0,U2407/AA2407&gt;50),"POSSIBLE_SCALE_ERROR","OK"))</f>
        <v/>
      </c>
    </row>
    <row r="2408">
      <c r="A2408" t="inlineStr">
        <is>
          <t>T-2025-P08-008</t>
        </is>
      </c>
      <c r="B2408" t="inlineStr">
        <is>
          <t>SLE</t>
        </is>
      </c>
      <c r="C2408" t="inlineStr">
        <is>
          <t>Associate Assistant Deputy Minister, Science and Technology Branch</t>
        </is>
      </c>
      <c r="D2408" t="inlineStr">
        <is>
          <t>Sous-ministre adjoint délégué, Direction générale des sciences et de la technologie</t>
        </is>
      </c>
      <c r="E2408" t="inlineStr">
        <is>
          <t>Andrew Goldstein</t>
        </is>
      </c>
      <c r="F2408" t="inlineStr">
        <is>
          <t>To attend an outreach visit and meet with the staff at the Summerland and Agassiz Research and Development Centres</t>
        </is>
      </c>
      <c r="G2408" t="inlineStr">
        <is>
          <t>Participer à une visite de sensibilisation avec le personnel des centres de recherche et de développement de Summerland et Agassiz</t>
        </is>
      </c>
      <c r="H2408" s="1" t="n">
        <v>45600</v>
      </c>
      <c r="I2408" s="1" t="n">
        <v>45603</v>
      </c>
      <c r="J2408" t="inlineStr">
        <is>
          <t>Kelowna (British Columbia) Canada 
Summerland (British Columbia) Canada
Agassiz (British Columbia) Canada</t>
        </is>
      </c>
      <c r="K2408" t="inlineStr">
        <is>
          <t>Kelowna (Colombie-Britannique) Canada 
Summerland (Colombie-Britannique) Canada
Agassiz (Colombie-Britannique) Canada</t>
        </is>
      </c>
      <c r="P2408" t="n">
        <v>891.39</v>
      </c>
      <c r="Q2408" t="n">
        <v>600.63</v>
      </c>
      <c r="R2408" t="n">
        <v>689.73</v>
      </c>
      <c r="S2408" t="n">
        <v>455.15</v>
      </c>
      <c r="T2408" t="n">
        <v>0</v>
      </c>
      <c r="U2408" t="n">
        <v>2636.9</v>
      </c>
      <c r="X2408" t="inlineStr">
        <is>
          <t>aafc-aac</t>
        </is>
      </c>
      <c r="Y2408" t="inlineStr">
        <is>
          <t>Agriculture and Agri-Food Canada | Agriculture et Agroalimentaire Canada</t>
        </is>
      </c>
      <c r="Z2408" t="n">
        <v>4</v>
      </c>
      <c r="AA2408" t="n">
        <v>2636.9</v>
      </c>
      <c r="AB2408">
        <f>ROUND(U2408-AA2408,2)</f>
        <v/>
      </c>
      <c r="AC2408" t="b">
        <v>0</v>
      </c>
      <c r="AD2408">
        <f>IF(U2408="","MISSING_TOTAL",IF(ABS(AB2408)&lt;=0.01,"OK","CHECK"))</f>
        <v/>
      </c>
      <c r="AE2408">
        <f>IF(U2408="","MISSING",IF(AND(AA2408&gt;0,U2408/AA2408&gt;50),"POSSIBLE_SCALE_ERROR","OK"))</f>
        <v/>
      </c>
    </row>
    <row r="2409">
      <c r="A2409" t="inlineStr">
        <is>
          <t>T-2025-P08-009</t>
        </is>
      </c>
      <c r="B2409" t="inlineStr">
        <is>
          <t>SLE</t>
        </is>
      </c>
      <c r="C2409" t="inlineStr">
        <is>
          <t>Assistant Deputy Minister, Corporate Management Branch</t>
        </is>
      </c>
      <c r="D2409" t="inlineStr">
        <is>
          <t>Sous-ministre adjointe, Direction générale de la gestion intégrée</t>
        </is>
      </c>
      <c r="E2409" t="inlineStr">
        <is>
          <t>Marie-Claude Guérard</t>
        </is>
      </c>
      <c r="F2409" t="inlineStr">
        <is>
          <t>To attend meetings in Ottawa</t>
        </is>
      </c>
      <c r="G2409" t="inlineStr">
        <is>
          <t>Assister à des réunions à Ottawa</t>
        </is>
      </c>
      <c r="H2409" s="1" t="n">
        <v>45595</v>
      </c>
      <c r="I2409" s="1" t="n">
        <v>45596</v>
      </c>
      <c r="J2409" t="inlineStr">
        <is>
          <t>Ottawa (Ontario) Canada</t>
        </is>
      </c>
      <c r="K2409" t="inlineStr">
        <is>
          <t>Ottawa (Ontario) Canada</t>
        </is>
      </c>
      <c r="P2409" t="n">
        <v>0</v>
      </c>
      <c r="Q2409" t="n">
        <v>322.5</v>
      </c>
      <c r="R2409" t="n">
        <v>224.25</v>
      </c>
      <c r="S2409" t="n">
        <v>171.75</v>
      </c>
      <c r="T2409" t="n">
        <v>0</v>
      </c>
      <c r="U2409" t="n">
        <v>718.5</v>
      </c>
      <c r="X2409" t="inlineStr">
        <is>
          <t>aafc-aac</t>
        </is>
      </c>
      <c r="Y2409" t="inlineStr">
        <is>
          <t>Agriculture and Agri-Food Canada | Agriculture et Agroalimentaire Canada</t>
        </is>
      </c>
      <c r="Z2409" t="n">
        <v>2</v>
      </c>
      <c r="AA2409" t="n">
        <v>718.5</v>
      </c>
      <c r="AB2409">
        <f>ROUND(U2409-AA2409,2)</f>
        <v/>
      </c>
      <c r="AC2409" t="b">
        <v>0</v>
      </c>
      <c r="AD2409">
        <f>IF(U2409="","MISSING_TOTAL",IF(ABS(AB2409)&lt;=0.01,"OK","CHECK"))</f>
        <v/>
      </c>
      <c r="AE2409">
        <f>IF(U2409="","MISSING",IF(AND(AA2409&gt;0,U2409/AA2409&gt;50),"POSSIBLE_SCALE_ERROR","OK"))</f>
        <v/>
      </c>
    </row>
    <row r="2410">
      <c r="A2410" t="inlineStr">
        <is>
          <t>T-2025-P08-010</t>
        </is>
      </c>
      <c r="B2410" t="inlineStr">
        <is>
          <t>SLE</t>
        </is>
      </c>
      <c r="C2410" t="inlineStr">
        <is>
          <t>Assistant Deputy Minister, Corporate Management Branch</t>
        </is>
      </c>
      <c r="D2410" t="inlineStr">
        <is>
          <t>Sous-ministre adjointe, Direction générale de la gestion intégrée</t>
        </is>
      </c>
      <c r="E2410" t="inlineStr">
        <is>
          <t>Marie-Claude Guérard</t>
        </is>
      </c>
      <c r="F2410" t="inlineStr">
        <is>
          <t>To attend meetings in Ottawa</t>
        </is>
      </c>
      <c r="G2410" t="inlineStr">
        <is>
          <t>Assister à des réunions à Ottawa</t>
        </is>
      </c>
      <c r="H2410" s="1" t="n">
        <v>45599</v>
      </c>
      <c r="I2410" s="1" t="n">
        <v>45600</v>
      </c>
      <c r="J2410" t="inlineStr">
        <is>
          <t>Ottawa (Ontario) Canada</t>
        </is>
      </c>
      <c r="K2410" t="inlineStr">
        <is>
          <t>Ottawa (Ontario) Canada</t>
        </is>
      </c>
      <c r="P2410" t="n">
        <v>0</v>
      </c>
      <c r="Q2410" t="n">
        <v>516.5599999999999</v>
      </c>
      <c r="R2410" t="n">
        <v>224.25</v>
      </c>
      <c r="S2410" t="n">
        <v>84.7</v>
      </c>
      <c r="T2410" t="n">
        <v>0</v>
      </c>
      <c r="U2410" t="n">
        <v>825.51</v>
      </c>
      <c r="X2410" t="inlineStr">
        <is>
          <t>aafc-aac</t>
        </is>
      </c>
      <c r="Y2410" t="inlineStr">
        <is>
          <t>Agriculture and Agri-Food Canada | Agriculture et Agroalimentaire Canada</t>
        </is>
      </c>
      <c r="Z2410" t="n">
        <v>2</v>
      </c>
      <c r="AA2410" t="n">
        <v>825.51</v>
      </c>
      <c r="AB2410">
        <f>ROUND(U2410-AA2410,2)</f>
        <v/>
      </c>
      <c r="AC2410" t="b">
        <v>0</v>
      </c>
      <c r="AD2410">
        <f>IF(U2410="","MISSING_TOTAL",IF(ABS(AB2410)&lt;=0.01,"OK","CHECK"))</f>
        <v/>
      </c>
      <c r="AE2410">
        <f>IF(U2410="","MISSING",IF(AND(AA2410&gt;0,U2410/AA2410&gt;50),"POSSIBLE_SCALE_ERROR","OK"))</f>
        <v/>
      </c>
    </row>
    <row r="2411">
      <c r="A2411" t="inlineStr">
        <is>
          <t>T-2025-P08-011</t>
        </is>
      </c>
      <c r="B2411" t="inlineStr">
        <is>
          <t>SLE</t>
        </is>
      </c>
      <c r="C2411" t="inlineStr">
        <is>
          <t>Assistant Deputy Minister, Strategic Policy Branch</t>
        </is>
      </c>
      <c r="D2411" t="inlineStr">
        <is>
          <t>Sous-ministre adjointe, Direction générale des politiques stratégiques</t>
        </is>
      </c>
      <c r="E2411" t="inlineStr">
        <is>
          <t>Shannon Nix</t>
        </is>
      </c>
      <c r="F2411" t="inlineStr">
        <is>
          <t>To attend the Exectuive Leadership and Development Program</t>
        </is>
      </c>
      <c r="G2411" t="inlineStr">
        <is>
          <t>Assister aux Programme de développement et de leadership das cadres supérieurs</t>
        </is>
      </c>
      <c r="H2411" s="1" t="n">
        <v>45585</v>
      </c>
      <c r="I2411" s="1" t="n">
        <v>45590</v>
      </c>
      <c r="J2411" t="inlineStr">
        <is>
          <t>Winnipeg (Manitoba) Canada</t>
        </is>
      </c>
      <c r="K2411" t="inlineStr">
        <is>
          <t>Winnipeg (Manitoba) Canada</t>
        </is>
      </c>
      <c r="P2411" t="n">
        <v>1114.44</v>
      </c>
      <c r="Q2411" t="n">
        <v>145.58</v>
      </c>
      <c r="R2411" t="n">
        <v>893.1799999999999</v>
      </c>
      <c r="S2411" t="n">
        <v>725.4</v>
      </c>
      <c r="T2411" t="n">
        <v>0</v>
      </c>
      <c r="U2411" t="n">
        <v>2878.6</v>
      </c>
      <c r="X2411" t="inlineStr">
        <is>
          <t>aafc-aac</t>
        </is>
      </c>
      <c r="Y2411" t="inlineStr">
        <is>
          <t>Agriculture and Agri-Food Canada | Agriculture et Agroalimentaire Canada</t>
        </is>
      </c>
      <c r="Z2411" t="n">
        <v>6</v>
      </c>
      <c r="AA2411" t="n">
        <v>2878.6</v>
      </c>
      <c r="AB2411">
        <f>ROUND(U2411-AA2411,2)</f>
        <v/>
      </c>
      <c r="AC2411" t="b">
        <v>0</v>
      </c>
      <c r="AD2411">
        <f>IF(U2411="","MISSING_TOTAL",IF(ABS(AB2411)&lt;=0.01,"OK","CHECK"))</f>
        <v/>
      </c>
      <c r="AE2411">
        <f>IF(U2411="","MISSING",IF(AND(AA2411&gt;0,U2411/AA2411&gt;50),"POSSIBLE_SCALE_ERROR","OK"))</f>
        <v/>
      </c>
    </row>
    <row r="2412">
      <c r="A2412" t="inlineStr">
        <is>
          <t>T-2025-P09-001</t>
        </is>
      </c>
      <c r="B2412" t="inlineStr">
        <is>
          <t>MPSES</t>
        </is>
      </c>
      <c r="C2412" t="inlineStr">
        <is>
          <t>Minister</t>
        </is>
      </c>
      <c r="D2412" t="inlineStr">
        <is>
          <t>Ministre</t>
        </is>
      </c>
      <c r="E2412" t="inlineStr">
        <is>
          <t>Lawrence MacAulay</t>
        </is>
      </c>
      <c r="F2412" t="inlineStr">
        <is>
          <t>To attend the AAFC Ministerial Mission</t>
        </is>
      </c>
      <c r="G2412" t="inlineStr">
        <is>
          <t>Participer à la mission ministérielle  dE l'AAC</t>
        </is>
      </c>
      <c r="H2412" s="1" t="n">
        <v>45606</v>
      </c>
      <c r="I2412" s="1" t="n">
        <v>45612</v>
      </c>
      <c r="J2412" t="inlineStr">
        <is>
          <t>Beijing, China</t>
        </is>
      </c>
      <c r="K2412" t="inlineStr">
        <is>
          <t>Beijing, Chine</t>
        </is>
      </c>
      <c r="P2412" t="n">
        <v>18242.15</v>
      </c>
      <c r="Q2412" t="n">
        <v>0</v>
      </c>
      <c r="R2412" t="n">
        <v>1023.27</v>
      </c>
      <c r="S2412" t="n">
        <v>1085.68</v>
      </c>
      <c r="T2412" t="n">
        <v>0</v>
      </c>
      <c r="U2412" t="n">
        <v>20351.1</v>
      </c>
      <c r="X2412" t="inlineStr">
        <is>
          <t>aafc-aac</t>
        </is>
      </c>
      <c r="Y2412" t="inlineStr">
        <is>
          <t>Agriculture and Agri-Food Canada | Agriculture et Agroalimentaire Canada</t>
        </is>
      </c>
      <c r="Z2412" t="n">
        <v>7</v>
      </c>
      <c r="AA2412" t="n">
        <v>20351.1</v>
      </c>
      <c r="AB2412">
        <f>ROUND(U2412-AA2412,2)</f>
        <v/>
      </c>
      <c r="AC2412" t="b">
        <v>0</v>
      </c>
      <c r="AD2412">
        <f>IF(U2412="","MISSING_TOTAL",IF(ABS(AB2412)&lt;=0.01,"OK","CHECK"))</f>
        <v/>
      </c>
      <c r="AE2412">
        <f>IF(U2412="","MISSING",IF(AND(AA2412&gt;0,U2412/AA2412&gt;50),"POSSIBLE_SCALE_ERROR","OK"))</f>
        <v/>
      </c>
    </row>
    <row r="2413">
      <c r="A2413" t="inlineStr">
        <is>
          <t>T-2025-P09-002</t>
        </is>
      </c>
      <c r="B2413" t="inlineStr">
        <is>
          <t>MPSES</t>
        </is>
      </c>
      <c r="C2413" t="inlineStr">
        <is>
          <t>Minister</t>
        </is>
      </c>
      <c r="D2413" t="inlineStr">
        <is>
          <t>Ministre</t>
        </is>
      </c>
      <c r="E2413" t="inlineStr">
        <is>
          <t>Lawrence MacAulay</t>
        </is>
      </c>
      <c r="F2413" t="inlineStr">
        <is>
          <t>To attend the Canadian Western Agribition</t>
        </is>
      </c>
      <c r="G2413" t="inlineStr">
        <is>
          <t>Assister à l'Agribition canadienne de l'Ouest</t>
        </is>
      </c>
      <c r="H2413" s="1" t="n">
        <v>45620</v>
      </c>
      <c r="I2413" s="1" t="n">
        <v>45622</v>
      </c>
      <c r="J2413" t="inlineStr">
        <is>
          <t>Regina (Saskatchewan) Canada</t>
        </is>
      </c>
      <c r="K2413" t="inlineStr">
        <is>
          <t>Regina (Saskatchewan) Canada</t>
        </is>
      </c>
      <c r="P2413" t="n">
        <v>1663.86</v>
      </c>
      <c r="Q2413" t="n">
        <v>0</v>
      </c>
      <c r="R2413" t="n">
        <v>489.34</v>
      </c>
      <c r="S2413" t="n">
        <v>280.45</v>
      </c>
      <c r="T2413" t="n">
        <v>0</v>
      </c>
      <c r="U2413" t="n">
        <v>2433.65</v>
      </c>
      <c r="X2413" t="inlineStr">
        <is>
          <t>aafc-aac</t>
        </is>
      </c>
      <c r="Y2413" t="inlineStr">
        <is>
          <t>Agriculture and Agri-Food Canada | Agriculture et Agroalimentaire Canada</t>
        </is>
      </c>
      <c r="Z2413" t="n">
        <v>3</v>
      </c>
      <c r="AA2413" t="n">
        <v>2433.64999999999</v>
      </c>
      <c r="AB2413">
        <f>ROUND(U2413-AA2413,2)</f>
        <v/>
      </c>
      <c r="AC2413" t="b">
        <v>0</v>
      </c>
      <c r="AD2413">
        <f>IF(U2413="","MISSING_TOTAL",IF(ABS(AB2413)&lt;=0.01,"OK","CHECK"))</f>
        <v/>
      </c>
      <c r="AE2413">
        <f>IF(U2413="","MISSING",IF(AND(AA2413&gt;0,U2413/AA2413&gt;50),"POSSIBLE_SCALE_ERROR","OK"))</f>
        <v/>
      </c>
    </row>
    <row r="2414">
      <c r="A2414" t="inlineStr">
        <is>
          <t>T-2025-P09-003</t>
        </is>
      </c>
      <c r="B2414" t="inlineStr">
        <is>
          <t>MPSES</t>
        </is>
      </c>
      <c r="C2414" t="inlineStr">
        <is>
          <t>Chief of Staff</t>
        </is>
      </c>
      <c r="D2414" t="inlineStr">
        <is>
          <t>Chef de cabinet</t>
        </is>
      </c>
      <c r="E2414" t="inlineStr">
        <is>
          <t>Matthew Mann</t>
        </is>
      </c>
      <c r="F2414" t="inlineStr">
        <is>
          <t>To support the Minister in attending an announcement</t>
        </is>
      </c>
      <c r="G2414" t="inlineStr">
        <is>
          <t>Soutenir le ministre lors d'une annonce</t>
        </is>
      </c>
      <c r="H2414" s="1" t="n">
        <v>45623</v>
      </c>
      <c r="I2414" s="1" t="n">
        <v>45626</v>
      </c>
      <c r="J2414" t="inlineStr">
        <is>
          <t>Charlottetown (Prince Edward Island) Canada</t>
        </is>
      </c>
      <c r="K2414" t="inlineStr">
        <is>
          <t>Charlottetown (Île-du-Prince-Édouard) Canada</t>
        </is>
      </c>
      <c r="P2414" t="n">
        <v>2094.91</v>
      </c>
      <c r="Q2414" t="n">
        <v>280.39</v>
      </c>
      <c r="R2414" t="n">
        <v>679.91</v>
      </c>
      <c r="S2414" t="n">
        <v>308.4</v>
      </c>
      <c r="T2414" t="n">
        <v>0</v>
      </c>
      <c r="U2414" t="n">
        <v>3363.61</v>
      </c>
      <c r="X2414" t="inlineStr">
        <is>
          <t>aafc-aac</t>
        </is>
      </c>
      <c r="Y2414" t="inlineStr">
        <is>
          <t>Agriculture and Agri-Food Canada | Agriculture et Agroalimentaire Canada</t>
        </is>
      </c>
      <c r="Z2414" t="n">
        <v>4</v>
      </c>
      <c r="AA2414" t="n">
        <v>3363.60999999999</v>
      </c>
      <c r="AB2414">
        <f>ROUND(U2414-AA2414,2)</f>
        <v/>
      </c>
      <c r="AC2414" t="b">
        <v>0</v>
      </c>
      <c r="AD2414">
        <f>IF(U2414="","MISSING_TOTAL",IF(ABS(AB2414)&lt;=0.01,"OK","CHECK"))</f>
        <v/>
      </c>
      <c r="AE2414">
        <f>IF(U2414="","MISSING",IF(AND(AA2414&gt;0,U2414/AA2414&gt;50),"POSSIBLE_SCALE_ERROR","OK"))</f>
        <v/>
      </c>
    </row>
    <row r="2415">
      <c r="A2415" t="inlineStr">
        <is>
          <t>T-2025-P09-004</t>
        </is>
      </c>
      <c r="B2415" t="inlineStr">
        <is>
          <t>MPSES</t>
        </is>
      </c>
      <c r="C2415" t="inlineStr">
        <is>
          <t>Director of Parliamentary Affairs</t>
        </is>
      </c>
      <c r="D2415" t="inlineStr">
        <is>
          <t>Directeur des affaires parlementaires</t>
        </is>
      </c>
      <c r="E2415" t="inlineStr">
        <is>
          <t>Bradley Henstock</t>
        </is>
      </c>
      <c r="F2415" t="inlineStr">
        <is>
          <t>To support the Minister in attending  the Canadian Western Agribition</t>
        </is>
      </c>
      <c r="G2415" t="inlineStr">
        <is>
          <t>Soutenir la participation du ministre à l'Agribition canadienne de l'Ouest</t>
        </is>
      </c>
      <c r="H2415" s="1" t="n">
        <v>45620</v>
      </c>
      <c r="I2415" s="1" t="n">
        <v>45622</v>
      </c>
      <c r="J2415" t="inlineStr">
        <is>
          <t>Regina (Saskatchewan) Canada</t>
        </is>
      </c>
      <c r="K2415" t="inlineStr">
        <is>
          <t>Regina (Saskatchewan) Canada</t>
        </is>
      </c>
      <c r="P2415" t="n">
        <v>1369.19</v>
      </c>
      <c r="Q2415" t="n">
        <v>269.73</v>
      </c>
      <c r="R2415" t="n">
        <v>489.34</v>
      </c>
      <c r="S2415" t="n">
        <v>280.45</v>
      </c>
      <c r="T2415" t="n">
        <v>0</v>
      </c>
      <c r="U2415" t="n">
        <v>2408.71</v>
      </c>
      <c r="X2415" t="inlineStr">
        <is>
          <t>aafc-aac</t>
        </is>
      </c>
      <c r="Y2415" t="inlineStr">
        <is>
          <t>Agriculture and Agri-Food Canada | Agriculture et Agroalimentaire Canada</t>
        </is>
      </c>
      <c r="Z2415" t="n">
        <v>3</v>
      </c>
      <c r="AA2415" t="n">
        <v>2408.71</v>
      </c>
      <c r="AB2415">
        <f>ROUND(U2415-AA2415,2)</f>
        <v/>
      </c>
      <c r="AC2415" t="b">
        <v>0</v>
      </c>
      <c r="AD2415">
        <f>IF(U2415="","MISSING_TOTAL",IF(ABS(AB2415)&lt;=0.01,"OK","CHECK"))</f>
        <v/>
      </c>
      <c r="AE2415">
        <f>IF(U2415="","MISSING",IF(AND(AA2415&gt;0,U2415/AA2415&gt;50),"POSSIBLE_SCALE_ERROR","OK"))</f>
        <v/>
      </c>
    </row>
    <row r="2416">
      <c r="A2416" t="inlineStr">
        <is>
          <t>T-2025-P09-005</t>
        </is>
      </c>
      <c r="B2416" t="inlineStr">
        <is>
          <t>MPSES</t>
        </is>
      </c>
      <c r="C2416" t="inlineStr">
        <is>
          <t>Deputy Chief of Staff &amp; Director of Operations</t>
        </is>
      </c>
      <c r="D2416" t="inlineStr">
        <is>
          <t>Chef de cabinet adjointe et Directrice des opérations</t>
        </is>
      </c>
      <c r="E2416" t="inlineStr">
        <is>
          <t>Maria Morley</t>
        </is>
      </c>
      <c r="F2416" t="inlineStr">
        <is>
          <t>To support the Minister in attending an announcement</t>
        </is>
      </c>
      <c r="G2416" t="inlineStr">
        <is>
          <t>Soutenir le ministre lors d'une annonce</t>
        </is>
      </c>
      <c r="H2416" s="1" t="n">
        <v>45623</v>
      </c>
      <c r="I2416" s="1" t="n">
        <v>45625</v>
      </c>
      <c r="J2416" t="inlineStr">
        <is>
          <t>Charlottetown (Prince Edward Island) Canada</t>
        </is>
      </c>
      <c r="K2416" t="inlineStr">
        <is>
          <t>Charlottetown (Île-du-Prince-Édouard) Canada</t>
        </is>
      </c>
      <c r="P2416" t="n">
        <v>2116.9</v>
      </c>
      <c r="Q2416" t="n">
        <v>0</v>
      </c>
      <c r="R2416" t="n">
        <v>461.96</v>
      </c>
      <c r="S2416" t="n">
        <v>223.6</v>
      </c>
      <c r="T2416" t="n">
        <v>0</v>
      </c>
      <c r="U2416" t="n">
        <v>2802.46</v>
      </c>
      <c r="X2416" t="inlineStr">
        <is>
          <t>aafc-aac</t>
        </is>
      </c>
      <c r="Y2416" t="inlineStr">
        <is>
          <t>Agriculture and Agri-Food Canada | Agriculture et Agroalimentaire Canada</t>
        </is>
      </c>
      <c r="Z2416" t="n">
        <v>3</v>
      </c>
      <c r="AA2416" t="n">
        <v>2802.46</v>
      </c>
      <c r="AB2416">
        <f>ROUND(U2416-AA2416,2)</f>
        <v/>
      </c>
      <c r="AC2416" t="b">
        <v>0</v>
      </c>
      <c r="AD2416">
        <f>IF(U2416="","MISSING_TOTAL",IF(ABS(AB2416)&lt;=0.01,"OK","CHECK"))</f>
        <v/>
      </c>
      <c r="AE2416">
        <f>IF(U2416="","MISSING",IF(AND(AA2416&gt;0,U2416/AA2416&gt;50),"POSSIBLE_SCALE_ERROR","OK"))</f>
        <v/>
      </c>
    </row>
    <row r="2417">
      <c r="A2417" t="inlineStr">
        <is>
          <t>T-2025-P09-006</t>
        </is>
      </c>
      <c r="B2417" t="inlineStr">
        <is>
          <t>MPSES</t>
        </is>
      </c>
      <c r="C2417" t="inlineStr">
        <is>
          <t>Director of Policy</t>
        </is>
      </c>
      <c r="D2417" t="inlineStr">
        <is>
          <t>Directrice des politiques</t>
        </is>
      </c>
      <c r="E2417" t="inlineStr">
        <is>
          <t>Hilary Peirce</t>
        </is>
      </c>
      <c r="F2417" t="inlineStr">
        <is>
          <t>To support the Minister in attending the Canadian Western Agribition</t>
        </is>
      </c>
      <c r="G2417" t="inlineStr">
        <is>
          <t>Soutenir la participation du ministre à l'Agribition canadienne de l'Ouest</t>
        </is>
      </c>
      <c r="H2417" s="1" t="n">
        <v>45620</v>
      </c>
      <c r="I2417" s="1" t="n">
        <v>45622</v>
      </c>
      <c r="J2417" t="inlineStr">
        <is>
          <t>Regina (Saskatchewan) Canada</t>
        </is>
      </c>
      <c r="K2417" t="inlineStr">
        <is>
          <t>Regina (Saskatchewan) Canada</t>
        </is>
      </c>
      <c r="P2417" t="n">
        <v>1369.19</v>
      </c>
      <c r="Q2417" t="n">
        <v>0</v>
      </c>
      <c r="R2417" t="n">
        <v>489.34</v>
      </c>
      <c r="S2417" t="n">
        <v>280.45</v>
      </c>
      <c r="T2417" t="n">
        <v>0</v>
      </c>
      <c r="U2417" t="n">
        <v>2138.98</v>
      </c>
      <c r="X2417" t="inlineStr">
        <is>
          <t>aafc-aac</t>
        </is>
      </c>
      <c r="Y2417" t="inlineStr">
        <is>
          <t>Agriculture and Agri-Food Canada | Agriculture et Agroalimentaire Canada</t>
        </is>
      </c>
      <c r="Z2417" t="n">
        <v>3</v>
      </c>
      <c r="AA2417" t="n">
        <v>2138.98</v>
      </c>
      <c r="AB2417">
        <f>ROUND(U2417-AA2417,2)</f>
        <v/>
      </c>
      <c r="AC2417" t="b">
        <v>0</v>
      </c>
      <c r="AD2417">
        <f>IF(U2417="","MISSING_TOTAL",IF(ABS(AB2417)&lt;=0.01,"OK","CHECK"))</f>
        <v/>
      </c>
      <c r="AE2417">
        <f>IF(U2417="","MISSING",IF(AND(AA2417&gt;0,U2417/AA2417&gt;50),"POSSIBLE_SCALE_ERROR","OK"))</f>
        <v/>
      </c>
    </row>
    <row r="2418">
      <c r="A2418" t="inlineStr">
        <is>
          <t>T-2025-P09-007</t>
        </is>
      </c>
      <c r="B2418" t="inlineStr">
        <is>
          <t>SLE</t>
        </is>
      </c>
      <c r="C2418" t="inlineStr">
        <is>
          <t>Deputy Minister</t>
        </is>
      </c>
      <c r="D2418" t="inlineStr">
        <is>
          <t>Sous-ministre</t>
        </is>
      </c>
      <c r="E2418" t="inlineStr">
        <is>
          <t>Lawrence Hanson</t>
        </is>
      </c>
      <c r="F2418" t="inlineStr">
        <is>
          <t>To support the Minister in attending the Canadian Western Agribition</t>
        </is>
      </c>
      <c r="G2418" t="inlineStr">
        <is>
          <t>Soutenir la participation du ministre à l'Agribition canadienne de l'Ouest</t>
        </is>
      </c>
      <c r="H2418" s="1" t="n">
        <v>45620</v>
      </c>
      <c r="I2418" s="1" t="n">
        <v>45622</v>
      </c>
      <c r="J2418" t="inlineStr">
        <is>
          <t>Regina (Saskatchewan) Canada</t>
        </is>
      </c>
      <c r="K2418" t="inlineStr">
        <is>
          <t>Regina (Saskatchewan) Canada</t>
        </is>
      </c>
      <c r="P2418" t="n">
        <v>1268.8</v>
      </c>
      <c r="Q2418" t="n">
        <v>25</v>
      </c>
      <c r="R2418" t="n">
        <v>489.34</v>
      </c>
      <c r="S2418" t="n">
        <v>359.35</v>
      </c>
      <c r="T2418" t="n">
        <v>0</v>
      </c>
      <c r="U2418" t="n">
        <v>2142.49</v>
      </c>
      <c r="X2418" t="inlineStr">
        <is>
          <t>aafc-aac</t>
        </is>
      </c>
      <c r="Y2418" t="inlineStr">
        <is>
          <t>Agriculture and Agri-Food Canada | Agriculture et Agroalimentaire Canada</t>
        </is>
      </c>
      <c r="Z2418" t="n">
        <v>3</v>
      </c>
      <c r="AA2418" t="n">
        <v>2142.49</v>
      </c>
      <c r="AB2418">
        <f>ROUND(U2418-AA2418,2)</f>
        <v/>
      </c>
      <c r="AC2418" t="b">
        <v>0</v>
      </c>
      <c r="AD2418">
        <f>IF(U2418="","MISSING_TOTAL",IF(ABS(AB2418)&lt;=0.01,"OK","CHECK"))</f>
        <v/>
      </c>
      <c r="AE2418">
        <f>IF(U2418="","MISSING",IF(AND(AA2418&gt;0,U2418/AA2418&gt;50),"POSSIBLE_SCALE_ERROR","OK"))</f>
        <v/>
      </c>
    </row>
    <row r="2419">
      <c r="A2419" t="inlineStr">
        <is>
          <t>T-2025-P09-008</t>
        </is>
      </c>
      <c r="B2419" t="inlineStr">
        <is>
          <t>SLE</t>
        </is>
      </c>
      <c r="C2419" t="inlineStr">
        <is>
          <t>Workplace Well-Being Ombudsperson</t>
        </is>
      </c>
      <c r="D2419" t="inlineStr">
        <is>
          <t>Ombudsman du mieux-être en milieu de travail</t>
        </is>
      </c>
      <c r="E2419" t="inlineStr">
        <is>
          <t>Elianne Hall</t>
        </is>
      </c>
      <c r="F2419" t="inlineStr">
        <is>
          <t>To attend an Outreach</t>
        </is>
      </c>
      <c r="G2419" t="inlineStr">
        <is>
          <t>Participer à une activité de sensibilisation</t>
        </is>
      </c>
      <c r="H2419" s="1" t="n">
        <v>45621</v>
      </c>
      <c r="I2419" s="1" t="n">
        <v>45625</v>
      </c>
      <c r="J2419" t="inlineStr">
        <is>
          <t>Saskatoon (Saskatchewan) Canada</t>
        </is>
      </c>
      <c r="K2419" t="inlineStr">
        <is>
          <t>Saskatoon (Saskatchewan) Canada</t>
        </is>
      </c>
      <c r="P2419" t="n">
        <v>1401.87</v>
      </c>
      <c r="Q2419" t="n">
        <v>904.09</v>
      </c>
      <c r="R2419" t="n">
        <v>827.6799999999999</v>
      </c>
      <c r="S2419" t="n">
        <v>588.65</v>
      </c>
      <c r="T2419" t="n">
        <v>0</v>
      </c>
      <c r="U2419" t="n">
        <v>3722.29</v>
      </c>
      <c r="X2419" t="inlineStr">
        <is>
          <t>aafc-aac</t>
        </is>
      </c>
      <c r="Y2419" t="inlineStr">
        <is>
          <t>Agriculture and Agri-Food Canada | Agriculture et Agroalimentaire Canada</t>
        </is>
      </c>
      <c r="Z2419" t="n">
        <v>5</v>
      </c>
      <c r="AA2419" t="n">
        <v>3722.29</v>
      </c>
      <c r="AB2419">
        <f>ROUND(U2419-AA2419,2)</f>
        <v/>
      </c>
      <c r="AC2419" t="b">
        <v>0</v>
      </c>
      <c r="AD2419">
        <f>IF(U2419="","MISSING_TOTAL",IF(ABS(AB2419)&lt;=0.01,"OK","CHECK"))</f>
        <v/>
      </c>
      <c r="AE2419">
        <f>IF(U2419="","MISSING",IF(AND(AA2419&gt;0,U2419/AA2419&gt;50),"POSSIBLE_SCALE_ERROR","OK"))</f>
        <v/>
      </c>
    </row>
    <row r="2420">
      <c r="A2420" t="inlineStr">
        <is>
          <t>T-2025-P09-009</t>
        </is>
      </c>
      <c r="B2420" t="inlineStr">
        <is>
          <t>SLE</t>
        </is>
      </c>
      <c r="C2420" t="inlineStr">
        <is>
          <t>Assistant Deputy Minister, Science and Technology Branch</t>
        </is>
      </c>
      <c r="D2420" t="inlineStr">
        <is>
          <t>Sous-ministre adjoint, Direction générale des sciences et de la technologie</t>
        </is>
      </c>
      <c r="E2420" t="inlineStr">
        <is>
          <t>Gilles Saindon</t>
        </is>
      </c>
      <c r="F2420" t="inlineStr">
        <is>
          <t>To attend a meeting</t>
        </is>
      </c>
      <c r="G2420" t="inlineStr">
        <is>
          <t>Participer à une rencontre</t>
        </is>
      </c>
      <c r="H2420" s="1" t="n">
        <v>45622</v>
      </c>
      <c r="I2420" s="1" t="n">
        <v>45623</v>
      </c>
      <c r="J2420" t="inlineStr">
        <is>
          <t>London (Ontario) Canada</t>
        </is>
      </c>
      <c r="K2420" t="inlineStr">
        <is>
          <t>London (Ontario) Canada</t>
        </is>
      </c>
      <c r="P2420" t="n">
        <v>1632.42</v>
      </c>
      <c r="Q2420" t="n">
        <v>212.89</v>
      </c>
      <c r="R2420" t="n">
        <v>150.44</v>
      </c>
      <c r="S2420" t="n">
        <v>203.25</v>
      </c>
      <c r="T2420" t="n">
        <v>0</v>
      </c>
      <c r="U2420" t="n">
        <v>2199</v>
      </c>
      <c r="X2420" t="inlineStr">
        <is>
          <t>aafc-aac</t>
        </is>
      </c>
      <c r="Y2420" t="inlineStr">
        <is>
          <t>Agriculture and Agri-Food Canada | Agriculture et Agroalimentaire Canada</t>
        </is>
      </c>
      <c r="Z2420" t="n">
        <v>2</v>
      </c>
      <c r="AA2420" t="n">
        <v>2199</v>
      </c>
      <c r="AB2420">
        <f>ROUND(U2420-AA2420,2)</f>
        <v/>
      </c>
      <c r="AC2420" t="b">
        <v>0</v>
      </c>
      <c r="AD2420">
        <f>IF(U2420="","MISSING_TOTAL",IF(ABS(AB2420)&lt;=0.01,"OK","CHECK"))</f>
        <v/>
      </c>
      <c r="AE2420">
        <f>IF(U2420="","MISSING",IF(AND(AA2420&gt;0,U2420/AA2420&gt;50),"POSSIBLE_SCALE_ERROR","OK"))</f>
        <v/>
      </c>
    </row>
    <row r="2421">
      <c r="A2421" t="inlineStr">
        <is>
          <t>T-2025-P09-010</t>
        </is>
      </c>
      <c r="B2421" t="inlineStr">
        <is>
          <t>SLE</t>
        </is>
      </c>
      <c r="C2421" t="inlineStr">
        <is>
          <t>Assistant Deputy Minister, Science and Technology Branch</t>
        </is>
      </c>
      <c r="D2421" t="inlineStr">
        <is>
          <t>Sous-ministre adjoint, Direction générale des sciences et de la technologie</t>
        </is>
      </c>
      <c r="E2421" t="inlineStr">
        <is>
          <t>Gilles Saindon</t>
        </is>
      </c>
      <c r="F2421" t="inlineStr">
        <is>
          <t>To attend the BioEnterprise Roundtable</t>
        </is>
      </c>
      <c r="G2421" t="inlineStr">
        <is>
          <t>Participer à la table ronde de BioEnterprise</t>
        </is>
      </c>
      <c r="H2421" s="1" t="n">
        <v>45621</v>
      </c>
      <c r="I2421" s="1" t="n">
        <v>45621</v>
      </c>
      <c r="J2421" t="inlineStr">
        <is>
          <t>Ottawa (Ontario) Canada</t>
        </is>
      </c>
      <c r="K2421" t="inlineStr">
        <is>
          <t>Ottawa (Ontario) Canada</t>
        </is>
      </c>
      <c r="P2421" t="n">
        <v>0</v>
      </c>
      <c r="Q2421" t="n">
        <v>20</v>
      </c>
      <c r="R2421" t="n">
        <v>0</v>
      </c>
      <c r="S2421" t="n">
        <v>0</v>
      </c>
      <c r="T2421" t="n">
        <v>0</v>
      </c>
      <c r="U2421" t="n">
        <v>20</v>
      </c>
      <c r="X2421" t="inlineStr">
        <is>
          <t>aafc-aac</t>
        </is>
      </c>
      <c r="Y2421" t="inlineStr">
        <is>
          <t>Agriculture and Agri-Food Canada | Agriculture et Agroalimentaire Canada</t>
        </is>
      </c>
      <c r="Z2421" t="n">
        <v>1</v>
      </c>
      <c r="AA2421" t="n">
        <v>20</v>
      </c>
      <c r="AB2421">
        <f>ROUND(U2421-AA2421,2)</f>
        <v/>
      </c>
      <c r="AC2421" t="b">
        <v>0</v>
      </c>
      <c r="AD2421">
        <f>IF(U2421="","MISSING_TOTAL",IF(ABS(AB2421)&lt;=0.01,"OK","CHECK"))</f>
        <v/>
      </c>
      <c r="AE2421">
        <f>IF(U2421="","MISSING",IF(AND(AA2421&gt;0,U2421/AA2421&gt;50),"POSSIBLE_SCALE_ERROR","OK"))</f>
        <v/>
      </c>
    </row>
    <row r="2422">
      <c r="A2422" t="inlineStr">
        <is>
          <t>T-2025-P09-011</t>
        </is>
      </c>
      <c r="B2422" t="inlineStr">
        <is>
          <t>SLE</t>
        </is>
      </c>
      <c r="C2422" t="inlineStr">
        <is>
          <t>Assistant Deputy Minister, International Affairs Branch</t>
        </is>
      </c>
      <c r="D2422" t="inlineStr">
        <is>
          <t>Sous-ministre adjointe, Direction générale des affaires internationales</t>
        </is>
      </c>
      <c r="E2422" t="inlineStr">
        <is>
          <t>Kathleen Donohue</t>
        </is>
      </c>
      <c r="F2422" t="inlineStr">
        <is>
          <t>To support the Minister in attending the AAFC Ministerial Mission</t>
        </is>
      </c>
      <c r="G2422" t="inlineStr">
        <is>
          <t>Soutenir la participation du ministre à la mission ministérielle de l'AAC</t>
        </is>
      </c>
      <c r="H2422" s="1" t="n">
        <v>45607</v>
      </c>
      <c r="I2422" s="1" t="n">
        <v>45613</v>
      </c>
      <c r="J2422" t="inlineStr">
        <is>
          <t>Beijing, China</t>
        </is>
      </c>
      <c r="K2422" t="inlineStr">
        <is>
          <t>Beijing, Chine</t>
        </is>
      </c>
      <c r="P2422" t="n">
        <v>13000.29</v>
      </c>
      <c r="Q2422" t="n">
        <v>67.56999999999999</v>
      </c>
      <c r="R2422" t="n">
        <v>1017.99</v>
      </c>
      <c r="S2422" t="n">
        <v>1026.97</v>
      </c>
      <c r="T2422" t="n">
        <v>0</v>
      </c>
      <c r="U2422" t="n">
        <v>15112.82</v>
      </c>
      <c r="X2422" t="inlineStr">
        <is>
          <t>aafc-aac</t>
        </is>
      </c>
      <c r="Y2422" t="inlineStr">
        <is>
          <t>Agriculture and Agri-Food Canada | Agriculture et Agroalimentaire Canada</t>
        </is>
      </c>
      <c r="Z2422" t="n">
        <v>7</v>
      </c>
      <c r="AA2422" t="n">
        <v>15112.82</v>
      </c>
      <c r="AB2422">
        <f>ROUND(U2422-AA2422,2)</f>
        <v/>
      </c>
      <c r="AC2422" t="b">
        <v>0</v>
      </c>
      <c r="AD2422">
        <f>IF(U2422="","MISSING_TOTAL",IF(ABS(AB2422)&lt;=0.01,"OK","CHECK"))</f>
        <v/>
      </c>
      <c r="AE2422">
        <f>IF(U2422="","MISSING",IF(AND(AA2422&gt;0,U2422/AA2422&gt;50),"POSSIBLE_SCALE_ERROR","OK"))</f>
        <v/>
      </c>
    </row>
    <row r="2423">
      <c r="A2423" t="inlineStr">
        <is>
          <t>T-2025-P09-012</t>
        </is>
      </c>
      <c r="B2423" t="inlineStr">
        <is>
          <t>SLE</t>
        </is>
      </c>
      <c r="C2423" t="inlineStr">
        <is>
          <t>Associate Assistant Deputy Minister, Science and Technology Branch</t>
        </is>
      </c>
      <c r="D2423" t="inlineStr">
        <is>
          <t>Sous-ministre adjoint délégué, Direction générale des sciences et de la technologie</t>
        </is>
      </c>
      <c r="E2423" t="inlineStr">
        <is>
          <t>Andrew Goldstein</t>
        </is>
      </c>
      <c r="F2423" t="inlineStr">
        <is>
          <t>Outreach visit and meet with staff at the Quebec Research and Development Centre .</t>
        </is>
      </c>
      <c r="G2423" t="inlineStr">
        <is>
          <t>Rencontre de sensibilisation avec le personnel du Centre de recherche et de développement de Québec.</t>
        </is>
      </c>
      <c r="H2423" s="1" t="n">
        <v>45635</v>
      </c>
      <c r="I2423" s="1" t="n">
        <v>45636</v>
      </c>
      <c r="J2423" t="inlineStr">
        <is>
          <t>QuÉbec (Quebec) Canada</t>
        </is>
      </c>
      <c r="K2423" t="inlineStr">
        <is>
          <t>Québec (Québec) Canada</t>
        </is>
      </c>
      <c r="P2423" t="n">
        <v>1395.02</v>
      </c>
      <c r="Q2423" t="n">
        <v>50</v>
      </c>
      <c r="R2423" t="n">
        <v>208.26</v>
      </c>
      <c r="S2423" t="n">
        <v>258.2</v>
      </c>
      <c r="T2423" t="n">
        <v>0</v>
      </c>
      <c r="U2423" t="n">
        <v>1911.48</v>
      </c>
      <c r="X2423" t="inlineStr">
        <is>
          <t>aafc-aac</t>
        </is>
      </c>
      <c r="Y2423" t="inlineStr">
        <is>
          <t>Agriculture and Agri-Food Canada | Agriculture et Agroalimentaire Canada</t>
        </is>
      </c>
      <c r="Z2423" t="n">
        <v>2</v>
      </c>
      <c r="AA2423" t="n">
        <v>1911.48</v>
      </c>
      <c r="AB2423">
        <f>ROUND(U2423-AA2423,2)</f>
        <v/>
      </c>
      <c r="AC2423" t="b">
        <v>0</v>
      </c>
      <c r="AD2423">
        <f>IF(U2423="","MISSING_TOTAL",IF(ABS(AB2423)&lt;=0.01,"OK","CHECK"))</f>
        <v/>
      </c>
      <c r="AE2423">
        <f>IF(U2423="","MISSING",IF(AND(AA2423&gt;0,U2423/AA2423&gt;50),"POSSIBLE_SCALE_ERROR","OK"))</f>
        <v/>
      </c>
    </row>
    <row r="2424">
      <c r="A2424" t="inlineStr">
        <is>
          <t>T-2025-P09-013</t>
        </is>
      </c>
      <c r="B2424" t="inlineStr">
        <is>
          <t>SLE</t>
        </is>
      </c>
      <c r="C2424" t="inlineStr">
        <is>
          <t>Associate Assistant Deputy Minister, Science and Technology Branch</t>
        </is>
      </c>
      <c r="D2424" t="inlineStr">
        <is>
          <t>Sous-ministre adjoint délégué, Direction générale des sciences et de la technologie</t>
        </is>
      </c>
      <c r="E2424" t="inlineStr">
        <is>
          <t>Andrew Goldstein</t>
        </is>
      </c>
      <c r="F2424" t="inlineStr">
        <is>
          <t>To attend the BioEnterprise Round Table meetings in Ottawa</t>
        </is>
      </c>
      <c r="G2424" t="inlineStr">
        <is>
          <t>Participation aux réunions de la table ronde BioEnterprise à Ottawa</t>
        </is>
      </c>
      <c r="H2424" s="1" t="n">
        <v>45621</v>
      </c>
      <c r="I2424" s="1" t="n">
        <v>45621</v>
      </c>
      <c r="J2424" t="inlineStr">
        <is>
          <t>Ottawa (Ontario) Canada</t>
        </is>
      </c>
      <c r="K2424" t="inlineStr">
        <is>
          <t>Ottawa (Ontario) Canada</t>
        </is>
      </c>
      <c r="P2424" t="n">
        <v>0</v>
      </c>
      <c r="Q2424" t="n">
        <v>20</v>
      </c>
      <c r="R2424" t="n">
        <v>0</v>
      </c>
      <c r="S2424" t="n">
        <v>0</v>
      </c>
      <c r="T2424" t="n">
        <v>0</v>
      </c>
      <c r="U2424" t="n">
        <v>20</v>
      </c>
      <c r="X2424" t="inlineStr">
        <is>
          <t>aafc-aac</t>
        </is>
      </c>
      <c r="Y2424" t="inlineStr">
        <is>
          <t>Agriculture and Agri-Food Canada | Agriculture et Agroalimentaire Canada</t>
        </is>
      </c>
      <c r="Z2424" t="n">
        <v>1</v>
      </c>
      <c r="AA2424" t="n">
        <v>20</v>
      </c>
      <c r="AB2424">
        <f>ROUND(U2424-AA2424,2)</f>
        <v/>
      </c>
      <c r="AC2424" t="b">
        <v>0</v>
      </c>
      <c r="AD2424">
        <f>IF(U2424="","MISSING_TOTAL",IF(ABS(AB2424)&lt;=0.01,"OK","CHECK"))</f>
        <v/>
      </c>
      <c r="AE2424">
        <f>IF(U2424="","MISSING",IF(AND(AA2424&gt;0,U2424/AA2424&gt;50),"POSSIBLE_SCALE_ERROR","OK"))</f>
        <v/>
      </c>
    </row>
    <row r="2425">
      <c r="A2425" t="inlineStr">
        <is>
          <t>T-2025-P09-014</t>
        </is>
      </c>
      <c r="B2425" t="inlineStr">
        <is>
          <t>SLE</t>
        </is>
      </c>
      <c r="C2425" t="inlineStr">
        <is>
          <t>Assistant Deputy Minister, Corporate Management Branch</t>
        </is>
      </c>
      <c r="D2425" t="inlineStr">
        <is>
          <t>Sous-ministre adjointe, Direction générale de la gestion intégrée</t>
        </is>
      </c>
      <c r="E2425" t="inlineStr">
        <is>
          <t>Marie-Claude Guérard</t>
        </is>
      </c>
      <c r="F2425" t="inlineStr">
        <is>
          <t>To attend meetings in Ottawa</t>
        </is>
      </c>
      <c r="G2425" t="inlineStr">
        <is>
          <t>Participer aux rencontres à Ottawa</t>
        </is>
      </c>
      <c r="H2425" s="1" t="n">
        <v>45629</v>
      </c>
      <c r="I2425" s="1" t="n">
        <v>45631</v>
      </c>
      <c r="J2425" t="inlineStr">
        <is>
          <t>Ottawa (Ontario) Canada</t>
        </is>
      </c>
      <c r="K2425" t="inlineStr">
        <is>
          <t>Ottawa (Ontario) Canada</t>
        </is>
      </c>
      <c r="P2425" t="n">
        <v>0</v>
      </c>
      <c r="Q2425" t="n">
        <v>567.3200000000001</v>
      </c>
      <c r="R2425" t="n">
        <v>389.18</v>
      </c>
      <c r="S2425" t="n">
        <v>246.6</v>
      </c>
      <c r="T2425" t="n">
        <v>0</v>
      </c>
      <c r="U2425" t="n">
        <v>1203.1</v>
      </c>
      <c r="X2425" t="inlineStr">
        <is>
          <t>aafc-aac</t>
        </is>
      </c>
      <c r="Y2425" t="inlineStr">
        <is>
          <t>Agriculture and Agri-Food Canada | Agriculture et Agroalimentaire Canada</t>
        </is>
      </c>
      <c r="Z2425" t="n">
        <v>3</v>
      </c>
      <c r="AA2425" t="n">
        <v>1203.1</v>
      </c>
      <c r="AB2425">
        <f>ROUND(U2425-AA2425,2)</f>
        <v/>
      </c>
      <c r="AC2425" t="b">
        <v>0</v>
      </c>
      <c r="AD2425">
        <f>IF(U2425="","MISSING_TOTAL",IF(ABS(AB2425)&lt;=0.01,"OK","CHECK"))</f>
        <v/>
      </c>
      <c r="AE2425">
        <f>IF(U2425="","MISSING",IF(AND(AA2425&gt;0,U2425/AA2425&gt;50),"POSSIBLE_SCALE_ERROR","OK"))</f>
        <v/>
      </c>
    </row>
    <row r="2426">
      <c r="A2426" t="inlineStr">
        <is>
          <t>T-2025-P09-015</t>
        </is>
      </c>
      <c r="B2426" t="inlineStr">
        <is>
          <t>SLE</t>
        </is>
      </c>
      <c r="C2426" t="inlineStr">
        <is>
          <t>Assistant Deputy Minister, Strategic Policy Branch</t>
        </is>
      </c>
      <c r="D2426" t="inlineStr">
        <is>
          <t>Sous-ministre adjointe, Direction générale des politiques stratégiques</t>
        </is>
      </c>
      <c r="E2426" t="inlineStr">
        <is>
          <t>Shannon Nix</t>
        </is>
      </c>
      <c r="F2426" t="inlineStr">
        <is>
          <t>To attend the Advancing Woman in Agriculture Conference in Niagara Falls</t>
        </is>
      </c>
      <c r="G2426" t="inlineStr">
        <is>
          <t>Participer à la conférence Advancing Woman in Agriculture à Niagara Falls</t>
        </is>
      </c>
      <c r="H2426" s="1" t="n">
        <v>45613</v>
      </c>
      <c r="I2426" s="1" t="n">
        <v>45618</v>
      </c>
      <c r="J2426" t="inlineStr">
        <is>
          <t>Niagara Falls (Ontario) Canada</t>
        </is>
      </c>
      <c r="K2426" t="inlineStr">
        <is>
          <t>Niagara Falls (Ontario) Canada</t>
        </is>
      </c>
      <c r="P2426" t="n">
        <v>902.78</v>
      </c>
      <c r="Q2426" t="n">
        <v>177.09</v>
      </c>
      <c r="R2426" t="n">
        <v>381.7</v>
      </c>
      <c r="S2426" t="n">
        <v>148.3</v>
      </c>
      <c r="T2426" t="n">
        <v>0</v>
      </c>
      <c r="U2426" t="n">
        <v>1609.87</v>
      </c>
      <c r="X2426" t="inlineStr">
        <is>
          <t>aafc-aac</t>
        </is>
      </c>
      <c r="Y2426" t="inlineStr">
        <is>
          <t>Agriculture and Agri-Food Canada | Agriculture et Agroalimentaire Canada</t>
        </is>
      </c>
      <c r="Z2426" t="n">
        <v>6</v>
      </c>
      <c r="AA2426" t="n">
        <v>1609.87</v>
      </c>
      <c r="AB2426">
        <f>ROUND(U2426-AA2426,2)</f>
        <v/>
      </c>
      <c r="AC2426" t="b">
        <v>0</v>
      </c>
      <c r="AD2426">
        <f>IF(U2426="","MISSING_TOTAL",IF(ABS(AB2426)&lt;=0.01,"OK","CHECK"))</f>
        <v/>
      </c>
      <c r="AE2426">
        <f>IF(U2426="","MISSING",IF(AND(AA2426&gt;0,U2426/AA2426&gt;50),"POSSIBLE_SCALE_ERROR","OK"))</f>
        <v/>
      </c>
    </row>
    <row r="2427">
      <c r="A2427" t="inlineStr">
        <is>
          <t>T-2025-P09-016</t>
        </is>
      </c>
      <c r="B2427" t="inlineStr">
        <is>
          <t>SLE</t>
        </is>
      </c>
      <c r="C2427" t="inlineStr">
        <is>
          <t>Assistant Deputy Minister, Programs Branch</t>
        </is>
      </c>
      <c r="D2427" t="inlineStr">
        <is>
          <t>Sous-ministre adjointe, Direction générale des programmes</t>
        </is>
      </c>
      <c r="E2427" t="inlineStr">
        <is>
          <t>Liz Foster</t>
        </is>
      </c>
      <c r="F2427" t="inlineStr">
        <is>
          <t>To attend the BioEnterprise Round Table meetings in Ottawa</t>
        </is>
      </c>
      <c r="G2427" t="inlineStr">
        <is>
          <t>Participer aux réunions de table ronde BioEnterprise à Ottawa</t>
        </is>
      </c>
      <c r="H2427" s="1" t="n">
        <v>45621</v>
      </c>
      <c r="I2427" s="1" t="n">
        <v>45621</v>
      </c>
      <c r="J2427" t="inlineStr">
        <is>
          <t>Ottawa (Ontario) Canada</t>
        </is>
      </c>
      <c r="K2427" t="inlineStr">
        <is>
          <t>Ottawa (Ontario) Canada</t>
        </is>
      </c>
      <c r="P2427" t="n">
        <v>0</v>
      </c>
      <c r="Q2427" t="n">
        <v>20.5</v>
      </c>
      <c r="R2427" t="n">
        <v>0</v>
      </c>
      <c r="S2427" t="n">
        <v>0</v>
      </c>
      <c r="T2427" t="n">
        <v>0</v>
      </c>
      <c r="U2427" t="n">
        <v>20.5</v>
      </c>
      <c r="X2427" t="inlineStr">
        <is>
          <t>aafc-aac</t>
        </is>
      </c>
      <c r="Y2427" t="inlineStr">
        <is>
          <t>Agriculture and Agri-Food Canada | Agriculture et Agroalimentaire Canada</t>
        </is>
      </c>
      <c r="Z2427" t="n">
        <v>1</v>
      </c>
      <c r="AA2427" t="n">
        <v>20.5</v>
      </c>
      <c r="AB2427">
        <f>ROUND(U2427-AA2427,2)</f>
        <v/>
      </c>
      <c r="AC2427" t="b">
        <v>0</v>
      </c>
      <c r="AD2427">
        <f>IF(U2427="","MISSING_TOTAL",IF(ABS(AB2427)&lt;=0.01,"OK","CHECK"))</f>
        <v/>
      </c>
      <c r="AE2427">
        <f>IF(U2427="","MISSING",IF(AND(AA2427&gt;0,U2427/AA2427&gt;50),"POSSIBLE_SCALE_ERROR","OK"))</f>
        <v/>
      </c>
    </row>
    <row r="2428">
      <c r="A2428" t="inlineStr">
        <is>
          <t>T-2025-P09-017</t>
        </is>
      </c>
      <c r="B2428" t="inlineStr">
        <is>
          <t>SLE</t>
        </is>
      </c>
      <c r="C2428" t="inlineStr">
        <is>
          <t>Assistant Deputy Minister, Market and Industry Services Branch</t>
        </is>
      </c>
      <c r="D2428" t="inlineStr">
        <is>
          <t>Sous-ministre adjoint, Direction générale des services à l'industrie et aux marchés</t>
        </is>
      </c>
      <c r="E2428" t="inlineStr">
        <is>
          <t>Tom Rosser</t>
        </is>
      </c>
      <c r="F2428" t="inlineStr">
        <is>
          <t>To support the Minister in attending the AAFC Ministerial Mission</t>
        </is>
      </c>
      <c r="G2428" t="inlineStr">
        <is>
          <t>Soutenir la participation du ministre à la mission ministérielle de l'AAC</t>
        </is>
      </c>
      <c r="H2428" s="1" t="n">
        <v>45605</v>
      </c>
      <c r="I2428" s="1" t="n">
        <v>45613</v>
      </c>
      <c r="J2428" t="inlineStr">
        <is>
          <t>Beijing, China</t>
        </is>
      </c>
      <c r="K2428" t="inlineStr">
        <is>
          <t>Beijing, Chine</t>
        </is>
      </c>
      <c r="P2428" t="n">
        <v>14576.18</v>
      </c>
      <c r="Q2428" t="n">
        <v>80</v>
      </c>
      <c r="R2428" t="n">
        <v>1025.38</v>
      </c>
      <c r="S2428" t="n">
        <v>650.41</v>
      </c>
      <c r="T2428" t="n">
        <v>0</v>
      </c>
      <c r="U2428" t="n">
        <v>16331.97</v>
      </c>
      <c r="X2428" t="inlineStr">
        <is>
          <t>aafc-aac</t>
        </is>
      </c>
      <c r="Y2428" t="inlineStr">
        <is>
          <t>Agriculture and Agri-Food Canada | Agriculture et Agroalimentaire Canada</t>
        </is>
      </c>
      <c r="Z2428" t="n">
        <v>9</v>
      </c>
      <c r="AA2428" t="n">
        <v>16331.97</v>
      </c>
      <c r="AB2428">
        <f>ROUND(U2428-AA2428,2)</f>
        <v/>
      </c>
      <c r="AC2428" t="b">
        <v>0</v>
      </c>
      <c r="AD2428">
        <f>IF(U2428="","MISSING_TOTAL",IF(ABS(AB2428)&lt;=0.01,"OK","CHECK"))</f>
        <v/>
      </c>
      <c r="AE2428">
        <f>IF(U2428="","MISSING",IF(AND(AA2428&gt;0,U2428/AA2428&gt;50),"POSSIBLE_SCALE_ERROR","OK"))</f>
        <v/>
      </c>
    </row>
    <row r="2429">
      <c r="A2429" t="inlineStr">
        <is>
          <t>T-2025-P09-018</t>
        </is>
      </c>
      <c r="B2429" t="inlineStr">
        <is>
          <t>SLE</t>
        </is>
      </c>
      <c r="C2429" t="inlineStr">
        <is>
          <t>Chief Information Officer, Information Systems Branch</t>
        </is>
      </c>
      <c r="D2429" t="inlineStr">
        <is>
          <t>Dirigeant principal de l'information, Direction générale des systèmes d'information</t>
        </is>
      </c>
      <c r="E2429" t="inlineStr">
        <is>
          <t>Nasser Alsukayri</t>
        </is>
      </c>
      <c r="F2429" t="inlineStr">
        <is>
          <t>To attend a site visit in Winnipeg</t>
        </is>
      </c>
      <c r="G2429" t="inlineStr">
        <is>
          <t>Assister à une visite de site à Winnipeg</t>
        </is>
      </c>
      <c r="H2429" s="1" t="n">
        <v>45585</v>
      </c>
      <c r="I2429" s="1" t="n">
        <v>45586</v>
      </c>
      <c r="J2429" t="inlineStr">
        <is>
          <t>Winnipeg (Manitoba) Canada</t>
        </is>
      </c>
      <c r="K2429" t="inlineStr">
        <is>
          <t>Winnipeg (Manitoba) Canada</t>
        </is>
      </c>
      <c r="P2429" t="n">
        <v>136.74</v>
      </c>
      <c r="Q2429" t="n">
        <v>44.51</v>
      </c>
      <c r="R2429" t="n">
        <v>188.1</v>
      </c>
      <c r="S2429" t="n">
        <v>208.4</v>
      </c>
      <c r="T2429" t="n">
        <v>93.25</v>
      </c>
      <c r="U2429" t="n">
        <v>671</v>
      </c>
      <c r="X2429" t="inlineStr">
        <is>
          <t>aafc-aac</t>
        </is>
      </c>
      <c r="Y2429" t="inlineStr">
        <is>
          <t>Agriculture and Agri-Food Canada | Agriculture et Agroalimentaire Canada</t>
        </is>
      </c>
      <c r="Z2429" t="n">
        <v>2</v>
      </c>
      <c r="AA2429" t="n">
        <v>671</v>
      </c>
      <c r="AB2429">
        <f>ROUND(U2429-AA2429,2)</f>
        <v/>
      </c>
      <c r="AC2429" t="b">
        <v>0</v>
      </c>
      <c r="AD2429">
        <f>IF(U2429="","MISSING_TOTAL",IF(ABS(AB2429)&lt;=0.01,"OK","CHECK"))</f>
        <v/>
      </c>
      <c r="AE2429">
        <f>IF(U2429="","MISSING",IF(AND(AA2429&gt;0,U2429/AA2429&gt;50),"POSSIBLE_SCALE_ERROR","OK"))</f>
        <v/>
      </c>
    </row>
    <row r="2430">
      <c r="A2430" t="inlineStr">
        <is>
          <t>T-2025-P09-019</t>
        </is>
      </c>
      <c r="B2430" t="inlineStr">
        <is>
          <t>SLE</t>
        </is>
      </c>
      <c r="C2430" t="inlineStr">
        <is>
          <t>Chief Information Officer, Information Systems Branch</t>
        </is>
      </c>
      <c r="D2430" t="inlineStr">
        <is>
          <t>Dirigeant principal de l'information, Direction générale des systèmes d'information</t>
        </is>
      </c>
      <c r="E2430" t="inlineStr">
        <is>
          <t>Nasser Alsukayri</t>
        </is>
      </c>
      <c r="F2430" t="inlineStr">
        <is>
          <t>To attend the Executive Leadership Development Program training in Winnipeg</t>
        </is>
      </c>
      <c r="G2430" t="inlineStr">
        <is>
          <t>Assister à la formation Programme de développement en leadership pour les cadres supérieurs à Winnipeg</t>
        </is>
      </c>
      <c r="H2430" s="1" t="n">
        <v>45587</v>
      </c>
      <c r="I2430" s="1" t="n">
        <v>45590</v>
      </c>
      <c r="J2430" t="inlineStr">
        <is>
          <t>Winnipeg (Manitoba) Canada</t>
        </is>
      </c>
      <c r="K2430" t="inlineStr">
        <is>
          <t>Winnipeg (Manitoba) Canada</t>
        </is>
      </c>
      <c r="P2430" t="n">
        <v>713.53</v>
      </c>
      <c r="Q2430" t="n">
        <v>19.74</v>
      </c>
      <c r="R2430" t="n">
        <v>752.4</v>
      </c>
      <c r="S2430" t="n">
        <v>516.4</v>
      </c>
      <c r="T2430" t="n">
        <v>0</v>
      </c>
      <c r="U2430" t="n">
        <v>2002.07</v>
      </c>
      <c r="X2430" t="inlineStr">
        <is>
          <t>aafc-aac</t>
        </is>
      </c>
      <c r="Y2430" t="inlineStr">
        <is>
          <t>Agriculture and Agri-Food Canada | Agriculture et Agroalimentaire Canada</t>
        </is>
      </c>
      <c r="Z2430" t="n">
        <v>4</v>
      </c>
      <c r="AA2430" t="n">
        <v>2002.07</v>
      </c>
      <c r="AB2430">
        <f>ROUND(U2430-AA2430,2)</f>
        <v/>
      </c>
      <c r="AC2430" t="b">
        <v>0</v>
      </c>
      <c r="AD2430">
        <f>IF(U2430="","MISSING_TOTAL",IF(ABS(AB2430)&lt;=0.01,"OK","CHECK"))</f>
        <v/>
      </c>
      <c r="AE2430">
        <f>IF(U2430="","MISSING",IF(AND(AA2430&gt;0,U2430/AA2430&gt;50),"POSSIBLE_SCALE_ERROR","OK"))</f>
        <v/>
      </c>
    </row>
    <row r="2431">
      <c r="A2431" t="inlineStr">
        <is>
          <t>T-2025-P08-012</t>
        </is>
      </c>
      <c r="B2431" t="inlineStr">
        <is>
          <t>SLE</t>
        </is>
      </c>
      <c r="C2431" t="inlineStr">
        <is>
          <t>Assistant Deputy Minister, Market and Industry Services Branch</t>
        </is>
      </c>
      <c r="D2431" t="inlineStr">
        <is>
          <t>Sous-ministre adjoint, Direction générale des services à l'industrie et aux marchés</t>
        </is>
      </c>
      <c r="E2431" t="inlineStr">
        <is>
          <t>Tom Rosser</t>
        </is>
      </c>
      <c r="F2431" t="inlineStr">
        <is>
          <t>To participate in the Crops Logisitic Working Group meeting</t>
        </is>
      </c>
      <c r="G2431" t="inlineStr">
        <is>
          <t>Participer à la réunion du Groupe de travail sur la logistique des cultures</t>
        </is>
      </c>
      <c r="H2431" s="1" t="n">
        <v>45592</v>
      </c>
      <c r="I2431" s="1" t="n">
        <v>45593</v>
      </c>
      <c r="J2431" t="inlineStr">
        <is>
          <t>Winnipeg (Mantioba) Canada</t>
        </is>
      </c>
      <c r="K2431" t="inlineStr">
        <is>
          <t>Winnipeg (Manitoba) Canada</t>
        </is>
      </c>
      <c r="P2431" t="n">
        <v>912.25</v>
      </c>
      <c r="Q2431" t="n">
        <v>112.69</v>
      </c>
      <c r="R2431" t="n">
        <v>215.45</v>
      </c>
      <c r="S2431" t="n">
        <v>121.65</v>
      </c>
      <c r="T2431" t="n">
        <v>0</v>
      </c>
      <c r="U2431" t="n">
        <v>1362.04</v>
      </c>
      <c r="X2431" t="inlineStr">
        <is>
          <t>aafc-aac</t>
        </is>
      </c>
      <c r="Y2431" t="inlineStr">
        <is>
          <t>Agriculture and Agri-Food Canada | Agriculture et Agroalimentaire Canada</t>
        </is>
      </c>
      <c r="Z2431" t="n">
        <v>2</v>
      </c>
      <c r="AA2431" t="n">
        <v>1362.04</v>
      </c>
      <c r="AB2431">
        <f>ROUND(U2431-AA2431,2)</f>
        <v/>
      </c>
      <c r="AC2431" t="b">
        <v>0</v>
      </c>
      <c r="AD2431">
        <f>IF(U2431="","MISSING_TOTAL",IF(ABS(AB2431)&lt;=0.01,"OK","CHECK"))</f>
        <v/>
      </c>
      <c r="AE2431">
        <f>IF(U2431="","MISSING",IF(AND(AA2431&gt;0,U2431/AA2431&gt;50),"POSSIBLE_SCALE_ERROR","OK"))</f>
        <v/>
      </c>
    </row>
    <row r="2432">
      <c r="A2432" t="inlineStr">
        <is>
          <t>T-2025-P10-001</t>
        </is>
      </c>
      <c r="B2432" t="inlineStr">
        <is>
          <t>MPSES</t>
        </is>
      </c>
      <c r="C2432" t="inlineStr">
        <is>
          <t>Driver</t>
        </is>
      </c>
      <c r="D2432" t="inlineStr">
        <is>
          <t>Chauffeur</t>
        </is>
      </c>
      <c r="E2432" t="inlineStr">
        <is>
          <t>Nicolas Mamo</t>
        </is>
      </c>
      <c r="F2432" t="inlineStr">
        <is>
          <t>Vehicle rental due to the Minister's vehicle is in the shop</t>
        </is>
      </c>
      <c r="G2432" t="inlineStr">
        <is>
          <t>Location de véhicule, le véhicule du ministre étant en réparation</t>
        </is>
      </c>
      <c r="H2432" s="1" t="n">
        <v>45666</v>
      </c>
      <c r="I2432" s="1" t="n">
        <v>45670</v>
      </c>
      <c r="J2432" t="inlineStr">
        <is>
          <t>Ottawa (Ontario) Canada</t>
        </is>
      </c>
      <c r="K2432" t="inlineStr">
        <is>
          <t>Ottawa (Ontario) Canada</t>
        </is>
      </c>
      <c r="P2432" t="n">
        <v>0</v>
      </c>
      <c r="Q2432" t="n">
        <v>618</v>
      </c>
      <c r="R2432" t="n">
        <v>0</v>
      </c>
      <c r="S2432" t="n">
        <v>0</v>
      </c>
      <c r="T2432" t="n">
        <v>0</v>
      </c>
      <c r="U2432" t="n">
        <v>618</v>
      </c>
      <c r="X2432" t="inlineStr">
        <is>
          <t>aafc-aac</t>
        </is>
      </c>
      <c r="Y2432" t="inlineStr">
        <is>
          <t>Agriculture and Agri-Food Canada | Agriculture et Agroalimentaire Canada</t>
        </is>
      </c>
      <c r="Z2432" t="n">
        <v>5</v>
      </c>
      <c r="AA2432" t="n">
        <v>618</v>
      </c>
      <c r="AB2432">
        <f>ROUND(U2432-AA2432,2)</f>
        <v/>
      </c>
      <c r="AC2432" t="b">
        <v>0</v>
      </c>
      <c r="AD2432">
        <f>IF(U2432="","MISSING_TOTAL",IF(ABS(AB2432)&lt;=0.01,"OK","CHECK"))</f>
        <v/>
      </c>
      <c r="AE2432">
        <f>IF(U2432="","MISSING",IF(AND(AA2432&gt;0,U2432/AA2432&gt;50),"POSSIBLE_SCALE_ERROR","OK"))</f>
        <v/>
      </c>
    </row>
    <row r="2433">
      <c r="A2433" t="inlineStr">
        <is>
          <t>T-2025-P10-002</t>
        </is>
      </c>
      <c r="B2433" t="inlineStr">
        <is>
          <t>SLE</t>
        </is>
      </c>
      <c r="C2433" t="inlineStr">
        <is>
          <t>Corporate Secretary</t>
        </is>
      </c>
      <c r="D2433" t="inlineStr">
        <is>
          <t>Secrétaire générale</t>
        </is>
      </c>
      <c r="E2433" t="inlineStr">
        <is>
          <t>Tamara Abel</t>
        </is>
      </c>
      <c r="F2433" t="inlineStr">
        <is>
          <t>Operational activities</t>
        </is>
      </c>
      <c r="G2433" t="inlineStr">
        <is>
          <t>Activités opérationnelles</t>
        </is>
      </c>
      <c r="H2433" s="1" t="n">
        <v>45642</v>
      </c>
      <c r="I2433" s="1" t="n">
        <v>45645</v>
      </c>
      <c r="J2433" t="inlineStr">
        <is>
          <t>Ottawa (Ontario) Canada</t>
        </is>
      </c>
      <c r="K2433" t="inlineStr">
        <is>
          <t>Ottawa (Ontario) Canada</t>
        </is>
      </c>
      <c r="P2433" t="n">
        <v>767.12</v>
      </c>
      <c r="Q2433" t="n">
        <v>334.68</v>
      </c>
      <c r="R2433" t="n">
        <v>652.11</v>
      </c>
      <c r="S2433" t="n">
        <v>461.45</v>
      </c>
      <c r="T2433" t="n">
        <v>0</v>
      </c>
      <c r="U2433" t="n">
        <v>2215.36</v>
      </c>
      <c r="X2433" t="inlineStr">
        <is>
          <t>aafc-aac</t>
        </is>
      </c>
      <c r="Y2433" t="inlineStr">
        <is>
          <t>Agriculture and Agri-Food Canada | Agriculture et Agroalimentaire Canada</t>
        </is>
      </c>
      <c r="Z2433" t="n">
        <v>4</v>
      </c>
      <c r="AA2433" t="n">
        <v>2215.35999999999</v>
      </c>
      <c r="AB2433">
        <f>ROUND(U2433-AA2433,2)</f>
        <v/>
      </c>
      <c r="AC2433" t="b">
        <v>0</v>
      </c>
      <c r="AD2433">
        <f>IF(U2433="","MISSING_TOTAL",IF(ABS(AB2433)&lt;=0.01,"OK","CHECK"))</f>
        <v/>
      </c>
      <c r="AE2433">
        <f>IF(U2433="","MISSING",IF(AND(AA2433&gt;0,U2433/AA2433&gt;50),"POSSIBLE_SCALE_ERROR","OK"))</f>
        <v/>
      </c>
    </row>
    <row r="2434">
      <c r="A2434" t="inlineStr">
        <is>
          <t>T-2025-P10-003</t>
        </is>
      </c>
      <c r="B2434" t="inlineStr">
        <is>
          <t>SLE</t>
        </is>
      </c>
      <c r="C2434" t="inlineStr">
        <is>
          <t>Assistant Deputy Minister, Corporate Management Branch</t>
        </is>
      </c>
      <c r="D2434" t="inlineStr">
        <is>
          <t>Sous-ministre adjointe, Direction générale de la gestion intégrée</t>
        </is>
      </c>
      <c r="E2434" t="inlineStr">
        <is>
          <t>Marie-Claude Guérard</t>
        </is>
      </c>
      <c r="F2434" t="inlineStr">
        <is>
          <t>To attend meetings in Ottawa</t>
        </is>
      </c>
      <c r="G2434" t="inlineStr">
        <is>
          <t>Participer aux rencontres à Ottawa</t>
        </is>
      </c>
      <c r="H2434" s="1" t="n">
        <v>45644</v>
      </c>
      <c r="I2434" s="1" t="n">
        <v>45645</v>
      </c>
      <c r="J2434" t="inlineStr">
        <is>
          <t>Ottawa (Ontario) Canada</t>
        </is>
      </c>
      <c r="K2434" t="inlineStr">
        <is>
          <t>Ottawa (Ontario) Canada</t>
        </is>
      </c>
      <c r="P2434" t="n">
        <v>0</v>
      </c>
      <c r="Q2434" t="n">
        <v>400.22</v>
      </c>
      <c r="R2434" t="n">
        <v>259.84</v>
      </c>
      <c r="S2434" t="n">
        <v>173.4</v>
      </c>
      <c r="T2434" t="n">
        <v>0</v>
      </c>
      <c r="U2434" t="n">
        <v>833.46</v>
      </c>
      <c r="X2434" t="inlineStr">
        <is>
          <t>aafc-aac</t>
        </is>
      </c>
      <c r="Y2434" t="inlineStr">
        <is>
          <t>Agriculture and Agri-Food Canada | Agriculture et Agroalimentaire Canada</t>
        </is>
      </c>
      <c r="Z2434" t="n">
        <v>2</v>
      </c>
      <c r="AA2434" t="n">
        <v>833.459999999999</v>
      </c>
      <c r="AB2434">
        <f>ROUND(U2434-AA2434,2)</f>
        <v/>
      </c>
      <c r="AC2434" t="b">
        <v>0</v>
      </c>
      <c r="AD2434">
        <f>IF(U2434="","MISSING_TOTAL",IF(ABS(AB2434)&lt;=0.01,"OK","CHECK"))</f>
        <v/>
      </c>
      <c r="AE2434">
        <f>IF(U2434="","MISSING",IF(AND(AA2434&gt;0,U2434/AA2434&gt;50),"POSSIBLE_SCALE_ERROR","OK"))</f>
        <v/>
      </c>
    </row>
    <row r="2435">
      <c r="A2435" t="inlineStr">
        <is>
          <t>T-2025-P10-004</t>
        </is>
      </c>
      <c r="B2435" t="inlineStr">
        <is>
          <t>SLE</t>
        </is>
      </c>
      <c r="C2435" t="inlineStr">
        <is>
          <t>Assistant Deputy Minister, Corporate Management Branch</t>
        </is>
      </c>
      <c r="D2435" t="inlineStr">
        <is>
          <t>Sous-ministre adjointe, Direction générale de la gestion intégrée</t>
        </is>
      </c>
      <c r="E2435" t="inlineStr">
        <is>
          <t>Marie-Claude Guérard</t>
        </is>
      </c>
      <c r="F2435" t="inlineStr">
        <is>
          <t>To attend meetings in Ottawa</t>
        </is>
      </c>
      <c r="G2435" t="inlineStr">
        <is>
          <t>Participer aux rencontres à Ottawa</t>
        </is>
      </c>
      <c r="H2435" s="1" t="n">
        <v>45665</v>
      </c>
      <c r="I2435" s="1" t="n">
        <v>45665</v>
      </c>
      <c r="J2435" t="inlineStr">
        <is>
          <t>Ottawa (Ontario) Canada</t>
        </is>
      </c>
      <c r="K2435" t="inlineStr">
        <is>
          <t>Ottawa (Ontario) Canada</t>
        </is>
      </c>
      <c r="P2435" t="n">
        <v>0</v>
      </c>
      <c r="Q2435" t="n">
        <v>328</v>
      </c>
      <c r="R2435" t="n">
        <v>0</v>
      </c>
      <c r="S2435" t="n">
        <v>27</v>
      </c>
      <c r="T2435" t="n">
        <v>0</v>
      </c>
      <c r="U2435" t="n">
        <v>355</v>
      </c>
      <c r="X2435" t="inlineStr">
        <is>
          <t>aafc-aac</t>
        </is>
      </c>
      <c r="Y2435" t="inlineStr">
        <is>
          <t>Agriculture and Agri-Food Canada | Agriculture et Agroalimentaire Canada</t>
        </is>
      </c>
      <c r="Z2435" t="n">
        <v>1</v>
      </c>
      <c r="AA2435" t="n">
        <v>355</v>
      </c>
      <c r="AB2435">
        <f>ROUND(U2435-AA2435,2)</f>
        <v/>
      </c>
      <c r="AC2435" t="b">
        <v>0</v>
      </c>
      <c r="AD2435">
        <f>IF(U2435="","MISSING_TOTAL",IF(ABS(AB2435)&lt;=0.01,"OK","CHECK"))</f>
        <v/>
      </c>
      <c r="AE2435">
        <f>IF(U2435="","MISSING",IF(AND(AA2435&gt;0,U2435/AA2435&gt;50),"POSSIBLE_SCALE_ERROR","OK"))</f>
        <v/>
      </c>
    </row>
    <row r="2436">
      <c r="A2436" t="inlineStr">
        <is>
          <t>T-2025-P10-005</t>
        </is>
      </c>
      <c r="B2436" t="inlineStr">
        <is>
          <t>SLE</t>
        </is>
      </c>
      <c r="C2436" t="inlineStr">
        <is>
          <t>Assistant Deputy Minister, Corporate Management Branch</t>
        </is>
      </c>
      <c r="D2436" t="inlineStr">
        <is>
          <t>Sous-ministre adjointe, Direction générale de la gestion intégrée</t>
        </is>
      </c>
      <c r="E2436" t="inlineStr">
        <is>
          <t>Marie-Claude Guérard</t>
        </is>
      </c>
      <c r="F2436" t="inlineStr">
        <is>
          <t>To attend meetings in Ottawa</t>
        </is>
      </c>
      <c r="G2436" t="inlineStr">
        <is>
          <t>Participer aux rencontres à Ottawa</t>
        </is>
      </c>
      <c r="H2436" s="1" t="n">
        <v>45679</v>
      </c>
      <c r="I2436" s="1" t="n">
        <v>45680</v>
      </c>
      <c r="J2436" t="inlineStr">
        <is>
          <t>Ottawa (Ontario) Canada</t>
        </is>
      </c>
      <c r="K2436" t="inlineStr">
        <is>
          <t>Ottawa (Ontario) Canada</t>
        </is>
      </c>
      <c r="P2436" t="n">
        <v>0</v>
      </c>
      <c r="Q2436" t="n">
        <v>560.85</v>
      </c>
      <c r="R2436" t="n">
        <v>271.71</v>
      </c>
      <c r="S2436" t="n">
        <v>178.4</v>
      </c>
      <c r="T2436" t="n">
        <v>0</v>
      </c>
      <c r="U2436" t="n">
        <v>1010.96</v>
      </c>
      <c r="X2436" t="inlineStr">
        <is>
          <t>aafc-aac</t>
        </is>
      </c>
      <c r="Y2436" t="inlineStr">
        <is>
          <t>Agriculture and Agri-Food Canada | Agriculture et Agroalimentaire Canada</t>
        </is>
      </c>
      <c r="Z2436" t="n">
        <v>2</v>
      </c>
      <c r="AA2436" t="n">
        <v>1010.95999999999</v>
      </c>
      <c r="AB2436">
        <f>ROUND(U2436-AA2436,2)</f>
        <v/>
      </c>
      <c r="AC2436" t="b">
        <v>0</v>
      </c>
      <c r="AD2436">
        <f>IF(U2436="","MISSING_TOTAL",IF(ABS(AB2436)&lt;=0.01,"OK","CHECK"))</f>
        <v/>
      </c>
      <c r="AE2436">
        <f>IF(U2436="","MISSING",IF(AND(AA2436&gt;0,U2436/AA2436&gt;50),"POSSIBLE_SCALE_ERROR","OK"))</f>
        <v/>
      </c>
    </row>
    <row r="2437">
      <c r="A2437" t="inlineStr">
        <is>
          <t>T-2025-P10-006</t>
        </is>
      </c>
      <c r="B2437" t="inlineStr">
        <is>
          <t>SLE</t>
        </is>
      </c>
      <c r="C2437" t="inlineStr">
        <is>
          <t>Chief Information Officer, Information Systems Branch</t>
        </is>
      </c>
      <c r="D2437" t="inlineStr">
        <is>
          <t>Dirigeant principal de l'information, Direction générale des systèmes d'information</t>
        </is>
      </c>
      <c r="E2437" t="inlineStr">
        <is>
          <t>Nasser Alsukayri</t>
        </is>
      </c>
      <c r="F2437" t="inlineStr">
        <is>
          <t>Site visit to Prince Edward Island and presentation at a conference</t>
        </is>
      </c>
      <c r="G2437" t="inlineStr">
        <is>
          <t>Visite de site à l’Île-du-Prince-Édouard et présentation lors d’une conférence</t>
        </is>
      </c>
      <c r="H2437" s="1" t="n">
        <v>45680</v>
      </c>
      <c r="I2437" s="1" t="n">
        <v>45681</v>
      </c>
      <c r="J2437" t="inlineStr">
        <is>
          <t>Charlottetown (Prince Edward Island) Canada</t>
        </is>
      </c>
      <c r="K2437" t="inlineStr">
        <is>
          <t>Charlottetown (Île-du-Prince-Édouard) Canada</t>
        </is>
      </c>
      <c r="P2437" t="n">
        <v>1096.49</v>
      </c>
      <c r="Q2437" t="n">
        <v>82.20999999999999</v>
      </c>
      <c r="R2437" t="n">
        <v>188.34</v>
      </c>
      <c r="S2437" t="n">
        <v>230.25</v>
      </c>
      <c r="T2437" t="n">
        <v>0</v>
      </c>
      <c r="U2437" t="n">
        <v>1597.29</v>
      </c>
      <c r="X2437" t="inlineStr">
        <is>
          <t>aafc-aac</t>
        </is>
      </c>
      <c r="Y2437" t="inlineStr">
        <is>
          <t>Agriculture and Agri-Food Canada | Agriculture et Agroalimentaire Canada</t>
        </is>
      </c>
      <c r="Z2437" t="n">
        <v>2</v>
      </c>
      <c r="AA2437" t="n">
        <v>1597.29</v>
      </c>
      <c r="AB2437">
        <f>ROUND(U2437-AA2437,2)</f>
        <v/>
      </c>
      <c r="AC2437" t="b">
        <v>0</v>
      </c>
      <c r="AD2437">
        <f>IF(U2437="","MISSING_TOTAL",IF(ABS(AB2437)&lt;=0.01,"OK","CHECK"))</f>
        <v/>
      </c>
      <c r="AE2437">
        <f>IF(U2437="","MISSING",IF(AND(AA2437&gt;0,U2437/AA2437&gt;50),"POSSIBLE_SCALE_ERROR","OK"))</f>
        <v/>
      </c>
    </row>
    <row r="2438">
      <c r="A2438" t="inlineStr">
        <is>
          <t>T-2025-P11-001</t>
        </is>
      </c>
      <c r="B2438" t="inlineStr">
        <is>
          <t>MPSES</t>
        </is>
      </c>
      <c r="C2438" t="inlineStr">
        <is>
          <t>Minister</t>
        </is>
      </c>
      <c r="D2438" t="inlineStr">
        <is>
          <t>Ministre</t>
        </is>
      </c>
      <c r="E2438" t="inlineStr">
        <is>
          <t>Lawrence MacAulay</t>
        </is>
      </c>
      <c r="F2438" t="inlineStr">
        <is>
          <t>To attend a Cabinet Retreat</t>
        </is>
      </c>
      <c r="G2438" t="inlineStr">
        <is>
          <t>Participer à une retraite du cabinet</t>
        </is>
      </c>
      <c r="H2438" s="1" t="n">
        <v>45677</v>
      </c>
      <c r="I2438" s="1" t="n">
        <v>45678</v>
      </c>
      <c r="J2438" t="inlineStr">
        <is>
          <t>Montebello, Quebec, Canada</t>
        </is>
      </c>
      <c r="K2438" t="inlineStr">
        <is>
          <t>Montebello, Québec, Canada</t>
        </is>
      </c>
      <c r="P2438" t="n">
        <v>0</v>
      </c>
      <c r="Q2438" t="n">
        <v>0</v>
      </c>
      <c r="R2438" t="n">
        <v>417.26</v>
      </c>
      <c r="S2438" t="n">
        <v>112.75</v>
      </c>
      <c r="T2438" t="n">
        <v>0</v>
      </c>
      <c r="U2438" t="n">
        <v>530.01</v>
      </c>
      <c r="X2438" t="inlineStr">
        <is>
          <t>aafc-aac</t>
        </is>
      </c>
      <c r="Y2438" t="inlineStr">
        <is>
          <t>Agriculture and Agri-Food Canada | Agriculture et Agroalimentaire Canada</t>
        </is>
      </c>
      <c r="Z2438" t="n">
        <v>2</v>
      </c>
      <c r="AA2438" t="n">
        <v>530.01</v>
      </c>
      <c r="AB2438">
        <f>ROUND(U2438-AA2438,2)</f>
        <v/>
      </c>
      <c r="AC2438" t="b">
        <v>0</v>
      </c>
      <c r="AD2438">
        <f>IF(U2438="","MISSING_TOTAL",IF(ABS(AB2438)&lt;=0.01,"OK","CHECK"))</f>
        <v/>
      </c>
      <c r="AE2438">
        <f>IF(U2438="","MISSING",IF(AND(AA2438&gt;0,U2438/AA2438&gt;50),"POSSIBLE_SCALE_ERROR","OK"))</f>
        <v/>
      </c>
    </row>
    <row r="2439">
      <c r="A2439" t="inlineStr">
        <is>
          <t>T-2025-P11-002</t>
        </is>
      </c>
      <c r="B2439" t="inlineStr">
        <is>
          <t>MPSES</t>
        </is>
      </c>
      <c r="C2439" t="inlineStr">
        <is>
          <t>Driver</t>
        </is>
      </c>
      <c r="D2439" t="inlineStr">
        <is>
          <t>Chauffeur</t>
        </is>
      </c>
      <c r="E2439" t="inlineStr">
        <is>
          <t>Nicolas Mamo</t>
        </is>
      </c>
      <c r="F2439" t="inlineStr">
        <is>
          <t>Rental of a vehicle as Minister's vehicle is in the shop</t>
        </is>
      </c>
      <c r="G2439" t="inlineStr">
        <is>
          <t>Location d'un véhicule en raison de l'immobilisation du véhicule du ministre</t>
        </is>
      </c>
      <c r="H2439" s="1" t="n">
        <v>45692</v>
      </c>
      <c r="I2439" s="1" t="n">
        <v>45693</v>
      </c>
      <c r="J2439" t="inlineStr">
        <is>
          <t>Ottawa, Ontario, Canada</t>
        </is>
      </c>
      <c r="K2439" t="inlineStr">
        <is>
          <t>Ottawa, Ontario, Canada</t>
        </is>
      </c>
      <c r="P2439" t="n">
        <v>0</v>
      </c>
      <c r="Q2439" t="n">
        <v>183.5</v>
      </c>
      <c r="R2439" t="n">
        <v>0</v>
      </c>
      <c r="S2439" t="n">
        <v>0</v>
      </c>
      <c r="T2439" t="n">
        <v>0</v>
      </c>
      <c r="U2439" t="n">
        <v>183.5</v>
      </c>
      <c r="X2439" t="inlineStr">
        <is>
          <t>aafc-aac</t>
        </is>
      </c>
      <c r="Y2439" t="inlineStr">
        <is>
          <t>Agriculture and Agri-Food Canada | Agriculture et Agroalimentaire Canada</t>
        </is>
      </c>
      <c r="Z2439" t="n">
        <v>2</v>
      </c>
      <c r="AA2439" t="n">
        <v>183.5</v>
      </c>
      <c r="AB2439">
        <f>ROUND(U2439-AA2439,2)</f>
        <v/>
      </c>
      <c r="AC2439" t="b">
        <v>0</v>
      </c>
      <c r="AD2439">
        <f>IF(U2439="","MISSING_TOTAL",IF(ABS(AB2439)&lt;=0.01,"OK","CHECK"))</f>
        <v/>
      </c>
      <c r="AE2439">
        <f>IF(U2439="","MISSING",IF(AND(AA2439&gt;0,U2439/AA2439&gt;50),"POSSIBLE_SCALE_ERROR","OK"))</f>
        <v/>
      </c>
    </row>
    <row r="2440">
      <c r="A2440" t="inlineStr">
        <is>
          <t>T-2025-P11-003</t>
        </is>
      </c>
      <c r="B2440" t="inlineStr">
        <is>
          <t>MPSES</t>
        </is>
      </c>
      <c r="C2440" t="inlineStr">
        <is>
          <t>Chief of Staff &amp; Director of Operations</t>
        </is>
      </c>
      <c r="D2440" t="inlineStr">
        <is>
          <t>Chef de cabinet et Directrice des opérations</t>
        </is>
      </c>
      <c r="E2440" t="inlineStr">
        <is>
          <t>Maria Morley</t>
        </is>
      </c>
      <c r="F2440" t="inlineStr">
        <is>
          <t>To support the Minister to attend a Cabinet Retreat</t>
        </is>
      </c>
      <c r="G2440" t="inlineStr">
        <is>
          <t>Soutenir le ministre lors de sa participation à une retraite du cabinet</t>
        </is>
      </c>
      <c r="H2440" s="1" t="n">
        <v>45677</v>
      </c>
      <c r="I2440" s="1" t="n">
        <v>45678</v>
      </c>
      <c r="J2440" t="inlineStr">
        <is>
          <t>Montebello, Quebec, Canada</t>
        </is>
      </c>
      <c r="K2440" t="inlineStr">
        <is>
          <t>Montebello, Québec, Canada</t>
        </is>
      </c>
      <c r="P2440" t="n">
        <v>0</v>
      </c>
      <c r="Q2440" t="n">
        <v>165.11</v>
      </c>
      <c r="R2440" t="n">
        <v>451.77</v>
      </c>
      <c r="S2440" t="n">
        <v>112.75</v>
      </c>
      <c r="T2440" t="n">
        <v>0</v>
      </c>
      <c r="U2440" t="n">
        <v>729.63</v>
      </c>
      <c r="X2440" t="inlineStr">
        <is>
          <t>aafc-aac</t>
        </is>
      </c>
      <c r="Y2440" t="inlineStr">
        <is>
          <t>Agriculture and Agri-Food Canada | Agriculture et Agroalimentaire Canada</t>
        </is>
      </c>
      <c r="Z2440" t="n">
        <v>2</v>
      </c>
      <c r="AA2440" t="n">
        <v>729.63</v>
      </c>
      <c r="AB2440">
        <f>ROUND(U2440-AA2440,2)</f>
        <v/>
      </c>
      <c r="AC2440" t="b">
        <v>0</v>
      </c>
      <c r="AD2440">
        <f>IF(U2440="","MISSING_TOTAL",IF(ABS(AB2440)&lt;=0.01,"OK","CHECK"))</f>
        <v/>
      </c>
      <c r="AE2440">
        <f>IF(U2440="","MISSING",IF(AND(AA2440&gt;0,U2440/AA2440&gt;50),"POSSIBLE_SCALE_ERROR","OK"))</f>
        <v/>
      </c>
    </row>
    <row r="2441">
      <c r="A2441" t="inlineStr">
        <is>
          <t>T-2025-P11-004</t>
        </is>
      </c>
      <c r="B2441" t="inlineStr">
        <is>
          <t>MPSES</t>
        </is>
      </c>
      <c r="C2441" t="inlineStr">
        <is>
          <t>Chief of Staff &amp; Director of Operations</t>
        </is>
      </c>
      <c r="D2441" t="inlineStr">
        <is>
          <t>Chef de cabinet et Directrice des opérations</t>
        </is>
      </c>
      <c r="E2441" t="inlineStr">
        <is>
          <t>Maria Morley</t>
        </is>
      </c>
      <c r="F2441" t="inlineStr">
        <is>
          <t>To support the Minister to attend meetings</t>
        </is>
      </c>
      <c r="G2441" t="inlineStr">
        <is>
          <t>Soutenir le ministre lors de sa participation à des réunions</t>
        </is>
      </c>
      <c r="H2441" s="1" t="n">
        <v>45683</v>
      </c>
      <c r="I2441" s="1" t="n">
        <v>45685</v>
      </c>
      <c r="J2441" t="inlineStr">
        <is>
          <t>Charlottetown, Prince Edward Island, Canada</t>
        </is>
      </c>
      <c r="K2441" t="inlineStr">
        <is>
          <t>Charlottetown, Île-du-Prince-Édouard, Canada</t>
        </is>
      </c>
      <c r="P2441" t="n">
        <v>1736.78</v>
      </c>
      <c r="Q2441" t="n">
        <v>75.40000000000001</v>
      </c>
      <c r="R2441" t="n">
        <v>200.18</v>
      </c>
      <c r="S2441" t="n">
        <v>195.65</v>
      </c>
      <c r="T2441" t="n">
        <v>0</v>
      </c>
      <c r="U2441" t="n">
        <v>2208.01</v>
      </c>
      <c r="X2441" t="inlineStr">
        <is>
          <t>aafc-aac</t>
        </is>
      </c>
      <c r="Y2441" t="inlineStr">
        <is>
          <t>Agriculture and Agri-Food Canada | Agriculture et Agroalimentaire Canada</t>
        </is>
      </c>
      <c r="Z2441" t="n">
        <v>3</v>
      </c>
      <c r="AA2441" t="n">
        <v>2208.01</v>
      </c>
      <c r="AB2441">
        <f>ROUND(U2441-AA2441,2)</f>
        <v/>
      </c>
      <c r="AC2441" t="b">
        <v>0</v>
      </c>
      <c r="AD2441">
        <f>IF(U2441="","MISSING_TOTAL",IF(ABS(AB2441)&lt;=0.01,"OK","CHECK"))</f>
        <v/>
      </c>
      <c r="AE2441">
        <f>IF(U2441="","MISSING",IF(AND(AA2441&gt;0,U2441/AA2441&gt;50),"POSSIBLE_SCALE_ERROR","OK"))</f>
        <v/>
      </c>
    </row>
    <row r="2442">
      <c r="A2442" t="inlineStr">
        <is>
          <t>T-2025-P11-005</t>
        </is>
      </c>
      <c r="B2442" t="inlineStr">
        <is>
          <t>SLE</t>
        </is>
      </c>
      <c r="C2442" t="inlineStr">
        <is>
          <t>Corporate Secretary</t>
        </is>
      </c>
      <c r="D2442" t="inlineStr">
        <is>
          <t>Secrétaire générale</t>
        </is>
      </c>
      <c r="E2442" t="inlineStr">
        <is>
          <t>Tamara Abel</t>
        </is>
      </c>
      <c r="F2442" t="inlineStr">
        <is>
          <t>Operational activities</t>
        </is>
      </c>
      <c r="G2442" t="inlineStr">
        <is>
          <t>Activités opérationnelles</t>
        </is>
      </c>
      <c r="H2442" s="1" t="n">
        <v>45677</v>
      </c>
      <c r="I2442" s="1" t="n">
        <v>45680</v>
      </c>
      <c r="J2442" t="inlineStr">
        <is>
          <t>Ottawa, Ontario, Canada</t>
        </is>
      </c>
      <c r="K2442" t="inlineStr">
        <is>
          <t>Ottawa, Ontario, Canada</t>
        </is>
      </c>
      <c r="P2442" t="n">
        <v>411.8</v>
      </c>
      <c r="Q2442" t="n">
        <v>352.38</v>
      </c>
      <c r="R2442" t="n">
        <v>722.58</v>
      </c>
      <c r="S2442" t="n">
        <v>461.45</v>
      </c>
      <c r="T2442" t="n">
        <v>0</v>
      </c>
      <c r="U2442" t="n">
        <v>1948.21</v>
      </c>
      <c r="X2442" t="inlineStr">
        <is>
          <t>aafc-aac</t>
        </is>
      </c>
      <c r="Y2442" t="inlineStr">
        <is>
          <t>Agriculture and Agri-Food Canada | Agriculture et Agroalimentaire Canada</t>
        </is>
      </c>
      <c r="Z2442" t="n">
        <v>4</v>
      </c>
      <c r="AA2442" t="n">
        <v>1948.21</v>
      </c>
      <c r="AB2442">
        <f>ROUND(U2442-AA2442,2)</f>
        <v/>
      </c>
      <c r="AC2442" t="b">
        <v>0</v>
      </c>
      <c r="AD2442">
        <f>IF(U2442="","MISSING_TOTAL",IF(ABS(AB2442)&lt;=0.01,"OK","CHECK"))</f>
        <v/>
      </c>
      <c r="AE2442">
        <f>IF(U2442="","MISSING",IF(AND(AA2442&gt;0,U2442/AA2442&gt;50),"POSSIBLE_SCALE_ERROR","OK"))</f>
        <v/>
      </c>
    </row>
    <row r="2443">
      <c r="A2443" t="inlineStr">
        <is>
          <t>T-2025-P11-006</t>
        </is>
      </c>
      <c r="B2443" t="inlineStr">
        <is>
          <t>SLE</t>
        </is>
      </c>
      <c r="C2443" t="inlineStr">
        <is>
          <t>Assistant Deputy Minister, International Affairs Branch</t>
        </is>
      </c>
      <c r="D2443" t="inlineStr">
        <is>
          <t>Sous-ministre adjointe, Direction générale des affaires internationales</t>
        </is>
      </c>
      <c r="E2443" t="inlineStr">
        <is>
          <t>Kathleen Donohue</t>
        </is>
      </c>
      <c r="F2443" t="inlineStr">
        <is>
          <t>To attend the American Farm Bureau Convention</t>
        </is>
      </c>
      <c r="G2443" t="inlineStr">
        <is>
          <t>Participer à la conférence American Farm Bureau Convention</t>
        </is>
      </c>
      <c r="H2443" s="1" t="n">
        <v>45680</v>
      </c>
      <c r="I2443" s="1" t="n">
        <v>45684</v>
      </c>
      <c r="J2443" t="inlineStr">
        <is>
          <t>San Antonio, Texas, United States</t>
        </is>
      </c>
      <c r="K2443" t="inlineStr">
        <is>
          <t>San Antonio, Texas, États-Unis</t>
        </is>
      </c>
      <c r="P2443" t="n">
        <v>2144.53</v>
      </c>
      <c r="Q2443" t="n">
        <v>225.67</v>
      </c>
      <c r="R2443" t="n">
        <v>1030.48</v>
      </c>
      <c r="S2443" t="n">
        <v>637.96</v>
      </c>
      <c r="T2443" t="n">
        <v>0</v>
      </c>
      <c r="U2443" t="n">
        <v>4038.64</v>
      </c>
      <c r="X2443" t="inlineStr">
        <is>
          <t>aafc-aac</t>
        </is>
      </c>
      <c r="Y2443" t="inlineStr">
        <is>
          <t>Agriculture and Agri-Food Canada | Agriculture et Agroalimentaire Canada</t>
        </is>
      </c>
      <c r="Z2443" t="n">
        <v>5</v>
      </c>
      <c r="AA2443" t="n">
        <v>4038.64</v>
      </c>
      <c r="AB2443">
        <f>ROUND(U2443-AA2443,2)</f>
        <v/>
      </c>
      <c r="AC2443" t="b">
        <v>0</v>
      </c>
      <c r="AD2443">
        <f>IF(U2443="","MISSING_TOTAL",IF(ABS(AB2443)&lt;=0.01,"OK","CHECK"))</f>
        <v/>
      </c>
      <c r="AE2443">
        <f>IF(U2443="","MISSING",IF(AND(AA2443&gt;0,U2443/AA2443&gt;50),"POSSIBLE_SCALE_ERROR","OK"))</f>
        <v/>
      </c>
    </row>
    <row r="2444">
      <c r="A2444" t="inlineStr">
        <is>
          <t>T-2025-P11-007</t>
        </is>
      </c>
      <c r="B2444" t="inlineStr">
        <is>
          <t>SLE</t>
        </is>
      </c>
      <c r="C2444" t="inlineStr">
        <is>
          <t>Associate Assistant Deputy Minister, Science and Technology Branch</t>
        </is>
      </c>
      <c r="D2444" t="inlineStr">
        <is>
          <t>Sous-ministre adjoint délégué, Direction générale des sciences et de la technologie</t>
        </is>
      </c>
      <c r="E2444" t="inlineStr">
        <is>
          <t>Andrew Goldstein</t>
        </is>
      </c>
      <c r="F2444" t="inlineStr">
        <is>
          <t>To attend meetings</t>
        </is>
      </c>
      <c r="G2444" t="inlineStr">
        <is>
          <t>Participer aux rencontres</t>
        </is>
      </c>
      <c r="H2444" s="1" t="n">
        <v>45698</v>
      </c>
      <c r="I2444" s="1" t="n">
        <v>45700</v>
      </c>
      <c r="J2444" t="inlineStr">
        <is>
          <t>Ottawa, Ontario, Canada</t>
        </is>
      </c>
      <c r="K2444" t="inlineStr">
        <is>
          <t>Ottawa, Ontario, Canada</t>
        </is>
      </c>
      <c r="P2444" t="n">
        <v>0</v>
      </c>
      <c r="Q2444" t="n">
        <v>55</v>
      </c>
      <c r="R2444" t="n">
        <v>0</v>
      </c>
      <c r="S2444" t="n">
        <v>0</v>
      </c>
      <c r="T2444" t="n">
        <v>0</v>
      </c>
      <c r="U2444" t="n">
        <v>55</v>
      </c>
      <c r="X2444" t="inlineStr">
        <is>
          <t>aafc-aac</t>
        </is>
      </c>
      <c r="Y2444" t="inlineStr">
        <is>
          <t>Agriculture and Agri-Food Canada | Agriculture et Agroalimentaire Canada</t>
        </is>
      </c>
      <c r="Z2444" t="n">
        <v>3</v>
      </c>
      <c r="AA2444" t="n">
        <v>55</v>
      </c>
      <c r="AB2444">
        <f>ROUND(U2444-AA2444,2)</f>
        <v/>
      </c>
      <c r="AC2444" t="b">
        <v>0</v>
      </c>
      <c r="AD2444">
        <f>IF(U2444="","MISSING_TOTAL",IF(ABS(AB2444)&lt;=0.01,"OK","CHECK"))</f>
        <v/>
      </c>
      <c r="AE2444">
        <f>IF(U2444="","MISSING",IF(AND(AA2444&gt;0,U2444/AA2444&gt;50),"POSSIBLE_SCALE_ERROR","OK"))</f>
        <v/>
      </c>
    </row>
    <row r="2445">
      <c r="A2445" t="inlineStr">
        <is>
          <t>T-2025-P11-008</t>
        </is>
      </c>
      <c r="B2445" t="inlineStr">
        <is>
          <t>SLE</t>
        </is>
      </c>
      <c r="C2445" t="inlineStr">
        <is>
          <t>Assistant Deputy Minister, Corporate Management Branch</t>
        </is>
      </c>
      <c r="D2445" t="inlineStr">
        <is>
          <t>Sous-ministre adjointe, Direction générale de la gestion intégrée</t>
        </is>
      </c>
      <c r="E2445" t="inlineStr">
        <is>
          <t>Marie-Claude Guérard</t>
        </is>
      </c>
      <c r="F2445" t="inlineStr">
        <is>
          <t>To attend meetings in Ottawa</t>
        </is>
      </c>
      <c r="G2445" t="inlineStr">
        <is>
          <t>Participer aux rencontres à Ottawa</t>
        </is>
      </c>
      <c r="H2445" s="1" t="n">
        <v>45693</v>
      </c>
      <c r="I2445" s="1" t="n">
        <v>45693</v>
      </c>
      <c r="J2445" t="inlineStr">
        <is>
          <t>Ottawa, Ontario, Canada</t>
        </is>
      </c>
      <c r="K2445" t="inlineStr">
        <is>
          <t>Ottawa, Ontario, Canada</t>
        </is>
      </c>
      <c r="P2445" t="n">
        <v>0</v>
      </c>
      <c r="Q2445" t="n">
        <v>485.84</v>
      </c>
      <c r="R2445" t="n">
        <v>0</v>
      </c>
      <c r="S2445" t="n">
        <v>27</v>
      </c>
      <c r="T2445" t="n">
        <v>0</v>
      </c>
      <c r="U2445" t="n">
        <v>512.84</v>
      </c>
      <c r="X2445" t="inlineStr">
        <is>
          <t>aafc-aac</t>
        </is>
      </c>
      <c r="Y2445" t="inlineStr">
        <is>
          <t>Agriculture and Agri-Food Canada | Agriculture et Agroalimentaire Canada</t>
        </is>
      </c>
      <c r="Z2445" t="n">
        <v>1</v>
      </c>
      <c r="AA2445" t="n">
        <v>512.839999999999</v>
      </c>
      <c r="AB2445">
        <f>ROUND(U2445-AA2445,2)</f>
        <v/>
      </c>
      <c r="AC2445" t="b">
        <v>0</v>
      </c>
      <c r="AD2445">
        <f>IF(U2445="","MISSING_TOTAL",IF(ABS(AB2445)&lt;=0.01,"OK","CHECK"))</f>
        <v/>
      </c>
      <c r="AE2445">
        <f>IF(U2445="","MISSING",IF(AND(AA2445&gt;0,U2445/AA2445&gt;50),"POSSIBLE_SCALE_ERROR","OK"))</f>
        <v/>
      </c>
    </row>
    <row r="2446">
      <c r="A2446" t="inlineStr">
        <is>
          <t>T-2025-P11-009</t>
        </is>
      </c>
      <c r="B2446" t="inlineStr">
        <is>
          <t>SLE</t>
        </is>
      </c>
      <c r="C2446" t="inlineStr">
        <is>
          <t>Assistant Deputy Minister, Corporate Management Branch</t>
        </is>
      </c>
      <c r="D2446" t="inlineStr">
        <is>
          <t>Sous-ministre adjointe, Direction générale de la gestion intégrée</t>
        </is>
      </c>
      <c r="E2446" t="inlineStr">
        <is>
          <t>Marie-Claude Guérard</t>
        </is>
      </c>
      <c r="F2446" t="inlineStr">
        <is>
          <t>To attend meetings in Ottawa</t>
        </is>
      </c>
      <c r="G2446" t="inlineStr">
        <is>
          <t>Participer aux rencontres à Ottawa</t>
        </is>
      </c>
      <c r="H2446" s="1" t="n">
        <v>45700</v>
      </c>
      <c r="I2446" s="1" t="n">
        <v>45700</v>
      </c>
      <c r="J2446" t="inlineStr">
        <is>
          <t>Ottawa, Ontario, Canada</t>
        </is>
      </c>
      <c r="K2446" t="inlineStr">
        <is>
          <t>Ottawa, Ontario, Canada</t>
        </is>
      </c>
      <c r="P2446" t="n">
        <v>0</v>
      </c>
      <c r="Q2446" t="n">
        <v>659.84</v>
      </c>
      <c r="R2446" t="n">
        <v>0</v>
      </c>
      <c r="S2446" t="n">
        <v>27</v>
      </c>
      <c r="T2446" t="n">
        <v>0</v>
      </c>
      <c r="U2446" t="n">
        <v>686.84</v>
      </c>
      <c r="X2446" t="inlineStr">
        <is>
          <t>aafc-aac</t>
        </is>
      </c>
      <c r="Y2446" t="inlineStr">
        <is>
          <t>Agriculture and Agri-Food Canada | Agriculture et Agroalimentaire Canada</t>
        </is>
      </c>
      <c r="Z2446" t="n">
        <v>1</v>
      </c>
      <c r="AA2446" t="n">
        <v>686.84</v>
      </c>
      <c r="AB2446">
        <f>ROUND(U2446-AA2446,2)</f>
        <v/>
      </c>
      <c r="AC2446" t="b">
        <v>0</v>
      </c>
      <c r="AD2446">
        <f>IF(U2446="","MISSING_TOTAL",IF(ABS(AB2446)&lt;=0.01,"OK","CHECK"))</f>
        <v/>
      </c>
      <c r="AE2446">
        <f>IF(U2446="","MISSING",IF(AND(AA2446&gt;0,U2446/AA2446&gt;50),"POSSIBLE_SCALE_ERROR","OK"))</f>
        <v/>
      </c>
    </row>
    <row r="2447">
      <c r="A2447" t="inlineStr">
        <is>
          <t>T-2025-P11-010</t>
        </is>
      </c>
      <c r="B2447" t="inlineStr">
        <is>
          <t>SLE</t>
        </is>
      </c>
      <c r="C2447" t="inlineStr">
        <is>
          <t>Assistant Deputy Minister, Programs Branch</t>
        </is>
      </c>
      <c r="D2447" t="inlineStr">
        <is>
          <t>Sous-ministre adjointe, Direction générale des programmes</t>
        </is>
      </c>
      <c r="E2447" t="inlineStr">
        <is>
          <t>Liz Foster</t>
        </is>
      </c>
      <c r="F2447" t="inlineStr">
        <is>
          <t>To attend a Conference and meeting</t>
        </is>
      </c>
      <c r="G2447" t="inlineStr">
        <is>
          <t>Participer à une conférence et rencontre</t>
        </is>
      </c>
      <c r="H2447" s="1" t="n">
        <v>45698</v>
      </c>
      <c r="I2447" s="1" t="n">
        <v>45699</v>
      </c>
      <c r="J2447" t="inlineStr">
        <is>
          <t>Ottawa, Ontario, Canada</t>
        </is>
      </c>
      <c r="K2447" t="inlineStr">
        <is>
          <t>Ottawa, Ontario, Canada</t>
        </is>
      </c>
      <c r="P2447" t="n">
        <v>0</v>
      </c>
      <c r="Q2447" t="n">
        <v>25</v>
      </c>
      <c r="R2447" t="n">
        <v>0</v>
      </c>
      <c r="S2447" t="n">
        <v>0</v>
      </c>
      <c r="T2447" t="n">
        <v>0</v>
      </c>
      <c r="U2447" t="n">
        <v>25</v>
      </c>
      <c r="X2447" t="inlineStr">
        <is>
          <t>aafc-aac</t>
        </is>
      </c>
      <c r="Y2447" t="inlineStr">
        <is>
          <t>Agriculture and Agri-Food Canada | Agriculture et Agroalimentaire Canada</t>
        </is>
      </c>
      <c r="Z2447" t="n">
        <v>2</v>
      </c>
      <c r="AA2447" t="n">
        <v>25</v>
      </c>
      <c r="AB2447">
        <f>ROUND(U2447-AA2447,2)</f>
        <v/>
      </c>
      <c r="AC2447" t="b">
        <v>0</v>
      </c>
      <c r="AD2447">
        <f>IF(U2447="","MISSING_TOTAL",IF(ABS(AB2447)&lt;=0.01,"OK","CHECK"))</f>
        <v/>
      </c>
      <c r="AE2447">
        <f>IF(U2447="","MISSING",IF(AND(AA2447&gt;0,U2447/AA2447&gt;50),"POSSIBLE_SCALE_ERROR","OK"))</f>
        <v/>
      </c>
    </row>
    <row r="2448">
      <c r="A2448" t="inlineStr">
        <is>
          <t>T-2025-P11-011</t>
        </is>
      </c>
      <c r="B2448" t="inlineStr">
        <is>
          <t>SLE</t>
        </is>
      </c>
      <c r="C2448" t="inlineStr">
        <is>
          <t>Assistant Deputy Minister, Market and Industry Services Branch</t>
        </is>
      </c>
      <c r="D2448" t="inlineStr">
        <is>
          <t>Sous-ministre adjoint, Direction générale des services à l'industrie et aux marchés</t>
        </is>
      </c>
      <c r="E2448" t="inlineStr">
        <is>
          <t>Tom Rosser</t>
        </is>
      </c>
      <c r="F2448" t="inlineStr">
        <is>
          <t>To participate in the Food and Beverage event</t>
        </is>
      </c>
      <c r="G2448" t="inlineStr">
        <is>
          <t>Participer à l'événement sur l'alimentation et les boissons</t>
        </is>
      </c>
      <c r="H2448" s="1" t="n">
        <v>45684</v>
      </c>
      <c r="I2448" s="1" t="n">
        <v>45686</v>
      </c>
      <c r="J2448" t="inlineStr">
        <is>
          <t>Hamilton, Ontario, Canada</t>
        </is>
      </c>
      <c r="K2448" t="inlineStr">
        <is>
          <t>Hamilton, Ontario, Canada</t>
        </is>
      </c>
      <c r="L2448" t="inlineStr">
        <is>
          <t>Guelph, Ontario, Canada</t>
        </is>
      </c>
      <c r="M2448" t="inlineStr">
        <is>
          <t>Guelph, Ontario, Canada</t>
        </is>
      </c>
      <c r="P2448" t="n">
        <v>1235</v>
      </c>
      <c r="Q2448" t="n">
        <v>302.57</v>
      </c>
      <c r="R2448" t="n">
        <v>447.45</v>
      </c>
      <c r="S2448" t="n">
        <v>278.35</v>
      </c>
      <c r="T2448" t="n">
        <v>0</v>
      </c>
      <c r="U2448" t="n">
        <v>2263.37</v>
      </c>
      <c r="X2448" t="inlineStr">
        <is>
          <t>aafc-aac</t>
        </is>
      </c>
      <c r="Y2448" t="inlineStr">
        <is>
          <t>Agriculture and Agri-Food Canada | Agriculture et Agroalimentaire Canada</t>
        </is>
      </c>
      <c r="Z2448" t="n">
        <v>3</v>
      </c>
      <c r="AA2448" t="n">
        <v>2263.37</v>
      </c>
      <c r="AB2448">
        <f>ROUND(U2448-AA2448,2)</f>
        <v/>
      </c>
      <c r="AC2448" t="b">
        <v>0</v>
      </c>
      <c r="AD2448">
        <f>IF(U2448="","MISSING_TOTAL",IF(ABS(AB2448)&lt;=0.01,"OK","CHECK"))</f>
        <v/>
      </c>
      <c r="AE2448">
        <f>IF(U2448="","MISSING",IF(AND(AA2448&gt;0,U2448/AA2448&gt;50),"POSSIBLE_SCALE_ERROR","OK"))</f>
        <v/>
      </c>
    </row>
    <row r="2449">
      <c r="A2449" t="inlineStr">
        <is>
          <t>T-2025-P12-001</t>
        </is>
      </c>
      <c r="B2449" t="inlineStr">
        <is>
          <t>MPSES</t>
        </is>
      </c>
      <c r="C2449" t="inlineStr">
        <is>
          <t>Minister</t>
        </is>
      </c>
      <c r="D2449" t="inlineStr">
        <is>
          <t>Ministre</t>
        </is>
      </c>
      <c r="E2449" t="inlineStr">
        <is>
          <t>Lawrence MacAulay</t>
        </is>
      </c>
      <c r="F2449" t="inlineStr">
        <is>
          <t>Outreach in Washington</t>
        </is>
      </c>
      <c r="G2449" t="inlineStr">
        <is>
          <t>Activité de sensibilisation à Washington</t>
        </is>
      </c>
      <c r="H2449" s="1" t="n">
        <v>45712</v>
      </c>
      <c r="I2449" s="1" t="n">
        <v>45714</v>
      </c>
      <c r="J2449" t="inlineStr">
        <is>
          <t>Washington, District of Columbia, United States</t>
        </is>
      </c>
      <c r="K2449" t="inlineStr">
        <is>
          <t>Washington, District de Columbia, États-Unis</t>
        </is>
      </c>
      <c r="P2449" t="n">
        <v>1190.31</v>
      </c>
      <c r="Q2449" t="n">
        <v>0</v>
      </c>
      <c r="R2449" t="n">
        <v>1085.19</v>
      </c>
      <c r="S2449" t="n">
        <v>223.6</v>
      </c>
      <c r="T2449" t="n">
        <v>0</v>
      </c>
      <c r="U2449" t="n">
        <v>2499.1</v>
      </c>
      <c r="X2449" t="inlineStr">
        <is>
          <t>aafc-aac</t>
        </is>
      </c>
      <c r="Y2449" t="inlineStr">
        <is>
          <t>Agriculture and Agri-Food Canada | Agriculture et Agroalimentaire Canada</t>
        </is>
      </c>
      <c r="Z2449" t="n">
        <v>3</v>
      </c>
      <c r="AA2449" t="n">
        <v>2499.1</v>
      </c>
      <c r="AB2449">
        <f>ROUND(U2449-AA2449,2)</f>
        <v/>
      </c>
      <c r="AC2449" t="b">
        <v>0</v>
      </c>
      <c r="AD2449">
        <f>IF(U2449="","MISSING_TOTAL",IF(ABS(AB2449)&lt;=0.01,"OK","CHECK"))</f>
        <v/>
      </c>
      <c r="AE2449">
        <f>IF(U2449="","MISSING",IF(AND(AA2449&gt;0,U2449/AA2449&gt;50),"POSSIBLE_SCALE_ERROR","OK"))</f>
        <v/>
      </c>
    </row>
    <row r="2450">
      <c r="A2450" t="inlineStr">
        <is>
          <t>T-2025-P12-002</t>
        </is>
      </c>
      <c r="B2450" t="inlineStr">
        <is>
          <t>MPSES</t>
        </is>
      </c>
      <c r="C2450" t="inlineStr">
        <is>
          <t>Minister</t>
        </is>
      </c>
      <c r="D2450" t="inlineStr">
        <is>
          <t>Ministre</t>
        </is>
      </c>
      <c r="E2450" t="inlineStr">
        <is>
          <t>Lawrence MacAulay</t>
        </is>
      </c>
      <c r="F2450" t="inlineStr">
        <is>
          <t>To attend an outreach in British Columbia</t>
        </is>
      </c>
      <c r="G2450" t="inlineStr">
        <is>
          <t>Participer à une action de sensibilisation en Colombie-Britannique</t>
        </is>
      </c>
      <c r="H2450" s="1" t="n">
        <v>45719</v>
      </c>
      <c r="I2450" s="1" t="n">
        <v>45723</v>
      </c>
      <c r="J2450" t="inlineStr">
        <is>
          <t>Vancouver, British Columbia, Canada</t>
        </is>
      </c>
      <c r="K2450" t="inlineStr">
        <is>
          <t>Vancouver, Colombie-Britannique, Canada</t>
        </is>
      </c>
      <c r="P2450" t="n">
        <v>1976.6</v>
      </c>
      <c r="Q2450" t="n">
        <v>0</v>
      </c>
      <c r="R2450" t="n">
        <v>1130.72</v>
      </c>
      <c r="S2450" t="n">
        <v>447.2</v>
      </c>
      <c r="T2450" t="n">
        <v>0</v>
      </c>
      <c r="U2450" t="n">
        <v>3554.52</v>
      </c>
      <c r="X2450" t="inlineStr">
        <is>
          <t>aafc-aac</t>
        </is>
      </c>
      <c r="Y2450" t="inlineStr">
        <is>
          <t>Agriculture and Agri-Food Canada | Agriculture et Agroalimentaire Canada</t>
        </is>
      </c>
      <c r="Z2450" t="n">
        <v>5</v>
      </c>
      <c r="AA2450" t="n">
        <v>3554.51999999999</v>
      </c>
      <c r="AB2450">
        <f>ROUND(U2450-AA2450,2)</f>
        <v/>
      </c>
      <c r="AC2450" t="b">
        <v>0</v>
      </c>
      <c r="AD2450">
        <f>IF(U2450="","MISSING_TOTAL",IF(ABS(AB2450)&lt;=0.01,"OK","CHECK"))</f>
        <v/>
      </c>
      <c r="AE2450">
        <f>IF(U2450="","MISSING",IF(AND(AA2450&gt;0,U2450/AA2450&gt;50),"POSSIBLE_SCALE_ERROR","OK"))</f>
        <v/>
      </c>
    </row>
    <row r="2451">
      <c r="A2451" t="inlineStr">
        <is>
          <t>T-2025-P12-003</t>
        </is>
      </c>
      <c r="B2451" t="inlineStr">
        <is>
          <t>MPSES</t>
        </is>
      </c>
      <c r="C2451" t="inlineStr">
        <is>
          <t>Director of Communications</t>
        </is>
      </c>
      <c r="D2451" t="inlineStr">
        <is>
          <t>Directrice des communications</t>
        </is>
      </c>
      <c r="E2451" t="inlineStr">
        <is>
          <t>Annie Cullinan</t>
        </is>
      </c>
      <c r="F2451" t="inlineStr">
        <is>
          <t>To support the Minister attending meetings</t>
        </is>
      </c>
      <c r="G2451" t="inlineStr">
        <is>
          <t>Soutenir le ministre participant à des réunions</t>
        </is>
      </c>
      <c r="H2451" s="1" t="n">
        <v>45705</v>
      </c>
      <c r="I2451" s="1" t="n">
        <v>45710</v>
      </c>
      <c r="J2451" t="inlineStr">
        <is>
          <t>Charlottetown, Prince Edward Island, Canada</t>
        </is>
      </c>
      <c r="K2451" t="inlineStr">
        <is>
          <t>Charlottetown, Île-du-Prince-Édouard, Canada</t>
        </is>
      </c>
      <c r="P2451" t="n">
        <v>1302.67</v>
      </c>
      <c r="Q2451" t="n">
        <v>107.51</v>
      </c>
      <c r="R2451" t="n">
        <v>400.36</v>
      </c>
      <c r="S2451" t="n">
        <v>140.7</v>
      </c>
      <c r="T2451" t="n">
        <v>0</v>
      </c>
      <c r="U2451" t="n">
        <v>1951.24</v>
      </c>
      <c r="X2451" t="inlineStr">
        <is>
          <t>aafc-aac</t>
        </is>
      </c>
      <c r="Y2451" t="inlineStr">
        <is>
          <t>Agriculture and Agri-Food Canada | Agriculture et Agroalimentaire Canada</t>
        </is>
      </c>
      <c r="Z2451" t="n">
        <v>6</v>
      </c>
      <c r="AA2451" t="n">
        <v>1951.24</v>
      </c>
      <c r="AB2451">
        <f>ROUND(U2451-AA2451,2)</f>
        <v/>
      </c>
      <c r="AC2451" t="b">
        <v>0</v>
      </c>
      <c r="AD2451">
        <f>IF(U2451="","MISSING_TOTAL",IF(ABS(AB2451)&lt;=0.01,"OK","CHECK"))</f>
        <v/>
      </c>
      <c r="AE2451">
        <f>IF(U2451="","MISSING",IF(AND(AA2451&gt;0,U2451/AA2451&gt;50),"POSSIBLE_SCALE_ERROR","OK"))</f>
        <v/>
      </c>
    </row>
    <row r="2452">
      <c r="A2452" t="inlineStr">
        <is>
          <t>T-2025-P12-004</t>
        </is>
      </c>
      <c r="B2452" t="inlineStr">
        <is>
          <t>MPSES</t>
        </is>
      </c>
      <c r="C2452" t="inlineStr">
        <is>
          <t>Director of Communications</t>
        </is>
      </c>
      <c r="D2452" t="inlineStr">
        <is>
          <t>Directrice des communications</t>
        </is>
      </c>
      <c r="E2452" t="inlineStr">
        <is>
          <t>Annie Cullinan</t>
        </is>
      </c>
      <c r="F2452" t="inlineStr">
        <is>
          <t>To support the Minister attending a funding announcement</t>
        </is>
      </c>
      <c r="G2452" t="inlineStr">
        <is>
          <t>Soutenir le ministre lors d'une annonce de financement</t>
        </is>
      </c>
      <c r="H2452" s="1" t="n">
        <v>45722</v>
      </c>
      <c r="I2452" s="1" t="n">
        <v>45724</v>
      </c>
      <c r="J2452" t="inlineStr">
        <is>
          <t>Charlottetown, Prince Edward Island, Canada</t>
        </is>
      </c>
      <c r="K2452" t="inlineStr">
        <is>
          <t>Charlottetown, Île-du-Prince-Édouard, Canada</t>
        </is>
      </c>
      <c r="P2452" t="n">
        <v>1753.83</v>
      </c>
      <c r="Q2452" t="n">
        <v>110.92</v>
      </c>
      <c r="R2452" t="n">
        <v>400.36</v>
      </c>
      <c r="S2452" t="n">
        <v>195.65</v>
      </c>
      <c r="T2452" t="n">
        <v>0</v>
      </c>
      <c r="U2452" t="n">
        <v>2460.76</v>
      </c>
      <c r="X2452" t="inlineStr">
        <is>
          <t>aafc-aac</t>
        </is>
      </c>
      <c r="Y2452" t="inlineStr">
        <is>
          <t>Agriculture and Agri-Food Canada | Agriculture et Agroalimentaire Canada</t>
        </is>
      </c>
      <c r="Z2452" t="n">
        <v>3</v>
      </c>
      <c r="AA2452" t="n">
        <v>2460.76</v>
      </c>
      <c r="AB2452">
        <f>ROUND(U2452-AA2452,2)</f>
        <v/>
      </c>
      <c r="AC2452" t="b">
        <v>0</v>
      </c>
      <c r="AD2452">
        <f>IF(U2452="","MISSING_TOTAL",IF(ABS(AB2452)&lt;=0.01,"OK","CHECK"))</f>
        <v/>
      </c>
      <c r="AE2452">
        <f>IF(U2452="","MISSING",IF(AND(AA2452&gt;0,U2452/AA2452&gt;50),"POSSIBLE_SCALE_ERROR","OK"))</f>
        <v/>
      </c>
    </row>
    <row r="2453">
      <c r="A2453" t="inlineStr">
        <is>
          <t>T-2025-P12-005</t>
        </is>
      </c>
      <c r="B2453" t="inlineStr">
        <is>
          <t>MPSES</t>
        </is>
      </c>
      <c r="C2453" t="inlineStr">
        <is>
          <t>Director of Communications</t>
        </is>
      </c>
      <c r="D2453" t="inlineStr">
        <is>
          <t>Directrice des communications</t>
        </is>
      </c>
      <c r="E2453" t="inlineStr">
        <is>
          <t>Annie Cullinan</t>
        </is>
      </c>
      <c r="F2453" t="inlineStr">
        <is>
          <t>To support the Minister for announcements made in Halifax</t>
        </is>
      </c>
      <c r="G2453" t="inlineStr">
        <is>
          <t>Soutenir le ministre lors des annonces à Halifax</t>
        </is>
      </c>
      <c r="H2453" s="1" t="n">
        <v>45736</v>
      </c>
      <c r="I2453" s="1" t="n">
        <v>45737</v>
      </c>
      <c r="J2453" t="inlineStr">
        <is>
          <t>Halifax, Nova Scotia, Canada</t>
        </is>
      </c>
      <c r="K2453" t="inlineStr">
        <is>
          <t>Halifax, Nouvelle-Écosse, Canada</t>
        </is>
      </c>
      <c r="P2453" t="n">
        <v>1367.83</v>
      </c>
      <c r="Q2453" t="n">
        <v>25.79</v>
      </c>
      <c r="R2453" t="n">
        <v>0</v>
      </c>
      <c r="S2453" t="n">
        <v>54.95</v>
      </c>
      <c r="T2453" t="n">
        <v>0</v>
      </c>
      <c r="U2453" t="n">
        <v>1448.57</v>
      </c>
      <c r="X2453" t="inlineStr">
        <is>
          <t>aafc-aac</t>
        </is>
      </c>
      <c r="Y2453" t="inlineStr">
        <is>
          <t>Agriculture and Agri-Food Canada | Agriculture et Agroalimentaire Canada</t>
        </is>
      </c>
      <c r="Z2453" t="n">
        <v>2</v>
      </c>
      <c r="AA2453" t="n">
        <v>1448.57</v>
      </c>
      <c r="AB2453">
        <f>ROUND(U2453-AA2453,2)</f>
        <v/>
      </c>
      <c r="AC2453" t="b">
        <v>0</v>
      </c>
      <c r="AD2453">
        <f>IF(U2453="","MISSING_TOTAL",IF(ABS(AB2453)&lt;=0.01,"OK","CHECK"))</f>
        <v/>
      </c>
      <c r="AE2453">
        <f>IF(U2453="","MISSING",IF(AND(AA2453&gt;0,U2453/AA2453&gt;50),"POSSIBLE_SCALE_ERROR","OK"))</f>
        <v/>
      </c>
    </row>
    <row r="2454">
      <c r="A2454" t="inlineStr">
        <is>
          <t>T-2025-P12-006</t>
        </is>
      </c>
      <c r="B2454" t="inlineStr">
        <is>
          <t>MPSES</t>
        </is>
      </c>
      <c r="C2454" t="inlineStr">
        <is>
          <t>Senior Special Assistant</t>
        </is>
      </c>
      <c r="D2454" t="inlineStr">
        <is>
          <t>Adjoint spécial principal</t>
        </is>
      </c>
      <c r="E2454" t="inlineStr">
        <is>
          <t>Michael Ferguson</t>
        </is>
      </c>
      <c r="F2454" t="inlineStr">
        <is>
          <t>To support the Minister to attend meetings</t>
        </is>
      </c>
      <c r="G2454" t="inlineStr">
        <is>
          <t>Soutenir le ministre participant à des réunions</t>
        </is>
      </c>
      <c r="H2454" s="1" t="n">
        <v>45705</v>
      </c>
      <c r="I2454" s="1" t="n">
        <v>45710</v>
      </c>
      <c r="J2454" t="inlineStr">
        <is>
          <t>Charlottetown, Prince Edward Island, Canada</t>
        </is>
      </c>
      <c r="K2454" t="inlineStr">
        <is>
          <t>Charlottetown, Île-du-Prince-Édouard, Canada</t>
        </is>
      </c>
      <c r="P2454" t="n">
        <v>1255.92</v>
      </c>
      <c r="Q2454" t="n">
        <v>340.38</v>
      </c>
      <c r="R2454" t="n">
        <v>400.36</v>
      </c>
      <c r="S2454" t="n">
        <v>140.7</v>
      </c>
      <c r="T2454" t="n">
        <v>0</v>
      </c>
      <c r="U2454" t="n">
        <v>2137.36</v>
      </c>
      <c r="X2454" t="inlineStr">
        <is>
          <t>aafc-aac</t>
        </is>
      </c>
      <c r="Y2454" t="inlineStr">
        <is>
          <t>Agriculture and Agri-Food Canada | Agriculture et Agroalimentaire Canada</t>
        </is>
      </c>
      <c r="Z2454" t="n">
        <v>6</v>
      </c>
      <c r="AA2454" t="n">
        <v>2137.36</v>
      </c>
      <c r="AB2454">
        <f>ROUND(U2454-AA2454,2)</f>
        <v/>
      </c>
      <c r="AC2454" t="b">
        <v>0</v>
      </c>
      <c r="AD2454">
        <f>IF(U2454="","MISSING_TOTAL",IF(ABS(AB2454)&lt;=0.01,"OK","CHECK"))</f>
        <v/>
      </c>
      <c r="AE2454">
        <f>IF(U2454="","MISSING",IF(AND(AA2454&gt;0,U2454/AA2454&gt;50),"POSSIBLE_SCALE_ERROR","OK"))</f>
        <v/>
      </c>
    </row>
    <row r="2455">
      <c r="A2455" t="inlineStr">
        <is>
          <t>T-2025-P12-007</t>
        </is>
      </c>
      <c r="B2455" t="inlineStr">
        <is>
          <t>MPSES</t>
        </is>
      </c>
      <c r="C2455" t="inlineStr">
        <is>
          <t>Senior Special Assistant</t>
        </is>
      </c>
      <c r="D2455" t="inlineStr">
        <is>
          <t>Adjoint spécial principal</t>
        </is>
      </c>
      <c r="E2455" t="inlineStr">
        <is>
          <t>Michael Ferguson</t>
        </is>
      </c>
      <c r="F2455" t="inlineStr">
        <is>
          <t>To support the Minister attending a clean tech project site visit and meeting with local stakeholders</t>
        </is>
      </c>
      <c r="G2455" t="inlineStr">
        <is>
          <t>Soutenir le ministre participant à la visite d'un site de projet de technologie propre et rencontrant les parties prenantes locales.</t>
        </is>
      </c>
      <c r="H2455" s="1" t="n">
        <v>45715</v>
      </c>
      <c r="I2455" s="1" t="n">
        <v>45718</v>
      </c>
      <c r="J2455" t="inlineStr">
        <is>
          <t>Charlottetown, Prince Edward Island, Canada</t>
        </is>
      </c>
      <c r="K2455" t="inlineStr">
        <is>
          <t>Charlottetown, Île-du-Prince-Édouard, Canada</t>
        </is>
      </c>
      <c r="P2455" t="n">
        <v>954.46</v>
      </c>
      <c r="Q2455" t="n">
        <v>100.43</v>
      </c>
      <c r="R2455" t="n">
        <v>0</v>
      </c>
      <c r="S2455" t="n">
        <v>138.8</v>
      </c>
      <c r="T2455" t="n">
        <v>0</v>
      </c>
      <c r="U2455" t="n">
        <v>1193.69</v>
      </c>
      <c r="X2455" t="inlineStr">
        <is>
          <t>aafc-aac</t>
        </is>
      </c>
      <c r="Y2455" t="inlineStr">
        <is>
          <t>Agriculture and Agri-Food Canada | Agriculture et Agroalimentaire Canada</t>
        </is>
      </c>
      <c r="Z2455" t="n">
        <v>4</v>
      </c>
      <c r="AA2455" t="n">
        <v>1193.69</v>
      </c>
      <c r="AB2455">
        <f>ROUND(U2455-AA2455,2)</f>
        <v/>
      </c>
      <c r="AC2455" t="b">
        <v>0</v>
      </c>
      <c r="AD2455">
        <f>IF(U2455="","MISSING_TOTAL",IF(ABS(AB2455)&lt;=0.01,"OK","CHECK"))</f>
        <v/>
      </c>
      <c r="AE2455">
        <f>IF(U2455="","MISSING",IF(AND(AA2455&gt;0,U2455/AA2455&gt;50),"POSSIBLE_SCALE_ERROR","OK"))</f>
        <v/>
      </c>
    </row>
    <row r="2456">
      <c r="A2456" t="inlineStr">
        <is>
          <t>T-2025-P12-008</t>
        </is>
      </c>
      <c r="B2456" t="inlineStr">
        <is>
          <t>MPSES</t>
        </is>
      </c>
      <c r="C2456" t="inlineStr">
        <is>
          <t>Policy Advisor</t>
        </is>
      </c>
      <c r="D2456" t="inlineStr">
        <is>
          <t>Conseiller en politiques</t>
        </is>
      </c>
      <c r="E2456" t="inlineStr">
        <is>
          <t>Jeremy Keats</t>
        </is>
      </c>
      <c r="F2456" t="inlineStr">
        <is>
          <t>To support the Minister attending an Outreach in Vancouver</t>
        </is>
      </c>
      <c r="G2456" t="inlineStr">
        <is>
          <t>Soutenir le ministre participant à une action de sensibilisation à Vancouver</t>
        </is>
      </c>
      <c r="H2456" s="1" t="n">
        <v>45718</v>
      </c>
      <c r="I2456" s="1" t="n">
        <v>45723</v>
      </c>
      <c r="J2456" t="inlineStr">
        <is>
          <t>Vancouver, British Columbia, Canada</t>
        </is>
      </c>
      <c r="K2456" t="inlineStr">
        <is>
          <t>Vancouver, Colombie-Britannique, Canada</t>
        </is>
      </c>
      <c r="P2456" t="n">
        <v>1731.02</v>
      </c>
      <c r="Q2456" t="n">
        <v>68.15000000000001</v>
      </c>
      <c r="R2456" t="n">
        <v>1230.75</v>
      </c>
      <c r="S2456" t="n">
        <v>447.2</v>
      </c>
      <c r="T2456" t="n">
        <v>0</v>
      </c>
      <c r="U2456" t="n">
        <v>3477.12</v>
      </c>
      <c r="X2456" t="inlineStr">
        <is>
          <t>aafc-aac</t>
        </is>
      </c>
      <c r="Y2456" t="inlineStr">
        <is>
          <t>Agriculture and Agri-Food Canada | Agriculture et Agroalimentaire Canada</t>
        </is>
      </c>
      <c r="Z2456" t="n">
        <v>6</v>
      </c>
      <c r="AA2456" t="n">
        <v>3477.12</v>
      </c>
      <c r="AB2456">
        <f>ROUND(U2456-AA2456,2)</f>
        <v/>
      </c>
      <c r="AC2456" t="b">
        <v>0</v>
      </c>
      <c r="AD2456">
        <f>IF(U2456="","MISSING_TOTAL",IF(ABS(AB2456)&lt;=0.01,"OK","CHECK"))</f>
        <v/>
      </c>
      <c r="AE2456">
        <f>IF(U2456="","MISSING",IF(AND(AA2456&gt;0,U2456/AA2456&gt;50),"POSSIBLE_SCALE_ERROR","OK"))</f>
        <v/>
      </c>
    </row>
    <row r="2457">
      <c r="A2457" t="inlineStr">
        <is>
          <t>T-2025-P12-009</t>
        </is>
      </c>
      <c r="B2457" t="inlineStr">
        <is>
          <t>MPSES</t>
        </is>
      </c>
      <c r="C2457" t="inlineStr">
        <is>
          <t>Special Assistant</t>
        </is>
      </c>
      <c r="D2457" t="inlineStr">
        <is>
          <t>Adjoint spécial</t>
        </is>
      </c>
      <c r="E2457" t="inlineStr">
        <is>
          <t>George Williams</t>
        </is>
      </c>
      <c r="F2457" t="inlineStr">
        <is>
          <t>To support the Minister to attend a clean tech project site visit and meet with local stakeholders</t>
        </is>
      </c>
      <c r="G2457" t="inlineStr">
        <is>
          <t>Soutenir le ministre participant à la visite d'un site de projet de technologie propre et qu'il rencontre les parties prenantes locales.</t>
        </is>
      </c>
      <c r="H2457" s="1" t="n">
        <v>45715</v>
      </c>
      <c r="I2457" s="1" t="n">
        <v>45718</v>
      </c>
      <c r="J2457" t="inlineStr">
        <is>
          <t>Charlottetown, Prince Edward Island, Canada</t>
        </is>
      </c>
      <c r="K2457" t="inlineStr">
        <is>
          <t>Charlottetown, Île-du-Prince-Édouard, Canada</t>
        </is>
      </c>
      <c r="P2457" t="n">
        <v>954.46</v>
      </c>
      <c r="Q2457" t="n">
        <v>47.24</v>
      </c>
      <c r="R2457" t="n">
        <v>322.86</v>
      </c>
      <c r="S2457" t="n">
        <v>138.8</v>
      </c>
      <c r="T2457" t="n">
        <v>0</v>
      </c>
      <c r="U2457" t="n">
        <v>1463.36</v>
      </c>
      <c r="X2457" t="inlineStr">
        <is>
          <t>aafc-aac</t>
        </is>
      </c>
      <c r="Y2457" t="inlineStr">
        <is>
          <t>Agriculture and Agri-Food Canada | Agriculture et Agroalimentaire Canada</t>
        </is>
      </c>
      <c r="Z2457" t="n">
        <v>4</v>
      </c>
      <c r="AA2457" t="n">
        <v>1463.36</v>
      </c>
      <c r="AB2457">
        <f>ROUND(U2457-AA2457,2)</f>
        <v/>
      </c>
      <c r="AC2457" t="b">
        <v>0</v>
      </c>
      <c r="AD2457">
        <f>IF(U2457="","MISSING_TOTAL",IF(ABS(AB2457)&lt;=0.01,"OK","CHECK"))</f>
        <v/>
      </c>
      <c r="AE2457">
        <f>IF(U2457="","MISSING",IF(AND(AA2457&gt;0,U2457/AA2457&gt;50),"POSSIBLE_SCALE_ERROR","OK"))</f>
        <v/>
      </c>
    </row>
    <row r="2458">
      <c r="A2458" t="inlineStr">
        <is>
          <t>T-2025-P12-010</t>
        </is>
      </c>
      <c r="B2458" t="inlineStr">
        <is>
          <t>MPSES</t>
        </is>
      </c>
      <c r="C2458" t="inlineStr">
        <is>
          <t>Chief of Staff &amp; Director of Operations</t>
        </is>
      </c>
      <c r="D2458" t="inlineStr">
        <is>
          <t>Chef de cabinet et Directrice des opérations</t>
        </is>
      </c>
      <c r="E2458" t="inlineStr">
        <is>
          <t>Maria Morley</t>
        </is>
      </c>
      <c r="F2458" t="inlineStr">
        <is>
          <t>To support the Minister attending an Outreach in Vancouver</t>
        </is>
      </c>
      <c r="G2458" t="inlineStr">
        <is>
          <t>Soutenir le ministre participant à une action de sensibilisation à Vancouver</t>
        </is>
      </c>
      <c r="H2458" s="1" t="n">
        <v>45718</v>
      </c>
      <c r="I2458" s="1" t="n">
        <v>45722</v>
      </c>
      <c r="J2458" t="inlineStr">
        <is>
          <t>Vancouver, British Columbia, Canada</t>
        </is>
      </c>
      <c r="K2458" t="inlineStr">
        <is>
          <t>Vancouver, Colombie-Britannique, Canada</t>
        </is>
      </c>
      <c r="P2458" t="n">
        <v>3807.7</v>
      </c>
      <c r="Q2458" t="n">
        <v>608.23</v>
      </c>
      <c r="R2458" t="n">
        <v>1215.92</v>
      </c>
      <c r="S2458" t="n">
        <v>447.2</v>
      </c>
      <c r="T2458" t="n">
        <v>0</v>
      </c>
      <c r="U2458" t="n">
        <v>6079.05</v>
      </c>
      <c r="X2458" t="inlineStr">
        <is>
          <t>aafc-aac</t>
        </is>
      </c>
      <c r="Y2458" t="inlineStr">
        <is>
          <t>Agriculture and Agri-Food Canada | Agriculture et Agroalimentaire Canada</t>
        </is>
      </c>
      <c r="Z2458" t="n">
        <v>5</v>
      </c>
      <c r="AA2458" t="n">
        <v>6079.05</v>
      </c>
      <c r="AB2458">
        <f>ROUND(U2458-AA2458,2)</f>
        <v/>
      </c>
      <c r="AC2458" t="b">
        <v>0</v>
      </c>
      <c r="AD2458">
        <f>IF(U2458="","MISSING_TOTAL",IF(ABS(AB2458)&lt;=0.01,"OK","CHECK"))</f>
        <v/>
      </c>
      <c r="AE2458">
        <f>IF(U2458="","MISSING",IF(AND(AA2458&gt;0,U2458/AA2458&gt;50),"POSSIBLE_SCALE_ERROR","OK"))</f>
        <v/>
      </c>
    </row>
    <row r="2459">
      <c r="A2459" t="inlineStr">
        <is>
          <t>T-2025-P12-011</t>
        </is>
      </c>
      <c r="B2459" t="inlineStr">
        <is>
          <t>MPSES</t>
        </is>
      </c>
      <c r="C2459" t="inlineStr">
        <is>
          <t>Chief of Staff &amp; Director of Operations</t>
        </is>
      </c>
      <c r="D2459" t="inlineStr">
        <is>
          <t>Chef de cabinet et Directrice des opérations</t>
        </is>
      </c>
      <c r="E2459" t="inlineStr">
        <is>
          <t>Maria Morley</t>
        </is>
      </c>
      <c r="F2459" t="inlineStr">
        <is>
          <t>To support the Minister for announcements made in Halifax</t>
        </is>
      </c>
      <c r="G2459" t="inlineStr">
        <is>
          <t>Soutenir le ministre lors des annonces à Halifax</t>
        </is>
      </c>
      <c r="H2459" s="1" t="n">
        <v>45736</v>
      </c>
      <c r="I2459" s="1" t="n">
        <v>45736</v>
      </c>
      <c r="J2459" t="inlineStr">
        <is>
          <t>Halifax, Nova Scotia, Canada</t>
        </is>
      </c>
      <c r="K2459" t="inlineStr">
        <is>
          <t>Halifax, Nouvelle-Écosse, Canada</t>
        </is>
      </c>
      <c r="P2459" t="n">
        <v>1367.83</v>
      </c>
      <c r="Q2459" t="n">
        <v>191.47</v>
      </c>
      <c r="R2459" t="n">
        <v>0</v>
      </c>
      <c r="S2459" t="n">
        <v>111.8</v>
      </c>
      <c r="T2459" t="n">
        <v>0</v>
      </c>
      <c r="U2459" t="n">
        <v>1671.1</v>
      </c>
      <c r="X2459" t="inlineStr">
        <is>
          <t>aafc-aac</t>
        </is>
      </c>
      <c r="Y2459" t="inlineStr">
        <is>
          <t>Agriculture and Agri-Food Canada | Agriculture et Agroalimentaire Canada</t>
        </is>
      </c>
      <c r="Z2459" t="n">
        <v>1</v>
      </c>
      <c r="AA2459" t="n">
        <v>1671.1</v>
      </c>
      <c r="AB2459">
        <f>ROUND(U2459-AA2459,2)</f>
        <v/>
      </c>
      <c r="AC2459" t="b">
        <v>0</v>
      </c>
      <c r="AD2459">
        <f>IF(U2459="","MISSING_TOTAL",IF(ABS(AB2459)&lt;=0.01,"OK","CHECK"))</f>
        <v/>
      </c>
      <c r="AE2459">
        <f>IF(U2459="","MISSING",IF(AND(AA2459&gt;0,U2459/AA2459&gt;50),"POSSIBLE_SCALE_ERROR","OK"))</f>
        <v/>
      </c>
    </row>
    <row r="2460">
      <c r="A2460" t="inlineStr">
        <is>
          <t>T-2025-P12-012</t>
        </is>
      </c>
      <c r="B2460" t="inlineStr">
        <is>
          <t>MPSES</t>
        </is>
      </c>
      <c r="C2460" t="inlineStr">
        <is>
          <t>Chief of Staff &amp; Director of Operations</t>
        </is>
      </c>
      <c r="D2460" t="inlineStr">
        <is>
          <t>Chef de cabinet et Directrice des opérations</t>
        </is>
      </c>
      <c r="E2460" t="inlineStr">
        <is>
          <t>Maria Morley</t>
        </is>
      </c>
      <c r="F2460" t="inlineStr">
        <is>
          <t>To meet with the Minister in Halifax for meetings</t>
        </is>
      </c>
      <c r="G2460" t="inlineStr">
        <is>
          <t>Rencontrer le ministre à Halifax pour des réunions</t>
        </is>
      </c>
      <c r="H2460" s="1" t="n">
        <v>45732</v>
      </c>
      <c r="I2460" s="1" t="n">
        <v>45732</v>
      </c>
      <c r="J2460" t="inlineStr">
        <is>
          <t>Halifax, Nova Scotia, Canada</t>
        </is>
      </c>
      <c r="K2460" t="inlineStr">
        <is>
          <t>Halifax, Nouvelle-Écosse, Canada</t>
        </is>
      </c>
      <c r="P2460" t="n">
        <v>0</v>
      </c>
      <c r="Q2460" t="n">
        <v>75.44</v>
      </c>
      <c r="R2460" t="n">
        <v>0</v>
      </c>
      <c r="S2460" t="n">
        <v>0</v>
      </c>
      <c r="T2460" t="n">
        <v>0</v>
      </c>
      <c r="U2460" t="n">
        <v>75.44</v>
      </c>
      <c r="X2460" t="inlineStr">
        <is>
          <t>aafc-aac</t>
        </is>
      </c>
      <c r="Y2460" t="inlineStr">
        <is>
          <t>Agriculture and Agri-Food Canada | Agriculture et Agroalimentaire Canada</t>
        </is>
      </c>
      <c r="Z2460" t="n">
        <v>1</v>
      </c>
      <c r="AA2460" t="n">
        <v>75.44</v>
      </c>
      <c r="AB2460">
        <f>ROUND(U2460-AA2460,2)</f>
        <v/>
      </c>
      <c r="AC2460" t="b">
        <v>0</v>
      </c>
      <c r="AD2460">
        <f>IF(U2460="","MISSING_TOTAL",IF(ABS(AB2460)&lt;=0.01,"OK","CHECK"))</f>
        <v/>
      </c>
      <c r="AE2460">
        <f>IF(U2460="","MISSING",IF(AND(AA2460&gt;0,U2460/AA2460&gt;50),"POSSIBLE_SCALE_ERROR","OK"))</f>
        <v/>
      </c>
    </row>
    <row r="2461">
      <c r="A2461" t="inlineStr">
        <is>
          <t>T-2025-P12-013</t>
        </is>
      </c>
      <c r="B2461" t="inlineStr">
        <is>
          <t>MPSES</t>
        </is>
      </c>
      <c r="C2461" t="inlineStr">
        <is>
          <t>Director of Policy</t>
        </is>
      </c>
      <c r="D2461" t="inlineStr">
        <is>
          <t>Directrice des politiques</t>
        </is>
      </c>
      <c r="E2461" t="inlineStr">
        <is>
          <t>Hilary Peirce</t>
        </is>
      </c>
      <c r="F2461" t="inlineStr">
        <is>
          <t>Outreach in Washington</t>
        </is>
      </c>
      <c r="G2461" t="inlineStr">
        <is>
          <t>Activité de sensibilisation à Washington</t>
        </is>
      </c>
      <c r="H2461" s="1" t="n">
        <v>45712</v>
      </c>
      <c r="I2461" s="1" t="n">
        <v>45714</v>
      </c>
      <c r="J2461" t="inlineStr">
        <is>
          <t>Washington, District of Columbia, United States</t>
        </is>
      </c>
      <c r="K2461" t="inlineStr">
        <is>
          <t>Washington, District de Columbia, États-Unis</t>
        </is>
      </c>
      <c r="P2461" t="n">
        <v>1190.31</v>
      </c>
      <c r="Q2461" t="n">
        <v>36.78</v>
      </c>
      <c r="R2461" t="n">
        <v>1085.19</v>
      </c>
      <c r="S2461" t="n">
        <v>250.6</v>
      </c>
      <c r="T2461" t="n">
        <v>0</v>
      </c>
      <c r="U2461" t="n">
        <v>2562.88</v>
      </c>
      <c r="X2461" t="inlineStr">
        <is>
          <t>aafc-aac</t>
        </is>
      </c>
      <c r="Y2461" t="inlineStr">
        <is>
          <t>Agriculture and Agri-Food Canada | Agriculture et Agroalimentaire Canada</t>
        </is>
      </c>
      <c r="Z2461" t="n">
        <v>3</v>
      </c>
      <c r="AA2461" t="n">
        <v>2562.87999999999</v>
      </c>
      <c r="AB2461">
        <f>ROUND(U2461-AA2461,2)</f>
        <v/>
      </c>
      <c r="AC2461" t="b">
        <v>0</v>
      </c>
      <c r="AD2461">
        <f>IF(U2461="","MISSING_TOTAL",IF(ABS(AB2461)&lt;=0.01,"OK","CHECK"))</f>
        <v/>
      </c>
      <c r="AE2461">
        <f>IF(U2461="","MISSING",IF(AND(AA2461&gt;0,U2461/AA2461&gt;50),"POSSIBLE_SCALE_ERROR","OK"))</f>
        <v/>
      </c>
    </row>
    <row r="2462">
      <c r="A2462" t="inlineStr">
        <is>
          <t>T-2025-P12-014</t>
        </is>
      </c>
      <c r="B2462" t="inlineStr">
        <is>
          <t>MPSES</t>
        </is>
      </c>
      <c r="C2462" t="inlineStr">
        <is>
          <t>Executive Assistant</t>
        </is>
      </c>
      <c r="D2462" t="inlineStr">
        <is>
          <t>Adjointe exécutive</t>
        </is>
      </c>
      <c r="E2462" t="inlineStr">
        <is>
          <t>Annabel Da Silva</t>
        </is>
      </c>
      <c r="F2462" t="inlineStr">
        <is>
          <t>To support the Minister attending a clean tech project site visit and meeting with local stakeholders</t>
        </is>
      </c>
      <c r="G2462" t="inlineStr">
        <is>
          <t>Soutenir le ministre participant à la visite d'un site de projet de technologie propre et rencontrant les parties prenantes locales.</t>
        </is>
      </c>
      <c r="H2462" s="1" t="n">
        <v>45715</v>
      </c>
      <c r="I2462" s="1" t="n">
        <v>45718</v>
      </c>
      <c r="J2462" t="inlineStr">
        <is>
          <t>Charlottetown, Prince Edward Island, Canada</t>
        </is>
      </c>
      <c r="K2462" t="inlineStr">
        <is>
          <t>Charlottetown, Île-du-Prince-Édouard, Canada</t>
        </is>
      </c>
      <c r="P2462" t="n">
        <v>977.74</v>
      </c>
      <c r="Q2462" t="n">
        <v>224.76</v>
      </c>
      <c r="R2462" t="n">
        <v>196.82</v>
      </c>
      <c r="S2462" t="n">
        <v>138.8</v>
      </c>
      <c r="T2462" t="n">
        <v>0</v>
      </c>
      <c r="U2462" t="n">
        <v>1538.12</v>
      </c>
      <c r="X2462" t="inlineStr">
        <is>
          <t>aafc-aac</t>
        </is>
      </c>
      <c r="Y2462" t="inlineStr">
        <is>
          <t>Agriculture and Agri-Food Canada | Agriculture et Agroalimentaire Canada</t>
        </is>
      </c>
      <c r="Z2462" t="n">
        <v>4</v>
      </c>
      <c r="AA2462" t="n">
        <v>1538.12</v>
      </c>
      <c r="AB2462">
        <f>ROUND(U2462-AA2462,2)</f>
        <v/>
      </c>
      <c r="AC2462" t="b">
        <v>0</v>
      </c>
      <c r="AD2462">
        <f>IF(U2462="","MISSING_TOTAL",IF(ABS(AB2462)&lt;=0.01,"OK","CHECK"))</f>
        <v/>
      </c>
      <c r="AE2462">
        <f>IF(U2462="","MISSING",IF(AND(AA2462&gt;0,U2462/AA2462&gt;50),"POSSIBLE_SCALE_ERROR","OK"))</f>
        <v/>
      </c>
    </row>
    <row r="2463">
      <c r="A2463" t="inlineStr">
        <is>
          <t>T-2025-P12-015</t>
        </is>
      </c>
      <c r="B2463" t="inlineStr">
        <is>
          <t>SLE</t>
        </is>
      </c>
      <c r="C2463" t="inlineStr">
        <is>
          <t>Deputy Minister</t>
        </is>
      </c>
      <c r="D2463" t="inlineStr">
        <is>
          <t>Sous-ministre</t>
        </is>
      </c>
      <c r="E2463" t="inlineStr">
        <is>
          <t>Lawrence Hanson</t>
        </is>
      </c>
      <c r="F2463" t="inlineStr">
        <is>
          <t>To attend a roundtable meeting</t>
        </is>
      </c>
      <c r="G2463" t="inlineStr">
        <is>
          <t>Participer à une table ronde</t>
        </is>
      </c>
      <c r="H2463" s="1" t="n">
        <v>45708</v>
      </c>
      <c r="I2463" s="1" t="n">
        <v>45710</v>
      </c>
      <c r="J2463" t="inlineStr">
        <is>
          <t>Charlottetown, Prince Edward Island, Canada</t>
        </is>
      </c>
      <c r="K2463" t="inlineStr">
        <is>
          <t>Charlottetown, Île-du-Prince-Édouard, Canada</t>
        </is>
      </c>
      <c r="P2463" t="n">
        <v>1012.66</v>
      </c>
      <c r="Q2463" t="n">
        <v>63.8</v>
      </c>
      <c r="R2463" t="n">
        <v>475.54</v>
      </c>
      <c r="S2463" t="n">
        <v>302.5</v>
      </c>
      <c r="T2463" t="n">
        <v>0</v>
      </c>
      <c r="U2463" t="n">
        <v>1854.5</v>
      </c>
      <c r="X2463" t="inlineStr">
        <is>
          <t>aafc-aac</t>
        </is>
      </c>
      <c r="Y2463" t="inlineStr">
        <is>
          <t>Agriculture and Agri-Food Canada | Agriculture et Agroalimentaire Canada</t>
        </is>
      </c>
      <c r="Z2463" t="n">
        <v>3</v>
      </c>
      <c r="AA2463" t="n">
        <v>1854.5</v>
      </c>
      <c r="AB2463">
        <f>ROUND(U2463-AA2463,2)</f>
        <v/>
      </c>
      <c r="AC2463" t="b">
        <v>0</v>
      </c>
      <c r="AD2463">
        <f>IF(U2463="","MISSING_TOTAL",IF(ABS(AB2463)&lt;=0.01,"OK","CHECK"))</f>
        <v/>
      </c>
      <c r="AE2463">
        <f>IF(U2463="","MISSING",IF(AND(AA2463&gt;0,U2463/AA2463&gt;50),"POSSIBLE_SCALE_ERROR","OK"))</f>
        <v/>
      </c>
    </row>
    <row r="2464">
      <c r="A2464" t="inlineStr">
        <is>
          <t>T-2025-P12-016</t>
        </is>
      </c>
      <c r="B2464" t="inlineStr">
        <is>
          <t>SLE</t>
        </is>
      </c>
      <c r="C2464" t="inlineStr">
        <is>
          <t>Deputy Minister</t>
        </is>
      </c>
      <c r="D2464" t="inlineStr">
        <is>
          <t>Sous-ministre</t>
        </is>
      </c>
      <c r="E2464" t="inlineStr">
        <is>
          <t>Lawrence Hanson</t>
        </is>
      </c>
      <c r="F2464" t="inlineStr">
        <is>
          <t>Outreach in Washington</t>
        </is>
      </c>
      <c r="G2464" t="inlineStr">
        <is>
          <t>Activité de sensibilisation à Washington</t>
        </is>
      </c>
      <c r="H2464" s="1" t="n">
        <v>45712</v>
      </c>
      <c r="I2464" s="1" t="n">
        <v>45714</v>
      </c>
      <c r="J2464" t="inlineStr">
        <is>
          <t>Washington, District de Columbia, États-Unis</t>
        </is>
      </c>
      <c r="K2464" t="inlineStr">
        <is>
          <t>Washington, District de Columbia, États-Unis</t>
        </is>
      </c>
      <c r="P2464" t="n">
        <v>1021.78</v>
      </c>
      <c r="Q2464" t="n">
        <v>0</v>
      </c>
      <c r="R2464" t="n">
        <v>1103.29</v>
      </c>
      <c r="S2464" t="n">
        <v>351.1</v>
      </c>
      <c r="T2464" t="n">
        <v>0</v>
      </c>
      <c r="U2464" t="n">
        <v>2476.17</v>
      </c>
      <c r="X2464" t="inlineStr">
        <is>
          <t>aafc-aac</t>
        </is>
      </c>
      <c r="Y2464" t="inlineStr">
        <is>
          <t>Agriculture and Agri-Food Canada | Agriculture et Agroalimentaire Canada</t>
        </is>
      </c>
      <c r="Z2464" t="n">
        <v>3</v>
      </c>
      <c r="AA2464" t="n">
        <v>2476.16999999999</v>
      </c>
      <c r="AB2464">
        <f>ROUND(U2464-AA2464,2)</f>
        <v/>
      </c>
      <c r="AC2464" t="b">
        <v>0</v>
      </c>
      <c r="AD2464">
        <f>IF(U2464="","MISSING_TOTAL",IF(ABS(AB2464)&lt;=0.01,"OK","CHECK"))</f>
        <v/>
      </c>
      <c r="AE2464">
        <f>IF(U2464="","MISSING",IF(AND(AA2464&gt;0,U2464/AA2464&gt;50),"POSSIBLE_SCALE_ERROR","OK"))</f>
        <v/>
      </c>
    </row>
    <row r="2465">
      <c r="A2465" t="inlineStr">
        <is>
          <t>T-2025-P12-017</t>
        </is>
      </c>
      <c r="B2465" t="inlineStr">
        <is>
          <t>SLE</t>
        </is>
      </c>
      <c r="C2465" t="inlineStr">
        <is>
          <t>Deputy Minister</t>
        </is>
      </c>
      <c r="D2465" t="inlineStr">
        <is>
          <t>Sous-ministre</t>
        </is>
      </c>
      <c r="E2465" t="inlineStr">
        <is>
          <t>Lawrence Hanson</t>
        </is>
      </c>
      <c r="F2465" t="inlineStr">
        <is>
          <t>To support the Minister attending meetings with the United States Agriculture Secretary</t>
        </is>
      </c>
      <c r="G2465" t="inlineStr">
        <is>
          <t>Soutenir le ministre participant à des réunions avec le secrétaire américain à l'agriculture.</t>
        </is>
      </c>
      <c r="H2465" s="1" t="n">
        <v>45716</v>
      </c>
      <c r="I2465" s="1" t="n">
        <v>45718</v>
      </c>
      <c r="J2465" t="inlineStr">
        <is>
          <t>Charlottetown, Prince Edward Island, Canada</t>
        </is>
      </c>
      <c r="K2465" t="inlineStr">
        <is>
          <t>Charlottetown, Île-du-Prince-Édouard, Canada</t>
        </is>
      </c>
      <c r="P2465" t="n">
        <v>155.39</v>
      </c>
      <c r="Q2465" t="n">
        <v>25</v>
      </c>
      <c r="R2465" t="n">
        <v>492.76</v>
      </c>
      <c r="S2465" t="n">
        <v>275.5</v>
      </c>
      <c r="T2465" t="n">
        <v>0</v>
      </c>
      <c r="U2465" t="n">
        <v>948.65</v>
      </c>
      <c r="X2465" t="inlineStr">
        <is>
          <t>aafc-aac</t>
        </is>
      </c>
      <c r="Y2465" t="inlineStr">
        <is>
          <t>Agriculture and Agri-Food Canada | Agriculture et Agroalimentaire Canada</t>
        </is>
      </c>
      <c r="Z2465" t="n">
        <v>3</v>
      </c>
      <c r="AA2465" t="n">
        <v>948.65</v>
      </c>
      <c r="AB2465">
        <f>ROUND(U2465-AA2465,2)</f>
        <v/>
      </c>
      <c r="AC2465" t="b">
        <v>0</v>
      </c>
      <c r="AD2465">
        <f>IF(U2465="","MISSING_TOTAL",IF(ABS(AB2465)&lt;=0.01,"OK","CHECK"))</f>
        <v/>
      </c>
      <c r="AE2465">
        <f>IF(U2465="","MISSING",IF(AND(AA2465&gt;0,U2465/AA2465&gt;50),"POSSIBLE_SCALE_ERROR","OK"))</f>
        <v/>
      </c>
    </row>
    <row r="2466">
      <c r="A2466" t="inlineStr">
        <is>
          <t>T-2025-P12-018</t>
        </is>
      </c>
      <c r="B2466" t="inlineStr">
        <is>
          <t>SLE</t>
        </is>
      </c>
      <c r="C2466" t="inlineStr">
        <is>
          <t>Deputy Minister</t>
        </is>
      </c>
      <c r="D2466" t="inlineStr">
        <is>
          <t>Sous-ministre</t>
        </is>
      </c>
      <c r="E2466" t="inlineStr">
        <is>
          <t>Lawrence Hanson</t>
        </is>
      </c>
      <c r="F2466" t="inlineStr">
        <is>
          <t>To attend an Outreach in Vancouver</t>
        </is>
      </c>
      <c r="G2466" t="inlineStr">
        <is>
          <t>Participer à une action de sensibilisation à Vancouver</t>
        </is>
      </c>
      <c r="H2466" s="1" t="n">
        <v>45718</v>
      </c>
      <c r="I2466" s="1" t="n">
        <v>45722</v>
      </c>
      <c r="J2466" t="inlineStr">
        <is>
          <t>Vancouver, British Columbia, Canada</t>
        </is>
      </c>
      <c r="K2466" t="inlineStr">
        <is>
          <t>Vancouver, Colombie-Britannique, Canada</t>
        </is>
      </c>
      <c r="P2466" t="n">
        <v>4307.36</v>
      </c>
      <c r="Q2466" t="n">
        <v>147.21</v>
      </c>
      <c r="R2466" t="n">
        <v>1284.78</v>
      </c>
      <c r="S2466" t="n">
        <v>563.55</v>
      </c>
      <c r="T2466" t="n">
        <v>0</v>
      </c>
      <c r="U2466" t="n">
        <v>6302.9</v>
      </c>
      <c r="X2466" t="inlineStr">
        <is>
          <t>aafc-aac</t>
        </is>
      </c>
      <c r="Y2466" t="inlineStr">
        <is>
          <t>Agriculture and Agri-Food Canada | Agriculture et Agroalimentaire Canada</t>
        </is>
      </c>
      <c r="Z2466" t="n">
        <v>5</v>
      </c>
      <c r="AA2466" t="n">
        <v>6302.9</v>
      </c>
      <c r="AB2466">
        <f>ROUND(U2466-AA2466,2)</f>
        <v/>
      </c>
      <c r="AC2466" t="b">
        <v>0</v>
      </c>
      <c r="AD2466">
        <f>IF(U2466="","MISSING_TOTAL",IF(ABS(AB2466)&lt;=0.01,"OK","CHECK"))</f>
        <v/>
      </c>
      <c r="AE2466">
        <f>IF(U2466="","MISSING",IF(AND(AA2466&gt;0,U2466/AA2466&gt;50),"POSSIBLE_SCALE_ERROR","OK"))</f>
        <v/>
      </c>
    </row>
    <row r="2467">
      <c r="A2467" t="inlineStr">
        <is>
          <t>T-2025-P12-019</t>
        </is>
      </c>
      <c r="B2467" t="inlineStr">
        <is>
          <t>SLE</t>
        </is>
      </c>
      <c r="C2467" t="inlineStr">
        <is>
          <t>Corporate Secretary</t>
        </is>
      </c>
      <c r="D2467" t="inlineStr">
        <is>
          <t>Secrétaire générale</t>
        </is>
      </c>
      <c r="E2467" t="inlineStr">
        <is>
          <t>Tamara Abel</t>
        </is>
      </c>
      <c r="F2467" t="inlineStr">
        <is>
          <t>Operational activities</t>
        </is>
      </c>
      <c r="G2467" t="inlineStr">
        <is>
          <t>Activités opérationnelles</t>
        </is>
      </c>
      <c r="H2467" s="1" t="n">
        <v>45712</v>
      </c>
      <c r="I2467" s="1" t="n">
        <v>45715</v>
      </c>
      <c r="J2467" t="inlineStr">
        <is>
          <t>Ottawa, Ontario, Canada</t>
        </is>
      </c>
      <c r="K2467" t="inlineStr">
        <is>
          <t>Ottawa, Ontario, Canada</t>
        </is>
      </c>
      <c r="P2467" t="n">
        <v>437</v>
      </c>
      <c r="Q2467" t="n">
        <v>248.94</v>
      </c>
      <c r="R2467" t="n">
        <v>543.42</v>
      </c>
      <c r="S2467" t="n">
        <v>332.35</v>
      </c>
      <c r="T2467" t="n">
        <v>0</v>
      </c>
      <c r="U2467" t="n">
        <v>1561.71</v>
      </c>
      <c r="X2467" t="inlineStr">
        <is>
          <t>aafc-aac</t>
        </is>
      </c>
      <c r="Y2467" t="inlineStr">
        <is>
          <t>Agriculture and Agri-Food Canada | Agriculture et Agroalimentaire Canada</t>
        </is>
      </c>
      <c r="Z2467" t="n">
        <v>4</v>
      </c>
      <c r="AA2467" t="n">
        <v>1561.71</v>
      </c>
      <c r="AB2467">
        <f>ROUND(U2467-AA2467,2)</f>
        <v/>
      </c>
      <c r="AC2467" t="b">
        <v>0</v>
      </c>
      <c r="AD2467">
        <f>IF(U2467="","MISSING_TOTAL",IF(ABS(AB2467)&lt;=0.01,"OK","CHECK"))</f>
        <v/>
      </c>
      <c r="AE2467">
        <f>IF(U2467="","MISSING",IF(AND(AA2467&gt;0,U2467/AA2467&gt;50),"POSSIBLE_SCALE_ERROR","OK"))</f>
        <v/>
      </c>
    </row>
    <row r="2468">
      <c r="A2468" t="inlineStr">
        <is>
          <t>T-2025-P12-020</t>
        </is>
      </c>
      <c r="B2468" t="inlineStr">
        <is>
          <t>SLE</t>
        </is>
      </c>
      <c r="C2468" t="inlineStr">
        <is>
          <t>Workplace Well-Being Ombudsperson</t>
        </is>
      </c>
      <c r="D2468" t="inlineStr">
        <is>
          <t>Ombudsman du mieux-être en milieu de travail</t>
        </is>
      </c>
      <c r="E2468" t="inlineStr">
        <is>
          <t>Elianne Hall</t>
        </is>
      </c>
      <c r="F2468" t="inlineStr">
        <is>
          <t>To attend an Outreach</t>
        </is>
      </c>
      <c r="G2468" t="inlineStr">
        <is>
          <t>Participer à une action de sensibilisation</t>
        </is>
      </c>
      <c r="H2468" s="1" t="n">
        <v>45706</v>
      </c>
      <c r="I2468" s="1" t="n">
        <v>45709</v>
      </c>
      <c r="J2468" t="inlineStr">
        <is>
          <t>Harrow, Ontario, Canada</t>
        </is>
      </c>
      <c r="K2468" t="inlineStr">
        <is>
          <t>Harrow, Ontario, Canada</t>
        </is>
      </c>
      <c r="P2468" t="n">
        <v>639.76</v>
      </c>
      <c r="Q2468" t="n">
        <v>392.88</v>
      </c>
      <c r="R2468" t="n">
        <v>551.4400000000001</v>
      </c>
      <c r="S2468" t="n">
        <v>516.4</v>
      </c>
      <c r="T2468" t="n">
        <v>0</v>
      </c>
      <c r="U2468" t="n">
        <v>2100.48</v>
      </c>
      <c r="X2468" t="inlineStr">
        <is>
          <t>aafc-aac</t>
        </is>
      </c>
      <c r="Y2468" t="inlineStr">
        <is>
          <t>Agriculture and Agri-Food Canada | Agriculture et Agroalimentaire Canada</t>
        </is>
      </c>
      <c r="Z2468" t="n">
        <v>4</v>
      </c>
      <c r="AA2468" t="n">
        <v>2100.48</v>
      </c>
      <c r="AB2468">
        <f>ROUND(U2468-AA2468,2)</f>
        <v/>
      </c>
      <c r="AC2468" t="b">
        <v>0</v>
      </c>
      <c r="AD2468">
        <f>IF(U2468="","MISSING_TOTAL",IF(ABS(AB2468)&lt;=0.01,"OK","CHECK"))</f>
        <v/>
      </c>
      <c r="AE2468">
        <f>IF(U2468="","MISSING",IF(AND(AA2468&gt;0,U2468/AA2468&gt;50),"POSSIBLE_SCALE_ERROR","OK"))</f>
        <v/>
      </c>
    </row>
    <row r="2469">
      <c r="A2469" t="inlineStr">
        <is>
          <t>T-2025-P12-021</t>
        </is>
      </c>
      <c r="B2469" t="inlineStr">
        <is>
          <t>SLE</t>
        </is>
      </c>
      <c r="C2469" t="inlineStr">
        <is>
          <t>Assistant Deputy Minister, Science and Technology Branch</t>
        </is>
      </c>
      <c r="D2469" t="inlineStr">
        <is>
          <t>Sous-ministre adjoint, Direction générale des sciences et de la technologie</t>
        </is>
      </c>
      <c r="E2469" t="inlineStr">
        <is>
          <t>Gilles Saindon</t>
        </is>
      </c>
      <c r="F2469" t="inlineStr">
        <is>
          <t>To attend an Outreach to Alberta</t>
        </is>
      </c>
      <c r="G2469" t="inlineStr">
        <is>
          <t>Participer à une activité de sensibilisation en Alberta</t>
        </is>
      </c>
      <c r="H2469" s="1" t="n">
        <v>45734</v>
      </c>
      <c r="I2469" s="1" t="n">
        <v>45737</v>
      </c>
      <c r="J2469" t="inlineStr">
        <is>
          <t>Calgary, Alberta, Canada</t>
        </is>
      </c>
      <c r="K2469" t="inlineStr">
        <is>
          <t>Calgary, Alberta, Canada</t>
        </is>
      </c>
      <c r="L2469" t="inlineStr">
        <is>
          <t>Lethbridge, Alberta, Canada</t>
        </is>
      </c>
      <c r="M2469" t="inlineStr">
        <is>
          <t>Lethbridge, Alberta, Canada</t>
        </is>
      </c>
      <c r="P2469" t="n">
        <v>1596.08</v>
      </c>
      <c r="Q2469" t="n">
        <v>199</v>
      </c>
      <c r="R2469" t="n">
        <v>453.15</v>
      </c>
      <c r="S2469" t="n">
        <v>348.7</v>
      </c>
      <c r="T2469" t="n">
        <v>0</v>
      </c>
      <c r="U2469" t="n">
        <v>2596.93</v>
      </c>
      <c r="X2469" t="inlineStr">
        <is>
          <t>aafc-aac</t>
        </is>
      </c>
      <c r="Y2469" t="inlineStr">
        <is>
          <t>Agriculture and Agri-Food Canada | Agriculture et Agroalimentaire Canada</t>
        </is>
      </c>
      <c r="Z2469" t="n">
        <v>4</v>
      </c>
      <c r="AA2469" t="n">
        <v>2596.93</v>
      </c>
      <c r="AB2469">
        <f>ROUND(U2469-AA2469,2)</f>
        <v/>
      </c>
      <c r="AC2469" t="b">
        <v>0</v>
      </c>
      <c r="AD2469">
        <f>IF(U2469="","MISSING_TOTAL",IF(ABS(AB2469)&lt;=0.01,"OK","CHECK"))</f>
        <v/>
      </c>
      <c r="AE2469">
        <f>IF(U2469="","MISSING",IF(AND(AA2469&gt;0,U2469/AA2469&gt;50),"POSSIBLE_SCALE_ERROR","OK"))</f>
        <v/>
      </c>
    </row>
    <row r="2470">
      <c r="A2470" t="inlineStr">
        <is>
          <t>T-2025-P12-022</t>
        </is>
      </c>
      <c r="B2470" t="inlineStr">
        <is>
          <t>SLE</t>
        </is>
      </c>
      <c r="C2470" t="inlineStr">
        <is>
          <t>Assistant Deputy Minister, International Affairs Branch</t>
        </is>
      </c>
      <c r="D2470" t="inlineStr">
        <is>
          <t>Sous-ministre adjointe, Direction générale des affaires internationales</t>
        </is>
      </c>
      <c r="E2470" t="inlineStr">
        <is>
          <t>Kathleen Donohue</t>
        </is>
      </c>
      <c r="F2470" t="inlineStr">
        <is>
          <t>To attend a meeting in Ottawa</t>
        </is>
      </c>
      <c r="G2470" t="inlineStr">
        <is>
          <t>Assister à une réunion à Ottawa</t>
        </is>
      </c>
      <c r="H2470" s="1" t="n">
        <v>45722</v>
      </c>
      <c r="I2470" s="1" t="n">
        <v>45722</v>
      </c>
      <c r="J2470" t="inlineStr">
        <is>
          <t>Ottawa, Ontario, Canada</t>
        </is>
      </c>
      <c r="K2470" t="inlineStr">
        <is>
          <t>Ottawa, Ontario, Canada</t>
        </is>
      </c>
      <c r="P2470" t="n">
        <v>0</v>
      </c>
      <c r="Q2470" t="n">
        <v>15.63</v>
      </c>
      <c r="R2470" t="n">
        <v>0</v>
      </c>
      <c r="S2470" t="n">
        <v>0</v>
      </c>
      <c r="T2470" t="n">
        <v>0</v>
      </c>
      <c r="U2470" t="n">
        <v>15.63</v>
      </c>
      <c r="X2470" t="inlineStr">
        <is>
          <t>aafc-aac</t>
        </is>
      </c>
      <c r="Y2470" t="inlineStr">
        <is>
          <t>Agriculture and Agri-Food Canada | Agriculture et Agroalimentaire Canada</t>
        </is>
      </c>
      <c r="Z2470" t="n">
        <v>1</v>
      </c>
      <c r="AA2470" t="n">
        <v>15.63</v>
      </c>
      <c r="AB2470">
        <f>ROUND(U2470-AA2470,2)</f>
        <v/>
      </c>
      <c r="AC2470" t="b">
        <v>0</v>
      </c>
      <c r="AD2470">
        <f>IF(U2470="","MISSING_TOTAL",IF(ABS(AB2470)&lt;=0.01,"OK","CHECK"))</f>
        <v/>
      </c>
      <c r="AE2470">
        <f>IF(U2470="","MISSING",IF(AND(AA2470&gt;0,U2470/AA2470&gt;50),"POSSIBLE_SCALE_ERROR","OK"))</f>
        <v/>
      </c>
    </row>
    <row r="2471">
      <c r="A2471" t="inlineStr">
        <is>
          <t>T-2025-P12-023</t>
        </is>
      </c>
      <c r="B2471" t="inlineStr">
        <is>
          <t>SLE</t>
        </is>
      </c>
      <c r="C2471" t="inlineStr">
        <is>
          <t>Assistant Deputy Minister, Corporate Management Branch</t>
        </is>
      </c>
      <c r="D2471" t="inlineStr">
        <is>
          <t>Sous-ministre adjointe, Direction générale de la gestion intégrée</t>
        </is>
      </c>
      <c r="E2471" t="inlineStr">
        <is>
          <t>Marie-Claude Guérard</t>
        </is>
      </c>
      <c r="F2471" t="inlineStr">
        <is>
          <t>To attend a Retirement Course in Ottawa</t>
        </is>
      </c>
      <c r="G2471" t="inlineStr">
        <is>
          <t>Assister une formation de retraite à Ottawa</t>
        </is>
      </c>
      <c r="H2471" s="1" t="n">
        <v>45718</v>
      </c>
      <c r="I2471" s="1" t="n">
        <v>45721</v>
      </c>
      <c r="J2471" t="inlineStr">
        <is>
          <t>Ottawa, Ontario, Canada</t>
        </is>
      </c>
      <c r="K2471" t="inlineStr">
        <is>
          <t>Ottawa, Ontario, Canada</t>
        </is>
      </c>
      <c r="P2471" t="n">
        <v>0</v>
      </c>
      <c r="Q2471" t="n">
        <v>403.16</v>
      </c>
      <c r="R2471" t="n">
        <v>815.13</v>
      </c>
      <c r="S2471" t="n">
        <v>404.6</v>
      </c>
      <c r="T2471" t="n">
        <v>0</v>
      </c>
      <c r="U2471" t="n">
        <v>1622.89</v>
      </c>
      <c r="X2471" t="inlineStr">
        <is>
          <t>aafc-aac</t>
        </is>
      </c>
      <c r="Y2471" t="inlineStr">
        <is>
          <t>Agriculture and Agri-Food Canada | Agriculture et Agroalimentaire Canada</t>
        </is>
      </c>
      <c r="Z2471" t="n">
        <v>4</v>
      </c>
      <c r="AA2471" t="n">
        <v>1622.88999999999</v>
      </c>
      <c r="AB2471">
        <f>ROUND(U2471-AA2471,2)</f>
        <v/>
      </c>
      <c r="AC2471" t="b">
        <v>0</v>
      </c>
      <c r="AD2471">
        <f>IF(U2471="","MISSING_TOTAL",IF(ABS(AB2471)&lt;=0.01,"OK","CHECK"))</f>
        <v/>
      </c>
      <c r="AE2471">
        <f>IF(U2471="","MISSING",IF(AND(AA2471&gt;0,U2471/AA2471&gt;50),"POSSIBLE_SCALE_ERROR","OK"))</f>
        <v/>
      </c>
    </row>
    <row r="2472">
      <c r="A2472" t="inlineStr">
        <is>
          <t>T-2025-P12-024</t>
        </is>
      </c>
      <c r="B2472" t="inlineStr">
        <is>
          <t>SLE</t>
        </is>
      </c>
      <c r="C2472" t="inlineStr">
        <is>
          <t>Assistant Deputy Minister, Strategic Policy Branch</t>
        </is>
      </c>
      <c r="D2472" t="inlineStr">
        <is>
          <t>Sous-ministre adjointe, Direction générale des politiques stratégiques</t>
        </is>
      </c>
      <c r="E2472" t="inlineStr">
        <is>
          <t>Shannon Nix</t>
        </is>
      </c>
      <c r="F2472" t="inlineStr">
        <is>
          <t>To attend an Ontario outreach</t>
        </is>
      </c>
      <c r="G2472" t="inlineStr">
        <is>
          <t>Participer à une activité de sensibilisation en Ontario</t>
        </is>
      </c>
      <c r="H2472" s="1" t="n">
        <v>45714</v>
      </c>
      <c r="I2472" s="1" t="n">
        <v>45716</v>
      </c>
      <c r="J2472" t="inlineStr">
        <is>
          <t>Toronto, Ontario, Canada</t>
        </is>
      </c>
      <c r="K2472" t="inlineStr">
        <is>
          <t>Toronto, Ontario, Canada</t>
        </is>
      </c>
      <c r="L2472" t="inlineStr">
        <is>
          <t>Guelph, Ontario, Canada</t>
        </is>
      </c>
      <c r="M2472" t="inlineStr">
        <is>
          <t>Guelph, Ontario, Canada</t>
        </is>
      </c>
      <c r="P2472" t="n">
        <v>1480.05</v>
      </c>
      <c r="Q2472" t="n">
        <v>248.89</v>
      </c>
      <c r="R2472" t="n">
        <v>615.97</v>
      </c>
      <c r="S2472" t="n">
        <v>248.5</v>
      </c>
      <c r="T2472" t="n">
        <v>0</v>
      </c>
      <c r="U2472" t="n">
        <v>2593.41</v>
      </c>
      <c r="X2472" t="inlineStr">
        <is>
          <t>aafc-aac</t>
        </is>
      </c>
      <c r="Y2472" t="inlineStr">
        <is>
          <t>Agriculture and Agri-Food Canada | Agriculture et Agroalimentaire Canada</t>
        </is>
      </c>
      <c r="Z2472" t="n">
        <v>3</v>
      </c>
      <c r="AA2472" t="n">
        <v>2593.41</v>
      </c>
      <c r="AB2472">
        <f>ROUND(U2472-AA2472,2)</f>
        <v/>
      </c>
      <c r="AC2472" t="b">
        <v>0</v>
      </c>
      <c r="AD2472">
        <f>IF(U2472="","MISSING_TOTAL",IF(ABS(AB2472)&lt;=0.01,"OK","CHECK"))</f>
        <v/>
      </c>
      <c r="AE2472">
        <f>IF(U2472="","MISSING",IF(AND(AA2472&gt;0,U2472/AA2472&gt;50),"POSSIBLE_SCALE_ERROR","OK"))</f>
        <v/>
      </c>
    </row>
    <row r="2473">
      <c r="A2473" t="inlineStr">
        <is>
          <t>T-2025-P12-025</t>
        </is>
      </c>
      <c r="B2473" t="inlineStr">
        <is>
          <t>SLE</t>
        </is>
      </c>
      <c r="C2473" t="inlineStr">
        <is>
          <t>Assistant Deputy Minister, Strategic Policy Branch</t>
        </is>
      </c>
      <c r="D2473" t="inlineStr">
        <is>
          <t>Sous-ministre adjointe, Direction générale des politiques stratégiques</t>
        </is>
      </c>
      <c r="E2473" t="inlineStr">
        <is>
          <t>Shannon Nix</t>
        </is>
      </c>
      <c r="F2473" t="inlineStr">
        <is>
          <t>To attend the Canadian Crops Convention</t>
        </is>
      </c>
      <c r="G2473" t="inlineStr">
        <is>
          <t>Participer à la convention canadienne sur les récoltes</t>
        </is>
      </c>
      <c r="H2473" s="1" t="n">
        <v>45720</v>
      </c>
      <c r="I2473" s="1" t="n">
        <v>45723</v>
      </c>
      <c r="J2473" t="inlineStr">
        <is>
          <t>Edmonton, Alberta, Canada</t>
        </is>
      </c>
      <c r="K2473" t="inlineStr">
        <is>
          <t>Edmonton, Alberta, Canada</t>
        </is>
      </c>
      <c r="P2473" t="n">
        <v>1619.46</v>
      </c>
      <c r="Q2473" t="n">
        <v>195.11</v>
      </c>
      <c r="R2473" t="n">
        <v>649.26</v>
      </c>
      <c r="S2473" t="n">
        <v>375.7</v>
      </c>
      <c r="T2473" t="n">
        <v>10.76</v>
      </c>
      <c r="U2473" t="n">
        <v>2850.29</v>
      </c>
      <c r="X2473" t="inlineStr">
        <is>
          <t>aafc-aac</t>
        </is>
      </c>
      <c r="Y2473" t="inlineStr">
        <is>
          <t>Agriculture and Agri-Food Canada | Agriculture et Agroalimentaire Canada</t>
        </is>
      </c>
      <c r="Z2473" t="n">
        <v>4</v>
      </c>
      <c r="AA2473" t="n">
        <v>2850.29</v>
      </c>
      <c r="AB2473">
        <f>ROUND(U2473-AA2473,2)</f>
        <v/>
      </c>
      <c r="AC2473" t="b">
        <v>0</v>
      </c>
      <c r="AD2473">
        <f>IF(U2473="","MISSING_TOTAL",IF(ABS(AB2473)&lt;=0.01,"OK","CHECK"))</f>
        <v/>
      </c>
      <c r="AE2473">
        <f>IF(U2473="","MISSING",IF(AND(AA2473&gt;0,U2473/AA2473&gt;50),"POSSIBLE_SCALE_ERROR","OK"))</f>
        <v/>
      </c>
    </row>
    <row r="2474">
      <c r="A2474" t="inlineStr">
        <is>
          <t>T-2025-P12-026</t>
        </is>
      </c>
      <c r="B2474" t="inlineStr">
        <is>
          <t>SLE</t>
        </is>
      </c>
      <c r="C2474" t="inlineStr">
        <is>
          <t>Assistant Deputy Minister, Strategic Policy Branch</t>
        </is>
      </c>
      <c r="D2474" t="inlineStr">
        <is>
          <t>Sous-ministre adjointe, Direction générale des politiques stratégiques</t>
        </is>
      </c>
      <c r="E2474" t="inlineStr">
        <is>
          <t>Shannon Nix</t>
        </is>
      </c>
      <c r="F2474" t="inlineStr">
        <is>
          <t>To attend a meeting in Ottawa</t>
        </is>
      </c>
      <c r="G2474" t="inlineStr">
        <is>
          <t>Participer à une rencontre à Ottawa</t>
        </is>
      </c>
      <c r="H2474" s="1" t="n">
        <v>45714</v>
      </c>
      <c r="I2474" s="1" t="n">
        <v>45714</v>
      </c>
      <c r="J2474" t="inlineStr">
        <is>
          <t>Ottawa, Ontario, Canada</t>
        </is>
      </c>
      <c r="K2474" t="inlineStr">
        <is>
          <t>Ottawa, Ontario, Canada</t>
        </is>
      </c>
      <c r="P2474" t="n">
        <v>0</v>
      </c>
      <c r="Q2474" t="n">
        <v>20.78</v>
      </c>
      <c r="R2474" t="n">
        <v>0</v>
      </c>
      <c r="S2474" t="n">
        <v>0</v>
      </c>
      <c r="T2474" t="n">
        <v>0</v>
      </c>
      <c r="U2474" t="n">
        <v>20.78</v>
      </c>
      <c r="X2474" t="inlineStr">
        <is>
          <t>aafc-aac</t>
        </is>
      </c>
      <c r="Y2474" t="inlineStr">
        <is>
          <t>Agriculture and Agri-Food Canada | Agriculture et Agroalimentaire Canada</t>
        </is>
      </c>
      <c r="Z2474" t="n">
        <v>1</v>
      </c>
      <c r="AA2474" t="n">
        <v>20.78</v>
      </c>
      <c r="AB2474">
        <f>ROUND(U2474-AA2474,2)</f>
        <v/>
      </c>
      <c r="AC2474" t="b">
        <v>0</v>
      </c>
      <c r="AD2474">
        <f>IF(U2474="","MISSING_TOTAL",IF(ABS(AB2474)&lt;=0.01,"OK","CHECK"))</f>
        <v/>
      </c>
      <c r="AE2474">
        <f>IF(U2474="","MISSING",IF(AND(AA2474&gt;0,U2474/AA2474&gt;50),"POSSIBLE_SCALE_ERROR","OK"))</f>
        <v/>
      </c>
    </row>
    <row r="2475">
      <c r="A2475" t="inlineStr">
        <is>
          <t>T-2025-P12-027</t>
        </is>
      </c>
      <c r="B2475" t="inlineStr">
        <is>
          <t>SLE</t>
        </is>
      </c>
      <c r="C2475" t="inlineStr">
        <is>
          <t>Assistant Deputy Minister, Strategic Policy Branch</t>
        </is>
      </c>
      <c r="D2475" t="inlineStr">
        <is>
          <t>Sous-ministre adjointe, Direction générale des politiques stratégiques</t>
        </is>
      </c>
      <c r="E2475" t="inlineStr">
        <is>
          <t>Shannon Nix</t>
        </is>
      </c>
      <c r="F2475" t="inlineStr">
        <is>
          <t>To attend a meeting in Ottawa</t>
        </is>
      </c>
      <c r="G2475" t="inlineStr">
        <is>
          <t>Participer à une rencontre à Ottawa</t>
        </is>
      </c>
      <c r="H2475" s="1" t="n">
        <v>45735</v>
      </c>
      <c r="I2475" s="1" t="n">
        <v>45735</v>
      </c>
      <c r="J2475" t="inlineStr">
        <is>
          <t>Ottawa, Ontario, Canada</t>
        </is>
      </c>
      <c r="K2475" t="inlineStr">
        <is>
          <t>Ottawa, Ontario, Canada</t>
        </is>
      </c>
      <c r="P2475" t="n">
        <v>0</v>
      </c>
      <c r="Q2475" t="n">
        <v>6.1</v>
      </c>
      <c r="R2475" t="n">
        <v>0</v>
      </c>
      <c r="S2475" t="n">
        <v>0</v>
      </c>
      <c r="T2475" t="n">
        <v>0</v>
      </c>
      <c r="U2475" t="n">
        <v>6.1</v>
      </c>
      <c r="X2475" t="inlineStr">
        <is>
          <t>aafc-aac</t>
        </is>
      </c>
      <c r="Y2475" t="inlineStr">
        <is>
          <t>Agriculture and Agri-Food Canada | Agriculture et Agroalimentaire Canada</t>
        </is>
      </c>
      <c r="Z2475" t="n">
        <v>1</v>
      </c>
      <c r="AA2475" t="n">
        <v>6.1</v>
      </c>
      <c r="AB2475">
        <f>ROUND(U2475-AA2475,2)</f>
        <v/>
      </c>
      <c r="AC2475" t="b">
        <v>0</v>
      </c>
      <c r="AD2475">
        <f>IF(U2475="","MISSING_TOTAL",IF(ABS(AB2475)&lt;=0.01,"OK","CHECK"))</f>
        <v/>
      </c>
      <c r="AE2475">
        <f>IF(U2475="","MISSING",IF(AND(AA2475&gt;0,U2475/AA2475&gt;50),"POSSIBLE_SCALE_ERROR","OK"))</f>
        <v/>
      </c>
    </row>
    <row r="2476">
      <c r="A2476" t="inlineStr">
        <is>
          <t>T-2025-P12-028</t>
        </is>
      </c>
      <c r="B2476" t="inlineStr">
        <is>
          <t>SLE</t>
        </is>
      </c>
      <c r="C2476" t="inlineStr">
        <is>
          <t>Assistant Deputy Minister, Programs Branch</t>
        </is>
      </c>
      <c r="D2476" t="inlineStr">
        <is>
          <t>Sous-ministre adjointe, Direction générale des programmes</t>
        </is>
      </c>
      <c r="E2476" t="inlineStr">
        <is>
          <t>Liz Foster</t>
        </is>
      </c>
      <c r="F2476" t="inlineStr">
        <is>
          <t>To attend an Outreach in Winnipeg</t>
        </is>
      </c>
      <c r="G2476" t="inlineStr">
        <is>
          <t>Participer à une activité de sensibilisation à Winnipeg</t>
        </is>
      </c>
      <c r="H2476" s="1" t="n">
        <v>45728</v>
      </c>
      <c r="I2476" s="1" t="n">
        <v>45730</v>
      </c>
      <c r="J2476" t="inlineStr">
        <is>
          <t>Winnipeg, Manitoba, Canada</t>
        </is>
      </c>
      <c r="K2476" t="inlineStr">
        <is>
          <t>Winnipeg, Manitoba, Canada</t>
        </is>
      </c>
      <c r="P2476" t="n">
        <v>554.42</v>
      </c>
      <c r="Q2476" t="n">
        <v>104.05</v>
      </c>
      <c r="R2476" t="n">
        <v>470.6</v>
      </c>
      <c r="S2476" t="n">
        <v>332.35</v>
      </c>
      <c r="T2476" t="n">
        <v>0</v>
      </c>
      <c r="U2476" t="n">
        <v>1461.42</v>
      </c>
      <c r="X2476" t="inlineStr">
        <is>
          <t>aafc-aac</t>
        </is>
      </c>
      <c r="Y2476" t="inlineStr">
        <is>
          <t>Agriculture and Agri-Food Canada | Agriculture et Agroalimentaire Canada</t>
        </is>
      </c>
      <c r="Z2476" t="n">
        <v>3</v>
      </c>
      <c r="AA2476" t="n">
        <v>1461.42</v>
      </c>
      <c r="AB2476">
        <f>ROUND(U2476-AA2476,2)</f>
        <v/>
      </c>
      <c r="AC2476" t="b">
        <v>0</v>
      </c>
      <c r="AD2476">
        <f>IF(U2476="","MISSING_TOTAL",IF(ABS(AB2476)&lt;=0.01,"OK","CHECK"))</f>
        <v/>
      </c>
      <c r="AE2476">
        <f>IF(U2476="","MISSING",IF(AND(AA2476&gt;0,U2476/AA2476&gt;50),"POSSIBLE_SCALE_ERROR","OK"))</f>
        <v/>
      </c>
    </row>
    <row r="2477">
      <c r="A2477" t="inlineStr">
        <is>
          <t>T-2025-P12-029</t>
        </is>
      </c>
      <c r="B2477" t="inlineStr">
        <is>
          <t>SLE</t>
        </is>
      </c>
      <c r="C2477" t="inlineStr">
        <is>
          <t>Assistant Deputy Minister, Market and Industry Services Branch</t>
        </is>
      </c>
      <c r="D2477" t="inlineStr">
        <is>
          <t>Sous-ministre adjoint, Direction générale des services à l'industrie et aux marchés</t>
        </is>
      </c>
      <c r="E2477" t="inlineStr">
        <is>
          <t>Tom Rosser</t>
        </is>
      </c>
      <c r="F2477" t="inlineStr">
        <is>
          <t>To attend an event in Cambridge</t>
        </is>
      </c>
      <c r="G2477" t="inlineStr">
        <is>
          <t>Participer à un événement à Cambridge</t>
        </is>
      </c>
      <c r="H2477" s="1" t="n">
        <v>45690</v>
      </c>
      <c r="I2477" s="1" t="n">
        <v>45691</v>
      </c>
      <c r="J2477" t="inlineStr">
        <is>
          <t>Cambridge, Ontario, Canada</t>
        </is>
      </c>
      <c r="K2477" t="inlineStr">
        <is>
          <t>Cambridge, Ontario, Canada</t>
        </is>
      </c>
      <c r="P2477" t="n">
        <v>47.46</v>
      </c>
      <c r="Q2477" t="n">
        <v>228.43</v>
      </c>
      <c r="R2477" t="n">
        <v>0</v>
      </c>
      <c r="S2477" t="n">
        <v>118.45</v>
      </c>
      <c r="T2477" t="n">
        <v>0</v>
      </c>
      <c r="U2477" t="n">
        <v>394.34</v>
      </c>
      <c r="X2477" t="inlineStr">
        <is>
          <t>aafc-aac</t>
        </is>
      </c>
      <c r="Y2477" t="inlineStr">
        <is>
          <t>Agriculture and Agri-Food Canada | Agriculture et Agroalimentaire Canada</t>
        </is>
      </c>
      <c r="Z2477" t="n">
        <v>2</v>
      </c>
      <c r="AA2477" t="n">
        <v>394.34</v>
      </c>
      <c r="AB2477">
        <f>ROUND(U2477-AA2477,2)</f>
        <v/>
      </c>
      <c r="AC2477" t="b">
        <v>0</v>
      </c>
      <c r="AD2477">
        <f>IF(U2477="","MISSING_TOTAL",IF(ABS(AB2477)&lt;=0.01,"OK","CHECK"))</f>
        <v/>
      </c>
      <c r="AE2477">
        <f>IF(U2477="","MISSING",IF(AND(AA2477&gt;0,U2477/AA2477&gt;50),"POSSIBLE_SCALE_ERROR","OK"))</f>
        <v/>
      </c>
    </row>
    <row r="2478">
      <c r="A2478" t="inlineStr">
        <is>
          <t>T-AAFC-2026-P01-001</t>
        </is>
      </c>
      <c r="B2478" t="inlineStr">
        <is>
          <t>MPSES</t>
        </is>
      </c>
      <c r="C2478" t="inlineStr">
        <is>
          <t>Minister</t>
        </is>
      </c>
      <c r="D2478" t="inlineStr">
        <is>
          <t>Ministre</t>
        </is>
      </c>
      <c r="E2478" t="inlineStr">
        <is>
          <t>Kody Blois</t>
        </is>
      </c>
      <c r="F2478" t="inlineStr">
        <is>
          <t>To attend Cabinet Committee meetings</t>
        </is>
      </c>
      <c r="G2478" t="inlineStr">
        <is>
          <t>Assister aux réunions du comité du Cabinet</t>
        </is>
      </c>
      <c r="H2478" s="1" t="n">
        <v>45748</v>
      </c>
      <c r="I2478" s="1" t="n">
        <v>45750</v>
      </c>
      <c r="J2478" t="inlineStr">
        <is>
          <t>Ottawa, Ontario, Canada</t>
        </is>
      </c>
      <c r="K2478" t="inlineStr">
        <is>
          <t>Ottawa, Ontario, Canada</t>
        </is>
      </c>
      <c r="P2478" t="n">
        <v>1288.32</v>
      </c>
      <c r="Q2478" t="n">
        <v>0</v>
      </c>
      <c r="R2478" t="n">
        <v>510.2</v>
      </c>
      <c r="S2478" t="n">
        <v>141.9</v>
      </c>
      <c r="T2478" t="n">
        <v>0</v>
      </c>
      <c r="U2478" t="n">
        <v>1940.42</v>
      </c>
      <c r="X2478" t="inlineStr">
        <is>
          <t>aafc-aac</t>
        </is>
      </c>
      <c r="Y2478" t="inlineStr">
        <is>
          <t>Agriculture and Agri-Food Canada | Agriculture et Agroalimentaire Canada</t>
        </is>
      </c>
      <c r="Z2478" t="n">
        <v>3</v>
      </c>
      <c r="AA2478" t="n">
        <v>1940.42</v>
      </c>
      <c r="AB2478">
        <f>ROUND(U2478-AA2478,2)</f>
        <v/>
      </c>
      <c r="AC2478" t="b">
        <v>0</v>
      </c>
      <c r="AD2478">
        <f>IF(U2478="","MISSING_TOTAL",IF(ABS(AB2478)&lt;=0.01,"OK","CHECK"))</f>
        <v/>
      </c>
      <c r="AE2478">
        <f>IF(U2478="","MISSING",IF(AND(AA2478&gt;0,U2478/AA2478&gt;50),"POSSIBLE_SCALE_ERROR","OK"))</f>
        <v/>
      </c>
    </row>
    <row r="2479">
      <c r="A2479" t="inlineStr">
        <is>
          <t>T-AAFC-2026-P01-002</t>
        </is>
      </c>
      <c r="B2479" t="inlineStr">
        <is>
          <t>MPSES</t>
        </is>
      </c>
      <c r="C2479" t="inlineStr">
        <is>
          <t>Minister</t>
        </is>
      </c>
      <c r="D2479" t="inlineStr">
        <is>
          <t>Ministre</t>
        </is>
      </c>
      <c r="E2479" t="inlineStr">
        <is>
          <t>Kody Blois</t>
        </is>
      </c>
      <c r="F2479" t="inlineStr">
        <is>
          <t>To attend Cabinet Committee meetings</t>
        </is>
      </c>
      <c r="G2479" t="inlineStr">
        <is>
          <t>Assister aux réunions du comité du Cabinet</t>
        </is>
      </c>
      <c r="H2479" s="1" t="n">
        <v>45757</v>
      </c>
      <c r="I2479" s="1" t="n">
        <v>45758</v>
      </c>
      <c r="J2479" t="inlineStr">
        <is>
          <t>Ottawa, Ontario, Canada</t>
        </is>
      </c>
      <c r="K2479" t="inlineStr">
        <is>
          <t>Ottawa, Ontario, Canada</t>
        </is>
      </c>
      <c r="P2479" t="n">
        <v>1487.32</v>
      </c>
      <c r="Q2479" t="n">
        <v>0</v>
      </c>
      <c r="R2479" t="n">
        <v>255.1</v>
      </c>
      <c r="S2479" t="n">
        <v>55.8</v>
      </c>
      <c r="T2479" t="n">
        <v>0</v>
      </c>
      <c r="U2479" t="n">
        <v>1798.22</v>
      </c>
      <c r="X2479" t="inlineStr">
        <is>
          <t>aafc-aac</t>
        </is>
      </c>
      <c r="Y2479" t="inlineStr">
        <is>
          <t>Agriculture and Agri-Food Canada | Agriculture et Agroalimentaire Canada</t>
        </is>
      </c>
      <c r="Z2479" t="n">
        <v>2</v>
      </c>
      <c r="AA2479" t="n">
        <v>1798.21999999999</v>
      </c>
      <c r="AB2479">
        <f>ROUND(U2479-AA2479,2)</f>
        <v/>
      </c>
      <c r="AC2479" t="b">
        <v>0</v>
      </c>
      <c r="AD2479">
        <f>IF(U2479="","MISSING_TOTAL",IF(ABS(AB2479)&lt;=0.01,"OK","CHECK"))</f>
        <v/>
      </c>
      <c r="AE2479">
        <f>IF(U2479="","MISSING",IF(AND(AA2479&gt;0,U2479/AA2479&gt;50),"POSSIBLE_SCALE_ERROR","OK"))</f>
        <v/>
      </c>
    </row>
    <row r="2480">
      <c r="A2480" t="inlineStr">
        <is>
          <t>T-AAFC-2026-P01-003</t>
        </is>
      </c>
      <c r="B2480" t="inlineStr">
        <is>
          <t>MPSES</t>
        </is>
      </c>
      <c r="C2480" t="inlineStr">
        <is>
          <t>Chief of Staff &amp; Director of Operations</t>
        </is>
      </c>
      <c r="D2480" t="inlineStr">
        <is>
          <t>Chef de cabinet et Directrice des opérations</t>
        </is>
      </c>
      <c r="E2480" t="inlineStr">
        <is>
          <t>Maria Morley</t>
        </is>
      </c>
      <c r="F2480" t="inlineStr">
        <is>
          <t>Outreach in Washington</t>
        </is>
      </c>
      <c r="G2480" t="inlineStr">
        <is>
          <t>Activité de sensibilisation à Washington</t>
        </is>
      </c>
      <c r="H2480" s="1" t="n">
        <v>45712</v>
      </c>
      <c r="I2480" s="1" t="n">
        <v>45714</v>
      </c>
      <c r="J2480" t="inlineStr">
        <is>
          <t>Washington, District of Columbia, United States</t>
        </is>
      </c>
      <c r="K2480" t="inlineStr">
        <is>
          <t>Washington, District de Columbia, États-Unis</t>
        </is>
      </c>
      <c r="P2480" t="n">
        <v>1190.31</v>
      </c>
      <c r="Q2480" t="n">
        <v>25.85</v>
      </c>
      <c r="R2480" t="n">
        <v>1085.19</v>
      </c>
      <c r="S2480" t="n">
        <v>251.55</v>
      </c>
      <c r="T2480" t="n">
        <v>0</v>
      </c>
      <c r="U2480" t="n">
        <v>2552.9</v>
      </c>
      <c r="X2480" t="inlineStr">
        <is>
          <t>aafc-aac</t>
        </is>
      </c>
      <c r="Y2480" t="inlineStr">
        <is>
          <t>Agriculture and Agri-Food Canada | Agriculture et Agroalimentaire Canada</t>
        </is>
      </c>
      <c r="Z2480" t="n">
        <v>3</v>
      </c>
      <c r="AA2480" t="n">
        <v>2552.9</v>
      </c>
      <c r="AB2480">
        <f>ROUND(U2480-AA2480,2)</f>
        <v/>
      </c>
      <c r="AC2480" t="b">
        <v>0</v>
      </c>
      <c r="AD2480">
        <f>IF(U2480="","MISSING_TOTAL",IF(ABS(AB2480)&lt;=0.01,"OK","CHECK"))</f>
        <v/>
      </c>
      <c r="AE2480">
        <f>IF(U2480="","MISSING",IF(AND(AA2480&gt;0,U2480/AA2480&gt;50),"POSSIBLE_SCALE_ERROR","OK"))</f>
        <v/>
      </c>
    </row>
    <row r="2481">
      <c r="A2481" t="inlineStr">
        <is>
          <t>T-AAFC-2026-P01-004</t>
        </is>
      </c>
      <c r="B2481" t="inlineStr">
        <is>
          <t>SLE</t>
        </is>
      </c>
      <c r="C2481" t="inlineStr">
        <is>
          <t>Corporate Secretary</t>
        </is>
      </c>
      <c r="D2481" t="inlineStr">
        <is>
          <t>Secrétaire générale</t>
        </is>
      </c>
      <c r="E2481" t="inlineStr">
        <is>
          <t>Tamara Abel</t>
        </is>
      </c>
      <c r="F2481" t="inlineStr">
        <is>
          <t>Operational activities</t>
        </is>
      </c>
      <c r="G2481" t="inlineStr">
        <is>
          <t>Activités opérationnelles</t>
        </is>
      </c>
      <c r="H2481" s="1" t="n">
        <v>45754</v>
      </c>
      <c r="I2481" s="1" t="n">
        <v>45757</v>
      </c>
      <c r="J2481" t="inlineStr">
        <is>
          <t>Ottawa, Ontario, Canada</t>
        </is>
      </c>
      <c r="K2481" t="inlineStr">
        <is>
          <t>Ottawa, Ontario, Canada</t>
        </is>
      </c>
      <c r="P2481" t="n">
        <v>934.2</v>
      </c>
      <c r="Q2481" t="n">
        <v>296.65</v>
      </c>
      <c r="R2481" t="n">
        <v>953.54</v>
      </c>
      <c r="S2481" t="n">
        <v>467.4</v>
      </c>
      <c r="T2481" t="n">
        <v>0</v>
      </c>
      <c r="U2481" t="n">
        <v>2651.79</v>
      </c>
      <c r="X2481" t="inlineStr">
        <is>
          <t>aafc-aac</t>
        </is>
      </c>
      <c r="Y2481" t="inlineStr">
        <is>
          <t>Agriculture and Agri-Food Canada | Agriculture et Agroalimentaire Canada</t>
        </is>
      </c>
      <c r="Z2481" t="n">
        <v>4</v>
      </c>
      <c r="AA2481" t="n">
        <v>2651.79</v>
      </c>
      <c r="AB2481">
        <f>ROUND(U2481-AA2481,2)</f>
        <v/>
      </c>
      <c r="AC2481" t="b">
        <v>0</v>
      </c>
      <c r="AD2481">
        <f>IF(U2481="","MISSING_TOTAL",IF(ABS(AB2481)&lt;=0.01,"OK","CHECK"))</f>
        <v/>
      </c>
      <c r="AE2481">
        <f>IF(U2481="","MISSING",IF(AND(AA2481&gt;0,U2481/AA2481&gt;50),"POSSIBLE_SCALE_ERROR","OK"))</f>
        <v/>
      </c>
    </row>
    <row r="2482">
      <c r="A2482" t="inlineStr">
        <is>
          <t>T-AAFC-2026-P01-005</t>
        </is>
      </c>
      <c r="B2482" t="inlineStr">
        <is>
          <t>SLE</t>
        </is>
      </c>
      <c r="C2482" t="inlineStr">
        <is>
          <t>Corporate Secretary</t>
        </is>
      </c>
      <c r="D2482" t="inlineStr">
        <is>
          <t>Secrétaire générale</t>
        </is>
      </c>
      <c r="E2482" t="inlineStr">
        <is>
          <t>Tamara Abel</t>
        </is>
      </c>
      <c r="F2482" t="inlineStr">
        <is>
          <t>Operational activities</t>
        </is>
      </c>
      <c r="G2482" t="inlineStr">
        <is>
          <t>Activités opérationnelles</t>
        </is>
      </c>
      <c r="H2482" s="1" t="n">
        <v>45763</v>
      </c>
      <c r="I2482" s="1" t="n">
        <v>45764</v>
      </c>
      <c r="J2482" t="inlineStr">
        <is>
          <t>Ottawa, Ontario, Canada</t>
        </is>
      </c>
      <c r="K2482" t="inlineStr">
        <is>
          <t>Ottawa, Ontario, Canada</t>
        </is>
      </c>
      <c r="P2482" t="n">
        <v>1012.14</v>
      </c>
      <c r="Q2482" t="n">
        <v>202.25</v>
      </c>
      <c r="R2482" t="n">
        <v>283.57</v>
      </c>
      <c r="S2482" t="n">
        <v>261.6</v>
      </c>
      <c r="T2482" t="n">
        <v>0</v>
      </c>
      <c r="U2482" t="n">
        <v>1759.56</v>
      </c>
      <c r="X2482" t="inlineStr">
        <is>
          <t>aafc-aac</t>
        </is>
      </c>
      <c r="Y2482" t="inlineStr">
        <is>
          <t>Agriculture and Agri-Food Canada | Agriculture et Agroalimentaire Canada</t>
        </is>
      </c>
      <c r="Z2482" t="n">
        <v>2</v>
      </c>
      <c r="AA2482" t="n">
        <v>1759.56</v>
      </c>
      <c r="AB2482">
        <f>ROUND(U2482-AA2482,2)</f>
        <v/>
      </c>
      <c r="AC2482" t="b">
        <v>0</v>
      </c>
      <c r="AD2482">
        <f>IF(U2482="","MISSING_TOTAL",IF(ABS(AB2482)&lt;=0.01,"OK","CHECK"))</f>
        <v/>
      </c>
      <c r="AE2482">
        <f>IF(U2482="","MISSING",IF(AND(AA2482&gt;0,U2482/AA2482&gt;50),"POSSIBLE_SCALE_ERROR","OK"))</f>
        <v/>
      </c>
    </row>
    <row r="2483">
      <c r="A2483" t="inlineStr">
        <is>
          <t>T-AAFC-2026-P01-006</t>
        </is>
      </c>
      <c r="B2483" t="inlineStr">
        <is>
          <t>SLE</t>
        </is>
      </c>
      <c r="C2483" t="inlineStr">
        <is>
          <t>Assistant Deputy Minister, Corporate Management Branch</t>
        </is>
      </c>
      <c r="D2483" t="inlineStr">
        <is>
          <t>Sous-ministre adjointe, Direction générale de la gestion intégrée</t>
        </is>
      </c>
      <c r="E2483" t="inlineStr">
        <is>
          <t>Marie-Claude Guérard</t>
        </is>
      </c>
      <c r="F2483" t="inlineStr">
        <is>
          <t>To attend meetings in Ottawa</t>
        </is>
      </c>
      <c r="G2483" t="inlineStr">
        <is>
          <t>Participer aux rencontres à Ottawa</t>
        </is>
      </c>
      <c r="H2483" s="1" t="n">
        <v>45706</v>
      </c>
      <c r="I2483" s="1" t="n">
        <v>45707</v>
      </c>
      <c r="J2483" t="inlineStr">
        <is>
          <t>Ottawa, Ontario, Canada</t>
        </is>
      </c>
      <c r="K2483" t="inlineStr">
        <is>
          <t>Ottawa, Ontario, Canada</t>
        </is>
      </c>
      <c r="P2483" t="n">
        <v>0</v>
      </c>
      <c r="Q2483" t="n">
        <v>618.1900000000001</v>
      </c>
      <c r="R2483" t="n">
        <v>271.71</v>
      </c>
      <c r="S2483" t="n">
        <v>258.2</v>
      </c>
      <c r="T2483" t="n">
        <v>0</v>
      </c>
      <c r="U2483" t="n">
        <v>1148.1</v>
      </c>
      <c r="X2483" t="inlineStr">
        <is>
          <t>aafc-aac</t>
        </is>
      </c>
      <c r="Y2483" t="inlineStr">
        <is>
          <t>Agriculture and Agri-Food Canada | Agriculture et Agroalimentaire Canada</t>
        </is>
      </c>
      <c r="Z2483" t="n">
        <v>2</v>
      </c>
      <c r="AA2483" t="n">
        <v>1148.1</v>
      </c>
      <c r="AB2483">
        <f>ROUND(U2483-AA2483,2)</f>
        <v/>
      </c>
      <c r="AC2483" t="b">
        <v>0</v>
      </c>
      <c r="AD2483">
        <f>IF(U2483="","MISSING_TOTAL",IF(ABS(AB2483)&lt;=0.01,"OK","CHECK"))</f>
        <v/>
      </c>
      <c r="AE2483">
        <f>IF(U2483="","MISSING",IF(AND(AA2483&gt;0,U2483/AA2483&gt;50),"POSSIBLE_SCALE_ERROR","OK"))</f>
        <v/>
      </c>
    </row>
    <row r="2484">
      <c r="A2484" t="inlineStr">
        <is>
          <t>T-AAFC-2026-P01-007</t>
        </is>
      </c>
      <c r="B2484" t="inlineStr">
        <is>
          <t>SLE</t>
        </is>
      </c>
      <c r="C2484" t="inlineStr">
        <is>
          <t>Assistant Deputy Minister, Corporate Management Branch</t>
        </is>
      </c>
      <c r="D2484" t="inlineStr">
        <is>
          <t>Sous-ministre adjointe, Direction générale de la gestion intégrée</t>
        </is>
      </c>
      <c r="E2484" t="inlineStr">
        <is>
          <t>Marie-Claude Guérard</t>
        </is>
      </c>
      <c r="F2484" t="inlineStr">
        <is>
          <t>To attend meetings in Ottawa</t>
        </is>
      </c>
      <c r="G2484" t="inlineStr">
        <is>
          <t>Participer aux rencontres à Ottawa</t>
        </is>
      </c>
      <c r="H2484" s="1" t="n">
        <v>45714</v>
      </c>
      <c r="I2484" s="1" t="n">
        <v>45716</v>
      </c>
      <c r="J2484" t="inlineStr">
        <is>
          <t>Ottawa, Ontario, Canada</t>
        </is>
      </c>
      <c r="K2484" t="inlineStr">
        <is>
          <t>Ottawa, Ontario, Canada</t>
        </is>
      </c>
      <c r="P2484" t="n">
        <v>0</v>
      </c>
      <c r="Q2484" t="n">
        <v>507.66</v>
      </c>
      <c r="R2484" t="n">
        <v>543.42</v>
      </c>
      <c r="S2484" t="n">
        <v>275.5</v>
      </c>
      <c r="T2484" t="n">
        <v>0</v>
      </c>
      <c r="U2484" t="n">
        <v>1326.58</v>
      </c>
      <c r="X2484" t="inlineStr">
        <is>
          <t>aafc-aac</t>
        </is>
      </c>
      <c r="Y2484" t="inlineStr">
        <is>
          <t>Agriculture and Agri-Food Canada | Agriculture et Agroalimentaire Canada</t>
        </is>
      </c>
      <c r="Z2484" t="n">
        <v>3</v>
      </c>
      <c r="AA2484" t="n">
        <v>1326.58</v>
      </c>
      <c r="AB2484">
        <f>ROUND(U2484-AA2484,2)</f>
        <v/>
      </c>
      <c r="AC2484" t="b">
        <v>0</v>
      </c>
      <c r="AD2484">
        <f>IF(U2484="","MISSING_TOTAL",IF(ABS(AB2484)&lt;=0.01,"OK","CHECK"))</f>
        <v/>
      </c>
      <c r="AE2484">
        <f>IF(U2484="","MISSING",IF(AND(AA2484&gt;0,U2484/AA2484&gt;50),"POSSIBLE_SCALE_ERROR","OK"))</f>
        <v/>
      </c>
    </row>
    <row r="2485">
      <c r="A2485" t="inlineStr">
        <is>
          <t>T-AAFC-2026-P01-008</t>
        </is>
      </c>
      <c r="B2485" t="inlineStr">
        <is>
          <t>SLE</t>
        </is>
      </c>
      <c r="C2485" t="inlineStr">
        <is>
          <t>Assistant Deputy Minister, Strategic Policy Branch</t>
        </is>
      </c>
      <c r="D2485" t="inlineStr">
        <is>
          <t>Sous-ministre adjointe, Direction générale des politiques stratégiques</t>
        </is>
      </c>
      <c r="E2485" t="inlineStr">
        <is>
          <t>Shannon Nix</t>
        </is>
      </c>
      <c r="F2485" t="inlineStr">
        <is>
          <t>To attend meetings in Ottawa</t>
        </is>
      </c>
      <c r="G2485" t="inlineStr">
        <is>
          <t>Participer aux rencontres à Ottawa</t>
        </is>
      </c>
      <c r="H2485" s="1" t="n">
        <v>45698</v>
      </c>
      <c r="I2485" s="1" t="n">
        <v>45699</v>
      </c>
      <c r="J2485" t="inlineStr">
        <is>
          <t>Ottawa, Ontario, Canada</t>
        </is>
      </c>
      <c r="K2485" t="inlineStr">
        <is>
          <t>Ottawa, Ontario, Canada</t>
        </is>
      </c>
      <c r="P2485" t="n">
        <v>0</v>
      </c>
      <c r="Q2485" t="n">
        <v>20</v>
      </c>
      <c r="R2485" t="n">
        <v>0</v>
      </c>
      <c r="S2485" t="n">
        <v>0</v>
      </c>
      <c r="T2485" t="n">
        <v>0</v>
      </c>
      <c r="U2485" t="n">
        <v>20</v>
      </c>
      <c r="X2485" t="inlineStr">
        <is>
          <t>aafc-aac</t>
        </is>
      </c>
      <c r="Y2485" t="inlineStr">
        <is>
          <t>Agriculture and Agri-Food Canada | Agriculture et Agroalimentaire Canada</t>
        </is>
      </c>
      <c r="Z2485" t="n">
        <v>2</v>
      </c>
      <c r="AA2485" t="n">
        <v>20</v>
      </c>
      <c r="AB2485">
        <f>ROUND(U2485-AA2485,2)</f>
        <v/>
      </c>
      <c r="AC2485" t="b">
        <v>0</v>
      </c>
      <c r="AD2485">
        <f>IF(U2485="","MISSING_TOTAL",IF(ABS(AB2485)&lt;=0.01,"OK","CHECK"))</f>
        <v/>
      </c>
      <c r="AE2485">
        <f>IF(U2485="","MISSING",IF(AND(AA2485&gt;0,U2485/AA2485&gt;50),"POSSIBLE_SCALE_ERROR","OK"))</f>
        <v/>
      </c>
    </row>
    <row r="2486">
      <c r="A2486" t="inlineStr">
        <is>
          <t>T-AAFC-2026-P01-009</t>
        </is>
      </c>
      <c r="B2486" t="inlineStr">
        <is>
          <t>SLE</t>
        </is>
      </c>
      <c r="C2486" t="inlineStr">
        <is>
          <t>Assistant Deputy Minister, Market and Industry Services Branch</t>
        </is>
      </c>
      <c r="D2486" t="inlineStr">
        <is>
          <t>Sous-ministre adjoint, Direction générale des services à l'industrie et aux marchés</t>
        </is>
      </c>
      <c r="E2486" t="inlineStr">
        <is>
          <t>Tom Rosser</t>
        </is>
      </c>
      <c r="F2486" t="inlineStr">
        <is>
          <t>To attend a meeting and an outreach with staff</t>
        </is>
      </c>
      <c r="G2486" t="inlineStr">
        <is>
          <t>Assister à une rencontre et participer à une activité de sensibilisation avec le personnel</t>
        </is>
      </c>
      <c r="H2486" s="1" t="n">
        <v>45725</v>
      </c>
      <c r="I2486" s="1" t="n">
        <v>45726</v>
      </c>
      <c r="J2486" t="inlineStr">
        <is>
          <t>Québec City, Quebec, Canada</t>
        </is>
      </c>
      <c r="K2486" t="inlineStr">
        <is>
          <t>Québec, Québec, Canada</t>
        </is>
      </c>
      <c r="P2486" t="n">
        <v>1196.15</v>
      </c>
      <c r="Q2486" t="n">
        <v>165.54</v>
      </c>
      <c r="R2486" t="n">
        <v>224.92</v>
      </c>
      <c r="S2486" t="n">
        <v>175.3</v>
      </c>
      <c r="T2486" t="n">
        <v>0</v>
      </c>
      <c r="U2486" t="n">
        <v>1761.91</v>
      </c>
      <c r="X2486" t="inlineStr">
        <is>
          <t>aafc-aac</t>
        </is>
      </c>
      <c r="Y2486" t="inlineStr">
        <is>
          <t>Agriculture and Agri-Food Canada | Agriculture et Agroalimentaire Canada</t>
        </is>
      </c>
      <c r="Z2486" t="n">
        <v>2</v>
      </c>
      <c r="AA2486" t="n">
        <v>1761.91</v>
      </c>
      <c r="AB2486">
        <f>ROUND(U2486-AA2486,2)</f>
        <v/>
      </c>
      <c r="AC2486" t="b">
        <v>0</v>
      </c>
      <c r="AD2486">
        <f>IF(U2486="","MISSING_TOTAL",IF(ABS(AB2486)&lt;=0.01,"OK","CHECK"))</f>
        <v/>
      </c>
      <c r="AE2486">
        <f>IF(U2486="","MISSING",IF(AND(AA2486&gt;0,U2486/AA2486&gt;50),"POSSIBLE_SCALE_ERROR","OK"))</f>
        <v/>
      </c>
    </row>
    <row r="2487">
      <c r="A2487" t="inlineStr">
        <is>
          <t>T-AAFC-2026-P01-010</t>
        </is>
      </c>
      <c r="B2487" t="inlineStr">
        <is>
          <t>SLE</t>
        </is>
      </c>
      <c r="C2487" t="inlineStr">
        <is>
          <t>Assistant Deputy Minister, Market and Industry Services Branch</t>
        </is>
      </c>
      <c r="D2487" t="inlineStr">
        <is>
          <t>Sous-ministre adjoint, Direction générale des services à l'industrie et aux marchés</t>
        </is>
      </c>
      <c r="E2487" t="inlineStr">
        <is>
          <t>Tom Rosser</t>
        </is>
      </c>
      <c r="F2487" t="inlineStr">
        <is>
          <t>To attend the Conseil de la Transformation Alimentaire du Québec Conference in Mont-Tremblant</t>
        </is>
      </c>
      <c r="G2487" t="inlineStr">
        <is>
          <t>Participer à la conférence du  Conseil de la Transformation Alimentaire du Québec à Mont-Tremblant</t>
        </is>
      </c>
      <c r="H2487" s="1" t="n">
        <v>45744</v>
      </c>
      <c r="I2487" s="1" t="n">
        <v>45746</v>
      </c>
      <c r="J2487" t="inlineStr">
        <is>
          <t>Mont-Tremblant, Quebec, Canada</t>
        </is>
      </c>
      <c r="K2487" t="inlineStr">
        <is>
          <t>Mont-Tremblant, Québec, Canada</t>
        </is>
      </c>
      <c r="P2487" t="n">
        <v>0</v>
      </c>
      <c r="Q2487" t="n">
        <v>306.12</v>
      </c>
      <c r="R2487" t="n">
        <v>1282.82</v>
      </c>
      <c r="S2487" t="n">
        <v>51.9</v>
      </c>
      <c r="T2487" t="n">
        <v>0</v>
      </c>
      <c r="U2487" t="n">
        <v>1640.84</v>
      </c>
      <c r="X2487" t="inlineStr">
        <is>
          <t>aafc-aac</t>
        </is>
      </c>
      <c r="Y2487" t="inlineStr">
        <is>
          <t>Agriculture and Agri-Food Canada | Agriculture et Agroalimentaire Canada</t>
        </is>
      </c>
      <c r="Z2487" t="n">
        <v>3</v>
      </c>
      <c r="AA2487" t="n">
        <v>1640.84</v>
      </c>
      <c r="AB2487">
        <f>ROUND(U2487-AA2487,2)</f>
        <v/>
      </c>
      <c r="AC2487" t="b">
        <v>0</v>
      </c>
      <c r="AD2487">
        <f>IF(U2487="","MISSING_TOTAL",IF(ABS(AB2487)&lt;=0.01,"OK","CHECK"))</f>
        <v/>
      </c>
      <c r="AE2487">
        <f>IF(U2487="","MISSING",IF(AND(AA2487&gt;0,U2487/AA2487&gt;50),"POSSIBLE_SCALE_ERROR","OK"))</f>
        <v/>
      </c>
    </row>
    <row r="2488">
      <c r="A2488" t="inlineStr">
        <is>
          <t>T-AAFC-2026-P02-001</t>
        </is>
      </c>
      <c r="B2488" t="inlineStr">
        <is>
          <t>SLE</t>
        </is>
      </c>
      <c r="C2488" t="inlineStr">
        <is>
          <t>Corporate Secretary</t>
        </is>
      </c>
      <c r="D2488" t="inlineStr">
        <is>
          <t>Secrétaire générale</t>
        </is>
      </c>
      <c r="E2488" t="inlineStr">
        <is>
          <t>Tamara Abel</t>
        </is>
      </c>
      <c r="F2488" t="inlineStr">
        <is>
          <t>Operational activities</t>
        </is>
      </c>
      <c r="G2488" t="inlineStr">
        <is>
          <t>Activités opérationnelles</t>
        </is>
      </c>
      <c r="H2488" s="1" t="n">
        <v>45782</v>
      </c>
      <c r="I2488" s="1" t="n">
        <v>45785</v>
      </c>
      <c r="J2488" t="inlineStr">
        <is>
          <t>Ottawa, Ontario, Canada</t>
        </is>
      </c>
      <c r="K2488" t="inlineStr">
        <is>
          <t>Ottawa, Ontario, Canada</t>
        </is>
      </c>
      <c r="P2488" t="n">
        <v>1090.61</v>
      </c>
      <c r="Q2488" t="n">
        <v>279.68</v>
      </c>
      <c r="R2488" t="n">
        <v>1099.89</v>
      </c>
      <c r="S2488" t="n">
        <v>523.2</v>
      </c>
      <c r="T2488" t="n">
        <v>0</v>
      </c>
      <c r="U2488" t="n">
        <v>2993.38</v>
      </c>
      <c r="X2488" t="inlineStr">
        <is>
          <t>aafc-aac</t>
        </is>
      </c>
      <c r="Y2488" t="inlineStr">
        <is>
          <t>Agriculture and Agri-Food Canada | Agriculture et Agroalimentaire Canada</t>
        </is>
      </c>
      <c r="Z2488" t="n">
        <v>4</v>
      </c>
      <c r="AA2488" t="n">
        <v>2993.38</v>
      </c>
      <c r="AB2488">
        <f>ROUND(U2488-AA2488,2)</f>
        <v/>
      </c>
      <c r="AC2488" t="b">
        <v>0</v>
      </c>
      <c r="AD2488">
        <f>IF(U2488="","MISSING_TOTAL",IF(ABS(AB2488)&lt;=0.01,"OK","CHECK"))</f>
        <v/>
      </c>
      <c r="AE2488">
        <f>IF(U2488="","MISSING",IF(AND(AA2488&gt;0,U2488/AA2488&gt;50),"POSSIBLE_SCALE_ERROR","OK"))</f>
        <v/>
      </c>
    </row>
    <row r="2489">
      <c r="A2489" t="inlineStr">
        <is>
          <t>T-AAFC-2026-P02-002</t>
        </is>
      </c>
      <c r="B2489" t="inlineStr">
        <is>
          <t>SLE</t>
        </is>
      </c>
      <c r="C2489" t="inlineStr">
        <is>
          <t>Assistant Deputy Minister, Science and Technology Branch</t>
        </is>
      </c>
      <c r="D2489" t="inlineStr">
        <is>
          <t>Sous-ministre adjoint, Direction générale des sciences et de la technologie</t>
        </is>
      </c>
      <c r="E2489" t="inlineStr">
        <is>
          <t>Gilles Saindon</t>
        </is>
      </c>
      <c r="F2489" t="inlineStr">
        <is>
          <t>Outreach to London, Harrow Research and Development Centres, and attend meetings at the University of Windsor</t>
        </is>
      </c>
      <c r="G2489" t="inlineStr">
        <is>
          <t>Réunions de sensibilisation aux centres de recherche de London et Harrow, et participer à des réunions à l'université de Windsor.</t>
        </is>
      </c>
      <c r="H2489" s="1" t="n">
        <v>45782</v>
      </c>
      <c r="I2489" s="1" t="n">
        <v>45786</v>
      </c>
      <c r="J2489" t="inlineStr">
        <is>
          <t>London, Ontario, Canada</t>
        </is>
      </c>
      <c r="K2489" t="inlineStr">
        <is>
          <t>London, Ontario, Canada</t>
        </is>
      </c>
      <c r="L2489" t="inlineStr">
        <is>
          <t>Windsor, Ontario, Canada</t>
        </is>
      </c>
      <c r="M2489" t="inlineStr">
        <is>
          <t>Windsor, Ontario, Canada</t>
        </is>
      </c>
      <c r="N2489" t="inlineStr">
        <is>
          <t>Harrow, Ontario, Canada</t>
        </is>
      </c>
      <c r="O2489" t="inlineStr">
        <is>
          <t>Harrow, Ontario, Canada</t>
        </is>
      </c>
      <c r="P2489" t="n">
        <v>1212.36</v>
      </c>
      <c r="Q2489" t="n">
        <v>172</v>
      </c>
      <c r="R2489" t="n">
        <v>610.5700000000001</v>
      </c>
      <c r="S2489" t="n">
        <v>427.9</v>
      </c>
      <c r="T2489" t="n">
        <v>0</v>
      </c>
      <c r="U2489" t="n">
        <v>2422.83</v>
      </c>
      <c r="X2489" t="inlineStr">
        <is>
          <t>aafc-aac</t>
        </is>
      </c>
      <c r="Y2489" t="inlineStr">
        <is>
          <t>Agriculture and Agri-Food Canada | Agriculture et Agroalimentaire Canada</t>
        </is>
      </c>
      <c r="Z2489" t="n">
        <v>5</v>
      </c>
      <c r="AA2489" t="n">
        <v>2422.83</v>
      </c>
      <c r="AB2489">
        <f>ROUND(U2489-AA2489,2)</f>
        <v/>
      </c>
      <c r="AC2489" t="b">
        <v>0</v>
      </c>
      <c r="AD2489">
        <f>IF(U2489="","MISSING_TOTAL",IF(ABS(AB2489)&lt;=0.01,"OK","CHECK"))</f>
        <v/>
      </c>
      <c r="AE2489">
        <f>IF(U2489="","MISSING",IF(AND(AA2489&gt;0,U2489/AA2489&gt;50),"POSSIBLE_SCALE_ERROR","OK"))</f>
        <v/>
      </c>
    </row>
    <row r="2490">
      <c r="A2490" t="inlineStr">
        <is>
          <t>T-AAFC-2026-P02-003</t>
        </is>
      </c>
      <c r="B2490" t="inlineStr">
        <is>
          <t>SLE</t>
        </is>
      </c>
      <c r="C2490" t="inlineStr">
        <is>
          <t>Assistant Deputy Minister, Science and Technology Branch</t>
        </is>
      </c>
      <c r="D2490" t="inlineStr">
        <is>
          <t>Sous-ministre adjoint, Direction générale des sciences et de la technologie</t>
        </is>
      </c>
      <c r="E2490" t="inlineStr">
        <is>
          <t>Gilles Saindon</t>
        </is>
      </c>
      <c r="F2490" t="inlineStr">
        <is>
          <t>Outreach to Fredericton Research and Development Centre</t>
        </is>
      </c>
      <c r="G2490" t="inlineStr">
        <is>
          <t>Réunions de sensibilisation au centre de recherche à Fredericton</t>
        </is>
      </c>
      <c r="H2490" s="1" t="n">
        <v>45797</v>
      </c>
      <c r="I2490" s="1" t="n">
        <v>45800</v>
      </c>
      <c r="J2490" t="inlineStr">
        <is>
          <t>Fredericton, New Brunswick, Canada</t>
        </is>
      </c>
      <c r="K2490" t="inlineStr">
        <is>
          <t>Fredericton, Nouveau-Brunswick, Canada</t>
        </is>
      </c>
      <c r="P2490" t="n">
        <v>1242.38</v>
      </c>
      <c r="Q2490" t="n">
        <v>381.7</v>
      </c>
      <c r="R2490" t="n">
        <v>782.01</v>
      </c>
      <c r="S2490" t="n">
        <v>409.7</v>
      </c>
      <c r="T2490" t="n">
        <v>61.75</v>
      </c>
      <c r="U2490" t="n">
        <v>2877.54</v>
      </c>
      <c r="X2490" t="inlineStr">
        <is>
          <t>aafc-aac</t>
        </is>
      </c>
      <c r="Y2490" t="inlineStr">
        <is>
          <t>Agriculture and Agri-Food Canada | Agriculture et Agroalimentaire Canada</t>
        </is>
      </c>
      <c r="Z2490" t="n">
        <v>4</v>
      </c>
      <c r="AA2490" t="n">
        <v>2877.54</v>
      </c>
      <c r="AB2490">
        <f>ROUND(U2490-AA2490,2)</f>
        <v/>
      </c>
      <c r="AC2490" t="b">
        <v>0</v>
      </c>
      <c r="AD2490">
        <f>IF(U2490="","MISSING_TOTAL",IF(ABS(AB2490)&lt;=0.01,"OK","CHECK"))</f>
        <v/>
      </c>
      <c r="AE2490">
        <f>IF(U2490="","MISSING",IF(AND(AA2490&gt;0,U2490/AA2490&gt;50),"POSSIBLE_SCALE_ERROR","OK"))</f>
        <v/>
      </c>
    </row>
    <row r="2491">
      <c r="A2491" t="inlineStr">
        <is>
          <t>T-AAFC-2026-P02-004</t>
        </is>
      </c>
      <c r="B2491" t="inlineStr">
        <is>
          <t>SLE</t>
        </is>
      </c>
      <c r="C2491" t="inlineStr">
        <is>
          <t>Assistant Deputy Minister, Corporate Management Branch</t>
        </is>
      </c>
      <c r="D2491" t="inlineStr">
        <is>
          <t>Sous-ministre adjoint, Direction générale de la gestion intégrée</t>
        </is>
      </c>
      <c r="E2491" t="inlineStr">
        <is>
          <t>Alain Lagacé</t>
        </is>
      </c>
      <c r="F2491" t="inlineStr">
        <is>
          <t>To attend a meeting in Ottawa</t>
        </is>
      </c>
      <c r="G2491" t="inlineStr">
        <is>
          <t>Participer à une rencontre à Ottawa</t>
        </is>
      </c>
      <c r="H2491" s="1" t="n">
        <v>45776</v>
      </c>
      <c r="I2491" s="1" t="n">
        <v>45776</v>
      </c>
      <c r="J2491" t="inlineStr">
        <is>
          <t>Ottawa, Ontario, Canada</t>
        </is>
      </c>
      <c r="K2491" t="inlineStr">
        <is>
          <t>Ottawa, Ontario, Canada</t>
        </is>
      </c>
      <c r="P2491" t="n">
        <v>0</v>
      </c>
      <c r="Q2491" t="n">
        <v>66.11</v>
      </c>
      <c r="R2491" t="n">
        <v>0</v>
      </c>
      <c r="S2491" t="n">
        <v>0</v>
      </c>
      <c r="T2491" t="n">
        <v>0</v>
      </c>
      <c r="U2491" t="n">
        <v>66.11</v>
      </c>
      <c r="X2491" t="inlineStr">
        <is>
          <t>aafc-aac</t>
        </is>
      </c>
      <c r="Y2491" t="inlineStr">
        <is>
          <t>Agriculture and Agri-Food Canada | Agriculture et Agroalimentaire Canada</t>
        </is>
      </c>
      <c r="Z2491" t="n">
        <v>1</v>
      </c>
      <c r="AA2491" t="n">
        <v>66.11</v>
      </c>
      <c r="AB2491">
        <f>ROUND(U2491-AA2491,2)</f>
        <v/>
      </c>
      <c r="AC2491" t="b">
        <v>0</v>
      </c>
      <c r="AD2491">
        <f>IF(U2491="","MISSING_TOTAL",IF(ABS(AB2491)&lt;=0.01,"OK","CHECK"))</f>
        <v/>
      </c>
      <c r="AE2491">
        <f>IF(U2491="","MISSING",IF(AND(AA2491&gt;0,U2491/AA2491&gt;50),"POSSIBLE_SCALE_ERROR","OK"))</f>
        <v/>
      </c>
    </row>
    <row r="2492">
      <c r="A2492" t="inlineStr">
        <is>
          <t>T-AAFC-2026-P02-005</t>
        </is>
      </c>
      <c r="B2492" t="inlineStr">
        <is>
          <t>SLE</t>
        </is>
      </c>
      <c r="C2492" t="inlineStr">
        <is>
          <t>Assistant Deputy Minister, Market and Industry Services Branch</t>
        </is>
      </c>
      <c r="D2492" t="inlineStr">
        <is>
          <t>Sous-ministre adjoint, Direction générale des services à l'industrie et aux marchés</t>
        </is>
      </c>
      <c r="E2492" t="inlineStr">
        <is>
          <t>Tom Rosser</t>
        </is>
      </c>
      <c r="F2492" t="inlineStr">
        <is>
          <t>To attend a Tour in Ontario</t>
        </is>
      </c>
      <c r="G2492" t="inlineStr">
        <is>
          <t>Assister à un tour en Ontario</t>
        </is>
      </c>
      <c r="H2492" s="1" t="n">
        <v>45777</v>
      </c>
      <c r="I2492" s="1" t="n">
        <v>45779</v>
      </c>
      <c r="J2492" t="inlineStr">
        <is>
          <t>Toronto, Ontario, Canada</t>
        </is>
      </c>
      <c r="K2492" t="inlineStr">
        <is>
          <t>Toronto, Ontario, Canada</t>
        </is>
      </c>
      <c r="P2492" t="n">
        <v>486.02</v>
      </c>
      <c r="Q2492" t="n">
        <v>304.16</v>
      </c>
      <c r="R2492" t="n">
        <v>478.18</v>
      </c>
      <c r="S2492" t="n">
        <v>271.2</v>
      </c>
      <c r="T2492" t="n">
        <v>0</v>
      </c>
      <c r="U2492" t="n">
        <v>1539.56</v>
      </c>
      <c r="X2492" t="inlineStr">
        <is>
          <t>aafc-aac</t>
        </is>
      </c>
      <c r="Y2492" t="inlineStr">
        <is>
          <t>Agriculture and Agri-Food Canada | Agriculture et Agroalimentaire Canada</t>
        </is>
      </c>
      <c r="Z2492" t="n">
        <v>3</v>
      </c>
      <c r="AA2492" t="n">
        <v>1539.56</v>
      </c>
      <c r="AB2492">
        <f>ROUND(U2492-AA2492,2)</f>
        <v/>
      </c>
      <c r="AC2492" t="b">
        <v>0</v>
      </c>
      <c r="AD2492">
        <f>IF(U2492="","MISSING_TOTAL",IF(ABS(AB2492)&lt;=0.01,"OK","CHECK"))</f>
        <v/>
      </c>
      <c r="AE2492">
        <f>IF(U2492="","MISSING",IF(AND(AA2492&gt;0,U2492/AA2492&gt;50),"POSSIBLE_SCALE_ERROR","OK"))</f>
        <v/>
      </c>
    </row>
    <row r="2493">
      <c r="A2493" t="inlineStr">
        <is>
          <t>T-AAFC-2026-P03-001</t>
        </is>
      </c>
      <c r="B2493" t="inlineStr">
        <is>
          <t>MPSES</t>
        </is>
      </c>
      <c r="C2493" t="inlineStr">
        <is>
          <t>Minister</t>
        </is>
      </c>
      <c r="D2493" t="inlineStr">
        <is>
          <t>Ministre</t>
        </is>
      </c>
      <c r="E2493" t="inlineStr">
        <is>
          <t>Heath MacDonald</t>
        </is>
      </c>
      <c r="F2493" t="inlineStr">
        <is>
          <t>To attend an Outreach in Regina</t>
        </is>
      </c>
      <c r="G2493" t="inlineStr">
        <is>
          <t>Participer à une action de sensibilisation à Regina</t>
        </is>
      </c>
      <c r="H2493" s="1" t="n">
        <v>45820</v>
      </c>
      <c r="I2493" s="1" t="n">
        <v>45823</v>
      </c>
      <c r="J2493" t="inlineStr">
        <is>
          <t>Regina, Saskatchewan, Canada</t>
        </is>
      </c>
      <c r="K2493" t="inlineStr">
        <is>
          <t>Regina, Saskatchewan, Canada</t>
        </is>
      </c>
      <c r="P2493" t="n">
        <v>1451.83</v>
      </c>
      <c r="Q2493" t="n">
        <v>0</v>
      </c>
      <c r="R2493" t="n">
        <v>754.59</v>
      </c>
      <c r="S2493" t="n">
        <v>398.2</v>
      </c>
      <c r="T2493" t="n">
        <v>0</v>
      </c>
      <c r="U2493" t="n">
        <v>2604.62</v>
      </c>
      <c r="X2493" t="inlineStr">
        <is>
          <t>aafc-aac</t>
        </is>
      </c>
      <c r="Y2493" t="inlineStr">
        <is>
          <t>Agriculture and Agri-Food Canada | Agriculture et Agroalimentaire Canada</t>
        </is>
      </c>
      <c r="Z2493" t="n">
        <v>4</v>
      </c>
      <c r="AA2493" t="n">
        <v>2604.62</v>
      </c>
      <c r="AB2493">
        <f>ROUND(U2493-AA2493,2)</f>
        <v/>
      </c>
      <c r="AC2493" t="b">
        <v>0</v>
      </c>
      <c r="AD2493">
        <f>IF(U2493="","MISSING_TOTAL",IF(ABS(AB2493)&lt;=0.01,"OK","CHECK"))</f>
        <v/>
      </c>
      <c r="AE2493">
        <f>IF(U2493="","MISSING",IF(AND(AA2493&gt;0,U2493/AA2493&gt;50),"POSSIBLE_SCALE_ERROR","OK"))</f>
        <v/>
      </c>
    </row>
    <row r="2494">
      <c r="A2494" t="inlineStr">
        <is>
          <t>T-AAFC-2026-P03-002</t>
        </is>
      </c>
      <c r="B2494" t="inlineStr">
        <is>
          <t>MPSES</t>
        </is>
      </c>
      <c r="C2494" t="inlineStr">
        <is>
          <t>Policy Advisor</t>
        </is>
      </c>
      <c r="D2494" t="inlineStr">
        <is>
          <t>Conseiller en politiques</t>
        </is>
      </c>
      <c r="E2494" t="inlineStr">
        <is>
          <t>Jeremy Keats</t>
        </is>
      </c>
      <c r="F2494" t="inlineStr">
        <is>
          <t>To support the Minister on an Outreach in Regina</t>
        </is>
      </c>
      <c r="G2494" t="inlineStr">
        <is>
          <t>Soutenir le ministre lors d'une action de sensibilisation à Regina</t>
        </is>
      </c>
      <c r="H2494" s="1" t="n">
        <v>45820</v>
      </c>
      <c r="I2494" s="1" t="n">
        <v>45823</v>
      </c>
      <c r="J2494" t="inlineStr">
        <is>
          <t>Regina, Saskatchewan, Canada</t>
        </is>
      </c>
      <c r="K2494" t="inlineStr">
        <is>
          <t>Regina, Saskatchewan, Canada</t>
        </is>
      </c>
      <c r="P2494" t="n">
        <v>1451.83</v>
      </c>
      <c r="Q2494" t="n">
        <v>0</v>
      </c>
      <c r="R2494" t="n">
        <v>754.59</v>
      </c>
      <c r="S2494" t="n">
        <v>398.2</v>
      </c>
      <c r="T2494" t="n">
        <v>0</v>
      </c>
      <c r="U2494" t="n">
        <v>2604.62</v>
      </c>
      <c r="X2494" t="inlineStr">
        <is>
          <t>aafc-aac</t>
        </is>
      </c>
      <c r="Y2494" t="inlineStr">
        <is>
          <t>Agriculture and Agri-Food Canada | Agriculture et Agroalimentaire Canada</t>
        </is>
      </c>
      <c r="Z2494" t="n">
        <v>4</v>
      </c>
      <c r="AA2494" t="n">
        <v>2604.62</v>
      </c>
      <c r="AB2494">
        <f>ROUND(U2494-AA2494,2)</f>
        <v/>
      </c>
      <c r="AC2494" t="b">
        <v>0</v>
      </c>
      <c r="AD2494">
        <f>IF(U2494="","MISSING_TOTAL",IF(ABS(AB2494)&lt;=0.01,"OK","CHECK"))</f>
        <v/>
      </c>
      <c r="AE2494">
        <f>IF(U2494="","MISSING",IF(AND(AA2494&gt;0,U2494/AA2494&gt;50),"POSSIBLE_SCALE_ERROR","OK"))</f>
        <v/>
      </c>
    </row>
    <row r="2495">
      <c r="A2495" t="inlineStr">
        <is>
          <t>T-AAFC-2026-P03-003</t>
        </is>
      </c>
      <c r="B2495" t="inlineStr">
        <is>
          <t>MPSES</t>
        </is>
      </c>
      <c r="C2495" t="inlineStr">
        <is>
          <t>Chief of Staff</t>
        </is>
      </c>
      <c r="D2495" t="inlineStr">
        <is>
          <t>Chef de Cabinet</t>
        </is>
      </c>
      <c r="E2495" t="inlineStr">
        <is>
          <t>Guy Gallant</t>
        </is>
      </c>
      <c r="F2495" t="inlineStr">
        <is>
          <t>To support the Minister on an Outreach in Regina</t>
        </is>
      </c>
      <c r="G2495" t="inlineStr">
        <is>
          <t>Soutenir le ministre lors d'une action de sensibilisation à Regina</t>
        </is>
      </c>
      <c r="H2495" s="1" t="n">
        <v>45820</v>
      </c>
      <c r="I2495" s="1" t="n">
        <v>45823</v>
      </c>
      <c r="J2495" t="inlineStr">
        <is>
          <t>Regina, Saskatchewan, Canada</t>
        </is>
      </c>
      <c r="K2495" t="inlineStr">
        <is>
          <t>Regina, Saskatchewan, Canada</t>
        </is>
      </c>
      <c r="P2495" t="n">
        <v>1451.83</v>
      </c>
      <c r="Q2495" t="n">
        <v>342.46</v>
      </c>
      <c r="R2495" t="n">
        <v>754.59</v>
      </c>
      <c r="S2495" t="n">
        <v>398.2</v>
      </c>
      <c r="T2495" t="n">
        <v>0</v>
      </c>
      <c r="U2495" t="n">
        <v>2947.08</v>
      </c>
      <c r="X2495" t="inlineStr">
        <is>
          <t>aafc-aac</t>
        </is>
      </c>
      <c r="Y2495" t="inlineStr">
        <is>
          <t>Agriculture and Agri-Food Canada | Agriculture et Agroalimentaire Canada</t>
        </is>
      </c>
      <c r="Z2495" t="n">
        <v>4</v>
      </c>
      <c r="AA2495" t="n">
        <v>2947.08</v>
      </c>
      <c r="AB2495">
        <f>ROUND(U2495-AA2495,2)</f>
        <v/>
      </c>
      <c r="AC2495" t="b">
        <v>0</v>
      </c>
      <c r="AD2495">
        <f>IF(U2495="","MISSING_TOTAL",IF(ABS(AB2495)&lt;=0.01,"OK","CHECK"))</f>
        <v/>
      </c>
      <c r="AE2495">
        <f>IF(U2495="","MISSING",IF(AND(AA2495&gt;0,U2495/AA2495&gt;50),"POSSIBLE_SCALE_ERROR","OK"))</f>
        <v/>
      </c>
    </row>
    <row r="2496">
      <c r="A2496" t="inlineStr">
        <is>
          <t>T-AAFC-2026-P03-004</t>
        </is>
      </c>
      <c r="B2496" t="inlineStr">
        <is>
          <t>SLE</t>
        </is>
      </c>
      <c r="C2496" t="inlineStr">
        <is>
          <t>Assistant Deputy Minister, Science and Technology Branch</t>
        </is>
      </c>
      <c r="D2496" t="inlineStr">
        <is>
          <t>Sous-ministre adjoint, Direction générale des sciences et de la technologie</t>
        </is>
      </c>
      <c r="E2496" t="inlineStr">
        <is>
          <t>Gilles Saindon</t>
        </is>
      </c>
      <c r="F2496" t="inlineStr">
        <is>
          <t>Outreach to Quebec and Sherbrooke Research and Development Centres</t>
        </is>
      </c>
      <c r="G2496" t="inlineStr">
        <is>
          <t>Réunions de sensibilisation aux Centres de recherche de Québec et de Sherbrooke</t>
        </is>
      </c>
      <c r="H2496" s="1" t="n">
        <v>45816</v>
      </c>
      <c r="I2496" s="1" t="n">
        <v>45818</v>
      </c>
      <c r="J2496" t="inlineStr">
        <is>
          <t>Quebec, Quebec, Canada</t>
        </is>
      </c>
      <c r="K2496" t="inlineStr">
        <is>
          <t>Québec, Québec, Canada</t>
        </is>
      </c>
      <c r="L2496" t="inlineStr">
        <is>
          <t>Sherbrooke, Quebec, Canada</t>
        </is>
      </c>
      <c r="M2496" t="inlineStr">
        <is>
          <t>Sherbrooke, Québec, Canada</t>
        </is>
      </c>
      <c r="P2496" t="n">
        <v>0</v>
      </c>
      <c r="Q2496" t="n">
        <v>710.24</v>
      </c>
      <c r="R2496" t="n">
        <v>368.92</v>
      </c>
      <c r="S2496" t="n">
        <v>364</v>
      </c>
      <c r="T2496" t="n">
        <v>0</v>
      </c>
      <c r="U2496" t="n">
        <v>1443.16</v>
      </c>
      <c r="X2496" t="inlineStr">
        <is>
          <t>aafc-aac</t>
        </is>
      </c>
      <c r="Y2496" t="inlineStr">
        <is>
          <t>Agriculture and Agri-Food Canada | Agriculture et Agroalimentaire Canada</t>
        </is>
      </c>
      <c r="Z2496" t="n">
        <v>3</v>
      </c>
      <c r="AA2496" t="n">
        <v>1443.16</v>
      </c>
      <c r="AB2496">
        <f>ROUND(U2496-AA2496,2)</f>
        <v/>
      </c>
      <c r="AC2496" t="b">
        <v>0</v>
      </c>
      <c r="AD2496">
        <f>IF(U2496="","MISSING_TOTAL",IF(ABS(AB2496)&lt;=0.01,"OK","CHECK"))</f>
        <v/>
      </c>
      <c r="AE2496">
        <f>IF(U2496="","MISSING",IF(AND(AA2496&gt;0,U2496/AA2496&gt;50),"POSSIBLE_SCALE_ERROR","OK"))</f>
        <v/>
      </c>
    </row>
    <row r="2497">
      <c r="A2497" t="inlineStr">
        <is>
          <t>T-AAFC-2026-P03-005</t>
        </is>
      </c>
      <c r="B2497" t="inlineStr">
        <is>
          <t>SLE</t>
        </is>
      </c>
      <c r="C2497" t="inlineStr">
        <is>
          <t>Assistant Deputy Minister, Science and Technology Branch</t>
        </is>
      </c>
      <c r="D2497" t="inlineStr">
        <is>
          <t>Sous-ministre adjoint, Direction générale des sciences et de la technologie</t>
        </is>
      </c>
      <c r="E2497" t="inlineStr">
        <is>
          <t>Gilles Saindon</t>
        </is>
      </c>
      <c r="F2497" t="inlineStr">
        <is>
          <t>To attend the Annual Tetrapartite meeting of the Heads of National Agriculture Research organization from Canada, United State, France and the United Kingdom</t>
        </is>
      </c>
      <c r="G2497" t="inlineStr">
        <is>
          <t>Participer à la réunion annuelle tétrapartite des chefs des organisations nationales de recherche agricole du Canada, des États-Unis, de la France et du Royaume-Uni.</t>
        </is>
      </c>
      <c r="H2497" s="1" t="n">
        <v>45821</v>
      </c>
      <c r="I2497" s="1" t="n">
        <v>45827</v>
      </c>
      <c r="J2497" t="inlineStr">
        <is>
          <t>Bordeaux, France</t>
        </is>
      </c>
      <c r="K2497" t="inlineStr">
        <is>
          <t>Bordeaux, France</t>
        </is>
      </c>
      <c r="P2497" t="n">
        <v>2135.25</v>
      </c>
      <c r="Q2497" t="n">
        <v>505.62</v>
      </c>
      <c r="R2497" t="n">
        <v>2657.78</v>
      </c>
      <c r="S2497" t="n">
        <v>725.6</v>
      </c>
      <c r="T2497" t="n">
        <v>3.5</v>
      </c>
      <c r="U2497" t="n">
        <v>6027.75</v>
      </c>
      <c r="X2497" t="inlineStr">
        <is>
          <t>aafc-aac</t>
        </is>
      </c>
      <c r="Y2497" t="inlineStr">
        <is>
          <t>Agriculture and Agri-Food Canada | Agriculture et Agroalimentaire Canada</t>
        </is>
      </c>
      <c r="Z2497" t="n">
        <v>7</v>
      </c>
      <c r="AA2497" t="n">
        <v>6027.75</v>
      </c>
      <c r="AB2497">
        <f>ROUND(U2497-AA2497,2)</f>
        <v/>
      </c>
      <c r="AC2497" t="b">
        <v>0</v>
      </c>
      <c r="AD2497">
        <f>IF(U2497="","MISSING_TOTAL",IF(ABS(AB2497)&lt;=0.01,"OK","CHECK"))</f>
        <v/>
      </c>
      <c r="AE2497">
        <f>IF(U2497="","MISSING",IF(AND(AA2497&gt;0,U2497/AA2497&gt;50),"POSSIBLE_SCALE_ERROR","OK"))</f>
        <v/>
      </c>
    </row>
    <row r="2498">
      <c r="A2498" t="inlineStr">
        <is>
          <t>T-AAFC-2026-P03-006</t>
        </is>
      </c>
      <c r="B2498" t="inlineStr">
        <is>
          <t>SLE</t>
        </is>
      </c>
      <c r="C2498" t="inlineStr">
        <is>
          <t>Associate Assistant Deputy Minister, Science and Technology Branch</t>
        </is>
      </c>
      <c r="D2498" t="inlineStr">
        <is>
          <t>Sous-ministre adjoint délégué, Direction générale des sciences et de la technologie</t>
        </is>
      </c>
      <c r="E2498" t="inlineStr">
        <is>
          <t>Andrew Goldstein</t>
        </is>
      </c>
      <c r="F2498" t="inlineStr">
        <is>
          <t>Outreach visit and meet with staff at the Morden and Brandon Research and Development Centres. Meet with AAFC staff located in Winnipeg.</t>
        </is>
      </c>
      <c r="G2498" t="inlineStr">
        <is>
          <t>Rencontre de sensibilisation avec le personnel des centres de recherche et de développement de Morden et Brandon. Rencontre avec le personnel d’ACC situé à Winnipeg.</t>
        </is>
      </c>
      <c r="H2498" s="1" t="n">
        <v>45810</v>
      </c>
      <c r="I2498" s="1" t="n">
        <v>45813</v>
      </c>
      <c r="J2498" t="inlineStr">
        <is>
          <t>Morden, Manitoba, Canada</t>
        </is>
      </c>
      <c r="K2498" t="inlineStr">
        <is>
          <t>Morden, Manitoba, Canada</t>
        </is>
      </c>
      <c r="L2498" t="inlineStr">
        <is>
          <t>Brandon, Manitoba, Canada</t>
        </is>
      </c>
      <c r="M2498" t="inlineStr">
        <is>
          <t>Brandon, Manitoba, Canada</t>
        </is>
      </c>
      <c r="N2498" t="inlineStr">
        <is>
          <t>Winnipeg, Manitoba, Canada</t>
        </is>
      </c>
      <c r="O2498" t="inlineStr">
        <is>
          <t>Winnipeg, Manitoba, Canada</t>
        </is>
      </c>
      <c r="P2498" t="n">
        <v>956.39</v>
      </c>
      <c r="Q2498" t="n">
        <v>108.1</v>
      </c>
      <c r="R2498" t="n">
        <v>548.9</v>
      </c>
      <c r="S2498" t="n">
        <v>438</v>
      </c>
      <c r="T2498" t="n">
        <v>0</v>
      </c>
      <c r="U2498" t="n">
        <v>2051.39</v>
      </c>
      <c r="X2498" t="inlineStr">
        <is>
          <t>aafc-aac</t>
        </is>
      </c>
      <c r="Y2498" t="inlineStr">
        <is>
          <t>Agriculture and Agri-Food Canada | Agriculture et Agroalimentaire Canada</t>
        </is>
      </c>
      <c r="Z2498" t="n">
        <v>4</v>
      </c>
      <c r="AA2498" t="n">
        <v>2051.39</v>
      </c>
      <c r="AB2498">
        <f>ROUND(U2498-AA2498,2)</f>
        <v/>
      </c>
      <c r="AC2498" t="b">
        <v>0</v>
      </c>
      <c r="AD2498">
        <f>IF(U2498="","MISSING_TOTAL",IF(ABS(AB2498)&lt;=0.01,"OK","CHECK"))</f>
        <v/>
      </c>
      <c r="AE2498">
        <f>IF(U2498="","MISSING",IF(AND(AA2498&gt;0,U2498/AA2498&gt;50),"POSSIBLE_SCALE_ERROR","OK"))</f>
        <v/>
      </c>
    </row>
    <row r="2499">
      <c r="A2499" t="inlineStr">
        <is>
          <t>T-AAFC-2026-P03-007</t>
        </is>
      </c>
      <c r="B2499" t="inlineStr">
        <is>
          <t>SLE</t>
        </is>
      </c>
      <c r="C2499" t="inlineStr">
        <is>
          <t>Assistant Deputy Minister, Corporate Management Branch</t>
        </is>
      </c>
      <c r="D2499" t="inlineStr">
        <is>
          <t>Sous-ministre adjoint, Direction générale de la gestion intégrée</t>
        </is>
      </c>
      <c r="E2499" t="inlineStr">
        <is>
          <t>Alain Lagacé</t>
        </is>
      </c>
      <c r="F2499" t="inlineStr">
        <is>
          <t>To attend a meeting</t>
        </is>
      </c>
      <c r="G2499" t="inlineStr">
        <is>
          <t>Assister à une réunion</t>
        </is>
      </c>
      <c r="H2499" s="1" t="n">
        <v>45820</v>
      </c>
      <c r="I2499" s="1" t="n">
        <v>45820</v>
      </c>
      <c r="J2499" t="inlineStr">
        <is>
          <t>Ottawa, Ontario, Canada</t>
        </is>
      </c>
      <c r="K2499" t="inlineStr">
        <is>
          <t>Ottawa, Ontario, Canada</t>
        </is>
      </c>
      <c r="P2499" t="n">
        <v>0</v>
      </c>
      <c r="Q2499" t="n">
        <v>26.5</v>
      </c>
      <c r="R2499" t="n">
        <v>0</v>
      </c>
      <c r="S2499" t="n">
        <v>0</v>
      </c>
      <c r="T2499" t="n">
        <v>0</v>
      </c>
      <c r="U2499" t="n">
        <v>26.5</v>
      </c>
      <c r="X2499" t="inlineStr">
        <is>
          <t>aafc-aac</t>
        </is>
      </c>
      <c r="Y2499" t="inlineStr">
        <is>
          <t>Agriculture and Agri-Food Canada | Agriculture et Agroalimentaire Canada</t>
        </is>
      </c>
      <c r="Z2499" t="n">
        <v>1</v>
      </c>
      <c r="AA2499" t="n">
        <v>26.5</v>
      </c>
      <c r="AB2499">
        <f>ROUND(U2499-AA2499,2)</f>
        <v/>
      </c>
      <c r="AC2499" t="b">
        <v>0</v>
      </c>
      <c r="AD2499">
        <f>IF(U2499="","MISSING_TOTAL",IF(ABS(AB2499)&lt;=0.01,"OK","CHECK"))</f>
        <v/>
      </c>
      <c r="AE2499">
        <f>IF(U2499="","MISSING",IF(AND(AA2499&gt;0,U2499/AA2499&gt;50),"POSSIBLE_SCALE_ERROR","OK"))</f>
        <v/>
      </c>
    </row>
    <row r="2500">
      <c r="A2500" t="inlineStr">
        <is>
          <t>T-AAFC-2026-P03-008</t>
        </is>
      </c>
      <c r="B2500" t="inlineStr">
        <is>
          <t>SLE</t>
        </is>
      </c>
      <c r="C2500" t="inlineStr">
        <is>
          <t>Assistant Deputy Minister, Strategic Policy Branch</t>
        </is>
      </c>
      <c r="D2500" t="inlineStr">
        <is>
          <t>Sous-ministre adjointe, Direction générale des politiques stratégiques</t>
        </is>
      </c>
      <c r="E2500" t="inlineStr">
        <is>
          <t>Shannon Nix</t>
        </is>
      </c>
      <c r="F2500" t="inlineStr">
        <is>
          <t>To attend a meeting in Ottawa</t>
        </is>
      </c>
      <c r="G2500" t="inlineStr">
        <is>
          <t>Participer à une rencontre à Ottawa</t>
        </is>
      </c>
      <c r="H2500" s="1" t="n">
        <v>45747</v>
      </c>
      <c r="I2500" s="1" t="n">
        <v>45833</v>
      </c>
      <c r="J2500" t="inlineStr">
        <is>
          <t>Ottawa, Ontario, Canada</t>
        </is>
      </c>
      <c r="K2500" t="inlineStr">
        <is>
          <t>Ottawa, Ontario, Canada</t>
        </is>
      </c>
      <c r="P2500" t="n">
        <v>0</v>
      </c>
      <c r="Q2500" t="n">
        <v>171.31</v>
      </c>
      <c r="R2500" t="n">
        <v>0</v>
      </c>
      <c r="S2500" t="n">
        <v>0</v>
      </c>
      <c r="T2500" t="n">
        <v>0</v>
      </c>
      <c r="U2500" t="n">
        <v>171.31</v>
      </c>
      <c r="X2500" t="inlineStr">
        <is>
          <t>aafc-aac</t>
        </is>
      </c>
      <c r="Y2500" t="inlineStr">
        <is>
          <t>Agriculture and Agri-Food Canada | Agriculture et Agroalimentaire Canada</t>
        </is>
      </c>
      <c r="Z2500" t="n">
        <v>87</v>
      </c>
      <c r="AA2500" t="n">
        <v>171.31</v>
      </c>
      <c r="AB2500">
        <f>ROUND(U2500-AA2500,2)</f>
        <v/>
      </c>
      <c r="AC2500" t="b">
        <v>0</v>
      </c>
      <c r="AD2500">
        <f>IF(U2500="","MISSING_TOTAL",IF(ABS(AB2500)&lt;=0.01,"OK","CHECK"))</f>
        <v/>
      </c>
      <c r="AE2500">
        <f>IF(U2500="","MISSING",IF(AND(AA2500&gt;0,U2500/AA2500&gt;50),"POSSIBLE_SCALE_ERROR","OK"))</f>
        <v/>
      </c>
    </row>
    <row r="2501">
      <c r="A2501" t="inlineStr">
        <is>
          <t>T-AAFC-2026-P03-009</t>
        </is>
      </c>
      <c r="B2501" t="inlineStr">
        <is>
          <t>SLE</t>
        </is>
      </c>
      <c r="C2501" t="inlineStr">
        <is>
          <t>Assistant Deputy Minister, Programs Branch</t>
        </is>
      </c>
      <c r="D2501" t="inlineStr">
        <is>
          <t>Sous-ministre adjointe, Direction générale des programmes</t>
        </is>
      </c>
      <c r="E2501" t="inlineStr">
        <is>
          <t>Liz Foster</t>
        </is>
      </c>
      <c r="F2501" t="inlineStr">
        <is>
          <t>To attend a conference</t>
        </is>
      </c>
      <c r="G2501" t="inlineStr">
        <is>
          <t>Assister à une conférence</t>
        </is>
      </c>
      <c r="H2501" s="1" t="n">
        <v>45811</v>
      </c>
      <c r="I2501" s="1" t="n">
        <v>45811</v>
      </c>
      <c r="J2501" t="inlineStr">
        <is>
          <t>Ottawa, Ontario, Canada</t>
        </is>
      </c>
      <c r="K2501" t="inlineStr">
        <is>
          <t>Ottawa, Ontario, Canada</t>
        </is>
      </c>
      <c r="P2501" t="n">
        <v>0</v>
      </c>
      <c r="Q2501" t="n">
        <v>20</v>
      </c>
      <c r="R2501" t="n">
        <v>0</v>
      </c>
      <c r="S2501" t="n">
        <v>0</v>
      </c>
      <c r="T2501" t="n">
        <v>0</v>
      </c>
      <c r="U2501" t="n">
        <v>20</v>
      </c>
      <c r="X2501" t="inlineStr">
        <is>
          <t>aafc-aac</t>
        </is>
      </c>
      <c r="Y2501" t="inlineStr">
        <is>
          <t>Agriculture and Agri-Food Canada | Agriculture et Agroalimentaire Canada</t>
        </is>
      </c>
      <c r="Z2501" t="n">
        <v>1</v>
      </c>
      <c r="AA2501" t="n">
        <v>20</v>
      </c>
      <c r="AB2501">
        <f>ROUND(U2501-AA2501,2)</f>
        <v/>
      </c>
      <c r="AC2501" t="b">
        <v>0</v>
      </c>
      <c r="AD2501">
        <f>IF(U2501="","MISSING_TOTAL",IF(ABS(AB2501)&lt;=0.01,"OK","CHECK"))</f>
        <v/>
      </c>
      <c r="AE2501">
        <f>IF(U2501="","MISSING",IF(AND(AA2501&gt;0,U2501/AA2501&gt;50),"POSSIBLE_SCALE_ERROR","OK"))</f>
        <v/>
      </c>
    </row>
    <row r="2502">
      <c r="A2502" t="inlineStr">
        <is>
          <t>T-AAFC-2026-P03-010</t>
        </is>
      </c>
      <c r="B2502" t="inlineStr">
        <is>
          <t>SLE</t>
        </is>
      </c>
      <c r="C2502" t="inlineStr">
        <is>
          <t>Assistant Deputy Minister, Programs Branch</t>
        </is>
      </c>
      <c r="D2502" t="inlineStr">
        <is>
          <t>Sous-ministre adjointe, Direction générale des programmes</t>
        </is>
      </c>
      <c r="E2502" t="inlineStr">
        <is>
          <t>Liz Foster</t>
        </is>
      </c>
      <c r="F2502" t="inlineStr">
        <is>
          <t>To attend a ceremony</t>
        </is>
      </c>
      <c r="G2502" t="inlineStr">
        <is>
          <t>Assister à une cérémonie</t>
        </is>
      </c>
      <c r="H2502" s="1" t="n">
        <v>45818</v>
      </c>
      <c r="I2502" s="1" t="n">
        <v>45818</v>
      </c>
      <c r="J2502" t="inlineStr">
        <is>
          <t>Ottawa, Ontario, Canada</t>
        </is>
      </c>
      <c r="K2502" t="inlineStr">
        <is>
          <t>Ottawa, Ontario, Canada</t>
        </is>
      </c>
      <c r="P2502" t="n">
        <v>0</v>
      </c>
      <c r="Q2502" t="n">
        <v>11.35</v>
      </c>
      <c r="R2502" t="n">
        <v>0</v>
      </c>
      <c r="S2502" t="n">
        <v>0</v>
      </c>
      <c r="T2502" t="n">
        <v>0</v>
      </c>
      <c r="U2502" t="n">
        <v>11.35</v>
      </c>
      <c r="X2502" t="inlineStr">
        <is>
          <t>aafc-aac</t>
        </is>
      </c>
      <c r="Y2502" t="inlineStr">
        <is>
          <t>Agriculture and Agri-Food Canada | Agriculture et Agroalimentaire Canada</t>
        </is>
      </c>
      <c r="Z2502" t="n">
        <v>1</v>
      </c>
      <c r="AA2502" t="n">
        <v>11.35</v>
      </c>
      <c r="AB2502">
        <f>ROUND(U2502-AA2502,2)</f>
        <v/>
      </c>
      <c r="AC2502" t="b">
        <v>0</v>
      </c>
      <c r="AD2502">
        <f>IF(U2502="","MISSING_TOTAL",IF(ABS(AB2502)&lt;=0.01,"OK","CHECK"))</f>
        <v/>
      </c>
      <c r="AE2502">
        <f>IF(U2502="","MISSING",IF(AND(AA2502&gt;0,U2502/AA2502&gt;50),"POSSIBLE_SCALE_ERROR","OK"))</f>
        <v/>
      </c>
    </row>
    <row r="2503">
      <c r="A2503" t="inlineStr">
        <is>
          <t>T-AAFC-2026-P03-011</t>
        </is>
      </c>
      <c r="B2503" t="inlineStr">
        <is>
          <t>SLE</t>
        </is>
      </c>
      <c r="C2503" t="inlineStr">
        <is>
          <t>Assistant Deputy Minister, Market and Industry Services Branch</t>
        </is>
      </c>
      <c r="D2503" t="inlineStr">
        <is>
          <t>Sous-ministre adjoint, Direction générale des services à l'industrie et aux marchés</t>
        </is>
      </c>
      <c r="E2503" t="inlineStr">
        <is>
          <t>Tom Rosser</t>
        </is>
      </c>
      <c r="F2503" t="inlineStr">
        <is>
          <t>To support the Minister on an Outreach in Regina</t>
        </is>
      </c>
      <c r="G2503" t="inlineStr">
        <is>
          <t>Soutenir le ministre lors d'une action de sensibilisation à Regina</t>
        </is>
      </c>
      <c r="H2503" s="1" t="n">
        <v>45820</v>
      </c>
      <c r="I2503" s="1" t="n">
        <v>45823</v>
      </c>
      <c r="J2503" t="inlineStr">
        <is>
          <t>Regina, Saskatchewan, Canada</t>
        </is>
      </c>
      <c r="K2503" t="inlineStr">
        <is>
          <t>Regina, Saskatchewan, Canada</t>
        </is>
      </c>
      <c r="P2503" t="n">
        <v>1406.6</v>
      </c>
      <c r="Q2503" t="n">
        <v>127.23</v>
      </c>
      <c r="R2503" t="n">
        <v>909.41</v>
      </c>
      <c r="S2503" t="n">
        <v>382.2</v>
      </c>
      <c r="T2503" t="n">
        <v>0</v>
      </c>
      <c r="U2503" t="n">
        <v>2825.44</v>
      </c>
      <c r="X2503" t="inlineStr">
        <is>
          <t>aafc-aac</t>
        </is>
      </c>
      <c r="Y2503" t="inlineStr">
        <is>
          <t>Agriculture and Agri-Food Canada | Agriculture et Agroalimentaire Canada</t>
        </is>
      </c>
      <c r="Z2503" t="n">
        <v>4</v>
      </c>
      <c r="AA2503" t="n">
        <v>2825.43999999999</v>
      </c>
      <c r="AB2503">
        <f>ROUND(U2503-AA2503,2)</f>
        <v/>
      </c>
      <c r="AC2503" t="b">
        <v>0</v>
      </c>
      <c r="AD2503">
        <f>IF(U2503="","MISSING_TOTAL",IF(ABS(AB2503)&lt;=0.01,"OK","CHECK"))</f>
        <v/>
      </c>
      <c r="AE2503">
        <f>IF(U2503="","MISSING",IF(AND(AA2503&gt;0,U2503/AA2503&gt;50),"POSSIBLE_SCALE_ERROR","OK"))</f>
        <v/>
      </c>
    </row>
    <row r="2504">
      <c r="A2504" t="inlineStr">
        <is>
          <t>T-AAFC-2026-P03-012</t>
        </is>
      </c>
      <c r="B2504" t="inlineStr">
        <is>
          <t>SLE</t>
        </is>
      </c>
      <c r="C2504" t="inlineStr">
        <is>
          <t>Assistant Deputy Minister, Market and Industry Services Branch</t>
        </is>
      </c>
      <c r="D2504" t="inlineStr">
        <is>
          <t>Sous-ministre adjoint, Direction générale des services à l'industrie et aux marchés</t>
        </is>
      </c>
      <c r="E2504" t="inlineStr">
        <is>
          <t>Tom Rosser</t>
        </is>
      </c>
      <c r="F2504" t="inlineStr">
        <is>
          <t>To attend meetings in Calgary</t>
        </is>
      </c>
      <c r="G2504" t="inlineStr">
        <is>
          <t>Assister à des réunions à Calgary</t>
        </is>
      </c>
      <c r="H2504" s="1" t="n">
        <v>45823</v>
      </c>
      <c r="I2504" s="1" t="n">
        <v>45825</v>
      </c>
      <c r="J2504" t="inlineStr">
        <is>
          <t>Calgary, Alberta, Canada</t>
        </is>
      </c>
      <c r="K2504" t="inlineStr">
        <is>
          <t>Calgary, Alberta, Canada</t>
        </is>
      </c>
      <c r="P2504" t="n">
        <v>518.54</v>
      </c>
      <c r="Q2504" t="n">
        <v>320.89</v>
      </c>
      <c r="R2504" t="n">
        <v>354.66</v>
      </c>
      <c r="S2504" t="n">
        <v>249.5</v>
      </c>
      <c r="T2504" t="n">
        <v>0</v>
      </c>
      <c r="U2504" t="n">
        <v>1443.59</v>
      </c>
      <c r="X2504" t="inlineStr">
        <is>
          <t>aafc-aac</t>
        </is>
      </c>
      <c r="Y2504" t="inlineStr">
        <is>
          <t>Agriculture and Agri-Food Canada | Agriculture et Agroalimentaire Canada</t>
        </is>
      </c>
      <c r="Z2504" t="n">
        <v>3</v>
      </c>
      <c r="AA2504" t="n">
        <v>1443.59</v>
      </c>
      <c r="AB2504">
        <f>ROUND(U2504-AA2504,2)</f>
        <v/>
      </c>
      <c r="AC2504" t="b">
        <v>0</v>
      </c>
      <c r="AD2504">
        <f>IF(U2504="","MISSING_TOTAL",IF(ABS(AB2504)&lt;=0.01,"OK","CHECK"))</f>
        <v/>
      </c>
      <c r="AE2504">
        <f>IF(U2504="","MISSING",IF(AND(AA2504&gt;0,U2504/AA2504&gt;50),"POSSIBLE_SCALE_ERROR","OK"))</f>
        <v/>
      </c>
    </row>
    <row r="2505">
      <c r="A2505" t="inlineStr">
        <is>
          <t>T-AAFC-2026-P03-013</t>
        </is>
      </c>
      <c r="B2505" t="inlineStr">
        <is>
          <t>SLE</t>
        </is>
      </c>
      <c r="C2505" t="inlineStr">
        <is>
          <t>Assistant Deputy Minister, Market and Industry Services Branch</t>
        </is>
      </c>
      <c r="D2505" t="inlineStr">
        <is>
          <t>Sous-ministre adjoint, Direction générale des services à l'industrie et aux marchés</t>
        </is>
      </c>
      <c r="E2505" t="inlineStr">
        <is>
          <t>Tom Rosser</t>
        </is>
      </c>
      <c r="F2505" t="inlineStr">
        <is>
          <t>To attend the regional office's retreat</t>
        </is>
      </c>
      <c r="G2505" t="inlineStr">
        <is>
          <t>Participer à la retraite du bureau régional</t>
        </is>
      </c>
      <c r="H2505" s="1" t="n">
        <v>45805</v>
      </c>
      <c r="I2505" s="1" t="n">
        <v>45807</v>
      </c>
      <c r="J2505" t="inlineStr">
        <is>
          <t>Regina, Saskatchewan, Canada</t>
        </is>
      </c>
      <c r="K2505" t="inlineStr">
        <is>
          <t>Regina, Saskatchewan, Canada</t>
        </is>
      </c>
      <c r="P2505" t="n">
        <v>2590.04</v>
      </c>
      <c r="Q2505" t="n">
        <v>188.63</v>
      </c>
      <c r="R2505" t="n">
        <v>349.42</v>
      </c>
      <c r="S2505" t="n">
        <v>250.5</v>
      </c>
      <c r="T2505" t="n">
        <v>0</v>
      </c>
      <c r="U2505" t="n">
        <v>3378.59</v>
      </c>
      <c r="X2505" t="inlineStr">
        <is>
          <t>aafc-aac</t>
        </is>
      </c>
      <c r="Y2505" t="inlineStr">
        <is>
          <t>Agriculture and Agri-Food Canada | Agriculture et Agroalimentaire Canada</t>
        </is>
      </c>
      <c r="Z2505" t="n">
        <v>3</v>
      </c>
      <c r="AA2505" t="n">
        <v>3378.59</v>
      </c>
      <c r="AB2505">
        <f>ROUND(U2505-AA2505,2)</f>
        <v/>
      </c>
      <c r="AC2505" t="b">
        <v>0</v>
      </c>
      <c r="AD2505">
        <f>IF(U2505="","MISSING_TOTAL",IF(ABS(AB2505)&lt;=0.01,"OK","CHECK"))</f>
        <v/>
      </c>
      <c r="AE2505">
        <f>IF(U2505="","MISSING",IF(AND(AA2505&gt;0,U2505/AA2505&gt;50),"POSSIBLE_SCALE_ERROR","OK"))</f>
        <v/>
      </c>
    </row>
    <row r="2506">
      <c r="A2506" t="inlineStr">
        <is>
          <t>T-AAFC-2026-P04-001</t>
        </is>
      </c>
      <c r="B2506" t="inlineStr">
        <is>
          <t>MPSES</t>
        </is>
      </c>
      <c r="C2506" t="inlineStr">
        <is>
          <t>Minister</t>
        </is>
      </c>
      <c r="D2506" t="inlineStr">
        <is>
          <t>Ministre</t>
        </is>
      </c>
      <c r="E2506" t="inlineStr">
        <is>
          <t>Heath MacDonald</t>
        </is>
      </c>
      <c r="F2506" t="inlineStr">
        <is>
          <t>To attend an Atlantic Outreach</t>
        </is>
      </c>
      <c r="G2506" t="inlineStr">
        <is>
          <t>Participer à une activité de sensibilisation dans la région de l'Atlantique</t>
        </is>
      </c>
      <c r="H2506" s="1" t="n">
        <v>45840</v>
      </c>
      <c r="I2506" s="1" t="n">
        <v>45842</v>
      </c>
      <c r="J2506" t="inlineStr">
        <is>
          <t>Charlottetown, Prince Edward Island, Canada</t>
        </is>
      </c>
      <c r="K2506" t="inlineStr">
        <is>
          <t>Charlottetown, Île-du-Prince-Édouard, Canada</t>
        </is>
      </c>
      <c r="L2506" t="inlineStr">
        <is>
          <t>Fredericton, New Brunswick, Canada</t>
        </is>
      </c>
      <c r="M2506" t="inlineStr">
        <is>
          <t>Fredericton, Nouveau-Brunswick, Canada</t>
        </is>
      </c>
      <c r="N2506" t="inlineStr">
        <is>
          <t>Amherst, Nova Scotia, Canada</t>
        </is>
      </c>
      <c r="O2506" t="inlineStr">
        <is>
          <t>Amherst, Nouvelle-Écosse, Canada</t>
        </is>
      </c>
      <c r="P2506" t="n">
        <v>0</v>
      </c>
      <c r="Q2506" t="n">
        <v>0</v>
      </c>
      <c r="R2506" t="n">
        <v>557.17</v>
      </c>
      <c r="S2506" t="n">
        <v>226</v>
      </c>
      <c r="T2506" t="n">
        <v>0</v>
      </c>
      <c r="U2506" t="n">
        <v>783.17</v>
      </c>
      <c r="X2506" t="inlineStr">
        <is>
          <t>aafc-aac</t>
        </is>
      </c>
      <c r="Y2506" t="inlineStr">
        <is>
          <t>Agriculture and Agri-Food Canada | Agriculture et Agroalimentaire Canada</t>
        </is>
      </c>
      <c r="Z2506" t="n">
        <v>3</v>
      </c>
      <c r="AA2506" t="n">
        <v>783.17</v>
      </c>
      <c r="AB2506">
        <f>ROUND(U2506-AA2506,2)</f>
        <v/>
      </c>
      <c r="AC2506" t="b">
        <v>0</v>
      </c>
      <c r="AD2506">
        <f>IF(U2506="","MISSING_TOTAL",IF(ABS(AB2506)&lt;=0.01,"OK","CHECK"))</f>
        <v/>
      </c>
      <c r="AE2506">
        <f>IF(U2506="","MISSING",IF(AND(AA2506&gt;0,U2506/AA2506&gt;50),"POSSIBLE_SCALE_ERROR","OK"))</f>
        <v/>
      </c>
    </row>
    <row r="2507">
      <c r="A2507" t="inlineStr">
        <is>
          <t>T-AAFC-2026-P04-002</t>
        </is>
      </c>
      <c r="B2507" t="inlineStr">
        <is>
          <t>MPSES</t>
        </is>
      </c>
      <c r="C2507" t="inlineStr">
        <is>
          <t>Minister</t>
        </is>
      </c>
      <c r="D2507" t="inlineStr">
        <is>
          <t>Ministre</t>
        </is>
      </c>
      <c r="E2507" t="inlineStr">
        <is>
          <t>Heath MacDonald</t>
        </is>
      </c>
      <c r="F2507" t="inlineStr">
        <is>
          <t>To attend the Calgary Stampede</t>
        </is>
      </c>
      <c r="G2507" t="inlineStr">
        <is>
          <t>Assister au Stampede de Calgary</t>
        </is>
      </c>
      <c r="H2507" s="1" t="n">
        <v>45845</v>
      </c>
      <c r="I2507" s="1" t="n">
        <v>45849</v>
      </c>
      <c r="J2507" t="inlineStr">
        <is>
          <t>Calgary, Alberta, Canada</t>
        </is>
      </c>
      <c r="K2507" t="inlineStr">
        <is>
          <t>Calgary, Alberta, Canada</t>
        </is>
      </c>
      <c r="P2507" t="n">
        <v>4450.84</v>
      </c>
      <c r="Q2507" t="n">
        <v>0</v>
      </c>
      <c r="R2507" t="n">
        <v>2919.5</v>
      </c>
      <c r="S2507" t="n">
        <v>426.6</v>
      </c>
      <c r="T2507" t="n">
        <v>0</v>
      </c>
      <c r="U2507" t="n">
        <v>7796.94</v>
      </c>
      <c r="X2507" t="inlineStr">
        <is>
          <t>aafc-aac</t>
        </is>
      </c>
      <c r="Y2507" t="inlineStr">
        <is>
          <t>Agriculture and Agri-Food Canada | Agriculture et Agroalimentaire Canada</t>
        </is>
      </c>
      <c r="Z2507" t="n">
        <v>5</v>
      </c>
      <c r="AA2507" t="n">
        <v>7796.94</v>
      </c>
      <c r="AB2507">
        <f>ROUND(U2507-AA2507,2)</f>
        <v/>
      </c>
      <c r="AC2507" t="b">
        <v>0</v>
      </c>
      <c r="AD2507">
        <f>IF(U2507="","MISSING_TOTAL",IF(ABS(AB2507)&lt;=0.01,"OK","CHECK"))</f>
        <v/>
      </c>
      <c r="AE2507">
        <f>IF(U2507="","MISSING",IF(AND(AA2507&gt;0,U2507/AA2507&gt;50),"POSSIBLE_SCALE_ERROR","OK"))</f>
        <v/>
      </c>
    </row>
    <row r="2508">
      <c r="A2508" t="inlineStr">
        <is>
          <t>T-AAFC-2026-P04-003</t>
        </is>
      </c>
      <c r="B2508" t="inlineStr">
        <is>
          <t>MPSES</t>
        </is>
      </c>
      <c r="C2508" t="inlineStr">
        <is>
          <t>Minister</t>
        </is>
      </c>
      <c r="D2508" t="inlineStr">
        <is>
          <t>Ministre</t>
        </is>
      </c>
      <c r="E2508" t="inlineStr">
        <is>
          <t>Heath MacDonald</t>
        </is>
      </c>
      <c r="F2508" t="inlineStr">
        <is>
          <t>To attend a tour and meetings</t>
        </is>
      </c>
      <c r="G2508" t="inlineStr">
        <is>
          <t>Participer à une visite et à des réunions</t>
        </is>
      </c>
      <c r="H2508" s="1" t="n">
        <v>45858</v>
      </c>
      <c r="I2508" s="1" t="n">
        <v>45860</v>
      </c>
      <c r="J2508" t="inlineStr">
        <is>
          <t>Toronto, Ontario, Canada</t>
        </is>
      </c>
      <c r="K2508" t="inlineStr">
        <is>
          <t>Toronto, Ontario, Canada</t>
        </is>
      </c>
      <c r="P2508" t="n">
        <v>1122.71</v>
      </c>
      <c r="Q2508" t="n">
        <v>0</v>
      </c>
      <c r="R2508" t="n">
        <v>733.1799999999999</v>
      </c>
      <c r="S2508" t="n">
        <v>199.6</v>
      </c>
      <c r="T2508" t="n">
        <v>0</v>
      </c>
      <c r="U2508" t="n">
        <v>2055.49</v>
      </c>
      <c r="X2508" t="inlineStr">
        <is>
          <t>aafc-aac</t>
        </is>
      </c>
      <c r="Y2508" t="inlineStr">
        <is>
          <t>Agriculture and Agri-Food Canada | Agriculture et Agroalimentaire Canada</t>
        </is>
      </c>
      <c r="Z2508" t="n">
        <v>3</v>
      </c>
      <c r="AA2508" t="n">
        <v>2055.49</v>
      </c>
      <c r="AB2508">
        <f>ROUND(U2508-AA2508,2)</f>
        <v/>
      </c>
      <c r="AC2508" t="b">
        <v>0</v>
      </c>
      <c r="AD2508">
        <f>IF(U2508="","MISSING_TOTAL",IF(ABS(AB2508)&lt;=0.01,"OK","CHECK"))</f>
        <v/>
      </c>
      <c r="AE2508">
        <f>IF(U2508="","MISSING",IF(AND(AA2508&gt;0,U2508/AA2508&gt;50),"POSSIBLE_SCALE_ERROR","OK"))</f>
        <v/>
      </c>
    </row>
    <row r="2509">
      <c r="A2509" t="inlineStr">
        <is>
          <t>T-AAFC-2026-P04-004</t>
        </is>
      </c>
      <c r="B2509" t="inlineStr">
        <is>
          <t>MPSES</t>
        </is>
      </c>
      <c r="C2509" t="inlineStr">
        <is>
          <t>Director of Communications</t>
        </is>
      </c>
      <c r="D2509" t="inlineStr">
        <is>
          <t>Directrice des communications</t>
        </is>
      </c>
      <c r="E2509" t="inlineStr">
        <is>
          <t>Annie Cullinan</t>
        </is>
      </c>
      <c r="F2509" t="inlineStr">
        <is>
          <t>To support the Minister in attending an Atlantic Outreach</t>
        </is>
      </c>
      <c r="G2509" t="inlineStr">
        <is>
          <t>Soutenir le ministre lors d'une activité de sensibilisation dans la région de l'Atlantique</t>
        </is>
      </c>
      <c r="H2509" s="1" t="n">
        <v>45839</v>
      </c>
      <c r="I2509" s="1" t="n">
        <v>45843</v>
      </c>
      <c r="J2509" t="inlineStr">
        <is>
          <t>Charlottetown, Prince Edward Island, Canada</t>
        </is>
      </c>
      <c r="K2509" t="inlineStr">
        <is>
          <t>Charlottetown, Île-du-Prince-Édouard, Canada</t>
        </is>
      </c>
      <c r="L2509" t="inlineStr">
        <is>
          <t>Fredericton, New Brunswick, Canada</t>
        </is>
      </c>
      <c r="M2509" t="inlineStr">
        <is>
          <t>Fredericton, Nouveau-Brunswick, Canada</t>
        </is>
      </c>
      <c r="N2509" t="inlineStr">
        <is>
          <t>Amherst, Nova Scotia, Canada</t>
        </is>
      </c>
      <c r="O2509" t="inlineStr">
        <is>
          <t>Amherst, Nouvelle-Écosse, Canada</t>
        </is>
      </c>
      <c r="P2509" t="n">
        <v>1294.83</v>
      </c>
      <c r="Q2509" t="n">
        <v>98.70999999999999</v>
      </c>
      <c r="R2509" t="n">
        <v>1173.87</v>
      </c>
      <c r="S2509" t="n">
        <v>342.4</v>
      </c>
      <c r="T2509" t="n">
        <v>0</v>
      </c>
      <c r="U2509" t="n">
        <v>2909.81</v>
      </c>
      <c r="X2509" t="inlineStr">
        <is>
          <t>aafc-aac</t>
        </is>
      </c>
      <c r="Y2509" t="inlineStr">
        <is>
          <t>Agriculture and Agri-Food Canada | Agriculture et Agroalimentaire Canada</t>
        </is>
      </c>
      <c r="Z2509" t="n">
        <v>5</v>
      </c>
      <c r="AA2509" t="n">
        <v>2909.81</v>
      </c>
      <c r="AB2509">
        <f>ROUND(U2509-AA2509,2)</f>
        <v/>
      </c>
      <c r="AC2509" t="b">
        <v>0</v>
      </c>
      <c r="AD2509">
        <f>IF(U2509="","MISSING_TOTAL",IF(ABS(AB2509)&lt;=0.01,"OK","CHECK"))</f>
        <v/>
      </c>
      <c r="AE2509">
        <f>IF(U2509="","MISSING",IF(AND(AA2509&gt;0,U2509/AA2509&gt;50),"POSSIBLE_SCALE_ERROR","OK"))</f>
        <v/>
      </c>
    </row>
    <row r="2510">
      <c r="A2510" t="inlineStr">
        <is>
          <t>T-AAFC-2026-P04-005</t>
        </is>
      </c>
      <c r="B2510" t="inlineStr">
        <is>
          <t>MPSES</t>
        </is>
      </c>
      <c r="C2510" t="inlineStr">
        <is>
          <t>Director of Communications</t>
        </is>
      </c>
      <c r="D2510" t="inlineStr">
        <is>
          <t>Directrice des communications</t>
        </is>
      </c>
      <c r="E2510" t="inlineStr">
        <is>
          <t>Annie Cullinan</t>
        </is>
      </c>
      <c r="F2510" t="inlineStr">
        <is>
          <t>To support the Minister in attending the Calgary Stampede</t>
        </is>
      </c>
      <c r="G2510" t="inlineStr">
        <is>
          <t>Soutenir le ministre à assister au Stampede de Calgary</t>
        </is>
      </c>
      <c r="H2510" s="1" t="n">
        <v>45845</v>
      </c>
      <c r="I2510" s="1" t="n">
        <v>45849</v>
      </c>
      <c r="J2510" t="inlineStr">
        <is>
          <t>Calgary, Alberta, Canada</t>
        </is>
      </c>
      <c r="K2510" t="inlineStr">
        <is>
          <t>Calgary, Alberta, Canada</t>
        </is>
      </c>
      <c r="P2510" t="n">
        <v>1881.7</v>
      </c>
      <c r="Q2510" t="n">
        <v>51.49</v>
      </c>
      <c r="R2510" t="n">
        <v>2943.96</v>
      </c>
      <c r="S2510" t="n">
        <v>484.3</v>
      </c>
      <c r="T2510" t="n">
        <v>0</v>
      </c>
      <c r="U2510" t="n">
        <v>5361.45</v>
      </c>
      <c r="X2510" t="inlineStr">
        <is>
          <t>aafc-aac</t>
        </is>
      </c>
      <c r="Y2510" t="inlineStr">
        <is>
          <t>Agriculture and Agri-Food Canada | Agriculture et Agroalimentaire Canada</t>
        </is>
      </c>
      <c r="Z2510" t="n">
        <v>5</v>
      </c>
      <c r="AA2510" t="n">
        <v>5361.45</v>
      </c>
      <c r="AB2510">
        <f>ROUND(U2510-AA2510,2)</f>
        <v/>
      </c>
      <c r="AC2510" t="b">
        <v>0</v>
      </c>
      <c r="AD2510">
        <f>IF(U2510="","MISSING_TOTAL",IF(ABS(AB2510)&lt;=0.01,"OK","CHECK"))</f>
        <v/>
      </c>
      <c r="AE2510">
        <f>IF(U2510="","MISSING",IF(AND(AA2510&gt;0,U2510/AA2510&gt;50),"POSSIBLE_SCALE_ERROR","OK"))</f>
        <v/>
      </c>
    </row>
    <row r="2511">
      <c r="A2511" t="inlineStr">
        <is>
          <t>T-AAFC-2026-P04-006</t>
        </is>
      </c>
      <c r="B2511" t="inlineStr">
        <is>
          <t>MPSES</t>
        </is>
      </c>
      <c r="C2511" t="inlineStr">
        <is>
          <t>Director of Communications</t>
        </is>
      </c>
      <c r="D2511" t="inlineStr">
        <is>
          <t>Directrice des communications</t>
        </is>
      </c>
      <c r="E2511" t="inlineStr">
        <is>
          <t>Annie Cullinan</t>
        </is>
      </c>
      <c r="F2511" t="inlineStr">
        <is>
          <t>Visa Photo</t>
        </is>
      </c>
      <c r="G2511" t="inlineStr">
        <is>
          <t>Photo pour Visa</t>
        </is>
      </c>
      <c r="H2511" s="1" t="n">
        <v>45852</v>
      </c>
      <c r="I2511" s="1" t="n">
        <v>45852</v>
      </c>
      <c r="J2511" t="inlineStr">
        <is>
          <t>Ottawa, Ontario, Canada</t>
        </is>
      </c>
      <c r="K2511" t="inlineStr">
        <is>
          <t>Ottawa, Ontario, Canada</t>
        </is>
      </c>
      <c r="P2511" t="n">
        <v>0</v>
      </c>
      <c r="Q2511" t="n">
        <v>0</v>
      </c>
      <c r="R2511" t="n">
        <v>0</v>
      </c>
      <c r="S2511" t="n">
        <v>0</v>
      </c>
      <c r="T2511" t="n">
        <v>49.72</v>
      </c>
      <c r="U2511" t="n">
        <v>49.72</v>
      </c>
      <c r="X2511" t="inlineStr">
        <is>
          <t>aafc-aac</t>
        </is>
      </c>
      <c r="Y2511" t="inlineStr">
        <is>
          <t>Agriculture and Agri-Food Canada | Agriculture et Agroalimentaire Canada</t>
        </is>
      </c>
      <c r="Z2511" t="n">
        <v>1</v>
      </c>
      <c r="AA2511" t="n">
        <v>49.72</v>
      </c>
      <c r="AB2511">
        <f>ROUND(U2511-AA2511,2)</f>
        <v/>
      </c>
      <c r="AC2511" t="b">
        <v>0</v>
      </c>
      <c r="AD2511">
        <f>IF(U2511="","MISSING_TOTAL",IF(ABS(AB2511)&lt;=0.01,"OK","CHECK"))</f>
        <v/>
      </c>
      <c r="AE2511">
        <f>IF(U2511="","MISSING",IF(AND(AA2511&gt;0,U2511/AA2511&gt;50),"POSSIBLE_SCALE_ERROR","OK"))</f>
        <v/>
      </c>
    </row>
    <row r="2512">
      <c r="A2512" t="inlineStr">
        <is>
          <t>T-AAFC-2026-P04-007</t>
        </is>
      </c>
      <c r="B2512" t="inlineStr">
        <is>
          <t>MPSES</t>
        </is>
      </c>
      <c r="C2512" t="inlineStr">
        <is>
          <t>Director of Communications</t>
        </is>
      </c>
      <c r="D2512" t="inlineStr">
        <is>
          <t>Directrice des communications</t>
        </is>
      </c>
      <c r="E2512" t="inlineStr">
        <is>
          <t>Annie Cullinan</t>
        </is>
      </c>
      <c r="F2512" t="inlineStr">
        <is>
          <t>To support the Minister in attending meetings</t>
        </is>
      </c>
      <c r="G2512" t="inlineStr">
        <is>
          <t>Soutenir le ministre lors de réunions</t>
        </is>
      </c>
      <c r="H2512" s="1" t="n">
        <v>45860</v>
      </c>
      <c r="I2512" s="1" t="n">
        <v>45862</v>
      </c>
      <c r="J2512" t="inlineStr">
        <is>
          <t>Charlottetown, Price Edward Island, Canada</t>
        </is>
      </c>
      <c r="K2512" t="inlineStr">
        <is>
          <t>Charlottetown, Île-du-Prince-Édouard, Canada</t>
        </is>
      </c>
      <c r="P2512" t="n">
        <v>1365.08</v>
      </c>
      <c r="Q2512" t="n">
        <v>91.98</v>
      </c>
      <c r="R2512" t="n">
        <v>700.92</v>
      </c>
      <c r="S2512" t="n">
        <v>283.7</v>
      </c>
      <c r="T2512" t="n">
        <v>0</v>
      </c>
      <c r="U2512" t="n">
        <v>2441.68</v>
      </c>
      <c r="X2512" t="inlineStr">
        <is>
          <t>aafc-aac</t>
        </is>
      </c>
      <c r="Y2512" t="inlineStr">
        <is>
          <t>Agriculture and Agri-Food Canada | Agriculture et Agroalimentaire Canada</t>
        </is>
      </c>
      <c r="Z2512" t="n">
        <v>3</v>
      </c>
      <c r="AA2512" t="n">
        <v>2441.68</v>
      </c>
      <c r="AB2512">
        <f>ROUND(U2512-AA2512,2)</f>
        <v/>
      </c>
      <c r="AC2512" t="b">
        <v>0</v>
      </c>
      <c r="AD2512">
        <f>IF(U2512="","MISSING_TOTAL",IF(ABS(AB2512)&lt;=0.01,"OK","CHECK"))</f>
        <v/>
      </c>
      <c r="AE2512">
        <f>IF(U2512="","MISSING",IF(AND(AA2512&gt;0,U2512/AA2512&gt;50),"POSSIBLE_SCALE_ERROR","OK"))</f>
        <v/>
      </c>
    </row>
    <row r="2513">
      <c r="A2513" t="inlineStr">
        <is>
          <t>T-AAFC-2026-P04-008</t>
        </is>
      </c>
      <c r="B2513" t="inlineStr">
        <is>
          <t>MPSES</t>
        </is>
      </c>
      <c r="C2513" t="inlineStr">
        <is>
          <t>Director of Parliamentary Affairs</t>
        </is>
      </c>
      <c r="D2513" t="inlineStr">
        <is>
          <t>Directeur des affaires parlementaires</t>
        </is>
      </c>
      <c r="E2513" t="inlineStr">
        <is>
          <t>Bradley Henstock</t>
        </is>
      </c>
      <c r="F2513" t="inlineStr">
        <is>
          <t>To support the Minister in attending a tour and meetings</t>
        </is>
      </c>
      <c r="G2513" t="inlineStr">
        <is>
          <t>Soutenir le ministre lors d'une visite et de réunions</t>
        </is>
      </c>
      <c r="H2513" s="1" t="n">
        <v>45858</v>
      </c>
      <c r="I2513" s="1" t="n">
        <v>45860</v>
      </c>
      <c r="J2513" t="inlineStr">
        <is>
          <t>Toronto, Ontario, Canada</t>
        </is>
      </c>
      <c r="K2513" t="inlineStr">
        <is>
          <t>Toronto, Ontario, Canada</t>
        </is>
      </c>
      <c r="P2513" t="n">
        <v>1183.93</v>
      </c>
      <c r="Q2513" t="n">
        <v>69.01000000000001</v>
      </c>
      <c r="R2513" t="n">
        <v>733.1799999999999</v>
      </c>
      <c r="S2513" t="n">
        <v>199.6</v>
      </c>
      <c r="T2513" t="n">
        <v>0</v>
      </c>
      <c r="U2513" t="n">
        <v>2185.72</v>
      </c>
      <c r="X2513" t="inlineStr">
        <is>
          <t>aafc-aac</t>
        </is>
      </c>
      <c r="Y2513" t="inlineStr">
        <is>
          <t>Agriculture and Agri-Food Canada | Agriculture et Agroalimentaire Canada</t>
        </is>
      </c>
      <c r="Z2513" t="n">
        <v>3</v>
      </c>
      <c r="AA2513" t="n">
        <v>2185.72</v>
      </c>
      <c r="AB2513">
        <f>ROUND(U2513-AA2513,2)</f>
        <v/>
      </c>
      <c r="AC2513" t="b">
        <v>0</v>
      </c>
      <c r="AD2513">
        <f>IF(U2513="","MISSING_TOTAL",IF(ABS(AB2513)&lt;=0.01,"OK","CHECK"))</f>
        <v/>
      </c>
      <c r="AE2513">
        <f>IF(U2513="","MISSING",IF(AND(AA2513&gt;0,U2513/AA2513&gt;50),"POSSIBLE_SCALE_ERROR","OK"))</f>
        <v/>
      </c>
    </row>
    <row r="2514">
      <c r="A2514" t="inlineStr">
        <is>
          <t>T-AAFC-2026-P04-009</t>
        </is>
      </c>
      <c r="B2514" t="inlineStr">
        <is>
          <t>MPSES</t>
        </is>
      </c>
      <c r="C2514" t="inlineStr">
        <is>
          <t>Chief of Staff</t>
        </is>
      </c>
      <c r="D2514" t="inlineStr">
        <is>
          <t>Chef de Cabinet</t>
        </is>
      </c>
      <c r="E2514" t="inlineStr">
        <is>
          <t>Guy Gallant</t>
        </is>
      </c>
      <c r="F2514" t="inlineStr">
        <is>
          <t>To support the Minister in attending meetings with the Mexican Ambassador and the Indonesian Minister</t>
        </is>
      </c>
      <c r="G2514" t="inlineStr">
        <is>
          <t>Soutenir le ministre lors de ses réunions avec l'ambassadeur du Mexique et le ministre indonésien</t>
        </is>
      </c>
      <c r="H2514" s="1" t="n">
        <v>45834</v>
      </c>
      <c r="I2514" s="1" t="n">
        <v>45835</v>
      </c>
      <c r="J2514" t="inlineStr">
        <is>
          <t>Charlottetown, Prince Edward Island, Canada</t>
        </is>
      </c>
      <c r="K2514" t="inlineStr">
        <is>
          <t>Charlottetown, Île-du-Prince-Édouard, Canada</t>
        </is>
      </c>
      <c r="P2514" t="n">
        <v>1340.38</v>
      </c>
      <c r="Q2514" t="n">
        <v>26.4</v>
      </c>
      <c r="R2514" t="n">
        <v>542.5</v>
      </c>
      <c r="S2514" t="n">
        <v>85.09999999999999</v>
      </c>
      <c r="T2514" t="n">
        <v>0</v>
      </c>
      <c r="U2514" t="n">
        <v>1994.38</v>
      </c>
      <c r="X2514" t="inlineStr">
        <is>
          <t>aafc-aac</t>
        </is>
      </c>
      <c r="Y2514" t="inlineStr">
        <is>
          <t>Agriculture and Agri-Food Canada | Agriculture et Agroalimentaire Canada</t>
        </is>
      </c>
      <c r="Z2514" t="n">
        <v>2</v>
      </c>
      <c r="AA2514" t="n">
        <v>1994.38</v>
      </c>
      <c r="AB2514">
        <f>ROUND(U2514-AA2514,2)</f>
        <v/>
      </c>
      <c r="AC2514" t="b">
        <v>0</v>
      </c>
      <c r="AD2514">
        <f>IF(U2514="","MISSING_TOTAL",IF(ABS(AB2514)&lt;=0.01,"OK","CHECK"))</f>
        <v/>
      </c>
      <c r="AE2514">
        <f>IF(U2514="","MISSING",IF(AND(AA2514&gt;0,U2514/AA2514&gt;50),"POSSIBLE_SCALE_ERROR","OK"))</f>
        <v/>
      </c>
    </row>
    <row r="2515">
      <c r="A2515" t="inlineStr">
        <is>
          <t>T-AAFC-2026-P04-010</t>
        </is>
      </c>
      <c r="B2515" t="inlineStr">
        <is>
          <t>MPSES</t>
        </is>
      </c>
      <c r="C2515" t="inlineStr">
        <is>
          <t>Chief of Staff</t>
        </is>
      </c>
      <c r="D2515" t="inlineStr">
        <is>
          <t>Chef de Cabinet</t>
        </is>
      </c>
      <c r="E2515" t="inlineStr">
        <is>
          <t>Guy Gallant</t>
        </is>
      </c>
      <c r="F2515" t="inlineStr">
        <is>
          <t>Passport Photo</t>
        </is>
      </c>
      <c r="G2515" t="inlineStr">
        <is>
          <t>Photo de passport</t>
        </is>
      </c>
      <c r="H2515" s="1" t="n">
        <v>45842</v>
      </c>
      <c r="I2515" s="1" t="n">
        <v>45842</v>
      </c>
      <c r="J2515" t="inlineStr">
        <is>
          <t>Ottawa, Ontario, Canada</t>
        </is>
      </c>
      <c r="K2515" t="inlineStr">
        <is>
          <t>Ottawa, Ontario, Canada</t>
        </is>
      </c>
      <c r="P2515" t="n">
        <v>0</v>
      </c>
      <c r="Q2515" t="n">
        <v>0</v>
      </c>
      <c r="R2515" t="n">
        <v>0</v>
      </c>
      <c r="S2515" t="n">
        <v>0</v>
      </c>
      <c r="T2515" t="n">
        <v>28.24</v>
      </c>
      <c r="U2515" t="n">
        <v>28.24</v>
      </c>
      <c r="X2515" t="inlineStr">
        <is>
          <t>aafc-aac</t>
        </is>
      </c>
      <c r="Y2515" t="inlineStr">
        <is>
          <t>Agriculture and Agri-Food Canada | Agriculture et Agroalimentaire Canada</t>
        </is>
      </c>
      <c r="Z2515" t="n">
        <v>1</v>
      </c>
      <c r="AA2515" t="n">
        <v>28.24</v>
      </c>
      <c r="AB2515">
        <f>ROUND(U2515-AA2515,2)</f>
        <v/>
      </c>
      <c r="AC2515" t="b">
        <v>0</v>
      </c>
      <c r="AD2515">
        <f>IF(U2515="","MISSING_TOTAL",IF(ABS(AB2515)&lt;=0.01,"OK","CHECK"))</f>
        <v/>
      </c>
      <c r="AE2515">
        <f>IF(U2515="","MISSING",IF(AND(AA2515&gt;0,U2515/AA2515&gt;50),"POSSIBLE_SCALE_ERROR","OK"))</f>
        <v/>
      </c>
    </row>
    <row r="2516">
      <c r="A2516" t="inlineStr">
        <is>
          <t>T-AAFC-2026-P04-011</t>
        </is>
      </c>
      <c r="B2516" t="inlineStr">
        <is>
          <t>MPSES</t>
        </is>
      </c>
      <c r="C2516" t="inlineStr">
        <is>
          <t>Chief of Staff</t>
        </is>
      </c>
      <c r="D2516" t="inlineStr">
        <is>
          <t>Chef de Cabinet</t>
        </is>
      </c>
      <c r="E2516" t="inlineStr">
        <is>
          <t>Guy Gallant</t>
        </is>
      </c>
      <c r="F2516" t="inlineStr">
        <is>
          <t>Visa Photo</t>
        </is>
      </c>
      <c r="G2516" t="inlineStr">
        <is>
          <t>Photo pour Visa</t>
        </is>
      </c>
      <c r="H2516" s="1" t="n">
        <v>45852</v>
      </c>
      <c r="I2516" s="1" t="n">
        <v>45852</v>
      </c>
      <c r="J2516" t="inlineStr">
        <is>
          <t>Ottawa, Ontario, Canada</t>
        </is>
      </c>
      <c r="K2516" t="inlineStr">
        <is>
          <t>Ottawa, Ontario, Canada</t>
        </is>
      </c>
      <c r="P2516" t="n">
        <v>0</v>
      </c>
      <c r="Q2516" t="n">
        <v>0</v>
      </c>
      <c r="R2516" t="n">
        <v>0</v>
      </c>
      <c r="S2516" t="n">
        <v>0</v>
      </c>
      <c r="T2516" t="n">
        <v>49.72</v>
      </c>
      <c r="U2516" t="n">
        <v>49.72</v>
      </c>
      <c r="X2516" t="inlineStr">
        <is>
          <t>aafc-aac</t>
        </is>
      </c>
      <c r="Y2516" t="inlineStr">
        <is>
          <t>Agriculture and Agri-Food Canada | Agriculture et Agroalimentaire Canada</t>
        </is>
      </c>
      <c r="Z2516" t="n">
        <v>1</v>
      </c>
      <c r="AA2516" t="n">
        <v>49.72</v>
      </c>
      <c r="AB2516">
        <f>ROUND(U2516-AA2516,2)</f>
        <v/>
      </c>
      <c r="AC2516" t="b">
        <v>0</v>
      </c>
      <c r="AD2516">
        <f>IF(U2516="","MISSING_TOTAL",IF(ABS(AB2516)&lt;=0.01,"OK","CHECK"))</f>
        <v/>
      </c>
      <c r="AE2516">
        <f>IF(U2516="","MISSING",IF(AND(AA2516&gt;0,U2516/AA2516&gt;50),"POSSIBLE_SCALE_ERROR","OK"))</f>
        <v/>
      </c>
    </row>
    <row r="2517">
      <c r="A2517" t="inlineStr">
        <is>
          <t>T-AAFC-2026-P04-012</t>
        </is>
      </c>
      <c r="B2517" t="inlineStr">
        <is>
          <t>MPSES</t>
        </is>
      </c>
      <c r="C2517" t="inlineStr">
        <is>
          <t>Chief of Staff</t>
        </is>
      </c>
      <c r="D2517" t="inlineStr">
        <is>
          <t>Chef de Cabinet</t>
        </is>
      </c>
      <c r="E2517" t="inlineStr">
        <is>
          <t>Guy Gallant</t>
        </is>
      </c>
      <c r="F2517" t="inlineStr">
        <is>
          <t>To support the Minister in attending the Cabinet, Ministerial, Deputy Minister, and Federal-Provincial-Territorial meetings.</t>
        </is>
      </c>
      <c r="G2517" t="inlineStr">
        <is>
          <t>Soutenir le Ministre lors de sa participation aux réunions du Cabinet, des Ministres, des Sous-ministres et des rencontres fédérales-provinciales-territoriales.</t>
        </is>
      </c>
      <c r="H2517" s="1" t="n">
        <v>45853</v>
      </c>
      <c r="I2517" s="1" t="n">
        <v>45856</v>
      </c>
      <c r="J2517" t="inlineStr">
        <is>
          <t>Charlottetown, Price Edward Island, Canada</t>
        </is>
      </c>
      <c r="K2517" t="inlineStr">
        <is>
          <t>Charlottetown, Île-du-Prince-Édouard, Canada</t>
        </is>
      </c>
      <c r="P2517" t="n">
        <v>695.25</v>
      </c>
      <c r="Q2517" t="n">
        <v>26.4</v>
      </c>
      <c r="R2517" t="n">
        <v>955.89</v>
      </c>
      <c r="S2517" t="n">
        <v>396.3</v>
      </c>
      <c r="T2517" t="n">
        <v>0</v>
      </c>
      <c r="U2517" t="n">
        <v>2073.84</v>
      </c>
      <c r="X2517" t="inlineStr">
        <is>
          <t>aafc-aac</t>
        </is>
      </c>
      <c r="Y2517" t="inlineStr">
        <is>
          <t>Agriculture and Agri-Food Canada | Agriculture et Agroalimentaire Canada</t>
        </is>
      </c>
      <c r="Z2517" t="n">
        <v>4</v>
      </c>
      <c r="AA2517" t="n">
        <v>2073.84</v>
      </c>
      <c r="AB2517">
        <f>ROUND(U2517-AA2517,2)</f>
        <v/>
      </c>
      <c r="AC2517" t="b">
        <v>0</v>
      </c>
      <c r="AD2517">
        <f>IF(U2517="","MISSING_TOTAL",IF(ABS(AB2517)&lt;=0.01,"OK","CHECK"))</f>
        <v/>
      </c>
      <c r="AE2517">
        <f>IF(U2517="","MISSING",IF(AND(AA2517&gt;0,U2517/AA2517&gt;50),"POSSIBLE_SCALE_ERROR","OK"))</f>
        <v/>
      </c>
    </row>
    <row r="2518">
      <c r="A2518" t="inlineStr">
        <is>
          <t>T-AAFC-2026-P04-013</t>
        </is>
      </c>
      <c r="B2518" t="inlineStr">
        <is>
          <t>MPSES</t>
        </is>
      </c>
      <c r="C2518" t="inlineStr">
        <is>
          <t>Chief of Staff</t>
        </is>
      </c>
      <c r="D2518" t="inlineStr">
        <is>
          <t>Chef de Cabinet</t>
        </is>
      </c>
      <c r="E2518" t="inlineStr">
        <is>
          <t>Guy Gallant</t>
        </is>
      </c>
      <c r="F2518" t="inlineStr">
        <is>
          <t>To support the Minister in attending a tour and meetings</t>
        </is>
      </c>
      <c r="G2518" t="inlineStr">
        <is>
          <t>Soutenir le ministre lors d'une visite et de réunions</t>
        </is>
      </c>
      <c r="H2518" s="1" t="n">
        <v>45858</v>
      </c>
      <c r="I2518" s="1" t="n">
        <v>45860</v>
      </c>
      <c r="J2518" t="inlineStr">
        <is>
          <t>Toronto, Ontario, Canada</t>
        </is>
      </c>
      <c r="K2518" t="inlineStr">
        <is>
          <t>Toronto, Ontario, Canada</t>
        </is>
      </c>
      <c r="P2518" t="n">
        <v>1710.35</v>
      </c>
      <c r="Q2518" t="n">
        <v>21.77</v>
      </c>
      <c r="R2518" t="n">
        <v>733.1799999999999</v>
      </c>
      <c r="S2518" t="n">
        <v>199.6</v>
      </c>
      <c r="T2518" t="n">
        <v>0</v>
      </c>
      <c r="U2518" t="n">
        <v>2664.9</v>
      </c>
      <c r="X2518" t="inlineStr">
        <is>
          <t>aafc-aac</t>
        </is>
      </c>
      <c r="Y2518" t="inlineStr">
        <is>
          <t>Agriculture and Agri-Food Canada | Agriculture et Agroalimentaire Canada</t>
        </is>
      </c>
      <c r="Z2518" t="n">
        <v>3</v>
      </c>
      <c r="AA2518" t="n">
        <v>2664.89999999999</v>
      </c>
      <c r="AB2518">
        <f>ROUND(U2518-AA2518,2)</f>
        <v/>
      </c>
      <c r="AC2518" t="b">
        <v>0</v>
      </c>
      <c r="AD2518">
        <f>IF(U2518="","MISSING_TOTAL",IF(ABS(AB2518)&lt;=0.01,"OK","CHECK"))</f>
        <v/>
      </c>
      <c r="AE2518">
        <f>IF(U2518="","MISSING",IF(AND(AA2518&gt;0,U2518/AA2518&gt;50),"POSSIBLE_SCALE_ERROR","OK"))</f>
        <v/>
      </c>
    </row>
    <row r="2519">
      <c r="A2519" t="inlineStr">
        <is>
          <t>T-AAFC-2026-P04-014</t>
        </is>
      </c>
      <c r="B2519" t="inlineStr">
        <is>
          <t>MPSES</t>
        </is>
      </c>
      <c r="C2519" t="inlineStr">
        <is>
          <t>Chief of Staff</t>
        </is>
      </c>
      <c r="D2519" t="inlineStr">
        <is>
          <t>Chef de Cabinet</t>
        </is>
      </c>
      <c r="E2519" t="inlineStr">
        <is>
          <t>Guy Gallant</t>
        </is>
      </c>
      <c r="F2519" t="inlineStr">
        <is>
          <t>To support the Minister in attending meetings with the Prime Minister</t>
        </is>
      </c>
      <c r="G2519" t="inlineStr">
        <is>
          <t>Soutenir le ministre lors de réunions avec le Premier Ministre</t>
        </is>
      </c>
      <c r="H2519" s="1" t="n">
        <v>45860</v>
      </c>
      <c r="I2519" s="1" t="n">
        <v>45866</v>
      </c>
      <c r="J2519" t="inlineStr">
        <is>
          <t>Charlottetown, Price Edward Island, Canada</t>
        </is>
      </c>
      <c r="K2519" t="inlineStr">
        <is>
          <t>Charlottetown, Île-du-Prince-Édouard, Canada</t>
        </is>
      </c>
      <c r="P2519" t="n">
        <v>1001.07</v>
      </c>
      <c r="Q2519" t="n">
        <v>0</v>
      </c>
      <c r="R2519" t="n">
        <v>839.8099999999999</v>
      </c>
      <c r="S2519" t="n">
        <v>340.5</v>
      </c>
      <c r="T2519" t="n">
        <v>0</v>
      </c>
      <c r="U2519" t="n">
        <v>2181.38</v>
      </c>
      <c r="X2519" t="inlineStr">
        <is>
          <t>aafc-aac</t>
        </is>
      </c>
      <c r="Y2519" t="inlineStr">
        <is>
          <t>Agriculture and Agri-Food Canada | Agriculture et Agroalimentaire Canada</t>
        </is>
      </c>
      <c r="Z2519" t="n">
        <v>7</v>
      </c>
      <c r="AA2519" t="n">
        <v>2181.38</v>
      </c>
      <c r="AB2519">
        <f>ROUND(U2519-AA2519,2)</f>
        <v/>
      </c>
      <c r="AC2519" t="b">
        <v>0</v>
      </c>
      <c r="AD2519">
        <f>IF(U2519="","MISSING_TOTAL",IF(ABS(AB2519)&lt;=0.01,"OK","CHECK"))</f>
        <v/>
      </c>
      <c r="AE2519">
        <f>IF(U2519="","MISSING",IF(AND(AA2519&gt;0,U2519/AA2519&gt;50),"POSSIBLE_SCALE_ERROR","OK"))</f>
        <v/>
      </c>
    </row>
    <row r="2520">
      <c r="A2520" t="inlineStr">
        <is>
          <t>T-AAFC-2026-P04-015</t>
        </is>
      </c>
      <c r="B2520" t="inlineStr">
        <is>
          <t>MPSES</t>
        </is>
      </c>
      <c r="C2520" t="inlineStr">
        <is>
          <t>Senior Advisor</t>
        </is>
      </c>
      <c r="D2520" t="inlineStr">
        <is>
          <t>Conseillère principale</t>
        </is>
      </c>
      <c r="E2520" t="inlineStr">
        <is>
          <t>Serena Smith</t>
        </is>
      </c>
      <c r="F2520" t="inlineStr">
        <is>
          <t>To support the Minister in attending meetings with the Mexican Ambassador and the Indonesian Minister</t>
        </is>
      </c>
      <c r="G2520" t="inlineStr">
        <is>
          <t>Soutenir le ministre lors de ses réunions avec l'ambassadeur du Mexique et le ministre indonésien</t>
        </is>
      </c>
      <c r="H2520" s="1" t="n">
        <v>45834</v>
      </c>
      <c r="I2520" s="1" t="n">
        <v>45835</v>
      </c>
      <c r="J2520" t="inlineStr">
        <is>
          <t>Charlottetown, Prince Edward Island, Canada</t>
        </is>
      </c>
      <c r="K2520" t="inlineStr">
        <is>
          <t>Charlottetown, Île-du-Prince-Édouard, Canada</t>
        </is>
      </c>
      <c r="P2520" t="n">
        <v>0</v>
      </c>
      <c r="Q2520" t="n">
        <v>0</v>
      </c>
      <c r="R2520" t="n">
        <v>271.25</v>
      </c>
      <c r="S2520" t="n">
        <v>112.5</v>
      </c>
      <c r="T2520" t="n">
        <v>0</v>
      </c>
      <c r="U2520" t="n">
        <v>383.75</v>
      </c>
      <c r="X2520" t="inlineStr">
        <is>
          <t>aafc-aac</t>
        </is>
      </c>
      <c r="Y2520" t="inlineStr">
        <is>
          <t>Agriculture and Agri-Food Canada | Agriculture et Agroalimentaire Canada</t>
        </is>
      </c>
      <c r="Z2520" t="n">
        <v>2</v>
      </c>
      <c r="AA2520" t="n">
        <v>383.75</v>
      </c>
      <c r="AB2520">
        <f>ROUND(U2520-AA2520,2)</f>
        <v/>
      </c>
      <c r="AC2520" t="b">
        <v>0</v>
      </c>
      <c r="AD2520">
        <f>IF(U2520="","MISSING_TOTAL",IF(ABS(AB2520)&lt;=0.01,"OK","CHECK"))</f>
        <v/>
      </c>
      <c r="AE2520">
        <f>IF(U2520="","MISSING",IF(AND(AA2520&gt;0,U2520/AA2520&gt;50),"POSSIBLE_SCALE_ERROR","OK"))</f>
        <v/>
      </c>
    </row>
    <row r="2521">
      <c r="A2521" t="inlineStr">
        <is>
          <t>T-AAFC-2026-P04-016</t>
        </is>
      </c>
      <c r="B2521" t="inlineStr">
        <is>
          <t>MPSES</t>
        </is>
      </c>
      <c r="C2521" t="inlineStr">
        <is>
          <t>Senior Advisor</t>
        </is>
      </c>
      <c r="D2521" t="inlineStr">
        <is>
          <t>Conseillère principale</t>
        </is>
      </c>
      <c r="E2521" t="inlineStr">
        <is>
          <t>Serena Smith</t>
        </is>
      </c>
      <c r="F2521" t="inlineStr">
        <is>
          <t>To support the Minister in attending a tour and meetings</t>
        </is>
      </c>
      <c r="G2521" t="inlineStr">
        <is>
          <t>Soutenir le ministre lors d'une visite et de réunions</t>
        </is>
      </c>
      <c r="H2521" s="1" t="n">
        <v>45858</v>
      </c>
      <c r="I2521" s="1" t="n">
        <v>45860</v>
      </c>
      <c r="J2521" t="inlineStr">
        <is>
          <t>Toronto, Ontario, Canada</t>
        </is>
      </c>
      <c r="K2521" t="inlineStr">
        <is>
          <t>Toronto, Ontario, Canada</t>
        </is>
      </c>
      <c r="P2521" t="n">
        <v>533.77</v>
      </c>
      <c r="Q2521" t="n">
        <v>24.02</v>
      </c>
      <c r="R2521" t="n">
        <v>733.1799999999999</v>
      </c>
      <c r="S2521" t="n">
        <v>227</v>
      </c>
      <c r="T2521" t="n">
        <v>0</v>
      </c>
      <c r="U2521" t="n">
        <v>1517.97</v>
      </c>
      <c r="X2521" t="inlineStr">
        <is>
          <t>aafc-aac</t>
        </is>
      </c>
      <c r="Y2521" t="inlineStr">
        <is>
          <t>Agriculture and Agri-Food Canada | Agriculture et Agroalimentaire Canada</t>
        </is>
      </c>
      <c r="Z2521" t="n">
        <v>3</v>
      </c>
      <c r="AA2521" t="n">
        <v>1517.96999999999</v>
      </c>
      <c r="AB2521">
        <f>ROUND(U2521-AA2521,2)</f>
        <v/>
      </c>
      <c r="AC2521" t="b">
        <v>0</v>
      </c>
      <c r="AD2521">
        <f>IF(U2521="","MISSING_TOTAL",IF(ABS(AB2521)&lt;=0.01,"OK","CHECK"))</f>
        <v/>
      </c>
      <c r="AE2521">
        <f>IF(U2521="","MISSING",IF(AND(AA2521&gt;0,U2521/AA2521&gt;50),"POSSIBLE_SCALE_ERROR","OK"))</f>
        <v/>
      </c>
    </row>
    <row r="2522">
      <c r="A2522" t="inlineStr">
        <is>
          <t>T-AAFC-2026-P04-017</t>
        </is>
      </c>
      <c r="B2522" t="inlineStr">
        <is>
          <t>MPSES</t>
        </is>
      </c>
      <c r="C2522" t="inlineStr">
        <is>
          <t>Atlantic Regional Advisor</t>
        </is>
      </c>
      <c r="D2522" t="inlineStr">
        <is>
          <t>Conseiller régional de l'Atlantique</t>
        </is>
      </c>
      <c r="E2522" t="inlineStr">
        <is>
          <t>Jake Godfrey</t>
        </is>
      </c>
      <c r="F2522" t="inlineStr">
        <is>
          <t>To support the Minister in attending an Atlantic Outreach</t>
        </is>
      </c>
      <c r="G2522" t="inlineStr">
        <is>
          <t>Soutenir le ministre lors d'une activité de sensibilisation dans la région de l'Atlantique</t>
        </is>
      </c>
      <c r="H2522" s="1" t="n">
        <v>45837</v>
      </c>
      <c r="I2522" s="1" t="n">
        <v>45844</v>
      </c>
      <c r="J2522" t="inlineStr">
        <is>
          <t>Charlottetown, Prince Edward Island, Canada</t>
        </is>
      </c>
      <c r="K2522" t="inlineStr">
        <is>
          <t>Charlottetown, Île-du-Prince-Édouard, Canada</t>
        </is>
      </c>
      <c r="L2522" t="inlineStr">
        <is>
          <t>Fredericton, New Brunswick, Canada</t>
        </is>
      </c>
      <c r="M2522" t="inlineStr">
        <is>
          <t>Fredericton, Nouveau-Brunswick, Canada</t>
        </is>
      </c>
      <c r="N2522" t="inlineStr">
        <is>
          <t>Amherst, Nova Scotia, Canada</t>
        </is>
      </c>
      <c r="O2522" t="inlineStr">
        <is>
          <t>Amherst, Nouvelle-Écosse, Canada</t>
        </is>
      </c>
      <c r="P2522" t="n">
        <v>1209.02</v>
      </c>
      <c r="Q2522" t="n">
        <v>442.02</v>
      </c>
      <c r="R2522" t="n">
        <v>556.89</v>
      </c>
      <c r="S2522" t="n">
        <v>284.7</v>
      </c>
      <c r="T2522" t="n">
        <v>0</v>
      </c>
      <c r="U2522" t="n">
        <v>2492.63</v>
      </c>
      <c r="X2522" t="inlineStr">
        <is>
          <t>aafc-aac</t>
        </is>
      </c>
      <c r="Y2522" t="inlineStr">
        <is>
          <t>Agriculture and Agri-Food Canada | Agriculture et Agroalimentaire Canada</t>
        </is>
      </c>
      <c r="Z2522" t="n">
        <v>8</v>
      </c>
      <c r="AA2522" t="n">
        <v>2492.62999999999</v>
      </c>
      <c r="AB2522">
        <f>ROUND(U2522-AA2522,2)</f>
        <v/>
      </c>
      <c r="AC2522" t="b">
        <v>0</v>
      </c>
      <c r="AD2522">
        <f>IF(U2522="","MISSING_TOTAL",IF(ABS(AB2522)&lt;=0.01,"OK","CHECK"))</f>
        <v/>
      </c>
      <c r="AE2522">
        <f>IF(U2522="","MISSING",IF(AND(AA2522&gt;0,U2522/AA2522&gt;50),"POSSIBLE_SCALE_ERROR","OK"))</f>
        <v/>
      </c>
    </row>
    <row r="2523">
      <c r="A2523" t="inlineStr">
        <is>
          <t>T-AAFC-2026-P04-018</t>
        </is>
      </c>
      <c r="B2523" t="inlineStr">
        <is>
          <t>MPSES</t>
        </is>
      </c>
      <c r="C2523" t="inlineStr">
        <is>
          <t>Director of Operations</t>
        </is>
      </c>
      <c r="D2523" t="inlineStr">
        <is>
          <t>Directrice des opérations</t>
        </is>
      </c>
      <c r="E2523" t="inlineStr">
        <is>
          <t>Mikaela Harrison</t>
        </is>
      </c>
      <c r="F2523" t="inlineStr">
        <is>
          <t>To support the Minister in attending the Calgary Stampede</t>
        </is>
      </c>
      <c r="G2523" t="inlineStr">
        <is>
          <t>Soutenir le ministre à assister au Stampede de Calgary</t>
        </is>
      </c>
      <c r="H2523" s="1" t="n">
        <v>45845</v>
      </c>
      <c r="I2523" s="1" t="n">
        <v>45849</v>
      </c>
      <c r="J2523" t="inlineStr">
        <is>
          <t>Calgary, Alberta, Canada</t>
        </is>
      </c>
      <c r="K2523" t="inlineStr">
        <is>
          <t>Calgary, Alberta, Canada</t>
        </is>
      </c>
      <c r="P2523" t="n">
        <v>1881.7</v>
      </c>
      <c r="Q2523" t="n">
        <v>76.42</v>
      </c>
      <c r="R2523" t="n">
        <v>2943.96</v>
      </c>
      <c r="S2523" t="n">
        <v>484.3</v>
      </c>
      <c r="T2523" t="n">
        <v>0</v>
      </c>
      <c r="U2523" t="n">
        <v>5386.38</v>
      </c>
      <c r="X2523" t="inlineStr">
        <is>
          <t>aafc-aac</t>
        </is>
      </c>
      <c r="Y2523" t="inlineStr">
        <is>
          <t>Agriculture and Agri-Food Canada | Agriculture et Agroalimentaire Canada</t>
        </is>
      </c>
      <c r="Z2523" t="n">
        <v>5</v>
      </c>
      <c r="AA2523" t="n">
        <v>5386.38</v>
      </c>
      <c r="AB2523">
        <f>ROUND(U2523-AA2523,2)</f>
        <v/>
      </c>
      <c r="AC2523" t="b">
        <v>0</v>
      </c>
      <c r="AD2523">
        <f>IF(U2523="","MISSING_TOTAL",IF(ABS(AB2523)&lt;=0.01,"OK","CHECK"))</f>
        <v/>
      </c>
      <c r="AE2523">
        <f>IF(U2523="","MISSING",IF(AND(AA2523&gt;0,U2523/AA2523&gt;50),"POSSIBLE_SCALE_ERROR","OK"))</f>
        <v/>
      </c>
    </row>
    <row r="2524">
      <c r="A2524" t="inlineStr">
        <is>
          <t>T-AAFC-2026-P04-019</t>
        </is>
      </c>
      <c r="B2524" t="inlineStr">
        <is>
          <t>MPSES</t>
        </is>
      </c>
      <c r="C2524" t="inlineStr">
        <is>
          <t>Director of Operations</t>
        </is>
      </c>
      <c r="D2524" t="inlineStr">
        <is>
          <t>Directrice des opérations</t>
        </is>
      </c>
      <c r="E2524" t="inlineStr">
        <is>
          <t>Mikaela Harrison</t>
        </is>
      </c>
      <c r="F2524" t="inlineStr">
        <is>
          <t>To support the Minister in attending the Cabinet, Ministerial, Deputy Minister, and Federal-Provincial-Territorial meetings.</t>
        </is>
      </c>
      <c r="G2524" t="inlineStr">
        <is>
          <t>Soutenir le Ministre lors de sa participation aux réunions du Cabinet, des Ministres, des Sous-ministres et des rencontres fédérales-provinciales-territoriales.</t>
        </is>
      </c>
      <c r="H2524" s="1" t="n">
        <v>45854</v>
      </c>
      <c r="I2524" s="1" t="n">
        <v>45856</v>
      </c>
      <c r="J2524" t="inlineStr">
        <is>
          <t>Charlottetown, Price Edward Island, Canada</t>
        </is>
      </c>
      <c r="K2524" t="inlineStr">
        <is>
          <t>Charlottetown, Île-du-Prince-Édouard, Canada</t>
        </is>
      </c>
      <c r="P2524" t="n">
        <v>1060.98</v>
      </c>
      <c r="Q2524" t="n">
        <v>132.63</v>
      </c>
      <c r="R2524" t="n">
        <v>637.26</v>
      </c>
      <c r="S2524" t="n">
        <v>254.4</v>
      </c>
      <c r="T2524" t="n">
        <v>0</v>
      </c>
      <c r="U2524" t="n">
        <v>2085.27</v>
      </c>
      <c r="X2524" t="inlineStr">
        <is>
          <t>aafc-aac</t>
        </is>
      </c>
      <c r="Y2524" t="inlineStr">
        <is>
          <t>Agriculture and Agri-Food Canada | Agriculture et Agroalimentaire Canada</t>
        </is>
      </c>
      <c r="Z2524" t="n">
        <v>3</v>
      </c>
      <c r="AA2524" t="n">
        <v>2085.27</v>
      </c>
      <c r="AB2524">
        <f>ROUND(U2524-AA2524,2)</f>
        <v/>
      </c>
      <c r="AC2524" t="b">
        <v>0</v>
      </c>
      <c r="AD2524">
        <f>IF(U2524="","MISSING_TOTAL",IF(ABS(AB2524)&lt;=0.01,"OK","CHECK"))</f>
        <v/>
      </c>
      <c r="AE2524">
        <f>IF(U2524="","MISSING",IF(AND(AA2524&gt;0,U2524/AA2524&gt;50),"POSSIBLE_SCALE_ERROR","OK"))</f>
        <v/>
      </c>
    </row>
    <row r="2525">
      <c r="A2525" t="inlineStr">
        <is>
          <t>T-AAFC-2026-P04-020</t>
        </is>
      </c>
      <c r="B2525" t="inlineStr">
        <is>
          <t>MPSES</t>
        </is>
      </c>
      <c r="C2525" t="inlineStr">
        <is>
          <t>Deputy Minister</t>
        </is>
      </c>
      <c r="D2525" t="inlineStr">
        <is>
          <t>Sous-Ministre</t>
        </is>
      </c>
      <c r="E2525" t="inlineStr">
        <is>
          <t>Lawrence Hanson</t>
        </is>
      </c>
      <c r="F2525" t="inlineStr">
        <is>
          <t>To attend an Atlantic Outreach</t>
        </is>
      </c>
      <c r="G2525" t="inlineStr">
        <is>
          <t>Participer à une activité de sensibilisation dans la région de l'Atlantique</t>
        </is>
      </c>
      <c r="H2525" s="1" t="n">
        <v>45839</v>
      </c>
      <c r="I2525" s="1" t="n">
        <v>45842</v>
      </c>
      <c r="J2525" t="inlineStr">
        <is>
          <t>Charlottetown, Prince Edward Island, Canada</t>
        </is>
      </c>
      <c r="K2525" t="inlineStr">
        <is>
          <t>Charlottetown, Île-du-Prince-Édouard, Canada</t>
        </is>
      </c>
      <c r="L2525" t="inlineStr">
        <is>
          <t>Fredericton, New Brunswick, Canada</t>
        </is>
      </c>
      <c r="M2525" t="inlineStr">
        <is>
          <t>Fredericton, Nouveau-Brunswick, Canada</t>
        </is>
      </c>
      <c r="N2525" t="inlineStr">
        <is>
          <t>Amherst, Nova Scotia, Canada</t>
        </is>
      </c>
      <c r="O2525" t="inlineStr">
        <is>
          <t>Amherst, Nouvelle-Écosse, Canada</t>
        </is>
      </c>
      <c r="P2525" t="n">
        <v>1121.02</v>
      </c>
      <c r="Q2525" t="n">
        <v>28.68</v>
      </c>
      <c r="R2525" t="n">
        <v>851.55</v>
      </c>
      <c r="S2525" t="n">
        <v>409.7</v>
      </c>
      <c r="T2525" t="n">
        <v>0</v>
      </c>
      <c r="U2525" t="n">
        <v>2410.95</v>
      </c>
      <c r="X2525" t="inlineStr">
        <is>
          <t>aafc-aac</t>
        </is>
      </c>
      <c r="Y2525" t="inlineStr">
        <is>
          <t>Agriculture and Agri-Food Canada | Agriculture et Agroalimentaire Canada</t>
        </is>
      </c>
      <c r="Z2525" t="n">
        <v>4</v>
      </c>
      <c r="AA2525" t="n">
        <v>2410.95</v>
      </c>
      <c r="AB2525">
        <f>ROUND(U2525-AA2525,2)</f>
        <v/>
      </c>
      <c r="AC2525" t="b">
        <v>0</v>
      </c>
      <c r="AD2525">
        <f>IF(U2525="","MISSING_TOTAL",IF(ABS(AB2525)&lt;=0.01,"OK","CHECK"))</f>
        <v/>
      </c>
      <c r="AE2525">
        <f>IF(U2525="","MISSING",IF(AND(AA2525&gt;0,U2525/AA2525&gt;50),"POSSIBLE_SCALE_ERROR","OK"))</f>
        <v/>
      </c>
    </row>
    <row r="2526">
      <c r="A2526" t="inlineStr">
        <is>
          <t>T-AAFC-2026-P04-021</t>
        </is>
      </c>
      <c r="B2526" t="inlineStr">
        <is>
          <t>MPSES</t>
        </is>
      </c>
      <c r="C2526" t="inlineStr">
        <is>
          <t>Deputy Minister</t>
        </is>
      </c>
      <c r="D2526" t="inlineStr">
        <is>
          <t>Sous-Ministre</t>
        </is>
      </c>
      <c r="E2526" t="inlineStr">
        <is>
          <t>Lawrence Hanson</t>
        </is>
      </c>
      <c r="F2526" t="inlineStr">
        <is>
          <t>To attend the Calgary Stampede and an Outreach</t>
        </is>
      </c>
      <c r="G2526" t="inlineStr">
        <is>
          <t>Assister au Stampede de Calgary et à une activité de sensibilisation</t>
        </is>
      </c>
      <c r="H2526" s="1" t="n">
        <v>45845</v>
      </c>
      <c r="I2526" s="1" t="n">
        <v>45849</v>
      </c>
      <c r="J2526" t="inlineStr">
        <is>
          <t>Calgary, Alberta, Canada</t>
        </is>
      </c>
      <c r="K2526" t="inlineStr">
        <is>
          <t>Calgary, Alberta, Canada</t>
        </is>
      </c>
      <c r="P2526" t="n">
        <v>1162.64</v>
      </c>
      <c r="Q2526" t="n">
        <v>43.32</v>
      </c>
      <c r="R2526" t="n">
        <v>3652.47</v>
      </c>
      <c r="S2526" t="n">
        <v>512</v>
      </c>
      <c r="T2526" t="n">
        <v>0</v>
      </c>
      <c r="U2526" t="n">
        <v>5370.43</v>
      </c>
      <c r="X2526" t="inlineStr">
        <is>
          <t>aafc-aac</t>
        </is>
      </c>
      <c r="Y2526" t="inlineStr">
        <is>
          <t>Agriculture and Agri-Food Canada | Agriculture et Agroalimentaire Canada</t>
        </is>
      </c>
      <c r="Z2526" t="n">
        <v>5</v>
      </c>
      <c r="AA2526" t="n">
        <v>5370.43</v>
      </c>
      <c r="AB2526">
        <f>ROUND(U2526-AA2526,2)</f>
        <v/>
      </c>
      <c r="AC2526" t="b">
        <v>0</v>
      </c>
      <c r="AD2526">
        <f>IF(U2526="","MISSING_TOTAL",IF(ABS(AB2526)&lt;=0.01,"OK","CHECK"))</f>
        <v/>
      </c>
      <c r="AE2526">
        <f>IF(U2526="","MISSING",IF(AND(AA2526&gt;0,U2526/AA2526&gt;50),"POSSIBLE_SCALE_ERROR","OK"))</f>
        <v/>
      </c>
    </row>
    <row r="2527">
      <c r="A2527" t="inlineStr">
        <is>
          <t>T-AAFC-2026-P04-022</t>
        </is>
      </c>
      <c r="B2527" t="inlineStr">
        <is>
          <t>MPSES</t>
        </is>
      </c>
      <c r="C2527" t="inlineStr">
        <is>
          <t>Deputy Minister</t>
        </is>
      </c>
      <c r="D2527" t="inlineStr">
        <is>
          <t>Sous-Ministre</t>
        </is>
      </c>
      <c r="E2527" t="inlineStr">
        <is>
          <t>Lawrence Hanson</t>
        </is>
      </c>
      <c r="F2527" t="inlineStr">
        <is>
          <t>To join the Minister for an FPT Ministerial call and other briefings</t>
        </is>
      </c>
      <c r="G2527" t="inlineStr">
        <is>
          <t>Accompagner le Ministre à un appel ministériel FPT et à d’autres séances d’information.</t>
        </is>
      </c>
      <c r="H2527" s="1" t="n">
        <v>45854</v>
      </c>
      <c r="I2527" s="1" t="n">
        <v>45855</v>
      </c>
      <c r="J2527" t="inlineStr">
        <is>
          <t>Charlottetown, Price Edward Island, Canada</t>
        </is>
      </c>
      <c r="K2527" t="inlineStr">
        <is>
          <t>Charlottetown, Île-du-Prince-Édouard, Canada</t>
        </is>
      </c>
      <c r="P2527" t="n">
        <v>1220.91</v>
      </c>
      <c r="Q2527" t="n">
        <v>0</v>
      </c>
      <c r="R2527" t="n">
        <v>427.36</v>
      </c>
      <c r="S2527" t="n">
        <v>261.6</v>
      </c>
      <c r="T2527" t="n">
        <v>0</v>
      </c>
      <c r="U2527" t="n">
        <v>1909.87</v>
      </c>
      <c r="X2527" t="inlineStr">
        <is>
          <t>aafc-aac</t>
        </is>
      </c>
      <c r="Y2527" t="inlineStr">
        <is>
          <t>Agriculture and Agri-Food Canada | Agriculture et Agroalimentaire Canada</t>
        </is>
      </c>
      <c r="Z2527" t="n">
        <v>2</v>
      </c>
      <c r="AA2527" t="n">
        <v>1909.87</v>
      </c>
      <c r="AB2527">
        <f>ROUND(U2527-AA2527,2)</f>
        <v/>
      </c>
      <c r="AC2527" t="b">
        <v>0</v>
      </c>
      <c r="AD2527">
        <f>IF(U2527="","MISSING_TOTAL",IF(ABS(AB2527)&lt;=0.01,"OK","CHECK"))</f>
        <v/>
      </c>
      <c r="AE2527">
        <f>IF(U2527="","MISSING",IF(AND(AA2527&gt;0,U2527/AA2527&gt;50),"POSSIBLE_SCALE_ERROR","OK"))</f>
        <v/>
      </c>
    </row>
    <row r="2528">
      <c r="A2528" t="inlineStr">
        <is>
          <t>T-AAFC-2026-P04-023</t>
        </is>
      </c>
      <c r="B2528" t="inlineStr">
        <is>
          <t>MPSES</t>
        </is>
      </c>
      <c r="C2528" t="inlineStr">
        <is>
          <t>Corporate Secretary</t>
        </is>
      </c>
      <c r="D2528" t="inlineStr">
        <is>
          <t>Secrétaire générale</t>
        </is>
      </c>
      <c r="E2528" t="inlineStr">
        <is>
          <t>Tamara Abel</t>
        </is>
      </c>
      <c r="F2528" t="inlineStr">
        <is>
          <t>Operational activities</t>
        </is>
      </c>
      <c r="G2528" t="inlineStr">
        <is>
          <t>Activités opérationnelles</t>
        </is>
      </c>
      <c r="H2528" s="1" t="n">
        <v>45831</v>
      </c>
      <c r="I2528" s="1" t="n">
        <v>45834</v>
      </c>
      <c r="J2528" t="inlineStr">
        <is>
          <t>Ottawa, Ontario, Canada</t>
        </is>
      </c>
      <c r="K2528" t="inlineStr">
        <is>
          <t>Ottawa, Ontario, Canada</t>
        </is>
      </c>
      <c r="P2528" t="n">
        <v>780.2</v>
      </c>
      <c r="Q2528" t="n">
        <v>397.06</v>
      </c>
      <c r="R2528" t="n">
        <v>1018.65</v>
      </c>
      <c r="S2528" t="n">
        <v>523.2</v>
      </c>
      <c r="T2528" t="n">
        <v>0</v>
      </c>
      <c r="U2528" t="n">
        <v>2719.11</v>
      </c>
      <c r="X2528" t="inlineStr">
        <is>
          <t>aafc-aac</t>
        </is>
      </c>
      <c r="Y2528" t="inlineStr">
        <is>
          <t>Agriculture and Agri-Food Canada | Agriculture et Agroalimentaire Canada</t>
        </is>
      </c>
      <c r="Z2528" t="n">
        <v>4</v>
      </c>
      <c r="AA2528" t="n">
        <v>2719.10999999999</v>
      </c>
      <c r="AB2528">
        <f>ROUND(U2528-AA2528,2)</f>
        <v/>
      </c>
      <c r="AC2528" t="b">
        <v>0</v>
      </c>
      <c r="AD2528">
        <f>IF(U2528="","MISSING_TOTAL",IF(ABS(AB2528)&lt;=0.01,"OK","CHECK"))</f>
        <v/>
      </c>
      <c r="AE2528">
        <f>IF(U2528="","MISSING",IF(AND(AA2528&gt;0,U2528/AA2528&gt;50),"POSSIBLE_SCALE_ERROR","OK"))</f>
        <v/>
      </c>
    </row>
    <row r="2529">
      <c r="A2529" t="inlineStr">
        <is>
          <t>T-AAFC-2026-P04-024</t>
        </is>
      </c>
      <c r="B2529" t="inlineStr">
        <is>
          <t>SLE</t>
        </is>
      </c>
      <c r="C2529" t="inlineStr">
        <is>
          <t>Chief Audit Executive</t>
        </is>
      </c>
      <c r="D2529" t="inlineStr">
        <is>
          <t>Dirigeant de la vérification</t>
        </is>
      </c>
      <c r="E2529" t="inlineStr">
        <is>
          <t>John Corbeil</t>
        </is>
      </c>
      <c r="F2529" t="inlineStr">
        <is>
          <t>To engage with a key stakeholder and obtain Continuing Professional Education credits required for his Certified Internal Auditor membership</t>
        </is>
      </c>
      <c r="G2529" t="inlineStr">
        <is>
          <t>Collaborer avec des parties prenantes et obtenir les crédits de formation professionnelle continue requis pour son adhésion en tant qu’auditeur interne certifié</t>
        </is>
      </c>
      <c r="H2529" s="1" t="n">
        <v>45850</v>
      </c>
      <c r="I2529" s="1" t="n">
        <v>45854</v>
      </c>
      <c r="J2529" t="inlineStr">
        <is>
          <t>Toronto, Ontario, Canada</t>
        </is>
      </c>
      <c r="K2529" t="inlineStr">
        <is>
          <t>Toronto, Ontario, Canada</t>
        </is>
      </c>
      <c r="P2529" t="n">
        <v>0</v>
      </c>
      <c r="Q2529" t="n">
        <v>419.73</v>
      </c>
      <c r="R2529" t="n">
        <v>1564.48</v>
      </c>
      <c r="S2529" t="n">
        <v>342.8</v>
      </c>
      <c r="T2529" t="n">
        <v>0</v>
      </c>
      <c r="U2529" t="n">
        <v>2327.01</v>
      </c>
      <c r="X2529" t="inlineStr">
        <is>
          <t>aafc-aac</t>
        </is>
      </c>
      <c r="Y2529" t="inlineStr">
        <is>
          <t>Agriculture and Agri-Food Canada | Agriculture et Agroalimentaire Canada</t>
        </is>
      </c>
      <c r="Z2529" t="n">
        <v>5</v>
      </c>
      <c r="AA2529" t="n">
        <v>2327.01</v>
      </c>
      <c r="AB2529">
        <f>ROUND(U2529-AA2529,2)</f>
        <v/>
      </c>
      <c r="AC2529" t="b">
        <v>0</v>
      </c>
      <c r="AD2529">
        <f>IF(U2529="","MISSING_TOTAL",IF(ABS(AB2529)&lt;=0.01,"OK","CHECK"))</f>
        <v/>
      </c>
      <c r="AE2529">
        <f>IF(U2529="","MISSING",IF(AND(AA2529&gt;0,U2529/AA2529&gt;50),"POSSIBLE_SCALE_ERROR","OK"))</f>
        <v/>
      </c>
    </row>
    <row r="2530">
      <c r="A2530" t="inlineStr">
        <is>
          <t>T-AAFC-2026-P04-025</t>
        </is>
      </c>
      <c r="B2530" t="inlineStr">
        <is>
          <t>SLE</t>
        </is>
      </c>
      <c r="C2530" t="inlineStr">
        <is>
          <t>Assistant Deputy Minister, Corporate Management Branch</t>
        </is>
      </c>
      <c r="D2530" t="inlineStr">
        <is>
          <t>Sous-ministre adjoint, Direction générale de la gestion intégrée</t>
        </is>
      </c>
      <c r="E2530" t="inlineStr">
        <is>
          <t>Alain Lagacé</t>
        </is>
      </c>
      <c r="F2530" t="inlineStr">
        <is>
          <t>To attend a meeting</t>
        </is>
      </c>
      <c r="G2530" t="inlineStr">
        <is>
          <t>Assister à une réunion</t>
        </is>
      </c>
      <c r="H2530" s="1" t="n">
        <v>45855</v>
      </c>
      <c r="I2530" s="1" t="n">
        <v>45855</v>
      </c>
      <c r="J2530" t="inlineStr">
        <is>
          <t>Ottawa, Ontario, Canada</t>
        </is>
      </c>
      <c r="K2530" t="inlineStr">
        <is>
          <t>Ottawa, Ontario, Canada</t>
        </is>
      </c>
      <c r="P2530" t="n">
        <v>0</v>
      </c>
      <c r="Q2530" t="n">
        <v>11</v>
      </c>
      <c r="R2530" t="n">
        <v>0</v>
      </c>
      <c r="S2530" t="n">
        <v>0</v>
      </c>
      <c r="T2530" t="n">
        <v>0</v>
      </c>
      <c r="U2530" t="n">
        <v>11</v>
      </c>
      <c r="X2530" t="inlineStr">
        <is>
          <t>aafc-aac</t>
        </is>
      </c>
      <c r="Y2530" t="inlineStr">
        <is>
          <t>Agriculture and Agri-Food Canada | Agriculture et Agroalimentaire Canada</t>
        </is>
      </c>
      <c r="Z2530" t="n">
        <v>1</v>
      </c>
      <c r="AA2530" t="n">
        <v>11</v>
      </c>
      <c r="AB2530">
        <f>ROUND(U2530-AA2530,2)</f>
        <v/>
      </c>
      <c r="AC2530" t="b">
        <v>0</v>
      </c>
      <c r="AD2530">
        <f>IF(U2530="","MISSING_TOTAL",IF(ABS(AB2530)&lt;=0.01,"OK","CHECK"))</f>
        <v/>
      </c>
      <c r="AE2530">
        <f>IF(U2530="","MISSING",IF(AND(AA2530&gt;0,U2530/AA2530&gt;50),"POSSIBLE_SCALE_ERROR","OK"))</f>
        <v/>
      </c>
    </row>
    <row r="2531">
      <c r="A2531" t="inlineStr">
        <is>
          <t>T-AAFC-2026-P04-026</t>
        </is>
      </c>
      <c r="B2531" t="inlineStr">
        <is>
          <t>SLE</t>
        </is>
      </c>
      <c r="C2531" t="inlineStr">
        <is>
          <t>Assistant Deputy Minister, Corporate Management Branch</t>
        </is>
      </c>
      <c r="D2531" t="inlineStr">
        <is>
          <t>Sous-ministre adjoint, Direction générale de la gestion intégrée</t>
        </is>
      </c>
      <c r="E2531" t="inlineStr">
        <is>
          <t>Alain Lagacé</t>
        </is>
      </c>
      <c r="F2531" t="inlineStr">
        <is>
          <t>Vancouver outreach to visit Research Development Centres</t>
        </is>
      </c>
      <c r="G2531" t="inlineStr">
        <is>
          <t>Activité de sensibilisation à Vancouver pour visiter les centres de recherche</t>
        </is>
      </c>
      <c r="H2531" s="1" t="n">
        <v>45830</v>
      </c>
      <c r="I2531" s="1" t="n">
        <v>45835</v>
      </c>
      <c r="J2531" t="inlineStr">
        <is>
          <t>Vancouver, British Columbia, Canada</t>
        </is>
      </c>
      <c r="K2531" t="inlineStr">
        <is>
          <t>Vancouver, Colombie-Britannique, Canada</t>
        </is>
      </c>
      <c r="P2531" t="n">
        <v>925.87</v>
      </c>
      <c r="Q2531" t="n">
        <v>133.73</v>
      </c>
      <c r="R2531" t="n">
        <v>1620.93</v>
      </c>
      <c r="S2531" t="n">
        <v>784.8</v>
      </c>
      <c r="T2531" t="n">
        <v>0</v>
      </c>
      <c r="U2531" t="n">
        <v>3465.33</v>
      </c>
      <c r="X2531" t="inlineStr">
        <is>
          <t>aafc-aac</t>
        </is>
      </c>
      <c r="Y2531" t="inlineStr">
        <is>
          <t>Agriculture and Agri-Food Canada | Agriculture et Agroalimentaire Canada</t>
        </is>
      </c>
      <c r="Z2531" t="n">
        <v>6</v>
      </c>
      <c r="AA2531" t="n">
        <v>3465.33</v>
      </c>
      <c r="AB2531">
        <f>ROUND(U2531-AA2531,2)</f>
        <v/>
      </c>
      <c r="AC2531" t="b">
        <v>0</v>
      </c>
      <c r="AD2531">
        <f>IF(U2531="","MISSING_TOTAL",IF(ABS(AB2531)&lt;=0.01,"OK","CHECK"))</f>
        <v/>
      </c>
      <c r="AE2531">
        <f>IF(U2531="","MISSING",IF(AND(AA2531&gt;0,U2531/AA2531&gt;50),"POSSIBLE_SCALE_ERROR","OK"))</f>
        <v/>
      </c>
    </row>
    <row r="2532">
      <c r="A2532" t="inlineStr">
        <is>
          <t>T-AAFC-2026-P04-027</t>
        </is>
      </c>
      <c r="B2532" t="inlineStr">
        <is>
          <t>SLE</t>
        </is>
      </c>
      <c r="C2532" t="inlineStr">
        <is>
          <t>Assistant Deputy Minister, Market and Industry Services Branch</t>
        </is>
      </c>
      <c r="D2532" t="inlineStr">
        <is>
          <t>Sous-ministre adjoint, Direction générale des services à l'industrie et aux marchés</t>
        </is>
      </c>
      <c r="E2532" t="inlineStr">
        <is>
          <t>Tom Rosser</t>
        </is>
      </c>
      <c r="F2532" t="inlineStr">
        <is>
          <t>To participate in the UN's Food and Agriculture Organization</t>
        </is>
      </c>
      <c r="G2532" t="inlineStr">
        <is>
          <t>Participer à l'Organisation des Nations Unies pour l'alimentation et l'agriculture</t>
        </is>
      </c>
      <c r="H2532" s="1" t="n">
        <v>45836</v>
      </c>
      <c r="I2532" s="1" t="n">
        <v>45841</v>
      </c>
      <c r="J2532" t="inlineStr">
        <is>
          <t>Rome, Italy</t>
        </is>
      </c>
      <c r="K2532" t="inlineStr">
        <is>
          <t>Rome, Italie</t>
        </is>
      </c>
      <c r="P2532" t="n">
        <v>12006.34</v>
      </c>
      <c r="Q2532" t="n">
        <v>327.48</v>
      </c>
      <c r="R2532" t="n">
        <v>2339.15</v>
      </c>
      <c r="S2532" t="n">
        <v>774.54</v>
      </c>
      <c r="T2532" t="n">
        <v>0</v>
      </c>
      <c r="U2532" t="n">
        <v>15447.51</v>
      </c>
      <c r="X2532" t="inlineStr">
        <is>
          <t>aafc-aac</t>
        </is>
      </c>
      <c r="Y2532" t="inlineStr">
        <is>
          <t>Agriculture and Agri-Food Canada | Agriculture et Agroalimentaire Canada</t>
        </is>
      </c>
      <c r="Z2532" t="n">
        <v>6</v>
      </c>
      <c r="AA2532" t="n">
        <v>15447.5099999999</v>
      </c>
      <c r="AB2532">
        <f>ROUND(U2532-AA2532,2)</f>
        <v/>
      </c>
      <c r="AC2532" t="b">
        <v>0</v>
      </c>
      <c r="AD2532">
        <f>IF(U2532="","MISSING_TOTAL",IF(ABS(AB2532)&lt;=0.01,"OK","CHECK"))</f>
        <v/>
      </c>
      <c r="AE2532">
        <f>IF(U2532="","MISSING",IF(AND(AA2532&gt;0,U2532/AA2532&gt;50),"POSSIBLE_SCALE_ERROR","OK"))</f>
        <v/>
      </c>
    </row>
    <row r="2533">
      <c r="A2533" t="inlineStr">
        <is>
          <t>T-AAFC-2026-P04-028</t>
        </is>
      </c>
      <c r="B2533" t="inlineStr">
        <is>
          <t>SLE</t>
        </is>
      </c>
      <c r="C2533" t="inlineStr">
        <is>
          <t>Assistant Deputy Minister, Market and Industry Services Branch</t>
        </is>
      </c>
      <c r="D2533" t="inlineStr">
        <is>
          <t>Sous-ministre adjoint, Direction générale des services à l'industrie et aux marchés</t>
        </is>
      </c>
      <c r="E2533" t="inlineStr">
        <is>
          <t>Tom Rosser</t>
        </is>
      </c>
      <c r="F2533" t="inlineStr">
        <is>
          <t>To attend the Canadian Federation of Agriculture summer board meeting and roundtable</t>
        </is>
      </c>
      <c r="G2533" t="inlineStr">
        <is>
          <t>Assister à la réunion d’été du conseil d’administration de la Fédération  canadienne de l'agriculture et à la table ronde industrielle de 2025</t>
        </is>
      </c>
      <c r="H2533" s="1" t="n">
        <v>45853</v>
      </c>
      <c r="I2533" s="1" t="n">
        <v>45855</v>
      </c>
      <c r="J2533" t="inlineStr">
        <is>
          <t>Winnipeg, Manitoba, Canada</t>
        </is>
      </c>
      <c r="K2533" t="inlineStr">
        <is>
          <t>Winnipeg, Manitoba, Canada</t>
        </is>
      </c>
      <c r="P2533" t="n">
        <v>1092.57</v>
      </c>
      <c r="Q2533" t="n">
        <v>144.98</v>
      </c>
      <c r="R2533" t="n">
        <v>778.42</v>
      </c>
      <c r="S2533" t="n">
        <v>309.2</v>
      </c>
      <c r="T2533" t="n">
        <v>0</v>
      </c>
      <c r="U2533" t="n">
        <v>2325.17</v>
      </c>
      <c r="X2533" t="inlineStr">
        <is>
          <t>aafc-aac</t>
        </is>
      </c>
      <c r="Y2533" t="inlineStr">
        <is>
          <t>Agriculture and Agri-Food Canada | Agriculture et Agroalimentaire Canada</t>
        </is>
      </c>
      <c r="Z2533" t="n">
        <v>3</v>
      </c>
      <c r="AA2533" t="n">
        <v>2325.16999999999</v>
      </c>
      <c r="AB2533">
        <f>ROUND(U2533-AA2533,2)</f>
        <v/>
      </c>
      <c r="AC2533" t="b">
        <v>0</v>
      </c>
      <c r="AD2533">
        <f>IF(U2533="","MISSING_TOTAL",IF(ABS(AB2533)&lt;=0.01,"OK","CHECK"))</f>
        <v/>
      </c>
      <c r="AE2533">
        <f>IF(U2533="","MISSING",IF(AND(AA2533&gt;0,U2533/AA2533&gt;50),"POSSIBLE_SCALE_ERROR","OK"))</f>
        <v/>
      </c>
    </row>
    <row r="2534">
      <c r="A2534" t="inlineStr">
        <is>
          <t>T-AAFC-2026-P05-001</t>
        </is>
      </c>
      <c r="B2534" t="inlineStr">
        <is>
          <t>MPSES</t>
        </is>
      </c>
      <c r="C2534" t="inlineStr">
        <is>
          <t>Minister</t>
        </is>
      </c>
      <c r="D2534" t="inlineStr">
        <is>
          <t>Ministre</t>
        </is>
      </c>
      <c r="E2534" t="inlineStr">
        <is>
          <t>Heath MacDonald</t>
        </is>
      </c>
      <c r="F2534" t="inlineStr">
        <is>
          <t>To attend a Ministerial Mission to Indonesia, Philippines and Singapore</t>
        </is>
      </c>
      <c r="G2534" t="inlineStr">
        <is>
          <t>Participer à une mission ministérielle en Indonésie, aux Philippines et à Singapour.</t>
        </is>
      </c>
      <c r="H2534" s="1" t="n">
        <v>45867</v>
      </c>
      <c r="I2534" s="1" t="n">
        <v>45876</v>
      </c>
      <c r="J2534" t="inlineStr">
        <is>
          <t>Jakarta, Indonesia</t>
        </is>
      </c>
      <c r="K2534" t="inlineStr">
        <is>
          <t>Jakarta, Indonésie</t>
        </is>
      </c>
      <c r="L2534" t="inlineStr">
        <is>
          <t>Singapore, Singapore</t>
        </is>
      </c>
      <c r="M2534" t="inlineStr">
        <is>
          <t>Singapour, Singapour</t>
        </is>
      </c>
      <c r="N2534" t="inlineStr">
        <is>
          <t>Manila, Philippines</t>
        </is>
      </c>
      <c r="O2534" t="inlineStr">
        <is>
          <t>Manille, Philippines</t>
        </is>
      </c>
      <c r="P2534" t="n">
        <v>11559.74</v>
      </c>
      <c r="R2534" t="n">
        <v>2967.66</v>
      </c>
      <c r="S2534" t="n">
        <v>1273.67</v>
      </c>
      <c r="T2534" t="n">
        <v>0</v>
      </c>
      <c r="U2534" t="n">
        <v>15801.07</v>
      </c>
      <c r="X2534" t="inlineStr">
        <is>
          <t>aafc-aac</t>
        </is>
      </c>
      <c r="Y2534" t="inlineStr">
        <is>
          <t>Agriculture and Agri-Food Canada | Agriculture et Agroalimentaire Canada</t>
        </is>
      </c>
      <c r="Z2534" t="n">
        <v>10</v>
      </c>
      <c r="AA2534" t="n">
        <v>15801.07</v>
      </c>
      <c r="AB2534">
        <f>ROUND(U2534-AA2534,2)</f>
        <v/>
      </c>
      <c r="AC2534" t="b">
        <v>0</v>
      </c>
      <c r="AD2534">
        <f>IF(U2534="","MISSING_TOTAL",IF(ABS(AB2534)&lt;=0.01,"OK","CHECK"))</f>
        <v/>
      </c>
      <c r="AE2534">
        <f>IF(U2534="","MISSING",IF(AND(AA2534&gt;0,U2534/AA2534&gt;50),"POSSIBLE_SCALE_ERROR","OK"))</f>
        <v/>
      </c>
    </row>
    <row r="2535">
      <c r="A2535" t="inlineStr">
        <is>
          <t>T-AAFC-2026-P05-002</t>
        </is>
      </c>
      <c r="B2535" t="inlineStr">
        <is>
          <t>MPSES</t>
        </is>
      </c>
      <c r="C2535" t="inlineStr">
        <is>
          <t>Director of Communications</t>
        </is>
      </c>
      <c r="D2535" t="inlineStr">
        <is>
          <t>Directrice des communications</t>
        </is>
      </c>
      <c r="E2535" t="inlineStr">
        <is>
          <t>Annie Cullinan</t>
        </is>
      </c>
      <c r="F2535" t="inlineStr">
        <is>
          <t>To support the Minister to make an announcement</t>
        </is>
      </c>
      <c r="G2535" t="inlineStr">
        <is>
          <t>Soutenir le ministre à faire une annonce</t>
        </is>
      </c>
      <c r="H2535" s="1" t="n">
        <v>45865</v>
      </c>
      <c r="I2535" s="1" t="n">
        <v>45866</v>
      </c>
      <c r="J2535" t="inlineStr">
        <is>
          <t>Charlottetown, Prince Edward Island, Canada</t>
        </is>
      </c>
      <c r="K2535" t="inlineStr">
        <is>
          <t>Charlottetown, Île-du-Prince-Édouard, Canada</t>
        </is>
      </c>
      <c r="P2535" t="n">
        <v>1820.79</v>
      </c>
      <c r="Q2535" t="n">
        <v>22.57</v>
      </c>
      <c r="R2535" t="n">
        <v>260.59</v>
      </c>
      <c r="S2535" t="n">
        <v>170.2</v>
      </c>
      <c r="U2535" t="n">
        <v>2274.15</v>
      </c>
      <c r="X2535" t="inlineStr">
        <is>
          <t>aafc-aac</t>
        </is>
      </c>
      <c r="Y2535" t="inlineStr">
        <is>
          <t>Agriculture and Agri-Food Canada | Agriculture et Agroalimentaire Canada</t>
        </is>
      </c>
      <c r="Z2535" t="n">
        <v>2</v>
      </c>
      <c r="AA2535" t="n">
        <v>2274.14999999999</v>
      </c>
      <c r="AB2535">
        <f>ROUND(U2535-AA2535,2)</f>
        <v/>
      </c>
      <c r="AC2535" t="b">
        <v>0</v>
      </c>
      <c r="AD2535">
        <f>IF(U2535="","MISSING_TOTAL",IF(ABS(AB2535)&lt;=0.01,"OK","CHECK"))</f>
        <v/>
      </c>
      <c r="AE2535">
        <f>IF(U2535="","MISSING",IF(AND(AA2535&gt;0,U2535/AA2535&gt;50),"POSSIBLE_SCALE_ERROR","OK"))</f>
        <v/>
      </c>
    </row>
    <row r="2536">
      <c r="A2536" t="inlineStr">
        <is>
          <t>T-AAFC-2026-P05-003</t>
        </is>
      </c>
      <c r="B2536" t="inlineStr">
        <is>
          <t>MPSES</t>
        </is>
      </c>
      <c r="C2536" t="inlineStr">
        <is>
          <t>Director of Communications</t>
        </is>
      </c>
      <c r="D2536" t="inlineStr">
        <is>
          <t>Directrice des communications</t>
        </is>
      </c>
      <c r="E2536" t="inlineStr">
        <is>
          <t>Annie Cullinan</t>
        </is>
      </c>
      <c r="F2536" t="inlineStr">
        <is>
          <t>To support the Minister to attend a Ministerial Mission to Indonesia, Philippines and Singapore</t>
        </is>
      </c>
      <c r="G2536" t="inlineStr">
        <is>
          <t>Soutenir le ministre à participer à une mission ministérielle en Indonésie, aux Philippines et à Singapour.</t>
        </is>
      </c>
      <c r="H2536" s="1" t="n">
        <v>45867</v>
      </c>
      <c r="I2536" s="1" t="n">
        <v>45876</v>
      </c>
      <c r="J2536" t="inlineStr">
        <is>
          <t>Jakarta, Indonesia</t>
        </is>
      </c>
      <c r="K2536" t="inlineStr">
        <is>
          <t>Jakarta, Indonésie</t>
        </is>
      </c>
      <c r="L2536" t="inlineStr">
        <is>
          <t>Singapore, Singapore</t>
        </is>
      </c>
      <c r="M2536" t="inlineStr">
        <is>
          <t>Singapour, Singapour</t>
        </is>
      </c>
      <c r="N2536" t="inlineStr">
        <is>
          <t>Manila, Philippines</t>
        </is>
      </c>
      <c r="O2536" t="inlineStr">
        <is>
          <t>Manille, Philippines</t>
        </is>
      </c>
      <c r="P2536" t="n">
        <v>7338.15</v>
      </c>
      <c r="R2536" t="n">
        <v>2967.66</v>
      </c>
      <c r="S2536" t="n">
        <v>1273.67</v>
      </c>
      <c r="T2536" t="n">
        <v>0</v>
      </c>
      <c r="U2536" t="n">
        <v>11579.48</v>
      </c>
      <c r="X2536" t="inlineStr">
        <is>
          <t>aafc-aac</t>
        </is>
      </c>
      <c r="Y2536" t="inlineStr">
        <is>
          <t>Agriculture and Agri-Food Canada | Agriculture et Agroalimentaire Canada</t>
        </is>
      </c>
      <c r="Z2536" t="n">
        <v>10</v>
      </c>
      <c r="AA2536" t="n">
        <v>11579.48</v>
      </c>
      <c r="AB2536">
        <f>ROUND(U2536-AA2536,2)</f>
        <v/>
      </c>
      <c r="AC2536" t="b">
        <v>0</v>
      </c>
      <c r="AD2536">
        <f>IF(U2536="","MISSING_TOTAL",IF(ABS(AB2536)&lt;=0.01,"OK","CHECK"))</f>
        <v/>
      </c>
      <c r="AE2536">
        <f>IF(U2536="","MISSING",IF(AND(AA2536&gt;0,U2536/AA2536&gt;50),"POSSIBLE_SCALE_ERROR","OK"))</f>
        <v/>
      </c>
    </row>
    <row r="2537">
      <c r="A2537" t="inlineStr">
        <is>
          <t>T-AAFC-2026-P05-004</t>
        </is>
      </c>
      <c r="B2537" t="inlineStr">
        <is>
          <t>MPSES</t>
        </is>
      </c>
      <c r="C2537" t="inlineStr">
        <is>
          <t>Director of Communications</t>
        </is>
      </c>
      <c r="D2537" t="inlineStr">
        <is>
          <t>Directrice des communications</t>
        </is>
      </c>
      <c r="E2537" t="inlineStr">
        <is>
          <t>Annie Cullinan</t>
        </is>
      </c>
      <c r="F2537" t="inlineStr">
        <is>
          <t>To support the Minister to attend meetings</t>
        </is>
      </c>
      <c r="G2537" t="inlineStr">
        <is>
          <t>Soutenir le ministre dans sa participation aux réunions</t>
        </is>
      </c>
      <c r="H2537" s="1" t="n">
        <v>45879</v>
      </c>
      <c r="I2537" s="1" t="n">
        <v>45883</v>
      </c>
      <c r="J2537" t="inlineStr">
        <is>
          <t>Charlottetown, Prince Edward Island, Canada</t>
        </is>
      </c>
      <c r="K2537" t="inlineStr">
        <is>
          <t>Charlottetown, Île-du-Prince-Édouard, Canada</t>
        </is>
      </c>
      <c r="P2537" t="n">
        <v>1243.63</v>
      </c>
      <c r="Q2537" t="n">
        <v>95.14</v>
      </c>
      <c r="R2537" t="n">
        <v>1601.23</v>
      </c>
      <c r="S2537" t="n">
        <v>340.4</v>
      </c>
      <c r="T2537" t="n">
        <v>0</v>
      </c>
      <c r="U2537" t="n">
        <v>3280.4</v>
      </c>
      <c r="X2537" t="inlineStr">
        <is>
          <t>aafc-aac</t>
        </is>
      </c>
      <c r="Y2537" t="inlineStr">
        <is>
          <t>Agriculture and Agri-Food Canada | Agriculture et Agroalimentaire Canada</t>
        </is>
      </c>
      <c r="Z2537" t="n">
        <v>5</v>
      </c>
      <c r="AA2537" t="n">
        <v>3280.4</v>
      </c>
      <c r="AB2537">
        <f>ROUND(U2537-AA2537,2)</f>
        <v/>
      </c>
      <c r="AC2537" t="b">
        <v>0</v>
      </c>
      <c r="AD2537">
        <f>IF(U2537="","MISSING_TOTAL",IF(ABS(AB2537)&lt;=0.01,"OK","CHECK"))</f>
        <v/>
      </c>
      <c r="AE2537">
        <f>IF(U2537="","MISSING",IF(AND(AA2537&gt;0,U2537/AA2537&gt;50),"POSSIBLE_SCALE_ERROR","OK"))</f>
        <v/>
      </c>
    </row>
    <row r="2538">
      <c r="A2538" t="inlineStr">
        <is>
          <t>T-AAFC-2026-P05-005</t>
        </is>
      </c>
      <c r="B2538" t="inlineStr">
        <is>
          <t>MPSES</t>
        </is>
      </c>
      <c r="C2538" t="inlineStr">
        <is>
          <t>Director of Policy</t>
        </is>
      </c>
      <c r="D2538" t="inlineStr">
        <is>
          <t>Directrice des politiques</t>
        </is>
      </c>
      <c r="E2538" t="inlineStr">
        <is>
          <t>Serena Smith</t>
        </is>
      </c>
      <c r="F2538" t="inlineStr">
        <is>
          <t>To support the Minister to attend meetings</t>
        </is>
      </c>
      <c r="G2538" t="inlineStr">
        <is>
          <t>Soutenir le ministre à participer à ses réunions</t>
        </is>
      </c>
      <c r="H2538" s="1" t="n">
        <v>45853</v>
      </c>
      <c r="I2538" s="1" t="n">
        <v>45854</v>
      </c>
      <c r="J2538" t="inlineStr">
        <is>
          <t>Charlottetown, Prince Edward Island, Canada</t>
        </is>
      </c>
      <c r="K2538" t="inlineStr">
        <is>
          <t>Charlottetown, Île-du-Prince-Édouard, Canada</t>
        </is>
      </c>
      <c r="P2538" t="n">
        <v>0</v>
      </c>
      <c r="Q2538" t="n">
        <v>0</v>
      </c>
      <c r="R2538" t="n">
        <v>260.71</v>
      </c>
      <c r="S2538" t="n">
        <v>112.5</v>
      </c>
      <c r="T2538" t="n">
        <v>0</v>
      </c>
      <c r="U2538" t="n">
        <v>373.21</v>
      </c>
      <c r="X2538" t="inlineStr">
        <is>
          <t>aafc-aac</t>
        </is>
      </c>
      <c r="Y2538" t="inlineStr">
        <is>
          <t>Agriculture and Agri-Food Canada | Agriculture et Agroalimentaire Canada</t>
        </is>
      </c>
      <c r="Z2538" t="n">
        <v>2</v>
      </c>
      <c r="AA2538" t="n">
        <v>373.21</v>
      </c>
      <c r="AB2538">
        <f>ROUND(U2538-AA2538,2)</f>
        <v/>
      </c>
      <c r="AC2538" t="b">
        <v>0</v>
      </c>
      <c r="AD2538">
        <f>IF(U2538="","MISSING_TOTAL",IF(ABS(AB2538)&lt;=0.01,"OK","CHECK"))</f>
        <v/>
      </c>
      <c r="AE2538">
        <f>IF(U2538="","MISSING",IF(AND(AA2538&gt;0,U2538/AA2538&gt;50),"POSSIBLE_SCALE_ERROR","OK"))</f>
        <v/>
      </c>
    </row>
    <row r="2539">
      <c r="A2539" t="inlineStr">
        <is>
          <t>T-AAFC-2026-P05-006</t>
        </is>
      </c>
      <c r="B2539" t="inlineStr">
        <is>
          <t>MPSES</t>
        </is>
      </c>
      <c r="C2539" t="inlineStr">
        <is>
          <t>Director of Policy</t>
        </is>
      </c>
      <c r="D2539" t="inlineStr">
        <is>
          <t>Directrice des politiques</t>
        </is>
      </c>
      <c r="E2539" t="inlineStr">
        <is>
          <t>Serena Smith</t>
        </is>
      </c>
      <c r="F2539" t="inlineStr">
        <is>
          <t>To support the Minister to make an announcement</t>
        </is>
      </c>
      <c r="G2539" t="inlineStr">
        <is>
          <t>Soutenir le ministre à faire une annonce</t>
        </is>
      </c>
      <c r="H2539" s="1" t="n">
        <v>45864</v>
      </c>
      <c r="I2539" s="1" t="n">
        <v>45867</v>
      </c>
      <c r="J2539" t="inlineStr">
        <is>
          <t>Charlottetown, Prince Edward Island, Canada</t>
        </is>
      </c>
      <c r="K2539" t="inlineStr">
        <is>
          <t>Charlottetown, Île-du-Prince-Édouard, Canada</t>
        </is>
      </c>
      <c r="P2539" t="n">
        <v>1178.83</v>
      </c>
      <c r="Q2539" t="n">
        <v>463.73</v>
      </c>
      <c r="R2539" t="n">
        <v>521.1799999999999</v>
      </c>
      <c r="S2539" t="n">
        <v>170.2</v>
      </c>
      <c r="T2539" t="n">
        <v>0</v>
      </c>
      <c r="U2539" t="n">
        <v>2333.94</v>
      </c>
      <c r="X2539" t="inlineStr">
        <is>
          <t>aafc-aac</t>
        </is>
      </c>
      <c r="Y2539" t="inlineStr">
        <is>
          <t>Agriculture and Agri-Food Canada | Agriculture et Agroalimentaire Canada</t>
        </is>
      </c>
      <c r="Z2539" t="n">
        <v>4</v>
      </c>
      <c r="AA2539" t="n">
        <v>2333.93999999999</v>
      </c>
      <c r="AB2539">
        <f>ROUND(U2539-AA2539,2)</f>
        <v/>
      </c>
      <c r="AC2539" t="b">
        <v>0</v>
      </c>
      <c r="AD2539">
        <f>IF(U2539="","MISSING_TOTAL",IF(ABS(AB2539)&lt;=0.01,"OK","CHECK"))</f>
        <v/>
      </c>
      <c r="AE2539">
        <f>IF(U2539="","MISSING",IF(AND(AA2539&gt;0,U2539/AA2539&gt;50),"POSSIBLE_SCALE_ERROR","OK"))</f>
        <v/>
      </c>
    </row>
    <row r="2540">
      <c r="A2540" t="inlineStr">
        <is>
          <t>T-AAFC-2026-P05-007</t>
        </is>
      </c>
      <c r="B2540" t="inlineStr">
        <is>
          <t>MPSES</t>
        </is>
      </c>
      <c r="C2540" t="inlineStr">
        <is>
          <t>Special Assistant</t>
        </is>
      </c>
      <c r="D2540" t="inlineStr">
        <is>
          <t>Adjointe spéciale</t>
        </is>
      </c>
      <c r="E2540" t="inlineStr">
        <is>
          <t>Yasmin Veiga</t>
        </is>
      </c>
      <c r="F2540" t="inlineStr">
        <is>
          <t>To support the Parliamentary Secretary Sophie Chatel to meet with stakeholders</t>
        </is>
      </c>
      <c r="G2540" t="inlineStr">
        <is>
          <t>Soutenir la secrétaire parlementaire Sophie Chatel à rencontrer les parties prenantes</t>
        </is>
      </c>
      <c r="H2540" s="1" t="n">
        <v>45872</v>
      </c>
      <c r="I2540" s="1" t="n">
        <v>45876</v>
      </c>
      <c r="J2540" t="inlineStr">
        <is>
          <t>Sherbrooke, Quebec, Canada</t>
        </is>
      </c>
      <c r="K2540" t="inlineStr">
        <is>
          <t>Sherbrooke, Québec, Canada</t>
        </is>
      </c>
      <c r="L2540" t="inlineStr">
        <is>
          <t>Québec, Quebec, Canada</t>
        </is>
      </c>
      <c r="M2540" t="inlineStr">
        <is>
          <t>Québec, Québec, Canada</t>
        </is>
      </c>
      <c r="P2540" t="n">
        <v>0</v>
      </c>
      <c r="Q2540" t="n">
        <v>474.17</v>
      </c>
      <c r="R2540" t="n">
        <v>859.36</v>
      </c>
      <c r="S2540" t="n">
        <v>425.6</v>
      </c>
      <c r="T2540" t="n">
        <v>0</v>
      </c>
      <c r="U2540" t="n">
        <v>1759.13</v>
      </c>
      <c r="X2540" t="inlineStr">
        <is>
          <t>aafc-aac</t>
        </is>
      </c>
      <c r="Y2540" t="inlineStr">
        <is>
          <t>Agriculture and Agri-Food Canada | Agriculture et Agroalimentaire Canada</t>
        </is>
      </c>
      <c r="Z2540" t="n">
        <v>5</v>
      </c>
      <c r="AA2540" t="n">
        <v>1759.13</v>
      </c>
      <c r="AB2540">
        <f>ROUND(U2540-AA2540,2)</f>
        <v/>
      </c>
      <c r="AC2540" t="b">
        <v>0</v>
      </c>
      <c r="AD2540">
        <f>IF(U2540="","MISSING_TOTAL",IF(ABS(AB2540)&lt;=0.01,"OK","CHECK"))</f>
        <v/>
      </c>
      <c r="AE2540">
        <f>IF(U2540="","MISSING",IF(AND(AA2540&gt;0,U2540/AA2540&gt;50),"POSSIBLE_SCALE_ERROR","OK"))</f>
        <v/>
      </c>
    </row>
    <row r="2541">
      <c r="A2541" t="inlineStr">
        <is>
          <t>T-AAFC-2026-P05-008</t>
        </is>
      </c>
      <c r="B2541" t="inlineStr">
        <is>
          <t>MPSES</t>
        </is>
      </c>
      <c r="C2541" t="inlineStr">
        <is>
          <t>Parliamentary Secretary</t>
        </is>
      </c>
      <c r="D2541" t="inlineStr">
        <is>
          <t>Secrétaire parlementaire</t>
        </is>
      </c>
      <c r="E2541" t="inlineStr">
        <is>
          <t>Sophie Chatel</t>
        </is>
      </c>
      <c r="F2541" t="inlineStr">
        <is>
          <t>To meet with stakeholders</t>
        </is>
      </c>
      <c r="G2541" t="inlineStr">
        <is>
          <t>Rencontrer les parties prenantes</t>
        </is>
      </c>
      <c r="H2541" s="1" t="n">
        <v>45873</v>
      </c>
      <c r="I2541" s="1" t="n">
        <v>45876</v>
      </c>
      <c r="J2541" t="inlineStr">
        <is>
          <t>Sherbrooke, Quebec, Canada</t>
        </is>
      </c>
      <c r="K2541" t="inlineStr">
        <is>
          <t>Sherbrooke, Québec, Canada</t>
        </is>
      </c>
      <c r="L2541" t="inlineStr">
        <is>
          <t>Quebec, Quebec, Canada</t>
        </is>
      </c>
      <c r="M2541" t="inlineStr">
        <is>
          <t>Québec, Québec, Canada</t>
        </is>
      </c>
      <c r="P2541" t="n">
        <v>0</v>
      </c>
      <c r="Q2541" t="n">
        <v>0</v>
      </c>
      <c r="R2541" t="n">
        <v>797.28</v>
      </c>
      <c r="S2541" t="n">
        <v>425.6</v>
      </c>
      <c r="T2541" t="n">
        <v>0</v>
      </c>
      <c r="U2541" t="n">
        <v>1222.88</v>
      </c>
      <c r="X2541" t="inlineStr">
        <is>
          <t>aafc-aac</t>
        </is>
      </c>
      <c r="Y2541" t="inlineStr">
        <is>
          <t>Agriculture and Agri-Food Canada | Agriculture et Agroalimentaire Canada</t>
        </is>
      </c>
      <c r="Z2541" t="n">
        <v>4</v>
      </c>
      <c r="AA2541" t="n">
        <v>1222.88</v>
      </c>
      <c r="AB2541">
        <f>ROUND(U2541-AA2541,2)</f>
        <v/>
      </c>
      <c r="AC2541" t="b">
        <v>0</v>
      </c>
      <c r="AD2541">
        <f>IF(U2541="","MISSING_TOTAL",IF(ABS(AB2541)&lt;=0.01,"OK","CHECK"))</f>
        <v/>
      </c>
      <c r="AE2541">
        <f>IF(U2541="","MISSING",IF(AND(AA2541&gt;0,U2541/AA2541&gt;50),"POSSIBLE_SCALE_ERROR","OK"))</f>
        <v/>
      </c>
    </row>
    <row r="2542">
      <c r="A2542" t="inlineStr">
        <is>
          <t>T-AAFC-2026-P06-001</t>
        </is>
      </c>
      <c r="B2542" t="inlineStr">
        <is>
          <t>MPSES</t>
        </is>
      </c>
      <c r="C2542" t="inlineStr">
        <is>
          <t>Minister</t>
        </is>
      </c>
      <c r="D2542" t="inlineStr">
        <is>
          <t>Ministre</t>
        </is>
      </c>
      <c r="E2542" t="inlineStr">
        <is>
          <t>Heath MacDonald</t>
        </is>
      </c>
      <c r="F2542" t="inlineStr">
        <is>
          <t>To attend meetings with stakeholders and an event</t>
        </is>
      </c>
      <c r="G2542" t="inlineStr">
        <is>
          <t>Assister à des réunions avec des intervenants et à un événement.</t>
        </is>
      </c>
      <c r="H2542" s="1" t="n">
        <v>45886</v>
      </c>
      <c r="I2542" s="1" t="n">
        <v>45888</v>
      </c>
      <c r="J2542" t="inlineStr">
        <is>
          <t>St. Andrews, New Brunswick, Canada</t>
        </is>
      </c>
      <c r="K2542" t="inlineStr">
        <is>
          <t>St. Andrews, Nouveau-Brunswick, Canada</t>
        </is>
      </c>
      <c r="P2542" t="n">
        <v>0</v>
      </c>
      <c r="Q2542" t="n">
        <v>500.4</v>
      </c>
      <c r="R2542" t="n">
        <v>1043.42</v>
      </c>
      <c r="S2542" t="n">
        <v>227</v>
      </c>
      <c r="T2542" t="n">
        <v>0</v>
      </c>
      <c r="U2542" t="n">
        <v>1770.82</v>
      </c>
      <c r="X2542" t="inlineStr">
        <is>
          <t>aafc-aac</t>
        </is>
      </c>
      <c r="Y2542" t="inlineStr">
        <is>
          <t>Agriculture and Agri-Food Canada | Agriculture et Agroalimentaire Canada</t>
        </is>
      </c>
      <c r="Z2542" t="n">
        <v>3</v>
      </c>
      <c r="AA2542" t="n">
        <v>1770.82</v>
      </c>
      <c r="AB2542">
        <f>ROUND(U2542-AA2542,2)</f>
        <v/>
      </c>
      <c r="AC2542" t="b">
        <v>0</v>
      </c>
      <c r="AD2542">
        <f>IF(U2542="","MISSING_TOTAL",IF(ABS(AB2542)&lt;=0.01,"OK","CHECK"))</f>
        <v/>
      </c>
      <c r="AE2542">
        <f>IF(U2542="","MISSING",IF(AND(AA2542&gt;0,U2542/AA2542&gt;50),"POSSIBLE_SCALE_ERROR","OK"))</f>
        <v/>
      </c>
    </row>
    <row r="2543">
      <c r="A2543" t="inlineStr">
        <is>
          <t>T-AAFC-2026-P06-002</t>
        </is>
      </c>
      <c r="B2543" t="inlineStr">
        <is>
          <t>MPSES</t>
        </is>
      </c>
      <c r="C2543" t="inlineStr">
        <is>
          <t>Minister</t>
        </is>
      </c>
      <c r="D2543" t="inlineStr">
        <is>
          <t>Ministre</t>
        </is>
      </c>
      <c r="E2543" t="inlineStr">
        <is>
          <t>Heath MacDonald</t>
        </is>
      </c>
      <c r="F2543" t="inlineStr">
        <is>
          <t>To attend an outreach</t>
        </is>
      </c>
      <c r="G2543" t="inlineStr">
        <is>
          <t>Participer à une activité de sensibilisation</t>
        </is>
      </c>
      <c r="H2543" s="1" t="n">
        <v>45889</v>
      </c>
      <c r="I2543" s="1" t="n">
        <v>45889</v>
      </c>
      <c r="J2543" t="inlineStr">
        <is>
          <t>Saskatoon, Saskatchewan, Canada</t>
        </is>
      </c>
      <c r="K2543" t="inlineStr">
        <is>
          <t>Saskatoon, Saskatchewan, Canada</t>
        </is>
      </c>
      <c r="P2543" t="n">
        <v>56.39</v>
      </c>
      <c r="Q2543" t="n">
        <v>0</v>
      </c>
      <c r="R2543" t="n">
        <v>192.15</v>
      </c>
      <c r="S2543" t="n">
        <v>0</v>
      </c>
      <c r="T2543" t="n">
        <v>0</v>
      </c>
      <c r="U2543" t="n">
        <v>248.54</v>
      </c>
      <c r="V2543" t="inlineStr">
        <is>
          <t>Travel canceled due to Air Canada strike</t>
        </is>
      </c>
      <c r="W2543" t="inlineStr">
        <is>
          <t>Voyage annulé en raison de la grève Air Canada</t>
        </is>
      </c>
      <c r="X2543" t="inlineStr">
        <is>
          <t>aafc-aac</t>
        </is>
      </c>
      <c r="Y2543" t="inlineStr">
        <is>
          <t>Agriculture and Agri-Food Canada | Agriculture et Agroalimentaire Canada</t>
        </is>
      </c>
      <c r="Z2543" t="n">
        <v>1</v>
      </c>
      <c r="AA2543" t="n">
        <v>248.54</v>
      </c>
      <c r="AB2543">
        <f>ROUND(U2543-AA2543,2)</f>
        <v/>
      </c>
      <c r="AC2543" t="b">
        <v>0</v>
      </c>
      <c r="AD2543">
        <f>IF(U2543="","MISSING_TOTAL",IF(ABS(AB2543)&lt;=0.01,"OK","CHECK"))</f>
        <v/>
      </c>
      <c r="AE2543">
        <f>IF(U2543="","MISSING",IF(AND(AA2543&gt;0,U2543/AA2543&gt;50),"POSSIBLE_SCALE_ERROR","OK"))</f>
        <v/>
      </c>
    </row>
    <row r="2544">
      <c r="A2544" t="inlineStr">
        <is>
          <t>T-AAFC-2026-P06-003</t>
        </is>
      </c>
      <c r="B2544" t="inlineStr">
        <is>
          <t>MPSES</t>
        </is>
      </c>
      <c r="C2544" t="inlineStr">
        <is>
          <t>Minister</t>
        </is>
      </c>
      <c r="D2544" t="inlineStr">
        <is>
          <t>Ministre</t>
        </is>
      </c>
      <c r="E2544" t="inlineStr">
        <is>
          <t>Heath MacDonald</t>
        </is>
      </c>
      <c r="F2544" t="inlineStr">
        <is>
          <t>To attend a Cabinet Retreat</t>
        </is>
      </c>
      <c r="G2544" t="inlineStr">
        <is>
          <t>Participer à une retraite du Cabinet</t>
        </is>
      </c>
      <c r="H2544" s="1" t="n">
        <v>45903</v>
      </c>
      <c r="I2544" s="1" t="n">
        <v>45905</v>
      </c>
      <c r="J2544" t="inlineStr">
        <is>
          <t>Toronto, Ontario, Canada</t>
        </is>
      </c>
      <c r="K2544" t="inlineStr">
        <is>
          <t>Toronto, Ontario, Canada</t>
        </is>
      </c>
      <c r="P2544" t="n">
        <v>1622.81</v>
      </c>
      <c r="Q2544" t="n">
        <v>0</v>
      </c>
      <c r="R2544" t="n">
        <v>478.16</v>
      </c>
      <c r="S2544" t="n">
        <v>55.8</v>
      </c>
      <c r="T2544" t="n">
        <v>0</v>
      </c>
      <c r="U2544" t="n">
        <v>2156.77</v>
      </c>
      <c r="X2544" t="inlineStr">
        <is>
          <t>aafc-aac</t>
        </is>
      </c>
      <c r="Y2544" t="inlineStr">
        <is>
          <t>Agriculture and Agri-Food Canada | Agriculture et Agroalimentaire Canada</t>
        </is>
      </c>
      <c r="Z2544" t="n">
        <v>3</v>
      </c>
      <c r="AA2544" t="n">
        <v>2156.77</v>
      </c>
      <c r="AB2544">
        <f>ROUND(U2544-AA2544,2)</f>
        <v/>
      </c>
      <c r="AC2544" t="b">
        <v>0</v>
      </c>
      <c r="AD2544">
        <f>IF(U2544="","MISSING_TOTAL",IF(ABS(AB2544)&lt;=0.01,"OK","CHECK"))</f>
        <v/>
      </c>
      <c r="AE2544">
        <f>IF(U2544="","MISSING",IF(AND(AA2544&gt;0,U2544/AA2544&gt;50),"POSSIBLE_SCALE_ERROR","OK"))</f>
        <v/>
      </c>
    </row>
    <row r="2545">
      <c r="A2545" t="inlineStr">
        <is>
          <t>T-AAFC-2026-P06-004</t>
        </is>
      </c>
      <c r="B2545" t="inlineStr">
        <is>
          <t>MPSES</t>
        </is>
      </c>
      <c r="C2545" t="inlineStr">
        <is>
          <t>Minister</t>
        </is>
      </c>
      <c r="D2545" t="inlineStr">
        <is>
          <t>Ministre</t>
        </is>
      </c>
      <c r="E2545" t="inlineStr">
        <is>
          <t>Heath MacDonald</t>
        </is>
      </c>
      <c r="F2545" t="inlineStr">
        <is>
          <t>To attend the Federal-Provincial-Territorial Annual Conference of Ministers of Agriculture</t>
        </is>
      </c>
      <c r="G2545" t="inlineStr">
        <is>
          <t>Assister à la conférence annuelle fédérale-provinciale-territoriale des ministres de l’Agriculture.</t>
        </is>
      </c>
      <c r="H2545" s="1" t="n">
        <v>45906</v>
      </c>
      <c r="I2545" s="1" t="n">
        <v>45909</v>
      </c>
      <c r="J2545" t="inlineStr">
        <is>
          <t>Winnipeg, Manitoba, Canada</t>
        </is>
      </c>
      <c r="K2545" t="inlineStr">
        <is>
          <t>Winnipeg, Manitoba, Canada</t>
        </is>
      </c>
      <c r="P2545" t="n">
        <v>741.2</v>
      </c>
      <c r="Q2545" t="n">
        <v>0</v>
      </c>
      <c r="R2545" t="n">
        <v>670.77</v>
      </c>
      <c r="S2545" t="n">
        <v>259.05</v>
      </c>
      <c r="T2545" t="n">
        <v>426.89</v>
      </c>
      <c r="U2545" t="n">
        <v>2097.91</v>
      </c>
      <c r="X2545" t="inlineStr">
        <is>
          <t>aafc-aac</t>
        </is>
      </c>
      <c r="Y2545" t="inlineStr">
        <is>
          <t>Agriculture and Agri-Food Canada | Agriculture et Agroalimentaire Canada</t>
        </is>
      </c>
      <c r="Z2545" t="n">
        <v>4</v>
      </c>
      <c r="AA2545" t="n">
        <v>2097.91</v>
      </c>
      <c r="AB2545">
        <f>ROUND(U2545-AA2545,2)</f>
        <v/>
      </c>
      <c r="AC2545" t="b">
        <v>0</v>
      </c>
      <c r="AD2545">
        <f>IF(U2545="","MISSING_TOTAL",IF(ABS(AB2545)&lt;=0.01,"OK","CHECK"))</f>
        <v/>
      </c>
      <c r="AE2545">
        <f>IF(U2545="","MISSING",IF(AND(AA2545&gt;0,U2545/AA2545&gt;50),"POSSIBLE_SCALE_ERROR","OK"))</f>
        <v/>
      </c>
    </row>
    <row r="2546">
      <c r="A2546" t="inlineStr">
        <is>
          <t>T-AAFC-2026-P06-005</t>
        </is>
      </c>
      <c r="B2546" t="inlineStr">
        <is>
          <t>MPSES</t>
        </is>
      </c>
      <c r="C2546" t="inlineStr">
        <is>
          <t>Director of Communications</t>
        </is>
      </c>
      <c r="D2546" t="inlineStr">
        <is>
          <t>Directrice des communications</t>
        </is>
      </c>
      <c r="E2546" t="inlineStr">
        <is>
          <t>Annie Cullinan</t>
        </is>
      </c>
      <c r="F2546" t="inlineStr">
        <is>
          <t>To support the Minister in attending the Federal-Provincial-Territorial Annual Conference of Ministers of Agriculture</t>
        </is>
      </c>
      <c r="G2546" t="inlineStr">
        <is>
          <t>Soutenir le ministre dans sa participation à la Conférence annuelle fédérale-provinciale-territoriale des ministres de l’Agriculture</t>
        </is>
      </c>
      <c r="H2546" s="1" t="n">
        <v>45906</v>
      </c>
      <c r="I2546" s="1" t="n">
        <v>45910</v>
      </c>
      <c r="J2546" t="inlineStr">
        <is>
          <t>Winnipeg, Manitoba, Canada</t>
        </is>
      </c>
      <c r="K2546" t="inlineStr">
        <is>
          <t>Winnipeg, Manitoba, Canada</t>
        </is>
      </c>
      <c r="P2546" t="n">
        <v>849.04</v>
      </c>
      <c r="Q2546" t="n">
        <v>0</v>
      </c>
      <c r="R2546" t="n">
        <v>670.77</v>
      </c>
      <c r="S2546" t="n">
        <v>259.05</v>
      </c>
      <c r="T2546" t="n">
        <v>426.89</v>
      </c>
      <c r="U2546" t="n">
        <v>2205.75</v>
      </c>
      <c r="X2546" t="inlineStr">
        <is>
          <t>aafc-aac</t>
        </is>
      </c>
      <c r="Y2546" t="inlineStr">
        <is>
          <t>Agriculture and Agri-Food Canada | Agriculture et Agroalimentaire Canada</t>
        </is>
      </c>
      <c r="Z2546" t="n">
        <v>5</v>
      </c>
      <c r="AA2546" t="n">
        <v>2205.75</v>
      </c>
      <c r="AB2546">
        <f>ROUND(U2546-AA2546,2)</f>
        <v/>
      </c>
      <c r="AC2546" t="b">
        <v>0</v>
      </c>
      <c r="AD2546">
        <f>IF(U2546="","MISSING_TOTAL",IF(ABS(AB2546)&lt;=0.01,"OK","CHECK"))</f>
        <v/>
      </c>
      <c r="AE2546">
        <f>IF(U2546="","MISSING",IF(AND(AA2546&gt;0,U2546/AA2546&gt;50),"POSSIBLE_SCALE_ERROR","OK"))</f>
        <v/>
      </c>
    </row>
    <row r="2547">
      <c r="A2547" t="inlineStr">
        <is>
          <t>T-AAFC-2026-P06-006</t>
        </is>
      </c>
      <c r="B2547" t="inlineStr">
        <is>
          <t>MPSES</t>
        </is>
      </c>
      <c r="C2547" t="inlineStr">
        <is>
          <t>Special Assistant</t>
        </is>
      </c>
      <c r="D2547" t="inlineStr">
        <is>
          <t>Adjoint spéciale</t>
        </is>
      </c>
      <c r="E2547" t="inlineStr">
        <is>
          <t>George Williams</t>
        </is>
      </c>
      <c r="F2547" t="inlineStr">
        <is>
          <t>To support the Minister attend a Caucus Retreat</t>
        </is>
      </c>
      <c r="G2547" t="inlineStr">
        <is>
          <t>Soutenir le ministre lors d'une retraite du caucus</t>
        </is>
      </c>
      <c r="H2547" s="1" t="n">
        <v>45909</v>
      </c>
      <c r="I2547" s="1" t="n">
        <v>45913</v>
      </c>
      <c r="J2547" t="inlineStr">
        <is>
          <t>Edmonton, Alberta, Canada</t>
        </is>
      </c>
      <c r="K2547" t="inlineStr">
        <is>
          <t>Edmonton, Alberta, Canada</t>
        </is>
      </c>
      <c r="P2547" t="n">
        <v>1273.4</v>
      </c>
      <c r="Q2547" t="n">
        <v>178.87</v>
      </c>
      <c r="R2547" t="n">
        <v>561.15</v>
      </c>
      <c r="S2547" t="n">
        <v>255.3</v>
      </c>
      <c r="T2547" t="n">
        <v>0</v>
      </c>
      <c r="U2547" t="n">
        <v>2268.72</v>
      </c>
      <c r="X2547" t="inlineStr">
        <is>
          <t>aafc-aac</t>
        </is>
      </c>
      <c r="Y2547" t="inlineStr">
        <is>
          <t>Agriculture and Agri-Food Canada | Agriculture et Agroalimentaire Canada</t>
        </is>
      </c>
      <c r="Z2547" t="n">
        <v>5</v>
      </c>
      <c r="AA2547" t="n">
        <v>2268.72</v>
      </c>
      <c r="AB2547">
        <f>ROUND(U2547-AA2547,2)</f>
        <v/>
      </c>
      <c r="AC2547" t="b">
        <v>0</v>
      </c>
      <c r="AD2547">
        <f>IF(U2547="","MISSING_TOTAL",IF(ABS(AB2547)&lt;=0.01,"OK","CHECK"))</f>
        <v/>
      </c>
      <c r="AE2547">
        <f>IF(U2547="","MISSING",IF(AND(AA2547&gt;0,U2547/AA2547&gt;50),"POSSIBLE_SCALE_ERROR","OK"))</f>
        <v/>
      </c>
    </row>
    <row r="2548">
      <c r="A2548" t="inlineStr">
        <is>
          <t>T-AAFC-2026-P06-007</t>
        </is>
      </c>
      <c r="B2548" t="inlineStr">
        <is>
          <t>MPSES</t>
        </is>
      </c>
      <c r="C2548" t="inlineStr">
        <is>
          <t>Chief of Staff</t>
        </is>
      </c>
      <c r="D2548" t="inlineStr">
        <is>
          <t>Chef de Cabinet</t>
        </is>
      </c>
      <c r="E2548" t="inlineStr">
        <is>
          <t>Guy Gallant</t>
        </is>
      </c>
      <c r="F2548" t="inlineStr">
        <is>
          <t>To support the Minister to attend a Ministerial Mission to Indonesia, Philippines and Singapore</t>
        </is>
      </c>
      <c r="G2548" t="inlineStr">
        <is>
          <t>Soutenir le ministre à participer à une mission ministérielle en Indonésie, aux Philippines et à Singapour</t>
        </is>
      </c>
      <c r="H2548" s="1" t="n">
        <v>45865</v>
      </c>
      <c r="I2548" s="1" t="n">
        <v>45876</v>
      </c>
      <c r="J2548" t="inlineStr">
        <is>
          <t>Jakarta, Indonesia</t>
        </is>
      </c>
      <c r="K2548" t="inlineStr">
        <is>
          <t>Jakarta, Indonésie</t>
        </is>
      </c>
      <c r="L2548" t="inlineStr">
        <is>
          <t>Singapore, Singapore</t>
        </is>
      </c>
      <c r="M2548" t="inlineStr">
        <is>
          <t>Singapour, Singapour</t>
        </is>
      </c>
      <c r="N2548" t="inlineStr">
        <is>
          <t>Manila, Philippines</t>
        </is>
      </c>
      <c r="O2548" t="inlineStr">
        <is>
          <t>Manille, Philippines</t>
        </is>
      </c>
      <c r="P2548" t="n">
        <v>9752.15</v>
      </c>
      <c r="Q2548" t="n">
        <v>0</v>
      </c>
      <c r="R2548" t="n">
        <v>2967.75</v>
      </c>
      <c r="S2548" t="n">
        <v>1273.67</v>
      </c>
      <c r="T2548" t="n">
        <v>0</v>
      </c>
      <c r="U2548" t="n">
        <v>13993.57</v>
      </c>
      <c r="X2548" t="inlineStr">
        <is>
          <t>aafc-aac</t>
        </is>
      </c>
      <c r="Y2548" t="inlineStr">
        <is>
          <t>Agriculture and Agri-Food Canada | Agriculture et Agroalimentaire Canada</t>
        </is>
      </c>
      <c r="Z2548" t="n">
        <v>12</v>
      </c>
      <c r="AA2548" t="n">
        <v>13993.57</v>
      </c>
      <c r="AB2548">
        <f>ROUND(U2548-AA2548,2)</f>
        <v/>
      </c>
      <c r="AC2548" t="b">
        <v>0</v>
      </c>
      <c r="AD2548">
        <f>IF(U2548="","MISSING_TOTAL",IF(ABS(AB2548)&lt;=0.01,"OK","CHECK"))</f>
        <v/>
      </c>
      <c r="AE2548">
        <f>IF(U2548="","MISSING",IF(AND(AA2548&gt;0,U2548/AA2548&gt;50),"POSSIBLE_SCALE_ERROR","OK"))</f>
        <v/>
      </c>
    </row>
    <row r="2549">
      <c r="A2549" t="inlineStr">
        <is>
          <t>T-AAFC-2026-P06-008</t>
        </is>
      </c>
      <c r="B2549" t="inlineStr">
        <is>
          <t>MPSES</t>
        </is>
      </c>
      <c r="C2549" t="inlineStr">
        <is>
          <t>Chief of Staff</t>
        </is>
      </c>
      <c r="D2549" t="inlineStr">
        <is>
          <t>Chef de Cabinet</t>
        </is>
      </c>
      <c r="E2549" t="inlineStr">
        <is>
          <t>Guy Gallant</t>
        </is>
      </c>
      <c r="F2549" t="inlineStr">
        <is>
          <t>To support the Minister to attend the Old Home Week event</t>
        </is>
      </c>
      <c r="G2549" t="inlineStr">
        <is>
          <t>Soutenir le ministre dans sa participation à l'événement de la Semaine du retour au foyer</t>
        </is>
      </c>
      <c r="H2549" s="1" t="n">
        <v>45883</v>
      </c>
      <c r="I2549" s="1" t="n">
        <v>45885</v>
      </c>
      <c r="J2549" t="inlineStr">
        <is>
          <t>Charlottetown, Prince Edward Island, Canada</t>
        </is>
      </c>
      <c r="K2549" t="inlineStr">
        <is>
          <t>Charlottetown, Île-du-Prince-Édouard, Canada</t>
        </is>
      </c>
      <c r="P2549" t="n">
        <v>0</v>
      </c>
      <c r="Q2549" t="n">
        <v>0</v>
      </c>
      <c r="R2549" t="n">
        <v>770.86</v>
      </c>
      <c r="S2549" t="n">
        <v>0</v>
      </c>
      <c r="T2549" t="n">
        <v>0</v>
      </c>
      <c r="U2549" t="n">
        <v>770.86</v>
      </c>
      <c r="X2549" t="inlineStr">
        <is>
          <t>aafc-aac</t>
        </is>
      </c>
      <c r="Y2549" t="inlineStr">
        <is>
          <t>Agriculture and Agri-Food Canada | Agriculture et Agroalimentaire Canada</t>
        </is>
      </c>
      <c r="Z2549" t="n">
        <v>3</v>
      </c>
      <c r="AA2549" t="n">
        <v>770.86</v>
      </c>
      <c r="AB2549">
        <f>ROUND(U2549-AA2549,2)</f>
        <v/>
      </c>
      <c r="AC2549" t="b">
        <v>0</v>
      </c>
      <c r="AD2549">
        <f>IF(U2549="","MISSING_TOTAL",IF(ABS(AB2549)&lt;=0.01,"OK","CHECK"))</f>
        <v/>
      </c>
      <c r="AE2549">
        <f>IF(U2549="","MISSING",IF(AND(AA2549&gt;0,U2549/AA2549&gt;50),"POSSIBLE_SCALE_ERROR","OK"))</f>
        <v/>
      </c>
    </row>
    <row r="2550">
      <c r="A2550" t="inlineStr">
        <is>
          <t>T-AAFC-2026-P06-009</t>
        </is>
      </c>
      <c r="B2550" t="inlineStr">
        <is>
          <t>MPSES</t>
        </is>
      </c>
      <c r="C2550" t="inlineStr">
        <is>
          <t>Chief of Staff</t>
        </is>
      </c>
      <c r="D2550" t="inlineStr">
        <is>
          <t>Chef de Cabinet</t>
        </is>
      </c>
      <c r="E2550" t="inlineStr">
        <is>
          <t>Guy Gallant</t>
        </is>
      </c>
      <c r="F2550" t="inlineStr">
        <is>
          <t>To support the Minister in attending stakeholders meeting and an event in St. Andrews</t>
        </is>
      </c>
      <c r="G2550" t="inlineStr">
        <is>
          <t>Soutenir le ministre dans sa participation aux réunions avec les parties prenantes et d'un événement à St Andrews</t>
        </is>
      </c>
      <c r="H2550" s="1" t="n">
        <v>45886</v>
      </c>
      <c r="I2550" s="1" t="n">
        <v>45888</v>
      </c>
      <c r="J2550" t="inlineStr">
        <is>
          <t>St. Andrews, New Brunswick, Canada</t>
        </is>
      </c>
      <c r="K2550" t="inlineStr">
        <is>
          <t>St. Andrews, Nouveau-Brunswick, Canada</t>
        </is>
      </c>
      <c r="P2550" t="n">
        <v>0</v>
      </c>
      <c r="Q2550" t="n">
        <v>0</v>
      </c>
      <c r="R2550" t="n">
        <v>1043.42</v>
      </c>
      <c r="S2550" t="n">
        <v>227</v>
      </c>
      <c r="T2550" t="n">
        <v>0</v>
      </c>
      <c r="U2550" t="n">
        <v>1270.42</v>
      </c>
      <c r="X2550" t="inlineStr">
        <is>
          <t>aafc-aac</t>
        </is>
      </c>
      <c r="Y2550" t="inlineStr">
        <is>
          <t>Agriculture and Agri-Food Canada | Agriculture et Agroalimentaire Canada</t>
        </is>
      </c>
      <c r="Z2550" t="n">
        <v>3</v>
      </c>
      <c r="AA2550" t="n">
        <v>1270.42</v>
      </c>
      <c r="AB2550">
        <f>ROUND(U2550-AA2550,2)</f>
        <v/>
      </c>
      <c r="AC2550" t="b">
        <v>0</v>
      </c>
      <c r="AD2550">
        <f>IF(U2550="","MISSING_TOTAL",IF(ABS(AB2550)&lt;=0.01,"OK","CHECK"))</f>
        <v/>
      </c>
      <c r="AE2550">
        <f>IF(U2550="","MISSING",IF(AND(AA2550&gt;0,U2550/AA2550&gt;50),"POSSIBLE_SCALE_ERROR","OK"))</f>
        <v/>
      </c>
    </row>
    <row r="2551">
      <c r="A2551" t="inlineStr">
        <is>
          <t>T-AAFC-2026-P06-010</t>
        </is>
      </c>
      <c r="B2551" t="inlineStr">
        <is>
          <t>MPSES</t>
        </is>
      </c>
      <c r="C2551" t="inlineStr">
        <is>
          <t>Chief of Staff</t>
        </is>
      </c>
      <c r="D2551" t="inlineStr">
        <is>
          <t>Chef de Cabinet</t>
        </is>
      </c>
      <c r="E2551" t="inlineStr">
        <is>
          <t>Guy Gallant</t>
        </is>
      </c>
      <c r="F2551" t="inlineStr">
        <is>
          <t>To support the Minister attending a Cabinet Retreat</t>
        </is>
      </c>
      <c r="G2551" t="inlineStr">
        <is>
          <t>Soutenir le ministre participant à une retraite du Cabinet</t>
        </is>
      </c>
      <c r="H2551" s="1" t="n">
        <v>45903</v>
      </c>
      <c r="I2551" s="1" t="n">
        <v>45905</v>
      </c>
      <c r="J2551" t="inlineStr">
        <is>
          <t>Toronto, Ontario, Canada</t>
        </is>
      </c>
      <c r="K2551" t="inlineStr">
        <is>
          <t>Toronto, Ontario, Canada</t>
        </is>
      </c>
      <c r="P2551" t="n">
        <v>1935.38</v>
      </c>
      <c r="Q2551" t="n">
        <v>114.22</v>
      </c>
      <c r="R2551" t="n">
        <v>478.16</v>
      </c>
      <c r="S2551" t="n">
        <v>113.5</v>
      </c>
      <c r="T2551" t="n">
        <v>0</v>
      </c>
      <c r="U2551" t="n">
        <v>2641.26</v>
      </c>
      <c r="X2551" t="inlineStr">
        <is>
          <t>aafc-aac</t>
        </is>
      </c>
      <c r="Y2551" t="inlineStr">
        <is>
          <t>Agriculture and Agri-Food Canada | Agriculture et Agroalimentaire Canada</t>
        </is>
      </c>
      <c r="Z2551" t="n">
        <v>3</v>
      </c>
      <c r="AA2551" t="n">
        <v>2641.25999999999</v>
      </c>
      <c r="AB2551">
        <f>ROUND(U2551-AA2551,2)</f>
        <v/>
      </c>
      <c r="AC2551" t="b">
        <v>0</v>
      </c>
      <c r="AD2551">
        <f>IF(U2551="","MISSING_TOTAL",IF(ABS(AB2551)&lt;=0.01,"OK","CHECK"))</f>
        <v/>
      </c>
      <c r="AE2551">
        <f>IF(U2551="","MISSING",IF(AND(AA2551&gt;0,U2551/AA2551&gt;50),"POSSIBLE_SCALE_ERROR","OK"))</f>
        <v/>
      </c>
    </row>
    <row r="2552">
      <c r="A2552" t="inlineStr">
        <is>
          <t>T-AAFC-2026-P06-011</t>
        </is>
      </c>
      <c r="B2552" t="inlineStr">
        <is>
          <t>MPSES</t>
        </is>
      </c>
      <c r="C2552" t="inlineStr">
        <is>
          <t>Chief of Staff</t>
        </is>
      </c>
      <c r="D2552" t="inlineStr">
        <is>
          <t>Chef de Cabinet</t>
        </is>
      </c>
      <c r="E2552" t="inlineStr">
        <is>
          <t>Guy Gallant</t>
        </is>
      </c>
      <c r="F2552" t="inlineStr">
        <is>
          <t>To support the Minister in attending the Federal-Provincial-Territorial Annual Conference of Ministers of Agriculture</t>
        </is>
      </c>
      <c r="G2552" t="inlineStr">
        <is>
          <t>Soutenir le ministre dans sa participation à la Conférence annuelle fédérale-provinciale-territoriale des ministres de l’Agriculture</t>
        </is>
      </c>
      <c r="H2552" s="1" t="n">
        <v>45906</v>
      </c>
      <c r="I2552" s="1" t="n">
        <v>45910</v>
      </c>
      <c r="J2552" t="inlineStr">
        <is>
          <t>Winnipeg, Manitoba, Canada</t>
        </is>
      </c>
      <c r="K2552" t="inlineStr">
        <is>
          <t>Winnipeg, Manitoba, Canada</t>
        </is>
      </c>
      <c r="P2552" t="n">
        <v>849.04</v>
      </c>
      <c r="Q2552" t="n">
        <v>53.03</v>
      </c>
      <c r="R2552" t="n">
        <v>670.77</v>
      </c>
      <c r="S2552" t="n">
        <v>283.7</v>
      </c>
      <c r="T2552" t="n">
        <v>426.89</v>
      </c>
      <c r="U2552" t="n">
        <v>2283.43</v>
      </c>
      <c r="X2552" t="inlineStr">
        <is>
          <t>aafc-aac</t>
        </is>
      </c>
      <c r="Y2552" t="inlineStr">
        <is>
          <t>Agriculture and Agri-Food Canada | Agriculture et Agroalimentaire Canada</t>
        </is>
      </c>
      <c r="Z2552" t="n">
        <v>5</v>
      </c>
      <c r="AA2552" t="n">
        <v>2283.43</v>
      </c>
      <c r="AB2552">
        <f>ROUND(U2552-AA2552,2)</f>
        <v/>
      </c>
      <c r="AC2552" t="b">
        <v>0</v>
      </c>
      <c r="AD2552">
        <f>IF(U2552="","MISSING_TOTAL",IF(ABS(AB2552)&lt;=0.01,"OK","CHECK"))</f>
        <v/>
      </c>
      <c r="AE2552">
        <f>IF(U2552="","MISSING",IF(AND(AA2552&gt;0,U2552/AA2552&gt;50),"POSSIBLE_SCALE_ERROR","OK"))</f>
        <v/>
      </c>
    </row>
    <row r="2553">
      <c r="A2553" t="inlineStr">
        <is>
          <t>T-AAFC-2026-P06-012</t>
        </is>
      </c>
      <c r="B2553" t="inlineStr">
        <is>
          <t>MPSES</t>
        </is>
      </c>
      <c r="C2553" t="inlineStr">
        <is>
          <t>Director of Policy</t>
        </is>
      </c>
      <c r="D2553" t="inlineStr">
        <is>
          <t>Directrice des politiques</t>
        </is>
      </c>
      <c r="E2553" t="inlineStr">
        <is>
          <t>Serena Smith</t>
        </is>
      </c>
      <c r="F2553" t="inlineStr">
        <is>
          <t>To support the Minister to attend the Old Home Week event</t>
        </is>
      </c>
      <c r="G2553" t="inlineStr">
        <is>
          <t>Soutenir le ministre dans sa participation à l'événement de la Semaine du retour au foyer</t>
        </is>
      </c>
      <c r="H2553" s="1" t="n">
        <v>45883</v>
      </c>
      <c r="I2553" s="1" t="n">
        <v>45885</v>
      </c>
      <c r="J2553" t="inlineStr">
        <is>
          <t>Charlottetown, Prince Edward Island, Canada</t>
        </is>
      </c>
      <c r="K2553" t="inlineStr">
        <is>
          <t>Charlottetown, Île-du-Prince-Édouard, Canada</t>
        </is>
      </c>
      <c r="P2553" t="n">
        <v>0</v>
      </c>
      <c r="Q2553" t="n">
        <v>0</v>
      </c>
      <c r="R2553" t="n">
        <v>770.86</v>
      </c>
      <c r="S2553" t="n">
        <v>0</v>
      </c>
      <c r="T2553" t="n">
        <v>0</v>
      </c>
      <c r="U2553" t="n">
        <v>770.86</v>
      </c>
      <c r="X2553" t="inlineStr">
        <is>
          <t>aafc-aac</t>
        </is>
      </c>
      <c r="Y2553" t="inlineStr">
        <is>
          <t>Agriculture and Agri-Food Canada | Agriculture et Agroalimentaire Canada</t>
        </is>
      </c>
      <c r="Z2553" t="n">
        <v>3</v>
      </c>
      <c r="AA2553" t="n">
        <v>770.86</v>
      </c>
      <c r="AB2553">
        <f>ROUND(U2553-AA2553,2)</f>
        <v/>
      </c>
      <c r="AC2553" t="b">
        <v>0</v>
      </c>
      <c r="AD2553">
        <f>IF(U2553="","MISSING_TOTAL",IF(ABS(AB2553)&lt;=0.01,"OK","CHECK"))</f>
        <v/>
      </c>
      <c r="AE2553">
        <f>IF(U2553="","MISSING",IF(AND(AA2553&gt;0,U2553/AA2553&gt;50),"POSSIBLE_SCALE_ERROR","OK"))</f>
        <v/>
      </c>
    </row>
    <row r="2554">
      <c r="A2554" t="inlineStr">
        <is>
          <t>T-AAFC-2026-P06-013</t>
        </is>
      </c>
      <c r="B2554" t="inlineStr">
        <is>
          <t>MPSES</t>
        </is>
      </c>
      <c r="C2554" t="inlineStr">
        <is>
          <t>Director of Policy</t>
        </is>
      </c>
      <c r="D2554" t="inlineStr">
        <is>
          <t>Directrice des politiques</t>
        </is>
      </c>
      <c r="E2554" t="inlineStr">
        <is>
          <t>Serena Smith</t>
        </is>
      </c>
      <c r="F2554" t="inlineStr">
        <is>
          <t>To support the Minister in attending stakeholders meeting and an event in St. Andrews</t>
        </is>
      </c>
      <c r="G2554" t="inlineStr">
        <is>
          <t>Soutenir le ministre dans sa participation aux réunions avec les parties prenantes et d'un événement à St Andrews</t>
        </is>
      </c>
      <c r="H2554" s="1" t="n">
        <v>45886</v>
      </c>
      <c r="I2554" s="1" t="n">
        <v>45888</v>
      </c>
      <c r="J2554" t="inlineStr">
        <is>
          <t>St. Andrews, New Brunswick, Canada</t>
        </is>
      </c>
      <c r="K2554" t="inlineStr">
        <is>
          <t>St. Andrews, Nouveau-Brunswick, Canada</t>
        </is>
      </c>
      <c r="P2554" t="n">
        <v>0</v>
      </c>
      <c r="Q2554" t="n">
        <v>520.4</v>
      </c>
      <c r="R2554" t="n">
        <v>1043.42</v>
      </c>
      <c r="S2554" t="n">
        <v>227</v>
      </c>
      <c r="T2554" t="n">
        <v>0</v>
      </c>
      <c r="U2554" t="n">
        <v>1790.82</v>
      </c>
      <c r="X2554" t="inlineStr">
        <is>
          <t>aafc-aac</t>
        </is>
      </c>
      <c r="Y2554" t="inlineStr">
        <is>
          <t>Agriculture and Agri-Food Canada | Agriculture et Agroalimentaire Canada</t>
        </is>
      </c>
      <c r="Z2554" t="n">
        <v>3</v>
      </c>
      <c r="AA2554" t="n">
        <v>1790.82</v>
      </c>
      <c r="AB2554">
        <f>ROUND(U2554-AA2554,2)</f>
        <v/>
      </c>
      <c r="AC2554" t="b">
        <v>0</v>
      </c>
      <c r="AD2554">
        <f>IF(U2554="","MISSING_TOTAL",IF(ABS(AB2554)&lt;=0.01,"OK","CHECK"))</f>
        <v/>
      </c>
      <c r="AE2554">
        <f>IF(U2554="","MISSING",IF(AND(AA2554&gt;0,U2554/AA2554&gt;50),"POSSIBLE_SCALE_ERROR","OK"))</f>
        <v/>
      </c>
    </row>
    <row r="2555">
      <c r="A2555" t="inlineStr">
        <is>
          <t>T-AAFC-2026-P06-014</t>
        </is>
      </c>
      <c r="B2555" t="inlineStr">
        <is>
          <t>MPSES</t>
        </is>
      </c>
      <c r="C2555" t="inlineStr">
        <is>
          <t>Director of Policy</t>
        </is>
      </c>
      <c r="D2555" t="inlineStr">
        <is>
          <t>Directrice des politiques</t>
        </is>
      </c>
      <c r="E2555" t="inlineStr">
        <is>
          <t>Serena Smith</t>
        </is>
      </c>
      <c r="F2555" t="inlineStr">
        <is>
          <t>To support the Minister attending an Outreach</t>
        </is>
      </c>
      <c r="G2555" t="inlineStr">
        <is>
          <t>Soutenir le minister participant à une activité de sensibilisation</t>
        </is>
      </c>
      <c r="H2555" s="1" t="n">
        <v>45889</v>
      </c>
      <c r="I2555" s="1" t="n">
        <v>45889</v>
      </c>
      <c r="J2555" t="inlineStr">
        <is>
          <t>Saskatoon, Saskatchewan, Canada</t>
        </is>
      </c>
      <c r="K2555" t="inlineStr">
        <is>
          <t>Saskatoon, Saskatchewan, Canada</t>
        </is>
      </c>
      <c r="P2555" t="n">
        <v>56.39</v>
      </c>
      <c r="Q2555" t="n">
        <v>0</v>
      </c>
      <c r="R2555" t="n">
        <v>192.15</v>
      </c>
      <c r="S2555" t="n">
        <v>0</v>
      </c>
      <c r="T2555" t="n">
        <v>0</v>
      </c>
      <c r="U2555" t="n">
        <v>248.54</v>
      </c>
      <c r="X2555" t="inlineStr">
        <is>
          <t>aafc-aac</t>
        </is>
      </c>
      <c r="Y2555" t="inlineStr">
        <is>
          <t>Agriculture and Agri-Food Canada | Agriculture et Agroalimentaire Canada</t>
        </is>
      </c>
      <c r="Z2555" t="n">
        <v>1</v>
      </c>
      <c r="AA2555" t="n">
        <v>248.54</v>
      </c>
      <c r="AB2555">
        <f>ROUND(U2555-AA2555,2)</f>
        <v/>
      </c>
      <c r="AC2555" t="b">
        <v>0</v>
      </c>
      <c r="AD2555">
        <f>IF(U2555="","MISSING_TOTAL",IF(ABS(AB2555)&lt;=0.01,"OK","CHECK"))</f>
        <v/>
      </c>
      <c r="AE2555">
        <f>IF(U2555="","MISSING",IF(AND(AA2555&gt;0,U2555/AA2555&gt;50),"POSSIBLE_SCALE_ERROR","OK"))</f>
        <v/>
      </c>
    </row>
    <row r="2556">
      <c r="A2556" t="inlineStr">
        <is>
          <t>T-AAFC-2026-P06-015</t>
        </is>
      </c>
      <c r="B2556" t="inlineStr">
        <is>
          <t>MPSES</t>
        </is>
      </c>
      <c r="C2556" t="inlineStr">
        <is>
          <t>Director of Policy</t>
        </is>
      </c>
      <c r="D2556" t="inlineStr">
        <is>
          <t>Directrice des politiques</t>
        </is>
      </c>
      <c r="E2556" t="inlineStr">
        <is>
          <t>Serena Smith</t>
        </is>
      </c>
      <c r="F2556" t="inlineStr">
        <is>
          <t>To support the Minister in attending the Federal-Provincial-Territorial Annual Conference of Ministers of Agriculture</t>
        </is>
      </c>
      <c r="G2556" t="inlineStr">
        <is>
          <t>Soutenir le ministre dans sa participation à la Conférence annuelle fédérale-provinciale-territoriale des ministres de l’Agriculture</t>
        </is>
      </c>
      <c r="H2556" s="1" t="n">
        <v>45907</v>
      </c>
      <c r="I2556" s="1" t="n">
        <v>45909</v>
      </c>
      <c r="J2556" t="inlineStr">
        <is>
          <t>Winnipeg, Manitoba, Canada</t>
        </is>
      </c>
      <c r="K2556" t="inlineStr">
        <is>
          <t>Winnipeg, Manitoba, Canada</t>
        </is>
      </c>
      <c r="P2556" t="n">
        <v>1121.63</v>
      </c>
      <c r="Q2556" t="n">
        <v>47.24</v>
      </c>
      <c r="R2556" t="n">
        <v>447.18</v>
      </c>
      <c r="S2556" t="n">
        <v>170.2</v>
      </c>
      <c r="T2556" t="n">
        <v>426.89</v>
      </c>
      <c r="U2556" t="n">
        <v>2213.14</v>
      </c>
      <c r="X2556" t="inlineStr">
        <is>
          <t>aafc-aac</t>
        </is>
      </c>
      <c r="Y2556" t="inlineStr">
        <is>
          <t>Agriculture and Agri-Food Canada | Agriculture et Agroalimentaire Canada</t>
        </is>
      </c>
      <c r="Z2556" t="n">
        <v>3</v>
      </c>
      <c r="AA2556" t="n">
        <v>2213.14</v>
      </c>
      <c r="AB2556">
        <f>ROUND(U2556-AA2556,2)</f>
        <v/>
      </c>
      <c r="AC2556" t="b">
        <v>0</v>
      </c>
      <c r="AD2556">
        <f>IF(U2556="","MISSING_TOTAL",IF(ABS(AB2556)&lt;=0.01,"OK","CHECK"))</f>
        <v/>
      </c>
      <c r="AE2556">
        <f>IF(U2556="","MISSING",IF(AND(AA2556&gt;0,U2556/AA2556&gt;50),"POSSIBLE_SCALE_ERROR","OK"))</f>
        <v/>
      </c>
    </row>
    <row r="2557">
      <c r="A2557" t="inlineStr">
        <is>
          <t>T-AAFC-2026-P06-016</t>
        </is>
      </c>
      <c r="B2557" t="inlineStr">
        <is>
          <t>MPSES</t>
        </is>
      </c>
      <c r="C2557" t="inlineStr">
        <is>
          <t>Director of Operations</t>
        </is>
      </c>
      <c r="D2557" t="inlineStr">
        <is>
          <t>Directrice des opérations</t>
        </is>
      </c>
      <c r="E2557" t="inlineStr">
        <is>
          <t>Mikaela Harrison</t>
        </is>
      </c>
      <c r="F2557" t="inlineStr">
        <is>
          <t>To support the Minister to attend the MIN/Pres meetings, the Evangeline Exhibition (Agriculture event) as well as a Cabinet Committee meeting</t>
        </is>
      </c>
      <c r="G2557" t="inlineStr">
        <is>
          <t>Soutenir le ministre à participer aux réunions MIN/Pres, à l'exposition Evangeline (événement agricole) ainsi qu'à une réunion du comité du Cabinet.</t>
        </is>
      </c>
      <c r="H2557" s="1" t="n">
        <v>45897</v>
      </c>
      <c r="I2557" s="1" t="n">
        <v>45899</v>
      </c>
      <c r="J2557" t="inlineStr">
        <is>
          <t>Charlottetown, Prince Edward Island, Canada</t>
        </is>
      </c>
      <c r="K2557" t="inlineStr">
        <is>
          <t>Charlottetown, Île-du-Prince-Édouard, Canada</t>
        </is>
      </c>
      <c r="P2557" t="n">
        <v>1178.83</v>
      </c>
      <c r="Q2557" t="n">
        <v>125.38</v>
      </c>
      <c r="R2557" t="n">
        <v>744.11</v>
      </c>
      <c r="S2557" t="n">
        <v>255.4</v>
      </c>
      <c r="T2557" t="n">
        <v>0</v>
      </c>
      <c r="U2557" t="n">
        <v>2303.72</v>
      </c>
      <c r="X2557" t="inlineStr">
        <is>
          <t>aafc-aac</t>
        </is>
      </c>
      <c r="Y2557" t="inlineStr">
        <is>
          <t>Agriculture and Agri-Food Canada | Agriculture et Agroalimentaire Canada</t>
        </is>
      </c>
      <c r="Z2557" t="n">
        <v>3</v>
      </c>
      <c r="AA2557" t="n">
        <v>2303.72</v>
      </c>
      <c r="AB2557">
        <f>ROUND(U2557-AA2557,2)</f>
        <v/>
      </c>
      <c r="AC2557" t="b">
        <v>0</v>
      </c>
      <c r="AD2557">
        <f>IF(U2557="","MISSING_TOTAL",IF(ABS(AB2557)&lt;=0.01,"OK","CHECK"))</f>
        <v/>
      </c>
      <c r="AE2557">
        <f>IF(U2557="","MISSING",IF(AND(AA2557&gt;0,U2557/AA2557&gt;50),"POSSIBLE_SCALE_ERROR","OK"))</f>
        <v/>
      </c>
    </row>
    <row r="2558">
      <c r="A2558" t="inlineStr">
        <is>
          <t>T-AAFC-2026-P06-017</t>
        </is>
      </c>
      <c r="B2558" t="inlineStr">
        <is>
          <t>MPSES</t>
        </is>
      </c>
      <c r="C2558" t="inlineStr">
        <is>
          <t>Parliamentary Secretary</t>
        </is>
      </c>
      <c r="D2558" t="inlineStr">
        <is>
          <t>Secrétaire parlementaire</t>
        </is>
      </c>
      <c r="E2558" t="inlineStr">
        <is>
          <t>Sophie Chatel</t>
        </is>
      </c>
      <c r="F2558" t="inlineStr">
        <is>
          <t>To support the Minister in attending the Federal-Provincial-Territorial Annual Conference of Ministers of Agriculture</t>
        </is>
      </c>
      <c r="G2558" t="inlineStr">
        <is>
          <t>Soutenir le ministre dans sa participation à la Conférence annuelle fédérale-provinciale-territoriale des ministres de l’Agriculture</t>
        </is>
      </c>
      <c r="H2558" s="1" t="n">
        <v>45906</v>
      </c>
      <c r="I2558" s="1" t="n">
        <v>45909</v>
      </c>
      <c r="J2558" t="inlineStr">
        <is>
          <t>Winnipeg, Manitoba, Canada</t>
        </is>
      </c>
      <c r="K2558" t="inlineStr">
        <is>
          <t>Winnipeg, Manitoba, Canada</t>
        </is>
      </c>
      <c r="L2558" t="inlineStr">
        <is>
          <t>Québec, Quebec, Canada</t>
        </is>
      </c>
      <c r="M2558" t="inlineStr">
        <is>
          <t>Québec, Québec, Canada</t>
        </is>
      </c>
      <c r="P2558" t="n">
        <v>447.44</v>
      </c>
      <c r="Q2558" t="n">
        <v>112.29</v>
      </c>
      <c r="R2558" t="n">
        <v>447.18</v>
      </c>
      <c r="S2558" t="n">
        <v>170.2</v>
      </c>
      <c r="T2558" t="n">
        <v>0</v>
      </c>
      <c r="U2558" t="n">
        <v>1177.11</v>
      </c>
      <c r="X2558" t="inlineStr">
        <is>
          <t>aafc-aac</t>
        </is>
      </c>
      <c r="Y2558" t="inlineStr">
        <is>
          <t>Agriculture and Agri-Food Canada | Agriculture et Agroalimentaire Canada</t>
        </is>
      </c>
      <c r="Z2558" t="n">
        <v>4</v>
      </c>
      <c r="AA2558" t="n">
        <v>1177.11</v>
      </c>
      <c r="AB2558">
        <f>ROUND(U2558-AA2558,2)</f>
        <v/>
      </c>
      <c r="AC2558" t="b">
        <v>0</v>
      </c>
      <c r="AD2558">
        <f>IF(U2558="","MISSING_TOTAL",IF(ABS(AB2558)&lt;=0.01,"OK","CHECK"))</f>
        <v/>
      </c>
      <c r="AE2558">
        <f>IF(U2558="","MISSING",IF(AND(AA2558&gt;0,U2558/AA2558&gt;50),"POSSIBLE_SCALE_ERROR","OK"))</f>
        <v/>
      </c>
    </row>
    <row r="2559">
      <c r="A2559" t="inlineStr">
        <is>
          <t>T-AAFC-2026-P06-018</t>
        </is>
      </c>
      <c r="B2559" t="inlineStr">
        <is>
          <t>MPSES</t>
        </is>
      </c>
      <c r="C2559" t="inlineStr">
        <is>
          <t>Deputy Minister</t>
        </is>
      </c>
      <c r="D2559" t="inlineStr">
        <is>
          <t>Sous-Ministre</t>
        </is>
      </c>
      <c r="E2559" t="inlineStr">
        <is>
          <t>Lawrence Hanson</t>
        </is>
      </c>
      <c r="F2559" t="inlineStr">
        <is>
          <t>To support the Minister attending an Outreach</t>
        </is>
      </c>
      <c r="G2559" t="inlineStr">
        <is>
          <t>Soutenir le minister participant à une activité de sensibilisation</t>
        </is>
      </c>
      <c r="H2559" s="1" t="n">
        <v>45890</v>
      </c>
      <c r="I2559" s="1" t="n">
        <v>45891</v>
      </c>
      <c r="J2559" t="inlineStr">
        <is>
          <t>Saskatoon, Saskatchewan, Canada</t>
        </is>
      </c>
      <c r="K2559" t="inlineStr">
        <is>
          <t>Saskatoon, Saskatchewan, Canada</t>
        </is>
      </c>
      <c r="P2559" t="n">
        <v>0</v>
      </c>
      <c r="Q2559" t="n">
        <v>0</v>
      </c>
      <c r="R2559" t="n">
        <v>421.48</v>
      </c>
      <c r="S2559" t="n">
        <v>0</v>
      </c>
      <c r="T2559" t="n">
        <v>0</v>
      </c>
      <c r="U2559" t="n">
        <v>421.48</v>
      </c>
      <c r="X2559" t="inlineStr">
        <is>
          <t>aafc-aac</t>
        </is>
      </c>
      <c r="Y2559" t="inlineStr">
        <is>
          <t>Agriculture and Agri-Food Canada | Agriculture et Agroalimentaire Canada</t>
        </is>
      </c>
      <c r="Z2559" t="n">
        <v>2</v>
      </c>
      <c r="AA2559" t="n">
        <v>421.48</v>
      </c>
      <c r="AB2559">
        <f>ROUND(U2559-AA2559,2)</f>
        <v/>
      </c>
      <c r="AC2559" t="b">
        <v>0</v>
      </c>
      <c r="AD2559">
        <f>IF(U2559="","MISSING_TOTAL",IF(ABS(AB2559)&lt;=0.01,"OK","CHECK"))</f>
        <v/>
      </c>
      <c r="AE2559">
        <f>IF(U2559="","MISSING",IF(AND(AA2559&gt;0,U2559/AA2559&gt;50),"POSSIBLE_SCALE_ERROR","OK"))</f>
        <v/>
      </c>
    </row>
    <row r="2560">
      <c r="A2560" t="inlineStr">
        <is>
          <t>T-AAFC-2026-P06-019</t>
        </is>
      </c>
      <c r="B2560" t="inlineStr">
        <is>
          <t>SLE</t>
        </is>
      </c>
      <c r="C2560" t="inlineStr">
        <is>
          <t>Assistant Deputy Minister, Corporate Management Branch</t>
        </is>
      </c>
      <c r="D2560" t="inlineStr">
        <is>
          <t>Sous-ministre adjoint, Direction générale de la gestion intégrée</t>
        </is>
      </c>
      <c r="E2560" t="inlineStr">
        <is>
          <t>Alain Lagacé</t>
        </is>
      </c>
      <c r="F2560" t="inlineStr">
        <is>
          <t>To attend an Executive Panel in Vancouver</t>
        </is>
      </c>
      <c r="G2560" t="inlineStr">
        <is>
          <t>Assister à un panel de direction à Vancouver</t>
        </is>
      </c>
      <c r="H2560" s="1" t="n">
        <v>45909</v>
      </c>
      <c r="I2560" s="1" t="n">
        <v>45911</v>
      </c>
      <c r="J2560" t="inlineStr">
        <is>
          <t>Vancouver, British Columbia, Canada</t>
        </is>
      </c>
      <c r="K2560" t="inlineStr">
        <is>
          <t>Vancouver, Colombie-Britannique, Canada</t>
        </is>
      </c>
      <c r="P2560" t="n">
        <v>314.23</v>
      </c>
      <c r="Q2560" t="n">
        <v>249.04</v>
      </c>
      <c r="R2560" t="n">
        <v>925.6799999999999</v>
      </c>
      <c r="S2560" t="n">
        <v>392.4</v>
      </c>
      <c r="T2560" t="n">
        <v>0</v>
      </c>
      <c r="U2560" t="n">
        <v>1881.35</v>
      </c>
      <c r="X2560" t="inlineStr">
        <is>
          <t>aafc-aac</t>
        </is>
      </c>
      <c r="Y2560" t="inlineStr">
        <is>
          <t>Agriculture and Agri-Food Canada | Agriculture et Agroalimentaire Canada</t>
        </is>
      </c>
      <c r="Z2560" t="n">
        <v>3</v>
      </c>
      <c r="AA2560" t="n">
        <v>1881.35</v>
      </c>
      <c r="AB2560">
        <f>ROUND(U2560-AA2560,2)</f>
        <v/>
      </c>
      <c r="AC2560" t="b">
        <v>0</v>
      </c>
      <c r="AD2560">
        <f>IF(U2560="","MISSING_TOTAL",IF(ABS(AB2560)&lt;=0.01,"OK","CHECK"))</f>
        <v/>
      </c>
      <c r="AE2560">
        <f>IF(U2560="","MISSING",IF(AND(AA2560&gt;0,U2560/AA2560&gt;50),"POSSIBLE_SCALE_ERROR","OK"))</f>
        <v/>
      </c>
    </row>
    <row r="2561">
      <c r="A2561" t="inlineStr">
        <is>
          <t>T-AAFC-2026-P06-020</t>
        </is>
      </c>
      <c r="B2561" t="inlineStr">
        <is>
          <t>SLE</t>
        </is>
      </c>
      <c r="C2561" t="inlineStr">
        <is>
          <t>Assistant Deputy Minister, Public Affairs Branch</t>
        </is>
      </c>
      <c r="D2561" t="inlineStr">
        <is>
          <t>Sous-ministre adjointe, Direction générale des affaires publiques</t>
        </is>
      </c>
      <c r="E2561" t="inlineStr">
        <is>
          <t>Mary Dila</t>
        </is>
      </c>
      <c r="F2561" t="inlineStr">
        <is>
          <t>To attend the Federal-Provincial-Territorial Annual Conference of Ministers of Agriculture</t>
        </is>
      </c>
      <c r="G2561" t="inlineStr">
        <is>
          <t>Assister à la conférence annuelle fédérale-provinciale-territoriale des ministres de l’Agriculture.</t>
        </is>
      </c>
      <c r="H2561" s="1" t="n">
        <v>45907</v>
      </c>
      <c r="I2561" s="1" t="n">
        <v>45910</v>
      </c>
      <c r="J2561" t="inlineStr">
        <is>
          <t>Winnipeg, Manitoba, Canada</t>
        </is>
      </c>
      <c r="K2561" t="inlineStr">
        <is>
          <t>Winnipeg, Manitoba, Canada</t>
        </is>
      </c>
      <c r="P2561" t="n">
        <v>663.33</v>
      </c>
      <c r="Q2561" t="n">
        <v>25.76</v>
      </c>
      <c r="R2561" t="n">
        <v>726.77</v>
      </c>
      <c r="S2561" t="n">
        <v>326.5</v>
      </c>
      <c r="T2561" t="n">
        <v>0</v>
      </c>
      <c r="U2561" t="n">
        <v>1742.36</v>
      </c>
      <c r="X2561" t="inlineStr">
        <is>
          <t>aafc-aac</t>
        </is>
      </c>
      <c r="Y2561" t="inlineStr">
        <is>
          <t>Agriculture and Agri-Food Canada | Agriculture et Agroalimentaire Canada</t>
        </is>
      </c>
      <c r="Z2561" t="n">
        <v>4</v>
      </c>
      <c r="AA2561" t="n">
        <v>1742.36</v>
      </c>
      <c r="AB2561">
        <f>ROUND(U2561-AA2561,2)</f>
        <v/>
      </c>
      <c r="AC2561" t="b">
        <v>0</v>
      </c>
      <c r="AD2561">
        <f>IF(U2561="","MISSING_TOTAL",IF(ABS(AB2561)&lt;=0.01,"OK","CHECK"))</f>
        <v/>
      </c>
      <c r="AE2561">
        <f>IF(U2561="","MISSING",IF(AND(AA2561&gt;0,U2561/AA2561&gt;50),"POSSIBLE_SCALE_ERROR","OK"))</f>
        <v/>
      </c>
    </row>
    <row r="2562">
      <c r="A2562" t="inlineStr">
        <is>
          <t>T-AAFC-2026-P06-021</t>
        </is>
      </c>
      <c r="B2562" t="inlineStr">
        <is>
          <t>SLE</t>
        </is>
      </c>
      <c r="C2562" t="inlineStr">
        <is>
          <t>Assistant Deputy Minister, Programs Branch</t>
        </is>
      </c>
      <c r="D2562" t="inlineStr">
        <is>
          <t>Sous-ministre adjointe, Direction générale des programmes</t>
        </is>
      </c>
      <c r="E2562" t="inlineStr">
        <is>
          <t>Liz Foster</t>
        </is>
      </c>
      <c r="F2562" t="inlineStr">
        <is>
          <t>To attend the Federal-Provincial-Territorial Annual Conference of Ministers of Agriculture</t>
        </is>
      </c>
      <c r="G2562" t="inlineStr">
        <is>
          <t>Assister à la conférence annuelle fédérale-provinciale-territoriale des ministres de l’Agriculture.</t>
        </is>
      </c>
      <c r="H2562" s="1" t="n">
        <v>45907</v>
      </c>
      <c r="I2562" s="1" t="n">
        <v>45910</v>
      </c>
      <c r="J2562" t="inlineStr">
        <is>
          <t>Winnipeg, Manitoba, Canada</t>
        </is>
      </c>
      <c r="K2562" t="inlineStr">
        <is>
          <t>Winnipeg, Manitoba, Canada</t>
        </is>
      </c>
      <c r="P2562" t="n">
        <v>971.21</v>
      </c>
      <c r="Q2562" t="n">
        <v>121.4</v>
      </c>
      <c r="R2562" t="n">
        <v>670.77</v>
      </c>
      <c r="S2562" t="n">
        <v>182.7</v>
      </c>
      <c r="T2562" t="n">
        <v>0</v>
      </c>
      <c r="U2562" t="n">
        <v>1946.08</v>
      </c>
      <c r="X2562" t="inlineStr">
        <is>
          <t>aafc-aac</t>
        </is>
      </c>
      <c r="Y2562" t="inlineStr">
        <is>
          <t>Agriculture and Agri-Food Canada | Agriculture et Agroalimentaire Canada</t>
        </is>
      </c>
      <c r="Z2562" t="n">
        <v>4</v>
      </c>
      <c r="AA2562" t="n">
        <v>1946.08</v>
      </c>
      <c r="AB2562">
        <f>ROUND(U2562-AA2562,2)</f>
        <v/>
      </c>
      <c r="AC2562" t="b">
        <v>0</v>
      </c>
      <c r="AD2562">
        <f>IF(U2562="","MISSING_TOTAL",IF(ABS(AB2562)&lt;=0.01,"OK","CHECK"))</f>
        <v/>
      </c>
      <c r="AE2562">
        <f>IF(U2562="","MISSING",IF(AND(AA2562&gt;0,U2562/AA2562&gt;50),"POSSIBLE_SCALE_ERROR","OK"))</f>
        <v/>
      </c>
    </row>
    <row r="2563">
      <c r="A2563" t="inlineStr">
        <is>
          <t>T-AAFC-2026-P07-001</t>
        </is>
      </c>
      <c r="B2563" t="inlineStr">
        <is>
          <t>MPSES</t>
        </is>
      </c>
      <c r="C2563" t="inlineStr">
        <is>
          <t>Minister</t>
        </is>
      </c>
      <c r="D2563" t="inlineStr">
        <is>
          <t>Ministre</t>
        </is>
      </c>
      <c r="E2563" t="inlineStr">
        <is>
          <t>Heath MacDonald</t>
        </is>
      </c>
      <c r="F2563" t="inlineStr">
        <is>
          <t>To visit Ontario stakeholders and tour the Ontario Dairy Research Centre</t>
        </is>
      </c>
      <c r="G2563" t="inlineStr">
        <is>
          <t>Visiter les parties prenantes de l'Ontario et du Centre de recherche laitière de l'Ontario</t>
        </is>
      </c>
      <c r="H2563" s="1" t="n">
        <v>45932</v>
      </c>
      <c r="I2563" s="1" t="n">
        <v>45933</v>
      </c>
      <c r="J2563" t="inlineStr">
        <is>
          <t>Toronto, Ontario, Canada</t>
        </is>
      </c>
      <c r="K2563" t="inlineStr">
        <is>
          <t>Toronto, Ontario, Canada</t>
        </is>
      </c>
      <c r="P2563" t="n">
        <v>1342.13</v>
      </c>
      <c r="Q2563" t="n">
        <v>0</v>
      </c>
      <c r="R2563" t="n">
        <v>244</v>
      </c>
      <c r="S2563" t="n">
        <v>119.4</v>
      </c>
      <c r="T2563" t="n">
        <v>0</v>
      </c>
      <c r="U2563" t="n">
        <v>1705.53</v>
      </c>
      <c r="X2563" t="inlineStr">
        <is>
          <t>aafc-aac</t>
        </is>
      </c>
      <c r="Y2563" t="inlineStr">
        <is>
          <t>Agriculture and Agri-Food Canada | Agriculture et Agroalimentaire Canada</t>
        </is>
      </c>
      <c r="Z2563" t="n">
        <v>2</v>
      </c>
      <c r="AA2563" t="n">
        <v>1705.53</v>
      </c>
      <c r="AB2563">
        <f>ROUND(U2563-AA2563,2)</f>
        <v/>
      </c>
      <c r="AC2563" t="b">
        <v>0</v>
      </c>
      <c r="AD2563">
        <f>IF(U2563="","MISSING_TOTAL",IF(ABS(AB2563)&lt;=0.01,"OK","CHECK"))</f>
        <v/>
      </c>
      <c r="AE2563">
        <f>IF(U2563="","MISSING",IF(AND(AA2563&gt;0,U2563/AA2563&gt;50),"POSSIBLE_SCALE_ERROR","OK"))</f>
        <v/>
      </c>
    </row>
    <row r="2564">
      <c r="A2564" t="inlineStr">
        <is>
          <t>T-AAFC-2026-P07-002</t>
        </is>
      </c>
      <c r="B2564" t="inlineStr">
        <is>
          <t>MPSES</t>
        </is>
      </c>
      <c r="C2564" t="inlineStr">
        <is>
          <t>Minister</t>
        </is>
      </c>
      <c r="D2564" t="inlineStr">
        <is>
          <t>Ministre</t>
        </is>
      </c>
      <c r="E2564" t="inlineStr">
        <is>
          <t>Heath MacDonald</t>
        </is>
      </c>
      <c r="F2564" t="inlineStr">
        <is>
          <t>To attend a Ministerial Mission</t>
        </is>
      </c>
      <c r="G2564" t="inlineStr">
        <is>
          <t>Participer à une mission ministérielle</t>
        </is>
      </c>
      <c r="H2564" s="1" t="n">
        <v>45941</v>
      </c>
      <c r="I2564" s="1" t="n">
        <v>45947</v>
      </c>
      <c r="J2564" t="inlineStr">
        <is>
          <t>Mexico City, Mexico</t>
        </is>
      </c>
      <c r="K2564" t="inlineStr">
        <is>
          <t>Mexico, Mexique</t>
        </is>
      </c>
      <c r="L2564" t="inlineStr">
        <is>
          <t>Guadalajara, Mexico</t>
        </is>
      </c>
      <c r="M2564" t="inlineStr">
        <is>
          <t>Guadalajara, Mexique</t>
        </is>
      </c>
      <c r="P2564" t="n">
        <v>2827.67</v>
      </c>
      <c r="Q2564" t="n">
        <v>0</v>
      </c>
      <c r="R2564" t="n">
        <v>1881.32</v>
      </c>
      <c r="S2564" t="n">
        <v>673.91</v>
      </c>
      <c r="T2564" t="n">
        <v>0</v>
      </c>
      <c r="U2564" t="n">
        <v>5382.9</v>
      </c>
      <c r="X2564" t="inlineStr">
        <is>
          <t>aafc-aac</t>
        </is>
      </c>
      <c r="Y2564" t="inlineStr">
        <is>
          <t>Agriculture and Agri-Food Canada | Agriculture et Agroalimentaire Canada</t>
        </is>
      </c>
      <c r="Z2564" t="n">
        <v>7</v>
      </c>
      <c r="AA2564" t="n">
        <v>5382.9</v>
      </c>
      <c r="AB2564">
        <f>ROUND(U2564-AA2564,2)</f>
        <v/>
      </c>
      <c r="AC2564" t="b">
        <v>0</v>
      </c>
      <c r="AD2564">
        <f>IF(U2564="","MISSING_TOTAL",IF(ABS(AB2564)&lt;=0.01,"OK","CHECK"))</f>
        <v/>
      </c>
      <c r="AE2564">
        <f>IF(U2564="","MISSING",IF(AND(AA2564&gt;0,U2564/AA2564&gt;50),"POSSIBLE_SCALE_ERROR","OK"))</f>
        <v/>
      </c>
    </row>
    <row r="2565">
      <c r="A2565" t="inlineStr">
        <is>
          <t>T-AAFC-2026-P07-003</t>
        </is>
      </c>
      <c r="B2565" t="inlineStr">
        <is>
          <t>MPSES</t>
        </is>
      </c>
      <c r="C2565" t="inlineStr">
        <is>
          <t>Policy Advisor</t>
        </is>
      </c>
      <c r="D2565" t="inlineStr">
        <is>
          <t>Conseiller en politiques</t>
        </is>
      </c>
      <c r="E2565" t="inlineStr">
        <is>
          <t>Jeremy Keats</t>
        </is>
      </c>
      <c r="F2565" t="inlineStr">
        <is>
          <t>To support the Minister to visit Ontario stakeholders and tour the Ontario Dairy Research Centre</t>
        </is>
      </c>
      <c r="G2565" t="inlineStr">
        <is>
          <t>Soutenir le ministre lors de sa visite des parties prenantes de l'Ontario et du Centre de recherche laitière de l'Ontario</t>
        </is>
      </c>
      <c r="H2565" s="1" t="n">
        <v>45932</v>
      </c>
      <c r="I2565" s="1" t="n">
        <v>45933</v>
      </c>
      <c r="J2565" t="inlineStr">
        <is>
          <t>Toronto, Ontario, Canada</t>
        </is>
      </c>
      <c r="K2565" t="inlineStr">
        <is>
          <t>Toronto, Ontario, Canada</t>
        </is>
      </c>
      <c r="P2565" t="n">
        <v>1264.95</v>
      </c>
      <c r="Q2565" t="n">
        <v>0</v>
      </c>
      <c r="R2565" t="n">
        <v>244</v>
      </c>
      <c r="S2565" t="n">
        <v>119.4</v>
      </c>
      <c r="T2565" t="n">
        <v>0</v>
      </c>
      <c r="U2565" t="n">
        <v>1628.35</v>
      </c>
      <c r="X2565" t="inlineStr">
        <is>
          <t>aafc-aac</t>
        </is>
      </c>
      <c r="Y2565" t="inlineStr">
        <is>
          <t>Agriculture and Agri-Food Canada | Agriculture et Agroalimentaire Canada</t>
        </is>
      </c>
      <c r="Z2565" t="n">
        <v>2</v>
      </c>
      <c r="AA2565" t="n">
        <v>1628.35</v>
      </c>
      <c r="AB2565">
        <f>ROUND(U2565-AA2565,2)</f>
        <v/>
      </c>
      <c r="AC2565" t="b">
        <v>0</v>
      </c>
      <c r="AD2565">
        <f>IF(U2565="","MISSING_TOTAL",IF(ABS(AB2565)&lt;=0.01,"OK","CHECK"))</f>
        <v/>
      </c>
      <c r="AE2565">
        <f>IF(U2565="","MISSING",IF(AND(AA2565&gt;0,U2565/AA2565&gt;50),"POSSIBLE_SCALE_ERROR","OK"))</f>
        <v/>
      </c>
    </row>
    <row r="2566">
      <c r="A2566" t="inlineStr">
        <is>
          <t>T-AAFC-2026-P07-004</t>
        </is>
      </c>
      <c r="B2566" t="inlineStr">
        <is>
          <t>MPSES</t>
        </is>
      </c>
      <c r="C2566" t="inlineStr">
        <is>
          <t>Ontario Desk/Parliamentary Secretary Assistant</t>
        </is>
      </c>
      <c r="D2566" t="inlineStr">
        <is>
          <t>Bureau d'Ontario/Assistant du secrétaire parlementaire</t>
        </is>
      </c>
      <c r="E2566" t="inlineStr">
        <is>
          <t>Jason MacDonald</t>
        </is>
      </c>
      <c r="F2566" t="inlineStr">
        <is>
          <t>To support the Minister to visit Ontario stakeholders and tour the Ontario Dairy Research Centre</t>
        </is>
      </c>
      <c r="G2566" t="inlineStr">
        <is>
          <t>Soutenir le ministre lors de sa visite des parties prenantes de l'Ontario et du Centre de recherche laitière de l'Ontario</t>
        </is>
      </c>
      <c r="H2566" s="1" t="n">
        <v>45932</v>
      </c>
      <c r="I2566" s="1" t="n">
        <v>45933</v>
      </c>
      <c r="J2566" t="inlineStr">
        <is>
          <t>Toronto, Ontario, Canada</t>
        </is>
      </c>
      <c r="K2566" t="inlineStr">
        <is>
          <t>Toronto, Ontario, Canada</t>
        </is>
      </c>
      <c r="P2566" t="n">
        <v>1264.95</v>
      </c>
      <c r="Q2566" t="n">
        <v>84.38</v>
      </c>
      <c r="R2566" t="n">
        <v>244</v>
      </c>
      <c r="S2566" t="n">
        <v>119.4</v>
      </c>
      <c r="T2566" t="n">
        <v>0</v>
      </c>
      <c r="U2566" t="n">
        <v>1712.73</v>
      </c>
      <c r="X2566" t="inlineStr">
        <is>
          <t>aafc-aac</t>
        </is>
      </c>
      <c r="Y2566" t="inlineStr">
        <is>
          <t>Agriculture and Agri-Food Canada | Agriculture et Agroalimentaire Canada</t>
        </is>
      </c>
      <c r="Z2566" t="n">
        <v>2</v>
      </c>
      <c r="AA2566" t="n">
        <v>1712.73</v>
      </c>
      <c r="AB2566">
        <f>ROUND(U2566-AA2566,2)</f>
        <v/>
      </c>
      <c r="AC2566" t="b">
        <v>0</v>
      </c>
      <c r="AD2566">
        <f>IF(U2566="","MISSING_TOTAL",IF(ABS(AB2566)&lt;=0.01,"OK","CHECK"))</f>
        <v/>
      </c>
      <c r="AE2566">
        <f>IF(U2566="","MISSING",IF(AND(AA2566&gt;0,U2566/AA2566&gt;50),"POSSIBLE_SCALE_ERROR","OK"))</f>
        <v/>
      </c>
    </row>
    <row r="2567">
      <c r="A2567" t="inlineStr">
        <is>
          <t>T-AAFC-2026-P07-005</t>
        </is>
      </c>
      <c r="B2567" t="inlineStr">
        <is>
          <t>MPSES</t>
        </is>
      </c>
      <c r="C2567" t="inlineStr">
        <is>
          <t>Director of Policy</t>
        </is>
      </c>
      <c r="D2567" t="inlineStr">
        <is>
          <t>Directrice des politiques</t>
        </is>
      </c>
      <c r="E2567" t="inlineStr">
        <is>
          <t>Serena Smith</t>
        </is>
      </c>
      <c r="F2567" t="inlineStr">
        <is>
          <t>To support the Minister to attend meetings with the industry and attend a Prince Edward Island roundtable</t>
        </is>
      </c>
      <c r="G2567" t="inlineStr">
        <is>
          <t>Soutenir le ministre lors de réunions avec l'industrie et une table ronde à l'Île-du-Prince-Édouard</t>
        </is>
      </c>
      <c r="H2567" s="1" t="n">
        <v>45925</v>
      </c>
      <c r="I2567" s="1" t="n">
        <v>45930</v>
      </c>
      <c r="J2567" t="inlineStr">
        <is>
          <t>Charlottetown, Prince Edward Island, Canada</t>
        </is>
      </c>
      <c r="K2567" t="inlineStr">
        <is>
          <t>Charlottetown, Île-du-Prince-Édouard, Canada</t>
        </is>
      </c>
      <c r="P2567" t="n">
        <v>1436.76</v>
      </c>
      <c r="Q2567" t="n">
        <v>0</v>
      </c>
      <c r="R2567" t="n">
        <v>604.16</v>
      </c>
      <c r="S2567" t="n">
        <v>115.4</v>
      </c>
      <c r="T2567" t="n">
        <v>0</v>
      </c>
      <c r="U2567" t="n">
        <v>2156.32</v>
      </c>
      <c r="X2567" t="inlineStr">
        <is>
          <t>aafc-aac</t>
        </is>
      </c>
      <c r="Y2567" t="inlineStr">
        <is>
          <t>Agriculture and Agri-Food Canada | Agriculture et Agroalimentaire Canada</t>
        </is>
      </c>
      <c r="Z2567" t="n">
        <v>6</v>
      </c>
      <c r="AA2567" t="n">
        <v>2156.32</v>
      </c>
      <c r="AB2567">
        <f>ROUND(U2567-AA2567,2)</f>
        <v/>
      </c>
      <c r="AC2567" t="b">
        <v>0</v>
      </c>
      <c r="AD2567">
        <f>IF(U2567="","MISSING_TOTAL",IF(ABS(AB2567)&lt;=0.01,"OK","CHECK"))</f>
        <v/>
      </c>
      <c r="AE2567">
        <f>IF(U2567="","MISSING",IF(AND(AA2567&gt;0,U2567/AA2567&gt;50),"POSSIBLE_SCALE_ERROR","OK"))</f>
        <v/>
      </c>
    </row>
    <row r="2568">
      <c r="A2568" t="inlineStr">
        <is>
          <t>T-AAFC-2026-P07-006</t>
        </is>
      </c>
      <c r="B2568" t="inlineStr">
        <is>
          <t>MPSES</t>
        </is>
      </c>
      <c r="C2568" t="inlineStr">
        <is>
          <t>Director of Policy</t>
        </is>
      </c>
      <c r="D2568" t="inlineStr">
        <is>
          <t>Directrice des politiques</t>
        </is>
      </c>
      <c r="E2568" t="inlineStr">
        <is>
          <t>Serena Smith</t>
        </is>
      </c>
      <c r="F2568" t="inlineStr">
        <is>
          <t>To attend a Ministerial Mission</t>
        </is>
      </c>
      <c r="G2568" t="inlineStr">
        <is>
          <t>Participer à une mission ministérielle</t>
        </is>
      </c>
      <c r="H2568" s="1" t="n">
        <v>45941</v>
      </c>
      <c r="I2568" s="1" t="n">
        <v>45947</v>
      </c>
      <c r="J2568" t="inlineStr">
        <is>
          <t>Mexico City, Mexico</t>
        </is>
      </c>
      <c r="K2568" t="inlineStr">
        <is>
          <t>Mexico, Mexique</t>
        </is>
      </c>
      <c r="L2568" t="inlineStr">
        <is>
          <t>Guadalajara, Mexico</t>
        </is>
      </c>
      <c r="M2568" t="inlineStr">
        <is>
          <t>Guadalajara, Mexique</t>
        </is>
      </c>
      <c r="P2568" t="n">
        <v>2827.67</v>
      </c>
      <c r="Q2568" t="n">
        <v>0</v>
      </c>
      <c r="R2568" t="n">
        <v>1891.76</v>
      </c>
      <c r="S2568" t="n">
        <v>730.26</v>
      </c>
      <c r="T2568" t="n">
        <v>0</v>
      </c>
      <c r="U2568" t="n">
        <v>5449.69</v>
      </c>
      <c r="X2568" t="inlineStr">
        <is>
          <t>aafc-aac</t>
        </is>
      </c>
      <c r="Y2568" t="inlineStr">
        <is>
          <t>Agriculture and Agri-Food Canada | Agriculture et Agroalimentaire Canada</t>
        </is>
      </c>
      <c r="Z2568" t="n">
        <v>7</v>
      </c>
      <c r="AA2568" t="n">
        <v>5449.69</v>
      </c>
      <c r="AB2568">
        <f>ROUND(U2568-AA2568,2)</f>
        <v/>
      </c>
      <c r="AC2568" t="b">
        <v>0</v>
      </c>
      <c r="AD2568">
        <f>IF(U2568="","MISSING_TOTAL",IF(ABS(AB2568)&lt;=0.01,"OK","CHECK"))</f>
        <v/>
      </c>
      <c r="AE2568">
        <f>IF(U2568="","MISSING",IF(AND(AA2568&gt;0,U2568/AA2568&gt;50),"POSSIBLE_SCALE_ERROR","OK"))</f>
        <v/>
      </c>
    </row>
    <row r="2569">
      <c r="A2569" t="inlineStr">
        <is>
          <t>T-AAFC-2026-P07-007</t>
        </is>
      </c>
      <c r="B2569" t="inlineStr">
        <is>
          <t>MPSES</t>
        </is>
      </c>
      <c r="C2569" t="inlineStr">
        <is>
          <t>Atlantic Regional Advisor</t>
        </is>
      </c>
      <c r="D2569" t="inlineStr">
        <is>
          <t>Conseiller régional de l'Atlantique</t>
        </is>
      </c>
      <c r="E2569" t="inlineStr">
        <is>
          <t>Jake Godfrey</t>
        </is>
      </c>
      <c r="F2569" t="inlineStr">
        <is>
          <t>To support the Minister to attend meetings with the industry and attend a Prince Edward Island roundtable</t>
        </is>
      </c>
      <c r="G2569" t="inlineStr">
        <is>
          <t>Soutenir le ministre lors de réunions avec l'industrie et une table ronde à l'Île-du-Prince-Édouard</t>
        </is>
      </c>
      <c r="H2569" s="1" t="n">
        <v>45925</v>
      </c>
      <c r="I2569" s="1" t="n">
        <v>45927</v>
      </c>
      <c r="J2569" t="inlineStr">
        <is>
          <t>Charlottetown, Prince Edward Island, Canada</t>
        </is>
      </c>
      <c r="K2569" t="inlineStr">
        <is>
          <t>Charlottetown, Île-du-Prince-Édouard, Canada</t>
        </is>
      </c>
      <c r="P2569" t="n">
        <v>1424.76</v>
      </c>
      <c r="Q2569" t="n">
        <v>190.23</v>
      </c>
      <c r="R2569" t="n">
        <v>0</v>
      </c>
      <c r="S2569" t="n">
        <v>113.5</v>
      </c>
      <c r="T2569" t="n">
        <v>0</v>
      </c>
      <c r="U2569" t="n">
        <v>1728.49</v>
      </c>
      <c r="X2569" t="inlineStr">
        <is>
          <t>aafc-aac</t>
        </is>
      </c>
      <c r="Y2569" t="inlineStr">
        <is>
          <t>Agriculture and Agri-Food Canada | Agriculture et Agroalimentaire Canada</t>
        </is>
      </c>
      <c r="Z2569" t="n">
        <v>3</v>
      </c>
      <c r="AA2569" t="n">
        <v>1728.49</v>
      </c>
      <c r="AB2569">
        <f>ROUND(U2569-AA2569,2)</f>
        <v/>
      </c>
      <c r="AC2569" t="b">
        <v>0</v>
      </c>
      <c r="AD2569">
        <f>IF(U2569="","MISSING_TOTAL",IF(ABS(AB2569)&lt;=0.01,"OK","CHECK"))</f>
        <v/>
      </c>
      <c r="AE2569">
        <f>IF(U2569="","MISSING",IF(AND(AA2569&gt;0,U2569/AA2569&gt;50),"POSSIBLE_SCALE_ERROR","OK"))</f>
        <v/>
      </c>
    </row>
    <row r="2570">
      <c r="A2570" t="inlineStr">
        <is>
          <t>T-AAFC-2026-P07-008</t>
        </is>
      </c>
      <c r="B2570" t="inlineStr">
        <is>
          <t>MPSES</t>
        </is>
      </c>
      <c r="C2570" t="inlineStr">
        <is>
          <t>Special Assistant</t>
        </is>
      </c>
      <c r="D2570" t="inlineStr">
        <is>
          <t>Adjointe spéciale</t>
        </is>
      </c>
      <c r="E2570" t="inlineStr">
        <is>
          <t>Yasmin Veiga</t>
        </is>
      </c>
      <c r="F2570" t="inlineStr">
        <is>
          <t>To accompany the Parliamentary Secretary to a Sectorial Congress of the Union of agricultural producers (UPA)</t>
        </is>
      </c>
      <c r="G2570" t="inlineStr">
        <is>
          <t>Accompagner la secrétaire parlementaire au congrès sectoriel de l'Union des producteurs agricoles (UPA)</t>
        </is>
      </c>
      <c r="H2570" s="1" t="n">
        <v>45933</v>
      </c>
      <c r="I2570" s="1" t="n">
        <v>45935</v>
      </c>
      <c r="J2570" t="inlineStr">
        <is>
          <t>Low, Quebec, Canada</t>
        </is>
      </c>
      <c r="K2570" t="inlineStr">
        <is>
          <t>Low, Québec, Canada</t>
        </is>
      </c>
      <c r="P2570" t="n">
        <v>0</v>
      </c>
      <c r="Q2570" t="n">
        <v>153.39</v>
      </c>
      <c r="R2570" t="n">
        <v>0</v>
      </c>
      <c r="S2570" t="n">
        <v>0</v>
      </c>
      <c r="T2570" t="n">
        <v>0</v>
      </c>
      <c r="U2570" t="n">
        <v>153.39</v>
      </c>
      <c r="X2570" t="inlineStr">
        <is>
          <t>aafc-aac</t>
        </is>
      </c>
      <c r="Y2570" t="inlineStr">
        <is>
          <t>Agriculture and Agri-Food Canada | Agriculture et Agroalimentaire Canada</t>
        </is>
      </c>
      <c r="Z2570" t="n">
        <v>3</v>
      </c>
      <c r="AA2570" t="n">
        <v>153.39</v>
      </c>
      <c r="AB2570">
        <f>ROUND(U2570-AA2570,2)</f>
        <v/>
      </c>
      <c r="AC2570" t="b">
        <v>0</v>
      </c>
      <c r="AD2570">
        <f>IF(U2570="","MISSING_TOTAL",IF(ABS(AB2570)&lt;=0.01,"OK","CHECK"))</f>
        <v/>
      </c>
      <c r="AE2570">
        <f>IF(U2570="","MISSING",IF(AND(AA2570&gt;0,U2570/AA2570&gt;50),"POSSIBLE_SCALE_ERROR","OK"))</f>
        <v/>
      </c>
    </row>
    <row r="2571">
      <c r="A2571" t="inlineStr">
        <is>
          <t>T-AAFC-2026-P07-009</t>
        </is>
      </c>
      <c r="B2571" t="inlineStr">
        <is>
          <t>MPSES</t>
        </is>
      </c>
      <c r="C2571" t="inlineStr">
        <is>
          <t>Special Assistant</t>
        </is>
      </c>
      <c r="D2571" t="inlineStr">
        <is>
          <t>Adjointe spéciale</t>
        </is>
      </c>
      <c r="E2571" t="inlineStr">
        <is>
          <t>Yasmin Veiga</t>
        </is>
      </c>
      <c r="F2571" t="inlineStr">
        <is>
          <t>To accompany the Parliamentary Secretary announcing the Union of agricultural producers (UPA) - Agrisolutions climat funding extension</t>
        </is>
      </c>
      <c r="G2571" t="inlineStr">
        <is>
          <t>Accompagner la secrétaire parlementaire à l'annonce de prolongement du financement d'Agrisolutions climat de l'Union des producteurs agricoles (UPA)</t>
        </is>
      </c>
      <c r="H2571" s="1" t="n">
        <v>45946</v>
      </c>
      <c r="I2571" s="1" t="n">
        <v>45947</v>
      </c>
      <c r="J2571" t="inlineStr">
        <is>
          <t>Sainte-Martine, Quebec, Canada</t>
        </is>
      </c>
      <c r="K2571" t="inlineStr">
        <is>
          <t>Sainte-Martine, Québec, Canada</t>
        </is>
      </c>
      <c r="P2571" t="n">
        <v>0</v>
      </c>
      <c r="Q2571" t="n">
        <v>135.58</v>
      </c>
      <c r="R2571" t="n">
        <v>0</v>
      </c>
      <c r="S2571" t="n">
        <v>55.8</v>
      </c>
      <c r="T2571" t="n">
        <v>0</v>
      </c>
      <c r="U2571" t="n">
        <v>191.38</v>
      </c>
      <c r="X2571" t="inlineStr">
        <is>
          <t>aafc-aac</t>
        </is>
      </c>
      <c r="Y2571" t="inlineStr">
        <is>
          <t>Agriculture and Agri-Food Canada | Agriculture et Agroalimentaire Canada</t>
        </is>
      </c>
      <c r="Z2571" t="n">
        <v>2</v>
      </c>
      <c r="AA2571" t="n">
        <v>191.38</v>
      </c>
      <c r="AB2571">
        <f>ROUND(U2571-AA2571,2)</f>
        <v/>
      </c>
      <c r="AC2571" t="b">
        <v>0</v>
      </c>
      <c r="AD2571">
        <f>IF(U2571="","MISSING_TOTAL",IF(ABS(AB2571)&lt;=0.01,"OK","CHECK"))</f>
        <v/>
      </c>
      <c r="AE2571">
        <f>IF(U2571="","MISSING",IF(AND(AA2571&gt;0,U2571/AA2571&gt;50),"POSSIBLE_SCALE_ERROR","OK"))</f>
        <v/>
      </c>
    </row>
    <row r="2572">
      <c r="A2572" t="inlineStr">
        <is>
          <t>T-AAFC-2026-P07-010</t>
        </is>
      </c>
      <c r="B2572" t="inlineStr">
        <is>
          <t>MPSES</t>
        </is>
      </c>
      <c r="C2572" t="inlineStr">
        <is>
          <t>Parliamentary Secretary</t>
        </is>
      </c>
      <c r="D2572" t="inlineStr">
        <is>
          <t>Secrétaire parlementaire</t>
        </is>
      </c>
      <c r="E2572" t="inlineStr">
        <is>
          <t>Sophie Chatel</t>
        </is>
      </c>
      <c r="F2572" t="inlineStr">
        <is>
          <t>To attend the announcement of the Union of agricultural producers (UPA) - Agrisolutions climat funding extension</t>
        </is>
      </c>
      <c r="G2572" t="inlineStr">
        <is>
          <t>Assister à l'annonce de prolongement de financement d'Agrisolutions climat de l'Union des producteurs agricoles (UPA)</t>
        </is>
      </c>
      <c r="H2572" s="1" t="n">
        <v>45947</v>
      </c>
      <c r="I2572" s="1" t="n">
        <v>45947</v>
      </c>
      <c r="J2572" t="inlineStr">
        <is>
          <t>Sainte-Martine, Quebec, Canada</t>
        </is>
      </c>
      <c r="K2572" t="inlineStr">
        <is>
          <t>Sainte-Martine, Québec, Canada</t>
        </is>
      </c>
      <c r="P2572" t="n">
        <v>0</v>
      </c>
      <c r="Q2572" t="n">
        <v>238.51</v>
      </c>
      <c r="R2572" t="n">
        <v>0</v>
      </c>
      <c r="S2572" t="n">
        <v>90.34999999999999</v>
      </c>
      <c r="T2572" t="n">
        <v>0</v>
      </c>
      <c r="U2572" t="n">
        <v>328.86</v>
      </c>
      <c r="X2572" t="inlineStr">
        <is>
          <t>aafc-aac</t>
        </is>
      </c>
      <c r="Y2572" t="inlineStr">
        <is>
          <t>Agriculture and Agri-Food Canada | Agriculture et Agroalimentaire Canada</t>
        </is>
      </c>
      <c r="Z2572" t="n">
        <v>1</v>
      </c>
      <c r="AA2572" t="n">
        <v>328.86</v>
      </c>
      <c r="AB2572">
        <f>ROUND(U2572-AA2572,2)</f>
        <v/>
      </c>
      <c r="AC2572" t="b">
        <v>0</v>
      </c>
      <c r="AD2572">
        <f>IF(U2572="","MISSING_TOTAL",IF(ABS(AB2572)&lt;=0.01,"OK","CHECK"))</f>
        <v/>
      </c>
      <c r="AE2572">
        <f>IF(U2572="","MISSING",IF(AND(AA2572&gt;0,U2572/AA2572&gt;50),"POSSIBLE_SCALE_ERROR","OK"))</f>
        <v/>
      </c>
    </row>
    <row r="2573">
      <c r="A2573" t="inlineStr">
        <is>
          <t>T-AAFC-2026-P07-011</t>
        </is>
      </c>
      <c r="B2573" t="inlineStr">
        <is>
          <t>MPSES</t>
        </is>
      </c>
      <c r="C2573" t="inlineStr">
        <is>
          <t>Deputy Minister</t>
        </is>
      </c>
      <c r="D2573" t="inlineStr">
        <is>
          <t>Sous-Ministre</t>
        </is>
      </c>
      <c r="E2573" t="inlineStr">
        <is>
          <t>Lawrence Hanson</t>
        </is>
      </c>
      <c r="F2573" t="inlineStr">
        <is>
          <t>To attend the Federal-Provincial-Territorial Annual Conference of Ministers of Agriculture</t>
        </is>
      </c>
      <c r="G2573" t="inlineStr">
        <is>
          <t>Participer à la Conférence annuelle fédérale-provinciale-territoriale des ministres de l'Agriculture</t>
        </is>
      </c>
      <c r="H2573" s="1" t="n">
        <v>45906</v>
      </c>
      <c r="I2573" s="1" t="n">
        <v>45910</v>
      </c>
      <c r="J2573" t="inlineStr">
        <is>
          <t>Winnipeg, Manitoba, Canada</t>
        </is>
      </c>
      <c r="K2573" t="inlineStr">
        <is>
          <t>Winnipeg, Manitoba, Canada</t>
        </is>
      </c>
      <c r="P2573" t="n">
        <v>678.17</v>
      </c>
      <c r="Q2573" t="n">
        <v>0</v>
      </c>
      <c r="R2573" t="n">
        <v>447.18</v>
      </c>
      <c r="S2573" t="n">
        <v>212</v>
      </c>
      <c r="T2573" t="n">
        <v>0</v>
      </c>
      <c r="U2573" t="n">
        <v>1337.35</v>
      </c>
      <c r="X2573" t="inlineStr">
        <is>
          <t>aafc-aac</t>
        </is>
      </c>
      <c r="Y2573" t="inlineStr">
        <is>
          <t>Agriculture and Agri-Food Canada | Agriculture et Agroalimentaire Canada</t>
        </is>
      </c>
      <c r="Z2573" t="n">
        <v>5</v>
      </c>
      <c r="AA2573" t="n">
        <v>1337.35</v>
      </c>
      <c r="AB2573">
        <f>ROUND(U2573-AA2573,2)</f>
        <v/>
      </c>
      <c r="AC2573" t="b">
        <v>0</v>
      </c>
      <c r="AD2573">
        <f>IF(U2573="","MISSING_TOTAL",IF(ABS(AB2573)&lt;=0.01,"OK","CHECK"))</f>
        <v/>
      </c>
      <c r="AE2573">
        <f>IF(U2573="","MISSING",IF(AND(AA2573&gt;0,U2573/AA2573&gt;50),"POSSIBLE_SCALE_ERROR","OK"))</f>
        <v/>
      </c>
    </row>
    <row r="2574">
      <c r="A2574" t="inlineStr">
        <is>
          <t>T-AAFC-2026-P07-012</t>
        </is>
      </c>
      <c r="B2574" t="inlineStr">
        <is>
          <t>SLE</t>
        </is>
      </c>
      <c r="C2574" t="inlineStr">
        <is>
          <t>Assistant Deputy Minister, Science and Technology Branch</t>
        </is>
      </c>
      <c r="D2574" t="inlineStr">
        <is>
          <t>Sous-ministre adjointe, Direction générale des sciences et de la technologie</t>
        </is>
      </c>
      <c r="E2574" t="inlineStr">
        <is>
          <t>Arran McPherson</t>
        </is>
      </c>
      <c r="F2574" t="inlineStr">
        <is>
          <t>To participate in an outreach to London and Harrow Research and Development Centres</t>
        </is>
      </c>
      <c r="G2574" t="inlineStr">
        <is>
          <t>Participer à des réunions de sensibilisation aux centres de recherche et de développement de London et Harrow</t>
        </is>
      </c>
      <c r="H2574" s="1" t="n">
        <v>45902</v>
      </c>
      <c r="I2574" s="1" t="n">
        <v>45907</v>
      </c>
      <c r="J2574" t="inlineStr">
        <is>
          <t>London, Ontario, Canada</t>
        </is>
      </c>
      <c r="K2574" t="inlineStr">
        <is>
          <t>London, Ontario, Canada</t>
        </is>
      </c>
      <c r="L2574" t="inlineStr">
        <is>
          <t>Harrow, Ontario, Canada</t>
        </is>
      </c>
      <c r="M2574" t="inlineStr">
        <is>
          <t>Harrow, Ontario, Canada</t>
        </is>
      </c>
      <c r="N2574" t="inlineStr">
        <is>
          <t>Kingsville, Ontario, Canada;Woodslee, Ontario, Canada</t>
        </is>
      </c>
      <c r="O2574" t="inlineStr">
        <is>
          <t>Kingsville, Ontario, Canada;Woodslee, Ontario, Canada</t>
        </is>
      </c>
      <c r="P2574" t="n">
        <v>1025.86</v>
      </c>
      <c r="Q2574" t="n">
        <v>150.74</v>
      </c>
      <c r="R2574" t="n">
        <v>529.52</v>
      </c>
      <c r="S2574" t="n">
        <v>513.1</v>
      </c>
      <c r="T2574" t="n">
        <v>0</v>
      </c>
      <c r="U2574" t="n">
        <v>2219.22</v>
      </c>
      <c r="X2574" t="inlineStr">
        <is>
          <t>aafc-aac</t>
        </is>
      </c>
      <c r="Y2574" t="inlineStr">
        <is>
          <t>Agriculture and Agri-Food Canada | Agriculture et Agroalimentaire Canada</t>
        </is>
      </c>
      <c r="Z2574" t="n">
        <v>6</v>
      </c>
      <c r="AA2574" t="n">
        <v>2219.22</v>
      </c>
      <c r="AB2574">
        <f>ROUND(U2574-AA2574,2)</f>
        <v/>
      </c>
      <c r="AC2574" t="b">
        <v>0</v>
      </c>
      <c r="AD2574">
        <f>IF(U2574="","MISSING_TOTAL",IF(ABS(AB2574)&lt;=0.01,"OK","CHECK"))</f>
        <v/>
      </c>
      <c r="AE2574">
        <f>IF(U2574="","MISSING",IF(AND(AA2574&gt;0,U2574/AA2574&gt;50),"POSSIBLE_SCALE_ERROR","OK"))</f>
        <v/>
      </c>
    </row>
    <row r="2575">
      <c r="A2575" t="inlineStr">
        <is>
          <t>T-AAFC-2026-P07-013</t>
        </is>
      </c>
      <c r="B2575" t="inlineStr">
        <is>
          <t>SLE</t>
        </is>
      </c>
      <c r="C2575" t="inlineStr">
        <is>
          <t>Assistant Deputy Minister, Corporate Management Branch</t>
        </is>
      </c>
      <c r="D2575" t="inlineStr">
        <is>
          <t>Sous-ministre adjoint, Direction générale de la gestion intégrée</t>
        </is>
      </c>
      <c r="E2575" t="inlineStr">
        <is>
          <t>Alain Lagacé</t>
        </is>
      </c>
      <c r="F2575" t="inlineStr">
        <is>
          <t>To attend the 37th International Colloquium on Financial Management</t>
        </is>
      </c>
      <c r="G2575" t="inlineStr">
        <is>
          <t>Participer au 37ième Colloque international sur la finance</t>
        </is>
      </c>
      <c r="H2575" s="1" t="n">
        <v>45915</v>
      </c>
      <c r="I2575" s="1" t="n">
        <v>45919</v>
      </c>
      <c r="J2575" t="inlineStr">
        <is>
          <t>Boston, Massachusetts, United State</t>
        </is>
      </c>
      <c r="K2575" t="inlineStr">
        <is>
          <t>Boston, Massachusetts, État-Unis</t>
        </is>
      </c>
      <c r="P2575" t="n">
        <v>664.33</v>
      </c>
      <c r="Q2575" t="n">
        <v>192.58</v>
      </c>
      <c r="R2575" t="n">
        <v>1834.16</v>
      </c>
      <c r="S2575" t="n">
        <v>508.43</v>
      </c>
      <c r="T2575" t="n">
        <v>0</v>
      </c>
      <c r="U2575" t="n">
        <v>3199.5</v>
      </c>
      <c r="X2575" t="inlineStr">
        <is>
          <t>aafc-aac</t>
        </is>
      </c>
      <c r="Y2575" t="inlineStr">
        <is>
          <t>Agriculture and Agri-Food Canada | Agriculture et Agroalimentaire Canada</t>
        </is>
      </c>
      <c r="Z2575" t="n">
        <v>5</v>
      </c>
      <c r="AA2575" t="n">
        <v>3199.5</v>
      </c>
      <c r="AB2575">
        <f>ROUND(U2575-AA2575,2)</f>
        <v/>
      </c>
      <c r="AC2575" t="b">
        <v>0</v>
      </c>
      <c r="AD2575">
        <f>IF(U2575="","MISSING_TOTAL",IF(ABS(AB2575)&lt;=0.01,"OK","CHECK"))</f>
        <v/>
      </c>
      <c r="AE2575">
        <f>IF(U2575="","MISSING",IF(AND(AA2575&gt;0,U2575/AA2575&gt;50),"POSSIBLE_SCALE_ERROR","OK"))</f>
        <v/>
      </c>
    </row>
    <row r="2576">
      <c r="A2576" t="inlineStr">
        <is>
          <t>T-AAFC-2026-P07-014</t>
        </is>
      </c>
      <c r="B2576" t="inlineStr">
        <is>
          <t>SLE</t>
        </is>
      </c>
      <c r="C2576" t="inlineStr">
        <is>
          <t>Assistant Deputy Minister, Corporate Management Branch</t>
        </is>
      </c>
      <c r="D2576" t="inlineStr">
        <is>
          <t>Sous-ministre adjoint, Direction générale de la gestion intégrée</t>
        </is>
      </c>
      <c r="E2576" t="inlineStr">
        <is>
          <t>Alain Lagacé</t>
        </is>
      </c>
      <c r="F2576" t="inlineStr">
        <is>
          <t>To attend the 2025 Assistant Deputy Minister's Forum</t>
        </is>
      </c>
      <c r="G2576" t="inlineStr">
        <is>
          <t>Participer au Forum 2025 des sous-ministres adjoints</t>
        </is>
      </c>
      <c r="H2576" s="1" t="n">
        <v>45946</v>
      </c>
      <c r="I2576" s="1" t="n">
        <v>45946</v>
      </c>
      <c r="J2576" t="inlineStr">
        <is>
          <t>Ottawa, Ontario, Canada</t>
        </is>
      </c>
      <c r="K2576" t="inlineStr">
        <is>
          <t>Ottawa, Ontario, Canada</t>
        </is>
      </c>
      <c r="P2576" t="n">
        <v>0</v>
      </c>
      <c r="Q2576" t="n">
        <v>25</v>
      </c>
      <c r="R2576" t="n">
        <v>0</v>
      </c>
      <c r="S2576" t="n">
        <v>0</v>
      </c>
      <c r="T2576" t="n">
        <v>0</v>
      </c>
      <c r="U2576" t="n">
        <v>25</v>
      </c>
      <c r="X2576" t="inlineStr">
        <is>
          <t>aafc-aac</t>
        </is>
      </c>
      <c r="Y2576" t="inlineStr">
        <is>
          <t>Agriculture and Agri-Food Canada | Agriculture et Agroalimentaire Canada</t>
        </is>
      </c>
      <c r="Z2576" t="n">
        <v>1</v>
      </c>
      <c r="AA2576" t="n">
        <v>25</v>
      </c>
      <c r="AB2576">
        <f>ROUND(U2576-AA2576,2)</f>
        <v/>
      </c>
      <c r="AC2576" t="b">
        <v>0</v>
      </c>
      <c r="AD2576">
        <f>IF(U2576="","MISSING_TOTAL",IF(ABS(AB2576)&lt;=0.01,"OK","CHECK"))</f>
        <v/>
      </c>
      <c r="AE2576">
        <f>IF(U2576="","MISSING",IF(AND(AA2576&gt;0,U2576/AA2576&gt;50),"POSSIBLE_SCALE_ERROR","OK"))</f>
        <v/>
      </c>
    </row>
    <row r="2577">
      <c r="A2577" t="inlineStr">
        <is>
          <t>T-AAFC-2026-P07-015</t>
        </is>
      </c>
      <c r="B2577" t="inlineStr">
        <is>
          <t>SLE</t>
        </is>
      </c>
      <c r="C2577" t="inlineStr">
        <is>
          <t>Assistant Deputy Minister, Strategic Policy Branch</t>
        </is>
      </c>
      <c r="D2577" t="inlineStr">
        <is>
          <t>Sous-ministre adjointe, Direction générale des politiques stratégiques</t>
        </is>
      </c>
      <c r="E2577" t="inlineStr">
        <is>
          <t>Shannon Nix</t>
        </is>
      </c>
      <c r="F2577" t="inlineStr">
        <is>
          <t>To attend the Federal-Provincial-Territorial Annual Conference of Ministers of Agriculture</t>
        </is>
      </c>
      <c r="G2577" t="inlineStr">
        <is>
          <t>Assister à la conférence annuelle fédérale-provinciale-territoriale des ministres de l’Agriculture</t>
        </is>
      </c>
      <c r="H2577" s="1" t="n">
        <v>45907</v>
      </c>
      <c r="I2577" s="1" t="n">
        <v>45910</v>
      </c>
      <c r="J2577" t="inlineStr">
        <is>
          <t>Winnipeg, Manitoba, Canada</t>
        </is>
      </c>
      <c r="K2577" t="inlineStr">
        <is>
          <t>Winnipeg, Manitoba, Canada</t>
        </is>
      </c>
      <c r="P2577" t="n">
        <v>946.5700000000001</v>
      </c>
      <c r="Q2577" t="n">
        <v>93.26000000000001</v>
      </c>
      <c r="R2577" t="n">
        <v>670.77</v>
      </c>
      <c r="S2577" t="n">
        <v>323.6</v>
      </c>
      <c r="T2577" t="n">
        <v>0</v>
      </c>
      <c r="U2577" t="n">
        <v>2034.2</v>
      </c>
      <c r="X2577" t="inlineStr">
        <is>
          <t>aafc-aac</t>
        </is>
      </c>
      <c r="Y2577" t="inlineStr">
        <is>
          <t>Agriculture and Agri-Food Canada | Agriculture et Agroalimentaire Canada</t>
        </is>
      </c>
      <c r="Z2577" t="n">
        <v>4</v>
      </c>
      <c r="AA2577" t="n">
        <v>2034.2</v>
      </c>
      <c r="AB2577">
        <f>ROUND(U2577-AA2577,2)</f>
        <v/>
      </c>
      <c r="AC2577" t="b">
        <v>0</v>
      </c>
      <c r="AD2577">
        <f>IF(U2577="","MISSING_TOTAL",IF(ABS(AB2577)&lt;=0.01,"OK","CHECK"))</f>
        <v/>
      </c>
      <c r="AE2577">
        <f>IF(U2577="","MISSING",IF(AND(AA2577&gt;0,U2577/AA2577&gt;50),"POSSIBLE_SCALE_ERROR","OK"))</f>
        <v/>
      </c>
    </row>
    <row r="2578">
      <c r="A2578" t="inlineStr">
        <is>
          <t>T-AAFC-2026-P07-016</t>
        </is>
      </c>
      <c r="B2578" t="inlineStr">
        <is>
          <t>SLE</t>
        </is>
      </c>
      <c r="C2578" t="inlineStr">
        <is>
          <t>Assistant Deputy Minister, Programs Branch</t>
        </is>
      </c>
      <c r="D2578" t="inlineStr">
        <is>
          <t>Sous-ministre adjointe, Direction générale des programmes</t>
        </is>
      </c>
      <c r="E2578" t="inlineStr">
        <is>
          <t>Liz Foster</t>
        </is>
      </c>
      <c r="F2578" t="inlineStr">
        <is>
          <t>To attend a Wahkohtowin Buffalo and Moose Hide Experience</t>
        </is>
      </c>
      <c r="G2578" t="inlineStr">
        <is>
          <t>Assister à l'expérience Wahkohtowin sur la préparation des peaux de bison et d'orignal</t>
        </is>
      </c>
      <c r="H2578" s="1" t="n">
        <v>45926</v>
      </c>
      <c r="I2578" s="1" t="n">
        <v>45926</v>
      </c>
      <c r="J2578" t="inlineStr">
        <is>
          <t>Ottawa, Ontario, Canada</t>
        </is>
      </c>
      <c r="K2578" t="inlineStr">
        <is>
          <t>Ottawa, Ontario, Canada</t>
        </is>
      </c>
      <c r="P2578" t="n">
        <v>0</v>
      </c>
      <c r="Q2578" t="n">
        <v>8</v>
      </c>
      <c r="R2578" t="n">
        <v>0</v>
      </c>
      <c r="S2578" t="n">
        <v>0</v>
      </c>
      <c r="T2578" t="n">
        <v>0</v>
      </c>
      <c r="U2578" t="n">
        <v>8</v>
      </c>
      <c r="X2578" t="inlineStr">
        <is>
          <t>aafc-aac</t>
        </is>
      </c>
      <c r="Y2578" t="inlineStr">
        <is>
          <t>Agriculture and Agri-Food Canada | Agriculture et Agroalimentaire Canada</t>
        </is>
      </c>
      <c r="Z2578" t="n">
        <v>1</v>
      </c>
      <c r="AA2578" t="n">
        <v>8</v>
      </c>
      <c r="AB2578">
        <f>ROUND(U2578-AA2578,2)</f>
        <v/>
      </c>
      <c r="AC2578" t="b">
        <v>0</v>
      </c>
      <c r="AD2578">
        <f>IF(U2578="","MISSING_TOTAL",IF(ABS(AB2578)&lt;=0.01,"OK","CHECK"))</f>
        <v/>
      </c>
      <c r="AE2578">
        <f>IF(U2578="","MISSING",IF(AND(AA2578&gt;0,U2578/AA2578&gt;50),"POSSIBLE_SCALE_ERROR","OK"))</f>
        <v/>
      </c>
    </row>
    <row r="2579">
      <c r="A2579" t="inlineStr">
        <is>
          <t>T-AAFC-2026-P07-017</t>
        </is>
      </c>
      <c r="B2579" t="inlineStr">
        <is>
          <t>SLE</t>
        </is>
      </c>
      <c r="C2579" t="inlineStr">
        <is>
          <t>Assistant Deputy Minister, Programs Branch</t>
        </is>
      </c>
      <c r="D2579" t="inlineStr">
        <is>
          <t>Sous-ministre adjointe, Direction générale des programmes</t>
        </is>
      </c>
      <c r="E2579" t="inlineStr">
        <is>
          <t>Liz Foster</t>
        </is>
      </c>
      <c r="F2579" t="inlineStr">
        <is>
          <t>To participate in a Service Transformation Leadership Workshop</t>
        </is>
      </c>
      <c r="G2579" t="inlineStr">
        <is>
          <t>Participer à un atelier de Leadership sur la transformation des services</t>
        </is>
      </c>
      <c r="H2579" s="1" t="n">
        <v>45932</v>
      </c>
      <c r="I2579" s="1" t="n">
        <v>45932</v>
      </c>
      <c r="J2579" t="inlineStr">
        <is>
          <t>Ottawa, Ontario, Canada</t>
        </is>
      </c>
      <c r="K2579" t="inlineStr">
        <is>
          <t>Ottawa, Ontario, Canada</t>
        </is>
      </c>
      <c r="P2579" t="n">
        <v>0</v>
      </c>
      <c r="Q2579" t="n">
        <v>17</v>
      </c>
      <c r="R2579" t="n">
        <v>0</v>
      </c>
      <c r="S2579" t="n">
        <v>0</v>
      </c>
      <c r="T2579" t="n">
        <v>0</v>
      </c>
      <c r="U2579" t="n">
        <v>17</v>
      </c>
      <c r="X2579" t="inlineStr">
        <is>
          <t>aafc-aac</t>
        </is>
      </c>
      <c r="Y2579" t="inlineStr">
        <is>
          <t>Agriculture and Agri-Food Canada | Agriculture et Agroalimentaire Canada</t>
        </is>
      </c>
      <c r="Z2579" t="n">
        <v>1</v>
      </c>
      <c r="AA2579" t="n">
        <v>17</v>
      </c>
      <c r="AB2579">
        <f>ROUND(U2579-AA2579,2)</f>
        <v/>
      </c>
      <c r="AC2579" t="b">
        <v>0</v>
      </c>
      <c r="AD2579">
        <f>IF(U2579="","MISSING_TOTAL",IF(ABS(AB2579)&lt;=0.01,"OK","CHECK"))</f>
        <v/>
      </c>
      <c r="AE2579">
        <f>IF(U2579="","MISSING",IF(AND(AA2579&gt;0,U2579/AA2579&gt;50),"POSSIBLE_SCALE_ERROR","OK"))</f>
        <v/>
      </c>
    </row>
    <row r="2580">
      <c r="A2580" t="inlineStr">
        <is>
          <t>T-AAFC-2026-P07-018</t>
        </is>
      </c>
      <c r="B2580" t="inlineStr">
        <is>
          <t>SLE</t>
        </is>
      </c>
      <c r="C2580" t="inlineStr">
        <is>
          <t>Assistant Deputy Minister, Programs Branch</t>
        </is>
      </c>
      <c r="D2580" t="inlineStr">
        <is>
          <t>Sous-ministre adjointe, Direction générale des programmes</t>
        </is>
      </c>
      <c r="E2580" t="inlineStr">
        <is>
          <t>Liz Foster</t>
        </is>
      </c>
      <c r="F2580" t="inlineStr">
        <is>
          <t>To attend the 2025 Assistant Deputy Minister's Forum</t>
        </is>
      </c>
      <c r="G2580" t="inlineStr">
        <is>
          <t>Assister au Forum 2025 des sous-ministres adjoints</t>
        </is>
      </c>
      <c r="H2580" s="1" t="n">
        <v>45946</v>
      </c>
      <c r="I2580" s="1" t="n">
        <v>45946</v>
      </c>
      <c r="J2580" t="inlineStr">
        <is>
          <t>Ottawa, Ontario, Canada</t>
        </is>
      </c>
      <c r="K2580" t="inlineStr">
        <is>
          <t>Ottawa, Ontario, Canada</t>
        </is>
      </c>
      <c r="P2580" t="n">
        <v>0</v>
      </c>
      <c r="Q2580" t="n">
        <v>20</v>
      </c>
      <c r="R2580" t="n">
        <v>0</v>
      </c>
      <c r="S2580" t="n">
        <v>0</v>
      </c>
      <c r="T2580" t="n">
        <v>0</v>
      </c>
      <c r="U2580" t="n">
        <v>20</v>
      </c>
      <c r="X2580" t="inlineStr">
        <is>
          <t>aafc-aac</t>
        </is>
      </c>
      <c r="Y2580" t="inlineStr">
        <is>
          <t>Agriculture and Agri-Food Canada | Agriculture et Agroalimentaire Canada</t>
        </is>
      </c>
      <c r="Z2580" t="n">
        <v>1</v>
      </c>
      <c r="AA2580" t="n">
        <v>20</v>
      </c>
      <c r="AB2580">
        <f>ROUND(U2580-AA2580,2)</f>
        <v/>
      </c>
      <c r="AC2580" t="b">
        <v>0</v>
      </c>
      <c r="AD2580">
        <f>IF(U2580="","MISSING_TOTAL",IF(ABS(AB2580)&lt;=0.01,"OK","CHECK"))</f>
        <v/>
      </c>
      <c r="AE2580">
        <f>IF(U2580="","MISSING",IF(AND(AA2580&gt;0,U2580/AA2580&gt;50),"POSSIBLE_SCALE_ERROR","OK"))</f>
        <v/>
      </c>
    </row>
    <row r="2581">
      <c r="A2581" t="inlineStr">
        <is>
          <t>T-AAFC-2026-P07-019</t>
        </is>
      </c>
      <c r="B2581" t="inlineStr">
        <is>
          <t>SLE</t>
        </is>
      </c>
      <c r="C2581" t="inlineStr">
        <is>
          <t>Assistant Deputy Minister, Market and Industry Services Branch</t>
        </is>
      </c>
      <c r="D2581" t="inlineStr">
        <is>
          <t>Sous-ministre adjoint, Direction générale des services à l'industrie et aux marchés</t>
        </is>
      </c>
      <c r="E2581" t="inlineStr">
        <is>
          <t>Tom Rosser</t>
        </is>
      </c>
      <c r="F2581" t="inlineStr">
        <is>
          <t>To participate in the Asia-Pacific Economic Cooperation (APEC) Conference in South Korea</t>
        </is>
      </c>
      <c r="G2581" t="inlineStr">
        <is>
          <t>Participer à la conférence de la Coopération économique Asie-Pacifique (APEC) en Corée du Sud</t>
        </is>
      </c>
      <c r="H2581" s="1" t="n">
        <v>45875</v>
      </c>
      <c r="I2581" s="1" t="n">
        <v>45880</v>
      </c>
      <c r="J2581" t="inlineStr">
        <is>
          <t>Incheon, South Korea</t>
        </is>
      </c>
      <c r="K2581" t="inlineStr">
        <is>
          <t>Incheon, Corée du Sud</t>
        </is>
      </c>
      <c r="P2581" t="n">
        <v>7923.77</v>
      </c>
      <c r="Q2581" t="n">
        <v>128.56</v>
      </c>
      <c r="R2581" t="n">
        <v>686.17</v>
      </c>
      <c r="S2581" t="n">
        <v>811.15</v>
      </c>
      <c r="T2581" t="n">
        <v>0</v>
      </c>
      <c r="U2581" t="n">
        <v>9549.65</v>
      </c>
      <c r="X2581" t="inlineStr">
        <is>
          <t>aafc-aac</t>
        </is>
      </c>
      <c r="Y2581" t="inlineStr">
        <is>
          <t>Agriculture and Agri-Food Canada | Agriculture et Agroalimentaire Canada</t>
        </is>
      </c>
      <c r="Z2581" t="n">
        <v>6</v>
      </c>
      <c r="AA2581" t="n">
        <v>9549.65</v>
      </c>
      <c r="AB2581">
        <f>ROUND(U2581-AA2581,2)</f>
        <v/>
      </c>
      <c r="AC2581" t="b">
        <v>0</v>
      </c>
      <c r="AD2581">
        <f>IF(U2581="","MISSING_TOTAL",IF(ABS(AB2581)&lt;=0.01,"OK","CHECK"))</f>
        <v/>
      </c>
      <c r="AE2581">
        <f>IF(U2581="","MISSING",IF(AND(AA2581&gt;0,U2581/AA2581&gt;50),"POSSIBLE_SCALE_ERROR","OK"))</f>
        <v/>
      </c>
    </row>
    <row r="2582">
      <c r="A2582" t="inlineStr">
        <is>
          <t>T-AAFC-2026-P08-001</t>
        </is>
      </c>
      <c r="B2582" t="inlineStr">
        <is>
          <t>MPSES</t>
        </is>
      </c>
      <c r="C2582" t="inlineStr">
        <is>
          <t>Minister</t>
        </is>
      </c>
      <c r="D2582" t="inlineStr">
        <is>
          <t>Ministre</t>
        </is>
      </c>
      <c r="E2582" t="inlineStr">
        <is>
          <t>Heath MacDonald</t>
        </is>
      </c>
      <c r="F2582" t="inlineStr">
        <is>
          <t>To attend a Ministerial Mission</t>
        </is>
      </c>
      <c r="G2582" t="inlineStr">
        <is>
          <t>Participer à une mission ministérielle</t>
        </is>
      </c>
      <c r="H2582" s="1" t="n">
        <v>45955</v>
      </c>
      <c r="I2582" s="1" t="n">
        <v>45964</v>
      </c>
      <c r="J2582" t="inlineStr">
        <is>
          <t>Shanghai, China</t>
        </is>
      </c>
      <c r="K2582" t="inlineStr">
        <is>
          <t>Shanghai, Chine</t>
        </is>
      </c>
      <c r="L2582" t="inlineStr">
        <is>
          <t>Beijing, China</t>
        </is>
      </c>
      <c r="M2582" t="inlineStr">
        <is>
          <t>Beijing, Chine</t>
        </is>
      </c>
      <c r="N2582" t="inlineStr">
        <is>
          <t>Qingdao, China</t>
        </is>
      </c>
      <c r="O2582" t="inlineStr">
        <is>
          <t>Qingdao, Chine</t>
        </is>
      </c>
      <c r="P2582" t="n">
        <v>15032.94</v>
      </c>
      <c r="Q2582" t="n">
        <v>608.9</v>
      </c>
      <c r="R2582" t="n">
        <v>2204.17</v>
      </c>
      <c r="S2582" t="n">
        <v>1921.29</v>
      </c>
      <c r="T2582" t="n">
        <v>0</v>
      </c>
      <c r="U2582" t="n">
        <v>19767.3</v>
      </c>
      <c r="X2582" t="inlineStr">
        <is>
          <t>aafc-aac</t>
        </is>
      </c>
      <c r="Y2582" t="inlineStr">
        <is>
          <t>Agriculture and Agri-Food Canada | Agriculture et Agroalimentaire Canada</t>
        </is>
      </c>
      <c r="Z2582" t="n">
        <v>10</v>
      </c>
      <c r="AA2582" t="n">
        <v>19767.3</v>
      </c>
      <c r="AB2582">
        <f>ROUND(U2582-AA2582,2)</f>
        <v/>
      </c>
      <c r="AC2582" t="b">
        <v>0</v>
      </c>
      <c r="AD2582">
        <f>IF(U2582="","MISSING_TOTAL",IF(ABS(AB2582)&lt;=0.01,"OK","CHECK"))</f>
        <v/>
      </c>
      <c r="AE2582">
        <f>IF(U2582="","MISSING",IF(AND(AA2582&gt;0,U2582/AA2582&gt;50),"POSSIBLE_SCALE_ERROR","OK"))</f>
        <v/>
      </c>
    </row>
    <row r="2583">
      <c r="A2583" t="inlineStr">
        <is>
          <t>T-AAFC-2026-P08-002</t>
        </is>
      </c>
      <c r="B2583" t="inlineStr">
        <is>
          <t>MPSES</t>
        </is>
      </c>
      <c r="C2583" t="inlineStr">
        <is>
          <t>Chief of Staff</t>
        </is>
      </c>
      <c r="D2583" t="inlineStr">
        <is>
          <t>Chef de Cabinet</t>
        </is>
      </c>
      <c r="E2583" t="inlineStr">
        <is>
          <t>Guy Gallant</t>
        </is>
      </c>
      <c r="F2583" t="inlineStr">
        <is>
          <t>To support the Minister on a Ministerial Mission</t>
        </is>
      </c>
      <c r="G2583" t="inlineStr">
        <is>
          <t>Soutenir le ministre dans le cadre d'une mission ministérielle</t>
        </is>
      </c>
      <c r="H2583" s="1" t="n">
        <v>45941</v>
      </c>
      <c r="I2583" s="1" t="n">
        <v>45947</v>
      </c>
      <c r="J2583" t="inlineStr">
        <is>
          <t>Mexico City, Mexico</t>
        </is>
      </c>
      <c r="K2583" t="inlineStr">
        <is>
          <t>Mexico, Mexique</t>
        </is>
      </c>
      <c r="L2583" t="inlineStr">
        <is>
          <t>Guadalajara, Mexico</t>
        </is>
      </c>
      <c r="M2583" t="inlineStr">
        <is>
          <t>Guadalajara, Mexique</t>
        </is>
      </c>
      <c r="P2583" t="n">
        <v>2827.67</v>
      </c>
      <c r="Q2583" t="n">
        <v>46.78</v>
      </c>
      <c r="R2583" t="n">
        <v>1891.76</v>
      </c>
      <c r="S2583" t="n">
        <v>730.26</v>
      </c>
      <c r="T2583" t="n">
        <v>0</v>
      </c>
      <c r="U2583" t="n">
        <v>5496.47</v>
      </c>
      <c r="X2583" t="inlineStr">
        <is>
          <t>aafc-aac</t>
        </is>
      </c>
      <c r="Y2583" t="inlineStr">
        <is>
          <t>Agriculture and Agri-Food Canada | Agriculture et Agroalimentaire Canada</t>
        </is>
      </c>
      <c r="Z2583" t="n">
        <v>7</v>
      </c>
      <c r="AA2583" t="n">
        <v>5496.47</v>
      </c>
      <c r="AB2583">
        <f>ROUND(U2583-AA2583,2)</f>
        <v/>
      </c>
      <c r="AC2583" t="b">
        <v>0</v>
      </c>
      <c r="AD2583">
        <f>IF(U2583="","MISSING_TOTAL",IF(ABS(AB2583)&lt;=0.01,"OK","CHECK"))</f>
        <v/>
      </c>
      <c r="AE2583">
        <f>IF(U2583="","MISSING",IF(AND(AA2583&gt;0,U2583/AA2583&gt;50),"POSSIBLE_SCALE_ERROR","OK"))</f>
        <v/>
      </c>
    </row>
    <row r="2584">
      <c r="A2584" t="inlineStr">
        <is>
          <t>T-AAFC-2026-P08-003</t>
        </is>
      </c>
      <c r="B2584" t="inlineStr">
        <is>
          <t>MPSES</t>
        </is>
      </c>
      <c r="C2584" t="inlineStr">
        <is>
          <t>Director of Policy</t>
        </is>
      </c>
      <c r="D2584" t="inlineStr">
        <is>
          <t>Directrice des politiques</t>
        </is>
      </c>
      <c r="E2584" t="inlineStr">
        <is>
          <t>Serena Smith</t>
        </is>
      </c>
      <c r="F2584" t="inlineStr">
        <is>
          <t>To support the Minister attending meetings and announcements</t>
        </is>
      </c>
      <c r="G2584" t="inlineStr">
        <is>
          <t>Soutenir le ministre lors de réunions,  et des annonces</t>
        </is>
      </c>
      <c r="H2584" s="1" t="n">
        <v>45969</v>
      </c>
      <c r="I2584" s="1" t="n">
        <v>45973</v>
      </c>
      <c r="J2584" t="inlineStr">
        <is>
          <t>Charlottetown, Prince Edward Island, Canada</t>
        </is>
      </c>
      <c r="K2584" t="inlineStr">
        <is>
          <t>Charlottetown, Île-du-Prince-Édouard, Canada</t>
        </is>
      </c>
      <c r="P2584" t="n">
        <v>2107.21</v>
      </c>
      <c r="Q2584" t="n">
        <v>383.34</v>
      </c>
      <c r="R2584" t="n">
        <v>294.94</v>
      </c>
      <c r="S2584" t="n">
        <v>212.65</v>
      </c>
      <c r="T2584" t="n">
        <v>0</v>
      </c>
      <c r="U2584" t="n">
        <v>2998.14</v>
      </c>
      <c r="X2584" t="inlineStr">
        <is>
          <t>aafc-aac</t>
        </is>
      </c>
      <c r="Y2584" t="inlineStr">
        <is>
          <t>Agriculture and Agri-Food Canada | Agriculture et Agroalimentaire Canada</t>
        </is>
      </c>
      <c r="Z2584" t="n">
        <v>5</v>
      </c>
      <c r="AA2584" t="n">
        <v>2998.14</v>
      </c>
      <c r="AB2584">
        <f>ROUND(U2584-AA2584,2)</f>
        <v/>
      </c>
      <c r="AC2584" t="b">
        <v>0</v>
      </c>
      <c r="AD2584">
        <f>IF(U2584="","MISSING_TOTAL",IF(ABS(AB2584)&lt;=0.01,"OK","CHECK"))</f>
        <v/>
      </c>
      <c r="AE2584">
        <f>IF(U2584="","MISSING",IF(AND(AA2584&gt;0,U2584/AA2584&gt;50),"POSSIBLE_SCALE_ERROR","OK"))</f>
        <v/>
      </c>
    </row>
    <row r="2585">
      <c r="A2585" t="inlineStr">
        <is>
          <t>T-AAFC-2026-P08-004</t>
        </is>
      </c>
      <c r="B2585" t="inlineStr">
        <is>
          <t>MPSES</t>
        </is>
      </c>
      <c r="C2585" t="inlineStr">
        <is>
          <t>Director of Operations</t>
        </is>
      </c>
      <c r="D2585" t="inlineStr">
        <is>
          <t>Directrice des opérations</t>
        </is>
      </c>
      <c r="E2585" t="inlineStr">
        <is>
          <t>Mikaela Harrison</t>
        </is>
      </c>
      <c r="F2585" t="inlineStr">
        <is>
          <t>To support the Minister attending an Outreach</t>
        </is>
      </c>
      <c r="G2585" t="inlineStr">
        <is>
          <t>Soutenir le ministre à participer à une activité de sensibilisation</t>
        </is>
      </c>
      <c r="H2585" s="1" t="n">
        <v>45953</v>
      </c>
      <c r="I2585" s="1" t="n">
        <v>45955</v>
      </c>
      <c r="J2585" t="inlineStr">
        <is>
          <t>Vancouver, British Columbia, Canada</t>
        </is>
      </c>
      <c r="K2585" t="inlineStr">
        <is>
          <t>Vancouver, Colombie-Britannique, Canada</t>
        </is>
      </c>
      <c r="P2585" t="n">
        <v>556.54</v>
      </c>
      <c r="Q2585" t="n">
        <v>35.21</v>
      </c>
      <c r="R2585" t="n">
        <v>890.58</v>
      </c>
      <c r="S2585" t="n">
        <v>214.75</v>
      </c>
      <c r="T2585" t="n">
        <v>0</v>
      </c>
      <c r="U2585" t="n">
        <v>1697.08</v>
      </c>
      <c r="X2585" t="inlineStr">
        <is>
          <t>aafc-aac</t>
        </is>
      </c>
      <c r="Y2585" t="inlineStr">
        <is>
          <t>Agriculture and Agri-Food Canada | Agriculture et Agroalimentaire Canada</t>
        </is>
      </c>
      <c r="Z2585" t="n">
        <v>3</v>
      </c>
      <c r="AA2585" t="n">
        <v>1697.08</v>
      </c>
      <c r="AB2585">
        <f>ROUND(U2585-AA2585,2)</f>
        <v/>
      </c>
      <c r="AC2585" t="b">
        <v>0</v>
      </c>
      <c r="AD2585">
        <f>IF(U2585="","MISSING_TOTAL",IF(ABS(AB2585)&lt;=0.01,"OK","CHECK"))</f>
        <v/>
      </c>
      <c r="AE2585">
        <f>IF(U2585="","MISSING",IF(AND(AA2585&gt;0,U2585/AA2585&gt;50),"POSSIBLE_SCALE_ERROR","OK"))</f>
        <v/>
      </c>
    </row>
    <row r="2586">
      <c r="A2586" t="inlineStr">
        <is>
          <t>T-AAFC-2026-P08-005</t>
        </is>
      </c>
      <c r="B2586" t="inlineStr">
        <is>
          <t>MPSES</t>
        </is>
      </c>
      <c r="C2586" t="inlineStr">
        <is>
          <t>Director of Operations</t>
        </is>
      </c>
      <c r="D2586" t="inlineStr">
        <is>
          <t>Directrice des opérations</t>
        </is>
      </c>
      <c r="E2586" t="inlineStr">
        <is>
          <t>Mikaela Harrison</t>
        </is>
      </c>
      <c r="F2586" t="inlineStr">
        <is>
          <t>To support the Minister on a Ministerial Mission</t>
        </is>
      </c>
      <c r="G2586" t="inlineStr">
        <is>
          <t>Soutenir le ministre dans le cadre d'une mission ministérielle</t>
        </is>
      </c>
      <c r="H2586" s="1" t="n">
        <v>45955</v>
      </c>
      <c r="I2586" s="1" t="n">
        <v>45964</v>
      </c>
      <c r="J2586" t="inlineStr">
        <is>
          <t>Shanghai, China</t>
        </is>
      </c>
      <c r="K2586" t="inlineStr">
        <is>
          <t>Shanghai, Chine</t>
        </is>
      </c>
      <c r="L2586" t="inlineStr">
        <is>
          <t>Beijing, China</t>
        </is>
      </c>
      <c r="M2586" t="inlineStr">
        <is>
          <t>Beijing, Chine</t>
        </is>
      </c>
      <c r="N2586" t="inlineStr">
        <is>
          <t>Qingdao, China</t>
        </is>
      </c>
      <c r="O2586" t="inlineStr">
        <is>
          <t>Qingdao, Chine</t>
        </is>
      </c>
      <c r="P2586" t="n">
        <v>14707.94</v>
      </c>
      <c r="Q2586" t="n">
        <v>608.9</v>
      </c>
      <c r="R2586" t="n">
        <v>2258.46</v>
      </c>
      <c r="S2586" t="n">
        <v>1921.28</v>
      </c>
      <c r="T2586" t="n">
        <v>0</v>
      </c>
      <c r="U2586" t="n">
        <v>19496.58</v>
      </c>
      <c r="X2586" t="inlineStr">
        <is>
          <t>aafc-aac</t>
        </is>
      </c>
      <c r="Y2586" t="inlineStr">
        <is>
          <t>Agriculture and Agri-Food Canada | Agriculture et Agroalimentaire Canada</t>
        </is>
      </c>
      <c r="Z2586" t="n">
        <v>10</v>
      </c>
      <c r="AA2586" t="n">
        <v>19496.5799999999</v>
      </c>
      <c r="AB2586">
        <f>ROUND(U2586-AA2586,2)</f>
        <v/>
      </c>
      <c r="AC2586" t="b">
        <v>0</v>
      </c>
      <c r="AD2586">
        <f>IF(U2586="","MISSING_TOTAL",IF(ABS(AB2586)&lt;=0.01,"OK","CHECK"))</f>
        <v/>
      </c>
      <c r="AE2586">
        <f>IF(U2586="","MISSING",IF(AND(AA2586&gt;0,U2586/AA2586&gt;50),"POSSIBLE_SCALE_ERROR","OK"))</f>
        <v/>
      </c>
    </row>
    <row r="2587">
      <c r="A2587" t="inlineStr">
        <is>
          <t>T-AAFC-2026-P08-006</t>
        </is>
      </c>
      <c r="B2587" t="inlineStr">
        <is>
          <t>MPSES</t>
        </is>
      </c>
      <c r="C2587" t="inlineStr">
        <is>
          <t>Director of Communications</t>
        </is>
      </c>
      <c r="D2587" t="inlineStr">
        <is>
          <t>Directrice des communications</t>
        </is>
      </c>
      <c r="E2587" t="inlineStr">
        <is>
          <t>Jennica Klassen</t>
        </is>
      </c>
      <c r="F2587" t="inlineStr">
        <is>
          <t>To support the Minister attending an Outreach</t>
        </is>
      </c>
      <c r="G2587" t="inlineStr">
        <is>
          <t>Soutenir le ministre à participer à une activité de sensibilisation</t>
        </is>
      </c>
      <c r="H2587" s="1" t="n">
        <v>45953</v>
      </c>
      <c r="I2587" s="1" t="n">
        <v>45955</v>
      </c>
      <c r="J2587" t="inlineStr">
        <is>
          <t>Vancouver, British Columbia, Canada</t>
        </is>
      </c>
      <c r="K2587" t="inlineStr">
        <is>
          <t>Vancouver, Colombie-Britannique, Canada</t>
        </is>
      </c>
      <c r="P2587" t="n">
        <v>1204.84</v>
      </c>
      <c r="Q2587" t="n">
        <v>59.35</v>
      </c>
      <c r="R2587" t="n">
        <v>890.58</v>
      </c>
      <c r="S2587" t="n">
        <v>290.7</v>
      </c>
      <c r="T2587" t="n">
        <v>0</v>
      </c>
      <c r="U2587" t="n">
        <v>2445.47</v>
      </c>
      <c r="X2587" t="inlineStr">
        <is>
          <t>aafc-aac</t>
        </is>
      </c>
      <c r="Y2587" t="inlineStr">
        <is>
          <t>Agriculture and Agri-Food Canada | Agriculture et Agroalimentaire Canada</t>
        </is>
      </c>
      <c r="Z2587" t="n">
        <v>3</v>
      </c>
      <c r="AA2587" t="n">
        <v>2445.47</v>
      </c>
      <c r="AB2587">
        <f>ROUND(U2587-AA2587,2)</f>
        <v/>
      </c>
      <c r="AC2587" t="b">
        <v>0</v>
      </c>
      <c r="AD2587">
        <f>IF(U2587="","MISSING_TOTAL",IF(ABS(AB2587)&lt;=0.01,"OK","CHECK"))</f>
        <v/>
      </c>
      <c r="AE2587">
        <f>IF(U2587="","MISSING",IF(AND(AA2587&gt;0,U2587/AA2587&gt;50),"POSSIBLE_SCALE_ERROR","OK"))</f>
        <v/>
      </c>
    </row>
    <row r="2588">
      <c r="A2588" t="inlineStr">
        <is>
          <t>T-AAFC-2026-P08-007</t>
        </is>
      </c>
      <c r="B2588" t="inlineStr">
        <is>
          <t>SLE</t>
        </is>
      </c>
      <c r="C2588" t="inlineStr">
        <is>
          <t>Assistant Deputy Minister, Science and Technology Branch</t>
        </is>
      </c>
      <c r="D2588" t="inlineStr">
        <is>
          <t>Sous-ministre adjointe, Direction générale des sciences et de la technologie</t>
        </is>
      </c>
      <c r="E2588" t="inlineStr">
        <is>
          <t>Arran McPherson</t>
        </is>
      </c>
      <c r="F2588" t="inlineStr">
        <is>
          <t>To participate in outreach activities</t>
        </is>
      </c>
      <c r="G2588" t="inlineStr">
        <is>
          <t>Participer aux activités de sensibilisation</t>
        </is>
      </c>
      <c r="H2588" s="1" t="n">
        <v>45958</v>
      </c>
      <c r="I2588" s="1" t="n">
        <v>45961</v>
      </c>
      <c r="J2588" t="inlineStr">
        <is>
          <t>Brandon, Manitoba, Canada</t>
        </is>
      </c>
      <c r="K2588" t="inlineStr">
        <is>
          <t>Brandon, Manitoba, Canada</t>
        </is>
      </c>
      <c r="L2588" t="inlineStr">
        <is>
          <t>Morden, Manitoba, Canada</t>
        </is>
      </c>
      <c r="M2588" t="inlineStr">
        <is>
          <t>Morden, Manitoba, Canada</t>
        </is>
      </c>
      <c r="N2588" t="inlineStr">
        <is>
          <t>Winnipeg, Manitoba, Canada</t>
        </is>
      </c>
      <c r="O2588" t="inlineStr">
        <is>
          <t>Winnipeg, Manitoba, Canada</t>
        </is>
      </c>
      <c r="P2588" t="n">
        <v>904.03</v>
      </c>
      <c r="Q2588" t="n">
        <v>104.56</v>
      </c>
      <c r="R2588" t="n">
        <v>588.74</v>
      </c>
      <c r="S2588" t="n">
        <v>371.4</v>
      </c>
      <c r="T2588" t="n">
        <v>0</v>
      </c>
      <c r="U2588" t="n">
        <v>1968.73</v>
      </c>
      <c r="X2588" t="inlineStr">
        <is>
          <t>aafc-aac</t>
        </is>
      </c>
      <c r="Y2588" t="inlineStr">
        <is>
          <t>Agriculture and Agri-Food Canada | Agriculture et Agroalimentaire Canada</t>
        </is>
      </c>
      <c r="Z2588" t="n">
        <v>4</v>
      </c>
      <c r="AA2588" t="n">
        <v>1968.73</v>
      </c>
      <c r="AB2588">
        <f>ROUND(U2588-AA2588,2)</f>
        <v/>
      </c>
      <c r="AC2588" t="b">
        <v>0</v>
      </c>
      <c r="AD2588">
        <f>IF(U2588="","MISSING_TOTAL",IF(ABS(AB2588)&lt;=0.01,"OK","CHECK"))</f>
        <v/>
      </c>
      <c r="AE2588">
        <f>IF(U2588="","MISSING",IF(AND(AA2588&gt;0,U2588/AA2588&gt;50),"POSSIBLE_SCALE_ERROR","OK"))</f>
        <v/>
      </c>
    </row>
    <row r="2589">
      <c r="A2589" t="inlineStr">
        <is>
          <t>T-AAFC-2026-P08-008</t>
        </is>
      </c>
      <c r="B2589" t="inlineStr">
        <is>
          <t>SLE</t>
        </is>
      </c>
      <c r="C2589" t="inlineStr">
        <is>
          <t>Assistant Deputy Minister, Science and Technology Branch</t>
        </is>
      </c>
      <c r="D2589" t="inlineStr">
        <is>
          <t>Sous-ministre adjointe, Direction générale des sciences et de la technologie</t>
        </is>
      </c>
      <c r="E2589" t="inlineStr">
        <is>
          <t>Arran McPherson</t>
        </is>
      </c>
      <c r="F2589" t="inlineStr">
        <is>
          <t>To attend the 2025 Assistant Deputy Minister's Forum</t>
        </is>
      </c>
      <c r="G2589" t="inlineStr">
        <is>
          <t>Participer au Forum 2025 des sous-ministres adjoints</t>
        </is>
      </c>
      <c r="H2589" s="1" t="n">
        <v>45946</v>
      </c>
      <c r="I2589" s="1" t="n">
        <v>45946</v>
      </c>
      <c r="J2589" t="inlineStr">
        <is>
          <t>Ottawa, Ontario, Canada</t>
        </is>
      </c>
      <c r="K2589" t="inlineStr">
        <is>
          <t>Ottawa, Ontario, Canada</t>
        </is>
      </c>
      <c r="P2589" t="n">
        <v>0</v>
      </c>
      <c r="Q2589" t="n">
        <v>22</v>
      </c>
      <c r="R2589" t="n">
        <v>0</v>
      </c>
      <c r="S2589" t="n">
        <v>0</v>
      </c>
      <c r="T2589" t="n">
        <v>0</v>
      </c>
      <c r="U2589" t="n">
        <v>22</v>
      </c>
      <c r="X2589" t="inlineStr">
        <is>
          <t>aafc-aac</t>
        </is>
      </c>
      <c r="Y2589" t="inlineStr">
        <is>
          <t>Agriculture and Agri-Food Canada | Agriculture et Agroalimentaire Canada</t>
        </is>
      </c>
      <c r="Z2589" t="n">
        <v>1</v>
      </c>
      <c r="AA2589" t="n">
        <v>22</v>
      </c>
      <c r="AB2589">
        <f>ROUND(U2589-AA2589,2)</f>
        <v/>
      </c>
      <c r="AC2589" t="b">
        <v>0</v>
      </c>
      <c r="AD2589">
        <f>IF(U2589="","MISSING_TOTAL",IF(ABS(AB2589)&lt;=0.01,"OK","CHECK"))</f>
        <v/>
      </c>
      <c r="AE2589">
        <f>IF(U2589="","MISSING",IF(AND(AA2589&gt;0,U2589/AA2589&gt;50),"POSSIBLE_SCALE_ERROR","OK"))</f>
        <v/>
      </c>
    </row>
    <row r="2590">
      <c r="A2590" t="inlineStr">
        <is>
          <t>T-AAFC-2026-P08-009</t>
        </is>
      </c>
      <c r="B2590" t="inlineStr">
        <is>
          <t>SLE</t>
        </is>
      </c>
      <c r="C2590" t="inlineStr">
        <is>
          <t>Associate Assistant Deputy Minister, Science and Technology Branch</t>
        </is>
      </c>
      <c r="D2590" t="inlineStr">
        <is>
          <t>Sous-ministre adjoint délégué, Direction générale des sciences et de la technologie</t>
        </is>
      </c>
      <c r="E2590" t="inlineStr">
        <is>
          <t>Andrew Goldstein</t>
        </is>
      </c>
      <c r="F2590" t="inlineStr">
        <is>
          <t>To attend the 2025 Assistant Deputy Minister's Forum</t>
        </is>
      </c>
      <c r="G2590" t="inlineStr">
        <is>
          <t>Participer au Forum 2025 des sous-ministres adjoints</t>
        </is>
      </c>
      <c r="H2590" s="1" t="n">
        <v>45946</v>
      </c>
      <c r="I2590" s="1" t="n">
        <v>45946</v>
      </c>
      <c r="J2590" t="inlineStr">
        <is>
          <t>Ottawa, Ontario, Canada</t>
        </is>
      </c>
      <c r="K2590" t="inlineStr">
        <is>
          <t>Ottawa, Ontario, Canada</t>
        </is>
      </c>
      <c r="P2590" t="n">
        <v>0</v>
      </c>
      <c r="Q2590" t="n">
        <v>25</v>
      </c>
      <c r="R2590" t="n">
        <v>0</v>
      </c>
      <c r="S2590" t="n">
        <v>0</v>
      </c>
      <c r="T2590" t="n">
        <v>0</v>
      </c>
      <c r="U2590" t="n">
        <v>25</v>
      </c>
      <c r="X2590" t="inlineStr">
        <is>
          <t>aafc-aac</t>
        </is>
      </c>
      <c r="Y2590" t="inlineStr">
        <is>
          <t>Agriculture and Agri-Food Canada | Agriculture et Agroalimentaire Canada</t>
        </is>
      </c>
      <c r="Z2590" t="n">
        <v>1</v>
      </c>
      <c r="AA2590" t="n">
        <v>25</v>
      </c>
      <c r="AB2590">
        <f>ROUND(U2590-AA2590,2)</f>
        <v/>
      </c>
      <c r="AC2590" t="b">
        <v>0</v>
      </c>
      <c r="AD2590">
        <f>IF(U2590="","MISSING_TOTAL",IF(ABS(AB2590)&lt;=0.01,"OK","CHECK"))</f>
        <v/>
      </c>
      <c r="AE2590">
        <f>IF(U2590="","MISSING",IF(AND(AA2590&gt;0,U2590/AA2590&gt;50),"POSSIBLE_SCALE_ERROR","OK"))</f>
        <v/>
      </c>
    </row>
    <row r="2591">
      <c r="A2591" t="inlineStr">
        <is>
          <t>T-AAFC-2026-P08-010</t>
        </is>
      </c>
      <c r="B2591" t="inlineStr">
        <is>
          <t>SLE</t>
        </is>
      </c>
      <c r="C2591" t="inlineStr">
        <is>
          <t>Assistant Deputy Minister, Corporate Management Branch</t>
        </is>
      </c>
      <c r="D2591" t="inlineStr">
        <is>
          <t>Sous-ministre adjoint, Direction générale de la gestion intégrée</t>
        </is>
      </c>
      <c r="E2591" t="inlineStr">
        <is>
          <t>Alain Lagacé</t>
        </is>
      </c>
      <c r="F2591" t="inlineStr">
        <is>
          <t>To attend meetings</t>
        </is>
      </c>
      <c r="G2591" t="inlineStr">
        <is>
          <t>Assister à des réunions</t>
        </is>
      </c>
      <c r="H2591" s="1" t="n">
        <v>45964</v>
      </c>
      <c r="I2591" s="1" t="n">
        <v>45966</v>
      </c>
      <c r="J2591" t="inlineStr">
        <is>
          <t>Ottawa, Ontario, Canada</t>
        </is>
      </c>
      <c r="K2591" t="inlineStr">
        <is>
          <t>Ottawa, Ontario, Canada</t>
        </is>
      </c>
      <c r="P2591" t="n">
        <v>0</v>
      </c>
      <c r="Q2591" t="n">
        <v>35.5</v>
      </c>
      <c r="R2591" t="n">
        <v>0</v>
      </c>
      <c r="S2591" t="n">
        <v>0</v>
      </c>
      <c r="T2591" t="n">
        <v>0</v>
      </c>
      <c r="U2591" t="n">
        <v>35.5</v>
      </c>
      <c r="X2591" t="inlineStr">
        <is>
          <t>aafc-aac</t>
        </is>
      </c>
      <c r="Y2591" t="inlineStr">
        <is>
          <t>Agriculture and Agri-Food Canada | Agriculture et Agroalimentaire Canada</t>
        </is>
      </c>
      <c r="Z2591" t="n">
        <v>3</v>
      </c>
      <c r="AA2591" t="n">
        <v>35.5</v>
      </c>
      <c r="AB2591">
        <f>ROUND(U2591-AA2591,2)</f>
        <v/>
      </c>
      <c r="AC2591" t="b">
        <v>0</v>
      </c>
      <c r="AD2591">
        <f>IF(U2591="","MISSING_TOTAL",IF(ABS(AB2591)&lt;=0.01,"OK","CHECK"))</f>
        <v/>
      </c>
      <c r="AE2591">
        <f>IF(U2591="","MISSING",IF(AND(AA2591&gt;0,U2591/AA2591&gt;50),"POSSIBLE_SCALE_ERROR","OK"))</f>
        <v/>
      </c>
    </row>
    <row r="2592">
      <c r="A2592" t="inlineStr">
        <is>
          <t>T-AAFC-2026-P08-011</t>
        </is>
      </c>
      <c r="B2592" t="inlineStr">
        <is>
          <t>SLE</t>
        </is>
      </c>
      <c r="C2592" t="inlineStr">
        <is>
          <t>Assistant Deputy Minister, Corporate Management Branch</t>
        </is>
      </c>
      <c r="D2592" t="inlineStr">
        <is>
          <t>Sous-ministre adjoint, Direction générale de la gestion intégrée</t>
        </is>
      </c>
      <c r="E2592" t="inlineStr">
        <is>
          <t>Alain Lagacé</t>
        </is>
      </c>
      <c r="F2592" t="inlineStr">
        <is>
          <t>To attend a meeting</t>
        </is>
      </c>
      <c r="G2592" t="inlineStr">
        <is>
          <t>Assister à une réunion</t>
        </is>
      </c>
      <c r="H2592" s="1" t="n">
        <v>45975</v>
      </c>
      <c r="I2592" s="1" t="n">
        <v>45975</v>
      </c>
      <c r="J2592" t="inlineStr">
        <is>
          <t>Ottawa, Ontario, Canada</t>
        </is>
      </c>
      <c r="K2592" t="inlineStr">
        <is>
          <t>Ottawa, Ontario, Canada</t>
        </is>
      </c>
      <c r="P2592" t="n">
        <v>0</v>
      </c>
      <c r="Q2592" t="n">
        <v>21</v>
      </c>
      <c r="R2592" t="n">
        <v>0</v>
      </c>
      <c r="S2592" t="n">
        <v>0</v>
      </c>
      <c r="T2592" t="n">
        <v>0</v>
      </c>
      <c r="U2592" t="n">
        <v>21</v>
      </c>
      <c r="X2592" t="inlineStr">
        <is>
          <t>aafc-aac</t>
        </is>
      </c>
      <c r="Y2592" t="inlineStr">
        <is>
          <t>Agriculture and Agri-Food Canada | Agriculture et Agroalimentaire Canada</t>
        </is>
      </c>
      <c r="Z2592" t="n">
        <v>1</v>
      </c>
      <c r="AA2592" t="n">
        <v>21</v>
      </c>
      <c r="AB2592">
        <f>ROUND(U2592-AA2592,2)</f>
        <v/>
      </c>
      <c r="AC2592" t="b">
        <v>0</v>
      </c>
      <c r="AD2592">
        <f>IF(U2592="","MISSING_TOTAL",IF(ABS(AB2592)&lt;=0.01,"OK","CHECK"))</f>
        <v/>
      </c>
      <c r="AE2592">
        <f>IF(U2592="","MISSING",IF(AND(AA2592&gt;0,U2592/AA2592&gt;50),"POSSIBLE_SCALE_ERROR","OK"))</f>
        <v/>
      </c>
    </row>
    <row r="2593">
      <c r="A2593" t="inlineStr">
        <is>
          <t>T-AAFC-2026-P08-012</t>
        </is>
      </c>
      <c r="B2593" t="inlineStr">
        <is>
          <t>SLE</t>
        </is>
      </c>
      <c r="C2593" t="inlineStr">
        <is>
          <t>Assistant Deputy Minister, Programs Branch</t>
        </is>
      </c>
      <c r="D2593" t="inlineStr">
        <is>
          <t>Sous-ministre adjointe, Direction générale des programmes</t>
        </is>
      </c>
      <c r="E2593" t="inlineStr">
        <is>
          <t>Liz Foster</t>
        </is>
      </c>
      <c r="F2593" t="inlineStr">
        <is>
          <t>To attend the 2025 Remembrance Day Wreath-Laying Ceremony</t>
        </is>
      </c>
      <c r="G2593" t="inlineStr">
        <is>
          <t>Assister à la cérémonie de dépôt de couronnes du jour du Souvenir 2025</t>
        </is>
      </c>
      <c r="H2593" s="1" t="n">
        <v>45972</v>
      </c>
      <c r="I2593" s="1" t="n">
        <v>45972</v>
      </c>
      <c r="J2593" t="inlineStr">
        <is>
          <t>Ottawa, Ontario, Canada</t>
        </is>
      </c>
      <c r="K2593" t="inlineStr">
        <is>
          <t>Ottawa, Ontario, Canada</t>
        </is>
      </c>
      <c r="P2593" t="n">
        <v>0</v>
      </c>
      <c r="Q2593" t="n">
        <v>20</v>
      </c>
      <c r="R2593" t="n">
        <v>0</v>
      </c>
      <c r="S2593" t="n">
        <v>0</v>
      </c>
      <c r="T2593" t="n">
        <v>0</v>
      </c>
      <c r="U2593" t="n">
        <v>20</v>
      </c>
      <c r="X2593" t="inlineStr">
        <is>
          <t>aafc-aac</t>
        </is>
      </c>
      <c r="Y2593" t="inlineStr">
        <is>
          <t>Agriculture and Agri-Food Canada | Agriculture et Agroalimentaire Canada</t>
        </is>
      </c>
      <c r="Z2593" t="n">
        <v>1</v>
      </c>
      <c r="AA2593" t="n">
        <v>20</v>
      </c>
      <c r="AB2593">
        <f>ROUND(U2593-AA2593,2)</f>
        <v/>
      </c>
      <c r="AC2593" t="b">
        <v>0</v>
      </c>
      <c r="AD2593">
        <f>IF(U2593="","MISSING_TOTAL",IF(ABS(AB2593)&lt;=0.01,"OK","CHECK"))</f>
        <v/>
      </c>
      <c r="AE2593">
        <f>IF(U2593="","MISSING",IF(AND(AA2593&gt;0,U2593/AA2593&gt;50),"POSSIBLE_SCALE_ERROR","OK"))</f>
        <v/>
      </c>
    </row>
    <row r="2594">
      <c r="A2594" t="inlineStr">
        <is>
          <t>T-AAFC-2026-P08-013</t>
        </is>
      </c>
      <c r="B2594" t="inlineStr">
        <is>
          <t>SLE</t>
        </is>
      </c>
      <c r="C2594" t="inlineStr">
        <is>
          <t>Assistant Deputy Minister, Market and Industry Services Branch</t>
        </is>
      </c>
      <c r="D2594" t="inlineStr">
        <is>
          <t>Sous-ministre adjoint, Direction générale des services à l'industrie et aux marchés</t>
        </is>
      </c>
      <c r="E2594" t="inlineStr">
        <is>
          <t>Tom Rosser</t>
        </is>
      </c>
      <c r="F2594" t="inlineStr">
        <is>
          <t>To attend the G7 Summit</t>
        </is>
      </c>
      <c r="G2594" t="inlineStr">
        <is>
          <t>Assister au Sommet du G7</t>
        </is>
      </c>
      <c r="H2594" s="1" t="n">
        <v>45950</v>
      </c>
      <c r="I2594" s="1" t="n">
        <v>45953</v>
      </c>
      <c r="J2594" t="inlineStr">
        <is>
          <t>Montréal, Quebec, Canada</t>
        </is>
      </c>
      <c r="K2594" t="inlineStr">
        <is>
          <t>Montréal, Québec, Canada</t>
        </is>
      </c>
      <c r="P2594" t="n">
        <v>0</v>
      </c>
      <c r="Q2594" t="n">
        <v>306.03</v>
      </c>
      <c r="R2594" t="n">
        <v>817.53</v>
      </c>
      <c r="S2594" t="n">
        <v>290.15</v>
      </c>
      <c r="T2594" t="n">
        <v>0</v>
      </c>
      <c r="U2594" t="n">
        <v>1413.71</v>
      </c>
      <c r="X2594" t="inlineStr">
        <is>
          <t>aafc-aac</t>
        </is>
      </c>
      <c r="Y2594" t="inlineStr">
        <is>
          <t>Agriculture and Agri-Food Canada | Agriculture et Agroalimentaire Canada</t>
        </is>
      </c>
      <c r="Z2594" t="n">
        <v>4</v>
      </c>
      <c r="AA2594" t="n">
        <v>1413.71</v>
      </c>
      <c r="AB2594">
        <f>ROUND(U2594-AA2594,2)</f>
        <v/>
      </c>
      <c r="AC2594" t="b">
        <v>0</v>
      </c>
      <c r="AD2594">
        <f>IF(U2594="","MISSING_TOTAL",IF(ABS(AB2594)&lt;=0.01,"OK","CHECK"))</f>
        <v/>
      </c>
      <c r="AE2594">
        <f>IF(U2594="","MISSING",IF(AND(AA2594&gt;0,U2594/AA2594&gt;50),"POSSIBLE_SCALE_ERROR","OK"))</f>
        <v/>
      </c>
    </row>
    <row r="2595">
      <c r="A2595" t="inlineStr">
        <is>
          <t>T-AAFC-2026-P08-014</t>
        </is>
      </c>
      <c r="B2595" t="inlineStr">
        <is>
          <t>SLE</t>
        </is>
      </c>
      <c r="C2595" t="inlineStr">
        <is>
          <t>Assistant Deputy Minister, Market and Industry Services Branch</t>
        </is>
      </c>
      <c r="D2595" t="inlineStr">
        <is>
          <t>Sous-ministre adjoint, Direction générale des services à l'industrie et aux marchés</t>
        </is>
      </c>
      <c r="E2595" t="inlineStr">
        <is>
          <t>Tom Rosser</t>
        </is>
      </c>
      <c r="F2595" t="inlineStr">
        <is>
          <t>To attend the Federal-Provincial-Territorial Annual Conference of Ministers of Agriculture</t>
        </is>
      </c>
      <c r="G2595" t="inlineStr">
        <is>
          <t>Assister à la conférence annuelle fédérale-provinciale-territoriale des ministres de l’Agriculture</t>
        </is>
      </c>
      <c r="H2595" s="1" t="n">
        <v>45907</v>
      </c>
      <c r="I2595" s="1" t="n">
        <v>45910</v>
      </c>
      <c r="J2595" t="inlineStr">
        <is>
          <t>Winnipeg, Manitoba, Canada</t>
        </is>
      </c>
      <c r="K2595" t="inlineStr">
        <is>
          <t>Winnipeg, Manitoba, Canada</t>
        </is>
      </c>
      <c r="P2595" t="n">
        <v>826.79</v>
      </c>
      <c r="Q2595" t="n">
        <v>110</v>
      </c>
      <c r="R2595" t="n">
        <v>670.77</v>
      </c>
      <c r="S2595" t="n">
        <v>209.1</v>
      </c>
      <c r="T2595" t="n">
        <v>0</v>
      </c>
      <c r="U2595" t="n">
        <v>1816.66</v>
      </c>
      <c r="X2595" t="inlineStr">
        <is>
          <t>aafc-aac</t>
        </is>
      </c>
      <c r="Y2595" t="inlineStr">
        <is>
          <t>Agriculture and Agri-Food Canada | Agriculture et Agroalimentaire Canada</t>
        </is>
      </c>
      <c r="Z2595" t="n">
        <v>4</v>
      </c>
      <c r="AA2595" t="n">
        <v>1816.65999999999</v>
      </c>
      <c r="AB2595">
        <f>ROUND(U2595-AA2595,2)</f>
        <v/>
      </c>
      <c r="AC2595" t="b">
        <v>0</v>
      </c>
      <c r="AD2595">
        <f>IF(U2595="","MISSING_TOTAL",IF(ABS(AB2595)&lt;=0.01,"OK","CHECK"))</f>
        <v/>
      </c>
      <c r="AE2595">
        <f>IF(U2595="","MISSING",IF(AND(AA2595&gt;0,U2595/AA2595&gt;50),"POSSIBLE_SCALE_ERROR","OK"))</f>
        <v/>
      </c>
    </row>
    <row r="2596">
      <c r="A2596" t="inlineStr">
        <is>
          <t>T-AAFC-2026-P09-001</t>
        </is>
      </c>
      <c r="B2596" t="inlineStr">
        <is>
          <t>MPSES</t>
        </is>
      </c>
      <c r="C2596" t="inlineStr">
        <is>
          <t>Minister</t>
        </is>
      </c>
      <c r="D2596" t="inlineStr">
        <is>
          <t>Ministre</t>
        </is>
      </c>
      <c r="E2596" t="inlineStr">
        <is>
          <t>Heath MacDonald</t>
        </is>
      </c>
      <c r="F2596" t="inlineStr">
        <is>
          <t>To attend an Outreach</t>
        </is>
      </c>
      <c r="G2596" t="inlineStr">
        <is>
          <t>Participer à une activité de sensibilisation</t>
        </is>
      </c>
      <c r="H2596" s="1" t="n">
        <v>45953</v>
      </c>
      <c r="I2596" s="1" t="n">
        <v>45955</v>
      </c>
      <c r="J2596" t="inlineStr">
        <is>
          <t>Vancouver, British Columbia, Canada</t>
        </is>
      </c>
      <c r="K2596" t="inlineStr">
        <is>
          <t>Vancouver, Colombie-Britannique, Canada</t>
        </is>
      </c>
      <c r="P2596" t="n">
        <v>707.34</v>
      </c>
      <c r="Q2596" t="n">
        <v>0</v>
      </c>
      <c r="R2596" t="n">
        <v>890.58</v>
      </c>
      <c r="S2596" t="n">
        <v>214.75</v>
      </c>
      <c r="T2596" t="n">
        <v>0</v>
      </c>
      <c r="U2596" t="n">
        <v>1812.67</v>
      </c>
      <c r="X2596" t="inlineStr">
        <is>
          <t>aafc-aac</t>
        </is>
      </c>
      <c r="Y2596" t="inlineStr">
        <is>
          <t>Agriculture and Agri-Food Canada | Agriculture et Agroalimentaire Canada</t>
        </is>
      </c>
      <c r="Z2596" t="n">
        <v>3</v>
      </c>
      <c r="AA2596" t="n">
        <v>1812.67</v>
      </c>
      <c r="AB2596">
        <f>ROUND(U2596-AA2596,2)</f>
        <v/>
      </c>
      <c r="AC2596" t="b">
        <v>0</v>
      </c>
      <c r="AD2596">
        <f>IF(U2596="","MISSING_TOTAL",IF(ABS(AB2596)&lt;=0.01,"OK","CHECK"))</f>
        <v/>
      </c>
      <c r="AE2596">
        <f>IF(U2596="","MISSING",IF(AND(AA2596&gt;0,U2596/AA2596&gt;50),"POSSIBLE_SCALE_ERROR","OK"))</f>
        <v/>
      </c>
    </row>
    <row r="2597">
      <c r="A2597" t="inlineStr">
        <is>
          <t>T-AAFC-2026-P09-002</t>
        </is>
      </c>
      <c r="B2597" t="inlineStr">
        <is>
          <t>MPSES</t>
        </is>
      </c>
      <c r="C2597" t="inlineStr">
        <is>
          <t>Minister</t>
        </is>
      </c>
      <c r="D2597" t="inlineStr">
        <is>
          <t>Ministre</t>
        </is>
      </c>
      <c r="E2597" t="inlineStr">
        <is>
          <t>Heath MacDonald</t>
        </is>
      </c>
      <c r="F2597" t="inlineStr">
        <is>
          <t>To attend an Outreach</t>
        </is>
      </c>
      <c r="G2597" t="inlineStr">
        <is>
          <t>Participer à une activité de sensibilisation</t>
        </is>
      </c>
      <c r="H2597" s="1" t="n">
        <v>45994</v>
      </c>
      <c r="I2597" s="1" t="n">
        <v>45996</v>
      </c>
      <c r="J2597" t="inlineStr">
        <is>
          <t>Québec, Quebec, Canada</t>
        </is>
      </c>
      <c r="K2597" t="inlineStr">
        <is>
          <t>Québec, Québec, Canada</t>
        </is>
      </c>
      <c r="L2597" t="inlineStr">
        <is>
          <t>Saint-Apollinaire, Quebec, Canada</t>
        </is>
      </c>
      <c r="M2597" t="inlineStr">
        <is>
          <t>Saint-Apollinaire, Québec, Canada</t>
        </is>
      </c>
      <c r="P2597" t="n">
        <v>1458.95</v>
      </c>
      <c r="Q2597" t="n">
        <v>0</v>
      </c>
      <c r="R2597" t="n">
        <v>426.02</v>
      </c>
      <c r="S2597" t="n">
        <v>261.1</v>
      </c>
      <c r="T2597" t="n">
        <v>0</v>
      </c>
      <c r="U2597" t="n">
        <v>2146.07</v>
      </c>
      <c r="X2597" t="inlineStr">
        <is>
          <t>aafc-aac</t>
        </is>
      </c>
      <c r="Y2597" t="inlineStr">
        <is>
          <t>Agriculture and Agri-Food Canada | Agriculture et Agroalimentaire Canada</t>
        </is>
      </c>
      <c r="Z2597" t="n">
        <v>3</v>
      </c>
      <c r="AA2597" t="n">
        <v>2146.07</v>
      </c>
      <c r="AB2597">
        <f>ROUND(U2597-AA2597,2)</f>
        <v/>
      </c>
      <c r="AC2597" t="b">
        <v>0</v>
      </c>
      <c r="AD2597">
        <f>IF(U2597="","MISSING_TOTAL",IF(ABS(AB2597)&lt;=0.01,"OK","CHECK"))</f>
        <v/>
      </c>
      <c r="AE2597">
        <f>IF(U2597="","MISSING",IF(AND(AA2597&gt;0,U2597/AA2597&gt;50),"POSSIBLE_SCALE_ERROR","OK"))</f>
        <v/>
      </c>
    </row>
    <row r="2598">
      <c r="A2598" t="inlineStr">
        <is>
          <t>T-AAFC-2026-P09-003</t>
        </is>
      </c>
      <c r="B2598" t="inlineStr">
        <is>
          <t>MPSES</t>
        </is>
      </c>
      <c r="C2598" t="inlineStr">
        <is>
          <t>Chief of Staff</t>
        </is>
      </c>
      <c r="D2598" t="inlineStr">
        <is>
          <t>Chef de Cabinet</t>
        </is>
      </c>
      <c r="E2598" t="inlineStr">
        <is>
          <t>Guy Gallant</t>
        </is>
      </c>
      <c r="F2598" t="inlineStr">
        <is>
          <t>To support the Minister on a Ministerial Mission</t>
        </is>
      </c>
      <c r="G2598" t="inlineStr">
        <is>
          <t>Soutenir le ministre dans le cadre d'une mission ministérielle</t>
        </is>
      </c>
      <c r="H2598" s="1" t="n">
        <v>45954</v>
      </c>
      <c r="I2598" s="1" t="n">
        <v>45964</v>
      </c>
      <c r="J2598" t="inlineStr">
        <is>
          <t>Shanghai, China</t>
        </is>
      </c>
      <c r="K2598" t="inlineStr">
        <is>
          <t>Shanghai, Chine</t>
        </is>
      </c>
      <c r="L2598" t="inlineStr">
        <is>
          <t>Beijing, China</t>
        </is>
      </c>
      <c r="M2598" t="inlineStr">
        <is>
          <t>Beijing, Chine</t>
        </is>
      </c>
      <c r="N2598" t="inlineStr">
        <is>
          <t>Qingdao, China</t>
        </is>
      </c>
      <c r="O2598" t="inlineStr">
        <is>
          <t>Qingdao, Chine</t>
        </is>
      </c>
      <c r="P2598" t="n">
        <v>10039.43</v>
      </c>
      <c r="Q2598" t="n">
        <v>651.75</v>
      </c>
      <c r="R2598" t="n">
        <v>2285.23</v>
      </c>
      <c r="S2598" t="n">
        <v>1921.28</v>
      </c>
      <c r="T2598" t="n">
        <v>0</v>
      </c>
      <c r="U2598" t="n">
        <v>14897.69</v>
      </c>
      <c r="X2598" t="inlineStr">
        <is>
          <t>aafc-aac</t>
        </is>
      </c>
      <c r="Y2598" t="inlineStr">
        <is>
          <t>Agriculture and Agri-Food Canada | Agriculture et Agroalimentaire Canada</t>
        </is>
      </c>
      <c r="Z2598" t="n">
        <v>11</v>
      </c>
      <c r="AA2598" t="n">
        <v>14897.69</v>
      </c>
      <c r="AB2598">
        <f>ROUND(U2598-AA2598,2)</f>
        <v/>
      </c>
      <c r="AC2598" t="b">
        <v>0</v>
      </c>
      <c r="AD2598">
        <f>IF(U2598="","MISSING_TOTAL",IF(ABS(AB2598)&lt;=0.01,"OK","CHECK"))</f>
        <v/>
      </c>
      <c r="AE2598">
        <f>IF(U2598="","MISSING",IF(AND(AA2598&gt;0,U2598/AA2598&gt;50),"POSSIBLE_SCALE_ERROR","OK"))</f>
        <v/>
      </c>
    </row>
    <row r="2599">
      <c r="A2599" t="inlineStr">
        <is>
          <t>T-AAFC-2026-P09-004</t>
        </is>
      </c>
      <c r="B2599" t="inlineStr">
        <is>
          <t>MPSES</t>
        </is>
      </c>
      <c r="C2599" t="inlineStr">
        <is>
          <t>Chief of Staff</t>
        </is>
      </c>
      <c r="D2599" t="inlineStr">
        <is>
          <t>Chef de Cabinet</t>
        </is>
      </c>
      <c r="E2599" t="inlineStr">
        <is>
          <t>Guy Gallant</t>
        </is>
      </c>
      <c r="F2599" t="inlineStr">
        <is>
          <t>To support the Minister attending an Outreach</t>
        </is>
      </c>
      <c r="G2599" t="inlineStr">
        <is>
          <t>Soutenir la participation du ministre à une activité de sensibilisation</t>
        </is>
      </c>
      <c r="H2599" s="1" t="n">
        <v>45994</v>
      </c>
      <c r="I2599" s="1" t="n">
        <v>45995</v>
      </c>
      <c r="J2599" t="inlineStr">
        <is>
          <t>Québec, Quebec, Canada</t>
        </is>
      </c>
      <c r="K2599" t="inlineStr">
        <is>
          <t>Québec, Québec, Canada</t>
        </is>
      </c>
      <c r="L2599" t="inlineStr">
        <is>
          <t>Saint-Apollinaire, Quebec, Canada</t>
        </is>
      </c>
      <c r="M2599" t="inlineStr">
        <is>
          <t>Saint-Apollinaire, Québec, Canada</t>
        </is>
      </c>
      <c r="P2599" t="n">
        <v>1293.33</v>
      </c>
      <c r="Q2599" t="n">
        <v>0</v>
      </c>
      <c r="R2599" t="n">
        <v>426.02</v>
      </c>
      <c r="S2599" t="n">
        <v>261.1</v>
      </c>
      <c r="T2599" t="n">
        <v>0</v>
      </c>
      <c r="U2599" t="n">
        <v>1980.45</v>
      </c>
      <c r="X2599" t="inlineStr">
        <is>
          <t>aafc-aac</t>
        </is>
      </c>
      <c r="Y2599" t="inlineStr">
        <is>
          <t>Agriculture and Agri-Food Canada | Agriculture et Agroalimentaire Canada</t>
        </is>
      </c>
      <c r="Z2599" t="n">
        <v>2</v>
      </c>
      <c r="AA2599" t="n">
        <v>1980.44999999999</v>
      </c>
      <c r="AB2599">
        <f>ROUND(U2599-AA2599,2)</f>
        <v/>
      </c>
      <c r="AC2599" t="b">
        <v>0</v>
      </c>
      <c r="AD2599">
        <f>IF(U2599="","MISSING_TOTAL",IF(ABS(AB2599)&lt;=0.01,"OK","CHECK"))</f>
        <v/>
      </c>
      <c r="AE2599">
        <f>IF(U2599="","MISSING",IF(AND(AA2599&gt;0,U2599/AA2599&gt;50),"POSSIBLE_SCALE_ERROR","OK"))</f>
        <v/>
      </c>
    </row>
    <row r="2600">
      <c r="A2600" t="inlineStr">
        <is>
          <t>T-AAFC-2026-P09-005</t>
        </is>
      </c>
      <c r="B2600" t="inlineStr">
        <is>
          <t>MPSES</t>
        </is>
      </c>
      <c r="C2600" t="inlineStr">
        <is>
          <t>Director of Policy</t>
        </is>
      </c>
      <c r="D2600" t="inlineStr">
        <is>
          <t>Directrice des politiques</t>
        </is>
      </c>
      <c r="E2600" t="inlineStr">
        <is>
          <t>Serena Smith</t>
        </is>
      </c>
      <c r="F2600" t="inlineStr">
        <is>
          <t>To support the Minister attending the Agribition Outreach</t>
        </is>
      </c>
      <c r="G2600" t="inlineStr">
        <is>
          <t>Soutenir la participation du ministre à une activité de sensibilisation de l'Agribition</t>
        </is>
      </c>
      <c r="H2600" s="1" t="n">
        <v>45984</v>
      </c>
      <c r="I2600" s="1" t="n">
        <v>45987</v>
      </c>
      <c r="J2600" t="inlineStr">
        <is>
          <t>Regina, Saskatchewan, Canada</t>
        </is>
      </c>
      <c r="K2600" t="inlineStr">
        <is>
          <t>Regina, Saskatchewan, Canada</t>
        </is>
      </c>
      <c r="P2600" t="n">
        <v>1650.22</v>
      </c>
      <c r="Q2600" t="n">
        <v>37.19</v>
      </c>
      <c r="R2600" t="n">
        <v>799.2</v>
      </c>
      <c r="S2600" t="n">
        <v>397.8</v>
      </c>
      <c r="T2600" t="n">
        <v>0</v>
      </c>
      <c r="U2600" t="n">
        <v>2884.41</v>
      </c>
      <c r="X2600" t="inlineStr">
        <is>
          <t>aafc-aac</t>
        </is>
      </c>
      <c r="Y2600" t="inlineStr">
        <is>
          <t>Agriculture and Agri-Food Canada | Agriculture et Agroalimentaire Canada</t>
        </is>
      </c>
      <c r="Z2600" t="n">
        <v>4</v>
      </c>
      <c r="AA2600" t="n">
        <v>2884.41</v>
      </c>
      <c r="AB2600">
        <f>ROUND(U2600-AA2600,2)</f>
        <v/>
      </c>
      <c r="AC2600" t="b">
        <v>0</v>
      </c>
      <c r="AD2600">
        <f>IF(U2600="","MISSING_TOTAL",IF(ABS(AB2600)&lt;=0.01,"OK","CHECK"))</f>
        <v/>
      </c>
      <c r="AE2600">
        <f>IF(U2600="","MISSING",IF(AND(AA2600&gt;0,U2600/AA2600&gt;50),"POSSIBLE_SCALE_ERROR","OK"))</f>
        <v/>
      </c>
    </row>
    <row r="2601">
      <c r="A2601" t="inlineStr">
        <is>
          <t>T-AAFC-2026-P09-006</t>
        </is>
      </c>
      <c r="B2601" t="inlineStr">
        <is>
          <t>MPSES</t>
        </is>
      </c>
      <c r="C2601" t="inlineStr">
        <is>
          <t>Director of Operations</t>
        </is>
      </c>
      <c r="D2601" t="inlineStr">
        <is>
          <t>Directrice des opérations</t>
        </is>
      </c>
      <c r="E2601" t="inlineStr">
        <is>
          <t>Mikaela Harrison</t>
        </is>
      </c>
      <c r="F2601" t="inlineStr">
        <is>
          <t>To support the Minister attending the Agribition Outreach</t>
        </is>
      </c>
      <c r="G2601" t="inlineStr">
        <is>
          <t>Soutenir la participation du ministre à une activité de sensibilisation de l'Agribition</t>
        </is>
      </c>
      <c r="H2601" s="1" t="n">
        <v>45984</v>
      </c>
      <c r="I2601" s="1" t="n">
        <v>45987</v>
      </c>
      <c r="J2601" t="inlineStr">
        <is>
          <t>Regina, Saskatchewan, Canada</t>
        </is>
      </c>
      <c r="K2601" t="inlineStr">
        <is>
          <t>Regina, Saskatchewan, Canada</t>
        </is>
      </c>
      <c r="P2601" t="n">
        <v>1650.22</v>
      </c>
      <c r="Q2601" t="n">
        <v>0</v>
      </c>
      <c r="R2601" t="n">
        <v>799.2</v>
      </c>
      <c r="S2601" t="n">
        <v>397.8</v>
      </c>
      <c r="T2601" t="n">
        <v>0</v>
      </c>
      <c r="U2601" t="n">
        <v>2847.22</v>
      </c>
      <c r="X2601" t="inlineStr">
        <is>
          <t>aafc-aac</t>
        </is>
      </c>
      <c r="Y2601" t="inlineStr">
        <is>
          <t>Agriculture and Agri-Food Canada | Agriculture et Agroalimentaire Canada</t>
        </is>
      </c>
      <c r="Z2601" t="n">
        <v>4</v>
      </c>
      <c r="AA2601" t="n">
        <v>2847.22</v>
      </c>
      <c r="AB2601">
        <f>ROUND(U2601-AA2601,2)</f>
        <v/>
      </c>
      <c r="AC2601" t="b">
        <v>0</v>
      </c>
      <c r="AD2601">
        <f>IF(U2601="","MISSING_TOTAL",IF(ABS(AB2601)&lt;=0.01,"OK","CHECK"))</f>
        <v/>
      </c>
      <c r="AE2601">
        <f>IF(U2601="","MISSING",IF(AND(AA2601&gt;0,U2601/AA2601&gt;50),"POSSIBLE_SCALE_ERROR","OK"))</f>
        <v/>
      </c>
    </row>
    <row r="2602">
      <c r="A2602" t="inlineStr">
        <is>
          <t>T-AAFC-2026-P09-007</t>
        </is>
      </c>
      <c r="B2602" t="inlineStr">
        <is>
          <t>MPSES</t>
        </is>
      </c>
      <c r="C2602" t="inlineStr">
        <is>
          <t>Special Assistant</t>
        </is>
      </c>
      <c r="D2602" t="inlineStr">
        <is>
          <t>Adjointe spéciale</t>
        </is>
      </c>
      <c r="E2602" t="inlineStr">
        <is>
          <t>Yasmin Veiga</t>
        </is>
      </c>
      <c r="F2602" t="inlineStr">
        <is>
          <t>To support the Minister to attend an Outreach</t>
        </is>
      </c>
      <c r="G2602" t="inlineStr">
        <is>
          <t>Soutenir la participation du ministre à une activité de sensibilisation</t>
        </is>
      </c>
      <c r="H2602" s="1" t="n">
        <v>45994</v>
      </c>
      <c r="I2602" s="1" t="n">
        <v>45996</v>
      </c>
      <c r="J2602" t="inlineStr">
        <is>
          <t>Québec, Quebec, Canada</t>
        </is>
      </c>
      <c r="K2602" t="inlineStr">
        <is>
          <t>Québec, Québec, Canada</t>
        </is>
      </c>
      <c r="L2602" t="inlineStr">
        <is>
          <t>Saint-Apollinaire, Quebec, Canada</t>
        </is>
      </c>
      <c r="M2602" t="inlineStr">
        <is>
          <t>Saint-Apollinaire, Québec, Canada</t>
        </is>
      </c>
      <c r="P2602" t="n">
        <v>1349.72</v>
      </c>
      <c r="Q2602" t="n">
        <v>102.71</v>
      </c>
      <c r="R2602" t="n">
        <v>426.02</v>
      </c>
      <c r="S2602" t="n">
        <v>261.1</v>
      </c>
      <c r="T2602" t="n">
        <v>0</v>
      </c>
      <c r="U2602" t="n">
        <v>2139.55</v>
      </c>
      <c r="X2602" t="inlineStr">
        <is>
          <t>aafc-aac</t>
        </is>
      </c>
      <c r="Y2602" t="inlineStr">
        <is>
          <t>Agriculture and Agri-Food Canada | Agriculture et Agroalimentaire Canada</t>
        </is>
      </c>
      <c r="Z2602" t="n">
        <v>3</v>
      </c>
      <c r="AA2602" t="n">
        <v>2139.55</v>
      </c>
      <c r="AB2602">
        <f>ROUND(U2602-AA2602,2)</f>
        <v/>
      </c>
      <c r="AC2602" t="b">
        <v>0</v>
      </c>
      <c r="AD2602">
        <f>IF(U2602="","MISSING_TOTAL",IF(ABS(AB2602)&lt;=0.01,"OK","CHECK"))</f>
        <v/>
      </c>
      <c r="AE2602">
        <f>IF(U2602="","MISSING",IF(AND(AA2602&gt;0,U2602/AA2602&gt;50),"POSSIBLE_SCALE_ERROR","OK"))</f>
        <v/>
      </c>
    </row>
    <row r="2603">
      <c r="A2603" t="inlineStr">
        <is>
          <t>T-AAFC-2026-P09-008</t>
        </is>
      </c>
      <c r="B2603" t="inlineStr">
        <is>
          <t>MPSES</t>
        </is>
      </c>
      <c r="C2603" t="inlineStr">
        <is>
          <t>Parliamentary Secretary</t>
        </is>
      </c>
      <c r="D2603" t="inlineStr">
        <is>
          <t>Secrétaire parlementaire</t>
        </is>
      </c>
      <c r="E2603" t="inlineStr">
        <is>
          <t>Sophie Chatel</t>
        </is>
      </c>
      <c r="F2603" t="inlineStr">
        <is>
          <t>To support the Minister to attend an Outreach</t>
        </is>
      </c>
      <c r="G2603" t="inlineStr">
        <is>
          <t>Soutenir la participation du ministre à une activité de sensibilisation</t>
        </is>
      </c>
      <c r="H2603" s="1" t="n">
        <v>45994</v>
      </c>
      <c r="I2603" s="1" t="n">
        <v>45995</v>
      </c>
      <c r="J2603" t="inlineStr">
        <is>
          <t>Québec, Quebec, Canada</t>
        </is>
      </c>
      <c r="K2603" t="inlineStr">
        <is>
          <t>Québec, Québec, Canada</t>
        </is>
      </c>
      <c r="L2603" t="inlineStr">
        <is>
          <t>Saint-Apollinaire, Quebec, Canada</t>
        </is>
      </c>
      <c r="M2603" t="inlineStr">
        <is>
          <t>Saint-Apollinaire, Québec, Canada</t>
        </is>
      </c>
      <c r="P2603" t="n">
        <v>1428.66</v>
      </c>
      <c r="Q2603" t="n">
        <v>119.97</v>
      </c>
      <c r="R2603" t="n">
        <v>213.01</v>
      </c>
      <c r="S2603" t="n">
        <v>214.75</v>
      </c>
      <c r="T2603" t="n">
        <v>0</v>
      </c>
      <c r="U2603" t="n">
        <v>1976.39</v>
      </c>
      <c r="X2603" t="inlineStr">
        <is>
          <t>aafc-aac</t>
        </is>
      </c>
      <c r="Y2603" t="inlineStr">
        <is>
          <t>Agriculture and Agri-Food Canada | Agriculture et Agroalimentaire Canada</t>
        </is>
      </c>
      <c r="Z2603" t="n">
        <v>2</v>
      </c>
      <c r="AA2603" t="n">
        <v>1976.39</v>
      </c>
      <c r="AB2603">
        <f>ROUND(U2603-AA2603,2)</f>
        <v/>
      </c>
      <c r="AC2603" t="b">
        <v>0</v>
      </c>
      <c r="AD2603">
        <f>IF(U2603="","MISSING_TOTAL",IF(ABS(AB2603)&lt;=0.01,"OK","CHECK"))</f>
        <v/>
      </c>
      <c r="AE2603">
        <f>IF(U2603="","MISSING",IF(AND(AA2603&gt;0,U2603/AA2603&gt;50),"POSSIBLE_SCALE_ERROR","OK"))</f>
        <v/>
      </c>
    </row>
    <row r="2604">
      <c r="A2604" t="inlineStr">
        <is>
          <t>T-AAFC-2026-P09-009</t>
        </is>
      </c>
      <c r="B2604" t="inlineStr">
        <is>
          <t>MPSES</t>
        </is>
      </c>
      <c r="C2604" t="inlineStr">
        <is>
          <t>Deputy Minister</t>
        </is>
      </c>
      <c r="D2604" t="inlineStr">
        <is>
          <t>Sous-Ministre</t>
        </is>
      </c>
      <c r="E2604" t="inlineStr">
        <is>
          <t>Lawrence Hanson</t>
        </is>
      </c>
      <c r="F2604" t="inlineStr">
        <is>
          <t>To support the Minister attending the Agribition Outreach</t>
        </is>
      </c>
      <c r="G2604" t="inlineStr">
        <is>
          <t>Soutenir la participation du ministre à une activité de sensibilisation de l'Agribition</t>
        </is>
      </c>
      <c r="H2604" s="1" t="n">
        <v>45984</v>
      </c>
      <c r="I2604" s="1" t="n">
        <v>45987</v>
      </c>
      <c r="J2604" t="inlineStr">
        <is>
          <t>Regina, Saskatchewan, Canada</t>
        </is>
      </c>
      <c r="K2604" t="inlineStr">
        <is>
          <t>Regina, Saskatchewan, Canada</t>
        </is>
      </c>
      <c r="P2604" t="n">
        <v>1855.28</v>
      </c>
      <c r="Q2604" t="n">
        <v>45</v>
      </c>
      <c r="R2604" t="n">
        <v>899.1</v>
      </c>
      <c r="S2604" t="n">
        <v>217.65</v>
      </c>
      <c r="T2604" t="n">
        <v>0</v>
      </c>
      <c r="U2604" t="n">
        <v>3017.03</v>
      </c>
      <c r="X2604" t="inlineStr">
        <is>
          <t>aafc-aac</t>
        </is>
      </c>
      <c r="Y2604" t="inlineStr">
        <is>
          <t>Agriculture and Agri-Food Canada | Agriculture et Agroalimentaire Canada</t>
        </is>
      </c>
      <c r="Z2604" t="n">
        <v>4</v>
      </c>
      <c r="AA2604" t="n">
        <v>3017.03</v>
      </c>
      <c r="AB2604">
        <f>ROUND(U2604-AA2604,2)</f>
        <v/>
      </c>
      <c r="AC2604" t="b">
        <v>0</v>
      </c>
      <c r="AD2604">
        <f>IF(U2604="","MISSING_TOTAL",IF(ABS(AB2604)&lt;=0.01,"OK","CHECK"))</f>
        <v/>
      </c>
      <c r="AE2604">
        <f>IF(U2604="","MISSING",IF(AND(AA2604&gt;0,U2604/AA2604&gt;50),"POSSIBLE_SCALE_ERROR","OK"))</f>
        <v/>
      </c>
    </row>
    <row r="2605">
      <c r="A2605" t="inlineStr">
        <is>
          <t>T-AAFC-2026-P09-010</t>
        </is>
      </c>
      <c r="B2605" t="inlineStr">
        <is>
          <t>SLE</t>
        </is>
      </c>
      <c r="C2605" t="inlineStr">
        <is>
          <t>Assistant Deputy Minister, Science and Technology Branch</t>
        </is>
      </c>
      <c r="D2605" t="inlineStr">
        <is>
          <t>Sous-ministre adjointe, Direction générale des sciences et de la technologie</t>
        </is>
      </c>
      <c r="E2605" t="inlineStr">
        <is>
          <t>Arran McPherson</t>
        </is>
      </c>
      <c r="F2605" t="inlineStr">
        <is>
          <t>To attend a Ministerial briefing</t>
        </is>
      </c>
      <c r="G2605" t="inlineStr">
        <is>
          <t>Assister à une séance d’information ministérielle</t>
        </is>
      </c>
      <c r="H2605" s="1" t="n">
        <v>46002</v>
      </c>
      <c r="I2605" s="1" t="n">
        <v>46002</v>
      </c>
      <c r="J2605" t="inlineStr">
        <is>
          <t>Ottawa, Ontario, Canada</t>
        </is>
      </c>
      <c r="K2605" t="inlineStr">
        <is>
          <t>Ottawa, Ontario, Canada</t>
        </is>
      </c>
      <c r="P2605" t="n">
        <v>0</v>
      </c>
      <c r="Q2605" t="n">
        <v>31.74</v>
      </c>
      <c r="R2605" t="n">
        <v>0</v>
      </c>
      <c r="S2605" t="n">
        <v>0</v>
      </c>
      <c r="T2605" t="n">
        <v>0</v>
      </c>
      <c r="U2605" t="n">
        <v>31.74</v>
      </c>
      <c r="X2605" t="inlineStr">
        <is>
          <t>aafc-aac</t>
        </is>
      </c>
      <c r="Y2605" t="inlineStr">
        <is>
          <t>Agriculture and Agri-Food Canada | Agriculture et Agroalimentaire Canada</t>
        </is>
      </c>
      <c r="Z2605" t="n">
        <v>1</v>
      </c>
      <c r="AA2605" t="n">
        <v>31.74</v>
      </c>
      <c r="AB2605">
        <f>ROUND(U2605-AA2605,2)</f>
        <v/>
      </c>
      <c r="AC2605" t="b">
        <v>0</v>
      </c>
      <c r="AD2605">
        <f>IF(U2605="","MISSING_TOTAL",IF(ABS(AB2605)&lt;=0.01,"OK","CHECK"))</f>
        <v/>
      </c>
      <c r="AE2605">
        <f>IF(U2605="","MISSING",IF(AND(AA2605&gt;0,U2605/AA2605&gt;50),"POSSIBLE_SCALE_ERROR","OK"))</f>
        <v/>
      </c>
    </row>
    <row r="2606">
      <c r="A2606" t="inlineStr">
        <is>
          <t>T-AAFC-2026-P09-011</t>
        </is>
      </c>
      <c r="B2606" t="inlineStr">
        <is>
          <t>SLE</t>
        </is>
      </c>
      <c r="C2606" t="inlineStr">
        <is>
          <t>Associate Assistant Deputy Minister, Science and Technology Branch</t>
        </is>
      </c>
      <c r="D2606" t="inlineStr">
        <is>
          <t>Sous-ministre adjoint délégué, Direction générale des sciences et de la technologie</t>
        </is>
      </c>
      <c r="E2606" t="inlineStr">
        <is>
          <t>Andrew Goldstein</t>
        </is>
      </c>
      <c r="F2606" t="inlineStr">
        <is>
          <t>To participate in an outreach event</t>
        </is>
      </c>
      <c r="G2606" t="inlineStr">
        <is>
          <t>Participer à une activité de sensibilisation</t>
        </is>
      </c>
      <c r="H2606" s="1" t="n">
        <v>45985</v>
      </c>
      <c r="I2606" s="1" t="n">
        <v>45985</v>
      </c>
      <c r="J2606" t="inlineStr">
        <is>
          <t>Saint-Jean-sur-Richelieu, Quebec, Canada</t>
        </is>
      </c>
      <c r="K2606" t="inlineStr">
        <is>
          <t>Saint-Jean-sur-Richelieu, Québec, Canada</t>
        </is>
      </c>
      <c r="P2606" t="n">
        <v>0</v>
      </c>
      <c r="Q2606" t="n">
        <v>314.33</v>
      </c>
      <c r="R2606" t="n">
        <v>0</v>
      </c>
      <c r="S2606" t="n">
        <v>29.6</v>
      </c>
      <c r="T2606" t="n">
        <v>0</v>
      </c>
      <c r="U2606" t="n">
        <v>343.93</v>
      </c>
      <c r="X2606" t="inlineStr">
        <is>
          <t>aafc-aac</t>
        </is>
      </c>
      <c r="Y2606" t="inlineStr">
        <is>
          <t>Agriculture and Agri-Food Canada | Agriculture et Agroalimentaire Canada</t>
        </is>
      </c>
      <c r="Z2606" t="n">
        <v>1</v>
      </c>
      <c r="AA2606" t="n">
        <v>343.93</v>
      </c>
      <c r="AB2606">
        <f>ROUND(U2606-AA2606,2)</f>
        <v/>
      </c>
      <c r="AC2606" t="b">
        <v>0</v>
      </c>
      <c r="AD2606">
        <f>IF(U2606="","MISSING_TOTAL",IF(ABS(AB2606)&lt;=0.01,"OK","CHECK"))</f>
        <v/>
      </c>
      <c r="AE2606">
        <f>IF(U2606="","MISSING",IF(AND(AA2606&gt;0,U2606/AA2606&gt;50),"POSSIBLE_SCALE_ERROR","OK"))</f>
        <v/>
      </c>
    </row>
    <row r="2607">
      <c r="A2607" t="inlineStr">
        <is>
          <t>T-AAFC-2026-P09-012</t>
        </is>
      </c>
      <c r="B2607" t="inlineStr">
        <is>
          <t>SLE</t>
        </is>
      </c>
      <c r="C2607" t="inlineStr">
        <is>
          <t>Assistant Deputy Minister, Corporate Management Branch</t>
        </is>
      </c>
      <c r="D2607" t="inlineStr">
        <is>
          <t>Sous-ministre adjoint, Direction générale de la gestion intégrée</t>
        </is>
      </c>
      <c r="E2607" t="inlineStr">
        <is>
          <t>Alain Lagacé</t>
        </is>
      </c>
      <c r="F2607" t="inlineStr">
        <is>
          <t>To attend the Professional Development week</t>
        </is>
      </c>
      <c r="G2607" t="inlineStr">
        <is>
          <t>Participer à la semaine de perfectionnement professionnel</t>
        </is>
      </c>
      <c r="H2607" s="1" t="n">
        <v>45980</v>
      </c>
      <c r="I2607" s="1" t="n">
        <v>45981</v>
      </c>
      <c r="J2607" t="inlineStr">
        <is>
          <t>Ottawa, Ontario, Canada</t>
        </is>
      </c>
      <c r="K2607" t="inlineStr">
        <is>
          <t>Ottawa, Ontario, Canada</t>
        </is>
      </c>
      <c r="P2607" t="n">
        <v>0</v>
      </c>
      <c r="Q2607" t="n">
        <v>50</v>
      </c>
      <c r="R2607" t="n">
        <v>0</v>
      </c>
      <c r="S2607" t="n">
        <v>0</v>
      </c>
      <c r="T2607" t="n">
        <v>0</v>
      </c>
      <c r="U2607" t="n">
        <v>50</v>
      </c>
      <c r="X2607" t="inlineStr">
        <is>
          <t>aafc-aac</t>
        </is>
      </c>
      <c r="Y2607" t="inlineStr">
        <is>
          <t>Agriculture and Agri-Food Canada | Agriculture et Agroalimentaire Canada</t>
        </is>
      </c>
      <c r="Z2607" t="n">
        <v>2</v>
      </c>
      <c r="AA2607" t="n">
        <v>50</v>
      </c>
      <c r="AB2607">
        <f>ROUND(U2607-AA2607,2)</f>
        <v/>
      </c>
      <c r="AC2607" t="b">
        <v>0</v>
      </c>
      <c r="AD2607">
        <f>IF(U2607="","MISSING_TOTAL",IF(ABS(AB2607)&lt;=0.01,"OK","CHECK"))</f>
        <v/>
      </c>
      <c r="AE2607">
        <f>IF(U2607="","MISSING",IF(AND(AA2607&gt;0,U2607/AA2607&gt;50),"POSSIBLE_SCALE_ERROR","OK"))</f>
        <v/>
      </c>
    </row>
    <row r="2608">
      <c r="A2608" t="inlineStr">
        <is>
          <t>T-AAFC-2026-P09-013</t>
        </is>
      </c>
      <c r="B2608" t="inlineStr">
        <is>
          <t>SLE</t>
        </is>
      </c>
      <c r="C2608" t="inlineStr">
        <is>
          <t>Assistant Deputy Minister, Programs Branch</t>
        </is>
      </c>
      <c r="D2608" t="inlineStr">
        <is>
          <t>Sous-ministre adjointe, Direction générale des programmes</t>
        </is>
      </c>
      <c r="E2608" t="inlineStr">
        <is>
          <t>Liz Foster</t>
        </is>
      </c>
      <c r="F2608" t="inlineStr">
        <is>
          <t>To attend an Agriculture and Forestry (AGFO) meeting</t>
        </is>
      </c>
      <c r="G2608" t="inlineStr">
        <is>
          <t>Assister à une réunion Agriculture et Foresterie (AGFO)</t>
        </is>
      </c>
      <c r="H2608" s="1" t="n">
        <v>45986</v>
      </c>
      <c r="I2608" s="1" t="n">
        <v>45986</v>
      </c>
      <c r="J2608" t="inlineStr">
        <is>
          <t>Ottawa, Ontario, Canada</t>
        </is>
      </c>
      <c r="K2608" t="inlineStr">
        <is>
          <t>Ottawa, Ontario, Canada</t>
        </is>
      </c>
      <c r="P2608" t="n">
        <v>0</v>
      </c>
      <c r="Q2608" t="n">
        <v>14</v>
      </c>
      <c r="R2608" t="n">
        <v>0</v>
      </c>
      <c r="S2608" t="n">
        <v>0</v>
      </c>
      <c r="T2608" t="n">
        <v>0</v>
      </c>
      <c r="U2608" t="n">
        <v>14</v>
      </c>
      <c r="X2608" t="inlineStr">
        <is>
          <t>aafc-aac</t>
        </is>
      </c>
      <c r="Y2608" t="inlineStr">
        <is>
          <t>Agriculture and Agri-Food Canada | Agriculture et Agroalimentaire Canada</t>
        </is>
      </c>
      <c r="Z2608" t="n">
        <v>1</v>
      </c>
      <c r="AA2608" t="n">
        <v>14</v>
      </c>
      <c r="AB2608">
        <f>ROUND(U2608-AA2608,2)</f>
        <v/>
      </c>
      <c r="AC2608" t="b">
        <v>0</v>
      </c>
      <c r="AD2608">
        <f>IF(U2608="","MISSING_TOTAL",IF(ABS(AB2608)&lt;=0.01,"OK","CHECK"))</f>
        <v/>
      </c>
      <c r="AE2608">
        <f>IF(U2608="","MISSING",IF(AND(AA2608&gt;0,U2608/AA2608&gt;50),"POSSIBLE_SCALE_ERROR","OK"))</f>
        <v/>
      </c>
    </row>
    <row r="2609">
      <c r="A2609" t="inlineStr">
        <is>
          <t>T-AAFC-2026-P09-014</t>
        </is>
      </c>
      <c r="B2609" t="inlineStr">
        <is>
          <t>SLE</t>
        </is>
      </c>
      <c r="C2609" t="inlineStr">
        <is>
          <t>Assistant Deputy Minister, Market and Industry Services Branch</t>
        </is>
      </c>
      <c r="D2609" t="inlineStr">
        <is>
          <t>Sous-ministre adjoint, Direction générale des services à l'industrie et aux marchés</t>
        </is>
      </c>
      <c r="E2609" t="inlineStr">
        <is>
          <t>Tom Rosser</t>
        </is>
      </c>
      <c r="F2609" t="inlineStr">
        <is>
          <t>To attend the G20 Summit</t>
        </is>
      </c>
      <c r="G2609" t="inlineStr">
        <is>
          <t>Assister au Sommet G20</t>
        </is>
      </c>
      <c r="H2609" s="1" t="n">
        <v>45914</v>
      </c>
      <c r="I2609" s="1" t="n">
        <v>45920</v>
      </c>
      <c r="J2609" t="inlineStr">
        <is>
          <t>Cape Town, South Africa</t>
        </is>
      </c>
      <c r="K2609" t="inlineStr">
        <is>
          <t>Cape Town, Afrique du Sud</t>
        </is>
      </c>
      <c r="P2609" t="n">
        <v>14790.05</v>
      </c>
      <c r="Q2609" t="n">
        <v>85</v>
      </c>
      <c r="R2609" t="n">
        <v>1037.71</v>
      </c>
      <c r="S2609" t="n">
        <v>465.02</v>
      </c>
      <c r="T2609" t="n">
        <v>0</v>
      </c>
      <c r="U2609" t="n">
        <v>16377.78</v>
      </c>
      <c r="X2609" t="inlineStr">
        <is>
          <t>aafc-aac</t>
        </is>
      </c>
      <c r="Y2609" t="inlineStr">
        <is>
          <t>Agriculture and Agri-Food Canada | Agriculture et Agroalimentaire Canada</t>
        </is>
      </c>
      <c r="Z2609" t="n">
        <v>7</v>
      </c>
      <c r="AA2609" t="n">
        <v>16377.7799999999</v>
      </c>
      <c r="AB2609">
        <f>ROUND(U2609-AA2609,2)</f>
        <v/>
      </c>
      <c r="AC2609" t="b">
        <v>0</v>
      </c>
      <c r="AD2609">
        <f>IF(U2609="","MISSING_TOTAL",IF(ABS(AB2609)&lt;=0.01,"OK","CHECK"))</f>
        <v/>
      </c>
      <c r="AE2609">
        <f>IF(U2609="","MISSING",IF(AND(AA2609&gt;0,U2609/AA2609&gt;50),"POSSIBLE_SCALE_ERROR","OK"))</f>
        <v/>
      </c>
    </row>
    <row r="2610">
      <c r="A2610" t="inlineStr">
        <is>
          <t>T-AAFC-2026-P09-015</t>
        </is>
      </c>
      <c r="B2610" t="inlineStr">
        <is>
          <t>SLE</t>
        </is>
      </c>
      <c r="C2610" t="inlineStr">
        <is>
          <t>Assistant Deputy Minister, Market and Industry Services Branch</t>
        </is>
      </c>
      <c r="D2610" t="inlineStr">
        <is>
          <t>Sous-ministre adjoint, Direction générale des services à l'industrie et aux marchés</t>
        </is>
      </c>
      <c r="E2610" t="inlineStr">
        <is>
          <t>Tom Rosser</t>
        </is>
      </c>
      <c r="F2610" t="inlineStr">
        <is>
          <t>To participate in a panel at the Alberta Beekeepers' Conference Annual Conference and Trade Show</t>
        </is>
      </c>
      <c r="G2610" t="inlineStr">
        <is>
          <t>Participer à un panel lors de la Conférence annuelle et du Salon commercial des apiculteurs de l’Alberta</t>
        </is>
      </c>
      <c r="H2610" s="1" t="n">
        <v>45978</v>
      </c>
      <c r="I2610" s="1" t="n">
        <v>45981</v>
      </c>
      <c r="J2610" t="inlineStr">
        <is>
          <t>Edmonton, Alberta, Canada</t>
        </is>
      </c>
      <c r="K2610" t="inlineStr">
        <is>
          <t>Edmonton, Alberta, Canada</t>
        </is>
      </c>
      <c r="P2610" t="n">
        <v>4446.93</v>
      </c>
      <c r="Q2610" t="n">
        <v>276.77</v>
      </c>
      <c r="R2610" t="n">
        <v>303.74</v>
      </c>
      <c r="S2610" t="n">
        <v>337.05</v>
      </c>
      <c r="T2610" t="n">
        <v>0</v>
      </c>
      <c r="U2610" t="n">
        <v>5364.49</v>
      </c>
      <c r="X2610" t="inlineStr">
        <is>
          <t>aafc-aac</t>
        </is>
      </c>
      <c r="Y2610" t="inlineStr">
        <is>
          <t>Agriculture and Agri-Food Canada | Agriculture et Agroalimentaire Canada</t>
        </is>
      </c>
      <c r="Z2610" t="n">
        <v>4</v>
      </c>
      <c r="AA2610" t="n">
        <v>5364.49</v>
      </c>
      <c r="AB2610">
        <f>ROUND(U2610-AA2610,2)</f>
        <v/>
      </c>
      <c r="AC2610" t="b">
        <v>0</v>
      </c>
      <c r="AD2610">
        <f>IF(U2610="","MISSING_TOTAL",IF(ABS(AB2610)&lt;=0.01,"OK","CHECK"))</f>
        <v/>
      </c>
      <c r="AE2610">
        <f>IF(U2610="","MISSING",IF(AND(AA2610&gt;0,U2610/AA2610&gt;50),"POSSIBLE_SCALE_ERROR","OK"))</f>
        <v/>
      </c>
    </row>
    <row r="2611">
      <c r="A2611" t="inlineStr">
        <is>
          <t>T-AAFC-2026-P09-016</t>
        </is>
      </c>
      <c r="B2611" t="inlineStr">
        <is>
          <t>SLE</t>
        </is>
      </c>
      <c r="C2611" t="inlineStr">
        <is>
          <t>Assistant Deputy Minister, Market and Industry Services Branch</t>
        </is>
      </c>
      <c r="D2611" t="inlineStr">
        <is>
          <t>Sous-ministre adjoint, Direction générale des services à l'industrie et aux marchés</t>
        </is>
      </c>
      <c r="E2611" t="inlineStr">
        <is>
          <t>Tom Rosser</t>
        </is>
      </c>
      <c r="F2611" t="inlineStr">
        <is>
          <t>To participate in roundtables at the CropLife Canada Conference.</t>
        </is>
      </c>
      <c r="G2611" t="inlineStr">
        <is>
          <t>Participer à des tables rondes lors de la Conférence de CropLife Canada</t>
        </is>
      </c>
      <c r="H2611" s="1" t="n">
        <v>45993</v>
      </c>
      <c r="I2611" s="1" t="n">
        <v>45995</v>
      </c>
      <c r="J2611" t="inlineStr">
        <is>
          <t>Calgary, Alberta, Canada</t>
        </is>
      </c>
      <c r="K2611" t="inlineStr">
        <is>
          <t>Calgary, Alberta, Canada</t>
        </is>
      </c>
      <c r="P2611" t="n">
        <v>4717.62</v>
      </c>
      <c r="Q2611" t="n">
        <v>190.79</v>
      </c>
      <c r="R2611" t="n">
        <v>586.9400000000001</v>
      </c>
      <c r="S2611" t="n">
        <v>98.8</v>
      </c>
      <c r="T2611" t="n">
        <v>0</v>
      </c>
      <c r="U2611" t="n">
        <v>5594.15</v>
      </c>
      <c r="X2611" t="inlineStr">
        <is>
          <t>aafc-aac</t>
        </is>
      </c>
      <c r="Y2611" t="inlineStr">
        <is>
          <t>Agriculture and Agri-Food Canada | Agriculture et Agroalimentaire Canada</t>
        </is>
      </c>
      <c r="Z2611" t="n">
        <v>3</v>
      </c>
      <c r="AA2611" t="n">
        <v>5594.15</v>
      </c>
      <c r="AB2611">
        <f>ROUND(U2611-AA2611,2)</f>
        <v/>
      </c>
      <c r="AC2611" t="b">
        <v>0</v>
      </c>
      <c r="AD2611">
        <f>IF(U2611="","MISSING_TOTAL",IF(ABS(AB2611)&lt;=0.01,"OK","CHECK"))</f>
        <v/>
      </c>
      <c r="AE2611">
        <f>IF(U2611="","MISSING",IF(AND(AA2611&gt;0,U2611/AA2611&gt;50),"POSSIBLE_SCALE_ERROR","OK"))</f>
        <v/>
      </c>
    </row>
    <row r="2612">
      <c r="A2612" t="inlineStr">
        <is>
          <t>T-AAFC-2026-P10-001</t>
        </is>
      </c>
      <c r="B2612" t="inlineStr">
        <is>
          <t>MPSES</t>
        </is>
      </c>
      <c r="C2612" t="inlineStr">
        <is>
          <t>Minister</t>
        </is>
      </c>
      <c r="D2612" t="inlineStr">
        <is>
          <t>Ministre</t>
        </is>
      </c>
      <c r="E2612" t="inlineStr">
        <is>
          <t>Heath MacDonald</t>
        </is>
      </c>
      <c r="F2612" t="inlineStr">
        <is>
          <t>To attend the Agribition Outreach</t>
        </is>
      </c>
      <c r="G2612" t="inlineStr">
        <is>
          <t>Participer à une activité de sensibilisation d'Agribition</t>
        </is>
      </c>
      <c r="H2612" s="1" t="n">
        <v>45984</v>
      </c>
      <c r="I2612" s="1" t="n">
        <v>45987</v>
      </c>
      <c r="J2612" t="inlineStr">
        <is>
          <t>Regina, Saskatchewan, Canada</t>
        </is>
      </c>
      <c r="K2612" t="inlineStr">
        <is>
          <t>Regina, Saskatchewan, Canada</t>
        </is>
      </c>
      <c r="P2612" t="n">
        <v>2569.41</v>
      </c>
      <c r="Q2612" t="n">
        <v>0</v>
      </c>
      <c r="R2612" t="n">
        <v>799.2</v>
      </c>
      <c r="S2612" t="n">
        <v>368.3</v>
      </c>
      <c r="T2612" t="n">
        <v>0</v>
      </c>
      <c r="U2612" t="n">
        <v>3736.91</v>
      </c>
      <c r="X2612" t="inlineStr">
        <is>
          <t>aafc-aac</t>
        </is>
      </c>
      <c r="Y2612" t="inlineStr">
        <is>
          <t>Agriculture and Agri-Food Canada | Agriculture et Agroalimentaire Canada</t>
        </is>
      </c>
      <c r="Z2612" t="n">
        <v>4</v>
      </c>
      <c r="AA2612" t="n">
        <v>3736.91</v>
      </c>
      <c r="AB2612">
        <f>ROUND(U2612-AA2612,2)</f>
        <v/>
      </c>
      <c r="AC2612" t="b">
        <v>0</v>
      </c>
      <c r="AD2612">
        <f>IF(U2612="","MISSING_TOTAL",IF(ABS(AB2612)&lt;=0.01,"OK","CHECK"))</f>
        <v/>
      </c>
      <c r="AE2612">
        <f>IF(U2612="","MISSING",IF(AND(AA2612&gt;0,U2612/AA2612&gt;50),"POSSIBLE_SCALE_ERROR","OK"))</f>
        <v/>
      </c>
    </row>
    <row r="2613">
      <c r="A2613" t="inlineStr">
        <is>
          <t>T-AAFC-2026-P10-002</t>
        </is>
      </c>
      <c r="B2613" t="inlineStr">
        <is>
          <t>MPSES</t>
        </is>
      </c>
      <c r="C2613" t="inlineStr">
        <is>
          <t>Minister</t>
        </is>
      </c>
      <c r="D2613" t="inlineStr">
        <is>
          <t>Ministre</t>
        </is>
      </c>
      <c r="E2613" t="inlineStr">
        <is>
          <t>Heath MacDonald</t>
        </is>
      </c>
      <c r="F2613" t="inlineStr">
        <is>
          <t>To attend a Ministerial Mission</t>
        </is>
      </c>
      <c r="G2613" t="inlineStr">
        <is>
          <t>Participer à une mission ministérielle</t>
        </is>
      </c>
      <c r="H2613" s="1" t="n">
        <v>46035</v>
      </c>
      <c r="I2613" s="1" t="n">
        <v>46039</v>
      </c>
      <c r="J2613" t="inlineStr">
        <is>
          <t>Beijing, China</t>
        </is>
      </c>
      <c r="K2613" t="inlineStr">
        <is>
          <t>Beijing, Chine</t>
        </is>
      </c>
      <c r="P2613" t="n">
        <v>6665.85</v>
      </c>
      <c r="Q2613" t="n">
        <v>0</v>
      </c>
      <c r="R2613" t="n">
        <v>0</v>
      </c>
      <c r="S2613" t="n">
        <v>731.0700000000001</v>
      </c>
      <c r="T2613" t="n">
        <v>0</v>
      </c>
      <c r="U2613" t="n">
        <v>7396.92</v>
      </c>
      <c r="V2613" t="inlineStr">
        <is>
          <t>Outgoing flight and hotel covered by the Prime Minister's Office.</t>
        </is>
      </c>
      <c r="W2613" t="inlineStr">
        <is>
          <t>Vol aller et l'hôtel payé par le bureau du Premier Ministre.</t>
        </is>
      </c>
      <c r="X2613" t="inlineStr">
        <is>
          <t>aafc-aac</t>
        </is>
      </c>
      <c r="Y2613" t="inlineStr">
        <is>
          <t>Agriculture and Agri-Food Canada | Agriculture et Agroalimentaire Canada</t>
        </is>
      </c>
      <c r="Z2613" t="n">
        <v>5</v>
      </c>
      <c r="AA2613" t="n">
        <v>7396.92</v>
      </c>
      <c r="AB2613">
        <f>ROUND(U2613-AA2613,2)</f>
        <v/>
      </c>
      <c r="AC2613" t="b">
        <v>0</v>
      </c>
      <c r="AD2613">
        <f>IF(U2613="","MISSING_TOTAL",IF(ABS(AB2613)&lt;=0.01,"OK","CHECK"))</f>
        <v/>
      </c>
      <c r="AE2613">
        <f>IF(U2613="","MISSING",IF(AND(AA2613&gt;0,U2613/AA2613&gt;50),"POSSIBLE_SCALE_ERROR","OK"))</f>
        <v/>
      </c>
    </row>
    <row r="2614">
      <c r="A2614" t="inlineStr">
        <is>
          <t>T-AAFC-2026-P10-003</t>
        </is>
      </c>
      <c r="B2614" t="inlineStr">
        <is>
          <t>MPSES</t>
        </is>
      </c>
      <c r="C2614" t="inlineStr">
        <is>
          <t>Minister</t>
        </is>
      </c>
      <c r="D2614" t="inlineStr">
        <is>
          <t>Ministre</t>
        </is>
      </c>
      <c r="E2614" t="inlineStr">
        <is>
          <t>Heath MacDonald</t>
        </is>
      </c>
      <c r="F2614" t="inlineStr">
        <is>
          <t>To attend a Cabinet Retreat</t>
        </is>
      </c>
      <c r="G2614" t="inlineStr">
        <is>
          <t>Participer à une retraite du Cabinet</t>
        </is>
      </c>
      <c r="H2614" s="1" t="n">
        <v>46044</v>
      </c>
      <c r="I2614" s="1" t="n">
        <v>46045</v>
      </c>
      <c r="J2614" t="inlineStr">
        <is>
          <t>Québec, Quebec, Canada</t>
        </is>
      </c>
      <c r="K2614" t="inlineStr">
        <is>
          <t>Québec, Québec, Canada</t>
        </is>
      </c>
      <c r="P2614" t="n">
        <v>1853.91</v>
      </c>
      <c r="Q2614" t="n">
        <v>0</v>
      </c>
      <c r="R2614" t="n">
        <v>236.82</v>
      </c>
      <c r="S2614" t="n">
        <v>95.34999999999999</v>
      </c>
      <c r="T2614" t="n">
        <v>0</v>
      </c>
      <c r="U2614" t="n">
        <v>2186.08</v>
      </c>
      <c r="X2614" t="inlineStr">
        <is>
          <t>aafc-aac</t>
        </is>
      </c>
      <c r="Y2614" t="inlineStr">
        <is>
          <t>Agriculture and Agri-Food Canada | Agriculture et Agroalimentaire Canada</t>
        </is>
      </c>
      <c r="Z2614" t="n">
        <v>2</v>
      </c>
      <c r="AA2614" t="n">
        <v>2186.08</v>
      </c>
      <c r="AB2614">
        <f>ROUND(U2614-AA2614,2)</f>
        <v/>
      </c>
      <c r="AC2614" t="b">
        <v>0</v>
      </c>
      <c r="AD2614">
        <f>IF(U2614="","MISSING_TOTAL",IF(ABS(AB2614)&lt;=0.01,"OK","CHECK"))</f>
        <v/>
      </c>
      <c r="AE2614">
        <f>IF(U2614="","MISSING",IF(AND(AA2614&gt;0,U2614/AA2614&gt;50),"POSSIBLE_SCALE_ERROR","OK"))</f>
        <v/>
      </c>
    </row>
    <row r="2615">
      <c r="A2615" t="inlineStr">
        <is>
          <t>T-AAFC-2026-P10-004</t>
        </is>
      </c>
      <c r="B2615" t="inlineStr">
        <is>
          <t>MPSES</t>
        </is>
      </c>
      <c r="C2615" t="inlineStr">
        <is>
          <t>Chief of Staff</t>
        </is>
      </c>
      <c r="D2615" t="inlineStr">
        <is>
          <t>Chef de Cabinet</t>
        </is>
      </c>
      <c r="E2615" t="inlineStr">
        <is>
          <t>Guy Gallant</t>
        </is>
      </c>
      <c r="F2615" t="inlineStr">
        <is>
          <t>To meet with the Minister</t>
        </is>
      </c>
      <c r="G2615" t="inlineStr">
        <is>
          <t>Rencontrer le ministre</t>
        </is>
      </c>
      <c r="H2615" s="1" t="n">
        <v>46024</v>
      </c>
      <c r="I2615" s="1" t="n">
        <v>46024</v>
      </c>
      <c r="J2615" t="inlineStr">
        <is>
          <t>Charlottetown, Prince Edward Island, Canada</t>
        </is>
      </c>
      <c r="K2615" t="inlineStr">
        <is>
          <t>Charlottetown, Île-du-Prince-Édouard, Canada</t>
        </is>
      </c>
      <c r="P2615" t="n">
        <v>925.17</v>
      </c>
      <c r="Q2615" t="n">
        <v>0</v>
      </c>
      <c r="R2615" t="n">
        <v>0</v>
      </c>
      <c r="S2615" t="n">
        <v>0</v>
      </c>
      <c r="T2615" t="n">
        <v>0</v>
      </c>
      <c r="U2615" t="n">
        <v>925.17</v>
      </c>
      <c r="X2615" t="inlineStr">
        <is>
          <t>aafc-aac</t>
        </is>
      </c>
      <c r="Y2615" t="inlineStr">
        <is>
          <t>Agriculture and Agri-Food Canada | Agriculture et Agroalimentaire Canada</t>
        </is>
      </c>
      <c r="Z2615" t="n">
        <v>1</v>
      </c>
      <c r="AA2615" t="n">
        <v>925.17</v>
      </c>
      <c r="AB2615">
        <f>ROUND(U2615-AA2615,2)</f>
        <v/>
      </c>
      <c r="AC2615" t="b">
        <v>0</v>
      </c>
      <c r="AD2615">
        <f>IF(U2615="","MISSING_TOTAL",IF(ABS(AB2615)&lt;=0.01,"OK","CHECK"))</f>
        <v/>
      </c>
      <c r="AE2615">
        <f>IF(U2615="","MISSING",IF(AND(AA2615&gt;0,U2615/AA2615&gt;50),"POSSIBLE_SCALE_ERROR","OK"))</f>
        <v/>
      </c>
    </row>
    <row r="2616">
      <c r="A2616" t="inlineStr">
        <is>
          <t>T-AAFC-2026-P10-005</t>
        </is>
      </c>
      <c r="B2616" t="inlineStr">
        <is>
          <t>MPSES</t>
        </is>
      </c>
      <c r="C2616" t="inlineStr">
        <is>
          <t>Chief of Staff</t>
        </is>
      </c>
      <c r="D2616" t="inlineStr">
        <is>
          <t>Chef de Cabinet</t>
        </is>
      </c>
      <c r="E2616" t="inlineStr">
        <is>
          <t>Guy Gallant</t>
        </is>
      </c>
      <c r="F2616" t="inlineStr">
        <is>
          <t>To attend a Dairy Roundtable with the Minister</t>
        </is>
      </c>
      <c r="G2616" t="inlineStr">
        <is>
          <t>Participer à une table ronde sur les produits laitiers avec le Ministre</t>
        </is>
      </c>
      <c r="H2616" s="1" t="n">
        <v>46034</v>
      </c>
      <c r="I2616" s="1" t="n">
        <v>46035</v>
      </c>
      <c r="J2616" t="inlineStr">
        <is>
          <t>Montréal, Quebec, Canada</t>
        </is>
      </c>
      <c r="K2616" t="inlineStr">
        <is>
          <t>Montréal, Québec, Canada</t>
        </is>
      </c>
      <c r="P2616" t="n">
        <v>242.74</v>
      </c>
      <c r="Q2616" t="n">
        <v>0</v>
      </c>
      <c r="R2616" t="n">
        <v>0</v>
      </c>
      <c r="S2616" t="n">
        <v>0</v>
      </c>
      <c r="T2616" t="n">
        <v>0</v>
      </c>
      <c r="U2616" t="n">
        <v>242.74</v>
      </c>
      <c r="X2616" t="inlineStr">
        <is>
          <t>aafc-aac</t>
        </is>
      </c>
      <c r="Y2616" t="inlineStr">
        <is>
          <t>Agriculture and Agri-Food Canada | Agriculture et Agroalimentaire Canada</t>
        </is>
      </c>
      <c r="Z2616" t="n">
        <v>2</v>
      </c>
      <c r="AA2616" t="n">
        <v>242.74</v>
      </c>
      <c r="AB2616">
        <f>ROUND(U2616-AA2616,2)</f>
        <v/>
      </c>
      <c r="AC2616" t="b">
        <v>0</v>
      </c>
      <c r="AD2616">
        <f>IF(U2616="","MISSING_TOTAL",IF(ABS(AB2616)&lt;=0.01,"OK","CHECK"))</f>
        <v/>
      </c>
      <c r="AE2616">
        <f>IF(U2616="","MISSING",IF(AND(AA2616&gt;0,U2616/AA2616&gt;50),"POSSIBLE_SCALE_ERROR","OK"))</f>
        <v/>
      </c>
    </row>
    <row r="2617">
      <c r="A2617" t="inlineStr">
        <is>
          <t>T-AAFC-2026-P10-006</t>
        </is>
      </c>
      <c r="B2617" t="inlineStr">
        <is>
          <t>MPSES</t>
        </is>
      </c>
      <c r="C2617" t="inlineStr">
        <is>
          <t>Director of Policy</t>
        </is>
      </c>
      <c r="D2617" t="inlineStr">
        <is>
          <t>Directrice des politiques</t>
        </is>
      </c>
      <c r="E2617" t="inlineStr">
        <is>
          <t>Serena Smith</t>
        </is>
      </c>
      <c r="F2617" t="inlineStr">
        <is>
          <t>To support the Minister attending a Ministerial Mission</t>
        </is>
      </c>
      <c r="G2617" t="inlineStr">
        <is>
          <t>Soutenir le ministre participant à une mission ministérielle</t>
        </is>
      </c>
      <c r="H2617" s="1" t="n">
        <v>46035</v>
      </c>
      <c r="I2617" s="1" t="n">
        <v>46039</v>
      </c>
      <c r="J2617" t="inlineStr">
        <is>
          <t>Beijing, China</t>
        </is>
      </c>
      <c r="K2617" t="inlineStr">
        <is>
          <t>Beijing, Chine</t>
        </is>
      </c>
      <c r="P2617" t="n">
        <v>7522.85</v>
      </c>
      <c r="Q2617" t="n">
        <v>0</v>
      </c>
      <c r="R2617" t="n">
        <v>0</v>
      </c>
      <c r="S2617" t="n">
        <v>731.0700000000001</v>
      </c>
      <c r="T2617" t="n">
        <v>0</v>
      </c>
      <c r="U2617" t="n">
        <v>8253.92</v>
      </c>
      <c r="V2617" t="inlineStr">
        <is>
          <t>Outgoing flight and hotel covered by the Prime Minister's Office.</t>
        </is>
      </c>
      <c r="W2617" t="inlineStr">
        <is>
          <t>Vol aller et l'hôtel payé par le bureau du Premier Ministre.</t>
        </is>
      </c>
      <c r="X2617" t="inlineStr">
        <is>
          <t>aafc-aac</t>
        </is>
      </c>
      <c r="Y2617" t="inlineStr">
        <is>
          <t>Agriculture and Agri-Food Canada | Agriculture et Agroalimentaire Canada</t>
        </is>
      </c>
      <c r="Z2617" t="n">
        <v>5</v>
      </c>
      <c r="AA2617" t="n">
        <v>8253.92</v>
      </c>
      <c r="AB2617">
        <f>ROUND(U2617-AA2617,2)</f>
        <v/>
      </c>
      <c r="AC2617" t="b">
        <v>0</v>
      </c>
      <c r="AD2617">
        <f>IF(U2617="","MISSING_TOTAL",IF(ABS(AB2617)&lt;=0.01,"OK","CHECK"))</f>
        <v/>
      </c>
      <c r="AE2617">
        <f>IF(U2617="","MISSING",IF(AND(AA2617&gt;0,U2617/AA2617&gt;50),"POSSIBLE_SCALE_ERROR","OK"))</f>
        <v/>
      </c>
    </row>
    <row r="2618">
      <c r="A2618" t="inlineStr">
        <is>
          <t>T-AAFC-2026-P10-007</t>
        </is>
      </c>
      <c r="B2618" t="inlineStr">
        <is>
          <t>MPSES</t>
        </is>
      </c>
      <c r="C2618" t="inlineStr">
        <is>
          <t>Parliamentary Secretary</t>
        </is>
      </c>
      <c r="D2618" t="inlineStr">
        <is>
          <t>Secrétaire parlementaire</t>
        </is>
      </c>
      <c r="E2618" t="inlineStr">
        <is>
          <t>Sophie Chatel</t>
        </is>
      </c>
      <c r="F2618" t="inlineStr">
        <is>
          <t>To attend a Dairy Roundtable with the Minister</t>
        </is>
      </c>
      <c r="G2618" t="inlineStr">
        <is>
          <t>Participer à une table ronde sur les produits laitiers avec le Ministre</t>
        </is>
      </c>
      <c r="H2618" s="1" t="n">
        <v>46034</v>
      </c>
      <c r="I2618" s="1" t="n">
        <v>46034</v>
      </c>
      <c r="J2618" t="inlineStr">
        <is>
          <t>Montréal, Quebec, Canada</t>
        </is>
      </c>
      <c r="K2618" t="inlineStr">
        <is>
          <t>Montréal, Québec, Canada</t>
        </is>
      </c>
      <c r="P2618" t="n">
        <v>0</v>
      </c>
      <c r="Q2618" t="n">
        <v>442.25</v>
      </c>
      <c r="R2618" t="n">
        <v>0</v>
      </c>
      <c r="S2618" t="n">
        <v>119.4</v>
      </c>
      <c r="T2618" t="n">
        <v>0</v>
      </c>
      <c r="U2618" t="n">
        <v>561.65</v>
      </c>
      <c r="X2618" t="inlineStr">
        <is>
          <t>aafc-aac</t>
        </is>
      </c>
      <c r="Y2618" t="inlineStr">
        <is>
          <t>Agriculture and Agri-Food Canada | Agriculture et Agroalimentaire Canada</t>
        </is>
      </c>
      <c r="Z2618" t="n">
        <v>1</v>
      </c>
      <c r="AA2618" t="n">
        <v>561.65</v>
      </c>
      <c r="AB2618">
        <f>ROUND(U2618-AA2618,2)</f>
        <v/>
      </c>
      <c r="AC2618" t="b">
        <v>0</v>
      </c>
      <c r="AD2618">
        <f>IF(U2618="","MISSING_TOTAL",IF(ABS(AB2618)&lt;=0.01,"OK","CHECK"))</f>
        <v/>
      </c>
      <c r="AE2618">
        <f>IF(U2618="","MISSING",IF(AND(AA2618&gt;0,U2618/AA2618&gt;50),"POSSIBLE_SCALE_ERROR","OK"))</f>
        <v/>
      </c>
    </row>
    <row r="2619">
      <c r="A2619" t="inlineStr">
        <is>
          <t>T-AAFC-2026-P10-008</t>
        </is>
      </c>
      <c r="B2619" t="inlineStr">
        <is>
          <t>SLE</t>
        </is>
      </c>
      <c r="C2619" t="inlineStr">
        <is>
          <t>Assistant Deputy Minister, Science and Technology Branch</t>
        </is>
      </c>
      <c r="D2619" t="inlineStr">
        <is>
          <t>Sous-ministre adjointe, Direction générale des sciences et de la technologie</t>
        </is>
      </c>
      <c r="E2619" t="inlineStr">
        <is>
          <t>Arran McPherson</t>
        </is>
      </c>
      <c r="F2619" t="inlineStr">
        <is>
          <t>To attend an outreach to Kentville Research and Development Centre</t>
        </is>
      </c>
      <c r="G2619" t="inlineStr">
        <is>
          <t>Participer à une réunions de sensibilisation auprès du centre de recherche et de dévelopment de Kentville</t>
        </is>
      </c>
      <c r="H2619" s="1" t="n">
        <v>45980</v>
      </c>
      <c r="I2619" s="1" t="n">
        <v>45981</v>
      </c>
      <c r="J2619" t="inlineStr">
        <is>
          <t>Kentville, Nova Scotia, Canada</t>
        </is>
      </c>
      <c r="K2619" t="inlineStr">
        <is>
          <t>Kentville, Nouvelle-Écosse, Canada</t>
        </is>
      </c>
      <c r="P2619" t="n">
        <v>820.1</v>
      </c>
      <c r="Q2619" t="n">
        <v>8.449999999999999</v>
      </c>
      <c r="R2619" t="n">
        <v>226.86</v>
      </c>
      <c r="S2619" t="n">
        <v>215.3</v>
      </c>
      <c r="T2619" t="n">
        <v>0</v>
      </c>
      <c r="U2619" t="n">
        <v>1270.71</v>
      </c>
      <c r="X2619" t="inlineStr">
        <is>
          <t>aafc-aac</t>
        </is>
      </c>
      <c r="Y2619" t="inlineStr">
        <is>
          <t>Agriculture and Agri-Food Canada | Agriculture et Agroalimentaire Canada</t>
        </is>
      </c>
      <c r="Z2619" t="n">
        <v>2</v>
      </c>
      <c r="AA2619" t="n">
        <v>1270.71</v>
      </c>
      <c r="AB2619">
        <f>ROUND(U2619-AA2619,2)</f>
        <v/>
      </c>
      <c r="AC2619" t="b">
        <v>0</v>
      </c>
      <c r="AD2619">
        <f>IF(U2619="","MISSING_TOTAL",IF(ABS(AB2619)&lt;=0.01,"OK","CHECK"))</f>
        <v/>
      </c>
      <c r="AE2619">
        <f>IF(U2619="","MISSING",IF(AND(AA2619&gt;0,U2619/AA2619&gt;50),"POSSIBLE_SCALE_ERROR","OK"))</f>
        <v/>
      </c>
    </row>
    <row r="2620">
      <c r="A2620" t="inlineStr">
        <is>
          <t>T-AAFC-2026-P10-009</t>
        </is>
      </c>
      <c r="B2620" t="inlineStr">
        <is>
          <t>SLE</t>
        </is>
      </c>
      <c r="C2620" t="inlineStr">
        <is>
          <t>Assistant Deputy Minister, Science and Technology Branch</t>
        </is>
      </c>
      <c r="D2620" t="inlineStr">
        <is>
          <t>Sous-ministre adjointe, Direction générale des sciences et de la technologie</t>
        </is>
      </c>
      <c r="E2620" t="inlineStr">
        <is>
          <t>Arran McPherson</t>
        </is>
      </c>
      <c r="F2620" t="inlineStr">
        <is>
          <t>To represent Canada on the Organization for Economic Co-operation and Development (OECD) Co-operative Research Program Governing Body and held key meetings with international science partners, including universities and the Food and Agriculture Organization (FAO)</t>
        </is>
      </c>
      <c r="G2620" t="inlineStr">
        <is>
          <t>Représenter le Canada au conseil de direction du Programme de recherche coopérative de l’Organisation de coopération et de développement économiques (OCDE) et tenir des réunions clés avec des partenaires scientifiques internationaux, y compris des universités et l’Organisation des Nations Unies pour l’alimentation et l’agriculture (FAO)</t>
        </is>
      </c>
      <c r="H2620" s="1" t="n">
        <v>45990</v>
      </c>
      <c r="I2620" s="1" t="n">
        <v>45996</v>
      </c>
      <c r="J2620" t="inlineStr">
        <is>
          <t>Vienna, Austria</t>
        </is>
      </c>
      <c r="K2620" t="inlineStr">
        <is>
          <t>Vienne, Autriche</t>
        </is>
      </c>
      <c r="L2620" t="inlineStr">
        <is>
          <t>Bratislava, Slovakia</t>
        </is>
      </c>
      <c r="M2620" t="inlineStr">
        <is>
          <t>Bratislava, Slovaquie</t>
        </is>
      </c>
      <c r="N2620" t="inlineStr">
        <is>
          <t>Nitra, Slovakia;Rome, Italy</t>
        </is>
      </c>
      <c r="O2620" t="inlineStr">
        <is>
          <t>Nitra, Slovaquie;Rome, Italie</t>
        </is>
      </c>
      <c r="P2620" t="n">
        <v>4609.22</v>
      </c>
      <c r="Q2620" t="n">
        <v>257.31</v>
      </c>
      <c r="R2620" t="n">
        <v>1185.4</v>
      </c>
      <c r="S2620" t="n">
        <v>1220.63</v>
      </c>
      <c r="T2620" t="n">
        <v>0</v>
      </c>
      <c r="U2620" t="n">
        <v>7272.56</v>
      </c>
      <c r="X2620" t="inlineStr">
        <is>
          <t>aafc-aac</t>
        </is>
      </c>
      <c r="Y2620" t="inlineStr">
        <is>
          <t>Agriculture and Agri-Food Canada | Agriculture et Agroalimentaire Canada</t>
        </is>
      </c>
      <c r="Z2620" t="n">
        <v>7</v>
      </c>
      <c r="AA2620" t="n">
        <v>7272.56</v>
      </c>
      <c r="AB2620">
        <f>ROUND(U2620-AA2620,2)</f>
        <v/>
      </c>
      <c r="AC2620" t="b">
        <v>0</v>
      </c>
      <c r="AD2620">
        <f>IF(U2620="","MISSING_TOTAL",IF(ABS(AB2620)&lt;=0.01,"OK","CHECK"))</f>
        <v/>
      </c>
      <c r="AE2620">
        <f>IF(U2620="","MISSING",IF(AND(AA2620&gt;0,U2620/AA2620&gt;50),"POSSIBLE_SCALE_ERROR","OK"))</f>
        <v/>
      </c>
    </row>
    <row r="2621">
      <c r="A2621" t="inlineStr">
        <is>
          <t>T-AAFC-2026-P10-010</t>
        </is>
      </c>
      <c r="B2621" t="inlineStr">
        <is>
          <t>SLE</t>
        </is>
      </c>
      <c r="C2621" t="inlineStr">
        <is>
          <t>Assistant Deputy Minister, Market and Industry Services Branch</t>
        </is>
      </c>
      <c r="D2621" t="inlineStr">
        <is>
          <t>Sous-ministre adjoint, Direction générale des services à l'industrie et aux marchés</t>
        </is>
      </c>
      <c r="E2621" t="inlineStr">
        <is>
          <t>Tom Rosser</t>
        </is>
      </c>
      <c r="F2621" t="inlineStr">
        <is>
          <t>To attend and co-chair the CLWG meeting</t>
        </is>
      </c>
      <c r="G2621" t="inlineStr">
        <is>
          <t>Assister à la réunion du CLWG et en assurer la coprésidence</t>
        </is>
      </c>
      <c r="H2621" s="1" t="n">
        <v>46002</v>
      </c>
      <c r="I2621" s="1" t="n">
        <v>46002</v>
      </c>
      <c r="J2621" t="inlineStr">
        <is>
          <t>Winnipeg, Manitoba, Canada</t>
        </is>
      </c>
      <c r="K2621" t="inlineStr">
        <is>
          <t>Winnipeg, Manitoba, Canada</t>
        </is>
      </c>
      <c r="P2621" t="n">
        <v>0</v>
      </c>
      <c r="Q2621" t="n">
        <v>0</v>
      </c>
      <c r="R2621" t="n">
        <v>438.89</v>
      </c>
      <c r="S2621" t="n">
        <v>0</v>
      </c>
      <c r="T2621" t="n">
        <v>0</v>
      </c>
      <c r="U2621" t="n">
        <v>438.89</v>
      </c>
      <c r="V2621" t="inlineStr">
        <is>
          <t>Trip cancelled. Fee is for the non-refundable portion.</t>
        </is>
      </c>
      <c r="W2621" t="inlineStr">
        <is>
          <t>Voyage annulé. La charge est pour la portion non remboursable.</t>
        </is>
      </c>
      <c r="X2621" t="inlineStr">
        <is>
          <t>aafc-aac</t>
        </is>
      </c>
      <c r="Y2621" t="inlineStr">
        <is>
          <t>Agriculture and Agri-Food Canada | Agriculture et Agroalimentaire Canada</t>
        </is>
      </c>
      <c r="Z2621" t="n">
        <v>1</v>
      </c>
      <c r="AA2621" t="n">
        <v>438.89</v>
      </c>
      <c r="AB2621">
        <f>ROUND(U2621-AA2621,2)</f>
        <v/>
      </c>
      <c r="AC2621" t="b">
        <v>0</v>
      </c>
      <c r="AD2621">
        <f>IF(U2621="","MISSING_TOTAL",IF(ABS(AB2621)&lt;=0.01,"OK","CHECK"))</f>
        <v/>
      </c>
      <c r="AE2621">
        <f>IF(U2621="","MISSING",IF(AND(AA2621&gt;0,U2621/AA2621&gt;50),"POSSIBLE_SCALE_ERROR","OK"))</f>
        <v/>
      </c>
    </row>
    <row r="2622">
      <c r="A2622" t="inlineStr">
        <is>
          <t>T-AAFC-2026-P11-001</t>
        </is>
      </c>
      <c r="B2622" t="inlineStr">
        <is>
          <t>MPSES</t>
        </is>
      </c>
      <c r="C2622" t="inlineStr">
        <is>
          <t>Chief of Staff</t>
        </is>
      </c>
      <c r="D2622" t="inlineStr">
        <is>
          <t>Chef de Cabinet</t>
        </is>
      </c>
      <c r="E2622" t="inlineStr">
        <is>
          <t>Guy Gallant</t>
        </is>
      </c>
      <c r="F2622" t="inlineStr">
        <is>
          <t>To support the Minister to attend a Cabinet Retreat</t>
        </is>
      </c>
      <c r="G2622" t="inlineStr">
        <is>
          <t>Soutenir le ministre à participer à une retraite du Cabinet</t>
        </is>
      </c>
      <c r="H2622" s="1" t="n">
        <v>46044</v>
      </c>
      <c r="I2622" s="1" t="n">
        <v>46045</v>
      </c>
      <c r="J2622" t="inlineStr">
        <is>
          <t>Québec, Quebec, Canada</t>
        </is>
      </c>
      <c r="K2622" t="inlineStr">
        <is>
          <t>Québec, Québec, Canada</t>
        </is>
      </c>
      <c r="P2622" t="n">
        <v>1853.91</v>
      </c>
      <c r="Q2622" t="n">
        <v>0</v>
      </c>
      <c r="R2622" t="n">
        <v>236.82</v>
      </c>
      <c r="S2622" t="n">
        <v>95.34999999999999</v>
      </c>
      <c r="T2622" t="n">
        <v>0</v>
      </c>
      <c r="U2622" t="n">
        <v>2186.08</v>
      </c>
      <c r="X2622" t="inlineStr">
        <is>
          <t>aafc-aac</t>
        </is>
      </c>
      <c r="Y2622" t="inlineStr">
        <is>
          <t>Agriculture and Agri-Food Canada | Agriculture et Agroalimentaire Canada</t>
        </is>
      </c>
      <c r="Z2622" t="n">
        <v>2</v>
      </c>
      <c r="AA2622" t="n">
        <v>2186.08</v>
      </c>
      <c r="AB2622">
        <f>ROUND(U2622-AA2622,2)</f>
        <v/>
      </c>
      <c r="AC2622" t="b">
        <v>0</v>
      </c>
      <c r="AD2622">
        <f>IF(U2622="","MISSING_TOTAL",IF(ABS(AB2622)&lt;=0.01,"OK","CHECK"))</f>
        <v/>
      </c>
      <c r="AE2622">
        <f>IF(U2622="","MISSING",IF(AND(AA2622&gt;0,U2622/AA2622&gt;50),"POSSIBLE_SCALE_ERROR","OK"))</f>
        <v/>
      </c>
    </row>
    <row r="2623">
      <c r="A2623" t="inlineStr">
        <is>
          <t>T-AAFC-2026-P11-002</t>
        </is>
      </c>
      <c r="B2623" t="inlineStr">
        <is>
          <t>MPSES</t>
        </is>
      </c>
      <c r="C2623" t="inlineStr">
        <is>
          <t>Director of Policy</t>
        </is>
      </c>
      <c r="D2623" t="inlineStr">
        <is>
          <t>Directrice des politiques</t>
        </is>
      </c>
      <c r="E2623" t="inlineStr">
        <is>
          <t>Serena Smith</t>
        </is>
      </c>
      <c r="F2623" t="inlineStr">
        <is>
          <t>Visa photo for upcoming travel to Dubai</t>
        </is>
      </c>
      <c r="G2623" t="inlineStr">
        <is>
          <t>Photo pour le visa en vue d’un prochain voyage à Dubaï</t>
        </is>
      </c>
      <c r="H2623" s="1" t="n">
        <v>46046</v>
      </c>
      <c r="I2623" s="1" t="n">
        <v>46053</v>
      </c>
      <c r="J2623" t="inlineStr">
        <is>
          <t>Ottawa, Ontario, Canada</t>
        </is>
      </c>
      <c r="K2623" t="inlineStr">
        <is>
          <t>Ottawa, Ontario, Canada</t>
        </is>
      </c>
      <c r="P2623" t="n">
        <v>0</v>
      </c>
      <c r="Q2623" t="n">
        <v>0</v>
      </c>
      <c r="R2623" t="n">
        <v>0</v>
      </c>
      <c r="S2623" t="n">
        <v>0</v>
      </c>
      <c r="T2623" t="n">
        <v>34.49</v>
      </c>
      <c r="U2623" t="n">
        <v>34.49</v>
      </c>
      <c r="X2623" t="inlineStr">
        <is>
          <t>aafc-aac</t>
        </is>
      </c>
      <c r="Y2623" t="inlineStr">
        <is>
          <t>Agriculture and Agri-Food Canada | Agriculture et Agroalimentaire Canada</t>
        </is>
      </c>
      <c r="Z2623" t="n">
        <v>8</v>
      </c>
      <c r="AA2623" t="n">
        <v>34.49</v>
      </c>
      <c r="AB2623">
        <f>ROUND(U2623-AA2623,2)</f>
        <v/>
      </c>
      <c r="AC2623" t="b">
        <v>0</v>
      </c>
      <c r="AD2623">
        <f>IF(U2623="","MISSING_TOTAL",IF(ABS(AB2623)&lt;=0.01,"OK","CHECK"))</f>
        <v/>
      </c>
      <c r="AE2623">
        <f>IF(U2623="","MISSING",IF(AND(AA2623&gt;0,U2623/AA2623&gt;50),"POSSIBLE_SCALE_ERROR","OK"))</f>
        <v/>
      </c>
    </row>
    <row r="2624">
      <c r="A2624" t="inlineStr">
        <is>
          <t>T-AAFC-2026-P11-003</t>
        </is>
      </c>
      <c r="B2624" t="inlineStr">
        <is>
          <t>SLE</t>
        </is>
      </c>
      <c r="C2624" t="inlineStr">
        <is>
          <t>Assistant Deputy Minister, Science and Technology Branch</t>
        </is>
      </c>
      <c r="D2624" t="inlineStr">
        <is>
          <t>Sous-ministre adjointe, Direction générale des sciences et de la technologie</t>
        </is>
      </c>
      <c r="E2624" t="inlineStr">
        <is>
          <t>Arran McPherson</t>
        </is>
      </c>
      <c r="F2624" t="inlineStr">
        <is>
          <t>Regional visit and meetings at the Guelph Research and Development Centre</t>
        </is>
      </c>
      <c r="G2624" t="inlineStr">
        <is>
          <t>Visite régionale et réunions au Centre de recherche et de développement de Guelph</t>
        </is>
      </c>
      <c r="H2624" s="1" t="n">
        <v>46043</v>
      </c>
      <c r="I2624" s="1" t="n">
        <v>46045</v>
      </c>
      <c r="J2624" t="inlineStr">
        <is>
          <t>Guelph, Ontario, Canada</t>
        </is>
      </c>
      <c r="K2624" t="inlineStr">
        <is>
          <t>Guelph, Ontario, Canada</t>
        </is>
      </c>
      <c r="P2624" t="n">
        <v>0</v>
      </c>
      <c r="Q2624" t="n">
        <v>693.52</v>
      </c>
      <c r="R2624" t="n">
        <v>498.28</v>
      </c>
      <c r="S2624" t="n">
        <v>229.95</v>
      </c>
      <c r="T2624" t="n">
        <v>0</v>
      </c>
      <c r="U2624" t="n">
        <v>1421.75</v>
      </c>
      <c r="X2624" t="inlineStr">
        <is>
          <t>aafc-aac</t>
        </is>
      </c>
      <c r="Y2624" t="inlineStr">
        <is>
          <t>Agriculture and Agri-Food Canada | Agriculture et Agroalimentaire Canada</t>
        </is>
      </c>
      <c r="Z2624" t="n">
        <v>3</v>
      </c>
      <c r="AA2624" t="n">
        <v>1421.75</v>
      </c>
      <c r="AB2624">
        <f>ROUND(U2624-AA2624,2)</f>
        <v/>
      </c>
      <c r="AC2624" t="b">
        <v>0</v>
      </c>
      <c r="AD2624">
        <f>IF(U2624="","MISSING_TOTAL",IF(ABS(AB2624)&lt;=0.01,"OK","CHECK"))</f>
        <v/>
      </c>
      <c r="AE2624">
        <f>IF(U2624="","MISSING",IF(AND(AA2624&gt;0,U2624/AA2624&gt;50),"POSSIBLE_SCALE_ERROR","OK"))</f>
        <v/>
      </c>
    </row>
    <row r="2625">
      <c r="A2625" t="inlineStr">
        <is>
          <t>T-AAFC-2026-P11-004</t>
        </is>
      </c>
      <c r="B2625" t="inlineStr">
        <is>
          <t>SLE</t>
        </is>
      </c>
      <c r="C2625" t="inlineStr">
        <is>
          <t>Associate Assistant Deputy Minister, Science and Technology Branch</t>
        </is>
      </c>
      <c r="D2625" t="inlineStr">
        <is>
          <t>Sous-ministre adjoint délégué, Direction générale des sciences et de la technologie</t>
        </is>
      </c>
      <c r="E2625" t="inlineStr">
        <is>
          <t>Andrew Goldstein</t>
        </is>
      </c>
      <c r="F2625" t="inlineStr">
        <is>
          <t>Site visit to Lacombe Research and Development Centre</t>
        </is>
      </c>
      <c r="G2625" t="inlineStr">
        <is>
          <t>Visite du Centre de recherche et de developpement de Lacombe</t>
        </is>
      </c>
      <c r="H2625" s="1" t="n">
        <v>46042</v>
      </c>
      <c r="I2625" s="1" t="n">
        <v>46045</v>
      </c>
      <c r="J2625" t="inlineStr">
        <is>
          <t>Calgary, Alberta, Canada</t>
        </is>
      </c>
      <c r="K2625" t="inlineStr">
        <is>
          <t>Calgary, Alberta, Canada</t>
        </is>
      </c>
      <c r="L2625" t="inlineStr">
        <is>
          <t>Lacombe, Alberta, Canada</t>
        </is>
      </c>
      <c r="M2625" t="inlineStr">
        <is>
          <t>Lacombe, Alberta, Canada</t>
        </is>
      </c>
      <c r="P2625" t="n">
        <v>1454.93</v>
      </c>
      <c r="Q2625" t="n">
        <v>354.76</v>
      </c>
      <c r="R2625" t="n">
        <v>773.03</v>
      </c>
      <c r="S2625" t="n">
        <v>340.25</v>
      </c>
      <c r="T2625" t="n">
        <v>0</v>
      </c>
      <c r="U2625" t="n">
        <v>2922.97</v>
      </c>
      <c r="X2625" t="inlineStr">
        <is>
          <t>aafc-aac</t>
        </is>
      </c>
      <c r="Y2625" t="inlineStr">
        <is>
          <t>Agriculture and Agri-Food Canada | Agriculture et Agroalimentaire Canada</t>
        </is>
      </c>
      <c r="Z2625" t="n">
        <v>4</v>
      </c>
      <c r="AA2625" t="n">
        <v>2922.97</v>
      </c>
      <c r="AB2625">
        <f>ROUND(U2625-AA2625,2)</f>
        <v/>
      </c>
      <c r="AC2625" t="b">
        <v>0</v>
      </c>
      <c r="AD2625">
        <f>IF(U2625="","MISSING_TOTAL",IF(ABS(AB2625)&lt;=0.01,"OK","CHECK"))</f>
        <v/>
      </c>
      <c r="AE2625">
        <f>IF(U2625="","MISSING",IF(AND(AA2625&gt;0,U2625/AA2625&gt;50),"POSSIBLE_SCALE_ERROR","OK"))</f>
        <v/>
      </c>
    </row>
    <row r="2626">
      <c r="A2626" t="inlineStr">
        <is>
          <t>T-AAFC-2026-P11-005</t>
        </is>
      </c>
      <c r="B2626" t="inlineStr">
        <is>
          <t>SLE</t>
        </is>
      </c>
      <c r="C2626" t="inlineStr">
        <is>
          <t>Associate Assistant Deputy Minister, Science and Technology Branch</t>
        </is>
      </c>
      <c r="D2626" t="inlineStr">
        <is>
          <t>Sous-ministre adjoint délégué, Direction générale des sciences et de la technologie</t>
        </is>
      </c>
      <c r="E2626" t="inlineStr">
        <is>
          <t>Andrew Goldstein</t>
        </is>
      </c>
      <c r="F2626" t="inlineStr">
        <is>
          <t>To attend an AgRISE Workshop</t>
        </is>
      </c>
      <c r="G2626" t="inlineStr">
        <is>
          <t>Assister à un atelier AgRISE</t>
        </is>
      </c>
      <c r="H2626" s="1" t="n">
        <v>46064</v>
      </c>
      <c r="I2626" s="1" t="n">
        <v>46064</v>
      </c>
      <c r="J2626" t="inlineStr">
        <is>
          <t>Ottawa, Ontario, Canada</t>
        </is>
      </c>
      <c r="K2626" t="inlineStr">
        <is>
          <t>Ottawa, Ontario, Canada</t>
        </is>
      </c>
      <c r="P2626" t="n">
        <v>0</v>
      </c>
      <c r="Q2626" t="n">
        <v>25</v>
      </c>
      <c r="R2626" t="n">
        <v>0</v>
      </c>
      <c r="S2626" t="n">
        <v>0</v>
      </c>
      <c r="T2626" t="n">
        <v>0</v>
      </c>
      <c r="U2626" t="n">
        <v>25</v>
      </c>
      <c r="X2626" t="inlineStr">
        <is>
          <t>aafc-aac</t>
        </is>
      </c>
      <c r="Y2626" t="inlineStr">
        <is>
          <t>Agriculture and Agri-Food Canada | Agriculture et Agroalimentaire Canada</t>
        </is>
      </c>
      <c r="Z2626" t="n">
        <v>1</v>
      </c>
      <c r="AA2626" t="n">
        <v>25</v>
      </c>
      <c r="AB2626">
        <f>ROUND(U2626-AA2626,2)</f>
        <v/>
      </c>
      <c r="AC2626" t="b">
        <v>0</v>
      </c>
      <c r="AD2626">
        <f>IF(U2626="","MISSING_TOTAL",IF(ABS(AB2626)&lt;=0.01,"OK","CHECK"))</f>
        <v/>
      </c>
      <c r="AE2626">
        <f>IF(U2626="","MISSING",IF(AND(AA2626&gt;0,U2626/AA2626&gt;50),"POSSIBLE_SCALE_ERROR","OK"))</f>
        <v/>
      </c>
    </row>
    <row r="2627">
      <c r="A2627" t="inlineStr">
        <is>
          <t>T-AAFC-2026-P11-006</t>
        </is>
      </c>
      <c r="B2627" t="inlineStr">
        <is>
          <t>SLE</t>
        </is>
      </c>
      <c r="C2627" t="inlineStr">
        <is>
          <t>Assistant Deputy Minister, Corporate Management Branch</t>
        </is>
      </c>
      <c r="D2627" t="inlineStr">
        <is>
          <t>Sous-ministre adjoint, Direction générale de la gestion intégrée</t>
        </is>
      </c>
      <c r="E2627" t="inlineStr">
        <is>
          <t>Alain Lagacé</t>
        </is>
      </c>
      <c r="F2627" t="inlineStr">
        <is>
          <t>Site visit to Québec Research and Development Centre</t>
        </is>
      </c>
      <c r="G2627" t="inlineStr">
        <is>
          <t>Visite du Centre de recherche et de développement de Québec</t>
        </is>
      </c>
      <c r="H2627" s="1" t="n">
        <v>46043</v>
      </c>
      <c r="I2627" s="1" t="n">
        <v>46045</v>
      </c>
      <c r="J2627" t="inlineStr">
        <is>
          <t>Québec, Quebec, Canada</t>
        </is>
      </c>
      <c r="K2627" t="inlineStr">
        <is>
          <t>Québec, Québec, Canada</t>
        </is>
      </c>
      <c r="P2627" t="n">
        <v>534.09</v>
      </c>
      <c r="Q2627" t="n">
        <v>408.29</v>
      </c>
      <c r="R2627" t="n">
        <v>316.54</v>
      </c>
      <c r="S2627" t="n">
        <v>229.95</v>
      </c>
      <c r="T2627" t="n">
        <v>0</v>
      </c>
      <c r="U2627" t="n">
        <v>1488.87</v>
      </c>
      <c r="X2627" t="inlineStr">
        <is>
          <t>aafc-aac</t>
        </is>
      </c>
      <c r="Y2627" t="inlineStr">
        <is>
          <t>Agriculture and Agri-Food Canada | Agriculture et Agroalimentaire Canada</t>
        </is>
      </c>
      <c r="Z2627" t="n">
        <v>3</v>
      </c>
      <c r="AA2627" t="n">
        <v>1488.87</v>
      </c>
      <c r="AB2627">
        <f>ROUND(U2627-AA2627,2)</f>
        <v/>
      </c>
      <c r="AC2627" t="b">
        <v>0</v>
      </c>
      <c r="AD2627">
        <f>IF(U2627="","MISSING_TOTAL",IF(ABS(AB2627)&lt;=0.01,"OK","CHECK"))</f>
        <v/>
      </c>
      <c r="AE2627">
        <f>IF(U2627="","MISSING",IF(AND(AA2627&gt;0,U2627/AA2627&gt;50),"POSSIBLE_SCALE_ERROR","OK"))</f>
        <v/>
      </c>
    </row>
    <row r="2628">
      <c r="A2628" t="inlineStr">
        <is>
          <t>T-AAFC-2026-P11-007</t>
        </is>
      </c>
      <c r="B2628" t="inlineStr">
        <is>
          <t>SLE</t>
        </is>
      </c>
      <c r="C2628" t="inlineStr">
        <is>
          <t>Assistant Deputy Minister, Market and Industry Services Branch</t>
        </is>
      </c>
      <c r="D2628" t="inlineStr">
        <is>
          <t>Sous-ministre adjoint, Direction générale des services à l'industrie et aux marchés</t>
        </is>
      </c>
      <c r="E2628" t="inlineStr">
        <is>
          <t>Tom Rosser</t>
        </is>
      </c>
      <c r="F2628" t="inlineStr">
        <is>
          <t>To support the Minister attending a Ministerial Mission</t>
        </is>
      </c>
      <c r="G2628" t="inlineStr">
        <is>
          <t>Soutenir le ministre participant à une mission ministérielle</t>
        </is>
      </c>
      <c r="H2628" s="1" t="n">
        <v>46034</v>
      </c>
      <c r="I2628" s="1" t="n">
        <v>46039</v>
      </c>
      <c r="J2628" t="inlineStr">
        <is>
          <t>Beijing, China</t>
        </is>
      </c>
      <c r="K2628" t="inlineStr">
        <is>
          <t>Beijing, Chine</t>
        </is>
      </c>
      <c r="P2628" t="n">
        <v>17041.19</v>
      </c>
      <c r="Q2628" t="n">
        <v>81.44</v>
      </c>
      <c r="R2628" t="n">
        <v>1222.47</v>
      </c>
      <c r="S2628" t="n">
        <v>763.8200000000001</v>
      </c>
      <c r="T2628" t="n">
        <v>0</v>
      </c>
      <c r="U2628" t="n">
        <v>19108.92</v>
      </c>
      <c r="X2628" t="inlineStr">
        <is>
          <t>aafc-aac</t>
        </is>
      </c>
      <c r="Y2628" t="inlineStr">
        <is>
          <t>Agriculture and Agri-Food Canada | Agriculture et Agroalimentaire Canada</t>
        </is>
      </c>
      <c r="Z2628" t="n">
        <v>6</v>
      </c>
      <c r="AA2628" t="n">
        <v>19108.92</v>
      </c>
      <c r="AB2628">
        <f>ROUND(U2628-AA2628,2)</f>
        <v/>
      </c>
      <c r="AC2628" t="b">
        <v>0</v>
      </c>
      <c r="AD2628">
        <f>IF(U2628="","MISSING_TOTAL",IF(ABS(AB2628)&lt;=0.01,"OK","CHECK"))</f>
        <v/>
      </c>
      <c r="AE2628">
        <f>IF(U2628="","MISSING",IF(AND(AA2628&gt;0,U2628/AA2628&gt;50),"POSSIBLE_SCALE_ERROR","OK"))</f>
        <v/>
      </c>
    </row>
    <row r="2629">
      <c r="A2629" t="inlineStr">
        <is>
          <t>T-AAFC-2026-P12-001</t>
        </is>
      </c>
      <c r="B2629" t="inlineStr">
        <is>
          <t>MPSES</t>
        </is>
      </c>
      <c r="C2629" t="inlineStr">
        <is>
          <t>Minister</t>
        </is>
      </c>
      <c r="D2629" t="inlineStr">
        <is>
          <t>Ministre</t>
        </is>
      </c>
      <c r="E2629" t="inlineStr">
        <is>
          <t>Heath MacDonald</t>
        </is>
      </c>
      <c r="F2629" t="inlineStr">
        <is>
          <t>To attend a Ministerial Mission</t>
        </is>
      </c>
      <c r="G2629" t="inlineStr">
        <is>
          <t>Participer à une mission ministérielle</t>
        </is>
      </c>
      <c r="H2629" s="1" t="n">
        <v>46068</v>
      </c>
      <c r="I2629" s="1" t="n">
        <v>46075</v>
      </c>
      <c r="J2629" t="inlineStr">
        <is>
          <t>Mexico City, Mexico</t>
        </is>
      </c>
      <c r="K2629" t="inlineStr">
        <is>
          <t>Mexico, Mexique</t>
        </is>
      </c>
      <c r="L2629" t="inlineStr">
        <is>
          <t>Guadalajara, Mexico</t>
        </is>
      </c>
      <c r="M2629" t="inlineStr">
        <is>
          <t>Guadalajara, Mexique</t>
        </is>
      </c>
      <c r="N2629" t="inlineStr">
        <is>
          <t>Washington, District of Columbia, United States</t>
        </is>
      </c>
      <c r="O2629" t="inlineStr">
        <is>
          <t>Washington, District de Columbia, États-Unis</t>
        </is>
      </c>
      <c r="P2629" t="n">
        <v>2712.96</v>
      </c>
      <c r="Q2629" t="n">
        <v>0</v>
      </c>
      <c r="R2629" t="n">
        <v>1866.94</v>
      </c>
      <c r="S2629" t="n">
        <v>1065.01</v>
      </c>
      <c r="T2629" t="n">
        <v>0</v>
      </c>
      <c r="U2629" t="n">
        <v>5644.91</v>
      </c>
      <c r="X2629" t="inlineStr">
        <is>
          <t>aafc-aac</t>
        </is>
      </c>
      <c r="Y2629" t="inlineStr">
        <is>
          <t>Agriculture and Agri-Food Canada | Agriculture et Agroalimentaire Canada</t>
        </is>
      </c>
      <c r="Z2629" t="n">
        <v>8</v>
      </c>
      <c r="AA2629" t="n">
        <v>5644.91</v>
      </c>
      <c r="AB2629">
        <f>ROUND(U2629-AA2629,2)</f>
        <v/>
      </c>
      <c r="AC2629" t="b">
        <v>0</v>
      </c>
      <c r="AD2629">
        <f>IF(U2629="","MISSING_TOTAL",IF(ABS(AB2629)&lt;=0.01,"OK","CHECK"))</f>
        <v/>
      </c>
      <c r="AE2629">
        <f>IF(U2629="","MISSING",IF(AND(AA2629&gt;0,U2629/AA2629&gt;50),"POSSIBLE_SCALE_ERROR","OK"))</f>
        <v/>
      </c>
    </row>
    <row r="2630">
      <c r="A2630" t="inlineStr">
        <is>
          <t>T-AAFC-2026-P12-002</t>
        </is>
      </c>
      <c r="B2630" t="inlineStr">
        <is>
          <t>MPSES</t>
        </is>
      </c>
      <c r="C2630" t="inlineStr">
        <is>
          <t>Minister</t>
        </is>
      </c>
      <c r="D2630" t="inlineStr">
        <is>
          <t>Ministre</t>
        </is>
      </c>
      <c r="E2630" t="inlineStr">
        <is>
          <t>Heath MacDonald</t>
        </is>
      </c>
      <c r="F2630" t="inlineStr">
        <is>
          <t>To attend an Atlantic Outreach</t>
        </is>
      </c>
      <c r="G2630" t="inlineStr">
        <is>
          <t>Participer à une tournée de sensibilisation dans les provinces de l'Atlantique</t>
        </is>
      </c>
      <c r="H2630" s="1" t="n">
        <v>46083</v>
      </c>
      <c r="I2630" s="1" t="n">
        <v>46085</v>
      </c>
      <c r="J2630" t="inlineStr">
        <is>
          <t>Halifax, Nova Scotia, Canada</t>
        </is>
      </c>
      <c r="K2630" t="inlineStr">
        <is>
          <t>Halifax, Nouvelle-Écosse, Canada</t>
        </is>
      </c>
      <c r="L2630" t="inlineStr">
        <is>
          <t>St. John's, Newfoundland and Labrador, Canada</t>
        </is>
      </c>
      <c r="M2630" t="inlineStr">
        <is>
          <t>St. John's, Terre-Neuve-et-Labrador, Canada</t>
        </is>
      </c>
      <c r="P2630" t="n">
        <v>2272.03</v>
      </c>
      <c r="Q2630" t="n">
        <v>0</v>
      </c>
      <c r="R2630" t="n">
        <v>354.62</v>
      </c>
      <c r="S2630" t="n">
        <v>290.7</v>
      </c>
      <c r="T2630" t="n">
        <v>0</v>
      </c>
      <c r="U2630" t="n">
        <v>2917.35</v>
      </c>
      <c r="X2630" t="inlineStr">
        <is>
          <t>aafc-aac</t>
        </is>
      </c>
      <c r="Y2630" t="inlineStr">
        <is>
          <t>Agriculture and Agri-Food Canada | Agriculture et Agroalimentaire Canada</t>
        </is>
      </c>
      <c r="Z2630" t="n">
        <v>3</v>
      </c>
      <c r="AA2630" t="n">
        <v>2917.35</v>
      </c>
      <c r="AB2630">
        <f>ROUND(U2630-AA2630,2)</f>
        <v/>
      </c>
      <c r="AC2630" t="b">
        <v>0</v>
      </c>
      <c r="AD2630">
        <f>IF(U2630="","MISSING_TOTAL",IF(ABS(AB2630)&lt;=0.01,"OK","CHECK"))</f>
        <v/>
      </c>
      <c r="AE2630">
        <f>IF(U2630="","MISSING",IF(AND(AA2630&gt;0,U2630/AA2630&gt;50),"POSSIBLE_SCALE_ERROR","OK"))</f>
        <v/>
      </c>
    </row>
    <row r="2631">
      <c r="A2631" t="inlineStr">
        <is>
          <t>T-AAFC-2026-P12-003</t>
        </is>
      </c>
      <c r="B2631" t="inlineStr">
        <is>
          <t>MPSES</t>
        </is>
      </c>
      <c r="C2631" t="inlineStr">
        <is>
          <t>Policy Advisor</t>
        </is>
      </c>
      <c r="D2631" t="inlineStr">
        <is>
          <t>Conseiller en politiques</t>
        </is>
      </c>
      <c r="E2631" t="inlineStr">
        <is>
          <t>Jeremy Keats</t>
        </is>
      </c>
      <c r="F2631" t="inlineStr">
        <is>
          <t>To support the Minister's attendance at an Atlantic Outreach</t>
        </is>
      </c>
      <c r="G2631" t="inlineStr">
        <is>
          <t>Soutenir le ministre lors d'une tournée de sensibilisation dans les provinces de l'Atlantique</t>
        </is>
      </c>
      <c r="H2631" s="1" t="n">
        <v>46082</v>
      </c>
      <c r="I2631" s="1" t="n">
        <v>46086</v>
      </c>
      <c r="J2631" t="inlineStr">
        <is>
          <t>Charlottetown, Prince Edward Island, Canada</t>
        </is>
      </c>
      <c r="K2631" t="inlineStr">
        <is>
          <t>Charlottetown, Île-du-Prince-Édouard, Canada</t>
        </is>
      </c>
      <c r="L2631" t="inlineStr">
        <is>
          <t>Halifax, Nova Scotia, Canada</t>
        </is>
      </c>
      <c r="M2631" t="inlineStr">
        <is>
          <t>Halifax, Nouvelle-Écosse, Canada</t>
        </is>
      </c>
      <c r="N2631" t="inlineStr">
        <is>
          <t>St. John's, Newfoundland and Labrador, Canada</t>
        </is>
      </c>
      <c r="O2631" t="inlineStr">
        <is>
          <t>St. John's, Terre-Neuve-et-Labrador, Canada</t>
        </is>
      </c>
      <c r="P2631" t="n">
        <v>3649.56</v>
      </c>
      <c r="Q2631" t="n">
        <v>0</v>
      </c>
      <c r="R2631" t="n">
        <v>854.54</v>
      </c>
      <c r="S2631" t="n">
        <v>654.45</v>
      </c>
      <c r="T2631" t="n">
        <v>0</v>
      </c>
      <c r="U2631" t="n">
        <v>5158.55</v>
      </c>
      <c r="X2631" t="inlineStr">
        <is>
          <t>aafc-aac</t>
        </is>
      </c>
      <c r="Y2631" t="inlineStr">
        <is>
          <t>Agriculture and Agri-Food Canada | Agriculture et Agroalimentaire Canada</t>
        </is>
      </c>
      <c r="Z2631" t="n">
        <v>5</v>
      </c>
      <c r="AA2631" t="n">
        <v>5158.55</v>
      </c>
      <c r="AB2631">
        <f>ROUND(U2631-AA2631,2)</f>
        <v/>
      </c>
      <c r="AC2631" t="b">
        <v>0</v>
      </c>
      <c r="AD2631">
        <f>IF(U2631="","MISSING_TOTAL",IF(ABS(AB2631)&lt;=0.01,"OK","CHECK"))</f>
        <v/>
      </c>
      <c r="AE2631">
        <f>IF(U2631="","MISSING",IF(AND(AA2631&gt;0,U2631/AA2631&gt;50),"POSSIBLE_SCALE_ERROR","OK"))</f>
        <v/>
      </c>
    </row>
    <row r="2632">
      <c r="A2632" t="inlineStr">
        <is>
          <t>T-AAFC-2026-P12-004</t>
        </is>
      </c>
      <c r="B2632" t="inlineStr">
        <is>
          <t>MPSES</t>
        </is>
      </c>
      <c r="C2632" t="inlineStr">
        <is>
          <t>Chief of Staff</t>
        </is>
      </c>
      <c r="D2632" t="inlineStr">
        <is>
          <t>Chef de Cabinet</t>
        </is>
      </c>
      <c r="E2632" t="inlineStr">
        <is>
          <t>Guy Gallant</t>
        </is>
      </c>
      <c r="F2632" t="inlineStr">
        <is>
          <t>To support the Minister's attendance to a Ministerial Mission</t>
        </is>
      </c>
      <c r="G2632" t="inlineStr">
        <is>
          <t>Soutenir la participation du ministre à une mission ministérielle</t>
        </is>
      </c>
      <c r="H2632" s="1" t="n">
        <v>46072</v>
      </c>
      <c r="I2632" s="1" t="n">
        <v>46075</v>
      </c>
      <c r="J2632" t="inlineStr">
        <is>
          <t>Washington, District of Columbia, United States</t>
        </is>
      </c>
      <c r="K2632" t="inlineStr">
        <is>
          <t>Washington, District de Columbia, États-Unis</t>
        </is>
      </c>
      <c r="P2632" t="n">
        <v>1166.6</v>
      </c>
      <c r="Q2632" t="n">
        <v>44.51</v>
      </c>
      <c r="R2632" t="n">
        <v>311.14</v>
      </c>
      <c r="S2632" t="n">
        <v>462.21</v>
      </c>
      <c r="T2632" t="n">
        <v>0</v>
      </c>
      <c r="U2632" t="n">
        <v>1984.46</v>
      </c>
      <c r="X2632" t="inlineStr">
        <is>
          <t>aafc-aac</t>
        </is>
      </c>
      <c r="Y2632" t="inlineStr">
        <is>
          <t>Agriculture and Agri-Food Canada | Agriculture et Agroalimentaire Canada</t>
        </is>
      </c>
      <c r="Z2632" t="n">
        <v>4</v>
      </c>
      <c r="AA2632" t="n">
        <v>1984.46</v>
      </c>
      <c r="AB2632">
        <f>ROUND(U2632-AA2632,2)</f>
        <v/>
      </c>
      <c r="AC2632" t="b">
        <v>0</v>
      </c>
      <c r="AD2632">
        <f>IF(U2632="","MISSING_TOTAL",IF(ABS(AB2632)&lt;=0.01,"OK","CHECK"))</f>
        <v/>
      </c>
      <c r="AE2632">
        <f>IF(U2632="","MISSING",IF(AND(AA2632&gt;0,U2632/AA2632&gt;50),"POSSIBLE_SCALE_ERROR","OK"))</f>
        <v/>
      </c>
    </row>
    <row r="2633">
      <c r="A2633" t="inlineStr">
        <is>
          <t>T-AAFC-2026-P12-005</t>
        </is>
      </c>
      <c r="B2633" t="inlineStr">
        <is>
          <t>MPSES</t>
        </is>
      </c>
      <c r="C2633" t="inlineStr">
        <is>
          <t>Director of Policy</t>
        </is>
      </c>
      <c r="D2633" t="inlineStr">
        <is>
          <t>Directrice des politiques</t>
        </is>
      </c>
      <c r="E2633" t="inlineStr">
        <is>
          <t>Serena Smith</t>
        </is>
      </c>
      <c r="F2633" t="inlineStr">
        <is>
          <t>To support the Minister's attendance to a Ministerial Mission</t>
        </is>
      </c>
      <c r="G2633" t="inlineStr">
        <is>
          <t>Soutenir la participation du ministre à une mission ministérielle</t>
        </is>
      </c>
      <c r="H2633" s="1" t="n">
        <v>46068</v>
      </c>
      <c r="I2633" s="1" t="n">
        <v>46075</v>
      </c>
      <c r="J2633" t="inlineStr">
        <is>
          <t>Mexico City, Mexico</t>
        </is>
      </c>
      <c r="K2633" t="inlineStr">
        <is>
          <t>Mexico, Mexique</t>
        </is>
      </c>
      <c r="L2633" t="inlineStr">
        <is>
          <t>Guadalajara, Mexico</t>
        </is>
      </c>
      <c r="M2633" t="inlineStr">
        <is>
          <t>Guadalajara, Mexique</t>
        </is>
      </c>
      <c r="N2633" t="inlineStr">
        <is>
          <t>Washington, District of Columbia, United States</t>
        </is>
      </c>
      <c r="O2633" t="inlineStr">
        <is>
          <t>Washington, District de Columbia, États-Unis</t>
        </is>
      </c>
      <c r="P2633" t="n">
        <v>2749.71</v>
      </c>
      <c r="Q2633" t="n">
        <v>0</v>
      </c>
      <c r="R2633" t="n">
        <v>1949.19</v>
      </c>
      <c r="S2633" t="n">
        <v>1192.68</v>
      </c>
      <c r="T2633" t="n">
        <v>0</v>
      </c>
      <c r="U2633" t="n">
        <v>5891.58</v>
      </c>
      <c r="X2633" t="inlineStr">
        <is>
          <t>aafc-aac</t>
        </is>
      </c>
      <c r="Y2633" t="inlineStr">
        <is>
          <t>Agriculture and Agri-Food Canada | Agriculture et Agroalimentaire Canada</t>
        </is>
      </c>
      <c r="Z2633" t="n">
        <v>8</v>
      </c>
      <c r="AA2633" t="n">
        <v>5891.58</v>
      </c>
      <c r="AB2633">
        <f>ROUND(U2633-AA2633,2)</f>
        <v/>
      </c>
      <c r="AC2633" t="b">
        <v>0</v>
      </c>
      <c r="AD2633">
        <f>IF(U2633="","MISSING_TOTAL",IF(ABS(AB2633)&lt;=0.01,"OK","CHECK"))</f>
        <v/>
      </c>
      <c r="AE2633">
        <f>IF(U2633="","MISSING",IF(AND(AA2633&gt;0,U2633/AA2633&gt;50),"POSSIBLE_SCALE_ERROR","OK"))</f>
        <v/>
      </c>
    </row>
    <row r="2634">
      <c r="A2634" t="inlineStr">
        <is>
          <t>T-AAFC-2026-P12-006</t>
        </is>
      </c>
      <c r="B2634" t="inlineStr">
        <is>
          <t>MPSES</t>
        </is>
      </c>
      <c r="C2634" t="inlineStr">
        <is>
          <t>Director of Policy</t>
        </is>
      </c>
      <c r="D2634" t="inlineStr">
        <is>
          <t>Directrice des politiques</t>
        </is>
      </c>
      <c r="E2634" t="inlineStr">
        <is>
          <t>Serena Smith</t>
        </is>
      </c>
      <c r="F2634" t="inlineStr">
        <is>
          <t>To support the Minister's attendance at an Atlantic Outreach</t>
        </is>
      </c>
      <c r="G2634" t="inlineStr">
        <is>
          <t>Soutenir le ministre lors d'une tournée de sensibilisation dans les provinces de l'Atlantique</t>
        </is>
      </c>
      <c r="H2634" s="1" t="n">
        <v>46079</v>
      </c>
      <c r="I2634" s="1" t="n">
        <v>46085</v>
      </c>
      <c r="J2634" t="inlineStr">
        <is>
          <t>Charlottetown, Prince Edward Island, Canada</t>
        </is>
      </c>
      <c r="K2634" t="inlineStr">
        <is>
          <t>Charlottetown, Île-du-Prince-Édouard, Canada</t>
        </is>
      </c>
      <c r="P2634" t="n">
        <v>1398.56</v>
      </c>
      <c r="Q2634" t="n">
        <v>93.14</v>
      </c>
      <c r="R2634" t="n">
        <v>214.08</v>
      </c>
      <c r="S2634" t="n">
        <v>124.95</v>
      </c>
      <c r="T2634" t="n">
        <v>0</v>
      </c>
      <c r="U2634" t="n">
        <v>1830.73</v>
      </c>
      <c r="X2634" t="inlineStr">
        <is>
          <t>aafc-aac</t>
        </is>
      </c>
      <c r="Y2634" t="inlineStr">
        <is>
          <t>Agriculture and Agri-Food Canada | Agriculture et Agroalimentaire Canada</t>
        </is>
      </c>
      <c r="Z2634" t="n">
        <v>7</v>
      </c>
      <c r="AA2634" t="n">
        <v>1830.73</v>
      </c>
      <c r="AB2634">
        <f>ROUND(U2634-AA2634,2)</f>
        <v/>
      </c>
      <c r="AC2634" t="b">
        <v>0</v>
      </c>
      <c r="AD2634">
        <f>IF(U2634="","MISSING_TOTAL",IF(ABS(AB2634)&lt;=0.01,"OK","CHECK"))</f>
        <v/>
      </c>
      <c r="AE2634">
        <f>IF(U2634="","MISSING",IF(AND(AA2634&gt;0,U2634/AA2634&gt;50),"POSSIBLE_SCALE_ERROR","OK"))</f>
        <v/>
      </c>
    </row>
    <row r="2635">
      <c r="A2635" t="inlineStr">
        <is>
          <t>T-AAFC-2026-P12-007</t>
        </is>
      </c>
      <c r="B2635" t="inlineStr">
        <is>
          <t>MPSES</t>
        </is>
      </c>
      <c r="C2635" t="inlineStr">
        <is>
          <t>Director of Policy</t>
        </is>
      </c>
      <c r="D2635" t="inlineStr">
        <is>
          <t>Directrice des politiques</t>
        </is>
      </c>
      <c r="E2635" t="inlineStr">
        <is>
          <t>Serena Smith</t>
        </is>
      </c>
      <c r="F2635" t="inlineStr">
        <is>
          <t>To support the Minister's attendance to a Ministerial Mission</t>
        </is>
      </c>
      <c r="G2635" t="inlineStr">
        <is>
          <t>Soutenir la participation du ministre à une mission ministérielle</t>
        </is>
      </c>
      <c r="H2635" s="1" t="n">
        <v>46095</v>
      </c>
      <c r="I2635" s="1" t="n">
        <v>46099</v>
      </c>
      <c r="J2635" t="inlineStr">
        <is>
          <t>Boston, Massachusetts, United States</t>
        </is>
      </c>
      <c r="K2635" t="inlineStr">
        <is>
          <t>Boston, Massachusetts, États-Unis</t>
        </is>
      </c>
      <c r="P2635" t="n">
        <v>1449.89</v>
      </c>
      <c r="Q2635" t="n">
        <v>0</v>
      </c>
      <c r="R2635" t="n">
        <v>1906.96</v>
      </c>
      <c r="S2635" t="n">
        <v>534.6</v>
      </c>
      <c r="T2635" t="n">
        <v>0</v>
      </c>
      <c r="U2635" t="n">
        <v>3891.45</v>
      </c>
      <c r="X2635" t="inlineStr">
        <is>
          <t>aafc-aac</t>
        </is>
      </c>
      <c r="Y2635" t="inlineStr">
        <is>
          <t>Agriculture and Agri-Food Canada | Agriculture et Agroalimentaire Canada</t>
        </is>
      </c>
      <c r="Z2635" t="n">
        <v>5</v>
      </c>
      <c r="AA2635" t="n">
        <v>3891.45</v>
      </c>
      <c r="AB2635">
        <f>ROUND(U2635-AA2635,2)</f>
        <v/>
      </c>
      <c r="AC2635" t="b">
        <v>0</v>
      </c>
      <c r="AD2635">
        <f>IF(U2635="","MISSING_TOTAL",IF(ABS(AB2635)&lt;=0.01,"OK","CHECK"))</f>
        <v/>
      </c>
      <c r="AE2635">
        <f>IF(U2635="","MISSING",IF(AND(AA2635&gt;0,U2635/AA2635&gt;50),"POSSIBLE_SCALE_ERROR","OK"))</f>
        <v/>
      </c>
    </row>
    <row r="2636">
      <c r="A2636" t="inlineStr">
        <is>
          <t>T-AAFC-2026-P12-008</t>
        </is>
      </c>
      <c r="B2636" t="inlineStr">
        <is>
          <t>MPSES</t>
        </is>
      </c>
      <c r="C2636" t="inlineStr">
        <is>
          <t>Atlantic Regional Advisor</t>
        </is>
      </c>
      <c r="D2636" t="inlineStr">
        <is>
          <t>Conseiller régional de l'Atlantique</t>
        </is>
      </c>
      <c r="E2636" t="inlineStr">
        <is>
          <t>Jake Godfrey</t>
        </is>
      </c>
      <c r="F2636" t="inlineStr">
        <is>
          <t>To support the Minister's attendance at an Atlantic Outreach</t>
        </is>
      </c>
      <c r="G2636" t="inlineStr">
        <is>
          <t>Soutenir le ministre lors d'une tournée de sensibilisation dans les provinces de l'Atlantique</t>
        </is>
      </c>
      <c r="H2636" s="1" t="n">
        <v>46082</v>
      </c>
      <c r="I2636" s="1" t="n">
        <v>46085</v>
      </c>
      <c r="J2636" t="inlineStr">
        <is>
          <t>Charlottetown, Prince Edward Island, Canada</t>
        </is>
      </c>
      <c r="K2636" t="inlineStr">
        <is>
          <t>Charlottetown, Île-du-Prince-Édouard, Canada</t>
        </is>
      </c>
      <c r="L2636" t="inlineStr">
        <is>
          <t>Halifax, Nova Scotia, Canada</t>
        </is>
      </c>
      <c r="M2636" t="inlineStr">
        <is>
          <t>Halifax, Nouvelle-Écosse, Canada</t>
        </is>
      </c>
      <c r="N2636" t="inlineStr">
        <is>
          <t>St. John's, Newfoundland and Labrador, Canada</t>
        </is>
      </c>
      <c r="O2636" t="inlineStr">
        <is>
          <t>St. John's, Terre-Neuve-et-Labrador, Canada</t>
        </is>
      </c>
      <c r="P2636" t="n">
        <v>3860.67</v>
      </c>
      <c r="Q2636" t="n">
        <v>788.79</v>
      </c>
      <c r="R2636" t="n">
        <v>354.62</v>
      </c>
      <c r="S2636" t="n">
        <v>730.4</v>
      </c>
      <c r="T2636" t="n">
        <v>0</v>
      </c>
      <c r="U2636" t="n">
        <v>5734.48</v>
      </c>
      <c r="X2636" t="inlineStr">
        <is>
          <t>aafc-aac</t>
        </is>
      </c>
      <c r="Y2636" t="inlineStr">
        <is>
          <t>Agriculture and Agri-Food Canada | Agriculture et Agroalimentaire Canada</t>
        </is>
      </c>
      <c r="Z2636" t="n">
        <v>4</v>
      </c>
      <c r="AA2636" t="n">
        <v>5734.48</v>
      </c>
      <c r="AB2636">
        <f>ROUND(U2636-AA2636,2)</f>
        <v/>
      </c>
      <c r="AC2636" t="b">
        <v>0</v>
      </c>
      <c r="AD2636">
        <f>IF(U2636="","MISSING_TOTAL",IF(ABS(AB2636)&lt;=0.01,"OK","CHECK"))</f>
        <v/>
      </c>
      <c r="AE2636">
        <f>IF(U2636="","MISSING",IF(AND(AA2636&gt;0,U2636/AA2636&gt;50),"POSSIBLE_SCALE_ERROR","OK"))</f>
        <v/>
      </c>
    </row>
    <row r="2637">
      <c r="A2637" t="inlineStr">
        <is>
          <t>T-AAFC-2026-P12-009</t>
        </is>
      </c>
      <c r="B2637" t="inlineStr">
        <is>
          <t>MPSES</t>
        </is>
      </c>
      <c r="C2637" t="inlineStr">
        <is>
          <t>Director of Operations</t>
        </is>
      </c>
      <c r="D2637" t="inlineStr">
        <is>
          <t>Directrice des opérations</t>
        </is>
      </c>
      <c r="E2637" t="inlineStr">
        <is>
          <t>Mikaela Harrison</t>
        </is>
      </c>
      <c r="F2637" t="inlineStr">
        <is>
          <t>To support the Minister's attendance to a Ministerial Mission</t>
        </is>
      </c>
      <c r="G2637" t="inlineStr">
        <is>
          <t>Soutenir la participation du ministre à une mission ministérielle</t>
        </is>
      </c>
      <c r="H2637" s="1" t="n">
        <v>46068</v>
      </c>
      <c r="I2637" s="1" t="n">
        <v>46075</v>
      </c>
      <c r="J2637" t="inlineStr">
        <is>
          <t>Mexico City, Mexico</t>
        </is>
      </c>
      <c r="K2637" t="inlineStr">
        <is>
          <t>Mexico, Mexique</t>
        </is>
      </c>
      <c r="L2637" t="inlineStr">
        <is>
          <t>Guadalajara, Mexico</t>
        </is>
      </c>
      <c r="M2637" t="inlineStr">
        <is>
          <t>Guadalajara, Mexique</t>
        </is>
      </c>
      <c r="N2637" t="inlineStr">
        <is>
          <t>Washington, District of Columbia, United States</t>
        </is>
      </c>
      <c r="O2637" t="inlineStr">
        <is>
          <t>Washington, District de Columbia, États-Unis</t>
        </is>
      </c>
      <c r="P2637" t="n">
        <v>2666.71</v>
      </c>
      <c r="Q2637" t="n">
        <v>124.68</v>
      </c>
      <c r="R2637" t="n">
        <v>1866.94</v>
      </c>
      <c r="S2637" t="n">
        <v>1192.68</v>
      </c>
      <c r="T2637" t="n">
        <v>0</v>
      </c>
      <c r="U2637" t="n">
        <v>5851.01</v>
      </c>
      <c r="X2637" t="inlineStr">
        <is>
          <t>aafc-aac</t>
        </is>
      </c>
      <c r="Y2637" t="inlineStr">
        <is>
          <t>Agriculture and Agri-Food Canada | Agriculture et Agroalimentaire Canada</t>
        </is>
      </c>
      <c r="Z2637" t="n">
        <v>8</v>
      </c>
      <c r="AA2637" t="n">
        <v>5851.01</v>
      </c>
      <c r="AB2637">
        <f>ROUND(U2637-AA2637,2)</f>
        <v/>
      </c>
      <c r="AC2637" t="b">
        <v>0</v>
      </c>
      <c r="AD2637">
        <f>IF(U2637="","MISSING_TOTAL",IF(ABS(AB2637)&lt;=0.01,"OK","CHECK"))</f>
        <v/>
      </c>
      <c r="AE2637">
        <f>IF(U2637="","MISSING",IF(AND(AA2637&gt;0,U2637/AA2637&gt;50),"POSSIBLE_SCALE_ERROR","OK"))</f>
        <v/>
      </c>
    </row>
    <row r="2638">
      <c r="A2638" t="inlineStr">
        <is>
          <t>T-AAFC-2026-P12-010</t>
        </is>
      </c>
      <c r="B2638" t="inlineStr">
        <is>
          <t>MPSES</t>
        </is>
      </c>
      <c r="C2638" t="inlineStr">
        <is>
          <t>Deputy Minister</t>
        </is>
      </c>
      <c r="D2638" t="inlineStr">
        <is>
          <t>Sous-Ministre</t>
        </is>
      </c>
      <c r="E2638" t="inlineStr">
        <is>
          <t>Lawrence Hanson</t>
        </is>
      </c>
      <c r="F2638" t="inlineStr">
        <is>
          <t>To support the Minister's attendance to a Ministerial Mission</t>
        </is>
      </c>
      <c r="G2638" t="inlineStr">
        <is>
          <t>Soutenir la participation du ministre à une mission ministérielle</t>
        </is>
      </c>
      <c r="H2638" s="1" t="n">
        <v>46072</v>
      </c>
      <c r="I2638" s="1" t="n">
        <v>46073</v>
      </c>
      <c r="J2638" t="inlineStr">
        <is>
          <t>Washington, District of Columbia, United States</t>
        </is>
      </c>
      <c r="K2638" t="inlineStr">
        <is>
          <t>Washington, District de Columbia, États-Unis</t>
        </is>
      </c>
      <c r="P2638" t="n">
        <v>547.8</v>
      </c>
      <c r="Q2638" t="n">
        <v>0</v>
      </c>
      <c r="R2638" t="n">
        <v>349.35</v>
      </c>
      <c r="S2638" t="n">
        <v>264.82</v>
      </c>
      <c r="T2638" t="n">
        <v>0</v>
      </c>
      <c r="U2638" t="n">
        <v>1161.97</v>
      </c>
      <c r="X2638" t="inlineStr">
        <is>
          <t>aafc-aac</t>
        </is>
      </c>
      <c r="Y2638" t="inlineStr">
        <is>
          <t>Agriculture and Agri-Food Canada | Agriculture et Agroalimentaire Canada</t>
        </is>
      </c>
      <c r="Z2638" t="n">
        <v>2</v>
      </c>
      <c r="AA2638" t="n">
        <v>1161.97</v>
      </c>
      <c r="AB2638">
        <f>ROUND(U2638-AA2638,2)</f>
        <v/>
      </c>
      <c r="AC2638" t="b">
        <v>0</v>
      </c>
      <c r="AD2638">
        <f>IF(U2638="","MISSING_TOTAL",IF(ABS(AB2638)&lt;=0.01,"OK","CHECK"))</f>
        <v/>
      </c>
      <c r="AE2638">
        <f>IF(U2638="","MISSING",IF(AND(AA2638&gt;0,U2638/AA2638&gt;50),"POSSIBLE_SCALE_ERROR","OK"))</f>
        <v/>
      </c>
    </row>
    <row r="2639">
      <c r="A2639" t="inlineStr">
        <is>
          <t>T-AAFC-2026-P12-011</t>
        </is>
      </c>
      <c r="B2639" t="inlineStr">
        <is>
          <t>MPSES</t>
        </is>
      </c>
      <c r="C2639" t="inlineStr">
        <is>
          <t>Deputy Minister</t>
        </is>
      </c>
      <c r="D2639" t="inlineStr">
        <is>
          <t>Sous-Ministre</t>
        </is>
      </c>
      <c r="E2639" t="inlineStr">
        <is>
          <t>Lawrence Hanson</t>
        </is>
      </c>
      <c r="F2639" t="inlineStr">
        <is>
          <t>To support the Minister's attendance at an Atlantic Outreach</t>
        </is>
      </c>
      <c r="G2639" t="inlineStr">
        <is>
          <t>Soutenir le ministre lors d'une tournée de sensibilisation dans les provinces de l'Atlantique</t>
        </is>
      </c>
      <c r="H2639" s="1" t="n">
        <v>46082</v>
      </c>
      <c r="I2639" s="1" t="n">
        <v>46085</v>
      </c>
      <c r="J2639" t="inlineStr">
        <is>
          <t>Halifax, Nova Scotia, Canada</t>
        </is>
      </c>
      <c r="K2639" t="inlineStr">
        <is>
          <t>Halifax, Nouvelle-Écosse, Canada</t>
        </is>
      </c>
      <c r="L2639" t="inlineStr">
        <is>
          <t>St. John's, Newfoundland and Labrador, Canada</t>
        </is>
      </c>
      <c r="M2639" t="inlineStr">
        <is>
          <t>St. John's, Terre-Neuve-et-Labrador, Canada</t>
        </is>
      </c>
      <c r="P2639" t="n">
        <v>2853.75</v>
      </c>
      <c r="Q2639" t="n">
        <v>92.11</v>
      </c>
      <c r="R2639" t="n">
        <v>588.29</v>
      </c>
      <c r="S2639" t="n">
        <v>587.78</v>
      </c>
      <c r="T2639" t="n">
        <v>0</v>
      </c>
      <c r="U2639" t="n">
        <v>4121.93</v>
      </c>
      <c r="X2639" t="inlineStr">
        <is>
          <t>aafc-aac</t>
        </is>
      </c>
      <c r="Y2639" t="inlineStr">
        <is>
          <t>Agriculture and Agri-Food Canada | Agriculture et Agroalimentaire Canada</t>
        </is>
      </c>
      <c r="Z2639" t="n">
        <v>4</v>
      </c>
      <c r="AA2639" t="n">
        <v>4121.93</v>
      </c>
      <c r="AB2639">
        <f>ROUND(U2639-AA2639,2)</f>
        <v/>
      </c>
      <c r="AC2639" t="b">
        <v>0</v>
      </c>
      <c r="AD2639">
        <f>IF(U2639="","MISSING_TOTAL",IF(ABS(AB2639)&lt;=0.01,"OK","CHECK"))</f>
        <v/>
      </c>
      <c r="AE2639">
        <f>IF(U2639="","MISSING",IF(AND(AA2639&gt;0,U2639/AA2639&gt;50),"POSSIBLE_SCALE_ERROR","OK"))</f>
        <v/>
      </c>
    </row>
    <row r="2640">
      <c r="A2640" t="inlineStr">
        <is>
          <t>T-AAFC-2026-P12-012</t>
        </is>
      </c>
      <c r="B2640" t="inlineStr">
        <is>
          <t>MPSES</t>
        </is>
      </c>
      <c r="C2640" t="inlineStr">
        <is>
          <t>Deputy Minister</t>
        </is>
      </c>
      <c r="D2640" t="inlineStr">
        <is>
          <t>Sous-Ministre</t>
        </is>
      </c>
      <c r="E2640" t="inlineStr">
        <is>
          <t>Lawrence Hanson</t>
        </is>
      </c>
      <c r="F2640" t="inlineStr">
        <is>
          <t>To support the Minister's attendance to a Ministerial Mission</t>
        </is>
      </c>
      <c r="G2640" t="inlineStr">
        <is>
          <t>Soutenir la participation du ministre à une mission ministérielle</t>
        </is>
      </c>
      <c r="H2640" s="1" t="n">
        <v>46095</v>
      </c>
      <c r="I2640" s="1" t="n">
        <v>46099</v>
      </c>
      <c r="J2640" t="inlineStr">
        <is>
          <t>Boston, Massachusetts, United States</t>
        </is>
      </c>
      <c r="K2640" t="inlineStr">
        <is>
          <t>Boston, Massachusetts, États-Unis</t>
        </is>
      </c>
      <c r="P2640" t="n">
        <v>1104.92</v>
      </c>
      <c r="Q2640" t="n">
        <v>97.7</v>
      </c>
      <c r="R2640" t="n">
        <v>1862.48</v>
      </c>
      <c r="S2640" t="n">
        <v>808.91</v>
      </c>
      <c r="T2640" t="n">
        <v>0</v>
      </c>
      <c r="U2640" t="n">
        <v>3874.01</v>
      </c>
      <c r="X2640" t="inlineStr">
        <is>
          <t>aafc-aac</t>
        </is>
      </c>
      <c r="Y2640" t="inlineStr">
        <is>
          <t>Agriculture and Agri-Food Canada | Agriculture et Agroalimentaire Canada</t>
        </is>
      </c>
      <c r="Z2640" t="n">
        <v>5</v>
      </c>
      <c r="AA2640" t="n">
        <v>3874.01</v>
      </c>
      <c r="AB2640">
        <f>ROUND(U2640-AA2640,2)</f>
        <v/>
      </c>
      <c r="AC2640" t="b">
        <v>0</v>
      </c>
      <c r="AD2640">
        <f>IF(U2640="","MISSING_TOTAL",IF(ABS(AB2640)&lt;=0.01,"OK","CHECK"))</f>
        <v/>
      </c>
      <c r="AE2640">
        <f>IF(U2640="","MISSING",IF(AND(AA2640&gt;0,U2640/AA2640&gt;50),"POSSIBLE_SCALE_ERROR","OK"))</f>
        <v/>
      </c>
    </row>
    <row r="2641">
      <c r="A2641" t="inlineStr">
        <is>
          <t>T-AAFC-2026-P12-013</t>
        </is>
      </c>
      <c r="B2641" t="inlineStr">
        <is>
          <t>SLE</t>
        </is>
      </c>
      <c r="C2641" t="inlineStr">
        <is>
          <t>Assistant Deputy Minister, Science and Technology Branch</t>
        </is>
      </c>
      <c r="D2641" t="inlineStr">
        <is>
          <t>Sous-ministre adjointe, Direction générale des sciences et de la technologie</t>
        </is>
      </c>
      <c r="E2641" t="inlineStr">
        <is>
          <t>Arran McPherson</t>
        </is>
      </c>
      <c r="F2641" t="inlineStr">
        <is>
          <t>To attend the Space Committee Security Briefing</t>
        </is>
      </c>
      <c r="G2641" t="inlineStr">
        <is>
          <t>Participer au Breffage sur la sécurité spatiale du Comité spatial</t>
        </is>
      </c>
      <c r="H2641" s="1" t="n">
        <v>46076</v>
      </c>
      <c r="I2641" s="1" t="n">
        <v>46076</v>
      </c>
      <c r="J2641" t="inlineStr">
        <is>
          <t>Ottawa, Ontario, Canada</t>
        </is>
      </c>
      <c r="K2641" t="inlineStr">
        <is>
          <t>Ottawa, Ontario, Canada</t>
        </is>
      </c>
      <c r="P2641" t="n">
        <v>0</v>
      </c>
      <c r="Q2641" t="n">
        <v>52.15</v>
      </c>
      <c r="R2641" t="n">
        <v>0</v>
      </c>
      <c r="S2641" t="n">
        <v>0</v>
      </c>
      <c r="T2641" t="n">
        <v>0</v>
      </c>
      <c r="U2641" t="n">
        <v>52.15</v>
      </c>
      <c r="X2641" t="inlineStr">
        <is>
          <t>aafc-aac</t>
        </is>
      </c>
      <c r="Y2641" t="inlineStr">
        <is>
          <t>Agriculture and Agri-Food Canada | Agriculture et Agroalimentaire Canada</t>
        </is>
      </c>
      <c r="Z2641" t="n">
        <v>1</v>
      </c>
      <c r="AA2641" t="n">
        <v>52.15</v>
      </c>
      <c r="AB2641">
        <f>ROUND(U2641-AA2641,2)</f>
        <v/>
      </c>
      <c r="AC2641" t="b">
        <v>0</v>
      </c>
      <c r="AD2641">
        <f>IF(U2641="","MISSING_TOTAL",IF(ABS(AB2641)&lt;=0.01,"OK","CHECK"))</f>
        <v/>
      </c>
      <c r="AE2641">
        <f>IF(U2641="","MISSING",IF(AND(AA2641&gt;0,U2641/AA2641&gt;50),"POSSIBLE_SCALE_ERROR","OK"))</f>
        <v/>
      </c>
    </row>
    <row r="2642">
      <c r="A2642" t="inlineStr">
        <is>
          <t>T-AAFC-2026-P12-014</t>
        </is>
      </c>
      <c r="B2642" t="inlineStr">
        <is>
          <t>SLE</t>
        </is>
      </c>
      <c r="C2642" t="inlineStr">
        <is>
          <t>Assistant Deputy Minister, International Affairs Branch</t>
        </is>
      </c>
      <c r="D2642" t="inlineStr">
        <is>
          <t>Sous-ministre adjointe, Direction générale des affaires internationales</t>
        </is>
      </c>
      <c r="E2642" t="inlineStr">
        <is>
          <t>Chris Moran</t>
        </is>
      </c>
      <c r="F2642" t="inlineStr">
        <is>
          <t>To attend meetings</t>
        </is>
      </c>
      <c r="G2642" t="inlineStr">
        <is>
          <t>Assister à des rencontres</t>
        </is>
      </c>
      <c r="H2642" s="1" t="n">
        <v>46037</v>
      </c>
      <c r="I2642" s="1" t="n">
        <v>46037</v>
      </c>
      <c r="J2642" t="inlineStr">
        <is>
          <t>Cobourg, Ontario, Canada</t>
        </is>
      </c>
      <c r="K2642" t="inlineStr">
        <is>
          <t>Cobourg, Ontario, Canada</t>
        </is>
      </c>
      <c r="P2642" t="n">
        <v>0</v>
      </c>
      <c r="Q2642" t="n">
        <v>485.72</v>
      </c>
      <c r="R2642" t="n">
        <v>0</v>
      </c>
      <c r="S2642" t="n">
        <v>60.75</v>
      </c>
      <c r="T2642" t="n">
        <v>0</v>
      </c>
      <c r="U2642" t="n">
        <v>546.47</v>
      </c>
      <c r="X2642" t="inlineStr">
        <is>
          <t>aafc-aac</t>
        </is>
      </c>
      <c r="Y2642" t="inlineStr">
        <is>
          <t>Agriculture and Agri-Food Canada | Agriculture et Agroalimentaire Canada</t>
        </is>
      </c>
      <c r="Z2642" t="n">
        <v>1</v>
      </c>
      <c r="AA2642" t="n">
        <v>546.47</v>
      </c>
      <c r="AB2642">
        <f>ROUND(U2642-AA2642,2)</f>
        <v/>
      </c>
      <c r="AC2642" t="b">
        <v>0</v>
      </c>
      <c r="AD2642">
        <f>IF(U2642="","MISSING_TOTAL",IF(ABS(AB2642)&lt;=0.01,"OK","CHECK"))</f>
        <v/>
      </c>
      <c r="AE2642">
        <f>IF(U2642="","MISSING",IF(AND(AA2642&gt;0,U2642/AA2642&gt;50),"POSSIBLE_SCALE_ERROR","OK"))</f>
        <v/>
      </c>
    </row>
    <row r="2643">
      <c r="A2643" t="inlineStr">
        <is>
          <t>T-AAFC-2026-P12-015</t>
        </is>
      </c>
      <c r="B2643" t="inlineStr">
        <is>
          <t>SLE</t>
        </is>
      </c>
      <c r="C2643" t="inlineStr">
        <is>
          <t>Assistant Deputy Minister, International Affairs Branch</t>
        </is>
      </c>
      <c r="D2643" t="inlineStr">
        <is>
          <t>Sous-ministre adjointe, Direction générale des affaires internationales</t>
        </is>
      </c>
      <c r="E2643" t="inlineStr">
        <is>
          <t>Chris Moran</t>
        </is>
      </c>
      <c r="F2643" t="inlineStr">
        <is>
          <t>To support the Minister's attendance to a Ministerial Mission</t>
        </is>
      </c>
      <c r="G2643" t="inlineStr">
        <is>
          <t>Soutenir la participation du ministre à une mission ministérielle</t>
        </is>
      </c>
      <c r="H2643" s="1" t="n">
        <v>46068</v>
      </c>
      <c r="I2643" s="1" t="n">
        <v>46073</v>
      </c>
      <c r="J2643" t="inlineStr">
        <is>
          <t>Mexico City, Mexico</t>
        </is>
      </c>
      <c r="K2643" t="inlineStr">
        <is>
          <t>Mexico, Mexique</t>
        </is>
      </c>
      <c r="L2643" t="inlineStr">
        <is>
          <t>Guadalajara, Mexico</t>
        </is>
      </c>
      <c r="M2643" t="inlineStr">
        <is>
          <t>Guadalajara, Mexique</t>
        </is>
      </c>
      <c r="P2643" t="n">
        <v>3964.25</v>
      </c>
      <c r="Q2643" t="n">
        <v>0</v>
      </c>
      <c r="R2643" t="n">
        <v>1980.91</v>
      </c>
      <c r="S2643" t="n">
        <v>673.54</v>
      </c>
      <c r="T2643" t="n">
        <v>28.24</v>
      </c>
      <c r="U2643" t="n">
        <v>6646.94</v>
      </c>
      <c r="X2643" t="inlineStr">
        <is>
          <t>aafc-aac</t>
        </is>
      </c>
      <c r="Y2643" t="inlineStr">
        <is>
          <t>Agriculture and Agri-Food Canada | Agriculture et Agroalimentaire Canada</t>
        </is>
      </c>
      <c r="Z2643" t="n">
        <v>6</v>
      </c>
      <c r="AA2643" t="n">
        <v>6646.94</v>
      </c>
      <c r="AB2643">
        <f>ROUND(U2643-AA2643,2)</f>
        <v/>
      </c>
      <c r="AC2643" t="b">
        <v>0</v>
      </c>
      <c r="AD2643">
        <f>IF(U2643="","MISSING_TOTAL",IF(ABS(AB2643)&lt;=0.01,"OK","CHECK"))</f>
        <v/>
      </c>
      <c r="AE2643">
        <f>IF(U2643="","MISSING",IF(AND(AA2643&gt;0,U2643/AA2643&gt;50),"POSSIBLE_SCALE_ERROR","OK"))</f>
        <v/>
      </c>
    </row>
    <row r="2644">
      <c r="A2644" t="inlineStr">
        <is>
          <t>T-AAFC-2026-P12-016</t>
        </is>
      </c>
      <c r="B2644" t="inlineStr">
        <is>
          <t>SLE</t>
        </is>
      </c>
      <c r="C2644" t="inlineStr">
        <is>
          <t>Assistant Deputy Minister, International Affairs Branch</t>
        </is>
      </c>
      <c r="D2644" t="inlineStr">
        <is>
          <t>Sous-ministre adjointe, Direction générale des affaires internationales</t>
        </is>
      </c>
      <c r="E2644" t="inlineStr">
        <is>
          <t>Chris Moran</t>
        </is>
      </c>
      <c r="F2644" t="inlineStr">
        <is>
          <t>To attend Comprehensive Economic and Trade Agreement discussions</t>
        </is>
      </c>
      <c r="G2644" t="inlineStr">
        <is>
          <t>Participer aux discussions sur l’Accord économique et commercial global</t>
        </is>
      </c>
      <c r="H2644" s="1" t="n">
        <v>46085</v>
      </c>
      <c r="I2644" s="1" t="n">
        <v>46087</v>
      </c>
      <c r="J2644" t="inlineStr">
        <is>
          <t>Toronto, Ontario, Canada</t>
        </is>
      </c>
      <c r="K2644" t="inlineStr">
        <is>
          <t>Toronto, Ontario, Canada</t>
        </is>
      </c>
      <c r="P2644" t="n">
        <v>768.46</v>
      </c>
      <c r="Q2644" t="n">
        <v>42.23</v>
      </c>
      <c r="R2644" t="n">
        <v>806.76</v>
      </c>
      <c r="S2644" t="n">
        <v>261.1</v>
      </c>
      <c r="T2644" t="n">
        <v>0</v>
      </c>
      <c r="U2644" t="n">
        <v>1878.55</v>
      </c>
      <c r="X2644" t="inlineStr">
        <is>
          <t>aafc-aac</t>
        </is>
      </c>
      <c r="Y2644" t="inlineStr">
        <is>
          <t>Agriculture and Agri-Food Canada | Agriculture et Agroalimentaire Canada</t>
        </is>
      </c>
      <c r="Z2644" t="n">
        <v>3</v>
      </c>
      <c r="AA2644" t="n">
        <v>1878.55</v>
      </c>
      <c r="AB2644">
        <f>ROUND(U2644-AA2644,2)</f>
        <v/>
      </c>
      <c r="AC2644" t="b">
        <v>0</v>
      </c>
      <c r="AD2644">
        <f>IF(U2644="","MISSING_TOTAL",IF(ABS(AB2644)&lt;=0.01,"OK","CHECK"))</f>
        <v/>
      </c>
      <c r="AE2644">
        <f>IF(U2644="","MISSING",IF(AND(AA2644&gt;0,U2644/AA2644&gt;50),"POSSIBLE_SCALE_ERROR","OK"))</f>
        <v/>
      </c>
    </row>
    <row r="2645">
      <c r="A2645" t="inlineStr">
        <is>
          <t>T-AAFC-2026-P11-008</t>
        </is>
      </c>
      <c r="B2645" t="inlineStr">
        <is>
          <t>SLE</t>
        </is>
      </c>
      <c r="C2645" t="inlineStr">
        <is>
          <t>Assistant Deputy Minister, International Affairs Branch</t>
        </is>
      </c>
      <c r="D2645" t="inlineStr">
        <is>
          <t>Sous-ministre adjointe, Direction générale des affaires internationales</t>
        </is>
      </c>
      <c r="E2645" t="inlineStr">
        <is>
          <t>Chris Moran</t>
        </is>
      </c>
      <c r="F2645" t="inlineStr">
        <is>
          <t>To support the Minister's attendance to a Ministerial Mission</t>
        </is>
      </c>
      <c r="G2645" t="inlineStr">
        <is>
          <t>Soutenir la participation du ministre à une mission ministérielle</t>
        </is>
      </c>
      <c r="H2645" s="1" t="n">
        <v>45942</v>
      </c>
      <c r="I2645" s="1" t="n">
        <v>45947</v>
      </c>
      <c r="J2645" t="inlineStr">
        <is>
          <t>Mexico City, Mexico</t>
        </is>
      </c>
      <c r="K2645" t="inlineStr">
        <is>
          <t>Mexico, Mexique</t>
        </is>
      </c>
      <c r="L2645" t="inlineStr">
        <is>
          <t>Guadalajara, Mexico</t>
        </is>
      </c>
      <c r="M2645" t="inlineStr">
        <is>
          <t>Guadalajara, Mexique</t>
        </is>
      </c>
      <c r="P2645" t="n">
        <v>4438.45</v>
      </c>
      <c r="Q2645" t="n">
        <v>0</v>
      </c>
      <c r="R2645" t="n">
        <v>1839.34</v>
      </c>
      <c r="S2645" t="n">
        <v>747.99</v>
      </c>
      <c r="T2645" t="n">
        <v>0</v>
      </c>
      <c r="U2645" t="n">
        <v>7025.78</v>
      </c>
      <c r="X2645" t="inlineStr">
        <is>
          <t>aafc-aac</t>
        </is>
      </c>
      <c r="Y2645" t="inlineStr">
        <is>
          <t>Agriculture and Agri-Food Canada | Agriculture et Agroalimentaire Canada</t>
        </is>
      </c>
      <c r="Z2645" t="n">
        <v>6</v>
      </c>
      <c r="AA2645" t="n">
        <v>7025.78</v>
      </c>
      <c r="AB2645">
        <f>ROUND(U2645-AA2645,2)</f>
        <v/>
      </c>
      <c r="AC2645" t="b">
        <v>0</v>
      </c>
      <c r="AD2645">
        <f>IF(U2645="","MISSING_TOTAL",IF(ABS(AB2645)&lt;=0.01,"OK","CHECK"))</f>
        <v/>
      </c>
      <c r="AE2645">
        <f>IF(U2645="","MISSING",IF(AND(AA2645&gt;0,U2645/AA2645&gt;50),"POSSIBLE_SCALE_ERROR","OK"))</f>
        <v/>
      </c>
    </row>
    <row r="2646">
      <c r="A2646" t="inlineStr">
        <is>
          <t>T-AAFC-2026-P12-017</t>
        </is>
      </c>
      <c r="B2646" t="inlineStr">
        <is>
          <t>SLE</t>
        </is>
      </c>
      <c r="C2646" t="inlineStr">
        <is>
          <t>Associate Assistant Deputy Minister, Science and Technology Branch</t>
        </is>
      </c>
      <c r="D2646" t="inlineStr">
        <is>
          <t>Sous-ministre adjoint délégué, Direction générale des sciences et de la technologie</t>
        </is>
      </c>
      <c r="E2646" t="inlineStr">
        <is>
          <t>Andrew Goldstein</t>
        </is>
      </c>
      <c r="F2646" t="inlineStr">
        <is>
          <t>To attend meetings</t>
        </is>
      </c>
      <c r="G2646" t="inlineStr">
        <is>
          <t>Participer à des réunions</t>
        </is>
      </c>
      <c r="H2646" s="1" t="n">
        <v>46078</v>
      </c>
      <c r="I2646" s="1" t="n">
        <v>46080</v>
      </c>
      <c r="J2646" t="inlineStr">
        <is>
          <t>Ottawa, Ontario, Canada</t>
        </is>
      </c>
      <c r="K2646" t="inlineStr">
        <is>
          <t>Ottawa, Ontario, Canada</t>
        </is>
      </c>
      <c r="P2646" t="n">
        <v>0</v>
      </c>
      <c r="Q2646" t="n">
        <v>49</v>
      </c>
      <c r="R2646" t="n">
        <v>0</v>
      </c>
      <c r="S2646" t="n">
        <v>0</v>
      </c>
      <c r="T2646" t="n">
        <v>0</v>
      </c>
      <c r="U2646" t="n">
        <v>49</v>
      </c>
      <c r="X2646" t="inlineStr">
        <is>
          <t>aafc-aac</t>
        </is>
      </c>
      <c r="Y2646" t="inlineStr">
        <is>
          <t>Agriculture and Agri-Food Canada | Agriculture et Agroalimentaire Canada</t>
        </is>
      </c>
      <c r="Z2646" t="n">
        <v>3</v>
      </c>
      <c r="AA2646" t="n">
        <v>49</v>
      </c>
      <c r="AB2646">
        <f>ROUND(U2646-AA2646,2)</f>
        <v/>
      </c>
      <c r="AC2646" t="b">
        <v>0</v>
      </c>
      <c r="AD2646">
        <f>IF(U2646="","MISSING_TOTAL",IF(ABS(AB2646)&lt;=0.01,"OK","CHECK"))</f>
        <v/>
      </c>
      <c r="AE2646">
        <f>IF(U2646="","MISSING",IF(AND(AA2646&gt;0,U2646/AA2646&gt;50),"POSSIBLE_SCALE_ERROR","OK"))</f>
        <v/>
      </c>
    </row>
    <row r="2647">
      <c r="A2647" t="inlineStr">
        <is>
          <t>T-AAFC-2026-P12-018</t>
        </is>
      </c>
      <c r="B2647" t="inlineStr">
        <is>
          <t>SLE</t>
        </is>
      </c>
      <c r="C2647" t="inlineStr">
        <is>
          <t>Assistant Deputy Minister, Strategic Policy Branch</t>
        </is>
      </c>
      <c r="D2647" t="inlineStr">
        <is>
          <t>Sous-ministre adjointe, Direction générale des politiques stratégiques</t>
        </is>
      </c>
      <c r="E2647" t="inlineStr">
        <is>
          <t>Shannon Nix</t>
        </is>
      </c>
      <c r="F2647" t="inlineStr">
        <is>
          <t>To attend meetings</t>
        </is>
      </c>
      <c r="G2647" t="inlineStr">
        <is>
          <t>Participer à des rencontres</t>
        </is>
      </c>
      <c r="H2647" s="1" t="n">
        <v>46093</v>
      </c>
      <c r="I2647" s="1" t="n">
        <v>46097</v>
      </c>
      <c r="J2647" t="inlineStr">
        <is>
          <t>Ottawa, Ontario, Canada</t>
        </is>
      </c>
      <c r="K2647" t="inlineStr">
        <is>
          <t>Ottawa, Ontario, Canada</t>
        </is>
      </c>
      <c r="P2647" t="n">
        <v>0</v>
      </c>
      <c r="Q2647" t="n">
        <v>48.5</v>
      </c>
      <c r="R2647" t="n">
        <v>0</v>
      </c>
      <c r="S2647" t="n">
        <v>0</v>
      </c>
      <c r="T2647" t="n">
        <v>0</v>
      </c>
      <c r="U2647" t="n">
        <v>48.5</v>
      </c>
      <c r="X2647" t="inlineStr">
        <is>
          <t>aafc-aac</t>
        </is>
      </c>
      <c r="Y2647" t="inlineStr">
        <is>
          <t>Agriculture and Agri-Food Canada | Agriculture et Agroalimentaire Canada</t>
        </is>
      </c>
      <c r="Z2647" t="n">
        <v>5</v>
      </c>
      <c r="AA2647" t="n">
        <v>48.5</v>
      </c>
      <c r="AB2647">
        <f>ROUND(U2647-AA2647,2)</f>
        <v/>
      </c>
      <c r="AC2647" t="b">
        <v>0</v>
      </c>
      <c r="AD2647">
        <f>IF(U2647="","MISSING_TOTAL",IF(ABS(AB2647)&lt;=0.01,"OK","CHECK"))</f>
        <v/>
      </c>
      <c r="AE2647">
        <f>IF(U2647="","MISSING",IF(AND(AA2647&gt;0,U2647/AA2647&gt;50),"POSSIBLE_SCALE_ERROR","OK"))</f>
        <v/>
      </c>
    </row>
    <row r="2648">
      <c r="A2648" t="inlineStr">
        <is>
          <t>T-AAFC-2026-P12-019</t>
        </is>
      </c>
      <c r="B2648" t="inlineStr">
        <is>
          <t>SLE</t>
        </is>
      </c>
      <c r="C2648" t="inlineStr">
        <is>
          <t>Assistant Deputy Minister, Programs Branch</t>
        </is>
      </c>
      <c r="D2648" t="inlineStr">
        <is>
          <t>Sous-ministre adjointe, Direction générale des programmes</t>
        </is>
      </c>
      <c r="E2648" t="inlineStr">
        <is>
          <t>Liz Foster</t>
        </is>
      </c>
      <c r="F2648" t="inlineStr">
        <is>
          <t>To participate in an Outreach</t>
        </is>
      </c>
      <c r="G2648" t="inlineStr">
        <is>
          <t>Participer à une visite de sensibilisation</t>
        </is>
      </c>
      <c r="H2648" s="1" t="n">
        <v>46091</v>
      </c>
      <c r="I2648" s="1" t="n">
        <v>46094</v>
      </c>
      <c r="J2648" t="inlineStr">
        <is>
          <t>Winnipeg, Manitoba, Canada</t>
        </is>
      </c>
      <c r="K2648" t="inlineStr">
        <is>
          <t>Winnipeg, Manitoba, Canada</t>
        </is>
      </c>
      <c r="P2648" t="n">
        <v>799.84</v>
      </c>
      <c r="Q2648" t="n">
        <v>117.32</v>
      </c>
      <c r="R2648" t="n">
        <v>727.5599999999999</v>
      </c>
      <c r="S2648" t="n">
        <v>488.15</v>
      </c>
      <c r="T2648" t="n">
        <v>0</v>
      </c>
      <c r="U2648" t="n">
        <v>2132.87</v>
      </c>
      <c r="X2648" t="inlineStr">
        <is>
          <t>aafc-aac</t>
        </is>
      </c>
      <c r="Y2648" t="inlineStr">
        <is>
          <t>Agriculture and Agri-Food Canada | Agriculture et Agroalimentaire Canada</t>
        </is>
      </c>
      <c r="Z2648" t="n">
        <v>4</v>
      </c>
      <c r="AA2648" t="n">
        <v>2132.87</v>
      </c>
      <c r="AB2648">
        <f>ROUND(U2648-AA2648,2)</f>
        <v/>
      </c>
      <c r="AC2648" t="b">
        <v>0</v>
      </c>
      <c r="AD2648">
        <f>IF(U2648="","MISSING_TOTAL",IF(ABS(AB2648)&lt;=0.01,"OK","CHECK"))</f>
        <v/>
      </c>
      <c r="AE2648">
        <f>IF(U2648="","MISSING",IF(AND(AA2648&gt;0,U2648/AA2648&gt;50),"POSSIBLE_SCALE_ERROR","OK"))</f>
        <v/>
      </c>
    </row>
    <row r="2649">
      <c r="A2649" t="inlineStr">
        <is>
          <t>T-AAFC-2027-P01-001</t>
        </is>
      </c>
      <c r="B2649" t="inlineStr">
        <is>
          <t>MPSES</t>
        </is>
      </c>
      <c r="C2649" t="inlineStr">
        <is>
          <t>Minister</t>
        </is>
      </c>
      <c r="D2649" t="inlineStr">
        <is>
          <t>Ministre</t>
        </is>
      </c>
      <c r="E2649" t="inlineStr">
        <is>
          <t>Heath MacDonald</t>
        </is>
      </c>
      <c r="F2649" t="inlineStr">
        <is>
          <t>To attend a Ministerial Mission</t>
        </is>
      </c>
      <c r="G2649" t="inlineStr">
        <is>
          <t>Participer à une mission ministérielle</t>
        </is>
      </c>
      <c r="H2649" s="1" t="n">
        <v>46095</v>
      </c>
      <c r="I2649" s="1" t="n">
        <v>46099</v>
      </c>
      <c r="J2649" t="inlineStr">
        <is>
          <t>Boston, Massachusetts, United States</t>
        </is>
      </c>
      <c r="K2649" t="inlineStr">
        <is>
          <t>Boston, Massachusetts, États-Unis</t>
        </is>
      </c>
      <c r="P2649" t="n">
        <v>1494.27</v>
      </c>
      <c r="Q2649" t="n">
        <v>0</v>
      </c>
      <c r="R2649" t="n">
        <v>1856.66</v>
      </c>
      <c r="S2649" t="n">
        <v>534.6</v>
      </c>
      <c r="T2649" t="n">
        <v>0</v>
      </c>
      <c r="U2649" t="n">
        <v>3885.53</v>
      </c>
      <c r="X2649" t="inlineStr">
        <is>
          <t>aafc-aac</t>
        </is>
      </c>
      <c r="Y2649" t="inlineStr">
        <is>
          <t>Agriculture and Agri-Food Canada | Agriculture et Agroalimentaire Canada</t>
        </is>
      </c>
      <c r="Z2649" t="n">
        <v>5</v>
      </c>
      <c r="AA2649" t="n">
        <v>3885.53</v>
      </c>
      <c r="AB2649">
        <f>ROUND(U2649-AA2649,2)</f>
        <v/>
      </c>
      <c r="AC2649" t="b">
        <v>0</v>
      </c>
      <c r="AD2649">
        <f>IF(U2649="","MISSING_TOTAL",IF(ABS(AB2649)&lt;=0.01,"OK","CHECK"))</f>
        <v/>
      </c>
      <c r="AE2649">
        <f>IF(U2649="","MISSING",IF(AND(AA2649&gt;0,U2649/AA2649&gt;50),"POSSIBLE_SCALE_ERROR","OK"))</f>
        <v/>
      </c>
    </row>
    <row r="2650">
      <c r="A2650" t="inlineStr">
        <is>
          <t>T-AAFC-2027-P01-002</t>
        </is>
      </c>
      <c r="B2650" t="inlineStr">
        <is>
          <t>MPSES</t>
        </is>
      </c>
      <c r="C2650" t="inlineStr">
        <is>
          <t>Minister</t>
        </is>
      </c>
      <c r="D2650" t="inlineStr">
        <is>
          <t>Ministre</t>
        </is>
      </c>
      <c r="E2650" t="inlineStr">
        <is>
          <t>Heath MacDonald</t>
        </is>
      </c>
      <c r="F2650" t="inlineStr">
        <is>
          <t>To attend various meetings</t>
        </is>
      </c>
      <c r="G2650" t="inlineStr">
        <is>
          <t>Participer à diverses réunions</t>
        </is>
      </c>
      <c r="H2650" s="1" t="n">
        <v>46108</v>
      </c>
      <c r="I2650" s="1" t="n">
        <v>46108</v>
      </c>
      <c r="J2650" t="inlineStr">
        <is>
          <t>Luskville, Quebec, Canada</t>
        </is>
      </c>
      <c r="K2650" t="inlineStr">
        <is>
          <t>Luskville, Québec, Canada</t>
        </is>
      </c>
      <c r="L2650" t="inlineStr">
        <is>
          <t>Val-des-Monts, Quebec, Canada</t>
        </is>
      </c>
      <c r="M2650" t="inlineStr">
        <is>
          <t>Val-des-Monts, Québec, Canada</t>
        </is>
      </c>
      <c r="N2650" t="inlineStr">
        <is>
          <t>Gatineau, Quebec, Canada</t>
        </is>
      </c>
      <c r="O2650" t="inlineStr">
        <is>
          <t>Gatineau, Québec, Canada</t>
        </is>
      </c>
      <c r="P2650" t="n">
        <v>0</v>
      </c>
      <c r="Q2650" t="n">
        <v>0</v>
      </c>
      <c r="R2650" t="n">
        <v>0</v>
      </c>
      <c r="S2650" t="n">
        <v>90.34999999999999</v>
      </c>
      <c r="T2650" t="n">
        <v>0</v>
      </c>
      <c r="U2650" t="n">
        <v>90.34999999999999</v>
      </c>
      <c r="X2650" t="inlineStr">
        <is>
          <t>aafc-aac</t>
        </is>
      </c>
      <c r="Y2650" t="inlineStr">
        <is>
          <t>Agriculture and Agri-Food Canada | Agriculture et Agroalimentaire Canada</t>
        </is>
      </c>
      <c r="Z2650" t="n">
        <v>1</v>
      </c>
      <c r="AA2650" t="n">
        <v>90.34999999999999</v>
      </c>
      <c r="AB2650">
        <f>ROUND(U2650-AA2650,2)</f>
        <v/>
      </c>
      <c r="AC2650" t="b">
        <v>0</v>
      </c>
      <c r="AD2650">
        <f>IF(U2650="","MISSING_TOTAL",IF(ABS(AB2650)&lt;=0.01,"OK","CHECK"))</f>
        <v/>
      </c>
      <c r="AE2650">
        <f>IF(U2650="","MISSING",IF(AND(AA2650&gt;0,U2650/AA2650&gt;50),"POSSIBLE_SCALE_ERROR","OK"))</f>
        <v/>
      </c>
    </row>
    <row r="2651">
      <c r="A2651" t="inlineStr">
        <is>
          <t>T-AAFC-2027-P01-003</t>
        </is>
      </c>
      <c r="B2651" t="inlineStr">
        <is>
          <t>MPSES</t>
        </is>
      </c>
      <c r="C2651" t="inlineStr">
        <is>
          <t>Minister</t>
        </is>
      </c>
      <c r="D2651" t="inlineStr">
        <is>
          <t>Ministre</t>
        </is>
      </c>
      <c r="E2651" t="inlineStr">
        <is>
          <t>Heath MacDonald</t>
        </is>
      </c>
      <c r="F2651" t="inlineStr">
        <is>
          <t>To attend various meetings</t>
        </is>
      </c>
      <c r="G2651" t="inlineStr">
        <is>
          <t>Participer à diverses réunions</t>
        </is>
      </c>
      <c r="H2651" s="1" t="n">
        <v>46110</v>
      </c>
      <c r="I2651" s="1" t="n">
        <v>46114</v>
      </c>
      <c r="J2651" t="inlineStr">
        <is>
          <t>Winnipeg, Manitoba, Canada</t>
        </is>
      </c>
      <c r="K2651" t="inlineStr">
        <is>
          <t>Winnipeg, Manitoba, Canada</t>
        </is>
      </c>
      <c r="L2651" t="inlineStr">
        <is>
          <t>Toronto, Ontario, Canada</t>
        </is>
      </c>
      <c r="M2651" t="inlineStr">
        <is>
          <t>Toronto, Ontario, Canada</t>
        </is>
      </c>
      <c r="P2651" t="n">
        <v>1899.43</v>
      </c>
      <c r="Q2651" t="n">
        <v>0</v>
      </c>
      <c r="R2651" t="n">
        <v>960.27</v>
      </c>
      <c r="S2651" t="n">
        <v>552.3</v>
      </c>
      <c r="T2651" t="n">
        <v>0</v>
      </c>
      <c r="U2651" t="n">
        <v>3412</v>
      </c>
      <c r="X2651" t="inlineStr">
        <is>
          <t>aafc-aac</t>
        </is>
      </c>
      <c r="Y2651" t="inlineStr">
        <is>
          <t>Agriculture and Agri-Food Canada | Agriculture et Agroalimentaire Canada</t>
        </is>
      </c>
      <c r="Z2651" t="n">
        <v>5</v>
      </c>
      <c r="AA2651" t="n">
        <v>3412</v>
      </c>
      <c r="AB2651">
        <f>ROUND(U2651-AA2651,2)</f>
        <v/>
      </c>
      <c r="AC2651" t="b">
        <v>0</v>
      </c>
      <c r="AD2651">
        <f>IF(U2651="","MISSING_TOTAL",IF(ABS(AB2651)&lt;=0.01,"OK","CHECK"))</f>
        <v/>
      </c>
      <c r="AE2651">
        <f>IF(U2651="","MISSING",IF(AND(AA2651&gt;0,U2651/AA2651&gt;50),"POSSIBLE_SCALE_ERROR","OK"))</f>
        <v/>
      </c>
    </row>
    <row r="2652">
      <c r="A2652" t="inlineStr">
        <is>
          <t>T-AAFC-2027-P01-004</t>
        </is>
      </c>
      <c r="B2652" t="inlineStr">
        <is>
          <t>MPSES</t>
        </is>
      </c>
      <c r="C2652" t="inlineStr">
        <is>
          <t>Minister</t>
        </is>
      </c>
      <c r="D2652" t="inlineStr">
        <is>
          <t>Ministre</t>
        </is>
      </c>
      <c r="E2652" t="inlineStr">
        <is>
          <t>Heath MacDonald</t>
        </is>
      </c>
      <c r="F2652" t="inlineStr">
        <is>
          <t>To participate in an Outreach</t>
        </is>
      </c>
      <c r="G2652" t="inlineStr">
        <is>
          <t>Assister à une tournée de sensibilisation</t>
        </is>
      </c>
      <c r="H2652" s="1" t="n">
        <v>46118</v>
      </c>
      <c r="I2652" s="1" t="n">
        <v>46121</v>
      </c>
      <c r="J2652" t="inlineStr">
        <is>
          <t>Cornwall, Prince Edward Island, Canada</t>
        </is>
      </c>
      <c r="K2652" t="inlineStr">
        <is>
          <t>Cornwall, Île-du-Prince-Édouard, Canada</t>
        </is>
      </c>
      <c r="L2652" t="inlineStr">
        <is>
          <t>Fredericton, New Brunswick, Canada</t>
        </is>
      </c>
      <c r="M2652" t="inlineStr">
        <is>
          <t>Fredericton, Nouveau-Brunswick, Canada</t>
        </is>
      </c>
      <c r="N2652" t="inlineStr">
        <is>
          <t>Grand Falls, New Brunswick, Canada</t>
        </is>
      </c>
      <c r="O2652" t="inlineStr">
        <is>
          <t>Grand-Sault, Nouveau-Brunswick, Canada</t>
        </is>
      </c>
      <c r="P2652" t="n">
        <v>0</v>
      </c>
      <c r="Q2652" t="n">
        <v>0</v>
      </c>
      <c r="R2652" t="n">
        <v>465.39</v>
      </c>
      <c r="S2652" t="n">
        <v>317.05</v>
      </c>
      <c r="T2652" t="n">
        <v>0</v>
      </c>
      <c r="U2652" t="n">
        <v>782.4400000000001</v>
      </c>
      <c r="X2652" t="inlineStr">
        <is>
          <t>aafc-aac</t>
        </is>
      </c>
      <c r="Y2652" t="inlineStr">
        <is>
          <t>Agriculture and Agri-Food Canada | Agriculture et Agroalimentaire Canada</t>
        </is>
      </c>
      <c r="Z2652" t="n">
        <v>4</v>
      </c>
      <c r="AA2652" t="n">
        <v>782.4400000000001</v>
      </c>
      <c r="AB2652">
        <f>ROUND(U2652-AA2652,2)</f>
        <v/>
      </c>
      <c r="AC2652" t="b">
        <v>0</v>
      </c>
      <c r="AD2652">
        <f>IF(U2652="","MISSING_TOTAL",IF(ABS(AB2652)&lt;=0.01,"OK","CHECK"))</f>
        <v/>
      </c>
      <c r="AE2652">
        <f>IF(U2652="","MISSING",IF(AND(AA2652&gt;0,U2652/AA2652&gt;50),"POSSIBLE_SCALE_ERROR","OK"))</f>
        <v/>
      </c>
    </row>
    <row r="2653">
      <c r="A2653" t="inlineStr">
        <is>
          <t>T-AAFC-2027-P01-005</t>
        </is>
      </c>
      <c r="B2653" t="inlineStr">
        <is>
          <t>MPSES</t>
        </is>
      </c>
      <c r="C2653" t="inlineStr">
        <is>
          <t>Director of Parliamentary Affairs</t>
        </is>
      </c>
      <c r="D2653" t="inlineStr">
        <is>
          <t>Directeur des affaires parlementaires</t>
        </is>
      </c>
      <c r="E2653" t="inlineStr">
        <is>
          <t>Bradley Henstock</t>
        </is>
      </c>
      <c r="F2653" t="inlineStr">
        <is>
          <t>To support the Minister with various meetings</t>
        </is>
      </c>
      <c r="G2653" t="inlineStr">
        <is>
          <t>Soutenir le ministre lors de diverses réunions</t>
        </is>
      </c>
      <c r="H2653" s="1" t="n">
        <v>46112</v>
      </c>
      <c r="I2653" s="1" t="n">
        <v>46114</v>
      </c>
      <c r="J2653" t="inlineStr">
        <is>
          <t>Toronto, Ontario, Canada</t>
        </is>
      </c>
      <c r="K2653" t="inlineStr">
        <is>
          <t>Toronto, Ontario, Canada</t>
        </is>
      </c>
      <c r="P2653" t="n">
        <v>1203.14</v>
      </c>
      <c r="Q2653" t="n">
        <v>71.95</v>
      </c>
      <c r="R2653" t="n">
        <v>424.01</v>
      </c>
      <c r="S2653" t="n">
        <v>400.15</v>
      </c>
      <c r="T2653" t="n">
        <v>0</v>
      </c>
      <c r="U2653" t="n">
        <v>2099.25</v>
      </c>
      <c r="X2653" t="inlineStr">
        <is>
          <t>aafc-aac</t>
        </is>
      </c>
      <c r="Y2653" t="inlineStr">
        <is>
          <t>Agriculture and Agri-Food Canada | Agriculture et Agroalimentaire Canada</t>
        </is>
      </c>
      <c r="Z2653" t="n">
        <v>3</v>
      </c>
      <c r="AA2653" t="n">
        <v>2099.25</v>
      </c>
      <c r="AB2653">
        <f>ROUND(U2653-AA2653,2)</f>
        <v/>
      </c>
      <c r="AC2653" t="b">
        <v>0</v>
      </c>
      <c r="AD2653">
        <f>IF(U2653="","MISSING_TOTAL",IF(ABS(AB2653)&lt;=0.01,"OK","CHECK"))</f>
        <v/>
      </c>
      <c r="AE2653">
        <f>IF(U2653="","MISSING",IF(AND(AA2653&gt;0,U2653/AA2653&gt;50),"POSSIBLE_SCALE_ERROR","OK"))</f>
        <v/>
      </c>
    </row>
    <row r="2654">
      <c r="A2654" t="inlineStr">
        <is>
          <t>T-AAFC-2027-P01-006</t>
        </is>
      </c>
      <c r="B2654" t="inlineStr">
        <is>
          <t>MPSES</t>
        </is>
      </c>
      <c r="C2654" t="inlineStr">
        <is>
          <t>Driver</t>
        </is>
      </c>
      <c r="D2654" t="inlineStr">
        <is>
          <t>Chauffeur</t>
        </is>
      </c>
      <c r="E2654" t="inlineStr">
        <is>
          <t>Nicolas Mamo</t>
        </is>
      </c>
      <c r="F2654" t="inlineStr">
        <is>
          <t>To drive the Minister to various meetings</t>
        </is>
      </c>
      <c r="G2654" t="inlineStr">
        <is>
          <t>Conduire le ministre à diverses réunions</t>
        </is>
      </c>
      <c r="H2654" s="1" t="n">
        <v>46108</v>
      </c>
      <c r="I2654" s="1" t="n">
        <v>46108</v>
      </c>
      <c r="J2654" t="inlineStr">
        <is>
          <t>Luskville, Quebec, Canada</t>
        </is>
      </c>
      <c r="K2654" t="inlineStr">
        <is>
          <t>Luskville, Québec, Canada</t>
        </is>
      </c>
      <c r="L2654" t="inlineStr">
        <is>
          <t>Val-des-Monts, Quebec, Canada</t>
        </is>
      </c>
      <c r="M2654" t="inlineStr">
        <is>
          <t>Val-des-Monts, Québec, Canada</t>
        </is>
      </c>
      <c r="N2654" t="inlineStr">
        <is>
          <t>Gatineau, Quebec, Canada</t>
        </is>
      </c>
      <c r="O2654" t="inlineStr">
        <is>
          <t>Gatineau, Québec, Canada</t>
        </is>
      </c>
      <c r="P2654" t="n">
        <v>0</v>
      </c>
      <c r="Q2654" t="n">
        <v>0</v>
      </c>
      <c r="R2654" t="n">
        <v>0</v>
      </c>
      <c r="S2654" t="n">
        <v>90.34999999999999</v>
      </c>
      <c r="T2654" t="n">
        <v>0</v>
      </c>
      <c r="U2654" t="n">
        <v>90.34999999999999</v>
      </c>
      <c r="X2654" t="inlineStr">
        <is>
          <t>aafc-aac</t>
        </is>
      </c>
      <c r="Y2654" t="inlineStr">
        <is>
          <t>Agriculture and Agri-Food Canada | Agriculture et Agroalimentaire Canada</t>
        </is>
      </c>
      <c r="Z2654" t="n">
        <v>1</v>
      </c>
      <c r="AA2654" t="n">
        <v>90.34999999999999</v>
      </c>
      <c r="AB2654">
        <f>ROUND(U2654-AA2654,2)</f>
        <v/>
      </c>
      <c r="AC2654" t="b">
        <v>0</v>
      </c>
      <c r="AD2654">
        <f>IF(U2654="","MISSING_TOTAL",IF(ABS(AB2654)&lt;=0.01,"OK","CHECK"))</f>
        <v/>
      </c>
      <c r="AE2654">
        <f>IF(U2654="","MISSING",IF(AND(AA2654&gt;0,U2654/AA2654&gt;50),"POSSIBLE_SCALE_ERROR","OK"))</f>
        <v/>
      </c>
    </row>
    <row r="2655">
      <c r="A2655" t="inlineStr">
        <is>
          <t>T-AAFC-2027-P01-007</t>
        </is>
      </c>
      <c r="B2655" t="inlineStr">
        <is>
          <t>MPSES</t>
        </is>
      </c>
      <c r="C2655" t="inlineStr">
        <is>
          <t>Ontario Regional Advisor</t>
        </is>
      </c>
      <c r="D2655" t="inlineStr">
        <is>
          <t>Conseiller régional de l'Ontario</t>
        </is>
      </c>
      <c r="E2655" t="inlineStr">
        <is>
          <t>Jason MacDonald</t>
        </is>
      </c>
      <c r="F2655" t="inlineStr">
        <is>
          <t>To support the Minister with various meetings</t>
        </is>
      </c>
      <c r="G2655" t="inlineStr">
        <is>
          <t>Soutenir le ministre lors de diverses réunions</t>
        </is>
      </c>
      <c r="H2655" s="1" t="n">
        <v>46112</v>
      </c>
      <c r="I2655" s="1" t="n">
        <v>46114</v>
      </c>
      <c r="J2655" t="inlineStr">
        <is>
          <t>Toronto, Ontario, Canada</t>
        </is>
      </c>
      <c r="K2655" t="inlineStr">
        <is>
          <t>Toronto, Ontario, Canada</t>
        </is>
      </c>
      <c r="P2655" t="n">
        <v>1190.71</v>
      </c>
      <c r="Q2655" t="n">
        <v>297.66</v>
      </c>
      <c r="R2655" t="n">
        <v>213.89</v>
      </c>
      <c r="S2655" t="n">
        <v>338</v>
      </c>
      <c r="T2655" t="n">
        <v>0</v>
      </c>
      <c r="U2655" t="n">
        <v>2040.26</v>
      </c>
      <c r="X2655" t="inlineStr">
        <is>
          <t>aafc-aac</t>
        </is>
      </c>
      <c r="Y2655" t="inlineStr">
        <is>
          <t>Agriculture and Agri-Food Canada | Agriculture et Agroalimentaire Canada</t>
        </is>
      </c>
      <c r="Z2655" t="n">
        <v>3</v>
      </c>
      <c r="AA2655" t="n">
        <v>2040.26</v>
      </c>
      <c r="AB2655">
        <f>ROUND(U2655-AA2655,2)</f>
        <v/>
      </c>
      <c r="AC2655" t="b">
        <v>0</v>
      </c>
      <c r="AD2655">
        <f>IF(U2655="","MISSING_TOTAL",IF(ABS(AB2655)&lt;=0.01,"OK","CHECK"))</f>
        <v/>
      </c>
      <c r="AE2655">
        <f>IF(U2655="","MISSING",IF(AND(AA2655&gt;0,U2655/AA2655&gt;50),"POSSIBLE_SCALE_ERROR","OK"))</f>
        <v/>
      </c>
    </row>
    <row r="2656">
      <c r="A2656" t="inlineStr">
        <is>
          <t>T-AAFC-2027-P01-008</t>
        </is>
      </c>
      <c r="B2656" t="inlineStr">
        <is>
          <t>MPSES</t>
        </is>
      </c>
      <c r="C2656" t="inlineStr">
        <is>
          <t>Director of Policy</t>
        </is>
      </c>
      <c r="D2656" t="inlineStr">
        <is>
          <t>Directrice des politiques</t>
        </is>
      </c>
      <c r="E2656" t="inlineStr">
        <is>
          <t>Serena Smith</t>
        </is>
      </c>
      <c r="F2656" t="inlineStr">
        <is>
          <t>To support the Minister's attendance at an Outreach</t>
        </is>
      </c>
      <c r="G2656" t="inlineStr">
        <is>
          <t>Soutenir le ministre lors d'une tournée de sensibilisation</t>
        </is>
      </c>
      <c r="H2656" s="1" t="n">
        <v>46118</v>
      </c>
      <c r="I2656" s="1" t="n">
        <v>46121</v>
      </c>
      <c r="J2656" t="inlineStr">
        <is>
          <t>Cornwall, Prince Edward Island, Canada</t>
        </is>
      </c>
      <c r="K2656" t="inlineStr">
        <is>
          <t>Cornwall, Île-du-Prince-Édouard, Canada</t>
        </is>
      </c>
      <c r="L2656" t="inlineStr">
        <is>
          <t>Fredericton, New Brunswick, Canada</t>
        </is>
      </c>
      <c r="M2656" t="inlineStr">
        <is>
          <t>Fredericton, Nouveau-Brunswick, Canada</t>
        </is>
      </c>
      <c r="N2656" t="inlineStr">
        <is>
          <t>Grand Falls, New Brunswick, Canada</t>
        </is>
      </c>
      <c r="O2656" t="inlineStr">
        <is>
          <t>Grand-Sault, Nouveau-Brunswick, Canada</t>
        </is>
      </c>
      <c r="P2656" t="n">
        <v>1672.17</v>
      </c>
      <c r="Q2656" t="n">
        <v>148.75</v>
      </c>
      <c r="R2656" t="n">
        <v>691.4299999999999</v>
      </c>
      <c r="S2656" t="n">
        <v>493.35</v>
      </c>
      <c r="T2656" t="n">
        <v>0</v>
      </c>
      <c r="U2656" t="n">
        <v>3005.7</v>
      </c>
      <c r="X2656" t="inlineStr">
        <is>
          <t>aafc-aac</t>
        </is>
      </c>
      <c r="Y2656" t="inlineStr">
        <is>
          <t>Agriculture and Agri-Food Canada | Agriculture et Agroalimentaire Canada</t>
        </is>
      </c>
      <c r="Z2656" t="n">
        <v>4</v>
      </c>
      <c r="AA2656" t="n">
        <v>3005.7</v>
      </c>
      <c r="AB2656">
        <f>ROUND(U2656-AA2656,2)</f>
        <v/>
      </c>
      <c r="AC2656" t="b">
        <v>0</v>
      </c>
      <c r="AD2656">
        <f>IF(U2656="","MISSING_TOTAL",IF(ABS(AB2656)&lt;=0.01,"OK","CHECK"))</f>
        <v/>
      </c>
      <c r="AE2656">
        <f>IF(U2656="","MISSING",IF(AND(AA2656&gt;0,U2656/AA2656&gt;50),"POSSIBLE_SCALE_ERROR","OK"))</f>
        <v/>
      </c>
    </row>
    <row r="2657">
      <c r="A2657" t="inlineStr">
        <is>
          <t>T-AAFC-2027-P01-009</t>
        </is>
      </c>
      <c r="B2657" t="inlineStr">
        <is>
          <t>MPSES</t>
        </is>
      </c>
      <c r="C2657" t="inlineStr">
        <is>
          <t>Atlantic Regional Advisor</t>
        </is>
      </c>
      <c r="D2657" t="inlineStr">
        <is>
          <t>Conseiller régional de l'Atlantique</t>
        </is>
      </c>
      <c r="E2657" t="inlineStr">
        <is>
          <t>Jake Godfrey</t>
        </is>
      </c>
      <c r="F2657" t="inlineStr">
        <is>
          <t>To support the Minister's attendance at an Outreach</t>
        </is>
      </c>
      <c r="G2657" t="inlineStr">
        <is>
          <t>Soutenir le ministre  lors d'une tournée de sensibilisation</t>
        </is>
      </c>
      <c r="H2657" s="1" t="n">
        <v>46118</v>
      </c>
      <c r="I2657" s="1" t="n">
        <v>46121</v>
      </c>
      <c r="J2657" t="inlineStr">
        <is>
          <t>Cornwall, Prince Edward Island, Canada</t>
        </is>
      </c>
      <c r="K2657" t="inlineStr">
        <is>
          <t>Cornwall, Île-du-Prince-Édouard, Canada</t>
        </is>
      </c>
      <c r="L2657" t="inlineStr">
        <is>
          <t>Fredericton, New Brunswick, Canada</t>
        </is>
      </c>
      <c r="M2657" t="inlineStr">
        <is>
          <t>Fredericton, Nouveau-Brunswick, Canada</t>
        </is>
      </c>
      <c r="N2657" t="inlineStr">
        <is>
          <t>Grand Falls, New Brunswick, Canada</t>
        </is>
      </c>
      <c r="O2657" t="inlineStr">
        <is>
          <t>Grand-Sault, Nouveau-Brunswick, Canada</t>
        </is>
      </c>
      <c r="P2657" t="n">
        <v>1672.17</v>
      </c>
      <c r="Q2657" t="n">
        <v>488.47</v>
      </c>
      <c r="R2657" t="n">
        <v>465.39</v>
      </c>
      <c r="S2657" t="n">
        <v>463.3</v>
      </c>
      <c r="T2657" t="n">
        <v>0</v>
      </c>
      <c r="U2657" t="n">
        <v>3089.33</v>
      </c>
      <c r="X2657" t="inlineStr">
        <is>
          <t>aafc-aac</t>
        </is>
      </c>
      <c r="Y2657" t="inlineStr">
        <is>
          <t>Agriculture and Agri-Food Canada | Agriculture et Agroalimentaire Canada</t>
        </is>
      </c>
      <c r="Z2657" t="n">
        <v>4</v>
      </c>
      <c r="AA2657" t="n">
        <v>3089.33</v>
      </c>
      <c r="AB2657">
        <f>ROUND(U2657-AA2657,2)</f>
        <v/>
      </c>
      <c r="AC2657" t="b">
        <v>0</v>
      </c>
      <c r="AD2657">
        <f>IF(U2657="","MISSING_TOTAL",IF(ABS(AB2657)&lt;=0.01,"OK","CHECK"))</f>
        <v/>
      </c>
      <c r="AE2657">
        <f>IF(U2657="","MISSING",IF(AND(AA2657&gt;0,U2657/AA2657&gt;50),"POSSIBLE_SCALE_ERROR","OK"))</f>
        <v/>
      </c>
    </row>
    <row r="2658">
      <c r="A2658" t="inlineStr">
        <is>
          <t>T-AAFC-2027-P01-010</t>
        </is>
      </c>
      <c r="B2658" t="inlineStr">
        <is>
          <t>MPSES</t>
        </is>
      </c>
      <c r="C2658" t="inlineStr">
        <is>
          <t>Special Assistant</t>
        </is>
      </c>
      <c r="D2658" t="inlineStr">
        <is>
          <t>Adjointe spéciale</t>
        </is>
      </c>
      <c r="E2658" t="inlineStr">
        <is>
          <t>Yasmin Veiga</t>
        </is>
      </c>
      <c r="F2658" t="inlineStr">
        <is>
          <t>To support the Minister with various meetings</t>
        </is>
      </c>
      <c r="G2658" t="inlineStr">
        <is>
          <t>Soutenir le ministre lors de diverses réunions</t>
        </is>
      </c>
      <c r="H2658" s="1" t="n">
        <v>46108</v>
      </c>
      <c r="I2658" s="1" t="n">
        <v>46108</v>
      </c>
      <c r="J2658" t="inlineStr">
        <is>
          <t>Luskville, Quebec, Canada</t>
        </is>
      </c>
      <c r="K2658" t="inlineStr">
        <is>
          <t>Luskville, Québec, Canada</t>
        </is>
      </c>
      <c r="L2658" t="inlineStr">
        <is>
          <t>Val-des-Monts, Quebec, Canada</t>
        </is>
      </c>
      <c r="M2658" t="inlineStr">
        <is>
          <t>Val-des-Monts, Québec, Canada</t>
        </is>
      </c>
      <c r="N2658" t="inlineStr">
        <is>
          <t>Gatineau, Quebec, Canada</t>
        </is>
      </c>
      <c r="O2658" t="inlineStr">
        <is>
          <t>Gatineau, Québec, Canada</t>
        </is>
      </c>
      <c r="P2658" t="n">
        <v>0</v>
      </c>
      <c r="Q2658" t="n">
        <v>0</v>
      </c>
      <c r="R2658" t="n">
        <v>0</v>
      </c>
      <c r="S2658" t="n">
        <v>90.34999999999999</v>
      </c>
      <c r="T2658" t="n">
        <v>0</v>
      </c>
      <c r="U2658" t="n">
        <v>90.34999999999999</v>
      </c>
      <c r="X2658" t="inlineStr">
        <is>
          <t>aafc-aac</t>
        </is>
      </c>
      <c r="Y2658" t="inlineStr">
        <is>
          <t>Agriculture and Agri-Food Canada | Agriculture et Agroalimentaire Canada</t>
        </is>
      </c>
      <c r="Z2658" t="n">
        <v>1</v>
      </c>
      <c r="AA2658" t="n">
        <v>90.34999999999999</v>
      </c>
      <c r="AB2658">
        <f>ROUND(U2658-AA2658,2)</f>
        <v/>
      </c>
      <c r="AC2658" t="b">
        <v>0</v>
      </c>
      <c r="AD2658">
        <f>IF(U2658="","MISSING_TOTAL",IF(ABS(AB2658)&lt;=0.01,"OK","CHECK"))</f>
        <v/>
      </c>
      <c r="AE2658">
        <f>IF(U2658="","MISSING",IF(AND(AA2658&gt;0,U2658/AA2658&gt;50),"POSSIBLE_SCALE_ERROR","OK"))</f>
        <v/>
      </c>
    </row>
    <row r="2659">
      <c r="A2659" t="inlineStr">
        <is>
          <t>T-AAFC-2027-P01-011</t>
        </is>
      </c>
      <c r="B2659" t="inlineStr">
        <is>
          <t>MPSES</t>
        </is>
      </c>
      <c r="C2659" t="inlineStr">
        <is>
          <t>Regional Advisor - Prairies and North</t>
        </is>
      </c>
      <c r="D2659" t="inlineStr">
        <is>
          <t>Conseiller régional - Prairies et Nord</t>
        </is>
      </c>
      <c r="E2659" t="inlineStr">
        <is>
          <t>Richard Davies</t>
        </is>
      </c>
      <c r="F2659" t="inlineStr">
        <is>
          <t>To support the Minister with various meetings</t>
        </is>
      </c>
      <c r="G2659" t="inlineStr">
        <is>
          <t>Soutenir le ministre lors de diverses réunions</t>
        </is>
      </c>
      <c r="H2659" s="1" t="n">
        <v>46110</v>
      </c>
      <c r="I2659" s="1" t="n">
        <v>46112</v>
      </c>
      <c r="J2659" t="inlineStr">
        <is>
          <t>Winnipeg, Manitoba, Canada</t>
        </is>
      </c>
      <c r="K2659" t="inlineStr">
        <is>
          <t>Winnipeg, Manitoba, Canada</t>
        </is>
      </c>
      <c r="P2659" t="n">
        <v>1141.34</v>
      </c>
      <c r="Q2659" t="n">
        <v>115.86</v>
      </c>
      <c r="R2659" t="n">
        <v>500.77</v>
      </c>
      <c r="S2659" t="n">
        <v>231.6</v>
      </c>
      <c r="T2659" t="n">
        <v>0</v>
      </c>
      <c r="U2659" t="n">
        <v>1989.57</v>
      </c>
      <c r="X2659" t="inlineStr">
        <is>
          <t>aafc-aac</t>
        </is>
      </c>
      <c r="Y2659" t="inlineStr">
        <is>
          <t>Agriculture and Agri-Food Canada | Agriculture et Agroalimentaire Canada</t>
        </is>
      </c>
      <c r="Z2659" t="n">
        <v>3</v>
      </c>
      <c r="AA2659" t="n">
        <v>1989.56999999999</v>
      </c>
      <c r="AB2659">
        <f>ROUND(U2659-AA2659,2)</f>
        <v/>
      </c>
      <c r="AC2659" t="b">
        <v>0</v>
      </c>
      <c r="AD2659">
        <f>IF(U2659="","MISSING_TOTAL",IF(ABS(AB2659)&lt;=0.01,"OK","CHECK"))</f>
        <v/>
      </c>
      <c r="AE2659">
        <f>IF(U2659="","MISSING",IF(AND(AA2659&gt;0,U2659/AA2659&gt;50),"POSSIBLE_SCALE_ERROR","OK"))</f>
        <v/>
      </c>
    </row>
    <row r="2660">
      <c r="A2660" t="inlineStr">
        <is>
          <t>T-AAFC-2027-P01-012</t>
        </is>
      </c>
      <c r="B2660" t="inlineStr">
        <is>
          <t>SLE</t>
        </is>
      </c>
      <c r="C2660" t="inlineStr">
        <is>
          <t>Assistant Deputy Minister, Science and Technology Branch</t>
        </is>
      </c>
      <c r="D2660" t="inlineStr">
        <is>
          <t>Sous-ministre adjointe, Direction générale des sciences et de la technologie</t>
        </is>
      </c>
      <c r="E2660" t="inlineStr">
        <is>
          <t>Arran McPherson</t>
        </is>
      </c>
      <c r="F2660" t="inlineStr">
        <is>
          <t>To visit and meet with staff</t>
        </is>
      </c>
      <c r="G2660" t="inlineStr">
        <is>
          <t>Visiter et rencontrer le personnel</t>
        </is>
      </c>
      <c r="H2660" s="1" t="n">
        <v>46089</v>
      </c>
      <c r="I2660" s="1" t="n">
        <v>46091</v>
      </c>
      <c r="J2660" t="inlineStr">
        <is>
          <t>St. John's, Newfoundland and Labrador, Canada</t>
        </is>
      </c>
      <c r="K2660" t="inlineStr">
        <is>
          <t>Saint-Jean, Terre-Neuve-et-Labrador, Canada</t>
        </is>
      </c>
      <c r="P2660" t="n">
        <v>1562.75</v>
      </c>
      <c r="Q2660" t="n">
        <v>83.53</v>
      </c>
      <c r="R2660" t="n">
        <v>378.96</v>
      </c>
      <c r="S2660" t="n">
        <v>290.7</v>
      </c>
      <c r="T2660" t="n">
        <v>0</v>
      </c>
      <c r="U2660" t="n">
        <v>2315.94</v>
      </c>
      <c r="X2660" t="inlineStr">
        <is>
          <t>aafc-aac</t>
        </is>
      </c>
      <c r="Y2660" t="inlineStr">
        <is>
          <t>Agriculture and Agri-Food Canada | Agriculture et Agroalimentaire Canada</t>
        </is>
      </c>
      <c r="Z2660" t="n">
        <v>3</v>
      </c>
      <c r="AA2660" t="n">
        <v>2315.94</v>
      </c>
      <c r="AB2660">
        <f>ROUND(U2660-AA2660,2)</f>
        <v/>
      </c>
      <c r="AC2660" t="b">
        <v>0</v>
      </c>
      <c r="AD2660">
        <f>IF(U2660="","MISSING_TOTAL",IF(ABS(AB2660)&lt;=0.01,"OK","CHECK"))</f>
        <v/>
      </c>
      <c r="AE2660">
        <f>IF(U2660="","MISSING",IF(AND(AA2660&gt;0,U2660/AA2660&gt;50),"POSSIBLE_SCALE_ERROR","OK"))</f>
        <v/>
      </c>
    </row>
    <row r="2661">
      <c r="A2661" t="inlineStr">
        <is>
          <t>T-AAFC-2027-P01-013</t>
        </is>
      </c>
      <c r="B2661" t="inlineStr">
        <is>
          <t>SLE</t>
        </is>
      </c>
      <c r="C2661" t="inlineStr">
        <is>
          <t>Associate Assistant Deputy Minister, Science and Technology Branch</t>
        </is>
      </c>
      <c r="D2661" t="inlineStr">
        <is>
          <t>Sous-ministre adjoint délégué, Direction générale des sciences et de la technologie</t>
        </is>
      </c>
      <c r="E2661" t="inlineStr">
        <is>
          <t>Andrew Goldstein</t>
        </is>
      </c>
      <c r="F2661" t="inlineStr">
        <is>
          <t>To participate in an Outreach visit and meet with staff</t>
        </is>
      </c>
      <c r="G2661" t="inlineStr">
        <is>
          <t>Participer à une visite de sensibilisation avec le personnel</t>
        </is>
      </c>
      <c r="H2661" s="1" t="n">
        <v>46126</v>
      </c>
      <c r="I2661" s="1" t="n">
        <v>46128</v>
      </c>
      <c r="J2661" t="inlineStr">
        <is>
          <t>Fredericton, New Brunswick, Canada</t>
        </is>
      </c>
      <c r="K2661" t="inlineStr">
        <is>
          <t>Fredericton, Nouveau-Brunswick, Canada</t>
        </is>
      </c>
      <c r="P2661" t="n">
        <v>915.24</v>
      </c>
      <c r="Q2661" t="n">
        <v>119.92</v>
      </c>
      <c r="R2661" t="n">
        <v>506.58</v>
      </c>
      <c r="S2661" t="n">
        <v>258.5</v>
      </c>
      <c r="T2661" t="n">
        <v>0</v>
      </c>
      <c r="U2661" t="n">
        <v>1800.24</v>
      </c>
      <c r="X2661" t="inlineStr">
        <is>
          <t>aafc-aac</t>
        </is>
      </c>
      <c r="Y2661" t="inlineStr">
        <is>
          <t>Agriculture and Agri-Food Canada | Agriculture et Agroalimentaire Canada</t>
        </is>
      </c>
      <c r="Z2661" t="n">
        <v>3</v>
      </c>
      <c r="AA2661" t="n">
        <v>1800.24</v>
      </c>
      <c r="AB2661">
        <f>ROUND(U2661-AA2661,2)</f>
        <v/>
      </c>
      <c r="AC2661" t="b">
        <v>0</v>
      </c>
      <c r="AD2661">
        <f>IF(U2661="","MISSING_TOTAL",IF(ABS(AB2661)&lt;=0.01,"OK","CHECK"))</f>
        <v/>
      </c>
      <c r="AE2661">
        <f>IF(U2661="","MISSING",IF(AND(AA2661&gt;0,U2661/AA2661&gt;50),"POSSIBLE_SCALE_ERROR","OK"))</f>
        <v/>
      </c>
    </row>
    <row r="2662">
      <c r="A2662" t="inlineStr">
        <is>
          <t>T-AAFC-2027-P01-014</t>
        </is>
      </c>
      <c r="B2662" t="inlineStr">
        <is>
          <t>SLE</t>
        </is>
      </c>
      <c r="C2662" t="inlineStr">
        <is>
          <t>Assistant Deputy Minister, Corporate Management Branch</t>
        </is>
      </c>
      <c r="D2662" t="inlineStr">
        <is>
          <t>Sous-ministre adjoint, Direction générale de la gestion intégrée</t>
        </is>
      </c>
      <c r="E2662" t="inlineStr">
        <is>
          <t>Alain Lagacé</t>
        </is>
      </c>
      <c r="F2662" t="inlineStr">
        <is>
          <t>To visit Southern Ontario worksites</t>
        </is>
      </c>
      <c r="G2662" t="inlineStr">
        <is>
          <t>Visiter les sites de travail du sud de l'Ontario</t>
        </is>
      </c>
      <c r="H2662" s="1" t="n">
        <v>46124</v>
      </c>
      <c r="I2662" s="1" t="n">
        <v>46129</v>
      </c>
      <c r="J2662" t="inlineStr">
        <is>
          <t>Guelph, Ontario, Canada</t>
        </is>
      </c>
      <c r="K2662" t="inlineStr">
        <is>
          <t>Guelph, Ontario, Canada</t>
        </is>
      </c>
      <c r="L2662" t="inlineStr">
        <is>
          <t>Jordan, Ontario, Canada</t>
        </is>
      </c>
      <c r="M2662" t="inlineStr">
        <is>
          <t>Jordan, Ontario, Canada</t>
        </is>
      </c>
      <c r="N2662" t="inlineStr">
        <is>
          <t>Jerseyville, Ontario, Canada;London, Ontario, Canada;Harrow, Ontario, Canada</t>
        </is>
      </c>
      <c r="O2662" t="inlineStr">
        <is>
          <t>Jerseyville, Ontario, Canada;London, Ontario, Canada;Harrow, Ontario, Canada</t>
        </is>
      </c>
      <c r="P2662" t="n">
        <v>733.4299999999999</v>
      </c>
      <c r="Q2662" t="n">
        <v>824.85</v>
      </c>
      <c r="R2662" t="n">
        <v>1107.89</v>
      </c>
      <c r="S2662" t="n">
        <v>877.5</v>
      </c>
      <c r="T2662" t="n">
        <v>0</v>
      </c>
      <c r="U2662" t="n">
        <v>3543.67</v>
      </c>
      <c r="X2662" t="inlineStr">
        <is>
          <t>aafc-aac</t>
        </is>
      </c>
      <c r="Y2662" t="inlineStr">
        <is>
          <t>Agriculture and Agri-Food Canada | Agriculture et Agroalimentaire Canada</t>
        </is>
      </c>
      <c r="Z2662" t="n">
        <v>6</v>
      </c>
      <c r="AA2662" t="n">
        <v>3543.67</v>
      </c>
      <c r="AB2662">
        <f>ROUND(U2662-AA2662,2)</f>
        <v/>
      </c>
      <c r="AC2662" t="b">
        <v>0</v>
      </c>
      <c r="AD2662">
        <f>IF(U2662="","MISSING_TOTAL",IF(ABS(AB2662)&lt;=0.01,"OK","CHECK"))</f>
        <v/>
      </c>
      <c r="AE2662">
        <f>IF(U2662="","MISSING",IF(AND(AA2662&gt;0,U2662/AA2662&gt;50),"POSSIBLE_SCALE_ERROR","OK"))</f>
        <v/>
      </c>
    </row>
    <row r="2663">
      <c r="A2663" t="inlineStr">
        <is>
          <t>T-AAFC-2027-P01-015</t>
        </is>
      </c>
      <c r="B2663" t="inlineStr">
        <is>
          <t>SLE</t>
        </is>
      </c>
      <c r="C2663" t="inlineStr">
        <is>
          <t>Assistant Deputy Minister, Corporate Management Branch</t>
        </is>
      </c>
      <c r="D2663" t="inlineStr">
        <is>
          <t>Sous-ministre adjoint, Direction générale de la gestion intégrée</t>
        </is>
      </c>
      <c r="E2663" t="inlineStr">
        <is>
          <t>Alain Lagacé</t>
        </is>
      </c>
      <c r="F2663" t="inlineStr">
        <is>
          <t>To attend the Finance Executive Development Program-Senior Leaders Workshop</t>
        </is>
      </c>
      <c r="G2663" t="inlineStr">
        <is>
          <t>Assister à l’atelier des cadres supérieurs du Programme de perfectionnement des cadres en finances</t>
        </is>
      </c>
      <c r="H2663" s="1" t="n">
        <v>46112</v>
      </c>
      <c r="I2663" s="1" t="n">
        <v>46112</v>
      </c>
      <c r="J2663" t="inlineStr">
        <is>
          <t>Ottawa, Ontario, Canada</t>
        </is>
      </c>
      <c r="K2663" t="inlineStr">
        <is>
          <t>Ottawa, Ontario, Canada</t>
        </is>
      </c>
      <c r="P2663" t="n">
        <v>0</v>
      </c>
      <c r="Q2663" t="n">
        <v>24.5</v>
      </c>
      <c r="R2663" t="n">
        <v>0</v>
      </c>
      <c r="S2663" t="n">
        <v>0</v>
      </c>
      <c r="T2663" t="n">
        <v>0</v>
      </c>
      <c r="U2663" t="n">
        <v>24.5</v>
      </c>
      <c r="X2663" t="inlineStr">
        <is>
          <t>aafc-aac</t>
        </is>
      </c>
      <c r="Y2663" t="inlineStr">
        <is>
          <t>Agriculture and Agri-Food Canada | Agriculture et Agroalimentaire Canada</t>
        </is>
      </c>
      <c r="Z2663" t="n">
        <v>1</v>
      </c>
      <c r="AA2663" t="n">
        <v>24.5</v>
      </c>
      <c r="AB2663">
        <f>ROUND(U2663-AA2663,2)</f>
        <v/>
      </c>
      <c r="AC2663" t="b">
        <v>0</v>
      </c>
      <c r="AD2663">
        <f>IF(U2663="","MISSING_TOTAL",IF(ABS(AB2663)&lt;=0.01,"OK","CHECK"))</f>
        <v/>
      </c>
      <c r="AE2663">
        <f>IF(U2663="","MISSING",IF(AND(AA2663&gt;0,U2663/AA2663&gt;50),"POSSIBLE_SCALE_ERROR","OK"))</f>
        <v/>
      </c>
    </row>
    <row r="2664">
      <c r="A2664" t="inlineStr">
        <is>
          <t>T-AAFC-2027-P01-016</t>
        </is>
      </c>
      <c r="B2664" t="inlineStr">
        <is>
          <t>SLE</t>
        </is>
      </c>
      <c r="C2664" t="inlineStr">
        <is>
          <t>Assistant Deputy Minister, Strategic Policy Branch</t>
        </is>
      </c>
      <c r="D2664" t="inlineStr">
        <is>
          <t>Sous-ministre adjointe, Direction générale des politiques stratégiques</t>
        </is>
      </c>
      <c r="E2664" t="inlineStr">
        <is>
          <t>Shannon Nix</t>
        </is>
      </c>
      <c r="F2664" t="inlineStr">
        <is>
          <t>To attend meetings</t>
        </is>
      </c>
      <c r="G2664" t="inlineStr">
        <is>
          <t>Assister à des réunions</t>
        </is>
      </c>
      <c r="H2664" s="1" t="n">
        <v>46126</v>
      </c>
      <c r="I2664" s="1" t="n">
        <v>46131</v>
      </c>
      <c r="J2664" t="inlineStr">
        <is>
          <t>Ottawa, Ontario, Canada</t>
        </is>
      </c>
      <c r="K2664" t="inlineStr">
        <is>
          <t>Ottawa, Ontario, Canada</t>
        </is>
      </c>
      <c r="P2664" t="n">
        <v>0</v>
      </c>
      <c r="Q2664" t="n">
        <v>94.61</v>
      </c>
      <c r="R2664" t="n">
        <v>0</v>
      </c>
      <c r="S2664" t="n">
        <v>0</v>
      </c>
      <c r="T2664" t="n">
        <v>0</v>
      </c>
      <c r="U2664" t="n">
        <v>94.61</v>
      </c>
      <c r="X2664" t="inlineStr">
        <is>
          <t>aafc-aac</t>
        </is>
      </c>
      <c r="Y2664" t="inlineStr">
        <is>
          <t>Agriculture and Agri-Food Canada | Agriculture et Agroalimentaire Canada</t>
        </is>
      </c>
      <c r="Z2664" t="n">
        <v>6</v>
      </c>
      <c r="AA2664" t="n">
        <v>94.61</v>
      </c>
      <c r="AB2664">
        <f>ROUND(U2664-AA2664,2)</f>
        <v/>
      </c>
      <c r="AC2664" t="b">
        <v>0</v>
      </c>
      <c r="AD2664">
        <f>IF(U2664="","MISSING_TOTAL",IF(ABS(AB2664)&lt;=0.01,"OK","CHECK"))</f>
        <v/>
      </c>
      <c r="AE2664">
        <f>IF(U2664="","MISSING",IF(AND(AA2664&gt;0,U2664/AA2664&gt;50),"POSSIBLE_SCALE_ERROR","OK"))</f>
        <v/>
      </c>
    </row>
    <row r="2665">
      <c r="A2665" t="inlineStr">
        <is>
          <t>T-AAFC-2027-P02-001</t>
        </is>
      </c>
      <c r="B2665" t="inlineStr">
        <is>
          <t>MPSES</t>
        </is>
      </c>
      <c r="C2665" t="inlineStr">
        <is>
          <t>Minister</t>
        </is>
      </c>
      <c r="D2665" t="inlineStr">
        <is>
          <t>Ministre</t>
        </is>
      </c>
      <c r="E2665" t="inlineStr">
        <is>
          <t>Heath MacDonald</t>
        </is>
      </c>
      <c r="F2665" t="inlineStr">
        <is>
          <t>To attend an Outreach</t>
        </is>
      </c>
      <c r="G2665" t="inlineStr">
        <is>
          <t>Participer à une tournée de sensibilisation</t>
        </is>
      </c>
      <c r="H2665" s="1" t="n">
        <v>46140</v>
      </c>
      <c r="I2665" s="1" t="n">
        <v>46142</v>
      </c>
      <c r="J2665" t="inlineStr">
        <is>
          <t>Montréal, Quebec, Canada</t>
        </is>
      </c>
      <c r="K2665" t="inlineStr">
        <is>
          <t>Montréal, Québec, Canada</t>
        </is>
      </c>
      <c r="L2665" t="inlineStr">
        <is>
          <t>Toronto, Ontario, Canada</t>
        </is>
      </c>
      <c r="M2665" t="inlineStr">
        <is>
          <t>Toronto, Ontario, Canada</t>
        </is>
      </c>
      <c r="P2665" t="n">
        <v>1560.74</v>
      </c>
      <c r="Q2665" t="n">
        <v>0</v>
      </c>
      <c r="R2665" t="n">
        <v>763.12</v>
      </c>
      <c r="S2665" t="n">
        <v>379.2</v>
      </c>
      <c r="T2665" t="n">
        <v>0</v>
      </c>
      <c r="U2665" t="n">
        <v>2703.06</v>
      </c>
      <c r="X2665" t="inlineStr">
        <is>
          <t>aafc-aac</t>
        </is>
      </c>
      <c r="Y2665" t="inlineStr">
        <is>
          <t>Agriculture and Agri-Food Canada | Agriculture et Agroalimentaire Canada</t>
        </is>
      </c>
      <c r="Z2665" t="n">
        <v>3</v>
      </c>
      <c r="AA2665" t="n">
        <v>2703.06</v>
      </c>
      <c r="AB2665">
        <f>ROUND(U2665-AA2665,2)</f>
        <v/>
      </c>
      <c r="AC2665" t="b">
        <v>0</v>
      </c>
      <c r="AD2665">
        <f>IF(U2665="","MISSING_TOTAL",IF(ABS(AB2665)&lt;=0.01,"OK","CHECK"))</f>
        <v/>
      </c>
      <c r="AE2665">
        <f>IF(U2665="","MISSING",IF(AND(AA2665&gt;0,U2665/AA2665&gt;50),"POSSIBLE_SCALE_ERROR","OK"))</f>
        <v/>
      </c>
    </row>
    <row r="2666">
      <c r="A2666" t="inlineStr">
        <is>
          <t>T-AAFC-2027-P02-002</t>
        </is>
      </c>
      <c r="B2666" t="inlineStr">
        <is>
          <t>MPSES</t>
        </is>
      </c>
      <c r="C2666" t="inlineStr">
        <is>
          <t>Minister</t>
        </is>
      </c>
      <c r="D2666" t="inlineStr">
        <is>
          <t>Ministre</t>
        </is>
      </c>
      <c r="E2666" t="inlineStr">
        <is>
          <t>Heath MacDonald</t>
        </is>
      </c>
      <c r="F2666" t="inlineStr">
        <is>
          <t>To attend an Outreach</t>
        </is>
      </c>
      <c r="G2666" t="inlineStr">
        <is>
          <t>Participer à une tournée de sensibilisation</t>
        </is>
      </c>
      <c r="H2666" s="1" t="n">
        <v>46160</v>
      </c>
      <c r="I2666" s="1" t="n">
        <v>46164</v>
      </c>
      <c r="J2666" t="inlineStr">
        <is>
          <t>Saskatoon, Saskatchewan, Canada</t>
        </is>
      </c>
      <c r="K2666" t="inlineStr">
        <is>
          <t>Saskatoon, Saskatchewan, Canada</t>
        </is>
      </c>
      <c r="L2666" t="inlineStr">
        <is>
          <t>Vancouver, British Columbia, Canada</t>
        </is>
      </c>
      <c r="M2666" t="inlineStr">
        <is>
          <t>Vancouver, Colombie-Britannique, Canada</t>
        </is>
      </c>
      <c r="P2666" t="n">
        <v>2900.86</v>
      </c>
      <c r="Q2666" t="n">
        <v>0</v>
      </c>
      <c r="R2666" t="n">
        <v>1126.74</v>
      </c>
      <c r="S2666" t="n">
        <v>493.35</v>
      </c>
      <c r="T2666" t="n">
        <v>0</v>
      </c>
      <c r="U2666" t="n">
        <v>4520.95</v>
      </c>
      <c r="X2666" t="inlineStr">
        <is>
          <t>aafc-aac</t>
        </is>
      </c>
      <c r="Y2666" t="inlineStr">
        <is>
          <t>Agriculture and Agri-Food Canada | Agriculture et Agroalimentaire Canada</t>
        </is>
      </c>
      <c r="Z2666" t="n">
        <v>5</v>
      </c>
      <c r="AA2666" t="n">
        <v>4520.95</v>
      </c>
      <c r="AB2666">
        <f>ROUND(U2666-AA2666,2)</f>
        <v/>
      </c>
      <c r="AC2666" t="b">
        <v>0</v>
      </c>
      <c r="AD2666">
        <f>IF(U2666="","MISSING_TOTAL",IF(ABS(AB2666)&lt;=0.01,"OK","CHECK"))</f>
        <v/>
      </c>
      <c r="AE2666">
        <f>IF(U2666="","MISSING",IF(AND(AA2666&gt;0,U2666/AA2666&gt;50),"POSSIBLE_SCALE_ERROR","OK"))</f>
        <v/>
      </c>
    </row>
    <row r="2667">
      <c r="A2667" t="inlineStr">
        <is>
          <t>T-AAFC-2027-P02-003</t>
        </is>
      </c>
      <c r="B2667" t="inlineStr">
        <is>
          <t>MPSES</t>
        </is>
      </c>
      <c r="C2667" t="inlineStr">
        <is>
          <t>Director of Parliamentary Affairs</t>
        </is>
      </c>
      <c r="D2667" t="inlineStr">
        <is>
          <t>Directeur des affaires parlementaires</t>
        </is>
      </c>
      <c r="E2667" t="inlineStr">
        <is>
          <t>Bradley Henstock</t>
        </is>
      </c>
      <c r="F2667" t="inlineStr">
        <is>
          <t>To support the Minister with meetings</t>
        </is>
      </c>
      <c r="G2667" t="inlineStr">
        <is>
          <t>Soutenir le ministre lors de réunions</t>
        </is>
      </c>
      <c r="H2667" s="1" t="n">
        <v>46150</v>
      </c>
      <c r="I2667" s="1" t="n">
        <v>46152</v>
      </c>
      <c r="J2667" t="inlineStr">
        <is>
          <t>Charlottetown, Price Edward Island, Canada</t>
        </is>
      </c>
      <c r="K2667" t="inlineStr">
        <is>
          <t>Charlottetown, Île-du-Prince-Édouard, Canada</t>
        </is>
      </c>
      <c r="P2667" t="n">
        <v>1222.14</v>
      </c>
      <c r="Q2667" t="n">
        <v>0</v>
      </c>
      <c r="R2667" t="n">
        <v>0</v>
      </c>
      <c r="S2667" t="n">
        <v>0</v>
      </c>
      <c r="T2667" t="n">
        <v>0</v>
      </c>
      <c r="U2667" t="n">
        <v>1222.14</v>
      </c>
      <c r="X2667" t="inlineStr">
        <is>
          <t>aafc-aac</t>
        </is>
      </c>
      <c r="Y2667" t="inlineStr">
        <is>
          <t>Agriculture and Agri-Food Canada | Agriculture et Agroalimentaire Canada</t>
        </is>
      </c>
      <c r="Z2667" t="n">
        <v>3</v>
      </c>
      <c r="AA2667" t="n">
        <v>1222.14</v>
      </c>
      <c r="AB2667">
        <f>ROUND(U2667-AA2667,2)</f>
        <v/>
      </c>
      <c r="AC2667" t="b">
        <v>0</v>
      </c>
      <c r="AD2667">
        <f>IF(U2667="","MISSING_TOTAL",IF(ABS(AB2667)&lt;=0.01,"OK","CHECK"))</f>
        <v/>
      </c>
      <c r="AE2667">
        <f>IF(U2667="","MISSING",IF(AND(AA2667&gt;0,U2667/AA2667&gt;50),"POSSIBLE_SCALE_ERROR","OK"))</f>
        <v/>
      </c>
    </row>
    <row r="2668">
      <c r="A2668" t="inlineStr">
        <is>
          <t>T-AAFC-2027-P02-004</t>
        </is>
      </c>
      <c r="B2668" t="inlineStr">
        <is>
          <t>MPSES</t>
        </is>
      </c>
      <c r="C2668" t="inlineStr">
        <is>
          <t>Driver</t>
        </is>
      </c>
      <c r="D2668" t="inlineStr">
        <is>
          <t>Chauffeur</t>
        </is>
      </c>
      <c r="E2668" t="inlineStr">
        <is>
          <t>Nicolas Mamo</t>
        </is>
      </c>
      <c r="F2668" t="inlineStr">
        <is>
          <t>To drive the Minister to an Outreach</t>
        </is>
      </c>
      <c r="G2668" t="inlineStr">
        <is>
          <t>Conduire le ministre à une tournée de sensibilisation</t>
        </is>
      </c>
      <c r="H2668" s="1" t="n">
        <v>46140</v>
      </c>
      <c r="I2668" s="1" t="n">
        <v>46142</v>
      </c>
      <c r="J2668" t="inlineStr">
        <is>
          <t>Montréal, Quebec, Canada</t>
        </is>
      </c>
      <c r="K2668" t="inlineStr">
        <is>
          <t>Montréal, Québec, Canada</t>
        </is>
      </c>
      <c r="L2668" t="inlineStr">
        <is>
          <t>Toronto, Ontario, Canada</t>
        </is>
      </c>
      <c r="M2668" t="inlineStr">
        <is>
          <t>Toronto, Ontario, Canada</t>
        </is>
      </c>
      <c r="P2668" t="n">
        <v>0</v>
      </c>
      <c r="Q2668" t="n">
        <v>0</v>
      </c>
      <c r="R2668" t="n">
        <v>856.9400000000001</v>
      </c>
      <c r="S2668" t="n">
        <v>287.45</v>
      </c>
      <c r="T2668" t="n">
        <v>0</v>
      </c>
      <c r="U2668" t="n">
        <v>1144.39</v>
      </c>
      <c r="X2668" t="inlineStr">
        <is>
          <t>aafc-aac</t>
        </is>
      </c>
      <c r="Y2668" t="inlineStr">
        <is>
          <t>Agriculture and Agri-Food Canada | Agriculture et Agroalimentaire Canada</t>
        </is>
      </c>
      <c r="Z2668" t="n">
        <v>3</v>
      </c>
      <c r="AA2668" t="n">
        <v>1144.39</v>
      </c>
      <c r="AB2668">
        <f>ROUND(U2668-AA2668,2)</f>
        <v/>
      </c>
      <c r="AC2668" t="b">
        <v>0</v>
      </c>
      <c r="AD2668">
        <f>IF(U2668="","MISSING_TOTAL",IF(ABS(AB2668)&lt;=0.01,"OK","CHECK"))</f>
        <v/>
      </c>
      <c r="AE2668">
        <f>IF(U2668="","MISSING",IF(AND(AA2668&gt;0,U2668/AA2668&gt;50),"POSSIBLE_SCALE_ERROR","OK"))</f>
        <v/>
      </c>
    </row>
    <row r="2669">
      <c r="A2669" t="inlineStr">
        <is>
          <t>T-AAFC-2027-P02-005</t>
        </is>
      </c>
      <c r="B2669" t="inlineStr">
        <is>
          <t>MPSES</t>
        </is>
      </c>
      <c r="C2669" t="inlineStr">
        <is>
          <t>Chief of Staff</t>
        </is>
      </c>
      <c r="D2669" t="inlineStr">
        <is>
          <t>Chef de Cabinet</t>
        </is>
      </c>
      <c r="E2669" t="inlineStr">
        <is>
          <t>Guy Gallant</t>
        </is>
      </c>
      <c r="F2669" t="inlineStr">
        <is>
          <t>To support the Minister's attendance at an Outreach</t>
        </is>
      </c>
      <c r="G2669" t="inlineStr">
        <is>
          <t>Soutenir le ministre lors d'une tournée de sensibilisation</t>
        </is>
      </c>
      <c r="H2669" s="1" t="n">
        <v>46140</v>
      </c>
      <c r="I2669" s="1" t="n">
        <v>46142</v>
      </c>
      <c r="J2669" t="inlineStr">
        <is>
          <t>Montréal, Quebec, Canada</t>
        </is>
      </c>
      <c r="K2669" t="inlineStr">
        <is>
          <t>Montréal, Québec, Canada</t>
        </is>
      </c>
      <c r="L2669" t="inlineStr">
        <is>
          <t>Toronto, Ontario, Canada</t>
        </is>
      </c>
      <c r="M2669" t="inlineStr">
        <is>
          <t>Toronto, Ontario, Canada</t>
        </is>
      </c>
      <c r="P2669" t="n">
        <v>2045.29</v>
      </c>
      <c r="Q2669" t="n">
        <v>47.77</v>
      </c>
      <c r="R2669" t="n">
        <v>0</v>
      </c>
      <c r="S2669" t="n">
        <v>379.2</v>
      </c>
      <c r="T2669" t="n">
        <v>0</v>
      </c>
      <c r="U2669" t="n">
        <v>2472.26</v>
      </c>
      <c r="X2669" t="inlineStr">
        <is>
          <t>aafc-aac</t>
        </is>
      </c>
      <c r="Y2669" t="inlineStr">
        <is>
          <t>Agriculture and Agri-Food Canada | Agriculture et Agroalimentaire Canada</t>
        </is>
      </c>
      <c r="Z2669" t="n">
        <v>3</v>
      </c>
      <c r="AA2669" t="n">
        <v>2472.25999999999</v>
      </c>
      <c r="AB2669">
        <f>ROUND(U2669-AA2669,2)</f>
        <v/>
      </c>
      <c r="AC2669" t="b">
        <v>0</v>
      </c>
      <c r="AD2669">
        <f>IF(U2669="","MISSING_TOTAL",IF(ABS(AB2669)&lt;=0.01,"OK","CHECK"))</f>
        <v/>
      </c>
      <c r="AE2669">
        <f>IF(U2669="","MISSING",IF(AND(AA2669&gt;0,U2669/AA2669&gt;50),"POSSIBLE_SCALE_ERROR","OK"))</f>
        <v/>
      </c>
    </row>
    <row r="2670">
      <c r="A2670" t="inlineStr">
        <is>
          <t>T-AAFC-2027-P02-006</t>
        </is>
      </c>
      <c r="B2670" t="inlineStr">
        <is>
          <t>MPSES</t>
        </is>
      </c>
      <c r="C2670" t="inlineStr">
        <is>
          <t>Chief of Staff</t>
        </is>
      </c>
      <c r="D2670" t="inlineStr">
        <is>
          <t>Chef de Cabinet</t>
        </is>
      </c>
      <c r="E2670" t="inlineStr">
        <is>
          <t>Guy Gallant</t>
        </is>
      </c>
      <c r="F2670" t="inlineStr">
        <is>
          <t>To support the Minister's attendance at a Ministerial Mission</t>
        </is>
      </c>
      <c r="G2670" t="inlineStr">
        <is>
          <t>Soutenir le ministre lors d'une mission ministérielle</t>
        </is>
      </c>
      <c r="H2670" s="1" t="n">
        <v>46095</v>
      </c>
      <c r="I2670" s="1" t="n">
        <v>46099</v>
      </c>
      <c r="J2670" t="inlineStr">
        <is>
          <t>Boston, Massachusetts, United States</t>
        </is>
      </c>
      <c r="K2670" t="inlineStr">
        <is>
          <t>Boston, Massachusetts, États-Unis</t>
        </is>
      </c>
      <c r="P2670" t="n">
        <v>1410.27</v>
      </c>
      <c r="Q2670" t="n">
        <v>0</v>
      </c>
      <c r="R2670" t="n">
        <v>1878.75</v>
      </c>
      <c r="S2670" t="n">
        <v>534.6</v>
      </c>
      <c r="T2670" t="n">
        <v>0</v>
      </c>
      <c r="U2670" t="n">
        <v>3823.62</v>
      </c>
      <c r="X2670" t="inlineStr">
        <is>
          <t>aafc-aac</t>
        </is>
      </c>
      <c r="Y2670" t="inlineStr">
        <is>
          <t>Agriculture and Agri-Food Canada | Agriculture et Agroalimentaire Canada</t>
        </is>
      </c>
      <c r="Z2670" t="n">
        <v>5</v>
      </c>
      <c r="AA2670" t="n">
        <v>3823.62</v>
      </c>
      <c r="AB2670">
        <f>ROUND(U2670-AA2670,2)</f>
        <v/>
      </c>
      <c r="AC2670" t="b">
        <v>0</v>
      </c>
      <c r="AD2670">
        <f>IF(U2670="","MISSING_TOTAL",IF(ABS(AB2670)&lt;=0.01,"OK","CHECK"))</f>
        <v/>
      </c>
      <c r="AE2670">
        <f>IF(U2670="","MISSING",IF(AND(AA2670&gt;0,U2670/AA2670&gt;50),"POSSIBLE_SCALE_ERROR","OK"))</f>
        <v/>
      </c>
    </row>
    <row r="2671">
      <c r="A2671" t="inlineStr">
        <is>
          <t>T-AAFC-2027-P02-007</t>
        </is>
      </c>
      <c r="B2671" t="inlineStr">
        <is>
          <t>MPSES</t>
        </is>
      </c>
      <c r="C2671" t="inlineStr">
        <is>
          <t>Chief of Staff</t>
        </is>
      </c>
      <c r="D2671" t="inlineStr">
        <is>
          <t>Chef de Cabinet</t>
        </is>
      </c>
      <c r="E2671" t="inlineStr">
        <is>
          <t>Guy Gallant</t>
        </is>
      </c>
      <c r="F2671" t="inlineStr">
        <is>
          <t>To support the Minister with various meetings</t>
        </is>
      </c>
      <c r="G2671" t="inlineStr">
        <is>
          <t>Soutenir le ministre lors de diverses réunions</t>
        </is>
      </c>
      <c r="H2671" s="1" t="n">
        <v>46110</v>
      </c>
      <c r="I2671" s="1" t="n">
        <v>46112</v>
      </c>
      <c r="J2671" t="inlineStr">
        <is>
          <t>Winnipeg, Manitoba, Canada</t>
        </is>
      </c>
      <c r="K2671" t="inlineStr">
        <is>
          <t>Winnipeg, Manitoba, Canada</t>
        </is>
      </c>
      <c r="P2671" t="n">
        <v>1518.32</v>
      </c>
      <c r="Q2671" t="n">
        <v>24.03</v>
      </c>
      <c r="R2671" t="n">
        <v>411.68</v>
      </c>
      <c r="S2671" t="n">
        <v>231.6</v>
      </c>
      <c r="T2671" t="n">
        <v>0</v>
      </c>
      <c r="U2671" t="n">
        <v>2185.63</v>
      </c>
      <c r="X2671" t="inlineStr">
        <is>
          <t>aafc-aac</t>
        </is>
      </c>
      <c r="Y2671" t="inlineStr">
        <is>
          <t>Agriculture and Agri-Food Canada | Agriculture et Agroalimentaire Canada</t>
        </is>
      </c>
      <c r="Z2671" t="n">
        <v>3</v>
      </c>
      <c r="AA2671" t="n">
        <v>2185.63</v>
      </c>
      <c r="AB2671">
        <f>ROUND(U2671-AA2671,2)</f>
        <v/>
      </c>
      <c r="AC2671" t="b">
        <v>0</v>
      </c>
      <c r="AD2671">
        <f>IF(U2671="","MISSING_TOTAL",IF(ABS(AB2671)&lt;=0.01,"OK","CHECK"))</f>
        <v/>
      </c>
      <c r="AE2671">
        <f>IF(U2671="","MISSING",IF(AND(AA2671&gt;0,U2671/AA2671&gt;50),"POSSIBLE_SCALE_ERROR","OK"))</f>
        <v/>
      </c>
    </row>
    <row r="2672">
      <c r="A2672" t="inlineStr">
        <is>
          <t>T-AAFC-2027-P02-008</t>
        </is>
      </c>
      <c r="B2672" t="inlineStr">
        <is>
          <t>MPSES</t>
        </is>
      </c>
      <c r="C2672" t="inlineStr">
        <is>
          <t>Director of Operations</t>
        </is>
      </c>
      <c r="D2672" t="inlineStr">
        <is>
          <t>Directrice des opérations</t>
        </is>
      </c>
      <c r="E2672" t="inlineStr">
        <is>
          <t>Mikaela Harrison</t>
        </is>
      </c>
      <c r="F2672" t="inlineStr">
        <is>
          <t>To support the Minister's attendance at an Outreach</t>
        </is>
      </c>
      <c r="G2672" t="inlineStr">
        <is>
          <t>Soutenir le ministre lors d'une tournée de sensibilisation</t>
        </is>
      </c>
      <c r="H2672" s="1" t="n">
        <v>46140</v>
      </c>
      <c r="I2672" s="1" t="n">
        <v>46142</v>
      </c>
      <c r="J2672" t="inlineStr">
        <is>
          <t>Montréal, Quebec, Canada</t>
        </is>
      </c>
      <c r="K2672" t="inlineStr">
        <is>
          <t>Montréal, Québec, Canada</t>
        </is>
      </c>
      <c r="L2672" t="inlineStr">
        <is>
          <t>Toronto, Ontario, Canada</t>
        </is>
      </c>
      <c r="M2672" t="inlineStr">
        <is>
          <t>Toronto, Ontario, Canada</t>
        </is>
      </c>
      <c r="P2672" t="n">
        <v>488.07</v>
      </c>
      <c r="Q2672" t="n">
        <v>0</v>
      </c>
      <c r="R2672" t="n">
        <v>1176.31</v>
      </c>
      <c r="S2672" t="n">
        <v>379.2</v>
      </c>
      <c r="T2672" t="n">
        <v>0</v>
      </c>
      <c r="U2672" t="n">
        <v>2043.58</v>
      </c>
      <c r="X2672" t="inlineStr">
        <is>
          <t>aafc-aac</t>
        </is>
      </c>
      <c r="Y2672" t="inlineStr">
        <is>
          <t>Agriculture and Agri-Food Canada | Agriculture et Agroalimentaire Canada</t>
        </is>
      </c>
      <c r="Z2672" t="n">
        <v>3</v>
      </c>
      <c r="AA2672" t="n">
        <v>2043.58</v>
      </c>
      <c r="AB2672">
        <f>ROUND(U2672-AA2672,2)</f>
        <v/>
      </c>
      <c r="AC2672" t="b">
        <v>0</v>
      </c>
      <c r="AD2672">
        <f>IF(U2672="","MISSING_TOTAL",IF(ABS(AB2672)&lt;=0.01,"OK","CHECK"))</f>
        <v/>
      </c>
      <c r="AE2672">
        <f>IF(U2672="","MISSING",IF(AND(AA2672&gt;0,U2672/AA2672&gt;50),"POSSIBLE_SCALE_ERROR","OK"))</f>
        <v/>
      </c>
    </row>
    <row r="2673">
      <c r="A2673" t="inlineStr">
        <is>
          <t>T-AAFC-2027-P02-009</t>
        </is>
      </c>
      <c r="B2673" t="inlineStr">
        <is>
          <t>MPSES</t>
        </is>
      </c>
      <c r="C2673" t="inlineStr">
        <is>
          <t>Director of Communications</t>
        </is>
      </c>
      <c r="D2673" t="inlineStr">
        <is>
          <t>Directrice des communications</t>
        </is>
      </c>
      <c r="E2673" t="inlineStr">
        <is>
          <t>Jennica Klassen</t>
        </is>
      </c>
      <c r="F2673" t="inlineStr">
        <is>
          <t>To attend an Agriculture Clean Tech announcement</t>
        </is>
      </c>
      <c r="G2673" t="inlineStr">
        <is>
          <t>Assister à la présentation d'Agriculture Clean Tech</t>
        </is>
      </c>
      <c r="H2673" s="1" t="n">
        <v>46149</v>
      </c>
      <c r="I2673" s="1" t="n">
        <v>46150</v>
      </c>
      <c r="J2673" t="inlineStr">
        <is>
          <t>Toronto, Ontario, Canada</t>
        </is>
      </c>
      <c r="K2673" t="inlineStr">
        <is>
          <t>Toronto, Ontario, Canada</t>
        </is>
      </c>
      <c r="P2673" t="n">
        <v>2176.07</v>
      </c>
      <c r="Q2673" t="n">
        <v>95.16</v>
      </c>
      <c r="R2673" t="n">
        <v>392.34</v>
      </c>
      <c r="S2673" t="n">
        <v>170.8</v>
      </c>
      <c r="T2673" t="n">
        <v>0</v>
      </c>
      <c r="U2673" t="n">
        <v>2834.37</v>
      </c>
      <c r="X2673" t="inlineStr">
        <is>
          <t>aafc-aac</t>
        </is>
      </c>
      <c r="Y2673" t="inlineStr">
        <is>
          <t>Agriculture and Agri-Food Canada | Agriculture et Agroalimentaire Canada</t>
        </is>
      </c>
      <c r="Z2673" t="n">
        <v>2</v>
      </c>
      <c r="AA2673" t="n">
        <v>2834.37</v>
      </c>
      <c r="AB2673">
        <f>ROUND(U2673-AA2673,2)</f>
        <v/>
      </c>
      <c r="AC2673" t="b">
        <v>0</v>
      </c>
      <c r="AD2673">
        <f>IF(U2673="","MISSING_TOTAL",IF(ABS(AB2673)&lt;=0.01,"OK","CHECK"))</f>
        <v/>
      </c>
      <c r="AE2673">
        <f>IF(U2673="","MISSING",IF(AND(AA2673&gt;0,U2673/AA2673&gt;50),"POSSIBLE_SCALE_ERROR","OK"))</f>
        <v/>
      </c>
    </row>
    <row r="2674">
      <c r="A2674" t="inlineStr">
        <is>
          <t>T-AAFC-2027-P02-010</t>
        </is>
      </c>
      <c r="B2674" t="inlineStr">
        <is>
          <t>MPSES</t>
        </is>
      </c>
      <c r="C2674" t="inlineStr">
        <is>
          <t>Regional Advisor - Prairies and North</t>
        </is>
      </c>
      <c r="D2674" t="inlineStr">
        <is>
          <t>Conseiller régional - Prairies et Nord</t>
        </is>
      </c>
      <c r="E2674" t="inlineStr">
        <is>
          <t>Richard Davies</t>
        </is>
      </c>
      <c r="F2674" t="inlineStr">
        <is>
          <t>To support the Minister's attendance at an Outreach</t>
        </is>
      </c>
      <c r="G2674" t="inlineStr">
        <is>
          <t>Soutenir le ministre lors d'une tournée de sensibilisation</t>
        </is>
      </c>
      <c r="H2674" s="1" t="n">
        <v>46160</v>
      </c>
      <c r="I2674" s="1" t="n">
        <v>46163</v>
      </c>
      <c r="J2674" t="inlineStr">
        <is>
          <t>Saskatoon, Saskatchewan, Canada</t>
        </is>
      </c>
      <c r="K2674" t="inlineStr">
        <is>
          <t>Saskatoon, Saskatchewan, Canada</t>
        </is>
      </c>
      <c r="P2674" t="n">
        <v>1729.53</v>
      </c>
      <c r="Q2674" t="n">
        <v>137.7</v>
      </c>
      <c r="R2674" t="n">
        <v>762.8</v>
      </c>
      <c r="S2674" t="n">
        <v>463.3</v>
      </c>
      <c r="T2674" t="n">
        <v>0</v>
      </c>
      <c r="U2674" t="n">
        <v>3093.33</v>
      </c>
      <c r="X2674" t="inlineStr">
        <is>
          <t>aafc-aac</t>
        </is>
      </c>
      <c r="Y2674" t="inlineStr">
        <is>
          <t>Agriculture and Agri-Food Canada | Agriculture et Agroalimentaire Canada</t>
        </is>
      </c>
      <c r="Z2674" t="n">
        <v>4</v>
      </c>
      <c r="AA2674" t="n">
        <v>3093.33</v>
      </c>
      <c r="AB2674">
        <f>ROUND(U2674-AA2674,2)</f>
        <v/>
      </c>
      <c r="AC2674" t="b">
        <v>0</v>
      </c>
      <c r="AD2674">
        <f>IF(U2674="","MISSING_TOTAL",IF(ABS(AB2674)&lt;=0.01,"OK","CHECK"))</f>
        <v/>
      </c>
      <c r="AE2674">
        <f>IF(U2674="","MISSING",IF(AND(AA2674&gt;0,U2674/AA2674&gt;50),"POSSIBLE_SCALE_ERROR","OK"))</f>
        <v/>
      </c>
    </row>
    <row r="2675">
      <c r="A2675" t="inlineStr">
        <is>
          <t>T-AAFC-2027-P02-011</t>
        </is>
      </c>
      <c r="B2675" t="inlineStr">
        <is>
          <t>SLE</t>
        </is>
      </c>
      <c r="C2675" t="inlineStr">
        <is>
          <t>Assistant Deputy Minister, Science and Technology Branch</t>
        </is>
      </c>
      <c r="D2675" t="inlineStr">
        <is>
          <t>Sous-ministre adjointe, Direction générale des sciences et de la technologie</t>
        </is>
      </c>
      <c r="E2675" t="inlineStr">
        <is>
          <t>Arran McPherson</t>
        </is>
      </c>
      <c r="F2675" t="inlineStr">
        <is>
          <t>To visit and meet with staff</t>
        </is>
      </c>
      <c r="G2675" t="inlineStr">
        <is>
          <t>Visiter et rencontrer le personnel</t>
        </is>
      </c>
      <c r="H2675" s="1" t="n">
        <v>46133</v>
      </c>
      <c r="I2675" s="1" t="n">
        <v>46134</v>
      </c>
      <c r="J2675" t="inlineStr">
        <is>
          <t>St-Hyacinthe, Quebec, Canada</t>
        </is>
      </c>
      <c r="K2675" t="inlineStr">
        <is>
          <t>St-Hyacinthe, Québec, Canada</t>
        </is>
      </c>
      <c r="P2675" t="n">
        <v>0</v>
      </c>
      <c r="Q2675" t="n">
        <v>315.79</v>
      </c>
      <c r="R2675" t="n">
        <v>208.26</v>
      </c>
      <c r="S2675" t="n">
        <v>141.75</v>
      </c>
      <c r="T2675" t="n">
        <v>0</v>
      </c>
      <c r="U2675" t="n">
        <v>665.8</v>
      </c>
      <c r="X2675" t="inlineStr">
        <is>
          <t>aafc-aac</t>
        </is>
      </c>
      <c r="Y2675" t="inlineStr">
        <is>
          <t>Agriculture and Agri-Food Canada | Agriculture et Agroalimentaire Canada</t>
        </is>
      </c>
      <c r="Z2675" t="n">
        <v>2</v>
      </c>
      <c r="AA2675" t="n">
        <v>665.8</v>
      </c>
      <c r="AB2675">
        <f>ROUND(U2675-AA2675,2)</f>
        <v/>
      </c>
      <c r="AC2675" t="b">
        <v>0</v>
      </c>
      <c r="AD2675">
        <f>IF(U2675="","MISSING_TOTAL",IF(ABS(AB2675)&lt;=0.01,"OK","CHECK"))</f>
        <v/>
      </c>
      <c r="AE2675">
        <f>IF(U2675="","MISSING",IF(AND(AA2675&gt;0,U2675/AA2675&gt;50),"POSSIBLE_SCALE_ERROR","OK"))</f>
        <v/>
      </c>
    </row>
    <row r="2676">
      <c r="A2676" t="inlineStr">
        <is>
          <t>T-AAFC-2027-P02-012</t>
        </is>
      </c>
      <c r="B2676" t="inlineStr">
        <is>
          <t>SLE</t>
        </is>
      </c>
      <c r="C2676" t="inlineStr">
        <is>
          <t>Associate Assistant Deputy Minister, Science and Technology Branch</t>
        </is>
      </c>
      <c r="D2676" t="inlineStr">
        <is>
          <t>Sous-ministre adjoint délégué, Direction générale des sciences et de la technologie</t>
        </is>
      </c>
      <c r="E2676" t="inlineStr">
        <is>
          <t>Andrew Goldstein</t>
        </is>
      </c>
      <c r="F2676" t="inlineStr">
        <is>
          <t>To attend meetings</t>
        </is>
      </c>
      <c r="G2676" t="inlineStr">
        <is>
          <t>Assister à des réunions</t>
        </is>
      </c>
      <c r="H2676" s="1" t="n">
        <v>46105</v>
      </c>
      <c r="I2676" s="1" t="n">
        <v>46105</v>
      </c>
      <c r="J2676" t="inlineStr">
        <is>
          <t>Ottawa, Ontario, Canada</t>
        </is>
      </c>
      <c r="K2676" t="inlineStr">
        <is>
          <t>Ottawa, Ontario, Canada</t>
        </is>
      </c>
      <c r="P2676" t="n">
        <v>0</v>
      </c>
      <c r="Q2676" t="n">
        <v>48</v>
      </c>
      <c r="R2676" t="n">
        <v>0</v>
      </c>
      <c r="S2676" t="n">
        <v>0</v>
      </c>
      <c r="T2676" t="n">
        <v>0</v>
      </c>
      <c r="U2676" t="n">
        <v>48</v>
      </c>
      <c r="X2676" t="inlineStr">
        <is>
          <t>aafc-aac</t>
        </is>
      </c>
      <c r="Y2676" t="inlineStr">
        <is>
          <t>Agriculture and Agri-Food Canada | Agriculture et Agroalimentaire Canada</t>
        </is>
      </c>
      <c r="Z2676" t="n">
        <v>1</v>
      </c>
      <c r="AA2676" t="n">
        <v>48</v>
      </c>
      <c r="AB2676">
        <f>ROUND(U2676-AA2676,2)</f>
        <v/>
      </c>
      <c r="AC2676" t="b">
        <v>0</v>
      </c>
      <c r="AD2676">
        <f>IF(U2676="","MISSING_TOTAL",IF(ABS(AB2676)&lt;=0.01,"OK","CHECK"))</f>
        <v/>
      </c>
      <c r="AE2676">
        <f>IF(U2676="","MISSING",IF(AND(AA2676&gt;0,U2676/AA2676&gt;50),"POSSIBLE_SCALE_ERROR","OK"))</f>
        <v/>
      </c>
    </row>
    <row r="2677">
      <c r="A2677" t="inlineStr">
        <is>
          <t>T-AAFC-2027-P02-013</t>
        </is>
      </c>
      <c r="B2677" t="inlineStr">
        <is>
          <t>SLE</t>
        </is>
      </c>
      <c r="C2677" t="inlineStr">
        <is>
          <t>Associate Assistant Deputy Minister, Science and Technology Branch</t>
        </is>
      </c>
      <c r="D2677" t="inlineStr">
        <is>
          <t>Sous-ministre adjoint délégué, Direction générale des sciences et de la technologie</t>
        </is>
      </c>
      <c r="E2677" t="inlineStr">
        <is>
          <t>Andrew Goldstein</t>
        </is>
      </c>
      <c r="F2677" t="inlineStr">
        <is>
          <t>To attend meetings</t>
        </is>
      </c>
      <c r="G2677" t="inlineStr">
        <is>
          <t>Assister à des réunions</t>
        </is>
      </c>
      <c r="H2677" s="1" t="n">
        <v>46149</v>
      </c>
      <c r="I2677" s="1" t="n">
        <v>46149</v>
      </c>
      <c r="J2677" t="inlineStr">
        <is>
          <t>Ottawa, Ontario, Canada</t>
        </is>
      </c>
      <c r="K2677" t="inlineStr">
        <is>
          <t>Ottawa, Ontario, Canada</t>
        </is>
      </c>
      <c r="P2677" t="n">
        <v>0</v>
      </c>
      <c r="Q2677" t="n">
        <v>42</v>
      </c>
      <c r="R2677" t="n">
        <v>0</v>
      </c>
      <c r="S2677" t="n">
        <v>0</v>
      </c>
      <c r="T2677" t="n">
        <v>0</v>
      </c>
      <c r="U2677" t="n">
        <v>42</v>
      </c>
      <c r="X2677" t="inlineStr">
        <is>
          <t>aafc-aac</t>
        </is>
      </c>
      <c r="Y2677" t="inlineStr">
        <is>
          <t>Agriculture and Agri-Food Canada | Agriculture et Agroalimentaire Canada</t>
        </is>
      </c>
      <c r="Z2677" t="n">
        <v>1</v>
      </c>
      <c r="AA2677" t="n">
        <v>42</v>
      </c>
      <c r="AB2677">
        <f>ROUND(U2677-AA2677,2)</f>
        <v/>
      </c>
      <c r="AC2677" t="b">
        <v>0</v>
      </c>
      <c r="AD2677">
        <f>IF(U2677="","MISSING_TOTAL",IF(ABS(AB2677)&lt;=0.01,"OK","CHECK"))</f>
        <v/>
      </c>
      <c r="AE2677">
        <f>IF(U2677="","MISSING",IF(AND(AA2677&gt;0,U2677/AA2677&gt;50),"POSSIBLE_SCALE_ERROR","OK"))</f>
        <v/>
      </c>
    </row>
    <row r="2678">
      <c r="A2678" t="inlineStr">
        <is>
          <t>T-AAFC-2027-P02-014</t>
        </is>
      </c>
      <c r="B2678" t="inlineStr">
        <is>
          <t>SLE</t>
        </is>
      </c>
      <c r="C2678" t="inlineStr">
        <is>
          <t>Assistant Deputy Minister, Corporate Management Branch</t>
        </is>
      </c>
      <c r="D2678" t="inlineStr">
        <is>
          <t>Sous-ministre adjoint, Direction générale de la gestion intégrée</t>
        </is>
      </c>
      <c r="E2678" t="inlineStr">
        <is>
          <t>Alain Lagacé</t>
        </is>
      </c>
      <c r="F2678" t="inlineStr">
        <is>
          <t>To visit Lethbridge and Lacombe Research and Development Centres</t>
        </is>
      </c>
      <c r="G2678" t="inlineStr">
        <is>
          <t>Visiter les Centres de recherche et de développement de Lethbridge et de Lacombe</t>
        </is>
      </c>
      <c r="H2678" s="1" t="n">
        <v>46145</v>
      </c>
      <c r="I2678" s="1" t="n">
        <v>46148</v>
      </c>
      <c r="J2678" t="inlineStr">
        <is>
          <t>Lethbridge, Alberta, Canada</t>
        </is>
      </c>
      <c r="K2678" t="inlineStr">
        <is>
          <t>Lethbridge, Alberta, Canada</t>
        </is>
      </c>
      <c r="L2678" t="inlineStr">
        <is>
          <t>Lacombe, Alberta, Canada</t>
        </is>
      </c>
      <c r="M2678" t="inlineStr">
        <is>
          <t>Lacombe, Alberta, Canada</t>
        </is>
      </c>
      <c r="P2678" t="n">
        <v>690.22</v>
      </c>
      <c r="Q2678" t="n">
        <v>477.4</v>
      </c>
      <c r="R2678" t="n">
        <v>602.17</v>
      </c>
      <c r="S2678" t="n">
        <v>555.5</v>
      </c>
      <c r="T2678" t="n">
        <v>0</v>
      </c>
      <c r="U2678" t="n">
        <v>2325.29</v>
      </c>
      <c r="X2678" t="inlineStr">
        <is>
          <t>aafc-aac</t>
        </is>
      </c>
      <c r="Y2678" t="inlineStr">
        <is>
          <t>Agriculture and Agri-Food Canada | Agriculture et Agroalimentaire Canada</t>
        </is>
      </c>
      <c r="Z2678" t="n">
        <v>4</v>
      </c>
      <c r="AA2678" t="n">
        <v>2325.29</v>
      </c>
      <c r="AB2678">
        <f>ROUND(U2678-AA2678,2)</f>
        <v/>
      </c>
      <c r="AC2678" t="b">
        <v>0</v>
      </c>
      <c r="AD2678">
        <f>IF(U2678="","MISSING_TOTAL",IF(ABS(AB2678)&lt;=0.01,"OK","CHECK"))</f>
        <v/>
      </c>
      <c r="AE2678">
        <f>IF(U2678="","MISSING",IF(AND(AA2678&gt;0,U2678/AA2678&gt;50),"POSSIBLE_SCALE_ERROR","OK"))</f>
        <v/>
      </c>
    </row>
    <row r="2679">
      <c r="A2679" t="inlineStr">
        <is>
          <t>T-AAFC-2027-P02-015</t>
        </is>
      </c>
      <c r="B2679" t="inlineStr">
        <is>
          <t>SLE</t>
        </is>
      </c>
      <c r="C2679" t="inlineStr">
        <is>
          <t>Assistant Deputy Minister, Programs Branch</t>
        </is>
      </c>
      <c r="D2679" t="inlineStr">
        <is>
          <t>Sous-ministre adjointe, Direction générale des programmes</t>
        </is>
      </c>
      <c r="E2679" t="inlineStr">
        <is>
          <t>Liz Foster</t>
        </is>
      </c>
      <c r="F2679" t="inlineStr">
        <is>
          <t>To attend a Cabinet Preparation meeting</t>
        </is>
      </c>
      <c r="G2679" t="inlineStr">
        <is>
          <t>Participer à une rencontre de préparation du Cabinet</t>
        </is>
      </c>
      <c r="H2679" s="1" t="n">
        <v>46148</v>
      </c>
      <c r="I2679" s="1" t="n">
        <v>46148</v>
      </c>
      <c r="J2679" t="inlineStr">
        <is>
          <t>Ottawa, Ontario, Canada</t>
        </is>
      </c>
      <c r="K2679" t="inlineStr">
        <is>
          <t>Ottawa, Ontario, Canada</t>
        </is>
      </c>
      <c r="P2679" t="n">
        <v>0</v>
      </c>
      <c r="Q2679" t="n">
        <v>18</v>
      </c>
      <c r="R2679" t="n">
        <v>0</v>
      </c>
      <c r="S2679" t="n">
        <v>0</v>
      </c>
      <c r="T2679" t="n">
        <v>0</v>
      </c>
      <c r="U2679" t="n">
        <v>18</v>
      </c>
      <c r="X2679" t="inlineStr">
        <is>
          <t>aafc-aac</t>
        </is>
      </c>
      <c r="Y2679" t="inlineStr">
        <is>
          <t>Agriculture and Agri-Food Canada | Agriculture et Agroalimentaire Canada</t>
        </is>
      </c>
      <c r="Z2679" t="n">
        <v>1</v>
      </c>
      <c r="AA2679" t="n">
        <v>18</v>
      </c>
      <c r="AB2679">
        <f>ROUND(U2679-AA2679,2)</f>
        <v/>
      </c>
      <c r="AC2679" t="b">
        <v>0</v>
      </c>
      <c r="AD2679">
        <f>IF(U2679="","MISSING_TOTAL",IF(ABS(AB2679)&lt;=0.01,"OK","CHECK"))</f>
        <v/>
      </c>
      <c r="AE2679">
        <f>IF(U2679="","MISSING",IF(AND(AA2679&gt;0,U2679/AA2679&gt;50),"POSSIBLE_SCALE_ERROR","OK"))</f>
        <v/>
      </c>
    </row>
    <row r="2680">
      <c r="A2680" t="inlineStr">
        <is>
          <t>T-AAFC-2027-P03-001</t>
        </is>
      </c>
      <c r="B2680" t="inlineStr">
        <is>
          <t>MPSES</t>
        </is>
      </c>
      <c r="C2680" t="inlineStr">
        <is>
          <t>Minister</t>
        </is>
      </c>
      <c r="D2680" t="inlineStr">
        <is>
          <t>Ministre</t>
        </is>
      </c>
      <c r="E2680" t="inlineStr">
        <is>
          <t>Heath MacDonald</t>
        </is>
      </c>
      <c r="F2680" t="inlineStr">
        <is>
          <t>To attend meeting at the Minister's Regional Office and deliver remarks to the Ontario Food Terminal</t>
        </is>
      </c>
      <c r="G2680" t="inlineStr">
        <is>
          <t>Participer à une réunion au bureau régional du ministre et présenter une allocution au Marché des produits alimentaires de l’Ontario</t>
        </is>
      </c>
      <c r="H2680" s="1" t="n">
        <v>46184</v>
      </c>
      <c r="I2680" s="1" t="n">
        <v>46185</v>
      </c>
      <c r="J2680" t="inlineStr">
        <is>
          <t>Toronto, Ontario, Canada</t>
        </is>
      </c>
      <c r="K2680" t="inlineStr">
        <is>
          <t>Toronto, Ontario, Canada</t>
        </is>
      </c>
      <c r="P2680" t="n">
        <v>1389.48</v>
      </c>
      <c r="Q2680" t="n">
        <v>0</v>
      </c>
      <c r="R2680" t="n">
        <v>533.33</v>
      </c>
      <c r="S2680" t="n">
        <v>200.75</v>
      </c>
      <c r="T2680" t="n">
        <v>0</v>
      </c>
      <c r="U2680" t="n">
        <v>2123.56</v>
      </c>
      <c r="X2680" t="inlineStr">
        <is>
          <t>aafc-aac</t>
        </is>
      </c>
      <c r="Y2680" t="inlineStr">
        <is>
          <t>Agriculture and Agri-Food Canada | Agriculture et Agroalimentaire Canada</t>
        </is>
      </c>
      <c r="Z2680" t="n">
        <v>2</v>
      </c>
      <c r="AA2680" t="n">
        <v>2123.56</v>
      </c>
      <c r="AB2680">
        <f>ROUND(U2680-AA2680,2)</f>
        <v/>
      </c>
      <c r="AC2680" t="b">
        <v>0</v>
      </c>
      <c r="AD2680">
        <f>IF(U2680="","MISSING_TOTAL",IF(ABS(AB2680)&lt;=0.01,"OK","CHECK"))</f>
        <v/>
      </c>
      <c r="AE2680">
        <f>IF(U2680="","MISSING",IF(AND(AA2680&gt;0,U2680/AA2680&gt;50),"POSSIBLE_SCALE_ERROR","OK"))</f>
        <v/>
      </c>
    </row>
    <row r="2681">
      <c r="A2681" t="inlineStr">
        <is>
          <t>T-AAFC-2027-P03-002</t>
        </is>
      </c>
      <c r="B2681" t="inlineStr">
        <is>
          <t>MPSES</t>
        </is>
      </c>
      <c r="C2681" t="inlineStr">
        <is>
          <t>Chief of Staff</t>
        </is>
      </c>
      <c r="D2681" t="inlineStr">
        <is>
          <t>Chef de Cabinet</t>
        </is>
      </c>
      <c r="E2681" t="inlineStr">
        <is>
          <t>Guy Gallant</t>
        </is>
      </c>
      <c r="F2681" t="inlineStr">
        <is>
          <t>To support the Minister to attend an Outreach in Saskatchewan and Vancouver</t>
        </is>
      </c>
      <c r="G2681" t="inlineStr">
        <is>
          <t>Soutenir le ministre  lors d'une tournée de sensibilisation à Saskatchewan et Vancouver</t>
        </is>
      </c>
      <c r="H2681" s="1" t="n">
        <v>46160</v>
      </c>
      <c r="I2681" s="1" t="n">
        <v>46165</v>
      </c>
      <c r="J2681" t="inlineStr">
        <is>
          <t>Saskatoon, Saskatchewan, Canada</t>
        </is>
      </c>
      <c r="K2681" t="inlineStr">
        <is>
          <t>Saskatoon, Saskatchewan, Canada</t>
        </is>
      </c>
      <c r="L2681" t="inlineStr">
        <is>
          <t>Vancouver, British Columbia, Canada</t>
        </is>
      </c>
      <c r="M2681" t="inlineStr">
        <is>
          <t>Vancouver, Colombie-Britannique, Canada</t>
        </is>
      </c>
      <c r="P2681" t="n">
        <v>3176.23</v>
      </c>
      <c r="Q2681" t="n">
        <v>128.4</v>
      </c>
      <c r="R2681" t="n">
        <v>958.73</v>
      </c>
      <c r="S2681" t="n">
        <v>525.45</v>
      </c>
      <c r="T2681" t="n">
        <v>0</v>
      </c>
      <c r="U2681" t="n">
        <v>4788.81</v>
      </c>
      <c r="X2681" t="inlineStr">
        <is>
          <t>aafc-aac</t>
        </is>
      </c>
      <c r="Y2681" t="inlineStr">
        <is>
          <t>Agriculture and Agri-Food Canada | Agriculture et Agroalimentaire Canada</t>
        </is>
      </c>
      <c r="Z2681" t="n">
        <v>6</v>
      </c>
      <c r="AA2681" t="n">
        <v>4788.81</v>
      </c>
      <c r="AB2681">
        <f>ROUND(U2681-AA2681,2)</f>
        <v/>
      </c>
      <c r="AC2681" t="b">
        <v>0</v>
      </c>
      <c r="AD2681">
        <f>IF(U2681="","MISSING_TOTAL",IF(ABS(AB2681)&lt;=0.01,"OK","CHECK"))</f>
        <v/>
      </c>
      <c r="AE2681">
        <f>IF(U2681="","MISSING",IF(AND(AA2681&gt;0,U2681/AA2681&gt;50),"POSSIBLE_SCALE_ERROR","OK"))</f>
        <v/>
      </c>
    </row>
    <row r="2682">
      <c r="A2682" t="inlineStr">
        <is>
          <t>T-AAFC-2027-P03-003</t>
        </is>
      </c>
      <c r="B2682" t="inlineStr">
        <is>
          <t>MPSES</t>
        </is>
      </c>
      <c r="C2682" t="inlineStr">
        <is>
          <t>Chief of Staff</t>
        </is>
      </c>
      <c r="D2682" t="inlineStr">
        <is>
          <t>Chef de Cabinet</t>
        </is>
      </c>
      <c r="E2682" t="inlineStr">
        <is>
          <t>Guy Gallant</t>
        </is>
      </c>
      <c r="F2682" t="inlineStr">
        <is>
          <t>To support the Minister attending meetings at the Minister's Regional Office and deliver remarks to the Ontario Food Terminal</t>
        </is>
      </c>
      <c r="G2682" t="inlineStr">
        <is>
          <t>Soutenir la participation du ministre à des réunions au bureau régional du ministre et à la présentation d’une allocution au Marché des produits alimentaires de l’Ontario</t>
        </is>
      </c>
      <c r="H2682" s="1" t="n">
        <v>46184</v>
      </c>
      <c r="I2682" s="1" t="n">
        <v>46185</v>
      </c>
      <c r="J2682" t="inlineStr">
        <is>
          <t>Toronto, Ontario, Canada</t>
        </is>
      </c>
      <c r="K2682" t="inlineStr">
        <is>
          <t>Toronto, Ontario, Canada</t>
        </is>
      </c>
      <c r="P2682" t="n">
        <v>1389.48</v>
      </c>
      <c r="Q2682" t="n">
        <v>29.69</v>
      </c>
      <c r="R2682" t="n">
        <v>533.33</v>
      </c>
      <c r="S2682" t="n">
        <v>200.75</v>
      </c>
      <c r="T2682" t="n">
        <v>0</v>
      </c>
      <c r="U2682" t="n">
        <v>2153.25</v>
      </c>
      <c r="X2682" t="inlineStr">
        <is>
          <t>aafc-aac</t>
        </is>
      </c>
      <c r="Y2682" t="inlineStr">
        <is>
          <t>Agriculture and Agri-Food Canada | Agriculture et Agroalimentaire Canada</t>
        </is>
      </c>
      <c r="Z2682" t="n">
        <v>2</v>
      </c>
      <c r="AA2682" t="n">
        <v>2153.25</v>
      </c>
      <c r="AB2682">
        <f>ROUND(U2682-AA2682,2)</f>
        <v/>
      </c>
      <c r="AC2682" t="b">
        <v>0</v>
      </c>
      <c r="AD2682">
        <f>IF(U2682="","MISSING_TOTAL",IF(ABS(AB2682)&lt;=0.01,"OK","CHECK"))</f>
        <v/>
      </c>
      <c r="AE2682">
        <f>IF(U2682="","MISSING",IF(AND(AA2682&gt;0,U2682/AA2682&gt;50),"POSSIBLE_SCALE_ERROR","OK"))</f>
        <v/>
      </c>
    </row>
    <row r="2683">
      <c r="A2683" t="inlineStr">
        <is>
          <t>T-AAFC-2027-P03-004</t>
        </is>
      </c>
      <c r="B2683" t="inlineStr">
        <is>
          <t>MPSES</t>
        </is>
      </c>
      <c r="C2683" t="inlineStr">
        <is>
          <t>Director of Policy</t>
        </is>
      </c>
      <c r="D2683" t="inlineStr">
        <is>
          <t>Directrice des politiques</t>
        </is>
      </c>
      <c r="E2683" t="inlineStr">
        <is>
          <t>Serena Smith</t>
        </is>
      </c>
      <c r="F2683" t="inlineStr">
        <is>
          <t>To support the Minister attending meetings at the Minister's Regional Office and deliver remarks to the Ontario Food Terminal</t>
        </is>
      </c>
      <c r="G2683" t="inlineStr">
        <is>
          <t>Soutenir la participation du ministre à des réunions au bureau régional du ministre et à la présentation d’une allocution au Marché des produits alimentaires de l’Ontario</t>
        </is>
      </c>
      <c r="H2683" s="1" t="n">
        <v>46184</v>
      </c>
      <c r="I2683" s="1" t="n">
        <v>46185</v>
      </c>
      <c r="J2683" t="inlineStr">
        <is>
          <t>Toronto, Ontario, Canada</t>
        </is>
      </c>
      <c r="K2683" t="inlineStr">
        <is>
          <t>Toronto, Ontario, Canada</t>
        </is>
      </c>
      <c r="P2683" t="n">
        <v>1389.48</v>
      </c>
      <c r="Q2683" t="n">
        <v>49.83</v>
      </c>
      <c r="R2683" t="n">
        <v>533.33</v>
      </c>
      <c r="S2683" t="n">
        <v>200.75</v>
      </c>
      <c r="T2683" t="n">
        <v>0</v>
      </c>
      <c r="U2683" t="n">
        <v>2173.39</v>
      </c>
      <c r="X2683" t="inlineStr">
        <is>
          <t>aafc-aac</t>
        </is>
      </c>
      <c r="Y2683" t="inlineStr">
        <is>
          <t>Agriculture and Agri-Food Canada | Agriculture et Agroalimentaire Canada</t>
        </is>
      </c>
      <c r="Z2683" t="n">
        <v>2</v>
      </c>
      <c r="AA2683" t="n">
        <v>2173.39</v>
      </c>
      <c r="AB2683">
        <f>ROUND(U2683-AA2683,2)</f>
        <v/>
      </c>
      <c r="AC2683" t="b">
        <v>0</v>
      </c>
      <c r="AD2683">
        <f>IF(U2683="","MISSING_TOTAL",IF(ABS(AB2683)&lt;=0.01,"OK","CHECK"))</f>
        <v/>
      </c>
      <c r="AE2683">
        <f>IF(U2683="","MISSING",IF(AND(AA2683&gt;0,U2683/AA2683&gt;50),"POSSIBLE_SCALE_ERROR","OK"))</f>
        <v/>
      </c>
    </row>
    <row r="2684">
      <c r="A2684" t="inlineStr">
        <is>
          <t>T-AAFC-2027-P03-005</t>
        </is>
      </c>
      <c r="B2684" t="inlineStr">
        <is>
          <t>MPSES</t>
        </is>
      </c>
      <c r="C2684" t="inlineStr">
        <is>
          <t>Director of Communications</t>
        </is>
      </c>
      <c r="D2684" t="inlineStr">
        <is>
          <t>Directrice des communications</t>
        </is>
      </c>
      <c r="E2684" t="inlineStr">
        <is>
          <t>Jennica Klassen</t>
        </is>
      </c>
      <c r="F2684" t="inlineStr">
        <is>
          <t>To support the Minister attending meetings at the Minister's Regional Office and deliver remarks to the Ontario Food Terminal</t>
        </is>
      </c>
      <c r="G2684" t="inlineStr">
        <is>
          <t>Soutenir la participation du ministre à des réunions au bureau régional du ministre et à la présentation d’une allocution au Marché des produits alimentaires de l’Ontario</t>
        </is>
      </c>
      <c r="H2684" s="1" t="n">
        <v>46184</v>
      </c>
      <c r="I2684" s="1" t="n">
        <v>46185</v>
      </c>
      <c r="J2684" t="inlineStr">
        <is>
          <t>Toronto, Ontario, Canada</t>
        </is>
      </c>
      <c r="K2684" t="inlineStr">
        <is>
          <t>Toronto, Ontario, Canada</t>
        </is>
      </c>
      <c r="P2684" t="n">
        <v>1333.09</v>
      </c>
      <c r="Q2684" t="n">
        <v>22.14</v>
      </c>
      <c r="R2684" t="n">
        <v>533.33</v>
      </c>
      <c r="S2684" t="n">
        <v>200.75</v>
      </c>
      <c r="T2684" t="n">
        <v>0</v>
      </c>
      <c r="U2684" t="n">
        <v>2089.31</v>
      </c>
      <c r="X2684" t="inlineStr">
        <is>
          <t>aafc-aac</t>
        </is>
      </c>
      <c r="Y2684" t="inlineStr">
        <is>
          <t>Agriculture and Agri-Food Canada | Agriculture et Agroalimentaire Canada</t>
        </is>
      </c>
      <c r="Z2684" t="n">
        <v>2</v>
      </c>
      <c r="AA2684" t="n">
        <v>2089.31</v>
      </c>
      <c r="AB2684">
        <f>ROUND(U2684-AA2684,2)</f>
        <v/>
      </c>
      <c r="AC2684" t="b">
        <v>0</v>
      </c>
      <c r="AD2684">
        <f>IF(U2684="","MISSING_TOTAL",IF(ABS(AB2684)&lt;=0.01,"OK","CHECK"))</f>
        <v/>
      </c>
      <c r="AE2684">
        <f>IF(U2684="","MISSING",IF(AND(AA2684&gt;0,U2684/AA2684&gt;50),"POSSIBLE_SCALE_ERROR","OK"))</f>
        <v/>
      </c>
    </row>
    <row r="2685">
      <c r="A2685" t="inlineStr">
        <is>
          <t>T-AAFC-2027-P03-006</t>
        </is>
      </c>
      <c r="B2685" t="inlineStr">
        <is>
          <t>MPSES</t>
        </is>
      </c>
      <c r="C2685" t="inlineStr">
        <is>
          <t>Policy and Regional Advisor for British Columbia</t>
        </is>
      </c>
      <c r="D2685" t="inlineStr">
        <is>
          <t>Conseillère politique et régionale pour la Colombie-Britanique</t>
        </is>
      </c>
      <c r="E2685" t="inlineStr">
        <is>
          <t>Olwyn Parkinson</t>
        </is>
      </c>
      <c r="F2685" t="inlineStr">
        <is>
          <t>To support the Minister on an Outreach in Vancouver</t>
        </is>
      </c>
      <c r="G2685" t="inlineStr">
        <is>
          <t>Soutenir le ministre lors d'une tournée de sensibilisation à Vancouver</t>
        </is>
      </c>
      <c r="H2685" s="1" t="n">
        <v>46162</v>
      </c>
      <c r="I2685" s="1" t="n">
        <v>46166</v>
      </c>
      <c r="J2685" t="inlineStr">
        <is>
          <t>Vancouver, British Columbia, Canada</t>
        </is>
      </c>
      <c r="K2685" t="inlineStr">
        <is>
          <t>Vancouver, Colombie-Britannique, Canada</t>
        </is>
      </c>
      <c r="P2685" t="n">
        <v>472.25</v>
      </c>
      <c r="Q2685" t="n">
        <v>107.76</v>
      </c>
      <c r="R2685" t="n">
        <v>1180.5</v>
      </c>
      <c r="S2685" t="n">
        <v>287.45</v>
      </c>
      <c r="T2685" t="n">
        <v>0</v>
      </c>
      <c r="U2685" t="n">
        <v>2047.96</v>
      </c>
      <c r="X2685" t="inlineStr">
        <is>
          <t>aafc-aac</t>
        </is>
      </c>
      <c r="Y2685" t="inlineStr">
        <is>
          <t>Agriculture and Agri-Food Canada | Agriculture et Agroalimentaire Canada</t>
        </is>
      </c>
      <c r="Z2685" t="n">
        <v>5</v>
      </c>
      <c r="AA2685" t="n">
        <v>2047.96</v>
      </c>
      <c r="AB2685">
        <f>ROUND(U2685-AA2685,2)</f>
        <v/>
      </c>
      <c r="AC2685" t="b">
        <v>0</v>
      </c>
      <c r="AD2685">
        <f>IF(U2685="","MISSING_TOTAL",IF(ABS(AB2685)&lt;=0.01,"OK","CHECK"))</f>
        <v/>
      </c>
      <c r="AE2685">
        <f>IF(U2685="","MISSING",IF(AND(AA2685&gt;0,U2685/AA2685&gt;50),"POSSIBLE_SCALE_ERROR","OK"))</f>
        <v/>
      </c>
    </row>
    <row r="2686">
      <c r="A2686" t="inlineStr">
        <is>
          <t>T-AAFC-2027-P03-007</t>
        </is>
      </c>
      <c r="B2686" t="inlineStr">
        <is>
          <t>MPSES</t>
        </is>
      </c>
      <c r="C2686" t="inlineStr">
        <is>
          <t>Deputy Minister</t>
        </is>
      </c>
      <c r="D2686" t="inlineStr">
        <is>
          <t>Sous-Ministre</t>
        </is>
      </c>
      <c r="E2686" t="inlineStr">
        <is>
          <t>Lawrence Hanson</t>
        </is>
      </c>
      <c r="F2686" t="inlineStr">
        <is>
          <t>To support the Minister to attend an Outreach in Saskatchewan</t>
        </is>
      </c>
      <c r="G2686" t="inlineStr">
        <is>
          <t>Soutenir le ministre  lors d'une tournée de sensibilisation à Saskatchewan</t>
        </is>
      </c>
      <c r="H2686" s="1" t="n">
        <v>46160</v>
      </c>
      <c r="I2686" s="1" t="n">
        <v>46162</v>
      </c>
      <c r="J2686" t="inlineStr">
        <is>
          <t>Saskatoon, Saskatchewan, Canada</t>
        </is>
      </c>
      <c r="K2686" t="inlineStr">
        <is>
          <t>Saskatoon, Saskatchewan, Canada</t>
        </is>
      </c>
      <c r="P2686" t="n">
        <v>1835.1</v>
      </c>
      <c r="Q2686" t="n">
        <v>17.5</v>
      </c>
      <c r="R2686" t="n">
        <v>646.27</v>
      </c>
      <c r="S2686" t="n">
        <v>317.5</v>
      </c>
      <c r="T2686" t="n">
        <v>0</v>
      </c>
      <c r="U2686" t="n">
        <v>2816.37</v>
      </c>
      <c r="X2686" t="inlineStr">
        <is>
          <t>aafc-aac</t>
        </is>
      </c>
      <c r="Y2686" t="inlineStr">
        <is>
          <t>Agriculture and Agri-Food Canada | Agriculture et Agroalimentaire Canada</t>
        </is>
      </c>
      <c r="Z2686" t="n">
        <v>3</v>
      </c>
      <c r="AA2686" t="n">
        <v>2816.37</v>
      </c>
      <c r="AB2686">
        <f>ROUND(U2686-AA2686,2)</f>
        <v/>
      </c>
      <c r="AC2686" t="b">
        <v>0</v>
      </c>
      <c r="AD2686">
        <f>IF(U2686="","MISSING_TOTAL",IF(ABS(AB2686)&lt;=0.01,"OK","CHECK"))</f>
        <v/>
      </c>
      <c r="AE2686">
        <f>IF(U2686="","MISSING",IF(AND(AA2686&gt;0,U2686/AA2686&gt;50),"POSSIBLE_SCALE_ERROR","OK"))</f>
        <v/>
      </c>
    </row>
    <row r="2687">
      <c r="A2687" t="inlineStr">
        <is>
          <t>T-AAFC-2027-P03-008</t>
        </is>
      </c>
      <c r="B2687" t="inlineStr">
        <is>
          <t>MPSES</t>
        </is>
      </c>
      <c r="C2687" t="inlineStr">
        <is>
          <t>Deputy Minister</t>
        </is>
      </c>
      <c r="D2687" t="inlineStr">
        <is>
          <t>Sous-Ministre</t>
        </is>
      </c>
      <c r="E2687" t="inlineStr">
        <is>
          <t>Lawrence Hanson</t>
        </is>
      </c>
      <c r="F2687" t="inlineStr">
        <is>
          <t>To support the Minister attending meetings at the Minister's Regional Office and deliver remarks to the Ontario Food Terminal</t>
        </is>
      </c>
      <c r="G2687" t="inlineStr">
        <is>
          <t>Soutenir la participation du ministre à des réunions au bureau régional du ministre et à la présentation d’une allocution au Marché des produits alimentaires de l’Ontario</t>
        </is>
      </c>
      <c r="H2687" s="1" t="n">
        <v>46184</v>
      </c>
      <c r="I2687" s="1" t="n">
        <v>46184</v>
      </c>
      <c r="J2687" t="inlineStr">
        <is>
          <t>Toronto, Ontario, Canada</t>
        </is>
      </c>
      <c r="K2687" t="inlineStr">
        <is>
          <t>Toronto, Ontario, Canada</t>
        </is>
      </c>
      <c r="P2687" t="n">
        <v>1029.83</v>
      </c>
      <c r="Q2687" t="n">
        <v>0</v>
      </c>
      <c r="R2687" t="n">
        <v>0</v>
      </c>
      <c r="S2687" t="n">
        <v>91.75</v>
      </c>
      <c r="T2687" t="n">
        <v>0</v>
      </c>
      <c r="U2687" t="n">
        <v>1121.58</v>
      </c>
      <c r="X2687" t="inlineStr">
        <is>
          <t>aafc-aac</t>
        </is>
      </c>
      <c r="Y2687" t="inlineStr">
        <is>
          <t>Agriculture and Agri-Food Canada | Agriculture et Agroalimentaire Canada</t>
        </is>
      </c>
      <c r="Z2687" t="n">
        <v>1</v>
      </c>
      <c r="AA2687" t="n">
        <v>1121.58</v>
      </c>
      <c r="AB2687">
        <f>ROUND(U2687-AA2687,2)</f>
        <v/>
      </c>
      <c r="AC2687" t="b">
        <v>0</v>
      </c>
      <c r="AD2687">
        <f>IF(U2687="","MISSING_TOTAL",IF(ABS(AB2687)&lt;=0.01,"OK","CHECK"))</f>
        <v/>
      </c>
      <c r="AE2687">
        <f>IF(U2687="","MISSING",IF(AND(AA2687&gt;0,U2687/AA2687&gt;50),"POSSIBLE_SCALE_ERROR","OK"))</f>
        <v/>
      </c>
    </row>
    <row r="2688">
      <c r="A2688" t="inlineStr">
        <is>
          <t>T-AAFC-2027-P03-009</t>
        </is>
      </c>
      <c r="B2688" t="inlineStr">
        <is>
          <t>SLE</t>
        </is>
      </c>
      <c r="C2688" t="inlineStr">
        <is>
          <t>Assistant Deputy Minister, Science and Technology Branch</t>
        </is>
      </c>
      <c r="D2688" t="inlineStr">
        <is>
          <t>Sous-ministre adjointe, Direction générale des sciences et de la technologie</t>
        </is>
      </c>
      <c r="E2688" t="inlineStr">
        <is>
          <t>Arran McPherson</t>
        </is>
      </c>
      <c r="F2688" t="inlineStr">
        <is>
          <t>To visit and meet with staff</t>
        </is>
      </c>
      <c r="G2688" t="inlineStr">
        <is>
          <t>Visiter et rencontrer le personnel</t>
        </is>
      </c>
      <c r="H2688" s="1" t="n">
        <v>46166</v>
      </c>
      <c r="I2688" s="1" t="n">
        <v>46171</v>
      </c>
      <c r="J2688" t="inlineStr">
        <is>
          <t>Summerland, British Columbia, Canada</t>
        </is>
      </c>
      <c r="K2688" t="inlineStr">
        <is>
          <t>Summerland, Colombie-Britannique, Canada</t>
        </is>
      </c>
      <c r="L2688" t="inlineStr">
        <is>
          <t>Agassiz, British Columbia, Canada</t>
        </is>
      </c>
      <c r="M2688" t="inlineStr">
        <is>
          <t>Agassiz, Colombie-Britannique, Canada</t>
        </is>
      </c>
      <c r="N2688" t="inlineStr">
        <is>
          <t>Vancouver, British Columbia, Canada</t>
        </is>
      </c>
      <c r="O2688" t="inlineStr">
        <is>
          <t>Vancouver, Colombie-Britannique, Canada</t>
        </is>
      </c>
      <c r="P2688" t="n">
        <v>1413.85</v>
      </c>
      <c r="Q2688" t="n">
        <v>16.3</v>
      </c>
      <c r="R2688" t="n">
        <v>1140.28</v>
      </c>
      <c r="S2688" t="n">
        <v>788.45</v>
      </c>
      <c r="T2688" t="n">
        <v>0</v>
      </c>
      <c r="U2688" t="n">
        <v>3358.88</v>
      </c>
      <c r="X2688" t="inlineStr">
        <is>
          <t>aafc-aac</t>
        </is>
      </c>
      <c r="Y2688" t="inlineStr">
        <is>
          <t>Agriculture and Agri-Food Canada | Agriculture et Agroalimentaire Canada</t>
        </is>
      </c>
      <c r="Z2688" t="n">
        <v>6</v>
      </c>
      <c r="AA2688" t="n">
        <v>3358.88</v>
      </c>
      <c r="AB2688">
        <f>ROUND(U2688-AA2688,2)</f>
        <v/>
      </c>
      <c r="AC2688" t="b">
        <v>0</v>
      </c>
      <c r="AD2688">
        <f>IF(U2688="","MISSING_TOTAL",IF(ABS(AB2688)&lt;=0.01,"OK","CHECK"))</f>
        <v/>
      </c>
      <c r="AE2688">
        <f>IF(U2688="","MISSING",IF(AND(AA2688&gt;0,U2688/AA2688&gt;50),"POSSIBLE_SCALE_ERROR","OK"))</f>
        <v/>
      </c>
    </row>
    <row r="2689">
      <c r="A2689" t="inlineStr">
        <is>
          <t>T-AAFC-2027-P03-010</t>
        </is>
      </c>
      <c r="B2689" t="inlineStr">
        <is>
          <t>SLE</t>
        </is>
      </c>
      <c r="C2689" t="inlineStr">
        <is>
          <t>Assistant Deputy Minister, Science and Technology Branch</t>
        </is>
      </c>
      <c r="D2689" t="inlineStr">
        <is>
          <t>Sous-ministre adjointe, Direction générale des sciences et de la technologie</t>
        </is>
      </c>
      <c r="E2689" t="inlineStr">
        <is>
          <t>Arran McPherson</t>
        </is>
      </c>
      <c r="F2689" t="inlineStr">
        <is>
          <t>To attend a Ministerial Appearance</t>
        </is>
      </c>
      <c r="G2689" t="inlineStr">
        <is>
          <t>Participer à une comparution ministérielle</t>
        </is>
      </c>
      <c r="H2689" s="1" t="n">
        <v>46174</v>
      </c>
      <c r="I2689" s="1" t="n">
        <v>46174</v>
      </c>
      <c r="J2689" t="inlineStr">
        <is>
          <t>Ottawa, Ontario, Canada</t>
        </is>
      </c>
      <c r="K2689" t="inlineStr">
        <is>
          <t>Ottawa, Ontario, Canada</t>
        </is>
      </c>
      <c r="P2689" t="n">
        <v>0</v>
      </c>
      <c r="Q2689" t="n">
        <v>40.36</v>
      </c>
      <c r="R2689" t="n">
        <v>0</v>
      </c>
      <c r="S2689" t="n">
        <v>0</v>
      </c>
      <c r="T2689" t="n">
        <v>0</v>
      </c>
      <c r="U2689" t="n">
        <v>40.36</v>
      </c>
      <c r="X2689" t="inlineStr">
        <is>
          <t>aafc-aac</t>
        </is>
      </c>
      <c r="Y2689" t="inlineStr">
        <is>
          <t>Agriculture and Agri-Food Canada | Agriculture et Agroalimentaire Canada</t>
        </is>
      </c>
      <c r="Z2689" t="n">
        <v>1</v>
      </c>
      <c r="AA2689" t="n">
        <v>40.36</v>
      </c>
      <c r="AB2689">
        <f>ROUND(U2689-AA2689,2)</f>
        <v/>
      </c>
      <c r="AC2689" t="b">
        <v>0</v>
      </c>
      <c r="AD2689">
        <f>IF(U2689="","MISSING_TOTAL",IF(ABS(AB2689)&lt;=0.01,"OK","CHECK"))</f>
        <v/>
      </c>
      <c r="AE2689">
        <f>IF(U2689="","MISSING",IF(AND(AA2689&gt;0,U2689/AA2689&gt;50),"POSSIBLE_SCALE_ERROR","OK"))</f>
        <v/>
      </c>
    </row>
    <row r="2690">
      <c r="A2690" t="inlineStr">
        <is>
          <t>T-AAFC-2027-P03-011</t>
        </is>
      </c>
      <c r="B2690" t="inlineStr">
        <is>
          <t>SLE</t>
        </is>
      </c>
      <c r="C2690" t="inlineStr">
        <is>
          <t>Assistant Deputy Minister, Science and Technology Branch</t>
        </is>
      </c>
      <c r="D2690" t="inlineStr">
        <is>
          <t>Sous-ministre adjointe, Direction générale des sciences et de la technologie</t>
        </is>
      </c>
      <c r="E2690" t="inlineStr">
        <is>
          <t>Arran McPherson</t>
        </is>
      </c>
      <c r="F2690" t="inlineStr">
        <is>
          <t>To attend a Ministerial Appearance</t>
        </is>
      </c>
      <c r="G2690" t="inlineStr">
        <is>
          <t>Participer à une comparution ministérielle</t>
        </is>
      </c>
      <c r="H2690" s="1" t="n">
        <v>46182</v>
      </c>
      <c r="I2690" s="1" t="n">
        <v>46182</v>
      </c>
      <c r="J2690" t="inlineStr">
        <is>
          <t>Ottawa, Ontario, Canada</t>
        </is>
      </c>
      <c r="K2690" t="inlineStr">
        <is>
          <t>Ottawa, Ontario, Canada</t>
        </is>
      </c>
      <c r="P2690" t="n">
        <v>0</v>
      </c>
      <c r="Q2690" t="n">
        <v>34.27</v>
      </c>
      <c r="R2690" t="n">
        <v>0</v>
      </c>
      <c r="S2690" t="n">
        <v>0</v>
      </c>
      <c r="T2690" t="n">
        <v>0</v>
      </c>
      <c r="U2690" t="n">
        <v>34.27</v>
      </c>
      <c r="X2690" t="inlineStr">
        <is>
          <t>aafc-aac</t>
        </is>
      </c>
      <c r="Y2690" t="inlineStr">
        <is>
          <t>Agriculture and Agri-Food Canada | Agriculture et Agroalimentaire Canada</t>
        </is>
      </c>
      <c r="Z2690" t="n">
        <v>1</v>
      </c>
      <c r="AA2690" t="n">
        <v>34.27</v>
      </c>
      <c r="AB2690">
        <f>ROUND(U2690-AA2690,2)</f>
        <v/>
      </c>
      <c r="AC2690" t="b">
        <v>0</v>
      </c>
      <c r="AD2690">
        <f>IF(U2690="","MISSING_TOTAL",IF(ABS(AB2690)&lt;=0.01,"OK","CHECK"))</f>
        <v/>
      </c>
      <c r="AE2690">
        <f>IF(U2690="","MISSING",IF(AND(AA2690&gt;0,U2690/AA2690&gt;50),"POSSIBLE_SCALE_ERROR","OK"))</f>
        <v/>
      </c>
    </row>
    <row r="2691">
      <c r="A2691" t="inlineStr">
        <is>
          <t>T-AAFC-2027-P03-012</t>
        </is>
      </c>
      <c r="B2691" t="inlineStr">
        <is>
          <t>SLE</t>
        </is>
      </c>
      <c r="C2691" t="inlineStr">
        <is>
          <t>Chief Audit Executive</t>
        </is>
      </c>
      <c r="D2691" t="inlineStr">
        <is>
          <t>Dirigeant de la vérification</t>
        </is>
      </c>
      <c r="E2691" t="inlineStr">
        <is>
          <t>Christopher MacDonald</t>
        </is>
      </c>
      <c r="F2691" t="inlineStr">
        <is>
          <t>To attend the 2026 Canadian Evaluation Society (CES) National Conference</t>
        </is>
      </c>
      <c r="G2691" t="inlineStr">
        <is>
          <t>Assister au Congrès national 2026 de la Société canadienne d'évaluation (SCE)</t>
        </is>
      </c>
      <c r="H2691" s="1" t="n">
        <v>46165</v>
      </c>
      <c r="I2691" s="1" t="n">
        <v>46170</v>
      </c>
      <c r="J2691" t="inlineStr">
        <is>
          <t>Edmonton, Alberta, Canada</t>
        </is>
      </c>
      <c r="K2691" t="inlineStr">
        <is>
          <t>Edmonton, Alberta, Canada</t>
        </is>
      </c>
      <c r="P2691" t="n">
        <v>693.62</v>
      </c>
      <c r="Q2691" t="n">
        <v>232.6</v>
      </c>
      <c r="R2691" t="n">
        <v>872.72</v>
      </c>
      <c r="S2691" t="n">
        <v>490.9</v>
      </c>
      <c r="T2691" t="n">
        <v>0</v>
      </c>
      <c r="U2691" t="n">
        <v>2289.84</v>
      </c>
      <c r="X2691" t="inlineStr">
        <is>
          <t>aafc-aac</t>
        </is>
      </c>
      <c r="Y2691" t="inlineStr">
        <is>
          <t>Agriculture and Agri-Food Canada | Agriculture et Agroalimentaire Canada</t>
        </is>
      </c>
      <c r="Z2691" t="n">
        <v>6</v>
      </c>
      <c r="AA2691" t="n">
        <v>2289.84</v>
      </c>
      <c r="AB2691">
        <f>ROUND(U2691-AA2691,2)</f>
        <v/>
      </c>
      <c r="AC2691" t="b">
        <v>0</v>
      </c>
      <c r="AD2691">
        <f>IF(U2691="","MISSING_TOTAL",IF(ABS(AB2691)&lt;=0.01,"OK","CHECK"))</f>
        <v/>
      </c>
      <c r="AE2691">
        <f>IF(U2691="","MISSING",IF(AND(AA2691&gt;0,U2691/AA2691&gt;50),"POSSIBLE_SCALE_ERROR","OK"))</f>
        <v/>
      </c>
    </row>
    <row r="2692">
      <c r="A2692" t="inlineStr">
        <is>
          <t>T-AAFC-2027-P03-013</t>
        </is>
      </c>
      <c r="B2692" t="inlineStr">
        <is>
          <t>SLE</t>
        </is>
      </c>
      <c r="C2692" t="inlineStr">
        <is>
          <t>Associate Assistant Deputy Minister, Science and Technology Branch</t>
        </is>
      </c>
      <c r="D2692" t="inlineStr">
        <is>
          <t>Sous-ministre adjoint délégué, Direction générale des sciences et de la technologie</t>
        </is>
      </c>
      <c r="E2692" t="inlineStr">
        <is>
          <t>Andrew Goldstein</t>
        </is>
      </c>
      <c r="F2692" t="inlineStr">
        <is>
          <t>To participate in a training session</t>
        </is>
      </c>
      <c r="G2692" t="inlineStr">
        <is>
          <t>Participer à une session de formation</t>
        </is>
      </c>
      <c r="H2692" s="1" t="n">
        <v>46175</v>
      </c>
      <c r="I2692" s="1" t="n">
        <v>46178</v>
      </c>
      <c r="J2692" t="inlineStr">
        <is>
          <t>Washington, District of Columbia, United States</t>
        </is>
      </c>
      <c r="K2692" t="inlineStr">
        <is>
          <t>Washington, District de Colombia, États-Unis</t>
        </is>
      </c>
      <c r="P2692" t="n">
        <v>740.38</v>
      </c>
      <c r="Q2692" t="n">
        <v>38.11</v>
      </c>
      <c r="R2692" t="n">
        <v>1352.97</v>
      </c>
      <c r="S2692" t="n">
        <v>602.8099999999999</v>
      </c>
      <c r="T2692" t="n">
        <v>0</v>
      </c>
      <c r="U2692" t="n">
        <v>2734.27</v>
      </c>
      <c r="X2692" t="inlineStr">
        <is>
          <t>aafc-aac</t>
        </is>
      </c>
      <c r="Y2692" t="inlineStr">
        <is>
          <t>Agriculture and Agri-Food Canada | Agriculture et Agroalimentaire Canada</t>
        </is>
      </c>
      <c r="Z2692" t="n">
        <v>4</v>
      </c>
      <c r="AA2692" t="n">
        <v>2734.27</v>
      </c>
      <c r="AB2692">
        <f>ROUND(U2692-AA2692,2)</f>
        <v/>
      </c>
      <c r="AC2692" t="b">
        <v>0</v>
      </c>
      <c r="AD2692">
        <f>IF(U2692="","MISSING_TOTAL",IF(ABS(AB2692)&lt;=0.01,"OK","CHECK"))</f>
        <v/>
      </c>
      <c r="AE2692">
        <f>IF(U2692="","MISSING",IF(AND(AA2692&gt;0,U2692/AA2692&gt;50),"POSSIBLE_SCALE_ERROR","OK"))</f>
        <v/>
      </c>
    </row>
    <row r="2693">
      <c r="A2693" t="inlineStr">
        <is>
          <t>T-AAFC-2027-P03-014</t>
        </is>
      </c>
      <c r="B2693" t="inlineStr">
        <is>
          <t>SLE</t>
        </is>
      </c>
      <c r="C2693" t="inlineStr">
        <is>
          <t>Assistant Deputy Minister, Corporate Management Branch</t>
        </is>
      </c>
      <c r="D2693" t="inlineStr">
        <is>
          <t>Sous-ministre adjoint, Direction générale de la gestion intégrée</t>
        </is>
      </c>
      <c r="E2693" t="inlineStr">
        <is>
          <t>Alain Lagacé</t>
        </is>
      </c>
      <c r="F2693" t="inlineStr">
        <is>
          <t>Site visit to Kentville Research and Development Centre, Fredericton Research and Development Centre, Charlottetown Research and Development Centre and Moncton Regional office</t>
        </is>
      </c>
      <c r="G2693" t="inlineStr">
        <is>
          <t>Visite du Centre de recherche et de développement de Kentville,  Centre de recherche et de développement de Frédericton, Centre de recherche et de développement de Charlottetown et bureau régional de Moncton</t>
        </is>
      </c>
      <c r="H2693" s="1" t="n">
        <v>46173</v>
      </c>
      <c r="I2693" s="1" t="n">
        <v>46181</v>
      </c>
      <c r="J2693" t="inlineStr">
        <is>
          <t>Kentville, Nova Scotia, Canada</t>
        </is>
      </c>
      <c r="K2693" t="inlineStr">
        <is>
          <t>Kentville, Nouvelle-Écosse, Canada</t>
        </is>
      </c>
      <c r="L2693" t="inlineStr">
        <is>
          <t>Fredericton, New Brunswick, Canada</t>
        </is>
      </c>
      <c r="M2693" t="inlineStr">
        <is>
          <t>Frédericton, Nouveau-Brunswick, Canada</t>
        </is>
      </c>
      <c r="N2693" t="inlineStr">
        <is>
          <t>Charlottetown, Prince Edward Island, Canada;Moncton, New Brunswick, Canada</t>
        </is>
      </c>
      <c r="O2693" t="inlineStr">
        <is>
          <t>Charlottetown, Île-du-Prince-Édouard, Canada;Moncton, Nouveau-Brunswick, Canada</t>
        </is>
      </c>
      <c r="P2693" t="n">
        <v>801.66</v>
      </c>
      <c r="Q2693" t="n">
        <v>453.35</v>
      </c>
      <c r="R2693" t="n">
        <v>955.09</v>
      </c>
      <c r="S2693" t="n">
        <v>701.75</v>
      </c>
      <c r="T2693" t="n">
        <v>0</v>
      </c>
      <c r="U2693" t="n">
        <v>2911.85</v>
      </c>
      <c r="X2693" t="inlineStr">
        <is>
          <t>aafc-aac</t>
        </is>
      </c>
      <c r="Y2693" t="inlineStr">
        <is>
          <t>Agriculture and Agri-Food Canada | Agriculture et Agroalimentaire Canada</t>
        </is>
      </c>
      <c r="Z2693" t="n">
        <v>9</v>
      </c>
      <c r="AA2693" t="n">
        <v>2911.85</v>
      </c>
      <c r="AB2693">
        <f>ROUND(U2693-AA2693,2)</f>
        <v/>
      </c>
      <c r="AC2693" t="b">
        <v>0</v>
      </c>
      <c r="AD2693">
        <f>IF(U2693="","MISSING_TOTAL",IF(ABS(AB2693)&lt;=0.01,"OK","CHECK"))</f>
        <v/>
      </c>
      <c r="AE2693">
        <f>IF(U2693="","MISSING",IF(AND(AA2693&gt;0,U2693/AA2693&gt;50),"POSSIBLE_SCALE_ERROR","OK"))</f>
        <v/>
      </c>
    </row>
    <row r="2694">
      <c r="A2694" t="inlineStr">
        <is>
          <t>T-AAFC-2027-P03-015</t>
        </is>
      </c>
      <c r="B2694" t="inlineStr">
        <is>
          <t>SLE</t>
        </is>
      </c>
      <c r="C2694" t="inlineStr">
        <is>
          <t>Assistant Deputy Minister, Strategic Policy Branch</t>
        </is>
      </c>
      <c r="D2694" t="inlineStr">
        <is>
          <t>Sous-ministre adjointe, Direction générale des politiques stratégiques</t>
        </is>
      </c>
      <c r="E2694" t="inlineStr">
        <is>
          <t>Shannon Nix</t>
        </is>
      </c>
      <c r="F2694" t="inlineStr">
        <is>
          <t>To attend a meeting</t>
        </is>
      </c>
      <c r="G2694" t="inlineStr">
        <is>
          <t>Assister à une réunion</t>
        </is>
      </c>
      <c r="H2694" s="1" t="n">
        <v>46148</v>
      </c>
      <c r="I2694" s="1" t="n">
        <v>46148</v>
      </c>
      <c r="J2694" t="inlineStr">
        <is>
          <t>Ottawa, Ontario, Canada</t>
        </is>
      </c>
      <c r="K2694" t="inlineStr">
        <is>
          <t>Ottawa, Ontario, Canada</t>
        </is>
      </c>
      <c r="P2694" t="n">
        <v>0</v>
      </c>
      <c r="Q2694" t="n">
        <v>12.1</v>
      </c>
      <c r="R2694" t="n">
        <v>0</v>
      </c>
      <c r="S2694" t="n">
        <v>0</v>
      </c>
      <c r="T2694" t="n">
        <v>0</v>
      </c>
      <c r="U2694" t="n">
        <v>12.1</v>
      </c>
      <c r="X2694" t="inlineStr">
        <is>
          <t>aafc-aac</t>
        </is>
      </c>
      <c r="Y2694" t="inlineStr">
        <is>
          <t>Agriculture and Agri-Food Canada | Agriculture et Agroalimentaire Canada</t>
        </is>
      </c>
      <c r="Z2694" t="n">
        <v>1</v>
      </c>
      <c r="AA2694" t="n">
        <v>12.1</v>
      </c>
      <c r="AB2694">
        <f>ROUND(U2694-AA2694,2)</f>
        <v/>
      </c>
      <c r="AC2694" t="b">
        <v>0</v>
      </c>
      <c r="AD2694">
        <f>IF(U2694="","MISSING_TOTAL",IF(ABS(AB2694)&lt;=0.01,"OK","CHECK"))</f>
        <v/>
      </c>
      <c r="AE2694">
        <f>IF(U2694="","MISSING",IF(AND(AA2694&gt;0,U2694/AA2694&gt;50),"POSSIBLE_SCALE_ERROR","OK"))</f>
        <v/>
      </c>
    </row>
    <row r="2695">
      <c r="A2695" t="inlineStr">
        <is>
          <t>T-AAFC-2027-P03-016</t>
        </is>
      </c>
      <c r="B2695" t="inlineStr">
        <is>
          <t>SLE</t>
        </is>
      </c>
      <c r="C2695" t="inlineStr">
        <is>
          <t>Assistant Deputy Minister, Strategic Policy Branch</t>
        </is>
      </c>
      <c r="D2695" t="inlineStr">
        <is>
          <t>Sous-ministre adjointe, Direction générale des politiques stratégiques</t>
        </is>
      </c>
      <c r="E2695" t="inlineStr">
        <is>
          <t>Shannon Nix</t>
        </is>
      </c>
      <c r="F2695" t="inlineStr">
        <is>
          <t>To attend a meeting</t>
        </is>
      </c>
      <c r="G2695" t="inlineStr">
        <is>
          <t>Assister à une réunion</t>
        </is>
      </c>
      <c r="H2695" s="1" t="n">
        <v>46149</v>
      </c>
      <c r="I2695" s="1" t="n">
        <v>46149</v>
      </c>
      <c r="J2695" t="inlineStr">
        <is>
          <t>Ottawa, Ontario, Canada</t>
        </is>
      </c>
      <c r="K2695" t="inlineStr">
        <is>
          <t>Ottawa, Ontario, Canada</t>
        </is>
      </c>
      <c r="P2695" t="n">
        <v>0</v>
      </c>
      <c r="Q2695" t="n">
        <v>17</v>
      </c>
      <c r="R2695" t="n">
        <v>0</v>
      </c>
      <c r="S2695" t="n">
        <v>0</v>
      </c>
      <c r="T2695" t="n">
        <v>0</v>
      </c>
      <c r="U2695" t="n">
        <v>17</v>
      </c>
      <c r="X2695" t="inlineStr">
        <is>
          <t>aafc-aac</t>
        </is>
      </c>
      <c r="Y2695" t="inlineStr">
        <is>
          <t>Agriculture and Agri-Food Canada | Agriculture et Agroalimentaire Canada</t>
        </is>
      </c>
      <c r="Z2695" t="n">
        <v>1</v>
      </c>
      <c r="AA2695" t="n">
        <v>17</v>
      </c>
      <c r="AB2695">
        <f>ROUND(U2695-AA2695,2)</f>
        <v/>
      </c>
      <c r="AC2695" t="b">
        <v>0</v>
      </c>
      <c r="AD2695">
        <f>IF(U2695="","MISSING_TOTAL",IF(ABS(AB2695)&lt;=0.01,"OK","CHECK"))</f>
        <v/>
      </c>
      <c r="AE2695">
        <f>IF(U2695="","MISSING",IF(AND(AA2695&gt;0,U2695/AA2695&gt;50),"POSSIBLE_SCALE_ERROR","OK"))</f>
        <v/>
      </c>
    </row>
    <row r="2696">
      <c r="A2696" t="inlineStr">
        <is>
          <t>T-AAFC-2027-P03-017</t>
        </is>
      </c>
      <c r="B2696" t="inlineStr">
        <is>
          <t>SLE</t>
        </is>
      </c>
      <c r="C2696" t="inlineStr">
        <is>
          <t>Assistant Deputy Minister, Strategic Policy Branch</t>
        </is>
      </c>
      <c r="D2696" t="inlineStr">
        <is>
          <t>Sous-ministre adjointe, Direction générale des politiques stratégiques</t>
        </is>
      </c>
      <c r="E2696" t="inlineStr">
        <is>
          <t>Shannon Nix</t>
        </is>
      </c>
      <c r="F2696" t="inlineStr">
        <is>
          <t>To attend a meeting</t>
        </is>
      </c>
      <c r="G2696" t="inlineStr">
        <is>
          <t>Assister à une réunion</t>
        </is>
      </c>
      <c r="H2696" s="1" t="n">
        <v>46169</v>
      </c>
      <c r="I2696" s="1" t="n">
        <v>46169</v>
      </c>
      <c r="J2696" t="inlineStr">
        <is>
          <t>Ottawa, Ontario, Canada</t>
        </is>
      </c>
      <c r="K2696" t="inlineStr">
        <is>
          <t>Ottawa, Ontario, Canada</t>
        </is>
      </c>
      <c r="P2696" t="n">
        <v>0</v>
      </c>
      <c r="Q2696" t="n">
        <v>17.71</v>
      </c>
      <c r="R2696" t="n">
        <v>0</v>
      </c>
      <c r="S2696" t="n">
        <v>0</v>
      </c>
      <c r="T2696" t="n">
        <v>0</v>
      </c>
      <c r="U2696" t="n">
        <v>17.71</v>
      </c>
      <c r="X2696" t="inlineStr">
        <is>
          <t>aafc-aac</t>
        </is>
      </c>
      <c r="Y2696" t="inlineStr">
        <is>
          <t>Agriculture and Agri-Food Canada | Agriculture et Agroalimentaire Canada</t>
        </is>
      </c>
      <c r="Z2696" t="n">
        <v>1</v>
      </c>
      <c r="AA2696" t="n">
        <v>17.71</v>
      </c>
      <c r="AB2696">
        <f>ROUND(U2696-AA2696,2)</f>
        <v/>
      </c>
      <c r="AC2696" t="b">
        <v>0</v>
      </c>
      <c r="AD2696">
        <f>IF(U2696="","MISSING_TOTAL",IF(ABS(AB2696)&lt;=0.01,"OK","CHECK"))</f>
        <v/>
      </c>
      <c r="AE2696">
        <f>IF(U2696="","MISSING",IF(AND(AA2696&gt;0,U2696/AA2696&gt;50),"POSSIBLE_SCALE_ERROR","OK"))</f>
        <v/>
      </c>
    </row>
    <row r="2697">
      <c r="A2697" t="inlineStr">
        <is>
          <t>T-AAFC-2027-P03-018</t>
        </is>
      </c>
      <c r="B2697" t="inlineStr">
        <is>
          <t>SLE</t>
        </is>
      </c>
      <c r="C2697" t="inlineStr">
        <is>
          <t>Assistant Deputy Minister, Strategic Policy Branch</t>
        </is>
      </c>
      <c r="D2697" t="inlineStr">
        <is>
          <t>Sous-ministre adjointe, Direction générale des politiques stratégiques</t>
        </is>
      </c>
      <c r="E2697" t="inlineStr">
        <is>
          <t>Shannon Nix</t>
        </is>
      </c>
      <c r="F2697" t="inlineStr">
        <is>
          <t>To attend a meeting</t>
        </is>
      </c>
      <c r="G2697" t="inlineStr">
        <is>
          <t>Assister à une réunion</t>
        </is>
      </c>
      <c r="H2697" s="1" t="n">
        <v>46184</v>
      </c>
      <c r="I2697" s="1" t="n">
        <v>46184</v>
      </c>
      <c r="J2697" t="inlineStr">
        <is>
          <t>Toronto, Ontario, Canada</t>
        </is>
      </c>
      <c r="K2697" t="inlineStr">
        <is>
          <t>Toronto, Ontario, Canada</t>
        </is>
      </c>
      <c r="P2697" t="n">
        <v>1491.57</v>
      </c>
      <c r="Q2697" t="n">
        <v>0</v>
      </c>
      <c r="R2697" t="n">
        <v>0</v>
      </c>
      <c r="S2697" t="n">
        <v>121.25</v>
      </c>
      <c r="T2697" t="n">
        <v>0</v>
      </c>
      <c r="U2697" t="n">
        <v>1612.82</v>
      </c>
      <c r="X2697" t="inlineStr">
        <is>
          <t>aafc-aac</t>
        </is>
      </c>
      <c r="Y2697" t="inlineStr">
        <is>
          <t>Agriculture and Agri-Food Canada | Agriculture et Agroalimentaire Canada</t>
        </is>
      </c>
      <c r="Z2697" t="n">
        <v>1</v>
      </c>
      <c r="AA2697" t="n">
        <v>1612.82</v>
      </c>
      <c r="AB2697">
        <f>ROUND(U2697-AA2697,2)</f>
        <v/>
      </c>
      <c r="AC2697" t="b">
        <v>0</v>
      </c>
      <c r="AD2697">
        <f>IF(U2697="","MISSING_TOTAL",IF(ABS(AB2697)&lt;=0.01,"OK","CHECK"))</f>
        <v/>
      </c>
      <c r="AE2697">
        <f>IF(U2697="","MISSING",IF(AND(AA2697&gt;0,U2697/AA2697&gt;50),"POSSIBLE_SCALE_ERROR","OK"))</f>
        <v/>
      </c>
    </row>
    <row r="2698">
      <c r="A2698" t="inlineStr">
        <is>
          <t>T-AAFC-2027-P03-019</t>
        </is>
      </c>
      <c r="B2698" t="inlineStr">
        <is>
          <t>SLE</t>
        </is>
      </c>
      <c r="C2698" t="inlineStr">
        <is>
          <t>Assistant Deputy Minister, Programs Branch</t>
        </is>
      </c>
      <c r="D2698" t="inlineStr">
        <is>
          <t>Sous-ministre adjointe, Direction générale des programmes</t>
        </is>
      </c>
      <c r="E2698" t="inlineStr">
        <is>
          <t>Liz Foster</t>
        </is>
      </c>
      <c r="F2698" t="inlineStr">
        <is>
          <t>To attend meetings</t>
        </is>
      </c>
      <c r="G2698" t="inlineStr">
        <is>
          <t>Assister à des réunions</t>
        </is>
      </c>
      <c r="H2698" s="1" t="n">
        <v>46181</v>
      </c>
      <c r="I2698" s="1" t="n">
        <v>46181</v>
      </c>
      <c r="J2698" t="inlineStr">
        <is>
          <t>Ottawa, Ontario, Canada</t>
        </is>
      </c>
      <c r="K2698" t="inlineStr">
        <is>
          <t>Ottawa, Ontario, Canada</t>
        </is>
      </c>
      <c r="P2698" t="n">
        <v>0</v>
      </c>
      <c r="Q2698" t="n">
        <v>12</v>
      </c>
      <c r="R2698" t="n">
        <v>0</v>
      </c>
      <c r="S2698" t="n">
        <v>0</v>
      </c>
      <c r="T2698" t="n">
        <v>0</v>
      </c>
      <c r="U2698" t="n">
        <v>12</v>
      </c>
      <c r="X2698" t="inlineStr">
        <is>
          <t>aafc-aac</t>
        </is>
      </c>
      <c r="Y2698" t="inlineStr">
        <is>
          <t>Agriculture and Agri-Food Canada | Agriculture et Agroalimentaire Canada</t>
        </is>
      </c>
      <c r="Z2698" t="n">
        <v>1</v>
      </c>
      <c r="AA2698" t="n">
        <v>12</v>
      </c>
      <c r="AB2698">
        <f>ROUND(U2698-AA2698,2)</f>
        <v/>
      </c>
      <c r="AC2698" t="b">
        <v>0</v>
      </c>
      <c r="AD2698">
        <f>IF(U2698="","MISSING_TOTAL",IF(ABS(AB2698)&lt;=0.01,"OK","CHECK"))</f>
        <v/>
      </c>
      <c r="AE2698">
        <f>IF(U2698="","MISSING",IF(AND(AA2698&gt;0,U2698/AA2698&gt;50),"POSSIBLE_SCALE_ERROR","OK"))</f>
        <v/>
      </c>
    </row>
    <row r="2699">
      <c r="A2699" t="inlineStr">
        <is>
          <t>T-AAFC-2027-P03-020</t>
        </is>
      </c>
      <c r="B2699" t="inlineStr">
        <is>
          <t>SLE</t>
        </is>
      </c>
      <c r="C2699" t="inlineStr">
        <is>
          <t>Assistant Deputy Minister, Programs Branch</t>
        </is>
      </c>
      <c r="D2699" t="inlineStr">
        <is>
          <t>Sous-ministre adjointe, Direction générale des programmes</t>
        </is>
      </c>
      <c r="E2699" t="inlineStr">
        <is>
          <t>Liz Foster</t>
        </is>
      </c>
      <c r="F2699" t="inlineStr">
        <is>
          <t>To attend meetings</t>
        </is>
      </c>
      <c r="G2699" t="inlineStr">
        <is>
          <t>Assister à des réunions</t>
        </is>
      </c>
      <c r="H2699" s="1" t="n">
        <v>46182</v>
      </c>
      <c r="I2699" s="1" t="n">
        <v>46182</v>
      </c>
      <c r="J2699" t="inlineStr">
        <is>
          <t>Ottawa, Ontario, Canada</t>
        </is>
      </c>
      <c r="K2699" t="inlineStr">
        <is>
          <t>Ottawa, Ontario, Canada</t>
        </is>
      </c>
      <c r="P2699" t="n">
        <v>0</v>
      </c>
      <c r="Q2699" t="n">
        <v>12</v>
      </c>
      <c r="R2699" t="n">
        <v>0</v>
      </c>
      <c r="S2699" t="n">
        <v>0</v>
      </c>
      <c r="T2699" t="n">
        <v>0</v>
      </c>
      <c r="U2699" t="n">
        <v>12</v>
      </c>
      <c r="X2699" t="inlineStr">
        <is>
          <t>aafc-aac</t>
        </is>
      </c>
      <c r="Y2699" t="inlineStr">
        <is>
          <t>Agriculture and Agri-Food Canada | Agriculture et Agroalimentaire Canada</t>
        </is>
      </c>
      <c r="Z2699" t="n">
        <v>1</v>
      </c>
      <c r="AA2699" t="n">
        <v>12</v>
      </c>
      <c r="AB2699">
        <f>ROUND(U2699-AA2699,2)</f>
        <v/>
      </c>
      <c r="AC2699" t="b">
        <v>0</v>
      </c>
      <c r="AD2699">
        <f>IF(U2699="","MISSING_TOTAL",IF(ABS(AB2699)&lt;=0.01,"OK","CHECK"))</f>
        <v/>
      </c>
      <c r="AE2699">
        <f>IF(U2699="","MISSING",IF(AND(AA2699&gt;0,U2699/AA2699&gt;50),"POSSIBLE_SCALE_ERROR","OK"))</f>
        <v/>
      </c>
    </row>
    <row r="2700">
      <c r="A2700" t="inlineStr">
        <is>
          <t>T-AAFC-2027-P03-021</t>
        </is>
      </c>
      <c r="B2700" t="inlineStr">
        <is>
          <t>SLE</t>
        </is>
      </c>
      <c r="C2700" t="inlineStr">
        <is>
          <t>Assistant Deputy Minister, Programs Branch</t>
        </is>
      </c>
      <c r="D2700" t="inlineStr">
        <is>
          <t>Sous-ministre adjointe, Direction générale des programmes</t>
        </is>
      </c>
      <c r="E2700" t="inlineStr">
        <is>
          <t>Liz Foster</t>
        </is>
      </c>
      <c r="F2700" t="inlineStr">
        <is>
          <t>To attend meetings</t>
        </is>
      </c>
      <c r="G2700" t="inlineStr">
        <is>
          <t>Assister à des réunions</t>
        </is>
      </c>
      <c r="H2700" s="1" t="n">
        <v>46183</v>
      </c>
      <c r="I2700" s="1" t="n">
        <v>46183</v>
      </c>
      <c r="J2700" t="inlineStr">
        <is>
          <t>Ottawa, Ontario, Canada</t>
        </is>
      </c>
      <c r="K2700" t="inlineStr">
        <is>
          <t>Ottawa, Ontario, Canada</t>
        </is>
      </c>
      <c r="P2700" t="n">
        <v>0</v>
      </c>
      <c r="Q2700" t="n">
        <v>6.5</v>
      </c>
      <c r="R2700" t="n">
        <v>0</v>
      </c>
      <c r="S2700" t="n">
        <v>0</v>
      </c>
      <c r="T2700" t="n">
        <v>0</v>
      </c>
      <c r="U2700" t="n">
        <v>6.5</v>
      </c>
      <c r="X2700" t="inlineStr">
        <is>
          <t>aafc-aac</t>
        </is>
      </c>
      <c r="Y2700" t="inlineStr">
        <is>
          <t>Agriculture and Agri-Food Canada | Agriculture et Agroalimentaire Canada</t>
        </is>
      </c>
      <c r="Z2700" t="n">
        <v>1</v>
      </c>
      <c r="AA2700" t="n">
        <v>6.5</v>
      </c>
      <c r="AB2700">
        <f>ROUND(U2700-AA2700,2)</f>
        <v/>
      </c>
      <c r="AC2700" t="b">
        <v>0</v>
      </c>
      <c r="AD2700">
        <f>IF(U2700="","MISSING_TOTAL",IF(ABS(AB2700)&lt;=0.01,"OK","CHECK"))</f>
        <v/>
      </c>
      <c r="AE2700">
        <f>IF(U2700="","MISSING",IF(AND(AA2700&gt;0,U2700/AA2700&gt;50),"POSSIBLE_SCALE_ERROR","OK"))</f>
        <v/>
      </c>
    </row>
    <row r="2701">
      <c r="A2701" t="inlineStr">
        <is>
          <t>T-AAFC-2027-P03-022</t>
        </is>
      </c>
      <c r="B2701" t="inlineStr">
        <is>
          <t>SLE</t>
        </is>
      </c>
      <c r="C2701" t="inlineStr">
        <is>
          <t>Assistant Deputy Minister, Programs Branch</t>
        </is>
      </c>
      <c r="D2701" t="inlineStr">
        <is>
          <t>Sous-ministre adjointe, Direction générale des programmes</t>
        </is>
      </c>
      <c r="E2701" t="inlineStr">
        <is>
          <t>Liz Foster</t>
        </is>
      </c>
      <c r="F2701" t="inlineStr">
        <is>
          <t>To attend meetings</t>
        </is>
      </c>
      <c r="G2701" t="inlineStr">
        <is>
          <t>Assister à des réunions</t>
        </is>
      </c>
      <c r="H2701" s="1" t="n">
        <v>46188</v>
      </c>
      <c r="I2701" s="1" t="n">
        <v>46188</v>
      </c>
      <c r="J2701" t="inlineStr">
        <is>
          <t>Ottawa, Ontario, Canada</t>
        </is>
      </c>
      <c r="K2701" t="inlineStr">
        <is>
          <t>Ottawa, Ontario, Canada</t>
        </is>
      </c>
      <c r="P2701" t="n">
        <v>0</v>
      </c>
      <c r="Q2701" t="n">
        <v>18</v>
      </c>
      <c r="R2701" t="n">
        <v>0</v>
      </c>
      <c r="S2701" t="n">
        <v>0</v>
      </c>
      <c r="T2701" t="n">
        <v>0</v>
      </c>
      <c r="U2701" t="n">
        <v>18</v>
      </c>
      <c r="X2701" t="inlineStr">
        <is>
          <t>aafc-aac</t>
        </is>
      </c>
      <c r="Y2701" t="inlineStr">
        <is>
          <t>Agriculture and Agri-Food Canada | Agriculture et Agroalimentaire Canada</t>
        </is>
      </c>
      <c r="Z2701" t="n">
        <v>1</v>
      </c>
      <c r="AA2701" t="n">
        <v>18</v>
      </c>
      <c r="AB2701">
        <f>ROUND(U2701-AA2701,2)</f>
        <v/>
      </c>
      <c r="AC2701" t="b">
        <v>0</v>
      </c>
      <c r="AD2701">
        <f>IF(U2701="","MISSING_TOTAL",IF(ABS(AB2701)&lt;=0.01,"OK","CHECK"))</f>
        <v/>
      </c>
      <c r="AE2701">
        <f>IF(U2701="","MISSING",IF(AND(AA2701&gt;0,U2701/AA2701&gt;50),"POSSIBLE_SCALE_ERROR","OK"))</f>
        <v/>
      </c>
    </row>
    <row r="2702">
      <c r="A2702" t="inlineStr">
        <is>
          <t>T-AAFC-2027-P03-023</t>
        </is>
      </c>
      <c r="B2702" t="inlineStr">
        <is>
          <t>SLE</t>
        </is>
      </c>
      <c r="C2702" t="inlineStr">
        <is>
          <t>Assistant Deputy Minister, Market and Industry Services Branch</t>
        </is>
      </c>
      <c r="D2702" t="inlineStr">
        <is>
          <t>Sous-ministre adjoint, Direction générale des services à l'industrie et aux marchés</t>
        </is>
      </c>
      <c r="E2702" t="inlineStr">
        <is>
          <t>Tom Rosser</t>
        </is>
      </c>
      <c r="F2702" t="inlineStr">
        <is>
          <t>To attend meetings</t>
        </is>
      </c>
      <c r="G2702" t="inlineStr">
        <is>
          <t>Assister à des réunions</t>
        </is>
      </c>
      <c r="H2702" s="1" t="n">
        <v>46140</v>
      </c>
      <c r="I2702" s="1" t="n">
        <v>46142</v>
      </c>
      <c r="J2702" t="inlineStr">
        <is>
          <t>Washington, District of Columbia, United States</t>
        </is>
      </c>
      <c r="K2702" t="inlineStr">
        <is>
          <t>Washington, District de Columbia, États-Unis</t>
        </is>
      </c>
      <c r="P2702" t="n">
        <v>980.15</v>
      </c>
      <c r="Q2702" t="n">
        <v>181.65</v>
      </c>
      <c r="R2702" t="n">
        <v>876.53</v>
      </c>
      <c r="S2702" t="n">
        <v>455.08</v>
      </c>
      <c r="T2702" t="n">
        <v>0</v>
      </c>
      <c r="U2702" t="n">
        <v>2493.41</v>
      </c>
      <c r="X2702" t="inlineStr">
        <is>
          <t>aafc-aac</t>
        </is>
      </c>
      <c r="Y2702" t="inlineStr">
        <is>
          <t>Agriculture and Agri-Food Canada | Agriculture et Agroalimentaire Canada</t>
        </is>
      </c>
      <c r="Z2702" t="n">
        <v>3</v>
      </c>
      <c r="AA2702" t="n">
        <v>2493.41</v>
      </c>
      <c r="AB2702">
        <f>ROUND(U2702-AA2702,2)</f>
        <v/>
      </c>
      <c r="AC2702" t="b">
        <v>0</v>
      </c>
      <c r="AD2702">
        <f>IF(U2702="","MISSING_TOTAL",IF(ABS(AB2702)&lt;=0.01,"OK","CHECK"))</f>
        <v/>
      </c>
      <c r="AE2702">
        <f>IF(U2702="","MISSING",IF(AND(AA2702&gt;0,U2702/AA2702&gt;50),"POSSIBLE_SCALE_ERROR","OK"))</f>
        <v/>
      </c>
    </row>
    <row r="2703">
      <c r="A2703" t="inlineStr">
        <is>
          <t>T-AAFC-2027-P03-024</t>
        </is>
      </c>
      <c r="B2703" t="inlineStr">
        <is>
          <t>SLE</t>
        </is>
      </c>
      <c r="C2703" t="inlineStr">
        <is>
          <t>Director General, Human Resources Branch</t>
        </is>
      </c>
      <c r="D2703" t="inlineStr">
        <is>
          <t>Directeur général, Direction générale des ressources humaines</t>
        </is>
      </c>
      <c r="E2703" t="inlineStr">
        <is>
          <t>Alec Nicholls</t>
        </is>
      </c>
      <c r="F2703" t="inlineStr">
        <is>
          <t>To attend meetings</t>
        </is>
      </c>
      <c r="G2703" t="inlineStr">
        <is>
          <t>Assister à des réunions</t>
        </is>
      </c>
      <c r="H2703" s="1" t="n">
        <v>46175</v>
      </c>
      <c r="I2703" s="1" t="n">
        <v>46175</v>
      </c>
      <c r="J2703" t="inlineStr">
        <is>
          <t>Montreal, Quebec, Canada</t>
        </is>
      </c>
      <c r="K2703" t="inlineStr">
        <is>
          <t>Montréal, Québec, Canada</t>
        </is>
      </c>
      <c r="P2703" t="n">
        <v>0</v>
      </c>
      <c r="Q2703" t="n">
        <v>176.41</v>
      </c>
      <c r="R2703" t="n">
        <v>0</v>
      </c>
      <c r="S2703" t="n">
        <v>91.75</v>
      </c>
      <c r="T2703" t="n">
        <v>21</v>
      </c>
      <c r="U2703" t="n">
        <v>289.16</v>
      </c>
      <c r="X2703" t="inlineStr">
        <is>
          <t>aafc-aac</t>
        </is>
      </c>
      <c r="Y2703" t="inlineStr">
        <is>
          <t>Agriculture and Agri-Food Canada | Agriculture et Agroalimentaire Canada</t>
        </is>
      </c>
      <c r="Z2703" t="n">
        <v>1</v>
      </c>
      <c r="AA2703" t="n">
        <v>289.159999999999</v>
      </c>
      <c r="AB2703">
        <f>ROUND(U2703-AA2703,2)</f>
        <v/>
      </c>
      <c r="AC2703" t="b">
        <v>0</v>
      </c>
      <c r="AD2703">
        <f>IF(U2703="","MISSING_TOTAL",IF(ABS(AB2703)&lt;=0.01,"OK","CHECK"))</f>
        <v/>
      </c>
      <c r="AE2703">
        <f>IF(U2703="","MISSING",IF(AND(AA2703&gt;0,U2703/AA2703&gt;50),"POSSIBLE_SCALE_ERROR","OK"))</f>
        <v/>
      </c>
    </row>
    <row r="2704">
      <c r="A2704" t="inlineStr">
        <is>
          <t>T-AAFC-2027-P03-025</t>
        </is>
      </c>
      <c r="B2704" t="inlineStr">
        <is>
          <t>SLE</t>
        </is>
      </c>
      <c r="C2704" t="inlineStr">
        <is>
          <t>Director General, Human Resources Branch</t>
        </is>
      </c>
      <c r="D2704" t="inlineStr">
        <is>
          <t>Directeur général, Direction générale des ressources humaines</t>
        </is>
      </c>
      <c r="E2704" t="inlineStr">
        <is>
          <t>Alec Nicholls</t>
        </is>
      </c>
      <c r="F2704" t="inlineStr">
        <is>
          <t>To attend meetings</t>
        </is>
      </c>
      <c r="G2704" t="inlineStr">
        <is>
          <t>Assister à des réunions</t>
        </is>
      </c>
      <c r="H2704" s="1" t="n">
        <v>46169</v>
      </c>
      <c r="I2704" s="1" t="n">
        <v>46170</v>
      </c>
      <c r="J2704" t="inlineStr">
        <is>
          <t>Moncton, New Brunswick, Canada</t>
        </is>
      </c>
      <c r="K2704" t="inlineStr">
        <is>
          <t>Moncton, Nouveau-Brunswick, Canada</t>
        </is>
      </c>
      <c r="P2704" t="n">
        <v>1652.13</v>
      </c>
      <c r="Q2704" t="n">
        <v>137.31</v>
      </c>
      <c r="R2704" t="n">
        <v>205.92</v>
      </c>
      <c r="S2704" t="n">
        <v>233.5</v>
      </c>
      <c r="T2704" t="n">
        <v>0</v>
      </c>
      <c r="U2704" t="n">
        <v>2228.86</v>
      </c>
      <c r="X2704" t="inlineStr">
        <is>
          <t>aafc-aac</t>
        </is>
      </c>
      <c r="Y2704" t="inlineStr">
        <is>
          <t>Agriculture and Agri-Food Canada | Agriculture et Agroalimentaire Canada</t>
        </is>
      </c>
      <c r="Z2704" t="n">
        <v>2</v>
      </c>
      <c r="AA2704" t="n">
        <v>2228.86</v>
      </c>
      <c r="AB2704">
        <f>ROUND(U2704-AA2704,2)</f>
        <v/>
      </c>
      <c r="AC2704" t="b">
        <v>0</v>
      </c>
      <c r="AD2704">
        <f>IF(U2704="","MISSING_TOTAL",IF(ABS(AB2704)&lt;=0.01,"OK","CHECK"))</f>
        <v/>
      </c>
      <c r="AE2704">
        <f>IF(U2704="","MISSING",IF(AND(AA2704&gt;0,U2704/AA2704&gt;50),"POSSIBLE_SCALE_ERROR","OK"))</f>
        <v/>
      </c>
    </row>
    <row r="2705">
      <c r="A2705" t="inlineStr">
        <is>
          <t>T-AAFC-2027-P04-001</t>
        </is>
      </c>
      <c r="B2705" t="inlineStr">
        <is>
          <t>MPSES</t>
        </is>
      </c>
      <c r="C2705" t="inlineStr">
        <is>
          <t>Minister</t>
        </is>
      </c>
      <c r="D2705" t="inlineStr">
        <is>
          <t>Ministre</t>
        </is>
      </c>
      <c r="E2705" t="inlineStr">
        <is>
          <t>Heath MacDonald</t>
        </is>
      </c>
      <c r="F2705" t="inlineStr">
        <is>
          <t>To attend an Outreach</t>
        </is>
      </c>
      <c r="G2705" t="inlineStr">
        <is>
          <t>Pour participer à une tournée de sensibilisation</t>
        </is>
      </c>
      <c r="H2705" s="1" t="n">
        <v>46197</v>
      </c>
      <c r="I2705" s="1" t="n">
        <v>46199</v>
      </c>
      <c r="J2705" t="inlineStr">
        <is>
          <t>Calgary, Alberta, Canada</t>
        </is>
      </c>
      <c r="K2705" t="inlineStr">
        <is>
          <t>Calgary, Alberta, Canada</t>
        </is>
      </c>
      <c r="L2705" t="inlineStr">
        <is>
          <t>Edmonton, Alberta, Canada</t>
        </is>
      </c>
      <c r="M2705" t="inlineStr">
        <is>
          <t>Edmonton, Alberta, Canada</t>
        </is>
      </c>
      <c r="P2705" t="n">
        <v>1912.95</v>
      </c>
      <c r="Q2705" t="n">
        <v>0</v>
      </c>
      <c r="R2705" t="n">
        <v>482.12</v>
      </c>
      <c r="S2705" t="n">
        <v>292.5</v>
      </c>
      <c r="T2705" t="n">
        <v>0</v>
      </c>
      <c r="U2705" t="n">
        <v>2687.57</v>
      </c>
      <c r="X2705" t="inlineStr">
        <is>
          <t>aafc-aac</t>
        </is>
      </c>
      <c r="Y2705" t="inlineStr">
        <is>
          <t>Agriculture and Agri-Food Canada | Agriculture et Agroalimentaire Canada</t>
        </is>
      </c>
      <c r="Z2705" t="n">
        <v>3</v>
      </c>
      <c r="AA2705" t="n">
        <v>2687.57</v>
      </c>
      <c r="AB2705">
        <f>ROUND(U2705-AA2705,2)</f>
        <v/>
      </c>
      <c r="AC2705" t="b">
        <v>0</v>
      </c>
      <c r="AD2705">
        <f>IF(U2705="","MISSING_TOTAL",IF(ABS(AB2705)&lt;=0.01,"OK","CHECK"))</f>
        <v/>
      </c>
      <c r="AE2705">
        <f>IF(U2705="","MISSING",IF(AND(AA2705&gt;0,U2705/AA2705&gt;50),"POSSIBLE_SCALE_ERROR","OK"))</f>
        <v/>
      </c>
    </row>
    <row r="2706">
      <c r="A2706" t="inlineStr">
        <is>
          <t>T-AAFC-2027-P04-002</t>
        </is>
      </c>
      <c r="B2706" t="inlineStr">
        <is>
          <t>MPSES</t>
        </is>
      </c>
      <c r="C2706" t="inlineStr">
        <is>
          <t>Minister</t>
        </is>
      </c>
      <c r="D2706" t="inlineStr">
        <is>
          <t>Ministre</t>
        </is>
      </c>
      <c r="E2706" t="inlineStr">
        <is>
          <t>Heath MacDonald</t>
        </is>
      </c>
      <c r="F2706" t="inlineStr">
        <is>
          <t>To attend an Outreach and the Calgary Stampede</t>
        </is>
      </c>
      <c r="G2706" t="inlineStr">
        <is>
          <t>Participer à une tournée de sensibilisation et au Calgary Stampede</t>
        </is>
      </c>
      <c r="H2706" s="1" t="n">
        <v>46204</v>
      </c>
      <c r="I2706" s="1" t="n">
        <v>46214</v>
      </c>
      <c r="J2706" t="inlineStr">
        <is>
          <t>Calgary, Alberta, Canada</t>
        </is>
      </c>
      <c r="K2706" t="inlineStr">
        <is>
          <t>Calgary, Alberta, Canada</t>
        </is>
      </c>
      <c r="L2706" t="inlineStr">
        <is>
          <t>Banff, Alberta, Canada</t>
        </is>
      </c>
      <c r="M2706" t="inlineStr">
        <is>
          <t>Banff, Alberta, Canada</t>
        </is>
      </c>
      <c r="N2706" t="inlineStr">
        <is>
          <t>Vancouver, British Columbia, Canada;Kelowna, British Columbia, Canada</t>
        </is>
      </c>
      <c r="O2706" t="inlineStr">
        <is>
          <t>Vancouver, Colombie-Britannique, Canada;Kelowna, Colombie-Britannique, Canada</t>
        </is>
      </c>
      <c r="P2706" t="n">
        <v>3619.8</v>
      </c>
      <c r="Q2706" t="n">
        <v>0</v>
      </c>
      <c r="R2706" t="n">
        <v>8231.780000000001</v>
      </c>
      <c r="S2706" t="n">
        <v>1396.95</v>
      </c>
      <c r="T2706" t="n">
        <v>0</v>
      </c>
      <c r="U2706" t="n">
        <v>13248.53</v>
      </c>
      <c r="X2706" t="inlineStr">
        <is>
          <t>aafc-aac</t>
        </is>
      </c>
      <c r="Y2706" t="inlineStr">
        <is>
          <t>Agriculture and Agri-Food Canada | Agriculture et Agroalimentaire Canada</t>
        </is>
      </c>
      <c r="Z2706" t="n">
        <v>11</v>
      </c>
      <c r="AA2706" t="n">
        <v>13248.53</v>
      </c>
      <c r="AB2706">
        <f>ROUND(U2706-AA2706,2)</f>
        <v/>
      </c>
      <c r="AC2706" t="b">
        <v>0</v>
      </c>
      <c r="AD2706">
        <f>IF(U2706="","MISSING_TOTAL",IF(ABS(AB2706)&lt;=0.01,"OK","CHECK"))</f>
        <v/>
      </c>
      <c r="AE2706">
        <f>IF(U2706="","MISSING",IF(AND(AA2706&gt;0,U2706/AA2706&gt;50),"POSSIBLE_SCALE_ERROR","OK"))</f>
        <v/>
      </c>
    </row>
    <row r="2707">
      <c r="A2707" t="inlineStr">
        <is>
          <t>T-AAFC-2027-P04-003</t>
        </is>
      </c>
      <c r="B2707" t="inlineStr">
        <is>
          <t>MPSES</t>
        </is>
      </c>
      <c r="C2707" t="inlineStr">
        <is>
          <t>Director of Parliamentary Affairs</t>
        </is>
      </c>
      <c r="D2707" t="inlineStr">
        <is>
          <t>Directeur des affaires parlementaires</t>
        </is>
      </c>
      <c r="E2707" t="inlineStr">
        <is>
          <t>Bradley Henstock</t>
        </is>
      </c>
      <c r="F2707" t="inlineStr">
        <is>
          <t>To support the Minister to attend an Outreach</t>
        </is>
      </c>
      <c r="G2707" t="inlineStr">
        <is>
          <t>Soutenir la participation du ministre lors d'une tournée de sensibilisation</t>
        </is>
      </c>
      <c r="H2707" s="1" t="n">
        <v>46197</v>
      </c>
      <c r="I2707" s="1" t="n">
        <v>46199</v>
      </c>
      <c r="J2707" t="inlineStr">
        <is>
          <t>Calgary, Alberta, Canada</t>
        </is>
      </c>
      <c r="K2707" t="inlineStr">
        <is>
          <t>Calgary, Alberta, Canada</t>
        </is>
      </c>
      <c r="L2707" t="inlineStr">
        <is>
          <t>Edmonton, Alberta, Canada</t>
        </is>
      </c>
      <c r="M2707" t="inlineStr">
        <is>
          <t>Edmonton, Alberta, Canada</t>
        </is>
      </c>
      <c r="P2707" t="n">
        <v>2005.23</v>
      </c>
      <c r="Q2707" t="n">
        <v>28.59</v>
      </c>
      <c r="R2707" t="n">
        <v>482.12</v>
      </c>
      <c r="S2707" t="n">
        <v>292.5</v>
      </c>
      <c r="T2707" t="n">
        <v>0</v>
      </c>
      <c r="U2707" t="n">
        <v>2808.44</v>
      </c>
      <c r="X2707" t="inlineStr">
        <is>
          <t>aafc-aac</t>
        </is>
      </c>
      <c r="Y2707" t="inlineStr">
        <is>
          <t>Agriculture and Agri-Food Canada | Agriculture et Agroalimentaire Canada</t>
        </is>
      </c>
      <c r="Z2707" t="n">
        <v>3</v>
      </c>
      <c r="AA2707" t="n">
        <v>2808.44</v>
      </c>
      <c r="AB2707">
        <f>ROUND(U2707-AA2707,2)</f>
        <v/>
      </c>
      <c r="AC2707" t="b">
        <v>0</v>
      </c>
      <c r="AD2707">
        <f>IF(U2707="","MISSING_TOTAL",IF(ABS(AB2707)&lt;=0.01,"OK","CHECK"))</f>
        <v/>
      </c>
      <c r="AE2707">
        <f>IF(U2707="","MISSING",IF(AND(AA2707&gt;0,U2707/AA2707&gt;50),"POSSIBLE_SCALE_ERROR","OK"))</f>
        <v/>
      </c>
    </row>
    <row r="2708">
      <c r="A2708" t="inlineStr">
        <is>
          <t>T-AAFC-2027-P04-004</t>
        </is>
      </c>
      <c r="B2708" t="inlineStr">
        <is>
          <t>MPSES</t>
        </is>
      </c>
      <c r="C2708" t="inlineStr">
        <is>
          <t>Chief of Staff</t>
        </is>
      </c>
      <c r="D2708" t="inlineStr">
        <is>
          <t>Chef de Cabinet</t>
        </is>
      </c>
      <c r="E2708" t="inlineStr">
        <is>
          <t>Guy Gallant</t>
        </is>
      </c>
      <c r="F2708" t="inlineStr">
        <is>
          <t>To support the Minister to attend meetings</t>
        </is>
      </c>
      <c r="G2708" t="inlineStr">
        <is>
          <t>Assister le ministre à participer à des réunions</t>
        </is>
      </c>
      <c r="H2708" s="1" t="n">
        <v>46198</v>
      </c>
      <c r="I2708" s="1" t="n">
        <v>46204</v>
      </c>
      <c r="J2708" t="inlineStr">
        <is>
          <t>Charlottetown, Prince Edward Island, Canada</t>
        </is>
      </c>
      <c r="K2708" t="inlineStr">
        <is>
          <t>Charlottetown, Île-du-Prince-Édouard, Canada</t>
        </is>
      </c>
      <c r="P2708" t="n">
        <v>2031.75</v>
      </c>
      <c r="Q2708" t="n">
        <v>25.3</v>
      </c>
      <c r="R2708" t="n">
        <v>1036.92</v>
      </c>
      <c r="S2708" t="n">
        <v>463.75</v>
      </c>
      <c r="T2708" t="n">
        <v>0</v>
      </c>
      <c r="U2708" t="n">
        <v>3557.72</v>
      </c>
      <c r="X2708" t="inlineStr">
        <is>
          <t>aafc-aac</t>
        </is>
      </c>
      <c r="Y2708" t="inlineStr">
        <is>
          <t>Agriculture and Agri-Food Canada | Agriculture et Agroalimentaire Canada</t>
        </is>
      </c>
      <c r="Z2708" t="n">
        <v>7</v>
      </c>
      <c r="AA2708" t="n">
        <v>3557.72</v>
      </c>
      <c r="AB2708">
        <f>ROUND(U2708-AA2708,2)</f>
        <v/>
      </c>
      <c r="AC2708" t="b">
        <v>0</v>
      </c>
      <c r="AD2708">
        <f>IF(U2708="","MISSING_TOTAL",IF(ABS(AB2708)&lt;=0.01,"OK","CHECK"))</f>
        <v/>
      </c>
      <c r="AE2708">
        <f>IF(U2708="","MISSING",IF(AND(AA2708&gt;0,U2708/AA2708&gt;50),"POSSIBLE_SCALE_ERROR","OK"))</f>
        <v/>
      </c>
    </row>
    <row r="2709">
      <c r="A2709" t="inlineStr">
        <is>
          <t>T-AAFC-2027-P04-005</t>
        </is>
      </c>
      <c r="B2709" t="inlineStr">
        <is>
          <t>MPSES</t>
        </is>
      </c>
      <c r="C2709" t="inlineStr">
        <is>
          <t>Chief of Staff</t>
        </is>
      </c>
      <c r="D2709" t="inlineStr">
        <is>
          <t>Chef de Cabinet</t>
        </is>
      </c>
      <c r="E2709" t="inlineStr">
        <is>
          <t>Guy Gallant</t>
        </is>
      </c>
      <c r="F2709" t="inlineStr">
        <is>
          <t>To support the Minister to attend an Outreach</t>
        </is>
      </c>
      <c r="G2709" t="inlineStr">
        <is>
          <t>Soutenir la participation du ministre lors d'une tournée de sensibilisation</t>
        </is>
      </c>
      <c r="H2709" s="1" t="n">
        <v>46204</v>
      </c>
      <c r="I2709" s="1" t="n">
        <v>46206</v>
      </c>
      <c r="J2709" t="inlineStr">
        <is>
          <t>Vancouver, British Columbia, Canada</t>
        </is>
      </c>
      <c r="K2709" t="inlineStr">
        <is>
          <t>Vancouver, Colombie-Britannique, Canada</t>
        </is>
      </c>
      <c r="P2709" t="n">
        <v>1686.62</v>
      </c>
      <c r="Q2709" t="n">
        <v>59.26</v>
      </c>
      <c r="R2709" t="n">
        <v>1303.3</v>
      </c>
      <c r="S2709" t="n">
        <v>354.2</v>
      </c>
      <c r="T2709" t="n">
        <v>0</v>
      </c>
      <c r="U2709" t="n">
        <v>3403.38</v>
      </c>
      <c r="X2709" t="inlineStr">
        <is>
          <t>aafc-aac</t>
        </is>
      </c>
      <c r="Y2709" t="inlineStr">
        <is>
          <t>Agriculture and Agri-Food Canada | Agriculture et Agroalimentaire Canada</t>
        </is>
      </c>
      <c r="Z2709" t="n">
        <v>3</v>
      </c>
      <c r="AA2709" t="n">
        <v>3403.37999999999</v>
      </c>
      <c r="AB2709">
        <f>ROUND(U2709-AA2709,2)</f>
        <v/>
      </c>
      <c r="AC2709" t="b">
        <v>0</v>
      </c>
      <c r="AD2709">
        <f>IF(U2709="","MISSING_TOTAL",IF(ABS(AB2709)&lt;=0.01,"OK","CHECK"))</f>
        <v/>
      </c>
      <c r="AE2709">
        <f>IF(U2709="","MISSING",IF(AND(AA2709&gt;0,U2709/AA2709&gt;50),"POSSIBLE_SCALE_ERROR","OK"))</f>
        <v/>
      </c>
    </row>
    <row r="2710">
      <c r="A2710" t="inlineStr">
        <is>
          <t>T-AAFC-2027-P04-006</t>
        </is>
      </c>
      <c r="B2710" t="inlineStr">
        <is>
          <t>MPSES</t>
        </is>
      </c>
      <c r="C2710" t="inlineStr">
        <is>
          <t>Chief of Staff</t>
        </is>
      </c>
      <c r="D2710" t="inlineStr">
        <is>
          <t>Chef de Cabinet</t>
        </is>
      </c>
      <c r="E2710" t="inlineStr">
        <is>
          <t>Guy Gallant</t>
        </is>
      </c>
      <c r="F2710" t="inlineStr">
        <is>
          <t>To support the Minister to attend meeting with the Potato Board</t>
        </is>
      </c>
      <c r="G2710" t="inlineStr">
        <is>
          <t>Assister le ministre à participer à la réunion avec le Conseil de la pomme de terre</t>
        </is>
      </c>
      <c r="H2710" s="1" t="n">
        <v>46210</v>
      </c>
      <c r="I2710" s="1" t="n">
        <v>46212</v>
      </c>
      <c r="J2710" t="inlineStr">
        <is>
          <t>Charlottetown, Prince Edward Island, Canada</t>
        </is>
      </c>
      <c r="K2710" t="inlineStr">
        <is>
          <t>Charlottetown, Île-du-Prince-Édouard, Canada</t>
        </is>
      </c>
      <c r="P2710" t="n">
        <v>1710.19</v>
      </c>
      <c r="Q2710" t="n">
        <v>30.01</v>
      </c>
      <c r="R2710" t="n">
        <v>428.16</v>
      </c>
      <c r="S2710" t="n">
        <v>409.25</v>
      </c>
      <c r="T2710" t="n">
        <v>0</v>
      </c>
      <c r="U2710" t="n">
        <v>2577.61</v>
      </c>
      <c r="X2710" t="inlineStr">
        <is>
          <t>aafc-aac</t>
        </is>
      </c>
      <c r="Y2710" t="inlineStr">
        <is>
          <t>Agriculture and Agri-Food Canada | Agriculture et Agroalimentaire Canada</t>
        </is>
      </c>
      <c r="Z2710" t="n">
        <v>3</v>
      </c>
      <c r="AA2710" t="n">
        <v>2577.61</v>
      </c>
      <c r="AB2710">
        <f>ROUND(U2710-AA2710,2)</f>
        <v/>
      </c>
      <c r="AC2710" t="b">
        <v>0</v>
      </c>
      <c r="AD2710">
        <f>IF(U2710="","MISSING_TOTAL",IF(ABS(AB2710)&lt;=0.01,"OK","CHECK"))</f>
        <v/>
      </c>
      <c r="AE2710">
        <f>IF(U2710="","MISSING",IF(AND(AA2710&gt;0,U2710/AA2710&gt;50),"POSSIBLE_SCALE_ERROR","OK"))</f>
        <v/>
      </c>
    </row>
    <row r="2711">
      <c r="A2711" t="inlineStr">
        <is>
          <t>T-AAFC-2027-P04-007</t>
        </is>
      </c>
      <c r="B2711" t="inlineStr">
        <is>
          <t>MPSES</t>
        </is>
      </c>
      <c r="C2711" t="inlineStr">
        <is>
          <t>Chief of Staff</t>
        </is>
      </c>
      <c r="D2711" t="inlineStr">
        <is>
          <t>Chef de Cabinet</t>
        </is>
      </c>
      <c r="E2711" t="inlineStr">
        <is>
          <t>Guy Gallant</t>
        </is>
      </c>
      <c r="F2711" t="inlineStr">
        <is>
          <t>To support the Minister attending various meetings and to attend the Federal-Provincial-Territorial Annual meeting</t>
        </is>
      </c>
      <c r="G2711" t="inlineStr">
        <is>
          <t>Soutenir la participation du ministre à des réunions et participer à la réunion annuelle fédérale-provinciale-territoriale</t>
        </is>
      </c>
      <c r="H2711" s="1" t="n">
        <v>46215</v>
      </c>
      <c r="I2711" s="1" t="n">
        <v>46221</v>
      </c>
      <c r="J2711" t="inlineStr">
        <is>
          <t>Charlottetown, Prince Edward Island, Canada</t>
        </is>
      </c>
      <c r="K2711" t="inlineStr">
        <is>
          <t>Charlottetown, Île-du-Prince-Édouard, Canada</t>
        </is>
      </c>
      <c r="L2711" t="inlineStr">
        <is>
          <t>Halifax, Nova Scotia, Canada</t>
        </is>
      </c>
      <c r="M2711" t="inlineStr">
        <is>
          <t>Halifax, Nouvelle-Écosse, Canada</t>
        </is>
      </c>
      <c r="P2711" t="n">
        <v>1285.22</v>
      </c>
      <c r="Q2711" t="n">
        <v>0</v>
      </c>
      <c r="R2711" t="n">
        <v>1175.48</v>
      </c>
      <c r="S2711" t="n">
        <v>667.2</v>
      </c>
      <c r="T2711" t="n">
        <v>0</v>
      </c>
      <c r="U2711" t="n">
        <v>3127.9</v>
      </c>
      <c r="X2711" t="inlineStr">
        <is>
          <t>aafc-aac</t>
        </is>
      </c>
      <c r="Y2711" t="inlineStr">
        <is>
          <t>Agriculture and Agri-Food Canada | Agriculture et Agroalimentaire Canada</t>
        </is>
      </c>
      <c r="Z2711" t="n">
        <v>7</v>
      </c>
      <c r="AA2711" t="n">
        <v>3127.89999999999</v>
      </c>
      <c r="AB2711">
        <f>ROUND(U2711-AA2711,2)</f>
        <v/>
      </c>
      <c r="AC2711" t="b">
        <v>0</v>
      </c>
      <c r="AD2711">
        <f>IF(U2711="","MISSING_TOTAL",IF(ABS(AB2711)&lt;=0.01,"OK","CHECK"))</f>
        <v/>
      </c>
      <c r="AE2711">
        <f>IF(U2711="","MISSING",IF(AND(AA2711&gt;0,U2711/AA2711&gt;50),"POSSIBLE_SCALE_ERROR","OK"))</f>
        <v/>
      </c>
    </row>
    <row r="2712">
      <c r="A2712" t="inlineStr">
        <is>
          <t>T-AAFC-2027-P04-008</t>
        </is>
      </c>
      <c r="B2712" t="inlineStr">
        <is>
          <t>MPSES</t>
        </is>
      </c>
      <c r="C2712" t="inlineStr">
        <is>
          <t>Director of Policy</t>
        </is>
      </c>
      <c r="D2712" t="inlineStr">
        <is>
          <t>Directrice des politiques</t>
        </is>
      </c>
      <c r="E2712" t="inlineStr">
        <is>
          <t>Serena Smith</t>
        </is>
      </c>
      <c r="F2712" t="inlineStr">
        <is>
          <t>To support the Minister to attend an Outreach</t>
        </is>
      </c>
      <c r="G2712" t="inlineStr">
        <is>
          <t>Soutenir la participation du ministre lors d'une tournée de sensibilisation</t>
        </is>
      </c>
      <c r="H2712" s="1" t="n">
        <v>46197</v>
      </c>
      <c r="I2712" s="1" t="n">
        <v>46199</v>
      </c>
      <c r="J2712" t="inlineStr">
        <is>
          <t>Calgary, Alberta, Canada</t>
        </is>
      </c>
      <c r="K2712" t="inlineStr">
        <is>
          <t>Calgary, Alberta, Canada</t>
        </is>
      </c>
      <c r="L2712" t="inlineStr">
        <is>
          <t>Edmonton, Alberta, Canada</t>
        </is>
      </c>
      <c r="M2712" t="inlineStr">
        <is>
          <t>Edmonton, Alberta, Canada</t>
        </is>
      </c>
      <c r="P2712" t="n">
        <v>2121.78</v>
      </c>
      <c r="Q2712" t="n">
        <v>93.48</v>
      </c>
      <c r="R2712" t="n">
        <v>482.12</v>
      </c>
      <c r="S2712" t="n">
        <v>292.5</v>
      </c>
      <c r="T2712" t="n">
        <v>0</v>
      </c>
      <c r="U2712" t="n">
        <v>2989.88</v>
      </c>
      <c r="X2712" t="inlineStr">
        <is>
          <t>aafc-aac</t>
        </is>
      </c>
      <c r="Y2712" t="inlineStr">
        <is>
          <t>Agriculture and Agri-Food Canada | Agriculture et Agroalimentaire Canada</t>
        </is>
      </c>
      <c r="Z2712" t="n">
        <v>3</v>
      </c>
      <c r="AA2712" t="n">
        <v>2989.88</v>
      </c>
      <c r="AB2712">
        <f>ROUND(U2712-AA2712,2)</f>
        <v/>
      </c>
      <c r="AC2712" t="b">
        <v>0</v>
      </c>
      <c r="AD2712">
        <f>IF(U2712="","MISSING_TOTAL",IF(ABS(AB2712)&lt;=0.01,"OK","CHECK"))</f>
        <v/>
      </c>
      <c r="AE2712">
        <f>IF(U2712="","MISSING",IF(AND(AA2712&gt;0,U2712/AA2712&gt;50),"POSSIBLE_SCALE_ERROR","OK"))</f>
        <v/>
      </c>
    </row>
    <row r="2713">
      <c r="A2713" t="inlineStr">
        <is>
          <t>T-AAFC-2027-P04-009</t>
        </is>
      </c>
      <c r="B2713" t="inlineStr">
        <is>
          <t>MPSES</t>
        </is>
      </c>
      <c r="C2713" t="inlineStr">
        <is>
          <t>Director of Policy</t>
        </is>
      </c>
      <c r="D2713" t="inlineStr">
        <is>
          <t>Directrice des politiques</t>
        </is>
      </c>
      <c r="E2713" t="inlineStr">
        <is>
          <t>Serena Smith</t>
        </is>
      </c>
      <c r="F2713" t="inlineStr">
        <is>
          <t>To support the Minister to attend various meetings</t>
        </is>
      </c>
      <c r="G2713" t="inlineStr">
        <is>
          <t>Assister le ministre à participer à des réunions</t>
        </is>
      </c>
      <c r="H2713" s="1" t="n">
        <v>46202</v>
      </c>
      <c r="I2713" s="1" t="n">
        <v>46203</v>
      </c>
      <c r="J2713" t="inlineStr">
        <is>
          <t>Charlottetown, Prince Edward Island, Canada</t>
        </is>
      </c>
      <c r="K2713" t="inlineStr">
        <is>
          <t>Charlottetown, Île-du-Prince-Édouard, Canada</t>
        </is>
      </c>
      <c r="P2713" t="n">
        <v>659.76</v>
      </c>
      <c r="Q2713" t="n">
        <v>61.79</v>
      </c>
      <c r="R2713" t="n">
        <v>691.28</v>
      </c>
      <c r="S2713" t="n">
        <v>263</v>
      </c>
      <c r="T2713" t="n">
        <v>0</v>
      </c>
      <c r="U2713" t="n">
        <v>1675.83</v>
      </c>
      <c r="X2713" t="inlineStr">
        <is>
          <t>aafc-aac</t>
        </is>
      </c>
      <c r="Y2713" t="inlineStr">
        <is>
          <t>Agriculture and Agri-Food Canada | Agriculture et Agroalimentaire Canada</t>
        </is>
      </c>
      <c r="Z2713" t="n">
        <v>2</v>
      </c>
      <c r="AA2713" t="n">
        <v>1675.83</v>
      </c>
      <c r="AB2713">
        <f>ROUND(U2713-AA2713,2)</f>
        <v/>
      </c>
      <c r="AC2713" t="b">
        <v>0</v>
      </c>
      <c r="AD2713">
        <f>IF(U2713="","MISSING_TOTAL",IF(ABS(AB2713)&lt;=0.01,"OK","CHECK"))</f>
        <v/>
      </c>
      <c r="AE2713">
        <f>IF(U2713="","MISSING",IF(AND(AA2713&gt;0,U2713/AA2713&gt;50),"POSSIBLE_SCALE_ERROR","OK"))</f>
        <v/>
      </c>
    </row>
    <row r="2714">
      <c r="A2714" t="inlineStr">
        <is>
          <t>T-AAFC-2027-P04-010</t>
        </is>
      </c>
      <c r="B2714" t="inlineStr">
        <is>
          <t>MPSES</t>
        </is>
      </c>
      <c r="C2714" t="inlineStr">
        <is>
          <t>Director of Policy</t>
        </is>
      </c>
      <c r="D2714" t="inlineStr">
        <is>
          <t>Directrice des politiques</t>
        </is>
      </c>
      <c r="E2714" t="inlineStr">
        <is>
          <t>Serena Smith</t>
        </is>
      </c>
      <c r="F2714" t="inlineStr">
        <is>
          <t>To support the Minister to attend an Outreach and the Calgary Stampede</t>
        </is>
      </c>
      <c r="G2714" t="inlineStr">
        <is>
          <t>Soutenir la participation du ministre lors d'une tournée de sensibilisation et au Calgary Stampede</t>
        </is>
      </c>
      <c r="H2714" s="1" t="n">
        <v>46207</v>
      </c>
      <c r="I2714" s="1" t="n">
        <v>46215</v>
      </c>
      <c r="J2714" t="inlineStr">
        <is>
          <t>Calgary, Alberta, Canada</t>
        </is>
      </c>
      <c r="K2714" t="inlineStr">
        <is>
          <t>Calgary, Alberta, Canada</t>
        </is>
      </c>
      <c r="L2714" t="inlineStr">
        <is>
          <t>Banff, Alberta, Canada</t>
        </is>
      </c>
      <c r="M2714" t="inlineStr">
        <is>
          <t>Banff, Alberta, Canada</t>
        </is>
      </c>
      <c r="P2714" t="n">
        <v>2808.61</v>
      </c>
      <c r="Q2714" t="n">
        <v>351.29</v>
      </c>
      <c r="R2714" t="n">
        <v>6619.82</v>
      </c>
      <c r="S2714" t="n">
        <v>1017.75</v>
      </c>
      <c r="T2714" t="n">
        <v>0</v>
      </c>
      <c r="U2714" t="n">
        <v>10797.47</v>
      </c>
      <c r="X2714" t="inlineStr">
        <is>
          <t>aafc-aac</t>
        </is>
      </c>
      <c r="Y2714" t="inlineStr">
        <is>
          <t>Agriculture and Agri-Food Canada | Agriculture et Agroalimentaire Canada</t>
        </is>
      </c>
      <c r="Z2714" t="n">
        <v>9</v>
      </c>
      <c r="AA2714" t="n">
        <v>10797.47</v>
      </c>
      <c r="AB2714">
        <f>ROUND(U2714-AA2714,2)</f>
        <v/>
      </c>
      <c r="AC2714" t="b">
        <v>0</v>
      </c>
      <c r="AD2714">
        <f>IF(U2714="","MISSING_TOTAL",IF(ABS(AB2714)&lt;=0.01,"OK","CHECK"))</f>
        <v/>
      </c>
      <c r="AE2714">
        <f>IF(U2714="","MISSING",IF(AND(AA2714&gt;0,U2714/AA2714&gt;50),"POSSIBLE_SCALE_ERROR","OK"))</f>
        <v/>
      </c>
    </row>
    <row r="2715">
      <c r="A2715" t="inlineStr">
        <is>
          <t>T-AAFC-2027-P04-011</t>
        </is>
      </c>
      <c r="B2715" t="inlineStr">
        <is>
          <t>MPSES</t>
        </is>
      </c>
      <c r="C2715" t="inlineStr">
        <is>
          <t>Director of Policy</t>
        </is>
      </c>
      <c r="D2715" t="inlineStr">
        <is>
          <t>Directrice des politiques</t>
        </is>
      </c>
      <c r="E2715" t="inlineStr">
        <is>
          <t>Serena Smith</t>
        </is>
      </c>
      <c r="F2715" t="inlineStr">
        <is>
          <t>To support the Minister to attend meetings</t>
        </is>
      </c>
      <c r="G2715" t="inlineStr">
        <is>
          <t>Assister le ministre à participer a des réunions</t>
        </is>
      </c>
      <c r="H2715" s="1" t="n">
        <v>46191</v>
      </c>
      <c r="I2715" s="1" t="n">
        <v>46193</v>
      </c>
      <c r="J2715" t="inlineStr">
        <is>
          <t>Charlottetown, Prince Edward Island, Canada</t>
        </is>
      </c>
      <c r="K2715" t="inlineStr">
        <is>
          <t>Charlottetown, Île-du-Prince-Édouard, Canada</t>
        </is>
      </c>
      <c r="P2715" t="n">
        <v>1161.49</v>
      </c>
      <c r="Q2715" t="n">
        <v>52.43</v>
      </c>
      <c r="R2715" t="n">
        <v>0</v>
      </c>
      <c r="S2715" t="n">
        <v>0</v>
      </c>
      <c r="T2715" t="n">
        <v>0</v>
      </c>
      <c r="U2715" t="n">
        <v>1213.92</v>
      </c>
      <c r="X2715" t="inlineStr">
        <is>
          <t>aafc-aac</t>
        </is>
      </c>
      <c r="Y2715" t="inlineStr">
        <is>
          <t>Agriculture and Agri-Food Canada | Agriculture et Agroalimentaire Canada</t>
        </is>
      </c>
      <c r="Z2715" t="n">
        <v>3</v>
      </c>
      <c r="AA2715" t="n">
        <v>1213.92</v>
      </c>
      <c r="AB2715">
        <f>ROUND(U2715-AA2715,2)</f>
        <v/>
      </c>
      <c r="AC2715" t="b">
        <v>0</v>
      </c>
      <c r="AD2715">
        <f>IF(U2715="","MISSING_TOTAL",IF(ABS(AB2715)&lt;=0.01,"OK","CHECK"))</f>
        <v/>
      </c>
      <c r="AE2715">
        <f>IF(U2715="","MISSING",IF(AND(AA2715&gt;0,U2715/AA2715&gt;50),"POSSIBLE_SCALE_ERROR","OK"))</f>
        <v/>
      </c>
    </row>
    <row r="2716">
      <c r="A2716" t="inlineStr">
        <is>
          <t>T-AAFC-2027-P04-012</t>
        </is>
      </c>
      <c r="B2716" t="inlineStr">
        <is>
          <t>MPSES</t>
        </is>
      </c>
      <c r="C2716" t="inlineStr">
        <is>
          <t>Director of Communications</t>
        </is>
      </c>
      <c r="D2716" t="inlineStr">
        <is>
          <t>Directrice des communications</t>
        </is>
      </c>
      <c r="E2716" t="inlineStr">
        <is>
          <t>Jennica Klassen</t>
        </is>
      </c>
      <c r="F2716" t="inlineStr">
        <is>
          <t>To support the Minister attending various meetings and to attend the Federal-Provincial-Territorial Annual meeting</t>
        </is>
      </c>
      <c r="G2716" t="inlineStr">
        <is>
          <t>Soutenir la participation du ministre à des réunions et participer à la réunion annuelle fédérale-provinciale-territoriale</t>
        </is>
      </c>
      <c r="H2716" s="1" t="n">
        <v>46216</v>
      </c>
      <c r="I2716" s="1" t="n">
        <v>46222</v>
      </c>
      <c r="J2716" t="inlineStr">
        <is>
          <t>Charlottetown, Prince Edward Island, Canada</t>
        </is>
      </c>
      <c r="K2716" t="inlineStr">
        <is>
          <t>Charlottetown, Île-du-Prince-Édouard, Canada</t>
        </is>
      </c>
      <c r="L2716" t="inlineStr">
        <is>
          <t>Moncton, New Brunswick, Canada</t>
        </is>
      </c>
      <c r="M2716" t="inlineStr">
        <is>
          <t>Moncton, Nouveau-Brunswick, Canada</t>
        </is>
      </c>
      <c r="N2716" t="inlineStr">
        <is>
          <t>Halifax, Nova Scotia, Canada</t>
        </is>
      </c>
      <c r="O2716" t="inlineStr">
        <is>
          <t>Halifax, Nouvelle-Écosse, Canada</t>
        </is>
      </c>
      <c r="P2716" t="n">
        <v>1216.52</v>
      </c>
      <c r="Q2716" t="n">
        <v>1152.92</v>
      </c>
      <c r="R2716" t="n">
        <v>1949.28</v>
      </c>
      <c r="S2716" t="n">
        <v>810.75</v>
      </c>
      <c r="T2716" t="n">
        <v>0</v>
      </c>
      <c r="U2716" t="n">
        <v>5129.47</v>
      </c>
      <c r="X2716" t="inlineStr">
        <is>
          <t>aafc-aac</t>
        </is>
      </c>
      <c r="Y2716" t="inlineStr">
        <is>
          <t>Agriculture and Agri-Food Canada | Agriculture et Agroalimentaire Canada</t>
        </is>
      </c>
      <c r="Z2716" t="n">
        <v>7</v>
      </c>
      <c r="AA2716" t="n">
        <v>5129.47</v>
      </c>
      <c r="AB2716">
        <f>ROUND(U2716-AA2716,2)</f>
        <v/>
      </c>
      <c r="AC2716" t="b">
        <v>0</v>
      </c>
      <c r="AD2716">
        <f>IF(U2716="","MISSING_TOTAL",IF(ABS(AB2716)&lt;=0.01,"OK","CHECK"))</f>
        <v/>
      </c>
      <c r="AE2716">
        <f>IF(U2716="","MISSING",IF(AND(AA2716&gt;0,U2716/AA2716&gt;50),"POSSIBLE_SCALE_ERROR","OK"))</f>
        <v/>
      </c>
    </row>
    <row r="2717">
      <c r="A2717" t="inlineStr">
        <is>
          <t>T-AAFC-2027-P04-013</t>
        </is>
      </c>
      <c r="B2717" t="inlineStr">
        <is>
          <t>MPSES</t>
        </is>
      </c>
      <c r="C2717" t="inlineStr">
        <is>
          <t>Policy and Regional Advisor for British Columbia</t>
        </is>
      </c>
      <c r="D2717" t="inlineStr">
        <is>
          <t>Conseillère politique et régionale pour la Colombie-Britanique</t>
        </is>
      </c>
      <c r="E2717" t="inlineStr">
        <is>
          <t>Olwyn Parkinson</t>
        </is>
      </c>
      <c r="F2717" t="inlineStr">
        <is>
          <t>To support the Minister on an Outreach</t>
        </is>
      </c>
      <c r="G2717" t="inlineStr">
        <is>
          <t>Soutenir le ministre lors d'une tournée de sensibilisation</t>
        </is>
      </c>
      <c r="H2717" s="1" t="n">
        <v>46204</v>
      </c>
      <c r="I2717" s="1" t="n">
        <v>46207</v>
      </c>
      <c r="J2717" t="inlineStr">
        <is>
          <t>Vancouver, British Columbia, Canada</t>
        </is>
      </c>
      <c r="K2717" t="inlineStr">
        <is>
          <t>Vancouver, Colombie-Britannique, Canada</t>
        </is>
      </c>
      <c r="L2717" t="inlineStr">
        <is>
          <t>Kelowna, British Columbia, Canada</t>
        </is>
      </c>
      <c r="M2717" t="inlineStr">
        <is>
          <t>Kelowna, Colombie-Britannique, Canada</t>
        </is>
      </c>
      <c r="P2717" t="n">
        <v>1355.9</v>
      </c>
      <c r="Q2717" t="n">
        <v>100.41</v>
      </c>
      <c r="R2717" t="n">
        <v>1731.34</v>
      </c>
      <c r="S2717" t="n">
        <v>413.75</v>
      </c>
      <c r="T2717" t="n">
        <v>0</v>
      </c>
      <c r="U2717" t="n">
        <v>3601.4</v>
      </c>
      <c r="X2717" t="inlineStr">
        <is>
          <t>aafc-aac</t>
        </is>
      </c>
      <c r="Y2717" t="inlineStr">
        <is>
          <t>Agriculture and Agri-Food Canada | Agriculture et Agroalimentaire Canada</t>
        </is>
      </c>
      <c r="Z2717" t="n">
        <v>4</v>
      </c>
      <c r="AA2717" t="n">
        <v>3601.4</v>
      </c>
      <c r="AB2717">
        <f>ROUND(U2717-AA2717,2)</f>
        <v/>
      </c>
      <c r="AC2717" t="b">
        <v>0</v>
      </c>
      <c r="AD2717">
        <f>IF(U2717="","MISSING_TOTAL",IF(ABS(AB2717)&lt;=0.01,"OK","CHECK"))</f>
        <v/>
      </c>
      <c r="AE2717">
        <f>IF(U2717="","MISSING",IF(AND(AA2717&gt;0,U2717/AA2717&gt;50),"POSSIBLE_SCALE_ERROR","OK"))</f>
        <v/>
      </c>
    </row>
    <row r="2718">
      <c r="A2718" t="inlineStr">
        <is>
          <t>T-AAFC-2027-P04-014</t>
        </is>
      </c>
      <c r="B2718" t="inlineStr">
        <is>
          <t>MPSES</t>
        </is>
      </c>
      <c r="C2718" t="inlineStr">
        <is>
          <t>Deputy Minister</t>
        </is>
      </c>
      <c r="D2718" t="inlineStr">
        <is>
          <t>Sous-Ministre</t>
        </is>
      </c>
      <c r="E2718" t="inlineStr">
        <is>
          <t>Lawrence Hanson</t>
        </is>
      </c>
      <c r="F2718" t="inlineStr">
        <is>
          <t>To attend a regional Outreach</t>
        </is>
      </c>
      <c r="G2718" t="inlineStr">
        <is>
          <t>Participer à une tournée de sensibilisation régionale</t>
        </is>
      </c>
      <c r="H2718" s="1" t="n">
        <v>46120</v>
      </c>
      <c r="I2718" s="1" t="n">
        <v>46124</v>
      </c>
      <c r="J2718" t="inlineStr">
        <is>
          <t>Halifax, Nova Scotia, Canada</t>
        </is>
      </c>
      <c r="K2718" t="inlineStr">
        <is>
          <t>Halifax, Nouvelle-Écosse, Canada</t>
        </is>
      </c>
      <c r="P2718" t="n">
        <v>892.33</v>
      </c>
      <c r="Q2718" t="n">
        <v>0</v>
      </c>
      <c r="R2718" t="n">
        <v>711.5599999999999</v>
      </c>
      <c r="S2718" t="n">
        <v>379.2</v>
      </c>
      <c r="T2718" t="n">
        <v>0</v>
      </c>
      <c r="U2718" t="n">
        <v>1983.09</v>
      </c>
      <c r="X2718" t="inlineStr">
        <is>
          <t>aafc-aac</t>
        </is>
      </c>
      <c r="Y2718" t="inlineStr">
        <is>
          <t>Agriculture and Agri-Food Canada | Agriculture et Agroalimentaire Canada</t>
        </is>
      </c>
      <c r="Z2718" t="n">
        <v>5</v>
      </c>
      <c r="AA2718" t="n">
        <v>1983.09</v>
      </c>
      <c r="AB2718">
        <f>ROUND(U2718-AA2718,2)</f>
        <v/>
      </c>
      <c r="AC2718" t="b">
        <v>0</v>
      </c>
      <c r="AD2718">
        <f>IF(U2718="","MISSING_TOTAL",IF(ABS(AB2718)&lt;=0.01,"OK","CHECK"))</f>
        <v/>
      </c>
      <c r="AE2718">
        <f>IF(U2718="","MISSING",IF(AND(AA2718&gt;0,U2718/AA2718&gt;50),"POSSIBLE_SCALE_ERROR","OK"))</f>
        <v/>
      </c>
    </row>
    <row r="2719">
      <c r="A2719" t="inlineStr">
        <is>
          <t>T-AAFC-2027-P04-015</t>
        </is>
      </c>
      <c r="B2719" t="inlineStr">
        <is>
          <t>MPSES</t>
        </is>
      </c>
      <c r="C2719" t="inlineStr">
        <is>
          <t>Deputy Minister</t>
        </is>
      </c>
      <c r="D2719" t="inlineStr">
        <is>
          <t>Sous-Ministre</t>
        </is>
      </c>
      <c r="E2719" t="inlineStr">
        <is>
          <t>Lawrence Hanson</t>
        </is>
      </c>
      <c r="F2719" t="inlineStr">
        <is>
          <t>To support the Minister to attend an Outreach</t>
        </is>
      </c>
      <c r="G2719" t="inlineStr">
        <is>
          <t>Soutenir la participation du ministre lors d'une tournée de sensibilisation</t>
        </is>
      </c>
      <c r="H2719" s="1" t="n">
        <v>46197</v>
      </c>
      <c r="I2719" s="1" t="n">
        <v>46199</v>
      </c>
      <c r="J2719" t="inlineStr">
        <is>
          <t>Calgary, Alberta, Canada</t>
        </is>
      </c>
      <c r="K2719" t="inlineStr">
        <is>
          <t>Calgary, Alberta, Canada</t>
        </is>
      </c>
      <c r="L2719" t="inlineStr">
        <is>
          <t>Edmonton, Alberta, Canada</t>
        </is>
      </c>
      <c r="M2719" t="inlineStr">
        <is>
          <t>Edmonton, Alberta, Canada</t>
        </is>
      </c>
      <c r="P2719" t="n">
        <v>2335.32</v>
      </c>
      <c r="Q2719" t="n">
        <v>0</v>
      </c>
      <c r="R2719" t="n">
        <v>722.71</v>
      </c>
      <c r="S2719" t="n">
        <v>349.15</v>
      </c>
      <c r="T2719" t="n">
        <v>0</v>
      </c>
      <c r="U2719" t="n">
        <v>3407.18</v>
      </c>
      <c r="X2719" t="inlineStr">
        <is>
          <t>aafc-aac</t>
        </is>
      </c>
      <c r="Y2719" t="inlineStr">
        <is>
          <t>Agriculture and Agri-Food Canada | Agriculture et Agroalimentaire Canada</t>
        </is>
      </c>
      <c r="Z2719" t="n">
        <v>3</v>
      </c>
      <c r="AA2719" t="n">
        <v>3407.18</v>
      </c>
      <c r="AB2719">
        <f>ROUND(U2719-AA2719,2)</f>
        <v/>
      </c>
      <c r="AC2719" t="b">
        <v>0</v>
      </c>
      <c r="AD2719">
        <f>IF(U2719="","MISSING_TOTAL",IF(ABS(AB2719)&lt;=0.01,"OK","CHECK"))</f>
        <v/>
      </c>
      <c r="AE2719">
        <f>IF(U2719="","MISSING",IF(AND(AA2719&gt;0,U2719/AA2719&gt;50),"POSSIBLE_SCALE_ERROR","OK"))</f>
        <v/>
      </c>
    </row>
    <row r="2720">
      <c r="A2720" t="inlineStr">
        <is>
          <t>T-AAFC-2027-P04-016</t>
        </is>
      </c>
      <c r="B2720" t="inlineStr">
        <is>
          <t>MPSES</t>
        </is>
      </c>
      <c r="C2720" t="inlineStr">
        <is>
          <t>Deputy Minister</t>
        </is>
      </c>
      <c r="D2720" t="inlineStr">
        <is>
          <t>Sous-Ministre</t>
        </is>
      </c>
      <c r="E2720" t="inlineStr">
        <is>
          <t>Lawrence Hanson</t>
        </is>
      </c>
      <c r="F2720" t="inlineStr">
        <is>
          <t>To support the Minister to attend meetings</t>
        </is>
      </c>
      <c r="G2720" t="inlineStr">
        <is>
          <t>Assister le ministre à participer à des réunions</t>
        </is>
      </c>
      <c r="H2720" s="1" t="n">
        <v>46202</v>
      </c>
      <c r="I2720" s="1" t="n">
        <v>46204</v>
      </c>
      <c r="J2720" t="inlineStr">
        <is>
          <t>Charlottetown, Prince Edward Island, Canada</t>
        </is>
      </c>
      <c r="K2720" t="inlineStr">
        <is>
          <t>Charlottetown, Île-du-Prince-Édouard, Canada</t>
        </is>
      </c>
      <c r="P2720" t="n">
        <v>1690.3</v>
      </c>
      <c r="Q2720" t="n">
        <v>0</v>
      </c>
      <c r="R2720" t="n">
        <v>502.32</v>
      </c>
      <c r="S2720" t="n">
        <v>257.95</v>
      </c>
      <c r="T2720" t="n">
        <v>0</v>
      </c>
      <c r="U2720" t="n">
        <v>2450.57</v>
      </c>
      <c r="X2720" t="inlineStr">
        <is>
          <t>aafc-aac</t>
        </is>
      </c>
      <c r="Y2720" t="inlineStr">
        <is>
          <t>Agriculture and Agri-Food Canada | Agriculture et Agroalimentaire Canada</t>
        </is>
      </c>
      <c r="Z2720" t="n">
        <v>3</v>
      </c>
      <c r="AA2720" t="n">
        <v>2450.56999999999</v>
      </c>
      <c r="AB2720">
        <f>ROUND(U2720-AA2720,2)</f>
        <v/>
      </c>
      <c r="AC2720" t="b">
        <v>0</v>
      </c>
      <c r="AD2720">
        <f>IF(U2720="","MISSING_TOTAL",IF(ABS(AB2720)&lt;=0.01,"OK","CHECK"))</f>
        <v/>
      </c>
      <c r="AE2720">
        <f>IF(U2720="","MISSING",IF(AND(AA2720&gt;0,U2720/AA2720&gt;50),"POSSIBLE_SCALE_ERROR","OK"))</f>
        <v/>
      </c>
    </row>
    <row r="2721">
      <c r="A2721" t="inlineStr">
        <is>
          <t>T-AAFC-2027-P04-017</t>
        </is>
      </c>
      <c r="B2721" t="inlineStr">
        <is>
          <t>MPSES</t>
        </is>
      </c>
      <c r="C2721" t="inlineStr">
        <is>
          <t>Deputy Minister</t>
        </is>
      </c>
      <c r="D2721" t="inlineStr">
        <is>
          <t>Sous-Ministre</t>
        </is>
      </c>
      <c r="E2721" t="inlineStr">
        <is>
          <t>Lawrence Hanson</t>
        </is>
      </c>
      <c r="F2721" t="inlineStr">
        <is>
          <t>To support the Minister to attend an Outreach and the Calgary Stampede</t>
        </is>
      </c>
      <c r="G2721" t="inlineStr">
        <is>
          <t>Soutenir la participation du ministre lors d'une tournée de sensibilisation et au Calgary Stampede</t>
        </is>
      </c>
      <c r="H2721" s="1" t="n">
        <v>46207</v>
      </c>
      <c r="I2721" s="1" t="n">
        <v>46215</v>
      </c>
      <c r="J2721" t="inlineStr">
        <is>
          <t>Calgary, Alberta, Canada</t>
        </is>
      </c>
      <c r="K2721" t="inlineStr">
        <is>
          <t>Calgary, Alberta, Canada</t>
        </is>
      </c>
      <c r="L2721" t="inlineStr">
        <is>
          <t>Banff, Alberta, Canada</t>
        </is>
      </c>
      <c r="M2721" t="inlineStr">
        <is>
          <t>Banff, Alberta, Canada</t>
        </is>
      </c>
      <c r="P2721" t="n">
        <v>1181.96</v>
      </c>
      <c r="Q2721" t="n">
        <v>48</v>
      </c>
      <c r="R2721" t="n">
        <v>5924.18</v>
      </c>
      <c r="S2721" t="n">
        <v>689.5</v>
      </c>
      <c r="T2721" t="n">
        <v>0</v>
      </c>
      <c r="U2721" t="n">
        <v>7843.64</v>
      </c>
      <c r="X2721" t="inlineStr">
        <is>
          <t>aafc-aac</t>
        </is>
      </c>
      <c r="Y2721" t="inlineStr">
        <is>
          <t>Agriculture and Agri-Food Canada | Agriculture et Agroalimentaire Canada</t>
        </is>
      </c>
      <c r="Z2721" t="n">
        <v>9</v>
      </c>
      <c r="AA2721" t="n">
        <v>7843.64</v>
      </c>
      <c r="AB2721">
        <f>ROUND(U2721-AA2721,2)</f>
        <v/>
      </c>
      <c r="AC2721" t="b">
        <v>0</v>
      </c>
      <c r="AD2721">
        <f>IF(U2721="","MISSING_TOTAL",IF(ABS(AB2721)&lt;=0.01,"OK","CHECK"))</f>
        <v/>
      </c>
      <c r="AE2721">
        <f>IF(U2721="","MISSING",IF(AND(AA2721&gt;0,U2721/AA2721&gt;50),"POSSIBLE_SCALE_ERROR","OK"))</f>
        <v/>
      </c>
    </row>
    <row r="2722">
      <c r="A2722" t="inlineStr">
        <is>
          <t>T-AAFC-2027-P04-018</t>
        </is>
      </c>
      <c r="B2722" t="inlineStr">
        <is>
          <t>MPSES</t>
        </is>
      </c>
      <c r="C2722" t="inlineStr">
        <is>
          <t>Deputy Minister</t>
        </is>
      </c>
      <c r="D2722" t="inlineStr">
        <is>
          <t>Sous-Ministre</t>
        </is>
      </c>
      <c r="E2722" t="inlineStr">
        <is>
          <t>Lawrence Hanson</t>
        </is>
      </c>
      <c r="F2722" t="inlineStr">
        <is>
          <t>To support the Minister attending various meetings and to attend the Federal-Provincial-Territorial Annual meeting</t>
        </is>
      </c>
      <c r="G2722" t="inlineStr">
        <is>
          <t>Soutenir la participation du ministre à des réunions et participer à la réunion annuelle fédérale-provinciale-territoriale</t>
        </is>
      </c>
      <c r="H2722" s="1" t="n">
        <v>46217</v>
      </c>
      <c r="I2722" s="1" t="n">
        <v>46220</v>
      </c>
      <c r="J2722" t="inlineStr">
        <is>
          <t>Charlottetown, Prince Edward Island, Canada</t>
        </is>
      </c>
      <c r="K2722" t="inlineStr">
        <is>
          <t>Charlottetown, Île-du-Prince-Édouard, Canada</t>
        </is>
      </c>
      <c r="L2722" t="inlineStr">
        <is>
          <t>Halifax, Nova Scotia, Canada</t>
        </is>
      </c>
      <c r="M2722" t="inlineStr">
        <is>
          <t>Halifax, Nouvelle-Écosse, Canada</t>
        </is>
      </c>
      <c r="P2722" t="n">
        <v>977.51</v>
      </c>
      <c r="Q2722" t="n">
        <v>54.16</v>
      </c>
      <c r="R2722" t="n">
        <v>912.36</v>
      </c>
      <c r="S2722" t="n">
        <v>315.15</v>
      </c>
      <c r="T2722" t="n">
        <v>0</v>
      </c>
      <c r="U2722" t="n">
        <v>2259.18</v>
      </c>
      <c r="X2722" t="inlineStr">
        <is>
          <t>aafc-aac</t>
        </is>
      </c>
      <c r="Y2722" t="inlineStr">
        <is>
          <t>Agriculture and Agri-Food Canada | Agriculture et Agroalimentaire Canada</t>
        </is>
      </c>
      <c r="Z2722" t="n">
        <v>4</v>
      </c>
      <c r="AA2722" t="n">
        <v>2259.18</v>
      </c>
      <c r="AB2722">
        <f>ROUND(U2722-AA2722,2)</f>
        <v/>
      </c>
      <c r="AC2722" t="b">
        <v>0</v>
      </c>
      <c r="AD2722">
        <f>IF(U2722="","MISSING_TOTAL",IF(ABS(AB2722)&lt;=0.01,"OK","CHECK"))</f>
        <v/>
      </c>
      <c r="AE2722">
        <f>IF(U2722="","MISSING",IF(AND(AA2722&gt;0,U2722/AA2722&gt;50),"POSSIBLE_SCALE_ERROR","OK"))</f>
        <v/>
      </c>
    </row>
    <row r="2723">
      <c r="A2723" t="inlineStr">
        <is>
          <t>T-AAFC-2027-P04-019</t>
        </is>
      </c>
      <c r="B2723" t="inlineStr">
        <is>
          <t>SLE</t>
        </is>
      </c>
      <c r="C2723" t="inlineStr">
        <is>
          <t>Assistant Deputy Minister, Science and Technology Branch</t>
        </is>
      </c>
      <c r="D2723" t="inlineStr">
        <is>
          <t>Sous-ministre adjointe, Direction générale des sciences et de la technologie</t>
        </is>
      </c>
      <c r="E2723" t="inlineStr">
        <is>
          <t>Arran McPherson</t>
        </is>
      </c>
      <c r="F2723" t="inlineStr">
        <is>
          <t>To attend Annual Tetrapartite meeting of the Heads of National Agriculture Research organization from Canada, United State, France and the United Kingdom</t>
        </is>
      </c>
      <c r="G2723" t="inlineStr">
        <is>
          <t>Participer à la réunion annuelle tétrapartite des chefs des organisations nationales de recherche agricole du Canada, des États-Unis, de la France et du Royaume-Uni.</t>
        </is>
      </c>
      <c r="H2723" s="1" t="n">
        <v>46186</v>
      </c>
      <c r="I2723" s="1" t="n">
        <v>46191</v>
      </c>
      <c r="J2723" t="inlineStr">
        <is>
          <t>Norwich, England, United Kingdom</t>
        </is>
      </c>
      <c r="K2723" t="inlineStr">
        <is>
          <t>Norwich, Angleterre, Royaume-Uni</t>
        </is>
      </c>
      <c r="P2723" t="n">
        <v>4027.87</v>
      </c>
      <c r="Q2723" t="n">
        <v>51.52</v>
      </c>
      <c r="R2723" t="n">
        <v>1083.43</v>
      </c>
      <c r="S2723" t="n">
        <v>480.12</v>
      </c>
      <c r="T2723" t="n">
        <v>38.83</v>
      </c>
      <c r="U2723" t="n">
        <v>5681.77</v>
      </c>
      <c r="X2723" t="inlineStr">
        <is>
          <t>aafc-aac</t>
        </is>
      </c>
      <c r="Y2723" t="inlineStr">
        <is>
          <t>Agriculture and Agri-Food Canada | Agriculture et Agroalimentaire Canada</t>
        </is>
      </c>
      <c r="Z2723" t="n">
        <v>6</v>
      </c>
      <c r="AA2723" t="n">
        <v>5681.76999999999</v>
      </c>
      <c r="AB2723">
        <f>ROUND(U2723-AA2723,2)</f>
        <v/>
      </c>
      <c r="AC2723" t="b">
        <v>0</v>
      </c>
      <c r="AD2723">
        <f>IF(U2723="","MISSING_TOTAL",IF(ABS(AB2723)&lt;=0.01,"OK","CHECK"))</f>
        <v/>
      </c>
      <c r="AE2723">
        <f>IF(U2723="","MISSING",IF(AND(AA2723&gt;0,U2723/AA2723&gt;50),"POSSIBLE_SCALE_ERROR","OK"))</f>
        <v/>
      </c>
    </row>
    <row r="2724">
      <c r="A2724" t="inlineStr">
        <is>
          <t>T-AAFC-2027-P04-020</t>
        </is>
      </c>
      <c r="B2724" t="inlineStr">
        <is>
          <t>SLE</t>
        </is>
      </c>
      <c r="C2724" t="inlineStr">
        <is>
          <t>Assistant Deputy Minister, International Affairs Branch</t>
        </is>
      </c>
      <c r="D2724" t="inlineStr">
        <is>
          <t>Sous-ministre adjointe, Direction générale des affaires internationales</t>
        </is>
      </c>
      <c r="E2724" t="inlineStr">
        <is>
          <t>Chris Moran</t>
        </is>
      </c>
      <c r="F2724" t="inlineStr">
        <is>
          <t>To participate in International Engagement Strategy activities</t>
        </is>
      </c>
      <c r="G2724" t="inlineStr">
        <is>
          <t>Participer aux activités liées à la stratégie d’engagement international</t>
        </is>
      </c>
      <c r="H2724" s="1" t="n">
        <v>46194</v>
      </c>
      <c r="I2724" s="1" t="n">
        <v>46196</v>
      </c>
      <c r="J2724" t="inlineStr">
        <is>
          <t>Geneva, Switzerland</t>
        </is>
      </c>
      <c r="K2724" t="inlineStr">
        <is>
          <t>Genève, Suisse</t>
        </is>
      </c>
      <c r="P2724" t="n">
        <v>4611.73</v>
      </c>
      <c r="Q2724" t="n">
        <v>39.29</v>
      </c>
      <c r="R2724" t="n">
        <v>580.54</v>
      </c>
      <c r="S2724" t="n">
        <v>509.06</v>
      </c>
      <c r="T2724" t="n">
        <v>0</v>
      </c>
      <c r="U2724" t="n">
        <v>5740.62</v>
      </c>
      <c r="X2724" t="inlineStr">
        <is>
          <t>aafc-aac</t>
        </is>
      </c>
      <c r="Y2724" t="inlineStr">
        <is>
          <t>Agriculture and Agri-Food Canada | Agriculture et Agroalimentaire Canada</t>
        </is>
      </c>
      <c r="Z2724" t="n">
        <v>3</v>
      </c>
      <c r="AA2724" t="n">
        <v>5740.62</v>
      </c>
      <c r="AB2724">
        <f>ROUND(U2724-AA2724,2)</f>
        <v/>
      </c>
      <c r="AC2724" t="b">
        <v>0</v>
      </c>
      <c r="AD2724">
        <f>IF(U2724="","MISSING_TOTAL",IF(ABS(AB2724)&lt;=0.01,"OK","CHECK"))</f>
        <v/>
      </c>
      <c r="AE2724">
        <f>IF(U2724="","MISSING",IF(AND(AA2724&gt;0,U2724/AA2724&gt;50),"POSSIBLE_SCALE_ERROR","OK"))</f>
        <v/>
      </c>
    </row>
    <row r="2725">
      <c r="A2725" t="inlineStr">
        <is>
          <t>T-AAFC-2027-P04-021</t>
        </is>
      </c>
      <c r="B2725" t="inlineStr">
        <is>
          <t>SLE</t>
        </is>
      </c>
      <c r="C2725" t="inlineStr">
        <is>
          <t>Assistant Deputy Minister, Public Affairs Branch</t>
        </is>
      </c>
      <c r="D2725" t="inlineStr">
        <is>
          <t>Sous-ministre adjointe, Direction générale des affaires publiques</t>
        </is>
      </c>
      <c r="E2725" t="inlineStr">
        <is>
          <t>Mary Dila</t>
        </is>
      </c>
      <c r="F2725" t="inlineStr">
        <is>
          <t>To attend the annual conference of Federal, Provincial and Territorial (FPT) Ministers of Agriculture</t>
        </is>
      </c>
      <c r="G2725" t="inlineStr">
        <is>
          <t>Assister à la conférence annuelle des ministres fédéral, provinciaux at territoriaux de l'Agriculture</t>
        </is>
      </c>
      <c r="H2725" s="1" t="n">
        <v>46217</v>
      </c>
      <c r="I2725" s="1" t="n">
        <v>46221</v>
      </c>
      <c r="J2725" t="inlineStr">
        <is>
          <t>Halifax, Nova Scotia, Canada</t>
        </is>
      </c>
      <c r="K2725" t="inlineStr">
        <is>
          <t>Halifax, Nouvelle-Écosse, Canada</t>
        </is>
      </c>
      <c r="P2725" t="n">
        <v>618.7</v>
      </c>
      <c r="Q2725" t="n">
        <v>141.96</v>
      </c>
      <c r="R2725" t="n">
        <v>1216.48</v>
      </c>
      <c r="S2725" t="n">
        <v>458.7</v>
      </c>
      <c r="T2725" t="n">
        <v>0</v>
      </c>
      <c r="U2725" t="n">
        <v>2435.84</v>
      </c>
      <c r="X2725" t="inlineStr">
        <is>
          <t>aafc-aac</t>
        </is>
      </c>
      <c r="Y2725" t="inlineStr">
        <is>
          <t>Agriculture and Agri-Food Canada | Agriculture et Agroalimentaire Canada</t>
        </is>
      </c>
      <c r="Z2725" t="n">
        <v>5</v>
      </c>
      <c r="AA2725" t="n">
        <v>2435.84</v>
      </c>
      <c r="AB2725">
        <f>ROUND(U2725-AA2725,2)</f>
        <v/>
      </c>
      <c r="AC2725" t="b">
        <v>0</v>
      </c>
      <c r="AD2725">
        <f>IF(U2725="","MISSING_TOTAL",IF(ABS(AB2725)&lt;=0.01,"OK","CHECK"))</f>
        <v/>
      </c>
      <c r="AE2725">
        <f>IF(U2725="","MISSING",IF(AND(AA2725&gt;0,U2725/AA2725&gt;50),"POSSIBLE_SCALE_ERROR","OK"))</f>
        <v/>
      </c>
    </row>
    <row r="2726">
      <c r="A2726" t="inlineStr">
        <is>
          <t>T-AAFC-2027-P04-022</t>
        </is>
      </c>
      <c r="B2726" t="inlineStr">
        <is>
          <t>SLE</t>
        </is>
      </c>
      <c r="C2726" t="inlineStr">
        <is>
          <t>Assistant Deputy Minister, Strategic Policy Branch</t>
        </is>
      </c>
      <c r="D2726" t="inlineStr">
        <is>
          <t>Sous-ministre adjointe, Direction générale des politiques stratégiques</t>
        </is>
      </c>
      <c r="E2726" t="inlineStr">
        <is>
          <t>Shannon Nix</t>
        </is>
      </c>
      <c r="F2726" t="inlineStr">
        <is>
          <t>To attend Deputy Minister and Ministerial meetings</t>
        </is>
      </c>
      <c r="G2726" t="inlineStr">
        <is>
          <t>Assister aux réunions du sous-ministre et des réunions ministérielles</t>
        </is>
      </c>
      <c r="H2726" s="1" t="n">
        <v>46181</v>
      </c>
      <c r="I2726" s="1" t="n">
        <v>46188</v>
      </c>
      <c r="J2726" t="inlineStr">
        <is>
          <t>Ottawa, Ontario, Canada</t>
        </is>
      </c>
      <c r="K2726" t="inlineStr">
        <is>
          <t>Ottawa, Ontario, Canada</t>
        </is>
      </c>
      <c r="P2726" t="n">
        <v>0</v>
      </c>
      <c r="Q2726" t="n">
        <v>27.3</v>
      </c>
      <c r="R2726" t="n">
        <v>0</v>
      </c>
      <c r="S2726" t="n">
        <v>0</v>
      </c>
      <c r="T2726" t="n">
        <v>0</v>
      </c>
      <c r="U2726" t="n">
        <v>27.3</v>
      </c>
      <c r="X2726" t="inlineStr">
        <is>
          <t>aafc-aac</t>
        </is>
      </c>
      <c r="Y2726" t="inlineStr">
        <is>
          <t>Agriculture and Agri-Food Canada | Agriculture et Agroalimentaire Canada</t>
        </is>
      </c>
      <c r="Z2726" t="n">
        <v>8</v>
      </c>
      <c r="AA2726" t="n">
        <v>27.3</v>
      </c>
      <c r="AB2726">
        <f>ROUND(U2726-AA2726,2)</f>
        <v/>
      </c>
      <c r="AC2726" t="b">
        <v>0</v>
      </c>
      <c r="AD2726">
        <f>IF(U2726="","MISSING_TOTAL",IF(ABS(AB2726)&lt;=0.01,"OK","CHECK"))</f>
        <v/>
      </c>
      <c r="AE2726">
        <f>IF(U2726="","MISSING",IF(AND(AA2726&gt;0,U2726/AA2726&gt;50),"POSSIBLE_SCALE_ERROR","OK"))</f>
        <v/>
      </c>
    </row>
    <row r="2727">
      <c r="A2727" t="inlineStr">
        <is>
          <t>T-AAFC-2027-P04-023</t>
        </is>
      </c>
      <c r="B2727" t="inlineStr">
        <is>
          <t>SLE</t>
        </is>
      </c>
      <c r="C2727" t="inlineStr">
        <is>
          <t>Assistant Deputy Minister, Strategic Policy Branch</t>
        </is>
      </c>
      <c r="D2727" t="inlineStr">
        <is>
          <t>Sous-ministre adjointe, Direction générale des politiques stratégiques</t>
        </is>
      </c>
      <c r="E2727" t="inlineStr">
        <is>
          <t>Shannon Nix</t>
        </is>
      </c>
      <c r="F2727" t="inlineStr">
        <is>
          <t>To attend the annual conference of Federal, Provincial and Territorial (FPT) Ministers of Agriculture</t>
        </is>
      </c>
      <c r="G2727" t="inlineStr">
        <is>
          <t>Assister à la conférence annuelle des ministres fédéral, provinciaux at territoriaux de l'Agriculture</t>
        </is>
      </c>
      <c r="H2727" s="1" t="n">
        <v>46217</v>
      </c>
      <c r="I2727" s="1" t="n">
        <v>46220</v>
      </c>
      <c r="J2727" t="inlineStr">
        <is>
          <t>Halifax, Nova Scotia, Canada</t>
        </is>
      </c>
      <c r="K2727" t="inlineStr">
        <is>
          <t>Halifax, Nouvelle-Écosse, Canada</t>
        </is>
      </c>
      <c r="P2727" t="n">
        <v>1077.03</v>
      </c>
      <c r="Q2727" t="n">
        <v>205.77</v>
      </c>
      <c r="R2727" t="n">
        <v>912.36</v>
      </c>
      <c r="S2727" t="n">
        <v>404.2</v>
      </c>
      <c r="T2727" t="n">
        <v>0</v>
      </c>
      <c r="U2727" t="n">
        <v>2599.36</v>
      </c>
      <c r="X2727" t="inlineStr">
        <is>
          <t>aafc-aac</t>
        </is>
      </c>
      <c r="Y2727" t="inlineStr">
        <is>
          <t>Agriculture and Agri-Food Canada | Agriculture et Agroalimentaire Canada</t>
        </is>
      </c>
      <c r="Z2727" t="n">
        <v>4</v>
      </c>
      <c r="AA2727" t="n">
        <v>2599.35999999999</v>
      </c>
      <c r="AB2727">
        <f>ROUND(U2727-AA2727,2)</f>
        <v/>
      </c>
      <c r="AC2727" t="b">
        <v>0</v>
      </c>
      <c r="AD2727">
        <f>IF(U2727="","MISSING_TOTAL",IF(ABS(AB2727)&lt;=0.01,"OK","CHECK"))</f>
        <v/>
      </c>
      <c r="AE2727">
        <f>IF(U2727="","MISSING",IF(AND(AA2727&gt;0,U2727/AA2727&gt;50),"POSSIBLE_SCALE_ERROR","OK"))</f>
        <v/>
      </c>
    </row>
    <row r="2728">
      <c r="A2728" t="inlineStr">
        <is>
          <t>T-AAFC-2027-P04-024</t>
        </is>
      </c>
      <c r="B2728" t="inlineStr">
        <is>
          <t>SLE</t>
        </is>
      </c>
      <c r="C2728" t="inlineStr">
        <is>
          <t>Assistant Deputy Minister, Market and Industry Services Branch</t>
        </is>
      </c>
      <c r="D2728" t="inlineStr">
        <is>
          <t>Sous-ministre adjoint, Direction générale des services à l'industrie et aux marchés</t>
        </is>
      </c>
      <c r="E2728" t="inlineStr">
        <is>
          <t>Tom Rosser</t>
        </is>
      </c>
      <c r="F2728" t="inlineStr">
        <is>
          <t>To participate as a panelist at the the Center for Strategic and International Studies (CSIS)</t>
        </is>
      </c>
      <c r="G2728" t="inlineStr">
        <is>
          <t>Participer à titre de panéliste au Centre d'études stratégiques et internationales (CESI)</t>
        </is>
      </c>
      <c r="H2728" s="1" t="n">
        <v>46195</v>
      </c>
      <c r="I2728" s="1" t="n">
        <v>46197</v>
      </c>
      <c r="J2728" t="inlineStr">
        <is>
          <t>Washington, District of Columbia, United States</t>
        </is>
      </c>
      <c r="K2728" t="inlineStr">
        <is>
          <t>Washington, District de Columbia, États-Unis</t>
        </is>
      </c>
      <c r="P2728" t="n">
        <v>1439.3</v>
      </c>
      <c r="Q2728" t="n">
        <v>180.24</v>
      </c>
      <c r="R2728" t="n">
        <v>1735.14</v>
      </c>
      <c r="S2728" t="n">
        <v>441.01</v>
      </c>
      <c r="T2728" t="n">
        <v>0</v>
      </c>
      <c r="U2728" t="n">
        <v>3795.69</v>
      </c>
      <c r="X2728" t="inlineStr">
        <is>
          <t>aafc-aac</t>
        </is>
      </c>
      <c r="Y2728" t="inlineStr">
        <is>
          <t>Agriculture and Agri-Food Canada | Agriculture et Agroalimentaire Canada</t>
        </is>
      </c>
      <c r="Z2728" t="n">
        <v>3</v>
      </c>
      <c r="AA2728" t="n">
        <v>3795.69</v>
      </c>
      <c r="AB2728">
        <f>ROUND(U2728-AA2728,2)</f>
        <v/>
      </c>
      <c r="AC2728" t="b">
        <v>0</v>
      </c>
      <c r="AD2728">
        <f>IF(U2728="","MISSING_TOTAL",IF(ABS(AB2728)&lt;=0.01,"OK","CHECK"))</f>
        <v/>
      </c>
      <c r="AE2728">
        <f>IF(U2728="","MISSING",IF(AND(AA2728&gt;0,U2728/AA2728&gt;50),"POSSIBLE_SCALE_ERROR","OK"))</f>
        <v/>
      </c>
    </row>
    <row r="2729">
      <c r="A2729" t="inlineStr">
        <is>
          <t>T-AAFC-2027-P04-025</t>
        </is>
      </c>
      <c r="B2729" t="inlineStr">
        <is>
          <t>SLE</t>
        </is>
      </c>
      <c r="C2729" t="inlineStr">
        <is>
          <t>Director General, Human Resources Branch</t>
        </is>
      </c>
      <c r="D2729" t="inlineStr">
        <is>
          <t>Directeur général, Direction générale des ressources humaines</t>
        </is>
      </c>
      <c r="E2729" t="inlineStr">
        <is>
          <t>Alec Nicholls</t>
        </is>
      </c>
      <c r="F2729" t="inlineStr">
        <is>
          <t>To attend meetings</t>
        </is>
      </c>
      <c r="G2729" t="inlineStr">
        <is>
          <t>Assister à des réunions</t>
        </is>
      </c>
      <c r="H2729" s="1" t="n">
        <v>46183</v>
      </c>
      <c r="I2729" s="1" t="n">
        <v>46184</v>
      </c>
      <c r="J2729" t="inlineStr">
        <is>
          <t>Winnipeg, Manitoba, Canada</t>
        </is>
      </c>
      <c r="K2729" t="inlineStr">
        <is>
          <t>Winnipeg, Manitoba, Canada</t>
        </is>
      </c>
      <c r="P2729" t="n">
        <v>448.67</v>
      </c>
      <c r="Q2729" t="n">
        <v>106.25</v>
      </c>
      <c r="R2729" t="n">
        <v>667.3200000000001</v>
      </c>
      <c r="S2729" t="n">
        <v>233.5</v>
      </c>
      <c r="T2729" t="n">
        <v>0</v>
      </c>
      <c r="U2729" t="n">
        <v>1455.74</v>
      </c>
      <c r="X2729" t="inlineStr">
        <is>
          <t>aafc-aac</t>
        </is>
      </c>
      <c r="Y2729" t="inlineStr">
        <is>
          <t>Agriculture and Agri-Food Canada | Agriculture et Agroalimentaire Canada</t>
        </is>
      </c>
      <c r="Z2729" t="n">
        <v>2</v>
      </c>
      <c r="AA2729" t="n">
        <v>1455.74</v>
      </c>
      <c r="AB2729">
        <f>ROUND(U2729-AA2729,2)</f>
        <v/>
      </c>
      <c r="AC2729" t="b">
        <v>0</v>
      </c>
      <c r="AD2729">
        <f>IF(U2729="","MISSING_TOTAL",IF(ABS(AB2729)&lt;=0.01,"OK","CHECK"))</f>
        <v/>
      </c>
      <c r="AE2729">
        <f>IF(U2729="","MISSING",IF(AND(AA2729&gt;0,U2729/AA2729&gt;50),"POSSIBLE_SCALE_ERROR","OK"))</f>
        <v/>
      </c>
    </row>
    <row r="2730">
      <c r="A2730" t="inlineStr">
        <is>
          <t>T-2017-Q3-00054</t>
        </is>
      </c>
      <c r="B2730" t="inlineStr">
        <is>
          <t>SLE</t>
        </is>
      </c>
      <c r="C2730" t="inlineStr">
        <is>
          <t>Vice-President, Policy and Programs</t>
        </is>
      </c>
      <c r="D2730" t="inlineStr">
        <is>
          <t>Vice-président, Politiques et Programmes</t>
        </is>
      </c>
      <c r="E2730" t="inlineStr">
        <is>
          <t>Daryell Nowlan</t>
        </is>
      </c>
      <c r="F2730" t="inlineStr">
        <is>
          <t>Meetings with Government of Canada officials</t>
        </is>
      </c>
      <c r="G2730" t="inlineStr">
        <is>
          <t>Réunions avec des fonctionnaires du gouvernement du Canada</t>
        </is>
      </c>
      <c r="H2730" s="1" t="n">
        <v>42697</v>
      </c>
      <c r="I2730" s="1" t="n">
        <v>42698</v>
      </c>
      <c r="J2730" t="inlineStr">
        <is>
          <t>Ottawa, Ontario</t>
        </is>
      </c>
      <c r="K2730" t="inlineStr">
        <is>
          <t>Ottawa (Ontario)</t>
        </is>
      </c>
      <c r="P2730" t="n">
        <v>694.6</v>
      </c>
      <c r="Q2730" t="n">
        <v>97.26000000000001</v>
      </c>
      <c r="R2730" t="n">
        <v>231.62</v>
      </c>
      <c r="S2730" t="n">
        <v>114.65</v>
      </c>
      <c r="T2730" t="n">
        <v>0</v>
      </c>
      <c r="U2730" t="n">
        <v>1138.13</v>
      </c>
      <c r="X2730" t="inlineStr">
        <is>
          <t>acoa-apeca</t>
        </is>
      </c>
      <c r="Y2730" t="inlineStr">
        <is>
          <t>Atlantic Canada Opportunities Agency | Agence de promotion économique du Canada atlantique</t>
        </is>
      </c>
      <c r="Z2730" t="n">
        <v>2</v>
      </c>
      <c r="AA2730" t="n">
        <v>1138.13</v>
      </c>
      <c r="AB2730">
        <f>ROUND(U2730-AA2730,2)</f>
        <v/>
      </c>
      <c r="AC2730" t="b">
        <v>0</v>
      </c>
      <c r="AD2730">
        <f>IF(U2730="","MISSING_TOTAL",IF(ABS(AB2730)&lt;=0.01,"OK","CHECK"))</f>
        <v/>
      </c>
      <c r="AE2730">
        <f>IF(U2730="","MISSING",IF(AND(AA2730&gt;0,U2730/AA2730&gt;50),"POSSIBLE_SCALE_ERROR","OK"))</f>
        <v/>
      </c>
    </row>
    <row r="2731">
      <c r="A2731" t="inlineStr">
        <is>
          <t>T-2017-Q3-00050</t>
        </is>
      </c>
      <c r="B2731" t="inlineStr">
        <is>
          <t>SLE</t>
        </is>
      </c>
      <c r="C2731" t="inlineStr">
        <is>
          <t>Vice-President, Prince Edward Island</t>
        </is>
      </c>
      <c r="D2731" t="inlineStr">
        <is>
          <t>Vice-président, Île-du-Prince-Édouard</t>
        </is>
      </c>
      <c r="E2731" t="inlineStr">
        <is>
          <t>Patrick Dorsey</t>
        </is>
      </c>
      <c r="F2731" t="inlineStr">
        <is>
          <t>Meetings with Government of Canada officials and provincial officials</t>
        </is>
      </c>
      <c r="G2731" t="inlineStr">
        <is>
          <t>Réunions avec des fonctionnaires des gouvernements fédéral et provincial</t>
        </is>
      </c>
      <c r="H2731" s="1" t="n">
        <v>42689</v>
      </c>
      <c r="I2731" s="1" t="n">
        <v>42691</v>
      </c>
      <c r="J2731" t="inlineStr">
        <is>
          <t>Ottawa, Ontario</t>
        </is>
      </c>
      <c r="K2731" t="inlineStr">
        <is>
          <t>Ottawa (Ontario)</t>
        </is>
      </c>
      <c r="P2731" t="n">
        <v>763.38</v>
      </c>
      <c r="Q2731" t="n">
        <v>130.1</v>
      </c>
      <c r="R2731" t="n">
        <v>382.92</v>
      </c>
      <c r="S2731" t="n">
        <v>240.05</v>
      </c>
      <c r="T2731" t="n">
        <v>0</v>
      </c>
      <c r="U2731" t="n">
        <v>1516.45</v>
      </c>
      <c r="X2731" t="inlineStr">
        <is>
          <t>acoa-apeca</t>
        </is>
      </c>
      <c r="Y2731" t="inlineStr">
        <is>
          <t>Atlantic Canada Opportunities Agency | Agence de promotion économique du Canada atlantique</t>
        </is>
      </c>
      <c r="Z2731" t="n">
        <v>3</v>
      </c>
      <c r="AA2731" t="n">
        <v>1516.45</v>
      </c>
      <c r="AB2731">
        <f>ROUND(U2731-AA2731,2)</f>
        <v/>
      </c>
      <c r="AC2731" t="b">
        <v>0</v>
      </c>
      <c r="AD2731">
        <f>IF(U2731="","MISSING_TOTAL",IF(ABS(AB2731)&lt;=0.01,"OK","CHECK"))</f>
        <v/>
      </c>
      <c r="AE2731">
        <f>IF(U2731="","MISSING",IF(AND(AA2731&gt;0,U2731/AA2731&gt;50),"POSSIBLE_SCALE_ERROR","OK"))</f>
        <v/>
      </c>
    </row>
    <row r="2732">
      <c r="A2732" t="inlineStr">
        <is>
          <t>T-2017-Q3-00049</t>
        </is>
      </c>
      <c r="B2732" t="inlineStr">
        <is>
          <t>SLE</t>
        </is>
      </c>
      <c r="C2732" t="inlineStr">
        <is>
          <t>Vice-President, Policy and Programs</t>
        </is>
      </c>
      <c r="D2732" t="inlineStr">
        <is>
          <t>Vice-président, Politiques et Programmes</t>
        </is>
      </c>
      <c r="E2732" t="inlineStr">
        <is>
          <t>Daryell Nowlan</t>
        </is>
      </c>
      <c r="F2732" t="inlineStr">
        <is>
          <t>Meetings with Government of Canada officials</t>
        </is>
      </c>
      <c r="G2732" t="inlineStr">
        <is>
          <t>Réunions avec des fonctionnaires du gouvernement du Canada</t>
        </is>
      </c>
      <c r="H2732" s="1" t="n">
        <v>42688</v>
      </c>
      <c r="I2732" s="1" t="n">
        <v>42692</v>
      </c>
      <c r="J2732" t="inlineStr">
        <is>
          <t>Ottawa, Ontario</t>
        </is>
      </c>
      <c r="K2732" t="inlineStr">
        <is>
          <t>Ottawa (Ontario)</t>
        </is>
      </c>
      <c r="P2732" t="n">
        <v>662.1799999999999</v>
      </c>
      <c r="Q2732" t="n">
        <v>80</v>
      </c>
      <c r="R2732" t="n">
        <v>1019.58</v>
      </c>
      <c r="S2732" t="n">
        <v>337.7</v>
      </c>
      <c r="T2732" t="n">
        <v>0</v>
      </c>
      <c r="U2732" t="n">
        <v>2099.46</v>
      </c>
      <c r="X2732" t="inlineStr">
        <is>
          <t>acoa-apeca</t>
        </is>
      </c>
      <c r="Y2732" t="inlineStr">
        <is>
          <t>Atlantic Canada Opportunities Agency | Agence de promotion économique du Canada atlantique</t>
        </is>
      </c>
      <c r="Z2732" t="n">
        <v>5</v>
      </c>
      <c r="AA2732" t="n">
        <v>2099.46</v>
      </c>
      <c r="AB2732">
        <f>ROUND(U2732-AA2732,2)</f>
        <v/>
      </c>
      <c r="AC2732" t="b">
        <v>0</v>
      </c>
      <c r="AD2732">
        <f>IF(U2732="","MISSING_TOTAL",IF(ABS(AB2732)&lt;=0.01,"OK","CHECK"))</f>
        <v/>
      </c>
      <c r="AE2732">
        <f>IF(U2732="","MISSING",IF(AND(AA2732&gt;0,U2732/AA2732&gt;50),"POSSIBLE_SCALE_ERROR","OK"))</f>
        <v/>
      </c>
    </row>
    <row r="2733">
      <c r="A2733" t="inlineStr">
        <is>
          <t>T-2017-Q3-00047</t>
        </is>
      </c>
      <c r="B2733" t="inlineStr">
        <is>
          <t>SLE</t>
        </is>
      </c>
      <c r="C2733" t="inlineStr">
        <is>
          <t>Vice President, Nova Scotia</t>
        </is>
      </c>
      <c r="D2733" t="inlineStr">
        <is>
          <t>Vice-président, Nouvelle-Écosse</t>
        </is>
      </c>
      <c r="E2733" t="inlineStr">
        <is>
          <t>Peter Hogan</t>
        </is>
      </c>
      <c r="F2733" t="inlineStr">
        <is>
          <t>Various meetings with Agency officials and Government of Canada officials</t>
        </is>
      </c>
      <c r="G2733" t="inlineStr">
        <is>
          <t>Diverses réunions avec des fonctionnaires de l'Agence et du gouvernement du Canada</t>
        </is>
      </c>
      <c r="H2733" s="1" t="n">
        <v>42683</v>
      </c>
      <c r="I2733" s="1" t="n">
        <v>42684</v>
      </c>
      <c r="J2733" t="inlineStr">
        <is>
          <t>Ottawa, Ontario</t>
        </is>
      </c>
      <c r="K2733" t="inlineStr">
        <is>
          <t>Ottawa (Ontario)</t>
        </is>
      </c>
      <c r="P2733" t="n">
        <v>764.58</v>
      </c>
      <c r="Q2733" t="n">
        <v>41.37</v>
      </c>
      <c r="R2733" t="n">
        <v>217.65</v>
      </c>
      <c r="S2733" t="n">
        <v>131.65</v>
      </c>
      <c r="T2733" t="n">
        <v>42</v>
      </c>
      <c r="U2733" t="n">
        <v>1197.25</v>
      </c>
      <c r="X2733" t="inlineStr">
        <is>
          <t>acoa-apeca</t>
        </is>
      </c>
      <c r="Y2733" t="inlineStr">
        <is>
          <t>Atlantic Canada Opportunities Agency | Agence de promotion économique du Canada atlantique</t>
        </is>
      </c>
      <c r="Z2733" t="n">
        <v>2</v>
      </c>
      <c r="AA2733" t="n">
        <v>1197.25</v>
      </c>
      <c r="AB2733">
        <f>ROUND(U2733-AA2733,2)</f>
        <v/>
      </c>
      <c r="AC2733" t="b">
        <v>0</v>
      </c>
      <c r="AD2733">
        <f>IF(U2733="","MISSING_TOTAL",IF(ABS(AB2733)&lt;=0.01,"OK","CHECK"))</f>
        <v/>
      </c>
      <c r="AE2733">
        <f>IF(U2733="","MISSING",IF(AND(AA2733&gt;0,U2733/AA2733&gt;50),"POSSIBLE_SCALE_ERROR","OK"))</f>
        <v/>
      </c>
    </row>
    <row r="2734">
      <c r="A2734" t="inlineStr">
        <is>
          <t>T-2017-Q3-00046</t>
        </is>
      </c>
      <c r="B2734" t="inlineStr">
        <is>
          <t>SLE</t>
        </is>
      </c>
      <c r="C2734" t="inlineStr">
        <is>
          <t>Vice-President, Finance and Corporate Services</t>
        </is>
      </c>
      <c r="D2734" t="inlineStr">
        <is>
          <t>Vice-présidente, Finances et Services corporatifs</t>
        </is>
      </c>
      <c r="E2734" t="inlineStr">
        <is>
          <t>Denise Frenette</t>
        </is>
      </c>
      <c r="F2734" t="inlineStr">
        <is>
          <t>For meetings with various Government of Canada officials</t>
        </is>
      </c>
      <c r="G2734" t="inlineStr">
        <is>
          <t>Réunions avec divers fonctionnaires du gouvernement du Canada</t>
        </is>
      </c>
      <c r="H2734" s="1" t="n">
        <v>42682</v>
      </c>
      <c r="I2734" s="1" t="n">
        <v>42683</v>
      </c>
      <c r="J2734" t="inlineStr">
        <is>
          <t>Ottawa, Ontario</t>
        </is>
      </c>
      <c r="K2734" t="inlineStr">
        <is>
          <t>Ottawa (Ontario)</t>
        </is>
      </c>
      <c r="P2734" t="n">
        <v>527.7</v>
      </c>
      <c r="Q2734" t="n">
        <v>96.23999999999999</v>
      </c>
      <c r="R2734" t="n">
        <v>173.42</v>
      </c>
      <c r="S2734" t="n">
        <v>142.7</v>
      </c>
      <c r="T2734" t="n">
        <v>7.62</v>
      </c>
      <c r="U2734" t="n">
        <v>947.6799999999999</v>
      </c>
      <c r="X2734" t="inlineStr">
        <is>
          <t>acoa-apeca</t>
        </is>
      </c>
      <c r="Y2734" t="inlineStr">
        <is>
          <t>Atlantic Canada Opportunities Agency | Agence de promotion économique du Canada atlantique</t>
        </is>
      </c>
      <c r="Z2734" t="n">
        <v>2</v>
      </c>
      <c r="AA2734" t="n">
        <v>947.6799999999999</v>
      </c>
      <c r="AB2734">
        <f>ROUND(U2734-AA2734,2)</f>
        <v/>
      </c>
      <c r="AC2734" t="b">
        <v>0</v>
      </c>
      <c r="AD2734">
        <f>IF(U2734="","MISSING_TOTAL",IF(ABS(AB2734)&lt;=0.01,"OK","CHECK"))</f>
        <v/>
      </c>
      <c r="AE2734">
        <f>IF(U2734="","MISSING",IF(AND(AA2734&gt;0,U2734/AA2734&gt;50),"POSSIBLE_SCALE_ERROR","OK"))</f>
        <v/>
      </c>
    </row>
    <row r="2735">
      <c r="A2735" t="inlineStr">
        <is>
          <t>T-2017-Q2-00024</t>
        </is>
      </c>
      <c r="B2735" t="inlineStr">
        <is>
          <t>SLE</t>
        </is>
      </c>
      <c r="C2735" t="inlineStr">
        <is>
          <t>Vice-President, New Brunswick</t>
        </is>
      </c>
      <c r="D2735" t="inlineStr">
        <is>
          <t>Vice-président, Nouveau-Brunswick</t>
        </is>
      </c>
      <c r="E2735" t="inlineStr">
        <is>
          <t>Kent Estabrooks</t>
        </is>
      </c>
      <c r="F2735" t="inlineStr">
        <is>
          <t>Keynote speaker</t>
        </is>
      </c>
      <c r="G2735" t="inlineStr">
        <is>
          <t>Orateur principal</t>
        </is>
      </c>
      <c r="H2735" s="1" t="n">
        <v>42576</v>
      </c>
      <c r="I2735" s="1" t="n">
        <v>42577</v>
      </c>
      <c r="J2735" t="inlineStr">
        <is>
          <t>Moncton, New Brunswick</t>
        </is>
      </c>
      <c r="K2735" t="inlineStr">
        <is>
          <t>Moncton (Nouveau-Brunswick)</t>
        </is>
      </c>
      <c r="P2735" t="n">
        <v>0</v>
      </c>
      <c r="Q2735" t="n">
        <v>84.95999999999999</v>
      </c>
      <c r="R2735" t="n">
        <v>154.1</v>
      </c>
      <c r="S2735" t="n">
        <v>96.59999999999999</v>
      </c>
      <c r="T2735" t="n">
        <v>0</v>
      </c>
      <c r="U2735" t="n">
        <v>335.66</v>
      </c>
      <c r="X2735" t="inlineStr">
        <is>
          <t>acoa-apeca</t>
        </is>
      </c>
      <c r="Y2735" t="inlineStr">
        <is>
          <t>Atlantic Canada Opportunities Agency | Agence de promotion économique du Canada atlantique</t>
        </is>
      </c>
      <c r="Z2735" t="n">
        <v>2</v>
      </c>
      <c r="AA2735" t="n">
        <v>335.659999999999</v>
      </c>
      <c r="AB2735">
        <f>ROUND(U2735-AA2735,2)</f>
        <v/>
      </c>
      <c r="AC2735" t="b">
        <v>0</v>
      </c>
      <c r="AD2735">
        <f>IF(U2735="","MISSING_TOTAL",IF(ABS(AB2735)&lt;=0.01,"OK","CHECK"))</f>
        <v/>
      </c>
      <c r="AE2735">
        <f>IF(U2735="","MISSING",IF(AND(AA2735&gt;0,U2735/AA2735&gt;50),"POSSIBLE_SCALE_ERROR","OK"))</f>
        <v/>
      </c>
    </row>
    <row r="2736">
      <c r="A2736" t="inlineStr">
        <is>
          <t>T-2017-Q3-00045</t>
        </is>
      </c>
      <c r="B2736" t="inlineStr">
        <is>
          <t>SLE</t>
        </is>
      </c>
      <c r="C2736" t="inlineStr">
        <is>
          <t>President</t>
        </is>
      </c>
      <c r="D2736" t="inlineStr">
        <is>
          <t>Président</t>
        </is>
      </c>
      <c r="E2736" t="inlineStr">
        <is>
          <t>Paul J. LeBlanc</t>
        </is>
      </c>
      <c r="F2736" t="inlineStr">
        <is>
          <t>Attendance at meetings and sessions of various committees of the Organization for Economic Co-operation and Development</t>
        </is>
      </c>
      <c r="G2736" t="inlineStr">
        <is>
          <t>Assister à des réunions et à des séances de divers comités de l'Organisation de coopération et de développement économiques</t>
        </is>
      </c>
      <c r="H2736" s="1" t="n">
        <v>42680</v>
      </c>
      <c r="I2736" s="1" t="n">
        <v>42686</v>
      </c>
      <c r="J2736" t="inlineStr">
        <is>
          <t>Paris, France</t>
        </is>
      </c>
      <c r="K2736" t="inlineStr">
        <is>
          <t>Paris (France)</t>
        </is>
      </c>
      <c r="P2736" t="n">
        <v>6294</v>
      </c>
      <c r="Q2736" t="n">
        <v>183.88</v>
      </c>
      <c r="R2736" t="n">
        <v>1343.73</v>
      </c>
      <c r="S2736" t="n">
        <v>1028.13</v>
      </c>
      <c r="T2736" t="n">
        <v>161</v>
      </c>
      <c r="U2736" t="n">
        <v>9010.74</v>
      </c>
      <c r="X2736" t="inlineStr">
        <is>
          <t>acoa-apeca</t>
        </is>
      </c>
      <c r="Y2736" t="inlineStr">
        <is>
          <t>Atlantic Canada Opportunities Agency | Agence de promotion économique du Canada atlantique</t>
        </is>
      </c>
      <c r="Z2736" t="n">
        <v>7</v>
      </c>
      <c r="AA2736" t="n">
        <v>9010.74</v>
      </c>
      <c r="AB2736">
        <f>ROUND(U2736-AA2736,2)</f>
        <v/>
      </c>
      <c r="AC2736" t="b">
        <v>0</v>
      </c>
      <c r="AD2736">
        <f>IF(U2736="","MISSING_TOTAL",IF(ABS(AB2736)&lt;=0.01,"OK","CHECK"))</f>
        <v/>
      </c>
      <c r="AE2736">
        <f>IF(U2736="","MISSING",IF(AND(AA2736&gt;0,U2736/AA2736&gt;50),"POSSIBLE_SCALE_ERROR","OK"))</f>
        <v/>
      </c>
    </row>
    <row r="2737">
      <c r="A2737" t="inlineStr">
        <is>
          <t>T-2017-Q3-00044</t>
        </is>
      </c>
      <c r="B2737" t="inlineStr">
        <is>
          <t>SLE</t>
        </is>
      </c>
      <c r="C2737" t="inlineStr">
        <is>
          <t>President</t>
        </is>
      </c>
      <c r="D2737" t="inlineStr">
        <is>
          <t>Président</t>
        </is>
      </c>
      <c r="E2737" t="inlineStr">
        <is>
          <t>Paul J. LeBlanc</t>
        </is>
      </c>
      <c r="F2737" t="inlineStr">
        <is>
          <t>For a meeting with Agency officials</t>
        </is>
      </c>
      <c r="G2737" t="inlineStr">
        <is>
          <t>Réunion avec des fonctionnaires de l'Agence</t>
        </is>
      </c>
      <c r="H2737" s="1" t="n">
        <v>42677</v>
      </c>
      <c r="I2737" s="1" t="n">
        <v>42677</v>
      </c>
      <c r="J2737" t="inlineStr">
        <is>
          <t>Halifax, Nova Scotia</t>
        </is>
      </c>
      <c r="K2737" t="inlineStr">
        <is>
          <t>Halifax (Nouvelle-Écosse)</t>
        </is>
      </c>
      <c r="P2737" t="n">
        <v>0</v>
      </c>
      <c r="Q2737" t="n">
        <v>0</v>
      </c>
      <c r="R2737" t="n">
        <v>0</v>
      </c>
      <c r="S2737" t="n">
        <v>17.25</v>
      </c>
      <c r="T2737" t="n">
        <v>0</v>
      </c>
      <c r="U2737" t="n">
        <v>17.25</v>
      </c>
      <c r="X2737" t="inlineStr">
        <is>
          <t>acoa-apeca</t>
        </is>
      </c>
      <c r="Y2737" t="inlineStr">
        <is>
          <t>Atlantic Canada Opportunities Agency | Agence de promotion économique du Canada atlantique</t>
        </is>
      </c>
      <c r="Z2737" t="n">
        <v>1</v>
      </c>
      <c r="AA2737" t="n">
        <v>17.25</v>
      </c>
      <c r="AB2737">
        <f>ROUND(U2737-AA2737,2)</f>
        <v/>
      </c>
      <c r="AC2737" t="b">
        <v>0</v>
      </c>
      <c r="AD2737">
        <f>IF(U2737="","MISSING_TOTAL",IF(ABS(AB2737)&lt;=0.01,"OK","CHECK"))</f>
        <v/>
      </c>
      <c r="AE2737">
        <f>IF(U2737="","MISSING",IF(AND(AA2737&gt;0,U2737/AA2737&gt;50),"POSSIBLE_SCALE_ERROR","OK"))</f>
        <v/>
      </c>
    </row>
    <row r="2738">
      <c r="A2738" t="inlineStr">
        <is>
          <t>T-2017-Q3-00036</t>
        </is>
      </c>
      <c r="B2738" t="inlineStr">
        <is>
          <t>SLE</t>
        </is>
      </c>
      <c r="C2738" t="inlineStr">
        <is>
          <t>Vice-President, New Brunswick</t>
        </is>
      </c>
      <c r="D2738" t="inlineStr">
        <is>
          <t>Vice-président, Nouveau-Brunswick</t>
        </is>
      </c>
      <c r="E2738" t="inlineStr">
        <is>
          <t>Kent Estabrooks</t>
        </is>
      </c>
      <c r="F2738" t="inlineStr">
        <is>
          <t>Training and development</t>
        </is>
      </c>
      <c r="G2738" t="inlineStr">
        <is>
          <t>Formation et perfectionnement</t>
        </is>
      </c>
      <c r="H2738" s="1" t="n">
        <v>42666</v>
      </c>
      <c r="I2738" s="1" t="n">
        <v>42667</v>
      </c>
      <c r="J2738" t="inlineStr">
        <is>
          <t>Halifax, Nova Scotia</t>
        </is>
      </c>
      <c r="K2738" t="inlineStr">
        <is>
          <t>Halifax (Nouvelle-Écosse)</t>
        </is>
      </c>
      <c r="P2738" t="n">
        <v>0</v>
      </c>
      <c r="Q2738" t="n">
        <v>0</v>
      </c>
      <c r="R2738" t="n">
        <v>207.07</v>
      </c>
      <c r="S2738" t="n">
        <v>142.95</v>
      </c>
      <c r="T2738" t="n">
        <v>12</v>
      </c>
      <c r="U2738" t="n">
        <v>362.02</v>
      </c>
      <c r="X2738" t="inlineStr">
        <is>
          <t>acoa-apeca</t>
        </is>
      </c>
      <c r="Y2738" t="inlineStr">
        <is>
          <t>Atlantic Canada Opportunities Agency | Agence de promotion économique du Canada atlantique</t>
        </is>
      </c>
      <c r="Z2738" t="n">
        <v>2</v>
      </c>
      <c r="AA2738" t="n">
        <v>362.02</v>
      </c>
      <c r="AB2738">
        <f>ROUND(U2738-AA2738,2)</f>
        <v/>
      </c>
      <c r="AC2738" t="b">
        <v>0</v>
      </c>
      <c r="AD2738">
        <f>IF(U2738="","MISSING_TOTAL",IF(ABS(AB2738)&lt;=0.01,"OK","CHECK"))</f>
        <v/>
      </c>
      <c r="AE2738">
        <f>IF(U2738="","MISSING",IF(AND(AA2738&gt;0,U2738/AA2738&gt;50),"POSSIBLE_SCALE_ERROR","OK"))</f>
        <v/>
      </c>
    </row>
    <row r="2739">
      <c r="A2739" t="inlineStr">
        <is>
          <t>T-2017-Q3-00043</t>
        </is>
      </c>
      <c r="B2739" t="inlineStr">
        <is>
          <t>SLE</t>
        </is>
      </c>
      <c r="C2739" t="inlineStr">
        <is>
          <t>Vice-President, Prince Edward Island</t>
        </is>
      </c>
      <c r="D2739" t="inlineStr">
        <is>
          <t>Vice-président, Île-du-Prince-Édouard</t>
        </is>
      </c>
      <c r="E2739" t="inlineStr">
        <is>
          <t>Patrick Dorsey</t>
        </is>
      </c>
      <c r="F2739" t="inlineStr">
        <is>
          <t>Meetings with Government of Canada officials</t>
        </is>
      </c>
      <c r="G2739" t="inlineStr">
        <is>
          <t>Réunions avec des fonctionnaires du gouvernement du Canada</t>
        </is>
      </c>
      <c r="H2739" s="1" t="n">
        <v>42676</v>
      </c>
      <c r="I2739" s="1" t="n">
        <v>42677</v>
      </c>
      <c r="J2739" t="inlineStr">
        <is>
          <t>Ottawa, Ontario</t>
        </is>
      </c>
      <c r="K2739" t="inlineStr">
        <is>
          <t>Ottawa (Ontario)</t>
        </is>
      </c>
      <c r="P2739" t="n">
        <v>821.28</v>
      </c>
      <c r="Q2739" t="n">
        <v>129.83</v>
      </c>
      <c r="R2739" t="n">
        <v>186.22</v>
      </c>
      <c r="S2739" t="n">
        <v>159.95</v>
      </c>
      <c r="T2739" t="n">
        <v>0</v>
      </c>
      <c r="U2739" t="n">
        <v>1297.28</v>
      </c>
      <c r="X2739" t="inlineStr">
        <is>
          <t>acoa-apeca</t>
        </is>
      </c>
      <c r="Y2739" t="inlineStr">
        <is>
          <t>Atlantic Canada Opportunities Agency | Agence de promotion économique du Canada atlantique</t>
        </is>
      </c>
      <c r="Z2739" t="n">
        <v>2</v>
      </c>
      <c r="AA2739" t="n">
        <v>1297.28</v>
      </c>
      <c r="AB2739">
        <f>ROUND(U2739-AA2739,2)</f>
        <v/>
      </c>
      <c r="AC2739" t="b">
        <v>0</v>
      </c>
      <c r="AD2739">
        <f>IF(U2739="","MISSING_TOTAL",IF(ABS(AB2739)&lt;=0.01,"OK","CHECK"))</f>
        <v/>
      </c>
      <c r="AE2739">
        <f>IF(U2739="","MISSING",IF(AND(AA2739&gt;0,U2739/AA2739&gt;50),"POSSIBLE_SCALE_ERROR","OK"))</f>
        <v/>
      </c>
    </row>
    <row r="2740">
      <c r="A2740" t="inlineStr">
        <is>
          <t>T-2017-Q3-00042</t>
        </is>
      </c>
      <c r="B2740" t="inlineStr">
        <is>
          <t>SLE</t>
        </is>
      </c>
      <c r="C2740" t="inlineStr">
        <is>
          <t>Vice-President, New Brunswick</t>
        </is>
      </c>
      <c r="D2740" t="inlineStr">
        <is>
          <t>Vice-président, Nouveau-Brunswick</t>
        </is>
      </c>
      <c r="E2740" t="inlineStr">
        <is>
          <t>Kent Estabrooks</t>
        </is>
      </c>
      <c r="F2740" t="inlineStr">
        <is>
          <t>Meetings with Agency officials and various federal officials</t>
        </is>
      </c>
      <c r="G2740" t="inlineStr">
        <is>
          <t>Réunions avec des fonctionnaires de l'Agence et divers fonctionnaires fédéraux</t>
        </is>
      </c>
      <c r="H2740" s="1" t="n">
        <v>42675</v>
      </c>
      <c r="I2740" s="1" t="n">
        <v>42678</v>
      </c>
      <c r="J2740" t="inlineStr">
        <is>
          <t>Ottawa, Ontario</t>
        </is>
      </c>
      <c r="K2740" t="inlineStr">
        <is>
          <t>Ottawa (Ontario)</t>
        </is>
      </c>
      <c r="P2740" t="n">
        <v>658.55</v>
      </c>
      <c r="Q2740" t="n">
        <v>125.43</v>
      </c>
      <c r="R2740" t="n">
        <v>590.1</v>
      </c>
      <c r="S2740" t="n">
        <v>212.05</v>
      </c>
      <c r="T2740" t="n">
        <v>57.5</v>
      </c>
      <c r="U2740" t="n">
        <v>1643.63</v>
      </c>
      <c r="X2740" t="inlineStr">
        <is>
          <t>acoa-apeca</t>
        </is>
      </c>
      <c r="Y2740" t="inlineStr">
        <is>
          <t>Atlantic Canada Opportunities Agency | Agence de promotion économique du Canada atlantique</t>
        </is>
      </c>
      <c r="Z2740" t="n">
        <v>4</v>
      </c>
      <c r="AA2740" t="n">
        <v>1643.62999999999</v>
      </c>
      <c r="AB2740">
        <f>ROUND(U2740-AA2740,2)</f>
        <v/>
      </c>
      <c r="AC2740" t="b">
        <v>0</v>
      </c>
      <c r="AD2740">
        <f>IF(U2740="","MISSING_TOTAL",IF(ABS(AB2740)&lt;=0.01,"OK","CHECK"))</f>
        <v/>
      </c>
      <c r="AE2740">
        <f>IF(U2740="","MISSING",IF(AND(AA2740&gt;0,U2740/AA2740&gt;50),"POSSIBLE_SCALE_ERROR","OK"))</f>
        <v/>
      </c>
    </row>
    <row r="2741">
      <c r="A2741" t="inlineStr">
        <is>
          <t>T-2017-Q3-00041</t>
        </is>
      </c>
      <c r="B2741" t="inlineStr">
        <is>
          <t>SLE</t>
        </is>
      </c>
      <c r="C2741" t="inlineStr">
        <is>
          <t>Vice-President, Policy and Programs</t>
        </is>
      </c>
      <c r="D2741" t="inlineStr">
        <is>
          <t>Vice-président, Politiques et Programmes</t>
        </is>
      </c>
      <c r="E2741" t="inlineStr">
        <is>
          <t>Daryell Nowlan</t>
        </is>
      </c>
      <c r="F2741" t="inlineStr">
        <is>
          <t>Meetings with Government of Canada officials</t>
        </is>
      </c>
      <c r="G2741" t="inlineStr">
        <is>
          <t>Réunions avec des fonctionnaires du gouvernement du Canada</t>
        </is>
      </c>
      <c r="H2741" s="1" t="n">
        <v>42674</v>
      </c>
      <c r="I2741" s="1" t="n">
        <v>42677</v>
      </c>
      <c r="J2741" t="inlineStr">
        <is>
          <t>Ottawa, Ontario</t>
        </is>
      </c>
      <c r="K2741" t="inlineStr">
        <is>
          <t>Ottawa (Ontario)</t>
        </is>
      </c>
      <c r="P2741" t="n">
        <v>662.1799999999999</v>
      </c>
      <c r="Q2741" t="n">
        <v>147</v>
      </c>
      <c r="R2741" t="n">
        <v>590.1</v>
      </c>
      <c r="S2741" t="n">
        <v>303.15</v>
      </c>
      <c r="T2741" t="n">
        <v>0</v>
      </c>
      <c r="U2741" t="n">
        <v>1702.43</v>
      </c>
      <c r="X2741" t="inlineStr">
        <is>
          <t>acoa-apeca</t>
        </is>
      </c>
      <c r="Y2741" t="inlineStr">
        <is>
          <t>Atlantic Canada Opportunities Agency | Agence de promotion économique du Canada atlantique</t>
        </is>
      </c>
      <c r="Z2741" t="n">
        <v>4</v>
      </c>
      <c r="AA2741" t="n">
        <v>1702.42999999999</v>
      </c>
      <c r="AB2741">
        <f>ROUND(U2741-AA2741,2)</f>
        <v/>
      </c>
      <c r="AC2741" t="b">
        <v>0</v>
      </c>
      <c r="AD2741">
        <f>IF(U2741="","MISSING_TOTAL",IF(ABS(AB2741)&lt;=0.01,"OK","CHECK"))</f>
        <v/>
      </c>
      <c r="AE2741">
        <f>IF(U2741="","MISSING",IF(AND(AA2741&gt;0,U2741/AA2741&gt;50),"POSSIBLE_SCALE_ERROR","OK"))</f>
        <v/>
      </c>
    </row>
    <row r="2742">
      <c r="A2742" t="inlineStr">
        <is>
          <t>T-2017-Q3-00040</t>
        </is>
      </c>
      <c r="B2742" t="inlineStr">
        <is>
          <t>SLE</t>
        </is>
      </c>
      <c r="C2742" t="inlineStr">
        <is>
          <t>Vice-President, Policy and Programs</t>
        </is>
      </c>
      <c r="D2742" t="inlineStr">
        <is>
          <t>Vice-président, Politiques et Programmes</t>
        </is>
      </c>
      <c r="E2742" t="inlineStr">
        <is>
          <t>Daryell Nowlan</t>
        </is>
      </c>
      <c r="F2742" t="inlineStr">
        <is>
          <t>Meetings with Government of Canada officials</t>
        </is>
      </c>
      <c r="G2742" t="inlineStr">
        <is>
          <t>Réunions avec des fonctionnaires du gouvernement du Canada</t>
        </is>
      </c>
      <c r="H2742" s="1" t="n">
        <v>42670</v>
      </c>
      <c r="I2742" s="1" t="n">
        <v>42671</v>
      </c>
      <c r="J2742" t="inlineStr">
        <is>
          <t>Ottawa, Ontario</t>
        </is>
      </c>
      <c r="K2742" t="inlineStr">
        <is>
          <t>Ottawa (Ontario)</t>
        </is>
      </c>
      <c r="P2742" t="n">
        <v>662.1799999999999</v>
      </c>
      <c r="Q2742" t="n">
        <v>118.5</v>
      </c>
      <c r="R2742" t="n">
        <v>196.7</v>
      </c>
      <c r="S2742" t="n">
        <v>159.95</v>
      </c>
      <c r="T2742" t="n">
        <v>0</v>
      </c>
      <c r="U2742" t="n">
        <v>1137.33</v>
      </c>
      <c r="X2742" t="inlineStr">
        <is>
          <t>acoa-apeca</t>
        </is>
      </c>
      <c r="Y2742" t="inlineStr">
        <is>
          <t>Atlantic Canada Opportunities Agency | Agence de promotion économique du Canada atlantique</t>
        </is>
      </c>
      <c r="Z2742" t="n">
        <v>2</v>
      </c>
      <c r="AA2742" t="n">
        <v>1137.33</v>
      </c>
      <c r="AB2742">
        <f>ROUND(U2742-AA2742,2)</f>
        <v/>
      </c>
      <c r="AC2742" t="b">
        <v>0</v>
      </c>
      <c r="AD2742">
        <f>IF(U2742="","MISSING_TOTAL",IF(ABS(AB2742)&lt;=0.01,"OK","CHECK"))</f>
        <v/>
      </c>
      <c r="AE2742">
        <f>IF(U2742="","MISSING",IF(AND(AA2742&gt;0,U2742/AA2742&gt;50),"POSSIBLE_SCALE_ERROR","OK"))</f>
        <v/>
      </c>
    </row>
    <row r="2743">
      <c r="A2743" t="inlineStr">
        <is>
          <t>T-2017-Q3-00039</t>
        </is>
      </c>
      <c r="B2743" t="inlineStr">
        <is>
          <t>SLE</t>
        </is>
      </c>
      <c r="C2743" t="inlineStr">
        <is>
          <t>Vice-President, New Brunswick</t>
        </is>
      </c>
      <c r="D2743" t="inlineStr">
        <is>
          <t>Vice-président, Nouveau-Brunswick</t>
        </is>
      </c>
      <c r="E2743" t="inlineStr">
        <is>
          <t>Kent Estabrooks</t>
        </is>
      </c>
      <c r="F2743" t="inlineStr">
        <is>
          <t>Agency Executive Committee meeting</t>
        </is>
      </c>
      <c r="G2743" t="inlineStr">
        <is>
          <t>Réunion du Comité de direction de l'Agence</t>
        </is>
      </c>
      <c r="H2743" s="1" t="n">
        <v>42669</v>
      </c>
      <c r="I2743" s="1" t="n">
        <v>42670</v>
      </c>
      <c r="J2743" t="inlineStr">
        <is>
          <t>Moncton, New Brunswick</t>
        </is>
      </c>
      <c r="K2743" t="inlineStr">
        <is>
          <t>Moncton (Nouveau-Brunswick)</t>
        </is>
      </c>
      <c r="P2743" t="n">
        <v>0</v>
      </c>
      <c r="Q2743" t="n">
        <v>0</v>
      </c>
      <c r="R2743" t="n">
        <v>138</v>
      </c>
      <c r="S2743" t="n">
        <v>125.7</v>
      </c>
      <c r="T2743" t="n">
        <v>0</v>
      </c>
      <c r="U2743" t="n">
        <v>263.7</v>
      </c>
      <c r="X2743" t="inlineStr">
        <is>
          <t>acoa-apeca</t>
        </is>
      </c>
      <c r="Y2743" t="inlineStr">
        <is>
          <t>Atlantic Canada Opportunities Agency | Agence de promotion économique du Canada atlantique</t>
        </is>
      </c>
      <c r="Z2743" t="n">
        <v>2</v>
      </c>
      <c r="AA2743" t="n">
        <v>263.7</v>
      </c>
      <c r="AB2743">
        <f>ROUND(U2743-AA2743,2)</f>
        <v/>
      </c>
      <c r="AC2743" t="b">
        <v>0</v>
      </c>
      <c r="AD2743">
        <f>IF(U2743="","MISSING_TOTAL",IF(ABS(AB2743)&lt;=0.01,"OK","CHECK"))</f>
        <v/>
      </c>
      <c r="AE2743">
        <f>IF(U2743="","MISSING",IF(AND(AA2743&gt;0,U2743/AA2743&gt;50),"POSSIBLE_SCALE_ERROR","OK"))</f>
        <v/>
      </c>
    </row>
    <row r="2744">
      <c r="A2744" t="inlineStr">
        <is>
          <t>T-2017-Q3-00038</t>
        </is>
      </c>
      <c r="B2744" t="inlineStr">
        <is>
          <t>SLE</t>
        </is>
      </c>
      <c r="C2744" t="inlineStr">
        <is>
          <t>Vice President, Nova Scotia</t>
        </is>
      </c>
      <c r="D2744" t="inlineStr">
        <is>
          <t>Vice-président, Nouvelle-Écosse</t>
        </is>
      </c>
      <c r="E2744" t="inlineStr">
        <is>
          <t>Peter Hogan</t>
        </is>
      </c>
      <c r="F2744" t="inlineStr">
        <is>
          <t>Meetings with Agency officials</t>
        </is>
      </c>
      <c r="G2744" t="inlineStr">
        <is>
          <t>Réunions avec des fonctionnaires de l'Agence</t>
        </is>
      </c>
      <c r="H2744" s="1" t="n">
        <v>42669</v>
      </c>
      <c r="I2744" s="1" t="n">
        <v>42670</v>
      </c>
      <c r="J2744" t="inlineStr">
        <is>
          <t>Moncton, New Brunswick</t>
        </is>
      </c>
      <c r="K2744" t="inlineStr">
        <is>
          <t>Moncton (Nouveau-Brunswick)</t>
        </is>
      </c>
      <c r="P2744" t="n">
        <v>0</v>
      </c>
      <c r="Q2744" t="n">
        <v>0</v>
      </c>
      <c r="R2744" t="n">
        <v>106</v>
      </c>
      <c r="S2744" t="n">
        <v>51.6</v>
      </c>
      <c r="T2744" t="n">
        <v>16.1</v>
      </c>
      <c r="U2744" t="n">
        <v>173.7</v>
      </c>
      <c r="X2744" t="inlineStr">
        <is>
          <t>acoa-apeca</t>
        </is>
      </c>
      <c r="Y2744" t="inlineStr">
        <is>
          <t>Atlantic Canada Opportunities Agency | Agence de promotion économique du Canada atlantique</t>
        </is>
      </c>
      <c r="Z2744" t="n">
        <v>2</v>
      </c>
      <c r="AA2744" t="n">
        <v>173.7</v>
      </c>
      <c r="AB2744">
        <f>ROUND(U2744-AA2744,2)</f>
        <v/>
      </c>
      <c r="AC2744" t="b">
        <v>0</v>
      </c>
      <c r="AD2744">
        <f>IF(U2744="","MISSING_TOTAL",IF(ABS(AB2744)&lt;=0.01,"OK","CHECK"))</f>
        <v/>
      </c>
      <c r="AE2744">
        <f>IF(U2744="","MISSING",IF(AND(AA2744&gt;0,U2744/AA2744&gt;50),"POSSIBLE_SCALE_ERROR","OK"))</f>
        <v/>
      </c>
    </row>
    <row r="2745">
      <c r="A2745" t="inlineStr">
        <is>
          <t>T-2017-Q3-00029</t>
        </is>
      </c>
      <c r="B2745" t="inlineStr">
        <is>
          <t>SLE</t>
        </is>
      </c>
      <c r="C2745" t="inlineStr">
        <is>
          <t>Vice-President, New Brunswick</t>
        </is>
      </c>
      <c r="D2745" t="inlineStr">
        <is>
          <t>Vice-président, Nouveau-Brunswick</t>
        </is>
      </c>
      <c r="E2745" t="inlineStr">
        <is>
          <t>Kent Estabrooks</t>
        </is>
      </c>
      <c r="F2745" t="inlineStr">
        <is>
          <t>Community outreach and event</t>
        </is>
      </c>
      <c r="G2745" t="inlineStr">
        <is>
          <t>Sensibilisation et activité communautaire</t>
        </is>
      </c>
      <c r="H2745" s="1" t="n">
        <v>42660</v>
      </c>
      <c r="I2745" s="1" t="n">
        <v>42661</v>
      </c>
      <c r="J2745" t="inlineStr">
        <is>
          <t>Saint John, New Brunswick</t>
        </is>
      </c>
      <c r="K2745" t="inlineStr">
        <is>
          <t>Saint John (Nouveau-Brunswick)</t>
        </is>
      </c>
      <c r="P2745" t="n">
        <v>0</v>
      </c>
      <c r="Q2745" t="n">
        <v>0</v>
      </c>
      <c r="R2745" t="n">
        <v>124.37</v>
      </c>
      <c r="S2745" t="n">
        <v>97.40000000000001</v>
      </c>
      <c r="T2745" t="n">
        <v>18.34</v>
      </c>
      <c r="U2745" t="n">
        <v>240.11</v>
      </c>
      <c r="X2745" t="inlineStr">
        <is>
          <t>acoa-apeca</t>
        </is>
      </c>
      <c r="Y2745" t="inlineStr">
        <is>
          <t>Atlantic Canada Opportunities Agency | Agence de promotion économique du Canada atlantique</t>
        </is>
      </c>
      <c r="Z2745" t="n">
        <v>2</v>
      </c>
      <c r="AA2745" t="n">
        <v>240.11</v>
      </c>
      <c r="AB2745">
        <f>ROUND(U2745-AA2745,2)</f>
        <v/>
      </c>
      <c r="AC2745" t="b">
        <v>0</v>
      </c>
      <c r="AD2745">
        <f>IF(U2745="","MISSING_TOTAL",IF(ABS(AB2745)&lt;=0.01,"OK","CHECK"))</f>
        <v/>
      </c>
      <c r="AE2745">
        <f>IF(U2745="","MISSING",IF(AND(AA2745&gt;0,U2745/AA2745&gt;50),"POSSIBLE_SCALE_ERROR","OK"))</f>
        <v/>
      </c>
    </row>
    <row r="2746">
      <c r="A2746" t="inlineStr">
        <is>
          <t>T-2017-Q3-00037</t>
        </is>
      </c>
      <c r="B2746" t="inlineStr">
        <is>
          <t>SLE</t>
        </is>
      </c>
      <c r="C2746" t="inlineStr">
        <is>
          <t>Vice-President, Newfoundland and Labrador</t>
        </is>
      </c>
      <c r="D2746" t="inlineStr">
        <is>
          <t>Vice-président, Terre-Neuve-et-Labrador</t>
        </is>
      </c>
      <c r="E2746" t="inlineStr">
        <is>
          <t>Ken Martin</t>
        </is>
      </c>
      <c r="F2746" t="inlineStr">
        <is>
          <t>Attending Executive Committee as well as various meetings with senior government officials</t>
        </is>
      </c>
      <c r="G2746" t="inlineStr">
        <is>
          <t>Assister à une réunion du Comité de direction et à diverses réunions avec des hauts fonctionnaires</t>
        </is>
      </c>
      <c r="H2746" s="1" t="n">
        <v>42669</v>
      </c>
      <c r="I2746" s="1" t="n">
        <v>42702</v>
      </c>
      <c r="J2746" t="inlineStr">
        <is>
          <t>Moncton, New Brunswick and Ottawa, Ontario</t>
        </is>
      </c>
      <c r="K2746" t="inlineStr">
        <is>
          <t>Moncton (Nouveau-Brunswick) et Ottawa (Ontario)</t>
        </is>
      </c>
      <c r="P2746" t="n">
        <v>1198.69</v>
      </c>
      <c r="Q2746" t="n">
        <v>100.6</v>
      </c>
      <c r="R2746" t="n">
        <v>318.6</v>
      </c>
      <c r="S2746" t="n">
        <v>194.25</v>
      </c>
      <c r="T2746" t="n">
        <v>0</v>
      </c>
      <c r="U2746" t="n">
        <v>1812.14</v>
      </c>
      <c r="X2746" t="inlineStr">
        <is>
          <t>acoa-apeca</t>
        </is>
      </c>
      <c r="Y2746" t="inlineStr">
        <is>
          <t>Atlantic Canada Opportunities Agency | Agence de promotion économique du Canada atlantique</t>
        </is>
      </c>
      <c r="Z2746" t="n">
        <v>34</v>
      </c>
      <c r="AA2746" t="n">
        <v>1812.13999999999</v>
      </c>
      <c r="AB2746">
        <f>ROUND(U2746-AA2746,2)</f>
        <v/>
      </c>
      <c r="AC2746" t="b">
        <v>0</v>
      </c>
      <c r="AD2746">
        <f>IF(U2746="","MISSING_TOTAL",IF(ABS(AB2746)&lt;=0.01,"OK","CHECK"))</f>
        <v/>
      </c>
      <c r="AE2746">
        <f>IF(U2746="","MISSING",IF(AND(AA2746&gt;0,U2746/AA2746&gt;50),"POSSIBLE_SCALE_ERROR","OK"))</f>
        <v/>
      </c>
    </row>
    <row r="2747">
      <c r="A2747" t="inlineStr">
        <is>
          <t>T-2017-Q3-00035</t>
        </is>
      </c>
      <c r="B2747" t="inlineStr">
        <is>
          <t>SLE</t>
        </is>
      </c>
      <c r="C2747" t="inlineStr">
        <is>
          <t>Vice-President, Prince Edward Island</t>
        </is>
      </c>
      <c r="D2747" t="inlineStr">
        <is>
          <t>Vice-président, Île-du-Prince-Édouard</t>
        </is>
      </c>
      <c r="E2747" t="inlineStr">
        <is>
          <t>Patrick Dorsey</t>
        </is>
      </c>
      <c r="F2747" t="inlineStr">
        <is>
          <t>Professional development and meetings with ACOA officials</t>
        </is>
      </c>
      <c r="G2747" t="inlineStr">
        <is>
          <t>Perfectionnement professionnel et réunions avec des fonctionnaires de l'APECA</t>
        </is>
      </c>
      <c r="H2747" s="1" t="n">
        <v>42666</v>
      </c>
      <c r="I2747" s="1" t="n">
        <v>42671</v>
      </c>
      <c r="J2747" t="inlineStr">
        <is>
          <t>Toronto, Ontario and Moncton, New Brunswick</t>
        </is>
      </c>
      <c r="K2747" t="inlineStr">
        <is>
          <t>Toronto (Ontario) et Moncton (Nouveau-Brunswick)</t>
        </is>
      </c>
      <c r="P2747" t="n">
        <v>454.61</v>
      </c>
      <c r="Q2747" t="n">
        <v>287.86</v>
      </c>
      <c r="R2747" t="n">
        <v>866.72</v>
      </c>
      <c r="S2747" t="n">
        <v>365.8</v>
      </c>
      <c r="T2747" t="n">
        <v>0</v>
      </c>
      <c r="U2747" t="n">
        <v>1974.99</v>
      </c>
      <c r="X2747" t="inlineStr">
        <is>
          <t>acoa-apeca</t>
        </is>
      </c>
      <c r="Y2747" t="inlineStr">
        <is>
          <t>Atlantic Canada Opportunities Agency | Agence de promotion économique du Canada atlantique</t>
        </is>
      </c>
      <c r="Z2747" t="n">
        <v>6</v>
      </c>
      <c r="AA2747" t="n">
        <v>1974.99</v>
      </c>
      <c r="AB2747">
        <f>ROUND(U2747-AA2747,2)</f>
        <v/>
      </c>
      <c r="AC2747" t="b">
        <v>0</v>
      </c>
      <c r="AD2747">
        <f>IF(U2747="","MISSING_TOTAL",IF(ABS(AB2747)&lt;=0.01,"OK","CHECK"))</f>
        <v/>
      </c>
      <c r="AE2747">
        <f>IF(U2747="","MISSING",IF(AND(AA2747&gt;0,U2747/AA2747&gt;50),"POSSIBLE_SCALE_ERROR","OK"))</f>
        <v/>
      </c>
    </row>
    <row r="2748">
      <c r="A2748" t="inlineStr">
        <is>
          <t>T-2017-Q3-00034</t>
        </is>
      </c>
      <c r="B2748" t="inlineStr">
        <is>
          <t>SLE</t>
        </is>
      </c>
      <c r="C2748" t="inlineStr">
        <is>
          <t>President</t>
        </is>
      </c>
      <c r="D2748" t="inlineStr">
        <is>
          <t>Président</t>
        </is>
      </c>
      <c r="E2748" t="inlineStr">
        <is>
          <t>Paul J. LeBlanc</t>
        </is>
      </c>
      <c r="F2748" t="inlineStr">
        <is>
          <t>For a meeting and discussions with Agency officials and Government of Canada officials</t>
        </is>
      </c>
      <c r="G2748" t="inlineStr">
        <is>
          <t>Réunion et discussions avec des fonctionnaires de l'Agence et du gouvernement du Canada</t>
        </is>
      </c>
      <c r="H2748" s="1" t="n">
        <v>42664</v>
      </c>
      <c r="I2748" s="1" t="n">
        <v>42664</v>
      </c>
      <c r="J2748" t="inlineStr">
        <is>
          <t>Ottawa, Ontario</t>
        </is>
      </c>
      <c r="K2748" t="inlineStr">
        <is>
          <t>Ottawa (Ontario)</t>
        </is>
      </c>
      <c r="P2748" t="n">
        <v>822.48</v>
      </c>
      <c r="Q2748" t="n">
        <v>0</v>
      </c>
      <c r="R2748" t="n">
        <v>0</v>
      </c>
      <c r="S2748" t="n">
        <v>62.8</v>
      </c>
      <c r="T2748" t="n">
        <v>282.51</v>
      </c>
      <c r="U2748" t="n">
        <v>1167.79</v>
      </c>
      <c r="X2748" t="inlineStr">
        <is>
          <t>acoa-apeca</t>
        </is>
      </c>
      <c r="Y2748" t="inlineStr">
        <is>
          <t>Atlantic Canada Opportunities Agency | Agence de promotion économique du Canada atlantique</t>
        </is>
      </c>
      <c r="Z2748" t="n">
        <v>1</v>
      </c>
      <c r="AA2748" t="n">
        <v>1167.79</v>
      </c>
      <c r="AB2748">
        <f>ROUND(U2748-AA2748,2)</f>
        <v/>
      </c>
      <c r="AC2748" t="b">
        <v>0</v>
      </c>
      <c r="AD2748">
        <f>IF(U2748="","MISSING_TOTAL",IF(ABS(AB2748)&lt;=0.01,"OK","CHECK"))</f>
        <v/>
      </c>
      <c r="AE2748">
        <f>IF(U2748="","MISSING",IF(AND(AA2748&gt;0,U2748/AA2748&gt;50),"POSSIBLE_SCALE_ERROR","OK"))</f>
        <v/>
      </c>
    </row>
    <row r="2749">
      <c r="A2749" t="inlineStr">
        <is>
          <t>T-2017-Q3-00033</t>
        </is>
      </c>
      <c r="B2749" t="inlineStr">
        <is>
          <t>SLE</t>
        </is>
      </c>
      <c r="C2749" t="inlineStr">
        <is>
          <t>Vice President, Nova Scotia</t>
        </is>
      </c>
      <c r="D2749" t="inlineStr">
        <is>
          <t>Vice-président, Nouvelle-Écosse</t>
        </is>
      </c>
      <c r="E2749" t="inlineStr">
        <is>
          <t>Peter Hogan</t>
        </is>
      </c>
      <c r="F2749" t="inlineStr">
        <is>
          <t>Various meetings with Agency officials and clients</t>
        </is>
      </c>
      <c r="G2749" t="inlineStr">
        <is>
          <t>Diverses réunions avec des fonctionnaires de l'Agence et des clients</t>
        </is>
      </c>
      <c r="H2749" s="1" t="n">
        <v>42663</v>
      </c>
      <c r="I2749" s="1" t="n">
        <v>42663</v>
      </c>
      <c r="J2749" t="inlineStr">
        <is>
          <t>Sydney, Nova Scotia</t>
        </is>
      </c>
      <c r="K2749" t="inlineStr">
        <is>
          <t>Sydney (Nouvelle-Écosse)</t>
        </is>
      </c>
      <c r="P2749" t="n">
        <v>295.55</v>
      </c>
      <c r="Q2749" t="n">
        <v>19.4</v>
      </c>
      <c r="R2749" t="n">
        <v>0</v>
      </c>
      <c r="S2749" t="n">
        <v>0</v>
      </c>
      <c r="T2749" t="n">
        <v>21</v>
      </c>
      <c r="U2749" t="n">
        <v>335.95</v>
      </c>
      <c r="X2749" t="inlineStr">
        <is>
          <t>acoa-apeca</t>
        </is>
      </c>
      <c r="Y2749" t="inlineStr">
        <is>
          <t>Atlantic Canada Opportunities Agency | Agence de promotion économique du Canada atlantique</t>
        </is>
      </c>
      <c r="Z2749" t="n">
        <v>1</v>
      </c>
      <c r="AA2749" t="n">
        <v>335.95</v>
      </c>
      <c r="AB2749">
        <f>ROUND(U2749-AA2749,2)</f>
        <v/>
      </c>
      <c r="AC2749" t="b">
        <v>0</v>
      </c>
      <c r="AD2749">
        <f>IF(U2749="","MISSING_TOTAL",IF(ABS(AB2749)&lt;=0.01,"OK","CHECK"))</f>
        <v/>
      </c>
      <c r="AE2749">
        <f>IF(U2749="","MISSING",IF(AND(AA2749&gt;0,U2749/AA2749&gt;50),"POSSIBLE_SCALE_ERROR","OK"))</f>
        <v/>
      </c>
    </row>
    <row r="2750">
      <c r="A2750" t="inlineStr">
        <is>
          <t>T-2017-Q3-00032</t>
        </is>
      </c>
      <c r="B2750" t="inlineStr">
        <is>
          <t>SLE</t>
        </is>
      </c>
      <c r="C2750" t="inlineStr">
        <is>
          <t>Vice President, Nova Scotia</t>
        </is>
      </c>
      <c r="D2750" t="inlineStr">
        <is>
          <t>Vice-président, Nouvelle-Écosse</t>
        </is>
      </c>
      <c r="E2750" t="inlineStr">
        <is>
          <t>Peter Hogan</t>
        </is>
      </c>
      <c r="F2750" t="inlineStr">
        <is>
          <t>Meeting with client and site visit</t>
        </is>
      </c>
      <c r="G2750" t="inlineStr">
        <is>
          <t>Réunion avec un client et visite des lieux</t>
        </is>
      </c>
      <c r="H2750" s="1" t="n">
        <v>42662</v>
      </c>
      <c r="I2750" s="1" t="n">
        <v>42662</v>
      </c>
      <c r="J2750" t="inlineStr">
        <is>
          <t>Windsor, Nova Scotia</t>
        </is>
      </c>
      <c r="K2750" t="inlineStr">
        <is>
          <t>Windsor (Nouvelle-Écosse)</t>
        </is>
      </c>
      <c r="P2750" t="n">
        <v>0</v>
      </c>
      <c r="Q2750" t="n">
        <v>59.17</v>
      </c>
      <c r="R2750" t="n">
        <v>0</v>
      </c>
      <c r="S2750" t="n">
        <v>0</v>
      </c>
      <c r="T2750" t="n">
        <v>0</v>
      </c>
      <c r="U2750" t="n">
        <v>59.17</v>
      </c>
      <c r="X2750" t="inlineStr">
        <is>
          <t>acoa-apeca</t>
        </is>
      </c>
      <c r="Y2750" t="inlineStr">
        <is>
          <t>Atlantic Canada Opportunities Agency | Agence de promotion économique du Canada atlantique</t>
        </is>
      </c>
      <c r="Z2750" t="n">
        <v>1</v>
      </c>
      <c r="AA2750" t="n">
        <v>59.17</v>
      </c>
      <c r="AB2750">
        <f>ROUND(U2750-AA2750,2)</f>
        <v/>
      </c>
      <c r="AC2750" t="b">
        <v>0</v>
      </c>
      <c r="AD2750">
        <f>IF(U2750="","MISSING_TOTAL",IF(ABS(AB2750)&lt;=0.01,"OK","CHECK"))</f>
        <v/>
      </c>
      <c r="AE2750">
        <f>IF(U2750="","MISSING",IF(AND(AA2750&gt;0,U2750/AA2750&gt;50),"POSSIBLE_SCALE_ERROR","OK"))</f>
        <v/>
      </c>
    </row>
    <row r="2751">
      <c r="A2751" t="inlineStr">
        <is>
          <t>T-2017-Q3-00031</t>
        </is>
      </c>
      <c r="B2751" t="inlineStr">
        <is>
          <t>SLE</t>
        </is>
      </c>
      <c r="C2751" t="inlineStr">
        <is>
          <t>Vice-President, Finance and Corporate Services</t>
        </is>
      </c>
      <c r="D2751" t="inlineStr">
        <is>
          <t>Vice-présidente, Finances et Services corporatifs</t>
        </is>
      </c>
      <c r="E2751" t="inlineStr">
        <is>
          <t>Denise Frenette</t>
        </is>
      </c>
      <c r="F2751" t="inlineStr">
        <is>
          <t>For various meetings and discussions with Government of Canada officials</t>
        </is>
      </c>
      <c r="G2751" t="inlineStr">
        <is>
          <t>Diverses réunions et discussions avec des fonctionnaires du gouvernement du Canada</t>
        </is>
      </c>
      <c r="H2751" s="1" t="n">
        <v>42662</v>
      </c>
      <c r="I2751" s="1" t="n">
        <v>42663</v>
      </c>
      <c r="J2751" t="inlineStr">
        <is>
          <t>Ottawa, Ontario</t>
        </is>
      </c>
      <c r="K2751" t="inlineStr">
        <is>
          <t>Ottawa (Ontario)</t>
        </is>
      </c>
      <c r="P2751" t="n">
        <v>265.42</v>
      </c>
      <c r="Q2751" t="n">
        <v>113.02</v>
      </c>
      <c r="R2751" t="n">
        <v>196.7</v>
      </c>
      <c r="S2751" t="n">
        <v>125.7</v>
      </c>
      <c r="T2751" t="n">
        <v>0</v>
      </c>
      <c r="U2751" t="n">
        <v>700.84</v>
      </c>
      <c r="X2751" t="inlineStr">
        <is>
          <t>acoa-apeca</t>
        </is>
      </c>
      <c r="Y2751" t="inlineStr">
        <is>
          <t>Atlantic Canada Opportunities Agency | Agence de promotion économique du Canada atlantique</t>
        </is>
      </c>
      <c r="Z2751" t="n">
        <v>2</v>
      </c>
      <c r="AA2751" t="n">
        <v>700.84</v>
      </c>
      <c r="AB2751">
        <f>ROUND(U2751-AA2751,2)</f>
        <v/>
      </c>
      <c r="AC2751" t="b">
        <v>0</v>
      </c>
      <c r="AD2751">
        <f>IF(U2751="","MISSING_TOTAL",IF(ABS(AB2751)&lt;=0.01,"OK","CHECK"))</f>
        <v/>
      </c>
      <c r="AE2751">
        <f>IF(U2751="","MISSING",IF(AND(AA2751&gt;0,U2751/AA2751&gt;50),"POSSIBLE_SCALE_ERROR","OK"))</f>
        <v/>
      </c>
    </row>
    <row r="2752">
      <c r="A2752" t="inlineStr">
        <is>
          <t>T-2017-Q3-00030</t>
        </is>
      </c>
      <c r="B2752" t="inlineStr">
        <is>
          <t>SLE</t>
        </is>
      </c>
      <c r="C2752" t="inlineStr">
        <is>
          <t>Vice-President, Policy and Programs</t>
        </is>
      </c>
      <c r="D2752" t="inlineStr">
        <is>
          <t>Vice-président, Politiques et Programmes</t>
        </is>
      </c>
      <c r="E2752" t="inlineStr">
        <is>
          <t>Daryell Nowlan</t>
        </is>
      </c>
      <c r="F2752" t="inlineStr">
        <is>
          <t>Meetings with Government of Canada officials</t>
        </is>
      </c>
      <c r="G2752" t="inlineStr">
        <is>
          <t>Réunions avec des fonctionnaires du gouvernement du Canada</t>
        </is>
      </c>
      <c r="H2752" s="1" t="n">
        <v>42661</v>
      </c>
      <c r="I2752" s="1" t="n">
        <v>42664</v>
      </c>
      <c r="J2752" t="inlineStr">
        <is>
          <t>Ottawa, Ontario</t>
        </is>
      </c>
      <c r="K2752" t="inlineStr">
        <is>
          <t>Ottawa (Ontario)</t>
        </is>
      </c>
      <c r="P2752" t="n">
        <v>662.1799999999999</v>
      </c>
      <c r="Q2752" t="n">
        <v>142.5</v>
      </c>
      <c r="R2752" t="n">
        <v>548.1900000000001</v>
      </c>
      <c r="S2752" t="n">
        <v>319.9</v>
      </c>
      <c r="T2752" t="n">
        <v>0</v>
      </c>
      <c r="U2752" t="n">
        <v>1672.77</v>
      </c>
      <c r="X2752" t="inlineStr">
        <is>
          <t>acoa-apeca</t>
        </is>
      </c>
      <c r="Y2752" t="inlineStr">
        <is>
          <t>Atlantic Canada Opportunities Agency | Agence de promotion économique du Canada atlantique</t>
        </is>
      </c>
      <c r="Z2752" t="n">
        <v>4</v>
      </c>
      <c r="AA2752" t="n">
        <v>1672.77</v>
      </c>
      <c r="AB2752">
        <f>ROUND(U2752-AA2752,2)</f>
        <v/>
      </c>
      <c r="AC2752" t="b">
        <v>0</v>
      </c>
      <c r="AD2752">
        <f>IF(U2752="","MISSING_TOTAL",IF(ABS(AB2752)&lt;=0.01,"OK","CHECK"))</f>
        <v/>
      </c>
      <c r="AE2752">
        <f>IF(U2752="","MISSING",IF(AND(AA2752&gt;0,U2752/AA2752&gt;50),"POSSIBLE_SCALE_ERROR","OK"))</f>
        <v/>
      </c>
    </row>
    <row r="2753">
      <c r="A2753" t="inlineStr">
        <is>
          <t>T-2017-Q3-00028</t>
        </is>
      </c>
      <c r="B2753" t="inlineStr">
        <is>
          <t>SLE</t>
        </is>
      </c>
      <c r="C2753" t="inlineStr">
        <is>
          <t>Vice-President, Finance and Corporate Services</t>
        </is>
      </c>
      <c r="D2753" t="inlineStr">
        <is>
          <t>Vice-présidente, Finances et Services corporatifs</t>
        </is>
      </c>
      <c r="E2753" t="inlineStr">
        <is>
          <t>Denise Frenette</t>
        </is>
      </c>
      <c r="F2753" t="inlineStr">
        <is>
          <t>For meeting with Agency officials</t>
        </is>
      </c>
      <c r="G2753" t="inlineStr">
        <is>
          <t>Réunion avec des fonctionnaires de l'Agence</t>
        </is>
      </c>
      <c r="H2753" s="1" t="n">
        <v>42655</v>
      </c>
      <c r="I2753" s="1" t="n">
        <v>42655</v>
      </c>
      <c r="J2753" t="inlineStr">
        <is>
          <t>Fredericton, New Brunswick</t>
        </is>
      </c>
      <c r="K2753" t="inlineStr">
        <is>
          <t>Fredericton (Nouveau-Brunswick)</t>
        </is>
      </c>
      <c r="P2753" t="n">
        <v>0</v>
      </c>
      <c r="Q2753" t="n">
        <v>42.47</v>
      </c>
      <c r="R2753" t="n">
        <v>0</v>
      </c>
      <c r="S2753" t="n">
        <v>17.25</v>
      </c>
      <c r="T2753" t="n">
        <v>0</v>
      </c>
      <c r="U2753" t="n">
        <v>59.72</v>
      </c>
      <c r="X2753" t="inlineStr">
        <is>
          <t>acoa-apeca</t>
        </is>
      </c>
      <c r="Y2753" t="inlineStr">
        <is>
          <t>Atlantic Canada Opportunities Agency | Agence de promotion économique du Canada atlantique</t>
        </is>
      </c>
      <c r="Z2753" t="n">
        <v>1</v>
      </c>
      <c r="AA2753" t="n">
        <v>59.72</v>
      </c>
      <c r="AB2753">
        <f>ROUND(U2753-AA2753,2)</f>
        <v/>
      </c>
      <c r="AC2753" t="b">
        <v>0</v>
      </c>
      <c r="AD2753">
        <f>IF(U2753="","MISSING_TOTAL",IF(ABS(AB2753)&lt;=0.01,"OK","CHECK"))</f>
        <v/>
      </c>
      <c r="AE2753">
        <f>IF(U2753="","MISSING",IF(AND(AA2753&gt;0,U2753/AA2753&gt;50),"POSSIBLE_SCALE_ERROR","OK"))</f>
        <v/>
      </c>
    </row>
    <row r="2754">
      <c r="A2754" t="inlineStr">
        <is>
          <t>T-2017-Q3-00027</t>
        </is>
      </c>
      <c r="B2754" t="inlineStr">
        <is>
          <t>SLE</t>
        </is>
      </c>
      <c r="C2754" t="inlineStr">
        <is>
          <t>Vice-President, New Brunswick</t>
        </is>
      </c>
      <c r="D2754" t="inlineStr">
        <is>
          <t>Vice-président, Nouveau-Brunswick</t>
        </is>
      </c>
      <c r="E2754" t="inlineStr">
        <is>
          <t>Kent Estabrooks</t>
        </is>
      </c>
      <c r="F2754" t="inlineStr">
        <is>
          <t>Meeting with stakeholders and Agency officials</t>
        </is>
      </c>
      <c r="G2754" t="inlineStr">
        <is>
          <t>Réunion avec des intervenants et des fonctionnaires de l'Agence</t>
        </is>
      </c>
      <c r="H2754" s="1" t="n">
        <v>42654</v>
      </c>
      <c r="I2754" s="1" t="n">
        <v>42654</v>
      </c>
      <c r="J2754" t="inlineStr">
        <is>
          <t>Moncton, New Brunswick</t>
        </is>
      </c>
      <c r="K2754" t="inlineStr">
        <is>
          <t>Moncton (Nouveau-Brunswick)</t>
        </is>
      </c>
      <c r="P2754" t="n">
        <v>0</v>
      </c>
      <c r="Q2754" t="n">
        <v>0</v>
      </c>
      <c r="R2754" t="n">
        <v>0</v>
      </c>
      <c r="S2754" t="n">
        <v>62.8</v>
      </c>
      <c r="T2754" t="n">
        <v>9</v>
      </c>
      <c r="U2754" t="n">
        <v>71.8</v>
      </c>
      <c r="X2754" t="inlineStr">
        <is>
          <t>acoa-apeca</t>
        </is>
      </c>
      <c r="Y2754" t="inlineStr">
        <is>
          <t>Atlantic Canada Opportunities Agency | Agence de promotion économique du Canada atlantique</t>
        </is>
      </c>
      <c r="Z2754" t="n">
        <v>1</v>
      </c>
      <c r="AA2754" t="n">
        <v>71.8</v>
      </c>
      <c r="AB2754">
        <f>ROUND(U2754-AA2754,2)</f>
        <v/>
      </c>
      <c r="AC2754" t="b">
        <v>0</v>
      </c>
      <c r="AD2754">
        <f>IF(U2754="","MISSING_TOTAL",IF(ABS(AB2754)&lt;=0.01,"OK","CHECK"))</f>
        <v/>
      </c>
      <c r="AE2754">
        <f>IF(U2754="","MISSING",IF(AND(AA2754&gt;0,U2754/AA2754&gt;50),"POSSIBLE_SCALE_ERROR","OK"))</f>
        <v/>
      </c>
    </row>
    <row r="2755">
      <c r="A2755" t="inlineStr">
        <is>
          <t>T-2017-Q1-00016</t>
        </is>
      </c>
      <c r="B2755" t="inlineStr">
        <is>
          <t>SLE</t>
        </is>
      </c>
      <c r="C2755" t="inlineStr">
        <is>
          <t>Vice President, Nova Scotia</t>
        </is>
      </c>
      <c r="D2755" t="inlineStr">
        <is>
          <t>Vice-président, Nouvelle-Écosse</t>
        </is>
      </c>
      <c r="E2755" t="inlineStr">
        <is>
          <t>Peter Hogan</t>
        </is>
      </c>
      <c r="F2755" t="inlineStr">
        <is>
          <t>Community outreach and event</t>
        </is>
      </c>
      <c r="G2755" t="inlineStr">
        <is>
          <t>Sensibilisation et activité communautaire</t>
        </is>
      </c>
      <c r="H2755" s="1" t="n">
        <v>42462</v>
      </c>
      <c r="I2755" s="1" t="n">
        <v>42462</v>
      </c>
      <c r="J2755" t="inlineStr">
        <is>
          <t>Sydney, Nova Scotia</t>
        </is>
      </c>
      <c r="K2755" t="inlineStr">
        <is>
          <t>Sydney (Nouvelle-Écosse)</t>
        </is>
      </c>
      <c r="P2755" t="n">
        <v>523.72</v>
      </c>
      <c r="Q2755" t="n">
        <v>36.48</v>
      </c>
      <c r="R2755" t="n">
        <v>0</v>
      </c>
      <c r="S2755" t="n">
        <v>45</v>
      </c>
      <c r="T2755" t="n">
        <v>0</v>
      </c>
      <c r="U2755" t="n">
        <v>605.2</v>
      </c>
      <c r="X2755" t="inlineStr">
        <is>
          <t>acoa-apeca</t>
        </is>
      </c>
      <c r="Y2755" t="inlineStr">
        <is>
          <t>Atlantic Canada Opportunities Agency | Agence de promotion économique du Canada atlantique</t>
        </is>
      </c>
      <c r="Z2755" t="n">
        <v>1</v>
      </c>
      <c r="AA2755" t="n">
        <v>605.2</v>
      </c>
      <c r="AB2755">
        <f>ROUND(U2755-AA2755,2)</f>
        <v/>
      </c>
      <c r="AC2755" t="b">
        <v>0</v>
      </c>
      <c r="AD2755">
        <f>IF(U2755="","MISSING_TOTAL",IF(ABS(AB2755)&lt;=0.01,"OK","CHECK"))</f>
        <v/>
      </c>
      <c r="AE2755">
        <f>IF(U2755="","MISSING",IF(AND(AA2755&gt;0,U2755/AA2755&gt;50),"POSSIBLE_SCALE_ERROR","OK"))</f>
        <v/>
      </c>
    </row>
    <row r="2756">
      <c r="A2756" t="inlineStr">
        <is>
          <t>T-2017-Q3-00026</t>
        </is>
      </c>
      <c r="B2756" t="inlineStr">
        <is>
          <t>SLE</t>
        </is>
      </c>
      <c r="C2756" t="inlineStr">
        <is>
          <t>Vice-President, Finance and Corporate Services</t>
        </is>
      </c>
      <c r="D2756" t="inlineStr">
        <is>
          <t>Vice-présidente, Finances et Services corporatifs</t>
        </is>
      </c>
      <c r="E2756" t="inlineStr">
        <is>
          <t>Denise Frenette</t>
        </is>
      </c>
      <c r="F2756" t="inlineStr">
        <is>
          <t>For meeting with Agency officials</t>
        </is>
      </c>
      <c r="G2756" t="inlineStr">
        <is>
          <t>Réunion avec des fonctionnaires de l'Agence</t>
        </is>
      </c>
      <c r="H2756" s="1" t="n">
        <v>42654</v>
      </c>
      <c r="I2756" s="1" t="n">
        <v>42654</v>
      </c>
      <c r="J2756" t="inlineStr">
        <is>
          <t>Halifax, Nova Scotia</t>
        </is>
      </c>
      <c r="K2756" t="inlineStr">
        <is>
          <t>Halifax (Nouvelle-Écosse)</t>
        </is>
      </c>
      <c r="P2756" t="n">
        <v>0</v>
      </c>
      <c r="Q2756" t="n">
        <v>42.47</v>
      </c>
      <c r="R2756" t="n">
        <v>0</v>
      </c>
      <c r="S2756" t="n">
        <v>17.25</v>
      </c>
      <c r="T2756" t="n">
        <v>0</v>
      </c>
      <c r="U2756" t="n">
        <v>59.72</v>
      </c>
      <c r="X2756" t="inlineStr">
        <is>
          <t>acoa-apeca</t>
        </is>
      </c>
      <c r="Y2756" t="inlineStr">
        <is>
          <t>Atlantic Canada Opportunities Agency | Agence de promotion économique du Canada atlantique</t>
        </is>
      </c>
      <c r="Z2756" t="n">
        <v>1</v>
      </c>
      <c r="AA2756" t="n">
        <v>59.72</v>
      </c>
      <c r="AB2756">
        <f>ROUND(U2756-AA2756,2)</f>
        <v/>
      </c>
      <c r="AC2756" t="b">
        <v>0</v>
      </c>
      <c r="AD2756">
        <f>IF(U2756="","MISSING_TOTAL",IF(ABS(AB2756)&lt;=0.01,"OK","CHECK"))</f>
        <v/>
      </c>
      <c r="AE2756">
        <f>IF(U2756="","MISSING",IF(AND(AA2756&gt;0,U2756/AA2756&gt;50),"POSSIBLE_SCALE_ERROR","OK"))</f>
        <v/>
      </c>
    </row>
    <row r="2757">
      <c r="A2757" t="inlineStr">
        <is>
          <t>T-2017-Q3-00025</t>
        </is>
      </c>
      <c r="B2757" t="inlineStr">
        <is>
          <t>SLE</t>
        </is>
      </c>
      <c r="C2757" t="inlineStr">
        <is>
          <t>Vice President, Nova Scotia</t>
        </is>
      </c>
      <c r="D2757" t="inlineStr">
        <is>
          <t>Vice-président, Nouvelle-Écosse</t>
        </is>
      </c>
      <c r="E2757" t="inlineStr">
        <is>
          <t>Peter Hogan</t>
        </is>
      </c>
      <c r="F2757" t="inlineStr">
        <is>
          <t>Meetings with Agency officials and attended Investor Summit</t>
        </is>
      </c>
      <c r="G2757" t="inlineStr">
        <is>
          <t>Réunions avec des fonctionnaires de l'Agence et participation au sommet des investisseurs</t>
        </is>
      </c>
      <c r="H2757" s="1" t="n">
        <v>42648</v>
      </c>
      <c r="I2757" s="1" t="n">
        <v>42650</v>
      </c>
      <c r="J2757" t="inlineStr">
        <is>
          <t>Sydney, Nova Scotia</t>
        </is>
      </c>
      <c r="K2757" t="inlineStr">
        <is>
          <t>Sydney (Nouvelle-Écosse)</t>
        </is>
      </c>
      <c r="P2757" t="n">
        <v>627.9</v>
      </c>
      <c r="Q2757" t="n">
        <v>39.4</v>
      </c>
      <c r="R2757" t="n">
        <v>280.21</v>
      </c>
      <c r="S2757" t="n">
        <v>131.7</v>
      </c>
      <c r="T2757" t="n">
        <v>42</v>
      </c>
      <c r="U2757" t="n">
        <v>1121.21</v>
      </c>
      <c r="X2757" t="inlineStr">
        <is>
          <t>acoa-apeca</t>
        </is>
      </c>
      <c r="Y2757" t="inlineStr">
        <is>
          <t>Atlantic Canada Opportunities Agency | Agence de promotion économique du Canada atlantique</t>
        </is>
      </c>
      <c r="Z2757" t="n">
        <v>3</v>
      </c>
      <c r="AA2757" t="n">
        <v>1121.21</v>
      </c>
      <c r="AB2757">
        <f>ROUND(U2757-AA2757,2)</f>
        <v/>
      </c>
      <c r="AC2757" t="b">
        <v>0</v>
      </c>
      <c r="AD2757">
        <f>IF(U2757="","MISSING_TOTAL",IF(ABS(AB2757)&lt;=0.01,"OK","CHECK"))</f>
        <v/>
      </c>
      <c r="AE2757">
        <f>IF(U2757="","MISSING",IF(AND(AA2757&gt;0,U2757/AA2757&gt;50),"POSSIBLE_SCALE_ERROR","OK"))</f>
        <v/>
      </c>
    </row>
    <row r="2758">
      <c r="A2758" t="inlineStr">
        <is>
          <t>T-2017-Q3-00024</t>
        </is>
      </c>
      <c r="B2758" t="inlineStr">
        <is>
          <t>SLE</t>
        </is>
      </c>
      <c r="C2758" t="inlineStr">
        <is>
          <t>President</t>
        </is>
      </c>
      <c r="D2758" t="inlineStr">
        <is>
          <t>Président</t>
        </is>
      </c>
      <c r="E2758" t="inlineStr">
        <is>
          <t>Paul J. LeBlanc</t>
        </is>
      </c>
      <c r="F2758" t="inlineStr">
        <is>
          <t>For a meeting and discussions with Agency officials and Government of Canada officials</t>
        </is>
      </c>
      <c r="G2758" t="inlineStr">
        <is>
          <t>Réunion et discussions avec des fonctionnaires de l'Agence et du gouvernement du Canada</t>
        </is>
      </c>
      <c r="H2758" s="1" t="n">
        <v>42648</v>
      </c>
      <c r="I2758" s="1" t="n">
        <v>42649</v>
      </c>
      <c r="J2758" t="inlineStr">
        <is>
          <t>Charlottetown, Prince Edward Island</t>
        </is>
      </c>
      <c r="K2758" t="inlineStr">
        <is>
          <t>Charlottetown (Île-du-Prince-Édouard)</t>
        </is>
      </c>
      <c r="P2758" t="n">
        <v>0</v>
      </c>
      <c r="Q2758" t="n">
        <v>0</v>
      </c>
      <c r="R2758" t="n">
        <v>176.49</v>
      </c>
      <c r="S2758" t="n">
        <v>142.7</v>
      </c>
      <c r="T2758" t="n">
        <v>65.55</v>
      </c>
      <c r="U2758" t="n">
        <v>384.74</v>
      </c>
      <c r="X2758" t="inlineStr">
        <is>
          <t>acoa-apeca</t>
        </is>
      </c>
      <c r="Y2758" t="inlineStr">
        <is>
          <t>Atlantic Canada Opportunities Agency | Agence de promotion économique du Canada atlantique</t>
        </is>
      </c>
      <c r="Z2758" t="n">
        <v>2</v>
      </c>
      <c r="AA2758" t="n">
        <v>384.74</v>
      </c>
      <c r="AB2758">
        <f>ROUND(U2758-AA2758,2)</f>
        <v/>
      </c>
      <c r="AC2758" t="b">
        <v>0</v>
      </c>
      <c r="AD2758">
        <f>IF(U2758="","MISSING_TOTAL",IF(ABS(AB2758)&lt;=0.01,"OK","CHECK"))</f>
        <v/>
      </c>
      <c r="AE2758">
        <f>IF(U2758="","MISSING",IF(AND(AA2758&gt;0,U2758/AA2758&gt;50),"POSSIBLE_SCALE_ERROR","OK"))</f>
        <v/>
      </c>
    </row>
    <row r="2759">
      <c r="A2759" t="inlineStr">
        <is>
          <t>T-2017-Q3-00023</t>
        </is>
      </c>
      <c r="B2759" t="inlineStr">
        <is>
          <t>SLE</t>
        </is>
      </c>
      <c r="C2759" t="inlineStr">
        <is>
          <t>Vice-President, New Brunswick</t>
        </is>
      </c>
      <c r="D2759" t="inlineStr">
        <is>
          <t>Vice-président, Nouveau-Brunswick</t>
        </is>
      </c>
      <c r="E2759" t="inlineStr">
        <is>
          <t>Kent Estabrooks</t>
        </is>
      </c>
      <c r="F2759" t="inlineStr">
        <is>
          <t>Meetings with various Government of Canada officials</t>
        </is>
      </c>
      <c r="G2759" t="inlineStr">
        <is>
          <t>Réunions avec divers fonctionnaires du gouvernement du Canada</t>
        </is>
      </c>
      <c r="H2759" s="1" t="n">
        <v>42646</v>
      </c>
      <c r="I2759" s="1" t="n">
        <v>42648</v>
      </c>
      <c r="J2759" t="inlineStr">
        <is>
          <t>Ottawa, Ontario</t>
        </is>
      </c>
      <c r="K2759" t="inlineStr">
        <is>
          <t>Ottawa (Ontario)</t>
        </is>
      </c>
      <c r="P2759" t="n">
        <v>658.55</v>
      </c>
      <c r="Q2759" t="n">
        <v>124.7</v>
      </c>
      <c r="R2759" t="n">
        <v>393.4</v>
      </c>
      <c r="S2759" t="n">
        <v>223.05</v>
      </c>
      <c r="T2759" t="n">
        <v>0</v>
      </c>
      <c r="U2759" t="n">
        <v>1399.7</v>
      </c>
      <c r="X2759" t="inlineStr">
        <is>
          <t>acoa-apeca</t>
        </is>
      </c>
      <c r="Y2759" t="inlineStr">
        <is>
          <t>Atlantic Canada Opportunities Agency | Agence de promotion économique du Canada atlantique</t>
        </is>
      </c>
      <c r="Z2759" t="n">
        <v>3</v>
      </c>
      <c r="AA2759" t="n">
        <v>1399.7</v>
      </c>
      <c r="AB2759">
        <f>ROUND(U2759-AA2759,2)</f>
        <v/>
      </c>
      <c r="AC2759" t="b">
        <v>0</v>
      </c>
      <c r="AD2759">
        <f>IF(U2759="","MISSING_TOTAL",IF(ABS(AB2759)&lt;=0.01,"OK","CHECK"))</f>
        <v/>
      </c>
      <c r="AE2759">
        <f>IF(U2759="","MISSING",IF(AND(AA2759&gt;0,U2759/AA2759&gt;50),"POSSIBLE_SCALE_ERROR","OK"))</f>
        <v/>
      </c>
    </row>
    <row r="2760">
      <c r="A2760" t="inlineStr">
        <is>
          <t>T-2017-Q3-00022</t>
        </is>
      </c>
      <c r="B2760" t="inlineStr">
        <is>
          <t>SLE</t>
        </is>
      </c>
      <c r="C2760" t="inlineStr">
        <is>
          <t>Vice-President, Prince Edward Island</t>
        </is>
      </c>
      <c r="D2760" t="inlineStr">
        <is>
          <t>Vice-président, Île-du-Prince-Édouard</t>
        </is>
      </c>
      <c r="E2760" t="inlineStr">
        <is>
          <t>Patrick Dorsey</t>
        </is>
      </c>
      <c r="F2760" t="inlineStr">
        <is>
          <t>Atlantic tourism stakeholders meetings</t>
        </is>
      </c>
      <c r="G2760" t="inlineStr">
        <is>
          <t>Réunions avec des intervenants du tourisme en Atlantique</t>
        </is>
      </c>
      <c r="H2760" s="1" t="n">
        <v>42646</v>
      </c>
      <c r="I2760" s="1" t="n">
        <v>42648</v>
      </c>
      <c r="J2760" t="inlineStr">
        <is>
          <t>Fredericton, New Brunswick</t>
        </is>
      </c>
      <c r="K2760" t="inlineStr">
        <is>
          <t>Fredericton (Nouveau-Brunswick)</t>
        </is>
      </c>
      <c r="P2760" t="n">
        <v>0</v>
      </c>
      <c r="Q2760" t="n">
        <v>59</v>
      </c>
      <c r="R2760" t="n">
        <v>289.8</v>
      </c>
      <c r="S2760" t="n">
        <v>148.95</v>
      </c>
      <c r="T2760" t="n">
        <v>0</v>
      </c>
      <c r="U2760" t="n">
        <v>497.75</v>
      </c>
      <c r="X2760" t="inlineStr">
        <is>
          <t>acoa-apeca</t>
        </is>
      </c>
      <c r="Y2760" t="inlineStr">
        <is>
          <t>Atlantic Canada Opportunities Agency | Agence de promotion économique du Canada atlantique</t>
        </is>
      </c>
      <c r="Z2760" t="n">
        <v>3</v>
      </c>
      <c r="AA2760" t="n">
        <v>497.75</v>
      </c>
      <c r="AB2760">
        <f>ROUND(U2760-AA2760,2)</f>
        <v/>
      </c>
      <c r="AC2760" t="b">
        <v>0</v>
      </c>
      <c r="AD2760">
        <f>IF(U2760="","MISSING_TOTAL",IF(ABS(AB2760)&lt;=0.01,"OK","CHECK"))</f>
        <v/>
      </c>
      <c r="AE2760">
        <f>IF(U2760="","MISSING",IF(AND(AA2760&gt;0,U2760/AA2760&gt;50),"POSSIBLE_SCALE_ERROR","OK"))</f>
        <v/>
      </c>
    </row>
    <row r="2761">
      <c r="A2761" t="inlineStr">
        <is>
          <t>T-2017-Q3-00021</t>
        </is>
      </c>
      <c r="B2761" t="inlineStr">
        <is>
          <t>SLE</t>
        </is>
      </c>
      <c r="C2761" t="inlineStr">
        <is>
          <t>Vice-President, Policy and Programs</t>
        </is>
      </c>
      <c r="D2761" t="inlineStr">
        <is>
          <t>Vice-président, Politiques et Programmes</t>
        </is>
      </c>
      <c r="E2761" t="inlineStr">
        <is>
          <t>Daryell Nowlan</t>
        </is>
      </c>
      <c r="F2761" t="inlineStr">
        <is>
          <t>Meetings with Government of Canada officials and provincial government officials</t>
        </is>
      </c>
      <c r="G2761" t="inlineStr">
        <is>
          <t>Réunions avec des fonctionnaires fédéraux et provinciaux</t>
        </is>
      </c>
      <c r="H2761" s="1" t="n">
        <v>42646</v>
      </c>
      <c r="I2761" s="1" t="n">
        <v>42649</v>
      </c>
      <c r="J2761" t="inlineStr">
        <is>
          <t>Toronto, Ontario and Charlottetown, Prince Edward Island</t>
        </is>
      </c>
      <c r="K2761" t="inlineStr">
        <is>
          <t>Toronto (Ontario) et Charlottetown (Île-du-Prince-Édouard)</t>
        </is>
      </c>
      <c r="P2761" t="n">
        <v>644.1</v>
      </c>
      <c r="Q2761" t="n">
        <v>75</v>
      </c>
      <c r="R2761" t="n">
        <v>621.83</v>
      </c>
      <c r="S2761" t="n">
        <v>268.65</v>
      </c>
      <c r="T2761" t="n">
        <v>0</v>
      </c>
      <c r="U2761" t="n">
        <v>1609.58</v>
      </c>
      <c r="X2761" t="inlineStr">
        <is>
          <t>acoa-apeca</t>
        </is>
      </c>
      <c r="Y2761" t="inlineStr">
        <is>
          <t>Atlantic Canada Opportunities Agency | Agence de promotion économique du Canada atlantique</t>
        </is>
      </c>
      <c r="Z2761" t="n">
        <v>4</v>
      </c>
      <c r="AA2761" t="n">
        <v>1609.58</v>
      </c>
      <c r="AB2761">
        <f>ROUND(U2761-AA2761,2)</f>
        <v/>
      </c>
      <c r="AC2761" t="b">
        <v>0</v>
      </c>
      <c r="AD2761">
        <f>IF(U2761="","MISSING_TOTAL",IF(ABS(AB2761)&lt;=0.01,"OK","CHECK"))</f>
        <v/>
      </c>
      <c r="AE2761">
        <f>IF(U2761="","MISSING",IF(AND(AA2761&gt;0,U2761/AA2761&gt;50),"POSSIBLE_SCALE_ERROR","OK"))</f>
        <v/>
      </c>
    </row>
    <row r="2762">
      <c r="A2762" t="inlineStr">
        <is>
          <t>T-2017-Q3-00020</t>
        </is>
      </c>
      <c r="B2762" t="inlineStr">
        <is>
          <t>SLE</t>
        </is>
      </c>
      <c r="C2762" t="inlineStr">
        <is>
          <t>President</t>
        </is>
      </c>
      <c r="D2762" t="inlineStr">
        <is>
          <t>Président</t>
        </is>
      </c>
      <c r="E2762" t="inlineStr">
        <is>
          <t>Paul J. LeBlanc</t>
        </is>
      </c>
      <c r="F2762" t="inlineStr">
        <is>
          <t>For various meetings and discussions with Agency officials and Government of Canada officials</t>
        </is>
      </c>
      <c r="G2762" t="inlineStr">
        <is>
          <t>Diverses réunions et discussions avec des fonctionnaires de l'Agence et du gouvernement du Canada</t>
        </is>
      </c>
      <c r="H2762" s="1" t="n">
        <v>42646</v>
      </c>
      <c r="I2762" s="1" t="n">
        <v>42647</v>
      </c>
      <c r="J2762" t="inlineStr">
        <is>
          <t>Toronto, Ontario</t>
        </is>
      </c>
      <c r="K2762" t="inlineStr">
        <is>
          <t>Toronto (Ontario)</t>
        </is>
      </c>
      <c r="P2762" t="n">
        <v>644.1</v>
      </c>
      <c r="Q2762" t="n">
        <v>0</v>
      </c>
      <c r="R2762" t="n">
        <v>214.49</v>
      </c>
      <c r="S2762" t="n">
        <v>142.7</v>
      </c>
      <c r="T2762" t="n">
        <v>32</v>
      </c>
      <c r="U2762" t="n">
        <v>1033.29</v>
      </c>
      <c r="X2762" t="inlineStr">
        <is>
          <t>acoa-apeca</t>
        </is>
      </c>
      <c r="Y2762" t="inlineStr">
        <is>
          <t>Atlantic Canada Opportunities Agency | Agence de promotion économique du Canada atlantique</t>
        </is>
      </c>
      <c r="Z2762" t="n">
        <v>2</v>
      </c>
      <c r="AA2762" t="n">
        <v>1033.29</v>
      </c>
      <c r="AB2762">
        <f>ROUND(U2762-AA2762,2)</f>
        <v/>
      </c>
      <c r="AC2762" t="b">
        <v>0</v>
      </c>
      <c r="AD2762">
        <f>IF(U2762="","MISSING_TOTAL",IF(ABS(AB2762)&lt;=0.01,"OK","CHECK"))</f>
        <v/>
      </c>
      <c r="AE2762">
        <f>IF(U2762="","MISSING",IF(AND(AA2762&gt;0,U2762/AA2762&gt;50),"POSSIBLE_SCALE_ERROR","OK"))</f>
        <v/>
      </c>
    </row>
    <row r="2763">
      <c r="A2763" t="inlineStr">
        <is>
          <t>T-2017-Q3-00019</t>
        </is>
      </c>
      <c r="B2763" t="inlineStr">
        <is>
          <t>SLE</t>
        </is>
      </c>
      <c r="C2763" t="inlineStr">
        <is>
          <t>President</t>
        </is>
      </c>
      <c r="D2763" t="inlineStr">
        <is>
          <t>Président</t>
        </is>
      </c>
      <c r="E2763" t="inlineStr">
        <is>
          <t>Paul J. LeBlanc</t>
        </is>
      </c>
      <c r="F2763" t="inlineStr">
        <is>
          <t>For various meetings and discussions with Agency officials and Government of Canada officials</t>
        </is>
      </c>
      <c r="G2763" t="inlineStr">
        <is>
          <t>Diverses réunions et discussions avec des fonctionnaires de l'Agence et du gouvernement du Canada</t>
        </is>
      </c>
      <c r="H2763" s="1" t="n">
        <v>42643</v>
      </c>
      <c r="I2763" s="1" t="n">
        <v>42643</v>
      </c>
      <c r="J2763" t="inlineStr">
        <is>
          <t>Halifax, Nova Scotia</t>
        </is>
      </c>
      <c r="K2763" t="inlineStr">
        <is>
          <t>Halifax (Nouvelle-Écosse)</t>
        </is>
      </c>
      <c r="P2763" t="n">
        <v>0</v>
      </c>
      <c r="Q2763" t="n">
        <v>0</v>
      </c>
      <c r="R2763" t="n">
        <v>0</v>
      </c>
      <c r="S2763" t="n">
        <v>0</v>
      </c>
      <c r="T2763" t="n">
        <v>14</v>
      </c>
      <c r="U2763" t="n">
        <v>14</v>
      </c>
      <c r="X2763" t="inlineStr">
        <is>
          <t>acoa-apeca</t>
        </is>
      </c>
      <c r="Y2763" t="inlineStr">
        <is>
          <t>Atlantic Canada Opportunities Agency | Agence de promotion économique du Canada atlantique</t>
        </is>
      </c>
      <c r="Z2763" t="n">
        <v>1</v>
      </c>
      <c r="AA2763" t="n">
        <v>14</v>
      </c>
      <c r="AB2763">
        <f>ROUND(U2763-AA2763,2)</f>
        <v/>
      </c>
      <c r="AC2763" t="b">
        <v>0</v>
      </c>
      <c r="AD2763">
        <f>IF(U2763="","MISSING_TOTAL",IF(ABS(AB2763)&lt;=0.01,"OK","CHECK"))</f>
        <v/>
      </c>
      <c r="AE2763">
        <f>IF(U2763="","MISSING",IF(AND(AA2763&gt;0,U2763/AA2763&gt;50),"POSSIBLE_SCALE_ERROR","OK"))</f>
        <v/>
      </c>
    </row>
    <row r="2764">
      <c r="A2764" t="inlineStr">
        <is>
          <t>T-2017-Q3-00018</t>
        </is>
      </c>
      <c r="B2764" t="inlineStr">
        <is>
          <t>SLE</t>
        </is>
      </c>
      <c r="C2764" t="inlineStr">
        <is>
          <t>Vice-President, Finance and Corporate Services</t>
        </is>
      </c>
      <c r="D2764" t="inlineStr">
        <is>
          <t>Vice-présidente, Finances et Services corporatifs</t>
        </is>
      </c>
      <c r="E2764" t="inlineStr">
        <is>
          <t>Denise Frenette</t>
        </is>
      </c>
      <c r="F2764" t="inlineStr">
        <is>
          <t>Presentation to students in finance program, and meeting with Agency officials</t>
        </is>
      </c>
      <c r="G2764" t="inlineStr">
        <is>
          <t>Exposé présenté à des étudiants en finances et réunion avec des fonctionnaires de l'Agence</t>
        </is>
      </c>
      <c r="H2764" s="1" t="n">
        <v>42641</v>
      </c>
      <c r="I2764" s="1" t="n">
        <v>42641</v>
      </c>
      <c r="J2764" t="inlineStr">
        <is>
          <t>Charlottetown, Prince Edward Island</t>
        </is>
      </c>
      <c r="K2764" t="inlineStr">
        <is>
          <t>Charlottetown (Île-du-Prince-Édouard)</t>
        </is>
      </c>
      <c r="P2764" t="n">
        <v>0</v>
      </c>
      <c r="Q2764" t="n">
        <v>0</v>
      </c>
      <c r="R2764" t="n">
        <v>0</v>
      </c>
      <c r="S2764" t="n">
        <v>17</v>
      </c>
      <c r="T2764" t="n">
        <v>4</v>
      </c>
      <c r="U2764" t="n">
        <v>21</v>
      </c>
      <c r="X2764" t="inlineStr">
        <is>
          <t>acoa-apeca</t>
        </is>
      </c>
      <c r="Y2764" t="inlineStr">
        <is>
          <t>Atlantic Canada Opportunities Agency | Agence de promotion économique du Canada atlantique</t>
        </is>
      </c>
      <c r="Z2764" t="n">
        <v>1</v>
      </c>
      <c r="AA2764" t="n">
        <v>21</v>
      </c>
      <c r="AB2764">
        <f>ROUND(U2764-AA2764,2)</f>
        <v/>
      </c>
      <c r="AC2764" t="b">
        <v>0</v>
      </c>
      <c r="AD2764">
        <f>IF(U2764="","MISSING_TOTAL",IF(ABS(AB2764)&lt;=0.01,"OK","CHECK"))</f>
        <v/>
      </c>
      <c r="AE2764">
        <f>IF(U2764="","MISSING",IF(AND(AA2764&gt;0,U2764/AA2764&gt;50),"POSSIBLE_SCALE_ERROR","OK"))</f>
        <v/>
      </c>
    </row>
    <row r="2765">
      <c r="A2765" t="inlineStr">
        <is>
          <t>T-2017-Q3-00017</t>
        </is>
      </c>
      <c r="B2765" t="inlineStr">
        <is>
          <t>SLE</t>
        </is>
      </c>
      <c r="C2765" t="inlineStr">
        <is>
          <t>President</t>
        </is>
      </c>
      <c r="D2765" t="inlineStr">
        <is>
          <t>Président</t>
        </is>
      </c>
      <c r="E2765" t="inlineStr">
        <is>
          <t>Paul J. LeBlanc</t>
        </is>
      </c>
      <c r="F2765" t="inlineStr">
        <is>
          <t>For a meeting with Government of Canada official</t>
        </is>
      </c>
      <c r="G2765" t="inlineStr">
        <is>
          <t>Réunion avec un fonctionnaire du gouvernement du Canada</t>
        </is>
      </c>
      <c r="H2765" s="1" t="n">
        <v>42641</v>
      </c>
      <c r="I2765" s="1" t="n">
        <v>42641</v>
      </c>
      <c r="J2765" t="inlineStr">
        <is>
          <t>Charlottetown, Prince Edward Island</t>
        </is>
      </c>
      <c r="K2765" t="inlineStr">
        <is>
          <t>Charlottetown (Île-du-Prince-Édouard)</t>
        </is>
      </c>
      <c r="P2765" t="n">
        <v>0</v>
      </c>
      <c r="Q2765" t="n">
        <v>46</v>
      </c>
      <c r="R2765" t="n">
        <v>0</v>
      </c>
      <c r="S2765" t="n">
        <v>0</v>
      </c>
      <c r="T2765" t="n">
        <v>5</v>
      </c>
      <c r="U2765" t="n">
        <v>51</v>
      </c>
      <c r="X2765" t="inlineStr">
        <is>
          <t>acoa-apeca</t>
        </is>
      </c>
      <c r="Y2765" t="inlineStr">
        <is>
          <t>Atlantic Canada Opportunities Agency | Agence de promotion économique du Canada atlantique</t>
        </is>
      </c>
      <c r="Z2765" t="n">
        <v>1</v>
      </c>
      <c r="AA2765" t="n">
        <v>51</v>
      </c>
      <c r="AB2765">
        <f>ROUND(U2765-AA2765,2)</f>
        <v/>
      </c>
      <c r="AC2765" t="b">
        <v>0</v>
      </c>
      <c r="AD2765">
        <f>IF(U2765="","MISSING_TOTAL",IF(ABS(AB2765)&lt;=0.01,"OK","CHECK"))</f>
        <v/>
      </c>
      <c r="AE2765">
        <f>IF(U2765="","MISSING",IF(AND(AA2765&gt;0,U2765/AA2765&gt;50),"POSSIBLE_SCALE_ERROR","OK"))</f>
        <v/>
      </c>
    </row>
    <row r="2766">
      <c r="A2766" t="inlineStr">
        <is>
          <t>T-2017-Q3-00016</t>
        </is>
      </c>
      <c r="B2766" t="inlineStr">
        <is>
          <t>SLE</t>
        </is>
      </c>
      <c r="C2766" t="inlineStr">
        <is>
          <t>Vice-President, Finance and Corporate Services</t>
        </is>
      </c>
      <c r="D2766" t="inlineStr">
        <is>
          <t>Vice-présidente, Finances et Services corporatifs</t>
        </is>
      </c>
      <c r="E2766" t="inlineStr">
        <is>
          <t>Denise Frenette</t>
        </is>
      </c>
      <c r="F2766" t="inlineStr">
        <is>
          <t>Presentation to students in finance program</t>
        </is>
      </c>
      <c r="G2766" t="inlineStr">
        <is>
          <t>Exposé présenté à des étudiants en finances</t>
        </is>
      </c>
      <c r="H2766" s="1" t="n">
        <v>42640</v>
      </c>
      <c r="I2766" s="1" t="n">
        <v>42640</v>
      </c>
      <c r="J2766" t="inlineStr">
        <is>
          <t>Fredericton, New Brunswick</t>
        </is>
      </c>
      <c r="K2766" t="inlineStr">
        <is>
          <t>Fredericton (Nouveau-Brunswick)</t>
        </is>
      </c>
      <c r="P2766" t="n">
        <v>0</v>
      </c>
      <c r="Q2766" t="n">
        <v>0</v>
      </c>
      <c r="R2766" t="n">
        <v>0</v>
      </c>
      <c r="S2766" t="n">
        <v>17</v>
      </c>
      <c r="T2766" t="n">
        <v>0</v>
      </c>
      <c r="U2766" t="n">
        <v>17</v>
      </c>
      <c r="X2766" t="inlineStr">
        <is>
          <t>acoa-apeca</t>
        </is>
      </c>
      <c r="Y2766" t="inlineStr">
        <is>
          <t>Atlantic Canada Opportunities Agency | Agence de promotion économique du Canada atlantique</t>
        </is>
      </c>
      <c r="Z2766" t="n">
        <v>1</v>
      </c>
      <c r="AA2766" t="n">
        <v>17</v>
      </c>
      <c r="AB2766">
        <f>ROUND(U2766-AA2766,2)</f>
        <v/>
      </c>
      <c r="AC2766" t="b">
        <v>0</v>
      </c>
      <c r="AD2766">
        <f>IF(U2766="","MISSING_TOTAL",IF(ABS(AB2766)&lt;=0.01,"OK","CHECK"))</f>
        <v/>
      </c>
      <c r="AE2766">
        <f>IF(U2766="","MISSING",IF(AND(AA2766&gt;0,U2766/AA2766&gt;50),"POSSIBLE_SCALE_ERROR","OK"))</f>
        <v/>
      </c>
    </row>
    <row r="2767">
      <c r="A2767" t="inlineStr">
        <is>
          <t>T-2017-Q3-00015</t>
        </is>
      </c>
      <c r="B2767" t="inlineStr">
        <is>
          <t>SLE</t>
        </is>
      </c>
      <c r="C2767" t="inlineStr">
        <is>
          <t>Vice President, Nova Scotia</t>
        </is>
      </c>
      <c r="D2767" t="inlineStr">
        <is>
          <t>Vice-président, Nouvelle-Écosse</t>
        </is>
      </c>
      <c r="E2767" t="inlineStr">
        <is>
          <t>Peter Hogan</t>
        </is>
      </c>
      <c r="F2767" t="inlineStr">
        <is>
          <t>Meetings with Agency officials and attended the Innovation Energy Summit</t>
        </is>
      </c>
      <c r="G2767" t="inlineStr">
        <is>
          <t>Réunions avec des fonctionnaires de l'Agence et participation au sommet de l'innovation énergétique</t>
        </is>
      </c>
      <c r="H2767" s="1" t="n">
        <v>42639</v>
      </c>
      <c r="I2767" s="1" t="n">
        <v>42639</v>
      </c>
      <c r="J2767" t="inlineStr">
        <is>
          <t>Sydney, Nova Scotia</t>
        </is>
      </c>
      <c r="K2767" t="inlineStr">
        <is>
          <t>Sydney (Nouvelle-Écosse)</t>
        </is>
      </c>
      <c r="P2767" t="n">
        <v>234.6</v>
      </c>
      <c r="Q2767" t="n">
        <v>39.4</v>
      </c>
      <c r="R2767" t="n">
        <v>0</v>
      </c>
      <c r="S2767" t="n">
        <v>45</v>
      </c>
      <c r="T2767" t="n">
        <v>21</v>
      </c>
      <c r="U2767" t="n">
        <v>340</v>
      </c>
      <c r="X2767" t="inlineStr">
        <is>
          <t>acoa-apeca</t>
        </is>
      </c>
      <c r="Y2767" t="inlineStr">
        <is>
          <t>Atlantic Canada Opportunities Agency | Agence de promotion économique du Canada atlantique</t>
        </is>
      </c>
      <c r="Z2767" t="n">
        <v>1</v>
      </c>
      <c r="AA2767" t="n">
        <v>340</v>
      </c>
      <c r="AB2767">
        <f>ROUND(U2767-AA2767,2)</f>
        <v/>
      </c>
      <c r="AC2767" t="b">
        <v>0</v>
      </c>
      <c r="AD2767">
        <f>IF(U2767="","MISSING_TOTAL",IF(ABS(AB2767)&lt;=0.01,"OK","CHECK"))</f>
        <v/>
      </c>
      <c r="AE2767">
        <f>IF(U2767="","MISSING",IF(AND(AA2767&gt;0,U2767/AA2767&gt;50),"POSSIBLE_SCALE_ERROR","OK"))</f>
        <v/>
      </c>
    </row>
    <row r="2768">
      <c r="A2768" t="inlineStr">
        <is>
          <t>T-2017-Q3-00014</t>
        </is>
      </c>
      <c r="B2768" t="inlineStr">
        <is>
          <t>SLE</t>
        </is>
      </c>
      <c r="C2768" t="inlineStr">
        <is>
          <t>Vice President, Nova Scotia</t>
        </is>
      </c>
      <c r="D2768" t="inlineStr">
        <is>
          <t>Vice-président, Nouvelle-Écosse</t>
        </is>
      </c>
      <c r="E2768" t="inlineStr">
        <is>
          <t>Peter Hogan</t>
        </is>
      </c>
      <c r="F2768" t="inlineStr">
        <is>
          <t>Various meetings with Agency and Government of Canada officials and appearance before the Standing Committee on Finance</t>
        </is>
      </c>
      <c r="G2768" t="inlineStr">
        <is>
          <t>Diverses réunions avec des fonctionnaires de l'Agence et du gouvernement du Canada et comparution devant le Comité permanent des finances</t>
        </is>
      </c>
      <c r="H2768" s="1" t="n">
        <v>42634</v>
      </c>
      <c r="I2768" s="1" t="n">
        <v>42636</v>
      </c>
      <c r="J2768" t="inlineStr">
        <is>
          <t>Ottawa, Ontario</t>
        </is>
      </c>
      <c r="K2768" t="inlineStr">
        <is>
          <t>Ottawa (Ontario)</t>
        </is>
      </c>
      <c r="P2768" t="n">
        <v>636.17</v>
      </c>
      <c r="Q2768" t="n">
        <v>42.54</v>
      </c>
      <c r="R2768" t="n">
        <v>388.74</v>
      </c>
      <c r="S2768" t="n">
        <v>226.5</v>
      </c>
      <c r="T2768" t="n">
        <v>63</v>
      </c>
      <c r="U2768" t="n">
        <v>1356.95</v>
      </c>
      <c r="X2768" t="inlineStr">
        <is>
          <t>acoa-apeca</t>
        </is>
      </c>
      <c r="Y2768" t="inlineStr">
        <is>
          <t>Atlantic Canada Opportunities Agency | Agence de promotion économique du Canada atlantique</t>
        </is>
      </c>
      <c r="Z2768" t="n">
        <v>3</v>
      </c>
      <c r="AA2768" t="n">
        <v>1356.94999999999</v>
      </c>
      <c r="AB2768">
        <f>ROUND(U2768-AA2768,2)</f>
        <v/>
      </c>
      <c r="AC2768" t="b">
        <v>0</v>
      </c>
      <c r="AD2768">
        <f>IF(U2768="","MISSING_TOTAL",IF(ABS(AB2768)&lt;=0.01,"OK","CHECK"))</f>
        <v/>
      </c>
      <c r="AE2768">
        <f>IF(U2768="","MISSING",IF(AND(AA2768&gt;0,U2768/AA2768&gt;50),"POSSIBLE_SCALE_ERROR","OK"))</f>
        <v/>
      </c>
    </row>
    <row r="2769">
      <c r="A2769" t="inlineStr">
        <is>
          <t>T-2017-Q3-00013</t>
        </is>
      </c>
      <c r="B2769" t="inlineStr">
        <is>
          <t>SLE</t>
        </is>
      </c>
      <c r="C2769" t="inlineStr">
        <is>
          <t>Vice-President, Newfoundland and Labrador</t>
        </is>
      </c>
      <c r="D2769" t="inlineStr">
        <is>
          <t>Vice-président, Terre-Neuve-et-Labrador</t>
        </is>
      </c>
      <c r="E2769" t="inlineStr">
        <is>
          <t>Ken Martin</t>
        </is>
      </c>
      <c r="F2769" t="inlineStr">
        <is>
          <t>Appearance before the parliamentary Standing Committee on Finance (FINA)</t>
        </is>
      </c>
      <c r="G2769" t="inlineStr">
        <is>
          <t>Comparution devant le Comité permanent des finances (FINA) du Parlement</t>
        </is>
      </c>
      <c r="H2769" s="1" t="n">
        <v>42634</v>
      </c>
      <c r="I2769" s="1" t="n">
        <v>42636</v>
      </c>
      <c r="J2769" t="inlineStr">
        <is>
          <t>Ottawa, Ontario</t>
        </is>
      </c>
      <c r="K2769" t="inlineStr">
        <is>
          <t>Ottawa (Ontario)</t>
        </is>
      </c>
      <c r="P2769" t="n">
        <v>767.61</v>
      </c>
      <c r="Q2769" t="n">
        <v>51.14</v>
      </c>
      <c r="R2769" t="n">
        <v>439.96</v>
      </c>
      <c r="S2769" t="n">
        <v>271.5</v>
      </c>
      <c r="T2769" t="n">
        <v>0</v>
      </c>
      <c r="U2769" t="n">
        <v>1530.21</v>
      </c>
      <c r="X2769" t="inlineStr">
        <is>
          <t>acoa-apeca</t>
        </is>
      </c>
      <c r="Y2769" t="inlineStr">
        <is>
          <t>Atlantic Canada Opportunities Agency | Agence de promotion économique du Canada atlantique</t>
        </is>
      </c>
      <c r="Z2769" t="n">
        <v>3</v>
      </c>
      <c r="AA2769" t="n">
        <v>1530.21</v>
      </c>
      <c r="AB2769">
        <f>ROUND(U2769-AA2769,2)</f>
        <v/>
      </c>
      <c r="AC2769" t="b">
        <v>0</v>
      </c>
      <c r="AD2769">
        <f>IF(U2769="","MISSING_TOTAL",IF(ABS(AB2769)&lt;=0.01,"OK","CHECK"))</f>
        <v/>
      </c>
      <c r="AE2769">
        <f>IF(U2769="","MISSING",IF(AND(AA2769&gt;0,U2769/AA2769&gt;50),"POSSIBLE_SCALE_ERROR","OK"))</f>
        <v/>
      </c>
    </row>
    <row r="2770">
      <c r="A2770" t="inlineStr">
        <is>
          <t>T-2017-Q3-00012</t>
        </is>
      </c>
      <c r="B2770" t="inlineStr">
        <is>
          <t>SLE</t>
        </is>
      </c>
      <c r="C2770" t="inlineStr">
        <is>
          <t>President</t>
        </is>
      </c>
      <c r="D2770" t="inlineStr">
        <is>
          <t>Président</t>
        </is>
      </c>
      <c r="E2770" t="inlineStr">
        <is>
          <t>Paul J. LeBlanc</t>
        </is>
      </c>
      <c r="F2770" t="inlineStr">
        <is>
          <t>For various meetings and discussions with Agency officials and Government of Canada officials</t>
        </is>
      </c>
      <c r="G2770" t="inlineStr">
        <is>
          <t>Réunions et discussions avec des fonctionnaires de l'Agence et du gouvernement du Canada</t>
        </is>
      </c>
      <c r="H2770" s="1" t="n">
        <v>42633</v>
      </c>
      <c r="I2770" s="1" t="n">
        <v>42635</v>
      </c>
      <c r="J2770" t="inlineStr">
        <is>
          <t>Ottawa, Ontario</t>
        </is>
      </c>
      <c r="K2770" t="inlineStr">
        <is>
          <t>Ottawa (Ontario)</t>
        </is>
      </c>
      <c r="P2770" t="n">
        <v>0</v>
      </c>
      <c r="Q2770" t="n">
        <v>0</v>
      </c>
      <c r="R2770" t="n">
        <v>398.05</v>
      </c>
      <c r="S2770" t="n">
        <v>209.5</v>
      </c>
      <c r="T2770" t="n">
        <v>0</v>
      </c>
      <c r="U2770" t="n">
        <v>607.55</v>
      </c>
      <c r="X2770" t="inlineStr">
        <is>
          <t>acoa-apeca</t>
        </is>
      </c>
      <c r="Y2770" t="inlineStr">
        <is>
          <t>Atlantic Canada Opportunities Agency | Agence de promotion économique du Canada atlantique</t>
        </is>
      </c>
      <c r="Z2770" t="n">
        <v>3</v>
      </c>
      <c r="AA2770" t="n">
        <v>607.55</v>
      </c>
      <c r="AB2770">
        <f>ROUND(U2770-AA2770,2)</f>
        <v/>
      </c>
      <c r="AC2770" t="b">
        <v>0</v>
      </c>
      <c r="AD2770">
        <f>IF(U2770="","MISSING_TOTAL",IF(ABS(AB2770)&lt;=0.01,"OK","CHECK"))</f>
        <v/>
      </c>
      <c r="AE2770">
        <f>IF(U2770="","MISSING",IF(AND(AA2770&gt;0,U2770/AA2770&gt;50),"POSSIBLE_SCALE_ERROR","OK"))</f>
        <v/>
      </c>
    </row>
    <row r="2771">
      <c r="A2771" t="inlineStr">
        <is>
          <t>T-2017-Q3-00011</t>
        </is>
      </c>
      <c r="B2771" t="inlineStr">
        <is>
          <t>SLE</t>
        </is>
      </c>
      <c r="C2771" t="inlineStr">
        <is>
          <t>Vice-President, New Brunswick</t>
        </is>
      </c>
      <c r="D2771" t="inlineStr">
        <is>
          <t>Vice-président, Nouveau-Brunswick</t>
        </is>
      </c>
      <c r="E2771" t="inlineStr">
        <is>
          <t>Kent Estabrooks</t>
        </is>
      </c>
      <c r="F2771" t="inlineStr">
        <is>
          <t>Appearance before the parliamentary Standing Committee on Finance</t>
        </is>
      </c>
      <c r="G2771" t="inlineStr">
        <is>
          <t>Comparution devant le Comité permanent des finances du Parlement</t>
        </is>
      </c>
      <c r="H2771" s="1" t="n">
        <v>42632</v>
      </c>
      <c r="I2771" s="1" t="n">
        <v>42634</v>
      </c>
      <c r="J2771" t="inlineStr">
        <is>
          <t>Ottawa, Ontario</t>
        </is>
      </c>
      <c r="K2771" t="inlineStr">
        <is>
          <t>Ottawa (Ontario)</t>
        </is>
      </c>
      <c r="P2771" t="n">
        <v>644.1</v>
      </c>
      <c r="Q2771" t="n">
        <v>92.12</v>
      </c>
      <c r="R2771" t="n">
        <v>405.54</v>
      </c>
      <c r="S2771" t="n">
        <v>237.9</v>
      </c>
      <c r="T2771" t="n">
        <v>0</v>
      </c>
      <c r="U2771" t="n">
        <v>1379.66</v>
      </c>
      <c r="X2771" t="inlineStr">
        <is>
          <t>acoa-apeca</t>
        </is>
      </c>
      <c r="Y2771" t="inlineStr">
        <is>
          <t>Atlantic Canada Opportunities Agency | Agence de promotion économique du Canada atlantique</t>
        </is>
      </c>
      <c r="Z2771" t="n">
        <v>3</v>
      </c>
      <c r="AA2771" t="n">
        <v>1379.66</v>
      </c>
      <c r="AB2771">
        <f>ROUND(U2771-AA2771,2)</f>
        <v/>
      </c>
      <c r="AC2771" t="b">
        <v>0</v>
      </c>
      <c r="AD2771">
        <f>IF(U2771="","MISSING_TOTAL",IF(ABS(AB2771)&lt;=0.01,"OK","CHECK"))</f>
        <v/>
      </c>
      <c r="AE2771">
        <f>IF(U2771="","MISSING",IF(AND(AA2771&gt;0,U2771/AA2771&gt;50),"POSSIBLE_SCALE_ERROR","OK"))</f>
        <v/>
      </c>
    </row>
    <row r="2772">
      <c r="A2772" t="inlineStr">
        <is>
          <t>T-2017-Q3-00010</t>
        </is>
      </c>
      <c r="B2772" t="inlineStr">
        <is>
          <t>SLE</t>
        </is>
      </c>
      <c r="C2772" t="inlineStr">
        <is>
          <t>Vice-President, Prince Edward Island</t>
        </is>
      </c>
      <c r="D2772" t="inlineStr">
        <is>
          <t>Vice-président, Île-du-Prince-Édouard</t>
        </is>
      </c>
      <c r="E2772" t="inlineStr">
        <is>
          <t>Patrick Dorsey</t>
        </is>
      </c>
      <c r="F2772" t="inlineStr">
        <is>
          <t>Meeting in Ottawa - Appearance before the Standing Committee on Finance (FINA)</t>
        </is>
      </c>
      <c r="G2772" t="inlineStr">
        <is>
          <t>Réunion à Ottawa - comparution devant le Comité permanent des finances (FINA)</t>
        </is>
      </c>
      <c r="H2772" s="1" t="n">
        <v>42632</v>
      </c>
      <c r="I2772" s="1" t="n">
        <v>42632</v>
      </c>
      <c r="J2772" t="inlineStr">
        <is>
          <t>Ottawa, Ontario</t>
        </is>
      </c>
      <c r="K2772" t="inlineStr">
        <is>
          <t>Ottawa (Ontario)</t>
        </is>
      </c>
      <c r="P2772" t="n">
        <v>337.29</v>
      </c>
      <c r="Q2772" t="n">
        <v>0</v>
      </c>
      <c r="R2772" t="n">
        <v>365.46</v>
      </c>
      <c r="S2772" t="n">
        <v>209.5</v>
      </c>
      <c r="T2772" t="n">
        <v>0</v>
      </c>
      <c r="U2772" t="n">
        <v>912.25</v>
      </c>
      <c r="X2772" t="inlineStr">
        <is>
          <t>acoa-apeca</t>
        </is>
      </c>
      <c r="Y2772" t="inlineStr">
        <is>
          <t>Atlantic Canada Opportunities Agency | Agence de promotion économique du Canada atlantique</t>
        </is>
      </c>
      <c r="Z2772" t="n">
        <v>1</v>
      </c>
      <c r="AA2772" t="n">
        <v>912.25</v>
      </c>
      <c r="AB2772">
        <f>ROUND(U2772-AA2772,2)</f>
        <v/>
      </c>
      <c r="AC2772" t="b">
        <v>0</v>
      </c>
      <c r="AD2772">
        <f>IF(U2772="","MISSING_TOTAL",IF(ABS(AB2772)&lt;=0.01,"OK","CHECK"))</f>
        <v/>
      </c>
      <c r="AE2772">
        <f>IF(U2772="","MISSING",IF(AND(AA2772&gt;0,U2772/AA2772&gt;50),"POSSIBLE_SCALE_ERROR","OK"))</f>
        <v/>
      </c>
    </row>
    <row r="2773">
      <c r="A2773" t="inlineStr">
        <is>
          <t>T-2017-Q3-00009</t>
        </is>
      </c>
      <c r="B2773" t="inlineStr">
        <is>
          <t>SLE</t>
        </is>
      </c>
      <c r="C2773" t="inlineStr">
        <is>
          <t>Vice-President, New Brunswick</t>
        </is>
      </c>
      <c r="D2773" t="inlineStr">
        <is>
          <t>Vice-président, Nouveau-Brunswick</t>
        </is>
      </c>
      <c r="E2773" t="inlineStr">
        <is>
          <t>Kent Estabrooks</t>
        </is>
      </c>
      <c r="F2773" t="inlineStr">
        <is>
          <t>Agency Executive Committee meeting and training</t>
        </is>
      </c>
      <c r="G2773" t="inlineStr">
        <is>
          <t>Réunion du Comité de direction de l'Agence et formation</t>
        </is>
      </c>
      <c r="H2773" s="1" t="n">
        <v>42627</v>
      </c>
      <c r="I2773" s="1" t="n">
        <v>42629</v>
      </c>
      <c r="J2773" t="inlineStr">
        <is>
          <t>Moncton, New Brunswick</t>
        </is>
      </c>
      <c r="K2773" t="inlineStr">
        <is>
          <t>Moncton (Nouveau-Brunswick)</t>
        </is>
      </c>
      <c r="P2773" t="n">
        <v>0</v>
      </c>
      <c r="Q2773" t="n">
        <v>0</v>
      </c>
      <c r="R2773" t="n">
        <v>250.7</v>
      </c>
      <c r="S2773" t="n">
        <v>175.9</v>
      </c>
      <c r="T2773" t="n">
        <v>32.2</v>
      </c>
      <c r="U2773" t="n">
        <v>458.8</v>
      </c>
      <c r="X2773" t="inlineStr">
        <is>
          <t>acoa-apeca</t>
        </is>
      </c>
      <c r="Y2773" t="inlineStr">
        <is>
          <t>Atlantic Canada Opportunities Agency | Agence de promotion économique du Canada atlantique</t>
        </is>
      </c>
      <c r="Z2773" t="n">
        <v>3</v>
      </c>
      <c r="AA2773" t="n">
        <v>458.8</v>
      </c>
      <c r="AB2773">
        <f>ROUND(U2773-AA2773,2)</f>
        <v/>
      </c>
      <c r="AC2773" t="b">
        <v>0</v>
      </c>
      <c r="AD2773">
        <f>IF(U2773="","MISSING_TOTAL",IF(ABS(AB2773)&lt;=0.01,"OK","CHECK"))</f>
        <v/>
      </c>
      <c r="AE2773">
        <f>IF(U2773="","MISSING",IF(AND(AA2773&gt;0,U2773/AA2773&gt;50),"POSSIBLE_SCALE_ERROR","OK"))</f>
        <v/>
      </c>
    </row>
    <row r="2774">
      <c r="A2774" t="inlineStr">
        <is>
          <t>T-2017-Q3-00008</t>
        </is>
      </c>
      <c r="B2774" t="inlineStr">
        <is>
          <t>SLE</t>
        </is>
      </c>
      <c r="C2774" t="inlineStr">
        <is>
          <t>Vice President, Nova Scotia</t>
        </is>
      </c>
      <c r="D2774" t="inlineStr">
        <is>
          <t>Vice-président, Nouvelle-Écosse</t>
        </is>
      </c>
      <c r="E2774" t="inlineStr">
        <is>
          <t>Peter Hogan</t>
        </is>
      </c>
      <c r="F2774" t="inlineStr">
        <is>
          <t>Meetings with Agency officials</t>
        </is>
      </c>
      <c r="G2774" t="inlineStr">
        <is>
          <t>Réunions avec des fonctionnaires de l'Agence</t>
        </is>
      </c>
      <c r="H2774" s="1" t="n">
        <v>42627</v>
      </c>
      <c r="I2774" s="1" t="n">
        <v>42629</v>
      </c>
      <c r="J2774" t="inlineStr">
        <is>
          <t>Moncton, New Brunswick</t>
        </is>
      </c>
      <c r="K2774" t="inlineStr">
        <is>
          <t>Moncton (Nouveau-Brunswick)</t>
        </is>
      </c>
      <c r="P2774" t="n">
        <v>0</v>
      </c>
      <c r="Q2774" t="n">
        <v>0</v>
      </c>
      <c r="R2774" t="n">
        <v>250.7</v>
      </c>
      <c r="S2774" t="n">
        <v>147.5</v>
      </c>
      <c r="T2774" t="n">
        <v>32.2</v>
      </c>
      <c r="U2774" t="n">
        <v>430.4</v>
      </c>
      <c r="X2774" t="inlineStr">
        <is>
          <t>acoa-apeca</t>
        </is>
      </c>
      <c r="Y2774" t="inlineStr">
        <is>
          <t>Atlantic Canada Opportunities Agency | Agence de promotion économique du Canada atlantique</t>
        </is>
      </c>
      <c r="Z2774" t="n">
        <v>3</v>
      </c>
      <c r="AA2774" t="n">
        <v>430.4</v>
      </c>
      <c r="AB2774">
        <f>ROUND(U2774-AA2774,2)</f>
        <v/>
      </c>
      <c r="AC2774" t="b">
        <v>0</v>
      </c>
      <c r="AD2774">
        <f>IF(U2774="","MISSING_TOTAL",IF(ABS(AB2774)&lt;=0.01,"OK","CHECK"))</f>
        <v/>
      </c>
      <c r="AE2774">
        <f>IF(U2774="","MISSING",IF(AND(AA2774&gt;0,U2774/AA2774&gt;50),"POSSIBLE_SCALE_ERROR","OK"))</f>
        <v/>
      </c>
    </row>
    <row r="2775">
      <c r="A2775" t="inlineStr">
        <is>
          <t>T-2017-Q3-00007</t>
        </is>
      </c>
      <c r="B2775" t="inlineStr">
        <is>
          <t>SLE</t>
        </is>
      </c>
      <c r="C2775" t="inlineStr">
        <is>
          <t>Vice-President, Newfoundland and Labrador</t>
        </is>
      </c>
      <c r="D2775" t="inlineStr">
        <is>
          <t>Vice-président, Terre-Neuve-et-Labrador</t>
        </is>
      </c>
      <c r="E2775" t="inlineStr">
        <is>
          <t>Ken Martin</t>
        </is>
      </c>
      <c r="F2775" t="inlineStr">
        <is>
          <t>Executive Committee meeting</t>
        </is>
      </c>
      <c r="G2775" t="inlineStr">
        <is>
          <t>Réunion du Comité de direction</t>
        </is>
      </c>
      <c r="H2775" s="1" t="n">
        <v>42627</v>
      </c>
      <c r="I2775" s="1" t="n">
        <v>42628</v>
      </c>
      <c r="J2775" t="inlineStr">
        <is>
          <t>Moncton, New Brunswick</t>
        </is>
      </c>
      <c r="K2775" t="inlineStr">
        <is>
          <t>Moncton (Nouveau-Brunswick)</t>
        </is>
      </c>
      <c r="P2775" t="n">
        <v>710.24</v>
      </c>
      <c r="Q2775" t="n">
        <v>64.14</v>
      </c>
      <c r="R2775" t="n">
        <v>125.35</v>
      </c>
      <c r="S2775" t="n">
        <v>141.4</v>
      </c>
      <c r="T2775" t="n">
        <v>0</v>
      </c>
      <c r="U2775" t="n">
        <v>1041.13</v>
      </c>
      <c r="X2775" t="inlineStr">
        <is>
          <t>acoa-apeca</t>
        </is>
      </c>
      <c r="Y2775" t="inlineStr">
        <is>
          <t>Atlantic Canada Opportunities Agency | Agence de promotion économique du Canada atlantique</t>
        </is>
      </c>
      <c r="Z2775" t="n">
        <v>2</v>
      </c>
      <c r="AA2775" t="n">
        <v>1041.13</v>
      </c>
      <c r="AB2775">
        <f>ROUND(U2775-AA2775,2)</f>
        <v/>
      </c>
      <c r="AC2775" t="b">
        <v>0</v>
      </c>
      <c r="AD2775">
        <f>IF(U2775="","MISSING_TOTAL",IF(ABS(AB2775)&lt;=0.01,"OK","CHECK"))</f>
        <v/>
      </c>
      <c r="AE2775">
        <f>IF(U2775="","MISSING",IF(AND(AA2775&gt;0,U2775/AA2775&gt;50),"POSSIBLE_SCALE_ERROR","OK"))</f>
        <v/>
      </c>
    </row>
    <row r="2776">
      <c r="A2776" t="inlineStr">
        <is>
          <t>T-2017-Q3-00006</t>
        </is>
      </c>
      <c r="B2776" t="inlineStr">
        <is>
          <t>SLE</t>
        </is>
      </c>
      <c r="C2776" t="inlineStr">
        <is>
          <t>President</t>
        </is>
      </c>
      <c r="D2776" t="inlineStr">
        <is>
          <t>Président</t>
        </is>
      </c>
      <c r="E2776" t="inlineStr">
        <is>
          <t>Paul J. LeBlanc</t>
        </is>
      </c>
      <c r="F2776" t="inlineStr">
        <is>
          <t>For various meetings and discussions with Agency officials, Government of Canada officials and provincial government officials</t>
        </is>
      </c>
      <c r="G2776" t="inlineStr">
        <is>
          <t>Diverses réunions et discussions avec des fonctionnaires de l'Agence, du gouvernement du Canada et du gouvernement provincial</t>
        </is>
      </c>
      <c r="H2776" s="1" t="n">
        <v>42625</v>
      </c>
      <c r="I2776" s="1" t="n">
        <v>42626</v>
      </c>
      <c r="J2776" t="inlineStr">
        <is>
          <t>Halifax, Nova Scotia</t>
        </is>
      </c>
      <c r="K2776" t="inlineStr">
        <is>
          <t>Halifax (Nouvelle-Écosse)</t>
        </is>
      </c>
      <c r="P2776" t="n">
        <v>0</v>
      </c>
      <c r="Q2776" t="n">
        <v>0</v>
      </c>
      <c r="R2776" t="n">
        <v>191.2</v>
      </c>
      <c r="S2776" t="n">
        <v>130.4</v>
      </c>
      <c r="T2776" t="n">
        <v>24</v>
      </c>
      <c r="U2776" t="n">
        <v>345.6</v>
      </c>
      <c r="X2776" t="inlineStr">
        <is>
          <t>acoa-apeca</t>
        </is>
      </c>
      <c r="Y2776" t="inlineStr">
        <is>
          <t>Atlantic Canada Opportunities Agency | Agence de promotion économique du Canada atlantique</t>
        </is>
      </c>
      <c r="Z2776" t="n">
        <v>2</v>
      </c>
      <c r="AA2776" t="n">
        <v>345.6</v>
      </c>
      <c r="AB2776">
        <f>ROUND(U2776-AA2776,2)</f>
        <v/>
      </c>
      <c r="AC2776" t="b">
        <v>0</v>
      </c>
      <c r="AD2776">
        <f>IF(U2776="","MISSING_TOTAL",IF(ABS(AB2776)&lt;=0.01,"OK","CHECK"))</f>
        <v/>
      </c>
      <c r="AE2776">
        <f>IF(U2776="","MISSING",IF(AND(AA2776&gt;0,U2776/AA2776&gt;50),"POSSIBLE_SCALE_ERROR","OK"))</f>
        <v/>
      </c>
    </row>
    <row r="2777">
      <c r="A2777" t="inlineStr">
        <is>
          <t>T-2017-Q3-00005</t>
        </is>
      </c>
      <c r="B2777" t="inlineStr">
        <is>
          <t>SLE</t>
        </is>
      </c>
      <c r="C2777" t="inlineStr">
        <is>
          <t>Vice-President, Policy and Programs</t>
        </is>
      </c>
      <c r="D2777" t="inlineStr">
        <is>
          <t>Vice-président, Politiques et Programmes</t>
        </is>
      </c>
      <c r="E2777" t="inlineStr">
        <is>
          <t>Daryell Nowlan</t>
        </is>
      </c>
      <c r="F2777" t="inlineStr">
        <is>
          <t>Meetings with Government of Canada officials</t>
        </is>
      </c>
      <c r="G2777" t="inlineStr">
        <is>
          <t>Réunions avec des fonctionnaires du gouvernement du Canada</t>
        </is>
      </c>
      <c r="H2777" s="1" t="n">
        <v>42624</v>
      </c>
      <c r="I2777" s="1" t="n">
        <v>42626</v>
      </c>
      <c r="J2777" t="inlineStr">
        <is>
          <t>Halifax, Nova Scotia</t>
        </is>
      </c>
      <c r="K2777" t="inlineStr">
        <is>
          <t>Halifax (Nouvelle-Écosse)</t>
        </is>
      </c>
      <c r="P2777" t="n">
        <v>0</v>
      </c>
      <c r="Q2777" t="n">
        <v>200</v>
      </c>
      <c r="R2777" t="n">
        <v>382.4</v>
      </c>
      <c r="S2777" t="n">
        <v>220.9</v>
      </c>
      <c r="T2777" t="n">
        <v>0</v>
      </c>
      <c r="U2777" t="n">
        <v>803.3</v>
      </c>
      <c r="X2777" t="inlineStr">
        <is>
          <t>acoa-apeca</t>
        </is>
      </c>
      <c r="Y2777" t="inlineStr">
        <is>
          <t>Atlantic Canada Opportunities Agency | Agence de promotion économique du Canada atlantique</t>
        </is>
      </c>
      <c r="Z2777" t="n">
        <v>3</v>
      </c>
      <c r="AA2777" t="n">
        <v>803.3</v>
      </c>
      <c r="AB2777">
        <f>ROUND(U2777-AA2777,2)</f>
        <v/>
      </c>
      <c r="AC2777" t="b">
        <v>0</v>
      </c>
      <c r="AD2777">
        <f>IF(U2777="","MISSING_TOTAL",IF(ABS(AB2777)&lt;=0.01,"OK","CHECK"))</f>
        <v/>
      </c>
      <c r="AE2777">
        <f>IF(U2777="","MISSING",IF(AND(AA2777&gt;0,U2777/AA2777&gt;50),"POSSIBLE_SCALE_ERROR","OK"))</f>
        <v/>
      </c>
    </row>
    <row r="2778">
      <c r="A2778" t="inlineStr">
        <is>
          <t>T-2017-Q3-00003</t>
        </is>
      </c>
      <c r="B2778" t="inlineStr">
        <is>
          <t>SLE</t>
        </is>
      </c>
      <c r="C2778" t="inlineStr">
        <is>
          <t>Vice-President, Finance and Corporate Services</t>
        </is>
      </c>
      <c r="D2778" t="inlineStr">
        <is>
          <t>Vice-présidente, Finances et Services corporatifs</t>
        </is>
      </c>
      <c r="E2778" t="inlineStr">
        <is>
          <t>Denise Frenette</t>
        </is>
      </c>
      <c r="F2778" t="inlineStr">
        <is>
          <t>For meeting with various Government of Canada officials</t>
        </is>
      </c>
      <c r="G2778" t="inlineStr">
        <is>
          <t>Réunion avec divers fonctionnaires du gouvernement du Canada</t>
        </is>
      </c>
      <c r="H2778" s="1" t="n">
        <v>42622</v>
      </c>
      <c r="I2778" s="1" t="n">
        <v>42622</v>
      </c>
      <c r="J2778" t="inlineStr">
        <is>
          <t>Ottawa, Ontario</t>
        </is>
      </c>
      <c r="K2778" t="inlineStr">
        <is>
          <t>Ottawa (Ontario)</t>
        </is>
      </c>
      <c r="P2778" t="n">
        <v>430.14</v>
      </c>
      <c r="Q2778" t="n">
        <v>101.65</v>
      </c>
      <c r="R2778" t="n">
        <v>0</v>
      </c>
      <c r="S2778" t="n">
        <v>62</v>
      </c>
      <c r="T2778" t="n">
        <v>0</v>
      </c>
      <c r="U2778" t="n">
        <v>593.79</v>
      </c>
      <c r="X2778" t="inlineStr">
        <is>
          <t>acoa-apeca</t>
        </is>
      </c>
      <c r="Y2778" t="inlineStr">
        <is>
          <t>Atlantic Canada Opportunities Agency | Agence de promotion économique du Canada atlantique</t>
        </is>
      </c>
      <c r="Z2778" t="n">
        <v>1</v>
      </c>
      <c r="AA2778" t="n">
        <v>593.79</v>
      </c>
      <c r="AB2778">
        <f>ROUND(U2778-AA2778,2)</f>
        <v/>
      </c>
      <c r="AC2778" t="b">
        <v>0</v>
      </c>
      <c r="AD2778">
        <f>IF(U2778="","MISSING_TOTAL",IF(ABS(AB2778)&lt;=0.01,"OK","CHECK"))</f>
        <v/>
      </c>
      <c r="AE2778">
        <f>IF(U2778="","MISSING",IF(AND(AA2778&gt;0,U2778/AA2778&gt;50),"POSSIBLE_SCALE_ERROR","OK"))</f>
        <v/>
      </c>
    </row>
    <row r="2779">
      <c r="A2779" t="inlineStr">
        <is>
          <t>T-2017-Q3-00002</t>
        </is>
      </c>
      <c r="B2779" t="inlineStr">
        <is>
          <t>SLE</t>
        </is>
      </c>
      <c r="C2779" t="inlineStr">
        <is>
          <t>Vice-President, Prince Edward Island</t>
        </is>
      </c>
      <c r="D2779" t="inlineStr">
        <is>
          <t>Vice-président, Île-du-Prince-Édouard</t>
        </is>
      </c>
      <c r="E2779" t="inlineStr">
        <is>
          <t>Patrick Dorsey</t>
        </is>
      </c>
      <c r="F2779" t="inlineStr">
        <is>
          <t>Attend Atlantic Growth Strategy (AGS) meeting</t>
        </is>
      </c>
      <c r="G2779" t="inlineStr">
        <is>
          <t>Assister à une réunion sur la Stratégie de croissance pour l'Atlantique (SCA)</t>
        </is>
      </c>
      <c r="H2779" s="1" t="n">
        <v>42620</v>
      </c>
      <c r="I2779" s="1" t="n">
        <v>42621</v>
      </c>
      <c r="J2779" t="inlineStr">
        <is>
          <t>Halifax, Nova Scotia</t>
        </is>
      </c>
      <c r="K2779" t="inlineStr">
        <is>
          <t>Halifax (Nouvelle-Écosse)</t>
        </is>
      </c>
      <c r="P2779" t="n">
        <v>0</v>
      </c>
      <c r="Q2779" t="n">
        <v>56</v>
      </c>
      <c r="R2779" t="n">
        <v>218.8</v>
      </c>
      <c r="S2779" t="n">
        <v>141.4</v>
      </c>
      <c r="T2779" t="n">
        <v>0</v>
      </c>
      <c r="U2779" t="n">
        <v>416.2</v>
      </c>
      <c r="X2779" t="inlineStr">
        <is>
          <t>acoa-apeca</t>
        </is>
      </c>
      <c r="Y2779" t="inlineStr">
        <is>
          <t>Atlantic Canada Opportunities Agency | Agence de promotion économique du Canada atlantique</t>
        </is>
      </c>
      <c r="Z2779" t="n">
        <v>2</v>
      </c>
      <c r="AA2779" t="n">
        <v>416.2</v>
      </c>
      <c r="AB2779">
        <f>ROUND(U2779-AA2779,2)</f>
        <v/>
      </c>
      <c r="AC2779" t="b">
        <v>0</v>
      </c>
      <c r="AD2779">
        <f>IF(U2779="","MISSING_TOTAL",IF(ABS(AB2779)&lt;=0.01,"OK","CHECK"))</f>
        <v/>
      </c>
      <c r="AE2779">
        <f>IF(U2779="","MISSING",IF(AND(AA2779&gt;0,U2779/AA2779&gt;50),"POSSIBLE_SCALE_ERROR","OK"))</f>
        <v/>
      </c>
    </row>
    <row r="2780">
      <c r="A2780" t="inlineStr">
        <is>
          <t>T-2017-Q3-00001</t>
        </is>
      </c>
      <c r="B2780" t="inlineStr">
        <is>
          <t>SLE</t>
        </is>
      </c>
      <c r="C2780" t="inlineStr">
        <is>
          <t>Vice-President, Policy and Programs</t>
        </is>
      </c>
      <c r="D2780" t="inlineStr">
        <is>
          <t>Vice-président, Politiques et Programmes</t>
        </is>
      </c>
      <c r="E2780" t="inlineStr">
        <is>
          <t>Daryell Nowlan</t>
        </is>
      </c>
      <c r="F2780" t="inlineStr">
        <is>
          <t>Meetings with Government of Canada officials</t>
        </is>
      </c>
      <c r="G2780" t="inlineStr">
        <is>
          <t>Réunions avec des fonctionnaires du gouvernement du Canada</t>
        </is>
      </c>
      <c r="H2780" s="1" t="n">
        <v>42619</v>
      </c>
      <c r="I2780" s="1" t="n">
        <v>42621</v>
      </c>
      <c r="J2780" t="inlineStr">
        <is>
          <t>Halifax, Nova Scotia</t>
        </is>
      </c>
      <c r="K2780" t="inlineStr">
        <is>
          <t>Halifax (Nouvelle-Écosse)</t>
        </is>
      </c>
      <c r="P2780" t="n">
        <v>0</v>
      </c>
      <c r="Q2780" t="n">
        <v>203.75</v>
      </c>
      <c r="R2780" t="n">
        <v>382.4</v>
      </c>
      <c r="S2780" t="n">
        <v>113.3</v>
      </c>
      <c r="T2780" t="n">
        <v>0</v>
      </c>
      <c r="U2780" t="n">
        <v>699.45</v>
      </c>
      <c r="X2780" t="inlineStr">
        <is>
          <t>acoa-apeca</t>
        </is>
      </c>
      <c r="Y2780" t="inlineStr">
        <is>
          <t>Atlantic Canada Opportunities Agency | Agence de promotion économique du Canada atlantique</t>
        </is>
      </c>
      <c r="Z2780" t="n">
        <v>3</v>
      </c>
      <c r="AA2780" t="n">
        <v>699.449999999999</v>
      </c>
      <c r="AB2780">
        <f>ROUND(U2780-AA2780,2)</f>
        <v/>
      </c>
      <c r="AC2780" t="b">
        <v>0</v>
      </c>
      <c r="AD2780">
        <f>IF(U2780="","MISSING_TOTAL",IF(ABS(AB2780)&lt;=0.01,"OK","CHECK"))</f>
        <v/>
      </c>
      <c r="AE2780">
        <f>IF(U2780="","MISSING",IF(AND(AA2780&gt;0,U2780/AA2780&gt;50),"POSSIBLE_SCALE_ERROR","OK"))</f>
        <v/>
      </c>
    </row>
    <row r="2781">
      <c r="A2781" t="inlineStr">
        <is>
          <t>T-2017-Q2-00036</t>
        </is>
      </c>
      <c r="B2781" t="inlineStr">
        <is>
          <t>SLE</t>
        </is>
      </c>
      <c r="C2781" t="inlineStr">
        <is>
          <t>Vice-President, Finance and Corporate Services</t>
        </is>
      </c>
      <c r="D2781" t="inlineStr">
        <is>
          <t>Vice-présidente, Finances et Services corporatifs</t>
        </is>
      </c>
      <c r="E2781" t="inlineStr">
        <is>
          <t>Denise Frenette</t>
        </is>
      </c>
      <c r="F2781" t="inlineStr">
        <is>
          <t>For various meetings and discussions with Agency officials and with Government of Canada officials</t>
        </is>
      </c>
      <c r="G2781" t="inlineStr">
        <is>
          <t>Diverses réunions et discussions avec des fonctionnaires de l'Agence et du gouvernement du Canada</t>
        </is>
      </c>
      <c r="H2781" s="1" t="n">
        <v>42613</v>
      </c>
      <c r="I2781" s="1" t="n">
        <v>42614</v>
      </c>
      <c r="J2781" t="inlineStr">
        <is>
          <t>Ottawa, Ontario</t>
        </is>
      </c>
      <c r="K2781" t="inlineStr">
        <is>
          <t>Ottawa (Ontario)</t>
        </is>
      </c>
      <c r="P2781" t="n">
        <v>535.67</v>
      </c>
      <c r="Q2781" t="n">
        <v>6.72</v>
      </c>
      <c r="R2781" t="n">
        <v>180.4</v>
      </c>
      <c r="S2781" t="n">
        <v>158.4</v>
      </c>
      <c r="T2781" t="n">
        <v>66.58</v>
      </c>
      <c r="U2781" t="n">
        <v>947.77</v>
      </c>
      <c r="X2781" t="inlineStr">
        <is>
          <t>acoa-apeca</t>
        </is>
      </c>
      <c r="Y2781" t="inlineStr">
        <is>
          <t>Atlantic Canada Opportunities Agency | Agence de promotion économique du Canada atlantique</t>
        </is>
      </c>
      <c r="Z2781" t="n">
        <v>2</v>
      </c>
      <c r="AA2781" t="n">
        <v>947.77</v>
      </c>
      <c r="AB2781">
        <f>ROUND(U2781-AA2781,2)</f>
        <v/>
      </c>
      <c r="AC2781" t="b">
        <v>0</v>
      </c>
      <c r="AD2781">
        <f>IF(U2781="","MISSING_TOTAL",IF(ABS(AB2781)&lt;=0.01,"OK","CHECK"))</f>
        <v/>
      </c>
      <c r="AE2781">
        <f>IF(U2781="","MISSING",IF(AND(AA2781&gt;0,U2781/AA2781&gt;50),"POSSIBLE_SCALE_ERROR","OK"))</f>
        <v/>
      </c>
    </row>
    <row r="2782">
      <c r="A2782" t="inlineStr">
        <is>
          <t>T-2017-Q2-00035</t>
        </is>
      </c>
      <c r="B2782" t="inlineStr">
        <is>
          <t>SLE</t>
        </is>
      </c>
      <c r="C2782" t="inlineStr">
        <is>
          <t>Vice-President, Policy and Programs</t>
        </is>
      </c>
      <c r="D2782" t="inlineStr">
        <is>
          <t>Vice-président, Politiques et Programmes</t>
        </is>
      </c>
      <c r="E2782" t="inlineStr">
        <is>
          <t>Daryell Nowlan</t>
        </is>
      </c>
      <c r="F2782" t="inlineStr">
        <is>
          <t>Meetings with Government of Canada officials</t>
        </is>
      </c>
      <c r="G2782" t="inlineStr">
        <is>
          <t>Réunions avec des fonctionnaires du gouvernement du Canada</t>
        </is>
      </c>
      <c r="H2782" s="1" t="n">
        <v>42613</v>
      </c>
      <c r="I2782" s="1" t="n">
        <v>42614</v>
      </c>
      <c r="J2782" t="inlineStr">
        <is>
          <t>Ottawa, Ontario</t>
        </is>
      </c>
      <c r="K2782" t="inlineStr">
        <is>
          <t>Ottawa (Ontario)</t>
        </is>
      </c>
      <c r="P2782" t="n">
        <v>644.1</v>
      </c>
      <c r="Q2782" t="n">
        <v>83</v>
      </c>
      <c r="R2782" t="n">
        <v>180.4</v>
      </c>
      <c r="S2782" t="n">
        <v>175.1</v>
      </c>
      <c r="T2782" t="n">
        <v>0</v>
      </c>
      <c r="U2782" t="n">
        <v>1082.6</v>
      </c>
      <c r="X2782" t="inlineStr">
        <is>
          <t>acoa-apeca</t>
        </is>
      </c>
      <c r="Y2782" t="inlineStr">
        <is>
          <t>Atlantic Canada Opportunities Agency | Agence de promotion économique du Canada atlantique</t>
        </is>
      </c>
      <c r="Z2782" t="n">
        <v>2</v>
      </c>
      <c r="AA2782" t="n">
        <v>1082.6</v>
      </c>
      <c r="AB2782">
        <f>ROUND(U2782-AA2782,2)</f>
        <v/>
      </c>
      <c r="AC2782" t="b">
        <v>0</v>
      </c>
      <c r="AD2782">
        <f>IF(U2782="","MISSING_TOTAL",IF(ABS(AB2782)&lt;=0.01,"OK","CHECK"))</f>
        <v/>
      </c>
      <c r="AE2782">
        <f>IF(U2782="","MISSING",IF(AND(AA2782&gt;0,U2782/AA2782&gt;50),"POSSIBLE_SCALE_ERROR","OK"))</f>
        <v/>
      </c>
    </row>
    <row r="2783">
      <c r="A2783" t="inlineStr">
        <is>
          <t>T-2017-Q2-00033</t>
        </is>
      </c>
      <c r="B2783" t="inlineStr">
        <is>
          <t>SLE</t>
        </is>
      </c>
      <c r="C2783" t="inlineStr">
        <is>
          <t>President</t>
        </is>
      </c>
      <c r="D2783" t="inlineStr">
        <is>
          <t>Président</t>
        </is>
      </c>
      <c r="E2783" t="inlineStr">
        <is>
          <t>Paul J. LeBlanc</t>
        </is>
      </c>
      <c r="F2783" t="inlineStr">
        <is>
          <t>For various meetings and discussions with Agency officials and Government of Canada officials</t>
        </is>
      </c>
      <c r="G2783" t="inlineStr">
        <is>
          <t>Diverses réunions et discussions avec des fonctionnaires de l'Agence et du gouvernement du Canada</t>
        </is>
      </c>
      <c r="H2783" s="1" t="n">
        <v>42607</v>
      </c>
      <c r="I2783" s="1" t="n">
        <v>42608</v>
      </c>
      <c r="J2783" t="inlineStr">
        <is>
          <t>Ottawa, Ontario</t>
        </is>
      </c>
      <c r="K2783" t="inlineStr">
        <is>
          <t>Ottawa (Ontario)</t>
        </is>
      </c>
      <c r="P2783" t="n">
        <v>431.46</v>
      </c>
      <c r="Q2783" t="n">
        <v>76</v>
      </c>
      <c r="R2783" t="n">
        <v>182.73</v>
      </c>
      <c r="S2783" t="n">
        <v>113.6</v>
      </c>
      <c r="T2783" t="n">
        <v>127.5</v>
      </c>
      <c r="U2783" t="n">
        <v>931.29</v>
      </c>
      <c r="X2783" t="inlineStr">
        <is>
          <t>acoa-apeca</t>
        </is>
      </c>
      <c r="Y2783" t="inlineStr">
        <is>
          <t>Atlantic Canada Opportunities Agency | Agence de promotion économique du Canada atlantique</t>
        </is>
      </c>
      <c r="Z2783" t="n">
        <v>2</v>
      </c>
      <c r="AA2783" t="n">
        <v>931.29</v>
      </c>
      <c r="AB2783">
        <f>ROUND(U2783-AA2783,2)</f>
        <v/>
      </c>
      <c r="AC2783" t="b">
        <v>0</v>
      </c>
      <c r="AD2783">
        <f>IF(U2783="","MISSING_TOTAL",IF(ABS(AB2783)&lt;=0.01,"OK","CHECK"))</f>
        <v/>
      </c>
      <c r="AE2783">
        <f>IF(U2783="","MISSING",IF(AND(AA2783&gt;0,U2783/AA2783&gt;50),"POSSIBLE_SCALE_ERROR","OK"))</f>
        <v/>
      </c>
    </row>
    <row r="2784">
      <c r="A2784" t="inlineStr">
        <is>
          <t>T-2017-Q2-00032</t>
        </is>
      </c>
      <c r="B2784" t="inlineStr">
        <is>
          <t>SLE</t>
        </is>
      </c>
      <c r="C2784" t="inlineStr">
        <is>
          <t>Vice-President, Finance and Corporate Services</t>
        </is>
      </c>
      <c r="D2784" t="inlineStr">
        <is>
          <t>Vice-présidente, Finances et Services corporatifs</t>
        </is>
      </c>
      <c r="E2784" t="inlineStr">
        <is>
          <t>Denise Frenette</t>
        </is>
      </c>
      <c r="F2784" t="inlineStr">
        <is>
          <t>For meeting with various Government of Canada officials and stakeholders</t>
        </is>
      </c>
      <c r="G2784" t="inlineStr">
        <is>
          <t>Réunion avec divers fonctionnaires et intervenants du gouvernement du Canada</t>
        </is>
      </c>
      <c r="H2784" s="1" t="n">
        <v>42606</v>
      </c>
      <c r="I2784" s="1" t="n">
        <v>42606</v>
      </c>
      <c r="J2784" t="inlineStr">
        <is>
          <t>Miramichi, New Brunswick</t>
        </is>
      </c>
      <c r="K2784" t="inlineStr">
        <is>
          <t>Miramichi (Nouveau-Brunswick)</t>
        </is>
      </c>
      <c r="P2784" t="n">
        <v>0</v>
      </c>
      <c r="Q2784" t="n">
        <v>0</v>
      </c>
      <c r="R2784" t="n">
        <v>0</v>
      </c>
      <c r="S2784" t="n">
        <v>17</v>
      </c>
      <c r="T2784" t="n">
        <v>0</v>
      </c>
      <c r="U2784" t="n">
        <v>17</v>
      </c>
      <c r="X2784" t="inlineStr">
        <is>
          <t>acoa-apeca</t>
        </is>
      </c>
      <c r="Y2784" t="inlineStr">
        <is>
          <t>Atlantic Canada Opportunities Agency | Agence de promotion économique du Canada atlantique</t>
        </is>
      </c>
      <c r="Z2784" t="n">
        <v>1</v>
      </c>
      <c r="AA2784" t="n">
        <v>17</v>
      </c>
      <c r="AB2784">
        <f>ROUND(U2784-AA2784,2)</f>
        <v/>
      </c>
      <c r="AC2784" t="b">
        <v>0</v>
      </c>
      <c r="AD2784">
        <f>IF(U2784="","MISSING_TOTAL",IF(ABS(AB2784)&lt;=0.01,"OK","CHECK"))</f>
        <v/>
      </c>
      <c r="AE2784">
        <f>IF(U2784="","MISSING",IF(AND(AA2784&gt;0,U2784/AA2784&gt;50),"POSSIBLE_SCALE_ERROR","OK"))</f>
        <v/>
      </c>
    </row>
    <row r="2785">
      <c r="A2785" t="inlineStr">
        <is>
          <t>T-2017-Q2-00031</t>
        </is>
      </c>
      <c r="B2785" t="inlineStr">
        <is>
          <t>SLE</t>
        </is>
      </c>
      <c r="C2785" t="inlineStr">
        <is>
          <t>Vice-President, New Brunswick</t>
        </is>
      </c>
      <c r="D2785" t="inlineStr">
        <is>
          <t>Vice-président, Nouveau-Brunswick</t>
        </is>
      </c>
      <c r="E2785" t="inlineStr">
        <is>
          <t>Kent Estabrooks</t>
        </is>
      </c>
      <c r="F2785" t="inlineStr">
        <is>
          <t>Meeting with provincial/federal officials</t>
        </is>
      </c>
      <c r="G2785" t="inlineStr">
        <is>
          <t>Réunion avec des fonctionnaires provinciaux et fédéraux</t>
        </is>
      </c>
      <c r="H2785" s="1" t="n">
        <v>42606</v>
      </c>
      <c r="I2785" s="1" t="n">
        <v>42607</v>
      </c>
      <c r="J2785" t="inlineStr">
        <is>
          <t>Halifax, Nova Scotia</t>
        </is>
      </c>
      <c r="K2785" t="inlineStr">
        <is>
          <t>Halifax (Nouvelle-Écosse)</t>
        </is>
      </c>
      <c r="P2785" t="n">
        <v>644.1</v>
      </c>
      <c r="Q2785" t="n">
        <v>182.75</v>
      </c>
      <c r="R2785" t="n">
        <v>190.03</v>
      </c>
      <c r="S2785" t="n">
        <v>124.6</v>
      </c>
      <c r="T2785" t="n">
        <v>0</v>
      </c>
      <c r="U2785" t="n">
        <v>1141.48</v>
      </c>
      <c r="X2785" t="inlineStr">
        <is>
          <t>acoa-apeca</t>
        </is>
      </c>
      <c r="Y2785" t="inlineStr">
        <is>
          <t>Atlantic Canada Opportunities Agency | Agence de promotion économique du Canada atlantique</t>
        </is>
      </c>
      <c r="Z2785" t="n">
        <v>2</v>
      </c>
      <c r="AA2785" t="n">
        <v>1141.48</v>
      </c>
      <c r="AB2785">
        <f>ROUND(U2785-AA2785,2)</f>
        <v/>
      </c>
      <c r="AC2785" t="b">
        <v>0</v>
      </c>
      <c r="AD2785">
        <f>IF(U2785="","MISSING_TOTAL",IF(ABS(AB2785)&lt;=0.01,"OK","CHECK"))</f>
        <v/>
      </c>
      <c r="AE2785">
        <f>IF(U2785="","MISSING",IF(AND(AA2785&gt;0,U2785/AA2785&gt;50),"POSSIBLE_SCALE_ERROR","OK"))</f>
        <v/>
      </c>
    </row>
    <row r="2786">
      <c r="A2786" t="inlineStr">
        <is>
          <t>T-2017-Q2-00030</t>
        </is>
      </c>
      <c r="B2786" t="inlineStr">
        <is>
          <t>SLE</t>
        </is>
      </c>
      <c r="C2786" t="inlineStr">
        <is>
          <t>Vice-President, Policy and Programs</t>
        </is>
      </c>
      <c r="D2786" t="inlineStr">
        <is>
          <t>Vice-président, Politiques et Programmes</t>
        </is>
      </c>
      <c r="E2786" t="inlineStr">
        <is>
          <t>Daryell Nowlan</t>
        </is>
      </c>
      <c r="F2786" t="inlineStr">
        <is>
          <t>Meetings with Government of Canada officials</t>
        </is>
      </c>
      <c r="G2786" t="inlineStr">
        <is>
          <t>Réunions avec des fonctionnaires du gouvernement du Canada</t>
        </is>
      </c>
      <c r="H2786" s="1" t="n">
        <v>42606</v>
      </c>
      <c r="I2786" s="1" t="n">
        <v>42608</v>
      </c>
      <c r="J2786" t="inlineStr">
        <is>
          <t>Halifax, Nova Scotia</t>
        </is>
      </c>
      <c r="K2786" t="inlineStr">
        <is>
          <t>Halifax (Nouvelle-Écosse)</t>
        </is>
      </c>
      <c r="P2786" t="n">
        <v>0</v>
      </c>
      <c r="Q2786" t="n">
        <v>254.54</v>
      </c>
      <c r="R2786" t="n">
        <v>380.06</v>
      </c>
      <c r="S2786" t="n">
        <v>158.9</v>
      </c>
      <c r="T2786" t="n">
        <v>2.39</v>
      </c>
      <c r="U2786" t="n">
        <v>795.89</v>
      </c>
      <c r="X2786" t="inlineStr">
        <is>
          <t>acoa-apeca</t>
        </is>
      </c>
      <c r="Y2786" t="inlineStr">
        <is>
          <t>Atlantic Canada Opportunities Agency | Agence de promotion économique du Canada atlantique</t>
        </is>
      </c>
      <c r="Z2786" t="n">
        <v>3</v>
      </c>
      <c r="AA2786" t="n">
        <v>795.89</v>
      </c>
      <c r="AB2786">
        <f>ROUND(U2786-AA2786,2)</f>
        <v/>
      </c>
      <c r="AC2786" t="b">
        <v>0</v>
      </c>
      <c r="AD2786">
        <f>IF(U2786="","MISSING_TOTAL",IF(ABS(AB2786)&lt;=0.01,"OK","CHECK"))</f>
        <v/>
      </c>
      <c r="AE2786">
        <f>IF(U2786="","MISSING",IF(AND(AA2786&gt;0,U2786/AA2786&gt;50),"POSSIBLE_SCALE_ERROR","OK"))</f>
        <v/>
      </c>
    </row>
    <row r="2787">
      <c r="A2787" t="inlineStr">
        <is>
          <t>T-2017-Q2-00029</t>
        </is>
      </c>
      <c r="B2787" t="inlineStr">
        <is>
          <t>SLE</t>
        </is>
      </c>
      <c r="C2787" t="inlineStr">
        <is>
          <t>Vice-President, New Brunswick</t>
        </is>
      </c>
      <c r="D2787" t="inlineStr">
        <is>
          <t>Vice-président, Nouveau-Brunswick</t>
        </is>
      </c>
      <c r="E2787" t="inlineStr">
        <is>
          <t>Kent Estabrooks</t>
        </is>
      </c>
      <c r="F2787" t="inlineStr">
        <is>
          <t>Meetings with Agency officials and various federal officials</t>
        </is>
      </c>
      <c r="G2787" t="inlineStr">
        <is>
          <t>Réunions avec des fonctionnaires de l'Agence et divers fonctionnaires fédéraux</t>
        </is>
      </c>
      <c r="H2787" s="1" t="n">
        <v>42596</v>
      </c>
      <c r="I2787" s="1" t="n">
        <v>42598</v>
      </c>
      <c r="J2787" t="inlineStr">
        <is>
          <t>Ottawa, Ontario</t>
        </is>
      </c>
      <c r="K2787" t="inlineStr">
        <is>
          <t>Ottawa (Ontario)</t>
        </is>
      </c>
      <c r="P2787" t="n">
        <v>644.1</v>
      </c>
      <c r="Q2787" t="n">
        <v>108.12</v>
      </c>
      <c r="R2787" t="n">
        <v>360.8</v>
      </c>
      <c r="S2787" t="n">
        <v>237.7</v>
      </c>
      <c r="T2787" t="n">
        <v>0</v>
      </c>
      <c r="U2787" t="n">
        <v>1350.72</v>
      </c>
      <c r="X2787" t="inlineStr">
        <is>
          <t>acoa-apeca</t>
        </is>
      </c>
      <c r="Y2787" t="inlineStr">
        <is>
          <t>Atlantic Canada Opportunities Agency | Agence de promotion économique du Canada atlantique</t>
        </is>
      </c>
      <c r="Z2787" t="n">
        <v>3</v>
      </c>
      <c r="AA2787" t="n">
        <v>1350.72</v>
      </c>
      <c r="AB2787">
        <f>ROUND(U2787-AA2787,2)</f>
        <v/>
      </c>
      <c r="AC2787" t="b">
        <v>0</v>
      </c>
      <c r="AD2787">
        <f>IF(U2787="","MISSING_TOTAL",IF(ABS(AB2787)&lt;=0.01,"OK","CHECK"))</f>
        <v/>
      </c>
      <c r="AE2787">
        <f>IF(U2787="","MISSING",IF(AND(AA2787&gt;0,U2787/AA2787&gt;50),"POSSIBLE_SCALE_ERROR","OK"))</f>
        <v/>
      </c>
    </row>
    <row r="2788">
      <c r="A2788" t="inlineStr">
        <is>
          <t>T-2017-Q2-00028</t>
        </is>
      </c>
      <c r="B2788" t="inlineStr">
        <is>
          <t>SLE</t>
        </is>
      </c>
      <c r="C2788" t="inlineStr">
        <is>
          <t>Vice-President, New Brunswick</t>
        </is>
      </c>
      <c r="D2788" t="inlineStr">
        <is>
          <t>Vice-président, Nouveau-Brunswick</t>
        </is>
      </c>
      <c r="E2788" t="inlineStr">
        <is>
          <t>Kent Estabrooks</t>
        </is>
      </c>
      <c r="F2788" t="inlineStr">
        <is>
          <t>Meeting with Agency officials</t>
        </is>
      </c>
      <c r="G2788" t="inlineStr">
        <is>
          <t>Réunion avec des fonctionnaires de l'Agence</t>
        </is>
      </c>
      <c r="H2788" s="1" t="n">
        <v>42592</v>
      </c>
      <c r="I2788" s="1" t="n">
        <v>42593</v>
      </c>
      <c r="J2788" t="inlineStr">
        <is>
          <t>Campbellton, New Brunswick</t>
        </is>
      </c>
      <c r="K2788" t="inlineStr">
        <is>
          <t>Campbellton (Nouveau-Brunswick)</t>
        </is>
      </c>
      <c r="P2788" t="n">
        <v>0</v>
      </c>
      <c r="Q2788" t="n">
        <v>0</v>
      </c>
      <c r="R2788" t="n">
        <v>131.1</v>
      </c>
      <c r="S2788" t="n">
        <v>96.59999999999999</v>
      </c>
      <c r="T2788" t="n">
        <v>0</v>
      </c>
      <c r="U2788" t="n">
        <v>227.7</v>
      </c>
      <c r="X2788" t="inlineStr">
        <is>
          <t>acoa-apeca</t>
        </is>
      </c>
      <c r="Y2788" t="inlineStr">
        <is>
          <t>Atlantic Canada Opportunities Agency | Agence de promotion économique du Canada atlantique</t>
        </is>
      </c>
      <c r="Z2788" t="n">
        <v>2</v>
      </c>
      <c r="AA2788" t="n">
        <v>227.7</v>
      </c>
      <c r="AB2788">
        <f>ROUND(U2788-AA2788,2)</f>
        <v/>
      </c>
      <c r="AC2788" t="b">
        <v>0</v>
      </c>
      <c r="AD2788">
        <f>IF(U2788="","MISSING_TOTAL",IF(ABS(AB2788)&lt;=0.01,"OK","CHECK"))</f>
        <v/>
      </c>
      <c r="AE2788">
        <f>IF(U2788="","MISSING",IF(AND(AA2788&gt;0,U2788/AA2788&gt;50),"POSSIBLE_SCALE_ERROR","OK"))</f>
        <v/>
      </c>
    </row>
    <row r="2789">
      <c r="A2789" t="inlineStr">
        <is>
          <t>T-2017-Q2-00027</t>
        </is>
      </c>
      <c r="B2789" t="inlineStr">
        <is>
          <t>SLE</t>
        </is>
      </c>
      <c r="C2789" t="inlineStr">
        <is>
          <t>Vice-President, Prince Edward Island</t>
        </is>
      </c>
      <c r="D2789" t="inlineStr">
        <is>
          <t>Vice-président, Île-du-Prince-Édouard</t>
        </is>
      </c>
      <c r="E2789" t="inlineStr">
        <is>
          <t>Patrick Dorsey</t>
        </is>
      </c>
      <c r="F2789" t="inlineStr">
        <is>
          <t>Attend 2016 Aerospace and Defence Association Conference</t>
        </is>
      </c>
      <c r="G2789" t="inlineStr">
        <is>
          <t>Assister à la conférence de 2016 de l'Aerospace and Defence Association</t>
        </is>
      </c>
      <c r="H2789" s="1" t="n">
        <v>42592</v>
      </c>
      <c r="I2789" s="1" t="n">
        <v>42593</v>
      </c>
      <c r="J2789" t="inlineStr">
        <is>
          <t>Brudenell, Prince Edward Island</t>
        </is>
      </c>
      <c r="K2789" t="inlineStr">
        <is>
          <t>Brudenell (Île-du-Prince-Édouard)</t>
        </is>
      </c>
      <c r="P2789" t="n">
        <v>0</v>
      </c>
      <c r="Q2789" t="n">
        <v>0</v>
      </c>
      <c r="R2789" t="n">
        <v>378.48</v>
      </c>
      <c r="S2789" t="n">
        <v>85.5</v>
      </c>
      <c r="T2789" t="n">
        <v>0</v>
      </c>
      <c r="U2789" t="n">
        <v>463.98</v>
      </c>
      <c r="X2789" t="inlineStr">
        <is>
          <t>acoa-apeca</t>
        </is>
      </c>
      <c r="Y2789" t="inlineStr">
        <is>
          <t>Atlantic Canada Opportunities Agency | Agence de promotion économique du Canada atlantique</t>
        </is>
      </c>
      <c r="Z2789" t="n">
        <v>2</v>
      </c>
      <c r="AA2789" t="n">
        <v>463.98</v>
      </c>
      <c r="AB2789">
        <f>ROUND(U2789-AA2789,2)</f>
        <v/>
      </c>
      <c r="AC2789" t="b">
        <v>0</v>
      </c>
      <c r="AD2789">
        <f>IF(U2789="","MISSING_TOTAL",IF(ABS(AB2789)&lt;=0.01,"OK","CHECK"))</f>
        <v/>
      </c>
      <c r="AE2789">
        <f>IF(U2789="","MISSING",IF(AND(AA2789&gt;0,U2789/AA2789&gt;50),"POSSIBLE_SCALE_ERROR","OK"))</f>
        <v/>
      </c>
    </row>
    <row r="2790">
      <c r="A2790" t="inlineStr">
        <is>
          <t>T-2017-Q2-00026</t>
        </is>
      </c>
      <c r="B2790" t="inlineStr">
        <is>
          <t>SLE</t>
        </is>
      </c>
      <c r="C2790" t="inlineStr">
        <is>
          <t>Vice President, Nova Scotia</t>
        </is>
      </c>
      <c r="D2790" t="inlineStr">
        <is>
          <t>Vice-président, Nouvelle-Écosse</t>
        </is>
      </c>
      <c r="E2790" t="inlineStr">
        <is>
          <t>Peter Hogan</t>
        </is>
      </c>
      <c r="F2790" t="inlineStr">
        <is>
          <t>Various meetings with Agency and Government of Canada officials</t>
        </is>
      </c>
      <c r="G2790" t="inlineStr">
        <is>
          <t>Diverses réunions avec des fonctionnaires de l'Agence et du gouvernement du Canada</t>
        </is>
      </c>
      <c r="H2790" s="1" t="n">
        <v>42579</v>
      </c>
      <c r="I2790" s="1" t="n">
        <v>42580</v>
      </c>
      <c r="J2790" t="inlineStr">
        <is>
          <t>Ottawa, Ontario</t>
        </is>
      </c>
      <c r="K2790" t="inlineStr">
        <is>
          <t>Ottawa (Ontario)</t>
        </is>
      </c>
      <c r="P2790" t="n">
        <v>891.98</v>
      </c>
      <c r="Q2790" t="n">
        <v>126.43</v>
      </c>
      <c r="R2790" t="n">
        <v>180.4</v>
      </c>
      <c r="S2790" t="n">
        <v>130.4</v>
      </c>
      <c r="T2790" t="n">
        <v>0</v>
      </c>
      <c r="U2790" t="n">
        <v>1329.21</v>
      </c>
      <c r="X2790" t="inlineStr">
        <is>
          <t>acoa-apeca</t>
        </is>
      </c>
      <c r="Y2790" t="inlineStr">
        <is>
          <t>Atlantic Canada Opportunities Agency | Agence de promotion économique du Canada atlantique</t>
        </is>
      </c>
      <c r="Z2790" t="n">
        <v>2</v>
      </c>
      <c r="AA2790" t="n">
        <v>1329.21</v>
      </c>
      <c r="AB2790">
        <f>ROUND(U2790-AA2790,2)</f>
        <v/>
      </c>
      <c r="AC2790" t="b">
        <v>0</v>
      </c>
      <c r="AD2790">
        <f>IF(U2790="","MISSING_TOTAL",IF(ABS(AB2790)&lt;=0.01,"OK","CHECK"))</f>
        <v/>
      </c>
      <c r="AE2790">
        <f>IF(U2790="","MISSING",IF(AND(AA2790&gt;0,U2790/AA2790&gt;50),"POSSIBLE_SCALE_ERROR","OK"))</f>
        <v/>
      </c>
    </row>
    <row r="2791">
      <c r="A2791" t="inlineStr">
        <is>
          <t>T-2017-Q2-00025</t>
        </is>
      </c>
      <c r="B2791" t="inlineStr">
        <is>
          <t>SLE</t>
        </is>
      </c>
      <c r="C2791" t="inlineStr">
        <is>
          <t>Vice-President, Newfoundland and Labrador</t>
        </is>
      </c>
      <c r="D2791" t="inlineStr">
        <is>
          <t>Vice-président, Terre-Neuve-et-Labrador</t>
        </is>
      </c>
      <c r="E2791" t="inlineStr">
        <is>
          <t>Ken Martin</t>
        </is>
      </c>
      <c r="F2791" t="inlineStr">
        <is>
          <t>Meetings with senior government officials in Ottawa</t>
        </is>
      </c>
      <c r="G2791" t="inlineStr">
        <is>
          <t>Réunions avec des hauts fonctionnaires gouvernementaux à Ottawa</t>
        </is>
      </c>
      <c r="H2791" s="1" t="n">
        <v>42578</v>
      </c>
      <c r="I2791" s="1" t="n">
        <v>42579</v>
      </c>
      <c r="J2791" t="inlineStr">
        <is>
          <t>Ottawa, Ontario</t>
        </is>
      </c>
      <c r="K2791" t="inlineStr">
        <is>
          <t>Ottawa (Ontario)</t>
        </is>
      </c>
      <c r="P2791" t="n">
        <v>1027.83</v>
      </c>
      <c r="Q2791" t="n">
        <v>43.21</v>
      </c>
      <c r="R2791" t="n">
        <v>180.4</v>
      </c>
      <c r="S2791" t="n">
        <v>175.4</v>
      </c>
      <c r="T2791" t="n">
        <v>53.92</v>
      </c>
      <c r="U2791" t="n">
        <v>1480.76</v>
      </c>
      <c r="X2791" t="inlineStr">
        <is>
          <t>acoa-apeca</t>
        </is>
      </c>
      <c r="Y2791" t="inlineStr">
        <is>
          <t>Atlantic Canada Opportunities Agency | Agence de promotion économique du Canada atlantique</t>
        </is>
      </c>
      <c r="Z2791" t="n">
        <v>2</v>
      </c>
      <c r="AA2791" t="n">
        <v>1480.76</v>
      </c>
      <c r="AB2791">
        <f>ROUND(U2791-AA2791,2)</f>
        <v/>
      </c>
      <c r="AC2791" t="b">
        <v>0</v>
      </c>
      <c r="AD2791">
        <f>IF(U2791="","MISSING_TOTAL",IF(ABS(AB2791)&lt;=0.01,"OK","CHECK"))</f>
        <v/>
      </c>
      <c r="AE2791">
        <f>IF(U2791="","MISSING",IF(AND(AA2791&gt;0,U2791/AA2791&gt;50),"POSSIBLE_SCALE_ERROR","OK"))</f>
        <v/>
      </c>
    </row>
    <row r="2792">
      <c r="A2792" t="inlineStr">
        <is>
          <t>T-2017-Q2-00023</t>
        </is>
      </c>
      <c r="B2792" t="inlineStr">
        <is>
          <t>SLE</t>
        </is>
      </c>
      <c r="C2792" t="inlineStr">
        <is>
          <t>Vice-President, Prince Edward Island</t>
        </is>
      </c>
      <c r="D2792" t="inlineStr">
        <is>
          <t>Vice-président, Île-du-Prince-Édouard</t>
        </is>
      </c>
      <c r="E2792" t="inlineStr">
        <is>
          <t>Patrick Dorsey</t>
        </is>
      </c>
      <c r="F2792" t="inlineStr">
        <is>
          <t>Attend Wind Energy Institute of Canada (WEICAN) meeting</t>
        </is>
      </c>
      <c r="G2792" t="inlineStr">
        <is>
          <t>Assister à une réunion de l'Institut de l'énergie éolienne du Canada (IEEC)</t>
        </is>
      </c>
      <c r="H2792" s="1" t="n">
        <v>42576</v>
      </c>
      <c r="I2792" s="1" t="n">
        <v>42577</v>
      </c>
      <c r="J2792" t="inlineStr">
        <is>
          <t>Mill River, Prince Edward Island</t>
        </is>
      </c>
      <c r="K2792" t="inlineStr">
        <is>
          <t>Mill River (Île-du-Prince-Édouard)</t>
        </is>
      </c>
      <c r="P2792" t="n">
        <v>0</v>
      </c>
      <c r="Q2792" t="n">
        <v>0</v>
      </c>
      <c r="R2792" t="n">
        <v>141.36</v>
      </c>
      <c r="S2792" t="n">
        <v>113.4</v>
      </c>
      <c r="T2792" t="n">
        <v>0</v>
      </c>
      <c r="U2792" t="n">
        <v>254.76</v>
      </c>
      <c r="X2792" t="inlineStr">
        <is>
          <t>acoa-apeca</t>
        </is>
      </c>
      <c r="Y2792" t="inlineStr">
        <is>
          <t>Atlantic Canada Opportunities Agency | Agence de promotion économique du Canada atlantique</t>
        </is>
      </c>
      <c r="Z2792" t="n">
        <v>2</v>
      </c>
      <c r="AA2792" t="n">
        <v>254.76</v>
      </c>
      <c r="AB2792">
        <f>ROUND(U2792-AA2792,2)</f>
        <v/>
      </c>
      <c r="AC2792" t="b">
        <v>0</v>
      </c>
      <c r="AD2792">
        <f>IF(U2792="","MISSING_TOTAL",IF(ABS(AB2792)&lt;=0.01,"OK","CHECK"))</f>
        <v/>
      </c>
      <c r="AE2792">
        <f>IF(U2792="","MISSING",IF(AND(AA2792&gt;0,U2792/AA2792&gt;50),"POSSIBLE_SCALE_ERROR","OK"))</f>
        <v/>
      </c>
    </row>
    <row r="2793">
      <c r="A2793" t="inlineStr">
        <is>
          <t>T-2017-Q2-00022</t>
        </is>
      </c>
      <c r="B2793" t="inlineStr">
        <is>
          <t>SLE</t>
        </is>
      </c>
      <c r="C2793" t="inlineStr">
        <is>
          <t>Vice-President, Newfoundland and Labrador</t>
        </is>
      </c>
      <c r="D2793" t="inlineStr">
        <is>
          <t>Vice-président, Terre-Neuve-et-Labrador</t>
        </is>
      </c>
      <c r="E2793" t="inlineStr">
        <is>
          <t>Ken Martin</t>
        </is>
      </c>
      <c r="F2793" t="inlineStr">
        <is>
          <t>Government of Canada community announcement in Bay de Verde</t>
        </is>
      </c>
      <c r="G2793" t="inlineStr">
        <is>
          <t>Annonce communautaire du gouvernement du Canada à Bay de Verde</t>
        </is>
      </c>
      <c r="H2793" s="1" t="n">
        <v>42576</v>
      </c>
      <c r="I2793" s="1" t="n">
        <v>42576</v>
      </c>
      <c r="J2793" t="inlineStr">
        <is>
          <t>Bay de Verde, Newfoundland and Labrador</t>
        </is>
      </c>
      <c r="K2793" t="inlineStr">
        <is>
          <t>Bay de Verde (Terre-Neuve-et-Labrador)</t>
        </is>
      </c>
      <c r="P2793" t="n">
        <v>0</v>
      </c>
      <c r="Q2793" t="n">
        <v>0</v>
      </c>
      <c r="R2793" t="n">
        <v>0</v>
      </c>
      <c r="S2793" t="n">
        <v>17</v>
      </c>
      <c r="T2793" t="n">
        <v>0</v>
      </c>
      <c r="U2793" t="n">
        <v>17</v>
      </c>
      <c r="X2793" t="inlineStr">
        <is>
          <t>acoa-apeca</t>
        </is>
      </c>
      <c r="Y2793" t="inlineStr">
        <is>
          <t>Atlantic Canada Opportunities Agency | Agence de promotion économique du Canada atlantique</t>
        </is>
      </c>
      <c r="Z2793" t="n">
        <v>1</v>
      </c>
      <c r="AA2793" t="n">
        <v>17</v>
      </c>
      <c r="AB2793">
        <f>ROUND(U2793-AA2793,2)</f>
        <v/>
      </c>
      <c r="AC2793" t="b">
        <v>0</v>
      </c>
      <c r="AD2793">
        <f>IF(U2793="","MISSING_TOTAL",IF(ABS(AB2793)&lt;=0.01,"OK","CHECK"))</f>
        <v/>
      </c>
      <c r="AE2793">
        <f>IF(U2793="","MISSING",IF(AND(AA2793&gt;0,U2793/AA2793&gt;50),"POSSIBLE_SCALE_ERROR","OK"))</f>
        <v/>
      </c>
    </row>
    <row r="2794">
      <c r="A2794" t="inlineStr">
        <is>
          <t>T-2017-Q2-00021</t>
        </is>
      </c>
      <c r="B2794" t="inlineStr">
        <is>
          <t>SLE</t>
        </is>
      </c>
      <c r="C2794" t="inlineStr">
        <is>
          <t>Vice-President, Newfoundland and Labrador</t>
        </is>
      </c>
      <c r="D2794" t="inlineStr">
        <is>
          <t>Vice-président, Terre-Neuve-et-Labrador</t>
        </is>
      </c>
      <c r="E2794" t="inlineStr">
        <is>
          <t>Ken Martin</t>
        </is>
      </c>
      <c r="F2794" t="inlineStr">
        <is>
          <t>Meetings with community representatives in Norman's Cove</t>
        </is>
      </c>
      <c r="G2794" t="inlineStr">
        <is>
          <t>Réunions avec des représentants communautaires à Norman's Cove</t>
        </is>
      </c>
      <c r="H2794" s="1" t="n">
        <v>42574</v>
      </c>
      <c r="I2794" s="1" t="n">
        <v>42574</v>
      </c>
      <c r="J2794" t="inlineStr">
        <is>
          <t>Norman's Cove, Newfoundland and Labrador</t>
        </is>
      </c>
      <c r="K2794" t="inlineStr">
        <is>
          <t>Norman's Cove (Terre-Neuve-et-Labrador)</t>
        </is>
      </c>
      <c r="P2794" t="n">
        <v>0</v>
      </c>
      <c r="Q2794" t="n">
        <v>125.74</v>
      </c>
      <c r="R2794" t="n">
        <v>0</v>
      </c>
      <c r="S2794" t="n">
        <v>17</v>
      </c>
      <c r="T2794" t="n">
        <v>0</v>
      </c>
      <c r="U2794" t="n">
        <v>142.74</v>
      </c>
      <c r="X2794" t="inlineStr">
        <is>
          <t>acoa-apeca</t>
        </is>
      </c>
      <c r="Y2794" t="inlineStr">
        <is>
          <t>Atlantic Canada Opportunities Agency | Agence de promotion économique du Canada atlantique</t>
        </is>
      </c>
      <c r="Z2794" t="n">
        <v>1</v>
      </c>
      <c r="AA2794" t="n">
        <v>142.74</v>
      </c>
      <c r="AB2794">
        <f>ROUND(U2794-AA2794,2)</f>
        <v/>
      </c>
      <c r="AC2794" t="b">
        <v>0</v>
      </c>
      <c r="AD2794">
        <f>IF(U2794="","MISSING_TOTAL",IF(ABS(AB2794)&lt;=0.01,"OK","CHECK"))</f>
        <v/>
      </c>
      <c r="AE2794">
        <f>IF(U2794="","MISSING",IF(AND(AA2794&gt;0,U2794/AA2794&gt;50),"POSSIBLE_SCALE_ERROR","OK"))</f>
        <v/>
      </c>
    </row>
    <row r="2795">
      <c r="A2795" t="inlineStr">
        <is>
          <t>T-2017-Q2-00020</t>
        </is>
      </c>
      <c r="B2795" t="inlineStr">
        <is>
          <t>SLE</t>
        </is>
      </c>
      <c r="C2795" t="inlineStr">
        <is>
          <t>Vice-President, Newfoundland and Labrador</t>
        </is>
      </c>
      <c r="D2795" t="inlineStr">
        <is>
          <t>Vice-président, Terre-Neuve-et-Labrador</t>
        </is>
      </c>
      <c r="E2795" t="inlineStr">
        <is>
          <t>Ken Martin</t>
        </is>
      </c>
      <c r="F2795" t="inlineStr">
        <is>
          <t>Meetings and site visits with ACOA clients in Marystown</t>
        </is>
      </c>
      <c r="G2795" t="inlineStr">
        <is>
          <t>Réunions et visites des lieux avec des clients de l'APECA à Marystown</t>
        </is>
      </c>
      <c r="H2795" s="1" t="n">
        <v>42570</v>
      </c>
      <c r="I2795" s="1" t="n">
        <v>42571</v>
      </c>
      <c r="J2795" t="inlineStr">
        <is>
          <t>Marystown, Newfoundland and Labrador</t>
        </is>
      </c>
      <c r="K2795" t="inlineStr">
        <is>
          <t>Marystown (Terre-Neuve-et-Labrador)</t>
        </is>
      </c>
      <c r="P2795" t="n">
        <v>0</v>
      </c>
      <c r="Q2795" t="n">
        <v>0</v>
      </c>
      <c r="R2795" t="n">
        <v>148.35</v>
      </c>
      <c r="S2795" t="n">
        <v>141.6</v>
      </c>
      <c r="T2795" t="n">
        <v>0</v>
      </c>
      <c r="U2795" t="n">
        <v>289.95</v>
      </c>
      <c r="X2795" t="inlineStr">
        <is>
          <t>acoa-apeca</t>
        </is>
      </c>
      <c r="Y2795" t="inlineStr">
        <is>
          <t>Atlantic Canada Opportunities Agency | Agence de promotion économique du Canada atlantique</t>
        </is>
      </c>
      <c r="Z2795" t="n">
        <v>2</v>
      </c>
      <c r="AA2795" t="n">
        <v>289.95</v>
      </c>
      <c r="AB2795">
        <f>ROUND(U2795-AA2795,2)</f>
        <v/>
      </c>
      <c r="AC2795" t="b">
        <v>0</v>
      </c>
      <c r="AD2795">
        <f>IF(U2795="","MISSING_TOTAL",IF(ABS(AB2795)&lt;=0.01,"OK","CHECK"))</f>
        <v/>
      </c>
      <c r="AE2795">
        <f>IF(U2795="","MISSING",IF(AND(AA2795&gt;0,U2795/AA2795&gt;50),"POSSIBLE_SCALE_ERROR","OK"))</f>
        <v/>
      </c>
    </row>
    <row r="2796">
      <c r="A2796" t="inlineStr">
        <is>
          <t>T-2017-Q2-00019</t>
        </is>
      </c>
      <c r="B2796" t="inlineStr">
        <is>
          <t>SLE</t>
        </is>
      </c>
      <c r="C2796" t="inlineStr">
        <is>
          <t>Vice President, Nova Scotia</t>
        </is>
      </c>
      <c r="D2796" t="inlineStr">
        <is>
          <t>Vice-président, Nouvelle-Écosse</t>
        </is>
      </c>
      <c r="E2796" t="inlineStr">
        <is>
          <t>Peter Hogan</t>
        </is>
      </c>
      <c r="F2796" t="inlineStr">
        <is>
          <t>Various meetings with Agency officials</t>
        </is>
      </c>
      <c r="G2796" t="inlineStr">
        <is>
          <t>Diverses réunions avec des fonctionnaires de l'Agence</t>
        </is>
      </c>
      <c r="H2796" s="1" t="n">
        <v>42569</v>
      </c>
      <c r="I2796" s="1" t="n">
        <v>42569</v>
      </c>
      <c r="J2796" t="inlineStr">
        <is>
          <t>Charlottetown, Prince Edward Island</t>
        </is>
      </c>
      <c r="K2796" t="inlineStr">
        <is>
          <t>Charlottetown (Île-du-Prince-Édouard)</t>
        </is>
      </c>
      <c r="P2796" t="n">
        <v>0</v>
      </c>
      <c r="Q2796" t="n">
        <v>66.38</v>
      </c>
      <c r="R2796" t="n">
        <v>0</v>
      </c>
      <c r="S2796" t="n">
        <v>17</v>
      </c>
      <c r="T2796" t="n">
        <v>0</v>
      </c>
      <c r="U2796" t="n">
        <v>83.38</v>
      </c>
      <c r="X2796" t="inlineStr">
        <is>
          <t>acoa-apeca</t>
        </is>
      </c>
      <c r="Y2796" t="inlineStr">
        <is>
          <t>Atlantic Canada Opportunities Agency | Agence de promotion économique du Canada atlantique</t>
        </is>
      </c>
      <c r="Z2796" t="n">
        <v>1</v>
      </c>
      <c r="AA2796" t="n">
        <v>83.38</v>
      </c>
      <c r="AB2796">
        <f>ROUND(U2796-AA2796,2)</f>
        <v/>
      </c>
      <c r="AC2796" t="b">
        <v>0</v>
      </c>
      <c r="AD2796">
        <f>IF(U2796="","MISSING_TOTAL",IF(ABS(AB2796)&lt;=0.01,"OK","CHECK"))</f>
        <v/>
      </c>
      <c r="AE2796">
        <f>IF(U2796="","MISSING",IF(AND(AA2796&gt;0,U2796/AA2796&gt;50),"POSSIBLE_SCALE_ERROR","OK"))</f>
        <v/>
      </c>
    </row>
    <row r="2797">
      <c r="A2797" t="inlineStr">
        <is>
          <t>T-2017-Q2-00018</t>
        </is>
      </c>
      <c r="B2797" t="inlineStr">
        <is>
          <t>SLE</t>
        </is>
      </c>
      <c r="C2797" t="inlineStr">
        <is>
          <t>President</t>
        </is>
      </c>
      <c r="D2797" t="inlineStr">
        <is>
          <t>Président</t>
        </is>
      </c>
      <c r="E2797" t="inlineStr">
        <is>
          <t>Paul J. LeBlanc</t>
        </is>
      </c>
      <c r="F2797" t="inlineStr">
        <is>
          <t>For various meetings and discussions with Agency officials and Government of Canada officials</t>
        </is>
      </c>
      <c r="G2797" t="inlineStr">
        <is>
          <t>Diverses réunions et discussions avec des fonctionnaires de l'Agence et du gouvernement du Canada</t>
        </is>
      </c>
      <c r="H2797" s="1" t="n">
        <v>42562</v>
      </c>
      <c r="I2797" s="1" t="n">
        <v>42564</v>
      </c>
      <c r="J2797" t="inlineStr">
        <is>
          <t>Ottawa, Ontario</t>
        </is>
      </c>
      <c r="K2797" t="inlineStr">
        <is>
          <t>Ottawa (Ontario)</t>
        </is>
      </c>
      <c r="P2797" t="n">
        <v>456.05</v>
      </c>
      <c r="Q2797" t="n">
        <v>0</v>
      </c>
      <c r="R2797" t="n">
        <v>365.46</v>
      </c>
      <c r="S2797" t="n">
        <v>209.5</v>
      </c>
      <c r="T2797" t="n">
        <v>97.94</v>
      </c>
      <c r="U2797" t="n">
        <v>1128.95</v>
      </c>
      <c r="X2797" t="inlineStr">
        <is>
          <t>acoa-apeca</t>
        </is>
      </c>
      <c r="Y2797" t="inlineStr">
        <is>
          <t>Atlantic Canada Opportunities Agency | Agence de promotion économique du Canada atlantique</t>
        </is>
      </c>
      <c r="Z2797" t="n">
        <v>3</v>
      </c>
      <c r="AA2797" t="n">
        <v>1128.95</v>
      </c>
      <c r="AB2797">
        <f>ROUND(U2797-AA2797,2)</f>
        <v/>
      </c>
      <c r="AC2797" t="b">
        <v>0</v>
      </c>
      <c r="AD2797">
        <f>IF(U2797="","MISSING_TOTAL",IF(ABS(AB2797)&lt;=0.01,"OK","CHECK"))</f>
        <v/>
      </c>
      <c r="AE2797">
        <f>IF(U2797="","MISSING",IF(AND(AA2797&gt;0,U2797/AA2797&gt;50),"POSSIBLE_SCALE_ERROR","OK"))</f>
        <v/>
      </c>
    </row>
    <row r="2798">
      <c r="A2798" t="inlineStr">
        <is>
          <t>T-2017-Q2-00017</t>
        </is>
      </c>
      <c r="B2798" t="inlineStr">
        <is>
          <t>SLE</t>
        </is>
      </c>
      <c r="C2798" t="inlineStr">
        <is>
          <t>Vice President, Nova Scotia</t>
        </is>
      </c>
      <c r="D2798" t="inlineStr">
        <is>
          <t>Vice-président, Nouvelle-Écosse</t>
        </is>
      </c>
      <c r="E2798" t="inlineStr">
        <is>
          <t>Peter Hogan</t>
        </is>
      </c>
      <c r="F2798" t="inlineStr">
        <is>
          <t>Various meetings with Agency officials</t>
        </is>
      </c>
      <c r="G2798" t="inlineStr">
        <is>
          <t>Diverses réunions avec des fonctionnaires de l'Agence</t>
        </is>
      </c>
      <c r="H2798" s="1" t="n">
        <v>42558</v>
      </c>
      <c r="I2798" s="1" t="n">
        <v>42559</v>
      </c>
      <c r="J2798" t="inlineStr">
        <is>
          <t>Ottawa, Ontario</t>
        </is>
      </c>
      <c r="K2798" t="inlineStr">
        <is>
          <t>Ottawa (Ontario)</t>
        </is>
      </c>
      <c r="P2798" t="n">
        <v>491.09</v>
      </c>
      <c r="Q2798" t="n">
        <v>80.43000000000001</v>
      </c>
      <c r="R2798" t="n">
        <v>163.05</v>
      </c>
      <c r="S2798" t="n">
        <v>113.6</v>
      </c>
      <c r="T2798" t="n">
        <v>0</v>
      </c>
      <c r="U2798" t="n">
        <v>848.17</v>
      </c>
      <c r="X2798" t="inlineStr">
        <is>
          <t>acoa-apeca</t>
        </is>
      </c>
      <c r="Y2798" t="inlineStr">
        <is>
          <t>Atlantic Canada Opportunities Agency | Agence de promotion économique du Canada atlantique</t>
        </is>
      </c>
      <c r="Z2798" t="n">
        <v>2</v>
      </c>
      <c r="AA2798" t="n">
        <v>848.17</v>
      </c>
      <c r="AB2798">
        <f>ROUND(U2798-AA2798,2)</f>
        <v/>
      </c>
      <c r="AC2798" t="b">
        <v>0</v>
      </c>
      <c r="AD2798">
        <f>IF(U2798="","MISSING_TOTAL",IF(ABS(AB2798)&lt;=0.01,"OK","CHECK"))</f>
        <v/>
      </c>
      <c r="AE2798">
        <f>IF(U2798="","MISSING",IF(AND(AA2798&gt;0,U2798/AA2798&gt;50),"POSSIBLE_SCALE_ERROR","OK"))</f>
        <v/>
      </c>
    </row>
    <row r="2799">
      <c r="A2799" t="inlineStr">
        <is>
          <t>T-2017-Q2-00016</t>
        </is>
      </c>
      <c r="B2799" t="inlineStr">
        <is>
          <t>SLE</t>
        </is>
      </c>
      <c r="C2799" t="inlineStr">
        <is>
          <t>Vice President, Nova Scotia</t>
        </is>
      </c>
      <c r="D2799" t="inlineStr">
        <is>
          <t>Vice-président, Nouvelle-Écosse</t>
        </is>
      </c>
      <c r="E2799" t="inlineStr">
        <is>
          <t>Peter Hogan</t>
        </is>
      </c>
      <c r="F2799" t="inlineStr">
        <is>
          <t>Various meetings with Agency officials</t>
        </is>
      </c>
      <c r="G2799" t="inlineStr">
        <is>
          <t>Diverses réunions avec des fonctionnaires de l'Agence</t>
        </is>
      </c>
      <c r="H2799" s="1" t="n">
        <v>42558</v>
      </c>
      <c r="I2799" s="1" t="n">
        <v>42559</v>
      </c>
      <c r="J2799" t="inlineStr">
        <is>
          <t>Ottawa, Ontario</t>
        </is>
      </c>
      <c r="K2799" t="inlineStr">
        <is>
          <t>Ottawa (Ontario)</t>
        </is>
      </c>
      <c r="P2799" t="n">
        <v>880.21</v>
      </c>
      <c r="Q2799" t="n">
        <v>119.4</v>
      </c>
      <c r="R2799" t="n">
        <v>196.7</v>
      </c>
      <c r="S2799" t="n">
        <v>175.4</v>
      </c>
      <c r="T2799" t="n">
        <v>0</v>
      </c>
      <c r="U2799" t="n">
        <v>1371.71</v>
      </c>
      <c r="X2799" t="inlineStr">
        <is>
          <t>acoa-apeca</t>
        </is>
      </c>
      <c r="Y2799" t="inlineStr">
        <is>
          <t>Atlantic Canada Opportunities Agency | Agence de promotion économique du Canada atlantique</t>
        </is>
      </c>
      <c r="Z2799" t="n">
        <v>2</v>
      </c>
      <c r="AA2799" t="n">
        <v>1371.71</v>
      </c>
      <c r="AB2799">
        <f>ROUND(U2799-AA2799,2)</f>
        <v/>
      </c>
      <c r="AC2799" t="b">
        <v>0</v>
      </c>
      <c r="AD2799">
        <f>IF(U2799="","MISSING_TOTAL",IF(ABS(AB2799)&lt;=0.01,"OK","CHECK"))</f>
        <v/>
      </c>
      <c r="AE2799">
        <f>IF(U2799="","MISSING",IF(AND(AA2799&gt;0,U2799/AA2799&gt;50),"POSSIBLE_SCALE_ERROR","OK"))</f>
        <v/>
      </c>
    </row>
    <row r="2800">
      <c r="A2800" t="inlineStr">
        <is>
          <t>T-2017-Q2-00015</t>
        </is>
      </c>
      <c r="B2800" t="inlineStr">
        <is>
          <t>SLE</t>
        </is>
      </c>
      <c r="C2800" t="inlineStr">
        <is>
          <t>Vice-President, Policy and Programs</t>
        </is>
      </c>
      <c r="D2800" t="inlineStr">
        <is>
          <t>Vice-président, Politiques et Programmes</t>
        </is>
      </c>
      <c r="E2800" t="inlineStr">
        <is>
          <t>Daryell Nowlan</t>
        </is>
      </c>
      <c r="F2800" t="inlineStr">
        <is>
          <t>Meeting with Government of Canada officials</t>
        </is>
      </c>
      <c r="G2800" t="inlineStr">
        <is>
          <t>Réunion avec des fonctionnaires du gouvernement du Canada</t>
        </is>
      </c>
      <c r="H2800" s="1" t="n">
        <v>42557</v>
      </c>
      <c r="I2800" s="1" t="n">
        <v>42558</v>
      </c>
      <c r="J2800" t="inlineStr">
        <is>
          <t>Halifax, Nova Scotia</t>
        </is>
      </c>
      <c r="K2800" t="inlineStr">
        <is>
          <t>Halifax (Nouvelle-Écosse)</t>
        </is>
      </c>
      <c r="P2800" t="n">
        <v>0</v>
      </c>
      <c r="Q2800" t="n">
        <v>0</v>
      </c>
      <c r="R2800" t="n">
        <v>190.03</v>
      </c>
      <c r="S2800" t="n">
        <v>96.59999999999999</v>
      </c>
      <c r="T2800" t="n">
        <v>0</v>
      </c>
      <c r="U2800" t="n">
        <v>286.63</v>
      </c>
      <c r="X2800" t="inlineStr">
        <is>
          <t>acoa-apeca</t>
        </is>
      </c>
      <c r="Y2800" t="inlineStr">
        <is>
          <t>Atlantic Canada Opportunities Agency | Agence de promotion économique du Canada atlantique</t>
        </is>
      </c>
      <c r="Z2800" t="n">
        <v>2</v>
      </c>
      <c r="AA2800" t="n">
        <v>286.63</v>
      </c>
      <c r="AB2800">
        <f>ROUND(U2800-AA2800,2)</f>
        <v/>
      </c>
      <c r="AC2800" t="b">
        <v>0</v>
      </c>
      <c r="AD2800">
        <f>IF(U2800="","MISSING_TOTAL",IF(ABS(AB2800)&lt;=0.01,"OK","CHECK"))</f>
        <v/>
      </c>
      <c r="AE2800">
        <f>IF(U2800="","MISSING",IF(AND(AA2800&gt;0,U2800/AA2800&gt;50),"POSSIBLE_SCALE_ERROR","OK"))</f>
        <v/>
      </c>
    </row>
    <row r="2801">
      <c r="A2801" t="inlineStr">
        <is>
          <t>T-2017-Q2-00014</t>
        </is>
      </c>
      <c r="B2801" t="inlineStr">
        <is>
          <t>SLE</t>
        </is>
      </c>
      <c r="C2801" t="inlineStr">
        <is>
          <t>Vice-President, Newfoundland and Labrador</t>
        </is>
      </c>
      <c r="D2801" t="inlineStr">
        <is>
          <t>Vice-président, Terre-Neuve-et-Labrador</t>
        </is>
      </c>
      <c r="E2801" t="inlineStr">
        <is>
          <t>Ken Martin</t>
        </is>
      </c>
      <c r="F2801" t="inlineStr">
        <is>
          <t>Attend AIF and ICF announcements/events</t>
        </is>
      </c>
      <c r="G2801" t="inlineStr">
        <is>
          <t>Assister à des annonces et à des activités du FIA et du FCI</t>
        </is>
      </c>
      <c r="H2801" s="1" t="n">
        <v>42555</v>
      </c>
      <c r="I2801" s="1" t="n">
        <v>42557</v>
      </c>
      <c r="J2801" t="inlineStr">
        <is>
          <t>St. John's, Newfoundland and Labrador</t>
        </is>
      </c>
      <c r="K2801" t="inlineStr">
        <is>
          <t>St. John's (Terre-Neuve-et-Labrador)</t>
        </is>
      </c>
      <c r="P2801" t="n">
        <v>0</v>
      </c>
      <c r="Q2801" t="n">
        <v>249.18</v>
      </c>
      <c r="R2801" t="n">
        <v>0</v>
      </c>
      <c r="S2801" t="n">
        <v>33.8</v>
      </c>
      <c r="T2801" t="n">
        <v>0</v>
      </c>
      <c r="U2801" t="n">
        <v>282.98</v>
      </c>
      <c r="X2801" t="inlineStr">
        <is>
          <t>acoa-apeca</t>
        </is>
      </c>
      <c r="Y2801" t="inlineStr">
        <is>
          <t>Atlantic Canada Opportunities Agency | Agence de promotion économique du Canada atlantique</t>
        </is>
      </c>
      <c r="Z2801" t="n">
        <v>3</v>
      </c>
      <c r="AA2801" t="n">
        <v>282.98</v>
      </c>
      <c r="AB2801">
        <f>ROUND(U2801-AA2801,2)</f>
        <v/>
      </c>
      <c r="AC2801" t="b">
        <v>0</v>
      </c>
      <c r="AD2801">
        <f>IF(U2801="","MISSING_TOTAL",IF(ABS(AB2801)&lt;=0.01,"OK","CHECK"))</f>
        <v/>
      </c>
      <c r="AE2801">
        <f>IF(U2801="","MISSING",IF(AND(AA2801&gt;0,U2801/AA2801&gt;50),"POSSIBLE_SCALE_ERROR","OK"))</f>
        <v/>
      </c>
    </row>
    <row r="2802">
      <c r="A2802" t="inlineStr">
        <is>
          <t>T-2017-Q2-00013</t>
        </is>
      </c>
      <c r="B2802" t="inlineStr">
        <is>
          <t>SLE</t>
        </is>
      </c>
      <c r="C2802" t="inlineStr">
        <is>
          <t>President</t>
        </is>
      </c>
      <c r="D2802" t="inlineStr">
        <is>
          <t>Président</t>
        </is>
      </c>
      <c r="E2802" t="inlineStr">
        <is>
          <t>Paul J. LeBlanc</t>
        </is>
      </c>
      <c r="F2802" t="inlineStr">
        <is>
          <t>For various meetings and discussions with Government of Canada and provincial government officials</t>
        </is>
      </c>
      <c r="G2802" t="inlineStr">
        <is>
          <t>Diverses réunions et discussions avec des fonctionnaires des gouvernements fédéral et provincial</t>
        </is>
      </c>
      <c r="H2802" s="1" t="n">
        <v>42554</v>
      </c>
      <c r="I2802" s="1" t="n">
        <v>42555</v>
      </c>
      <c r="J2802" t="inlineStr">
        <is>
          <t>Georgetown, Prince Edward Island</t>
        </is>
      </c>
      <c r="K2802" t="inlineStr">
        <is>
          <t>Georgetown (Île-du-Prince-Édouard)</t>
        </is>
      </c>
      <c r="P2802" t="n">
        <v>0</v>
      </c>
      <c r="Q2802" t="n">
        <v>0</v>
      </c>
      <c r="R2802" t="n">
        <v>169.86</v>
      </c>
      <c r="S2802" t="n">
        <v>51.6</v>
      </c>
      <c r="T2802" t="n">
        <v>46</v>
      </c>
      <c r="U2802" t="n">
        <v>267.46</v>
      </c>
      <c r="X2802" t="inlineStr">
        <is>
          <t>acoa-apeca</t>
        </is>
      </c>
      <c r="Y2802" t="inlineStr">
        <is>
          <t>Atlantic Canada Opportunities Agency | Agence de promotion économique du Canada atlantique</t>
        </is>
      </c>
      <c r="Z2802" t="n">
        <v>2</v>
      </c>
      <c r="AA2802" t="n">
        <v>267.46</v>
      </c>
      <c r="AB2802">
        <f>ROUND(U2802-AA2802,2)</f>
        <v/>
      </c>
      <c r="AC2802" t="b">
        <v>0</v>
      </c>
      <c r="AD2802">
        <f>IF(U2802="","MISSING_TOTAL",IF(ABS(AB2802)&lt;=0.01,"OK","CHECK"))</f>
        <v/>
      </c>
      <c r="AE2802">
        <f>IF(U2802="","MISSING",IF(AND(AA2802&gt;0,U2802/AA2802&gt;50),"POSSIBLE_SCALE_ERROR","OK"))</f>
        <v/>
      </c>
    </row>
    <row r="2803">
      <c r="A2803" t="inlineStr">
        <is>
          <t>T-2017-Q2-00012</t>
        </is>
      </c>
      <c r="B2803" t="inlineStr">
        <is>
          <t>SLE</t>
        </is>
      </c>
      <c r="C2803" t="inlineStr">
        <is>
          <t>Vice-President, New Brunswick</t>
        </is>
      </c>
      <c r="D2803" t="inlineStr">
        <is>
          <t>Vice-président, Nouveau-Brunswick</t>
        </is>
      </c>
      <c r="E2803" t="inlineStr">
        <is>
          <t>Kent Estabrooks</t>
        </is>
      </c>
      <c r="F2803" t="inlineStr">
        <is>
          <t>Meetings with Agency officials and client</t>
        </is>
      </c>
      <c r="G2803" t="inlineStr">
        <is>
          <t>Réunions avec des fonctionnaires de l'Agence et un client</t>
        </is>
      </c>
      <c r="H2803" s="1" t="n">
        <v>42550</v>
      </c>
      <c r="I2803" s="1" t="n">
        <v>42551</v>
      </c>
      <c r="J2803" t="inlineStr">
        <is>
          <t>Moncton, New Brunswick</t>
        </is>
      </c>
      <c r="K2803" t="inlineStr">
        <is>
          <t>Moncton (Nouveau-Brunswick)</t>
        </is>
      </c>
      <c r="P2803" t="n">
        <v>0</v>
      </c>
      <c r="Q2803" t="n">
        <v>0</v>
      </c>
      <c r="R2803" t="n">
        <v>123.17</v>
      </c>
      <c r="S2803" t="n">
        <v>96.59999999999999</v>
      </c>
      <c r="T2803" t="n">
        <v>15.82</v>
      </c>
      <c r="U2803" t="n">
        <v>235.59</v>
      </c>
      <c r="X2803" t="inlineStr">
        <is>
          <t>acoa-apeca</t>
        </is>
      </c>
      <c r="Y2803" t="inlineStr">
        <is>
          <t>Atlantic Canada Opportunities Agency | Agence de promotion économique du Canada atlantique</t>
        </is>
      </c>
      <c r="Z2803" t="n">
        <v>2</v>
      </c>
      <c r="AA2803" t="n">
        <v>235.589999999999</v>
      </c>
      <c r="AB2803">
        <f>ROUND(U2803-AA2803,2)</f>
        <v/>
      </c>
      <c r="AC2803" t="b">
        <v>0</v>
      </c>
      <c r="AD2803">
        <f>IF(U2803="","MISSING_TOTAL",IF(ABS(AB2803)&lt;=0.01,"OK","CHECK"))</f>
        <v/>
      </c>
      <c r="AE2803">
        <f>IF(U2803="","MISSING",IF(AND(AA2803&gt;0,U2803/AA2803&gt;50),"POSSIBLE_SCALE_ERROR","OK"))</f>
        <v/>
      </c>
    </row>
    <row r="2804">
      <c r="A2804" t="inlineStr">
        <is>
          <t>T-2015-Q1-00056</t>
        </is>
      </c>
      <c r="B2804" t="inlineStr">
        <is>
          <t>MPSES</t>
        </is>
      </c>
      <c r="C2804" t="inlineStr">
        <is>
          <t>Regional Affairs Director - New Brunswick</t>
        </is>
      </c>
      <c r="D2804" t="inlineStr">
        <is>
          <t>Directeur des affaires régionales - Nouveau-Brunswick</t>
        </is>
      </c>
      <c r="E2804" t="inlineStr">
        <is>
          <t>Douglas MacDonald</t>
        </is>
      </c>
      <c r="F2804" t="inlineStr">
        <is>
          <t>Travel on government business</t>
        </is>
      </c>
      <c r="G2804" t="inlineStr">
        <is>
          <t>Voyage en service commandé</t>
        </is>
      </c>
      <c r="H2804" s="1" t="n">
        <v>41779</v>
      </c>
      <c r="I2804" s="1" t="n">
        <v>41779</v>
      </c>
      <c r="J2804" t="inlineStr">
        <is>
          <t>Riverview, New Brunswick</t>
        </is>
      </c>
      <c r="K2804" t="inlineStr">
        <is>
          <t>Riverview (Nouveau-Brunswick)</t>
        </is>
      </c>
      <c r="P2804" t="n">
        <v>0</v>
      </c>
      <c r="Q2804" t="n">
        <v>141.4</v>
      </c>
      <c r="R2804" t="n">
        <v>0</v>
      </c>
      <c r="S2804" t="n">
        <v>0</v>
      </c>
      <c r="T2804" t="n">
        <v>0</v>
      </c>
      <c r="U2804" t="n">
        <v>141.4</v>
      </c>
      <c r="X2804" t="inlineStr">
        <is>
          <t>acoa-apeca</t>
        </is>
      </c>
      <c r="Y2804" t="inlineStr">
        <is>
          <t>Atlantic Canada Opportunities Agency | Agence de promotion économique du Canada atlantique</t>
        </is>
      </c>
      <c r="Z2804" t="n">
        <v>1</v>
      </c>
      <c r="AA2804" t="n">
        <v>141.4</v>
      </c>
      <c r="AB2804">
        <f>ROUND(U2804-AA2804,2)</f>
        <v/>
      </c>
      <c r="AC2804" t="b">
        <v>0</v>
      </c>
      <c r="AD2804">
        <f>IF(U2804="","MISSING_TOTAL",IF(ABS(AB2804)&lt;=0.01,"OK","CHECK"))</f>
        <v/>
      </c>
      <c r="AE2804">
        <f>IF(U2804="","MISSING",IF(AND(AA2804&gt;0,U2804/AA2804&gt;50),"POSSIBLE_SCALE_ERROR","OK"))</f>
        <v/>
      </c>
    </row>
    <row r="2805">
      <c r="A2805" t="inlineStr">
        <is>
          <t>T-2017-Q2-00011</t>
        </is>
      </c>
      <c r="B2805" t="inlineStr">
        <is>
          <t>SLE</t>
        </is>
      </c>
      <c r="C2805" t="inlineStr">
        <is>
          <t>Vice-President, Prince Edward Island</t>
        </is>
      </c>
      <c r="D2805" t="inlineStr">
        <is>
          <t>Vice-président, Île-du-Prince-Édouard</t>
        </is>
      </c>
      <c r="E2805" t="inlineStr">
        <is>
          <t>Patrick Dorsey</t>
        </is>
      </c>
      <c r="F2805" t="inlineStr">
        <is>
          <t>Attend Atlantic Canada Tourism Partnership (ACTP) meetings and Atlantic University Association meetings</t>
        </is>
      </c>
      <c r="G2805" t="inlineStr">
        <is>
          <t>Assister aux réunions du Partenariat du tourisme du Canada atlantique (PTCA) et aux réunions de l'Association des universités de l'Atlantique</t>
        </is>
      </c>
      <c r="H2805" s="1" t="n">
        <v>42543</v>
      </c>
      <c r="I2805" s="1" t="n">
        <v>42545</v>
      </c>
      <c r="J2805" t="inlineStr">
        <is>
          <t>Halifax, Nova Scotia</t>
        </is>
      </c>
      <c r="K2805" t="inlineStr">
        <is>
          <t>Halifax (Nouvelle-Écosse)</t>
        </is>
      </c>
      <c r="P2805" t="n">
        <v>0</v>
      </c>
      <c r="Q2805" t="n">
        <v>65</v>
      </c>
      <c r="R2805" t="n">
        <v>425.8</v>
      </c>
      <c r="S2805" t="n">
        <v>209.5</v>
      </c>
      <c r="T2805" t="n">
        <v>0</v>
      </c>
      <c r="U2805" t="n">
        <v>700.3</v>
      </c>
      <c r="X2805" t="inlineStr">
        <is>
          <t>acoa-apeca</t>
        </is>
      </c>
      <c r="Y2805" t="inlineStr">
        <is>
          <t>Atlantic Canada Opportunities Agency | Agence de promotion économique du Canada atlantique</t>
        </is>
      </c>
      <c r="Z2805" t="n">
        <v>3</v>
      </c>
      <c r="AA2805" t="n">
        <v>700.3</v>
      </c>
      <c r="AB2805">
        <f>ROUND(U2805-AA2805,2)</f>
        <v/>
      </c>
      <c r="AC2805" t="b">
        <v>0</v>
      </c>
      <c r="AD2805">
        <f>IF(U2805="","MISSING_TOTAL",IF(ABS(AB2805)&lt;=0.01,"OK","CHECK"))</f>
        <v/>
      </c>
      <c r="AE2805">
        <f>IF(U2805="","MISSING",IF(AND(AA2805&gt;0,U2805/AA2805&gt;50),"POSSIBLE_SCALE_ERROR","OK"))</f>
        <v/>
      </c>
    </row>
    <row r="2806">
      <c r="A2806" t="inlineStr">
        <is>
          <t>T-2017-Q2-00010</t>
        </is>
      </c>
      <c r="B2806" t="inlineStr">
        <is>
          <t>SLE</t>
        </is>
      </c>
      <c r="C2806" t="inlineStr">
        <is>
          <t>Vice-President, New Brunswick</t>
        </is>
      </c>
      <c r="D2806" t="inlineStr">
        <is>
          <t>Vice-président, Nouveau-Brunswick</t>
        </is>
      </c>
      <c r="E2806" t="inlineStr">
        <is>
          <t>Kent Estabrooks</t>
        </is>
      </c>
      <c r="F2806" t="inlineStr">
        <is>
          <t>Meetings with Agency officials and various federal officials</t>
        </is>
      </c>
      <c r="G2806" t="inlineStr">
        <is>
          <t>Réunions avec des fonctionnaires de l'Agence et divers fonctionnaires fédéraux</t>
        </is>
      </c>
      <c r="H2806" s="1" t="n">
        <v>42541</v>
      </c>
      <c r="I2806" s="1" t="n">
        <v>42543</v>
      </c>
      <c r="J2806" t="inlineStr">
        <is>
          <t>Ottawa, Ontario</t>
        </is>
      </c>
      <c r="K2806" t="inlineStr">
        <is>
          <t>Ottawa (Ontario)</t>
        </is>
      </c>
      <c r="P2806" t="n">
        <v>644.1</v>
      </c>
      <c r="Q2806" t="n">
        <v>123.48</v>
      </c>
      <c r="R2806" t="n">
        <v>388.74</v>
      </c>
      <c r="S2806" t="n">
        <v>237.7</v>
      </c>
      <c r="T2806" t="n">
        <v>0</v>
      </c>
      <c r="U2806" t="n">
        <v>1394.02</v>
      </c>
      <c r="X2806" t="inlineStr">
        <is>
          <t>acoa-apeca</t>
        </is>
      </c>
      <c r="Y2806" t="inlineStr">
        <is>
          <t>Atlantic Canada Opportunities Agency | Agence de promotion économique du Canada atlantique</t>
        </is>
      </c>
      <c r="Z2806" t="n">
        <v>3</v>
      </c>
      <c r="AA2806" t="n">
        <v>1394.02</v>
      </c>
      <c r="AB2806">
        <f>ROUND(U2806-AA2806,2)</f>
        <v/>
      </c>
      <c r="AC2806" t="b">
        <v>0</v>
      </c>
      <c r="AD2806">
        <f>IF(U2806="","MISSING_TOTAL",IF(ABS(AB2806)&lt;=0.01,"OK","CHECK"))</f>
        <v/>
      </c>
      <c r="AE2806">
        <f>IF(U2806="","MISSING",IF(AND(AA2806&gt;0,U2806/AA2806&gt;50),"POSSIBLE_SCALE_ERROR","OK"))</f>
        <v/>
      </c>
    </row>
    <row r="2807">
      <c r="A2807" t="inlineStr">
        <is>
          <t>T-2017-Q2-00009</t>
        </is>
      </c>
      <c r="B2807" t="inlineStr">
        <is>
          <t>SLE</t>
        </is>
      </c>
      <c r="C2807" t="inlineStr">
        <is>
          <t>Vice-President, New Brunswick</t>
        </is>
      </c>
      <c r="D2807" t="inlineStr">
        <is>
          <t>Vice-président, Nouveau-Brunswick</t>
        </is>
      </c>
      <c r="E2807" t="inlineStr">
        <is>
          <t>Kent Estabrooks</t>
        </is>
      </c>
      <c r="F2807" t="inlineStr">
        <is>
          <t>Meeting with Agency officials and provincial officials</t>
        </is>
      </c>
      <c r="G2807" t="inlineStr">
        <is>
          <t>Réunion avec des fonctionnaires de l'Agence et des fonctionnaires provinciaux</t>
        </is>
      </c>
      <c r="H2807" s="1" t="n">
        <v>42538</v>
      </c>
      <c r="I2807" s="1" t="n">
        <v>42538</v>
      </c>
      <c r="J2807" t="inlineStr">
        <is>
          <t>Moncton, New Brunswick</t>
        </is>
      </c>
      <c r="K2807" t="inlineStr">
        <is>
          <t>Moncton (Nouveau-Brunswick)</t>
        </is>
      </c>
      <c r="P2807" t="n">
        <v>0</v>
      </c>
      <c r="Q2807" t="n">
        <v>0</v>
      </c>
      <c r="R2807" t="n">
        <v>0</v>
      </c>
      <c r="S2807" t="n">
        <v>62</v>
      </c>
      <c r="T2807" t="n">
        <v>7</v>
      </c>
      <c r="U2807" t="n">
        <v>69</v>
      </c>
      <c r="X2807" t="inlineStr">
        <is>
          <t>acoa-apeca</t>
        </is>
      </c>
      <c r="Y2807" t="inlineStr">
        <is>
          <t>Atlantic Canada Opportunities Agency | Agence de promotion économique du Canada atlantique</t>
        </is>
      </c>
      <c r="Z2807" t="n">
        <v>1</v>
      </c>
      <c r="AA2807" t="n">
        <v>69</v>
      </c>
      <c r="AB2807">
        <f>ROUND(U2807-AA2807,2)</f>
        <v/>
      </c>
      <c r="AC2807" t="b">
        <v>0</v>
      </c>
      <c r="AD2807">
        <f>IF(U2807="","MISSING_TOTAL",IF(ABS(AB2807)&lt;=0.01,"OK","CHECK"))</f>
        <v/>
      </c>
      <c r="AE2807">
        <f>IF(U2807="","MISSING",IF(AND(AA2807&gt;0,U2807/AA2807&gt;50),"POSSIBLE_SCALE_ERROR","OK"))</f>
        <v/>
      </c>
    </row>
    <row r="2808">
      <c r="A2808" t="inlineStr">
        <is>
          <t>T-2017-Q2-00008</t>
        </is>
      </c>
      <c r="B2808" t="inlineStr">
        <is>
          <t>SLE</t>
        </is>
      </c>
      <c r="C2808" t="inlineStr">
        <is>
          <t>Vice-President, Policy and Programs</t>
        </is>
      </c>
      <c r="D2808" t="inlineStr">
        <is>
          <t>Vice-président, Politiques et Programmes</t>
        </is>
      </c>
      <c r="E2808" t="inlineStr">
        <is>
          <t>Daryell Nowlan</t>
        </is>
      </c>
      <c r="F2808" t="inlineStr">
        <is>
          <t>Meetings with Government of Canada officials</t>
        </is>
      </c>
      <c r="G2808" t="inlineStr">
        <is>
          <t>Réunions avec des fonctionnaires du gouvernement du Canada</t>
        </is>
      </c>
      <c r="H2808" s="1" t="n">
        <v>42533</v>
      </c>
      <c r="I2808" s="1" t="n">
        <v>42535</v>
      </c>
      <c r="J2808" t="inlineStr">
        <is>
          <t>Ottawa, Ontario</t>
        </is>
      </c>
      <c r="K2808" t="inlineStr">
        <is>
          <t>Ottawa (Ontario)</t>
        </is>
      </c>
      <c r="P2808" t="n">
        <v>644.1</v>
      </c>
      <c r="Q2808" t="n">
        <v>293.5</v>
      </c>
      <c r="R2808" t="n">
        <v>471.38</v>
      </c>
      <c r="S2808" t="n">
        <v>220.9</v>
      </c>
      <c r="T2808" t="n">
        <v>0</v>
      </c>
      <c r="U2808" t="n">
        <v>1629.88</v>
      </c>
      <c r="X2808" t="inlineStr">
        <is>
          <t>acoa-apeca</t>
        </is>
      </c>
      <c r="Y2808" t="inlineStr">
        <is>
          <t>Atlantic Canada Opportunities Agency | Agence de promotion économique du Canada atlantique</t>
        </is>
      </c>
      <c r="Z2808" t="n">
        <v>3</v>
      </c>
      <c r="AA2808" t="n">
        <v>1629.88</v>
      </c>
      <c r="AB2808">
        <f>ROUND(U2808-AA2808,2)</f>
        <v/>
      </c>
      <c r="AC2808" t="b">
        <v>0</v>
      </c>
      <c r="AD2808">
        <f>IF(U2808="","MISSING_TOTAL",IF(ABS(AB2808)&lt;=0.01,"OK","CHECK"))</f>
        <v/>
      </c>
      <c r="AE2808">
        <f>IF(U2808="","MISSING",IF(AND(AA2808&gt;0,U2808/AA2808&gt;50),"POSSIBLE_SCALE_ERROR","OK"))</f>
        <v/>
      </c>
    </row>
    <row r="2809">
      <c r="A2809" t="inlineStr">
        <is>
          <t>T-2017-Q2-00007</t>
        </is>
      </c>
      <c r="B2809" t="inlineStr">
        <is>
          <t>SLE</t>
        </is>
      </c>
      <c r="C2809" t="inlineStr">
        <is>
          <t>President</t>
        </is>
      </c>
      <c r="D2809" t="inlineStr">
        <is>
          <t>Président</t>
        </is>
      </c>
      <c r="E2809" t="inlineStr">
        <is>
          <t>Paul J. LeBlanc</t>
        </is>
      </c>
      <c r="F2809" t="inlineStr">
        <is>
          <t>For various meetings and discussions with Agency officials and Government of Canada officials</t>
        </is>
      </c>
      <c r="G2809" t="inlineStr">
        <is>
          <t>Diverses réunions et discussions avec des fonctionnaires de l'Agence et du gouvernement du Canada</t>
        </is>
      </c>
      <c r="H2809" s="1" t="n">
        <v>42533</v>
      </c>
      <c r="I2809" s="1" t="n">
        <v>42537</v>
      </c>
      <c r="J2809" t="inlineStr">
        <is>
          <t>Ottawa, Ontario</t>
        </is>
      </c>
      <c r="K2809" t="inlineStr">
        <is>
          <t>Ottawa (Ontario)</t>
        </is>
      </c>
      <c r="P2809" t="n">
        <v>468.45</v>
      </c>
      <c r="Q2809" t="n">
        <v>0</v>
      </c>
      <c r="R2809" t="n">
        <v>879.92</v>
      </c>
      <c r="S2809" t="n">
        <v>339.7</v>
      </c>
      <c r="T2809" t="n">
        <v>104.56</v>
      </c>
      <c r="U2809" t="n">
        <v>1792.63</v>
      </c>
      <c r="X2809" t="inlineStr">
        <is>
          <t>acoa-apeca</t>
        </is>
      </c>
      <c r="Y2809" t="inlineStr">
        <is>
          <t>Atlantic Canada Opportunities Agency | Agence de promotion économique du Canada atlantique</t>
        </is>
      </c>
      <c r="Z2809" t="n">
        <v>5</v>
      </c>
      <c r="AA2809" t="n">
        <v>1792.62999999999</v>
      </c>
      <c r="AB2809">
        <f>ROUND(U2809-AA2809,2)</f>
        <v/>
      </c>
      <c r="AC2809" t="b">
        <v>0</v>
      </c>
      <c r="AD2809">
        <f>IF(U2809="","MISSING_TOTAL",IF(ABS(AB2809)&lt;=0.01,"OK","CHECK"))</f>
        <v/>
      </c>
      <c r="AE2809">
        <f>IF(U2809="","MISSING",IF(AND(AA2809&gt;0,U2809/AA2809&gt;50),"POSSIBLE_SCALE_ERROR","OK"))</f>
        <v/>
      </c>
    </row>
    <row r="2810">
      <c r="A2810" t="inlineStr">
        <is>
          <t>T-2017-Q2-00006</t>
        </is>
      </c>
      <c r="B2810" t="inlineStr">
        <is>
          <t>SLE</t>
        </is>
      </c>
      <c r="C2810" t="inlineStr">
        <is>
          <t>Vice President, Nova Scotia</t>
        </is>
      </c>
      <c r="D2810" t="inlineStr">
        <is>
          <t>Vice-président, Nouvelle-Écosse</t>
        </is>
      </c>
      <c r="E2810" t="inlineStr">
        <is>
          <t>Peter Hogan</t>
        </is>
      </c>
      <c r="F2810" t="inlineStr">
        <is>
          <t>Various meetings with Agency and private sector officials</t>
        </is>
      </c>
      <c r="G2810" t="inlineStr">
        <is>
          <t>Diverses réunions avec des représentants de l'Agence et du secteur privé</t>
        </is>
      </c>
      <c r="H2810" s="1" t="n">
        <v>42530</v>
      </c>
      <c r="I2810" s="1" t="n">
        <v>42530</v>
      </c>
      <c r="J2810" t="inlineStr">
        <is>
          <t>Sydney, Nova Scotia</t>
        </is>
      </c>
      <c r="K2810" t="inlineStr">
        <is>
          <t>Sydney (Nouvelle-Écosse)</t>
        </is>
      </c>
      <c r="P2810" t="n">
        <v>512.16</v>
      </c>
      <c r="Q2810" t="n">
        <v>48.24</v>
      </c>
      <c r="R2810" t="n">
        <v>0</v>
      </c>
      <c r="S2810" t="n">
        <v>17</v>
      </c>
      <c r="T2810" t="n">
        <v>0</v>
      </c>
      <c r="U2810" t="n">
        <v>577.4</v>
      </c>
      <c r="X2810" t="inlineStr">
        <is>
          <t>acoa-apeca</t>
        </is>
      </c>
      <c r="Y2810" t="inlineStr">
        <is>
          <t>Atlantic Canada Opportunities Agency | Agence de promotion économique du Canada atlantique</t>
        </is>
      </c>
      <c r="Z2810" t="n">
        <v>1</v>
      </c>
      <c r="AA2810" t="n">
        <v>577.4</v>
      </c>
      <c r="AB2810">
        <f>ROUND(U2810-AA2810,2)</f>
        <v/>
      </c>
      <c r="AC2810" t="b">
        <v>0</v>
      </c>
      <c r="AD2810">
        <f>IF(U2810="","MISSING_TOTAL",IF(ABS(AB2810)&lt;=0.01,"OK","CHECK"))</f>
        <v/>
      </c>
      <c r="AE2810">
        <f>IF(U2810="","MISSING",IF(AND(AA2810&gt;0,U2810/AA2810&gt;50),"POSSIBLE_SCALE_ERROR","OK"))</f>
        <v/>
      </c>
    </row>
    <row r="2811">
      <c r="A2811" t="inlineStr">
        <is>
          <t>T-2017-Q2-00005</t>
        </is>
      </c>
      <c r="B2811" t="inlineStr">
        <is>
          <t>SLE</t>
        </is>
      </c>
      <c r="C2811" t="inlineStr">
        <is>
          <t>Vice-President, New Brunswick</t>
        </is>
      </c>
      <c r="D2811" t="inlineStr">
        <is>
          <t>Vice-président, Nouveau-Brunswick</t>
        </is>
      </c>
      <c r="E2811" t="inlineStr">
        <is>
          <t>Kent Estabrooks</t>
        </is>
      </c>
      <c r="F2811" t="inlineStr">
        <is>
          <t>Meeting with a client</t>
        </is>
      </c>
      <c r="G2811" t="inlineStr">
        <is>
          <t>Réunion avec un client</t>
        </is>
      </c>
      <c r="H2811" s="1" t="n">
        <v>42530</v>
      </c>
      <c r="I2811" s="1" t="n">
        <v>42530</v>
      </c>
      <c r="J2811" t="inlineStr">
        <is>
          <t>Moncton, New Brunswick</t>
        </is>
      </c>
      <c r="K2811" t="inlineStr">
        <is>
          <t>Moncton (Nouveau-Brunswick)</t>
        </is>
      </c>
      <c r="P2811" t="n">
        <v>0</v>
      </c>
      <c r="Q2811" t="n">
        <v>0</v>
      </c>
      <c r="R2811" t="n">
        <v>0</v>
      </c>
      <c r="S2811" t="n">
        <v>45</v>
      </c>
      <c r="T2811" t="n">
        <v>6</v>
      </c>
      <c r="U2811" t="n">
        <v>51</v>
      </c>
      <c r="X2811" t="inlineStr">
        <is>
          <t>acoa-apeca</t>
        </is>
      </c>
      <c r="Y2811" t="inlineStr">
        <is>
          <t>Atlantic Canada Opportunities Agency | Agence de promotion économique du Canada atlantique</t>
        </is>
      </c>
      <c r="Z2811" t="n">
        <v>1</v>
      </c>
      <c r="AA2811" t="n">
        <v>51</v>
      </c>
      <c r="AB2811">
        <f>ROUND(U2811-AA2811,2)</f>
        <v/>
      </c>
      <c r="AC2811" t="b">
        <v>0</v>
      </c>
      <c r="AD2811">
        <f>IF(U2811="","MISSING_TOTAL",IF(ABS(AB2811)&lt;=0.01,"OK","CHECK"))</f>
        <v/>
      </c>
      <c r="AE2811">
        <f>IF(U2811="","MISSING",IF(AND(AA2811&gt;0,U2811/AA2811&gt;50),"POSSIBLE_SCALE_ERROR","OK"))</f>
        <v/>
      </c>
    </row>
    <row r="2812">
      <c r="A2812" t="inlineStr">
        <is>
          <t>T-2017-Q2-00004</t>
        </is>
      </c>
      <c r="B2812" t="inlineStr">
        <is>
          <t>SLE</t>
        </is>
      </c>
      <c r="C2812" t="inlineStr">
        <is>
          <t>Vice-President, Prince Edward Island</t>
        </is>
      </c>
      <c r="D2812" t="inlineStr">
        <is>
          <t>Vice-président, Île-du-Prince-Édouard</t>
        </is>
      </c>
      <c r="E2812" t="inlineStr">
        <is>
          <t>Patrick Dorsey</t>
        </is>
      </c>
      <c r="F2812" t="inlineStr">
        <is>
          <t>BIO 2016</t>
        </is>
      </c>
      <c r="G2812" t="inlineStr">
        <is>
          <t>Assister au congrès BIO 2016</t>
        </is>
      </c>
      <c r="H2812" s="1" t="n">
        <v>42527</v>
      </c>
      <c r="I2812" s="1" t="n">
        <v>42531</v>
      </c>
      <c r="J2812" t="inlineStr">
        <is>
          <t>San Franciso, California</t>
        </is>
      </c>
      <c r="K2812" t="inlineStr">
        <is>
          <t>San Francisco (Californie)</t>
        </is>
      </c>
      <c r="P2812" t="n">
        <v>2028.45</v>
      </c>
      <c r="Q2812" t="n">
        <v>177.15</v>
      </c>
      <c r="R2812" t="n">
        <v>1892.18</v>
      </c>
      <c r="S2812" t="n">
        <v>486.98</v>
      </c>
      <c r="T2812" t="n">
        <v>0</v>
      </c>
      <c r="U2812" t="n">
        <v>4584.76</v>
      </c>
      <c r="X2812" t="inlineStr">
        <is>
          <t>acoa-apeca</t>
        </is>
      </c>
      <c r="Y2812" t="inlineStr">
        <is>
          <t>Atlantic Canada Opportunities Agency | Agence de promotion économique du Canada atlantique</t>
        </is>
      </c>
      <c r="Z2812" t="n">
        <v>5</v>
      </c>
      <c r="AA2812" t="n">
        <v>4584.76</v>
      </c>
      <c r="AB2812">
        <f>ROUND(U2812-AA2812,2)</f>
        <v/>
      </c>
      <c r="AC2812" t="b">
        <v>0</v>
      </c>
      <c r="AD2812">
        <f>IF(U2812="","MISSING_TOTAL",IF(ABS(AB2812)&lt;=0.01,"OK","CHECK"))</f>
        <v/>
      </c>
      <c r="AE2812">
        <f>IF(U2812="","MISSING",IF(AND(AA2812&gt;0,U2812/AA2812&gt;50),"POSSIBLE_SCALE_ERROR","OK"))</f>
        <v/>
      </c>
    </row>
    <row r="2813">
      <c r="A2813" t="inlineStr">
        <is>
          <t>T-2017-Q2-00003</t>
        </is>
      </c>
      <c r="B2813" t="inlineStr">
        <is>
          <t>SLE</t>
        </is>
      </c>
      <c r="C2813" t="inlineStr">
        <is>
          <t>Vice-President, Finance and Corporate Services</t>
        </is>
      </c>
      <c r="D2813" t="inlineStr">
        <is>
          <t>Vice-présidente, Finances et Services corporatifs</t>
        </is>
      </c>
      <c r="E2813" t="inlineStr">
        <is>
          <t>Denise Frenette</t>
        </is>
      </c>
      <c r="F2813" t="inlineStr">
        <is>
          <t>For various meetings and sessions with Government of Canada officials</t>
        </is>
      </c>
      <c r="G2813" t="inlineStr">
        <is>
          <t>Diverses réunions et séances avec des fonctionnaires du gouvernement du Canada</t>
        </is>
      </c>
      <c r="H2813" s="1" t="n">
        <v>42527</v>
      </c>
      <c r="I2813" s="1" t="n">
        <v>42529</v>
      </c>
      <c r="J2813" t="inlineStr">
        <is>
          <t>Ottawa, Ontario</t>
        </is>
      </c>
      <c r="K2813" t="inlineStr">
        <is>
          <t>Ottawa (Ontario)</t>
        </is>
      </c>
      <c r="P2813" t="n">
        <v>614.58</v>
      </c>
      <c r="Q2813" t="n">
        <v>85</v>
      </c>
      <c r="R2813" t="n">
        <v>367.46</v>
      </c>
      <c r="S2813" t="n">
        <v>237.5</v>
      </c>
      <c r="T2813" t="n">
        <v>0</v>
      </c>
      <c r="U2813" t="n">
        <v>1304.54</v>
      </c>
      <c r="X2813" t="inlineStr">
        <is>
          <t>acoa-apeca</t>
        </is>
      </c>
      <c r="Y2813" t="inlineStr">
        <is>
          <t>Atlantic Canada Opportunities Agency | Agence de promotion économique du Canada atlantique</t>
        </is>
      </c>
      <c r="Z2813" t="n">
        <v>3</v>
      </c>
      <c r="AA2813" t="n">
        <v>1304.54</v>
      </c>
      <c r="AB2813">
        <f>ROUND(U2813-AA2813,2)</f>
        <v/>
      </c>
      <c r="AC2813" t="b">
        <v>0</v>
      </c>
      <c r="AD2813">
        <f>IF(U2813="","MISSING_TOTAL",IF(ABS(AB2813)&lt;=0.01,"OK","CHECK"))</f>
        <v/>
      </c>
      <c r="AE2813">
        <f>IF(U2813="","MISSING",IF(AND(AA2813&gt;0,U2813/AA2813&gt;50),"POSSIBLE_SCALE_ERROR","OK"))</f>
        <v/>
      </c>
    </row>
    <row r="2814">
      <c r="A2814" t="inlineStr">
        <is>
          <t>T-2017-Q2-00002</t>
        </is>
      </c>
      <c r="B2814" t="inlineStr">
        <is>
          <t>SLE</t>
        </is>
      </c>
      <c r="C2814" t="inlineStr">
        <is>
          <t>President</t>
        </is>
      </c>
      <c r="D2814" t="inlineStr">
        <is>
          <t>Président</t>
        </is>
      </c>
      <c r="E2814" t="inlineStr">
        <is>
          <t>Paul J. LeBlanc</t>
        </is>
      </c>
      <c r="F2814" t="inlineStr">
        <is>
          <t>For various meetings and discussions with Agency officials and Government of Canada officials</t>
        </is>
      </c>
      <c r="G2814" t="inlineStr">
        <is>
          <t>Diverses réunions et discussions avec des fonctionnaires de l'Agence et du gouvernement du Canada</t>
        </is>
      </c>
      <c r="H2814" s="1" t="n">
        <v>42527</v>
      </c>
      <c r="I2814" s="1" t="n">
        <v>42528</v>
      </c>
      <c r="J2814" t="inlineStr">
        <is>
          <t>St. John's, Newfoundland and Labrador</t>
        </is>
      </c>
      <c r="K2814" t="inlineStr">
        <is>
          <t>St. John's (Terre-Neuve-et-Labrador)</t>
        </is>
      </c>
      <c r="P2814" t="n">
        <v>1016.9</v>
      </c>
      <c r="Q2814" t="n">
        <v>30</v>
      </c>
      <c r="R2814" t="n">
        <v>217.62</v>
      </c>
      <c r="S2814" t="n">
        <v>158.4</v>
      </c>
      <c r="T2814" t="n">
        <v>92.38</v>
      </c>
      <c r="U2814" t="n">
        <v>1515.3</v>
      </c>
      <c r="X2814" t="inlineStr">
        <is>
          <t>acoa-apeca</t>
        </is>
      </c>
      <c r="Y2814" t="inlineStr">
        <is>
          <t>Atlantic Canada Opportunities Agency | Agence de promotion économique du Canada atlantique</t>
        </is>
      </c>
      <c r="Z2814" t="n">
        <v>2</v>
      </c>
      <c r="AA2814" t="n">
        <v>1515.3</v>
      </c>
      <c r="AB2814">
        <f>ROUND(U2814-AA2814,2)</f>
        <v/>
      </c>
      <c r="AC2814" t="b">
        <v>0</v>
      </c>
      <c r="AD2814">
        <f>IF(U2814="","MISSING_TOTAL",IF(ABS(AB2814)&lt;=0.01,"OK","CHECK"))</f>
        <v/>
      </c>
      <c r="AE2814">
        <f>IF(U2814="","MISSING",IF(AND(AA2814&gt;0,U2814/AA2814&gt;50),"POSSIBLE_SCALE_ERROR","OK"))</f>
        <v/>
      </c>
    </row>
    <row r="2815">
      <c r="A2815" t="inlineStr">
        <is>
          <t>T-2017-Q2-00001</t>
        </is>
      </c>
      <c r="B2815" t="inlineStr">
        <is>
          <t>SLE</t>
        </is>
      </c>
      <c r="C2815" t="inlineStr">
        <is>
          <t>Vice-President, Policy and Programs</t>
        </is>
      </c>
      <c r="D2815" t="inlineStr">
        <is>
          <t>Vice-président, Politiques et Programmes</t>
        </is>
      </c>
      <c r="E2815" t="inlineStr">
        <is>
          <t>Daryell Nowlan</t>
        </is>
      </c>
      <c r="F2815" t="inlineStr">
        <is>
          <t>Meetings with Government of Canada officials</t>
        </is>
      </c>
      <c r="G2815" t="inlineStr">
        <is>
          <t>Réunions avec des fonctionnaires du gouvernement du Canada</t>
        </is>
      </c>
      <c r="H2815" s="1" t="n">
        <v>42526</v>
      </c>
      <c r="I2815" s="1" t="n">
        <v>42529</v>
      </c>
      <c r="J2815" t="inlineStr">
        <is>
          <t>St. John's, Newfoundland and Labrador and Ottawa, Ontario</t>
        </is>
      </c>
      <c r="K2815" t="inlineStr">
        <is>
          <t>St. John's (Terre-Neuve-et-Labrador) et Ottawa (Ontario)</t>
        </is>
      </c>
      <c r="P2815" t="n">
        <v>1008.38</v>
      </c>
      <c r="Q2815" t="n">
        <v>73.16</v>
      </c>
      <c r="R2815" t="n">
        <v>792.73</v>
      </c>
      <c r="S2815" t="n">
        <v>300.2</v>
      </c>
      <c r="T2815" t="n">
        <v>0</v>
      </c>
      <c r="U2815" t="n">
        <v>2174.47</v>
      </c>
      <c r="X2815" t="inlineStr">
        <is>
          <t>acoa-apeca</t>
        </is>
      </c>
      <c r="Y2815" t="inlineStr">
        <is>
          <t>Atlantic Canada Opportunities Agency | Agence de promotion économique du Canada atlantique</t>
        </is>
      </c>
      <c r="Z2815" t="n">
        <v>4</v>
      </c>
      <c r="AA2815" t="n">
        <v>2174.47</v>
      </c>
      <c r="AB2815">
        <f>ROUND(U2815-AA2815,2)</f>
        <v/>
      </c>
      <c r="AC2815" t="b">
        <v>0</v>
      </c>
      <c r="AD2815">
        <f>IF(U2815="","MISSING_TOTAL",IF(ABS(AB2815)&lt;=0.01,"OK","CHECK"))</f>
        <v/>
      </c>
      <c r="AE2815">
        <f>IF(U2815="","MISSING",IF(AND(AA2815&gt;0,U2815/AA2815&gt;50),"POSSIBLE_SCALE_ERROR","OK"))</f>
        <v/>
      </c>
    </row>
    <row r="2816">
      <c r="A2816" t="inlineStr">
        <is>
          <t>T-2017-Q1-00049</t>
        </is>
      </c>
      <c r="B2816" t="inlineStr">
        <is>
          <t>SLE</t>
        </is>
      </c>
      <c r="C2816" t="inlineStr">
        <is>
          <t>Vice-President, Prince Edward Island</t>
        </is>
      </c>
      <c r="D2816" t="inlineStr">
        <is>
          <t>Vice-président, Île-du-Prince-Édouard</t>
        </is>
      </c>
      <c r="E2816" t="inlineStr">
        <is>
          <t>Patrick Dorsey</t>
        </is>
      </c>
      <c r="F2816" t="inlineStr">
        <is>
          <t>Meetings with Government of Canada officials</t>
        </is>
      </c>
      <c r="G2816" t="inlineStr">
        <is>
          <t>Réunions avec des fonctionnaires du gouvernement du Canada</t>
        </is>
      </c>
      <c r="H2816" s="1" t="n">
        <v>42521</v>
      </c>
      <c r="I2816" s="1" t="n">
        <v>42523</v>
      </c>
      <c r="J2816" t="inlineStr">
        <is>
          <t>Ottawa, Ontario</t>
        </is>
      </c>
      <c r="K2816" t="inlineStr">
        <is>
          <t>Ottawa (Ontario)</t>
        </is>
      </c>
      <c r="P2816" t="n">
        <v>537.09</v>
      </c>
      <c r="Q2816" t="n">
        <v>71.43000000000001</v>
      </c>
      <c r="R2816" t="n">
        <v>196.7</v>
      </c>
      <c r="S2816" t="n">
        <v>175.4</v>
      </c>
      <c r="T2816" t="n">
        <v>0</v>
      </c>
      <c r="U2816" t="n">
        <v>980.62</v>
      </c>
      <c r="X2816" t="inlineStr">
        <is>
          <t>acoa-apeca</t>
        </is>
      </c>
      <c r="Y2816" t="inlineStr">
        <is>
          <t>Atlantic Canada Opportunities Agency | Agence de promotion économique du Canada atlantique</t>
        </is>
      </c>
      <c r="Z2816" t="n">
        <v>3</v>
      </c>
      <c r="AA2816" t="n">
        <v>980.62</v>
      </c>
      <c r="AB2816">
        <f>ROUND(U2816-AA2816,2)</f>
        <v/>
      </c>
      <c r="AC2816" t="b">
        <v>0</v>
      </c>
      <c r="AD2816">
        <f>IF(U2816="","MISSING_TOTAL",IF(ABS(AB2816)&lt;=0.01,"OK","CHECK"))</f>
        <v/>
      </c>
      <c r="AE2816">
        <f>IF(U2816="","MISSING",IF(AND(AA2816&gt;0,U2816/AA2816&gt;50),"POSSIBLE_SCALE_ERROR","OK"))</f>
        <v/>
      </c>
    </row>
    <row r="2817">
      <c r="A2817" t="inlineStr">
        <is>
          <t>T-2017-Q1-00048</t>
        </is>
      </c>
      <c r="B2817" t="inlineStr">
        <is>
          <t>SLE</t>
        </is>
      </c>
      <c r="C2817" t="inlineStr">
        <is>
          <t>Vice President, Nova Scotia</t>
        </is>
      </c>
      <c r="D2817" t="inlineStr">
        <is>
          <t>Vice-président, Nouvelle-Écosse</t>
        </is>
      </c>
      <c r="E2817" t="inlineStr">
        <is>
          <t>Peter Hogan</t>
        </is>
      </c>
      <c r="F2817" t="inlineStr">
        <is>
          <t>APEX Symposium and various meetings with Government of Canada officials</t>
        </is>
      </c>
      <c r="G2817" t="inlineStr">
        <is>
          <t>Symposium de l'APEX et diverses réunions avec des fonctionnaires du gouvernement du Canada</t>
        </is>
      </c>
      <c r="H2817" s="1" t="n">
        <v>42520</v>
      </c>
      <c r="I2817" s="1" t="n">
        <v>42523</v>
      </c>
      <c r="J2817" t="inlineStr">
        <is>
          <t>Ottawa, Ontario</t>
        </is>
      </c>
      <c r="K2817" t="inlineStr">
        <is>
          <t>Ottawa (Ontario)</t>
        </is>
      </c>
      <c r="P2817" t="n">
        <v>455.07</v>
      </c>
      <c r="Q2817" t="n">
        <v>175.24</v>
      </c>
      <c r="R2817" t="n">
        <v>652.95</v>
      </c>
      <c r="S2817" t="n">
        <v>164.8</v>
      </c>
      <c r="T2817" t="n">
        <v>0</v>
      </c>
      <c r="U2817" t="n">
        <v>1448.06</v>
      </c>
      <c r="X2817" t="inlineStr">
        <is>
          <t>acoa-apeca</t>
        </is>
      </c>
      <c r="Y2817" t="inlineStr">
        <is>
          <t>Atlantic Canada Opportunities Agency | Agence de promotion économique du Canada atlantique</t>
        </is>
      </c>
      <c r="Z2817" t="n">
        <v>4</v>
      </c>
      <c r="AA2817" t="n">
        <v>1448.06</v>
      </c>
      <c r="AB2817">
        <f>ROUND(U2817-AA2817,2)</f>
        <v/>
      </c>
      <c r="AC2817" t="b">
        <v>0</v>
      </c>
      <c r="AD2817">
        <f>IF(U2817="","MISSING_TOTAL",IF(ABS(AB2817)&lt;=0.01,"OK","CHECK"))</f>
        <v/>
      </c>
      <c r="AE2817">
        <f>IF(U2817="","MISSING",IF(AND(AA2817&gt;0,U2817/AA2817&gt;50),"POSSIBLE_SCALE_ERROR","OK"))</f>
        <v/>
      </c>
    </row>
    <row r="2818">
      <c r="A2818" t="inlineStr">
        <is>
          <t>T-2017-Q1-00047</t>
        </is>
      </c>
      <c r="B2818" t="inlineStr">
        <is>
          <t>SLE</t>
        </is>
      </c>
      <c r="C2818" t="inlineStr">
        <is>
          <t>President</t>
        </is>
      </c>
      <c r="D2818" t="inlineStr">
        <is>
          <t>Président</t>
        </is>
      </c>
      <c r="E2818" t="inlineStr">
        <is>
          <t>Paul J. LeBlanc</t>
        </is>
      </c>
      <c r="F2818" t="inlineStr">
        <is>
          <t>For various meetings and discussions with Agency officials and Government of Canada officials</t>
        </is>
      </c>
      <c r="G2818" t="inlineStr">
        <is>
          <t>Diverses réunions et discussions avec des fonctionnaires de l'Agence et du gouvernement du Canada</t>
        </is>
      </c>
      <c r="H2818" s="1" t="n">
        <v>42520</v>
      </c>
      <c r="I2818" s="1" t="n">
        <v>42524</v>
      </c>
      <c r="J2818" t="inlineStr">
        <is>
          <t>Ottawa, Ontario</t>
        </is>
      </c>
      <c r="K2818" t="inlineStr">
        <is>
          <t>Ottawa (Ontario)</t>
        </is>
      </c>
      <c r="P2818" t="n">
        <v>763.83</v>
      </c>
      <c r="Q2818" t="n">
        <v>0</v>
      </c>
      <c r="R2818" t="n">
        <v>879.92</v>
      </c>
      <c r="S2818" t="n">
        <v>418.7</v>
      </c>
      <c r="T2818" t="n">
        <v>377.5</v>
      </c>
      <c r="U2818" t="n">
        <v>2439.95</v>
      </c>
      <c r="X2818" t="inlineStr">
        <is>
          <t>acoa-apeca</t>
        </is>
      </c>
      <c r="Y2818" t="inlineStr">
        <is>
          <t>Atlantic Canada Opportunities Agency | Agence de promotion économique du Canada atlantique</t>
        </is>
      </c>
      <c r="Z2818" t="n">
        <v>5</v>
      </c>
      <c r="AA2818" t="n">
        <v>2439.95</v>
      </c>
      <c r="AB2818">
        <f>ROUND(U2818-AA2818,2)</f>
        <v/>
      </c>
      <c r="AC2818" t="b">
        <v>0</v>
      </c>
      <c r="AD2818">
        <f>IF(U2818="","MISSING_TOTAL",IF(ABS(AB2818)&lt;=0.01,"OK","CHECK"))</f>
        <v/>
      </c>
      <c r="AE2818">
        <f>IF(U2818="","MISSING",IF(AND(AA2818&gt;0,U2818/AA2818&gt;50),"POSSIBLE_SCALE_ERROR","OK"))</f>
        <v/>
      </c>
    </row>
    <row r="2819">
      <c r="A2819" t="inlineStr">
        <is>
          <t>T-2017-Q1-00046</t>
        </is>
      </c>
      <c r="B2819" t="inlineStr">
        <is>
          <t>SLE</t>
        </is>
      </c>
      <c r="C2819" t="inlineStr">
        <is>
          <t>Vice-President, Finance and Corporate Services</t>
        </is>
      </c>
      <c r="D2819" t="inlineStr">
        <is>
          <t>Vice-présidente, Finances et Services corporatifs</t>
        </is>
      </c>
      <c r="E2819" t="inlineStr">
        <is>
          <t>Denise Frenette</t>
        </is>
      </c>
      <c r="F2819" t="inlineStr">
        <is>
          <t>For various meetings, sessions, presentations and discussions with Government of Canada officials</t>
        </is>
      </c>
      <c r="G2819" t="inlineStr">
        <is>
          <t>Diverses réunions, séances, présentations  et discussions avec des fonctionnaires du gouvernement du Canada</t>
        </is>
      </c>
      <c r="H2819" s="1" t="n">
        <v>42520</v>
      </c>
      <c r="I2819" s="1" t="n">
        <v>42522</v>
      </c>
      <c r="J2819" t="inlineStr">
        <is>
          <t>Ottawa, Ontario</t>
        </is>
      </c>
      <c r="K2819" t="inlineStr">
        <is>
          <t>Ottawa (Ontario)</t>
        </is>
      </c>
      <c r="P2819" t="n">
        <v>235.44</v>
      </c>
      <c r="Q2819" t="n">
        <v>67.33</v>
      </c>
      <c r="R2819" t="n">
        <v>439.96</v>
      </c>
      <c r="S2819" t="n">
        <v>192.3</v>
      </c>
      <c r="T2819" t="n">
        <v>0</v>
      </c>
      <c r="U2819" t="n">
        <v>935.03</v>
      </c>
      <c r="X2819" t="inlineStr">
        <is>
          <t>acoa-apeca</t>
        </is>
      </c>
      <c r="Y2819" t="inlineStr">
        <is>
          <t>Atlantic Canada Opportunities Agency | Agence de promotion économique du Canada atlantique</t>
        </is>
      </c>
      <c r="Z2819" t="n">
        <v>3</v>
      </c>
      <c r="AA2819" t="n">
        <v>935.03</v>
      </c>
      <c r="AB2819">
        <f>ROUND(U2819-AA2819,2)</f>
        <v/>
      </c>
      <c r="AC2819" t="b">
        <v>0</v>
      </c>
      <c r="AD2819">
        <f>IF(U2819="","MISSING_TOTAL",IF(ABS(AB2819)&lt;=0.01,"OK","CHECK"))</f>
        <v/>
      </c>
      <c r="AE2819">
        <f>IF(U2819="","MISSING",IF(AND(AA2819&gt;0,U2819/AA2819&gt;50),"POSSIBLE_SCALE_ERROR","OK"))</f>
        <v/>
      </c>
    </row>
    <row r="2820">
      <c r="A2820" t="inlineStr">
        <is>
          <t>T-2017-Q1-00045</t>
        </is>
      </c>
      <c r="B2820" t="inlineStr">
        <is>
          <t>SLE</t>
        </is>
      </c>
      <c r="C2820" t="inlineStr">
        <is>
          <t>Vice-President, New Brunswick</t>
        </is>
      </c>
      <c r="D2820" t="inlineStr">
        <is>
          <t>Vice-président, Nouveau-Brunswick</t>
        </is>
      </c>
      <c r="E2820" t="inlineStr">
        <is>
          <t>Kent Estabrooks</t>
        </is>
      </c>
      <c r="F2820" t="inlineStr">
        <is>
          <t>Meetings with various federal officials</t>
        </is>
      </c>
      <c r="G2820" t="inlineStr">
        <is>
          <t>Réunions avec divers fonctionnaires fédéraux</t>
        </is>
      </c>
      <c r="H2820" s="1" t="n">
        <v>42519</v>
      </c>
      <c r="I2820" s="1" t="n">
        <v>42523</v>
      </c>
      <c r="J2820" t="inlineStr">
        <is>
          <t>Ottawa, Ontario</t>
        </is>
      </c>
      <c r="K2820" t="inlineStr">
        <is>
          <t>Ottawa (Ontario)</t>
        </is>
      </c>
      <c r="P2820" t="n">
        <v>644.1</v>
      </c>
      <c r="Q2820" t="n">
        <v>108.61</v>
      </c>
      <c r="R2820" t="n">
        <v>777.48</v>
      </c>
      <c r="S2820" t="n">
        <v>300.5</v>
      </c>
      <c r="T2820" t="n">
        <v>0</v>
      </c>
      <c r="U2820" t="n">
        <v>1830.69</v>
      </c>
      <c r="X2820" t="inlineStr">
        <is>
          <t>acoa-apeca</t>
        </is>
      </c>
      <c r="Y2820" t="inlineStr">
        <is>
          <t>Atlantic Canada Opportunities Agency | Agence de promotion économique du Canada atlantique</t>
        </is>
      </c>
      <c r="Z2820" t="n">
        <v>5</v>
      </c>
      <c r="AA2820" t="n">
        <v>1830.69</v>
      </c>
      <c r="AB2820">
        <f>ROUND(U2820-AA2820,2)</f>
        <v/>
      </c>
      <c r="AC2820" t="b">
        <v>0</v>
      </c>
      <c r="AD2820">
        <f>IF(U2820="","MISSING_TOTAL",IF(ABS(AB2820)&lt;=0.01,"OK","CHECK"))</f>
        <v/>
      </c>
      <c r="AE2820">
        <f>IF(U2820="","MISSING",IF(AND(AA2820&gt;0,U2820/AA2820&gt;50),"POSSIBLE_SCALE_ERROR","OK"))</f>
        <v/>
      </c>
    </row>
    <row r="2821">
      <c r="A2821" t="inlineStr">
        <is>
          <t>T-2017-Q1-00044</t>
        </is>
      </c>
      <c r="B2821" t="inlineStr">
        <is>
          <t>SLE</t>
        </is>
      </c>
      <c r="C2821" t="inlineStr">
        <is>
          <t>Vice-President, New Brunswick</t>
        </is>
      </c>
      <c r="D2821" t="inlineStr">
        <is>
          <t>Vice-président, Nouveau-Brunswick</t>
        </is>
      </c>
      <c r="E2821" t="inlineStr">
        <is>
          <t>Kent Estabrooks</t>
        </is>
      </c>
      <c r="F2821" t="inlineStr">
        <is>
          <t>Various meetings with Agency officials</t>
        </is>
      </c>
      <c r="G2821" t="inlineStr">
        <is>
          <t>Diverses réunions avec des fonctionnaires de l'Agence</t>
        </is>
      </c>
      <c r="H2821" s="1" t="n">
        <v>42515</v>
      </c>
      <c r="I2821" s="1" t="n">
        <v>42517</v>
      </c>
      <c r="J2821" t="inlineStr">
        <is>
          <t>Moncton, New Brunswick</t>
        </is>
      </c>
      <c r="K2821" t="inlineStr">
        <is>
          <t>Moncton (Nouveau-Brunswick)</t>
        </is>
      </c>
      <c r="P2821" t="n">
        <v>0</v>
      </c>
      <c r="Q2821" t="n">
        <v>0</v>
      </c>
      <c r="R2821" t="n">
        <v>267.82</v>
      </c>
      <c r="S2821" t="n">
        <v>141.9</v>
      </c>
      <c r="T2821" t="n">
        <v>0</v>
      </c>
      <c r="U2821" t="n">
        <v>409.72</v>
      </c>
      <c r="X2821" t="inlineStr">
        <is>
          <t>acoa-apeca</t>
        </is>
      </c>
      <c r="Y2821" t="inlineStr">
        <is>
          <t>Atlantic Canada Opportunities Agency | Agence de promotion économique du Canada atlantique</t>
        </is>
      </c>
      <c r="Z2821" t="n">
        <v>3</v>
      </c>
      <c r="AA2821" t="n">
        <v>409.72</v>
      </c>
      <c r="AB2821">
        <f>ROUND(U2821-AA2821,2)</f>
        <v/>
      </c>
      <c r="AC2821" t="b">
        <v>0</v>
      </c>
      <c r="AD2821">
        <f>IF(U2821="","MISSING_TOTAL",IF(ABS(AB2821)&lt;=0.01,"OK","CHECK"))</f>
        <v/>
      </c>
      <c r="AE2821">
        <f>IF(U2821="","MISSING",IF(AND(AA2821&gt;0,U2821/AA2821&gt;50),"POSSIBLE_SCALE_ERROR","OK"))</f>
        <v/>
      </c>
    </row>
    <row r="2822">
      <c r="A2822" t="inlineStr">
        <is>
          <t>T-2017-Q1-00043</t>
        </is>
      </c>
      <c r="B2822" t="inlineStr">
        <is>
          <t>SLE</t>
        </is>
      </c>
      <c r="C2822" t="inlineStr">
        <is>
          <t>Vice-President, Prince Edward Island</t>
        </is>
      </c>
      <c r="D2822" t="inlineStr">
        <is>
          <t>Vice-président, Île-du-Prince-Édouard</t>
        </is>
      </c>
      <c r="E2822" t="inlineStr">
        <is>
          <t>Patrick Dorsey</t>
        </is>
      </c>
      <c r="F2822" t="inlineStr">
        <is>
          <t>Meetings with Government of Canada officials</t>
        </is>
      </c>
      <c r="G2822" t="inlineStr">
        <is>
          <t>Réunions avec des fonctionnaires du gouvernement du Canada</t>
        </is>
      </c>
      <c r="H2822" s="1" t="n">
        <v>42515</v>
      </c>
      <c r="I2822" s="1" t="n">
        <v>42517</v>
      </c>
      <c r="J2822" t="inlineStr">
        <is>
          <t>Moncton, New Brunswick</t>
        </is>
      </c>
      <c r="K2822" t="inlineStr">
        <is>
          <t>Moncton (Nouveau-Brunswick)</t>
        </is>
      </c>
      <c r="P2822" t="n">
        <v>0</v>
      </c>
      <c r="Q2822" t="n">
        <v>61</v>
      </c>
      <c r="R2822" t="n">
        <v>267.82</v>
      </c>
      <c r="S2822" t="n">
        <v>158.9</v>
      </c>
      <c r="T2822" t="n">
        <v>0</v>
      </c>
      <c r="U2822" t="n">
        <v>487.72</v>
      </c>
      <c r="X2822" t="inlineStr">
        <is>
          <t>acoa-apeca</t>
        </is>
      </c>
      <c r="Y2822" t="inlineStr">
        <is>
          <t>Atlantic Canada Opportunities Agency | Agence de promotion économique du Canada atlantique</t>
        </is>
      </c>
      <c r="Z2822" t="n">
        <v>3</v>
      </c>
      <c r="AA2822" t="n">
        <v>487.72</v>
      </c>
      <c r="AB2822">
        <f>ROUND(U2822-AA2822,2)</f>
        <v/>
      </c>
      <c r="AC2822" t="b">
        <v>0</v>
      </c>
      <c r="AD2822">
        <f>IF(U2822="","MISSING_TOTAL",IF(ABS(AB2822)&lt;=0.01,"OK","CHECK"))</f>
        <v/>
      </c>
      <c r="AE2822">
        <f>IF(U2822="","MISSING",IF(AND(AA2822&gt;0,U2822/AA2822&gt;50),"POSSIBLE_SCALE_ERROR","OK"))</f>
        <v/>
      </c>
    </row>
    <row r="2823">
      <c r="A2823" t="inlineStr">
        <is>
          <t>T-2017-Q1-00042</t>
        </is>
      </c>
      <c r="B2823" t="inlineStr">
        <is>
          <t>SLE</t>
        </is>
      </c>
      <c r="C2823" t="inlineStr">
        <is>
          <t>Vice President, Nova Scotia</t>
        </is>
      </c>
      <c r="D2823" t="inlineStr">
        <is>
          <t>Vice-président, Nouvelle-Écosse</t>
        </is>
      </c>
      <c r="E2823" t="inlineStr">
        <is>
          <t>Peter Hogan</t>
        </is>
      </c>
      <c r="F2823" t="inlineStr">
        <is>
          <t>Various meetings with Agency officials</t>
        </is>
      </c>
      <c r="G2823" t="inlineStr">
        <is>
          <t>Diverses réunions avec des fonctionnaires de l'Agence</t>
        </is>
      </c>
      <c r="H2823" s="1" t="n">
        <v>42515</v>
      </c>
      <c r="I2823" s="1" t="n">
        <v>42517</v>
      </c>
      <c r="J2823" t="inlineStr">
        <is>
          <t>Moncton, New Bruswick</t>
        </is>
      </c>
      <c r="K2823" t="inlineStr">
        <is>
          <t>Moncton (Nouveau-Brunswick)</t>
        </is>
      </c>
      <c r="P2823" t="n">
        <v>0</v>
      </c>
      <c r="Q2823" t="n">
        <v>0</v>
      </c>
      <c r="R2823" t="n">
        <v>305.1</v>
      </c>
      <c r="S2823" t="n">
        <v>113.9</v>
      </c>
      <c r="T2823" t="n">
        <v>0</v>
      </c>
      <c r="U2823" t="n">
        <v>419</v>
      </c>
      <c r="X2823" t="inlineStr">
        <is>
          <t>acoa-apeca</t>
        </is>
      </c>
      <c r="Y2823" t="inlineStr">
        <is>
          <t>Atlantic Canada Opportunities Agency | Agence de promotion économique du Canada atlantique</t>
        </is>
      </c>
      <c r="Z2823" t="n">
        <v>3</v>
      </c>
      <c r="AA2823" t="n">
        <v>419</v>
      </c>
      <c r="AB2823">
        <f>ROUND(U2823-AA2823,2)</f>
        <v/>
      </c>
      <c r="AC2823" t="b">
        <v>0</v>
      </c>
      <c r="AD2823">
        <f>IF(U2823="","MISSING_TOTAL",IF(ABS(AB2823)&lt;=0.01,"OK","CHECK"))</f>
        <v/>
      </c>
      <c r="AE2823">
        <f>IF(U2823="","MISSING",IF(AND(AA2823&gt;0,U2823/AA2823&gt;50),"POSSIBLE_SCALE_ERROR","OK"))</f>
        <v/>
      </c>
    </row>
    <row r="2824">
      <c r="A2824" t="inlineStr">
        <is>
          <t>T-2017-Q1-00041</t>
        </is>
      </c>
      <c r="B2824" t="inlineStr">
        <is>
          <t>SLE</t>
        </is>
      </c>
      <c r="C2824" t="inlineStr">
        <is>
          <t>Vice-President, Newfoundland and Labrador</t>
        </is>
      </c>
      <c r="D2824" t="inlineStr">
        <is>
          <t>Vice-président, Terre-Neuve-et-Labrador</t>
        </is>
      </c>
      <c r="E2824" t="inlineStr">
        <is>
          <t>Ken Martin</t>
        </is>
      </c>
      <c r="F2824" t="inlineStr">
        <is>
          <t>Attend Executive Committee meeting as well as meet with senior government officials</t>
        </is>
      </c>
      <c r="G2824" t="inlineStr">
        <is>
          <t>Assister à une réunion du Comité de direction et rencontrer des hauts fonctionnaires</t>
        </is>
      </c>
      <c r="H2824" s="1" t="n">
        <v>42515</v>
      </c>
      <c r="I2824" s="1" t="n">
        <v>42517</v>
      </c>
      <c r="J2824" t="inlineStr">
        <is>
          <t>Moncton, New Brunswick</t>
        </is>
      </c>
      <c r="K2824" t="inlineStr">
        <is>
          <t>Moncton (Nouveau-Brunswick)</t>
        </is>
      </c>
      <c r="P2824" t="n">
        <v>593.53</v>
      </c>
      <c r="Q2824" t="n">
        <v>252.29</v>
      </c>
      <c r="R2824" t="n">
        <v>237.3</v>
      </c>
      <c r="S2824" t="n">
        <v>237.5</v>
      </c>
      <c r="T2824" t="n">
        <v>0</v>
      </c>
      <c r="U2824" t="n">
        <v>1320.62</v>
      </c>
      <c r="X2824" t="inlineStr">
        <is>
          <t>acoa-apeca</t>
        </is>
      </c>
      <c r="Y2824" t="inlineStr">
        <is>
          <t>Atlantic Canada Opportunities Agency | Agence de promotion économique du Canada atlantique</t>
        </is>
      </c>
      <c r="Z2824" t="n">
        <v>3</v>
      </c>
      <c r="AA2824" t="n">
        <v>1320.62</v>
      </c>
      <c r="AB2824">
        <f>ROUND(U2824-AA2824,2)</f>
        <v/>
      </c>
      <c r="AC2824" t="b">
        <v>0</v>
      </c>
      <c r="AD2824">
        <f>IF(U2824="","MISSING_TOTAL",IF(ABS(AB2824)&lt;=0.01,"OK","CHECK"))</f>
        <v/>
      </c>
      <c r="AE2824">
        <f>IF(U2824="","MISSING",IF(AND(AA2824&gt;0,U2824/AA2824&gt;50),"POSSIBLE_SCALE_ERROR","OK"))</f>
        <v/>
      </c>
    </row>
    <row r="2825">
      <c r="A2825" t="inlineStr">
        <is>
          <t>T-2017-Q1-00040</t>
        </is>
      </c>
      <c r="B2825" t="inlineStr">
        <is>
          <t>SLE</t>
        </is>
      </c>
      <c r="C2825" t="inlineStr">
        <is>
          <t>Vice-President, Newfoundland and Labrador</t>
        </is>
      </c>
      <c r="D2825" t="inlineStr">
        <is>
          <t>Vice-président, Terre-Neuve-et-Labrador</t>
        </is>
      </c>
      <c r="E2825" t="inlineStr">
        <is>
          <t>Ken Martin</t>
        </is>
      </c>
      <c r="F2825" t="inlineStr">
        <is>
          <t>Meeting with Senior Government Officials</t>
        </is>
      </c>
      <c r="G2825" t="inlineStr">
        <is>
          <t>Réunion avec des hauts fonctionnaires</t>
        </is>
      </c>
      <c r="H2825" s="1" t="n">
        <v>42507</v>
      </c>
      <c r="I2825" s="1" t="n">
        <v>42508</v>
      </c>
      <c r="J2825" t="inlineStr">
        <is>
          <t>Ottawa, Ontario</t>
        </is>
      </c>
      <c r="K2825" t="inlineStr">
        <is>
          <t>Ottawa (Ontario)</t>
        </is>
      </c>
      <c r="P2825" t="n">
        <v>800</v>
      </c>
      <c r="Q2825" t="n">
        <v>56.86</v>
      </c>
      <c r="R2825" t="n">
        <v>194.37</v>
      </c>
      <c r="S2825" t="n">
        <v>175.4</v>
      </c>
      <c r="T2825" t="n">
        <v>0</v>
      </c>
      <c r="U2825" t="n">
        <v>1226.63</v>
      </c>
      <c r="X2825" t="inlineStr">
        <is>
          <t>acoa-apeca</t>
        </is>
      </c>
      <c r="Y2825" t="inlineStr">
        <is>
          <t>Atlantic Canada Opportunities Agency | Agence de promotion économique du Canada atlantique</t>
        </is>
      </c>
      <c r="Z2825" t="n">
        <v>2</v>
      </c>
      <c r="AA2825" t="n">
        <v>1226.63</v>
      </c>
      <c r="AB2825">
        <f>ROUND(U2825-AA2825,2)</f>
        <v/>
      </c>
      <c r="AC2825" t="b">
        <v>0</v>
      </c>
      <c r="AD2825">
        <f>IF(U2825="","MISSING_TOTAL",IF(ABS(AB2825)&lt;=0.01,"OK","CHECK"))</f>
        <v/>
      </c>
      <c r="AE2825">
        <f>IF(U2825="","MISSING",IF(AND(AA2825&gt;0,U2825/AA2825&gt;50),"POSSIBLE_SCALE_ERROR","OK"))</f>
        <v/>
      </c>
    </row>
    <row r="2826">
      <c r="A2826" t="inlineStr">
        <is>
          <t>T-2017-Q1-00039</t>
        </is>
      </c>
      <c r="B2826" t="inlineStr">
        <is>
          <t>SLE</t>
        </is>
      </c>
      <c r="C2826" t="inlineStr">
        <is>
          <t>Vice President, Nova Scotia</t>
        </is>
      </c>
      <c r="D2826" t="inlineStr">
        <is>
          <t>Vice-président, Nouvelle-Écosse</t>
        </is>
      </c>
      <c r="E2826" t="inlineStr">
        <is>
          <t>Peter Hogan</t>
        </is>
      </c>
      <c r="F2826" t="inlineStr">
        <is>
          <t>Various meetings with Agency and Government of Canada officials</t>
        </is>
      </c>
      <c r="G2826" t="inlineStr">
        <is>
          <t>Diverses réunions avec des fonctionnaires de l'Agence et du gouvernement du Canada</t>
        </is>
      </c>
      <c r="H2826" s="1" t="n">
        <v>42501</v>
      </c>
      <c r="I2826" s="1" t="n">
        <v>42502</v>
      </c>
      <c r="J2826" t="inlineStr">
        <is>
          <t>Ottawa, Ontario</t>
        </is>
      </c>
      <c r="K2826" t="inlineStr">
        <is>
          <t>Ottawa (Ontario)</t>
        </is>
      </c>
      <c r="P2826" t="n">
        <v>534.7</v>
      </c>
      <c r="Q2826" t="n">
        <v>53.24</v>
      </c>
      <c r="R2826" t="n">
        <v>278.17</v>
      </c>
      <c r="S2826" t="n">
        <v>130.4</v>
      </c>
      <c r="T2826" t="n">
        <v>42</v>
      </c>
      <c r="U2826" t="n">
        <v>1038.51</v>
      </c>
      <c r="X2826" t="inlineStr">
        <is>
          <t>acoa-apeca</t>
        </is>
      </c>
      <c r="Y2826" t="inlineStr">
        <is>
          <t>Atlantic Canada Opportunities Agency | Agence de promotion économique du Canada atlantique</t>
        </is>
      </c>
      <c r="Z2826" t="n">
        <v>2</v>
      </c>
      <c r="AA2826" t="n">
        <v>1038.51</v>
      </c>
      <c r="AB2826">
        <f>ROUND(U2826-AA2826,2)</f>
        <v/>
      </c>
      <c r="AC2826" t="b">
        <v>0</v>
      </c>
      <c r="AD2826">
        <f>IF(U2826="","MISSING_TOTAL",IF(ABS(AB2826)&lt;=0.01,"OK","CHECK"))</f>
        <v/>
      </c>
      <c r="AE2826">
        <f>IF(U2826="","MISSING",IF(AND(AA2826&gt;0,U2826/AA2826&gt;50),"POSSIBLE_SCALE_ERROR","OK"))</f>
        <v/>
      </c>
    </row>
    <row r="2827">
      <c r="A2827" t="inlineStr">
        <is>
          <t>T-2017-Q1-00038</t>
        </is>
      </c>
      <c r="B2827" t="inlineStr">
        <is>
          <t>SLE</t>
        </is>
      </c>
      <c r="C2827" t="inlineStr">
        <is>
          <t>Vice-President, Newfoundland and Labrador</t>
        </is>
      </c>
      <c r="D2827" t="inlineStr">
        <is>
          <t>Vice-président, Terre-Neuve-et-Labrador</t>
        </is>
      </c>
      <c r="E2827" t="inlineStr">
        <is>
          <t>Ken Martin</t>
        </is>
      </c>
      <c r="F2827" t="inlineStr">
        <is>
          <t>Assistant Deputy Minister Orientation</t>
        </is>
      </c>
      <c r="G2827" t="inlineStr">
        <is>
          <t>Séance d'orientation pour les sous-ministres adjoints</t>
        </is>
      </c>
      <c r="H2827" s="1" t="n">
        <v>42501</v>
      </c>
      <c r="I2827" s="1" t="n">
        <v>42502</v>
      </c>
      <c r="J2827" t="inlineStr">
        <is>
          <t>Ottawa, Ontario</t>
        </is>
      </c>
      <c r="K2827" t="inlineStr">
        <is>
          <t>Ottawa (Ontario)</t>
        </is>
      </c>
      <c r="P2827" t="n">
        <v>842.76</v>
      </c>
      <c r="Q2827" t="n">
        <v>86.86</v>
      </c>
      <c r="R2827" t="n">
        <v>219.98</v>
      </c>
      <c r="S2827" t="n">
        <v>141.4</v>
      </c>
      <c r="T2827" t="n">
        <v>0</v>
      </c>
      <c r="U2827" t="n">
        <v>1291</v>
      </c>
      <c r="X2827" t="inlineStr">
        <is>
          <t>acoa-apeca</t>
        </is>
      </c>
      <c r="Y2827" t="inlineStr">
        <is>
          <t>Atlantic Canada Opportunities Agency | Agence de promotion économique du Canada atlantique</t>
        </is>
      </c>
      <c r="Z2827" t="n">
        <v>2</v>
      </c>
      <c r="AA2827" t="n">
        <v>1291</v>
      </c>
      <c r="AB2827">
        <f>ROUND(U2827-AA2827,2)</f>
        <v/>
      </c>
      <c r="AC2827" t="b">
        <v>0</v>
      </c>
      <c r="AD2827">
        <f>IF(U2827="","MISSING_TOTAL",IF(ABS(AB2827)&lt;=0.01,"OK","CHECK"))</f>
        <v/>
      </c>
      <c r="AE2827">
        <f>IF(U2827="","MISSING",IF(AND(AA2827&gt;0,U2827/AA2827&gt;50),"POSSIBLE_SCALE_ERROR","OK"))</f>
        <v/>
      </c>
    </row>
    <row r="2828">
      <c r="A2828" t="inlineStr">
        <is>
          <t>T-2017-Q1-00037</t>
        </is>
      </c>
      <c r="B2828" t="inlineStr">
        <is>
          <t>SLE</t>
        </is>
      </c>
      <c r="C2828" t="inlineStr">
        <is>
          <t>President</t>
        </is>
      </c>
      <c r="D2828" t="inlineStr">
        <is>
          <t>Président</t>
        </is>
      </c>
      <c r="E2828" t="inlineStr">
        <is>
          <t>Paul J. LeBlanc</t>
        </is>
      </c>
      <c r="F2828" t="inlineStr">
        <is>
          <t>For various meetings and discussions with Agency officials and Government of Canada officials</t>
        </is>
      </c>
      <c r="G2828" t="inlineStr">
        <is>
          <t>Diverses réunions et discussions avec des fonctionnaires de l'Agence et du gouvernement du Canada</t>
        </is>
      </c>
      <c r="H2828" s="1" t="n">
        <v>42500</v>
      </c>
      <c r="I2828" s="1" t="n">
        <v>42502</v>
      </c>
      <c r="J2828" t="inlineStr">
        <is>
          <t>Ottawa, Ontario</t>
        </is>
      </c>
      <c r="K2828" t="inlineStr">
        <is>
          <t>Ottawa (Ontario)</t>
        </is>
      </c>
      <c r="P2828" t="n">
        <v>247.84</v>
      </c>
      <c r="Q2828" t="n">
        <v>0</v>
      </c>
      <c r="R2828" t="n">
        <v>365.46</v>
      </c>
      <c r="S2828" t="n">
        <v>175.7</v>
      </c>
      <c r="T2828" t="n">
        <v>88.5</v>
      </c>
      <c r="U2828" t="n">
        <v>877.5</v>
      </c>
      <c r="X2828" t="inlineStr">
        <is>
          <t>acoa-apeca</t>
        </is>
      </c>
      <c r="Y2828" t="inlineStr">
        <is>
          <t>Atlantic Canada Opportunities Agency | Agence de promotion économique du Canada atlantique</t>
        </is>
      </c>
      <c r="Z2828" t="n">
        <v>3</v>
      </c>
      <c r="AA2828" t="n">
        <v>877.5</v>
      </c>
      <c r="AB2828">
        <f>ROUND(U2828-AA2828,2)</f>
        <v/>
      </c>
      <c r="AC2828" t="b">
        <v>0</v>
      </c>
      <c r="AD2828">
        <f>IF(U2828="","MISSING_TOTAL",IF(ABS(AB2828)&lt;=0.01,"OK","CHECK"))</f>
        <v/>
      </c>
      <c r="AE2828">
        <f>IF(U2828="","MISSING",IF(AND(AA2828&gt;0,U2828/AA2828&gt;50),"POSSIBLE_SCALE_ERROR","OK"))</f>
        <v/>
      </c>
    </row>
    <row r="2829">
      <c r="A2829" t="inlineStr">
        <is>
          <t>T-2017-Q1-00036</t>
        </is>
      </c>
      <c r="B2829" t="inlineStr">
        <is>
          <t>SLE</t>
        </is>
      </c>
      <c r="C2829" t="inlineStr">
        <is>
          <t>Vice-President, Policy and Programs</t>
        </is>
      </c>
      <c r="D2829" t="inlineStr">
        <is>
          <t>Vice-président, Politiques et Programmes</t>
        </is>
      </c>
      <c r="E2829" t="inlineStr">
        <is>
          <t>Daryell Nowlan</t>
        </is>
      </c>
      <c r="F2829" t="inlineStr">
        <is>
          <t>Meeting with Government of Canada officials</t>
        </is>
      </c>
      <c r="G2829" t="inlineStr">
        <is>
          <t>Réunion avec des fonctionnaires du gouvernement du Canada</t>
        </is>
      </c>
      <c r="H2829" s="1" t="n">
        <v>42493</v>
      </c>
      <c r="I2829" s="1" t="n">
        <v>42494</v>
      </c>
      <c r="J2829" t="inlineStr">
        <is>
          <t>Halifax, Nova Scotia</t>
        </is>
      </c>
      <c r="K2829" t="inlineStr">
        <is>
          <t>Halifax (Nouvelle-Écosse)</t>
        </is>
      </c>
      <c r="P2829" t="n">
        <v>0</v>
      </c>
      <c r="Q2829" t="n">
        <v>279.88</v>
      </c>
      <c r="R2829" t="n">
        <v>174.78</v>
      </c>
      <c r="S2829" t="n">
        <v>79.59999999999999</v>
      </c>
      <c r="T2829" t="n">
        <v>0</v>
      </c>
      <c r="U2829" t="n">
        <v>534.26</v>
      </c>
      <c r="X2829" t="inlineStr">
        <is>
          <t>acoa-apeca</t>
        </is>
      </c>
      <c r="Y2829" t="inlineStr">
        <is>
          <t>Atlantic Canada Opportunities Agency | Agence de promotion économique du Canada atlantique</t>
        </is>
      </c>
      <c r="Z2829" t="n">
        <v>2</v>
      </c>
      <c r="AA2829" t="n">
        <v>534.26</v>
      </c>
      <c r="AB2829">
        <f>ROUND(U2829-AA2829,2)</f>
        <v/>
      </c>
      <c r="AC2829" t="b">
        <v>0</v>
      </c>
      <c r="AD2829">
        <f>IF(U2829="","MISSING_TOTAL",IF(ABS(AB2829)&lt;=0.01,"OK","CHECK"))</f>
        <v/>
      </c>
      <c r="AE2829">
        <f>IF(U2829="","MISSING",IF(AND(AA2829&gt;0,U2829/AA2829&gt;50),"POSSIBLE_SCALE_ERROR","OK"))</f>
        <v/>
      </c>
    </row>
    <row r="2830">
      <c r="A2830" t="inlineStr">
        <is>
          <t>T-2017-Q1-00035</t>
        </is>
      </c>
      <c r="B2830" t="inlineStr">
        <is>
          <t>SLE</t>
        </is>
      </c>
      <c r="C2830" t="inlineStr">
        <is>
          <t>Vice-President, New Brunswick</t>
        </is>
      </c>
      <c r="D2830" t="inlineStr">
        <is>
          <t>Vice-président, Nouveau-Brunswick</t>
        </is>
      </c>
      <c r="E2830" t="inlineStr">
        <is>
          <t>Kent Estabrooks</t>
        </is>
      </c>
      <c r="F2830" t="inlineStr">
        <is>
          <t>Meeting with government officials</t>
        </is>
      </c>
      <c r="G2830" t="inlineStr">
        <is>
          <t>Réunion avec des fonctionnaires</t>
        </is>
      </c>
      <c r="H2830" s="1" t="n">
        <v>42491</v>
      </c>
      <c r="I2830" s="1" t="n">
        <v>42493</v>
      </c>
      <c r="J2830" t="inlineStr">
        <is>
          <t>Ottawa, Ontario</t>
        </is>
      </c>
      <c r="K2830" t="inlineStr">
        <is>
          <t>Ottawa (Ontario)</t>
        </is>
      </c>
      <c r="P2830" t="n">
        <v>644.1</v>
      </c>
      <c r="Q2830" t="n">
        <v>66.59999999999999</v>
      </c>
      <c r="R2830" t="n">
        <v>388.74</v>
      </c>
      <c r="S2830" t="n">
        <v>220.9</v>
      </c>
      <c r="T2830" t="n">
        <v>0</v>
      </c>
      <c r="U2830" t="n">
        <v>1320.34</v>
      </c>
      <c r="X2830" t="inlineStr">
        <is>
          <t>acoa-apeca</t>
        </is>
      </c>
      <c r="Y2830" t="inlineStr">
        <is>
          <t>Atlantic Canada Opportunities Agency | Agence de promotion économique du Canada atlantique</t>
        </is>
      </c>
      <c r="Z2830" t="n">
        <v>3</v>
      </c>
      <c r="AA2830" t="n">
        <v>1320.34</v>
      </c>
      <c r="AB2830">
        <f>ROUND(U2830-AA2830,2)</f>
        <v/>
      </c>
      <c r="AC2830" t="b">
        <v>0</v>
      </c>
      <c r="AD2830">
        <f>IF(U2830="","MISSING_TOTAL",IF(ABS(AB2830)&lt;=0.01,"OK","CHECK"))</f>
        <v/>
      </c>
      <c r="AE2830">
        <f>IF(U2830="","MISSING",IF(AND(AA2830&gt;0,U2830/AA2830&gt;50),"POSSIBLE_SCALE_ERROR","OK"))</f>
        <v/>
      </c>
    </row>
    <row r="2831">
      <c r="A2831" t="inlineStr">
        <is>
          <t>T-2017-Q1-00033</t>
        </is>
      </c>
      <c r="B2831" t="inlineStr">
        <is>
          <t>SLE</t>
        </is>
      </c>
      <c r="C2831" t="inlineStr">
        <is>
          <t>Vice President, Nova Scotia</t>
        </is>
      </c>
      <c r="D2831" t="inlineStr">
        <is>
          <t>Vice-président, Nouvelle-Écosse</t>
        </is>
      </c>
      <c r="E2831" t="inlineStr">
        <is>
          <t>Peter Hogan</t>
        </is>
      </c>
      <c r="F2831" t="inlineStr">
        <is>
          <t>Community outreach and event</t>
        </is>
      </c>
      <c r="G2831" t="inlineStr">
        <is>
          <t>Sensibilisation et activité communautaire</t>
        </is>
      </c>
      <c r="H2831" s="1" t="n">
        <v>42488</v>
      </c>
      <c r="I2831" s="1" t="n">
        <v>42488</v>
      </c>
      <c r="J2831" t="inlineStr">
        <is>
          <t>Lunenburg, Nova Scotia</t>
        </is>
      </c>
      <c r="K2831" t="inlineStr">
        <is>
          <t>Lunenburg (Nouvelle-Écosse)</t>
        </is>
      </c>
      <c r="P2831" t="n">
        <v>0</v>
      </c>
      <c r="Q2831" t="n">
        <v>0</v>
      </c>
      <c r="R2831" t="n">
        <v>0</v>
      </c>
      <c r="S2831" t="n">
        <v>17</v>
      </c>
      <c r="T2831" t="n">
        <v>0</v>
      </c>
      <c r="U2831" t="n">
        <v>17</v>
      </c>
      <c r="X2831" t="inlineStr">
        <is>
          <t>acoa-apeca</t>
        </is>
      </c>
      <c r="Y2831" t="inlineStr">
        <is>
          <t>Atlantic Canada Opportunities Agency | Agence de promotion économique du Canada atlantique</t>
        </is>
      </c>
      <c r="Z2831" t="n">
        <v>1</v>
      </c>
      <c r="AA2831" t="n">
        <v>17</v>
      </c>
      <c r="AB2831">
        <f>ROUND(U2831-AA2831,2)</f>
        <v/>
      </c>
      <c r="AC2831" t="b">
        <v>0</v>
      </c>
      <c r="AD2831">
        <f>IF(U2831="","MISSING_TOTAL",IF(ABS(AB2831)&lt;=0.01,"OK","CHECK"))</f>
        <v/>
      </c>
      <c r="AE2831">
        <f>IF(U2831="","MISSING",IF(AND(AA2831&gt;0,U2831/AA2831&gt;50),"POSSIBLE_SCALE_ERROR","OK"))</f>
        <v/>
      </c>
    </row>
    <row r="2832">
      <c r="A2832" t="inlineStr">
        <is>
          <t>T-2017-Q1-00032</t>
        </is>
      </c>
      <c r="B2832" t="inlineStr">
        <is>
          <t>SLE</t>
        </is>
      </c>
      <c r="C2832" t="inlineStr">
        <is>
          <t>Vice President, Nova Scotia</t>
        </is>
      </c>
      <c r="D2832" t="inlineStr">
        <is>
          <t>Vice-président, Nouvelle-Écosse</t>
        </is>
      </c>
      <c r="E2832" t="inlineStr">
        <is>
          <t>Peter Hogan</t>
        </is>
      </c>
      <c r="F2832" t="inlineStr">
        <is>
          <t>Community outreach and event</t>
        </is>
      </c>
      <c r="G2832" t="inlineStr">
        <is>
          <t>Sensibilisation et activité communautaire</t>
        </is>
      </c>
      <c r="H2832" s="1" t="n">
        <v>42487</v>
      </c>
      <c r="I2832" s="1" t="n">
        <v>42487</v>
      </c>
      <c r="J2832" t="inlineStr">
        <is>
          <t>Truro, Nova Scotia</t>
        </is>
      </c>
      <c r="K2832" t="inlineStr">
        <is>
          <t>Truro (Nouvelle-Écosse)</t>
        </is>
      </c>
      <c r="P2832" t="n">
        <v>0</v>
      </c>
      <c r="Q2832" t="n">
        <v>0</v>
      </c>
      <c r="R2832" t="n">
        <v>0</v>
      </c>
      <c r="S2832" t="n">
        <v>17</v>
      </c>
      <c r="T2832" t="n">
        <v>0</v>
      </c>
      <c r="U2832" t="n">
        <v>17</v>
      </c>
      <c r="X2832" t="inlineStr">
        <is>
          <t>acoa-apeca</t>
        </is>
      </c>
      <c r="Y2832" t="inlineStr">
        <is>
          <t>Atlantic Canada Opportunities Agency | Agence de promotion économique du Canada atlantique</t>
        </is>
      </c>
      <c r="Z2832" t="n">
        <v>1</v>
      </c>
      <c r="AA2832" t="n">
        <v>17</v>
      </c>
      <c r="AB2832">
        <f>ROUND(U2832-AA2832,2)</f>
        <v/>
      </c>
      <c r="AC2832" t="b">
        <v>0</v>
      </c>
      <c r="AD2832">
        <f>IF(U2832="","MISSING_TOTAL",IF(ABS(AB2832)&lt;=0.01,"OK","CHECK"))</f>
        <v/>
      </c>
      <c r="AE2832">
        <f>IF(U2832="","MISSING",IF(AND(AA2832&gt;0,U2832/AA2832&gt;50),"POSSIBLE_SCALE_ERROR","OK"))</f>
        <v/>
      </c>
    </row>
    <row r="2833">
      <c r="A2833" t="inlineStr">
        <is>
          <t>T-2017-Q1-00031</t>
        </is>
      </c>
      <c r="B2833" t="inlineStr">
        <is>
          <t>SLE</t>
        </is>
      </c>
      <c r="C2833" t="inlineStr">
        <is>
          <t>Vice-President, Prince Edward Island</t>
        </is>
      </c>
      <c r="D2833" t="inlineStr">
        <is>
          <t>Vice-président, Île-du-Prince-Édouard</t>
        </is>
      </c>
      <c r="E2833" t="inlineStr">
        <is>
          <t>Patrick Dorsey</t>
        </is>
      </c>
      <c r="F2833" t="inlineStr">
        <is>
          <t>Attend Rendez-vous Canada</t>
        </is>
      </c>
      <c r="G2833" t="inlineStr">
        <is>
          <t>Assister à Rendez-vous Canada</t>
        </is>
      </c>
      <c r="H2833" s="1" t="n">
        <v>42486</v>
      </c>
      <c r="I2833" s="1" t="n">
        <v>42487</v>
      </c>
      <c r="J2833" t="inlineStr">
        <is>
          <t>Montreal, Quebec</t>
        </is>
      </c>
      <c r="K2833" t="inlineStr">
        <is>
          <t>Montréal (Québec)</t>
        </is>
      </c>
      <c r="P2833" t="n">
        <v>1501.27</v>
      </c>
      <c r="Q2833" t="n">
        <v>120.8</v>
      </c>
      <c r="R2833" t="n">
        <v>153.52</v>
      </c>
      <c r="S2833" t="n">
        <v>141.6</v>
      </c>
      <c r="T2833" t="n">
        <v>0</v>
      </c>
      <c r="U2833" t="n">
        <v>1917.19</v>
      </c>
      <c r="X2833" t="inlineStr">
        <is>
          <t>acoa-apeca</t>
        </is>
      </c>
      <c r="Y2833" t="inlineStr">
        <is>
          <t>Atlantic Canada Opportunities Agency | Agence de promotion économique du Canada atlantique</t>
        </is>
      </c>
      <c r="Z2833" t="n">
        <v>2</v>
      </c>
      <c r="AA2833" t="n">
        <v>1917.18999999999</v>
      </c>
      <c r="AB2833">
        <f>ROUND(U2833-AA2833,2)</f>
        <v/>
      </c>
      <c r="AC2833" t="b">
        <v>0</v>
      </c>
      <c r="AD2833">
        <f>IF(U2833="","MISSING_TOTAL",IF(ABS(AB2833)&lt;=0.01,"OK","CHECK"))</f>
        <v/>
      </c>
      <c r="AE2833">
        <f>IF(U2833="","MISSING",IF(AND(AA2833&gt;0,U2833/AA2833&gt;50),"POSSIBLE_SCALE_ERROR","OK"))</f>
        <v/>
      </c>
    </row>
    <row r="2834">
      <c r="A2834" t="inlineStr">
        <is>
          <t>T-2017-Q1-00030</t>
        </is>
      </c>
      <c r="B2834" t="inlineStr">
        <is>
          <t>SLE</t>
        </is>
      </c>
      <c r="C2834" t="inlineStr">
        <is>
          <t>Vice-President, Prince Edward Island</t>
        </is>
      </c>
      <c r="D2834" t="inlineStr">
        <is>
          <t>Vice-président, Île-du-Prince-Édouard</t>
        </is>
      </c>
      <c r="E2834" t="inlineStr">
        <is>
          <t>Patrick Dorsey</t>
        </is>
      </c>
      <c r="F2834" t="inlineStr">
        <is>
          <t>Meetings with Government of Canada officials</t>
        </is>
      </c>
      <c r="G2834" t="inlineStr">
        <is>
          <t>Réunions avec des fonctionnaires du gouvernement du Canada</t>
        </is>
      </c>
      <c r="H2834" s="1" t="n">
        <v>42480</v>
      </c>
      <c r="I2834" s="1" t="n">
        <v>42481</v>
      </c>
      <c r="J2834" t="inlineStr">
        <is>
          <t>Ottawa, Ontario</t>
        </is>
      </c>
      <c r="K2834" t="inlineStr">
        <is>
          <t>Ottawa (Ontario)</t>
        </is>
      </c>
      <c r="P2834" t="n">
        <v>1253.81</v>
      </c>
      <c r="Q2834" t="n">
        <v>106.77</v>
      </c>
      <c r="R2834" t="n">
        <v>181.57</v>
      </c>
      <c r="S2834" t="n">
        <v>141.6</v>
      </c>
      <c r="T2834" t="n">
        <v>0</v>
      </c>
      <c r="U2834" t="n">
        <v>1683.75</v>
      </c>
      <c r="X2834" t="inlineStr">
        <is>
          <t>acoa-apeca</t>
        </is>
      </c>
      <c r="Y2834" t="inlineStr">
        <is>
          <t>Atlantic Canada Opportunities Agency | Agence de promotion économique du Canada atlantique</t>
        </is>
      </c>
      <c r="Z2834" t="n">
        <v>2</v>
      </c>
      <c r="AA2834" t="n">
        <v>1683.74999999999</v>
      </c>
      <c r="AB2834">
        <f>ROUND(U2834-AA2834,2)</f>
        <v/>
      </c>
      <c r="AC2834" t="b">
        <v>0</v>
      </c>
      <c r="AD2834">
        <f>IF(U2834="","MISSING_TOTAL",IF(ABS(AB2834)&lt;=0.01,"OK","CHECK"))</f>
        <v/>
      </c>
      <c r="AE2834">
        <f>IF(U2834="","MISSING",IF(AND(AA2834&gt;0,U2834/AA2834&gt;50),"POSSIBLE_SCALE_ERROR","OK"))</f>
        <v/>
      </c>
    </row>
    <row r="2835">
      <c r="A2835" t="inlineStr">
        <is>
          <t>T-2017-Q1-00029</t>
        </is>
      </c>
      <c r="B2835" t="inlineStr">
        <is>
          <t>SLE</t>
        </is>
      </c>
      <c r="C2835" t="inlineStr">
        <is>
          <t>Vice-President, Finance and Corporate Services</t>
        </is>
      </c>
      <c r="D2835" t="inlineStr">
        <is>
          <t>Vice-présidente, Finances et Services corporatifs</t>
        </is>
      </c>
      <c r="E2835" t="inlineStr">
        <is>
          <t>Denise Frenette</t>
        </is>
      </c>
      <c r="F2835" t="inlineStr">
        <is>
          <t>For various meetings and discussions with Government of Canada officials</t>
        </is>
      </c>
      <c r="G2835" t="inlineStr">
        <is>
          <t>Diverses réunions et discussions avec des fonctionnaires du gouvernement du Canada</t>
        </is>
      </c>
      <c r="H2835" s="1" t="n">
        <v>42478</v>
      </c>
      <c r="I2835" s="1" t="n">
        <v>42480</v>
      </c>
      <c r="J2835" t="inlineStr">
        <is>
          <t>Ottawa, Ontario</t>
        </is>
      </c>
      <c r="K2835" t="inlineStr">
        <is>
          <t>Ottawa (Ontario)</t>
        </is>
      </c>
      <c r="P2835" t="n">
        <v>755.5700000000001</v>
      </c>
      <c r="Q2835" t="n">
        <v>47.08</v>
      </c>
      <c r="R2835" t="n">
        <v>370.12</v>
      </c>
      <c r="S2835" t="n">
        <v>254.5</v>
      </c>
      <c r="T2835" t="n">
        <v>0</v>
      </c>
      <c r="U2835" t="n">
        <v>1427.27</v>
      </c>
      <c r="X2835" t="inlineStr">
        <is>
          <t>acoa-apeca</t>
        </is>
      </c>
      <c r="Y2835" t="inlineStr">
        <is>
          <t>Atlantic Canada Opportunities Agency | Agence de promotion économique du Canada atlantique</t>
        </is>
      </c>
      <c r="Z2835" t="n">
        <v>3</v>
      </c>
      <c r="AA2835" t="n">
        <v>1427.27</v>
      </c>
      <c r="AB2835">
        <f>ROUND(U2835-AA2835,2)</f>
        <v/>
      </c>
      <c r="AC2835" t="b">
        <v>0</v>
      </c>
      <c r="AD2835">
        <f>IF(U2835="","MISSING_TOTAL",IF(ABS(AB2835)&lt;=0.01,"OK","CHECK"))</f>
        <v/>
      </c>
      <c r="AE2835">
        <f>IF(U2835="","MISSING",IF(AND(AA2835&gt;0,U2835/AA2835&gt;50),"POSSIBLE_SCALE_ERROR","OK"))</f>
        <v/>
      </c>
    </row>
    <row r="2836">
      <c r="A2836" t="inlineStr">
        <is>
          <t>T-2017-Q1-00028</t>
        </is>
      </c>
      <c r="B2836" t="inlineStr">
        <is>
          <t>SLE</t>
        </is>
      </c>
      <c r="C2836" t="inlineStr">
        <is>
          <t>President</t>
        </is>
      </c>
      <c r="D2836" t="inlineStr">
        <is>
          <t>Président</t>
        </is>
      </c>
      <c r="E2836" t="inlineStr">
        <is>
          <t>Paul J. LeBlanc</t>
        </is>
      </c>
      <c r="F2836" t="inlineStr">
        <is>
          <t>Attendance at meetings and sessions of various committees of the Organization for Economic Co-operation and Development</t>
        </is>
      </c>
      <c r="G2836" t="inlineStr">
        <is>
          <t>Assister à des réunions et à des séances de divers comités de l'Organisation de coopération et de développement économiques</t>
        </is>
      </c>
      <c r="H2836" s="1" t="n">
        <v>42478</v>
      </c>
      <c r="I2836" s="1" t="n">
        <v>42484</v>
      </c>
      <c r="J2836" t="inlineStr">
        <is>
          <t>Paris, France</t>
        </is>
      </c>
      <c r="K2836" t="inlineStr">
        <is>
          <t>Paris, France</t>
        </is>
      </c>
      <c r="P2836" t="n">
        <v>3488.9</v>
      </c>
      <c r="Q2836" t="n">
        <v>92.91</v>
      </c>
      <c r="R2836" t="n">
        <v>1422.78</v>
      </c>
      <c r="S2836" t="n">
        <v>857.14</v>
      </c>
      <c r="T2836" t="n">
        <v>424.45</v>
      </c>
      <c r="U2836" t="n">
        <v>6286.18</v>
      </c>
      <c r="X2836" t="inlineStr">
        <is>
          <t>acoa-apeca</t>
        </is>
      </c>
      <c r="Y2836" t="inlineStr">
        <is>
          <t>Atlantic Canada Opportunities Agency | Agence de promotion économique du Canada atlantique</t>
        </is>
      </c>
      <c r="Z2836" t="n">
        <v>7</v>
      </c>
      <c r="AA2836" t="n">
        <v>6286.18</v>
      </c>
      <c r="AB2836">
        <f>ROUND(U2836-AA2836,2)</f>
        <v/>
      </c>
      <c r="AC2836" t="b">
        <v>0</v>
      </c>
      <c r="AD2836">
        <f>IF(U2836="","MISSING_TOTAL",IF(ABS(AB2836)&lt;=0.01,"OK","CHECK"))</f>
        <v/>
      </c>
      <c r="AE2836">
        <f>IF(U2836="","MISSING",IF(AND(AA2836&gt;0,U2836/AA2836&gt;50),"POSSIBLE_SCALE_ERROR","OK"))</f>
        <v/>
      </c>
    </row>
    <row r="2837">
      <c r="A2837" t="inlineStr">
        <is>
          <t>T-2017-Q1-00027</t>
        </is>
      </c>
      <c r="B2837" t="inlineStr">
        <is>
          <t>SLE</t>
        </is>
      </c>
      <c r="C2837" t="inlineStr">
        <is>
          <t>Vice-President, Newfoundland and Labrador</t>
        </is>
      </c>
      <c r="D2837" t="inlineStr">
        <is>
          <t>Vice-président, Terre-Neuve-et-Labrador</t>
        </is>
      </c>
      <c r="E2837" t="inlineStr">
        <is>
          <t>Ken Martin</t>
        </is>
      </c>
      <c r="F2837" t="inlineStr">
        <is>
          <t>Attend client meeting in Bay de Verde</t>
        </is>
      </c>
      <c r="G2837" t="inlineStr">
        <is>
          <t>Assister à une réunion avec un client à Bay de Verde</t>
        </is>
      </c>
      <c r="H2837" s="1" t="n">
        <v>42475</v>
      </c>
      <c r="I2837" s="1" t="n">
        <v>42475</v>
      </c>
      <c r="J2837" t="inlineStr">
        <is>
          <t>Bay de Verde, Newfoundland and Labrador</t>
        </is>
      </c>
      <c r="K2837" t="inlineStr">
        <is>
          <t>Bay de Verde (Terre-Neuve-et-Labrador)</t>
        </is>
      </c>
      <c r="P2837" t="n">
        <v>0</v>
      </c>
      <c r="Q2837" t="n">
        <v>171.27</v>
      </c>
      <c r="R2837" t="n">
        <v>62</v>
      </c>
      <c r="S2837" t="n">
        <v>0</v>
      </c>
      <c r="T2837" t="n">
        <v>0</v>
      </c>
      <c r="U2837" t="n">
        <v>233.27</v>
      </c>
      <c r="X2837" t="inlineStr">
        <is>
          <t>acoa-apeca</t>
        </is>
      </c>
      <c r="Y2837" t="inlineStr">
        <is>
          <t>Atlantic Canada Opportunities Agency | Agence de promotion économique du Canada atlantique</t>
        </is>
      </c>
      <c r="Z2837" t="n">
        <v>1</v>
      </c>
      <c r="AA2837" t="n">
        <v>233.27</v>
      </c>
      <c r="AB2837">
        <f>ROUND(U2837-AA2837,2)</f>
        <v/>
      </c>
      <c r="AC2837" t="b">
        <v>0</v>
      </c>
      <c r="AD2837">
        <f>IF(U2837="","MISSING_TOTAL",IF(ABS(AB2837)&lt;=0.01,"OK","CHECK"))</f>
        <v/>
      </c>
      <c r="AE2837">
        <f>IF(U2837="","MISSING",IF(AND(AA2837&gt;0,U2837/AA2837&gt;50),"POSSIBLE_SCALE_ERROR","OK"))</f>
        <v/>
      </c>
    </row>
    <row r="2838">
      <c r="A2838" t="inlineStr">
        <is>
          <t>T-2017-Q1-00026</t>
        </is>
      </c>
      <c r="B2838" t="inlineStr">
        <is>
          <t>SLE</t>
        </is>
      </c>
      <c r="C2838" t="inlineStr">
        <is>
          <t>Vice-President, New Brunswick</t>
        </is>
      </c>
      <c r="D2838" t="inlineStr">
        <is>
          <t>Vice-président, Nouveau-Brunswick</t>
        </is>
      </c>
      <c r="E2838" t="inlineStr">
        <is>
          <t>Kent Estabrooks</t>
        </is>
      </c>
      <c r="F2838" t="inlineStr">
        <is>
          <t>Various meetings with Agency officials</t>
        </is>
      </c>
      <c r="G2838" t="inlineStr">
        <is>
          <t>Diverses réunions avec des fonctionnaires de l'Agence</t>
        </is>
      </c>
      <c r="H2838" s="1" t="n">
        <v>42473</v>
      </c>
      <c r="I2838" s="1" t="n">
        <v>42474</v>
      </c>
      <c r="J2838" t="inlineStr">
        <is>
          <t>Moncton, New Brunswick</t>
        </is>
      </c>
      <c r="K2838" t="inlineStr">
        <is>
          <t>Moncton (Nouveau-Brunswick)</t>
        </is>
      </c>
      <c r="P2838" t="n">
        <v>0</v>
      </c>
      <c r="Q2838" t="n">
        <v>0</v>
      </c>
      <c r="R2838" t="n">
        <v>146.75</v>
      </c>
      <c r="S2838" t="n">
        <v>124.6</v>
      </c>
      <c r="T2838" t="n">
        <v>0</v>
      </c>
      <c r="U2838" t="n">
        <v>271.35</v>
      </c>
      <c r="X2838" t="inlineStr">
        <is>
          <t>acoa-apeca</t>
        </is>
      </c>
      <c r="Y2838" t="inlineStr">
        <is>
          <t>Atlantic Canada Opportunities Agency | Agence de promotion économique du Canada atlantique</t>
        </is>
      </c>
      <c r="Z2838" t="n">
        <v>2</v>
      </c>
      <c r="AA2838" t="n">
        <v>271.35</v>
      </c>
      <c r="AB2838">
        <f>ROUND(U2838-AA2838,2)</f>
        <v/>
      </c>
      <c r="AC2838" t="b">
        <v>0</v>
      </c>
      <c r="AD2838">
        <f>IF(U2838="","MISSING_TOTAL",IF(ABS(AB2838)&lt;=0.01,"OK","CHECK"))</f>
        <v/>
      </c>
      <c r="AE2838">
        <f>IF(U2838="","MISSING",IF(AND(AA2838&gt;0,U2838/AA2838&gt;50),"POSSIBLE_SCALE_ERROR","OK"))</f>
        <v/>
      </c>
    </row>
    <row r="2839">
      <c r="A2839" t="inlineStr">
        <is>
          <t>T-2017-Q1-00025</t>
        </is>
      </c>
      <c r="B2839" t="inlineStr">
        <is>
          <t>SLE</t>
        </is>
      </c>
      <c r="C2839" t="inlineStr">
        <is>
          <t>Vice President, Nova Scotia</t>
        </is>
      </c>
      <c r="D2839" t="inlineStr">
        <is>
          <t>Vice-président, Nouvelle-Écosse</t>
        </is>
      </c>
      <c r="E2839" t="inlineStr">
        <is>
          <t>Peter Hogan</t>
        </is>
      </c>
      <c r="F2839" t="inlineStr">
        <is>
          <t>Meeting with senior Agency officials</t>
        </is>
      </c>
      <c r="G2839" t="inlineStr">
        <is>
          <t>Réunion avec des hauts fonctionnaires de l'Agence</t>
        </is>
      </c>
      <c r="H2839" s="1" t="n">
        <v>42473</v>
      </c>
      <c r="I2839" s="1" t="n">
        <v>42474</v>
      </c>
      <c r="J2839" t="inlineStr">
        <is>
          <t>Moncton, New Brunswick</t>
        </is>
      </c>
      <c r="K2839" t="inlineStr">
        <is>
          <t>Moncton (Nouveau-Brunswick)</t>
        </is>
      </c>
      <c r="P2839" t="n">
        <v>0</v>
      </c>
      <c r="Q2839" t="n">
        <v>0</v>
      </c>
      <c r="R2839" t="n">
        <v>145.77</v>
      </c>
      <c r="S2839" t="n">
        <v>79.59999999999999</v>
      </c>
      <c r="T2839" t="n">
        <v>16.95</v>
      </c>
      <c r="U2839" t="n">
        <v>242.32</v>
      </c>
      <c r="X2839" t="inlineStr">
        <is>
          <t>acoa-apeca</t>
        </is>
      </c>
      <c r="Y2839" t="inlineStr">
        <is>
          <t>Atlantic Canada Opportunities Agency | Agence de promotion économique du Canada atlantique</t>
        </is>
      </c>
      <c r="Z2839" t="n">
        <v>2</v>
      </c>
      <c r="AA2839" t="n">
        <v>242.32</v>
      </c>
      <c r="AB2839">
        <f>ROUND(U2839-AA2839,2)</f>
        <v/>
      </c>
      <c r="AC2839" t="b">
        <v>0</v>
      </c>
      <c r="AD2839">
        <f>IF(U2839="","MISSING_TOTAL",IF(ABS(AB2839)&lt;=0.01,"OK","CHECK"))</f>
        <v/>
      </c>
      <c r="AE2839">
        <f>IF(U2839="","MISSING",IF(AND(AA2839&gt;0,U2839/AA2839&gt;50),"POSSIBLE_SCALE_ERROR","OK"))</f>
        <v/>
      </c>
    </row>
    <row r="2840">
      <c r="A2840" t="inlineStr">
        <is>
          <t>T-2017-Q1-00024</t>
        </is>
      </c>
      <c r="B2840" t="inlineStr">
        <is>
          <t>SLE</t>
        </is>
      </c>
      <c r="C2840" t="inlineStr">
        <is>
          <t>Vice-President, Newfoundland and Labrador</t>
        </is>
      </c>
      <c r="D2840" t="inlineStr">
        <is>
          <t>Vice-président, Terre-Neuve-et-Labrador</t>
        </is>
      </c>
      <c r="E2840" t="inlineStr">
        <is>
          <t>Ken Martin</t>
        </is>
      </c>
      <c r="F2840" t="inlineStr">
        <is>
          <t>Attend Executive Committee meeting as well as meet with senior government officials in Moncton</t>
        </is>
      </c>
      <c r="G2840" t="inlineStr">
        <is>
          <t>Assister à une réunion du Comité de direction et rencontrer des hauts fonctionnaires à Moncton</t>
        </is>
      </c>
      <c r="H2840" s="1" t="n">
        <v>42473</v>
      </c>
      <c r="I2840" s="1" t="n">
        <v>42474</v>
      </c>
      <c r="J2840" t="inlineStr">
        <is>
          <t>Moncton, New Brunswick</t>
        </is>
      </c>
      <c r="K2840" t="inlineStr">
        <is>
          <t>Moncton (Nouveau-Brunswick)</t>
        </is>
      </c>
      <c r="P2840" t="n">
        <v>1779.47</v>
      </c>
      <c r="Q2840" t="n">
        <v>69.8</v>
      </c>
      <c r="R2840" t="n">
        <v>113</v>
      </c>
      <c r="S2840" t="n">
        <v>158.4</v>
      </c>
      <c r="T2840" t="n">
        <v>0</v>
      </c>
      <c r="U2840" t="n">
        <v>2120.67</v>
      </c>
      <c r="X2840" t="inlineStr">
        <is>
          <t>acoa-apeca</t>
        </is>
      </c>
      <c r="Y2840" t="inlineStr">
        <is>
          <t>Atlantic Canada Opportunities Agency | Agence de promotion économique du Canada atlantique</t>
        </is>
      </c>
      <c r="Z2840" t="n">
        <v>2</v>
      </c>
      <c r="AA2840" t="n">
        <v>2120.67</v>
      </c>
      <c r="AB2840">
        <f>ROUND(U2840-AA2840,2)</f>
        <v/>
      </c>
      <c r="AC2840" t="b">
        <v>0</v>
      </c>
      <c r="AD2840">
        <f>IF(U2840="","MISSING_TOTAL",IF(ABS(AB2840)&lt;=0.01,"OK","CHECK"))</f>
        <v/>
      </c>
      <c r="AE2840">
        <f>IF(U2840="","MISSING",IF(AND(AA2840&gt;0,U2840/AA2840&gt;50),"POSSIBLE_SCALE_ERROR","OK"))</f>
        <v/>
      </c>
    </row>
    <row r="2841">
      <c r="A2841" t="inlineStr">
        <is>
          <t>T-2017-Q1-00023</t>
        </is>
      </c>
      <c r="B2841" t="inlineStr">
        <is>
          <t>SLE</t>
        </is>
      </c>
      <c r="C2841" t="inlineStr">
        <is>
          <t>Vice-President, Prince Edward Island</t>
        </is>
      </c>
      <c r="D2841" t="inlineStr">
        <is>
          <t>Vice-président, Île-du-Prince-Édouard</t>
        </is>
      </c>
      <c r="E2841" t="inlineStr">
        <is>
          <t>Patrick Dorsey</t>
        </is>
      </c>
      <c r="F2841" t="inlineStr">
        <is>
          <t>Meeting with ACOA officials</t>
        </is>
      </c>
      <c r="G2841" t="inlineStr">
        <is>
          <t>Réunion avec des fonctionnaires de l'APECA</t>
        </is>
      </c>
      <c r="H2841" s="1" t="n">
        <v>42473</v>
      </c>
      <c r="I2841" s="1" t="n">
        <v>42474</v>
      </c>
      <c r="J2841" t="inlineStr">
        <is>
          <t>Moncton, New Brunswick</t>
        </is>
      </c>
      <c r="K2841" t="inlineStr">
        <is>
          <t>Moncton (Nouveau-Brunswick)</t>
        </is>
      </c>
      <c r="P2841" t="n">
        <v>0</v>
      </c>
      <c r="Q2841" t="n">
        <v>96</v>
      </c>
      <c r="R2841" t="n">
        <v>128.26</v>
      </c>
      <c r="S2841" t="n">
        <v>124.6</v>
      </c>
      <c r="T2841" t="n">
        <v>0</v>
      </c>
      <c r="U2841" t="n">
        <v>348.86</v>
      </c>
      <c r="X2841" t="inlineStr">
        <is>
          <t>acoa-apeca</t>
        </is>
      </c>
      <c r="Y2841" t="inlineStr">
        <is>
          <t>Atlantic Canada Opportunities Agency | Agence de promotion économique du Canada atlantique</t>
        </is>
      </c>
      <c r="Z2841" t="n">
        <v>2</v>
      </c>
      <c r="AA2841" t="n">
        <v>348.86</v>
      </c>
      <c r="AB2841">
        <f>ROUND(U2841-AA2841,2)</f>
        <v/>
      </c>
      <c r="AC2841" t="b">
        <v>0</v>
      </c>
      <c r="AD2841">
        <f>IF(U2841="","MISSING_TOTAL",IF(ABS(AB2841)&lt;=0.01,"OK","CHECK"))</f>
        <v/>
      </c>
      <c r="AE2841">
        <f>IF(U2841="","MISSING",IF(AND(AA2841&gt;0,U2841/AA2841&gt;50),"POSSIBLE_SCALE_ERROR","OK"))</f>
        <v/>
      </c>
    </row>
    <row r="2842">
      <c r="A2842" t="inlineStr">
        <is>
          <t>T-2017-Q1-00022</t>
        </is>
      </c>
      <c r="B2842" t="inlineStr">
        <is>
          <t>SLE</t>
        </is>
      </c>
      <c r="C2842" t="inlineStr">
        <is>
          <t>Vice-President, Policy and Programs</t>
        </is>
      </c>
      <c r="D2842" t="inlineStr">
        <is>
          <t>Vice-président, Politiques et Programmes</t>
        </is>
      </c>
      <c r="E2842" t="inlineStr">
        <is>
          <t>Daryell Nowlan</t>
        </is>
      </c>
      <c r="F2842" t="inlineStr">
        <is>
          <t>Meeting with Government of Canada officials</t>
        </is>
      </c>
      <c r="G2842" t="inlineStr">
        <is>
          <t>Réunion avec des fonctionnaires du gouvernement du Canada</t>
        </is>
      </c>
      <c r="H2842" s="1" t="n">
        <v>42472</v>
      </c>
      <c r="I2842" s="1" t="n">
        <v>42473</v>
      </c>
      <c r="J2842" t="inlineStr">
        <is>
          <t>Ottawa, Ontario</t>
        </is>
      </c>
      <c r="K2842" t="inlineStr">
        <is>
          <t>Ottawa (Ontario)</t>
        </is>
      </c>
      <c r="P2842" t="n">
        <v>644.1</v>
      </c>
      <c r="Q2842" t="n">
        <v>112.16</v>
      </c>
      <c r="R2842" t="n">
        <v>181.57</v>
      </c>
      <c r="S2842" t="n">
        <v>141.6</v>
      </c>
      <c r="T2842" t="n">
        <v>0</v>
      </c>
      <c r="U2842" t="n">
        <v>1079.43</v>
      </c>
      <c r="X2842" t="inlineStr">
        <is>
          <t>acoa-apeca</t>
        </is>
      </c>
      <c r="Y2842" t="inlineStr">
        <is>
          <t>Atlantic Canada Opportunities Agency | Agence de promotion économique du Canada atlantique</t>
        </is>
      </c>
      <c r="Z2842" t="n">
        <v>2</v>
      </c>
      <c r="AA2842" t="n">
        <v>1079.42999999999</v>
      </c>
      <c r="AB2842">
        <f>ROUND(U2842-AA2842,2)</f>
        <v/>
      </c>
      <c r="AC2842" t="b">
        <v>0</v>
      </c>
      <c r="AD2842">
        <f>IF(U2842="","MISSING_TOTAL",IF(ABS(AB2842)&lt;=0.01,"OK","CHECK"))</f>
        <v/>
      </c>
      <c r="AE2842">
        <f>IF(U2842="","MISSING",IF(AND(AA2842&gt;0,U2842/AA2842&gt;50),"POSSIBLE_SCALE_ERROR","OK"))</f>
        <v/>
      </c>
    </row>
    <row r="2843">
      <c r="A2843" t="inlineStr">
        <is>
          <t>T-2017-Q1-00020</t>
        </is>
      </c>
      <c r="B2843" t="inlineStr">
        <is>
          <t>SLE</t>
        </is>
      </c>
      <c r="C2843" t="inlineStr">
        <is>
          <t>Vice-President, New Brunswick</t>
        </is>
      </c>
      <c r="D2843" t="inlineStr">
        <is>
          <t>Vice-président, Nouveau-Brunswick</t>
        </is>
      </c>
      <c r="E2843" t="inlineStr">
        <is>
          <t>Kent Estabrooks</t>
        </is>
      </c>
      <c r="F2843" t="inlineStr">
        <is>
          <t>Various meetings with government officials</t>
        </is>
      </c>
      <c r="G2843" t="inlineStr">
        <is>
          <t>Diverses réunions avec des fonctionnaires</t>
        </is>
      </c>
      <c r="H2843" s="1" t="n">
        <v>42470</v>
      </c>
      <c r="I2843" s="1" t="n">
        <v>42471</v>
      </c>
      <c r="J2843" t="inlineStr">
        <is>
          <t>Ottawa, Ontario</t>
        </is>
      </c>
      <c r="K2843" t="inlineStr">
        <is>
          <t>Ottawa (Ontario)</t>
        </is>
      </c>
      <c r="P2843" t="n">
        <v>644.1</v>
      </c>
      <c r="Q2843" t="n">
        <v>111.38</v>
      </c>
      <c r="R2843" t="n">
        <v>181.57</v>
      </c>
      <c r="S2843" t="n">
        <v>141.6</v>
      </c>
      <c r="T2843" t="n">
        <v>0</v>
      </c>
      <c r="U2843" t="n">
        <v>1078.65</v>
      </c>
      <c r="X2843" t="inlineStr">
        <is>
          <t>acoa-apeca</t>
        </is>
      </c>
      <c r="Y2843" t="inlineStr">
        <is>
          <t>Atlantic Canada Opportunities Agency | Agence de promotion économique du Canada atlantique</t>
        </is>
      </c>
      <c r="Z2843" t="n">
        <v>2</v>
      </c>
      <c r="AA2843" t="n">
        <v>1078.64999999999</v>
      </c>
      <c r="AB2843">
        <f>ROUND(U2843-AA2843,2)</f>
        <v/>
      </c>
      <c r="AC2843" t="b">
        <v>0</v>
      </c>
      <c r="AD2843">
        <f>IF(U2843="","MISSING_TOTAL",IF(ABS(AB2843)&lt;=0.01,"OK","CHECK"))</f>
        <v/>
      </c>
      <c r="AE2843">
        <f>IF(U2843="","MISSING",IF(AND(AA2843&gt;0,U2843/AA2843&gt;50),"POSSIBLE_SCALE_ERROR","OK"))</f>
        <v/>
      </c>
    </row>
    <row r="2844">
      <c r="A2844" t="inlineStr">
        <is>
          <t>T-2017-Q1-00019</t>
        </is>
      </c>
      <c r="B2844" t="inlineStr">
        <is>
          <t>SLE</t>
        </is>
      </c>
      <c r="C2844" t="inlineStr">
        <is>
          <t>Vice-President, Newfoundland and Labrador</t>
        </is>
      </c>
      <c r="D2844" t="inlineStr">
        <is>
          <t>Vice-président, Terre-Neuve-et-Labrador</t>
        </is>
      </c>
      <c r="E2844" t="inlineStr">
        <is>
          <t>Ken Martin</t>
        </is>
      </c>
      <c r="F2844" t="inlineStr">
        <is>
          <t>Attend Excite announcement in Gander</t>
        </is>
      </c>
      <c r="G2844" t="inlineStr">
        <is>
          <t>Assister à une annonce concernant l'entreprise Excite à Gander</t>
        </is>
      </c>
      <c r="H2844" s="1" t="n">
        <v>42466</v>
      </c>
      <c r="I2844" s="1" t="n">
        <v>42467</v>
      </c>
      <c r="J2844" t="inlineStr">
        <is>
          <t>Gander, Newfoundland and Labrador</t>
        </is>
      </c>
      <c r="K2844" t="inlineStr">
        <is>
          <t>Gander (Terre-Neuve-et-Labrador)</t>
        </is>
      </c>
      <c r="P2844" t="n">
        <v>212.33</v>
      </c>
      <c r="Q2844" t="n">
        <v>106.44</v>
      </c>
      <c r="R2844" t="n">
        <v>142.37</v>
      </c>
      <c r="S2844" t="n">
        <v>113.4</v>
      </c>
      <c r="T2844" t="n">
        <v>0</v>
      </c>
      <c r="U2844" t="n">
        <v>574.54</v>
      </c>
      <c r="X2844" t="inlineStr">
        <is>
          <t>acoa-apeca</t>
        </is>
      </c>
      <c r="Y2844" t="inlineStr">
        <is>
          <t>Atlantic Canada Opportunities Agency | Agence de promotion économique du Canada atlantique</t>
        </is>
      </c>
      <c r="Z2844" t="n">
        <v>2</v>
      </c>
      <c r="AA2844" t="n">
        <v>574.54</v>
      </c>
      <c r="AB2844">
        <f>ROUND(U2844-AA2844,2)</f>
        <v/>
      </c>
      <c r="AC2844" t="b">
        <v>0</v>
      </c>
      <c r="AD2844">
        <f>IF(U2844="","MISSING_TOTAL",IF(ABS(AB2844)&lt;=0.01,"OK","CHECK"))</f>
        <v/>
      </c>
      <c r="AE2844">
        <f>IF(U2844="","MISSING",IF(AND(AA2844&gt;0,U2844/AA2844&gt;50),"POSSIBLE_SCALE_ERROR","OK"))</f>
        <v/>
      </c>
    </row>
    <row r="2845">
      <c r="A2845" t="inlineStr">
        <is>
          <t>T-2017-Q1-00017</t>
        </is>
      </c>
      <c r="B2845" t="inlineStr">
        <is>
          <t>SLE</t>
        </is>
      </c>
      <c r="C2845" t="inlineStr">
        <is>
          <t>Vice-President, Policy and Programs</t>
        </is>
      </c>
      <c r="D2845" t="inlineStr">
        <is>
          <t>Vice-président, Politiques et Programmes</t>
        </is>
      </c>
      <c r="E2845" t="inlineStr">
        <is>
          <t>Daryell Nowlan</t>
        </is>
      </c>
      <c r="F2845" t="inlineStr">
        <is>
          <t>Meetings with Government of Canada officials</t>
        </is>
      </c>
      <c r="G2845" t="inlineStr">
        <is>
          <t>Réunions avec des fonctionnaires du gouvernement du Canada</t>
        </is>
      </c>
      <c r="H2845" s="1" t="n">
        <v>42463</v>
      </c>
      <c r="I2845" s="1" t="n">
        <v>42464</v>
      </c>
      <c r="J2845" t="inlineStr">
        <is>
          <t>Halifax, Nova Scotia</t>
        </is>
      </c>
      <c r="K2845" t="inlineStr">
        <is>
          <t>Halifax (Nouvelle-Écosse)</t>
        </is>
      </c>
      <c r="P2845" t="n">
        <v>0</v>
      </c>
      <c r="Q2845" t="n">
        <v>159.54</v>
      </c>
      <c r="R2845" t="n">
        <v>151.32</v>
      </c>
      <c r="S2845" t="n">
        <v>96.59999999999999</v>
      </c>
      <c r="T2845" t="n">
        <v>0</v>
      </c>
      <c r="U2845" t="n">
        <v>407.46</v>
      </c>
      <c r="X2845" t="inlineStr">
        <is>
          <t>acoa-apeca</t>
        </is>
      </c>
      <c r="Y2845" t="inlineStr">
        <is>
          <t>Atlantic Canada Opportunities Agency | Agence de promotion économique du Canada atlantique</t>
        </is>
      </c>
      <c r="Z2845" t="n">
        <v>2</v>
      </c>
      <c r="AA2845" t="n">
        <v>407.46</v>
      </c>
      <c r="AB2845">
        <f>ROUND(U2845-AA2845,2)</f>
        <v/>
      </c>
      <c r="AC2845" t="b">
        <v>0</v>
      </c>
      <c r="AD2845">
        <f>IF(U2845="","MISSING_TOTAL",IF(ABS(AB2845)&lt;=0.01,"OK","CHECK"))</f>
        <v/>
      </c>
      <c r="AE2845">
        <f>IF(U2845="","MISSING",IF(AND(AA2845&gt;0,U2845/AA2845&gt;50),"POSSIBLE_SCALE_ERROR","OK"))</f>
        <v/>
      </c>
    </row>
    <row r="2846">
      <c r="A2846" t="inlineStr">
        <is>
          <t>T-2017-Q1-00015</t>
        </is>
      </c>
      <c r="B2846" t="inlineStr">
        <is>
          <t>SLE</t>
        </is>
      </c>
      <c r="C2846" t="inlineStr">
        <is>
          <t>Vice-President, Newfoundland and Labrador</t>
        </is>
      </c>
      <c r="D2846" t="inlineStr">
        <is>
          <t>Vice-président, Terre-Neuve-et-Labrador</t>
        </is>
      </c>
      <c r="E2846" t="inlineStr">
        <is>
          <t>Ken Martin</t>
        </is>
      </c>
      <c r="F2846" t="inlineStr">
        <is>
          <t>Various meetings and discussions with senior government and private sector officials</t>
        </is>
      </c>
      <c r="G2846" t="inlineStr">
        <is>
          <t>Diverses réunions et discussions avec des cadres du gouvernement et du secteur privé</t>
        </is>
      </c>
      <c r="H2846" s="1" t="n">
        <v>42461</v>
      </c>
      <c r="I2846" s="1" t="n">
        <v>42551</v>
      </c>
      <c r="J2846" t="inlineStr">
        <is>
          <t>St. John's, Newfoundland and Labrador</t>
        </is>
      </c>
      <c r="K2846" t="inlineStr">
        <is>
          <t>St. John's (Terre-Neuve-et-Labrador)</t>
        </is>
      </c>
      <c r="P2846" t="n">
        <v>0</v>
      </c>
      <c r="Q2846" t="n">
        <v>78.7</v>
      </c>
      <c r="R2846" t="n">
        <v>0</v>
      </c>
      <c r="S2846" t="n">
        <v>0</v>
      </c>
      <c r="T2846" t="n">
        <v>0</v>
      </c>
      <c r="U2846" t="n">
        <v>78.7</v>
      </c>
      <c r="X2846" t="inlineStr">
        <is>
          <t>acoa-apeca</t>
        </is>
      </c>
      <c r="Y2846" t="inlineStr">
        <is>
          <t>Atlantic Canada Opportunities Agency | Agence de promotion économique du Canada atlantique</t>
        </is>
      </c>
      <c r="Z2846" t="n">
        <v>91</v>
      </c>
      <c r="AA2846" t="n">
        <v>78.7</v>
      </c>
      <c r="AB2846">
        <f>ROUND(U2846-AA2846,2)</f>
        <v/>
      </c>
      <c r="AC2846" t="b">
        <v>0</v>
      </c>
      <c r="AD2846">
        <f>IF(U2846="","MISSING_TOTAL",IF(ABS(AB2846)&lt;=0.01,"OK","CHECK"))</f>
        <v/>
      </c>
      <c r="AE2846">
        <f>IF(U2846="","MISSING",IF(AND(AA2846&gt;0,U2846/AA2846&gt;50),"POSSIBLE_SCALE_ERROR","OK"))</f>
        <v/>
      </c>
    </row>
    <row r="2847">
      <c r="A2847" t="inlineStr">
        <is>
          <t>T-2017-Q1-00013</t>
        </is>
      </c>
      <c r="B2847" t="inlineStr">
        <is>
          <t>SLE</t>
        </is>
      </c>
      <c r="C2847" t="inlineStr">
        <is>
          <t>Vice-President, New Brunswick</t>
        </is>
      </c>
      <c r="D2847" t="inlineStr">
        <is>
          <t>Vice-président, Nouveau-Brunswick</t>
        </is>
      </c>
      <c r="E2847" t="inlineStr">
        <is>
          <t>Kent Estabrooks</t>
        </is>
      </c>
      <c r="F2847" t="inlineStr">
        <is>
          <t>Meetings with Agency officials</t>
        </is>
      </c>
      <c r="G2847" t="inlineStr">
        <is>
          <t>Réunions avec des fonctionnaires de l'Agence</t>
        </is>
      </c>
      <c r="H2847" s="1" t="n">
        <v>42457</v>
      </c>
      <c r="I2847" s="1" t="n">
        <v>42459</v>
      </c>
      <c r="J2847" t="inlineStr">
        <is>
          <t>Halifax, Nova Scotia</t>
        </is>
      </c>
      <c r="K2847" t="inlineStr">
        <is>
          <t>Halifax (Nouvelle-Écosse)</t>
        </is>
      </c>
      <c r="P2847" t="n">
        <v>644.1</v>
      </c>
      <c r="Q2847" t="n">
        <v>152.89</v>
      </c>
      <c r="R2847" t="n">
        <v>314.36</v>
      </c>
      <c r="S2847" t="n">
        <v>174.3</v>
      </c>
      <c r="T2847" t="n">
        <v>32</v>
      </c>
      <c r="U2847" t="n">
        <v>1317.65</v>
      </c>
      <c r="X2847" t="inlineStr">
        <is>
          <t>acoa-apeca</t>
        </is>
      </c>
      <c r="Y2847" t="inlineStr">
        <is>
          <t>Atlantic Canada Opportunities Agency | Agence de promotion économique du Canada atlantique</t>
        </is>
      </c>
      <c r="Z2847" t="n">
        <v>3</v>
      </c>
      <c r="AA2847" t="n">
        <v>1317.64999999999</v>
      </c>
      <c r="AB2847">
        <f>ROUND(U2847-AA2847,2)</f>
        <v/>
      </c>
      <c r="AC2847" t="b">
        <v>0</v>
      </c>
      <c r="AD2847">
        <f>IF(U2847="","MISSING_TOTAL",IF(ABS(AB2847)&lt;=0.01,"OK","CHECK"))</f>
        <v/>
      </c>
      <c r="AE2847">
        <f>IF(U2847="","MISSING",IF(AND(AA2847&gt;0,U2847/AA2847&gt;50),"POSSIBLE_SCALE_ERROR","OK"))</f>
        <v/>
      </c>
    </row>
    <row r="2848">
      <c r="A2848" t="inlineStr">
        <is>
          <t>T-2017-Q1-00012</t>
        </is>
      </c>
      <c r="B2848" t="inlineStr">
        <is>
          <t>SLE</t>
        </is>
      </c>
      <c r="C2848" t="inlineStr">
        <is>
          <t>President</t>
        </is>
      </c>
      <c r="D2848" t="inlineStr">
        <is>
          <t>Président</t>
        </is>
      </c>
      <c r="E2848" t="inlineStr">
        <is>
          <t>Paul J. LeBlanc</t>
        </is>
      </c>
      <c r="F2848" t="inlineStr">
        <is>
          <t>For various meetings and discussions with Agency officials and Government of Canada officials</t>
        </is>
      </c>
      <c r="G2848" t="inlineStr">
        <is>
          <t>Diverses réunions et discussions avec des fonctionnaires de l'Agence et du gouvernement du Canada</t>
        </is>
      </c>
      <c r="H2848" s="1" t="n">
        <v>42457</v>
      </c>
      <c r="I2848" s="1" t="n">
        <v>42459</v>
      </c>
      <c r="J2848" t="inlineStr">
        <is>
          <t>Ottawa, Ontario</t>
        </is>
      </c>
      <c r="K2848" t="inlineStr">
        <is>
          <t>Ottawa (Ontario)</t>
        </is>
      </c>
      <c r="P2848" t="n">
        <v>644.1</v>
      </c>
      <c r="Q2848" t="n">
        <v>0</v>
      </c>
      <c r="R2848" t="n">
        <v>365.46</v>
      </c>
      <c r="S2848" t="n">
        <v>190.6</v>
      </c>
      <c r="T2848" t="n">
        <v>150</v>
      </c>
      <c r="U2848" t="n">
        <v>1350.16</v>
      </c>
      <c r="X2848" t="inlineStr">
        <is>
          <t>acoa-apeca</t>
        </is>
      </c>
      <c r="Y2848" t="inlineStr">
        <is>
          <t>Atlantic Canada Opportunities Agency | Agence de promotion économique du Canada atlantique</t>
        </is>
      </c>
      <c r="Z2848" t="n">
        <v>3</v>
      </c>
      <c r="AA2848" t="n">
        <v>1350.15999999999</v>
      </c>
      <c r="AB2848">
        <f>ROUND(U2848-AA2848,2)</f>
        <v/>
      </c>
      <c r="AC2848" t="b">
        <v>0</v>
      </c>
      <c r="AD2848">
        <f>IF(U2848="","MISSING_TOTAL",IF(ABS(AB2848)&lt;=0.01,"OK","CHECK"))</f>
        <v/>
      </c>
      <c r="AE2848">
        <f>IF(U2848="","MISSING",IF(AND(AA2848&gt;0,U2848/AA2848&gt;50),"POSSIBLE_SCALE_ERROR","OK"))</f>
        <v/>
      </c>
    </row>
    <row r="2849">
      <c r="A2849" t="inlineStr">
        <is>
          <t>T-2017-Q1-00011</t>
        </is>
      </c>
      <c r="B2849" t="inlineStr">
        <is>
          <t>SLE</t>
        </is>
      </c>
      <c r="C2849" t="inlineStr">
        <is>
          <t>Vice-President, Policy and Programs</t>
        </is>
      </c>
      <c r="D2849" t="inlineStr">
        <is>
          <t>Vice-président, Politiques et Programmes</t>
        </is>
      </c>
      <c r="E2849" t="inlineStr">
        <is>
          <t>Daryell Nowlan</t>
        </is>
      </c>
      <c r="F2849" t="inlineStr">
        <is>
          <t>Meetings with Government of Canada and provincial officials</t>
        </is>
      </c>
      <c r="G2849" t="inlineStr">
        <is>
          <t>Réunions avec des fonctionnaires du gouvernement du Canada et de la province</t>
        </is>
      </c>
      <c r="H2849" s="1" t="n">
        <v>42457</v>
      </c>
      <c r="I2849" s="1" t="n">
        <v>42459</v>
      </c>
      <c r="J2849" t="inlineStr">
        <is>
          <t>Halifax, Nova Scotia</t>
        </is>
      </c>
      <c r="K2849" t="inlineStr">
        <is>
          <t>Halifax (Nouvelle-Écosse)</t>
        </is>
      </c>
      <c r="P2849" t="n">
        <v>0</v>
      </c>
      <c r="Q2849" t="n">
        <v>270.05</v>
      </c>
      <c r="R2849" t="n">
        <v>314.36</v>
      </c>
      <c r="S2849" t="n">
        <v>157.5</v>
      </c>
      <c r="T2849" t="n">
        <v>0</v>
      </c>
      <c r="U2849" t="n">
        <v>741.91</v>
      </c>
      <c r="X2849" t="inlineStr">
        <is>
          <t>acoa-apeca</t>
        </is>
      </c>
      <c r="Y2849" t="inlineStr">
        <is>
          <t>Atlantic Canada Opportunities Agency | Agence de promotion économique du Canada atlantique</t>
        </is>
      </c>
      <c r="Z2849" t="n">
        <v>3</v>
      </c>
      <c r="AA2849" t="n">
        <v>741.91</v>
      </c>
      <c r="AB2849">
        <f>ROUND(U2849-AA2849,2)</f>
        <v/>
      </c>
      <c r="AC2849" t="b">
        <v>0</v>
      </c>
      <c r="AD2849">
        <f>IF(U2849="","MISSING_TOTAL",IF(ABS(AB2849)&lt;=0.01,"OK","CHECK"))</f>
        <v/>
      </c>
      <c r="AE2849">
        <f>IF(U2849="","MISSING",IF(AND(AA2849&gt;0,U2849/AA2849&gt;50),"POSSIBLE_SCALE_ERROR","OK"))</f>
        <v/>
      </c>
    </row>
    <row r="2850">
      <c r="A2850" t="inlineStr">
        <is>
          <t>T-2017-Q1-00009</t>
        </is>
      </c>
      <c r="B2850" t="inlineStr">
        <is>
          <t>SLE</t>
        </is>
      </c>
      <c r="C2850" t="inlineStr">
        <is>
          <t>Vice-President, Policy and Programs</t>
        </is>
      </c>
      <c r="D2850" t="inlineStr">
        <is>
          <t>Vice-président, Politiques et Programmes</t>
        </is>
      </c>
      <c r="E2850" t="inlineStr">
        <is>
          <t>Daryell Nowlan</t>
        </is>
      </c>
      <c r="F2850" t="inlineStr">
        <is>
          <t>Meetings with Government of Canada officials</t>
        </is>
      </c>
      <c r="G2850" t="inlineStr">
        <is>
          <t>Réunions avec des fonctionnaires du gouvernement du Canada</t>
        </is>
      </c>
      <c r="H2850" s="1" t="n">
        <v>42443</v>
      </c>
      <c r="I2850" s="1" t="n">
        <v>42445</v>
      </c>
      <c r="J2850" t="inlineStr">
        <is>
          <t>Ottawa, Ontario</t>
        </is>
      </c>
      <c r="K2850" t="inlineStr">
        <is>
          <t>Ottawa (Ontario)</t>
        </is>
      </c>
      <c r="P2850" t="n">
        <v>644.1</v>
      </c>
      <c r="Q2850" t="n">
        <v>120</v>
      </c>
      <c r="R2850" t="n">
        <v>393.4</v>
      </c>
      <c r="S2850" t="n">
        <v>218.7</v>
      </c>
      <c r="T2850" t="n">
        <v>0</v>
      </c>
      <c r="U2850" t="n">
        <v>1376.2</v>
      </c>
      <c r="X2850" t="inlineStr">
        <is>
          <t>acoa-apeca</t>
        </is>
      </c>
      <c r="Y2850" t="inlineStr">
        <is>
          <t>Atlantic Canada Opportunities Agency | Agence de promotion économique du Canada atlantique</t>
        </is>
      </c>
      <c r="Z2850" t="n">
        <v>3</v>
      </c>
      <c r="AA2850" t="n">
        <v>1376.2</v>
      </c>
      <c r="AB2850">
        <f>ROUND(U2850-AA2850,2)</f>
        <v/>
      </c>
      <c r="AC2850" t="b">
        <v>0</v>
      </c>
      <c r="AD2850">
        <f>IF(U2850="","MISSING_TOTAL",IF(ABS(AB2850)&lt;=0.01,"OK","CHECK"))</f>
        <v/>
      </c>
      <c r="AE2850">
        <f>IF(U2850="","MISSING",IF(AND(AA2850&gt;0,U2850/AA2850&gt;50),"POSSIBLE_SCALE_ERROR","OK"))</f>
        <v/>
      </c>
    </row>
    <row r="2851">
      <c r="A2851" t="inlineStr">
        <is>
          <t>T-2016-Q4-00021</t>
        </is>
      </c>
      <c r="B2851" t="inlineStr">
        <is>
          <t>SLE</t>
        </is>
      </c>
      <c r="C2851" t="inlineStr">
        <is>
          <t>President</t>
        </is>
      </c>
      <c r="D2851" t="inlineStr">
        <is>
          <t>Président</t>
        </is>
      </c>
      <c r="E2851" t="inlineStr">
        <is>
          <t>Paul J. LeBlanc</t>
        </is>
      </c>
      <c r="F2851" t="inlineStr">
        <is>
          <t>For a meeting with Government of Canada officials</t>
        </is>
      </c>
      <c r="G2851" t="inlineStr">
        <is>
          <t>Réunion avec des fonctionnaires du gouvernement du Canada</t>
        </is>
      </c>
      <c r="H2851" s="1" t="n">
        <v>42390</v>
      </c>
      <c r="I2851" s="1" t="n">
        <v>42391</v>
      </c>
      <c r="J2851" t="inlineStr">
        <is>
          <t>Ottawa, Ontario</t>
        </is>
      </c>
      <c r="K2851" t="inlineStr">
        <is>
          <t>Ottawa (Ontario)</t>
        </is>
      </c>
      <c r="P2851" t="n">
        <v>644.1</v>
      </c>
      <c r="Q2851" t="n">
        <v>0</v>
      </c>
      <c r="R2851" t="n">
        <v>182.73</v>
      </c>
      <c r="S2851" t="n">
        <v>139.95</v>
      </c>
      <c r="T2851" t="n">
        <v>35</v>
      </c>
      <c r="U2851" t="n">
        <v>1001.78</v>
      </c>
      <c r="X2851" t="inlineStr">
        <is>
          <t>acoa-apeca</t>
        </is>
      </c>
      <c r="Y2851" t="inlineStr">
        <is>
          <t>Atlantic Canada Opportunities Agency | Agence de promotion économique du Canada atlantique</t>
        </is>
      </c>
      <c r="Z2851" t="n">
        <v>2</v>
      </c>
      <c r="AA2851" t="n">
        <v>1001.78</v>
      </c>
      <c r="AB2851">
        <f>ROUND(U2851-AA2851,2)</f>
        <v/>
      </c>
      <c r="AC2851" t="b">
        <v>0</v>
      </c>
      <c r="AD2851">
        <f>IF(U2851="","MISSING_TOTAL",IF(ABS(AB2851)&lt;=0.01,"OK","CHECK"))</f>
        <v/>
      </c>
      <c r="AE2851">
        <f>IF(U2851="","MISSING",IF(AND(AA2851&gt;0,U2851/AA2851&gt;50),"POSSIBLE_SCALE_ERROR","OK"))</f>
        <v/>
      </c>
    </row>
    <row r="2852">
      <c r="A2852" t="inlineStr">
        <is>
          <t>T-2017-Q1-00006</t>
        </is>
      </c>
      <c r="B2852" t="inlineStr">
        <is>
          <t>SLE</t>
        </is>
      </c>
      <c r="C2852" t="inlineStr">
        <is>
          <t>President</t>
        </is>
      </c>
      <c r="D2852" t="inlineStr">
        <is>
          <t>Président</t>
        </is>
      </c>
      <c r="E2852" t="inlineStr">
        <is>
          <t>Paul J. LeBlanc</t>
        </is>
      </c>
      <c r="F2852" t="inlineStr">
        <is>
          <t>Atlantic Federal Council meeting</t>
        </is>
      </c>
      <c r="G2852" t="inlineStr">
        <is>
          <t>Réunion du Conseil fédéral de l'Atlantique</t>
        </is>
      </c>
      <c r="H2852" s="1" t="n">
        <v>42438</v>
      </c>
      <c r="I2852" s="1" t="n">
        <v>42439</v>
      </c>
      <c r="J2852" t="inlineStr">
        <is>
          <t>Halifax, Nova Scotia</t>
        </is>
      </c>
      <c r="K2852" t="inlineStr">
        <is>
          <t>Halifax (Nouvelle-Écosse)</t>
        </is>
      </c>
      <c r="P2852" t="n">
        <v>0</v>
      </c>
      <c r="Q2852" t="n">
        <v>0</v>
      </c>
      <c r="R2852" t="n">
        <v>134.9</v>
      </c>
      <c r="S2852" t="n">
        <v>139.95</v>
      </c>
      <c r="T2852" t="n">
        <v>113</v>
      </c>
      <c r="U2852" t="n">
        <v>387.85</v>
      </c>
      <c r="X2852" t="inlineStr">
        <is>
          <t>acoa-apeca</t>
        </is>
      </c>
      <c r="Y2852" t="inlineStr">
        <is>
          <t>Atlantic Canada Opportunities Agency | Agence de promotion économique du Canada atlantique</t>
        </is>
      </c>
      <c r="Z2852" t="n">
        <v>2</v>
      </c>
      <c r="AA2852" t="n">
        <v>387.85</v>
      </c>
      <c r="AB2852">
        <f>ROUND(U2852-AA2852,2)</f>
        <v/>
      </c>
      <c r="AC2852" t="b">
        <v>0</v>
      </c>
      <c r="AD2852">
        <f>IF(U2852="","MISSING_TOTAL",IF(ABS(AB2852)&lt;=0.01,"OK","CHECK"))</f>
        <v/>
      </c>
      <c r="AE2852">
        <f>IF(U2852="","MISSING",IF(AND(AA2852&gt;0,U2852/AA2852&gt;50),"POSSIBLE_SCALE_ERROR","OK"))</f>
        <v/>
      </c>
    </row>
    <row r="2853">
      <c r="A2853" t="inlineStr">
        <is>
          <t>T-2017-Q1-00005</t>
        </is>
      </c>
      <c r="B2853" t="inlineStr">
        <is>
          <t>SLE</t>
        </is>
      </c>
      <c r="C2853" t="inlineStr">
        <is>
          <t>Vice-President, Prince Edward Island</t>
        </is>
      </c>
      <c r="D2853" t="inlineStr">
        <is>
          <t>Vice-président, Île-du-Prince-Édouard</t>
        </is>
      </c>
      <c r="E2853" t="inlineStr">
        <is>
          <t>Patrick Dorsey</t>
        </is>
      </c>
      <c r="F2853" t="inlineStr">
        <is>
          <t>Attend Atlantic Canada Tourism Partnership meeting and training</t>
        </is>
      </c>
      <c r="G2853" t="inlineStr">
        <is>
          <t>Assister à une réunion du Partenariat du tourisme du Canada atlantique et à une formation</t>
        </is>
      </c>
      <c r="H2853" s="1" t="n">
        <v>42437</v>
      </c>
      <c r="I2853" s="1" t="n">
        <v>42439</v>
      </c>
      <c r="J2853" t="inlineStr">
        <is>
          <t>Halifax, Nova Scotia</t>
        </is>
      </c>
      <c r="K2853" t="inlineStr">
        <is>
          <t>Halifax (Nouvelle-Écosse)</t>
        </is>
      </c>
      <c r="P2853" t="n">
        <v>0</v>
      </c>
      <c r="Q2853" t="n">
        <v>26.39</v>
      </c>
      <c r="R2853" t="n">
        <v>286.22</v>
      </c>
      <c r="S2853" t="n">
        <v>190.6</v>
      </c>
      <c r="T2853" t="n">
        <v>0</v>
      </c>
      <c r="U2853" t="n">
        <v>503.21</v>
      </c>
      <c r="X2853" t="inlineStr">
        <is>
          <t>acoa-apeca</t>
        </is>
      </c>
      <c r="Y2853" t="inlineStr">
        <is>
          <t>Atlantic Canada Opportunities Agency | Agence de promotion économique du Canada atlantique</t>
        </is>
      </c>
      <c r="Z2853" t="n">
        <v>3</v>
      </c>
      <c r="AA2853" t="n">
        <v>503.21</v>
      </c>
      <c r="AB2853">
        <f>ROUND(U2853-AA2853,2)</f>
        <v/>
      </c>
      <c r="AC2853" t="b">
        <v>0</v>
      </c>
      <c r="AD2853">
        <f>IF(U2853="","MISSING_TOTAL",IF(ABS(AB2853)&lt;=0.01,"OK","CHECK"))</f>
        <v/>
      </c>
      <c r="AE2853">
        <f>IF(U2853="","MISSING",IF(AND(AA2853&gt;0,U2853/AA2853&gt;50),"POSSIBLE_SCALE_ERROR","OK"))</f>
        <v/>
      </c>
    </row>
    <row r="2854">
      <c r="A2854" t="inlineStr">
        <is>
          <t>T-2015-Q1-00032</t>
        </is>
      </c>
      <c r="B2854" t="inlineStr">
        <is>
          <t>SLE</t>
        </is>
      </c>
      <c r="C2854" t="inlineStr">
        <is>
          <t>President</t>
        </is>
      </c>
      <c r="D2854" t="inlineStr">
        <is>
          <t>Président</t>
        </is>
      </c>
      <c r="E2854" t="inlineStr">
        <is>
          <t>Paul J. LeBlanc</t>
        </is>
      </c>
      <c r="F2854" t="inlineStr">
        <is>
          <t>Meeting with Agency officials</t>
        </is>
      </c>
      <c r="G2854" t="inlineStr">
        <is>
          <t>Réunion avec des fonctionnaires de l'Agence</t>
        </is>
      </c>
      <c r="H2854" s="1" t="n">
        <v>41753</v>
      </c>
      <c r="I2854" s="1" t="n">
        <v>41753</v>
      </c>
      <c r="J2854" t="inlineStr">
        <is>
          <t>Hampton, New Brunswick</t>
        </is>
      </c>
      <c r="K2854" t="inlineStr">
        <is>
          <t>Hampton (Nouveau-Brunswick)</t>
        </is>
      </c>
      <c r="P2854" t="n">
        <v>0</v>
      </c>
      <c r="Q2854" t="n">
        <v>0</v>
      </c>
      <c r="R2854" t="n">
        <v>0</v>
      </c>
      <c r="S2854" t="n">
        <v>15.25</v>
      </c>
      <c r="T2854" t="n">
        <v>0</v>
      </c>
      <c r="U2854" t="n">
        <v>15.25</v>
      </c>
      <c r="X2854" t="inlineStr">
        <is>
          <t>acoa-apeca</t>
        </is>
      </c>
      <c r="Y2854" t="inlineStr">
        <is>
          <t>Atlantic Canada Opportunities Agency | Agence de promotion économique du Canada atlantique</t>
        </is>
      </c>
      <c r="Z2854" t="n">
        <v>1</v>
      </c>
      <c r="AA2854" t="n">
        <v>15.25</v>
      </c>
      <c r="AB2854">
        <f>ROUND(U2854-AA2854,2)</f>
        <v/>
      </c>
      <c r="AC2854" t="b">
        <v>0</v>
      </c>
      <c r="AD2854">
        <f>IF(U2854="","MISSING_TOTAL",IF(ABS(AB2854)&lt;=0.01,"OK","CHECK"))</f>
        <v/>
      </c>
      <c r="AE2854">
        <f>IF(U2854="","MISSING",IF(AND(AA2854&gt;0,U2854/AA2854&gt;50),"POSSIBLE_SCALE_ERROR","OK"))</f>
        <v/>
      </c>
    </row>
    <row r="2855">
      <c r="A2855" t="inlineStr">
        <is>
          <t>T-2017-Q1-00004</t>
        </is>
      </c>
      <c r="B2855" t="inlineStr">
        <is>
          <t>SLE</t>
        </is>
      </c>
      <c r="C2855" t="inlineStr">
        <is>
          <t>Vice-President, Policy and Programs</t>
        </is>
      </c>
      <c r="D2855" t="inlineStr">
        <is>
          <t>Vice-président, Politiques et Programmes</t>
        </is>
      </c>
      <c r="E2855" t="inlineStr">
        <is>
          <t>Daryell Nowlan</t>
        </is>
      </c>
      <c r="F2855" t="inlineStr">
        <is>
          <t>Meetings with Government of Canada officials</t>
        </is>
      </c>
      <c r="G2855" t="inlineStr">
        <is>
          <t>Réunions avec des fonctionnaires du gouvernement du Canada</t>
        </is>
      </c>
      <c r="H2855" s="1" t="n">
        <v>42435</v>
      </c>
      <c r="I2855" s="1" t="n">
        <v>42439</v>
      </c>
      <c r="J2855" t="inlineStr">
        <is>
          <t>Ottawa, Ontario and Halifax, Nova Scotia</t>
        </is>
      </c>
      <c r="K2855" t="inlineStr">
        <is>
          <t>Ottawa (Ontario) et Halifax (Nouvelle-Écosse)</t>
        </is>
      </c>
      <c r="P2855" t="n">
        <v>644.1</v>
      </c>
      <c r="Q2855" t="n">
        <v>169</v>
      </c>
      <c r="R2855" t="n">
        <v>700.85</v>
      </c>
      <c r="S2855" t="n">
        <v>364.15</v>
      </c>
      <c r="T2855" t="n">
        <v>0</v>
      </c>
      <c r="U2855" t="n">
        <v>1878.1</v>
      </c>
      <c r="X2855" t="inlineStr">
        <is>
          <t>acoa-apeca</t>
        </is>
      </c>
      <c r="Y2855" t="inlineStr">
        <is>
          <t>Atlantic Canada Opportunities Agency | Agence de promotion économique du Canada atlantique</t>
        </is>
      </c>
      <c r="Z2855" t="n">
        <v>5</v>
      </c>
      <c r="AA2855" t="n">
        <v>1878.1</v>
      </c>
      <c r="AB2855">
        <f>ROUND(U2855-AA2855,2)</f>
        <v/>
      </c>
      <c r="AC2855" t="b">
        <v>0</v>
      </c>
      <c r="AD2855">
        <f>IF(U2855="","MISSING_TOTAL",IF(ABS(AB2855)&lt;=0.01,"OK","CHECK"))</f>
        <v/>
      </c>
      <c r="AE2855">
        <f>IF(U2855="","MISSING",IF(AND(AA2855&gt;0,U2855/AA2855&gt;50),"POSSIBLE_SCALE_ERROR","OK"))</f>
        <v/>
      </c>
    </row>
    <row r="2856">
      <c r="A2856" t="inlineStr">
        <is>
          <t>T-2017-Q1-00003</t>
        </is>
      </c>
      <c r="B2856" t="inlineStr">
        <is>
          <t>SLE</t>
        </is>
      </c>
      <c r="C2856" t="inlineStr">
        <is>
          <t>Vice President, Nova Scotia</t>
        </is>
      </c>
      <c r="D2856" t="inlineStr">
        <is>
          <t>Vice-président, Nouvelle-Écosse</t>
        </is>
      </c>
      <c r="E2856" t="inlineStr">
        <is>
          <t>Peter Hogan</t>
        </is>
      </c>
      <c r="F2856" t="inlineStr">
        <is>
          <t>Meeting with senior Agency officials</t>
        </is>
      </c>
      <c r="G2856" t="inlineStr">
        <is>
          <t>Réunion avec des hauts fonctionnaires de l'Agence</t>
        </is>
      </c>
      <c r="H2856" s="1" t="n">
        <v>42431</v>
      </c>
      <c r="I2856" s="1" t="n">
        <v>42432</v>
      </c>
      <c r="J2856" t="inlineStr">
        <is>
          <t>Moncton, New Brunswick</t>
        </is>
      </c>
      <c r="K2856" t="inlineStr">
        <is>
          <t>Moncton (Nouveau-Brunswick)</t>
        </is>
      </c>
      <c r="P2856" t="n">
        <v>0</v>
      </c>
      <c r="Q2856" t="n">
        <v>0</v>
      </c>
      <c r="R2856" t="n">
        <v>145.77</v>
      </c>
      <c r="S2856" t="n">
        <v>79</v>
      </c>
      <c r="T2856" t="n">
        <v>0</v>
      </c>
      <c r="U2856" t="n">
        <v>224.77</v>
      </c>
      <c r="X2856" t="inlineStr">
        <is>
          <t>acoa-apeca</t>
        </is>
      </c>
      <c r="Y2856" t="inlineStr">
        <is>
          <t>Atlantic Canada Opportunities Agency | Agence de promotion économique du Canada atlantique</t>
        </is>
      </c>
      <c r="Z2856" t="n">
        <v>2</v>
      </c>
      <c r="AA2856" t="n">
        <v>224.77</v>
      </c>
      <c r="AB2856">
        <f>ROUND(U2856-AA2856,2)</f>
        <v/>
      </c>
      <c r="AC2856" t="b">
        <v>0</v>
      </c>
      <c r="AD2856">
        <f>IF(U2856="","MISSING_TOTAL",IF(ABS(AB2856)&lt;=0.01,"OK","CHECK"))</f>
        <v/>
      </c>
      <c r="AE2856">
        <f>IF(U2856="","MISSING",IF(AND(AA2856&gt;0,U2856/AA2856&gt;50),"POSSIBLE_SCALE_ERROR","OK"))</f>
        <v/>
      </c>
    </row>
    <row r="2857">
      <c r="A2857" t="inlineStr">
        <is>
          <t>T-2017-Q1-00001</t>
        </is>
      </c>
      <c r="B2857" t="inlineStr">
        <is>
          <t>SLE</t>
        </is>
      </c>
      <c r="C2857" t="inlineStr">
        <is>
          <t>Vice-President, Prince Edward Island</t>
        </is>
      </c>
      <c r="D2857" t="inlineStr">
        <is>
          <t>Vice-président, Île-du-Prince-Édouard</t>
        </is>
      </c>
      <c r="E2857" t="inlineStr">
        <is>
          <t>Patrick Dorsey</t>
        </is>
      </c>
      <c r="F2857" t="inlineStr">
        <is>
          <t>Executive Committee meeting</t>
        </is>
      </c>
      <c r="G2857" t="inlineStr">
        <is>
          <t>Réunion du Comité de direction</t>
        </is>
      </c>
      <c r="H2857" s="1" t="n">
        <v>42431</v>
      </c>
      <c r="I2857" s="1" t="n">
        <v>42432</v>
      </c>
      <c r="J2857" t="inlineStr">
        <is>
          <t>Moncton, New Brunswick</t>
        </is>
      </c>
      <c r="K2857" t="inlineStr">
        <is>
          <t>Moncton (Nouveau-Brunswick)</t>
        </is>
      </c>
      <c r="P2857" t="n">
        <v>0</v>
      </c>
      <c r="Q2857" t="n">
        <v>61.26</v>
      </c>
      <c r="R2857" t="n">
        <v>113</v>
      </c>
      <c r="S2857" t="n">
        <v>123.4</v>
      </c>
      <c r="T2857" t="n">
        <v>0</v>
      </c>
      <c r="U2857" t="n">
        <v>297.66</v>
      </c>
      <c r="X2857" t="inlineStr">
        <is>
          <t>acoa-apeca</t>
        </is>
      </c>
      <c r="Y2857" t="inlineStr">
        <is>
          <t>Atlantic Canada Opportunities Agency | Agence de promotion économique du Canada atlantique</t>
        </is>
      </c>
      <c r="Z2857" t="n">
        <v>2</v>
      </c>
      <c r="AA2857" t="n">
        <v>297.659999999999</v>
      </c>
      <c r="AB2857">
        <f>ROUND(U2857-AA2857,2)</f>
        <v/>
      </c>
      <c r="AC2857" t="b">
        <v>0</v>
      </c>
      <c r="AD2857">
        <f>IF(U2857="","MISSING_TOTAL",IF(ABS(AB2857)&lt;=0.01,"OK","CHECK"))</f>
        <v/>
      </c>
      <c r="AE2857">
        <f>IF(U2857="","MISSING",IF(AND(AA2857&gt;0,U2857/AA2857&gt;50),"POSSIBLE_SCALE_ERROR","OK"))</f>
        <v/>
      </c>
    </row>
    <row r="2858">
      <c r="A2858" t="inlineStr">
        <is>
          <t>T-2016-Q4-00046</t>
        </is>
      </c>
      <c r="B2858" t="inlineStr">
        <is>
          <t>SLE</t>
        </is>
      </c>
      <c r="C2858" t="inlineStr">
        <is>
          <t>Vice-President, New Brunswick</t>
        </is>
      </c>
      <c r="D2858" t="inlineStr">
        <is>
          <t>Vice-président, Nouveau-Brunswick</t>
        </is>
      </c>
      <c r="E2858" t="inlineStr">
        <is>
          <t>Kent Estabrooks</t>
        </is>
      </c>
      <c r="F2858" t="inlineStr">
        <is>
          <t>Training/development and meetings with Agency officials</t>
        </is>
      </c>
      <c r="G2858" t="inlineStr">
        <is>
          <t>Formation/perfectionnement et réunions avec des fonctionnaires de l'Agence</t>
        </is>
      </c>
      <c r="H2858" s="1" t="n">
        <v>42430</v>
      </c>
      <c r="I2858" s="1" t="n">
        <v>42432</v>
      </c>
      <c r="J2858" t="inlineStr">
        <is>
          <t>Moncton, New Brunswick</t>
        </is>
      </c>
      <c r="K2858" t="inlineStr">
        <is>
          <t>Moncton (Nouveau-Brunswick)</t>
        </is>
      </c>
      <c r="P2858" t="n">
        <v>0</v>
      </c>
      <c r="Q2858" t="n">
        <v>0</v>
      </c>
      <c r="R2858" t="n">
        <v>226</v>
      </c>
      <c r="S2858" t="n">
        <v>201.9</v>
      </c>
      <c r="T2858" t="n">
        <v>30.52</v>
      </c>
      <c r="U2858" t="n">
        <v>458.42</v>
      </c>
      <c r="X2858" t="inlineStr">
        <is>
          <t>acoa-apeca</t>
        </is>
      </c>
      <c r="Y2858" t="inlineStr">
        <is>
          <t>Atlantic Canada Opportunities Agency | Agence de promotion économique du Canada atlantique</t>
        </is>
      </c>
      <c r="Z2858" t="n">
        <v>3</v>
      </c>
      <c r="AA2858" t="n">
        <v>458.419999999999</v>
      </c>
      <c r="AB2858">
        <f>ROUND(U2858-AA2858,2)</f>
        <v/>
      </c>
      <c r="AC2858" t="b">
        <v>0</v>
      </c>
      <c r="AD2858">
        <f>IF(U2858="","MISSING_TOTAL",IF(ABS(AB2858)&lt;=0.01,"OK","CHECK"))</f>
        <v/>
      </c>
      <c r="AE2858">
        <f>IF(U2858="","MISSING",IF(AND(AA2858&gt;0,U2858/AA2858&gt;50),"POSSIBLE_SCALE_ERROR","OK"))</f>
        <v/>
      </c>
    </row>
    <row r="2859">
      <c r="A2859" t="inlineStr">
        <is>
          <t>T-2016-Q4-00045</t>
        </is>
      </c>
      <c r="B2859" t="inlineStr">
        <is>
          <t>SLE</t>
        </is>
      </c>
      <c r="C2859" t="inlineStr">
        <is>
          <t>Vice-President, Finance and Corporate Services</t>
        </is>
      </c>
      <c r="D2859" t="inlineStr">
        <is>
          <t>Vice-présidente, Finances et Services corporatifs</t>
        </is>
      </c>
      <c r="E2859" t="inlineStr">
        <is>
          <t>Denise Frenette</t>
        </is>
      </c>
      <c r="F2859" t="inlineStr">
        <is>
          <t>For numerous meetings with Government of Canada officials</t>
        </is>
      </c>
      <c r="G2859" t="inlineStr">
        <is>
          <t>Diverses réunions avec des fonctionnaires du gouvernement du Canada</t>
        </is>
      </c>
      <c r="H2859" s="1" t="n">
        <v>42430</v>
      </c>
      <c r="I2859" s="1" t="n">
        <v>42430</v>
      </c>
      <c r="J2859" t="inlineStr">
        <is>
          <t>Ottawa, Ontario</t>
        </is>
      </c>
      <c r="K2859" t="inlineStr">
        <is>
          <t>Ottawa (Ontario)</t>
        </is>
      </c>
      <c r="P2859" t="n">
        <v>0</v>
      </c>
      <c r="Q2859" t="n">
        <v>21.85</v>
      </c>
      <c r="R2859" t="n">
        <v>0</v>
      </c>
      <c r="S2859" t="n">
        <v>0</v>
      </c>
      <c r="T2859" t="n">
        <v>91.53</v>
      </c>
      <c r="U2859" t="n">
        <v>113.38</v>
      </c>
      <c r="X2859" t="inlineStr">
        <is>
          <t>acoa-apeca</t>
        </is>
      </c>
      <c r="Y2859" t="inlineStr">
        <is>
          <t>Atlantic Canada Opportunities Agency | Agence de promotion économique du Canada atlantique</t>
        </is>
      </c>
      <c r="Z2859" t="n">
        <v>1</v>
      </c>
      <c r="AA2859" t="n">
        <v>113.38</v>
      </c>
      <c r="AB2859">
        <f>ROUND(U2859-AA2859,2)</f>
        <v/>
      </c>
      <c r="AC2859" t="b">
        <v>0</v>
      </c>
      <c r="AD2859">
        <f>IF(U2859="","MISSING_TOTAL",IF(ABS(AB2859)&lt;=0.01,"OK","CHECK"))</f>
        <v/>
      </c>
      <c r="AE2859">
        <f>IF(U2859="","MISSING",IF(AND(AA2859&gt;0,U2859/AA2859&gt;50),"POSSIBLE_SCALE_ERROR","OK"))</f>
        <v/>
      </c>
    </row>
    <row r="2860">
      <c r="A2860" t="inlineStr">
        <is>
          <t>T-2016-Q4-00044</t>
        </is>
      </c>
      <c r="B2860" t="inlineStr">
        <is>
          <t>SLE</t>
        </is>
      </c>
      <c r="C2860" t="inlineStr">
        <is>
          <t>Vice President, Nova Scotia</t>
        </is>
      </c>
      <c r="D2860" t="inlineStr">
        <is>
          <t>Vice-président, Nouvelle-Écosse</t>
        </is>
      </c>
      <c r="E2860" t="inlineStr">
        <is>
          <t>Peter Hogan</t>
        </is>
      </c>
      <c r="F2860" t="inlineStr">
        <is>
          <t>Various Meeting with Agency Officials and Community Outreach</t>
        </is>
      </c>
      <c r="G2860" t="inlineStr">
        <is>
          <t>Diverses réunions avec des fonctionnaires de l'Agence et sensibilisation communautaire</t>
        </is>
      </c>
      <c r="H2860" s="1" t="n">
        <v>42424</v>
      </c>
      <c r="I2860" s="1" t="n">
        <v>42424</v>
      </c>
      <c r="J2860" t="inlineStr">
        <is>
          <t>Sydney, Nova Scotia</t>
        </is>
      </c>
      <c r="K2860" t="inlineStr">
        <is>
          <t>Sydney (Nouvelle-Écosse)</t>
        </is>
      </c>
      <c r="P2860" t="n">
        <v>804.74</v>
      </c>
      <c r="Q2860" t="n">
        <v>19.4</v>
      </c>
      <c r="R2860" t="n">
        <v>0</v>
      </c>
      <c r="S2860" t="n">
        <v>44.4</v>
      </c>
      <c r="T2860" t="n">
        <v>21</v>
      </c>
      <c r="U2860" t="n">
        <v>889.54</v>
      </c>
      <c r="X2860" t="inlineStr">
        <is>
          <t>acoa-apeca</t>
        </is>
      </c>
      <c r="Y2860" t="inlineStr">
        <is>
          <t>Atlantic Canada Opportunities Agency | Agence de promotion économique du Canada atlantique</t>
        </is>
      </c>
      <c r="Z2860" t="n">
        <v>1</v>
      </c>
      <c r="AA2860" t="n">
        <v>889.54</v>
      </c>
      <c r="AB2860">
        <f>ROUND(U2860-AA2860,2)</f>
        <v/>
      </c>
      <c r="AC2860" t="b">
        <v>0</v>
      </c>
      <c r="AD2860">
        <f>IF(U2860="","MISSING_TOTAL",IF(ABS(AB2860)&lt;=0.01,"OK","CHECK"))</f>
        <v/>
      </c>
      <c r="AE2860">
        <f>IF(U2860="","MISSING",IF(AND(AA2860&gt;0,U2860/AA2860&gt;50),"POSSIBLE_SCALE_ERROR","OK"))</f>
        <v/>
      </c>
    </row>
    <row r="2861">
      <c r="A2861" t="inlineStr">
        <is>
          <t>T-2016-Q4-00043</t>
        </is>
      </c>
      <c r="B2861" t="inlineStr">
        <is>
          <t>SLE</t>
        </is>
      </c>
      <c r="C2861" t="inlineStr">
        <is>
          <t>Vice-President, New Brunswick</t>
        </is>
      </c>
      <c r="D2861" t="inlineStr">
        <is>
          <t>Vice-président, Nouveau-Brunswick</t>
        </is>
      </c>
      <c r="E2861" t="inlineStr">
        <is>
          <t>Kent Estabrooks</t>
        </is>
      </c>
      <c r="F2861" t="inlineStr">
        <is>
          <t>Training and Development</t>
        </is>
      </c>
      <c r="G2861" t="inlineStr">
        <is>
          <t>Formation et perfectionnement</t>
        </is>
      </c>
      <c r="H2861" s="1" t="n">
        <v>42421</v>
      </c>
      <c r="I2861" s="1" t="n">
        <v>42422</v>
      </c>
      <c r="J2861" t="inlineStr">
        <is>
          <t>Toronto, Ontario</t>
        </is>
      </c>
      <c r="K2861" t="inlineStr">
        <is>
          <t>Toronto (Ontario)</t>
        </is>
      </c>
      <c r="P2861" t="n">
        <v>813.6</v>
      </c>
      <c r="Q2861" t="n">
        <v>108.6</v>
      </c>
      <c r="R2861" t="n">
        <v>180.75</v>
      </c>
      <c r="S2861" t="n">
        <v>157</v>
      </c>
      <c r="T2861" t="n">
        <v>0</v>
      </c>
      <c r="U2861" t="n">
        <v>1259.95</v>
      </c>
      <c r="X2861" t="inlineStr">
        <is>
          <t>acoa-apeca</t>
        </is>
      </c>
      <c r="Y2861" t="inlineStr">
        <is>
          <t>Atlantic Canada Opportunities Agency | Agence de promotion économique du Canada atlantique</t>
        </is>
      </c>
      <c r="Z2861" t="n">
        <v>2</v>
      </c>
      <c r="AA2861" t="n">
        <v>1259.95</v>
      </c>
      <c r="AB2861">
        <f>ROUND(U2861-AA2861,2)</f>
        <v/>
      </c>
      <c r="AC2861" t="b">
        <v>0</v>
      </c>
      <c r="AD2861">
        <f>IF(U2861="","MISSING_TOTAL",IF(ABS(AB2861)&lt;=0.01,"OK","CHECK"))</f>
        <v/>
      </c>
      <c r="AE2861">
        <f>IF(U2861="","MISSING",IF(AND(AA2861&gt;0,U2861/AA2861&gt;50),"POSSIBLE_SCALE_ERROR","OK"))</f>
        <v/>
      </c>
    </row>
    <row r="2862">
      <c r="A2862" t="inlineStr">
        <is>
          <t>T-2016-Q4-00041</t>
        </is>
      </c>
      <c r="B2862" t="inlineStr">
        <is>
          <t>SLE</t>
        </is>
      </c>
      <c r="C2862" t="inlineStr">
        <is>
          <t>Vice-President, New Brunswick</t>
        </is>
      </c>
      <c r="D2862" t="inlineStr">
        <is>
          <t>Vice-président, Nouveau-Brunswick</t>
        </is>
      </c>
      <c r="E2862" t="inlineStr">
        <is>
          <t>Kent Estabrooks</t>
        </is>
      </c>
      <c r="F2862" t="inlineStr">
        <is>
          <t>Meetings with Stakeholders</t>
        </is>
      </c>
      <c r="G2862" t="inlineStr">
        <is>
          <t>Réunions avec des intervenants</t>
        </is>
      </c>
      <c r="H2862" s="1" t="n">
        <v>42419</v>
      </c>
      <c r="I2862" s="1" t="n">
        <v>42445</v>
      </c>
      <c r="J2862" t="inlineStr">
        <is>
          <t>Moncton, New Brunswick</t>
        </is>
      </c>
      <c r="K2862" t="inlineStr">
        <is>
          <t>Moncton (Nouveau-Brunswick)</t>
        </is>
      </c>
      <c r="P2862" t="n">
        <v>0</v>
      </c>
      <c r="Q2862" t="n">
        <v>0</v>
      </c>
      <c r="R2862" t="n">
        <v>0</v>
      </c>
      <c r="S2862" t="n">
        <v>61.2</v>
      </c>
      <c r="T2862" t="n">
        <v>18</v>
      </c>
      <c r="U2862" t="n">
        <v>79.2</v>
      </c>
      <c r="X2862" t="inlineStr">
        <is>
          <t>acoa-apeca</t>
        </is>
      </c>
      <c r="Y2862" t="inlineStr">
        <is>
          <t>Atlantic Canada Opportunities Agency | Agence de promotion économique du Canada atlantique</t>
        </is>
      </c>
      <c r="Z2862" t="n">
        <v>27</v>
      </c>
      <c r="AA2862" t="n">
        <v>79.2</v>
      </c>
      <c r="AB2862">
        <f>ROUND(U2862-AA2862,2)</f>
        <v/>
      </c>
      <c r="AC2862" t="b">
        <v>0</v>
      </c>
      <c r="AD2862">
        <f>IF(U2862="","MISSING_TOTAL",IF(ABS(AB2862)&lt;=0.01,"OK","CHECK"))</f>
        <v/>
      </c>
      <c r="AE2862">
        <f>IF(U2862="","MISSING",IF(AND(AA2862&gt;0,U2862/AA2862&gt;50),"POSSIBLE_SCALE_ERROR","OK"))</f>
        <v/>
      </c>
    </row>
    <row r="2863">
      <c r="A2863" t="inlineStr">
        <is>
          <t>T-2016-Q4-00031</t>
        </is>
      </c>
      <c r="B2863" t="inlineStr">
        <is>
          <t>SLE</t>
        </is>
      </c>
      <c r="C2863" t="inlineStr">
        <is>
          <t>Vice-President, Prince Edward Island</t>
        </is>
      </c>
      <c r="D2863" t="inlineStr">
        <is>
          <t>Vice-président, Île-du-Prince-Édouard</t>
        </is>
      </c>
      <c r="E2863" t="inlineStr">
        <is>
          <t>Patrick Dorsey</t>
        </is>
      </c>
      <c r="F2863" t="inlineStr">
        <is>
          <t>Meeting with Government of Canada Officials</t>
        </is>
      </c>
      <c r="G2863" t="inlineStr">
        <is>
          <t>Réunion avec des fonctionnaires du gouvernement du Canada</t>
        </is>
      </c>
      <c r="H2863" s="1" t="n">
        <v>42403</v>
      </c>
      <c r="I2863" s="1" t="n">
        <v>42405</v>
      </c>
      <c r="J2863" t="inlineStr">
        <is>
          <t>Ottawa, Ontario</t>
        </is>
      </c>
      <c r="K2863" t="inlineStr">
        <is>
          <t>Ottawa (Ontario)</t>
        </is>
      </c>
      <c r="P2863" t="n">
        <v>840.83</v>
      </c>
      <c r="Q2863" t="n">
        <v>116</v>
      </c>
      <c r="R2863" t="n">
        <v>186.22</v>
      </c>
      <c r="S2863" t="n">
        <v>156.75</v>
      </c>
      <c r="T2863" t="n">
        <v>0</v>
      </c>
      <c r="U2863" t="n">
        <v>1299.8</v>
      </c>
      <c r="X2863" t="inlineStr">
        <is>
          <t>acoa-apeca</t>
        </is>
      </c>
      <c r="Y2863" t="inlineStr">
        <is>
          <t>Atlantic Canada Opportunities Agency | Agence de promotion économique du Canada atlantique</t>
        </is>
      </c>
      <c r="Z2863" t="n">
        <v>3</v>
      </c>
      <c r="AA2863" t="n">
        <v>1299.8</v>
      </c>
      <c r="AB2863">
        <f>ROUND(U2863-AA2863,2)</f>
        <v/>
      </c>
      <c r="AC2863" t="b">
        <v>0</v>
      </c>
      <c r="AD2863">
        <f>IF(U2863="","MISSING_TOTAL",IF(ABS(AB2863)&lt;=0.01,"OK","CHECK"))</f>
        <v/>
      </c>
      <c r="AE2863">
        <f>IF(U2863="","MISSING",IF(AND(AA2863&gt;0,U2863/AA2863&gt;50),"POSSIBLE_SCALE_ERROR","OK"))</f>
        <v/>
      </c>
    </row>
    <row r="2864">
      <c r="A2864" t="inlineStr">
        <is>
          <t>T-2016-Q4-00040</t>
        </is>
      </c>
      <c r="B2864" t="inlineStr">
        <is>
          <t>SLE</t>
        </is>
      </c>
      <c r="C2864" t="inlineStr">
        <is>
          <t>Vice-President, Finance and Corporate Services</t>
        </is>
      </c>
      <c r="D2864" t="inlineStr">
        <is>
          <t>Vice-présidente, Finances et Services corporatifs</t>
        </is>
      </c>
      <c r="E2864" t="inlineStr">
        <is>
          <t>Denise Frenette</t>
        </is>
      </c>
      <c r="F2864" t="inlineStr">
        <is>
          <t>For meeting with various Government of Canada officials</t>
        </is>
      </c>
      <c r="G2864" t="inlineStr">
        <is>
          <t>Réunions avec divers fonctionnaires du gouvernement du Canada</t>
        </is>
      </c>
      <c r="H2864" s="1" t="n">
        <v>42418</v>
      </c>
      <c r="I2864" s="1" t="n">
        <v>42419</v>
      </c>
      <c r="J2864" t="inlineStr">
        <is>
          <t>Halifax, Nova Scotia</t>
        </is>
      </c>
      <c r="K2864" t="inlineStr">
        <is>
          <t>Halifax (Nouvelle-Écosse)</t>
        </is>
      </c>
      <c r="P2864" t="n">
        <v>0</v>
      </c>
      <c r="Q2864" t="n">
        <v>0</v>
      </c>
      <c r="R2864" t="n">
        <v>127.86</v>
      </c>
      <c r="S2864" t="n">
        <v>112.35</v>
      </c>
      <c r="T2864" t="n">
        <v>0</v>
      </c>
      <c r="U2864" t="n">
        <v>240.21</v>
      </c>
      <c r="X2864" t="inlineStr">
        <is>
          <t>acoa-apeca</t>
        </is>
      </c>
      <c r="Y2864" t="inlineStr">
        <is>
          <t>Atlantic Canada Opportunities Agency | Agence de promotion économique du Canada atlantique</t>
        </is>
      </c>
      <c r="Z2864" t="n">
        <v>2</v>
      </c>
      <c r="AA2864" t="n">
        <v>240.209999999999</v>
      </c>
      <c r="AB2864">
        <f>ROUND(U2864-AA2864,2)</f>
        <v/>
      </c>
      <c r="AC2864" t="b">
        <v>0</v>
      </c>
      <c r="AD2864">
        <f>IF(U2864="","MISSING_TOTAL",IF(ABS(AB2864)&lt;=0.01,"OK","CHECK"))</f>
        <v/>
      </c>
      <c r="AE2864">
        <f>IF(U2864="","MISSING",IF(AND(AA2864&gt;0,U2864/AA2864&gt;50),"POSSIBLE_SCALE_ERROR","OK"))</f>
        <v/>
      </c>
    </row>
    <row r="2865">
      <c r="A2865" t="inlineStr">
        <is>
          <t>T-2016-Q4-00038</t>
        </is>
      </c>
      <c r="B2865" t="inlineStr">
        <is>
          <t>SLE</t>
        </is>
      </c>
      <c r="C2865" t="inlineStr">
        <is>
          <t>Vice-President, New Brunswick</t>
        </is>
      </c>
      <c r="D2865" t="inlineStr">
        <is>
          <t>Vice-président, Nouveau-Brunswick</t>
        </is>
      </c>
      <c r="E2865" t="inlineStr">
        <is>
          <t>Kent Estabrooks</t>
        </is>
      </c>
      <c r="F2865" t="inlineStr">
        <is>
          <t>Meetings with Agency Officials</t>
        </is>
      </c>
      <c r="G2865" t="inlineStr">
        <is>
          <t>Réunions avec des fonctionnaires de l'Agence</t>
        </is>
      </c>
      <c r="H2865" s="1" t="n">
        <v>42416</v>
      </c>
      <c r="I2865" s="1" t="n">
        <v>42417</v>
      </c>
      <c r="J2865" t="inlineStr">
        <is>
          <t>Moncton, New Brunswick</t>
        </is>
      </c>
      <c r="K2865" t="inlineStr">
        <is>
          <t>Moncton (Nouveau-Brunswick)</t>
        </is>
      </c>
      <c r="P2865" t="n">
        <v>0</v>
      </c>
      <c r="Q2865" t="n">
        <v>0</v>
      </c>
      <c r="R2865" t="n">
        <v>129.55</v>
      </c>
      <c r="S2865" t="n">
        <v>95.8</v>
      </c>
      <c r="T2865" t="n">
        <v>0</v>
      </c>
      <c r="U2865" t="n">
        <v>225.35</v>
      </c>
      <c r="X2865" t="inlineStr">
        <is>
          <t>acoa-apeca</t>
        </is>
      </c>
      <c r="Y2865" t="inlineStr">
        <is>
          <t>Atlantic Canada Opportunities Agency | Agence de promotion économique du Canada atlantique</t>
        </is>
      </c>
      <c r="Z2865" t="n">
        <v>2</v>
      </c>
      <c r="AA2865" t="n">
        <v>225.35</v>
      </c>
      <c r="AB2865">
        <f>ROUND(U2865-AA2865,2)</f>
        <v/>
      </c>
      <c r="AC2865" t="b">
        <v>0</v>
      </c>
      <c r="AD2865">
        <f>IF(U2865="","MISSING_TOTAL",IF(ABS(AB2865)&lt;=0.01,"OK","CHECK"))</f>
        <v/>
      </c>
      <c r="AE2865">
        <f>IF(U2865="","MISSING",IF(AND(AA2865&gt;0,U2865/AA2865&gt;50),"POSSIBLE_SCALE_ERROR","OK"))</f>
        <v/>
      </c>
    </row>
    <row r="2866">
      <c r="A2866" t="inlineStr">
        <is>
          <t>T-2016-Q4-00037</t>
        </is>
      </c>
      <c r="B2866" t="inlineStr">
        <is>
          <t>SLE</t>
        </is>
      </c>
      <c r="C2866" t="inlineStr">
        <is>
          <t>Vice-President, Prince Edward Island</t>
        </is>
      </c>
      <c r="D2866" t="inlineStr">
        <is>
          <t>Vice-président, Île-du-Prince-Édouard</t>
        </is>
      </c>
      <c r="E2866" t="inlineStr">
        <is>
          <t>Patrick Dorsey</t>
        </is>
      </c>
      <c r="F2866" t="inlineStr">
        <is>
          <t>Meetings with Government of Canada Officials in Ottawa</t>
        </is>
      </c>
      <c r="G2866" t="inlineStr">
        <is>
          <t>Réunions avec des fonctionnaires du gouvernement du Canada à Ottawa</t>
        </is>
      </c>
      <c r="H2866" s="1" t="n">
        <v>42415</v>
      </c>
      <c r="I2866" s="1" t="n">
        <v>42418</v>
      </c>
      <c r="J2866" t="inlineStr">
        <is>
          <t>Ottawa, Ontario</t>
        </is>
      </c>
      <c r="K2866" t="inlineStr">
        <is>
          <t>Ottawa (Ontario)</t>
        </is>
      </c>
      <c r="P2866" t="n">
        <v>662.9299999999999</v>
      </c>
      <c r="Q2866" t="n">
        <v>109.5</v>
      </c>
      <c r="R2866" t="n">
        <v>393.4</v>
      </c>
      <c r="S2866" t="n">
        <v>218.7</v>
      </c>
      <c r="T2866" t="n">
        <v>0</v>
      </c>
      <c r="U2866" t="n">
        <v>1384.53</v>
      </c>
      <c r="X2866" t="inlineStr">
        <is>
          <t>acoa-apeca</t>
        </is>
      </c>
      <c r="Y2866" t="inlineStr">
        <is>
          <t>Atlantic Canada Opportunities Agency | Agence de promotion économique du Canada atlantique</t>
        </is>
      </c>
      <c r="Z2866" t="n">
        <v>4</v>
      </c>
      <c r="AA2866" t="n">
        <v>1384.53</v>
      </c>
      <c r="AB2866">
        <f>ROUND(U2866-AA2866,2)</f>
        <v/>
      </c>
      <c r="AC2866" t="b">
        <v>0</v>
      </c>
      <c r="AD2866">
        <f>IF(U2866="","MISSING_TOTAL",IF(ABS(AB2866)&lt;=0.01,"OK","CHECK"))</f>
        <v/>
      </c>
      <c r="AE2866">
        <f>IF(U2866="","MISSING",IF(AND(AA2866&gt;0,U2866/AA2866&gt;50),"POSSIBLE_SCALE_ERROR","OK"))</f>
        <v/>
      </c>
    </row>
    <row r="2867">
      <c r="A2867" t="inlineStr">
        <is>
          <t>T-2016-Q4-00036</t>
        </is>
      </c>
      <c r="B2867" t="inlineStr">
        <is>
          <t>SLE</t>
        </is>
      </c>
      <c r="C2867" t="inlineStr">
        <is>
          <t>President</t>
        </is>
      </c>
      <c r="D2867" t="inlineStr">
        <is>
          <t>Président</t>
        </is>
      </c>
      <c r="E2867" t="inlineStr">
        <is>
          <t>Paul J. LeBlanc</t>
        </is>
      </c>
      <c r="F2867" t="inlineStr">
        <is>
          <t>For various meetings and discussions with Agency officials and Government of Canada officials</t>
        </is>
      </c>
      <c r="G2867" t="inlineStr">
        <is>
          <t>Diverses réunions et discussions avec des fonctionnaires de l'Agence et du gouvernement du Canada</t>
        </is>
      </c>
      <c r="H2867" s="1" t="n">
        <v>42412</v>
      </c>
      <c r="I2867" s="1" t="n">
        <v>42412</v>
      </c>
      <c r="J2867" t="inlineStr">
        <is>
          <t>Charlottetown, Prince Edward Island</t>
        </is>
      </c>
      <c r="K2867" t="inlineStr">
        <is>
          <t>Charlottetown (Île-du-Prince-Édouard)</t>
        </is>
      </c>
      <c r="P2867" t="n">
        <v>0</v>
      </c>
      <c r="Q2867" t="n">
        <v>0</v>
      </c>
      <c r="R2867" t="n">
        <v>0</v>
      </c>
      <c r="S2867" t="n">
        <v>0</v>
      </c>
      <c r="T2867" t="n">
        <v>56.72</v>
      </c>
      <c r="U2867" t="n">
        <v>56.72</v>
      </c>
      <c r="X2867" t="inlineStr">
        <is>
          <t>acoa-apeca</t>
        </is>
      </c>
      <c r="Y2867" t="inlineStr">
        <is>
          <t>Atlantic Canada Opportunities Agency | Agence de promotion économique du Canada atlantique</t>
        </is>
      </c>
      <c r="Z2867" t="n">
        <v>1</v>
      </c>
      <c r="AA2867" t="n">
        <v>56.72</v>
      </c>
      <c r="AB2867">
        <f>ROUND(U2867-AA2867,2)</f>
        <v/>
      </c>
      <c r="AC2867" t="b">
        <v>0</v>
      </c>
      <c r="AD2867">
        <f>IF(U2867="","MISSING_TOTAL",IF(ABS(AB2867)&lt;=0.01,"OK","CHECK"))</f>
        <v/>
      </c>
      <c r="AE2867">
        <f>IF(U2867="","MISSING",IF(AND(AA2867&gt;0,U2867/AA2867&gt;50),"POSSIBLE_SCALE_ERROR","OK"))</f>
        <v/>
      </c>
    </row>
    <row r="2868">
      <c r="A2868" t="inlineStr">
        <is>
          <t>T-2016-Q4-00035</t>
        </is>
      </c>
      <c r="B2868" t="inlineStr">
        <is>
          <t>SLE</t>
        </is>
      </c>
      <c r="C2868" t="inlineStr">
        <is>
          <t>Vice-President, Prince Edward Island</t>
        </is>
      </c>
      <c r="D2868" t="inlineStr">
        <is>
          <t>Vice-président, Île-du-Prince-Édouard</t>
        </is>
      </c>
      <c r="E2868" t="inlineStr">
        <is>
          <t>Patrick Dorsey</t>
        </is>
      </c>
      <c r="F2868" t="inlineStr">
        <is>
          <t>Ministerial Maritime Tour</t>
        </is>
      </c>
      <c r="G2868" t="inlineStr">
        <is>
          <t>Tournée ministérielle dans les Maritimes</t>
        </is>
      </c>
      <c r="H2868" s="1" t="n">
        <v>42411</v>
      </c>
      <c r="I2868" s="1" t="n">
        <v>42411</v>
      </c>
      <c r="P2868" t="n">
        <v>0</v>
      </c>
      <c r="Q2868" t="n">
        <v>46</v>
      </c>
      <c r="R2868" t="n">
        <v>0</v>
      </c>
      <c r="S2868" t="n">
        <v>44.4</v>
      </c>
      <c r="T2868" t="n">
        <v>0</v>
      </c>
      <c r="U2868" t="n">
        <v>90.40000000000001</v>
      </c>
      <c r="X2868" t="inlineStr">
        <is>
          <t>acoa-apeca</t>
        </is>
      </c>
      <c r="Y2868" t="inlineStr">
        <is>
          <t>Atlantic Canada Opportunities Agency | Agence de promotion économique du Canada atlantique</t>
        </is>
      </c>
      <c r="Z2868" t="n">
        <v>1</v>
      </c>
      <c r="AA2868" t="n">
        <v>90.40000000000001</v>
      </c>
      <c r="AB2868">
        <f>ROUND(U2868-AA2868,2)</f>
        <v/>
      </c>
      <c r="AC2868" t="b">
        <v>0</v>
      </c>
      <c r="AD2868">
        <f>IF(U2868="","MISSING_TOTAL",IF(ABS(AB2868)&lt;=0.01,"OK","CHECK"))</f>
        <v/>
      </c>
      <c r="AE2868">
        <f>IF(U2868="","MISSING",IF(AND(AA2868&gt;0,U2868/AA2868&gt;50),"POSSIBLE_SCALE_ERROR","OK"))</f>
        <v/>
      </c>
    </row>
    <row r="2869">
      <c r="A2869" t="inlineStr">
        <is>
          <t>T-2016-Q4-00034</t>
        </is>
      </c>
      <c r="B2869" t="inlineStr">
        <is>
          <t>SLE</t>
        </is>
      </c>
      <c r="C2869" t="inlineStr">
        <is>
          <t>Vice-President, New Brunswick</t>
        </is>
      </c>
      <c r="D2869" t="inlineStr">
        <is>
          <t>Vice-président, Nouveau-Brunswick</t>
        </is>
      </c>
      <c r="E2869" t="inlineStr">
        <is>
          <t>Kent Estabrooks</t>
        </is>
      </c>
      <c r="F2869" t="inlineStr">
        <is>
          <t>Various meetings with clients and Agency Officials</t>
        </is>
      </c>
      <c r="G2869" t="inlineStr">
        <is>
          <t>Diverses réunions avec des clients et des fonctionnaires de l'Agence</t>
        </is>
      </c>
      <c r="H2869" s="1" t="n">
        <v>42410</v>
      </c>
      <c r="I2869" s="1" t="n">
        <v>42411</v>
      </c>
      <c r="J2869" t="inlineStr">
        <is>
          <t>Moncton, New Brunswick</t>
        </is>
      </c>
      <c r="K2869" t="inlineStr">
        <is>
          <t>Moncton (Nouveau-Brunswick)</t>
        </is>
      </c>
      <c r="P2869" t="n">
        <v>0</v>
      </c>
      <c r="Q2869" t="n">
        <v>0</v>
      </c>
      <c r="R2869" t="n">
        <v>138.43</v>
      </c>
      <c r="S2869" t="n">
        <v>140.2</v>
      </c>
      <c r="T2869" t="n">
        <v>0</v>
      </c>
      <c r="U2869" t="n">
        <v>278.63</v>
      </c>
      <c r="X2869" t="inlineStr">
        <is>
          <t>acoa-apeca</t>
        </is>
      </c>
      <c r="Y2869" t="inlineStr">
        <is>
          <t>Atlantic Canada Opportunities Agency | Agence de promotion économique du Canada atlantique</t>
        </is>
      </c>
      <c r="Z2869" t="n">
        <v>2</v>
      </c>
      <c r="AA2869" t="n">
        <v>278.63</v>
      </c>
      <c r="AB2869">
        <f>ROUND(U2869-AA2869,2)</f>
        <v/>
      </c>
      <c r="AC2869" t="b">
        <v>0</v>
      </c>
      <c r="AD2869">
        <f>IF(U2869="","MISSING_TOTAL",IF(ABS(AB2869)&lt;=0.01,"OK","CHECK"))</f>
        <v/>
      </c>
      <c r="AE2869">
        <f>IF(U2869="","MISSING",IF(AND(AA2869&gt;0,U2869/AA2869&gt;50),"POSSIBLE_SCALE_ERROR","OK"))</f>
        <v/>
      </c>
    </row>
    <row r="2870">
      <c r="A2870" t="inlineStr">
        <is>
          <t>T-2016-Q4-00033</t>
        </is>
      </c>
      <c r="B2870" t="inlineStr">
        <is>
          <t>SLE</t>
        </is>
      </c>
      <c r="C2870" t="inlineStr">
        <is>
          <t>President</t>
        </is>
      </c>
      <c r="D2870" t="inlineStr">
        <is>
          <t>Président</t>
        </is>
      </c>
      <c r="E2870" t="inlineStr">
        <is>
          <t>Paul J. LeBlanc</t>
        </is>
      </c>
      <c r="F2870" t="inlineStr">
        <is>
          <t>For various meetings and discussions with Agency officials and Government of Canada officials</t>
        </is>
      </c>
      <c r="G2870" t="inlineStr">
        <is>
          <t>Diverses réunions et discussions avec des fonctionnaires de l'Agence et du gouvernement du Canada</t>
        </is>
      </c>
      <c r="H2870" s="1" t="n">
        <v>42409</v>
      </c>
      <c r="I2870" s="1" t="n">
        <v>42410</v>
      </c>
      <c r="J2870" t="inlineStr">
        <is>
          <t>Fredericton, New Brunswick</t>
        </is>
      </c>
      <c r="K2870" t="inlineStr">
        <is>
          <t>Fredericton (Nouveau-Brunswick)</t>
        </is>
      </c>
      <c r="P2870" t="n">
        <v>0</v>
      </c>
      <c r="Q2870" t="n">
        <v>0</v>
      </c>
      <c r="R2870" t="n">
        <v>137.86</v>
      </c>
      <c r="S2870" t="n">
        <v>139.95</v>
      </c>
      <c r="T2870" t="n">
        <v>11.3</v>
      </c>
      <c r="U2870" t="n">
        <v>289.11</v>
      </c>
      <c r="X2870" t="inlineStr">
        <is>
          <t>acoa-apeca</t>
        </is>
      </c>
      <c r="Y2870" t="inlineStr">
        <is>
          <t>Atlantic Canada Opportunities Agency | Agence de promotion économique du Canada atlantique</t>
        </is>
      </c>
      <c r="Z2870" t="n">
        <v>2</v>
      </c>
      <c r="AA2870" t="n">
        <v>289.11</v>
      </c>
      <c r="AB2870">
        <f>ROUND(U2870-AA2870,2)</f>
        <v/>
      </c>
      <c r="AC2870" t="b">
        <v>0</v>
      </c>
      <c r="AD2870">
        <f>IF(U2870="","MISSING_TOTAL",IF(ABS(AB2870)&lt;=0.01,"OK","CHECK"))</f>
        <v/>
      </c>
      <c r="AE2870">
        <f>IF(U2870="","MISSING",IF(AND(AA2870&gt;0,U2870/AA2870&gt;50),"POSSIBLE_SCALE_ERROR","OK"))</f>
        <v/>
      </c>
    </row>
    <row r="2871">
      <c r="A2871" t="inlineStr">
        <is>
          <t>T-2016-Q4-00032</t>
        </is>
      </c>
      <c r="B2871" t="inlineStr">
        <is>
          <t>SLE</t>
        </is>
      </c>
      <c r="C2871" t="inlineStr">
        <is>
          <t>Vice-President, Newfoundland and Labrador</t>
        </is>
      </c>
      <c r="D2871" t="inlineStr">
        <is>
          <t>Vice-président, Terre-Neuve-et-Labrador</t>
        </is>
      </c>
      <c r="E2871" t="inlineStr">
        <is>
          <t>Ken Martin</t>
        </is>
      </c>
      <c r="F2871" t="inlineStr">
        <is>
          <t>Attend meetings in Ottawa with Assistant Deputy Ministers</t>
        </is>
      </c>
      <c r="G2871" t="inlineStr">
        <is>
          <t>Assister à des réunions à Ottawa avec des sous-ministres adjoints</t>
        </is>
      </c>
      <c r="H2871" s="1" t="n">
        <v>42407</v>
      </c>
      <c r="I2871" s="1" t="n">
        <v>42409</v>
      </c>
      <c r="J2871" t="inlineStr">
        <is>
          <t>Ottawa, Ontario</t>
        </is>
      </c>
      <c r="K2871" t="inlineStr">
        <is>
          <t>Ottawa (Ontario)</t>
        </is>
      </c>
      <c r="P2871" t="n">
        <v>1013.73</v>
      </c>
      <c r="Q2871" t="n">
        <v>111.42</v>
      </c>
      <c r="R2871" t="n">
        <v>393.4</v>
      </c>
      <c r="S2871" t="n">
        <v>235</v>
      </c>
      <c r="T2871" t="n">
        <v>0</v>
      </c>
      <c r="U2871" t="n">
        <v>1753.55</v>
      </c>
      <c r="X2871" t="inlineStr">
        <is>
          <t>acoa-apeca</t>
        </is>
      </c>
      <c r="Y2871" t="inlineStr">
        <is>
          <t>Atlantic Canada Opportunities Agency | Agence de promotion économique du Canada atlantique</t>
        </is>
      </c>
      <c r="Z2871" t="n">
        <v>3</v>
      </c>
      <c r="AA2871" t="n">
        <v>1753.55</v>
      </c>
      <c r="AB2871">
        <f>ROUND(U2871-AA2871,2)</f>
        <v/>
      </c>
      <c r="AC2871" t="b">
        <v>0</v>
      </c>
      <c r="AD2871">
        <f>IF(U2871="","MISSING_TOTAL",IF(ABS(AB2871)&lt;=0.01,"OK","CHECK"))</f>
        <v/>
      </c>
      <c r="AE2871">
        <f>IF(U2871="","MISSING",IF(AND(AA2871&gt;0,U2871/AA2871&gt;50),"POSSIBLE_SCALE_ERROR","OK"))</f>
        <v/>
      </c>
    </row>
    <row r="2872">
      <c r="A2872" t="inlineStr">
        <is>
          <t>T-2015-Q1-00031</t>
        </is>
      </c>
      <c r="B2872" t="inlineStr">
        <is>
          <t>MPSES</t>
        </is>
      </c>
      <c r="C2872" t="inlineStr">
        <is>
          <t>Chief of Staff</t>
        </is>
      </c>
      <c r="D2872" t="inlineStr">
        <is>
          <t>Chef de cabinet</t>
        </is>
      </c>
      <c r="E2872" t="inlineStr">
        <is>
          <t>Shane Bourke</t>
        </is>
      </c>
      <c r="F2872" t="inlineStr">
        <is>
          <t>Travel on government business</t>
        </is>
      </c>
      <c r="G2872" t="inlineStr">
        <is>
          <t>Voyage en service commandé</t>
        </is>
      </c>
      <c r="H2872" s="1" t="n">
        <v>41752</v>
      </c>
      <c r="I2872" s="1" t="n">
        <v>41753</v>
      </c>
      <c r="J2872" t="inlineStr">
        <is>
          <t>Moncton, New Brunswick</t>
        </is>
      </c>
      <c r="K2872" t="inlineStr">
        <is>
          <t>Moncton (Nouveau-Brunswick)</t>
        </is>
      </c>
      <c r="P2872" t="n">
        <v>725.5599999999999</v>
      </c>
      <c r="Q2872" t="n">
        <v>51.3</v>
      </c>
      <c r="R2872" t="n">
        <v>113</v>
      </c>
      <c r="S2872" t="n">
        <v>0</v>
      </c>
      <c r="T2872" t="n">
        <v>0</v>
      </c>
      <c r="U2872" t="n">
        <v>889.86</v>
      </c>
      <c r="X2872" t="inlineStr">
        <is>
          <t>acoa-apeca</t>
        </is>
      </c>
      <c r="Y2872" t="inlineStr">
        <is>
          <t>Atlantic Canada Opportunities Agency | Agence de promotion économique du Canada atlantique</t>
        </is>
      </c>
      <c r="Z2872" t="n">
        <v>2</v>
      </c>
      <c r="AA2872" t="n">
        <v>889.859999999999</v>
      </c>
      <c r="AB2872">
        <f>ROUND(U2872-AA2872,2)</f>
        <v/>
      </c>
      <c r="AC2872" t="b">
        <v>0</v>
      </c>
      <c r="AD2872">
        <f>IF(U2872="","MISSING_TOTAL",IF(ABS(AB2872)&lt;=0.01,"OK","CHECK"))</f>
        <v/>
      </c>
      <c r="AE2872">
        <f>IF(U2872="","MISSING",IF(AND(AA2872&gt;0,U2872/AA2872&gt;50),"POSSIBLE_SCALE_ERROR","OK"))</f>
        <v/>
      </c>
    </row>
    <row r="2873">
      <c r="A2873" t="inlineStr">
        <is>
          <t>T-2016-Q4-00030</t>
        </is>
      </c>
      <c r="B2873" t="inlineStr">
        <is>
          <t>SLE</t>
        </is>
      </c>
      <c r="C2873" t="inlineStr">
        <is>
          <t>Vice-President, New Brunswick</t>
        </is>
      </c>
      <c r="D2873" t="inlineStr">
        <is>
          <t>Vice-président, Nouveau-Brunswick</t>
        </is>
      </c>
      <c r="E2873" t="inlineStr">
        <is>
          <t>Kent Estabrooks</t>
        </is>
      </c>
      <c r="F2873" t="inlineStr">
        <is>
          <t>Various meetings with Clients and Agency Officials</t>
        </is>
      </c>
      <c r="G2873" t="inlineStr">
        <is>
          <t>Diverses réunions avec des clients et des fonctionnaires de l'Agence</t>
        </is>
      </c>
      <c r="H2873" s="1" t="n">
        <v>42396</v>
      </c>
      <c r="I2873" s="1" t="n">
        <v>42397</v>
      </c>
      <c r="J2873" t="inlineStr">
        <is>
          <t>Moncton, New Brunswick</t>
        </is>
      </c>
      <c r="K2873" t="inlineStr">
        <is>
          <t>Moncton (Nouveau-Brunswick)</t>
        </is>
      </c>
      <c r="P2873" t="n">
        <v>0</v>
      </c>
      <c r="Q2873" t="n">
        <v>0</v>
      </c>
      <c r="R2873" t="n">
        <v>128.26</v>
      </c>
      <c r="S2873" t="n">
        <v>95.8</v>
      </c>
      <c r="T2873" t="n">
        <v>0</v>
      </c>
      <c r="U2873" t="n">
        <v>224.06</v>
      </c>
      <c r="X2873" t="inlineStr">
        <is>
          <t>acoa-apeca</t>
        </is>
      </c>
      <c r="Y2873" t="inlineStr">
        <is>
          <t>Atlantic Canada Opportunities Agency | Agence de promotion économique du Canada atlantique</t>
        </is>
      </c>
      <c r="Z2873" t="n">
        <v>2</v>
      </c>
      <c r="AA2873" t="n">
        <v>224.06</v>
      </c>
      <c r="AB2873">
        <f>ROUND(U2873-AA2873,2)</f>
        <v/>
      </c>
      <c r="AC2873" t="b">
        <v>0</v>
      </c>
      <c r="AD2873">
        <f>IF(U2873="","MISSING_TOTAL",IF(ABS(AB2873)&lt;=0.01,"OK","CHECK"))</f>
        <v/>
      </c>
      <c r="AE2873">
        <f>IF(U2873="","MISSING",IF(AND(AA2873&gt;0,U2873/AA2873&gt;50),"POSSIBLE_SCALE_ERROR","OK"))</f>
        <v/>
      </c>
    </row>
    <row r="2874">
      <c r="A2874" t="inlineStr">
        <is>
          <t>T-2016-Q3-00055</t>
        </is>
      </c>
      <c r="B2874" t="inlineStr">
        <is>
          <t>SLE</t>
        </is>
      </c>
      <c r="C2874" t="inlineStr">
        <is>
          <t>President</t>
        </is>
      </c>
      <c r="D2874" t="inlineStr">
        <is>
          <t>Président</t>
        </is>
      </c>
      <c r="E2874" t="inlineStr">
        <is>
          <t>Paul J. LeBlanc</t>
        </is>
      </c>
      <c r="F2874" t="inlineStr">
        <is>
          <t>For a meeting with Government of Canada officials</t>
        </is>
      </c>
      <c r="G2874" t="inlineStr">
        <is>
          <t>Réunion avec des fonctionnaires du gouvernement du Canada</t>
        </is>
      </c>
      <c r="H2874" s="1" t="n">
        <v>42332</v>
      </c>
      <c r="I2874" s="1" t="n">
        <v>42333</v>
      </c>
      <c r="J2874" t="inlineStr">
        <is>
          <t>Ottawa, Ontario</t>
        </is>
      </c>
      <c r="K2874" t="inlineStr">
        <is>
          <t>Ottawa (Ontario)</t>
        </is>
      </c>
      <c r="P2874" t="n">
        <v>639.58</v>
      </c>
      <c r="Q2874" t="n">
        <v>49</v>
      </c>
      <c r="R2874" t="n">
        <v>196.7</v>
      </c>
      <c r="S2874" t="n">
        <v>95.8</v>
      </c>
      <c r="T2874" t="n">
        <v>0</v>
      </c>
      <c r="U2874" t="n">
        <v>981.08</v>
      </c>
      <c r="X2874" t="inlineStr">
        <is>
          <t>acoa-apeca</t>
        </is>
      </c>
      <c r="Y2874" t="inlineStr">
        <is>
          <t>Atlantic Canada Opportunities Agency | Agence de promotion économique du Canada atlantique</t>
        </is>
      </c>
      <c r="Z2874" t="n">
        <v>2</v>
      </c>
      <c r="AA2874" t="n">
        <v>981.079999999999</v>
      </c>
      <c r="AB2874">
        <f>ROUND(U2874-AA2874,2)</f>
        <v/>
      </c>
      <c r="AC2874" t="b">
        <v>0</v>
      </c>
      <c r="AD2874">
        <f>IF(U2874="","MISSING_TOTAL",IF(ABS(AB2874)&lt;=0.01,"OK","CHECK"))</f>
        <v/>
      </c>
      <c r="AE2874">
        <f>IF(U2874="","MISSING",IF(AND(AA2874&gt;0,U2874/AA2874&gt;50),"POSSIBLE_SCALE_ERROR","OK"))</f>
        <v/>
      </c>
    </row>
    <row r="2875">
      <c r="A2875" t="inlineStr">
        <is>
          <t>T-2016-Q4-00029</t>
        </is>
      </c>
      <c r="B2875" t="inlineStr">
        <is>
          <t>SLE</t>
        </is>
      </c>
      <c r="C2875" t="inlineStr">
        <is>
          <t>Vice President, Nova Scotia</t>
        </is>
      </c>
      <c r="D2875" t="inlineStr">
        <is>
          <t>Vice-président, Nouvelle-Écosse</t>
        </is>
      </c>
      <c r="E2875" t="inlineStr">
        <is>
          <t>Peter Hogan</t>
        </is>
      </c>
      <c r="F2875" t="inlineStr">
        <is>
          <t>Meeting with Senior Agency Officials</t>
        </is>
      </c>
      <c r="G2875" t="inlineStr">
        <is>
          <t>Réunion avec des hauts fonctionnaires de l'Agence</t>
        </is>
      </c>
      <c r="H2875" s="1" t="n">
        <v>42396</v>
      </c>
      <c r="I2875" s="1" t="n">
        <v>42397</v>
      </c>
      <c r="J2875" t="inlineStr">
        <is>
          <t>Moncton, New Brunswick</t>
        </is>
      </c>
      <c r="K2875" t="inlineStr">
        <is>
          <t>Moncton (Nouveau-Brunswick)</t>
        </is>
      </c>
      <c r="P2875" t="n">
        <v>0</v>
      </c>
      <c r="Q2875" t="n">
        <v>45</v>
      </c>
      <c r="R2875" t="n">
        <v>113</v>
      </c>
      <c r="S2875" t="n">
        <v>139.95</v>
      </c>
      <c r="T2875" t="n">
        <v>0</v>
      </c>
      <c r="U2875" t="n">
        <v>297.95</v>
      </c>
      <c r="X2875" t="inlineStr">
        <is>
          <t>acoa-apeca</t>
        </is>
      </c>
      <c r="Y2875" t="inlineStr">
        <is>
          <t>Atlantic Canada Opportunities Agency | Agence de promotion économique du Canada atlantique</t>
        </is>
      </c>
      <c r="Z2875" t="n">
        <v>2</v>
      </c>
      <c r="AA2875" t="n">
        <v>297.95</v>
      </c>
      <c r="AB2875">
        <f>ROUND(U2875-AA2875,2)</f>
        <v/>
      </c>
      <c r="AC2875" t="b">
        <v>0</v>
      </c>
      <c r="AD2875">
        <f>IF(U2875="","MISSING_TOTAL",IF(ABS(AB2875)&lt;=0.01,"OK","CHECK"))</f>
        <v/>
      </c>
      <c r="AE2875">
        <f>IF(U2875="","MISSING",IF(AND(AA2875&gt;0,U2875/AA2875&gt;50),"POSSIBLE_SCALE_ERROR","OK"))</f>
        <v/>
      </c>
    </row>
    <row r="2876">
      <c r="A2876" t="inlineStr">
        <is>
          <t>T-2016-Q4-00027</t>
        </is>
      </c>
      <c r="B2876" t="inlineStr">
        <is>
          <t>SLE</t>
        </is>
      </c>
      <c r="C2876" t="inlineStr">
        <is>
          <t>Vice-President, Prince Edward Island</t>
        </is>
      </c>
      <c r="D2876" t="inlineStr">
        <is>
          <t>Vice-président, Île-du-Prince-Édouard</t>
        </is>
      </c>
      <c r="E2876" t="inlineStr">
        <is>
          <t>Patrick Dorsey</t>
        </is>
      </c>
      <c r="F2876" t="inlineStr">
        <is>
          <t>Executive Committee Meeting</t>
        </is>
      </c>
      <c r="G2876" t="inlineStr">
        <is>
          <t>Réunion du Comité de direction</t>
        </is>
      </c>
      <c r="H2876" s="1" t="n">
        <v>42396</v>
      </c>
      <c r="I2876" s="1" t="n">
        <v>42397</v>
      </c>
      <c r="J2876" t="inlineStr">
        <is>
          <t>Moncton, New Brunswick</t>
        </is>
      </c>
      <c r="K2876" t="inlineStr">
        <is>
          <t>Moncton (Nouveau-Brunswick)</t>
        </is>
      </c>
      <c r="P2876" t="n">
        <v>0</v>
      </c>
      <c r="Q2876" t="n">
        <v>46</v>
      </c>
      <c r="R2876" t="n">
        <v>128.26</v>
      </c>
      <c r="S2876" t="n">
        <v>123.4</v>
      </c>
      <c r="T2876" t="n">
        <v>0</v>
      </c>
      <c r="U2876" t="n">
        <v>297.66</v>
      </c>
      <c r="X2876" t="inlineStr">
        <is>
          <t>acoa-apeca</t>
        </is>
      </c>
      <c r="Y2876" t="inlineStr">
        <is>
          <t>Atlantic Canada Opportunities Agency | Agence de promotion économique du Canada atlantique</t>
        </is>
      </c>
      <c r="Z2876" t="n">
        <v>2</v>
      </c>
      <c r="AA2876" t="n">
        <v>297.659999999999</v>
      </c>
      <c r="AB2876">
        <f>ROUND(U2876-AA2876,2)</f>
        <v/>
      </c>
      <c r="AC2876" t="b">
        <v>0</v>
      </c>
      <c r="AD2876">
        <f>IF(U2876="","MISSING_TOTAL",IF(ABS(AB2876)&lt;=0.01,"OK","CHECK"))</f>
        <v/>
      </c>
      <c r="AE2876">
        <f>IF(U2876="","MISSING",IF(AND(AA2876&gt;0,U2876/AA2876&gt;50),"POSSIBLE_SCALE_ERROR","OK"))</f>
        <v/>
      </c>
    </row>
    <row r="2877">
      <c r="A2877" t="inlineStr">
        <is>
          <t>T-2016-Q4-00026</t>
        </is>
      </c>
      <c r="B2877" t="inlineStr">
        <is>
          <t>SLE</t>
        </is>
      </c>
      <c r="C2877" t="inlineStr">
        <is>
          <t>Vice-President, Newfoundland and Labrador</t>
        </is>
      </c>
      <c r="D2877" t="inlineStr">
        <is>
          <t>Vice-président, Terre-Neuve-et-Labrador</t>
        </is>
      </c>
      <c r="E2877" t="inlineStr">
        <is>
          <t>Ken Martin</t>
        </is>
      </c>
      <c r="F2877" t="inlineStr">
        <is>
          <t>Meetings with Senior Officials/Executive  Committee Meeting</t>
        </is>
      </c>
      <c r="G2877" t="inlineStr">
        <is>
          <t>Réunions avec des hauts fonctionnaires et réunion du Comité de direction</t>
        </is>
      </c>
      <c r="H2877" s="1" t="n">
        <v>42395</v>
      </c>
      <c r="I2877" s="1" t="n">
        <v>42397</v>
      </c>
      <c r="J2877" t="inlineStr">
        <is>
          <t>Ottawa, Ontario/Moncton, New Brunswick</t>
        </is>
      </c>
      <c r="K2877" t="inlineStr">
        <is>
          <t>Ottawa (Ontario) et Moncton (Nouveau-Brunswick)</t>
        </is>
      </c>
      <c r="P2877" t="n">
        <v>1478.68</v>
      </c>
      <c r="Q2877" t="n">
        <v>82.29000000000001</v>
      </c>
      <c r="R2877" t="n">
        <v>295.73</v>
      </c>
      <c r="S2877" t="n">
        <v>235</v>
      </c>
      <c r="T2877" t="n">
        <v>0</v>
      </c>
      <c r="U2877" t="n">
        <v>2091.7</v>
      </c>
      <c r="X2877" t="inlineStr">
        <is>
          <t>acoa-apeca</t>
        </is>
      </c>
      <c r="Y2877" t="inlineStr">
        <is>
          <t>Atlantic Canada Opportunities Agency | Agence de promotion économique du Canada atlantique</t>
        </is>
      </c>
      <c r="Z2877" t="n">
        <v>3</v>
      </c>
      <c r="AA2877" t="n">
        <v>2091.7</v>
      </c>
      <c r="AB2877">
        <f>ROUND(U2877-AA2877,2)</f>
        <v/>
      </c>
      <c r="AC2877" t="b">
        <v>0</v>
      </c>
      <c r="AD2877">
        <f>IF(U2877="","MISSING_TOTAL",IF(ABS(AB2877)&lt;=0.01,"OK","CHECK"))</f>
        <v/>
      </c>
      <c r="AE2877">
        <f>IF(U2877="","MISSING",IF(AND(AA2877&gt;0,U2877/AA2877&gt;50),"POSSIBLE_SCALE_ERROR","OK"))</f>
        <v/>
      </c>
    </row>
    <row r="2878">
      <c r="A2878" t="inlineStr">
        <is>
          <t>T-2016-Q4-00025</t>
        </is>
      </c>
      <c r="B2878" t="inlineStr">
        <is>
          <t>SLE</t>
        </is>
      </c>
      <c r="C2878" t="inlineStr">
        <is>
          <t>President</t>
        </is>
      </c>
      <c r="D2878" t="inlineStr">
        <is>
          <t>Président</t>
        </is>
      </c>
      <c r="E2878" t="inlineStr">
        <is>
          <t>Paul J. LeBlanc</t>
        </is>
      </c>
      <c r="F2878" t="inlineStr">
        <is>
          <t>For a meeting with Government of Canada officials</t>
        </is>
      </c>
      <c r="G2878" t="inlineStr">
        <is>
          <t>Réunion avec des fonctionnaires du gouvernement du Canada</t>
        </is>
      </c>
      <c r="H2878" s="1" t="n">
        <v>42395</v>
      </c>
      <c r="I2878" s="1" t="n">
        <v>42396</v>
      </c>
      <c r="J2878" t="inlineStr">
        <is>
          <t>Ottawa, Ontario</t>
        </is>
      </c>
      <c r="K2878" t="inlineStr">
        <is>
          <t>Ottawa (Ontario)</t>
        </is>
      </c>
      <c r="P2878" t="n">
        <v>644.1</v>
      </c>
      <c r="Q2878" t="n">
        <v>0</v>
      </c>
      <c r="R2878" t="n">
        <v>231.62</v>
      </c>
      <c r="S2878" t="n">
        <v>95.8</v>
      </c>
      <c r="T2878" t="n">
        <v>0</v>
      </c>
      <c r="U2878" t="n">
        <v>971.52</v>
      </c>
      <c r="X2878" t="inlineStr">
        <is>
          <t>acoa-apeca</t>
        </is>
      </c>
      <c r="Y2878" t="inlineStr">
        <is>
          <t>Atlantic Canada Opportunities Agency | Agence de promotion économique du Canada atlantique</t>
        </is>
      </c>
      <c r="Z2878" t="n">
        <v>2</v>
      </c>
      <c r="AA2878" t="n">
        <v>971.52</v>
      </c>
      <c r="AB2878">
        <f>ROUND(U2878-AA2878,2)</f>
        <v/>
      </c>
      <c r="AC2878" t="b">
        <v>0</v>
      </c>
      <c r="AD2878">
        <f>IF(U2878="","MISSING_TOTAL",IF(ABS(AB2878)&lt;=0.01,"OK","CHECK"))</f>
        <v/>
      </c>
      <c r="AE2878">
        <f>IF(U2878="","MISSING",IF(AND(AA2878&gt;0,U2878/AA2878&gt;50),"POSSIBLE_SCALE_ERROR","OK"))</f>
        <v/>
      </c>
    </row>
    <row r="2879">
      <c r="A2879" t="inlineStr">
        <is>
          <t>T-2016-Q4-00024</t>
        </is>
      </c>
      <c r="B2879" t="inlineStr">
        <is>
          <t>SLE</t>
        </is>
      </c>
      <c r="C2879" t="inlineStr">
        <is>
          <t>Vice-President, Finance and Corporate Services</t>
        </is>
      </c>
      <c r="D2879" t="inlineStr">
        <is>
          <t>Vice-présidente, Finances et Services corporatifs</t>
        </is>
      </c>
      <c r="E2879" t="inlineStr">
        <is>
          <t>Denise Frenette</t>
        </is>
      </c>
      <c r="F2879" t="inlineStr">
        <is>
          <t>For various meetings and sessions with various Government of Canada officials</t>
        </is>
      </c>
      <c r="G2879" t="inlineStr">
        <is>
          <t>Diverses réunions et séances avec divers fonctionnaires du gouvernement du Canada</t>
        </is>
      </c>
      <c r="H2879" s="1" t="n">
        <v>42394</v>
      </c>
      <c r="I2879" s="1" t="n">
        <v>42396</v>
      </c>
      <c r="J2879" t="inlineStr">
        <is>
          <t>Ottawa, Ontario</t>
        </is>
      </c>
      <c r="K2879" t="inlineStr">
        <is>
          <t>Ottawa (Ontario)</t>
        </is>
      </c>
      <c r="P2879" t="n">
        <v>890.8</v>
      </c>
      <c r="Q2879" t="n">
        <v>119.18</v>
      </c>
      <c r="R2879" t="n">
        <v>332.67</v>
      </c>
      <c r="S2879" t="n">
        <v>240.75</v>
      </c>
      <c r="T2879" t="n">
        <v>44.01</v>
      </c>
      <c r="U2879" t="n">
        <v>1627.41</v>
      </c>
      <c r="X2879" t="inlineStr">
        <is>
          <t>acoa-apeca</t>
        </is>
      </c>
      <c r="Y2879" t="inlineStr">
        <is>
          <t>Atlantic Canada Opportunities Agency | Agence de promotion économique du Canada atlantique</t>
        </is>
      </c>
      <c r="Z2879" t="n">
        <v>3</v>
      </c>
      <c r="AA2879" t="n">
        <v>1627.41</v>
      </c>
      <c r="AB2879">
        <f>ROUND(U2879-AA2879,2)</f>
        <v/>
      </c>
      <c r="AC2879" t="b">
        <v>0</v>
      </c>
      <c r="AD2879">
        <f>IF(U2879="","MISSING_TOTAL",IF(ABS(AB2879)&lt;=0.01,"OK","CHECK"))</f>
        <v/>
      </c>
      <c r="AE2879">
        <f>IF(U2879="","MISSING",IF(AND(AA2879&gt;0,U2879/AA2879&gt;50),"POSSIBLE_SCALE_ERROR","OK"))</f>
        <v/>
      </c>
    </row>
    <row r="2880">
      <c r="A2880" t="inlineStr">
        <is>
          <t>T-2016-Q4-00023</t>
        </is>
      </c>
      <c r="B2880" t="inlineStr">
        <is>
          <t>SLE</t>
        </is>
      </c>
      <c r="C2880" t="inlineStr">
        <is>
          <t>Vice-President, Policy and Programs</t>
        </is>
      </c>
      <c r="D2880" t="inlineStr">
        <is>
          <t>Vice-président, Politiques et Programmes</t>
        </is>
      </c>
      <c r="E2880" t="inlineStr">
        <is>
          <t>Daryell Nowlan</t>
        </is>
      </c>
      <c r="F2880" t="inlineStr">
        <is>
          <t>Meetings with Government of Canada officials</t>
        </is>
      </c>
      <c r="G2880" t="inlineStr">
        <is>
          <t>Réunions avec des fonctionnaires du gouvernement du Canada</t>
        </is>
      </c>
      <c r="H2880" s="1" t="n">
        <v>42394</v>
      </c>
      <c r="I2880" s="1" t="n">
        <v>42396</v>
      </c>
      <c r="J2880" t="inlineStr">
        <is>
          <t>Montreal, Quebec</t>
        </is>
      </c>
      <c r="K2880" t="inlineStr">
        <is>
          <t>Montréal (Québec)</t>
        </is>
      </c>
      <c r="P2880" t="n">
        <v>639.58</v>
      </c>
      <c r="Q2880" t="n">
        <v>137</v>
      </c>
      <c r="R2880" t="n">
        <v>316.54</v>
      </c>
      <c r="S2880" t="n">
        <v>174.3</v>
      </c>
      <c r="T2880" t="n">
        <v>0</v>
      </c>
      <c r="U2880" t="n">
        <v>1267.42</v>
      </c>
      <c r="X2880" t="inlineStr">
        <is>
          <t>acoa-apeca</t>
        </is>
      </c>
      <c r="Y2880" t="inlineStr">
        <is>
          <t>Atlantic Canada Opportunities Agency | Agence de promotion économique du Canada atlantique</t>
        </is>
      </c>
      <c r="Z2880" t="n">
        <v>3</v>
      </c>
      <c r="AA2880" t="n">
        <v>1267.42</v>
      </c>
      <c r="AB2880">
        <f>ROUND(U2880-AA2880,2)</f>
        <v/>
      </c>
      <c r="AC2880" t="b">
        <v>0</v>
      </c>
      <c r="AD2880">
        <f>IF(U2880="","MISSING_TOTAL",IF(ABS(AB2880)&lt;=0.01,"OK","CHECK"))</f>
        <v/>
      </c>
      <c r="AE2880">
        <f>IF(U2880="","MISSING",IF(AND(AA2880&gt;0,U2880/AA2880&gt;50),"POSSIBLE_SCALE_ERROR","OK"))</f>
        <v/>
      </c>
    </row>
    <row r="2881">
      <c r="A2881" t="inlineStr">
        <is>
          <t>T-2016-Q3-00031</t>
        </is>
      </c>
      <c r="B2881" t="inlineStr">
        <is>
          <t>SLE</t>
        </is>
      </c>
      <c r="C2881" t="inlineStr">
        <is>
          <t>Vice-President, New Brunswick</t>
        </is>
      </c>
      <c r="D2881" t="inlineStr">
        <is>
          <t>Vice-président, Nouveau-Brunswick</t>
        </is>
      </c>
      <c r="E2881" t="inlineStr">
        <is>
          <t>Kent Estabrooks</t>
        </is>
      </c>
      <c r="F2881" t="inlineStr">
        <is>
          <t>Meeting with Agency officials</t>
        </is>
      </c>
      <c r="G2881" t="inlineStr">
        <is>
          <t>Réunion avec des fonctionnaires de l'Agence</t>
        </is>
      </c>
      <c r="H2881" s="1" t="n">
        <v>42292</v>
      </c>
      <c r="I2881" s="1" t="n">
        <v>42293</v>
      </c>
      <c r="J2881" t="inlineStr">
        <is>
          <t>Moncton, New Brunswick</t>
        </is>
      </c>
      <c r="K2881" t="inlineStr">
        <is>
          <t>Moncton (Nouveau-Brunswick)</t>
        </is>
      </c>
      <c r="P2881" t="n">
        <v>0</v>
      </c>
      <c r="Q2881" t="n">
        <v>0</v>
      </c>
      <c r="R2881" t="n">
        <v>138.43</v>
      </c>
      <c r="S2881" t="n">
        <v>51.4</v>
      </c>
      <c r="T2881" t="n">
        <v>0</v>
      </c>
      <c r="U2881" t="n">
        <v>189.83</v>
      </c>
      <c r="X2881" t="inlineStr">
        <is>
          <t>acoa-apeca</t>
        </is>
      </c>
      <c r="Y2881" t="inlineStr">
        <is>
          <t>Atlantic Canada Opportunities Agency | Agence de promotion économique du Canada atlantique</t>
        </is>
      </c>
      <c r="Z2881" t="n">
        <v>2</v>
      </c>
      <c r="AA2881" t="n">
        <v>189.83</v>
      </c>
      <c r="AB2881">
        <f>ROUND(U2881-AA2881,2)</f>
        <v/>
      </c>
      <c r="AC2881" t="b">
        <v>0</v>
      </c>
      <c r="AD2881">
        <f>IF(U2881="","MISSING_TOTAL",IF(ABS(AB2881)&lt;=0.01,"OK","CHECK"))</f>
        <v/>
      </c>
      <c r="AE2881">
        <f>IF(U2881="","MISSING",IF(AND(AA2881&gt;0,U2881/AA2881&gt;50),"POSSIBLE_SCALE_ERROR","OK"))</f>
        <v/>
      </c>
    </row>
    <row r="2882">
      <c r="A2882" t="inlineStr">
        <is>
          <t>T-2016-Q4-00022</t>
        </is>
      </c>
      <c r="B2882" t="inlineStr">
        <is>
          <t>SLE</t>
        </is>
      </c>
      <c r="C2882" t="inlineStr">
        <is>
          <t>Vice President, Nova Scotia</t>
        </is>
      </c>
      <c r="D2882" t="inlineStr">
        <is>
          <t>Vice-président, Nouvelle-Écosse</t>
        </is>
      </c>
      <c r="E2882" t="inlineStr">
        <is>
          <t>Peter Hogan</t>
        </is>
      </c>
      <c r="F2882" t="inlineStr">
        <is>
          <t>Various Meetings with Agency and Government of Canada Officials</t>
        </is>
      </c>
      <c r="G2882" t="inlineStr">
        <is>
          <t>Diverses réunions avec des fonctionnaires de l'Agence et du gouvernement du Canada</t>
        </is>
      </c>
      <c r="H2882" s="1" t="n">
        <v>42390</v>
      </c>
      <c r="I2882" s="1" t="n">
        <v>42390</v>
      </c>
      <c r="J2882" t="inlineStr">
        <is>
          <t>Ottawa, Ontario</t>
        </is>
      </c>
      <c r="K2882" t="inlineStr">
        <is>
          <t>Ottawa (Ontario)</t>
        </is>
      </c>
      <c r="P2882" t="n">
        <v>600.39</v>
      </c>
      <c r="Q2882" t="n">
        <v>93.43000000000001</v>
      </c>
      <c r="R2882" t="n">
        <v>0</v>
      </c>
      <c r="S2882" t="n">
        <v>44.4</v>
      </c>
      <c r="T2882" t="n">
        <v>0</v>
      </c>
      <c r="U2882" t="n">
        <v>738.22</v>
      </c>
      <c r="X2882" t="inlineStr">
        <is>
          <t>acoa-apeca</t>
        </is>
      </c>
      <c r="Y2882" t="inlineStr">
        <is>
          <t>Atlantic Canada Opportunities Agency | Agence de promotion économique du Canada atlantique</t>
        </is>
      </c>
      <c r="Z2882" t="n">
        <v>1</v>
      </c>
      <c r="AA2882" t="n">
        <v>738.219999999999</v>
      </c>
      <c r="AB2882">
        <f>ROUND(U2882-AA2882,2)</f>
        <v/>
      </c>
      <c r="AC2882" t="b">
        <v>0</v>
      </c>
      <c r="AD2882">
        <f>IF(U2882="","MISSING_TOTAL",IF(ABS(AB2882)&lt;=0.01,"OK","CHECK"))</f>
        <v/>
      </c>
      <c r="AE2882">
        <f>IF(U2882="","MISSING",IF(AND(AA2882&gt;0,U2882/AA2882&gt;50),"POSSIBLE_SCALE_ERROR","OK"))</f>
        <v/>
      </c>
    </row>
    <row r="2883">
      <c r="A2883" t="inlineStr">
        <is>
          <t>T-2016-Q4-00019</t>
        </is>
      </c>
      <c r="B2883" t="inlineStr">
        <is>
          <t>SLE</t>
        </is>
      </c>
      <c r="C2883" t="inlineStr">
        <is>
          <t>Vice-President, New Brunswick</t>
        </is>
      </c>
      <c r="D2883" t="inlineStr">
        <is>
          <t>Vice-président, Nouveau-Brunswick</t>
        </is>
      </c>
      <c r="E2883" t="inlineStr">
        <is>
          <t>Kent Estabrooks</t>
        </is>
      </c>
      <c r="F2883" t="inlineStr">
        <is>
          <t>Training and Development</t>
        </is>
      </c>
      <c r="G2883" t="inlineStr">
        <is>
          <t>Formation et perfectionnement</t>
        </is>
      </c>
      <c r="H2883" s="1" t="n">
        <v>42384</v>
      </c>
      <c r="I2883" s="1" t="n">
        <v>42387</v>
      </c>
      <c r="J2883" t="inlineStr">
        <is>
          <t>Toronto, Ontario</t>
        </is>
      </c>
      <c r="K2883" t="inlineStr">
        <is>
          <t>Toronto (Ontario)</t>
        </is>
      </c>
      <c r="P2883" t="n">
        <v>644.1</v>
      </c>
      <c r="Q2883" t="n">
        <v>104.04</v>
      </c>
      <c r="R2883" t="n">
        <v>696</v>
      </c>
      <c r="S2883" t="n">
        <v>325.3</v>
      </c>
      <c r="T2883" t="n">
        <v>0</v>
      </c>
      <c r="U2883" t="n">
        <v>1769.44</v>
      </c>
      <c r="X2883" t="inlineStr">
        <is>
          <t>acoa-apeca</t>
        </is>
      </c>
      <c r="Y2883" t="inlineStr">
        <is>
          <t>Atlantic Canada Opportunities Agency | Agence de promotion économique du Canada atlantique</t>
        </is>
      </c>
      <c r="Z2883" t="n">
        <v>4</v>
      </c>
      <c r="AA2883" t="n">
        <v>1769.43999999999</v>
      </c>
      <c r="AB2883">
        <f>ROUND(U2883-AA2883,2)</f>
        <v/>
      </c>
      <c r="AC2883" t="b">
        <v>0</v>
      </c>
      <c r="AD2883">
        <f>IF(U2883="","MISSING_TOTAL",IF(ABS(AB2883)&lt;=0.01,"OK","CHECK"))</f>
        <v/>
      </c>
      <c r="AE2883">
        <f>IF(U2883="","MISSING",IF(AND(AA2883&gt;0,U2883/AA2883&gt;50),"POSSIBLE_SCALE_ERROR","OK"))</f>
        <v/>
      </c>
    </row>
    <row r="2884">
      <c r="A2884" t="inlineStr">
        <is>
          <t>T-2016-Q4-00017</t>
        </is>
      </c>
      <c r="B2884" t="inlineStr">
        <is>
          <t>SLE</t>
        </is>
      </c>
      <c r="C2884" t="inlineStr">
        <is>
          <t>Vice-President, New Brunswick</t>
        </is>
      </c>
      <c r="D2884" t="inlineStr">
        <is>
          <t>Vice-président, Nouveau-Brunswick</t>
        </is>
      </c>
      <c r="E2884" t="inlineStr">
        <is>
          <t>Kent Estabrooks</t>
        </is>
      </c>
      <c r="F2884" t="inlineStr">
        <is>
          <t>Meeting with Agency Officials and Stakeholders</t>
        </is>
      </c>
      <c r="G2884" t="inlineStr">
        <is>
          <t>Réunion avec des fonctionnaires de l'Agence et des intervenants</t>
        </is>
      </c>
      <c r="H2884" s="1" t="n">
        <v>42381</v>
      </c>
      <c r="I2884" s="1" t="n">
        <v>42383</v>
      </c>
      <c r="J2884" t="inlineStr">
        <is>
          <t>Moncton, New Brunswick</t>
        </is>
      </c>
      <c r="K2884" t="inlineStr">
        <is>
          <t>Moncton (Nouveau-Brunswick)</t>
        </is>
      </c>
      <c r="P2884" t="n">
        <v>0</v>
      </c>
      <c r="Q2884" t="n">
        <v>0</v>
      </c>
      <c r="R2884" t="n">
        <v>140.12</v>
      </c>
      <c r="S2884" t="n">
        <v>112.6</v>
      </c>
      <c r="T2884" t="n">
        <v>0</v>
      </c>
      <c r="U2884" t="n">
        <v>252.72</v>
      </c>
      <c r="X2884" t="inlineStr">
        <is>
          <t>acoa-apeca</t>
        </is>
      </c>
      <c r="Y2884" t="inlineStr">
        <is>
          <t>Atlantic Canada Opportunities Agency | Agence de promotion économique du Canada atlantique</t>
        </is>
      </c>
      <c r="Z2884" t="n">
        <v>3</v>
      </c>
      <c r="AA2884" t="n">
        <v>252.72</v>
      </c>
      <c r="AB2884">
        <f>ROUND(U2884-AA2884,2)</f>
        <v/>
      </c>
      <c r="AC2884" t="b">
        <v>0</v>
      </c>
      <c r="AD2884">
        <f>IF(U2884="","MISSING_TOTAL",IF(ABS(AB2884)&lt;=0.01,"OK","CHECK"))</f>
        <v/>
      </c>
      <c r="AE2884">
        <f>IF(U2884="","MISSING",IF(AND(AA2884&gt;0,U2884/AA2884&gt;50),"POSSIBLE_SCALE_ERROR","OK"))</f>
        <v/>
      </c>
    </row>
    <row r="2885">
      <c r="A2885" t="inlineStr">
        <is>
          <t>T-2016-Q4-00015</t>
        </is>
      </c>
      <c r="B2885" t="inlineStr">
        <is>
          <t>SLE</t>
        </is>
      </c>
      <c r="C2885" t="inlineStr">
        <is>
          <t>Vice-President, Newfoundland and Labrador</t>
        </is>
      </c>
      <c r="D2885" t="inlineStr">
        <is>
          <t>Vice-président, Terre-Neuve-et-Labrador</t>
        </is>
      </c>
      <c r="E2885" t="inlineStr">
        <is>
          <t>Ken Martin</t>
        </is>
      </c>
      <c r="F2885" t="inlineStr">
        <is>
          <t>For various meetings and discussions with senior government and private sector officials</t>
        </is>
      </c>
      <c r="G2885" t="inlineStr">
        <is>
          <t>Diverses réunions et discussions avec des hauts fonctionnaires et des représentants du secteur privé</t>
        </is>
      </c>
      <c r="H2885" s="1" t="n">
        <v>42373</v>
      </c>
      <c r="I2885" s="1" t="n">
        <v>42460</v>
      </c>
      <c r="J2885" t="inlineStr">
        <is>
          <t>St. John's, Newfoundland and Labrador</t>
        </is>
      </c>
      <c r="K2885" t="inlineStr">
        <is>
          <t>St. John's (Terre-Neuve-et-Labrador)</t>
        </is>
      </c>
      <c r="P2885" t="n">
        <v>0</v>
      </c>
      <c r="Q2885" t="n">
        <v>37.12</v>
      </c>
      <c r="R2885" t="n">
        <v>0</v>
      </c>
      <c r="S2885" t="n">
        <v>0</v>
      </c>
      <c r="T2885" t="n">
        <v>0</v>
      </c>
      <c r="U2885" t="n">
        <v>37.12</v>
      </c>
      <c r="X2885" t="inlineStr">
        <is>
          <t>acoa-apeca</t>
        </is>
      </c>
      <c r="Y2885" t="inlineStr">
        <is>
          <t>Atlantic Canada Opportunities Agency | Agence de promotion économique du Canada atlantique</t>
        </is>
      </c>
      <c r="Z2885" t="n">
        <v>88</v>
      </c>
      <c r="AA2885" t="n">
        <v>37.12</v>
      </c>
      <c r="AB2885">
        <f>ROUND(U2885-AA2885,2)</f>
        <v/>
      </c>
      <c r="AC2885" t="b">
        <v>0</v>
      </c>
      <c r="AD2885">
        <f>IF(U2885="","MISSING_TOTAL",IF(ABS(AB2885)&lt;=0.01,"OK","CHECK"))</f>
        <v/>
      </c>
      <c r="AE2885">
        <f>IF(U2885="","MISSING",IF(AND(AA2885&gt;0,U2885/AA2885&gt;50),"POSSIBLE_SCALE_ERROR","OK"))</f>
        <v/>
      </c>
    </row>
    <row r="2886">
      <c r="A2886" t="inlineStr">
        <is>
          <t>T-2016-Q4-00014</t>
        </is>
      </c>
      <c r="B2886" t="inlineStr">
        <is>
          <t>SLE</t>
        </is>
      </c>
      <c r="C2886" t="inlineStr">
        <is>
          <t>Vice-President, Prince Edward Island</t>
        </is>
      </c>
      <c r="D2886" t="inlineStr">
        <is>
          <t>Vice-président, Île-du-Prince-Édouard</t>
        </is>
      </c>
      <c r="E2886" t="inlineStr">
        <is>
          <t>Patrick Dorsey</t>
        </is>
      </c>
      <c r="F2886" t="inlineStr">
        <is>
          <t>Business Meetings</t>
        </is>
      </c>
      <c r="G2886" t="inlineStr">
        <is>
          <t>Réunions de travail</t>
        </is>
      </c>
      <c r="H2886" s="1" t="n">
        <v>42359</v>
      </c>
      <c r="I2886" s="1" t="n">
        <v>42360</v>
      </c>
      <c r="J2886" t="inlineStr">
        <is>
          <t>Montreal, Quebec</t>
        </is>
      </c>
      <c r="K2886" t="inlineStr">
        <is>
          <t>Montréal (Québec)</t>
        </is>
      </c>
      <c r="P2886" t="n">
        <v>937.61</v>
      </c>
      <c r="Q2886" t="n">
        <v>202.1</v>
      </c>
      <c r="R2886" t="n">
        <v>148.76</v>
      </c>
      <c r="S2886" t="n">
        <v>156.75</v>
      </c>
      <c r="T2886" t="n">
        <v>0</v>
      </c>
      <c r="U2886" t="n">
        <v>1445.22</v>
      </c>
      <c r="X2886" t="inlineStr">
        <is>
          <t>acoa-apeca</t>
        </is>
      </c>
      <c r="Y2886" t="inlineStr">
        <is>
          <t>Atlantic Canada Opportunities Agency | Agence de promotion économique du Canada atlantique</t>
        </is>
      </c>
      <c r="Z2886" t="n">
        <v>2</v>
      </c>
      <c r="AA2886" t="n">
        <v>1445.22</v>
      </c>
      <c r="AB2886">
        <f>ROUND(U2886-AA2886,2)</f>
        <v/>
      </c>
      <c r="AC2886" t="b">
        <v>0</v>
      </c>
      <c r="AD2886">
        <f>IF(U2886="","MISSING_TOTAL",IF(ABS(AB2886)&lt;=0.01,"OK","CHECK"))</f>
        <v/>
      </c>
      <c r="AE2886">
        <f>IF(U2886="","MISSING",IF(AND(AA2886&gt;0,U2886/AA2886&gt;50),"POSSIBLE_SCALE_ERROR","OK"))</f>
        <v/>
      </c>
    </row>
    <row r="2887">
      <c r="A2887" t="inlineStr">
        <is>
          <t>T-2016-Q4-00013</t>
        </is>
      </c>
      <c r="B2887" t="inlineStr">
        <is>
          <t>SLE</t>
        </is>
      </c>
      <c r="C2887" t="inlineStr">
        <is>
          <t>Vice-President, Policy and Programs</t>
        </is>
      </c>
      <c r="D2887" t="inlineStr">
        <is>
          <t>Vice-président, Politiques et Programmes</t>
        </is>
      </c>
      <c r="E2887" t="inlineStr">
        <is>
          <t>Daryell Nowlan</t>
        </is>
      </c>
      <c r="F2887" t="inlineStr">
        <is>
          <t>Meetings with Government of Canada officials</t>
        </is>
      </c>
      <c r="G2887" t="inlineStr">
        <is>
          <t>Réunions avec des fonctionnaires du gouvernement du Canada</t>
        </is>
      </c>
      <c r="H2887" s="1" t="n">
        <v>42359</v>
      </c>
      <c r="I2887" s="1" t="n">
        <v>42360</v>
      </c>
      <c r="J2887" t="inlineStr">
        <is>
          <t>Ottawa, Ontario</t>
        </is>
      </c>
      <c r="K2887" t="inlineStr">
        <is>
          <t>Ottawa (Ontario)</t>
        </is>
      </c>
      <c r="P2887" t="n">
        <v>644.1</v>
      </c>
      <c r="Q2887" t="n">
        <v>161.33</v>
      </c>
      <c r="R2887" t="n">
        <v>196.7</v>
      </c>
      <c r="S2887" t="n">
        <v>95.8</v>
      </c>
      <c r="T2887" t="n">
        <v>0</v>
      </c>
      <c r="U2887" t="n">
        <v>1097.93</v>
      </c>
      <c r="X2887" t="inlineStr">
        <is>
          <t>acoa-apeca</t>
        </is>
      </c>
      <c r="Y2887" t="inlineStr">
        <is>
          <t>Atlantic Canada Opportunities Agency | Agence de promotion économique du Canada atlantique</t>
        </is>
      </c>
      <c r="Z2887" t="n">
        <v>2</v>
      </c>
      <c r="AA2887" t="n">
        <v>1097.93</v>
      </c>
      <c r="AB2887">
        <f>ROUND(U2887-AA2887,2)</f>
        <v/>
      </c>
      <c r="AC2887" t="b">
        <v>0</v>
      </c>
      <c r="AD2887">
        <f>IF(U2887="","MISSING_TOTAL",IF(ABS(AB2887)&lt;=0.01,"OK","CHECK"))</f>
        <v/>
      </c>
      <c r="AE2887">
        <f>IF(U2887="","MISSING",IF(AND(AA2887&gt;0,U2887/AA2887&gt;50),"POSSIBLE_SCALE_ERROR","OK"))</f>
        <v/>
      </c>
    </row>
    <row r="2888">
      <c r="A2888" t="inlineStr">
        <is>
          <t>T-2016-Q4-00012</t>
        </is>
      </c>
      <c r="B2888" t="inlineStr">
        <is>
          <t>SLE</t>
        </is>
      </c>
      <c r="C2888" t="inlineStr">
        <is>
          <t>Vice President, Nova Scotia</t>
        </is>
      </c>
      <c r="D2888" t="inlineStr">
        <is>
          <t>Vice-président, Nouvelle-Écosse</t>
        </is>
      </c>
      <c r="E2888" t="inlineStr">
        <is>
          <t>Peter Hogan</t>
        </is>
      </c>
      <c r="F2888" t="inlineStr">
        <is>
          <t>Meetings with Agency Officials and Community Outreach Visit</t>
        </is>
      </c>
      <c r="G2888" t="inlineStr">
        <is>
          <t>Réunions avec des fonctionnaires de l'Agence et visite de sensibilisation communautaire</t>
        </is>
      </c>
      <c r="H2888" s="1" t="n">
        <v>42354</v>
      </c>
      <c r="I2888" s="1" t="n">
        <v>42354</v>
      </c>
      <c r="J2888" t="inlineStr">
        <is>
          <t>Antigonish, Nova Scotia</t>
        </is>
      </c>
      <c r="K2888" t="inlineStr">
        <is>
          <t>Antigonish (Nouvelle-Écosse)</t>
        </is>
      </c>
      <c r="P2888" t="n">
        <v>0</v>
      </c>
      <c r="Q2888" t="n">
        <v>0</v>
      </c>
      <c r="R2888" t="n">
        <v>0</v>
      </c>
      <c r="S2888" t="n">
        <v>16.8</v>
      </c>
      <c r="T2888" t="n">
        <v>0</v>
      </c>
      <c r="U2888" t="n">
        <v>16.8</v>
      </c>
      <c r="X2888" t="inlineStr">
        <is>
          <t>acoa-apeca</t>
        </is>
      </c>
      <c r="Y2888" t="inlineStr">
        <is>
          <t>Atlantic Canada Opportunities Agency | Agence de promotion économique du Canada atlantique</t>
        </is>
      </c>
      <c r="Z2888" t="n">
        <v>1</v>
      </c>
      <c r="AA2888" t="n">
        <v>16.8</v>
      </c>
      <c r="AB2888">
        <f>ROUND(U2888-AA2888,2)</f>
        <v/>
      </c>
      <c r="AC2888" t="b">
        <v>0</v>
      </c>
      <c r="AD2888">
        <f>IF(U2888="","MISSING_TOTAL",IF(ABS(AB2888)&lt;=0.01,"OK","CHECK"))</f>
        <v/>
      </c>
      <c r="AE2888">
        <f>IF(U2888="","MISSING",IF(AND(AA2888&gt;0,U2888/AA2888&gt;50),"POSSIBLE_SCALE_ERROR","OK"))</f>
        <v/>
      </c>
    </row>
    <row r="2889">
      <c r="A2889" t="inlineStr">
        <is>
          <t>T-2016-Q4-00011</t>
        </is>
      </c>
      <c r="B2889" t="inlineStr">
        <is>
          <t>SLE</t>
        </is>
      </c>
      <c r="C2889" t="inlineStr">
        <is>
          <t>Vice-President, Policy and Programs</t>
        </is>
      </c>
      <c r="D2889" t="inlineStr">
        <is>
          <t>Vice-président, Politiques et Programmes</t>
        </is>
      </c>
      <c r="E2889" t="inlineStr">
        <is>
          <t>Daryell Nowlan</t>
        </is>
      </c>
      <c r="F2889" t="inlineStr">
        <is>
          <t>Meetings with Government of Canada officials</t>
        </is>
      </c>
      <c r="G2889" t="inlineStr">
        <is>
          <t>Réunions avec des fonctionnaires du gouvernement du Canada</t>
        </is>
      </c>
      <c r="H2889" s="1" t="n">
        <v>42352</v>
      </c>
      <c r="I2889" s="1" t="n">
        <v>42354</v>
      </c>
      <c r="J2889" t="inlineStr">
        <is>
          <t>St. John's, Newfoundland and Labrador</t>
        </is>
      </c>
      <c r="K2889" t="inlineStr">
        <is>
          <t>St. John's (Terre-Neuve-et-Labrador)</t>
        </is>
      </c>
      <c r="P2889" t="n">
        <v>1136.7</v>
      </c>
      <c r="Q2889" t="n">
        <v>105</v>
      </c>
      <c r="R2889" t="n">
        <v>320.58</v>
      </c>
      <c r="S2889" t="n">
        <v>190.85</v>
      </c>
      <c r="T2889" t="n">
        <v>0</v>
      </c>
      <c r="U2889" t="n">
        <v>1753.13</v>
      </c>
      <c r="X2889" t="inlineStr">
        <is>
          <t>acoa-apeca</t>
        </is>
      </c>
      <c r="Y2889" t="inlineStr">
        <is>
          <t>Atlantic Canada Opportunities Agency | Agence de promotion économique du Canada atlantique</t>
        </is>
      </c>
      <c r="Z2889" t="n">
        <v>3</v>
      </c>
      <c r="AA2889" t="n">
        <v>1753.12999999999</v>
      </c>
      <c r="AB2889">
        <f>ROUND(U2889-AA2889,2)</f>
        <v/>
      </c>
      <c r="AC2889" t="b">
        <v>0</v>
      </c>
      <c r="AD2889">
        <f>IF(U2889="","MISSING_TOTAL",IF(ABS(AB2889)&lt;=0.01,"OK","CHECK"))</f>
        <v/>
      </c>
      <c r="AE2889">
        <f>IF(U2889="","MISSING",IF(AND(AA2889&gt;0,U2889/AA2889&gt;50),"POSSIBLE_SCALE_ERROR","OK"))</f>
        <v/>
      </c>
    </row>
    <row r="2890">
      <c r="A2890" t="inlineStr">
        <is>
          <t>T-2015-Q1-00006</t>
        </is>
      </c>
      <c r="B2890" t="inlineStr">
        <is>
          <t>SLE</t>
        </is>
      </c>
      <c r="C2890" t="inlineStr">
        <is>
          <t>President</t>
        </is>
      </c>
      <c r="D2890" t="inlineStr">
        <is>
          <t>Président</t>
        </is>
      </c>
      <c r="E2890" t="inlineStr">
        <is>
          <t>Paul J. LeBlanc</t>
        </is>
      </c>
      <c r="F2890" t="inlineStr">
        <is>
          <t>Meeting with Agency official</t>
        </is>
      </c>
      <c r="G2890" t="inlineStr">
        <is>
          <t>Réunion avec un fonctionnaire de l'Agence</t>
        </is>
      </c>
      <c r="H2890" s="1" t="n">
        <v>41712</v>
      </c>
      <c r="I2890" s="1" t="n">
        <v>41712</v>
      </c>
      <c r="J2890" t="inlineStr">
        <is>
          <t>Hampton, New Brunswick</t>
        </is>
      </c>
      <c r="K2890" t="inlineStr">
        <is>
          <t>Hampton (Nouveau-Brunswick)</t>
        </is>
      </c>
      <c r="P2890" t="n">
        <v>0</v>
      </c>
      <c r="Q2890" t="n">
        <v>0</v>
      </c>
      <c r="R2890" t="n">
        <v>0</v>
      </c>
      <c r="S2890" t="n">
        <v>15.1</v>
      </c>
      <c r="T2890" t="n">
        <v>0</v>
      </c>
      <c r="U2890" t="n">
        <v>15.1</v>
      </c>
      <c r="X2890" t="inlineStr">
        <is>
          <t>acoa-apeca</t>
        </is>
      </c>
      <c r="Y2890" t="inlineStr">
        <is>
          <t>Atlantic Canada Opportunities Agency | Agence de promotion économique du Canada atlantique</t>
        </is>
      </c>
      <c r="Z2890" t="n">
        <v>1</v>
      </c>
      <c r="AA2890" t="n">
        <v>15.1</v>
      </c>
      <c r="AB2890">
        <f>ROUND(U2890-AA2890,2)</f>
        <v/>
      </c>
      <c r="AC2890" t="b">
        <v>0</v>
      </c>
      <c r="AD2890">
        <f>IF(U2890="","MISSING_TOTAL",IF(ABS(AB2890)&lt;=0.01,"OK","CHECK"))</f>
        <v/>
      </c>
      <c r="AE2890">
        <f>IF(U2890="","MISSING",IF(AND(AA2890&gt;0,U2890/AA2890&gt;50),"POSSIBLE_SCALE_ERROR","OK"))</f>
        <v/>
      </c>
    </row>
    <row r="2891">
      <c r="A2891" t="inlineStr">
        <is>
          <t>T-2016-Q4-00010</t>
        </is>
      </c>
      <c r="B2891" t="inlineStr">
        <is>
          <t>SLE</t>
        </is>
      </c>
      <c r="C2891" t="inlineStr">
        <is>
          <t>Vice-President, New Brunswick</t>
        </is>
      </c>
      <c r="D2891" t="inlineStr">
        <is>
          <t>Vice-président, Nouveau-Brunswick</t>
        </is>
      </c>
      <c r="E2891" t="inlineStr">
        <is>
          <t>Kent Estabrooks</t>
        </is>
      </c>
      <c r="F2891" t="inlineStr">
        <is>
          <t>Various meetings with Federal Officials</t>
        </is>
      </c>
      <c r="G2891" t="inlineStr">
        <is>
          <t>Diverses réunions avec des fonctionnaires fédéraux</t>
        </is>
      </c>
      <c r="H2891" s="1" t="n">
        <v>42351</v>
      </c>
      <c r="I2891" s="1" t="n">
        <v>42352</v>
      </c>
      <c r="J2891" t="inlineStr">
        <is>
          <t>Ottawa, Ontario</t>
        </is>
      </c>
      <c r="K2891" t="inlineStr">
        <is>
          <t>Ottawa (Ontario)</t>
        </is>
      </c>
      <c r="P2891" t="n">
        <v>791</v>
      </c>
      <c r="Q2891" t="n">
        <v>243.26</v>
      </c>
      <c r="R2891" t="n">
        <v>323.76</v>
      </c>
      <c r="S2891" t="n">
        <v>157.5</v>
      </c>
      <c r="T2891" t="n">
        <v>50</v>
      </c>
      <c r="U2891" t="n">
        <v>1565.52</v>
      </c>
      <c r="X2891" t="inlineStr">
        <is>
          <t>acoa-apeca</t>
        </is>
      </c>
      <c r="Y2891" t="inlineStr">
        <is>
          <t>Atlantic Canada Opportunities Agency | Agence de promotion économique du Canada atlantique</t>
        </is>
      </c>
      <c r="Z2891" t="n">
        <v>2</v>
      </c>
      <c r="AA2891" t="n">
        <v>1565.52</v>
      </c>
      <c r="AB2891">
        <f>ROUND(U2891-AA2891,2)</f>
        <v/>
      </c>
      <c r="AC2891" t="b">
        <v>0</v>
      </c>
      <c r="AD2891">
        <f>IF(U2891="","MISSING_TOTAL",IF(ABS(AB2891)&lt;=0.01,"OK","CHECK"))</f>
        <v/>
      </c>
      <c r="AE2891">
        <f>IF(U2891="","MISSING",IF(AND(AA2891&gt;0,U2891/AA2891&gt;50),"POSSIBLE_SCALE_ERROR","OK"))</f>
        <v/>
      </c>
    </row>
    <row r="2892">
      <c r="A2892" t="inlineStr">
        <is>
          <t>T-2016-Q4-00009</t>
        </is>
      </c>
      <c r="B2892" t="inlineStr">
        <is>
          <t>SLE</t>
        </is>
      </c>
      <c r="C2892" t="inlineStr">
        <is>
          <t>Vice-President, New Brunswick</t>
        </is>
      </c>
      <c r="D2892" t="inlineStr">
        <is>
          <t>Vice-président, Nouveau-Brunswick</t>
        </is>
      </c>
      <c r="E2892" t="inlineStr">
        <is>
          <t>Kent Estabrooks</t>
        </is>
      </c>
      <c r="F2892" t="inlineStr">
        <is>
          <t>Meeting with Agency Officials</t>
        </is>
      </c>
      <c r="G2892" t="inlineStr">
        <is>
          <t>Réunion avec des fonctionnaires de l'Agence</t>
        </is>
      </c>
      <c r="H2892" s="1" t="n">
        <v>42347</v>
      </c>
      <c r="I2892" s="1" t="n">
        <v>42348</v>
      </c>
      <c r="J2892" t="inlineStr">
        <is>
          <t>Moncton, New Brunswick</t>
        </is>
      </c>
      <c r="K2892" t="inlineStr">
        <is>
          <t>Moncton (Nouveau-Brunswick)</t>
        </is>
      </c>
      <c r="P2892" t="n">
        <v>0</v>
      </c>
      <c r="Q2892" t="n">
        <v>0</v>
      </c>
      <c r="R2892" t="n">
        <v>138.43</v>
      </c>
      <c r="S2892" t="n">
        <v>34.6</v>
      </c>
      <c r="T2892" t="n">
        <v>8</v>
      </c>
      <c r="U2892" t="n">
        <v>181.03</v>
      </c>
      <c r="X2892" t="inlineStr">
        <is>
          <t>acoa-apeca</t>
        </is>
      </c>
      <c r="Y2892" t="inlineStr">
        <is>
          <t>Atlantic Canada Opportunities Agency | Agence de promotion économique du Canada atlantique</t>
        </is>
      </c>
      <c r="Z2892" t="n">
        <v>2</v>
      </c>
      <c r="AA2892" t="n">
        <v>181.03</v>
      </c>
      <c r="AB2892">
        <f>ROUND(U2892-AA2892,2)</f>
        <v/>
      </c>
      <c r="AC2892" t="b">
        <v>0</v>
      </c>
      <c r="AD2892">
        <f>IF(U2892="","MISSING_TOTAL",IF(ABS(AB2892)&lt;=0.01,"OK","CHECK"))</f>
        <v/>
      </c>
      <c r="AE2892">
        <f>IF(U2892="","MISSING",IF(AND(AA2892&gt;0,U2892/AA2892&gt;50),"POSSIBLE_SCALE_ERROR","OK"))</f>
        <v/>
      </c>
    </row>
    <row r="2893">
      <c r="A2893" t="inlineStr">
        <is>
          <t>T-2016-Q4-00008</t>
        </is>
      </c>
      <c r="B2893" t="inlineStr">
        <is>
          <t>SLE</t>
        </is>
      </c>
      <c r="C2893" t="inlineStr">
        <is>
          <t>Vice-President, Prince Edward Island</t>
        </is>
      </c>
      <c r="D2893" t="inlineStr">
        <is>
          <t>Vice-président, Île-du-Prince-Édouard</t>
        </is>
      </c>
      <c r="E2893" t="inlineStr">
        <is>
          <t>Patrick Dorsey</t>
        </is>
      </c>
      <c r="F2893" t="inlineStr">
        <is>
          <t>Atlantic Canada Tourism Partnership Meeting and Meetings with Other Government Officials</t>
        </is>
      </c>
      <c r="G2893" t="inlineStr">
        <is>
          <t>Réunion du Partenariat du tourisme du Canada atlantique et réunions avec d'autres fonctionnaires du gouvernement</t>
        </is>
      </c>
      <c r="H2893" s="1" t="n">
        <v>42346</v>
      </c>
      <c r="I2893" s="1" t="n">
        <v>42349</v>
      </c>
      <c r="J2893" t="inlineStr">
        <is>
          <t>Ottawa, Ontario</t>
        </is>
      </c>
      <c r="K2893" t="inlineStr">
        <is>
          <t>Ottawa (Ontario)</t>
        </is>
      </c>
      <c r="P2893" t="n">
        <v>1150.71</v>
      </c>
      <c r="Q2893" t="n">
        <v>236.5</v>
      </c>
      <c r="R2893" t="n">
        <v>371.12</v>
      </c>
      <c r="S2893" t="n">
        <v>251.8</v>
      </c>
      <c r="T2893" t="n">
        <v>32.99</v>
      </c>
      <c r="U2893" t="n">
        <v>2043.12</v>
      </c>
      <c r="X2893" t="inlineStr">
        <is>
          <t>acoa-apeca</t>
        </is>
      </c>
      <c r="Y2893" t="inlineStr">
        <is>
          <t>Atlantic Canada Opportunities Agency | Agence de promotion économique du Canada atlantique</t>
        </is>
      </c>
      <c r="Z2893" t="n">
        <v>4</v>
      </c>
      <c r="AA2893" t="n">
        <v>2043.12</v>
      </c>
      <c r="AB2893">
        <f>ROUND(U2893-AA2893,2)</f>
        <v/>
      </c>
      <c r="AC2893" t="b">
        <v>0</v>
      </c>
      <c r="AD2893">
        <f>IF(U2893="","MISSING_TOTAL",IF(ABS(AB2893)&lt;=0.01,"OK","CHECK"))</f>
        <v/>
      </c>
      <c r="AE2893">
        <f>IF(U2893="","MISSING",IF(AND(AA2893&gt;0,U2893/AA2893&gt;50),"POSSIBLE_SCALE_ERROR","OK"))</f>
        <v/>
      </c>
    </row>
    <row r="2894">
      <c r="A2894" t="inlineStr">
        <is>
          <t>T-2016-Q4-00007</t>
        </is>
      </c>
      <c r="B2894" t="inlineStr">
        <is>
          <t>SLE</t>
        </is>
      </c>
      <c r="C2894" t="inlineStr">
        <is>
          <t>Vice-President, Finance and Corporate Services</t>
        </is>
      </c>
      <c r="D2894" t="inlineStr">
        <is>
          <t>Vice-présidente, Finances et Services corporatifs</t>
        </is>
      </c>
      <c r="E2894" t="inlineStr">
        <is>
          <t>Denise Frenette</t>
        </is>
      </c>
      <c r="F2894" t="inlineStr">
        <is>
          <t>To attend a course</t>
        </is>
      </c>
      <c r="G2894" t="inlineStr">
        <is>
          <t>Assister à un cours</t>
        </is>
      </c>
      <c r="H2894" s="1" t="n">
        <v>42344</v>
      </c>
      <c r="I2894" s="1" t="n">
        <v>42346</v>
      </c>
      <c r="J2894" t="inlineStr">
        <is>
          <t>Toronto, Ontario</t>
        </is>
      </c>
      <c r="K2894" t="inlineStr">
        <is>
          <t>Toronto (Ontario)</t>
        </is>
      </c>
      <c r="P2894" t="n">
        <v>702.48</v>
      </c>
      <c r="Q2894" t="n">
        <v>146.11</v>
      </c>
      <c r="R2894" t="n">
        <v>310.88</v>
      </c>
      <c r="S2894" t="n">
        <v>173.8</v>
      </c>
      <c r="T2894" t="n">
        <v>0</v>
      </c>
      <c r="U2894" t="n">
        <v>1333.27</v>
      </c>
      <c r="X2894" t="inlineStr">
        <is>
          <t>acoa-apeca</t>
        </is>
      </c>
      <c r="Y2894" t="inlineStr">
        <is>
          <t>Atlantic Canada Opportunities Agency | Agence de promotion économique du Canada atlantique</t>
        </is>
      </c>
      <c r="Z2894" t="n">
        <v>3</v>
      </c>
      <c r="AA2894" t="n">
        <v>1333.27</v>
      </c>
      <c r="AB2894">
        <f>ROUND(U2894-AA2894,2)</f>
        <v/>
      </c>
      <c r="AC2894" t="b">
        <v>0</v>
      </c>
      <c r="AD2894">
        <f>IF(U2894="","MISSING_TOTAL",IF(ABS(AB2894)&lt;=0.01,"OK","CHECK"))</f>
        <v/>
      </c>
      <c r="AE2894">
        <f>IF(U2894="","MISSING",IF(AND(AA2894&gt;0,U2894/AA2894&gt;50),"POSSIBLE_SCALE_ERROR","OK"))</f>
        <v/>
      </c>
    </row>
    <row r="2895">
      <c r="A2895" t="inlineStr">
        <is>
          <t>T-2016-Q4-00006</t>
        </is>
      </c>
      <c r="B2895" t="inlineStr">
        <is>
          <t>SLE</t>
        </is>
      </c>
      <c r="C2895" t="inlineStr">
        <is>
          <t>Vice-President, New Brunswick</t>
        </is>
      </c>
      <c r="D2895" t="inlineStr">
        <is>
          <t>Vice-président, Nouveau-Brunswick</t>
        </is>
      </c>
      <c r="E2895" t="inlineStr">
        <is>
          <t>Kent Estabrooks</t>
        </is>
      </c>
      <c r="F2895" t="inlineStr">
        <is>
          <t>Meetings with Various Federal Officials</t>
        </is>
      </c>
      <c r="G2895" t="inlineStr">
        <is>
          <t>Réunions avec divers fonctionnaires fédéraux</t>
        </is>
      </c>
      <c r="H2895" s="1" t="n">
        <v>42341</v>
      </c>
      <c r="I2895" s="1" t="n">
        <v>42343</v>
      </c>
      <c r="J2895" t="inlineStr">
        <is>
          <t>Ottawa, Ontario</t>
        </is>
      </c>
      <c r="K2895" t="inlineStr">
        <is>
          <t>Ottawa (Ontario)</t>
        </is>
      </c>
      <c r="P2895" t="n">
        <v>791</v>
      </c>
      <c r="Q2895" t="n">
        <v>67.37</v>
      </c>
      <c r="R2895" t="n">
        <v>305.9</v>
      </c>
      <c r="S2895" t="n">
        <v>157.5</v>
      </c>
      <c r="T2895" t="n">
        <v>15.26</v>
      </c>
      <c r="U2895" t="n">
        <v>1337.03</v>
      </c>
      <c r="X2895" t="inlineStr">
        <is>
          <t>acoa-apeca</t>
        </is>
      </c>
      <c r="Y2895" t="inlineStr">
        <is>
          <t>Atlantic Canada Opportunities Agency | Agence de promotion économique du Canada atlantique</t>
        </is>
      </c>
      <c r="Z2895" t="n">
        <v>3</v>
      </c>
      <c r="AA2895" t="n">
        <v>1337.03</v>
      </c>
      <c r="AB2895">
        <f>ROUND(U2895-AA2895,2)</f>
        <v/>
      </c>
      <c r="AC2895" t="b">
        <v>0</v>
      </c>
      <c r="AD2895">
        <f>IF(U2895="","MISSING_TOTAL",IF(ABS(AB2895)&lt;=0.01,"OK","CHECK"))</f>
        <v/>
      </c>
      <c r="AE2895">
        <f>IF(U2895="","MISSING",IF(AND(AA2895&gt;0,U2895/AA2895&gt;50),"POSSIBLE_SCALE_ERROR","OK"))</f>
        <v/>
      </c>
    </row>
    <row r="2896">
      <c r="A2896" t="inlineStr">
        <is>
          <t>T-2016-Q3-00007</t>
        </is>
      </c>
      <c r="B2896" t="inlineStr">
        <is>
          <t>SLE</t>
        </is>
      </c>
      <c r="C2896" t="inlineStr">
        <is>
          <t>Vice-President, New Brunswick</t>
        </is>
      </c>
      <c r="D2896" t="inlineStr">
        <is>
          <t>Vice-président, Nouveau-Brunswick</t>
        </is>
      </c>
      <c r="E2896" t="inlineStr">
        <is>
          <t>Kent Estabrooks</t>
        </is>
      </c>
      <c r="F2896" t="inlineStr">
        <is>
          <t>Training and development</t>
        </is>
      </c>
      <c r="G2896" t="inlineStr">
        <is>
          <t>Formation et perfectionnement</t>
        </is>
      </c>
      <c r="H2896" s="1" t="n">
        <v>42256</v>
      </c>
      <c r="I2896" s="1" t="n">
        <v>42261</v>
      </c>
      <c r="J2896" t="inlineStr">
        <is>
          <t>Toronto, Ontario</t>
        </is>
      </c>
      <c r="K2896" t="inlineStr">
        <is>
          <t>Toronto (Ontario)</t>
        </is>
      </c>
      <c r="P2896" t="n">
        <v>1113.05</v>
      </c>
      <c r="Q2896" t="n">
        <v>64.8</v>
      </c>
      <c r="R2896" t="n">
        <v>788.8</v>
      </c>
      <c r="S2896" t="n">
        <v>214.2</v>
      </c>
      <c r="T2896" t="n">
        <v>0</v>
      </c>
      <c r="U2896" t="n">
        <v>2180.85</v>
      </c>
      <c r="X2896" t="inlineStr">
        <is>
          <t>acoa-apeca</t>
        </is>
      </c>
      <c r="Y2896" t="inlineStr">
        <is>
          <t>Atlantic Canada Opportunities Agency | Agence de promotion économique du Canada atlantique</t>
        </is>
      </c>
      <c r="Z2896" t="n">
        <v>6</v>
      </c>
      <c r="AA2896" t="n">
        <v>2180.85</v>
      </c>
      <c r="AB2896">
        <f>ROUND(U2896-AA2896,2)</f>
        <v/>
      </c>
      <c r="AC2896" t="b">
        <v>0</v>
      </c>
      <c r="AD2896">
        <f>IF(U2896="","MISSING_TOTAL",IF(ABS(AB2896)&lt;=0.01,"OK","CHECK"))</f>
        <v/>
      </c>
      <c r="AE2896">
        <f>IF(U2896="","MISSING",IF(AND(AA2896&gt;0,U2896/AA2896&gt;50),"POSSIBLE_SCALE_ERROR","OK"))</f>
        <v/>
      </c>
    </row>
    <row r="2897">
      <c r="A2897" t="inlineStr">
        <is>
          <t>T-2016-Q4-00005</t>
        </is>
      </c>
      <c r="B2897" t="inlineStr">
        <is>
          <t>SLE</t>
        </is>
      </c>
      <c r="C2897" t="inlineStr">
        <is>
          <t>Vice-President, New Brunswick</t>
        </is>
      </c>
      <c r="D2897" t="inlineStr">
        <is>
          <t>Vice-président, Nouveau-Brunswick</t>
        </is>
      </c>
      <c r="E2897" t="inlineStr">
        <is>
          <t>Kent Estabrooks</t>
        </is>
      </c>
      <c r="F2897" t="inlineStr">
        <is>
          <t>Various Meetings with Agency Officials</t>
        </is>
      </c>
      <c r="G2897" t="inlineStr">
        <is>
          <t>Diverses réunions avec des fonctionnaires de l'Agence</t>
        </is>
      </c>
      <c r="H2897" s="1" t="n">
        <v>42340</v>
      </c>
      <c r="I2897" s="1" t="n">
        <v>42341</v>
      </c>
      <c r="J2897" t="inlineStr">
        <is>
          <t>Ottawa, Ontario</t>
        </is>
      </c>
      <c r="K2897" t="inlineStr">
        <is>
          <t>Ottawa (Ontario)</t>
        </is>
      </c>
      <c r="P2897" t="n">
        <v>0</v>
      </c>
      <c r="Q2897" t="n">
        <v>0</v>
      </c>
      <c r="R2897" t="n">
        <v>123.17</v>
      </c>
      <c r="S2897" t="n">
        <v>61.7</v>
      </c>
      <c r="T2897" t="n">
        <v>0</v>
      </c>
      <c r="U2897" t="n">
        <v>184.87</v>
      </c>
      <c r="X2897" t="inlineStr">
        <is>
          <t>acoa-apeca</t>
        </is>
      </c>
      <c r="Y2897" t="inlineStr">
        <is>
          <t>Atlantic Canada Opportunities Agency | Agence de promotion économique du Canada atlantique</t>
        </is>
      </c>
      <c r="Z2897" t="n">
        <v>2</v>
      </c>
      <c r="AA2897" t="n">
        <v>184.87</v>
      </c>
      <c r="AB2897">
        <f>ROUND(U2897-AA2897,2)</f>
        <v/>
      </c>
      <c r="AC2897" t="b">
        <v>0</v>
      </c>
      <c r="AD2897">
        <f>IF(U2897="","MISSING_TOTAL",IF(ABS(AB2897)&lt;=0.01,"OK","CHECK"))</f>
        <v/>
      </c>
      <c r="AE2897">
        <f>IF(U2897="","MISSING",IF(AND(AA2897&gt;0,U2897/AA2897&gt;50),"POSSIBLE_SCALE_ERROR","OK"))</f>
        <v/>
      </c>
    </row>
    <row r="2898">
      <c r="A2898" t="inlineStr">
        <is>
          <t>T-2016-Q4-00004</t>
        </is>
      </c>
      <c r="B2898" t="inlineStr">
        <is>
          <t>SLE</t>
        </is>
      </c>
      <c r="C2898" t="inlineStr">
        <is>
          <t>Vice President, Nova Scotia</t>
        </is>
      </c>
      <c r="D2898" t="inlineStr">
        <is>
          <t>Vice-président, Nouvelle-Écosse</t>
        </is>
      </c>
      <c r="E2898" t="inlineStr">
        <is>
          <t>Peter Hogan</t>
        </is>
      </c>
      <c r="F2898" t="inlineStr">
        <is>
          <t>Meeting with Senior Agency Officials</t>
        </is>
      </c>
      <c r="G2898" t="inlineStr">
        <is>
          <t>Réunion avec des hauts fonctionnaires de l'Agence</t>
        </is>
      </c>
      <c r="H2898" s="1" t="n">
        <v>42340</v>
      </c>
      <c r="I2898" s="1" t="n">
        <v>42341</v>
      </c>
      <c r="J2898" t="inlineStr">
        <is>
          <t>Moncton, New Brunswick</t>
        </is>
      </c>
      <c r="K2898" t="inlineStr">
        <is>
          <t>Moncton (Nouveau-Brunswick)</t>
        </is>
      </c>
      <c r="P2898" t="n">
        <v>0</v>
      </c>
      <c r="Q2898" t="n">
        <v>15.26</v>
      </c>
      <c r="R2898" t="n">
        <v>123.17</v>
      </c>
      <c r="S2898" t="n">
        <v>95.55</v>
      </c>
      <c r="T2898" t="n">
        <v>0</v>
      </c>
      <c r="U2898" t="n">
        <v>233.98</v>
      </c>
      <c r="X2898" t="inlineStr">
        <is>
          <t>acoa-apeca</t>
        </is>
      </c>
      <c r="Y2898" t="inlineStr">
        <is>
          <t>Atlantic Canada Opportunities Agency | Agence de promotion économique du Canada atlantique</t>
        </is>
      </c>
      <c r="Z2898" t="n">
        <v>2</v>
      </c>
      <c r="AA2898" t="n">
        <v>233.98</v>
      </c>
      <c r="AB2898">
        <f>ROUND(U2898-AA2898,2)</f>
        <v/>
      </c>
      <c r="AC2898" t="b">
        <v>0</v>
      </c>
      <c r="AD2898">
        <f>IF(U2898="","MISSING_TOTAL",IF(ABS(AB2898)&lt;=0.01,"OK","CHECK"))</f>
        <v/>
      </c>
      <c r="AE2898">
        <f>IF(U2898="","MISSING",IF(AND(AA2898&gt;0,U2898/AA2898&gt;50),"POSSIBLE_SCALE_ERROR","OK"))</f>
        <v/>
      </c>
    </row>
    <row r="2899">
      <c r="A2899" t="inlineStr">
        <is>
          <t>T-2016-Q4-00002</t>
        </is>
      </c>
      <c r="B2899" t="inlineStr">
        <is>
          <t>SLE</t>
        </is>
      </c>
      <c r="C2899" t="inlineStr">
        <is>
          <t>Vice-President, Prince Edward Island</t>
        </is>
      </c>
      <c r="D2899" t="inlineStr">
        <is>
          <t>Vice-président, Île-du-Prince-Édouard</t>
        </is>
      </c>
      <c r="E2899" t="inlineStr">
        <is>
          <t>Patrick Dorsey</t>
        </is>
      </c>
      <c r="F2899" t="inlineStr">
        <is>
          <t>Meeting with Government of Canada Officials</t>
        </is>
      </c>
      <c r="G2899" t="inlineStr">
        <is>
          <t>Réunion avec des fonctionnaires du gouvernement du Canada</t>
        </is>
      </c>
      <c r="H2899" s="1" t="n">
        <v>42340</v>
      </c>
      <c r="I2899" s="1" t="n">
        <v>42342</v>
      </c>
      <c r="J2899" t="inlineStr">
        <is>
          <t>Ottawa, Ontario</t>
        </is>
      </c>
      <c r="K2899" t="inlineStr">
        <is>
          <t>Ottawa (Ontario)</t>
        </is>
      </c>
      <c r="P2899" t="n">
        <v>658.9</v>
      </c>
      <c r="Q2899" t="n">
        <v>703.01</v>
      </c>
      <c r="R2899" t="n">
        <v>611.8</v>
      </c>
      <c r="S2899" t="n">
        <v>330.8</v>
      </c>
      <c r="T2899" t="n">
        <v>0</v>
      </c>
      <c r="U2899" t="n">
        <v>2304.51</v>
      </c>
      <c r="X2899" t="inlineStr">
        <is>
          <t>acoa-apeca</t>
        </is>
      </c>
      <c r="Y2899" t="inlineStr">
        <is>
          <t>Atlantic Canada Opportunities Agency | Agence de promotion économique du Canada atlantique</t>
        </is>
      </c>
      <c r="Z2899" t="n">
        <v>3</v>
      </c>
      <c r="AA2899" t="n">
        <v>2304.50999999999</v>
      </c>
      <c r="AB2899">
        <f>ROUND(U2899-AA2899,2)</f>
        <v/>
      </c>
      <c r="AC2899" t="b">
        <v>0</v>
      </c>
      <c r="AD2899">
        <f>IF(U2899="","MISSING_TOTAL",IF(ABS(AB2899)&lt;=0.01,"OK","CHECK"))</f>
        <v/>
      </c>
      <c r="AE2899">
        <f>IF(U2899="","MISSING",IF(AND(AA2899&gt;0,U2899/AA2899&gt;50),"POSSIBLE_SCALE_ERROR","OK"))</f>
        <v/>
      </c>
    </row>
    <row r="2900">
      <c r="A2900" t="inlineStr">
        <is>
          <t>T-2016-Q4-00001</t>
        </is>
      </c>
      <c r="B2900" t="inlineStr">
        <is>
          <t>SLE</t>
        </is>
      </c>
      <c r="C2900" t="inlineStr">
        <is>
          <t>Vice-President, Newfoundland and Labrador</t>
        </is>
      </c>
      <c r="D2900" t="inlineStr">
        <is>
          <t>Vice-président, Terre-Neuve-et-Labrador</t>
        </is>
      </c>
      <c r="E2900" t="inlineStr">
        <is>
          <t>Ken Martin</t>
        </is>
      </c>
      <c r="F2900" t="inlineStr">
        <is>
          <t>Attend Executive Committee meeting</t>
        </is>
      </c>
      <c r="G2900" t="inlineStr">
        <is>
          <t>Assister à une réunion du Comité de direction</t>
        </is>
      </c>
      <c r="H2900" s="1" t="n">
        <v>42340</v>
      </c>
      <c r="I2900" s="1" t="n">
        <v>42342</v>
      </c>
      <c r="J2900" t="inlineStr">
        <is>
          <t>Moncton, New Brunswick</t>
        </is>
      </c>
      <c r="K2900" t="inlineStr">
        <is>
          <t>Moncton (Nouveau-Brunswick)</t>
        </is>
      </c>
      <c r="P2900" t="n">
        <v>661.11</v>
      </c>
      <c r="Q2900" t="n">
        <v>61.44</v>
      </c>
      <c r="R2900" t="n">
        <v>246.34</v>
      </c>
      <c r="S2900" t="n">
        <v>251.8</v>
      </c>
      <c r="T2900" t="n">
        <v>0</v>
      </c>
      <c r="U2900" t="n">
        <v>1220.69</v>
      </c>
      <c r="X2900" t="inlineStr">
        <is>
          <t>acoa-apeca</t>
        </is>
      </c>
      <c r="Y2900" t="inlineStr">
        <is>
          <t>Atlantic Canada Opportunities Agency | Agence de promotion économique du Canada atlantique</t>
        </is>
      </c>
      <c r="Z2900" t="n">
        <v>3</v>
      </c>
      <c r="AA2900" t="n">
        <v>1220.69</v>
      </c>
      <c r="AB2900">
        <f>ROUND(U2900-AA2900,2)</f>
        <v/>
      </c>
      <c r="AC2900" t="b">
        <v>0</v>
      </c>
      <c r="AD2900">
        <f>IF(U2900="","MISSING_TOTAL",IF(ABS(AB2900)&lt;=0.01,"OK","CHECK"))</f>
        <v/>
      </c>
      <c r="AE2900">
        <f>IF(U2900="","MISSING",IF(AND(AA2900&gt;0,U2900/AA2900&gt;50),"POSSIBLE_SCALE_ERROR","OK"))</f>
        <v/>
      </c>
    </row>
    <row r="2901">
      <c r="A2901" t="inlineStr">
        <is>
          <t>T-2016-Q3-00058</t>
        </is>
      </c>
      <c r="B2901" t="inlineStr">
        <is>
          <t>SLE</t>
        </is>
      </c>
      <c r="C2901" t="inlineStr">
        <is>
          <t>Vice-President, Newfoundland and Labrador</t>
        </is>
      </c>
      <c r="D2901" t="inlineStr">
        <is>
          <t>Vice-président, Terre-Neuve-et-Labrador</t>
        </is>
      </c>
      <c r="E2901" t="inlineStr">
        <is>
          <t>Ken Martin</t>
        </is>
      </c>
      <c r="F2901" t="inlineStr">
        <is>
          <t>Meeting with ACOA and other senior government officials</t>
        </is>
      </c>
      <c r="G2901" t="inlineStr">
        <is>
          <t>Réunion avec des hauts fonctionnaires de l'APECA et autres</t>
        </is>
      </c>
      <c r="H2901" s="1" t="n">
        <v>42333</v>
      </c>
      <c r="I2901" s="1" t="n">
        <v>42335</v>
      </c>
      <c r="J2901" t="inlineStr">
        <is>
          <t>Ottawa, Ontario</t>
        </is>
      </c>
      <c r="K2901" t="inlineStr">
        <is>
          <t>Ottawa (Ontario)</t>
        </is>
      </c>
      <c r="P2901" t="n">
        <v>1117.13</v>
      </c>
      <c r="Q2901" t="n">
        <v>93.8</v>
      </c>
      <c r="R2901" t="n">
        <v>365.46</v>
      </c>
      <c r="S2901" t="n">
        <v>163</v>
      </c>
      <c r="T2901" t="n">
        <v>0</v>
      </c>
      <c r="U2901" t="n">
        <v>1739.39</v>
      </c>
      <c r="X2901" t="inlineStr">
        <is>
          <t>acoa-apeca</t>
        </is>
      </c>
      <c r="Y2901" t="inlineStr">
        <is>
          <t>Atlantic Canada Opportunities Agency | Agence de promotion économique du Canada atlantique</t>
        </is>
      </c>
      <c r="Z2901" t="n">
        <v>3</v>
      </c>
      <c r="AA2901" t="n">
        <v>1739.39</v>
      </c>
      <c r="AB2901">
        <f>ROUND(U2901-AA2901,2)</f>
        <v/>
      </c>
      <c r="AC2901" t="b">
        <v>0</v>
      </c>
      <c r="AD2901">
        <f>IF(U2901="","MISSING_TOTAL",IF(ABS(AB2901)&lt;=0.01,"OK","CHECK"))</f>
        <v/>
      </c>
      <c r="AE2901">
        <f>IF(U2901="","MISSING",IF(AND(AA2901&gt;0,U2901/AA2901&gt;50),"POSSIBLE_SCALE_ERROR","OK"))</f>
        <v/>
      </c>
    </row>
    <row r="2902">
      <c r="A2902" t="inlineStr">
        <is>
          <t>T-2016-Q3-00057</t>
        </is>
      </c>
      <c r="B2902" t="inlineStr">
        <is>
          <t>SLE</t>
        </is>
      </c>
      <c r="C2902" t="inlineStr">
        <is>
          <t>Vice-President, Finance and Corporate Services</t>
        </is>
      </c>
      <c r="D2902" t="inlineStr">
        <is>
          <t>Vice-présidente, Finances et Services corporatifs</t>
        </is>
      </c>
      <c r="E2902" t="inlineStr">
        <is>
          <t>Denise Frenette</t>
        </is>
      </c>
      <c r="F2902" t="inlineStr">
        <is>
          <t>For various meetings and discussions with Government of Canada officials</t>
        </is>
      </c>
      <c r="G2902" t="inlineStr">
        <is>
          <t>Diverses réunions et discussions avec des fonctionnaires du gouvernement du Canada</t>
        </is>
      </c>
      <c r="H2902" s="1" t="n">
        <v>42333</v>
      </c>
      <c r="I2902" s="1" t="n">
        <v>42335</v>
      </c>
      <c r="J2902" t="inlineStr">
        <is>
          <t>Ottawa, Ontario</t>
        </is>
      </c>
      <c r="K2902" t="inlineStr">
        <is>
          <t>Ottawa (Ontario)</t>
        </is>
      </c>
      <c r="P2902" t="n">
        <v>702.48</v>
      </c>
      <c r="Q2902" t="n">
        <v>111.59</v>
      </c>
      <c r="R2902" t="n">
        <v>365.46</v>
      </c>
      <c r="S2902" t="n">
        <v>207.4</v>
      </c>
      <c r="T2902" t="n">
        <v>113</v>
      </c>
      <c r="U2902" t="n">
        <v>1499.93</v>
      </c>
      <c r="X2902" t="inlineStr">
        <is>
          <t>acoa-apeca</t>
        </is>
      </c>
      <c r="Y2902" t="inlineStr">
        <is>
          <t>Atlantic Canada Opportunities Agency | Agence de promotion économique du Canada atlantique</t>
        </is>
      </c>
      <c r="Z2902" t="n">
        <v>3</v>
      </c>
      <c r="AA2902" t="n">
        <v>1499.93</v>
      </c>
      <c r="AB2902">
        <f>ROUND(U2902-AA2902,2)</f>
        <v/>
      </c>
      <c r="AC2902" t="b">
        <v>0</v>
      </c>
      <c r="AD2902">
        <f>IF(U2902="","MISSING_TOTAL",IF(ABS(AB2902)&lt;=0.01,"OK","CHECK"))</f>
        <v/>
      </c>
      <c r="AE2902">
        <f>IF(U2902="","MISSING",IF(AND(AA2902&gt;0,U2902/AA2902&gt;50),"POSSIBLE_SCALE_ERROR","OK"))</f>
        <v/>
      </c>
    </row>
    <row r="2903">
      <c r="A2903" t="inlineStr">
        <is>
          <t>T-2016-Q3-00056</t>
        </is>
      </c>
      <c r="B2903" t="inlineStr">
        <is>
          <t>SLE</t>
        </is>
      </c>
      <c r="C2903" t="inlineStr">
        <is>
          <t>Vice-President, Policy and Programs</t>
        </is>
      </c>
      <c r="D2903" t="inlineStr">
        <is>
          <t>Vice-président, Politiques et Programmes</t>
        </is>
      </c>
      <c r="E2903" t="inlineStr">
        <is>
          <t>Daryell Nowlan</t>
        </is>
      </c>
      <c r="F2903" t="inlineStr">
        <is>
          <t>Meetings with Government of Canada officials</t>
        </is>
      </c>
      <c r="G2903" t="inlineStr">
        <is>
          <t>Réunions avec des fonctionnaires du gouvernement du Canada</t>
        </is>
      </c>
      <c r="H2903" s="1" t="n">
        <v>42332</v>
      </c>
      <c r="I2903" s="1" t="n">
        <v>42334</v>
      </c>
      <c r="J2903" t="inlineStr">
        <is>
          <t>Ottawa, Ontario</t>
        </is>
      </c>
      <c r="K2903" t="inlineStr">
        <is>
          <t>Ottawa (Ontario)</t>
        </is>
      </c>
      <c r="P2903" t="n">
        <v>644.1</v>
      </c>
      <c r="Q2903" t="n">
        <v>89.33</v>
      </c>
      <c r="R2903" t="n">
        <v>393.4</v>
      </c>
      <c r="S2903" t="n">
        <v>174.3</v>
      </c>
      <c r="T2903" t="n">
        <v>0</v>
      </c>
      <c r="U2903" t="n">
        <v>1301.13</v>
      </c>
      <c r="X2903" t="inlineStr">
        <is>
          <t>acoa-apeca</t>
        </is>
      </c>
      <c r="Y2903" t="inlineStr">
        <is>
          <t>Atlantic Canada Opportunities Agency | Agence de promotion économique du Canada atlantique</t>
        </is>
      </c>
      <c r="Z2903" t="n">
        <v>3</v>
      </c>
      <c r="AA2903" t="n">
        <v>1301.12999999999</v>
      </c>
      <c r="AB2903">
        <f>ROUND(U2903-AA2903,2)</f>
        <v/>
      </c>
      <c r="AC2903" t="b">
        <v>0</v>
      </c>
      <c r="AD2903">
        <f>IF(U2903="","MISSING_TOTAL",IF(ABS(AB2903)&lt;=0.01,"OK","CHECK"))</f>
        <v/>
      </c>
      <c r="AE2903">
        <f>IF(U2903="","MISSING",IF(AND(AA2903&gt;0,U2903/AA2903&gt;50),"POSSIBLE_SCALE_ERROR","OK"))</f>
        <v/>
      </c>
    </row>
    <row r="2904">
      <c r="A2904" t="inlineStr">
        <is>
          <t>T-2016-Q3-00054</t>
        </is>
      </c>
      <c r="B2904" t="inlineStr">
        <is>
          <t>SLE</t>
        </is>
      </c>
      <c r="C2904" t="inlineStr">
        <is>
          <t>President</t>
        </is>
      </c>
      <c r="D2904" t="inlineStr">
        <is>
          <t>Président</t>
        </is>
      </c>
      <c r="E2904" t="inlineStr">
        <is>
          <t>Paul J. LeBlanc</t>
        </is>
      </c>
      <c r="F2904" t="inlineStr">
        <is>
          <t>For a meeting with officials from the Aerospace and Defense sector</t>
        </is>
      </c>
      <c r="G2904" t="inlineStr">
        <is>
          <t>Réunion avec des représentants du secteur de l'aérospatiale et de la défense</t>
        </is>
      </c>
      <c r="H2904" s="1" t="n">
        <v>42331</v>
      </c>
      <c r="I2904" s="1" t="n">
        <v>42331</v>
      </c>
      <c r="J2904" t="inlineStr">
        <is>
          <t>Halifax, Nova Scotia</t>
        </is>
      </c>
      <c r="K2904" t="inlineStr">
        <is>
          <t>Halifax (Nouvelle-Écosse)</t>
        </is>
      </c>
      <c r="P2904" t="n">
        <v>0</v>
      </c>
      <c r="Q2904" t="n">
        <v>0</v>
      </c>
      <c r="R2904" t="n">
        <v>0</v>
      </c>
      <c r="S2904" t="n">
        <v>61.2</v>
      </c>
      <c r="T2904" t="n">
        <v>51.9</v>
      </c>
      <c r="U2904" t="n">
        <v>113.1</v>
      </c>
      <c r="X2904" t="inlineStr">
        <is>
          <t>acoa-apeca</t>
        </is>
      </c>
      <c r="Y2904" t="inlineStr">
        <is>
          <t>Atlantic Canada Opportunities Agency | Agence de promotion économique du Canada atlantique</t>
        </is>
      </c>
      <c r="Z2904" t="n">
        <v>1</v>
      </c>
      <c r="AA2904" t="n">
        <v>113.1</v>
      </c>
      <c r="AB2904">
        <f>ROUND(U2904-AA2904,2)</f>
        <v/>
      </c>
      <c r="AC2904" t="b">
        <v>0</v>
      </c>
      <c r="AD2904">
        <f>IF(U2904="","MISSING_TOTAL",IF(ABS(AB2904)&lt;=0.01,"OK","CHECK"))</f>
        <v/>
      </c>
      <c r="AE2904">
        <f>IF(U2904="","MISSING",IF(AND(AA2904&gt;0,U2904/AA2904&gt;50),"POSSIBLE_SCALE_ERROR","OK"))</f>
        <v/>
      </c>
    </row>
    <row r="2905">
      <c r="A2905" t="inlineStr">
        <is>
          <t>T-2016-Q3-00053</t>
        </is>
      </c>
      <c r="B2905" t="inlineStr">
        <is>
          <t>SLE</t>
        </is>
      </c>
      <c r="C2905" t="inlineStr">
        <is>
          <t>Vice-President, Policy and Programs</t>
        </is>
      </c>
      <c r="D2905" t="inlineStr">
        <is>
          <t>Vice-président, Politiques et Programmes</t>
        </is>
      </c>
      <c r="E2905" t="inlineStr">
        <is>
          <t>Daryell Nowlan</t>
        </is>
      </c>
      <c r="F2905" t="inlineStr">
        <is>
          <t>Meetings with Government of Canada officials and site visits</t>
        </is>
      </c>
      <c r="G2905" t="inlineStr">
        <is>
          <t>Réunions avec des fonctionnaires du gouvernement du Canada et visites sur place</t>
        </is>
      </c>
      <c r="H2905" s="1" t="n">
        <v>42330</v>
      </c>
      <c r="I2905" s="1" t="n">
        <v>42331</v>
      </c>
      <c r="J2905" t="inlineStr">
        <is>
          <t>Halifax, Nova Scotia</t>
        </is>
      </c>
      <c r="K2905" t="inlineStr">
        <is>
          <t>Halifax (Nouvelle-Écosse)</t>
        </is>
      </c>
      <c r="P2905" t="n">
        <v>0</v>
      </c>
      <c r="Q2905" t="n">
        <v>228.5</v>
      </c>
      <c r="R2905" t="n">
        <v>171.93</v>
      </c>
      <c r="S2905" t="n">
        <v>95.8</v>
      </c>
      <c r="T2905" t="n">
        <v>0</v>
      </c>
      <c r="U2905" t="n">
        <v>496.23</v>
      </c>
      <c r="X2905" t="inlineStr">
        <is>
          <t>acoa-apeca</t>
        </is>
      </c>
      <c r="Y2905" t="inlineStr">
        <is>
          <t>Atlantic Canada Opportunities Agency | Agence de promotion économique du Canada atlantique</t>
        </is>
      </c>
      <c r="Z2905" t="n">
        <v>2</v>
      </c>
      <c r="AA2905" t="n">
        <v>496.23</v>
      </c>
      <c r="AB2905">
        <f>ROUND(U2905-AA2905,2)</f>
        <v/>
      </c>
      <c r="AC2905" t="b">
        <v>0</v>
      </c>
      <c r="AD2905">
        <f>IF(U2905="","MISSING_TOTAL",IF(ABS(AB2905)&lt;=0.01,"OK","CHECK"))</f>
        <v/>
      </c>
      <c r="AE2905">
        <f>IF(U2905="","MISSING",IF(AND(AA2905&gt;0,U2905/AA2905&gt;50),"POSSIBLE_SCALE_ERROR","OK"))</f>
        <v/>
      </c>
    </row>
    <row r="2906">
      <c r="A2906" t="inlineStr">
        <is>
          <t>T-2016-Q3-00052</t>
        </is>
      </c>
      <c r="B2906" t="inlineStr">
        <is>
          <t>SLE</t>
        </is>
      </c>
      <c r="C2906" t="inlineStr">
        <is>
          <t>Vice-President, Prince Edward Island</t>
        </is>
      </c>
      <c r="D2906" t="inlineStr">
        <is>
          <t>Vice-président, Île-du-Prince-Édouard</t>
        </is>
      </c>
      <c r="E2906" t="inlineStr">
        <is>
          <t>Patrick Dorsey</t>
        </is>
      </c>
      <c r="F2906" t="inlineStr">
        <is>
          <t>Meeting with Government of Canada officials and Memorial University</t>
        </is>
      </c>
      <c r="G2906" t="inlineStr">
        <is>
          <t>Réunion avec des représentants du gouvernement du Canada et de l'Université Memorial</t>
        </is>
      </c>
      <c r="H2906" s="1" t="n">
        <v>42325</v>
      </c>
      <c r="I2906" s="1" t="n">
        <v>42327</v>
      </c>
      <c r="J2906" t="inlineStr">
        <is>
          <t>St. John's, Newfoundland and Labrador</t>
        </is>
      </c>
      <c r="K2906" t="inlineStr">
        <is>
          <t>St. John's (Terre-Neuve-et-Labrador)</t>
        </is>
      </c>
      <c r="P2906" t="n">
        <v>1004.42</v>
      </c>
      <c r="Q2906" t="n">
        <v>112.83</v>
      </c>
      <c r="R2906" t="n">
        <v>348.66</v>
      </c>
      <c r="S2906" t="n">
        <v>174.3</v>
      </c>
      <c r="T2906" t="n">
        <v>0</v>
      </c>
      <c r="U2906" t="n">
        <v>1640.21</v>
      </c>
      <c r="X2906" t="inlineStr">
        <is>
          <t>acoa-apeca</t>
        </is>
      </c>
      <c r="Y2906" t="inlineStr">
        <is>
          <t>Atlantic Canada Opportunities Agency | Agence de promotion économique du Canada atlantique</t>
        </is>
      </c>
      <c r="Z2906" t="n">
        <v>3</v>
      </c>
      <c r="AA2906" t="n">
        <v>1640.21</v>
      </c>
      <c r="AB2906">
        <f>ROUND(U2906-AA2906,2)</f>
        <v/>
      </c>
      <c r="AC2906" t="b">
        <v>0</v>
      </c>
      <c r="AD2906">
        <f>IF(U2906="","MISSING_TOTAL",IF(ABS(AB2906)&lt;=0.01,"OK","CHECK"))</f>
        <v/>
      </c>
      <c r="AE2906">
        <f>IF(U2906="","MISSING",IF(AND(AA2906&gt;0,U2906/AA2906&gt;50),"POSSIBLE_SCALE_ERROR","OK"))</f>
        <v/>
      </c>
    </row>
    <row r="2907">
      <c r="A2907" t="inlineStr">
        <is>
          <t>T-2016-Q3-00051</t>
        </is>
      </c>
      <c r="B2907" t="inlineStr">
        <is>
          <t>SLE</t>
        </is>
      </c>
      <c r="C2907" t="inlineStr">
        <is>
          <t>Vice-President, Policy and Programs</t>
        </is>
      </c>
      <c r="D2907" t="inlineStr">
        <is>
          <t>Vice-président, Politiques et Programmes</t>
        </is>
      </c>
      <c r="E2907" t="inlineStr">
        <is>
          <t>Daryell Nowlan</t>
        </is>
      </c>
      <c r="F2907" t="inlineStr">
        <is>
          <t>Meeting with Government of Canada officials</t>
        </is>
      </c>
      <c r="G2907" t="inlineStr">
        <is>
          <t>Réunion avec des fonctionnaires du gouvernement du Canada</t>
        </is>
      </c>
      <c r="H2907" s="1" t="n">
        <v>42325</v>
      </c>
      <c r="I2907" s="1" t="n">
        <v>42326</v>
      </c>
      <c r="J2907" t="inlineStr">
        <is>
          <t>Ottawa, Ontario</t>
        </is>
      </c>
      <c r="K2907" t="inlineStr">
        <is>
          <t>Ottawa (Ontario)</t>
        </is>
      </c>
      <c r="P2907" t="n">
        <v>644.1</v>
      </c>
      <c r="Q2907" t="n">
        <v>121</v>
      </c>
      <c r="R2907" t="n">
        <v>231.62</v>
      </c>
      <c r="S2907" t="n">
        <v>156.75</v>
      </c>
      <c r="T2907" t="n">
        <v>0</v>
      </c>
      <c r="U2907" t="n">
        <v>1153.47</v>
      </c>
      <c r="X2907" t="inlineStr">
        <is>
          <t>acoa-apeca</t>
        </is>
      </c>
      <c r="Y2907" t="inlineStr">
        <is>
          <t>Atlantic Canada Opportunities Agency | Agence de promotion économique du Canada atlantique</t>
        </is>
      </c>
      <c r="Z2907" t="n">
        <v>2</v>
      </c>
      <c r="AA2907" t="n">
        <v>1153.47</v>
      </c>
      <c r="AB2907">
        <f>ROUND(U2907-AA2907,2)</f>
        <v/>
      </c>
      <c r="AC2907" t="b">
        <v>0</v>
      </c>
      <c r="AD2907">
        <f>IF(U2907="","MISSING_TOTAL",IF(ABS(AB2907)&lt;=0.01,"OK","CHECK"))</f>
        <v/>
      </c>
      <c r="AE2907">
        <f>IF(U2907="","MISSING",IF(AND(AA2907&gt;0,U2907/AA2907&gt;50),"POSSIBLE_SCALE_ERROR","OK"))</f>
        <v/>
      </c>
    </row>
    <row r="2908">
      <c r="A2908" t="inlineStr">
        <is>
          <t>T-2016-Q3-00050</t>
        </is>
      </c>
      <c r="B2908" t="inlineStr">
        <is>
          <t>SLE</t>
        </is>
      </c>
      <c r="C2908" t="inlineStr">
        <is>
          <t>President</t>
        </is>
      </c>
      <c r="D2908" t="inlineStr">
        <is>
          <t>Président</t>
        </is>
      </c>
      <c r="E2908" t="inlineStr">
        <is>
          <t>Paul J. LeBlanc</t>
        </is>
      </c>
      <c r="F2908" t="inlineStr">
        <is>
          <t>For various meetings and discussions with Agency officials and Government of Canada officials</t>
        </is>
      </c>
      <c r="G2908" t="inlineStr">
        <is>
          <t>Diverses réunions et discussions avec des fonctionnaires de l'Agence et du gouvernement du Canada</t>
        </is>
      </c>
      <c r="H2908" s="1" t="n">
        <v>42325</v>
      </c>
      <c r="I2908" s="1" t="n">
        <v>42326</v>
      </c>
      <c r="J2908" t="inlineStr">
        <is>
          <t>Ottawa, Ontario</t>
        </is>
      </c>
      <c r="K2908" t="inlineStr">
        <is>
          <t>Ottawa (Ontario)</t>
        </is>
      </c>
      <c r="P2908" t="n">
        <v>733.76</v>
      </c>
      <c r="Q2908" t="n">
        <v>0</v>
      </c>
      <c r="R2908" t="n">
        <v>196.7</v>
      </c>
      <c r="S2908" t="n">
        <v>67.95</v>
      </c>
      <c r="T2908" t="n">
        <v>0</v>
      </c>
      <c r="U2908" t="n">
        <v>998.41</v>
      </c>
      <c r="X2908" t="inlineStr">
        <is>
          <t>acoa-apeca</t>
        </is>
      </c>
      <c r="Y2908" t="inlineStr">
        <is>
          <t>Atlantic Canada Opportunities Agency | Agence de promotion économique du Canada atlantique</t>
        </is>
      </c>
      <c r="Z2908" t="n">
        <v>2</v>
      </c>
      <c r="AA2908" t="n">
        <v>998.41</v>
      </c>
      <c r="AB2908">
        <f>ROUND(U2908-AA2908,2)</f>
        <v/>
      </c>
      <c r="AC2908" t="b">
        <v>0</v>
      </c>
      <c r="AD2908">
        <f>IF(U2908="","MISSING_TOTAL",IF(ABS(AB2908)&lt;=0.01,"OK","CHECK"))</f>
        <v/>
      </c>
      <c r="AE2908">
        <f>IF(U2908="","MISSING",IF(AND(AA2908&gt;0,U2908/AA2908&gt;50),"POSSIBLE_SCALE_ERROR","OK"))</f>
        <v/>
      </c>
    </row>
    <row r="2909">
      <c r="A2909" t="inlineStr">
        <is>
          <t>T-2016-Q3-00049</t>
        </is>
      </c>
      <c r="B2909" t="inlineStr">
        <is>
          <t>SLE</t>
        </is>
      </c>
      <c r="C2909" t="inlineStr">
        <is>
          <t>Vice President, Nova Scotia</t>
        </is>
      </c>
      <c r="D2909" t="inlineStr">
        <is>
          <t>Vice-président, Nouvelle-Écosse</t>
        </is>
      </c>
      <c r="E2909" t="inlineStr">
        <is>
          <t>Peter Hogan</t>
        </is>
      </c>
      <c r="F2909" t="inlineStr">
        <is>
          <t>Various meetings with Government of Canada officials and site visits</t>
        </is>
      </c>
      <c r="G2909" t="inlineStr">
        <is>
          <t>Diverses réunions avec des fonctionnaires du gouvernement du Canada et visites sur place</t>
        </is>
      </c>
      <c r="H2909" s="1" t="n">
        <v>42324</v>
      </c>
      <c r="I2909" s="1" t="n">
        <v>42325</v>
      </c>
      <c r="J2909" t="inlineStr">
        <is>
          <t>Kentville, Nova Scotia</t>
        </is>
      </c>
      <c r="K2909" t="inlineStr">
        <is>
          <t>Kentville (Nouvelle-Écosse)</t>
        </is>
      </c>
      <c r="P2909" t="n">
        <v>0</v>
      </c>
      <c r="Q2909" t="n">
        <v>0</v>
      </c>
      <c r="R2909" t="n">
        <v>132.25</v>
      </c>
      <c r="S2909" t="n">
        <v>112.6</v>
      </c>
      <c r="T2909" t="n">
        <v>0</v>
      </c>
      <c r="U2909" t="n">
        <v>244.85</v>
      </c>
      <c r="X2909" t="inlineStr">
        <is>
          <t>acoa-apeca</t>
        </is>
      </c>
      <c r="Y2909" t="inlineStr">
        <is>
          <t>Atlantic Canada Opportunities Agency | Agence de promotion économique du Canada atlantique</t>
        </is>
      </c>
      <c r="Z2909" t="n">
        <v>2</v>
      </c>
      <c r="AA2909" t="n">
        <v>244.85</v>
      </c>
      <c r="AB2909">
        <f>ROUND(U2909-AA2909,2)</f>
        <v/>
      </c>
      <c r="AC2909" t="b">
        <v>0</v>
      </c>
      <c r="AD2909">
        <f>IF(U2909="","MISSING_TOTAL",IF(ABS(AB2909)&lt;=0.01,"OK","CHECK"))</f>
        <v/>
      </c>
      <c r="AE2909">
        <f>IF(U2909="","MISSING",IF(AND(AA2909&gt;0,U2909/AA2909&gt;50),"POSSIBLE_SCALE_ERROR","OK"))</f>
        <v/>
      </c>
    </row>
    <row r="2910">
      <c r="A2910" t="inlineStr">
        <is>
          <t>T-2016-Q3-00048</t>
        </is>
      </c>
      <c r="B2910" t="inlineStr">
        <is>
          <t>SLE</t>
        </is>
      </c>
      <c r="C2910" t="inlineStr">
        <is>
          <t>Vice-President, Newfoundland and Labrador</t>
        </is>
      </c>
      <c r="D2910" t="inlineStr">
        <is>
          <t>Vice-président, Terre-Neuve-et-Labrador</t>
        </is>
      </c>
      <c r="E2910" t="inlineStr">
        <is>
          <t>Ken Martin</t>
        </is>
      </c>
      <c r="F2910" t="inlineStr">
        <is>
          <t>Meetings in Halifax with universities</t>
        </is>
      </c>
      <c r="G2910" t="inlineStr">
        <is>
          <t>Réunions à Halifax avec des représentants d'universités</t>
        </is>
      </c>
      <c r="H2910" s="1" t="n">
        <v>42320</v>
      </c>
      <c r="I2910" s="1" t="n">
        <v>42320</v>
      </c>
      <c r="J2910" t="inlineStr">
        <is>
          <t>Halifax, Nova Scotia</t>
        </is>
      </c>
      <c r="K2910" t="inlineStr">
        <is>
          <t>Halifax (Nouvelle-Écosse)</t>
        </is>
      </c>
      <c r="P2910" t="n">
        <v>581.15</v>
      </c>
      <c r="Q2910" t="n">
        <v>42.9</v>
      </c>
      <c r="R2910" t="n">
        <v>0</v>
      </c>
      <c r="S2910" t="n">
        <v>61.2</v>
      </c>
      <c r="T2910" t="n">
        <v>16</v>
      </c>
      <c r="U2910" t="n">
        <v>701.25</v>
      </c>
      <c r="X2910" t="inlineStr">
        <is>
          <t>acoa-apeca</t>
        </is>
      </c>
      <c r="Y2910" t="inlineStr">
        <is>
          <t>Atlantic Canada Opportunities Agency | Agence de promotion économique du Canada atlantique</t>
        </is>
      </c>
      <c r="Z2910" t="n">
        <v>1</v>
      </c>
      <c r="AA2910" t="n">
        <v>701.25</v>
      </c>
      <c r="AB2910">
        <f>ROUND(U2910-AA2910,2)</f>
        <v/>
      </c>
      <c r="AC2910" t="b">
        <v>0</v>
      </c>
      <c r="AD2910">
        <f>IF(U2910="","MISSING_TOTAL",IF(ABS(AB2910)&lt;=0.01,"OK","CHECK"))</f>
        <v/>
      </c>
      <c r="AE2910">
        <f>IF(U2910="","MISSING",IF(AND(AA2910&gt;0,U2910/AA2910&gt;50),"POSSIBLE_SCALE_ERROR","OK"))</f>
        <v/>
      </c>
    </row>
    <row r="2911">
      <c r="A2911" t="inlineStr">
        <is>
          <t>T-2016-Q3-00047</t>
        </is>
      </c>
      <c r="B2911" t="inlineStr">
        <is>
          <t>SLE</t>
        </is>
      </c>
      <c r="C2911" t="inlineStr">
        <is>
          <t>President</t>
        </is>
      </c>
      <c r="D2911" t="inlineStr">
        <is>
          <t>Président</t>
        </is>
      </c>
      <c r="E2911" t="inlineStr">
        <is>
          <t>Paul J. LeBlanc</t>
        </is>
      </c>
      <c r="F2911" t="inlineStr">
        <is>
          <t>For various meetings and discussions with Agency officials and Government of Canada officials</t>
        </is>
      </c>
      <c r="G2911" t="inlineStr">
        <is>
          <t>Diverses réunions et discussions avec des fonctionnaires de l'Agence et du gouvernement du Canada</t>
        </is>
      </c>
      <c r="H2911" s="1" t="n">
        <v>42320</v>
      </c>
      <c r="I2911" s="1" t="n">
        <v>42321</v>
      </c>
      <c r="J2911" t="inlineStr">
        <is>
          <t>Ottawa, Ontario</t>
        </is>
      </c>
      <c r="K2911" t="inlineStr">
        <is>
          <t>Ottawa (Ontario)</t>
        </is>
      </c>
      <c r="P2911" t="n">
        <v>755.4</v>
      </c>
      <c r="Q2911" t="n">
        <v>43</v>
      </c>
      <c r="R2911" t="n">
        <v>203.68</v>
      </c>
      <c r="S2911" t="n">
        <v>95.8</v>
      </c>
      <c r="T2911" t="n">
        <v>0</v>
      </c>
      <c r="U2911" t="n">
        <v>1097.88</v>
      </c>
      <c r="X2911" t="inlineStr">
        <is>
          <t>acoa-apeca</t>
        </is>
      </c>
      <c r="Y2911" t="inlineStr">
        <is>
          <t>Atlantic Canada Opportunities Agency | Agence de promotion économique du Canada atlantique</t>
        </is>
      </c>
      <c r="Z2911" t="n">
        <v>2</v>
      </c>
      <c r="AA2911" t="n">
        <v>1097.87999999999</v>
      </c>
      <c r="AB2911">
        <f>ROUND(U2911-AA2911,2)</f>
        <v/>
      </c>
      <c r="AC2911" t="b">
        <v>0</v>
      </c>
      <c r="AD2911">
        <f>IF(U2911="","MISSING_TOTAL",IF(ABS(AB2911)&lt;=0.01,"OK","CHECK"))</f>
        <v/>
      </c>
      <c r="AE2911">
        <f>IF(U2911="","MISSING",IF(AND(AA2911&gt;0,U2911/AA2911&gt;50),"POSSIBLE_SCALE_ERROR","OK"))</f>
        <v/>
      </c>
    </row>
    <row r="2912">
      <c r="A2912" t="inlineStr">
        <is>
          <t>T-2016-Q3-00045</t>
        </is>
      </c>
      <c r="B2912" t="inlineStr">
        <is>
          <t>SLE</t>
        </is>
      </c>
      <c r="C2912" t="inlineStr">
        <is>
          <t>Vice President, Nova Scotia</t>
        </is>
      </c>
      <c r="D2912" t="inlineStr">
        <is>
          <t>Vice-président, Nouvelle-Écosse</t>
        </is>
      </c>
      <c r="E2912" t="inlineStr">
        <is>
          <t>Peter Hogan</t>
        </is>
      </c>
      <c r="F2912" t="inlineStr">
        <is>
          <t>Various meetings with Agency officials and site visits</t>
        </is>
      </c>
      <c r="G2912" t="inlineStr">
        <is>
          <t>Diverses réunions avec des fonctionnaires de l'Agence et visites sur place</t>
        </is>
      </c>
      <c r="H2912" s="1" t="n">
        <v>42317</v>
      </c>
      <c r="I2912" s="1" t="n">
        <v>42318</v>
      </c>
      <c r="J2912" t="inlineStr">
        <is>
          <t>Sydney, Nova Scotia</t>
        </is>
      </c>
      <c r="K2912" t="inlineStr">
        <is>
          <t>Sydney (Nouvelle-Écosse)</t>
        </is>
      </c>
      <c r="P2912" t="n">
        <v>0</v>
      </c>
      <c r="Q2912" t="n">
        <v>0</v>
      </c>
      <c r="R2912" t="n">
        <v>123.17</v>
      </c>
      <c r="S2912" t="n">
        <v>129.15</v>
      </c>
      <c r="T2912" t="n">
        <v>0</v>
      </c>
      <c r="U2912" t="n">
        <v>252.32</v>
      </c>
      <c r="X2912" t="inlineStr">
        <is>
          <t>acoa-apeca</t>
        </is>
      </c>
      <c r="Y2912" t="inlineStr">
        <is>
          <t>Atlantic Canada Opportunities Agency | Agence de promotion économique du Canada atlantique</t>
        </is>
      </c>
      <c r="Z2912" t="n">
        <v>2</v>
      </c>
      <c r="AA2912" t="n">
        <v>252.32</v>
      </c>
      <c r="AB2912">
        <f>ROUND(U2912-AA2912,2)</f>
        <v/>
      </c>
      <c r="AC2912" t="b">
        <v>0</v>
      </c>
      <c r="AD2912">
        <f>IF(U2912="","MISSING_TOTAL",IF(ABS(AB2912)&lt;=0.01,"OK","CHECK"))</f>
        <v/>
      </c>
      <c r="AE2912">
        <f>IF(U2912="","MISSING",IF(AND(AA2912&gt;0,U2912/AA2912&gt;50),"POSSIBLE_SCALE_ERROR","OK"))</f>
        <v/>
      </c>
    </row>
    <row r="2913">
      <c r="A2913" t="inlineStr">
        <is>
          <t>T-2016-Q3-00044</t>
        </is>
      </c>
      <c r="B2913" t="inlineStr">
        <is>
          <t>SLE</t>
        </is>
      </c>
      <c r="C2913" t="inlineStr">
        <is>
          <t>Vice President, Nova Scotia</t>
        </is>
      </c>
      <c r="D2913" t="inlineStr">
        <is>
          <t>Vice-président, Nouvelle-Écosse</t>
        </is>
      </c>
      <c r="E2913" t="inlineStr">
        <is>
          <t>Peter Hogan</t>
        </is>
      </c>
      <c r="F2913" t="inlineStr">
        <is>
          <t>Various meetings with Agency staff and private sector</t>
        </is>
      </c>
      <c r="G2913" t="inlineStr">
        <is>
          <t>Diverses réunions avec des employés de l'Agence et des représentants du secteur privé</t>
        </is>
      </c>
      <c r="H2913" s="1" t="n">
        <v>42311</v>
      </c>
      <c r="I2913" s="1" t="n">
        <v>42311</v>
      </c>
      <c r="J2913" t="inlineStr">
        <is>
          <t>Lunenburg, Nova Scotia</t>
        </is>
      </c>
      <c r="K2913" t="inlineStr">
        <is>
          <t>Lunenburg (Nouvelle-Écosse)</t>
        </is>
      </c>
      <c r="P2913" t="n">
        <v>0</v>
      </c>
      <c r="Q2913" t="n">
        <v>0</v>
      </c>
      <c r="R2913" t="n">
        <v>0</v>
      </c>
      <c r="S2913" t="n">
        <v>16.8</v>
      </c>
      <c r="T2913" t="n">
        <v>0</v>
      </c>
      <c r="U2913" t="n">
        <v>16.8</v>
      </c>
      <c r="X2913" t="inlineStr">
        <is>
          <t>acoa-apeca</t>
        </is>
      </c>
      <c r="Y2913" t="inlineStr">
        <is>
          <t>Atlantic Canada Opportunities Agency | Agence de promotion économique du Canada atlantique</t>
        </is>
      </c>
      <c r="Z2913" t="n">
        <v>1</v>
      </c>
      <c r="AA2913" t="n">
        <v>16.8</v>
      </c>
      <c r="AB2913">
        <f>ROUND(U2913-AA2913,2)</f>
        <v/>
      </c>
      <c r="AC2913" t="b">
        <v>0</v>
      </c>
      <c r="AD2913">
        <f>IF(U2913="","MISSING_TOTAL",IF(ABS(AB2913)&lt;=0.01,"OK","CHECK"))</f>
        <v/>
      </c>
      <c r="AE2913">
        <f>IF(U2913="","MISSING",IF(AND(AA2913&gt;0,U2913/AA2913&gt;50),"POSSIBLE_SCALE_ERROR","OK"))</f>
        <v/>
      </c>
    </row>
    <row r="2914">
      <c r="A2914" t="inlineStr">
        <is>
          <t>T-2016-Q3-00043</t>
        </is>
      </c>
      <c r="B2914" t="inlineStr">
        <is>
          <t>SLE</t>
        </is>
      </c>
      <c r="C2914" t="inlineStr">
        <is>
          <t>President</t>
        </is>
      </c>
      <c r="D2914" t="inlineStr">
        <is>
          <t>Président</t>
        </is>
      </c>
      <c r="E2914" t="inlineStr">
        <is>
          <t>Paul J. LeBlanc</t>
        </is>
      </c>
      <c r="F2914" t="inlineStr">
        <is>
          <t>For various meetings and discussions with Agency officials and Government of Canada officials</t>
        </is>
      </c>
      <c r="G2914" t="inlineStr">
        <is>
          <t>Diverses réunions et discussions avec des fonctionnaires de l'Agence et du gouvernement du Canada</t>
        </is>
      </c>
      <c r="H2914" s="1" t="n">
        <v>42311</v>
      </c>
      <c r="I2914" s="1" t="n">
        <v>42314</v>
      </c>
      <c r="J2914" t="inlineStr">
        <is>
          <t>Ottawa, Ontario</t>
        </is>
      </c>
      <c r="K2914" t="inlineStr">
        <is>
          <t>Ottawa (Ontario)</t>
        </is>
      </c>
      <c r="P2914" t="n">
        <v>639.58</v>
      </c>
      <c r="Q2914" t="n">
        <v>0</v>
      </c>
      <c r="R2914" t="n">
        <v>590.1</v>
      </c>
      <c r="S2914" t="n">
        <v>224.95</v>
      </c>
      <c r="T2914" t="n">
        <v>169.5</v>
      </c>
      <c r="U2914" t="n">
        <v>1624.13</v>
      </c>
      <c r="X2914" t="inlineStr">
        <is>
          <t>acoa-apeca</t>
        </is>
      </c>
      <c r="Y2914" t="inlineStr">
        <is>
          <t>Atlantic Canada Opportunities Agency | Agence de promotion économique du Canada atlantique</t>
        </is>
      </c>
      <c r="Z2914" t="n">
        <v>4</v>
      </c>
      <c r="AA2914" t="n">
        <v>1624.13</v>
      </c>
      <c r="AB2914">
        <f>ROUND(U2914-AA2914,2)</f>
        <v/>
      </c>
      <c r="AC2914" t="b">
        <v>0</v>
      </c>
      <c r="AD2914">
        <f>IF(U2914="","MISSING_TOTAL",IF(ABS(AB2914)&lt;=0.01,"OK","CHECK"))</f>
        <v/>
      </c>
      <c r="AE2914">
        <f>IF(U2914="","MISSING",IF(AND(AA2914&gt;0,U2914/AA2914&gt;50),"POSSIBLE_SCALE_ERROR","OK"))</f>
        <v/>
      </c>
    </row>
    <row r="2915">
      <c r="A2915" t="inlineStr">
        <is>
          <t>T-2016-Q3-00042</t>
        </is>
      </c>
      <c r="B2915" t="inlineStr">
        <is>
          <t>SLE</t>
        </is>
      </c>
      <c r="C2915" t="inlineStr">
        <is>
          <t>Vice-President, New Brunswick</t>
        </is>
      </c>
      <c r="D2915" t="inlineStr">
        <is>
          <t>Vice-président, Nouveau-Brunswick</t>
        </is>
      </c>
      <c r="E2915" t="inlineStr">
        <is>
          <t>Kent Estabrooks</t>
        </is>
      </c>
      <c r="F2915" t="inlineStr">
        <is>
          <t>Various meetings with federal officials</t>
        </is>
      </c>
      <c r="G2915" t="inlineStr">
        <is>
          <t>Diverses réunions avec des fonctionnaires fédéraux</t>
        </is>
      </c>
      <c r="H2915" s="1" t="n">
        <v>42310</v>
      </c>
      <c r="I2915" s="1" t="n">
        <v>42312</v>
      </c>
      <c r="J2915" t="inlineStr">
        <is>
          <t>Ottawa, Ontario</t>
        </is>
      </c>
      <c r="K2915" t="inlineStr">
        <is>
          <t>Ottawa (Ontario)</t>
        </is>
      </c>
      <c r="P2915" t="n">
        <v>937.9</v>
      </c>
      <c r="Q2915" t="n">
        <v>132.5</v>
      </c>
      <c r="R2915" t="n">
        <v>365.64</v>
      </c>
      <c r="S2915" t="n">
        <v>157.5</v>
      </c>
      <c r="T2915" t="n">
        <v>0</v>
      </c>
      <c r="U2915" t="n">
        <v>1593.54</v>
      </c>
      <c r="X2915" t="inlineStr">
        <is>
          <t>acoa-apeca</t>
        </is>
      </c>
      <c r="Y2915" t="inlineStr">
        <is>
          <t>Atlantic Canada Opportunities Agency | Agence de promotion économique du Canada atlantique</t>
        </is>
      </c>
      <c r="Z2915" t="n">
        <v>3</v>
      </c>
      <c r="AA2915" t="n">
        <v>1593.54</v>
      </c>
      <c r="AB2915">
        <f>ROUND(U2915-AA2915,2)</f>
        <v/>
      </c>
      <c r="AC2915" t="b">
        <v>0</v>
      </c>
      <c r="AD2915">
        <f>IF(U2915="","MISSING_TOTAL",IF(ABS(AB2915)&lt;=0.01,"OK","CHECK"))</f>
        <v/>
      </c>
      <c r="AE2915">
        <f>IF(U2915="","MISSING",IF(AND(AA2915&gt;0,U2915/AA2915&gt;50),"POSSIBLE_SCALE_ERROR","OK"))</f>
        <v/>
      </c>
    </row>
    <row r="2916">
      <c r="A2916" t="inlineStr">
        <is>
          <t>T-2016-Q2-00010</t>
        </is>
      </c>
      <c r="B2916" t="inlineStr">
        <is>
          <t>MPSES</t>
        </is>
      </c>
      <c r="C2916" t="inlineStr">
        <is>
          <t>Special Assistant - New Brunswick</t>
        </is>
      </c>
      <c r="D2916" t="inlineStr">
        <is>
          <t>Adjointe spéciale – Nouveau-Brunswick</t>
        </is>
      </c>
      <c r="E2916" t="inlineStr">
        <is>
          <t>Erika Keirstead</t>
        </is>
      </c>
      <c r="F2916" t="inlineStr">
        <is>
          <t>Travel for Government business</t>
        </is>
      </c>
      <c r="G2916" t="inlineStr">
        <is>
          <t>Voyage pour affaires officielles</t>
        </is>
      </c>
      <c r="H2916" s="1" t="n">
        <v>42163</v>
      </c>
      <c r="I2916" s="1" t="n">
        <v>42163</v>
      </c>
      <c r="J2916" t="inlineStr">
        <is>
          <t>Fredericton, New Brunswick</t>
        </is>
      </c>
      <c r="K2916" t="inlineStr">
        <is>
          <t>Fredericton (Nouveau-Brunswick)</t>
        </is>
      </c>
      <c r="P2916" t="n">
        <v>0</v>
      </c>
      <c r="Q2916" t="n">
        <v>14.1</v>
      </c>
      <c r="R2916" t="n">
        <v>0</v>
      </c>
      <c r="S2916" t="n">
        <v>0</v>
      </c>
      <c r="T2916" t="n">
        <v>0</v>
      </c>
      <c r="U2916" t="n">
        <v>14.1</v>
      </c>
      <c r="X2916" t="inlineStr">
        <is>
          <t>acoa-apeca</t>
        </is>
      </c>
      <c r="Y2916" t="inlineStr">
        <is>
          <t>Atlantic Canada Opportunities Agency | Agence de promotion économique du Canada atlantique</t>
        </is>
      </c>
      <c r="Z2916" t="n">
        <v>1</v>
      </c>
      <c r="AA2916" t="n">
        <v>14.1</v>
      </c>
      <c r="AB2916">
        <f>ROUND(U2916-AA2916,2)</f>
        <v/>
      </c>
      <c r="AC2916" t="b">
        <v>0</v>
      </c>
      <c r="AD2916">
        <f>IF(U2916="","MISSING_TOTAL",IF(ABS(AB2916)&lt;=0.01,"OK","CHECK"))</f>
        <v/>
      </c>
      <c r="AE2916">
        <f>IF(U2916="","MISSING",IF(AND(AA2916&gt;0,U2916/AA2916&gt;50),"POSSIBLE_SCALE_ERROR","OK"))</f>
        <v/>
      </c>
    </row>
    <row r="2917">
      <c r="A2917" t="inlineStr">
        <is>
          <t>T-2016-Q3-00041</t>
        </is>
      </c>
      <c r="B2917" t="inlineStr">
        <is>
          <t>SLE</t>
        </is>
      </c>
      <c r="C2917" t="inlineStr">
        <is>
          <t>Vice-President, Policy and Programs</t>
        </is>
      </c>
      <c r="D2917" t="inlineStr">
        <is>
          <t>Vice-président, Politiques et Programmes</t>
        </is>
      </c>
      <c r="E2917" t="inlineStr">
        <is>
          <t>Daryell Nowlan</t>
        </is>
      </c>
      <c r="F2917" t="inlineStr">
        <is>
          <t>Meetings with Government of Canada officials</t>
        </is>
      </c>
      <c r="G2917" t="inlineStr">
        <is>
          <t>Réunions avec des fonctionnaires du gouvernement du Canada</t>
        </is>
      </c>
      <c r="H2917" s="1" t="n">
        <v>42310</v>
      </c>
      <c r="I2917" s="1" t="n">
        <v>42313</v>
      </c>
      <c r="J2917" t="inlineStr">
        <is>
          <t>Ottawa, Ontario</t>
        </is>
      </c>
      <c r="K2917" t="inlineStr">
        <is>
          <t>Ottawa (Ontario)</t>
        </is>
      </c>
      <c r="P2917" t="n">
        <v>639.58</v>
      </c>
      <c r="Q2917" t="n">
        <v>142.59</v>
      </c>
      <c r="R2917" t="n">
        <v>706.5</v>
      </c>
      <c r="S2917" t="n">
        <v>252.8</v>
      </c>
      <c r="T2917" t="n">
        <v>0</v>
      </c>
      <c r="U2917" t="n">
        <v>1741.47</v>
      </c>
      <c r="X2917" t="inlineStr">
        <is>
          <t>acoa-apeca</t>
        </is>
      </c>
      <c r="Y2917" t="inlineStr">
        <is>
          <t>Atlantic Canada Opportunities Agency | Agence de promotion économique du Canada atlantique</t>
        </is>
      </c>
      <c r="Z2917" t="n">
        <v>4</v>
      </c>
      <c r="AA2917" t="n">
        <v>1741.47</v>
      </c>
      <c r="AB2917">
        <f>ROUND(U2917-AA2917,2)</f>
        <v/>
      </c>
      <c r="AC2917" t="b">
        <v>0</v>
      </c>
      <c r="AD2917">
        <f>IF(U2917="","MISSING_TOTAL",IF(ABS(AB2917)&lt;=0.01,"OK","CHECK"))</f>
        <v/>
      </c>
      <c r="AE2917">
        <f>IF(U2917="","MISSING",IF(AND(AA2917&gt;0,U2917/AA2917&gt;50),"POSSIBLE_SCALE_ERROR","OK"))</f>
        <v/>
      </c>
    </row>
    <row r="2918">
      <c r="A2918" t="inlineStr">
        <is>
          <t>T-2016-Q3-00040</t>
        </is>
      </c>
      <c r="B2918" t="inlineStr">
        <is>
          <t>SLE</t>
        </is>
      </c>
      <c r="C2918" t="inlineStr">
        <is>
          <t>Vice-President, New Brunswick</t>
        </is>
      </c>
      <c r="D2918" t="inlineStr">
        <is>
          <t>Vice-président, Nouveau-Brunswick</t>
        </is>
      </c>
      <c r="E2918" t="inlineStr">
        <is>
          <t>Kent Estabrooks</t>
        </is>
      </c>
      <c r="F2918" t="inlineStr">
        <is>
          <t>Various meetings with Agency officials</t>
        </is>
      </c>
      <c r="G2918" t="inlineStr">
        <is>
          <t>Diverses réunions avec des fonctionnaires de l'Agence</t>
        </is>
      </c>
      <c r="H2918" s="1" t="n">
        <v>42305</v>
      </c>
      <c r="I2918" s="1" t="n">
        <v>42307</v>
      </c>
      <c r="J2918" t="inlineStr">
        <is>
          <t>Moncton, New Brunswick</t>
        </is>
      </c>
      <c r="K2918" t="inlineStr">
        <is>
          <t>Moncton (Nouveau-Brunswick)</t>
        </is>
      </c>
      <c r="P2918" t="n">
        <v>0</v>
      </c>
      <c r="Q2918" t="n">
        <v>0</v>
      </c>
      <c r="R2918" t="n">
        <v>123.17</v>
      </c>
      <c r="S2918" t="n">
        <v>95.8</v>
      </c>
      <c r="T2918" t="n">
        <v>15.26</v>
      </c>
      <c r="U2918" t="n">
        <v>234.23</v>
      </c>
      <c r="X2918" t="inlineStr">
        <is>
          <t>acoa-apeca</t>
        </is>
      </c>
      <c r="Y2918" t="inlineStr">
        <is>
          <t>Atlantic Canada Opportunities Agency | Agence de promotion économique du Canada atlantique</t>
        </is>
      </c>
      <c r="Z2918" t="n">
        <v>3</v>
      </c>
      <c r="AA2918" t="n">
        <v>234.23</v>
      </c>
      <c r="AB2918">
        <f>ROUND(U2918-AA2918,2)</f>
        <v/>
      </c>
      <c r="AC2918" t="b">
        <v>0</v>
      </c>
      <c r="AD2918">
        <f>IF(U2918="","MISSING_TOTAL",IF(ABS(AB2918)&lt;=0.01,"OK","CHECK"))</f>
        <v/>
      </c>
      <c r="AE2918">
        <f>IF(U2918="","MISSING",IF(AND(AA2918&gt;0,U2918/AA2918&gt;50),"POSSIBLE_SCALE_ERROR","OK"))</f>
        <v/>
      </c>
    </row>
    <row r="2919">
      <c r="A2919" t="inlineStr">
        <is>
          <t>T-2016-Q3-00039</t>
        </is>
      </c>
      <c r="B2919" t="inlineStr">
        <is>
          <t>SLE</t>
        </is>
      </c>
      <c r="C2919" t="inlineStr">
        <is>
          <t>Vice President, Nova Scotia</t>
        </is>
      </c>
      <c r="D2919" t="inlineStr">
        <is>
          <t>Vice-président, Nouvelle-Écosse</t>
        </is>
      </c>
      <c r="E2919" t="inlineStr">
        <is>
          <t>Peter Hogan</t>
        </is>
      </c>
      <c r="F2919" t="inlineStr">
        <is>
          <t>Meeting with Agency officials</t>
        </is>
      </c>
      <c r="G2919" t="inlineStr">
        <is>
          <t>Réunion avec des fonctionnaires de l'Agence</t>
        </is>
      </c>
      <c r="H2919" s="1" t="n">
        <v>42305</v>
      </c>
      <c r="I2919" s="1" t="n">
        <v>42306</v>
      </c>
      <c r="J2919" t="inlineStr">
        <is>
          <t>Moncton, New Brunswick</t>
        </is>
      </c>
      <c r="K2919" t="inlineStr">
        <is>
          <t>Moncton (Nouveau-Brunswick)</t>
        </is>
      </c>
      <c r="P2919" t="n">
        <v>0</v>
      </c>
      <c r="Q2919" t="n">
        <v>233.14</v>
      </c>
      <c r="R2919" t="n">
        <v>123.17</v>
      </c>
      <c r="S2919" t="n">
        <v>95.55</v>
      </c>
      <c r="T2919" t="n">
        <v>19.26</v>
      </c>
      <c r="U2919" t="n">
        <v>471.12</v>
      </c>
      <c r="X2919" t="inlineStr">
        <is>
          <t>acoa-apeca</t>
        </is>
      </c>
      <c r="Y2919" t="inlineStr">
        <is>
          <t>Atlantic Canada Opportunities Agency | Agence de promotion économique du Canada atlantique</t>
        </is>
      </c>
      <c r="Z2919" t="n">
        <v>2</v>
      </c>
      <c r="AA2919" t="n">
        <v>471.12</v>
      </c>
      <c r="AB2919">
        <f>ROUND(U2919-AA2919,2)</f>
        <v/>
      </c>
      <c r="AC2919" t="b">
        <v>0</v>
      </c>
      <c r="AD2919">
        <f>IF(U2919="","MISSING_TOTAL",IF(ABS(AB2919)&lt;=0.01,"OK","CHECK"))</f>
        <v/>
      </c>
      <c r="AE2919">
        <f>IF(U2919="","MISSING",IF(AND(AA2919&gt;0,U2919/AA2919&gt;50),"POSSIBLE_SCALE_ERROR","OK"))</f>
        <v/>
      </c>
    </row>
    <row r="2920">
      <c r="A2920" t="inlineStr">
        <is>
          <t>T-2016-Q3-00038</t>
        </is>
      </c>
      <c r="B2920" t="inlineStr">
        <is>
          <t>SLE</t>
        </is>
      </c>
      <c r="C2920" t="inlineStr">
        <is>
          <t>Vice-President, Newfoundland and Labrador</t>
        </is>
      </c>
      <c r="D2920" t="inlineStr">
        <is>
          <t>Vice-président, Terre-Neuve-et-Labrador</t>
        </is>
      </c>
      <c r="E2920" t="inlineStr">
        <is>
          <t>Ken Martin</t>
        </is>
      </c>
      <c r="F2920" t="inlineStr">
        <is>
          <t>Executive Committee meetings</t>
        </is>
      </c>
      <c r="G2920" t="inlineStr">
        <is>
          <t>Réunions du Comité de direction</t>
        </is>
      </c>
      <c r="H2920" s="1" t="n">
        <v>42305</v>
      </c>
      <c r="I2920" s="1" t="n">
        <v>42307</v>
      </c>
      <c r="J2920" t="inlineStr">
        <is>
          <t>Moncton, New Brunswick</t>
        </is>
      </c>
      <c r="K2920" t="inlineStr">
        <is>
          <t>Moncton (Nouveau-Brunswick)</t>
        </is>
      </c>
      <c r="P2920" t="n">
        <v>733.88</v>
      </c>
      <c r="Q2920" t="n">
        <v>69.8</v>
      </c>
      <c r="R2920" t="n">
        <v>291.54</v>
      </c>
      <c r="S2920" t="n">
        <v>157.5</v>
      </c>
      <c r="T2920" t="n">
        <v>0</v>
      </c>
      <c r="U2920" t="n">
        <v>1252.72</v>
      </c>
      <c r="X2920" t="inlineStr">
        <is>
          <t>acoa-apeca</t>
        </is>
      </c>
      <c r="Y2920" t="inlineStr">
        <is>
          <t>Atlantic Canada Opportunities Agency | Agence de promotion économique du Canada atlantique</t>
        </is>
      </c>
      <c r="Z2920" t="n">
        <v>3</v>
      </c>
      <c r="AA2920" t="n">
        <v>1252.72</v>
      </c>
      <c r="AB2920">
        <f>ROUND(U2920-AA2920,2)</f>
        <v/>
      </c>
      <c r="AC2920" t="b">
        <v>0</v>
      </c>
      <c r="AD2920">
        <f>IF(U2920="","MISSING_TOTAL",IF(ABS(AB2920)&lt;=0.01,"OK","CHECK"))</f>
        <v/>
      </c>
      <c r="AE2920">
        <f>IF(U2920="","MISSING",IF(AND(AA2920&gt;0,U2920/AA2920&gt;50),"POSSIBLE_SCALE_ERROR","OK"))</f>
        <v/>
      </c>
    </row>
    <row r="2921">
      <c r="A2921" t="inlineStr">
        <is>
          <t>T-2016-Q3-00036</t>
        </is>
      </c>
      <c r="B2921" t="inlineStr">
        <is>
          <t>SLE</t>
        </is>
      </c>
      <c r="C2921" t="inlineStr">
        <is>
          <t>Vice-President, Prince Edward Island</t>
        </is>
      </c>
      <c r="D2921" t="inlineStr">
        <is>
          <t>Vice-président, Île-du-Prince-Édouard</t>
        </is>
      </c>
      <c r="E2921" t="inlineStr">
        <is>
          <t>Patrick Dorsey</t>
        </is>
      </c>
      <c r="F2921" t="inlineStr">
        <is>
          <t>Meetings with Government of Canada officials</t>
        </is>
      </c>
      <c r="G2921" t="inlineStr">
        <is>
          <t>Réunions avec des fonctionnaires du gouvernement du Canada</t>
        </is>
      </c>
      <c r="H2921" s="1" t="n">
        <v>42305</v>
      </c>
      <c r="I2921" s="1" t="n">
        <v>42307</v>
      </c>
      <c r="J2921" t="inlineStr">
        <is>
          <t>Moncton, New Brunswick</t>
        </is>
      </c>
      <c r="K2921" t="inlineStr">
        <is>
          <t>Moncton (Nouveau-Brunswick)</t>
        </is>
      </c>
      <c r="P2921" t="n">
        <v>0</v>
      </c>
      <c r="Q2921" t="n">
        <v>83.52</v>
      </c>
      <c r="R2921" t="n">
        <v>246.34</v>
      </c>
      <c r="S2921" t="n">
        <v>157.25</v>
      </c>
      <c r="T2921" t="n">
        <v>0</v>
      </c>
      <c r="U2921" t="n">
        <v>487.11</v>
      </c>
      <c r="X2921" t="inlineStr">
        <is>
          <t>acoa-apeca</t>
        </is>
      </c>
      <c r="Y2921" t="inlineStr">
        <is>
          <t>Atlantic Canada Opportunities Agency | Agence de promotion économique du Canada atlantique</t>
        </is>
      </c>
      <c r="Z2921" t="n">
        <v>3</v>
      </c>
      <c r="AA2921" t="n">
        <v>487.11</v>
      </c>
      <c r="AB2921">
        <f>ROUND(U2921-AA2921,2)</f>
        <v/>
      </c>
      <c r="AC2921" t="b">
        <v>0</v>
      </c>
      <c r="AD2921">
        <f>IF(U2921="","MISSING_TOTAL",IF(ABS(AB2921)&lt;=0.01,"OK","CHECK"))</f>
        <v/>
      </c>
      <c r="AE2921">
        <f>IF(U2921="","MISSING",IF(AND(AA2921&gt;0,U2921/AA2921&gt;50),"POSSIBLE_SCALE_ERROR","OK"))</f>
        <v/>
      </c>
    </row>
    <row r="2922">
      <c r="A2922" t="inlineStr">
        <is>
          <t>T-2016-Q3-00034</t>
        </is>
      </c>
      <c r="B2922" t="inlineStr">
        <is>
          <t>SLE</t>
        </is>
      </c>
      <c r="C2922" t="inlineStr">
        <is>
          <t>Vice-President, Policy and Programs</t>
        </is>
      </c>
      <c r="D2922" t="inlineStr">
        <is>
          <t>Vice-président, Politiques et Programmes</t>
        </is>
      </c>
      <c r="E2922" t="inlineStr">
        <is>
          <t>Daryell Nowlan</t>
        </is>
      </c>
      <c r="F2922" t="inlineStr">
        <is>
          <t>Meetings with Government of Canada officials</t>
        </is>
      </c>
      <c r="G2922" t="inlineStr">
        <is>
          <t>Réunions avec des fonctionnaires du gouvernement du Canada</t>
        </is>
      </c>
      <c r="H2922" s="1" t="n">
        <v>42298</v>
      </c>
      <c r="I2922" s="1" t="n">
        <v>42299</v>
      </c>
      <c r="J2922" t="inlineStr">
        <is>
          <t>Ottawa, Ontario</t>
        </is>
      </c>
      <c r="K2922" t="inlineStr">
        <is>
          <t>Ottawa (Ontario)</t>
        </is>
      </c>
      <c r="P2922" t="n">
        <v>639.58</v>
      </c>
      <c r="Q2922" t="n">
        <v>125.33</v>
      </c>
      <c r="R2922" t="n">
        <v>186.22</v>
      </c>
      <c r="S2922" t="n">
        <v>157</v>
      </c>
      <c r="T2922" t="n">
        <v>0</v>
      </c>
      <c r="U2922" t="n">
        <v>1108.13</v>
      </c>
      <c r="X2922" t="inlineStr">
        <is>
          <t>acoa-apeca</t>
        </is>
      </c>
      <c r="Y2922" t="inlineStr">
        <is>
          <t>Atlantic Canada Opportunities Agency | Agence de promotion économique du Canada atlantique</t>
        </is>
      </c>
      <c r="Z2922" t="n">
        <v>2</v>
      </c>
      <c r="AA2922" t="n">
        <v>1108.13</v>
      </c>
      <c r="AB2922">
        <f>ROUND(U2922-AA2922,2)</f>
        <v/>
      </c>
      <c r="AC2922" t="b">
        <v>0</v>
      </c>
      <c r="AD2922">
        <f>IF(U2922="","MISSING_TOTAL",IF(ABS(AB2922)&lt;=0.01,"OK","CHECK"))</f>
        <v/>
      </c>
      <c r="AE2922">
        <f>IF(U2922="","MISSING",IF(AND(AA2922&gt;0,U2922/AA2922&gt;50),"POSSIBLE_SCALE_ERROR","OK"))</f>
        <v/>
      </c>
    </row>
    <row r="2923">
      <c r="A2923" t="inlineStr">
        <is>
          <t>T-2016-Q3-00033</t>
        </is>
      </c>
      <c r="B2923" t="inlineStr">
        <is>
          <t>SLE</t>
        </is>
      </c>
      <c r="C2923" t="inlineStr">
        <is>
          <t>President</t>
        </is>
      </c>
      <c r="D2923" t="inlineStr">
        <is>
          <t>Président</t>
        </is>
      </c>
      <c r="E2923" t="inlineStr">
        <is>
          <t>Paul J. LeBlanc</t>
        </is>
      </c>
      <c r="F2923" t="inlineStr">
        <is>
          <t>For various meetings and discussions with Agency officials and Government of Canada officials</t>
        </is>
      </c>
      <c r="G2923" t="inlineStr">
        <is>
          <t>Diverses réunions et discussions avec des fonctionnaires de l'Agence et du gouvernement du Canada</t>
        </is>
      </c>
      <c r="H2923" s="1" t="n">
        <v>42297</v>
      </c>
      <c r="I2923" s="1" t="n">
        <v>42298</v>
      </c>
      <c r="J2923" t="inlineStr">
        <is>
          <t>Ottawa, Ontario</t>
        </is>
      </c>
      <c r="K2923" t="inlineStr">
        <is>
          <t>Ottawa (Ontario)</t>
        </is>
      </c>
      <c r="P2923" t="n">
        <v>639.58</v>
      </c>
      <c r="Q2923" t="n">
        <v>0</v>
      </c>
      <c r="R2923" t="n">
        <v>196.7</v>
      </c>
      <c r="S2923" t="n">
        <v>95.8</v>
      </c>
      <c r="T2923" t="n">
        <v>132</v>
      </c>
      <c r="U2923" t="n">
        <v>1064.08</v>
      </c>
      <c r="X2923" t="inlineStr">
        <is>
          <t>acoa-apeca</t>
        </is>
      </c>
      <c r="Y2923" t="inlineStr">
        <is>
          <t>Atlantic Canada Opportunities Agency | Agence de promotion économique du Canada atlantique</t>
        </is>
      </c>
      <c r="Z2923" t="n">
        <v>2</v>
      </c>
      <c r="AA2923" t="n">
        <v>1064.08</v>
      </c>
      <c r="AB2923">
        <f>ROUND(U2923-AA2923,2)</f>
        <v/>
      </c>
      <c r="AC2923" t="b">
        <v>0</v>
      </c>
      <c r="AD2923">
        <f>IF(U2923="","MISSING_TOTAL",IF(ABS(AB2923)&lt;=0.01,"OK","CHECK"))</f>
        <v/>
      </c>
      <c r="AE2923">
        <f>IF(U2923="","MISSING",IF(AND(AA2923&gt;0,U2923/AA2923&gt;50),"POSSIBLE_SCALE_ERROR","OK"))</f>
        <v/>
      </c>
    </row>
    <row r="2924">
      <c r="A2924" t="inlineStr">
        <is>
          <t>T-2016-Q3-00032</t>
        </is>
      </c>
      <c r="B2924" t="inlineStr">
        <is>
          <t>SLE</t>
        </is>
      </c>
      <c r="C2924" t="inlineStr">
        <is>
          <t>Vice-President, New Brunswick</t>
        </is>
      </c>
      <c r="D2924" t="inlineStr">
        <is>
          <t>Vice-président, Nouveau-Brunswick</t>
        </is>
      </c>
      <c r="E2924" t="inlineStr">
        <is>
          <t>Kent Estabrooks</t>
        </is>
      </c>
      <c r="F2924" t="inlineStr">
        <is>
          <t>Various consultations with ACOA regional officials</t>
        </is>
      </c>
      <c r="G2924" t="inlineStr">
        <is>
          <t>Diverses consultations avec des fonctionnaires régionaux de l'APECA</t>
        </is>
      </c>
      <c r="H2924" s="1" t="n">
        <v>42295</v>
      </c>
      <c r="I2924" s="1" t="n">
        <v>42300</v>
      </c>
      <c r="J2924" t="inlineStr">
        <is>
          <t>Halifax, Charlottetown and St. John's</t>
        </is>
      </c>
      <c r="K2924" t="inlineStr">
        <is>
          <t>Halifax, Charlottetown et St. John's</t>
        </is>
      </c>
      <c r="P2924" t="n">
        <v>1724.87</v>
      </c>
      <c r="Q2924" t="n">
        <v>218.95</v>
      </c>
      <c r="R2924" t="n">
        <v>902.7</v>
      </c>
      <c r="S2924" t="n">
        <v>376.2</v>
      </c>
      <c r="T2924" t="n">
        <v>0</v>
      </c>
      <c r="U2924" t="n">
        <v>3222.72</v>
      </c>
      <c r="X2924" t="inlineStr">
        <is>
          <t>acoa-apeca</t>
        </is>
      </c>
      <c r="Y2924" t="inlineStr">
        <is>
          <t>Atlantic Canada Opportunities Agency | Agence de promotion économique du Canada atlantique</t>
        </is>
      </c>
      <c r="Z2924" t="n">
        <v>6</v>
      </c>
      <c r="AA2924" t="n">
        <v>3222.72</v>
      </c>
      <c r="AB2924">
        <f>ROUND(U2924-AA2924,2)</f>
        <v/>
      </c>
      <c r="AC2924" t="b">
        <v>0</v>
      </c>
      <c r="AD2924">
        <f>IF(U2924="","MISSING_TOTAL",IF(ABS(AB2924)&lt;=0.01,"OK","CHECK"))</f>
        <v/>
      </c>
      <c r="AE2924">
        <f>IF(U2924="","MISSING",IF(AND(AA2924&gt;0,U2924/AA2924&gt;50),"POSSIBLE_SCALE_ERROR","OK"))</f>
        <v/>
      </c>
    </row>
    <row r="2925">
      <c r="A2925" t="inlineStr">
        <is>
          <t>T-2019-Q3-00070</t>
        </is>
      </c>
      <c r="B2925" t="inlineStr">
        <is>
          <t>SLE</t>
        </is>
      </c>
      <c r="C2925" t="inlineStr">
        <is>
          <t>Vice-President, New Brunswick</t>
        </is>
      </c>
      <c r="D2925" t="inlineStr">
        <is>
          <t>Vice-président, Nouveau-Brunswick</t>
        </is>
      </c>
      <c r="E2925" t="inlineStr">
        <is>
          <t>Kent Estabrooks</t>
        </is>
      </c>
      <c r="F2925" t="inlineStr">
        <is>
          <t>Meeting with client</t>
        </is>
      </c>
      <c r="G2925" t="inlineStr">
        <is>
          <t>Réunion avec un client</t>
        </is>
      </c>
      <c r="H2925" s="1" t="n">
        <v>43419</v>
      </c>
      <c r="I2925" s="1" t="n">
        <v>43419</v>
      </c>
      <c r="J2925" t="inlineStr">
        <is>
          <t>St. Stephen, New Brunswick</t>
        </is>
      </c>
      <c r="K2925" t="inlineStr">
        <is>
          <t>St. Stephen (Nouveau-Brunswick)</t>
        </is>
      </c>
      <c r="P2925" t="n">
        <v>0</v>
      </c>
      <c r="Q2925" t="n">
        <v>0</v>
      </c>
      <c r="R2925" t="n">
        <v>0</v>
      </c>
      <c r="S2925" t="n">
        <v>19.85</v>
      </c>
      <c r="T2925" t="n">
        <v>0</v>
      </c>
      <c r="U2925" t="n">
        <v>19.85</v>
      </c>
      <c r="X2925" t="inlineStr">
        <is>
          <t>acoa-apeca</t>
        </is>
      </c>
      <c r="Y2925" t="inlineStr">
        <is>
          <t>Atlantic Canada Opportunities Agency | Agence de promotion économique du Canada atlantique</t>
        </is>
      </c>
      <c r="Z2925" t="n">
        <v>1</v>
      </c>
      <c r="AA2925" t="n">
        <v>19.85</v>
      </c>
      <c r="AB2925">
        <f>ROUND(U2925-AA2925,2)</f>
        <v/>
      </c>
      <c r="AC2925" t="b">
        <v>0</v>
      </c>
      <c r="AD2925">
        <f>IF(U2925="","MISSING_TOTAL",IF(ABS(AB2925)&lt;=0.01,"OK","CHECK"))</f>
        <v/>
      </c>
      <c r="AE2925">
        <f>IF(U2925="","MISSING",IF(AND(AA2925&gt;0,U2925/AA2925&gt;50),"POSSIBLE_SCALE_ERROR","OK"))</f>
        <v/>
      </c>
    </row>
    <row r="2926">
      <c r="A2926" t="inlineStr">
        <is>
          <t>T-2016-Q3-00030</t>
        </is>
      </c>
      <c r="B2926" t="inlineStr">
        <is>
          <t>SLE</t>
        </is>
      </c>
      <c r="C2926" t="inlineStr">
        <is>
          <t>Vice President, Nova Scotia</t>
        </is>
      </c>
      <c r="D2926" t="inlineStr">
        <is>
          <t>Vice-président, Nouvelle-Écosse</t>
        </is>
      </c>
      <c r="E2926" t="inlineStr">
        <is>
          <t>Peter Hogan</t>
        </is>
      </c>
      <c r="F2926" t="inlineStr">
        <is>
          <t>Attended Investor Summit and meeting with the private sector</t>
        </is>
      </c>
      <c r="G2926" t="inlineStr">
        <is>
          <t>Assister au Investor Summit (sommet des investisseurs) et à une réunion avec des représentants du secteur privé</t>
        </is>
      </c>
      <c r="H2926" s="1" t="n">
        <v>42291</v>
      </c>
      <c r="I2926" s="1" t="n">
        <v>42293</v>
      </c>
      <c r="J2926" t="inlineStr">
        <is>
          <t>Sydney, Nova Scotia</t>
        </is>
      </c>
      <c r="K2926" t="inlineStr">
        <is>
          <t>Sydney (Nouvelle-Écosse)</t>
        </is>
      </c>
      <c r="P2926" t="n">
        <v>854.8200000000001</v>
      </c>
      <c r="Q2926" t="n">
        <v>39.8</v>
      </c>
      <c r="R2926" t="n">
        <v>297.58</v>
      </c>
      <c r="S2926" t="n">
        <v>113.1</v>
      </c>
      <c r="T2926" t="n">
        <v>40</v>
      </c>
      <c r="U2926" t="n">
        <v>1345.3</v>
      </c>
      <c r="X2926" t="inlineStr">
        <is>
          <t>acoa-apeca</t>
        </is>
      </c>
      <c r="Y2926" t="inlineStr">
        <is>
          <t>Atlantic Canada Opportunities Agency | Agence de promotion économique du Canada atlantique</t>
        </is>
      </c>
      <c r="Z2926" t="n">
        <v>3</v>
      </c>
      <c r="AA2926" t="n">
        <v>1345.3</v>
      </c>
      <c r="AB2926">
        <f>ROUND(U2926-AA2926,2)</f>
        <v/>
      </c>
      <c r="AC2926" t="b">
        <v>0</v>
      </c>
      <c r="AD2926">
        <f>IF(U2926="","MISSING_TOTAL",IF(ABS(AB2926)&lt;=0.01,"OK","CHECK"))</f>
        <v/>
      </c>
      <c r="AE2926">
        <f>IF(U2926="","MISSING",IF(AND(AA2926&gt;0,U2926/AA2926&gt;50),"POSSIBLE_SCALE_ERROR","OK"))</f>
        <v/>
      </c>
    </row>
    <row r="2927">
      <c r="A2927" t="inlineStr">
        <is>
          <t>T-2016-Q3-00029</t>
        </is>
      </c>
      <c r="B2927" t="inlineStr">
        <is>
          <t>SLE</t>
        </is>
      </c>
      <c r="C2927" t="inlineStr">
        <is>
          <t>Vice-President, Prince Edward Island</t>
        </is>
      </c>
      <c r="D2927" t="inlineStr">
        <is>
          <t>Vice-président, Île-du-Prince-Édouard</t>
        </is>
      </c>
      <c r="E2927" t="inlineStr">
        <is>
          <t>Patrick Dorsey</t>
        </is>
      </c>
      <c r="F2927" t="inlineStr">
        <is>
          <t>Business meetings</t>
        </is>
      </c>
      <c r="G2927" t="inlineStr">
        <is>
          <t>Réunions de travail</t>
        </is>
      </c>
      <c r="H2927" s="1" t="n">
        <v>42291</v>
      </c>
      <c r="I2927" s="1" t="n">
        <v>42293</v>
      </c>
      <c r="J2927" t="inlineStr">
        <is>
          <t>Toronto, Ontario</t>
        </is>
      </c>
      <c r="K2927" t="inlineStr">
        <is>
          <t>Toronto (Ontario)</t>
        </is>
      </c>
      <c r="P2927" t="n">
        <v>786.5</v>
      </c>
      <c r="Q2927" t="n">
        <v>96.01000000000001</v>
      </c>
      <c r="R2927" t="n">
        <v>359.6</v>
      </c>
      <c r="S2927" t="n">
        <v>163</v>
      </c>
      <c r="T2927" t="n">
        <v>0</v>
      </c>
      <c r="U2927" t="n">
        <v>1405.11</v>
      </c>
      <c r="X2927" t="inlineStr">
        <is>
          <t>acoa-apeca</t>
        </is>
      </c>
      <c r="Y2927" t="inlineStr">
        <is>
          <t>Atlantic Canada Opportunities Agency | Agence de promotion économique du Canada atlantique</t>
        </is>
      </c>
      <c r="Z2927" t="n">
        <v>3</v>
      </c>
      <c r="AA2927" t="n">
        <v>1405.11</v>
      </c>
      <c r="AB2927">
        <f>ROUND(U2927-AA2927,2)</f>
        <v/>
      </c>
      <c r="AC2927" t="b">
        <v>0</v>
      </c>
      <c r="AD2927">
        <f>IF(U2927="","MISSING_TOTAL",IF(ABS(AB2927)&lt;=0.01,"OK","CHECK"))</f>
        <v/>
      </c>
      <c r="AE2927">
        <f>IF(U2927="","MISSING",IF(AND(AA2927&gt;0,U2927/AA2927&gt;50),"POSSIBLE_SCALE_ERROR","OK"))</f>
        <v/>
      </c>
    </row>
    <row r="2928">
      <c r="A2928" t="inlineStr">
        <is>
          <t>T-2016-Q3-00028</t>
        </is>
      </c>
      <c r="B2928" t="inlineStr">
        <is>
          <t>SLE</t>
        </is>
      </c>
      <c r="C2928" t="inlineStr">
        <is>
          <t>Vice-President, Policy and Programs</t>
        </is>
      </c>
      <c r="D2928" t="inlineStr">
        <is>
          <t>Vice-président, Politiques et Programmes</t>
        </is>
      </c>
      <c r="E2928" t="inlineStr">
        <is>
          <t>Daryell Nowlan</t>
        </is>
      </c>
      <c r="F2928" t="inlineStr">
        <is>
          <t>Meetings with Government of Canada officials</t>
        </is>
      </c>
      <c r="G2928" t="inlineStr">
        <is>
          <t>Réunions avec des fonctionnaires du gouvernement du Canada</t>
        </is>
      </c>
      <c r="H2928" s="1" t="n">
        <v>42290</v>
      </c>
      <c r="I2928" s="1" t="n">
        <v>42292</v>
      </c>
      <c r="J2928" t="inlineStr">
        <is>
          <t>Halifax, Nova Scotia</t>
        </is>
      </c>
      <c r="K2928" t="inlineStr">
        <is>
          <t>Halifax (Nouvelle-Écosse)</t>
        </is>
      </c>
      <c r="P2928" t="n">
        <v>0</v>
      </c>
      <c r="Q2928" t="n">
        <v>246.6</v>
      </c>
      <c r="R2928" t="n">
        <v>349.56</v>
      </c>
      <c r="S2928" t="n">
        <v>174.3</v>
      </c>
      <c r="T2928" t="n">
        <v>0</v>
      </c>
      <c r="U2928" t="n">
        <v>770.46</v>
      </c>
      <c r="X2928" t="inlineStr">
        <is>
          <t>acoa-apeca</t>
        </is>
      </c>
      <c r="Y2928" t="inlineStr">
        <is>
          <t>Atlantic Canada Opportunities Agency | Agence de promotion économique du Canada atlantique</t>
        </is>
      </c>
      <c r="Z2928" t="n">
        <v>3</v>
      </c>
      <c r="AA2928" t="n">
        <v>770.46</v>
      </c>
      <c r="AB2928">
        <f>ROUND(U2928-AA2928,2)</f>
        <v/>
      </c>
      <c r="AC2928" t="b">
        <v>0</v>
      </c>
      <c r="AD2928">
        <f>IF(U2928="","MISSING_TOTAL",IF(ABS(AB2928)&lt;=0.01,"OK","CHECK"))</f>
        <v/>
      </c>
      <c r="AE2928">
        <f>IF(U2928="","MISSING",IF(AND(AA2928&gt;0,U2928/AA2928&gt;50),"POSSIBLE_SCALE_ERROR","OK"))</f>
        <v/>
      </c>
    </row>
    <row r="2929">
      <c r="A2929" t="inlineStr">
        <is>
          <t>T-2016-Q3-00027</t>
        </is>
      </c>
      <c r="B2929" t="inlineStr">
        <is>
          <t>SLE</t>
        </is>
      </c>
      <c r="C2929" t="inlineStr">
        <is>
          <t>Vice President, Nova Scotia</t>
        </is>
      </c>
      <c r="D2929" t="inlineStr">
        <is>
          <t>Vice-président, Nouvelle-Écosse</t>
        </is>
      </c>
      <c r="E2929" t="inlineStr">
        <is>
          <t>Peter Hogan</t>
        </is>
      </c>
      <c r="F2929" t="inlineStr">
        <is>
          <t>Various meetings with Agency officials and private sector</t>
        </is>
      </c>
      <c r="G2929" t="inlineStr">
        <is>
          <t>Diverses réunions avec des fonctionnaires de l'Agence et des représentants du secteur privé</t>
        </is>
      </c>
      <c r="H2929" s="1" t="n">
        <v>42286</v>
      </c>
      <c r="I2929" s="1" t="n">
        <v>42286</v>
      </c>
      <c r="J2929" t="inlineStr">
        <is>
          <t>Sydney, Nova Scotia</t>
        </is>
      </c>
      <c r="K2929" t="inlineStr">
        <is>
          <t>Sydney (Nouvelle-Écosse)</t>
        </is>
      </c>
      <c r="P2929" t="n">
        <v>672.53</v>
      </c>
      <c r="Q2929" t="n">
        <v>54.8</v>
      </c>
      <c r="R2929" t="n">
        <v>0</v>
      </c>
      <c r="S2929" t="n">
        <v>16.8</v>
      </c>
      <c r="T2929" t="n">
        <v>20</v>
      </c>
      <c r="U2929" t="n">
        <v>764.13</v>
      </c>
      <c r="X2929" t="inlineStr">
        <is>
          <t>acoa-apeca</t>
        </is>
      </c>
      <c r="Y2929" t="inlineStr">
        <is>
          <t>Atlantic Canada Opportunities Agency | Agence de promotion économique du Canada atlantique</t>
        </is>
      </c>
      <c r="Z2929" t="n">
        <v>1</v>
      </c>
      <c r="AA2929" t="n">
        <v>764.129999999999</v>
      </c>
      <c r="AB2929">
        <f>ROUND(U2929-AA2929,2)</f>
        <v/>
      </c>
      <c r="AC2929" t="b">
        <v>0</v>
      </c>
      <c r="AD2929">
        <f>IF(U2929="","MISSING_TOTAL",IF(ABS(AB2929)&lt;=0.01,"OK","CHECK"))</f>
        <v/>
      </c>
      <c r="AE2929">
        <f>IF(U2929="","MISSING",IF(AND(AA2929&gt;0,U2929/AA2929&gt;50),"POSSIBLE_SCALE_ERROR","OK"))</f>
        <v/>
      </c>
    </row>
    <row r="2930">
      <c r="A2930" t="inlineStr">
        <is>
          <t>T-2016-Q3-00026</t>
        </is>
      </c>
      <c r="B2930" t="inlineStr">
        <is>
          <t>SLE</t>
        </is>
      </c>
      <c r="C2930" t="inlineStr">
        <is>
          <t>Vice-President, Prince Edward Island</t>
        </is>
      </c>
      <c r="D2930" t="inlineStr">
        <is>
          <t>Vice-président, Île-du-Prince-Édouard</t>
        </is>
      </c>
      <c r="E2930" t="inlineStr">
        <is>
          <t>Patrick Dorsey</t>
        </is>
      </c>
      <c r="F2930" t="inlineStr">
        <is>
          <t>Meeting with Atlantic Canada Tourism Partnership (ACTP)</t>
        </is>
      </c>
      <c r="G2930" t="inlineStr">
        <is>
          <t>Réunion avec le Partenariat du tourisme du Canada atlantique (PTCA)</t>
        </is>
      </c>
      <c r="H2930" s="1" t="n">
        <v>42284</v>
      </c>
      <c r="I2930" s="1" t="n">
        <v>42286</v>
      </c>
      <c r="J2930" t="inlineStr">
        <is>
          <t>Halifax, Nova Scotia</t>
        </is>
      </c>
      <c r="K2930" t="inlineStr">
        <is>
          <t>Halifax (Nouvelle-Écosse)</t>
        </is>
      </c>
      <c r="P2930" t="n">
        <v>0</v>
      </c>
      <c r="Q2930" t="n">
        <v>55.5</v>
      </c>
      <c r="R2930" t="n">
        <v>402.34</v>
      </c>
      <c r="S2930" t="n">
        <v>207.4</v>
      </c>
      <c r="T2930" t="n">
        <v>0</v>
      </c>
      <c r="U2930" t="n">
        <v>665.24</v>
      </c>
      <c r="X2930" t="inlineStr">
        <is>
          <t>acoa-apeca</t>
        </is>
      </c>
      <c r="Y2930" t="inlineStr">
        <is>
          <t>Atlantic Canada Opportunities Agency | Agence de promotion économique du Canada atlantique</t>
        </is>
      </c>
      <c r="Z2930" t="n">
        <v>3</v>
      </c>
      <c r="AA2930" t="n">
        <v>665.24</v>
      </c>
      <c r="AB2930">
        <f>ROUND(U2930-AA2930,2)</f>
        <v/>
      </c>
      <c r="AC2930" t="b">
        <v>0</v>
      </c>
      <c r="AD2930">
        <f>IF(U2930="","MISSING_TOTAL",IF(ABS(AB2930)&lt;=0.01,"OK","CHECK"))</f>
        <v/>
      </c>
      <c r="AE2930">
        <f>IF(U2930="","MISSING",IF(AND(AA2930&gt;0,U2930/AA2930&gt;50),"POSSIBLE_SCALE_ERROR","OK"))</f>
        <v/>
      </c>
    </row>
    <row r="2931">
      <c r="A2931" t="inlineStr">
        <is>
          <t>T-2016-Q3-00025</t>
        </is>
      </c>
      <c r="B2931" t="inlineStr">
        <is>
          <t>SLE</t>
        </is>
      </c>
      <c r="C2931" t="inlineStr">
        <is>
          <t>Vice-President, New Brunswick</t>
        </is>
      </c>
      <c r="D2931" t="inlineStr">
        <is>
          <t>Vice-président, Nouveau-Brunswick</t>
        </is>
      </c>
      <c r="E2931" t="inlineStr">
        <is>
          <t>Kent Estabrooks</t>
        </is>
      </c>
      <c r="F2931" t="inlineStr">
        <is>
          <t>Meeting with federal officials</t>
        </is>
      </c>
      <c r="G2931" t="inlineStr">
        <is>
          <t>Réunion avec des fonctionnaires fédéraux</t>
        </is>
      </c>
      <c r="H2931" s="1" t="n">
        <v>42282</v>
      </c>
      <c r="I2931" s="1" t="n">
        <v>42284</v>
      </c>
      <c r="J2931" t="inlineStr">
        <is>
          <t>Ottawa, Ontario</t>
        </is>
      </c>
      <c r="K2931" t="inlineStr">
        <is>
          <t>Ottawa (Ontario)</t>
        </is>
      </c>
      <c r="P2931" t="n">
        <v>791</v>
      </c>
      <c r="Q2931" t="n">
        <v>98.2</v>
      </c>
      <c r="R2931" t="n">
        <v>300.58</v>
      </c>
      <c r="S2931" t="n">
        <v>112.6</v>
      </c>
      <c r="T2931" t="n">
        <v>0</v>
      </c>
      <c r="U2931" t="n">
        <v>1302.38</v>
      </c>
      <c r="X2931" t="inlineStr">
        <is>
          <t>acoa-apeca</t>
        </is>
      </c>
      <c r="Y2931" t="inlineStr">
        <is>
          <t>Atlantic Canada Opportunities Agency | Agence de promotion économique du Canada atlantique</t>
        </is>
      </c>
      <c r="Z2931" t="n">
        <v>3</v>
      </c>
      <c r="AA2931" t="n">
        <v>1302.37999999999</v>
      </c>
      <c r="AB2931">
        <f>ROUND(U2931-AA2931,2)</f>
        <v/>
      </c>
      <c r="AC2931" t="b">
        <v>0</v>
      </c>
      <c r="AD2931">
        <f>IF(U2931="","MISSING_TOTAL",IF(ABS(AB2931)&lt;=0.01,"OK","CHECK"))</f>
        <v/>
      </c>
      <c r="AE2931">
        <f>IF(U2931="","MISSING",IF(AND(AA2931&gt;0,U2931/AA2931&gt;50),"POSSIBLE_SCALE_ERROR","OK"))</f>
        <v/>
      </c>
    </row>
    <row r="2932">
      <c r="A2932" t="inlineStr">
        <is>
          <t>T-2016-Q3-00024</t>
        </is>
      </c>
      <c r="B2932" t="inlineStr">
        <is>
          <t>SLE</t>
        </is>
      </c>
      <c r="C2932" t="inlineStr">
        <is>
          <t>Vice-President, New Brunswick</t>
        </is>
      </c>
      <c r="D2932" t="inlineStr">
        <is>
          <t>Vice-président, Nouveau-Brunswick</t>
        </is>
      </c>
      <c r="E2932" t="inlineStr">
        <is>
          <t>Kent Estabrooks</t>
        </is>
      </c>
      <c r="F2932" t="inlineStr">
        <is>
          <t>Various meetings with Agency officials</t>
        </is>
      </c>
      <c r="G2932" t="inlineStr">
        <is>
          <t>Diverses réunions avec des fonctionnaires de l'Agence</t>
        </is>
      </c>
      <c r="H2932" s="1" t="n">
        <v>42282</v>
      </c>
      <c r="I2932" s="1" t="n">
        <v>42282</v>
      </c>
      <c r="J2932" t="inlineStr">
        <is>
          <t>Moncton, New Brunswick</t>
        </is>
      </c>
      <c r="K2932" t="inlineStr">
        <is>
          <t>Moncton (Nouveau-Brunswick)</t>
        </is>
      </c>
      <c r="P2932" t="n">
        <v>0</v>
      </c>
      <c r="Q2932" t="n">
        <v>27</v>
      </c>
      <c r="R2932" t="n">
        <v>0</v>
      </c>
      <c r="S2932" t="n">
        <v>61.7</v>
      </c>
      <c r="T2932" t="n">
        <v>9</v>
      </c>
      <c r="U2932" t="n">
        <v>97.7</v>
      </c>
      <c r="X2932" t="inlineStr">
        <is>
          <t>acoa-apeca</t>
        </is>
      </c>
      <c r="Y2932" t="inlineStr">
        <is>
          <t>Atlantic Canada Opportunities Agency | Agence de promotion économique du Canada atlantique</t>
        </is>
      </c>
      <c r="Z2932" t="n">
        <v>1</v>
      </c>
      <c r="AA2932" t="n">
        <v>97.7</v>
      </c>
      <c r="AB2932">
        <f>ROUND(U2932-AA2932,2)</f>
        <v/>
      </c>
      <c r="AC2932" t="b">
        <v>0</v>
      </c>
      <c r="AD2932">
        <f>IF(U2932="","MISSING_TOTAL",IF(ABS(AB2932)&lt;=0.01,"OK","CHECK"))</f>
        <v/>
      </c>
      <c r="AE2932">
        <f>IF(U2932="","MISSING",IF(AND(AA2932&gt;0,U2932/AA2932&gt;50),"POSSIBLE_SCALE_ERROR","OK"))</f>
        <v/>
      </c>
    </row>
    <row r="2933">
      <c r="A2933" t="inlineStr">
        <is>
          <t>T-2016-Q3-00023</t>
        </is>
      </c>
      <c r="B2933" t="inlineStr">
        <is>
          <t>SLE</t>
        </is>
      </c>
      <c r="C2933" t="inlineStr">
        <is>
          <t>Vice-President, Finance and Corporate Services</t>
        </is>
      </c>
      <c r="D2933" t="inlineStr">
        <is>
          <t>Vice-présidente, Finances et Services corporatifs</t>
        </is>
      </c>
      <c r="E2933" t="inlineStr">
        <is>
          <t>Denise Frenette</t>
        </is>
      </c>
      <c r="F2933" t="inlineStr">
        <is>
          <t>For meeting with Government officials</t>
        </is>
      </c>
      <c r="G2933" t="inlineStr">
        <is>
          <t>Réunion avec des fonctionnaires</t>
        </is>
      </c>
      <c r="H2933" s="1" t="n">
        <v>42282</v>
      </c>
      <c r="I2933" s="1" t="n">
        <v>42282</v>
      </c>
      <c r="J2933" t="inlineStr">
        <is>
          <t>Moncton, New Brunswick</t>
        </is>
      </c>
      <c r="K2933" t="inlineStr">
        <is>
          <t>Moncton (Nouveau-Brunswick)</t>
        </is>
      </c>
      <c r="P2933" t="n">
        <v>0</v>
      </c>
      <c r="Q2933" t="n">
        <v>0</v>
      </c>
      <c r="R2933" t="n">
        <v>0</v>
      </c>
      <c r="S2933" t="n">
        <v>16.8</v>
      </c>
      <c r="T2933" t="n">
        <v>0</v>
      </c>
      <c r="U2933" t="n">
        <v>16.8</v>
      </c>
      <c r="X2933" t="inlineStr">
        <is>
          <t>acoa-apeca</t>
        </is>
      </c>
      <c r="Y2933" t="inlineStr">
        <is>
          <t>Atlantic Canada Opportunities Agency | Agence de promotion économique du Canada atlantique</t>
        </is>
      </c>
      <c r="Z2933" t="n">
        <v>1</v>
      </c>
      <c r="AA2933" t="n">
        <v>16.8</v>
      </c>
      <c r="AB2933">
        <f>ROUND(U2933-AA2933,2)</f>
        <v/>
      </c>
      <c r="AC2933" t="b">
        <v>0</v>
      </c>
      <c r="AD2933">
        <f>IF(U2933="","MISSING_TOTAL",IF(ABS(AB2933)&lt;=0.01,"OK","CHECK"))</f>
        <v/>
      </c>
      <c r="AE2933">
        <f>IF(U2933="","MISSING",IF(AND(AA2933&gt;0,U2933/AA2933&gt;50),"POSSIBLE_SCALE_ERROR","OK"))</f>
        <v/>
      </c>
    </row>
    <row r="2934">
      <c r="A2934" t="inlineStr">
        <is>
          <t>T-2016-Q2-00033</t>
        </is>
      </c>
      <c r="B2934" t="inlineStr">
        <is>
          <t>MPSES</t>
        </is>
      </c>
      <c r="C2934" t="inlineStr">
        <is>
          <t>Executive Assistant</t>
        </is>
      </c>
      <c r="D2934" t="inlineStr">
        <is>
          <t>Adjoint exécutif</t>
        </is>
      </c>
      <c r="E2934" t="inlineStr">
        <is>
          <t>Josh Hardy</t>
        </is>
      </c>
      <c r="F2934" t="inlineStr">
        <is>
          <t>Travel on Government business</t>
        </is>
      </c>
      <c r="G2934" t="inlineStr">
        <is>
          <t>Voyage pour affaires officielles</t>
        </is>
      </c>
      <c r="H2934" s="1" t="n">
        <v>42198</v>
      </c>
      <c r="I2934" s="1" t="n">
        <v>42204</v>
      </c>
      <c r="J2934" t="inlineStr">
        <is>
          <t>Moncton, New Brunswick</t>
        </is>
      </c>
      <c r="K2934" t="inlineStr">
        <is>
          <t>Moncton (Nouveau-Brunswick)</t>
        </is>
      </c>
      <c r="P2934" t="n">
        <v>664.04</v>
      </c>
      <c r="Q2934" t="n">
        <v>673</v>
      </c>
      <c r="R2934" t="n">
        <v>0</v>
      </c>
      <c r="S2934" t="n">
        <v>599</v>
      </c>
      <c r="T2934" t="n">
        <v>0</v>
      </c>
      <c r="U2934" t="n">
        <v>1936.04</v>
      </c>
      <c r="X2934" t="inlineStr">
        <is>
          <t>acoa-apeca</t>
        </is>
      </c>
      <c r="Y2934" t="inlineStr">
        <is>
          <t>Atlantic Canada Opportunities Agency | Agence de promotion économique du Canada atlantique</t>
        </is>
      </c>
      <c r="Z2934" t="n">
        <v>7</v>
      </c>
      <c r="AA2934" t="n">
        <v>1936.04</v>
      </c>
      <c r="AB2934">
        <f>ROUND(U2934-AA2934,2)</f>
        <v/>
      </c>
      <c r="AC2934" t="b">
        <v>0</v>
      </c>
      <c r="AD2934">
        <f>IF(U2934="","MISSING_TOTAL",IF(ABS(AB2934)&lt;=0.01,"OK","CHECK"))</f>
        <v/>
      </c>
      <c r="AE2934">
        <f>IF(U2934="","MISSING",IF(AND(AA2934&gt;0,U2934/AA2934&gt;50),"POSSIBLE_SCALE_ERROR","OK"))</f>
        <v/>
      </c>
    </row>
    <row r="2935">
      <c r="A2935" t="inlineStr">
        <is>
          <t>T-2016-Q3-00022</t>
        </is>
      </c>
      <c r="B2935" t="inlineStr">
        <is>
          <t>SLE</t>
        </is>
      </c>
      <c r="C2935" t="inlineStr">
        <is>
          <t>Vice-President, Policy and Programs</t>
        </is>
      </c>
      <c r="D2935" t="inlineStr">
        <is>
          <t>Vice-président, Politiques et Programmes</t>
        </is>
      </c>
      <c r="E2935" t="inlineStr">
        <is>
          <t>Daryell Nowlan</t>
        </is>
      </c>
      <c r="F2935" t="inlineStr">
        <is>
          <t>Meetings with Government of Canada officials</t>
        </is>
      </c>
      <c r="G2935" t="inlineStr">
        <is>
          <t>Réunions avec des fonctionnaires du gouvernement du Canada</t>
        </is>
      </c>
      <c r="H2935" s="1" t="n">
        <v>42281</v>
      </c>
      <c r="I2935" s="1" t="n">
        <v>42284</v>
      </c>
      <c r="J2935" t="inlineStr">
        <is>
          <t>St. John's, Newfoundland and Labrador</t>
        </is>
      </c>
      <c r="K2935" t="inlineStr">
        <is>
          <t>St. John's (Terre-Neuve-et-Labrador)</t>
        </is>
      </c>
      <c r="P2935" t="n">
        <v>951.38</v>
      </c>
      <c r="Q2935" t="n">
        <v>78.33</v>
      </c>
      <c r="R2935" t="n">
        <v>558.09</v>
      </c>
      <c r="S2935" t="n">
        <v>285.65</v>
      </c>
      <c r="T2935" t="n">
        <v>0</v>
      </c>
      <c r="U2935" t="n">
        <v>1873.45</v>
      </c>
      <c r="X2935" t="inlineStr">
        <is>
          <t>acoa-apeca</t>
        </is>
      </c>
      <c r="Y2935" t="inlineStr">
        <is>
          <t>Atlantic Canada Opportunities Agency | Agence de promotion économique du Canada atlantique</t>
        </is>
      </c>
      <c r="Z2935" t="n">
        <v>4</v>
      </c>
      <c r="AA2935" t="n">
        <v>1873.45</v>
      </c>
      <c r="AB2935">
        <f>ROUND(U2935-AA2935,2)</f>
        <v/>
      </c>
      <c r="AC2935" t="b">
        <v>0</v>
      </c>
      <c r="AD2935">
        <f>IF(U2935="","MISSING_TOTAL",IF(ABS(AB2935)&lt;=0.01,"OK","CHECK"))</f>
        <v/>
      </c>
      <c r="AE2935">
        <f>IF(U2935="","MISSING",IF(AND(AA2935&gt;0,U2935/AA2935&gt;50),"POSSIBLE_SCALE_ERROR","OK"))</f>
        <v/>
      </c>
    </row>
    <row r="2936">
      <c r="A2936" t="inlineStr">
        <is>
          <t>T-2016-Q3-00021</t>
        </is>
      </c>
      <c r="B2936" t="inlineStr">
        <is>
          <t>SLE</t>
        </is>
      </c>
      <c r="C2936" t="inlineStr">
        <is>
          <t>Vice President, Nova Scotia</t>
        </is>
      </c>
      <c r="D2936" t="inlineStr">
        <is>
          <t>Vice-président, Nouvelle-Écosse</t>
        </is>
      </c>
      <c r="E2936" t="inlineStr">
        <is>
          <t>Peter Hogan</t>
        </is>
      </c>
      <c r="F2936" t="inlineStr">
        <is>
          <t>Various meetings with private sector</t>
        </is>
      </c>
      <c r="G2936" t="inlineStr">
        <is>
          <t>Diverses réunions avec des représentants du secteur privé</t>
        </is>
      </c>
      <c r="H2936" s="1" t="n">
        <v>42279</v>
      </c>
      <c r="I2936" s="1" t="n">
        <v>42279</v>
      </c>
      <c r="J2936" t="inlineStr">
        <is>
          <t>Oxford, Nova Scotia</t>
        </is>
      </c>
      <c r="K2936" t="inlineStr">
        <is>
          <t>Oxford (Nouvelle-Écosse)</t>
        </is>
      </c>
      <c r="P2936" t="n">
        <v>0</v>
      </c>
      <c r="Q2936" t="n">
        <v>138.6</v>
      </c>
      <c r="R2936" t="n">
        <v>0</v>
      </c>
      <c r="S2936" t="n">
        <v>16.8</v>
      </c>
      <c r="T2936" t="n">
        <v>0</v>
      </c>
      <c r="U2936" t="n">
        <v>155.4</v>
      </c>
      <c r="X2936" t="inlineStr">
        <is>
          <t>acoa-apeca</t>
        </is>
      </c>
      <c r="Y2936" t="inlineStr">
        <is>
          <t>Atlantic Canada Opportunities Agency | Agence de promotion économique du Canada atlantique</t>
        </is>
      </c>
      <c r="Z2936" t="n">
        <v>1</v>
      </c>
      <c r="AA2936" t="n">
        <v>155.4</v>
      </c>
      <c r="AB2936">
        <f>ROUND(U2936-AA2936,2)</f>
        <v/>
      </c>
      <c r="AC2936" t="b">
        <v>0</v>
      </c>
      <c r="AD2936">
        <f>IF(U2936="","MISSING_TOTAL",IF(ABS(AB2936)&lt;=0.01,"OK","CHECK"))</f>
        <v/>
      </c>
      <c r="AE2936">
        <f>IF(U2936="","MISSING",IF(AND(AA2936&gt;0,U2936/AA2936&gt;50),"POSSIBLE_SCALE_ERROR","OK"))</f>
        <v/>
      </c>
    </row>
    <row r="2937">
      <c r="A2937" t="inlineStr">
        <is>
          <t>T-2016-Q3-00020</t>
        </is>
      </c>
      <c r="B2937" t="inlineStr">
        <is>
          <t>SLE</t>
        </is>
      </c>
      <c r="C2937" t="inlineStr">
        <is>
          <t>Vice-President, Newfoundland and Labrador</t>
        </is>
      </c>
      <c r="D2937" t="inlineStr">
        <is>
          <t>Vice-président, Terre-Neuve-et-Labrador</t>
        </is>
      </c>
      <c r="E2937" t="inlineStr">
        <is>
          <t>Ken Martin</t>
        </is>
      </c>
      <c r="F2937" t="inlineStr">
        <is>
          <t>For various meetings and discussions with senior provincial government and private sector officials</t>
        </is>
      </c>
      <c r="G2937" t="inlineStr">
        <is>
          <t>Diverses réunions et discussions avec des hauts fonctionnaires du gouvernement provincial et des représentants du secteur privé</t>
        </is>
      </c>
      <c r="H2937" s="1" t="n">
        <v>42278</v>
      </c>
      <c r="I2937" s="1" t="n">
        <v>42369</v>
      </c>
      <c r="J2937" t="inlineStr">
        <is>
          <t>St. John's, Newfoundland and Labrador</t>
        </is>
      </c>
      <c r="K2937" t="inlineStr">
        <is>
          <t>St. John's (Terre-Neuve-et-Labrador)</t>
        </is>
      </c>
      <c r="P2937" t="n">
        <v>0</v>
      </c>
      <c r="Q2937" t="n">
        <v>99.40000000000001</v>
      </c>
      <c r="R2937" t="n">
        <v>0</v>
      </c>
      <c r="S2937" t="n">
        <v>0</v>
      </c>
      <c r="T2937" t="n">
        <v>0</v>
      </c>
      <c r="U2937" t="n">
        <v>99.40000000000001</v>
      </c>
      <c r="X2937" t="inlineStr">
        <is>
          <t>acoa-apeca</t>
        </is>
      </c>
      <c r="Y2937" t="inlineStr">
        <is>
          <t>Atlantic Canada Opportunities Agency | Agence de promotion économique du Canada atlantique</t>
        </is>
      </c>
      <c r="Z2937" t="n">
        <v>92</v>
      </c>
      <c r="AA2937" t="n">
        <v>99.40000000000001</v>
      </c>
      <c r="AB2937">
        <f>ROUND(U2937-AA2937,2)</f>
        <v/>
      </c>
      <c r="AC2937" t="b">
        <v>0</v>
      </c>
      <c r="AD2937">
        <f>IF(U2937="","MISSING_TOTAL",IF(ABS(AB2937)&lt;=0.01,"OK","CHECK"))</f>
        <v/>
      </c>
      <c r="AE2937">
        <f>IF(U2937="","MISSING",IF(AND(AA2937&gt;0,U2937/AA2937&gt;50),"POSSIBLE_SCALE_ERROR","OK"))</f>
        <v/>
      </c>
    </row>
    <row r="2938">
      <c r="A2938" t="inlineStr">
        <is>
          <t>T-2016-Q3-00018</t>
        </is>
      </c>
      <c r="B2938" t="inlineStr">
        <is>
          <t>SLE</t>
        </is>
      </c>
      <c r="C2938" t="inlineStr">
        <is>
          <t>President</t>
        </is>
      </c>
      <c r="D2938" t="inlineStr">
        <is>
          <t>Président</t>
        </is>
      </c>
      <c r="E2938" t="inlineStr">
        <is>
          <t>Paul J. LeBlanc</t>
        </is>
      </c>
      <c r="F2938" t="inlineStr">
        <is>
          <t>For various meetings and discussions with Agency officials and Government of Canada officials</t>
        </is>
      </c>
      <c r="G2938" t="inlineStr">
        <is>
          <t>Diverses réunions et discussions avec des fonctionnaires de l'Agence et du gouvernement du Canada</t>
        </is>
      </c>
      <c r="H2938" s="1" t="n">
        <v>42275</v>
      </c>
      <c r="I2938" s="1" t="n">
        <v>42277</v>
      </c>
      <c r="J2938" t="inlineStr">
        <is>
          <t>St. John's, Newfoundland and Labrador / Ottawa, Ontario</t>
        </is>
      </c>
      <c r="K2938" t="inlineStr">
        <is>
          <t>St. John's (Terre-Neuve-et-Labrador) / Ottawa (Ontario)</t>
        </is>
      </c>
      <c r="P2938" t="n">
        <v>1034.14</v>
      </c>
      <c r="Q2938" t="n">
        <v>0</v>
      </c>
      <c r="R2938" t="n">
        <v>421.34</v>
      </c>
      <c r="S2938" t="n">
        <v>203.3</v>
      </c>
      <c r="T2938" t="n">
        <v>50</v>
      </c>
      <c r="U2938" t="n">
        <v>1708.78</v>
      </c>
      <c r="X2938" t="inlineStr">
        <is>
          <t>acoa-apeca</t>
        </is>
      </c>
      <c r="Y2938" t="inlineStr">
        <is>
          <t>Atlantic Canada Opportunities Agency | Agence de promotion économique du Canada atlantique</t>
        </is>
      </c>
      <c r="Z2938" t="n">
        <v>3</v>
      </c>
      <c r="AA2938" t="n">
        <v>1708.78</v>
      </c>
      <c r="AB2938">
        <f>ROUND(U2938-AA2938,2)</f>
        <v/>
      </c>
      <c r="AC2938" t="b">
        <v>0</v>
      </c>
      <c r="AD2938">
        <f>IF(U2938="","MISSING_TOTAL",IF(ABS(AB2938)&lt;=0.01,"OK","CHECK"))</f>
        <v/>
      </c>
      <c r="AE2938">
        <f>IF(U2938="","MISSING",IF(AND(AA2938&gt;0,U2938/AA2938&gt;50),"POSSIBLE_SCALE_ERROR","OK"))</f>
        <v/>
      </c>
    </row>
    <row r="2939">
      <c r="A2939" t="inlineStr">
        <is>
          <t>T-2016-Q3-00017</t>
        </is>
      </c>
      <c r="B2939" t="inlineStr">
        <is>
          <t>SLE</t>
        </is>
      </c>
      <c r="C2939" t="inlineStr">
        <is>
          <t>Vice President, Nova Scotia</t>
        </is>
      </c>
      <c r="D2939" t="inlineStr">
        <is>
          <t>Vice-président, Nouvelle-Écosse</t>
        </is>
      </c>
      <c r="E2939" t="inlineStr">
        <is>
          <t>Peter Hogan</t>
        </is>
      </c>
      <c r="F2939" t="inlineStr">
        <is>
          <t>Meeting with Agency official</t>
        </is>
      </c>
      <c r="G2939" t="inlineStr">
        <is>
          <t>Réunion avec un fonctionnaire de l'Agence</t>
        </is>
      </c>
      <c r="H2939" s="1" t="n">
        <v>42272</v>
      </c>
      <c r="I2939" s="1" t="n">
        <v>42272</v>
      </c>
      <c r="J2939" t="inlineStr">
        <is>
          <t>Moncton, New Brunswick</t>
        </is>
      </c>
      <c r="K2939" t="inlineStr">
        <is>
          <t>Moncton (Nouveau-Brunswick)</t>
        </is>
      </c>
      <c r="P2939" t="n">
        <v>0</v>
      </c>
      <c r="Q2939" t="n">
        <v>235.2</v>
      </c>
      <c r="R2939" t="n">
        <v>0</v>
      </c>
      <c r="S2939" t="n">
        <v>32.6</v>
      </c>
      <c r="T2939" t="n">
        <v>8</v>
      </c>
      <c r="U2939" t="n">
        <v>275.8</v>
      </c>
      <c r="X2939" t="inlineStr">
        <is>
          <t>acoa-apeca</t>
        </is>
      </c>
      <c r="Y2939" t="inlineStr">
        <is>
          <t>Atlantic Canada Opportunities Agency | Agence de promotion économique du Canada atlantique</t>
        </is>
      </c>
      <c r="Z2939" t="n">
        <v>1</v>
      </c>
      <c r="AA2939" t="n">
        <v>275.8</v>
      </c>
      <c r="AB2939">
        <f>ROUND(U2939-AA2939,2)</f>
        <v/>
      </c>
      <c r="AC2939" t="b">
        <v>0</v>
      </c>
      <c r="AD2939">
        <f>IF(U2939="","MISSING_TOTAL",IF(ABS(AB2939)&lt;=0.01,"OK","CHECK"))</f>
        <v/>
      </c>
      <c r="AE2939">
        <f>IF(U2939="","MISSING",IF(AND(AA2939&gt;0,U2939/AA2939&gt;50),"POSSIBLE_SCALE_ERROR","OK"))</f>
        <v/>
      </c>
    </row>
    <row r="2940">
      <c r="A2940" t="inlineStr">
        <is>
          <t>T-2016-Q3-00016</t>
        </is>
      </c>
      <c r="B2940" t="inlineStr">
        <is>
          <t>SLE</t>
        </is>
      </c>
      <c r="C2940" t="inlineStr">
        <is>
          <t>Vice President, Nova Scotia</t>
        </is>
      </c>
      <c r="D2940" t="inlineStr">
        <is>
          <t>Vice-président, Nouvelle-Écosse</t>
        </is>
      </c>
      <c r="E2940" t="inlineStr">
        <is>
          <t>Peter Hogan</t>
        </is>
      </c>
      <c r="F2940" t="inlineStr">
        <is>
          <t>Various meetings with Agency officials, staff and private sector</t>
        </is>
      </c>
      <c r="G2940" t="inlineStr">
        <is>
          <t>Diverses réunions avec des fonctionnaires et des employés de l'Agence et des représentants du secteur privé</t>
        </is>
      </c>
      <c r="H2940" s="1" t="n">
        <v>42270</v>
      </c>
      <c r="I2940" s="1" t="n">
        <v>42271</v>
      </c>
      <c r="J2940" t="inlineStr">
        <is>
          <t>Sydney, Nova Scotia</t>
        </is>
      </c>
      <c r="K2940" t="inlineStr">
        <is>
          <t>Sydney (Nouvelle-Écosse)</t>
        </is>
      </c>
      <c r="P2940" t="n">
        <v>492.76</v>
      </c>
      <c r="Q2940" t="n">
        <v>19.6</v>
      </c>
      <c r="R2940" t="n">
        <v>152.49</v>
      </c>
      <c r="S2940" t="n">
        <v>126.6</v>
      </c>
      <c r="T2940" t="n">
        <v>0</v>
      </c>
      <c r="U2940" t="n">
        <v>791.45</v>
      </c>
      <c r="X2940" t="inlineStr">
        <is>
          <t>acoa-apeca</t>
        </is>
      </c>
      <c r="Y2940" t="inlineStr">
        <is>
          <t>Atlantic Canada Opportunities Agency | Agence de promotion économique du Canada atlantique</t>
        </is>
      </c>
      <c r="Z2940" t="n">
        <v>2</v>
      </c>
      <c r="AA2940" t="n">
        <v>791.45</v>
      </c>
      <c r="AB2940">
        <f>ROUND(U2940-AA2940,2)</f>
        <v/>
      </c>
      <c r="AC2940" t="b">
        <v>0</v>
      </c>
      <c r="AD2940">
        <f>IF(U2940="","MISSING_TOTAL",IF(ABS(AB2940)&lt;=0.01,"OK","CHECK"))</f>
        <v/>
      </c>
      <c r="AE2940">
        <f>IF(U2940="","MISSING",IF(AND(AA2940&gt;0,U2940/AA2940&gt;50),"POSSIBLE_SCALE_ERROR","OK"))</f>
        <v/>
      </c>
    </row>
    <row r="2941">
      <c r="A2941" t="inlineStr">
        <is>
          <t>T-2015-Q1-00049</t>
        </is>
      </c>
      <c r="B2941" t="inlineStr">
        <is>
          <t>MPSES</t>
        </is>
      </c>
      <c r="C2941" t="inlineStr">
        <is>
          <t>Executive Assistant</t>
        </is>
      </c>
      <c r="D2941" t="inlineStr">
        <is>
          <t>Adjoint exécutif</t>
        </is>
      </c>
      <c r="E2941" t="inlineStr">
        <is>
          <t>Josh Hardy</t>
        </is>
      </c>
      <c r="F2941" t="inlineStr">
        <is>
          <t>Travel on government business</t>
        </is>
      </c>
      <c r="G2941" t="inlineStr">
        <is>
          <t>Voyage en service commandé</t>
        </is>
      </c>
      <c r="H2941" s="1" t="n">
        <v>41773</v>
      </c>
      <c r="I2941" s="1" t="n">
        <v>41784</v>
      </c>
      <c r="J2941" t="inlineStr">
        <is>
          <t>Moncton, New Brunswick</t>
        </is>
      </c>
      <c r="K2941" t="inlineStr">
        <is>
          <t>Moncton (Nouveau-Brunswick)</t>
        </is>
      </c>
      <c r="P2941" t="n">
        <v>823.3099999999999</v>
      </c>
      <c r="Q2941" t="n">
        <v>69.38</v>
      </c>
      <c r="R2941" t="n">
        <v>0</v>
      </c>
      <c r="S2941" t="n">
        <v>0</v>
      </c>
      <c r="T2941" t="n">
        <v>0</v>
      </c>
      <c r="U2941" t="n">
        <v>892.6900000000001</v>
      </c>
      <c r="X2941" t="inlineStr">
        <is>
          <t>acoa-apeca</t>
        </is>
      </c>
      <c r="Y2941" t="inlineStr">
        <is>
          <t>Atlantic Canada Opportunities Agency | Agence de promotion économique du Canada atlantique</t>
        </is>
      </c>
      <c r="Z2941" t="n">
        <v>12</v>
      </c>
      <c r="AA2941" t="n">
        <v>892.689999999999</v>
      </c>
      <c r="AB2941">
        <f>ROUND(U2941-AA2941,2)</f>
        <v/>
      </c>
      <c r="AC2941" t="b">
        <v>0</v>
      </c>
      <c r="AD2941">
        <f>IF(U2941="","MISSING_TOTAL",IF(ABS(AB2941)&lt;=0.01,"OK","CHECK"))</f>
        <v/>
      </c>
      <c r="AE2941">
        <f>IF(U2941="","MISSING",IF(AND(AA2941&gt;0,U2941/AA2941&gt;50),"POSSIBLE_SCALE_ERROR","OK"))</f>
        <v/>
      </c>
    </row>
    <row r="2942">
      <c r="A2942" t="inlineStr">
        <is>
          <t>T-2016-Q3-00015</t>
        </is>
      </c>
      <c r="B2942" t="inlineStr">
        <is>
          <t>SLE</t>
        </is>
      </c>
      <c r="C2942" t="inlineStr">
        <is>
          <t>Vice-President, Policy and Programs</t>
        </is>
      </c>
      <c r="D2942" t="inlineStr">
        <is>
          <t>Vice-président, Politiques et Programmes</t>
        </is>
      </c>
      <c r="E2942" t="inlineStr">
        <is>
          <t>Daryell Nowlan</t>
        </is>
      </c>
      <c r="F2942" t="inlineStr">
        <is>
          <t>Meeting with Government of Canada officials</t>
        </is>
      </c>
      <c r="G2942" t="inlineStr">
        <is>
          <t>Réunion avec des fonctionnaires du gouvernement du Canada</t>
        </is>
      </c>
      <c r="H2942" s="1" t="n">
        <v>42268</v>
      </c>
      <c r="I2942" s="1" t="n">
        <v>42269</v>
      </c>
      <c r="J2942" t="inlineStr">
        <is>
          <t>Charlottetown, Prince Edward Island</t>
        </is>
      </c>
      <c r="K2942" t="inlineStr">
        <is>
          <t>Charlottetown (Île-du-Prince-Édouard)</t>
        </is>
      </c>
      <c r="P2942" t="n">
        <v>0</v>
      </c>
      <c r="Q2942" t="n">
        <v>0</v>
      </c>
      <c r="R2942" t="n">
        <v>233.67</v>
      </c>
      <c r="S2942" t="n">
        <v>42.8</v>
      </c>
      <c r="T2942" t="n">
        <v>34.6</v>
      </c>
      <c r="U2942" t="n">
        <v>311.07</v>
      </c>
      <c r="X2942" t="inlineStr">
        <is>
          <t>acoa-apeca</t>
        </is>
      </c>
      <c r="Y2942" t="inlineStr">
        <is>
          <t>Atlantic Canada Opportunities Agency | Agence de promotion économique du Canada atlantique</t>
        </is>
      </c>
      <c r="Z2942" t="n">
        <v>2</v>
      </c>
      <c r="AA2942" t="n">
        <v>311.07</v>
      </c>
      <c r="AB2942">
        <f>ROUND(U2942-AA2942,2)</f>
        <v/>
      </c>
      <c r="AC2942" t="b">
        <v>0</v>
      </c>
      <c r="AD2942">
        <f>IF(U2942="","MISSING_TOTAL",IF(ABS(AB2942)&lt;=0.01,"OK","CHECK"))</f>
        <v/>
      </c>
      <c r="AE2942">
        <f>IF(U2942="","MISSING",IF(AND(AA2942&gt;0,U2942/AA2942&gt;50),"POSSIBLE_SCALE_ERROR","OK"))</f>
        <v/>
      </c>
    </row>
    <row r="2943">
      <c r="A2943" t="inlineStr">
        <is>
          <t>T-2016-Q3-00014</t>
        </is>
      </c>
      <c r="B2943" t="inlineStr">
        <is>
          <t>SLE</t>
        </is>
      </c>
      <c r="C2943" t="inlineStr">
        <is>
          <t>President</t>
        </is>
      </c>
      <c r="D2943" t="inlineStr">
        <is>
          <t>Président</t>
        </is>
      </c>
      <c r="E2943" t="inlineStr">
        <is>
          <t>Paul J. LeBlanc</t>
        </is>
      </c>
      <c r="F2943" t="inlineStr">
        <is>
          <t>For various meetings and discussions with Agency officials and Government of Canada officials</t>
        </is>
      </c>
      <c r="G2943" t="inlineStr">
        <is>
          <t>Diverses réunions et discussions avec des fonctionnaires de l'Agence et du gouvernement du Canada</t>
        </is>
      </c>
      <c r="H2943" s="1" t="n">
        <v>42268</v>
      </c>
      <c r="I2943" s="1" t="n">
        <v>42269</v>
      </c>
      <c r="J2943" t="inlineStr">
        <is>
          <t>Charlottetown, Prince Edward Island</t>
        </is>
      </c>
      <c r="K2943" t="inlineStr">
        <is>
          <t>Charlottetown (Île-du-Prince-Édouard)</t>
        </is>
      </c>
      <c r="P2943" t="n">
        <v>0</v>
      </c>
      <c r="Q2943" t="n">
        <v>0</v>
      </c>
      <c r="R2943" t="n">
        <v>233.67</v>
      </c>
      <c r="S2943" t="n">
        <v>77.40000000000001</v>
      </c>
      <c r="T2943" t="n">
        <v>64.88</v>
      </c>
      <c r="U2943" t="n">
        <v>375.95</v>
      </c>
      <c r="X2943" t="inlineStr">
        <is>
          <t>acoa-apeca</t>
        </is>
      </c>
      <c r="Y2943" t="inlineStr">
        <is>
          <t>Atlantic Canada Opportunities Agency | Agence de promotion économique du Canada atlantique</t>
        </is>
      </c>
      <c r="Z2943" t="n">
        <v>2</v>
      </c>
      <c r="AA2943" t="n">
        <v>375.95</v>
      </c>
      <c r="AB2943">
        <f>ROUND(U2943-AA2943,2)</f>
        <v/>
      </c>
      <c r="AC2943" t="b">
        <v>0</v>
      </c>
      <c r="AD2943">
        <f>IF(U2943="","MISSING_TOTAL",IF(ABS(AB2943)&lt;=0.01,"OK","CHECK"))</f>
        <v/>
      </c>
      <c r="AE2943">
        <f>IF(U2943="","MISSING",IF(AND(AA2943&gt;0,U2943/AA2943&gt;50),"POSSIBLE_SCALE_ERROR","OK"))</f>
        <v/>
      </c>
    </row>
    <row r="2944">
      <c r="A2944" t="inlineStr">
        <is>
          <t>T-2016-Q3-00013</t>
        </is>
      </c>
      <c r="B2944" t="inlineStr">
        <is>
          <t>SLE</t>
        </is>
      </c>
      <c r="C2944" t="inlineStr">
        <is>
          <t>Vice President, Nova Scotia</t>
        </is>
      </c>
      <c r="D2944" t="inlineStr">
        <is>
          <t>Vice-président, Nouvelle-Écosse</t>
        </is>
      </c>
      <c r="E2944" t="inlineStr">
        <is>
          <t>Peter Hogan</t>
        </is>
      </c>
      <c r="F2944" t="inlineStr">
        <is>
          <t>Various meetings with Agency officials and private sector</t>
        </is>
      </c>
      <c r="G2944" t="inlineStr">
        <is>
          <t>Diverses réunions avec des fonctionnaires de l'Agence et des représentants du secteur privé</t>
        </is>
      </c>
      <c r="H2944" s="1" t="n">
        <v>42264</v>
      </c>
      <c r="I2944" s="1" t="n">
        <v>42265</v>
      </c>
      <c r="J2944" t="inlineStr">
        <is>
          <t>Antigonish, Nova Scotia</t>
        </is>
      </c>
      <c r="K2944" t="inlineStr">
        <is>
          <t>Antigonish (Nouvelle-Écosse)</t>
        </is>
      </c>
      <c r="P2944" t="n">
        <v>0</v>
      </c>
      <c r="Q2944" t="n">
        <v>0</v>
      </c>
      <c r="R2944" t="n">
        <v>149.5</v>
      </c>
      <c r="S2944" t="n">
        <v>126.6</v>
      </c>
      <c r="T2944" t="n">
        <v>0</v>
      </c>
      <c r="U2944" t="n">
        <v>276.1</v>
      </c>
      <c r="X2944" t="inlineStr">
        <is>
          <t>acoa-apeca</t>
        </is>
      </c>
      <c r="Y2944" t="inlineStr">
        <is>
          <t>Atlantic Canada Opportunities Agency | Agence de promotion économique du Canada atlantique</t>
        </is>
      </c>
      <c r="Z2944" t="n">
        <v>2</v>
      </c>
      <c r="AA2944" t="n">
        <v>276.1</v>
      </c>
      <c r="AB2944">
        <f>ROUND(U2944-AA2944,2)</f>
        <v/>
      </c>
      <c r="AC2944" t="b">
        <v>0</v>
      </c>
      <c r="AD2944">
        <f>IF(U2944="","MISSING_TOTAL",IF(ABS(AB2944)&lt;=0.01,"OK","CHECK"))</f>
        <v/>
      </c>
      <c r="AE2944">
        <f>IF(U2944="","MISSING",IF(AND(AA2944&gt;0,U2944/AA2944&gt;50),"POSSIBLE_SCALE_ERROR","OK"))</f>
        <v/>
      </c>
    </row>
    <row r="2945">
      <c r="A2945" t="inlineStr">
        <is>
          <t>T-2016-Q3-00012</t>
        </is>
      </c>
      <c r="B2945" t="inlineStr">
        <is>
          <t>SLE</t>
        </is>
      </c>
      <c r="C2945" t="inlineStr">
        <is>
          <t>Vice-President, Policy and Programs</t>
        </is>
      </c>
      <c r="D2945" t="inlineStr">
        <is>
          <t>Vice-président, Politiques et Programmes</t>
        </is>
      </c>
      <c r="E2945" t="inlineStr">
        <is>
          <t>Daryell Nowlan</t>
        </is>
      </c>
      <c r="F2945" t="inlineStr">
        <is>
          <t>Meeting with Government of Canada officials</t>
        </is>
      </c>
      <c r="G2945" t="inlineStr">
        <is>
          <t>Réunion avec des fonctionnaires du gouvernement du Canada</t>
        </is>
      </c>
      <c r="H2945" s="1" t="n">
        <v>42264</v>
      </c>
      <c r="I2945" s="1" t="n">
        <v>42265</v>
      </c>
      <c r="J2945" t="inlineStr">
        <is>
          <t>Ottawa, Ontario</t>
        </is>
      </c>
      <c r="K2945" t="inlineStr">
        <is>
          <t>Ottawa (Ontario)</t>
        </is>
      </c>
      <c r="P2945" t="n">
        <v>639.58</v>
      </c>
      <c r="Q2945" t="n">
        <v>80</v>
      </c>
      <c r="R2945" t="n">
        <v>182.73</v>
      </c>
      <c r="S2945" t="n">
        <v>134.8</v>
      </c>
      <c r="T2945" t="n">
        <v>34.6</v>
      </c>
      <c r="U2945" t="n">
        <v>1071.71</v>
      </c>
      <c r="X2945" t="inlineStr">
        <is>
          <t>acoa-apeca</t>
        </is>
      </c>
      <c r="Y2945" t="inlineStr">
        <is>
          <t>Atlantic Canada Opportunities Agency | Agence de promotion économique du Canada atlantique</t>
        </is>
      </c>
      <c r="Z2945" t="n">
        <v>2</v>
      </c>
      <c r="AA2945" t="n">
        <v>1071.71</v>
      </c>
      <c r="AB2945">
        <f>ROUND(U2945-AA2945,2)</f>
        <v/>
      </c>
      <c r="AC2945" t="b">
        <v>0</v>
      </c>
      <c r="AD2945">
        <f>IF(U2945="","MISSING_TOTAL",IF(ABS(AB2945)&lt;=0.01,"OK","CHECK"))</f>
        <v/>
      </c>
      <c r="AE2945">
        <f>IF(U2945="","MISSING",IF(AND(AA2945&gt;0,U2945/AA2945&gt;50),"POSSIBLE_SCALE_ERROR","OK"))</f>
        <v/>
      </c>
    </row>
    <row r="2946">
      <c r="A2946" t="inlineStr">
        <is>
          <t>T-2016-Q3-00011</t>
        </is>
      </c>
      <c r="B2946" t="inlineStr">
        <is>
          <t>SLE</t>
        </is>
      </c>
      <c r="C2946" t="inlineStr">
        <is>
          <t>President</t>
        </is>
      </c>
      <c r="D2946" t="inlineStr">
        <is>
          <t>Président</t>
        </is>
      </c>
      <c r="E2946" t="inlineStr">
        <is>
          <t>Paul J. LeBlanc</t>
        </is>
      </c>
      <c r="F2946" t="inlineStr">
        <is>
          <t>For various meetings and discussions with Agency and Government of Canada officials</t>
        </is>
      </c>
      <c r="G2946" t="inlineStr">
        <is>
          <t>Diverses réunions et discussions avec des fonctionnaires de l'Agence et du gouvernement du Canada</t>
        </is>
      </c>
      <c r="H2946" s="1" t="n">
        <v>42262</v>
      </c>
      <c r="I2946" s="1" t="n">
        <v>42264</v>
      </c>
      <c r="J2946" t="inlineStr">
        <is>
          <t>Ottawa, Ontario</t>
        </is>
      </c>
      <c r="K2946" t="inlineStr">
        <is>
          <t>Ottawa (Ontario)</t>
        </is>
      </c>
      <c r="P2946" t="n">
        <v>639.58</v>
      </c>
      <c r="Q2946" t="n">
        <v>0</v>
      </c>
      <c r="R2946" t="n">
        <v>393.4</v>
      </c>
      <c r="S2946" t="n">
        <v>202.7</v>
      </c>
      <c r="T2946" t="n">
        <v>32</v>
      </c>
      <c r="U2946" t="n">
        <v>1267.68</v>
      </c>
      <c r="X2946" t="inlineStr">
        <is>
          <t>acoa-apeca</t>
        </is>
      </c>
      <c r="Y2946" t="inlineStr">
        <is>
          <t>Atlantic Canada Opportunities Agency | Agence de promotion économique du Canada atlantique</t>
        </is>
      </c>
      <c r="Z2946" t="n">
        <v>3</v>
      </c>
      <c r="AA2946" t="n">
        <v>1267.68</v>
      </c>
      <c r="AB2946">
        <f>ROUND(U2946-AA2946,2)</f>
        <v/>
      </c>
      <c r="AC2946" t="b">
        <v>0</v>
      </c>
      <c r="AD2946">
        <f>IF(U2946="","MISSING_TOTAL",IF(ABS(AB2946)&lt;=0.01,"OK","CHECK"))</f>
        <v/>
      </c>
      <c r="AE2946">
        <f>IF(U2946="","MISSING",IF(AND(AA2946&gt;0,U2946/AA2946&gt;50),"POSSIBLE_SCALE_ERROR","OK"))</f>
        <v/>
      </c>
    </row>
    <row r="2947">
      <c r="A2947" t="inlineStr">
        <is>
          <t>T-2016-Q3-00010</t>
        </is>
      </c>
      <c r="B2947" t="inlineStr">
        <is>
          <t>SLE</t>
        </is>
      </c>
      <c r="C2947" t="inlineStr">
        <is>
          <t>Vice-President, Prince Edward Island</t>
        </is>
      </c>
      <c r="D2947" t="inlineStr">
        <is>
          <t>Vice-président, Île-du-Prince-Édouard</t>
        </is>
      </c>
      <c r="E2947" t="inlineStr">
        <is>
          <t>Patrick Dorsey</t>
        </is>
      </c>
      <c r="F2947" t="inlineStr">
        <is>
          <t>Meetings with Government of Canada officials</t>
        </is>
      </c>
      <c r="G2947" t="inlineStr">
        <is>
          <t>Réunions avec des fonctionnaires du gouvernement du Canada</t>
        </is>
      </c>
      <c r="H2947" s="1" t="n">
        <v>42261</v>
      </c>
      <c r="I2947" s="1" t="n">
        <v>42261</v>
      </c>
      <c r="J2947" t="inlineStr">
        <is>
          <t>Moncton, New Brunswick</t>
        </is>
      </c>
      <c r="K2947" t="inlineStr">
        <is>
          <t>Moncton (Nouveau-Brunswick)</t>
        </is>
      </c>
      <c r="P2947" t="n">
        <v>0</v>
      </c>
      <c r="Q2947" t="n">
        <v>45.5</v>
      </c>
      <c r="R2947" t="n">
        <v>0</v>
      </c>
      <c r="S2947" t="n">
        <v>16.6</v>
      </c>
      <c r="T2947" t="n">
        <v>0</v>
      </c>
      <c r="U2947" t="n">
        <v>62.1</v>
      </c>
      <c r="X2947" t="inlineStr">
        <is>
          <t>acoa-apeca</t>
        </is>
      </c>
      <c r="Y2947" t="inlineStr">
        <is>
          <t>Atlantic Canada Opportunities Agency | Agence de promotion économique du Canada atlantique</t>
        </is>
      </c>
      <c r="Z2947" t="n">
        <v>1</v>
      </c>
      <c r="AA2947" t="n">
        <v>62.1</v>
      </c>
      <c r="AB2947">
        <f>ROUND(U2947-AA2947,2)</f>
        <v/>
      </c>
      <c r="AC2947" t="b">
        <v>0</v>
      </c>
      <c r="AD2947">
        <f>IF(U2947="","MISSING_TOTAL",IF(ABS(AB2947)&lt;=0.01,"OK","CHECK"))</f>
        <v/>
      </c>
      <c r="AE2947">
        <f>IF(U2947="","MISSING",IF(AND(AA2947&gt;0,U2947/AA2947&gt;50),"POSSIBLE_SCALE_ERROR","OK"))</f>
        <v/>
      </c>
    </row>
    <row r="2948">
      <c r="A2948" t="inlineStr">
        <is>
          <t>T-2016-Q3-00009</t>
        </is>
      </c>
      <c r="B2948" t="inlineStr">
        <is>
          <t>SLE</t>
        </is>
      </c>
      <c r="C2948" t="inlineStr">
        <is>
          <t>Vice-President, Finance and Corporate Services</t>
        </is>
      </c>
      <c r="D2948" t="inlineStr">
        <is>
          <t>Vice-présidente, Finances et Services corporatifs</t>
        </is>
      </c>
      <c r="E2948" t="inlineStr">
        <is>
          <t>Denise Frenette</t>
        </is>
      </c>
      <c r="F2948" t="inlineStr">
        <is>
          <t>To attend sessions with various Government officials</t>
        </is>
      </c>
      <c r="G2948" t="inlineStr">
        <is>
          <t>Assister à des séances avec divers fonctionnaires</t>
        </is>
      </c>
      <c r="H2948" s="1" t="n">
        <v>42260</v>
      </c>
      <c r="I2948" s="1" t="n">
        <v>42263</v>
      </c>
      <c r="J2948" t="inlineStr">
        <is>
          <t>Montreal, Quebec</t>
        </is>
      </c>
      <c r="K2948" t="inlineStr">
        <is>
          <t>Montréal (Québec)</t>
        </is>
      </c>
      <c r="P2948" t="n">
        <v>702.48</v>
      </c>
      <c r="Q2948" t="n">
        <v>114.68</v>
      </c>
      <c r="R2948" t="n">
        <v>681.87</v>
      </c>
      <c r="S2948" t="n">
        <v>214.2</v>
      </c>
      <c r="T2948" t="n">
        <v>0</v>
      </c>
      <c r="U2948" t="n">
        <v>1713.23</v>
      </c>
      <c r="X2948" t="inlineStr">
        <is>
          <t>acoa-apeca</t>
        </is>
      </c>
      <c r="Y2948" t="inlineStr">
        <is>
          <t>Atlantic Canada Opportunities Agency | Agence de promotion économique du Canada atlantique</t>
        </is>
      </c>
      <c r="Z2948" t="n">
        <v>4</v>
      </c>
      <c r="AA2948" t="n">
        <v>1713.23</v>
      </c>
      <c r="AB2948">
        <f>ROUND(U2948-AA2948,2)</f>
        <v/>
      </c>
      <c r="AC2948" t="b">
        <v>0</v>
      </c>
      <c r="AD2948">
        <f>IF(U2948="","MISSING_TOTAL",IF(ABS(AB2948)&lt;=0.01,"OK","CHECK"))</f>
        <v/>
      </c>
      <c r="AE2948">
        <f>IF(U2948="","MISSING",IF(AND(AA2948&gt;0,U2948/AA2948&gt;50),"POSSIBLE_SCALE_ERROR","OK"))</f>
        <v/>
      </c>
    </row>
    <row r="2949">
      <c r="A2949" t="inlineStr">
        <is>
          <t>T-2016-Q3-00008</t>
        </is>
      </c>
      <c r="B2949" t="inlineStr">
        <is>
          <t>SLE</t>
        </is>
      </c>
      <c r="C2949" t="inlineStr">
        <is>
          <t>Vice-President, New Brunswick</t>
        </is>
      </c>
      <c r="D2949" t="inlineStr">
        <is>
          <t>Vice-président, Nouveau-Brunswick</t>
        </is>
      </c>
      <c r="E2949" t="inlineStr">
        <is>
          <t>Kent Estabrooks</t>
        </is>
      </c>
      <c r="F2949" t="inlineStr">
        <is>
          <t>Meeting with Agency officials</t>
        </is>
      </c>
      <c r="G2949" t="inlineStr">
        <is>
          <t>Réunion avec des fonctionnaires de l'Agence</t>
        </is>
      </c>
      <c r="H2949" s="1" t="n">
        <v>42256</v>
      </c>
      <c r="I2949" s="1" t="n">
        <v>42257</v>
      </c>
      <c r="J2949" t="inlineStr">
        <is>
          <t>Halifax, Nova Scotia</t>
        </is>
      </c>
      <c r="K2949" t="inlineStr">
        <is>
          <t>Halifax (Nouvelle-Écosse)</t>
        </is>
      </c>
      <c r="P2949" t="n">
        <v>0</v>
      </c>
      <c r="Q2949" t="n">
        <v>130.7</v>
      </c>
      <c r="R2949" t="n">
        <v>174.78</v>
      </c>
      <c r="S2949" t="n">
        <v>120.2</v>
      </c>
      <c r="T2949" t="n">
        <v>0</v>
      </c>
      <c r="U2949" t="n">
        <v>425.68</v>
      </c>
      <c r="X2949" t="inlineStr">
        <is>
          <t>acoa-apeca</t>
        </is>
      </c>
      <c r="Y2949" t="inlineStr">
        <is>
          <t>Atlantic Canada Opportunities Agency | Agence de promotion économique du Canada atlantique</t>
        </is>
      </c>
      <c r="Z2949" t="n">
        <v>2</v>
      </c>
      <c r="AA2949" t="n">
        <v>425.68</v>
      </c>
      <c r="AB2949">
        <f>ROUND(U2949-AA2949,2)</f>
        <v/>
      </c>
      <c r="AC2949" t="b">
        <v>0</v>
      </c>
      <c r="AD2949">
        <f>IF(U2949="","MISSING_TOTAL",IF(ABS(AB2949)&lt;=0.01,"OK","CHECK"))</f>
        <v/>
      </c>
      <c r="AE2949">
        <f>IF(U2949="","MISSING",IF(AND(AA2949&gt;0,U2949/AA2949&gt;50),"POSSIBLE_SCALE_ERROR","OK"))</f>
        <v/>
      </c>
    </row>
    <row r="2950">
      <c r="A2950" t="inlineStr">
        <is>
          <t>T-2016-Q3-00006</t>
        </is>
      </c>
      <c r="B2950" t="inlineStr">
        <is>
          <t>SLE</t>
        </is>
      </c>
      <c r="C2950" t="inlineStr">
        <is>
          <t>Vice-President, Newfoundland and Labrador</t>
        </is>
      </c>
      <c r="D2950" t="inlineStr">
        <is>
          <t>Vice-président, Terre-Neuve-et-Labrador</t>
        </is>
      </c>
      <c r="E2950" t="inlineStr">
        <is>
          <t>Ken Martin</t>
        </is>
      </c>
      <c r="F2950" t="inlineStr">
        <is>
          <t>Executive Committee meetings</t>
        </is>
      </c>
      <c r="G2950" t="inlineStr">
        <is>
          <t>Réunions du Comité de direction</t>
        </is>
      </c>
      <c r="H2950" s="1" t="n">
        <v>42256</v>
      </c>
      <c r="I2950" s="1" t="n">
        <v>42257</v>
      </c>
      <c r="J2950" t="inlineStr">
        <is>
          <t>Halifax, Nova Scotia</t>
        </is>
      </c>
      <c r="K2950" t="inlineStr">
        <is>
          <t>Halifax (Nouvelle-Écosse)</t>
        </is>
      </c>
      <c r="P2950" t="n">
        <v>458.78</v>
      </c>
      <c r="Q2950" t="n">
        <v>74.15000000000001</v>
      </c>
      <c r="R2950" t="n">
        <v>163.05</v>
      </c>
      <c r="S2950" t="n">
        <v>136.2</v>
      </c>
      <c r="T2950" t="n">
        <v>25.24</v>
      </c>
      <c r="U2950" t="n">
        <v>857.42</v>
      </c>
      <c r="X2950" t="inlineStr">
        <is>
          <t>acoa-apeca</t>
        </is>
      </c>
      <c r="Y2950" t="inlineStr">
        <is>
          <t>Atlantic Canada Opportunities Agency | Agence de promotion économique du Canada atlantique</t>
        </is>
      </c>
      <c r="Z2950" t="n">
        <v>2</v>
      </c>
      <c r="AA2950" t="n">
        <v>857.42</v>
      </c>
      <c r="AB2950">
        <f>ROUND(U2950-AA2950,2)</f>
        <v/>
      </c>
      <c r="AC2950" t="b">
        <v>0</v>
      </c>
      <c r="AD2950">
        <f>IF(U2950="","MISSING_TOTAL",IF(ABS(AB2950)&lt;=0.01,"OK","CHECK"))</f>
        <v/>
      </c>
      <c r="AE2950">
        <f>IF(U2950="","MISSING",IF(AND(AA2950&gt;0,U2950/AA2950&gt;50),"POSSIBLE_SCALE_ERROR","OK"))</f>
        <v/>
      </c>
    </row>
    <row r="2951">
      <c r="A2951" t="inlineStr">
        <is>
          <t>T-2016-Q3-00004</t>
        </is>
      </c>
      <c r="B2951" t="inlineStr">
        <is>
          <t>SLE</t>
        </is>
      </c>
      <c r="C2951" t="inlineStr">
        <is>
          <t>Vice-President, Prince Edward Island</t>
        </is>
      </c>
      <c r="D2951" t="inlineStr">
        <is>
          <t>Vice-président, Île-du-Prince-Édouard</t>
        </is>
      </c>
      <c r="E2951" t="inlineStr">
        <is>
          <t>Patrick Dorsey</t>
        </is>
      </c>
      <c r="F2951" t="inlineStr">
        <is>
          <t>Executive Committee meeting</t>
        </is>
      </c>
      <c r="G2951" t="inlineStr">
        <is>
          <t>Réunion du Comité de direction</t>
        </is>
      </c>
      <c r="H2951" s="1" t="n">
        <v>42256</v>
      </c>
      <c r="I2951" s="1" t="n">
        <v>42258</v>
      </c>
      <c r="J2951" t="inlineStr">
        <is>
          <t>Halifax, Nova Scotia</t>
        </is>
      </c>
      <c r="K2951" t="inlineStr">
        <is>
          <t>Halifax (Nouvelle-Écosse)</t>
        </is>
      </c>
      <c r="P2951" t="n">
        <v>0</v>
      </c>
      <c r="Q2951" t="n">
        <v>234.62</v>
      </c>
      <c r="R2951" t="n">
        <v>349.56</v>
      </c>
      <c r="S2951" t="n">
        <v>186.7</v>
      </c>
      <c r="T2951" t="n">
        <v>0</v>
      </c>
      <c r="U2951" t="n">
        <v>770.88</v>
      </c>
      <c r="X2951" t="inlineStr">
        <is>
          <t>acoa-apeca</t>
        </is>
      </c>
      <c r="Y2951" t="inlineStr">
        <is>
          <t>Atlantic Canada Opportunities Agency | Agence de promotion économique du Canada atlantique</t>
        </is>
      </c>
      <c r="Z2951" t="n">
        <v>3</v>
      </c>
      <c r="AA2951" t="n">
        <v>770.88</v>
      </c>
      <c r="AB2951">
        <f>ROUND(U2951-AA2951,2)</f>
        <v/>
      </c>
      <c r="AC2951" t="b">
        <v>0</v>
      </c>
      <c r="AD2951">
        <f>IF(U2951="","MISSING_TOTAL",IF(ABS(AB2951)&lt;=0.01,"OK","CHECK"))</f>
        <v/>
      </c>
      <c r="AE2951">
        <f>IF(U2951="","MISSING",IF(AND(AA2951&gt;0,U2951/AA2951&gt;50),"POSSIBLE_SCALE_ERROR","OK"))</f>
        <v/>
      </c>
    </row>
    <row r="2952">
      <c r="A2952" t="inlineStr">
        <is>
          <t>T-2016-Q3-00003</t>
        </is>
      </c>
      <c r="B2952" t="inlineStr">
        <is>
          <t>SLE</t>
        </is>
      </c>
      <c r="C2952" t="inlineStr">
        <is>
          <t>Vice-President, Finance and Corporate Services</t>
        </is>
      </c>
      <c r="D2952" t="inlineStr">
        <is>
          <t>Vice-présidente, Finances et Services corporatifs</t>
        </is>
      </c>
      <c r="E2952" t="inlineStr">
        <is>
          <t>Denise Frenette</t>
        </is>
      </c>
      <c r="F2952" t="inlineStr">
        <is>
          <t>For meeting with Agency officials</t>
        </is>
      </c>
      <c r="G2952" t="inlineStr">
        <is>
          <t>Réunion avec des fonctionnaires de l'Agence</t>
        </is>
      </c>
      <c r="H2952" s="1" t="n">
        <v>42256</v>
      </c>
      <c r="I2952" s="1" t="n">
        <v>42257</v>
      </c>
      <c r="J2952" t="inlineStr">
        <is>
          <t>Halifax, Nova Scotia</t>
        </is>
      </c>
      <c r="K2952" t="inlineStr">
        <is>
          <t>Halifax (Nouvelle-Écosse)</t>
        </is>
      </c>
      <c r="P2952" t="n">
        <v>0</v>
      </c>
      <c r="Q2952" t="n">
        <v>0</v>
      </c>
      <c r="R2952" t="n">
        <v>186.51</v>
      </c>
      <c r="S2952" t="n">
        <v>93.40000000000001</v>
      </c>
      <c r="T2952" t="n">
        <v>0</v>
      </c>
      <c r="U2952" t="n">
        <v>279.91</v>
      </c>
      <c r="X2952" t="inlineStr">
        <is>
          <t>acoa-apeca</t>
        </is>
      </c>
      <c r="Y2952" t="inlineStr">
        <is>
          <t>Atlantic Canada Opportunities Agency | Agence de promotion économique du Canada atlantique</t>
        </is>
      </c>
      <c r="Z2952" t="n">
        <v>2</v>
      </c>
      <c r="AA2952" t="n">
        <v>279.909999999999</v>
      </c>
      <c r="AB2952">
        <f>ROUND(U2952-AA2952,2)</f>
        <v/>
      </c>
      <c r="AC2952" t="b">
        <v>0</v>
      </c>
      <c r="AD2952">
        <f>IF(U2952="","MISSING_TOTAL",IF(ABS(AB2952)&lt;=0.01,"OK","CHECK"))</f>
        <v/>
      </c>
      <c r="AE2952">
        <f>IF(U2952="","MISSING",IF(AND(AA2952&gt;0,U2952/AA2952&gt;50),"POSSIBLE_SCALE_ERROR","OK"))</f>
        <v/>
      </c>
    </row>
    <row r="2953">
      <c r="A2953" t="inlineStr">
        <is>
          <t>T-2016-Q3-00002</t>
        </is>
      </c>
      <c r="B2953" t="inlineStr">
        <is>
          <t>SLE</t>
        </is>
      </c>
      <c r="C2953" t="inlineStr">
        <is>
          <t>President</t>
        </is>
      </c>
      <c r="D2953" t="inlineStr">
        <is>
          <t>Président</t>
        </is>
      </c>
      <c r="E2953" t="inlineStr">
        <is>
          <t>Paul J. LeBlanc</t>
        </is>
      </c>
      <c r="F2953" t="inlineStr">
        <is>
          <t>For various meetings and discussions with Agency officials and Government of Canada officials</t>
        </is>
      </c>
      <c r="G2953" t="inlineStr">
        <is>
          <t>Diverses réunions et discussions avec des fonctionnaires de l'Agence et du gouvernement du Canada</t>
        </is>
      </c>
      <c r="H2953" s="1" t="n">
        <v>42256</v>
      </c>
      <c r="I2953" s="1" t="n">
        <v>42257</v>
      </c>
      <c r="J2953" t="inlineStr">
        <is>
          <t>Halifax, Nova Scotia</t>
        </is>
      </c>
      <c r="K2953" t="inlineStr">
        <is>
          <t>Halifax (Nouvelle-Écosse)</t>
        </is>
      </c>
      <c r="P2953" t="n">
        <v>0</v>
      </c>
      <c r="Q2953" t="n">
        <v>0</v>
      </c>
      <c r="R2953" t="n">
        <v>174.78</v>
      </c>
      <c r="S2953" t="n">
        <v>67.2</v>
      </c>
      <c r="T2953" t="n">
        <v>31.24</v>
      </c>
      <c r="U2953" t="n">
        <v>273.22</v>
      </c>
      <c r="X2953" t="inlineStr">
        <is>
          <t>acoa-apeca</t>
        </is>
      </c>
      <c r="Y2953" t="inlineStr">
        <is>
          <t>Atlantic Canada Opportunities Agency | Agence de promotion économique du Canada atlantique</t>
        </is>
      </c>
      <c r="Z2953" t="n">
        <v>2</v>
      </c>
      <c r="AA2953" t="n">
        <v>273.22</v>
      </c>
      <c r="AB2953">
        <f>ROUND(U2953-AA2953,2)</f>
        <v/>
      </c>
      <c r="AC2953" t="b">
        <v>0</v>
      </c>
      <c r="AD2953">
        <f>IF(U2953="","MISSING_TOTAL",IF(ABS(AB2953)&lt;=0.01,"OK","CHECK"))</f>
        <v/>
      </c>
      <c r="AE2953">
        <f>IF(U2953="","MISSING",IF(AND(AA2953&gt;0,U2953/AA2953&gt;50),"POSSIBLE_SCALE_ERROR","OK"))</f>
        <v/>
      </c>
    </row>
    <row r="2954">
      <c r="A2954" t="inlineStr">
        <is>
          <t>T-2016-Q3-00001</t>
        </is>
      </c>
      <c r="B2954" t="inlineStr">
        <is>
          <t>SLE</t>
        </is>
      </c>
      <c r="C2954" t="inlineStr">
        <is>
          <t>Vice-President, Policy and Programs</t>
        </is>
      </c>
      <c r="D2954" t="inlineStr">
        <is>
          <t>Vice-président, Politiques et Programmes</t>
        </is>
      </c>
      <c r="E2954" t="inlineStr">
        <is>
          <t>Daryell Nowlan</t>
        </is>
      </c>
      <c r="F2954" t="inlineStr">
        <is>
          <t>Meetings with private sector and Government of Canada officials</t>
        </is>
      </c>
      <c r="G2954" t="inlineStr">
        <is>
          <t>Réunions avec des représentants du secteur privé et du gouvernement du Canada</t>
        </is>
      </c>
      <c r="H2954" s="1" t="n">
        <v>42254</v>
      </c>
      <c r="I2954" s="1" t="n">
        <v>42257</v>
      </c>
      <c r="J2954" t="inlineStr">
        <is>
          <t>Halifax, Nova Scotia</t>
        </is>
      </c>
      <c r="K2954" t="inlineStr">
        <is>
          <t>Halifax (Nouvelle-Écosse)</t>
        </is>
      </c>
      <c r="P2954" t="n">
        <v>0</v>
      </c>
      <c r="Q2954" t="n">
        <v>0</v>
      </c>
      <c r="R2954" t="n">
        <v>524.34</v>
      </c>
      <c r="S2954" t="n">
        <v>134.8</v>
      </c>
      <c r="T2954" t="n">
        <v>69.2</v>
      </c>
      <c r="U2954" t="n">
        <v>728.34</v>
      </c>
      <c r="X2954" t="inlineStr">
        <is>
          <t>acoa-apeca</t>
        </is>
      </c>
      <c r="Y2954" t="inlineStr">
        <is>
          <t>Atlantic Canada Opportunities Agency | Agence de promotion économique du Canada atlantique</t>
        </is>
      </c>
      <c r="Z2954" t="n">
        <v>4</v>
      </c>
      <c r="AA2954" t="n">
        <v>728.34</v>
      </c>
      <c r="AB2954">
        <f>ROUND(U2954-AA2954,2)</f>
        <v/>
      </c>
      <c r="AC2954" t="b">
        <v>0</v>
      </c>
      <c r="AD2954">
        <f>IF(U2954="","MISSING_TOTAL",IF(ABS(AB2954)&lt;=0.01,"OK","CHECK"))</f>
        <v/>
      </c>
      <c r="AE2954">
        <f>IF(U2954="","MISSING",IF(AND(AA2954&gt;0,U2954/AA2954&gt;50),"POSSIBLE_SCALE_ERROR","OK"))</f>
        <v/>
      </c>
    </row>
    <row r="2955">
      <c r="A2955" t="inlineStr">
        <is>
          <t>T-2016-Q2-00051</t>
        </is>
      </c>
      <c r="B2955" t="inlineStr">
        <is>
          <t>SLE</t>
        </is>
      </c>
      <c r="C2955" t="inlineStr">
        <is>
          <t>Vice-President, Policy and Programs</t>
        </is>
      </c>
      <c r="D2955" t="inlineStr">
        <is>
          <t>Vice-président, Politiques et Programmes</t>
        </is>
      </c>
      <c r="E2955" t="inlineStr">
        <is>
          <t>Daryell Nowlan</t>
        </is>
      </c>
      <c r="F2955" t="inlineStr">
        <is>
          <t>Meetings with Government of Canada officials</t>
        </is>
      </c>
      <c r="G2955" t="inlineStr">
        <is>
          <t>Réunions avec des fonctionnaires du gouvernement du Canada</t>
        </is>
      </c>
      <c r="H2955" s="1" t="n">
        <v>42248</v>
      </c>
      <c r="I2955" s="1" t="n">
        <v>42250</v>
      </c>
      <c r="J2955" t="inlineStr">
        <is>
          <t>Ottawa, Ontario</t>
        </is>
      </c>
      <c r="K2955" t="inlineStr">
        <is>
          <t>Ottawa (Ontario)</t>
        </is>
      </c>
      <c r="P2955" t="n">
        <v>639.58</v>
      </c>
      <c r="Q2955" t="n">
        <v>191.6</v>
      </c>
      <c r="R2955" t="n">
        <v>365.46</v>
      </c>
      <c r="S2955" t="n">
        <v>187.3</v>
      </c>
      <c r="T2955" t="n">
        <v>0</v>
      </c>
      <c r="U2955" t="n">
        <v>1383.94</v>
      </c>
      <c r="X2955" t="inlineStr">
        <is>
          <t>acoa-apeca</t>
        </is>
      </c>
      <c r="Y2955" t="inlineStr">
        <is>
          <t>Atlantic Canada Opportunities Agency | Agence de promotion économique du Canada atlantique</t>
        </is>
      </c>
      <c r="Z2955" t="n">
        <v>3</v>
      </c>
      <c r="AA2955" t="n">
        <v>1383.94</v>
      </c>
      <c r="AB2955">
        <f>ROUND(U2955-AA2955,2)</f>
        <v/>
      </c>
      <c r="AC2955" t="b">
        <v>0</v>
      </c>
      <c r="AD2955">
        <f>IF(U2955="","MISSING_TOTAL",IF(ABS(AB2955)&lt;=0.01,"OK","CHECK"))</f>
        <v/>
      </c>
      <c r="AE2955">
        <f>IF(U2955="","MISSING",IF(AND(AA2955&gt;0,U2955/AA2955&gt;50),"POSSIBLE_SCALE_ERROR","OK"))</f>
        <v/>
      </c>
    </row>
    <row r="2956">
      <c r="A2956" t="inlineStr">
        <is>
          <t>T-2014-Q4-00034</t>
        </is>
      </c>
      <c r="B2956" t="inlineStr">
        <is>
          <t>MPSES</t>
        </is>
      </c>
      <c r="C2956" t="inlineStr">
        <is>
          <t>Executive Assistant</t>
        </is>
      </c>
      <c r="D2956" t="inlineStr">
        <is>
          <t>Adjoint exécutif</t>
        </is>
      </c>
      <c r="E2956" t="inlineStr">
        <is>
          <t>Josh Hardy</t>
        </is>
      </c>
      <c r="F2956" t="inlineStr">
        <is>
          <t>Travel on Government business</t>
        </is>
      </c>
      <c r="G2956" t="inlineStr">
        <is>
          <t>Voyage pour le compte du gouvernement</t>
        </is>
      </c>
      <c r="H2956" s="1" t="n">
        <v>41665</v>
      </c>
      <c r="I2956" s="1" t="n">
        <v>41665</v>
      </c>
      <c r="J2956" t="inlineStr">
        <is>
          <t>Ottawa, Ontario</t>
        </is>
      </c>
      <c r="K2956" t="inlineStr">
        <is>
          <t>Ottawa (Ontario)</t>
        </is>
      </c>
      <c r="P2956" t="n">
        <v>401.78</v>
      </c>
      <c r="Q2956" t="n">
        <v>0</v>
      </c>
      <c r="R2956" t="n">
        <v>0</v>
      </c>
      <c r="S2956" t="n">
        <v>0</v>
      </c>
      <c r="T2956" t="n">
        <v>0</v>
      </c>
      <c r="U2956" t="n">
        <v>401.78</v>
      </c>
      <c r="X2956" t="inlineStr">
        <is>
          <t>acoa-apeca</t>
        </is>
      </c>
      <c r="Y2956" t="inlineStr">
        <is>
          <t>Atlantic Canada Opportunities Agency | Agence de promotion économique du Canada atlantique</t>
        </is>
      </c>
      <c r="Z2956" t="n">
        <v>1</v>
      </c>
      <c r="AA2956" t="n">
        <v>401.78</v>
      </c>
      <c r="AB2956">
        <f>ROUND(U2956-AA2956,2)</f>
        <v/>
      </c>
      <c r="AC2956" t="b">
        <v>0</v>
      </c>
      <c r="AD2956">
        <f>IF(U2956="","MISSING_TOTAL",IF(ABS(AB2956)&lt;=0.01,"OK","CHECK"))</f>
        <v/>
      </c>
      <c r="AE2956">
        <f>IF(U2956="","MISSING",IF(AND(AA2956&gt;0,U2956/AA2956&gt;50),"POSSIBLE_SCALE_ERROR","OK"))</f>
        <v/>
      </c>
    </row>
    <row r="2957">
      <c r="A2957" t="inlineStr">
        <is>
          <t>T-2016-Q2-00050</t>
        </is>
      </c>
      <c r="B2957" t="inlineStr">
        <is>
          <t>SLE</t>
        </is>
      </c>
      <c r="C2957" t="inlineStr">
        <is>
          <t>Vice-President, Finance and Corporate Services</t>
        </is>
      </c>
      <c r="D2957" t="inlineStr">
        <is>
          <t>Vice-présidente, Finances et Services corporatifs</t>
        </is>
      </c>
      <c r="E2957" t="inlineStr">
        <is>
          <t>Denise Frenette</t>
        </is>
      </c>
      <c r="F2957" t="inlineStr">
        <is>
          <t>For meeting with various Government of Canada officials</t>
        </is>
      </c>
      <c r="G2957" t="inlineStr">
        <is>
          <t>Réunion avec divers fonctionnaires du gouvernement du Canada</t>
        </is>
      </c>
      <c r="H2957" s="1" t="n">
        <v>42248</v>
      </c>
      <c r="I2957" s="1" t="n">
        <v>42249</v>
      </c>
      <c r="J2957" t="inlineStr">
        <is>
          <t>Ottawa, Ontario</t>
        </is>
      </c>
      <c r="K2957" t="inlineStr">
        <is>
          <t>Ottawa (Ontario)</t>
        </is>
      </c>
      <c r="P2957" t="n">
        <v>627.86</v>
      </c>
      <c r="Q2957" t="n">
        <v>119.89</v>
      </c>
      <c r="R2957" t="n">
        <v>182.73</v>
      </c>
      <c r="S2957" t="n">
        <v>110</v>
      </c>
      <c r="T2957" t="n">
        <v>0</v>
      </c>
      <c r="U2957" t="n">
        <v>1040.48</v>
      </c>
      <c r="X2957" t="inlineStr">
        <is>
          <t>acoa-apeca</t>
        </is>
      </c>
      <c r="Y2957" t="inlineStr">
        <is>
          <t>Atlantic Canada Opportunities Agency | Agence de promotion économique du Canada atlantique</t>
        </is>
      </c>
      <c r="Z2957" t="n">
        <v>2</v>
      </c>
      <c r="AA2957" t="n">
        <v>1040.48</v>
      </c>
      <c r="AB2957">
        <f>ROUND(U2957-AA2957,2)</f>
        <v/>
      </c>
      <c r="AC2957" t="b">
        <v>0</v>
      </c>
      <c r="AD2957">
        <f>IF(U2957="","MISSING_TOTAL",IF(ABS(AB2957)&lt;=0.01,"OK","CHECK"))</f>
        <v/>
      </c>
      <c r="AE2957">
        <f>IF(U2957="","MISSING",IF(AND(AA2957&gt;0,U2957/AA2957&gt;50),"POSSIBLE_SCALE_ERROR","OK"))</f>
        <v/>
      </c>
    </row>
    <row r="2958">
      <c r="A2958" t="inlineStr">
        <is>
          <t>T-2016-Q2-00049</t>
        </is>
      </c>
      <c r="B2958" t="inlineStr">
        <is>
          <t>SLE</t>
        </is>
      </c>
      <c r="C2958" t="inlineStr">
        <is>
          <t>President</t>
        </is>
      </c>
      <c r="D2958" t="inlineStr">
        <is>
          <t>Président</t>
        </is>
      </c>
      <c r="E2958" t="inlineStr">
        <is>
          <t>Paul J. LeBlanc</t>
        </is>
      </c>
      <c r="F2958" t="inlineStr">
        <is>
          <t>For various meetings and discussions with Agency officials and Government of Canada officials</t>
        </is>
      </c>
      <c r="G2958" t="inlineStr">
        <is>
          <t>Diverses réunions et discussions avec des fonctionnaires de l'Agence et du gouvernement du Canada</t>
        </is>
      </c>
      <c r="H2958" s="1" t="n">
        <v>42240</v>
      </c>
      <c r="I2958" s="1" t="n">
        <v>42241</v>
      </c>
      <c r="J2958" t="inlineStr">
        <is>
          <t>Halifax, Nova Scotia</t>
        </is>
      </c>
      <c r="K2958" t="inlineStr">
        <is>
          <t>Halifax (Nouvelle-Écosse)</t>
        </is>
      </c>
      <c r="P2958" t="n">
        <v>0</v>
      </c>
      <c r="Q2958" t="n">
        <v>0</v>
      </c>
      <c r="R2958" t="n">
        <v>158.36</v>
      </c>
      <c r="S2958" t="n">
        <v>110</v>
      </c>
      <c r="T2958" t="n">
        <v>25.24</v>
      </c>
      <c r="U2958" t="n">
        <v>293.6</v>
      </c>
      <c r="X2958" t="inlineStr">
        <is>
          <t>acoa-apeca</t>
        </is>
      </c>
      <c r="Y2958" t="inlineStr">
        <is>
          <t>Atlantic Canada Opportunities Agency | Agence de promotion économique du Canada atlantique</t>
        </is>
      </c>
      <c r="Z2958" t="n">
        <v>2</v>
      </c>
      <c r="AA2958" t="n">
        <v>293.6</v>
      </c>
      <c r="AB2958">
        <f>ROUND(U2958-AA2958,2)</f>
        <v/>
      </c>
      <c r="AC2958" t="b">
        <v>0</v>
      </c>
      <c r="AD2958">
        <f>IF(U2958="","MISSING_TOTAL",IF(ABS(AB2958)&lt;=0.01,"OK","CHECK"))</f>
        <v/>
      </c>
      <c r="AE2958">
        <f>IF(U2958="","MISSING",IF(AND(AA2958&gt;0,U2958/AA2958&gt;50),"POSSIBLE_SCALE_ERROR","OK"))</f>
        <v/>
      </c>
    </row>
    <row r="2959">
      <c r="A2959" t="inlineStr">
        <is>
          <t>T-2016-Q2-00009</t>
        </is>
      </c>
      <c r="B2959" t="inlineStr">
        <is>
          <t>MPSES</t>
        </is>
      </c>
      <c r="C2959" t="inlineStr">
        <is>
          <t>Regional Affairs Director - New Brunswick</t>
        </is>
      </c>
      <c r="D2959" t="inlineStr">
        <is>
          <t>Directeur des affaires régionales - Nouveau-Brunswick</t>
        </is>
      </c>
      <c r="E2959" t="inlineStr">
        <is>
          <t>Douglas MacDonald</t>
        </is>
      </c>
      <c r="F2959" t="inlineStr">
        <is>
          <t>Travel for Government business</t>
        </is>
      </c>
      <c r="G2959" t="inlineStr">
        <is>
          <t>Voyage pour affaires officielles</t>
        </is>
      </c>
      <c r="H2959" s="1" t="n">
        <v>42163</v>
      </c>
      <c r="I2959" s="1" t="n">
        <v>42163</v>
      </c>
      <c r="J2959" t="inlineStr">
        <is>
          <t>Sussex and Moncton, New Brunswick</t>
        </is>
      </c>
      <c r="K2959" t="inlineStr">
        <is>
          <t>Sussex et Moncton (Nouveau-Brunswick)</t>
        </is>
      </c>
      <c r="P2959" t="n">
        <v>0</v>
      </c>
      <c r="Q2959" t="n">
        <v>141</v>
      </c>
      <c r="R2959" t="n">
        <v>0</v>
      </c>
      <c r="S2959" t="n">
        <v>0</v>
      </c>
      <c r="T2959" t="n">
        <v>0</v>
      </c>
      <c r="U2959" t="n">
        <v>141</v>
      </c>
      <c r="X2959" t="inlineStr">
        <is>
          <t>acoa-apeca</t>
        </is>
      </c>
      <c r="Y2959" t="inlineStr">
        <is>
          <t>Atlantic Canada Opportunities Agency | Agence de promotion économique du Canada atlantique</t>
        </is>
      </c>
      <c r="Z2959" t="n">
        <v>1</v>
      </c>
      <c r="AA2959" t="n">
        <v>141</v>
      </c>
      <c r="AB2959">
        <f>ROUND(U2959-AA2959,2)</f>
        <v/>
      </c>
      <c r="AC2959" t="b">
        <v>0</v>
      </c>
      <c r="AD2959">
        <f>IF(U2959="","MISSING_TOTAL",IF(ABS(AB2959)&lt;=0.01,"OK","CHECK"))</f>
        <v/>
      </c>
      <c r="AE2959">
        <f>IF(U2959="","MISSING",IF(AND(AA2959&gt;0,U2959/AA2959&gt;50),"POSSIBLE_SCALE_ERROR","OK"))</f>
        <v/>
      </c>
    </row>
    <row r="2960">
      <c r="A2960" t="inlineStr">
        <is>
          <t>T-2016-Q2-00048</t>
        </is>
      </c>
      <c r="B2960" t="inlineStr">
        <is>
          <t>SLE</t>
        </is>
      </c>
      <c r="C2960" t="inlineStr">
        <is>
          <t>Vice-President, Policy and Programs</t>
        </is>
      </c>
      <c r="D2960" t="inlineStr">
        <is>
          <t>Vice-président, Politiques et Programmes</t>
        </is>
      </c>
      <c r="E2960" t="inlineStr">
        <is>
          <t>Daryell Nowlan</t>
        </is>
      </c>
      <c r="F2960" t="inlineStr">
        <is>
          <t>Meeting with Government of Canada officials</t>
        </is>
      </c>
      <c r="G2960" t="inlineStr">
        <is>
          <t>Réunion avec des fonctionnaires du gouvernement du Canada</t>
        </is>
      </c>
      <c r="H2960" s="1" t="n">
        <v>42235</v>
      </c>
      <c r="I2960" s="1" t="n">
        <v>42236</v>
      </c>
      <c r="J2960" t="inlineStr">
        <is>
          <t>Ottawa, Ontario</t>
        </is>
      </c>
      <c r="K2960" t="inlineStr">
        <is>
          <t>Ottawa (Ontario)</t>
        </is>
      </c>
      <c r="P2960" t="n">
        <v>639.58</v>
      </c>
      <c r="Q2960" t="n">
        <v>192.99</v>
      </c>
      <c r="R2960" t="n">
        <v>189.22</v>
      </c>
      <c r="S2960" t="n">
        <v>110.6</v>
      </c>
      <c r="T2960" t="n">
        <v>0</v>
      </c>
      <c r="U2960" t="n">
        <v>1132.39</v>
      </c>
      <c r="X2960" t="inlineStr">
        <is>
          <t>acoa-apeca</t>
        </is>
      </c>
      <c r="Y2960" t="inlineStr">
        <is>
          <t>Atlantic Canada Opportunities Agency | Agence de promotion économique du Canada atlantique</t>
        </is>
      </c>
      <c r="Z2960" t="n">
        <v>2</v>
      </c>
      <c r="AA2960" t="n">
        <v>1132.39</v>
      </c>
      <c r="AB2960">
        <f>ROUND(U2960-AA2960,2)</f>
        <v/>
      </c>
      <c r="AC2960" t="b">
        <v>0</v>
      </c>
      <c r="AD2960">
        <f>IF(U2960="","MISSING_TOTAL",IF(ABS(AB2960)&lt;=0.01,"OK","CHECK"))</f>
        <v/>
      </c>
      <c r="AE2960">
        <f>IF(U2960="","MISSING",IF(AND(AA2960&gt;0,U2960/AA2960&gt;50),"POSSIBLE_SCALE_ERROR","OK"))</f>
        <v/>
      </c>
    </row>
    <row r="2961">
      <c r="A2961" t="inlineStr">
        <is>
          <t>T-2016-Q2-00047</t>
        </is>
      </c>
      <c r="B2961" t="inlineStr">
        <is>
          <t>SLE</t>
        </is>
      </c>
      <c r="C2961" t="inlineStr">
        <is>
          <t>Vice-President, Prince Edward Island</t>
        </is>
      </c>
      <c r="D2961" t="inlineStr">
        <is>
          <t>Vice-président, Île-du-Prince-Édouard</t>
        </is>
      </c>
      <c r="E2961" t="inlineStr">
        <is>
          <t>Patrick Dorsey</t>
        </is>
      </c>
      <c r="F2961" t="inlineStr">
        <is>
          <t>PEI Aerospace Association Conference</t>
        </is>
      </c>
      <c r="G2961" t="inlineStr">
        <is>
          <t>Conférence de la PEI Aerospace Association</t>
        </is>
      </c>
      <c r="H2961" s="1" t="n">
        <v>42228</v>
      </c>
      <c r="I2961" s="1" t="n">
        <v>42229</v>
      </c>
      <c r="J2961" t="inlineStr">
        <is>
          <t>Brudenell, Prince Edward Island</t>
        </is>
      </c>
      <c r="K2961" t="inlineStr">
        <is>
          <t>Brudenell (Île-du-Prince-Édouard)</t>
        </is>
      </c>
      <c r="P2961" t="n">
        <v>0</v>
      </c>
      <c r="Q2961" t="n">
        <v>0</v>
      </c>
      <c r="R2961" t="n">
        <v>319.2</v>
      </c>
      <c r="S2961" t="n">
        <v>100.5</v>
      </c>
      <c r="T2961" t="n">
        <v>0</v>
      </c>
      <c r="U2961" t="n">
        <v>419.7</v>
      </c>
      <c r="X2961" t="inlineStr">
        <is>
          <t>acoa-apeca</t>
        </is>
      </c>
      <c r="Y2961" t="inlineStr">
        <is>
          <t>Atlantic Canada Opportunities Agency | Agence de promotion économique du Canada atlantique</t>
        </is>
      </c>
      <c r="Z2961" t="n">
        <v>2</v>
      </c>
      <c r="AA2961" t="n">
        <v>419.7</v>
      </c>
      <c r="AB2961">
        <f>ROUND(U2961-AA2961,2)</f>
        <v/>
      </c>
      <c r="AC2961" t="b">
        <v>0</v>
      </c>
      <c r="AD2961">
        <f>IF(U2961="","MISSING_TOTAL",IF(ABS(AB2961)&lt;=0.01,"OK","CHECK"))</f>
        <v/>
      </c>
      <c r="AE2961">
        <f>IF(U2961="","MISSING",IF(AND(AA2961&gt;0,U2961/AA2961&gt;50),"POSSIBLE_SCALE_ERROR","OK"))</f>
        <v/>
      </c>
    </row>
    <row r="2962">
      <c r="A2962" t="inlineStr">
        <is>
          <t>T-2016-Q2-00046</t>
        </is>
      </c>
      <c r="B2962" t="inlineStr">
        <is>
          <t>SLE</t>
        </is>
      </c>
      <c r="C2962" t="inlineStr">
        <is>
          <t>Vice-President, Policy and Programs</t>
        </is>
      </c>
      <c r="D2962" t="inlineStr">
        <is>
          <t>Vice-président, Politiques et Programmes</t>
        </is>
      </c>
      <c r="E2962" t="inlineStr">
        <is>
          <t>Daryell Nowlan</t>
        </is>
      </c>
      <c r="F2962" t="inlineStr">
        <is>
          <t>Meetings with Government of Canada officials</t>
        </is>
      </c>
      <c r="G2962" t="inlineStr">
        <is>
          <t>Réunions avec des fonctionnaires du gouvernement du Canada</t>
        </is>
      </c>
      <c r="H2962" s="1" t="n">
        <v>42225</v>
      </c>
      <c r="I2962" s="1" t="n">
        <v>42227</v>
      </c>
      <c r="J2962" t="inlineStr">
        <is>
          <t>Ottawa, Ontario</t>
        </is>
      </c>
      <c r="K2962" t="inlineStr">
        <is>
          <t>Ottawa (Ontario)</t>
        </is>
      </c>
      <c r="P2962" t="n">
        <v>639.58</v>
      </c>
      <c r="Q2962" t="n">
        <v>115</v>
      </c>
      <c r="R2962" t="n">
        <v>365.46</v>
      </c>
      <c r="S2962" t="n">
        <v>170.7</v>
      </c>
      <c r="T2962" t="n">
        <v>0</v>
      </c>
      <c r="U2962" t="n">
        <v>1290.74</v>
      </c>
      <c r="X2962" t="inlineStr">
        <is>
          <t>acoa-apeca</t>
        </is>
      </c>
      <c r="Y2962" t="inlineStr">
        <is>
          <t>Atlantic Canada Opportunities Agency | Agence de promotion économique du Canada atlantique</t>
        </is>
      </c>
      <c r="Z2962" t="n">
        <v>3</v>
      </c>
      <c r="AA2962" t="n">
        <v>1290.74</v>
      </c>
      <c r="AB2962">
        <f>ROUND(U2962-AA2962,2)</f>
        <v/>
      </c>
      <c r="AC2962" t="b">
        <v>0</v>
      </c>
      <c r="AD2962">
        <f>IF(U2962="","MISSING_TOTAL",IF(ABS(AB2962)&lt;=0.01,"OK","CHECK"))</f>
        <v/>
      </c>
      <c r="AE2962">
        <f>IF(U2962="","MISSING",IF(AND(AA2962&gt;0,U2962/AA2962&gt;50),"POSSIBLE_SCALE_ERROR","OK"))</f>
        <v/>
      </c>
    </row>
    <row r="2963">
      <c r="A2963" t="inlineStr">
        <is>
          <t>T-2016-Q2-00045</t>
        </is>
      </c>
      <c r="B2963" t="inlineStr">
        <is>
          <t>MPSES</t>
        </is>
      </c>
      <c r="C2963" t="inlineStr">
        <is>
          <t>Minister of State</t>
        </is>
      </c>
      <c r="D2963" t="inlineStr">
        <is>
          <t>Ministre d'État</t>
        </is>
      </c>
      <c r="E2963" t="inlineStr">
        <is>
          <t>Rob Moore</t>
        </is>
      </c>
      <c r="F2963" t="inlineStr">
        <is>
          <t>Travel to attend Government of Canada event</t>
        </is>
      </c>
      <c r="G2963" t="inlineStr">
        <is>
          <t>Voyage pour assister à une activité du gouvernement du Canada</t>
        </is>
      </c>
      <c r="H2963" s="1" t="n">
        <v>42214</v>
      </c>
      <c r="I2963" s="1" t="n">
        <v>42214</v>
      </c>
      <c r="J2963" t="inlineStr">
        <is>
          <t>Fredericton, New Brunswick</t>
        </is>
      </c>
      <c r="K2963" t="inlineStr">
        <is>
          <t>Fredericton (Nouveau-Brunswick)</t>
        </is>
      </c>
      <c r="P2963" t="n">
        <v>0</v>
      </c>
      <c r="Q2963" t="n">
        <v>132</v>
      </c>
      <c r="R2963" t="n">
        <v>0</v>
      </c>
      <c r="S2963" t="n">
        <v>0</v>
      </c>
      <c r="T2963" t="n">
        <v>0</v>
      </c>
      <c r="U2963" t="n">
        <v>132</v>
      </c>
      <c r="X2963" t="inlineStr">
        <is>
          <t>acoa-apeca</t>
        </is>
      </c>
      <c r="Y2963" t="inlineStr">
        <is>
          <t>Atlantic Canada Opportunities Agency | Agence de promotion économique du Canada atlantique</t>
        </is>
      </c>
      <c r="Z2963" t="n">
        <v>1</v>
      </c>
      <c r="AA2963" t="n">
        <v>132</v>
      </c>
      <c r="AB2963">
        <f>ROUND(U2963-AA2963,2)</f>
        <v/>
      </c>
      <c r="AC2963" t="b">
        <v>0</v>
      </c>
      <c r="AD2963">
        <f>IF(U2963="","MISSING_TOTAL",IF(ABS(AB2963)&lt;=0.01,"OK","CHECK"))</f>
        <v/>
      </c>
      <c r="AE2963">
        <f>IF(U2963="","MISSING",IF(AND(AA2963&gt;0,U2963/AA2963&gt;50),"POSSIBLE_SCALE_ERROR","OK"))</f>
        <v/>
      </c>
    </row>
    <row r="2964">
      <c r="A2964" t="inlineStr">
        <is>
          <t>T-2016-Q2-00044</t>
        </is>
      </c>
      <c r="B2964" t="inlineStr">
        <is>
          <t>MPSES</t>
        </is>
      </c>
      <c r="C2964" t="inlineStr">
        <is>
          <t>Minister of State</t>
        </is>
      </c>
      <c r="D2964" t="inlineStr">
        <is>
          <t>Ministre d'État</t>
        </is>
      </c>
      <c r="E2964" t="inlineStr">
        <is>
          <t>Rob Moore</t>
        </is>
      </c>
      <c r="F2964" t="inlineStr">
        <is>
          <t>Travel to attend Government of Canada event</t>
        </is>
      </c>
      <c r="G2964" t="inlineStr">
        <is>
          <t>Voyage pour assister à une activité du gouvernement du Canada</t>
        </is>
      </c>
      <c r="H2964" s="1" t="n">
        <v>42212</v>
      </c>
      <c r="I2964" s="1" t="n">
        <v>42212</v>
      </c>
      <c r="J2964" t="inlineStr">
        <is>
          <t>Woodstock, New Brunswick</t>
        </is>
      </c>
      <c r="K2964" t="inlineStr">
        <is>
          <t>Woodstock (Nouveau-Brunswick)</t>
        </is>
      </c>
      <c r="P2964" t="n">
        <v>0</v>
      </c>
      <c r="Q2964" t="n">
        <v>222.72</v>
      </c>
      <c r="R2964" t="n">
        <v>0</v>
      </c>
      <c r="S2964" t="n">
        <v>16.6</v>
      </c>
      <c r="T2964" t="n">
        <v>0</v>
      </c>
      <c r="U2964" t="n">
        <v>239.32</v>
      </c>
      <c r="X2964" t="inlineStr">
        <is>
          <t>acoa-apeca</t>
        </is>
      </c>
      <c r="Y2964" t="inlineStr">
        <is>
          <t>Atlantic Canada Opportunities Agency | Agence de promotion économique du Canada atlantique</t>
        </is>
      </c>
      <c r="Z2964" t="n">
        <v>1</v>
      </c>
      <c r="AA2964" t="n">
        <v>239.32</v>
      </c>
      <c r="AB2964">
        <f>ROUND(U2964-AA2964,2)</f>
        <v/>
      </c>
      <c r="AC2964" t="b">
        <v>0</v>
      </c>
      <c r="AD2964">
        <f>IF(U2964="","MISSING_TOTAL",IF(ABS(AB2964)&lt;=0.01,"OK","CHECK"))</f>
        <v/>
      </c>
      <c r="AE2964">
        <f>IF(U2964="","MISSING",IF(AND(AA2964&gt;0,U2964/AA2964&gt;50),"POSSIBLE_SCALE_ERROR","OK"))</f>
        <v/>
      </c>
    </row>
    <row r="2965">
      <c r="A2965" t="inlineStr">
        <is>
          <t>T-2016-Q2-00043</t>
        </is>
      </c>
      <c r="B2965" t="inlineStr">
        <is>
          <t>SLE</t>
        </is>
      </c>
      <c r="C2965" t="inlineStr">
        <is>
          <t>Vice President, Nova Scotia</t>
        </is>
      </c>
      <c r="D2965" t="inlineStr">
        <is>
          <t>Vice-président, Nouvelle-Écosse</t>
        </is>
      </c>
      <c r="E2965" t="inlineStr">
        <is>
          <t>Peter Hogan</t>
        </is>
      </c>
      <c r="F2965" t="inlineStr">
        <is>
          <t>Various meetings with ACOA officials and community outreach</t>
        </is>
      </c>
      <c r="G2965" t="inlineStr">
        <is>
          <t>Diverses réunions avec des fonctionnaires de l'APECA et sensibilisation communautaire</t>
        </is>
      </c>
      <c r="H2965" s="1" t="n">
        <v>42212</v>
      </c>
      <c r="I2965" s="1" t="n">
        <v>42213</v>
      </c>
      <c r="J2965" t="inlineStr">
        <is>
          <t>Shelburne and Yarmouth Counties, Nova Scotia</t>
        </is>
      </c>
      <c r="K2965" t="inlineStr">
        <is>
          <t>Comtés de Shelburne et de Yarmouth (Nouvelle-Écosse)</t>
        </is>
      </c>
      <c r="P2965" t="n">
        <v>0</v>
      </c>
      <c r="Q2965" t="n">
        <v>0</v>
      </c>
      <c r="R2965" t="n">
        <v>149.5</v>
      </c>
      <c r="S2965" t="n">
        <v>153.4</v>
      </c>
      <c r="T2965" t="n">
        <v>0</v>
      </c>
      <c r="U2965" t="n">
        <v>302.9</v>
      </c>
      <c r="X2965" t="inlineStr">
        <is>
          <t>acoa-apeca</t>
        </is>
      </c>
      <c r="Y2965" t="inlineStr">
        <is>
          <t>Atlantic Canada Opportunities Agency | Agence de promotion économique du Canada atlantique</t>
        </is>
      </c>
      <c r="Z2965" t="n">
        <v>2</v>
      </c>
      <c r="AA2965" t="n">
        <v>302.9</v>
      </c>
      <c r="AB2965">
        <f>ROUND(U2965-AA2965,2)</f>
        <v/>
      </c>
      <c r="AC2965" t="b">
        <v>0</v>
      </c>
      <c r="AD2965">
        <f>IF(U2965="","MISSING_TOTAL",IF(ABS(AB2965)&lt;=0.01,"OK","CHECK"))</f>
        <v/>
      </c>
      <c r="AE2965">
        <f>IF(U2965="","MISSING",IF(AND(AA2965&gt;0,U2965/AA2965&gt;50),"POSSIBLE_SCALE_ERROR","OK"))</f>
        <v/>
      </c>
    </row>
    <row r="2966">
      <c r="A2966" t="inlineStr">
        <is>
          <t>T-2016-Q2-00042</t>
        </is>
      </c>
      <c r="B2966" t="inlineStr">
        <is>
          <t>MPSES</t>
        </is>
      </c>
      <c r="C2966" t="inlineStr">
        <is>
          <t>Executive Assistant</t>
        </is>
      </c>
      <c r="D2966" t="inlineStr">
        <is>
          <t>Adjoint exécutif</t>
        </is>
      </c>
      <c r="E2966" t="inlineStr">
        <is>
          <t>Josh Hardy</t>
        </is>
      </c>
      <c r="F2966" t="inlineStr">
        <is>
          <t>Travel on Government business</t>
        </is>
      </c>
      <c r="G2966" t="inlineStr">
        <is>
          <t>Voyage pour affaires officielles</t>
        </is>
      </c>
      <c r="H2966" s="1" t="n">
        <v>42211</v>
      </c>
      <c r="I2966" s="1" t="n">
        <v>42215</v>
      </c>
      <c r="J2966" t="inlineStr">
        <is>
          <t>Moncton, New Brunswick</t>
        </is>
      </c>
      <c r="K2966" t="inlineStr">
        <is>
          <t>Moncton (Nouveau-Brunswick)</t>
        </is>
      </c>
      <c r="P2966" t="n">
        <v>528.4400000000001</v>
      </c>
      <c r="Q2966" t="n">
        <v>371.49</v>
      </c>
      <c r="R2966" t="n">
        <v>0</v>
      </c>
      <c r="S2966" t="n">
        <v>312</v>
      </c>
      <c r="T2966" t="n">
        <v>0</v>
      </c>
      <c r="U2966" t="n">
        <v>1211.93</v>
      </c>
      <c r="X2966" t="inlineStr">
        <is>
          <t>acoa-apeca</t>
        </is>
      </c>
      <c r="Y2966" t="inlineStr">
        <is>
          <t>Atlantic Canada Opportunities Agency | Agence de promotion économique du Canada atlantique</t>
        </is>
      </c>
      <c r="Z2966" t="n">
        <v>5</v>
      </c>
      <c r="AA2966" t="n">
        <v>1211.93</v>
      </c>
      <c r="AB2966">
        <f>ROUND(U2966-AA2966,2)</f>
        <v/>
      </c>
      <c r="AC2966" t="b">
        <v>0</v>
      </c>
      <c r="AD2966">
        <f>IF(U2966="","MISSING_TOTAL",IF(ABS(AB2966)&lt;=0.01,"OK","CHECK"))</f>
        <v/>
      </c>
      <c r="AE2966">
        <f>IF(U2966="","MISSING",IF(AND(AA2966&gt;0,U2966/AA2966&gt;50),"POSSIBLE_SCALE_ERROR","OK"))</f>
        <v/>
      </c>
    </row>
    <row r="2967">
      <c r="A2967" t="inlineStr">
        <is>
          <t>T-2016-Q2-00041</t>
        </is>
      </c>
      <c r="B2967" t="inlineStr">
        <is>
          <t>SLE</t>
        </is>
      </c>
      <c r="C2967" t="inlineStr">
        <is>
          <t>Vice-President, Newfoundland and Labrador</t>
        </is>
      </c>
      <c r="D2967" t="inlineStr">
        <is>
          <t>Vice-président, Terre-Neuve-et-Labrador</t>
        </is>
      </c>
      <c r="E2967" t="inlineStr">
        <is>
          <t>Ken Martin</t>
        </is>
      </c>
      <c r="F2967" t="inlineStr">
        <is>
          <t>Mileage for 2nd quarter of 2015</t>
        </is>
      </c>
      <c r="G2967" t="inlineStr">
        <is>
          <t>Kilométrage pour le deuxième trimestre de 2015</t>
        </is>
      </c>
      <c r="H2967" s="1" t="n">
        <v>42205</v>
      </c>
      <c r="I2967" s="1" t="n">
        <v>42277</v>
      </c>
      <c r="J2967" t="inlineStr">
        <is>
          <t>St. John's, Newfoundland and Labrador</t>
        </is>
      </c>
      <c r="K2967" t="inlineStr">
        <is>
          <t>St. John's (Terre-Neuve-et-Labrador)</t>
        </is>
      </c>
      <c r="P2967" t="n">
        <v>0</v>
      </c>
      <c r="Q2967" t="n">
        <v>0</v>
      </c>
      <c r="R2967" t="n">
        <v>0</v>
      </c>
      <c r="S2967" t="n">
        <v>0</v>
      </c>
      <c r="T2967" t="n">
        <v>37.23</v>
      </c>
      <c r="U2967" t="n">
        <v>37.23</v>
      </c>
      <c r="X2967" t="inlineStr">
        <is>
          <t>acoa-apeca</t>
        </is>
      </c>
      <c r="Y2967" t="inlineStr">
        <is>
          <t>Atlantic Canada Opportunities Agency | Agence de promotion économique du Canada atlantique</t>
        </is>
      </c>
      <c r="Z2967" t="n">
        <v>73</v>
      </c>
      <c r="AA2967" t="n">
        <v>37.23</v>
      </c>
      <c r="AB2967">
        <f>ROUND(U2967-AA2967,2)</f>
        <v/>
      </c>
      <c r="AC2967" t="b">
        <v>0</v>
      </c>
      <c r="AD2967">
        <f>IF(U2967="","MISSING_TOTAL",IF(ABS(AB2967)&lt;=0.01,"OK","CHECK"))</f>
        <v/>
      </c>
      <c r="AE2967">
        <f>IF(U2967="","MISSING",IF(AND(AA2967&gt;0,U2967/AA2967&gt;50),"POSSIBLE_SCALE_ERROR","OK"))</f>
        <v/>
      </c>
    </row>
    <row r="2968">
      <c r="A2968" t="inlineStr">
        <is>
          <t>T-2016-Q2-00040</t>
        </is>
      </c>
      <c r="B2968" t="inlineStr">
        <is>
          <t>SLE</t>
        </is>
      </c>
      <c r="C2968" t="inlineStr">
        <is>
          <t>Vice President, Nova Scotia</t>
        </is>
      </c>
      <c r="D2968" t="inlineStr">
        <is>
          <t>Vice-président, Nouvelle-Écosse</t>
        </is>
      </c>
      <c r="E2968" t="inlineStr">
        <is>
          <t>Peter Hogan</t>
        </is>
      </c>
      <c r="F2968" t="inlineStr">
        <is>
          <t>Various meetings with ACOA and Government of Canada officials</t>
        </is>
      </c>
      <c r="G2968" t="inlineStr">
        <is>
          <t>Diverses réunions avec des fonctionnaires de l'APECA et du gouvernement du Canada</t>
        </is>
      </c>
      <c r="H2968" s="1" t="n">
        <v>42205</v>
      </c>
      <c r="I2968" s="1" t="n">
        <v>42205</v>
      </c>
      <c r="J2968" t="inlineStr">
        <is>
          <t>Ottawa, Ontario</t>
        </is>
      </c>
      <c r="K2968" t="inlineStr">
        <is>
          <t>Ottawa (Ontario)</t>
        </is>
      </c>
      <c r="P2968" t="n">
        <v>401.3</v>
      </c>
      <c r="Q2968" t="n">
        <v>72.73999999999999</v>
      </c>
      <c r="R2968" t="n">
        <v>0</v>
      </c>
      <c r="S2968" t="n">
        <v>75.40000000000001</v>
      </c>
      <c r="T2968" t="n">
        <v>30.17</v>
      </c>
      <c r="U2968" t="n">
        <v>579.61</v>
      </c>
      <c r="X2968" t="inlineStr">
        <is>
          <t>acoa-apeca</t>
        </is>
      </c>
      <c r="Y2968" t="inlineStr">
        <is>
          <t>Atlantic Canada Opportunities Agency | Agence de promotion économique du Canada atlantique</t>
        </is>
      </c>
      <c r="Z2968" t="n">
        <v>1</v>
      </c>
      <c r="AA2968" t="n">
        <v>579.61</v>
      </c>
      <c r="AB2968">
        <f>ROUND(U2968-AA2968,2)</f>
        <v/>
      </c>
      <c r="AC2968" t="b">
        <v>0</v>
      </c>
      <c r="AD2968">
        <f>IF(U2968="","MISSING_TOTAL",IF(ABS(AB2968)&lt;=0.01,"OK","CHECK"))</f>
        <v/>
      </c>
      <c r="AE2968">
        <f>IF(U2968="","MISSING",IF(AND(AA2968&gt;0,U2968/AA2968&gt;50),"POSSIBLE_SCALE_ERROR","OK"))</f>
        <v/>
      </c>
    </row>
    <row r="2969">
      <c r="A2969" t="inlineStr">
        <is>
          <t>T-2016-Q2-00038</t>
        </is>
      </c>
      <c r="B2969" t="inlineStr">
        <is>
          <t>MPSES</t>
        </is>
      </c>
      <c r="C2969" t="inlineStr">
        <is>
          <t>Minister of State</t>
        </is>
      </c>
      <c r="D2969" t="inlineStr">
        <is>
          <t>Ministre d'État</t>
        </is>
      </c>
      <c r="E2969" t="inlineStr">
        <is>
          <t>Rob Moore</t>
        </is>
      </c>
      <c r="F2969" t="inlineStr">
        <is>
          <t>Travel to attend Government of Canada announcement and meetings</t>
        </is>
      </c>
      <c r="G2969" t="inlineStr">
        <is>
          <t>Voyage pour assister à une annonce et à des réunions du gouvernement du Canada</t>
        </is>
      </c>
      <c r="H2969" s="1" t="n">
        <v>42202</v>
      </c>
      <c r="I2969" s="1" t="n">
        <v>42202</v>
      </c>
      <c r="J2969" t="inlineStr">
        <is>
          <t>Miramichi, New Brunswick</t>
        </is>
      </c>
      <c r="K2969" t="inlineStr">
        <is>
          <t>Miramichi (Nouveau-Brunswick)</t>
        </is>
      </c>
      <c r="P2969" t="n">
        <v>0</v>
      </c>
      <c r="Q2969" t="n">
        <v>244.32</v>
      </c>
      <c r="R2969" t="n">
        <v>0</v>
      </c>
      <c r="S2969" t="n">
        <v>0</v>
      </c>
      <c r="T2969" t="n">
        <v>0</v>
      </c>
      <c r="U2969" t="n">
        <v>244.32</v>
      </c>
      <c r="X2969" t="inlineStr">
        <is>
          <t>acoa-apeca</t>
        </is>
      </c>
      <c r="Y2969" t="inlineStr">
        <is>
          <t>Atlantic Canada Opportunities Agency | Agence de promotion économique du Canada atlantique</t>
        </is>
      </c>
      <c r="Z2969" t="n">
        <v>1</v>
      </c>
      <c r="AA2969" t="n">
        <v>244.32</v>
      </c>
      <c r="AB2969">
        <f>ROUND(U2969-AA2969,2)</f>
        <v/>
      </c>
      <c r="AC2969" t="b">
        <v>0</v>
      </c>
      <c r="AD2969">
        <f>IF(U2969="","MISSING_TOTAL",IF(ABS(AB2969)&lt;=0.01,"OK","CHECK"))</f>
        <v/>
      </c>
      <c r="AE2969">
        <f>IF(U2969="","MISSING",IF(AND(AA2969&gt;0,U2969/AA2969&gt;50),"POSSIBLE_SCALE_ERROR","OK"))</f>
        <v/>
      </c>
    </row>
    <row r="2970">
      <c r="A2970" t="inlineStr">
        <is>
          <t>T-2016-Q2-00037</t>
        </is>
      </c>
      <c r="B2970" t="inlineStr">
        <is>
          <t>SLE</t>
        </is>
      </c>
      <c r="C2970" t="inlineStr">
        <is>
          <t>Vice-President, New Brunswick</t>
        </is>
      </c>
      <c r="D2970" t="inlineStr">
        <is>
          <t>Vice-président, Nouveau-Brunswick</t>
        </is>
      </c>
      <c r="E2970" t="inlineStr">
        <is>
          <t>Kent Estabrooks</t>
        </is>
      </c>
      <c r="F2970" t="inlineStr">
        <is>
          <t>Meeting with stakeholders and Agency officials</t>
        </is>
      </c>
      <c r="G2970" t="inlineStr">
        <is>
          <t>Réunion avec des intervenants et des fonctionnaires de l'Agence</t>
        </is>
      </c>
      <c r="H2970" s="1" t="n">
        <v>42201</v>
      </c>
      <c r="I2970" s="1" t="n">
        <v>42201</v>
      </c>
      <c r="J2970" t="inlineStr">
        <is>
          <t>Kedgwick, New Brunswick</t>
        </is>
      </c>
      <c r="K2970" t="inlineStr">
        <is>
          <t>Kedgwick (Nouveau-Brunswick)</t>
        </is>
      </c>
      <c r="P2970" t="n">
        <v>0</v>
      </c>
      <c r="Q2970" t="n">
        <v>0</v>
      </c>
      <c r="R2970" t="n">
        <v>0</v>
      </c>
      <c r="S2970" t="n">
        <v>59.4</v>
      </c>
      <c r="T2970" t="n">
        <v>0</v>
      </c>
      <c r="U2970" t="n">
        <v>59.4</v>
      </c>
      <c r="X2970" t="inlineStr">
        <is>
          <t>acoa-apeca</t>
        </is>
      </c>
      <c r="Y2970" t="inlineStr">
        <is>
          <t>Atlantic Canada Opportunities Agency | Agence de promotion économique du Canada atlantique</t>
        </is>
      </c>
      <c r="Z2970" t="n">
        <v>1</v>
      </c>
      <c r="AA2970" t="n">
        <v>59.4</v>
      </c>
      <c r="AB2970">
        <f>ROUND(U2970-AA2970,2)</f>
        <v/>
      </c>
      <c r="AC2970" t="b">
        <v>0</v>
      </c>
      <c r="AD2970">
        <f>IF(U2970="","MISSING_TOTAL",IF(ABS(AB2970)&lt;=0.01,"OK","CHECK"))</f>
        <v/>
      </c>
      <c r="AE2970">
        <f>IF(U2970="","MISSING",IF(AND(AA2970&gt;0,U2970/AA2970&gt;50),"POSSIBLE_SCALE_ERROR","OK"))</f>
        <v/>
      </c>
    </row>
    <row r="2971">
      <c r="A2971" t="inlineStr">
        <is>
          <t>T-2016-Q2-00036</t>
        </is>
      </c>
      <c r="B2971" t="inlineStr">
        <is>
          <t>SLE</t>
        </is>
      </c>
      <c r="C2971" t="inlineStr">
        <is>
          <t>Vice-President, Prince Edward Island</t>
        </is>
      </c>
      <c r="D2971" t="inlineStr">
        <is>
          <t>Vice-président, Île-du-Prince-Édouard</t>
        </is>
      </c>
      <c r="E2971" t="inlineStr">
        <is>
          <t>Patrick Dorsey</t>
        </is>
      </c>
      <c r="F2971" t="inlineStr">
        <is>
          <t>Atlantic Canada Tourism Partnership event</t>
        </is>
      </c>
      <c r="G2971" t="inlineStr">
        <is>
          <t>Activité du Partenariat du tourisme du Canada atlantique</t>
        </is>
      </c>
      <c r="H2971" s="1" t="n">
        <v>42201</v>
      </c>
      <c r="I2971" s="1" t="n">
        <v>42202</v>
      </c>
      <c r="J2971" t="inlineStr">
        <is>
          <t>Miramichi, New Brunswick</t>
        </is>
      </c>
      <c r="K2971" t="inlineStr">
        <is>
          <t>Miramichi (Nouveau-Brunswick)</t>
        </is>
      </c>
      <c r="P2971" t="n">
        <v>0</v>
      </c>
      <c r="Q2971" t="n">
        <v>45.5</v>
      </c>
      <c r="R2971" t="n">
        <v>137.16</v>
      </c>
      <c r="S2971" t="n">
        <v>83.8</v>
      </c>
      <c r="T2971" t="n">
        <v>0</v>
      </c>
      <c r="U2971" t="n">
        <v>266.46</v>
      </c>
      <c r="X2971" t="inlineStr">
        <is>
          <t>acoa-apeca</t>
        </is>
      </c>
      <c r="Y2971" t="inlineStr">
        <is>
          <t>Atlantic Canada Opportunities Agency | Agence de promotion économique du Canada atlantique</t>
        </is>
      </c>
      <c r="Z2971" t="n">
        <v>2</v>
      </c>
      <c r="AA2971" t="n">
        <v>266.46</v>
      </c>
      <c r="AB2971">
        <f>ROUND(U2971-AA2971,2)</f>
        <v/>
      </c>
      <c r="AC2971" t="b">
        <v>0</v>
      </c>
      <c r="AD2971">
        <f>IF(U2971="","MISSING_TOTAL",IF(ABS(AB2971)&lt;=0.01,"OK","CHECK"))</f>
        <v/>
      </c>
      <c r="AE2971">
        <f>IF(U2971="","MISSING",IF(AND(AA2971&gt;0,U2971/AA2971&gt;50),"POSSIBLE_SCALE_ERROR","OK"))</f>
        <v/>
      </c>
    </row>
    <row r="2972">
      <c r="A2972" t="inlineStr">
        <is>
          <t>T-2016-Q2-00035</t>
        </is>
      </c>
      <c r="B2972" t="inlineStr">
        <is>
          <t>MPSES</t>
        </is>
      </c>
      <c r="C2972" t="inlineStr">
        <is>
          <t>Minister of State</t>
        </is>
      </c>
      <c r="D2972" t="inlineStr">
        <is>
          <t>Ministre d'État</t>
        </is>
      </c>
      <c r="E2972" t="inlineStr">
        <is>
          <t>Rob Moore</t>
        </is>
      </c>
      <c r="F2972" t="inlineStr">
        <is>
          <t>Travel to attend meetings</t>
        </is>
      </c>
      <c r="G2972" t="inlineStr">
        <is>
          <t>Voyage pour assister à des réunions</t>
        </is>
      </c>
      <c r="H2972" s="1" t="n">
        <v>42200</v>
      </c>
      <c r="I2972" s="1" t="n">
        <v>42200</v>
      </c>
      <c r="J2972" t="inlineStr">
        <is>
          <t>Fredericton, New Brunswick</t>
        </is>
      </c>
      <c r="K2972" t="inlineStr">
        <is>
          <t>Fredericton (Nouveau-Brunswick)</t>
        </is>
      </c>
      <c r="P2972" t="n">
        <v>0</v>
      </c>
      <c r="Q2972" t="n">
        <v>128.64</v>
      </c>
      <c r="R2972" t="n">
        <v>0</v>
      </c>
      <c r="S2972" t="n">
        <v>16.6</v>
      </c>
      <c r="T2972" t="n">
        <v>0</v>
      </c>
      <c r="U2972" t="n">
        <v>145.24</v>
      </c>
      <c r="X2972" t="inlineStr">
        <is>
          <t>acoa-apeca</t>
        </is>
      </c>
      <c r="Y2972" t="inlineStr">
        <is>
          <t>Atlantic Canada Opportunities Agency | Agence de promotion économique du Canada atlantique</t>
        </is>
      </c>
      <c r="Z2972" t="n">
        <v>1</v>
      </c>
      <c r="AA2972" t="n">
        <v>145.239999999999</v>
      </c>
      <c r="AB2972">
        <f>ROUND(U2972-AA2972,2)</f>
        <v/>
      </c>
      <c r="AC2972" t="b">
        <v>0</v>
      </c>
      <c r="AD2972">
        <f>IF(U2972="","MISSING_TOTAL",IF(ABS(AB2972)&lt;=0.01,"OK","CHECK"))</f>
        <v/>
      </c>
      <c r="AE2972">
        <f>IF(U2972="","MISSING",IF(AND(AA2972&gt;0,U2972/AA2972&gt;50),"POSSIBLE_SCALE_ERROR","OK"))</f>
        <v/>
      </c>
    </row>
    <row r="2973">
      <c r="A2973" t="inlineStr">
        <is>
          <t>T-2016-Q2-00034</t>
        </is>
      </c>
      <c r="B2973" t="inlineStr">
        <is>
          <t>MPSES</t>
        </is>
      </c>
      <c r="C2973" t="inlineStr">
        <is>
          <t>Minister of State</t>
        </is>
      </c>
      <c r="D2973" t="inlineStr">
        <is>
          <t>Ministre d'État</t>
        </is>
      </c>
      <c r="E2973" t="inlineStr">
        <is>
          <t>Rob Moore</t>
        </is>
      </c>
      <c r="F2973" t="inlineStr">
        <is>
          <t>Travel to attend Government of Canada announcement at CFB Gagetown</t>
        </is>
      </c>
      <c r="G2973" t="inlineStr">
        <is>
          <t>Voyage pour assister à une annonce du gouvernement du Canada à la BFC Gagetown</t>
        </is>
      </c>
      <c r="H2973" s="1" t="n">
        <v>42199</v>
      </c>
      <c r="I2973" s="1" t="n">
        <v>42199</v>
      </c>
      <c r="J2973" t="inlineStr">
        <is>
          <t>Oromocto, New Brunswick</t>
        </is>
      </c>
      <c r="K2973" t="inlineStr">
        <is>
          <t>Oromocto (Nouveau-Brunswick)</t>
        </is>
      </c>
      <c r="P2973" t="n">
        <v>0</v>
      </c>
      <c r="Q2973" t="n">
        <v>108</v>
      </c>
      <c r="R2973" t="n">
        <v>0</v>
      </c>
      <c r="S2973" t="n">
        <v>0</v>
      </c>
      <c r="T2973" t="n">
        <v>0</v>
      </c>
      <c r="U2973" t="n">
        <v>108</v>
      </c>
      <c r="X2973" t="inlineStr">
        <is>
          <t>acoa-apeca</t>
        </is>
      </c>
      <c r="Y2973" t="inlineStr">
        <is>
          <t>Atlantic Canada Opportunities Agency | Agence de promotion économique du Canada atlantique</t>
        </is>
      </c>
      <c r="Z2973" t="n">
        <v>1</v>
      </c>
      <c r="AA2973" t="n">
        <v>108</v>
      </c>
      <c r="AB2973">
        <f>ROUND(U2973-AA2973,2)</f>
        <v/>
      </c>
      <c r="AC2973" t="b">
        <v>0</v>
      </c>
      <c r="AD2973">
        <f>IF(U2973="","MISSING_TOTAL",IF(ABS(AB2973)&lt;=0.01,"OK","CHECK"))</f>
        <v/>
      </c>
      <c r="AE2973">
        <f>IF(U2973="","MISSING",IF(AND(AA2973&gt;0,U2973/AA2973&gt;50),"POSSIBLE_SCALE_ERROR","OK"))</f>
        <v/>
      </c>
    </row>
    <row r="2974">
      <c r="A2974" t="inlineStr">
        <is>
          <t>T-2016-Q2-00032</t>
        </is>
      </c>
      <c r="B2974" t="inlineStr">
        <is>
          <t>SLE</t>
        </is>
      </c>
      <c r="C2974" t="inlineStr">
        <is>
          <t>President</t>
        </is>
      </c>
      <c r="D2974" t="inlineStr">
        <is>
          <t>Président</t>
        </is>
      </c>
      <c r="E2974" t="inlineStr">
        <is>
          <t>Paul J. LeBlanc</t>
        </is>
      </c>
      <c r="F2974" t="inlineStr">
        <is>
          <t>For various meetings and discussions with Agency officials and Government of Canada officials</t>
        </is>
      </c>
      <c r="G2974" t="inlineStr">
        <is>
          <t>Diverses réunions et discussions avec des fonctionnaires de l'Agence et du gouvernement du Canada</t>
        </is>
      </c>
      <c r="H2974" s="1" t="n">
        <v>42198</v>
      </c>
      <c r="I2974" s="1" t="n">
        <v>42201</v>
      </c>
      <c r="J2974" t="inlineStr">
        <is>
          <t>St. John's, Newfoundland</t>
        </is>
      </c>
      <c r="K2974" t="inlineStr">
        <is>
          <t>St. John's (Terre-Neuve-et-Labrador)</t>
        </is>
      </c>
      <c r="P2974" t="n">
        <v>1979.59</v>
      </c>
      <c r="Q2974" t="n">
        <v>120</v>
      </c>
      <c r="R2974" t="n">
        <v>621.27</v>
      </c>
      <c r="S2974" t="n">
        <v>262.8</v>
      </c>
      <c r="T2974" t="n">
        <v>51</v>
      </c>
      <c r="U2974" t="n">
        <v>3034.66</v>
      </c>
      <c r="X2974" t="inlineStr">
        <is>
          <t>acoa-apeca</t>
        </is>
      </c>
      <c r="Y2974" t="inlineStr">
        <is>
          <t>Atlantic Canada Opportunities Agency | Agence de promotion économique du Canada atlantique</t>
        </is>
      </c>
      <c r="Z2974" t="n">
        <v>4</v>
      </c>
      <c r="AA2974" t="n">
        <v>3034.66</v>
      </c>
      <c r="AB2974">
        <f>ROUND(U2974-AA2974,2)</f>
        <v/>
      </c>
      <c r="AC2974" t="b">
        <v>0</v>
      </c>
      <c r="AD2974">
        <f>IF(U2974="","MISSING_TOTAL",IF(ABS(AB2974)&lt;=0.01,"OK","CHECK"))</f>
        <v/>
      </c>
      <c r="AE2974">
        <f>IF(U2974="","MISSING",IF(AND(AA2974&gt;0,U2974/AA2974&gt;50),"POSSIBLE_SCALE_ERROR","OK"))</f>
        <v/>
      </c>
    </row>
    <row r="2975">
      <c r="A2975" t="inlineStr">
        <is>
          <t>T-2016-Q2-00031</t>
        </is>
      </c>
      <c r="B2975" t="inlineStr">
        <is>
          <t>SLE</t>
        </is>
      </c>
      <c r="C2975" t="inlineStr">
        <is>
          <t>Vice-President, Policy and Programs</t>
        </is>
      </c>
      <c r="D2975" t="inlineStr">
        <is>
          <t>Vice-président, Politiques et Programmes</t>
        </is>
      </c>
      <c r="E2975" t="inlineStr">
        <is>
          <t>Daryell Nowlan</t>
        </is>
      </c>
      <c r="F2975" t="inlineStr">
        <is>
          <t>Meetings with Government of Canada officials</t>
        </is>
      </c>
      <c r="G2975" t="inlineStr">
        <is>
          <t>Réunions avec des fonctionnaires du gouvernement du Canada</t>
        </is>
      </c>
      <c r="H2975" s="1" t="n">
        <v>42196</v>
      </c>
      <c r="I2975" s="1" t="n">
        <v>42201</v>
      </c>
      <c r="J2975" t="inlineStr">
        <is>
          <t>St. John's, Newfoundland and Labrador</t>
        </is>
      </c>
      <c r="K2975" t="inlineStr">
        <is>
          <t>St. John's (Terre-Neuve-et-Labrador)</t>
        </is>
      </c>
      <c r="P2975" t="n">
        <v>795.49</v>
      </c>
      <c r="Q2975" t="n">
        <v>179.83</v>
      </c>
      <c r="R2975" t="n">
        <v>979.6799999999999</v>
      </c>
      <c r="S2975" t="n">
        <v>323.5</v>
      </c>
      <c r="T2975" t="n">
        <v>0</v>
      </c>
      <c r="U2975" t="n">
        <v>2278.5</v>
      </c>
      <c r="X2975" t="inlineStr">
        <is>
          <t>acoa-apeca</t>
        </is>
      </c>
      <c r="Y2975" t="inlineStr">
        <is>
          <t>Atlantic Canada Opportunities Agency | Agence de promotion économique du Canada atlantique</t>
        </is>
      </c>
      <c r="Z2975" t="n">
        <v>6</v>
      </c>
      <c r="AA2975" t="n">
        <v>2278.5</v>
      </c>
      <c r="AB2975">
        <f>ROUND(U2975-AA2975,2)</f>
        <v/>
      </c>
      <c r="AC2975" t="b">
        <v>0</v>
      </c>
      <c r="AD2975">
        <f>IF(U2975="","MISSING_TOTAL",IF(ABS(AB2975)&lt;=0.01,"OK","CHECK"))</f>
        <v/>
      </c>
      <c r="AE2975">
        <f>IF(U2975="","MISSING",IF(AND(AA2975&gt;0,U2975/AA2975&gt;50),"POSSIBLE_SCALE_ERROR","OK"))</f>
        <v/>
      </c>
    </row>
    <row r="2976">
      <c r="A2976" t="inlineStr">
        <is>
          <t>T-2016-Q2-00028</t>
        </is>
      </c>
      <c r="B2976" t="inlineStr">
        <is>
          <t>SLE</t>
        </is>
      </c>
      <c r="C2976" t="inlineStr">
        <is>
          <t>Vice-President, Finance and Corporate Services</t>
        </is>
      </c>
      <c r="D2976" t="inlineStr">
        <is>
          <t>Vice-présidente, Finances et Services corporatifs</t>
        </is>
      </c>
      <c r="E2976" t="inlineStr">
        <is>
          <t>Denise Frenette</t>
        </is>
      </c>
      <c r="F2976" t="inlineStr">
        <is>
          <t>For meetings with various Government of Canada officials</t>
        </is>
      </c>
      <c r="G2976" t="inlineStr">
        <is>
          <t>Réunions avec divers fonctionnaires du gouvernement du Canada</t>
        </is>
      </c>
      <c r="H2976" s="1" t="n">
        <v>42184</v>
      </c>
      <c r="I2976" s="1" t="n">
        <v>42185</v>
      </c>
      <c r="J2976" t="inlineStr">
        <is>
          <t>Ottawa, Ontario</t>
        </is>
      </c>
      <c r="K2976" t="inlineStr">
        <is>
          <t>Ottawa (Ontario)</t>
        </is>
      </c>
      <c r="P2976" t="n">
        <v>658.39</v>
      </c>
      <c r="Q2976" t="n">
        <v>52.36</v>
      </c>
      <c r="R2976" t="n">
        <v>179.24</v>
      </c>
      <c r="S2976" t="n">
        <v>152.8</v>
      </c>
      <c r="T2976" t="n">
        <v>0</v>
      </c>
      <c r="U2976" t="n">
        <v>1042.79</v>
      </c>
      <c r="X2976" t="inlineStr">
        <is>
          <t>acoa-apeca</t>
        </is>
      </c>
      <c r="Y2976" t="inlineStr">
        <is>
          <t>Atlantic Canada Opportunities Agency | Agence de promotion économique du Canada atlantique</t>
        </is>
      </c>
      <c r="Z2976" t="n">
        <v>2</v>
      </c>
      <c r="AA2976" t="n">
        <v>1042.79</v>
      </c>
      <c r="AB2976">
        <f>ROUND(U2976-AA2976,2)</f>
        <v/>
      </c>
      <c r="AC2976" t="b">
        <v>0</v>
      </c>
      <c r="AD2976">
        <f>IF(U2976="","MISSING_TOTAL",IF(ABS(AB2976)&lt;=0.01,"OK","CHECK"))</f>
        <v/>
      </c>
      <c r="AE2976">
        <f>IF(U2976="","MISSING",IF(AND(AA2976&gt;0,U2976/AA2976&gt;50),"POSSIBLE_SCALE_ERROR","OK"))</f>
        <v/>
      </c>
    </row>
    <row r="2977">
      <c r="A2977" t="inlineStr">
        <is>
          <t>T-2015-Q3-00005</t>
        </is>
      </c>
      <c r="B2977" t="inlineStr">
        <is>
          <t>MPSES</t>
        </is>
      </c>
      <c r="C2977" t="inlineStr">
        <is>
          <t>Executive Assistant</t>
        </is>
      </c>
      <c r="D2977" t="inlineStr">
        <is>
          <t>Adjoint exécutif</t>
        </is>
      </c>
      <c r="E2977" t="inlineStr">
        <is>
          <t>Josh Hardy</t>
        </is>
      </c>
      <c r="F2977" t="inlineStr">
        <is>
          <t>Travel on government business</t>
        </is>
      </c>
      <c r="G2977" t="inlineStr">
        <is>
          <t>Voyage en service commandé</t>
        </is>
      </c>
      <c r="H2977" s="1" t="n">
        <v>41886</v>
      </c>
      <c r="I2977" s="1" t="n">
        <v>41886</v>
      </c>
      <c r="J2977" t="inlineStr">
        <is>
          <t>Halifax, Nova Scotia</t>
        </is>
      </c>
      <c r="K2977" t="inlineStr">
        <is>
          <t>Halifax (Nouvelle-Écosse)</t>
        </is>
      </c>
      <c r="P2977" t="n">
        <v>601.37</v>
      </c>
      <c r="Q2977" t="n">
        <v>146.48</v>
      </c>
      <c r="R2977" t="n">
        <v>0</v>
      </c>
      <c r="S2977" t="n">
        <v>73.65000000000001</v>
      </c>
      <c r="T2977" t="n">
        <v>0</v>
      </c>
      <c r="U2977" t="n">
        <v>821.5</v>
      </c>
      <c r="X2977" t="inlineStr">
        <is>
          <t>acoa-apeca</t>
        </is>
      </c>
      <c r="Y2977" t="inlineStr">
        <is>
          <t>Atlantic Canada Opportunities Agency | Agence de promotion économique du Canada atlantique</t>
        </is>
      </c>
      <c r="Z2977" t="n">
        <v>1</v>
      </c>
      <c r="AA2977" t="n">
        <v>821.5</v>
      </c>
      <c r="AB2977">
        <f>ROUND(U2977-AA2977,2)</f>
        <v/>
      </c>
      <c r="AC2977" t="b">
        <v>0</v>
      </c>
      <c r="AD2977">
        <f>IF(U2977="","MISSING_TOTAL",IF(ABS(AB2977)&lt;=0.01,"OK","CHECK"))</f>
        <v/>
      </c>
      <c r="AE2977">
        <f>IF(U2977="","MISSING",IF(AND(AA2977&gt;0,U2977/AA2977&gt;50),"POSSIBLE_SCALE_ERROR","OK"))</f>
        <v/>
      </c>
    </row>
    <row r="2978">
      <c r="A2978" t="inlineStr">
        <is>
          <t>T-2016-Q2-00027</t>
        </is>
      </c>
      <c r="B2978" t="inlineStr">
        <is>
          <t>SLE</t>
        </is>
      </c>
      <c r="C2978" t="inlineStr">
        <is>
          <t>Vice-President, Policy and Programs</t>
        </is>
      </c>
      <c r="D2978" t="inlineStr">
        <is>
          <t>Vice-président, Politiques et Programmes</t>
        </is>
      </c>
      <c r="E2978" t="inlineStr">
        <is>
          <t>Daryell Nowlan</t>
        </is>
      </c>
      <c r="F2978" t="inlineStr">
        <is>
          <t>Meeting with Government of Canada officials</t>
        </is>
      </c>
      <c r="G2978" t="inlineStr">
        <is>
          <t>Réunion avec des fonctionnaires du gouvernement du Canada</t>
        </is>
      </c>
      <c r="H2978" s="1" t="n">
        <v>42184</v>
      </c>
      <c r="I2978" s="1" t="n">
        <v>42185</v>
      </c>
      <c r="J2978" t="inlineStr">
        <is>
          <t>Ottawa, Ontario</t>
        </is>
      </c>
      <c r="K2978" t="inlineStr">
        <is>
          <t>Ottawa (Ontario)</t>
        </is>
      </c>
      <c r="P2978" t="n">
        <v>743.54</v>
      </c>
      <c r="Q2978" t="n">
        <v>116</v>
      </c>
      <c r="R2978" t="n">
        <v>196.7</v>
      </c>
      <c r="S2978" t="n">
        <v>110.6</v>
      </c>
      <c r="T2978" t="n">
        <v>0</v>
      </c>
      <c r="U2978" t="n">
        <v>1166.84</v>
      </c>
      <c r="X2978" t="inlineStr">
        <is>
          <t>acoa-apeca</t>
        </is>
      </c>
      <c r="Y2978" t="inlineStr">
        <is>
          <t>Atlantic Canada Opportunities Agency | Agence de promotion économique du Canada atlantique</t>
        </is>
      </c>
      <c r="Z2978" t="n">
        <v>2</v>
      </c>
      <c r="AA2978" t="n">
        <v>1166.84</v>
      </c>
      <c r="AB2978">
        <f>ROUND(U2978-AA2978,2)</f>
        <v/>
      </c>
      <c r="AC2978" t="b">
        <v>0</v>
      </c>
      <c r="AD2978">
        <f>IF(U2978="","MISSING_TOTAL",IF(ABS(AB2978)&lt;=0.01,"OK","CHECK"))</f>
        <v/>
      </c>
      <c r="AE2978">
        <f>IF(U2978="","MISSING",IF(AND(AA2978&gt;0,U2978/AA2978&gt;50),"POSSIBLE_SCALE_ERROR","OK"))</f>
        <v/>
      </c>
    </row>
    <row r="2979">
      <c r="A2979" t="inlineStr">
        <is>
          <t>T-2016-Q2-00025</t>
        </is>
      </c>
      <c r="B2979" t="inlineStr">
        <is>
          <t>SLE</t>
        </is>
      </c>
      <c r="C2979" t="inlineStr">
        <is>
          <t>President</t>
        </is>
      </c>
      <c r="D2979" t="inlineStr">
        <is>
          <t>Président</t>
        </is>
      </c>
      <c r="E2979" t="inlineStr">
        <is>
          <t>Paul J. LeBlanc</t>
        </is>
      </c>
      <c r="F2979" t="inlineStr">
        <is>
          <t>For various meetings and discussions with Agency officials and Government of Canada officials</t>
        </is>
      </c>
      <c r="G2979" t="inlineStr">
        <is>
          <t>Diverses réunions et discussions avec des fonctionnaires de l'Agence et du gouvernement du Canada</t>
        </is>
      </c>
      <c r="H2979" s="1" t="n">
        <v>42183</v>
      </c>
      <c r="I2979" s="1" t="n">
        <v>42185</v>
      </c>
      <c r="J2979" t="inlineStr">
        <is>
          <t>Ottawa, Ontario</t>
        </is>
      </c>
      <c r="K2979" t="inlineStr">
        <is>
          <t>Ottawa (Ontario)</t>
        </is>
      </c>
      <c r="P2979" t="n">
        <v>639.58</v>
      </c>
      <c r="Q2979" t="n">
        <v>0</v>
      </c>
      <c r="R2979" t="n">
        <v>393.4</v>
      </c>
      <c r="S2979" t="n">
        <v>186.1</v>
      </c>
      <c r="T2979" t="n">
        <v>145</v>
      </c>
      <c r="U2979" t="n">
        <v>1364.08</v>
      </c>
      <c r="X2979" t="inlineStr">
        <is>
          <t>acoa-apeca</t>
        </is>
      </c>
      <c r="Y2979" t="inlineStr">
        <is>
          <t>Atlantic Canada Opportunities Agency | Agence de promotion économique du Canada atlantique</t>
        </is>
      </c>
      <c r="Z2979" t="n">
        <v>3</v>
      </c>
      <c r="AA2979" t="n">
        <v>1364.08</v>
      </c>
      <c r="AB2979">
        <f>ROUND(U2979-AA2979,2)</f>
        <v/>
      </c>
      <c r="AC2979" t="b">
        <v>0</v>
      </c>
      <c r="AD2979">
        <f>IF(U2979="","MISSING_TOTAL",IF(ABS(AB2979)&lt;=0.01,"OK","CHECK"))</f>
        <v/>
      </c>
      <c r="AE2979">
        <f>IF(U2979="","MISSING",IF(AND(AA2979&gt;0,U2979/AA2979&gt;50),"POSSIBLE_SCALE_ERROR","OK"))</f>
        <v/>
      </c>
    </row>
    <row r="2980">
      <c r="A2980" t="inlineStr">
        <is>
          <t>T-2016-Q2-00024</t>
        </is>
      </c>
      <c r="B2980" t="inlineStr">
        <is>
          <t>SLE</t>
        </is>
      </c>
      <c r="C2980" t="inlineStr">
        <is>
          <t>Vice-President, New Brunswick</t>
        </is>
      </c>
      <c r="D2980" t="inlineStr">
        <is>
          <t>Vice-président, Nouveau-Brunswick</t>
        </is>
      </c>
      <c r="E2980" t="inlineStr">
        <is>
          <t>Kent Estabrooks</t>
        </is>
      </c>
      <c r="F2980" t="inlineStr">
        <is>
          <t>Training and development</t>
        </is>
      </c>
      <c r="G2980" t="inlineStr">
        <is>
          <t>Formation et perfectionnement</t>
        </is>
      </c>
      <c r="H2980" s="1" t="n">
        <v>42180</v>
      </c>
      <c r="I2980" s="1" t="n">
        <v>42184</v>
      </c>
      <c r="J2980" t="inlineStr">
        <is>
          <t>Toronto, Ontario</t>
        </is>
      </c>
      <c r="K2980" t="inlineStr">
        <is>
          <t>Toronto (Ontario)</t>
        </is>
      </c>
      <c r="P2980" t="n">
        <v>892.7</v>
      </c>
      <c r="Q2980" t="n">
        <v>109.5</v>
      </c>
      <c r="R2980" t="n">
        <v>888.6</v>
      </c>
      <c r="S2980" t="n">
        <v>231.5</v>
      </c>
      <c r="T2980" t="n">
        <v>0</v>
      </c>
      <c r="U2980" t="n">
        <v>2122.3</v>
      </c>
      <c r="X2980" t="inlineStr">
        <is>
          <t>acoa-apeca</t>
        </is>
      </c>
      <c r="Y2980" t="inlineStr">
        <is>
          <t>Atlantic Canada Opportunities Agency | Agence de promotion économique du Canada atlantique</t>
        </is>
      </c>
      <c r="Z2980" t="n">
        <v>5</v>
      </c>
      <c r="AA2980" t="n">
        <v>2122.3</v>
      </c>
      <c r="AB2980">
        <f>ROUND(U2980-AA2980,2)</f>
        <v/>
      </c>
      <c r="AC2980" t="b">
        <v>0</v>
      </c>
      <c r="AD2980">
        <f>IF(U2980="","MISSING_TOTAL",IF(ABS(AB2980)&lt;=0.01,"OK","CHECK"))</f>
        <v/>
      </c>
      <c r="AE2980">
        <f>IF(U2980="","MISSING",IF(AND(AA2980&gt;0,U2980/AA2980&gt;50),"POSSIBLE_SCALE_ERROR","OK"))</f>
        <v/>
      </c>
    </row>
    <row r="2981">
      <c r="A2981" t="inlineStr">
        <is>
          <t>T-2016-Q2-00023</t>
        </is>
      </c>
      <c r="B2981" t="inlineStr">
        <is>
          <t>MPSES</t>
        </is>
      </c>
      <c r="C2981" t="inlineStr">
        <is>
          <t>Parliamentary Secretary</t>
        </is>
      </c>
      <c r="D2981" t="inlineStr">
        <is>
          <t>Secrétaire parlementaire</t>
        </is>
      </c>
      <c r="E2981" t="inlineStr">
        <is>
          <t>Gerald Keddy</t>
        </is>
      </c>
      <c r="F2981" t="inlineStr">
        <is>
          <t>Travel to attend ACOA announcement on behalf of Honourable Rob Moore</t>
        </is>
      </c>
      <c r="G2981" t="inlineStr">
        <is>
          <t>Voyage pour assister à une annonce de l'APECA au nom de l'honorable Rob Moore</t>
        </is>
      </c>
      <c r="H2981" s="1" t="n">
        <v>42179</v>
      </c>
      <c r="I2981" s="1" t="n">
        <v>42180</v>
      </c>
      <c r="J2981" t="inlineStr">
        <is>
          <t>Summerside, Prince Edward Island</t>
        </is>
      </c>
      <c r="K2981" t="inlineStr">
        <is>
          <t>Summerside (Île-du-Prince-Édouard)</t>
        </is>
      </c>
      <c r="P2981" t="n">
        <v>0</v>
      </c>
      <c r="Q2981" t="n">
        <v>406.78</v>
      </c>
      <c r="R2981" t="n">
        <v>131.51</v>
      </c>
      <c r="S2981" t="n">
        <v>110</v>
      </c>
      <c r="T2981" t="n">
        <v>0</v>
      </c>
      <c r="U2981" t="n">
        <v>648.29</v>
      </c>
      <c r="X2981" t="inlineStr">
        <is>
          <t>acoa-apeca</t>
        </is>
      </c>
      <c r="Y2981" t="inlineStr">
        <is>
          <t>Atlantic Canada Opportunities Agency | Agence de promotion économique du Canada atlantique</t>
        </is>
      </c>
      <c r="Z2981" t="n">
        <v>2</v>
      </c>
      <c r="AA2981" t="n">
        <v>648.29</v>
      </c>
      <c r="AB2981">
        <f>ROUND(U2981-AA2981,2)</f>
        <v/>
      </c>
      <c r="AC2981" t="b">
        <v>0</v>
      </c>
      <c r="AD2981">
        <f>IF(U2981="","MISSING_TOTAL",IF(ABS(AB2981)&lt;=0.01,"OK","CHECK"))</f>
        <v/>
      </c>
      <c r="AE2981">
        <f>IF(U2981="","MISSING",IF(AND(AA2981&gt;0,U2981/AA2981&gt;50),"POSSIBLE_SCALE_ERROR","OK"))</f>
        <v/>
      </c>
    </row>
    <row r="2982">
      <c r="A2982" t="inlineStr">
        <is>
          <t>T-2016-Q2-00022</t>
        </is>
      </c>
      <c r="B2982" t="inlineStr">
        <is>
          <t>SLE</t>
        </is>
      </c>
      <c r="C2982" t="inlineStr">
        <is>
          <t>Vice-President, Prince Edward Island</t>
        </is>
      </c>
      <c r="D2982" t="inlineStr">
        <is>
          <t>Vice-président, Île-du-Prince-Édouard</t>
        </is>
      </c>
      <c r="E2982" t="inlineStr">
        <is>
          <t>Patrick Dorsey</t>
        </is>
      </c>
      <c r="F2982" t="inlineStr">
        <is>
          <t>Client meeting</t>
        </is>
      </c>
      <c r="G2982" t="inlineStr">
        <is>
          <t>Réunion avec un client</t>
        </is>
      </c>
      <c r="H2982" s="1" t="n">
        <v>42179</v>
      </c>
      <c r="I2982" s="1" t="n">
        <v>42179</v>
      </c>
      <c r="J2982" t="inlineStr">
        <is>
          <t>Victoria, Prince Edward Island</t>
        </is>
      </c>
      <c r="K2982" t="inlineStr">
        <is>
          <t>Victoria (Île-du-Prince-Édouard)</t>
        </is>
      </c>
      <c r="P2982" t="n">
        <v>0</v>
      </c>
      <c r="Q2982" t="n">
        <v>33.37</v>
      </c>
      <c r="R2982" t="n">
        <v>0</v>
      </c>
      <c r="S2982" t="n">
        <v>0</v>
      </c>
      <c r="T2982" t="n">
        <v>0</v>
      </c>
      <c r="U2982" t="n">
        <v>33.37</v>
      </c>
      <c r="X2982" t="inlineStr">
        <is>
          <t>acoa-apeca</t>
        </is>
      </c>
      <c r="Y2982" t="inlineStr">
        <is>
          <t>Atlantic Canada Opportunities Agency | Agence de promotion économique du Canada atlantique</t>
        </is>
      </c>
      <c r="Z2982" t="n">
        <v>1</v>
      </c>
      <c r="AA2982" t="n">
        <v>33.37</v>
      </c>
      <c r="AB2982">
        <f>ROUND(U2982-AA2982,2)</f>
        <v/>
      </c>
      <c r="AC2982" t="b">
        <v>0</v>
      </c>
      <c r="AD2982">
        <f>IF(U2982="","MISSING_TOTAL",IF(ABS(AB2982)&lt;=0.01,"OK","CHECK"))</f>
        <v/>
      </c>
      <c r="AE2982">
        <f>IF(U2982="","MISSING",IF(AND(AA2982&gt;0,U2982/AA2982&gt;50),"POSSIBLE_SCALE_ERROR","OK"))</f>
        <v/>
      </c>
    </row>
    <row r="2983">
      <c r="A2983" t="inlineStr">
        <is>
          <t>T-2016-Q2-00021</t>
        </is>
      </c>
      <c r="B2983" t="inlineStr">
        <is>
          <t>SLE</t>
        </is>
      </c>
      <c r="C2983" t="inlineStr">
        <is>
          <t>Vice President, Nova Scotia</t>
        </is>
      </c>
      <c r="D2983" t="inlineStr">
        <is>
          <t>Vice-président, Nouvelle-Écosse</t>
        </is>
      </c>
      <c r="E2983" t="inlineStr">
        <is>
          <t>Peter Hogan</t>
        </is>
      </c>
      <c r="F2983" t="inlineStr">
        <is>
          <t>Various meetings with ACOA and Government of Canada officials</t>
        </is>
      </c>
      <c r="G2983" t="inlineStr">
        <is>
          <t>Diverses réunions avec des fonctionnaires de l'APECA et du gouvernement du Canada</t>
        </is>
      </c>
      <c r="H2983" s="1" t="n">
        <v>42178</v>
      </c>
      <c r="I2983" s="1" t="n">
        <v>42179</v>
      </c>
      <c r="J2983" t="inlineStr">
        <is>
          <t>Ottawa, Ontario</t>
        </is>
      </c>
      <c r="K2983" t="inlineStr">
        <is>
          <t>Ottawa (Ontario)</t>
        </is>
      </c>
      <c r="P2983" t="n">
        <v>590.8</v>
      </c>
      <c r="Q2983" t="n">
        <v>73.09999999999999</v>
      </c>
      <c r="R2983" t="n">
        <v>196.7</v>
      </c>
      <c r="S2983" t="n">
        <v>152.8</v>
      </c>
      <c r="T2983" t="n">
        <v>36</v>
      </c>
      <c r="U2983" t="n">
        <v>1049.4</v>
      </c>
      <c r="X2983" t="inlineStr">
        <is>
          <t>acoa-apeca</t>
        </is>
      </c>
      <c r="Y2983" t="inlineStr">
        <is>
          <t>Atlantic Canada Opportunities Agency | Agence de promotion économique du Canada atlantique</t>
        </is>
      </c>
      <c r="Z2983" t="n">
        <v>2</v>
      </c>
      <c r="AA2983" t="n">
        <v>1049.39999999999</v>
      </c>
      <c r="AB2983">
        <f>ROUND(U2983-AA2983,2)</f>
        <v/>
      </c>
      <c r="AC2983" t="b">
        <v>0</v>
      </c>
      <c r="AD2983">
        <f>IF(U2983="","MISSING_TOTAL",IF(ABS(AB2983)&lt;=0.01,"OK","CHECK"))</f>
        <v/>
      </c>
      <c r="AE2983">
        <f>IF(U2983="","MISSING",IF(AND(AA2983&gt;0,U2983/AA2983&gt;50),"POSSIBLE_SCALE_ERROR","OK"))</f>
        <v/>
      </c>
    </row>
    <row r="2984">
      <c r="A2984" t="inlineStr">
        <is>
          <t>T-2016-Q2-00020</t>
        </is>
      </c>
      <c r="B2984" t="inlineStr">
        <is>
          <t>SLE</t>
        </is>
      </c>
      <c r="C2984" t="inlineStr">
        <is>
          <t>Vice-President, New Brunswick</t>
        </is>
      </c>
      <c r="D2984" t="inlineStr">
        <is>
          <t>Vice-président, Nouveau-Brunswick</t>
        </is>
      </c>
      <c r="E2984" t="inlineStr">
        <is>
          <t>Kent Estabrooks</t>
        </is>
      </c>
      <c r="F2984" t="inlineStr">
        <is>
          <t>Meetings with Government of Canada officials</t>
        </is>
      </c>
      <c r="G2984" t="inlineStr">
        <is>
          <t>Réunions avec des fonctionnaires du gouvernement du Canada</t>
        </is>
      </c>
      <c r="H2984" s="1" t="n">
        <v>42171</v>
      </c>
      <c r="I2984" s="1" t="n">
        <v>42172</v>
      </c>
      <c r="J2984" t="inlineStr">
        <is>
          <t>Ottawa, Ontario</t>
        </is>
      </c>
      <c r="K2984" t="inlineStr">
        <is>
          <t>Ottawa (Ontario)</t>
        </is>
      </c>
      <c r="P2984" t="n">
        <v>748.51</v>
      </c>
      <c r="Q2984" t="n">
        <v>108.27</v>
      </c>
      <c r="R2984" t="n">
        <v>50</v>
      </c>
      <c r="S2984" t="n">
        <v>152.8</v>
      </c>
      <c r="T2984" t="n">
        <v>20</v>
      </c>
      <c r="U2984" t="n">
        <v>1079.58</v>
      </c>
      <c r="X2984" t="inlineStr">
        <is>
          <t>acoa-apeca</t>
        </is>
      </c>
      <c r="Y2984" t="inlineStr">
        <is>
          <t>Atlantic Canada Opportunities Agency | Agence de promotion économique du Canada atlantique</t>
        </is>
      </c>
      <c r="Z2984" t="n">
        <v>2</v>
      </c>
      <c r="AA2984" t="n">
        <v>1079.58</v>
      </c>
      <c r="AB2984">
        <f>ROUND(U2984-AA2984,2)</f>
        <v/>
      </c>
      <c r="AC2984" t="b">
        <v>0</v>
      </c>
      <c r="AD2984">
        <f>IF(U2984="","MISSING_TOTAL",IF(ABS(AB2984)&lt;=0.01,"OK","CHECK"))</f>
        <v/>
      </c>
      <c r="AE2984">
        <f>IF(U2984="","MISSING",IF(AND(AA2984&gt;0,U2984/AA2984&gt;50),"POSSIBLE_SCALE_ERROR","OK"))</f>
        <v/>
      </c>
    </row>
    <row r="2985">
      <c r="A2985" t="inlineStr">
        <is>
          <t>T-2016-Q2-00019</t>
        </is>
      </c>
      <c r="B2985" t="inlineStr">
        <is>
          <t>SLE</t>
        </is>
      </c>
      <c r="C2985" t="inlineStr">
        <is>
          <t>President</t>
        </is>
      </c>
      <c r="D2985" t="inlineStr">
        <is>
          <t>Président</t>
        </is>
      </c>
      <c r="E2985" t="inlineStr">
        <is>
          <t>Paul J. LeBlanc</t>
        </is>
      </c>
      <c r="F2985" t="inlineStr">
        <is>
          <t>For various meetings and discussions with Agency officials and Government of Canada officials</t>
        </is>
      </c>
      <c r="G2985" t="inlineStr">
        <is>
          <t>Diverses réunions et discussions avec des fonctionnaires de l'Agence et du gouvernement du Canada</t>
        </is>
      </c>
      <c r="H2985" s="1" t="n">
        <v>42171</v>
      </c>
      <c r="I2985" s="1" t="n">
        <v>42172</v>
      </c>
      <c r="J2985" t="inlineStr">
        <is>
          <t>Ottawa, Ontario</t>
        </is>
      </c>
      <c r="K2985" t="inlineStr">
        <is>
          <t>Ottawa (Ontario)</t>
        </is>
      </c>
      <c r="P2985" t="n">
        <v>702.48</v>
      </c>
      <c r="Q2985" t="n">
        <v>0</v>
      </c>
      <c r="R2985" t="n">
        <v>196.7</v>
      </c>
      <c r="S2985" t="n">
        <v>110.6</v>
      </c>
      <c r="T2985" t="n">
        <v>0</v>
      </c>
      <c r="U2985" t="n">
        <v>1009.78</v>
      </c>
      <c r="X2985" t="inlineStr">
        <is>
          <t>acoa-apeca</t>
        </is>
      </c>
      <c r="Y2985" t="inlineStr">
        <is>
          <t>Atlantic Canada Opportunities Agency | Agence de promotion économique du Canada atlantique</t>
        </is>
      </c>
      <c r="Z2985" t="n">
        <v>2</v>
      </c>
      <c r="AA2985" t="n">
        <v>1009.78</v>
      </c>
      <c r="AB2985">
        <f>ROUND(U2985-AA2985,2)</f>
        <v/>
      </c>
      <c r="AC2985" t="b">
        <v>0</v>
      </c>
      <c r="AD2985">
        <f>IF(U2985="","MISSING_TOTAL",IF(ABS(AB2985)&lt;=0.01,"OK","CHECK"))</f>
        <v/>
      </c>
      <c r="AE2985">
        <f>IF(U2985="","MISSING",IF(AND(AA2985&gt;0,U2985/AA2985&gt;50),"POSSIBLE_SCALE_ERROR","OK"))</f>
        <v/>
      </c>
    </row>
    <row r="2986">
      <c r="A2986" t="inlineStr">
        <is>
          <t>T-2016-Q2-00018</t>
        </is>
      </c>
      <c r="B2986" t="inlineStr">
        <is>
          <t>MPSES</t>
        </is>
      </c>
      <c r="C2986" t="inlineStr">
        <is>
          <t>Regional Affairs Director - New Brunswick</t>
        </is>
      </c>
      <c r="D2986" t="inlineStr">
        <is>
          <t>Directeur des affaires régionales - Nouveau-Brunswick</t>
        </is>
      </c>
      <c r="E2986" t="inlineStr">
        <is>
          <t>Douglas MacDonald</t>
        </is>
      </c>
      <c r="F2986" t="inlineStr">
        <is>
          <t>Travel for Government business</t>
        </is>
      </c>
      <c r="G2986" t="inlineStr">
        <is>
          <t>Voyage pour affaires officielles</t>
        </is>
      </c>
      <c r="H2986" s="1" t="n">
        <v>42170</v>
      </c>
      <c r="I2986" s="1" t="n">
        <v>42170</v>
      </c>
      <c r="J2986" t="inlineStr">
        <is>
          <t>Riverside-Albert, Hillsborough and Moncton, New Brunswick</t>
        </is>
      </c>
      <c r="K2986" t="inlineStr">
        <is>
          <t>Riverside-Albert, Hillsborough et Moncton (Nouveau-Brunswick)</t>
        </is>
      </c>
      <c r="P2986" t="n">
        <v>0</v>
      </c>
      <c r="Q2986" t="n">
        <v>168.26</v>
      </c>
      <c r="R2986" t="n">
        <v>0</v>
      </c>
      <c r="S2986" t="n">
        <v>0</v>
      </c>
      <c r="T2986" t="n">
        <v>0</v>
      </c>
      <c r="U2986" t="n">
        <v>168.26</v>
      </c>
      <c r="X2986" t="inlineStr">
        <is>
          <t>acoa-apeca</t>
        </is>
      </c>
      <c r="Y2986" t="inlineStr">
        <is>
          <t>Atlantic Canada Opportunities Agency | Agence de promotion économique du Canada atlantique</t>
        </is>
      </c>
      <c r="Z2986" t="n">
        <v>1</v>
      </c>
      <c r="AA2986" t="n">
        <v>168.26</v>
      </c>
      <c r="AB2986">
        <f>ROUND(U2986-AA2986,2)</f>
        <v/>
      </c>
      <c r="AC2986" t="b">
        <v>0</v>
      </c>
      <c r="AD2986">
        <f>IF(U2986="","MISSING_TOTAL",IF(ABS(AB2986)&lt;=0.01,"OK","CHECK"))</f>
        <v/>
      </c>
      <c r="AE2986">
        <f>IF(U2986="","MISSING",IF(AND(AA2986&gt;0,U2986/AA2986&gt;50),"POSSIBLE_SCALE_ERROR","OK"))</f>
        <v/>
      </c>
    </row>
    <row r="2987">
      <c r="A2987" t="inlineStr">
        <is>
          <t>T-2016-Q2-00017</t>
        </is>
      </c>
      <c r="B2987" t="inlineStr">
        <is>
          <t>SLE</t>
        </is>
      </c>
      <c r="C2987" t="inlineStr">
        <is>
          <t>Vice-President, Prince Edward Island</t>
        </is>
      </c>
      <c r="D2987" t="inlineStr">
        <is>
          <t>Vice-président, Île-du-Prince-Édouard</t>
        </is>
      </c>
      <c r="E2987" t="inlineStr">
        <is>
          <t>Patrick Dorsey</t>
        </is>
      </c>
      <c r="F2987" t="inlineStr">
        <is>
          <t>BIO International Convention 2015</t>
        </is>
      </c>
      <c r="G2987" t="inlineStr">
        <is>
          <t>Congrès BIO International de 2015</t>
        </is>
      </c>
      <c r="H2987" s="1" t="n">
        <v>42169</v>
      </c>
      <c r="I2987" s="1" t="n">
        <v>42173</v>
      </c>
      <c r="J2987" t="inlineStr">
        <is>
          <t>Philadelphia, Pennsylvania</t>
        </is>
      </c>
      <c r="K2987" t="inlineStr">
        <is>
          <t>Philadelphie (Pennsylvanie)</t>
        </is>
      </c>
      <c r="P2987" t="n">
        <v>875.16</v>
      </c>
      <c r="Q2987" t="n">
        <v>50.58</v>
      </c>
      <c r="R2987" t="n">
        <v>1208.32</v>
      </c>
      <c r="S2987" t="n">
        <v>433.72</v>
      </c>
      <c r="T2987" t="n">
        <v>44.76</v>
      </c>
      <c r="U2987" t="n">
        <v>2612.54</v>
      </c>
      <c r="X2987" t="inlineStr">
        <is>
          <t>acoa-apeca</t>
        </is>
      </c>
      <c r="Y2987" t="inlineStr">
        <is>
          <t>Atlantic Canada Opportunities Agency | Agence de promotion économique du Canada atlantique</t>
        </is>
      </c>
      <c r="Z2987" t="n">
        <v>5</v>
      </c>
      <c r="AA2987" t="n">
        <v>2612.54</v>
      </c>
      <c r="AB2987">
        <f>ROUND(U2987-AA2987,2)</f>
        <v/>
      </c>
      <c r="AC2987" t="b">
        <v>0</v>
      </c>
      <c r="AD2987">
        <f>IF(U2987="","MISSING_TOTAL",IF(ABS(AB2987)&lt;=0.01,"OK","CHECK"))</f>
        <v/>
      </c>
      <c r="AE2987">
        <f>IF(U2987="","MISSING",IF(AND(AA2987&gt;0,U2987/AA2987&gt;50),"POSSIBLE_SCALE_ERROR","OK"))</f>
        <v/>
      </c>
    </row>
    <row r="2988">
      <c r="A2988" t="inlineStr">
        <is>
          <t>T-2016-Q2-00016</t>
        </is>
      </c>
      <c r="B2988" t="inlineStr">
        <is>
          <t>SLE</t>
        </is>
      </c>
      <c r="C2988" t="inlineStr">
        <is>
          <t>Vice-President, Policy and Programs</t>
        </is>
      </c>
      <c r="D2988" t="inlineStr">
        <is>
          <t>Vice-président, Politiques et Programmes</t>
        </is>
      </c>
      <c r="E2988" t="inlineStr">
        <is>
          <t>Daryell Nowlan</t>
        </is>
      </c>
      <c r="F2988" t="inlineStr">
        <is>
          <t>Meetings with Government of Canada officials</t>
        </is>
      </c>
      <c r="G2988" t="inlineStr">
        <is>
          <t>Réunions avec des fonctionnaires du gouvernement du Canada</t>
        </is>
      </c>
      <c r="H2988" s="1" t="n">
        <v>42167</v>
      </c>
      <c r="I2988" s="1" t="n">
        <v>42170</v>
      </c>
      <c r="J2988" t="inlineStr">
        <is>
          <t>Ottawa/Toronto, Ontario</t>
        </is>
      </c>
      <c r="K2988" t="inlineStr">
        <is>
          <t>Ottawa/Toronto (Ontario)</t>
        </is>
      </c>
      <c r="P2988" t="n">
        <v>930.1900000000001</v>
      </c>
      <c r="Q2988" t="n">
        <v>125.5</v>
      </c>
      <c r="R2988" t="n">
        <v>168.37</v>
      </c>
      <c r="S2988" t="n">
        <v>195.6</v>
      </c>
      <c r="T2988" t="n">
        <v>0</v>
      </c>
      <c r="U2988" t="n">
        <v>1419.66</v>
      </c>
      <c r="X2988" t="inlineStr">
        <is>
          <t>acoa-apeca</t>
        </is>
      </c>
      <c r="Y2988" t="inlineStr">
        <is>
          <t>Atlantic Canada Opportunities Agency | Agence de promotion économique du Canada atlantique</t>
        </is>
      </c>
      <c r="Z2988" t="n">
        <v>4</v>
      </c>
      <c r="AA2988" t="n">
        <v>1419.65999999999</v>
      </c>
      <c r="AB2988">
        <f>ROUND(U2988-AA2988,2)</f>
        <v/>
      </c>
      <c r="AC2988" t="b">
        <v>0</v>
      </c>
      <c r="AD2988">
        <f>IF(U2988="","MISSING_TOTAL",IF(ABS(AB2988)&lt;=0.01,"OK","CHECK"))</f>
        <v/>
      </c>
      <c r="AE2988">
        <f>IF(U2988="","MISSING",IF(AND(AA2988&gt;0,U2988/AA2988&gt;50),"POSSIBLE_SCALE_ERROR","OK"))</f>
        <v/>
      </c>
    </row>
    <row r="2989">
      <c r="A2989" t="inlineStr">
        <is>
          <t>T-2016-Q2-00015</t>
        </is>
      </c>
      <c r="B2989" t="inlineStr">
        <is>
          <t>SLE</t>
        </is>
      </c>
      <c r="C2989" t="inlineStr">
        <is>
          <t>Vice-President, New Brunswick</t>
        </is>
      </c>
      <c r="D2989" t="inlineStr">
        <is>
          <t>Vice-président, Nouveau-Brunswick</t>
        </is>
      </c>
      <c r="E2989" t="inlineStr">
        <is>
          <t>Kent Estabrooks</t>
        </is>
      </c>
      <c r="F2989" t="inlineStr">
        <is>
          <t>Meetings with Agency officials</t>
        </is>
      </c>
      <c r="G2989" t="inlineStr">
        <is>
          <t>Réunions avec des fonctionnaires de l'Agence</t>
        </is>
      </c>
      <c r="H2989" s="1" t="n">
        <v>42165</v>
      </c>
      <c r="I2989" s="1" t="n">
        <v>42167</v>
      </c>
      <c r="J2989" t="inlineStr">
        <is>
          <t>Moncton, New Brunswick</t>
        </is>
      </c>
      <c r="K2989" t="inlineStr">
        <is>
          <t>Moncton (Nouveau-Brunswick)</t>
        </is>
      </c>
      <c r="P2989" t="n">
        <v>0</v>
      </c>
      <c r="Q2989" t="n">
        <v>0</v>
      </c>
      <c r="R2989" t="n">
        <v>268.94</v>
      </c>
      <c r="S2989" t="n">
        <v>111.3</v>
      </c>
      <c r="T2989" t="n">
        <v>32.1</v>
      </c>
      <c r="U2989" t="n">
        <v>412.34</v>
      </c>
      <c r="X2989" t="inlineStr">
        <is>
          <t>acoa-apeca</t>
        </is>
      </c>
      <c r="Y2989" t="inlineStr">
        <is>
          <t>Atlantic Canada Opportunities Agency | Agence de promotion économique du Canada atlantique</t>
        </is>
      </c>
      <c r="Z2989" t="n">
        <v>3</v>
      </c>
      <c r="AA2989" t="n">
        <v>412.34</v>
      </c>
      <c r="AB2989">
        <f>ROUND(U2989-AA2989,2)</f>
        <v/>
      </c>
      <c r="AC2989" t="b">
        <v>0</v>
      </c>
      <c r="AD2989">
        <f>IF(U2989="","MISSING_TOTAL",IF(ABS(AB2989)&lt;=0.01,"OK","CHECK"))</f>
        <v/>
      </c>
      <c r="AE2989">
        <f>IF(U2989="","MISSING",IF(AND(AA2989&gt;0,U2989/AA2989&gt;50),"POSSIBLE_SCALE_ERROR","OK"))</f>
        <v/>
      </c>
    </row>
    <row r="2990">
      <c r="A2990" t="inlineStr">
        <is>
          <t>T-2016-Q2-00006</t>
        </is>
      </c>
      <c r="B2990" t="inlineStr">
        <is>
          <t>MPSES</t>
        </is>
      </c>
      <c r="C2990" t="inlineStr">
        <is>
          <t>Minister of State</t>
        </is>
      </c>
      <c r="D2990" t="inlineStr">
        <is>
          <t>Ministre d'État</t>
        </is>
      </c>
      <c r="E2990" t="inlineStr">
        <is>
          <t>Rob Moore</t>
        </is>
      </c>
      <c r="F2990" t="inlineStr">
        <is>
          <t>Memorial event for RCMP officers</t>
        </is>
      </c>
      <c r="G2990" t="inlineStr">
        <is>
          <t>Activité commémorative pour des agents de la GRC</t>
        </is>
      </c>
      <c r="H2990" s="1" t="n">
        <v>42162</v>
      </c>
      <c r="I2990" s="1" t="n">
        <v>42162</v>
      </c>
      <c r="J2990" t="inlineStr">
        <is>
          <t>Moncton, New Brunswick</t>
        </is>
      </c>
      <c r="K2990" t="inlineStr">
        <is>
          <t>Moncton (Nouveau-Brunswick)</t>
        </is>
      </c>
      <c r="P2990" t="n">
        <v>0</v>
      </c>
      <c r="Q2990" t="n">
        <v>117.5</v>
      </c>
      <c r="R2990" t="n">
        <v>0</v>
      </c>
      <c r="S2990" t="n">
        <v>0</v>
      </c>
      <c r="T2990" t="n">
        <v>0</v>
      </c>
      <c r="U2990" t="n">
        <v>117.5</v>
      </c>
      <c r="X2990" t="inlineStr">
        <is>
          <t>acoa-apeca</t>
        </is>
      </c>
      <c r="Y2990" t="inlineStr">
        <is>
          <t>Atlantic Canada Opportunities Agency | Agence de promotion économique du Canada atlantique</t>
        </is>
      </c>
      <c r="Z2990" t="n">
        <v>1</v>
      </c>
      <c r="AA2990" t="n">
        <v>117.5</v>
      </c>
      <c r="AB2990">
        <f>ROUND(U2990-AA2990,2)</f>
        <v/>
      </c>
      <c r="AC2990" t="b">
        <v>0</v>
      </c>
      <c r="AD2990">
        <f>IF(U2990="","MISSING_TOTAL",IF(ABS(AB2990)&lt;=0.01,"OK","CHECK"))</f>
        <v/>
      </c>
      <c r="AE2990">
        <f>IF(U2990="","MISSING",IF(AND(AA2990&gt;0,U2990/AA2990&gt;50),"POSSIBLE_SCALE_ERROR","OK"))</f>
        <v/>
      </c>
    </row>
    <row r="2991">
      <c r="A2991" t="inlineStr">
        <is>
          <t>T-2016-Q2-00014</t>
        </is>
      </c>
      <c r="B2991" t="inlineStr">
        <is>
          <t>SLE</t>
        </is>
      </c>
      <c r="C2991" t="inlineStr">
        <is>
          <t>Vice President, Nova Scotia</t>
        </is>
      </c>
      <c r="D2991" t="inlineStr">
        <is>
          <t>Vice-président, Nouvelle-Écosse</t>
        </is>
      </c>
      <c r="E2991" t="inlineStr">
        <is>
          <t>Peter Hogan</t>
        </is>
      </c>
      <c r="F2991" t="inlineStr">
        <is>
          <t>Meeting with senior Agency officials and other Government of Canada officials</t>
        </is>
      </c>
      <c r="G2991" t="inlineStr">
        <is>
          <t>Réunion avec des hauts fonctionnaires de l'Agence et d'autres fonctionnaires du gouvernement du Canada</t>
        </is>
      </c>
      <c r="H2991" s="1" t="n">
        <v>42165</v>
      </c>
      <c r="I2991" s="1" t="n">
        <v>42167</v>
      </c>
      <c r="J2991" t="inlineStr">
        <is>
          <t>Moncton, New Brunswick</t>
        </is>
      </c>
      <c r="K2991" t="inlineStr">
        <is>
          <t>Moncton (Nouveau-Brunswick)</t>
        </is>
      </c>
      <c r="P2991" t="n">
        <v>0</v>
      </c>
      <c r="Q2991" t="n">
        <v>0</v>
      </c>
      <c r="R2991" t="n">
        <v>157.07</v>
      </c>
      <c r="S2991" t="n">
        <v>111.3</v>
      </c>
      <c r="T2991" t="n">
        <v>44.07</v>
      </c>
      <c r="U2991" t="n">
        <v>312.44</v>
      </c>
      <c r="X2991" t="inlineStr">
        <is>
          <t>acoa-apeca</t>
        </is>
      </c>
      <c r="Y2991" t="inlineStr">
        <is>
          <t>Atlantic Canada Opportunities Agency | Agence de promotion économique du Canada atlantique</t>
        </is>
      </c>
      <c r="Z2991" t="n">
        <v>3</v>
      </c>
      <c r="AA2991" t="n">
        <v>312.44</v>
      </c>
      <c r="AB2991">
        <f>ROUND(U2991-AA2991,2)</f>
        <v/>
      </c>
      <c r="AC2991" t="b">
        <v>0</v>
      </c>
      <c r="AD2991">
        <f>IF(U2991="","MISSING_TOTAL",IF(ABS(AB2991)&lt;=0.01,"OK","CHECK"))</f>
        <v/>
      </c>
      <c r="AE2991">
        <f>IF(U2991="","MISSING",IF(AND(AA2991&gt;0,U2991/AA2991&gt;50),"POSSIBLE_SCALE_ERROR","OK"))</f>
        <v/>
      </c>
    </row>
    <row r="2992">
      <c r="A2992" t="inlineStr">
        <is>
          <t>T-2016-Q2-00013</t>
        </is>
      </c>
      <c r="B2992" t="inlineStr">
        <is>
          <t>SLE</t>
        </is>
      </c>
      <c r="C2992" t="inlineStr">
        <is>
          <t>Vice-President, Prince Edward Island</t>
        </is>
      </c>
      <c r="D2992" t="inlineStr">
        <is>
          <t>Vice-président, Île-du-Prince-Édouard</t>
        </is>
      </c>
      <c r="E2992" t="inlineStr">
        <is>
          <t>Patrick Dorsey</t>
        </is>
      </c>
      <c r="F2992" t="inlineStr">
        <is>
          <t>Executive Committee meeting</t>
        </is>
      </c>
      <c r="G2992" t="inlineStr">
        <is>
          <t>Réunion du Comité de direction</t>
        </is>
      </c>
      <c r="H2992" s="1" t="n">
        <v>42165</v>
      </c>
      <c r="I2992" s="1" t="n">
        <v>42167</v>
      </c>
      <c r="J2992" t="inlineStr">
        <is>
          <t>Moncton, New Brunswick</t>
        </is>
      </c>
      <c r="K2992" t="inlineStr">
        <is>
          <t>Moncton (Nouveau-Brunswick)</t>
        </is>
      </c>
      <c r="P2992" t="n">
        <v>0</v>
      </c>
      <c r="Q2992" t="n">
        <v>79.40000000000001</v>
      </c>
      <c r="R2992" t="n">
        <v>314.14</v>
      </c>
      <c r="S2992" t="n">
        <v>137.5</v>
      </c>
      <c r="T2992" t="n">
        <v>0</v>
      </c>
      <c r="U2992" t="n">
        <v>531.04</v>
      </c>
      <c r="X2992" t="inlineStr">
        <is>
          <t>acoa-apeca</t>
        </is>
      </c>
      <c r="Y2992" t="inlineStr">
        <is>
          <t>Atlantic Canada Opportunities Agency | Agence de promotion économique du Canada atlantique</t>
        </is>
      </c>
      <c r="Z2992" t="n">
        <v>3</v>
      </c>
      <c r="AA2992" t="n">
        <v>531.04</v>
      </c>
      <c r="AB2992">
        <f>ROUND(U2992-AA2992,2)</f>
        <v/>
      </c>
      <c r="AC2992" t="b">
        <v>0</v>
      </c>
      <c r="AD2992">
        <f>IF(U2992="","MISSING_TOTAL",IF(ABS(AB2992)&lt;=0.01,"OK","CHECK"))</f>
        <v/>
      </c>
      <c r="AE2992">
        <f>IF(U2992="","MISSING",IF(AND(AA2992&gt;0,U2992/AA2992&gt;50),"POSSIBLE_SCALE_ERROR","OK"))</f>
        <v/>
      </c>
    </row>
    <row r="2993">
      <c r="A2993" t="inlineStr">
        <is>
          <t>T-2016-Q2-00012</t>
        </is>
      </c>
      <c r="B2993" t="inlineStr">
        <is>
          <t>SLE</t>
        </is>
      </c>
      <c r="C2993" t="inlineStr">
        <is>
          <t>Vice-President, Newfoundland and Labrador</t>
        </is>
      </c>
      <c r="D2993" t="inlineStr">
        <is>
          <t>Vice-président, Terre-Neuve-et-Labrador</t>
        </is>
      </c>
      <c r="E2993" t="inlineStr">
        <is>
          <t>Paul Mills</t>
        </is>
      </c>
      <c r="F2993" t="inlineStr">
        <is>
          <t>Travel to Moncton for EX PMA review</t>
        </is>
      </c>
      <c r="G2993" t="inlineStr">
        <is>
          <t>Voyage à Moncton pour l'examen des EGR des cadres</t>
        </is>
      </c>
      <c r="H2993" s="1" t="n">
        <v>42165</v>
      </c>
      <c r="I2993" s="1" t="n">
        <v>42167</v>
      </c>
      <c r="J2993" t="inlineStr">
        <is>
          <t>Moncton, New Brunswick</t>
        </is>
      </c>
      <c r="K2993" t="inlineStr">
        <is>
          <t>Moncton (Nouveau-Brunswick)</t>
        </is>
      </c>
      <c r="P2993" t="n">
        <v>1426.06</v>
      </c>
      <c r="Q2993" t="n">
        <v>169.43</v>
      </c>
      <c r="R2993" t="n">
        <v>223.74</v>
      </c>
      <c r="S2993" t="n">
        <v>159.9</v>
      </c>
      <c r="T2993" t="n">
        <v>67.31</v>
      </c>
      <c r="U2993" t="n">
        <v>2046.44</v>
      </c>
      <c r="X2993" t="inlineStr">
        <is>
          <t>acoa-apeca</t>
        </is>
      </c>
      <c r="Y2993" t="inlineStr">
        <is>
          <t>Atlantic Canada Opportunities Agency | Agence de promotion économique du Canada atlantique</t>
        </is>
      </c>
      <c r="Z2993" t="n">
        <v>3</v>
      </c>
      <c r="AA2993" t="n">
        <v>2046.44</v>
      </c>
      <c r="AB2993">
        <f>ROUND(U2993-AA2993,2)</f>
        <v/>
      </c>
      <c r="AC2993" t="b">
        <v>0</v>
      </c>
      <c r="AD2993">
        <f>IF(U2993="","MISSING_TOTAL",IF(ABS(AB2993)&lt;=0.01,"OK","CHECK"))</f>
        <v/>
      </c>
      <c r="AE2993">
        <f>IF(U2993="","MISSING",IF(AND(AA2993&gt;0,U2993/AA2993&gt;50),"POSSIBLE_SCALE_ERROR","OK"))</f>
        <v/>
      </c>
    </row>
    <row r="2994">
      <c r="A2994" t="inlineStr">
        <is>
          <t>T-2016-Q2-00011</t>
        </is>
      </c>
      <c r="B2994" t="inlineStr">
        <is>
          <t>SLE</t>
        </is>
      </c>
      <c r="C2994" t="inlineStr">
        <is>
          <t>Vice-President, Finance and Corporate Services</t>
        </is>
      </c>
      <c r="D2994" t="inlineStr">
        <is>
          <t>Vice-présidente, Finances et Services corporatifs</t>
        </is>
      </c>
      <c r="E2994" t="inlineStr">
        <is>
          <t>Denise Frenette</t>
        </is>
      </c>
      <c r="F2994" t="inlineStr">
        <is>
          <t>For various meetings and session with Agency officials; with Government of Canada officials</t>
        </is>
      </c>
      <c r="G2994" t="inlineStr">
        <is>
          <t>Réunions et séance avec des fonctionnaires de l'Agence et avec des fonctionnaires du gouvernement du Canada</t>
        </is>
      </c>
      <c r="H2994" s="1" t="n">
        <v>42164</v>
      </c>
      <c r="I2994" s="1" t="n">
        <v>42165</v>
      </c>
      <c r="J2994" t="inlineStr">
        <is>
          <t>Ottawa, Ontario</t>
        </is>
      </c>
      <c r="K2994" t="inlineStr">
        <is>
          <t>Ottawa (Ontario)</t>
        </is>
      </c>
      <c r="P2994" t="n">
        <v>658.39</v>
      </c>
      <c r="Q2994" t="n">
        <v>102.43</v>
      </c>
      <c r="R2994" t="n">
        <v>196.7</v>
      </c>
      <c r="S2994" t="n">
        <v>154.55</v>
      </c>
      <c r="T2994" t="n">
        <v>0</v>
      </c>
      <c r="U2994" t="n">
        <v>1112.07</v>
      </c>
      <c r="X2994" t="inlineStr">
        <is>
          <t>acoa-apeca</t>
        </is>
      </c>
      <c r="Y2994" t="inlineStr">
        <is>
          <t>Atlantic Canada Opportunities Agency | Agence de promotion économique du Canada atlantique</t>
        </is>
      </c>
      <c r="Z2994" t="n">
        <v>2</v>
      </c>
      <c r="AA2994" t="n">
        <v>1112.07</v>
      </c>
      <c r="AB2994">
        <f>ROUND(U2994-AA2994,2)</f>
        <v/>
      </c>
      <c r="AC2994" t="b">
        <v>0</v>
      </c>
      <c r="AD2994">
        <f>IF(U2994="","MISSING_TOTAL",IF(ABS(AB2994)&lt;=0.01,"OK","CHECK"))</f>
        <v/>
      </c>
      <c r="AE2994">
        <f>IF(U2994="","MISSING",IF(AND(AA2994&gt;0,U2994/AA2994&gt;50),"POSSIBLE_SCALE_ERROR","OK"))</f>
        <v/>
      </c>
    </row>
    <row r="2995">
      <c r="A2995" t="inlineStr">
        <is>
          <t>T-2016-Q2-00007</t>
        </is>
      </c>
      <c r="B2995" t="inlineStr">
        <is>
          <t>SLE</t>
        </is>
      </c>
      <c r="C2995" t="inlineStr">
        <is>
          <t>President</t>
        </is>
      </c>
      <c r="D2995" t="inlineStr">
        <is>
          <t>Président</t>
        </is>
      </c>
      <c r="E2995" t="inlineStr">
        <is>
          <t>Paul J. LeBlanc</t>
        </is>
      </c>
      <c r="F2995" t="inlineStr">
        <is>
          <t>For various meetings and discussions with Agency officials and Government of Canada officials</t>
        </is>
      </c>
      <c r="G2995" t="inlineStr">
        <is>
          <t>Diverses réunions et discussions avec des fonctionnaires de l'Agence et du gouvernement du Canada</t>
        </is>
      </c>
      <c r="H2995" s="1" t="n">
        <v>42163</v>
      </c>
      <c r="I2995" s="1" t="n">
        <v>42165</v>
      </c>
      <c r="J2995" t="inlineStr">
        <is>
          <t>Ottawa, Ontario</t>
        </is>
      </c>
      <c r="K2995" t="inlineStr">
        <is>
          <t>Ottawa (Ontario)</t>
        </is>
      </c>
      <c r="P2995" t="n">
        <v>702.48</v>
      </c>
      <c r="Q2995" t="n">
        <v>0</v>
      </c>
      <c r="R2995" t="n">
        <v>393.4</v>
      </c>
      <c r="S2995" t="n">
        <v>235.3</v>
      </c>
      <c r="T2995" t="n">
        <v>0</v>
      </c>
      <c r="U2995" t="n">
        <v>1331.18</v>
      </c>
      <c r="X2995" t="inlineStr">
        <is>
          <t>acoa-apeca</t>
        </is>
      </c>
      <c r="Y2995" t="inlineStr">
        <is>
          <t>Atlantic Canada Opportunities Agency | Agence de promotion économique du Canada atlantique</t>
        </is>
      </c>
      <c r="Z2995" t="n">
        <v>3</v>
      </c>
      <c r="AA2995" t="n">
        <v>1331.18</v>
      </c>
      <c r="AB2995">
        <f>ROUND(U2995-AA2995,2)</f>
        <v/>
      </c>
      <c r="AC2995" t="b">
        <v>0</v>
      </c>
      <c r="AD2995">
        <f>IF(U2995="","MISSING_TOTAL",IF(ABS(AB2995)&lt;=0.01,"OK","CHECK"))</f>
        <v/>
      </c>
      <c r="AE2995">
        <f>IF(U2995="","MISSING",IF(AND(AA2995&gt;0,U2995/AA2995&gt;50),"POSSIBLE_SCALE_ERROR","OK"))</f>
        <v/>
      </c>
    </row>
    <row r="2996">
      <c r="A2996" t="inlineStr">
        <is>
          <t>T-2016-Q2-00005</t>
        </is>
      </c>
      <c r="B2996" t="inlineStr">
        <is>
          <t>SLE</t>
        </is>
      </c>
      <c r="C2996" t="inlineStr">
        <is>
          <t>President</t>
        </is>
      </c>
      <c r="D2996" t="inlineStr">
        <is>
          <t>Président</t>
        </is>
      </c>
      <c r="E2996" t="inlineStr">
        <is>
          <t>Paul J. LeBlanc</t>
        </is>
      </c>
      <c r="F2996" t="inlineStr">
        <is>
          <t>For various meetings and discussions with Agency officials and Government of Canada officials</t>
        </is>
      </c>
      <c r="G2996" t="inlineStr">
        <is>
          <t>Diverses réunions et discussions avec des fonctionnaires de l'Agence et du gouvernement du Canada</t>
        </is>
      </c>
      <c r="H2996" s="1" t="n">
        <v>42159</v>
      </c>
      <c r="I2996" s="1" t="n">
        <v>42160</v>
      </c>
      <c r="J2996" t="inlineStr">
        <is>
          <t>Halifax, Nova Scotia</t>
        </is>
      </c>
      <c r="K2996" t="inlineStr">
        <is>
          <t>Halifax (Nouvelle-Écosse)</t>
        </is>
      </c>
      <c r="P2996" t="n">
        <v>0</v>
      </c>
      <c r="Q2996" t="n">
        <v>0</v>
      </c>
      <c r="R2996" t="n">
        <v>186.51</v>
      </c>
      <c r="S2996" t="n">
        <v>120.2</v>
      </c>
      <c r="T2996" t="n">
        <v>0</v>
      </c>
      <c r="U2996" t="n">
        <v>306.71</v>
      </c>
      <c r="X2996" t="inlineStr">
        <is>
          <t>acoa-apeca</t>
        </is>
      </c>
      <c r="Y2996" t="inlineStr">
        <is>
          <t>Atlantic Canada Opportunities Agency | Agence de promotion économique du Canada atlantique</t>
        </is>
      </c>
      <c r="Z2996" t="n">
        <v>2</v>
      </c>
      <c r="AA2996" t="n">
        <v>306.71</v>
      </c>
      <c r="AB2996">
        <f>ROUND(U2996-AA2996,2)</f>
        <v/>
      </c>
      <c r="AC2996" t="b">
        <v>0</v>
      </c>
      <c r="AD2996">
        <f>IF(U2996="","MISSING_TOTAL",IF(ABS(AB2996)&lt;=0.01,"OK","CHECK"))</f>
        <v/>
      </c>
      <c r="AE2996">
        <f>IF(U2996="","MISSING",IF(AND(AA2996&gt;0,U2996/AA2996&gt;50),"POSSIBLE_SCALE_ERROR","OK"))</f>
        <v/>
      </c>
    </row>
    <row r="2997">
      <c r="A2997" t="inlineStr">
        <is>
          <t>T-2016-Q2-00004</t>
        </is>
      </c>
      <c r="B2997" t="inlineStr">
        <is>
          <t>SLE</t>
        </is>
      </c>
      <c r="C2997" t="inlineStr">
        <is>
          <t>Vice-President, Policy and Programs</t>
        </is>
      </c>
      <c r="D2997" t="inlineStr">
        <is>
          <t>Vice-président, Politiques et Programmes</t>
        </is>
      </c>
      <c r="E2997" t="inlineStr">
        <is>
          <t>Daryell Nowlan</t>
        </is>
      </c>
      <c r="F2997" t="inlineStr">
        <is>
          <t>Meetings with Government of Canada officials</t>
        </is>
      </c>
      <c r="G2997" t="inlineStr">
        <is>
          <t>Réunions avec des fonctionnaires du gouvernement du Canada</t>
        </is>
      </c>
      <c r="H2997" s="1" t="n">
        <v>42159</v>
      </c>
      <c r="I2997" s="1" t="n">
        <v>42160</v>
      </c>
      <c r="J2997" t="inlineStr">
        <is>
          <t>Halifax, Nova Scotia</t>
        </is>
      </c>
      <c r="K2997" t="inlineStr">
        <is>
          <t>Halifax (Nouvelle-Écosse)</t>
        </is>
      </c>
      <c r="P2997" t="n">
        <v>0</v>
      </c>
      <c r="Q2997" t="n">
        <v>292.24</v>
      </c>
      <c r="R2997" t="n">
        <v>174.78</v>
      </c>
      <c r="S2997" t="n">
        <v>17.3</v>
      </c>
      <c r="T2997" t="n">
        <v>0</v>
      </c>
      <c r="U2997" t="n">
        <v>484.32</v>
      </c>
      <c r="X2997" t="inlineStr">
        <is>
          <t>acoa-apeca</t>
        </is>
      </c>
      <c r="Y2997" t="inlineStr">
        <is>
          <t>Atlantic Canada Opportunities Agency | Agence de promotion économique du Canada atlantique</t>
        </is>
      </c>
      <c r="Z2997" t="n">
        <v>2</v>
      </c>
      <c r="AA2997" t="n">
        <v>484.32</v>
      </c>
      <c r="AB2997">
        <f>ROUND(U2997-AA2997,2)</f>
        <v/>
      </c>
      <c r="AC2997" t="b">
        <v>0</v>
      </c>
      <c r="AD2997">
        <f>IF(U2997="","MISSING_TOTAL",IF(ABS(AB2997)&lt;=0.01,"OK","CHECK"))</f>
        <v/>
      </c>
      <c r="AE2997">
        <f>IF(U2997="","MISSING",IF(AND(AA2997&gt;0,U2997/AA2997&gt;50),"POSSIBLE_SCALE_ERROR","OK"))</f>
        <v/>
      </c>
    </row>
    <row r="2998">
      <c r="A2998" t="inlineStr">
        <is>
          <t>T-2016-Q2-00003</t>
        </is>
      </c>
      <c r="B2998" t="inlineStr">
        <is>
          <t>SLE</t>
        </is>
      </c>
      <c r="C2998" t="inlineStr">
        <is>
          <t>Vice President, Nova Scotia</t>
        </is>
      </c>
      <c r="D2998" t="inlineStr">
        <is>
          <t>Vice-président, Nouvelle-Écosse</t>
        </is>
      </c>
      <c r="E2998" t="inlineStr">
        <is>
          <t>Peter Hogan</t>
        </is>
      </c>
      <c r="F2998" t="inlineStr">
        <is>
          <t>Various meetings with Agency officials; community outreach, Antigonish/Guysborough</t>
        </is>
      </c>
      <c r="G2998" t="inlineStr">
        <is>
          <t>Diverses réunions avec des fonctionnaires de l'Agence; sensibilisation communautaire à Antigonish/Guysborough</t>
        </is>
      </c>
      <c r="H2998" s="1" t="n">
        <v>42157</v>
      </c>
      <c r="I2998" s="1" t="n">
        <v>42159</v>
      </c>
      <c r="J2998" t="inlineStr">
        <is>
          <t>Port Hawkesbury, Nova Scotia</t>
        </is>
      </c>
      <c r="K2998" t="inlineStr">
        <is>
          <t>Port Hawkesbury (Nouvelle-Écosse)</t>
        </is>
      </c>
      <c r="P2998" t="n">
        <v>0</v>
      </c>
      <c r="Q2998" t="n">
        <v>0</v>
      </c>
      <c r="R2998" t="n">
        <v>312.55</v>
      </c>
      <c r="S2998" t="n">
        <v>202.7</v>
      </c>
      <c r="T2998" t="n">
        <v>0</v>
      </c>
      <c r="U2998" t="n">
        <v>515.25</v>
      </c>
      <c r="X2998" t="inlineStr">
        <is>
          <t>acoa-apeca</t>
        </is>
      </c>
      <c r="Y2998" t="inlineStr">
        <is>
          <t>Atlantic Canada Opportunities Agency | Agence de promotion économique du Canada atlantique</t>
        </is>
      </c>
      <c r="Z2998" t="n">
        <v>3</v>
      </c>
      <c r="AA2998" t="n">
        <v>515.25</v>
      </c>
      <c r="AB2998">
        <f>ROUND(U2998-AA2998,2)</f>
        <v/>
      </c>
      <c r="AC2998" t="b">
        <v>0</v>
      </c>
      <c r="AD2998">
        <f>IF(U2998="","MISSING_TOTAL",IF(ABS(AB2998)&lt;=0.01,"OK","CHECK"))</f>
        <v/>
      </c>
      <c r="AE2998">
        <f>IF(U2998="","MISSING",IF(AND(AA2998&gt;0,U2998/AA2998&gt;50),"POSSIBLE_SCALE_ERROR","OK"))</f>
        <v/>
      </c>
    </row>
    <row r="2999">
      <c r="A2999" t="inlineStr">
        <is>
          <t>T-2016-Q2-00002</t>
        </is>
      </c>
      <c r="B2999" t="inlineStr">
        <is>
          <t>SLE</t>
        </is>
      </c>
      <c r="C2999" t="inlineStr">
        <is>
          <t>Vice-President, Newfoundland and Labrador</t>
        </is>
      </c>
      <c r="D2999" t="inlineStr">
        <is>
          <t>Vice-président, Terre-Neuve-et-Labrador</t>
        </is>
      </c>
      <c r="E2999" t="inlineStr">
        <is>
          <t>Paul Mills</t>
        </is>
      </c>
      <c r="F2999" t="inlineStr">
        <is>
          <t>Meetings with clients in Marystown, Newfoundland</t>
        </is>
      </c>
      <c r="G2999" t="inlineStr">
        <is>
          <t>Réunions avec des clients à Marystown (Terre-Neuve-et-Labrador)</t>
        </is>
      </c>
      <c r="H2999" s="1" t="n">
        <v>42157</v>
      </c>
      <c r="I2999" s="1" t="n">
        <v>42161</v>
      </c>
      <c r="J2999" t="inlineStr">
        <is>
          <t>Marystown, Newfoundland and Labrador</t>
        </is>
      </c>
      <c r="K2999" t="inlineStr">
        <is>
          <t>Marystown (Terre-Neuve-et-Labrador)</t>
        </is>
      </c>
      <c r="P2999" t="n">
        <v>0</v>
      </c>
      <c r="Q2999" t="n">
        <v>324</v>
      </c>
      <c r="R2999" t="n">
        <v>134.47</v>
      </c>
      <c r="S2999" t="n">
        <v>110</v>
      </c>
      <c r="T2999" t="n">
        <v>7.5</v>
      </c>
      <c r="U2999" t="n">
        <v>575.97</v>
      </c>
      <c r="X2999" t="inlineStr">
        <is>
          <t>acoa-apeca</t>
        </is>
      </c>
      <c r="Y2999" t="inlineStr">
        <is>
          <t>Atlantic Canada Opportunities Agency | Agence de promotion économique du Canada atlantique</t>
        </is>
      </c>
      <c r="Z2999" t="n">
        <v>5</v>
      </c>
      <c r="AA2999" t="n">
        <v>575.97</v>
      </c>
      <c r="AB2999">
        <f>ROUND(U2999-AA2999,2)</f>
        <v/>
      </c>
      <c r="AC2999" t="b">
        <v>0</v>
      </c>
      <c r="AD2999">
        <f>IF(U2999="","MISSING_TOTAL",IF(ABS(AB2999)&lt;=0.01,"OK","CHECK"))</f>
        <v/>
      </c>
      <c r="AE2999">
        <f>IF(U2999="","MISSING",IF(AND(AA2999&gt;0,U2999/AA2999&gt;50),"POSSIBLE_SCALE_ERROR","OK"))</f>
        <v/>
      </c>
    </row>
    <row r="3000">
      <c r="A3000" t="inlineStr">
        <is>
          <t>T-2016-Q2-00001</t>
        </is>
      </c>
      <c r="B3000" t="inlineStr">
        <is>
          <t>SLE</t>
        </is>
      </c>
      <c r="C3000" t="inlineStr">
        <is>
          <t>Vice-President, Policy and Programs</t>
        </is>
      </c>
      <c r="D3000" t="inlineStr">
        <is>
          <t>Vice-président, Politiques et Programmes</t>
        </is>
      </c>
      <c r="E3000" t="inlineStr">
        <is>
          <t>Daryell Nowlan</t>
        </is>
      </c>
      <c r="F3000" t="inlineStr">
        <is>
          <t>Meetings with Government of Canada officials</t>
        </is>
      </c>
      <c r="G3000" t="inlineStr">
        <is>
          <t>Réunions avec des fonctionnaires du gouvernement du Canada</t>
        </is>
      </c>
      <c r="H3000" s="1" t="n">
        <v>42157</v>
      </c>
      <c r="I3000" s="1" t="n">
        <v>42158</v>
      </c>
      <c r="J3000" t="inlineStr">
        <is>
          <t>Halifax, Nova Scotia</t>
        </is>
      </c>
      <c r="K3000" t="inlineStr">
        <is>
          <t>Halifax (Nouvelle-Écosse)</t>
        </is>
      </c>
      <c r="P3000" t="n">
        <v>0</v>
      </c>
      <c r="Q3000" t="n">
        <v>181.92</v>
      </c>
      <c r="R3000" t="n">
        <v>174.78</v>
      </c>
      <c r="S3000" t="n">
        <v>120.2</v>
      </c>
      <c r="T3000" t="n">
        <v>0</v>
      </c>
      <c r="U3000" t="n">
        <v>476.9</v>
      </c>
      <c r="X3000" t="inlineStr">
        <is>
          <t>acoa-apeca</t>
        </is>
      </c>
      <c r="Y3000" t="inlineStr">
        <is>
          <t>Atlantic Canada Opportunities Agency | Agence de promotion économique du Canada atlantique</t>
        </is>
      </c>
      <c r="Z3000" t="n">
        <v>2</v>
      </c>
      <c r="AA3000" t="n">
        <v>476.9</v>
      </c>
      <c r="AB3000">
        <f>ROUND(U3000-AA3000,2)</f>
        <v/>
      </c>
      <c r="AC3000" t="b">
        <v>0</v>
      </c>
      <c r="AD3000">
        <f>IF(U3000="","MISSING_TOTAL",IF(ABS(AB3000)&lt;=0.01,"OK","CHECK"))</f>
        <v/>
      </c>
      <c r="AE3000">
        <f>IF(U3000="","MISSING",IF(AND(AA3000&gt;0,U3000/AA3000&gt;50),"POSSIBLE_SCALE_ERROR","OK"))</f>
        <v/>
      </c>
    </row>
    <row r="3001">
      <c r="A3001" t="inlineStr">
        <is>
          <t>T-2016-Q1-00069</t>
        </is>
      </c>
      <c r="B3001" t="inlineStr">
        <is>
          <t>MPSES</t>
        </is>
      </c>
      <c r="C3001" t="inlineStr">
        <is>
          <t>Regional Affairs Director - New Brunswick</t>
        </is>
      </c>
      <c r="D3001" t="inlineStr">
        <is>
          <t>Directeur des affaires régionales - Nouveau-Brunswick</t>
        </is>
      </c>
      <c r="E3001" t="inlineStr">
        <is>
          <t>Douglas MacDonald</t>
        </is>
      </c>
      <c r="F3001" t="inlineStr">
        <is>
          <t>Travel for Government business</t>
        </is>
      </c>
      <c r="G3001" t="inlineStr">
        <is>
          <t>Voyage pour affaires officielles</t>
        </is>
      </c>
      <c r="H3001" s="1" t="n">
        <v>42156</v>
      </c>
      <c r="I3001" s="1" t="n">
        <v>42157</v>
      </c>
      <c r="J3001" t="inlineStr">
        <is>
          <t>Ottawa, Ontario</t>
        </is>
      </c>
      <c r="K3001" t="inlineStr">
        <is>
          <t>Ottawa (Ontario)</t>
        </is>
      </c>
      <c r="P3001" t="n">
        <v>0</v>
      </c>
      <c r="Q3001" t="n">
        <v>659.11</v>
      </c>
      <c r="R3001" t="n">
        <v>290.98</v>
      </c>
      <c r="S3001" t="n">
        <v>135.5</v>
      </c>
      <c r="T3001" t="n">
        <v>0</v>
      </c>
      <c r="U3001" t="n">
        <v>1085.59</v>
      </c>
      <c r="X3001" t="inlineStr">
        <is>
          <t>acoa-apeca</t>
        </is>
      </c>
      <c r="Y3001" t="inlineStr">
        <is>
          <t>Atlantic Canada Opportunities Agency | Agence de promotion économique du Canada atlantique</t>
        </is>
      </c>
      <c r="Z3001" t="n">
        <v>2</v>
      </c>
      <c r="AA3001" t="n">
        <v>1085.59</v>
      </c>
      <c r="AB3001">
        <f>ROUND(U3001-AA3001,2)</f>
        <v/>
      </c>
      <c r="AC3001" t="b">
        <v>0</v>
      </c>
      <c r="AD3001">
        <f>IF(U3001="","MISSING_TOTAL",IF(ABS(AB3001)&lt;=0.01,"OK","CHECK"))</f>
        <v/>
      </c>
      <c r="AE3001">
        <f>IF(U3001="","MISSING",IF(AND(AA3001&gt;0,U3001/AA3001&gt;50),"POSSIBLE_SCALE_ERROR","OK"))</f>
        <v/>
      </c>
    </row>
    <row r="3002">
      <c r="A3002" t="inlineStr">
        <is>
          <t>T-2016-Q1-00067</t>
        </is>
      </c>
      <c r="B3002" t="inlineStr">
        <is>
          <t>SLE</t>
        </is>
      </c>
      <c r="C3002" t="inlineStr">
        <is>
          <t>President</t>
        </is>
      </c>
      <c r="D3002" t="inlineStr">
        <is>
          <t>Président</t>
        </is>
      </c>
      <c r="E3002" t="inlineStr">
        <is>
          <t>Paul J. LeBlanc</t>
        </is>
      </c>
      <c r="F3002" t="inlineStr">
        <is>
          <t>For various meetings and discussions with Agency officials and Government of Canada officials</t>
        </is>
      </c>
      <c r="G3002" t="inlineStr">
        <is>
          <t>Diverses réunions et discussions avec des fonctionnaires de l'Agence et du gouvernement du Canada</t>
        </is>
      </c>
      <c r="H3002" s="1" t="n">
        <v>42156</v>
      </c>
      <c r="I3002" s="1" t="n">
        <v>42158</v>
      </c>
      <c r="J3002" t="inlineStr">
        <is>
          <t>Ottawa, Ontario</t>
        </is>
      </c>
      <c r="K3002" t="inlineStr">
        <is>
          <t>Ottawa (Ontario)</t>
        </is>
      </c>
      <c r="P3002" t="n">
        <v>702.48</v>
      </c>
      <c r="Q3002" t="n">
        <v>0</v>
      </c>
      <c r="R3002" t="n">
        <v>393.4</v>
      </c>
      <c r="S3002" t="n">
        <v>170.1</v>
      </c>
      <c r="T3002" t="n">
        <v>0</v>
      </c>
      <c r="U3002" t="n">
        <v>1265.98</v>
      </c>
      <c r="X3002" t="inlineStr">
        <is>
          <t>acoa-apeca</t>
        </is>
      </c>
      <c r="Y3002" t="inlineStr">
        <is>
          <t>Atlantic Canada Opportunities Agency | Agence de promotion économique du Canada atlantique</t>
        </is>
      </c>
      <c r="Z3002" t="n">
        <v>3</v>
      </c>
      <c r="AA3002" t="n">
        <v>1265.98</v>
      </c>
      <c r="AB3002">
        <f>ROUND(U3002-AA3002,2)</f>
        <v/>
      </c>
      <c r="AC3002" t="b">
        <v>0</v>
      </c>
      <c r="AD3002">
        <f>IF(U3002="","MISSING_TOTAL",IF(ABS(AB3002)&lt;=0.01,"OK","CHECK"))</f>
        <v/>
      </c>
      <c r="AE3002">
        <f>IF(U3002="","MISSING",IF(AND(AA3002&gt;0,U3002/AA3002&gt;50),"POSSIBLE_SCALE_ERROR","OK"))</f>
        <v/>
      </c>
    </row>
    <row r="3003">
      <c r="A3003" t="inlineStr">
        <is>
          <t>T-2016-Q1-00066</t>
        </is>
      </c>
      <c r="B3003" t="inlineStr">
        <is>
          <t>SLE</t>
        </is>
      </c>
      <c r="C3003" t="inlineStr">
        <is>
          <t>Vice-President, New Brunswick</t>
        </is>
      </c>
      <c r="D3003" t="inlineStr">
        <is>
          <t>Vice-président, Nouveau-Brunswick</t>
        </is>
      </c>
      <c r="E3003" t="inlineStr">
        <is>
          <t>Kent Estabrooks</t>
        </is>
      </c>
      <c r="F3003" t="inlineStr">
        <is>
          <t>Stakeholders meeting</t>
        </is>
      </c>
      <c r="G3003" t="inlineStr">
        <is>
          <t>Réunion avec des intervenants</t>
        </is>
      </c>
      <c r="H3003" s="1" t="n">
        <v>42155</v>
      </c>
      <c r="I3003" s="1" t="n">
        <v>42158</v>
      </c>
      <c r="J3003" t="inlineStr">
        <is>
          <t>Moncton and St. Andrews, New Brunswick</t>
        </is>
      </c>
      <c r="K3003" t="inlineStr">
        <is>
          <t>Moncton et St. Andrews (Nouveau-Brunswick)</t>
        </is>
      </c>
      <c r="P3003" t="n">
        <v>0</v>
      </c>
      <c r="Q3003" t="n">
        <v>0</v>
      </c>
      <c r="R3003" t="n">
        <v>366.89</v>
      </c>
      <c r="S3003" t="n">
        <v>118.4</v>
      </c>
      <c r="T3003" t="n">
        <v>30.52</v>
      </c>
      <c r="U3003" t="n">
        <v>515.8099999999999</v>
      </c>
      <c r="X3003" t="inlineStr">
        <is>
          <t>acoa-apeca</t>
        </is>
      </c>
      <c r="Y3003" t="inlineStr">
        <is>
          <t>Atlantic Canada Opportunities Agency | Agence de promotion économique du Canada atlantique</t>
        </is>
      </c>
      <c r="Z3003" t="n">
        <v>4</v>
      </c>
      <c r="AA3003" t="n">
        <v>515.8099999999999</v>
      </c>
      <c r="AB3003">
        <f>ROUND(U3003-AA3003,2)</f>
        <v/>
      </c>
      <c r="AC3003" t="b">
        <v>0</v>
      </c>
      <c r="AD3003">
        <f>IF(U3003="","MISSING_TOTAL",IF(ABS(AB3003)&lt;=0.01,"OK","CHECK"))</f>
        <v/>
      </c>
      <c r="AE3003">
        <f>IF(U3003="","MISSING",IF(AND(AA3003&gt;0,U3003/AA3003&gt;50),"POSSIBLE_SCALE_ERROR","OK"))</f>
        <v/>
      </c>
    </row>
    <row r="3004">
      <c r="A3004" t="inlineStr">
        <is>
          <t>T-2016-Q1-00065</t>
        </is>
      </c>
      <c r="B3004" t="inlineStr">
        <is>
          <t>SLE</t>
        </is>
      </c>
      <c r="C3004" t="inlineStr">
        <is>
          <t>Vice-President, Prince Edward Island</t>
        </is>
      </c>
      <c r="D3004" t="inlineStr">
        <is>
          <t>Vice-président, Île-du-Prince-Édouard</t>
        </is>
      </c>
      <c r="E3004" t="inlineStr">
        <is>
          <t>Patrick Dorsey</t>
        </is>
      </c>
      <c r="F3004" t="inlineStr">
        <is>
          <t>Trade and investment mission to Brazil and Chile</t>
        </is>
      </c>
      <c r="G3004" t="inlineStr">
        <is>
          <t>Mission de commerce et d'investissement au Brésil et au Chili</t>
        </is>
      </c>
      <c r="H3004" s="1" t="n">
        <v>42154</v>
      </c>
      <c r="I3004" s="1" t="n">
        <v>42161</v>
      </c>
      <c r="J3004" t="inlineStr">
        <is>
          <t>Santiago, Brazil and Santiago, Chile</t>
        </is>
      </c>
      <c r="K3004" t="inlineStr">
        <is>
          <t>Santiago (Brésil) et Santiago (Chili)</t>
        </is>
      </c>
      <c r="P3004" t="n">
        <v>5962.13</v>
      </c>
      <c r="Q3004" t="n">
        <v>250.2</v>
      </c>
      <c r="R3004" t="n">
        <v>615.21</v>
      </c>
      <c r="S3004" t="n">
        <v>720.16</v>
      </c>
      <c r="T3004" t="n">
        <v>334.76</v>
      </c>
      <c r="U3004" t="n">
        <v>7882.46</v>
      </c>
      <c r="X3004" t="inlineStr">
        <is>
          <t>acoa-apeca</t>
        </is>
      </c>
      <c r="Y3004" t="inlineStr">
        <is>
          <t>Atlantic Canada Opportunities Agency | Agence de promotion économique du Canada atlantique</t>
        </is>
      </c>
      <c r="Z3004" t="n">
        <v>8</v>
      </c>
      <c r="AA3004" t="n">
        <v>7882.46</v>
      </c>
      <c r="AB3004">
        <f>ROUND(U3004-AA3004,2)</f>
        <v/>
      </c>
      <c r="AC3004" t="b">
        <v>0</v>
      </c>
      <c r="AD3004">
        <f>IF(U3004="","MISSING_TOTAL",IF(ABS(AB3004)&lt;=0.01,"OK","CHECK"))</f>
        <v/>
      </c>
      <c r="AE3004">
        <f>IF(U3004="","MISSING",IF(AND(AA3004&gt;0,U3004/AA3004&gt;50),"POSSIBLE_SCALE_ERROR","OK"))</f>
        <v/>
      </c>
    </row>
    <row r="3005">
      <c r="A3005" t="inlineStr">
        <is>
          <t>T-2016-Q1-00064</t>
        </is>
      </c>
      <c r="B3005" t="inlineStr">
        <is>
          <t>SLE</t>
        </is>
      </c>
      <c r="C3005" t="inlineStr">
        <is>
          <t>Vice President, Nova Scotia</t>
        </is>
      </c>
      <c r="D3005" t="inlineStr">
        <is>
          <t>Vice-président, Nouvelle-Écosse</t>
        </is>
      </c>
      <c r="E3005" t="inlineStr">
        <is>
          <t>Peter Hogan</t>
        </is>
      </c>
      <c r="F3005" t="inlineStr">
        <is>
          <t>Various Meetings with Agency Officials</t>
        </is>
      </c>
      <c r="G3005" t="inlineStr">
        <is>
          <t>Diverses réunions avec des fonctionnaires de l'Agence</t>
        </is>
      </c>
      <c r="H3005" s="1" t="n">
        <v>42153</v>
      </c>
      <c r="I3005" s="1" t="n">
        <v>42153</v>
      </c>
      <c r="J3005" t="inlineStr">
        <is>
          <t>Sydney, Nova Scotia</t>
        </is>
      </c>
      <c r="K3005" t="inlineStr">
        <is>
          <t>Sydney (Nouvelle-Écosse)</t>
        </is>
      </c>
      <c r="P3005" t="n">
        <v>0</v>
      </c>
      <c r="Q3005" t="n">
        <v>39.2</v>
      </c>
      <c r="R3005" t="n">
        <v>0</v>
      </c>
      <c r="S3005" t="n">
        <v>16.6</v>
      </c>
      <c r="T3005" t="n">
        <v>0</v>
      </c>
      <c r="U3005" t="n">
        <v>55.8</v>
      </c>
      <c r="X3005" t="inlineStr">
        <is>
          <t>acoa-apeca</t>
        </is>
      </c>
      <c r="Y3005" t="inlineStr">
        <is>
          <t>Atlantic Canada Opportunities Agency | Agence de promotion économique du Canada atlantique</t>
        </is>
      </c>
      <c r="Z3005" t="n">
        <v>1</v>
      </c>
      <c r="AA3005" t="n">
        <v>55.8</v>
      </c>
      <c r="AB3005">
        <f>ROUND(U3005-AA3005,2)</f>
        <v/>
      </c>
      <c r="AC3005" t="b">
        <v>0</v>
      </c>
      <c r="AD3005">
        <f>IF(U3005="","MISSING_TOTAL",IF(ABS(AB3005)&lt;=0.01,"OK","CHECK"))</f>
        <v/>
      </c>
      <c r="AE3005">
        <f>IF(U3005="","MISSING",IF(AND(AA3005&gt;0,U3005/AA3005&gt;50),"POSSIBLE_SCALE_ERROR","OK"))</f>
        <v/>
      </c>
    </row>
    <row r="3006">
      <c r="A3006" t="inlineStr">
        <is>
          <t>T-2016-Q1-00063</t>
        </is>
      </c>
      <c r="B3006" t="inlineStr">
        <is>
          <t>SLE</t>
        </is>
      </c>
      <c r="C3006" t="inlineStr">
        <is>
          <t>Vice-President, New Brunswick</t>
        </is>
      </c>
      <c r="D3006" t="inlineStr">
        <is>
          <t>Vice-président, Nouveau-Brunswick</t>
        </is>
      </c>
      <c r="E3006" t="inlineStr">
        <is>
          <t>Kent Estabrooks</t>
        </is>
      </c>
      <c r="F3006" t="inlineStr">
        <is>
          <t>Meeting with Agency Officials</t>
        </is>
      </c>
      <c r="G3006" t="inlineStr">
        <is>
          <t>Réunion avec des fonctionnaires de l'Agence</t>
        </is>
      </c>
      <c r="H3006" s="1" t="n">
        <v>42151</v>
      </c>
      <c r="I3006" s="1" t="n">
        <v>42153</v>
      </c>
      <c r="J3006" t="inlineStr">
        <is>
          <t>Moncton, New Brunswick</t>
        </is>
      </c>
      <c r="K3006" t="inlineStr">
        <is>
          <t>Moncton (Nouveau-Brunswick)</t>
        </is>
      </c>
      <c r="P3006" t="n">
        <v>0</v>
      </c>
      <c r="Q3006" t="n">
        <v>23</v>
      </c>
      <c r="R3006" t="n">
        <v>123.17</v>
      </c>
      <c r="S3006" t="n">
        <v>76</v>
      </c>
      <c r="T3006" t="n">
        <v>12</v>
      </c>
      <c r="U3006" t="n">
        <v>234.17</v>
      </c>
      <c r="X3006" t="inlineStr">
        <is>
          <t>acoa-apeca</t>
        </is>
      </c>
      <c r="Y3006" t="inlineStr">
        <is>
          <t>Atlantic Canada Opportunities Agency | Agence de promotion économique du Canada atlantique</t>
        </is>
      </c>
      <c r="Z3006" t="n">
        <v>3</v>
      </c>
      <c r="AA3006" t="n">
        <v>234.17</v>
      </c>
      <c r="AB3006">
        <f>ROUND(U3006-AA3006,2)</f>
        <v/>
      </c>
      <c r="AC3006" t="b">
        <v>0</v>
      </c>
      <c r="AD3006">
        <f>IF(U3006="","MISSING_TOTAL",IF(ABS(AB3006)&lt;=0.01,"OK","CHECK"))</f>
        <v/>
      </c>
      <c r="AE3006">
        <f>IF(U3006="","MISSING",IF(AND(AA3006&gt;0,U3006/AA3006&gt;50),"POSSIBLE_SCALE_ERROR","OK"))</f>
        <v/>
      </c>
    </row>
    <row r="3007">
      <c r="A3007" t="inlineStr">
        <is>
          <t>T-2016-Q1-00061</t>
        </is>
      </c>
      <c r="B3007" t="inlineStr">
        <is>
          <t>SLE</t>
        </is>
      </c>
      <c r="C3007" t="inlineStr">
        <is>
          <t>President</t>
        </is>
      </c>
      <c r="D3007" t="inlineStr">
        <is>
          <t>Président</t>
        </is>
      </c>
      <c r="E3007" t="inlineStr">
        <is>
          <t>Paul J. LeBlanc</t>
        </is>
      </c>
      <c r="F3007" t="inlineStr">
        <is>
          <t>For various meetings and discussions with Agency officials and Government of Canada officials</t>
        </is>
      </c>
      <c r="G3007" t="inlineStr">
        <is>
          <t>Diverses réunions et discussions avec des fonctionnaires de l'Agence et du gouvernement du Canada</t>
        </is>
      </c>
      <c r="H3007" s="1" t="n">
        <v>42150</v>
      </c>
      <c r="I3007" s="1" t="n">
        <v>42151</v>
      </c>
      <c r="J3007" t="inlineStr">
        <is>
          <t>Ottawa, Ontario</t>
        </is>
      </c>
      <c r="K3007" t="inlineStr">
        <is>
          <t>Ottawa (Ontario)</t>
        </is>
      </c>
      <c r="P3007" t="n">
        <v>1170.57</v>
      </c>
      <c r="Q3007" t="n">
        <v>0</v>
      </c>
      <c r="R3007" t="n">
        <v>196.7</v>
      </c>
      <c r="S3007" t="n">
        <v>110.6</v>
      </c>
      <c r="T3007" t="n">
        <v>0</v>
      </c>
      <c r="U3007" t="n">
        <v>1477.87</v>
      </c>
      <c r="X3007" t="inlineStr">
        <is>
          <t>acoa-apeca</t>
        </is>
      </c>
      <c r="Y3007" t="inlineStr">
        <is>
          <t>Atlantic Canada Opportunities Agency | Agence de promotion économique du Canada atlantique</t>
        </is>
      </c>
      <c r="Z3007" t="n">
        <v>2</v>
      </c>
      <c r="AA3007" t="n">
        <v>1477.87</v>
      </c>
      <c r="AB3007">
        <f>ROUND(U3007-AA3007,2)</f>
        <v/>
      </c>
      <c r="AC3007" t="b">
        <v>0</v>
      </c>
      <c r="AD3007">
        <f>IF(U3007="","MISSING_TOTAL",IF(ABS(AB3007)&lt;=0.01,"OK","CHECK"))</f>
        <v/>
      </c>
      <c r="AE3007">
        <f>IF(U3007="","MISSING",IF(AND(AA3007&gt;0,U3007/AA3007&gt;50),"POSSIBLE_SCALE_ERROR","OK"))</f>
        <v/>
      </c>
    </row>
    <row r="3008">
      <c r="A3008" t="inlineStr">
        <is>
          <t>T-2016-Q1-00060</t>
        </is>
      </c>
      <c r="B3008" t="inlineStr">
        <is>
          <t>SLE</t>
        </is>
      </c>
      <c r="C3008" t="inlineStr">
        <is>
          <t>Vice-President, Newfoundland and Labrador</t>
        </is>
      </c>
      <c r="D3008" t="inlineStr">
        <is>
          <t>Vice-président, Terre-Neuve-et-Labrador</t>
        </is>
      </c>
      <c r="E3008" t="inlineStr">
        <is>
          <t>Paul Mills</t>
        </is>
      </c>
      <c r="F3008" t="inlineStr">
        <is>
          <t>Travel to Ottawa for meetings with senior officials and I-CAN Workshop</t>
        </is>
      </c>
      <c r="G3008" t="inlineStr">
        <is>
          <t>Voyage à Ottawa pour assister à des réunions avec des hauts fonctionnaires et à un atelier d'I-CAN</t>
        </is>
      </c>
      <c r="H3008" s="1" t="n">
        <v>42149</v>
      </c>
      <c r="I3008" s="1" t="n">
        <v>42152</v>
      </c>
      <c r="J3008" t="inlineStr">
        <is>
          <t>Ottawa, Ontario</t>
        </is>
      </c>
      <c r="K3008" t="inlineStr">
        <is>
          <t>Ottawa (Ontario)</t>
        </is>
      </c>
      <c r="P3008" t="n">
        <v>1426.06</v>
      </c>
      <c r="Q3008" t="n">
        <v>186</v>
      </c>
      <c r="R3008" t="n">
        <v>534.63</v>
      </c>
      <c r="S3008" t="n">
        <v>278.8</v>
      </c>
      <c r="T3008" t="n">
        <v>15</v>
      </c>
      <c r="U3008" t="n">
        <v>2440.49</v>
      </c>
      <c r="X3008" t="inlineStr">
        <is>
          <t>acoa-apeca</t>
        </is>
      </c>
      <c r="Y3008" t="inlineStr">
        <is>
          <t>Atlantic Canada Opportunities Agency | Agence de promotion économique du Canada atlantique</t>
        </is>
      </c>
      <c r="Z3008" t="n">
        <v>4</v>
      </c>
      <c r="AA3008" t="n">
        <v>2440.49</v>
      </c>
      <c r="AB3008">
        <f>ROUND(U3008-AA3008,2)</f>
        <v/>
      </c>
      <c r="AC3008" t="b">
        <v>0</v>
      </c>
      <c r="AD3008">
        <f>IF(U3008="","MISSING_TOTAL",IF(ABS(AB3008)&lt;=0.01,"OK","CHECK"))</f>
        <v/>
      </c>
      <c r="AE3008">
        <f>IF(U3008="","MISSING",IF(AND(AA3008&gt;0,U3008/AA3008&gt;50),"POSSIBLE_SCALE_ERROR","OK"))</f>
        <v/>
      </c>
    </row>
    <row r="3009">
      <c r="A3009" t="inlineStr">
        <is>
          <t>T-2016-Q1-00059</t>
        </is>
      </c>
      <c r="B3009" t="inlineStr">
        <is>
          <t>SLE</t>
        </is>
      </c>
      <c r="C3009" t="inlineStr">
        <is>
          <t>Vice-President, Policy and Programs</t>
        </is>
      </c>
      <c r="D3009" t="inlineStr">
        <is>
          <t>Vice-président, Politiques et Programmes</t>
        </is>
      </c>
      <c r="E3009" t="inlineStr">
        <is>
          <t>Daryell Nowlan</t>
        </is>
      </c>
      <c r="F3009" t="inlineStr">
        <is>
          <t>Meetings with Government of Canada officials</t>
        </is>
      </c>
      <c r="G3009" t="inlineStr">
        <is>
          <t>Réunions avec des fonctionnaires du gouvernement du Canada</t>
        </is>
      </c>
      <c r="H3009" s="1" t="n">
        <v>42149</v>
      </c>
      <c r="I3009" s="1" t="n">
        <v>42151</v>
      </c>
      <c r="J3009" t="inlineStr">
        <is>
          <t>Ottawa, Ontario</t>
        </is>
      </c>
      <c r="K3009" t="inlineStr">
        <is>
          <t>Ottawa (Ontario)</t>
        </is>
      </c>
      <c r="P3009" t="n">
        <v>647.52</v>
      </c>
      <c r="Q3009" t="n">
        <v>89</v>
      </c>
      <c r="R3009" t="n">
        <v>393.4</v>
      </c>
      <c r="S3009" t="n">
        <v>154.1</v>
      </c>
      <c r="T3009" t="n">
        <v>0</v>
      </c>
      <c r="U3009" t="n">
        <v>1284.02</v>
      </c>
      <c r="X3009" t="inlineStr">
        <is>
          <t>acoa-apeca</t>
        </is>
      </c>
      <c r="Y3009" t="inlineStr">
        <is>
          <t>Atlantic Canada Opportunities Agency | Agence de promotion économique du Canada atlantique</t>
        </is>
      </c>
      <c r="Z3009" t="n">
        <v>3</v>
      </c>
      <c r="AA3009" t="n">
        <v>1284.02</v>
      </c>
      <c r="AB3009">
        <f>ROUND(U3009-AA3009,2)</f>
        <v/>
      </c>
      <c r="AC3009" t="b">
        <v>0</v>
      </c>
      <c r="AD3009">
        <f>IF(U3009="","MISSING_TOTAL",IF(ABS(AB3009)&lt;=0.01,"OK","CHECK"))</f>
        <v/>
      </c>
      <c r="AE3009">
        <f>IF(U3009="","MISSING",IF(AND(AA3009&gt;0,U3009/AA3009&gt;50),"POSSIBLE_SCALE_ERROR","OK"))</f>
        <v/>
      </c>
    </row>
    <row r="3010">
      <c r="A3010" t="inlineStr">
        <is>
          <t>T-2016-Q1-00058</t>
        </is>
      </c>
      <c r="B3010" t="inlineStr">
        <is>
          <t>SLE</t>
        </is>
      </c>
      <c r="C3010" t="inlineStr">
        <is>
          <t>Vice-President, New Brunswick</t>
        </is>
      </c>
      <c r="D3010" t="inlineStr">
        <is>
          <t>Vice-président, Nouveau-Brunswick</t>
        </is>
      </c>
      <c r="E3010" t="inlineStr">
        <is>
          <t>Kent Estabrooks</t>
        </is>
      </c>
      <c r="F3010" t="inlineStr">
        <is>
          <t>Meetings with Federal Officials and Stakeholders</t>
        </is>
      </c>
      <c r="G3010" t="inlineStr">
        <is>
          <t>Réunions avec des fonctionnaires fédéraux et des intervenants</t>
        </is>
      </c>
      <c r="H3010" s="1" t="n">
        <v>42148</v>
      </c>
      <c r="I3010" s="1" t="n">
        <v>42151</v>
      </c>
      <c r="J3010" t="inlineStr">
        <is>
          <t>Ottawa, Ontario</t>
        </is>
      </c>
      <c r="K3010" t="inlineStr">
        <is>
          <t>Ottawa (Ontario)</t>
        </is>
      </c>
      <c r="P3010" t="n">
        <v>892.7</v>
      </c>
      <c r="Q3010" t="n">
        <v>108.5</v>
      </c>
      <c r="R3010" t="n">
        <v>590.1</v>
      </c>
      <c r="S3010" t="n">
        <v>257</v>
      </c>
      <c r="T3010" t="n">
        <v>0</v>
      </c>
      <c r="U3010" t="n">
        <v>1848.3</v>
      </c>
      <c r="X3010" t="inlineStr">
        <is>
          <t>acoa-apeca</t>
        </is>
      </c>
      <c r="Y3010" t="inlineStr">
        <is>
          <t>Atlantic Canada Opportunities Agency | Agence de promotion économique du Canada atlantique</t>
        </is>
      </c>
      <c r="Z3010" t="n">
        <v>4</v>
      </c>
      <c r="AA3010" t="n">
        <v>1848.3</v>
      </c>
      <c r="AB3010">
        <f>ROUND(U3010-AA3010,2)</f>
        <v/>
      </c>
      <c r="AC3010" t="b">
        <v>0</v>
      </c>
      <c r="AD3010">
        <f>IF(U3010="","MISSING_TOTAL",IF(ABS(AB3010)&lt;=0.01,"OK","CHECK"))</f>
        <v/>
      </c>
      <c r="AE3010">
        <f>IF(U3010="","MISSING",IF(AND(AA3010&gt;0,U3010/AA3010&gt;50),"POSSIBLE_SCALE_ERROR","OK"))</f>
        <v/>
      </c>
    </row>
    <row r="3011">
      <c r="A3011" t="inlineStr">
        <is>
          <t>T-2015-Q2-00056</t>
        </is>
      </c>
      <c r="B3011" t="inlineStr">
        <is>
          <t>SLE</t>
        </is>
      </c>
      <c r="C3011" t="inlineStr">
        <is>
          <t>Vice President, Nova Scotia</t>
        </is>
      </c>
      <c r="D3011" t="inlineStr">
        <is>
          <t>Vice-président, Nouvelle-Écosse</t>
        </is>
      </c>
      <c r="E3011" t="inlineStr">
        <is>
          <t>Peter Hogan</t>
        </is>
      </c>
      <c r="F3011" t="inlineStr">
        <is>
          <t>Various Agency events</t>
        </is>
      </c>
      <c r="G3011" t="inlineStr">
        <is>
          <t>Diverses activités de l'Agence</t>
        </is>
      </c>
      <c r="H3011" s="1" t="n">
        <v>41878</v>
      </c>
      <c r="I3011" s="1" t="n">
        <v>41878</v>
      </c>
      <c r="J3011" t="inlineStr">
        <is>
          <t>Wolfville, Nova Scotia</t>
        </is>
      </c>
      <c r="K3011" t="inlineStr">
        <is>
          <t>Wolfville (Nouvelle-Écosse)</t>
        </is>
      </c>
      <c r="P3011" t="n">
        <v>0</v>
      </c>
      <c r="Q3011" t="n">
        <v>0</v>
      </c>
      <c r="R3011" t="n">
        <v>0</v>
      </c>
      <c r="S3011" t="n">
        <v>15.25</v>
      </c>
      <c r="T3011" t="n">
        <v>0</v>
      </c>
      <c r="U3011" t="n">
        <v>15.25</v>
      </c>
      <c r="X3011" t="inlineStr">
        <is>
          <t>acoa-apeca</t>
        </is>
      </c>
      <c r="Y3011" t="inlineStr">
        <is>
          <t>Atlantic Canada Opportunities Agency | Agence de promotion économique du Canada atlantique</t>
        </is>
      </c>
      <c r="Z3011" t="n">
        <v>1</v>
      </c>
      <c r="AA3011" t="n">
        <v>15.25</v>
      </c>
      <c r="AB3011">
        <f>ROUND(U3011-AA3011,2)</f>
        <v/>
      </c>
      <c r="AC3011" t="b">
        <v>0</v>
      </c>
      <c r="AD3011">
        <f>IF(U3011="","MISSING_TOTAL",IF(ABS(AB3011)&lt;=0.01,"OK","CHECK"))</f>
        <v/>
      </c>
      <c r="AE3011">
        <f>IF(U3011="","MISSING",IF(AND(AA3011&gt;0,U3011/AA3011&gt;50),"POSSIBLE_SCALE_ERROR","OK"))</f>
        <v/>
      </c>
    </row>
    <row r="3012">
      <c r="A3012" t="inlineStr">
        <is>
          <t>T-2016-Q1-00057</t>
        </is>
      </c>
      <c r="B3012" t="inlineStr">
        <is>
          <t>SLE</t>
        </is>
      </c>
      <c r="C3012" t="inlineStr">
        <is>
          <t>Vice-President, Prince Edward Island</t>
        </is>
      </c>
      <c r="D3012" t="inlineStr">
        <is>
          <t>Vice-président, Île-du-Prince-Édouard</t>
        </is>
      </c>
      <c r="E3012" t="inlineStr">
        <is>
          <t>Patrick Dorsey</t>
        </is>
      </c>
      <c r="F3012" t="inlineStr">
        <is>
          <t>Meetings with St. Peters Development Corporation</t>
        </is>
      </c>
      <c r="G3012" t="inlineStr">
        <is>
          <t>Réunions avec la société de développement de St. Peters</t>
        </is>
      </c>
      <c r="H3012" s="1" t="n">
        <v>42144</v>
      </c>
      <c r="I3012" s="1" t="n">
        <v>42144</v>
      </c>
      <c r="J3012" t="inlineStr">
        <is>
          <t>St. Peters Bay, Prince Edward Island</t>
        </is>
      </c>
      <c r="K3012" t="inlineStr">
        <is>
          <t>St. Peters Bay (Île-du-Prince-Édouard)</t>
        </is>
      </c>
      <c r="P3012" t="n">
        <v>0</v>
      </c>
      <c r="Q3012" t="n">
        <v>51.7</v>
      </c>
      <c r="R3012" t="n">
        <v>0</v>
      </c>
      <c r="S3012" t="n">
        <v>0</v>
      </c>
      <c r="T3012" t="n">
        <v>0</v>
      </c>
      <c r="U3012" t="n">
        <v>51.7</v>
      </c>
      <c r="X3012" t="inlineStr">
        <is>
          <t>acoa-apeca</t>
        </is>
      </c>
      <c r="Y3012" t="inlineStr">
        <is>
          <t>Atlantic Canada Opportunities Agency | Agence de promotion économique du Canada atlantique</t>
        </is>
      </c>
      <c r="Z3012" t="n">
        <v>1</v>
      </c>
      <c r="AA3012" t="n">
        <v>51.7</v>
      </c>
      <c r="AB3012">
        <f>ROUND(U3012-AA3012,2)</f>
        <v/>
      </c>
      <c r="AC3012" t="b">
        <v>0</v>
      </c>
      <c r="AD3012">
        <f>IF(U3012="","MISSING_TOTAL",IF(ABS(AB3012)&lt;=0.01,"OK","CHECK"))</f>
        <v/>
      </c>
      <c r="AE3012">
        <f>IF(U3012="","MISSING",IF(AND(AA3012&gt;0,U3012/AA3012&gt;50),"POSSIBLE_SCALE_ERROR","OK"))</f>
        <v/>
      </c>
    </row>
    <row r="3013">
      <c r="A3013" t="inlineStr">
        <is>
          <t>T-2016-Q1-00056</t>
        </is>
      </c>
      <c r="B3013" t="inlineStr">
        <is>
          <t>SLE</t>
        </is>
      </c>
      <c r="C3013" t="inlineStr">
        <is>
          <t>Vice-President, Finance and Corporate Services</t>
        </is>
      </c>
      <c r="D3013" t="inlineStr">
        <is>
          <t>Vice-présidente, Finances et Services corporatifs</t>
        </is>
      </c>
      <c r="E3013" t="inlineStr">
        <is>
          <t>Denise Frenette</t>
        </is>
      </c>
      <c r="F3013" t="inlineStr">
        <is>
          <t>For meeting with various Government of Canada officials</t>
        </is>
      </c>
      <c r="G3013" t="inlineStr">
        <is>
          <t>Réunion avec divers fonctionnaires du gouvernement du Canada</t>
        </is>
      </c>
      <c r="H3013" s="1" t="n">
        <v>42144</v>
      </c>
      <c r="I3013" s="1" t="n">
        <v>42145</v>
      </c>
      <c r="J3013" t="inlineStr">
        <is>
          <t>Ottawa, Ontario</t>
        </is>
      </c>
      <c r="K3013" t="inlineStr">
        <is>
          <t>Ottawa (Ontario)</t>
        </is>
      </c>
      <c r="P3013" t="n">
        <v>658.39</v>
      </c>
      <c r="Q3013" t="n">
        <v>101.43</v>
      </c>
      <c r="R3013" t="n">
        <v>179.24</v>
      </c>
      <c r="S3013" t="n">
        <v>155.41</v>
      </c>
      <c r="T3013" t="n">
        <v>0</v>
      </c>
      <c r="U3013" t="n">
        <v>1094.47</v>
      </c>
      <c r="X3013" t="inlineStr">
        <is>
          <t>acoa-apeca</t>
        </is>
      </c>
      <c r="Y3013" t="inlineStr">
        <is>
          <t>Atlantic Canada Opportunities Agency | Agence de promotion économique du Canada atlantique</t>
        </is>
      </c>
      <c r="Z3013" t="n">
        <v>2</v>
      </c>
      <c r="AA3013" t="n">
        <v>1094.47</v>
      </c>
      <c r="AB3013">
        <f>ROUND(U3013-AA3013,2)</f>
        <v/>
      </c>
      <c r="AC3013" t="b">
        <v>0</v>
      </c>
      <c r="AD3013">
        <f>IF(U3013="","MISSING_TOTAL",IF(ABS(AB3013)&lt;=0.01,"OK","CHECK"))</f>
        <v/>
      </c>
      <c r="AE3013">
        <f>IF(U3013="","MISSING",IF(AND(AA3013&gt;0,U3013/AA3013&gt;50),"POSSIBLE_SCALE_ERROR","OK"))</f>
        <v/>
      </c>
    </row>
    <row r="3014">
      <c r="A3014" t="inlineStr">
        <is>
          <t>T-2016-Q1-00055</t>
        </is>
      </c>
      <c r="B3014" t="inlineStr">
        <is>
          <t>SLE</t>
        </is>
      </c>
      <c r="C3014" t="inlineStr">
        <is>
          <t>Vice-President, New Brunswick</t>
        </is>
      </c>
      <c r="D3014" t="inlineStr">
        <is>
          <t>Vice-président, Nouveau-Brunswick</t>
        </is>
      </c>
      <c r="E3014" t="inlineStr">
        <is>
          <t>Kent Estabrooks</t>
        </is>
      </c>
      <c r="F3014" t="inlineStr">
        <is>
          <t>Stakeholders and Agency Officials Meetings</t>
        </is>
      </c>
      <c r="G3014" t="inlineStr">
        <is>
          <t>Réunions avec des intervenants et des fonctionnaires de l'Agence</t>
        </is>
      </c>
      <c r="H3014" s="1" t="n">
        <v>42143</v>
      </c>
      <c r="I3014" s="1" t="n">
        <v>42145</v>
      </c>
      <c r="J3014" t="inlineStr">
        <is>
          <t>Campbellton, New Brunswick</t>
        </is>
      </c>
      <c r="K3014" t="inlineStr">
        <is>
          <t>Campbellton (Nouveau-Brunswick)</t>
        </is>
      </c>
      <c r="P3014" t="n">
        <v>0</v>
      </c>
      <c r="Q3014" t="n">
        <v>0</v>
      </c>
      <c r="R3014" t="n">
        <v>239.9</v>
      </c>
      <c r="S3014" t="n">
        <v>170.7</v>
      </c>
      <c r="T3014" t="n">
        <v>0</v>
      </c>
      <c r="U3014" t="n">
        <v>410.6</v>
      </c>
      <c r="X3014" t="inlineStr">
        <is>
          <t>acoa-apeca</t>
        </is>
      </c>
      <c r="Y3014" t="inlineStr">
        <is>
          <t>Atlantic Canada Opportunities Agency | Agence de promotion économique du Canada atlantique</t>
        </is>
      </c>
      <c r="Z3014" t="n">
        <v>3</v>
      </c>
      <c r="AA3014" t="n">
        <v>410.6</v>
      </c>
      <c r="AB3014">
        <f>ROUND(U3014-AA3014,2)</f>
        <v/>
      </c>
      <c r="AC3014" t="b">
        <v>0</v>
      </c>
      <c r="AD3014">
        <f>IF(U3014="","MISSING_TOTAL",IF(ABS(AB3014)&lt;=0.01,"OK","CHECK"))</f>
        <v/>
      </c>
      <c r="AE3014">
        <f>IF(U3014="","MISSING",IF(AND(AA3014&gt;0,U3014/AA3014&gt;50),"POSSIBLE_SCALE_ERROR","OK"))</f>
        <v/>
      </c>
    </row>
    <row r="3015">
      <c r="A3015" t="inlineStr">
        <is>
          <t>T-2016-Q1-00054</t>
        </is>
      </c>
      <c r="B3015" t="inlineStr">
        <is>
          <t>MPSES</t>
        </is>
      </c>
      <c r="C3015" t="inlineStr">
        <is>
          <t>Minister of State</t>
        </is>
      </c>
      <c r="D3015" t="inlineStr">
        <is>
          <t>Ministre d'État</t>
        </is>
      </c>
      <c r="E3015" t="inlineStr">
        <is>
          <t>Rob Moore</t>
        </is>
      </c>
      <c r="F3015" t="inlineStr">
        <is>
          <t>Travel to attend Government of Canada announcement</t>
        </is>
      </c>
      <c r="G3015" t="inlineStr">
        <is>
          <t>Voyage pour assister à une annonce du gouvernement du Canada</t>
        </is>
      </c>
      <c r="H3015" s="1" t="n">
        <v>42143</v>
      </c>
      <c r="I3015" s="1" t="n">
        <v>42143</v>
      </c>
      <c r="J3015" t="inlineStr">
        <is>
          <t>Grand Falls, New Brunswick</t>
        </is>
      </c>
      <c r="K3015" t="inlineStr">
        <is>
          <t>Grand-Sault (Nouveau-Brunswick)</t>
        </is>
      </c>
      <c r="P3015" t="n">
        <v>0</v>
      </c>
      <c r="Q3015" t="n">
        <v>316.78</v>
      </c>
      <c r="R3015" t="n">
        <v>0</v>
      </c>
      <c r="S3015" t="n">
        <v>16.6</v>
      </c>
      <c r="T3015" t="n">
        <v>0</v>
      </c>
      <c r="U3015" t="n">
        <v>333.38</v>
      </c>
      <c r="X3015" t="inlineStr">
        <is>
          <t>acoa-apeca</t>
        </is>
      </c>
      <c r="Y3015" t="inlineStr">
        <is>
          <t>Atlantic Canada Opportunities Agency | Agence de promotion économique du Canada atlantique</t>
        </is>
      </c>
      <c r="Z3015" t="n">
        <v>1</v>
      </c>
      <c r="AA3015" t="n">
        <v>333.38</v>
      </c>
      <c r="AB3015">
        <f>ROUND(U3015-AA3015,2)</f>
        <v/>
      </c>
      <c r="AC3015" t="b">
        <v>0</v>
      </c>
      <c r="AD3015">
        <f>IF(U3015="","MISSING_TOTAL",IF(ABS(AB3015)&lt;=0.01,"OK","CHECK"))</f>
        <v/>
      </c>
      <c r="AE3015">
        <f>IF(U3015="","MISSING",IF(AND(AA3015&gt;0,U3015/AA3015&gt;50),"POSSIBLE_SCALE_ERROR","OK"))</f>
        <v/>
      </c>
    </row>
    <row r="3016">
      <c r="A3016" t="inlineStr">
        <is>
          <t>T-2016-Q1-00053</t>
        </is>
      </c>
      <c r="B3016" t="inlineStr">
        <is>
          <t>MPSES</t>
        </is>
      </c>
      <c r="C3016" t="inlineStr">
        <is>
          <t>Minister of State</t>
        </is>
      </c>
      <c r="D3016" t="inlineStr">
        <is>
          <t>Ministre d'État</t>
        </is>
      </c>
      <c r="E3016" t="inlineStr">
        <is>
          <t>Rob Moore</t>
        </is>
      </c>
      <c r="F3016" t="inlineStr">
        <is>
          <t>Travel to attend Government of Canada announcements and meetings</t>
        </is>
      </c>
      <c r="G3016" t="inlineStr">
        <is>
          <t>Voyage pour assister à des annonces du gouvernement du Canada et à des réunions</t>
        </is>
      </c>
      <c r="H3016" s="1" t="n">
        <v>42143</v>
      </c>
      <c r="I3016" s="1" t="n">
        <v>42144</v>
      </c>
      <c r="J3016" t="inlineStr">
        <is>
          <t>St. John's, Newfoundland and Labrador</t>
        </is>
      </c>
      <c r="K3016" t="inlineStr">
        <is>
          <t>St. John's (Terre-Neuve-et-Labrador)</t>
        </is>
      </c>
      <c r="P3016" t="n">
        <v>1597.08</v>
      </c>
      <c r="Q3016" t="n">
        <v>19.74</v>
      </c>
      <c r="R3016" t="n">
        <v>211.77</v>
      </c>
      <c r="S3016" t="n">
        <v>76.09999999999999</v>
      </c>
      <c r="T3016" t="n">
        <v>0</v>
      </c>
      <c r="U3016" t="n">
        <v>1904.69</v>
      </c>
      <c r="X3016" t="inlineStr">
        <is>
          <t>acoa-apeca</t>
        </is>
      </c>
      <c r="Y3016" t="inlineStr">
        <is>
          <t>Atlantic Canada Opportunities Agency | Agence de promotion économique du Canada atlantique</t>
        </is>
      </c>
      <c r="Z3016" t="n">
        <v>2</v>
      </c>
      <c r="AA3016" t="n">
        <v>1904.68999999999</v>
      </c>
      <c r="AB3016">
        <f>ROUND(U3016-AA3016,2)</f>
        <v/>
      </c>
      <c r="AC3016" t="b">
        <v>0</v>
      </c>
      <c r="AD3016">
        <f>IF(U3016="","MISSING_TOTAL",IF(ABS(AB3016)&lt;=0.01,"OK","CHECK"))</f>
        <v/>
      </c>
      <c r="AE3016">
        <f>IF(U3016="","MISSING",IF(AND(AA3016&gt;0,U3016/AA3016&gt;50),"POSSIBLE_SCALE_ERROR","OK"))</f>
        <v/>
      </c>
    </row>
    <row r="3017">
      <c r="A3017" t="inlineStr">
        <is>
          <t>T-2016-Q1-00052</t>
        </is>
      </c>
      <c r="B3017" t="inlineStr">
        <is>
          <t>MPSES</t>
        </is>
      </c>
      <c r="C3017" t="inlineStr">
        <is>
          <t>Executive Assistant</t>
        </is>
      </c>
      <c r="D3017" t="inlineStr">
        <is>
          <t>Adjoint exécutif</t>
        </is>
      </c>
      <c r="E3017" t="inlineStr">
        <is>
          <t>Josh Hardy</t>
        </is>
      </c>
      <c r="F3017" t="inlineStr">
        <is>
          <t>Travel for Government Business</t>
        </is>
      </c>
      <c r="G3017" t="inlineStr">
        <is>
          <t>Voyage pour le compte du gouvernement</t>
        </is>
      </c>
      <c r="H3017" s="1" t="n">
        <v>42142</v>
      </c>
      <c r="I3017" s="1" t="n">
        <v>42147</v>
      </c>
      <c r="J3017" t="inlineStr">
        <is>
          <t>Moncton and Saint John, New Brunswick; St. John's, Newfoundland and Labrador</t>
        </is>
      </c>
      <c r="K3017" t="inlineStr">
        <is>
          <t>Moncton et Saint John (Nouveau-Brunswick); St. John's (Terre-Neuve-et-Labrador)</t>
        </is>
      </c>
      <c r="P3017" t="n">
        <v>2218.13</v>
      </c>
      <c r="Q3017" t="n">
        <v>682.09</v>
      </c>
      <c r="R3017" t="n">
        <v>211.77</v>
      </c>
      <c r="S3017" t="n">
        <v>413.6</v>
      </c>
      <c r="T3017" t="n">
        <v>0</v>
      </c>
      <c r="U3017" t="n">
        <v>3525.59</v>
      </c>
      <c r="X3017" t="inlineStr">
        <is>
          <t>acoa-apeca</t>
        </is>
      </c>
      <c r="Y3017" t="inlineStr">
        <is>
          <t>Atlantic Canada Opportunities Agency | Agence de promotion économique du Canada atlantique</t>
        </is>
      </c>
      <c r="Z3017" t="n">
        <v>6</v>
      </c>
      <c r="AA3017" t="n">
        <v>3525.59</v>
      </c>
      <c r="AB3017">
        <f>ROUND(U3017-AA3017,2)</f>
        <v/>
      </c>
      <c r="AC3017" t="b">
        <v>0</v>
      </c>
      <c r="AD3017">
        <f>IF(U3017="","MISSING_TOTAL",IF(ABS(AB3017)&lt;=0.01,"OK","CHECK"))</f>
        <v/>
      </c>
      <c r="AE3017">
        <f>IF(U3017="","MISSING",IF(AND(AA3017&gt;0,U3017/AA3017&gt;50),"POSSIBLE_SCALE_ERROR","OK"))</f>
        <v/>
      </c>
    </row>
    <row r="3018">
      <c r="A3018" t="inlineStr">
        <is>
          <t>T-2016-Q1-00051</t>
        </is>
      </c>
      <c r="B3018" t="inlineStr">
        <is>
          <t>MPSES</t>
        </is>
      </c>
      <c r="C3018" t="inlineStr">
        <is>
          <t>Minister of State</t>
        </is>
      </c>
      <c r="D3018" t="inlineStr">
        <is>
          <t>Ministre d'État</t>
        </is>
      </c>
      <c r="E3018" t="inlineStr">
        <is>
          <t>Rob Moore</t>
        </is>
      </c>
      <c r="F3018" t="inlineStr">
        <is>
          <t>Travel to attend Government of Canada announcement</t>
        </is>
      </c>
      <c r="G3018" t="inlineStr">
        <is>
          <t>Voyage pour assister à une annonce du gouvernement du Canada</t>
        </is>
      </c>
      <c r="H3018" s="1" t="n">
        <v>42139</v>
      </c>
      <c r="I3018" s="1" t="n">
        <v>42139</v>
      </c>
      <c r="J3018" t="inlineStr">
        <is>
          <t>Truro, Nova Scotia</t>
        </is>
      </c>
      <c r="K3018" t="inlineStr">
        <is>
          <t>Truro (Nouvelle-Écosse)</t>
        </is>
      </c>
      <c r="P3018" t="n">
        <v>0</v>
      </c>
      <c r="Q3018" t="n">
        <v>282.47</v>
      </c>
      <c r="R3018" t="n">
        <v>0</v>
      </c>
      <c r="S3018" t="n">
        <v>16.6</v>
      </c>
      <c r="T3018" t="n">
        <v>0</v>
      </c>
      <c r="U3018" t="n">
        <v>299.07</v>
      </c>
      <c r="X3018" t="inlineStr">
        <is>
          <t>acoa-apeca</t>
        </is>
      </c>
      <c r="Y3018" t="inlineStr">
        <is>
          <t>Atlantic Canada Opportunities Agency | Agence de promotion économique du Canada atlantique</t>
        </is>
      </c>
      <c r="Z3018" t="n">
        <v>1</v>
      </c>
      <c r="AA3018" t="n">
        <v>299.07</v>
      </c>
      <c r="AB3018">
        <f>ROUND(U3018-AA3018,2)</f>
        <v/>
      </c>
      <c r="AC3018" t="b">
        <v>0</v>
      </c>
      <c r="AD3018">
        <f>IF(U3018="","MISSING_TOTAL",IF(ABS(AB3018)&lt;=0.01,"OK","CHECK"))</f>
        <v/>
      </c>
      <c r="AE3018">
        <f>IF(U3018="","MISSING",IF(AND(AA3018&gt;0,U3018/AA3018&gt;50),"POSSIBLE_SCALE_ERROR","OK"))</f>
        <v/>
      </c>
    </row>
    <row r="3019">
      <c r="A3019" t="inlineStr">
        <is>
          <t>T-2016-Q1-00049</t>
        </is>
      </c>
      <c r="B3019" t="inlineStr">
        <is>
          <t>SLE</t>
        </is>
      </c>
      <c r="C3019" t="inlineStr">
        <is>
          <t>Vice-President, Newfoundland and Labrador</t>
        </is>
      </c>
      <c r="D3019" t="inlineStr">
        <is>
          <t>Vice-président, Terre-Neuve-et-Labrador</t>
        </is>
      </c>
      <c r="E3019" t="inlineStr">
        <is>
          <t>Paul Mills</t>
        </is>
      </c>
      <c r="F3019" t="inlineStr">
        <is>
          <t>Meetings in Gros Morne and Corner Brook, Newfoundland and Labrador</t>
        </is>
      </c>
      <c r="G3019" t="inlineStr">
        <is>
          <t>Réunions à Gros Morne et à Corner Brook (Terre-Neuve-et-Labrador)</t>
        </is>
      </c>
      <c r="H3019" s="1" t="n">
        <v>42137</v>
      </c>
      <c r="I3019" s="1" t="n">
        <v>42140</v>
      </c>
      <c r="J3019" t="inlineStr">
        <is>
          <t>Rocky Harbour, Newfoundland and Labrador</t>
        </is>
      </c>
      <c r="K3019" t="inlineStr">
        <is>
          <t>Rocky Harbour (Terre-Neuve-et-Labrador)</t>
        </is>
      </c>
      <c r="P3019" t="n">
        <v>0</v>
      </c>
      <c r="Q3019" t="n">
        <v>844</v>
      </c>
      <c r="R3019" t="n">
        <v>407.16</v>
      </c>
      <c r="S3019" t="n">
        <v>354.8</v>
      </c>
      <c r="T3019" t="n">
        <v>8.56</v>
      </c>
      <c r="U3019" t="n">
        <v>1614.52</v>
      </c>
      <c r="X3019" t="inlineStr">
        <is>
          <t>acoa-apeca</t>
        </is>
      </c>
      <c r="Y3019" t="inlineStr">
        <is>
          <t>Atlantic Canada Opportunities Agency | Agence de promotion économique du Canada atlantique</t>
        </is>
      </c>
      <c r="Z3019" t="n">
        <v>4</v>
      </c>
      <c r="AA3019" t="n">
        <v>1614.52</v>
      </c>
      <c r="AB3019">
        <f>ROUND(U3019-AA3019,2)</f>
        <v/>
      </c>
      <c r="AC3019" t="b">
        <v>0</v>
      </c>
      <c r="AD3019">
        <f>IF(U3019="","MISSING_TOTAL",IF(ABS(AB3019)&lt;=0.01,"OK","CHECK"))</f>
        <v/>
      </c>
      <c r="AE3019">
        <f>IF(U3019="","MISSING",IF(AND(AA3019&gt;0,U3019/AA3019&gt;50),"POSSIBLE_SCALE_ERROR","OK"))</f>
        <v/>
      </c>
    </row>
    <row r="3020">
      <c r="A3020" t="inlineStr">
        <is>
          <t>T-2016-Q1-00048</t>
        </is>
      </c>
      <c r="B3020" t="inlineStr">
        <is>
          <t>SLE</t>
        </is>
      </c>
      <c r="C3020" t="inlineStr">
        <is>
          <t>Vice-President, New Brunswick</t>
        </is>
      </c>
      <c r="D3020" t="inlineStr">
        <is>
          <t>Vice-président, Nouveau-Brunswick</t>
        </is>
      </c>
      <c r="E3020" t="inlineStr">
        <is>
          <t>Kent Estabrooks</t>
        </is>
      </c>
      <c r="F3020" t="inlineStr">
        <is>
          <t>Meetings with various Federal Officials and Agency Officials</t>
        </is>
      </c>
      <c r="G3020" t="inlineStr">
        <is>
          <t>Réunions avec divers fonctionnaires fédéraux et de l'Agence</t>
        </is>
      </c>
      <c r="H3020" s="1" t="n">
        <v>42135</v>
      </c>
      <c r="I3020" s="1" t="n">
        <v>42136</v>
      </c>
      <c r="J3020" t="inlineStr">
        <is>
          <t>Ottawa, Ontario</t>
        </is>
      </c>
      <c r="K3020" t="inlineStr">
        <is>
          <t>Ottawa (Ontario)</t>
        </is>
      </c>
      <c r="P3020" t="n">
        <v>892.7</v>
      </c>
      <c r="Q3020" t="n">
        <v>118.3</v>
      </c>
      <c r="R3020" t="n">
        <v>196.7</v>
      </c>
      <c r="S3020" t="n">
        <v>136.8</v>
      </c>
      <c r="T3020" t="n">
        <v>0</v>
      </c>
      <c r="U3020" t="n">
        <v>1344.5</v>
      </c>
      <c r="X3020" t="inlineStr">
        <is>
          <t>acoa-apeca</t>
        </is>
      </c>
      <c r="Y3020" t="inlineStr">
        <is>
          <t>Atlantic Canada Opportunities Agency | Agence de promotion économique du Canada atlantique</t>
        </is>
      </c>
      <c r="Z3020" t="n">
        <v>2</v>
      </c>
      <c r="AA3020" t="n">
        <v>1344.5</v>
      </c>
      <c r="AB3020">
        <f>ROUND(U3020-AA3020,2)</f>
        <v/>
      </c>
      <c r="AC3020" t="b">
        <v>0</v>
      </c>
      <c r="AD3020">
        <f>IF(U3020="","MISSING_TOTAL",IF(ABS(AB3020)&lt;=0.01,"OK","CHECK"))</f>
        <v/>
      </c>
      <c r="AE3020">
        <f>IF(U3020="","MISSING",IF(AND(AA3020&gt;0,U3020/AA3020&gt;50),"POSSIBLE_SCALE_ERROR","OK"))</f>
        <v/>
      </c>
    </row>
    <row r="3021">
      <c r="A3021" t="inlineStr">
        <is>
          <t>T-2016-Q1-00047</t>
        </is>
      </c>
      <c r="B3021" t="inlineStr">
        <is>
          <t>MPSES</t>
        </is>
      </c>
      <c r="C3021" t="inlineStr">
        <is>
          <t>Regional Affairs Director - New Brunswick</t>
        </is>
      </c>
      <c r="D3021" t="inlineStr">
        <is>
          <t>Directeur des affaires régionales - Nouveau-Brunswick</t>
        </is>
      </c>
      <c r="E3021" t="inlineStr">
        <is>
          <t>Douglas MacDonald</t>
        </is>
      </c>
      <c r="F3021" t="inlineStr">
        <is>
          <t>Travel on Government business</t>
        </is>
      </c>
      <c r="G3021" t="inlineStr">
        <is>
          <t>Voyage pour le compte du gouvernement</t>
        </is>
      </c>
      <c r="H3021" s="1" t="n">
        <v>42135</v>
      </c>
      <c r="I3021" s="1" t="n">
        <v>42135</v>
      </c>
      <c r="J3021" t="inlineStr">
        <is>
          <t>Miramichi and Moncton, New Brunswick</t>
        </is>
      </c>
      <c r="K3021" t="inlineStr">
        <is>
          <t>Miramichi et Moncton (Nouveau-Brunswick)</t>
        </is>
      </c>
      <c r="P3021" t="n">
        <v>0</v>
      </c>
      <c r="Q3021" t="n">
        <v>255.68</v>
      </c>
      <c r="R3021" t="n">
        <v>0</v>
      </c>
      <c r="S3021" t="n">
        <v>16.6</v>
      </c>
      <c r="T3021" t="n">
        <v>0</v>
      </c>
      <c r="U3021" t="n">
        <v>272.28</v>
      </c>
      <c r="X3021" t="inlineStr">
        <is>
          <t>acoa-apeca</t>
        </is>
      </c>
      <c r="Y3021" t="inlineStr">
        <is>
          <t>Atlantic Canada Opportunities Agency | Agence de promotion économique du Canada atlantique</t>
        </is>
      </c>
      <c r="Z3021" t="n">
        <v>1</v>
      </c>
      <c r="AA3021" t="n">
        <v>272.28</v>
      </c>
      <c r="AB3021">
        <f>ROUND(U3021-AA3021,2)</f>
        <v/>
      </c>
      <c r="AC3021" t="b">
        <v>0</v>
      </c>
      <c r="AD3021">
        <f>IF(U3021="","MISSING_TOTAL",IF(ABS(AB3021)&lt;=0.01,"OK","CHECK"))</f>
        <v/>
      </c>
      <c r="AE3021">
        <f>IF(U3021="","MISSING",IF(AND(AA3021&gt;0,U3021/AA3021&gt;50),"POSSIBLE_SCALE_ERROR","OK"))</f>
        <v/>
      </c>
    </row>
    <row r="3022">
      <c r="A3022" t="inlineStr">
        <is>
          <t>T-2016-Q1-00046</t>
        </is>
      </c>
      <c r="B3022" t="inlineStr">
        <is>
          <t>MPSES</t>
        </is>
      </c>
      <c r="C3022" t="inlineStr">
        <is>
          <t>Minister of State</t>
        </is>
      </c>
      <c r="D3022" t="inlineStr">
        <is>
          <t>Ministre d'État</t>
        </is>
      </c>
      <c r="E3022" t="inlineStr">
        <is>
          <t>Rob Moore</t>
        </is>
      </c>
      <c r="F3022" t="inlineStr">
        <is>
          <t>Travel to attend Government of Canada announcement</t>
        </is>
      </c>
      <c r="G3022" t="inlineStr">
        <is>
          <t>Voyage pour assister à une annonce du gouvernement du Canada</t>
        </is>
      </c>
      <c r="H3022" s="1" t="n">
        <v>42135</v>
      </c>
      <c r="I3022" s="1" t="n">
        <v>42135</v>
      </c>
      <c r="J3022" t="inlineStr">
        <is>
          <t>Miramichi, New Brunswick</t>
        </is>
      </c>
      <c r="K3022" t="inlineStr">
        <is>
          <t>Miramichi (Nouveau-Brunswick)</t>
        </is>
      </c>
      <c r="P3022" t="n">
        <v>0</v>
      </c>
      <c r="Q3022" t="n">
        <v>0</v>
      </c>
      <c r="R3022" t="n">
        <v>0</v>
      </c>
      <c r="S3022" t="n">
        <v>16.6</v>
      </c>
      <c r="T3022" t="n">
        <v>0</v>
      </c>
      <c r="U3022" t="n">
        <v>16.6</v>
      </c>
      <c r="X3022" t="inlineStr">
        <is>
          <t>acoa-apeca</t>
        </is>
      </c>
      <c r="Y3022" t="inlineStr">
        <is>
          <t>Atlantic Canada Opportunities Agency | Agence de promotion économique du Canada atlantique</t>
        </is>
      </c>
      <c r="Z3022" t="n">
        <v>1</v>
      </c>
      <c r="AA3022" t="n">
        <v>16.6</v>
      </c>
      <c r="AB3022">
        <f>ROUND(U3022-AA3022,2)</f>
        <v/>
      </c>
      <c r="AC3022" t="b">
        <v>0</v>
      </c>
      <c r="AD3022">
        <f>IF(U3022="","MISSING_TOTAL",IF(ABS(AB3022)&lt;=0.01,"OK","CHECK"))</f>
        <v/>
      </c>
      <c r="AE3022">
        <f>IF(U3022="","MISSING",IF(AND(AA3022&gt;0,U3022/AA3022&gt;50),"POSSIBLE_SCALE_ERROR","OK"))</f>
        <v/>
      </c>
    </row>
    <row r="3023">
      <c r="A3023" t="inlineStr">
        <is>
          <t>T-2016-Q1-00045</t>
        </is>
      </c>
      <c r="B3023" t="inlineStr">
        <is>
          <t>SLE</t>
        </is>
      </c>
      <c r="C3023" t="inlineStr">
        <is>
          <t>President</t>
        </is>
      </c>
      <c r="D3023" t="inlineStr">
        <is>
          <t>Président</t>
        </is>
      </c>
      <c r="E3023" t="inlineStr">
        <is>
          <t>Paul J. LeBlanc</t>
        </is>
      </c>
      <c r="F3023" t="inlineStr">
        <is>
          <t>For various meetings and discussions with Agency and Government of Canada officials</t>
        </is>
      </c>
      <c r="G3023" t="inlineStr">
        <is>
          <t>Diverses réunions et discussions avec des fonctionnaires de l'Agence et du gouvernement du Canada</t>
        </is>
      </c>
      <c r="H3023" s="1" t="n">
        <v>42135</v>
      </c>
      <c r="I3023" s="1" t="n">
        <v>42137</v>
      </c>
      <c r="J3023" t="inlineStr">
        <is>
          <t>Ottawa, Ontario</t>
        </is>
      </c>
      <c r="K3023" t="inlineStr">
        <is>
          <t>Ottawa (Ontario)</t>
        </is>
      </c>
      <c r="P3023" t="n">
        <v>1117.23</v>
      </c>
      <c r="Q3023" t="n">
        <v>0</v>
      </c>
      <c r="R3023" t="n">
        <v>393.4</v>
      </c>
      <c r="S3023" t="n">
        <v>186.7</v>
      </c>
      <c r="T3023" t="n">
        <v>32</v>
      </c>
      <c r="U3023" t="n">
        <v>1729.33</v>
      </c>
      <c r="X3023" t="inlineStr">
        <is>
          <t>acoa-apeca</t>
        </is>
      </c>
      <c r="Y3023" t="inlineStr">
        <is>
          <t>Atlantic Canada Opportunities Agency | Agence de promotion économique du Canada atlantique</t>
        </is>
      </c>
      <c r="Z3023" t="n">
        <v>3</v>
      </c>
      <c r="AA3023" t="n">
        <v>1729.33</v>
      </c>
      <c r="AB3023">
        <f>ROUND(U3023-AA3023,2)</f>
        <v/>
      </c>
      <c r="AC3023" t="b">
        <v>0</v>
      </c>
      <c r="AD3023">
        <f>IF(U3023="","MISSING_TOTAL",IF(ABS(AB3023)&lt;=0.01,"OK","CHECK"))</f>
        <v/>
      </c>
      <c r="AE3023">
        <f>IF(U3023="","MISSING",IF(AND(AA3023&gt;0,U3023/AA3023&gt;50),"POSSIBLE_SCALE_ERROR","OK"))</f>
        <v/>
      </c>
    </row>
    <row r="3024">
      <c r="A3024" t="inlineStr">
        <is>
          <t>T-2016-Q1-00044</t>
        </is>
      </c>
      <c r="B3024" t="inlineStr">
        <is>
          <t>SLE</t>
        </is>
      </c>
      <c r="C3024" t="inlineStr">
        <is>
          <t>Vice-President, Policy and Programs</t>
        </is>
      </c>
      <c r="D3024" t="inlineStr">
        <is>
          <t>Vice-président, Politiques et Programmes</t>
        </is>
      </c>
      <c r="E3024" t="inlineStr">
        <is>
          <t>Daryell Nowlan</t>
        </is>
      </c>
      <c r="F3024" t="inlineStr">
        <is>
          <t>Meetings with Government of Canada officials</t>
        </is>
      </c>
      <c r="G3024" t="inlineStr">
        <is>
          <t>Réunions avec des fonctionnaires du gouvernement du Canada</t>
        </is>
      </c>
      <c r="H3024" s="1" t="n">
        <v>42135</v>
      </c>
      <c r="I3024" s="1" t="n">
        <v>42139</v>
      </c>
      <c r="J3024" t="inlineStr">
        <is>
          <t>Ottawa, Ontario</t>
        </is>
      </c>
      <c r="K3024" t="inlineStr">
        <is>
          <t>Ottawa (Ontario)</t>
        </is>
      </c>
      <c r="P3024" t="n">
        <v>743.54</v>
      </c>
      <c r="Q3024" t="n">
        <v>150</v>
      </c>
      <c r="R3024" t="n">
        <v>786.8</v>
      </c>
      <c r="S3024" t="n">
        <v>323.5</v>
      </c>
      <c r="T3024" t="n">
        <v>0</v>
      </c>
      <c r="U3024" t="n">
        <v>2003.84</v>
      </c>
      <c r="X3024" t="inlineStr">
        <is>
          <t>acoa-apeca</t>
        </is>
      </c>
      <c r="Y3024" t="inlineStr">
        <is>
          <t>Atlantic Canada Opportunities Agency | Agence de promotion économique du Canada atlantique</t>
        </is>
      </c>
      <c r="Z3024" t="n">
        <v>5</v>
      </c>
      <c r="AA3024" t="n">
        <v>2003.84</v>
      </c>
      <c r="AB3024">
        <f>ROUND(U3024-AA3024,2)</f>
        <v/>
      </c>
      <c r="AC3024" t="b">
        <v>0</v>
      </c>
      <c r="AD3024">
        <f>IF(U3024="","MISSING_TOTAL",IF(ABS(AB3024)&lt;=0.01,"OK","CHECK"))</f>
        <v/>
      </c>
      <c r="AE3024">
        <f>IF(U3024="","MISSING",IF(AND(AA3024&gt;0,U3024/AA3024&gt;50),"POSSIBLE_SCALE_ERROR","OK"))</f>
        <v/>
      </c>
    </row>
    <row r="3025">
      <c r="A3025" t="inlineStr">
        <is>
          <t>T-2016-Q1-00043</t>
        </is>
      </c>
      <c r="B3025" t="inlineStr">
        <is>
          <t>SLE</t>
        </is>
      </c>
      <c r="C3025" t="inlineStr">
        <is>
          <t>Vice-President, Prince Edward Island</t>
        </is>
      </c>
      <c r="D3025" t="inlineStr">
        <is>
          <t>Vice-président, Île-du-Prince-Édouard</t>
        </is>
      </c>
      <c r="E3025" t="inlineStr">
        <is>
          <t>Patrick Dorsey</t>
        </is>
      </c>
      <c r="F3025" t="inlineStr">
        <is>
          <t>Public Service Executives Network Conference</t>
        </is>
      </c>
      <c r="G3025" t="inlineStr">
        <is>
          <t>Conférence du Réseau des cadres du secteur public</t>
        </is>
      </c>
      <c r="H3025" s="1" t="n">
        <v>42134</v>
      </c>
      <c r="I3025" s="1" t="n">
        <v>42136</v>
      </c>
      <c r="J3025" t="inlineStr">
        <is>
          <t>Ottawa, Ontario</t>
        </is>
      </c>
      <c r="K3025" t="inlineStr">
        <is>
          <t>Ottawa (Ontario)</t>
        </is>
      </c>
      <c r="P3025" t="n">
        <v>843.5599999999999</v>
      </c>
      <c r="Q3025" t="n">
        <v>125.75</v>
      </c>
      <c r="R3025" t="n">
        <v>370.12</v>
      </c>
      <c r="S3025" t="n">
        <v>212.9</v>
      </c>
      <c r="T3025" t="n">
        <v>0</v>
      </c>
      <c r="U3025" t="n">
        <v>1552.33</v>
      </c>
      <c r="X3025" t="inlineStr">
        <is>
          <t>acoa-apeca</t>
        </is>
      </c>
      <c r="Y3025" t="inlineStr">
        <is>
          <t>Atlantic Canada Opportunities Agency | Agence de promotion économique du Canada atlantique</t>
        </is>
      </c>
      <c r="Z3025" t="n">
        <v>3</v>
      </c>
      <c r="AA3025" t="n">
        <v>1552.33</v>
      </c>
      <c r="AB3025">
        <f>ROUND(U3025-AA3025,2)</f>
        <v/>
      </c>
      <c r="AC3025" t="b">
        <v>0</v>
      </c>
      <c r="AD3025">
        <f>IF(U3025="","MISSING_TOTAL",IF(ABS(AB3025)&lt;=0.01,"OK","CHECK"))</f>
        <v/>
      </c>
      <c r="AE3025">
        <f>IF(U3025="","MISSING",IF(AND(AA3025&gt;0,U3025/AA3025&gt;50),"POSSIBLE_SCALE_ERROR","OK"))</f>
        <v/>
      </c>
    </row>
    <row r="3026">
      <c r="A3026" t="inlineStr">
        <is>
          <t>T-2016-Q1-00042</t>
        </is>
      </c>
      <c r="B3026" t="inlineStr">
        <is>
          <t>SLE</t>
        </is>
      </c>
      <c r="C3026" t="inlineStr">
        <is>
          <t>Vice-President, New Brunswick</t>
        </is>
      </c>
      <c r="D3026" t="inlineStr">
        <is>
          <t>Vice-président, Nouveau-Brunswick</t>
        </is>
      </c>
      <c r="E3026" t="inlineStr">
        <is>
          <t>Kent Estabrooks</t>
        </is>
      </c>
      <c r="F3026" t="inlineStr">
        <is>
          <t>Executive Committee Meeting</t>
        </is>
      </c>
      <c r="G3026" t="inlineStr">
        <is>
          <t>Réunion du Comité de direction</t>
        </is>
      </c>
      <c r="H3026" s="1" t="n">
        <v>42130</v>
      </c>
      <c r="I3026" s="1" t="n">
        <v>42131</v>
      </c>
      <c r="J3026" t="inlineStr">
        <is>
          <t>Moncton, New Brunswick</t>
        </is>
      </c>
      <c r="K3026" t="inlineStr">
        <is>
          <t>Moncton (Nouveau-Brunswick)</t>
        </is>
      </c>
      <c r="P3026" t="n">
        <v>0</v>
      </c>
      <c r="Q3026" t="n">
        <v>0</v>
      </c>
      <c r="R3026" t="n">
        <v>138.43</v>
      </c>
      <c r="S3026" t="n">
        <v>136.8</v>
      </c>
      <c r="T3026" t="n">
        <v>0</v>
      </c>
      <c r="U3026" t="n">
        <v>275.23</v>
      </c>
      <c r="X3026" t="inlineStr">
        <is>
          <t>acoa-apeca</t>
        </is>
      </c>
      <c r="Y3026" t="inlineStr">
        <is>
          <t>Atlantic Canada Opportunities Agency | Agence de promotion économique du Canada atlantique</t>
        </is>
      </c>
      <c r="Z3026" t="n">
        <v>2</v>
      </c>
      <c r="AA3026" t="n">
        <v>275.23</v>
      </c>
      <c r="AB3026">
        <f>ROUND(U3026-AA3026,2)</f>
        <v/>
      </c>
      <c r="AC3026" t="b">
        <v>0</v>
      </c>
      <c r="AD3026">
        <f>IF(U3026="","MISSING_TOTAL",IF(ABS(AB3026)&lt;=0.01,"OK","CHECK"))</f>
        <v/>
      </c>
      <c r="AE3026">
        <f>IF(U3026="","MISSING",IF(AND(AA3026&gt;0,U3026/AA3026&gt;50),"POSSIBLE_SCALE_ERROR","OK"))</f>
        <v/>
      </c>
    </row>
    <row r="3027">
      <c r="A3027" t="inlineStr">
        <is>
          <t>T-2016-Q1-00041</t>
        </is>
      </c>
      <c r="B3027" t="inlineStr">
        <is>
          <t>SLE</t>
        </is>
      </c>
      <c r="C3027" t="inlineStr">
        <is>
          <t>Vice President, Nova Scotia</t>
        </is>
      </c>
      <c r="D3027" t="inlineStr">
        <is>
          <t>Vice-président, Nouvelle-Écosse</t>
        </is>
      </c>
      <c r="E3027" t="inlineStr">
        <is>
          <t>Peter Hogan</t>
        </is>
      </c>
      <c r="F3027" t="inlineStr">
        <is>
          <t>Meeting with Agency Officials</t>
        </is>
      </c>
      <c r="G3027" t="inlineStr">
        <is>
          <t>Réunion avec des fonctionnaires de l'Agence</t>
        </is>
      </c>
      <c r="H3027" s="1" t="n">
        <v>42130</v>
      </c>
      <c r="I3027" s="1" t="n">
        <v>42131</v>
      </c>
      <c r="J3027" t="inlineStr">
        <is>
          <t>Moncton, New Brunswick</t>
        </is>
      </c>
      <c r="K3027" t="inlineStr">
        <is>
          <t>Moncton (Nouveau-Brunswick)</t>
        </is>
      </c>
      <c r="P3027" t="n">
        <v>0</v>
      </c>
      <c r="Q3027" t="n">
        <v>175.06</v>
      </c>
      <c r="R3027" t="n">
        <v>145.77</v>
      </c>
      <c r="S3027" t="n">
        <v>120.2</v>
      </c>
      <c r="T3027" t="n">
        <v>0</v>
      </c>
      <c r="U3027" t="n">
        <v>441.03</v>
      </c>
      <c r="X3027" t="inlineStr">
        <is>
          <t>acoa-apeca</t>
        </is>
      </c>
      <c r="Y3027" t="inlineStr">
        <is>
          <t>Atlantic Canada Opportunities Agency | Agence de promotion économique du Canada atlantique</t>
        </is>
      </c>
      <c r="Z3027" t="n">
        <v>2</v>
      </c>
      <c r="AA3027" t="n">
        <v>441.03</v>
      </c>
      <c r="AB3027">
        <f>ROUND(U3027-AA3027,2)</f>
        <v/>
      </c>
      <c r="AC3027" t="b">
        <v>0</v>
      </c>
      <c r="AD3027">
        <f>IF(U3027="","MISSING_TOTAL",IF(ABS(AB3027)&lt;=0.01,"OK","CHECK"))</f>
        <v/>
      </c>
      <c r="AE3027">
        <f>IF(U3027="","MISSING",IF(AND(AA3027&gt;0,U3027/AA3027&gt;50),"POSSIBLE_SCALE_ERROR","OK"))</f>
        <v/>
      </c>
    </row>
    <row r="3028">
      <c r="A3028" t="inlineStr">
        <is>
          <t>T-2016-Q1-00040</t>
        </is>
      </c>
      <c r="B3028" t="inlineStr">
        <is>
          <t>SLE</t>
        </is>
      </c>
      <c r="C3028" t="inlineStr">
        <is>
          <t>Vice-President, Newfoundland and Labrador</t>
        </is>
      </c>
      <c r="D3028" t="inlineStr">
        <is>
          <t>Vice-président, Terre-Neuve-et-Labrador</t>
        </is>
      </c>
      <c r="E3028" t="inlineStr">
        <is>
          <t>Paul Mills</t>
        </is>
      </c>
      <c r="F3028" t="inlineStr">
        <is>
          <t>Executive Committee Meeting in Moncton, New Brunswick</t>
        </is>
      </c>
      <c r="G3028" t="inlineStr">
        <is>
          <t>Réunion du Comité de direction à Moncton (Nouveau-Brunswick)</t>
        </is>
      </c>
      <c r="H3028" s="1" t="n">
        <v>42130</v>
      </c>
      <c r="I3028" s="1" t="n">
        <v>42132</v>
      </c>
      <c r="J3028" t="inlineStr">
        <is>
          <t>Moncton, New Brunswick</t>
        </is>
      </c>
      <c r="K3028" t="inlineStr">
        <is>
          <t>Moncton (Nouveau-Brunswick)</t>
        </is>
      </c>
      <c r="P3028" t="n">
        <v>1426.06</v>
      </c>
      <c r="Q3028" t="n">
        <v>195.78</v>
      </c>
      <c r="R3028" t="n">
        <v>297.95</v>
      </c>
      <c r="S3028" t="n">
        <v>186.1</v>
      </c>
      <c r="T3028" t="n">
        <v>23.02</v>
      </c>
      <c r="U3028" t="n">
        <v>2128.91</v>
      </c>
      <c r="X3028" t="inlineStr">
        <is>
          <t>acoa-apeca</t>
        </is>
      </c>
      <c r="Y3028" t="inlineStr">
        <is>
          <t>Atlantic Canada Opportunities Agency | Agence de promotion économique du Canada atlantique</t>
        </is>
      </c>
      <c r="Z3028" t="n">
        <v>3</v>
      </c>
      <c r="AA3028" t="n">
        <v>2128.91</v>
      </c>
      <c r="AB3028">
        <f>ROUND(U3028-AA3028,2)</f>
        <v/>
      </c>
      <c r="AC3028" t="b">
        <v>0</v>
      </c>
      <c r="AD3028">
        <f>IF(U3028="","MISSING_TOTAL",IF(ABS(AB3028)&lt;=0.01,"OK","CHECK"))</f>
        <v/>
      </c>
      <c r="AE3028">
        <f>IF(U3028="","MISSING",IF(AND(AA3028&gt;0,U3028/AA3028&gt;50),"POSSIBLE_SCALE_ERROR","OK"))</f>
        <v/>
      </c>
    </row>
    <row r="3029">
      <c r="A3029" t="inlineStr">
        <is>
          <t>T-2016-Q1-00039</t>
        </is>
      </c>
      <c r="B3029" t="inlineStr">
        <is>
          <t>SLE</t>
        </is>
      </c>
      <c r="C3029" t="inlineStr">
        <is>
          <t>Vice-President, Prince Edward Island</t>
        </is>
      </c>
      <c r="D3029" t="inlineStr">
        <is>
          <t>Vice-président, Île-du-Prince-Édouard</t>
        </is>
      </c>
      <c r="E3029" t="inlineStr">
        <is>
          <t>Patrick Dorsey</t>
        </is>
      </c>
      <c r="F3029" t="inlineStr">
        <is>
          <t>Executive Committee Meeting in Moncton</t>
        </is>
      </c>
      <c r="G3029" t="inlineStr">
        <is>
          <t>Réunion du Comité de direction à Moncton</t>
        </is>
      </c>
      <c r="H3029" s="1" t="n">
        <v>42130</v>
      </c>
      <c r="I3029" s="1" t="n">
        <v>42131</v>
      </c>
      <c r="J3029" t="inlineStr">
        <is>
          <t>Moncton, New Brunswick</t>
        </is>
      </c>
      <c r="K3029" t="inlineStr">
        <is>
          <t>Moncton (Nouveau-Brunswick)</t>
        </is>
      </c>
      <c r="P3029" t="n">
        <v>0</v>
      </c>
      <c r="Q3029" t="n">
        <v>0</v>
      </c>
      <c r="R3029" t="n">
        <v>145.77</v>
      </c>
      <c r="S3029" t="n">
        <v>120.2</v>
      </c>
      <c r="T3029" t="n">
        <v>45.5</v>
      </c>
      <c r="U3029" t="n">
        <v>311.47</v>
      </c>
      <c r="X3029" t="inlineStr">
        <is>
          <t>acoa-apeca</t>
        </is>
      </c>
      <c r="Y3029" t="inlineStr">
        <is>
          <t>Atlantic Canada Opportunities Agency | Agence de promotion économique du Canada atlantique</t>
        </is>
      </c>
      <c r="Z3029" t="n">
        <v>2</v>
      </c>
      <c r="AA3029" t="n">
        <v>311.47</v>
      </c>
      <c r="AB3029">
        <f>ROUND(U3029-AA3029,2)</f>
        <v/>
      </c>
      <c r="AC3029" t="b">
        <v>0</v>
      </c>
      <c r="AD3029">
        <f>IF(U3029="","MISSING_TOTAL",IF(ABS(AB3029)&lt;=0.01,"OK","CHECK"))</f>
        <v/>
      </c>
      <c r="AE3029">
        <f>IF(U3029="","MISSING",IF(AND(AA3029&gt;0,U3029/AA3029&gt;50),"POSSIBLE_SCALE_ERROR","OK"))</f>
        <v/>
      </c>
    </row>
    <row r="3030">
      <c r="A3030" t="inlineStr">
        <is>
          <t>T-2016-Q1-00038</t>
        </is>
      </c>
      <c r="B3030" t="inlineStr">
        <is>
          <t>SLE</t>
        </is>
      </c>
      <c r="C3030" t="inlineStr">
        <is>
          <t>President</t>
        </is>
      </c>
      <c r="D3030" t="inlineStr">
        <is>
          <t>Président</t>
        </is>
      </c>
      <c r="E3030" t="inlineStr">
        <is>
          <t>Paul J. LeBlanc</t>
        </is>
      </c>
      <c r="F3030" t="inlineStr">
        <is>
          <t>For various meetings and discussions with Agency and Government of Canada officials</t>
        </is>
      </c>
      <c r="G3030" t="inlineStr">
        <is>
          <t>Diverses réunions et discussions avec des fonctionnaires de l'Agence et du gouvernement du Canada</t>
        </is>
      </c>
      <c r="H3030" s="1" t="n">
        <v>42129</v>
      </c>
      <c r="I3030" s="1" t="n">
        <v>42130</v>
      </c>
      <c r="J3030" t="inlineStr">
        <is>
          <t>Ottawa, Ontario</t>
        </is>
      </c>
      <c r="K3030" t="inlineStr">
        <is>
          <t>Ottawa (Ontario)</t>
        </is>
      </c>
      <c r="P3030" t="n">
        <v>702.48</v>
      </c>
      <c r="Q3030" t="n">
        <v>0</v>
      </c>
      <c r="R3030" t="n">
        <v>196.7</v>
      </c>
      <c r="S3030" t="n">
        <v>126.6</v>
      </c>
      <c r="T3030" t="n">
        <v>0</v>
      </c>
      <c r="U3030" t="n">
        <v>1025.78</v>
      </c>
      <c r="X3030" t="inlineStr">
        <is>
          <t>acoa-apeca</t>
        </is>
      </c>
      <c r="Y3030" t="inlineStr">
        <is>
          <t>Atlantic Canada Opportunities Agency | Agence de promotion économique du Canada atlantique</t>
        </is>
      </c>
      <c r="Z3030" t="n">
        <v>2</v>
      </c>
      <c r="AA3030" t="n">
        <v>1025.78</v>
      </c>
      <c r="AB3030">
        <f>ROUND(U3030-AA3030,2)</f>
        <v/>
      </c>
      <c r="AC3030" t="b">
        <v>0</v>
      </c>
      <c r="AD3030">
        <f>IF(U3030="","MISSING_TOTAL",IF(ABS(AB3030)&lt;=0.01,"OK","CHECK"))</f>
        <v/>
      </c>
      <c r="AE3030">
        <f>IF(U3030="","MISSING",IF(AND(AA3030&gt;0,U3030/AA3030&gt;50),"POSSIBLE_SCALE_ERROR","OK"))</f>
        <v/>
      </c>
    </row>
    <row r="3031">
      <c r="A3031" t="inlineStr">
        <is>
          <t>T-2016-Q1-00037</t>
        </is>
      </c>
      <c r="B3031" t="inlineStr">
        <is>
          <t>MPSES</t>
        </is>
      </c>
      <c r="C3031" t="inlineStr">
        <is>
          <t>Regional Affairs Director - New Brunswick</t>
        </is>
      </c>
      <c r="D3031" t="inlineStr">
        <is>
          <t>Directeur des affaires régionales - Nouveau-Brunswick</t>
        </is>
      </c>
      <c r="E3031" t="inlineStr">
        <is>
          <t>Douglas MacDonald</t>
        </is>
      </c>
      <c r="F3031" t="inlineStr">
        <is>
          <t>Travel on Government business</t>
        </is>
      </c>
      <c r="G3031" t="inlineStr">
        <is>
          <t>Voyage pour le compte du gouvernement</t>
        </is>
      </c>
      <c r="H3031" s="1" t="n">
        <v>42128</v>
      </c>
      <c r="I3031" s="1" t="n">
        <v>42129</v>
      </c>
      <c r="J3031" t="inlineStr">
        <is>
          <t>Ottawa, Ontario</t>
        </is>
      </c>
      <c r="K3031" t="inlineStr">
        <is>
          <t>Ottawa (Ontario)</t>
        </is>
      </c>
      <c r="P3031" t="n">
        <v>119.13</v>
      </c>
      <c r="Q3031" t="n">
        <v>59.65</v>
      </c>
      <c r="R3031" t="n">
        <v>196.7</v>
      </c>
      <c r="S3031" t="n">
        <v>169.4</v>
      </c>
      <c r="T3031" t="n">
        <v>0</v>
      </c>
      <c r="U3031" t="n">
        <v>544.88</v>
      </c>
      <c r="X3031" t="inlineStr">
        <is>
          <t>acoa-apeca</t>
        </is>
      </c>
      <c r="Y3031" t="inlineStr">
        <is>
          <t>Atlantic Canada Opportunities Agency | Agence de promotion économique du Canada atlantique</t>
        </is>
      </c>
      <c r="Z3031" t="n">
        <v>2</v>
      </c>
      <c r="AA3031" t="n">
        <v>544.88</v>
      </c>
      <c r="AB3031">
        <f>ROUND(U3031-AA3031,2)</f>
        <v/>
      </c>
      <c r="AC3031" t="b">
        <v>0</v>
      </c>
      <c r="AD3031">
        <f>IF(U3031="","MISSING_TOTAL",IF(ABS(AB3031)&lt;=0.01,"OK","CHECK"))</f>
        <v/>
      </c>
      <c r="AE3031">
        <f>IF(U3031="","MISSING",IF(AND(AA3031&gt;0,U3031/AA3031&gt;50),"POSSIBLE_SCALE_ERROR","OK"))</f>
        <v/>
      </c>
    </row>
    <row r="3032">
      <c r="A3032" t="inlineStr">
        <is>
          <t>T-2016-Q1-00035</t>
        </is>
      </c>
      <c r="B3032" t="inlineStr">
        <is>
          <t>MPSES</t>
        </is>
      </c>
      <c r="C3032" t="inlineStr">
        <is>
          <t>Regional Affairs Director - New Brunswick</t>
        </is>
      </c>
      <c r="D3032" t="inlineStr">
        <is>
          <t>Directeur des affaires régionales - Nouveau-Brunswick</t>
        </is>
      </c>
      <c r="E3032" t="inlineStr">
        <is>
          <t>Douglas MacDonald</t>
        </is>
      </c>
      <c r="F3032" t="inlineStr">
        <is>
          <t>Travel on Government business</t>
        </is>
      </c>
      <c r="G3032" t="inlineStr">
        <is>
          <t>Voyage pour le compte du gouvernement</t>
        </is>
      </c>
      <c r="H3032" s="1" t="n">
        <v>42121</v>
      </c>
      <c r="I3032" s="1" t="n">
        <v>42121</v>
      </c>
      <c r="J3032" t="inlineStr">
        <is>
          <t>Fredericton and Moncton, New Brunswick</t>
        </is>
      </c>
      <c r="K3032" t="inlineStr">
        <is>
          <t>Fredericton et Moncton (Nouveau-Brunswick)</t>
        </is>
      </c>
      <c r="P3032" t="n">
        <v>0</v>
      </c>
      <c r="Q3032" t="n">
        <v>223.72</v>
      </c>
      <c r="R3032" t="n">
        <v>0</v>
      </c>
      <c r="S3032" t="n">
        <v>0</v>
      </c>
      <c r="T3032" t="n">
        <v>0</v>
      </c>
      <c r="U3032" t="n">
        <v>223.72</v>
      </c>
      <c r="X3032" t="inlineStr">
        <is>
          <t>acoa-apeca</t>
        </is>
      </c>
      <c r="Y3032" t="inlineStr">
        <is>
          <t>Atlantic Canada Opportunities Agency | Agence de promotion économique du Canada atlantique</t>
        </is>
      </c>
      <c r="Z3032" t="n">
        <v>1</v>
      </c>
      <c r="AA3032" t="n">
        <v>223.72</v>
      </c>
      <c r="AB3032">
        <f>ROUND(U3032-AA3032,2)</f>
        <v/>
      </c>
      <c r="AC3032" t="b">
        <v>0</v>
      </c>
      <c r="AD3032">
        <f>IF(U3032="","MISSING_TOTAL",IF(ABS(AB3032)&lt;=0.01,"OK","CHECK"))</f>
        <v/>
      </c>
      <c r="AE3032">
        <f>IF(U3032="","MISSING",IF(AND(AA3032&gt;0,U3032/AA3032&gt;50),"POSSIBLE_SCALE_ERROR","OK"))</f>
        <v/>
      </c>
    </row>
    <row r="3033">
      <c r="A3033" t="inlineStr">
        <is>
          <t>T-2015-Q4-00036</t>
        </is>
      </c>
      <c r="B3033" t="inlineStr">
        <is>
          <t>MPSES</t>
        </is>
      </c>
      <c r="C3033" t="inlineStr">
        <is>
          <t>Executive Assistant</t>
        </is>
      </c>
      <c r="D3033" t="inlineStr">
        <is>
          <t>Adjoint exécutif</t>
        </is>
      </c>
      <c r="E3033" t="inlineStr">
        <is>
          <t>Josh Hardy</t>
        </is>
      </c>
      <c r="F3033" t="inlineStr">
        <is>
          <t>Travel for Government business</t>
        </is>
      </c>
      <c r="G3033" t="inlineStr">
        <is>
          <t>Voyage pour le compte du gouvernement</t>
        </is>
      </c>
      <c r="H3033" s="1" t="n">
        <v>42019</v>
      </c>
      <c r="I3033" s="1" t="n">
        <v>42027</v>
      </c>
      <c r="J3033" t="inlineStr">
        <is>
          <t>Moncton, New Brunswick</t>
        </is>
      </c>
      <c r="K3033" t="inlineStr">
        <is>
          <t>Moncton (Nouveau-Brunswick)</t>
        </is>
      </c>
      <c r="P3033" t="n">
        <v>356.28</v>
      </c>
      <c r="Q3033" t="n">
        <v>693.35</v>
      </c>
      <c r="R3033" t="n">
        <v>0</v>
      </c>
      <c r="S3033" t="n">
        <v>32.7</v>
      </c>
      <c r="T3033" t="n">
        <v>0</v>
      </c>
      <c r="U3033" t="n">
        <v>1082.33</v>
      </c>
      <c r="X3033" t="inlineStr">
        <is>
          <t>acoa-apeca</t>
        </is>
      </c>
      <c r="Y3033" t="inlineStr">
        <is>
          <t>Atlantic Canada Opportunities Agency | Agence de promotion économique du Canada atlantique</t>
        </is>
      </c>
      <c r="Z3033" t="n">
        <v>9</v>
      </c>
      <c r="AA3033" t="n">
        <v>1082.33</v>
      </c>
      <c r="AB3033">
        <f>ROUND(U3033-AA3033,2)</f>
        <v/>
      </c>
      <c r="AC3033" t="b">
        <v>0</v>
      </c>
      <c r="AD3033">
        <f>IF(U3033="","MISSING_TOTAL",IF(ABS(AB3033)&lt;=0.01,"OK","CHECK"))</f>
        <v/>
      </c>
      <c r="AE3033">
        <f>IF(U3033="","MISSING",IF(AND(AA3033&gt;0,U3033/AA3033&gt;50),"POSSIBLE_SCALE_ERROR","OK"))</f>
        <v/>
      </c>
    </row>
    <row r="3034">
      <c r="A3034" t="inlineStr">
        <is>
          <t>T-2016-Q1-00034</t>
        </is>
      </c>
      <c r="B3034" t="inlineStr">
        <is>
          <t>SLE</t>
        </is>
      </c>
      <c r="C3034" t="inlineStr">
        <is>
          <t>President</t>
        </is>
      </c>
      <c r="D3034" t="inlineStr">
        <is>
          <t>Président</t>
        </is>
      </c>
      <c r="E3034" t="inlineStr">
        <is>
          <t>Paul J. LeBlanc</t>
        </is>
      </c>
      <c r="F3034" t="inlineStr">
        <is>
          <t>Attendance at meetings and sessions of various committees of the Organization for Economic Co-operation and Development</t>
        </is>
      </c>
      <c r="G3034" t="inlineStr">
        <is>
          <t>Assister à des réunions et à des séances organisées par divers comités de l'Organisation de coopération et de développement économiques</t>
        </is>
      </c>
      <c r="H3034" s="1" t="n">
        <v>42119</v>
      </c>
      <c r="I3034" s="1" t="n">
        <v>42126</v>
      </c>
      <c r="J3034" t="inlineStr">
        <is>
          <t>Paris, France</t>
        </is>
      </c>
      <c r="K3034" t="inlineStr">
        <is>
          <t>Paris, France</t>
        </is>
      </c>
      <c r="P3034" t="n">
        <v>2920.81</v>
      </c>
      <c r="Q3034" t="n">
        <v>169.42</v>
      </c>
      <c r="R3034" t="n">
        <v>1809.48</v>
      </c>
      <c r="S3034" t="n">
        <v>1238.34</v>
      </c>
      <c r="T3034" t="n">
        <v>5</v>
      </c>
      <c r="U3034" t="n">
        <v>6143.05</v>
      </c>
      <c r="X3034" t="inlineStr">
        <is>
          <t>acoa-apeca</t>
        </is>
      </c>
      <c r="Y3034" t="inlineStr">
        <is>
          <t>Atlantic Canada Opportunities Agency | Agence de promotion économique du Canada atlantique</t>
        </is>
      </c>
      <c r="Z3034" t="n">
        <v>8</v>
      </c>
      <c r="AA3034" t="n">
        <v>6143.05</v>
      </c>
      <c r="AB3034">
        <f>ROUND(U3034-AA3034,2)</f>
        <v/>
      </c>
      <c r="AC3034" t="b">
        <v>0</v>
      </c>
      <c r="AD3034">
        <f>IF(U3034="","MISSING_TOTAL",IF(ABS(AB3034)&lt;=0.01,"OK","CHECK"))</f>
        <v/>
      </c>
      <c r="AE3034">
        <f>IF(U3034="","MISSING",IF(AND(AA3034&gt;0,U3034/AA3034&gt;50),"POSSIBLE_SCALE_ERROR","OK"))</f>
        <v/>
      </c>
    </row>
    <row r="3035">
      <c r="A3035" t="inlineStr">
        <is>
          <t>T-2016-Q1-00033</t>
        </is>
      </c>
      <c r="B3035" t="inlineStr">
        <is>
          <t>SLE</t>
        </is>
      </c>
      <c r="C3035" t="inlineStr">
        <is>
          <t>Vice-President, New Brunswick</t>
        </is>
      </c>
      <c r="D3035" t="inlineStr">
        <is>
          <t>Vice-président, Nouveau-Brunswick</t>
        </is>
      </c>
      <c r="E3035" t="inlineStr">
        <is>
          <t>Kent Estabrooks</t>
        </is>
      </c>
      <c r="F3035" t="inlineStr">
        <is>
          <t>Training and Development</t>
        </is>
      </c>
      <c r="G3035" t="inlineStr">
        <is>
          <t>Formation et perfectionnement</t>
        </is>
      </c>
      <c r="H3035" s="1" t="n">
        <v>42117</v>
      </c>
      <c r="I3035" s="1" t="n">
        <v>42121</v>
      </c>
      <c r="J3035" t="inlineStr">
        <is>
          <t>Toronto, Ontario</t>
        </is>
      </c>
      <c r="K3035" t="inlineStr">
        <is>
          <t>Toronto (Ontario)</t>
        </is>
      </c>
      <c r="P3035" t="n">
        <v>892.7</v>
      </c>
      <c r="Q3035" t="n">
        <v>85</v>
      </c>
      <c r="R3035" t="n">
        <v>538.27</v>
      </c>
      <c r="S3035" t="n">
        <v>317.1</v>
      </c>
      <c r="T3035" t="n">
        <v>0</v>
      </c>
      <c r="U3035" t="n">
        <v>1833.07</v>
      </c>
      <c r="X3035" t="inlineStr">
        <is>
          <t>acoa-apeca</t>
        </is>
      </c>
      <c r="Y3035" t="inlineStr">
        <is>
          <t>Atlantic Canada Opportunities Agency | Agence de promotion économique du Canada atlantique</t>
        </is>
      </c>
      <c r="Z3035" t="n">
        <v>5</v>
      </c>
      <c r="AA3035" t="n">
        <v>1833.07</v>
      </c>
      <c r="AB3035">
        <f>ROUND(U3035-AA3035,2)</f>
        <v/>
      </c>
      <c r="AC3035" t="b">
        <v>0</v>
      </c>
      <c r="AD3035">
        <f>IF(U3035="","MISSING_TOTAL",IF(ABS(AB3035)&lt;=0.01,"OK","CHECK"))</f>
        <v/>
      </c>
      <c r="AE3035">
        <f>IF(U3035="","MISSING",IF(AND(AA3035&gt;0,U3035/AA3035&gt;50),"POSSIBLE_SCALE_ERROR","OK"))</f>
        <v/>
      </c>
    </row>
    <row r="3036">
      <c r="A3036" t="inlineStr">
        <is>
          <t>T-2016-Q1-00032</t>
        </is>
      </c>
      <c r="B3036" t="inlineStr">
        <is>
          <t>SLE</t>
        </is>
      </c>
      <c r="C3036" t="inlineStr">
        <is>
          <t>Vice President, Nova Scotia</t>
        </is>
      </c>
      <c r="D3036" t="inlineStr">
        <is>
          <t>Vice-président, Nouvelle-Écosse</t>
        </is>
      </c>
      <c r="E3036" t="inlineStr">
        <is>
          <t>Peter Hogan</t>
        </is>
      </c>
      <c r="F3036" t="inlineStr">
        <is>
          <t>Various Meetings with Agency Officials</t>
        </is>
      </c>
      <c r="G3036" t="inlineStr">
        <is>
          <t>Diverses réunions avec des fonctionnaires de l'Agence</t>
        </is>
      </c>
      <c r="H3036" s="1" t="n">
        <v>42116</v>
      </c>
      <c r="I3036" s="1" t="n">
        <v>42117</v>
      </c>
      <c r="J3036" t="inlineStr">
        <is>
          <t>Sydney, Nova Scotia</t>
        </is>
      </c>
      <c r="K3036" t="inlineStr">
        <is>
          <t>Sydney (Nouvelle-Écosse)</t>
        </is>
      </c>
      <c r="P3036" t="n">
        <v>0</v>
      </c>
      <c r="Q3036" t="n">
        <v>0</v>
      </c>
      <c r="R3036" t="n">
        <v>120.82</v>
      </c>
      <c r="S3036" t="n">
        <v>136.8</v>
      </c>
      <c r="T3036" t="n">
        <v>0</v>
      </c>
      <c r="U3036" t="n">
        <v>257.62</v>
      </c>
      <c r="X3036" t="inlineStr">
        <is>
          <t>acoa-apeca</t>
        </is>
      </c>
      <c r="Y3036" t="inlineStr">
        <is>
          <t>Atlantic Canada Opportunities Agency | Agence de promotion économique du Canada atlantique</t>
        </is>
      </c>
      <c r="Z3036" t="n">
        <v>2</v>
      </c>
      <c r="AA3036" t="n">
        <v>257.62</v>
      </c>
      <c r="AB3036">
        <f>ROUND(U3036-AA3036,2)</f>
        <v/>
      </c>
      <c r="AC3036" t="b">
        <v>0</v>
      </c>
      <c r="AD3036">
        <f>IF(U3036="","MISSING_TOTAL",IF(ABS(AB3036)&lt;=0.01,"OK","CHECK"))</f>
        <v/>
      </c>
      <c r="AE3036">
        <f>IF(U3036="","MISSING",IF(AND(AA3036&gt;0,U3036/AA3036&gt;50),"POSSIBLE_SCALE_ERROR","OK"))</f>
        <v/>
      </c>
    </row>
    <row r="3037">
      <c r="A3037" t="inlineStr">
        <is>
          <t>T-2016-Q1-00031</t>
        </is>
      </c>
      <c r="B3037" t="inlineStr">
        <is>
          <t>SLE</t>
        </is>
      </c>
      <c r="C3037" t="inlineStr">
        <is>
          <t>President</t>
        </is>
      </c>
      <c r="D3037" t="inlineStr">
        <is>
          <t>Président</t>
        </is>
      </c>
      <c r="E3037" t="inlineStr">
        <is>
          <t>Paul J. LeBlanc</t>
        </is>
      </c>
      <c r="F3037" t="inlineStr">
        <is>
          <t>For various meetings and discussions with Agency and Government of Canada officials</t>
        </is>
      </c>
      <c r="G3037" t="inlineStr">
        <is>
          <t>Diverses réunions et discussions avec des fonctionnaires de l'Agence et du gouvernement du Canada</t>
        </is>
      </c>
      <c r="H3037" s="1" t="n">
        <v>42114</v>
      </c>
      <c r="I3037" s="1" t="n">
        <v>42116</v>
      </c>
      <c r="J3037" t="inlineStr">
        <is>
          <t>Ottawa, Ontario</t>
        </is>
      </c>
      <c r="K3037" t="inlineStr">
        <is>
          <t>Ottawa (Ontario)</t>
        </is>
      </c>
      <c r="P3037" t="n">
        <v>702.48</v>
      </c>
      <c r="Q3037" t="n">
        <v>0</v>
      </c>
      <c r="R3037" t="n">
        <v>377.1</v>
      </c>
      <c r="S3037" t="n">
        <v>186.7</v>
      </c>
      <c r="T3037" t="n">
        <v>0</v>
      </c>
      <c r="U3037" t="n">
        <v>1266.28</v>
      </c>
      <c r="X3037" t="inlineStr">
        <is>
          <t>acoa-apeca</t>
        </is>
      </c>
      <c r="Y3037" t="inlineStr">
        <is>
          <t>Atlantic Canada Opportunities Agency | Agence de promotion économique du Canada atlantique</t>
        </is>
      </c>
      <c r="Z3037" t="n">
        <v>3</v>
      </c>
      <c r="AA3037" t="n">
        <v>1266.28</v>
      </c>
      <c r="AB3037">
        <f>ROUND(U3037-AA3037,2)</f>
        <v/>
      </c>
      <c r="AC3037" t="b">
        <v>0</v>
      </c>
      <c r="AD3037">
        <f>IF(U3037="","MISSING_TOTAL",IF(ABS(AB3037)&lt;=0.01,"OK","CHECK"))</f>
        <v/>
      </c>
      <c r="AE3037">
        <f>IF(U3037="","MISSING",IF(AND(AA3037&gt;0,U3037/AA3037&gt;50),"POSSIBLE_SCALE_ERROR","OK"))</f>
        <v/>
      </c>
    </row>
    <row r="3038">
      <c r="A3038" t="inlineStr">
        <is>
          <t>T-2016-Q1-00030</t>
        </is>
      </c>
      <c r="B3038" t="inlineStr">
        <is>
          <t>MPSES</t>
        </is>
      </c>
      <c r="C3038" t="inlineStr">
        <is>
          <t>Minister of State</t>
        </is>
      </c>
      <c r="D3038" t="inlineStr">
        <is>
          <t>Ministre d'État</t>
        </is>
      </c>
      <c r="E3038" t="inlineStr">
        <is>
          <t>Rob Moore</t>
        </is>
      </c>
      <c r="F3038" t="inlineStr">
        <is>
          <t>Travel to speak to the Campbellton Regional Chamber of Commerce and attend Government of Canada event</t>
        </is>
      </c>
      <c r="G3038" t="inlineStr">
        <is>
          <t>Voyage pour prendre la parole devant la Chambre de commerce régionale de Campbellton et assister à une activité du gouvernement du Canada</t>
        </is>
      </c>
      <c r="H3038" s="1" t="n">
        <v>42109</v>
      </c>
      <c r="I3038" s="1" t="n">
        <v>42109</v>
      </c>
      <c r="J3038" t="inlineStr">
        <is>
          <t>Campbellton, New Brunswick</t>
        </is>
      </c>
      <c r="K3038" t="inlineStr">
        <is>
          <t>Campbellton (Nouveau-Brunswick)</t>
        </is>
      </c>
      <c r="P3038" t="n">
        <v>0</v>
      </c>
      <c r="Q3038" t="n">
        <v>403.26</v>
      </c>
      <c r="R3038" t="n">
        <v>0</v>
      </c>
      <c r="S3038" t="n">
        <v>0</v>
      </c>
      <c r="T3038" t="n">
        <v>0</v>
      </c>
      <c r="U3038" t="n">
        <v>403.26</v>
      </c>
      <c r="X3038" t="inlineStr">
        <is>
          <t>acoa-apeca</t>
        </is>
      </c>
      <c r="Y3038" t="inlineStr">
        <is>
          <t>Atlantic Canada Opportunities Agency | Agence de promotion économique du Canada atlantique</t>
        </is>
      </c>
      <c r="Z3038" t="n">
        <v>1</v>
      </c>
      <c r="AA3038" t="n">
        <v>403.26</v>
      </c>
      <c r="AB3038">
        <f>ROUND(U3038-AA3038,2)</f>
        <v/>
      </c>
      <c r="AC3038" t="b">
        <v>0</v>
      </c>
      <c r="AD3038">
        <f>IF(U3038="","MISSING_TOTAL",IF(ABS(AB3038)&lt;=0.01,"OK","CHECK"))</f>
        <v/>
      </c>
      <c r="AE3038">
        <f>IF(U3038="","MISSING",IF(AND(AA3038&gt;0,U3038/AA3038&gt;50),"POSSIBLE_SCALE_ERROR","OK"))</f>
        <v/>
      </c>
    </row>
    <row r="3039">
      <c r="A3039" t="inlineStr">
        <is>
          <t>T-2016-Q1-00028</t>
        </is>
      </c>
      <c r="B3039" t="inlineStr">
        <is>
          <t>MPSES</t>
        </is>
      </c>
      <c r="C3039" t="inlineStr">
        <is>
          <t>Executive Assistant</t>
        </is>
      </c>
      <c r="D3039" t="inlineStr">
        <is>
          <t>Adjoint exécutif</t>
        </is>
      </c>
      <c r="E3039" t="inlineStr">
        <is>
          <t>Josh Hardy</t>
        </is>
      </c>
      <c r="F3039" t="inlineStr">
        <is>
          <t>Travel for Government business</t>
        </is>
      </c>
      <c r="G3039" t="inlineStr">
        <is>
          <t>Voyage pour le compte du gouvernement</t>
        </is>
      </c>
      <c r="H3039" s="1" t="n">
        <v>42107</v>
      </c>
      <c r="I3039" s="1" t="n">
        <v>42113</v>
      </c>
      <c r="J3039" t="inlineStr">
        <is>
          <t>Moncton, New Brunswick</t>
        </is>
      </c>
      <c r="K3039" t="inlineStr">
        <is>
          <t>Moncton (Nouveau-Brunswick)</t>
        </is>
      </c>
      <c r="P3039" t="n">
        <v>664.04</v>
      </c>
      <c r="Q3039" t="n">
        <v>487.5</v>
      </c>
      <c r="R3039" t="n">
        <v>0</v>
      </c>
      <c r="S3039" t="n">
        <v>187.4</v>
      </c>
      <c r="T3039" t="n">
        <v>0</v>
      </c>
      <c r="U3039" t="n">
        <v>1338.94</v>
      </c>
      <c r="X3039" t="inlineStr">
        <is>
          <t>acoa-apeca</t>
        </is>
      </c>
      <c r="Y3039" t="inlineStr">
        <is>
          <t>Atlantic Canada Opportunities Agency | Agence de promotion économique du Canada atlantique</t>
        </is>
      </c>
      <c r="Z3039" t="n">
        <v>7</v>
      </c>
      <c r="AA3039" t="n">
        <v>1338.94</v>
      </c>
      <c r="AB3039">
        <f>ROUND(U3039-AA3039,2)</f>
        <v/>
      </c>
      <c r="AC3039" t="b">
        <v>0</v>
      </c>
      <c r="AD3039">
        <f>IF(U3039="","MISSING_TOTAL",IF(ABS(AB3039)&lt;=0.01,"OK","CHECK"))</f>
        <v/>
      </c>
      <c r="AE3039">
        <f>IF(U3039="","MISSING",IF(AND(AA3039&gt;0,U3039/AA3039&gt;50),"POSSIBLE_SCALE_ERROR","OK"))</f>
        <v/>
      </c>
    </row>
    <row r="3040">
      <c r="A3040" t="inlineStr">
        <is>
          <t>T-2016-Q1-00027</t>
        </is>
      </c>
      <c r="B3040" t="inlineStr">
        <is>
          <t>MPSES</t>
        </is>
      </c>
      <c r="C3040" t="inlineStr">
        <is>
          <t>Minister of State</t>
        </is>
      </c>
      <c r="D3040" t="inlineStr">
        <is>
          <t>Ministre d'État</t>
        </is>
      </c>
      <c r="E3040" t="inlineStr">
        <is>
          <t>Rob Moore</t>
        </is>
      </c>
      <c r="F3040" t="inlineStr">
        <is>
          <t>Travel to attend stakeholder roundtable and Government of Canada event</t>
        </is>
      </c>
      <c r="G3040" t="inlineStr">
        <is>
          <t>Voyage pour assister à une table ronde avec des intervenants et à une activité du gouvernement du Canada</t>
        </is>
      </c>
      <c r="H3040" s="1" t="n">
        <v>42107</v>
      </c>
      <c r="I3040" s="1" t="n">
        <v>42107</v>
      </c>
      <c r="J3040" t="inlineStr">
        <is>
          <t>St. Andrews and St. Stephen, New Brunswick</t>
        </is>
      </c>
      <c r="K3040" t="inlineStr">
        <is>
          <t>St. Andrews et St. Stephen (Nouveau-Brunswick)</t>
        </is>
      </c>
      <c r="P3040" t="n">
        <v>0</v>
      </c>
      <c r="Q3040" t="n">
        <v>138.65</v>
      </c>
      <c r="R3040" t="n">
        <v>0</v>
      </c>
      <c r="S3040" t="n">
        <v>16.6</v>
      </c>
      <c r="T3040" t="n">
        <v>0</v>
      </c>
      <c r="U3040" t="n">
        <v>155.25</v>
      </c>
      <c r="X3040" t="inlineStr">
        <is>
          <t>acoa-apeca</t>
        </is>
      </c>
      <c r="Y3040" t="inlineStr">
        <is>
          <t>Atlantic Canada Opportunities Agency | Agence de promotion économique du Canada atlantique</t>
        </is>
      </c>
      <c r="Z3040" t="n">
        <v>1</v>
      </c>
      <c r="AA3040" t="n">
        <v>155.25</v>
      </c>
      <c r="AB3040">
        <f>ROUND(U3040-AA3040,2)</f>
        <v/>
      </c>
      <c r="AC3040" t="b">
        <v>0</v>
      </c>
      <c r="AD3040">
        <f>IF(U3040="","MISSING_TOTAL",IF(ABS(AB3040)&lt;=0.01,"OK","CHECK"))</f>
        <v/>
      </c>
      <c r="AE3040">
        <f>IF(U3040="","MISSING",IF(AND(AA3040&gt;0,U3040/AA3040&gt;50),"POSSIBLE_SCALE_ERROR","OK"))</f>
        <v/>
      </c>
    </row>
    <row r="3041">
      <c r="A3041" t="inlineStr">
        <is>
          <t>T-2016-Q1-00026</t>
        </is>
      </c>
      <c r="B3041" t="inlineStr">
        <is>
          <t>MPSES</t>
        </is>
      </c>
      <c r="C3041" t="inlineStr">
        <is>
          <t>Minister of State</t>
        </is>
      </c>
      <c r="D3041" t="inlineStr">
        <is>
          <t>Ministre d'État</t>
        </is>
      </c>
      <c r="E3041" t="inlineStr">
        <is>
          <t>Rob Moore</t>
        </is>
      </c>
      <c r="F3041" t="inlineStr">
        <is>
          <t>Travel to attend stakeholder roundtables and Government of Canada event</t>
        </is>
      </c>
      <c r="G3041" t="inlineStr">
        <is>
          <t>Voyage pour assister à des tables rondes avec des intervenants et à une activité du gouvernement du Canada</t>
        </is>
      </c>
      <c r="H3041" s="1" t="n">
        <v>42102</v>
      </c>
      <c r="I3041" s="1" t="n">
        <v>42102</v>
      </c>
      <c r="J3041" t="inlineStr">
        <is>
          <t>Saint John and Fredericton, New Brunswick</t>
        </is>
      </c>
      <c r="K3041" t="inlineStr">
        <is>
          <t>Saint John et Fredericton (Nouveau-Brunswick)</t>
        </is>
      </c>
      <c r="P3041" t="n">
        <v>0</v>
      </c>
      <c r="Q3041" t="n">
        <v>129.72</v>
      </c>
      <c r="R3041" t="n">
        <v>0</v>
      </c>
      <c r="S3041" t="n">
        <v>16.6</v>
      </c>
      <c r="T3041" t="n">
        <v>0</v>
      </c>
      <c r="U3041" t="n">
        <v>146.32</v>
      </c>
      <c r="X3041" t="inlineStr">
        <is>
          <t>acoa-apeca</t>
        </is>
      </c>
      <c r="Y3041" t="inlineStr">
        <is>
          <t>Atlantic Canada Opportunities Agency | Agence de promotion économique du Canada atlantique</t>
        </is>
      </c>
      <c r="Z3041" t="n">
        <v>1</v>
      </c>
      <c r="AA3041" t="n">
        <v>146.32</v>
      </c>
      <c r="AB3041">
        <f>ROUND(U3041-AA3041,2)</f>
        <v/>
      </c>
      <c r="AC3041" t="b">
        <v>0</v>
      </c>
      <c r="AD3041">
        <f>IF(U3041="","MISSING_TOTAL",IF(ABS(AB3041)&lt;=0.01,"OK","CHECK"))</f>
        <v/>
      </c>
      <c r="AE3041">
        <f>IF(U3041="","MISSING",IF(AND(AA3041&gt;0,U3041/AA3041&gt;50),"POSSIBLE_SCALE_ERROR","OK"))</f>
        <v/>
      </c>
    </row>
    <row r="3042">
      <c r="A3042" t="inlineStr">
        <is>
          <t>T-2016-Q1-00025</t>
        </is>
      </c>
      <c r="B3042" t="inlineStr">
        <is>
          <t>SLE</t>
        </is>
      </c>
      <c r="C3042" t="inlineStr">
        <is>
          <t>Vice-President, Policy and Programs</t>
        </is>
      </c>
      <c r="D3042" t="inlineStr">
        <is>
          <t>Vice-président, Politiques et Programmes</t>
        </is>
      </c>
      <c r="E3042" t="inlineStr">
        <is>
          <t>Daryell Nowlan</t>
        </is>
      </c>
      <c r="F3042" t="inlineStr">
        <is>
          <t>Meeting with Government of Canada officials and training</t>
        </is>
      </c>
      <c r="G3042" t="inlineStr">
        <is>
          <t>Réunion avec des fonctionnaires du gouvernement du Canada et formation</t>
        </is>
      </c>
      <c r="H3042" s="1" t="n">
        <v>42102</v>
      </c>
      <c r="I3042" s="1" t="n">
        <v>42103</v>
      </c>
      <c r="J3042" t="inlineStr">
        <is>
          <t>Halifax, Nova Scotia</t>
        </is>
      </c>
      <c r="K3042" t="inlineStr">
        <is>
          <t>Halifax (Nouvelle-Écosse)</t>
        </is>
      </c>
      <c r="P3042" t="n">
        <v>0</v>
      </c>
      <c r="Q3042" t="n">
        <v>0</v>
      </c>
      <c r="R3042" t="n">
        <v>146.63</v>
      </c>
      <c r="S3042" t="n">
        <v>94</v>
      </c>
      <c r="T3042" t="n">
        <v>0</v>
      </c>
      <c r="U3042" t="n">
        <v>240.63</v>
      </c>
      <c r="X3042" t="inlineStr">
        <is>
          <t>acoa-apeca</t>
        </is>
      </c>
      <c r="Y3042" t="inlineStr">
        <is>
          <t>Atlantic Canada Opportunities Agency | Agence de promotion économique du Canada atlantique</t>
        </is>
      </c>
      <c r="Z3042" t="n">
        <v>2</v>
      </c>
      <c r="AA3042" t="n">
        <v>240.63</v>
      </c>
      <c r="AB3042">
        <f>ROUND(U3042-AA3042,2)</f>
        <v/>
      </c>
      <c r="AC3042" t="b">
        <v>0</v>
      </c>
      <c r="AD3042">
        <f>IF(U3042="","MISSING_TOTAL",IF(ABS(AB3042)&lt;=0.01,"OK","CHECK"))</f>
        <v/>
      </c>
      <c r="AE3042">
        <f>IF(U3042="","MISSING",IF(AND(AA3042&gt;0,U3042/AA3042&gt;50),"POSSIBLE_SCALE_ERROR","OK"))</f>
        <v/>
      </c>
    </row>
    <row r="3043">
      <c r="A3043" t="inlineStr">
        <is>
          <t>T-2016-Q1-00023</t>
        </is>
      </c>
      <c r="B3043" t="inlineStr">
        <is>
          <t>MPSES</t>
        </is>
      </c>
      <c r="C3043" t="inlineStr">
        <is>
          <t>Special Assistant - New Brunswick</t>
        </is>
      </c>
      <c r="D3043" t="inlineStr">
        <is>
          <t>Adjointe spéciale – Nouveau-Brunswick</t>
        </is>
      </c>
      <c r="E3043" t="inlineStr">
        <is>
          <t>Erika Keirstead</t>
        </is>
      </c>
      <c r="F3043" t="inlineStr">
        <is>
          <t>Travel for Government business</t>
        </is>
      </c>
      <c r="G3043" t="inlineStr">
        <is>
          <t>Voyage pour le compte du gouvernement</t>
        </is>
      </c>
      <c r="H3043" s="1" t="n">
        <v>42096</v>
      </c>
      <c r="I3043" s="1" t="n">
        <v>42096</v>
      </c>
      <c r="J3043" t="inlineStr">
        <is>
          <t>Miramichi, New Brunswick</t>
        </is>
      </c>
      <c r="K3043" t="inlineStr">
        <is>
          <t>Miramichi (Nouveau-Brunswick)</t>
        </is>
      </c>
      <c r="P3043" t="n">
        <v>0</v>
      </c>
      <c r="Q3043" t="n">
        <v>164.5</v>
      </c>
      <c r="R3043" t="n">
        <v>0</v>
      </c>
      <c r="S3043" t="n">
        <v>16.6</v>
      </c>
      <c r="T3043" t="n">
        <v>0</v>
      </c>
      <c r="U3043" t="n">
        <v>181.1</v>
      </c>
      <c r="X3043" t="inlineStr">
        <is>
          <t>acoa-apeca</t>
        </is>
      </c>
      <c r="Y3043" t="inlineStr">
        <is>
          <t>Atlantic Canada Opportunities Agency | Agence de promotion économique du Canada atlantique</t>
        </is>
      </c>
      <c r="Z3043" t="n">
        <v>1</v>
      </c>
      <c r="AA3043" t="n">
        <v>181.1</v>
      </c>
      <c r="AB3043">
        <f>ROUND(U3043-AA3043,2)</f>
        <v/>
      </c>
      <c r="AC3043" t="b">
        <v>0</v>
      </c>
      <c r="AD3043">
        <f>IF(U3043="","MISSING_TOTAL",IF(ABS(AB3043)&lt;=0.01,"OK","CHECK"))</f>
        <v/>
      </c>
      <c r="AE3043">
        <f>IF(U3043="","MISSING",IF(AND(AA3043&gt;0,U3043/AA3043&gt;50),"POSSIBLE_SCALE_ERROR","OK"))</f>
        <v/>
      </c>
    </row>
    <row r="3044">
      <c r="A3044" t="inlineStr">
        <is>
          <t>T-2016-Q1-00022</t>
        </is>
      </c>
      <c r="B3044" t="inlineStr">
        <is>
          <t>MPSES</t>
        </is>
      </c>
      <c r="C3044" t="inlineStr">
        <is>
          <t>Executive Assistant</t>
        </is>
      </c>
      <c r="D3044" t="inlineStr">
        <is>
          <t>Adjoint exécutif</t>
        </is>
      </c>
      <c r="E3044" t="inlineStr">
        <is>
          <t>Josh Hardy</t>
        </is>
      </c>
      <c r="F3044" t="inlineStr">
        <is>
          <t>Travel on Government business</t>
        </is>
      </c>
      <c r="G3044" t="inlineStr">
        <is>
          <t>Voyage pour le compte du gouvernement</t>
        </is>
      </c>
      <c r="H3044" s="1" t="n">
        <v>42095</v>
      </c>
      <c r="I3044" s="1" t="n">
        <v>42096</v>
      </c>
      <c r="J3044" t="inlineStr">
        <is>
          <t>Moncton, New Brunswick</t>
        </is>
      </c>
      <c r="K3044" t="inlineStr">
        <is>
          <t>Moncton (Nouveau-Brunswick)</t>
        </is>
      </c>
      <c r="P3044" t="n">
        <v>1344.51</v>
      </c>
      <c r="Q3044" t="n">
        <v>108.88</v>
      </c>
      <c r="R3044" t="n">
        <v>0</v>
      </c>
      <c r="S3044" t="n">
        <v>119.5</v>
      </c>
      <c r="T3044" t="n">
        <v>0</v>
      </c>
      <c r="U3044" t="n">
        <v>1572.89</v>
      </c>
      <c r="X3044" t="inlineStr">
        <is>
          <t>acoa-apeca</t>
        </is>
      </c>
      <c r="Y3044" t="inlineStr">
        <is>
          <t>Atlantic Canada Opportunities Agency | Agence de promotion économique du Canada atlantique</t>
        </is>
      </c>
      <c r="Z3044" t="n">
        <v>2</v>
      </c>
      <c r="AA3044" t="n">
        <v>1572.88999999999</v>
      </c>
      <c r="AB3044">
        <f>ROUND(U3044-AA3044,2)</f>
        <v/>
      </c>
      <c r="AC3044" t="b">
        <v>0</v>
      </c>
      <c r="AD3044">
        <f>IF(U3044="","MISSING_TOTAL",IF(ABS(AB3044)&lt;=0.01,"OK","CHECK"))</f>
        <v/>
      </c>
      <c r="AE3044">
        <f>IF(U3044="","MISSING",IF(AND(AA3044&gt;0,U3044/AA3044&gt;50),"POSSIBLE_SCALE_ERROR","OK"))</f>
        <v/>
      </c>
    </row>
    <row r="3045">
      <c r="A3045" t="inlineStr">
        <is>
          <t>T-2016-Q1-00021</t>
        </is>
      </c>
      <c r="B3045" t="inlineStr">
        <is>
          <t>MPSES</t>
        </is>
      </c>
      <c r="C3045" t="inlineStr">
        <is>
          <t>Regional Affairs Director - New Brunswick</t>
        </is>
      </c>
      <c r="D3045" t="inlineStr">
        <is>
          <t>Directeur des affaires régionales - Nouveau-Brunswick</t>
        </is>
      </c>
      <c r="E3045" t="inlineStr">
        <is>
          <t>Douglas MacDonald</t>
        </is>
      </c>
      <c r="F3045" t="inlineStr">
        <is>
          <t>Travel on Government business</t>
        </is>
      </c>
      <c r="G3045" t="inlineStr">
        <is>
          <t>Voyage pour le compte du gouvernement</t>
        </is>
      </c>
      <c r="H3045" s="1" t="n">
        <v>42095</v>
      </c>
      <c r="I3045" s="1" t="n">
        <v>42096</v>
      </c>
      <c r="J3045" t="inlineStr">
        <is>
          <t>Miramichi, New Brunswick</t>
        </is>
      </c>
      <c r="K3045" t="inlineStr">
        <is>
          <t>Miramichi (Nouveau-Brunswick)</t>
        </is>
      </c>
      <c r="P3045" t="n">
        <v>0</v>
      </c>
      <c r="Q3045" t="n">
        <v>256.62</v>
      </c>
      <c r="R3045" t="n">
        <v>148.69</v>
      </c>
      <c r="S3045" t="n">
        <v>110</v>
      </c>
      <c r="T3045" t="n">
        <v>0</v>
      </c>
      <c r="U3045" t="n">
        <v>515.3099999999999</v>
      </c>
      <c r="X3045" t="inlineStr">
        <is>
          <t>acoa-apeca</t>
        </is>
      </c>
      <c r="Y3045" t="inlineStr">
        <is>
          <t>Atlantic Canada Opportunities Agency | Agence de promotion économique du Canada atlantique</t>
        </is>
      </c>
      <c r="Z3045" t="n">
        <v>2</v>
      </c>
      <c r="AA3045" t="n">
        <v>515.3099999999999</v>
      </c>
      <c r="AB3045">
        <f>ROUND(U3045-AA3045,2)</f>
        <v/>
      </c>
      <c r="AC3045" t="b">
        <v>0</v>
      </c>
      <c r="AD3045">
        <f>IF(U3045="","MISSING_TOTAL",IF(ABS(AB3045)&lt;=0.01,"OK","CHECK"))</f>
        <v/>
      </c>
      <c r="AE3045">
        <f>IF(U3045="","MISSING",IF(AND(AA3045&gt;0,U3045/AA3045&gt;50),"POSSIBLE_SCALE_ERROR","OK"))</f>
        <v/>
      </c>
    </row>
    <row r="3046">
      <c r="A3046" t="inlineStr">
        <is>
          <t>T-2016-Q1-00020</t>
        </is>
      </c>
      <c r="B3046" t="inlineStr">
        <is>
          <t>SLE</t>
        </is>
      </c>
      <c r="C3046" t="inlineStr">
        <is>
          <t>Vice-President, Prince Edward Island</t>
        </is>
      </c>
      <c r="D3046" t="inlineStr">
        <is>
          <t>Vice-président, Île-du-Prince-Édouard</t>
        </is>
      </c>
      <c r="E3046" t="inlineStr">
        <is>
          <t>Patrick Dorsey</t>
        </is>
      </c>
      <c r="F3046" t="inlineStr">
        <is>
          <t>Meetings with Government of Canada Officials in Ottawa</t>
        </is>
      </c>
      <c r="G3046" t="inlineStr">
        <is>
          <t>Réunions avec des fonctionnaires du gouvernement du Canada à Ottawa</t>
        </is>
      </c>
      <c r="H3046" s="1" t="n">
        <v>42095</v>
      </c>
      <c r="I3046" s="1" t="n">
        <v>42096</v>
      </c>
      <c r="J3046" t="inlineStr">
        <is>
          <t>Ottawa, Ontario</t>
        </is>
      </c>
      <c r="K3046" t="inlineStr">
        <is>
          <t>Ottawa (Ontario)</t>
        </is>
      </c>
      <c r="P3046" t="n">
        <v>1303.39</v>
      </c>
      <c r="Q3046" t="n">
        <v>93.5</v>
      </c>
      <c r="R3046" t="n">
        <v>182.73</v>
      </c>
      <c r="S3046" t="n">
        <v>153.3</v>
      </c>
      <c r="T3046" t="n">
        <v>0</v>
      </c>
      <c r="U3046" t="n">
        <v>1732.92</v>
      </c>
      <c r="X3046" t="inlineStr">
        <is>
          <t>acoa-apeca</t>
        </is>
      </c>
      <c r="Y3046" t="inlineStr">
        <is>
          <t>Atlantic Canada Opportunities Agency | Agence de promotion économique du Canada atlantique</t>
        </is>
      </c>
      <c r="Z3046" t="n">
        <v>2</v>
      </c>
      <c r="AA3046" t="n">
        <v>1732.92</v>
      </c>
      <c r="AB3046">
        <f>ROUND(U3046-AA3046,2)</f>
        <v/>
      </c>
      <c r="AC3046" t="b">
        <v>0</v>
      </c>
      <c r="AD3046">
        <f>IF(U3046="","MISSING_TOTAL",IF(ABS(AB3046)&lt;=0.01,"OK","CHECK"))</f>
        <v/>
      </c>
      <c r="AE3046">
        <f>IF(U3046="","MISSING",IF(AND(AA3046&gt;0,U3046/AA3046&gt;50),"POSSIBLE_SCALE_ERROR","OK"))</f>
        <v/>
      </c>
    </row>
    <row r="3047">
      <c r="A3047" t="inlineStr">
        <is>
          <t>T-2016-Q1-00019</t>
        </is>
      </c>
      <c r="B3047" t="inlineStr">
        <is>
          <t>SLE</t>
        </is>
      </c>
      <c r="C3047" t="inlineStr">
        <is>
          <t>Vice-President, Policy and Programs</t>
        </is>
      </c>
      <c r="D3047" t="inlineStr">
        <is>
          <t>Vice-président, Politiques et Programmes</t>
        </is>
      </c>
      <c r="E3047" t="inlineStr">
        <is>
          <t>Daryell Nowlan</t>
        </is>
      </c>
      <c r="F3047" t="inlineStr">
        <is>
          <t>Meetings with Government of Canada officials</t>
        </is>
      </c>
      <c r="G3047" t="inlineStr">
        <is>
          <t>Réunions avec des fonctionnaires du gouvernement du Canada</t>
        </is>
      </c>
      <c r="H3047" s="1" t="n">
        <v>42094</v>
      </c>
      <c r="I3047" s="1" t="n">
        <v>42096</v>
      </c>
      <c r="J3047" t="inlineStr">
        <is>
          <t>Ottawa, Ontario</t>
        </is>
      </c>
      <c r="K3047" t="inlineStr">
        <is>
          <t>Ottawa (Ontario)</t>
        </is>
      </c>
      <c r="P3047" t="n">
        <v>687.04</v>
      </c>
      <c r="Q3047" t="n">
        <v>126</v>
      </c>
      <c r="R3047" t="n">
        <v>365.46</v>
      </c>
      <c r="S3047" t="n">
        <v>170.1</v>
      </c>
      <c r="T3047" t="n">
        <v>0</v>
      </c>
      <c r="U3047" t="n">
        <v>1348.6</v>
      </c>
      <c r="X3047" t="inlineStr">
        <is>
          <t>acoa-apeca</t>
        </is>
      </c>
      <c r="Y3047" t="inlineStr">
        <is>
          <t>Atlantic Canada Opportunities Agency | Agence de promotion économique du Canada atlantique</t>
        </is>
      </c>
      <c r="Z3047" t="n">
        <v>3</v>
      </c>
      <c r="AA3047" t="n">
        <v>1348.6</v>
      </c>
      <c r="AB3047">
        <f>ROUND(U3047-AA3047,2)</f>
        <v/>
      </c>
      <c r="AC3047" t="b">
        <v>0</v>
      </c>
      <c r="AD3047">
        <f>IF(U3047="","MISSING_TOTAL",IF(ABS(AB3047)&lt;=0.01,"OK","CHECK"))</f>
        <v/>
      </c>
      <c r="AE3047">
        <f>IF(U3047="","MISSING",IF(AND(AA3047&gt;0,U3047/AA3047&gt;50),"POSSIBLE_SCALE_ERROR","OK"))</f>
        <v/>
      </c>
    </row>
    <row r="3048">
      <c r="A3048" t="inlineStr">
        <is>
          <t>T-2016-Q1-00018</t>
        </is>
      </c>
      <c r="B3048" t="inlineStr">
        <is>
          <t>SLE</t>
        </is>
      </c>
      <c r="C3048" t="inlineStr">
        <is>
          <t>Vice-President, Policy and Programs</t>
        </is>
      </c>
      <c r="D3048" t="inlineStr">
        <is>
          <t>Vice-président, Politiques et Programmes</t>
        </is>
      </c>
      <c r="E3048" t="inlineStr">
        <is>
          <t>Daryell Nowlan</t>
        </is>
      </c>
      <c r="F3048" t="inlineStr">
        <is>
          <t>Meeting with Government of Canada officials</t>
        </is>
      </c>
      <c r="G3048" t="inlineStr">
        <is>
          <t>Réunion avec des fonctionnaires du gouvernement du Canada</t>
        </is>
      </c>
      <c r="H3048" s="1" t="n">
        <v>42088</v>
      </c>
      <c r="I3048" s="1" t="n">
        <v>42089</v>
      </c>
      <c r="J3048" t="inlineStr">
        <is>
          <t>Halifax, Nova Scotia</t>
        </is>
      </c>
      <c r="K3048" t="inlineStr">
        <is>
          <t>Halifax (Nouvelle-Écosse)</t>
        </is>
      </c>
      <c r="P3048" t="n">
        <v>0</v>
      </c>
      <c r="Q3048" t="n">
        <v>0</v>
      </c>
      <c r="R3048" t="n">
        <v>139.59</v>
      </c>
      <c r="S3048" t="n">
        <v>119</v>
      </c>
      <c r="T3048" t="n">
        <v>0</v>
      </c>
      <c r="U3048" t="n">
        <v>258.59</v>
      </c>
      <c r="X3048" t="inlineStr">
        <is>
          <t>acoa-apeca</t>
        </is>
      </c>
      <c r="Y3048" t="inlineStr">
        <is>
          <t>Atlantic Canada Opportunities Agency | Agence de promotion économique du Canada atlantique</t>
        </is>
      </c>
      <c r="Z3048" t="n">
        <v>2</v>
      </c>
      <c r="AA3048" t="n">
        <v>258.59</v>
      </c>
      <c r="AB3048">
        <f>ROUND(U3048-AA3048,2)</f>
        <v/>
      </c>
      <c r="AC3048" t="b">
        <v>0</v>
      </c>
      <c r="AD3048">
        <f>IF(U3048="","MISSING_TOTAL",IF(ABS(AB3048)&lt;=0.01,"OK","CHECK"))</f>
        <v/>
      </c>
      <c r="AE3048">
        <f>IF(U3048="","MISSING",IF(AND(AA3048&gt;0,U3048/AA3048&gt;50),"POSSIBLE_SCALE_ERROR","OK"))</f>
        <v/>
      </c>
    </row>
    <row r="3049">
      <c r="A3049" t="inlineStr">
        <is>
          <t>T-2016-Q1-00017</t>
        </is>
      </c>
      <c r="B3049" t="inlineStr">
        <is>
          <t>MPSES</t>
        </is>
      </c>
      <c r="C3049" t="inlineStr">
        <is>
          <t>Minister of State</t>
        </is>
      </c>
      <c r="D3049" t="inlineStr">
        <is>
          <t>Ministre d'État</t>
        </is>
      </c>
      <c r="E3049" t="inlineStr">
        <is>
          <t>Rob Moore</t>
        </is>
      </c>
      <c r="F3049" t="inlineStr">
        <is>
          <t>Travel to attend Government of Canada announcement</t>
        </is>
      </c>
      <c r="G3049" t="inlineStr">
        <is>
          <t>Voyage pour assister à une annonce du gouvernement du Canada</t>
        </is>
      </c>
      <c r="H3049" s="1" t="n">
        <v>42083</v>
      </c>
      <c r="I3049" s="1" t="n">
        <v>42083</v>
      </c>
      <c r="J3049" t="inlineStr">
        <is>
          <t>Summerside, Prince Edward Island</t>
        </is>
      </c>
      <c r="K3049" t="inlineStr">
        <is>
          <t>Summerside (Île-du-Prince-Édouard)</t>
        </is>
      </c>
      <c r="P3049" t="n">
        <v>0</v>
      </c>
      <c r="Q3049" t="n">
        <v>309.34</v>
      </c>
      <c r="R3049" t="n">
        <v>0</v>
      </c>
      <c r="S3049" t="n">
        <v>16.35</v>
      </c>
      <c r="T3049" t="n">
        <v>0</v>
      </c>
      <c r="U3049" t="n">
        <v>325.69</v>
      </c>
      <c r="X3049" t="inlineStr">
        <is>
          <t>acoa-apeca</t>
        </is>
      </c>
      <c r="Y3049" t="inlineStr">
        <is>
          <t>Atlantic Canada Opportunities Agency | Agence de promotion économique du Canada atlantique</t>
        </is>
      </c>
      <c r="Z3049" t="n">
        <v>1</v>
      </c>
      <c r="AA3049" t="n">
        <v>325.69</v>
      </c>
      <c r="AB3049">
        <f>ROUND(U3049-AA3049,2)</f>
        <v/>
      </c>
      <c r="AC3049" t="b">
        <v>0</v>
      </c>
      <c r="AD3049">
        <f>IF(U3049="","MISSING_TOTAL",IF(ABS(AB3049)&lt;=0.01,"OK","CHECK"))</f>
        <v/>
      </c>
      <c r="AE3049">
        <f>IF(U3049="","MISSING",IF(AND(AA3049&gt;0,U3049/AA3049&gt;50),"POSSIBLE_SCALE_ERROR","OK"))</f>
        <v/>
      </c>
    </row>
    <row r="3050">
      <c r="A3050" t="inlineStr">
        <is>
          <t>T-2016-Q1-00016</t>
        </is>
      </c>
      <c r="B3050" t="inlineStr">
        <is>
          <t>MPSES</t>
        </is>
      </c>
      <c r="C3050" t="inlineStr">
        <is>
          <t>Minister of State</t>
        </is>
      </c>
      <c r="D3050" t="inlineStr">
        <is>
          <t>Ministre d'État</t>
        </is>
      </c>
      <c r="E3050" t="inlineStr">
        <is>
          <t>Rob Moore</t>
        </is>
      </c>
      <c r="F3050" t="inlineStr">
        <is>
          <t>Visit to CCNB Grand Falls and meeting with area mayors</t>
        </is>
      </c>
      <c r="G3050" t="inlineStr">
        <is>
          <t>Visite du CCNB de Grand-Sault et réunion avec les maires de la région</t>
        </is>
      </c>
      <c r="H3050" s="1" t="n">
        <v>42082</v>
      </c>
      <c r="I3050" s="1" t="n">
        <v>42082</v>
      </c>
      <c r="J3050" t="inlineStr">
        <is>
          <t>Grand Falls, New Brunswick</t>
        </is>
      </c>
      <c r="K3050" t="inlineStr">
        <is>
          <t>Grand-Sault (Nouveau-Brunswick)</t>
        </is>
      </c>
      <c r="P3050" t="n">
        <v>0</v>
      </c>
      <c r="Q3050" t="n">
        <v>348.98</v>
      </c>
      <c r="R3050" t="n">
        <v>0</v>
      </c>
      <c r="S3050" t="n">
        <v>15.75</v>
      </c>
      <c r="T3050" t="n">
        <v>0</v>
      </c>
      <c r="U3050" t="n">
        <v>364.73</v>
      </c>
      <c r="X3050" t="inlineStr">
        <is>
          <t>acoa-apeca</t>
        </is>
      </c>
      <c r="Y3050" t="inlineStr">
        <is>
          <t>Atlantic Canada Opportunities Agency | Agence de promotion économique du Canada atlantique</t>
        </is>
      </c>
      <c r="Z3050" t="n">
        <v>1</v>
      </c>
      <c r="AA3050" t="n">
        <v>364.73</v>
      </c>
      <c r="AB3050">
        <f>ROUND(U3050-AA3050,2)</f>
        <v/>
      </c>
      <c r="AC3050" t="b">
        <v>0</v>
      </c>
      <c r="AD3050">
        <f>IF(U3050="","MISSING_TOTAL",IF(ABS(AB3050)&lt;=0.01,"OK","CHECK"))</f>
        <v/>
      </c>
      <c r="AE3050">
        <f>IF(U3050="","MISSING",IF(AND(AA3050&gt;0,U3050/AA3050&gt;50),"POSSIBLE_SCALE_ERROR","OK"))</f>
        <v/>
      </c>
    </row>
    <row r="3051">
      <c r="A3051" t="inlineStr">
        <is>
          <t>T-2016-Q1-00014</t>
        </is>
      </c>
      <c r="B3051" t="inlineStr">
        <is>
          <t>MPSES</t>
        </is>
      </c>
      <c r="C3051" t="inlineStr">
        <is>
          <t>Regional Affairs Director - New Brunswick</t>
        </is>
      </c>
      <c r="D3051" t="inlineStr">
        <is>
          <t>Directeur des affaires régionales - Nouveau-Brunswick</t>
        </is>
      </c>
      <c r="E3051" t="inlineStr">
        <is>
          <t>Douglas MacDonald</t>
        </is>
      </c>
      <c r="F3051" t="inlineStr">
        <is>
          <t>Travel on Government business</t>
        </is>
      </c>
      <c r="G3051" t="inlineStr">
        <is>
          <t>Voyage pour le compte du gouvernement</t>
        </is>
      </c>
      <c r="H3051" s="1" t="n">
        <v>42081</v>
      </c>
      <c r="I3051" s="1" t="n">
        <v>42081</v>
      </c>
      <c r="J3051" t="inlineStr">
        <is>
          <t>Cambridge-Narrows, New Brunswick</t>
        </is>
      </c>
      <c r="K3051" t="inlineStr">
        <is>
          <t>Cambridge-Narrows (Nouveau-Brunswick)</t>
        </is>
      </c>
      <c r="P3051" t="n">
        <v>0</v>
      </c>
      <c r="Q3051" t="n">
        <v>81.18000000000001</v>
      </c>
      <c r="R3051" t="n">
        <v>0</v>
      </c>
      <c r="S3051" t="n">
        <v>0</v>
      </c>
      <c r="T3051" t="n">
        <v>0</v>
      </c>
      <c r="U3051" t="n">
        <v>81.18000000000001</v>
      </c>
      <c r="X3051" t="inlineStr">
        <is>
          <t>acoa-apeca</t>
        </is>
      </c>
      <c r="Y3051" t="inlineStr">
        <is>
          <t>Atlantic Canada Opportunities Agency | Agence de promotion économique du Canada atlantique</t>
        </is>
      </c>
      <c r="Z3051" t="n">
        <v>1</v>
      </c>
      <c r="AA3051" t="n">
        <v>81.18000000000001</v>
      </c>
      <c r="AB3051">
        <f>ROUND(U3051-AA3051,2)</f>
        <v/>
      </c>
      <c r="AC3051" t="b">
        <v>0</v>
      </c>
      <c r="AD3051">
        <f>IF(U3051="","MISSING_TOTAL",IF(ABS(AB3051)&lt;=0.01,"OK","CHECK"))</f>
        <v/>
      </c>
      <c r="AE3051">
        <f>IF(U3051="","MISSING",IF(AND(AA3051&gt;0,U3051/AA3051&gt;50),"POSSIBLE_SCALE_ERROR","OK"))</f>
        <v/>
      </c>
    </row>
    <row r="3052">
      <c r="A3052" t="inlineStr">
        <is>
          <t>T-2016-Q1-00013</t>
        </is>
      </c>
      <c r="B3052" t="inlineStr">
        <is>
          <t>MPSES</t>
        </is>
      </c>
      <c r="C3052" t="inlineStr">
        <is>
          <t>Executive Assistant</t>
        </is>
      </c>
      <c r="D3052" t="inlineStr">
        <is>
          <t>Adjoint exécutif</t>
        </is>
      </c>
      <c r="E3052" t="inlineStr">
        <is>
          <t>Josh Hardy</t>
        </is>
      </c>
      <c r="F3052" t="inlineStr">
        <is>
          <t>Travel for Government Business</t>
        </is>
      </c>
      <c r="G3052" t="inlineStr">
        <is>
          <t>Voyage pour le compte du gouvernement</t>
        </is>
      </c>
      <c r="H3052" s="1" t="n">
        <v>42080</v>
      </c>
      <c r="I3052" s="1" t="n">
        <v>42084</v>
      </c>
      <c r="J3052" t="inlineStr">
        <is>
          <t>Moncton, New Brunswick; Summerside, Prince Edward Island; Grand Falls, New Brunswick</t>
        </is>
      </c>
      <c r="K3052" t="inlineStr">
        <is>
          <t>Moncton (Nouveau-Brunswick); Summerside (Île-du-Prince-Édouard); Grand-Sault (Nouveau-Brunswick)</t>
        </is>
      </c>
      <c r="P3052" t="n">
        <v>1001.18</v>
      </c>
      <c r="Q3052" t="n">
        <v>588.83</v>
      </c>
      <c r="R3052" t="n">
        <v>0</v>
      </c>
      <c r="S3052" t="n">
        <v>142.55</v>
      </c>
      <c r="T3052" t="n">
        <v>0</v>
      </c>
      <c r="U3052" t="n">
        <v>1732.56</v>
      </c>
      <c r="X3052" t="inlineStr">
        <is>
          <t>acoa-apeca</t>
        </is>
      </c>
      <c r="Y3052" t="inlineStr">
        <is>
          <t>Atlantic Canada Opportunities Agency | Agence de promotion économique du Canada atlantique</t>
        </is>
      </c>
      <c r="Z3052" t="n">
        <v>5</v>
      </c>
      <c r="AA3052" t="n">
        <v>1732.56</v>
      </c>
      <c r="AB3052">
        <f>ROUND(U3052-AA3052,2)</f>
        <v/>
      </c>
      <c r="AC3052" t="b">
        <v>0</v>
      </c>
      <c r="AD3052">
        <f>IF(U3052="","MISSING_TOTAL",IF(ABS(AB3052)&lt;=0.01,"OK","CHECK"))</f>
        <v/>
      </c>
      <c r="AE3052">
        <f>IF(U3052="","MISSING",IF(AND(AA3052&gt;0,U3052/AA3052&gt;50),"POSSIBLE_SCALE_ERROR","OK"))</f>
        <v/>
      </c>
    </row>
    <row r="3053">
      <c r="A3053" t="inlineStr">
        <is>
          <t>T-2016-Q1-00012</t>
        </is>
      </c>
      <c r="B3053" t="inlineStr">
        <is>
          <t>SLE</t>
        </is>
      </c>
      <c r="C3053" t="inlineStr">
        <is>
          <t>Vice-President, Policy and Programs</t>
        </is>
      </c>
      <c r="D3053" t="inlineStr">
        <is>
          <t>Vice-président, Politiques et Programmes</t>
        </is>
      </c>
      <c r="E3053" t="inlineStr">
        <is>
          <t>Daryell Nowlan</t>
        </is>
      </c>
      <c r="F3053" t="inlineStr">
        <is>
          <t>Meetings with Government of Canada officials</t>
        </is>
      </c>
      <c r="G3053" t="inlineStr">
        <is>
          <t>Réunions avec des fonctionnaires du gouvernement du Canada</t>
        </is>
      </c>
      <c r="H3053" s="1" t="n">
        <v>42080</v>
      </c>
      <c r="I3053" s="1" t="n">
        <v>42082</v>
      </c>
      <c r="J3053" t="inlineStr">
        <is>
          <t>Ottawa, Ontario</t>
        </is>
      </c>
      <c r="K3053" t="inlineStr">
        <is>
          <t>Ottawa (Ontario)</t>
        </is>
      </c>
      <c r="P3053" t="n">
        <v>937.9</v>
      </c>
      <c r="Q3053" t="n">
        <v>114.42</v>
      </c>
      <c r="R3053" t="n">
        <v>365.46</v>
      </c>
      <c r="S3053" t="n">
        <v>126.8</v>
      </c>
      <c r="T3053" t="n">
        <v>0</v>
      </c>
      <c r="U3053" t="n">
        <v>1544.58</v>
      </c>
      <c r="X3053" t="inlineStr">
        <is>
          <t>acoa-apeca</t>
        </is>
      </c>
      <c r="Y3053" t="inlineStr">
        <is>
          <t>Atlantic Canada Opportunities Agency | Agence de promotion économique du Canada atlantique</t>
        </is>
      </c>
      <c r="Z3053" t="n">
        <v>3</v>
      </c>
      <c r="AA3053" t="n">
        <v>1544.58</v>
      </c>
      <c r="AB3053">
        <f>ROUND(U3053-AA3053,2)</f>
        <v/>
      </c>
      <c r="AC3053" t="b">
        <v>0</v>
      </c>
      <c r="AD3053">
        <f>IF(U3053="","MISSING_TOTAL",IF(ABS(AB3053)&lt;=0.01,"OK","CHECK"))</f>
        <v/>
      </c>
      <c r="AE3053">
        <f>IF(U3053="","MISSING",IF(AND(AA3053&gt;0,U3053/AA3053&gt;50),"POSSIBLE_SCALE_ERROR","OK"))</f>
        <v/>
      </c>
    </row>
    <row r="3054">
      <c r="A3054" t="inlineStr">
        <is>
          <t>T-2016-Q1-00011</t>
        </is>
      </c>
      <c r="B3054" t="inlineStr">
        <is>
          <t>MPSES</t>
        </is>
      </c>
      <c r="C3054" t="inlineStr">
        <is>
          <t>Regional Affairs Director - New Brunswick</t>
        </is>
      </c>
      <c r="D3054" t="inlineStr">
        <is>
          <t>Directeur des affaires régionales - Nouveau-Brunswick</t>
        </is>
      </c>
      <c r="E3054" t="inlineStr">
        <is>
          <t>Douglas MacDonald</t>
        </is>
      </c>
      <c r="F3054" t="inlineStr">
        <is>
          <t>Travel on Government business</t>
        </is>
      </c>
      <c r="G3054" t="inlineStr">
        <is>
          <t>Voyage pour le compte du gouvernement</t>
        </is>
      </c>
      <c r="H3054" s="1" t="n">
        <v>42076</v>
      </c>
      <c r="I3054" s="1" t="n">
        <v>42077</v>
      </c>
      <c r="J3054" t="inlineStr">
        <is>
          <t>Miramichi, New Brunswick</t>
        </is>
      </c>
      <c r="K3054" t="inlineStr">
        <is>
          <t>Miramichi (Nouveau-Brunswick)</t>
        </is>
      </c>
      <c r="P3054" t="n">
        <v>0</v>
      </c>
      <c r="Q3054" t="n">
        <v>254.93</v>
      </c>
      <c r="R3054" t="n">
        <v>91.98999999999999</v>
      </c>
      <c r="S3054" t="n">
        <v>151.1</v>
      </c>
      <c r="T3054" t="n">
        <v>0</v>
      </c>
      <c r="U3054" t="n">
        <v>498.02</v>
      </c>
      <c r="X3054" t="inlineStr">
        <is>
          <t>acoa-apeca</t>
        </is>
      </c>
      <c r="Y3054" t="inlineStr">
        <is>
          <t>Atlantic Canada Opportunities Agency | Agence de promotion économique du Canada atlantique</t>
        </is>
      </c>
      <c r="Z3054" t="n">
        <v>2</v>
      </c>
      <c r="AA3054" t="n">
        <v>498.02</v>
      </c>
      <c r="AB3054">
        <f>ROUND(U3054-AA3054,2)</f>
        <v/>
      </c>
      <c r="AC3054" t="b">
        <v>0</v>
      </c>
      <c r="AD3054">
        <f>IF(U3054="","MISSING_TOTAL",IF(ABS(AB3054)&lt;=0.01,"OK","CHECK"))</f>
        <v/>
      </c>
      <c r="AE3054">
        <f>IF(U3054="","MISSING",IF(AND(AA3054&gt;0,U3054/AA3054&gt;50),"POSSIBLE_SCALE_ERROR","OK"))</f>
        <v/>
      </c>
    </row>
    <row r="3055">
      <c r="A3055" t="inlineStr">
        <is>
          <t>T-2016-Q1-00010</t>
        </is>
      </c>
      <c r="B3055" t="inlineStr">
        <is>
          <t>SLE</t>
        </is>
      </c>
      <c r="C3055" t="inlineStr">
        <is>
          <t>Vice President, Nova Scotia</t>
        </is>
      </c>
      <c r="D3055" t="inlineStr">
        <is>
          <t>Vice-président, Nouvelle-Écosse</t>
        </is>
      </c>
      <c r="E3055" t="inlineStr">
        <is>
          <t>Peter Hogan</t>
        </is>
      </c>
      <c r="F3055" t="inlineStr">
        <is>
          <t>Various Meetings with Agency and Government of Canada Officials</t>
        </is>
      </c>
      <c r="G3055" t="inlineStr">
        <is>
          <t>Diverses réunions avec des fonctionnaires de l'Agence et du gouvernement du Canada</t>
        </is>
      </c>
      <c r="H3055" s="1" t="n">
        <v>42075</v>
      </c>
      <c r="I3055" s="1" t="n">
        <v>42076</v>
      </c>
      <c r="J3055" t="inlineStr">
        <is>
          <t>Ottawa, Ontario</t>
        </is>
      </c>
      <c r="K3055" t="inlineStr">
        <is>
          <t>Ottawa (Ontario)</t>
        </is>
      </c>
      <c r="P3055" t="n">
        <v>483.61</v>
      </c>
      <c r="Q3055" t="n">
        <v>96.2</v>
      </c>
      <c r="R3055" t="n">
        <v>182.73</v>
      </c>
      <c r="S3055" t="n">
        <v>151.1</v>
      </c>
      <c r="T3055" t="n">
        <v>0</v>
      </c>
      <c r="U3055" t="n">
        <v>913.64</v>
      </c>
      <c r="X3055" t="inlineStr">
        <is>
          <t>acoa-apeca</t>
        </is>
      </c>
      <c r="Y3055" t="inlineStr">
        <is>
          <t>Atlantic Canada Opportunities Agency | Agence de promotion économique du Canada atlantique</t>
        </is>
      </c>
      <c r="Z3055" t="n">
        <v>2</v>
      </c>
      <c r="AA3055" t="n">
        <v>913.64</v>
      </c>
      <c r="AB3055">
        <f>ROUND(U3055-AA3055,2)</f>
        <v/>
      </c>
      <c r="AC3055" t="b">
        <v>0</v>
      </c>
      <c r="AD3055">
        <f>IF(U3055="","MISSING_TOTAL",IF(ABS(AB3055)&lt;=0.01,"OK","CHECK"))</f>
        <v/>
      </c>
      <c r="AE3055">
        <f>IF(U3055="","MISSING",IF(AND(AA3055&gt;0,U3055/AA3055&gt;50),"POSSIBLE_SCALE_ERROR","OK"))</f>
        <v/>
      </c>
    </row>
    <row r="3056">
      <c r="A3056" t="inlineStr">
        <is>
          <t>T-2016-Q1-00008</t>
        </is>
      </c>
      <c r="B3056" t="inlineStr">
        <is>
          <t>SLE</t>
        </is>
      </c>
      <c r="C3056" t="inlineStr">
        <is>
          <t>Vice-President, New Brunswick</t>
        </is>
      </c>
      <c r="D3056" t="inlineStr">
        <is>
          <t>Vice-président, Nouveau-Brunswick</t>
        </is>
      </c>
      <c r="E3056" t="inlineStr">
        <is>
          <t>Kent Estabrooks</t>
        </is>
      </c>
      <c r="F3056" t="inlineStr">
        <is>
          <t>Meetings with Various Federal Officials and Agency Officials</t>
        </is>
      </c>
      <c r="G3056" t="inlineStr">
        <is>
          <t>Réunions avec divers fonctionnaires fédéraux et de l'Agence</t>
        </is>
      </c>
      <c r="H3056" s="1" t="n">
        <v>42073</v>
      </c>
      <c r="I3056" s="1" t="n">
        <v>42074</v>
      </c>
      <c r="J3056" t="inlineStr">
        <is>
          <t>Ottawa, Ontario</t>
        </is>
      </c>
      <c r="K3056" t="inlineStr">
        <is>
          <t>Ottawa (Ontario)</t>
        </is>
      </c>
      <c r="P3056" t="n">
        <v>892.7</v>
      </c>
      <c r="Q3056" t="n">
        <v>124.96</v>
      </c>
      <c r="R3056" t="n">
        <v>182.73</v>
      </c>
      <c r="S3056" t="n">
        <v>119</v>
      </c>
      <c r="T3056" t="n">
        <v>0</v>
      </c>
      <c r="U3056" t="n">
        <v>1319.39</v>
      </c>
      <c r="X3056" t="inlineStr">
        <is>
          <t>acoa-apeca</t>
        </is>
      </c>
      <c r="Y3056" t="inlineStr">
        <is>
          <t>Atlantic Canada Opportunities Agency | Agence de promotion économique du Canada atlantique</t>
        </is>
      </c>
      <c r="Z3056" t="n">
        <v>2</v>
      </c>
      <c r="AA3056" t="n">
        <v>1319.39</v>
      </c>
      <c r="AB3056">
        <f>ROUND(U3056-AA3056,2)</f>
        <v/>
      </c>
      <c r="AC3056" t="b">
        <v>0</v>
      </c>
      <c r="AD3056">
        <f>IF(U3056="","MISSING_TOTAL",IF(ABS(AB3056)&lt;=0.01,"OK","CHECK"))</f>
        <v/>
      </c>
      <c r="AE3056">
        <f>IF(U3056="","MISSING",IF(AND(AA3056&gt;0,U3056/AA3056&gt;50),"POSSIBLE_SCALE_ERROR","OK"))</f>
        <v/>
      </c>
    </row>
    <row r="3057">
      <c r="A3057" t="inlineStr">
        <is>
          <t>T-2016-Q1-00007</t>
        </is>
      </c>
      <c r="B3057" t="inlineStr">
        <is>
          <t>MPSES</t>
        </is>
      </c>
      <c r="C3057" t="inlineStr">
        <is>
          <t>Minister of State</t>
        </is>
      </c>
      <c r="D3057" t="inlineStr">
        <is>
          <t>Ministre d'État</t>
        </is>
      </c>
      <c r="E3057" t="inlineStr">
        <is>
          <t>Rob Moore</t>
        </is>
      </c>
      <c r="F3057" t="inlineStr">
        <is>
          <t>Travel to attend Government of Canada announcement</t>
        </is>
      </c>
      <c r="G3057" t="inlineStr">
        <is>
          <t>Voyage pour assister à une annonce du gouvernement du Canada</t>
        </is>
      </c>
      <c r="H3057" s="1" t="n">
        <v>42073</v>
      </c>
      <c r="I3057" s="1" t="n">
        <v>42074</v>
      </c>
      <c r="J3057" t="inlineStr">
        <is>
          <t>Fredericton and Quispamsis, New Brunswick</t>
        </is>
      </c>
      <c r="K3057" t="inlineStr">
        <is>
          <t>Fredericton et Quispamsis (Nouveau-Brunswick)</t>
        </is>
      </c>
      <c r="P3057" t="n">
        <v>1656.72</v>
      </c>
      <c r="Q3057" t="n">
        <v>20.79</v>
      </c>
      <c r="R3057" t="n">
        <v>0</v>
      </c>
      <c r="S3057" t="n">
        <v>16.35</v>
      </c>
      <c r="T3057" t="n">
        <v>0</v>
      </c>
      <c r="U3057" t="n">
        <v>1693.86</v>
      </c>
      <c r="X3057" t="inlineStr">
        <is>
          <t>acoa-apeca</t>
        </is>
      </c>
      <c r="Y3057" t="inlineStr">
        <is>
          <t>Atlantic Canada Opportunities Agency | Agence de promotion économique du Canada atlantique</t>
        </is>
      </c>
      <c r="Z3057" t="n">
        <v>2</v>
      </c>
      <c r="AA3057" t="n">
        <v>1693.86</v>
      </c>
      <c r="AB3057">
        <f>ROUND(U3057-AA3057,2)</f>
        <v/>
      </c>
      <c r="AC3057" t="b">
        <v>0</v>
      </c>
      <c r="AD3057">
        <f>IF(U3057="","MISSING_TOTAL",IF(ABS(AB3057)&lt;=0.01,"OK","CHECK"))</f>
        <v/>
      </c>
      <c r="AE3057">
        <f>IF(U3057="","MISSING",IF(AND(AA3057&gt;0,U3057/AA3057&gt;50),"POSSIBLE_SCALE_ERROR","OK"))</f>
        <v/>
      </c>
    </row>
    <row r="3058">
      <c r="A3058" t="inlineStr">
        <is>
          <t>T-2016-Q1-00006</t>
        </is>
      </c>
      <c r="B3058" t="inlineStr">
        <is>
          <t>SLE</t>
        </is>
      </c>
      <c r="C3058" t="inlineStr">
        <is>
          <t>Vice-President, Policy and Programs</t>
        </is>
      </c>
      <c r="D3058" t="inlineStr">
        <is>
          <t>Vice-président, Politiques et Programmes</t>
        </is>
      </c>
      <c r="E3058" t="inlineStr">
        <is>
          <t>Daryell Nowlan</t>
        </is>
      </c>
      <c r="F3058" t="inlineStr">
        <is>
          <t>Meetings with Government of Canada officials</t>
        </is>
      </c>
      <c r="G3058" t="inlineStr">
        <is>
          <t>Réunions avec des fonctionnaires du gouvernement du Canada</t>
        </is>
      </c>
      <c r="H3058" s="1" t="n">
        <v>42072</v>
      </c>
      <c r="I3058" s="1" t="n">
        <v>42074</v>
      </c>
      <c r="J3058" t="inlineStr">
        <is>
          <t>Ottawa, Ontario</t>
        </is>
      </c>
      <c r="K3058" t="inlineStr">
        <is>
          <t>Ottawa (Ontario)</t>
        </is>
      </c>
      <c r="P3058" t="n">
        <v>937.9</v>
      </c>
      <c r="Q3058" t="n">
        <v>126.5</v>
      </c>
      <c r="R3058" t="n">
        <v>365.46</v>
      </c>
      <c r="S3058" t="n">
        <v>168.4</v>
      </c>
      <c r="T3058" t="n">
        <v>0</v>
      </c>
      <c r="U3058" t="n">
        <v>1598.26</v>
      </c>
      <c r="X3058" t="inlineStr">
        <is>
          <t>acoa-apeca</t>
        </is>
      </c>
      <c r="Y3058" t="inlineStr">
        <is>
          <t>Atlantic Canada Opportunities Agency | Agence de promotion économique du Canada atlantique</t>
        </is>
      </c>
      <c r="Z3058" t="n">
        <v>3</v>
      </c>
      <c r="AA3058" t="n">
        <v>1598.26</v>
      </c>
      <c r="AB3058">
        <f>ROUND(U3058-AA3058,2)</f>
        <v/>
      </c>
      <c r="AC3058" t="b">
        <v>0</v>
      </c>
      <c r="AD3058">
        <f>IF(U3058="","MISSING_TOTAL",IF(ABS(AB3058)&lt;=0.01,"OK","CHECK"))</f>
        <v/>
      </c>
      <c r="AE3058">
        <f>IF(U3058="","MISSING",IF(AND(AA3058&gt;0,U3058/AA3058&gt;50),"POSSIBLE_SCALE_ERROR","OK"))</f>
        <v/>
      </c>
    </row>
    <row r="3059">
      <c r="A3059" t="inlineStr">
        <is>
          <t>T-2016-Q1-00005</t>
        </is>
      </c>
      <c r="B3059" t="inlineStr">
        <is>
          <t>SLE</t>
        </is>
      </c>
      <c r="C3059" t="inlineStr">
        <is>
          <t>President</t>
        </is>
      </c>
      <c r="D3059" t="inlineStr">
        <is>
          <t>Président</t>
        </is>
      </c>
      <c r="E3059" t="inlineStr">
        <is>
          <t>Paul J. LeBlanc</t>
        </is>
      </c>
      <c r="F3059" t="inlineStr">
        <is>
          <t>For various meetings and discussions with Agency and Government of Canada officials</t>
        </is>
      </c>
      <c r="G3059" t="inlineStr">
        <is>
          <t>Diverses réunions et discussions avec des fonctionnaires de l'Agence et du gouvernement du Canada</t>
        </is>
      </c>
      <c r="H3059" s="1" t="n">
        <v>42072</v>
      </c>
      <c r="I3059" s="1" t="n">
        <v>42074</v>
      </c>
      <c r="J3059" t="inlineStr">
        <is>
          <t>Ottawa, Ontario</t>
        </is>
      </c>
      <c r="K3059" t="inlineStr">
        <is>
          <t>Ottawa (Ontario)</t>
        </is>
      </c>
      <c r="P3059" t="n">
        <v>793.38</v>
      </c>
      <c r="Q3059" t="n">
        <v>0</v>
      </c>
      <c r="R3059" t="n">
        <v>377.1</v>
      </c>
      <c r="S3059" t="n">
        <v>226.95</v>
      </c>
      <c r="T3059" t="n">
        <v>48</v>
      </c>
      <c r="U3059" t="n">
        <v>1445.43</v>
      </c>
      <c r="X3059" t="inlineStr">
        <is>
          <t>acoa-apeca</t>
        </is>
      </c>
      <c r="Y3059" t="inlineStr">
        <is>
          <t>Atlantic Canada Opportunities Agency | Agence de promotion économique du Canada atlantique</t>
        </is>
      </c>
      <c r="Z3059" t="n">
        <v>3</v>
      </c>
      <c r="AA3059" t="n">
        <v>1445.43</v>
      </c>
      <c r="AB3059">
        <f>ROUND(U3059-AA3059,2)</f>
        <v/>
      </c>
      <c r="AC3059" t="b">
        <v>0</v>
      </c>
      <c r="AD3059">
        <f>IF(U3059="","MISSING_TOTAL",IF(ABS(AB3059)&lt;=0.01,"OK","CHECK"))</f>
        <v/>
      </c>
      <c r="AE3059">
        <f>IF(U3059="","MISSING",IF(AND(AA3059&gt;0,U3059/AA3059&gt;50),"POSSIBLE_SCALE_ERROR","OK"))</f>
        <v/>
      </c>
    </row>
    <row r="3060">
      <c r="A3060" t="inlineStr">
        <is>
          <t>T-2016-Q1-00004</t>
        </is>
      </c>
      <c r="B3060" t="inlineStr">
        <is>
          <t>SLE</t>
        </is>
      </c>
      <c r="C3060" t="inlineStr">
        <is>
          <t>Vice-President, New Brunswick</t>
        </is>
      </c>
      <c r="D3060" t="inlineStr">
        <is>
          <t>Vice-président, Nouveau-Brunswick</t>
        </is>
      </c>
      <c r="E3060" t="inlineStr">
        <is>
          <t>Kent Estabrooks</t>
        </is>
      </c>
      <c r="F3060" t="inlineStr">
        <is>
          <t>Executive Committee Meeting</t>
        </is>
      </c>
      <c r="G3060" t="inlineStr">
        <is>
          <t>Réunion du Comité de direction</t>
        </is>
      </c>
      <c r="H3060" s="1" t="n">
        <v>42067</v>
      </c>
      <c r="I3060" s="1" t="n">
        <v>42068</v>
      </c>
      <c r="J3060" t="inlineStr">
        <is>
          <t>Moncton, New Brunswick</t>
        </is>
      </c>
      <c r="K3060" t="inlineStr">
        <is>
          <t>Moncton (Nouveau-Brunswick)</t>
        </is>
      </c>
      <c r="P3060" t="n">
        <v>0</v>
      </c>
      <c r="Q3060" t="n">
        <v>0</v>
      </c>
      <c r="R3060" t="n">
        <v>113</v>
      </c>
      <c r="S3060" t="n">
        <v>119</v>
      </c>
      <c r="T3060" t="n">
        <v>0</v>
      </c>
      <c r="U3060" t="n">
        <v>232</v>
      </c>
      <c r="X3060" t="inlineStr">
        <is>
          <t>acoa-apeca</t>
        </is>
      </c>
      <c r="Y3060" t="inlineStr">
        <is>
          <t>Atlantic Canada Opportunities Agency | Agence de promotion économique du Canada atlantique</t>
        </is>
      </c>
      <c r="Z3060" t="n">
        <v>2</v>
      </c>
      <c r="AA3060" t="n">
        <v>232</v>
      </c>
      <c r="AB3060">
        <f>ROUND(U3060-AA3060,2)</f>
        <v/>
      </c>
      <c r="AC3060" t="b">
        <v>0</v>
      </c>
      <c r="AD3060">
        <f>IF(U3060="","MISSING_TOTAL",IF(ABS(AB3060)&lt;=0.01,"OK","CHECK"))</f>
        <v/>
      </c>
      <c r="AE3060">
        <f>IF(U3060="","MISSING",IF(AND(AA3060&gt;0,U3060/AA3060&gt;50),"POSSIBLE_SCALE_ERROR","OK"))</f>
        <v/>
      </c>
    </row>
    <row r="3061">
      <c r="A3061" t="inlineStr">
        <is>
          <t>T-2016-Q1-00003</t>
        </is>
      </c>
      <c r="B3061" t="inlineStr">
        <is>
          <t>SLE</t>
        </is>
      </c>
      <c r="C3061" t="inlineStr">
        <is>
          <t>Vice President, Nova Scotia</t>
        </is>
      </c>
      <c r="D3061" t="inlineStr">
        <is>
          <t>Vice-président, Nouvelle-Écosse</t>
        </is>
      </c>
      <c r="E3061" t="inlineStr">
        <is>
          <t>Peter Hogan</t>
        </is>
      </c>
      <c r="F3061" t="inlineStr">
        <is>
          <t>Meeting with Agency Officials</t>
        </is>
      </c>
      <c r="G3061" t="inlineStr">
        <is>
          <t>Réunion avec des fonctionnaires de l'Agence</t>
        </is>
      </c>
      <c r="H3061" s="1" t="n">
        <v>42067</v>
      </c>
      <c r="I3061" s="1" t="n">
        <v>42069</v>
      </c>
      <c r="J3061" t="inlineStr">
        <is>
          <t>Moncton, New Brunswick</t>
        </is>
      </c>
      <c r="K3061" t="inlineStr">
        <is>
          <t>Moncton (Nouveau-Brunswick)</t>
        </is>
      </c>
      <c r="P3061" t="n">
        <v>0</v>
      </c>
      <c r="Q3061" t="n">
        <v>287.59</v>
      </c>
      <c r="R3061" t="n">
        <v>145.77</v>
      </c>
      <c r="S3061" t="n">
        <v>76.8</v>
      </c>
      <c r="T3061" t="n">
        <v>0</v>
      </c>
      <c r="U3061" t="n">
        <v>510.16</v>
      </c>
      <c r="X3061" t="inlineStr">
        <is>
          <t>acoa-apeca</t>
        </is>
      </c>
      <c r="Y3061" t="inlineStr">
        <is>
          <t>Atlantic Canada Opportunities Agency | Agence de promotion économique du Canada atlantique</t>
        </is>
      </c>
      <c r="Z3061" t="n">
        <v>3</v>
      </c>
      <c r="AA3061" t="n">
        <v>510.16</v>
      </c>
      <c r="AB3061">
        <f>ROUND(U3061-AA3061,2)</f>
        <v/>
      </c>
      <c r="AC3061" t="b">
        <v>0</v>
      </c>
      <c r="AD3061">
        <f>IF(U3061="","MISSING_TOTAL",IF(ABS(AB3061)&lt;=0.01,"OK","CHECK"))</f>
        <v/>
      </c>
      <c r="AE3061">
        <f>IF(U3061="","MISSING",IF(AND(AA3061&gt;0,U3061/AA3061&gt;50),"POSSIBLE_SCALE_ERROR","OK"))</f>
        <v/>
      </c>
    </row>
    <row r="3062">
      <c r="A3062" t="inlineStr">
        <is>
          <t>T-2016-Q1-00002</t>
        </is>
      </c>
      <c r="B3062" t="inlineStr">
        <is>
          <t>SLE</t>
        </is>
      </c>
      <c r="C3062" t="inlineStr">
        <is>
          <t>Vice-President, Prince Edward Island</t>
        </is>
      </c>
      <c r="D3062" t="inlineStr">
        <is>
          <t>Vice-président, Île-du-Prince-Édouard</t>
        </is>
      </c>
      <c r="E3062" t="inlineStr">
        <is>
          <t>Patrick Dorsey</t>
        </is>
      </c>
      <c r="F3062" t="inlineStr">
        <is>
          <t>Executive Committee Meeting in Moncton</t>
        </is>
      </c>
      <c r="G3062" t="inlineStr">
        <is>
          <t>Réunion du Comité de direction à Moncton</t>
        </is>
      </c>
      <c r="H3062" s="1" t="n">
        <v>42067</v>
      </c>
      <c r="I3062" s="1" t="n">
        <v>42068</v>
      </c>
      <c r="J3062" t="inlineStr">
        <is>
          <t>Moncton, New Brunswick</t>
        </is>
      </c>
      <c r="K3062" t="inlineStr">
        <is>
          <t>Moncton (Nouveau-Brunswick)</t>
        </is>
      </c>
      <c r="P3062" t="n">
        <v>0</v>
      </c>
      <c r="Q3062" t="n">
        <v>113</v>
      </c>
      <c r="R3062" t="n">
        <v>60.76</v>
      </c>
      <c r="S3062" t="n">
        <v>92.55</v>
      </c>
      <c r="T3062" t="n">
        <v>0</v>
      </c>
      <c r="U3062" t="n">
        <v>266.31</v>
      </c>
      <c r="X3062" t="inlineStr">
        <is>
          <t>acoa-apeca</t>
        </is>
      </c>
      <c r="Y3062" t="inlineStr">
        <is>
          <t>Atlantic Canada Opportunities Agency | Agence de promotion économique du Canada atlantique</t>
        </is>
      </c>
      <c r="Z3062" t="n">
        <v>2</v>
      </c>
      <c r="AA3062" t="n">
        <v>266.31</v>
      </c>
      <c r="AB3062">
        <f>ROUND(U3062-AA3062,2)</f>
        <v/>
      </c>
      <c r="AC3062" t="b">
        <v>0</v>
      </c>
      <c r="AD3062">
        <f>IF(U3062="","MISSING_TOTAL",IF(ABS(AB3062)&lt;=0.01,"OK","CHECK"))</f>
        <v/>
      </c>
      <c r="AE3062">
        <f>IF(U3062="","MISSING",IF(AND(AA3062&gt;0,U3062/AA3062&gt;50),"POSSIBLE_SCALE_ERROR","OK"))</f>
        <v/>
      </c>
    </row>
    <row r="3063">
      <c r="A3063" t="inlineStr">
        <is>
          <t>T-2016-Q1-00001</t>
        </is>
      </c>
      <c r="B3063" t="inlineStr">
        <is>
          <t>SLE</t>
        </is>
      </c>
      <c r="C3063" t="inlineStr">
        <is>
          <t>Vice-President, Newfoundland and Labrador</t>
        </is>
      </c>
      <c r="D3063" t="inlineStr">
        <is>
          <t>Vice-président, Terre-Neuve-et-Labrador</t>
        </is>
      </c>
      <c r="E3063" t="inlineStr">
        <is>
          <t>Paul Mills</t>
        </is>
      </c>
      <c r="F3063" t="inlineStr">
        <is>
          <t>EXCOM meeting in Moncton, NB</t>
        </is>
      </c>
      <c r="G3063" t="inlineStr">
        <is>
          <t>Réunion du Comité de direction à Moncton (Nouveau-Brunswick)</t>
        </is>
      </c>
      <c r="H3063" s="1" t="n">
        <v>42067</v>
      </c>
      <c r="I3063" s="1" t="n">
        <v>42069</v>
      </c>
      <c r="J3063" t="inlineStr">
        <is>
          <t>Moncton, New Brunswick</t>
        </is>
      </c>
      <c r="K3063" t="inlineStr">
        <is>
          <t>Moncton (Nouveau-Brunswick)</t>
        </is>
      </c>
      <c r="P3063" t="n">
        <v>1426.06</v>
      </c>
      <c r="Q3063" t="n">
        <v>279.66</v>
      </c>
      <c r="R3063" t="n">
        <v>253.76</v>
      </c>
      <c r="S3063" t="n">
        <v>200.5</v>
      </c>
      <c r="T3063" t="n">
        <v>45.96</v>
      </c>
      <c r="U3063" t="n">
        <v>2205.94</v>
      </c>
      <c r="X3063" t="inlineStr">
        <is>
          <t>acoa-apeca</t>
        </is>
      </c>
      <c r="Y3063" t="inlineStr">
        <is>
          <t>Atlantic Canada Opportunities Agency | Agence de promotion économique du Canada atlantique</t>
        </is>
      </c>
      <c r="Z3063" t="n">
        <v>3</v>
      </c>
      <c r="AA3063" t="n">
        <v>2205.94</v>
      </c>
      <c r="AB3063">
        <f>ROUND(U3063-AA3063,2)</f>
        <v/>
      </c>
      <c r="AC3063" t="b">
        <v>0</v>
      </c>
      <c r="AD3063">
        <f>IF(U3063="","MISSING_TOTAL",IF(ABS(AB3063)&lt;=0.01,"OK","CHECK"))</f>
        <v/>
      </c>
      <c r="AE3063">
        <f>IF(U3063="","MISSING",IF(AND(AA3063&gt;0,U3063/AA3063&gt;50),"POSSIBLE_SCALE_ERROR","OK"))</f>
        <v/>
      </c>
    </row>
    <row r="3064">
      <c r="A3064" t="inlineStr">
        <is>
          <t>T-2015-Q4-00070</t>
        </is>
      </c>
      <c r="B3064" t="inlineStr">
        <is>
          <t>SLE</t>
        </is>
      </c>
      <c r="C3064" t="inlineStr">
        <is>
          <t>President</t>
        </is>
      </c>
      <c r="D3064" t="inlineStr">
        <is>
          <t>Président</t>
        </is>
      </c>
      <c r="E3064" t="inlineStr">
        <is>
          <t>Paul J. LeBlanc</t>
        </is>
      </c>
      <c r="F3064" t="inlineStr">
        <is>
          <t>For various meetings and discussions with Government of Canada officials</t>
        </is>
      </c>
      <c r="G3064" t="inlineStr">
        <is>
          <t>Diverses réunions et discussions avec des fonctionnaires du gouvernement du Canada</t>
        </is>
      </c>
      <c r="H3064" s="1" t="n">
        <v>42061</v>
      </c>
      <c r="I3064" s="1" t="n">
        <v>42061</v>
      </c>
      <c r="J3064" t="inlineStr">
        <is>
          <t>Charlottetown, Prince Edward Island</t>
        </is>
      </c>
      <c r="K3064" t="inlineStr">
        <is>
          <t>Charlottetown (Île-du-Prince-Édouard)</t>
        </is>
      </c>
      <c r="P3064" t="n">
        <v>0</v>
      </c>
      <c r="Q3064" t="n">
        <v>0</v>
      </c>
      <c r="R3064" t="n">
        <v>0</v>
      </c>
      <c r="S3064" t="n">
        <v>0</v>
      </c>
      <c r="T3064" t="n">
        <v>105</v>
      </c>
      <c r="U3064" t="n">
        <v>105</v>
      </c>
      <c r="X3064" t="inlineStr">
        <is>
          <t>acoa-apeca</t>
        </is>
      </c>
      <c r="Y3064" t="inlineStr">
        <is>
          <t>Atlantic Canada Opportunities Agency | Agence de promotion économique du Canada atlantique</t>
        </is>
      </c>
      <c r="Z3064" t="n">
        <v>1</v>
      </c>
      <c r="AA3064" t="n">
        <v>105</v>
      </c>
      <c r="AB3064">
        <f>ROUND(U3064-AA3064,2)</f>
        <v/>
      </c>
      <c r="AC3064" t="b">
        <v>0</v>
      </c>
      <c r="AD3064">
        <f>IF(U3064="","MISSING_TOTAL",IF(ABS(AB3064)&lt;=0.01,"OK","CHECK"))</f>
        <v/>
      </c>
      <c r="AE3064">
        <f>IF(U3064="","MISSING",IF(AND(AA3064&gt;0,U3064/AA3064&gt;50),"POSSIBLE_SCALE_ERROR","OK"))</f>
        <v/>
      </c>
    </row>
    <row r="3065">
      <c r="A3065" t="inlineStr">
        <is>
          <t>T-2015-Q4-00069</t>
        </is>
      </c>
      <c r="B3065" t="inlineStr">
        <is>
          <t>SLE</t>
        </is>
      </c>
      <c r="C3065" t="inlineStr">
        <is>
          <t>Vice-President, Finance and Corporate Services</t>
        </is>
      </c>
      <c r="D3065" t="inlineStr">
        <is>
          <t>Vice-présidente, Finances et Services corporatifs</t>
        </is>
      </c>
      <c r="E3065" t="inlineStr">
        <is>
          <t>Denise Frenette</t>
        </is>
      </c>
      <c r="F3065" t="inlineStr">
        <is>
          <t>For session with Government of Canada officials</t>
        </is>
      </c>
      <c r="G3065" t="inlineStr">
        <is>
          <t>Séance avec des fonctionnaires du gouvernement du Canada</t>
        </is>
      </c>
      <c r="H3065" s="1" t="n">
        <v>42060</v>
      </c>
      <c r="I3065" s="1" t="n">
        <v>42061</v>
      </c>
      <c r="J3065" t="inlineStr">
        <is>
          <t>Ottawa, Ontario</t>
        </is>
      </c>
      <c r="K3065" t="inlineStr">
        <is>
          <t>Ottawa (Ontario)</t>
        </is>
      </c>
      <c r="P3065" t="n">
        <v>198.79</v>
      </c>
      <c r="Q3065" t="n">
        <v>88.93000000000001</v>
      </c>
      <c r="R3065" t="n">
        <v>182.73</v>
      </c>
      <c r="S3065" t="n">
        <v>185.6</v>
      </c>
      <c r="T3065" t="n">
        <v>0</v>
      </c>
      <c r="U3065" t="n">
        <v>656.05</v>
      </c>
      <c r="X3065" t="inlineStr">
        <is>
          <t>acoa-apeca</t>
        </is>
      </c>
      <c r="Y3065" t="inlineStr">
        <is>
          <t>Atlantic Canada Opportunities Agency | Agence de promotion économique du Canada atlantique</t>
        </is>
      </c>
      <c r="Z3065" t="n">
        <v>2</v>
      </c>
      <c r="AA3065" t="n">
        <v>656.05</v>
      </c>
      <c r="AB3065">
        <f>ROUND(U3065-AA3065,2)</f>
        <v/>
      </c>
      <c r="AC3065" t="b">
        <v>0</v>
      </c>
      <c r="AD3065">
        <f>IF(U3065="","MISSING_TOTAL",IF(ABS(AB3065)&lt;=0.01,"OK","CHECK"))</f>
        <v/>
      </c>
      <c r="AE3065">
        <f>IF(U3065="","MISSING",IF(AND(AA3065&gt;0,U3065/AA3065&gt;50),"POSSIBLE_SCALE_ERROR","OK"))</f>
        <v/>
      </c>
    </row>
    <row r="3066">
      <c r="A3066" t="inlineStr">
        <is>
          <t>T-2015-Q4-00067</t>
        </is>
      </c>
      <c r="B3066" t="inlineStr">
        <is>
          <t>MPSES</t>
        </is>
      </c>
      <c r="C3066" t="inlineStr">
        <is>
          <t>Minister of State</t>
        </is>
      </c>
      <c r="D3066" t="inlineStr">
        <is>
          <t>Ministre d'État</t>
        </is>
      </c>
      <c r="E3066" t="inlineStr">
        <is>
          <t>Rob Moore</t>
        </is>
      </c>
      <c r="F3066" t="inlineStr">
        <is>
          <t>Travel to Government of Canada announcement and meetings</t>
        </is>
      </c>
      <c r="G3066" t="inlineStr">
        <is>
          <t>Voyage pour assister à une annonce du gouvernement du Canada et à des réunions</t>
        </is>
      </c>
      <c r="H3066" s="1" t="n">
        <v>42055</v>
      </c>
      <c r="I3066" s="1" t="n">
        <v>42055</v>
      </c>
      <c r="J3066" t="inlineStr">
        <is>
          <t>Fredericton, New Brunswick</t>
        </is>
      </c>
      <c r="K3066" t="inlineStr">
        <is>
          <t>Fredericton (Nouveau-Brunswick)</t>
        </is>
      </c>
      <c r="P3066" t="n">
        <v>0</v>
      </c>
      <c r="Q3066" t="n">
        <v>136.13</v>
      </c>
      <c r="R3066" t="n">
        <v>0</v>
      </c>
      <c r="S3066" t="n">
        <v>16.35</v>
      </c>
      <c r="T3066" t="n">
        <v>0</v>
      </c>
      <c r="U3066" t="n">
        <v>152.48</v>
      </c>
      <c r="X3066" t="inlineStr">
        <is>
          <t>acoa-apeca</t>
        </is>
      </c>
      <c r="Y3066" t="inlineStr">
        <is>
          <t>Atlantic Canada Opportunities Agency | Agence de promotion économique du Canada atlantique</t>
        </is>
      </c>
      <c r="Z3066" t="n">
        <v>1</v>
      </c>
      <c r="AA3066" t="n">
        <v>152.48</v>
      </c>
      <c r="AB3066">
        <f>ROUND(U3066-AA3066,2)</f>
        <v/>
      </c>
      <c r="AC3066" t="b">
        <v>0</v>
      </c>
      <c r="AD3066">
        <f>IF(U3066="","MISSING_TOTAL",IF(ABS(AB3066)&lt;=0.01,"OK","CHECK"))</f>
        <v/>
      </c>
      <c r="AE3066">
        <f>IF(U3066="","MISSING",IF(AND(AA3066&gt;0,U3066/AA3066&gt;50),"POSSIBLE_SCALE_ERROR","OK"))</f>
        <v/>
      </c>
    </row>
    <row r="3067">
      <c r="A3067" t="inlineStr">
        <is>
          <t>T-2015-Q4-00066</t>
        </is>
      </c>
      <c r="B3067" t="inlineStr">
        <is>
          <t>SLE</t>
        </is>
      </c>
      <c r="C3067" t="inlineStr">
        <is>
          <t>President</t>
        </is>
      </c>
      <c r="D3067" t="inlineStr">
        <is>
          <t>Président</t>
        </is>
      </c>
      <c r="E3067" t="inlineStr">
        <is>
          <t>Paul J. LeBlanc</t>
        </is>
      </c>
      <c r="F3067" t="inlineStr">
        <is>
          <t>For various meetings and discussions with Agency and Government of Canada officials</t>
        </is>
      </c>
      <c r="G3067" t="inlineStr">
        <is>
          <t>Diverses réunions et discussions avec des fonctionnaires de l'Agence et du gouvernement du Canada</t>
        </is>
      </c>
      <c r="H3067" s="1" t="n">
        <v>42055</v>
      </c>
      <c r="I3067" s="1" t="n">
        <v>42055</v>
      </c>
      <c r="J3067" t="inlineStr">
        <is>
          <t>Fredericton, New Brunswick</t>
        </is>
      </c>
      <c r="K3067" t="inlineStr">
        <is>
          <t>Fredericton (Nouveau-Brunswick)</t>
        </is>
      </c>
      <c r="P3067" t="n">
        <v>0</v>
      </c>
      <c r="Q3067" t="n">
        <v>0</v>
      </c>
      <c r="R3067" t="n">
        <v>0</v>
      </c>
      <c r="S3067" t="n">
        <v>0</v>
      </c>
      <c r="T3067" t="n">
        <v>5</v>
      </c>
      <c r="U3067" t="n">
        <v>5</v>
      </c>
      <c r="X3067" t="inlineStr">
        <is>
          <t>acoa-apeca</t>
        </is>
      </c>
      <c r="Y3067" t="inlineStr">
        <is>
          <t>Atlantic Canada Opportunities Agency | Agence de promotion économique du Canada atlantique</t>
        </is>
      </c>
      <c r="Z3067" t="n">
        <v>1</v>
      </c>
      <c r="AA3067" t="n">
        <v>5</v>
      </c>
      <c r="AB3067">
        <f>ROUND(U3067-AA3067,2)</f>
        <v/>
      </c>
      <c r="AC3067" t="b">
        <v>0</v>
      </c>
      <c r="AD3067">
        <f>IF(U3067="","MISSING_TOTAL",IF(ABS(AB3067)&lt;=0.01,"OK","CHECK"))</f>
        <v/>
      </c>
      <c r="AE3067">
        <f>IF(U3067="","MISSING",IF(AND(AA3067&gt;0,U3067/AA3067&gt;50),"POSSIBLE_SCALE_ERROR","OK"))</f>
        <v/>
      </c>
    </row>
    <row r="3068">
      <c r="A3068" t="inlineStr">
        <is>
          <t>T-2015-Q4-00065</t>
        </is>
      </c>
      <c r="B3068" t="inlineStr">
        <is>
          <t>MPSES</t>
        </is>
      </c>
      <c r="C3068" t="inlineStr">
        <is>
          <t>Chief of Staff</t>
        </is>
      </c>
      <c r="D3068" t="inlineStr">
        <is>
          <t>Chef de cabinet</t>
        </is>
      </c>
      <c r="E3068" t="inlineStr">
        <is>
          <t>Shane Bourke</t>
        </is>
      </c>
      <c r="F3068" t="inlineStr">
        <is>
          <t>Travel on Government business</t>
        </is>
      </c>
      <c r="G3068" t="inlineStr">
        <is>
          <t>Voyage pour le compte du gouvernement</t>
        </is>
      </c>
      <c r="H3068" s="1" t="n">
        <v>42054</v>
      </c>
      <c r="I3068" s="1" t="n">
        <v>42055</v>
      </c>
      <c r="J3068" t="inlineStr">
        <is>
          <t>Fredericton, New Brunswick</t>
        </is>
      </c>
      <c r="K3068" t="inlineStr">
        <is>
          <t>Fredericton (Nouveau-Brunswick)</t>
        </is>
      </c>
      <c r="P3068" t="n">
        <v>750.4400000000001</v>
      </c>
      <c r="Q3068" t="n">
        <v>78.22</v>
      </c>
      <c r="R3068" t="n">
        <v>146.9</v>
      </c>
      <c r="S3068" t="n">
        <v>0</v>
      </c>
      <c r="T3068" t="n">
        <v>0</v>
      </c>
      <c r="U3068" t="n">
        <v>975.5599999999999</v>
      </c>
      <c r="X3068" t="inlineStr">
        <is>
          <t>acoa-apeca</t>
        </is>
      </c>
      <c r="Y3068" t="inlineStr">
        <is>
          <t>Atlantic Canada Opportunities Agency | Agence de promotion économique du Canada atlantique</t>
        </is>
      </c>
      <c r="Z3068" t="n">
        <v>2</v>
      </c>
      <c r="AA3068" t="n">
        <v>975.5599999999999</v>
      </c>
      <c r="AB3068">
        <f>ROUND(U3068-AA3068,2)</f>
        <v/>
      </c>
      <c r="AC3068" t="b">
        <v>0</v>
      </c>
      <c r="AD3068">
        <f>IF(U3068="","MISSING_TOTAL",IF(ABS(AB3068)&lt;=0.01,"OK","CHECK"))</f>
        <v/>
      </c>
      <c r="AE3068">
        <f>IF(U3068="","MISSING",IF(AND(AA3068&gt;0,U3068/AA3068&gt;50),"POSSIBLE_SCALE_ERROR","OK"))</f>
        <v/>
      </c>
    </row>
    <row r="3069">
      <c r="A3069" t="inlineStr">
        <is>
          <t>T-2015-Q4-00063</t>
        </is>
      </c>
      <c r="B3069" t="inlineStr">
        <is>
          <t>MPSES</t>
        </is>
      </c>
      <c r="C3069" t="inlineStr">
        <is>
          <t>Regional Affairs Director - Newfoundland &amp; Labrador</t>
        </is>
      </c>
      <c r="D3069" t="inlineStr">
        <is>
          <t>Directrice des affaires régionales - Terre-Neuve et le Labrador</t>
        </is>
      </c>
      <c r="E3069" t="inlineStr">
        <is>
          <t>Lorraine Barnett</t>
        </is>
      </c>
      <c r="F3069" t="inlineStr">
        <is>
          <t>Travel for Government business</t>
        </is>
      </c>
      <c r="G3069" t="inlineStr">
        <is>
          <t>Voyage pour le compte du gouvernement</t>
        </is>
      </c>
      <c r="H3069" s="1" t="n">
        <v>42053</v>
      </c>
      <c r="I3069" s="1" t="n">
        <v>42054</v>
      </c>
      <c r="J3069" t="inlineStr">
        <is>
          <t>Ottawa, Ontario</t>
        </is>
      </c>
      <c r="K3069" t="inlineStr">
        <is>
          <t>Ottawa (Ontario)</t>
        </is>
      </c>
      <c r="P3069" t="n">
        <v>647.26</v>
      </c>
      <c r="Q3069" t="n">
        <v>42</v>
      </c>
      <c r="R3069" t="n">
        <v>182.73</v>
      </c>
      <c r="S3069" t="n">
        <v>151.1</v>
      </c>
      <c r="T3069" t="n">
        <v>0</v>
      </c>
      <c r="U3069" t="n">
        <v>1023.09</v>
      </c>
      <c r="X3069" t="inlineStr">
        <is>
          <t>acoa-apeca</t>
        </is>
      </c>
      <c r="Y3069" t="inlineStr">
        <is>
          <t>Atlantic Canada Opportunities Agency | Agence de promotion économique du Canada atlantique</t>
        </is>
      </c>
      <c r="Z3069" t="n">
        <v>2</v>
      </c>
      <c r="AA3069" t="n">
        <v>1023.09</v>
      </c>
      <c r="AB3069">
        <f>ROUND(U3069-AA3069,2)</f>
        <v/>
      </c>
      <c r="AC3069" t="b">
        <v>0</v>
      </c>
      <c r="AD3069">
        <f>IF(U3069="","MISSING_TOTAL",IF(ABS(AB3069)&lt;=0.01,"OK","CHECK"))</f>
        <v/>
      </c>
      <c r="AE3069">
        <f>IF(U3069="","MISSING",IF(AND(AA3069&gt;0,U3069/AA3069&gt;50),"POSSIBLE_SCALE_ERROR","OK"))</f>
        <v/>
      </c>
    </row>
    <row r="3070">
      <c r="A3070" t="inlineStr">
        <is>
          <t>T-2015-Q4-00062</t>
        </is>
      </c>
      <c r="B3070" t="inlineStr">
        <is>
          <t>SLE</t>
        </is>
      </c>
      <c r="C3070" t="inlineStr">
        <is>
          <t>Vice-President, Prince Edward Island</t>
        </is>
      </c>
      <c r="D3070" t="inlineStr">
        <is>
          <t>Vice-président, Île-du-Prince-Édouard</t>
        </is>
      </c>
      <c r="E3070" t="inlineStr">
        <is>
          <t>Patrick Dorsey</t>
        </is>
      </c>
      <c r="F3070" t="inlineStr">
        <is>
          <t>To attend Association of Atlantic Universities Conference in Halifax</t>
        </is>
      </c>
      <c r="G3070" t="inlineStr">
        <is>
          <t>Assister à une conférence de l'Association des universités de l'Atlantique à Halifax</t>
        </is>
      </c>
      <c r="H3070" s="1" t="n">
        <v>42053</v>
      </c>
      <c r="I3070" s="1" t="n">
        <v>42055</v>
      </c>
      <c r="J3070" t="inlineStr">
        <is>
          <t>Halifax, Nova Scotia</t>
        </is>
      </c>
      <c r="K3070" t="inlineStr">
        <is>
          <t>Halifax (Nouvelle-Écosse)</t>
        </is>
      </c>
      <c r="P3070" t="n">
        <v>0</v>
      </c>
      <c r="Q3070" t="n">
        <v>141.4</v>
      </c>
      <c r="R3070" t="n">
        <v>439.89</v>
      </c>
      <c r="S3070" t="n">
        <v>260</v>
      </c>
      <c r="T3070" t="n">
        <v>0</v>
      </c>
      <c r="U3070" t="n">
        <v>841.29</v>
      </c>
      <c r="X3070" t="inlineStr">
        <is>
          <t>acoa-apeca</t>
        </is>
      </c>
      <c r="Y3070" t="inlineStr">
        <is>
          <t>Atlantic Canada Opportunities Agency | Agence de promotion économique du Canada atlantique</t>
        </is>
      </c>
      <c r="Z3070" t="n">
        <v>3</v>
      </c>
      <c r="AA3070" t="n">
        <v>841.29</v>
      </c>
      <c r="AB3070">
        <f>ROUND(U3070-AA3070,2)</f>
        <v/>
      </c>
      <c r="AC3070" t="b">
        <v>0</v>
      </c>
      <c r="AD3070">
        <f>IF(U3070="","MISSING_TOTAL",IF(ABS(AB3070)&lt;=0.01,"OK","CHECK"))</f>
        <v/>
      </c>
      <c r="AE3070">
        <f>IF(U3070="","MISSING",IF(AND(AA3070&gt;0,U3070/AA3070&gt;50),"POSSIBLE_SCALE_ERROR","OK"))</f>
        <v/>
      </c>
    </row>
    <row r="3071">
      <c r="A3071" t="inlineStr">
        <is>
          <t>T-2014-Q3-00067</t>
        </is>
      </c>
      <c r="B3071" t="inlineStr">
        <is>
          <t>MPSES</t>
        </is>
      </c>
      <c r="C3071" t="inlineStr">
        <is>
          <t>Executive Assistant</t>
        </is>
      </c>
      <c r="D3071" t="inlineStr">
        <is>
          <t>Adjoint exécutif</t>
        </is>
      </c>
      <c r="E3071" t="inlineStr">
        <is>
          <t>Josh Hardy</t>
        </is>
      </c>
      <c r="F3071" t="inlineStr">
        <is>
          <t>Travel on Government business</t>
        </is>
      </c>
      <c r="G3071" t="inlineStr">
        <is>
          <t>Voyage pour le compte du gouvernement</t>
        </is>
      </c>
      <c r="H3071" s="1" t="n">
        <v>41606</v>
      </c>
      <c r="I3071" s="1" t="n">
        <v>41609</v>
      </c>
      <c r="J3071" t="inlineStr">
        <is>
          <t>Moncton, New Brunswick</t>
        </is>
      </c>
      <c r="K3071" t="inlineStr">
        <is>
          <t>Moncton (Nouveau-Brunswick)</t>
        </is>
      </c>
      <c r="P3071" t="n">
        <v>615.9</v>
      </c>
      <c r="Q3071" t="n">
        <v>163</v>
      </c>
      <c r="R3071" t="n">
        <v>0</v>
      </c>
      <c r="S3071" t="n">
        <v>0</v>
      </c>
      <c r="T3071" t="n">
        <v>0</v>
      </c>
      <c r="U3071" t="n">
        <v>778.9</v>
      </c>
      <c r="X3071" t="inlineStr">
        <is>
          <t>acoa-apeca</t>
        </is>
      </c>
      <c r="Y3071" t="inlineStr">
        <is>
          <t>Atlantic Canada Opportunities Agency | Agence de promotion économique du Canada atlantique</t>
        </is>
      </c>
      <c r="Z3071" t="n">
        <v>4</v>
      </c>
      <c r="AA3071" t="n">
        <v>778.9</v>
      </c>
      <c r="AB3071">
        <f>ROUND(U3071-AA3071,2)</f>
        <v/>
      </c>
      <c r="AC3071" t="b">
        <v>0</v>
      </c>
      <c r="AD3071">
        <f>IF(U3071="","MISSING_TOTAL",IF(ABS(AB3071)&lt;=0.01,"OK","CHECK"))</f>
        <v/>
      </c>
      <c r="AE3071">
        <f>IF(U3071="","MISSING",IF(AND(AA3071&gt;0,U3071/AA3071&gt;50),"POSSIBLE_SCALE_ERROR","OK"))</f>
        <v/>
      </c>
    </row>
    <row r="3072">
      <c r="A3072" t="inlineStr">
        <is>
          <t>T-2015-Q4-00060</t>
        </is>
      </c>
      <c r="B3072" t="inlineStr">
        <is>
          <t>SLE</t>
        </is>
      </c>
      <c r="C3072" t="inlineStr">
        <is>
          <t>Vice-President, Newfoundland and Labrador</t>
        </is>
      </c>
      <c r="D3072" t="inlineStr">
        <is>
          <t>Vice-président, Terre-Neuve-et-Labrador</t>
        </is>
      </c>
      <c r="E3072" t="inlineStr">
        <is>
          <t>Paul Mills</t>
        </is>
      </c>
      <c r="F3072" t="inlineStr">
        <is>
          <t>To participate in ACOA meetings and attend the Atlantic Leadership Summit in Halifax</t>
        </is>
      </c>
      <c r="G3072" t="inlineStr">
        <is>
          <t>Assister à des réunions de l'APECA et au Sommet du leadership de l'Atlantique à Halifax</t>
        </is>
      </c>
      <c r="H3072" s="1" t="n">
        <v>42053</v>
      </c>
      <c r="I3072" s="1" t="n">
        <v>42055</v>
      </c>
      <c r="J3072" t="inlineStr">
        <is>
          <t>Halifax, Nova Scotia</t>
        </is>
      </c>
      <c r="K3072" t="inlineStr">
        <is>
          <t>Halifax (Nouvelle-Écosse)</t>
        </is>
      </c>
      <c r="P3072" t="n">
        <v>663.61</v>
      </c>
      <c r="Q3072" t="n">
        <v>169.34</v>
      </c>
      <c r="R3072" t="n">
        <v>279.18</v>
      </c>
      <c r="S3072" t="n">
        <v>216.85</v>
      </c>
      <c r="T3072" t="n">
        <v>8.56</v>
      </c>
      <c r="U3072" t="n">
        <v>1337.54</v>
      </c>
      <c r="X3072" t="inlineStr">
        <is>
          <t>acoa-apeca</t>
        </is>
      </c>
      <c r="Y3072" t="inlineStr">
        <is>
          <t>Atlantic Canada Opportunities Agency | Agence de promotion économique du Canada atlantique</t>
        </is>
      </c>
      <c r="Z3072" t="n">
        <v>3</v>
      </c>
      <c r="AA3072" t="n">
        <v>1337.54</v>
      </c>
      <c r="AB3072">
        <f>ROUND(U3072-AA3072,2)</f>
        <v/>
      </c>
      <c r="AC3072" t="b">
        <v>0</v>
      </c>
      <c r="AD3072">
        <f>IF(U3072="","MISSING_TOTAL",IF(ABS(AB3072)&lt;=0.01,"OK","CHECK"))</f>
        <v/>
      </c>
      <c r="AE3072">
        <f>IF(U3072="","MISSING",IF(AND(AA3072&gt;0,U3072/AA3072&gt;50),"POSSIBLE_SCALE_ERROR","OK"))</f>
        <v/>
      </c>
    </row>
    <row r="3073">
      <c r="A3073" t="inlineStr">
        <is>
          <t>T-2015-Q4-00059</t>
        </is>
      </c>
      <c r="B3073" t="inlineStr">
        <is>
          <t>SLE</t>
        </is>
      </c>
      <c r="C3073" t="inlineStr">
        <is>
          <t>President</t>
        </is>
      </c>
      <c r="D3073" t="inlineStr">
        <is>
          <t>Président</t>
        </is>
      </c>
      <c r="E3073" t="inlineStr">
        <is>
          <t>Paul J. LeBlanc</t>
        </is>
      </c>
      <c r="F3073" t="inlineStr">
        <is>
          <t>For various meetings and discussions with Agency officials and Government of Canada officials</t>
        </is>
      </c>
      <c r="G3073" t="inlineStr">
        <is>
          <t>Diverses réunions et discussions avec des fonctionnaires de l'Agence et du gouvernement du Canada</t>
        </is>
      </c>
      <c r="H3073" s="1" t="n">
        <v>42051</v>
      </c>
      <c r="I3073" s="1" t="n">
        <v>42053</v>
      </c>
      <c r="J3073" t="inlineStr">
        <is>
          <t>Ottawa, Ontario</t>
        </is>
      </c>
      <c r="K3073" t="inlineStr">
        <is>
          <t>Ottawa (Ontario)</t>
        </is>
      </c>
      <c r="P3073" t="n">
        <v>1432.71</v>
      </c>
      <c r="Q3073" t="n">
        <v>0</v>
      </c>
      <c r="R3073" t="n">
        <v>365.46</v>
      </c>
      <c r="S3073" t="n">
        <v>184.75</v>
      </c>
      <c r="T3073" t="n">
        <v>0</v>
      </c>
      <c r="U3073" t="n">
        <v>1982.92</v>
      </c>
      <c r="X3073" t="inlineStr">
        <is>
          <t>acoa-apeca</t>
        </is>
      </c>
      <c r="Y3073" t="inlineStr">
        <is>
          <t>Atlantic Canada Opportunities Agency | Agence de promotion économique du Canada atlantique</t>
        </is>
      </c>
      <c r="Z3073" t="n">
        <v>3</v>
      </c>
      <c r="AA3073" t="n">
        <v>1982.92</v>
      </c>
      <c r="AB3073">
        <f>ROUND(U3073-AA3073,2)</f>
        <v/>
      </c>
      <c r="AC3073" t="b">
        <v>0</v>
      </c>
      <c r="AD3073">
        <f>IF(U3073="","MISSING_TOTAL",IF(ABS(AB3073)&lt;=0.01,"OK","CHECK"))</f>
        <v/>
      </c>
      <c r="AE3073">
        <f>IF(U3073="","MISSING",IF(AND(AA3073&gt;0,U3073/AA3073&gt;50),"POSSIBLE_SCALE_ERROR","OK"))</f>
        <v/>
      </c>
    </row>
    <row r="3074">
      <c r="A3074" t="inlineStr">
        <is>
          <t>T-2015-Q4-00058</t>
        </is>
      </c>
      <c r="B3074" t="inlineStr">
        <is>
          <t>MPSES</t>
        </is>
      </c>
      <c r="C3074" t="inlineStr">
        <is>
          <t>Minister of State</t>
        </is>
      </c>
      <c r="D3074" t="inlineStr">
        <is>
          <t>Ministre d'État</t>
        </is>
      </c>
      <c r="E3074" t="inlineStr">
        <is>
          <t>Rob Moore</t>
        </is>
      </c>
      <c r="F3074" t="inlineStr">
        <is>
          <t>Travel to Government of Canada announcement</t>
        </is>
      </c>
      <c r="G3074" t="inlineStr">
        <is>
          <t>Voyage pour assister à une annonce du gouvernement du Canada</t>
        </is>
      </c>
      <c r="H3074" s="1" t="n">
        <v>42047</v>
      </c>
      <c r="I3074" s="1" t="n">
        <v>42047</v>
      </c>
      <c r="J3074" t="inlineStr">
        <is>
          <t>Fredericton, New Brunswick</t>
        </is>
      </c>
      <c r="K3074" t="inlineStr">
        <is>
          <t>Fredericton (Nouveau-Brunswick)</t>
        </is>
      </c>
      <c r="P3074" t="n">
        <v>0</v>
      </c>
      <c r="Q3074" t="n">
        <v>136.13</v>
      </c>
      <c r="R3074" t="n">
        <v>0</v>
      </c>
      <c r="S3074" t="n">
        <v>16.35</v>
      </c>
      <c r="T3074" t="n">
        <v>0</v>
      </c>
      <c r="U3074" t="n">
        <v>152.48</v>
      </c>
      <c r="X3074" t="inlineStr">
        <is>
          <t>acoa-apeca</t>
        </is>
      </c>
      <c r="Y3074" t="inlineStr">
        <is>
          <t>Atlantic Canada Opportunities Agency | Agence de promotion économique du Canada atlantique</t>
        </is>
      </c>
      <c r="Z3074" t="n">
        <v>1</v>
      </c>
      <c r="AA3074" t="n">
        <v>152.48</v>
      </c>
      <c r="AB3074">
        <f>ROUND(U3074-AA3074,2)</f>
        <v/>
      </c>
      <c r="AC3074" t="b">
        <v>0</v>
      </c>
      <c r="AD3074">
        <f>IF(U3074="","MISSING_TOTAL",IF(ABS(AB3074)&lt;=0.01,"OK","CHECK"))</f>
        <v/>
      </c>
      <c r="AE3074">
        <f>IF(U3074="","MISSING",IF(AND(AA3074&gt;0,U3074/AA3074&gt;50),"POSSIBLE_SCALE_ERROR","OK"))</f>
        <v/>
      </c>
    </row>
    <row r="3075">
      <c r="A3075" t="inlineStr">
        <is>
          <t>T-2015-Q4-00057</t>
        </is>
      </c>
      <c r="B3075" t="inlineStr">
        <is>
          <t>SLE</t>
        </is>
      </c>
      <c r="C3075" t="inlineStr">
        <is>
          <t>Vice-President, Prince Edward Island</t>
        </is>
      </c>
      <c r="D3075" t="inlineStr">
        <is>
          <t>Vice-président, Île-du-Prince-Édouard</t>
        </is>
      </c>
      <c r="E3075" t="inlineStr">
        <is>
          <t>Patrick Dorsey</t>
        </is>
      </c>
      <c r="F3075" t="inlineStr">
        <is>
          <t>To attend Atlantic Canada Tourism Partnership meeting in Halifax</t>
        </is>
      </c>
      <c r="G3075" t="inlineStr">
        <is>
          <t>Assister à une réunion du Partenariat du tourisme du Canada atlantique à Halifax</t>
        </is>
      </c>
      <c r="H3075" s="1" t="n">
        <v>42046</v>
      </c>
      <c r="I3075" s="1" t="n">
        <v>42048</v>
      </c>
      <c r="J3075" t="inlineStr">
        <is>
          <t>Halifax, Nova Scotia</t>
        </is>
      </c>
      <c r="K3075" t="inlineStr">
        <is>
          <t>Halifax (Nouvelle-Écosse)</t>
        </is>
      </c>
      <c r="P3075" t="n">
        <v>0</v>
      </c>
      <c r="Q3075" t="n">
        <v>168.75</v>
      </c>
      <c r="R3075" t="n">
        <v>279.26</v>
      </c>
      <c r="S3075" t="n">
        <v>184.15</v>
      </c>
      <c r="T3075" t="n">
        <v>0</v>
      </c>
      <c r="U3075" t="n">
        <v>632.16</v>
      </c>
      <c r="X3075" t="inlineStr">
        <is>
          <t>acoa-apeca</t>
        </is>
      </c>
      <c r="Y3075" t="inlineStr">
        <is>
          <t>Atlantic Canada Opportunities Agency | Agence de promotion économique du Canada atlantique</t>
        </is>
      </c>
      <c r="Z3075" t="n">
        <v>3</v>
      </c>
      <c r="AA3075" t="n">
        <v>632.16</v>
      </c>
      <c r="AB3075">
        <f>ROUND(U3075-AA3075,2)</f>
        <v/>
      </c>
      <c r="AC3075" t="b">
        <v>0</v>
      </c>
      <c r="AD3075">
        <f>IF(U3075="","MISSING_TOTAL",IF(ABS(AB3075)&lt;=0.01,"OK","CHECK"))</f>
        <v/>
      </c>
      <c r="AE3075">
        <f>IF(U3075="","MISSING",IF(AND(AA3075&gt;0,U3075/AA3075&gt;50),"POSSIBLE_SCALE_ERROR","OK"))</f>
        <v/>
      </c>
    </row>
    <row r="3076">
      <c r="A3076" t="inlineStr">
        <is>
          <t>T-2015-Q4-00055</t>
        </is>
      </c>
      <c r="B3076" t="inlineStr">
        <is>
          <t>SLE</t>
        </is>
      </c>
      <c r="C3076" t="inlineStr">
        <is>
          <t>President</t>
        </is>
      </c>
      <c r="D3076" t="inlineStr">
        <is>
          <t>Président</t>
        </is>
      </c>
      <c r="E3076" t="inlineStr">
        <is>
          <t>Paul J. LeBlanc</t>
        </is>
      </c>
      <c r="F3076" t="inlineStr">
        <is>
          <t>For various meetings and discussions with Agency officials and Government of Canada officials</t>
        </is>
      </c>
      <c r="G3076" t="inlineStr">
        <is>
          <t>Diverses réunions et discussions avec des fonctionnaires de l'Agence et du gouvernement du Canada</t>
        </is>
      </c>
      <c r="H3076" s="1" t="n">
        <v>42045</v>
      </c>
      <c r="I3076" s="1" t="n">
        <v>42046</v>
      </c>
      <c r="J3076" t="inlineStr">
        <is>
          <t>Ottawa, Ontario</t>
        </is>
      </c>
      <c r="K3076" t="inlineStr">
        <is>
          <t>Ottawa (Ontario)</t>
        </is>
      </c>
      <c r="P3076" t="n">
        <v>1116.36</v>
      </c>
      <c r="Q3076" t="n">
        <v>0</v>
      </c>
      <c r="R3076" t="n">
        <v>182.73</v>
      </c>
      <c r="S3076" t="n">
        <v>125.25</v>
      </c>
      <c r="T3076" t="n">
        <v>0</v>
      </c>
      <c r="U3076" t="n">
        <v>1424.34</v>
      </c>
      <c r="X3076" t="inlineStr">
        <is>
          <t>acoa-apeca</t>
        </is>
      </c>
      <c r="Y3076" t="inlineStr">
        <is>
          <t>Atlantic Canada Opportunities Agency | Agence de promotion économique du Canada atlantique</t>
        </is>
      </c>
      <c r="Z3076" t="n">
        <v>2</v>
      </c>
      <c r="AA3076" t="n">
        <v>1424.34</v>
      </c>
      <c r="AB3076">
        <f>ROUND(U3076-AA3076,2)</f>
        <v/>
      </c>
      <c r="AC3076" t="b">
        <v>0</v>
      </c>
      <c r="AD3076">
        <f>IF(U3076="","MISSING_TOTAL",IF(ABS(AB3076)&lt;=0.01,"OK","CHECK"))</f>
        <v/>
      </c>
      <c r="AE3076">
        <f>IF(U3076="","MISSING",IF(AND(AA3076&gt;0,U3076/AA3076&gt;50),"POSSIBLE_SCALE_ERROR","OK"))</f>
        <v/>
      </c>
    </row>
    <row r="3077">
      <c r="A3077" t="inlineStr">
        <is>
          <t>T-2015-Q4-00054</t>
        </is>
      </c>
      <c r="B3077" t="inlineStr">
        <is>
          <t>SLE</t>
        </is>
      </c>
      <c r="C3077" t="inlineStr">
        <is>
          <t>Vice President, Nova Scotia</t>
        </is>
      </c>
      <c r="D3077" t="inlineStr">
        <is>
          <t>Vice-président, Nouvelle-Écosse</t>
        </is>
      </c>
      <c r="E3077" t="inlineStr">
        <is>
          <t>Peter Hogan</t>
        </is>
      </c>
      <c r="F3077" t="inlineStr">
        <is>
          <t>Various Meetings with Agency Officials</t>
        </is>
      </c>
      <c r="G3077" t="inlineStr">
        <is>
          <t>Diverses réunions avec des fonctionnaires de l'Agence</t>
        </is>
      </c>
      <c r="H3077" s="1" t="n">
        <v>42044</v>
      </c>
      <c r="I3077" s="1" t="n">
        <v>42044</v>
      </c>
      <c r="J3077" t="inlineStr">
        <is>
          <t>Sydney, Nova Scotia</t>
        </is>
      </c>
      <c r="K3077" t="inlineStr">
        <is>
          <t>Sydney (Nouvelle-Écosse)</t>
        </is>
      </c>
      <c r="P3077" t="n">
        <v>844.2</v>
      </c>
      <c r="Q3077" t="n">
        <v>35.2</v>
      </c>
      <c r="R3077" t="n">
        <v>0</v>
      </c>
      <c r="S3077" t="n">
        <v>16.35</v>
      </c>
      <c r="T3077" t="n">
        <v>24</v>
      </c>
      <c r="U3077" t="n">
        <v>919.75</v>
      </c>
      <c r="X3077" t="inlineStr">
        <is>
          <t>acoa-apeca</t>
        </is>
      </c>
      <c r="Y3077" t="inlineStr">
        <is>
          <t>Atlantic Canada Opportunities Agency | Agence de promotion économique du Canada atlantique</t>
        </is>
      </c>
      <c r="Z3077" t="n">
        <v>1</v>
      </c>
      <c r="AA3077" t="n">
        <v>919.75</v>
      </c>
      <c r="AB3077">
        <f>ROUND(U3077-AA3077,2)</f>
        <v/>
      </c>
      <c r="AC3077" t="b">
        <v>0</v>
      </c>
      <c r="AD3077">
        <f>IF(U3077="","MISSING_TOTAL",IF(ABS(AB3077)&lt;=0.01,"OK","CHECK"))</f>
        <v/>
      </c>
      <c r="AE3077">
        <f>IF(U3077="","MISSING",IF(AND(AA3077&gt;0,U3077/AA3077&gt;50),"POSSIBLE_SCALE_ERROR","OK"))</f>
        <v/>
      </c>
    </row>
    <row r="3078">
      <c r="A3078" t="inlineStr">
        <is>
          <t>T-2015-Q4-00053</t>
        </is>
      </c>
      <c r="B3078" t="inlineStr">
        <is>
          <t>SLE</t>
        </is>
      </c>
      <c r="C3078" t="inlineStr">
        <is>
          <t>Vice-President, Policy and Programs</t>
        </is>
      </c>
      <c r="D3078" t="inlineStr">
        <is>
          <t>Vice-président, Politiques et Programmes</t>
        </is>
      </c>
      <c r="E3078" t="inlineStr">
        <is>
          <t>Daryell Nowlan</t>
        </is>
      </c>
      <c r="F3078" t="inlineStr">
        <is>
          <t>Meetings with Government of Canada officials</t>
        </is>
      </c>
      <c r="G3078" t="inlineStr">
        <is>
          <t>Réunions avec des fonctionnaires du gouvernement du Canada</t>
        </is>
      </c>
      <c r="H3078" s="1" t="n">
        <v>42044</v>
      </c>
      <c r="I3078" s="1" t="n">
        <v>42046</v>
      </c>
      <c r="J3078" t="inlineStr">
        <is>
          <t>Ottawa, Ontario</t>
        </is>
      </c>
      <c r="K3078" t="inlineStr">
        <is>
          <t>Ottawa (Ontario)</t>
        </is>
      </c>
      <c r="P3078" t="n">
        <v>937.9</v>
      </c>
      <c r="Q3078" t="n">
        <v>120</v>
      </c>
      <c r="R3078" t="n">
        <v>365.46</v>
      </c>
      <c r="S3078" t="n">
        <v>169</v>
      </c>
      <c r="T3078" t="n">
        <v>0</v>
      </c>
      <c r="U3078" t="n">
        <v>1592.36</v>
      </c>
      <c r="X3078" t="inlineStr">
        <is>
          <t>acoa-apeca</t>
        </is>
      </c>
      <c r="Y3078" t="inlineStr">
        <is>
          <t>Atlantic Canada Opportunities Agency | Agence de promotion économique du Canada atlantique</t>
        </is>
      </c>
      <c r="Z3078" t="n">
        <v>3</v>
      </c>
      <c r="AA3078" t="n">
        <v>1592.36</v>
      </c>
      <c r="AB3078">
        <f>ROUND(U3078-AA3078,2)</f>
        <v/>
      </c>
      <c r="AC3078" t="b">
        <v>0</v>
      </c>
      <c r="AD3078">
        <f>IF(U3078="","MISSING_TOTAL",IF(ABS(AB3078)&lt;=0.01,"OK","CHECK"))</f>
        <v/>
      </c>
      <c r="AE3078">
        <f>IF(U3078="","MISSING",IF(AND(AA3078&gt;0,U3078/AA3078&gt;50),"POSSIBLE_SCALE_ERROR","OK"))</f>
        <v/>
      </c>
    </row>
    <row r="3079">
      <c r="A3079" t="inlineStr">
        <is>
          <t>T-2015-Q4-00052</t>
        </is>
      </c>
      <c r="B3079" t="inlineStr">
        <is>
          <t>SLE</t>
        </is>
      </c>
      <c r="C3079" t="inlineStr">
        <is>
          <t>Vice-President, Policy and Programs</t>
        </is>
      </c>
      <c r="D3079" t="inlineStr">
        <is>
          <t>Vice-président, Politiques et Programmes</t>
        </is>
      </c>
      <c r="E3079" t="inlineStr">
        <is>
          <t>Daryell Nowlan</t>
        </is>
      </c>
      <c r="F3079" t="inlineStr">
        <is>
          <t>Meeting with Government of Canada officials</t>
        </is>
      </c>
      <c r="G3079" t="inlineStr">
        <is>
          <t>Réunion avec des fonctionnaires du gouvernement du Canada</t>
        </is>
      </c>
      <c r="H3079" s="1" t="n">
        <v>42040</v>
      </c>
      <c r="I3079" s="1" t="n">
        <v>42041</v>
      </c>
      <c r="J3079" t="inlineStr">
        <is>
          <t>Halifax, Nova Scotia</t>
        </is>
      </c>
      <c r="K3079" t="inlineStr">
        <is>
          <t>Halifax (Nouvelle-Écosse)</t>
        </is>
      </c>
      <c r="P3079" t="n">
        <v>0</v>
      </c>
      <c r="Q3079" t="n">
        <v>0</v>
      </c>
      <c r="R3079" t="n">
        <v>139.59</v>
      </c>
      <c r="S3079" t="n">
        <v>109.5</v>
      </c>
      <c r="T3079" t="n">
        <v>0</v>
      </c>
      <c r="U3079" t="n">
        <v>249.09</v>
      </c>
      <c r="X3079" t="inlineStr">
        <is>
          <t>acoa-apeca</t>
        </is>
      </c>
      <c r="Y3079" t="inlineStr">
        <is>
          <t>Atlantic Canada Opportunities Agency | Agence de promotion économique du Canada atlantique</t>
        </is>
      </c>
      <c r="Z3079" t="n">
        <v>2</v>
      </c>
      <c r="AA3079" t="n">
        <v>249.09</v>
      </c>
      <c r="AB3079">
        <f>ROUND(U3079-AA3079,2)</f>
        <v/>
      </c>
      <c r="AC3079" t="b">
        <v>0</v>
      </c>
      <c r="AD3079">
        <f>IF(U3079="","MISSING_TOTAL",IF(ABS(AB3079)&lt;=0.01,"OK","CHECK"))</f>
        <v/>
      </c>
      <c r="AE3079">
        <f>IF(U3079="","MISSING",IF(AND(AA3079&gt;0,U3079/AA3079&gt;50),"POSSIBLE_SCALE_ERROR","OK"))</f>
        <v/>
      </c>
    </row>
    <row r="3080">
      <c r="A3080" t="inlineStr">
        <is>
          <t>T-2015-Q4-00051</t>
        </is>
      </c>
      <c r="B3080" t="inlineStr">
        <is>
          <t>SLE</t>
        </is>
      </c>
      <c r="C3080" t="inlineStr">
        <is>
          <t>President</t>
        </is>
      </c>
      <c r="D3080" t="inlineStr">
        <is>
          <t>Président</t>
        </is>
      </c>
      <c r="E3080" t="inlineStr">
        <is>
          <t>Paul J. LeBlanc</t>
        </is>
      </c>
      <c r="F3080" t="inlineStr">
        <is>
          <t>For various meetings and discussions with Agency officials and Government of Canada officials</t>
        </is>
      </c>
      <c r="G3080" t="inlineStr">
        <is>
          <t>Diverses réunions et discussions avec des fonctionnaires de l'Agence et du gouvernement du Canada</t>
        </is>
      </c>
      <c r="H3080" s="1" t="n">
        <v>42040</v>
      </c>
      <c r="I3080" s="1" t="n">
        <v>42042</v>
      </c>
      <c r="J3080" t="inlineStr">
        <is>
          <t>Halifax, Nova Scotia</t>
        </is>
      </c>
      <c r="K3080" t="inlineStr">
        <is>
          <t>Halifax (Nouvelle-Écosse)</t>
        </is>
      </c>
      <c r="P3080" t="n">
        <v>0</v>
      </c>
      <c r="Q3080" t="n">
        <v>0</v>
      </c>
      <c r="R3080" t="n">
        <v>279.18</v>
      </c>
      <c r="S3080" t="n">
        <v>201.15</v>
      </c>
      <c r="T3080" t="n">
        <v>153</v>
      </c>
      <c r="U3080" t="n">
        <v>633.33</v>
      </c>
      <c r="X3080" t="inlineStr">
        <is>
          <t>acoa-apeca</t>
        </is>
      </c>
      <c r="Y3080" t="inlineStr">
        <is>
          <t>Atlantic Canada Opportunities Agency | Agence de promotion économique du Canada atlantique</t>
        </is>
      </c>
      <c r="Z3080" t="n">
        <v>3</v>
      </c>
      <c r="AA3080" t="n">
        <v>633.33</v>
      </c>
      <c r="AB3080">
        <f>ROUND(U3080-AA3080,2)</f>
        <v/>
      </c>
      <c r="AC3080" t="b">
        <v>0</v>
      </c>
      <c r="AD3080">
        <f>IF(U3080="","MISSING_TOTAL",IF(ABS(AB3080)&lt;=0.01,"OK","CHECK"))</f>
        <v/>
      </c>
      <c r="AE3080">
        <f>IF(U3080="","MISSING",IF(AND(AA3080&gt;0,U3080/AA3080&gt;50),"POSSIBLE_SCALE_ERROR","OK"))</f>
        <v/>
      </c>
    </row>
    <row r="3081">
      <c r="A3081" t="inlineStr">
        <is>
          <t>T-2015-Q4-00050</t>
        </is>
      </c>
      <c r="B3081" t="inlineStr">
        <is>
          <t>SLE</t>
        </is>
      </c>
      <c r="C3081" t="inlineStr">
        <is>
          <t>Vice President, Nova Scotia</t>
        </is>
      </c>
      <c r="D3081" t="inlineStr">
        <is>
          <t>Vice-président, Nouvelle-Écosse</t>
        </is>
      </c>
      <c r="E3081" t="inlineStr">
        <is>
          <t>Peter Hogan</t>
        </is>
      </c>
      <c r="F3081" t="inlineStr">
        <is>
          <t>Various Meetings with Agency Officials</t>
        </is>
      </c>
      <c r="G3081" t="inlineStr">
        <is>
          <t>Diverses réunions avec des fonctionnaires de l'Agence</t>
        </is>
      </c>
      <c r="H3081" s="1" t="n">
        <v>42039</v>
      </c>
      <c r="I3081" s="1" t="n">
        <v>42039</v>
      </c>
      <c r="J3081" t="inlineStr">
        <is>
          <t>Sydney, Nova Scotia</t>
        </is>
      </c>
      <c r="K3081" t="inlineStr">
        <is>
          <t>Sydney (Nouvelle-Écosse)</t>
        </is>
      </c>
      <c r="P3081" t="n">
        <v>699.2</v>
      </c>
      <c r="Q3081" t="n">
        <v>55.2</v>
      </c>
      <c r="R3081" t="n">
        <v>0</v>
      </c>
      <c r="S3081" t="n">
        <v>16.35</v>
      </c>
      <c r="T3081" t="n">
        <v>20</v>
      </c>
      <c r="U3081" t="n">
        <v>790.75</v>
      </c>
      <c r="X3081" t="inlineStr">
        <is>
          <t>acoa-apeca</t>
        </is>
      </c>
      <c r="Y3081" t="inlineStr">
        <is>
          <t>Atlantic Canada Opportunities Agency | Agence de promotion économique du Canada atlantique</t>
        </is>
      </c>
      <c r="Z3081" t="n">
        <v>1</v>
      </c>
      <c r="AA3081" t="n">
        <v>790.75</v>
      </c>
      <c r="AB3081">
        <f>ROUND(U3081-AA3081,2)</f>
        <v/>
      </c>
      <c r="AC3081" t="b">
        <v>0</v>
      </c>
      <c r="AD3081">
        <f>IF(U3081="","MISSING_TOTAL",IF(ABS(AB3081)&lt;=0.01,"OK","CHECK"))</f>
        <v/>
      </c>
      <c r="AE3081">
        <f>IF(U3081="","MISSING",IF(AND(AA3081&gt;0,U3081/AA3081&gt;50),"POSSIBLE_SCALE_ERROR","OK"))</f>
        <v/>
      </c>
    </row>
    <row r="3082">
      <c r="A3082" t="inlineStr">
        <is>
          <t>T-2015-Q4-00049</t>
        </is>
      </c>
      <c r="B3082" t="inlineStr">
        <is>
          <t>SLE</t>
        </is>
      </c>
      <c r="C3082" t="inlineStr">
        <is>
          <t>Vice-President, Finance and Corporate Services</t>
        </is>
      </c>
      <c r="D3082" t="inlineStr">
        <is>
          <t>Vice-présidente, Finances et Services corporatifs</t>
        </is>
      </c>
      <c r="E3082" t="inlineStr">
        <is>
          <t>Denise Frenette</t>
        </is>
      </c>
      <c r="F3082" t="inlineStr">
        <is>
          <t>For session with Government of Canada officials</t>
        </is>
      </c>
      <c r="G3082" t="inlineStr">
        <is>
          <t>Séance avec des fonctionnaires du gouvernement du Canada</t>
        </is>
      </c>
      <c r="H3082" s="1" t="n">
        <v>42038</v>
      </c>
      <c r="I3082" s="1" t="n">
        <v>42040</v>
      </c>
      <c r="J3082" t="inlineStr">
        <is>
          <t>Ottawa, Ontario</t>
        </is>
      </c>
      <c r="K3082" t="inlineStr">
        <is>
          <t>Ottawa (Ontario)</t>
        </is>
      </c>
      <c r="P3082" t="n">
        <v>466.68</v>
      </c>
      <c r="Q3082" t="n">
        <v>0</v>
      </c>
      <c r="R3082" t="n">
        <v>365.46</v>
      </c>
      <c r="S3082" t="n">
        <v>200.5</v>
      </c>
      <c r="T3082" t="n">
        <v>0</v>
      </c>
      <c r="U3082" t="n">
        <v>1032.64</v>
      </c>
      <c r="X3082" t="inlineStr">
        <is>
          <t>acoa-apeca</t>
        </is>
      </c>
      <c r="Y3082" t="inlineStr">
        <is>
          <t>Atlantic Canada Opportunities Agency | Agence de promotion économique du Canada atlantique</t>
        </is>
      </c>
      <c r="Z3082" t="n">
        <v>3</v>
      </c>
      <c r="AA3082" t="n">
        <v>1032.63999999999</v>
      </c>
      <c r="AB3082">
        <f>ROUND(U3082-AA3082,2)</f>
        <v/>
      </c>
      <c r="AC3082" t="b">
        <v>0</v>
      </c>
      <c r="AD3082">
        <f>IF(U3082="","MISSING_TOTAL",IF(ABS(AB3082)&lt;=0.01,"OK","CHECK"))</f>
        <v/>
      </c>
      <c r="AE3082">
        <f>IF(U3082="","MISSING",IF(AND(AA3082&gt;0,U3082/AA3082&gt;50),"POSSIBLE_SCALE_ERROR","OK"))</f>
        <v/>
      </c>
    </row>
    <row r="3083">
      <c r="A3083" t="inlineStr">
        <is>
          <t>T-2015-Q4-00048</t>
        </is>
      </c>
      <c r="B3083" t="inlineStr">
        <is>
          <t>MPSES</t>
        </is>
      </c>
      <c r="C3083" t="inlineStr">
        <is>
          <t>Regional Affairs Director - New Brunswick</t>
        </is>
      </c>
      <c r="D3083" t="inlineStr">
        <is>
          <t>Directeur des affaires régionales - Nouveau-Brunswick</t>
        </is>
      </c>
      <c r="E3083" t="inlineStr">
        <is>
          <t>Douglas MacDonald</t>
        </is>
      </c>
      <c r="F3083" t="inlineStr">
        <is>
          <t>Travel on Government Business</t>
        </is>
      </c>
      <c r="G3083" t="inlineStr">
        <is>
          <t>Voyage pour le compte du gouvernement</t>
        </is>
      </c>
      <c r="H3083" s="1" t="n">
        <v>42036</v>
      </c>
      <c r="I3083" s="1" t="n">
        <v>42038</v>
      </c>
      <c r="J3083" t="inlineStr">
        <is>
          <t>Ottawa, Ontario</t>
        </is>
      </c>
      <c r="K3083" t="inlineStr">
        <is>
          <t>Ottawa (Ontario)</t>
        </is>
      </c>
      <c r="P3083" t="n">
        <v>673.33</v>
      </c>
      <c r="Q3083" t="n">
        <v>71.5</v>
      </c>
      <c r="R3083" t="n">
        <v>365.46</v>
      </c>
      <c r="S3083" t="n">
        <v>242.7</v>
      </c>
      <c r="T3083" t="n">
        <v>0</v>
      </c>
      <c r="U3083" t="n">
        <v>1352.99</v>
      </c>
      <c r="X3083" t="inlineStr">
        <is>
          <t>acoa-apeca</t>
        </is>
      </c>
      <c r="Y3083" t="inlineStr">
        <is>
          <t>Atlantic Canada Opportunities Agency | Agence de promotion économique du Canada atlantique</t>
        </is>
      </c>
      <c r="Z3083" t="n">
        <v>3</v>
      </c>
      <c r="AA3083" t="n">
        <v>1352.99</v>
      </c>
      <c r="AB3083">
        <f>ROUND(U3083-AA3083,2)</f>
        <v/>
      </c>
      <c r="AC3083" t="b">
        <v>0</v>
      </c>
      <c r="AD3083">
        <f>IF(U3083="","MISSING_TOTAL",IF(ABS(AB3083)&lt;=0.01,"OK","CHECK"))</f>
        <v/>
      </c>
      <c r="AE3083">
        <f>IF(U3083="","MISSING",IF(AND(AA3083&gt;0,U3083/AA3083&gt;50),"POSSIBLE_SCALE_ERROR","OK"))</f>
        <v/>
      </c>
    </row>
    <row r="3084">
      <c r="A3084" t="inlineStr">
        <is>
          <t>T-2015-Q4-00047</t>
        </is>
      </c>
      <c r="B3084" t="inlineStr">
        <is>
          <t>SLE</t>
        </is>
      </c>
      <c r="C3084" t="inlineStr">
        <is>
          <t>Vice-President, Prince Edward Island</t>
        </is>
      </c>
      <c r="D3084" t="inlineStr">
        <is>
          <t>Vice-président, Île-du-Prince-Édouard</t>
        </is>
      </c>
      <c r="E3084" t="inlineStr">
        <is>
          <t>Patrick Dorsey</t>
        </is>
      </c>
      <c r="F3084" t="inlineStr">
        <is>
          <t>To attend a Conference Board of Canada Session in Ottawa</t>
        </is>
      </c>
      <c r="G3084" t="inlineStr">
        <is>
          <t>Assister à une séance du Conference Board du Canada à Ottawa</t>
        </is>
      </c>
      <c r="H3084" s="1" t="n">
        <v>42036</v>
      </c>
      <c r="I3084" s="1" t="n">
        <v>42038</v>
      </c>
      <c r="J3084" t="inlineStr">
        <is>
          <t>Ottawa, Ontario</t>
        </is>
      </c>
      <c r="K3084" t="inlineStr">
        <is>
          <t>Ottawa (Ontario)</t>
        </is>
      </c>
      <c r="P3084" t="n">
        <v>622.5</v>
      </c>
      <c r="Q3084" t="n">
        <v>186.03</v>
      </c>
      <c r="R3084" t="n">
        <v>365.46</v>
      </c>
      <c r="S3084" t="n">
        <v>226.95</v>
      </c>
      <c r="T3084" t="n">
        <v>0</v>
      </c>
      <c r="U3084" t="n">
        <v>1400.94</v>
      </c>
      <c r="X3084" t="inlineStr">
        <is>
          <t>acoa-apeca</t>
        </is>
      </c>
      <c r="Y3084" t="inlineStr">
        <is>
          <t>Atlantic Canada Opportunities Agency | Agence de promotion économique du Canada atlantique</t>
        </is>
      </c>
      <c r="Z3084" t="n">
        <v>3</v>
      </c>
      <c r="AA3084" t="n">
        <v>1400.94</v>
      </c>
      <c r="AB3084">
        <f>ROUND(U3084-AA3084,2)</f>
        <v/>
      </c>
      <c r="AC3084" t="b">
        <v>0</v>
      </c>
      <c r="AD3084">
        <f>IF(U3084="","MISSING_TOTAL",IF(ABS(AB3084)&lt;=0.01,"OK","CHECK"))</f>
        <v/>
      </c>
      <c r="AE3084">
        <f>IF(U3084="","MISSING",IF(AND(AA3084&gt;0,U3084/AA3084&gt;50),"POSSIBLE_SCALE_ERROR","OK"))</f>
        <v/>
      </c>
    </row>
    <row r="3085">
      <c r="A3085" t="inlineStr">
        <is>
          <t>T-2015-Q4-00046</t>
        </is>
      </c>
      <c r="B3085" t="inlineStr">
        <is>
          <t>SLE</t>
        </is>
      </c>
      <c r="C3085" t="inlineStr">
        <is>
          <t>President</t>
        </is>
      </c>
      <c r="D3085" t="inlineStr">
        <is>
          <t>Président</t>
        </is>
      </c>
      <c r="E3085" t="inlineStr">
        <is>
          <t>Paul J. LeBlanc</t>
        </is>
      </c>
      <c r="F3085" t="inlineStr">
        <is>
          <t>For various meetings and discussions with Agency officials and Government of Canada officials</t>
        </is>
      </c>
      <c r="G3085" t="inlineStr">
        <is>
          <t>Diverses réunions et discussions avec des fonctionnaires de l'Agence et du gouvernement du Canada</t>
        </is>
      </c>
      <c r="H3085" s="1" t="n">
        <v>42030</v>
      </c>
      <c r="I3085" s="1" t="n">
        <v>42033</v>
      </c>
      <c r="J3085" t="inlineStr">
        <is>
          <t>Ottawa, Ontario</t>
        </is>
      </c>
      <c r="K3085" t="inlineStr">
        <is>
          <t>Ottawa (Ontario)</t>
        </is>
      </c>
      <c r="P3085" t="n">
        <v>687.04</v>
      </c>
      <c r="Q3085" t="n">
        <v>0</v>
      </c>
      <c r="R3085" t="n">
        <v>548.1900000000001</v>
      </c>
      <c r="S3085" t="n">
        <v>217.8</v>
      </c>
      <c r="T3085" t="n">
        <v>0</v>
      </c>
      <c r="U3085" t="n">
        <v>1453.03</v>
      </c>
      <c r="X3085" t="inlineStr">
        <is>
          <t>acoa-apeca</t>
        </is>
      </c>
      <c r="Y3085" t="inlineStr">
        <is>
          <t>Atlantic Canada Opportunities Agency | Agence de promotion économique du Canada atlantique</t>
        </is>
      </c>
      <c r="Z3085" t="n">
        <v>4</v>
      </c>
      <c r="AA3085" t="n">
        <v>1453.03</v>
      </c>
      <c r="AB3085">
        <f>ROUND(U3085-AA3085,2)</f>
        <v/>
      </c>
      <c r="AC3085" t="b">
        <v>0</v>
      </c>
      <c r="AD3085">
        <f>IF(U3085="","MISSING_TOTAL",IF(ABS(AB3085)&lt;=0.01,"OK","CHECK"))</f>
        <v/>
      </c>
      <c r="AE3085">
        <f>IF(U3085="","MISSING",IF(AND(AA3085&gt;0,U3085/AA3085&gt;50),"POSSIBLE_SCALE_ERROR","OK"))</f>
        <v/>
      </c>
    </row>
    <row r="3086">
      <c r="A3086" t="inlineStr">
        <is>
          <t>T-2015-Q4-00045</t>
        </is>
      </c>
      <c r="B3086" t="inlineStr">
        <is>
          <t>SLE</t>
        </is>
      </c>
      <c r="C3086" t="inlineStr">
        <is>
          <t>Vice-President, New Brunswick</t>
        </is>
      </c>
      <c r="D3086" t="inlineStr">
        <is>
          <t>Vice-président, Nouveau-Brunswick</t>
        </is>
      </c>
      <c r="E3086" t="inlineStr">
        <is>
          <t>Kent Estabrooks</t>
        </is>
      </c>
      <c r="F3086" t="inlineStr">
        <is>
          <t>Meeting with Agency Officials</t>
        </is>
      </c>
      <c r="G3086" t="inlineStr">
        <is>
          <t>Réunion avec des fonctionnaires de l'Agence</t>
        </is>
      </c>
      <c r="H3086" s="1" t="n">
        <v>42025</v>
      </c>
      <c r="I3086" s="1" t="n">
        <v>42026</v>
      </c>
      <c r="J3086" t="inlineStr">
        <is>
          <t>Moncton, New Brunswick</t>
        </is>
      </c>
      <c r="K3086" t="inlineStr">
        <is>
          <t>Moncton (Nouveau-Brunswick)</t>
        </is>
      </c>
      <c r="P3086" t="n">
        <v>0</v>
      </c>
      <c r="Q3086" t="n">
        <v>0</v>
      </c>
      <c r="R3086" t="n">
        <v>128.26</v>
      </c>
      <c r="S3086" t="n">
        <v>93.15000000000001</v>
      </c>
      <c r="T3086" t="n">
        <v>0</v>
      </c>
      <c r="U3086" t="n">
        <v>221.41</v>
      </c>
      <c r="X3086" t="inlineStr">
        <is>
          <t>acoa-apeca</t>
        </is>
      </c>
      <c r="Y3086" t="inlineStr">
        <is>
          <t>Atlantic Canada Opportunities Agency | Agence de promotion économique du Canada atlantique</t>
        </is>
      </c>
      <c r="Z3086" t="n">
        <v>2</v>
      </c>
      <c r="AA3086" t="n">
        <v>221.41</v>
      </c>
      <c r="AB3086">
        <f>ROUND(U3086-AA3086,2)</f>
        <v/>
      </c>
      <c r="AC3086" t="b">
        <v>0</v>
      </c>
      <c r="AD3086">
        <f>IF(U3086="","MISSING_TOTAL",IF(ABS(AB3086)&lt;=0.01,"OK","CHECK"))</f>
        <v/>
      </c>
      <c r="AE3086">
        <f>IF(U3086="","MISSING",IF(AND(AA3086&gt;0,U3086/AA3086&gt;50),"POSSIBLE_SCALE_ERROR","OK"))</f>
        <v/>
      </c>
    </row>
    <row r="3087">
      <c r="A3087" t="inlineStr">
        <is>
          <t>T-2015-Q4-00044</t>
        </is>
      </c>
      <c r="B3087" t="inlineStr">
        <is>
          <t>SLE</t>
        </is>
      </c>
      <c r="C3087" t="inlineStr">
        <is>
          <t>Vice President, Nova Scotia</t>
        </is>
      </c>
      <c r="D3087" t="inlineStr">
        <is>
          <t>Vice-président, Nouvelle-Écosse</t>
        </is>
      </c>
      <c r="E3087" t="inlineStr">
        <is>
          <t>Peter Hogan</t>
        </is>
      </c>
      <c r="F3087" t="inlineStr">
        <is>
          <t>Meeting with Agency Officials</t>
        </is>
      </c>
      <c r="G3087" t="inlineStr">
        <is>
          <t>Réunion avec des fonctionnaires de l'Agence</t>
        </is>
      </c>
      <c r="H3087" s="1" t="n">
        <v>42025</v>
      </c>
      <c r="I3087" s="1" t="n">
        <v>42026</v>
      </c>
      <c r="J3087" t="inlineStr">
        <is>
          <t>Moncton, New Brunswick</t>
        </is>
      </c>
      <c r="K3087" t="inlineStr">
        <is>
          <t>Moncton (Nouveau-Brunswick)</t>
        </is>
      </c>
      <c r="P3087" t="n">
        <v>0</v>
      </c>
      <c r="Q3087" t="n">
        <v>0</v>
      </c>
      <c r="R3087" t="n">
        <v>134.47</v>
      </c>
      <c r="S3087" t="n">
        <v>119</v>
      </c>
      <c r="T3087" t="n">
        <v>16.95</v>
      </c>
      <c r="U3087" t="n">
        <v>270.42</v>
      </c>
      <c r="X3087" t="inlineStr">
        <is>
          <t>acoa-apeca</t>
        </is>
      </c>
      <c r="Y3087" t="inlineStr">
        <is>
          <t>Atlantic Canada Opportunities Agency | Agence de promotion économique du Canada atlantique</t>
        </is>
      </c>
      <c r="Z3087" t="n">
        <v>2</v>
      </c>
      <c r="AA3087" t="n">
        <v>270.42</v>
      </c>
      <c r="AB3087">
        <f>ROUND(U3087-AA3087,2)</f>
        <v/>
      </c>
      <c r="AC3087" t="b">
        <v>0</v>
      </c>
      <c r="AD3087">
        <f>IF(U3087="","MISSING_TOTAL",IF(ABS(AB3087)&lt;=0.01,"OK","CHECK"))</f>
        <v/>
      </c>
      <c r="AE3087">
        <f>IF(U3087="","MISSING",IF(AND(AA3087&gt;0,U3087/AA3087&gt;50),"POSSIBLE_SCALE_ERROR","OK"))</f>
        <v/>
      </c>
    </row>
    <row r="3088">
      <c r="A3088" t="inlineStr">
        <is>
          <t>T-2015-Q4-00043</t>
        </is>
      </c>
      <c r="B3088" t="inlineStr">
        <is>
          <t>MPSES</t>
        </is>
      </c>
      <c r="C3088" t="inlineStr">
        <is>
          <t>Minister of State</t>
        </is>
      </c>
      <c r="D3088" t="inlineStr">
        <is>
          <t>Ministre d'État</t>
        </is>
      </c>
      <c r="E3088" t="inlineStr">
        <is>
          <t>Rob Moore</t>
        </is>
      </c>
      <c r="F3088" t="inlineStr">
        <is>
          <t>Travel to Government of Canada announcement and two stakeholder roundtables</t>
        </is>
      </c>
      <c r="G3088" t="inlineStr">
        <is>
          <t>Voyage pour assister à une annonce du gouvernement du Canada et à deux réunions avec des intervenants</t>
        </is>
      </c>
      <c r="H3088" s="1" t="n">
        <v>42025</v>
      </c>
      <c r="I3088" s="1" t="n">
        <v>42025</v>
      </c>
      <c r="J3088" t="inlineStr">
        <is>
          <t>Fredericton, New Brunswick</t>
        </is>
      </c>
      <c r="K3088" t="inlineStr">
        <is>
          <t>Fredericton (Nouveau-Brunswick)</t>
        </is>
      </c>
      <c r="P3088" t="n">
        <v>0</v>
      </c>
      <c r="Q3088" t="n">
        <v>136.13</v>
      </c>
      <c r="R3088" t="n">
        <v>0</v>
      </c>
      <c r="S3088" t="n">
        <v>16.35</v>
      </c>
      <c r="T3088" t="n">
        <v>0</v>
      </c>
      <c r="U3088" t="n">
        <v>152.48</v>
      </c>
      <c r="X3088" t="inlineStr">
        <is>
          <t>acoa-apeca</t>
        </is>
      </c>
      <c r="Y3088" t="inlineStr">
        <is>
          <t>Atlantic Canada Opportunities Agency | Agence de promotion économique du Canada atlantique</t>
        </is>
      </c>
      <c r="Z3088" t="n">
        <v>1</v>
      </c>
      <c r="AA3088" t="n">
        <v>152.48</v>
      </c>
      <c r="AB3088">
        <f>ROUND(U3088-AA3088,2)</f>
        <v/>
      </c>
      <c r="AC3088" t="b">
        <v>0</v>
      </c>
      <c r="AD3088">
        <f>IF(U3088="","MISSING_TOTAL",IF(ABS(AB3088)&lt;=0.01,"OK","CHECK"))</f>
        <v/>
      </c>
      <c r="AE3088">
        <f>IF(U3088="","MISSING",IF(AND(AA3088&gt;0,U3088/AA3088&gt;50),"POSSIBLE_SCALE_ERROR","OK"))</f>
        <v/>
      </c>
    </row>
    <row r="3089">
      <c r="A3089" t="inlineStr">
        <is>
          <t>T-2015-Q4-00042</t>
        </is>
      </c>
      <c r="B3089" t="inlineStr">
        <is>
          <t>SLE</t>
        </is>
      </c>
      <c r="C3089" t="inlineStr">
        <is>
          <t>Vice-President, Prince Edward Island</t>
        </is>
      </c>
      <c r="D3089" t="inlineStr">
        <is>
          <t>Vice-président, Île-du-Prince-Édouard</t>
        </is>
      </c>
      <c r="E3089" t="inlineStr">
        <is>
          <t>Patrick Dorsey</t>
        </is>
      </c>
      <c r="F3089" t="inlineStr">
        <is>
          <t>Meetings with ACOA Officials in Moncton</t>
        </is>
      </c>
      <c r="G3089" t="inlineStr">
        <is>
          <t>Réunions avec des fonctionnaires de l'APECA à Moncton</t>
        </is>
      </c>
      <c r="H3089" s="1" t="n">
        <v>42025</v>
      </c>
      <c r="I3089" s="1" t="n">
        <v>42026</v>
      </c>
      <c r="J3089" t="inlineStr">
        <is>
          <t>Moncton, New Brunswick</t>
        </is>
      </c>
      <c r="K3089" t="inlineStr">
        <is>
          <t>Moncton (Nouveau-Brunswick)</t>
        </is>
      </c>
      <c r="P3089" t="n">
        <v>0</v>
      </c>
      <c r="Q3089" t="n">
        <v>62.45</v>
      </c>
      <c r="R3089" t="n">
        <v>280.24</v>
      </c>
      <c r="S3089" t="n">
        <v>152.65</v>
      </c>
      <c r="T3089" t="n">
        <v>0</v>
      </c>
      <c r="U3089" t="n">
        <v>495.34</v>
      </c>
      <c r="X3089" t="inlineStr">
        <is>
          <t>acoa-apeca</t>
        </is>
      </c>
      <c r="Y3089" t="inlineStr">
        <is>
          <t>Atlantic Canada Opportunities Agency | Agence de promotion économique du Canada atlantique</t>
        </is>
      </c>
      <c r="Z3089" t="n">
        <v>2</v>
      </c>
      <c r="AA3089" t="n">
        <v>495.34</v>
      </c>
      <c r="AB3089">
        <f>ROUND(U3089-AA3089,2)</f>
        <v/>
      </c>
      <c r="AC3089" t="b">
        <v>0</v>
      </c>
      <c r="AD3089">
        <f>IF(U3089="","MISSING_TOTAL",IF(ABS(AB3089)&lt;=0.01,"OK","CHECK"))</f>
        <v/>
      </c>
      <c r="AE3089">
        <f>IF(U3089="","MISSING",IF(AND(AA3089&gt;0,U3089/AA3089&gt;50),"POSSIBLE_SCALE_ERROR","OK"))</f>
        <v/>
      </c>
    </row>
    <row r="3090">
      <c r="A3090" t="inlineStr">
        <is>
          <t>T-2015-Q4-00041</t>
        </is>
      </c>
      <c r="B3090" t="inlineStr">
        <is>
          <t>SLE</t>
        </is>
      </c>
      <c r="C3090" t="inlineStr">
        <is>
          <t>Vice President, Nova Scotia</t>
        </is>
      </c>
      <c r="D3090" t="inlineStr">
        <is>
          <t>Vice-président, Nouvelle-Écosse</t>
        </is>
      </c>
      <c r="E3090" t="inlineStr">
        <is>
          <t>Peter Hogan</t>
        </is>
      </c>
      <c r="F3090" t="inlineStr">
        <is>
          <t>Meeting with Government of Canada Officials</t>
        </is>
      </c>
      <c r="G3090" t="inlineStr">
        <is>
          <t>Réunion avec des fonctionnaires du gouvernement du Canada</t>
        </is>
      </c>
      <c r="H3090" s="1" t="n">
        <v>42024</v>
      </c>
      <c r="I3090" s="1" t="n">
        <v>42025</v>
      </c>
      <c r="J3090" t="inlineStr">
        <is>
          <t>Ottawa, Ontario</t>
        </is>
      </c>
      <c r="K3090" t="inlineStr">
        <is>
          <t>Ottawa (Ontario)</t>
        </is>
      </c>
      <c r="P3090" t="n">
        <v>731.48</v>
      </c>
      <c r="Q3090" t="n">
        <v>130.2</v>
      </c>
      <c r="R3090" t="n">
        <v>182.73</v>
      </c>
      <c r="S3090" t="n">
        <v>134.75</v>
      </c>
      <c r="T3090" t="n">
        <v>40</v>
      </c>
      <c r="U3090" t="n">
        <v>1219.16</v>
      </c>
      <c r="X3090" t="inlineStr">
        <is>
          <t>acoa-apeca</t>
        </is>
      </c>
      <c r="Y3090" t="inlineStr">
        <is>
          <t>Atlantic Canada Opportunities Agency | Agence de promotion économique du Canada atlantique</t>
        </is>
      </c>
      <c r="Z3090" t="n">
        <v>2</v>
      </c>
      <c r="AA3090" t="n">
        <v>1219.16</v>
      </c>
      <c r="AB3090">
        <f>ROUND(U3090-AA3090,2)</f>
        <v/>
      </c>
      <c r="AC3090" t="b">
        <v>0</v>
      </c>
      <c r="AD3090">
        <f>IF(U3090="","MISSING_TOTAL",IF(ABS(AB3090)&lt;=0.01,"OK","CHECK"))</f>
        <v/>
      </c>
      <c r="AE3090">
        <f>IF(U3090="","MISSING",IF(AND(AA3090&gt;0,U3090/AA3090&gt;50),"POSSIBLE_SCALE_ERROR","OK"))</f>
        <v/>
      </c>
    </row>
    <row r="3091">
      <c r="A3091" t="inlineStr">
        <is>
          <t>T-2015-Q4-00040</t>
        </is>
      </c>
      <c r="B3091" t="inlineStr">
        <is>
          <t>SLE</t>
        </is>
      </c>
      <c r="C3091" t="inlineStr">
        <is>
          <t>Vice-President, New Brunswick</t>
        </is>
      </c>
      <c r="D3091" t="inlineStr">
        <is>
          <t>Vice-président, Nouveau-Brunswick</t>
        </is>
      </c>
      <c r="E3091" t="inlineStr">
        <is>
          <t>Kent Estabrooks</t>
        </is>
      </c>
      <c r="F3091" t="inlineStr">
        <is>
          <t>Meeting with various Federal Officials</t>
        </is>
      </c>
      <c r="G3091" t="inlineStr">
        <is>
          <t>Réunion avec divers fonctionnaires fédéraux</t>
        </is>
      </c>
      <c r="H3091" s="1" t="n">
        <v>42023</v>
      </c>
      <c r="I3091" s="1" t="n">
        <v>42025</v>
      </c>
      <c r="J3091" t="inlineStr">
        <is>
          <t>Ottawa, Ontario</t>
        </is>
      </c>
      <c r="K3091" t="inlineStr">
        <is>
          <t>Ottawa (Ontario)</t>
        </is>
      </c>
      <c r="P3091" t="n">
        <v>892.7</v>
      </c>
      <c r="Q3091" t="n">
        <v>88</v>
      </c>
      <c r="R3091" t="n">
        <v>182.73</v>
      </c>
      <c r="S3091" t="n">
        <v>119</v>
      </c>
      <c r="T3091" t="n">
        <v>0</v>
      </c>
      <c r="U3091" t="n">
        <v>1282.43</v>
      </c>
      <c r="X3091" t="inlineStr">
        <is>
          <t>acoa-apeca</t>
        </is>
      </c>
      <c r="Y3091" t="inlineStr">
        <is>
          <t>Atlantic Canada Opportunities Agency | Agence de promotion économique du Canada atlantique</t>
        </is>
      </c>
      <c r="Z3091" t="n">
        <v>3</v>
      </c>
      <c r="AA3091" t="n">
        <v>1282.43</v>
      </c>
      <c r="AB3091">
        <f>ROUND(U3091-AA3091,2)</f>
        <v/>
      </c>
      <c r="AC3091" t="b">
        <v>0</v>
      </c>
      <c r="AD3091">
        <f>IF(U3091="","MISSING_TOTAL",IF(ABS(AB3091)&lt;=0.01,"OK","CHECK"))</f>
        <v/>
      </c>
      <c r="AE3091">
        <f>IF(U3091="","MISSING",IF(AND(AA3091&gt;0,U3091/AA3091&gt;50),"POSSIBLE_SCALE_ERROR","OK"))</f>
        <v/>
      </c>
    </row>
    <row r="3092">
      <c r="A3092" t="inlineStr">
        <is>
          <t>T-2015-Q4-00039</t>
        </is>
      </c>
      <c r="B3092" t="inlineStr">
        <is>
          <t>MPSES</t>
        </is>
      </c>
      <c r="C3092" t="inlineStr">
        <is>
          <t>Minister of State</t>
        </is>
      </c>
      <c r="D3092" t="inlineStr">
        <is>
          <t>Ministre d'État</t>
        </is>
      </c>
      <c r="E3092" t="inlineStr">
        <is>
          <t>Rob Moore</t>
        </is>
      </c>
      <c r="F3092" t="inlineStr">
        <is>
          <t>Travel to Government of Canada announcement and two stakeholder roundtables</t>
        </is>
      </c>
      <c r="G3092" t="inlineStr">
        <is>
          <t>Voyage pour assister à une annonce du gouvernement du Canada et à deux réunions avec des intervenants</t>
        </is>
      </c>
      <c r="H3092" s="1" t="n">
        <v>42023</v>
      </c>
      <c r="I3092" s="1" t="n">
        <v>42023</v>
      </c>
      <c r="J3092" t="inlineStr">
        <is>
          <t>Amherst, Nova Scotia</t>
        </is>
      </c>
      <c r="K3092" t="inlineStr">
        <is>
          <t>Amherst (Nouvelle-Écosse)</t>
        </is>
      </c>
      <c r="P3092" t="n">
        <v>0</v>
      </c>
      <c r="Q3092" t="n">
        <v>197.01</v>
      </c>
      <c r="R3092" t="n">
        <v>0</v>
      </c>
      <c r="S3092" t="n">
        <v>16.35</v>
      </c>
      <c r="T3092" t="n">
        <v>0</v>
      </c>
      <c r="U3092" t="n">
        <v>213.36</v>
      </c>
      <c r="X3092" t="inlineStr">
        <is>
          <t>acoa-apeca</t>
        </is>
      </c>
      <c r="Y3092" t="inlineStr">
        <is>
          <t>Atlantic Canada Opportunities Agency | Agence de promotion économique du Canada atlantique</t>
        </is>
      </c>
      <c r="Z3092" t="n">
        <v>1</v>
      </c>
      <c r="AA3092" t="n">
        <v>213.359999999999</v>
      </c>
      <c r="AB3092">
        <f>ROUND(U3092-AA3092,2)</f>
        <v/>
      </c>
      <c r="AC3092" t="b">
        <v>0</v>
      </c>
      <c r="AD3092">
        <f>IF(U3092="","MISSING_TOTAL",IF(ABS(AB3092)&lt;=0.01,"OK","CHECK"))</f>
        <v/>
      </c>
      <c r="AE3092">
        <f>IF(U3092="","MISSING",IF(AND(AA3092&gt;0,U3092/AA3092&gt;50),"POSSIBLE_SCALE_ERROR","OK"))</f>
        <v/>
      </c>
    </row>
    <row r="3093">
      <c r="A3093" t="inlineStr">
        <is>
          <t>T-2015-Q4-00037</t>
        </is>
      </c>
      <c r="B3093" t="inlineStr">
        <is>
          <t>SLE</t>
        </is>
      </c>
      <c r="C3093" t="inlineStr">
        <is>
          <t>Vice-President, Policy and Programs</t>
        </is>
      </c>
      <c r="D3093" t="inlineStr">
        <is>
          <t>Vice-président, Politiques et Programmes</t>
        </is>
      </c>
      <c r="E3093" t="inlineStr">
        <is>
          <t>Daryell Nowlan</t>
        </is>
      </c>
      <c r="F3093" t="inlineStr">
        <is>
          <t>Meeting with Government of Canada officials</t>
        </is>
      </c>
      <c r="G3093" t="inlineStr">
        <is>
          <t>Réunion avec des fonctionnaires du gouvernement du Canada</t>
        </is>
      </c>
      <c r="H3093" s="1" t="n">
        <v>42023</v>
      </c>
      <c r="I3093" s="1" t="n">
        <v>42024</v>
      </c>
      <c r="J3093" t="inlineStr">
        <is>
          <t>Ottawa, Ontario</t>
        </is>
      </c>
      <c r="K3093" t="inlineStr">
        <is>
          <t>Ottawa (Ontario)</t>
        </is>
      </c>
      <c r="P3093" t="n">
        <v>937.9</v>
      </c>
      <c r="Q3093" t="n">
        <v>160.42</v>
      </c>
      <c r="R3093" t="n">
        <v>182.73</v>
      </c>
      <c r="S3093" t="n">
        <v>135.35</v>
      </c>
      <c r="T3093" t="n">
        <v>0</v>
      </c>
      <c r="U3093" t="n">
        <v>1416.4</v>
      </c>
      <c r="X3093" t="inlineStr">
        <is>
          <t>acoa-apeca</t>
        </is>
      </c>
      <c r="Y3093" t="inlineStr">
        <is>
          <t>Atlantic Canada Opportunities Agency | Agence de promotion économique du Canada atlantique</t>
        </is>
      </c>
      <c r="Z3093" t="n">
        <v>2</v>
      </c>
      <c r="AA3093" t="n">
        <v>1416.39999999999</v>
      </c>
      <c r="AB3093">
        <f>ROUND(U3093-AA3093,2)</f>
        <v/>
      </c>
      <c r="AC3093" t="b">
        <v>0</v>
      </c>
      <c r="AD3093">
        <f>IF(U3093="","MISSING_TOTAL",IF(ABS(AB3093)&lt;=0.01,"OK","CHECK"))</f>
        <v/>
      </c>
      <c r="AE3093">
        <f>IF(U3093="","MISSING",IF(AND(AA3093&gt;0,U3093/AA3093&gt;50),"POSSIBLE_SCALE_ERROR","OK"))</f>
        <v/>
      </c>
    </row>
    <row r="3094">
      <c r="A3094" t="inlineStr">
        <is>
          <t>T-2015-Q4-00035</t>
        </is>
      </c>
      <c r="B3094" t="inlineStr">
        <is>
          <t>SLE</t>
        </is>
      </c>
      <c r="C3094" t="inlineStr">
        <is>
          <t>Vice-President, New Brunswick</t>
        </is>
      </c>
      <c r="D3094" t="inlineStr">
        <is>
          <t>Vice-président, Nouveau-Brunswick</t>
        </is>
      </c>
      <c r="E3094" t="inlineStr">
        <is>
          <t>Kent Estabrooks</t>
        </is>
      </c>
      <c r="F3094" t="inlineStr">
        <is>
          <t>Various meetings with Government of Canada Officials</t>
        </is>
      </c>
      <c r="G3094" t="inlineStr">
        <is>
          <t>Diverses réunions avec des fonctionnaires du gouvernement du Canada</t>
        </is>
      </c>
      <c r="H3094" s="1" t="n">
        <v>42018</v>
      </c>
      <c r="I3094" s="1" t="n">
        <v>42020</v>
      </c>
      <c r="J3094" t="inlineStr">
        <is>
          <t>Ottawa, Ontario</t>
        </is>
      </c>
      <c r="K3094" t="inlineStr">
        <is>
          <t>Ottawa (Ontario)</t>
        </is>
      </c>
      <c r="P3094" t="n">
        <v>892.7</v>
      </c>
      <c r="Q3094" t="n">
        <v>123.33</v>
      </c>
      <c r="R3094" t="n">
        <v>365.46</v>
      </c>
      <c r="S3094" t="n">
        <v>211.2</v>
      </c>
      <c r="T3094" t="n">
        <v>0</v>
      </c>
      <c r="U3094" t="n">
        <v>1592.69</v>
      </c>
      <c r="X3094" t="inlineStr">
        <is>
          <t>acoa-apeca</t>
        </is>
      </c>
      <c r="Y3094" t="inlineStr">
        <is>
          <t>Atlantic Canada Opportunities Agency | Agence de promotion économique du Canada atlantique</t>
        </is>
      </c>
      <c r="Z3094" t="n">
        <v>3</v>
      </c>
      <c r="AA3094" t="n">
        <v>1592.69</v>
      </c>
      <c r="AB3094">
        <f>ROUND(U3094-AA3094,2)</f>
        <v/>
      </c>
      <c r="AC3094" t="b">
        <v>0</v>
      </c>
      <c r="AD3094">
        <f>IF(U3094="","MISSING_TOTAL",IF(ABS(AB3094)&lt;=0.01,"OK","CHECK"))</f>
        <v/>
      </c>
      <c r="AE3094">
        <f>IF(U3094="","MISSING",IF(AND(AA3094&gt;0,U3094/AA3094&gt;50),"POSSIBLE_SCALE_ERROR","OK"))</f>
        <v/>
      </c>
    </row>
    <row r="3095">
      <c r="A3095" t="inlineStr">
        <is>
          <t>T-2015-Q4-00034</t>
        </is>
      </c>
      <c r="B3095" t="inlineStr">
        <is>
          <t>SLE</t>
        </is>
      </c>
      <c r="C3095" t="inlineStr">
        <is>
          <t>Vice-President, Prince Edward Island</t>
        </is>
      </c>
      <c r="D3095" t="inlineStr">
        <is>
          <t>Vice-président, Île-du-Prince-Édouard</t>
        </is>
      </c>
      <c r="E3095" t="inlineStr">
        <is>
          <t>Patrick Dorsey</t>
        </is>
      </c>
      <c r="F3095" t="inlineStr">
        <is>
          <t>Meetings with ACOA Officials in Ottawa</t>
        </is>
      </c>
      <c r="G3095" t="inlineStr">
        <is>
          <t>Réunions avec des fonctionnaires de l'APECA à Ottawa</t>
        </is>
      </c>
      <c r="H3095" s="1" t="n">
        <v>42018</v>
      </c>
      <c r="I3095" s="1" t="n">
        <v>42020</v>
      </c>
      <c r="J3095" t="inlineStr">
        <is>
          <t>Ottawa, Ontario</t>
        </is>
      </c>
      <c r="K3095" t="inlineStr">
        <is>
          <t>Ottawa (Ontario)</t>
        </is>
      </c>
      <c r="P3095" t="n">
        <v>841.9299999999999</v>
      </c>
      <c r="Q3095" t="n">
        <v>91.5</v>
      </c>
      <c r="R3095" t="n">
        <v>365.46</v>
      </c>
      <c r="S3095" t="n">
        <v>200.5</v>
      </c>
      <c r="T3095" t="n">
        <v>0</v>
      </c>
      <c r="U3095" t="n">
        <v>1499.39</v>
      </c>
      <c r="X3095" t="inlineStr">
        <is>
          <t>acoa-apeca</t>
        </is>
      </c>
      <c r="Y3095" t="inlineStr">
        <is>
          <t>Atlantic Canada Opportunities Agency | Agence de promotion économique du Canada atlantique</t>
        </is>
      </c>
      <c r="Z3095" t="n">
        <v>3</v>
      </c>
      <c r="AA3095" t="n">
        <v>1499.38999999999</v>
      </c>
      <c r="AB3095">
        <f>ROUND(U3095-AA3095,2)</f>
        <v/>
      </c>
      <c r="AC3095" t="b">
        <v>0</v>
      </c>
      <c r="AD3095">
        <f>IF(U3095="","MISSING_TOTAL",IF(ABS(AB3095)&lt;=0.01,"OK","CHECK"))</f>
        <v/>
      </c>
      <c r="AE3095">
        <f>IF(U3095="","MISSING",IF(AND(AA3095&gt;0,U3095/AA3095&gt;50),"POSSIBLE_SCALE_ERROR","OK"))</f>
        <v/>
      </c>
    </row>
    <row r="3096">
      <c r="A3096" t="inlineStr">
        <is>
          <t>T-2015-Q4-00033</t>
        </is>
      </c>
      <c r="B3096" t="inlineStr">
        <is>
          <t>SLE</t>
        </is>
      </c>
      <c r="C3096" t="inlineStr">
        <is>
          <t>President</t>
        </is>
      </c>
      <c r="D3096" t="inlineStr">
        <is>
          <t>Président</t>
        </is>
      </c>
      <c r="E3096" t="inlineStr">
        <is>
          <t>Paul J. LeBlanc</t>
        </is>
      </c>
      <c r="F3096" t="inlineStr">
        <is>
          <t>For various meetings and discussions with Agency officials and Government of Canada officials</t>
        </is>
      </c>
      <c r="G3096" t="inlineStr">
        <is>
          <t>Diverses réunions et discussions avec des fonctionnaires de l'Agence et du gouvernement du Canada</t>
        </is>
      </c>
      <c r="H3096" s="1" t="n">
        <v>42018</v>
      </c>
      <c r="I3096" s="1" t="n">
        <v>42020</v>
      </c>
      <c r="J3096" t="inlineStr">
        <is>
          <t>Ottawa, Ontario</t>
        </is>
      </c>
      <c r="K3096" t="inlineStr">
        <is>
          <t>Ottawa (Ontario)</t>
        </is>
      </c>
      <c r="P3096" t="n">
        <v>687.04</v>
      </c>
      <c r="Q3096" t="n">
        <v>0</v>
      </c>
      <c r="R3096" t="n">
        <v>365.46</v>
      </c>
      <c r="S3096" t="n">
        <v>184.15</v>
      </c>
      <c r="T3096" t="n">
        <v>218.45</v>
      </c>
      <c r="U3096" t="n">
        <v>1455.1</v>
      </c>
      <c r="X3096" t="inlineStr">
        <is>
          <t>acoa-apeca</t>
        </is>
      </c>
      <c r="Y3096" t="inlineStr">
        <is>
          <t>Atlantic Canada Opportunities Agency | Agence de promotion économique du Canada atlantique</t>
        </is>
      </c>
      <c r="Z3096" t="n">
        <v>3</v>
      </c>
      <c r="AA3096" t="n">
        <v>1455.1</v>
      </c>
      <c r="AB3096">
        <f>ROUND(U3096-AA3096,2)</f>
        <v/>
      </c>
      <c r="AC3096" t="b">
        <v>0</v>
      </c>
      <c r="AD3096">
        <f>IF(U3096="","MISSING_TOTAL",IF(ABS(AB3096)&lt;=0.01,"OK","CHECK"))</f>
        <v/>
      </c>
      <c r="AE3096">
        <f>IF(U3096="","MISSING",IF(AND(AA3096&gt;0,U3096/AA3096&gt;50),"POSSIBLE_SCALE_ERROR","OK"))</f>
        <v/>
      </c>
    </row>
    <row r="3097">
      <c r="A3097" t="inlineStr">
        <is>
          <t>T-2015-Q1-00005</t>
        </is>
      </c>
      <c r="B3097" t="inlineStr">
        <is>
          <t>MPSES</t>
        </is>
      </c>
      <c r="C3097" t="inlineStr">
        <is>
          <t>Chief of Staff</t>
        </is>
      </c>
      <c r="D3097" t="inlineStr">
        <is>
          <t>Chef de cabinet</t>
        </is>
      </c>
      <c r="E3097" t="inlineStr">
        <is>
          <t>Shane Bourke</t>
        </is>
      </c>
      <c r="F3097" t="inlineStr">
        <is>
          <t>Travel on Government business</t>
        </is>
      </c>
      <c r="G3097" t="inlineStr">
        <is>
          <t>Voyage pour le compte du gouvernement</t>
        </is>
      </c>
      <c r="H3097" s="1" t="n">
        <v>41711</v>
      </c>
      <c r="I3097" s="1" t="n">
        <v>41712</v>
      </c>
      <c r="J3097" t="inlineStr">
        <is>
          <t>Moncton, New Brunswick</t>
        </is>
      </c>
      <c r="K3097" t="inlineStr">
        <is>
          <t>Moncton (Nouveau-Brunswick)</t>
        </is>
      </c>
      <c r="P3097" t="n">
        <v>619.5700000000001</v>
      </c>
      <c r="Q3097" t="n">
        <v>62</v>
      </c>
      <c r="R3097" t="n">
        <v>113</v>
      </c>
      <c r="S3097" t="n">
        <v>0</v>
      </c>
      <c r="T3097" t="n">
        <v>0</v>
      </c>
      <c r="U3097" t="n">
        <v>794.5700000000001</v>
      </c>
      <c r="X3097" t="inlineStr">
        <is>
          <t>acoa-apeca</t>
        </is>
      </c>
      <c r="Y3097" t="inlineStr">
        <is>
          <t>Atlantic Canada Opportunities Agency | Agence de promotion économique du Canada atlantique</t>
        </is>
      </c>
      <c r="Z3097" t="n">
        <v>2</v>
      </c>
      <c r="AA3097" t="n">
        <v>794.5700000000001</v>
      </c>
      <c r="AB3097">
        <f>ROUND(U3097-AA3097,2)</f>
        <v/>
      </c>
      <c r="AC3097" t="b">
        <v>0</v>
      </c>
      <c r="AD3097">
        <f>IF(U3097="","MISSING_TOTAL",IF(ABS(AB3097)&lt;=0.01,"OK","CHECK"))</f>
        <v/>
      </c>
      <c r="AE3097">
        <f>IF(U3097="","MISSING",IF(AND(AA3097&gt;0,U3097/AA3097&gt;50),"POSSIBLE_SCALE_ERROR","OK"))</f>
        <v/>
      </c>
    </row>
    <row r="3098">
      <c r="A3098" t="inlineStr">
        <is>
          <t>T-2015-Q4-00031</t>
        </is>
      </c>
      <c r="B3098" t="inlineStr">
        <is>
          <t>SLE</t>
        </is>
      </c>
      <c r="C3098" t="inlineStr">
        <is>
          <t>Vice-President, Prince Edward Island</t>
        </is>
      </c>
      <c r="D3098" t="inlineStr">
        <is>
          <t>Vice-président, Île-du-Prince-Édouard</t>
        </is>
      </c>
      <c r="E3098" t="inlineStr">
        <is>
          <t>Patrick Dorsey</t>
        </is>
      </c>
      <c r="F3098" t="inlineStr">
        <is>
          <t>Meetings with ACOA Officials</t>
        </is>
      </c>
      <c r="G3098" t="inlineStr">
        <is>
          <t>Réunions avec des représentants de l'APECA</t>
        </is>
      </c>
      <c r="H3098" s="1" t="n">
        <v>42016</v>
      </c>
      <c r="I3098" s="1" t="n">
        <v>42017</v>
      </c>
      <c r="J3098" t="inlineStr">
        <is>
          <t>Moncton, New Brunswick</t>
        </is>
      </c>
      <c r="K3098" t="inlineStr">
        <is>
          <t>Moncton (Nouveau-Brunswick)</t>
        </is>
      </c>
      <c r="P3098" t="n">
        <v>0</v>
      </c>
      <c r="Q3098" t="n">
        <v>71.45</v>
      </c>
      <c r="R3098" t="n">
        <v>134.47</v>
      </c>
      <c r="S3098" t="n">
        <v>92.55</v>
      </c>
      <c r="T3098" t="n">
        <v>0</v>
      </c>
      <c r="U3098" t="n">
        <v>298.47</v>
      </c>
      <c r="X3098" t="inlineStr">
        <is>
          <t>acoa-apeca</t>
        </is>
      </c>
      <c r="Y3098" t="inlineStr">
        <is>
          <t>Atlantic Canada Opportunities Agency | Agence de promotion économique du Canada atlantique</t>
        </is>
      </c>
      <c r="Z3098" t="n">
        <v>2</v>
      </c>
      <c r="AA3098" t="n">
        <v>298.47</v>
      </c>
      <c r="AB3098">
        <f>ROUND(U3098-AA3098,2)</f>
        <v/>
      </c>
      <c r="AC3098" t="b">
        <v>0</v>
      </c>
      <c r="AD3098">
        <f>IF(U3098="","MISSING_TOTAL",IF(ABS(AB3098)&lt;=0.01,"OK","CHECK"))</f>
        <v/>
      </c>
      <c r="AE3098">
        <f>IF(U3098="","MISSING",IF(AND(AA3098&gt;0,U3098/AA3098&gt;50),"POSSIBLE_SCALE_ERROR","OK"))</f>
        <v/>
      </c>
    </row>
    <row r="3099">
      <c r="A3099" t="inlineStr">
        <is>
          <t>T-2015-Q4-00030</t>
        </is>
      </c>
      <c r="B3099" t="inlineStr">
        <is>
          <t>SLE</t>
        </is>
      </c>
      <c r="C3099" t="inlineStr">
        <is>
          <t>Vice-President, Finance and Corporate Services</t>
        </is>
      </c>
      <c r="D3099" t="inlineStr">
        <is>
          <t>Vice-présidente, Finances et Services corporatifs</t>
        </is>
      </c>
      <c r="E3099" t="inlineStr">
        <is>
          <t>Denise Frenette</t>
        </is>
      </c>
      <c r="F3099" t="inlineStr">
        <is>
          <t>For meeting with Agency officials</t>
        </is>
      </c>
      <c r="G3099" t="inlineStr">
        <is>
          <t>Réunion avec des fonctionnaires de l'Agence</t>
        </is>
      </c>
      <c r="H3099" s="1" t="n">
        <v>42016</v>
      </c>
      <c r="I3099" s="1" t="n">
        <v>42017</v>
      </c>
      <c r="J3099" t="inlineStr">
        <is>
          <t>Ottawa, Ontario</t>
        </is>
      </c>
      <c r="K3099" t="inlineStr">
        <is>
          <t>Ottawa (Ontario)</t>
        </is>
      </c>
      <c r="P3099" t="n">
        <v>702.48</v>
      </c>
      <c r="Q3099" t="n">
        <v>6.93</v>
      </c>
      <c r="R3099" t="n">
        <v>182.73</v>
      </c>
      <c r="S3099" t="n">
        <v>119</v>
      </c>
      <c r="T3099" t="n">
        <v>0</v>
      </c>
      <c r="U3099" t="n">
        <v>1011.14</v>
      </c>
      <c r="X3099" t="inlineStr">
        <is>
          <t>acoa-apeca</t>
        </is>
      </c>
      <c r="Y3099" t="inlineStr">
        <is>
          <t>Atlantic Canada Opportunities Agency | Agence de promotion économique du Canada atlantique</t>
        </is>
      </c>
      <c r="Z3099" t="n">
        <v>2</v>
      </c>
      <c r="AA3099" t="n">
        <v>1011.14</v>
      </c>
      <c r="AB3099">
        <f>ROUND(U3099-AA3099,2)</f>
        <v/>
      </c>
      <c r="AC3099" t="b">
        <v>0</v>
      </c>
      <c r="AD3099">
        <f>IF(U3099="","MISSING_TOTAL",IF(ABS(AB3099)&lt;=0.01,"OK","CHECK"))</f>
        <v/>
      </c>
      <c r="AE3099">
        <f>IF(U3099="","MISSING",IF(AND(AA3099&gt;0,U3099/AA3099&gt;50),"POSSIBLE_SCALE_ERROR","OK"))</f>
        <v/>
      </c>
    </row>
    <row r="3100">
      <c r="A3100" t="inlineStr">
        <is>
          <t>T-2015-Q4-00029</t>
        </is>
      </c>
      <c r="B3100" t="inlineStr">
        <is>
          <t>SLE</t>
        </is>
      </c>
      <c r="C3100" t="inlineStr">
        <is>
          <t>Vice-President, Policy and Programs</t>
        </is>
      </c>
      <c r="D3100" t="inlineStr">
        <is>
          <t>Vice-président, Politiques et Programmes</t>
        </is>
      </c>
      <c r="E3100" t="inlineStr">
        <is>
          <t>Daryell Nowlan</t>
        </is>
      </c>
      <c r="F3100" t="inlineStr">
        <is>
          <t>Meeting with Government of Canada officials</t>
        </is>
      </c>
      <c r="G3100" t="inlineStr">
        <is>
          <t>Réunion avec des fonctionnaires du gouvernement du Canada</t>
        </is>
      </c>
      <c r="H3100" s="1" t="n">
        <v>42016</v>
      </c>
      <c r="I3100" s="1" t="n">
        <v>42017</v>
      </c>
      <c r="J3100" t="inlineStr">
        <is>
          <t>Ottawa, Ontario</t>
        </is>
      </c>
      <c r="K3100" t="inlineStr">
        <is>
          <t>Ottawa (Ontario)</t>
        </is>
      </c>
      <c r="P3100" t="n">
        <v>937.9</v>
      </c>
      <c r="Q3100" t="n">
        <v>85</v>
      </c>
      <c r="R3100" t="n">
        <v>182.73</v>
      </c>
      <c r="S3100" t="n">
        <v>119</v>
      </c>
      <c r="T3100" t="n">
        <v>0</v>
      </c>
      <c r="U3100" t="n">
        <v>1324.63</v>
      </c>
      <c r="X3100" t="inlineStr">
        <is>
          <t>acoa-apeca</t>
        </is>
      </c>
      <c r="Y3100" t="inlineStr">
        <is>
          <t>Atlantic Canada Opportunities Agency | Agence de promotion économique du Canada atlantique</t>
        </is>
      </c>
      <c r="Z3100" t="n">
        <v>2</v>
      </c>
      <c r="AA3100" t="n">
        <v>1324.62999999999</v>
      </c>
      <c r="AB3100">
        <f>ROUND(U3100-AA3100,2)</f>
        <v/>
      </c>
      <c r="AC3100" t="b">
        <v>0</v>
      </c>
      <c r="AD3100">
        <f>IF(U3100="","MISSING_TOTAL",IF(ABS(AB3100)&lt;=0.01,"OK","CHECK"))</f>
        <v/>
      </c>
      <c r="AE3100">
        <f>IF(U3100="","MISSING",IF(AND(AA3100&gt;0,U3100/AA3100&gt;50),"POSSIBLE_SCALE_ERROR","OK"))</f>
        <v/>
      </c>
    </row>
    <row r="3101">
      <c r="A3101" t="inlineStr">
        <is>
          <t>T-2015-Q4-00028</t>
        </is>
      </c>
      <c r="B3101" t="inlineStr">
        <is>
          <t>SLE</t>
        </is>
      </c>
      <c r="C3101" t="inlineStr">
        <is>
          <t>Vice-President, Newfoundland and Labrador</t>
        </is>
      </c>
      <c r="D3101" t="inlineStr">
        <is>
          <t>Vice-président, Terre-Neuve-et-Labrador</t>
        </is>
      </c>
      <c r="E3101" t="inlineStr">
        <is>
          <t>Paul Mills</t>
        </is>
      </c>
      <c r="F3101" t="inlineStr">
        <is>
          <t>Mileage in and around St. John's area for meetings with senior stakeholders from Jan. to Mar. 2015</t>
        </is>
      </c>
      <c r="G3101" t="inlineStr">
        <is>
          <t>Déplacements à St. John's et aux environs pour des réunions avec des intervenants de haut niveau de janvier à mars 2015</t>
        </is>
      </c>
      <c r="H3101" s="1" t="n">
        <v>42005</v>
      </c>
      <c r="I3101" s="1" t="n">
        <v>42094</v>
      </c>
      <c r="J3101" t="inlineStr">
        <is>
          <t>St. John's, Newfoundland and Labrador</t>
        </is>
      </c>
      <c r="K3101" t="inlineStr">
        <is>
          <t>St. John's (Terre-Neuve-et-Labrador)</t>
        </is>
      </c>
      <c r="P3101" t="n">
        <v>0</v>
      </c>
      <c r="Q3101" t="n">
        <v>9.19</v>
      </c>
      <c r="R3101" t="n">
        <v>0</v>
      </c>
      <c r="S3101" t="n">
        <v>0</v>
      </c>
      <c r="T3101" t="n">
        <v>0</v>
      </c>
      <c r="U3101" t="n">
        <v>9.19</v>
      </c>
      <c r="X3101" t="inlineStr">
        <is>
          <t>acoa-apeca</t>
        </is>
      </c>
      <c r="Y3101" t="inlineStr">
        <is>
          <t>Atlantic Canada Opportunities Agency | Agence de promotion économique du Canada atlantique</t>
        </is>
      </c>
      <c r="Z3101" t="n">
        <v>90</v>
      </c>
      <c r="AA3101" t="n">
        <v>9.19</v>
      </c>
      <c r="AB3101">
        <f>ROUND(U3101-AA3101,2)</f>
        <v/>
      </c>
      <c r="AC3101" t="b">
        <v>0</v>
      </c>
      <c r="AD3101">
        <f>IF(U3101="","MISSING_TOTAL",IF(ABS(AB3101)&lt;=0.01,"OK","CHECK"))</f>
        <v/>
      </c>
      <c r="AE3101">
        <f>IF(U3101="","MISSING",IF(AND(AA3101&gt;0,U3101/AA3101&gt;50),"POSSIBLE_SCALE_ERROR","OK"))</f>
        <v/>
      </c>
    </row>
    <row r="3102">
      <c r="A3102" t="inlineStr">
        <is>
          <t>T-2015-Q4-00027</t>
        </is>
      </c>
      <c r="B3102" t="inlineStr">
        <is>
          <t>SLE</t>
        </is>
      </c>
      <c r="C3102" t="inlineStr">
        <is>
          <t>President</t>
        </is>
      </c>
      <c r="D3102" t="inlineStr">
        <is>
          <t>Président</t>
        </is>
      </c>
      <c r="E3102" t="inlineStr">
        <is>
          <t>Paul J. LeBlanc</t>
        </is>
      </c>
      <c r="F3102" t="inlineStr">
        <is>
          <t>For various meetings and discussions with Agency officials</t>
        </is>
      </c>
      <c r="G3102" t="inlineStr">
        <is>
          <t>Diverses réunions et discussions avec des fonctionnaires de l'Agence</t>
        </is>
      </c>
      <c r="H3102" s="1" t="n">
        <v>41991</v>
      </c>
      <c r="I3102" s="1" t="n">
        <v>41991</v>
      </c>
      <c r="J3102" t="inlineStr">
        <is>
          <t>Halifax, Nova Scotia</t>
        </is>
      </c>
      <c r="K3102" t="inlineStr">
        <is>
          <t>Halifax (Nouvelle-Écosse)</t>
        </is>
      </c>
      <c r="P3102" t="n">
        <v>0</v>
      </c>
      <c r="Q3102" t="n">
        <v>0</v>
      </c>
      <c r="R3102" t="n">
        <v>0</v>
      </c>
      <c r="S3102" t="n">
        <v>0</v>
      </c>
      <c r="T3102" t="n">
        <v>8</v>
      </c>
      <c r="U3102" t="n">
        <v>8</v>
      </c>
      <c r="X3102" t="inlineStr">
        <is>
          <t>acoa-apeca</t>
        </is>
      </c>
      <c r="Y3102" t="inlineStr">
        <is>
          <t>Atlantic Canada Opportunities Agency | Agence de promotion économique du Canada atlantique</t>
        </is>
      </c>
      <c r="Z3102" t="n">
        <v>1</v>
      </c>
      <c r="AA3102" t="n">
        <v>8</v>
      </c>
      <c r="AB3102">
        <f>ROUND(U3102-AA3102,2)</f>
        <v/>
      </c>
      <c r="AC3102" t="b">
        <v>0</v>
      </c>
      <c r="AD3102">
        <f>IF(U3102="","MISSING_TOTAL",IF(ABS(AB3102)&lt;=0.01,"OK","CHECK"))</f>
        <v/>
      </c>
      <c r="AE3102">
        <f>IF(U3102="","MISSING",IF(AND(AA3102&gt;0,U3102/AA3102&gt;50),"POSSIBLE_SCALE_ERROR","OK"))</f>
        <v/>
      </c>
    </row>
    <row r="3103">
      <c r="A3103" t="inlineStr">
        <is>
          <t>T-2015-Q4-00025</t>
        </is>
      </c>
      <c r="B3103" t="inlineStr">
        <is>
          <t>MPSES</t>
        </is>
      </c>
      <c r="C3103" t="inlineStr">
        <is>
          <t>Minister of State</t>
        </is>
      </c>
      <c r="D3103" t="inlineStr">
        <is>
          <t>Ministre d'État</t>
        </is>
      </c>
      <c r="E3103" t="inlineStr">
        <is>
          <t>Rob Moore</t>
        </is>
      </c>
      <c r="F3103" t="inlineStr">
        <is>
          <t>Travel to meet with Premier of New Brunswick</t>
        </is>
      </c>
      <c r="G3103" t="inlineStr">
        <is>
          <t>Voyage pour rencontrer le premier ministre du Nouveau-Brunswick</t>
        </is>
      </c>
      <c r="H3103" s="1" t="n">
        <v>41990</v>
      </c>
      <c r="I3103" s="1" t="n">
        <v>41990</v>
      </c>
      <c r="J3103" t="inlineStr">
        <is>
          <t>Fredericton, New Brunswick</t>
        </is>
      </c>
      <c r="K3103" t="inlineStr">
        <is>
          <t>Fredericton (Nouveau-Brunswick)</t>
        </is>
      </c>
      <c r="P3103" t="n">
        <v>0</v>
      </c>
      <c r="Q3103" t="n">
        <v>139.23</v>
      </c>
      <c r="R3103" t="n">
        <v>0</v>
      </c>
      <c r="S3103" t="n">
        <v>16.35</v>
      </c>
      <c r="T3103" t="n">
        <v>0</v>
      </c>
      <c r="U3103" t="n">
        <v>155.58</v>
      </c>
      <c r="X3103" t="inlineStr">
        <is>
          <t>acoa-apeca</t>
        </is>
      </c>
      <c r="Y3103" t="inlineStr">
        <is>
          <t>Atlantic Canada Opportunities Agency | Agence de promotion économique du Canada atlantique</t>
        </is>
      </c>
      <c r="Z3103" t="n">
        <v>1</v>
      </c>
      <c r="AA3103" t="n">
        <v>155.579999999999</v>
      </c>
      <c r="AB3103">
        <f>ROUND(U3103-AA3103,2)</f>
        <v/>
      </c>
      <c r="AC3103" t="b">
        <v>0</v>
      </c>
      <c r="AD3103">
        <f>IF(U3103="","MISSING_TOTAL",IF(ABS(AB3103)&lt;=0.01,"OK","CHECK"))</f>
        <v/>
      </c>
      <c r="AE3103">
        <f>IF(U3103="","MISSING",IF(AND(AA3103&gt;0,U3103/AA3103&gt;50),"POSSIBLE_SCALE_ERROR","OK"))</f>
        <v/>
      </c>
    </row>
    <row r="3104">
      <c r="A3104" t="inlineStr">
        <is>
          <t>T-2015-Q4-00024</t>
        </is>
      </c>
      <c r="B3104" t="inlineStr">
        <is>
          <t>SLE</t>
        </is>
      </c>
      <c r="C3104" t="inlineStr">
        <is>
          <t>Vice-President, Finance and Corporate Services</t>
        </is>
      </c>
      <c r="D3104" t="inlineStr">
        <is>
          <t>Vice-présidente, Finances et Services corporatifs</t>
        </is>
      </c>
      <c r="E3104" t="inlineStr">
        <is>
          <t>Denise Frenette</t>
        </is>
      </c>
      <c r="F3104" t="inlineStr">
        <is>
          <t>For various meetings Government of Canada officials</t>
        </is>
      </c>
      <c r="G3104" t="inlineStr">
        <is>
          <t>Diverses réunions avec des fonctionnaires du gouvernement du Canada</t>
        </is>
      </c>
      <c r="H3104" s="1" t="n">
        <v>41989</v>
      </c>
      <c r="I3104" s="1" t="n">
        <v>41990</v>
      </c>
      <c r="J3104" t="inlineStr">
        <is>
          <t>Montreal, Quebec</t>
        </is>
      </c>
      <c r="K3104" t="inlineStr">
        <is>
          <t>Montréal (Québec)</t>
        </is>
      </c>
      <c r="P3104" t="n">
        <v>687.04</v>
      </c>
      <c r="Q3104" t="n">
        <v>112</v>
      </c>
      <c r="R3104" t="n">
        <v>165.41</v>
      </c>
      <c r="S3104" t="n">
        <v>157.48</v>
      </c>
      <c r="T3104" t="n">
        <v>0</v>
      </c>
      <c r="U3104" t="n">
        <v>1121.93</v>
      </c>
      <c r="X3104" t="inlineStr">
        <is>
          <t>acoa-apeca</t>
        </is>
      </c>
      <c r="Y3104" t="inlineStr">
        <is>
          <t>Atlantic Canada Opportunities Agency | Agence de promotion économique du Canada atlantique</t>
        </is>
      </c>
      <c r="Z3104" t="n">
        <v>2</v>
      </c>
      <c r="AA3104" t="n">
        <v>1121.92999999999</v>
      </c>
      <c r="AB3104">
        <f>ROUND(U3104-AA3104,2)</f>
        <v/>
      </c>
      <c r="AC3104" t="b">
        <v>0</v>
      </c>
      <c r="AD3104">
        <f>IF(U3104="","MISSING_TOTAL",IF(ABS(AB3104)&lt;=0.01,"OK","CHECK"))</f>
        <v/>
      </c>
      <c r="AE3104">
        <f>IF(U3104="","MISSING",IF(AND(AA3104&gt;0,U3104/AA3104&gt;50),"POSSIBLE_SCALE_ERROR","OK"))</f>
        <v/>
      </c>
    </row>
    <row r="3105">
      <c r="A3105" t="inlineStr">
        <is>
          <t>T-2015-Q4-00023</t>
        </is>
      </c>
      <c r="B3105" t="inlineStr">
        <is>
          <t>MPSES</t>
        </is>
      </c>
      <c r="C3105" t="inlineStr">
        <is>
          <t>Minister of State</t>
        </is>
      </c>
      <c r="D3105" t="inlineStr">
        <is>
          <t>Ministre d'État</t>
        </is>
      </c>
      <c r="E3105" t="inlineStr">
        <is>
          <t>Rob Moore</t>
        </is>
      </c>
      <c r="F3105" t="inlineStr">
        <is>
          <t>Travel for Government of Canada announcement and stakeholder roundtables</t>
        </is>
      </c>
      <c r="G3105" t="inlineStr">
        <is>
          <t>Voyage pour assister à une annonce du gouvernement du Canada et à des réunions avec des intervenants</t>
        </is>
      </c>
      <c r="H3105" s="1" t="n">
        <v>41989</v>
      </c>
      <c r="I3105" s="1" t="n">
        <v>41989</v>
      </c>
      <c r="J3105" t="inlineStr">
        <is>
          <t>Charlottetown, Prince Edward Island</t>
        </is>
      </c>
      <c r="K3105" t="inlineStr">
        <is>
          <t>Charlottetown (Île-du-Prince-Édouard)</t>
        </is>
      </c>
      <c r="P3105" t="n">
        <v>0</v>
      </c>
      <c r="Q3105" t="n">
        <v>349.98</v>
      </c>
      <c r="R3105" t="n">
        <v>0</v>
      </c>
      <c r="S3105" t="n">
        <v>42.2</v>
      </c>
      <c r="T3105" t="n">
        <v>0</v>
      </c>
      <c r="U3105" t="n">
        <v>392.18</v>
      </c>
      <c r="X3105" t="inlineStr">
        <is>
          <t>acoa-apeca</t>
        </is>
      </c>
      <c r="Y3105" t="inlineStr">
        <is>
          <t>Atlantic Canada Opportunities Agency | Agence de promotion économique du Canada atlantique</t>
        </is>
      </c>
      <c r="Z3105" t="n">
        <v>1</v>
      </c>
      <c r="AA3105" t="n">
        <v>392.18</v>
      </c>
      <c r="AB3105">
        <f>ROUND(U3105-AA3105,2)</f>
        <v/>
      </c>
      <c r="AC3105" t="b">
        <v>0</v>
      </c>
      <c r="AD3105">
        <f>IF(U3105="","MISSING_TOTAL",IF(ABS(AB3105)&lt;=0.01,"OK","CHECK"))</f>
        <v/>
      </c>
      <c r="AE3105">
        <f>IF(U3105="","MISSING",IF(AND(AA3105&gt;0,U3105/AA3105&gt;50),"POSSIBLE_SCALE_ERROR","OK"))</f>
        <v/>
      </c>
    </row>
    <row r="3106">
      <c r="A3106" t="inlineStr">
        <is>
          <t>T-2015-Q4-00022</t>
        </is>
      </c>
      <c r="B3106" t="inlineStr">
        <is>
          <t>SLE</t>
        </is>
      </c>
      <c r="C3106" t="inlineStr">
        <is>
          <t>President</t>
        </is>
      </c>
      <c r="D3106" t="inlineStr">
        <is>
          <t>Président</t>
        </is>
      </c>
      <c r="E3106" t="inlineStr">
        <is>
          <t>Paul J. LeBlanc</t>
        </is>
      </c>
      <c r="F3106" t="inlineStr">
        <is>
          <t>For various meetings and discussions with Agency officials and Government of Canada officials</t>
        </is>
      </c>
      <c r="G3106" t="inlineStr">
        <is>
          <t>Diverses réunions et discussions avec des fonctionnaires de l'Agence et du gouvernement du Canada</t>
        </is>
      </c>
      <c r="H3106" s="1" t="n">
        <v>41989</v>
      </c>
      <c r="I3106" s="1" t="n">
        <v>41990</v>
      </c>
      <c r="J3106" t="inlineStr">
        <is>
          <t>Fredericton, New Brunswick</t>
        </is>
      </c>
      <c r="K3106" t="inlineStr">
        <is>
          <t>Fredericton (Nouveau-Brunswick)</t>
        </is>
      </c>
      <c r="P3106" t="n">
        <v>0</v>
      </c>
      <c r="Q3106" t="n">
        <v>0</v>
      </c>
      <c r="R3106" t="n">
        <v>152.55</v>
      </c>
      <c r="S3106" t="n">
        <v>108.9</v>
      </c>
      <c r="T3106" t="n">
        <v>0</v>
      </c>
      <c r="U3106" t="n">
        <v>261.45</v>
      </c>
      <c r="X3106" t="inlineStr">
        <is>
          <t>acoa-apeca</t>
        </is>
      </c>
      <c r="Y3106" t="inlineStr">
        <is>
          <t>Atlantic Canada Opportunities Agency | Agence de promotion économique du Canada atlantique</t>
        </is>
      </c>
      <c r="Z3106" t="n">
        <v>2</v>
      </c>
      <c r="AA3106" t="n">
        <v>261.45</v>
      </c>
      <c r="AB3106">
        <f>ROUND(U3106-AA3106,2)</f>
        <v/>
      </c>
      <c r="AC3106" t="b">
        <v>0</v>
      </c>
      <c r="AD3106">
        <f>IF(U3106="","MISSING_TOTAL",IF(ABS(AB3106)&lt;=0.01,"OK","CHECK"))</f>
        <v/>
      </c>
      <c r="AE3106">
        <f>IF(U3106="","MISSING",IF(AND(AA3106&gt;0,U3106/AA3106&gt;50),"POSSIBLE_SCALE_ERROR","OK"))</f>
        <v/>
      </c>
    </row>
    <row r="3107">
      <c r="A3107" t="inlineStr">
        <is>
          <t>T-2015-Q4-00021</t>
        </is>
      </c>
      <c r="B3107" t="inlineStr">
        <is>
          <t>SLE</t>
        </is>
      </c>
      <c r="C3107" t="inlineStr">
        <is>
          <t>Vice-President, Policy and Programs</t>
        </is>
      </c>
      <c r="D3107" t="inlineStr">
        <is>
          <t>Vice-président, Politiques et Programmes</t>
        </is>
      </c>
      <c r="E3107" t="inlineStr">
        <is>
          <t>Daryell Nowlan</t>
        </is>
      </c>
      <c r="F3107" t="inlineStr">
        <is>
          <t>Meetings with Government of Canada officials</t>
        </is>
      </c>
      <c r="G3107" t="inlineStr">
        <is>
          <t>Réunions avec des fonctionnaires du gouvernement du Canada</t>
        </is>
      </c>
      <c r="H3107" s="1" t="n">
        <v>41988</v>
      </c>
      <c r="I3107" s="1" t="n">
        <v>41990</v>
      </c>
      <c r="J3107" t="inlineStr">
        <is>
          <t>Ottawa, Ontario and Montreal, Quebec</t>
        </is>
      </c>
      <c r="K3107" t="inlineStr">
        <is>
          <t>Ottawa (Ontario) et Montréal (Québec)</t>
        </is>
      </c>
      <c r="P3107" t="n">
        <v>1339.05</v>
      </c>
      <c r="Q3107" t="n">
        <v>188.84</v>
      </c>
      <c r="R3107" t="n">
        <v>348.14</v>
      </c>
      <c r="S3107" t="n">
        <v>226.95</v>
      </c>
      <c r="T3107" t="n">
        <v>0</v>
      </c>
      <c r="U3107" t="n">
        <v>2102.98</v>
      </c>
      <c r="X3107" t="inlineStr">
        <is>
          <t>acoa-apeca</t>
        </is>
      </c>
      <c r="Y3107" t="inlineStr">
        <is>
          <t>Atlantic Canada Opportunities Agency | Agence de promotion économique du Canada atlantique</t>
        </is>
      </c>
      <c r="Z3107" t="n">
        <v>3</v>
      </c>
      <c r="AA3107" t="n">
        <v>2102.97999999999</v>
      </c>
      <c r="AB3107">
        <f>ROUND(U3107-AA3107,2)</f>
        <v/>
      </c>
      <c r="AC3107" t="b">
        <v>0</v>
      </c>
      <c r="AD3107">
        <f>IF(U3107="","MISSING_TOTAL",IF(ABS(AB3107)&lt;=0.01,"OK","CHECK"))</f>
        <v/>
      </c>
      <c r="AE3107">
        <f>IF(U3107="","MISSING",IF(AND(AA3107&gt;0,U3107/AA3107&gt;50),"POSSIBLE_SCALE_ERROR","OK"))</f>
        <v/>
      </c>
    </row>
    <row r="3108">
      <c r="A3108" t="inlineStr">
        <is>
          <t>T-2015-Q4-00020</t>
        </is>
      </c>
      <c r="B3108" t="inlineStr">
        <is>
          <t>SLE</t>
        </is>
      </c>
      <c r="C3108" t="inlineStr">
        <is>
          <t>Vice-President, New Brunswick</t>
        </is>
      </c>
      <c r="D3108" t="inlineStr">
        <is>
          <t>Vice-président, Nouveau-Brunswick</t>
        </is>
      </c>
      <c r="E3108" t="inlineStr">
        <is>
          <t>Kent Estabrooks</t>
        </is>
      </c>
      <c r="F3108" t="inlineStr">
        <is>
          <t>Meeting with Agency Officials</t>
        </is>
      </c>
      <c r="G3108" t="inlineStr">
        <is>
          <t>Réunion avec des fonctionnaires de l'Agence</t>
        </is>
      </c>
      <c r="H3108" s="1" t="n">
        <v>41987</v>
      </c>
      <c r="I3108" s="1" t="n">
        <v>41988</v>
      </c>
      <c r="J3108" t="inlineStr">
        <is>
          <t>Moncton, New Brunswick</t>
        </is>
      </c>
      <c r="K3108" t="inlineStr">
        <is>
          <t>Moncton (Nouveau-Brunswick)</t>
        </is>
      </c>
      <c r="P3108" t="n">
        <v>0</v>
      </c>
      <c r="Q3108" t="n">
        <v>0</v>
      </c>
      <c r="R3108" t="n">
        <v>127.63</v>
      </c>
      <c r="S3108" t="n">
        <v>50.95</v>
      </c>
      <c r="T3108" t="n">
        <v>0</v>
      </c>
      <c r="U3108" t="n">
        <v>178.58</v>
      </c>
      <c r="X3108" t="inlineStr">
        <is>
          <t>acoa-apeca</t>
        </is>
      </c>
      <c r="Y3108" t="inlineStr">
        <is>
          <t>Atlantic Canada Opportunities Agency | Agence de promotion économique du Canada atlantique</t>
        </is>
      </c>
      <c r="Z3108" t="n">
        <v>2</v>
      </c>
      <c r="AA3108" t="n">
        <v>178.579999999999</v>
      </c>
      <c r="AB3108">
        <f>ROUND(U3108-AA3108,2)</f>
        <v/>
      </c>
      <c r="AC3108" t="b">
        <v>0</v>
      </c>
      <c r="AD3108">
        <f>IF(U3108="","MISSING_TOTAL",IF(ABS(AB3108)&lt;=0.01,"OK","CHECK"))</f>
        <v/>
      </c>
      <c r="AE3108">
        <f>IF(U3108="","MISSING",IF(AND(AA3108&gt;0,U3108/AA3108&gt;50),"POSSIBLE_SCALE_ERROR","OK"))</f>
        <v/>
      </c>
    </row>
    <row r="3109">
      <c r="A3109" t="inlineStr">
        <is>
          <t>T-2015-Q4-00019</t>
        </is>
      </c>
      <c r="B3109" t="inlineStr">
        <is>
          <t>MPSES</t>
        </is>
      </c>
      <c r="C3109" t="inlineStr">
        <is>
          <t>Executive Assistant</t>
        </is>
      </c>
      <c r="D3109" t="inlineStr">
        <is>
          <t>Adjoint exécutif</t>
        </is>
      </c>
      <c r="E3109" t="inlineStr">
        <is>
          <t>Josh Hardy</t>
        </is>
      </c>
      <c r="F3109" t="inlineStr">
        <is>
          <t>Travel on Government of Canada business</t>
        </is>
      </c>
      <c r="G3109" t="inlineStr">
        <is>
          <t>Voyage pour le compte du gouvernement du Canada</t>
        </is>
      </c>
      <c r="H3109" s="1" t="n">
        <v>41987</v>
      </c>
      <c r="I3109" s="1" t="n">
        <v>41989</v>
      </c>
      <c r="J3109" t="inlineStr">
        <is>
          <t>Moncton, New Brunswick</t>
        </is>
      </c>
      <c r="K3109" t="inlineStr">
        <is>
          <t>Moncton (Nouveau-Brunswick)</t>
        </is>
      </c>
      <c r="P3109" t="n">
        <v>730.45</v>
      </c>
      <c r="Q3109" t="n">
        <v>108.8</v>
      </c>
      <c r="R3109" t="n">
        <v>0</v>
      </c>
      <c r="S3109" t="n">
        <v>0</v>
      </c>
      <c r="T3109" t="n">
        <v>0</v>
      </c>
      <c r="U3109" t="n">
        <v>839.25</v>
      </c>
      <c r="X3109" t="inlineStr">
        <is>
          <t>acoa-apeca</t>
        </is>
      </c>
      <c r="Y3109" t="inlineStr">
        <is>
          <t>Atlantic Canada Opportunities Agency | Agence de promotion économique du Canada atlantique</t>
        </is>
      </c>
      <c r="Z3109" t="n">
        <v>3</v>
      </c>
      <c r="AA3109" t="n">
        <v>839.25</v>
      </c>
      <c r="AB3109">
        <f>ROUND(U3109-AA3109,2)</f>
        <v/>
      </c>
      <c r="AC3109" t="b">
        <v>0</v>
      </c>
      <c r="AD3109">
        <f>IF(U3109="","MISSING_TOTAL",IF(ABS(AB3109)&lt;=0.01,"OK","CHECK"))</f>
        <v/>
      </c>
      <c r="AE3109">
        <f>IF(U3109="","MISSING",IF(AND(AA3109&gt;0,U3109/AA3109&gt;50),"POSSIBLE_SCALE_ERROR","OK"))</f>
        <v/>
      </c>
    </row>
    <row r="3110">
      <c r="A3110" t="inlineStr">
        <is>
          <t>T-2015-Q4-00017</t>
        </is>
      </c>
      <c r="B3110" t="inlineStr">
        <is>
          <t>SLE</t>
        </is>
      </c>
      <c r="C3110" t="inlineStr">
        <is>
          <t>Vice President, Nova Scotia</t>
        </is>
      </c>
      <c r="D3110" t="inlineStr">
        <is>
          <t>Vice-président, Nouvelle-Écosse</t>
        </is>
      </c>
      <c r="E3110" t="inlineStr">
        <is>
          <t>Peter Hogan</t>
        </is>
      </c>
      <c r="F3110" t="inlineStr">
        <is>
          <t>Various Meetings with Agency and Government of Canada Officials</t>
        </is>
      </c>
      <c r="G3110" t="inlineStr">
        <is>
          <t>Diverses réunions avec des fonctionnaires de l'Agence et du gouvernement du Canada</t>
        </is>
      </c>
      <c r="H3110" s="1" t="n">
        <v>41983</v>
      </c>
      <c r="I3110" s="1" t="n">
        <v>41984</v>
      </c>
      <c r="J3110" t="inlineStr">
        <is>
          <t>Ottawa, Ontario</t>
        </is>
      </c>
      <c r="K3110" t="inlineStr">
        <is>
          <t>Ottawa (Ontario)</t>
        </is>
      </c>
      <c r="P3110" t="n">
        <v>381.62</v>
      </c>
      <c r="Q3110" t="n">
        <v>107.6</v>
      </c>
      <c r="R3110" t="n">
        <v>182.73</v>
      </c>
      <c r="S3110" t="n">
        <v>167.45</v>
      </c>
      <c r="T3110" t="n">
        <v>40</v>
      </c>
      <c r="U3110" t="n">
        <v>879.4</v>
      </c>
      <c r="X3110" t="inlineStr">
        <is>
          <t>acoa-apeca</t>
        </is>
      </c>
      <c r="Y3110" t="inlineStr">
        <is>
          <t>Atlantic Canada Opportunities Agency | Agence de promotion économique du Canada atlantique</t>
        </is>
      </c>
      <c r="Z3110" t="n">
        <v>2</v>
      </c>
      <c r="AA3110" t="n">
        <v>879.4</v>
      </c>
      <c r="AB3110">
        <f>ROUND(U3110-AA3110,2)</f>
        <v/>
      </c>
      <c r="AC3110" t="b">
        <v>0</v>
      </c>
      <c r="AD3110">
        <f>IF(U3110="","MISSING_TOTAL",IF(ABS(AB3110)&lt;=0.01,"OK","CHECK"))</f>
        <v/>
      </c>
      <c r="AE3110">
        <f>IF(U3110="","MISSING",IF(AND(AA3110&gt;0,U3110/AA3110&gt;50),"POSSIBLE_SCALE_ERROR","OK"))</f>
        <v/>
      </c>
    </row>
    <row r="3111">
      <c r="A3111" t="inlineStr">
        <is>
          <t>T-2015-Q4-00016</t>
        </is>
      </c>
      <c r="B3111" t="inlineStr">
        <is>
          <t>SLE</t>
        </is>
      </c>
      <c r="C3111" t="inlineStr">
        <is>
          <t>Vice-President, Policy and Programs</t>
        </is>
      </c>
      <c r="D3111" t="inlineStr">
        <is>
          <t>Vice-président, Politiques et Programmes</t>
        </is>
      </c>
      <c r="E3111" t="inlineStr">
        <is>
          <t>Daryell Nowlan</t>
        </is>
      </c>
      <c r="F3111" t="inlineStr">
        <is>
          <t>Meetings with Government of Canada officials</t>
        </is>
      </c>
      <c r="G3111" t="inlineStr">
        <is>
          <t>Réunions avec des fonctionnaires du gouvernement du Canada</t>
        </is>
      </c>
      <c r="H3111" s="1" t="n">
        <v>41982</v>
      </c>
      <c r="I3111" s="1" t="n">
        <v>41985</v>
      </c>
      <c r="J3111" t="inlineStr">
        <is>
          <t>Charlottetown, Prince Edward Island</t>
        </is>
      </c>
      <c r="K3111" t="inlineStr">
        <is>
          <t>Charlottetown (Île-du-Prince-Édouard)</t>
        </is>
      </c>
      <c r="P3111" t="n">
        <v>0</v>
      </c>
      <c r="Q3111" t="n">
        <v>212.24</v>
      </c>
      <c r="R3111" t="n">
        <v>352.26</v>
      </c>
      <c r="S3111" t="n">
        <v>194.85</v>
      </c>
      <c r="T3111" t="n">
        <v>0</v>
      </c>
      <c r="U3111" t="n">
        <v>759.35</v>
      </c>
      <c r="X3111" t="inlineStr">
        <is>
          <t>acoa-apeca</t>
        </is>
      </c>
      <c r="Y3111" t="inlineStr">
        <is>
          <t>Atlantic Canada Opportunities Agency | Agence de promotion économique du Canada atlantique</t>
        </is>
      </c>
      <c r="Z3111" t="n">
        <v>4</v>
      </c>
      <c r="AA3111" t="n">
        <v>759.35</v>
      </c>
      <c r="AB3111">
        <f>ROUND(U3111-AA3111,2)</f>
        <v/>
      </c>
      <c r="AC3111" t="b">
        <v>0</v>
      </c>
      <c r="AD3111">
        <f>IF(U3111="","MISSING_TOTAL",IF(ABS(AB3111)&lt;=0.01,"OK","CHECK"))</f>
        <v/>
      </c>
      <c r="AE3111">
        <f>IF(U3111="","MISSING",IF(AND(AA3111&gt;0,U3111/AA3111&gt;50),"POSSIBLE_SCALE_ERROR","OK"))</f>
        <v/>
      </c>
    </row>
    <row r="3112">
      <c r="A3112" t="inlineStr">
        <is>
          <t>T-2015-Q4-00015</t>
        </is>
      </c>
      <c r="B3112" t="inlineStr">
        <is>
          <t>SLE</t>
        </is>
      </c>
      <c r="C3112" t="inlineStr">
        <is>
          <t>Vice President, Nova Scotia</t>
        </is>
      </c>
      <c r="D3112" t="inlineStr">
        <is>
          <t>Vice-président, Nouvelle-Écosse</t>
        </is>
      </c>
      <c r="E3112" t="inlineStr">
        <is>
          <t>Peter Hogan</t>
        </is>
      </c>
      <c r="F3112" t="inlineStr">
        <is>
          <t>Meeting with Agency and Other Officials</t>
        </is>
      </c>
      <c r="G3112" t="inlineStr">
        <is>
          <t>Réunion avec des fonctionnaires de l'Agence et d'autres représentants</t>
        </is>
      </c>
      <c r="H3112" s="1" t="n">
        <v>41981</v>
      </c>
      <c r="I3112" s="1" t="n">
        <v>41981</v>
      </c>
      <c r="J3112" t="inlineStr">
        <is>
          <t>Moncton, New Brunswick</t>
        </is>
      </c>
      <c r="K3112" t="inlineStr">
        <is>
          <t>Moncton (Nouveau-Brunswick)</t>
        </is>
      </c>
      <c r="P3112" t="n">
        <v>0</v>
      </c>
      <c r="Q3112" t="n">
        <v>262.14</v>
      </c>
      <c r="R3112" t="n">
        <v>50</v>
      </c>
      <c r="S3112" t="n">
        <v>125.25</v>
      </c>
      <c r="T3112" t="n">
        <v>26</v>
      </c>
      <c r="U3112" t="n">
        <v>463.39</v>
      </c>
      <c r="X3112" t="inlineStr">
        <is>
          <t>acoa-apeca</t>
        </is>
      </c>
      <c r="Y3112" t="inlineStr">
        <is>
          <t>Atlantic Canada Opportunities Agency | Agence de promotion économique du Canada atlantique</t>
        </is>
      </c>
      <c r="Z3112" t="n">
        <v>1</v>
      </c>
      <c r="AA3112" t="n">
        <v>463.39</v>
      </c>
      <c r="AB3112">
        <f>ROUND(U3112-AA3112,2)</f>
        <v/>
      </c>
      <c r="AC3112" t="b">
        <v>0</v>
      </c>
      <c r="AD3112">
        <f>IF(U3112="","MISSING_TOTAL",IF(ABS(AB3112)&lt;=0.01,"OK","CHECK"))</f>
        <v/>
      </c>
      <c r="AE3112">
        <f>IF(U3112="","MISSING",IF(AND(AA3112&gt;0,U3112/AA3112&gt;50),"POSSIBLE_SCALE_ERROR","OK"))</f>
        <v/>
      </c>
    </row>
    <row r="3113">
      <c r="A3113" t="inlineStr">
        <is>
          <t>T-2015-Q4-00013</t>
        </is>
      </c>
      <c r="B3113" t="inlineStr">
        <is>
          <t>MPSES</t>
        </is>
      </c>
      <c r="C3113" t="inlineStr">
        <is>
          <t>Regional Affairs Director - Newfoundland &amp; Labrador</t>
        </is>
      </c>
      <c r="D3113" t="inlineStr">
        <is>
          <t>Directrice des affaires régionales - Terre-Neuve et le Labrador</t>
        </is>
      </c>
      <c r="E3113" t="inlineStr">
        <is>
          <t>Lorraine Barnett</t>
        </is>
      </c>
      <c r="F3113" t="inlineStr">
        <is>
          <t>Travel on Government Business</t>
        </is>
      </c>
      <c r="G3113" t="inlineStr">
        <is>
          <t>Voyage pour le compte du gouvernement</t>
        </is>
      </c>
      <c r="H3113" s="1" t="n">
        <v>41981</v>
      </c>
      <c r="I3113" s="1" t="n">
        <v>41983</v>
      </c>
      <c r="J3113" t="inlineStr">
        <is>
          <t>Ottawa, Ontario</t>
        </is>
      </c>
      <c r="K3113" t="inlineStr">
        <is>
          <t>Ottawa (Ontario)</t>
        </is>
      </c>
      <c r="P3113" t="n">
        <v>482.76</v>
      </c>
      <c r="Q3113" t="n">
        <v>139.5</v>
      </c>
      <c r="R3113" t="n">
        <v>370.12</v>
      </c>
      <c r="S3113" t="n">
        <v>216.85</v>
      </c>
      <c r="T3113" t="n">
        <v>0</v>
      </c>
      <c r="U3113" t="n">
        <v>1209.23</v>
      </c>
      <c r="X3113" t="inlineStr">
        <is>
          <t>acoa-apeca</t>
        </is>
      </c>
      <c r="Y3113" t="inlineStr">
        <is>
          <t>Atlantic Canada Opportunities Agency | Agence de promotion économique du Canada atlantique</t>
        </is>
      </c>
      <c r="Z3113" t="n">
        <v>3</v>
      </c>
      <c r="AA3113" t="n">
        <v>1209.23</v>
      </c>
      <c r="AB3113">
        <f>ROUND(U3113-AA3113,2)</f>
        <v/>
      </c>
      <c r="AC3113" t="b">
        <v>0</v>
      </c>
      <c r="AD3113">
        <f>IF(U3113="","MISSING_TOTAL",IF(ABS(AB3113)&lt;=0.01,"OK","CHECK"))</f>
        <v/>
      </c>
      <c r="AE3113">
        <f>IF(U3113="","MISSING",IF(AND(AA3113&gt;0,U3113/AA3113&gt;50),"POSSIBLE_SCALE_ERROR","OK"))</f>
        <v/>
      </c>
    </row>
    <row r="3114">
      <c r="A3114" t="inlineStr">
        <is>
          <t>T-2015-Q4-00012</t>
        </is>
      </c>
      <c r="B3114" t="inlineStr">
        <is>
          <t>SLE</t>
        </is>
      </c>
      <c r="C3114" t="inlineStr">
        <is>
          <t>Vice-President, Prince Edward Island</t>
        </is>
      </c>
      <c r="D3114" t="inlineStr">
        <is>
          <t>Vice-président, Île-du-Prince-Édouard</t>
        </is>
      </c>
      <c r="E3114" t="inlineStr">
        <is>
          <t>Patrick Dorsey</t>
        </is>
      </c>
      <c r="F3114" t="inlineStr">
        <is>
          <t>To attend Atlantic Canada Tourism Partnership Meeting in Moncton</t>
        </is>
      </c>
      <c r="G3114" t="inlineStr">
        <is>
          <t>Assister à une réunion du Partenariat du tourisme du Canada atlantique à Moncton</t>
        </is>
      </c>
      <c r="H3114" s="1" t="n">
        <v>41981</v>
      </c>
      <c r="I3114" s="1" t="n">
        <v>41982</v>
      </c>
      <c r="J3114" t="inlineStr">
        <is>
          <t>Moncton, New Brunswick</t>
        </is>
      </c>
      <c r="K3114" t="inlineStr">
        <is>
          <t>Moncton (Nouveau-Brunswick)</t>
        </is>
      </c>
      <c r="P3114" t="n">
        <v>0</v>
      </c>
      <c r="Q3114" t="n">
        <v>226.28</v>
      </c>
      <c r="R3114" t="n">
        <v>113</v>
      </c>
      <c r="S3114" t="n">
        <v>92.55</v>
      </c>
      <c r="T3114" t="n">
        <v>0</v>
      </c>
      <c r="U3114" t="n">
        <v>431.83</v>
      </c>
      <c r="X3114" t="inlineStr">
        <is>
          <t>acoa-apeca</t>
        </is>
      </c>
      <c r="Y3114" t="inlineStr">
        <is>
          <t>Atlantic Canada Opportunities Agency | Agence de promotion économique du Canada atlantique</t>
        </is>
      </c>
      <c r="Z3114" t="n">
        <v>2</v>
      </c>
      <c r="AA3114" t="n">
        <v>431.83</v>
      </c>
      <c r="AB3114">
        <f>ROUND(U3114-AA3114,2)</f>
        <v/>
      </c>
      <c r="AC3114" t="b">
        <v>0</v>
      </c>
      <c r="AD3114">
        <f>IF(U3114="","MISSING_TOTAL",IF(ABS(AB3114)&lt;=0.01,"OK","CHECK"))</f>
        <v/>
      </c>
      <c r="AE3114">
        <f>IF(U3114="","MISSING",IF(AND(AA3114&gt;0,U3114/AA3114&gt;50),"POSSIBLE_SCALE_ERROR","OK"))</f>
        <v/>
      </c>
    </row>
    <row r="3115">
      <c r="A3115" t="inlineStr">
        <is>
          <t>T-2015-Q4-00011</t>
        </is>
      </c>
      <c r="B3115" t="inlineStr">
        <is>
          <t>MPSES</t>
        </is>
      </c>
      <c r="C3115" t="inlineStr">
        <is>
          <t>Chief of Staff</t>
        </is>
      </c>
      <c r="D3115" t="inlineStr">
        <is>
          <t>Chef de cabinet</t>
        </is>
      </c>
      <c r="E3115" t="inlineStr">
        <is>
          <t>Shane Bourke</t>
        </is>
      </c>
      <c r="F3115" t="inlineStr">
        <is>
          <t>Travel to accompany Minister of State on Government of Canada business</t>
        </is>
      </c>
      <c r="G3115" t="inlineStr">
        <is>
          <t>Accompagner le ministre d'État lors d'un voyage pour le compte du gouvernement du Canada</t>
        </is>
      </c>
      <c r="H3115" s="1" t="n">
        <v>41980</v>
      </c>
      <c r="I3115" s="1" t="n">
        <v>41981</v>
      </c>
      <c r="J3115" t="inlineStr">
        <is>
          <t>St. John's, Newfoundland and Labrador</t>
        </is>
      </c>
      <c r="K3115" t="inlineStr">
        <is>
          <t>St. John's (Terre-Neuve-et-Labrador)</t>
        </is>
      </c>
      <c r="P3115" t="n">
        <v>912.15</v>
      </c>
      <c r="Q3115" t="n">
        <v>28</v>
      </c>
      <c r="R3115" t="n">
        <v>159.12</v>
      </c>
      <c r="S3115" t="n">
        <v>49.4</v>
      </c>
      <c r="T3115" t="n">
        <v>0</v>
      </c>
      <c r="U3115" t="n">
        <v>1148.67</v>
      </c>
      <c r="X3115" t="inlineStr">
        <is>
          <t>acoa-apeca</t>
        </is>
      </c>
      <c r="Y3115" t="inlineStr">
        <is>
          <t>Atlantic Canada Opportunities Agency | Agence de promotion économique du Canada atlantique</t>
        </is>
      </c>
      <c r="Z3115" t="n">
        <v>2</v>
      </c>
      <c r="AA3115" t="n">
        <v>1148.67</v>
      </c>
      <c r="AB3115">
        <f>ROUND(U3115-AA3115,2)</f>
        <v/>
      </c>
      <c r="AC3115" t="b">
        <v>0</v>
      </c>
      <c r="AD3115">
        <f>IF(U3115="","MISSING_TOTAL",IF(ABS(AB3115)&lt;=0.01,"OK","CHECK"))</f>
        <v/>
      </c>
      <c r="AE3115">
        <f>IF(U3115="","MISSING",IF(AND(AA3115&gt;0,U3115/AA3115&gt;50),"POSSIBLE_SCALE_ERROR","OK"))</f>
        <v/>
      </c>
    </row>
    <row r="3116">
      <c r="A3116" t="inlineStr">
        <is>
          <t>T-2015-Q4-00010</t>
        </is>
      </c>
      <c r="B3116" t="inlineStr">
        <is>
          <t>MPSES</t>
        </is>
      </c>
      <c r="C3116" t="inlineStr">
        <is>
          <t>Special Assistant - New Brunswick</t>
        </is>
      </c>
      <c r="D3116" t="inlineStr">
        <is>
          <t>Adjointe spéciale – Nouveau-Brunswick</t>
        </is>
      </c>
      <c r="E3116" t="inlineStr">
        <is>
          <t>Erika Keirstead</t>
        </is>
      </c>
      <c r="F3116" t="inlineStr">
        <is>
          <t>Travel on Government Business</t>
        </is>
      </c>
      <c r="G3116" t="inlineStr">
        <is>
          <t>Voyage pour le compte du gouvernement</t>
        </is>
      </c>
      <c r="H3116" s="1" t="n">
        <v>41980</v>
      </c>
      <c r="I3116" s="1" t="n">
        <v>41983</v>
      </c>
      <c r="J3116" t="inlineStr">
        <is>
          <t>Ottawa, Ontario</t>
        </is>
      </c>
      <c r="K3116" t="inlineStr">
        <is>
          <t>Ottawa (Ontario)</t>
        </is>
      </c>
      <c r="P3116" t="n">
        <v>455.64</v>
      </c>
      <c r="Q3116" t="n">
        <v>90.34</v>
      </c>
      <c r="R3116" t="n">
        <v>555.1799999999999</v>
      </c>
      <c r="S3116" t="n">
        <v>249.9</v>
      </c>
      <c r="T3116" t="n">
        <v>0</v>
      </c>
      <c r="U3116" t="n">
        <v>1351.06</v>
      </c>
      <c r="X3116" t="inlineStr">
        <is>
          <t>acoa-apeca</t>
        </is>
      </c>
      <c r="Y3116" t="inlineStr">
        <is>
          <t>Atlantic Canada Opportunities Agency | Agence de promotion économique du Canada atlantique</t>
        </is>
      </c>
      <c r="Z3116" t="n">
        <v>4</v>
      </c>
      <c r="AA3116" t="n">
        <v>1351.06</v>
      </c>
      <c r="AB3116">
        <f>ROUND(U3116-AA3116,2)</f>
        <v/>
      </c>
      <c r="AC3116" t="b">
        <v>0</v>
      </c>
      <c r="AD3116">
        <f>IF(U3116="","MISSING_TOTAL",IF(ABS(AB3116)&lt;=0.01,"OK","CHECK"))</f>
        <v/>
      </c>
      <c r="AE3116">
        <f>IF(U3116="","MISSING",IF(AND(AA3116&gt;0,U3116/AA3116&gt;50),"POSSIBLE_SCALE_ERROR","OK"))</f>
        <v/>
      </c>
    </row>
    <row r="3117">
      <c r="A3117" t="inlineStr">
        <is>
          <t>T-2015-Q4-00009</t>
        </is>
      </c>
      <c r="B3117" t="inlineStr">
        <is>
          <t>MPSES</t>
        </is>
      </c>
      <c r="C3117" t="inlineStr">
        <is>
          <t>Minister of State</t>
        </is>
      </c>
      <c r="D3117" t="inlineStr">
        <is>
          <t>Ministre d'État</t>
        </is>
      </c>
      <c r="E3117" t="inlineStr">
        <is>
          <t>Rob Moore</t>
        </is>
      </c>
      <c r="F3117" t="inlineStr">
        <is>
          <t>Travel to meet with Government of Newfoundland and Labrador</t>
        </is>
      </c>
      <c r="G3117" t="inlineStr">
        <is>
          <t>Voyage pour assister à une rencontre avec le gouvernement de Terre-Neuve-et-Labrador</t>
        </is>
      </c>
      <c r="H3117" s="1" t="n">
        <v>41980</v>
      </c>
      <c r="I3117" s="1" t="n">
        <v>41981</v>
      </c>
      <c r="J3117" t="inlineStr">
        <is>
          <t>St. John's, Newfoundland and Labrador and Ottawa, Ontario</t>
        </is>
      </c>
      <c r="K3117" t="inlineStr">
        <is>
          <t>St. John's (Terre-Neuve-et-Labrador) et Ottawa (Ontario)</t>
        </is>
      </c>
      <c r="P3117" t="n">
        <v>820.5700000000001</v>
      </c>
      <c r="Q3117" t="n">
        <v>10.71</v>
      </c>
      <c r="R3117" t="n">
        <v>159.12</v>
      </c>
      <c r="S3117" t="n">
        <v>49.4</v>
      </c>
      <c r="T3117" t="n">
        <v>0</v>
      </c>
      <c r="U3117" t="n">
        <v>1039.8</v>
      </c>
      <c r="X3117" t="inlineStr">
        <is>
          <t>acoa-apeca</t>
        </is>
      </c>
      <c r="Y3117" t="inlineStr">
        <is>
          <t>Atlantic Canada Opportunities Agency | Agence de promotion économique du Canada atlantique</t>
        </is>
      </c>
      <c r="Z3117" t="n">
        <v>2</v>
      </c>
      <c r="AA3117" t="n">
        <v>1039.8</v>
      </c>
      <c r="AB3117">
        <f>ROUND(U3117-AA3117,2)</f>
        <v/>
      </c>
      <c r="AC3117" t="b">
        <v>0</v>
      </c>
      <c r="AD3117">
        <f>IF(U3117="","MISSING_TOTAL",IF(ABS(AB3117)&lt;=0.01,"OK","CHECK"))</f>
        <v/>
      </c>
      <c r="AE3117">
        <f>IF(U3117="","MISSING",IF(AND(AA3117&gt;0,U3117/AA3117&gt;50),"POSSIBLE_SCALE_ERROR","OK"))</f>
        <v/>
      </c>
    </row>
    <row r="3118">
      <c r="A3118" t="inlineStr">
        <is>
          <t>T-2015-Q4-00008</t>
        </is>
      </c>
      <c r="B3118" t="inlineStr">
        <is>
          <t>SLE</t>
        </is>
      </c>
      <c r="C3118" t="inlineStr">
        <is>
          <t>President</t>
        </is>
      </c>
      <c r="D3118" t="inlineStr">
        <is>
          <t>Président</t>
        </is>
      </c>
      <c r="E3118" t="inlineStr">
        <is>
          <t>Paul J. LeBlanc</t>
        </is>
      </c>
      <c r="F3118" t="inlineStr">
        <is>
          <t>For various meetings and discussions with Agency officials and Government of Canada officials</t>
        </is>
      </c>
      <c r="G3118" t="inlineStr">
        <is>
          <t>Diverses réunions et discussions avec des fonctionnaires de l'Agence et du gouvernement du Canada</t>
        </is>
      </c>
      <c r="H3118" s="1" t="n">
        <v>41980</v>
      </c>
      <c r="I3118" s="1" t="n">
        <v>41983</v>
      </c>
      <c r="J3118" t="inlineStr">
        <is>
          <t>St. John's, Newfoundland and Labrador and Ottawa, Ontario</t>
        </is>
      </c>
      <c r="K3118" t="inlineStr">
        <is>
          <t>St. John's (Terre-Neuve-et-Labrador) et Ottawa (Ontario)</t>
        </is>
      </c>
      <c r="P3118" t="n">
        <v>1799.64</v>
      </c>
      <c r="Q3118" t="n">
        <v>0</v>
      </c>
      <c r="R3118" t="n">
        <v>524.58</v>
      </c>
      <c r="S3118" t="n">
        <v>292.7</v>
      </c>
      <c r="T3118" t="n">
        <v>113</v>
      </c>
      <c r="U3118" t="n">
        <v>2729.92</v>
      </c>
      <c r="X3118" t="inlineStr">
        <is>
          <t>acoa-apeca</t>
        </is>
      </c>
      <c r="Y3118" t="inlineStr">
        <is>
          <t>Atlantic Canada Opportunities Agency | Agence de promotion économique du Canada atlantique</t>
        </is>
      </c>
      <c r="Z3118" t="n">
        <v>4</v>
      </c>
      <c r="AA3118" t="n">
        <v>2729.92</v>
      </c>
      <c r="AB3118">
        <f>ROUND(U3118-AA3118,2)</f>
        <v/>
      </c>
      <c r="AC3118" t="b">
        <v>0</v>
      </c>
      <c r="AD3118">
        <f>IF(U3118="","MISSING_TOTAL",IF(ABS(AB3118)&lt;=0.01,"OK","CHECK"))</f>
        <v/>
      </c>
      <c r="AE3118">
        <f>IF(U3118="","MISSING",IF(AND(AA3118&gt;0,U3118/AA3118&gt;50),"POSSIBLE_SCALE_ERROR","OK"))</f>
        <v/>
      </c>
    </row>
    <row r="3119">
      <c r="A3119" t="inlineStr">
        <is>
          <t>T-2015-Q4-00006</t>
        </is>
      </c>
      <c r="B3119" t="inlineStr">
        <is>
          <t>SLE</t>
        </is>
      </c>
      <c r="C3119" t="inlineStr">
        <is>
          <t>Vice-President, Policy and Programs</t>
        </is>
      </c>
      <c r="D3119" t="inlineStr">
        <is>
          <t>Vice-président, Politiques et Programmes</t>
        </is>
      </c>
      <c r="E3119" t="inlineStr">
        <is>
          <t>Daryell Nowlan</t>
        </is>
      </c>
      <c r="F3119" t="inlineStr">
        <is>
          <t>Meeting with Government of Canada officials</t>
        </is>
      </c>
      <c r="G3119" t="inlineStr">
        <is>
          <t>Réunion avec des fonctionnaires du gouvernement du Canada</t>
        </is>
      </c>
      <c r="H3119" s="1" t="n">
        <v>41980</v>
      </c>
      <c r="I3119" s="1" t="n">
        <v>41982</v>
      </c>
      <c r="J3119" t="inlineStr">
        <is>
          <t>Montreal, Quebec</t>
        </is>
      </c>
      <c r="K3119" t="inlineStr">
        <is>
          <t>Montréal (Québec)</t>
        </is>
      </c>
      <c r="P3119" t="n">
        <v>892.7</v>
      </c>
      <c r="Q3119" t="n">
        <v>66</v>
      </c>
      <c r="R3119" t="n">
        <v>400.82</v>
      </c>
      <c r="S3119" t="n">
        <v>168.4</v>
      </c>
      <c r="T3119" t="n">
        <v>0</v>
      </c>
      <c r="U3119" t="n">
        <v>1527.92</v>
      </c>
      <c r="X3119" t="inlineStr">
        <is>
          <t>acoa-apeca</t>
        </is>
      </c>
      <c r="Y3119" t="inlineStr">
        <is>
          <t>Atlantic Canada Opportunities Agency | Agence de promotion économique du Canada atlantique</t>
        </is>
      </c>
      <c r="Z3119" t="n">
        <v>3</v>
      </c>
      <c r="AA3119" t="n">
        <v>1527.92</v>
      </c>
      <c r="AB3119">
        <f>ROUND(U3119-AA3119,2)</f>
        <v/>
      </c>
      <c r="AC3119" t="b">
        <v>0</v>
      </c>
      <c r="AD3119">
        <f>IF(U3119="","MISSING_TOTAL",IF(ABS(AB3119)&lt;=0.01,"OK","CHECK"))</f>
        <v/>
      </c>
      <c r="AE3119">
        <f>IF(U3119="","MISSING",IF(AND(AA3119&gt;0,U3119/AA3119&gt;50),"POSSIBLE_SCALE_ERROR","OK"))</f>
        <v/>
      </c>
    </row>
    <row r="3120">
      <c r="A3120" t="inlineStr">
        <is>
          <t>T-2015-Q4-00005</t>
        </is>
      </c>
      <c r="B3120" t="inlineStr">
        <is>
          <t>SLE</t>
        </is>
      </c>
      <c r="C3120" t="inlineStr">
        <is>
          <t>Vice-President, New Brunswick</t>
        </is>
      </c>
      <c r="D3120" t="inlineStr">
        <is>
          <t>Vice-président, Nouveau-Brunswick</t>
        </is>
      </c>
      <c r="E3120" t="inlineStr">
        <is>
          <t>Kent Estabrooks</t>
        </is>
      </c>
      <c r="F3120" t="inlineStr">
        <is>
          <t>Meeting with stakeholders and Federal Officials</t>
        </is>
      </c>
      <c r="G3120" t="inlineStr">
        <is>
          <t>Réunion avec des intervenants et des fonctionnaires fédéraux</t>
        </is>
      </c>
      <c r="H3120" s="1" t="n">
        <v>41977</v>
      </c>
      <c r="I3120" s="1" t="n">
        <v>41978</v>
      </c>
      <c r="J3120" t="inlineStr">
        <is>
          <t>Ottawa, Ontario</t>
        </is>
      </c>
      <c r="K3120" t="inlineStr">
        <is>
          <t>Ottawa (Ontario)</t>
        </is>
      </c>
      <c r="P3120" t="n">
        <v>892.7</v>
      </c>
      <c r="Q3120" t="n">
        <v>90.5</v>
      </c>
      <c r="R3120" t="n">
        <v>182.73</v>
      </c>
      <c r="S3120" t="n">
        <v>119</v>
      </c>
      <c r="T3120" t="n">
        <v>0</v>
      </c>
      <c r="U3120" t="n">
        <v>1284.93</v>
      </c>
      <c r="X3120" t="inlineStr">
        <is>
          <t>acoa-apeca</t>
        </is>
      </c>
      <c r="Y3120" t="inlineStr">
        <is>
          <t>Atlantic Canada Opportunities Agency | Agence de promotion économique du Canada atlantique</t>
        </is>
      </c>
      <c r="Z3120" t="n">
        <v>2</v>
      </c>
      <c r="AA3120" t="n">
        <v>1284.93</v>
      </c>
      <c r="AB3120">
        <f>ROUND(U3120-AA3120,2)</f>
        <v/>
      </c>
      <c r="AC3120" t="b">
        <v>0</v>
      </c>
      <c r="AD3120">
        <f>IF(U3120="","MISSING_TOTAL",IF(ABS(AB3120)&lt;=0.01,"OK","CHECK"))</f>
        <v/>
      </c>
      <c r="AE3120">
        <f>IF(U3120="","MISSING",IF(AND(AA3120&gt;0,U3120/AA3120&gt;50),"POSSIBLE_SCALE_ERROR","OK"))</f>
        <v/>
      </c>
    </row>
    <row r="3121">
      <c r="A3121" t="inlineStr">
        <is>
          <t>T-2015-Q4-00004</t>
        </is>
      </c>
      <c r="B3121" t="inlineStr">
        <is>
          <t>MPSES</t>
        </is>
      </c>
      <c r="C3121" t="inlineStr">
        <is>
          <t>Chief of Staff</t>
        </is>
      </c>
      <c r="D3121" t="inlineStr">
        <is>
          <t>Chef de cabinet</t>
        </is>
      </c>
      <c r="E3121" t="inlineStr">
        <is>
          <t>Shane Bourke</t>
        </is>
      </c>
      <c r="F3121" t="inlineStr">
        <is>
          <t>Travel on Government Business</t>
        </is>
      </c>
      <c r="G3121" t="inlineStr">
        <is>
          <t>Voyage pour le compte du gouvernement</t>
        </is>
      </c>
      <c r="H3121" s="1" t="n">
        <v>41976</v>
      </c>
      <c r="I3121" s="1" t="n">
        <v>41977</v>
      </c>
      <c r="J3121" t="inlineStr">
        <is>
          <t>St. John's, Newfoundland and Labrador</t>
        </is>
      </c>
      <c r="K3121" t="inlineStr">
        <is>
          <t>St. John's (Terre-Neuve-et-Labrador)</t>
        </is>
      </c>
      <c r="P3121" t="n">
        <v>1127.06</v>
      </c>
      <c r="Q3121" t="n">
        <v>25</v>
      </c>
      <c r="R3121" t="n">
        <v>159.12</v>
      </c>
      <c r="S3121" t="n">
        <v>91.59999999999999</v>
      </c>
      <c r="T3121" t="n">
        <v>0</v>
      </c>
      <c r="U3121" t="n">
        <v>1402.78</v>
      </c>
      <c r="X3121" t="inlineStr">
        <is>
          <t>acoa-apeca</t>
        </is>
      </c>
      <c r="Y3121" t="inlineStr">
        <is>
          <t>Atlantic Canada Opportunities Agency | Agence de promotion économique du Canada atlantique</t>
        </is>
      </c>
      <c r="Z3121" t="n">
        <v>2</v>
      </c>
      <c r="AA3121" t="n">
        <v>1402.77999999999</v>
      </c>
      <c r="AB3121">
        <f>ROUND(U3121-AA3121,2)</f>
        <v/>
      </c>
      <c r="AC3121" t="b">
        <v>0</v>
      </c>
      <c r="AD3121">
        <f>IF(U3121="","MISSING_TOTAL",IF(ABS(AB3121)&lt;=0.01,"OK","CHECK"))</f>
        <v/>
      </c>
      <c r="AE3121">
        <f>IF(U3121="","MISSING",IF(AND(AA3121&gt;0,U3121/AA3121&gt;50),"POSSIBLE_SCALE_ERROR","OK"))</f>
        <v/>
      </c>
    </row>
    <row r="3122">
      <c r="A3122" t="inlineStr">
        <is>
          <t>T-2015-Q4-00003</t>
        </is>
      </c>
      <c r="B3122" t="inlineStr">
        <is>
          <t>MPSES</t>
        </is>
      </c>
      <c r="C3122" t="inlineStr">
        <is>
          <t>Minister of State</t>
        </is>
      </c>
      <c r="D3122" t="inlineStr">
        <is>
          <t>Ministre d'État</t>
        </is>
      </c>
      <c r="E3122" t="inlineStr">
        <is>
          <t>Rob Moore</t>
        </is>
      </c>
      <c r="F3122" t="inlineStr">
        <is>
          <t>Travel to meet with Government of Newfoundland and Labrador</t>
        </is>
      </c>
      <c r="G3122" t="inlineStr">
        <is>
          <t>Voyage pour assister à une rencontre avec le gouvernement de Terre-Neuve-et-Labrador</t>
        </is>
      </c>
      <c r="H3122" s="1" t="n">
        <v>41976</v>
      </c>
      <c r="I3122" s="1" t="n">
        <v>41977</v>
      </c>
      <c r="J3122" t="inlineStr">
        <is>
          <t>St. John's, Newfoundland and Labrador and Quispamsis, New Brunswick</t>
        </is>
      </c>
      <c r="K3122" t="inlineStr">
        <is>
          <t>St. John's (Terre-Neuve-et-Labrador) et Quispamsis (Nouveau-Brunswick)</t>
        </is>
      </c>
      <c r="P3122" t="n">
        <v>1532</v>
      </c>
      <c r="Q3122" t="n">
        <v>10.71</v>
      </c>
      <c r="R3122" t="n">
        <v>159.12</v>
      </c>
      <c r="S3122" t="n">
        <v>91.59999999999999</v>
      </c>
      <c r="T3122" t="n">
        <v>0</v>
      </c>
      <c r="U3122" t="n">
        <v>1793.43</v>
      </c>
      <c r="X3122" t="inlineStr">
        <is>
          <t>acoa-apeca</t>
        </is>
      </c>
      <c r="Y3122" t="inlineStr">
        <is>
          <t>Atlantic Canada Opportunities Agency | Agence de promotion économique du Canada atlantique</t>
        </is>
      </c>
      <c r="Z3122" t="n">
        <v>2</v>
      </c>
      <c r="AA3122" t="n">
        <v>1793.42999999999</v>
      </c>
      <c r="AB3122">
        <f>ROUND(U3122-AA3122,2)</f>
        <v/>
      </c>
      <c r="AC3122" t="b">
        <v>0</v>
      </c>
      <c r="AD3122">
        <f>IF(U3122="","MISSING_TOTAL",IF(ABS(AB3122)&lt;=0.01,"OK","CHECK"))</f>
        <v/>
      </c>
      <c r="AE3122">
        <f>IF(U3122="","MISSING",IF(AND(AA3122&gt;0,U3122/AA3122&gt;50),"POSSIBLE_SCALE_ERROR","OK"))</f>
        <v/>
      </c>
    </row>
    <row r="3123">
      <c r="A3123" t="inlineStr">
        <is>
          <t>T-2015-Q4-00001</t>
        </is>
      </c>
      <c r="B3123" t="inlineStr">
        <is>
          <t>SLE</t>
        </is>
      </c>
      <c r="C3123" t="inlineStr">
        <is>
          <t>President</t>
        </is>
      </c>
      <c r="D3123" t="inlineStr">
        <is>
          <t>Président</t>
        </is>
      </c>
      <c r="E3123" t="inlineStr">
        <is>
          <t>Paul J. LeBlanc</t>
        </is>
      </c>
      <c r="F3123" t="inlineStr">
        <is>
          <t>For various meetings and discussions with Agency officials and Government of Canada officials</t>
        </is>
      </c>
      <c r="G3123" t="inlineStr">
        <is>
          <t>Diverses réunions et discussions avec des fonctionnaires de l'Agence et du gouvernement du Canada</t>
        </is>
      </c>
      <c r="H3123" s="1" t="n">
        <v>41975</v>
      </c>
      <c r="I3123" s="1" t="n">
        <v>41977</v>
      </c>
      <c r="J3123" t="inlineStr">
        <is>
          <t>Ottawa, Ontario and St. John's, Newfoundland and Labrador</t>
        </is>
      </c>
      <c r="K3123" t="inlineStr">
        <is>
          <t>Ottawa (Ontario) et St. John's (Terre-Neuve-et-Labrador)</t>
        </is>
      </c>
      <c r="P3123" t="n">
        <v>511.02</v>
      </c>
      <c r="Q3123" t="n">
        <v>0</v>
      </c>
      <c r="R3123" t="n">
        <v>341.85</v>
      </c>
      <c r="S3123" t="n">
        <v>243.3</v>
      </c>
      <c r="T3123" t="n">
        <v>56.5</v>
      </c>
      <c r="U3123" t="n">
        <v>1152.67</v>
      </c>
      <c r="X3123" t="inlineStr">
        <is>
          <t>acoa-apeca</t>
        </is>
      </c>
      <c r="Y3123" t="inlineStr">
        <is>
          <t>Atlantic Canada Opportunities Agency | Agence de promotion économique du Canada atlantique</t>
        </is>
      </c>
      <c r="Z3123" t="n">
        <v>3</v>
      </c>
      <c r="AA3123" t="n">
        <v>1152.67</v>
      </c>
      <c r="AB3123">
        <f>ROUND(U3123-AA3123,2)</f>
        <v/>
      </c>
      <c r="AC3123" t="b">
        <v>0</v>
      </c>
      <c r="AD3123">
        <f>IF(U3123="","MISSING_TOTAL",IF(ABS(AB3123)&lt;=0.01,"OK","CHECK"))</f>
        <v/>
      </c>
      <c r="AE3123">
        <f>IF(U3123="","MISSING",IF(AND(AA3123&gt;0,U3123/AA3123&gt;50),"POSSIBLE_SCALE_ERROR","OK"))</f>
        <v/>
      </c>
    </row>
    <row r="3124">
      <c r="A3124" t="inlineStr">
        <is>
          <t>T-2015-Q3-00082</t>
        </is>
      </c>
      <c r="B3124" t="inlineStr">
        <is>
          <t>SLE</t>
        </is>
      </c>
      <c r="C3124" t="inlineStr">
        <is>
          <t>Vice-President, Finance and Corporate Services</t>
        </is>
      </c>
      <c r="D3124" t="inlineStr">
        <is>
          <t>Vice-présidente, Finances et Services corporatifs</t>
        </is>
      </c>
      <c r="E3124" t="inlineStr">
        <is>
          <t>Denise Frenette</t>
        </is>
      </c>
      <c r="F3124" t="inlineStr">
        <is>
          <t>For meeting with Agency officials</t>
        </is>
      </c>
      <c r="G3124" t="inlineStr">
        <is>
          <t>Réunion avec des fonctionnaires de l'Agence</t>
        </is>
      </c>
      <c r="H3124" s="1" t="n">
        <v>41974</v>
      </c>
      <c r="I3124" s="1" t="n">
        <v>41974</v>
      </c>
      <c r="J3124" t="inlineStr">
        <is>
          <t>Fredericton, New Brunswick</t>
        </is>
      </c>
      <c r="K3124" t="inlineStr">
        <is>
          <t>Fredericton (Nouveau-Brunswick)</t>
        </is>
      </c>
      <c r="P3124" t="n">
        <v>0</v>
      </c>
      <c r="Q3124" t="n">
        <v>0</v>
      </c>
      <c r="R3124" t="n">
        <v>0</v>
      </c>
      <c r="S3124" t="n">
        <v>16.35</v>
      </c>
      <c r="T3124" t="n">
        <v>0</v>
      </c>
      <c r="U3124" t="n">
        <v>16.35</v>
      </c>
      <c r="X3124" t="inlineStr">
        <is>
          <t>acoa-apeca</t>
        </is>
      </c>
      <c r="Y3124" t="inlineStr">
        <is>
          <t>Atlantic Canada Opportunities Agency | Agence de promotion économique du Canada atlantique</t>
        </is>
      </c>
      <c r="Z3124" t="n">
        <v>1</v>
      </c>
      <c r="AA3124" t="n">
        <v>16.35</v>
      </c>
      <c r="AB3124">
        <f>ROUND(U3124-AA3124,2)</f>
        <v/>
      </c>
      <c r="AC3124" t="b">
        <v>0</v>
      </c>
      <c r="AD3124">
        <f>IF(U3124="","MISSING_TOTAL",IF(ABS(AB3124)&lt;=0.01,"OK","CHECK"))</f>
        <v/>
      </c>
      <c r="AE3124">
        <f>IF(U3124="","MISSING",IF(AND(AA3124&gt;0,U3124/AA3124&gt;50),"POSSIBLE_SCALE_ERROR","OK"))</f>
        <v/>
      </c>
    </row>
    <row r="3125">
      <c r="A3125" t="inlineStr">
        <is>
          <t>T-2015-Q3-00081</t>
        </is>
      </c>
      <c r="B3125" t="inlineStr">
        <is>
          <t>SLE</t>
        </is>
      </c>
      <c r="C3125" t="inlineStr">
        <is>
          <t>Vice-President, Prince Edward Island</t>
        </is>
      </c>
      <c r="D3125" t="inlineStr">
        <is>
          <t>Vice-président, Île-du-Prince-Édouard</t>
        </is>
      </c>
      <c r="E3125" t="inlineStr">
        <is>
          <t>Patrick Dorsey</t>
        </is>
      </c>
      <c r="F3125" t="inlineStr">
        <is>
          <t>2014 Tourism Congress</t>
        </is>
      </c>
      <c r="G3125" t="inlineStr">
        <is>
          <t>Congrès du tourisme 2014</t>
        </is>
      </c>
      <c r="H3125" s="1" t="n">
        <v>41968</v>
      </c>
      <c r="I3125" s="1" t="n">
        <v>41970</v>
      </c>
      <c r="J3125" t="inlineStr">
        <is>
          <t>Ottawa, Ontario</t>
        </is>
      </c>
      <c r="K3125" t="inlineStr">
        <is>
          <t>Ottawa (Ontario)</t>
        </is>
      </c>
      <c r="P3125" t="n">
        <v>617.1</v>
      </c>
      <c r="Q3125" t="n">
        <v>87</v>
      </c>
      <c r="R3125" t="n">
        <v>365.46</v>
      </c>
      <c r="S3125" t="n">
        <v>184.75</v>
      </c>
      <c r="T3125" t="n">
        <v>0</v>
      </c>
      <c r="U3125" t="n">
        <v>1254.31</v>
      </c>
      <c r="X3125" t="inlineStr">
        <is>
          <t>acoa-apeca</t>
        </is>
      </c>
      <c r="Y3125" t="inlineStr">
        <is>
          <t>Atlantic Canada Opportunities Agency | Agence de promotion économique du Canada atlantique</t>
        </is>
      </c>
      <c r="Z3125" t="n">
        <v>3</v>
      </c>
      <c r="AA3125" t="n">
        <v>1254.31</v>
      </c>
      <c r="AB3125">
        <f>ROUND(U3125-AA3125,2)</f>
        <v/>
      </c>
      <c r="AC3125" t="b">
        <v>0</v>
      </c>
      <c r="AD3125">
        <f>IF(U3125="","MISSING_TOTAL",IF(ABS(AB3125)&lt;=0.01,"OK","CHECK"))</f>
        <v/>
      </c>
      <c r="AE3125">
        <f>IF(U3125="","MISSING",IF(AND(AA3125&gt;0,U3125/AA3125&gt;50),"POSSIBLE_SCALE_ERROR","OK"))</f>
        <v/>
      </c>
    </row>
    <row r="3126">
      <c r="A3126" t="inlineStr">
        <is>
          <t>T-2015-Q3-00080</t>
        </is>
      </c>
      <c r="B3126" t="inlineStr">
        <is>
          <t>SLE</t>
        </is>
      </c>
      <c r="C3126" t="inlineStr">
        <is>
          <t>Vice-President, Finance and Corporate Services</t>
        </is>
      </c>
      <c r="D3126" t="inlineStr">
        <is>
          <t>Vice-présidente, Finances et Services corporatifs</t>
        </is>
      </c>
      <c r="E3126" t="inlineStr">
        <is>
          <t>Denise Frenette</t>
        </is>
      </c>
      <c r="F3126" t="inlineStr">
        <is>
          <t>Meetings with Government of Canada officials</t>
        </is>
      </c>
      <c r="G3126" t="inlineStr">
        <is>
          <t>Réunions avec des fonctionnaires du gouvernement du Canada</t>
        </is>
      </c>
      <c r="H3126" s="1" t="n">
        <v>41968</v>
      </c>
      <c r="I3126" s="1" t="n">
        <v>41969</v>
      </c>
      <c r="J3126" t="inlineStr">
        <is>
          <t>Ottawa, Ontario</t>
        </is>
      </c>
      <c r="K3126" t="inlineStr">
        <is>
          <t>Ottawa (Ontario)</t>
        </is>
      </c>
      <c r="P3126" t="n">
        <v>524.6900000000001</v>
      </c>
      <c r="Q3126" t="n">
        <v>35.5</v>
      </c>
      <c r="R3126" t="n">
        <v>173.42</v>
      </c>
      <c r="S3126" t="n">
        <v>108.9</v>
      </c>
      <c r="T3126" t="n">
        <v>26.92</v>
      </c>
      <c r="U3126" t="n">
        <v>869.4299999999999</v>
      </c>
      <c r="X3126" t="inlineStr">
        <is>
          <t>acoa-apeca</t>
        </is>
      </c>
      <c r="Y3126" t="inlineStr">
        <is>
          <t>Atlantic Canada Opportunities Agency | Agence de promotion économique du Canada atlantique</t>
        </is>
      </c>
      <c r="Z3126" t="n">
        <v>2</v>
      </c>
      <c r="AA3126" t="n">
        <v>869.4299999999999</v>
      </c>
      <c r="AB3126">
        <f>ROUND(U3126-AA3126,2)</f>
        <v/>
      </c>
      <c r="AC3126" t="b">
        <v>0</v>
      </c>
      <c r="AD3126">
        <f>IF(U3126="","MISSING_TOTAL",IF(ABS(AB3126)&lt;=0.01,"OK","CHECK"))</f>
        <v/>
      </c>
      <c r="AE3126">
        <f>IF(U3126="","MISSING",IF(AND(AA3126&gt;0,U3126/AA3126&gt;50),"POSSIBLE_SCALE_ERROR","OK"))</f>
        <v/>
      </c>
    </row>
    <row r="3127">
      <c r="A3127" t="inlineStr">
        <is>
          <t>T-2015-Q3-00078</t>
        </is>
      </c>
      <c r="B3127" t="inlineStr">
        <is>
          <t>MPSES</t>
        </is>
      </c>
      <c r="C3127" t="inlineStr">
        <is>
          <t>Regional Affairs Director - New Brunswick</t>
        </is>
      </c>
      <c r="D3127" t="inlineStr">
        <is>
          <t>Directeur des affaires régionales - Nouveau-Brunswick</t>
        </is>
      </c>
      <c r="E3127" t="inlineStr">
        <is>
          <t>Douglas MacDonald</t>
        </is>
      </c>
      <c r="F3127" t="inlineStr">
        <is>
          <t>Travel on Government Business</t>
        </is>
      </c>
      <c r="G3127" t="inlineStr">
        <is>
          <t>Voyage pour le compte du gouvernement</t>
        </is>
      </c>
      <c r="H3127" s="1" t="n">
        <v>41967</v>
      </c>
      <c r="I3127" s="1" t="n">
        <v>41968</v>
      </c>
      <c r="J3127" t="inlineStr">
        <is>
          <t>Ottawa, Ontario</t>
        </is>
      </c>
      <c r="K3127" t="inlineStr">
        <is>
          <t>Ottawa (Ontario)</t>
        </is>
      </c>
      <c r="P3127" t="n">
        <v>724.72</v>
      </c>
      <c r="Q3127" t="n">
        <v>60.5</v>
      </c>
      <c r="R3127" t="n">
        <v>182.73</v>
      </c>
      <c r="S3127" t="n">
        <v>167.45</v>
      </c>
      <c r="T3127" t="n">
        <v>0</v>
      </c>
      <c r="U3127" t="n">
        <v>1135.4</v>
      </c>
      <c r="X3127" t="inlineStr">
        <is>
          <t>acoa-apeca</t>
        </is>
      </c>
      <c r="Y3127" t="inlineStr">
        <is>
          <t>Atlantic Canada Opportunities Agency | Agence de promotion économique du Canada atlantique</t>
        </is>
      </c>
      <c r="Z3127" t="n">
        <v>2</v>
      </c>
      <c r="AA3127" t="n">
        <v>1135.4</v>
      </c>
      <c r="AB3127">
        <f>ROUND(U3127-AA3127,2)</f>
        <v/>
      </c>
      <c r="AC3127" t="b">
        <v>0</v>
      </c>
      <c r="AD3127">
        <f>IF(U3127="","MISSING_TOTAL",IF(ABS(AB3127)&lt;=0.01,"OK","CHECK"))</f>
        <v/>
      </c>
      <c r="AE3127">
        <f>IF(U3127="","MISSING",IF(AND(AA3127&gt;0,U3127/AA3127&gt;50),"POSSIBLE_SCALE_ERROR","OK"))</f>
        <v/>
      </c>
    </row>
    <row r="3128">
      <c r="A3128" t="inlineStr">
        <is>
          <t>T-2015-Q3-00077</t>
        </is>
      </c>
      <c r="B3128" t="inlineStr">
        <is>
          <t>SLE</t>
        </is>
      </c>
      <c r="C3128" t="inlineStr">
        <is>
          <t>President</t>
        </is>
      </c>
      <c r="D3128" t="inlineStr">
        <is>
          <t>Président</t>
        </is>
      </c>
      <c r="E3128" t="inlineStr">
        <is>
          <t>Paul J. LeBlanc</t>
        </is>
      </c>
      <c r="F3128" t="inlineStr">
        <is>
          <t>For various meetings and discussions with Agency officials and Government of Canada officials</t>
        </is>
      </c>
      <c r="G3128" t="inlineStr">
        <is>
          <t>Diverses réunions et discussions avec des fonctionnaires de l'Agence et du gouvernement du Canada</t>
        </is>
      </c>
      <c r="H3128" s="1" t="n">
        <v>41967</v>
      </c>
      <c r="I3128" s="1" t="n">
        <v>41969</v>
      </c>
      <c r="J3128" t="inlineStr">
        <is>
          <t>Ottawa, Ontario</t>
        </is>
      </c>
      <c r="K3128" t="inlineStr">
        <is>
          <t>Ottawa (Ontario)</t>
        </is>
      </c>
      <c r="P3128" t="n">
        <v>702.4400000000001</v>
      </c>
      <c r="Q3128" t="n">
        <v>0</v>
      </c>
      <c r="R3128" t="n">
        <v>370.12</v>
      </c>
      <c r="S3128" t="n">
        <v>201.1</v>
      </c>
      <c r="T3128" t="n">
        <v>41</v>
      </c>
      <c r="U3128" t="n">
        <v>1314.66</v>
      </c>
      <c r="X3128" t="inlineStr">
        <is>
          <t>acoa-apeca</t>
        </is>
      </c>
      <c r="Y3128" t="inlineStr">
        <is>
          <t>Atlantic Canada Opportunities Agency | Agence de promotion économique du Canada atlantique</t>
        </is>
      </c>
      <c r="Z3128" t="n">
        <v>3</v>
      </c>
      <c r="AA3128" t="n">
        <v>1314.65999999999</v>
      </c>
      <c r="AB3128">
        <f>ROUND(U3128-AA3128,2)</f>
        <v/>
      </c>
      <c r="AC3128" t="b">
        <v>0</v>
      </c>
      <c r="AD3128">
        <f>IF(U3128="","MISSING_TOTAL",IF(ABS(AB3128)&lt;=0.01,"OK","CHECK"))</f>
        <v/>
      </c>
      <c r="AE3128">
        <f>IF(U3128="","MISSING",IF(AND(AA3128&gt;0,U3128/AA3128&gt;50),"POSSIBLE_SCALE_ERROR","OK"))</f>
        <v/>
      </c>
    </row>
    <row r="3129">
      <c r="A3129" t="inlineStr">
        <is>
          <t>T-2015-Q3-00074</t>
        </is>
      </c>
      <c r="B3129" t="inlineStr">
        <is>
          <t>SLE</t>
        </is>
      </c>
      <c r="C3129" t="inlineStr">
        <is>
          <t>Vice-President, Finance and Corporate Services</t>
        </is>
      </c>
      <c r="D3129" t="inlineStr">
        <is>
          <t>Vice-présidente, Finances et Services corporatifs</t>
        </is>
      </c>
      <c r="E3129" t="inlineStr">
        <is>
          <t>Denise Frenette</t>
        </is>
      </c>
      <c r="F3129" t="inlineStr">
        <is>
          <t>Meetings with Government of Canada officials</t>
        </is>
      </c>
      <c r="G3129" t="inlineStr">
        <is>
          <t>Réunions avec des fonctionnaires du gouvernement du Canada</t>
        </is>
      </c>
      <c r="H3129" s="1" t="n">
        <v>41962</v>
      </c>
      <c r="I3129" s="1" t="n">
        <v>41963</v>
      </c>
      <c r="J3129" t="inlineStr">
        <is>
          <t>Ottawa, Ontario</t>
        </is>
      </c>
      <c r="K3129" t="inlineStr">
        <is>
          <t>Ottawa (Ontario)</t>
        </is>
      </c>
      <c r="P3129" t="n">
        <v>613.95</v>
      </c>
      <c r="Q3129" t="n">
        <v>92.34999999999999</v>
      </c>
      <c r="R3129" t="n">
        <v>196.7</v>
      </c>
      <c r="S3129" t="n">
        <v>151.1</v>
      </c>
      <c r="T3129" t="n">
        <v>61.85</v>
      </c>
      <c r="U3129" t="n">
        <v>1115.95</v>
      </c>
      <c r="X3129" t="inlineStr">
        <is>
          <t>acoa-apeca</t>
        </is>
      </c>
      <c r="Y3129" t="inlineStr">
        <is>
          <t>Atlantic Canada Opportunities Agency | Agence de promotion économique du Canada atlantique</t>
        </is>
      </c>
      <c r="Z3129" t="n">
        <v>2</v>
      </c>
      <c r="AA3129" t="n">
        <v>1115.94999999999</v>
      </c>
      <c r="AB3129">
        <f>ROUND(U3129-AA3129,2)</f>
        <v/>
      </c>
      <c r="AC3129" t="b">
        <v>0</v>
      </c>
      <c r="AD3129">
        <f>IF(U3129="","MISSING_TOTAL",IF(ABS(AB3129)&lt;=0.01,"OK","CHECK"))</f>
        <v/>
      </c>
      <c r="AE3129">
        <f>IF(U3129="","MISSING",IF(AND(AA3129&gt;0,U3129/AA3129&gt;50),"POSSIBLE_SCALE_ERROR","OK"))</f>
        <v/>
      </c>
    </row>
    <row r="3130">
      <c r="A3130" t="inlineStr">
        <is>
          <t>T-2015-Q3-00073</t>
        </is>
      </c>
      <c r="B3130" t="inlineStr">
        <is>
          <t>SLE</t>
        </is>
      </c>
      <c r="C3130" t="inlineStr">
        <is>
          <t>Vice-President, Newfoundland and Labrador</t>
        </is>
      </c>
      <c r="D3130" t="inlineStr">
        <is>
          <t>Vice-président, Terre-Neuve-et-Labrador</t>
        </is>
      </c>
      <c r="E3130" t="inlineStr">
        <is>
          <t>Paul Mills</t>
        </is>
      </c>
      <c r="F3130" t="inlineStr">
        <is>
          <t>Travel to Ottawa for meetings</t>
        </is>
      </c>
      <c r="G3130" t="inlineStr">
        <is>
          <t>Voyage à Ottawa pour des réunions</t>
        </is>
      </c>
      <c r="H3130" s="1" t="n">
        <v>41962</v>
      </c>
      <c r="I3130" s="1" t="n">
        <v>41964</v>
      </c>
      <c r="J3130" t="inlineStr">
        <is>
          <t>Ottawa, Ontario</t>
        </is>
      </c>
      <c r="K3130" t="inlineStr">
        <is>
          <t>Ottawa (Ontario)</t>
        </is>
      </c>
      <c r="P3130" t="n">
        <v>1426.06</v>
      </c>
      <c r="Q3130" t="n">
        <v>142</v>
      </c>
      <c r="R3130" t="n">
        <v>407.36</v>
      </c>
      <c r="S3130" t="n">
        <v>216.85</v>
      </c>
      <c r="T3130" t="n">
        <v>4.96</v>
      </c>
      <c r="U3130" t="n">
        <v>2197.23</v>
      </c>
      <c r="X3130" t="inlineStr">
        <is>
          <t>acoa-apeca</t>
        </is>
      </c>
      <c r="Y3130" t="inlineStr">
        <is>
          <t>Atlantic Canada Opportunities Agency | Agence de promotion économique du Canada atlantique</t>
        </is>
      </c>
      <c r="Z3130" t="n">
        <v>3</v>
      </c>
      <c r="AA3130" t="n">
        <v>2197.23</v>
      </c>
      <c r="AB3130">
        <f>ROUND(U3130-AA3130,2)</f>
        <v/>
      </c>
      <c r="AC3130" t="b">
        <v>0</v>
      </c>
      <c r="AD3130">
        <f>IF(U3130="","MISSING_TOTAL",IF(ABS(AB3130)&lt;=0.01,"OK","CHECK"))</f>
        <v/>
      </c>
      <c r="AE3130">
        <f>IF(U3130="","MISSING",IF(AND(AA3130&gt;0,U3130/AA3130&gt;50),"POSSIBLE_SCALE_ERROR","OK"))</f>
        <v/>
      </c>
    </row>
    <row r="3131">
      <c r="A3131" t="inlineStr">
        <is>
          <t>T-2015-Q3-00072</t>
        </is>
      </c>
      <c r="B3131" t="inlineStr">
        <is>
          <t>SLE</t>
        </is>
      </c>
      <c r="C3131" t="inlineStr">
        <is>
          <t>Vice-President, Policy and Programs</t>
        </is>
      </c>
      <c r="D3131" t="inlineStr">
        <is>
          <t>Vice-président, Politiques et Programmes</t>
        </is>
      </c>
      <c r="E3131" t="inlineStr">
        <is>
          <t>Daryell Nowlan</t>
        </is>
      </c>
      <c r="F3131" t="inlineStr">
        <is>
          <t>Meetings with Government of Canada officials</t>
        </is>
      </c>
      <c r="G3131" t="inlineStr">
        <is>
          <t>Réunions avec fonctionnaires du gouvernement du Canada</t>
        </is>
      </c>
      <c r="H3131" s="1" t="n">
        <v>41962</v>
      </c>
      <c r="I3131" s="1" t="n">
        <v>41969</v>
      </c>
      <c r="J3131" t="inlineStr">
        <is>
          <t>Ottawa, Ontario</t>
        </is>
      </c>
      <c r="K3131" t="inlineStr">
        <is>
          <t>Ottawa (Ontario)</t>
        </is>
      </c>
      <c r="P3131" t="n">
        <v>892.7</v>
      </c>
      <c r="Q3131" t="n">
        <v>219.91</v>
      </c>
      <c r="R3131" t="n">
        <v>590.1</v>
      </c>
      <c r="S3131" t="n">
        <v>303.75</v>
      </c>
      <c r="T3131" t="n">
        <v>0</v>
      </c>
      <c r="U3131" t="n">
        <v>2006.46</v>
      </c>
      <c r="X3131" t="inlineStr">
        <is>
          <t>acoa-apeca</t>
        </is>
      </c>
      <c r="Y3131" t="inlineStr">
        <is>
          <t>Atlantic Canada Opportunities Agency | Agence de promotion économique du Canada atlantique</t>
        </is>
      </c>
      <c r="Z3131" t="n">
        <v>8</v>
      </c>
      <c r="AA3131" t="n">
        <v>2006.46</v>
      </c>
      <c r="AB3131">
        <f>ROUND(U3131-AA3131,2)</f>
        <v/>
      </c>
      <c r="AC3131" t="b">
        <v>0</v>
      </c>
      <c r="AD3131">
        <f>IF(U3131="","MISSING_TOTAL",IF(ABS(AB3131)&lt;=0.01,"OK","CHECK"))</f>
        <v/>
      </c>
      <c r="AE3131">
        <f>IF(U3131="","MISSING",IF(AND(AA3131&gt;0,U3131/AA3131&gt;50),"POSSIBLE_SCALE_ERROR","OK"))</f>
        <v/>
      </c>
    </row>
    <row r="3132">
      <c r="A3132" t="inlineStr">
        <is>
          <t>T-2015-Q3-00071</t>
        </is>
      </c>
      <c r="B3132" t="inlineStr">
        <is>
          <t>SLE</t>
        </is>
      </c>
      <c r="C3132" t="inlineStr">
        <is>
          <t>President</t>
        </is>
      </c>
      <c r="D3132" t="inlineStr">
        <is>
          <t>Président</t>
        </is>
      </c>
      <c r="E3132" t="inlineStr">
        <is>
          <t>Paul J. LeBlanc</t>
        </is>
      </c>
      <c r="F3132" t="inlineStr">
        <is>
          <t>For various meetings and discussions with Agency officials and Government of Canada officials</t>
        </is>
      </c>
      <c r="G3132" t="inlineStr">
        <is>
          <t>Diverses réunions et discussions avec des fonctionnaires de l'Agence et du gouvernement du Canada</t>
        </is>
      </c>
      <c r="H3132" s="1" t="n">
        <v>41961</v>
      </c>
      <c r="I3132" s="1" t="n">
        <v>41962</v>
      </c>
      <c r="J3132" t="inlineStr">
        <is>
          <t>Ottawa, Ontario</t>
        </is>
      </c>
      <c r="K3132" t="inlineStr">
        <is>
          <t>Ottawa (Ontario)</t>
        </is>
      </c>
      <c r="P3132" t="n">
        <v>883.26</v>
      </c>
      <c r="Q3132" t="n">
        <v>0</v>
      </c>
      <c r="R3132" t="n">
        <v>185.06</v>
      </c>
      <c r="S3132" t="n">
        <v>125.25</v>
      </c>
      <c r="T3132" t="n">
        <v>82.5</v>
      </c>
      <c r="U3132" t="n">
        <v>1276.07</v>
      </c>
      <c r="X3132" t="inlineStr">
        <is>
          <t>acoa-apeca</t>
        </is>
      </c>
      <c r="Y3132" t="inlineStr">
        <is>
          <t>Atlantic Canada Opportunities Agency | Agence de promotion économique du Canada atlantique</t>
        </is>
      </c>
      <c r="Z3132" t="n">
        <v>2</v>
      </c>
      <c r="AA3132" t="n">
        <v>1276.07</v>
      </c>
      <c r="AB3132">
        <f>ROUND(U3132-AA3132,2)</f>
        <v/>
      </c>
      <c r="AC3132" t="b">
        <v>0</v>
      </c>
      <c r="AD3132">
        <f>IF(U3132="","MISSING_TOTAL",IF(ABS(AB3132)&lt;=0.01,"OK","CHECK"))</f>
        <v/>
      </c>
      <c r="AE3132">
        <f>IF(U3132="","MISSING",IF(AND(AA3132&gt;0,U3132/AA3132&gt;50),"POSSIBLE_SCALE_ERROR","OK"))</f>
        <v/>
      </c>
    </row>
    <row r="3133">
      <c r="A3133" t="inlineStr">
        <is>
          <t>T-2015-Q3-00070</t>
        </is>
      </c>
      <c r="B3133" t="inlineStr">
        <is>
          <t>SLE</t>
        </is>
      </c>
      <c r="C3133" t="inlineStr">
        <is>
          <t>Vice President, Nova Scotia</t>
        </is>
      </c>
      <c r="D3133" t="inlineStr">
        <is>
          <t>Vice-président, Nouvelle-Écosse</t>
        </is>
      </c>
      <c r="E3133" t="inlineStr">
        <is>
          <t>Peter Hogan</t>
        </is>
      </c>
      <c r="F3133" t="inlineStr">
        <is>
          <t>Various Client and site visits</t>
        </is>
      </c>
      <c r="G3133" t="inlineStr">
        <is>
          <t>Diverses visites de clients et d’emplacements</t>
        </is>
      </c>
      <c r="H3133" s="1" t="n">
        <v>41957</v>
      </c>
      <c r="I3133" s="1" t="n">
        <v>41957</v>
      </c>
      <c r="J3133" t="inlineStr">
        <is>
          <t>Wolfville</t>
        </is>
      </c>
      <c r="P3133" t="n">
        <v>0</v>
      </c>
      <c r="Q3133" t="n">
        <v>103.52</v>
      </c>
      <c r="R3133" t="n">
        <v>0</v>
      </c>
      <c r="S3133" t="n">
        <v>0</v>
      </c>
      <c r="T3133" t="n">
        <v>0</v>
      </c>
      <c r="U3133" t="n">
        <v>103.52</v>
      </c>
      <c r="X3133" t="inlineStr">
        <is>
          <t>acoa-apeca</t>
        </is>
      </c>
      <c r="Y3133" t="inlineStr">
        <is>
          <t>Atlantic Canada Opportunities Agency | Agence de promotion économique du Canada atlantique</t>
        </is>
      </c>
      <c r="Z3133" t="n">
        <v>1</v>
      </c>
      <c r="AA3133" t="n">
        <v>103.52</v>
      </c>
      <c r="AB3133">
        <f>ROUND(U3133-AA3133,2)</f>
        <v/>
      </c>
      <c r="AC3133" t="b">
        <v>0</v>
      </c>
      <c r="AD3133">
        <f>IF(U3133="","MISSING_TOTAL",IF(ABS(AB3133)&lt;=0.01,"OK","CHECK"))</f>
        <v/>
      </c>
      <c r="AE3133">
        <f>IF(U3133="","MISSING",IF(AND(AA3133&gt;0,U3133/AA3133&gt;50),"POSSIBLE_SCALE_ERROR","OK"))</f>
        <v/>
      </c>
    </row>
    <row r="3134">
      <c r="A3134" t="inlineStr">
        <is>
          <t>T-2015-Q3-00069</t>
        </is>
      </c>
      <c r="B3134" t="inlineStr">
        <is>
          <t>MPSES</t>
        </is>
      </c>
      <c r="C3134" t="inlineStr">
        <is>
          <t>Regional Affairs Director - New Brunswick</t>
        </is>
      </c>
      <c r="D3134" t="inlineStr">
        <is>
          <t>Directeur des affaires régionales - Nouveau-Brunswick</t>
        </is>
      </c>
      <c r="E3134" t="inlineStr">
        <is>
          <t>Douglas MacDonald</t>
        </is>
      </c>
      <c r="F3134" t="inlineStr">
        <is>
          <t>Travel on government business</t>
        </is>
      </c>
      <c r="G3134" t="inlineStr">
        <is>
          <t>Voyage en service commandé</t>
        </is>
      </c>
      <c r="H3134" s="1" t="n">
        <v>41956</v>
      </c>
      <c r="I3134" s="1" t="n">
        <v>41956</v>
      </c>
      <c r="J3134" t="inlineStr">
        <is>
          <t>Fredericton, New Brunswick</t>
        </is>
      </c>
      <c r="K3134" t="inlineStr">
        <is>
          <t>Fredericton (Nouveau-Brunswick)</t>
        </is>
      </c>
      <c r="P3134" t="n">
        <v>0</v>
      </c>
      <c r="Q3134" t="n">
        <v>33.66</v>
      </c>
      <c r="R3134" t="n">
        <v>0</v>
      </c>
      <c r="S3134" t="n">
        <v>0</v>
      </c>
      <c r="T3134" t="n">
        <v>0</v>
      </c>
      <c r="U3134" t="n">
        <v>33.66</v>
      </c>
      <c r="X3134" t="inlineStr">
        <is>
          <t>acoa-apeca</t>
        </is>
      </c>
      <c r="Y3134" t="inlineStr">
        <is>
          <t>Atlantic Canada Opportunities Agency | Agence de promotion économique du Canada atlantique</t>
        </is>
      </c>
      <c r="Z3134" t="n">
        <v>1</v>
      </c>
      <c r="AA3134" t="n">
        <v>33.66</v>
      </c>
      <c r="AB3134">
        <f>ROUND(U3134-AA3134,2)</f>
        <v/>
      </c>
      <c r="AC3134" t="b">
        <v>0</v>
      </c>
      <c r="AD3134">
        <f>IF(U3134="","MISSING_TOTAL",IF(ABS(AB3134)&lt;=0.01,"OK","CHECK"))</f>
        <v/>
      </c>
      <c r="AE3134">
        <f>IF(U3134="","MISSING",IF(AND(AA3134&gt;0,U3134/AA3134&gt;50),"POSSIBLE_SCALE_ERROR","OK"))</f>
        <v/>
      </c>
    </row>
    <row r="3135">
      <c r="A3135" t="inlineStr">
        <is>
          <t>T-2015-Q3-00067</t>
        </is>
      </c>
      <c r="B3135" t="inlineStr">
        <is>
          <t>SLE</t>
        </is>
      </c>
      <c r="C3135" t="inlineStr">
        <is>
          <t>Vice-President, Policy and Programs</t>
        </is>
      </c>
      <c r="D3135" t="inlineStr">
        <is>
          <t>Vice-président, Politiques et Programmes</t>
        </is>
      </c>
      <c r="E3135" t="inlineStr">
        <is>
          <t>Daryell Nowlan</t>
        </is>
      </c>
      <c r="F3135" t="inlineStr">
        <is>
          <t>Meetings with Government of Canada officials</t>
        </is>
      </c>
      <c r="G3135" t="inlineStr">
        <is>
          <t>Réunions avec des fonctionnaires du gouvernement du Canada</t>
        </is>
      </c>
      <c r="H3135" s="1" t="n">
        <v>41954</v>
      </c>
      <c r="I3135" s="1" t="n">
        <v>41956</v>
      </c>
      <c r="J3135" t="inlineStr">
        <is>
          <t>Fredericton, New Brunswick</t>
        </is>
      </c>
      <c r="K3135" t="inlineStr">
        <is>
          <t>Fredericton (Nouveau-Brunswick)</t>
        </is>
      </c>
      <c r="P3135" t="n">
        <v>0</v>
      </c>
      <c r="Q3135" t="n">
        <v>185.69</v>
      </c>
      <c r="R3135" t="n">
        <v>305.1</v>
      </c>
      <c r="S3135" t="n">
        <v>169</v>
      </c>
      <c r="T3135" t="n">
        <v>0</v>
      </c>
      <c r="U3135" t="n">
        <v>659.79</v>
      </c>
      <c r="X3135" t="inlineStr">
        <is>
          <t>acoa-apeca</t>
        </is>
      </c>
      <c r="Y3135" t="inlineStr">
        <is>
          <t>Atlantic Canada Opportunities Agency | Agence de promotion économique du Canada atlantique</t>
        </is>
      </c>
      <c r="Z3135" t="n">
        <v>3</v>
      </c>
      <c r="AA3135" t="n">
        <v>659.79</v>
      </c>
      <c r="AB3135">
        <f>ROUND(U3135-AA3135,2)</f>
        <v/>
      </c>
      <c r="AC3135" t="b">
        <v>0</v>
      </c>
      <c r="AD3135">
        <f>IF(U3135="","MISSING_TOTAL",IF(ABS(AB3135)&lt;=0.01,"OK","CHECK"))</f>
        <v/>
      </c>
      <c r="AE3135">
        <f>IF(U3135="","MISSING",IF(AND(AA3135&gt;0,U3135/AA3135&gt;50),"POSSIBLE_SCALE_ERROR","OK"))</f>
        <v/>
      </c>
    </row>
    <row r="3136">
      <c r="A3136" t="inlineStr">
        <is>
          <t>T-2015-Q3-00066</t>
        </is>
      </c>
      <c r="B3136" t="inlineStr">
        <is>
          <t>SLE</t>
        </is>
      </c>
      <c r="C3136" t="inlineStr">
        <is>
          <t>President</t>
        </is>
      </c>
      <c r="D3136" t="inlineStr">
        <is>
          <t>Président</t>
        </is>
      </c>
      <c r="E3136" t="inlineStr">
        <is>
          <t>Paul J. LeBlanc</t>
        </is>
      </c>
      <c r="F3136" t="inlineStr">
        <is>
          <t>Meal during a meeting with Government of Canada officials</t>
        </is>
      </c>
      <c r="G3136" t="inlineStr">
        <is>
          <t>Repas durant une réunion avec des fonctionnaires du gouvernement du Canada</t>
        </is>
      </c>
      <c r="H3136" s="1" t="n">
        <v>41950</v>
      </c>
      <c r="I3136" s="1" t="n">
        <v>41956</v>
      </c>
      <c r="P3136" t="n">
        <v>0</v>
      </c>
      <c r="Q3136" t="n">
        <v>0</v>
      </c>
      <c r="R3136" t="n">
        <v>0</v>
      </c>
      <c r="S3136" t="n">
        <v>5.55</v>
      </c>
      <c r="T3136" t="n">
        <v>0</v>
      </c>
      <c r="U3136" t="n">
        <v>5.55</v>
      </c>
      <c r="X3136" t="inlineStr">
        <is>
          <t>acoa-apeca</t>
        </is>
      </c>
      <c r="Y3136" t="inlineStr">
        <is>
          <t>Atlantic Canada Opportunities Agency | Agence de promotion économique du Canada atlantique</t>
        </is>
      </c>
      <c r="Z3136" t="n">
        <v>7</v>
      </c>
      <c r="AA3136" t="n">
        <v>5.55</v>
      </c>
      <c r="AB3136">
        <f>ROUND(U3136-AA3136,2)</f>
        <v/>
      </c>
      <c r="AC3136" t="b">
        <v>0</v>
      </c>
      <c r="AD3136">
        <f>IF(U3136="","MISSING_TOTAL",IF(ABS(AB3136)&lt;=0.01,"OK","CHECK"))</f>
        <v/>
      </c>
      <c r="AE3136">
        <f>IF(U3136="","MISSING",IF(AND(AA3136&gt;0,U3136/AA3136&gt;50),"POSSIBLE_SCALE_ERROR","OK"))</f>
        <v/>
      </c>
    </row>
    <row r="3137">
      <c r="A3137" t="inlineStr">
        <is>
          <t>T-2015-Q3-00065</t>
        </is>
      </c>
      <c r="B3137" t="inlineStr">
        <is>
          <t>SLE</t>
        </is>
      </c>
      <c r="C3137" t="inlineStr">
        <is>
          <t>Vice-President, Finance and Corporate Services</t>
        </is>
      </c>
      <c r="D3137" t="inlineStr">
        <is>
          <t>Vice-présidente, Finances et Services corporatifs</t>
        </is>
      </c>
      <c r="E3137" t="inlineStr">
        <is>
          <t>Denise Frenette</t>
        </is>
      </c>
      <c r="F3137" t="inlineStr">
        <is>
          <t>Meetings with Government of Canada officials</t>
        </is>
      </c>
      <c r="G3137" t="inlineStr">
        <is>
          <t>Réunions avec des fonctionnaires du gouvernement du Canada</t>
        </is>
      </c>
      <c r="H3137" s="1" t="n">
        <v>41948</v>
      </c>
      <c r="I3137" s="1" t="n">
        <v>41948</v>
      </c>
      <c r="J3137" t="inlineStr">
        <is>
          <t>Charlottetown, Prince Edward Island</t>
        </is>
      </c>
      <c r="K3137" t="inlineStr">
        <is>
          <t>Charlottetown (Île-du-Prince-Édouard)</t>
        </is>
      </c>
      <c r="P3137" t="n">
        <v>0</v>
      </c>
      <c r="Q3137" t="n">
        <v>0</v>
      </c>
      <c r="R3137" t="n">
        <v>0</v>
      </c>
      <c r="S3137" t="n">
        <v>16.35</v>
      </c>
      <c r="T3137" t="n">
        <v>4.33</v>
      </c>
      <c r="U3137" t="n">
        <v>20.68</v>
      </c>
      <c r="X3137" t="inlineStr">
        <is>
          <t>acoa-apeca</t>
        </is>
      </c>
      <c r="Y3137" t="inlineStr">
        <is>
          <t>Atlantic Canada Opportunities Agency | Agence de promotion économique du Canada atlantique</t>
        </is>
      </c>
      <c r="Z3137" t="n">
        <v>1</v>
      </c>
      <c r="AA3137" t="n">
        <v>20.68</v>
      </c>
      <c r="AB3137">
        <f>ROUND(U3137-AA3137,2)</f>
        <v/>
      </c>
      <c r="AC3137" t="b">
        <v>0</v>
      </c>
      <c r="AD3137">
        <f>IF(U3137="","MISSING_TOTAL",IF(ABS(AB3137)&lt;=0.01,"OK","CHECK"))</f>
        <v/>
      </c>
      <c r="AE3137">
        <f>IF(U3137="","MISSING",IF(AND(AA3137&gt;0,U3137/AA3137&gt;50),"POSSIBLE_SCALE_ERROR","OK"))</f>
        <v/>
      </c>
    </row>
    <row r="3138">
      <c r="A3138" t="inlineStr">
        <is>
          <t>T-2015-Q3-00064</t>
        </is>
      </c>
      <c r="B3138" t="inlineStr">
        <is>
          <t>SLE</t>
        </is>
      </c>
      <c r="C3138" t="inlineStr">
        <is>
          <t>Vice-President, Policy and Programs</t>
        </is>
      </c>
      <c r="D3138" t="inlineStr">
        <is>
          <t>Vice-président, Politiques et Programmes</t>
        </is>
      </c>
      <c r="E3138" t="inlineStr">
        <is>
          <t>Daryell Nowlan</t>
        </is>
      </c>
      <c r="F3138" t="inlineStr">
        <is>
          <t>To attend a conference</t>
        </is>
      </c>
      <c r="G3138" t="inlineStr">
        <is>
          <t>Assister à une conférence</t>
        </is>
      </c>
      <c r="H3138" s="1" t="n">
        <v>41948</v>
      </c>
      <c r="I3138" s="1" t="n">
        <v>41949</v>
      </c>
      <c r="J3138" t="inlineStr">
        <is>
          <t>Saint John, New Brunswick</t>
        </is>
      </c>
      <c r="K3138" t="inlineStr">
        <is>
          <t>Saint John (Nouveau-Brunswick)</t>
        </is>
      </c>
      <c r="P3138" t="n">
        <v>0</v>
      </c>
      <c r="Q3138" t="n">
        <v>110.24</v>
      </c>
      <c r="R3138" t="n">
        <v>122.21</v>
      </c>
      <c r="S3138" t="n">
        <v>93.15000000000001</v>
      </c>
      <c r="T3138" t="n">
        <v>0</v>
      </c>
      <c r="U3138" t="n">
        <v>325.6</v>
      </c>
      <c r="X3138" t="inlineStr">
        <is>
          <t>acoa-apeca</t>
        </is>
      </c>
      <c r="Y3138" t="inlineStr">
        <is>
          <t>Atlantic Canada Opportunities Agency | Agence de promotion économique du Canada atlantique</t>
        </is>
      </c>
      <c r="Z3138" t="n">
        <v>2</v>
      </c>
      <c r="AA3138" t="n">
        <v>325.6</v>
      </c>
      <c r="AB3138">
        <f>ROUND(U3138-AA3138,2)</f>
        <v/>
      </c>
      <c r="AC3138" t="b">
        <v>0</v>
      </c>
      <c r="AD3138">
        <f>IF(U3138="","MISSING_TOTAL",IF(ABS(AB3138)&lt;=0.01,"OK","CHECK"))</f>
        <v/>
      </c>
      <c r="AE3138">
        <f>IF(U3138="","MISSING",IF(AND(AA3138&gt;0,U3138/AA3138&gt;50),"POSSIBLE_SCALE_ERROR","OK"))</f>
        <v/>
      </c>
    </row>
    <row r="3139">
      <c r="A3139" t="inlineStr">
        <is>
          <t>T-2015-Q3-00063</t>
        </is>
      </c>
      <c r="B3139" t="inlineStr">
        <is>
          <t>MPSES</t>
        </is>
      </c>
      <c r="C3139" t="inlineStr">
        <is>
          <t>Minister of State</t>
        </is>
      </c>
      <c r="D3139" t="inlineStr">
        <is>
          <t>Ministre d'État</t>
        </is>
      </c>
      <c r="E3139" t="inlineStr">
        <is>
          <t>Rob Moore</t>
        </is>
      </c>
      <c r="F3139" t="inlineStr">
        <is>
          <t>Speaking engagement at the International Conference on Ocean Energy</t>
        </is>
      </c>
      <c r="G3139" t="inlineStr">
        <is>
          <t>Allocution à la Conférence internationale sur l'énergie marine</t>
        </is>
      </c>
      <c r="H3139" s="1" t="n">
        <v>41947</v>
      </c>
      <c r="I3139" s="1" t="n">
        <v>41947</v>
      </c>
      <c r="J3139" t="inlineStr">
        <is>
          <t>Halifax, Nova Scotia</t>
        </is>
      </c>
      <c r="K3139" t="inlineStr">
        <is>
          <t>Halifax (Nouvelle-Écosse)</t>
        </is>
      </c>
      <c r="P3139" t="n">
        <v>722.89</v>
      </c>
      <c r="Q3139" t="n">
        <v>10.71</v>
      </c>
      <c r="R3139" t="n">
        <v>0</v>
      </c>
      <c r="S3139" t="n">
        <v>15.75</v>
      </c>
      <c r="T3139" t="n">
        <v>0</v>
      </c>
      <c r="U3139" t="n">
        <v>749.35</v>
      </c>
      <c r="X3139" t="inlineStr">
        <is>
          <t>acoa-apeca</t>
        </is>
      </c>
      <c r="Y3139" t="inlineStr">
        <is>
          <t>Atlantic Canada Opportunities Agency | Agence de promotion économique du Canada atlantique</t>
        </is>
      </c>
      <c r="Z3139" t="n">
        <v>1</v>
      </c>
      <c r="AA3139" t="n">
        <v>749.35</v>
      </c>
      <c r="AB3139">
        <f>ROUND(U3139-AA3139,2)</f>
        <v/>
      </c>
      <c r="AC3139" t="b">
        <v>0</v>
      </c>
      <c r="AD3139">
        <f>IF(U3139="","MISSING_TOTAL",IF(ABS(AB3139)&lt;=0.01,"OK","CHECK"))</f>
        <v/>
      </c>
      <c r="AE3139">
        <f>IF(U3139="","MISSING",IF(AND(AA3139&gt;0,U3139/AA3139&gt;50),"POSSIBLE_SCALE_ERROR","OK"))</f>
        <v/>
      </c>
    </row>
    <row r="3140">
      <c r="A3140" t="inlineStr">
        <is>
          <t>T-2015-Q3-00062</t>
        </is>
      </c>
      <c r="B3140" t="inlineStr">
        <is>
          <t>SLE</t>
        </is>
      </c>
      <c r="C3140" t="inlineStr">
        <is>
          <t>President</t>
        </is>
      </c>
      <c r="D3140" t="inlineStr">
        <is>
          <t>Président</t>
        </is>
      </c>
      <c r="E3140" t="inlineStr">
        <is>
          <t>Paul J. LeBlanc</t>
        </is>
      </c>
      <c r="F3140" t="inlineStr">
        <is>
          <t>For various meetings and discussions with: Agency officials; with Government of Canada officials</t>
        </is>
      </c>
      <c r="G3140" t="inlineStr">
        <is>
          <t>Diverses réunions et discussions avec des fonctionnaires de l'Agence et du gouvernement du canada</t>
        </is>
      </c>
      <c r="H3140" s="1" t="n">
        <v>41947</v>
      </c>
      <c r="I3140" s="1" t="n">
        <v>41948</v>
      </c>
      <c r="J3140" t="inlineStr">
        <is>
          <t>Ottawa, Ontario</t>
        </is>
      </c>
      <c r="K3140" t="inlineStr">
        <is>
          <t>Ottawa (Ontario)</t>
        </is>
      </c>
      <c r="P3140" t="n">
        <v>817.3200000000001</v>
      </c>
      <c r="Q3140" t="n">
        <v>0</v>
      </c>
      <c r="R3140" t="n">
        <v>185.06</v>
      </c>
      <c r="S3140" t="n">
        <v>167.45</v>
      </c>
      <c r="T3140" t="n">
        <v>32</v>
      </c>
      <c r="U3140" t="n">
        <v>1201.83</v>
      </c>
      <c r="X3140" t="inlineStr">
        <is>
          <t>acoa-apeca</t>
        </is>
      </c>
      <c r="Y3140" t="inlineStr">
        <is>
          <t>Atlantic Canada Opportunities Agency | Agence de promotion économique du Canada atlantique</t>
        </is>
      </c>
      <c r="Z3140" t="n">
        <v>2</v>
      </c>
      <c r="AA3140" t="n">
        <v>1201.83</v>
      </c>
      <c r="AB3140">
        <f>ROUND(U3140-AA3140,2)</f>
        <v/>
      </c>
      <c r="AC3140" t="b">
        <v>0</v>
      </c>
      <c r="AD3140">
        <f>IF(U3140="","MISSING_TOTAL",IF(ABS(AB3140)&lt;=0.01,"OK","CHECK"))</f>
        <v/>
      </c>
      <c r="AE3140">
        <f>IF(U3140="","MISSING",IF(AND(AA3140&gt;0,U3140/AA3140&gt;50),"POSSIBLE_SCALE_ERROR","OK"))</f>
        <v/>
      </c>
    </row>
    <row r="3141">
      <c r="A3141" t="inlineStr">
        <is>
          <t>T-2015-Q3-00060</t>
        </is>
      </c>
      <c r="B3141" t="inlineStr">
        <is>
          <t>SLE</t>
        </is>
      </c>
      <c r="C3141" t="inlineStr">
        <is>
          <t>Vice-President, New Brunswick</t>
        </is>
      </c>
      <c r="D3141" t="inlineStr">
        <is>
          <t>Vice-président, Nouveau-Brunswick</t>
        </is>
      </c>
      <c r="E3141" t="inlineStr">
        <is>
          <t>Kent Estabrooks</t>
        </is>
      </c>
      <c r="F3141" t="inlineStr">
        <is>
          <t>Meetings with federal officials and Agency officials</t>
        </is>
      </c>
      <c r="G3141" t="inlineStr">
        <is>
          <t>Réunions avec des fonctionnaires fédéraux et des fonctionnaires de l'Agence</t>
        </is>
      </c>
      <c r="H3141" s="1" t="n">
        <v>41946</v>
      </c>
      <c r="I3141" s="1" t="n">
        <v>41947</v>
      </c>
      <c r="J3141" t="inlineStr">
        <is>
          <t>Ottawa, Ontario</t>
        </is>
      </c>
      <c r="K3141" t="inlineStr">
        <is>
          <t>Ottawa (Ontario)</t>
        </is>
      </c>
      <c r="P3141" t="n">
        <v>892.7</v>
      </c>
      <c r="Q3141" t="n">
        <v>143.92</v>
      </c>
      <c r="R3141" t="n">
        <v>393.4</v>
      </c>
      <c r="S3141" t="n">
        <v>169</v>
      </c>
      <c r="T3141" t="n">
        <v>0</v>
      </c>
      <c r="U3141" t="n">
        <v>1599.02</v>
      </c>
      <c r="X3141" t="inlineStr">
        <is>
          <t>acoa-apeca</t>
        </is>
      </c>
      <c r="Y3141" t="inlineStr">
        <is>
          <t>Atlantic Canada Opportunities Agency | Agence de promotion économique du Canada atlantique</t>
        </is>
      </c>
      <c r="Z3141" t="n">
        <v>2</v>
      </c>
      <c r="AA3141" t="n">
        <v>1599.02</v>
      </c>
      <c r="AB3141">
        <f>ROUND(U3141-AA3141,2)</f>
        <v/>
      </c>
      <c r="AC3141" t="b">
        <v>0</v>
      </c>
      <c r="AD3141">
        <f>IF(U3141="","MISSING_TOTAL",IF(ABS(AB3141)&lt;=0.01,"OK","CHECK"))</f>
        <v/>
      </c>
      <c r="AE3141">
        <f>IF(U3141="","MISSING",IF(AND(AA3141&gt;0,U3141/AA3141&gt;50),"POSSIBLE_SCALE_ERROR","OK"))</f>
        <v/>
      </c>
    </row>
    <row r="3142">
      <c r="A3142" t="inlineStr">
        <is>
          <t>T-2015-Q3-00058</t>
        </is>
      </c>
      <c r="B3142" t="inlineStr">
        <is>
          <t>SLE</t>
        </is>
      </c>
      <c r="C3142" t="inlineStr">
        <is>
          <t>Vice-President, Prince Edward Island</t>
        </is>
      </c>
      <c r="D3142" t="inlineStr">
        <is>
          <t>Vice-président, Île-du-Prince-Édouard</t>
        </is>
      </c>
      <c r="E3142" t="inlineStr">
        <is>
          <t>Patrick Dorsey</t>
        </is>
      </c>
      <c r="F3142" t="inlineStr">
        <is>
          <t>Meeting with Government of Canada officials</t>
        </is>
      </c>
      <c r="G3142" t="inlineStr">
        <is>
          <t>Réunion avec des fonctionnaires du gouvernement du Canada</t>
        </is>
      </c>
      <c r="H3142" s="1" t="n">
        <v>41945</v>
      </c>
      <c r="I3142" s="1" t="n">
        <v>41947</v>
      </c>
      <c r="J3142" t="inlineStr">
        <is>
          <t>Ottawa, Ontario</t>
        </is>
      </c>
      <c r="K3142" t="inlineStr">
        <is>
          <t>Ottawa (Ontario)</t>
        </is>
      </c>
      <c r="P3142" t="n">
        <v>742.16</v>
      </c>
      <c r="Q3142" t="n">
        <v>93</v>
      </c>
      <c r="R3142" t="n">
        <v>365.46</v>
      </c>
      <c r="S3142" t="n">
        <v>201.1</v>
      </c>
      <c r="T3142" t="n">
        <v>0</v>
      </c>
      <c r="U3142" t="n">
        <v>1401.72</v>
      </c>
      <c r="X3142" t="inlineStr">
        <is>
          <t>acoa-apeca</t>
        </is>
      </c>
      <c r="Y3142" t="inlineStr">
        <is>
          <t>Atlantic Canada Opportunities Agency | Agence de promotion économique du Canada atlantique</t>
        </is>
      </c>
      <c r="Z3142" t="n">
        <v>3</v>
      </c>
      <c r="AA3142" t="n">
        <v>1401.71999999999</v>
      </c>
      <c r="AB3142">
        <f>ROUND(U3142-AA3142,2)</f>
        <v/>
      </c>
      <c r="AC3142" t="b">
        <v>0</v>
      </c>
      <c r="AD3142">
        <f>IF(U3142="","MISSING_TOTAL",IF(ABS(AB3142)&lt;=0.01,"OK","CHECK"))</f>
        <v/>
      </c>
      <c r="AE3142">
        <f>IF(U3142="","MISSING",IF(AND(AA3142&gt;0,U3142/AA3142&gt;50),"POSSIBLE_SCALE_ERROR","OK"))</f>
        <v/>
      </c>
    </row>
    <row r="3143">
      <c r="A3143" t="inlineStr">
        <is>
          <t>T-2015-Q3-00056</t>
        </is>
      </c>
      <c r="B3143" t="inlineStr">
        <is>
          <t>SLE</t>
        </is>
      </c>
      <c r="C3143" t="inlineStr">
        <is>
          <t>Vice-President, Newfoundland and Labrador</t>
        </is>
      </c>
      <c r="D3143" t="inlineStr">
        <is>
          <t>Vice-président, Terre-Neuve-et-Labrador</t>
        </is>
      </c>
      <c r="E3143" t="inlineStr">
        <is>
          <t>Paul Mills</t>
        </is>
      </c>
      <c r="F3143" t="inlineStr">
        <is>
          <t>Meetings with senior government officials</t>
        </is>
      </c>
      <c r="G3143" t="inlineStr">
        <is>
          <t>Réunions avec des hauts fonctionnaires</t>
        </is>
      </c>
      <c r="H3143" s="1" t="n">
        <v>41944</v>
      </c>
      <c r="I3143" s="1" t="n">
        <v>41976</v>
      </c>
      <c r="J3143" t="inlineStr">
        <is>
          <t>Ottawa, Ontario</t>
        </is>
      </c>
      <c r="K3143" t="inlineStr">
        <is>
          <t>Ottawa (Ontario)</t>
        </is>
      </c>
      <c r="P3143" t="n">
        <v>1426.06</v>
      </c>
      <c r="Q3143" t="n">
        <v>76.95999999999999</v>
      </c>
      <c r="R3143" t="n">
        <v>365.46</v>
      </c>
      <c r="S3143" t="n">
        <v>216.85</v>
      </c>
      <c r="T3143" t="n">
        <v>5.36</v>
      </c>
      <c r="U3143" t="n">
        <v>2090.69</v>
      </c>
      <c r="X3143" t="inlineStr">
        <is>
          <t>acoa-apeca</t>
        </is>
      </c>
      <c r="Y3143" t="inlineStr">
        <is>
          <t>Atlantic Canada Opportunities Agency | Agence de promotion économique du Canada atlantique</t>
        </is>
      </c>
      <c r="Z3143" t="n">
        <v>33</v>
      </c>
      <c r="AA3143" t="n">
        <v>2090.69</v>
      </c>
      <c r="AB3143">
        <f>ROUND(U3143-AA3143,2)</f>
        <v/>
      </c>
      <c r="AC3143" t="b">
        <v>0</v>
      </c>
      <c r="AD3143">
        <f>IF(U3143="","MISSING_TOTAL",IF(ABS(AB3143)&lt;=0.01,"OK","CHECK"))</f>
        <v/>
      </c>
      <c r="AE3143">
        <f>IF(U3143="","MISSING",IF(AND(AA3143&gt;0,U3143/AA3143&gt;50),"POSSIBLE_SCALE_ERROR","OK"))</f>
        <v/>
      </c>
    </row>
    <row r="3144">
      <c r="A3144" t="inlineStr">
        <is>
          <t>T-2015-Q3-00055</t>
        </is>
      </c>
      <c r="B3144" t="inlineStr">
        <is>
          <t>MPSES</t>
        </is>
      </c>
      <c r="C3144" t="inlineStr">
        <is>
          <t>Minister of State</t>
        </is>
      </c>
      <c r="D3144" t="inlineStr">
        <is>
          <t>Ministre d'État</t>
        </is>
      </c>
      <c r="E3144" t="inlineStr">
        <is>
          <t>Rob Moore</t>
        </is>
      </c>
      <c r="F3144" t="inlineStr">
        <is>
          <t>To attend a Government of Canada announcement</t>
        </is>
      </c>
      <c r="G3144" t="inlineStr">
        <is>
          <t>Assister à une annonce du gouvernement du Canada</t>
        </is>
      </c>
      <c r="H3144" s="1" t="n">
        <v>41943</v>
      </c>
      <c r="I3144" s="1" t="n">
        <v>41943</v>
      </c>
      <c r="J3144" t="inlineStr">
        <is>
          <t>Saint John, New Brunswick</t>
        </is>
      </c>
      <c r="K3144" t="inlineStr">
        <is>
          <t>Saint John (Nouveau-Brunswick)</t>
        </is>
      </c>
      <c r="P3144" t="n">
        <v>0</v>
      </c>
      <c r="Q3144" t="n">
        <v>26.52</v>
      </c>
      <c r="R3144" t="n">
        <v>0</v>
      </c>
      <c r="S3144" t="n">
        <v>0</v>
      </c>
      <c r="T3144" t="n">
        <v>0</v>
      </c>
      <c r="U3144" t="n">
        <v>26.52</v>
      </c>
      <c r="X3144" t="inlineStr">
        <is>
          <t>acoa-apeca</t>
        </is>
      </c>
      <c r="Y3144" t="inlineStr">
        <is>
          <t>Atlantic Canada Opportunities Agency | Agence de promotion économique du Canada atlantique</t>
        </is>
      </c>
      <c r="Z3144" t="n">
        <v>1</v>
      </c>
      <c r="AA3144" t="n">
        <v>26.52</v>
      </c>
      <c r="AB3144">
        <f>ROUND(U3144-AA3144,2)</f>
        <v/>
      </c>
      <c r="AC3144" t="b">
        <v>0</v>
      </c>
      <c r="AD3144">
        <f>IF(U3144="","MISSING_TOTAL",IF(ABS(AB3144)&lt;=0.01,"OK","CHECK"))</f>
        <v/>
      </c>
      <c r="AE3144">
        <f>IF(U3144="","MISSING",IF(AND(AA3144&gt;0,U3144/AA3144&gt;50),"POSSIBLE_SCALE_ERROR","OK"))</f>
        <v/>
      </c>
    </row>
    <row r="3145">
      <c r="A3145" t="inlineStr">
        <is>
          <t>T-2015-Q3-00054</t>
        </is>
      </c>
      <c r="B3145" t="inlineStr">
        <is>
          <t>MPSES</t>
        </is>
      </c>
      <c r="C3145" t="inlineStr">
        <is>
          <t>Executive Assistant</t>
        </is>
      </c>
      <c r="D3145" t="inlineStr">
        <is>
          <t>Adjoint exécutif</t>
        </is>
      </c>
      <c r="E3145" t="inlineStr">
        <is>
          <t>Josh Hardy</t>
        </is>
      </c>
      <c r="F3145" t="inlineStr">
        <is>
          <t>Travel on government business</t>
        </is>
      </c>
      <c r="G3145" t="inlineStr">
        <is>
          <t>Voyage en service commandé</t>
        </is>
      </c>
      <c r="H3145" s="1" t="n">
        <v>41942</v>
      </c>
      <c r="I3145" s="1" t="n">
        <v>41947</v>
      </c>
      <c r="J3145" t="inlineStr">
        <is>
          <t>Moncton, New Brunswick and Halifax, Nova Scotia</t>
        </is>
      </c>
      <c r="K3145" t="inlineStr">
        <is>
          <t>Moncton (Nouveau-Brunswick) et Halifax (Nouvelle-Écosse)</t>
        </is>
      </c>
      <c r="P3145" t="n">
        <v>1593.5</v>
      </c>
      <c r="Q3145" t="n">
        <v>0</v>
      </c>
      <c r="R3145" t="n">
        <v>0</v>
      </c>
      <c r="S3145" t="n">
        <v>0</v>
      </c>
      <c r="T3145" t="n">
        <v>0</v>
      </c>
      <c r="U3145" t="n">
        <v>1593.5</v>
      </c>
      <c r="X3145" t="inlineStr">
        <is>
          <t>acoa-apeca</t>
        </is>
      </c>
      <c r="Y3145" t="inlineStr">
        <is>
          <t>Atlantic Canada Opportunities Agency | Agence de promotion économique du Canada atlantique</t>
        </is>
      </c>
      <c r="Z3145" t="n">
        <v>6</v>
      </c>
      <c r="AA3145" t="n">
        <v>1593.5</v>
      </c>
      <c r="AB3145">
        <f>ROUND(U3145-AA3145,2)</f>
        <v/>
      </c>
      <c r="AC3145" t="b">
        <v>0</v>
      </c>
      <c r="AD3145">
        <f>IF(U3145="","MISSING_TOTAL",IF(ABS(AB3145)&lt;=0.01,"OK","CHECK"))</f>
        <v/>
      </c>
      <c r="AE3145">
        <f>IF(U3145="","MISSING",IF(AND(AA3145&gt;0,U3145/AA3145&gt;50),"POSSIBLE_SCALE_ERROR","OK"))</f>
        <v/>
      </c>
    </row>
    <row r="3146">
      <c r="A3146" t="inlineStr">
        <is>
          <t>T-2015-Q3-00053</t>
        </is>
      </c>
      <c r="B3146" t="inlineStr">
        <is>
          <t>SLE</t>
        </is>
      </c>
      <c r="C3146" t="inlineStr">
        <is>
          <t>Vice-President, Prince Edward Island</t>
        </is>
      </c>
      <c r="D3146" t="inlineStr">
        <is>
          <t>Vice-président, Île-du-Prince-Édouard</t>
        </is>
      </c>
      <c r="E3146" t="inlineStr">
        <is>
          <t>Patrick Dorsey</t>
        </is>
      </c>
      <c r="F3146" t="inlineStr">
        <is>
          <t>Meeting with Government of Canada officials</t>
        </is>
      </c>
      <c r="G3146" t="inlineStr">
        <is>
          <t>Réunion avec des fonctionnaires du gouvernement du Canada</t>
        </is>
      </c>
      <c r="H3146" s="1" t="n">
        <v>41941</v>
      </c>
      <c r="I3146" s="1" t="n">
        <v>41943</v>
      </c>
      <c r="J3146" t="inlineStr">
        <is>
          <t>Halifax, Nova Scotia</t>
        </is>
      </c>
      <c r="K3146" t="inlineStr">
        <is>
          <t>Halifax (Nouvelle-Écosse)</t>
        </is>
      </c>
      <c r="P3146" t="n">
        <v>0</v>
      </c>
      <c r="Q3146" t="n">
        <v>45</v>
      </c>
      <c r="R3146" t="n">
        <v>349.56</v>
      </c>
      <c r="S3146" t="n">
        <v>216.85</v>
      </c>
      <c r="T3146" t="n">
        <v>0</v>
      </c>
      <c r="U3146" t="n">
        <v>611.41</v>
      </c>
      <c r="X3146" t="inlineStr">
        <is>
          <t>acoa-apeca</t>
        </is>
      </c>
      <c r="Y3146" t="inlineStr">
        <is>
          <t>Atlantic Canada Opportunities Agency | Agence de promotion économique du Canada atlantique</t>
        </is>
      </c>
      <c r="Z3146" t="n">
        <v>3</v>
      </c>
      <c r="AA3146" t="n">
        <v>611.41</v>
      </c>
      <c r="AB3146">
        <f>ROUND(U3146-AA3146,2)</f>
        <v/>
      </c>
      <c r="AC3146" t="b">
        <v>0</v>
      </c>
      <c r="AD3146">
        <f>IF(U3146="","MISSING_TOTAL",IF(ABS(AB3146)&lt;=0.01,"OK","CHECK"))</f>
        <v/>
      </c>
      <c r="AE3146">
        <f>IF(U3146="","MISSING",IF(AND(AA3146&gt;0,U3146/AA3146&gt;50),"POSSIBLE_SCALE_ERROR","OK"))</f>
        <v/>
      </c>
    </row>
    <row r="3147">
      <c r="A3147" t="inlineStr">
        <is>
          <t>T-2015-Q3-00052</t>
        </is>
      </c>
      <c r="B3147" t="inlineStr">
        <is>
          <t>SLE</t>
        </is>
      </c>
      <c r="C3147" t="inlineStr">
        <is>
          <t>President</t>
        </is>
      </c>
      <c r="D3147" t="inlineStr">
        <is>
          <t>Président</t>
        </is>
      </c>
      <c r="E3147" t="inlineStr">
        <is>
          <t>Paul J. LeBlanc</t>
        </is>
      </c>
      <c r="F3147" t="inlineStr">
        <is>
          <t>For various meetings and discussions with Agency officials; with Government of Canada officials</t>
        </is>
      </c>
      <c r="G3147" t="inlineStr">
        <is>
          <t>Diverses réunions et discussions avec des fonctionnaires de l'Agence et du gouvernement du Canada</t>
        </is>
      </c>
      <c r="H3147" s="1" t="n">
        <v>41940</v>
      </c>
      <c r="I3147" s="1" t="n">
        <v>41941</v>
      </c>
      <c r="J3147" t="inlineStr">
        <is>
          <t>Ottawa, Ontario</t>
        </is>
      </c>
      <c r="K3147" t="inlineStr">
        <is>
          <t>Ottawa (Ontario)</t>
        </is>
      </c>
      <c r="P3147" t="n">
        <v>906.75</v>
      </c>
      <c r="Q3147" t="n">
        <v>0</v>
      </c>
      <c r="R3147" t="n">
        <v>185.06</v>
      </c>
      <c r="S3147" t="n">
        <v>109.5</v>
      </c>
      <c r="T3147" t="n">
        <v>32</v>
      </c>
      <c r="U3147" t="n">
        <v>1233.31</v>
      </c>
      <c r="X3147" t="inlineStr">
        <is>
          <t>acoa-apeca</t>
        </is>
      </c>
      <c r="Y3147" t="inlineStr">
        <is>
          <t>Atlantic Canada Opportunities Agency | Agence de promotion économique du Canada atlantique</t>
        </is>
      </c>
      <c r="Z3147" t="n">
        <v>2</v>
      </c>
      <c r="AA3147" t="n">
        <v>1233.31</v>
      </c>
      <c r="AB3147">
        <f>ROUND(U3147-AA3147,2)</f>
        <v/>
      </c>
      <c r="AC3147" t="b">
        <v>0</v>
      </c>
      <c r="AD3147">
        <f>IF(U3147="","MISSING_TOTAL",IF(ABS(AB3147)&lt;=0.01,"OK","CHECK"))</f>
        <v/>
      </c>
      <c r="AE3147">
        <f>IF(U3147="","MISSING",IF(AND(AA3147&gt;0,U3147/AA3147&gt;50),"POSSIBLE_SCALE_ERROR","OK"))</f>
        <v/>
      </c>
    </row>
    <row r="3148">
      <c r="A3148" t="inlineStr">
        <is>
          <t>T-2015-Q3-00051</t>
        </is>
      </c>
      <c r="B3148" t="inlineStr">
        <is>
          <t>SLE</t>
        </is>
      </c>
      <c r="C3148" t="inlineStr">
        <is>
          <t>Vice-President, Finance and Corporate Services</t>
        </is>
      </c>
      <c r="D3148" t="inlineStr">
        <is>
          <t>Vice-présidente, Finances et Services corporatifs</t>
        </is>
      </c>
      <c r="E3148" t="inlineStr">
        <is>
          <t>Denise Frenette</t>
        </is>
      </c>
      <c r="F3148" t="inlineStr">
        <is>
          <t>Meetings with Government of Canada officials</t>
        </is>
      </c>
      <c r="G3148" t="inlineStr">
        <is>
          <t>Réunions avec des fonctionnaires du gouvernement du Canada</t>
        </is>
      </c>
      <c r="H3148" s="1" t="n">
        <v>41939</v>
      </c>
      <c r="I3148" s="1" t="n">
        <v>41939</v>
      </c>
      <c r="J3148" t="inlineStr">
        <is>
          <t>Halifax, Nova Scotia</t>
        </is>
      </c>
      <c r="K3148" t="inlineStr">
        <is>
          <t>Halifax (Nouvelle-Écosse)</t>
        </is>
      </c>
      <c r="P3148" t="n">
        <v>0</v>
      </c>
      <c r="Q3148" t="n">
        <v>0</v>
      </c>
      <c r="R3148" t="n">
        <v>0</v>
      </c>
      <c r="S3148" t="n">
        <v>16.35</v>
      </c>
      <c r="T3148" t="n">
        <v>0</v>
      </c>
      <c r="U3148" t="n">
        <v>16.35</v>
      </c>
      <c r="X3148" t="inlineStr">
        <is>
          <t>acoa-apeca</t>
        </is>
      </c>
      <c r="Y3148" t="inlineStr">
        <is>
          <t>Atlantic Canada Opportunities Agency | Agence de promotion économique du Canada atlantique</t>
        </is>
      </c>
      <c r="Z3148" t="n">
        <v>1</v>
      </c>
      <c r="AA3148" t="n">
        <v>16.35</v>
      </c>
      <c r="AB3148">
        <f>ROUND(U3148-AA3148,2)</f>
        <v/>
      </c>
      <c r="AC3148" t="b">
        <v>0</v>
      </c>
      <c r="AD3148">
        <f>IF(U3148="","MISSING_TOTAL",IF(ABS(AB3148)&lt;=0.01,"OK","CHECK"))</f>
        <v/>
      </c>
      <c r="AE3148">
        <f>IF(U3148="","MISSING",IF(AND(AA3148&gt;0,U3148/AA3148&gt;50),"POSSIBLE_SCALE_ERROR","OK"))</f>
        <v/>
      </c>
    </row>
    <row r="3149">
      <c r="A3149" t="inlineStr">
        <is>
          <t>T-2015-Q3-00050</t>
        </is>
      </c>
      <c r="B3149" t="inlineStr">
        <is>
          <t>MPSES</t>
        </is>
      </c>
      <c r="C3149" t="inlineStr">
        <is>
          <t>Regional Affairs Director - New Brunswick</t>
        </is>
      </c>
      <c r="D3149" t="inlineStr">
        <is>
          <t>Directeur des affaires régionales - Nouveau-Brunswick</t>
        </is>
      </c>
      <c r="E3149" t="inlineStr">
        <is>
          <t>Douglas MacDonald</t>
        </is>
      </c>
      <c r="F3149" t="inlineStr">
        <is>
          <t>Travel on government business</t>
        </is>
      </c>
      <c r="G3149" t="inlineStr">
        <is>
          <t>Voyage en service commandé</t>
        </is>
      </c>
      <c r="H3149" s="1" t="n">
        <v>41938</v>
      </c>
      <c r="I3149" s="1" t="n">
        <v>41940</v>
      </c>
      <c r="J3149" t="inlineStr">
        <is>
          <t>Ottawa, Ontario</t>
        </is>
      </c>
      <c r="K3149" t="inlineStr">
        <is>
          <t>Ottawa (Ontario)</t>
        </is>
      </c>
      <c r="P3149" t="n">
        <v>740.39</v>
      </c>
      <c r="Q3149" t="n">
        <v>112.75</v>
      </c>
      <c r="R3149" t="n">
        <v>365.46</v>
      </c>
      <c r="S3149" t="n">
        <v>183.2</v>
      </c>
      <c r="T3149" t="n">
        <v>0</v>
      </c>
      <c r="U3149" t="n">
        <v>1401.8</v>
      </c>
      <c r="X3149" t="inlineStr">
        <is>
          <t>acoa-apeca</t>
        </is>
      </c>
      <c r="Y3149" t="inlineStr">
        <is>
          <t>Atlantic Canada Opportunities Agency | Agence de promotion économique du Canada atlantique</t>
        </is>
      </c>
      <c r="Z3149" t="n">
        <v>3</v>
      </c>
      <c r="AA3149" t="n">
        <v>1401.8</v>
      </c>
      <c r="AB3149">
        <f>ROUND(U3149-AA3149,2)</f>
        <v/>
      </c>
      <c r="AC3149" t="b">
        <v>0</v>
      </c>
      <c r="AD3149">
        <f>IF(U3149="","MISSING_TOTAL",IF(ABS(AB3149)&lt;=0.01,"OK","CHECK"))</f>
        <v/>
      </c>
      <c r="AE3149">
        <f>IF(U3149="","MISSING",IF(AND(AA3149&gt;0,U3149/AA3149&gt;50),"POSSIBLE_SCALE_ERROR","OK"))</f>
        <v/>
      </c>
    </row>
    <row r="3150">
      <c r="A3150" t="inlineStr">
        <is>
          <t>T-2015-Q3-00049</t>
        </is>
      </c>
      <c r="B3150" t="inlineStr">
        <is>
          <t>SLE</t>
        </is>
      </c>
      <c r="C3150" t="inlineStr">
        <is>
          <t>Vice-President, Policy and Programs</t>
        </is>
      </c>
      <c r="D3150" t="inlineStr">
        <is>
          <t>Vice-président, Politiques et Programmes</t>
        </is>
      </c>
      <c r="E3150" t="inlineStr">
        <is>
          <t>Daryell Nowlan</t>
        </is>
      </c>
      <c r="F3150" t="inlineStr">
        <is>
          <t>To take part in the 2014 EuroNaval in LeBourget, Paris, France in support of the Atlantic Shipbuilding Action Plan</t>
        </is>
      </c>
      <c r="G3150" t="inlineStr">
        <is>
          <t>Participer à l'EuroNaval 2014 au Bourget à Paris (France) en appui au Plan d'action pour la construction navale en Atlantique</t>
        </is>
      </c>
      <c r="H3150" s="1" t="n">
        <v>41937</v>
      </c>
      <c r="I3150" s="1" t="n">
        <v>41945</v>
      </c>
      <c r="J3150" t="inlineStr">
        <is>
          <t>Paris, France</t>
        </is>
      </c>
      <c r="K3150" t="inlineStr">
        <is>
          <t>Paris (France)</t>
        </is>
      </c>
      <c r="P3150" t="n">
        <v>980.21</v>
      </c>
      <c r="Q3150" t="n">
        <v>135.96</v>
      </c>
      <c r="R3150" t="n">
        <v>1512.51</v>
      </c>
      <c r="S3150" t="n">
        <v>807.85</v>
      </c>
      <c r="T3150" t="n">
        <v>0</v>
      </c>
      <c r="U3150" t="n">
        <v>3436.53</v>
      </c>
      <c r="X3150" t="inlineStr">
        <is>
          <t>acoa-apeca</t>
        </is>
      </c>
      <c r="Y3150" t="inlineStr">
        <is>
          <t>Atlantic Canada Opportunities Agency | Agence de promotion économique du Canada atlantique</t>
        </is>
      </c>
      <c r="Z3150" t="n">
        <v>9</v>
      </c>
      <c r="AA3150" t="n">
        <v>3436.53</v>
      </c>
      <c r="AB3150">
        <f>ROUND(U3150-AA3150,2)</f>
        <v/>
      </c>
      <c r="AC3150" t="b">
        <v>0</v>
      </c>
      <c r="AD3150">
        <f>IF(U3150="","MISSING_TOTAL",IF(ABS(AB3150)&lt;=0.01,"OK","CHECK"))</f>
        <v/>
      </c>
      <c r="AE3150">
        <f>IF(U3150="","MISSING",IF(AND(AA3150&gt;0,U3150/AA3150&gt;50),"POSSIBLE_SCALE_ERROR","OK"))</f>
        <v/>
      </c>
    </row>
    <row r="3151">
      <c r="A3151" t="inlineStr">
        <is>
          <t>T-2015-Q3-00048</t>
        </is>
      </c>
      <c r="B3151" t="inlineStr">
        <is>
          <t>SLE</t>
        </is>
      </c>
      <c r="C3151" t="inlineStr">
        <is>
          <t>Vice President, Nova Scotia</t>
        </is>
      </c>
      <c r="D3151" t="inlineStr">
        <is>
          <t>Vice-président, Nouvelle-Écosse</t>
        </is>
      </c>
      <c r="E3151" t="inlineStr">
        <is>
          <t>Peter Hogan</t>
        </is>
      </c>
      <c r="F3151" t="inlineStr">
        <is>
          <t>Meeting with Government officials</t>
        </is>
      </c>
      <c r="G3151" t="inlineStr">
        <is>
          <t>Réunion avec des fonctionnaires du gouvernement</t>
        </is>
      </c>
      <c r="H3151" s="1" t="n">
        <v>41934</v>
      </c>
      <c r="I3151" s="1" t="n">
        <v>41936</v>
      </c>
      <c r="J3151" t="inlineStr">
        <is>
          <t>Moncton</t>
        </is>
      </c>
      <c r="P3151" t="n">
        <v>0</v>
      </c>
      <c r="Q3151" t="n">
        <v>240.5</v>
      </c>
      <c r="R3151" t="n">
        <v>100</v>
      </c>
      <c r="S3151" t="n">
        <v>184.15</v>
      </c>
      <c r="T3151" t="n">
        <v>21</v>
      </c>
      <c r="U3151" t="n">
        <v>545.65</v>
      </c>
      <c r="X3151" t="inlineStr">
        <is>
          <t>acoa-apeca</t>
        </is>
      </c>
      <c r="Y3151" t="inlineStr">
        <is>
          <t>Atlantic Canada Opportunities Agency | Agence de promotion économique du Canada atlantique</t>
        </is>
      </c>
      <c r="Z3151" t="n">
        <v>3</v>
      </c>
      <c r="AA3151" t="n">
        <v>545.65</v>
      </c>
      <c r="AB3151">
        <f>ROUND(U3151-AA3151,2)</f>
        <v/>
      </c>
      <c r="AC3151" t="b">
        <v>0</v>
      </c>
      <c r="AD3151">
        <f>IF(U3151="","MISSING_TOTAL",IF(ABS(AB3151)&lt;=0.01,"OK","CHECK"))</f>
        <v/>
      </c>
      <c r="AE3151">
        <f>IF(U3151="","MISSING",IF(AND(AA3151&gt;0,U3151/AA3151&gt;50),"POSSIBLE_SCALE_ERROR","OK"))</f>
        <v/>
      </c>
    </row>
    <row r="3152">
      <c r="A3152" t="inlineStr">
        <is>
          <t>T-2015-Q3-00047</t>
        </is>
      </c>
      <c r="B3152" t="inlineStr">
        <is>
          <t>SLE</t>
        </is>
      </c>
      <c r="C3152" t="inlineStr">
        <is>
          <t>Vice-President, New Brunswick</t>
        </is>
      </c>
      <c r="D3152" t="inlineStr">
        <is>
          <t>Vice-président, Nouveau-Brunswick</t>
        </is>
      </c>
      <c r="E3152" t="inlineStr">
        <is>
          <t>Kent Estabrooks</t>
        </is>
      </c>
      <c r="F3152" t="inlineStr">
        <is>
          <t>Meetings with Agency officials and external stakeholhers</t>
        </is>
      </c>
      <c r="G3152" t="inlineStr">
        <is>
          <t>Réunions avec des fonctionnaires de l'Agence et des parties intéressées externes</t>
        </is>
      </c>
      <c r="H3152" s="1" t="n">
        <v>41934</v>
      </c>
      <c r="I3152" s="1" t="n">
        <v>41936</v>
      </c>
      <c r="J3152" t="inlineStr">
        <is>
          <t>Moncton, New Brunswick</t>
        </is>
      </c>
      <c r="K3152" t="inlineStr">
        <is>
          <t>Moncton (Nouveau-Brunswick)</t>
        </is>
      </c>
      <c r="P3152" t="n">
        <v>0</v>
      </c>
      <c r="Q3152" t="n">
        <v>0</v>
      </c>
      <c r="R3152" t="n">
        <v>226</v>
      </c>
      <c r="S3152" t="n">
        <v>94.09999999999999</v>
      </c>
      <c r="T3152" t="n">
        <v>29.26</v>
      </c>
      <c r="U3152" t="n">
        <v>349.36</v>
      </c>
      <c r="X3152" t="inlineStr">
        <is>
          <t>acoa-apeca</t>
        </is>
      </c>
      <c r="Y3152" t="inlineStr">
        <is>
          <t>Atlantic Canada Opportunities Agency | Agence de promotion économique du Canada atlantique</t>
        </is>
      </c>
      <c r="Z3152" t="n">
        <v>3</v>
      </c>
      <c r="AA3152" t="n">
        <v>349.36</v>
      </c>
      <c r="AB3152">
        <f>ROUND(U3152-AA3152,2)</f>
        <v/>
      </c>
      <c r="AC3152" t="b">
        <v>0</v>
      </c>
      <c r="AD3152">
        <f>IF(U3152="","MISSING_TOTAL",IF(ABS(AB3152)&lt;=0.01,"OK","CHECK"))</f>
        <v/>
      </c>
      <c r="AE3152">
        <f>IF(U3152="","MISSING",IF(AND(AA3152&gt;0,U3152/AA3152&gt;50),"POSSIBLE_SCALE_ERROR","OK"))</f>
        <v/>
      </c>
    </row>
    <row r="3153">
      <c r="A3153" t="inlineStr">
        <is>
          <t>T-2015-Q3-00046</t>
        </is>
      </c>
      <c r="B3153" t="inlineStr">
        <is>
          <t>SLE</t>
        </is>
      </c>
      <c r="C3153" t="inlineStr">
        <is>
          <t>Vice-President, Prince Edward Island</t>
        </is>
      </c>
      <c r="D3153" t="inlineStr">
        <is>
          <t>Vice-président, Île-du-Prince-Édouard</t>
        </is>
      </c>
      <c r="E3153" t="inlineStr">
        <is>
          <t>Patrick Dorsey</t>
        </is>
      </c>
      <c r="F3153" t="inlineStr">
        <is>
          <t>Meeting with Executive Committee</t>
        </is>
      </c>
      <c r="G3153" t="inlineStr">
        <is>
          <t>Réunion avec le Comité de direction</t>
        </is>
      </c>
      <c r="H3153" s="1" t="n">
        <v>41934</v>
      </c>
      <c r="I3153" s="1" t="n">
        <v>41935</v>
      </c>
      <c r="J3153" t="inlineStr">
        <is>
          <t>Moncton, New Brunswick</t>
        </is>
      </c>
      <c r="K3153" t="inlineStr">
        <is>
          <t>Moncton (Nouveau-Brunswick)</t>
        </is>
      </c>
      <c r="P3153" t="n">
        <v>0</v>
      </c>
      <c r="Q3153" t="n">
        <v>45</v>
      </c>
      <c r="R3153" t="n">
        <v>162.72</v>
      </c>
      <c r="S3153" t="n">
        <v>135.35</v>
      </c>
      <c r="T3153" t="n">
        <v>0</v>
      </c>
      <c r="U3153" t="n">
        <v>343.07</v>
      </c>
      <c r="X3153" t="inlineStr">
        <is>
          <t>acoa-apeca</t>
        </is>
      </c>
      <c r="Y3153" t="inlineStr">
        <is>
          <t>Atlantic Canada Opportunities Agency | Agence de promotion économique du Canada atlantique</t>
        </is>
      </c>
      <c r="Z3153" t="n">
        <v>2</v>
      </c>
      <c r="AA3153" t="n">
        <v>343.07</v>
      </c>
      <c r="AB3153">
        <f>ROUND(U3153-AA3153,2)</f>
        <v/>
      </c>
      <c r="AC3153" t="b">
        <v>0</v>
      </c>
      <c r="AD3153">
        <f>IF(U3153="","MISSING_TOTAL",IF(ABS(AB3153)&lt;=0.01,"OK","CHECK"))</f>
        <v/>
      </c>
      <c r="AE3153">
        <f>IF(U3153="","MISSING",IF(AND(AA3153&gt;0,U3153/AA3153&gt;50),"POSSIBLE_SCALE_ERROR","OK"))</f>
        <v/>
      </c>
    </row>
    <row r="3154">
      <c r="A3154" t="inlineStr">
        <is>
          <t>T-2015-Q3-00045</t>
        </is>
      </c>
      <c r="B3154" t="inlineStr">
        <is>
          <t>SLE</t>
        </is>
      </c>
      <c r="C3154" t="inlineStr">
        <is>
          <t>President</t>
        </is>
      </c>
      <c r="D3154" t="inlineStr">
        <is>
          <t>Président</t>
        </is>
      </c>
      <c r="E3154" t="inlineStr">
        <is>
          <t>Paul J. LeBlanc</t>
        </is>
      </c>
      <c r="F3154" t="inlineStr">
        <is>
          <t>For various meetings and discussions with: Agency officials; with Government of Canada officials</t>
        </is>
      </c>
      <c r="G3154" t="inlineStr">
        <is>
          <t>Diverses réunions et discussions avec des fonctionnaires de l'Agence et du gouvernement du Canada</t>
        </is>
      </c>
      <c r="H3154" s="1" t="n">
        <v>41933</v>
      </c>
      <c r="I3154" s="1" t="n">
        <v>41934</v>
      </c>
      <c r="J3154" t="inlineStr">
        <is>
          <t>Ottawa, Ontario</t>
        </is>
      </c>
      <c r="K3154" t="inlineStr">
        <is>
          <t>Ottawa (Ontario)</t>
        </is>
      </c>
      <c r="P3154" t="n">
        <v>1213.5</v>
      </c>
      <c r="Q3154" t="n">
        <v>0</v>
      </c>
      <c r="R3154" t="n">
        <v>185.06</v>
      </c>
      <c r="S3154" t="n">
        <v>125.25</v>
      </c>
      <c r="T3154" t="n">
        <v>88.5</v>
      </c>
      <c r="U3154" t="n">
        <v>1612.31</v>
      </c>
      <c r="X3154" t="inlineStr">
        <is>
          <t>acoa-apeca</t>
        </is>
      </c>
      <c r="Y3154" t="inlineStr">
        <is>
          <t>Atlantic Canada Opportunities Agency | Agence de promotion économique du Canada atlantique</t>
        </is>
      </c>
      <c r="Z3154" t="n">
        <v>2</v>
      </c>
      <c r="AA3154" t="n">
        <v>1612.31</v>
      </c>
      <c r="AB3154">
        <f>ROUND(U3154-AA3154,2)</f>
        <v/>
      </c>
      <c r="AC3154" t="b">
        <v>0</v>
      </c>
      <c r="AD3154">
        <f>IF(U3154="","MISSING_TOTAL",IF(ABS(AB3154)&lt;=0.01,"OK","CHECK"))</f>
        <v/>
      </c>
      <c r="AE3154">
        <f>IF(U3154="","MISSING",IF(AND(AA3154&gt;0,U3154/AA3154&gt;50),"POSSIBLE_SCALE_ERROR","OK"))</f>
        <v/>
      </c>
    </row>
    <row r="3155">
      <c r="A3155" t="inlineStr">
        <is>
          <t>T-2015-Q3-00044</t>
        </is>
      </c>
      <c r="B3155" t="inlineStr">
        <is>
          <t>SLE</t>
        </is>
      </c>
      <c r="C3155" t="inlineStr">
        <is>
          <t>Vice-President, Newfoundland and Labrador</t>
        </is>
      </c>
      <c r="D3155" t="inlineStr">
        <is>
          <t>Vice-président, Terre-Neuve-et-Labrador</t>
        </is>
      </c>
      <c r="E3155" t="inlineStr">
        <is>
          <t>Paul Mills</t>
        </is>
      </c>
      <c r="F3155" t="inlineStr">
        <is>
          <t>Meetings with Minister Moore in Ottawa, Ontario, and Executive Committee meeting in Moncton, New Brunswick</t>
        </is>
      </c>
      <c r="G3155" t="inlineStr">
        <is>
          <t>Réunions avec le ministre Moore à Ottawa (Ontario)et réunion du Comité de direction à Moncton (Nouveau-Brunswick)</t>
        </is>
      </c>
      <c r="H3155" s="1" t="n">
        <v>41933</v>
      </c>
      <c r="I3155" s="1" t="n">
        <v>41936</v>
      </c>
      <c r="J3155" t="inlineStr">
        <is>
          <t>Ottawa, Ontario</t>
        </is>
      </c>
      <c r="K3155" t="inlineStr">
        <is>
          <t>Ottawa (Ontario)</t>
        </is>
      </c>
      <c r="P3155" t="n">
        <v>2139.09</v>
      </c>
      <c r="Q3155" t="n">
        <v>252.11</v>
      </c>
      <c r="R3155" t="n">
        <v>577.5</v>
      </c>
      <c r="S3155" t="n">
        <v>292.1</v>
      </c>
      <c r="T3155" t="n">
        <v>83.34</v>
      </c>
      <c r="U3155" t="n">
        <v>3344.14</v>
      </c>
      <c r="X3155" t="inlineStr">
        <is>
          <t>acoa-apeca</t>
        </is>
      </c>
      <c r="Y3155" t="inlineStr">
        <is>
          <t>Atlantic Canada Opportunities Agency | Agence de promotion économique du Canada atlantique</t>
        </is>
      </c>
      <c r="Z3155" t="n">
        <v>4</v>
      </c>
      <c r="AA3155" t="n">
        <v>3344.14</v>
      </c>
      <c r="AB3155">
        <f>ROUND(U3155-AA3155,2)</f>
        <v/>
      </c>
      <c r="AC3155" t="b">
        <v>0</v>
      </c>
      <c r="AD3155">
        <f>IF(U3155="","MISSING_TOTAL",IF(ABS(AB3155)&lt;=0.01,"OK","CHECK"))</f>
        <v/>
      </c>
      <c r="AE3155">
        <f>IF(U3155="","MISSING",IF(AND(AA3155&gt;0,U3155/AA3155&gt;50),"POSSIBLE_SCALE_ERROR","OK"))</f>
        <v/>
      </c>
    </row>
    <row r="3156">
      <c r="A3156" t="inlineStr">
        <is>
          <t>T-2015-Q3-00043</t>
        </is>
      </c>
      <c r="B3156" t="inlineStr">
        <is>
          <t>MPSES</t>
        </is>
      </c>
      <c r="C3156" t="inlineStr">
        <is>
          <t>Parliamentary Secretary</t>
        </is>
      </c>
      <c r="D3156" t="inlineStr">
        <is>
          <t>Secrétaire parlementaire</t>
        </is>
      </c>
      <c r="E3156" t="inlineStr">
        <is>
          <t>Gerald Keddy</t>
        </is>
      </c>
      <c r="F3156" t="inlineStr">
        <is>
          <t>Travel to Chile - cancelled trip - hotel cancellation fees</t>
        </is>
      </c>
      <c r="G3156" t="inlineStr">
        <is>
          <t>Voyage au Chili - voyage annulé - frais d'annulation pour l'hôtel</t>
        </is>
      </c>
      <c r="H3156" s="1" t="n">
        <v>41932</v>
      </c>
      <c r="I3156" s="1" t="n">
        <v>41937</v>
      </c>
      <c r="J3156" t="inlineStr">
        <is>
          <t>Puerto Varas, Chile</t>
        </is>
      </c>
      <c r="K3156" t="inlineStr">
        <is>
          <t>Puerto Varas (Chili)</t>
        </is>
      </c>
      <c r="P3156" t="n">
        <v>0</v>
      </c>
      <c r="Q3156" t="n">
        <v>0</v>
      </c>
      <c r="R3156" t="n">
        <v>252.36</v>
      </c>
      <c r="S3156" t="n">
        <v>0</v>
      </c>
      <c r="T3156" t="n">
        <v>0</v>
      </c>
      <c r="U3156" t="n">
        <v>252.36</v>
      </c>
      <c r="X3156" t="inlineStr">
        <is>
          <t>acoa-apeca</t>
        </is>
      </c>
      <c r="Y3156" t="inlineStr">
        <is>
          <t>Atlantic Canada Opportunities Agency | Agence de promotion économique du Canada atlantique</t>
        </is>
      </c>
      <c r="Z3156" t="n">
        <v>6</v>
      </c>
      <c r="AA3156" t="n">
        <v>252.36</v>
      </c>
      <c r="AB3156">
        <f>ROUND(U3156-AA3156,2)</f>
        <v/>
      </c>
      <c r="AC3156" t="b">
        <v>0</v>
      </c>
      <c r="AD3156">
        <f>IF(U3156="","MISSING_TOTAL",IF(ABS(AB3156)&lt;=0.01,"OK","CHECK"))</f>
        <v/>
      </c>
      <c r="AE3156">
        <f>IF(U3156="","MISSING",IF(AND(AA3156&gt;0,U3156/AA3156&gt;50),"POSSIBLE_SCALE_ERROR","OK"))</f>
        <v/>
      </c>
    </row>
    <row r="3157">
      <c r="A3157" t="inlineStr">
        <is>
          <t>T-2015-Q3-00042</t>
        </is>
      </c>
      <c r="B3157" t="inlineStr">
        <is>
          <t>MPSES</t>
        </is>
      </c>
      <c r="C3157" t="inlineStr">
        <is>
          <t>Special Assistant (Policy &amp; Caucus Liaison)</t>
        </is>
      </c>
      <c r="D3157" t="inlineStr">
        <is>
          <t>Adjointe spéciale (politiques &amp; liaison avec le caucus)</t>
        </is>
      </c>
      <c r="E3157" t="inlineStr">
        <is>
          <t>Kelsie Corey</t>
        </is>
      </c>
      <c r="F3157" t="inlineStr">
        <is>
          <t>Travel to Chile cancelled (2014/10/20 to 2014/10/25) - Cancelling fees for hotel</t>
        </is>
      </c>
      <c r="G3157" t="inlineStr">
        <is>
          <t>Voyage au Chili annulé (du 2014-10-20 au 2014-10-25) - frais d'annulation pour l'hôtel</t>
        </is>
      </c>
      <c r="H3157" s="1" t="n">
        <v>41932</v>
      </c>
      <c r="I3157" s="1" t="n">
        <v>41937</v>
      </c>
      <c r="J3157" t="inlineStr">
        <is>
          <t>Puerto Varas, Chile</t>
        </is>
      </c>
      <c r="K3157" t="inlineStr">
        <is>
          <t>Puerto Varas (Chili)</t>
        </is>
      </c>
      <c r="P3157" t="n">
        <v>0</v>
      </c>
      <c r="Q3157" t="n">
        <v>0</v>
      </c>
      <c r="R3157" t="n">
        <v>205.78</v>
      </c>
      <c r="S3157" t="n">
        <v>0</v>
      </c>
      <c r="T3157" t="n">
        <v>0</v>
      </c>
      <c r="U3157" t="n">
        <v>205.78</v>
      </c>
      <c r="X3157" t="inlineStr">
        <is>
          <t>acoa-apeca</t>
        </is>
      </c>
      <c r="Y3157" t="inlineStr">
        <is>
          <t>Atlantic Canada Opportunities Agency | Agence de promotion économique du Canada atlantique</t>
        </is>
      </c>
      <c r="Z3157" t="n">
        <v>6</v>
      </c>
      <c r="AA3157" t="n">
        <v>205.78</v>
      </c>
      <c r="AB3157">
        <f>ROUND(U3157-AA3157,2)</f>
        <v/>
      </c>
      <c r="AC3157" t="b">
        <v>0</v>
      </c>
      <c r="AD3157">
        <f>IF(U3157="","MISSING_TOTAL",IF(ABS(AB3157)&lt;=0.01,"OK","CHECK"))</f>
        <v/>
      </c>
      <c r="AE3157">
        <f>IF(U3157="","MISSING",IF(AND(AA3157&gt;0,U3157/AA3157&gt;50),"POSSIBLE_SCALE_ERROR","OK"))</f>
        <v/>
      </c>
    </row>
    <row r="3158">
      <c r="A3158" t="inlineStr">
        <is>
          <t>T-2015-Q3-00040</t>
        </is>
      </c>
      <c r="B3158" t="inlineStr">
        <is>
          <t>SLE</t>
        </is>
      </c>
      <c r="C3158" t="inlineStr">
        <is>
          <t>President</t>
        </is>
      </c>
      <c r="D3158" t="inlineStr">
        <is>
          <t>Président</t>
        </is>
      </c>
      <c r="E3158" t="inlineStr">
        <is>
          <t>Paul J. LeBlanc</t>
        </is>
      </c>
      <c r="F3158" t="inlineStr">
        <is>
          <t>For meetings and discussions with Agency officials</t>
        </is>
      </c>
      <c r="G3158" t="inlineStr">
        <is>
          <t>Réunions et discussions avec des fonctionnaires de l'Agence</t>
        </is>
      </c>
      <c r="H3158" s="1" t="n">
        <v>41928</v>
      </c>
      <c r="I3158" s="1" t="n">
        <v>41929</v>
      </c>
      <c r="J3158" t="inlineStr">
        <is>
          <t>St. John's, Newfoundland and Labrador</t>
        </is>
      </c>
      <c r="K3158" t="inlineStr">
        <is>
          <t>St. John's (Terre-Neuve-et-Labrador)</t>
        </is>
      </c>
      <c r="P3158" t="n">
        <v>1116.36</v>
      </c>
      <c r="Q3158" t="n">
        <v>0</v>
      </c>
      <c r="R3158" t="n">
        <v>200.07</v>
      </c>
      <c r="S3158" t="n">
        <v>108.9</v>
      </c>
      <c r="T3158" t="n">
        <v>31</v>
      </c>
      <c r="U3158" t="n">
        <v>1456.33</v>
      </c>
      <c r="X3158" t="inlineStr">
        <is>
          <t>acoa-apeca</t>
        </is>
      </c>
      <c r="Y3158" t="inlineStr">
        <is>
          <t>Atlantic Canada Opportunities Agency | Agence de promotion économique du Canada atlantique</t>
        </is>
      </c>
      <c r="Z3158" t="n">
        <v>2</v>
      </c>
      <c r="AA3158" t="n">
        <v>1456.33</v>
      </c>
      <c r="AB3158">
        <f>ROUND(U3158-AA3158,2)</f>
        <v/>
      </c>
      <c r="AC3158" t="b">
        <v>0</v>
      </c>
      <c r="AD3158">
        <f>IF(U3158="","MISSING_TOTAL",IF(ABS(AB3158)&lt;=0.01,"OK","CHECK"))</f>
        <v/>
      </c>
      <c r="AE3158">
        <f>IF(U3158="","MISSING",IF(AND(AA3158&gt;0,U3158/AA3158&gt;50),"POSSIBLE_SCALE_ERROR","OK"))</f>
        <v/>
      </c>
    </row>
    <row r="3159">
      <c r="A3159" t="inlineStr">
        <is>
          <t>T-2015-Q3-00039</t>
        </is>
      </c>
      <c r="B3159" t="inlineStr">
        <is>
          <t>SLE</t>
        </is>
      </c>
      <c r="C3159" t="inlineStr">
        <is>
          <t>Vice-President, Policy and Programs</t>
        </is>
      </c>
      <c r="D3159" t="inlineStr">
        <is>
          <t>Vice-président, Politiques et Programmes</t>
        </is>
      </c>
      <c r="E3159" t="inlineStr">
        <is>
          <t>Daryell Nowlan</t>
        </is>
      </c>
      <c r="F3159" t="inlineStr">
        <is>
          <t>Meeting in St. John's, Newfoundland</t>
        </is>
      </c>
      <c r="G3159" t="inlineStr">
        <is>
          <t>Réunion à St. John's (Terre-Neuve)</t>
        </is>
      </c>
      <c r="H3159" s="1" t="n">
        <v>41928</v>
      </c>
      <c r="I3159" s="1" t="n">
        <v>41929</v>
      </c>
      <c r="J3159" t="inlineStr">
        <is>
          <t>St. John's, Newfoundland and Labrador</t>
        </is>
      </c>
      <c r="K3159" t="inlineStr">
        <is>
          <t>St. John's (Terre-Neuve-et-Labrador)</t>
        </is>
      </c>
      <c r="P3159" t="n">
        <v>1586.88</v>
      </c>
      <c r="Q3159" t="n">
        <v>31</v>
      </c>
      <c r="R3159" t="n">
        <v>200.07</v>
      </c>
      <c r="S3159" t="n">
        <v>93.34999999999999</v>
      </c>
      <c r="T3159" t="n">
        <v>0</v>
      </c>
      <c r="U3159" t="n">
        <v>1911.3</v>
      </c>
      <c r="X3159" t="inlineStr">
        <is>
          <t>acoa-apeca</t>
        </is>
      </c>
      <c r="Y3159" t="inlineStr">
        <is>
          <t>Atlantic Canada Opportunities Agency | Agence de promotion économique du Canada atlantique</t>
        </is>
      </c>
      <c r="Z3159" t="n">
        <v>2</v>
      </c>
      <c r="AA3159" t="n">
        <v>1911.3</v>
      </c>
      <c r="AB3159">
        <f>ROUND(U3159-AA3159,2)</f>
        <v/>
      </c>
      <c r="AC3159" t="b">
        <v>0</v>
      </c>
      <c r="AD3159">
        <f>IF(U3159="","MISSING_TOTAL",IF(ABS(AB3159)&lt;=0.01,"OK","CHECK"))</f>
        <v/>
      </c>
      <c r="AE3159">
        <f>IF(U3159="","MISSING",IF(AND(AA3159&gt;0,U3159/AA3159&gt;50),"POSSIBLE_SCALE_ERROR","OK"))</f>
        <v/>
      </c>
    </row>
    <row r="3160">
      <c r="A3160" t="inlineStr">
        <is>
          <t>T-2015-Q3-00038</t>
        </is>
      </c>
      <c r="B3160" t="inlineStr">
        <is>
          <t>MPSES</t>
        </is>
      </c>
      <c r="C3160" t="inlineStr">
        <is>
          <t>Minister of State</t>
        </is>
      </c>
      <c r="D3160" t="inlineStr">
        <is>
          <t>Ministre d'État</t>
        </is>
      </c>
      <c r="E3160" t="inlineStr">
        <is>
          <t>Rob Moore</t>
        </is>
      </c>
      <c r="F3160" t="inlineStr">
        <is>
          <t>To attend a Government of Canada announcement</t>
        </is>
      </c>
      <c r="G3160" t="inlineStr">
        <is>
          <t>Assister à une annonce du gouvernement du Canada</t>
        </is>
      </c>
      <c r="H3160" s="1" t="n">
        <v>41922</v>
      </c>
      <c r="I3160" s="1" t="n">
        <v>41922</v>
      </c>
      <c r="J3160" t="inlineStr">
        <is>
          <t>Charlottetown, Prince Edward Island</t>
        </is>
      </c>
      <c r="K3160" t="inlineStr">
        <is>
          <t>Charlottetown (Île-du-Prince-Édouard)</t>
        </is>
      </c>
      <c r="P3160" t="n">
        <v>0</v>
      </c>
      <c r="Q3160" t="n">
        <v>346.92</v>
      </c>
      <c r="R3160" t="n">
        <v>0</v>
      </c>
      <c r="S3160" t="n">
        <v>15.25</v>
      </c>
      <c r="T3160" t="n">
        <v>0</v>
      </c>
      <c r="U3160" t="n">
        <v>362.17</v>
      </c>
      <c r="X3160" t="inlineStr">
        <is>
          <t>acoa-apeca</t>
        </is>
      </c>
      <c r="Y3160" t="inlineStr">
        <is>
          <t>Atlantic Canada Opportunities Agency | Agence de promotion économique du Canada atlantique</t>
        </is>
      </c>
      <c r="Z3160" t="n">
        <v>1</v>
      </c>
      <c r="AA3160" t="n">
        <v>362.17</v>
      </c>
      <c r="AB3160">
        <f>ROUND(U3160-AA3160,2)</f>
        <v/>
      </c>
      <c r="AC3160" t="b">
        <v>0</v>
      </c>
      <c r="AD3160">
        <f>IF(U3160="","MISSING_TOTAL",IF(ABS(AB3160)&lt;=0.01,"OK","CHECK"))</f>
        <v/>
      </c>
      <c r="AE3160">
        <f>IF(U3160="","MISSING",IF(AND(AA3160&gt;0,U3160/AA3160&gt;50),"POSSIBLE_SCALE_ERROR","OK"))</f>
        <v/>
      </c>
    </row>
    <row r="3161">
      <c r="A3161" t="inlineStr">
        <is>
          <t>T-2015-Q3-00037</t>
        </is>
      </c>
      <c r="B3161" t="inlineStr">
        <is>
          <t>MPSES</t>
        </is>
      </c>
      <c r="C3161" t="inlineStr">
        <is>
          <t>Executive Assistant</t>
        </is>
      </c>
      <c r="D3161" t="inlineStr">
        <is>
          <t>Adjoint exécutif</t>
        </is>
      </c>
      <c r="E3161" t="inlineStr">
        <is>
          <t>Josh Hardy</t>
        </is>
      </c>
      <c r="F3161" t="inlineStr">
        <is>
          <t>Travel on government business</t>
        </is>
      </c>
      <c r="G3161" t="inlineStr">
        <is>
          <t>Voyage en service commandé</t>
        </is>
      </c>
      <c r="H3161" s="1" t="n">
        <v>41921</v>
      </c>
      <c r="I3161" s="1" t="n">
        <v>41931</v>
      </c>
      <c r="J3161" t="inlineStr">
        <is>
          <t>Moncton, New Brunswick</t>
        </is>
      </c>
      <c r="K3161" t="inlineStr">
        <is>
          <t>Moncton (Nouveau-Brunswick)</t>
        </is>
      </c>
      <c r="P3161" t="n">
        <v>1401.24</v>
      </c>
      <c r="Q3161" t="n">
        <v>39.69</v>
      </c>
      <c r="R3161" t="n">
        <v>0</v>
      </c>
      <c r="S3161" t="n">
        <v>0</v>
      </c>
      <c r="T3161" t="n">
        <v>0</v>
      </c>
      <c r="U3161" t="n">
        <v>1440.93</v>
      </c>
      <c r="X3161" t="inlineStr">
        <is>
          <t>acoa-apeca</t>
        </is>
      </c>
      <c r="Y3161" t="inlineStr">
        <is>
          <t>Atlantic Canada Opportunities Agency | Agence de promotion économique du Canada atlantique</t>
        </is>
      </c>
      <c r="Z3161" t="n">
        <v>11</v>
      </c>
      <c r="AA3161" t="n">
        <v>1440.93</v>
      </c>
      <c r="AB3161">
        <f>ROUND(U3161-AA3161,2)</f>
        <v/>
      </c>
      <c r="AC3161" t="b">
        <v>0</v>
      </c>
      <c r="AD3161">
        <f>IF(U3161="","MISSING_TOTAL",IF(ABS(AB3161)&lt;=0.01,"OK","CHECK"))</f>
        <v/>
      </c>
      <c r="AE3161">
        <f>IF(U3161="","MISSING",IF(AND(AA3161&gt;0,U3161/AA3161&gt;50),"POSSIBLE_SCALE_ERROR","OK"))</f>
        <v/>
      </c>
    </row>
    <row r="3162">
      <c r="A3162" t="inlineStr">
        <is>
          <t>T-2015-Q3-00036</t>
        </is>
      </c>
      <c r="B3162" t="inlineStr">
        <is>
          <t>SLE</t>
        </is>
      </c>
      <c r="C3162" t="inlineStr">
        <is>
          <t>Vice-President, New Brunswick</t>
        </is>
      </c>
      <c r="D3162" t="inlineStr">
        <is>
          <t>Vice-président, Nouveau-Brunswick</t>
        </is>
      </c>
      <c r="E3162" t="inlineStr">
        <is>
          <t>Kent Estabrooks</t>
        </is>
      </c>
      <c r="F3162" t="inlineStr">
        <is>
          <t>Various meetings with federal officials and Agency officials</t>
        </is>
      </c>
      <c r="G3162" t="inlineStr">
        <is>
          <t>Diverses réunions avec des fonctionnaires fédéraux et des fonctionnaires de l'Agence</t>
        </is>
      </c>
      <c r="H3162" s="1" t="n">
        <v>41920</v>
      </c>
      <c r="I3162" s="1" t="n">
        <v>41922</v>
      </c>
      <c r="J3162" t="inlineStr">
        <is>
          <t>Ottawa, Ontario</t>
        </is>
      </c>
      <c r="K3162" t="inlineStr">
        <is>
          <t>Ottawa (Ontario)</t>
        </is>
      </c>
      <c r="P3162" t="n">
        <v>892.7</v>
      </c>
      <c r="Q3162" t="n">
        <v>142.42</v>
      </c>
      <c r="R3162" t="n">
        <v>393.4</v>
      </c>
      <c r="S3162" t="n">
        <v>194.85</v>
      </c>
      <c r="T3162" t="n">
        <v>0</v>
      </c>
      <c r="U3162" t="n">
        <v>1623.37</v>
      </c>
      <c r="X3162" t="inlineStr">
        <is>
          <t>acoa-apeca</t>
        </is>
      </c>
      <c r="Y3162" t="inlineStr">
        <is>
          <t>Atlantic Canada Opportunities Agency | Agence de promotion économique du Canada atlantique</t>
        </is>
      </c>
      <c r="Z3162" t="n">
        <v>3</v>
      </c>
      <c r="AA3162" t="n">
        <v>1623.37</v>
      </c>
      <c r="AB3162">
        <f>ROUND(U3162-AA3162,2)</f>
        <v/>
      </c>
      <c r="AC3162" t="b">
        <v>0</v>
      </c>
      <c r="AD3162">
        <f>IF(U3162="","MISSING_TOTAL",IF(ABS(AB3162)&lt;=0.01,"OK","CHECK"))</f>
        <v/>
      </c>
      <c r="AE3162">
        <f>IF(U3162="","MISSING",IF(AND(AA3162&gt;0,U3162/AA3162&gt;50),"POSSIBLE_SCALE_ERROR","OK"))</f>
        <v/>
      </c>
    </row>
    <row r="3163">
      <c r="A3163" t="inlineStr">
        <is>
          <t>T-2015-Q3-00034</t>
        </is>
      </c>
      <c r="B3163" t="inlineStr">
        <is>
          <t>SLE</t>
        </is>
      </c>
      <c r="C3163" t="inlineStr">
        <is>
          <t>President</t>
        </is>
      </c>
      <c r="D3163" t="inlineStr">
        <is>
          <t>Président</t>
        </is>
      </c>
      <c r="E3163" t="inlineStr">
        <is>
          <t>Paul J. LeBlanc</t>
        </is>
      </c>
      <c r="F3163" t="inlineStr">
        <is>
          <t>For various meetings and discussions with Agency officials; with Government of Canada officials</t>
        </is>
      </c>
      <c r="G3163" t="inlineStr">
        <is>
          <t>Diverses réunions et discussions avec des fonctionnaires de l'Agence et du gouvernement du Canada</t>
        </is>
      </c>
      <c r="H3163" s="1" t="n">
        <v>41919</v>
      </c>
      <c r="I3163" s="1" t="n">
        <v>41921</v>
      </c>
      <c r="J3163" t="inlineStr">
        <is>
          <t>Ottawa, Ontario</t>
        </is>
      </c>
      <c r="K3163" t="inlineStr">
        <is>
          <t>Ottawa (Ontario)</t>
        </is>
      </c>
      <c r="P3163" t="n">
        <v>1213.5</v>
      </c>
      <c r="Q3163" t="n">
        <v>0</v>
      </c>
      <c r="R3163" t="n">
        <v>370.12</v>
      </c>
      <c r="S3163" t="n">
        <v>201.1</v>
      </c>
      <c r="T3163" t="n">
        <v>41</v>
      </c>
      <c r="U3163" t="n">
        <v>1825.72</v>
      </c>
      <c r="X3163" t="inlineStr">
        <is>
          <t>acoa-apeca</t>
        </is>
      </c>
      <c r="Y3163" t="inlineStr">
        <is>
          <t>Atlantic Canada Opportunities Agency | Agence de promotion économique du Canada atlantique</t>
        </is>
      </c>
      <c r="Z3163" t="n">
        <v>3</v>
      </c>
      <c r="AA3163" t="n">
        <v>1825.71999999999</v>
      </c>
      <c r="AB3163">
        <f>ROUND(U3163-AA3163,2)</f>
        <v/>
      </c>
      <c r="AC3163" t="b">
        <v>0</v>
      </c>
      <c r="AD3163">
        <f>IF(U3163="","MISSING_TOTAL",IF(ABS(AB3163)&lt;=0.01,"OK","CHECK"))</f>
        <v/>
      </c>
      <c r="AE3163">
        <f>IF(U3163="","MISSING",IF(AND(AA3163&gt;0,U3163/AA3163&gt;50),"POSSIBLE_SCALE_ERROR","OK"))</f>
        <v/>
      </c>
    </row>
    <row r="3164">
      <c r="A3164" t="inlineStr">
        <is>
          <t>T-2015-Q3-00033</t>
        </is>
      </c>
      <c r="B3164" t="inlineStr">
        <is>
          <t>SLE</t>
        </is>
      </c>
      <c r="C3164" t="inlineStr">
        <is>
          <t>Vice-President, Finance and Corporate Services</t>
        </is>
      </c>
      <c r="D3164" t="inlineStr">
        <is>
          <t>Vice-présidente, Finances et Services corporatifs</t>
        </is>
      </c>
      <c r="E3164" t="inlineStr">
        <is>
          <t>Denise Frenette</t>
        </is>
      </c>
      <c r="F3164" t="inlineStr">
        <is>
          <t>Meeting with Government of Canada officials</t>
        </is>
      </c>
      <c r="G3164" t="inlineStr">
        <is>
          <t>Réunion avec des fonctionnaires du gouvernement du Canada</t>
        </is>
      </c>
      <c r="H3164" s="1" t="n">
        <v>41918</v>
      </c>
      <c r="I3164" s="1" t="n">
        <v>41920</v>
      </c>
      <c r="J3164" t="inlineStr">
        <is>
          <t>Ottawa, Ontario</t>
        </is>
      </c>
      <c r="K3164" t="inlineStr">
        <is>
          <t>Ottawa (Ontario)</t>
        </is>
      </c>
      <c r="P3164" t="n">
        <v>753.39</v>
      </c>
      <c r="Q3164" t="n">
        <v>93.23</v>
      </c>
      <c r="R3164" t="n">
        <v>346.84</v>
      </c>
      <c r="S3164" t="n">
        <v>200.5</v>
      </c>
      <c r="T3164" t="n">
        <v>60.46</v>
      </c>
      <c r="U3164" t="n">
        <v>1454.42</v>
      </c>
      <c r="X3164" t="inlineStr">
        <is>
          <t>acoa-apeca</t>
        </is>
      </c>
      <c r="Y3164" t="inlineStr">
        <is>
          <t>Atlantic Canada Opportunities Agency | Agence de promotion économique du Canada atlantique</t>
        </is>
      </c>
      <c r="Z3164" t="n">
        <v>3</v>
      </c>
      <c r="AA3164" t="n">
        <v>1454.42</v>
      </c>
      <c r="AB3164">
        <f>ROUND(U3164-AA3164,2)</f>
        <v/>
      </c>
      <c r="AC3164" t="b">
        <v>0</v>
      </c>
      <c r="AD3164">
        <f>IF(U3164="","MISSING_TOTAL",IF(ABS(AB3164)&lt;=0.01,"OK","CHECK"))</f>
        <v/>
      </c>
      <c r="AE3164">
        <f>IF(U3164="","MISSING",IF(AND(AA3164&gt;0,U3164/AA3164&gt;50),"POSSIBLE_SCALE_ERROR","OK"))</f>
        <v/>
      </c>
    </row>
    <row r="3165">
      <c r="A3165" t="inlineStr">
        <is>
          <t>T-2015-Q3-00032</t>
        </is>
      </c>
      <c r="B3165" t="inlineStr">
        <is>
          <t>SLE</t>
        </is>
      </c>
      <c r="C3165" t="inlineStr">
        <is>
          <t>Vice-President, Policy and Programs</t>
        </is>
      </c>
      <c r="D3165" t="inlineStr">
        <is>
          <t>Vice-président, Politiques et Programmes</t>
        </is>
      </c>
      <c r="E3165" t="inlineStr">
        <is>
          <t>Daryell Nowlan</t>
        </is>
      </c>
      <c r="F3165" t="inlineStr">
        <is>
          <t>Meetings with Government of Canada officials</t>
        </is>
      </c>
      <c r="G3165" t="inlineStr">
        <is>
          <t>Réunions avec des fonctionnaires du gouvernement du Canada</t>
        </is>
      </c>
      <c r="H3165" s="1" t="n">
        <v>41918</v>
      </c>
      <c r="I3165" s="1" t="n">
        <v>41921</v>
      </c>
      <c r="J3165" t="inlineStr">
        <is>
          <t>Ottawa, Ontario</t>
        </is>
      </c>
      <c r="K3165" t="inlineStr">
        <is>
          <t>Ottawa (Ontario)</t>
        </is>
      </c>
      <c r="P3165" t="n">
        <v>937.9</v>
      </c>
      <c r="Q3165" t="n">
        <v>103.86</v>
      </c>
      <c r="R3165" t="n">
        <v>590.1</v>
      </c>
      <c r="S3165" t="n">
        <v>287.25</v>
      </c>
      <c r="T3165" t="n">
        <v>0</v>
      </c>
      <c r="U3165" t="n">
        <v>1919.11</v>
      </c>
      <c r="X3165" t="inlineStr">
        <is>
          <t>acoa-apeca</t>
        </is>
      </c>
      <c r="Y3165" t="inlineStr">
        <is>
          <t>Atlantic Canada Opportunities Agency | Agence de promotion économique du Canada atlantique</t>
        </is>
      </c>
      <c r="Z3165" t="n">
        <v>4</v>
      </c>
      <c r="AA3165" t="n">
        <v>1919.11</v>
      </c>
      <c r="AB3165">
        <f>ROUND(U3165-AA3165,2)</f>
        <v/>
      </c>
      <c r="AC3165" t="b">
        <v>0</v>
      </c>
      <c r="AD3165">
        <f>IF(U3165="","MISSING_TOTAL",IF(ABS(AB3165)&lt;=0.01,"OK","CHECK"))</f>
        <v/>
      </c>
      <c r="AE3165">
        <f>IF(U3165="","MISSING",IF(AND(AA3165&gt;0,U3165/AA3165&gt;50),"POSSIBLE_SCALE_ERROR","OK"))</f>
        <v/>
      </c>
    </row>
    <row r="3166">
      <c r="A3166" t="inlineStr">
        <is>
          <t>T-2015-Q3-00031</t>
        </is>
      </c>
      <c r="B3166" t="inlineStr">
        <is>
          <t>MPSES</t>
        </is>
      </c>
      <c r="C3166" t="inlineStr">
        <is>
          <t>Minister of State</t>
        </is>
      </c>
      <c r="D3166" t="inlineStr">
        <is>
          <t>Ministre d'État</t>
        </is>
      </c>
      <c r="E3166" t="inlineStr">
        <is>
          <t>Rob Moore</t>
        </is>
      </c>
      <c r="F3166" t="inlineStr">
        <is>
          <t>Speaking event at the Regional Conference of the Union of Municipalities of New Brunswick</t>
        </is>
      </c>
      <c r="G3166" t="inlineStr">
        <is>
          <t>Allocution à la conférence régionale de l'Union des Municipalités du Nouveau-Brunswick</t>
        </is>
      </c>
      <c r="H3166" s="1" t="n">
        <v>41917</v>
      </c>
      <c r="I3166" s="1" t="n">
        <v>41917</v>
      </c>
      <c r="J3166" t="inlineStr">
        <is>
          <t>St. Andrews, New Brunswick</t>
        </is>
      </c>
      <c r="K3166" t="inlineStr">
        <is>
          <t>St. Andrews (Nouveau-Brunswick)</t>
        </is>
      </c>
      <c r="P3166" t="n">
        <v>0</v>
      </c>
      <c r="Q3166" t="n">
        <v>130.56</v>
      </c>
      <c r="R3166" t="n">
        <v>0</v>
      </c>
      <c r="S3166" t="n">
        <v>0</v>
      </c>
      <c r="T3166" t="n">
        <v>0</v>
      </c>
      <c r="U3166" t="n">
        <v>130.56</v>
      </c>
      <c r="X3166" t="inlineStr">
        <is>
          <t>acoa-apeca</t>
        </is>
      </c>
      <c r="Y3166" t="inlineStr">
        <is>
          <t>Atlantic Canada Opportunities Agency | Agence de promotion économique du Canada atlantique</t>
        </is>
      </c>
      <c r="Z3166" t="n">
        <v>1</v>
      </c>
      <c r="AA3166" t="n">
        <v>130.56</v>
      </c>
      <c r="AB3166">
        <f>ROUND(U3166-AA3166,2)</f>
        <v/>
      </c>
      <c r="AC3166" t="b">
        <v>0</v>
      </c>
      <c r="AD3166">
        <f>IF(U3166="","MISSING_TOTAL",IF(ABS(AB3166)&lt;=0.01,"OK","CHECK"))</f>
        <v/>
      </c>
      <c r="AE3166">
        <f>IF(U3166="","MISSING",IF(AND(AA3166&gt;0,U3166/AA3166&gt;50),"POSSIBLE_SCALE_ERROR","OK"))</f>
        <v/>
      </c>
    </row>
    <row r="3167">
      <c r="A3167" t="inlineStr">
        <is>
          <t>T-2015-Q3-00030</t>
        </is>
      </c>
      <c r="B3167" t="inlineStr">
        <is>
          <t>SLE</t>
        </is>
      </c>
      <c r="C3167" t="inlineStr">
        <is>
          <t>Vice-President, Newfoundland and Labrador</t>
        </is>
      </c>
      <c r="D3167" t="inlineStr">
        <is>
          <t>Vice-président, Terre-Neuve-et-Labrador</t>
        </is>
      </c>
      <c r="E3167" t="inlineStr">
        <is>
          <t>Paul Mills</t>
        </is>
      </c>
      <c r="F3167" t="inlineStr">
        <is>
          <t>To participate as a Board member on EX-02 board in Moncton, New Brunswick and Ottawa, Ontario</t>
        </is>
      </c>
      <c r="G3167" t="inlineStr">
        <is>
          <t>Participer, en tant que membre du Conseil, au comité de sélection des EX-02 à Moncton (Nouveau-Brunswick) et à Ottawa (Ontario)</t>
        </is>
      </c>
      <c r="H3167" s="1" t="n">
        <v>41917</v>
      </c>
      <c r="I3167" s="1" t="n">
        <v>41920</v>
      </c>
      <c r="J3167" t="inlineStr">
        <is>
          <t>Moncton, New Brunswick and Ottawa, Ontario</t>
        </is>
      </c>
      <c r="K3167" t="inlineStr">
        <is>
          <t>Moncton (Nouveau-Brunswick) et Ottawa (Ontario)</t>
        </is>
      </c>
      <c r="P3167" t="n">
        <v>2139.09</v>
      </c>
      <c r="Q3167" t="n">
        <v>299.41</v>
      </c>
      <c r="R3167" t="n">
        <v>520.36</v>
      </c>
      <c r="S3167" t="n">
        <v>308.45</v>
      </c>
      <c r="T3167" t="n">
        <v>5.76</v>
      </c>
      <c r="U3167" t="n">
        <v>3273.07</v>
      </c>
      <c r="X3167" t="inlineStr">
        <is>
          <t>acoa-apeca</t>
        </is>
      </c>
      <c r="Y3167" t="inlineStr">
        <is>
          <t>Atlantic Canada Opportunities Agency | Agence de promotion économique du Canada atlantique</t>
        </is>
      </c>
      <c r="Z3167" t="n">
        <v>4</v>
      </c>
      <c r="AA3167" t="n">
        <v>3273.07</v>
      </c>
      <c r="AB3167">
        <f>ROUND(U3167-AA3167,2)</f>
        <v/>
      </c>
      <c r="AC3167" t="b">
        <v>0</v>
      </c>
      <c r="AD3167">
        <f>IF(U3167="","MISSING_TOTAL",IF(ABS(AB3167)&lt;=0.01,"OK","CHECK"))</f>
        <v/>
      </c>
      <c r="AE3167">
        <f>IF(U3167="","MISSING",IF(AND(AA3167&gt;0,U3167/AA3167&gt;50),"POSSIBLE_SCALE_ERROR","OK"))</f>
        <v/>
      </c>
    </row>
    <row r="3168">
      <c r="A3168" t="inlineStr">
        <is>
          <t>T-2015-Q3-00029</t>
        </is>
      </c>
      <c r="B3168" t="inlineStr">
        <is>
          <t>SLE</t>
        </is>
      </c>
      <c r="C3168" t="inlineStr">
        <is>
          <t>Vice-President, Prince Edward Island</t>
        </is>
      </c>
      <c r="D3168" t="inlineStr">
        <is>
          <t>Vice-président, Île-du-Prince-Édouard</t>
        </is>
      </c>
      <c r="E3168" t="inlineStr">
        <is>
          <t>Patrick Dorsey</t>
        </is>
      </c>
      <c r="F3168" t="inlineStr">
        <is>
          <t>Conference Board of Canada sessions</t>
        </is>
      </c>
      <c r="G3168" t="inlineStr">
        <is>
          <t>Séances du Conference Board du Canada</t>
        </is>
      </c>
      <c r="H3168" s="1" t="n">
        <v>41917</v>
      </c>
      <c r="I3168" s="1" t="n">
        <v>41919</v>
      </c>
      <c r="J3168" t="inlineStr">
        <is>
          <t>Ottawa, Ontario</t>
        </is>
      </c>
      <c r="K3168" t="inlineStr">
        <is>
          <t>Ottawa (Ontario)</t>
        </is>
      </c>
      <c r="P3168" t="n">
        <v>1376.51</v>
      </c>
      <c r="Q3168" t="n">
        <v>127.81</v>
      </c>
      <c r="R3168" t="n">
        <v>365.44</v>
      </c>
      <c r="S3168" t="n">
        <v>226.95</v>
      </c>
      <c r="T3168" t="n">
        <v>0</v>
      </c>
      <c r="U3168" t="n">
        <v>2096.71</v>
      </c>
      <c r="X3168" t="inlineStr">
        <is>
          <t>acoa-apeca</t>
        </is>
      </c>
      <c r="Y3168" t="inlineStr">
        <is>
          <t>Atlantic Canada Opportunities Agency | Agence de promotion économique du Canada atlantique</t>
        </is>
      </c>
      <c r="Z3168" t="n">
        <v>3</v>
      </c>
      <c r="AA3168" t="n">
        <v>2096.71</v>
      </c>
      <c r="AB3168">
        <f>ROUND(U3168-AA3168,2)</f>
        <v/>
      </c>
      <c r="AC3168" t="b">
        <v>0</v>
      </c>
      <c r="AD3168">
        <f>IF(U3168="","MISSING_TOTAL",IF(ABS(AB3168)&lt;=0.01,"OK","CHECK"))</f>
        <v/>
      </c>
      <c r="AE3168">
        <f>IF(U3168="","MISSING",IF(AND(AA3168&gt;0,U3168/AA3168&gt;50),"POSSIBLE_SCALE_ERROR","OK"))</f>
        <v/>
      </c>
    </row>
    <row r="3169">
      <c r="A3169" t="inlineStr">
        <is>
          <t>T-2015-Q3-00020</t>
        </is>
      </c>
      <c r="B3169" t="inlineStr">
        <is>
          <t>SLE</t>
        </is>
      </c>
      <c r="C3169" t="inlineStr">
        <is>
          <t>President</t>
        </is>
      </c>
      <c r="D3169" t="inlineStr">
        <is>
          <t>Président</t>
        </is>
      </c>
      <c r="E3169" t="inlineStr">
        <is>
          <t>Paul J. LeBlanc</t>
        </is>
      </c>
      <c r="F3169" t="inlineStr">
        <is>
          <t>For various meetings and discussions with Agency officials; and with Government of Canada officials</t>
        </is>
      </c>
      <c r="G3169" t="inlineStr">
        <is>
          <t>Diverses réunions et discussions avec des fonctionnaires de l'Agence et du gouvernement du Canada</t>
        </is>
      </c>
      <c r="H3169" s="1" t="n">
        <v>41898</v>
      </c>
      <c r="I3169" s="1" t="n">
        <v>41901</v>
      </c>
      <c r="J3169" t="inlineStr">
        <is>
          <t>Ottawa, Ontario</t>
        </is>
      </c>
      <c r="K3169" t="inlineStr">
        <is>
          <t>Ottawa (Ontario)</t>
        </is>
      </c>
      <c r="P3169" t="n">
        <v>1219.61</v>
      </c>
      <c r="Q3169" t="n">
        <v>0</v>
      </c>
      <c r="R3169" t="n">
        <v>555.1799999999999</v>
      </c>
      <c r="S3169" t="n">
        <v>274.2</v>
      </c>
      <c r="T3169" t="n">
        <v>170</v>
      </c>
      <c r="U3169" t="n">
        <v>2218.99</v>
      </c>
      <c r="X3169" t="inlineStr">
        <is>
          <t>acoa-apeca</t>
        </is>
      </c>
      <c r="Y3169" t="inlineStr">
        <is>
          <t>Atlantic Canada Opportunities Agency | Agence de promotion économique du Canada atlantique</t>
        </is>
      </c>
      <c r="Z3169" t="n">
        <v>4</v>
      </c>
      <c r="AA3169" t="n">
        <v>2218.99</v>
      </c>
      <c r="AB3169">
        <f>ROUND(U3169-AA3169,2)</f>
        <v/>
      </c>
      <c r="AC3169" t="b">
        <v>0</v>
      </c>
      <c r="AD3169">
        <f>IF(U3169="","MISSING_TOTAL",IF(ABS(AB3169)&lt;=0.01,"OK","CHECK"))</f>
        <v/>
      </c>
      <c r="AE3169">
        <f>IF(U3169="","MISSING",IF(AND(AA3169&gt;0,U3169/AA3169&gt;50),"POSSIBLE_SCALE_ERROR","OK"))</f>
        <v/>
      </c>
    </row>
    <row r="3170">
      <c r="A3170" t="inlineStr">
        <is>
          <t>T-2015-Q3-00028</t>
        </is>
      </c>
      <c r="B3170" t="inlineStr">
        <is>
          <t>SLE</t>
        </is>
      </c>
      <c r="C3170" t="inlineStr">
        <is>
          <t>Vice-President, Newfoundland and Labrador</t>
        </is>
      </c>
      <c r="D3170" t="inlineStr">
        <is>
          <t>Vice-président, Terre-Neuve-et-Labrador</t>
        </is>
      </c>
      <c r="E3170" t="inlineStr">
        <is>
          <t>Paul Mills</t>
        </is>
      </c>
      <c r="F3170" t="inlineStr">
        <is>
          <t>Mileage claim for meeting in and around Head Quarters region</t>
        </is>
      </c>
      <c r="G3170" t="inlineStr">
        <is>
          <t>Réclamation de frais de kilométrage pour une réunion dans la région du bureau principal</t>
        </is>
      </c>
      <c r="H3170" s="1" t="n">
        <v>41913</v>
      </c>
      <c r="I3170" s="1" t="n">
        <v>42004</v>
      </c>
      <c r="J3170" t="inlineStr">
        <is>
          <t>St. John's, Newfoundland and Labrador</t>
        </is>
      </c>
      <c r="K3170" t="inlineStr">
        <is>
          <t>St. John's (Terre-Neuve-et-Labrador)</t>
        </is>
      </c>
      <c r="P3170" t="n">
        <v>0</v>
      </c>
      <c r="Q3170" t="n">
        <v>84.29000000000001</v>
      </c>
      <c r="R3170" t="n">
        <v>0</v>
      </c>
      <c r="S3170" t="n">
        <v>15.75</v>
      </c>
      <c r="T3170" t="n">
        <v>0</v>
      </c>
      <c r="U3170" t="n">
        <v>100.04</v>
      </c>
      <c r="X3170" t="inlineStr">
        <is>
          <t>acoa-apeca</t>
        </is>
      </c>
      <c r="Y3170" t="inlineStr">
        <is>
          <t>Atlantic Canada Opportunities Agency | Agence de promotion économique du Canada atlantique</t>
        </is>
      </c>
      <c r="Z3170" t="n">
        <v>92</v>
      </c>
      <c r="AA3170" t="n">
        <v>100.04</v>
      </c>
      <c r="AB3170">
        <f>ROUND(U3170-AA3170,2)</f>
        <v/>
      </c>
      <c r="AC3170" t="b">
        <v>0</v>
      </c>
      <c r="AD3170">
        <f>IF(U3170="","MISSING_TOTAL",IF(ABS(AB3170)&lt;=0.01,"OK","CHECK"))</f>
        <v/>
      </c>
      <c r="AE3170">
        <f>IF(U3170="","MISSING",IF(AND(AA3170&gt;0,U3170/AA3170&gt;50),"POSSIBLE_SCALE_ERROR","OK"))</f>
        <v/>
      </c>
    </row>
    <row r="3171">
      <c r="A3171" t="inlineStr">
        <is>
          <t>T-2015-Q3-00027</t>
        </is>
      </c>
      <c r="B3171" t="inlineStr">
        <is>
          <t>SLE</t>
        </is>
      </c>
      <c r="C3171" t="inlineStr">
        <is>
          <t>Vice President, Nova Scotia</t>
        </is>
      </c>
      <c r="D3171" t="inlineStr">
        <is>
          <t>Vice-président, Nouvelle-Écosse</t>
        </is>
      </c>
      <c r="E3171" t="inlineStr">
        <is>
          <t>Peter Hogan</t>
        </is>
      </c>
      <c r="F3171" t="inlineStr">
        <is>
          <t>Client meetings</t>
        </is>
      </c>
      <c r="G3171" t="inlineStr">
        <is>
          <t>Réunion avec des clients</t>
        </is>
      </c>
      <c r="H3171" s="1" t="n">
        <v>41913</v>
      </c>
      <c r="I3171" s="1" t="n">
        <v>41915</v>
      </c>
      <c r="J3171" t="inlineStr">
        <is>
          <t>Baddeck</t>
        </is>
      </c>
      <c r="P3171" t="n">
        <v>0</v>
      </c>
      <c r="Q3171" t="n">
        <v>0</v>
      </c>
      <c r="R3171" t="n">
        <v>302.64</v>
      </c>
      <c r="S3171" t="n">
        <v>110.45</v>
      </c>
      <c r="T3171" t="n">
        <v>0</v>
      </c>
      <c r="U3171" t="n">
        <v>413.09</v>
      </c>
      <c r="X3171" t="inlineStr">
        <is>
          <t>acoa-apeca</t>
        </is>
      </c>
      <c r="Y3171" t="inlineStr">
        <is>
          <t>Atlantic Canada Opportunities Agency | Agence de promotion économique du Canada atlantique</t>
        </is>
      </c>
      <c r="Z3171" t="n">
        <v>3</v>
      </c>
      <c r="AA3171" t="n">
        <v>413.09</v>
      </c>
      <c r="AB3171">
        <f>ROUND(U3171-AA3171,2)</f>
        <v/>
      </c>
      <c r="AC3171" t="b">
        <v>0</v>
      </c>
      <c r="AD3171">
        <f>IF(U3171="","MISSING_TOTAL",IF(ABS(AB3171)&lt;=0.01,"OK","CHECK"))</f>
        <v/>
      </c>
      <c r="AE3171">
        <f>IF(U3171="","MISSING",IF(AND(AA3171&gt;0,U3171/AA3171&gt;50),"POSSIBLE_SCALE_ERROR","OK"))</f>
        <v/>
      </c>
    </row>
    <row r="3172">
      <c r="A3172" t="inlineStr">
        <is>
          <t>T-2015-Q3-00026</t>
        </is>
      </c>
      <c r="B3172" t="inlineStr">
        <is>
          <t>SLE</t>
        </is>
      </c>
      <c r="C3172" t="inlineStr">
        <is>
          <t>President</t>
        </is>
      </c>
      <c r="D3172" t="inlineStr">
        <is>
          <t>Président</t>
        </is>
      </c>
      <c r="E3172" t="inlineStr">
        <is>
          <t>Paul J. LeBlanc</t>
        </is>
      </c>
      <c r="F3172" t="inlineStr">
        <is>
          <t>For various meetings and discussions with: Government of Canada officials; with Agency officials</t>
        </is>
      </c>
      <c r="G3172" t="inlineStr">
        <is>
          <t>Diverses réunions et discussions avec des fonctionnaires de l'Agence et du gouvernement du Canada</t>
        </is>
      </c>
      <c r="H3172" s="1" t="n">
        <v>41912</v>
      </c>
      <c r="I3172" s="1" t="n">
        <v>41914</v>
      </c>
      <c r="J3172" t="inlineStr">
        <is>
          <t>Ottawa, Ontario</t>
        </is>
      </c>
      <c r="K3172" t="inlineStr">
        <is>
          <t>Ottawa (Ontario)</t>
        </is>
      </c>
      <c r="P3172" t="n">
        <v>697.14</v>
      </c>
      <c r="Q3172" t="n">
        <v>0</v>
      </c>
      <c r="R3172" t="n">
        <v>370.12</v>
      </c>
      <c r="S3172" t="n">
        <v>142.8</v>
      </c>
      <c r="T3172" t="n">
        <v>3</v>
      </c>
      <c r="U3172" t="n">
        <v>1213.06</v>
      </c>
      <c r="X3172" t="inlineStr">
        <is>
          <t>acoa-apeca</t>
        </is>
      </c>
      <c r="Y3172" t="inlineStr">
        <is>
          <t>Atlantic Canada Opportunities Agency | Agence de promotion économique du Canada atlantique</t>
        </is>
      </c>
      <c r="Z3172" t="n">
        <v>3</v>
      </c>
      <c r="AA3172" t="n">
        <v>1213.06</v>
      </c>
      <c r="AB3172">
        <f>ROUND(U3172-AA3172,2)</f>
        <v/>
      </c>
      <c r="AC3172" t="b">
        <v>0</v>
      </c>
      <c r="AD3172">
        <f>IF(U3172="","MISSING_TOTAL",IF(ABS(AB3172)&lt;=0.01,"OK","CHECK"))</f>
        <v/>
      </c>
      <c r="AE3172">
        <f>IF(U3172="","MISSING",IF(AND(AA3172&gt;0,U3172/AA3172&gt;50),"POSSIBLE_SCALE_ERROR","OK"))</f>
        <v/>
      </c>
    </row>
    <row r="3173">
      <c r="A3173" t="inlineStr">
        <is>
          <t>T-2015-Q3-00025</t>
        </is>
      </c>
      <c r="B3173" t="inlineStr">
        <is>
          <t>MPSES</t>
        </is>
      </c>
      <c r="C3173" t="inlineStr">
        <is>
          <t>Regional Affairs Director - Newfoundland &amp; Labrador</t>
        </is>
      </c>
      <c r="D3173" t="inlineStr">
        <is>
          <t>Directrice des affaires régionales - Terre-Neuve et le Labrador</t>
        </is>
      </c>
      <c r="E3173" t="inlineStr">
        <is>
          <t>Lorraine Barnett</t>
        </is>
      </c>
      <c r="F3173" t="inlineStr">
        <is>
          <t>Travel on government business</t>
        </is>
      </c>
      <c r="G3173" t="inlineStr">
        <is>
          <t>Voyage en service commandé</t>
        </is>
      </c>
      <c r="H3173" s="1" t="n">
        <v>41911</v>
      </c>
      <c r="I3173" s="1" t="n">
        <v>41914</v>
      </c>
      <c r="J3173" t="inlineStr">
        <is>
          <t>Ottawa, Ontario</t>
        </is>
      </c>
      <c r="K3173" t="inlineStr">
        <is>
          <t>Ottawa (Ontario)</t>
        </is>
      </c>
      <c r="P3173" t="n">
        <v>485.3</v>
      </c>
      <c r="Q3173" t="n">
        <v>59.91</v>
      </c>
      <c r="R3173" t="n">
        <v>555.1799999999999</v>
      </c>
      <c r="S3173" t="n">
        <v>317.35</v>
      </c>
      <c r="T3173" t="n">
        <v>0</v>
      </c>
      <c r="U3173" t="n">
        <v>1417.74</v>
      </c>
      <c r="X3173" t="inlineStr">
        <is>
          <t>acoa-apeca</t>
        </is>
      </c>
      <c r="Y3173" t="inlineStr">
        <is>
          <t>Atlantic Canada Opportunities Agency | Agence de promotion économique du Canada atlantique</t>
        </is>
      </c>
      <c r="Z3173" t="n">
        <v>4</v>
      </c>
      <c r="AA3173" t="n">
        <v>1417.73999999999</v>
      </c>
      <c r="AB3173">
        <f>ROUND(U3173-AA3173,2)</f>
        <v/>
      </c>
      <c r="AC3173" t="b">
        <v>0</v>
      </c>
      <c r="AD3173">
        <f>IF(U3173="","MISSING_TOTAL",IF(ABS(AB3173)&lt;=0.01,"OK","CHECK"))</f>
        <v/>
      </c>
      <c r="AE3173">
        <f>IF(U3173="","MISSING",IF(AND(AA3173&gt;0,U3173/AA3173&gt;50),"POSSIBLE_SCALE_ERROR","OK"))</f>
        <v/>
      </c>
    </row>
    <row r="3174">
      <c r="A3174" t="inlineStr">
        <is>
          <t>T-2015-Q3-00024</t>
        </is>
      </c>
      <c r="B3174" t="inlineStr">
        <is>
          <t>MPSES</t>
        </is>
      </c>
      <c r="C3174" t="inlineStr">
        <is>
          <t>Regional Affairs Director - New Brunswick</t>
        </is>
      </c>
      <c r="D3174" t="inlineStr">
        <is>
          <t>Directeur des affaires régionales - Nouveau-Brunswick</t>
        </is>
      </c>
      <c r="E3174" t="inlineStr">
        <is>
          <t>Douglas MacDonald</t>
        </is>
      </c>
      <c r="F3174" t="inlineStr">
        <is>
          <t>Travel on government business</t>
        </is>
      </c>
      <c r="G3174" t="inlineStr">
        <is>
          <t>Voyage en service commandé</t>
        </is>
      </c>
      <c r="H3174" s="1" t="n">
        <v>41911</v>
      </c>
      <c r="I3174" s="1" t="n">
        <v>41913</v>
      </c>
      <c r="J3174" t="inlineStr">
        <is>
          <t>Ottawa, Ontario</t>
        </is>
      </c>
      <c r="K3174" t="inlineStr">
        <is>
          <t>Ottawa (Ontario)</t>
        </is>
      </c>
      <c r="P3174" t="n">
        <v>0</v>
      </c>
      <c r="Q3174" t="n">
        <v>530</v>
      </c>
      <c r="R3174" t="n">
        <v>365.46</v>
      </c>
      <c r="S3174" t="n">
        <v>189.75</v>
      </c>
      <c r="T3174" t="n">
        <v>0</v>
      </c>
      <c r="U3174" t="n">
        <v>1085.21</v>
      </c>
      <c r="X3174" t="inlineStr">
        <is>
          <t>acoa-apeca</t>
        </is>
      </c>
      <c r="Y3174" t="inlineStr">
        <is>
          <t>Atlantic Canada Opportunities Agency | Agence de promotion économique du Canada atlantique</t>
        </is>
      </c>
      <c r="Z3174" t="n">
        <v>3</v>
      </c>
      <c r="AA3174" t="n">
        <v>1085.21</v>
      </c>
      <c r="AB3174">
        <f>ROUND(U3174-AA3174,2)</f>
        <v/>
      </c>
      <c r="AC3174" t="b">
        <v>0</v>
      </c>
      <c r="AD3174">
        <f>IF(U3174="","MISSING_TOTAL",IF(ABS(AB3174)&lt;=0.01,"OK","CHECK"))</f>
        <v/>
      </c>
      <c r="AE3174">
        <f>IF(U3174="","MISSING",IF(AND(AA3174&gt;0,U3174/AA3174&gt;50),"POSSIBLE_SCALE_ERROR","OK"))</f>
        <v/>
      </c>
    </row>
    <row r="3175">
      <c r="A3175" t="inlineStr">
        <is>
          <t>T-2015-Q3-00023</t>
        </is>
      </c>
      <c r="B3175" t="inlineStr">
        <is>
          <t>SLE</t>
        </is>
      </c>
      <c r="C3175" t="inlineStr">
        <is>
          <t>Vice-President, Finance and Corporate Services</t>
        </is>
      </c>
      <c r="D3175" t="inlineStr">
        <is>
          <t>Vice-présidente, Finances et Services corporatifs</t>
        </is>
      </c>
      <c r="E3175" t="inlineStr">
        <is>
          <t>Denise Frenette</t>
        </is>
      </c>
      <c r="F3175" t="inlineStr">
        <is>
          <t>Meetings with Government of Canada officials</t>
        </is>
      </c>
      <c r="G3175" t="inlineStr">
        <is>
          <t>Réunions avec des fonctionnaires du gouvernement du Canada</t>
        </is>
      </c>
      <c r="H3175" s="1" t="n">
        <v>41911</v>
      </c>
      <c r="I3175" s="1" t="n">
        <v>41914</v>
      </c>
      <c r="J3175" t="inlineStr">
        <is>
          <t>Ottawa, Ontario and St. John's, Newfoundland and Labrador</t>
        </is>
      </c>
      <c r="K3175" t="inlineStr">
        <is>
          <t>Ottawa (Ontario) et St. John's (Terre-Neuve-et-Labrador)</t>
        </is>
      </c>
      <c r="P3175" t="n">
        <v>1317.94</v>
      </c>
      <c r="Q3175" t="n">
        <v>160.52</v>
      </c>
      <c r="R3175" t="n">
        <v>533.73</v>
      </c>
      <c r="S3175" t="n">
        <v>350.05</v>
      </c>
      <c r="T3175" t="n">
        <v>169.5</v>
      </c>
      <c r="U3175" t="n">
        <v>2531.74</v>
      </c>
      <c r="X3175" t="inlineStr">
        <is>
          <t>acoa-apeca</t>
        </is>
      </c>
      <c r="Y3175" t="inlineStr">
        <is>
          <t>Atlantic Canada Opportunities Agency | Agence de promotion économique du Canada atlantique</t>
        </is>
      </c>
      <c r="Z3175" t="n">
        <v>4</v>
      </c>
      <c r="AA3175" t="n">
        <v>2531.74</v>
      </c>
      <c r="AB3175">
        <f>ROUND(U3175-AA3175,2)</f>
        <v/>
      </c>
      <c r="AC3175" t="b">
        <v>0</v>
      </c>
      <c r="AD3175">
        <f>IF(U3175="","MISSING_TOTAL",IF(ABS(AB3175)&lt;=0.01,"OK","CHECK"))</f>
        <v/>
      </c>
      <c r="AE3175">
        <f>IF(U3175="","MISSING",IF(AND(AA3175&gt;0,U3175/AA3175&gt;50),"POSSIBLE_SCALE_ERROR","OK"))</f>
        <v/>
      </c>
    </row>
    <row r="3176">
      <c r="A3176" t="inlineStr">
        <is>
          <t>T-2015-Q3-00022</t>
        </is>
      </c>
      <c r="B3176" t="inlineStr">
        <is>
          <t>SLE</t>
        </is>
      </c>
      <c r="C3176" t="inlineStr">
        <is>
          <t>Vice President, Nova Scotia</t>
        </is>
      </c>
      <c r="D3176" t="inlineStr">
        <is>
          <t>Vice-président, Nouvelle-Écosse</t>
        </is>
      </c>
      <c r="E3176" t="inlineStr">
        <is>
          <t>Peter Hogan</t>
        </is>
      </c>
      <c r="F3176" t="inlineStr">
        <is>
          <t>Meetings with Government officials</t>
        </is>
      </c>
      <c r="G3176" t="inlineStr">
        <is>
          <t>Réunion avec des fonctionnaires du gouvernement</t>
        </is>
      </c>
      <c r="H3176" s="1" t="n">
        <v>41906</v>
      </c>
      <c r="I3176" s="1" t="n">
        <v>41908</v>
      </c>
      <c r="J3176" t="inlineStr">
        <is>
          <t>Ottawa</t>
        </is>
      </c>
      <c r="P3176" t="n">
        <v>370.62</v>
      </c>
      <c r="Q3176" t="n">
        <v>124.6</v>
      </c>
      <c r="R3176" t="n">
        <v>393.4</v>
      </c>
      <c r="S3176" t="n">
        <v>256.9</v>
      </c>
      <c r="T3176" t="n">
        <v>60</v>
      </c>
      <c r="U3176" t="n">
        <v>1205.52</v>
      </c>
      <c r="X3176" t="inlineStr">
        <is>
          <t>acoa-apeca</t>
        </is>
      </c>
      <c r="Y3176" t="inlineStr">
        <is>
          <t>Atlantic Canada Opportunities Agency | Agence de promotion économique du Canada atlantique</t>
        </is>
      </c>
      <c r="Z3176" t="n">
        <v>3</v>
      </c>
      <c r="AA3176" t="n">
        <v>1205.52</v>
      </c>
      <c r="AB3176">
        <f>ROUND(U3176-AA3176,2)</f>
        <v/>
      </c>
      <c r="AC3176" t="b">
        <v>0</v>
      </c>
      <c r="AD3176">
        <f>IF(U3176="","MISSING_TOTAL",IF(ABS(AB3176)&lt;=0.01,"OK","CHECK"))</f>
        <v/>
      </c>
      <c r="AE3176">
        <f>IF(U3176="","MISSING",IF(AND(AA3176&gt;0,U3176/AA3176&gt;50),"POSSIBLE_SCALE_ERROR","OK"))</f>
        <v/>
      </c>
    </row>
    <row r="3177">
      <c r="A3177" t="inlineStr">
        <is>
          <t>T-2015-Q3-00021</t>
        </is>
      </c>
      <c r="B3177" t="inlineStr">
        <is>
          <t>SLE</t>
        </is>
      </c>
      <c r="C3177" t="inlineStr">
        <is>
          <t>Vice-President, Prince Edward Island</t>
        </is>
      </c>
      <c r="D3177" t="inlineStr">
        <is>
          <t>Vice-président, Île-du-Prince-Édouard</t>
        </is>
      </c>
      <c r="E3177" t="inlineStr">
        <is>
          <t>Patrick Dorsey</t>
        </is>
      </c>
      <c r="F3177" t="inlineStr">
        <is>
          <t>Meetings with Government of Canada officials in Halifax and Ottawa</t>
        </is>
      </c>
      <c r="G3177" t="inlineStr">
        <is>
          <t>Réunions avec des fonctionnaires du gouvernement du Canada à Halifax et à Ottawa</t>
        </is>
      </c>
      <c r="H3177" s="1" t="n">
        <v>41905</v>
      </c>
      <c r="I3177" s="1" t="n">
        <v>41907</v>
      </c>
      <c r="J3177" t="inlineStr">
        <is>
          <t>Ottawa, Ontario</t>
        </is>
      </c>
      <c r="K3177" t="inlineStr">
        <is>
          <t>Ottawa (Ontario)</t>
        </is>
      </c>
      <c r="P3177" t="n">
        <v>673.02</v>
      </c>
      <c r="Q3177" t="n">
        <v>118.53</v>
      </c>
      <c r="R3177" t="n">
        <v>533.35</v>
      </c>
      <c r="S3177" t="n">
        <v>332.6</v>
      </c>
      <c r="T3177" t="n">
        <v>0</v>
      </c>
      <c r="U3177" t="n">
        <v>1657.5</v>
      </c>
      <c r="X3177" t="inlineStr">
        <is>
          <t>acoa-apeca</t>
        </is>
      </c>
      <c r="Y3177" t="inlineStr">
        <is>
          <t>Atlantic Canada Opportunities Agency | Agence de promotion économique du Canada atlantique</t>
        </is>
      </c>
      <c r="Z3177" t="n">
        <v>3</v>
      </c>
      <c r="AA3177" t="n">
        <v>1657.5</v>
      </c>
      <c r="AB3177">
        <f>ROUND(U3177-AA3177,2)</f>
        <v/>
      </c>
      <c r="AC3177" t="b">
        <v>0</v>
      </c>
      <c r="AD3177">
        <f>IF(U3177="","MISSING_TOTAL",IF(ABS(AB3177)&lt;=0.01,"OK","CHECK"))</f>
        <v/>
      </c>
      <c r="AE3177">
        <f>IF(U3177="","MISSING",IF(AND(AA3177&gt;0,U3177/AA3177&gt;50),"POSSIBLE_SCALE_ERROR","OK"))</f>
        <v/>
      </c>
    </row>
    <row r="3178">
      <c r="A3178" t="inlineStr">
        <is>
          <t>T-2014-Q3-00069</t>
        </is>
      </c>
      <c r="B3178" t="inlineStr">
        <is>
          <t>MPSES</t>
        </is>
      </c>
      <c r="C3178" t="inlineStr">
        <is>
          <t>Minister of State</t>
        </is>
      </c>
      <c r="D3178" t="inlineStr">
        <is>
          <t>Ministre d'État</t>
        </is>
      </c>
      <c r="E3178" t="inlineStr">
        <is>
          <t>Rob Moore</t>
        </is>
      </c>
      <c r="F3178" t="inlineStr">
        <is>
          <t>Travel to attend Government of Canada event</t>
        </is>
      </c>
      <c r="G3178" t="inlineStr">
        <is>
          <t>Évènement du gouvernement du Canada</t>
        </is>
      </c>
      <c r="H3178" s="1" t="n">
        <v>41607</v>
      </c>
      <c r="I3178" s="1" t="n">
        <v>41607</v>
      </c>
      <c r="J3178" t="inlineStr">
        <is>
          <t>Bathurst, New Brunswick</t>
        </is>
      </c>
      <c r="K3178" t="inlineStr">
        <is>
          <t>Bathurst (Nouveau-Brunswick)</t>
        </is>
      </c>
      <c r="P3178" t="n">
        <v>0</v>
      </c>
      <c r="Q3178" t="n">
        <v>336.6</v>
      </c>
      <c r="R3178" t="n">
        <v>0</v>
      </c>
      <c r="S3178" t="n">
        <v>57.1</v>
      </c>
      <c r="T3178" t="n">
        <v>0</v>
      </c>
      <c r="U3178" t="n">
        <v>393.7</v>
      </c>
      <c r="X3178" t="inlineStr">
        <is>
          <t>acoa-apeca</t>
        </is>
      </c>
      <c r="Y3178" t="inlineStr">
        <is>
          <t>Atlantic Canada Opportunities Agency | Agence de promotion économique du Canada atlantique</t>
        </is>
      </c>
      <c r="Z3178" t="n">
        <v>1</v>
      </c>
      <c r="AA3178" t="n">
        <v>393.7</v>
      </c>
      <c r="AB3178">
        <f>ROUND(U3178-AA3178,2)</f>
        <v/>
      </c>
      <c r="AC3178" t="b">
        <v>0</v>
      </c>
      <c r="AD3178">
        <f>IF(U3178="","MISSING_TOTAL",IF(ABS(AB3178)&lt;=0.01,"OK","CHECK"))</f>
        <v/>
      </c>
      <c r="AE3178">
        <f>IF(U3178="","MISSING",IF(AND(AA3178&gt;0,U3178/AA3178&gt;50),"POSSIBLE_SCALE_ERROR","OK"))</f>
        <v/>
      </c>
    </row>
    <row r="3179">
      <c r="A3179" t="inlineStr">
        <is>
          <t>T-2015-Q3-00019</t>
        </is>
      </c>
      <c r="B3179" t="inlineStr">
        <is>
          <t>SLE</t>
        </is>
      </c>
      <c r="C3179" t="inlineStr">
        <is>
          <t>Vice-President, Policy and Programs</t>
        </is>
      </c>
      <c r="D3179" t="inlineStr">
        <is>
          <t>Vice-président, Politiques et Programmes</t>
        </is>
      </c>
      <c r="E3179" t="inlineStr">
        <is>
          <t>Daryell Nowlan</t>
        </is>
      </c>
      <c r="F3179" t="inlineStr">
        <is>
          <t>Meetings with Government of Canada and private sector officials</t>
        </is>
      </c>
      <c r="G3179" t="inlineStr">
        <is>
          <t>Réunions avec des fonctionnaires du gouvernement du Canada et des représentants du secteur privé</t>
        </is>
      </c>
      <c r="H3179" s="1" t="n">
        <v>41898</v>
      </c>
      <c r="I3179" s="1" t="n">
        <v>41899</v>
      </c>
      <c r="J3179" t="inlineStr">
        <is>
          <t>Halifax, Nova Scotia</t>
        </is>
      </c>
      <c r="K3179" t="inlineStr">
        <is>
          <t>Halifax (Nouvelle-Écosse)</t>
        </is>
      </c>
      <c r="P3179" t="n">
        <v>0</v>
      </c>
      <c r="Q3179" t="n">
        <v>174.48</v>
      </c>
      <c r="R3179" t="n">
        <v>174.78</v>
      </c>
      <c r="S3179" t="n">
        <v>77.05</v>
      </c>
      <c r="T3179" t="n">
        <v>0</v>
      </c>
      <c r="U3179" t="n">
        <v>426.31</v>
      </c>
      <c r="X3179" t="inlineStr">
        <is>
          <t>acoa-apeca</t>
        </is>
      </c>
      <c r="Y3179" t="inlineStr">
        <is>
          <t>Atlantic Canada Opportunities Agency | Agence de promotion économique du Canada atlantique</t>
        </is>
      </c>
      <c r="Z3179" t="n">
        <v>2</v>
      </c>
      <c r="AA3179" t="n">
        <v>426.31</v>
      </c>
      <c r="AB3179">
        <f>ROUND(U3179-AA3179,2)</f>
        <v/>
      </c>
      <c r="AC3179" t="b">
        <v>0</v>
      </c>
      <c r="AD3179">
        <f>IF(U3179="","MISSING_TOTAL",IF(ABS(AB3179)&lt;=0.01,"OK","CHECK"))</f>
        <v/>
      </c>
      <c r="AE3179">
        <f>IF(U3179="","MISSING",IF(AND(AA3179&gt;0,U3179/AA3179&gt;50),"POSSIBLE_SCALE_ERROR","OK"))</f>
        <v/>
      </c>
    </row>
    <row r="3180">
      <c r="A3180" t="inlineStr">
        <is>
          <t>T-2015-Q3-00018</t>
        </is>
      </c>
      <c r="B3180" t="inlineStr">
        <is>
          <t>SLE</t>
        </is>
      </c>
      <c r="C3180" t="inlineStr">
        <is>
          <t>Vice President, Nova Scotia</t>
        </is>
      </c>
      <c r="D3180" t="inlineStr">
        <is>
          <t>Vice-président, Nouvelle-Écosse</t>
        </is>
      </c>
      <c r="E3180" t="inlineStr">
        <is>
          <t>Peter Hogan</t>
        </is>
      </c>
      <c r="F3180" t="inlineStr">
        <is>
          <t>Committee Meeting - Sydney</t>
        </is>
      </c>
      <c r="G3180" t="inlineStr">
        <is>
          <t>Réunion de comité – Sydney</t>
        </is>
      </c>
      <c r="H3180" s="1" t="n">
        <v>41897</v>
      </c>
      <c r="I3180" s="1" t="n">
        <v>41897</v>
      </c>
      <c r="J3180" t="inlineStr">
        <is>
          <t>Sydney</t>
        </is>
      </c>
      <c r="P3180" t="n">
        <v>0</v>
      </c>
      <c r="Q3180" t="n">
        <v>81.45</v>
      </c>
      <c r="R3180" t="n">
        <v>0</v>
      </c>
      <c r="S3180" t="n">
        <v>57.7</v>
      </c>
      <c r="T3180" t="n">
        <v>20</v>
      </c>
      <c r="U3180" t="n">
        <v>159.15</v>
      </c>
      <c r="X3180" t="inlineStr">
        <is>
          <t>acoa-apeca</t>
        </is>
      </c>
      <c r="Y3180" t="inlineStr">
        <is>
          <t>Atlantic Canada Opportunities Agency | Agence de promotion économique du Canada atlantique</t>
        </is>
      </c>
      <c r="Z3180" t="n">
        <v>1</v>
      </c>
      <c r="AA3180" t="n">
        <v>159.15</v>
      </c>
      <c r="AB3180">
        <f>ROUND(U3180-AA3180,2)</f>
        <v/>
      </c>
      <c r="AC3180" t="b">
        <v>0</v>
      </c>
      <c r="AD3180">
        <f>IF(U3180="","MISSING_TOTAL",IF(ABS(AB3180)&lt;=0.01,"OK","CHECK"))</f>
        <v/>
      </c>
      <c r="AE3180">
        <f>IF(U3180="","MISSING",IF(AND(AA3180&gt;0,U3180/AA3180&gt;50),"POSSIBLE_SCALE_ERROR","OK"))</f>
        <v/>
      </c>
    </row>
    <row r="3181">
      <c r="A3181" t="inlineStr">
        <is>
          <t>T-2015-Q3-00017</t>
        </is>
      </c>
      <c r="B3181" t="inlineStr">
        <is>
          <t>MPSES</t>
        </is>
      </c>
      <c r="C3181" t="inlineStr">
        <is>
          <t>Executive Assistant</t>
        </is>
      </c>
      <c r="D3181" t="inlineStr">
        <is>
          <t>Adjoint exécutif</t>
        </is>
      </c>
      <c r="E3181" t="inlineStr">
        <is>
          <t>Josh Hardy</t>
        </is>
      </c>
      <c r="F3181" t="inlineStr">
        <is>
          <t>Travel on government business</t>
        </is>
      </c>
      <c r="G3181" t="inlineStr">
        <is>
          <t>Voyage en service commandé</t>
        </is>
      </c>
      <c r="H3181" s="1" t="n">
        <v>41896</v>
      </c>
      <c r="I3181" s="1" t="n">
        <v>41896</v>
      </c>
      <c r="J3181" t="inlineStr">
        <is>
          <t>Ottawa, Ontario</t>
        </is>
      </c>
      <c r="K3181" t="inlineStr">
        <is>
          <t>Ottawa (Ontario)</t>
        </is>
      </c>
      <c r="P3181" t="n">
        <v>316.51</v>
      </c>
      <c r="Q3181" t="n">
        <v>67.8</v>
      </c>
      <c r="R3181" t="n">
        <v>0</v>
      </c>
      <c r="S3181" t="n">
        <v>0</v>
      </c>
      <c r="T3181" t="n">
        <v>0</v>
      </c>
      <c r="U3181" t="n">
        <v>384.31</v>
      </c>
      <c r="X3181" t="inlineStr">
        <is>
          <t>acoa-apeca</t>
        </is>
      </c>
      <c r="Y3181" t="inlineStr">
        <is>
          <t>Atlantic Canada Opportunities Agency | Agence de promotion économique du Canada atlantique</t>
        </is>
      </c>
      <c r="Z3181" t="n">
        <v>1</v>
      </c>
      <c r="AA3181" t="n">
        <v>384.31</v>
      </c>
      <c r="AB3181">
        <f>ROUND(U3181-AA3181,2)</f>
        <v/>
      </c>
      <c r="AC3181" t="b">
        <v>0</v>
      </c>
      <c r="AD3181">
        <f>IF(U3181="","MISSING_TOTAL",IF(ABS(AB3181)&lt;=0.01,"OK","CHECK"))</f>
        <v/>
      </c>
      <c r="AE3181">
        <f>IF(U3181="","MISSING",IF(AND(AA3181&gt;0,U3181/AA3181&gt;50),"POSSIBLE_SCALE_ERROR","OK"))</f>
        <v/>
      </c>
    </row>
    <row r="3182">
      <c r="A3182" t="inlineStr">
        <is>
          <t>T-2015-Q3-00016</t>
        </is>
      </c>
      <c r="B3182" t="inlineStr">
        <is>
          <t>SLE</t>
        </is>
      </c>
      <c r="C3182" t="inlineStr">
        <is>
          <t>President</t>
        </is>
      </c>
      <c r="D3182" t="inlineStr">
        <is>
          <t>Président</t>
        </is>
      </c>
      <c r="E3182" t="inlineStr">
        <is>
          <t>Paul J. LeBlanc</t>
        </is>
      </c>
      <c r="F3182" t="inlineStr">
        <is>
          <t>For various meetings and discussions with Agency officials; with Government of Canada officials</t>
        </is>
      </c>
      <c r="G3182" t="inlineStr">
        <is>
          <t>Diverses réunions et discussions avec des fonctionnaires de l'Agence et du gouvernement du Canada</t>
        </is>
      </c>
      <c r="H3182" s="1" t="n">
        <v>41893</v>
      </c>
      <c r="I3182" s="1" t="n">
        <v>41894</v>
      </c>
      <c r="J3182" t="inlineStr">
        <is>
          <t>Ottawa, Ontario</t>
        </is>
      </c>
      <c r="K3182" t="inlineStr">
        <is>
          <t>Ottawa (Ontario)</t>
        </is>
      </c>
      <c r="P3182" t="n">
        <v>697.14</v>
      </c>
      <c r="Q3182" t="n">
        <v>0</v>
      </c>
      <c r="R3182" t="n">
        <v>185.06</v>
      </c>
      <c r="S3182" t="n">
        <v>150.7</v>
      </c>
      <c r="T3182" t="n">
        <v>52</v>
      </c>
      <c r="U3182" t="n">
        <v>1084.9</v>
      </c>
      <c r="X3182" t="inlineStr">
        <is>
          <t>acoa-apeca</t>
        </is>
      </c>
      <c r="Y3182" t="inlineStr">
        <is>
          <t>Atlantic Canada Opportunities Agency | Agence de promotion économique du Canada atlantique</t>
        </is>
      </c>
      <c r="Z3182" t="n">
        <v>2</v>
      </c>
      <c r="AA3182" t="n">
        <v>1084.9</v>
      </c>
      <c r="AB3182">
        <f>ROUND(U3182-AA3182,2)</f>
        <v/>
      </c>
      <c r="AC3182" t="b">
        <v>0</v>
      </c>
      <c r="AD3182">
        <f>IF(U3182="","MISSING_TOTAL",IF(ABS(AB3182)&lt;=0.01,"OK","CHECK"))</f>
        <v/>
      </c>
      <c r="AE3182">
        <f>IF(U3182="","MISSING",IF(AND(AA3182&gt;0,U3182/AA3182&gt;50),"POSSIBLE_SCALE_ERROR","OK"))</f>
        <v/>
      </c>
    </row>
    <row r="3183">
      <c r="A3183" t="inlineStr">
        <is>
          <t>T-2015-Q3-00015</t>
        </is>
      </c>
      <c r="B3183" t="inlineStr">
        <is>
          <t>SLE</t>
        </is>
      </c>
      <c r="C3183" t="inlineStr">
        <is>
          <t>Vice-President, Policy and Programs</t>
        </is>
      </c>
      <c r="D3183" t="inlineStr">
        <is>
          <t>Vice-président, Politiques et Programmes</t>
        </is>
      </c>
      <c r="E3183" t="inlineStr">
        <is>
          <t>Daryell Nowlan</t>
        </is>
      </c>
      <c r="F3183" t="inlineStr">
        <is>
          <t>Meetings with Government of Canada officials</t>
        </is>
      </c>
      <c r="G3183" t="inlineStr">
        <is>
          <t>Réunions avec des fonctionnaires du gouvernement du Canada</t>
        </is>
      </c>
      <c r="H3183" s="1" t="n">
        <v>41893</v>
      </c>
      <c r="I3183" s="1" t="n">
        <v>41894</v>
      </c>
      <c r="J3183" t="inlineStr">
        <is>
          <t>Charlottetown, Prince Edward Island</t>
        </is>
      </c>
      <c r="K3183" t="inlineStr">
        <is>
          <t>Charlottetown (Île-du-Prince-Édouard)</t>
        </is>
      </c>
      <c r="P3183" t="n">
        <v>0</v>
      </c>
      <c r="Q3183" t="n">
        <v>0</v>
      </c>
      <c r="R3183" t="n">
        <v>216.05</v>
      </c>
      <c r="S3183" t="n">
        <v>92.3</v>
      </c>
      <c r="T3183" t="n">
        <v>0</v>
      </c>
      <c r="U3183" t="n">
        <v>308.35</v>
      </c>
      <c r="X3183" t="inlineStr">
        <is>
          <t>acoa-apeca</t>
        </is>
      </c>
      <c r="Y3183" t="inlineStr">
        <is>
          <t>Atlantic Canada Opportunities Agency | Agence de promotion économique du Canada atlantique</t>
        </is>
      </c>
      <c r="Z3183" t="n">
        <v>2</v>
      </c>
      <c r="AA3183" t="n">
        <v>308.35</v>
      </c>
      <c r="AB3183">
        <f>ROUND(U3183-AA3183,2)</f>
        <v/>
      </c>
      <c r="AC3183" t="b">
        <v>0</v>
      </c>
      <c r="AD3183">
        <f>IF(U3183="","MISSING_TOTAL",IF(ABS(AB3183)&lt;=0.01,"OK","CHECK"))</f>
        <v/>
      </c>
      <c r="AE3183">
        <f>IF(U3183="","MISSING",IF(AND(AA3183&gt;0,U3183/AA3183&gt;50),"POSSIBLE_SCALE_ERROR","OK"))</f>
        <v/>
      </c>
    </row>
    <row r="3184">
      <c r="A3184" t="inlineStr">
        <is>
          <t>T-2015-Q3-00014</t>
        </is>
      </c>
      <c r="B3184" t="inlineStr">
        <is>
          <t>SLE</t>
        </is>
      </c>
      <c r="C3184" t="inlineStr">
        <is>
          <t>Vice President, Nova Scotia</t>
        </is>
      </c>
      <c r="D3184" t="inlineStr">
        <is>
          <t>Vice-président, Nouvelle-Écosse</t>
        </is>
      </c>
      <c r="E3184" t="inlineStr">
        <is>
          <t>Peter Hogan</t>
        </is>
      </c>
      <c r="F3184" t="inlineStr">
        <is>
          <t>Meeting with Government officials</t>
        </is>
      </c>
      <c r="G3184" t="inlineStr">
        <is>
          <t>Réunion avec des fonctionnaires du gouvernement</t>
        </is>
      </c>
      <c r="H3184" s="1" t="n">
        <v>41892</v>
      </c>
      <c r="I3184" s="1" t="n">
        <v>41893</v>
      </c>
      <c r="J3184" t="inlineStr">
        <is>
          <t>Moncton</t>
        </is>
      </c>
      <c r="P3184" t="n">
        <v>0</v>
      </c>
      <c r="Q3184" t="n">
        <v>0</v>
      </c>
      <c r="R3184" t="n">
        <v>50</v>
      </c>
      <c r="S3184" t="n">
        <v>108.25</v>
      </c>
      <c r="T3184" t="n">
        <v>21</v>
      </c>
      <c r="U3184" t="n">
        <v>179.25</v>
      </c>
      <c r="X3184" t="inlineStr">
        <is>
          <t>acoa-apeca</t>
        </is>
      </c>
      <c r="Y3184" t="inlineStr">
        <is>
          <t>Atlantic Canada Opportunities Agency | Agence de promotion économique du Canada atlantique</t>
        </is>
      </c>
      <c r="Z3184" t="n">
        <v>2</v>
      </c>
      <c r="AA3184" t="n">
        <v>179.25</v>
      </c>
      <c r="AB3184">
        <f>ROUND(U3184-AA3184,2)</f>
        <v/>
      </c>
      <c r="AC3184" t="b">
        <v>0</v>
      </c>
      <c r="AD3184">
        <f>IF(U3184="","MISSING_TOTAL",IF(ABS(AB3184)&lt;=0.01,"OK","CHECK"))</f>
        <v/>
      </c>
      <c r="AE3184">
        <f>IF(U3184="","MISSING",IF(AND(AA3184&gt;0,U3184/AA3184&gt;50),"POSSIBLE_SCALE_ERROR","OK"))</f>
        <v/>
      </c>
    </row>
    <row r="3185">
      <c r="A3185" t="inlineStr">
        <is>
          <t>T-2015-Q3-00012</t>
        </is>
      </c>
      <c r="B3185" t="inlineStr">
        <is>
          <t>SLE</t>
        </is>
      </c>
      <c r="C3185" t="inlineStr">
        <is>
          <t>Vice-President, Prince Edward Island</t>
        </is>
      </c>
      <c r="D3185" t="inlineStr">
        <is>
          <t>Vice-président, Île-du-Prince-Édouard</t>
        </is>
      </c>
      <c r="E3185" t="inlineStr">
        <is>
          <t>Patrick Dorsey</t>
        </is>
      </c>
      <c r="F3185" t="inlineStr">
        <is>
          <t>Meetings with Government of Canada officials in Moncton</t>
        </is>
      </c>
      <c r="G3185" t="inlineStr">
        <is>
          <t>Réunions avec des fonctionnaires du gouvernement du Canada à Moncton</t>
        </is>
      </c>
      <c r="H3185" s="1" t="n">
        <v>41892</v>
      </c>
      <c r="I3185" s="1" t="n">
        <v>41893</v>
      </c>
      <c r="J3185" t="inlineStr">
        <is>
          <t>Moncton, New Brunswick</t>
        </is>
      </c>
      <c r="K3185" t="inlineStr">
        <is>
          <t>Moncton (Nouveau-Brunswick)</t>
        </is>
      </c>
      <c r="P3185" t="n">
        <v>0</v>
      </c>
      <c r="Q3185" t="n">
        <v>102.63</v>
      </c>
      <c r="R3185" t="n">
        <v>113</v>
      </c>
      <c r="S3185" t="n">
        <v>135.45</v>
      </c>
      <c r="T3185" t="n">
        <v>0</v>
      </c>
      <c r="U3185" t="n">
        <v>351.08</v>
      </c>
      <c r="X3185" t="inlineStr">
        <is>
          <t>acoa-apeca</t>
        </is>
      </c>
      <c r="Y3185" t="inlineStr">
        <is>
          <t>Atlantic Canada Opportunities Agency | Agence de promotion économique du Canada atlantique</t>
        </is>
      </c>
      <c r="Z3185" t="n">
        <v>2</v>
      </c>
      <c r="AA3185" t="n">
        <v>351.08</v>
      </c>
      <c r="AB3185">
        <f>ROUND(U3185-AA3185,2)</f>
        <v/>
      </c>
      <c r="AC3185" t="b">
        <v>0</v>
      </c>
      <c r="AD3185">
        <f>IF(U3185="","MISSING_TOTAL",IF(ABS(AB3185)&lt;=0.01,"OK","CHECK"))</f>
        <v/>
      </c>
      <c r="AE3185">
        <f>IF(U3185="","MISSING",IF(AND(AA3185&gt;0,U3185/AA3185&gt;50),"POSSIBLE_SCALE_ERROR","OK"))</f>
        <v/>
      </c>
    </row>
    <row r="3186">
      <c r="A3186" t="inlineStr">
        <is>
          <t>T-2015-Q3-00011</t>
        </is>
      </c>
      <c r="B3186" t="inlineStr">
        <is>
          <t>SLE</t>
        </is>
      </c>
      <c r="C3186" t="inlineStr">
        <is>
          <t>Vice-President, Newfoundland and Labrador</t>
        </is>
      </c>
      <c r="D3186" t="inlineStr">
        <is>
          <t>Vice-président, Terre-Neuve-et-Labrador</t>
        </is>
      </c>
      <c r="E3186" t="inlineStr">
        <is>
          <t>Paul Mills</t>
        </is>
      </c>
      <c r="F3186" t="inlineStr">
        <is>
          <t>Executive Committee meeting</t>
        </is>
      </c>
      <c r="G3186" t="inlineStr">
        <is>
          <t>Réunion du Comité de direction</t>
        </is>
      </c>
      <c r="H3186" s="1" t="n">
        <v>41892</v>
      </c>
      <c r="I3186" s="1" t="n">
        <v>41894</v>
      </c>
      <c r="J3186" t="inlineStr">
        <is>
          <t>Moncton, New Brunswick</t>
        </is>
      </c>
      <c r="K3186" t="inlineStr">
        <is>
          <t>Moncton (Nouveau-Brunwick)</t>
        </is>
      </c>
      <c r="P3186" t="n">
        <v>1369.61</v>
      </c>
      <c r="Q3186" t="n">
        <v>251.22</v>
      </c>
      <c r="R3186" t="n">
        <v>299.51</v>
      </c>
      <c r="S3186" t="n">
        <v>199.2</v>
      </c>
      <c r="T3186" t="n">
        <v>8.140000000000001</v>
      </c>
      <c r="U3186" t="n">
        <v>2127.68</v>
      </c>
      <c r="X3186" t="inlineStr">
        <is>
          <t>acoa-apeca</t>
        </is>
      </c>
      <c r="Y3186" t="inlineStr">
        <is>
          <t>Atlantic Canada Opportunities Agency | Agence de promotion économique du Canada atlantique</t>
        </is>
      </c>
      <c r="Z3186" t="n">
        <v>3</v>
      </c>
      <c r="AA3186" t="n">
        <v>2127.68</v>
      </c>
      <c r="AB3186">
        <f>ROUND(U3186-AA3186,2)</f>
        <v/>
      </c>
      <c r="AC3186" t="b">
        <v>0</v>
      </c>
      <c r="AD3186">
        <f>IF(U3186="","MISSING_TOTAL",IF(ABS(AB3186)&lt;=0.01,"OK","CHECK"))</f>
        <v/>
      </c>
      <c r="AE3186">
        <f>IF(U3186="","MISSING",IF(AND(AA3186&gt;0,U3186/AA3186&gt;50),"POSSIBLE_SCALE_ERROR","OK"))</f>
        <v/>
      </c>
    </row>
    <row r="3187">
      <c r="A3187" t="inlineStr">
        <is>
          <t>T-2015-Q3-00010</t>
        </is>
      </c>
      <c r="B3187" t="inlineStr">
        <is>
          <t>MPSES</t>
        </is>
      </c>
      <c r="C3187" t="inlineStr">
        <is>
          <t>Parliamentary Secretary</t>
        </is>
      </c>
      <c r="D3187" t="inlineStr">
        <is>
          <t>Secrétaire parlementaire</t>
        </is>
      </c>
      <c r="E3187" t="inlineStr">
        <is>
          <t>Gerald Keddy</t>
        </is>
      </c>
      <c r="F3187" t="inlineStr">
        <is>
          <t>Travel on government business</t>
        </is>
      </c>
      <c r="G3187" t="inlineStr">
        <is>
          <t>Voyage en service commandé</t>
        </is>
      </c>
      <c r="H3187" s="1" t="n">
        <v>41890</v>
      </c>
      <c r="I3187" s="1" t="n">
        <v>41891</v>
      </c>
      <c r="J3187" t="inlineStr">
        <is>
          <t>St. John's, Gander, Newfoundland and Labrador</t>
        </is>
      </c>
      <c r="K3187" t="inlineStr">
        <is>
          <t>St. John's et Gander (Terre-Neuve-et-Labrador)</t>
        </is>
      </c>
      <c r="P3187" t="n">
        <v>1061.99</v>
      </c>
      <c r="Q3187" t="n">
        <v>0</v>
      </c>
      <c r="R3187" t="n">
        <v>209.43</v>
      </c>
      <c r="S3187" t="n">
        <v>165.95</v>
      </c>
      <c r="T3187" t="n">
        <v>0</v>
      </c>
      <c r="U3187" t="n">
        <v>1437.37</v>
      </c>
      <c r="X3187" t="inlineStr">
        <is>
          <t>acoa-apeca</t>
        </is>
      </c>
      <c r="Y3187" t="inlineStr">
        <is>
          <t>Atlantic Canada Opportunities Agency | Agence de promotion économique du Canada atlantique</t>
        </is>
      </c>
      <c r="Z3187" t="n">
        <v>2</v>
      </c>
      <c r="AA3187" t="n">
        <v>1437.37</v>
      </c>
      <c r="AB3187">
        <f>ROUND(U3187-AA3187,2)</f>
        <v/>
      </c>
      <c r="AC3187" t="b">
        <v>0</v>
      </c>
      <c r="AD3187">
        <f>IF(U3187="","MISSING_TOTAL",IF(ABS(AB3187)&lt;=0.01,"OK","CHECK"))</f>
        <v/>
      </c>
      <c r="AE3187">
        <f>IF(U3187="","MISSING",IF(AND(AA3187&gt;0,U3187/AA3187&gt;50),"POSSIBLE_SCALE_ERROR","OK"))</f>
        <v/>
      </c>
    </row>
    <row r="3188">
      <c r="A3188" t="inlineStr">
        <is>
          <t>T-2015-Q3-00009</t>
        </is>
      </c>
      <c r="B3188" t="inlineStr">
        <is>
          <t>MPSES</t>
        </is>
      </c>
      <c r="C3188" t="inlineStr">
        <is>
          <t>Executive Assistant</t>
        </is>
      </c>
      <c r="D3188" t="inlineStr">
        <is>
          <t>Adjoint exécutif</t>
        </is>
      </c>
      <c r="E3188" t="inlineStr">
        <is>
          <t>Josh Hardy</t>
        </is>
      </c>
      <c r="F3188" t="inlineStr">
        <is>
          <t>Travel on government business</t>
        </is>
      </c>
      <c r="G3188" t="inlineStr">
        <is>
          <t>Voyage en service commandé</t>
        </is>
      </c>
      <c r="H3188" s="1" t="n">
        <v>41890</v>
      </c>
      <c r="I3188" s="1" t="n">
        <v>41890</v>
      </c>
      <c r="J3188" t="inlineStr">
        <is>
          <t>Halifax, Nova Scotia</t>
        </is>
      </c>
      <c r="K3188" t="inlineStr">
        <is>
          <t>Halifax (Nouvelle-Écosse)</t>
        </is>
      </c>
      <c r="P3188" t="n">
        <v>527.41</v>
      </c>
      <c r="Q3188" t="n">
        <v>150.57</v>
      </c>
      <c r="R3188" t="n">
        <v>0</v>
      </c>
      <c r="S3188" t="n">
        <v>58.4</v>
      </c>
      <c r="T3188" t="n">
        <v>0</v>
      </c>
      <c r="U3188" t="n">
        <v>736.38</v>
      </c>
      <c r="X3188" t="inlineStr">
        <is>
          <t>acoa-apeca</t>
        </is>
      </c>
      <c r="Y3188" t="inlineStr">
        <is>
          <t>Atlantic Canada Opportunities Agency | Agence de promotion économique du Canada atlantique</t>
        </is>
      </c>
      <c r="Z3188" t="n">
        <v>1</v>
      </c>
      <c r="AA3188" t="n">
        <v>736.38</v>
      </c>
      <c r="AB3188">
        <f>ROUND(U3188-AA3188,2)</f>
        <v/>
      </c>
      <c r="AC3188" t="b">
        <v>0</v>
      </c>
      <c r="AD3188">
        <f>IF(U3188="","MISSING_TOTAL",IF(ABS(AB3188)&lt;=0.01,"OK","CHECK"))</f>
        <v/>
      </c>
      <c r="AE3188">
        <f>IF(U3188="","MISSING",IF(AND(AA3188&gt;0,U3188/AA3188&gt;50),"POSSIBLE_SCALE_ERROR","OK"))</f>
        <v/>
      </c>
    </row>
    <row r="3189">
      <c r="A3189" t="inlineStr">
        <is>
          <t>T-2015-Q3-00008</t>
        </is>
      </c>
      <c r="B3189" t="inlineStr">
        <is>
          <t>MPSES</t>
        </is>
      </c>
      <c r="C3189" t="inlineStr">
        <is>
          <t>Minister of State</t>
        </is>
      </c>
      <c r="D3189" t="inlineStr">
        <is>
          <t>Ministre d'État</t>
        </is>
      </c>
      <c r="E3189" t="inlineStr">
        <is>
          <t>Rob Moore</t>
        </is>
      </c>
      <c r="F3189" t="inlineStr">
        <is>
          <t>To attend two Government of Canada announcements and two stakeholder meetings</t>
        </is>
      </c>
      <c r="G3189" t="inlineStr">
        <is>
          <t>Assister à deux annonces du gouvernement du Canada et à deux réunions avec des parties intéressées</t>
        </is>
      </c>
      <c r="H3189" s="1" t="n">
        <v>41890</v>
      </c>
      <c r="I3189" s="1" t="n">
        <v>41890</v>
      </c>
      <c r="J3189" t="inlineStr">
        <is>
          <t>Halifax, Weymouth, Cornwallis, Annapolis Royal and Berwick, Nova Scotia</t>
        </is>
      </c>
      <c r="K3189" t="inlineStr">
        <is>
          <t>Halifax, Weymouth, Cornwallis, Annapolis Royal et Berwick (Nouvelle-Écosse)</t>
        </is>
      </c>
      <c r="P3189" t="n">
        <v>527.41</v>
      </c>
      <c r="Q3189" t="n">
        <v>21.42</v>
      </c>
      <c r="R3189" t="n">
        <v>0</v>
      </c>
      <c r="S3189" t="n">
        <v>58.4</v>
      </c>
      <c r="T3189" t="n">
        <v>0</v>
      </c>
      <c r="U3189" t="n">
        <v>607.23</v>
      </c>
      <c r="X3189" t="inlineStr">
        <is>
          <t>acoa-apeca</t>
        </is>
      </c>
      <c r="Y3189" t="inlineStr">
        <is>
          <t>Atlantic Canada Opportunities Agency | Agence de promotion économique du Canada atlantique</t>
        </is>
      </c>
      <c r="Z3189" t="n">
        <v>1</v>
      </c>
      <c r="AA3189" t="n">
        <v>607.229999999999</v>
      </c>
      <c r="AB3189">
        <f>ROUND(U3189-AA3189,2)</f>
        <v/>
      </c>
      <c r="AC3189" t="b">
        <v>0</v>
      </c>
      <c r="AD3189">
        <f>IF(U3189="","MISSING_TOTAL",IF(ABS(AB3189)&lt;=0.01,"OK","CHECK"))</f>
        <v/>
      </c>
      <c r="AE3189">
        <f>IF(U3189="","MISSING",IF(AND(AA3189&gt;0,U3189/AA3189&gt;50),"POSSIBLE_SCALE_ERROR","OK"))</f>
        <v/>
      </c>
    </row>
    <row r="3190">
      <c r="A3190" t="inlineStr">
        <is>
          <t>T-2015-Q3-00007</t>
        </is>
      </c>
      <c r="B3190" t="inlineStr">
        <is>
          <t>SLE</t>
        </is>
      </c>
      <c r="C3190" t="inlineStr">
        <is>
          <t>Vice President, Nova Scotia</t>
        </is>
      </c>
      <c r="D3190" t="inlineStr">
        <is>
          <t>Vice-président, Nouvelle-Écosse</t>
        </is>
      </c>
      <c r="E3190" t="inlineStr">
        <is>
          <t>Peter Hogan</t>
        </is>
      </c>
      <c r="F3190" t="inlineStr">
        <is>
          <t>Meetings with stakeholders, Sydney office</t>
        </is>
      </c>
      <c r="G3190" t="inlineStr">
        <is>
          <t>Réunions avec des intervenants, bureau de Sydney</t>
        </is>
      </c>
      <c r="H3190" s="1" t="n">
        <v>41887</v>
      </c>
      <c r="I3190" s="1" t="n">
        <v>41887</v>
      </c>
      <c r="J3190" t="inlineStr">
        <is>
          <t>Sydney</t>
        </is>
      </c>
      <c r="P3190" t="n">
        <v>88.34999999999999</v>
      </c>
      <c r="Q3190" t="n">
        <v>20.08</v>
      </c>
      <c r="R3190" t="n">
        <v>0</v>
      </c>
      <c r="S3190" t="n">
        <v>15.25</v>
      </c>
      <c r="T3190" t="n">
        <v>20</v>
      </c>
      <c r="U3190" t="n">
        <v>143.68</v>
      </c>
      <c r="X3190" t="inlineStr">
        <is>
          <t>acoa-apeca</t>
        </is>
      </c>
      <c r="Y3190" t="inlineStr">
        <is>
          <t>Atlantic Canada Opportunities Agency | Agence de promotion économique du Canada atlantique</t>
        </is>
      </c>
      <c r="Z3190" t="n">
        <v>1</v>
      </c>
      <c r="AA3190" t="n">
        <v>143.68</v>
      </c>
      <c r="AB3190">
        <f>ROUND(U3190-AA3190,2)</f>
        <v/>
      </c>
      <c r="AC3190" t="b">
        <v>0</v>
      </c>
      <c r="AD3190">
        <f>IF(U3190="","MISSING_TOTAL",IF(ABS(AB3190)&lt;=0.01,"OK","CHECK"))</f>
        <v/>
      </c>
      <c r="AE3190">
        <f>IF(U3190="","MISSING",IF(AND(AA3190&gt;0,U3190/AA3190&gt;50),"POSSIBLE_SCALE_ERROR","OK"))</f>
        <v/>
      </c>
    </row>
    <row r="3191">
      <c r="A3191" t="inlineStr">
        <is>
          <t>T-2015-Q3-00004</t>
        </is>
      </c>
      <c r="B3191" t="inlineStr">
        <is>
          <t>MPSES</t>
        </is>
      </c>
      <c r="C3191" t="inlineStr">
        <is>
          <t>Minister of State</t>
        </is>
      </c>
      <c r="D3191" t="inlineStr">
        <is>
          <t>Ministre d'État</t>
        </is>
      </c>
      <c r="E3191" t="inlineStr">
        <is>
          <t>Rob Moore</t>
        </is>
      </c>
      <c r="F3191" t="inlineStr">
        <is>
          <t>To attend two Government of Canada announcements and stakeholder meeting</t>
        </is>
      </c>
      <c r="G3191" t="inlineStr">
        <is>
          <t>Assister à deux annonces du gouvernement du Canada et à une réunion avec des parties intéressées</t>
        </is>
      </c>
      <c r="H3191" s="1" t="n">
        <v>41886</v>
      </c>
      <c r="I3191" s="1" t="n">
        <v>41886</v>
      </c>
      <c r="J3191" t="inlineStr">
        <is>
          <t>Halifax, Bridgewater, Liverpool and Caledonia, Nova Scotia</t>
        </is>
      </c>
      <c r="K3191" t="inlineStr">
        <is>
          <t>Halifax, Bridgewater, Liverpool et Caledonia (Nouvelle-Écosse)</t>
        </is>
      </c>
      <c r="P3191" t="n">
        <v>582.16</v>
      </c>
      <c r="Q3191" t="n">
        <v>21.42</v>
      </c>
      <c r="R3191" t="n">
        <v>0</v>
      </c>
      <c r="S3191" t="n">
        <v>57.7</v>
      </c>
      <c r="T3191" t="n">
        <v>0</v>
      </c>
      <c r="U3191" t="n">
        <v>661.28</v>
      </c>
      <c r="X3191" t="inlineStr">
        <is>
          <t>acoa-apeca</t>
        </is>
      </c>
      <c r="Y3191" t="inlineStr">
        <is>
          <t>Atlantic Canada Opportunities Agency | Agence de promotion économique du Canada atlantique</t>
        </is>
      </c>
      <c r="Z3191" t="n">
        <v>1</v>
      </c>
      <c r="AA3191" t="n">
        <v>661.28</v>
      </c>
      <c r="AB3191">
        <f>ROUND(U3191-AA3191,2)</f>
        <v/>
      </c>
      <c r="AC3191" t="b">
        <v>0</v>
      </c>
      <c r="AD3191">
        <f>IF(U3191="","MISSING_TOTAL",IF(ABS(AB3191)&lt;=0.01,"OK","CHECK"))</f>
        <v/>
      </c>
      <c r="AE3191">
        <f>IF(U3191="","MISSING",IF(AND(AA3191&gt;0,U3191/AA3191&gt;50),"POSSIBLE_SCALE_ERROR","OK"))</f>
        <v/>
      </c>
    </row>
    <row r="3192">
      <c r="A3192" t="inlineStr">
        <is>
          <t>T-2015-Q3-00002</t>
        </is>
      </c>
      <c r="B3192" t="inlineStr">
        <is>
          <t>SLE</t>
        </is>
      </c>
      <c r="C3192" t="inlineStr">
        <is>
          <t>Vice-President, Finance and Corporate Services</t>
        </is>
      </c>
      <c r="D3192" t="inlineStr">
        <is>
          <t>Vice-présidente, Finances et Services corporatifs</t>
        </is>
      </c>
      <c r="E3192" t="inlineStr">
        <is>
          <t>Denise Frenette</t>
        </is>
      </c>
      <c r="F3192" t="inlineStr">
        <is>
          <t>Regional Development Agencies Chief Financial Officers meeting in Ottawa</t>
        </is>
      </c>
      <c r="G3192" t="inlineStr">
        <is>
          <t>Réunion de dirigeants principaux des finances d'organismes de développement régional à Ottawa</t>
        </is>
      </c>
      <c r="H3192" s="1" t="n">
        <v>41884</v>
      </c>
      <c r="I3192" s="1" t="n">
        <v>41885</v>
      </c>
      <c r="J3192" t="inlineStr">
        <is>
          <t>Ottawa, Ontario</t>
        </is>
      </c>
      <c r="K3192" t="inlineStr">
        <is>
          <t>Ottawa (Ontario)</t>
        </is>
      </c>
      <c r="P3192" t="n">
        <v>0</v>
      </c>
      <c r="Q3192" t="n">
        <v>63.64</v>
      </c>
      <c r="R3192" t="n">
        <v>196.7</v>
      </c>
      <c r="S3192" t="n">
        <v>134.75</v>
      </c>
      <c r="T3192" t="n">
        <v>0</v>
      </c>
      <c r="U3192" t="n">
        <v>395.09</v>
      </c>
      <c r="X3192" t="inlineStr">
        <is>
          <t>acoa-apeca</t>
        </is>
      </c>
      <c r="Y3192" t="inlineStr">
        <is>
          <t>Atlantic Canada Opportunities Agency | Agence de promotion économique du Canada atlantique</t>
        </is>
      </c>
      <c r="Z3192" t="n">
        <v>2</v>
      </c>
      <c r="AA3192" t="n">
        <v>395.09</v>
      </c>
      <c r="AB3192">
        <f>ROUND(U3192-AA3192,2)</f>
        <v/>
      </c>
      <c r="AC3192" t="b">
        <v>0</v>
      </c>
      <c r="AD3192">
        <f>IF(U3192="","MISSING_TOTAL",IF(ABS(AB3192)&lt;=0.01,"OK","CHECK"))</f>
        <v/>
      </c>
      <c r="AE3192">
        <f>IF(U3192="","MISSING",IF(AND(AA3192&gt;0,U3192/AA3192&gt;50),"POSSIBLE_SCALE_ERROR","OK"))</f>
        <v/>
      </c>
    </row>
    <row r="3193">
      <c r="A3193" t="inlineStr">
        <is>
          <t>T-2015-Q3-00001</t>
        </is>
      </c>
      <c r="B3193" t="inlineStr">
        <is>
          <t>SLE</t>
        </is>
      </c>
      <c r="C3193" t="inlineStr">
        <is>
          <t>Vice-President, Policy and Programs</t>
        </is>
      </c>
      <c r="D3193" t="inlineStr">
        <is>
          <t>Vice-président, Politiques et Programmes</t>
        </is>
      </c>
      <c r="E3193" t="inlineStr">
        <is>
          <t>Daryell Nowlan</t>
        </is>
      </c>
      <c r="F3193" t="inlineStr">
        <is>
          <t>Meetings with Government of Canada officials and private sector officials</t>
        </is>
      </c>
      <c r="G3193" t="inlineStr">
        <is>
          <t>Réunions avec des fonctionnaires du gouvernement du Canada et des représentants du secteur privé</t>
        </is>
      </c>
      <c r="H3193" s="1" t="n">
        <v>41884</v>
      </c>
      <c r="I3193" s="1" t="n">
        <v>41887</v>
      </c>
      <c r="J3193" t="inlineStr">
        <is>
          <t>Halifax, Nova Scotia</t>
        </is>
      </c>
      <c r="K3193" t="inlineStr">
        <is>
          <t>Halifax (Nouvelle-Écosse)</t>
        </is>
      </c>
      <c r="P3193" t="n">
        <v>0</v>
      </c>
      <c r="Q3193" t="n">
        <v>346.83</v>
      </c>
      <c r="R3193" t="n">
        <v>524.34</v>
      </c>
      <c r="S3193" t="n">
        <v>167.3</v>
      </c>
      <c r="T3193" t="n">
        <v>0</v>
      </c>
      <c r="U3193" t="n">
        <v>1038.47</v>
      </c>
      <c r="X3193" t="inlineStr">
        <is>
          <t>acoa-apeca</t>
        </is>
      </c>
      <c r="Y3193" t="inlineStr">
        <is>
          <t>Atlantic Canada Opportunities Agency | Agence de promotion économique du Canada atlantique</t>
        </is>
      </c>
      <c r="Z3193" t="n">
        <v>4</v>
      </c>
      <c r="AA3193" t="n">
        <v>1038.47</v>
      </c>
      <c r="AB3193">
        <f>ROUND(U3193-AA3193,2)</f>
        <v/>
      </c>
      <c r="AC3193" t="b">
        <v>0</v>
      </c>
      <c r="AD3193">
        <f>IF(U3193="","MISSING_TOTAL",IF(ABS(AB3193)&lt;=0.01,"OK","CHECK"))</f>
        <v/>
      </c>
      <c r="AE3193">
        <f>IF(U3193="","MISSING",IF(AND(AA3193&gt;0,U3193/AA3193&gt;50),"POSSIBLE_SCALE_ERROR","OK"))</f>
        <v/>
      </c>
    </row>
    <row r="3194">
      <c r="A3194" t="inlineStr">
        <is>
          <t>T-2015-Q2-00061</t>
        </is>
      </c>
      <c r="B3194" t="inlineStr">
        <is>
          <t>SLE</t>
        </is>
      </c>
      <c r="C3194" t="inlineStr">
        <is>
          <t>Vice-President, New Brunswick</t>
        </is>
      </c>
      <c r="D3194" t="inlineStr">
        <is>
          <t>Vice-président, Nouveau-Brunswick</t>
        </is>
      </c>
      <c r="E3194" t="inlineStr">
        <is>
          <t>Kent Estabrooks</t>
        </is>
      </c>
      <c r="F3194" t="inlineStr">
        <is>
          <t>To attend Hong Kong Seafood Expo 2014 with New Brunswick delegation</t>
        </is>
      </c>
      <c r="G3194" t="inlineStr">
        <is>
          <t>Assister à l'exposition Hong Kong Seafood Expo 2014 avec la délégation du Nouveau-Brunswick</t>
        </is>
      </c>
      <c r="H3194" s="1" t="n">
        <v>41881</v>
      </c>
      <c r="I3194" s="1" t="n">
        <v>41888</v>
      </c>
      <c r="J3194" t="inlineStr">
        <is>
          <t>Hong Kong, Hong Kong</t>
        </is>
      </c>
      <c r="K3194" t="inlineStr">
        <is>
          <t>Hong Kong (Hong Kong)</t>
        </is>
      </c>
      <c r="P3194" t="n">
        <v>3555.35</v>
      </c>
      <c r="Q3194" t="n">
        <v>170.07</v>
      </c>
      <c r="R3194" t="n">
        <v>1495.03</v>
      </c>
      <c r="S3194" t="n">
        <v>768.14</v>
      </c>
      <c r="T3194" t="n">
        <v>9.949999999999999</v>
      </c>
      <c r="U3194" t="n">
        <v>5998.54</v>
      </c>
      <c r="X3194" t="inlineStr">
        <is>
          <t>acoa-apeca</t>
        </is>
      </c>
      <c r="Y3194" t="inlineStr">
        <is>
          <t>Atlantic Canada Opportunities Agency | Agence de promotion économique du Canada atlantique</t>
        </is>
      </c>
      <c r="Z3194" t="n">
        <v>8</v>
      </c>
      <c r="AA3194" t="n">
        <v>5998.54</v>
      </c>
      <c r="AB3194">
        <f>ROUND(U3194-AA3194,2)</f>
        <v/>
      </c>
      <c r="AC3194" t="b">
        <v>0</v>
      </c>
      <c r="AD3194">
        <f>IF(U3194="","MISSING_TOTAL",IF(ABS(AB3194)&lt;=0.01,"OK","CHECK"))</f>
        <v/>
      </c>
      <c r="AE3194">
        <f>IF(U3194="","MISSING",IF(AND(AA3194&gt;0,U3194/AA3194&gt;50),"POSSIBLE_SCALE_ERROR","OK"))</f>
        <v/>
      </c>
    </row>
    <row r="3195">
      <c r="A3195" t="inlineStr">
        <is>
          <t>T-2015-Q2-00060</t>
        </is>
      </c>
      <c r="B3195" t="inlineStr">
        <is>
          <t>MPSES</t>
        </is>
      </c>
      <c r="C3195" t="inlineStr">
        <is>
          <t>Executive Assistant</t>
        </is>
      </c>
      <c r="D3195" t="inlineStr">
        <is>
          <t>Adjoint exécutif</t>
        </is>
      </c>
      <c r="E3195" t="inlineStr">
        <is>
          <t>Josh Hardy</t>
        </is>
      </c>
      <c r="F3195" t="inlineStr">
        <is>
          <t>Travel to accompany Minister of State</t>
        </is>
      </c>
      <c r="G3195" t="inlineStr">
        <is>
          <t>Voyage pour accompagner le ministre d'État</t>
        </is>
      </c>
      <c r="H3195" s="1" t="n">
        <v>41879</v>
      </c>
      <c r="I3195" s="1" t="n">
        <v>41880</v>
      </c>
      <c r="J3195" t="inlineStr">
        <is>
          <t>O'Leary, Prince Edward Island</t>
        </is>
      </c>
      <c r="K3195" t="inlineStr">
        <is>
          <t>O'Leary (Île-du-Prince-Édouard)</t>
        </is>
      </c>
      <c r="P3195" t="n">
        <v>0</v>
      </c>
      <c r="Q3195" t="n">
        <v>0</v>
      </c>
      <c r="R3195" t="n">
        <v>153.9</v>
      </c>
      <c r="S3195" t="n">
        <v>122.15</v>
      </c>
      <c r="T3195" t="n">
        <v>0</v>
      </c>
      <c r="U3195" t="n">
        <v>276.05</v>
      </c>
      <c r="X3195" t="inlineStr">
        <is>
          <t>acoa-apeca</t>
        </is>
      </c>
      <c r="Y3195" t="inlineStr">
        <is>
          <t>Atlantic Canada Opportunities Agency | Agence de promotion économique du Canada atlantique</t>
        </is>
      </c>
      <c r="Z3195" t="n">
        <v>2</v>
      </c>
      <c r="AA3195" t="n">
        <v>276.05</v>
      </c>
      <c r="AB3195">
        <f>ROUND(U3195-AA3195,2)</f>
        <v/>
      </c>
      <c r="AC3195" t="b">
        <v>0</v>
      </c>
      <c r="AD3195">
        <f>IF(U3195="","MISSING_TOTAL",IF(ABS(AB3195)&lt;=0.01,"OK","CHECK"))</f>
        <v/>
      </c>
      <c r="AE3195">
        <f>IF(U3195="","MISSING",IF(AND(AA3195&gt;0,U3195/AA3195&gt;50),"POSSIBLE_SCALE_ERROR","OK"))</f>
        <v/>
      </c>
    </row>
    <row r="3196">
      <c r="A3196" t="inlineStr">
        <is>
          <t>T-2015-Q2-00059</t>
        </is>
      </c>
      <c r="B3196" t="inlineStr">
        <is>
          <t>MPSES</t>
        </is>
      </c>
      <c r="C3196" t="inlineStr">
        <is>
          <t>Chief of Staff</t>
        </is>
      </c>
      <c r="D3196" t="inlineStr">
        <is>
          <t>Chef de cabinet</t>
        </is>
      </c>
      <c r="E3196" t="inlineStr">
        <is>
          <t>Shane Bourke</t>
        </is>
      </c>
      <c r="F3196" t="inlineStr">
        <is>
          <t>Travel on government business</t>
        </is>
      </c>
      <c r="G3196" t="inlineStr">
        <is>
          <t>Voyage en service commandé</t>
        </is>
      </c>
      <c r="H3196" s="1" t="n">
        <v>41878</v>
      </c>
      <c r="I3196" s="1" t="n">
        <v>41880</v>
      </c>
      <c r="J3196" t="inlineStr">
        <is>
          <t>Moncton, New Brunswick</t>
        </is>
      </c>
      <c r="K3196" t="inlineStr">
        <is>
          <t>Moncton (Nouveau-Brunswick)</t>
        </is>
      </c>
      <c r="P3196" t="n">
        <v>565.55</v>
      </c>
      <c r="Q3196" t="n">
        <v>242.36</v>
      </c>
      <c r="R3196" t="n">
        <v>297.76</v>
      </c>
      <c r="S3196" t="n">
        <v>90.95</v>
      </c>
      <c r="T3196" t="n">
        <v>0</v>
      </c>
      <c r="U3196" t="n">
        <v>1196.62</v>
      </c>
      <c r="X3196" t="inlineStr">
        <is>
          <t>acoa-apeca</t>
        </is>
      </c>
      <c r="Y3196" t="inlineStr">
        <is>
          <t>Atlantic Canada Opportunities Agency | Agence de promotion économique du Canada atlantique</t>
        </is>
      </c>
      <c r="Z3196" t="n">
        <v>3</v>
      </c>
      <c r="AA3196" t="n">
        <v>1196.62</v>
      </c>
      <c r="AB3196">
        <f>ROUND(U3196-AA3196,2)</f>
        <v/>
      </c>
      <c r="AC3196" t="b">
        <v>0</v>
      </c>
      <c r="AD3196">
        <f>IF(U3196="","MISSING_TOTAL",IF(ABS(AB3196)&lt;=0.01,"OK","CHECK"))</f>
        <v/>
      </c>
      <c r="AE3196">
        <f>IF(U3196="","MISSING",IF(AND(AA3196&gt;0,U3196/AA3196&gt;50),"POSSIBLE_SCALE_ERROR","OK"))</f>
        <v/>
      </c>
    </row>
    <row r="3197">
      <c r="A3197" t="inlineStr">
        <is>
          <t>T-2015-Q2-00058</t>
        </is>
      </c>
      <c r="B3197" t="inlineStr">
        <is>
          <t>MPSES</t>
        </is>
      </c>
      <c r="C3197" t="inlineStr">
        <is>
          <t>Executive Assistant</t>
        </is>
      </c>
      <c r="D3197" t="inlineStr">
        <is>
          <t>Adjoint exécutif</t>
        </is>
      </c>
      <c r="E3197" t="inlineStr">
        <is>
          <t>Josh Hardy</t>
        </is>
      </c>
      <c r="F3197" t="inlineStr">
        <is>
          <t>Travel on government business</t>
        </is>
      </c>
      <c r="G3197" t="inlineStr">
        <is>
          <t>Voyage en service commandé</t>
        </is>
      </c>
      <c r="H3197" s="1" t="n">
        <v>41878</v>
      </c>
      <c r="I3197" s="1" t="n">
        <v>41878</v>
      </c>
      <c r="J3197" t="inlineStr">
        <is>
          <t>Wolfville, Nova Scotia</t>
        </is>
      </c>
      <c r="K3197" t="inlineStr">
        <is>
          <t>Wolfville (Nouvelle-Écosse)</t>
        </is>
      </c>
      <c r="P3197" t="n">
        <v>0</v>
      </c>
      <c r="Q3197" t="n">
        <v>0</v>
      </c>
      <c r="R3197" t="n">
        <v>0</v>
      </c>
      <c r="S3197" t="n">
        <v>73.65000000000001</v>
      </c>
      <c r="T3197" t="n">
        <v>0</v>
      </c>
      <c r="U3197" t="n">
        <v>73.65000000000001</v>
      </c>
      <c r="X3197" t="inlineStr">
        <is>
          <t>acoa-apeca</t>
        </is>
      </c>
      <c r="Y3197" t="inlineStr">
        <is>
          <t>Atlantic Canada Opportunities Agency | Agence de promotion économique du Canada atlantique</t>
        </is>
      </c>
      <c r="Z3197" t="n">
        <v>1</v>
      </c>
      <c r="AA3197" t="n">
        <v>73.65000000000001</v>
      </c>
      <c r="AB3197">
        <f>ROUND(U3197-AA3197,2)</f>
        <v/>
      </c>
      <c r="AC3197" t="b">
        <v>0</v>
      </c>
      <c r="AD3197">
        <f>IF(U3197="","MISSING_TOTAL",IF(ABS(AB3197)&lt;=0.01,"OK","CHECK"))</f>
        <v/>
      </c>
      <c r="AE3197">
        <f>IF(U3197="","MISSING",IF(AND(AA3197&gt;0,U3197/AA3197&gt;50),"POSSIBLE_SCALE_ERROR","OK"))</f>
        <v/>
      </c>
    </row>
    <row r="3198">
      <c r="A3198" t="inlineStr">
        <is>
          <t>T-2015-Q2-00057</t>
        </is>
      </c>
      <c r="B3198" t="inlineStr">
        <is>
          <t>MPSES</t>
        </is>
      </c>
      <c r="C3198" t="inlineStr">
        <is>
          <t>Minister of State</t>
        </is>
      </c>
      <c r="D3198" t="inlineStr">
        <is>
          <t>Ministre d'État</t>
        </is>
      </c>
      <c r="E3198" t="inlineStr">
        <is>
          <t>Rob Moore</t>
        </is>
      </c>
      <c r="F3198" t="inlineStr">
        <is>
          <t>To attend Government of Canada announcement and pre-budget roundtable</t>
        </is>
      </c>
      <c r="G3198" t="inlineStr">
        <is>
          <t>Assister à une annonce du gouvernement du Canada et à une table ronde prébudgétaire</t>
        </is>
      </c>
      <c r="H3198" s="1" t="n">
        <v>41878</v>
      </c>
      <c r="I3198" s="1" t="n">
        <v>41878</v>
      </c>
      <c r="J3198" t="inlineStr">
        <is>
          <t>Wolfville, Nova Scotia</t>
        </is>
      </c>
      <c r="K3198" t="inlineStr">
        <is>
          <t>Wolfville (Nouvelle-Écosse)</t>
        </is>
      </c>
      <c r="P3198" t="n">
        <v>0</v>
      </c>
      <c r="Q3198" t="n">
        <v>470.06</v>
      </c>
      <c r="R3198" t="n">
        <v>0</v>
      </c>
      <c r="S3198" t="n">
        <v>73.65000000000001</v>
      </c>
      <c r="T3198" t="n">
        <v>0</v>
      </c>
      <c r="U3198" t="n">
        <v>543.71</v>
      </c>
      <c r="X3198" t="inlineStr">
        <is>
          <t>acoa-apeca</t>
        </is>
      </c>
      <c r="Y3198" t="inlineStr">
        <is>
          <t>Atlantic Canada Opportunities Agency | Agence de promotion économique du Canada atlantique</t>
        </is>
      </c>
      <c r="Z3198" t="n">
        <v>1</v>
      </c>
      <c r="AA3198" t="n">
        <v>543.71</v>
      </c>
      <c r="AB3198">
        <f>ROUND(U3198-AA3198,2)</f>
        <v/>
      </c>
      <c r="AC3198" t="b">
        <v>0</v>
      </c>
      <c r="AD3198">
        <f>IF(U3198="","MISSING_TOTAL",IF(ABS(AB3198)&lt;=0.01,"OK","CHECK"))</f>
        <v/>
      </c>
      <c r="AE3198">
        <f>IF(U3198="","MISSING",IF(AND(AA3198&gt;0,U3198/AA3198&gt;50),"POSSIBLE_SCALE_ERROR","OK"))</f>
        <v/>
      </c>
    </row>
    <row r="3199">
      <c r="A3199" t="inlineStr">
        <is>
          <t>T-2015-Q2-00055</t>
        </is>
      </c>
      <c r="B3199" t="inlineStr">
        <is>
          <t>SLE</t>
        </is>
      </c>
      <c r="C3199" t="inlineStr">
        <is>
          <t>Vice-President, Prince Edward Island</t>
        </is>
      </c>
      <c r="D3199" t="inlineStr">
        <is>
          <t>Vice-président, Île-du-Prince-Édouard</t>
        </is>
      </c>
      <c r="E3199" t="inlineStr">
        <is>
          <t>Patrick Dorsey</t>
        </is>
      </c>
      <c r="F3199" t="inlineStr">
        <is>
          <t>Meetings in Western and Central Prince Edward Island</t>
        </is>
      </c>
      <c r="G3199" t="inlineStr">
        <is>
          <t>Réunions dans l'ouest et le centre de l'Île-du-Prince-Édouard</t>
        </is>
      </c>
      <c r="H3199" s="1" t="n">
        <v>41878</v>
      </c>
      <c r="I3199" s="1" t="n">
        <v>41879</v>
      </c>
      <c r="J3199" t="inlineStr">
        <is>
          <t>Western and Central Prince Edward Island</t>
        </is>
      </c>
      <c r="K3199" t="inlineStr">
        <is>
          <t>Ouest et centre de l'Île-du-Prince-Édouard</t>
        </is>
      </c>
      <c r="P3199" t="n">
        <v>0</v>
      </c>
      <c r="Q3199" t="n">
        <v>0</v>
      </c>
      <c r="R3199" t="n">
        <v>0</v>
      </c>
      <c r="S3199" t="n">
        <v>57.7</v>
      </c>
      <c r="T3199" t="n">
        <v>0</v>
      </c>
      <c r="U3199" t="n">
        <v>57.7</v>
      </c>
      <c r="X3199" t="inlineStr">
        <is>
          <t>acoa-apeca</t>
        </is>
      </c>
      <c r="Y3199" t="inlineStr">
        <is>
          <t>Atlantic Canada Opportunities Agency | Agence de promotion économique du Canada atlantique</t>
        </is>
      </c>
      <c r="Z3199" t="n">
        <v>2</v>
      </c>
      <c r="AA3199" t="n">
        <v>57.7</v>
      </c>
      <c r="AB3199">
        <f>ROUND(U3199-AA3199,2)</f>
        <v/>
      </c>
      <c r="AC3199" t="b">
        <v>0</v>
      </c>
      <c r="AD3199">
        <f>IF(U3199="","MISSING_TOTAL",IF(ABS(AB3199)&lt;=0.01,"OK","CHECK"))</f>
        <v/>
      </c>
      <c r="AE3199">
        <f>IF(U3199="","MISSING",IF(AND(AA3199&gt;0,U3199/AA3199&gt;50),"POSSIBLE_SCALE_ERROR","OK"))</f>
        <v/>
      </c>
    </row>
    <row r="3200">
      <c r="A3200" t="inlineStr">
        <is>
          <t>T-2015-Q2-00054</t>
        </is>
      </c>
      <c r="B3200" t="inlineStr">
        <is>
          <t>SLE</t>
        </is>
      </c>
      <c r="C3200" t="inlineStr">
        <is>
          <t>Vice-President, Finance and Corporate Services</t>
        </is>
      </c>
      <c r="D3200" t="inlineStr">
        <is>
          <t>Vice-présidente, Finances et Services corporatifs</t>
        </is>
      </c>
      <c r="E3200" t="inlineStr">
        <is>
          <t>Denise Frenette</t>
        </is>
      </c>
      <c r="F3200" t="inlineStr">
        <is>
          <t>Interviews in Ottawa</t>
        </is>
      </c>
      <c r="G3200" t="inlineStr">
        <is>
          <t>Entrevues à Ottawa</t>
        </is>
      </c>
      <c r="H3200" s="1" t="n">
        <v>41877</v>
      </c>
      <c r="I3200" s="1" t="n">
        <v>41878</v>
      </c>
      <c r="J3200" t="inlineStr">
        <is>
          <t>Ottawa, Ontario</t>
        </is>
      </c>
      <c r="K3200" t="inlineStr">
        <is>
          <t>Ottawa (Ontario)</t>
        </is>
      </c>
      <c r="P3200" t="n">
        <v>0</v>
      </c>
      <c r="Q3200" t="n">
        <v>62.14</v>
      </c>
      <c r="R3200" t="n">
        <v>182.73</v>
      </c>
      <c r="S3200" t="n">
        <v>150.7</v>
      </c>
      <c r="T3200" t="n">
        <v>0</v>
      </c>
      <c r="U3200" t="n">
        <v>395.57</v>
      </c>
      <c r="X3200" t="inlineStr">
        <is>
          <t>acoa-apeca</t>
        </is>
      </c>
      <c r="Y3200" t="inlineStr">
        <is>
          <t>Atlantic Canada Opportunities Agency | Agence de promotion économique du Canada atlantique</t>
        </is>
      </c>
      <c r="Z3200" t="n">
        <v>2</v>
      </c>
      <c r="AA3200" t="n">
        <v>395.57</v>
      </c>
      <c r="AB3200">
        <f>ROUND(U3200-AA3200,2)</f>
        <v/>
      </c>
      <c r="AC3200" t="b">
        <v>0</v>
      </c>
      <c r="AD3200">
        <f>IF(U3200="","MISSING_TOTAL",IF(ABS(AB3200)&lt;=0.01,"OK","CHECK"))</f>
        <v/>
      </c>
      <c r="AE3200">
        <f>IF(U3200="","MISSING",IF(AND(AA3200&gt;0,U3200/AA3200&gt;50),"POSSIBLE_SCALE_ERROR","OK"))</f>
        <v/>
      </c>
    </row>
    <row r="3201">
      <c r="A3201" t="inlineStr">
        <is>
          <t>T-2015-Q2-00051</t>
        </is>
      </c>
      <c r="B3201" t="inlineStr">
        <is>
          <t>MPSES</t>
        </is>
      </c>
      <c r="C3201" t="inlineStr">
        <is>
          <t>Minister of State</t>
        </is>
      </c>
      <c r="D3201" t="inlineStr">
        <is>
          <t>Ministre d'État</t>
        </is>
      </c>
      <c r="E3201" t="inlineStr">
        <is>
          <t>Rob Moore</t>
        </is>
      </c>
      <c r="F3201" t="inlineStr">
        <is>
          <t>To attend Government of Canada announcement</t>
        </is>
      </c>
      <c r="G3201" t="inlineStr">
        <is>
          <t>Assister à une annonce du gouvernement du Canada</t>
        </is>
      </c>
      <c r="H3201" s="1" t="n">
        <v>41869</v>
      </c>
      <c r="I3201" s="1" t="n">
        <v>41869</v>
      </c>
      <c r="J3201" t="inlineStr">
        <is>
          <t>Fredericton, New Brunswick</t>
        </is>
      </c>
      <c r="K3201" t="inlineStr">
        <is>
          <t>Fredericton (Nouveau-Brunswick)</t>
        </is>
      </c>
      <c r="P3201" t="n">
        <v>0</v>
      </c>
      <c r="Q3201" t="n">
        <v>138.72</v>
      </c>
      <c r="R3201" t="n">
        <v>0</v>
      </c>
      <c r="S3201" t="n">
        <v>0</v>
      </c>
      <c r="T3201" t="n">
        <v>0</v>
      </c>
      <c r="U3201" t="n">
        <v>138.72</v>
      </c>
      <c r="X3201" t="inlineStr">
        <is>
          <t>acoa-apeca</t>
        </is>
      </c>
      <c r="Y3201" t="inlineStr">
        <is>
          <t>Atlantic Canada Opportunities Agency | Agence de promotion économique du Canada atlantique</t>
        </is>
      </c>
      <c r="Z3201" t="n">
        <v>1</v>
      </c>
      <c r="AA3201" t="n">
        <v>138.72</v>
      </c>
      <c r="AB3201">
        <f>ROUND(U3201-AA3201,2)</f>
        <v/>
      </c>
      <c r="AC3201" t="b">
        <v>0</v>
      </c>
      <c r="AD3201">
        <f>IF(U3201="","MISSING_TOTAL",IF(ABS(AB3201)&lt;=0.01,"OK","CHECK"))</f>
        <v/>
      </c>
      <c r="AE3201">
        <f>IF(U3201="","MISSING",IF(AND(AA3201&gt;0,U3201/AA3201&gt;50),"POSSIBLE_SCALE_ERROR","OK"))</f>
        <v/>
      </c>
    </row>
    <row r="3202">
      <c r="A3202" t="inlineStr">
        <is>
          <t>T-2015-Q2-00050</t>
        </is>
      </c>
      <c r="B3202" t="inlineStr">
        <is>
          <t>SLE</t>
        </is>
      </c>
      <c r="C3202" t="inlineStr">
        <is>
          <t>Vice-President, Newfoundland and Labrador</t>
        </is>
      </c>
      <c r="D3202" t="inlineStr">
        <is>
          <t>Vice-président, Terre-Neuve-et-Labrador</t>
        </is>
      </c>
      <c r="E3202" t="inlineStr">
        <is>
          <t>Paul Mills</t>
        </is>
      </c>
      <c r="F3202" t="inlineStr">
        <is>
          <t>Client meetings across Newfoundland and Southern Labrador</t>
        </is>
      </c>
      <c r="G3202" t="inlineStr">
        <is>
          <t>Réunions avec des clients à Terre-Neuve et dans le sud du Labrador</t>
        </is>
      </c>
      <c r="H3202" s="1" t="n">
        <v>41867</v>
      </c>
      <c r="I3202" s="1" t="n">
        <v>41872</v>
      </c>
      <c r="J3202" t="inlineStr">
        <is>
          <t>Battle Harbour, Newfoundland and Labrador</t>
        </is>
      </c>
      <c r="K3202" t="inlineStr">
        <is>
          <t>Battle Harbour (Terre-Neuve-et-Labrador)</t>
        </is>
      </c>
      <c r="P3202" t="n">
        <v>0</v>
      </c>
      <c r="Q3202" t="n">
        <v>1424.33</v>
      </c>
      <c r="R3202" t="n">
        <v>1037.44</v>
      </c>
      <c r="S3202" t="n">
        <v>487.3</v>
      </c>
      <c r="T3202" t="n">
        <v>10.54</v>
      </c>
      <c r="U3202" t="n">
        <v>2959.61</v>
      </c>
      <c r="X3202" t="inlineStr">
        <is>
          <t>acoa-apeca</t>
        </is>
      </c>
      <c r="Y3202" t="inlineStr">
        <is>
          <t>Atlantic Canada Opportunities Agency | Agence de promotion économique du Canada atlantique</t>
        </is>
      </c>
      <c r="Z3202" t="n">
        <v>6</v>
      </c>
      <c r="AA3202" t="n">
        <v>2959.61</v>
      </c>
      <c r="AB3202">
        <f>ROUND(U3202-AA3202,2)</f>
        <v/>
      </c>
      <c r="AC3202" t="b">
        <v>0</v>
      </c>
      <c r="AD3202">
        <f>IF(U3202="","MISSING_TOTAL",IF(ABS(AB3202)&lt;=0.01,"OK","CHECK"))</f>
        <v/>
      </c>
      <c r="AE3202">
        <f>IF(U3202="","MISSING",IF(AND(AA3202&gt;0,U3202/AA3202&gt;50),"POSSIBLE_SCALE_ERROR","OK"))</f>
        <v/>
      </c>
    </row>
    <row r="3203">
      <c r="A3203" t="inlineStr">
        <is>
          <t>T-2015-Q2-00049</t>
        </is>
      </c>
      <c r="B3203" t="inlineStr">
        <is>
          <t>SLE</t>
        </is>
      </c>
      <c r="C3203" t="inlineStr">
        <is>
          <t>Vice-President, Prince Edward Island</t>
        </is>
      </c>
      <c r="D3203" t="inlineStr">
        <is>
          <t>Vice-président, Île-du-Prince-Édouard</t>
        </is>
      </c>
      <c r="E3203" t="inlineStr">
        <is>
          <t>Patrick Dorsey</t>
        </is>
      </c>
      <c r="F3203" t="inlineStr">
        <is>
          <t>Meetings - 2014 Annual PEI Aerospace Conference</t>
        </is>
      </c>
      <c r="G3203" t="inlineStr">
        <is>
          <t>Réunions - conférence annuelle de 2014 sur l'aérospatiale à l'Île-du-Prince-Édouard</t>
        </is>
      </c>
      <c r="H3203" s="1" t="n">
        <v>41863</v>
      </c>
      <c r="I3203" s="1" t="n">
        <v>41865</v>
      </c>
      <c r="J3203" t="inlineStr">
        <is>
          <t>Brudenell, Prince Edward Island</t>
        </is>
      </c>
      <c r="K3203" t="inlineStr">
        <is>
          <t>Brudenell (Île-du-Prince-Édouard)</t>
        </is>
      </c>
      <c r="P3203" t="n">
        <v>0</v>
      </c>
      <c r="Q3203" t="n">
        <v>0</v>
      </c>
      <c r="R3203" t="n">
        <v>271.32</v>
      </c>
      <c r="S3203" t="n">
        <v>110.3</v>
      </c>
      <c r="T3203" t="n">
        <v>0</v>
      </c>
      <c r="U3203" t="n">
        <v>381.62</v>
      </c>
      <c r="X3203" t="inlineStr">
        <is>
          <t>acoa-apeca</t>
        </is>
      </c>
      <c r="Y3203" t="inlineStr">
        <is>
          <t>Atlantic Canada Opportunities Agency | Agence de promotion économique du Canada atlantique</t>
        </is>
      </c>
      <c r="Z3203" t="n">
        <v>3</v>
      </c>
      <c r="AA3203" t="n">
        <v>381.62</v>
      </c>
      <c r="AB3203">
        <f>ROUND(U3203-AA3203,2)</f>
        <v/>
      </c>
      <c r="AC3203" t="b">
        <v>0</v>
      </c>
      <c r="AD3203">
        <f>IF(U3203="","MISSING_TOTAL",IF(ABS(AB3203)&lt;=0.01,"OK","CHECK"))</f>
        <v/>
      </c>
      <c r="AE3203">
        <f>IF(U3203="","MISSING",IF(AND(AA3203&gt;0,U3203/AA3203&gt;50),"POSSIBLE_SCALE_ERROR","OK"))</f>
        <v/>
      </c>
    </row>
    <row r="3204">
      <c r="A3204" t="inlineStr">
        <is>
          <t>T-2015-Q2-00048</t>
        </is>
      </c>
      <c r="B3204" t="inlineStr">
        <is>
          <t>MPSES</t>
        </is>
      </c>
      <c r="C3204" t="inlineStr">
        <is>
          <t>Special Assistant (Policy &amp; Caucus Liaison)</t>
        </is>
      </c>
      <c r="D3204" t="inlineStr">
        <is>
          <t>Adjointe spéciale (politiques &amp; liaison avec le caucus)</t>
        </is>
      </c>
      <c r="E3204" t="inlineStr">
        <is>
          <t>Kelsie Corey</t>
        </is>
      </c>
      <c r="F3204" t="inlineStr">
        <is>
          <t>Travel on government business</t>
        </is>
      </c>
      <c r="G3204" t="inlineStr">
        <is>
          <t>Voyage en service commandé</t>
        </is>
      </c>
      <c r="H3204" s="1" t="n">
        <v>41850</v>
      </c>
      <c r="I3204" s="1" t="n">
        <v>41851</v>
      </c>
      <c r="J3204" t="inlineStr">
        <is>
          <t>Fredericton, New Brunswick</t>
        </is>
      </c>
      <c r="K3204" t="inlineStr">
        <is>
          <t>Fredericton (Nouveau-Brunswick)</t>
        </is>
      </c>
      <c r="P3204" t="n">
        <v>1353.48</v>
      </c>
      <c r="Q3204" t="n">
        <v>67.77</v>
      </c>
      <c r="R3204" t="n">
        <v>163.85</v>
      </c>
      <c r="S3204" t="n">
        <v>90.95</v>
      </c>
      <c r="T3204" t="n">
        <v>0</v>
      </c>
      <c r="U3204" t="n">
        <v>1676.05</v>
      </c>
      <c r="X3204" t="inlineStr">
        <is>
          <t>acoa-apeca</t>
        </is>
      </c>
      <c r="Y3204" t="inlineStr">
        <is>
          <t>Atlantic Canada Opportunities Agency | Agence de promotion économique du Canada atlantique</t>
        </is>
      </c>
      <c r="Z3204" t="n">
        <v>2</v>
      </c>
      <c r="AA3204" t="n">
        <v>1676.05</v>
      </c>
      <c r="AB3204">
        <f>ROUND(U3204-AA3204,2)</f>
        <v/>
      </c>
      <c r="AC3204" t="b">
        <v>0</v>
      </c>
      <c r="AD3204">
        <f>IF(U3204="","MISSING_TOTAL",IF(ABS(AB3204)&lt;=0.01,"OK","CHECK"))</f>
        <v/>
      </c>
      <c r="AE3204">
        <f>IF(U3204="","MISSING",IF(AND(AA3204&gt;0,U3204/AA3204&gt;50),"POSSIBLE_SCALE_ERROR","OK"))</f>
        <v/>
      </c>
    </row>
    <row r="3205">
      <c r="A3205" t="inlineStr">
        <is>
          <t>T-2015-Q2-00047</t>
        </is>
      </c>
      <c r="B3205" t="inlineStr">
        <is>
          <t>MPSES</t>
        </is>
      </c>
      <c r="C3205" t="inlineStr">
        <is>
          <t>Minister of State</t>
        </is>
      </c>
      <c r="D3205" t="inlineStr">
        <is>
          <t>Ministre d'État</t>
        </is>
      </c>
      <c r="E3205" t="inlineStr">
        <is>
          <t>Rob Moore</t>
        </is>
      </c>
      <c r="F3205" t="inlineStr">
        <is>
          <t>Travel to attend Government of Canada announcement</t>
        </is>
      </c>
      <c r="G3205" t="inlineStr">
        <is>
          <t>Assister à une annonce du gouvernement du Canada</t>
        </is>
      </c>
      <c r="H3205" s="1" t="n">
        <v>41845</v>
      </c>
      <c r="I3205" s="1" t="n">
        <v>41845</v>
      </c>
      <c r="J3205" t="inlineStr">
        <is>
          <t>Riverview, New Brunswick</t>
        </is>
      </c>
      <c r="K3205" t="inlineStr">
        <is>
          <t>Riverview (Nouveau-Brunswick)</t>
        </is>
      </c>
      <c r="P3205" t="n">
        <v>0</v>
      </c>
      <c r="Q3205" t="n">
        <v>137.7</v>
      </c>
      <c r="R3205" t="n">
        <v>0</v>
      </c>
      <c r="S3205" t="n">
        <v>0</v>
      </c>
      <c r="T3205" t="n">
        <v>0</v>
      </c>
      <c r="U3205" t="n">
        <v>137.7</v>
      </c>
      <c r="X3205" t="inlineStr">
        <is>
          <t>acoa-apeca</t>
        </is>
      </c>
      <c r="Y3205" t="inlineStr">
        <is>
          <t>Atlantic Canada Opportunities Agency | Agence de promotion économique du Canada atlantique</t>
        </is>
      </c>
      <c r="Z3205" t="n">
        <v>1</v>
      </c>
      <c r="AA3205" t="n">
        <v>137.7</v>
      </c>
      <c r="AB3205">
        <f>ROUND(U3205-AA3205,2)</f>
        <v/>
      </c>
      <c r="AC3205" t="b">
        <v>0</v>
      </c>
      <c r="AD3205">
        <f>IF(U3205="","MISSING_TOTAL",IF(ABS(AB3205)&lt;=0.01,"OK","CHECK"))</f>
        <v/>
      </c>
      <c r="AE3205">
        <f>IF(U3205="","MISSING",IF(AND(AA3205&gt;0,U3205/AA3205&gt;50),"POSSIBLE_SCALE_ERROR","OK"))</f>
        <v/>
      </c>
    </row>
    <row r="3206">
      <c r="A3206" t="inlineStr">
        <is>
          <t>T-2015-Q2-00045</t>
        </is>
      </c>
      <c r="B3206" t="inlineStr">
        <is>
          <t>MPSES</t>
        </is>
      </c>
      <c r="C3206" t="inlineStr">
        <is>
          <t>Executive Assistant</t>
        </is>
      </c>
      <c r="D3206" t="inlineStr">
        <is>
          <t>Adjoint exécutif</t>
        </is>
      </c>
      <c r="E3206" t="inlineStr">
        <is>
          <t>Josh Hardy</t>
        </is>
      </c>
      <c r="F3206" t="inlineStr">
        <is>
          <t>Travel on government business</t>
        </is>
      </c>
      <c r="G3206" t="inlineStr">
        <is>
          <t>Voyage en service commandé</t>
        </is>
      </c>
      <c r="H3206" s="1" t="n">
        <v>41838</v>
      </c>
      <c r="I3206" s="1" t="n">
        <v>41838</v>
      </c>
      <c r="J3206" t="inlineStr">
        <is>
          <t>Charlottetown, Prince Edward Island</t>
        </is>
      </c>
      <c r="K3206" t="inlineStr">
        <is>
          <t>Charlottetown (Île-du-Prince-Édouard)</t>
        </is>
      </c>
      <c r="P3206" t="n">
        <v>0</v>
      </c>
      <c r="Q3206" t="n">
        <v>0</v>
      </c>
      <c r="R3206" t="n">
        <v>0</v>
      </c>
      <c r="S3206" t="n">
        <v>57.7</v>
      </c>
      <c r="T3206" t="n">
        <v>0</v>
      </c>
      <c r="U3206" t="n">
        <v>57.7</v>
      </c>
      <c r="X3206" t="inlineStr">
        <is>
          <t>acoa-apeca</t>
        </is>
      </c>
      <c r="Y3206" t="inlineStr">
        <is>
          <t>Atlantic Canada Opportunities Agency | Agence de promotion économique du Canada atlantique</t>
        </is>
      </c>
      <c r="Z3206" t="n">
        <v>1</v>
      </c>
      <c r="AA3206" t="n">
        <v>57.7</v>
      </c>
      <c r="AB3206">
        <f>ROUND(U3206-AA3206,2)</f>
        <v/>
      </c>
      <c r="AC3206" t="b">
        <v>0</v>
      </c>
      <c r="AD3206">
        <f>IF(U3206="","MISSING_TOTAL",IF(ABS(AB3206)&lt;=0.01,"OK","CHECK"))</f>
        <v/>
      </c>
      <c r="AE3206">
        <f>IF(U3206="","MISSING",IF(AND(AA3206&gt;0,U3206/AA3206&gt;50),"POSSIBLE_SCALE_ERROR","OK"))</f>
        <v/>
      </c>
    </row>
    <row r="3207">
      <c r="A3207" t="inlineStr">
        <is>
          <t>T-2015-Q2-00044</t>
        </is>
      </c>
      <c r="B3207" t="inlineStr">
        <is>
          <t>MPSES</t>
        </is>
      </c>
      <c r="C3207" t="inlineStr">
        <is>
          <t>Minister of State</t>
        </is>
      </c>
      <c r="D3207" t="inlineStr">
        <is>
          <t>Ministre d'État</t>
        </is>
      </c>
      <c r="E3207" t="inlineStr">
        <is>
          <t>Rob Moore</t>
        </is>
      </c>
      <c r="F3207" t="inlineStr">
        <is>
          <t>Travel to attend two Government of Canada announcements and stakeholder meeting</t>
        </is>
      </c>
      <c r="G3207" t="inlineStr">
        <is>
          <t>Assister à deux annonces du gouvernement du Canada et à une réunion d'intervenants</t>
        </is>
      </c>
      <c r="H3207" s="1" t="n">
        <v>41838</v>
      </c>
      <c r="I3207" s="1" t="n">
        <v>41838</v>
      </c>
      <c r="J3207" t="inlineStr">
        <is>
          <t>Borden and Charlottetown, Prince Edward Island</t>
        </is>
      </c>
      <c r="K3207" t="inlineStr">
        <is>
          <t>Borden et Charlottetown (Île-du-Prince-Édouard)</t>
        </is>
      </c>
      <c r="P3207" t="n">
        <v>0</v>
      </c>
      <c r="Q3207" t="n">
        <v>353.04</v>
      </c>
      <c r="R3207" t="n">
        <v>0</v>
      </c>
      <c r="S3207" t="n">
        <v>57.7</v>
      </c>
      <c r="T3207" t="n">
        <v>0</v>
      </c>
      <c r="U3207" t="n">
        <v>410.74</v>
      </c>
      <c r="X3207" t="inlineStr">
        <is>
          <t>acoa-apeca</t>
        </is>
      </c>
      <c r="Y3207" t="inlineStr">
        <is>
          <t>Atlantic Canada Opportunities Agency | Agence de promotion économique du Canada atlantique</t>
        </is>
      </c>
      <c r="Z3207" t="n">
        <v>1</v>
      </c>
      <c r="AA3207" t="n">
        <v>410.74</v>
      </c>
      <c r="AB3207">
        <f>ROUND(U3207-AA3207,2)</f>
        <v/>
      </c>
      <c r="AC3207" t="b">
        <v>0</v>
      </c>
      <c r="AD3207">
        <f>IF(U3207="","MISSING_TOTAL",IF(ABS(AB3207)&lt;=0.01,"OK","CHECK"))</f>
        <v/>
      </c>
      <c r="AE3207">
        <f>IF(U3207="","MISSING",IF(AND(AA3207&gt;0,U3207/AA3207&gt;50),"POSSIBLE_SCALE_ERROR","OK"))</f>
        <v/>
      </c>
    </row>
    <row r="3208">
      <c r="A3208" t="inlineStr">
        <is>
          <t>T-2015-Q2-00043</t>
        </is>
      </c>
      <c r="B3208" t="inlineStr">
        <is>
          <t>MPSES</t>
        </is>
      </c>
      <c r="C3208" t="inlineStr">
        <is>
          <t>Minister of State</t>
        </is>
      </c>
      <c r="D3208" t="inlineStr">
        <is>
          <t>Ministre d'État</t>
        </is>
      </c>
      <c r="E3208" t="inlineStr">
        <is>
          <t>Rob Moore</t>
        </is>
      </c>
      <c r="F3208" t="inlineStr">
        <is>
          <t>To attend Government of Canada announcement and pre-budget roundtable</t>
        </is>
      </c>
      <c r="G3208" t="inlineStr">
        <is>
          <t>Assister à une annonce du gouvernement du Canada et à une table ronde prébudgétaire</t>
        </is>
      </c>
      <c r="H3208" s="1" t="n">
        <v>41836</v>
      </c>
      <c r="I3208" s="1" t="n">
        <v>41836</v>
      </c>
      <c r="J3208" t="inlineStr">
        <is>
          <t>Moncton, New Brunswick</t>
        </is>
      </c>
      <c r="K3208" t="inlineStr">
        <is>
          <t>Moncton (Nouveau-Brunswick)</t>
        </is>
      </c>
      <c r="P3208" t="n">
        <v>0</v>
      </c>
      <c r="Q3208" t="n">
        <v>143.31</v>
      </c>
      <c r="R3208" t="n">
        <v>0</v>
      </c>
      <c r="S3208" t="n">
        <v>15.25</v>
      </c>
      <c r="T3208" t="n">
        <v>0</v>
      </c>
      <c r="U3208" t="n">
        <v>158.56</v>
      </c>
      <c r="X3208" t="inlineStr">
        <is>
          <t>acoa-apeca</t>
        </is>
      </c>
      <c r="Y3208" t="inlineStr">
        <is>
          <t>Atlantic Canada Opportunities Agency | Agence de promotion économique du Canada atlantique</t>
        </is>
      </c>
      <c r="Z3208" t="n">
        <v>1</v>
      </c>
      <c r="AA3208" t="n">
        <v>158.56</v>
      </c>
      <c r="AB3208">
        <f>ROUND(U3208-AA3208,2)</f>
        <v/>
      </c>
      <c r="AC3208" t="b">
        <v>0</v>
      </c>
      <c r="AD3208">
        <f>IF(U3208="","MISSING_TOTAL",IF(ABS(AB3208)&lt;=0.01,"OK","CHECK"))</f>
        <v/>
      </c>
      <c r="AE3208">
        <f>IF(U3208="","MISSING",IF(AND(AA3208&gt;0,U3208/AA3208&gt;50),"POSSIBLE_SCALE_ERROR","OK"))</f>
        <v/>
      </c>
    </row>
    <row r="3209">
      <c r="A3209" t="inlineStr">
        <is>
          <t>T-2015-Q2-00042</t>
        </is>
      </c>
      <c r="B3209" t="inlineStr">
        <is>
          <t>SLE</t>
        </is>
      </c>
      <c r="C3209" t="inlineStr">
        <is>
          <t>Vice-President, New Brunswick</t>
        </is>
      </c>
      <c r="D3209" t="inlineStr">
        <is>
          <t>Vice-président, Nouveau-Brunswick</t>
        </is>
      </c>
      <c r="E3209" t="inlineStr">
        <is>
          <t>Kent Estabrooks</t>
        </is>
      </c>
      <c r="F3209" t="inlineStr">
        <is>
          <t>Meetings with various federal officials</t>
        </is>
      </c>
      <c r="G3209" t="inlineStr">
        <is>
          <t>Réunions avec divers fonctionnaires fédéraux</t>
        </is>
      </c>
      <c r="H3209" s="1" t="n">
        <v>41836</v>
      </c>
      <c r="I3209" s="1" t="n">
        <v>41838</v>
      </c>
      <c r="J3209" t="inlineStr">
        <is>
          <t>Ottawa, Ontario</t>
        </is>
      </c>
      <c r="K3209" t="inlineStr">
        <is>
          <t>Ottawa (Ontario)</t>
        </is>
      </c>
      <c r="P3209" t="n">
        <v>892.7</v>
      </c>
      <c r="Q3209" t="n">
        <v>92.5</v>
      </c>
      <c r="R3209" t="n">
        <v>366.46</v>
      </c>
      <c r="S3209" t="n">
        <v>167.3</v>
      </c>
      <c r="T3209" t="n">
        <v>0</v>
      </c>
      <c r="U3209" t="n">
        <v>1518.96</v>
      </c>
      <c r="X3209" t="inlineStr">
        <is>
          <t>acoa-apeca</t>
        </is>
      </c>
      <c r="Y3209" t="inlineStr">
        <is>
          <t>Atlantic Canada Opportunities Agency | Agence de promotion économique du Canada atlantique</t>
        </is>
      </c>
      <c r="Z3209" t="n">
        <v>3</v>
      </c>
      <c r="AA3209" t="n">
        <v>1518.96</v>
      </c>
      <c r="AB3209">
        <f>ROUND(U3209-AA3209,2)</f>
        <v/>
      </c>
      <c r="AC3209" t="b">
        <v>0</v>
      </c>
      <c r="AD3209">
        <f>IF(U3209="","MISSING_TOTAL",IF(ABS(AB3209)&lt;=0.01,"OK","CHECK"))</f>
        <v/>
      </c>
      <c r="AE3209">
        <f>IF(U3209="","MISSING",IF(AND(AA3209&gt;0,U3209/AA3209&gt;50),"POSSIBLE_SCALE_ERROR","OK"))</f>
        <v/>
      </c>
    </row>
    <row r="3210">
      <c r="A3210" t="inlineStr">
        <is>
          <t>T-2015-Q2-00041</t>
        </is>
      </c>
      <c r="B3210" t="inlineStr">
        <is>
          <t>SLE</t>
        </is>
      </c>
      <c r="C3210" t="inlineStr">
        <is>
          <t>Vice-President, Prince Edward Island</t>
        </is>
      </c>
      <c r="D3210" t="inlineStr">
        <is>
          <t>Vice-président, Île-du-Prince-Édouard</t>
        </is>
      </c>
      <c r="E3210" t="inlineStr">
        <is>
          <t>Patrick Dorsey</t>
        </is>
      </c>
      <c r="F3210" t="inlineStr">
        <is>
          <t>Meetings with Government of Canada officials</t>
        </is>
      </c>
      <c r="G3210" t="inlineStr">
        <is>
          <t>Réunions avec des fonctionnaires du gouvernement du Canada</t>
        </is>
      </c>
      <c r="H3210" s="1" t="n">
        <v>41836</v>
      </c>
      <c r="I3210" s="1" t="n">
        <v>41836</v>
      </c>
      <c r="J3210" t="inlineStr">
        <is>
          <t>Moncton, New Brunswick</t>
        </is>
      </c>
      <c r="K3210" t="inlineStr">
        <is>
          <t>Moncton (Nouveau-Brunswick)</t>
        </is>
      </c>
      <c r="P3210" t="n">
        <v>0</v>
      </c>
      <c r="Q3210" t="n">
        <v>45</v>
      </c>
      <c r="R3210" t="n">
        <v>0</v>
      </c>
      <c r="S3210" t="n">
        <v>15.25</v>
      </c>
      <c r="T3210" t="n">
        <v>0</v>
      </c>
      <c r="U3210" t="n">
        <v>60.25</v>
      </c>
      <c r="X3210" t="inlineStr">
        <is>
          <t>acoa-apeca</t>
        </is>
      </c>
      <c r="Y3210" t="inlineStr">
        <is>
          <t>Atlantic Canada Opportunities Agency | Agence de promotion économique du Canada atlantique</t>
        </is>
      </c>
      <c r="Z3210" t="n">
        <v>1</v>
      </c>
      <c r="AA3210" t="n">
        <v>60.25</v>
      </c>
      <c r="AB3210">
        <f>ROUND(U3210-AA3210,2)</f>
        <v/>
      </c>
      <c r="AC3210" t="b">
        <v>0</v>
      </c>
      <c r="AD3210">
        <f>IF(U3210="","MISSING_TOTAL",IF(ABS(AB3210)&lt;=0.01,"OK","CHECK"))</f>
        <v/>
      </c>
      <c r="AE3210">
        <f>IF(U3210="","MISSING",IF(AND(AA3210&gt;0,U3210/AA3210&gt;50),"POSSIBLE_SCALE_ERROR","OK"))</f>
        <v/>
      </c>
    </row>
    <row r="3211">
      <c r="A3211" t="inlineStr">
        <is>
          <t>T-2015-Q2-00040</t>
        </is>
      </c>
      <c r="B3211" t="inlineStr">
        <is>
          <t>MPSES</t>
        </is>
      </c>
      <c r="C3211" t="inlineStr">
        <is>
          <t>Executive Assistant</t>
        </is>
      </c>
      <c r="D3211" t="inlineStr">
        <is>
          <t>Adjoint exécutif</t>
        </is>
      </c>
      <c r="E3211" t="inlineStr">
        <is>
          <t>Josh Hardy</t>
        </is>
      </c>
      <c r="F3211" t="inlineStr">
        <is>
          <t>Travel on government business</t>
        </is>
      </c>
      <c r="G3211" t="inlineStr">
        <is>
          <t>Voyage en service commandé</t>
        </is>
      </c>
      <c r="H3211" s="1" t="n">
        <v>41835</v>
      </c>
      <c r="I3211" s="1" t="n">
        <v>41835</v>
      </c>
      <c r="J3211" t="inlineStr">
        <is>
          <t>Woodstock, New Brunswick</t>
        </is>
      </c>
      <c r="K3211" t="inlineStr">
        <is>
          <t>Woodstock (Nouveau-Brunswick)</t>
        </is>
      </c>
      <c r="P3211" t="n">
        <v>0</v>
      </c>
      <c r="Q3211" t="n">
        <v>0</v>
      </c>
      <c r="R3211" t="n">
        <v>0</v>
      </c>
      <c r="S3211" t="n">
        <v>42.45</v>
      </c>
      <c r="T3211" t="n">
        <v>0</v>
      </c>
      <c r="U3211" t="n">
        <v>42.45</v>
      </c>
      <c r="X3211" t="inlineStr">
        <is>
          <t>acoa-apeca</t>
        </is>
      </c>
      <c r="Y3211" t="inlineStr">
        <is>
          <t>Atlantic Canada Opportunities Agency | Agence de promotion économique du Canada atlantique</t>
        </is>
      </c>
      <c r="Z3211" t="n">
        <v>1</v>
      </c>
      <c r="AA3211" t="n">
        <v>42.45</v>
      </c>
      <c r="AB3211">
        <f>ROUND(U3211-AA3211,2)</f>
        <v/>
      </c>
      <c r="AC3211" t="b">
        <v>0</v>
      </c>
      <c r="AD3211">
        <f>IF(U3211="","MISSING_TOTAL",IF(ABS(AB3211)&lt;=0.01,"OK","CHECK"))</f>
        <v/>
      </c>
      <c r="AE3211">
        <f>IF(U3211="","MISSING",IF(AND(AA3211&gt;0,U3211/AA3211&gt;50),"POSSIBLE_SCALE_ERROR","OK"))</f>
        <v/>
      </c>
    </row>
    <row r="3212">
      <c r="A3212" t="inlineStr">
        <is>
          <t>T-2015-Q2-00039</t>
        </is>
      </c>
      <c r="B3212" t="inlineStr">
        <is>
          <t>MPSES</t>
        </is>
      </c>
      <c r="C3212" t="inlineStr">
        <is>
          <t>Minister of State</t>
        </is>
      </c>
      <c r="D3212" t="inlineStr">
        <is>
          <t>Ministre d'État</t>
        </is>
      </c>
      <c r="E3212" t="inlineStr">
        <is>
          <t>Rob Moore</t>
        </is>
      </c>
      <c r="F3212" t="inlineStr">
        <is>
          <t>Site tour, pre-budget meetings with mayors</t>
        </is>
      </c>
      <c r="G3212" t="inlineStr">
        <is>
          <t>Visite des lieux, rencontres prébudgétaires avec des maires</t>
        </is>
      </c>
      <c r="H3212" s="1" t="n">
        <v>41835</v>
      </c>
      <c r="I3212" s="1" t="n">
        <v>41835</v>
      </c>
      <c r="J3212" t="inlineStr">
        <is>
          <t>Woodstock, New Brunswick</t>
        </is>
      </c>
      <c r="K3212" t="inlineStr">
        <is>
          <t>Woodstock (Nouveau-Brunswick)</t>
        </is>
      </c>
      <c r="P3212" t="n">
        <v>0</v>
      </c>
      <c r="Q3212" t="n">
        <v>256.53</v>
      </c>
      <c r="R3212" t="n">
        <v>0</v>
      </c>
      <c r="S3212" t="n">
        <v>42.45</v>
      </c>
      <c r="T3212" t="n">
        <v>0</v>
      </c>
      <c r="U3212" t="n">
        <v>298.98</v>
      </c>
      <c r="X3212" t="inlineStr">
        <is>
          <t>acoa-apeca</t>
        </is>
      </c>
      <c r="Y3212" t="inlineStr">
        <is>
          <t>Atlantic Canada Opportunities Agency | Agence de promotion économique du Canada atlantique</t>
        </is>
      </c>
      <c r="Z3212" t="n">
        <v>1</v>
      </c>
      <c r="AA3212" t="n">
        <v>298.979999999999</v>
      </c>
      <c r="AB3212">
        <f>ROUND(U3212-AA3212,2)</f>
        <v/>
      </c>
      <c r="AC3212" t="b">
        <v>0</v>
      </c>
      <c r="AD3212">
        <f>IF(U3212="","MISSING_TOTAL",IF(ABS(AB3212)&lt;=0.01,"OK","CHECK"))</f>
        <v/>
      </c>
      <c r="AE3212">
        <f>IF(U3212="","MISSING",IF(AND(AA3212&gt;0,U3212/AA3212&gt;50),"POSSIBLE_SCALE_ERROR","OK"))</f>
        <v/>
      </c>
    </row>
    <row r="3213">
      <c r="A3213" t="inlineStr">
        <is>
          <t>T-2015-Q2-00038</t>
        </is>
      </c>
      <c r="B3213" t="inlineStr">
        <is>
          <t>MPSES</t>
        </is>
      </c>
      <c r="C3213" t="inlineStr">
        <is>
          <t>Executive Assistant</t>
        </is>
      </c>
      <c r="D3213" t="inlineStr">
        <is>
          <t>Adjoint exécutif</t>
        </is>
      </c>
      <c r="E3213" t="inlineStr">
        <is>
          <t>Josh Hardy</t>
        </is>
      </c>
      <c r="F3213" t="inlineStr">
        <is>
          <t>Travel on government business</t>
        </is>
      </c>
      <c r="G3213" t="inlineStr">
        <is>
          <t>Voyage en service commandé</t>
        </is>
      </c>
      <c r="H3213" s="1" t="n">
        <v>41834</v>
      </c>
      <c r="I3213" s="1" t="n">
        <v>41834</v>
      </c>
      <c r="J3213" t="inlineStr">
        <is>
          <t>Edmundston, New Brunswick</t>
        </is>
      </c>
      <c r="K3213" t="inlineStr">
        <is>
          <t>Edmundston (Nouveau-Brunswick)</t>
        </is>
      </c>
      <c r="P3213" t="n">
        <v>0</v>
      </c>
      <c r="Q3213" t="n">
        <v>0</v>
      </c>
      <c r="R3213" t="n">
        <v>0</v>
      </c>
      <c r="S3213" t="n">
        <v>58.4</v>
      </c>
      <c r="T3213" t="n">
        <v>0</v>
      </c>
      <c r="U3213" t="n">
        <v>58.4</v>
      </c>
      <c r="X3213" t="inlineStr">
        <is>
          <t>acoa-apeca</t>
        </is>
      </c>
      <c r="Y3213" t="inlineStr">
        <is>
          <t>Atlantic Canada Opportunities Agency | Agence de promotion économique du Canada atlantique</t>
        </is>
      </c>
      <c r="Z3213" t="n">
        <v>1</v>
      </c>
      <c r="AA3213" t="n">
        <v>58.4</v>
      </c>
      <c r="AB3213">
        <f>ROUND(U3213-AA3213,2)</f>
        <v/>
      </c>
      <c r="AC3213" t="b">
        <v>0</v>
      </c>
      <c r="AD3213">
        <f>IF(U3213="","MISSING_TOTAL",IF(ABS(AB3213)&lt;=0.01,"OK","CHECK"))</f>
        <v/>
      </c>
      <c r="AE3213">
        <f>IF(U3213="","MISSING",IF(AND(AA3213&gt;0,U3213/AA3213&gt;50),"POSSIBLE_SCALE_ERROR","OK"))</f>
        <v/>
      </c>
    </row>
    <row r="3214">
      <c r="A3214" t="inlineStr">
        <is>
          <t>T-2015-Q2-00037</t>
        </is>
      </c>
      <c r="B3214" t="inlineStr">
        <is>
          <t>MPSES</t>
        </is>
      </c>
      <c r="C3214" t="inlineStr">
        <is>
          <t>Minister of State</t>
        </is>
      </c>
      <c r="D3214" t="inlineStr">
        <is>
          <t>Ministre d'État</t>
        </is>
      </c>
      <c r="E3214" t="inlineStr">
        <is>
          <t>Rob Moore</t>
        </is>
      </c>
      <c r="F3214" t="inlineStr">
        <is>
          <t>To attend Government of Canada announcement, pre-budget roundtable and stakeholder meetings</t>
        </is>
      </c>
      <c r="G3214" t="inlineStr">
        <is>
          <t>Assister à une annonce du gouvernement du Canada, à une table ronde prébudgétaire et à des réunions d'intervenants</t>
        </is>
      </c>
      <c r="H3214" s="1" t="n">
        <v>41834</v>
      </c>
      <c r="I3214" s="1" t="n">
        <v>41834</v>
      </c>
      <c r="J3214" t="inlineStr">
        <is>
          <t>Edmundston, New Brunswick</t>
        </is>
      </c>
      <c r="K3214" t="inlineStr">
        <is>
          <t>Edmundston (Nouveau-Brunswick)</t>
        </is>
      </c>
      <c r="P3214" t="n">
        <v>0</v>
      </c>
      <c r="Q3214" t="n">
        <v>415.65</v>
      </c>
      <c r="R3214" t="n">
        <v>0</v>
      </c>
      <c r="S3214" t="n">
        <v>58.4</v>
      </c>
      <c r="T3214" t="n">
        <v>0</v>
      </c>
      <c r="U3214" t="n">
        <v>474.05</v>
      </c>
      <c r="X3214" t="inlineStr">
        <is>
          <t>acoa-apeca</t>
        </is>
      </c>
      <c r="Y3214" t="inlineStr">
        <is>
          <t>Atlantic Canada Opportunities Agency | Agence de promotion économique du Canada atlantique</t>
        </is>
      </c>
      <c r="Z3214" t="n">
        <v>1</v>
      </c>
      <c r="AA3214" t="n">
        <v>474.049999999999</v>
      </c>
      <c r="AB3214">
        <f>ROUND(U3214-AA3214,2)</f>
        <v/>
      </c>
      <c r="AC3214" t="b">
        <v>0</v>
      </c>
      <c r="AD3214">
        <f>IF(U3214="","MISSING_TOTAL",IF(ABS(AB3214)&lt;=0.01,"OK","CHECK"))</f>
        <v/>
      </c>
      <c r="AE3214">
        <f>IF(U3214="","MISSING",IF(AND(AA3214&gt;0,U3214/AA3214&gt;50),"POSSIBLE_SCALE_ERROR","OK"))</f>
        <v/>
      </c>
    </row>
    <row r="3215">
      <c r="A3215" t="inlineStr">
        <is>
          <t>T-2015-Q2-00036</t>
        </is>
      </c>
      <c r="B3215" t="inlineStr">
        <is>
          <t>SLE</t>
        </is>
      </c>
      <c r="C3215" t="inlineStr">
        <is>
          <t>Vice-President, Prince Edward Island</t>
        </is>
      </c>
      <c r="D3215" t="inlineStr">
        <is>
          <t>Vice-président, Île-du-Prince-Édouard</t>
        </is>
      </c>
      <c r="E3215" t="inlineStr">
        <is>
          <t>Patrick Dorsey</t>
        </is>
      </c>
      <c r="F3215" t="inlineStr">
        <is>
          <t>Meetings with Prince County clients and stakeholders</t>
        </is>
      </c>
      <c r="G3215" t="inlineStr">
        <is>
          <t>Réunions avec des clients et des intervenants du comté de Prince</t>
        </is>
      </c>
      <c r="H3215" s="1" t="n">
        <v>41834</v>
      </c>
      <c r="I3215" s="1" t="n">
        <v>41835</v>
      </c>
      <c r="J3215" t="inlineStr">
        <is>
          <t>Mill River, Prince Edward Island</t>
        </is>
      </c>
      <c r="K3215" t="inlineStr">
        <is>
          <t>Mill River (Île-du-Prince-Édouard)</t>
        </is>
      </c>
      <c r="P3215" t="n">
        <v>0</v>
      </c>
      <c r="Q3215" t="n">
        <v>0</v>
      </c>
      <c r="R3215" t="n">
        <v>90.06</v>
      </c>
      <c r="S3215" t="n">
        <v>139.45</v>
      </c>
      <c r="T3215" t="n">
        <v>0</v>
      </c>
      <c r="U3215" t="n">
        <v>229.51</v>
      </c>
      <c r="X3215" t="inlineStr">
        <is>
          <t>acoa-apeca</t>
        </is>
      </c>
      <c r="Y3215" t="inlineStr">
        <is>
          <t>Atlantic Canada Opportunities Agency | Agence de promotion économique du Canada atlantique</t>
        </is>
      </c>
      <c r="Z3215" t="n">
        <v>2</v>
      </c>
      <c r="AA3215" t="n">
        <v>229.51</v>
      </c>
      <c r="AB3215">
        <f>ROUND(U3215-AA3215,2)</f>
        <v/>
      </c>
      <c r="AC3215" t="b">
        <v>0</v>
      </c>
      <c r="AD3215">
        <f>IF(U3215="","MISSING_TOTAL",IF(ABS(AB3215)&lt;=0.01,"OK","CHECK"))</f>
        <v/>
      </c>
      <c r="AE3215">
        <f>IF(U3215="","MISSING",IF(AND(AA3215&gt;0,U3215/AA3215&gt;50),"POSSIBLE_SCALE_ERROR","OK"))</f>
        <v/>
      </c>
    </row>
    <row r="3216">
      <c r="A3216" t="inlineStr">
        <is>
          <t>T-2015-Q2-00025</t>
        </is>
      </c>
      <c r="B3216" t="inlineStr">
        <is>
          <t>MPSES</t>
        </is>
      </c>
      <c r="C3216" t="inlineStr">
        <is>
          <t>Minister of State</t>
        </is>
      </c>
      <c r="D3216" t="inlineStr">
        <is>
          <t>Ministre d'État</t>
        </is>
      </c>
      <c r="E3216" t="inlineStr">
        <is>
          <t>Rob Moore</t>
        </is>
      </c>
      <c r="F3216" t="inlineStr">
        <is>
          <t>To attend Government of Canada event</t>
        </is>
      </c>
      <c r="G3216" t="inlineStr">
        <is>
          <t>Assister à une activité du gouvernement du Canada</t>
        </is>
      </c>
      <c r="H3216" s="1" t="n">
        <v>41814</v>
      </c>
      <c r="I3216" s="1" t="n">
        <v>41814</v>
      </c>
      <c r="J3216" t="inlineStr">
        <is>
          <t>Fredericton, New Brunswick</t>
        </is>
      </c>
      <c r="K3216" t="inlineStr">
        <is>
          <t>Fredericton (Nouveau-Brunswick)</t>
        </is>
      </c>
      <c r="P3216" t="n">
        <v>0</v>
      </c>
      <c r="Q3216" t="n">
        <v>139.38</v>
      </c>
      <c r="R3216" t="n">
        <v>0</v>
      </c>
      <c r="S3216" t="n">
        <v>15.25</v>
      </c>
      <c r="T3216" t="n">
        <v>0</v>
      </c>
      <c r="U3216" t="n">
        <v>154.63</v>
      </c>
      <c r="X3216" t="inlineStr">
        <is>
          <t>acoa-apeca</t>
        </is>
      </c>
      <c r="Y3216" t="inlineStr">
        <is>
          <t>Atlantic Canada Opportunities Agency | Agence de promotion économique du Canada atlantique</t>
        </is>
      </c>
      <c r="Z3216" t="n">
        <v>1</v>
      </c>
      <c r="AA3216" t="n">
        <v>154.63</v>
      </c>
      <c r="AB3216">
        <f>ROUND(U3216-AA3216,2)</f>
        <v/>
      </c>
      <c r="AC3216" t="b">
        <v>0</v>
      </c>
      <c r="AD3216">
        <f>IF(U3216="","MISSING_TOTAL",IF(ABS(AB3216)&lt;=0.01,"OK","CHECK"))</f>
        <v/>
      </c>
      <c r="AE3216">
        <f>IF(U3216="","MISSING",IF(AND(AA3216&gt;0,U3216/AA3216&gt;50),"POSSIBLE_SCALE_ERROR","OK"))</f>
        <v/>
      </c>
    </row>
    <row r="3217">
      <c r="A3217" t="inlineStr">
        <is>
          <t>T-2015-Q2-00034</t>
        </is>
      </c>
      <c r="B3217" t="inlineStr">
        <is>
          <t>MPSES</t>
        </is>
      </c>
      <c r="C3217" t="inlineStr">
        <is>
          <t>Minister of State</t>
        </is>
      </c>
      <c r="D3217" t="inlineStr">
        <is>
          <t>Ministre d'État</t>
        </is>
      </c>
      <c r="E3217" t="inlineStr">
        <is>
          <t>Rob Moore</t>
        </is>
      </c>
      <c r="F3217" t="inlineStr">
        <is>
          <t>Five Government of Canada announcements, three stakeholder meetings and site tour of Holyrood Marine Base</t>
        </is>
      </c>
      <c r="G3217" t="inlineStr">
        <is>
          <t>Cinq annonces du gouvernement du Canada, trois réunions d'intervenants et une visite de la base maritime de Holyrood</t>
        </is>
      </c>
      <c r="H3217" s="1" t="n">
        <v>41828</v>
      </c>
      <c r="I3217" s="1" t="n">
        <v>41830</v>
      </c>
      <c r="J3217" t="inlineStr">
        <is>
          <t>Dartmouth, Halifax and Waverly, Nova Scotia and St. John's, Marystown and Holyrood, Newfoundland and Labrador</t>
        </is>
      </c>
      <c r="K3217" t="inlineStr">
        <is>
          <t>Dartmouth, Halifax et Waverly (Nouvelle-Écosse) et St. John's, Marystown et Holyrood (Terre-Neuve-et-Labrador)</t>
        </is>
      </c>
      <c r="P3217" t="n">
        <v>3081.96</v>
      </c>
      <c r="Q3217" t="n">
        <v>21.42</v>
      </c>
      <c r="R3217" t="n">
        <v>585</v>
      </c>
      <c r="S3217" t="n">
        <v>242.35</v>
      </c>
      <c r="T3217" t="n">
        <v>0</v>
      </c>
      <c r="U3217" t="n">
        <v>3930.73</v>
      </c>
      <c r="X3217" t="inlineStr">
        <is>
          <t>acoa-apeca</t>
        </is>
      </c>
      <c r="Y3217" t="inlineStr">
        <is>
          <t>Atlantic Canada Opportunities Agency | Agence de promotion économique du Canada atlantique</t>
        </is>
      </c>
      <c r="Z3217" t="n">
        <v>3</v>
      </c>
      <c r="AA3217" t="n">
        <v>3930.73</v>
      </c>
      <c r="AB3217">
        <f>ROUND(U3217-AA3217,2)</f>
        <v/>
      </c>
      <c r="AC3217" t="b">
        <v>0</v>
      </c>
      <c r="AD3217">
        <f>IF(U3217="","MISSING_TOTAL",IF(ABS(AB3217)&lt;=0.01,"OK","CHECK"))</f>
        <v/>
      </c>
      <c r="AE3217">
        <f>IF(U3217="","MISSING",IF(AND(AA3217&gt;0,U3217/AA3217&gt;50),"POSSIBLE_SCALE_ERROR","OK"))</f>
        <v/>
      </c>
    </row>
    <row r="3218">
      <c r="A3218" t="inlineStr">
        <is>
          <t>T-2015-Q2-00033</t>
        </is>
      </c>
      <c r="B3218" t="inlineStr">
        <is>
          <t>MPSES</t>
        </is>
      </c>
      <c r="C3218" t="inlineStr">
        <is>
          <t>Regional Affairs Director - New Brunswick</t>
        </is>
      </c>
      <c r="D3218" t="inlineStr">
        <is>
          <t>Directeur des affaires régionales - Nouveau-Brunswick</t>
        </is>
      </c>
      <c r="E3218" t="inlineStr">
        <is>
          <t>Douglas MacDonald</t>
        </is>
      </c>
      <c r="F3218" t="inlineStr">
        <is>
          <t>Travel on government business</t>
        </is>
      </c>
      <c r="G3218" t="inlineStr">
        <is>
          <t>Voyage en service commandé</t>
        </is>
      </c>
      <c r="H3218" s="1" t="n">
        <v>41827</v>
      </c>
      <c r="I3218" s="1" t="n">
        <v>41827</v>
      </c>
      <c r="J3218" t="inlineStr">
        <is>
          <t>Saint John, New Brunswick</t>
        </is>
      </c>
      <c r="K3218" t="inlineStr">
        <is>
          <t>Saint John (Nouveau-Brunswick)</t>
        </is>
      </c>
      <c r="P3218" t="n">
        <v>0</v>
      </c>
      <c r="Q3218" t="n">
        <v>70.38</v>
      </c>
      <c r="R3218" t="n">
        <v>0</v>
      </c>
      <c r="S3218" t="n">
        <v>0</v>
      </c>
      <c r="T3218" t="n">
        <v>0</v>
      </c>
      <c r="U3218" t="n">
        <v>70.38</v>
      </c>
      <c r="X3218" t="inlineStr">
        <is>
          <t>acoa-apeca</t>
        </is>
      </c>
      <c r="Y3218" t="inlineStr">
        <is>
          <t>Atlantic Canada Opportunities Agency | Agence de promotion économique du Canada atlantique</t>
        </is>
      </c>
      <c r="Z3218" t="n">
        <v>1</v>
      </c>
      <c r="AA3218" t="n">
        <v>70.38</v>
      </c>
      <c r="AB3218">
        <f>ROUND(U3218-AA3218,2)</f>
        <v/>
      </c>
      <c r="AC3218" t="b">
        <v>0</v>
      </c>
      <c r="AD3218">
        <f>IF(U3218="","MISSING_TOTAL",IF(ABS(AB3218)&lt;=0.01,"OK","CHECK"))</f>
        <v/>
      </c>
      <c r="AE3218">
        <f>IF(U3218="","MISSING",IF(AND(AA3218&gt;0,U3218/AA3218&gt;50),"POSSIBLE_SCALE_ERROR","OK"))</f>
        <v/>
      </c>
    </row>
    <row r="3219">
      <c r="A3219" t="inlineStr">
        <is>
          <t>T-2015-Q2-00032</t>
        </is>
      </c>
      <c r="B3219" t="inlineStr">
        <is>
          <t>MPSES</t>
        </is>
      </c>
      <c r="C3219" t="inlineStr">
        <is>
          <t>Executive Assistant</t>
        </is>
      </c>
      <c r="D3219" t="inlineStr">
        <is>
          <t>Adjoint exécutif</t>
        </is>
      </c>
      <c r="E3219" t="inlineStr">
        <is>
          <t>Josh Hardy</t>
        </is>
      </c>
      <c r="F3219" t="inlineStr">
        <is>
          <t>Travel on government business</t>
        </is>
      </c>
      <c r="G3219" t="inlineStr">
        <is>
          <t>Voyage en service commandé</t>
        </is>
      </c>
      <c r="H3219" s="1" t="n">
        <v>41827</v>
      </c>
      <c r="I3219" s="1" t="n">
        <v>41830</v>
      </c>
      <c r="J3219" t="inlineStr">
        <is>
          <t>Halifax, Nova Scotia, and St. John's, Newfoundland</t>
        </is>
      </c>
      <c r="K3219" t="inlineStr">
        <is>
          <t>Halifax (Nouvelle-Écosse) et St. John's (Terre-Neuve-et-Labrador)</t>
        </is>
      </c>
      <c r="P3219" t="n">
        <v>2392.13</v>
      </c>
      <c r="Q3219" t="n">
        <v>362.38</v>
      </c>
      <c r="R3219" t="n">
        <v>573.3</v>
      </c>
      <c r="S3219" t="n">
        <v>242.35</v>
      </c>
      <c r="T3219" t="n">
        <v>0</v>
      </c>
      <c r="U3219" t="n">
        <v>3570.16</v>
      </c>
      <c r="X3219" t="inlineStr">
        <is>
          <t>acoa-apeca</t>
        </is>
      </c>
      <c r="Y3219" t="inlineStr">
        <is>
          <t>Atlantic Canada Opportunities Agency | Agence de promotion économique du Canada atlantique</t>
        </is>
      </c>
      <c r="Z3219" t="n">
        <v>4</v>
      </c>
      <c r="AA3219" t="n">
        <v>3570.16</v>
      </c>
      <c r="AB3219">
        <f>ROUND(U3219-AA3219,2)</f>
        <v/>
      </c>
      <c r="AC3219" t="b">
        <v>0</v>
      </c>
      <c r="AD3219">
        <f>IF(U3219="","MISSING_TOTAL",IF(ABS(AB3219)&lt;=0.01,"OK","CHECK"))</f>
        <v/>
      </c>
      <c r="AE3219">
        <f>IF(U3219="","MISSING",IF(AND(AA3219&gt;0,U3219/AA3219&gt;50),"POSSIBLE_SCALE_ERROR","OK"))</f>
        <v/>
      </c>
    </row>
    <row r="3220">
      <c r="A3220" t="inlineStr">
        <is>
          <t>T-2015-Q2-00031</t>
        </is>
      </c>
      <c r="B3220" t="inlineStr">
        <is>
          <t>SLE</t>
        </is>
      </c>
      <c r="C3220" t="inlineStr">
        <is>
          <t>Vice President, Nova Scotia</t>
        </is>
      </c>
      <c r="D3220" t="inlineStr">
        <is>
          <t>Vice-président, Nouvelle-Écosse</t>
        </is>
      </c>
      <c r="E3220" t="inlineStr">
        <is>
          <t>Peter Hogan</t>
        </is>
      </c>
      <c r="F3220" t="inlineStr">
        <is>
          <t>Various meetings with Agency officials</t>
        </is>
      </c>
      <c r="G3220" t="inlineStr">
        <is>
          <t>Diverses réunions avec des fonctionnaires de l'Agence</t>
        </is>
      </c>
      <c r="H3220" s="1" t="n">
        <v>41817</v>
      </c>
      <c r="I3220" s="1" t="n">
        <v>41817</v>
      </c>
      <c r="J3220" t="inlineStr">
        <is>
          <t>Sydney, Nova Scotia</t>
        </is>
      </c>
      <c r="K3220" t="inlineStr">
        <is>
          <t>Sydney (Nouvelle-Écosse)</t>
        </is>
      </c>
      <c r="P3220" t="n">
        <v>1234.24</v>
      </c>
      <c r="Q3220" t="n">
        <v>40.4</v>
      </c>
      <c r="R3220" t="n">
        <v>0</v>
      </c>
      <c r="S3220" t="n">
        <v>15.25</v>
      </c>
      <c r="T3220" t="n">
        <v>0</v>
      </c>
      <c r="U3220" t="n">
        <v>1289.89</v>
      </c>
      <c r="X3220" t="inlineStr">
        <is>
          <t>acoa-apeca</t>
        </is>
      </c>
      <c r="Y3220" t="inlineStr">
        <is>
          <t>Atlantic Canada Opportunities Agency | Agence de promotion économique du Canada atlantique</t>
        </is>
      </c>
      <c r="Z3220" t="n">
        <v>1</v>
      </c>
      <c r="AA3220" t="n">
        <v>1289.89</v>
      </c>
      <c r="AB3220">
        <f>ROUND(U3220-AA3220,2)</f>
        <v/>
      </c>
      <c r="AC3220" t="b">
        <v>0</v>
      </c>
      <c r="AD3220">
        <f>IF(U3220="","MISSING_TOTAL",IF(ABS(AB3220)&lt;=0.01,"OK","CHECK"))</f>
        <v/>
      </c>
      <c r="AE3220">
        <f>IF(U3220="","MISSING",IF(AND(AA3220&gt;0,U3220/AA3220&gt;50),"POSSIBLE_SCALE_ERROR","OK"))</f>
        <v/>
      </c>
    </row>
    <row r="3221">
      <c r="A3221" t="inlineStr">
        <is>
          <t>T-2015-Q2-00030</t>
        </is>
      </c>
      <c r="B3221" t="inlineStr">
        <is>
          <t>MPSES</t>
        </is>
      </c>
      <c r="C3221" t="inlineStr">
        <is>
          <t>Regional Affairs Director - New Brunswick</t>
        </is>
      </c>
      <c r="D3221" t="inlineStr">
        <is>
          <t>Directeur des affaires régionales - Nouveau-Brunswick</t>
        </is>
      </c>
      <c r="E3221" t="inlineStr">
        <is>
          <t>Douglas MacDonald</t>
        </is>
      </c>
      <c r="F3221" t="inlineStr">
        <is>
          <t>Travel on government business</t>
        </is>
      </c>
      <c r="G3221" t="inlineStr">
        <is>
          <t>Voyage en service commandé</t>
        </is>
      </c>
      <c r="H3221" s="1" t="n">
        <v>41816</v>
      </c>
      <c r="I3221" s="1" t="n">
        <v>41816</v>
      </c>
      <c r="J3221" t="inlineStr">
        <is>
          <t>Saint John and Moncton, New Brunswick</t>
        </is>
      </c>
      <c r="K3221" t="inlineStr">
        <is>
          <t>Saint John et Moncton (Nouveau-Brunswick)</t>
        </is>
      </c>
      <c r="P3221" t="n">
        <v>0</v>
      </c>
      <c r="Q3221" t="n">
        <v>171.2</v>
      </c>
      <c r="R3221" t="n">
        <v>0</v>
      </c>
      <c r="S3221" t="n">
        <v>73.65000000000001</v>
      </c>
      <c r="T3221" t="n">
        <v>0</v>
      </c>
      <c r="U3221" t="n">
        <v>244.85</v>
      </c>
      <c r="X3221" t="inlineStr">
        <is>
          <t>acoa-apeca</t>
        </is>
      </c>
      <c r="Y3221" t="inlineStr">
        <is>
          <t>Atlantic Canada Opportunities Agency | Agence de promotion économique du Canada atlantique</t>
        </is>
      </c>
      <c r="Z3221" t="n">
        <v>1</v>
      </c>
      <c r="AA3221" t="n">
        <v>244.85</v>
      </c>
      <c r="AB3221">
        <f>ROUND(U3221-AA3221,2)</f>
        <v/>
      </c>
      <c r="AC3221" t="b">
        <v>0</v>
      </c>
      <c r="AD3221">
        <f>IF(U3221="","MISSING_TOTAL",IF(ABS(AB3221)&lt;=0.01,"OK","CHECK"))</f>
        <v/>
      </c>
      <c r="AE3221">
        <f>IF(U3221="","MISSING",IF(AND(AA3221&gt;0,U3221/AA3221&gt;50),"POSSIBLE_SCALE_ERROR","OK"))</f>
        <v/>
      </c>
    </row>
    <row r="3222">
      <c r="A3222" t="inlineStr">
        <is>
          <t>T-2015-Q2-00029</t>
        </is>
      </c>
      <c r="B3222" t="inlineStr">
        <is>
          <t>MPSES</t>
        </is>
      </c>
      <c r="C3222" t="inlineStr">
        <is>
          <t>Minister of State</t>
        </is>
      </c>
      <c r="D3222" t="inlineStr">
        <is>
          <t>Ministre d'État</t>
        </is>
      </c>
      <c r="E3222" t="inlineStr">
        <is>
          <t>Rob Moore</t>
        </is>
      </c>
      <c r="F3222" t="inlineStr">
        <is>
          <t>To attend meeting with stakeholders and two Government of Canada announcements</t>
        </is>
      </c>
      <c r="G3222" t="inlineStr">
        <is>
          <t>Assister à une réunion d'intervenants et à deux annonces du gouvernement du Canada</t>
        </is>
      </c>
      <c r="H3222" s="1" t="n">
        <v>41816</v>
      </c>
      <c r="I3222" s="1" t="n">
        <v>41816</v>
      </c>
      <c r="J3222" t="inlineStr">
        <is>
          <t>Saint John and Moncton, New Brunswick</t>
        </is>
      </c>
      <c r="K3222" t="inlineStr">
        <is>
          <t>Saint John et Moncton (Nouveau-Brunswick)</t>
        </is>
      </c>
      <c r="P3222" t="n">
        <v>0</v>
      </c>
      <c r="Q3222" t="n">
        <v>163.62</v>
      </c>
      <c r="R3222" t="n">
        <v>0</v>
      </c>
      <c r="S3222" t="n">
        <v>15.25</v>
      </c>
      <c r="T3222" t="n">
        <v>0</v>
      </c>
      <c r="U3222" t="n">
        <v>178.87</v>
      </c>
      <c r="X3222" t="inlineStr">
        <is>
          <t>acoa-apeca</t>
        </is>
      </c>
      <c r="Y3222" t="inlineStr">
        <is>
          <t>Atlantic Canada Opportunities Agency | Agence de promotion économique du Canada atlantique</t>
        </is>
      </c>
      <c r="Z3222" t="n">
        <v>1</v>
      </c>
      <c r="AA3222" t="n">
        <v>178.87</v>
      </c>
      <c r="AB3222">
        <f>ROUND(U3222-AA3222,2)</f>
        <v/>
      </c>
      <c r="AC3222" t="b">
        <v>0</v>
      </c>
      <c r="AD3222">
        <f>IF(U3222="","MISSING_TOTAL",IF(ABS(AB3222)&lt;=0.01,"OK","CHECK"))</f>
        <v/>
      </c>
      <c r="AE3222">
        <f>IF(U3222="","MISSING",IF(AND(AA3222&gt;0,U3222/AA3222&gt;50),"POSSIBLE_SCALE_ERROR","OK"))</f>
        <v/>
      </c>
    </row>
    <row r="3223">
      <c r="A3223" t="inlineStr">
        <is>
          <t>T-2015-Q2-00028</t>
        </is>
      </c>
      <c r="B3223" t="inlineStr">
        <is>
          <t>MPSES</t>
        </is>
      </c>
      <c r="C3223" t="inlineStr">
        <is>
          <t>Minister of State</t>
        </is>
      </c>
      <c r="D3223" t="inlineStr">
        <is>
          <t>Ministre d'État</t>
        </is>
      </c>
      <c r="E3223" t="inlineStr">
        <is>
          <t>Rob Moore</t>
        </is>
      </c>
      <c r="F3223" t="inlineStr">
        <is>
          <t>To attend three Government of Canada announcements</t>
        </is>
      </c>
      <c r="G3223" t="inlineStr">
        <is>
          <t>Assister à trois annonces du gouvernement du Canada</t>
        </is>
      </c>
      <c r="H3223" s="1" t="n">
        <v>41815</v>
      </c>
      <c r="I3223" s="1" t="n">
        <v>41815</v>
      </c>
      <c r="J3223" t="inlineStr">
        <is>
          <t>St. Martins, Riverview and Moncton, New Brunswick</t>
        </is>
      </c>
      <c r="K3223" t="inlineStr">
        <is>
          <t>St. Martin's, Riverview et Moncton (Nouveau-Brunswick)</t>
        </is>
      </c>
      <c r="P3223" t="n">
        <v>0</v>
      </c>
      <c r="Q3223" t="n">
        <v>184.33</v>
      </c>
      <c r="R3223" t="n">
        <v>0</v>
      </c>
      <c r="S3223" t="n">
        <v>15.25</v>
      </c>
      <c r="T3223" t="n">
        <v>0</v>
      </c>
      <c r="U3223" t="n">
        <v>199.58</v>
      </c>
      <c r="X3223" t="inlineStr">
        <is>
          <t>acoa-apeca</t>
        </is>
      </c>
      <c r="Y3223" t="inlineStr">
        <is>
          <t>Atlantic Canada Opportunities Agency | Agence de promotion économique du Canada atlantique</t>
        </is>
      </c>
      <c r="Z3223" t="n">
        <v>1</v>
      </c>
      <c r="AA3223" t="n">
        <v>199.58</v>
      </c>
      <c r="AB3223">
        <f>ROUND(U3223-AA3223,2)</f>
        <v/>
      </c>
      <c r="AC3223" t="b">
        <v>0</v>
      </c>
      <c r="AD3223">
        <f>IF(U3223="","MISSING_TOTAL",IF(ABS(AB3223)&lt;=0.01,"OK","CHECK"))</f>
        <v/>
      </c>
      <c r="AE3223">
        <f>IF(U3223="","MISSING",IF(AND(AA3223&gt;0,U3223/AA3223&gt;50),"POSSIBLE_SCALE_ERROR","OK"))</f>
        <v/>
      </c>
    </row>
    <row r="3224">
      <c r="A3224" t="inlineStr">
        <is>
          <t>T-2015-Q2-00027</t>
        </is>
      </c>
      <c r="B3224" t="inlineStr">
        <is>
          <t>SLE</t>
        </is>
      </c>
      <c r="C3224" t="inlineStr">
        <is>
          <t>Vice-President, New Brunswick</t>
        </is>
      </c>
      <c r="D3224" t="inlineStr">
        <is>
          <t>Vice-président, Nouveau-Brunswick</t>
        </is>
      </c>
      <c r="E3224" t="inlineStr">
        <is>
          <t>Kent Estabrooks</t>
        </is>
      </c>
      <c r="F3224" t="inlineStr">
        <is>
          <t>Meetings with Agency officials and various clients</t>
        </is>
      </c>
      <c r="G3224" t="inlineStr">
        <is>
          <t>Réunions avec des fonctionnaires de l'Agence et divers clients</t>
        </is>
      </c>
      <c r="H3224" s="1" t="n">
        <v>41815</v>
      </c>
      <c r="I3224" s="1" t="n">
        <v>41817</v>
      </c>
      <c r="J3224" t="inlineStr">
        <is>
          <t>Bathurst, New Brunswick</t>
        </is>
      </c>
      <c r="K3224" t="inlineStr">
        <is>
          <t>Bathurst (Nouveau-Brunswick)</t>
        </is>
      </c>
      <c r="P3224" t="n">
        <v>0</v>
      </c>
      <c r="Q3224" t="n">
        <v>0</v>
      </c>
      <c r="R3224" t="n">
        <v>225.72</v>
      </c>
      <c r="S3224" t="n">
        <v>194.5</v>
      </c>
      <c r="T3224" t="n">
        <v>0</v>
      </c>
      <c r="U3224" t="n">
        <v>420.22</v>
      </c>
      <c r="X3224" t="inlineStr">
        <is>
          <t>acoa-apeca</t>
        </is>
      </c>
      <c r="Y3224" t="inlineStr">
        <is>
          <t>Atlantic Canada Opportunities Agency | Agence de promotion économique du Canada atlantique</t>
        </is>
      </c>
      <c r="Z3224" t="n">
        <v>3</v>
      </c>
      <c r="AA3224" t="n">
        <v>420.22</v>
      </c>
      <c r="AB3224">
        <f>ROUND(U3224-AA3224,2)</f>
        <v/>
      </c>
      <c r="AC3224" t="b">
        <v>0</v>
      </c>
      <c r="AD3224">
        <f>IF(U3224="","MISSING_TOTAL",IF(ABS(AB3224)&lt;=0.01,"OK","CHECK"))</f>
        <v/>
      </c>
      <c r="AE3224">
        <f>IF(U3224="","MISSING",IF(AND(AA3224&gt;0,U3224/AA3224&gt;50),"POSSIBLE_SCALE_ERROR","OK"))</f>
        <v/>
      </c>
    </row>
    <row r="3225">
      <c r="A3225" t="inlineStr">
        <is>
          <t>T-2015-Q2-00024</t>
        </is>
      </c>
      <c r="B3225" t="inlineStr">
        <is>
          <t>SLE</t>
        </is>
      </c>
      <c r="C3225" t="inlineStr">
        <is>
          <t>Vice-President, Prince Edward Island</t>
        </is>
      </c>
      <c r="D3225" t="inlineStr">
        <is>
          <t>Vice-président, Île-du-Prince-Édouard</t>
        </is>
      </c>
      <c r="E3225" t="inlineStr">
        <is>
          <t>Patrick Dorsey</t>
        </is>
      </c>
      <c r="F3225" t="inlineStr">
        <is>
          <t>Meetings with Government of Canada officials</t>
        </is>
      </c>
      <c r="G3225" t="inlineStr">
        <is>
          <t>Réunions avec des fonctionnaires du gouvernement du Canada</t>
        </is>
      </c>
      <c r="H3225" s="1" t="n">
        <v>41814</v>
      </c>
      <c r="I3225" s="1" t="n">
        <v>41815</v>
      </c>
      <c r="J3225" t="inlineStr">
        <is>
          <t>Ottawa, Ontario</t>
        </is>
      </c>
      <c r="K3225" t="inlineStr">
        <is>
          <t>Ottawa (Ontario)</t>
        </is>
      </c>
      <c r="P3225" t="n">
        <v>973.38</v>
      </c>
      <c r="Q3225" t="n">
        <v>109.5</v>
      </c>
      <c r="R3225" t="n">
        <v>182.73</v>
      </c>
      <c r="S3225" t="n">
        <v>150</v>
      </c>
      <c r="T3225" t="n">
        <v>0</v>
      </c>
      <c r="U3225" t="n">
        <v>1415.61</v>
      </c>
      <c r="X3225" t="inlineStr">
        <is>
          <t>acoa-apeca</t>
        </is>
      </c>
      <c r="Y3225" t="inlineStr">
        <is>
          <t>Atlantic Canada Opportunities Agency | Agence de promotion économique du Canada atlantique</t>
        </is>
      </c>
      <c r="Z3225" t="n">
        <v>2</v>
      </c>
      <c r="AA3225" t="n">
        <v>1415.61</v>
      </c>
      <c r="AB3225">
        <f>ROUND(U3225-AA3225,2)</f>
        <v/>
      </c>
      <c r="AC3225" t="b">
        <v>0</v>
      </c>
      <c r="AD3225">
        <f>IF(U3225="","MISSING_TOTAL",IF(ABS(AB3225)&lt;=0.01,"OK","CHECK"))</f>
        <v/>
      </c>
      <c r="AE3225">
        <f>IF(U3225="","MISSING",IF(AND(AA3225&gt;0,U3225/AA3225&gt;50),"POSSIBLE_SCALE_ERROR","OK"))</f>
        <v/>
      </c>
    </row>
    <row r="3226">
      <c r="A3226" t="inlineStr">
        <is>
          <t>T-2015-Q2-00023</t>
        </is>
      </c>
      <c r="B3226" t="inlineStr">
        <is>
          <t>MPSES</t>
        </is>
      </c>
      <c r="C3226" t="inlineStr">
        <is>
          <t>Minister of State</t>
        </is>
      </c>
      <c r="D3226" t="inlineStr">
        <is>
          <t>Ministre d'État</t>
        </is>
      </c>
      <c r="E3226" t="inlineStr">
        <is>
          <t>Rob Moore</t>
        </is>
      </c>
      <c r="F3226" t="inlineStr">
        <is>
          <t>To attend meeting with stakeholders and Government of Canada announcement</t>
        </is>
      </c>
      <c r="G3226" t="inlineStr">
        <is>
          <t>Assister à une réunion d'intervenants et à une annonce du gouvernement du Canada</t>
        </is>
      </c>
      <c r="H3226" s="1" t="n">
        <v>41813</v>
      </c>
      <c r="I3226" s="1" t="n">
        <v>41813</v>
      </c>
      <c r="J3226" t="inlineStr">
        <is>
          <t>Saint Andrews, New Brunswick</t>
        </is>
      </c>
      <c r="K3226" t="inlineStr">
        <is>
          <t>Saint Andrews (Nouveau-Brunswick)</t>
        </is>
      </c>
      <c r="P3226" t="n">
        <v>0</v>
      </c>
      <c r="Q3226" t="n">
        <v>150.49</v>
      </c>
      <c r="R3226" t="n">
        <v>0</v>
      </c>
      <c r="S3226" t="n">
        <v>15.25</v>
      </c>
      <c r="T3226" t="n">
        <v>0</v>
      </c>
      <c r="U3226" t="n">
        <v>165.74</v>
      </c>
      <c r="X3226" t="inlineStr">
        <is>
          <t>acoa-apeca</t>
        </is>
      </c>
      <c r="Y3226" t="inlineStr">
        <is>
          <t>Atlantic Canada Opportunities Agency | Agence de promotion économique du Canada atlantique</t>
        </is>
      </c>
      <c r="Z3226" t="n">
        <v>1</v>
      </c>
      <c r="AA3226" t="n">
        <v>165.74</v>
      </c>
      <c r="AB3226">
        <f>ROUND(U3226-AA3226,2)</f>
        <v/>
      </c>
      <c r="AC3226" t="b">
        <v>0</v>
      </c>
      <c r="AD3226">
        <f>IF(U3226="","MISSING_TOTAL",IF(ABS(AB3226)&lt;=0.01,"OK","CHECK"))</f>
        <v/>
      </c>
      <c r="AE3226">
        <f>IF(U3226="","MISSING",IF(AND(AA3226&gt;0,U3226/AA3226&gt;50),"POSSIBLE_SCALE_ERROR","OK"))</f>
        <v/>
      </c>
    </row>
    <row r="3227">
      <c r="A3227" t="inlineStr">
        <is>
          <t>T-2015-Q2-00022</t>
        </is>
      </c>
      <c r="B3227" t="inlineStr">
        <is>
          <t>SLE</t>
        </is>
      </c>
      <c r="C3227" t="inlineStr">
        <is>
          <t>Vice President, Nova Scotia</t>
        </is>
      </c>
      <c r="D3227" t="inlineStr">
        <is>
          <t>Vice-président, Nouvelle-Écosse</t>
        </is>
      </c>
      <c r="E3227" t="inlineStr">
        <is>
          <t>Peter Hogan</t>
        </is>
      </c>
      <c r="F3227" t="inlineStr">
        <is>
          <t>Various meetings with Agency officials</t>
        </is>
      </c>
      <c r="G3227" t="inlineStr">
        <is>
          <t>Diverses réunions avec des fonctionnaires de l'Agence</t>
        </is>
      </c>
      <c r="H3227" s="1" t="n">
        <v>41810</v>
      </c>
      <c r="I3227" s="1" t="n">
        <v>41810</v>
      </c>
      <c r="J3227" t="inlineStr">
        <is>
          <t>Sydney, Nova Scotia</t>
        </is>
      </c>
      <c r="K3227" t="inlineStr">
        <is>
          <t>Sydney (Nouvelle-Écosse)</t>
        </is>
      </c>
      <c r="P3227" t="n">
        <v>1032.34</v>
      </c>
      <c r="Q3227" t="n">
        <v>39.89</v>
      </c>
      <c r="R3227" t="n">
        <v>0</v>
      </c>
      <c r="S3227" t="n">
        <v>15.25</v>
      </c>
      <c r="T3227" t="n">
        <v>0</v>
      </c>
      <c r="U3227" t="n">
        <v>1087.48</v>
      </c>
      <c r="X3227" t="inlineStr">
        <is>
          <t>acoa-apeca</t>
        </is>
      </c>
      <c r="Y3227" t="inlineStr">
        <is>
          <t>Atlantic Canada Opportunities Agency | Agence de promotion économique du Canada atlantique</t>
        </is>
      </c>
      <c r="Z3227" t="n">
        <v>1</v>
      </c>
      <c r="AA3227" t="n">
        <v>1087.48</v>
      </c>
      <c r="AB3227">
        <f>ROUND(U3227-AA3227,2)</f>
        <v/>
      </c>
      <c r="AC3227" t="b">
        <v>0</v>
      </c>
      <c r="AD3227">
        <f>IF(U3227="","MISSING_TOTAL",IF(ABS(AB3227)&lt;=0.01,"OK","CHECK"))</f>
        <v/>
      </c>
      <c r="AE3227">
        <f>IF(U3227="","MISSING",IF(AND(AA3227&gt;0,U3227/AA3227&gt;50),"POSSIBLE_SCALE_ERROR","OK"))</f>
        <v/>
      </c>
    </row>
    <row r="3228">
      <c r="A3228" t="inlineStr">
        <is>
          <t>T-2015-Q2-00021</t>
        </is>
      </c>
      <c r="B3228" t="inlineStr">
        <is>
          <t>SLE</t>
        </is>
      </c>
      <c r="C3228" t="inlineStr">
        <is>
          <t>President</t>
        </is>
      </c>
      <c r="D3228" t="inlineStr">
        <is>
          <t>Président</t>
        </is>
      </c>
      <c r="E3228" t="inlineStr">
        <is>
          <t>Paul J. LeBlanc</t>
        </is>
      </c>
      <c r="F3228" t="inlineStr">
        <is>
          <t>For meetings and discussions with various Government of Canada officials</t>
        </is>
      </c>
      <c r="G3228" t="inlineStr">
        <is>
          <t>Diverses réunions et discussions avec des fonctionnaires du gouvernement du Canada</t>
        </is>
      </c>
      <c r="H3228" s="1" t="n">
        <v>41810</v>
      </c>
      <c r="I3228" s="1" t="n">
        <v>41810</v>
      </c>
      <c r="J3228" t="inlineStr">
        <is>
          <t>Ottawa, Ontario</t>
        </is>
      </c>
      <c r="K3228" t="inlineStr">
        <is>
          <t>Ottawa (Ontario)</t>
        </is>
      </c>
      <c r="P3228" t="n">
        <v>747.8200000000001</v>
      </c>
      <c r="Q3228" t="n">
        <v>20</v>
      </c>
      <c r="R3228" t="n">
        <v>0</v>
      </c>
      <c r="S3228" t="n">
        <v>31.2</v>
      </c>
      <c r="T3228" t="n">
        <v>129</v>
      </c>
      <c r="U3228" t="n">
        <v>928.02</v>
      </c>
      <c r="X3228" t="inlineStr">
        <is>
          <t>acoa-apeca</t>
        </is>
      </c>
      <c r="Y3228" t="inlineStr">
        <is>
          <t>Atlantic Canada Opportunities Agency | Agence de promotion économique du Canada atlantique</t>
        </is>
      </c>
      <c r="Z3228" t="n">
        <v>1</v>
      </c>
      <c r="AA3228" t="n">
        <v>928.02</v>
      </c>
      <c r="AB3228">
        <f>ROUND(U3228-AA3228,2)</f>
        <v/>
      </c>
      <c r="AC3228" t="b">
        <v>0</v>
      </c>
      <c r="AD3228">
        <f>IF(U3228="","MISSING_TOTAL",IF(ABS(AB3228)&lt;=0.01,"OK","CHECK"))</f>
        <v/>
      </c>
      <c r="AE3228">
        <f>IF(U3228="","MISSING",IF(AND(AA3228&gt;0,U3228/AA3228&gt;50),"POSSIBLE_SCALE_ERROR","OK"))</f>
        <v/>
      </c>
    </row>
    <row r="3229">
      <c r="A3229" t="inlineStr">
        <is>
          <t>T-2015-Q2-00020</t>
        </is>
      </c>
      <c r="B3229" t="inlineStr">
        <is>
          <t>MPSES</t>
        </is>
      </c>
      <c r="C3229" t="inlineStr">
        <is>
          <t>Executive Assistant</t>
        </is>
      </c>
      <c r="D3229" t="inlineStr">
        <is>
          <t>Adjoint exécutif</t>
        </is>
      </c>
      <c r="E3229" t="inlineStr">
        <is>
          <t>Josh Hardy</t>
        </is>
      </c>
      <c r="F3229" t="inlineStr">
        <is>
          <t>Travel on government business</t>
        </is>
      </c>
      <c r="G3229" t="inlineStr">
        <is>
          <t>Voyage en service commandé</t>
        </is>
      </c>
      <c r="H3229" s="1" t="n">
        <v>41809</v>
      </c>
      <c r="I3229" s="1" t="n">
        <v>41809</v>
      </c>
      <c r="J3229" t="inlineStr">
        <is>
          <t>Moncton, New Brunswick</t>
        </is>
      </c>
      <c r="K3229" t="inlineStr">
        <is>
          <t>Moncton (Nouveau-Brunswick)</t>
        </is>
      </c>
      <c r="P3229" t="n">
        <v>616.95</v>
      </c>
      <c r="Q3229" t="n">
        <v>0</v>
      </c>
      <c r="R3229" t="n">
        <v>0</v>
      </c>
      <c r="S3229" t="n">
        <v>0</v>
      </c>
      <c r="T3229" t="n">
        <v>0</v>
      </c>
      <c r="U3229" t="n">
        <v>616.95</v>
      </c>
      <c r="X3229" t="inlineStr">
        <is>
          <t>acoa-apeca</t>
        </is>
      </c>
      <c r="Y3229" t="inlineStr">
        <is>
          <t>Atlantic Canada Opportunities Agency | Agence de promotion économique du Canada atlantique</t>
        </is>
      </c>
      <c r="Z3229" t="n">
        <v>1</v>
      </c>
      <c r="AA3229" t="n">
        <v>616.95</v>
      </c>
      <c r="AB3229">
        <f>ROUND(U3229-AA3229,2)</f>
        <v/>
      </c>
      <c r="AC3229" t="b">
        <v>0</v>
      </c>
      <c r="AD3229">
        <f>IF(U3229="","MISSING_TOTAL",IF(ABS(AB3229)&lt;=0.01,"OK","CHECK"))</f>
        <v/>
      </c>
      <c r="AE3229">
        <f>IF(U3229="","MISSING",IF(AND(AA3229&gt;0,U3229/AA3229&gt;50),"POSSIBLE_SCALE_ERROR","OK"))</f>
        <v/>
      </c>
    </row>
    <row r="3230">
      <c r="A3230" t="inlineStr">
        <is>
          <t>T-2015-Q2-00019</t>
        </is>
      </c>
      <c r="B3230" t="inlineStr">
        <is>
          <t>SLE</t>
        </is>
      </c>
      <c r="C3230" t="inlineStr">
        <is>
          <t>Vice-President, Prince Edward Island</t>
        </is>
      </c>
      <c r="D3230" t="inlineStr">
        <is>
          <t>Vice-président, Île-du-Prince-Édouard</t>
        </is>
      </c>
      <c r="E3230" t="inlineStr">
        <is>
          <t>Patrick Dorsey</t>
        </is>
      </c>
      <c r="F3230" t="inlineStr">
        <is>
          <t>Meetings with Government of Canada officials</t>
        </is>
      </c>
      <c r="G3230" t="inlineStr">
        <is>
          <t>Réunions avec des fonctionnaires du gouvernement du Canada</t>
        </is>
      </c>
      <c r="H3230" s="1" t="n">
        <v>41809</v>
      </c>
      <c r="I3230" s="1" t="n">
        <v>41810</v>
      </c>
      <c r="J3230" t="inlineStr">
        <is>
          <t>Moncton, New Brunswick</t>
        </is>
      </c>
      <c r="K3230" t="inlineStr">
        <is>
          <t>Moncton (Nouveau-Brunswick)</t>
        </is>
      </c>
      <c r="P3230" t="n">
        <v>0</v>
      </c>
      <c r="Q3230" t="n">
        <v>64</v>
      </c>
      <c r="R3230" t="n">
        <v>227.98</v>
      </c>
      <c r="S3230" t="n">
        <v>168.7</v>
      </c>
      <c r="T3230" t="n">
        <v>0</v>
      </c>
      <c r="U3230" t="n">
        <v>460.68</v>
      </c>
      <c r="X3230" t="inlineStr">
        <is>
          <t>acoa-apeca</t>
        </is>
      </c>
      <c r="Y3230" t="inlineStr">
        <is>
          <t>Atlantic Canada Opportunities Agency | Agence de promotion économique du Canada atlantique</t>
        </is>
      </c>
      <c r="Z3230" t="n">
        <v>2</v>
      </c>
      <c r="AA3230" t="n">
        <v>460.68</v>
      </c>
      <c r="AB3230">
        <f>ROUND(U3230-AA3230,2)</f>
        <v/>
      </c>
      <c r="AC3230" t="b">
        <v>0</v>
      </c>
      <c r="AD3230">
        <f>IF(U3230="","MISSING_TOTAL",IF(ABS(AB3230)&lt;=0.01,"OK","CHECK"))</f>
        <v/>
      </c>
      <c r="AE3230">
        <f>IF(U3230="","MISSING",IF(AND(AA3230&gt;0,U3230/AA3230&gt;50),"POSSIBLE_SCALE_ERROR","OK"))</f>
        <v/>
      </c>
    </row>
    <row r="3231">
      <c r="A3231" t="inlineStr">
        <is>
          <t>T-2015-Q2-00017</t>
        </is>
      </c>
      <c r="B3231" t="inlineStr">
        <is>
          <t>SLE</t>
        </is>
      </c>
      <c r="C3231" t="inlineStr">
        <is>
          <t>Vice President, Nova Scotia</t>
        </is>
      </c>
      <c r="D3231" t="inlineStr">
        <is>
          <t>Vice-président, Nouvelle-Écosse</t>
        </is>
      </c>
      <c r="E3231" t="inlineStr">
        <is>
          <t>Peter Hogan</t>
        </is>
      </c>
      <c r="F3231" t="inlineStr">
        <is>
          <t>Meetings with senior Agency officials</t>
        </is>
      </c>
      <c r="G3231" t="inlineStr">
        <is>
          <t>Réunions avec de hauts fonctionnaires de l'Agence</t>
        </is>
      </c>
      <c r="H3231" s="1" t="n">
        <v>41808</v>
      </c>
      <c r="I3231" s="1" t="n">
        <v>41809</v>
      </c>
      <c r="J3231" t="inlineStr">
        <is>
          <t>Moncton, New Brunswick</t>
        </is>
      </c>
      <c r="K3231" t="inlineStr">
        <is>
          <t>Moncton (Nouveau-Brunswick)</t>
        </is>
      </c>
      <c r="P3231" t="n">
        <v>0</v>
      </c>
      <c r="Q3231" t="n">
        <v>0</v>
      </c>
      <c r="R3231" t="n">
        <v>137.86</v>
      </c>
      <c r="S3231" t="n">
        <v>119.5</v>
      </c>
      <c r="T3231" t="n">
        <v>0</v>
      </c>
      <c r="U3231" t="n">
        <v>257.36</v>
      </c>
      <c r="X3231" t="inlineStr">
        <is>
          <t>acoa-apeca</t>
        </is>
      </c>
      <c r="Y3231" t="inlineStr">
        <is>
          <t>Atlantic Canada Opportunities Agency | Agence de promotion économique du Canada atlantique</t>
        </is>
      </c>
      <c r="Z3231" t="n">
        <v>2</v>
      </c>
      <c r="AA3231" t="n">
        <v>257.36</v>
      </c>
      <c r="AB3231">
        <f>ROUND(U3231-AA3231,2)</f>
        <v/>
      </c>
      <c r="AC3231" t="b">
        <v>0</v>
      </c>
      <c r="AD3231">
        <f>IF(U3231="","MISSING_TOTAL",IF(ABS(AB3231)&lt;=0.01,"OK","CHECK"))</f>
        <v/>
      </c>
      <c r="AE3231">
        <f>IF(U3231="","MISSING",IF(AND(AA3231&gt;0,U3231/AA3231&gt;50),"POSSIBLE_SCALE_ERROR","OK"))</f>
        <v/>
      </c>
    </row>
    <row r="3232">
      <c r="A3232" t="inlineStr">
        <is>
          <t>T-2015-Q2-00016</t>
        </is>
      </c>
      <c r="B3232" t="inlineStr">
        <is>
          <t>SLE</t>
        </is>
      </c>
      <c r="C3232" t="inlineStr">
        <is>
          <t>Vice-President, New Brunswick</t>
        </is>
      </c>
      <c r="D3232" t="inlineStr">
        <is>
          <t>Vice-président, Nouveau-Brunswick</t>
        </is>
      </c>
      <c r="E3232" t="inlineStr">
        <is>
          <t>Kent Estabrooks</t>
        </is>
      </c>
      <c r="F3232" t="inlineStr">
        <is>
          <t>Meeting with Agency officials</t>
        </is>
      </c>
      <c r="G3232" t="inlineStr">
        <is>
          <t>Réunion avec des fonctionnaires de l'Agence</t>
        </is>
      </c>
      <c r="H3232" s="1" t="n">
        <v>41808</v>
      </c>
      <c r="I3232" s="1" t="n">
        <v>41809</v>
      </c>
      <c r="J3232" t="inlineStr">
        <is>
          <t>Moncton, New Brunswick</t>
        </is>
      </c>
      <c r="K3232" t="inlineStr">
        <is>
          <t>Moncton (Nouveau-Brunswick)</t>
        </is>
      </c>
      <c r="P3232" t="n">
        <v>0</v>
      </c>
      <c r="Q3232" t="n">
        <v>0</v>
      </c>
      <c r="R3232" t="n">
        <v>113</v>
      </c>
      <c r="S3232" t="n">
        <v>119.5</v>
      </c>
      <c r="T3232" t="n">
        <v>0</v>
      </c>
      <c r="U3232" t="n">
        <v>232.5</v>
      </c>
      <c r="X3232" t="inlineStr">
        <is>
          <t>acoa-apeca</t>
        </is>
      </c>
      <c r="Y3232" t="inlineStr">
        <is>
          <t>Atlantic Canada Opportunities Agency | Agence de promotion économique du Canada atlantique</t>
        </is>
      </c>
      <c r="Z3232" t="n">
        <v>2</v>
      </c>
      <c r="AA3232" t="n">
        <v>232.5</v>
      </c>
      <c r="AB3232">
        <f>ROUND(U3232-AA3232,2)</f>
        <v/>
      </c>
      <c r="AC3232" t="b">
        <v>0</v>
      </c>
      <c r="AD3232">
        <f>IF(U3232="","MISSING_TOTAL",IF(ABS(AB3232)&lt;=0.01,"OK","CHECK"))</f>
        <v/>
      </c>
      <c r="AE3232">
        <f>IF(U3232="","MISSING",IF(AND(AA3232&gt;0,U3232/AA3232&gt;50),"POSSIBLE_SCALE_ERROR","OK"))</f>
        <v/>
      </c>
    </row>
    <row r="3233">
      <c r="A3233" t="inlineStr">
        <is>
          <t>T-2015-Q2-00014</t>
        </is>
      </c>
      <c r="B3233" t="inlineStr">
        <is>
          <t>MPSES</t>
        </is>
      </c>
      <c r="C3233" t="inlineStr">
        <is>
          <t>Minister of State</t>
        </is>
      </c>
      <c r="D3233" t="inlineStr">
        <is>
          <t>Ministre d'État</t>
        </is>
      </c>
      <c r="E3233" t="inlineStr">
        <is>
          <t>Rob Moore</t>
        </is>
      </c>
      <c r="F3233" t="inlineStr">
        <is>
          <t>To attend government of Canada announcement</t>
        </is>
      </c>
      <c r="G3233" t="inlineStr">
        <is>
          <t>Assister à une annonce du gouvernement du Canada</t>
        </is>
      </c>
      <c r="H3233" s="1" t="n">
        <v>41803</v>
      </c>
      <c r="I3233" s="1" t="n">
        <v>41803</v>
      </c>
      <c r="J3233" t="inlineStr">
        <is>
          <t>Moncton, New Brunswick</t>
        </is>
      </c>
      <c r="K3233" t="inlineStr">
        <is>
          <t>Moncton (Nouveau-Brunswick)</t>
        </is>
      </c>
      <c r="P3233" t="n">
        <v>0</v>
      </c>
      <c r="Q3233" t="n">
        <v>132.31</v>
      </c>
      <c r="R3233" t="n">
        <v>0</v>
      </c>
      <c r="S3233" t="n">
        <v>15.25</v>
      </c>
      <c r="T3233" t="n">
        <v>0</v>
      </c>
      <c r="U3233" t="n">
        <v>147.56</v>
      </c>
      <c r="X3233" t="inlineStr">
        <is>
          <t>acoa-apeca</t>
        </is>
      </c>
      <c r="Y3233" t="inlineStr">
        <is>
          <t>Atlantic Canada Opportunities Agency | Agence de promotion économique du Canada atlantique</t>
        </is>
      </c>
      <c r="Z3233" t="n">
        <v>1</v>
      </c>
      <c r="AA3233" t="n">
        <v>147.56</v>
      </c>
      <c r="AB3233">
        <f>ROUND(U3233-AA3233,2)</f>
        <v/>
      </c>
      <c r="AC3233" t="b">
        <v>0</v>
      </c>
      <c r="AD3233">
        <f>IF(U3233="","MISSING_TOTAL",IF(ABS(AB3233)&lt;=0.01,"OK","CHECK"))</f>
        <v/>
      </c>
      <c r="AE3233">
        <f>IF(U3233="","MISSING",IF(AND(AA3233&gt;0,U3233/AA3233&gt;50),"POSSIBLE_SCALE_ERROR","OK"))</f>
        <v/>
      </c>
    </row>
    <row r="3234">
      <c r="A3234" t="inlineStr">
        <is>
          <t>T-2015-Q2-00013</t>
        </is>
      </c>
      <c r="B3234" t="inlineStr">
        <is>
          <t>SLE</t>
        </is>
      </c>
      <c r="C3234" t="inlineStr">
        <is>
          <t>Vice-President, Prince Edward Island</t>
        </is>
      </c>
      <c r="D3234" t="inlineStr">
        <is>
          <t>Vice-président, Île-du-Prince-Édouard</t>
        </is>
      </c>
      <c r="E3234" t="inlineStr">
        <is>
          <t>Patrick Dorsey</t>
        </is>
      </c>
      <c r="F3234" t="inlineStr">
        <is>
          <t>Meetings with Government of Canada officials</t>
        </is>
      </c>
      <c r="G3234" t="inlineStr">
        <is>
          <t>Réunions avec des fonctionnaires du gouvernement du Canada</t>
        </is>
      </c>
      <c r="H3234" s="1" t="n">
        <v>41801</v>
      </c>
      <c r="I3234" s="1" t="n">
        <v>41803</v>
      </c>
      <c r="J3234" t="inlineStr">
        <is>
          <t>Ottawa, Ontario</t>
        </is>
      </c>
      <c r="K3234" t="inlineStr">
        <is>
          <t>Ottawa (Ontario)</t>
        </is>
      </c>
      <c r="P3234" t="n">
        <v>1062.43</v>
      </c>
      <c r="Q3234" t="n">
        <v>70</v>
      </c>
      <c r="R3234" t="n">
        <v>393.4</v>
      </c>
      <c r="S3234" t="n">
        <v>199.2</v>
      </c>
      <c r="T3234" t="n">
        <v>0</v>
      </c>
      <c r="U3234" t="n">
        <v>1725.03</v>
      </c>
      <c r="X3234" t="inlineStr">
        <is>
          <t>acoa-apeca</t>
        </is>
      </c>
      <c r="Y3234" t="inlineStr">
        <is>
          <t>Atlantic Canada Opportunities Agency | Agence de promotion économique du Canada atlantique</t>
        </is>
      </c>
      <c r="Z3234" t="n">
        <v>3</v>
      </c>
      <c r="AA3234" t="n">
        <v>1725.03</v>
      </c>
      <c r="AB3234">
        <f>ROUND(U3234-AA3234,2)</f>
        <v/>
      </c>
      <c r="AC3234" t="b">
        <v>0</v>
      </c>
      <c r="AD3234">
        <f>IF(U3234="","MISSING_TOTAL",IF(ABS(AB3234)&lt;=0.01,"OK","CHECK"))</f>
        <v/>
      </c>
      <c r="AE3234">
        <f>IF(U3234="","MISSING",IF(AND(AA3234&gt;0,U3234/AA3234&gt;50),"POSSIBLE_SCALE_ERROR","OK"))</f>
        <v/>
      </c>
    </row>
    <row r="3235">
      <c r="A3235" t="inlineStr">
        <is>
          <t>T-2015-Q2-00012</t>
        </is>
      </c>
      <c r="B3235" t="inlineStr">
        <is>
          <t>SLE</t>
        </is>
      </c>
      <c r="C3235" t="inlineStr">
        <is>
          <t>Vice-President, Policy and Programs</t>
        </is>
      </c>
      <c r="D3235" t="inlineStr">
        <is>
          <t>Vice-président, Politiques et Programmes</t>
        </is>
      </c>
      <c r="E3235" t="inlineStr">
        <is>
          <t>Daryell Nowlan</t>
        </is>
      </c>
      <c r="F3235" t="inlineStr">
        <is>
          <t>Meeting with Government of Canada officials</t>
        </is>
      </c>
      <c r="G3235" t="inlineStr">
        <is>
          <t>Réunion avec des fonctionnaires du gouvernement du Canada</t>
        </is>
      </c>
      <c r="H3235" s="1" t="n">
        <v>41801</v>
      </c>
      <c r="I3235" s="1" t="n">
        <v>41802</v>
      </c>
      <c r="J3235" t="inlineStr">
        <is>
          <t>Halifax, Nova Scotia</t>
        </is>
      </c>
      <c r="K3235" t="inlineStr">
        <is>
          <t>Halifax (Nouvelle-Écosse)</t>
        </is>
      </c>
      <c r="P3235" t="n">
        <v>0</v>
      </c>
      <c r="Q3235" t="n">
        <v>0</v>
      </c>
      <c r="R3235" t="n">
        <v>181.82</v>
      </c>
      <c r="S3235" t="n">
        <v>77.05</v>
      </c>
      <c r="T3235" t="n">
        <v>0</v>
      </c>
      <c r="U3235" t="n">
        <v>258.87</v>
      </c>
      <c r="X3235" t="inlineStr">
        <is>
          <t>acoa-apeca</t>
        </is>
      </c>
      <c r="Y3235" t="inlineStr">
        <is>
          <t>Atlantic Canada Opportunities Agency | Agence de promotion économique du Canada atlantique</t>
        </is>
      </c>
      <c r="Z3235" t="n">
        <v>2</v>
      </c>
      <c r="AA3235" t="n">
        <v>258.87</v>
      </c>
      <c r="AB3235">
        <f>ROUND(U3235-AA3235,2)</f>
        <v/>
      </c>
      <c r="AC3235" t="b">
        <v>0</v>
      </c>
      <c r="AD3235">
        <f>IF(U3235="","MISSING_TOTAL",IF(ABS(AB3235)&lt;=0.01,"OK","CHECK"))</f>
        <v/>
      </c>
      <c r="AE3235">
        <f>IF(U3235="","MISSING",IF(AND(AA3235&gt;0,U3235/AA3235&gt;50),"POSSIBLE_SCALE_ERROR","OK"))</f>
        <v/>
      </c>
    </row>
    <row r="3236">
      <c r="A3236" t="inlineStr">
        <is>
          <t>T-2015-Q2-00010</t>
        </is>
      </c>
      <c r="B3236" t="inlineStr">
        <is>
          <t>SLE</t>
        </is>
      </c>
      <c r="C3236" t="inlineStr">
        <is>
          <t>Vice-President, New Brunswick</t>
        </is>
      </c>
      <c r="D3236" t="inlineStr">
        <is>
          <t>Vice-président, Nouveau-Brunswick</t>
        </is>
      </c>
      <c r="E3236" t="inlineStr">
        <is>
          <t>Kent Estabrooks</t>
        </is>
      </c>
      <c r="F3236" t="inlineStr">
        <is>
          <t>External stakeholders meeting/meeting with federal officials</t>
        </is>
      </c>
      <c r="G3236" t="inlineStr">
        <is>
          <t>Réunion avec des intervenants externes/ réunion avec des fonctionnaires fédéraux</t>
        </is>
      </c>
      <c r="H3236" s="1" t="n">
        <v>41799</v>
      </c>
      <c r="I3236" s="1" t="n">
        <v>41801</v>
      </c>
      <c r="J3236" t="inlineStr">
        <is>
          <t>Ottawa, Ontario</t>
        </is>
      </c>
      <c r="K3236" t="inlineStr">
        <is>
          <t>Ottawa (Ontario)</t>
        </is>
      </c>
      <c r="P3236" t="n">
        <v>892.7</v>
      </c>
      <c r="Q3236" t="n">
        <v>91</v>
      </c>
      <c r="R3236" t="n">
        <v>379.43</v>
      </c>
      <c r="S3236" t="n">
        <v>194.5</v>
      </c>
      <c r="T3236" t="n">
        <v>0</v>
      </c>
      <c r="U3236" t="n">
        <v>1557.63</v>
      </c>
      <c r="X3236" t="inlineStr">
        <is>
          <t>acoa-apeca</t>
        </is>
      </c>
      <c r="Y3236" t="inlineStr">
        <is>
          <t>Atlantic Canada Opportunities Agency | Agence de promotion économique du Canada atlantique</t>
        </is>
      </c>
      <c r="Z3236" t="n">
        <v>3</v>
      </c>
      <c r="AA3236" t="n">
        <v>1557.63</v>
      </c>
      <c r="AB3236">
        <f>ROUND(U3236-AA3236,2)</f>
        <v/>
      </c>
      <c r="AC3236" t="b">
        <v>0</v>
      </c>
      <c r="AD3236">
        <f>IF(U3236="","MISSING_TOTAL",IF(ABS(AB3236)&lt;=0.01,"OK","CHECK"))</f>
        <v/>
      </c>
      <c r="AE3236">
        <f>IF(U3236="","MISSING",IF(AND(AA3236&gt;0,U3236/AA3236&gt;50),"POSSIBLE_SCALE_ERROR","OK"))</f>
        <v/>
      </c>
    </row>
    <row r="3237">
      <c r="A3237" t="inlineStr">
        <is>
          <t>T-2015-Q2-00008</t>
        </is>
      </c>
      <c r="B3237" t="inlineStr">
        <is>
          <t>SLE</t>
        </is>
      </c>
      <c r="C3237" t="inlineStr">
        <is>
          <t>President</t>
        </is>
      </c>
      <c r="D3237" t="inlineStr">
        <is>
          <t>Président</t>
        </is>
      </c>
      <c r="E3237" t="inlineStr">
        <is>
          <t>Paul J. LeBlanc</t>
        </is>
      </c>
      <c r="F3237" t="inlineStr">
        <is>
          <t>For various meetings and discussions with Agency officials and with Government of Canada officials</t>
        </is>
      </c>
      <c r="G3237" t="inlineStr">
        <is>
          <t>Diverses réunions et discussions avec des fonctionnaires de l'Agence et du gouvernement du Canada</t>
        </is>
      </c>
      <c r="H3237" s="1" t="n">
        <v>41799</v>
      </c>
      <c r="I3237" s="1" t="n">
        <v>41803</v>
      </c>
      <c r="J3237" t="inlineStr">
        <is>
          <t>Ottawa, Ontario and Halifax, Nova Scotia</t>
        </is>
      </c>
      <c r="K3237" t="inlineStr">
        <is>
          <t>Ottawa (Ontario) et Halifax (Nouvelle-Écosse)</t>
        </is>
      </c>
      <c r="P3237" t="n">
        <v>1395.85</v>
      </c>
      <c r="Q3237" t="n">
        <v>68</v>
      </c>
      <c r="R3237" t="n">
        <v>729.96</v>
      </c>
      <c r="S3237" t="n">
        <v>381.1</v>
      </c>
      <c r="T3237" t="n">
        <v>56.5</v>
      </c>
      <c r="U3237" t="n">
        <v>2631.41</v>
      </c>
      <c r="X3237" t="inlineStr">
        <is>
          <t>acoa-apeca</t>
        </is>
      </c>
      <c r="Y3237" t="inlineStr">
        <is>
          <t>Atlantic Canada Opportunities Agency | Agence de promotion économique du Canada atlantique</t>
        </is>
      </c>
      <c r="Z3237" t="n">
        <v>5</v>
      </c>
      <c r="AA3237" t="n">
        <v>2631.41</v>
      </c>
      <c r="AB3237">
        <f>ROUND(U3237-AA3237,2)</f>
        <v/>
      </c>
      <c r="AC3237" t="b">
        <v>0</v>
      </c>
      <c r="AD3237">
        <f>IF(U3237="","MISSING_TOTAL",IF(ABS(AB3237)&lt;=0.01,"OK","CHECK"))</f>
        <v/>
      </c>
      <c r="AE3237">
        <f>IF(U3237="","MISSING",IF(AND(AA3237&gt;0,U3237/AA3237&gt;50),"POSSIBLE_SCALE_ERROR","OK"))</f>
        <v/>
      </c>
    </row>
    <row r="3238">
      <c r="A3238" t="inlineStr">
        <is>
          <t>T-2015-Q2-00007</t>
        </is>
      </c>
      <c r="B3238" t="inlineStr">
        <is>
          <t>SLE</t>
        </is>
      </c>
      <c r="C3238" t="inlineStr">
        <is>
          <t>Vice-President, Newfoundland and Labrador</t>
        </is>
      </c>
      <c r="D3238" t="inlineStr">
        <is>
          <t>Vice-président, Terre-Neuve-et-Labrador</t>
        </is>
      </c>
      <c r="E3238" t="inlineStr">
        <is>
          <t>Paul Mills</t>
        </is>
      </c>
      <c r="F3238" t="inlineStr">
        <is>
          <t>Meetings with Minister of ACOA and President LeBlanc</t>
        </is>
      </c>
      <c r="G3238" t="inlineStr">
        <is>
          <t>Réunions avec le ministre de l'APECA et le président LeBlanc</t>
        </is>
      </c>
      <c r="H3238" s="1" t="n">
        <v>41799</v>
      </c>
      <c r="I3238" s="1" t="n">
        <v>41802</v>
      </c>
      <c r="J3238" t="inlineStr">
        <is>
          <t>Ottawa, Ontario</t>
        </is>
      </c>
      <c r="K3238" t="inlineStr">
        <is>
          <t>Ottawa (Ontario)</t>
        </is>
      </c>
      <c r="P3238" t="n">
        <v>1369.61</v>
      </c>
      <c r="Q3238" t="n">
        <v>133</v>
      </c>
      <c r="R3238" t="n">
        <v>694.86</v>
      </c>
      <c r="S3238" t="n">
        <v>305.4</v>
      </c>
      <c r="T3238" t="n">
        <v>14.28</v>
      </c>
      <c r="U3238" t="n">
        <v>2517.15</v>
      </c>
      <c r="X3238" t="inlineStr">
        <is>
          <t>acoa-apeca</t>
        </is>
      </c>
      <c r="Y3238" t="inlineStr">
        <is>
          <t>Atlantic Canada Opportunities Agency | Agence de promotion économique du Canada atlantique</t>
        </is>
      </c>
      <c r="Z3238" t="n">
        <v>4</v>
      </c>
      <c r="AA3238" t="n">
        <v>2517.15</v>
      </c>
      <c r="AB3238">
        <f>ROUND(U3238-AA3238,2)</f>
        <v/>
      </c>
      <c r="AC3238" t="b">
        <v>0</v>
      </c>
      <c r="AD3238">
        <f>IF(U3238="","MISSING_TOTAL",IF(ABS(AB3238)&lt;=0.01,"OK","CHECK"))</f>
        <v/>
      </c>
      <c r="AE3238">
        <f>IF(U3238="","MISSING",IF(AND(AA3238&gt;0,U3238/AA3238&gt;50),"POSSIBLE_SCALE_ERROR","OK"))</f>
        <v/>
      </c>
    </row>
    <row r="3239">
      <c r="A3239" t="inlineStr">
        <is>
          <t>T-2015-Q2-00006</t>
        </is>
      </c>
      <c r="B3239" t="inlineStr">
        <is>
          <t>SLE</t>
        </is>
      </c>
      <c r="C3239" t="inlineStr">
        <is>
          <t>Vice-President, Policy and Programs</t>
        </is>
      </c>
      <c r="D3239" t="inlineStr">
        <is>
          <t>Vice-président, Politiques et Programmes</t>
        </is>
      </c>
      <c r="E3239" t="inlineStr">
        <is>
          <t>Daryell Nowlan</t>
        </is>
      </c>
      <c r="F3239" t="inlineStr">
        <is>
          <t>Meeting with Government of Canada officials</t>
        </is>
      </c>
      <c r="G3239" t="inlineStr">
        <is>
          <t>Réunion avec des fonctionnaires du gouvernement du Canada</t>
        </is>
      </c>
      <c r="H3239" s="1" t="n">
        <v>41798</v>
      </c>
      <c r="I3239" s="1" t="n">
        <v>41799</v>
      </c>
      <c r="J3239" t="inlineStr">
        <is>
          <t>Halifax, Nova Scotia</t>
        </is>
      </c>
      <c r="K3239" t="inlineStr">
        <is>
          <t>Halifax (Nouvelle-Écosse)</t>
        </is>
      </c>
      <c r="P3239" t="n">
        <v>0</v>
      </c>
      <c r="Q3239" t="n">
        <v>199.4</v>
      </c>
      <c r="R3239" t="n">
        <v>181.82</v>
      </c>
      <c r="S3239" t="n">
        <v>92.3</v>
      </c>
      <c r="T3239" t="n">
        <v>0</v>
      </c>
      <c r="U3239" t="n">
        <v>473.52</v>
      </c>
      <c r="X3239" t="inlineStr">
        <is>
          <t>acoa-apeca</t>
        </is>
      </c>
      <c r="Y3239" t="inlineStr">
        <is>
          <t>Atlantic Canada Opportunities Agency | Agence de promotion économique du Canada atlantique</t>
        </is>
      </c>
      <c r="Z3239" t="n">
        <v>2</v>
      </c>
      <c r="AA3239" t="n">
        <v>473.52</v>
      </c>
      <c r="AB3239">
        <f>ROUND(U3239-AA3239,2)</f>
        <v/>
      </c>
      <c r="AC3239" t="b">
        <v>0</v>
      </c>
      <c r="AD3239">
        <f>IF(U3239="","MISSING_TOTAL",IF(ABS(AB3239)&lt;=0.01,"OK","CHECK"))</f>
        <v/>
      </c>
      <c r="AE3239">
        <f>IF(U3239="","MISSING",IF(AND(AA3239&gt;0,U3239/AA3239&gt;50),"POSSIBLE_SCALE_ERROR","OK"))</f>
        <v/>
      </c>
    </row>
    <row r="3240">
      <c r="A3240" t="inlineStr">
        <is>
          <t>T-2015-Q2-00005</t>
        </is>
      </c>
      <c r="B3240" t="inlineStr">
        <is>
          <t>SLE</t>
        </is>
      </c>
      <c r="C3240" t="inlineStr">
        <is>
          <t>Vice President, Nova Scotia</t>
        </is>
      </c>
      <c r="D3240" t="inlineStr">
        <is>
          <t>Vice-président, Nouvelle-Écosse</t>
        </is>
      </c>
      <c r="E3240" t="inlineStr">
        <is>
          <t>Peter Hogan</t>
        </is>
      </c>
      <c r="F3240" t="inlineStr">
        <is>
          <t>Meetings with Agency officials</t>
        </is>
      </c>
      <c r="G3240" t="inlineStr">
        <is>
          <t>Réunions avec des fonctionnaires de l'Agence</t>
        </is>
      </c>
      <c r="H3240" s="1" t="n">
        <v>41796</v>
      </c>
      <c r="I3240" s="1" t="n">
        <v>41796</v>
      </c>
      <c r="J3240" t="inlineStr">
        <is>
          <t>Moncton, New Brunswick</t>
        </is>
      </c>
      <c r="K3240" t="inlineStr">
        <is>
          <t>Moncton (Nouveau-Brunswick)</t>
        </is>
      </c>
      <c r="P3240" t="n">
        <v>0</v>
      </c>
      <c r="Q3240" t="n">
        <v>246.33</v>
      </c>
      <c r="R3240" t="n">
        <v>0</v>
      </c>
      <c r="S3240" t="n">
        <v>15.25</v>
      </c>
      <c r="T3240" t="n">
        <v>0</v>
      </c>
      <c r="U3240" t="n">
        <v>261.58</v>
      </c>
      <c r="X3240" t="inlineStr">
        <is>
          <t>acoa-apeca</t>
        </is>
      </c>
      <c r="Y3240" t="inlineStr">
        <is>
          <t>Atlantic Canada Opportunities Agency | Agence de promotion économique du Canada atlantique</t>
        </is>
      </c>
      <c r="Z3240" t="n">
        <v>1</v>
      </c>
      <c r="AA3240" t="n">
        <v>261.58</v>
      </c>
      <c r="AB3240">
        <f>ROUND(U3240-AA3240,2)</f>
        <v/>
      </c>
      <c r="AC3240" t="b">
        <v>0</v>
      </c>
      <c r="AD3240">
        <f>IF(U3240="","MISSING_TOTAL",IF(ABS(AB3240)&lt;=0.01,"OK","CHECK"))</f>
        <v/>
      </c>
      <c r="AE3240">
        <f>IF(U3240="","MISSING",IF(AND(AA3240&gt;0,U3240/AA3240&gt;50),"POSSIBLE_SCALE_ERROR","OK"))</f>
        <v/>
      </c>
    </row>
    <row r="3241">
      <c r="A3241" t="inlineStr">
        <is>
          <t>T-2015-Q2-00004</t>
        </is>
      </c>
      <c r="B3241" t="inlineStr">
        <is>
          <t>SLE</t>
        </is>
      </c>
      <c r="C3241" t="inlineStr">
        <is>
          <t>President</t>
        </is>
      </c>
      <c r="D3241" t="inlineStr">
        <is>
          <t>Président</t>
        </is>
      </c>
      <c r="E3241" t="inlineStr">
        <is>
          <t>Paul J. LeBlanc</t>
        </is>
      </c>
      <c r="F3241" t="inlineStr">
        <is>
          <t>For various meetings and discussions with Agency officials and with Government of Canada officials</t>
        </is>
      </c>
      <c r="G3241" t="inlineStr">
        <is>
          <t>Diverses réunions et discussions avec des fonctionnaires de l'Agence et du gouvernement du Canada</t>
        </is>
      </c>
      <c r="H3241" s="1" t="n">
        <v>41793</v>
      </c>
      <c r="I3241" s="1" t="n">
        <v>41794</v>
      </c>
      <c r="J3241" t="inlineStr">
        <is>
          <t>Ottawa, Ontario</t>
        </is>
      </c>
      <c r="K3241" t="inlineStr">
        <is>
          <t>Ottawa (Ontario)</t>
        </is>
      </c>
      <c r="P3241" t="n">
        <v>1092.64</v>
      </c>
      <c r="Q3241" t="n">
        <v>0</v>
      </c>
      <c r="R3241" t="n">
        <v>185.06</v>
      </c>
      <c r="S3241" t="n">
        <v>123.5</v>
      </c>
      <c r="T3241" t="n">
        <v>0</v>
      </c>
      <c r="U3241" t="n">
        <v>1401.2</v>
      </c>
      <c r="X3241" t="inlineStr">
        <is>
          <t>acoa-apeca</t>
        </is>
      </c>
      <c r="Y3241" t="inlineStr">
        <is>
          <t>Atlantic Canada Opportunities Agency | Agence de promotion économique du Canada atlantique</t>
        </is>
      </c>
      <c r="Z3241" t="n">
        <v>2</v>
      </c>
      <c r="AA3241" t="n">
        <v>1401.2</v>
      </c>
      <c r="AB3241">
        <f>ROUND(U3241-AA3241,2)</f>
        <v/>
      </c>
      <c r="AC3241" t="b">
        <v>0</v>
      </c>
      <c r="AD3241">
        <f>IF(U3241="","MISSING_TOTAL",IF(ABS(AB3241)&lt;=0.01,"OK","CHECK"))</f>
        <v/>
      </c>
      <c r="AE3241">
        <f>IF(U3241="","MISSING",IF(AND(AA3241&gt;0,U3241/AA3241&gt;50),"POSSIBLE_SCALE_ERROR","OK"))</f>
        <v/>
      </c>
    </row>
    <row r="3242">
      <c r="A3242" t="inlineStr">
        <is>
          <t>T-2015-Q2-00003</t>
        </is>
      </c>
      <c r="B3242" t="inlineStr">
        <is>
          <t>SLE</t>
        </is>
      </c>
      <c r="C3242" t="inlineStr">
        <is>
          <t>Vice-President, Finance and Corporate Services</t>
        </is>
      </c>
      <c r="D3242" t="inlineStr">
        <is>
          <t>Vice-présidente, Finances et Services corporatifs</t>
        </is>
      </c>
      <c r="E3242" t="inlineStr">
        <is>
          <t>Denise Frenette</t>
        </is>
      </c>
      <c r="F3242" t="inlineStr">
        <is>
          <t>Meeting between Atlantic Canada Opportunities Agency, Enterprise Cape Breton Corporation and Public Works and Government Services Canada officials</t>
        </is>
      </c>
      <c r="G3242" t="inlineStr">
        <is>
          <t>Réunion de fonctionnaires de l'Agence de promotion économique du Canada atlantique, de la Société d'expansion du Cap-Breton et de Travaux publics et Services gouvernementaux Canada</t>
        </is>
      </c>
      <c r="H3242" s="1" t="n">
        <v>41792</v>
      </c>
      <c r="I3242" s="1" t="n">
        <v>41793</v>
      </c>
      <c r="J3242" t="inlineStr">
        <is>
          <t>Sydney, Nova Scotia</t>
        </is>
      </c>
      <c r="K3242" t="inlineStr">
        <is>
          <t>Sydney (Nouvelle-Écosse)</t>
        </is>
      </c>
      <c r="P3242" t="n">
        <v>687.04</v>
      </c>
      <c r="Q3242" t="n">
        <v>3.96</v>
      </c>
      <c r="R3242" t="n">
        <v>146.63</v>
      </c>
      <c r="S3242" t="n">
        <v>92.3</v>
      </c>
      <c r="T3242" t="n">
        <v>57.5</v>
      </c>
      <c r="U3242" t="n">
        <v>987.4299999999999</v>
      </c>
      <c r="X3242" t="inlineStr">
        <is>
          <t>acoa-apeca</t>
        </is>
      </c>
      <c r="Y3242" t="inlineStr">
        <is>
          <t>Atlantic Canada Opportunities Agency | Agence de promotion économique du Canada atlantique</t>
        </is>
      </c>
      <c r="Z3242" t="n">
        <v>2</v>
      </c>
      <c r="AA3242" t="n">
        <v>987.4299999999999</v>
      </c>
      <c r="AB3242">
        <f>ROUND(U3242-AA3242,2)</f>
        <v/>
      </c>
      <c r="AC3242" t="b">
        <v>0</v>
      </c>
      <c r="AD3242">
        <f>IF(U3242="","MISSING_TOTAL",IF(ABS(AB3242)&lt;=0.01,"OK","CHECK"))</f>
        <v/>
      </c>
      <c r="AE3242">
        <f>IF(U3242="","MISSING",IF(AND(AA3242&gt;0,U3242/AA3242&gt;50),"POSSIBLE_SCALE_ERROR","OK"))</f>
        <v/>
      </c>
    </row>
    <row r="3243">
      <c r="A3243" t="inlineStr">
        <is>
          <t>T-2015-Q2-00002</t>
        </is>
      </c>
      <c r="B3243" t="inlineStr">
        <is>
          <t>SLE</t>
        </is>
      </c>
      <c r="C3243" t="inlineStr">
        <is>
          <t>Vice-President, New Brunswick</t>
        </is>
      </c>
      <c r="D3243" t="inlineStr">
        <is>
          <t>Vice-président, Nouveau-Brunswick</t>
        </is>
      </c>
      <c r="E3243" t="inlineStr">
        <is>
          <t>Kent Estabrooks</t>
        </is>
      </c>
      <c r="F3243" t="inlineStr">
        <is>
          <t>External stakeholders meetings</t>
        </is>
      </c>
      <c r="G3243" t="inlineStr">
        <is>
          <t>Réunions avec des intervenants externes</t>
        </is>
      </c>
      <c r="H3243" s="1" t="n">
        <v>41792</v>
      </c>
      <c r="I3243" s="1" t="n">
        <v>41796</v>
      </c>
      <c r="J3243" t="inlineStr">
        <is>
          <t>Ottawa, Ontario / St. Andrews, New Brunswick</t>
        </is>
      </c>
      <c r="K3243" t="inlineStr">
        <is>
          <t>Ottawa (Ontario) / St. Andrews (Nouveau-Brunswick)</t>
        </is>
      </c>
      <c r="P3243" t="n">
        <v>892.7</v>
      </c>
      <c r="Q3243" t="n">
        <v>364.89</v>
      </c>
      <c r="R3243" t="n">
        <v>715.7</v>
      </c>
      <c r="S3243" t="n">
        <v>245.05</v>
      </c>
      <c r="T3243" t="n">
        <v>0</v>
      </c>
      <c r="U3243" t="n">
        <v>2218.34</v>
      </c>
      <c r="X3243" t="inlineStr">
        <is>
          <t>acoa-apeca</t>
        </is>
      </c>
      <c r="Y3243" t="inlineStr">
        <is>
          <t>Atlantic Canada Opportunities Agency | Agence de promotion économique du Canada atlantique</t>
        </is>
      </c>
      <c r="Z3243" t="n">
        <v>5</v>
      </c>
      <c r="AA3243" t="n">
        <v>2218.34</v>
      </c>
      <c r="AB3243">
        <f>ROUND(U3243-AA3243,2)</f>
        <v/>
      </c>
      <c r="AC3243" t="b">
        <v>0</v>
      </c>
      <c r="AD3243">
        <f>IF(U3243="","MISSING_TOTAL",IF(ABS(AB3243)&lt;=0.01,"OK","CHECK"))</f>
        <v/>
      </c>
      <c r="AE3243">
        <f>IF(U3243="","MISSING",IF(AND(AA3243&gt;0,U3243/AA3243&gt;50),"POSSIBLE_SCALE_ERROR","OK"))</f>
        <v/>
      </c>
    </row>
    <row r="3244">
      <c r="A3244" t="inlineStr">
        <is>
          <t>T-2015-Q2-00001</t>
        </is>
      </c>
      <c r="B3244" t="inlineStr">
        <is>
          <t>SLE</t>
        </is>
      </c>
      <c r="C3244" t="inlineStr">
        <is>
          <t>Vice-President, Finance and Corporate Services</t>
        </is>
      </c>
      <c r="D3244" t="inlineStr">
        <is>
          <t>Vice-présidente, Finances et Services corporatifs</t>
        </is>
      </c>
      <c r="E3244" t="inlineStr">
        <is>
          <t>Denise Frenette</t>
        </is>
      </c>
      <c r="F3244" t="inlineStr">
        <is>
          <t>Meeting with Government of Canada Officials</t>
        </is>
      </c>
      <c r="G3244" t="inlineStr">
        <is>
          <t>Réunion avec des fonctionnaires du gouvernement du Canada</t>
        </is>
      </c>
      <c r="H3244" s="1" t="n">
        <v>41792</v>
      </c>
      <c r="I3244" s="1" t="n">
        <v>41793</v>
      </c>
      <c r="J3244" t="inlineStr">
        <is>
          <t>Sydney, Nova Scotia</t>
        </is>
      </c>
      <c r="K3244" t="inlineStr">
        <is>
          <t>Sydney (Nouvelle-Écosse)</t>
        </is>
      </c>
      <c r="P3244" t="n">
        <v>687.04</v>
      </c>
      <c r="Q3244" t="n">
        <v>0</v>
      </c>
      <c r="R3244" t="n">
        <v>146.63</v>
      </c>
      <c r="S3244" t="n">
        <v>57.5</v>
      </c>
      <c r="T3244" t="n">
        <v>96.06</v>
      </c>
      <c r="U3244" t="n">
        <v>987.23</v>
      </c>
      <c r="X3244" t="inlineStr">
        <is>
          <t>acoa-apeca</t>
        </is>
      </c>
      <c r="Y3244" t="inlineStr">
        <is>
          <t>Atlantic Canada Opportunities Agency | Agence de promotion économique du Canada atlantique</t>
        </is>
      </c>
      <c r="Z3244" t="n">
        <v>2</v>
      </c>
      <c r="AA3244" t="n">
        <v>987.23</v>
      </c>
      <c r="AB3244">
        <f>ROUND(U3244-AA3244,2)</f>
        <v/>
      </c>
      <c r="AC3244" t="b">
        <v>0</v>
      </c>
      <c r="AD3244">
        <f>IF(U3244="","MISSING_TOTAL",IF(ABS(AB3244)&lt;=0.01,"OK","CHECK"))</f>
        <v/>
      </c>
      <c r="AE3244">
        <f>IF(U3244="","MISSING",IF(AND(AA3244&gt;0,U3244/AA3244&gt;50),"POSSIBLE_SCALE_ERROR","OK"))</f>
        <v/>
      </c>
    </row>
    <row r="3245">
      <c r="A3245" t="inlineStr">
        <is>
          <t>T-2015-Q1-00068</t>
        </is>
      </c>
      <c r="B3245" t="inlineStr">
        <is>
          <t>SLE</t>
        </is>
      </c>
      <c r="C3245" t="inlineStr">
        <is>
          <t>Vice-President, Newfoundland and Labrador</t>
        </is>
      </c>
      <c r="D3245" t="inlineStr">
        <is>
          <t>Vice-président, Terre-Neuve-et-Labrador</t>
        </is>
      </c>
      <c r="E3245" t="inlineStr">
        <is>
          <t>Paul Mills</t>
        </is>
      </c>
      <c r="F3245" t="inlineStr">
        <is>
          <t>Private kilometers claim for travel in the St. John's, NL metro area</t>
        </is>
      </c>
      <c r="G3245" t="inlineStr">
        <is>
          <t>Demande de remboursement de frais de voyage avec véhicule privé pour déplacements dans la région métropolitaine de St. John's (Terre-Neuve)</t>
        </is>
      </c>
      <c r="H3245" s="1" t="n">
        <v>41791</v>
      </c>
      <c r="I3245" s="1" t="n">
        <v>41912</v>
      </c>
      <c r="J3245" t="inlineStr">
        <is>
          <t>St. John's, Newfoundland</t>
        </is>
      </c>
      <c r="K3245" t="inlineStr">
        <is>
          <t>St. John's (Terre-Neuve)</t>
        </is>
      </c>
      <c r="P3245" t="n">
        <v>0</v>
      </c>
      <c r="Q3245" t="n">
        <v>78.31999999999999</v>
      </c>
      <c r="R3245" t="n">
        <v>0</v>
      </c>
      <c r="S3245" t="n">
        <v>0</v>
      </c>
      <c r="T3245" t="n">
        <v>0</v>
      </c>
      <c r="U3245" t="n">
        <v>78.31999999999999</v>
      </c>
      <c r="X3245" t="inlineStr">
        <is>
          <t>acoa-apeca</t>
        </is>
      </c>
      <c r="Y3245" t="inlineStr">
        <is>
          <t>Atlantic Canada Opportunities Agency | Agence de promotion économique du Canada atlantique</t>
        </is>
      </c>
      <c r="Z3245" t="n">
        <v>122</v>
      </c>
      <c r="AA3245" t="n">
        <v>78.31999999999999</v>
      </c>
      <c r="AB3245">
        <f>ROUND(U3245-AA3245,2)</f>
        <v/>
      </c>
      <c r="AC3245" t="b">
        <v>0</v>
      </c>
      <c r="AD3245">
        <f>IF(U3245="","MISSING_TOTAL",IF(ABS(AB3245)&lt;=0.01,"OK","CHECK"))</f>
        <v/>
      </c>
      <c r="AE3245">
        <f>IF(U3245="","MISSING",IF(AND(AA3245&gt;0,U3245/AA3245&gt;50),"POSSIBLE_SCALE_ERROR","OK"))</f>
        <v/>
      </c>
    </row>
    <row r="3246">
      <c r="A3246" t="inlineStr">
        <is>
          <t>T-2015-Q1-00067</t>
        </is>
      </c>
      <c r="B3246" t="inlineStr">
        <is>
          <t>SLE</t>
        </is>
      </c>
      <c r="C3246" t="inlineStr">
        <is>
          <t>Vice-President, Policy and Programs</t>
        </is>
      </c>
      <c r="D3246" t="inlineStr">
        <is>
          <t>Vice-président, Politiques et Programmes</t>
        </is>
      </c>
      <c r="E3246" t="inlineStr">
        <is>
          <t>Daryell Nowlan</t>
        </is>
      </c>
      <c r="F3246" t="inlineStr">
        <is>
          <t>Meetings</t>
        </is>
      </c>
      <c r="G3246" t="inlineStr">
        <is>
          <t>Réunions</t>
        </is>
      </c>
      <c r="H3246" s="1" t="n">
        <v>41791</v>
      </c>
      <c r="I3246" s="1" t="n">
        <v>41793</v>
      </c>
      <c r="J3246" t="inlineStr">
        <is>
          <t>Ottawa, Ontario</t>
        </is>
      </c>
      <c r="K3246" t="inlineStr">
        <is>
          <t>Ottawa (Ontario)</t>
        </is>
      </c>
      <c r="P3246" t="n">
        <v>937.9</v>
      </c>
      <c r="Q3246" t="n">
        <v>90.81999999999999</v>
      </c>
      <c r="R3246" t="n">
        <v>544.71</v>
      </c>
      <c r="S3246" t="n">
        <v>209.75</v>
      </c>
      <c r="T3246" t="n">
        <v>0</v>
      </c>
      <c r="U3246" t="n">
        <v>1783.18</v>
      </c>
      <c r="X3246" t="inlineStr">
        <is>
          <t>acoa-apeca</t>
        </is>
      </c>
      <c r="Y3246" t="inlineStr">
        <is>
          <t>Atlantic Canada Opportunities Agency | Agence de promotion économique du Canada atlantique</t>
        </is>
      </c>
      <c r="Z3246" t="n">
        <v>3</v>
      </c>
      <c r="AA3246" t="n">
        <v>1783.18</v>
      </c>
      <c r="AB3246">
        <f>ROUND(U3246-AA3246,2)</f>
        <v/>
      </c>
      <c r="AC3246" t="b">
        <v>0</v>
      </c>
      <c r="AD3246">
        <f>IF(U3246="","MISSING_TOTAL",IF(ABS(AB3246)&lt;=0.01,"OK","CHECK"))</f>
        <v/>
      </c>
      <c r="AE3246">
        <f>IF(U3246="","MISSING",IF(AND(AA3246&gt;0,U3246/AA3246&gt;50),"POSSIBLE_SCALE_ERROR","OK"))</f>
        <v/>
      </c>
    </row>
    <row r="3247">
      <c r="A3247" t="inlineStr">
        <is>
          <t>T-2015-Q1-00066</t>
        </is>
      </c>
      <c r="B3247" t="inlineStr">
        <is>
          <t>SLE</t>
        </is>
      </c>
      <c r="C3247" t="inlineStr">
        <is>
          <t>President</t>
        </is>
      </c>
      <c r="D3247" t="inlineStr">
        <is>
          <t>Président</t>
        </is>
      </c>
      <c r="E3247" t="inlineStr">
        <is>
          <t>Paul J. LeBlanc</t>
        </is>
      </c>
      <c r="F3247" t="inlineStr">
        <is>
          <t>For various meetings and sessions with Agency officials; government officials; stakeholders</t>
        </is>
      </c>
      <c r="G3247" t="inlineStr">
        <is>
          <t>Diverses réunions et séances avec des fonctionnaires de l'Agence et du gouvernement du Canada, ainsi qu'avec des intervenants</t>
        </is>
      </c>
      <c r="H3247" s="1" t="n">
        <v>41791</v>
      </c>
      <c r="I3247" s="1" t="n">
        <v>41792</v>
      </c>
      <c r="J3247" t="inlineStr">
        <is>
          <t>Charlottetown, Prince Edward Island</t>
        </is>
      </c>
      <c r="K3247" t="inlineStr">
        <is>
          <t>Charlottetown (Île-du-Prince-Édouard)</t>
        </is>
      </c>
      <c r="P3247" t="n">
        <v>0</v>
      </c>
      <c r="Q3247" t="n">
        <v>0</v>
      </c>
      <c r="R3247" t="n">
        <v>233.67</v>
      </c>
      <c r="S3247" t="n">
        <v>119.5</v>
      </c>
      <c r="T3247" t="n">
        <v>64.38</v>
      </c>
      <c r="U3247" t="n">
        <v>417.55</v>
      </c>
      <c r="X3247" t="inlineStr">
        <is>
          <t>acoa-apeca</t>
        </is>
      </c>
      <c r="Y3247" t="inlineStr">
        <is>
          <t>Atlantic Canada Opportunities Agency | Agence de promotion économique du Canada atlantique</t>
        </is>
      </c>
      <c r="Z3247" t="n">
        <v>2</v>
      </c>
      <c r="AA3247" t="n">
        <v>417.549999999999</v>
      </c>
      <c r="AB3247">
        <f>ROUND(U3247-AA3247,2)</f>
        <v/>
      </c>
      <c r="AC3247" t="b">
        <v>0</v>
      </c>
      <c r="AD3247">
        <f>IF(U3247="","MISSING_TOTAL",IF(ABS(AB3247)&lt;=0.01,"OK","CHECK"))</f>
        <v/>
      </c>
      <c r="AE3247">
        <f>IF(U3247="","MISSING",IF(AND(AA3247&gt;0,U3247/AA3247&gt;50),"POSSIBLE_SCALE_ERROR","OK"))</f>
        <v/>
      </c>
    </row>
    <row r="3248">
      <c r="A3248" t="inlineStr">
        <is>
          <t>T-2015-Q1-00065</t>
        </is>
      </c>
      <c r="B3248" t="inlineStr">
        <is>
          <t>SLE</t>
        </is>
      </c>
      <c r="C3248" t="inlineStr">
        <is>
          <t>Vice-President, Newfoundland and Labrador</t>
        </is>
      </c>
      <c r="D3248" t="inlineStr">
        <is>
          <t>Vice-président, Terre-Neuve-et-Labrador</t>
        </is>
      </c>
      <c r="E3248" t="inlineStr">
        <is>
          <t>Paul Mills</t>
        </is>
      </c>
      <c r="F3248" t="inlineStr">
        <is>
          <t>Travel to Ottawa, Ontario to meet senior officials</t>
        </is>
      </c>
      <c r="G3248" t="inlineStr">
        <is>
          <t>Voyage à Ottawa (Ontario) pour rencontrer des hauts fonctionnaires</t>
        </is>
      </c>
      <c r="H3248" s="1" t="n">
        <v>41791</v>
      </c>
      <c r="I3248" s="1" t="n">
        <v>41794</v>
      </c>
      <c r="J3248" t="inlineStr">
        <is>
          <t>Ottawa, Ontario</t>
        </is>
      </c>
      <c r="K3248" t="inlineStr">
        <is>
          <t>Ottawa (Ontario)</t>
        </is>
      </c>
      <c r="P3248" t="n">
        <v>1369.61</v>
      </c>
      <c r="Q3248" t="n">
        <v>133</v>
      </c>
      <c r="R3248" t="n">
        <v>590.1</v>
      </c>
      <c r="S3248" t="n">
        <v>347.85</v>
      </c>
      <c r="T3248" t="n">
        <v>10.14</v>
      </c>
      <c r="U3248" t="n">
        <v>2450.7</v>
      </c>
      <c r="X3248" t="inlineStr">
        <is>
          <t>acoa-apeca</t>
        </is>
      </c>
      <c r="Y3248" t="inlineStr">
        <is>
          <t>Atlantic Canada Opportunities Agency | Agence de promotion économique du Canada atlantique</t>
        </is>
      </c>
      <c r="Z3248" t="n">
        <v>4</v>
      </c>
      <c r="AA3248" t="n">
        <v>2450.7</v>
      </c>
      <c r="AB3248">
        <f>ROUND(U3248-AA3248,2)</f>
        <v/>
      </c>
      <c r="AC3248" t="b">
        <v>0</v>
      </c>
      <c r="AD3248">
        <f>IF(U3248="","MISSING_TOTAL",IF(ABS(AB3248)&lt;=0.01,"OK","CHECK"))</f>
        <v/>
      </c>
      <c r="AE3248">
        <f>IF(U3248="","MISSING",IF(AND(AA3248&gt;0,U3248/AA3248&gt;50),"POSSIBLE_SCALE_ERROR","OK"))</f>
        <v/>
      </c>
    </row>
    <row r="3249">
      <c r="A3249" t="inlineStr">
        <is>
          <t>T-2015-Q1-00064</t>
        </is>
      </c>
      <c r="B3249" t="inlineStr">
        <is>
          <t>SLE</t>
        </is>
      </c>
      <c r="C3249" t="inlineStr">
        <is>
          <t>Vice President, Nova Scotia</t>
        </is>
      </c>
      <c r="D3249" t="inlineStr">
        <is>
          <t>Vice-président, Nouvelle-Écosse</t>
        </is>
      </c>
      <c r="E3249" t="inlineStr">
        <is>
          <t>Peter Hogan</t>
        </is>
      </c>
      <c r="F3249" t="inlineStr">
        <is>
          <t>Meetings with Government of Canada and Agency Officials</t>
        </is>
      </c>
      <c r="G3249" t="inlineStr">
        <is>
          <t>Réunions avec des fonctionnaires du gouvernement du Canada et de l'Agence</t>
        </is>
      </c>
      <c r="H3249" s="1" t="n">
        <v>41787</v>
      </c>
      <c r="I3249" s="1" t="n">
        <v>41788</v>
      </c>
      <c r="J3249" t="inlineStr">
        <is>
          <t>Ottawa, Ontario</t>
        </is>
      </c>
      <c r="K3249" t="inlineStr">
        <is>
          <t>Ottawa (Ontario)</t>
        </is>
      </c>
      <c r="P3249" t="n">
        <v>535.98</v>
      </c>
      <c r="Q3249" t="n">
        <v>132.4</v>
      </c>
      <c r="R3249" t="n">
        <v>182.73</v>
      </c>
      <c r="S3249" t="n">
        <v>181.9</v>
      </c>
      <c r="T3249" t="n">
        <v>40</v>
      </c>
      <c r="U3249" t="n">
        <v>1073.01</v>
      </c>
      <c r="X3249" t="inlineStr">
        <is>
          <t>acoa-apeca</t>
        </is>
      </c>
      <c r="Y3249" t="inlineStr">
        <is>
          <t>Atlantic Canada Opportunities Agency | Agence de promotion économique du Canada atlantique</t>
        </is>
      </c>
      <c r="Z3249" t="n">
        <v>2</v>
      </c>
      <c r="AA3249" t="n">
        <v>1073.01</v>
      </c>
      <c r="AB3249">
        <f>ROUND(U3249-AA3249,2)</f>
        <v/>
      </c>
      <c r="AC3249" t="b">
        <v>0</v>
      </c>
      <c r="AD3249">
        <f>IF(U3249="","MISSING_TOTAL",IF(ABS(AB3249)&lt;=0.01,"OK","CHECK"))</f>
        <v/>
      </c>
      <c r="AE3249">
        <f>IF(U3249="","MISSING",IF(AND(AA3249&gt;0,U3249/AA3249&gt;50),"POSSIBLE_SCALE_ERROR","OK"))</f>
        <v/>
      </c>
    </row>
    <row r="3250">
      <c r="A3250" t="inlineStr">
        <is>
          <t>T-2015-Q1-00063</t>
        </is>
      </c>
      <c r="B3250" t="inlineStr">
        <is>
          <t>SLE</t>
        </is>
      </c>
      <c r="C3250" t="inlineStr">
        <is>
          <t>President</t>
        </is>
      </c>
      <c r="D3250" t="inlineStr">
        <is>
          <t>Président</t>
        </is>
      </c>
      <c r="E3250" t="inlineStr">
        <is>
          <t>Paul J. LeBlanc</t>
        </is>
      </c>
      <c r="F3250" t="inlineStr">
        <is>
          <t>For various meetings and discussions with Agency and Government of Canada officials</t>
        </is>
      </c>
      <c r="G3250" t="inlineStr">
        <is>
          <t>Diverses réunions et discussions avec des fonctionnaires de l'Agence et du gouvernement du Canada</t>
        </is>
      </c>
      <c r="H3250" s="1" t="n">
        <v>41786</v>
      </c>
      <c r="I3250" s="1" t="n">
        <v>41788</v>
      </c>
      <c r="J3250" t="inlineStr">
        <is>
          <t>Ottawa, Ontario</t>
        </is>
      </c>
      <c r="K3250" t="inlineStr">
        <is>
          <t>Ottawa (Ontario)</t>
        </is>
      </c>
      <c r="P3250" t="n">
        <v>1305.08</v>
      </c>
      <c r="Q3250" t="n">
        <v>0</v>
      </c>
      <c r="R3250" t="n">
        <v>393.4</v>
      </c>
      <c r="S3250" t="n">
        <v>198.5</v>
      </c>
      <c r="T3250" t="n">
        <v>170.5</v>
      </c>
      <c r="U3250" t="n">
        <v>2067.48</v>
      </c>
      <c r="X3250" t="inlineStr">
        <is>
          <t>acoa-apeca</t>
        </is>
      </c>
      <c r="Y3250" t="inlineStr">
        <is>
          <t>Atlantic Canada Opportunities Agency | Agence de promotion économique du Canada atlantique</t>
        </is>
      </c>
      <c r="Z3250" t="n">
        <v>3</v>
      </c>
      <c r="AA3250" t="n">
        <v>2067.48</v>
      </c>
      <c r="AB3250">
        <f>ROUND(U3250-AA3250,2)</f>
        <v/>
      </c>
      <c r="AC3250" t="b">
        <v>0</v>
      </c>
      <c r="AD3250">
        <f>IF(U3250="","MISSING_TOTAL",IF(ABS(AB3250)&lt;=0.01,"OK","CHECK"))</f>
        <v/>
      </c>
      <c r="AE3250">
        <f>IF(U3250="","MISSING",IF(AND(AA3250&gt;0,U3250/AA3250&gt;50),"POSSIBLE_SCALE_ERROR","OK"))</f>
        <v/>
      </c>
    </row>
    <row r="3251">
      <c r="A3251" t="inlineStr">
        <is>
          <t>T-2015-Q1-00062</t>
        </is>
      </c>
      <c r="B3251" t="inlineStr">
        <is>
          <t>SLE</t>
        </is>
      </c>
      <c r="C3251" t="inlineStr">
        <is>
          <t>Vice-President, Newfoundland and Labrador</t>
        </is>
      </c>
      <c r="D3251" t="inlineStr">
        <is>
          <t>Vice-président, Terre-Neuve-et-Labrador</t>
        </is>
      </c>
      <c r="E3251" t="inlineStr">
        <is>
          <t>Paul Mills</t>
        </is>
      </c>
      <c r="F3251" t="inlineStr">
        <is>
          <t>Travel to Ottawa, Ontario for meetings with senior officials</t>
        </is>
      </c>
      <c r="G3251" t="inlineStr">
        <is>
          <t>Voyage à Ottawa (Ontario) pour assister à des réunions avec des hauts fonctionnaires</t>
        </is>
      </c>
      <c r="H3251" s="1" t="n">
        <v>41786</v>
      </c>
      <c r="I3251" s="1" t="n">
        <v>41788</v>
      </c>
      <c r="J3251" t="inlineStr">
        <is>
          <t>Ottawa, Ontario</t>
        </is>
      </c>
      <c r="K3251" t="inlineStr">
        <is>
          <t>Ottawa (Ontario)</t>
        </is>
      </c>
      <c r="P3251" t="n">
        <v>1369.61</v>
      </c>
      <c r="Q3251" t="n">
        <v>97</v>
      </c>
      <c r="R3251" t="n">
        <v>558.6799999999999</v>
      </c>
      <c r="S3251" t="n">
        <v>230.4</v>
      </c>
      <c r="T3251" t="n">
        <v>9.74</v>
      </c>
      <c r="U3251" t="n">
        <v>2265.43</v>
      </c>
      <c r="X3251" t="inlineStr">
        <is>
          <t>acoa-apeca</t>
        </is>
      </c>
      <c r="Y3251" t="inlineStr">
        <is>
          <t>Atlantic Canada Opportunities Agency | Agence de promotion économique du Canada atlantique</t>
        </is>
      </c>
      <c r="Z3251" t="n">
        <v>3</v>
      </c>
      <c r="AA3251" t="n">
        <v>2265.43</v>
      </c>
      <c r="AB3251">
        <f>ROUND(U3251-AA3251,2)</f>
        <v/>
      </c>
      <c r="AC3251" t="b">
        <v>0</v>
      </c>
      <c r="AD3251">
        <f>IF(U3251="","MISSING_TOTAL",IF(ABS(AB3251)&lt;=0.01,"OK","CHECK"))</f>
        <v/>
      </c>
      <c r="AE3251">
        <f>IF(U3251="","MISSING",IF(AND(AA3251&gt;0,U3251/AA3251&gt;50),"POSSIBLE_SCALE_ERROR","OK"))</f>
        <v/>
      </c>
    </row>
    <row r="3252">
      <c r="A3252" t="inlineStr">
        <is>
          <t>T-2015-Q1-00061</t>
        </is>
      </c>
      <c r="B3252" t="inlineStr">
        <is>
          <t>SLE</t>
        </is>
      </c>
      <c r="C3252" t="inlineStr">
        <is>
          <t>Vice-President, Finance and Corporate Services</t>
        </is>
      </c>
      <c r="D3252" t="inlineStr">
        <is>
          <t>Vice-présidente, Finances et Services corporatifs</t>
        </is>
      </c>
      <c r="E3252" t="inlineStr">
        <is>
          <t>Denise Frenette</t>
        </is>
      </c>
      <c r="F3252" t="inlineStr">
        <is>
          <t>Meetings with Government of Canada Officials</t>
        </is>
      </c>
      <c r="G3252" t="inlineStr">
        <is>
          <t>Réunions avec des fonctionnaires du gouvernement du Canada</t>
        </is>
      </c>
      <c r="H3252" s="1" t="n">
        <v>41785</v>
      </c>
      <c r="I3252" s="1" t="n">
        <v>41789</v>
      </c>
      <c r="J3252" t="inlineStr">
        <is>
          <t>Sydney, Nova Scotia</t>
        </is>
      </c>
      <c r="K3252" t="inlineStr">
        <is>
          <t>Sydney (Nouvelle-Écosse)</t>
        </is>
      </c>
      <c r="P3252" t="n">
        <v>687.04</v>
      </c>
      <c r="Q3252" t="n">
        <v>122.11</v>
      </c>
      <c r="R3252" t="n">
        <v>733.25</v>
      </c>
      <c r="S3252" t="n">
        <v>381.1</v>
      </c>
      <c r="T3252" t="n">
        <v>64.3</v>
      </c>
      <c r="U3252" t="n">
        <v>1987.8</v>
      </c>
      <c r="X3252" t="inlineStr">
        <is>
          <t>acoa-apeca</t>
        </is>
      </c>
      <c r="Y3252" t="inlineStr">
        <is>
          <t>Atlantic Canada Opportunities Agency | Agence de promotion économique du Canada atlantique</t>
        </is>
      </c>
      <c r="Z3252" t="n">
        <v>5</v>
      </c>
      <c r="AA3252" t="n">
        <v>1987.8</v>
      </c>
      <c r="AB3252">
        <f>ROUND(U3252-AA3252,2)</f>
        <v/>
      </c>
      <c r="AC3252" t="b">
        <v>0</v>
      </c>
      <c r="AD3252">
        <f>IF(U3252="","MISSING_TOTAL",IF(ABS(AB3252)&lt;=0.01,"OK","CHECK"))</f>
        <v/>
      </c>
      <c r="AE3252">
        <f>IF(U3252="","MISSING",IF(AND(AA3252&gt;0,U3252/AA3252&gt;50),"POSSIBLE_SCALE_ERROR","OK"))</f>
        <v/>
      </c>
    </row>
    <row r="3253">
      <c r="A3253" t="inlineStr">
        <is>
          <t>T-2015-Q1-00060</t>
        </is>
      </c>
      <c r="B3253" t="inlineStr">
        <is>
          <t>SLE</t>
        </is>
      </c>
      <c r="C3253" t="inlineStr">
        <is>
          <t>Vice President, Nova Scotia</t>
        </is>
      </c>
      <c r="D3253" t="inlineStr">
        <is>
          <t>Vice-président, Nouvelle-Écosse</t>
        </is>
      </c>
      <c r="E3253" t="inlineStr">
        <is>
          <t>Peter Hogan</t>
        </is>
      </c>
      <c r="F3253" t="inlineStr">
        <is>
          <t>Meeting with Government of Canada and Other Officials</t>
        </is>
      </c>
      <c r="G3253" t="inlineStr">
        <is>
          <t>Réunion avec des fonctionnaires du gouvernement du Canada et d'autres représentants</t>
        </is>
      </c>
      <c r="H3253" s="1" t="n">
        <v>41785</v>
      </c>
      <c r="I3253" s="1" t="n">
        <v>41785</v>
      </c>
      <c r="J3253" t="inlineStr">
        <is>
          <t>Moncton, New Brunswick</t>
        </is>
      </c>
      <c r="K3253" t="inlineStr">
        <is>
          <t>Moncton (Nouveau-Brunswick)</t>
        </is>
      </c>
      <c r="P3253" t="n">
        <v>0</v>
      </c>
      <c r="Q3253" t="n">
        <v>245.31</v>
      </c>
      <c r="R3253" t="n">
        <v>0</v>
      </c>
      <c r="S3253" t="n">
        <v>15.25</v>
      </c>
      <c r="T3253" t="n">
        <v>14</v>
      </c>
      <c r="U3253" t="n">
        <v>274.56</v>
      </c>
      <c r="X3253" t="inlineStr">
        <is>
          <t>acoa-apeca</t>
        </is>
      </c>
      <c r="Y3253" t="inlineStr">
        <is>
          <t>Atlantic Canada Opportunities Agency | Agence de promotion économique du Canada atlantique</t>
        </is>
      </c>
      <c r="Z3253" t="n">
        <v>1</v>
      </c>
      <c r="AA3253" t="n">
        <v>274.56</v>
      </c>
      <c r="AB3253">
        <f>ROUND(U3253-AA3253,2)</f>
        <v/>
      </c>
      <c r="AC3253" t="b">
        <v>0</v>
      </c>
      <c r="AD3253">
        <f>IF(U3253="","MISSING_TOTAL",IF(ABS(AB3253)&lt;=0.01,"OK","CHECK"))</f>
        <v/>
      </c>
      <c r="AE3253">
        <f>IF(U3253="","MISSING",IF(AND(AA3253&gt;0,U3253/AA3253&gt;50),"POSSIBLE_SCALE_ERROR","OK"))</f>
        <v/>
      </c>
    </row>
    <row r="3254">
      <c r="A3254" t="inlineStr">
        <is>
          <t>T-2015-Q1-00050</t>
        </is>
      </c>
      <c r="B3254" t="inlineStr">
        <is>
          <t>SLE</t>
        </is>
      </c>
      <c r="C3254" t="inlineStr">
        <is>
          <t>Vice-President, Newfoundland and Labrador</t>
        </is>
      </c>
      <c r="D3254" t="inlineStr">
        <is>
          <t>Vice-président, Terre-Neuve-et-Labrador</t>
        </is>
      </c>
      <c r="E3254" t="inlineStr">
        <is>
          <t>Paul Mills</t>
        </is>
      </c>
      <c r="F3254" t="inlineStr">
        <is>
          <t>Meeting with Minister Rob Moore and President of ACOA</t>
        </is>
      </c>
      <c r="G3254" t="inlineStr">
        <is>
          <t>Réunion avec le ministre Rob Moore et le président de l'APECA</t>
        </is>
      </c>
      <c r="H3254" s="1" t="n">
        <v>41774</v>
      </c>
      <c r="I3254" s="1" t="n">
        <v>41775</v>
      </c>
      <c r="J3254" t="inlineStr">
        <is>
          <t>Ottawa, Ontario</t>
        </is>
      </c>
      <c r="K3254" t="inlineStr">
        <is>
          <t>Ottawa (Ontario)</t>
        </is>
      </c>
      <c r="P3254" t="n">
        <v>1369.71</v>
      </c>
      <c r="Q3254" t="n">
        <v>55.25</v>
      </c>
      <c r="R3254" t="n">
        <v>113</v>
      </c>
      <c r="S3254" t="n">
        <v>139.45</v>
      </c>
      <c r="T3254" t="n">
        <v>159</v>
      </c>
      <c r="U3254" t="n">
        <v>1836.41</v>
      </c>
      <c r="X3254" t="inlineStr">
        <is>
          <t>acoa-apeca</t>
        </is>
      </c>
      <c r="Y3254" t="inlineStr">
        <is>
          <t>Atlantic Canada Opportunities Agency | Agence de promotion économique du Canada atlantique</t>
        </is>
      </c>
      <c r="Z3254" t="n">
        <v>2</v>
      </c>
      <c r="AA3254" t="n">
        <v>1836.41</v>
      </c>
      <c r="AB3254">
        <f>ROUND(U3254-AA3254,2)</f>
        <v/>
      </c>
      <c r="AC3254" t="b">
        <v>0</v>
      </c>
      <c r="AD3254">
        <f>IF(U3254="","MISSING_TOTAL",IF(ABS(AB3254)&lt;=0.01,"OK","CHECK"))</f>
        <v/>
      </c>
      <c r="AE3254">
        <f>IF(U3254="","MISSING",IF(AND(AA3254&gt;0,U3254/AA3254&gt;50),"POSSIBLE_SCALE_ERROR","OK"))</f>
        <v/>
      </c>
    </row>
    <row r="3255">
      <c r="A3255" t="inlineStr">
        <is>
          <t>T-2015-Q1-00058</t>
        </is>
      </c>
      <c r="B3255" t="inlineStr">
        <is>
          <t>MPSES</t>
        </is>
      </c>
      <c r="C3255" t="inlineStr">
        <is>
          <t>Special Assistant - New Brunswick</t>
        </is>
      </c>
      <c r="D3255" t="inlineStr">
        <is>
          <t>Adjointe spéciale – Nouveau-Brunswick</t>
        </is>
      </c>
      <c r="E3255" t="inlineStr">
        <is>
          <t>Erika Keirstead</t>
        </is>
      </c>
      <c r="F3255" t="inlineStr">
        <is>
          <t>Travel for Government of Canada meetings</t>
        </is>
      </c>
      <c r="G3255" t="inlineStr">
        <is>
          <t>Assister à des réunions du gouvernement du Canada</t>
        </is>
      </c>
      <c r="H3255" s="1" t="n">
        <v>41782</v>
      </c>
      <c r="I3255" s="1" t="n">
        <v>41784</v>
      </c>
      <c r="J3255" t="inlineStr">
        <is>
          <t>Saint John, New Brunswick</t>
        </is>
      </c>
      <c r="K3255" t="inlineStr">
        <is>
          <t>Saint John (Nouveau-Brunswick)</t>
        </is>
      </c>
      <c r="P3255" t="n">
        <v>0</v>
      </c>
      <c r="Q3255" t="n">
        <v>123.7</v>
      </c>
      <c r="R3255" t="n">
        <v>150.14</v>
      </c>
      <c r="S3255" t="n">
        <v>122.15</v>
      </c>
      <c r="T3255" t="n">
        <v>0</v>
      </c>
      <c r="U3255" t="n">
        <v>395.99</v>
      </c>
      <c r="X3255" t="inlineStr">
        <is>
          <t>acoa-apeca</t>
        </is>
      </c>
      <c r="Y3255" t="inlineStr">
        <is>
          <t>Atlantic Canada Opportunities Agency | Agence de promotion économique du Canada atlantique</t>
        </is>
      </c>
      <c r="Z3255" t="n">
        <v>3</v>
      </c>
      <c r="AA3255" t="n">
        <v>395.99</v>
      </c>
      <c r="AB3255">
        <f>ROUND(U3255-AA3255,2)</f>
        <v/>
      </c>
      <c r="AC3255" t="b">
        <v>0</v>
      </c>
      <c r="AD3255">
        <f>IF(U3255="","MISSING_TOTAL",IF(ABS(AB3255)&lt;=0.01,"OK","CHECK"))</f>
        <v/>
      </c>
      <c r="AE3255">
        <f>IF(U3255="","MISSING",IF(AND(AA3255&gt;0,U3255/AA3255&gt;50),"POSSIBLE_SCALE_ERROR","OK"))</f>
        <v/>
      </c>
    </row>
    <row r="3256">
      <c r="A3256" t="inlineStr">
        <is>
          <t>T-2015-Q1-00057</t>
        </is>
      </c>
      <c r="B3256" t="inlineStr">
        <is>
          <t>SLE</t>
        </is>
      </c>
      <c r="C3256" t="inlineStr">
        <is>
          <t>Vice-President, New Brunswick</t>
        </is>
      </c>
      <c r="D3256" t="inlineStr">
        <is>
          <t>Vice-président, Nouveau-Brunswick</t>
        </is>
      </c>
      <c r="E3256" t="inlineStr">
        <is>
          <t>Kent Estabrooks</t>
        </is>
      </c>
      <c r="F3256" t="inlineStr">
        <is>
          <t>Meeting with stakeholders</t>
        </is>
      </c>
      <c r="G3256" t="inlineStr">
        <is>
          <t>Réunion avec des intervenants</t>
        </is>
      </c>
      <c r="H3256" s="1" t="n">
        <v>41780</v>
      </c>
      <c r="I3256" s="1" t="n">
        <v>41781</v>
      </c>
      <c r="J3256" t="inlineStr">
        <is>
          <t>Moncton, New Brunswick</t>
        </is>
      </c>
      <c r="K3256" t="inlineStr">
        <is>
          <t>Moncton (Nouveau-Brunswick)</t>
        </is>
      </c>
      <c r="P3256" t="n">
        <v>0</v>
      </c>
      <c r="Q3256" t="n">
        <v>0</v>
      </c>
      <c r="R3256" t="n">
        <v>123.17</v>
      </c>
      <c r="S3256" t="n">
        <v>35.6</v>
      </c>
      <c r="T3256" t="n">
        <v>10</v>
      </c>
      <c r="U3256" t="n">
        <v>168.77</v>
      </c>
      <c r="X3256" t="inlineStr">
        <is>
          <t>acoa-apeca</t>
        </is>
      </c>
      <c r="Y3256" t="inlineStr">
        <is>
          <t>Atlantic Canada Opportunities Agency | Agence de promotion économique du Canada atlantique</t>
        </is>
      </c>
      <c r="Z3256" t="n">
        <v>2</v>
      </c>
      <c r="AA3256" t="n">
        <v>168.77</v>
      </c>
      <c r="AB3256">
        <f>ROUND(U3256-AA3256,2)</f>
        <v/>
      </c>
      <c r="AC3256" t="b">
        <v>0</v>
      </c>
      <c r="AD3256">
        <f>IF(U3256="","MISSING_TOTAL",IF(ABS(AB3256)&lt;=0.01,"OK","CHECK"))</f>
        <v/>
      </c>
      <c r="AE3256">
        <f>IF(U3256="","MISSING",IF(AND(AA3256&gt;0,U3256/AA3256&gt;50),"POSSIBLE_SCALE_ERROR","OK"))</f>
        <v/>
      </c>
    </row>
    <row r="3257">
      <c r="A3257" t="inlineStr">
        <is>
          <t>T-2015-Q1-00055</t>
        </is>
      </c>
      <c r="B3257" t="inlineStr">
        <is>
          <t>MPSES</t>
        </is>
      </c>
      <c r="C3257" t="inlineStr">
        <is>
          <t>Minister of State</t>
        </is>
      </c>
      <c r="D3257" t="inlineStr">
        <is>
          <t>Ministre d'État</t>
        </is>
      </c>
      <c r="E3257" t="inlineStr">
        <is>
          <t>Rob Moore</t>
        </is>
      </c>
      <c r="F3257" t="inlineStr">
        <is>
          <t>Travel to attend Government of Canada announcement</t>
        </is>
      </c>
      <c r="G3257" t="inlineStr">
        <is>
          <t>Voyage pour assister à une annonce du gouvernement du Canada</t>
        </is>
      </c>
      <c r="H3257" s="1" t="n">
        <v>41779</v>
      </c>
      <c r="I3257" s="1" t="n">
        <v>41779</v>
      </c>
      <c r="J3257" t="inlineStr">
        <is>
          <t>Riverview, New Brunswick</t>
        </is>
      </c>
      <c r="K3257" t="inlineStr">
        <is>
          <t>Riverview (Nouveau-Brunswick)</t>
        </is>
      </c>
      <c r="P3257" t="n">
        <v>0</v>
      </c>
      <c r="Q3257" t="n">
        <v>137.36</v>
      </c>
      <c r="R3257" t="n">
        <v>0</v>
      </c>
      <c r="S3257" t="n">
        <v>15.25</v>
      </c>
      <c r="T3257" t="n">
        <v>0</v>
      </c>
      <c r="U3257" t="n">
        <v>152.61</v>
      </c>
      <c r="X3257" t="inlineStr">
        <is>
          <t>acoa-apeca</t>
        </is>
      </c>
      <c r="Y3257" t="inlineStr">
        <is>
          <t>Atlantic Canada Opportunities Agency | Agence de promotion économique du Canada atlantique</t>
        </is>
      </c>
      <c r="Z3257" t="n">
        <v>1</v>
      </c>
      <c r="AA3257" t="n">
        <v>152.61</v>
      </c>
      <c r="AB3257">
        <f>ROUND(U3257-AA3257,2)</f>
        <v/>
      </c>
      <c r="AC3257" t="b">
        <v>0</v>
      </c>
      <c r="AD3257">
        <f>IF(U3257="","MISSING_TOTAL",IF(ABS(AB3257)&lt;=0.01,"OK","CHECK"))</f>
        <v/>
      </c>
      <c r="AE3257">
        <f>IF(U3257="","MISSING",IF(AND(AA3257&gt;0,U3257/AA3257&gt;50),"POSSIBLE_SCALE_ERROR","OK"))</f>
        <v/>
      </c>
    </row>
    <row r="3258">
      <c r="A3258" t="inlineStr">
        <is>
          <t>T-2015-Q1-00053</t>
        </is>
      </c>
      <c r="B3258" t="inlineStr">
        <is>
          <t>MPSES</t>
        </is>
      </c>
      <c r="C3258" t="inlineStr">
        <is>
          <t>Minister of State</t>
        </is>
      </c>
      <c r="D3258" t="inlineStr">
        <is>
          <t>Ministre d'État</t>
        </is>
      </c>
      <c r="E3258" t="inlineStr">
        <is>
          <t>Rob Moore</t>
        </is>
      </c>
      <c r="F3258" t="inlineStr">
        <is>
          <t>Travel to attend Government of Canada announcement</t>
        </is>
      </c>
      <c r="G3258" t="inlineStr">
        <is>
          <t>Voyage pour assister à une annonce du gouvernement du Canada</t>
        </is>
      </c>
      <c r="H3258" s="1" t="n">
        <v>41775</v>
      </c>
      <c r="I3258" s="1" t="n">
        <v>41775</v>
      </c>
      <c r="J3258" t="inlineStr">
        <is>
          <t>Sussex, New Brunswick</t>
        </is>
      </c>
      <c r="K3258" t="inlineStr">
        <is>
          <t>Sussex (Nouveau-Brunswick)</t>
        </is>
      </c>
      <c r="P3258" t="n">
        <v>0</v>
      </c>
      <c r="Q3258" t="n">
        <v>56.56</v>
      </c>
      <c r="R3258" t="n">
        <v>0</v>
      </c>
      <c r="S3258" t="n">
        <v>0</v>
      </c>
      <c r="T3258" t="n">
        <v>0</v>
      </c>
      <c r="U3258" t="n">
        <v>56.56</v>
      </c>
      <c r="X3258" t="inlineStr">
        <is>
          <t>acoa-apeca</t>
        </is>
      </c>
      <c r="Y3258" t="inlineStr">
        <is>
          <t>Atlantic Canada Opportunities Agency | Agence de promotion économique du Canada atlantique</t>
        </is>
      </c>
      <c r="Z3258" t="n">
        <v>1</v>
      </c>
      <c r="AA3258" t="n">
        <v>56.56</v>
      </c>
      <c r="AB3258">
        <f>ROUND(U3258-AA3258,2)</f>
        <v/>
      </c>
      <c r="AC3258" t="b">
        <v>0</v>
      </c>
      <c r="AD3258">
        <f>IF(U3258="","MISSING_TOTAL",IF(ABS(AB3258)&lt;=0.01,"OK","CHECK"))</f>
        <v/>
      </c>
      <c r="AE3258">
        <f>IF(U3258="","MISSING",IF(AND(AA3258&gt;0,U3258/AA3258&gt;50),"POSSIBLE_SCALE_ERROR","OK"))</f>
        <v/>
      </c>
    </row>
    <row r="3259">
      <c r="A3259" t="inlineStr">
        <is>
          <t>T-2015-Q1-00052</t>
        </is>
      </c>
      <c r="B3259" t="inlineStr">
        <is>
          <t>MPSES</t>
        </is>
      </c>
      <c r="C3259" t="inlineStr">
        <is>
          <t>Chief of Staff</t>
        </is>
      </c>
      <c r="D3259" t="inlineStr">
        <is>
          <t>Chef de cabinet</t>
        </is>
      </c>
      <c r="E3259" t="inlineStr">
        <is>
          <t>Shane Bourke</t>
        </is>
      </c>
      <c r="F3259" t="inlineStr">
        <is>
          <t>Travel on government business</t>
        </is>
      </c>
      <c r="G3259" t="inlineStr">
        <is>
          <t>Voyage en service commandé</t>
        </is>
      </c>
      <c r="H3259" s="1" t="n">
        <v>41774</v>
      </c>
      <c r="I3259" s="1" t="n">
        <v>41775</v>
      </c>
      <c r="J3259" t="inlineStr">
        <is>
          <t>Moncton, New Brunswick</t>
        </is>
      </c>
      <c r="K3259" t="inlineStr">
        <is>
          <t>Moncton (Nouveau-Brunswick)</t>
        </is>
      </c>
      <c r="P3259" t="n">
        <v>767.15</v>
      </c>
      <c r="Q3259" t="n">
        <v>43</v>
      </c>
      <c r="R3259" t="n">
        <v>113</v>
      </c>
      <c r="S3259" t="n">
        <v>0</v>
      </c>
      <c r="T3259" t="n">
        <v>0</v>
      </c>
      <c r="U3259" t="n">
        <v>923.15</v>
      </c>
      <c r="X3259" t="inlineStr">
        <is>
          <t>acoa-apeca</t>
        </is>
      </c>
      <c r="Y3259" t="inlineStr">
        <is>
          <t>Atlantic Canada Opportunities Agency | Agence de promotion économique du Canada atlantique</t>
        </is>
      </c>
      <c r="Z3259" t="n">
        <v>2</v>
      </c>
      <c r="AA3259" t="n">
        <v>923.15</v>
      </c>
      <c r="AB3259">
        <f>ROUND(U3259-AA3259,2)</f>
        <v/>
      </c>
      <c r="AC3259" t="b">
        <v>0</v>
      </c>
      <c r="AD3259">
        <f>IF(U3259="","MISSING_TOTAL",IF(ABS(AB3259)&lt;=0.01,"OK","CHECK"))</f>
        <v/>
      </c>
      <c r="AE3259">
        <f>IF(U3259="","MISSING",IF(AND(AA3259&gt;0,U3259/AA3259&gt;50),"POSSIBLE_SCALE_ERROR","OK"))</f>
        <v/>
      </c>
    </row>
    <row r="3260">
      <c r="A3260" t="inlineStr">
        <is>
          <t>T-2015-Q1-00051</t>
        </is>
      </c>
      <c r="B3260" t="inlineStr">
        <is>
          <t>SLE</t>
        </is>
      </c>
      <c r="C3260" t="inlineStr">
        <is>
          <t>President</t>
        </is>
      </c>
      <c r="D3260" t="inlineStr">
        <is>
          <t>Président</t>
        </is>
      </c>
      <c r="E3260" t="inlineStr">
        <is>
          <t>Paul J. LeBlanc</t>
        </is>
      </c>
      <c r="F3260" t="inlineStr">
        <is>
          <t>Meeting with Agency officials</t>
        </is>
      </c>
      <c r="G3260" t="inlineStr">
        <is>
          <t>Réunion avec des fonctionnaires de l'Agence</t>
        </is>
      </c>
      <c r="H3260" s="1" t="n">
        <v>41774</v>
      </c>
      <c r="I3260" s="1" t="n">
        <v>41774</v>
      </c>
      <c r="J3260" t="inlineStr">
        <is>
          <t>Hampton, New Brunswick</t>
        </is>
      </c>
      <c r="K3260" t="inlineStr">
        <is>
          <t>Hampton (Nouveau-Brunswick)</t>
        </is>
      </c>
      <c r="P3260" t="n">
        <v>0</v>
      </c>
      <c r="Q3260" t="n">
        <v>0</v>
      </c>
      <c r="R3260" t="n">
        <v>0</v>
      </c>
      <c r="S3260" t="n">
        <v>42.45</v>
      </c>
      <c r="T3260" t="n">
        <v>0</v>
      </c>
      <c r="U3260" t="n">
        <v>42.45</v>
      </c>
      <c r="X3260" t="inlineStr">
        <is>
          <t>acoa-apeca</t>
        </is>
      </c>
      <c r="Y3260" t="inlineStr">
        <is>
          <t>Atlantic Canada Opportunities Agency | Agence de promotion économique du Canada atlantique</t>
        </is>
      </c>
      <c r="Z3260" t="n">
        <v>1</v>
      </c>
      <c r="AA3260" t="n">
        <v>42.45</v>
      </c>
      <c r="AB3260">
        <f>ROUND(U3260-AA3260,2)</f>
        <v/>
      </c>
      <c r="AC3260" t="b">
        <v>0</v>
      </c>
      <c r="AD3260">
        <f>IF(U3260="","MISSING_TOTAL",IF(ABS(AB3260)&lt;=0.01,"OK","CHECK"))</f>
        <v/>
      </c>
      <c r="AE3260">
        <f>IF(U3260="","MISSING",IF(AND(AA3260&gt;0,U3260/AA3260&gt;50),"POSSIBLE_SCALE_ERROR","OK"))</f>
        <v/>
      </c>
    </row>
    <row r="3261">
      <c r="A3261" t="inlineStr">
        <is>
          <t>T-2015-Q1-00047</t>
        </is>
      </c>
      <c r="B3261" t="inlineStr">
        <is>
          <t>SLE</t>
        </is>
      </c>
      <c r="C3261" t="inlineStr">
        <is>
          <t>Vice-President, Prince Edward Island</t>
        </is>
      </c>
      <c r="D3261" t="inlineStr">
        <is>
          <t>Vice-président, Île-du-Prince-Édouard</t>
        </is>
      </c>
      <c r="E3261" t="inlineStr">
        <is>
          <t>Patrick Dorsey</t>
        </is>
      </c>
      <c r="F3261" t="inlineStr">
        <is>
          <t>Meetings with Government of Canada Officials</t>
        </is>
      </c>
      <c r="G3261" t="inlineStr">
        <is>
          <t>Réunions avec des fonctionnaires du gouvernement du Canada</t>
        </is>
      </c>
      <c r="H3261" s="1" t="n">
        <v>41773</v>
      </c>
      <c r="I3261" s="1" t="n">
        <v>41775</v>
      </c>
      <c r="J3261" t="inlineStr">
        <is>
          <t>Ottawa, Ontario</t>
        </is>
      </c>
      <c r="K3261" t="inlineStr">
        <is>
          <t>Ottawa (Ontario)</t>
        </is>
      </c>
      <c r="P3261" t="n">
        <v>921.1</v>
      </c>
      <c r="Q3261" t="n">
        <v>73</v>
      </c>
      <c r="R3261" t="n">
        <v>365.46</v>
      </c>
      <c r="S3261" t="n">
        <v>183.25</v>
      </c>
      <c r="T3261" t="n">
        <v>0</v>
      </c>
      <c r="U3261" t="n">
        <v>1542.81</v>
      </c>
      <c r="X3261" t="inlineStr">
        <is>
          <t>acoa-apeca</t>
        </is>
      </c>
      <c r="Y3261" t="inlineStr">
        <is>
          <t>Atlantic Canada Opportunities Agency | Agence de promotion économique du Canada atlantique</t>
        </is>
      </c>
      <c r="Z3261" t="n">
        <v>3</v>
      </c>
      <c r="AA3261" t="n">
        <v>1542.81</v>
      </c>
      <c r="AB3261">
        <f>ROUND(U3261-AA3261,2)</f>
        <v/>
      </c>
      <c r="AC3261" t="b">
        <v>0</v>
      </c>
      <c r="AD3261">
        <f>IF(U3261="","MISSING_TOTAL",IF(ABS(AB3261)&lt;=0.01,"OK","CHECK"))</f>
        <v/>
      </c>
      <c r="AE3261">
        <f>IF(U3261="","MISSING",IF(AND(AA3261&gt;0,U3261/AA3261&gt;50),"POSSIBLE_SCALE_ERROR","OK"))</f>
        <v/>
      </c>
    </row>
    <row r="3262">
      <c r="A3262" t="inlineStr">
        <is>
          <t>T-2015-Q1-00045</t>
        </is>
      </c>
      <c r="B3262" t="inlineStr">
        <is>
          <t>MPSES</t>
        </is>
      </c>
      <c r="C3262" t="inlineStr">
        <is>
          <t>Minister of State</t>
        </is>
      </c>
      <c r="D3262" t="inlineStr">
        <is>
          <t>Ministre d'État</t>
        </is>
      </c>
      <c r="E3262" t="inlineStr">
        <is>
          <t>Rob Moore</t>
        </is>
      </c>
      <c r="F3262" t="inlineStr">
        <is>
          <t>Travel to attend National Day of Honour Ceremony</t>
        </is>
      </c>
      <c r="G3262" t="inlineStr">
        <is>
          <t>Voyage pour assister à une cérémonie de la Journée nationale de commémoration</t>
        </is>
      </c>
      <c r="H3262" s="1" t="n">
        <v>41768</v>
      </c>
      <c r="I3262" s="1" t="n">
        <v>41768</v>
      </c>
      <c r="J3262" t="inlineStr">
        <is>
          <t>Gagetown, New Brunswick</t>
        </is>
      </c>
      <c r="K3262" t="inlineStr">
        <is>
          <t>Gagetown (Nouveau-Brunswick)</t>
        </is>
      </c>
      <c r="P3262" t="n">
        <v>0</v>
      </c>
      <c r="Q3262" t="n">
        <v>120.19</v>
      </c>
      <c r="R3262" t="n">
        <v>0</v>
      </c>
      <c r="S3262" t="n">
        <v>0</v>
      </c>
      <c r="T3262" t="n">
        <v>0</v>
      </c>
      <c r="U3262" t="n">
        <v>120.19</v>
      </c>
      <c r="X3262" t="inlineStr">
        <is>
          <t>acoa-apeca</t>
        </is>
      </c>
      <c r="Y3262" t="inlineStr">
        <is>
          <t>Atlantic Canada Opportunities Agency | Agence de promotion économique du Canada atlantique</t>
        </is>
      </c>
      <c r="Z3262" t="n">
        <v>1</v>
      </c>
      <c r="AA3262" t="n">
        <v>120.19</v>
      </c>
      <c r="AB3262">
        <f>ROUND(U3262-AA3262,2)</f>
        <v/>
      </c>
      <c r="AC3262" t="b">
        <v>0</v>
      </c>
      <c r="AD3262">
        <f>IF(U3262="","MISSING_TOTAL",IF(ABS(AB3262)&lt;=0.01,"OK","CHECK"))</f>
        <v/>
      </c>
      <c r="AE3262">
        <f>IF(U3262="","MISSING",IF(AND(AA3262&gt;0,U3262/AA3262&gt;50),"POSSIBLE_SCALE_ERROR","OK"))</f>
        <v/>
      </c>
    </row>
    <row r="3263">
      <c r="A3263" t="inlineStr">
        <is>
          <t>T-2015-Q1-00044</t>
        </is>
      </c>
      <c r="B3263" t="inlineStr">
        <is>
          <t>MPSES</t>
        </is>
      </c>
      <c r="C3263" t="inlineStr">
        <is>
          <t>Executive Assistant</t>
        </is>
      </c>
      <c r="D3263" t="inlineStr">
        <is>
          <t>Adjoint exécutif</t>
        </is>
      </c>
      <c r="E3263" t="inlineStr">
        <is>
          <t>Josh Hardy</t>
        </is>
      </c>
      <c r="F3263" t="inlineStr">
        <is>
          <t>Travel on Government Business</t>
        </is>
      </c>
      <c r="G3263" t="inlineStr">
        <is>
          <t>Voyage pour le compte du gouvernement</t>
        </is>
      </c>
      <c r="H3263" s="1" t="n">
        <v>41767</v>
      </c>
      <c r="I3263" s="1" t="n">
        <v>41771</v>
      </c>
      <c r="J3263" t="inlineStr">
        <is>
          <t>Moncton and Fredericton, New Brunswick</t>
        </is>
      </c>
      <c r="K3263" t="inlineStr">
        <is>
          <t>Moncton et Fredericton (Nouveau-Brunswick)</t>
        </is>
      </c>
      <c r="P3263" t="n">
        <v>1344.26</v>
      </c>
      <c r="Q3263" t="n">
        <v>153.7</v>
      </c>
      <c r="R3263" t="n">
        <v>0</v>
      </c>
      <c r="S3263" t="n">
        <v>0</v>
      </c>
      <c r="T3263" t="n">
        <v>0</v>
      </c>
      <c r="U3263" t="n">
        <v>1497.96</v>
      </c>
      <c r="X3263" t="inlineStr">
        <is>
          <t>acoa-apeca</t>
        </is>
      </c>
      <c r="Y3263" t="inlineStr">
        <is>
          <t>Atlantic Canada Opportunities Agency | Agence de promotion économique du Canada atlantique</t>
        </is>
      </c>
      <c r="Z3263" t="n">
        <v>5</v>
      </c>
      <c r="AA3263" t="n">
        <v>1497.96</v>
      </c>
      <c r="AB3263">
        <f>ROUND(U3263-AA3263,2)</f>
        <v/>
      </c>
      <c r="AC3263" t="b">
        <v>0</v>
      </c>
      <c r="AD3263">
        <f>IF(U3263="","MISSING_TOTAL",IF(ABS(AB3263)&lt;=0.01,"OK","CHECK"))</f>
        <v/>
      </c>
      <c r="AE3263">
        <f>IF(U3263="","MISSING",IF(AND(AA3263&gt;0,U3263/AA3263&gt;50),"POSSIBLE_SCALE_ERROR","OK"))</f>
        <v/>
      </c>
    </row>
    <row r="3264">
      <c r="A3264" t="inlineStr">
        <is>
          <t>T-2015-Q1-00043</t>
        </is>
      </c>
      <c r="B3264" t="inlineStr">
        <is>
          <t>SLE</t>
        </is>
      </c>
      <c r="C3264" t="inlineStr">
        <is>
          <t>Vice-President, Prince Edward Island</t>
        </is>
      </c>
      <c r="D3264" t="inlineStr">
        <is>
          <t>Vice-président, Île-du-Prince-Édouard</t>
        </is>
      </c>
      <c r="E3264" t="inlineStr">
        <is>
          <t>Patrick Dorsey</t>
        </is>
      </c>
      <c r="F3264" t="inlineStr">
        <is>
          <t>To attend Executive Committee Meeting</t>
        </is>
      </c>
      <c r="G3264" t="inlineStr">
        <is>
          <t>Assister à une réunion du Comité de direction</t>
        </is>
      </c>
      <c r="H3264" s="1" t="n">
        <v>41767</v>
      </c>
      <c r="I3264" s="1" t="n">
        <v>41767</v>
      </c>
      <c r="J3264" t="inlineStr">
        <is>
          <t>Moncton, New Brunswick</t>
        </is>
      </c>
      <c r="K3264" t="inlineStr">
        <is>
          <t>Moncton (Nouveau-Brunswick)</t>
        </is>
      </c>
      <c r="P3264" t="n">
        <v>0</v>
      </c>
      <c r="Q3264" t="n">
        <v>56</v>
      </c>
      <c r="R3264" t="n">
        <v>0</v>
      </c>
      <c r="S3264" t="n">
        <v>15.95</v>
      </c>
      <c r="T3264" t="n">
        <v>0</v>
      </c>
      <c r="U3264" t="n">
        <v>71.95</v>
      </c>
      <c r="X3264" t="inlineStr">
        <is>
          <t>acoa-apeca</t>
        </is>
      </c>
      <c r="Y3264" t="inlineStr">
        <is>
          <t>Atlantic Canada Opportunities Agency | Agence de promotion économique du Canada atlantique</t>
        </is>
      </c>
      <c r="Z3264" t="n">
        <v>1</v>
      </c>
      <c r="AA3264" t="n">
        <v>71.95</v>
      </c>
      <c r="AB3264">
        <f>ROUND(U3264-AA3264,2)</f>
        <v/>
      </c>
      <c r="AC3264" t="b">
        <v>0</v>
      </c>
      <c r="AD3264">
        <f>IF(U3264="","MISSING_TOTAL",IF(ABS(AB3264)&lt;=0.01,"OK","CHECK"))</f>
        <v/>
      </c>
      <c r="AE3264">
        <f>IF(U3264="","MISSING",IF(AND(AA3264&gt;0,U3264/AA3264&gt;50),"POSSIBLE_SCALE_ERROR","OK"))</f>
        <v/>
      </c>
    </row>
    <row r="3265">
      <c r="A3265" t="inlineStr">
        <is>
          <t>T-2015-Q1-00042</t>
        </is>
      </c>
      <c r="B3265" t="inlineStr">
        <is>
          <t>SLE</t>
        </is>
      </c>
      <c r="C3265" t="inlineStr">
        <is>
          <t>Vice President, Nova Scotia</t>
        </is>
      </c>
      <c r="D3265" t="inlineStr">
        <is>
          <t>Vice-président, Nouvelle-Écosse</t>
        </is>
      </c>
      <c r="E3265" t="inlineStr">
        <is>
          <t>Peter Hogan</t>
        </is>
      </c>
      <c r="F3265" t="inlineStr">
        <is>
          <t>Meeting with Senior Agency Officials</t>
        </is>
      </c>
      <c r="G3265" t="inlineStr">
        <is>
          <t>Réunion avec des hauts fonctionnaires de l'Agence</t>
        </is>
      </c>
      <c r="H3265" s="1" t="n">
        <v>41766</v>
      </c>
      <c r="I3265" s="1" t="n">
        <v>41767</v>
      </c>
      <c r="J3265" t="inlineStr">
        <is>
          <t>Moncton, New Brunswick</t>
        </is>
      </c>
      <c r="K3265" t="inlineStr">
        <is>
          <t>Moncton (Nouveau-Brunswick)</t>
        </is>
      </c>
      <c r="P3265" t="n">
        <v>0</v>
      </c>
      <c r="Q3265" t="n">
        <v>117.85</v>
      </c>
      <c r="R3265" t="n">
        <v>50</v>
      </c>
      <c r="S3265" t="n">
        <v>34.6</v>
      </c>
      <c r="T3265" t="n">
        <v>0</v>
      </c>
      <c r="U3265" t="n">
        <v>202.45</v>
      </c>
      <c r="X3265" t="inlineStr">
        <is>
          <t>acoa-apeca</t>
        </is>
      </c>
      <c r="Y3265" t="inlineStr">
        <is>
          <t>Atlantic Canada Opportunities Agency | Agence de promotion économique du Canada atlantique</t>
        </is>
      </c>
      <c r="Z3265" t="n">
        <v>2</v>
      </c>
      <c r="AA3265" t="n">
        <v>202.45</v>
      </c>
      <c r="AB3265">
        <f>ROUND(U3265-AA3265,2)</f>
        <v/>
      </c>
      <c r="AC3265" t="b">
        <v>0</v>
      </c>
      <c r="AD3265">
        <f>IF(U3265="","MISSING_TOTAL",IF(ABS(AB3265)&lt;=0.01,"OK","CHECK"))</f>
        <v/>
      </c>
      <c r="AE3265">
        <f>IF(U3265="","MISSING",IF(AND(AA3265&gt;0,U3265/AA3265&gt;50),"POSSIBLE_SCALE_ERROR","OK"))</f>
        <v/>
      </c>
    </row>
    <row r="3266">
      <c r="A3266" t="inlineStr">
        <is>
          <t>T-2015-Q1-00041</t>
        </is>
      </c>
      <c r="B3266" t="inlineStr">
        <is>
          <t>SLE</t>
        </is>
      </c>
      <c r="C3266" t="inlineStr">
        <is>
          <t>Vice-President, New Brunswick</t>
        </is>
      </c>
      <c r="D3266" t="inlineStr">
        <is>
          <t>Vice-président, Nouveau-Brunswick</t>
        </is>
      </c>
      <c r="E3266" t="inlineStr">
        <is>
          <t>Kent Estabrooks</t>
        </is>
      </c>
      <c r="F3266" t="inlineStr">
        <is>
          <t>Executive Committee Meeting</t>
        </is>
      </c>
      <c r="G3266" t="inlineStr">
        <is>
          <t>Réunion du Comité de direction</t>
        </is>
      </c>
      <c r="H3266" s="1" t="n">
        <v>41766</v>
      </c>
      <c r="I3266" s="1" t="n">
        <v>41767</v>
      </c>
      <c r="J3266" t="inlineStr">
        <is>
          <t>Moncton, New Brunswick</t>
        </is>
      </c>
      <c r="K3266" t="inlineStr">
        <is>
          <t>Moncton (Nouveau-Brunswick)</t>
        </is>
      </c>
      <c r="P3266" t="n">
        <v>0</v>
      </c>
      <c r="Q3266" t="n">
        <v>0</v>
      </c>
      <c r="R3266" t="n">
        <v>163.85</v>
      </c>
      <c r="S3266" t="n">
        <v>119.5</v>
      </c>
      <c r="T3266" t="n">
        <v>14.41</v>
      </c>
      <c r="U3266" t="n">
        <v>297.76</v>
      </c>
      <c r="X3266" t="inlineStr">
        <is>
          <t>acoa-apeca</t>
        </is>
      </c>
      <c r="Y3266" t="inlineStr">
        <is>
          <t>Atlantic Canada Opportunities Agency | Agence de promotion économique du Canada atlantique</t>
        </is>
      </c>
      <c r="Z3266" t="n">
        <v>2</v>
      </c>
      <c r="AA3266" t="n">
        <v>297.76</v>
      </c>
      <c r="AB3266">
        <f>ROUND(U3266-AA3266,2)</f>
        <v/>
      </c>
      <c r="AC3266" t="b">
        <v>0</v>
      </c>
      <c r="AD3266">
        <f>IF(U3266="","MISSING_TOTAL",IF(ABS(AB3266)&lt;=0.01,"OK","CHECK"))</f>
        <v/>
      </c>
      <c r="AE3266">
        <f>IF(U3266="","MISSING",IF(AND(AA3266&gt;0,U3266/AA3266&gt;50),"POSSIBLE_SCALE_ERROR","OK"))</f>
        <v/>
      </c>
    </row>
    <row r="3267">
      <c r="A3267" t="inlineStr">
        <is>
          <t>T-2015-Q1-00040</t>
        </is>
      </c>
      <c r="B3267" t="inlineStr">
        <is>
          <t>SLE</t>
        </is>
      </c>
      <c r="C3267" t="inlineStr">
        <is>
          <t>Vice-President, Newfoundland and Labrador</t>
        </is>
      </c>
      <c r="D3267" t="inlineStr">
        <is>
          <t>Vice-président, Terre-Neuve-et-Labrador</t>
        </is>
      </c>
      <c r="E3267" t="inlineStr">
        <is>
          <t>Paul Mills</t>
        </is>
      </c>
      <c r="F3267" t="inlineStr">
        <is>
          <t>Executive Committee Meeting in Moncton, New Brunswick</t>
        </is>
      </c>
      <c r="G3267" t="inlineStr">
        <is>
          <t>Réunion du Comité de direction à Moncton (Nouveau-Brunswick)</t>
        </is>
      </c>
      <c r="H3267" s="1" t="n">
        <v>41766</v>
      </c>
      <c r="I3267" s="1" t="n">
        <v>41768</v>
      </c>
      <c r="J3267" t="inlineStr">
        <is>
          <t>Moncton, New Brunswick</t>
        </is>
      </c>
      <c r="K3267" t="inlineStr">
        <is>
          <t>Moncton (Nouveau-Brunswick)</t>
        </is>
      </c>
      <c r="P3267" t="n">
        <v>1376.8</v>
      </c>
      <c r="Q3267" t="n">
        <v>227.17</v>
      </c>
      <c r="R3267" t="n">
        <v>241.33</v>
      </c>
      <c r="S3267" t="n">
        <v>199.2</v>
      </c>
      <c r="T3267" t="n">
        <v>7.54</v>
      </c>
      <c r="U3267" t="n">
        <v>2052.04</v>
      </c>
      <c r="X3267" t="inlineStr">
        <is>
          <t>acoa-apeca</t>
        </is>
      </c>
      <c r="Y3267" t="inlineStr">
        <is>
          <t>Atlantic Canada Opportunities Agency | Agence de promotion économique du Canada atlantique</t>
        </is>
      </c>
      <c r="Z3267" t="n">
        <v>3</v>
      </c>
      <c r="AA3267" t="n">
        <v>2052.04</v>
      </c>
      <c r="AB3267">
        <f>ROUND(U3267-AA3267,2)</f>
        <v/>
      </c>
      <c r="AC3267" t="b">
        <v>0</v>
      </c>
      <c r="AD3267">
        <f>IF(U3267="","MISSING_TOTAL",IF(ABS(AB3267)&lt;=0.01,"OK","CHECK"))</f>
        <v/>
      </c>
      <c r="AE3267">
        <f>IF(U3267="","MISSING",IF(AND(AA3267&gt;0,U3267/AA3267&gt;50),"POSSIBLE_SCALE_ERROR","OK"))</f>
        <v/>
      </c>
    </row>
    <row r="3268">
      <c r="A3268" t="inlineStr">
        <is>
          <t>T-2015-Q1-00039</t>
        </is>
      </c>
      <c r="B3268" t="inlineStr">
        <is>
          <t>SLE</t>
        </is>
      </c>
      <c r="C3268" t="inlineStr">
        <is>
          <t>President</t>
        </is>
      </c>
      <c r="D3268" t="inlineStr">
        <is>
          <t>Président</t>
        </is>
      </c>
      <c r="E3268" t="inlineStr">
        <is>
          <t>Paul J. LeBlanc</t>
        </is>
      </c>
      <c r="F3268" t="inlineStr">
        <is>
          <t>Various meetings and discussions with Agency officials; with Government of Canada officials</t>
        </is>
      </c>
      <c r="G3268" t="inlineStr">
        <is>
          <t>Diverses réunions et discussions avec des fonctionnaires de l'Agence et du gouvernement du Canada</t>
        </is>
      </c>
      <c r="H3268" s="1" t="n">
        <v>41765</v>
      </c>
      <c r="I3268" s="1" t="n">
        <v>41767</v>
      </c>
      <c r="J3268" t="inlineStr">
        <is>
          <t>Ottawa, Ontario</t>
        </is>
      </c>
      <c r="K3268" t="inlineStr">
        <is>
          <t>Ottawa (Ontario)</t>
        </is>
      </c>
      <c r="P3268" t="n">
        <v>707.3</v>
      </c>
      <c r="Q3268" t="n">
        <v>88.5</v>
      </c>
      <c r="R3268" t="n">
        <v>370.12</v>
      </c>
      <c r="S3268" t="n">
        <v>183.25</v>
      </c>
      <c r="T3268" t="n">
        <v>0</v>
      </c>
      <c r="U3268" t="n">
        <v>1349.17</v>
      </c>
      <c r="X3268" t="inlineStr">
        <is>
          <t>acoa-apeca</t>
        </is>
      </c>
      <c r="Y3268" t="inlineStr">
        <is>
          <t>Atlantic Canada Opportunities Agency | Agence de promotion économique du Canada atlantique</t>
        </is>
      </c>
      <c r="Z3268" t="n">
        <v>3</v>
      </c>
      <c r="AA3268" t="n">
        <v>1349.17</v>
      </c>
      <c r="AB3268">
        <f>ROUND(U3268-AA3268,2)</f>
        <v/>
      </c>
      <c r="AC3268" t="b">
        <v>0</v>
      </c>
      <c r="AD3268">
        <f>IF(U3268="","MISSING_TOTAL",IF(ABS(AB3268)&lt;=0.01,"OK","CHECK"))</f>
        <v/>
      </c>
      <c r="AE3268">
        <f>IF(U3268="","MISSING",IF(AND(AA3268&gt;0,U3268/AA3268&gt;50),"POSSIBLE_SCALE_ERROR","OK"))</f>
        <v/>
      </c>
    </row>
    <row r="3269">
      <c r="A3269" t="inlineStr">
        <is>
          <t>T-2015-Q1-00038</t>
        </is>
      </c>
      <c r="B3269" t="inlineStr">
        <is>
          <t>SLE</t>
        </is>
      </c>
      <c r="C3269" t="inlineStr">
        <is>
          <t>Vice-President, Finance and Corporate Services</t>
        </is>
      </c>
      <c r="D3269" t="inlineStr">
        <is>
          <t>Vice-présidente, Finances et Services corporatifs</t>
        </is>
      </c>
      <c r="E3269" t="inlineStr">
        <is>
          <t>Denise Frenette</t>
        </is>
      </c>
      <c r="F3269" t="inlineStr">
        <is>
          <t>Meetings with Government of Canada Officials</t>
        </is>
      </c>
      <c r="G3269" t="inlineStr">
        <is>
          <t>Réunions avec des fonctionnaires du gouvernement du Canada</t>
        </is>
      </c>
      <c r="H3269" s="1" t="n">
        <v>41764</v>
      </c>
      <c r="I3269" s="1" t="n">
        <v>41767</v>
      </c>
      <c r="J3269" t="inlineStr">
        <is>
          <t>Ottawa, Ontario</t>
        </is>
      </c>
      <c r="K3269" t="inlineStr">
        <is>
          <t>Ottawa (Ontario)</t>
        </is>
      </c>
      <c r="P3269" t="n">
        <v>687.04</v>
      </c>
      <c r="Q3269" t="n">
        <v>0</v>
      </c>
      <c r="R3269" t="n">
        <v>538.88</v>
      </c>
      <c r="S3269" t="n">
        <v>274.2</v>
      </c>
      <c r="T3269" t="n">
        <v>109.5</v>
      </c>
      <c r="U3269" t="n">
        <v>1609.62</v>
      </c>
      <c r="X3269" t="inlineStr">
        <is>
          <t>acoa-apeca</t>
        </is>
      </c>
      <c r="Y3269" t="inlineStr">
        <is>
          <t>Atlantic Canada Opportunities Agency | Agence de promotion économique du Canada atlantique</t>
        </is>
      </c>
      <c r="Z3269" t="n">
        <v>4</v>
      </c>
      <c r="AA3269" t="n">
        <v>1609.62</v>
      </c>
      <c r="AB3269">
        <f>ROUND(U3269-AA3269,2)</f>
        <v/>
      </c>
      <c r="AC3269" t="b">
        <v>0</v>
      </c>
      <c r="AD3269">
        <f>IF(U3269="","MISSING_TOTAL",IF(ABS(AB3269)&lt;=0.01,"OK","CHECK"))</f>
        <v/>
      </c>
      <c r="AE3269">
        <f>IF(U3269="","MISSING",IF(AND(AA3269&gt;0,U3269/AA3269&gt;50),"POSSIBLE_SCALE_ERROR","OK"))</f>
        <v/>
      </c>
    </row>
    <row r="3270">
      <c r="A3270" t="inlineStr">
        <is>
          <t>T-2015-Q1-00037</t>
        </is>
      </c>
      <c r="B3270" t="inlineStr">
        <is>
          <t>SLE</t>
        </is>
      </c>
      <c r="C3270" t="inlineStr">
        <is>
          <t>Vice-President, Prince Edward Island</t>
        </is>
      </c>
      <c r="D3270" t="inlineStr">
        <is>
          <t>Vice-président, Île-du-Prince-Édouard</t>
        </is>
      </c>
      <c r="E3270" t="inlineStr">
        <is>
          <t>Patrick Dorsey</t>
        </is>
      </c>
      <c r="F3270" t="inlineStr">
        <is>
          <t>To attend ACTP Management Committee Meeting and Meeting with Industry Officials</t>
        </is>
      </c>
      <c r="G3270" t="inlineStr">
        <is>
          <t>Assister à une réunion du Comité de gestion du PTCA et à une réunion avec des représentants de l'industrie</t>
        </is>
      </c>
      <c r="H3270" s="1" t="n">
        <v>41764</v>
      </c>
      <c r="I3270" s="1" t="n">
        <v>41765</v>
      </c>
      <c r="J3270" t="inlineStr">
        <is>
          <t>St. John's, Newfoundland and Labrador</t>
        </is>
      </c>
      <c r="K3270" t="inlineStr">
        <is>
          <t>St. John's (Terre-Neuve-et-Labrador)</t>
        </is>
      </c>
      <c r="P3270" t="n">
        <v>1599.32</v>
      </c>
      <c r="Q3270" t="n">
        <v>22</v>
      </c>
      <c r="R3270" t="n">
        <v>204.75</v>
      </c>
      <c r="S3270" t="n">
        <v>93</v>
      </c>
      <c r="T3270" t="n">
        <v>0</v>
      </c>
      <c r="U3270" t="n">
        <v>1919.07</v>
      </c>
      <c r="X3270" t="inlineStr">
        <is>
          <t>acoa-apeca</t>
        </is>
      </c>
      <c r="Y3270" t="inlineStr">
        <is>
          <t>Atlantic Canada Opportunities Agency | Agence de promotion économique du Canada atlantique</t>
        </is>
      </c>
      <c r="Z3270" t="n">
        <v>2</v>
      </c>
      <c r="AA3270" t="n">
        <v>1919.07</v>
      </c>
      <c r="AB3270">
        <f>ROUND(U3270-AA3270,2)</f>
        <v/>
      </c>
      <c r="AC3270" t="b">
        <v>0</v>
      </c>
      <c r="AD3270">
        <f>IF(U3270="","MISSING_TOTAL",IF(ABS(AB3270)&lt;=0.01,"OK","CHECK"))</f>
        <v/>
      </c>
      <c r="AE3270">
        <f>IF(U3270="","MISSING",IF(AND(AA3270&gt;0,U3270/AA3270&gt;50),"POSSIBLE_SCALE_ERROR","OK"))</f>
        <v/>
      </c>
    </row>
    <row r="3271">
      <c r="A3271" t="inlineStr">
        <is>
          <t>T-2015-Q1-00035</t>
        </is>
      </c>
      <c r="B3271" t="inlineStr">
        <is>
          <t>SLE</t>
        </is>
      </c>
      <c r="C3271" t="inlineStr">
        <is>
          <t>Vice-President, Finance and Corporate Services</t>
        </is>
      </c>
      <c r="D3271" t="inlineStr">
        <is>
          <t>Vice-présidente, Finances et Services corporatifs</t>
        </is>
      </c>
      <c r="E3271" t="inlineStr">
        <is>
          <t>Denise Frenette</t>
        </is>
      </c>
      <c r="F3271" t="inlineStr">
        <is>
          <t>Meetings with Government of Canada Officials</t>
        </is>
      </c>
      <c r="G3271" t="inlineStr">
        <is>
          <t>Réunions avec des fonctionnaires du gouvernement du Canada</t>
        </is>
      </c>
      <c r="H3271" s="1" t="n">
        <v>41758</v>
      </c>
      <c r="I3271" s="1" t="n">
        <v>41761</v>
      </c>
      <c r="J3271" t="inlineStr">
        <is>
          <t>Ottawa, Ontario</t>
        </is>
      </c>
      <c r="K3271" t="inlineStr">
        <is>
          <t>Ottawa (Ontario)</t>
        </is>
      </c>
      <c r="P3271" t="n">
        <v>687.04</v>
      </c>
      <c r="Q3271" t="n">
        <v>122.04</v>
      </c>
      <c r="R3271" t="n">
        <v>548.1900000000001</v>
      </c>
      <c r="S3271" t="n">
        <v>226.4</v>
      </c>
      <c r="T3271" t="n">
        <v>246.54</v>
      </c>
      <c r="U3271" t="n">
        <v>1830.21</v>
      </c>
      <c r="X3271" t="inlineStr">
        <is>
          <t>acoa-apeca</t>
        </is>
      </c>
      <c r="Y3271" t="inlineStr">
        <is>
          <t>Atlantic Canada Opportunities Agency | Agence de promotion économique du Canada atlantique</t>
        </is>
      </c>
      <c r="Z3271" t="n">
        <v>4</v>
      </c>
      <c r="AA3271" t="n">
        <v>1830.21</v>
      </c>
      <c r="AB3271">
        <f>ROUND(U3271-AA3271,2)</f>
        <v/>
      </c>
      <c r="AC3271" t="b">
        <v>0</v>
      </c>
      <c r="AD3271">
        <f>IF(U3271="","MISSING_TOTAL",IF(ABS(AB3271)&lt;=0.01,"OK","CHECK"))</f>
        <v/>
      </c>
      <c r="AE3271">
        <f>IF(U3271="","MISSING",IF(AND(AA3271&gt;0,U3271/AA3271&gt;50),"POSSIBLE_SCALE_ERROR","OK"))</f>
        <v/>
      </c>
    </row>
    <row r="3272">
      <c r="A3272" t="inlineStr">
        <is>
          <t>T-2015-Q1-00034</t>
        </is>
      </c>
      <c r="B3272" t="inlineStr">
        <is>
          <t>SLE</t>
        </is>
      </c>
      <c r="C3272" t="inlineStr">
        <is>
          <t>President</t>
        </is>
      </c>
      <c r="D3272" t="inlineStr">
        <is>
          <t>Président</t>
        </is>
      </c>
      <c r="E3272" t="inlineStr">
        <is>
          <t>Paul J. LeBlanc</t>
        </is>
      </c>
      <c r="F3272" t="inlineStr">
        <is>
          <t>Various meetings and discussions with Agency officials; and with Government of Canada officials</t>
        </is>
      </c>
      <c r="G3272" t="inlineStr">
        <is>
          <t>Diverses réunions et discussions avec des fonctionnaires de l'Agence et du gouvernement du Canada</t>
        </is>
      </c>
      <c r="H3272" s="1" t="n">
        <v>41758</v>
      </c>
      <c r="I3272" s="1" t="n">
        <v>41761</v>
      </c>
      <c r="J3272" t="inlineStr">
        <is>
          <t>Ottawa, Ontario</t>
        </is>
      </c>
      <c r="K3272" t="inlineStr">
        <is>
          <t>Ottawa (Ontario)</t>
        </is>
      </c>
      <c r="P3272" t="n">
        <v>1386.22</v>
      </c>
      <c r="Q3272" t="n">
        <v>0</v>
      </c>
      <c r="R3272" t="n">
        <v>548.1900000000001</v>
      </c>
      <c r="S3272" t="n">
        <v>289.45</v>
      </c>
      <c r="T3272" t="n">
        <v>0</v>
      </c>
      <c r="U3272" t="n">
        <v>2223.86</v>
      </c>
      <c r="X3272" t="inlineStr">
        <is>
          <t>acoa-apeca</t>
        </is>
      </c>
      <c r="Y3272" t="inlineStr">
        <is>
          <t>Atlantic Canada Opportunities Agency | Agence de promotion économique du Canada atlantique</t>
        </is>
      </c>
      <c r="Z3272" t="n">
        <v>4</v>
      </c>
      <c r="AA3272" t="n">
        <v>2223.86</v>
      </c>
      <c r="AB3272">
        <f>ROUND(U3272-AA3272,2)</f>
        <v/>
      </c>
      <c r="AC3272" t="b">
        <v>0</v>
      </c>
      <c r="AD3272">
        <f>IF(U3272="","MISSING_TOTAL",IF(ABS(AB3272)&lt;=0.01,"OK","CHECK"))</f>
        <v/>
      </c>
      <c r="AE3272">
        <f>IF(U3272="","MISSING",IF(AND(AA3272&gt;0,U3272/AA3272&gt;50),"POSSIBLE_SCALE_ERROR","OK"))</f>
        <v/>
      </c>
    </row>
    <row r="3273">
      <c r="A3273" t="inlineStr">
        <is>
          <t>T-2015-Q1-00033</t>
        </is>
      </c>
      <c r="B3273" t="inlineStr">
        <is>
          <t>SLE</t>
        </is>
      </c>
      <c r="C3273" t="inlineStr">
        <is>
          <t>Vice-President, Finance and Corporate Services</t>
        </is>
      </c>
      <c r="D3273" t="inlineStr">
        <is>
          <t>Vice-présidente, Finances et Services corporatifs</t>
        </is>
      </c>
      <c r="E3273" t="inlineStr">
        <is>
          <t>Denise Frenette</t>
        </is>
      </c>
      <c r="F3273" t="inlineStr">
        <is>
          <t>Meetings with Government of Canada Officials</t>
        </is>
      </c>
      <c r="G3273" t="inlineStr">
        <is>
          <t>Réunions avec des fonctionnaires du gouvernement du Canada</t>
        </is>
      </c>
      <c r="H3273" s="1" t="n">
        <v>41753</v>
      </c>
      <c r="I3273" s="1" t="n">
        <v>41754</v>
      </c>
      <c r="J3273" t="inlineStr">
        <is>
          <t>Sydney, Nova Scotia</t>
        </is>
      </c>
      <c r="K3273" t="inlineStr">
        <is>
          <t>Sydney (Nouvelle-Écosse)</t>
        </is>
      </c>
      <c r="P3273" t="n">
        <v>687.04</v>
      </c>
      <c r="Q3273" t="n">
        <v>0</v>
      </c>
      <c r="R3273" t="n">
        <v>0</v>
      </c>
      <c r="S3273" t="n">
        <v>58.4</v>
      </c>
      <c r="T3273" t="n">
        <v>59.65</v>
      </c>
      <c r="U3273" t="n">
        <v>805.09</v>
      </c>
      <c r="X3273" t="inlineStr">
        <is>
          <t>acoa-apeca</t>
        </is>
      </c>
      <c r="Y3273" t="inlineStr">
        <is>
          <t>Atlantic Canada Opportunities Agency | Agence de promotion économique du Canada atlantique</t>
        </is>
      </c>
      <c r="Z3273" t="n">
        <v>2</v>
      </c>
      <c r="AA3273" t="n">
        <v>805.089999999999</v>
      </c>
      <c r="AB3273">
        <f>ROUND(U3273-AA3273,2)</f>
        <v/>
      </c>
      <c r="AC3273" t="b">
        <v>0</v>
      </c>
      <c r="AD3273">
        <f>IF(U3273="","MISSING_TOTAL",IF(ABS(AB3273)&lt;=0.01,"OK","CHECK"))</f>
        <v/>
      </c>
      <c r="AE3273">
        <f>IF(U3273="","MISSING",IF(AND(AA3273&gt;0,U3273/AA3273&gt;50),"POSSIBLE_SCALE_ERROR","OK"))</f>
        <v/>
      </c>
    </row>
    <row r="3274">
      <c r="A3274" t="inlineStr">
        <is>
          <t>T-2015-Q1-00030</t>
        </is>
      </c>
      <c r="B3274" t="inlineStr">
        <is>
          <t>SLE</t>
        </is>
      </c>
      <c r="C3274" t="inlineStr">
        <is>
          <t>Vice-President, New Brunswick</t>
        </is>
      </c>
      <c r="D3274" t="inlineStr">
        <is>
          <t>Vice-président, Nouveau-Brunswick</t>
        </is>
      </c>
      <c r="E3274" t="inlineStr">
        <is>
          <t>Kent Estabrooks</t>
        </is>
      </c>
      <c r="F3274" t="inlineStr">
        <is>
          <t>Mandatory Training / Meetings with Agency Officials</t>
        </is>
      </c>
      <c r="G3274" t="inlineStr">
        <is>
          <t>Formation obligatoire / réunions avec des fonctionnaires de l'Agence</t>
        </is>
      </c>
      <c r="H3274" s="1" t="n">
        <v>41752</v>
      </c>
      <c r="I3274" s="1" t="n">
        <v>41754</v>
      </c>
      <c r="J3274" t="inlineStr">
        <is>
          <t>Ottawa, Ontario</t>
        </is>
      </c>
      <c r="K3274" t="inlineStr">
        <is>
          <t>Ottawa (Ontario)</t>
        </is>
      </c>
      <c r="P3274" t="n">
        <v>892.7</v>
      </c>
      <c r="Q3274" t="n">
        <v>110.5</v>
      </c>
      <c r="R3274" t="n">
        <v>365.46</v>
      </c>
      <c r="S3274" t="n">
        <v>225.7</v>
      </c>
      <c r="T3274" t="n">
        <v>10.1</v>
      </c>
      <c r="U3274" t="n">
        <v>1604.46</v>
      </c>
      <c r="X3274" t="inlineStr">
        <is>
          <t>acoa-apeca</t>
        </is>
      </c>
      <c r="Y3274" t="inlineStr">
        <is>
          <t>Atlantic Canada Opportunities Agency | Agence de promotion économique du Canada atlantique</t>
        </is>
      </c>
      <c r="Z3274" t="n">
        <v>3</v>
      </c>
      <c r="AA3274" t="n">
        <v>1604.46</v>
      </c>
      <c r="AB3274">
        <f>ROUND(U3274-AA3274,2)</f>
        <v/>
      </c>
      <c r="AC3274" t="b">
        <v>0</v>
      </c>
      <c r="AD3274">
        <f>IF(U3274="","MISSING_TOTAL",IF(ABS(AB3274)&lt;=0.01,"OK","CHECK"))</f>
        <v/>
      </c>
      <c r="AE3274">
        <f>IF(U3274="","MISSING",IF(AND(AA3274&gt;0,U3274/AA3274&gt;50),"POSSIBLE_SCALE_ERROR","OK"))</f>
        <v/>
      </c>
    </row>
    <row r="3275">
      <c r="A3275" t="inlineStr">
        <is>
          <t>T-2015-Q1-00029</t>
        </is>
      </c>
      <c r="B3275" t="inlineStr">
        <is>
          <t>SLE</t>
        </is>
      </c>
      <c r="C3275" t="inlineStr">
        <is>
          <t>Vice-President, Newfoundland and Labrador</t>
        </is>
      </c>
      <c r="D3275" t="inlineStr">
        <is>
          <t>Vice-président, Terre-Neuve-et-Labrador</t>
        </is>
      </c>
      <c r="E3275" t="inlineStr">
        <is>
          <t>Paul Mills</t>
        </is>
      </c>
      <c r="F3275" t="inlineStr">
        <is>
          <t>To attend Re$earch Money Conference and meetings with senior government officials</t>
        </is>
      </c>
      <c r="G3275" t="inlineStr">
        <is>
          <t>Assister à la conférence de Re$earch Money et à des réunions avec des hauts fonctionnaires</t>
        </is>
      </c>
      <c r="H3275" s="1" t="n">
        <v>41751</v>
      </c>
      <c r="I3275" s="1" t="n">
        <v>41754</v>
      </c>
      <c r="J3275" t="inlineStr">
        <is>
          <t>Ottawa, Ontario and Moncton, New Brunswick</t>
        </is>
      </c>
      <c r="K3275" t="inlineStr">
        <is>
          <t>Ottawa (Ontario) et Moncton (Nouveau-Brunswick)</t>
        </is>
      </c>
      <c r="P3275" t="n">
        <v>2065.2</v>
      </c>
      <c r="Q3275" t="n">
        <v>304.27</v>
      </c>
      <c r="R3275" t="n">
        <v>426.41</v>
      </c>
      <c r="S3275" t="n">
        <v>318.6</v>
      </c>
      <c r="T3275" t="n">
        <v>10.54</v>
      </c>
      <c r="U3275" t="n">
        <v>3125.02</v>
      </c>
      <c r="X3275" t="inlineStr">
        <is>
          <t>acoa-apeca</t>
        </is>
      </c>
      <c r="Y3275" t="inlineStr">
        <is>
          <t>Atlantic Canada Opportunities Agency | Agence de promotion économique du Canada atlantique</t>
        </is>
      </c>
      <c r="Z3275" t="n">
        <v>4</v>
      </c>
      <c r="AA3275" t="n">
        <v>3125.01999999999</v>
      </c>
      <c r="AB3275">
        <f>ROUND(U3275-AA3275,2)</f>
        <v/>
      </c>
      <c r="AC3275" t="b">
        <v>0</v>
      </c>
      <c r="AD3275">
        <f>IF(U3275="","MISSING_TOTAL",IF(ABS(AB3275)&lt;=0.01,"OK","CHECK"))</f>
        <v/>
      </c>
      <c r="AE3275">
        <f>IF(U3275="","MISSING",IF(AND(AA3275&gt;0,U3275/AA3275&gt;50),"POSSIBLE_SCALE_ERROR","OK"))</f>
        <v/>
      </c>
    </row>
    <row r="3276">
      <c r="A3276" t="inlineStr">
        <is>
          <t>T-2015-Q1-00028</t>
        </is>
      </c>
      <c r="B3276" t="inlineStr">
        <is>
          <t>SLE</t>
        </is>
      </c>
      <c r="C3276" t="inlineStr">
        <is>
          <t>Vice-President, Prince Edward Island</t>
        </is>
      </c>
      <c r="D3276" t="inlineStr">
        <is>
          <t>Vice-président, Île-du-Prince-Édouard</t>
        </is>
      </c>
      <c r="E3276" t="inlineStr">
        <is>
          <t>Patrick Dorsey</t>
        </is>
      </c>
      <c r="F3276" t="inlineStr">
        <is>
          <t>Meetings with ECBC officials and Tourism Industry Meetings in Sydney, NS</t>
        </is>
      </c>
      <c r="G3276" t="inlineStr">
        <is>
          <t>Réunions avec des fonctionnaires de la SECB et avec des représentants de l'industrie du tourisme à Sydney (Nouvelle-Écosse)</t>
        </is>
      </c>
      <c r="H3276" s="1" t="n">
        <v>41751</v>
      </c>
      <c r="I3276" s="1" t="n">
        <v>41753</v>
      </c>
      <c r="J3276" t="inlineStr">
        <is>
          <t>Sydney, Nova Scotia</t>
        </is>
      </c>
      <c r="K3276" t="inlineStr">
        <is>
          <t>Sydney (Nouvelle-Écosse)</t>
        </is>
      </c>
      <c r="P3276" t="n">
        <v>0</v>
      </c>
      <c r="Q3276" t="n">
        <v>45</v>
      </c>
      <c r="R3276" t="n">
        <v>238.12</v>
      </c>
      <c r="S3276" t="n">
        <v>199.2</v>
      </c>
      <c r="T3276" t="n">
        <v>0</v>
      </c>
      <c r="U3276" t="n">
        <v>482.32</v>
      </c>
      <c r="X3276" t="inlineStr">
        <is>
          <t>acoa-apeca</t>
        </is>
      </c>
      <c r="Y3276" t="inlineStr">
        <is>
          <t>Atlantic Canada Opportunities Agency | Agence de promotion économique du Canada atlantique</t>
        </is>
      </c>
      <c r="Z3276" t="n">
        <v>3</v>
      </c>
      <c r="AA3276" t="n">
        <v>482.32</v>
      </c>
      <c r="AB3276">
        <f>ROUND(U3276-AA3276,2)</f>
        <v/>
      </c>
      <c r="AC3276" t="b">
        <v>0</v>
      </c>
      <c r="AD3276">
        <f>IF(U3276="","MISSING_TOTAL",IF(ABS(AB3276)&lt;=0.01,"OK","CHECK"))</f>
        <v/>
      </c>
      <c r="AE3276">
        <f>IF(U3276="","MISSING",IF(AND(AA3276&gt;0,U3276/AA3276&gt;50),"POSSIBLE_SCALE_ERROR","OK"))</f>
        <v/>
      </c>
    </row>
    <row r="3277">
      <c r="A3277" t="inlineStr">
        <is>
          <t>T-2015-Q1-00027</t>
        </is>
      </c>
      <c r="B3277" t="inlineStr">
        <is>
          <t>SLE</t>
        </is>
      </c>
      <c r="C3277" t="inlineStr">
        <is>
          <t>President</t>
        </is>
      </c>
      <c r="D3277" t="inlineStr">
        <is>
          <t>Président</t>
        </is>
      </c>
      <c r="E3277" t="inlineStr">
        <is>
          <t>Paul J. LeBlanc</t>
        </is>
      </c>
      <c r="F3277" t="inlineStr">
        <is>
          <t>Various meetings and discussions with Agency officials</t>
        </is>
      </c>
      <c r="G3277" t="inlineStr">
        <is>
          <t>Diverses réunions et discussions avec des fonctionnaires de l'Agence</t>
        </is>
      </c>
      <c r="H3277" s="1" t="n">
        <v>41751</v>
      </c>
      <c r="I3277" s="1" t="n">
        <v>41752</v>
      </c>
      <c r="J3277" t="inlineStr">
        <is>
          <t>Ottawa, Ontario</t>
        </is>
      </c>
      <c r="K3277" t="inlineStr">
        <is>
          <t>Ottawa (Ontario)</t>
        </is>
      </c>
      <c r="P3277" t="n">
        <v>1329.38</v>
      </c>
      <c r="Q3277" t="n">
        <v>0</v>
      </c>
      <c r="R3277" t="n">
        <v>182.73</v>
      </c>
      <c r="S3277" t="n">
        <v>123.5</v>
      </c>
      <c r="T3277" t="n">
        <v>0</v>
      </c>
      <c r="U3277" t="n">
        <v>1635.61</v>
      </c>
      <c r="X3277" t="inlineStr">
        <is>
          <t>acoa-apeca</t>
        </is>
      </c>
      <c r="Y3277" t="inlineStr">
        <is>
          <t>Atlantic Canada Opportunities Agency | Agence de promotion économique du Canada atlantique</t>
        </is>
      </c>
      <c r="Z3277" t="n">
        <v>2</v>
      </c>
      <c r="AA3277" t="n">
        <v>1635.61</v>
      </c>
      <c r="AB3277">
        <f>ROUND(U3277-AA3277,2)</f>
        <v/>
      </c>
      <c r="AC3277" t="b">
        <v>0</v>
      </c>
      <c r="AD3277">
        <f>IF(U3277="","MISSING_TOTAL",IF(ABS(AB3277)&lt;=0.01,"OK","CHECK"))</f>
        <v/>
      </c>
      <c r="AE3277">
        <f>IF(U3277="","MISSING",IF(AND(AA3277&gt;0,U3277/AA3277&gt;50),"POSSIBLE_SCALE_ERROR","OK"))</f>
        <v/>
      </c>
    </row>
    <row r="3278">
      <c r="A3278" t="inlineStr">
        <is>
          <t>T-2015-Q1-00026</t>
        </is>
      </c>
      <c r="B3278" t="inlineStr">
        <is>
          <t>SLE</t>
        </is>
      </c>
      <c r="C3278" t="inlineStr">
        <is>
          <t>Vice-President, New Brunswick</t>
        </is>
      </c>
      <c r="D3278" t="inlineStr">
        <is>
          <t>Vice-président, Nouveau-Brunswick</t>
        </is>
      </c>
      <c r="E3278" t="inlineStr">
        <is>
          <t>Kent Estabrooks</t>
        </is>
      </c>
      <c r="F3278" t="inlineStr">
        <is>
          <t>Meetings with External Stakeholders and Government of New Brunswick Officials</t>
        </is>
      </c>
      <c r="G3278" t="inlineStr">
        <is>
          <t>Réunions avec des intervenants externes et des fonctionnaires du gouvernement du Nouveau-Brunswick</t>
        </is>
      </c>
      <c r="H3278" s="1" t="n">
        <v>41750</v>
      </c>
      <c r="I3278" s="1" t="n">
        <v>41751</v>
      </c>
      <c r="J3278" t="inlineStr">
        <is>
          <t>Saint John, New Brusnwick</t>
        </is>
      </c>
      <c r="K3278" t="inlineStr">
        <is>
          <t>Saint John (Nouveau-Brunswick)</t>
        </is>
      </c>
      <c r="P3278" t="n">
        <v>0</v>
      </c>
      <c r="Q3278" t="n">
        <v>0</v>
      </c>
      <c r="R3278" t="n">
        <v>144.81</v>
      </c>
      <c r="S3278" t="n">
        <v>92.3</v>
      </c>
      <c r="T3278" t="n">
        <v>1.75</v>
      </c>
      <c r="U3278" t="n">
        <v>238.86</v>
      </c>
      <c r="X3278" t="inlineStr">
        <is>
          <t>acoa-apeca</t>
        </is>
      </c>
      <c r="Y3278" t="inlineStr">
        <is>
          <t>Atlantic Canada Opportunities Agency | Agence de promotion économique du Canada atlantique</t>
        </is>
      </c>
      <c r="Z3278" t="n">
        <v>2</v>
      </c>
      <c r="AA3278" t="n">
        <v>238.86</v>
      </c>
      <c r="AB3278">
        <f>ROUND(U3278-AA3278,2)</f>
        <v/>
      </c>
      <c r="AC3278" t="b">
        <v>0</v>
      </c>
      <c r="AD3278">
        <f>IF(U3278="","MISSING_TOTAL",IF(ABS(AB3278)&lt;=0.01,"OK","CHECK"))</f>
        <v/>
      </c>
      <c r="AE3278">
        <f>IF(U3278="","MISSING",IF(AND(AA3278&gt;0,U3278/AA3278&gt;50),"POSSIBLE_SCALE_ERROR","OK"))</f>
        <v/>
      </c>
    </row>
    <row r="3279">
      <c r="A3279" t="inlineStr">
        <is>
          <t>T-2015-Q1-00025</t>
        </is>
      </c>
      <c r="B3279" t="inlineStr">
        <is>
          <t>MPSES</t>
        </is>
      </c>
      <c r="C3279" t="inlineStr">
        <is>
          <t>Minister of State</t>
        </is>
      </c>
      <c r="D3279" t="inlineStr">
        <is>
          <t>Ministre d'État</t>
        </is>
      </c>
      <c r="E3279" t="inlineStr">
        <is>
          <t>Rob Moore</t>
        </is>
      </c>
      <c r="F3279" t="inlineStr">
        <is>
          <t>Travel to attend two Government of Canada announcements</t>
        </is>
      </c>
      <c r="G3279" t="inlineStr">
        <is>
          <t>Voyage pour assister à deux annonces du gouvernement du Canada</t>
        </is>
      </c>
      <c r="H3279" s="1" t="n">
        <v>41743</v>
      </c>
      <c r="I3279" s="1" t="n">
        <v>41743</v>
      </c>
      <c r="J3279" t="inlineStr">
        <is>
          <t>Cape Breton, Nova Scotia</t>
        </is>
      </c>
      <c r="K3279" t="inlineStr">
        <is>
          <t>Cap-Breton (Nouvelle-Écosse)</t>
        </is>
      </c>
      <c r="P3279" t="n">
        <v>899.67</v>
      </c>
      <c r="Q3279" t="n">
        <v>21.21</v>
      </c>
      <c r="R3279" t="n">
        <v>0</v>
      </c>
      <c r="S3279" t="n">
        <v>73.65000000000001</v>
      </c>
      <c r="T3279" t="n">
        <v>0</v>
      </c>
      <c r="U3279" t="n">
        <v>994.53</v>
      </c>
      <c r="X3279" t="inlineStr">
        <is>
          <t>acoa-apeca</t>
        </is>
      </c>
      <c r="Y3279" t="inlineStr">
        <is>
          <t>Atlantic Canada Opportunities Agency | Agence de promotion économique du Canada atlantique</t>
        </is>
      </c>
      <c r="Z3279" t="n">
        <v>1</v>
      </c>
      <c r="AA3279" t="n">
        <v>994.53</v>
      </c>
      <c r="AB3279">
        <f>ROUND(U3279-AA3279,2)</f>
        <v/>
      </c>
      <c r="AC3279" t="b">
        <v>0</v>
      </c>
      <c r="AD3279">
        <f>IF(U3279="","MISSING_TOTAL",IF(ABS(AB3279)&lt;=0.01,"OK","CHECK"))</f>
        <v/>
      </c>
      <c r="AE3279">
        <f>IF(U3279="","MISSING",IF(AND(AA3279&gt;0,U3279/AA3279&gt;50),"POSSIBLE_SCALE_ERROR","OK"))</f>
        <v/>
      </c>
    </row>
    <row r="3280">
      <c r="A3280" t="inlineStr">
        <is>
          <t>T-2015-Q1-00023</t>
        </is>
      </c>
      <c r="B3280" t="inlineStr">
        <is>
          <t>MPSES</t>
        </is>
      </c>
      <c r="C3280" t="inlineStr">
        <is>
          <t>Executive Assistant</t>
        </is>
      </c>
      <c r="D3280" t="inlineStr">
        <is>
          <t>Adjoint exécutif</t>
        </is>
      </c>
      <c r="E3280" t="inlineStr">
        <is>
          <t>Josh Hardy</t>
        </is>
      </c>
      <c r="F3280" t="inlineStr">
        <is>
          <t>Travel on Government business</t>
        </is>
      </c>
      <c r="G3280" t="inlineStr">
        <is>
          <t>Voyage pour le compte du gouvernement</t>
        </is>
      </c>
      <c r="H3280" s="1" t="n">
        <v>41740</v>
      </c>
      <c r="I3280" s="1" t="n">
        <v>41751</v>
      </c>
      <c r="J3280" t="inlineStr">
        <is>
          <t>Moncton and Saint John, New Brunswick and Sydney, Nova Scotia</t>
        </is>
      </c>
      <c r="K3280" t="inlineStr">
        <is>
          <t>Moncton et Saint John (Nouveau-Brunswick); Sydney (Nouvelle-Écosse)</t>
        </is>
      </c>
      <c r="P3280" t="n">
        <v>1281.64</v>
      </c>
      <c r="Q3280" t="n">
        <v>703.5599999999999</v>
      </c>
      <c r="R3280" t="n">
        <v>0</v>
      </c>
      <c r="S3280" t="n">
        <v>73.65000000000001</v>
      </c>
      <c r="T3280" t="n">
        <v>0</v>
      </c>
      <c r="U3280" t="n">
        <v>2058.85</v>
      </c>
      <c r="X3280" t="inlineStr">
        <is>
          <t>acoa-apeca</t>
        </is>
      </c>
      <c r="Y3280" t="inlineStr">
        <is>
          <t>Atlantic Canada Opportunities Agency | Agence de promotion économique du Canada atlantique</t>
        </is>
      </c>
      <c r="Z3280" t="n">
        <v>12</v>
      </c>
      <c r="AA3280" t="n">
        <v>2058.85</v>
      </c>
      <c r="AB3280">
        <f>ROUND(U3280-AA3280,2)</f>
        <v/>
      </c>
      <c r="AC3280" t="b">
        <v>0</v>
      </c>
      <c r="AD3280">
        <f>IF(U3280="","MISSING_TOTAL",IF(ABS(AB3280)&lt;=0.01,"OK","CHECK"))</f>
        <v/>
      </c>
      <c r="AE3280">
        <f>IF(U3280="","MISSING",IF(AND(AA3280&gt;0,U3280/AA3280&gt;50),"POSSIBLE_SCALE_ERROR","OK"))</f>
        <v/>
      </c>
    </row>
    <row r="3281">
      <c r="A3281" t="inlineStr">
        <is>
          <t>T-2015-Q1-00015</t>
        </is>
      </c>
      <c r="B3281" t="inlineStr">
        <is>
          <t>SLE</t>
        </is>
      </c>
      <c r="C3281" t="inlineStr">
        <is>
          <t>President</t>
        </is>
      </c>
      <c r="D3281" t="inlineStr">
        <is>
          <t>Président</t>
        </is>
      </c>
      <c r="E3281" t="inlineStr">
        <is>
          <t>Paul J. LeBlanc</t>
        </is>
      </c>
      <c r="F3281" t="inlineStr">
        <is>
          <t>Various meetings and discussions with Agency officials; with Government of Canada officials</t>
        </is>
      </c>
      <c r="G3281" t="inlineStr">
        <is>
          <t>Diverses réunions et discussions avec des fonctionnaires de l'Agence et du gouvernement du Canada</t>
        </is>
      </c>
      <c r="H3281" s="1" t="n">
        <v>41723</v>
      </c>
      <c r="I3281" s="1" t="n">
        <v>41725</v>
      </c>
      <c r="J3281" t="inlineStr">
        <is>
          <t>Ottawa, Ontario</t>
        </is>
      </c>
      <c r="K3281" t="inlineStr">
        <is>
          <t>Ottawa (Ontario)</t>
        </is>
      </c>
      <c r="P3281" t="n">
        <v>741.74</v>
      </c>
      <c r="Q3281" t="n">
        <v>0</v>
      </c>
      <c r="R3281" t="n">
        <v>365.46</v>
      </c>
      <c r="S3281" t="n">
        <v>181.85</v>
      </c>
      <c r="T3281" t="n">
        <v>0</v>
      </c>
      <c r="U3281" t="n">
        <v>1289.05</v>
      </c>
      <c r="X3281" t="inlineStr">
        <is>
          <t>acoa-apeca</t>
        </is>
      </c>
      <c r="Y3281" t="inlineStr">
        <is>
          <t>Atlantic Canada Opportunities Agency | Agence de promotion économique du Canada atlantique</t>
        </is>
      </c>
      <c r="Z3281" t="n">
        <v>3</v>
      </c>
      <c r="AA3281" t="n">
        <v>1289.05</v>
      </c>
      <c r="AB3281">
        <f>ROUND(U3281-AA3281,2)</f>
        <v/>
      </c>
      <c r="AC3281" t="b">
        <v>0</v>
      </c>
      <c r="AD3281">
        <f>IF(U3281="","MISSING_TOTAL",IF(ABS(AB3281)&lt;=0.01,"OK","CHECK"))</f>
        <v/>
      </c>
      <c r="AE3281">
        <f>IF(U3281="","MISSING",IF(AND(AA3281&gt;0,U3281/AA3281&gt;50),"POSSIBLE_SCALE_ERROR","OK"))</f>
        <v/>
      </c>
    </row>
    <row r="3282">
      <c r="A3282" t="inlineStr">
        <is>
          <t>T-2015-Q1-00022</t>
        </is>
      </c>
      <c r="B3282" t="inlineStr">
        <is>
          <t>SLE</t>
        </is>
      </c>
      <c r="C3282" t="inlineStr">
        <is>
          <t>Vice-President, Policy and Programs</t>
        </is>
      </c>
      <c r="D3282" t="inlineStr">
        <is>
          <t>Vice-président, Politiques et Programmes</t>
        </is>
      </c>
      <c r="E3282" t="inlineStr">
        <is>
          <t>Daryell Nowlan</t>
        </is>
      </c>
      <c r="F3282" t="inlineStr">
        <is>
          <t>Meetings with Government of Canada officials</t>
        </is>
      </c>
      <c r="G3282" t="inlineStr">
        <is>
          <t>Réunions avec des fonctionnaires du gouvernement du Canada</t>
        </is>
      </c>
      <c r="H3282" s="1" t="n">
        <v>41737</v>
      </c>
      <c r="I3282" s="1" t="n">
        <v>41740</v>
      </c>
      <c r="J3282" t="inlineStr">
        <is>
          <t>Ottawa, Ontario and Fredericton, New Brunswick</t>
        </is>
      </c>
      <c r="K3282" t="inlineStr">
        <is>
          <t>Ottawa (Ontario) et Fredericton (Nouveau-Brunswick)</t>
        </is>
      </c>
      <c r="P3282" t="n">
        <v>892.7</v>
      </c>
      <c r="Q3282" t="n">
        <v>271.44</v>
      </c>
      <c r="R3282" t="n">
        <v>518.01</v>
      </c>
      <c r="S3282" t="n">
        <v>257.55</v>
      </c>
      <c r="T3282" t="n">
        <v>0</v>
      </c>
      <c r="U3282" t="n">
        <v>1939.7</v>
      </c>
      <c r="X3282" t="inlineStr">
        <is>
          <t>acoa-apeca</t>
        </is>
      </c>
      <c r="Y3282" t="inlineStr">
        <is>
          <t>Atlantic Canada Opportunities Agency | Agence de promotion économique du Canada atlantique</t>
        </is>
      </c>
      <c r="Z3282" t="n">
        <v>4</v>
      </c>
      <c r="AA3282" t="n">
        <v>1939.7</v>
      </c>
      <c r="AB3282">
        <f>ROUND(U3282-AA3282,2)</f>
        <v/>
      </c>
      <c r="AC3282" t="b">
        <v>0</v>
      </c>
      <c r="AD3282">
        <f>IF(U3282="","MISSING_TOTAL",IF(ABS(AB3282)&lt;=0.01,"OK","CHECK"))</f>
        <v/>
      </c>
      <c r="AE3282">
        <f>IF(U3282="","MISSING",IF(AND(AA3282&gt;0,U3282/AA3282&gt;50),"POSSIBLE_SCALE_ERROR","OK"))</f>
        <v/>
      </c>
    </row>
    <row r="3283">
      <c r="A3283" t="inlineStr">
        <is>
          <t>T-2015-Q1-00021</t>
        </is>
      </c>
      <c r="B3283" t="inlineStr">
        <is>
          <t>SLE</t>
        </is>
      </c>
      <c r="C3283" t="inlineStr">
        <is>
          <t>Vice-President, Finance and Corporate Services</t>
        </is>
      </c>
      <c r="D3283" t="inlineStr">
        <is>
          <t>Vice-présidente, Finances et Services corporatifs</t>
        </is>
      </c>
      <c r="E3283" t="inlineStr">
        <is>
          <t>Denise Frenette</t>
        </is>
      </c>
      <c r="F3283" t="inlineStr">
        <is>
          <t>Meeting with Government of Canada Officials</t>
        </is>
      </c>
      <c r="G3283" t="inlineStr">
        <is>
          <t>Réunion avec des fonctionnaires du gouvernement du Canada</t>
        </is>
      </c>
      <c r="H3283" s="1" t="n">
        <v>41736</v>
      </c>
      <c r="I3283" s="1" t="n">
        <v>41736</v>
      </c>
      <c r="J3283" t="inlineStr">
        <is>
          <t>Halifax, Nova Scotia</t>
        </is>
      </c>
      <c r="K3283" t="inlineStr">
        <is>
          <t>Halifax (Nouvelle-Écosse)</t>
        </is>
      </c>
      <c r="P3283" t="n">
        <v>0</v>
      </c>
      <c r="Q3283" t="n">
        <v>91.7</v>
      </c>
      <c r="R3283" t="n">
        <v>0</v>
      </c>
      <c r="S3283" t="n">
        <v>0</v>
      </c>
      <c r="T3283" t="n">
        <v>0</v>
      </c>
      <c r="U3283" t="n">
        <v>91.7</v>
      </c>
      <c r="X3283" t="inlineStr">
        <is>
          <t>acoa-apeca</t>
        </is>
      </c>
      <c r="Y3283" t="inlineStr">
        <is>
          <t>Atlantic Canada Opportunities Agency | Agence de promotion économique du Canada atlantique</t>
        </is>
      </c>
      <c r="Z3283" t="n">
        <v>1</v>
      </c>
      <c r="AA3283" t="n">
        <v>91.7</v>
      </c>
      <c r="AB3283">
        <f>ROUND(U3283-AA3283,2)</f>
        <v/>
      </c>
      <c r="AC3283" t="b">
        <v>0</v>
      </c>
      <c r="AD3283">
        <f>IF(U3283="","MISSING_TOTAL",IF(ABS(AB3283)&lt;=0.01,"OK","CHECK"))</f>
        <v/>
      </c>
      <c r="AE3283">
        <f>IF(U3283="","MISSING",IF(AND(AA3283&gt;0,U3283/AA3283&gt;50),"POSSIBLE_SCALE_ERROR","OK"))</f>
        <v/>
      </c>
    </row>
    <row r="3284">
      <c r="A3284" t="inlineStr">
        <is>
          <t>T-2015-Q1-00020</t>
        </is>
      </c>
      <c r="B3284" t="inlineStr">
        <is>
          <t>SLE</t>
        </is>
      </c>
      <c r="C3284" t="inlineStr">
        <is>
          <t>President</t>
        </is>
      </c>
      <c r="D3284" t="inlineStr">
        <is>
          <t>Président</t>
        </is>
      </c>
      <c r="E3284" t="inlineStr">
        <is>
          <t>Paul J. LeBlanc</t>
        </is>
      </c>
      <c r="F3284" t="inlineStr">
        <is>
          <t>Attendance at meetings and sessions of various committees of the Organization for Economic Co-operation and Development (OECD)</t>
        </is>
      </c>
      <c r="G3284" t="inlineStr">
        <is>
          <t>Assister à des réunions et à des séances de divers comités de l'Organisation de coopération et de développement économiques</t>
        </is>
      </c>
      <c r="H3284" s="1" t="n">
        <v>41733</v>
      </c>
      <c r="I3284" s="1" t="n">
        <v>41741</v>
      </c>
      <c r="J3284" t="inlineStr">
        <is>
          <t>Paris, France</t>
        </is>
      </c>
      <c r="K3284" t="inlineStr">
        <is>
          <t>Paris, France</t>
        </is>
      </c>
      <c r="P3284" t="n">
        <v>7746.66</v>
      </c>
      <c r="Q3284" t="n">
        <v>196.64</v>
      </c>
      <c r="R3284" t="n">
        <v>1782.14</v>
      </c>
      <c r="S3284" t="n">
        <v>1325.6</v>
      </c>
      <c r="T3284" t="n">
        <v>61.5</v>
      </c>
      <c r="U3284" t="n">
        <v>11112.54</v>
      </c>
      <c r="X3284" t="inlineStr">
        <is>
          <t>acoa-apeca</t>
        </is>
      </c>
      <c r="Y3284" t="inlineStr">
        <is>
          <t>Atlantic Canada Opportunities Agency | Agence de promotion économique du Canada atlantique</t>
        </is>
      </c>
      <c r="Z3284" t="n">
        <v>9</v>
      </c>
      <c r="AA3284" t="n">
        <v>11112.54</v>
      </c>
      <c r="AB3284">
        <f>ROUND(U3284-AA3284,2)</f>
        <v/>
      </c>
      <c r="AC3284" t="b">
        <v>0</v>
      </c>
      <c r="AD3284">
        <f>IF(U3284="","MISSING_TOTAL",IF(ABS(AB3284)&lt;=0.01,"OK","CHECK"))</f>
        <v/>
      </c>
      <c r="AE3284">
        <f>IF(U3284="","MISSING",IF(AND(AA3284&gt;0,U3284/AA3284&gt;50),"POSSIBLE_SCALE_ERROR","OK"))</f>
        <v/>
      </c>
    </row>
    <row r="3285">
      <c r="A3285" t="inlineStr">
        <is>
          <t>T-2015-Q1-00019</t>
        </is>
      </c>
      <c r="B3285" t="inlineStr">
        <is>
          <t>SLE</t>
        </is>
      </c>
      <c r="C3285" t="inlineStr">
        <is>
          <t>Vice-President, New Brunswick</t>
        </is>
      </c>
      <c r="D3285" t="inlineStr">
        <is>
          <t>Vice-président, Nouveau-Brunswick</t>
        </is>
      </c>
      <c r="E3285" t="inlineStr">
        <is>
          <t>Kent Estabrooks</t>
        </is>
      </c>
      <c r="F3285" t="inlineStr">
        <is>
          <t>Various meetings with Agency Officials and External Stakeholders</t>
        </is>
      </c>
      <c r="G3285" t="inlineStr">
        <is>
          <t>Diverses réunions avec des fonctionnaires de l'Agence et des intervenants externes</t>
        </is>
      </c>
      <c r="H3285" s="1" t="n">
        <v>41732</v>
      </c>
      <c r="I3285" s="1" t="n">
        <v>41733</v>
      </c>
      <c r="J3285" t="inlineStr">
        <is>
          <t>Moncton, New Brunswick</t>
        </is>
      </c>
      <c r="K3285" t="inlineStr">
        <is>
          <t>Moncton (Nouveau-Brunswick)</t>
        </is>
      </c>
      <c r="P3285" t="n">
        <v>0</v>
      </c>
      <c r="Q3285" t="n">
        <v>0</v>
      </c>
      <c r="R3285" t="n">
        <v>123.17</v>
      </c>
      <c r="S3285" t="n">
        <v>34.6</v>
      </c>
      <c r="T3285" t="n">
        <v>8.5</v>
      </c>
      <c r="U3285" t="n">
        <v>166.27</v>
      </c>
      <c r="X3285" t="inlineStr">
        <is>
          <t>acoa-apeca</t>
        </is>
      </c>
      <c r="Y3285" t="inlineStr">
        <is>
          <t>Atlantic Canada Opportunities Agency | Agence de promotion économique du Canada atlantique</t>
        </is>
      </c>
      <c r="Z3285" t="n">
        <v>2</v>
      </c>
      <c r="AA3285" t="n">
        <v>166.27</v>
      </c>
      <c r="AB3285">
        <f>ROUND(U3285-AA3285,2)</f>
        <v/>
      </c>
      <c r="AC3285" t="b">
        <v>0</v>
      </c>
      <c r="AD3285">
        <f>IF(U3285="","MISSING_TOTAL",IF(ABS(AB3285)&lt;=0.01,"OK","CHECK"))</f>
        <v/>
      </c>
      <c r="AE3285">
        <f>IF(U3285="","MISSING",IF(AND(AA3285&gt;0,U3285/AA3285&gt;50),"POSSIBLE_SCALE_ERROR","OK"))</f>
        <v/>
      </c>
    </row>
    <row r="3286">
      <c r="A3286" t="inlineStr">
        <is>
          <t>T-2015-Q1-00018</t>
        </is>
      </c>
      <c r="B3286" t="inlineStr">
        <is>
          <t>MPSES</t>
        </is>
      </c>
      <c r="C3286" t="inlineStr">
        <is>
          <t>Minister of State</t>
        </is>
      </c>
      <c r="D3286" t="inlineStr">
        <is>
          <t>Ministre d'État</t>
        </is>
      </c>
      <c r="E3286" t="inlineStr">
        <is>
          <t>Rob Moore</t>
        </is>
      </c>
      <c r="F3286" t="inlineStr">
        <is>
          <t>Travel to attend Sealers Memorial Ceremony and meetings with stakeholders</t>
        </is>
      </c>
      <c r="G3286" t="inlineStr">
        <is>
          <t>Voyage pour assister à une cérémonie commémorative pour les chasseurs de phoques et à des réunions avec des intervenants</t>
        </is>
      </c>
      <c r="H3286" s="1" t="n">
        <v>41728</v>
      </c>
      <c r="I3286" s="1" t="n">
        <v>41729</v>
      </c>
      <c r="J3286" t="inlineStr">
        <is>
          <t>St. John's, Newfoundland and Labrador</t>
        </is>
      </c>
      <c r="K3286" t="inlineStr">
        <is>
          <t>St. John's (Terre-Neuve-et-Labrador)</t>
        </is>
      </c>
      <c r="P3286" t="n">
        <v>1865.89</v>
      </c>
      <c r="Q3286" t="n">
        <v>20.79</v>
      </c>
      <c r="R3286" t="n">
        <v>156.78</v>
      </c>
      <c r="S3286" t="n">
        <v>132.15</v>
      </c>
      <c r="T3286" t="n">
        <v>0</v>
      </c>
      <c r="U3286" t="n">
        <v>2175.61</v>
      </c>
      <c r="X3286" t="inlineStr">
        <is>
          <t>acoa-apeca</t>
        </is>
      </c>
      <c r="Y3286" t="inlineStr">
        <is>
          <t>Atlantic Canada Opportunities Agency | Agence de promotion économique du Canada atlantique</t>
        </is>
      </c>
      <c r="Z3286" t="n">
        <v>2</v>
      </c>
      <c r="AA3286" t="n">
        <v>2175.61</v>
      </c>
      <c r="AB3286">
        <f>ROUND(U3286-AA3286,2)</f>
        <v/>
      </c>
      <c r="AC3286" t="b">
        <v>0</v>
      </c>
      <c r="AD3286">
        <f>IF(U3286="","MISSING_TOTAL",IF(ABS(AB3286)&lt;=0.01,"OK","CHECK"))</f>
        <v/>
      </c>
      <c r="AE3286">
        <f>IF(U3286="","MISSING",IF(AND(AA3286&gt;0,U3286/AA3286&gt;50),"POSSIBLE_SCALE_ERROR","OK"))</f>
        <v/>
      </c>
    </row>
    <row r="3287">
      <c r="A3287" t="inlineStr">
        <is>
          <t>T-2015-Q1-00017</t>
        </is>
      </c>
      <c r="B3287" t="inlineStr">
        <is>
          <t>SLE</t>
        </is>
      </c>
      <c r="C3287" t="inlineStr">
        <is>
          <t>Vice-President, New Brunswick</t>
        </is>
      </c>
      <c r="D3287" t="inlineStr">
        <is>
          <t>Vice-président, Nouveau-Brunswick</t>
        </is>
      </c>
      <c r="E3287" t="inlineStr">
        <is>
          <t>Kent Estabrooks</t>
        </is>
      </c>
      <c r="F3287" t="inlineStr">
        <is>
          <t>Various meetings with Agency Officials and Government of Canada Officials</t>
        </is>
      </c>
      <c r="G3287" t="inlineStr">
        <is>
          <t>Diverses réunions avec des fonctionnaires de l'Agence et du gouvernement du Canada</t>
        </is>
      </c>
      <c r="H3287" s="1" t="n">
        <v>41723</v>
      </c>
      <c r="I3287" s="1" t="n">
        <v>41725</v>
      </c>
      <c r="J3287" t="inlineStr">
        <is>
          <t>Ottawa, Ontario</t>
        </is>
      </c>
      <c r="K3287" t="inlineStr">
        <is>
          <t>Ottawa (Ontario)</t>
        </is>
      </c>
      <c r="P3287" t="n">
        <v>892.7</v>
      </c>
      <c r="Q3287" t="n">
        <v>106.4</v>
      </c>
      <c r="R3287" t="n">
        <v>365.46</v>
      </c>
      <c r="S3287" t="n">
        <v>208.1</v>
      </c>
      <c r="T3287" t="n">
        <v>0</v>
      </c>
      <c r="U3287" t="n">
        <v>1572.66</v>
      </c>
      <c r="X3287" t="inlineStr">
        <is>
          <t>acoa-apeca</t>
        </is>
      </c>
      <c r="Y3287" t="inlineStr">
        <is>
          <t>Atlantic Canada Opportunities Agency | Agence de promotion économique du Canada atlantique</t>
        </is>
      </c>
      <c r="Z3287" t="n">
        <v>3</v>
      </c>
      <c r="AA3287" t="n">
        <v>1572.65999999999</v>
      </c>
      <c r="AB3287">
        <f>ROUND(U3287-AA3287,2)</f>
        <v/>
      </c>
      <c r="AC3287" t="b">
        <v>0</v>
      </c>
      <c r="AD3287">
        <f>IF(U3287="","MISSING_TOTAL",IF(ABS(AB3287)&lt;=0.01,"OK","CHECK"))</f>
        <v/>
      </c>
      <c r="AE3287">
        <f>IF(U3287="","MISSING",IF(AND(AA3287&gt;0,U3287/AA3287&gt;50),"POSSIBLE_SCALE_ERROR","OK"))</f>
        <v/>
      </c>
    </row>
    <row r="3288">
      <c r="A3288" t="inlineStr">
        <is>
          <t>T-2015-Q1-00016</t>
        </is>
      </c>
      <c r="B3288" t="inlineStr">
        <is>
          <t>SLE</t>
        </is>
      </c>
      <c r="C3288" t="inlineStr">
        <is>
          <t>Vice-President, Prince Edward Island</t>
        </is>
      </c>
      <c r="D3288" t="inlineStr">
        <is>
          <t>Vice-président, Île-du-Prince-Édouard</t>
        </is>
      </c>
      <c r="E3288" t="inlineStr">
        <is>
          <t>Patrick Dorsey</t>
        </is>
      </c>
      <c r="F3288" t="inlineStr">
        <is>
          <t>To Attend Meetings with the Lobster Council of Canada</t>
        </is>
      </c>
      <c r="G3288" t="inlineStr">
        <is>
          <t>Assister à des réunions avec le Conseil canadien du homard</t>
        </is>
      </c>
      <c r="H3288" s="1" t="n">
        <v>41723</v>
      </c>
      <c r="I3288" s="1" t="n">
        <v>41726</v>
      </c>
      <c r="J3288" t="inlineStr">
        <is>
          <t>Halifax, Nova Scotia</t>
        </is>
      </c>
      <c r="K3288" t="inlineStr">
        <is>
          <t>Halifax (Nouvelle-Écosse)</t>
        </is>
      </c>
      <c r="P3288" t="n">
        <v>0</v>
      </c>
      <c r="Q3288" t="n">
        <v>131.62</v>
      </c>
      <c r="R3288" t="n">
        <v>415.23</v>
      </c>
      <c r="S3288" t="n">
        <v>242.45</v>
      </c>
      <c r="T3288" t="n">
        <v>0</v>
      </c>
      <c r="U3288" t="n">
        <v>789.3</v>
      </c>
      <c r="X3288" t="inlineStr">
        <is>
          <t>acoa-apeca</t>
        </is>
      </c>
      <c r="Y3288" t="inlineStr">
        <is>
          <t>Atlantic Canada Opportunities Agency | Agence de promotion économique du Canada atlantique</t>
        </is>
      </c>
      <c r="Z3288" t="n">
        <v>4</v>
      </c>
      <c r="AA3288" t="n">
        <v>789.3</v>
      </c>
      <c r="AB3288">
        <f>ROUND(U3288-AA3288,2)</f>
        <v/>
      </c>
      <c r="AC3288" t="b">
        <v>0</v>
      </c>
      <c r="AD3288">
        <f>IF(U3288="","MISSING_TOTAL",IF(ABS(AB3288)&lt;=0.01,"OK","CHECK"))</f>
        <v/>
      </c>
      <c r="AE3288">
        <f>IF(U3288="","MISSING",IF(AND(AA3288&gt;0,U3288/AA3288&gt;50),"POSSIBLE_SCALE_ERROR","OK"))</f>
        <v/>
      </c>
    </row>
    <row r="3289">
      <c r="A3289" t="inlineStr">
        <is>
          <t>T-2014-Q4-00033</t>
        </is>
      </c>
      <c r="B3289" t="inlineStr">
        <is>
          <t>SLE</t>
        </is>
      </c>
      <c r="C3289" t="inlineStr">
        <is>
          <t>Vice-President, Policy and Programs</t>
        </is>
      </c>
      <c r="D3289" t="inlineStr">
        <is>
          <t>Vice-président, Politiques et Programmes</t>
        </is>
      </c>
      <c r="E3289" t="inlineStr">
        <is>
          <t>Daryell Nowlan</t>
        </is>
      </c>
      <c r="F3289" t="inlineStr">
        <is>
          <t>Training</t>
        </is>
      </c>
      <c r="G3289" t="inlineStr">
        <is>
          <t>Formation</t>
        </is>
      </c>
      <c r="H3289" s="1" t="n">
        <v>41662</v>
      </c>
      <c r="I3289" s="1" t="n">
        <v>41669</v>
      </c>
      <c r="J3289" t="inlineStr">
        <is>
          <t>Washington, DC and Ottawa, Ontario</t>
        </is>
      </c>
      <c r="K3289" t="inlineStr">
        <is>
          <t>Washington, D.C.; Ottawa (Ontario)</t>
        </is>
      </c>
      <c r="P3289" t="n">
        <v>1334.91</v>
      </c>
      <c r="Q3289" t="n">
        <v>122.33</v>
      </c>
      <c r="R3289" t="n">
        <v>944.8</v>
      </c>
      <c r="S3289" t="n">
        <v>326.25</v>
      </c>
      <c r="T3289" t="n">
        <v>0</v>
      </c>
      <c r="U3289" t="n">
        <v>2728.29</v>
      </c>
      <c r="X3289" t="inlineStr">
        <is>
          <t>acoa-apeca</t>
        </is>
      </c>
      <c r="Y3289" t="inlineStr">
        <is>
          <t>Atlantic Canada Opportunities Agency | Agence de promotion économique du Canada atlantique</t>
        </is>
      </c>
      <c r="Z3289" t="n">
        <v>8</v>
      </c>
      <c r="AA3289" t="n">
        <v>2728.29</v>
      </c>
      <c r="AB3289">
        <f>ROUND(U3289-AA3289,2)</f>
        <v/>
      </c>
      <c r="AC3289" t="b">
        <v>0</v>
      </c>
      <c r="AD3289">
        <f>IF(U3289="","MISSING_TOTAL",IF(ABS(AB3289)&lt;=0.01,"OK","CHECK"))</f>
        <v/>
      </c>
      <c r="AE3289">
        <f>IF(U3289="","MISSING",IF(AND(AA3289&gt;0,U3289/AA3289&gt;50),"POSSIBLE_SCALE_ERROR","OK"))</f>
        <v/>
      </c>
    </row>
    <row r="3290">
      <c r="A3290" t="inlineStr">
        <is>
          <t>T-2015-Q1-00014</t>
        </is>
      </c>
      <c r="B3290" t="inlineStr">
        <is>
          <t>MPSES</t>
        </is>
      </c>
      <c r="C3290" t="inlineStr">
        <is>
          <t>Regional Affairs Director - New Brunswick</t>
        </is>
      </c>
      <c r="D3290" t="inlineStr">
        <is>
          <t>Directeur des affaires régionales - Nouveau-Brunswick</t>
        </is>
      </c>
      <c r="E3290" t="inlineStr">
        <is>
          <t>Douglas MacDonald</t>
        </is>
      </c>
      <c r="F3290" t="inlineStr">
        <is>
          <t>Travel on Government business</t>
        </is>
      </c>
      <c r="G3290" t="inlineStr">
        <is>
          <t>Voyage pour le compte du gouvernement</t>
        </is>
      </c>
      <c r="H3290" s="1" t="n">
        <v>41721</v>
      </c>
      <c r="I3290" s="1" t="n">
        <v>41723</v>
      </c>
      <c r="J3290" t="inlineStr">
        <is>
          <t>Ottawa, Ontario</t>
        </is>
      </c>
      <c r="K3290" t="inlineStr">
        <is>
          <t>Ottawa (Ontario)</t>
        </is>
      </c>
      <c r="P3290" t="n">
        <v>651.15</v>
      </c>
      <c r="Q3290" t="n">
        <v>106</v>
      </c>
      <c r="R3290" t="n">
        <v>365.46</v>
      </c>
      <c r="S3290" t="n">
        <v>222.3</v>
      </c>
      <c r="T3290" t="n">
        <v>0</v>
      </c>
      <c r="U3290" t="n">
        <v>1344.91</v>
      </c>
      <c r="X3290" t="inlineStr">
        <is>
          <t>acoa-apeca</t>
        </is>
      </c>
      <c r="Y3290" t="inlineStr">
        <is>
          <t>Atlantic Canada Opportunities Agency | Agence de promotion économique du Canada atlantique</t>
        </is>
      </c>
      <c r="Z3290" t="n">
        <v>3</v>
      </c>
      <c r="AA3290" t="n">
        <v>1344.90999999999</v>
      </c>
      <c r="AB3290">
        <f>ROUND(U3290-AA3290,2)</f>
        <v/>
      </c>
      <c r="AC3290" t="b">
        <v>0</v>
      </c>
      <c r="AD3290">
        <f>IF(U3290="","MISSING_TOTAL",IF(ABS(AB3290)&lt;=0.01,"OK","CHECK"))</f>
        <v/>
      </c>
      <c r="AE3290">
        <f>IF(U3290="","MISSING",IF(AND(AA3290&gt;0,U3290/AA3290&gt;50),"POSSIBLE_SCALE_ERROR","OK"))</f>
        <v/>
      </c>
    </row>
    <row r="3291">
      <c r="A3291" t="inlineStr">
        <is>
          <t>T-2015-Q1-00013</t>
        </is>
      </c>
      <c r="B3291" t="inlineStr">
        <is>
          <t>MPSES</t>
        </is>
      </c>
      <c r="C3291" t="inlineStr">
        <is>
          <t>Special Assistant (Policy &amp; Caucus Liaison)</t>
        </is>
      </c>
      <c r="D3291" t="inlineStr">
        <is>
          <t>Adjointe spéciale (politiques &amp; liaison avec le caucus)</t>
        </is>
      </c>
      <c r="E3291" t="inlineStr">
        <is>
          <t>Kelsie Corey</t>
        </is>
      </c>
      <c r="F3291" t="inlineStr">
        <is>
          <t>Travel on Government business</t>
        </is>
      </c>
      <c r="G3291" t="inlineStr">
        <is>
          <t>Voyage pour le compte du gouvernement</t>
        </is>
      </c>
      <c r="H3291" s="1" t="n">
        <v>41716</v>
      </c>
      <c r="I3291" s="1" t="n">
        <v>41718</v>
      </c>
      <c r="J3291" t="inlineStr">
        <is>
          <t>Halifax and Sydney, Nova Scotia</t>
        </is>
      </c>
      <c r="K3291" t="inlineStr">
        <is>
          <t>Halifax et Sydney (Nouvelle-Écosse)</t>
        </is>
      </c>
      <c r="P3291" t="n">
        <v>1560.51</v>
      </c>
      <c r="Q3291" t="n">
        <v>0</v>
      </c>
      <c r="R3291" t="n">
        <v>326.1</v>
      </c>
      <c r="S3291" t="n">
        <v>88.59999999999999</v>
      </c>
      <c r="T3291" t="n">
        <v>0</v>
      </c>
      <c r="U3291" t="n">
        <v>1975.21</v>
      </c>
      <c r="X3291" t="inlineStr">
        <is>
          <t>acoa-apeca</t>
        </is>
      </c>
      <c r="Y3291" t="inlineStr">
        <is>
          <t>Atlantic Canada Opportunities Agency | Agence de promotion économique du Canada atlantique</t>
        </is>
      </c>
      <c r="Z3291" t="n">
        <v>3</v>
      </c>
      <c r="AA3291" t="n">
        <v>1975.21</v>
      </c>
      <c r="AB3291">
        <f>ROUND(U3291-AA3291,2)</f>
        <v/>
      </c>
      <c r="AC3291" t="b">
        <v>0</v>
      </c>
      <c r="AD3291">
        <f>IF(U3291="","MISSING_TOTAL",IF(ABS(AB3291)&lt;=0.01,"OK","CHECK"))</f>
        <v/>
      </c>
      <c r="AE3291">
        <f>IF(U3291="","MISSING",IF(AND(AA3291&gt;0,U3291/AA3291&gt;50),"POSSIBLE_SCALE_ERROR","OK"))</f>
        <v/>
      </c>
    </row>
    <row r="3292">
      <c r="A3292" t="inlineStr">
        <is>
          <t>T-2015-Q1-00012</t>
        </is>
      </c>
      <c r="B3292" t="inlineStr">
        <is>
          <t>MPSES</t>
        </is>
      </c>
      <c r="C3292" t="inlineStr">
        <is>
          <t>Chief of Staff</t>
        </is>
      </c>
      <c r="D3292" t="inlineStr">
        <is>
          <t>Chef de cabinet</t>
        </is>
      </c>
      <c r="E3292" t="inlineStr">
        <is>
          <t>Shane Bourke</t>
        </is>
      </c>
      <c r="F3292" t="inlineStr">
        <is>
          <t>Travel on Government business</t>
        </is>
      </c>
      <c r="G3292" t="inlineStr">
        <is>
          <t>Voyage pour le compte du gouvernement</t>
        </is>
      </c>
      <c r="H3292" s="1" t="n">
        <v>41716</v>
      </c>
      <c r="I3292" s="1" t="n">
        <v>41718</v>
      </c>
      <c r="J3292" t="inlineStr">
        <is>
          <t>Halifax and Sydney, Nova Scotia</t>
        </is>
      </c>
      <c r="K3292" t="inlineStr">
        <is>
          <t>Halifax et Sydney (Nouvelle-Écosse)</t>
        </is>
      </c>
      <c r="P3292" t="n">
        <v>1560.51</v>
      </c>
      <c r="Q3292" t="n">
        <v>20</v>
      </c>
      <c r="R3292" t="n">
        <v>326.1</v>
      </c>
      <c r="S3292" t="n">
        <v>72.84999999999999</v>
      </c>
      <c r="T3292" t="n">
        <v>0</v>
      </c>
      <c r="U3292" t="n">
        <v>1979.46</v>
      </c>
      <c r="X3292" t="inlineStr">
        <is>
          <t>acoa-apeca</t>
        </is>
      </c>
      <c r="Y3292" t="inlineStr">
        <is>
          <t>Atlantic Canada Opportunities Agency | Agence de promotion économique du Canada atlantique</t>
        </is>
      </c>
      <c r="Z3292" t="n">
        <v>3</v>
      </c>
      <c r="AA3292" t="n">
        <v>1979.46</v>
      </c>
      <c r="AB3292">
        <f>ROUND(U3292-AA3292,2)</f>
        <v/>
      </c>
      <c r="AC3292" t="b">
        <v>0</v>
      </c>
      <c r="AD3292">
        <f>IF(U3292="","MISSING_TOTAL",IF(ABS(AB3292)&lt;=0.01,"OK","CHECK"))</f>
        <v/>
      </c>
      <c r="AE3292">
        <f>IF(U3292="","MISSING",IF(AND(AA3292&gt;0,U3292/AA3292&gt;50),"POSSIBLE_SCALE_ERROR","OK"))</f>
        <v/>
      </c>
    </row>
    <row r="3293">
      <c r="A3293" t="inlineStr">
        <is>
          <t>T-2015-Q1-00011</t>
        </is>
      </c>
      <c r="B3293" t="inlineStr">
        <is>
          <t>MPSES</t>
        </is>
      </c>
      <c r="C3293" t="inlineStr">
        <is>
          <t>Minister of State</t>
        </is>
      </c>
      <c r="D3293" t="inlineStr">
        <is>
          <t>Ministre d'État</t>
        </is>
      </c>
      <c r="E3293" t="inlineStr">
        <is>
          <t>Rob Moore</t>
        </is>
      </c>
      <c r="F3293" t="inlineStr">
        <is>
          <t>Travel to attend Enterprise Cape Breton Corporation announcement and meetings with stakeholders</t>
        </is>
      </c>
      <c r="G3293" t="inlineStr">
        <is>
          <t>Voyage pour assister à une annonce de la Société d'expansion du Cap-Breton et à des réunions avec des intervenants</t>
        </is>
      </c>
      <c r="H3293" s="1" t="n">
        <v>41716</v>
      </c>
      <c r="I3293" s="1" t="n">
        <v>41717</v>
      </c>
      <c r="J3293" t="inlineStr">
        <is>
          <t>Sydney, Nova Scotia</t>
        </is>
      </c>
      <c r="K3293" t="inlineStr">
        <is>
          <t>Sydney (Nouvelle-Écosse)</t>
        </is>
      </c>
      <c r="P3293" t="n">
        <v>1452.87</v>
      </c>
      <c r="Q3293" t="n">
        <v>20.79</v>
      </c>
      <c r="R3293" t="n">
        <v>163.05</v>
      </c>
      <c r="S3293" t="n">
        <v>132.15</v>
      </c>
      <c r="T3293" t="n">
        <v>0</v>
      </c>
      <c r="U3293" t="n">
        <v>1768.86</v>
      </c>
      <c r="X3293" t="inlineStr">
        <is>
          <t>acoa-apeca</t>
        </is>
      </c>
      <c r="Y3293" t="inlineStr">
        <is>
          <t>Atlantic Canada Opportunities Agency | Agence de promotion économique du Canada atlantique</t>
        </is>
      </c>
      <c r="Z3293" t="n">
        <v>2</v>
      </c>
      <c r="AA3293" t="n">
        <v>1768.86</v>
      </c>
      <c r="AB3293">
        <f>ROUND(U3293-AA3293,2)</f>
        <v/>
      </c>
      <c r="AC3293" t="b">
        <v>0</v>
      </c>
      <c r="AD3293">
        <f>IF(U3293="","MISSING_TOTAL",IF(ABS(AB3293)&lt;=0.01,"OK","CHECK"))</f>
        <v/>
      </c>
      <c r="AE3293">
        <f>IF(U3293="","MISSING",IF(AND(AA3293&gt;0,U3293/AA3293&gt;50),"POSSIBLE_SCALE_ERROR","OK"))</f>
        <v/>
      </c>
    </row>
    <row r="3294">
      <c r="A3294" t="inlineStr">
        <is>
          <t>T-2015-Q1-00010</t>
        </is>
      </c>
      <c r="B3294" t="inlineStr">
        <is>
          <t>SLE</t>
        </is>
      </c>
      <c r="C3294" t="inlineStr">
        <is>
          <t>President</t>
        </is>
      </c>
      <c r="D3294" t="inlineStr">
        <is>
          <t>Président</t>
        </is>
      </c>
      <c r="E3294" t="inlineStr">
        <is>
          <t>Paul J. LeBlanc</t>
        </is>
      </c>
      <c r="F3294" t="inlineStr">
        <is>
          <t>Various meetings and discussions with Agency officials; and with various stakeholders</t>
        </is>
      </c>
      <c r="G3294" t="inlineStr">
        <is>
          <t>Diverses réunions et discussions avec des fonctionnaires de l'Agence et divers intervenants</t>
        </is>
      </c>
      <c r="H3294" s="1" t="n">
        <v>41716</v>
      </c>
      <c r="I3294" s="1" t="n">
        <v>41719</v>
      </c>
      <c r="J3294" t="inlineStr">
        <is>
          <t>Sydney, Nova Scotia and St. John's, Newfoundland and Labrador</t>
        </is>
      </c>
      <c r="K3294" t="inlineStr">
        <is>
          <t>Sydney (Nouvelle-Écosse) et St. John's (Terre-Neuve-et-Labrador)</t>
        </is>
      </c>
      <c r="P3294" t="n">
        <v>2483.03</v>
      </c>
      <c r="Q3294" t="n">
        <v>311.23</v>
      </c>
      <c r="R3294" t="n">
        <v>521.17</v>
      </c>
      <c r="S3294" t="n">
        <v>272</v>
      </c>
      <c r="T3294" t="n">
        <v>82.5</v>
      </c>
      <c r="U3294" t="n">
        <v>3669.93</v>
      </c>
      <c r="X3294" t="inlineStr">
        <is>
          <t>acoa-apeca</t>
        </is>
      </c>
      <c r="Y3294" t="inlineStr">
        <is>
          <t>Atlantic Canada Opportunities Agency | Agence de promotion économique du Canada atlantique</t>
        </is>
      </c>
      <c r="Z3294" t="n">
        <v>4</v>
      </c>
      <c r="AA3294" t="n">
        <v>3669.93</v>
      </c>
      <c r="AB3294">
        <f>ROUND(U3294-AA3294,2)</f>
        <v/>
      </c>
      <c r="AC3294" t="b">
        <v>0</v>
      </c>
      <c r="AD3294">
        <f>IF(U3294="","MISSING_TOTAL",IF(ABS(AB3294)&lt;=0.01,"OK","CHECK"))</f>
        <v/>
      </c>
      <c r="AE3294">
        <f>IF(U3294="","MISSING",IF(AND(AA3294&gt;0,U3294/AA3294&gt;50),"POSSIBLE_SCALE_ERROR","OK"))</f>
        <v/>
      </c>
    </row>
    <row r="3295">
      <c r="A3295" t="inlineStr">
        <is>
          <t>T-2015-Q1-00009</t>
        </is>
      </c>
      <c r="B3295" t="inlineStr">
        <is>
          <t>SLE</t>
        </is>
      </c>
      <c r="C3295" t="inlineStr">
        <is>
          <t>Vice-President, Policy and Programs</t>
        </is>
      </c>
      <c r="D3295" t="inlineStr">
        <is>
          <t>Vice-président, Politiques et Programmes</t>
        </is>
      </c>
      <c r="E3295" t="inlineStr">
        <is>
          <t>Daryell Nowlan</t>
        </is>
      </c>
      <c r="F3295" t="inlineStr">
        <is>
          <t>Various meetings with Government of Canada officials</t>
        </is>
      </c>
      <c r="G3295" t="inlineStr">
        <is>
          <t>Diverses réunions avec des fonctionnaires du gouvernement du Canada</t>
        </is>
      </c>
      <c r="H3295" s="1" t="n">
        <v>41714</v>
      </c>
      <c r="I3295" s="1" t="n">
        <v>41716</v>
      </c>
      <c r="J3295" t="inlineStr">
        <is>
          <t>Ottawa, Ontario</t>
        </is>
      </c>
      <c r="K3295" t="inlineStr">
        <is>
          <t>Ottawa (Ontario)</t>
        </is>
      </c>
      <c r="P3295" t="n">
        <v>892.7</v>
      </c>
      <c r="Q3295" t="n">
        <v>103.91</v>
      </c>
      <c r="R3295" t="n">
        <v>365.46</v>
      </c>
      <c r="S3295" t="n">
        <v>239.6</v>
      </c>
      <c r="T3295" t="n">
        <v>0</v>
      </c>
      <c r="U3295" t="n">
        <v>1601.67</v>
      </c>
      <c r="X3295" t="inlineStr">
        <is>
          <t>acoa-apeca</t>
        </is>
      </c>
      <c r="Y3295" t="inlineStr">
        <is>
          <t>Atlantic Canada Opportunities Agency | Agence de promotion économique du Canada atlantique</t>
        </is>
      </c>
      <c r="Z3295" t="n">
        <v>3</v>
      </c>
      <c r="AA3295" t="n">
        <v>1601.66999999999</v>
      </c>
      <c r="AB3295">
        <f>ROUND(U3295-AA3295,2)</f>
        <v/>
      </c>
      <c r="AC3295" t="b">
        <v>0</v>
      </c>
      <c r="AD3295">
        <f>IF(U3295="","MISSING_TOTAL",IF(ABS(AB3295)&lt;=0.01,"OK","CHECK"))</f>
        <v/>
      </c>
      <c r="AE3295">
        <f>IF(U3295="","MISSING",IF(AND(AA3295&gt;0,U3295/AA3295&gt;50),"POSSIBLE_SCALE_ERROR","OK"))</f>
        <v/>
      </c>
    </row>
    <row r="3296">
      <c r="A3296" t="inlineStr">
        <is>
          <t>T-2015-Q1-00008</t>
        </is>
      </c>
      <c r="B3296" t="inlineStr">
        <is>
          <t>MPSES</t>
        </is>
      </c>
      <c r="C3296" t="inlineStr">
        <is>
          <t>Minister of State</t>
        </is>
      </c>
      <c r="D3296" t="inlineStr">
        <is>
          <t>Ministre d'État</t>
        </is>
      </c>
      <c r="E3296" t="inlineStr">
        <is>
          <t>Rob Moore</t>
        </is>
      </c>
      <c r="F3296" t="inlineStr">
        <is>
          <t>Travel to attend Government of Canada event</t>
        </is>
      </c>
      <c r="G3296" t="inlineStr">
        <is>
          <t>Voyage pour assister à un évènement du gouvernement du Canada</t>
        </is>
      </c>
      <c r="H3296" s="1" t="n">
        <v>41712</v>
      </c>
      <c r="I3296" s="1" t="n">
        <v>41712</v>
      </c>
      <c r="J3296" t="inlineStr">
        <is>
          <t>Saint John, New Brunswick</t>
        </is>
      </c>
      <c r="K3296" t="inlineStr">
        <is>
          <t>Saint John (Nouveau-Brunswick)</t>
        </is>
      </c>
      <c r="P3296" t="n">
        <v>0</v>
      </c>
      <c r="Q3296" t="n">
        <v>25.74</v>
      </c>
      <c r="R3296" t="n">
        <v>0</v>
      </c>
      <c r="S3296" t="n">
        <v>0</v>
      </c>
      <c r="T3296" t="n">
        <v>0</v>
      </c>
      <c r="U3296" t="n">
        <v>25.74</v>
      </c>
      <c r="X3296" t="inlineStr">
        <is>
          <t>acoa-apeca</t>
        </is>
      </c>
      <c r="Y3296" t="inlineStr">
        <is>
          <t>Atlantic Canada Opportunities Agency | Agence de promotion économique du Canada atlantique</t>
        </is>
      </c>
      <c r="Z3296" t="n">
        <v>1</v>
      </c>
      <c r="AA3296" t="n">
        <v>25.74</v>
      </c>
      <c r="AB3296">
        <f>ROUND(U3296-AA3296,2)</f>
        <v/>
      </c>
      <c r="AC3296" t="b">
        <v>0</v>
      </c>
      <c r="AD3296">
        <f>IF(U3296="","MISSING_TOTAL",IF(ABS(AB3296)&lt;=0.01,"OK","CHECK"))</f>
        <v/>
      </c>
      <c r="AE3296">
        <f>IF(U3296="","MISSING",IF(AND(AA3296&gt;0,U3296/AA3296&gt;50),"POSSIBLE_SCALE_ERROR","OK"))</f>
        <v/>
      </c>
    </row>
    <row r="3297">
      <c r="A3297" t="inlineStr">
        <is>
          <t>T-2015-Q1-00007</t>
        </is>
      </c>
      <c r="B3297" t="inlineStr">
        <is>
          <t>SLE</t>
        </is>
      </c>
      <c r="C3297" t="inlineStr">
        <is>
          <t>Vice-President, Prince Edward Island</t>
        </is>
      </c>
      <c r="D3297" t="inlineStr">
        <is>
          <t>Vice-président, Île-du-Prince-Édouard</t>
        </is>
      </c>
      <c r="E3297" t="inlineStr">
        <is>
          <t>Patrick Dorsey</t>
        </is>
      </c>
      <c r="F3297" t="inlineStr">
        <is>
          <t>To Attend Seafood Expo North America</t>
        </is>
      </c>
      <c r="G3297" t="inlineStr">
        <is>
          <t>Assister à l'Expo des produits de la mer d'Amérique du Nord</t>
        </is>
      </c>
      <c r="H3297" s="1" t="n">
        <v>41712</v>
      </c>
      <c r="I3297" s="1" t="n">
        <v>41717</v>
      </c>
      <c r="J3297" t="inlineStr">
        <is>
          <t>Boston, Massachusetts</t>
        </is>
      </c>
      <c r="K3297" t="inlineStr">
        <is>
          <t>Boston, Massachusetts</t>
        </is>
      </c>
      <c r="P3297" t="n">
        <v>0</v>
      </c>
      <c r="Q3297" t="n">
        <v>417.58</v>
      </c>
      <c r="R3297" t="n">
        <v>1152.79</v>
      </c>
      <c r="S3297" t="n">
        <v>355.93</v>
      </c>
      <c r="T3297" t="n">
        <v>312.09</v>
      </c>
      <c r="U3297" t="n">
        <v>2238.39</v>
      </c>
      <c r="X3297" t="inlineStr">
        <is>
          <t>acoa-apeca</t>
        </is>
      </c>
      <c r="Y3297" t="inlineStr">
        <is>
          <t>Atlantic Canada Opportunities Agency | Agence de promotion économique du Canada atlantique</t>
        </is>
      </c>
      <c r="Z3297" t="n">
        <v>6</v>
      </c>
      <c r="AA3297" t="n">
        <v>2238.39</v>
      </c>
      <c r="AB3297">
        <f>ROUND(U3297-AA3297,2)</f>
        <v/>
      </c>
      <c r="AC3297" t="b">
        <v>0</v>
      </c>
      <c r="AD3297">
        <f>IF(U3297="","MISSING_TOTAL",IF(ABS(AB3297)&lt;=0.01,"OK","CHECK"))</f>
        <v/>
      </c>
      <c r="AE3297">
        <f>IF(U3297="","MISSING",IF(AND(AA3297&gt;0,U3297/AA3297&gt;50),"POSSIBLE_SCALE_ERROR","OK"))</f>
        <v/>
      </c>
    </row>
    <row r="3298">
      <c r="A3298" t="inlineStr">
        <is>
          <t>T-2015-Q1-00004</t>
        </is>
      </c>
      <c r="B3298" t="inlineStr">
        <is>
          <t>MPSES</t>
        </is>
      </c>
      <c r="C3298" t="inlineStr">
        <is>
          <t>Minister of State</t>
        </is>
      </c>
      <c r="D3298" t="inlineStr">
        <is>
          <t>Ministre d'État</t>
        </is>
      </c>
      <c r="E3298" t="inlineStr">
        <is>
          <t>Rob Moore</t>
        </is>
      </c>
      <c r="F3298" t="inlineStr">
        <is>
          <t>Travel to attend Government of Canada announcement and meeting with Premier Robert Ghiz</t>
        </is>
      </c>
      <c r="G3298" t="inlineStr">
        <is>
          <t>Voyage pour assister à une annonce du gouvernement du Canada et à une réunion avec le premier ministre Robert Ghiz</t>
        </is>
      </c>
      <c r="H3298" s="1" t="n">
        <v>41709</v>
      </c>
      <c r="I3298" s="1" t="n">
        <v>41709</v>
      </c>
      <c r="J3298" t="inlineStr">
        <is>
          <t>Charlottetown, Prince Edward Island</t>
        </is>
      </c>
      <c r="K3298" t="inlineStr">
        <is>
          <t>Charlottetown (Île-du-Prince-Édouard)</t>
        </is>
      </c>
      <c r="P3298" t="n">
        <v>0</v>
      </c>
      <c r="Q3298" t="n">
        <v>378.14</v>
      </c>
      <c r="R3298" t="n">
        <v>0</v>
      </c>
      <c r="S3298" t="n">
        <v>72.84999999999999</v>
      </c>
      <c r="T3298" t="n">
        <v>0</v>
      </c>
      <c r="U3298" t="n">
        <v>450.99</v>
      </c>
      <c r="X3298" t="inlineStr">
        <is>
          <t>acoa-apeca</t>
        </is>
      </c>
      <c r="Y3298" t="inlineStr">
        <is>
          <t>Atlantic Canada Opportunities Agency | Agence de promotion économique du Canada atlantique</t>
        </is>
      </c>
      <c r="Z3298" t="n">
        <v>1</v>
      </c>
      <c r="AA3298" t="n">
        <v>450.99</v>
      </c>
      <c r="AB3298">
        <f>ROUND(U3298-AA3298,2)</f>
        <v/>
      </c>
      <c r="AC3298" t="b">
        <v>0</v>
      </c>
      <c r="AD3298">
        <f>IF(U3298="","MISSING_TOTAL",IF(ABS(AB3298)&lt;=0.01,"OK","CHECK"))</f>
        <v/>
      </c>
      <c r="AE3298">
        <f>IF(U3298="","MISSING",IF(AND(AA3298&gt;0,U3298/AA3298&gt;50),"POSSIBLE_SCALE_ERROR","OK"))</f>
        <v/>
      </c>
    </row>
    <row r="3299">
      <c r="A3299" t="inlineStr">
        <is>
          <t>T-2015-Q1-00003</t>
        </is>
      </c>
      <c r="B3299" t="inlineStr">
        <is>
          <t>SLE</t>
        </is>
      </c>
      <c r="C3299" t="inlineStr">
        <is>
          <t>President</t>
        </is>
      </c>
      <c r="D3299" t="inlineStr">
        <is>
          <t>Président</t>
        </is>
      </c>
      <c r="E3299" t="inlineStr">
        <is>
          <t>Paul J. LeBlanc</t>
        </is>
      </c>
      <c r="F3299" t="inlineStr">
        <is>
          <t>Various meetings and session with the Organization for Economic Co-operation and Development (OECD)</t>
        </is>
      </c>
      <c r="G3299" t="inlineStr">
        <is>
          <t>Diverses réunions et séance avec l'Organisation de coopération et de développement économiques</t>
        </is>
      </c>
      <c r="H3299" s="1" t="n">
        <v>41708</v>
      </c>
      <c r="I3299" s="1" t="n">
        <v>41711</v>
      </c>
      <c r="J3299" t="inlineStr">
        <is>
          <t>Paris, France</t>
        </is>
      </c>
      <c r="K3299" t="inlineStr">
        <is>
          <t>Paris, France</t>
        </is>
      </c>
      <c r="P3299" t="n">
        <v>3710.93</v>
      </c>
      <c r="Q3299" t="n">
        <v>205.74</v>
      </c>
      <c r="R3299" t="n">
        <v>625.16</v>
      </c>
      <c r="S3299" t="n">
        <v>622.88</v>
      </c>
      <c r="T3299" t="n">
        <v>0</v>
      </c>
      <c r="U3299" t="n">
        <v>5164.71</v>
      </c>
      <c r="X3299" t="inlineStr">
        <is>
          <t>acoa-apeca</t>
        </is>
      </c>
      <c r="Y3299" t="inlineStr">
        <is>
          <t>Atlantic Canada Opportunities Agency | Agence de promotion économique du Canada atlantique</t>
        </is>
      </c>
      <c r="Z3299" t="n">
        <v>4</v>
      </c>
      <c r="AA3299" t="n">
        <v>5164.71</v>
      </c>
      <c r="AB3299">
        <f>ROUND(U3299-AA3299,2)</f>
        <v/>
      </c>
      <c r="AC3299" t="b">
        <v>0</v>
      </c>
      <c r="AD3299">
        <f>IF(U3299="","MISSING_TOTAL",IF(ABS(AB3299)&lt;=0.01,"OK","CHECK"))</f>
        <v/>
      </c>
      <c r="AE3299">
        <f>IF(U3299="","MISSING",IF(AND(AA3299&gt;0,U3299/AA3299&gt;50),"POSSIBLE_SCALE_ERROR","OK"))</f>
        <v/>
      </c>
    </row>
    <row r="3300">
      <c r="A3300" t="inlineStr">
        <is>
          <t>T-2015-Q1-00002</t>
        </is>
      </c>
      <c r="B3300" t="inlineStr">
        <is>
          <t>MPSES</t>
        </is>
      </c>
      <c r="C3300" t="inlineStr">
        <is>
          <t>Executive Assistant</t>
        </is>
      </c>
      <c r="D3300" t="inlineStr">
        <is>
          <t>Adjoint exécutif</t>
        </is>
      </c>
      <c r="E3300" t="inlineStr">
        <is>
          <t>Josh Hardy</t>
        </is>
      </c>
      <c r="F3300" t="inlineStr">
        <is>
          <t>Travel on Government business</t>
        </is>
      </c>
      <c r="G3300" t="inlineStr">
        <is>
          <t>Voyage pour le compte du gouvernement</t>
        </is>
      </c>
      <c r="H3300" s="1" t="n">
        <v>41705</v>
      </c>
      <c r="I3300" s="1" t="n">
        <v>41714</v>
      </c>
      <c r="J3300" t="inlineStr">
        <is>
          <t>Moncton, New Brunswick</t>
        </is>
      </c>
      <c r="K3300" t="inlineStr">
        <is>
          <t>Moncton (Nouveau-Brunswick)</t>
        </is>
      </c>
      <c r="P3300" t="n">
        <v>736.02</v>
      </c>
      <c r="Q3300" t="n">
        <v>48.87</v>
      </c>
      <c r="R3300" t="n">
        <v>0</v>
      </c>
      <c r="S3300" t="n">
        <v>57.1</v>
      </c>
      <c r="T3300" t="n">
        <v>0</v>
      </c>
      <c r="U3300" t="n">
        <v>841.99</v>
      </c>
      <c r="X3300" t="inlineStr">
        <is>
          <t>acoa-apeca</t>
        </is>
      </c>
      <c r="Y3300" t="inlineStr">
        <is>
          <t>Atlantic Canada Opportunities Agency | Agence de promotion économique du Canada atlantique</t>
        </is>
      </c>
      <c r="Z3300" t="n">
        <v>10</v>
      </c>
      <c r="AA3300" t="n">
        <v>841.99</v>
      </c>
      <c r="AB3300">
        <f>ROUND(U3300-AA3300,2)</f>
        <v/>
      </c>
      <c r="AC3300" t="b">
        <v>0</v>
      </c>
      <c r="AD3300">
        <f>IF(U3300="","MISSING_TOTAL",IF(ABS(AB3300)&lt;=0.01,"OK","CHECK"))</f>
        <v/>
      </c>
      <c r="AE3300">
        <f>IF(U3300="","MISSING",IF(AND(AA3300&gt;0,U3300/AA3300&gt;50),"POSSIBLE_SCALE_ERROR","OK"))</f>
        <v/>
      </c>
    </row>
    <row r="3301">
      <c r="A3301" t="inlineStr">
        <is>
          <t>T-2015-Q1-00001</t>
        </is>
      </c>
      <c r="B3301" t="inlineStr">
        <is>
          <t>SLE</t>
        </is>
      </c>
      <c r="C3301" t="inlineStr">
        <is>
          <t>Vice-President, Prince Edward Island</t>
        </is>
      </c>
      <c r="D3301" t="inlineStr">
        <is>
          <t>Vice-président, Île-du-Prince-Édouard</t>
        </is>
      </c>
      <c r="E3301" t="inlineStr">
        <is>
          <t>Patrick Dorsey</t>
        </is>
      </c>
      <c r="F3301" t="inlineStr">
        <is>
          <t>Training</t>
        </is>
      </c>
      <c r="G3301" t="inlineStr">
        <is>
          <t>Formation</t>
        </is>
      </c>
      <c r="H3301" s="1" t="n">
        <v>41700</v>
      </c>
      <c r="I3301" s="1" t="n">
        <v>41703</v>
      </c>
      <c r="J3301" t="inlineStr">
        <is>
          <t>Ottawa, Ontario</t>
        </is>
      </c>
      <c r="K3301" t="inlineStr">
        <is>
          <t>Ottawa (Ontario)</t>
        </is>
      </c>
      <c r="P3301" t="n">
        <v>673.91</v>
      </c>
      <c r="Q3301" t="n">
        <v>117</v>
      </c>
      <c r="R3301" t="n">
        <v>548.1900000000001</v>
      </c>
      <c r="S3301" t="n">
        <v>287.3</v>
      </c>
      <c r="T3301" t="n">
        <v>0</v>
      </c>
      <c r="U3301" t="n">
        <v>1626.4</v>
      </c>
      <c r="X3301" t="inlineStr">
        <is>
          <t>acoa-apeca</t>
        </is>
      </c>
      <c r="Y3301" t="inlineStr">
        <is>
          <t>Atlantic Canada Opportunities Agency | Agence de promotion économique du Canada atlantique</t>
        </is>
      </c>
      <c r="Z3301" t="n">
        <v>4</v>
      </c>
      <c r="AA3301" t="n">
        <v>1626.39999999999</v>
      </c>
      <c r="AB3301">
        <f>ROUND(U3301-AA3301,2)</f>
        <v/>
      </c>
      <c r="AC3301" t="b">
        <v>0</v>
      </c>
      <c r="AD3301">
        <f>IF(U3301="","MISSING_TOTAL",IF(ABS(AB3301)&lt;=0.01,"OK","CHECK"))</f>
        <v/>
      </c>
      <c r="AE3301">
        <f>IF(U3301="","MISSING",IF(AND(AA3301&gt;0,U3301/AA3301&gt;50),"POSSIBLE_SCALE_ERROR","OK"))</f>
        <v/>
      </c>
    </row>
    <row r="3302">
      <c r="A3302" t="inlineStr">
        <is>
          <t>T-2014-Q4-00060</t>
        </is>
      </c>
      <c r="B3302" t="inlineStr">
        <is>
          <t>SLE</t>
        </is>
      </c>
      <c r="C3302" t="inlineStr">
        <is>
          <t>Vice-President, Prince Edward Island</t>
        </is>
      </c>
      <c r="D3302" t="inlineStr">
        <is>
          <t>Vice-président, Île-du-Prince-Édouard</t>
        </is>
      </c>
      <c r="E3302" t="inlineStr">
        <is>
          <t>Patrick Dorsey</t>
        </is>
      </c>
      <c r="F3302" t="inlineStr">
        <is>
          <t>Meetings with Government Officials in Ottawa</t>
        </is>
      </c>
      <c r="G3302" t="inlineStr">
        <is>
          <t>Réunions avec des fonctionnaires du gouvernement à Ottawa</t>
        </is>
      </c>
      <c r="H3302" s="1" t="n">
        <v>41695</v>
      </c>
      <c r="I3302" s="1" t="n">
        <v>41697</v>
      </c>
      <c r="J3302" t="inlineStr">
        <is>
          <t>Ottawa, Ontario</t>
        </is>
      </c>
      <c r="K3302" t="inlineStr">
        <is>
          <t>Ottawa (Ontario)</t>
        </is>
      </c>
      <c r="P3302" t="n">
        <v>651.9</v>
      </c>
      <c r="Q3302" t="n">
        <v>71</v>
      </c>
      <c r="R3302" t="n">
        <v>481.86</v>
      </c>
      <c r="S3302" t="n">
        <v>139.2</v>
      </c>
      <c r="T3302" t="n">
        <v>0</v>
      </c>
      <c r="U3302" t="n">
        <v>1343.96</v>
      </c>
      <c r="X3302" t="inlineStr">
        <is>
          <t>acoa-apeca</t>
        </is>
      </c>
      <c r="Y3302" t="inlineStr">
        <is>
          <t>Atlantic Canada Opportunities Agency | Agence de promotion économique du Canada atlantique</t>
        </is>
      </c>
      <c r="Z3302" t="n">
        <v>3</v>
      </c>
      <c r="AA3302" t="n">
        <v>1343.96</v>
      </c>
      <c r="AB3302">
        <f>ROUND(U3302-AA3302,2)</f>
        <v/>
      </c>
      <c r="AC3302" t="b">
        <v>0</v>
      </c>
      <c r="AD3302">
        <f>IF(U3302="","MISSING_TOTAL",IF(ABS(AB3302)&lt;=0.01,"OK","CHECK"))</f>
        <v/>
      </c>
      <c r="AE3302">
        <f>IF(U3302="","MISSING",IF(AND(AA3302&gt;0,U3302/AA3302&gt;50),"POSSIBLE_SCALE_ERROR","OK"))</f>
        <v/>
      </c>
    </row>
    <row r="3303">
      <c r="A3303" t="inlineStr">
        <is>
          <t>T-2014-Q4-00059</t>
        </is>
      </c>
      <c r="B3303" t="inlineStr">
        <is>
          <t>SLE</t>
        </is>
      </c>
      <c r="C3303" t="inlineStr">
        <is>
          <t>President</t>
        </is>
      </c>
      <c r="D3303" t="inlineStr">
        <is>
          <t>Président</t>
        </is>
      </c>
      <c r="E3303" t="inlineStr">
        <is>
          <t>Paul J. LeBlanc</t>
        </is>
      </c>
      <c r="F3303" t="inlineStr">
        <is>
          <t>Various meetings and discussions with Agency officials; with Government of Canada officials</t>
        </is>
      </c>
      <c r="G3303" t="inlineStr">
        <is>
          <t>Diverses réunions et discussions avec des fonctionnaires de l'Agence et du gouvernement du Canada</t>
        </is>
      </c>
      <c r="H3303" s="1" t="n">
        <v>41695</v>
      </c>
      <c r="I3303" s="1" t="n">
        <v>41696</v>
      </c>
      <c r="J3303" t="inlineStr">
        <is>
          <t>Ottawa, Ontario</t>
        </is>
      </c>
      <c r="K3303" t="inlineStr">
        <is>
          <t>Ottawa (Ontario)</t>
        </is>
      </c>
      <c r="P3303" t="n">
        <v>741.74</v>
      </c>
      <c r="Q3303" t="n">
        <v>0</v>
      </c>
      <c r="R3303" t="n">
        <v>196.7</v>
      </c>
      <c r="S3303" t="n">
        <v>106.8</v>
      </c>
      <c r="T3303" t="n">
        <v>0</v>
      </c>
      <c r="U3303" t="n">
        <v>1045.24</v>
      </c>
      <c r="X3303" t="inlineStr">
        <is>
          <t>acoa-apeca</t>
        </is>
      </c>
      <c r="Y3303" t="inlineStr">
        <is>
          <t>Atlantic Canada Opportunities Agency | Agence de promotion économique du Canada atlantique</t>
        </is>
      </c>
      <c r="Z3303" t="n">
        <v>2</v>
      </c>
      <c r="AA3303" t="n">
        <v>1045.24</v>
      </c>
      <c r="AB3303">
        <f>ROUND(U3303-AA3303,2)</f>
        <v/>
      </c>
      <c r="AC3303" t="b">
        <v>0</v>
      </c>
      <c r="AD3303">
        <f>IF(U3303="","MISSING_TOTAL",IF(ABS(AB3303)&lt;=0.01,"OK","CHECK"))</f>
        <v/>
      </c>
      <c r="AE3303">
        <f>IF(U3303="","MISSING",IF(AND(AA3303&gt;0,U3303/AA3303&gt;50),"POSSIBLE_SCALE_ERROR","OK"))</f>
        <v/>
      </c>
    </row>
    <row r="3304">
      <c r="A3304" t="inlineStr">
        <is>
          <t>T-2014-Q4-00058</t>
        </is>
      </c>
      <c r="B3304" t="inlineStr">
        <is>
          <t>SLE</t>
        </is>
      </c>
      <c r="C3304" t="inlineStr">
        <is>
          <t>Vice-President, New Brunswick</t>
        </is>
      </c>
      <c r="D3304" t="inlineStr">
        <is>
          <t>Vice-président, Nouveau-Brunswick</t>
        </is>
      </c>
      <c r="E3304" t="inlineStr">
        <is>
          <t>Kent Estabrooks</t>
        </is>
      </c>
      <c r="F3304" t="inlineStr">
        <is>
          <t>External Stakeholders Meeting and Meeting with Government of Canada Officials</t>
        </is>
      </c>
      <c r="G3304" t="inlineStr">
        <is>
          <t>Réunion avec des intervenants externes et réunion avec des fonctionnaires fédéraux</t>
        </is>
      </c>
      <c r="H3304" s="1" t="n">
        <v>41694</v>
      </c>
      <c r="I3304" s="1" t="n">
        <v>41696</v>
      </c>
      <c r="J3304" t="inlineStr">
        <is>
          <t>Moncton, New Brunswick</t>
        </is>
      </c>
      <c r="K3304" t="inlineStr">
        <is>
          <t>Moncton (Nouveau-Brunswick)</t>
        </is>
      </c>
      <c r="P3304" t="n">
        <v>0</v>
      </c>
      <c r="Q3304" t="n">
        <v>0</v>
      </c>
      <c r="R3304" t="n">
        <v>247.47</v>
      </c>
      <c r="S3304" t="n">
        <v>193</v>
      </c>
      <c r="T3304" t="n">
        <v>0</v>
      </c>
      <c r="U3304" t="n">
        <v>440.47</v>
      </c>
      <c r="X3304" t="inlineStr">
        <is>
          <t>acoa-apeca</t>
        </is>
      </c>
      <c r="Y3304" t="inlineStr">
        <is>
          <t>Atlantic Canada Opportunities Agency | Agence de promotion économique du Canada atlantique</t>
        </is>
      </c>
      <c r="Z3304" t="n">
        <v>3</v>
      </c>
      <c r="AA3304" t="n">
        <v>440.47</v>
      </c>
      <c r="AB3304">
        <f>ROUND(U3304-AA3304,2)</f>
        <v/>
      </c>
      <c r="AC3304" t="b">
        <v>0</v>
      </c>
      <c r="AD3304">
        <f>IF(U3304="","MISSING_TOTAL",IF(ABS(AB3304)&lt;=0.01,"OK","CHECK"))</f>
        <v/>
      </c>
      <c r="AE3304">
        <f>IF(U3304="","MISSING",IF(AND(AA3304&gt;0,U3304/AA3304&gt;50),"POSSIBLE_SCALE_ERROR","OK"))</f>
        <v/>
      </c>
    </row>
    <row r="3305">
      <c r="A3305" t="inlineStr">
        <is>
          <t>T-2014-Q4-00057</t>
        </is>
      </c>
      <c r="B3305" t="inlineStr">
        <is>
          <t>MPSES</t>
        </is>
      </c>
      <c r="C3305" t="inlineStr">
        <is>
          <t>Minister of State</t>
        </is>
      </c>
      <c r="D3305" t="inlineStr">
        <is>
          <t>Ministre d'État</t>
        </is>
      </c>
      <c r="E3305" t="inlineStr">
        <is>
          <t>Rob Moore</t>
        </is>
      </c>
      <c r="F3305" t="inlineStr">
        <is>
          <t>Travel to attend Government of Canada announcement, meeting with Minister Michel Samson and AIF consultation meetings</t>
        </is>
      </c>
      <c r="G3305" t="inlineStr">
        <is>
          <t>Annonce du gouvernement du Canada, réunion avec le ministre Michel Samson et réunions de consultation du FIA</t>
        </is>
      </c>
      <c r="H3305" s="1" t="n">
        <v>41690</v>
      </c>
      <c r="I3305" s="1" t="n">
        <v>41690</v>
      </c>
      <c r="J3305" t="inlineStr">
        <is>
          <t>Halifax, Nova Scotia</t>
        </is>
      </c>
      <c r="K3305" t="inlineStr">
        <is>
          <t>Halifax (Nouvelle-Écosse)</t>
        </is>
      </c>
      <c r="P3305" t="n">
        <v>1005.45</v>
      </c>
      <c r="Q3305" t="n">
        <v>18.81</v>
      </c>
      <c r="R3305" t="n">
        <v>0</v>
      </c>
      <c r="S3305" t="n">
        <v>72.84999999999999</v>
      </c>
      <c r="T3305" t="n">
        <v>0</v>
      </c>
      <c r="U3305" t="n">
        <v>1097.11</v>
      </c>
      <c r="X3305" t="inlineStr">
        <is>
          <t>acoa-apeca</t>
        </is>
      </c>
      <c r="Y3305" t="inlineStr">
        <is>
          <t>Atlantic Canada Opportunities Agency | Agence de promotion économique du Canada atlantique</t>
        </is>
      </c>
      <c r="Z3305" t="n">
        <v>1</v>
      </c>
      <c r="AA3305" t="n">
        <v>1097.11</v>
      </c>
      <c r="AB3305">
        <f>ROUND(U3305-AA3305,2)</f>
        <v/>
      </c>
      <c r="AC3305" t="b">
        <v>0</v>
      </c>
      <c r="AD3305">
        <f>IF(U3305="","MISSING_TOTAL",IF(ABS(AB3305)&lt;=0.01,"OK","CHECK"))</f>
        <v/>
      </c>
      <c r="AE3305">
        <f>IF(U3305="","MISSING",IF(AND(AA3305&gt;0,U3305/AA3305&gt;50),"POSSIBLE_SCALE_ERROR","OK"))</f>
        <v/>
      </c>
    </row>
    <row r="3306">
      <c r="A3306" t="inlineStr">
        <is>
          <t>T-2014-Q4-00055</t>
        </is>
      </c>
      <c r="B3306" t="inlineStr">
        <is>
          <t>SLE</t>
        </is>
      </c>
      <c r="C3306" t="inlineStr">
        <is>
          <t>President</t>
        </is>
      </c>
      <c r="D3306" t="inlineStr">
        <is>
          <t>Président</t>
        </is>
      </c>
      <c r="E3306" t="inlineStr">
        <is>
          <t>Paul J. LeBlanc</t>
        </is>
      </c>
      <c r="F3306" t="inlineStr">
        <is>
          <t>For various meetings with Agency officials and various sector key stakeholders</t>
        </is>
      </c>
      <c r="G3306" t="inlineStr">
        <is>
          <t>Diverses réunions avec des fonctionnaires de l'Agence et des intervenants clés de secteurs variés</t>
        </is>
      </c>
      <c r="H3306" s="1" t="n">
        <v>41690</v>
      </c>
      <c r="I3306" s="1" t="n">
        <v>41690</v>
      </c>
      <c r="J3306" t="inlineStr">
        <is>
          <t>Halifax, Nova Scotia</t>
        </is>
      </c>
      <c r="K3306" t="inlineStr">
        <is>
          <t>Halifax (Nouvelle-Écosse)</t>
        </is>
      </c>
      <c r="P3306" t="n">
        <v>0</v>
      </c>
      <c r="Q3306" t="n">
        <v>0</v>
      </c>
      <c r="R3306" t="n">
        <v>0</v>
      </c>
      <c r="S3306" t="n">
        <v>57.1</v>
      </c>
      <c r="T3306" t="n">
        <v>0</v>
      </c>
      <c r="U3306" t="n">
        <v>57.1</v>
      </c>
      <c r="X3306" t="inlineStr">
        <is>
          <t>acoa-apeca</t>
        </is>
      </c>
      <c r="Y3306" t="inlineStr">
        <is>
          <t>Atlantic Canada Opportunities Agency | Agence de promotion économique du Canada atlantique</t>
        </is>
      </c>
      <c r="Z3306" t="n">
        <v>1</v>
      </c>
      <c r="AA3306" t="n">
        <v>57.1</v>
      </c>
      <c r="AB3306">
        <f>ROUND(U3306-AA3306,2)</f>
        <v/>
      </c>
      <c r="AC3306" t="b">
        <v>0</v>
      </c>
      <c r="AD3306">
        <f>IF(U3306="","MISSING_TOTAL",IF(ABS(AB3306)&lt;=0.01,"OK","CHECK"))</f>
        <v/>
      </c>
      <c r="AE3306">
        <f>IF(U3306="","MISSING",IF(AND(AA3306&gt;0,U3306/AA3306&gt;50),"POSSIBLE_SCALE_ERROR","OK"))</f>
        <v/>
      </c>
    </row>
    <row r="3307">
      <c r="A3307" t="inlineStr">
        <is>
          <t>T-2014-Q4-00054</t>
        </is>
      </c>
      <c r="B3307" t="inlineStr">
        <is>
          <t>MPSES</t>
        </is>
      </c>
      <c r="C3307" t="inlineStr">
        <is>
          <t>Minister of State</t>
        </is>
      </c>
      <c r="D3307" t="inlineStr">
        <is>
          <t>Ministre d'État</t>
        </is>
      </c>
      <c r="E3307" t="inlineStr">
        <is>
          <t>Rob Moore</t>
        </is>
      </c>
      <c r="F3307" t="inlineStr">
        <is>
          <t>Travel to attend Budget roundtable, Government of Canada announcement and meeting with stakeholders</t>
        </is>
      </c>
      <c r="G3307" t="inlineStr">
        <is>
          <t>Table ronde sur le budget, annonce du gouvernement du Canada et réunion avec des intervenants</t>
        </is>
      </c>
      <c r="H3307" s="1" t="n">
        <v>41689</v>
      </c>
      <c r="I3307" s="1" t="n">
        <v>41689</v>
      </c>
      <c r="J3307" t="inlineStr">
        <is>
          <t>Miramichi, New Brunswick</t>
        </is>
      </c>
      <c r="K3307" t="inlineStr">
        <is>
          <t>Miramichi (Nouveau-Brunswick)</t>
        </is>
      </c>
      <c r="P3307" t="n">
        <v>0</v>
      </c>
      <c r="Q3307" t="n">
        <v>245.03</v>
      </c>
      <c r="R3307" t="n">
        <v>0</v>
      </c>
      <c r="S3307" t="n">
        <v>57.75</v>
      </c>
      <c r="T3307" t="n">
        <v>0</v>
      </c>
      <c r="U3307" t="n">
        <v>302.78</v>
      </c>
      <c r="X3307" t="inlineStr">
        <is>
          <t>acoa-apeca</t>
        </is>
      </c>
      <c r="Y3307" t="inlineStr">
        <is>
          <t>Atlantic Canada Opportunities Agency | Agence de promotion économique du Canada atlantique</t>
        </is>
      </c>
      <c r="Z3307" t="n">
        <v>1</v>
      </c>
      <c r="AA3307" t="n">
        <v>302.78</v>
      </c>
      <c r="AB3307">
        <f>ROUND(U3307-AA3307,2)</f>
        <v/>
      </c>
      <c r="AC3307" t="b">
        <v>0</v>
      </c>
      <c r="AD3307">
        <f>IF(U3307="","MISSING_TOTAL",IF(ABS(AB3307)&lt;=0.01,"OK","CHECK"))</f>
        <v/>
      </c>
      <c r="AE3307">
        <f>IF(U3307="","MISSING",IF(AND(AA3307&gt;0,U3307/AA3307&gt;50),"POSSIBLE_SCALE_ERROR","OK"))</f>
        <v/>
      </c>
    </row>
    <row r="3308">
      <c r="A3308" t="inlineStr">
        <is>
          <t>T-2014-Q4-00053</t>
        </is>
      </c>
      <c r="B3308" t="inlineStr">
        <is>
          <t>MPSES</t>
        </is>
      </c>
      <c r="C3308" t="inlineStr">
        <is>
          <t>Minister of State</t>
        </is>
      </c>
      <c r="D3308" t="inlineStr">
        <is>
          <t>Ministre d'État</t>
        </is>
      </c>
      <c r="E3308" t="inlineStr">
        <is>
          <t>Rob Moore</t>
        </is>
      </c>
      <c r="F3308" t="inlineStr">
        <is>
          <t>Travel to Budget roundtable, luncheon speech to Fredericton Chamber of Commerce and Government of Canada announcement</t>
        </is>
      </c>
      <c r="G3308" t="inlineStr">
        <is>
          <t>Table ronde sur le budget, allocution lors d'un déjeuner de la Chambre de commerce de Fredericton et annonce du gouvernement du Canada</t>
        </is>
      </c>
      <c r="H3308" s="1" t="n">
        <v>41688</v>
      </c>
      <c r="I3308" s="1" t="n">
        <v>41688</v>
      </c>
      <c r="J3308" t="inlineStr">
        <is>
          <t>Fredericton, New Brunswick</t>
        </is>
      </c>
      <c r="K3308" t="inlineStr">
        <is>
          <t>Fredericton (Nouveau-Brunswick)</t>
        </is>
      </c>
      <c r="P3308" t="n">
        <v>0</v>
      </c>
      <c r="Q3308" t="n">
        <v>135.63</v>
      </c>
      <c r="R3308" t="n">
        <v>0</v>
      </c>
      <c r="S3308" t="n">
        <v>57.75</v>
      </c>
      <c r="T3308" t="n">
        <v>0</v>
      </c>
      <c r="U3308" t="n">
        <v>193.38</v>
      </c>
      <c r="X3308" t="inlineStr">
        <is>
          <t>acoa-apeca</t>
        </is>
      </c>
      <c r="Y3308" t="inlineStr">
        <is>
          <t>Atlantic Canada Opportunities Agency | Agence de promotion économique du Canada atlantique</t>
        </is>
      </c>
      <c r="Z3308" t="n">
        <v>1</v>
      </c>
      <c r="AA3308" t="n">
        <v>193.38</v>
      </c>
      <c r="AB3308">
        <f>ROUND(U3308-AA3308,2)</f>
        <v/>
      </c>
      <c r="AC3308" t="b">
        <v>0</v>
      </c>
      <c r="AD3308">
        <f>IF(U3308="","MISSING_TOTAL",IF(ABS(AB3308)&lt;=0.01,"OK","CHECK"))</f>
        <v/>
      </c>
      <c r="AE3308">
        <f>IF(U3308="","MISSING",IF(AND(AA3308&gt;0,U3308/AA3308&gt;50),"POSSIBLE_SCALE_ERROR","OK"))</f>
        <v/>
      </c>
    </row>
    <row r="3309">
      <c r="A3309" t="inlineStr">
        <is>
          <t>T-2014-Q4-00052</t>
        </is>
      </c>
      <c r="B3309" t="inlineStr">
        <is>
          <t>MPSES</t>
        </is>
      </c>
      <c r="C3309" t="inlineStr">
        <is>
          <t>Minister of State</t>
        </is>
      </c>
      <c r="D3309" t="inlineStr">
        <is>
          <t>Ministre d'État</t>
        </is>
      </c>
      <c r="E3309" t="inlineStr">
        <is>
          <t>Rob Moore</t>
        </is>
      </c>
      <c r="F3309" t="inlineStr">
        <is>
          <t>Travel to attend Budget roundtable, luncheon speech to Greater Moncton Chamber of Commerce and meeting with City of Dieppe</t>
        </is>
      </c>
      <c r="G3309" t="inlineStr">
        <is>
          <t>Table ronde sur le budget, allocution lors d'un déjeuner de la Chambre de commerce du Grand Moncton et réunion avec la Ville de Dieppe</t>
        </is>
      </c>
      <c r="H3309" s="1" t="n">
        <v>41687</v>
      </c>
      <c r="I3309" s="1" t="n">
        <v>41687</v>
      </c>
      <c r="J3309" t="inlineStr">
        <is>
          <t>Moncton, New Brunswick</t>
        </is>
      </c>
      <c r="K3309" t="inlineStr">
        <is>
          <t>Moncton (Nouveau-Brunswick)</t>
        </is>
      </c>
      <c r="P3309" t="n">
        <v>0</v>
      </c>
      <c r="Q3309" t="n">
        <v>135.14</v>
      </c>
      <c r="R3309" t="n">
        <v>0</v>
      </c>
      <c r="S3309" t="n">
        <v>15.75</v>
      </c>
      <c r="T3309" t="n">
        <v>0</v>
      </c>
      <c r="U3309" t="n">
        <v>150.89</v>
      </c>
      <c r="X3309" t="inlineStr">
        <is>
          <t>acoa-apeca</t>
        </is>
      </c>
      <c r="Y3309" t="inlineStr">
        <is>
          <t>Atlantic Canada Opportunities Agency | Agence de promotion économique du Canada atlantique</t>
        </is>
      </c>
      <c r="Z3309" t="n">
        <v>1</v>
      </c>
      <c r="AA3309" t="n">
        <v>150.89</v>
      </c>
      <c r="AB3309">
        <f>ROUND(U3309-AA3309,2)</f>
        <v/>
      </c>
      <c r="AC3309" t="b">
        <v>0</v>
      </c>
      <c r="AD3309">
        <f>IF(U3309="","MISSING_TOTAL",IF(ABS(AB3309)&lt;=0.01,"OK","CHECK"))</f>
        <v/>
      </c>
      <c r="AE3309">
        <f>IF(U3309="","MISSING",IF(AND(AA3309&gt;0,U3309/AA3309&gt;50),"POSSIBLE_SCALE_ERROR","OK"))</f>
        <v/>
      </c>
    </row>
    <row r="3310">
      <c r="A3310" t="inlineStr">
        <is>
          <t>T-2014-Q4-00050</t>
        </is>
      </c>
      <c r="B3310" t="inlineStr">
        <is>
          <t>MPSES</t>
        </is>
      </c>
      <c r="C3310" t="inlineStr">
        <is>
          <t>Executive Assistant</t>
        </is>
      </c>
      <c r="D3310" t="inlineStr">
        <is>
          <t>Adjoint exécutif</t>
        </is>
      </c>
      <c r="E3310" t="inlineStr">
        <is>
          <t>Josh Hardy</t>
        </is>
      </c>
      <c r="F3310" t="inlineStr">
        <is>
          <t>Travel on Government business</t>
        </is>
      </c>
      <c r="G3310" t="inlineStr">
        <is>
          <t>Voyage pour le compte du gouvernement</t>
        </is>
      </c>
      <c r="H3310" s="1" t="n">
        <v>41683</v>
      </c>
      <c r="I3310" s="1" t="n">
        <v>41693</v>
      </c>
      <c r="J3310" t="inlineStr">
        <is>
          <t>Moncton, New Brunswick and Halifax, Nova Scotia</t>
        </is>
      </c>
      <c r="K3310" t="inlineStr">
        <is>
          <t>Moncton (Nouveau-Brunswick) et Halifax (Nouvelle-Écosse)</t>
        </is>
      </c>
      <c r="P3310" t="n">
        <v>1645.15</v>
      </c>
      <c r="Q3310" t="n">
        <v>413.73</v>
      </c>
      <c r="R3310" t="n">
        <v>0</v>
      </c>
      <c r="S3310" t="n">
        <v>130.6</v>
      </c>
      <c r="T3310" t="n">
        <v>0</v>
      </c>
      <c r="U3310" t="n">
        <v>2189.48</v>
      </c>
      <c r="X3310" t="inlineStr">
        <is>
          <t>acoa-apeca</t>
        </is>
      </c>
      <c r="Y3310" t="inlineStr">
        <is>
          <t>Atlantic Canada Opportunities Agency | Agence de promotion économique du Canada atlantique</t>
        </is>
      </c>
      <c r="Z3310" t="n">
        <v>11</v>
      </c>
      <c r="AA3310" t="n">
        <v>2189.48</v>
      </c>
      <c r="AB3310">
        <f>ROUND(U3310-AA3310,2)</f>
        <v/>
      </c>
      <c r="AC3310" t="b">
        <v>0</v>
      </c>
      <c r="AD3310">
        <f>IF(U3310="","MISSING_TOTAL",IF(ABS(AB3310)&lt;=0.01,"OK","CHECK"))</f>
        <v/>
      </c>
      <c r="AE3310">
        <f>IF(U3310="","MISSING",IF(AND(AA3310&gt;0,U3310/AA3310&gt;50),"POSSIBLE_SCALE_ERROR","OK"))</f>
        <v/>
      </c>
    </row>
    <row r="3311">
      <c r="A3311" t="inlineStr">
        <is>
          <t>T-2014-Q4-00048</t>
        </is>
      </c>
      <c r="B3311" t="inlineStr">
        <is>
          <t>SLE</t>
        </is>
      </c>
      <c r="C3311" t="inlineStr">
        <is>
          <t>President</t>
        </is>
      </c>
      <c r="D3311" t="inlineStr">
        <is>
          <t>Président</t>
        </is>
      </c>
      <c r="E3311" t="inlineStr">
        <is>
          <t>Paul J. LeBlanc</t>
        </is>
      </c>
      <c r="F3311" t="inlineStr">
        <is>
          <t>For various meetings and discussions with: Agency officials; with Government of Canada officials</t>
        </is>
      </c>
      <c r="G3311" t="inlineStr">
        <is>
          <t>Diverses réunions et discussions avec des fonctionnaires de l'Agence et du gouvernement du Canada</t>
        </is>
      </c>
      <c r="H3311" s="1" t="n">
        <v>41681</v>
      </c>
      <c r="I3311" s="1" t="n">
        <v>41684</v>
      </c>
      <c r="J3311" t="inlineStr">
        <is>
          <t>Ottawa, Ontario</t>
        </is>
      </c>
      <c r="K3311" t="inlineStr">
        <is>
          <t>Ottawa (Ontario)</t>
        </is>
      </c>
      <c r="P3311" t="n">
        <v>741.74</v>
      </c>
      <c r="Q3311" t="n">
        <v>0</v>
      </c>
      <c r="R3311" t="n">
        <v>590.1</v>
      </c>
      <c r="S3311" t="n">
        <v>272</v>
      </c>
      <c r="T3311" t="n">
        <v>169.5</v>
      </c>
      <c r="U3311" t="n">
        <v>1773.34</v>
      </c>
      <c r="X3311" t="inlineStr">
        <is>
          <t>acoa-apeca</t>
        </is>
      </c>
      <c r="Y3311" t="inlineStr">
        <is>
          <t>Atlantic Canada Opportunities Agency | Agence de promotion économique du Canada atlantique</t>
        </is>
      </c>
      <c r="Z3311" t="n">
        <v>4</v>
      </c>
      <c r="AA3311" t="n">
        <v>1773.34</v>
      </c>
      <c r="AB3311">
        <f>ROUND(U3311-AA3311,2)</f>
        <v/>
      </c>
      <c r="AC3311" t="b">
        <v>0</v>
      </c>
      <c r="AD3311">
        <f>IF(U3311="","MISSING_TOTAL",IF(ABS(AB3311)&lt;=0.01,"OK","CHECK"))</f>
        <v/>
      </c>
      <c r="AE3311">
        <f>IF(U3311="","MISSING",IF(AND(AA3311&gt;0,U3311/AA3311&gt;50),"POSSIBLE_SCALE_ERROR","OK"))</f>
        <v/>
      </c>
    </row>
    <row r="3312">
      <c r="A3312" t="inlineStr">
        <is>
          <t>T-2014-Q4-00047</t>
        </is>
      </c>
      <c r="B3312" t="inlineStr">
        <is>
          <t>SLE</t>
        </is>
      </c>
      <c r="C3312" t="inlineStr">
        <is>
          <t>Vice-President, Prince Edward Island</t>
        </is>
      </c>
      <c r="D3312" t="inlineStr">
        <is>
          <t>Vice-président, Île-du-Prince-Édouard</t>
        </is>
      </c>
      <c r="E3312" t="inlineStr">
        <is>
          <t>Patrick Dorsey</t>
        </is>
      </c>
      <c r="F3312" t="inlineStr">
        <is>
          <t>Meetings with ACOA Officials in Moncton</t>
        </is>
      </c>
      <c r="G3312" t="inlineStr">
        <is>
          <t>Réunions avec des fonctionnaires de l'Agence de promotion économique du Canada atlantique à Moncton</t>
        </is>
      </c>
      <c r="H3312" s="1" t="n">
        <v>41681</v>
      </c>
      <c r="I3312" s="1" t="n">
        <v>41682</v>
      </c>
      <c r="J3312" t="inlineStr">
        <is>
          <t>Moncton, New Brunswick</t>
        </is>
      </c>
      <c r="K3312" t="inlineStr">
        <is>
          <t>Moncton (Nouveau-Brunswick)</t>
        </is>
      </c>
      <c r="P3312" t="n">
        <v>0</v>
      </c>
      <c r="Q3312" t="n">
        <v>61.95</v>
      </c>
      <c r="R3312" t="n">
        <v>134.47</v>
      </c>
      <c r="S3312" t="n">
        <v>91.7</v>
      </c>
      <c r="T3312" t="n">
        <v>0</v>
      </c>
      <c r="U3312" t="n">
        <v>288.12</v>
      </c>
      <c r="X3312" t="inlineStr">
        <is>
          <t>acoa-apeca</t>
        </is>
      </c>
      <c r="Y3312" t="inlineStr">
        <is>
          <t>Atlantic Canada Opportunities Agency | Agence de promotion économique du Canada atlantique</t>
        </is>
      </c>
      <c r="Z3312" t="n">
        <v>2</v>
      </c>
      <c r="AA3312" t="n">
        <v>288.12</v>
      </c>
      <c r="AB3312">
        <f>ROUND(U3312-AA3312,2)</f>
        <v/>
      </c>
      <c r="AC3312" t="b">
        <v>0</v>
      </c>
      <c r="AD3312">
        <f>IF(U3312="","MISSING_TOTAL",IF(ABS(AB3312)&lt;=0.01,"OK","CHECK"))</f>
        <v/>
      </c>
      <c r="AE3312">
        <f>IF(U3312="","MISSING",IF(AND(AA3312&gt;0,U3312/AA3312&gt;50),"POSSIBLE_SCALE_ERROR","OK"))</f>
        <v/>
      </c>
    </row>
    <row r="3313">
      <c r="A3313" t="inlineStr">
        <is>
          <t>T-2014-Q4-00046</t>
        </is>
      </c>
      <c r="B3313" t="inlineStr">
        <is>
          <t>MPSES</t>
        </is>
      </c>
      <c r="C3313" t="inlineStr">
        <is>
          <t>Regional Affairs Director - New Brunswick</t>
        </is>
      </c>
      <c r="D3313" t="inlineStr">
        <is>
          <t>Directeur des affaires régionales - Nouveau-Brunswick</t>
        </is>
      </c>
      <c r="E3313" t="inlineStr">
        <is>
          <t>Douglas MacDonald</t>
        </is>
      </c>
      <c r="F3313" t="inlineStr">
        <is>
          <t>Travel on Government business</t>
        </is>
      </c>
      <c r="G3313" t="inlineStr">
        <is>
          <t>Voyage pour le compte du gouvernement</t>
        </is>
      </c>
      <c r="H3313" s="1" t="n">
        <v>41680</v>
      </c>
      <c r="I3313" s="1" t="n">
        <v>41682</v>
      </c>
      <c r="J3313" t="inlineStr">
        <is>
          <t>Ottawa, Ontario</t>
        </is>
      </c>
      <c r="K3313" t="inlineStr">
        <is>
          <t>Ottawa (Ontario)</t>
        </is>
      </c>
      <c r="P3313" t="n">
        <v>614.4299999999999</v>
      </c>
      <c r="Q3313" t="n">
        <v>94</v>
      </c>
      <c r="R3313" t="n">
        <v>182.73</v>
      </c>
      <c r="S3313" t="n">
        <v>180.3</v>
      </c>
      <c r="T3313" t="n">
        <v>0</v>
      </c>
      <c r="U3313" t="n">
        <v>1071.46</v>
      </c>
      <c r="X3313" t="inlineStr">
        <is>
          <t>acoa-apeca</t>
        </is>
      </c>
      <c r="Y3313" t="inlineStr">
        <is>
          <t>Atlantic Canada Opportunities Agency | Agence de promotion économique du Canada atlantique</t>
        </is>
      </c>
      <c r="Z3313" t="n">
        <v>3</v>
      </c>
      <c r="AA3313" t="n">
        <v>1071.46</v>
      </c>
      <c r="AB3313">
        <f>ROUND(U3313-AA3313,2)</f>
        <v/>
      </c>
      <c r="AC3313" t="b">
        <v>0</v>
      </c>
      <c r="AD3313">
        <f>IF(U3313="","MISSING_TOTAL",IF(ABS(AB3313)&lt;=0.01,"OK","CHECK"))</f>
        <v/>
      </c>
      <c r="AE3313">
        <f>IF(U3313="","MISSING",IF(AND(AA3313&gt;0,U3313/AA3313&gt;50),"POSSIBLE_SCALE_ERROR","OK"))</f>
        <v/>
      </c>
    </row>
    <row r="3314">
      <c r="A3314" t="inlineStr">
        <is>
          <t>T-2014-Q4-00045</t>
        </is>
      </c>
      <c r="B3314" t="inlineStr">
        <is>
          <t>SLE</t>
        </is>
      </c>
      <c r="C3314" t="inlineStr">
        <is>
          <t>Vice President, Nova Scotia</t>
        </is>
      </c>
      <c r="D3314" t="inlineStr">
        <is>
          <t>Vice-président, Nouvelle-Écosse</t>
        </is>
      </c>
      <c r="E3314" t="inlineStr">
        <is>
          <t>Peter Hogan</t>
        </is>
      </c>
      <c r="F3314" t="inlineStr">
        <is>
          <t>Meeting with Senior Agency Officials</t>
        </is>
      </c>
      <c r="G3314" t="inlineStr">
        <is>
          <t>Réunion avec des hauts fonctionnaires de l'Agence</t>
        </is>
      </c>
      <c r="H3314" s="1" t="n">
        <v>41675</v>
      </c>
      <c r="I3314" s="1" t="n">
        <v>41676</v>
      </c>
      <c r="J3314" t="inlineStr">
        <is>
          <t>Moncton, New Brunswick</t>
        </is>
      </c>
      <c r="K3314" t="inlineStr">
        <is>
          <t>Moncton (Nouveau-Brunswick)</t>
        </is>
      </c>
      <c r="P3314" t="n">
        <v>0</v>
      </c>
      <c r="Q3314" t="n">
        <v>17</v>
      </c>
      <c r="R3314" t="n">
        <v>50</v>
      </c>
      <c r="S3314" t="n">
        <v>149.45</v>
      </c>
      <c r="T3314" t="n">
        <v>0</v>
      </c>
      <c r="U3314" t="n">
        <v>216.45</v>
      </c>
      <c r="X3314" t="inlineStr">
        <is>
          <t>acoa-apeca</t>
        </is>
      </c>
      <c r="Y3314" t="inlineStr">
        <is>
          <t>Atlantic Canada Opportunities Agency | Agence de promotion économique du Canada atlantique</t>
        </is>
      </c>
      <c r="Z3314" t="n">
        <v>2</v>
      </c>
      <c r="AA3314" t="n">
        <v>216.45</v>
      </c>
      <c r="AB3314">
        <f>ROUND(U3314-AA3314,2)</f>
        <v/>
      </c>
      <c r="AC3314" t="b">
        <v>0</v>
      </c>
      <c r="AD3314">
        <f>IF(U3314="","MISSING_TOTAL",IF(ABS(AB3314)&lt;=0.01,"OK","CHECK"))</f>
        <v/>
      </c>
      <c r="AE3314">
        <f>IF(U3314="","MISSING",IF(AND(AA3314&gt;0,U3314/AA3314&gt;50),"POSSIBLE_SCALE_ERROR","OK"))</f>
        <v/>
      </c>
    </row>
    <row r="3315">
      <c r="A3315" t="inlineStr">
        <is>
          <t>T-2014-Q4-00044</t>
        </is>
      </c>
      <c r="B3315" t="inlineStr">
        <is>
          <t>SLE</t>
        </is>
      </c>
      <c r="C3315" t="inlineStr">
        <is>
          <t>Vice-President, New Brunswick</t>
        </is>
      </c>
      <c r="D3315" t="inlineStr">
        <is>
          <t>Vice-président, Nouveau-Brunswick</t>
        </is>
      </c>
      <c r="E3315" t="inlineStr">
        <is>
          <t>Kent Estabrooks</t>
        </is>
      </c>
      <c r="F3315" t="inlineStr">
        <is>
          <t>Executive Committee Meeting in Moncton</t>
        </is>
      </c>
      <c r="G3315" t="inlineStr">
        <is>
          <t>Réunion du Comité de direction à Moncton</t>
        </is>
      </c>
      <c r="H3315" s="1" t="n">
        <v>41675</v>
      </c>
      <c r="I3315" s="1" t="n">
        <v>41676</v>
      </c>
      <c r="J3315" t="inlineStr">
        <is>
          <t>Moncton, New Brunswick</t>
        </is>
      </c>
      <c r="K3315" t="inlineStr">
        <is>
          <t>Moncton (Nouveau-Brunswick)</t>
        </is>
      </c>
      <c r="P3315" t="n">
        <v>0</v>
      </c>
      <c r="Q3315" t="n">
        <v>0</v>
      </c>
      <c r="R3315" t="n">
        <v>113</v>
      </c>
      <c r="S3315" t="n">
        <v>118.6</v>
      </c>
      <c r="T3315" t="n">
        <v>0</v>
      </c>
      <c r="U3315" t="n">
        <v>231.6</v>
      </c>
      <c r="X3315" t="inlineStr">
        <is>
          <t>acoa-apeca</t>
        </is>
      </c>
      <c r="Y3315" t="inlineStr">
        <is>
          <t>Atlantic Canada Opportunities Agency | Agence de promotion économique du Canada atlantique</t>
        </is>
      </c>
      <c r="Z3315" t="n">
        <v>2</v>
      </c>
      <c r="AA3315" t="n">
        <v>231.6</v>
      </c>
      <c r="AB3315">
        <f>ROUND(U3315-AA3315,2)</f>
        <v/>
      </c>
      <c r="AC3315" t="b">
        <v>0</v>
      </c>
      <c r="AD3315">
        <f>IF(U3315="","MISSING_TOTAL",IF(ABS(AB3315)&lt;=0.01,"OK","CHECK"))</f>
        <v/>
      </c>
      <c r="AE3315">
        <f>IF(U3315="","MISSING",IF(AND(AA3315&gt;0,U3315/AA3315&gt;50),"POSSIBLE_SCALE_ERROR","OK"))</f>
        <v/>
      </c>
    </row>
    <row r="3316">
      <c r="A3316" t="inlineStr">
        <is>
          <t>T-2014-Q4-00042</t>
        </is>
      </c>
      <c r="B3316" t="inlineStr">
        <is>
          <t>SLE</t>
        </is>
      </c>
      <c r="C3316" t="inlineStr">
        <is>
          <t>Vice-President, Prince Edward Island</t>
        </is>
      </c>
      <c r="D3316" t="inlineStr">
        <is>
          <t>Vice-président, Île-du-Prince-Édouard</t>
        </is>
      </c>
      <c r="E3316" t="inlineStr">
        <is>
          <t>Patrick Dorsey</t>
        </is>
      </c>
      <c r="F3316" t="inlineStr">
        <is>
          <t>To attend Executive Committee Meeting in Moncton</t>
        </is>
      </c>
      <c r="G3316" t="inlineStr">
        <is>
          <t>Réunion du Comité de direction à Moncton</t>
        </is>
      </c>
      <c r="H3316" s="1" t="n">
        <v>41675</v>
      </c>
      <c r="I3316" s="1" t="n">
        <v>41676</v>
      </c>
      <c r="J3316" t="inlineStr">
        <is>
          <t>Moncton, New Brunswick</t>
        </is>
      </c>
      <c r="K3316" t="inlineStr">
        <is>
          <t>Moncton (Nouveau-Brunswick)</t>
        </is>
      </c>
      <c r="P3316" t="n">
        <v>0</v>
      </c>
      <c r="Q3316" t="n">
        <v>61.95</v>
      </c>
      <c r="R3316" t="n">
        <v>145.77</v>
      </c>
      <c r="S3316" t="n">
        <v>118.6</v>
      </c>
      <c r="T3316" t="n">
        <v>0</v>
      </c>
      <c r="U3316" t="n">
        <v>326.32</v>
      </c>
      <c r="X3316" t="inlineStr">
        <is>
          <t>acoa-apeca</t>
        </is>
      </c>
      <c r="Y3316" t="inlineStr">
        <is>
          <t>Atlantic Canada Opportunities Agency | Agence de promotion économique du Canada atlantique</t>
        </is>
      </c>
      <c r="Z3316" t="n">
        <v>2</v>
      </c>
      <c r="AA3316" t="n">
        <v>326.32</v>
      </c>
      <c r="AB3316">
        <f>ROUND(U3316-AA3316,2)</f>
        <v/>
      </c>
      <c r="AC3316" t="b">
        <v>0</v>
      </c>
      <c r="AD3316">
        <f>IF(U3316="","MISSING_TOTAL",IF(ABS(AB3316)&lt;=0.01,"OK","CHECK"))</f>
        <v/>
      </c>
      <c r="AE3316">
        <f>IF(U3316="","MISSING",IF(AND(AA3316&gt;0,U3316/AA3316&gt;50),"POSSIBLE_SCALE_ERROR","OK"))</f>
        <v/>
      </c>
    </row>
    <row r="3317">
      <c r="A3317" t="inlineStr">
        <is>
          <t>T-2014-Q4-00041</t>
        </is>
      </c>
      <c r="B3317" t="inlineStr">
        <is>
          <t>SLE</t>
        </is>
      </c>
      <c r="C3317" t="inlineStr">
        <is>
          <t>Vice-President, Newfoundland and Labrador</t>
        </is>
      </c>
      <c r="D3317" t="inlineStr">
        <is>
          <t>Vice-président, Terre-Neuve-et-Labrador</t>
        </is>
      </c>
      <c r="E3317" t="inlineStr">
        <is>
          <t>Paul Mills</t>
        </is>
      </c>
      <c r="F3317" t="inlineStr">
        <is>
          <t>Executive Committee Meeting (EXCOM)</t>
        </is>
      </c>
      <c r="G3317" t="inlineStr">
        <is>
          <t>Réunion du Comité de direction</t>
        </is>
      </c>
      <c r="H3317" s="1" t="n">
        <v>41675</v>
      </c>
      <c r="I3317" s="1" t="n">
        <v>41677</v>
      </c>
      <c r="J3317" t="inlineStr">
        <is>
          <t>Moncton, New Brunswick</t>
        </is>
      </c>
      <c r="K3317" t="inlineStr">
        <is>
          <t>Moncton (Nouveau-Brunswick)</t>
        </is>
      </c>
      <c r="P3317" t="n">
        <v>1376.8</v>
      </c>
      <c r="Q3317" t="n">
        <v>300.37</v>
      </c>
      <c r="R3317" t="n">
        <v>296.66</v>
      </c>
      <c r="S3317" t="n">
        <v>197.6</v>
      </c>
      <c r="T3317" t="n">
        <v>7.34</v>
      </c>
      <c r="U3317" t="n">
        <v>2178.77</v>
      </c>
      <c r="X3317" t="inlineStr">
        <is>
          <t>acoa-apeca</t>
        </is>
      </c>
      <c r="Y3317" t="inlineStr">
        <is>
          <t>Atlantic Canada Opportunities Agency | Agence de promotion économique du Canada atlantique</t>
        </is>
      </c>
      <c r="Z3317" t="n">
        <v>3</v>
      </c>
      <c r="AA3317" t="n">
        <v>2178.77</v>
      </c>
      <c r="AB3317">
        <f>ROUND(U3317-AA3317,2)</f>
        <v/>
      </c>
      <c r="AC3317" t="b">
        <v>0</v>
      </c>
      <c r="AD3317">
        <f>IF(U3317="","MISSING_TOTAL",IF(ABS(AB3317)&lt;=0.01,"OK","CHECK"))</f>
        <v/>
      </c>
      <c r="AE3317">
        <f>IF(U3317="","MISSING",IF(AND(AA3317&gt;0,U3317/AA3317&gt;50),"POSSIBLE_SCALE_ERROR","OK"))</f>
        <v/>
      </c>
    </row>
    <row r="3318">
      <c r="A3318" t="inlineStr">
        <is>
          <t>T-2014-Q4-00040</t>
        </is>
      </c>
      <c r="B3318" t="inlineStr">
        <is>
          <t>SLE</t>
        </is>
      </c>
      <c r="C3318" t="inlineStr">
        <is>
          <t>President</t>
        </is>
      </c>
      <c r="D3318" t="inlineStr">
        <is>
          <t>Président</t>
        </is>
      </c>
      <c r="E3318" t="inlineStr">
        <is>
          <t>Paul J. LeBlanc</t>
        </is>
      </c>
      <c r="F3318" t="inlineStr">
        <is>
          <t>For meeting with various key stakeholders</t>
        </is>
      </c>
      <c r="G3318" t="inlineStr">
        <is>
          <t>Réunion avec divers intervenants clés</t>
        </is>
      </c>
      <c r="H3318" s="1" t="n">
        <v>41674</v>
      </c>
      <c r="I3318" s="1" t="n">
        <v>41675</v>
      </c>
      <c r="J3318" t="inlineStr">
        <is>
          <t>Sydney, Nova Scotia</t>
        </is>
      </c>
      <c r="K3318" t="inlineStr">
        <is>
          <t>Sydney (Nouvelle-Écosse)</t>
        </is>
      </c>
      <c r="P3318" t="n">
        <v>0</v>
      </c>
      <c r="Q3318" t="n">
        <v>0</v>
      </c>
      <c r="R3318" t="n">
        <v>120.82</v>
      </c>
      <c r="S3318" t="n">
        <v>148.8</v>
      </c>
      <c r="T3318" t="n">
        <v>227</v>
      </c>
      <c r="U3318" t="n">
        <v>496.62</v>
      </c>
      <c r="X3318" t="inlineStr">
        <is>
          <t>acoa-apeca</t>
        </is>
      </c>
      <c r="Y3318" t="inlineStr">
        <is>
          <t>Atlantic Canada Opportunities Agency | Agence de promotion économique du Canada atlantique</t>
        </is>
      </c>
      <c r="Z3318" t="n">
        <v>2</v>
      </c>
      <c r="AA3318" t="n">
        <v>496.62</v>
      </c>
      <c r="AB3318">
        <f>ROUND(U3318-AA3318,2)</f>
        <v/>
      </c>
      <c r="AC3318" t="b">
        <v>0</v>
      </c>
      <c r="AD3318">
        <f>IF(U3318="","MISSING_TOTAL",IF(ABS(AB3318)&lt;=0.01,"OK","CHECK"))</f>
        <v/>
      </c>
      <c r="AE3318">
        <f>IF(U3318="","MISSING",IF(AND(AA3318&gt;0,U3318/AA3318&gt;50),"POSSIBLE_SCALE_ERROR","OK"))</f>
        <v/>
      </c>
    </row>
    <row r="3319">
      <c r="A3319" t="inlineStr">
        <is>
          <t>T-2014-Q4-00039</t>
        </is>
      </c>
      <c r="B3319" t="inlineStr">
        <is>
          <t>SLE</t>
        </is>
      </c>
      <c r="C3319" t="inlineStr">
        <is>
          <t>Vice-President, Newfoundland and Labrador</t>
        </is>
      </c>
      <c r="D3319" t="inlineStr">
        <is>
          <t>Vice-président, Terre-Neuve-et-Labrador</t>
        </is>
      </c>
      <c r="E3319" t="inlineStr">
        <is>
          <t>Paul Mills</t>
        </is>
      </c>
      <c r="F3319" t="inlineStr">
        <is>
          <t>To attend the Northern Lights conference</t>
        </is>
      </c>
      <c r="G3319" t="inlineStr">
        <is>
          <t>Assister à la conférence Aurores boréales</t>
        </is>
      </c>
      <c r="H3319" s="1" t="n">
        <v>41668</v>
      </c>
      <c r="I3319" s="1" t="n">
        <v>41670</v>
      </c>
      <c r="J3319" t="inlineStr">
        <is>
          <t>Ottawa, Ontario</t>
        </is>
      </c>
      <c r="K3319" t="inlineStr">
        <is>
          <t>Ottawa (Ontario)</t>
        </is>
      </c>
      <c r="P3319" t="n">
        <v>1376.8</v>
      </c>
      <c r="Q3319" t="n">
        <v>133</v>
      </c>
      <c r="R3319" t="n">
        <v>365.46</v>
      </c>
      <c r="S3319" t="n">
        <v>213.35</v>
      </c>
      <c r="T3319" t="n">
        <v>8.94</v>
      </c>
      <c r="U3319" t="n">
        <v>2097.55</v>
      </c>
      <c r="X3319" t="inlineStr">
        <is>
          <t>acoa-apeca</t>
        </is>
      </c>
      <c r="Y3319" t="inlineStr">
        <is>
          <t>Atlantic Canada Opportunities Agency | Agence de promotion économique du Canada atlantique</t>
        </is>
      </c>
      <c r="Z3319" t="n">
        <v>3</v>
      </c>
      <c r="AA3319" t="n">
        <v>2097.55</v>
      </c>
      <c r="AB3319">
        <f>ROUND(U3319-AA3319,2)</f>
        <v/>
      </c>
      <c r="AC3319" t="b">
        <v>0</v>
      </c>
      <c r="AD3319">
        <f>IF(U3319="","MISSING_TOTAL",IF(ABS(AB3319)&lt;=0.01,"OK","CHECK"))</f>
        <v/>
      </c>
      <c r="AE3319">
        <f>IF(U3319="","MISSING",IF(AND(AA3319&gt;0,U3319/AA3319&gt;50),"POSSIBLE_SCALE_ERROR","OK"))</f>
        <v/>
      </c>
    </row>
    <row r="3320">
      <c r="A3320" t="inlineStr">
        <is>
          <t>T-2014-Q4-00038</t>
        </is>
      </c>
      <c r="B3320" t="inlineStr">
        <is>
          <t>SLE</t>
        </is>
      </c>
      <c r="C3320" t="inlineStr">
        <is>
          <t>Vice-President, Finance and Corporate Services</t>
        </is>
      </c>
      <c r="D3320" t="inlineStr">
        <is>
          <t>Vice-présidente, Finances et Services corporatifs</t>
        </is>
      </c>
      <c r="E3320" t="inlineStr">
        <is>
          <t>Denise Frenette</t>
        </is>
      </c>
      <c r="F3320" t="inlineStr">
        <is>
          <t>Meetings with Government of Canada Officials</t>
        </is>
      </c>
      <c r="G3320" t="inlineStr">
        <is>
          <t>Réunions avec des fonctionnaires du gouvernement du Canada</t>
        </is>
      </c>
      <c r="H3320" s="1" t="n">
        <v>41666</v>
      </c>
      <c r="I3320" s="1" t="n">
        <v>41667</v>
      </c>
      <c r="J3320" t="inlineStr">
        <is>
          <t>Ottawa, Ontario</t>
        </is>
      </c>
      <c r="K3320" t="inlineStr">
        <is>
          <t>Ottawa (Ontario)</t>
        </is>
      </c>
      <c r="P3320" t="n">
        <v>633.53</v>
      </c>
      <c r="Q3320" t="n">
        <v>38.96</v>
      </c>
      <c r="R3320" t="n">
        <v>182.73</v>
      </c>
      <c r="S3320" t="n">
        <v>133.7</v>
      </c>
      <c r="T3320" t="n">
        <v>0</v>
      </c>
      <c r="U3320" t="n">
        <v>988.92</v>
      </c>
      <c r="X3320" t="inlineStr">
        <is>
          <t>acoa-apeca</t>
        </is>
      </c>
      <c r="Y3320" t="inlineStr">
        <is>
          <t>Atlantic Canada Opportunities Agency | Agence de promotion économique du Canada atlantique</t>
        </is>
      </c>
      <c r="Z3320" t="n">
        <v>2</v>
      </c>
      <c r="AA3320" t="n">
        <v>988.92</v>
      </c>
      <c r="AB3320">
        <f>ROUND(U3320-AA3320,2)</f>
        <v/>
      </c>
      <c r="AC3320" t="b">
        <v>0</v>
      </c>
      <c r="AD3320">
        <f>IF(U3320="","MISSING_TOTAL",IF(ABS(AB3320)&lt;=0.01,"OK","CHECK"))</f>
        <v/>
      </c>
      <c r="AE3320">
        <f>IF(U3320="","MISSING",IF(AND(AA3320&gt;0,U3320/AA3320&gt;50),"POSSIBLE_SCALE_ERROR","OK"))</f>
        <v/>
      </c>
    </row>
    <row r="3321">
      <c r="A3321" t="inlineStr">
        <is>
          <t>T-2014-Q4-00037</t>
        </is>
      </c>
      <c r="B3321" t="inlineStr">
        <is>
          <t>SLE</t>
        </is>
      </c>
      <c r="C3321" t="inlineStr">
        <is>
          <t>Vice-President, Prince Edward Island</t>
        </is>
      </c>
      <c r="D3321" t="inlineStr">
        <is>
          <t>Vice-président, Île-du-Prince-Édouard</t>
        </is>
      </c>
      <c r="E3321" t="inlineStr">
        <is>
          <t>Patrick Dorsey</t>
        </is>
      </c>
      <c r="F3321" t="inlineStr">
        <is>
          <t>Meetings with Government Officials in Ottawa</t>
        </is>
      </c>
      <c r="G3321" t="inlineStr">
        <is>
          <t>Réunions avec des fonctionnaires du gouvernement à Ottawa</t>
        </is>
      </c>
      <c r="H3321" s="1" t="n">
        <v>41666</v>
      </c>
      <c r="I3321" s="1" t="n">
        <v>41668</v>
      </c>
      <c r="J3321" t="inlineStr">
        <is>
          <t>Ottawa, Ontario</t>
        </is>
      </c>
      <c r="K3321" t="inlineStr">
        <is>
          <t>Ottawa (Ontario)</t>
        </is>
      </c>
      <c r="P3321" t="n">
        <v>627.16</v>
      </c>
      <c r="Q3321" t="n">
        <v>85</v>
      </c>
      <c r="R3321" t="n">
        <v>365.46</v>
      </c>
      <c r="S3321" t="n">
        <v>238.95</v>
      </c>
      <c r="T3321" t="n">
        <v>0</v>
      </c>
      <c r="U3321" t="n">
        <v>1316.57</v>
      </c>
      <c r="X3321" t="inlineStr">
        <is>
          <t>acoa-apeca</t>
        </is>
      </c>
      <c r="Y3321" t="inlineStr">
        <is>
          <t>Atlantic Canada Opportunities Agency | Agence de promotion économique du Canada atlantique</t>
        </is>
      </c>
      <c r="Z3321" t="n">
        <v>3</v>
      </c>
      <c r="AA3321" t="n">
        <v>1316.57</v>
      </c>
      <c r="AB3321">
        <f>ROUND(U3321-AA3321,2)</f>
        <v/>
      </c>
      <c r="AC3321" t="b">
        <v>0</v>
      </c>
      <c r="AD3321">
        <f>IF(U3321="","MISSING_TOTAL",IF(ABS(AB3321)&lt;=0.01,"OK","CHECK"))</f>
        <v/>
      </c>
      <c r="AE3321">
        <f>IF(U3321="","MISSING",IF(AND(AA3321&gt;0,U3321/AA3321&gt;50),"POSSIBLE_SCALE_ERROR","OK"))</f>
        <v/>
      </c>
    </row>
    <row r="3322">
      <c r="A3322" t="inlineStr">
        <is>
          <t>T-2014-Q4-00036</t>
        </is>
      </c>
      <c r="B3322" t="inlineStr">
        <is>
          <t>SLE</t>
        </is>
      </c>
      <c r="C3322" t="inlineStr">
        <is>
          <t>President</t>
        </is>
      </c>
      <c r="D3322" t="inlineStr">
        <is>
          <t>Président</t>
        </is>
      </c>
      <c r="E3322" t="inlineStr">
        <is>
          <t>Paul J. LeBlanc</t>
        </is>
      </c>
      <c r="F3322" t="inlineStr">
        <is>
          <t>For various meetings and discussions with: Agency officials; with Government of Canada officials</t>
        </is>
      </c>
      <c r="G3322" t="inlineStr">
        <is>
          <t>Diverses réunions et discussions avec des fonctionnaires de l'Agence et du gouvernement du Canada</t>
        </is>
      </c>
      <c r="H3322" s="1" t="n">
        <v>41666</v>
      </c>
      <c r="I3322" s="1" t="n">
        <v>41669</v>
      </c>
      <c r="J3322" t="inlineStr">
        <is>
          <t>Ottawa, Ontario</t>
        </is>
      </c>
      <c r="K3322" t="inlineStr">
        <is>
          <t>Ottawa (Ontario)</t>
        </is>
      </c>
      <c r="P3322" t="n">
        <v>741.74</v>
      </c>
      <c r="Q3322" t="n">
        <v>0</v>
      </c>
      <c r="R3322" t="n">
        <v>548.1900000000001</v>
      </c>
      <c r="S3322" t="n">
        <v>230</v>
      </c>
      <c r="T3322" t="n">
        <v>0</v>
      </c>
      <c r="U3322" t="n">
        <v>1519.93</v>
      </c>
      <c r="X3322" t="inlineStr">
        <is>
          <t>acoa-apeca</t>
        </is>
      </c>
      <c r="Y3322" t="inlineStr">
        <is>
          <t>Atlantic Canada Opportunities Agency | Agence de promotion économique du Canada atlantique</t>
        </is>
      </c>
      <c r="Z3322" t="n">
        <v>4</v>
      </c>
      <c r="AA3322" t="n">
        <v>1519.93</v>
      </c>
      <c r="AB3322">
        <f>ROUND(U3322-AA3322,2)</f>
        <v/>
      </c>
      <c r="AC3322" t="b">
        <v>0</v>
      </c>
      <c r="AD3322">
        <f>IF(U3322="","MISSING_TOTAL",IF(ABS(AB3322)&lt;=0.01,"OK","CHECK"))</f>
        <v/>
      </c>
      <c r="AE3322">
        <f>IF(U3322="","MISSING",IF(AND(AA3322&gt;0,U3322/AA3322&gt;50),"POSSIBLE_SCALE_ERROR","OK"))</f>
        <v/>
      </c>
    </row>
    <row r="3323">
      <c r="A3323" t="inlineStr">
        <is>
          <t>T-2014-Q4-00032</t>
        </is>
      </c>
      <c r="B3323" t="inlineStr">
        <is>
          <t>SLE</t>
        </is>
      </c>
      <c r="C3323" t="inlineStr">
        <is>
          <t>Vice-President, Prince Edward Island</t>
        </is>
      </c>
      <c r="D3323" t="inlineStr">
        <is>
          <t>Vice-président, Île-du-Prince-Édouard</t>
        </is>
      </c>
      <c r="E3323" t="inlineStr">
        <is>
          <t>Patrick Dorsey</t>
        </is>
      </c>
      <c r="F3323" t="inlineStr">
        <is>
          <t>Meetings with Government Officials in Ottawa</t>
        </is>
      </c>
      <c r="G3323" t="inlineStr">
        <is>
          <t>Réunions avec des fonctionnaires du gouvernement à Ottawa</t>
        </is>
      </c>
      <c r="H3323" s="1" t="n">
        <v>41660</v>
      </c>
      <c r="I3323" s="1" t="n">
        <v>41663</v>
      </c>
      <c r="J3323" t="inlineStr">
        <is>
          <t>Ottawa, Ontario</t>
        </is>
      </c>
      <c r="K3323" t="inlineStr">
        <is>
          <t>Ottawa (Ontario)</t>
        </is>
      </c>
      <c r="P3323" t="n">
        <v>756.64</v>
      </c>
      <c r="Q3323" t="n">
        <v>94</v>
      </c>
      <c r="R3323" t="n">
        <v>548.1900000000001</v>
      </c>
      <c r="S3323" t="n">
        <v>241.15</v>
      </c>
      <c r="T3323" t="n">
        <v>0</v>
      </c>
      <c r="U3323" t="n">
        <v>1639.98</v>
      </c>
      <c r="X3323" t="inlineStr">
        <is>
          <t>acoa-apeca</t>
        </is>
      </c>
      <c r="Y3323" t="inlineStr">
        <is>
          <t>Atlantic Canada Opportunities Agency | Agence de promotion économique du Canada atlantique</t>
        </is>
      </c>
      <c r="Z3323" t="n">
        <v>4</v>
      </c>
      <c r="AA3323" t="n">
        <v>1639.98</v>
      </c>
      <c r="AB3323">
        <f>ROUND(U3323-AA3323,2)</f>
        <v/>
      </c>
      <c r="AC3323" t="b">
        <v>0</v>
      </c>
      <c r="AD3323">
        <f>IF(U3323="","MISSING_TOTAL",IF(ABS(AB3323)&lt;=0.01,"OK","CHECK"))</f>
        <v/>
      </c>
      <c r="AE3323">
        <f>IF(U3323="","MISSING",IF(AND(AA3323&gt;0,U3323/AA3323&gt;50),"POSSIBLE_SCALE_ERROR","OK"))</f>
        <v/>
      </c>
    </row>
    <row r="3324">
      <c r="A3324" t="inlineStr">
        <is>
          <t>T-2014-Q4-00031</t>
        </is>
      </c>
      <c r="B3324" t="inlineStr">
        <is>
          <t>SLE</t>
        </is>
      </c>
      <c r="C3324" t="inlineStr">
        <is>
          <t>Vice President, Nova Scotia</t>
        </is>
      </c>
      <c r="D3324" t="inlineStr">
        <is>
          <t>Vice-président, Nouvelle-Écosse</t>
        </is>
      </c>
      <c r="E3324" t="inlineStr">
        <is>
          <t>Peter Hogan</t>
        </is>
      </c>
      <c r="F3324" t="inlineStr">
        <is>
          <t>Various Meetings with Government of Canada and Agency Officials</t>
        </is>
      </c>
      <c r="G3324" t="inlineStr">
        <is>
          <t>Diverses réunions avec des fonctionnaires du gouvernement du Canada et de l'Agence</t>
        </is>
      </c>
      <c r="H3324" s="1" t="n">
        <v>41659</v>
      </c>
      <c r="I3324" s="1" t="n">
        <v>41663</v>
      </c>
      <c r="J3324" t="inlineStr">
        <is>
          <t>Ottawa, Ontario</t>
        </is>
      </c>
      <c r="K3324" t="inlineStr">
        <is>
          <t>Ottawa (Ontario)</t>
        </is>
      </c>
      <c r="P3324" t="n">
        <v>1179.19</v>
      </c>
      <c r="Q3324" t="n">
        <v>229.4</v>
      </c>
      <c r="R3324" t="n">
        <v>730.92</v>
      </c>
      <c r="S3324" t="n">
        <v>347.7</v>
      </c>
      <c r="T3324" t="n">
        <v>0</v>
      </c>
      <c r="U3324" t="n">
        <v>2487.21</v>
      </c>
      <c r="X3324" t="inlineStr">
        <is>
          <t>acoa-apeca</t>
        </is>
      </c>
      <c r="Y3324" t="inlineStr">
        <is>
          <t>Atlantic Canada Opportunities Agency | Agence de promotion économique du Canada atlantique</t>
        </is>
      </c>
      <c r="Z3324" t="n">
        <v>5</v>
      </c>
      <c r="AA3324" t="n">
        <v>2487.21</v>
      </c>
      <c r="AB3324">
        <f>ROUND(U3324-AA3324,2)</f>
        <v/>
      </c>
      <c r="AC3324" t="b">
        <v>0</v>
      </c>
      <c r="AD3324">
        <f>IF(U3324="","MISSING_TOTAL",IF(ABS(AB3324)&lt;=0.01,"OK","CHECK"))</f>
        <v/>
      </c>
      <c r="AE3324">
        <f>IF(U3324="","MISSING",IF(AND(AA3324&gt;0,U3324/AA3324&gt;50),"POSSIBLE_SCALE_ERROR","OK"))</f>
        <v/>
      </c>
    </row>
    <row r="3325">
      <c r="A3325" t="inlineStr">
        <is>
          <t>T-2014-Q4-00030</t>
        </is>
      </c>
      <c r="B3325" t="inlineStr">
        <is>
          <t>SLE</t>
        </is>
      </c>
      <c r="C3325" t="inlineStr">
        <is>
          <t>Vice-President, New Brunswick</t>
        </is>
      </c>
      <c r="D3325" t="inlineStr">
        <is>
          <t>Vice-président, Nouveau-Brunswick</t>
        </is>
      </c>
      <c r="E3325" t="inlineStr">
        <is>
          <t>Kent Estabrooks</t>
        </is>
      </c>
      <c r="F3325" t="inlineStr">
        <is>
          <t>Meeting with various Federal Officials in Ottawa</t>
        </is>
      </c>
      <c r="G3325" t="inlineStr">
        <is>
          <t>Réunion avec divers fonctionnaires fédéraux à Ottawa</t>
        </is>
      </c>
      <c r="H3325" s="1" t="n">
        <v>41659</v>
      </c>
      <c r="I3325" s="1" t="n">
        <v>41663</v>
      </c>
      <c r="J3325" t="inlineStr">
        <is>
          <t>Ottawa, Ontario</t>
        </is>
      </c>
      <c r="K3325" t="inlineStr">
        <is>
          <t>Ottawa (Ontario)</t>
        </is>
      </c>
      <c r="P3325" t="n">
        <v>892.7</v>
      </c>
      <c r="Q3325" t="n">
        <v>154.25</v>
      </c>
      <c r="R3325" t="n">
        <v>730.92</v>
      </c>
      <c r="S3325" t="n">
        <v>284.7</v>
      </c>
      <c r="T3325" t="n">
        <v>0</v>
      </c>
      <c r="U3325" t="n">
        <v>2062.57</v>
      </c>
      <c r="X3325" t="inlineStr">
        <is>
          <t>acoa-apeca</t>
        </is>
      </c>
      <c r="Y3325" t="inlineStr">
        <is>
          <t>Atlantic Canada Opportunities Agency | Agence de promotion économique du Canada atlantique</t>
        </is>
      </c>
      <c r="Z3325" t="n">
        <v>5</v>
      </c>
      <c r="AA3325" t="n">
        <v>2062.56999999999</v>
      </c>
      <c r="AB3325">
        <f>ROUND(U3325-AA3325,2)</f>
        <v/>
      </c>
      <c r="AC3325" t="b">
        <v>0</v>
      </c>
      <c r="AD3325">
        <f>IF(U3325="","MISSING_TOTAL",IF(ABS(AB3325)&lt;=0.01,"OK","CHECK"))</f>
        <v/>
      </c>
      <c r="AE3325">
        <f>IF(U3325="","MISSING",IF(AND(AA3325&gt;0,U3325/AA3325&gt;50),"POSSIBLE_SCALE_ERROR","OK"))</f>
        <v/>
      </c>
    </row>
    <row r="3326">
      <c r="A3326" t="inlineStr">
        <is>
          <t>T-2014-Q4-00029</t>
        </is>
      </c>
      <c r="B3326" t="inlineStr">
        <is>
          <t>MPSES</t>
        </is>
      </c>
      <c r="C3326" t="inlineStr">
        <is>
          <t>Executive Assistant</t>
        </is>
      </c>
      <c r="D3326" t="inlineStr">
        <is>
          <t>Adjoint exécutif</t>
        </is>
      </c>
      <c r="E3326" t="inlineStr">
        <is>
          <t>Josh Hardy</t>
        </is>
      </c>
      <c r="F3326" t="inlineStr">
        <is>
          <t>Travel on Government business</t>
        </is>
      </c>
      <c r="G3326" t="inlineStr">
        <is>
          <t>Voyage pour le compte du gouvernement</t>
        </is>
      </c>
      <c r="H3326" s="1" t="n">
        <v>41659</v>
      </c>
      <c r="I3326" s="1" t="n">
        <v>41663</v>
      </c>
      <c r="J3326" t="inlineStr">
        <is>
          <t>Moncton and Hampton, New Brunswick</t>
        </is>
      </c>
      <c r="K3326" t="inlineStr">
        <is>
          <t>Moncton et Hampton (Nouveau-Brunswick)</t>
        </is>
      </c>
      <c r="P3326" t="n">
        <v>0</v>
      </c>
      <c r="Q3326" t="n">
        <v>236.87</v>
      </c>
      <c r="R3326" t="n">
        <v>0</v>
      </c>
      <c r="S3326" t="n">
        <v>15.1</v>
      </c>
      <c r="T3326" t="n">
        <v>0</v>
      </c>
      <c r="U3326" t="n">
        <v>251.97</v>
      </c>
      <c r="X3326" t="inlineStr">
        <is>
          <t>acoa-apeca</t>
        </is>
      </c>
      <c r="Y3326" t="inlineStr">
        <is>
          <t>Atlantic Canada Opportunities Agency | Agence de promotion économique du Canada atlantique</t>
        </is>
      </c>
      <c r="Z3326" t="n">
        <v>5</v>
      </c>
      <c r="AA3326" t="n">
        <v>251.97</v>
      </c>
      <c r="AB3326">
        <f>ROUND(U3326-AA3326,2)</f>
        <v/>
      </c>
      <c r="AC3326" t="b">
        <v>0</v>
      </c>
      <c r="AD3326">
        <f>IF(U3326="","MISSING_TOTAL",IF(ABS(AB3326)&lt;=0.01,"OK","CHECK"))</f>
        <v/>
      </c>
      <c r="AE3326">
        <f>IF(U3326="","MISSING",IF(AND(AA3326&gt;0,U3326/AA3326&gt;50),"POSSIBLE_SCALE_ERROR","OK"))</f>
        <v/>
      </c>
    </row>
    <row r="3327">
      <c r="A3327" t="inlineStr">
        <is>
          <t>T-2014-Q4-00028</t>
        </is>
      </c>
      <c r="B3327" t="inlineStr">
        <is>
          <t>MPSES</t>
        </is>
      </c>
      <c r="C3327" t="inlineStr">
        <is>
          <t>Minister of State</t>
        </is>
      </c>
      <c r="D3327" t="inlineStr">
        <is>
          <t>Ministre d'État</t>
        </is>
      </c>
      <c r="E3327" t="inlineStr">
        <is>
          <t>Rob Moore</t>
        </is>
      </c>
      <c r="F3327" t="inlineStr">
        <is>
          <t>Travel to attend Government of Canada announcement, pre-budget consultation and Canada 150 consultation</t>
        </is>
      </c>
      <c r="G3327" t="inlineStr">
        <is>
          <t>Annonce du gouvernement du Canada, consultation prébudgétaire et consultation sur Canada 150</t>
        </is>
      </c>
      <c r="H3327" s="1" t="n">
        <v>41659</v>
      </c>
      <c r="I3327" s="1" t="n">
        <v>41659</v>
      </c>
      <c r="J3327" t="inlineStr">
        <is>
          <t>Riverview, Sussex and Hampton, New Brunswick</t>
        </is>
      </c>
      <c r="K3327" t="inlineStr">
        <is>
          <t>Riverview, Sussex et Hampton (Nouveau-Brunswick)</t>
        </is>
      </c>
      <c r="P3327" t="n">
        <v>0</v>
      </c>
      <c r="Q3327" t="n">
        <v>137.12</v>
      </c>
      <c r="R3327" t="n">
        <v>0</v>
      </c>
      <c r="S3327" t="n">
        <v>30.85</v>
      </c>
      <c r="T3327" t="n">
        <v>0</v>
      </c>
      <c r="U3327" t="n">
        <v>167.97</v>
      </c>
      <c r="X3327" t="inlineStr">
        <is>
          <t>acoa-apeca</t>
        </is>
      </c>
      <c r="Y3327" t="inlineStr">
        <is>
          <t>Atlantic Canada Opportunities Agency | Agence de promotion économique du Canada atlantique</t>
        </is>
      </c>
      <c r="Z3327" t="n">
        <v>1</v>
      </c>
      <c r="AA3327" t="n">
        <v>167.97</v>
      </c>
      <c r="AB3327">
        <f>ROUND(U3327-AA3327,2)</f>
        <v/>
      </c>
      <c r="AC3327" t="b">
        <v>0</v>
      </c>
      <c r="AD3327">
        <f>IF(U3327="","MISSING_TOTAL",IF(ABS(AB3327)&lt;=0.01,"OK","CHECK"))</f>
        <v/>
      </c>
      <c r="AE3327">
        <f>IF(U3327="","MISSING",IF(AND(AA3327&gt;0,U3327/AA3327&gt;50),"POSSIBLE_SCALE_ERROR","OK"))</f>
        <v/>
      </c>
    </row>
    <row r="3328">
      <c r="A3328" t="inlineStr">
        <is>
          <t>T-2014-Q4-00027</t>
        </is>
      </c>
      <c r="B3328" t="inlineStr">
        <is>
          <t>SLE</t>
        </is>
      </c>
      <c r="C3328" t="inlineStr">
        <is>
          <t>Vice-President, Newfoundland and Labrador</t>
        </is>
      </c>
      <c r="D3328" t="inlineStr">
        <is>
          <t>Vice-président, Terre-Neuve-et-Labrador</t>
        </is>
      </c>
      <c r="E3328" t="inlineStr">
        <is>
          <t>Paul Mills</t>
        </is>
      </c>
      <c r="F3328" t="inlineStr">
        <is>
          <t>2014 ADM Forum</t>
        </is>
      </c>
      <c r="G3328" t="inlineStr">
        <is>
          <t>Forum des SMA 2014</t>
        </is>
      </c>
      <c r="H3328" s="1" t="n">
        <v>41659</v>
      </c>
      <c r="I3328" s="1" t="n">
        <v>41662</v>
      </c>
      <c r="J3328" t="inlineStr">
        <is>
          <t>Ottawa, Ontario</t>
        </is>
      </c>
      <c r="K3328" t="inlineStr">
        <is>
          <t>Ottawa (Ontario)</t>
        </is>
      </c>
      <c r="P3328" t="n">
        <v>1376.74</v>
      </c>
      <c r="Q3328" t="n">
        <v>190</v>
      </c>
      <c r="R3328" t="n">
        <v>540.22</v>
      </c>
      <c r="S3328" t="n">
        <v>314.65</v>
      </c>
      <c r="T3328" t="n">
        <v>11.74</v>
      </c>
      <c r="U3328" t="n">
        <v>2433.35</v>
      </c>
      <c r="X3328" t="inlineStr">
        <is>
          <t>acoa-apeca</t>
        </is>
      </c>
      <c r="Y3328" t="inlineStr">
        <is>
          <t>Atlantic Canada Opportunities Agency | Agence de promotion économique du Canada atlantique</t>
        </is>
      </c>
      <c r="Z3328" t="n">
        <v>4</v>
      </c>
      <c r="AA3328" t="n">
        <v>2433.35</v>
      </c>
      <c r="AB3328">
        <f>ROUND(U3328-AA3328,2)</f>
        <v/>
      </c>
      <c r="AC3328" t="b">
        <v>0</v>
      </c>
      <c r="AD3328">
        <f>IF(U3328="","MISSING_TOTAL",IF(ABS(AB3328)&lt;=0.01,"OK","CHECK"))</f>
        <v/>
      </c>
      <c r="AE3328">
        <f>IF(U3328="","MISSING",IF(AND(AA3328&gt;0,U3328/AA3328&gt;50),"POSSIBLE_SCALE_ERROR","OK"))</f>
        <v/>
      </c>
    </row>
    <row r="3329">
      <c r="A3329" t="inlineStr">
        <is>
          <t>T-2014-Q4-00026</t>
        </is>
      </c>
      <c r="B3329" t="inlineStr">
        <is>
          <t>SLE</t>
        </is>
      </c>
      <c r="C3329" t="inlineStr">
        <is>
          <t>Vice President, Nova Scotia</t>
        </is>
      </c>
      <c r="D3329" t="inlineStr">
        <is>
          <t>Vice-président, Nouvelle-Écosse</t>
        </is>
      </c>
      <c r="E3329" t="inlineStr">
        <is>
          <t>Peter Hogan</t>
        </is>
      </c>
      <c r="F3329" t="inlineStr">
        <is>
          <t>Various Client and Site Visits</t>
        </is>
      </c>
      <c r="G3329" t="inlineStr">
        <is>
          <t>Diverses réunions avec des clients et visites sur place</t>
        </is>
      </c>
      <c r="H3329" s="1" t="n">
        <v>41653</v>
      </c>
      <c r="I3329" s="1" t="n">
        <v>41653</v>
      </c>
      <c r="J3329" t="inlineStr">
        <is>
          <t>Lunenburg, Nova Scotia</t>
        </is>
      </c>
      <c r="K3329" t="inlineStr">
        <is>
          <t>Lunenburg (Nouvelle-Écosse)</t>
        </is>
      </c>
      <c r="P3329" t="n">
        <v>0</v>
      </c>
      <c r="Q3329" t="n">
        <v>109.14</v>
      </c>
      <c r="R3329" t="n">
        <v>0</v>
      </c>
      <c r="S3329" t="n">
        <v>15.1</v>
      </c>
      <c r="T3329" t="n">
        <v>0</v>
      </c>
      <c r="U3329" t="n">
        <v>124.24</v>
      </c>
      <c r="X3329" t="inlineStr">
        <is>
          <t>acoa-apeca</t>
        </is>
      </c>
      <c r="Y3329" t="inlineStr">
        <is>
          <t>Atlantic Canada Opportunities Agency | Agence de promotion économique du Canada atlantique</t>
        </is>
      </c>
      <c r="Z3329" t="n">
        <v>1</v>
      </c>
      <c r="AA3329" t="n">
        <v>124.24</v>
      </c>
      <c r="AB3329">
        <f>ROUND(U3329-AA3329,2)</f>
        <v/>
      </c>
      <c r="AC3329" t="b">
        <v>0</v>
      </c>
      <c r="AD3329">
        <f>IF(U3329="","MISSING_TOTAL",IF(ABS(AB3329)&lt;=0.01,"OK","CHECK"))</f>
        <v/>
      </c>
      <c r="AE3329">
        <f>IF(U3329="","MISSING",IF(AND(AA3329&gt;0,U3329/AA3329&gt;50),"POSSIBLE_SCALE_ERROR","OK"))</f>
        <v/>
      </c>
    </row>
    <row r="3330">
      <c r="A3330" t="inlineStr">
        <is>
          <t>T-2014-Q4-00025</t>
        </is>
      </c>
      <c r="B3330" t="inlineStr">
        <is>
          <t>MPSES</t>
        </is>
      </c>
      <c r="C3330" t="inlineStr">
        <is>
          <t>Chief of Staff</t>
        </is>
      </c>
      <c r="D3330" t="inlineStr">
        <is>
          <t>Chef de cabinet</t>
        </is>
      </c>
      <c r="E3330" t="inlineStr">
        <is>
          <t>Shane Bourke</t>
        </is>
      </c>
      <c r="F3330" t="inlineStr">
        <is>
          <t>Travel on Government business</t>
        </is>
      </c>
      <c r="G3330" t="inlineStr">
        <is>
          <t>Voyage pour le compte du gouvernement</t>
        </is>
      </c>
      <c r="H3330" s="1" t="n">
        <v>41653</v>
      </c>
      <c r="I3330" s="1" t="n">
        <v>41655</v>
      </c>
      <c r="J3330" t="inlineStr">
        <is>
          <t>St. John's, Newfoundland and Labrador</t>
        </is>
      </c>
      <c r="K3330" t="inlineStr">
        <is>
          <t>St. John's (Terre-Neuve-et-Labrador)</t>
        </is>
      </c>
      <c r="P3330" t="n">
        <v>1182.66</v>
      </c>
      <c r="Q3330" t="n">
        <v>63</v>
      </c>
      <c r="R3330" t="n">
        <v>319.83</v>
      </c>
      <c r="S3330" t="n">
        <v>99.75</v>
      </c>
      <c r="T3330" t="n">
        <v>0</v>
      </c>
      <c r="U3330" t="n">
        <v>1665.24</v>
      </c>
      <c r="X3330" t="inlineStr">
        <is>
          <t>acoa-apeca</t>
        </is>
      </c>
      <c r="Y3330" t="inlineStr">
        <is>
          <t>Atlantic Canada Opportunities Agency | Agence de promotion économique du Canada atlantique</t>
        </is>
      </c>
      <c r="Z3330" t="n">
        <v>3</v>
      </c>
      <c r="AA3330" t="n">
        <v>1665.24</v>
      </c>
      <c r="AB3330">
        <f>ROUND(U3330-AA3330,2)</f>
        <v/>
      </c>
      <c r="AC3330" t="b">
        <v>0</v>
      </c>
      <c r="AD3330">
        <f>IF(U3330="","MISSING_TOTAL",IF(ABS(AB3330)&lt;=0.01,"OK","CHECK"))</f>
        <v/>
      </c>
      <c r="AE3330">
        <f>IF(U3330="","MISSING",IF(AND(AA3330&gt;0,U3330/AA3330&gt;50),"POSSIBLE_SCALE_ERROR","OK"))</f>
        <v/>
      </c>
    </row>
    <row r="3331">
      <c r="A3331" t="inlineStr">
        <is>
          <t>T-2014-Q4-00024</t>
        </is>
      </c>
      <c r="B3331" t="inlineStr">
        <is>
          <t>SLE</t>
        </is>
      </c>
      <c r="C3331" t="inlineStr">
        <is>
          <t>President</t>
        </is>
      </c>
      <c r="D3331" t="inlineStr">
        <is>
          <t>Président</t>
        </is>
      </c>
      <c r="E3331" t="inlineStr">
        <is>
          <t>Paul J. LeBlanc</t>
        </is>
      </c>
      <c r="F3331" t="inlineStr">
        <is>
          <t>For meetings and discussions with various Agency officials and key stakeholders</t>
        </is>
      </c>
      <c r="G3331" t="inlineStr">
        <is>
          <t>Réunions et discussions avec divers fonctionnaires de l'Agence et intervenants clés</t>
        </is>
      </c>
      <c r="H3331" s="1" t="n">
        <v>41653</v>
      </c>
      <c r="I3331" s="1" t="n">
        <v>41654</v>
      </c>
      <c r="J3331" t="inlineStr">
        <is>
          <t>St. John's, Newfoundland and Labrador</t>
        </is>
      </c>
      <c r="K3331" t="inlineStr">
        <is>
          <t>St. John's (Terre-Neuve-et-Labrador)</t>
        </is>
      </c>
      <c r="P3331" t="n">
        <v>1114.36</v>
      </c>
      <c r="Q3331" t="n">
        <v>30</v>
      </c>
      <c r="R3331" t="n">
        <v>156.78</v>
      </c>
      <c r="S3331" t="n">
        <v>149.45</v>
      </c>
      <c r="T3331" t="n">
        <v>146</v>
      </c>
      <c r="U3331" t="n">
        <v>1596.59</v>
      </c>
      <c r="X3331" t="inlineStr">
        <is>
          <t>acoa-apeca</t>
        </is>
      </c>
      <c r="Y3331" t="inlineStr">
        <is>
          <t>Atlantic Canada Opportunities Agency | Agence de promotion économique du Canada atlantique</t>
        </is>
      </c>
      <c r="Z3331" t="n">
        <v>2</v>
      </c>
      <c r="AA3331" t="n">
        <v>1596.59</v>
      </c>
      <c r="AB3331">
        <f>ROUND(U3331-AA3331,2)</f>
        <v/>
      </c>
      <c r="AC3331" t="b">
        <v>0</v>
      </c>
      <c r="AD3331">
        <f>IF(U3331="","MISSING_TOTAL",IF(ABS(AB3331)&lt;=0.01,"OK","CHECK"))</f>
        <v/>
      </c>
      <c r="AE3331">
        <f>IF(U3331="","MISSING",IF(AND(AA3331&gt;0,U3331/AA3331&gt;50),"POSSIBLE_SCALE_ERROR","OK"))</f>
        <v/>
      </c>
    </row>
    <row r="3332">
      <c r="A3332" t="inlineStr">
        <is>
          <t>T-2014-Q4-00023</t>
        </is>
      </c>
      <c r="B3332" t="inlineStr">
        <is>
          <t>SLE</t>
        </is>
      </c>
      <c r="C3332" t="inlineStr">
        <is>
          <t>Vice-President, Finance and Corporate Services</t>
        </is>
      </c>
      <c r="D3332" t="inlineStr">
        <is>
          <t>Vice-présidente, Finances et Services corporatifs</t>
        </is>
      </c>
      <c r="E3332" t="inlineStr">
        <is>
          <t>Denise Frenette</t>
        </is>
      </c>
      <c r="F3332" t="inlineStr">
        <is>
          <t>Meeting with Agency Officials</t>
        </is>
      </c>
      <c r="G3332" t="inlineStr">
        <is>
          <t>Réunion avec des fonctionnaires de l'Agence</t>
        </is>
      </c>
      <c r="H3332" s="1" t="n">
        <v>41652</v>
      </c>
      <c r="I3332" s="1" t="n">
        <v>41712</v>
      </c>
      <c r="J3332" t="inlineStr">
        <is>
          <t>Ottawa, Ontario</t>
        </is>
      </c>
      <c r="K3332" t="inlineStr">
        <is>
          <t>Ottawa (Ontario)</t>
        </is>
      </c>
      <c r="P3332" t="n">
        <v>458.16</v>
      </c>
      <c r="Q3332" t="n">
        <v>0</v>
      </c>
      <c r="R3332" t="n">
        <v>182.73</v>
      </c>
      <c r="S3332" t="n">
        <v>118.6</v>
      </c>
      <c r="T3332" t="n">
        <v>32.13</v>
      </c>
      <c r="U3332" t="n">
        <v>791.62</v>
      </c>
      <c r="X3332" t="inlineStr">
        <is>
          <t>acoa-apeca</t>
        </is>
      </c>
      <c r="Y3332" t="inlineStr">
        <is>
          <t>Atlantic Canada Opportunities Agency | Agence de promotion économique du Canada atlantique</t>
        </is>
      </c>
      <c r="Z3332" t="n">
        <v>61</v>
      </c>
      <c r="AA3332" t="n">
        <v>791.62</v>
      </c>
      <c r="AB3332">
        <f>ROUND(U3332-AA3332,2)</f>
        <v/>
      </c>
      <c r="AC3332" t="b">
        <v>0</v>
      </c>
      <c r="AD3332">
        <f>IF(U3332="","MISSING_TOTAL",IF(ABS(AB3332)&lt;=0.01,"OK","CHECK"))</f>
        <v/>
      </c>
      <c r="AE3332">
        <f>IF(U3332="","MISSING",IF(AND(AA3332&gt;0,U3332/AA3332&gt;50),"POSSIBLE_SCALE_ERROR","OK"))</f>
        <v/>
      </c>
    </row>
    <row r="3333">
      <c r="A3333" t="inlineStr">
        <is>
          <t>T-2014-Q4-00022</t>
        </is>
      </c>
      <c r="B3333" t="inlineStr">
        <is>
          <t>MPSES</t>
        </is>
      </c>
      <c r="C3333" t="inlineStr">
        <is>
          <t>Executive Assistant</t>
        </is>
      </c>
      <c r="D3333" t="inlineStr">
        <is>
          <t>Adjoint exécutif</t>
        </is>
      </c>
      <c r="E3333" t="inlineStr">
        <is>
          <t>Josh Hardy</t>
        </is>
      </c>
      <c r="F3333" t="inlineStr">
        <is>
          <t>Travel on Government business</t>
        </is>
      </c>
      <c r="G3333" t="inlineStr">
        <is>
          <t>Voyage pour le compte du gouvernement</t>
        </is>
      </c>
      <c r="H3333" s="1" t="n">
        <v>41652</v>
      </c>
      <c r="I3333" s="1" t="n">
        <v>41656</v>
      </c>
      <c r="J3333" t="inlineStr">
        <is>
          <t>Halifax and Lunenburg, Nova Scotia</t>
        </is>
      </c>
      <c r="K3333" t="inlineStr">
        <is>
          <t>Halifax et Lunenburg (Nouvelle-Écosse)</t>
        </is>
      </c>
      <c r="P3333" t="n">
        <v>0</v>
      </c>
      <c r="Q3333" t="n">
        <v>516.4</v>
      </c>
      <c r="R3333" t="n">
        <v>163.05</v>
      </c>
      <c r="S3333" t="n">
        <v>99.75</v>
      </c>
      <c r="T3333" t="n">
        <v>0</v>
      </c>
      <c r="U3333" t="n">
        <v>779.2</v>
      </c>
      <c r="X3333" t="inlineStr">
        <is>
          <t>acoa-apeca</t>
        </is>
      </c>
      <c r="Y3333" t="inlineStr">
        <is>
          <t>Atlantic Canada Opportunities Agency | Agence de promotion économique du Canada atlantique</t>
        </is>
      </c>
      <c r="Z3333" t="n">
        <v>5</v>
      </c>
      <c r="AA3333" t="n">
        <v>779.2</v>
      </c>
      <c r="AB3333">
        <f>ROUND(U3333-AA3333,2)</f>
        <v/>
      </c>
      <c r="AC3333" t="b">
        <v>0</v>
      </c>
      <c r="AD3333">
        <f>IF(U3333="","MISSING_TOTAL",IF(ABS(AB3333)&lt;=0.01,"OK","CHECK"))</f>
        <v/>
      </c>
      <c r="AE3333">
        <f>IF(U3333="","MISSING",IF(AND(AA3333&gt;0,U3333/AA3333&gt;50),"POSSIBLE_SCALE_ERROR","OK"))</f>
        <v/>
      </c>
    </row>
    <row r="3334">
      <c r="A3334" t="inlineStr">
        <is>
          <t>T-2014-Q4-00021</t>
        </is>
      </c>
      <c r="B3334" t="inlineStr">
        <is>
          <t>MPSES</t>
        </is>
      </c>
      <c r="C3334" t="inlineStr">
        <is>
          <t>Minister of State</t>
        </is>
      </c>
      <c r="D3334" t="inlineStr">
        <is>
          <t>Ministre d'État</t>
        </is>
      </c>
      <c r="E3334" t="inlineStr">
        <is>
          <t>Rob Moore</t>
        </is>
      </c>
      <c r="F3334" t="inlineStr">
        <is>
          <t>Travel to attend Government of Canada announcement, pre-budget consultations, speech to St. John’s Board of Trade and various meetings relating to Atlantic Canada Opportunities Agency</t>
        </is>
      </c>
      <c r="G3334" t="inlineStr">
        <is>
          <t>Annonce du gouvernement du Canada, consultations prébudgétaires, allocution à la Chambre de commerce de St. John's et diverses réunions se rapportant à l'Agence de promotion économique du Canada atlantique</t>
        </is>
      </c>
      <c r="H3334" s="1" t="n">
        <v>41652</v>
      </c>
      <c r="I3334" s="1" t="n">
        <v>41654</v>
      </c>
      <c r="J3334" t="inlineStr">
        <is>
          <t>Lunenburg and Halifax, Nova Scotia and St. John's, Newfoundland</t>
        </is>
      </c>
      <c r="K3334" t="inlineStr">
        <is>
          <t>Lunenburg et Halifax (Nouvelle-Écosse) et St. John's (Terre-Neuve-et-Labrador)</t>
        </is>
      </c>
      <c r="P3334" t="n">
        <v>1461.7</v>
      </c>
      <c r="Q3334" t="n">
        <v>10.4</v>
      </c>
      <c r="R3334" t="n">
        <v>319.83</v>
      </c>
      <c r="S3334" t="n">
        <v>108.1</v>
      </c>
      <c r="T3334" t="n">
        <v>0</v>
      </c>
      <c r="U3334" t="n">
        <v>1900.03</v>
      </c>
      <c r="X3334" t="inlineStr">
        <is>
          <t>acoa-apeca</t>
        </is>
      </c>
      <c r="Y3334" t="inlineStr">
        <is>
          <t>Atlantic Canada Opportunities Agency | Agence de promotion économique du Canada atlantique</t>
        </is>
      </c>
      <c r="Z3334" t="n">
        <v>3</v>
      </c>
      <c r="AA3334" t="n">
        <v>1900.03</v>
      </c>
      <c r="AB3334">
        <f>ROUND(U3334-AA3334,2)</f>
        <v/>
      </c>
      <c r="AC3334" t="b">
        <v>0</v>
      </c>
      <c r="AD3334">
        <f>IF(U3334="","MISSING_TOTAL",IF(ABS(AB3334)&lt;=0.01,"OK","CHECK"))</f>
        <v/>
      </c>
      <c r="AE3334">
        <f>IF(U3334="","MISSING",IF(AND(AA3334&gt;0,U3334/AA3334&gt;50),"POSSIBLE_SCALE_ERROR","OK"))</f>
        <v/>
      </c>
    </row>
    <row r="3335">
      <c r="A3335" t="inlineStr">
        <is>
          <t>T-2014-Q4-00020</t>
        </is>
      </c>
      <c r="B3335" t="inlineStr">
        <is>
          <t>SLE</t>
        </is>
      </c>
      <c r="C3335" t="inlineStr">
        <is>
          <t>Vice-President, Policy and Programs</t>
        </is>
      </c>
      <c r="D3335" t="inlineStr">
        <is>
          <t>Vice-président, Politiques et Programmes</t>
        </is>
      </c>
      <c r="E3335" t="inlineStr">
        <is>
          <t>Daryell Nowlan</t>
        </is>
      </c>
      <c r="F3335" t="inlineStr">
        <is>
          <t>Meetings with Government of Canada officials</t>
        </is>
      </c>
      <c r="G3335" t="inlineStr">
        <is>
          <t>Réunions avec des fonctionnaires du gouvernement du Canada</t>
        </is>
      </c>
      <c r="H3335" s="1" t="n">
        <v>41652</v>
      </c>
      <c r="I3335" s="1" t="n">
        <v>41654</v>
      </c>
      <c r="J3335" t="inlineStr">
        <is>
          <t>Ottawa, Ontario</t>
        </is>
      </c>
      <c r="K3335" t="inlineStr">
        <is>
          <t>Ottawa (Ontario)</t>
        </is>
      </c>
      <c r="P3335" t="n">
        <v>790</v>
      </c>
      <c r="Q3335" t="n">
        <v>79.90000000000001</v>
      </c>
      <c r="R3335" t="n">
        <v>365.46</v>
      </c>
      <c r="S3335" t="n">
        <v>193</v>
      </c>
      <c r="T3335" t="n">
        <v>0</v>
      </c>
      <c r="U3335" t="n">
        <v>1428.36</v>
      </c>
      <c r="X3335" t="inlineStr">
        <is>
          <t>acoa-apeca</t>
        </is>
      </c>
      <c r="Y3335" t="inlineStr">
        <is>
          <t>Atlantic Canada Opportunities Agency | Agence de promotion économique du Canada atlantique</t>
        </is>
      </c>
      <c r="Z3335" t="n">
        <v>3</v>
      </c>
      <c r="AA3335" t="n">
        <v>1428.36</v>
      </c>
      <c r="AB3335">
        <f>ROUND(U3335-AA3335,2)</f>
        <v/>
      </c>
      <c r="AC3335" t="b">
        <v>0</v>
      </c>
      <c r="AD3335">
        <f>IF(U3335="","MISSING_TOTAL",IF(ABS(AB3335)&lt;=0.01,"OK","CHECK"))</f>
        <v/>
      </c>
      <c r="AE3335">
        <f>IF(U3335="","MISSING",IF(AND(AA3335&gt;0,U3335/AA3335&gt;50),"POSSIBLE_SCALE_ERROR","OK"))</f>
        <v/>
      </c>
    </row>
    <row r="3336">
      <c r="A3336" t="inlineStr">
        <is>
          <t>T-2014-Q4-00019</t>
        </is>
      </c>
      <c r="B3336" t="inlineStr">
        <is>
          <t>MPSES</t>
        </is>
      </c>
      <c r="C3336" t="inlineStr">
        <is>
          <t>Minister of State</t>
        </is>
      </c>
      <c r="D3336" t="inlineStr">
        <is>
          <t>Ministre d'État</t>
        </is>
      </c>
      <c r="E3336" t="inlineStr">
        <is>
          <t>Rob Moore</t>
        </is>
      </c>
      <c r="F3336" t="inlineStr">
        <is>
          <t>Travel to attend Government of Canada announcement, speech to Greater Charlottetown Area Chamber of Commerce and stakeholder roundtable</t>
        </is>
      </c>
      <c r="G3336" t="inlineStr">
        <is>
          <t>Annonce du gouvernement du Canada, allocution à la Chambre de commerce du Grand Charlottetown et table ronde avec des intervenants</t>
        </is>
      </c>
      <c r="H3336" s="1" t="n">
        <v>41649</v>
      </c>
      <c r="I3336" s="1" t="n">
        <v>41649</v>
      </c>
      <c r="J3336" t="inlineStr">
        <is>
          <t>Charlottetown, Prince Edward Island</t>
        </is>
      </c>
      <c r="K3336" t="inlineStr">
        <is>
          <t>Charlottetown (Île-du-Prince-Édouard)</t>
        </is>
      </c>
      <c r="P3336" t="n">
        <v>0</v>
      </c>
      <c r="Q3336" t="n">
        <v>105.93</v>
      </c>
      <c r="R3336" t="n">
        <v>0</v>
      </c>
      <c r="S3336" t="n">
        <v>57.75</v>
      </c>
      <c r="T3336" t="n">
        <v>0</v>
      </c>
      <c r="U3336" t="n">
        <v>163.68</v>
      </c>
      <c r="X3336" t="inlineStr">
        <is>
          <t>acoa-apeca</t>
        </is>
      </c>
      <c r="Y3336" t="inlineStr">
        <is>
          <t>Atlantic Canada Opportunities Agency | Agence de promotion économique du Canada atlantique</t>
        </is>
      </c>
      <c r="Z3336" t="n">
        <v>1</v>
      </c>
      <c r="AA3336" t="n">
        <v>163.68</v>
      </c>
      <c r="AB3336">
        <f>ROUND(U3336-AA3336,2)</f>
        <v/>
      </c>
      <c r="AC3336" t="b">
        <v>0</v>
      </c>
      <c r="AD3336">
        <f>IF(U3336="","MISSING_TOTAL",IF(ABS(AB3336)&lt;=0.01,"OK","CHECK"))</f>
        <v/>
      </c>
      <c r="AE3336">
        <f>IF(U3336="","MISSING",IF(AND(AA3336&gt;0,U3336/AA3336&gt;50),"POSSIBLE_SCALE_ERROR","OK"))</f>
        <v/>
      </c>
    </row>
    <row r="3337">
      <c r="A3337" t="inlineStr">
        <is>
          <t>T-2014-Q4-00018</t>
        </is>
      </c>
      <c r="B3337" t="inlineStr">
        <is>
          <t>SLE</t>
        </is>
      </c>
      <c r="C3337" t="inlineStr">
        <is>
          <t>President</t>
        </is>
      </c>
      <c r="D3337" t="inlineStr">
        <is>
          <t>Président</t>
        </is>
      </c>
      <c r="E3337" t="inlineStr">
        <is>
          <t>Paul J. LeBlanc</t>
        </is>
      </c>
      <c r="F3337" t="inlineStr">
        <is>
          <t>For meeting with various key stakeholders</t>
        </is>
      </c>
      <c r="G3337" t="inlineStr">
        <is>
          <t>Réunion avec divers intervenants clés</t>
        </is>
      </c>
      <c r="H3337" s="1" t="n">
        <v>41649</v>
      </c>
      <c r="I3337" s="1" t="n">
        <v>41649</v>
      </c>
      <c r="J3337" t="inlineStr">
        <is>
          <t>Charlottetown, Prince Edward Island</t>
        </is>
      </c>
      <c r="K3337" t="inlineStr">
        <is>
          <t>Charlottetown (Île-du-Prince-Édouard)</t>
        </is>
      </c>
      <c r="P3337" t="n">
        <v>0</v>
      </c>
      <c r="Q3337" t="n">
        <v>0</v>
      </c>
      <c r="R3337" t="n">
        <v>0</v>
      </c>
      <c r="S3337" t="n">
        <v>15.1</v>
      </c>
      <c r="T3337" t="n">
        <v>0</v>
      </c>
      <c r="U3337" t="n">
        <v>15.1</v>
      </c>
      <c r="X3337" t="inlineStr">
        <is>
          <t>acoa-apeca</t>
        </is>
      </c>
      <c r="Y3337" t="inlineStr">
        <is>
          <t>Atlantic Canada Opportunities Agency | Agence de promotion économique du Canada atlantique</t>
        </is>
      </c>
      <c r="Z3337" t="n">
        <v>1</v>
      </c>
      <c r="AA3337" t="n">
        <v>15.1</v>
      </c>
      <c r="AB3337">
        <f>ROUND(U3337-AA3337,2)</f>
        <v/>
      </c>
      <c r="AC3337" t="b">
        <v>0</v>
      </c>
      <c r="AD3337">
        <f>IF(U3337="","MISSING_TOTAL",IF(ABS(AB3337)&lt;=0.01,"OK","CHECK"))</f>
        <v/>
      </c>
      <c r="AE3337">
        <f>IF(U3337="","MISSING",IF(AND(AA3337&gt;0,U3337/AA3337&gt;50),"POSSIBLE_SCALE_ERROR","OK"))</f>
        <v/>
      </c>
    </row>
    <row r="3338">
      <c r="A3338" t="inlineStr">
        <is>
          <t>T-2014-Q4-00017</t>
        </is>
      </c>
      <c r="B3338" t="inlineStr">
        <is>
          <t>MPSES</t>
        </is>
      </c>
      <c r="C3338" t="inlineStr">
        <is>
          <t>Minister of State</t>
        </is>
      </c>
      <c r="D3338" t="inlineStr">
        <is>
          <t>Ministre d'État</t>
        </is>
      </c>
      <c r="E3338" t="inlineStr">
        <is>
          <t>Rob Moore</t>
        </is>
      </c>
      <c r="F3338" t="inlineStr">
        <is>
          <t>Travel to attend Apex Industries site tour, meeting with Greater Moncton Sewerage Commission, meeting with Atlantic Canada Opportunities Agency officials and stakeholder roundtable</t>
        </is>
      </c>
      <c r="G3338" t="inlineStr">
        <is>
          <t>Visite des installations d'Apex Industries, réunion avec la Commission d'épuration des eaux usées du Grand Moncton, réunion avec des fonctionnaires de l'Agence de promotion économique du Canada atlantique et table ronde avec des intervenants</t>
        </is>
      </c>
      <c r="H3338" s="1" t="n">
        <v>41648</v>
      </c>
      <c r="I3338" s="1" t="n">
        <v>41648</v>
      </c>
      <c r="J3338" t="inlineStr">
        <is>
          <t>Moncton, New Brunswick</t>
        </is>
      </c>
      <c r="K3338" t="inlineStr">
        <is>
          <t>Moncton (Nouveau-Brunswick)</t>
        </is>
      </c>
      <c r="P3338" t="n">
        <v>0</v>
      </c>
      <c r="Q3338" t="n">
        <v>105.93</v>
      </c>
      <c r="R3338" t="n">
        <v>0</v>
      </c>
      <c r="S3338" t="n">
        <v>57.1</v>
      </c>
      <c r="T3338" t="n">
        <v>0</v>
      </c>
      <c r="U3338" t="n">
        <v>163.03</v>
      </c>
      <c r="X3338" t="inlineStr">
        <is>
          <t>acoa-apeca</t>
        </is>
      </c>
      <c r="Y3338" t="inlineStr">
        <is>
          <t>Atlantic Canada Opportunities Agency | Agence de promotion économique du Canada atlantique</t>
        </is>
      </c>
      <c r="Z3338" t="n">
        <v>1</v>
      </c>
      <c r="AA3338" t="n">
        <v>163.03</v>
      </c>
      <c r="AB3338">
        <f>ROUND(U3338-AA3338,2)</f>
        <v/>
      </c>
      <c r="AC3338" t="b">
        <v>0</v>
      </c>
      <c r="AD3338">
        <f>IF(U3338="","MISSING_TOTAL",IF(ABS(AB3338)&lt;=0.01,"OK","CHECK"))</f>
        <v/>
      </c>
      <c r="AE3338">
        <f>IF(U3338="","MISSING",IF(AND(AA3338&gt;0,U3338/AA3338&gt;50),"POSSIBLE_SCALE_ERROR","OK"))</f>
        <v/>
      </c>
    </row>
    <row r="3339">
      <c r="A3339" t="inlineStr">
        <is>
          <t>T-2014-Q4-00016</t>
        </is>
      </c>
      <c r="B3339" t="inlineStr">
        <is>
          <t>MPSES</t>
        </is>
      </c>
      <c r="C3339" t="inlineStr">
        <is>
          <t>Chief of Staff</t>
        </is>
      </c>
      <c r="D3339" t="inlineStr">
        <is>
          <t>Chef de cabinet</t>
        </is>
      </c>
      <c r="E3339" t="inlineStr">
        <is>
          <t>Shane Bourke</t>
        </is>
      </c>
      <c r="F3339" t="inlineStr">
        <is>
          <t>Travel on Government business</t>
        </is>
      </c>
      <c r="G3339" t="inlineStr">
        <is>
          <t>Voyage pour le compte du gouvernement</t>
        </is>
      </c>
      <c r="H3339" s="1" t="n">
        <v>41647</v>
      </c>
      <c r="I3339" s="1" t="n">
        <v>41648</v>
      </c>
      <c r="J3339" t="inlineStr">
        <is>
          <t>Moncton, New Brunswick</t>
        </is>
      </c>
      <c r="K3339" t="inlineStr">
        <is>
          <t>Moncton (Nouveau-Brunswick)</t>
        </is>
      </c>
      <c r="P3339" t="n">
        <v>685.78</v>
      </c>
      <c r="Q3339" t="n">
        <v>75</v>
      </c>
      <c r="R3339" t="n">
        <v>113</v>
      </c>
      <c r="S3339" t="n">
        <v>107.45</v>
      </c>
      <c r="T3339" t="n">
        <v>0</v>
      </c>
      <c r="U3339" t="n">
        <v>981.23</v>
      </c>
      <c r="X3339" t="inlineStr">
        <is>
          <t>acoa-apeca</t>
        </is>
      </c>
      <c r="Y3339" t="inlineStr">
        <is>
          <t>Atlantic Canada Opportunities Agency | Agence de promotion économique du Canada atlantique</t>
        </is>
      </c>
      <c r="Z3339" t="n">
        <v>2</v>
      </c>
      <c r="AA3339" t="n">
        <v>981.23</v>
      </c>
      <c r="AB3339">
        <f>ROUND(U3339-AA3339,2)</f>
        <v/>
      </c>
      <c r="AC3339" t="b">
        <v>0</v>
      </c>
      <c r="AD3339">
        <f>IF(U3339="","MISSING_TOTAL",IF(ABS(AB3339)&lt;=0.01,"OK","CHECK"))</f>
        <v/>
      </c>
      <c r="AE3339">
        <f>IF(U3339="","MISSING",IF(AND(AA3339&gt;0,U3339/AA3339&gt;50),"POSSIBLE_SCALE_ERROR","OK"))</f>
        <v/>
      </c>
    </row>
    <row r="3340">
      <c r="A3340" t="inlineStr">
        <is>
          <t>T-2014-Q4-00014</t>
        </is>
      </c>
      <c r="B3340" t="inlineStr">
        <is>
          <t>MPSES</t>
        </is>
      </c>
      <c r="C3340" t="inlineStr">
        <is>
          <t>Executive Assistant</t>
        </is>
      </c>
      <c r="D3340" t="inlineStr">
        <is>
          <t>Adjoint exécutif</t>
        </is>
      </c>
      <c r="E3340" t="inlineStr">
        <is>
          <t>Josh Hardy</t>
        </is>
      </c>
      <c r="F3340" t="inlineStr">
        <is>
          <t>Travel on Government business</t>
        </is>
      </c>
      <c r="G3340" t="inlineStr">
        <is>
          <t>Voyage pour le compte du gouvernement</t>
        </is>
      </c>
      <c r="H3340" s="1" t="n">
        <v>41645</v>
      </c>
      <c r="I3340" s="1" t="n">
        <v>41650</v>
      </c>
      <c r="J3340" t="inlineStr">
        <is>
          <t>Moncton, New Brunswick and Charlottetown, Prince Edward Island</t>
        </is>
      </c>
      <c r="K3340" t="inlineStr">
        <is>
          <t>Moncton (Nouveau-Brunswick) et Charlottetown (Île-du-Prince-Édouard)</t>
        </is>
      </c>
      <c r="P3340" t="n">
        <v>0</v>
      </c>
      <c r="Q3340" t="n">
        <v>340.89</v>
      </c>
      <c r="R3340" t="n">
        <v>0</v>
      </c>
      <c r="S3340" t="n">
        <v>72.84999999999999</v>
      </c>
      <c r="T3340" t="n">
        <v>0</v>
      </c>
      <c r="U3340" t="n">
        <v>413.74</v>
      </c>
      <c r="X3340" t="inlineStr">
        <is>
          <t>acoa-apeca</t>
        </is>
      </c>
      <c r="Y3340" t="inlineStr">
        <is>
          <t>Atlantic Canada Opportunities Agency | Agence de promotion économique du Canada atlantique</t>
        </is>
      </c>
      <c r="Z3340" t="n">
        <v>6</v>
      </c>
      <c r="AA3340" t="n">
        <v>413.74</v>
      </c>
      <c r="AB3340">
        <f>ROUND(U3340-AA3340,2)</f>
        <v/>
      </c>
      <c r="AC3340" t="b">
        <v>0</v>
      </c>
      <c r="AD3340">
        <f>IF(U3340="","MISSING_TOTAL",IF(ABS(AB3340)&lt;=0.01,"OK","CHECK"))</f>
        <v/>
      </c>
      <c r="AE3340">
        <f>IF(U3340="","MISSING",IF(AND(AA3340&gt;0,U3340/AA3340&gt;50),"POSSIBLE_SCALE_ERROR","OK"))</f>
        <v/>
      </c>
    </row>
    <row r="3341">
      <c r="A3341" t="inlineStr">
        <is>
          <t>T-2014-Q4-00013</t>
        </is>
      </c>
      <c r="B3341" t="inlineStr">
        <is>
          <t>SLE</t>
        </is>
      </c>
      <c r="C3341" t="inlineStr">
        <is>
          <t>Vice-President, Newfoundland and Labrador</t>
        </is>
      </c>
      <c r="D3341" t="inlineStr">
        <is>
          <t>Vice-président, Terre-Neuve-et-Labrador</t>
        </is>
      </c>
      <c r="E3341" t="inlineStr">
        <is>
          <t>Paul Mills</t>
        </is>
      </c>
      <c r="F3341" t="inlineStr">
        <is>
          <t>Mileage claim for travel to meetings in private vehicle from January 3 to March 19, 2014</t>
        </is>
      </c>
      <c r="G3341" t="inlineStr">
        <is>
          <t>Réclamation de frais de kilométrage relatifs à l'utilisation d'un véhicule personnel pour voyager à des réunions du 3 janvier au 19 mars 2014</t>
        </is>
      </c>
      <c r="H3341" s="1" t="n">
        <v>41642</v>
      </c>
      <c r="I3341" s="1" t="n">
        <v>41717</v>
      </c>
      <c r="J3341" t="inlineStr">
        <is>
          <t>St. John's, Newfoundland and Labrador</t>
        </is>
      </c>
      <c r="K3341" t="inlineStr">
        <is>
          <t>St. John's (Terre-Neuve-et-Labrador)</t>
        </is>
      </c>
      <c r="P3341" t="n">
        <v>0</v>
      </c>
      <c r="Q3341" t="n">
        <v>49.29</v>
      </c>
      <c r="R3341" t="n">
        <v>0</v>
      </c>
      <c r="S3341" t="n">
        <v>0</v>
      </c>
      <c r="T3341" t="n">
        <v>0</v>
      </c>
      <c r="U3341" t="n">
        <v>49.29</v>
      </c>
      <c r="X3341" t="inlineStr">
        <is>
          <t>acoa-apeca</t>
        </is>
      </c>
      <c r="Y3341" t="inlineStr">
        <is>
          <t>Atlantic Canada Opportunities Agency | Agence de promotion économique du Canada atlantique</t>
        </is>
      </c>
      <c r="Z3341" t="n">
        <v>76</v>
      </c>
      <c r="AA3341" t="n">
        <v>49.29</v>
      </c>
      <c r="AB3341">
        <f>ROUND(U3341-AA3341,2)</f>
        <v/>
      </c>
      <c r="AC3341" t="b">
        <v>0</v>
      </c>
      <c r="AD3341">
        <f>IF(U3341="","MISSING_TOTAL",IF(ABS(AB3341)&lt;=0.01,"OK","CHECK"))</f>
        <v/>
      </c>
      <c r="AE3341">
        <f>IF(U3341="","MISSING",IF(AND(AA3341&gt;0,U3341/AA3341&gt;50),"POSSIBLE_SCALE_ERROR","OK"))</f>
        <v/>
      </c>
    </row>
    <row r="3342">
      <c r="A3342" t="inlineStr">
        <is>
          <t>T-2014-Q4-00012</t>
        </is>
      </c>
      <c r="B3342" t="inlineStr">
        <is>
          <t>SLE</t>
        </is>
      </c>
      <c r="C3342" t="inlineStr">
        <is>
          <t>Vice President, Nova Scotia</t>
        </is>
      </c>
      <c r="D3342" t="inlineStr">
        <is>
          <t>Vice-président, Nouvelle-Écosse</t>
        </is>
      </c>
      <c r="E3342" t="inlineStr">
        <is>
          <t>Peter Hogan</t>
        </is>
      </c>
      <c r="F3342" t="inlineStr">
        <is>
          <t>Various Site and Client Visits</t>
        </is>
      </c>
      <c r="G3342" t="inlineStr">
        <is>
          <t>Diverses réunions avec des clients et visites sur place</t>
        </is>
      </c>
      <c r="H3342" s="1" t="n">
        <v>41627</v>
      </c>
      <c r="I3342" s="1" t="n">
        <v>41627</v>
      </c>
      <c r="J3342" t="inlineStr">
        <is>
          <t>Bridgewater, Nova Scotia</t>
        </is>
      </c>
      <c r="K3342" t="inlineStr">
        <is>
          <t>Bridgewater (Nouvelle-Écosse)</t>
        </is>
      </c>
      <c r="P3342" t="n">
        <v>0</v>
      </c>
      <c r="Q3342" t="n">
        <v>197.37</v>
      </c>
      <c r="R3342" t="n">
        <v>0</v>
      </c>
      <c r="S3342" t="n">
        <v>42</v>
      </c>
      <c r="T3342" t="n">
        <v>0</v>
      </c>
      <c r="U3342" t="n">
        <v>239.37</v>
      </c>
      <c r="X3342" t="inlineStr">
        <is>
          <t>acoa-apeca</t>
        </is>
      </c>
      <c r="Y3342" t="inlineStr">
        <is>
          <t>Atlantic Canada Opportunities Agency | Agence de promotion économique du Canada atlantique</t>
        </is>
      </c>
      <c r="Z3342" t="n">
        <v>1</v>
      </c>
      <c r="AA3342" t="n">
        <v>239.37</v>
      </c>
      <c r="AB3342">
        <f>ROUND(U3342-AA3342,2)</f>
        <v/>
      </c>
      <c r="AC3342" t="b">
        <v>0</v>
      </c>
      <c r="AD3342">
        <f>IF(U3342="","MISSING_TOTAL",IF(ABS(AB3342)&lt;=0.01,"OK","CHECK"))</f>
        <v/>
      </c>
      <c r="AE3342">
        <f>IF(U3342="","MISSING",IF(AND(AA3342&gt;0,U3342/AA3342&gt;50),"POSSIBLE_SCALE_ERROR","OK"))</f>
        <v/>
      </c>
    </row>
    <row r="3343">
      <c r="A3343" t="inlineStr">
        <is>
          <t>T-2014-Q4-00011</t>
        </is>
      </c>
      <c r="B3343" t="inlineStr">
        <is>
          <t>MPSES</t>
        </is>
      </c>
      <c r="C3343" t="inlineStr">
        <is>
          <t>Minister of State</t>
        </is>
      </c>
      <c r="D3343" t="inlineStr">
        <is>
          <t>Ministre d'État</t>
        </is>
      </c>
      <c r="E3343" t="inlineStr">
        <is>
          <t>Rob Moore</t>
        </is>
      </c>
      <c r="F3343" t="inlineStr">
        <is>
          <t>Travel to attend Government of Canada announcement and stakeholder roundtable</t>
        </is>
      </c>
      <c r="G3343" t="inlineStr">
        <is>
          <t>Annonce du gouvernement du Canada et table ronde avec des intervenants</t>
        </is>
      </c>
      <c r="H3343" s="1" t="n">
        <v>41621</v>
      </c>
      <c r="I3343" s="1" t="n">
        <v>41621</v>
      </c>
      <c r="J3343" t="inlineStr">
        <is>
          <t>Fredericton, New Brunswick</t>
        </is>
      </c>
      <c r="K3343" t="inlineStr">
        <is>
          <t>Fredericton (Nouveau-Brunswick)</t>
        </is>
      </c>
      <c r="P3343" t="n">
        <v>0</v>
      </c>
      <c r="Q3343" t="n">
        <v>136.62</v>
      </c>
      <c r="R3343" t="n">
        <v>0</v>
      </c>
      <c r="S3343" t="n">
        <v>57.1</v>
      </c>
      <c r="T3343" t="n">
        <v>0</v>
      </c>
      <c r="U3343" t="n">
        <v>193.72</v>
      </c>
      <c r="X3343" t="inlineStr">
        <is>
          <t>acoa-apeca</t>
        </is>
      </c>
      <c r="Y3343" t="inlineStr">
        <is>
          <t>Atlantic Canada Opportunities Agency | Agence de promotion économique du Canada atlantique</t>
        </is>
      </c>
      <c r="Z3343" t="n">
        <v>1</v>
      </c>
      <c r="AA3343" t="n">
        <v>193.72</v>
      </c>
      <c r="AB3343">
        <f>ROUND(U3343-AA3343,2)</f>
        <v/>
      </c>
      <c r="AC3343" t="b">
        <v>0</v>
      </c>
      <c r="AD3343">
        <f>IF(U3343="","MISSING_TOTAL",IF(ABS(AB3343)&lt;=0.01,"OK","CHECK"))</f>
        <v/>
      </c>
      <c r="AE3343">
        <f>IF(U3343="","MISSING",IF(AND(AA3343&gt;0,U3343/AA3343&gt;50),"POSSIBLE_SCALE_ERROR","OK"))</f>
        <v/>
      </c>
    </row>
    <row r="3344">
      <c r="A3344" t="inlineStr">
        <is>
          <t>T-2014-Q4-00010</t>
        </is>
      </c>
      <c r="B3344" t="inlineStr">
        <is>
          <t>SLE</t>
        </is>
      </c>
      <c r="C3344" t="inlineStr">
        <is>
          <t>Vice President, Nova Scotia</t>
        </is>
      </c>
      <c r="D3344" t="inlineStr">
        <is>
          <t>Vice-président, Nouvelle-Écosse</t>
        </is>
      </c>
      <c r="E3344" t="inlineStr">
        <is>
          <t>Peter Hogan</t>
        </is>
      </c>
      <c r="F3344" t="inlineStr">
        <is>
          <t>Meeting with Senior Agency Officials</t>
        </is>
      </c>
      <c r="G3344" t="inlineStr">
        <is>
          <t>Réunion avec des hauts fonctionnaires de l'Agence</t>
        </is>
      </c>
      <c r="H3344" s="1" t="n">
        <v>41619</v>
      </c>
      <c r="I3344" s="1" t="n">
        <v>41620</v>
      </c>
      <c r="J3344" t="inlineStr">
        <is>
          <t>Moncton, New Brunswick</t>
        </is>
      </c>
      <c r="K3344" t="inlineStr">
        <is>
          <t>Moncton (Nouveau-Brunswick)</t>
        </is>
      </c>
      <c r="P3344" t="n">
        <v>0</v>
      </c>
      <c r="Q3344" t="n">
        <v>292.36</v>
      </c>
      <c r="R3344" t="n">
        <v>50</v>
      </c>
      <c r="S3344" t="n">
        <v>134.35</v>
      </c>
      <c r="T3344" t="n">
        <v>0</v>
      </c>
      <c r="U3344" t="n">
        <v>476.71</v>
      </c>
      <c r="X3344" t="inlineStr">
        <is>
          <t>acoa-apeca</t>
        </is>
      </c>
      <c r="Y3344" t="inlineStr">
        <is>
          <t>Atlantic Canada Opportunities Agency | Agence de promotion économique du Canada atlantique</t>
        </is>
      </c>
      <c r="Z3344" t="n">
        <v>2</v>
      </c>
      <c r="AA3344" t="n">
        <v>476.71</v>
      </c>
      <c r="AB3344">
        <f>ROUND(U3344-AA3344,2)</f>
        <v/>
      </c>
      <c r="AC3344" t="b">
        <v>0</v>
      </c>
      <c r="AD3344">
        <f>IF(U3344="","MISSING_TOTAL",IF(ABS(AB3344)&lt;=0.01,"OK","CHECK"))</f>
        <v/>
      </c>
      <c r="AE3344">
        <f>IF(U3344="","MISSING",IF(AND(AA3344&gt;0,U3344/AA3344&gt;50),"POSSIBLE_SCALE_ERROR","OK"))</f>
        <v/>
      </c>
    </row>
    <row r="3345">
      <c r="A3345" t="inlineStr">
        <is>
          <t>T-2014-Q4-00009</t>
        </is>
      </c>
      <c r="B3345" t="inlineStr">
        <is>
          <t>SLE</t>
        </is>
      </c>
      <c r="C3345" t="inlineStr">
        <is>
          <t>Vice-President, New Brunswick</t>
        </is>
      </c>
      <c r="D3345" t="inlineStr">
        <is>
          <t>Vice-président, Nouveau-Brunswick</t>
        </is>
      </c>
      <c r="E3345" t="inlineStr">
        <is>
          <t>Kent Estabrooks</t>
        </is>
      </c>
      <c r="F3345" t="inlineStr">
        <is>
          <t>Executive Committee Meeting in Moncton</t>
        </is>
      </c>
      <c r="G3345" t="inlineStr">
        <is>
          <t>Réunion du Comité de direction à Moncton</t>
        </is>
      </c>
      <c r="H3345" s="1" t="n">
        <v>41619</v>
      </c>
      <c r="I3345" s="1" t="n">
        <v>41620</v>
      </c>
      <c r="J3345" t="inlineStr">
        <is>
          <t>Moncton, New Brunswick</t>
        </is>
      </c>
      <c r="K3345" t="inlineStr">
        <is>
          <t>Moncton (Nouveau-Brunswick)</t>
        </is>
      </c>
      <c r="P3345" t="n">
        <v>0</v>
      </c>
      <c r="Q3345" t="n">
        <v>181.18</v>
      </c>
      <c r="R3345" t="n">
        <v>0</v>
      </c>
      <c r="S3345" t="n">
        <v>92.34999999999999</v>
      </c>
      <c r="T3345" t="n">
        <v>18</v>
      </c>
      <c r="U3345" t="n">
        <v>291.53</v>
      </c>
      <c r="X3345" t="inlineStr">
        <is>
          <t>acoa-apeca</t>
        </is>
      </c>
      <c r="Y3345" t="inlineStr">
        <is>
          <t>Atlantic Canada Opportunities Agency | Agence de promotion économique du Canada atlantique</t>
        </is>
      </c>
      <c r="Z3345" t="n">
        <v>2</v>
      </c>
      <c r="AA3345" t="n">
        <v>291.53</v>
      </c>
      <c r="AB3345">
        <f>ROUND(U3345-AA3345,2)</f>
        <v/>
      </c>
      <c r="AC3345" t="b">
        <v>0</v>
      </c>
      <c r="AD3345">
        <f>IF(U3345="","MISSING_TOTAL",IF(ABS(AB3345)&lt;=0.01,"OK","CHECK"))</f>
        <v/>
      </c>
      <c r="AE3345">
        <f>IF(U3345="","MISSING",IF(AND(AA3345&gt;0,U3345/AA3345&gt;50),"POSSIBLE_SCALE_ERROR","OK"))</f>
        <v/>
      </c>
    </row>
    <row r="3346">
      <c r="A3346" t="inlineStr">
        <is>
          <t>T-2014-Q4-00007</t>
        </is>
      </c>
      <c r="B3346" t="inlineStr">
        <is>
          <t>SLE</t>
        </is>
      </c>
      <c r="C3346" t="inlineStr">
        <is>
          <t>Vice-President, Prince Edward Island</t>
        </is>
      </c>
      <c r="D3346" t="inlineStr">
        <is>
          <t>Vice-président, Île-du-Prince-Édouard</t>
        </is>
      </c>
      <c r="E3346" t="inlineStr">
        <is>
          <t>Patrick Dorsey</t>
        </is>
      </c>
      <c r="F3346" t="inlineStr">
        <is>
          <t>To attend meetings with ACTP Management Committee and EXCOMM in Moncton</t>
        </is>
      </c>
      <c r="G3346" t="inlineStr">
        <is>
          <t>Réunions du Comité de gestion du Partenariat du tourisme du Canada atlantique et du Comité de direction à Moncton</t>
        </is>
      </c>
      <c r="H3346" s="1" t="n">
        <v>41619</v>
      </c>
      <c r="I3346" s="1" t="n">
        <v>41620</v>
      </c>
      <c r="J3346" t="inlineStr">
        <is>
          <t>Moncton, New Brunswick</t>
        </is>
      </c>
      <c r="K3346" t="inlineStr">
        <is>
          <t>Moncton (Nouveau-Brunswick)</t>
        </is>
      </c>
      <c r="P3346" t="n">
        <v>0</v>
      </c>
      <c r="Q3346" t="n">
        <v>44.5</v>
      </c>
      <c r="R3346" t="n">
        <v>162.72</v>
      </c>
      <c r="S3346" t="n">
        <v>92.34999999999999</v>
      </c>
      <c r="T3346" t="n">
        <v>0</v>
      </c>
      <c r="U3346" t="n">
        <v>299.57</v>
      </c>
      <c r="X3346" t="inlineStr">
        <is>
          <t>acoa-apeca</t>
        </is>
      </c>
      <c r="Y3346" t="inlineStr">
        <is>
          <t>Atlantic Canada Opportunities Agency | Agence de promotion économique du Canada atlantique</t>
        </is>
      </c>
      <c r="Z3346" t="n">
        <v>2</v>
      </c>
      <c r="AA3346" t="n">
        <v>299.57</v>
      </c>
      <c r="AB3346">
        <f>ROUND(U3346-AA3346,2)</f>
        <v/>
      </c>
      <c r="AC3346" t="b">
        <v>0</v>
      </c>
      <c r="AD3346">
        <f>IF(U3346="","MISSING_TOTAL",IF(ABS(AB3346)&lt;=0.01,"OK","CHECK"))</f>
        <v/>
      </c>
      <c r="AE3346">
        <f>IF(U3346="","MISSING",IF(AND(AA3346&gt;0,U3346/AA3346&gt;50),"POSSIBLE_SCALE_ERROR","OK"))</f>
        <v/>
      </c>
    </row>
    <row r="3347">
      <c r="A3347" t="inlineStr">
        <is>
          <t>T-2014-Q4-00006</t>
        </is>
      </c>
      <c r="B3347" t="inlineStr">
        <is>
          <t>SLE</t>
        </is>
      </c>
      <c r="C3347" t="inlineStr">
        <is>
          <t>Vice-President, Newfoundland and Labrador</t>
        </is>
      </c>
      <c r="D3347" t="inlineStr">
        <is>
          <t>Vice-président, Terre-Neuve-et-Labrador</t>
        </is>
      </c>
      <c r="E3347" t="inlineStr">
        <is>
          <t>Paul Mills</t>
        </is>
      </c>
      <c r="F3347" t="inlineStr">
        <is>
          <t>Executive Committee Meeting (EXCOM)</t>
        </is>
      </c>
      <c r="G3347" t="inlineStr">
        <is>
          <t>Réunion du Comité de direction</t>
        </is>
      </c>
      <c r="H3347" s="1" t="n">
        <v>41619</v>
      </c>
      <c r="I3347" s="1" t="n">
        <v>41621</v>
      </c>
      <c r="J3347" t="inlineStr">
        <is>
          <t>Moncton, New Brunswick</t>
        </is>
      </c>
      <c r="K3347" t="inlineStr">
        <is>
          <t>Moncton (Nouveau-Brunswick)</t>
        </is>
      </c>
      <c r="P3347" t="n">
        <v>1376.74</v>
      </c>
      <c r="Q3347" t="n">
        <v>334.56</v>
      </c>
      <c r="R3347" t="n">
        <v>279.18</v>
      </c>
      <c r="S3347" t="n">
        <v>167.4</v>
      </c>
      <c r="T3347" t="n">
        <v>25.34</v>
      </c>
      <c r="U3347" t="n">
        <v>2183.22</v>
      </c>
      <c r="X3347" t="inlineStr">
        <is>
          <t>acoa-apeca</t>
        </is>
      </c>
      <c r="Y3347" t="inlineStr">
        <is>
          <t>Atlantic Canada Opportunities Agency | Agence de promotion économique du Canada atlantique</t>
        </is>
      </c>
      <c r="Z3347" t="n">
        <v>3</v>
      </c>
      <c r="AA3347" t="n">
        <v>2183.22</v>
      </c>
      <c r="AB3347">
        <f>ROUND(U3347-AA3347,2)</f>
        <v/>
      </c>
      <c r="AC3347" t="b">
        <v>0</v>
      </c>
      <c r="AD3347">
        <f>IF(U3347="","MISSING_TOTAL",IF(ABS(AB3347)&lt;=0.01,"OK","CHECK"))</f>
        <v/>
      </c>
      <c r="AE3347">
        <f>IF(U3347="","MISSING",IF(AND(AA3347&gt;0,U3347/AA3347&gt;50),"POSSIBLE_SCALE_ERROR","OK"))</f>
        <v/>
      </c>
    </row>
    <row r="3348">
      <c r="A3348" t="inlineStr">
        <is>
          <t>T-2014-Q4-00005</t>
        </is>
      </c>
      <c r="B3348" t="inlineStr">
        <is>
          <t>MPSES</t>
        </is>
      </c>
      <c r="C3348" t="inlineStr">
        <is>
          <t>Executive Assistant</t>
        </is>
      </c>
      <c r="D3348" t="inlineStr">
        <is>
          <t>Adjoint exécutif</t>
        </is>
      </c>
      <c r="E3348" t="inlineStr">
        <is>
          <t>Josh Hardy</t>
        </is>
      </c>
      <c r="F3348" t="inlineStr">
        <is>
          <t>Travel on Government business</t>
        </is>
      </c>
      <c r="G3348" t="inlineStr">
        <is>
          <t>Voyage pour le compte du gouvernement</t>
        </is>
      </c>
      <c r="H3348" s="1" t="n">
        <v>41618</v>
      </c>
      <c r="I3348" s="1" t="n">
        <v>41618</v>
      </c>
      <c r="J3348" t="inlineStr">
        <is>
          <t>St. John's, Newfoundland and Labrador</t>
        </is>
      </c>
      <c r="K3348" t="inlineStr">
        <is>
          <t>St. John's (Terre-Neuve-et-Labrador)</t>
        </is>
      </c>
      <c r="P3348" t="n">
        <v>1581.61</v>
      </c>
      <c r="Q3348" t="n">
        <v>19</v>
      </c>
      <c r="R3348" t="n">
        <v>0</v>
      </c>
      <c r="S3348" t="n">
        <v>57.1</v>
      </c>
      <c r="T3348" t="n">
        <v>0</v>
      </c>
      <c r="U3348" t="n">
        <v>1657.71</v>
      </c>
      <c r="X3348" t="inlineStr">
        <is>
          <t>acoa-apeca</t>
        </is>
      </c>
      <c r="Y3348" t="inlineStr">
        <is>
          <t>Atlantic Canada Opportunities Agency | Agence de promotion économique du Canada atlantique</t>
        </is>
      </c>
      <c r="Z3348" t="n">
        <v>1</v>
      </c>
      <c r="AA3348" t="n">
        <v>1657.70999999999</v>
      </c>
      <c r="AB3348">
        <f>ROUND(U3348-AA3348,2)</f>
        <v/>
      </c>
      <c r="AC3348" t="b">
        <v>0</v>
      </c>
      <c r="AD3348">
        <f>IF(U3348="","MISSING_TOTAL",IF(ABS(AB3348)&lt;=0.01,"OK","CHECK"))</f>
        <v/>
      </c>
      <c r="AE3348">
        <f>IF(U3348="","MISSING",IF(AND(AA3348&gt;0,U3348/AA3348&gt;50),"POSSIBLE_SCALE_ERROR","OK"))</f>
        <v/>
      </c>
    </row>
    <row r="3349">
      <c r="A3349" t="inlineStr">
        <is>
          <t>T-2014-Q4-00004</t>
        </is>
      </c>
      <c r="B3349" t="inlineStr">
        <is>
          <t>MPSES</t>
        </is>
      </c>
      <c r="C3349" t="inlineStr">
        <is>
          <t>Minister of State</t>
        </is>
      </c>
      <c r="D3349" t="inlineStr">
        <is>
          <t>Ministre d'État</t>
        </is>
      </c>
      <c r="E3349" t="inlineStr">
        <is>
          <t>Rob Moore</t>
        </is>
      </c>
      <c r="F3349" t="inlineStr">
        <is>
          <t>Travel to attend Government of Canada announcement</t>
        </is>
      </c>
      <c r="G3349" t="inlineStr">
        <is>
          <t>Annonce du gouvernement du Canada</t>
        </is>
      </c>
      <c r="H3349" s="1" t="n">
        <v>41618</v>
      </c>
      <c r="I3349" s="1" t="n">
        <v>41618</v>
      </c>
      <c r="J3349" t="inlineStr">
        <is>
          <t>St. John's, Newfoundland and Labrador</t>
        </is>
      </c>
      <c r="K3349" t="inlineStr">
        <is>
          <t>St. John's (Terre-Neuve-et-Labrador)</t>
        </is>
      </c>
      <c r="P3349" t="n">
        <v>1581.6</v>
      </c>
      <c r="Q3349" t="n">
        <v>0</v>
      </c>
      <c r="R3349" t="n">
        <v>0</v>
      </c>
      <c r="S3349" t="n">
        <v>57.1</v>
      </c>
      <c r="T3349" t="n">
        <v>0</v>
      </c>
      <c r="U3349" t="n">
        <v>1638.7</v>
      </c>
      <c r="X3349" t="inlineStr">
        <is>
          <t>acoa-apeca</t>
        </is>
      </c>
      <c r="Y3349" t="inlineStr">
        <is>
          <t>Atlantic Canada Opportunities Agency | Agence de promotion économique du Canada atlantique</t>
        </is>
      </c>
      <c r="Z3349" t="n">
        <v>1</v>
      </c>
      <c r="AA3349" t="n">
        <v>1638.69999999999</v>
      </c>
      <c r="AB3349">
        <f>ROUND(U3349-AA3349,2)</f>
        <v/>
      </c>
      <c r="AC3349" t="b">
        <v>0</v>
      </c>
      <c r="AD3349">
        <f>IF(U3349="","MISSING_TOTAL",IF(ABS(AB3349)&lt;=0.01,"OK","CHECK"))</f>
        <v/>
      </c>
      <c r="AE3349">
        <f>IF(U3349="","MISSING",IF(AND(AA3349&gt;0,U3349/AA3349&gt;50),"POSSIBLE_SCALE_ERROR","OK"))</f>
        <v/>
      </c>
    </row>
    <row r="3350">
      <c r="A3350" t="inlineStr">
        <is>
          <t>T-2014-Q4-00003</t>
        </is>
      </c>
      <c r="B3350" t="inlineStr">
        <is>
          <t>SLE</t>
        </is>
      </c>
      <c r="C3350" t="inlineStr">
        <is>
          <t>Vice-President, New Brunswick</t>
        </is>
      </c>
      <c r="D3350" t="inlineStr">
        <is>
          <t>Vice-président, Nouveau-Brunswick</t>
        </is>
      </c>
      <c r="E3350" t="inlineStr">
        <is>
          <t>Kent Estabrooks</t>
        </is>
      </c>
      <c r="F3350" t="inlineStr">
        <is>
          <t>External Stakeholders Meeting</t>
        </is>
      </c>
      <c r="G3350" t="inlineStr">
        <is>
          <t>Réunion avec des intervenants externes</t>
        </is>
      </c>
      <c r="H3350" s="1" t="n">
        <v>41613</v>
      </c>
      <c r="I3350" s="1" t="n">
        <v>41614</v>
      </c>
      <c r="J3350" t="inlineStr">
        <is>
          <t>Moncton, New Brunswick</t>
        </is>
      </c>
      <c r="K3350" t="inlineStr">
        <is>
          <t>Moncton (Nouveau-Brunswick)</t>
        </is>
      </c>
      <c r="P3350" t="n">
        <v>0</v>
      </c>
      <c r="Q3350" t="n">
        <v>181.18</v>
      </c>
      <c r="R3350" t="n">
        <v>0</v>
      </c>
      <c r="S3350" t="n">
        <v>92.34999999999999</v>
      </c>
      <c r="T3350" t="n">
        <v>4</v>
      </c>
      <c r="U3350" t="n">
        <v>277.53</v>
      </c>
      <c r="X3350" t="inlineStr">
        <is>
          <t>acoa-apeca</t>
        </is>
      </c>
      <c r="Y3350" t="inlineStr">
        <is>
          <t>Atlantic Canada Opportunities Agency | Agence de promotion économique du Canada atlantique</t>
        </is>
      </c>
      <c r="Z3350" t="n">
        <v>2</v>
      </c>
      <c r="AA3350" t="n">
        <v>277.53</v>
      </c>
      <c r="AB3350">
        <f>ROUND(U3350-AA3350,2)</f>
        <v/>
      </c>
      <c r="AC3350" t="b">
        <v>0</v>
      </c>
      <c r="AD3350">
        <f>IF(U3350="","MISSING_TOTAL",IF(ABS(AB3350)&lt;=0.01,"OK","CHECK"))</f>
        <v/>
      </c>
      <c r="AE3350">
        <f>IF(U3350="","MISSING",IF(AND(AA3350&gt;0,U3350/AA3350&gt;50),"POSSIBLE_SCALE_ERROR","OK"))</f>
        <v/>
      </c>
    </row>
    <row r="3351">
      <c r="A3351" t="inlineStr">
        <is>
          <t>T-2014-Q4-00002</t>
        </is>
      </c>
      <c r="B3351" t="inlineStr">
        <is>
          <t>SLE</t>
        </is>
      </c>
      <c r="C3351" t="inlineStr">
        <is>
          <t>Vice-President, Prince Edward Island</t>
        </is>
      </c>
      <c r="D3351" t="inlineStr">
        <is>
          <t>Vice-président, Île-du-Prince-Édouard</t>
        </is>
      </c>
      <c r="E3351" t="inlineStr">
        <is>
          <t>Patrick Dorsey</t>
        </is>
      </c>
      <c r="F3351" t="inlineStr">
        <is>
          <t>Meetings with TIAC and Minister's Office in Ottawa</t>
        </is>
      </c>
      <c r="G3351" t="inlineStr">
        <is>
          <t>Réunions avec l'Association de l'industrie touristique du Canada et le cabinet du ministre à Ottawa</t>
        </is>
      </c>
      <c r="H3351" s="1" t="n">
        <v>41611</v>
      </c>
      <c r="I3351" s="1" t="n">
        <v>41613</v>
      </c>
      <c r="J3351" t="inlineStr">
        <is>
          <t>Ottawa, Ontario</t>
        </is>
      </c>
      <c r="K3351" t="inlineStr">
        <is>
          <t>Ottawa (Ontario)</t>
        </is>
      </c>
      <c r="P3351" t="n">
        <v>900.45</v>
      </c>
      <c r="Q3351" t="n">
        <v>73</v>
      </c>
      <c r="R3351" t="n">
        <v>365.46</v>
      </c>
      <c r="S3351" t="n">
        <v>212.7</v>
      </c>
      <c r="T3351" t="n">
        <v>0</v>
      </c>
      <c r="U3351" t="n">
        <v>1551.61</v>
      </c>
      <c r="X3351" t="inlineStr">
        <is>
          <t>acoa-apeca</t>
        </is>
      </c>
      <c r="Y3351" t="inlineStr">
        <is>
          <t>Atlantic Canada Opportunities Agency | Agence de promotion économique du Canada atlantique</t>
        </is>
      </c>
      <c r="Z3351" t="n">
        <v>3</v>
      </c>
      <c r="AA3351" t="n">
        <v>1551.61</v>
      </c>
      <c r="AB3351">
        <f>ROUND(U3351-AA3351,2)</f>
        <v/>
      </c>
      <c r="AC3351" t="b">
        <v>0</v>
      </c>
      <c r="AD3351">
        <f>IF(U3351="","MISSING_TOTAL",IF(ABS(AB3351)&lt;=0.01,"OK","CHECK"))</f>
        <v/>
      </c>
      <c r="AE3351">
        <f>IF(U3351="","MISSING",IF(AND(AA3351&gt;0,U3351/AA3351&gt;50),"POSSIBLE_SCALE_ERROR","OK"))</f>
        <v/>
      </c>
    </row>
    <row r="3352">
      <c r="A3352" t="inlineStr">
        <is>
          <t>T-2014-Q4-00001</t>
        </is>
      </c>
      <c r="B3352" t="inlineStr">
        <is>
          <t>SLE</t>
        </is>
      </c>
      <c r="C3352" t="inlineStr">
        <is>
          <t>President</t>
        </is>
      </c>
      <c r="D3352" t="inlineStr">
        <is>
          <t>Président</t>
        </is>
      </c>
      <c r="E3352" t="inlineStr">
        <is>
          <t>Paul J. LeBlanc</t>
        </is>
      </c>
      <c r="F3352" t="inlineStr">
        <is>
          <t>To take part in sessions and conferences related to the Organisation for Economic Co-operation and Development</t>
        </is>
      </c>
      <c r="G3352" t="inlineStr">
        <is>
          <t>Participer à des séances et à des conférences se rapportant à l'Organisation de coopération et de développement économiques</t>
        </is>
      </c>
      <c r="H3352" s="1" t="n">
        <v>41610</v>
      </c>
      <c r="I3352" s="1" t="n">
        <v>41615</v>
      </c>
      <c r="J3352" t="inlineStr">
        <is>
          <t>Marseille, France</t>
        </is>
      </c>
      <c r="K3352" t="inlineStr">
        <is>
          <t>Marseille, France</t>
        </is>
      </c>
      <c r="P3352" t="n">
        <v>4187.49</v>
      </c>
      <c r="Q3352" t="n">
        <v>172.93</v>
      </c>
      <c r="R3352" t="n">
        <v>700.66</v>
      </c>
      <c r="S3352" t="n">
        <v>687.62</v>
      </c>
      <c r="T3352" t="n">
        <v>231</v>
      </c>
      <c r="U3352" t="n">
        <v>5979.7</v>
      </c>
      <c r="X3352" t="inlineStr">
        <is>
          <t>acoa-apeca</t>
        </is>
      </c>
      <c r="Y3352" t="inlineStr">
        <is>
          <t>Atlantic Canada Opportunities Agency | Agence de promotion économique du Canada atlantique</t>
        </is>
      </c>
      <c r="Z3352" t="n">
        <v>6</v>
      </c>
      <c r="AA3352" t="n">
        <v>5979.7</v>
      </c>
      <c r="AB3352">
        <f>ROUND(U3352-AA3352,2)</f>
        <v/>
      </c>
      <c r="AC3352" t="b">
        <v>0</v>
      </c>
      <c r="AD3352">
        <f>IF(U3352="","MISSING_TOTAL",IF(ABS(AB3352)&lt;=0.01,"OK","CHECK"))</f>
        <v/>
      </c>
      <c r="AE3352">
        <f>IF(U3352="","MISSING",IF(AND(AA3352&gt;0,U3352/AA3352&gt;50),"POSSIBLE_SCALE_ERROR","OK"))</f>
        <v/>
      </c>
    </row>
    <row r="3353">
      <c r="A3353" t="inlineStr">
        <is>
          <t>T-2014-Q3-00070</t>
        </is>
      </c>
      <c r="B3353" t="inlineStr">
        <is>
          <t>SLE</t>
        </is>
      </c>
      <c r="C3353" t="inlineStr">
        <is>
          <t>Vice-President, Policy and Programs</t>
        </is>
      </c>
      <c r="D3353" t="inlineStr">
        <is>
          <t>Vice-président, Politiques et Programmes</t>
        </is>
      </c>
      <c r="E3353" t="inlineStr">
        <is>
          <t>Daryell Nowlan</t>
        </is>
      </c>
      <c r="F3353" t="inlineStr">
        <is>
          <t>Meetings with Government of Canada officials</t>
        </is>
      </c>
      <c r="G3353" t="inlineStr">
        <is>
          <t>Réunions avec des fonctionnaires du gouvernement du Canada</t>
        </is>
      </c>
      <c r="H3353" s="1" t="n">
        <v>41609</v>
      </c>
      <c r="I3353" s="1" t="n">
        <v>41611</v>
      </c>
      <c r="J3353" t="inlineStr">
        <is>
          <t>Ottawa, Ontario</t>
        </is>
      </c>
      <c r="K3353" t="inlineStr">
        <is>
          <t>Ottawa (Ontario)</t>
        </is>
      </c>
      <c r="P3353" t="n">
        <v>899.5599999999999</v>
      </c>
      <c r="Q3353" t="n">
        <v>73</v>
      </c>
      <c r="R3353" t="n">
        <v>365.46</v>
      </c>
      <c r="S3353" t="n">
        <v>208.1</v>
      </c>
      <c r="T3353" t="n">
        <v>0</v>
      </c>
      <c r="U3353" t="n">
        <v>1546.12</v>
      </c>
      <c r="X3353" t="inlineStr">
        <is>
          <t>acoa-apeca</t>
        </is>
      </c>
      <c r="Y3353" t="inlineStr">
        <is>
          <t>Atlantic Canada Opportunities Agency | Agence de promotion économique du Canada atlantique</t>
        </is>
      </c>
      <c r="Z3353" t="n">
        <v>3</v>
      </c>
      <c r="AA3353" t="n">
        <v>1546.12</v>
      </c>
      <c r="AB3353">
        <f>ROUND(U3353-AA3353,2)</f>
        <v/>
      </c>
      <c r="AC3353" t="b">
        <v>0</v>
      </c>
      <c r="AD3353">
        <f>IF(U3353="","MISSING_TOTAL",IF(ABS(AB3353)&lt;=0.01,"OK","CHECK"))</f>
        <v/>
      </c>
      <c r="AE3353">
        <f>IF(U3353="","MISSING",IF(AND(AA3353&gt;0,U3353/AA3353&gt;50),"POSSIBLE_SCALE_ERROR","OK"))</f>
        <v/>
      </c>
    </row>
    <row r="3354">
      <c r="A3354" t="inlineStr">
        <is>
          <t>T-2014-Q3-00066</t>
        </is>
      </c>
      <c r="B3354" t="inlineStr">
        <is>
          <t>SLE</t>
        </is>
      </c>
      <c r="C3354" t="inlineStr">
        <is>
          <t>Vice-President, Prince Edward Island</t>
        </is>
      </c>
      <c r="D3354" t="inlineStr">
        <is>
          <t>Vice-président, Île-du-Prince-Édouard</t>
        </is>
      </c>
      <c r="E3354" t="inlineStr">
        <is>
          <t>Patrick Dorsey</t>
        </is>
      </c>
      <c r="F3354" t="inlineStr">
        <is>
          <t>Meetings with Government of Canada officials in Fredericton and Ottawa</t>
        </is>
      </c>
      <c r="G3354" t="inlineStr">
        <is>
          <t>Réunions avec des fonctionnaires du gouvernement du Canada à Fredericton et à Ottawa</t>
        </is>
      </c>
      <c r="H3354" s="1" t="n">
        <v>41603</v>
      </c>
      <c r="I3354" s="1" t="n">
        <v>41604</v>
      </c>
      <c r="J3354" t="inlineStr">
        <is>
          <t>Fredericton, New Brunswick and Ottawa, Ontario</t>
        </is>
      </c>
      <c r="K3354" t="inlineStr">
        <is>
          <t>Fredericton (Nouveau-Brunswick) et Ottawa (Ontario)</t>
        </is>
      </c>
      <c r="P3354" t="n">
        <v>910.65</v>
      </c>
      <c r="Q3354" t="n">
        <v>85</v>
      </c>
      <c r="R3354" t="n">
        <v>182.73</v>
      </c>
      <c r="S3354" t="n">
        <v>193.3</v>
      </c>
      <c r="T3354" t="n">
        <v>0</v>
      </c>
      <c r="U3354" t="n">
        <v>1371.68</v>
      </c>
      <c r="X3354" t="inlineStr">
        <is>
          <t>acoa-apeca</t>
        </is>
      </c>
      <c r="Y3354" t="inlineStr">
        <is>
          <t>Atlantic Canada Opportunities Agency | Agence de promotion économique du Canada atlantique</t>
        </is>
      </c>
      <c r="Z3354" t="n">
        <v>2</v>
      </c>
      <c r="AA3354" t="n">
        <v>1371.67999999999</v>
      </c>
      <c r="AB3354">
        <f>ROUND(U3354-AA3354,2)</f>
        <v/>
      </c>
      <c r="AC3354" t="b">
        <v>0</v>
      </c>
      <c r="AD3354">
        <f>IF(U3354="","MISSING_TOTAL",IF(ABS(AB3354)&lt;=0.01,"OK","CHECK"))</f>
        <v/>
      </c>
      <c r="AE3354">
        <f>IF(U3354="","MISSING",IF(AND(AA3354&gt;0,U3354/AA3354&gt;50),"POSSIBLE_SCALE_ERROR","OK"))</f>
        <v/>
      </c>
    </row>
    <row r="3355">
      <c r="A3355" t="inlineStr">
        <is>
          <t>T-2014-Q3-00065</t>
        </is>
      </c>
      <c r="B3355" t="inlineStr">
        <is>
          <t>SLE</t>
        </is>
      </c>
      <c r="C3355" t="inlineStr">
        <is>
          <t>Vice-President, Newfoundland and Labrador</t>
        </is>
      </c>
      <c r="D3355" t="inlineStr">
        <is>
          <t>Vice-président, Terre-Neuve-et-Labrador</t>
        </is>
      </c>
      <c r="E3355" t="inlineStr">
        <is>
          <t>Paul Mills</t>
        </is>
      </c>
      <c r="F3355" t="inlineStr">
        <is>
          <t>Ottawa Meetings</t>
        </is>
      </c>
      <c r="G3355" t="inlineStr">
        <is>
          <t>Réunions à Ottawa</t>
        </is>
      </c>
      <c r="H3355" s="1" t="n">
        <v>41598</v>
      </c>
      <c r="I3355" s="1" t="n">
        <v>41600</v>
      </c>
      <c r="J3355" t="inlineStr">
        <is>
          <t>Ottawa, Ontario</t>
        </is>
      </c>
      <c r="K3355" t="inlineStr">
        <is>
          <t>Ottawa (Ontario)</t>
        </is>
      </c>
      <c r="P3355" t="n">
        <v>1376.74</v>
      </c>
      <c r="Q3355" t="n">
        <v>130</v>
      </c>
      <c r="R3355" t="n">
        <v>453.92</v>
      </c>
      <c r="S3355" t="n">
        <v>139.85</v>
      </c>
      <c r="T3355" t="n">
        <v>8.140000000000001</v>
      </c>
      <c r="U3355" t="n">
        <v>2108.65</v>
      </c>
      <c r="X3355" t="inlineStr">
        <is>
          <t>acoa-apeca</t>
        </is>
      </c>
      <c r="Y3355" t="inlineStr">
        <is>
          <t>Atlantic Canada Opportunities Agency | Agence de promotion économique du Canada atlantique</t>
        </is>
      </c>
      <c r="Z3355" t="n">
        <v>3</v>
      </c>
      <c r="AA3355" t="n">
        <v>2108.65</v>
      </c>
      <c r="AB3355">
        <f>ROUND(U3355-AA3355,2)</f>
        <v/>
      </c>
      <c r="AC3355" t="b">
        <v>0</v>
      </c>
      <c r="AD3355">
        <f>IF(U3355="","MISSING_TOTAL",IF(ABS(AB3355)&lt;=0.01,"OK","CHECK"))</f>
        <v/>
      </c>
      <c r="AE3355">
        <f>IF(U3355="","MISSING",IF(AND(AA3355&gt;0,U3355/AA3355&gt;50),"POSSIBLE_SCALE_ERROR","OK"))</f>
        <v/>
      </c>
    </row>
    <row r="3356">
      <c r="A3356" t="inlineStr">
        <is>
          <t>T-2014-Q3-00064</t>
        </is>
      </c>
      <c r="B3356" t="inlineStr">
        <is>
          <t>SLE</t>
        </is>
      </c>
      <c r="C3356" t="inlineStr">
        <is>
          <t>President</t>
        </is>
      </c>
      <c r="D3356" t="inlineStr">
        <is>
          <t>Président</t>
        </is>
      </c>
      <c r="E3356" t="inlineStr">
        <is>
          <t>Paul J. LeBlanc</t>
        </is>
      </c>
      <c r="F3356" t="inlineStr">
        <is>
          <t>For various meetings and discussions with: Agency officials; with Government of Canada officials; to attend a session of a Forum</t>
        </is>
      </c>
      <c r="G3356" t="inlineStr">
        <is>
          <t>Diverses réunions et discussions avec des fonctionnaires de l'Agence et du gouvernement du Canada, et séance dans le cadre d'un forum</t>
        </is>
      </c>
      <c r="H3356" s="1" t="n">
        <v>41597</v>
      </c>
      <c r="I3356" s="1" t="n">
        <v>41600</v>
      </c>
      <c r="J3356" t="inlineStr">
        <is>
          <t>Ottawa, Ontario and Halifax, Nova Scotia</t>
        </is>
      </c>
      <c r="K3356" t="inlineStr">
        <is>
          <t>Ottawa (Ontario) et Halifax (Nouvelle-Écosse)</t>
        </is>
      </c>
      <c r="P3356" t="n">
        <v>741.74</v>
      </c>
      <c r="Q3356" t="n">
        <v>0</v>
      </c>
      <c r="R3356" t="n">
        <v>626.83</v>
      </c>
      <c r="S3356" t="n">
        <v>287.1</v>
      </c>
      <c r="T3356" t="n">
        <v>57.5</v>
      </c>
      <c r="U3356" t="n">
        <v>1713.17</v>
      </c>
      <c r="X3356" t="inlineStr">
        <is>
          <t>acoa-apeca</t>
        </is>
      </c>
      <c r="Y3356" t="inlineStr">
        <is>
          <t>Atlantic Canada Opportunities Agency | Agence de promotion économique du Canada atlantique</t>
        </is>
      </c>
      <c r="Z3356" t="n">
        <v>4</v>
      </c>
      <c r="AA3356" t="n">
        <v>1713.17</v>
      </c>
      <c r="AB3356">
        <f>ROUND(U3356-AA3356,2)</f>
        <v/>
      </c>
      <c r="AC3356" t="b">
        <v>0</v>
      </c>
      <c r="AD3356">
        <f>IF(U3356="","MISSING_TOTAL",IF(ABS(AB3356)&lt;=0.01,"OK","CHECK"))</f>
        <v/>
      </c>
      <c r="AE3356">
        <f>IF(U3356="","MISSING",IF(AND(AA3356&gt;0,U3356/AA3356&gt;50),"POSSIBLE_SCALE_ERROR","OK"))</f>
        <v/>
      </c>
    </row>
    <row r="3357">
      <c r="A3357" t="inlineStr">
        <is>
          <t>T-2014-Q3-00063</t>
        </is>
      </c>
      <c r="B3357" t="inlineStr">
        <is>
          <t>SLE</t>
        </is>
      </c>
      <c r="C3357" t="inlineStr">
        <is>
          <t>Vice-President, Prince Edward Island</t>
        </is>
      </c>
      <c r="D3357" t="inlineStr">
        <is>
          <t>Vice-président, Île-du-Prince-Édouard</t>
        </is>
      </c>
      <c r="E3357" t="inlineStr">
        <is>
          <t>Patrick Dorsey</t>
        </is>
      </c>
      <c r="F3357" t="inlineStr">
        <is>
          <t>Meetings with Government of Canada officials</t>
        </is>
      </c>
      <c r="G3357" t="inlineStr">
        <is>
          <t>Réunions avec des fonctionnaires du gouvernement du Canada</t>
        </is>
      </c>
      <c r="H3357" s="1" t="n">
        <v>41596</v>
      </c>
      <c r="I3357" s="1" t="n">
        <v>41597</v>
      </c>
      <c r="J3357" t="inlineStr">
        <is>
          <t>Ottawa, Ontario</t>
        </is>
      </c>
      <c r="K3357" t="inlineStr">
        <is>
          <t>Ottawa (Ontario)</t>
        </is>
      </c>
      <c r="P3357" t="n">
        <v>679.28</v>
      </c>
      <c r="Q3357" t="n">
        <v>87</v>
      </c>
      <c r="R3357" t="n">
        <v>182.73</v>
      </c>
      <c r="S3357" t="n">
        <v>164.55</v>
      </c>
      <c r="T3357" t="n">
        <v>0</v>
      </c>
      <c r="U3357" t="n">
        <v>1113.56</v>
      </c>
      <c r="X3357" t="inlineStr">
        <is>
          <t>acoa-apeca</t>
        </is>
      </c>
      <c r="Y3357" t="inlineStr">
        <is>
          <t>Atlantic Canada Opportunities Agency | Agence de promotion économique du Canada atlantique</t>
        </is>
      </c>
      <c r="Z3357" t="n">
        <v>2</v>
      </c>
      <c r="AA3357" t="n">
        <v>1113.56</v>
      </c>
      <c r="AB3357">
        <f>ROUND(U3357-AA3357,2)</f>
        <v/>
      </c>
      <c r="AC3357" t="b">
        <v>0</v>
      </c>
      <c r="AD3357">
        <f>IF(U3357="","MISSING_TOTAL",IF(ABS(AB3357)&lt;=0.01,"OK","CHECK"))</f>
        <v/>
      </c>
      <c r="AE3357">
        <f>IF(U3357="","MISSING",IF(AND(AA3357&gt;0,U3357/AA3357&gt;50),"POSSIBLE_SCALE_ERROR","OK"))</f>
        <v/>
      </c>
    </row>
    <row r="3358">
      <c r="A3358" t="inlineStr">
        <is>
          <t>T-2014-Q3-00062</t>
        </is>
      </c>
      <c r="B3358" t="inlineStr">
        <is>
          <t>MPSES</t>
        </is>
      </c>
      <c r="C3358" t="inlineStr">
        <is>
          <t>Minister of State</t>
        </is>
      </c>
      <c r="D3358" t="inlineStr">
        <is>
          <t>Ministre d'État</t>
        </is>
      </c>
      <c r="E3358" t="inlineStr">
        <is>
          <t>Rob Moore</t>
        </is>
      </c>
      <c r="F3358" t="inlineStr">
        <is>
          <t>Meetings to discuss Government of Canada business</t>
        </is>
      </c>
      <c r="G3358" t="inlineStr">
        <is>
          <t>Réunions pour discuter d'enjeux du gouvernement du Canada</t>
        </is>
      </c>
      <c r="H3358" s="1" t="n">
        <v>41593</v>
      </c>
      <c r="I3358" s="1" t="n">
        <v>41593</v>
      </c>
      <c r="J3358" t="inlineStr">
        <is>
          <t>Fredericton, New Brunswick</t>
        </is>
      </c>
      <c r="K3358" t="inlineStr">
        <is>
          <t>Fredericton (Nouveau-Brunswick)</t>
        </is>
      </c>
      <c r="P3358" t="n">
        <v>0</v>
      </c>
      <c r="Q3358" t="n">
        <v>135.63</v>
      </c>
      <c r="R3358" t="n">
        <v>0</v>
      </c>
      <c r="S3358" t="n">
        <v>15.1</v>
      </c>
      <c r="T3358" t="n">
        <v>0</v>
      </c>
      <c r="U3358" t="n">
        <v>150.73</v>
      </c>
      <c r="X3358" t="inlineStr">
        <is>
          <t>acoa-apeca</t>
        </is>
      </c>
      <c r="Y3358" t="inlineStr">
        <is>
          <t>Atlantic Canada Opportunities Agency | Agence de promotion économique du Canada atlantique</t>
        </is>
      </c>
      <c r="Z3358" t="n">
        <v>1</v>
      </c>
      <c r="AA3358" t="n">
        <v>150.73</v>
      </c>
      <c r="AB3358">
        <f>ROUND(U3358-AA3358,2)</f>
        <v/>
      </c>
      <c r="AC3358" t="b">
        <v>0</v>
      </c>
      <c r="AD3358">
        <f>IF(U3358="","MISSING_TOTAL",IF(ABS(AB3358)&lt;=0.01,"OK","CHECK"))</f>
        <v/>
      </c>
      <c r="AE3358">
        <f>IF(U3358="","MISSING",IF(AND(AA3358&gt;0,U3358/AA3358&gt;50),"POSSIBLE_SCALE_ERROR","OK"))</f>
        <v/>
      </c>
    </row>
    <row r="3359">
      <c r="A3359" t="inlineStr">
        <is>
          <t>T-2014-Q3-00061</t>
        </is>
      </c>
      <c r="B3359" t="inlineStr">
        <is>
          <t>MPSES</t>
        </is>
      </c>
      <c r="C3359" t="inlineStr">
        <is>
          <t>Minister of State</t>
        </is>
      </c>
      <c r="D3359" t="inlineStr">
        <is>
          <t>Ministre d'État</t>
        </is>
      </c>
      <c r="E3359" t="inlineStr">
        <is>
          <t>Rob Moore</t>
        </is>
      </c>
      <c r="F3359" t="inlineStr">
        <is>
          <t>To attend Government of Canada events</t>
        </is>
      </c>
      <c r="G3359" t="inlineStr">
        <is>
          <t>Assister à des activités du gouvernement du Canada</t>
        </is>
      </c>
      <c r="H3359" s="1" t="n">
        <v>41592</v>
      </c>
      <c r="I3359" s="1" t="n">
        <v>41592</v>
      </c>
      <c r="J3359" t="inlineStr">
        <is>
          <t>Fredericton and Welsford, New Brunswick</t>
        </is>
      </c>
      <c r="K3359" t="inlineStr">
        <is>
          <t>Fredericton et Welsford (Nouveau-Brunswick)</t>
        </is>
      </c>
      <c r="P3359" t="n">
        <v>0</v>
      </c>
      <c r="Q3359" t="n">
        <v>135.63</v>
      </c>
      <c r="R3359" t="n">
        <v>0</v>
      </c>
      <c r="S3359" t="n">
        <v>15.1</v>
      </c>
      <c r="T3359" t="n">
        <v>0</v>
      </c>
      <c r="U3359" t="n">
        <v>150.73</v>
      </c>
      <c r="X3359" t="inlineStr">
        <is>
          <t>acoa-apeca</t>
        </is>
      </c>
      <c r="Y3359" t="inlineStr">
        <is>
          <t>Atlantic Canada Opportunities Agency | Agence de promotion économique du Canada atlantique</t>
        </is>
      </c>
      <c r="Z3359" t="n">
        <v>1</v>
      </c>
      <c r="AA3359" t="n">
        <v>150.73</v>
      </c>
      <c r="AB3359">
        <f>ROUND(U3359-AA3359,2)</f>
        <v/>
      </c>
      <c r="AC3359" t="b">
        <v>0</v>
      </c>
      <c r="AD3359">
        <f>IF(U3359="","MISSING_TOTAL",IF(ABS(AB3359)&lt;=0.01,"OK","CHECK"))</f>
        <v/>
      </c>
      <c r="AE3359">
        <f>IF(U3359="","MISSING",IF(AND(AA3359&gt;0,U3359/AA3359&gt;50),"POSSIBLE_SCALE_ERROR","OK"))</f>
        <v/>
      </c>
    </row>
    <row r="3360">
      <c r="A3360" t="inlineStr">
        <is>
          <t>T-2014-Q3-00059</t>
        </is>
      </c>
      <c r="B3360" t="inlineStr">
        <is>
          <t>MPSES</t>
        </is>
      </c>
      <c r="C3360" t="inlineStr">
        <is>
          <t>Chief of Staff</t>
        </is>
      </c>
      <c r="D3360" t="inlineStr">
        <is>
          <t>Chef de cabinet</t>
        </is>
      </c>
      <c r="E3360" t="inlineStr">
        <is>
          <t>Shane Bourke</t>
        </is>
      </c>
      <c r="F3360" t="inlineStr">
        <is>
          <t>Travel on Government of Canada business</t>
        </is>
      </c>
      <c r="G3360" t="inlineStr">
        <is>
          <t>Voyage pour le compte du gouvernement du Canada</t>
        </is>
      </c>
      <c r="H3360" s="1" t="n">
        <v>41591</v>
      </c>
      <c r="I3360" s="1" t="n">
        <v>41594</v>
      </c>
      <c r="J3360" t="inlineStr">
        <is>
          <t>Fredericton and Saint John, New Brunswick</t>
        </is>
      </c>
      <c r="K3360" t="inlineStr">
        <is>
          <t>Fredericton et Saint John (Nouveau-Brunswick)</t>
        </is>
      </c>
      <c r="P3360" t="n">
        <v>713.0700000000001</v>
      </c>
      <c r="Q3360" t="n">
        <v>366.42</v>
      </c>
      <c r="R3360" t="n">
        <v>454.57</v>
      </c>
      <c r="S3360" t="n">
        <v>121</v>
      </c>
      <c r="T3360" t="n">
        <v>0</v>
      </c>
      <c r="U3360" t="n">
        <v>1655.06</v>
      </c>
      <c r="X3360" t="inlineStr">
        <is>
          <t>acoa-apeca</t>
        </is>
      </c>
      <c r="Y3360" t="inlineStr">
        <is>
          <t>Atlantic Canada Opportunities Agency | Agence de promotion économique du Canada atlantique</t>
        </is>
      </c>
      <c r="Z3360" t="n">
        <v>4</v>
      </c>
      <c r="AA3360" t="n">
        <v>1655.06</v>
      </c>
      <c r="AB3360">
        <f>ROUND(U3360-AA3360,2)</f>
        <v/>
      </c>
      <c r="AC3360" t="b">
        <v>0</v>
      </c>
      <c r="AD3360">
        <f>IF(U3360="","MISSING_TOTAL",IF(ABS(AB3360)&lt;=0.01,"OK","CHECK"))</f>
        <v/>
      </c>
      <c r="AE3360">
        <f>IF(U3360="","MISSING",IF(AND(AA3360&gt;0,U3360/AA3360&gt;50),"POSSIBLE_SCALE_ERROR","OK"))</f>
        <v/>
      </c>
    </row>
    <row r="3361">
      <c r="A3361" t="inlineStr">
        <is>
          <t>T-2014-Q3-00058</t>
        </is>
      </c>
      <c r="B3361" t="inlineStr">
        <is>
          <t>SLE</t>
        </is>
      </c>
      <c r="C3361" t="inlineStr">
        <is>
          <t>Vice-President, New Brunswick</t>
        </is>
      </c>
      <c r="D3361" t="inlineStr">
        <is>
          <t>Vice-président, Nouveau-Brunswick</t>
        </is>
      </c>
      <c r="E3361" t="inlineStr">
        <is>
          <t>Kent Estabrooks</t>
        </is>
      </c>
      <c r="F3361" t="inlineStr">
        <is>
          <t>Various meetings with: Agency officials; Government of Canada officials</t>
        </is>
      </c>
      <c r="G3361" t="inlineStr">
        <is>
          <t>Diverses réunions avec des fonctionnaires de l'Agence et du gouvernement du Canada</t>
        </is>
      </c>
      <c r="H3361" s="1" t="n">
        <v>41590</v>
      </c>
      <c r="I3361" s="1" t="n">
        <v>41593</v>
      </c>
      <c r="J3361" t="inlineStr">
        <is>
          <t>Ottawa, Ontario</t>
        </is>
      </c>
      <c r="K3361" t="inlineStr">
        <is>
          <t>Ottawa (Ontario)</t>
        </is>
      </c>
      <c r="P3361" t="n">
        <v>881.4</v>
      </c>
      <c r="Q3361" t="n">
        <v>129.4</v>
      </c>
      <c r="R3361" t="n">
        <v>548.1900000000001</v>
      </c>
      <c r="S3361" t="n">
        <v>225.4</v>
      </c>
      <c r="T3361" t="n">
        <v>0</v>
      </c>
      <c r="U3361" t="n">
        <v>1784.39</v>
      </c>
      <c r="X3361" t="inlineStr">
        <is>
          <t>acoa-apeca</t>
        </is>
      </c>
      <c r="Y3361" t="inlineStr">
        <is>
          <t>Atlantic Canada Opportunities Agency | Agence de promotion économique du Canada atlantique</t>
        </is>
      </c>
      <c r="Z3361" t="n">
        <v>4</v>
      </c>
      <c r="AA3361" t="n">
        <v>1784.39</v>
      </c>
      <c r="AB3361">
        <f>ROUND(U3361-AA3361,2)</f>
        <v/>
      </c>
      <c r="AC3361" t="b">
        <v>0</v>
      </c>
      <c r="AD3361">
        <f>IF(U3361="","MISSING_TOTAL",IF(ABS(AB3361)&lt;=0.01,"OK","CHECK"))</f>
        <v/>
      </c>
      <c r="AE3361">
        <f>IF(U3361="","MISSING",IF(AND(AA3361&gt;0,U3361/AA3361&gt;50),"POSSIBLE_SCALE_ERROR","OK"))</f>
        <v/>
      </c>
    </row>
    <row r="3362">
      <c r="A3362" t="inlineStr">
        <is>
          <t>T-2014-Q3-00057</t>
        </is>
      </c>
      <c r="B3362" t="inlineStr">
        <is>
          <t>SLE</t>
        </is>
      </c>
      <c r="C3362" t="inlineStr">
        <is>
          <t>Vice-President, Finance and Corporate Services</t>
        </is>
      </c>
      <c r="D3362" t="inlineStr">
        <is>
          <t>Vice-présidente, Finances et Services corporatifs</t>
        </is>
      </c>
      <c r="E3362" t="inlineStr">
        <is>
          <t>Denise Frenette</t>
        </is>
      </c>
      <c r="F3362" t="inlineStr">
        <is>
          <t>Meetings with Government of Canada officials</t>
        </is>
      </c>
      <c r="G3362" t="inlineStr">
        <is>
          <t>Réunions avec des fonctionnaires du gouvernement du Canada</t>
        </is>
      </c>
      <c r="H3362" s="1" t="n">
        <v>41590</v>
      </c>
      <c r="I3362" s="1" t="n">
        <v>41593</v>
      </c>
      <c r="J3362" t="inlineStr">
        <is>
          <t>Ottawa, Ontario</t>
        </is>
      </c>
      <c r="K3362" t="inlineStr">
        <is>
          <t>Ottawa (Ontario)</t>
        </is>
      </c>
      <c r="P3362" t="n">
        <v>624.49</v>
      </c>
      <c r="Q3362" t="n">
        <v>108.46</v>
      </c>
      <c r="R3362" t="n">
        <v>548.1900000000001</v>
      </c>
      <c r="S3362" t="n">
        <v>252.3</v>
      </c>
      <c r="T3362" t="n">
        <v>0</v>
      </c>
      <c r="U3362" t="n">
        <v>1533.44</v>
      </c>
      <c r="X3362" t="inlineStr">
        <is>
          <t>acoa-apeca</t>
        </is>
      </c>
      <c r="Y3362" t="inlineStr">
        <is>
          <t>Atlantic Canada Opportunities Agency | Agence de promotion économique du Canada atlantique</t>
        </is>
      </c>
      <c r="Z3362" t="n">
        <v>4</v>
      </c>
      <c r="AA3362" t="n">
        <v>1533.44</v>
      </c>
      <c r="AB3362">
        <f>ROUND(U3362-AA3362,2)</f>
        <v/>
      </c>
      <c r="AC3362" t="b">
        <v>0</v>
      </c>
      <c r="AD3362">
        <f>IF(U3362="","MISSING_TOTAL",IF(ABS(AB3362)&lt;=0.01,"OK","CHECK"))</f>
        <v/>
      </c>
      <c r="AE3362">
        <f>IF(U3362="","MISSING",IF(AND(AA3362&gt;0,U3362/AA3362&gt;50),"POSSIBLE_SCALE_ERROR","OK"))</f>
        <v/>
      </c>
    </row>
    <row r="3363">
      <c r="A3363" t="inlineStr">
        <is>
          <t>T-2014-Q3-00056</t>
        </is>
      </c>
      <c r="B3363" t="inlineStr">
        <is>
          <t>SLE</t>
        </is>
      </c>
      <c r="C3363" t="inlineStr">
        <is>
          <t>President</t>
        </is>
      </c>
      <c r="D3363" t="inlineStr">
        <is>
          <t>Président</t>
        </is>
      </c>
      <c r="E3363" t="inlineStr">
        <is>
          <t>Paul J. LeBlanc</t>
        </is>
      </c>
      <c r="F3363" t="inlineStr">
        <is>
          <t>For various meetings and discussions with Agency officials</t>
        </is>
      </c>
      <c r="G3363" t="inlineStr">
        <is>
          <t>Diverses réunions et discussions avec des fonctionnaires de l'Agence</t>
        </is>
      </c>
      <c r="H3363" s="1" t="n">
        <v>41590</v>
      </c>
      <c r="I3363" s="1" t="n">
        <v>41591</v>
      </c>
      <c r="J3363" t="inlineStr">
        <is>
          <t>St. John's, Newfoundland and Labrador</t>
        </is>
      </c>
      <c r="K3363" t="inlineStr">
        <is>
          <t>St. John's (Terre-Neuve-et-Labrador)</t>
        </is>
      </c>
      <c r="P3363" t="n">
        <v>1821.87</v>
      </c>
      <c r="Q3363" t="n">
        <v>0</v>
      </c>
      <c r="R3363" t="n">
        <v>156.78</v>
      </c>
      <c r="S3363" t="n">
        <v>122.55</v>
      </c>
      <c r="T3363" t="n">
        <v>113</v>
      </c>
      <c r="U3363" t="n">
        <v>2214.2</v>
      </c>
      <c r="X3363" t="inlineStr">
        <is>
          <t>acoa-apeca</t>
        </is>
      </c>
      <c r="Y3363" t="inlineStr">
        <is>
          <t>Atlantic Canada Opportunities Agency | Agence de promotion économique du Canada atlantique</t>
        </is>
      </c>
      <c r="Z3363" t="n">
        <v>2</v>
      </c>
      <c r="AA3363" t="n">
        <v>2214.2</v>
      </c>
      <c r="AB3363">
        <f>ROUND(U3363-AA3363,2)</f>
        <v/>
      </c>
      <c r="AC3363" t="b">
        <v>0</v>
      </c>
      <c r="AD3363">
        <f>IF(U3363="","MISSING_TOTAL",IF(ABS(AB3363)&lt;=0.01,"OK","CHECK"))</f>
        <v/>
      </c>
      <c r="AE3363">
        <f>IF(U3363="","MISSING",IF(AND(AA3363&gt;0,U3363/AA3363&gt;50),"POSSIBLE_SCALE_ERROR","OK"))</f>
        <v/>
      </c>
    </row>
    <row r="3364">
      <c r="A3364" t="inlineStr">
        <is>
          <t>T-2014-Q3-00055</t>
        </is>
      </c>
      <c r="B3364" t="inlineStr">
        <is>
          <t>SLE</t>
        </is>
      </c>
      <c r="C3364" t="inlineStr">
        <is>
          <t>Vice-President, Policy and Programs</t>
        </is>
      </c>
      <c r="D3364" t="inlineStr">
        <is>
          <t>Vice-président, Politiques et Programmes</t>
        </is>
      </c>
      <c r="E3364" t="inlineStr">
        <is>
          <t>Daryell Nowlan</t>
        </is>
      </c>
      <c r="F3364" t="inlineStr">
        <is>
          <t>Training</t>
        </is>
      </c>
      <c r="G3364" t="inlineStr">
        <is>
          <t>Formation</t>
        </is>
      </c>
      <c r="H3364" s="1" t="n">
        <v>41589</v>
      </c>
      <c r="I3364" s="1" t="n">
        <v>41593</v>
      </c>
      <c r="J3364" t="inlineStr">
        <is>
          <t>Toronto, Ontario</t>
        </is>
      </c>
      <c r="K3364" t="inlineStr">
        <is>
          <t>Toronto (Ontario)</t>
        </is>
      </c>
      <c r="P3364" t="n">
        <v>899.5599999999999</v>
      </c>
      <c r="Q3364" t="n">
        <v>95</v>
      </c>
      <c r="R3364" t="n">
        <v>626.4</v>
      </c>
      <c r="S3364" t="n">
        <v>419.9</v>
      </c>
      <c r="T3364" t="n">
        <v>0</v>
      </c>
      <c r="U3364" t="n">
        <v>2040.86</v>
      </c>
      <c r="X3364" t="inlineStr">
        <is>
          <t>acoa-apeca</t>
        </is>
      </c>
      <c r="Y3364" t="inlineStr">
        <is>
          <t>Atlantic Canada Opportunities Agency | Agence de promotion économique du Canada atlantique</t>
        </is>
      </c>
      <c r="Z3364" t="n">
        <v>5</v>
      </c>
      <c r="AA3364" t="n">
        <v>2040.86</v>
      </c>
      <c r="AB3364">
        <f>ROUND(U3364-AA3364,2)</f>
        <v/>
      </c>
      <c r="AC3364" t="b">
        <v>0</v>
      </c>
      <c r="AD3364">
        <f>IF(U3364="","MISSING_TOTAL",IF(ABS(AB3364)&lt;=0.01,"OK","CHECK"))</f>
        <v/>
      </c>
      <c r="AE3364">
        <f>IF(U3364="","MISSING",IF(AND(AA3364&gt;0,U3364/AA3364&gt;50),"POSSIBLE_SCALE_ERROR","OK"))</f>
        <v/>
      </c>
    </row>
    <row r="3365">
      <c r="A3365" t="inlineStr">
        <is>
          <t>T-2014-Q3-00054</t>
        </is>
      </c>
      <c r="B3365" t="inlineStr">
        <is>
          <t>SLE</t>
        </is>
      </c>
      <c r="C3365" t="inlineStr">
        <is>
          <t>Vice-President, Policy and Programs</t>
        </is>
      </c>
      <c r="D3365" t="inlineStr">
        <is>
          <t>Vice-président, Politiques et Programmes</t>
        </is>
      </c>
      <c r="E3365" t="inlineStr">
        <is>
          <t>Daryell Nowlan</t>
        </is>
      </c>
      <c r="F3365" t="inlineStr">
        <is>
          <t>Meetings with private industry officials</t>
        </is>
      </c>
      <c r="G3365" t="inlineStr">
        <is>
          <t>Réunions avec des représentants de l'industrie</t>
        </is>
      </c>
      <c r="H3365" s="1" t="n">
        <v>41584</v>
      </c>
      <c r="I3365" s="1" t="n">
        <v>41586</v>
      </c>
      <c r="J3365" t="inlineStr">
        <is>
          <t>Halifax, Nova Scotia</t>
        </is>
      </c>
      <c r="K3365" t="inlineStr">
        <is>
          <t>Halifax (Nouvelle-Écosse)</t>
        </is>
      </c>
      <c r="P3365" t="n">
        <v>0</v>
      </c>
      <c r="Q3365" t="n">
        <v>199.88</v>
      </c>
      <c r="R3365" t="n">
        <v>279.18</v>
      </c>
      <c r="S3365" t="n">
        <v>151</v>
      </c>
      <c r="T3365" t="n">
        <v>0</v>
      </c>
      <c r="U3365" t="n">
        <v>630.0599999999999</v>
      </c>
      <c r="X3365" t="inlineStr">
        <is>
          <t>acoa-apeca</t>
        </is>
      </c>
      <c r="Y3365" t="inlineStr">
        <is>
          <t>Atlantic Canada Opportunities Agency | Agence de promotion économique du Canada atlantique</t>
        </is>
      </c>
      <c r="Z3365" t="n">
        <v>3</v>
      </c>
      <c r="AA3365" t="n">
        <v>630.0599999999999</v>
      </c>
      <c r="AB3365">
        <f>ROUND(U3365-AA3365,2)</f>
        <v/>
      </c>
      <c r="AC3365" t="b">
        <v>0</v>
      </c>
      <c r="AD3365">
        <f>IF(U3365="","MISSING_TOTAL",IF(ABS(AB3365)&lt;=0.01,"OK","CHECK"))</f>
        <v/>
      </c>
      <c r="AE3365">
        <f>IF(U3365="","MISSING",IF(AND(AA3365&gt;0,U3365/AA3365&gt;50),"POSSIBLE_SCALE_ERROR","OK"))</f>
        <v/>
      </c>
    </row>
    <row r="3366">
      <c r="A3366" t="inlineStr">
        <is>
          <t>T-2014-Q3-00053</t>
        </is>
      </c>
      <c r="B3366" t="inlineStr">
        <is>
          <t>SLE</t>
        </is>
      </c>
      <c r="C3366" t="inlineStr">
        <is>
          <t>Vice-President, Newfoundland and Labrador</t>
        </is>
      </c>
      <c r="D3366" t="inlineStr">
        <is>
          <t>Vice-président, Terre-Neuve-et-Labrador</t>
        </is>
      </c>
      <c r="E3366" t="inlineStr">
        <is>
          <t>Paul Mills</t>
        </is>
      </c>
      <c r="F3366" t="inlineStr">
        <is>
          <t>To attend meetings with senior officials in Ottawa</t>
        </is>
      </c>
      <c r="G3366" t="inlineStr">
        <is>
          <t>Assister à des réunions avec des hauts fonctionnaires à Ottawa</t>
        </is>
      </c>
      <c r="H3366" s="1" t="n">
        <v>41584</v>
      </c>
      <c r="I3366" s="1" t="n">
        <v>41586</v>
      </c>
      <c r="J3366" t="inlineStr">
        <is>
          <t>Ottawa, Ontario</t>
        </is>
      </c>
      <c r="K3366" t="inlineStr">
        <is>
          <t>Ottawa (Ontario)</t>
        </is>
      </c>
      <c r="P3366" t="n">
        <v>1376.74</v>
      </c>
      <c r="Q3366" t="n">
        <v>131</v>
      </c>
      <c r="R3366" t="n">
        <v>453.92</v>
      </c>
      <c r="S3366" t="n">
        <v>212.7</v>
      </c>
      <c r="T3366" t="n">
        <v>8.140000000000001</v>
      </c>
      <c r="U3366" t="n">
        <v>2182.5</v>
      </c>
      <c r="X3366" t="inlineStr">
        <is>
          <t>acoa-apeca</t>
        </is>
      </c>
      <c r="Y3366" t="inlineStr">
        <is>
          <t>Atlantic Canada Opportunities Agency | Agence de promotion économique du Canada atlantique</t>
        </is>
      </c>
      <c r="Z3366" t="n">
        <v>3</v>
      </c>
      <c r="AA3366" t="n">
        <v>2182.5</v>
      </c>
      <c r="AB3366">
        <f>ROUND(U3366-AA3366,2)</f>
        <v/>
      </c>
      <c r="AC3366" t="b">
        <v>0</v>
      </c>
      <c r="AD3366">
        <f>IF(U3366="","MISSING_TOTAL",IF(ABS(AB3366)&lt;=0.01,"OK","CHECK"))</f>
        <v/>
      </c>
      <c r="AE3366">
        <f>IF(U3366="","MISSING",IF(AND(AA3366&gt;0,U3366/AA3366&gt;50),"POSSIBLE_SCALE_ERROR","OK"))</f>
        <v/>
      </c>
    </row>
    <row r="3367">
      <c r="A3367" t="inlineStr">
        <is>
          <t>T-2014-Q3-00052</t>
        </is>
      </c>
      <c r="B3367" t="inlineStr">
        <is>
          <t>SLE</t>
        </is>
      </c>
      <c r="C3367" t="inlineStr">
        <is>
          <t>President</t>
        </is>
      </c>
      <c r="D3367" t="inlineStr">
        <is>
          <t>Président</t>
        </is>
      </c>
      <c r="E3367" t="inlineStr">
        <is>
          <t>Paul J. LeBlanc</t>
        </is>
      </c>
      <c r="F3367" t="inlineStr">
        <is>
          <t>For various meetings and discussions with: Agency officials; with Government of Canada officials</t>
        </is>
      </c>
      <c r="G3367" t="inlineStr">
        <is>
          <t>Diverses réunions et discussions avec des fonctionnaires de l'Agence et du gouvernement du Canada</t>
        </is>
      </c>
      <c r="H3367" s="1" t="n">
        <v>41583</v>
      </c>
      <c r="I3367" s="1" t="n">
        <v>41584</v>
      </c>
      <c r="J3367" t="inlineStr">
        <is>
          <t>Ottawa, Ontario</t>
        </is>
      </c>
      <c r="K3367" t="inlineStr">
        <is>
          <t>Ottawa (Ontario)</t>
        </is>
      </c>
      <c r="P3367" t="n">
        <v>741.74</v>
      </c>
      <c r="Q3367" t="n">
        <v>12.87</v>
      </c>
      <c r="R3367" t="n">
        <v>182.73</v>
      </c>
      <c r="S3367" t="n">
        <v>148.8</v>
      </c>
      <c r="T3367" t="n">
        <v>32</v>
      </c>
      <c r="U3367" t="n">
        <v>1118.14</v>
      </c>
      <c r="X3367" t="inlineStr">
        <is>
          <t>acoa-apeca</t>
        </is>
      </c>
      <c r="Y3367" t="inlineStr">
        <is>
          <t>Atlantic Canada Opportunities Agency | Agence de promotion économique du Canada atlantique</t>
        </is>
      </c>
      <c r="Z3367" t="n">
        <v>2</v>
      </c>
      <c r="AA3367" t="n">
        <v>1118.14</v>
      </c>
      <c r="AB3367">
        <f>ROUND(U3367-AA3367,2)</f>
        <v/>
      </c>
      <c r="AC3367" t="b">
        <v>0</v>
      </c>
      <c r="AD3367">
        <f>IF(U3367="","MISSING_TOTAL",IF(ABS(AB3367)&lt;=0.01,"OK","CHECK"))</f>
        <v/>
      </c>
      <c r="AE3367">
        <f>IF(U3367="","MISSING",IF(AND(AA3367&gt;0,U3367/AA3367&gt;50),"POSSIBLE_SCALE_ERROR","OK"))</f>
        <v/>
      </c>
    </row>
    <row r="3368">
      <c r="A3368" t="inlineStr">
        <is>
          <t>T-2014-Q3-00051</t>
        </is>
      </c>
      <c r="B3368" t="inlineStr">
        <is>
          <t>SLE</t>
        </is>
      </c>
      <c r="C3368" t="inlineStr">
        <is>
          <t>Vice-President, Prince Edward Island</t>
        </is>
      </c>
      <c r="D3368" t="inlineStr">
        <is>
          <t>Vice-président, Île-du-Prince-Édouard</t>
        </is>
      </c>
      <c r="E3368" t="inlineStr">
        <is>
          <t>Patrick Dorsey</t>
        </is>
      </c>
      <c r="F3368" t="inlineStr">
        <is>
          <t>To attend EXCOMM and meetings with ACOA officials</t>
        </is>
      </c>
      <c r="G3368" t="inlineStr">
        <is>
          <t>Assister à une réunion du Comité de direction et à des réunions avec des fonctionnaires de l'APECA</t>
        </is>
      </c>
      <c r="H3368" s="1" t="n">
        <v>41578</v>
      </c>
      <c r="I3368" s="1" t="n">
        <v>41579</v>
      </c>
      <c r="J3368" t="inlineStr">
        <is>
          <t>Moncton, New Brunswick</t>
        </is>
      </c>
      <c r="K3368" t="inlineStr">
        <is>
          <t>Moncton (Nouveau-Brunswick)</t>
        </is>
      </c>
      <c r="P3368" t="n">
        <v>0</v>
      </c>
      <c r="Q3368" t="n">
        <v>61.45</v>
      </c>
      <c r="R3368" t="n">
        <v>141.25</v>
      </c>
      <c r="S3368" t="n">
        <v>123.2</v>
      </c>
      <c r="T3368" t="n">
        <v>0</v>
      </c>
      <c r="U3368" t="n">
        <v>325.9</v>
      </c>
      <c r="X3368" t="inlineStr">
        <is>
          <t>acoa-apeca</t>
        </is>
      </c>
      <c r="Y3368" t="inlineStr">
        <is>
          <t>Atlantic Canada Opportunities Agency | Agence de promotion économique du Canada atlantique</t>
        </is>
      </c>
      <c r="Z3368" t="n">
        <v>2</v>
      </c>
      <c r="AA3368" t="n">
        <v>325.9</v>
      </c>
      <c r="AB3368">
        <f>ROUND(U3368-AA3368,2)</f>
        <v/>
      </c>
      <c r="AC3368" t="b">
        <v>0</v>
      </c>
      <c r="AD3368">
        <f>IF(U3368="","MISSING_TOTAL",IF(ABS(AB3368)&lt;=0.01,"OK","CHECK"))</f>
        <v/>
      </c>
      <c r="AE3368">
        <f>IF(U3368="","MISSING",IF(AND(AA3368&gt;0,U3368/AA3368&gt;50),"POSSIBLE_SCALE_ERROR","OK"))</f>
        <v/>
      </c>
    </row>
    <row r="3369">
      <c r="A3369" t="inlineStr">
        <is>
          <t>T-2014-Q3-00050</t>
        </is>
      </c>
      <c r="B3369" t="inlineStr">
        <is>
          <t>SLE</t>
        </is>
      </c>
      <c r="C3369" t="inlineStr">
        <is>
          <t>Vice President, Nova Scotia</t>
        </is>
      </c>
      <c r="D3369" t="inlineStr">
        <is>
          <t>Vice-président, Nouvelle-Écosse</t>
        </is>
      </c>
      <c r="E3369" t="inlineStr">
        <is>
          <t>Peter Hogan</t>
        </is>
      </c>
      <c r="F3369" t="inlineStr">
        <is>
          <t>Meetings with Senior Agency officials</t>
        </is>
      </c>
      <c r="G3369" t="inlineStr">
        <is>
          <t>Réunions avec des hauts fonctionnaires de l'Agence</t>
        </is>
      </c>
      <c r="H3369" s="1" t="n">
        <v>41577</v>
      </c>
      <c r="I3369" s="1" t="n">
        <v>41579</v>
      </c>
      <c r="J3369" t="inlineStr">
        <is>
          <t>Moncton, New Brunswick</t>
        </is>
      </c>
      <c r="K3369" t="inlineStr">
        <is>
          <t>Moncton (Nouveau-Brunswick)</t>
        </is>
      </c>
      <c r="P3369" t="n">
        <v>0</v>
      </c>
      <c r="Q3369" t="n">
        <v>33.9</v>
      </c>
      <c r="R3369" t="n">
        <v>282.5</v>
      </c>
      <c r="S3369" t="n">
        <v>151</v>
      </c>
      <c r="T3369" t="n">
        <v>0</v>
      </c>
      <c r="U3369" t="n">
        <v>467.4</v>
      </c>
      <c r="X3369" t="inlineStr">
        <is>
          <t>acoa-apeca</t>
        </is>
      </c>
      <c r="Y3369" t="inlineStr">
        <is>
          <t>Atlantic Canada Opportunities Agency | Agence de promotion économique du Canada atlantique</t>
        </is>
      </c>
      <c r="Z3369" t="n">
        <v>3</v>
      </c>
      <c r="AA3369" t="n">
        <v>467.4</v>
      </c>
      <c r="AB3369">
        <f>ROUND(U3369-AA3369,2)</f>
        <v/>
      </c>
      <c r="AC3369" t="b">
        <v>0</v>
      </c>
      <c r="AD3369">
        <f>IF(U3369="","MISSING_TOTAL",IF(ABS(AB3369)&lt;=0.01,"OK","CHECK"))</f>
        <v/>
      </c>
      <c r="AE3369">
        <f>IF(U3369="","MISSING",IF(AND(AA3369&gt;0,U3369/AA3369&gt;50),"POSSIBLE_SCALE_ERROR","OK"))</f>
        <v/>
      </c>
    </row>
    <row r="3370">
      <c r="A3370" t="inlineStr">
        <is>
          <t>T-2014-Q3-00049</t>
        </is>
      </c>
      <c r="B3370" t="inlineStr">
        <is>
          <t>SLE</t>
        </is>
      </c>
      <c r="C3370" t="inlineStr">
        <is>
          <t>Vice-President, Newfoundland and Labrador</t>
        </is>
      </c>
      <c r="D3370" t="inlineStr">
        <is>
          <t>Vice-président, Terre-Neuve-et-Labrador</t>
        </is>
      </c>
      <c r="E3370" t="inlineStr">
        <is>
          <t>Paul Mills</t>
        </is>
      </c>
      <c r="F3370" t="inlineStr">
        <is>
          <t>Executive Committee meeting</t>
        </is>
      </c>
      <c r="G3370" t="inlineStr">
        <is>
          <t>Réunion du Comité de direction</t>
        </is>
      </c>
      <c r="H3370" s="1" t="n">
        <v>41577</v>
      </c>
      <c r="I3370" s="1" t="n">
        <v>41579</v>
      </c>
      <c r="J3370" t="inlineStr">
        <is>
          <t>Moncton, New Brunswick</t>
        </is>
      </c>
      <c r="K3370" t="inlineStr">
        <is>
          <t>Moncton (Nouveau-Brunswick)</t>
        </is>
      </c>
      <c r="P3370" t="n">
        <v>1376.74</v>
      </c>
      <c r="Q3370" t="n">
        <v>356.16</v>
      </c>
      <c r="R3370" t="n">
        <v>276.05</v>
      </c>
      <c r="S3370" t="n">
        <v>239.6</v>
      </c>
      <c r="T3370" t="n">
        <v>21.75</v>
      </c>
      <c r="U3370" t="n">
        <v>2270.3</v>
      </c>
      <c r="X3370" t="inlineStr">
        <is>
          <t>acoa-apeca</t>
        </is>
      </c>
      <c r="Y3370" t="inlineStr">
        <is>
          <t>Atlantic Canada Opportunities Agency | Agence de promotion économique du Canada atlantique</t>
        </is>
      </c>
      <c r="Z3370" t="n">
        <v>3</v>
      </c>
      <c r="AA3370" t="n">
        <v>2270.3</v>
      </c>
      <c r="AB3370">
        <f>ROUND(U3370-AA3370,2)</f>
        <v/>
      </c>
      <c r="AC3370" t="b">
        <v>0</v>
      </c>
      <c r="AD3370">
        <f>IF(U3370="","MISSING_TOTAL",IF(ABS(AB3370)&lt;=0.01,"OK","CHECK"))</f>
        <v/>
      </c>
      <c r="AE3370">
        <f>IF(U3370="","MISSING",IF(AND(AA3370&gt;0,U3370/AA3370&gt;50),"POSSIBLE_SCALE_ERROR","OK"))</f>
        <v/>
      </c>
    </row>
    <row r="3371">
      <c r="A3371" t="inlineStr">
        <is>
          <t>T-2014-Q3-00048</t>
        </is>
      </c>
      <c r="B3371" t="inlineStr">
        <is>
          <t>SLE</t>
        </is>
      </c>
      <c r="C3371" t="inlineStr">
        <is>
          <t>Vice-President, Prince Edward Island</t>
        </is>
      </c>
      <c r="D3371" t="inlineStr">
        <is>
          <t>Vice-président, Île-du-Prince-Édouard</t>
        </is>
      </c>
      <c r="E3371" t="inlineStr">
        <is>
          <t>Patrick Dorsey</t>
        </is>
      </c>
      <c r="F3371" t="inlineStr">
        <is>
          <t>Meetings with Agency officials</t>
        </is>
      </c>
      <c r="G3371" t="inlineStr">
        <is>
          <t>Réunions avec des fonctionnaires de l'Agence</t>
        </is>
      </c>
      <c r="H3371" s="1" t="n">
        <v>41576</v>
      </c>
      <c r="I3371" s="1" t="n">
        <v>41577</v>
      </c>
      <c r="J3371" t="inlineStr">
        <is>
          <t>Halifax, Nova Scotia</t>
        </is>
      </c>
      <c r="K3371" t="inlineStr">
        <is>
          <t>Halifax (Nouvelle-Écosse)</t>
        </is>
      </c>
      <c r="P3371" t="n">
        <v>0</v>
      </c>
      <c r="Q3371" t="n">
        <v>77.44</v>
      </c>
      <c r="R3371" t="n">
        <v>170.09</v>
      </c>
      <c r="S3371" t="n">
        <v>107.45</v>
      </c>
      <c r="T3371" t="n">
        <v>0</v>
      </c>
      <c r="U3371" t="n">
        <v>354.98</v>
      </c>
      <c r="X3371" t="inlineStr">
        <is>
          <t>acoa-apeca</t>
        </is>
      </c>
      <c r="Y3371" t="inlineStr">
        <is>
          <t>Atlantic Canada Opportunities Agency | Agence de promotion économique du Canada atlantique</t>
        </is>
      </c>
      <c r="Z3371" t="n">
        <v>2</v>
      </c>
      <c r="AA3371" t="n">
        <v>354.98</v>
      </c>
      <c r="AB3371">
        <f>ROUND(U3371-AA3371,2)</f>
        <v/>
      </c>
      <c r="AC3371" t="b">
        <v>0</v>
      </c>
      <c r="AD3371">
        <f>IF(U3371="","MISSING_TOTAL",IF(ABS(AB3371)&lt;=0.01,"OK","CHECK"))</f>
        <v/>
      </c>
      <c r="AE3371">
        <f>IF(U3371="","MISSING",IF(AND(AA3371&gt;0,U3371/AA3371&gt;50),"POSSIBLE_SCALE_ERROR","OK"))</f>
        <v/>
      </c>
    </row>
    <row r="3372">
      <c r="A3372" t="inlineStr">
        <is>
          <t>T-2014-Q3-00047</t>
        </is>
      </c>
      <c r="B3372" t="inlineStr">
        <is>
          <t>SLE</t>
        </is>
      </c>
      <c r="C3372" t="inlineStr">
        <is>
          <t>President</t>
        </is>
      </c>
      <c r="D3372" t="inlineStr">
        <is>
          <t>Président</t>
        </is>
      </c>
      <c r="E3372" t="inlineStr">
        <is>
          <t>Paul J. LeBlanc</t>
        </is>
      </c>
      <c r="F3372" t="inlineStr">
        <is>
          <t>For various meetings and discussions with: Agency officials; with Government of Canada officials</t>
        </is>
      </c>
      <c r="G3372" t="inlineStr">
        <is>
          <t>Diverses réunions et discussions avec des fonctionnaires de l'Agence et du gouvernement du Canada</t>
        </is>
      </c>
      <c r="H3372" s="1" t="n">
        <v>41576</v>
      </c>
      <c r="I3372" s="1" t="n">
        <v>41577</v>
      </c>
      <c r="J3372" t="inlineStr">
        <is>
          <t>Ottawa, Ontario</t>
        </is>
      </c>
      <c r="K3372" t="inlineStr">
        <is>
          <t>Ottawa (Ontario)</t>
        </is>
      </c>
      <c r="P3372" t="n">
        <v>1114.36</v>
      </c>
      <c r="Q3372" t="n">
        <v>12.87</v>
      </c>
      <c r="R3372" t="n">
        <v>182.73</v>
      </c>
      <c r="S3372" t="n">
        <v>133.7</v>
      </c>
      <c r="T3372" t="n">
        <v>32</v>
      </c>
      <c r="U3372" t="n">
        <v>1475.66</v>
      </c>
      <c r="X3372" t="inlineStr">
        <is>
          <t>acoa-apeca</t>
        </is>
      </c>
      <c r="Y3372" t="inlineStr">
        <is>
          <t>Atlantic Canada Opportunities Agency | Agence de promotion économique du Canada atlantique</t>
        </is>
      </c>
      <c r="Z3372" t="n">
        <v>2</v>
      </c>
      <c r="AA3372" t="n">
        <v>1475.65999999999</v>
      </c>
      <c r="AB3372">
        <f>ROUND(U3372-AA3372,2)</f>
        <v/>
      </c>
      <c r="AC3372" t="b">
        <v>0</v>
      </c>
      <c r="AD3372">
        <f>IF(U3372="","MISSING_TOTAL",IF(ABS(AB3372)&lt;=0.01,"OK","CHECK"))</f>
        <v/>
      </c>
      <c r="AE3372">
        <f>IF(U3372="","MISSING",IF(AND(AA3372&gt;0,U3372/AA3372&gt;50),"POSSIBLE_SCALE_ERROR","OK"))</f>
        <v/>
      </c>
    </row>
    <row r="3373">
      <c r="A3373" t="inlineStr">
        <is>
          <t>T-2014-Q3-00046</t>
        </is>
      </c>
      <c r="B3373" t="inlineStr">
        <is>
          <t>SLE</t>
        </is>
      </c>
      <c r="C3373" t="inlineStr">
        <is>
          <t>Vice-President, Policy and Programs</t>
        </is>
      </c>
      <c r="D3373" t="inlineStr">
        <is>
          <t>Vice-président, Politiques et Programmes</t>
        </is>
      </c>
      <c r="E3373" t="inlineStr">
        <is>
          <t>Daryell Nowlan</t>
        </is>
      </c>
      <c r="F3373" t="inlineStr">
        <is>
          <t>Meeting with Government of Canada officials</t>
        </is>
      </c>
      <c r="G3373" t="inlineStr">
        <is>
          <t>Réunion avec des fonctionnaires du gouvernement du Canada</t>
        </is>
      </c>
      <c r="H3373" s="1" t="n">
        <v>41574</v>
      </c>
      <c r="I3373" s="1" t="n">
        <v>41576</v>
      </c>
      <c r="J3373" t="inlineStr">
        <is>
          <t>Ottawa, Ontario</t>
        </is>
      </c>
      <c r="K3373" t="inlineStr">
        <is>
          <t>Ottawa (Ontario)</t>
        </is>
      </c>
      <c r="P3373" t="n">
        <v>899.5599999999999</v>
      </c>
      <c r="Q3373" t="n">
        <v>100</v>
      </c>
      <c r="R3373" t="n">
        <v>365.46</v>
      </c>
      <c r="S3373" t="n">
        <v>208.1</v>
      </c>
      <c r="T3373" t="n">
        <v>0</v>
      </c>
      <c r="U3373" t="n">
        <v>1573.12</v>
      </c>
      <c r="X3373" t="inlineStr">
        <is>
          <t>acoa-apeca</t>
        </is>
      </c>
      <c r="Y3373" t="inlineStr">
        <is>
          <t>Atlantic Canada Opportunities Agency | Agence de promotion économique du Canada atlantique</t>
        </is>
      </c>
      <c r="Z3373" t="n">
        <v>3</v>
      </c>
      <c r="AA3373" t="n">
        <v>1573.12</v>
      </c>
      <c r="AB3373">
        <f>ROUND(U3373-AA3373,2)</f>
        <v/>
      </c>
      <c r="AC3373" t="b">
        <v>0</v>
      </c>
      <c r="AD3373">
        <f>IF(U3373="","MISSING_TOTAL",IF(ABS(AB3373)&lt;=0.01,"OK","CHECK"))</f>
        <v/>
      </c>
      <c r="AE3373">
        <f>IF(U3373="","MISSING",IF(AND(AA3373&gt;0,U3373/AA3373&gt;50),"POSSIBLE_SCALE_ERROR","OK"))</f>
        <v/>
      </c>
    </row>
    <row r="3374">
      <c r="A3374" t="inlineStr">
        <is>
          <t>T-2014-Q3-00045</t>
        </is>
      </c>
      <c r="B3374" t="inlineStr">
        <is>
          <t>MPSES</t>
        </is>
      </c>
      <c r="C3374" t="inlineStr">
        <is>
          <t>Minister of State</t>
        </is>
      </c>
      <c r="D3374" t="inlineStr">
        <is>
          <t>Ministre d'État</t>
        </is>
      </c>
      <c r="E3374" t="inlineStr">
        <is>
          <t>Rob Moore</t>
        </is>
      </c>
      <c r="F3374" t="inlineStr">
        <is>
          <t>Stakeholder meeting and Government of Canada announcement</t>
        </is>
      </c>
      <c r="G3374" t="inlineStr">
        <is>
          <t>Réunion avec intervenants et annonce du gouvernement du Canada</t>
        </is>
      </c>
      <c r="H3374" s="1" t="n">
        <v>41572</v>
      </c>
      <c r="I3374" s="1" t="n">
        <v>41572</v>
      </c>
      <c r="J3374" t="inlineStr">
        <is>
          <t>Saint John and Fredericton, New Brunswick</t>
        </is>
      </c>
      <c r="K3374" t="inlineStr">
        <is>
          <t>Saint John et Fredericton (Nouveau-Brunswick)</t>
        </is>
      </c>
      <c r="P3374" t="n">
        <v>0</v>
      </c>
      <c r="Q3374" t="n">
        <v>135.63</v>
      </c>
      <c r="R3374" t="n">
        <v>0</v>
      </c>
      <c r="S3374" t="n">
        <v>57.1</v>
      </c>
      <c r="T3374" t="n">
        <v>0</v>
      </c>
      <c r="U3374" t="n">
        <v>192.73</v>
      </c>
      <c r="X3374" t="inlineStr">
        <is>
          <t>acoa-apeca</t>
        </is>
      </c>
      <c r="Y3374" t="inlineStr">
        <is>
          <t>Atlantic Canada Opportunities Agency | Agence de promotion économique du Canada atlantique</t>
        </is>
      </c>
      <c r="Z3374" t="n">
        <v>1</v>
      </c>
      <c r="AA3374" t="n">
        <v>192.73</v>
      </c>
      <c r="AB3374">
        <f>ROUND(U3374-AA3374,2)</f>
        <v/>
      </c>
      <c r="AC3374" t="b">
        <v>0</v>
      </c>
      <c r="AD3374">
        <f>IF(U3374="","MISSING_TOTAL",IF(ABS(AB3374)&lt;=0.01,"OK","CHECK"))</f>
        <v/>
      </c>
      <c r="AE3374">
        <f>IF(U3374="","MISSING",IF(AND(AA3374&gt;0,U3374/AA3374&gt;50),"POSSIBLE_SCALE_ERROR","OK"))</f>
        <v/>
      </c>
    </row>
    <row r="3375">
      <c r="A3375" t="inlineStr">
        <is>
          <t>T-2014-Q3-00044</t>
        </is>
      </c>
      <c r="B3375" t="inlineStr">
        <is>
          <t>SLE</t>
        </is>
      </c>
      <c r="C3375" t="inlineStr">
        <is>
          <t>Vice President, Nova Scotia</t>
        </is>
      </c>
      <c r="D3375" t="inlineStr">
        <is>
          <t>Vice-président, Nouvelle-Écosse</t>
        </is>
      </c>
      <c r="E3375" t="inlineStr">
        <is>
          <t>Peter Hogan</t>
        </is>
      </c>
      <c r="F3375" t="inlineStr">
        <is>
          <t>Meeting with client and site visit</t>
        </is>
      </c>
      <c r="G3375" t="inlineStr">
        <is>
          <t>Réunion avec un client et visite des lieux</t>
        </is>
      </c>
      <c r="H3375" s="1" t="n">
        <v>41570</v>
      </c>
      <c r="I3375" s="1" t="n">
        <v>41570</v>
      </c>
      <c r="J3375" t="inlineStr">
        <is>
          <t>Lunenburg, Nova Scotia</t>
        </is>
      </c>
      <c r="K3375" t="inlineStr">
        <is>
          <t>Lunenburg (Nouvelle-Écosse)</t>
        </is>
      </c>
      <c r="P3375" t="n">
        <v>0</v>
      </c>
      <c r="Q3375" t="n">
        <v>107.1</v>
      </c>
      <c r="R3375" t="n">
        <v>0</v>
      </c>
      <c r="S3375" t="n">
        <v>0</v>
      </c>
      <c r="T3375" t="n">
        <v>0</v>
      </c>
      <c r="U3375" t="n">
        <v>107.1</v>
      </c>
      <c r="X3375" t="inlineStr">
        <is>
          <t>acoa-apeca</t>
        </is>
      </c>
      <c r="Y3375" t="inlineStr">
        <is>
          <t>Atlantic Canada Opportunities Agency | Agence de promotion économique du Canada atlantique</t>
        </is>
      </c>
      <c r="Z3375" t="n">
        <v>1</v>
      </c>
      <c r="AA3375" t="n">
        <v>107.1</v>
      </c>
      <c r="AB3375">
        <f>ROUND(U3375-AA3375,2)</f>
        <v/>
      </c>
      <c r="AC3375" t="b">
        <v>0</v>
      </c>
      <c r="AD3375">
        <f>IF(U3375="","MISSING_TOTAL",IF(ABS(AB3375)&lt;=0.01,"OK","CHECK"))</f>
        <v/>
      </c>
      <c r="AE3375">
        <f>IF(U3375="","MISSING",IF(AND(AA3375&gt;0,U3375/AA3375&gt;50),"POSSIBLE_SCALE_ERROR","OK"))</f>
        <v/>
      </c>
    </row>
    <row r="3376">
      <c r="A3376" t="inlineStr">
        <is>
          <t>T-2014-Q3-00043</t>
        </is>
      </c>
      <c r="B3376" t="inlineStr">
        <is>
          <t>SLE</t>
        </is>
      </c>
      <c r="C3376" t="inlineStr">
        <is>
          <t>President</t>
        </is>
      </c>
      <c r="D3376" t="inlineStr">
        <is>
          <t>Président</t>
        </is>
      </c>
      <c r="E3376" t="inlineStr">
        <is>
          <t>Paul J. LeBlanc</t>
        </is>
      </c>
      <c r="F3376" t="inlineStr">
        <is>
          <t>For various meetings and discussions with: Agency officials; with Government of Canada officials</t>
        </is>
      </c>
      <c r="G3376" t="inlineStr">
        <is>
          <t>Diverses réunions et discussions avec des fonctionnaires de l'Agence et du gouvernement du Canada</t>
        </is>
      </c>
      <c r="H3376" s="1" t="n">
        <v>41568</v>
      </c>
      <c r="I3376" s="1" t="n">
        <v>41570</v>
      </c>
      <c r="J3376" t="inlineStr">
        <is>
          <t>Ottawa, Ontario</t>
        </is>
      </c>
      <c r="K3376" t="inlineStr">
        <is>
          <t>Ottawa (Ontario)</t>
        </is>
      </c>
      <c r="P3376" t="n">
        <v>741.74</v>
      </c>
      <c r="Q3376" t="n">
        <v>12.87</v>
      </c>
      <c r="R3376" t="n">
        <v>393.4</v>
      </c>
      <c r="S3376" t="n">
        <v>196.95</v>
      </c>
      <c r="T3376" t="n">
        <v>104.5</v>
      </c>
      <c r="U3376" t="n">
        <v>1449.46</v>
      </c>
      <c r="X3376" t="inlineStr">
        <is>
          <t>acoa-apeca</t>
        </is>
      </c>
      <c r="Y3376" t="inlineStr">
        <is>
          <t>Atlantic Canada Opportunities Agency | Agence de promotion économique du Canada atlantique</t>
        </is>
      </c>
      <c r="Z3376" t="n">
        <v>3</v>
      </c>
      <c r="AA3376" t="n">
        <v>1449.46</v>
      </c>
      <c r="AB3376">
        <f>ROUND(U3376-AA3376,2)</f>
        <v/>
      </c>
      <c r="AC3376" t="b">
        <v>0</v>
      </c>
      <c r="AD3376">
        <f>IF(U3376="","MISSING_TOTAL",IF(ABS(AB3376)&lt;=0.01,"OK","CHECK"))</f>
        <v/>
      </c>
      <c r="AE3376">
        <f>IF(U3376="","MISSING",IF(AND(AA3376&gt;0,U3376/AA3376&gt;50),"POSSIBLE_SCALE_ERROR","OK"))</f>
        <v/>
      </c>
    </row>
    <row r="3377">
      <c r="A3377" t="inlineStr">
        <is>
          <t>T-2014-Q3-00042</t>
        </is>
      </c>
      <c r="B3377" t="inlineStr">
        <is>
          <t>MPSES</t>
        </is>
      </c>
      <c r="C3377" t="inlineStr">
        <is>
          <t>Regional Affairs Director - New Brunswick</t>
        </is>
      </c>
      <c r="D3377" t="inlineStr">
        <is>
          <t>Directeur des affaires régionales - Nouveau-Brunswick</t>
        </is>
      </c>
      <c r="E3377" t="inlineStr">
        <is>
          <t>Douglas MacDonald</t>
        </is>
      </c>
      <c r="F3377" t="inlineStr">
        <is>
          <t>Travel on Government business</t>
        </is>
      </c>
      <c r="G3377" t="inlineStr">
        <is>
          <t>Voyage pour le compte du gouvernement</t>
        </is>
      </c>
      <c r="H3377" s="1" t="n">
        <v>41567</v>
      </c>
      <c r="I3377" s="1" t="n">
        <v>41569</v>
      </c>
      <c r="J3377" t="inlineStr">
        <is>
          <t>Moncton, New Brunswick and Ottawa, Ontario</t>
        </is>
      </c>
      <c r="K3377" t="inlineStr">
        <is>
          <t>Moncton (Nouveau-Brunswick) et Ottawa (Ontario)</t>
        </is>
      </c>
      <c r="P3377" t="n">
        <v>478.27</v>
      </c>
      <c r="Q3377" t="n">
        <v>261.5</v>
      </c>
      <c r="R3377" t="n">
        <v>365.46</v>
      </c>
      <c r="S3377" t="n">
        <v>145.7</v>
      </c>
      <c r="T3377" t="n">
        <v>0</v>
      </c>
      <c r="U3377" t="n">
        <v>1250.93</v>
      </c>
      <c r="X3377" t="inlineStr">
        <is>
          <t>acoa-apeca</t>
        </is>
      </c>
      <c r="Y3377" t="inlineStr">
        <is>
          <t>Atlantic Canada Opportunities Agency | Agence de promotion économique du Canada atlantique</t>
        </is>
      </c>
      <c r="Z3377" t="n">
        <v>3</v>
      </c>
      <c r="AA3377" t="n">
        <v>1250.93</v>
      </c>
      <c r="AB3377">
        <f>ROUND(U3377-AA3377,2)</f>
        <v/>
      </c>
      <c r="AC3377" t="b">
        <v>0</v>
      </c>
      <c r="AD3377">
        <f>IF(U3377="","MISSING_TOTAL",IF(ABS(AB3377)&lt;=0.01,"OK","CHECK"))</f>
        <v/>
      </c>
      <c r="AE3377">
        <f>IF(U3377="","MISSING",IF(AND(AA3377&gt;0,U3377/AA3377&gt;50),"POSSIBLE_SCALE_ERROR","OK"))</f>
        <v/>
      </c>
    </row>
    <row r="3378">
      <c r="A3378" t="inlineStr">
        <is>
          <t>T-2014-Q3-00040</t>
        </is>
      </c>
      <c r="B3378" t="inlineStr">
        <is>
          <t>MPSES</t>
        </is>
      </c>
      <c r="C3378" t="inlineStr">
        <is>
          <t>Minister of State</t>
        </is>
      </c>
      <c r="D3378" t="inlineStr">
        <is>
          <t>Ministre d'État</t>
        </is>
      </c>
      <c r="E3378" t="inlineStr">
        <is>
          <t>Rob Moore</t>
        </is>
      </c>
      <c r="F3378" t="inlineStr">
        <is>
          <t>Roundtable with stakeholders</t>
        </is>
      </c>
      <c r="G3378" t="inlineStr">
        <is>
          <t>Table ronde avec intervenants</t>
        </is>
      </c>
      <c r="H3378" s="1" t="n">
        <v>41565</v>
      </c>
      <c r="I3378" s="1" t="n">
        <v>41565</v>
      </c>
      <c r="J3378" t="inlineStr">
        <is>
          <t>Fredericton, New Brunswick</t>
        </is>
      </c>
      <c r="K3378" t="inlineStr">
        <is>
          <t>Fredericton (Nouveau-Brunswick)</t>
        </is>
      </c>
      <c r="P3378" t="n">
        <v>0</v>
      </c>
      <c r="Q3378" t="n">
        <v>144.54</v>
      </c>
      <c r="R3378" t="n">
        <v>0</v>
      </c>
      <c r="S3378" t="n">
        <v>57.1</v>
      </c>
      <c r="T3378" t="n">
        <v>0</v>
      </c>
      <c r="U3378" t="n">
        <v>201.64</v>
      </c>
      <c r="X3378" t="inlineStr">
        <is>
          <t>acoa-apeca</t>
        </is>
      </c>
      <c r="Y3378" t="inlineStr">
        <is>
          <t>Atlantic Canada Opportunities Agency | Agence de promotion économique du Canada atlantique</t>
        </is>
      </c>
      <c r="Z3378" t="n">
        <v>1</v>
      </c>
      <c r="AA3378" t="n">
        <v>201.64</v>
      </c>
      <c r="AB3378">
        <f>ROUND(U3378-AA3378,2)</f>
        <v/>
      </c>
      <c r="AC3378" t="b">
        <v>0</v>
      </c>
      <c r="AD3378">
        <f>IF(U3378="","MISSING_TOTAL",IF(ABS(AB3378)&lt;=0.01,"OK","CHECK"))</f>
        <v/>
      </c>
      <c r="AE3378">
        <f>IF(U3378="","MISSING",IF(AND(AA3378&gt;0,U3378/AA3378&gt;50),"POSSIBLE_SCALE_ERROR","OK"))</f>
        <v/>
      </c>
    </row>
    <row r="3379">
      <c r="A3379" t="inlineStr">
        <is>
          <t>T-2014-Q3-00039</t>
        </is>
      </c>
      <c r="B3379" t="inlineStr">
        <is>
          <t>SLE</t>
        </is>
      </c>
      <c r="C3379" t="inlineStr">
        <is>
          <t>Vice-President, Prince Edward Island</t>
        </is>
      </c>
      <c r="D3379" t="inlineStr">
        <is>
          <t>Vice-président, Île-du-Prince-Édouard</t>
        </is>
      </c>
      <c r="E3379" t="inlineStr">
        <is>
          <t>Patrick Dorsey</t>
        </is>
      </c>
      <c r="F3379" t="inlineStr">
        <is>
          <t>TTRA Annual Conference in Ottawa and meetings with Government of Canada officials</t>
        </is>
      </c>
      <c r="G3379" t="inlineStr">
        <is>
          <t>Conférence annuelle de la TTRA à Ottawa et réunions avec des fonctionnaires du gouvernement du Canada</t>
        </is>
      </c>
      <c r="H3379" s="1" t="n">
        <v>41563</v>
      </c>
      <c r="I3379" s="1" t="n">
        <v>41565</v>
      </c>
      <c r="J3379" t="inlineStr">
        <is>
          <t>Ottawa, Ontario</t>
        </is>
      </c>
      <c r="K3379" t="inlineStr">
        <is>
          <t>Ottawa (Ontario)</t>
        </is>
      </c>
      <c r="P3379" t="n">
        <v>704.15</v>
      </c>
      <c r="Q3379" t="n">
        <v>105.5</v>
      </c>
      <c r="R3379" t="n">
        <v>365.46</v>
      </c>
      <c r="S3379" t="n">
        <v>212.7</v>
      </c>
      <c r="T3379" t="n">
        <v>0</v>
      </c>
      <c r="U3379" t="n">
        <v>1387.81</v>
      </c>
      <c r="X3379" t="inlineStr">
        <is>
          <t>acoa-apeca</t>
        </is>
      </c>
      <c r="Y3379" t="inlineStr">
        <is>
          <t>Atlantic Canada Opportunities Agency | Agence de promotion économique du Canada atlantique</t>
        </is>
      </c>
      <c r="Z3379" t="n">
        <v>3</v>
      </c>
      <c r="AA3379" t="n">
        <v>1387.81</v>
      </c>
      <c r="AB3379">
        <f>ROUND(U3379-AA3379,2)</f>
        <v/>
      </c>
      <c r="AC3379" t="b">
        <v>0</v>
      </c>
      <c r="AD3379">
        <f>IF(U3379="","MISSING_TOTAL",IF(ABS(AB3379)&lt;=0.01,"OK","CHECK"))</f>
        <v/>
      </c>
      <c r="AE3379">
        <f>IF(U3379="","MISSING",IF(AND(AA3379&gt;0,U3379/AA3379&gt;50),"POSSIBLE_SCALE_ERROR","OK"))</f>
        <v/>
      </c>
    </row>
    <row r="3380">
      <c r="A3380" t="inlineStr">
        <is>
          <t>T-2014-Q3-00038</t>
        </is>
      </c>
      <c r="B3380" t="inlineStr">
        <is>
          <t>SLE</t>
        </is>
      </c>
      <c r="C3380" t="inlineStr">
        <is>
          <t>Vice-President, Newfoundland and Labrador</t>
        </is>
      </c>
      <c r="D3380" t="inlineStr">
        <is>
          <t>Vice-président, Terre-Neuve-et-Labrador</t>
        </is>
      </c>
      <c r="E3380" t="inlineStr">
        <is>
          <t>Paul Mills</t>
        </is>
      </c>
      <c r="F3380" t="inlineStr">
        <is>
          <t>Travel to client meetings to Grand Falls-Windsor, Gros Morne and Corner Brook</t>
        </is>
      </c>
      <c r="G3380" t="inlineStr">
        <is>
          <t>Réunions avec des clients à Grand Falls-Windsor, à Gros Morne et à Corner Brook</t>
        </is>
      </c>
      <c r="H3380" s="1" t="n">
        <v>41562</v>
      </c>
      <c r="I3380" s="1" t="n">
        <v>41565</v>
      </c>
      <c r="J3380" t="inlineStr">
        <is>
          <t>Grand Falls, Rocky Harbour and Corner Brook</t>
        </is>
      </c>
      <c r="K3380" t="inlineStr">
        <is>
          <t>Grand Falls, Rocky Harbour et Corner Brook</t>
        </is>
      </c>
      <c r="P3380" t="n">
        <v>0</v>
      </c>
      <c r="Q3380" t="n">
        <v>965.66</v>
      </c>
      <c r="R3380" t="n">
        <v>380.69</v>
      </c>
      <c r="S3380" t="n">
        <v>302.85</v>
      </c>
      <c r="T3380" t="n">
        <v>10.54</v>
      </c>
      <c r="U3380" t="n">
        <v>1659.74</v>
      </c>
      <c r="X3380" t="inlineStr">
        <is>
          <t>acoa-apeca</t>
        </is>
      </c>
      <c r="Y3380" t="inlineStr">
        <is>
          <t>Atlantic Canada Opportunities Agency | Agence de promotion économique du Canada atlantique</t>
        </is>
      </c>
      <c r="Z3380" t="n">
        <v>4</v>
      </c>
      <c r="AA3380" t="n">
        <v>1659.73999999999</v>
      </c>
      <c r="AB3380">
        <f>ROUND(U3380-AA3380,2)</f>
        <v/>
      </c>
      <c r="AC3380" t="b">
        <v>0</v>
      </c>
      <c r="AD3380">
        <f>IF(U3380="","MISSING_TOTAL",IF(ABS(AB3380)&lt;=0.01,"OK","CHECK"))</f>
        <v/>
      </c>
      <c r="AE3380">
        <f>IF(U3380="","MISSING",IF(AND(AA3380&gt;0,U3380/AA3380&gt;50),"POSSIBLE_SCALE_ERROR","OK"))</f>
        <v/>
      </c>
    </row>
    <row r="3381">
      <c r="A3381" t="inlineStr">
        <is>
          <t>T-2014-Q3-00037</t>
        </is>
      </c>
      <c r="B3381" t="inlineStr">
        <is>
          <t>SLE</t>
        </is>
      </c>
      <c r="C3381" t="inlineStr">
        <is>
          <t>President</t>
        </is>
      </c>
      <c r="D3381" t="inlineStr">
        <is>
          <t>Président</t>
        </is>
      </c>
      <c r="E3381" t="inlineStr">
        <is>
          <t>Paul J. LeBlanc</t>
        </is>
      </c>
      <c r="F3381" t="inlineStr">
        <is>
          <t>For various meetings and discussions with: Agency officials; and with Government of Canada officials</t>
        </is>
      </c>
      <c r="G3381" t="inlineStr">
        <is>
          <t>Diverses réunions et discussions avec des fonctionnaires de l'Agence et du gouvernement du Canada</t>
        </is>
      </c>
      <c r="H3381" s="1" t="n">
        <v>41562</v>
      </c>
      <c r="I3381" s="1" t="n">
        <v>41565</v>
      </c>
      <c r="J3381" t="inlineStr">
        <is>
          <t>Ottawa, Ontario</t>
        </is>
      </c>
      <c r="K3381" t="inlineStr">
        <is>
          <t>Ottawa (Ontario)</t>
        </is>
      </c>
      <c r="P3381" t="n">
        <v>1114.36</v>
      </c>
      <c r="Q3381" t="n">
        <v>12.87</v>
      </c>
      <c r="R3381" t="n">
        <v>590.1</v>
      </c>
      <c r="S3381" t="n">
        <v>256.9</v>
      </c>
      <c r="T3381" t="n">
        <v>16</v>
      </c>
      <c r="U3381" t="n">
        <v>1990.23</v>
      </c>
      <c r="X3381" t="inlineStr">
        <is>
          <t>acoa-apeca</t>
        </is>
      </c>
      <c r="Y3381" t="inlineStr">
        <is>
          <t>Atlantic Canada Opportunities Agency | Agence de promotion économique du Canada atlantique</t>
        </is>
      </c>
      <c r="Z3381" t="n">
        <v>4</v>
      </c>
      <c r="AA3381" t="n">
        <v>1990.23</v>
      </c>
      <c r="AB3381">
        <f>ROUND(U3381-AA3381,2)</f>
        <v/>
      </c>
      <c r="AC3381" t="b">
        <v>0</v>
      </c>
      <c r="AD3381">
        <f>IF(U3381="","MISSING_TOTAL",IF(ABS(AB3381)&lt;=0.01,"OK","CHECK"))</f>
        <v/>
      </c>
      <c r="AE3381">
        <f>IF(U3381="","MISSING",IF(AND(AA3381&gt;0,U3381/AA3381&gt;50),"POSSIBLE_SCALE_ERROR","OK"))</f>
        <v/>
      </c>
    </row>
    <row r="3382">
      <c r="A3382" t="inlineStr">
        <is>
          <t>T-2014-Q3-00036</t>
        </is>
      </c>
      <c r="B3382" t="inlineStr">
        <is>
          <t>MPSES</t>
        </is>
      </c>
      <c r="C3382" t="inlineStr">
        <is>
          <t>Regional Affairs Director - New Brunswick</t>
        </is>
      </c>
      <c r="D3382" t="inlineStr">
        <is>
          <t>Directeur des affaires régionales - Nouveau-Brunswick</t>
        </is>
      </c>
      <c r="E3382" t="inlineStr">
        <is>
          <t>Douglas MacDonald</t>
        </is>
      </c>
      <c r="F3382" t="inlineStr">
        <is>
          <t>Travel on Government business</t>
        </is>
      </c>
      <c r="G3382" t="inlineStr">
        <is>
          <t>Voyage pour le compte du gouvernement</t>
        </is>
      </c>
      <c r="H3382" s="1" t="n">
        <v>41558</v>
      </c>
      <c r="I3382" s="1" t="n">
        <v>41558</v>
      </c>
      <c r="J3382" t="inlineStr">
        <is>
          <t>Fredericton and Saint John, New Brunswick</t>
        </is>
      </c>
      <c r="K3382" t="inlineStr">
        <is>
          <t>Fredericton et Sain John (Nouveau-Brunswick)</t>
        </is>
      </c>
      <c r="P3382" t="n">
        <v>0</v>
      </c>
      <c r="Q3382" t="n">
        <v>145.53</v>
      </c>
      <c r="R3382" t="n">
        <v>0</v>
      </c>
      <c r="S3382" t="n">
        <v>0</v>
      </c>
      <c r="T3382" t="n">
        <v>0</v>
      </c>
      <c r="U3382" t="n">
        <v>145.53</v>
      </c>
      <c r="X3382" t="inlineStr">
        <is>
          <t>acoa-apeca</t>
        </is>
      </c>
      <c r="Y3382" t="inlineStr">
        <is>
          <t>Atlantic Canada Opportunities Agency | Agence de promotion économique du Canada atlantique</t>
        </is>
      </c>
      <c r="Z3382" t="n">
        <v>1</v>
      </c>
      <c r="AA3382" t="n">
        <v>145.53</v>
      </c>
      <c r="AB3382">
        <f>ROUND(U3382-AA3382,2)</f>
        <v/>
      </c>
      <c r="AC3382" t="b">
        <v>0</v>
      </c>
      <c r="AD3382">
        <f>IF(U3382="","MISSING_TOTAL",IF(ABS(AB3382)&lt;=0.01,"OK","CHECK"))</f>
        <v/>
      </c>
      <c r="AE3382">
        <f>IF(U3382="","MISSING",IF(AND(AA3382&gt;0,U3382/AA3382&gt;50),"POSSIBLE_SCALE_ERROR","OK"))</f>
        <v/>
      </c>
    </row>
    <row r="3383">
      <c r="A3383" t="inlineStr">
        <is>
          <t>T-2014-Q3-00034</t>
        </is>
      </c>
      <c r="B3383" t="inlineStr">
        <is>
          <t>MPSES</t>
        </is>
      </c>
      <c r="C3383" t="inlineStr">
        <is>
          <t>Regional Affairs Director - New Brunswick</t>
        </is>
      </c>
      <c r="D3383" t="inlineStr">
        <is>
          <t>Directeur des affaires régionales - Nouveau-Brunswick</t>
        </is>
      </c>
      <c r="E3383" t="inlineStr">
        <is>
          <t>Douglas MacDonald</t>
        </is>
      </c>
      <c r="F3383" t="inlineStr">
        <is>
          <t>Travel on Government business</t>
        </is>
      </c>
      <c r="G3383" t="inlineStr">
        <is>
          <t>Voyage pour le compte du gouvernement</t>
        </is>
      </c>
      <c r="H3383" s="1" t="n">
        <v>41556</v>
      </c>
      <c r="I3383" s="1" t="n">
        <v>41556</v>
      </c>
      <c r="J3383" t="inlineStr">
        <is>
          <t>Moncton and Fredericton, New Brunswick</t>
        </is>
      </c>
      <c r="K3383" t="inlineStr">
        <is>
          <t>Moncton et Fredericton (Nouveau-Brunswick)</t>
        </is>
      </c>
      <c r="P3383" t="n">
        <v>0</v>
      </c>
      <c r="Q3383" t="n">
        <v>235.62</v>
      </c>
      <c r="R3383" t="n">
        <v>0</v>
      </c>
      <c r="S3383" t="n">
        <v>0</v>
      </c>
      <c r="T3383" t="n">
        <v>0</v>
      </c>
      <c r="U3383" t="n">
        <v>235.62</v>
      </c>
      <c r="X3383" t="inlineStr">
        <is>
          <t>acoa-apeca</t>
        </is>
      </c>
      <c r="Y3383" t="inlineStr">
        <is>
          <t>Atlantic Canada Opportunities Agency | Agence de promotion économique du Canada atlantique</t>
        </is>
      </c>
      <c r="Z3383" t="n">
        <v>1</v>
      </c>
      <c r="AA3383" t="n">
        <v>235.62</v>
      </c>
      <c r="AB3383">
        <f>ROUND(U3383-AA3383,2)</f>
        <v/>
      </c>
      <c r="AC3383" t="b">
        <v>0</v>
      </c>
      <c r="AD3383">
        <f>IF(U3383="","MISSING_TOTAL",IF(ABS(AB3383)&lt;=0.01,"OK","CHECK"))</f>
        <v/>
      </c>
      <c r="AE3383">
        <f>IF(U3383="","MISSING",IF(AND(AA3383&gt;0,U3383/AA3383&gt;50),"POSSIBLE_SCALE_ERROR","OK"))</f>
        <v/>
      </c>
    </row>
    <row r="3384">
      <c r="A3384" t="inlineStr">
        <is>
          <t>T-2014-Q3-00032</t>
        </is>
      </c>
      <c r="B3384" t="inlineStr">
        <is>
          <t>SLE</t>
        </is>
      </c>
      <c r="C3384" t="inlineStr">
        <is>
          <t>President</t>
        </is>
      </c>
      <c r="D3384" t="inlineStr">
        <is>
          <t>Président</t>
        </is>
      </c>
      <c r="E3384" t="inlineStr">
        <is>
          <t>Paul J. LeBlanc</t>
        </is>
      </c>
      <c r="F3384" t="inlineStr">
        <is>
          <t>For various meetings and visits with Agency officials and key stakeholders</t>
        </is>
      </c>
      <c r="G3384" t="inlineStr">
        <is>
          <t>Diverses réunions et visites avec des fonctionnaires de l'Agence et des intervenants clés</t>
        </is>
      </c>
      <c r="H3384" s="1" t="n">
        <v>41555</v>
      </c>
      <c r="I3384" s="1" t="n">
        <v>41558</v>
      </c>
      <c r="J3384" t="inlineStr">
        <is>
          <t>St. John's, Newfoundland and Labrador</t>
        </is>
      </c>
      <c r="K3384" t="inlineStr">
        <is>
          <t>St. John's (Terre-Neuve-et-Labrador)</t>
        </is>
      </c>
      <c r="P3384" t="n">
        <v>1979.22</v>
      </c>
      <c r="Q3384" t="n">
        <v>26</v>
      </c>
      <c r="R3384" t="n">
        <v>675.09</v>
      </c>
      <c r="S3384" t="n">
        <v>272.65</v>
      </c>
      <c r="T3384" t="n">
        <v>0</v>
      </c>
      <c r="U3384" t="n">
        <v>2952.96</v>
      </c>
      <c r="X3384" t="inlineStr">
        <is>
          <t>acoa-apeca</t>
        </is>
      </c>
      <c r="Y3384" t="inlineStr">
        <is>
          <t>Atlantic Canada Opportunities Agency | Agence de promotion économique du Canada atlantique</t>
        </is>
      </c>
      <c r="Z3384" t="n">
        <v>4</v>
      </c>
      <c r="AA3384" t="n">
        <v>2952.96</v>
      </c>
      <c r="AB3384">
        <f>ROUND(U3384-AA3384,2)</f>
        <v/>
      </c>
      <c r="AC3384" t="b">
        <v>0</v>
      </c>
      <c r="AD3384">
        <f>IF(U3384="","MISSING_TOTAL",IF(ABS(AB3384)&lt;=0.01,"OK","CHECK"))</f>
        <v/>
      </c>
      <c r="AE3384">
        <f>IF(U3384="","MISSING",IF(AND(AA3384&gt;0,U3384/AA3384&gt;50),"POSSIBLE_SCALE_ERROR","OK"))</f>
        <v/>
      </c>
    </row>
    <row r="3385">
      <c r="A3385" t="inlineStr">
        <is>
          <t>T-2014-Q3-00031</t>
        </is>
      </c>
      <c r="B3385" t="inlineStr">
        <is>
          <t>SLE</t>
        </is>
      </c>
      <c r="C3385" t="inlineStr">
        <is>
          <t>Vice-President, Prince Edward Island</t>
        </is>
      </c>
      <c r="D3385" t="inlineStr">
        <is>
          <t>Vice-président, Île-du-Prince-Édouard</t>
        </is>
      </c>
      <c r="E3385" t="inlineStr">
        <is>
          <t>Patrick Dorsey</t>
        </is>
      </c>
      <c r="F3385" t="inlineStr">
        <is>
          <t>Meetings with Government of Canada officials in Halifax and St. John's</t>
        </is>
      </c>
      <c r="G3385" t="inlineStr">
        <is>
          <t>Réunions avec des fonctionnaires du gouvernement du Canada à Halifax et à St. John's</t>
        </is>
      </c>
      <c r="H3385" s="1" t="n">
        <v>41553</v>
      </c>
      <c r="I3385" s="1" t="n">
        <v>41555</v>
      </c>
      <c r="J3385" t="inlineStr">
        <is>
          <t>Halifax, Nova Scotia and St. John's, Newfoundland and Labrador</t>
        </is>
      </c>
      <c r="K3385" t="inlineStr">
        <is>
          <t>Halifax (Nouvelle-Écosse) et St. John's (Terre-Neuve-et-Labrador)</t>
        </is>
      </c>
      <c r="P3385" t="n">
        <v>1398.57</v>
      </c>
      <c r="Q3385" t="n">
        <v>93.5</v>
      </c>
      <c r="R3385" t="n">
        <v>367.82</v>
      </c>
      <c r="S3385" t="n">
        <v>197.6</v>
      </c>
      <c r="T3385" t="n">
        <v>57.43</v>
      </c>
      <c r="U3385" t="n">
        <v>2114.92</v>
      </c>
      <c r="X3385" t="inlineStr">
        <is>
          <t>acoa-apeca</t>
        </is>
      </c>
      <c r="Y3385" t="inlineStr">
        <is>
          <t>Atlantic Canada Opportunities Agency | Agence de promotion économique du Canada atlantique</t>
        </is>
      </c>
      <c r="Z3385" t="n">
        <v>3</v>
      </c>
      <c r="AA3385" t="n">
        <v>2114.91999999999</v>
      </c>
      <c r="AB3385">
        <f>ROUND(U3385-AA3385,2)</f>
        <v/>
      </c>
      <c r="AC3385" t="b">
        <v>0</v>
      </c>
      <c r="AD3385">
        <f>IF(U3385="","MISSING_TOTAL",IF(ABS(AB3385)&lt;=0.01,"OK","CHECK"))</f>
        <v/>
      </c>
      <c r="AE3385">
        <f>IF(U3385="","MISSING",IF(AND(AA3385&gt;0,U3385/AA3385&gt;50),"POSSIBLE_SCALE_ERROR","OK"))</f>
        <v/>
      </c>
    </row>
    <row r="3386">
      <c r="A3386" t="inlineStr">
        <is>
          <t>T-2014-Q2-00022</t>
        </is>
      </c>
      <c r="B3386" t="inlineStr">
        <is>
          <t>SLE</t>
        </is>
      </c>
      <c r="C3386" t="inlineStr">
        <is>
          <t>President</t>
        </is>
      </c>
      <c r="D3386" t="inlineStr">
        <is>
          <t>Président</t>
        </is>
      </c>
      <c r="E3386" t="inlineStr">
        <is>
          <t>Paul J. LeBlanc</t>
        </is>
      </c>
      <c r="F3386" t="inlineStr">
        <is>
          <t>For meeting with Agency officials</t>
        </is>
      </c>
      <c r="G3386" t="inlineStr">
        <is>
          <t>Réunion avec des fonctionnaires de l'Agence</t>
        </is>
      </c>
      <c r="H3386" s="1" t="n">
        <v>41460</v>
      </c>
      <c r="I3386" s="1" t="n">
        <v>41460</v>
      </c>
      <c r="J3386" t="inlineStr">
        <is>
          <t>Summerside, Prince Edward Island</t>
        </is>
      </c>
      <c r="K3386" t="inlineStr">
        <is>
          <t>Summerside (Île-du-Prince-Édouard)</t>
        </is>
      </c>
      <c r="P3386" t="n">
        <v>0</v>
      </c>
      <c r="Q3386" t="n">
        <v>0</v>
      </c>
      <c r="R3386" t="n">
        <v>0</v>
      </c>
      <c r="S3386" t="n">
        <v>15.15</v>
      </c>
      <c r="T3386" t="n">
        <v>44.5</v>
      </c>
      <c r="U3386" t="n">
        <v>59.65</v>
      </c>
      <c r="X3386" t="inlineStr">
        <is>
          <t>acoa-apeca</t>
        </is>
      </c>
      <c r="Y3386" t="inlineStr">
        <is>
          <t>Atlantic Canada Opportunities Agency | Agence de promotion économique du Canada atlantique</t>
        </is>
      </c>
      <c r="Z3386" t="n">
        <v>1</v>
      </c>
      <c r="AA3386" t="n">
        <v>59.65</v>
      </c>
      <c r="AB3386">
        <f>ROUND(U3386-AA3386,2)</f>
        <v/>
      </c>
      <c r="AC3386" t="b">
        <v>0</v>
      </c>
      <c r="AD3386">
        <f>IF(U3386="","MISSING_TOTAL",IF(ABS(AB3386)&lt;=0.01,"OK","CHECK"))</f>
        <v/>
      </c>
      <c r="AE3386">
        <f>IF(U3386="","MISSING",IF(AND(AA3386&gt;0,U3386/AA3386&gt;50),"POSSIBLE_SCALE_ERROR","OK"))</f>
        <v/>
      </c>
    </row>
    <row r="3387">
      <c r="A3387" t="inlineStr">
        <is>
          <t>T-2014-Q3-00014</t>
        </is>
      </c>
      <c r="B3387" t="inlineStr">
        <is>
          <t>SLE</t>
        </is>
      </c>
      <c r="C3387" t="inlineStr">
        <is>
          <t>Vice-President, Policy and Programs</t>
        </is>
      </c>
      <c r="D3387" t="inlineStr">
        <is>
          <t>Vice-président, Politiques et Programmes</t>
        </is>
      </c>
      <c r="E3387" t="inlineStr">
        <is>
          <t>Daryell Nowlan</t>
        </is>
      </c>
      <c r="F3387" t="inlineStr">
        <is>
          <t>Atlantic Association of CBDCs Annual General Meeting</t>
        </is>
      </c>
      <c r="G3387" t="inlineStr">
        <is>
          <t>Assemblée générale annuelle de l'Association atlantique des CBDC</t>
        </is>
      </c>
      <c r="H3387" s="1" t="n">
        <v>41535</v>
      </c>
      <c r="I3387" s="1" t="n">
        <v>41536</v>
      </c>
      <c r="J3387" t="inlineStr">
        <is>
          <t>Fredericton, New Brunswick</t>
        </is>
      </c>
      <c r="K3387" t="inlineStr">
        <is>
          <t>Fredericton (Nouveau-Brunswick)</t>
        </is>
      </c>
      <c r="P3387" t="n">
        <v>0</v>
      </c>
      <c r="Q3387" t="n">
        <v>96.92</v>
      </c>
      <c r="R3387" t="n">
        <v>163.85</v>
      </c>
      <c r="S3387" t="n">
        <v>50.25</v>
      </c>
      <c r="T3387" t="n">
        <v>0</v>
      </c>
      <c r="U3387" t="n">
        <v>311.02</v>
      </c>
      <c r="X3387" t="inlineStr">
        <is>
          <t>acoa-apeca</t>
        </is>
      </c>
      <c r="Y3387" t="inlineStr">
        <is>
          <t>Atlantic Canada Opportunities Agency | Agence de promotion économique du Canada atlantique</t>
        </is>
      </c>
      <c r="Z3387" t="n">
        <v>2</v>
      </c>
      <c r="AA3387" t="n">
        <v>311.02</v>
      </c>
      <c r="AB3387">
        <f>ROUND(U3387-AA3387,2)</f>
        <v/>
      </c>
      <c r="AC3387" t="b">
        <v>0</v>
      </c>
      <c r="AD3387">
        <f>IF(U3387="","MISSING_TOTAL",IF(ABS(AB3387)&lt;=0.01,"OK","CHECK"))</f>
        <v/>
      </c>
      <c r="AE3387">
        <f>IF(U3387="","MISSING",IF(AND(AA3387&gt;0,U3387/AA3387&gt;50),"POSSIBLE_SCALE_ERROR","OK"))</f>
        <v/>
      </c>
    </row>
    <row r="3388">
      <c r="A3388" t="inlineStr">
        <is>
          <t>T-2014-Q3-00030</t>
        </is>
      </c>
      <c r="B3388" t="inlineStr">
        <is>
          <t>SLE</t>
        </is>
      </c>
      <c r="C3388" t="inlineStr">
        <is>
          <t>Vice-President, Newfoundland and Labrador</t>
        </is>
      </c>
      <c r="D3388" t="inlineStr">
        <is>
          <t>Vice-président, Terre-Neuve-et-Labrador</t>
        </is>
      </c>
      <c r="E3388" t="inlineStr">
        <is>
          <t>Paul Mills</t>
        </is>
      </c>
      <c r="F3388" t="inlineStr">
        <is>
          <t>Mileage claim for travel to meetings in private vehicle from October 1 to December 18, 2013</t>
        </is>
      </c>
      <c r="G3388" t="inlineStr">
        <is>
          <t>Réclamation de frais de kilométrage relatifs à l'utilisation d'un véhicule personnel pour voyager à des réunions du 1er octobre au 18 décembre 2013</t>
        </is>
      </c>
      <c r="H3388" s="1" t="n">
        <v>41548</v>
      </c>
      <c r="I3388" s="1" t="n">
        <v>41626</v>
      </c>
      <c r="J3388" t="inlineStr">
        <is>
          <t>St. John's, Newfoundland and Labrador</t>
        </is>
      </c>
      <c r="K3388" t="inlineStr">
        <is>
          <t>St. John's (Terre-Neuve-et-Labrador)</t>
        </is>
      </c>
      <c r="P3388" t="n">
        <v>0</v>
      </c>
      <c r="Q3388" t="n">
        <v>72.34999999999999</v>
      </c>
      <c r="R3388" t="n">
        <v>0</v>
      </c>
      <c r="S3388" t="n">
        <v>0</v>
      </c>
      <c r="T3388" t="n">
        <v>0</v>
      </c>
      <c r="U3388" t="n">
        <v>72.34999999999999</v>
      </c>
      <c r="X3388" t="inlineStr">
        <is>
          <t>acoa-apeca</t>
        </is>
      </c>
      <c r="Y3388" t="inlineStr">
        <is>
          <t>Atlantic Canada Opportunities Agency | Agence de promotion économique du Canada atlantique</t>
        </is>
      </c>
      <c r="Z3388" t="n">
        <v>79</v>
      </c>
      <c r="AA3388" t="n">
        <v>72.34999999999999</v>
      </c>
      <c r="AB3388">
        <f>ROUND(U3388-AA3388,2)</f>
        <v/>
      </c>
      <c r="AC3388" t="b">
        <v>0</v>
      </c>
      <c r="AD3388">
        <f>IF(U3388="","MISSING_TOTAL",IF(ABS(AB3388)&lt;=0.01,"OK","CHECK"))</f>
        <v/>
      </c>
      <c r="AE3388">
        <f>IF(U3388="","MISSING",IF(AND(AA3388&gt;0,U3388/AA3388&gt;50),"POSSIBLE_SCALE_ERROR","OK"))</f>
        <v/>
      </c>
    </row>
    <row r="3389">
      <c r="A3389" t="inlineStr">
        <is>
          <t>T-2014-Q3-00029</t>
        </is>
      </c>
      <c r="B3389" t="inlineStr">
        <is>
          <t>SLE</t>
        </is>
      </c>
      <c r="C3389" t="inlineStr">
        <is>
          <t>Vice President, Nova Scotia</t>
        </is>
      </c>
      <c r="D3389" t="inlineStr">
        <is>
          <t>Vice-président, Nouvelle-Écosse</t>
        </is>
      </c>
      <c r="E3389" t="inlineStr">
        <is>
          <t>Peter Hogan</t>
        </is>
      </c>
      <c r="F3389" t="inlineStr">
        <is>
          <t>Various meetings with Government of Canada and Agency officials</t>
        </is>
      </c>
      <c r="G3389" t="inlineStr">
        <is>
          <t>Diverses réunions avec des fonctionnaires de l'Agence et du gouvernement du Canada</t>
        </is>
      </c>
      <c r="H3389" s="1" t="n">
        <v>41548</v>
      </c>
      <c r="I3389" s="1" t="n">
        <v>41549</v>
      </c>
      <c r="J3389" t="inlineStr">
        <is>
          <t>Ottawa, Ontario</t>
        </is>
      </c>
      <c r="K3389" t="inlineStr">
        <is>
          <t>Ottawa (Ontario)</t>
        </is>
      </c>
      <c r="P3389" t="n">
        <v>439.82</v>
      </c>
      <c r="Q3389" t="n">
        <v>90.40000000000001</v>
      </c>
      <c r="R3389" t="n">
        <v>231.62</v>
      </c>
      <c r="S3389" t="n">
        <v>122.55</v>
      </c>
      <c r="T3389" t="n">
        <v>38</v>
      </c>
      <c r="U3389" t="n">
        <v>922.39</v>
      </c>
      <c r="X3389" t="inlineStr">
        <is>
          <t>acoa-apeca</t>
        </is>
      </c>
      <c r="Y3389" t="inlineStr">
        <is>
          <t>Atlantic Canada Opportunities Agency | Agence de promotion économique du Canada atlantique</t>
        </is>
      </c>
      <c r="Z3389" t="n">
        <v>2</v>
      </c>
      <c r="AA3389" t="n">
        <v>922.39</v>
      </c>
      <c r="AB3389">
        <f>ROUND(U3389-AA3389,2)</f>
        <v/>
      </c>
      <c r="AC3389" t="b">
        <v>0</v>
      </c>
      <c r="AD3389">
        <f>IF(U3389="","MISSING_TOTAL",IF(ABS(AB3389)&lt;=0.01,"OK","CHECK"))</f>
        <v/>
      </c>
      <c r="AE3389">
        <f>IF(U3389="","MISSING",IF(AND(AA3389&gt;0,U3389/AA3389&gt;50),"POSSIBLE_SCALE_ERROR","OK"))</f>
        <v/>
      </c>
    </row>
    <row r="3390">
      <c r="A3390" t="inlineStr">
        <is>
          <t>T-2014-Q3-00028</t>
        </is>
      </c>
      <c r="B3390" t="inlineStr">
        <is>
          <t>SLE</t>
        </is>
      </c>
      <c r="C3390" t="inlineStr">
        <is>
          <t>Acting Vice-President, New Brunswick</t>
        </is>
      </c>
      <c r="D3390" t="inlineStr">
        <is>
          <t>Vice-présidente par intérim, Nouveau-Brunswick</t>
        </is>
      </c>
      <c r="E3390" t="inlineStr">
        <is>
          <t>Denise Frenette</t>
        </is>
      </c>
      <c r="F3390" t="inlineStr">
        <is>
          <t>Assignment in Fredericton</t>
        </is>
      </c>
      <c r="G3390" t="inlineStr">
        <is>
          <t>Affectation à Fredericton</t>
        </is>
      </c>
      <c r="H3390" s="1" t="n">
        <v>41548</v>
      </c>
      <c r="I3390" s="1" t="n">
        <v>41578</v>
      </c>
      <c r="J3390" t="inlineStr">
        <is>
          <t>Fredericton, New Brunswick</t>
        </is>
      </c>
      <c r="K3390" t="inlineStr">
        <is>
          <t>Fredericton (Nouveau-Brunswick)</t>
        </is>
      </c>
      <c r="P3390" t="n">
        <v>0</v>
      </c>
      <c r="Q3390" t="n">
        <v>99</v>
      </c>
      <c r="R3390" t="n">
        <v>1825</v>
      </c>
      <c r="S3390" t="n">
        <v>1057</v>
      </c>
      <c r="T3390" t="n">
        <v>0</v>
      </c>
      <c r="U3390" t="n">
        <v>2981</v>
      </c>
      <c r="X3390" t="inlineStr">
        <is>
          <t>acoa-apeca</t>
        </is>
      </c>
      <c r="Y3390" t="inlineStr">
        <is>
          <t>Atlantic Canada Opportunities Agency | Agence de promotion économique du Canada atlantique</t>
        </is>
      </c>
      <c r="Z3390" t="n">
        <v>31</v>
      </c>
      <c r="AA3390" t="n">
        <v>2981</v>
      </c>
      <c r="AB3390">
        <f>ROUND(U3390-AA3390,2)</f>
        <v/>
      </c>
      <c r="AC3390" t="b">
        <v>0</v>
      </c>
      <c r="AD3390">
        <f>IF(U3390="","MISSING_TOTAL",IF(ABS(AB3390)&lt;=0.01,"OK","CHECK"))</f>
        <v/>
      </c>
      <c r="AE3390">
        <f>IF(U3390="","MISSING",IF(AND(AA3390&gt;0,U3390/AA3390&gt;50),"POSSIBLE_SCALE_ERROR","OK"))</f>
        <v/>
      </c>
    </row>
    <row r="3391">
      <c r="A3391" t="inlineStr">
        <is>
          <t>T-2014-Q3-00026</t>
        </is>
      </c>
      <c r="B3391" t="inlineStr">
        <is>
          <t>SLE</t>
        </is>
      </c>
      <c r="C3391" t="inlineStr">
        <is>
          <t>Acting Vice-President, New Brunswick</t>
        </is>
      </c>
      <c r="D3391" t="inlineStr">
        <is>
          <t>Vice-présidente par intérim, Nouveau-Brunswick</t>
        </is>
      </c>
      <c r="E3391" t="inlineStr">
        <is>
          <t>Denise Frenette</t>
        </is>
      </c>
      <c r="F3391" t="inlineStr">
        <is>
          <t>25th International Colloquium on Financial Management for National Governments</t>
        </is>
      </c>
      <c r="G3391" t="inlineStr">
        <is>
          <t>25e colloque international sur la gestion financière des gouvernements nationaux</t>
        </is>
      </c>
      <c r="H3391" s="1" t="n">
        <v>41547</v>
      </c>
      <c r="I3391" s="1" t="n">
        <v>41550</v>
      </c>
      <c r="J3391" t="inlineStr">
        <is>
          <t>Ottawa, Ontario</t>
        </is>
      </c>
      <c r="K3391" t="inlineStr">
        <is>
          <t>Ottawa (Ontario)</t>
        </is>
      </c>
      <c r="P3391" t="n">
        <v>891.6799999999999</v>
      </c>
      <c r="Q3391" t="n">
        <v>91</v>
      </c>
      <c r="R3391" t="n">
        <v>548.1900000000001</v>
      </c>
      <c r="S3391" t="n">
        <v>282.85</v>
      </c>
      <c r="T3391" t="n">
        <v>0</v>
      </c>
      <c r="U3391" t="n">
        <v>1813.72</v>
      </c>
      <c r="X3391" t="inlineStr">
        <is>
          <t>acoa-apeca</t>
        </is>
      </c>
      <c r="Y3391" t="inlineStr">
        <is>
          <t>Atlantic Canada Opportunities Agency | Agence de promotion économique du Canada atlantique</t>
        </is>
      </c>
      <c r="Z3391" t="n">
        <v>4</v>
      </c>
      <c r="AA3391" t="n">
        <v>1813.71999999999</v>
      </c>
      <c r="AB3391">
        <f>ROUND(U3391-AA3391,2)</f>
        <v/>
      </c>
      <c r="AC3391" t="b">
        <v>0</v>
      </c>
      <c r="AD3391">
        <f>IF(U3391="","MISSING_TOTAL",IF(ABS(AB3391)&lt;=0.01,"OK","CHECK"))</f>
        <v/>
      </c>
      <c r="AE3391">
        <f>IF(U3391="","MISSING",IF(AND(AA3391&gt;0,U3391/AA3391&gt;50),"POSSIBLE_SCALE_ERROR","OK"))</f>
        <v/>
      </c>
    </row>
    <row r="3392">
      <c r="A3392" t="inlineStr">
        <is>
          <t>T-2014-Q3-00025</t>
        </is>
      </c>
      <c r="B3392" t="inlineStr">
        <is>
          <t>SLE</t>
        </is>
      </c>
      <c r="C3392" t="inlineStr">
        <is>
          <t>President</t>
        </is>
      </c>
      <c r="D3392" t="inlineStr">
        <is>
          <t>Président</t>
        </is>
      </c>
      <c r="E3392" t="inlineStr">
        <is>
          <t>Paul J. LeBlanc</t>
        </is>
      </c>
      <c r="F3392" t="inlineStr">
        <is>
          <t>For various meetings and discussions with: Agency officials; with Government of Canada officials</t>
        </is>
      </c>
      <c r="G3392" t="inlineStr">
        <is>
          <t>Diverses réunions et discussions avec des fonctionnaires de l'Agence et du gouvernement du Canada</t>
        </is>
      </c>
      <c r="H3392" s="1" t="n">
        <v>41546</v>
      </c>
      <c r="I3392" s="1" t="n">
        <v>41550</v>
      </c>
      <c r="J3392" t="inlineStr">
        <is>
          <t>Ottawa, Ontario</t>
        </is>
      </c>
      <c r="K3392" t="inlineStr">
        <is>
          <t>Ottawa (Ontario)</t>
        </is>
      </c>
      <c r="P3392" t="n">
        <v>741.74</v>
      </c>
      <c r="Q3392" t="n">
        <v>0</v>
      </c>
      <c r="R3392" t="n">
        <v>730.92</v>
      </c>
      <c r="S3392" t="n">
        <v>388.45</v>
      </c>
      <c r="T3392" t="n">
        <v>0</v>
      </c>
      <c r="U3392" t="n">
        <v>1861.11</v>
      </c>
      <c r="X3392" t="inlineStr">
        <is>
          <t>acoa-apeca</t>
        </is>
      </c>
      <c r="Y3392" t="inlineStr">
        <is>
          <t>Atlantic Canada Opportunities Agency | Agence de promotion économique du Canada atlantique</t>
        </is>
      </c>
      <c r="Z3392" t="n">
        <v>5</v>
      </c>
      <c r="AA3392" t="n">
        <v>1861.11</v>
      </c>
      <c r="AB3392">
        <f>ROUND(U3392-AA3392,2)</f>
        <v/>
      </c>
      <c r="AC3392" t="b">
        <v>0</v>
      </c>
      <c r="AD3392">
        <f>IF(U3392="","MISSING_TOTAL",IF(ABS(AB3392)&lt;=0.01,"OK","CHECK"))</f>
        <v/>
      </c>
      <c r="AE3392">
        <f>IF(U3392="","MISSING",IF(AND(AA3392&gt;0,U3392/AA3392&gt;50),"POSSIBLE_SCALE_ERROR","OK"))</f>
        <v/>
      </c>
    </row>
    <row r="3393">
      <c r="A3393" t="inlineStr">
        <is>
          <t>T-2014-Q3-00024</t>
        </is>
      </c>
      <c r="B3393" t="inlineStr">
        <is>
          <t>SLE</t>
        </is>
      </c>
      <c r="C3393" t="inlineStr">
        <is>
          <t>Vice-President, Policy and Programs</t>
        </is>
      </c>
      <c r="D3393" t="inlineStr">
        <is>
          <t>Vice-président, Politiques et Programmes</t>
        </is>
      </c>
      <c r="E3393" t="inlineStr">
        <is>
          <t>Daryell Nowlan</t>
        </is>
      </c>
      <c r="F3393" t="inlineStr">
        <is>
          <t>Meeting with Government of Canada officials</t>
        </is>
      </c>
      <c r="G3393" t="inlineStr">
        <is>
          <t>Réunion avec des fonctionnaires du gouvernement du Canada</t>
        </is>
      </c>
      <c r="H3393" s="1" t="n">
        <v>41546</v>
      </c>
      <c r="I3393" s="1" t="n">
        <v>41548</v>
      </c>
      <c r="J3393" t="inlineStr">
        <is>
          <t>Ottawa, Ontario</t>
        </is>
      </c>
      <c r="K3393" t="inlineStr">
        <is>
          <t>Ottawa (Ontario)</t>
        </is>
      </c>
      <c r="P3393" t="n">
        <v>899.5599999999999</v>
      </c>
      <c r="Q3393" t="n">
        <v>93.2</v>
      </c>
      <c r="R3393" t="n">
        <v>365.46</v>
      </c>
      <c r="S3393" t="n">
        <v>223.3</v>
      </c>
      <c r="T3393" t="n">
        <v>0</v>
      </c>
      <c r="U3393" t="n">
        <v>1581.52</v>
      </c>
      <c r="X3393" t="inlineStr">
        <is>
          <t>acoa-apeca</t>
        </is>
      </c>
      <c r="Y3393" t="inlineStr">
        <is>
          <t>Atlantic Canada Opportunities Agency | Agence de promotion économique du Canada atlantique</t>
        </is>
      </c>
      <c r="Z3393" t="n">
        <v>3</v>
      </c>
      <c r="AA3393" t="n">
        <v>1581.52</v>
      </c>
      <c r="AB3393">
        <f>ROUND(U3393-AA3393,2)</f>
        <v/>
      </c>
      <c r="AC3393" t="b">
        <v>0</v>
      </c>
      <c r="AD3393">
        <f>IF(U3393="","MISSING_TOTAL",IF(ABS(AB3393)&lt;=0.01,"OK","CHECK"))</f>
        <v/>
      </c>
      <c r="AE3393">
        <f>IF(U3393="","MISSING",IF(AND(AA3393&gt;0,U3393/AA3393&gt;50),"POSSIBLE_SCALE_ERROR","OK"))</f>
        <v/>
      </c>
    </row>
    <row r="3394">
      <c r="A3394" t="inlineStr">
        <is>
          <t>T-2014-Q3-00023</t>
        </is>
      </c>
      <c r="B3394" t="inlineStr">
        <is>
          <t>SLE</t>
        </is>
      </c>
      <c r="C3394" t="inlineStr">
        <is>
          <t>Vice-President, Prince Edward Island</t>
        </is>
      </c>
      <c r="D3394" t="inlineStr">
        <is>
          <t>Vice-président, Île-du-Prince-Édouard</t>
        </is>
      </c>
      <c r="E3394" t="inlineStr">
        <is>
          <t>Patrick Dorsey</t>
        </is>
      </c>
      <c r="F3394" t="inlineStr">
        <is>
          <t>Meetings with Government of Canada officials in Moncton</t>
        </is>
      </c>
      <c r="G3394" t="inlineStr">
        <is>
          <t>Réunions avec des fonctionnaires du gouvernement du Canada à Moncton</t>
        </is>
      </c>
      <c r="H3394" s="1" t="n">
        <v>41543</v>
      </c>
      <c r="I3394" s="1" t="n">
        <v>41543</v>
      </c>
      <c r="J3394" t="inlineStr">
        <is>
          <t>Moncton, New Brunswick</t>
        </is>
      </c>
      <c r="K3394" t="inlineStr">
        <is>
          <t>Moncton (Nouveau-Brunswick)</t>
        </is>
      </c>
      <c r="P3394" t="n">
        <v>0</v>
      </c>
      <c r="Q3394" t="n">
        <v>51.5</v>
      </c>
      <c r="R3394" t="n">
        <v>0</v>
      </c>
      <c r="S3394" t="n">
        <v>30.8</v>
      </c>
      <c r="T3394" t="n">
        <v>0</v>
      </c>
      <c r="U3394" t="n">
        <v>82.3</v>
      </c>
      <c r="X3394" t="inlineStr">
        <is>
          <t>acoa-apeca</t>
        </is>
      </c>
      <c r="Y3394" t="inlineStr">
        <is>
          <t>Atlantic Canada Opportunities Agency | Agence de promotion économique du Canada atlantique</t>
        </is>
      </c>
      <c r="Z3394" t="n">
        <v>1</v>
      </c>
      <c r="AA3394" t="n">
        <v>82.3</v>
      </c>
      <c r="AB3394">
        <f>ROUND(U3394-AA3394,2)</f>
        <v/>
      </c>
      <c r="AC3394" t="b">
        <v>0</v>
      </c>
      <c r="AD3394">
        <f>IF(U3394="","MISSING_TOTAL",IF(ABS(AB3394)&lt;=0.01,"OK","CHECK"))</f>
        <v/>
      </c>
      <c r="AE3394">
        <f>IF(U3394="","MISSING",IF(AND(AA3394&gt;0,U3394/AA3394&gt;50),"POSSIBLE_SCALE_ERROR","OK"))</f>
        <v/>
      </c>
    </row>
    <row r="3395">
      <c r="A3395" t="inlineStr">
        <is>
          <t>T-2014-Q3-00022</t>
        </is>
      </c>
      <c r="B3395" t="inlineStr">
        <is>
          <t>SLE</t>
        </is>
      </c>
      <c r="C3395" t="inlineStr">
        <is>
          <t>Acting Vice-President, New Brunswick</t>
        </is>
      </c>
      <c r="D3395" t="inlineStr">
        <is>
          <t>Vice-présidente par intérim, Nouveau-Brunswick</t>
        </is>
      </c>
      <c r="E3395" t="inlineStr">
        <is>
          <t>Denise Frenette</t>
        </is>
      </c>
      <c r="F3395" t="inlineStr">
        <is>
          <t>Minister's staff meeting and CN Rail meeting</t>
        </is>
      </c>
      <c r="G3395" t="inlineStr">
        <is>
          <t>Réunion avec le personnel du ministre et réunion avec des représentants du CN</t>
        </is>
      </c>
      <c r="H3395" s="1" t="n">
        <v>41541</v>
      </c>
      <c r="I3395" s="1" t="n">
        <v>41542</v>
      </c>
      <c r="J3395" t="inlineStr">
        <is>
          <t>Ottawa, Ontario</t>
        </is>
      </c>
      <c r="K3395" t="inlineStr">
        <is>
          <t>Ottawa (Ontario)</t>
        </is>
      </c>
      <c r="P3395" t="n">
        <v>831.0700000000001</v>
      </c>
      <c r="Q3395" t="n">
        <v>69.5</v>
      </c>
      <c r="R3395" t="n">
        <v>182.73</v>
      </c>
      <c r="S3395" t="n">
        <v>144.6</v>
      </c>
      <c r="T3395" t="n">
        <v>22.25</v>
      </c>
      <c r="U3395" t="n">
        <v>1250.15</v>
      </c>
      <c r="X3395" t="inlineStr">
        <is>
          <t>acoa-apeca</t>
        </is>
      </c>
      <c r="Y3395" t="inlineStr">
        <is>
          <t>Atlantic Canada Opportunities Agency | Agence de promotion économique du Canada atlantique</t>
        </is>
      </c>
      <c r="Z3395" t="n">
        <v>2</v>
      </c>
      <c r="AA3395" t="n">
        <v>1250.14999999999</v>
      </c>
      <c r="AB3395">
        <f>ROUND(U3395-AA3395,2)</f>
        <v/>
      </c>
      <c r="AC3395" t="b">
        <v>0</v>
      </c>
      <c r="AD3395">
        <f>IF(U3395="","MISSING_TOTAL",IF(ABS(AB3395)&lt;=0.01,"OK","CHECK"))</f>
        <v/>
      </c>
      <c r="AE3395">
        <f>IF(U3395="","MISSING",IF(AND(AA3395&gt;0,U3395/AA3395&gt;50),"POSSIBLE_SCALE_ERROR","OK"))</f>
        <v/>
      </c>
    </row>
    <row r="3396">
      <c r="A3396" t="inlineStr">
        <is>
          <t>T-2014-Q3-00021</t>
        </is>
      </c>
      <c r="B3396" t="inlineStr">
        <is>
          <t>MPSES</t>
        </is>
      </c>
      <c r="C3396" t="inlineStr">
        <is>
          <t>Chief of Staff</t>
        </is>
      </c>
      <c r="D3396" t="inlineStr">
        <is>
          <t>Chef de cabinet</t>
        </is>
      </c>
      <c r="E3396" t="inlineStr">
        <is>
          <t>Shane Bourke</t>
        </is>
      </c>
      <c r="F3396" t="inlineStr">
        <is>
          <t>Travel to accompany Minister to Atlantic Canada Opportunities Agency events</t>
        </is>
      </c>
      <c r="G3396" t="inlineStr">
        <is>
          <t>Accompagner le ministre à des activités de l'Agence de promotion économique du Canada atlantique</t>
        </is>
      </c>
      <c r="H3396" s="1" t="n">
        <v>41540</v>
      </c>
      <c r="I3396" s="1" t="n">
        <v>41542</v>
      </c>
      <c r="J3396" t="inlineStr">
        <is>
          <t>St. John's, Newfoundland and Labrador - Halifax, Nova Scotia</t>
        </is>
      </c>
      <c r="K3396" t="inlineStr">
        <is>
          <t>St. John's (Terre-Neuve-et-Labrador) et Halifax (Nouvelle-Écosse)</t>
        </is>
      </c>
      <c r="P3396" t="n">
        <v>1021.31</v>
      </c>
      <c r="Q3396" t="n">
        <v>75</v>
      </c>
      <c r="R3396" t="n">
        <v>377.16</v>
      </c>
      <c r="S3396" t="n">
        <v>179.7</v>
      </c>
      <c r="T3396" t="n">
        <v>0</v>
      </c>
      <c r="U3396" t="n">
        <v>1653.17</v>
      </c>
      <c r="X3396" t="inlineStr">
        <is>
          <t>acoa-apeca</t>
        </is>
      </c>
      <c r="Y3396" t="inlineStr">
        <is>
          <t>Atlantic Canada Opportunities Agency | Agence de promotion économique du Canada atlantique</t>
        </is>
      </c>
      <c r="Z3396" t="n">
        <v>3</v>
      </c>
      <c r="AA3396" t="n">
        <v>1653.17</v>
      </c>
      <c r="AB3396">
        <f>ROUND(U3396-AA3396,2)</f>
        <v/>
      </c>
      <c r="AC3396" t="b">
        <v>0</v>
      </c>
      <c r="AD3396">
        <f>IF(U3396="","MISSING_TOTAL",IF(ABS(AB3396)&lt;=0.01,"OK","CHECK"))</f>
        <v/>
      </c>
      <c r="AE3396">
        <f>IF(U3396="","MISSING",IF(AND(AA3396&gt;0,U3396/AA3396&gt;50),"POSSIBLE_SCALE_ERROR","OK"))</f>
        <v/>
      </c>
    </row>
    <row r="3397">
      <c r="A3397" t="inlineStr">
        <is>
          <t>T-2014-Q3-00020</t>
        </is>
      </c>
      <c r="B3397" t="inlineStr">
        <is>
          <t>MPSES</t>
        </is>
      </c>
      <c r="C3397" t="inlineStr">
        <is>
          <t>Minister of State</t>
        </is>
      </c>
      <c r="D3397" t="inlineStr">
        <is>
          <t>Ministre d'État</t>
        </is>
      </c>
      <c r="E3397" t="inlineStr">
        <is>
          <t>Rob Moore</t>
        </is>
      </c>
      <c r="F3397" t="inlineStr">
        <is>
          <t>Government of Canada event, speech at Economic Developers Association of Canada, meeting with regional Atlantic Canada Opportunities Agency officials, speech at Canadian Ferry Operators Association and meeting with Premier Dunderdale</t>
        </is>
      </c>
      <c r="G3397" t="inlineStr">
        <is>
          <t>Activ. du gouv. du Canada, discours à l'Assoc. canad. de dév. écon., réunion avec des fonctionn. région. de l'Agence de promotion écon. du Canada atl., discours à l'Assoc. canad. des opérateurs de traversiers et réunion avec la prem. min. Dunderdale</t>
        </is>
      </c>
      <c r="H3397" s="1" t="n">
        <v>41540</v>
      </c>
      <c r="I3397" s="1" t="n">
        <v>41541</v>
      </c>
      <c r="J3397" t="inlineStr">
        <is>
          <t>Miramichi, New Brunswick and St. John's, Newfoundland and Labrador</t>
        </is>
      </c>
      <c r="K3397" t="inlineStr">
        <is>
          <t>Miramichi (Nouveau-Brunswick) et St. John's (Terre-Neuve-et-Labrador)</t>
        </is>
      </c>
      <c r="P3397" t="n">
        <v>926.88</v>
      </c>
      <c r="Q3397" t="n">
        <v>270.27</v>
      </c>
      <c r="R3397" t="n">
        <v>214.11</v>
      </c>
      <c r="S3397" t="n">
        <v>179.7</v>
      </c>
      <c r="T3397" t="n">
        <v>0</v>
      </c>
      <c r="U3397" t="n">
        <v>1590.96</v>
      </c>
      <c r="X3397" t="inlineStr">
        <is>
          <t>acoa-apeca</t>
        </is>
      </c>
      <c r="Y3397" t="inlineStr">
        <is>
          <t>Atlantic Canada Opportunities Agency | Agence de promotion économique du Canada atlantique</t>
        </is>
      </c>
      <c r="Z3397" t="n">
        <v>2</v>
      </c>
      <c r="AA3397" t="n">
        <v>1590.96</v>
      </c>
      <c r="AB3397">
        <f>ROUND(U3397-AA3397,2)</f>
        <v/>
      </c>
      <c r="AC3397" t="b">
        <v>0</v>
      </c>
      <c r="AD3397">
        <f>IF(U3397="","MISSING_TOTAL",IF(ABS(AB3397)&lt;=0.01,"OK","CHECK"))</f>
        <v/>
      </c>
      <c r="AE3397">
        <f>IF(U3397="","MISSING",IF(AND(AA3397&gt;0,U3397/AA3397&gt;50),"POSSIBLE_SCALE_ERROR","OK"))</f>
        <v/>
      </c>
    </row>
    <row r="3398">
      <c r="A3398" t="inlineStr">
        <is>
          <t>T-2014-Q3-00018</t>
        </is>
      </c>
      <c r="B3398" t="inlineStr">
        <is>
          <t>SLE</t>
        </is>
      </c>
      <c r="C3398" t="inlineStr">
        <is>
          <t>President</t>
        </is>
      </c>
      <c r="D3398" t="inlineStr">
        <is>
          <t>Président</t>
        </is>
      </c>
      <c r="E3398" t="inlineStr">
        <is>
          <t>Paul J. LeBlanc</t>
        </is>
      </c>
      <c r="F3398" t="inlineStr">
        <is>
          <t>For meetings with Agency officials</t>
        </is>
      </c>
      <c r="G3398" t="inlineStr">
        <is>
          <t>Réunions avec des fonctionnaires de l'Agence</t>
        </is>
      </c>
      <c r="H3398" s="1" t="n">
        <v>41540</v>
      </c>
      <c r="I3398" s="1" t="n">
        <v>41541</v>
      </c>
      <c r="J3398" t="inlineStr">
        <is>
          <t>St. John's, Newfoundland and Labrador</t>
        </is>
      </c>
      <c r="K3398" t="inlineStr">
        <is>
          <t>St. John's (Terre-Neuve-et-Labrador)</t>
        </is>
      </c>
      <c r="P3398" t="n">
        <v>1325.97</v>
      </c>
      <c r="Q3398" t="n">
        <v>0</v>
      </c>
      <c r="R3398" t="n">
        <v>207.09</v>
      </c>
      <c r="S3398" t="n">
        <v>107.15</v>
      </c>
      <c r="T3398" t="n">
        <v>0</v>
      </c>
      <c r="U3398" t="n">
        <v>1640.21</v>
      </c>
      <c r="X3398" t="inlineStr">
        <is>
          <t>acoa-apeca</t>
        </is>
      </c>
      <c r="Y3398" t="inlineStr">
        <is>
          <t>Atlantic Canada Opportunities Agency | Agence de promotion économique du Canada atlantique</t>
        </is>
      </c>
      <c r="Z3398" t="n">
        <v>2</v>
      </c>
      <c r="AA3398" t="n">
        <v>1640.21</v>
      </c>
      <c r="AB3398">
        <f>ROUND(U3398-AA3398,2)</f>
        <v/>
      </c>
      <c r="AC3398" t="b">
        <v>0</v>
      </c>
      <c r="AD3398">
        <f>IF(U3398="","MISSING_TOTAL",IF(ABS(AB3398)&lt;=0.01,"OK","CHECK"))</f>
        <v/>
      </c>
      <c r="AE3398">
        <f>IF(U3398="","MISSING",IF(AND(AA3398&gt;0,U3398/AA3398&gt;50),"POSSIBLE_SCALE_ERROR","OK"))</f>
        <v/>
      </c>
    </row>
    <row r="3399">
      <c r="A3399" t="inlineStr">
        <is>
          <t>T-2014-Q3-00017</t>
        </is>
      </c>
      <c r="B3399" t="inlineStr">
        <is>
          <t>SLE</t>
        </is>
      </c>
      <c r="C3399" t="inlineStr">
        <is>
          <t>Vice President, Nova Scotia</t>
        </is>
      </c>
      <c r="D3399" t="inlineStr">
        <is>
          <t>Vice-président, Nouvelle-Écosse</t>
        </is>
      </c>
      <c r="E3399" t="inlineStr">
        <is>
          <t>Peter Hogan</t>
        </is>
      </c>
      <c r="F3399" t="inlineStr">
        <is>
          <t>Meetings with senior Agency officials</t>
        </is>
      </c>
      <c r="G3399" t="inlineStr">
        <is>
          <t>Réunions avec des hauts fonctionnaires de l'Agence</t>
        </is>
      </c>
      <c r="H3399" s="1" t="n">
        <v>41535</v>
      </c>
      <c r="I3399" s="1" t="n">
        <v>41536</v>
      </c>
      <c r="J3399" t="inlineStr">
        <is>
          <t>Moncton, New Brunswick</t>
        </is>
      </c>
      <c r="K3399" t="inlineStr">
        <is>
          <t>Moncton (Nouveau-Brunswick)</t>
        </is>
      </c>
      <c r="P3399" t="n">
        <v>0</v>
      </c>
      <c r="Q3399" t="n">
        <v>0</v>
      </c>
      <c r="R3399" t="n">
        <v>113</v>
      </c>
      <c r="S3399" t="n">
        <v>133.75</v>
      </c>
      <c r="T3399" t="n">
        <v>0</v>
      </c>
      <c r="U3399" t="n">
        <v>246.75</v>
      </c>
      <c r="X3399" t="inlineStr">
        <is>
          <t>acoa-apeca</t>
        </is>
      </c>
      <c r="Y3399" t="inlineStr">
        <is>
          <t>Atlantic Canada Opportunities Agency | Agence de promotion économique du Canada atlantique</t>
        </is>
      </c>
      <c r="Z3399" t="n">
        <v>2</v>
      </c>
      <c r="AA3399" t="n">
        <v>246.75</v>
      </c>
      <c r="AB3399">
        <f>ROUND(U3399-AA3399,2)</f>
        <v/>
      </c>
      <c r="AC3399" t="b">
        <v>0</v>
      </c>
      <c r="AD3399">
        <f>IF(U3399="","MISSING_TOTAL",IF(ABS(AB3399)&lt;=0.01,"OK","CHECK"))</f>
        <v/>
      </c>
      <c r="AE3399">
        <f>IF(U3399="","MISSING",IF(AND(AA3399&gt;0,U3399/AA3399&gt;50),"POSSIBLE_SCALE_ERROR","OK"))</f>
        <v/>
      </c>
    </row>
    <row r="3400">
      <c r="A3400" t="inlineStr">
        <is>
          <t>T-2018-Q2-00053</t>
        </is>
      </c>
      <c r="B3400" t="inlineStr">
        <is>
          <t>SLE</t>
        </is>
      </c>
      <c r="C3400" t="inlineStr">
        <is>
          <t>Vice-President, New Brunswick</t>
        </is>
      </c>
      <c r="D3400" t="inlineStr">
        <is>
          <t>Vice-président, Nouveau-Brunswick</t>
        </is>
      </c>
      <c r="E3400" t="inlineStr">
        <is>
          <t>Kent Estabrooks</t>
        </is>
      </c>
      <c r="F3400" t="inlineStr">
        <is>
          <t>Training and development</t>
        </is>
      </c>
      <c r="G3400" t="inlineStr">
        <is>
          <t>Formation et perfectionnement</t>
        </is>
      </c>
      <c r="H3400" s="1" t="n">
        <v>42920</v>
      </c>
      <c r="I3400" s="1" t="n">
        <v>42921</v>
      </c>
      <c r="J3400" t="inlineStr">
        <is>
          <t>St. Andrews, New Brunswick</t>
        </is>
      </c>
      <c r="K3400" t="inlineStr">
        <is>
          <t>St. Andrews (Nouveau-Brunswick)</t>
        </is>
      </c>
      <c r="P3400" t="n">
        <v>0</v>
      </c>
      <c r="Q3400" t="n">
        <v>0</v>
      </c>
      <c r="R3400" t="n">
        <v>224.04</v>
      </c>
      <c r="S3400" t="n">
        <v>161.7</v>
      </c>
      <c r="T3400" t="n">
        <v>0</v>
      </c>
      <c r="U3400" t="n">
        <v>385.74</v>
      </c>
      <c r="X3400" t="inlineStr">
        <is>
          <t>acoa-apeca</t>
        </is>
      </c>
      <c r="Y3400" t="inlineStr">
        <is>
          <t>Atlantic Canada Opportunities Agency | Agence de promotion économique du Canada atlantique</t>
        </is>
      </c>
      <c r="Z3400" t="n">
        <v>2</v>
      </c>
      <c r="AA3400" t="n">
        <v>385.74</v>
      </c>
      <c r="AB3400">
        <f>ROUND(U3400-AA3400,2)</f>
        <v/>
      </c>
      <c r="AC3400" t="b">
        <v>0</v>
      </c>
      <c r="AD3400">
        <f>IF(U3400="","MISSING_TOTAL",IF(ABS(AB3400)&lt;=0.01,"OK","CHECK"))</f>
        <v/>
      </c>
      <c r="AE3400">
        <f>IF(U3400="","MISSING",IF(AND(AA3400&gt;0,U3400/AA3400&gt;50),"POSSIBLE_SCALE_ERROR","OK"))</f>
        <v/>
      </c>
    </row>
    <row r="3401">
      <c r="A3401" t="inlineStr">
        <is>
          <t>T-2018-Q2-00052</t>
        </is>
      </c>
      <c r="B3401" t="inlineStr">
        <is>
          <t>SLE</t>
        </is>
      </c>
      <c r="C3401" t="inlineStr">
        <is>
          <t>Vice-President, New Brunswick</t>
        </is>
      </c>
      <c r="D3401" t="inlineStr">
        <is>
          <t>Vice-président, Nouveau-Brunswick</t>
        </is>
      </c>
      <c r="E3401" t="inlineStr">
        <is>
          <t>Kent Estabrooks</t>
        </is>
      </c>
      <c r="F3401" t="inlineStr">
        <is>
          <t>Various meetings with Agency officials</t>
        </is>
      </c>
      <c r="G3401" t="inlineStr">
        <is>
          <t>Diverses réunions avec des fonctionnaires de l'Agence</t>
        </is>
      </c>
      <c r="H3401" s="1" t="n">
        <v>42929</v>
      </c>
      <c r="I3401" s="1" t="n">
        <v>42929</v>
      </c>
      <c r="J3401" t="inlineStr">
        <is>
          <t>Moncton, New Brunswick</t>
        </is>
      </c>
      <c r="K3401" t="inlineStr">
        <is>
          <t>Moncton (Nouveau-Brunswick)</t>
        </is>
      </c>
      <c r="P3401" t="n">
        <v>0</v>
      </c>
      <c r="Q3401" t="n">
        <v>0</v>
      </c>
      <c r="R3401" t="n">
        <v>0</v>
      </c>
      <c r="S3401" t="n">
        <v>64</v>
      </c>
      <c r="T3401" t="n">
        <v>18.5</v>
      </c>
      <c r="U3401" t="n">
        <v>82.5</v>
      </c>
      <c r="X3401" t="inlineStr">
        <is>
          <t>acoa-apeca</t>
        </is>
      </c>
      <c r="Y3401" t="inlineStr">
        <is>
          <t>Atlantic Canada Opportunities Agency | Agence de promotion économique du Canada atlantique</t>
        </is>
      </c>
      <c r="Z3401" t="n">
        <v>1</v>
      </c>
      <c r="AA3401" t="n">
        <v>82.5</v>
      </c>
      <c r="AB3401">
        <f>ROUND(U3401-AA3401,2)</f>
        <v/>
      </c>
      <c r="AC3401" t="b">
        <v>0</v>
      </c>
      <c r="AD3401">
        <f>IF(U3401="","MISSING_TOTAL",IF(ABS(AB3401)&lt;=0.01,"OK","CHECK"))</f>
        <v/>
      </c>
      <c r="AE3401">
        <f>IF(U3401="","MISSING",IF(AND(AA3401&gt;0,U3401/AA3401&gt;50),"POSSIBLE_SCALE_ERROR","OK"))</f>
        <v/>
      </c>
    </row>
    <row r="3402">
      <c r="A3402" t="inlineStr">
        <is>
          <t>T-2014-Q3-00015</t>
        </is>
      </c>
      <c r="B3402" t="inlineStr">
        <is>
          <t>SLE</t>
        </is>
      </c>
      <c r="C3402" t="inlineStr">
        <is>
          <t>Vice-President, Newfoundland and Labrador</t>
        </is>
      </c>
      <c r="D3402" t="inlineStr">
        <is>
          <t>Vice-président, Terre-Neuve-et-Labrador</t>
        </is>
      </c>
      <c r="E3402" t="inlineStr">
        <is>
          <t>Paul Mills</t>
        </is>
      </c>
      <c r="F3402" t="inlineStr">
        <is>
          <t>Travel to Moncton, New Brunswick for Executive Committee meeting</t>
        </is>
      </c>
      <c r="G3402" t="inlineStr">
        <is>
          <t>Voyage à Moncton (Nouveau-Brunswick) pour une réunion du Comité de direction</t>
        </is>
      </c>
      <c r="H3402" s="1" t="n">
        <v>41535</v>
      </c>
      <c r="I3402" s="1" t="n">
        <v>41537</v>
      </c>
      <c r="J3402" t="inlineStr">
        <is>
          <t>Moncton, New Brunswick</t>
        </is>
      </c>
      <c r="K3402" t="inlineStr">
        <is>
          <t>Moncton (Nouveau-Brunswick)</t>
        </is>
      </c>
      <c r="P3402" t="n">
        <v>1376.8</v>
      </c>
      <c r="Q3402" t="n">
        <v>152.78</v>
      </c>
      <c r="R3402" t="n">
        <v>277.22</v>
      </c>
      <c r="S3402" t="n">
        <v>197</v>
      </c>
      <c r="T3402" t="n">
        <v>101.01</v>
      </c>
      <c r="U3402" t="n">
        <v>2104.81</v>
      </c>
      <c r="X3402" t="inlineStr">
        <is>
          <t>acoa-apeca</t>
        </is>
      </c>
      <c r="Y3402" t="inlineStr">
        <is>
          <t>Atlantic Canada Opportunities Agency | Agence de promotion économique du Canada atlantique</t>
        </is>
      </c>
      <c r="Z3402" t="n">
        <v>3</v>
      </c>
      <c r="AA3402" t="n">
        <v>2104.81</v>
      </c>
      <c r="AB3402">
        <f>ROUND(U3402-AA3402,2)</f>
        <v/>
      </c>
      <c r="AC3402" t="b">
        <v>0</v>
      </c>
      <c r="AD3402">
        <f>IF(U3402="","MISSING_TOTAL",IF(ABS(AB3402)&lt;=0.01,"OK","CHECK"))</f>
        <v/>
      </c>
      <c r="AE3402">
        <f>IF(U3402="","MISSING",IF(AND(AA3402&gt;0,U3402/AA3402&gt;50),"POSSIBLE_SCALE_ERROR","OK"))</f>
        <v/>
      </c>
    </row>
    <row r="3403">
      <c r="A3403" t="inlineStr">
        <is>
          <t>T-2014-Q3-00013</t>
        </is>
      </c>
      <c r="B3403" t="inlineStr">
        <is>
          <t>MPSES</t>
        </is>
      </c>
      <c r="C3403" t="inlineStr">
        <is>
          <t>Minister of State</t>
        </is>
      </c>
      <c r="D3403" t="inlineStr">
        <is>
          <t>Ministre d'État</t>
        </is>
      </c>
      <c r="E3403" t="inlineStr">
        <is>
          <t>Rob Moore</t>
        </is>
      </c>
      <c r="F3403" t="inlineStr">
        <is>
          <t>To attend Government of Canada announcement and meeting with Mayor of Miramichi</t>
        </is>
      </c>
      <c r="G3403" t="inlineStr">
        <is>
          <t>Assister à une annonce du gouvernement du Canada et à une réunion avec le maire de Miramichi</t>
        </is>
      </c>
      <c r="H3403" s="1" t="n">
        <v>41530</v>
      </c>
      <c r="I3403" s="1" t="n">
        <v>41530</v>
      </c>
      <c r="J3403" t="inlineStr">
        <is>
          <t>Miramichi, New Brunswick</t>
        </is>
      </c>
      <c r="K3403" t="inlineStr">
        <is>
          <t>Miramichi (Nouveau-Brunswick)</t>
        </is>
      </c>
      <c r="P3403" t="n">
        <v>0</v>
      </c>
      <c r="Q3403" t="n">
        <v>261.36</v>
      </c>
      <c r="R3403" t="n">
        <v>0</v>
      </c>
      <c r="S3403" t="n">
        <v>15.15</v>
      </c>
      <c r="T3403" t="n">
        <v>0</v>
      </c>
      <c r="U3403" t="n">
        <v>276.51</v>
      </c>
      <c r="X3403" t="inlineStr">
        <is>
          <t>acoa-apeca</t>
        </is>
      </c>
      <c r="Y3403" t="inlineStr">
        <is>
          <t>Atlantic Canada Opportunities Agency | Agence de promotion économique du Canada atlantique</t>
        </is>
      </c>
      <c r="Z3403" t="n">
        <v>1</v>
      </c>
      <c r="AA3403" t="n">
        <v>276.51</v>
      </c>
      <c r="AB3403">
        <f>ROUND(U3403-AA3403,2)</f>
        <v/>
      </c>
      <c r="AC3403" t="b">
        <v>0</v>
      </c>
      <c r="AD3403">
        <f>IF(U3403="","MISSING_TOTAL",IF(ABS(AB3403)&lt;=0.01,"OK","CHECK"))</f>
        <v/>
      </c>
      <c r="AE3403">
        <f>IF(U3403="","MISSING",IF(AND(AA3403&gt;0,U3403/AA3403&gt;50),"POSSIBLE_SCALE_ERROR","OK"))</f>
        <v/>
      </c>
    </row>
    <row r="3404">
      <c r="A3404" t="inlineStr">
        <is>
          <t>T-2014-Q3-00012</t>
        </is>
      </c>
      <c r="B3404" t="inlineStr">
        <is>
          <t>MPSES</t>
        </is>
      </c>
      <c r="C3404" t="inlineStr">
        <is>
          <t>Minister of State</t>
        </is>
      </c>
      <c r="D3404" t="inlineStr">
        <is>
          <t>Ministre d'État</t>
        </is>
      </c>
      <c r="E3404" t="inlineStr">
        <is>
          <t>Rob Moore</t>
        </is>
      </c>
      <c r="F3404" t="inlineStr">
        <is>
          <t>To attend Government of Canada announcement, meeting with provincial Minister Olscamp, grand opening of Albert County Exhibition</t>
        </is>
      </c>
      <c r="G3404" t="inlineStr">
        <is>
          <t>Asssiter à une annonce du gouvernement du Canada, à une réunion avec le ministre provincial Olscamp et à l'inauguration de l'Albert County Exhibition</t>
        </is>
      </c>
      <c r="H3404" s="1" t="n">
        <v>41529</v>
      </c>
      <c r="I3404" s="1" t="n">
        <v>41529</v>
      </c>
      <c r="J3404" t="inlineStr">
        <is>
          <t>Fredericton, New Brunswick</t>
        </is>
      </c>
      <c r="K3404" t="inlineStr">
        <is>
          <t>Fredericton (Nouveau-Brunswick)</t>
        </is>
      </c>
      <c r="P3404" t="n">
        <v>0</v>
      </c>
      <c r="Q3404" t="n">
        <v>268.29</v>
      </c>
      <c r="R3404" t="n">
        <v>0</v>
      </c>
      <c r="S3404" t="n">
        <v>56.9</v>
      </c>
      <c r="T3404" t="n">
        <v>0</v>
      </c>
      <c r="U3404" t="n">
        <v>325.19</v>
      </c>
      <c r="X3404" t="inlineStr">
        <is>
          <t>acoa-apeca</t>
        </is>
      </c>
      <c r="Y3404" t="inlineStr">
        <is>
          <t>Atlantic Canada Opportunities Agency | Agence de promotion économique du Canada atlantique</t>
        </is>
      </c>
      <c r="Z3404" t="n">
        <v>1</v>
      </c>
      <c r="AA3404" t="n">
        <v>325.19</v>
      </c>
      <c r="AB3404">
        <f>ROUND(U3404-AA3404,2)</f>
        <v/>
      </c>
      <c r="AC3404" t="b">
        <v>0</v>
      </c>
      <c r="AD3404">
        <f>IF(U3404="","MISSING_TOTAL",IF(ABS(AB3404)&lt;=0.01,"OK","CHECK"))</f>
        <v/>
      </c>
      <c r="AE3404">
        <f>IF(U3404="","MISSING",IF(AND(AA3404&gt;0,U3404/AA3404&gt;50),"POSSIBLE_SCALE_ERROR","OK"))</f>
        <v/>
      </c>
    </row>
    <row r="3405">
      <c r="A3405" t="inlineStr">
        <is>
          <t>T-2014-Q3-00011</t>
        </is>
      </c>
      <c r="B3405" t="inlineStr">
        <is>
          <t>MPSES</t>
        </is>
      </c>
      <c r="C3405" t="inlineStr">
        <is>
          <t>Minister of State</t>
        </is>
      </c>
      <c r="D3405" t="inlineStr">
        <is>
          <t>Ministre d'État</t>
        </is>
      </c>
      <c r="E3405" t="inlineStr">
        <is>
          <t>Rob Moore</t>
        </is>
      </c>
      <c r="F3405" t="inlineStr">
        <is>
          <t>To attend Government of Canada announcement, meeting with stakeholders, speech at the Independent Marine Ports Association of Canada AGM</t>
        </is>
      </c>
      <c r="G3405" t="inlineStr">
        <is>
          <t>Assister à une annonce du gouvernement du Canada et à une réunion avec des intervenants, et discours à l'AGA de l'Independent Marine Ports Association of Canada</t>
        </is>
      </c>
      <c r="H3405" s="1" t="n">
        <v>41528</v>
      </c>
      <c r="I3405" s="1" t="n">
        <v>41528</v>
      </c>
      <c r="J3405" t="inlineStr">
        <is>
          <t>Grand Manan and St. Andrews, New Brunswick</t>
        </is>
      </c>
      <c r="K3405" t="inlineStr">
        <is>
          <t>Grand Manan et St. Andrews (Nouveau-Brunswick)</t>
        </is>
      </c>
      <c r="P3405" t="n">
        <v>0</v>
      </c>
      <c r="Q3405" t="n">
        <v>190.47</v>
      </c>
      <c r="R3405" t="n">
        <v>0</v>
      </c>
      <c r="S3405" t="n">
        <v>30.8</v>
      </c>
      <c r="T3405" t="n">
        <v>0</v>
      </c>
      <c r="U3405" t="n">
        <v>221.27</v>
      </c>
      <c r="X3405" t="inlineStr">
        <is>
          <t>acoa-apeca</t>
        </is>
      </c>
      <c r="Y3405" t="inlineStr">
        <is>
          <t>Atlantic Canada Opportunities Agency | Agence de promotion économique du Canada atlantique</t>
        </is>
      </c>
      <c r="Z3405" t="n">
        <v>1</v>
      </c>
      <c r="AA3405" t="n">
        <v>221.27</v>
      </c>
      <c r="AB3405">
        <f>ROUND(U3405-AA3405,2)</f>
        <v/>
      </c>
      <c r="AC3405" t="b">
        <v>0</v>
      </c>
      <c r="AD3405">
        <f>IF(U3405="","MISSING_TOTAL",IF(ABS(AB3405)&lt;=0.01,"OK","CHECK"))</f>
        <v/>
      </c>
      <c r="AE3405">
        <f>IF(U3405="","MISSING",IF(AND(AA3405&gt;0,U3405/AA3405&gt;50),"POSSIBLE_SCALE_ERROR","OK"))</f>
        <v/>
      </c>
    </row>
    <row r="3406">
      <c r="A3406" t="inlineStr">
        <is>
          <t>T-2014-Q3-00010</t>
        </is>
      </c>
      <c r="B3406" t="inlineStr">
        <is>
          <t>SLE</t>
        </is>
      </c>
      <c r="C3406" t="inlineStr">
        <is>
          <t>Vice-President, Prince Edward Island</t>
        </is>
      </c>
      <c r="D3406" t="inlineStr">
        <is>
          <t>Vice-président, Île-du-Prince-Édouard</t>
        </is>
      </c>
      <c r="E3406" t="inlineStr">
        <is>
          <t>Patrick Dorsey</t>
        </is>
      </c>
      <c r="F3406" t="inlineStr">
        <is>
          <t>Meetings with Government of Canada officials and Minister's Office in Ottawa</t>
        </is>
      </c>
      <c r="G3406" t="inlineStr">
        <is>
          <t>Réunions avec des fonctionnaires du gouvernement du Canada et du cabinet du ministre à Ottawa</t>
        </is>
      </c>
      <c r="H3406" s="1" t="n">
        <v>41528</v>
      </c>
      <c r="I3406" s="1" t="n">
        <v>41529</v>
      </c>
      <c r="J3406" t="inlineStr">
        <is>
          <t>Ottawa, Ontario</t>
        </is>
      </c>
      <c r="K3406" t="inlineStr">
        <is>
          <t>Ottawa (Ontario)</t>
        </is>
      </c>
      <c r="P3406" t="n">
        <v>592.72</v>
      </c>
      <c r="Q3406" t="n">
        <v>82.5</v>
      </c>
      <c r="R3406" t="n">
        <v>182.73</v>
      </c>
      <c r="S3406" t="n">
        <v>91.5</v>
      </c>
      <c r="T3406" t="n">
        <v>0</v>
      </c>
      <c r="U3406" t="n">
        <v>949.45</v>
      </c>
      <c r="X3406" t="inlineStr">
        <is>
          <t>acoa-apeca</t>
        </is>
      </c>
      <c r="Y3406" t="inlineStr">
        <is>
          <t>Atlantic Canada Opportunities Agency | Agence de promotion économique du Canada atlantique</t>
        </is>
      </c>
      <c r="Z3406" t="n">
        <v>2</v>
      </c>
      <c r="AA3406" t="n">
        <v>949.45</v>
      </c>
      <c r="AB3406">
        <f>ROUND(U3406-AA3406,2)</f>
        <v/>
      </c>
      <c r="AC3406" t="b">
        <v>0</v>
      </c>
      <c r="AD3406">
        <f>IF(U3406="","MISSING_TOTAL",IF(ABS(AB3406)&lt;=0.01,"OK","CHECK"))</f>
        <v/>
      </c>
      <c r="AE3406">
        <f>IF(U3406="","MISSING",IF(AND(AA3406&gt;0,U3406/AA3406&gt;50),"POSSIBLE_SCALE_ERROR","OK"))</f>
        <v/>
      </c>
    </row>
    <row r="3407">
      <c r="A3407" t="inlineStr">
        <is>
          <t>T-2014-Q3-00009</t>
        </is>
      </c>
      <c r="B3407" t="inlineStr">
        <is>
          <t>MPSES</t>
        </is>
      </c>
      <c r="C3407" t="inlineStr">
        <is>
          <t>Minister of State</t>
        </is>
      </c>
      <c r="D3407" t="inlineStr">
        <is>
          <t>Ministre d'État</t>
        </is>
      </c>
      <c r="E3407" t="inlineStr">
        <is>
          <t>Rob Moore</t>
        </is>
      </c>
      <c r="F3407" t="inlineStr">
        <is>
          <t>To attend Government of Canada announcements, business roundtable, meetings with Mayors of Riverview, Moncton and Dieppe and meeting with Atlantic Canada Opportunities Agency officials</t>
        </is>
      </c>
      <c r="G3407" t="inlineStr">
        <is>
          <t>Assister à des annonces du gouvernement du Canada, à une table ronde de gens d'affaires, à des réunions avec les maires de Riverview, de Moncton et de Dieppe, et à une réunion avec des fonctionnaires de l'Agence de promotion économique du Canada atlantique</t>
        </is>
      </c>
      <c r="H3407" s="1" t="n">
        <v>41527</v>
      </c>
      <c r="I3407" s="1" t="n">
        <v>41527</v>
      </c>
      <c r="J3407" t="inlineStr">
        <is>
          <t>Moncton, New Brunswick</t>
        </is>
      </c>
      <c r="K3407" t="inlineStr">
        <is>
          <t>Moncton (Nouveau-Brunswick)</t>
        </is>
      </c>
      <c r="P3407" t="n">
        <v>0</v>
      </c>
      <c r="Q3407" t="n">
        <v>141.08</v>
      </c>
      <c r="R3407" t="n">
        <v>0</v>
      </c>
      <c r="S3407" t="n">
        <v>30.8</v>
      </c>
      <c r="T3407" t="n">
        <v>0</v>
      </c>
      <c r="U3407" t="n">
        <v>171.88</v>
      </c>
      <c r="X3407" t="inlineStr">
        <is>
          <t>acoa-apeca</t>
        </is>
      </c>
      <c r="Y3407" t="inlineStr">
        <is>
          <t>Atlantic Canada Opportunities Agency | Agence de promotion économique du Canada atlantique</t>
        </is>
      </c>
      <c r="Z3407" t="n">
        <v>1</v>
      </c>
      <c r="AA3407" t="n">
        <v>171.88</v>
      </c>
      <c r="AB3407">
        <f>ROUND(U3407-AA3407,2)</f>
        <v/>
      </c>
      <c r="AC3407" t="b">
        <v>0</v>
      </c>
      <c r="AD3407">
        <f>IF(U3407="","MISSING_TOTAL",IF(ABS(AB3407)&lt;=0.01,"OK","CHECK"))</f>
        <v/>
      </c>
      <c r="AE3407">
        <f>IF(U3407="","MISSING",IF(AND(AA3407&gt;0,U3407/AA3407&gt;50),"POSSIBLE_SCALE_ERROR","OK"))</f>
        <v/>
      </c>
    </row>
    <row r="3408">
      <c r="A3408" t="inlineStr">
        <is>
          <t>T-2014-Q3-00008</t>
        </is>
      </c>
      <c r="B3408" t="inlineStr">
        <is>
          <t>MPSES</t>
        </is>
      </c>
      <c r="C3408" t="inlineStr">
        <is>
          <t>Minister of State</t>
        </is>
      </c>
      <c r="D3408" t="inlineStr">
        <is>
          <t>Ministre d'État</t>
        </is>
      </c>
      <c r="E3408" t="inlineStr">
        <is>
          <t>Rob Moore</t>
        </is>
      </c>
      <c r="F3408" t="inlineStr">
        <is>
          <t>To attend Government of Canada announcement, business roundable, meeting with Atlantic Canada Opportunities Agency officials</t>
        </is>
      </c>
      <c r="G3408" t="inlineStr">
        <is>
          <t>Assister à une annonce du gouvernement du Canada, à une table ronde de gens d'affaires et à une réunion avec des fonctionnaires de l'Agence de promotion économique du Canada atlantique</t>
        </is>
      </c>
      <c r="H3408" s="1" t="n">
        <v>41522</v>
      </c>
      <c r="I3408" s="1" t="n">
        <v>41522</v>
      </c>
      <c r="J3408" t="inlineStr">
        <is>
          <t>Fredericton, New Brunswick</t>
        </is>
      </c>
      <c r="K3408" t="inlineStr">
        <is>
          <t>Fredericton (Nouveau-Brunswick)</t>
        </is>
      </c>
      <c r="P3408" t="n">
        <v>0</v>
      </c>
      <c r="Q3408" t="n">
        <v>138.6</v>
      </c>
      <c r="R3408" t="n">
        <v>0</v>
      </c>
      <c r="S3408" t="n">
        <v>56.9</v>
      </c>
      <c r="T3408" t="n">
        <v>0</v>
      </c>
      <c r="U3408" t="n">
        <v>195.5</v>
      </c>
      <c r="X3408" t="inlineStr">
        <is>
          <t>acoa-apeca</t>
        </is>
      </c>
      <c r="Y3408" t="inlineStr">
        <is>
          <t>Atlantic Canada Opportunities Agency | Agence de promotion économique du Canada atlantique</t>
        </is>
      </c>
      <c r="Z3408" t="n">
        <v>1</v>
      </c>
      <c r="AA3408" t="n">
        <v>195.5</v>
      </c>
      <c r="AB3408">
        <f>ROUND(U3408-AA3408,2)</f>
        <v/>
      </c>
      <c r="AC3408" t="b">
        <v>0</v>
      </c>
      <c r="AD3408">
        <f>IF(U3408="","MISSING_TOTAL",IF(ABS(AB3408)&lt;=0.01,"OK","CHECK"))</f>
        <v/>
      </c>
      <c r="AE3408">
        <f>IF(U3408="","MISSING",IF(AND(AA3408&gt;0,U3408/AA3408&gt;50),"POSSIBLE_SCALE_ERROR","OK"))</f>
        <v/>
      </c>
    </row>
    <row r="3409">
      <c r="A3409" t="inlineStr">
        <is>
          <t>T-2014-Q3-00007</t>
        </is>
      </c>
      <c r="B3409" t="inlineStr">
        <is>
          <t>SLE</t>
        </is>
      </c>
      <c r="C3409" t="inlineStr">
        <is>
          <t>President</t>
        </is>
      </c>
      <c r="D3409" t="inlineStr">
        <is>
          <t>Président</t>
        </is>
      </c>
      <c r="E3409" t="inlineStr">
        <is>
          <t>Paul J. LeBlanc</t>
        </is>
      </c>
      <c r="F3409" t="inlineStr">
        <is>
          <t>For meetings with Agency officials</t>
        </is>
      </c>
      <c r="G3409" t="inlineStr">
        <is>
          <t>Réunions avec des fonctionnaires de l'Agence</t>
        </is>
      </c>
      <c r="H3409" s="1" t="n">
        <v>41522</v>
      </c>
      <c r="I3409" s="1" t="n">
        <v>41522</v>
      </c>
      <c r="J3409" t="inlineStr">
        <is>
          <t>Fredericton, New Brunswick</t>
        </is>
      </c>
      <c r="K3409" t="inlineStr">
        <is>
          <t>Fredericton (Nouveau-Brunswick)</t>
        </is>
      </c>
      <c r="P3409" t="n">
        <v>0</v>
      </c>
      <c r="Q3409" t="n">
        <v>0</v>
      </c>
      <c r="R3409" t="n">
        <v>0</v>
      </c>
      <c r="S3409" t="n">
        <v>15.15</v>
      </c>
      <c r="T3409" t="n">
        <v>5</v>
      </c>
      <c r="U3409" t="n">
        <v>20.15</v>
      </c>
      <c r="X3409" t="inlineStr">
        <is>
          <t>acoa-apeca</t>
        </is>
      </c>
      <c r="Y3409" t="inlineStr">
        <is>
          <t>Atlantic Canada Opportunities Agency | Agence de promotion économique du Canada atlantique</t>
        </is>
      </c>
      <c r="Z3409" t="n">
        <v>1</v>
      </c>
      <c r="AA3409" t="n">
        <v>20.15</v>
      </c>
      <c r="AB3409">
        <f>ROUND(U3409-AA3409,2)</f>
        <v/>
      </c>
      <c r="AC3409" t="b">
        <v>0</v>
      </c>
      <c r="AD3409">
        <f>IF(U3409="","MISSING_TOTAL",IF(ABS(AB3409)&lt;=0.01,"OK","CHECK"))</f>
        <v/>
      </c>
      <c r="AE3409">
        <f>IF(U3409="","MISSING",IF(AND(AA3409&gt;0,U3409/AA3409&gt;50),"POSSIBLE_SCALE_ERROR","OK"))</f>
        <v/>
      </c>
    </row>
    <row r="3410">
      <c r="A3410" t="inlineStr">
        <is>
          <t>T-2014-Q3-00006</t>
        </is>
      </c>
      <c r="B3410" t="inlineStr">
        <is>
          <t>SLE</t>
        </is>
      </c>
      <c r="C3410" t="inlineStr">
        <is>
          <t>Acting Vice-President, Finance and Corporate Services</t>
        </is>
      </c>
      <c r="D3410" t="inlineStr">
        <is>
          <t>Vice-président par intérim, Finances et Services corporatifs</t>
        </is>
      </c>
      <c r="E3410" t="inlineStr">
        <is>
          <t>Kent Estabrooks</t>
        </is>
      </c>
      <c r="F3410" t="inlineStr">
        <is>
          <t>Meeting with Government of Canada officials</t>
        </is>
      </c>
      <c r="G3410" t="inlineStr">
        <is>
          <t>Réunion avec des fonctionnaires du gouvernement du Canada</t>
        </is>
      </c>
      <c r="H3410" s="1" t="n">
        <v>41521</v>
      </c>
      <c r="I3410" s="1" t="n">
        <v>41523</v>
      </c>
      <c r="J3410" t="inlineStr">
        <is>
          <t>Ottawa, Ontario</t>
        </is>
      </c>
      <c r="K3410" t="inlineStr">
        <is>
          <t>Ottawa (Ontario)</t>
        </is>
      </c>
      <c r="P3410" t="n">
        <v>820</v>
      </c>
      <c r="Q3410" t="n">
        <v>130.5</v>
      </c>
      <c r="R3410" t="n">
        <v>365.46</v>
      </c>
      <c r="S3410" t="n">
        <v>165.7</v>
      </c>
      <c r="T3410" t="n">
        <v>0</v>
      </c>
      <c r="U3410" t="n">
        <v>1481.66</v>
      </c>
      <c r="X3410" t="inlineStr">
        <is>
          <t>acoa-apeca</t>
        </is>
      </c>
      <c r="Y3410" t="inlineStr">
        <is>
          <t>Atlantic Canada Opportunities Agency | Agence de promotion économique du Canada atlantique</t>
        </is>
      </c>
      <c r="Z3410" t="n">
        <v>3</v>
      </c>
      <c r="AA3410" t="n">
        <v>1481.66</v>
      </c>
      <c r="AB3410">
        <f>ROUND(U3410-AA3410,2)</f>
        <v/>
      </c>
      <c r="AC3410" t="b">
        <v>0</v>
      </c>
      <c r="AD3410">
        <f>IF(U3410="","MISSING_TOTAL",IF(ABS(AB3410)&lt;=0.01,"OK","CHECK"))</f>
        <v/>
      </c>
      <c r="AE3410">
        <f>IF(U3410="","MISSING",IF(AND(AA3410&gt;0,U3410/AA3410&gt;50),"POSSIBLE_SCALE_ERROR","OK"))</f>
        <v/>
      </c>
    </row>
    <row r="3411">
      <c r="A3411" t="inlineStr">
        <is>
          <t>T-2014-Q3-00005</t>
        </is>
      </c>
      <c r="B3411" t="inlineStr">
        <is>
          <t>SLE</t>
        </is>
      </c>
      <c r="C3411" t="inlineStr">
        <is>
          <t>Vice-President, Newfoundland and Labrador</t>
        </is>
      </c>
      <c r="D3411" t="inlineStr">
        <is>
          <t>Vice-président, Terre-Neuve-et-Labrador</t>
        </is>
      </c>
      <c r="E3411" t="inlineStr">
        <is>
          <t>Paul Mills</t>
        </is>
      </c>
      <c r="F3411" t="inlineStr">
        <is>
          <t>To attend DEFSEC/meetings with senior government officials</t>
        </is>
      </c>
      <c r="G3411" t="inlineStr">
        <is>
          <t>Assister à l'exposition DEFSEC et à des réunions avec des hauts fonctionnaires</t>
        </is>
      </c>
      <c r="H3411" s="1" t="n">
        <v>41521</v>
      </c>
      <c r="I3411" s="1" t="n">
        <v>41523</v>
      </c>
      <c r="J3411" t="inlineStr">
        <is>
          <t>Halifax, Nova Scotia</t>
        </is>
      </c>
      <c r="K3411" t="inlineStr">
        <is>
          <t>Halifax (Nouvelle-Écosse)</t>
        </is>
      </c>
      <c r="P3411" t="n">
        <v>1376.74</v>
      </c>
      <c r="Q3411" t="n">
        <v>221.89</v>
      </c>
      <c r="R3411" t="n">
        <v>328.44</v>
      </c>
      <c r="S3411" t="n">
        <v>155.25</v>
      </c>
      <c r="T3411" t="n">
        <v>7.34</v>
      </c>
      <c r="U3411" t="n">
        <v>2089.66</v>
      </c>
      <c r="X3411" t="inlineStr">
        <is>
          <t>acoa-apeca</t>
        </is>
      </c>
      <c r="Y3411" t="inlineStr">
        <is>
          <t>Atlantic Canada Opportunities Agency | Agence de promotion économique du Canada atlantique</t>
        </is>
      </c>
      <c r="Z3411" t="n">
        <v>3</v>
      </c>
      <c r="AA3411" t="n">
        <v>2089.66</v>
      </c>
      <c r="AB3411">
        <f>ROUND(U3411-AA3411,2)</f>
        <v/>
      </c>
      <c r="AC3411" t="b">
        <v>0</v>
      </c>
      <c r="AD3411">
        <f>IF(U3411="","MISSING_TOTAL",IF(ABS(AB3411)&lt;=0.01,"OK","CHECK"))</f>
        <v/>
      </c>
      <c r="AE3411">
        <f>IF(U3411="","MISSING",IF(AND(AA3411&gt;0,U3411/AA3411&gt;50),"POSSIBLE_SCALE_ERROR","OK"))</f>
        <v/>
      </c>
    </row>
    <row r="3412">
      <c r="A3412" t="inlineStr">
        <is>
          <t>T-2014-Q3-00004</t>
        </is>
      </c>
      <c r="B3412" t="inlineStr">
        <is>
          <t>SLE</t>
        </is>
      </c>
      <c r="C3412" t="inlineStr">
        <is>
          <t>Vice-President, Policy and Programs</t>
        </is>
      </c>
      <c r="D3412" t="inlineStr">
        <is>
          <t>Vice-président, Politiques et Programmes</t>
        </is>
      </c>
      <c r="E3412" t="inlineStr">
        <is>
          <t>Daryell Nowlan</t>
        </is>
      </c>
      <c r="F3412" t="inlineStr">
        <is>
          <t>Attending Defence and Security R&amp;D Connector (DEFSEC) event</t>
        </is>
      </c>
      <c r="G3412" t="inlineStr">
        <is>
          <t>Assister à l'activité Defence and Security R&amp;D Connector (DEFSEC)</t>
        </is>
      </c>
      <c r="H3412" s="1" t="n">
        <v>41521</v>
      </c>
      <c r="I3412" s="1" t="n">
        <v>41523</v>
      </c>
      <c r="J3412" t="inlineStr">
        <is>
          <t>Halifax, Nova Scotia</t>
        </is>
      </c>
      <c r="K3412" t="inlineStr">
        <is>
          <t>Halifax (Nouvelle-Écosse)</t>
        </is>
      </c>
      <c r="P3412" t="n">
        <v>0</v>
      </c>
      <c r="Q3412" t="n">
        <v>336.28</v>
      </c>
      <c r="R3412" t="n">
        <v>349.56</v>
      </c>
      <c r="S3412" t="n">
        <v>123.95</v>
      </c>
      <c r="T3412" t="n">
        <v>0</v>
      </c>
      <c r="U3412" t="n">
        <v>809.79</v>
      </c>
      <c r="X3412" t="inlineStr">
        <is>
          <t>acoa-apeca</t>
        </is>
      </c>
      <c r="Y3412" t="inlineStr">
        <is>
          <t>Atlantic Canada Opportunities Agency | Agence de promotion économique du Canada atlantique</t>
        </is>
      </c>
      <c r="Z3412" t="n">
        <v>3</v>
      </c>
      <c r="AA3412" t="n">
        <v>809.79</v>
      </c>
      <c r="AB3412">
        <f>ROUND(U3412-AA3412,2)</f>
        <v/>
      </c>
      <c r="AC3412" t="b">
        <v>0</v>
      </c>
      <c r="AD3412">
        <f>IF(U3412="","MISSING_TOTAL",IF(ABS(AB3412)&lt;=0.01,"OK","CHECK"))</f>
        <v/>
      </c>
      <c r="AE3412">
        <f>IF(U3412="","MISSING",IF(AND(AA3412&gt;0,U3412/AA3412&gt;50),"POSSIBLE_SCALE_ERROR","OK"))</f>
        <v/>
      </c>
    </row>
    <row r="3413">
      <c r="A3413" t="inlineStr">
        <is>
          <t>T-2014-Q3-00003</t>
        </is>
      </c>
      <c r="B3413" t="inlineStr">
        <is>
          <t>MPSES</t>
        </is>
      </c>
      <c r="C3413" t="inlineStr">
        <is>
          <t>Minister of State</t>
        </is>
      </c>
      <c r="D3413" t="inlineStr">
        <is>
          <t>Ministre d'État</t>
        </is>
      </c>
      <c r="E3413" t="inlineStr">
        <is>
          <t>Rob Moore</t>
        </is>
      </c>
      <c r="F3413" t="inlineStr">
        <is>
          <t>To attend Government of Canada announcements and meeting with stakeholders</t>
        </is>
      </c>
      <c r="G3413" t="inlineStr">
        <is>
          <t>Assister à des annonces du gouvernement du Canada et à une réunion avec des intervenants</t>
        </is>
      </c>
      <c r="H3413" s="1" t="n">
        <v>41520</v>
      </c>
      <c r="I3413" s="1" t="n">
        <v>41520</v>
      </c>
      <c r="J3413" t="inlineStr">
        <is>
          <t>Black River and St. Leonard, New Brunswick</t>
        </is>
      </c>
      <c r="K3413" t="inlineStr">
        <is>
          <t>Black River et St-Léonard (Nouveau-Brunswick)</t>
        </is>
      </c>
      <c r="P3413" t="n">
        <v>0</v>
      </c>
      <c r="Q3413" t="n">
        <v>361.35</v>
      </c>
      <c r="R3413" t="n">
        <v>0</v>
      </c>
      <c r="S3413" t="n">
        <v>56.9</v>
      </c>
      <c r="T3413" t="n">
        <v>0</v>
      </c>
      <c r="U3413" t="n">
        <v>418.25</v>
      </c>
      <c r="X3413" t="inlineStr">
        <is>
          <t>acoa-apeca</t>
        </is>
      </c>
      <c r="Y3413" t="inlineStr">
        <is>
          <t>Atlantic Canada Opportunities Agency | Agence de promotion économique du Canada atlantique</t>
        </is>
      </c>
      <c r="Z3413" t="n">
        <v>1</v>
      </c>
      <c r="AA3413" t="n">
        <v>418.25</v>
      </c>
      <c r="AB3413">
        <f>ROUND(U3413-AA3413,2)</f>
        <v/>
      </c>
      <c r="AC3413" t="b">
        <v>0</v>
      </c>
      <c r="AD3413">
        <f>IF(U3413="","MISSING_TOTAL",IF(ABS(AB3413)&lt;=0.01,"OK","CHECK"))</f>
        <v/>
      </c>
      <c r="AE3413">
        <f>IF(U3413="","MISSING",IF(AND(AA3413&gt;0,U3413/AA3413&gt;50),"POSSIBLE_SCALE_ERROR","OK"))</f>
        <v/>
      </c>
    </row>
    <row r="3414">
      <c r="A3414" t="inlineStr">
        <is>
          <t>T-2014-Q3-00001</t>
        </is>
      </c>
      <c r="B3414" t="inlineStr">
        <is>
          <t>SLE</t>
        </is>
      </c>
      <c r="C3414" t="inlineStr">
        <is>
          <t>President</t>
        </is>
      </c>
      <c r="D3414" t="inlineStr">
        <is>
          <t>Président</t>
        </is>
      </c>
      <c r="E3414" t="inlineStr">
        <is>
          <t>Paul J. LeBlanc</t>
        </is>
      </c>
      <c r="F3414" t="inlineStr">
        <is>
          <t>For sessions and meeting with Agency officials; and with Forestry sector stakeholders</t>
        </is>
      </c>
      <c r="G3414" t="inlineStr">
        <is>
          <t>Séances et réunion avec des fonctionnaires de l'Agence, et réunion avec des intervenants du secteur de la foresterie</t>
        </is>
      </c>
      <c r="H3414" s="1" t="n">
        <v>41520</v>
      </c>
      <c r="I3414" s="1" t="n">
        <v>41520</v>
      </c>
      <c r="J3414" t="inlineStr">
        <is>
          <t>Saint Andre and Saint Leonard, New Brunswick</t>
        </is>
      </c>
      <c r="K3414" t="inlineStr">
        <is>
          <t>Saint-André et Saint-Léonard (Nouveau-Brunswick)</t>
        </is>
      </c>
      <c r="P3414" t="n">
        <v>0</v>
      </c>
      <c r="Q3414" t="n">
        <v>0</v>
      </c>
      <c r="R3414" t="n">
        <v>0</v>
      </c>
      <c r="S3414" t="n">
        <v>56.9</v>
      </c>
      <c r="T3414" t="n">
        <v>113</v>
      </c>
      <c r="U3414" t="n">
        <v>169.9</v>
      </c>
      <c r="X3414" t="inlineStr">
        <is>
          <t>acoa-apeca</t>
        </is>
      </c>
      <c r="Y3414" t="inlineStr">
        <is>
          <t>Atlantic Canada Opportunities Agency | Agence de promotion économique du Canada atlantique</t>
        </is>
      </c>
      <c r="Z3414" t="n">
        <v>1</v>
      </c>
      <c r="AA3414" t="n">
        <v>169.9</v>
      </c>
      <c r="AB3414">
        <f>ROUND(U3414-AA3414,2)</f>
        <v/>
      </c>
      <c r="AC3414" t="b">
        <v>0</v>
      </c>
      <c r="AD3414">
        <f>IF(U3414="","MISSING_TOTAL",IF(ABS(AB3414)&lt;=0.01,"OK","CHECK"))</f>
        <v/>
      </c>
      <c r="AE3414">
        <f>IF(U3414="","MISSING",IF(AND(AA3414&gt;0,U3414/AA3414&gt;50),"POSSIBLE_SCALE_ERROR","OK"))</f>
        <v/>
      </c>
    </row>
    <row r="3415">
      <c r="A3415" t="inlineStr">
        <is>
          <t>T-2014-Q2-00046</t>
        </is>
      </c>
      <c r="B3415" t="inlineStr">
        <is>
          <t>SLE</t>
        </is>
      </c>
      <c r="C3415" t="inlineStr">
        <is>
          <t>Acting Vice-President, New Brunswick</t>
        </is>
      </c>
      <c r="D3415" t="inlineStr">
        <is>
          <t>Vice-présidente par intérim, Nouveau-Brunswick</t>
        </is>
      </c>
      <c r="E3415" t="inlineStr">
        <is>
          <t>Denise Frenette</t>
        </is>
      </c>
      <c r="F3415" t="inlineStr">
        <is>
          <t>Assignment in Fredericton</t>
        </is>
      </c>
      <c r="G3415" t="inlineStr">
        <is>
          <t>Affectation à Fredericton</t>
        </is>
      </c>
      <c r="H3415" s="1" t="n">
        <v>41518</v>
      </c>
      <c r="I3415" s="1" t="n">
        <v>41547</v>
      </c>
      <c r="J3415" t="inlineStr">
        <is>
          <t>Fredericton, New Brunswick</t>
        </is>
      </c>
      <c r="K3415" t="inlineStr">
        <is>
          <t>Fredericton (Nouveau-Brunswick)</t>
        </is>
      </c>
      <c r="P3415" t="n">
        <v>0</v>
      </c>
      <c r="Q3415" t="n">
        <v>50</v>
      </c>
      <c r="R3415" t="n">
        <v>2200</v>
      </c>
      <c r="S3415" t="n">
        <v>926.5</v>
      </c>
      <c r="T3415" t="n">
        <v>0</v>
      </c>
      <c r="U3415" t="n">
        <v>3176.5</v>
      </c>
      <c r="X3415" t="inlineStr">
        <is>
          <t>acoa-apeca</t>
        </is>
      </c>
      <c r="Y3415" t="inlineStr">
        <is>
          <t>Atlantic Canada Opportunities Agency | Agence de promotion économique du Canada atlantique</t>
        </is>
      </c>
      <c r="Z3415" t="n">
        <v>30</v>
      </c>
      <c r="AA3415" t="n">
        <v>3176.5</v>
      </c>
      <c r="AB3415">
        <f>ROUND(U3415-AA3415,2)</f>
        <v/>
      </c>
      <c r="AC3415" t="b">
        <v>0</v>
      </c>
      <c r="AD3415">
        <f>IF(U3415="","MISSING_TOTAL",IF(ABS(AB3415)&lt;=0.01,"OK","CHECK"))</f>
        <v/>
      </c>
      <c r="AE3415">
        <f>IF(U3415="","MISSING",IF(AND(AA3415&gt;0,U3415/AA3415&gt;50),"POSSIBLE_SCALE_ERROR","OK"))</f>
        <v/>
      </c>
    </row>
    <row r="3416">
      <c r="A3416" t="inlineStr">
        <is>
          <t>T-2014-Q2-00044</t>
        </is>
      </c>
      <c r="B3416" t="inlineStr">
        <is>
          <t>MPSES</t>
        </is>
      </c>
      <c r="C3416" t="inlineStr">
        <is>
          <t>Regional Affairs Director - New Brunswick</t>
        </is>
      </c>
      <c r="D3416" t="inlineStr">
        <is>
          <t>Directeur des affaires régionales - Nouveau-Brunswick</t>
        </is>
      </c>
      <c r="E3416" t="inlineStr">
        <is>
          <t>Douglas MacDonald</t>
        </is>
      </c>
      <c r="F3416" t="inlineStr">
        <is>
          <t>Travel on Government business</t>
        </is>
      </c>
      <c r="G3416" t="inlineStr">
        <is>
          <t>Voyage pour le compte du gouvernement</t>
        </is>
      </c>
      <c r="H3416" s="1" t="n">
        <v>41515</v>
      </c>
      <c r="I3416" s="1" t="n">
        <v>41515</v>
      </c>
      <c r="J3416" t="inlineStr">
        <is>
          <t>Moncton and Fredericton, New Brunswick</t>
        </is>
      </c>
      <c r="K3416" t="inlineStr">
        <is>
          <t>Moncton et Fredericton (Nouveau-Brunswick)</t>
        </is>
      </c>
      <c r="P3416" t="n">
        <v>0</v>
      </c>
      <c r="Q3416" t="n">
        <v>233.64</v>
      </c>
      <c r="R3416" t="n">
        <v>0</v>
      </c>
      <c r="S3416" t="n">
        <v>0</v>
      </c>
      <c r="T3416" t="n">
        <v>0</v>
      </c>
      <c r="U3416" t="n">
        <v>233.64</v>
      </c>
      <c r="X3416" t="inlineStr">
        <is>
          <t>acoa-apeca</t>
        </is>
      </c>
      <c r="Y3416" t="inlineStr">
        <is>
          <t>Atlantic Canada Opportunities Agency | Agence de promotion économique du Canada atlantique</t>
        </is>
      </c>
      <c r="Z3416" t="n">
        <v>1</v>
      </c>
      <c r="AA3416" t="n">
        <v>233.64</v>
      </c>
      <c r="AB3416">
        <f>ROUND(U3416-AA3416,2)</f>
        <v/>
      </c>
      <c r="AC3416" t="b">
        <v>0</v>
      </c>
      <c r="AD3416">
        <f>IF(U3416="","MISSING_TOTAL",IF(ABS(AB3416)&lt;=0.01,"OK","CHECK"))</f>
        <v/>
      </c>
      <c r="AE3416">
        <f>IF(U3416="","MISSING",IF(AND(AA3416&gt;0,U3416/AA3416&gt;50),"POSSIBLE_SCALE_ERROR","OK"))</f>
        <v/>
      </c>
    </row>
    <row r="3417">
      <c r="A3417" t="inlineStr">
        <is>
          <t>T-2014-Q2-00043</t>
        </is>
      </c>
      <c r="B3417" t="inlineStr">
        <is>
          <t>SLE</t>
        </is>
      </c>
      <c r="C3417" t="inlineStr">
        <is>
          <t>Vice President, Nova Scotia</t>
        </is>
      </c>
      <c r="D3417" t="inlineStr">
        <is>
          <t>Vice-président, Nouvelle-Écosse</t>
        </is>
      </c>
      <c r="E3417" t="inlineStr">
        <is>
          <t>Peter Hogan</t>
        </is>
      </c>
      <c r="F3417" t="inlineStr">
        <is>
          <t>Meeting with clients and Agency officials</t>
        </is>
      </c>
      <c r="G3417" t="inlineStr">
        <is>
          <t>Réunion avec des clients et des fonctionnaires de l'Agence</t>
        </is>
      </c>
      <c r="H3417" s="1" t="n">
        <v>41515</v>
      </c>
      <c r="I3417" s="1" t="n">
        <v>41515</v>
      </c>
      <c r="J3417" t="inlineStr">
        <is>
          <t>Annapolis Royal, Nova Scotia</t>
        </is>
      </c>
      <c r="K3417" t="inlineStr">
        <is>
          <t>Annapolis Royal (Nouvelle-Écosse)</t>
        </is>
      </c>
      <c r="P3417" t="n">
        <v>0</v>
      </c>
      <c r="Q3417" t="n">
        <v>0</v>
      </c>
      <c r="R3417" t="n">
        <v>0</v>
      </c>
      <c r="S3417" t="n">
        <v>15.15</v>
      </c>
      <c r="T3417" t="n">
        <v>0</v>
      </c>
      <c r="U3417" t="n">
        <v>15.15</v>
      </c>
      <c r="X3417" t="inlineStr">
        <is>
          <t>acoa-apeca</t>
        </is>
      </c>
      <c r="Y3417" t="inlineStr">
        <is>
          <t>Atlantic Canada Opportunities Agency | Agence de promotion économique du Canada atlantique</t>
        </is>
      </c>
      <c r="Z3417" t="n">
        <v>1</v>
      </c>
      <c r="AA3417" t="n">
        <v>15.15</v>
      </c>
      <c r="AB3417">
        <f>ROUND(U3417-AA3417,2)</f>
        <v/>
      </c>
      <c r="AC3417" t="b">
        <v>0</v>
      </c>
      <c r="AD3417">
        <f>IF(U3417="","MISSING_TOTAL",IF(ABS(AB3417)&lt;=0.01,"OK","CHECK"))</f>
        <v/>
      </c>
      <c r="AE3417">
        <f>IF(U3417="","MISSING",IF(AND(AA3417&gt;0,U3417/AA3417&gt;50),"POSSIBLE_SCALE_ERROR","OK"))</f>
        <v/>
      </c>
    </row>
    <row r="3418">
      <c r="A3418" t="inlineStr">
        <is>
          <t>T-2014-Q2-00041</t>
        </is>
      </c>
      <c r="B3418" t="inlineStr">
        <is>
          <t>MPSES</t>
        </is>
      </c>
      <c r="C3418" t="inlineStr">
        <is>
          <t>Minister of State</t>
        </is>
      </c>
      <c r="D3418" t="inlineStr">
        <is>
          <t>Ministre d'État</t>
        </is>
      </c>
      <c r="E3418" t="inlineStr">
        <is>
          <t>Rob Moore</t>
        </is>
      </c>
      <c r="F3418" t="inlineStr">
        <is>
          <t>To attend Government of Canada announcements, meetings with regional Atlantic Canada Opportunities Agency officials, business roundtable, mayors and wardens roundtable</t>
        </is>
      </c>
      <c r="G3418" t="inlineStr">
        <is>
          <t>Assister à des annonces du gouvernement du Canada, à des réunions avec des fonctionnaires régionaux de l'Agence de promotion économique du Canada atlantique, à une table ronde de gens d'affaires et à une table ronde de maires et de préfets</t>
        </is>
      </c>
      <c r="H3418" s="1" t="n">
        <v>41513</v>
      </c>
      <c r="I3418" s="1" t="n">
        <v>41515</v>
      </c>
      <c r="J3418" t="inlineStr">
        <is>
          <t>Bible Hill, Halifax, Sydney and Digby, Nova Scotia</t>
        </is>
      </c>
      <c r="K3418" t="inlineStr">
        <is>
          <t>Bible Hill, Halifax Sydney et Digby (Nouvelle-Écosse)</t>
        </is>
      </c>
      <c r="P3418" t="n">
        <v>1430.89</v>
      </c>
      <c r="Q3418" t="n">
        <v>535.8200000000001</v>
      </c>
      <c r="R3418" t="n">
        <v>300.25</v>
      </c>
      <c r="S3418" t="n">
        <v>223.6</v>
      </c>
      <c r="T3418" t="n">
        <v>0</v>
      </c>
      <c r="U3418" t="n">
        <v>2490.56</v>
      </c>
      <c r="X3418" t="inlineStr">
        <is>
          <t>acoa-apeca</t>
        </is>
      </c>
      <c r="Y3418" t="inlineStr">
        <is>
          <t>Atlantic Canada Opportunities Agency | Agence de promotion économique du Canada atlantique</t>
        </is>
      </c>
      <c r="Z3418" t="n">
        <v>3</v>
      </c>
      <c r="AA3418" t="n">
        <v>2490.56</v>
      </c>
      <c r="AB3418">
        <f>ROUND(U3418-AA3418,2)</f>
        <v/>
      </c>
      <c r="AC3418" t="b">
        <v>0</v>
      </c>
      <c r="AD3418">
        <f>IF(U3418="","MISSING_TOTAL",IF(ABS(AB3418)&lt;=0.01,"OK","CHECK"))</f>
        <v/>
      </c>
      <c r="AE3418">
        <f>IF(U3418="","MISSING",IF(AND(AA3418&gt;0,U3418/AA3418&gt;50),"POSSIBLE_SCALE_ERROR","OK"))</f>
        <v/>
      </c>
    </row>
    <row r="3419">
      <c r="A3419" t="inlineStr">
        <is>
          <t>T-2014-Q2-00040</t>
        </is>
      </c>
      <c r="B3419" t="inlineStr">
        <is>
          <t>MPSES</t>
        </is>
      </c>
      <c r="C3419" t="inlineStr">
        <is>
          <t>Chief of Staff</t>
        </is>
      </c>
      <c r="D3419" t="inlineStr">
        <is>
          <t>Chef de cabinet</t>
        </is>
      </c>
      <c r="E3419" t="inlineStr">
        <is>
          <t>Shane Bourke</t>
        </is>
      </c>
      <c r="F3419" t="inlineStr">
        <is>
          <t>Travel to accompany Minister to Atlantic Canada Opportunities Agency events</t>
        </is>
      </c>
      <c r="G3419" t="inlineStr">
        <is>
          <t>Accompagner le ministre à des activités de l'Agence de promotion économique du Canada atlantique</t>
        </is>
      </c>
      <c r="H3419" s="1" t="n">
        <v>41513</v>
      </c>
      <c r="I3419" s="1" t="n">
        <v>41514</v>
      </c>
      <c r="J3419" t="inlineStr">
        <is>
          <t>Halifax and Sydney, Nova Scotia</t>
        </is>
      </c>
      <c r="K3419" t="inlineStr">
        <is>
          <t>Halifax et Sydney (Nouvelle-Écosse)</t>
        </is>
      </c>
      <c r="P3419" t="n">
        <v>1240.39</v>
      </c>
      <c r="Q3419" t="n">
        <v>90</v>
      </c>
      <c r="R3419" t="n">
        <v>158.36</v>
      </c>
      <c r="S3419" t="n">
        <v>133.25</v>
      </c>
      <c r="T3419" t="n">
        <v>0</v>
      </c>
      <c r="U3419" t="n">
        <v>1622</v>
      </c>
      <c r="X3419" t="inlineStr">
        <is>
          <t>acoa-apeca</t>
        </is>
      </c>
      <c r="Y3419" t="inlineStr">
        <is>
          <t>Atlantic Canada Opportunities Agency | Agence de promotion économique du Canada atlantique</t>
        </is>
      </c>
      <c r="Z3419" t="n">
        <v>2</v>
      </c>
      <c r="AA3419" t="n">
        <v>1622</v>
      </c>
      <c r="AB3419">
        <f>ROUND(U3419-AA3419,2)</f>
        <v/>
      </c>
      <c r="AC3419" t="b">
        <v>0</v>
      </c>
      <c r="AD3419">
        <f>IF(U3419="","MISSING_TOTAL",IF(ABS(AB3419)&lt;=0.01,"OK","CHECK"))</f>
        <v/>
      </c>
      <c r="AE3419">
        <f>IF(U3419="","MISSING",IF(AND(AA3419&gt;0,U3419/AA3419&gt;50),"POSSIBLE_SCALE_ERROR","OK"))</f>
        <v/>
      </c>
    </row>
    <row r="3420">
      <c r="A3420" t="inlineStr">
        <is>
          <t>T-2014-Q2-00039</t>
        </is>
      </c>
      <c r="B3420" t="inlineStr">
        <is>
          <t>MPSES</t>
        </is>
      </c>
      <c r="C3420" t="inlineStr">
        <is>
          <t>Minister of State</t>
        </is>
      </c>
      <c r="D3420" t="inlineStr">
        <is>
          <t>Ministre d'État</t>
        </is>
      </c>
      <c r="E3420" t="inlineStr">
        <is>
          <t>Rob Moore</t>
        </is>
      </c>
      <c r="F3420" t="inlineStr">
        <is>
          <t>To attend Government of Canada announcement, speech at the Charlottetown Rotary Club, various meetings on Atlantic Canada Opportunities Agency issues</t>
        </is>
      </c>
      <c r="G3420" t="inlineStr">
        <is>
          <t>Assister à une annonce du gouvernement du Canada, prononcer un discours au Club Rotary de Charlottetown et assister à diverses réunions sur des enjeux de l'Agence de promotion économique du Canada atlantique</t>
        </is>
      </c>
      <c r="H3420" s="1" t="n">
        <v>41512</v>
      </c>
      <c r="I3420" s="1" t="n">
        <v>41512</v>
      </c>
      <c r="J3420" t="inlineStr">
        <is>
          <t>Charlottetown, Prince Edward Island</t>
        </is>
      </c>
      <c r="K3420" t="inlineStr">
        <is>
          <t>Charlottetown (Île-du-Prince-Édouard)</t>
        </is>
      </c>
      <c r="P3420" t="n">
        <v>0</v>
      </c>
      <c r="Q3420" t="n">
        <v>355.36</v>
      </c>
      <c r="R3420" t="n">
        <v>0</v>
      </c>
      <c r="S3420" t="n">
        <v>57.4</v>
      </c>
      <c r="T3420" t="n">
        <v>0</v>
      </c>
      <c r="U3420" t="n">
        <v>412.76</v>
      </c>
      <c r="X3420" t="inlineStr">
        <is>
          <t>acoa-apeca</t>
        </is>
      </c>
      <c r="Y3420" t="inlineStr">
        <is>
          <t>Atlantic Canada Opportunities Agency | Agence de promotion économique du Canada atlantique</t>
        </is>
      </c>
      <c r="Z3420" t="n">
        <v>1</v>
      </c>
      <c r="AA3420" t="n">
        <v>412.76</v>
      </c>
      <c r="AB3420">
        <f>ROUND(U3420-AA3420,2)</f>
        <v/>
      </c>
      <c r="AC3420" t="b">
        <v>0</v>
      </c>
      <c r="AD3420">
        <f>IF(U3420="","MISSING_TOTAL",IF(ABS(AB3420)&lt;=0.01,"OK","CHECK"))</f>
        <v/>
      </c>
      <c r="AE3420">
        <f>IF(U3420="","MISSING",IF(AND(AA3420&gt;0,U3420/AA3420&gt;50),"POSSIBLE_SCALE_ERROR","OK"))</f>
        <v/>
      </c>
    </row>
    <row r="3421">
      <c r="A3421" t="inlineStr">
        <is>
          <t>T-2014-Q2-00037</t>
        </is>
      </c>
      <c r="B3421" t="inlineStr">
        <is>
          <t>SLE</t>
        </is>
      </c>
      <c r="C3421" t="inlineStr">
        <is>
          <t>President</t>
        </is>
      </c>
      <c r="D3421" t="inlineStr">
        <is>
          <t>Président</t>
        </is>
      </c>
      <c r="E3421" t="inlineStr">
        <is>
          <t>Paul J. LeBlanc</t>
        </is>
      </c>
      <c r="F3421" t="inlineStr">
        <is>
          <t>For various meetings and discussions with: Agency officials; with various stakeholders</t>
        </is>
      </c>
      <c r="G3421" t="inlineStr">
        <is>
          <t>Diverses réunions et discussions avec des fonctionnaires de l'Agence et divers intervenants</t>
        </is>
      </c>
      <c r="H3421" s="1" t="n">
        <v>41512</v>
      </c>
      <c r="I3421" s="1" t="n">
        <v>41515</v>
      </c>
      <c r="J3421" t="inlineStr">
        <is>
          <t>Charlottetown, Prince Edward Island; Halifax and Digby, Nova Scotia</t>
        </is>
      </c>
      <c r="K3421" t="inlineStr">
        <is>
          <t>Charlottetown (Île-du-Prince-Éoudard)/Halifax et Digby (Nouvelle-Écosse)</t>
        </is>
      </c>
      <c r="P3421" t="n">
        <v>0</v>
      </c>
      <c r="Q3421" t="n">
        <v>70</v>
      </c>
      <c r="R3421" t="n">
        <v>337.82</v>
      </c>
      <c r="S3421" t="n">
        <v>236.6</v>
      </c>
      <c r="T3421" t="n">
        <v>113</v>
      </c>
      <c r="U3421" t="n">
        <v>757.42</v>
      </c>
      <c r="X3421" t="inlineStr">
        <is>
          <t>acoa-apeca</t>
        </is>
      </c>
      <c r="Y3421" t="inlineStr">
        <is>
          <t>Atlantic Canada Opportunities Agency | Agence de promotion économique du Canada atlantique</t>
        </is>
      </c>
      <c r="Z3421" t="n">
        <v>4</v>
      </c>
      <c r="AA3421" t="n">
        <v>757.42</v>
      </c>
      <c r="AB3421">
        <f>ROUND(U3421-AA3421,2)</f>
        <v/>
      </c>
      <c r="AC3421" t="b">
        <v>0</v>
      </c>
      <c r="AD3421">
        <f>IF(U3421="","MISSING_TOTAL",IF(ABS(AB3421)&lt;=0.01,"OK","CHECK"))</f>
        <v/>
      </c>
      <c r="AE3421">
        <f>IF(U3421="","MISSING",IF(AND(AA3421&gt;0,U3421/AA3421&gt;50),"POSSIBLE_SCALE_ERROR","OK"))</f>
        <v/>
      </c>
    </row>
    <row r="3422">
      <c r="A3422" t="inlineStr">
        <is>
          <t>T-2014-Q2-00036</t>
        </is>
      </c>
      <c r="B3422" t="inlineStr">
        <is>
          <t>SLE</t>
        </is>
      </c>
      <c r="C3422" t="inlineStr">
        <is>
          <t>Vice-President, Prince Edward Island</t>
        </is>
      </c>
      <c r="D3422" t="inlineStr">
        <is>
          <t>Vice-président, Île-du-Prince-Édouard</t>
        </is>
      </c>
      <c r="E3422" t="inlineStr">
        <is>
          <t>Patrick Dorsey</t>
        </is>
      </c>
      <c r="F3422" t="inlineStr">
        <is>
          <t>To attend annual Aerospace PEI Conference</t>
        </is>
      </c>
      <c r="G3422" t="inlineStr">
        <is>
          <t>Assister à la conférence annuelle d'Aerospace PEI</t>
        </is>
      </c>
      <c r="H3422" s="1" t="n">
        <v>41507</v>
      </c>
      <c r="I3422" s="1" t="n">
        <v>41509</v>
      </c>
      <c r="J3422" t="inlineStr">
        <is>
          <t>Brudenell, Prince Edward Island</t>
        </is>
      </c>
      <c r="K3422" t="inlineStr">
        <is>
          <t>Brudenell (Île-du-Prince-Édouard)</t>
        </is>
      </c>
      <c r="P3422" t="n">
        <v>0</v>
      </c>
      <c r="Q3422" t="n">
        <v>0</v>
      </c>
      <c r="R3422" t="n">
        <v>305.52</v>
      </c>
      <c r="S3422" t="n">
        <v>124.45</v>
      </c>
      <c r="T3422" t="n">
        <v>0</v>
      </c>
      <c r="U3422" t="n">
        <v>429.97</v>
      </c>
      <c r="X3422" t="inlineStr">
        <is>
          <t>acoa-apeca</t>
        </is>
      </c>
      <c r="Y3422" t="inlineStr">
        <is>
          <t>Atlantic Canada Opportunities Agency | Agence de promotion économique du Canada atlantique</t>
        </is>
      </c>
      <c r="Z3422" t="n">
        <v>3</v>
      </c>
      <c r="AA3422" t="n">
        <v>429.969999999999</v>
      </c>
      <c r="AB3422">
        <f>ROUND(U3422-AA3422,2)</f>
        <v/>
      </c>
      <c r="AC3422" t="b">
        <v>0</v>
      </c>
      <c r="AD3422">
        <f>IF(U3422="","MISSING_TOTAL",IF(ABS(AB3422)&lt;=0.01,"OK","CHECK"))</f>
        <v/>
      </c>
      <c r="AE3422">
        <f>IF(U3422="","MISSING",IF(AND(AA3422&gt;0,U3422/AA3422&gt;50),"POSSIBLE_SCALE_ERROR","OK"))</f>
        <v/>
      </c>
    </row>
    <row r="3423">
      <c r="A3423" t="inlineStr">
        <is>
          <t>T-2014-Q2-00035</t>
        </is>
      </c>
      <c r="B3423" t="inlineStr">
        <is>
          <t>SLE</t>
        </is>
      </c>
      <c r="C3423" t="inlineStr">
        <is>
          <t>Acting Vice-President, New Brunswick</t>
        </is>
      </c>
      <c r="D3423" t="inlineStr">
        <is>
          <t>Vice-présidente par intérim, Nouveau-Brunswick</t>
        </is>
      </c>
      <c r="E3423" t="inlineStr">
        <is>
          <t>Denise Frenette</t>
        </is>
      </c>
      <c r="F3423" t="inlineStr">
        <is>
          <t>Assignment in Fredericton</t>
        </is>
      </c>
      <c r="G3423" t="inlineStr">
        <is>
          <t>Affectation à Fredericton</t>
        </is>
      </c>
      <c r="H3423" s="1" t="n">
        <v>41505</v>
      </c>
      <c r="I3423" s="1" t="n">
        <v>41516</v>
      </c>
      <c r="J3423" t="inlineStr">
        <is>
          <t>Fredericton, New Brunswick</t>
        </is>
      </c>
      <c r="K3423" t="inlineStr">
        <is>
          <t>Fredericton (Nouveau-Brunswick)</t>
        </is>
      </c>
      <c r="P3423" t="n">
        <v>0</v>
      </c>
      <c r="Q3423" t="n">
        <v>0</v>
      </c>
      <c r="R3423" t="n">
        <v>0</v>
      </c>
      <c r="S3423" t="n">
        <v>551.8</v>
      </c>
      <c r="T3423" t="n">
        <v>0</v>
      </c>
      <c r="U3423" t="n">
        <v>551.8</v>
      </c>
      <c r="X3423" t="inlineStr">
        <is>
          <t>acoa-apeca</t>
        </is>
      </c>
      <c r="Y3423" t="inlineStr">
        <is>
          <t>Atlantic Canada Opportunities Agency | Agence de promotion économique du Canada atlantique</t>
        </is>
      </c>
      <c r="Z3423" t="n">
        <v>12</v>
      </c>
      <c r="AA3423" t="n">
        <v>551.8</v>
      </c>
      <c r="AB3423">
        <f>ROUND(U3423-AA3423,2)</f>
        <v/>
      </c>
      <c r="AC3423" t="b">
        <v>0</v>
      </c>
      <c r="AD3423">
        <f>IF(U3423="","MISSING_TOTAL",IF(ABS(AB3423)&lt;=0.01,"OK","CHECK"))</f>
        <v/>
      </c>
      <c r="AE3423">
        <f>IF(U3423="","MISSING",IF(AND(AA3423&gt;0,U3423/AA3423&gt;50),"POSSIBLE_SCALE_ERROR","OK"))</f>
        <v/>
      </c>
    </row>
    <row r="3424">
      <c r="A3424" t="inlineStr">
        <is>
          <t>T-2014-Q2-00034</t>
        </is>
      </c>
      <c r="B3424" t="inlineStr">
        <is>
          <t>SLE</t>
        </is>
      </c>
      <c r="C3424" t="inlineStr">
        <is>
          <t>Vice-President, Newfoundland and Labrador</t>
        </is>
      </c>
      <c r="D3424" t="inlineStr">
        <is>
          <t>Vice-président, Terre-Neuve-et-Labrador</t>
        </is>
      </c>
      <c r="E3424" t="inlineStr">
        <is>
          <t>Paul Mills</t>
        </is>
      </c>
      <c r="F3424" t="inlineStr">
        <is>
          <t>To meet with officials on Fogo Island</t>
        </is>
      </c>
      <c r="G3424" t="inlineStr">
        <is>
          <t>Rencontrer des représentants à l'île Fogo</t>
        </is>
      </c>
      <c r="H3424" s="1" t="n">
        <v>41504</v>
      </c>
      <c r="I3424" s="1" t="n">
        <v>41507</v>
      </c>
      <c r="J3424" t="inlineStr">
        <is>
          <t>Fogo Island, Newfoundland and Labrador</t>
        </is>
      </c>
      <c r="K3424" t="inlineStr">
        <is>
          <t>Île Fogo (Terre-Neuve-et-Labrador)</t>
        </is>
      </c>
      <c r="P3424" t="n">
        <v>0</v>
      </c>
      <c r="Q3424" t="n">
        <v>623.9400000000001</v>
      </c>
      <c r="R3424" t="n">
        <v>507.81</v>
      </c>
      <c r="S3424" t="n">
        <v>156.9</v>
      </c>
      <c r="T3424" t="n">
        <v>7.73</v>
      </c>
      <c r="U3424" t="n">
        <v>1296.38</v>
      </c>
      <c r="X3424" t="inlineStr">
        <is>
          <t>acoa-apeca</t>
        </is>
      </c>
      <c r="Y3424" t="inlineStr">
        <is>
          <t>Atlantic Canada Opportunities Agency | Agence de promotion économique du Canada atlantique</t>
        </is>
      </c>
      <c r="Z3424" t="n">
        <v>4</v>
      </c>
      <c r="AA3424" t="n">
        <v>1296.38</v>
      </c>
      <c r="AB3424">
        <f>ROUND(U3424-AA3424,2)</f>
        <v/>
      </c>
      <c r="AC3424" t="b">
        <v>0</v>
      </c>
      <c r="AD3424">
        <f>IF(U3424="","MISSING_TOTAL",IF(ABS(AB3424)&lt;=0.01,"OK","CHECK"))</f>
        <v/>
      </c>
      <c r="AE3424">
        <f>IF(U3424="","MISSING",IF(AND(AA3424&gt;0,U3424/AA3424&gt;50),"POSSIBLE_SCALE_ERROR","OK"))</f>
        <v/>
      </c>
    </row>
    <row r="3425">
      <c r="A3425" t="inlineStr">
        <is>
          <t>T-2014-Q2-00033</t>
        </is>
      </c>
      <c r="B3425" t="inlineStr">
        <is>
          <t>SLE</t>
        </is>
      </c>
      <c r="C3425" t="inlineStr">
        <is>
          <t>Vice-President, Policy and Programs</t>
        </is>
      </c>
      <c r="D3425" t="inlineStr">
        <is>
          <t>Vice-président, Politiques et Programmes</t>
        </is>
      </c>
      <c r="E3425" t="inlineStr">
        <is>
          <t>Daryell Nowlan</t>
        </is>
      </c>
      <c r="F3425" t="inlineStr">
        <is>
          <t>Attending a conference</t>
        </is>
      </c>
      <c r="G3425" t="inlineStr">
        <is>
          <t>Assister à une conférence</t>
        </is>
      </c>
      <c r="H3425" s="1" t="n">
        <v>41502</v>
      </c>
      <c r="I3425" s="1" t="n">
        <v>41507</v>
      </c>
      <c r="J3425" t="inlineStr">
        <is>
          <t>Montreal, Quebec</t>
        </is>
      </c>
      <c r="K3425" t="inlineStr">
        <is>
          <t>Montréal (Québec)</t>
        </is>
      </c>
      <c r="P3425" t="n">
        <v>892.7</v>
      </c>
      <c r="Q3425" t="n">
        <v>136</v>
      </c>
      <c r="R3425" t="n">
        <v>496.26</v>
      </c>
      <c r="S3425" t="n">
        <v>209.6</v>
      </c>
      <c r="T3425" t="n">
        <v>0</v>
      </c>
      <c r="U3425" t="n">
        <v>1734.56</v>
      </c>
      <c r="X3425" t="inlineStr">
        <is>
          <t>acoa-apeca</t>
        </is>
      </c>
      <c r="Y3425" t="inlineStr">
        <is>
          <t>Atlantic Canada Opportunities Agency | Agence de promotion économique du Canada atlantique</t>
        </is>
      </c>
      <c r="Z3425" t="n">
        <v>6</v>
      </c>
      <c r="AA3425" t="n">
        <v>1734.56</v>
      </c>
      <c r="AB3425">
        <f>ROUND(U3425-AA3425,2)</f>
        <v/>
      </c>
      <c r="AC3425" t="b">
        <v>0</v>
      </c>
      <c r="AD3425">
        <f>IF(U3425="","MISSING_TOTAL",IF(ABS(AB3425)&lt;=0.01,"OK","CHECK"))</f>
        <v/>
      </c>
      <c r="AE3425">
        <f>IF(U3425="","MISSING",IF(AND(AA3425&gt;0,U3425/AA3425&gt;50),"POSSIBLE_SCALE_ERROR","OK"))</f>
        <v/>
      </c>
    </row>
    <row r="3426">
      <c r="A3426" t="inlineStr">
        <is>
          <t>T-2014-Q2-00032</t>
        </is>
      </c>
      <c r="B3426" t="inlineStr">
        <is>
          <t>SLE</t>
        </is>
      </c>
      <c r="C3426" t="inlineStr">
        <is>
          <t>Acting Vice-President, New Brunswick</t>
        </is>
      </c>
      <c r="D3426" t="inlineStr">
        <is>
          <t>Vice-présidente par intérim, Nouveau-Brunswick</t>
        </is>
      </c>
      <c r="E3426" t="inlineStr">
        <is>
          <t>Denise Frenette</t>
        </is>
      </c>
      <c r="F3426" t="inlineStr">
        <is>
          <t>Northwest New Brunswick client visits</t>
        </is>
      </c>
      <c r="G3426" t="inlineStr">
        <is>
          <t>Visites des clients du Nord-Ouest du Nouveau-Brunswick</t>
        </is>
      </c>
      <c r="H3426" s="1" t="n">
        <v>41499</v>
      </c>
      <c r="I3426" s="1" t="n">
        <v>41500</v>
      </c>
      <c r="J3426" t="inlineStr">
        <is>
          <t>Edmundston, New Brunswick</t>
        </is>
      </c>
      <c r="K3426" t="inlineStr">
        <is>
          <t>Edmundston (Nouveau-Brunswick)</t>
        </is>
      </c>
      <c r="P3426" t="n">
        <v>0</v>
      </c>
      <c r="Q3426" t="n">
        <v>0</v>
      </c>
      <c r="R3426" t="n">
        <v>134.47</v>
      </c>
      <c r="S3426" t="n">
        <v>165.35</v>
      </c>
      <c r="T3426" t="n">
        <v>0</v>
      </c>
      <c r="U3426" t="n">
        <v>299.82</v>
      </c>
      <c r="X3426" t="inlineStr">
        <is>
          <t>acoa-apeca</t>
        </is>
      </c>
      <c r="Y3426" t="inlineStr">
        <is>
          <t>Atlantic Canada Opportunities Agency | Agence de promotion économique du Canada atlantique</t>
        </is>
      </c>
      <c r="Z3426" t="n">
        <v>2</v>
      </c>
      <c r="AA3426" t="n">
        <v>299.82</v>
      </c>
      <c r="AB3426">
        <f>ROUND(U3426-AA3426,2)</f>
        <v/>
      </c>
      <c r="AC3426" t="b">
        <v>0</v>
      </c>
      <c r="AD3426">
        <f>IF(U3426="","MISSING_TOTAL",IF(ABS(AB3426)&lt;=0.01,"OK","CHECK"))</f>
        <v/>
      </c>
      <c r="AE3426">
        <f>IF(U3426="","MISSING",IF(AND(AA3426&gt;0,U3426/AA3426&gt;50),"POSSIBLE_SCALE_ERROR","OK"))</f>
        <v/>
      </c>
    </row>
    <row r="3427">
      <c r="A3427" t="inlineStr">
        <is>
          <t>T-2014-Q2-00023</t>
        </is>
      </c>
      <c r="B3427" t="inlineStr">
        <is>
          <t>MPSES</t>
        </is>
      </c>
      <c r="C3427" t="inlineStr">
        <is>
          <t>Minister</t>
        </is>
      </c>
      <c r="D3427" t="inlineStr">
        <is>
          <t>Ministre</t>
        </is>
      </c>
      <c r="E3427" t="inlineStr">
        <is>
          <t>Gail Shea</t>
        </is>
      </c>
      <c r="F3427" t="inlineStr">
        <is>
          <t>To attend the Prince Edward Island BioAlliance Symposium and meeting with stakeholders</t>
        </is>
      </c>
      <c r="G3427" t="inlineStr">
        <is>
          <t>Assister au symposium de Prince Edward Island BioAlliance et à une rencontre avec des intervenants</t>
        </is>
      </c>
      <c r="H3427" s="1" t="n">
        <v>41461</v>
      </c>
      <c r="I3427" s="1" t="n">
        <v>41462</v>
      </c>
      <c r="J3427" t="inlineStr">
        <is>
          <t>Georgetown Royalty, Prince Edward Island</t>
        </is>
      </c>
      <c r="K3427" t="inlineStr">
        <is>
          <t>Georgetown Royalty (Île-du-Prince-Édouard)</t>
        </is>
      </c>
      <c r="P3427" t="n">
        <v>0</v>
      </c>
      <c r="Q3427" t="n">
        <v>189.88</v>
      </c>
      <c r="R3427" t="n">
        <v>204.06</v>
      </c>
      <c r="S3427" t="n">
        <v>74.7</v>
      </c>
      <c r="T3427" t="n">
        <v>0</v>
      </c>
      <c r="U3427" t="n">
        <v>468.64</v>
      </c>
      <c r="X3427" t="inlineStr">
        <is>
          <t>acoa-apeca</t>
        </is>
      </c>
      <c r="Y3427" t="inlineStr">
        <is>
          <t>Atlantic Canada Opportunities Agency | Agence de promotion économique du Canada atlantique</t>
        </is>
      </c>
      <c r="Z3427" t="n">
        <v>2</v>
      </c>
      <c r="AA3427" t="n">
        <v>468.64</v>
      </c>
      <c r="AB3427">
        <f>ROUND(U3427-AA3427,2)</f>
        <v/>
      </c>
      <c r="AC3427" t="b">
        <v>0</v>
      </c>
      <c r="AD3427">
        <f>IF(U3427="","MISSING_TOTAL",IF(ABS(AB3427)&lt;=0.01,"OK","CHECK"))</f>
        <v/>
      </c>
      <c r="AE3427">
        <f>IF(U3427="","MISSING",IF(AND(AA3427&gt;0,U3427/AA3427&gt;50),"POSSIBLE_SCALE_ERROR","OK"))</f>
        <v/>
      </c>
    </row>
    <row r="3428">
      <c r="A3428" t="inlineStr">
        <is>
          <t>T-2014-Q2-00031</t>
        </is>
      </c>
      <c r="B3428" t="inlineStr">
        <is>
          <t>SLE</t>
        </is>
      </c>
      <c r="C3428" t="inlineStr">
        <is>
          <t>President</t>
        </is>
      </c>
      <c r="D3428" t="inlineStr">
        <is>
          <t>Président</t>
        </is>
      </c>
      <c r="E3428" t="inlineStr">
        <is>
          <t>Paul J. LeBlanc</t>
        </is>
      </c>
      <c r="F3428" t="inlineStr">
        <is>
          <t>For various meetings and discussions with Agency officials; with Government of Canada officials; with stakeholders</t>
        </is>
      </c>
      <c r="G3428" t="inlineStr">
        <is>
          <t>Diverses réunions et discussions avec des fonctionnaires de l'Agence et du gouvernement du Canada et des intervenants</t>
        </is>
      </c>
      <c r="H3428" s="1" t="n">
        <v>41493</v>
      </c>
      <c r="I3428" s="1" t="n">
        <v>41495</v>
      </c>
      <c r="J3428" t="inlineStr">
        <is>
          <t>Halifax, Nova Scotia and St. John's, Newfoundland and Labrador</t>
        </is>
      </c>
      <c r="K3428" t="inlineStr">
        <is>
          <t>Halifax (Nouvelle-Écosse) et St. John's (Terre-Neuve-et-Labrador)</t>
        </is>
      </c>
      <c r="P3428" t="n">
        <v>1114.36</v>
      </c>
      <c r="Q3428" t="n">
        <v>0</v>
      </c>
      <c r="R3428" t="n">
        <v>373.66</v>
      </c>
      <c r="S3428" t="n">
        <v>208.45</v>
      </c>
      <c r="T3428" t="n">
        <v>56.5</v>
      </c>
      <c r="U3428" t="n">
        <v>1752.97</v>
      </c>
      <c r="X3428" t="inlineStr">
        <is>
          <t>acoa-apeca</t>
        </is>
      </c>
      <c r="Y3428" t="inlineStr">
        <is>
          <t>Atlantic Canada Opportunities Agency | Agence de promotion économique du Canada atlantique</t>
        </is>
      </c>
      <c r="Z3428" t="n">
        <v>3</v>
      </c>
      <c r="AA3428" t="n">
        <v>1752.97</v>
      </c>
      <c r="AB3428">
        <f>ROUND(U3428-AA3428,2)</f>
        <v/>
      </c>
      <c r="AC3428" t="b">
        <v>0</v>
      </c>
      <c r="AD3428">
        <f>IF(U3428="","MISSING_TOTAL",IF(ABS(AB3428)&lt;=0.01,"OK","CHECK"))</f>
        <v/>
      </c>
      <c r="AE3428">
        <f>IF(U3428="","MISSING",IF(AND(AA3428&gt;0,U3428/AA3428&gt;50),"POSSIBLE_SCALE_ERROR","OK"))</f>
        <v/>
      </c>
    </row>
    <row r="3429">
      <c r="A3429" t="inlineStr">
        <is>
          <t>T-2014-Q2-00030</t>
        </is>
      </c>
      <c r="B3429" t="inlineStr">
        <is>
          <t>SLE</t>
        </is>
      </c>
      <c r="C3429" t="inlineStr">
        <is>
          <t>Acting Vice-President, New Brunswick</t>
        </is>
      </c>
      <c r="D3429" t="inlineStr">
        <is>
          <t>Vice-présidente par intérim, Nouveau-Brunswick</t>
        </is>
      </c>
      <c r="E3429" t="inlineStr">
        <is>
          <t>Denise Frenette</t>
        </is>
      </c>
      <c r="F3429" t="inlineStr">
        <is>
          <t>Assignment in Fredericton</t>
        </is>
      </c>
      <c r="G3429" t="inlineStr">
        <is>
          <t>Affectation à Fredericton</t>
        </is>
      </c>
      <c r="H3429" s="1" t="n">
        <v>41487</v>
      </c>
      <c r="I3429" s="1" t="n">
        <v>41502</v>
      </c>
      <c r="J3429" t="inlineStr">
        <is>
          <t>Fredericton, New Brunswick</t>
        </is>
      </c>
      <c r="K3429" t="inlineStr">
        <is>
          <t>Fredericton (Nouveau-Brunswick)</t>
        </is>
      </c>
      <c r="P3429" t="n">
        <v>0</v>
      </c>
      <c r="Q3429" t="n">
        <v>182.16</v>
      </c>
      <c r="R3429" t="n">
        <v>1095</v>
      </c>
      <c r="S3429" t="n">
        <v>190.45</v>
      </c>
      <c r="T3429" t="n">
        <v>0</v>
      </c>
      <c r="U3429" t="n">
        <v>1467.61</v>
      </c>
      <c r="X3429" t="inlineStr">
        <is>
          <t>acoa-apeca</t>
        </is>
      </c>
      <c r="Y3429" t="inlineStr">
        <is>
          <t>Atlantic Canada Opportunities Agency | Agence de promotion économique du Canada atlantique</t>
        </is>
      </c>
      <c r="Z3429" t="n">
        <v>16</v>
      </c>
      <c r="AA3429" t="n">
        <v>1467.61</v>
      </c>
      <c r="AB3429">
        <f>ROUND(U3429-AA3429,2)</f>
        <v/>
      </c>
      <c r="AC3429" t="b">
        <v>0</v>
      </c>
      <c r="AD3429">
        <f>IF(U3429="","MISSING_TOTAL",IF(ABS(AB3429)&lt;=0.01,"OK","CHECK"))</f>
        <v/>
      </c>
      <c r="AE3429">
        <f>IF(U3429="","MISSING",IF(AND(AA3429&gt;0,U3429/AA3429&gt;50),"POSSIBLE_SCALE_ERROR","OK"))</f>
        <v/>
      </c>
    </row>
    <row r="3430">
      <c r="A3430" t="inlineStr">
        <is>
          <t>T-2014-Q2-00029</t>
        </is>
      </c>
      <c r="B3430" t="inlineStr">
        <is>
          <t>SLE</t>
        </is>
      </c>
      <c r="C3430" t="inlineStr">
        <is>
          <t>Acting Vice-President, New Brunswick</t>
        </is>
      </c>
      <c r="D3430" t="inlineStr">
        <is>
          <t>Vice-présidente par intérim, Nouveau-Brunswick</t>
        </is>
      </c>
      <c r="E3430" t="inlineStr">
        <is>
          <t>Denise Frenette</t>
        </is>
      </c>
      <c r="F3430" t="inlineStr">
        <is>
          <t>Assignment in Fredericton</t>
        </is>
      </c>
      <c r="G3430" t="inlineStr">
        <is>
          <t>Affectation à Fredericton</t>
        </is>
      </c>
      <c r="H3430" s="1" t="n">
        <v>41470</v>
      </c>
      <c r="I3430" s="1" t="n">
        <v>41486</v>
      </c>
      <c r="J3430" t="inlineStr">
        <is>
          <t>Fredericton, New Brunswick</t>
        </is>
      </c>
      <c r="K3430" t="inlineStr">
        <is>
          <t>Fredericton (Nouveau-Brunswick)</t>
        </is>
      </c>
      <c r="P3430" t="n">
        <v>0</v>
      </c>
      <c r="Q3430" t="n">
        <v>0</v>
      </c>
      <c r="R3430" t="n">
        <v>2200</v>
      </c>
      <c r="S3430" t="n">
        <v>706.15</v>
      </c>
      <c r="T3430" t="n">
        <v>0</v>
      </c>
      <c r="U3430" t="n">
        <v>2906.15</v>
      </c>
      <c r="X3430" t="inlineStr">
        <is>
          <t>acoa-apeca</t>
        </is>
      </c>
      <c r="Y3430" t="inlineStr">
        <is>
          <t>Atlantic Canada Opportunities Agency | Agence de promotion économique du Canada atlantique</t>
        </is>
      </c>
      <c r="Z3430" t="n">
        <v>17</v>
      </c>
      <c r="AA3430" t="n">
        <v>2906.15</v>
      </c>
      <c r="AB3430">
        <f>ROUND(U3430-AA3430,2)</f>
        <v/>
      </c>
      <c r="AC3430" t="b">
        <v>0</v>
      </c>
      <c r="AD3430">
        <f>IF(U3430="","MISSING_TOTAL",IF(ABS(AB3430)&lt;=0.01,"OK","CHECK"))</f>
        <v/>
      </c>
      <c r="AE3430">
        <f>IF(U3430="","MISSING",IF(AND(AA3430&gt;0,U3430/AA3430&gt;50),"POSSIBLE_SCALE_ERROR","OK"))</f>
        <v/>
      </c>
    </row>
    <row r="3431">
      <c r="A3431" t="inlineStr">
        <is>
          <t>T-2014-Q2-00028</t>
        </is>
      </c>
      <c r="B3431" t="inlineStr">
        <is>
          <t>SLE</t>
        </is>
      </c>
      <c r="C3431" t="inlineStr">
        <is>
          <t>President</t>
        </is>
      </c>
      <c r="D3431" t="inlineStr">
        <is>
          <t>Président</t>
        </is>
      </c>
      <c r="E3431" t="inlineStr">
        <is>
          <t>Paul J. LeBlanc</t>
        </is>
      </c>
      <c r="F3431" t="inlineStr">
        <is>
          <t>For various meetings and discussions with: Agency officials; with Government of Canada officials</t>
        </is>
      </c>
      <c r="G3431" t="inlineStr">
        <is>
          <t>Diverses réunions et discussions avec des fonctionnaires de l'Agence et du gouvernement du Canada</t>
        </is>
      </c>
      <c r="H3431" s="1" t="n">
        <v>41469</v>
      </c>
      <c r="I3431" s="1" t="n">
        <v>41472</v>
      </c>
      <c r="J3431" t="inlineStr">
        <is>
          <t>Ottawa, Ontario and Moncton, New Brunswick</t>
        </is>
      </c>
      <c r="K3431" t="inlineStr">
        <is>
          <t>Ottawa (Ontario) et Moncton (Nouveau-Brunswick)</t>
        </is>
      </c>
      <c r="P3431" t="n">
        <v>947.1</v>
      </c>
      <c r="Q3431" t="n">
        <v>35</v>
      </c>
      <c r="R3431" t="n">
        <v>555.1799999999999</v>
      </c>
      <c r="S3431" t="n">
        <v>245.1</v>
      </c>
      <c r="T3431" t="n">
        <v>0</v>
      </c>
      <c r="U3431" t="n">
        <v>1782.38</v>
      </c>
      <c r="X3431" t="inlineStr">
        <is>
          <t>acoa-apeca</t>
        </is>
      </c>
      <c r="Y3431" t="inlineStr">
        <is>
          <t>Atlantic Canada Opportunities Agency | Agence de promotion économique du Canada atlantique</t>
        </is>
      </c>
      <c r="Z3431" t="n">
        <v>4</v>
      </c>
      <c r="AA3431" t="n">
        <v>1782.37999999999</v>
      </c>
      <c r="AB3431">
        <f>ROUND(U3431-AA3431,2)</f>
        <v/>
      </c>
      <c r="AC3431" t="b">
        <v>0</v>
      </c>
      <c r="AD3431">
        <f>IF(U3431="","MISSING_TOTAL",IF(ABS(AB3431)&lt;=0.01,"OK","CHECK"))</f>
        <v/>
      </c>
      <c r="AE3431">
        <f>IF(U3431="","MISSING",IF(AND(AA3431&gt;0,U3431/AA3431&gt;50),"POSSIBLE_SCALE_ERROR","OK"))</f>
        <v/>
      </c>
    </row>
    <row r="3432">
      <c r="A3432" t="inlineStr">
        <is>
          <t>T-2014-Q2-00026</t>
        </is>
      </c>
      <c r="B3432" t="inlineStr">
        <is>
          <t>SLE</t>
        </is>
      </c>
      <c r="C3432" t="inlineStr">
        <is>
          <t>Acting Vice-President, New Brunswick</t>
        </is>
      </c>
      <c r="D3432" t="inlineStr">
        <is>
          <t>Vice-présidente par intérim, Nouveau-Brunswick</t>
        </is>
      </c>
      <c r="E3432" t="inlineStr">
        <is>
          <t>Denise Frenette</t>
        </is>
      </c>
      <c r="F3432" t="inlineStr">
        <is>
          <t>Northeast client visits</t>
        </is>
      </c>
      <c r="G3432" t="inlineStr">
        <is>
          <t>Visites des clients du Nord-Est</t>
        </is>
      </c>
      <c r="H3432" s="1" t="n">
        <v>41466</v>
      </c>
      <c r="I3432" s="1" t="n">
        <v>41467</v>
      </c>
      <c r="J3432" t="inlineStr">
        <is>
          <t>Tracadie-Sheila, New Brunswick</t>
        </is>
      </c>
      <c r="K3432" t="inlineStr">
        <is>
          <t>Tracadie-Sheila (Nouveau-Brunswick)</t>
        </is>
      </c>
      <c r="P3432" t="n">
        <v>0</v>
      </c>
      <c r="Q3432" t="n">
        <v>0</v>
      </c>
      <c r="R3432" t="n">
        <v>111.87</v>
      </c>
      <c r="S3432" t="n">
        <v>106.65</v>
      </c>
      <c r="T3432" t="n">
        <v>0</v>
      </c>
      <c r="U3432" t="n">
        <v>218.52</v>
      </c>
      <c r="X3432" t="inlineStr">
        <is>
          <t>acoa-apeca</t>
        </is>
      </c>
      <c r="Y3432" t="inlineStr">
        <is>
          <t>Atlantic Canada Opportunities Agency | Agence de promotion économique du Canada atlantique</t>
        </is>
      </c>
      <c r="Z3432" t="n">
        <v>2</v>
      </c>
      <c r="AA3432" t="n">
        <v>218.52</v>
      </c>
      <c r="AB3432">
        <f>ROUND(U3432-AA3432,2)</f>
        <v/>
      </c>
      <c r="AC3432" t="b">
        <v>0</v>
      </c>
      <c r="AD3432">
        <f>IF(U3432="","MISSING_TOTAL",IF(ABS(AB3432)&lt;=0.01,"OK","CHECK"))</f>
        <v/>
      </c>
      <c r="AE3432">
        <f>IF(U3432="","MISSING",IF(AND(AA3432&gt;0,U3432/AA3432&gt;50),"POSSIBLE_SCALE_ERROR","OK"))</f>
        <v/>
      </c>
    </row>
    <row r="3433">
      <c r="A3433" t="inlineStr">
        <is>
          <t>T-2014-Q2-00024</t>
        </is>
      </c>
      <c r="B3433" t="inlineStr">
        <is>
          <t>SLE</t>
        </is>
      </c>
      <c r="C3433" t="inlineStr">
        <is>
          <t>Vice-President, Prince Edward Island</t>
        </is>
      </c>
      <c r="D3433" t="inlineStr">
        <is>
          <t>Vice-président, Île-du-Prince-Édouard</t>
        </is>
      </c>
      <c r="E3433" t="inlineStr">
        <is>
          <t>Patrick Dorsey</t>
        </is>
      </c>
      <c r="F3433" t="inlineStr">
        <is>
          <t>To attend the 4th Annual Biotechnology &amp; Human Health Symposium</t>
        </is>
      </c>
      <c r="G3433" t="inlineStr">
        <is>
          <t>Assister au quatrième Symposium annuel de la biotechnologie et de la santé humaine</t>
        </is>
      </c>
      <c r="H3433" s="1" t="n">
        <v>41463</v>
      </c>
      <c r="I3433" s="1" t="n">
        <v>41464</v>
      </c>
      <c r="J3433" t="inlineStr">
        <is>
          <t>Brudenell, Prince Edward Island</t>
        </is>
      </c>
      <c r="K3433" t="inlineStr">
        <is>
          <t>Brudenell (Île-du-Prince-Édouard)</t>
        </is>
      </c>
      <c r="P3433" t="n">
        <v>0</v>
      </c>
      <c r="Q3433" t="n">
        <v>0</v>
      </c>
      <c r="R3433" t="n">
        <v>226.88</v>
      </c>
      <c r="S3433" t="n">
        <v>65.40000000000001</v>
      </c>
      <c r="T3433" t="n">
        <v>0</v>
      </c>
      <c r="U3433" t="n">
        <v>292.28</v>
      </c>
      <c r="X3433" t="inlineStr">
        <is>
          <t>acoa-apeca</t>
        </is>
      </c>
      <c r="Y3433" t="inlineStr">
        <is>
          <t>Atlantic Canada Opportunities Agency | Agence de promotion économique du Canada atlantique</t>
        </is>
      </c>
      <c r="Z3433" t="n">
        <v>2</v>
      </c>
      <c r="AA3433" t="n">
        <v>292.28</v>
      </c>
      <c r="AB3433">
        <f>ROUND(U3433-AA3433,2)</f>
        <v/>
      </c>
      <c r="AC3433" t="b">
        <v>0</v>
      </c>
      <c r="AD3433">
        <f>IF(U3433="","MISSING_TOTAL",IF(ABS(AB3433)&lt;=0.01,"OK","CHECK"))</f>
        <v/>
      </c>
      <c r="AE3433">
        <f>IF(U3433="","MISSING",IF(AND(AA3433&gt;0,U3433/AA3433&gt;50),"POSSIBLE_SCALE_ERROR","OK"))</f>
        <v/>
      </c>
    </row>
    <row r="3434">
      <c r="A3434" t="inlineStr">
        <is>
          <t>T-2014-Q2-00021</t>
        </is>
      </c>
      <c r="B3434" t="inlineStr">
        <is>
          <t>SLE</t>
        </is>
      </c>
      <c r="C3434" t="inlineStr">
        <is>
          <t>Vice-President, Policy and Programs</t>
        </is>
      </c>
      <c r="D3434" t="inlineStr">
        <is>
          <t>Vice-président, Politiques et Programmes</t>
        </is>
      </c>
      <c r="E3434" t="inlineStr">
        <is>
          <t>Daryell Nowlan</t>
        </is>
      </c>
      <c r="F3434" t="inlineStr">
        <is>
          <t>Meetings with Government of Canada officials</t>
        </is>
      </c>
      <c r="G3434" t="inlineStr">
        <is>
          <t>Rencontres avec des fonctionnaires du gouvernement du Canada</t>
        </is>
      </c>
      <c r="H3434" s="1" t="n">
        <v>41458</v>
      </c>
      <c r="I3434" s="1" t="n">
        <v>41459</v>
      </c>
      <c r="J3434" t="inlineStr">
        <is>
          <t>Ottawa, Ontario</t>
        </is>
      </c>
      <c r="K3434" t="inlineStr">
        <is>
          <t>Ottawa (Ontario)</t>
        </is>
      </c>
      <c r="P3434" t="n">
        <v>899.5599999999999</v>
      </c>
      <c r="Q3434" t="n">
        <v>118.42</v>
      </c>
      <c r="R3434" t="n">
        <v>182.73</v>
      </c>
      <c r="S3434" t="n">
        <v>148.4</v>
      </c>
      <c r="T3434" t="n">
        <v>0</v>
      </c>
      <c r="U3434" t="n">
        <v>1349.11</v>
      </c>
      <c r="X3434" t="inlineStr">
        <is>
          <t>acoa-apeca</t>
        </is>
      </c>
      <c r="Y3434" t="inlineStr">
        <is>
          <t>Atlantic Canada Opportunities Agency | Agence de promotion économique du Canada atlantique</t>
        </is>
      </c>
      <c r="Z3434" t="n">
        <v>2</v>
      </c>
      <c r="AA3434" t="n">
        <v>1349.11</v>
      </c>
      <c r="AB3434">
        <f>ROUND(U3434-AA3434,2)</f>
        <v/>
      </c>
      <c r="AC3434" t="b">
        <v>0</v>
      </c>
      <c r="AD3434">
        <f>IF(U3434="","MISSING_TOTAL",IF(ABS(AB3434)&lt;=0.01,"OK","CHECK"))</f>
        <v/>
      </c>
      <c r="AE3434">
        <f>IF(U3434="","MISSING",IF(AND(AA3434&gt;0,U3434/AA3434&gt;50),"POSSIBLE_SCALE_ERROR","OK"))</f>
        <v/>
      </c>
    </row>
    <row r="3435">
      <c r="A3435" t="inlineStr">
        <is>
          <t>T-2014-Q2-00020</t>
        </is>
      </c>
      <c r="B3435" t="inlineStr">
        <is>
          <t>SLE</t>
        </is>
      </c>
      <c r="C3435" t="inlineStr">
        <is>
          <t>Vice President, Nova Scotia</t>
        </is>
      </c>
      <c r="D3435" t="inlineStr">
        <is>
          <t>Vice-président, Nouvelle-Écosse</t>
        </is>
      </c>
      <c r="E3435" t="inlineStr">
        <is>
          <t>Peter Hogan</t>
        </is>
      </c>
      <c r="F3435" t="inlineStr">
        <is>
          <t>Meeting with senior Government of Canada  and provincial officials</t>
        </is>
      </c>
      <c r="G3435" t="inlineStr">
        <is>
          <t>Réunion avec des hauts fonctionnaires fédéraux et provinciaux</t>
        </is>
      </c>
      <c r="H3435" s="1" t="n">
        <v>41457</v>
      </c>
      <c r="I3435" s="1" t="n">
        <v>41458</v>
      </c>
      <c r="J3435" t="inlineStr">
        <is>
          <t>Ottawa, Ontario</t>
        </is>
      </c>
      <c r="K3435" t="inlineStr">
        <is>
          <t>Ottawa (Ontario)</t>
        </is>
      </c>
      <c r="P3435" t="n">
        <v>487.88</v>
      </c>
      <c r="Q3435" t="n">
        <v>141.2</v>
      </c>
      <c r="R3435" t="n">
        <v>182.73</v>
      </c>
      <c r="S3435" t="n">
        <v>133.75</v>
      </c>
      <c r="T3435" t="n">
        <v>0</v>
      </c>
      <c r="U3435" t="n">
        <v>945.5599999999999</v>
      </c>
      <c r="X3435" t="inlineStr">
        <is>
          <t>acoa-apeca</t>
        </is>
      </c>
      <c r="Y3435" t="inlineStr">
        <is>
          <t>Atlantic Canada Opportunities Agency | Agence de promotion économique du Canada atlantique</t>
        </is>
      </c>
      <c r="Z3435" t="n">
        <v>2</v>
      </c>
      <c r="AA3435" t="n">
        <v>945.5599999999999</v>
      </c>
      <c r="AB3435">
        <f>ROUND(U3435-AA3435,2)</f>
        <v/>
      </c>
      <c r="AC3435" t="b">
        <v>0</v>
      </c>
      <c r="AD3435">
        <f>IF(U3435="","MISSING_TOTAL",IF(ABS(AB3435)&lt;=0.01,"OK","CHECK"))</f>
        <v/>
      </c>
      <c r="AE3435">
        <f>IF(U3435="","MISSING",IF(AND(AA3435&gt;0,U3435/AA3435&gt;50),"POSSIBLE_SCALE_ERROR","OK"))</f>
        <v/>
      </c>
    </row>
    <row r="3436">
      <c r="A3436" t="inlineStr">
        <is>
          <t>T-2014-Q2-00019</t>
        </is>
      </c>
      <c r="B3436" t="inlineStr">
        <is>
          <t>SLE</t>
        </is>
      </c>
      <c r="C3436" t="inlineStr">
        <is>
          <t>Acting Vice-President, New Brunswick</t>
        </is>
      </c>
      <c r="D3436" t="inlineStr">
        <is>
          <t>Vice-présidente par intérim, Nouveau-Brunswick</t>
        </is>
      </c>
      <c r="E3436" t="inlineStr">
        <is>
          <t>Denise Frenette</t>
        </is>
      </c>
      <c r="F3436" t="inlineStr">
        <is>
          <t>Assignment in Fredericton</t>
        </is>
      </c>
      <c r="G3436" t="inlineStr">
        <is>
          <t>Affectation à Fredericton</t>
        </is>
      </c>
      <c r="H3436" s="1" t="n">
        <v>41457</v>
      </c>
      <c r="I3436" s="1" t="n">
        <v>41467</v>
      </c>
      <c r="J3436" t="inlineStr">
        <is>
          <t>Fredericton, New Brunswick</t>
        </is>
      </c>
      <c r="K3436" t="inlineStr">
        <is>
          <t>Fredericton (Nouveau-Brunswick)</t>
        </is>
      </c>
      <c r="P3436" t="n">
        <v>0</v>
      </c>
      <c r="Q3436" t="n">
        <v>0</v>
      </c>
      <c r="R3436" t="n">
        <v>438</v>
      </c>
      <c r="S3436" t="n">
        <v>460.05</v>
      </c>
      <c r="T3436" t="n">
        <v>0</v>
      </c>
      <c r="U3436" t="n">
        <v>898.05</v>
      </c>
      <c r="X3436" t="inlineStr">
        <is>
          <t>acoa-apeca</t>
        </is>
      </c>
      <c r="Y3436" t="inlineStr">
        <is>
          <t>Atlantic Canada Opportunities Agency | Agence de promotion économique du Canada atlantique</t>
        </is>
      </c>
      <c r="Z3436" t="n">
        <v>11</v>
      </c>
      <c r="AA3436" t="n">
        <v>898.05</v>
      </c>
      <c r="AB3436">
        <f>ROUND(U3436-AA3436,2)</f>
        <v/>
      </c>
      <c r="AC3436" t="b">
        <v>0</v>
      </c>
      <c r="AD3436">
        <f>IF(U3436="","MISSING_TOTAL",IF(ABS(AB3436)&lt;=0.01,"OK","CHECK"))</f>
        <v/>
      </c>
      <c r="AE3436">
        <f>IF(U3436="","MISSING",IF(AND(AA3436&gt;0,U3436/AA3436&gt;50),"POSSIBLE_SCALE_ERROR","OK"))</f>
        <v/>
      </c>
    </row>
    <row r="3437">
      <c r="A3437" t="inlineStr">
        <is>
          <t>T-2014-Q2-00018</t>
        </is>
      </c>
      <c r="B3437" t="inlineStr">
        <is>
          <t>SLE</t>
        </is>
      </c>
      <c r="C3437" t="inlineStr">
        <is>
          <t>Vice President, Nova Scotia</t>
        </is>
      </c>
      <c r="D3437" t="inlineStr">
        <is>
          <t>Vice-président, Nouvelle-Écosse</t>
        </is>
      </c>
      <c r="E3437" t="inlineStr">
        <is>
          <t>Peter Hogan</t>
        </is>
      </c>
      <c r="F3437" t="inlineStr">
        <is>
          <t>Various meetings with Government of Canada and Agency officials</t>
        </is>
      </c>
      <c r="G3437" t="inlineStr">
        <is>
          <t>Diverses réunions avec des fonctionnaires du gouvernement du Canada et de l'Agence</t>
        </is>
      </c>
      <c r="H3437" s="1" t="n">
        <v>41452</v>
      </c>
      <c r="I3437" s="1" t="n">
        <v>41453</v>
      </c>
      <c r="J3437" t="inlineStr">
        <is>
          <t>Ottawa, Ontario</t>
        </is>
      </c>
      <c r="K3437" t="inlineStr">
        <is>
          <t>Ottawa (Ontario)</t>
        </is>
      </c>
      <c r="P3437" t="n">
        <v>492.93</v>
      </c>
      <c r="Q3437" t="n">
        <v>133.2</v>
      </c>
      <c r="R3437" t="n">
        <v>182.73</v>
      </c>
      <c r="S3437" t="n">
        <v>148.9</v>
      </c>
      <c r="T3437" t="n">
        <v>0</v>
      </c>
      <c r="U3437" t="n">
        <v>957.76</v>
      </c>
      <c r="X3437" t="inlineStr">
        <is>
          <t>acoa-apeca</t>
        </is>
      </c>
      <c r="Y3437" t="inlineStr">
        <is>
          <t>Atlantic Canada Opportunities Agency | Agence de promotion économique du Canada atlantique</t>
        </is>
      </c>
      <c r="Z3437" t="n">
        <v>2</v>
      </c>
      <c r="AA3437" t="n">
        <v>957.76</v>
      </c>
      <c r="AB3437">
        <f>ROUND(U3437-AA3437,2)</f>
        <v/>
      </c>
      <c r="AC3437" t="b">
        <v>0</v>
      </c>
      <c r="AD3437">
        <f>IF(U3437="","MISSING_TOTAL",IF(ABS(AB3437)&lt;=0.01,"OK","CHECK"))</f>
        <v/>
      </c>
      <c r="AE3437">
        <f>IF(U3437="","MISSING",IF(AND(AA3437&gt;0,U3437/AA3437&gt;50),"POSSIBLE_SCALE_ERROR","OK"))</f>
        <v/>
      </c>
    </row>
    <row r="3438">
      <c r="A3438" t="inlineStr">
        <is>
          <t>T-2014-Q2-00017</t>
        </is>
      </c>
      <c r="B3438" t="inlineStr">
        <is>
          <t>SLE</t>
        </is>
      </c>
      <c r="C3438" t="inlineStr">
        <is>
          <t>Vice-President, Prince Edward Island</t>
        </is>
      </c>
      <c r="D3438" t="inlineStr">
        <is>
          <t>Vice-président, Île-du-Prince-Édouard</t>
        </is>
      </c>
      <c r="E3438" t="inlineStr">
        <is>
          <t>Patrick Dorsey</t>
        </is>
      </c>
      <c r="F3438" t="inlineStr">
        <is>
          <t>Meeting with ACOA Officials in Ottawa</t>
        </is>
      </c>
      <c r="G3438" t="inlineStr">
        <is>
          <t>Réunion avec des fonctionnaires de l'APECA à Ottawa</t>
        </is>
      </c>
      <c r="H3438" s="1" t="n">
        <v>41449</v>
      </c>
      <c r="I3438" s="1" t="n">
        <v>41450</v>
      </c>
      <c r="J3438" t="inlineStr">
        <is>
          <t>Ottawa, Ontario</t>
        </is>
      </c>
      <c r="K3438" t="inlineStr">
        <is>
          <t>Ottawa (Ontario)</t>
        </is>
      </c>
      <c r="P3438" t="n">
        <v>696.6799999999999</v>
      </c>
      <c r="Q3438" t="n">
        <v>106.5</v>
      </c>
      <c r="R3438" t="n">
        <v>182.73</v>
      </c>
      <c r="S3438" t="n">
        <v>148.9</v>
      </c>
      <c r="T3438" t="n">
        <v>0</v>
      </c>
      <c r="U3438" t="n">
        <v>1134.81</v>
      </c>
      <c r="X3438" t="inlineStr">
        <is>
          <t>acoa-apeca</t>
        </is>
      </c>
      <c r="Y3438" t="inlineStr">
        <is>
          <t>Atlantic Canada Opportunities Agency | Agence de promotion économique du Canada atlantique</t>
        </is>
      </c>
      <c r="Z3438" t="n">
        <v>2</v>
      </c>
      <c r="AA3438" t="n">
        <v>1134.81</v>
      </c>
      <c r="AB3438">
        <f>ROUND(U3438-AA3438,2)</f>
        <v/>
      </c>
      <c r="AC3438" t="b">
        <v>0</v>
      </c>
      <c r="AD3438">
        <f>IF(U3438="","MISSING_TOTAL",IF(ABS(AB3438)&lt;=0.01,"OK","CHECK"))</f>
        <v/>
      </c>
      <c r="AE3438">
        <f>IF(U3438="","MISSING",IF(AND(AA3438&gt;0,U3438/AA3438&gt;50),"POSSIBLE_SCALE_ERROR","OK"))</f>
        <v/>
      </c>
    </row>
    <row r="3439">
      <c r="A3439" t="inlineStr">
        <is>
          <t>T-2014-Q2-00014</t>
        </is>
      </c>
      <c r="B3439" t="inlineStr">
        <is>
          <t>SLE</t>
        </is>
      </c>
      <c r="C3439" t="inlineStr">
        <is>
          <t>Vice-President, Policy and Programs</t>
        </is>
      </c>
      <c r="D3439" t="inlineStr">
        <is>
          <t>Vice-président, Politiques et Programmes</t>
        </is>
      </c>
      <c r="E3439" t="inlineStr">
        <is>
          <t>Daryell Nowlan</t>
        </is>
      </c>
      <c r="F3439" t="inlineStr">
        <is>
          <t>Attending a course and meetings with private sector and provincial officials</t>
        </is>
      </c>
      <c r="G3439" t="inlineStr">
        <is>
          <t>Assister à un cours et à des réunions avec des représentants du secteur privé et des fonctionnaires provinciaux</t>
        </is>
      </c>
      <c r="H3439" s="1" t="n">
        <v>41443</v>
      </c>
      <c r="I3439" s="1" t="n">
        <v>41445</v>
      </c>
      <c r="J3439" t="inlineStr">
        <is>
          <t>Ottawa, Ontario and Halifax, Nova Scotia</t>
        </is>
      </c>
      <c r="K3439" t="inlineStr">
        <is>
          <t>Ottawa (Ontario) et Halifax (Nouvelle-Écosse)</t>
        </is>
      </c>
      <c r="P3439" t="n">
        <v>899.5599999999999</v>
      </c>
      <c r="Q3439" t="n">
        <v>175</v>
      </c>
      <c r="R3439" t="n">
        <v>352.82</v>
      </c>
      <c r="S3439" t="n">
        <v>222.6</v>
      </c>
      <c r="T3439" t="n">
        <v>0</v>
      </c>
      <c r="U3439" t="n">
        <v>1649.98</v>
      </c>
      <c r="X3439" t="inlineStr">
        <is>
          <t>acoa-apeca</t>
        </is>
      </c>
      <c r="Y3439" t="inlineStr">
        <is>
          <t>Atlantic Canada Opportunities Agency | Agence de promotion économique du Canada atlantique</t>
        </is>
      </c>
      <c r="Z3439" t="n">
        <v>3</v>
      </c>
      <c r="AA3439" t="n">
        <v>1649.97999999999</v>
      </c>
      <c r="AB3439">
        <f>ROUND(U3439-AA3439,2)</f>
        <v/>
      </c>
      <c r="AC3439" t="b">
        <v>0</v>
      </c>
      <c r="AD3439">
        <f>IF(U3439="","MISSING_TOTAL",IF(ABS(AB3439)&lt;=0.01,"OK","CHECK"))</f>
        <v/>
      </c>
      <c r="AE3439">
        <f>IF(U3439="","MISSING",IF(AND(AA3439&gt;0,U3439/AA3439&gt;50),"POSSIBLE_SCALE_ERROR","OK"))</f>
        <v/>
      </c>
    </row>
    <row r="3440">
      <c r="A3440" t="inlineStr">
        <is>
          <t>T-2013-Q2-00027</t>
        </is>
      </c>
      <c r="B3440" t="inlineStr">
        <is>
          <t>SLE</t>
        </is>
      </c>
      <c r="C3440" t="inlineStr">
        <is>
          <t>Vice President, Nova Scotia</t>
        </is>
      </c>
      <c r="D3440" t="inlineStr">
        <is>
          <t>Vice-président, Nouvelle-Écosse</t>
        </is>
      </c>
      <c r="E3440" t="inlineStr">
        <is>
          <t>Peter Hogan</t>
        </is>
      </c>
      <c r="F3440" t="inlineStr">
        <is>
          <t>Meeting with Agency officials</t>
        </is>
      </c>
      <c r="G3440" t="inlineStr">
        <is>
          <t>Réunion avec des fonctionnaires de l'Agence</t>
        </is>
      </c>
      <c r="H3440" s="1" t="n">
        <v>41087</v>
      </c>
      <c r="I3440" s="1" t="n">
        <v>41087</v>
      </c>
      <c r="J3440" t="inlineStr">
        <is>
          <t>Moncton, New Brunswick</t>
        </is>
      </c>
      <c r="K3440" t="inlineStr">
        <is>
          <t>Moncton (Nouveau-Brunswick)</t>
        </is>
      </c>
      <c r="P3440" t="n">
        <v>0</v>
      </c>
      <c r="Q3440" t="n">
        <v>267.02</v>
      </c>
      <c r="R3440" t="n">
        <v>0</v>
      </c>
      <c r="S3440" t="n">
        <v>55.7</v>
      </c>
      <c r="T3440" t="n">
        <v>0</v>
      </c>
      <c r="U3440" t="n">
        <v>322.72</v>
      </c>
      <c r="X3440" t="inlineStr">
        <is>
          <t>acoa-apeca</t>
        </is>
      </c>
      <c r="Y3440" t="inlineStr">
        <is>
          <t>Atlantic Canada Opportunities Agency | Agence de promotion économique du Canada atlantique</t>
        </is>
      </c>
      <c r="Z3440" t="n">
        <v>1</v>
      </c>
      <c r="AA3440" t="n">
        <v>322.719999999999</v>
      </c>
      <c r="AB3440">
        <f>ROUND(U3440-AA3440,2)</f>
        <v/>
      </c>
      <c r="AC3440" t="b">
        <v>0</v>
      </c>
      <c r="AD3440">
        <f>IF(U3440="","MISSING_TOTAL",IF(ABS(AB3440)&lt;=0.01,"OK","CHECK"))</f>
        <v/>
      </c>
      <c r="AE3440">
        <f>IF(U3440="","MISSING",IF(AND(AA3440&gt;0,U3440/AA3440&gt;50),"POSSIBLE_SCALE_ERROR","OK"))</f>
        <v/>
      </c>
    </row>
    <row r="3441">
      <c r="A3441" t="inlineStr">
        <is>
          <t>T-2014-Q2-00013</t>
        </is>
      </c>
      <c r="B3441" t="inlineStr">
        <is>
          <t>SLE</t>
        </is>
      </c>
      <c r="C3441" t="inlineStr">
        <is>
          <t>Vice-President, Newfoundland and Labrador</t>
        </is>
      </c>
      <c r="D3441" t="inlineStr">
        <is>
          <t>Vice-président, Terre-Neuve-et-Labrador</t>
        </is>
      </c>
      <c r="E3441" t="inlineStr">
        <is>
          <t>Paul Mills</t>
        </is>
      </c>
      <c r="F3441" t="inlineStr">
        <is>
          <t>Paul Mills visit to Ottawa on June 18-20, 2013 for meetings with Ottawa's Minister's Office</t>
        </is>
      </c>
      <c r="G3441" t="inlineStr">
        <is>
          <t>Visite de Paul Mills à Ottawa du 18 au 20 juin 2013 pour des réunions avec des responsables du Cabinet du ministre</t>
        </is>
      </c>
      <c r="H3441" s="1" t="n">
        <v>41443</v>
      </c>
      <c r="I3441" s="1" t="n">
        <v>41445</v>
      </c>
      <c r="J3441" t="inlineStr">
        <is>
          <t>Ottawa, Ontario</t>
        </is>
      </c>
      <c r="K3441" t="inlineStr">
        <is>
          <t>Ottawa (Ontario)</t>
        </is>
      </c>
      <c r="P3441" t="n">
        <v>1376.74</v>
      </c>
      <c r="Q3441" t="n">
        <v>175</v>
      </c>
      <c r="R3441" t="n">
        <v>344.92</v>
      </c>
      <c r="S3441" t="n">
        <v>227.8</v>
      </c>
      <c r="T3441" t="n">
        <v>10.13</v>
      </c>
      <c r="U3441" t="n">
        <v>2134.59</v>
      </c>
      <c r="X3441" t="inlineStr">
        <is>
          <t>acoa-apeca</t>
        </is>
      </c>
      <c r="Y3441" t="inlineStr">
        <is>
          <t>Atlantic Canada Opportunities Agency | Agence de promotion économique du Canada atlantique</t>
        </is>
      </c>
      <c r="Z3441" t="n">
        <v>3</v>
      </c>
      <c r="AA3441" t="n">
        <v>2134.59</v>
      </c>
      <c r="AB3441">
        <f>ROUND(U3441-AA3441,2)</f>
        <v/>
      </c>
      <c r="AC3441" t="b">
        <v>0</v>
      </c>
      <c r="AD3441">
        <f>IF(U3441="","MISSING_TOTAL",IF(ABS(AB3441)&lt;=0.01,"OK","CHECK"))</f>
        <v/>
      </c>
      <c r="AE3441">
        <f>IF(U3441="","MISSING",IF(AND(AA3441&gt;0,U3441/AA3441&gt;50),"POSSIBLE_SCALE_ERROR","OK"))</f>
        <v/>
      </c>
    </row>
    <row r="3442">
      <c r="A3442" t="inlineStr">
        <is>
          <t>T-2014-Q2-00012</t>
        </is>
      </c>
      <c r="B3442" t="inlineStr">
        <is>
          <t>SLE</t>
        </is>
      </c>
      <c r="C3442" t="inlineStr">
        <is>
          <t>Vice-President, Prince Edward Island</t>
        </is>
      </c>
      <c r="D3442" t="inlineStr">
        <is>
          <t>Vice-président, Île-du-Prince-Édouard</t>
        </is>
      </c>
      <c r="E3442" t="inlineStr">
        <is>
          <t>Patrick Dorsey</t>
        </is>
      </c>
      <c r="F3442" t="inlineStr">
        <is>
          <t>To attend 2013 World Congress on Industrial Biotechnology Conference in Montreal</t>
        </is>
      </c>
      <c r="G3442" t="inlineStr">
        <is>
          <t>Assister au World Congress on Industrial Biotechnology 2013 à Montréal</t>
        </is>
      </c>
      <c r="H3442" s="1" t="n">
        <v>41440</v>
      </c>
      <c r="I3442" s="1" t="n">
        <v>41444</v>
      </c>
      <c r="J3442" t="inlineStr">
        <is>
          <t>Montreal, Quebec</t>
        </is>
      </c>
      <c r="K3442" t="inlineStr">
        <is>
          <t>Montréal (Québec)</t>
        </is>
      </c>
      <c r="P3442" t="n">
        <v>589.17</v>
      </c>
      <c r="Q3442" t="n">
        <v>144</v>
      </c>
      <c r="R3442" t="n">
        <v>661.64</v>
      </c>
      <c r="S3442" t="n">
        <v>330.25</v>
      </c>
      <c r="T3442" t="n">
        <v>0</v>
      </c>
      <c r="U3442" t="n">
        <v>1725.06</v>
      </c>
      <c r="X3442" t="inlineStr">
        <is>
          <t>acoa-apeca</t>
        </is>
      </c>
      <c r="Y3442" t="inlineStr">
        <is>
          <t>Atlantic Canada Opportunities Agency | Agence de promotion économique du Canada atlantique</t>
        </is>
      </c>
      <c r="Z3442" t="n">
        <v>5</v>
      </c>
      <c r="AA3442" t="n">
        <v>1725.06</v>
      </c>
      <c r="AB3442">
        <f>ROUND(U3442-AA3442,2)</f>
        <v/>
      </c>
      <c r="AC3442" t="b">
        <v>0</v>
      </c>
      <c r="AD3442">
        <f>IF(U3442="","MISSING_TOTAL",IF(ABS(AB3442)&lt;=0.01,"OK","CHECK"))</f>
        <v/>
      </c>
      <c r="AE3442">
        <f>IF(U3442="","MISSING",IF(AND(AA3442&gt;0,U3442/AA3442&gt;50),"POSSIBLE_SCALE_ERROR","OK"))</f>
        <v/>
      </c>
    </row>
    <row r="3443">
      <c r="A3443" t="inlineStr">
        <is>
          <t>T-2014-Q2-00011</t>
        </is>
      </c>
      <c r="B3443" t="inlineStr">
        <is>
          <t>SLE</t>
        </is>
      </c>
      <c r="C3443" t="inlineStr">
        <is>
          <t>President</t>
        </is>
      </c>
      <c r="D3443" t="inlineStr">
        <is>
          <t>Président</t>
        </is>
      </c>
      <c r="E3443" t="inlineStr">
        <is>
          <t>Paul J. LeBlanc</t>
        </is>
      </c>
      <c r="F3443" t="inlineStr">
        <is>
          <t>For OECD's (Organisation for Economic Co-Operation and Development) meetings of the Territorial Development Policy Committee (TDPC) and the Working Party on Territorial Indicators and Working Party on Territorial Policy in Urban Areas</t>
        </is>
      </c>
      <c r="G3443" t="inlineStr">
        <is>
          <t>Réunions du Comité des politiques de développement territorial, du Groupe de travail sur les indicateurs territoriaux et du Groupe de travail sur les politiques territoriales dans les zones urbaines de l'OCDE</t>
        </is>
      </c>
      <c r="H3443" s="1" t="n">
        <v>41439</v>
      </c>
      <c r="I3443" s="1" t="n">
        <v>41443</v>
      </c>
      <c r="J3443" t="inlineStr">
        <is>
          <t>Paris, France</t>
        </is>
      </c>
      <c r="K3443" t="inlineStr">
        <is>
          <t>Paris (France)</t>
        </is>
      </c>
      <c r="P3443" t="n">
        <v>8995.389999999999</v>
      </c>
      <c r="Q3443" t="n">
        <v>209.88</v>
      </c>
      <c r="R3443" t="n">
        <v>858.17</v>
      </c>
      <c r="S3443" t="n">
        <v>759.64</v>
      </c>
      <c r="T3443" t="n">
        <v>5</v>
      </c>
      <c r="U3443" t="n">
        <v>10828.08</v>
      </c>
      <c r="X3443" t="inlineStr">
        <is>
          <t>acoa-apeca</t>
        </is>
      </c>
      <c r="Y3443" t="inlineStr">
        <is>
          <t>Atlantic Canada Opportunities Agency | Agence de promotion économique du Canada atlantique</t>
        </is>
      </c>
      <c r="Z3443" t="n">
        <v>5</v>
      </c>
      <c r="AA3443" t="n">
        <v>10828.0799999999</v>
      </c>
      <c r="AB3443">
        <f>ROUND(U3443-AA3443,2)</f>
        <v/>
      </c>
      <c r="AC3443" t="b">
        <v>0</v>
      </c>
      <c r="AD3443">
        <f>IF(U3443="","MISSING_TOTAL",IF(ABS(AB3443)&lt;=0.01,"OK","CHECK"))</f>
        <v/>
      </c>
      <c r="AE3443">
        <f>IF(U3443="","MISSING",IF(AND(AA3443&gt;0,U3443/AA3443&gt;50),"POSSIBLE_SCALE_ERROR","OK"))</f>
        <v/>
      </c>
    </row>
    <row r="3444">
      <c r="A3444" t="inlineStr">
        <is>
          <t>T-2014-Q2-00010</t>
        </is>
      </c>
      <c r="B3444" t="inlineStr">
        <is>
          <t>SLE</t>
        </is>
      </c>
      <c r="C3444" t="inlineStr">
        <is>
          <t>Acting Vice-President, New Brunswick</t>
        </is>
      </c>
      <c r="D3444" t="inlineStr">
        <is>
          <t>Vice-présidente par intérim, Nouveau-Brunswick</t>
        </is>
      </c>
      <c r="E3444" t="inlineStr">
        <is>
          <t>Denise Frenette</t>
        </is>
      </c>
      <c r="F3444" t="inlineStr">
        <is>
          <t>Executive Committee meeting</t>
        </is>
      </c>
      <c r="G3444" t="inlineStr">
        <is>
          <t>Réunion du Comité de direction</t>
        </is>
      </c>
      <c r="H3444" s="1" t="n">
        <v>41438</v>
      </c>
      <c r="I3444" s="1" t="n">
        <v>41438</v>
      </c>
      <c r="J3444" t="inlineStr">
        <is>
          <t>Moncton, New Brunswick</t>
        </is>
      </c>
      <c r="K3444" t="inlineStr">
        <is>
          <t>Moncton (Nouveau-Brunswick)</t>
        </is>
      </c>
      <c r="P3444" t="n">
        <v>0</v>
      </c>
      <c r="Q3444" t="n">
        <v>0</v>
      </c>
      <c r="R3444" t="n">
        <v>0</v>
      </c>
      <c r="S3444" t="n">
        <v>0</v>
      </c>
      <c r="T3444" t="n">
        <v>24</v>
      </c>
      <c r="U3444" t="n">
        <v>24</v>
      </c>
      <c r="X3444" t="inlineStr">
        <is>
          <t>acoa-apeca</t>
        </is>
      </c>
      <c r="Y3444" t="inlineStr">
        <is>
          <t>Atlantic Canada Opportunities Agency | Agence de promotion économique du Canada atlantique</t>
        </is>
      </c>
      <c r="Z3444" t="n">
        <v>1</v>
      </c>
      <c r="AA3444" t="n">
        <v>24</v>
      </c>
      <c r="AB3444">
        <f>ROUND(U3444-AA3444,2)</f>
        <v/>
      </c>
      <c r="AC3444" t="b">
        <v>0</v>
      </c>
      <c r="AD3444">
        <f>IF(U3444="","MISSING_TOTAL",IF(ABS(AB3444)&lt;=0.01,"OK","CHECK"))</f>
        <v/>
      </c>
      <c r="AE3444">
        <f>IF(U3444="","MISSING",IF(AND(AA3444&gt;0,U3444/AA3444&gt;50),"POSSIBLE_SCALE_ERROR","OK"))</f>
        <v/>
      </c>
    </row>
    <row r="3445">
      <c r="A3445" t="inlineStr">
        <is>
          <t>T-2014-Q2-00009</t>
        </is>
      </c>
      <c r="B3445" t="inlineStr">
        <is>
          <t>SLE</t>
        </is>
      </c>
      <c r="C3445" t="inlineStr">
        <is>
          <t>Vice President, Nova Scotia</t>
        </is>
      </c>
      <c r="D3445" t="inlineStr">
        <is>
          <t>Vice-président, Nouvelle-Écosse</t>
        </is>
      </c>
      <c r="E3445" t="inlineStr">
        <is>
          <t>Peter Hogan</t>
        </is>
      </c>
      <c r="F3445" t="inlineStr">
        <is>
          <t>Meeting with senior Agency officials</t>
        </is>
      </c>
      <c r="G3445" t="inlineStr">
        <is>
          <t>Réunion avec des hauts fonctionnaires de l'Agence</t>
        </is>
      </c>
      <c r="H3445" s="1" t="n">
        <v>41437</v>
      </c>
      <c r="I3445" s="1" t="n">
        <v>41438</v>
      </c>
      <c r="J3445" t="inlineStr">
        <is>
          <t>Moncton, New Brunswick</t>
        </is>
      </c>
      <c r="K3445" t="inlineStr">
        <is>
          <t>Moncton (Nouveau-Brunswick)</t>
        </is>
      </c>
      <c r="P3445" t="n">
        <v>0</v>
      </c>
      <c r="Q3445" t="n">
        <v>14.69</v>
      </c>
      <c r="R3445" t="n">
        <v>134.47</v>
      </c>
      <c r="S3445" t="n">
        <v>133.25</v>
      </c>
      <c r="T3445" t="n">
        <v>0</v>
      </c>
      <c r="U3445" t="n">
        <v>282.41</v>
      </c>
      <c r="X3445" t="inlineStr">
        <is>
          <t>acoa-apeca</t>
        </is>
      </c>
      <c r="Y3445" t="inlineStr">
        <is>
          <t>Atlantic Canada Opportunities Agency | Agence de promotion économique du Canada atlantique</t>
        </is>
      </c>
      <c r="Z3445" t="n">
        <v>2</v>
      </c>
      <c r="AA3445" t="n">
        <v>282.409999999999</v>
      </c>
      <c r="AB3445">
        <f>ROUND(U3445-AA3445,2)</f>
        <v/>
      </c>
      <c r="AC3445" t="b">
        <v>0</v>
      </c>
      <c r="AD3445">
        <f>IF(U3445="","MISSING_TOTAL",IF(ABS(AB3445)&lt;=0.01,"OK","CHECK"))</f>
        <v/>
      </c>
      <c r="AE3445">
        <f>IF(U3445="","MISSING",IF(AND(AA3445&gt;0,U3445/AA3445&gt;50),"POSSIBLE_SCALE_ERROR","OK"))</f>
        <v/>
      </c>
    </row>
    <row r="3446">
      <c r="A3446" t="inlineStr">
        <is>
          <t>T-2014-Q2-00007</t>
        </is>
      </c>
      <c r="B3446" t="inlineStr">
        <is>
          <t>SLE</t>
        </is>
      </c>
      <c r="C3446" t="inlineStr">
        <is>
          <t>Vice-President, Prince Edward Island</t>
        </is>
      </c>
      <c r="D3446" t="inlineStr">
        <is>
          <t>Vice-président, Île-du-Prince-Édouard</t>
        </is>
      </c>
      <c r="E3446" t="inlineStr">
        <is>
          <t>Patrick Dorsey</t>
        </is>
      </c>
      <c r="F3446" t="inlineStr">
        <is>
          <t>To attend an Executive Committee meeting</t>
        </is>
      </c>
      <c r="G3446" t="inlineStr">
        <is>
          <t>Assister à une réunion du Comité de direction</t>
        </is>
      </c>
      <c r="H3446" s="1" t="n">
        <v>41437</v>
      </c>
      <c r="I3446" s="1" t="n">
        <v>41438</v>
      </c>
      <c r="J3446" t="inlineStr">
        <is>
          <t>Moncton, New Brunswick</t>
        </is>
      </c>
      <c r="K3446" t="inlineStr">
        <is>
          <t>Moncton (Nouveau-Brunswick)</t>
        </is>
      </c>
      <c r="P3446" t="n">
        <v>0</v>
      </c>
      <c r="Q3446" t="n">
        <v>44.5</v>
      </c>
      <c r="R3446" t="n">
        <v>134.47</v>
      </c>
      <c r="S3446" t="n">
        <v>118.1</v>
      </c>
      <c r="T3446" t="n">
        <v>0</v>
      </c>
      <c r="U3446" t="n">
        <v>297.07</v>
      </c>
      <c r="X3446" t="inlineStr">
        <is>
          <t>acoa-apeca</t>
        </is>
      </c>
      <c r="Y3446" t="inlineStr">
        <is>
          <t>Atlantic Canada Opportunities Agency | Agence de promotion économique du Canada atlantique</t>
        </is>
      </c>
      <c r="Z3446" t="n">
        <v>2</v>
      </c>
      <c r="AA3446" t="n">
        <v>297.07</v>
      </c>
      <c r="AB3446">
        <f>ROUND(U3446-AA3446,2)</f>
        <v/>
      </c>
      <c r="AC3446" t="b">
        <v>0</v>
      </c>
      <c r="AD3446">
        <f>IF(U3446="","MISSING_TOTAL",IF(ABS(AB3446)&lt;=0.01,"OK","CHECK"))</f>
        <v/>
      </c>
      <c r="AE3446">
        <f>IF(U3446="","MISSING",IF(AND(AA3446&gt;0,U3446/AA3446&gt;50),"POSSIBLE_SCALE_ERROR","OK"))</f>
        <v/>
      </c>
    </row>
    <row r="3447">
      <c r="A3447" t="inlineStr">
        <is>
          <t>T-2014-Q2-00006</t>
        </is>
      </c>
      <c r="B3447" t="inlineStr">
        <is>
          <t>SLE</t>
        </is>
      </c>
      <c r="C3447" t="inlineStr">
        <is>
          <t>Vice-President, Newfoundland and Labrador</t>
        </is>
      </c>
      <c r="D3447" t="inlineStr">
        <is>
          <t>Vice-président, Terre-Neuve-et-Labrador</t>
        </is>
      </c>
      <c r="E3447" t="inlineStr">
        <is>
          <t>Paul Mills</t>
        </is>
      </c>
      <c r="F3447" t="inlineStr">
        <is>
          <t>EXCOM Meeting in Moncton, New Brunswick</t>
        </is>
      </c>
      <c r="G3447" t="inlineStr">
        <is>
          <t>Réunion du Comité de direction à Moncton (Nouveau-Brunswick)</t>
        </is>
      </c>
      <c r="H3447" s="1" t="n">
        <v>41437</v>
      </c>
      <c r="I3447" s="1" t="n">
        <v>41439</v>
      </c>
      <c r="J3447" t="inlineStr">
        <is>
          <t>Moncton, New Brunswick</t>
        </is>
      </c>
      <c r="K3447" t="inlineStr">
        <is>
          <t>Moncton (Nouveau-Brunswick)</t>
        </is>
      </c>
      <c r="P3447" t="n">
        <v>1376.74</v>
      </c>
      <c r="Q3447" t="n">
        <v>191.16</v>
      </c>
      <c r="R3447" t="n">
        <v>226</v>
      </c>
      <c r="S3447" t="n">
        <v>223.6</v>
      </c>
      <c r="T3447" t="n">
        <v>36.15</v>
      </c>
      <c r="U3447" t="n">
        <v>2053.65</v>
      </c>
      <c r="X3447" t="inlineStr">
        <is>
          <t>acoa-apeca</t>
        </is>
      </c>
      <c r="Y3447" t="inlineStr">
        <is>
          <t>Atlantic Canada Opportunities Agency | Agence de promotion économique du Canada atlantique</t>
        </is>
      </c>
      <c r="Z3447" t="n">
        <v>3</v>
      </c>
      <c r="AA3447" t="n">
        <v>2053.65</v>
      </c>
      <c r="AB3447">
        <f>ROUND(U3447-AA3447,2)</f>
        <v/>
      </c>
      <c r="AC3447" t="b">
        <v>0</v>
      </c>
      <c r="AD3447">
        <f>IF(U3447="","MISSING_TOTAL",IF(ABS(AB3447)&lt;=0.01,"OK","CHECK"))</f>
        <v/>
      </c>
      <c r="AE3447">
        <f>IF(U3447="","MISSING",IF(AND(AA3447&gt;0,U3447/AA3447&gt;50),"POSSIBLE_SCALE_ERROR","OK"))</f>
        <v/>
      </c>
    </row>
    <row r="3448">
      <c r="A3448" t="inlineStr">
        <is>
          <t>T-2013-Q2-00062</t>
        </is>
      </c>
      <c r="B3448" t="inlineStr">
        <is>
          <t>SLE</t>
        </is>
      </c>
      <c r="C3448" t="inlineStr">
        <is>
          <t>Vice-President, New Brunswick</t>
        </is>
      </c>
      <c r="D3448" t="inlineStr">
        <is>
          <t>Vice-présidente, Nouveau-Brunswick</t>
        </is>
      </c>
      <c r="E3448" t="inlineStr">
        <is>
          <t>Janet Gagnon</t>
        </is>
      </c>
      <c r="F3448" t="inlineStr">
        <is>
          <t>Meeting with the President in Moncton</t>
        </is>
      </c>
      <c r="G3448" t="inlineStr">
        <is>
          <t>Rencontre avec le président à Moncton</t>
        </is>
      </c>
      <c r="H3448" s="1" t="n">
        <v>41150</v>
      </c>
      <c r="I3448" s="1" t="n">
        <v>41151</v>
      </c>
      <c r="J3448" t="inlineStr">
        <is>
          <t>Moncton, New Brunswick</t>
        </is>
      </c>
      <c r="K3448" t="inlineStr">
        <is>
          <t>Moncton (Nouveau-Brunswick)</t>
        </is>
      </c>
      <c r="P3448" t="n">
        <v>0</v>
      </c>
      <c r="Q3448" t="n">
        <v>0</v>
      </c>
      <c r="R3448" t="n">
        <v>162.72</v>
      </c>
      <c r="S3448" t="n">
        <v>90.3</v>
      </c>
      <c r="T3448" t="n">
        <v>14.13</v>
      </c>
      <c r="U3448" t="n">
        <v>267.15</v>
      </c>
      <c r="X3448" t="inlineStr">
        <is>
          <t>acoa-apeca</t>
        </is>
      </c>
      <c r="Y3448" t="inlineStr">
        <is>
          <t>Atlantic Canada Opportunities Agency | Agence de promotion économique du Canada atlantique</t>
        </is>
      </c>
      <c r="Z3448" t="n">
        <v>2</v>
      </c>
      <c r="AA3448" t="n">
        <v>267.15</v>
      </c>
      <c r="AB3448">
        <f>ROUND(U3448-AA3448,2)</f>
        <v/>
      </c>
      <c r="AC3448" t="b">
        <v>0</v>
      </c>
      <c r="AD3448">
        <f>IF(U3448="","MISSING_TOTAL",IF(ABS(AB3448)&lt;=0.01,"OK","CHECK"))</f>
        <v/>
      </c>
      <c r="AE3448">
        <f>IF(U3448="","MISSING",IF(AND(AA3448&gt;0,U3448/AA3448&gt;50),"POSSIBLE_SCALE_ERROR","OK"))</f>
        <v/>
      </c>
    </row>
    <row r="3449">
      <c r="A3449" t="inlineStr">
        <is>
          <t>T-2014-Q2-00005</t>
        </is>
      </c>
      <c r="B3449" t="inlineStr">
        <is>
          <t>SLE</t>
        </is>
      </c>
      <c r="C3449" t="inlineStr">
        <is>
          <t>President</t>
        </is>
      </c>
      <c r="D3449" t="inlineStr">
        <is>
          <t>Président</t>
        </is>
      </c>
      <c r="E3449" t="inlineStr">
        <is>
          <t>Paul J. LeBlanc</t>
        </is>
      </c>
      <c r="F3449" t="inlineStr">
        <is>
          <t>For various  meetings and discussions with: Agency officials; with Government of Canada officials</t>
        </is>
      </c>
      <c r="G3449" t="inlineStr">
        <is>
          <t>Diverses réunions et discussions avec des fonctionnaires de l'Agence et du gouvernement du Canada</t>
        </is>
      </c>
      <c r="H3449" s="1" t="n">
        <v>41435</v>
      </c>
      <c r="I3449" s="1" t="n">
        <v>41437</v>
      </c>
      <c r="J3449" t="inlineStr">
        <is>
          <t>Ottawa, Ontario</t>
        </is>
      </c>
      <c r="K3449" t="inlineStr">
        <is>
          <t>Ottawa (Ontario)</t>
        </is>
      </c>
      <c r="P3449" t="n">
        <v>741.74</v>
      </c>
      <c r="Q3449" t="n">
        <v>0</v>
      </c>
      <c r="R3449" t="n">
        <v>393.4</v>
      </c>
      <c r="S3449" t="n">
        <v>181.35</v>
      </c>
      <c r="T3449" t="n">
        <v>1.81</v>
      </c>
      <c r="U3449" t="n">
        <v>1318.3</v>
      </c>
      <c r="X3449" t="inlineStr">
        <is>
          <t>acoa-apeca</t>
        </is>
      </c>
      <c r="Y3449" t="inlineStr">
        <is>
          <t>Atlantic Canada Opportunities Agency | Agence de promotion économique du Canada atlantique</t>
        </is>
      </c>
      <c r="Z3449" t="n">
        <v>3</v>
      </c>
      <c r="AA3449" t="n">
        <v>1318.29999999999</v>
      </c>
      <c r="AB3449">
        <f>ROUND(U3449-AA3449,2)</f>
        <v/>
      </c>
      <c r="AC3449" t="b">
        <v>0</v>
      </c>
      <c r="AD3449">
        <f>IF(U3449="","MISSING_TOTAL",IF(ABS(AB3449)&lt;=0.01,"OK","CHECK"))</f>
        <v/>
      </c>
      <c r="AE3449">
        <f>IF(U3449="","MISSING",IF(AND(AA3449&gt;0,U3449/AA3449&gt;50),"POSSIBLE_SCALE_ERROR","OK"))</f>
        <v/>
      </c>
    </row>
    <row r="3450">
      <c r="A3450" t="inlineStr">
        <is>
          <t>T-2014-Q2-00004</t>
        </is>
      </c>
      <c r="B3450" t="inlineStr">
        <is>
          <t>SLE</t>
        </is>
      </c>
      <c r="C3450" t="inlineStr">
        <is>
          <t>Acting Vice-President, Finance and Corporate Services</t>
        </is>
      </c>
      <c r="D3450" t="inlineStr">
        <is>
          <t>Vice-président par intérim, Finances et Services corporatifs</t>
        </is>
      </c>
      <c r="E3450" t="inlineStr">
        <is>
          <t>Kent Estabrooks</t>
        </is>
      </c>
      <c r="F3450" t="inlineStr">
        <is>
          <t>Meetings with Government of Canada officials</t>
        </is>
      </c>
      <c r="G3450" t="inlineStr">
        <is>
          <t>Réunions avec des fonctionnaires du gouvernement du Canada</t>
        </is>
      </c>
      <c r="H3450" s="1" t="n">
        <v>41430</v>
      </c>
      <c r="I3450" s="1" t="n">
        <v>41432</v>
      </c>
      <c r="J3450" t="inlineStr">
        <is>
          <t>Ottawa, Ontario</t>
        </is>
      </c>
      <c r="K3450" t="inlineStr">
        <is>
          <t>Ottawa (Ontario)</t>
        </is>
      </c>
      <c r="P3450" t="n">
        <v>820</v>
      </c>
      <c r="Q3450" t="n">
        <v>156</v>
      </c>
      <c r="R3450" t="n">
        <v>366.46</v>
      </c>
      <c r="S3450" t="n">
        <v>207.45</v>
      </c>
      <c r="T3450" t="n">
        <v>0</v>
      </c>
      <c r="U3450" t="n">
        <v>1549.91</v>
      </c>
      <c r="X3450" t="inlineStr">
        <is>
          <t>acoa-apeca</t>
        </is>
      </c>
      <c r="Y3450" t="inlineStr">
        <is>
          <t>Atlantic Canada Opportunities Agency | Agence de promotion économique du Canada atlantique</t>
        </is>
      </c>
      <c r="Z3450" t="n">
        <v>3</v>
      </c>
      <c r="AA3450" t="n">
        <v>1549.91</v>
      </c>
      <c r="AB3450">
        <f>ROUND(U3450-AA3450,2)</f>
        <v/>
      </c>
      <c r="AC3450" t="b">
        <v>0</v>
      </c>
      <c r="AD3450">
        <f>IF(U3450="","MISSING_TOTAL",IF(ABS(AB3450)&lt;=0.01,"OK","CHECK"))</f>
        <v/>
      </c>
      <c r="AE3450">
        <f>IF(U3450="","MISSING",IF(AND(AA3450&gt;0,U3450/AA3450&gt;50),"POSSIBLE_SCALE_ERROR","OK"))</f>
        <v/>
      </c>
    </row>
    <row r="3451">
      <c r="A3451" t="inlineStr">
        <is>
          <t>T-2014-Q2-00003</t>
        </is>
      </c>
      <c r="B3451" t="inlineStr">
        <is>
          <t>SLE</t>
        </is>
      </c>
      <c r="C3451" t="inlineStr">
        <is>
          <t>Acting Vice-President, New Brunswick</t>
        </is>
      </c>
      <c r="D3451" t="inlineStr">
        <is>
          <t>Vice-présidente par intérim, Nouveau-Brunswick</t>
        </is>
      </c>
      <c r="E3451" t="inlineStr">
        <is>
          <t>Denise Frenette</t>
        </is>
      </c>
      <c r="F3451" t="inlineStr">
        <is>
          <t>Meeting with client in Saint John</t>
        </is>
      </c>
      <c r="G3451" t="inlineStr">
        <is>
          <t>Réunion avec un client à Saint John</t>
        </is>
      </c>
      <c r="H3451" s="1" t="n">
        <v>41429</v>
      </c>
      <c r="I3451" s="1" t="n">
        <v>41429</v>
      </c>
      <c r="J3451" t="inlineStr">
        <is>
          <t>Saint John, New Brunswick</t>
        </is>
      </c>
      <c r="K3451" t="inlineStr">
        <is>
          <t>Saint John (Nouveau-Brunswick)</t>
        </is>
      </c>
      <c r="P3451" t="n">
        <v>0</v>
      </c>
      <c r="Q3451" t="n">
        <v>0</v>
      </c>
      <c r="R3451" t="n">
        <v>0</v>
      </c>
      <c r="S3451" t="n">
        <v>15.15</v>
      </c>
      <c r="T3451" t="n">
        <v>0</v>
      </c>
      <c r="U3451" t="n">
        <v>15.15</v>
      </c>
      <c r="X3451" t="inlineStr">
        <is>
          <t>acoa-apeca</t>
        </is>
      </c>
      <c r="Y3451" t="inlineStr">
        <is>
          <t>Atlantic Canada Opportunities Agency | Agence de promotion économique du Canada atlantique</t>
        </is>
      </c>
      <c r="Z3451" t="n">
        <v>1</v>
      </c>
      <c r="AA3451" t="n">
        <v>15.15</v>
      </c>
      <c r="AB3451">
        <f>ROUND(U3451-AA3451,2)</f>
        <v/>
      </c>
      <c r="AC3451" t="b">
        <v>0</v>
      </c>
      <c r="AD3451">
        <f>IF(U3451="","MISSING_TOTAL",IF(ABS(AB3451)&lt;=0.01,"OK","CHECK"))</f>
        <v/>
      </c>
      <c r="AE3451">
        <f>IF(U3451="","MISSING",IF(AND(AA3451&gt;0,U3451/AA3451&gt;50),"POSSIBLE_SCALE_ERROR","OK"))</f>
        <v/>
      </c>
    </row>
    <row r="3452">
      <c r="A3452" t="inlineStr">
        <is>
          <t>T-2014-Q2-00002</t>
        </is>
      </c>
      <c r="B3452" t="inlineStr">
        <is>
          <t>SLE</t>
        </is>
      </c>
      <c r="C3452" t="inlineStr">
        <is>
          <t>Acting Vice-President, New Brunswick</t>
        </is>
      </c>
      <c r="D3452" t="inlineStr">
        <is>
          <t>Vice-présidente par intérim, Nouveau-Brunswick</t>
        </is>
      </c>
      <c r="E3452" t="inlineStr">
        <is>
          <t>Denise Frenette</t>
        </is>
      </c>
      <c r="F3452" t="inlineStr">
        <is>
          <t>Meeting with government officials from Head Office</t>
        </is>
      </c>
      <c r="G3452" t="inlineStr">
        <is>
          <t>Réunion avec des fonctionnaires du siège social</t>
        </is>
      </c>
      <c r="H3452" s="1" t="n">
        <v>41428</v>
      </c>
      <c r="I3452" s="1" t="n">
        <v>41428</v>
      </c>
      <c r="J3452" t="inlineStr">
        <is>
          <t>Moncton, New Brunswick</t>
        </is>
      </c>
      <c r="K3452" t="inlineStr">
        <is>
          <t>Moncton (Nouveau-Brunswick)</t>
        </is>
      </c>
      <c r="P3452" t="n">
        <v>0</v>
      </c>
      <c r="Q3452" t="n">
        <v>0</v>
      </c>
      <c r="R3452" t="n">
        <v>0</v>
      </c>
      <c r="S3452" t="n">
        <v>0</v>
      </c>
      <c r="T3452" t="n">
        <v>6</v>
      </c>
      <c r="U3452" t="n">
        <v>6</v>
      </c>
      <c r="X3452" t="inlineStr">
        <is>
          <t>acoa-apeca</t>
        </is>
      </c>
      <c r="Y3452" t="inlineStr">
        <is>
          <t>Atlantic Canada Opportunities Agency | Agence de promotion économique du Canada atlantique</t>
        </is>
      </c>
      <c r="Z3452" t="n">
        <v>1</v>
      </c>
      <c r="AA3452" t="n">
        <v>6</v>
      </c>
      <c r="AB3452">
        <f>ROUND(U3452-AA3452,2)</f>
        <v/>
      </c>
      <c r="AC3452" t="b">
        <v>0</v>
      </c>
      <c r="AD3452">
        <f>IF(U3452="","MISSING_TOTAL",IF(ABS(AB3452)&lt;=0.01,"OK","CHECK"))</f>
        <v/>
      </c>
      <c r="AE3452">
        <f>IF(U3452="","MISSING",IF(AND(AA3452&gt;0,U3452/AA3452&gt;50),"POSSIBLE_SCALE_ERROR","OK"))</f>
        <v/>
      </c>
    </row>
    <row r="3453">
      <c r="A3453" t="inlineStr">
        <is>
          <t>T-2014-Q2-00001</t>
        </is>
      </c>
      <c r="B3453" t="inlineStr">
        <is>
          <t>SLE</t>
        </is>
      </c>
      <c r="C3453" t="inlineStr">
        <is>
          <t>President</t>
        </is>
      </c>
      <c r="D3453" t="inlineStr">
        <is>
          <t>Président</t>
        </is>
      </c>
      <c r="E3453" t="inlineStr">
        <is>
          <t>Paul J. LeBlanc</t>
        </is>
      </c>
      <c r="F3453" t="inlineStr">
        <is>
          <t>For various meetings and discussions with: Agency officials; with Government of Canada officials</t>
        </is>
      </c>
      <c r="G3453" t="inlineStr">
        <is>
          <t>Diverses réunions et discussions avec des fonctionnaires de l'Agence et du gouvernement du Canada</t>
        </is>
      </c>
      <c r="H3453" s="1" t="n">
        <v>41428</v>
      </c>
      <c r="I3453" s="1" t="n">
        <v>41430</v>
      </c>
      <c r="J3453" t="inlineStr">
        <is>
          <t>Ottawa, Ontario</t>
        </is>
      </c>
      <c r="K3453" t="inlineStr">
        <is>
          <t>Ottawa (Ontario)</t>
        </is>
      </c>
      <c r="P3453" t="n">
        <v>741.74</v>
      </c>
      <c r="Q3453" t="n">
        <v>12.87</v>
      </c>
      <c r="R3453" t="n">
        <v>393.4</v>
      </c>
      <c r="S3453" t="n">
        <v>181.35</v>
      </c>
      <c r="T3453" t="n">
        <v>32</v>
      </c>
      <c r="U3453" t="n">
        <v>1361.36</v>
      </c>
      <c r="X3453" t="inlineStr">
        <is>
          <t>acoa-apeca</t>
        </is>
      </c>
      <c r="Y3453" t="inlineStr">
        <is>
          <t>Atlantic Canada Opportunities Agency | Agence de promotion économique du Canada atlantique</t>
        </is>
      </c>
      <c r="Z3453" t="n">
        <v>3</v>
      </c>
      <c r="AA3453" t="n">
        <v>1361.36</v>
      </c>
      <c r="AB3453">
        <f>ROUND(U3453-AA3453,2)</f>
        <v/>
      </c>
      <c r="AC3453" t="b">
        <v>0</v>
      </c>
      <c r="AD3453">
        <f>IF(U3453="","MISSING_TOTAL",IF(ABS(AB3453)&lt;=0.01,"OK","CHECK"))</f>
        <v/>
      </c>
      <c r="AE3453">
        <f>IF(U3453="","MISSING",IF(AND(AA3453&gt;0,U3453/AA3453&gt;50),"POSSIBLE_SCALE_ERROR","OK"))</f>
        <v/>
      </c>
    </row>
    <row r="3454">
      <c r="A3454" t="inlineStr">
        <is>
          <t>T-2014-Q1-00062</t>
        </is>
      </c>
      <c r="B3454" t="inlineStr">
        <is>
          <t>SLE</t>
        </is>
      </c>
      <c r="C3454" t="inlineStr">
        <is>
          <t>Vice-President, Prince Edward Island</t>
        </is>
      </c>
      <c r="D3454" t="inlineStr">
        <is>
          <t>Vice-président, Île-du-Prince-Édouard</t>
        </is>
      </c>
      <c r="E3454" t="inlineStr">
        <is>
          <t>Patrick Dorsey</t>
        </is>
      </c>
      <c r="F3454" t="inlineStr">
        <is>
          <t>To attend 4Front Conference and meetings with Government of Canada officials in Halifax</t>
        </is>
      </c>
      <c r="G3454" t="inlineStr">
        <is>
          <t>Assister à la conférence Atlantique à l'avant-garde et à des réunions avec des fonctionnaires du gouvernement fédéral à Halifax</t>
        </is>
      </c>
      <c r="H3454" s="1" t="n">
        <v>41423</v>
      </c>
      <c r="I3454" s="1" t="n">
        <v>41425</v>
      </c>
      <c r="J3454" t="inlineStr">
        <is>
          <t>Halifax, Nova Scotia</t>
        </is>
      </c>
      <c r="K3454" t="inlineStr">
        <is>
          <t>Halifax (Nouvelle-Écosse)</t>
        </is>
      </c>
      <c r="P3454" t="n">
        <v>0</v>
      </c>
      <c r="Q3454" t="n">
        <v>100.38</v>
      </c>
      <c r="R3454" t="n">
        <v>349.56</v>
      </c>
      <c r="S3454" t="n">
        <v>135.4</v>
      </c>
      <c r="T3454" t="n">
        <v>0</v>
      </c>
      <c r="U3454" t="n">
        <v>585.34</v>
      </c>
      <c r="X3454" t="inlineStr">
        <is>
          <t>acoa-apeca</t>
        </is>
      </c>
      <c r="Y3454" t="inlineStr">
        <is>
          <t>Atlantic Canada Opportunities Agency | Agence de promotion économique du Canada atlantique</t>
        </is>
      </c>
      <c r="Z3454" t="n">
        <v>3</v>
      </c>
      <c r="AA3454" t="n">
        <v>585.34</v>
      </c>
      <c r="AB3454">
        <f>ROUND(U3454-AA3454,2)</f>
        <v/>
      </c>
      <c r="AC3454" t="b">
        <v>0</v>
      </c>
      <c r="AD3454">
        <f>IF(U3454="","MISSING_TOTAL",IF(ABS(AB3454)&lt;=0.01,"OK","CHECK"))</f>
        <v/>
      </c>
      <c r="AE3454">
        <f>IF(U3454="","MISSING",IF(AND(AA3454&gt;0,U3454/AA3454&gt;50),"POSSIBLE_SCALE_ERROR","OK"))</f>
        <v/>
      </c>
    </row>
    <row r="3455">
      <c r="A3455" t="inlineStr">
        <is>
          <t>T-2014-Q1-00060</t>
        </is>
      </c>
      <c r="B3455" t="inlineStr">
        <is>
          <t>SLE</t>
        </is>
      </c>
      <c r="C3455" t="inlineStr">
        <is>
          <t>President</t>
        </is>
      </c>
      <c r="D3455" t="inlineStr">
        <is>
          <t>Président</t>
        </is>
      </c>
      <c r="E3455" t="inlineStr">
        <is>
          <t>Paul J. LeBlanc</t>
        </is>
      </c>
      <c r="F3455" t="inlineStr">
        <is>
          <t>For various meetings and discussions with: Agency officials; with Government of Canada officials; to attend the 4Front Atlantic Conference</t>
        </is>
      </c>
      <c r="G3455" t="inlineStr">
        <is>
          <t>Diverses réunions et discussions avec des fonctionnaires de l'Agence et du gouvernement du Canada; assister à la conférence Atlantique à l'avant-garde</t>
        </is>
      </c>
      <c r="H3455" s="1" t="n">
        <v>41421</v>
      </c>
      <c r="I3455" s="1" t="n">
        <v>41425</v>
      </c>
      <c r="J3455" t="inlineStr">
        <is>
          <t>Charlottetown, Prince Edward Island and Halifax, Nova Scotia</t>
        </is>
      </c>
      <c r="K3455" t="inlineStr">
        <is>
          <t>Charlottetown (Île-du-Prince-Édouard) et Halifax (Nouvelle-Écosse)</t>
        </is>
      </c>
      <c r="P3455" t="n">
        <v>0</v>
      </c>
      <c r="Q3455" t="n">
        <v>0</v>
      </c>
      <c r="R3455" t="n">
        <v>711.0700000000001</v>
      </c>
      <c r="S3455" t="n">
        <v>289.5</v>
      </c>
      <c r="T3455" t="n">
        <v>0</v>
      </c>
      <c r="U3455" t="n">
        <v>1000.57</v>
      </c>
      <c r="X3455" t="inlineStr">
        <is>
          <t>acoa-apeca</t>
        </is>
      </c>
      <c r="Y3455" t="inlineStr">
        <is>
          <t>Atlantic Canada Opportunities Agency | Agence de promotion économique du Canada atlantique</t>
        </is>
      </c>
      <c r="Z3455" t="n">
        <v>5</v>
      </c>
      <c r="AA3455" t="n">
        <v>1000.57</v>
      </c>
      <c r="AB3455">
        <f>ROUND(U3455-AA3455,2)</f>
        <v/>
      </c>
      <c r="AC3455" t="b">
        <v>0</v>
      </c>
      <c r="AD3455">
        <f>IF(U3455="","MISSING_TOTAL",IF(ABS(AB3455)&lt;=0.01,"OK","CHECK"))</f>
        <v/>
      </c>
      <c r="AE3455">
        <f>IF(U3455="","MISSING",IF(AND(AA3455&gt;0,U3455/AA3455&gt;50),"POSSIBLE_SCALE_ERROR","OK"))</f>
        <v/>
      </c>
    </row>
    <row r="3456">
      <c r="A3456" t="inlineStr">
        <is>
          <t>T-2013-Q4-00048</t>
        </is>
      </c>
      <c r="B3456" t="inlineStr">
        <is>
          <t>MPSES</t>
        </is>
      </c>
      <c r="C3456" t="inlineStr">
        <is>
          <t>Driver</t>
        </is>
      </c>
      <c r="D3456" t="inlineStr">
        <is>
          <t>Chauffeur</t>
        </is>
      </c>
      <c r="E3456" t="inlineStr">
        <is>
          <t>Denis Legault</t>
        </is>
      </c>
      <c r="F3456" t="inlineStr">
        <is>
          <t>Travel to drive Minister of State to Department of National Defense announcement</t>
        </is>
      </c>
      <c r="G3456" t="inlineStr">
        <is>
          <t>Conduire le minitre d'État à une annonce du ministère de la Défense nationale</t>
        </is>
      </c>
      <c r="H3456" s="1" t="n">
        <v>41316</v>
      </c>
      <c r="I3456" s="1" t="n">
        <v>41316</v>
      </c>
      <c r="J3456" t="inlineStr">
        <is>
          <t>Montreal, Quebec</t>
        </is>
      </c>
      <c r="K3456" t="inlineStr">
        <is>
          <t>Montréal (Québec)</t>
        </is>
      </c>
      <c r="P3456" t="n">
        <v>0</v>
      </c>
      <c r="Q3456" t="n">
        <v>0</v>
      </c>
      <c r="R3456" t="n">
        <v>0</v>
      </c>
      <c r="S3456" t="n">
        <v>30.5</v>
      </c>
      <c r="T3456" t="n">
        <v>0</v>
      </c>
      <c r="U3456" t="n">
        <v>30.5</v>
      </c>
      <c r="X3456" t="inlineStr">
        <is>
          <t>acoa-apeca</t>
        </is>
      </c>
      <c r="Y3456" t="inlineStr">
        <is>
          <t>Atlantic Canada Opportunities Agency | Agence de promotion économique du Canada atlantique</t>
        </is>
      </c>
      <c r="Z3456" t="n">
        <v>1</v>
      </c>
      <c r="AA3456" t="n">
        <v>30.5</v>
      </c>
      <c r="AB3456">
        <f>ROUND(U3456-AA3456,2)</f>
        <v/>
      </c>
      <c r="AC3456" t="b">
        <v>0</v>
      </c>
      <c r="AD3456">
        <f>IF(U3456="","MISSING_TOTAL",IF(ABS(AB3456)&lt;=0.01,"OK","CHECK"))</f>
        <v/>
      </c>
      <c r="AE3456">
        <f>IF(U3456="","MISSING",IF(AND(AA3456&gt;0,U3456/AA3456&gt;50),"POSSIBLE_SCALE_ERROR","OK"))</f>
        <v/>
      </c>
    </row>
    <row r="3457">
      <c r="A3457" t="inlineStr">
        <is>
          <t>T-2014-Q1-00059</t>
        </is>
      </c>
      <c r="B3457" t="inlineStr">
        <is>
          <t>SLE</t>
        </is>
      </c>
      <c r="C3457" t="inlineStr">
        <is>
          <t>Vice-President, Newfoundland and Labrador</t>
        </is>
      </c>
      <c r="D3457" t="inlineStr">
        <is>
          <t>Vice-président, Terre-Neuve-et-Labrador</t>
        </is>
      </c>
      <c r="E3457" t="inlineStr">
        <is>
          <t>Paul Mills</t>
        </is>
      </c>
      <c r="F3457" t="inlineStr">
        <is>
          <t>To attend the ACO Board meeting in PEI and the 4Front Conference in Halifax</t>
        </is>
      </c>
      <c r="G3457" t="inlineStr">
        <is>
          <t>Participation à la réunion du Conseil de promotion économique du Canada atlantique à l'Île-du-Prince-Édouard et à la Conférenre Atlantique à l'avant-garde à Halifax</t>
        </is>
      </c>
      <c r="H3457" s="1" t="n">
        <v>41421</v>
      </c>
      <c r="I3457" s="1" t="n">
        <v>41426</v>
      </c>
      <c r="J3457" t="inlineStr">
        <is>
          <t>Halifax, Nova Scotia and Charlottetown, Prince Edward Island</t>
        </is>
      </c>
      <c r="K3457" t="inlineStr">
        <is>
          <t>Halifax (Nouvelle-Écosse) et Charlottetown (Île-du-Prince-Édouard)</t>
        </is>
      </c>
      <c r="P3457" t="n">
        <v>1376.74</v>
      </c>
      <c r="Q3457" t="n">
        <v>380.88</v>
      </c>
      <c r="R3457" t="n">
        <v>694.61</v>
      </c>
      <c r="S3457" t="n">
        <v>330.75</v>
      </c>
      <c r="T3457" t="n">
        <v>10.53</v>
      </c>
      <c r="U3457" t="n">
        <v>2793.51</v>
      </c>
      <c r="X3457" t="inlineStr">
        <is>
          <t>acoa-apeca</t>
        </is>
      </c>
      <c r="Y3457" t="inlineStr">
        <is>
          <t>Atlantic Canada Opportunities Agency | Agence de promotion économique du Canada atlantique</t>
        </is>
      </c>
      <c r="Z3457" t="n">
        <v>6</v>
      </c>
      <c r="AA3457" t="n">
        <v>2793.51</v>
      </c>
      <c r="AB3457">
        <f>ROUND(U3457-AA3457,2)</f>
        <v/>
      </c>
      <c r="AC3457" t="b">
        <v>0</v>
      </c>
      <c r="AD3457">
        <f>IF(U3457="","MISSING_TOTAL",IF(ABS(AB3457)&lt;=0.01,"OK","CHECK"))</f>
        <v/>
      </c>
      <c r="AE3457">
        <f>IF(U3457="","MISSING",IF(AND(AA3457&gt;0,U3457/AA3457&gt;50),"POSSIBLE_SCALE_ERROR","OK"))</f>
        <v/>
      </c>
    </row>
    <row r="3458">
      <c r="A3458" t="inlineStr">
        <is>
          <t>T-2014-Q1-00058</t>
        </is>
      </c>
      <c r="B3458" t="inlineStr">
        <is>
          <t>SLE</t>
        </is>
      </c>
      <c r="C3458" t="inlineStr">
        <is>
          <t>Vice President, Nova Scotia</t>
        </is>
      </c>
      <c r="D3458" t="inlineStr">
        <is>
          <t>Vice-président, Nouvelle-Écosse</t>
        </is>
      </c>
      <c r="E3458" t="inlineStr">
        <is>
          <t>Peter Hogan</t>
        </is>
      </c>
      <c r="F3458" t="inlineStr">
        <is>
          <t>Atlantic Canada Opportunities Board Meeting</t>
        </is>
      </c>
      <c r="G3458" t="inlineStr">
        <is>
          <t>Participation à une réunion du Conseil de promotion économique du Canada atlantique</t>
        </is>
      </c>
      <c r="H3458" s="1" t="n">
        <v>41421</v>
      </c>
      <c r="I3458" s="1" t="n">
        <v>41422</v>
      </c>
      <c r="J3458" t="inlineStr">
        <is>
          <t>Charlottetown, Prince Edward Island</t>
        </is>
      </c>
      <c r="K3458" t="inlineStr">
        <is>
          <t>Charlottetown (Île-du-Prince-Édouard)</t>
        </is>
      </c>
      <c r="P3458" t="n">
        <v>0</v>
      </c>
      <c r="Q3458" t="n">
        <v>44.5</v>
      </c>
      <c r="R3458" t="n">
        <v>50</v>
      </c>
      <c r="S3458" t="n">
        <v>133.95</v>
      </c>
      <c r="T3458" t="n">
        <v>0</v>
      </c>
      <c r="U3458" t="n">
        <v>228.45</v>
      </c>
      <c r="X3458" t="inlineStr">
        <is>
          <t>acoa-apeca</t>
        </is>
      </c>
      <c r="Y3458" t="inlineStr">
        <is>
          <t>Atlantic Canada Opportunities Agency | Agence de promotion économique du Canada atlantique</t>
        </is>
      </c>
      <c r="Z3458" t="n">
        <v>2</v>
      </c>
      <c r="AA3458" t="n">
        <v>228.45</v>
      </c>
      <c r="AB3458">
        <f>ROUND(U3458-AA3458,2)</f>
        <v/>
      </c>
      <c r="AC3458" t="b">
        <v>0</v>
      </c>
      <c r="AD3458">
        <f>IF(U3458="","MISSING_TOTAL",IF(ABS(AB3458)&lt;=0.01,"OK","CHECK"))</f>
        <v/>
      </c>
      <c r="AE3458">
        <f>IF(U3458="","MISSING",IF(AND(AA3458&gt;0,U3458/AA3458&gt;50),"POSSIBLE_SCALE_ERROR","OK"))</f>
        <v/>
      </c>
    </row>
    <row r="3459">
      <c r="A3459" t="inlineStr">
        <is>
          <t>T-2014-Q1-00057</t>
        </is>
      </c>
      <c r="B3459" t="inlineStr">
        <is>
          <t>SLE</t>
        </is>
      </c>
      <c r="C3459" t="inlineStr">
        <is>
          <t>Acting Vice-President, Finance and Corporate Services</t>
        </is>
      </c>
      <c r="D3459" t="inlineStr">
        <is>
          <t>Vice-président par intérim, Finances et Services corporatifs</t>
        </is>
      </c>
      <c r="E3459" t="inlineStr">
        <is>
          <t>Kent Estabrooks</t>
        </is>
      </c>
      <c r="F3459" t="inlineStr">
        <is>
          <t>Meetings with private sector officials and  Agency officials</t>
        </is>
      </c>
      <c r="G3459" t="inlineStr">
        <is>
          <t>Réunions avec des représentants du secteur privé et des fonctionnaires de l'Agence</t>
        </is>
      </c>
      <c r="H3459" s="1" t="n">
        <v>41421</v>
      </c>
      <c r="I3459" s="1" t="n">
        <v>41424</v>
      </c>
      <c r="J3459" t="inlineStr">
        <is>
          <t>Ottawa, Ontario</t>
        </is>
      </c>
      <c r="K3459" t="inlineStr">
        <is>
          <t>Ottawa (Ontario)</t>
        </is>
      </c>
      <c r="P3459" t="n">
        <v>820</v>
      </c>
      <c r="Q3459" t="n">
        <v>124.5</v>
      </c>
      <c r="R3459" t="n">
        <v>532.23</v>
      </c>
      <c r="S3459" t="n">
        <v>239.9</v>
      </c>
      <c r="T3459" t="n">
        <v>0</v>
      </c>
      <c r="U3459" t="n">
        <v>1716.63</v>
      </c>
      <c r="X3459" t="inlineStr">
        <is>
          <t>acoa-apeca</t>
        </is>
      </c>
      <c r="Y3459" t="inlineStr">
        <is>
          <t>Atlantic Canada Opportunities Agency | Agence de promotion économique du Canada atlantique</t>
        </is>
      </c>
      <c r="Z3459" t="n">
        <v>4</v>
      </c>
      <c r="AA3459" t="n">
        <v>1716.63</v>
      </c>
      <c r="AB3459">
        <f>ROUND(U3459-AA3459,2)</f>
        <v/>
      </c>
      <c r="AC3459" t="b">
        <v>0</v>
      </c>
      <c r="AD3459">
        <f>IF(U3459="","MISSING_TOTAL",IF(ABS(AB3459)&lt;=0.01,"OK","CHECK"))</f>
        <v/>
      </c>
      <c r="AE3459">
        <f>IF(U3459="","MISSING",IF(AND(AA3459&gt;0,U3459/AA3459&gt;50),"POSSIBLE_SCALE_ERROR","OK"))</f>
        <v/>
      </c>
    </row>
    <row r="3460">
      <c r="A3460" t="inlineStr">
        <is>
          <t>T-2014-Q1-00056</t>
        </is>
      </c>
      <c r="B3460" t="inlineStr">
        <is>
          <t>SLE</t>
        </is>
      </c>
      <c r="C3460" t="inlineStr">
        <is>
          <t>Vice-President, Policy and Programs</t>
        </is>
      </c>
      <c r="D3460" t="inlineStr">
        <is>
          <t>Vice-président, Politiques et Programmes</t>
        </is>
      </c>
      <c r="E3460" t="inlineStr">
        <is>
          <t>Daryell Nowlan</t>
        </is>
      </c>
      <c r="F3460" t="inlineStr">
        <is>
          <t>Meeting with ACO Board Members and attending 4Front conference</t>
        </is>
      </c>
      <c r="G3460" t="inlineStr">
        <is>
          <t>Réunion avec des membres du Conseil de promotion économique du Canada atlantique et conférence Atlantique à l'avant-garde</t>
        </is>
      </c>
      <c r="H3460" s="1" t="n">
        <v>41421</v>
      </c>
      <c r="I3460" s="1" t="n">
        <v>41425</v>
      </c>
      <c r="J3460" t="inlineStr">
        <is>
          <t>Charlottetown, Prince Edward Island and Halifax, Nova Scotia</t>
        </is>
      </c>
      <c r="K3460" t="inlineStr">
        <is>
          <t>Charlottetown (Île-du-Prince-Édouard) et Halifax (Nouvelle-Écosse)</t>
        </is>
      </c>
      <c r="P3460" t="n">
        <v>345.17</v>
      </c>
      <c r="Q3460" t="n">
        <v>90</v>
      </c>
      <c r="R3460" t="n">
        <v>711.0700000000001</v>
      </c>
      <c r="S3460" t="n">
        <v>242.55</v>
      </c>
      <c r="T3460" t="n">
        <v>0</v>
      </c>
      <c r="U3460" t="n">
        <v>1388.79</v>
      </c>
      <c r="X3460" t="inlineStr">
        <is>
          <t>acoa-apeca</t>
        </is>
      </c>
      <c r="Y3460" t="inlineStr">
        <is>
          <t>Atlantic Canada Opportunities Agency | Agence de promotion économique du Canada atlantique</t>
        </is>
      </c>
      <c r="Z3460" t="n">
        <v>5</v>
      </c>
      <c r="AA3460" t="n">
        <v>1388.79</v>
      </c>
      <c r="AB3460">
        <f>ROUND(U3460-AA3460,2)</f>
        <v/>
      </c>
      <c r="AC3460" t="b">
        <v>0</v>
      </c>
      <c r="AD3460">
        <f>IF(U3460="","MISSING_TOTAL",IF(ABS(AB3460)&lt;=0.01,"OK","CHECK"))</f>
        <v/>
      </c>
      <c r="AE3460">
        <f>IF(U3460="","MISSING",IF(AND(AA3460&gt;0,U3460/AA3460&gt;50),"POSSIBLE_SCALE_ERROR","OK"))</f>
        <v/>
      </c>
    </row>
    <row r="3461">
      <c r="A3461" t="inlineStr">
        <is>
          <t>T-2014-Q1-00055</t>
        </is>
      </c>
      <c r="B3461" t="inlineStr">
        <is>
          <t>SLE</t>
        </is>
      </c>
      <c r="C3461" t="inlineStr">
        <is>
          <t>Acting Vice-President, New Brunswick</t>
        </is>
      </c>
      <c r="D3461" t="inlineStr">
        <is>
          <t>Vice-présidente par intérim, Nouveau-Brunswick</t>
        </is>
      </c>
      <c r="E3461" t="inlineStr">
        <is>
          <t>Denise Frenette</t>
        </is>
      </c>
      <c r="F3461" t="inlineStr">
        <is>
          <t>Assignment in Fredericton</t>
        </is>
      </c>
      <c r="G3461" t="inlineStr">
        <is>
          <t>Affectation à Fredericton</t>
        </is>
      </c>
      <c r="H3461" s="1" t="n">
        <v>41420</v>
      </c>
      <c r="I3461" s="1" t="n">
        <v>41454</v>
      </c>
      <c r="J3461" t="inlineStr">
        <is>
          <t>Fredericton, New Brunswick</t>
        </is>
      </c>
      <c r="K3461" t="inlineStr">
        <is>
          <t>Fredericton (Nouveau-Brunswick)</t>
        </is>
      </c>
      <c r="P3461" t="n">
        <v>0</v>
      </c>
      <c r="Q3461" t="n">
        <v>99</v>
      </c>
      <c r="R3461" t="n">
        <v>2638</v>
      </c>
      <c r="S3461" t="n">
        <v>1434.1</v>
      </c>
      <c r="T3461" t="n">
        <v>0</v>
      </c>
      <c r="U3461" t="n">
        <v>4171.1</v>
      </c>
      <c r="X3461" t="inlineStr">
        <is>
          <t>acoa-apeca</t>
        </is>
      </c>
      <c r="Y3461" t="inlineStr">
        <is>
          <t>Atlantic Canada Opportunities Agency | Agence de promotion économique du Canada atlantique</t>
        </is>
      </c>
      <c r="Z3461" t="n">
        <v>35</v>
      </c>
      <c r="AA3461" t="n">
        <v>4171.1</v>
      </c>
      <c r="AB3461">
        <f>ROUND(U3461-AA3461,2)</f>
        <v/>
      </c>
      <c r="AC3461" t="b">
        <v>0</v>
      </c>
      <c r="AD3461">
        <f>IF(U3461="","MISSING_TOTAL",IF(ABS(AB3461)&lt;=0.01,"OK","CHECK"))</f>
        <v/>
      </c>
      <c r="AE3461">
        <f>IF(U3461="","MISSING",IF(AND(AA3461&gt;0,U3461/AA3461&gt;50),"POSSIBLE_SCALE_ERROR","OK"))</f>
        <v/>
      </c>
    </row>
    <row r="3462">
      <c r="A3462" t="inlineStr">
        <is>
          <t>T-2014-Q1-00053</t>
        </is>
      </c>
      <c r="B3462" t="inlineStr">
        <is>
          <t>SLE</t>
        </is>
      </c>
      <c r="C3462" t="inlineStr">
        <is>
          <t>President</t>
        </is>
      </c>
      <c r="D3462" t="inlineStr">
        <is>
          <t>Président</t>
        </is>
      </c>
      <c r="E3462" t="inlineStr">
        <is>
          <t>Paul J. LeBlanc</t>
        </is>
      </c>
      <c r="F3462" t="inlineStr">
        <is>
          <t>For various meetings and discussions with: Agency officials; with Government of Canada officials</t>
        </is>
      </c>
      <c r="G3462" t="inlineStr">
        <is>
          <t>Diverses réunions et discussions avec des fonctionnaires de l'Agence et du gouvernement du Canada</t>
        </is>
      </c>
      <c r="H3462" s="1" t="n">
        <v>41415</v>
      </c>
      <c r="I3462" s="1" t="n">
        <v>41418</v>
      </c>
      <c r="J3462" t="inlineStr">
        <is>
          <t>Ottawa, Ontario and Toronto, Ontario</t>
        </is>
      </c>
      <c r="K3462" t="inlineStr">
        <is>
          <t>Ottawa (Ontario) et Toronto (Ontario)</t>
        </is>
      </c>
      <c r="P3462" t="n">
        <v>1281.27</v>
      </c>
      <c r="Q3462" t="n">
        <v>97.87</v>
      </c>
      <c r="R3462" t="n">
        <v>612.78</v>
      </c>
      <c r="S3462" t="n">
        <v>297.8</v>
      </c>
      <c r="T3462" t="n">
        <v>64</v>
      </c>
      <c r="U3462" t="n">
        <v>2353.72</v>
      </c>
      <c r="X3462" t="inlineStr">
        <is>
          <t>acoa-apeca</t>
        </is>
      </c>
      <c r="Y3462" t="inlineStr">
        <is>
          <t>Atlantic Canada Opportunities Agency | Agence de promotion économique du Canada atlantique</t>
        </is>
      </c>
      <c r="Z3462" t="n">
        <v>4</v>
      </c>
      <c r="AA3462" t="n">
        <v>2353.72</v>
      </c>
      <c r="AB3462">
        <f>ROUND(U3462-AA3462,2)</f>
        <v/>
      </c>
      <c r="AC3462" t="b">
        <v>0</v>
      </c>
      <c r="AD3462">
        <f>IF(U3462="","MISSING_TOTAL",IF(ABS(AB3462)&lt;=0.01,"OK","CHECK"))</f>
        <v/>
      </c>
      <c r="AE3462">
        <f>IF(U3462="","MISSING",IF(AND(AA3462&gt;0,U3462/AA3462&gt;50),"POSSIBLE_SCALE_ERROR","OK"))</f>
        <v/>
      </c>
    </row>
    <row r="3463">
      <c r="A3463" t="inlineStr">
        <is>
          <t>T-2014-Q1-00052</t>
        </is>
      </c>
      <c r="B3463" t="inlineStr">
        <is>
          <t>SLE</t>
        </is>
      </c>
      <c r="C3463" t="inlineStr">
        <is>
          <t>Vice-President, Prince Edward Island</t>
        </is>
      </c>
      <c r="D3463" t="inlineStr">
        <is>
          <t>Vice-président, Île-du-Prince-Édouard</t>
        </is>
      </c>
      <c r="E3463" t="inlineStr">
        <is>
          <t>Patrick Dorsey</t>
        </is>
      </c>
      <c r="F3463" t="inlineStr">
        <is>
          <t>To attend Invest PEI mission to Scandinavia</t>
        </is>
      </c>
      <c r="G3463" t="inlineStr">
        <is>
          <t>Participer à une mission d'Investir à l'Î.-P.-É. en Scandinavie</t>
        </is>
      </c>
      <c r="H3463" s="1" t="n">
        <v>41412</v>
      </c>
      <c r="I3463" s="1" t="n">
        <v>41419</v>
      </c>
      <c r="J3463" t="inlineStr">
        <is>
          <t>Stockholm, Sweden</t>
        </is>
      </c>
      <c r="K3463" t="inlineStr">
        <is>
          <t>Stockholm (Suède)</t>
        </is>
      </c>
      <c r="P3463" t="n">
        <v>3015.22</v>
      </c>
      <c r="Q3463" t="n">
        <v>110.56</v>
      </c>
      <c r="R3463" t="n">
        <v>931.48</v>
      </c>
      <c r="S3463" t="n">
        <v>533.45</v>
      </c>
      <c r="T3463" t="n">
        <v>0</v>
      </c>
      <c r="U3463" t="n">
        <v>4590.71</v>
      </c>
      <c r="X3463" t="inlineStr">
        <is>
          <t>acoa-apeca</t>
        </is>
      </c>
      <c r="Y3463" t="inlineStr">
        <is>
          <t>Atlantic Canada Opportunities Agency | Agence de promotion économique du Canada atlantique</t>
        </is>
      </c>
      <c r="Z3463" t="n">
        <v>8</v>
      </c>
      <c r="AA3463" t="n">
        <v>4590.71</v>
      </c>
      <c r="AB3463">
        <f>ROUND(U3463-AA3463,2)</f>
        <v/>
      </c>
      <c r="AC3463" t="b">
        <v>0</v>
      </c>
      <c r="AD3463">
        <f>IF(U3463="","MISSING_TOTAL",IF(ABS(AB3463)&lt;=0.01,"OK","CHECK"))</f>
        <v/>
      </c>
      <c r="AE3463">
        <f>IF(U3463="","MISSING",IF(AND(AA3463&gt;0,U3463/AA3463&gt;50),"POSSIBLE_SCALE_ERROR","OK"))</f>
        <v/>
      </c>
    </row>
    <row r="3464">
      <c r="A3464" t="inlineStr">
        <is>
          <t>T-2014-Q1-00050</t>
        </is>
      </c>
      <c r="B3464" t="inlineStr">
        <is>
          <t>MPSES</t>
        </is>
      </c>
      <c r="C3464" t="inlineStr">
        <is>
          <t>Minister</t>
        </is>
      </c>
      <c r="D3464" t="inlineStr">
        <is>
          <t>Ministre</t>
        </is>
      </c>
      <c r="E3464" t="inlineStr">
        <is>
          <t>Gail Shea</t>
        </is>
      </c>
      <c r="F3464" t="inlineStr">
        <is>
          <t>To attend funding announcements and meetings with Atlantic Canada Opportunities Agency staff and stakeholders</t>
        </is>
      </c>
      <c r="G3464" t="inlineStr">
        <is>
          <t>Participation à des annonces de financement et à des réunions avec des membres du personnel et des intervenants de l'APECA</t>
        </is>
      </c>
      <c r="H3464" s="1" t="n">
        <v>41409</v>
      </c>
      <c r="I3464" s="1" t="n">
        <v>41411</v>
      </c>
      <c r="J3464" t="inlineStr">
        <is>
          <t>Moncton and Fredericton, New Brunswick</t>
        </is>
      </c>
      <c r="K3464" t="inlineStr">
        <is>
          <t>Moncton et Fredericton (Nouveau-Brunswick)</t>
        </is>
      </c>
      <c r="P3464" t="n">
        <v>0</v>
      </c>
      <c r="Q3464" t="n">
        <v>273.74</v>
      </c>
      <c r="R3464" t="n">
        <v>298.32</v>
      </c>
      <c r="S3464" t="n">
        <v>181.85</v>
      </c>
      <c r="T3464" t="n">
        <v>0</v>
      </c>
      <c r="U3464" t="n">
        <v>753.91</v>
      </c>
      <c r="X3464" t="inlineStr">
        <is>
          <t>acoa-apeca</t>
        </is>
      </c>
      <c r="Y3464" t="inlineStr">
        <is>
          <t>Atlantic Canada Opportunities Agency | Agence de promotion économique du Canada atlantique</t>
        </is>
      </c>
      <c r="Z3464" t="n">
        <v>3</v>
      </c>
      <c r="AA3464" t="n">
        <v>753.91</v>
      </c>
      <c r="AB3464">
        <f>ROUND(U3464-AA3464,2)</f>
        <v/>
      </c>
      <c r="AC3464" t="b">
        <v>0</v>
      </c>
      <c r="AD3464">
        <f>IF(U3464="","MISSING_TOTAL",IF(ABS(AB3464)&lt;=0.01,"OK","CHECK"))</f>
        <v/>
      </c>
      <c r="AE3464">
        <f>IF(U3464="","MISSING",IF(AND(AA3464&gt;0,U3464/AA3464&gt;50),"POSSIBLE_SCALE_ERROR","OK"))</f>
        <v/>
      </c>
    </row>
    <row r="3465">
      <c r="A3465" t="inlineStr">
        <is>
          <t>T-2014-Q1-00049</t>
        </is>
      </c>
      <c r="B3465" t="inlineStr">
        <is>
          <t>SLE</t>
        </is>
      </c>
      <c r="C3465" t="inlineStr">
        <is>
          <t>President</t>
        </is>
      </c>
      <c r="D3465" t="inlineStr">
        <is>
          <t>Président</t>
        </is>
      </c>
      <c r="E3465" t="inlineStr">
        <is>
          <t>Paul J. LeBlanc</t>
        </is>
      </c>
      <c r="F3465" t="inlineStr">
        <is>
          <t>For various meetings and discussions with: Agency officials; with key stakeholders</t>
        </is>
      </c>
      <c r="G3465" t="inlineStr">
        <is>
          <t>Diverses réunions et discussions avec des fonctionnaires de l'Agence et des intervenants clés</t>
        </is>
      </c>
      <c r="H3465" s="1" t="n">
        <v>41408</v>
      </c>
      <c r="I3465" s="1" t="n">
        <v>41409</v>
      </c>
      <c r="J3465" t="inlineStr">
        <is>
          <t>Summerside, Charlottetown, PEI, and Sydney, Nova Scotia</t>
        </is>
      </c>
      <c r="K3465" t="inlineStr">
        <is>
          <t>Summerside et Charlottetown (Île-du-Prince-Édouard) et Sydney (Nouvelle-Écosse)</t>
        </is>
      </c>
      <c r="P3465" t="n">
        <v>1881.99</v>
      </c>
      <c r="Q3465" t="n">
        <v>0</v>
      </c>
      <c r="R3465" t="n">
        <v>120.82</v>
      </c>
      <c r="S3465" t="n">
        <v>122.3</v>
      </c>
      <c r="T3465" t="n">
        <v>115</v>
      </c>
      <c r="U3465" t="n">
        <v>2240.11</v>
      </c>
      <c r="X3465" t="inlineStr">
        <is>
          <t>acoa-apeca</t>
        </is>
      </c>
      <c r="Y3465" t="inlineStr">
        <is>
          <t>Atlantic Canada Opportunities Agency | Agence de promotion économique du Canada atlantique</t>
        </is>
      </c>
      <c r="Z3465" t="n">
        <v>2</v>
      </c>
      <c r="AA3465" t="n">
        <v>2240.11</v>
      </c>
      <c r="AB3465">
        <f>ROUND(U3465-AA3465,2)</f>
        <v/>
      </c>
      <c r="AC3465" t="b">
        <v>0</v>
      </c>
      <c r="AD3465">
        <f>IF(U3465="","MISSING_TOTAL",IF(ABS(AB3465)&lt;=0.01,"OK","CHECK"))</f>
        <v/>
      </c>
      <c r="AE3465">
        <f>IF(U3465="","MISSING",IF(AND(AA3465&gt;0,U3465/AA3465&gt;50),"POSSIBLE_SCALE_ERROR","OK"))</f>
        <v/>
      </c>
    </row>
    <row r="3466">
      <c r="A3466" t="inlineStr">
        <is>
          <t>T-2014-Q1-00040</t>
        </is>
      </c>
      <c r="B3466" t="inlineStr">
        <is>
          <t>SLE</t>
        </is>
      </c>
      <c r="C3466" t="inlineStr">
        <is>
          <t>Vice-President, New Brunswick</t>
        </is>
      </c>
      <c r="D3466" t="inlineStr">
        <is>
          <t>Vice-présidente, Nouveau-Brunswick</t>
        </is>
      </c>
      <c r="E3466" t="inlineStr">
        <is>
          <t>Janet Gagnon</t>
        </is>
      </c>
      <c r="F3466" t="inlineStr">
        <is>
          <t>Meeting with Minister's Staff (Ottawa)/ Meeting with Denise Frenette (Moncton)</t>
        </is>
      </c>
      <c r="G3466" t="inlineStr">
        <is>
          <t>Réunion avec les employés de la ministre à Ottawa et réunion avec Denise Frenette à  Moncton</t>
        </is>
      </c>
      <c r="H3466" s="1" t="n">
        <v>41396</v>
      </c>
      <c r="I3466" s="1" t="n">
        <v>41397</v>
      </c>
      <c r="J3466" t="inlineStr">
        <is>
          <t>Ottawa, Ontario &amp; Moncton, New Brunswick</t>
        </is>
      </c>
      <c r="K3466" t="inlineStr">
        <is>
          <t>Ottawa (Ontario) et Moncton (Nouveau-Brunswick)</t>
        </is>
      </c>
      <c r="P3466" t="n">
        <v>751.05</v>
      </c>
      <c r="Q3466" t="n">
        <v>96.12</v>
      </c>
      <c r="R3466" t="n">
        <v>169.5</v>
      </c>
      <c r="S3466" t="n">
        <v>122.3</v>
      </c>
      <c r="T3466" t="n">
        <v>0</v>
      </c>
      <c r="U3466" t="n">
        <v>1138.97</v>
      </c>
      <c r="X3466" t="inlineStr">
        <is>
          <t>acoa-apeca</t>
        </is>
      </c>
      <c r="Y3466" t="inlineStr">
        <is>
          <t>Atlantic Canada Opportunities Agency | Agence de promotion économique du Canada atlantique</t>
        </is>
      </c>
      <c r="Z3466" t="n">
        <v>2</v>
      </c>
      <c r="AA3466" t="n">
        <v>1138.97</v>
      </c>
      <c r="AB3466">
        <f>ROUND(U3466-AA3466,2)</f>
        <v/>
      </c>
      <c r="AC3466" t="b">
        <v>0</v>
      </c>
      <c r="AD3466">
        <f>IF(U3466="","MISSING_TOTAL",IF(ABS(AB3466)&lt;=0.01,"OK","CHECK"))</f>
        <v/>
      </c>
      <c r="AE3466">
        <f>IF(U3466="","MISSING",IF(AND(AA3466&gt;0,U3466/AA3466&gt;50),"POSSIBLE_SCALE_ERROR","OK"))</f>
        <v/>
      </c>
    </row>
    <row r="3467">
      <c r="A3467" t="inlineStr">
        <is>
          <t>T-2014-Q1-00047</t>
        </is>
      </c>
      <c r="B3467" t="inlineStr">
        <is>
          <t>MPSES</t>
        </is>
      </c>
      <c r="C3467" t="inlineStr">
        <is>
          <t>Director of Communications</t>
        </is>
      </c>
      <c r="D3467" t="inlineStr">
        <is>
          <t>Directrice des communications</t>
        </is>
      </c>
      <c r="E3467" t="inlineStr">
        <is>
          <t>Sophie Doucet</t>
        </is>
      </c>
      <c r="F3467" t="inlineStr">
        <is>
          <t>To accompany Minister for various Atlantic Canada Opportunities Agency events</t>
        </is>
      </c>
      <c r="G3467" t="inlineStr">
        <is>
          <t>Accompagner la ministre à diverses activités de l'Agence de promotion économique du Canada atlantique</t>
        </is>
      </c>
      <c r="H3467" s="1" t="n">
        <v>41407</v>
      </c>
      <c r="I3467" s="1" t="n">
        <v>41411</v>
      </c>
      <c r="J3467" t="inlineStr">
        <is>
          <t>Charlottetown and Summerside, Prince Edward Island and Moncton and Fredericton, New Brunswick</t>
        </is>
      </c>
      <c r="K3467" t="inlineStr">
        <is>
          <t>Charlottetown et Summerside (Î.-P.-É.) et Moncton et Fredericton (N.-B.)</t>
        </is>
      </c>
      <c r="P3467" t="n">
        <v>874.97</v>
      </c>
      <c r="Q3467" t="n">
        <v>89</v>
      </c>
      <c r="R3467" t="n">
        <v>673.72</v>
      </c>
      <c r="S3467" t="n">
        <v>361.55</v>
      </c>
      <c r="T3467" t="n">
        <v>0</v>
      </c>
      <c r="U3467" t="n">
        <v>1999.24</v>
      </c>
      <c r="X3467" t="inlineStr">
        <is>
          <t>acoa-apeca</t>
        </is>
      </c>
      <c r="Y3467" t="inlineStr">
        <is>
          <t>Atlantic Canada Opportunities Agency | Agence de promotion économique du Canada atlantique</t>
        </is>
      </c>
      <c r="Z3467" t="n">
        <v>5</v>
      </c>
      <c r="AA3467" t="n">
        <v>1999.24</v>
      </c>
      <c r="AB3467">
        <f>ROUND(U3467-AA3467,2)</f>
        <v/>
      </c>
      <c r="AC3467" t="b">
        <v>0</v>
      </c>
      <c r="AD3467">
        <f>IF(U3467="","MISSING_TOTAL",IF(ABS(AB3467)&lt;=0.01,"OK","CHECK"))</f>
        <v/>
      </c>
      <c r="AE3467">
        <f>IF(U3467="","MISSING",IF(AND(AA3467&gt;0,U3467/AA3467&gt;50),"POSSIBLE_SCALE_ERROR","OK"))</f>
        <v/>
      </c>
    </row>
    <row r="3468">
      <c r="A3468" t="inlineStr">
        <is>
          <t>T-2014-Q1-00046</t>
        </is>
      </c>
      <c r="B3468" t="inlineStr">
        <is>
          <t>SLE</t>
        </is>
      </c>
      <c r="C3468" t="inlineStr">
        <is>
          <t>Vice-President, Finance and Corporate Services</t>
        </is>
      </c>
      <c r="D3468" t="inlineStr">
        <is>
          <t>Vice-présidente, Finances et Services corporatifs</t>
        </is>
      </c>
      <c r="E3468" t="inlineStr">
        <is>
          <t>Denise Frenette</t>
        </is>
      </c>
      <c r="F3468" t="inlineStr">
        <is>
          <t>Meetings with Agency officials; provincial government officials and private sector officials</t>
        </is>
      </c>
      <c r="G3468" t="inlineStr">
        <is>
          <t>Participation à des réunions avec des fonctionnaires de l'Agence et du gouvernement provincial et des représentants du secteur privé</t>
        </is>
      </c>
      <c r="H3468" s="1" t="n">
        <v>41404</v>
      </c>
      <c r="I3468" s="1" t="n">
        <v>41404</v>
      </c>
      <c r="J3468" t="inlineStr">
        <is>
          <t>Fredericton, New Brunswick</t>
        </is>
      </c>
      <c r="K3468" t="inlineStr">
        <is>
          <t>Fredericton (Nouveau-Brunswick)</t>
        </is>
      </c>
      <c r="P3468" t="n">
        <v>0</v>
      </c>
      <c r="Q3468" t="n">
        <v>48.68</v>
      </c>
      <c r="R3468" t="n">
        <v>0</v>
      </c>
      <c r="S3468" t="n">
        <v>56.9</v>
      </c>
      <c r="T3468" t="n">
        <v>7</v>
      </c>
      <c r="U3468" t="n">
        <v>112.58</v>
      </c>
      <c r="X3468" t="inlineStr">
        <is>
          <t>acoa-apeca</t>
        </is>
      </c>
      <c r="Y3468" t="inlineStr">
        <is>
          <t>Atlantic Canada Opportunities Agency | Agence de promotion économique du Canada atlantique</t>
        </is>
      </c>
      <c r="Z3468" t="n">
        <v>1</v>
      </c>
      <c r="AA3468" t="n">
        <v>112.58</v>
      </c>
      <c r="AB3468">
        <f>ROUND(U3468-AA3468,2)</f>
        <v/>
      </c>
      <c r="AC3468" t="b">
        <v>0</v>
      </c>
      <c r="AD3468">
        <f>IF(U3468="","MISSING_TOTAL",IF(ABS(AB3468)&lt;=0.01,"OK","CHECK"))</f>
        <v/>
      </c>
      <c r="AE3468">
        <f>IF(U3468="","MISSING",IF(AND(AA3468&gt;0,U3468/AA3468&gt;50),"POSSIBLE_SCALE_ERROR","OK"))</f>
        <v/>
      </c>
    </row>
    <row r="3469">
      <c r="A3469" t="inlineStr">
        <is>
          <t>T-2014-Q1-00045</t>
        </is>
      </c>
      <c r="B3469" t="inlineStr">
        <is>
          <t>SLE</t>
        </is>
      </c>
      <c r="C3469" t="inlineStr">
        <is>
          <t>Vice-President, Finance and Corporate Services</t>
        </is>
      </c>
      <c r="D3469" t="inlineStr">
        <is>
          <t>Vice-présidente, Finances et Services corporatifs</t>
        </is>
      </c>
      <c r="E3469" t="inlineStr">
        <is>
          <t>Denise Frenette</t>
        </is>
      </c>
      <c r="F3469" t="inlineStr">
        <is>
          <t>Meetings with Government of Canada officials; Agency officials and private sector officials</t>
        </is>
      </c>
      <c r="G3469" t="inlineStr">
        <is>
          <t>Participation à des réunions avec des fonctionnaires du gouvernement du Canada et de l'Agence et avec des représentants du secteur privé</t>
        </is>
      </c>
      <c r="H3469" s="1" t="n">
        <v>41401</v>
      </c>
      <c r="I3469" s="1" t="n">
        <v>41403</v>
      </c>
      <c r="J3469" t="inlineStr">
        <is>
          <t>Ottawa, Ontario</t>
        </is>
      </c>
      <c r="K3469" t="inlineStr">
        <is>
          <t>Ottawa (Ontario)</t>
        </is>
      </c>
      <c r="P3469" t="n">
        <v>499.61</v>
      </c>
      <c r="Q3469" t="n">
        <v>39.77</v>
      </c>
      <c r="R3469" t="n">
        <v>354.82</v>
      </c>
      <c r="S3469" t="n">
        <v>139.1</v>
      </c>
      <c r="T3469" t="n">
        <v>0</v>
      </c>
      <c r="U3469" t="n">
        <v>1033.3</v>
      </c>
      <c r="X3469" t="inlineStr">
        <is>
          <t>acoa-apeca</t>
        </is>
      </c>
      <c r="Y3469" t="inlineStr">
        <is>
          <t>Atlantic Canada Opportunities Agency | Agence de promotion économique du Canada atlantique</t>
        </is>
      </c>
      <c r="Z3469" t="n">
        <v>3</v>
      </c>
      <c r="AA3469" t="n">
        <v>1033.3</v>
      </c>
      <c r="AB3469">
        <f>ROUND(U3469-AA3469,2)</f>
        <v/>
      </c>
      <c r="AC3469" t="b">
        <v>0</v>
      </c>
      <c r="AD3469">
        <f>IF(U3469="","MISSING_TOTAL",IF(ABS(AB3469)&lt;=0.01,"OK","CHECK"))</f>
        <v/>
      </c>
      <c r="AE3469">
        <f>IF(U3469="","MISSING",IF(AND(AA3469&gt;0,U3469/AA3469&gt;50),"POSSIBLE_SCALE_ERROR","OK"))</f>
        <v/>
      </c>
    </row>
    <row r="3470">
      <c r="A3470" t="inlineStr">
        <is>
          <t>T-2012-Q4-00076</t>
        </is>
      </c>
      <c r="B3470" t="inlineStr">
        <is>
          <t>MPSES</t>
        </is>
      </c>
      <c r="C3470" t="inlineStr">
        <is>
          <t>Member of Parliament</t>
        </is>
      </c>
      <c r="D3470" t="inlineStr">
        <is>
          <t>Député</t>
        </is>
      </c>
      <c r="E3470" t="inlineStr">
        <is>
          <t>Greg Kerr</t>
        </is>
      </c>
      <c r="F3470" t="inlineStr">
        <is>
          <t>Travel on behalf of MoS to attend ACOA announcement</t>
        </is>
      </c>
      <c r="G3470" t="inlineStr">
        <is>
          <t>Voyage pour représenter le ministre d'État à une annonce de l'APECA</t>
        </is>
      </c>
      <c r="H3470" s="1" t="n">
        <v>40956</v>
      </c>
      <c r="I3470" s="1" t="n">
        <v>40956</v>
      </c>
      <c r="J3470" t="inlineStr">
        <is>
          <t>Halifax, Nova Scotia</t>
        </is>
      </c>
      <c r="K3470" t="inlineStr">
        <is>
          <t>Halifax (Nouvelle-Écosse)</t>
        </is>
      </c>
      <c r="P3470" t="n">
        <v>0</v>
      </c>
      <c r="Q3470" t="n">
        <v>101</v>
      </c>
      <c r="R3470" t="n">
        <v>0</v>
      </c>
      <c r="S3470" t="n">
        <v>0</v>
      </c>
      <c r="T3470" t="n">
        <v>0</v>
      </c>
      <c r="U3470" t="n">
        <v>101</v>
      </c>
      <c r="X3470" t="inlineStr">
        <is>
          <t>acoa-apeca</t>
        </is>
      </c>
      <c r="Y3470" t="inlineStr">
        <is>
          <t>Atlantic Canada Opportunities Agency | Agence de promotion économique du Canada atlantique</t>
        </is>
      </c>
      <c r="Z3470" t="n">
        <v>1</v>
      </c>
      <c r="AA3470" t="n">
        <v>101</v>
      </c>
      <c r="AB3470">
        <f>ROUND(U3470-AA3470,2)</f>
        <v/>
      </c>
      <c r="AC3470" t="b">
        <v>0</v>
      </c>
      <c r="AD3470">
        <f>IF(U3470="","MISSING_TOTAL",IF(ABS(AB3470)&lt;=0.01,"OK","CHECK"))</f>
        <v/>
      </c>
      <c r="AE3470">
        <f>IF(U3470="","MISSING",IF(AND(AA3470&gt;0,U3470/AA3470&gt;50),"POSSIBLE_SCALE_ERROR","OK"))</f>
        <v/>
      </c>
    </row>
    <row r="3471">
      <c r="A3471" t="inlineStr">
        <is>
          <t>T-2014-Q1-00044</t>
        </is>
      </c>
      <c r="B3471" t="inlineStr">
        <is>
          <t>SLE</t>
        </is>
      </c>
      <c r="C3471" t="inlineStr">
        <is>
          <t>Vice-President, New Brunswick</t>
        </is>
      </c>
      <c r="D3471" t="inlineStr">
        <is>
          <t>Vice-présidente, Nouveau-Brunswick</t>
        </is>
      </c>
      <c r="E3471" t="inlineStr">
        <is>
          <t>Janet Gagnon</t>
        </is>
      </c>
      <c r="F3471" t="inlineStr">
        <is>
          <t>LMCC meeting and Women's Networking Session</t>
        </is>
      </c>
      <c r="G3471" t="inlineStr">
        <is>
          <t>Comité de consultation patronale-syndicale et séance de réseautage pour femmes</t>
        </is>
      </c>
      <c r="H3471" s="1" t="n">
        <v>41400</v>
      </c>
      <c r="I3471" s="1" t="n">
        <v>41402</v>
      </c>
      <c r="J3471" t="inlineStr">
        <is>
          <t>Moncton, New Brunswick</t>
        </is>
      </c>
      <c r="K3471" t="inlineStr">
        <is>
          <t>Moncton (Nouveau-Brunswick)</t>
        </is>
      </c>
      <c r="P3471" t="n">
        <v>0</v>
      </c>
      <c r="Q3471" t="n">
        <v>0</v>
      </c>
      <c r="R3471" t="n">
        <v>50</v>
      </c>
      <c r="S3471" t="n">
        <v>65.40000000000001</v>
      </c>
      <c r="T3471" t="n">
        <v>7</v>
      </c>
      <c r="U3471" t="n">
        <v>122.4</v>
      </c>
      <c r="X3471" t="inlineStr">
        <is>
          <t>acoa-apeca</t>
        </is>
      </c>
      <c r="Y3471" t="inlineStr">
        <is>
          <t>Atlantic Canada Opportunities Agency | Agence de promotion économique du Canada atlantique</t>
        </is>
      </c>
      <c r="Z3471" t="n">
        <v>3</v>
      </c>
      <c r="AA3471" t="n">
        <v>122.4</v>
      </c>
      <c r="AB3471">
        <f>ROUND(U3471-AA3471,2)</f>
        <v/>
      </c>
      <c r="AC3471" t="b">
        <v>0</v>
      </c>
      <c r="AD3471">
        <f>IF(U3471="","MISSING_TOTAL",IF(ABS(AB3471)&lt;=0.01,"OK","CHECK"))</f>
        <v/>
      </c>
      <c r="AE3471">
        <f>IF(U3471="","MISSING",IF(AND(AA3471&gt;0,U3471/AA3471&gt;50),"POSSIBLE_SCALE_ERROR","OK"))</f>
        <v/>
      </c>
    </row>
    <row r="3472">
      <c r="A3472" t="inlineStr">
        <is>
          <t>T-2014-Q1-00043</t>
        </is>
      </c>
      <c r="B3472" t="inlineStr">
        <is>
          <t>SLE</t>
        </is>
      </c>
      <c r="C3472" t="inlineStr">
        <is>
          <t>President</t>
        </is>
      </c>
      <c r="D3472" t="inlineStr">
        <is>
          <t>Président</t>
        </is>
      </c>
      <c r="E3472" t="inlineStr">
        <is>
          <t>Paul J. LeBlanc</t>
        </is>
      </c>
      <c r="F3472" t="inlineStr">
        <is>
          <t>For various meetings and discussions with: Agency officials; with Government of Canada officials</t>
        </is>
      </c>
      <c r="G3472" t="inlineStr">
        <is>
          <t>Diverses réunions et discussions avec des fonctionnaires de l'Agence et du gouvernement du Canada</t>
        </is>
      </c>
      <c r="H3472" s="1" t="n">
        <v>41400</v>
      </c>
      <c r="I3472" s="1" t="n">
        <v>41402</v>
      </c>
      <c r="J3472" t="inlineStr">
        <is>
          <t>Ottawa, Ontario</t>
        </is>
      </c>
      <c r="K3472" t="inlineStr">
        <is>
          <t>Ottawa (Ontario)</t>
        </is>
      </c>
      <c r="P3472" t="n">
        <v>741.74</v>
      </c>
      <c r="Q3472" t="n">
        <v>0</v>
      </c>
      <c r="R3472" t="n">
        <v>381.94</v>
      </c>
      <c r="S3472" t="n">
        <v>181.35</v>
      </c>
      <c r="T3472" t="n">
        <v>35</v>
      </c>
      <c r="U3472" t="n">
        <v>1340.03</v>
      </c>
      <c r="X3472" t="inlineStr">
        <is>
          <t>acoa-apeca</t>
        </is>
      </c>
      <c r="Y3472" t="inlineStr">
        <is>
          <t>Atlantic Canada Opportunities Agency | Agence de promotion économique du Canada atlantique</t>
        </is>
      </c>
      <c r="Z3472" t="n">
        <v>3</v>
      </c>
      <c r="AA3472" t="n">
        <v>1340.03</v>
      </c>
      <c r="AB3472">
        <f>ROUND(U3472-AA3472,2)</f>
        <v/>
      </c>
      <c r="AC3472" t="b">
        <v>0</v>
      </c>
      <c r="AD3472">
        <f>IF(U3472="","MISSING_TOTAL",IF(ABS(AB3472)&lt;=0.01,"OK","CHECK"))</f>
        <v/>
      </c>
      <c r="AE3472">
        <f>IF(U3472="","MISSING",IF(AND(AA3472&gt;0,U3472/AA3472&gt;50),"POSSIBLE_SCALE_ERROR","OK"))</f>
        <v/>
      </c>
    </row>
    <row r="3473">
      <c r="A3473" t="inlineStr">
        <is>
          <t>T-2014-Q1-00042</t>
        </is>
      </c>
      <c r="B3473" t="inlineStr">
        <is>
          <t>SLE</t>
        </is>
      </c>
      <c r="C3473" t="inlineStr">
        <is>
          <t>Vice-President, Newfoundland and Labrador</t>
        </is>
      </c>
      <c r="D3473" t="inlineStr">
        <is>
          <t>Vice-président, Terre-Neuve-et-Labrador</t>
        </is>
      </c>
      <c r="E3473" t="inlineStr">
        <is>
          <t>Paul Mills</t>
        </is>
      </c>
      <c r="F3473" t="inlineStr">
        <is>
          <t>Speaking engagement in Buncrana, Ireland</t>
        </is>
      </c>
      <c r="G3473" t="inlineStr">
        <is>
          <t>Allocution à prononcer à Buncrana en Irlande</t>
        </is>
      </c>
      <c r="H3473" s="1" t="n">
        <v>41399</v>
      </c>
      <c r="I3473" s="1" t="n">
        <v>41406</v>
      </c>
      <c r="J3473" t="inlineStr">
        <is>
          <t>Buncrana, Ireland</t>
        </is>
      </c>
      <c r="K3473" t="inlineStr">
        <is>
          <t>Buncrana, Irlande</t>
        </is>
      </c>
      <c r="P3473" t="n">
        <v>1934</v>
      </c>
      <c r="Q3473" t="n">
        <v>226.04</v>
      </c>
      <c r="R3473" t="n">
        <v>956.33</v>
      </c>
      <c r="S3473" t="n">
        <v>828.55</v>
      </c>
      <c r="T3473" t="n">
        <v>14.73</v>
      </c>
      <c r="U3473" t="n">
        <v>3959.65</v>
      </c>
      <c r="X3473" t="inlineStr">
        <is>
          <t>acoa-apeca</t>
        </is>
      </c>
      <c r="Y3473" t="inlineStr">
        <is>
          <t>Atlantic Canada Opportunities Agency | Agence de promotion économique du Canada atlantique</t>
        </is>
      </c>
      <c r="Z3473" t="n">
        <v>8</v>
      </c>
      <c r="AA3473" t="n">
        <v>3959.65</v>
      </c>
      <c r="AB3473">
        <f>ROUND(U3473-AA3473,2)</f>
        <v/>
      </c>
      <c r="AC3473" t="b">
        <v>0</v>
      </c>
      <c r="AD3473">
        <f>IF(U3473="","MISSING_TOTAL",IF(ABS(AB3473)&lt;=0.01,"OK","CHECK"))</f>
        <v/>
      </c>
      <c r="AE3473">
        <f>IF(U3473="","MISSING",IF(AND(AA3473&gt;0,U3473/AA3473&gt;50),"POSSIBLE_SCALE_ERROR","OK"))</f>
        <v/>
      </c>
    </row>
    <row r="3474">
      <c r="A3474" t="inlineStr">
        <is>
          <t>T-2014-Q1-00039</t>
        </is>
      </c>
      <c r="B3474" t="inlineStr">
        <is>
          <t>SLE</t>
        </is>
      </c>
      <c r="C3474" t="inlineStr">
        <is>
          <t>Vice-President, Prince Edward Island</t>
        </is>
      </c>
      <c r="D3474" t="inlineStr">
        <is>
          <t>Vice-président, Île-du-Prince-Édouard</t>
        </is>
      </c>
      <c r="E3474" t="inlineStr">
        <is>
          <t>Patrick Dorsey</t>
        </is>
      </c>
      <c r="F3474" t="inlineStr">
        <is>
          <t>Meetings with Government of Canada officials in Ottawa</t>
        </is>
      </c>
      <c r="G3474" t="inlineStr">
        <is>
          <t>Participation à des réunions avec des fonctionnaires du gouvernement du Canada à Ottawa</t>
        </is>
      </c>
      <c r="H3474" s="1" t="n">
        <v>41395</v>
      </c>
      <c r="I3474" s="1" t="n">
        <v>41397</v>
      </c>
      <c r="J3474" t="inlineStr">
        <is>
          <t>Ottawa, Ontario</t>
        </is>
      </c>
      <c r="K3474" t="inlineStr">
        <is>
          <t>Ottawa (Ontario)</t>
        </is>
      </c>
      <c r="P3474" t="n">
        <v>1062.26</v>
      </c>
      <c r="Q3474" t="n">
        <v>96</v>
      </c>
      <c r="R3474" t="n">
        <v>354.82</v>
      </c>
      <c r="S3474" t="n">
        <v>181.85</v>
      </c>
      <c r="T3474" t="n">
        <v>0</v>
      </c>
      <c r="U3474" t="n">
        <v>1694.93</v>
      </c>
      <c r="X3474" t="inlineStr">
        <is>
          <t>acoa-apeca</t>
        </is>
      </c>
      <c r="Y3474" t="inlineStr">
        <is>
          <t>Atlantic Canada Opportunities Agency | Agence de promotion économique du Canada atlantique</t>
        </is>
      </c>
      <c r="Z3474" t="n">
        <v>3</v>
      </c>
      <c r="AA3474" t="n">
        <v>1694.92999999999</v>
      </c>
      <c r="AB3474">
        <f>ROUND(U3474-AA3474,2)</f>
        <v/>
      </c>
      <c r="AC3474" t="b">
        <v>0</v>
      </c>
      <c r="AD3474">
        <f>IF(U3474="","MISSING_TOTAL",IF(ABS(AB3474)&lt;=0.01,"OK","CHECK"))</f>
        <v/>
      </c>
      <c r="AE3474">
        <f>IF(U3474="","MISSING",IF(AND(AA3474&gt;0,U3474/AA3474&gt;50),"POSSIBLE_SCALE_ERROR","OK"))</f>
        <v/>
      </c>
    </row>
    <row r="3475">
      <c r="A3475" t="inlineStr">
        <is>
          <t>T-2014-Q1-00038</t>
        </is>
      </c>
      <c r="B3475" t="inlineStr">
        <is>
          <t>SLE</t>
        </is>
      </c>
      <c r="C3475" t="inlineStr">
        <is>
          <t>President</t>
        </is>
      </c>
      <c r="D3475" t="inlineStr">
        <is>
          <t>Président</t>
        </is>
      </c>
      <c r="E3475" t="inlineStr">
        <is>
          <t>Paul J. LeBlanc</t>
        </is>
      </c>
      <c r="F3475" t="inlineStr">
        <is>
          <t>For various meetings and discussions with: key stakeholders; with Agency officials; with Government of Canada officials</t>
        </is>
      </c>
      <c r="G3475" t="inlineStr">
        <is>
          <t>Diverses réunions et discussions avec des intervenants clés et des fonctionnaires de l'Agence et du gouvernement du Canada</t>
        </is>
      </c>
      <c r="H3475" s="1" t="n">
        <v>41393</v>
      </c>
      <c r="I3475" s="1" t="n">
        <v>41395</v>
      </c>
      <c r="J3475" t="inlineStr">
        <is>
          <t>Sydney, Nova Scotia and Ottawa, Ontario</t>
        </is>
      </c>
      <c r="K3475" t="inlineStr">
        <is>
          <t>Sydney (Nouvelle-Écosse) et Ottawa (Ontario)</t>
        </is>
      </c>
      <c r="P3475" t="n">
        <v>1177.21</v>
      </c>
      <c r="Q3475" t="n">
        <v>0</v>
      </c>
      <c r="R3475" t="n">
        <v>311.79</v>
      </c>
      <c r="S3475" t="n">
        <v>196.5</v>
      </c>
      <c r="T3475" t="n">
        <v>0</v>
      </c>
      <c r="U3475" t="n">
        <v>1685.5</v>
      </c>
      <c r="X3475" t="inlineStr">
        <is>
          <t>acoa-apeca</t>
        </is>
      </c>
      <c r="Y3475" t="inlineStr">
        <is>
          <t>Atlantic Canada Opportunities Agency | Agence de promotion économique du Canada atlantique</t>
        </is>
      </c>
      <c r="Z3475" t="n">
        <v>3</v>
      </c>
      <c r="AA3475" t="n">
        <v>1685.5</v>
      </c>
      <c r="AB3475">
        <f>ROUND(U3475-AA3475,2)</f>
        <v/>
      </c>
      <c r="AC3475" t="b">
        <v>0</v>
      </c>
      <c r="AD3475">
        <f>IF(U3475="","MISSING_TOTAL",IF(ABS(AB3475)&lt;=0.01,"OK","CHECK"))</f>
        <v/>
      </c>
      <c r="AE3475">
        <f>IF(U3475="","MISSING",IF(AND(AA3475&gt;0,U3475/AA3475&gt;50),"POSSIBLE_SCALE_ERROR","OK"))</f>
        <v/>
      </c>
    </row>
    <row r="3476">
      <c r="A3476" t="inlineStr">
        <is>
          <t>T-2014-Q1-00036</t>
        </is>
      </c>
      <c r="B3476" t="inlineStr">
        <is>
          <t>MPSES</t>
        </is>
      </c>
      <c r="C3476" t="inlineStr">
        <is>
          <t>Director of Communications</t>
        </is>
      </c>
      <c r="D3476" t="inlineStr">
        <is>
          <t>Directrice des communications</t>
        </is>
      </c>
      <c r="E3476" t="inlineStr">
        <is>
          <t>Sophie Doucet</t>
        </is>
      </c>
      <c r="F3476" t="inlineStr">
        <is>
          <t>To accompany Minister to various Atlantic Canada Opportunities Agency events</t>
        </is>
      </c>
      <c r="G3476" t="inlineStr">
        <is>
          <t>Accompagner la ministre à diverses activités de l'Agence de promotion économique du Canada atlantique</t>
        </is>
      </c>
      <c r="H3476" s="1" t="n">
        <v>41389</v>
      </c>
      <c r="I3476" s="1" t="n">
        <v>41390</v>
      </c>
      <c r="J3476" t="inlineStr">
        <is>
          <t>Halifax, Nova Scotia</t>
        </is>
      </c>
      <c r="K3476" t="inlineStr">
        <is>
          <t>Halifax (Nouvelle-Écosse)</t>
        </is>
      </c>
      <c r="P3476" t="n">
        <v>781.16</v>
      </c>
      <c r="Q3476" t="n">
        <v>37</v>
      </c>
      <c r="R3476" t="n">
        <v>146.63</v>
      </c>
      <c r="S3476" t="n">
        <v>65.40000000000001</v>
      </c>
      <c r="T3476" t="n">
        <v>0</v>
      </c>
      <c r="U3476" t="n">
        <v>1030.19</v>
      </c>
      <c r="X3476" t="inlineStr">
        <is>
          <t>acoa-apeca</t>
        </is>
      </c>
      <c r="Y3476" t="inlineStr">
        <is>
          <t>Atlantic Canada Opportunities Agency | Agence de promotion économique du Canada atlantique</t>
        </is>
      </c>
      <c r="Z3476" t="n">
        <v>2</v>
      </c>
      <c r="AA3476" t="n">
        <v>1030.19</v>
      </c>
      <c r="AB3476">
        <f>ROUND(U3476-AA3476,2)</f>
        <v/>
      </c>
      <c r="AC3476" t="b">
        <v>0</v>
      </c>
      <c r="AD3476">
        <f>IF(U3476="","MISSING_TOTAL",IF(ABS(AB3476)&lt;=0.01,"OK","CHECK"))</f>
        <v/>
      </c>
      <c r="AE3476">
        <f>IF(U3476="","MISSING",IF(AND(AA3476&gt;0,U3476/AA3476&gt;50),"POSSIBLE_SCALE_ERROR","OK"))</f>
        <v/>
      </c>
    </row>
    <row r="3477">
      <c r="A3477" t="inlineStr">
        <is>
          <t>T-2014-Q1-00035</t>
        </is>
      </c>
      <c r="B3477" t="inlineStr">
        <is>
          <t>MPSES</t>
        </is>
      </c>
      <c r="C3477" t="inlineStr">
        <is>
          <t>Minister</t>
        </is>
      </c>
      <c r="D3477" t="inlineStr">
        <is>
          <t>Ministre</t>
        </is>
      </c>
      <c r="E3477" t="inlineStr">
        <is>
          <t>Gail Shea</t>
        </is>
      </c>
      <c r="F3477" t="inlineStr">
        <is>
          <t>To attend the Marine and Defence Forum and Atlantic Mayors Congress</t>
        </is>
      </c>
      <c r="G3477" t="inlineStr">
        <is>
          <t>Participation au Forum des secteurs de la marine et de la défense et au Congrès des maires de la région de l'Atlantique</t>
        </is>
      </c>
      <c r="H3477" s="1" t="n">
        <v>41389</v>
      </c>
      <c r="I3477" s="1" t="n">
        <v>41390</v>
      </c>
      <c r="J3477" t="inlineStr">
        <is>
          <t>Halifax, Nova Scotia</t>
        </is>
      </c>
      <c r="K3477" t="inlineStr">
        <is>
          <t>Halifax (Nouvelle-Écosse)</t>
        </is>
      </c>
      <c r="P3477" t="n">
        <v>1318.22</v>
      </c>
      <c r="Q3477" t="n">
        <v>137.25</v>
      </c>
      <c r="R3477" t="n">
        <v>146.63</v>
      </c>
      <c r="S3477" t="n">
        <v>32.45</v>
      </c>
      <c r="T3477" t="n">
        <v>0</v>
      </c>
      <c r="U3477" t="n">
        <v>1634.55</v>
      </c>
      <c r="X3477" t="inlineStr">
        <is>
          <t>acoa-apeca</t>
        </is>
      </c>
      <c r="Y3477" t="inlineStr">
        <is>
          <t>Atlantic Canada Opportunities Agency | Agence de promotion économique du Canada atlantique</t>
        </is>
      </c>
      <c r="Z3477" t="n">
        <v>2</v>
      </c>
      <c r="AA3477" t="n">
        <v>1634.55</v>
      </c>
      <c r="AB3477">
        <f>ROUND(U3477-AA3477,2)</f>
        <v/>
      </c>
      <c r="AC3477" t="b">
        <v>0</v>
      </c>
      <c r="AD3477">
        <f>IF(U3477="","MISSING_TOTAL",IF(ABS(AB3477)&lt;=0.01,"OK","CHECK"))</f>
        <v/>
      </c>
      <c r="AE3477">
        <f>IF(U3477="","MISSING",IF(AND(AA3477&gt;0,U3477/AA3477&gt;50),"POSSIBLE_SCALE_ERROR","OK"))</f>
        <v/>
      </c>
    </row>
    <row r="3478">
      <c r="A3478" t="inlineStr">
        <is>
          <t>T-2014-Q1-00019</t>
        </is>
      </c>
      <c r="B3478" t="inlineStr">
        <is>
          <t>MPSES</t>
        </is>
      </c>
      <c r="C3478" t="inlineStr">
        <is>
          <t>Director of Communications</t>
        </is>
      </c>
      <c r="D3478" t="inlineStr">
        <is>
          <t>Directrice des communications</t>
        </is>
      </c>
      <c r="E3478" t="inlineStr">
        <is>
          <t>Sophie Doucet</t>
        </is>
      </c>
      <c r="F3478" t="inlineStr">
        <is>
          <t>To accompany Minister on Newfoundland and Labrador Tour</t>
        </is>
      </c>
      <c r="G3478" t="inlineStr">
        <is>
          <t>Accompagner la ministre à l'occasion d'une visite à Terre-Neuve-et-Labrador</t>
        </is>
      </c>
      <c r="H3478" s="1" t="n">
        <v>41367</v>
      </c>
      <c r="I3478" s="1" t="n">
        <v>41369</v>
      </c>
      <c r="J3478" t="inlineStr">
        <is>
          <t>St. John's and Goose Bay, Newfoundland and Labrador</t>
        </is>
      </c>
      <c r="K3478" t="inlineStr">
        <is>
          <t>St. John's et Goose Bay (Terre-Neuve-et-Labrador)</t>
        </is>
      </c>
      <c r="P3478" t="n">
        <v>1429.05</v>
      </c>
      <c r="Q3478" t="n">
        <v>73</v>
      </c>
      <c r="R3478" t="n">
        <v>291.04</v>
      </c>
      <c r="S3478" t="n">
        <v>181.35</v>
      </c>
      <c r="T3478" t="n">
        <v>0</v>
      </c>
      <c r="U3478" t="n">
        <v>1974.44</v>
      </c>
      <c r="X3478" t="inlineStr">
        <is>
          <t>acoa-apeca</t>
        </is>
      </c>
      <c r="Y3478" t="inlineStr">
        <is>
          <t>Atlantic Canada Opportunities Agency | Agence de promotion économique du Canada atlantique</t>
        </is>
      </c>
      <c r="Z3478" t="n">
        <v>3</v>
      </c>
      <c r="AA3478" t="n">
        <v>1974.43999999999</v>
      </c>
      <c r="AB3478">
        <f>ROUND(U3478-AA3478,2)</f>
        <v/>
      </c>
      <c r="AC3478" t="b">
        <v>0</v>
      </c>
      <c r="AD3478">
        <f>IF(U3478="","MISSING_TOTAL",IF(ABS(AB3478)&lt;=0.01,"OK","CHECK"))</f>
        <v/>
      </c>
      <c r="AE3478">
        <f>IF(U3478="","MISSING",IF(AND(AA3478&gt;0,U3478/AA3478&gt;50),"POSSIBLE_SCALE_ERROR","OK"))</f>
        <v/>
      </c>
    </row>
    <row r="3479">
      <c r="A3479" t="inlineStr">
        <is>
          <t>T-2014-Q1-00034</t>
        </is>
      </c>
      <c r="B3479" t="inlineStr">
        <is>
          <t>SLE</t>
        </is>
      </c>
      <c r="C3479" t="inlineStr">
        <is>
          <t>Vice-President, Newfoundland and Labrador</t>
        </is>
      </c>
      <c r="D3479" t="inlineStr">
        <is>
          <t>Vice-président, Terre-Neuve-et-Labrador</t>
        </is>
      </c>
      <c r="E3479" t="inlineStr">
        <is>
          <t>Paul Mills</t>
        </is>
      </c>
      <c r="F3479" t="inlineStr">
        <is>
          <t>To attend the Atlantic Marine and Defence Industry Forum</t>
        </is>
      </c>
      <c r="G3479" t="inlineStr">
        <is>
          <t>Participation au Forum des secteurs de la marine et de la défense dans la région de l’Atlantique</t>
        </is>
      </c>
      <c r="H3479" s="1" t="n">
        <v>41389</v>
      </c>
      <c r="I3479" s="1" t="n">
        <v>41390</v>
      </c>
      <c r="J3479" t="inlineStr">
        <is>
          <t>Halifax, Nova Scotia</t>
        </is>
      </c>
      <c r="K3479" t="inlineStr">
        <is>
          <t>Halifax (Nouvelle-Écosse)</t>
        </is>
      </c>
      <c r="P3479" t="n">
        <v>1376.74</v>
      </c>
      <c r="Q3479" t="n">
        <v>109.86</v>
      </c>
      <c r="R3479" t="n">
        <v>139.59</v>
      </c>
      <c r="S3479" t="n">
        <v>133.75</v>
      </c>
      <c r="T3479" t="n">
        <v>6.13</v>
      </c>
      <c r="U3479" t="n">
        <v>1766.07</v>
      </c>
      <c r="X3479" t="inlineStr">
        <is>
          <t>acoa-apeca</t>
        </is>
      </c>
      <c r="Y3479" t="inlineStr">
        <is>
          <t>Atlantic Canada Opportunities Agency | Agence de promotion économique du Canada atlantique</t>
        </is>
      </c>
      <c r="Z3479" t="n">
        <v>2</v>
      </c>
      <c r="AA3479" t="n">
        <v>1766.07</v>
      </c>
      <c r="AB3479">
        <f>ROUND(U3479-AA3479,2)</f>
        <v/>
      </c>
      <c r="AC3479" t="b">
        <v>0</v>
      </c>
      <c r="AD3479">
        <f>IF(U3479="","MISSING_TOTAL",IF(ABS(AB3479)&lt;=0.01,"OK","CHECK"))</f>
        <v/>
      </c>
      <c r="AE3479">
        <f>IF(U3479="","MISSING",IF(AND(AA3479&gt;0,U3479/AA3479&gt;50),"POSSIBLE_SCALE_ERROR","OK"))</f>
        <v/>
      </c>
    </row>
    <row r="3480">
      <c r="A3480" t="inlineStr">
        <is>
          <t>T-2014-Q1-00033</t>
        </is>
      </c>
      <c r="B3480" t="inlineStr">
        <is>
          <t>SLE</t>
        </is>
      </c>
      <c r="C3480" t="inlineStr">
        <is>
          <t>Vice-President, Policy and Programs</t>
        </is>
      </c>
      <c r="D3480" t="inlineStr">
        <is>
          <t>Vice-président, Politiques et Programmes</t>
        </is>
      </c>
      <c r="E3480" t="inlineStr">
        <is>
          <t>Daryell Nowlan</t>
        </is>
      </c>
      <c r="F3480" t="inlineStr">
        <is>
          <t>Meeting with private sector, provincial and Government of Canada officials</t>
        </is>
      </c>
      <c r="G3480" t="inlineStr">
        <is>
          <t>Réunion avec des représentants du secteur privé et des fonctionnaires des gouvernements provincial et fédéral</t>
        </is>
      </c>
      <c r="H3480" s="1" t="n">
        <v>41388</v>
      </c>
      <c r="I3480" s="1" t="n">
        <v>41390</v>
      </c>
      <c r="J3480" t="inlineStr">
        <is>
          <t>Halifax, Nova Scotia</t>
        </is>
      </c>
      <c r="K3480" t="inlineStr">
        <is>
          <t>Halifax (Nouvelle-Écosse)</t>
        </is>
      </c>
      <c r="P3480" t="n">
        <v>0</v>
      </c>
      <c r="Q3480" t="n">
        <v>308.12</v>
      </c>
      <c r="R3480" t="n">
        <v>293.26</v>
      </c>
      <c r="S3480" t="n">
        <v>192.3</v>
      </c>
      <c r="T3480" t="n">
        <v>0</v>
      </c>
      <c r="U3480" t="n">
        <v>793.6799999999999</v>
      </c>
      <c r="X3480" t="inlineStr">
        <is>
          <t>acoa-apeca</t>
        </is>
      </c>
      <c r="Y3480" t="inlineStr">
        <is>
          <t>Atlantic Canada Opportunities Agency | Agence de promotion économique du Canada atlantique</t>
        </is>
      </c>
      <c r="Z3480" t="n">
        <v>3</v>
      </c>
      <c r="AA3480" t="n">
        <v>793.6799999999999</v>
      </c>
      <c r="AB3480">
        <f>ROUND(U3480-AA3480,2)</f>
        <v/>
      </c>
      <c r="AC3480" t="b">
        <v>0</v>
      </c>
      <c r="AD3480">
        <f>IF(U3480="","MISSING_TOTAL",IF(ABS(AB3480)&lt;=0.01,"OK","CHECK"))</f>
        <v/>
      </c>
      <c r="AE3480">
        <f>IF(U3480="","MISSING",IF(AND(AA3480&gt;0,U3480/AA3480&gt;50),"POSSIBLE_SCALE_ERROR","OK"))</f>
        <v/>
      </c>
    </row>
    <row r="3481">
      <c r="A3481" t="inlineStr">
        <is>
          <t>T-2014-Q1-00032</t>
        </is>
      </c>
      <c r="B3481" t="inlineStr">
        <is>
          <t>SLE</t>
        </is>
      </c>
      <c r="C3481" t="inlineStr">
        <is>
          <t>Vice-President, Finance and Corporate Services</t>
        </is>
      </c>
      <c r="D3481" t="inlineStr">
        <is>
          <t>Vice-présidente, Finances et Services corporatifs</t>
        </is>
      </c>
      <c r="E3481" t="inlineStr">
        <is>
          <t>Denise Frenette</t>
        </is>
      </c>
      <c r="F3481" t="inlineStr">
        <is>
          <t>Meeting with Agency officials and private sector official</t>
        </is>
      </c>
      <c r="G3481" t="inlineStr">
        <is>
          <t>Participation à une réunion avec des fonctionnaires de l'Agence et des représentants du secteur privé</t>
        </is>
      </c>
      <c r="H3481" s="1" t="n">
        <v>41386</v>
      </c>
      <c r="I3481" s="1" t="n">
        <v>41387</v>
      </c>
      <c r="J3481" t="inlineStr">
        <is>
          <t>Ottawa, Ontario</t>
        </is>
      </c>
      <c r="K3481" t="inlineStr">
        <is>
          <t>Ottawa (Ontario)</t>
        </is>
      </c>
      <c r="P3481" t="n">
        <v>723.2</v>
      </c>
      <c r="Q3481" t="n">
        <v>94.45999999999999</v>
      </c>
      <c r="R3481" t="n">
        <v>177.41</v>
      </c>
      <c r="S3481" t="n">
        <v>133.25</v>
      </c>
      <c r="T3481" t="n">
        <v>2.12</v>
      </c>
      <c r="U3481" t="n">
        <v>1130.44</v>
      </c>
      <c r="X3481" t="inlineStr">
        <is>
          <t>acoa-apeca</t>
        </is>
      </c>
      <c r="Y3481" t="inlineStr">
        <is>
          <t>Atlantic Canada Opportunities Agency | Agence de promotion économique du Canada atlantique</t>
        </is>
      </c>
      <c r="Z3481" t="n">
        <v>2</v>
      </c>
      <c r="AA3481" t="n">
        <v>1130.44</v>
      </c>
      <c r="AB3481">
        <f>ROUND(U3481-AA3481,2)</f>
        <v/>
      </c>
      <c r="AC3481" t="b">
        <v>0</v>
      </c>
      <c r="AD3481">
        <f>IF(U3481="","MISSING_TOTAL",IF(ABS(AB3481)&lt;=0.01,"OK","CHECK"))</f>
        <v/>
      </c>
      <c r="AE3481">
        <f>IF(U3481="","MISSING",IF(AND(AA3481&gt;0,U3481/AA3481&gt;50),"POSSIBLE_SCALE_ERROR","OK"))</f>
        <v/>
      </c>
    </row>
    <row r="3482">
      <c r="A3482" t="inlineStr">
        <is>
          <t>T-2014-Q1-00031</t>
        </is>
      </c>
      <c r="B3482" t="inlineStr">
        <is>
          <t>SLE</t>
        </is>
      </c>
      <c r="C3482" t="inlineStr">
        <is>
          <t>Vice-President, Prince Edward Island</t>
        </is>
      </c>
      <c r="D3482" t="inlineStr">
        <is>
          <t>Vice-président, Île-du-Prince-Édouard</t>
        </is>
      </c>
      <c r="E3482" t="inlineStr">
        <is>
          <t>Patrick Dorsey</t>
        </is>
      </c>
      <c r="F3482" t="inlineStr">
        <is>
          <t>BIO 2013 Conference, Chicago, Illinois</t>
        </is>
      </c>
      <c r="G3482" t="inlineStr">
        <is>
          <t>Participation à la BIO 2013 Conference, à Chicago en Illinois</t>
        </is>
      </c>
      <c r="H3482" s="1" t="n">
        <v>41385</v>
      </c>
      <c r="I3482" s="1" t="n">
        <v>41390</v>
      </c>
      <c r="J3482" t="inlineStr">
        <is>
          <t>Chicago, Illinois</t>
        </is>
      </c>
      <c r="K3482" t="inlineStr">
        <is>
          <t>Chicago (Illinois)</t>
        </is>
      </c>
      <c r="P3482" t="n">
        <v>973.96</v>
      </c>
      <c r="Q3482" t="n">
        <v>147.01</v>
      </c>
      <c r="R3482" t="n">
        <v>1194.6</v>
      </c>
      <c r="S3482" t="n">
        <v>336.24</v>
      </c>
      <c r="T3482" t="n">
        <v>9.57</v>
      </c>
      <c r="U3482" t="n">
        <v>2661.38</v>
      </c>
      <c r="X3482" t="inlineStr">
        <is>
          <t>acoa-apeca</t>
        </is>
      </c>
      <c r="Y3482" t="inlineStr">
        <is>
          <t>Atlantic Canada Opportunities Agency | Agence de promotion économique du Canada atlantique</t>
        </is>
      </c>
      <c r="Z3482" t="n">
        <v>6</v>
      </c>
      <c r="AA3482" t="n">
        <v>2661.37999999999</v>
      </c>
      <c r="AB3482">
        <f>ROUND(U3482-AA3482,2)</f>
        <v/>
      </c>
      <c r="AC3482" t="b">
        <v>0</v>
      </c>
      <c r="AD3482">
        <f>IF(U3482="","MISSING_TOTAL",IF(ABS(AB3482)&lt;=0.01,"OK","CHECK"))</f>
        <v/>
      </c>
      <c r="AE3482">
        <f>IF(U3482="","MISSING",IF(AND(AA3482&gt;0,U3482/AA3482&gt;50),"POSSIBLE_SCALE_ERROR","OK"))</f>
        <v/>
      </c>
    </row>
    <row r="3483">
      <c r="A3483" t="inlineStr">
        <is>
          <t>T-2014-Q1-00030</t>
        </is>
      </c>
      <c r="B3483" t="inlineStr">
        <is>
          <t>SLE</t>
        </is>
      </c>
      <c r="C3483" t="inlineStr">
        <is>
          <t>Vice-President, New Brunswick</t>
        </is>
      </c>
      <c r="D3483" t="inlineStr">
        <is>
          <t>Vice-présidente, Nouveau-Brunswick</t>
        </is>
      </c>
      <c r="E3483" t="inlineStr">
        <is>
          <t>Janet Gagnon</t>
        </is>
      </c>
      <c r="F3483" t="inlineStr">
        <is>
          <t>Northern Strategy Meeting</t>
        </is>
      </c>
      <c r="G3483" t="inlineStr">
        <is>
          <t>Réunion sur la stratégie du Nord</t>
        </is>
      </c>
      <c r="H3483" s="1" t="n">
        <v>41383</v>
      </c>
      <c r="I3483" s="1" t="n">
        <v>41383</v>
      </c>
      <c r="J3483" t="inlineStr">
        <is>
          <t>Edmundston, New Brunswick</t>
        </is>
      </c>
      <c r="K3483" t="inlineStr">
        <is>
          <t>Edmundston (Nouveau-Brunswick)</t>
        </is>
      </c>
      <c r="P3483" t="n">
        <v>0</v>
      </c>
      <c r="Q3483" t="n">
        <v>0</v>
      </c>
      <c r="R3483" t="n">
        <v>111.87</v>
      </c>
      <c r="S3483" t="n">
        <v>106.4</v>
      </c>
      <c r="T3483" t="n">
        <v>0</v>
      </c>
      <c r="U3483" t="n">
        <v>218.27</v>
      </c>
      <c r="X3483" t="inlineStr">
        <is>
          <t>acoa-apeca</t>
        </is>
      </c>
      <c r="Y3483" t="inlineStr">
        <is>
          <t>Atlantic Canada Opportunities Agency | Agence de promotion économique du Canada atlantique</t>
        </is>
      </c>
      <c r="Z3483" t="n">
        <v>1</v>
      </c>
      <c r="AA3483" t="n">
        <v>218.27</v>
      </c>
      <c r="AB3483">
        <f>ROUND(U3483-AA3483,2)</f>
        <v/>
      </c>
      <c r="AC3483" t="b">
        <v>0</v>
      </c>
      <c r="AD3483">
        <f>IF(U3483="","MISSING_TOTAL",IF(ABS(AB3483)&lt;=0.01,"OK","CHECK"))</f>
        <v/>
      </c>
      <c r="AE3483">
        <f>IF(U3483="","MISSING",IF(AND(AA3483&gt;0,U3483/AA3483&gt;50),"POSSIBLE_SCALE_ERROR","OK"))</f>
        <v/>
      </c>
    </row>
    <row r="3484">
      <c r="A3484" t="inlineStr">
        <is>
          <t>T-2014-Q1-00028</t>
        </is>
      </c>
      <c r="B3484" t="inlineStr">
        <is>
          <t>SLE</t>
        </is>
      </c>
      <c r="C3484" t="inlineStr">
        <is>
          <t>Vice-President, Policy and Programs</t>
        </is>
      </c>
      <c r="D3484" t="inlineStr">
        <is>
          <t>Vice-président, Politiques et Programmes</t>
        </is>
      </c>
      <c r="E3484" t="inlineStr">
        <is>
          <t>Daryell Nowlan</t>
        </is>
      </c>
      <c r="F3484" t="inlineStr">
        <is>
          <t>Meetings with Government of Canada officials</t>
        </is>
      </c>
      <c r="G3484" t="inlineStr">
        <is>
          <t>Réunions avec des fonctionnaires du gouvernement du Canada</t>
        </is>
      </c>
      <c r="H3484" s="1" t="n">
        <v>41379</v>
      </c>
      <c r="I3484" s="1" t="n">
        <v>41382</v>
      </c>
      <c r="J3484" t="inlineStr">
        <is>
          <t>Ottawa, Ontario</t>
        </is>
      </c>
      <c r="K3484" t="inlineStr">
        <is>
          <t>Ottawa (Ontario)</t>
        </is>
      </c>
      <c r="P3484" t="n">
        <v>899.5599999999999</v>
      </c>
      <c r="Q3484" t="n">
        <v>105.9</v>
      </c>
      <c r="R3484" t="n">
        <v>532.23</v>
      </c>
      <c r="S3484" t="n">
        <v>255.05</v>
      </c>
      <c r="T3484" t="n">
        <v>0</v>
      </c>
      <c r="U3484" t="n">
        <v>1792.74</v>
      </c>
      <c r="X3484" t="inlineStr">
        <is>
          <t>acoa-apeca</t>
        </is>
      </c>
      <c r="Y3484" t="inlineStr">
        <is>
          <t>Atlantic Canada Opportunities Agency | Agence de promotion économique du Canada atlantique</t>
        </is>
      </c>
      <c r="Z3484" t="n">
        <v>4</v>
      </c>
      <c r="AA3484" t="n">
        <v>1792.74</v>
      </c>
      <c r="AB3484">
        <f>ROUND(U3484-AA3484,2)</f>
        <v/>
      </c>
      <c r="AC3484" t="b">
        <v>0</v>
      </c>
      <c r="AD3484">
        <f>IF(U3484="","MISSING_TOTAL",IF(ABS(AB3484)&lt;=0.01,"OK","CHECK"))</f>
        <v/>
      </c>
      <c r="AE3484">
        <f>IF(U3484="","MISSING",IF(AND(AA3484&gt;0,U3484/AA3484&gt;50),"POSSIBLE_SCALE_ERROR","OK"))</f>
        <v/>
      </c>
    </row>
    <row r="3485">
      <c r="A3485" t="inlineStr">
        <is>
          <t>T-2014-Q1-00027</t>
        </is>
      </c>
      <c r="B3485" t="inlineStr">
        <is>
          <t>SLE</t>
        </is>
      </c>
      <c r="C3485" t="inlineStr">
        <is>
          <t>President</t>
        </is>
      </c>
      <c r="D3485" t="inlineStr">
        <is>
          <t>Président</t>
        </is>
      </c>
      <c r="E3485" t="inlineStr">
        <is>
          <t>Paul J. LeBlanc</t>
        </is>
      </c>
      <c r="F3485" t="inlineStr">
        <is>
          <t>For various meetings and discussions with Agency officials; with Government of Canada officials</t>
        </is>
      </c>
      <c r="G3485" t="inlineStr">
        <is>
          <t>Participation à diverses réunions et discussions avec des fonctionnaires de l'Agence et du gouvernement du Canada</t>
        </is>
      </c>
      <c r="H3485" s="1" t="n">
        <v>41379</v>
      </c>
      <c r="I3485" s="1" t="n">
        <v>41380</v>
      </c>
      <c r="J3485" t="inlineStr">
        <is>
          <t>Ottawa, Ontario</t>
        </is>
      </c>
      <c r="K3485" t="inlineStr">
        <is>
          <t>Ottawa (Ontario)</t>
        </is>
      </c>
      <c r="P3485" t="n">
        <v>741.74</v>
      </c>
      <c r="Q3485" t="n">
        <v>12.87</v>
      </c>
      <c r="R3485" t="n">
        <v>190.97</v>
      </c>
      <c r="S3485" t="n">
        <v>122.3</v>
      </c>
      <c r="T3485" t="n">
        <v>201.5</v>
      </c>
      <c r="U3485" t="n">
        <v>1269.38</v>
      </c>
      <c r="X3485" t="inlineStr">
        <is>
          <t>acoa-apeca</t>
        </is>
      </c>
      <c r="Y3485" t="inlineStr">
        <is>
          <t>Atlantic Canada Opportunities Agency | Agence de promotion économique du Canada atlantique</t>
        </is>
      </c>
      <c r="Z3485" t="n">
        <v>2</v>
      </c>
      <c r="AA3485" t="n">
        <v>1269.38</v>
      </c>
      <c r="AB3485">
        <f>ROUND(U3485-AA3485,2)</f>
        <v/>
      </c>
      <c r="AC3485" t="b">
        <v>0</v>
      </c>
      <c r="AD3485">
        <f>IF(U3485="","MISSING_TOTAL",IF(ABS(AB3485)&lt;=0.01,"OK","CHECK"))</f>
        <v/>
      </c>
      <c r="AE3485">
        <f>IF(U3485="","MISSING",IF(AND(AA3485&gt;0,U3485/AA3485&gt;50),"POSSIBLE_SCALE_ERROR","OK"))</f>
        <v/>
      </c>
    </row>
    <row r="3486">
      <c r="A3486" t="inlineStr">
        <is>
          <t>T-2014-Q1-00018</t>
        </is>
      </c>
      <c r="B3486" t="inlineStr">
        <is>
          <t>SLE</t>
        </is>
      </c>
      <c r="C3486" t="inlineStr">
        <is>
          <t>President</t>
        </is>
      </c>
      <c r="D3486" t="inlineStr">
        <is>
          <t>Président</t>
        </is>
      </c>
      <c r="E3486" t="inlineStr">
        <is>
          <t>Paul J. LeBlanc</t>
        </is>
      </c>
      <c r="F3486" t="inlineStr">
        <is>
          <t>For various meetings and discussions with Agency officials</t>
        </is>
      </c>
      <c r="G3486" t="inlineStr">
        <is>
          <t>Participation à diverses réunions et discussions avec des fonctionnaires de l'Agence</t>
        </is>
      </c>
      <c r="H3486" s="1" t="n">
        <v>41367</v>
      </c>
      <c r="I3486" s="1" t="n">
        <v>41368</v>
      </c>
      <c r="J3486" t="inlineStr">
        <is>
          <t>St. John's, Newfoundland and Labrador</t>
        </is>
      </c>
      <c r="K3486" t="inlineStr">
        <is>
          <t>St. John's (Terre-Neuve-et-Labrador)</t>
        </is>
      </c>
      <c r="P3486" t="n">
        <v>1659.68</v>
      </c>
      <c r="Q3486" t="n">
        <v>0</v>
      </c>
      <c r="R3486" t="n">
        <v>155.44</v>
      </c>
      <c r="S3486" t="n">
        <v>107.15</v>
      </c>
      <c r="T3486" t="n">
        <v>0</v>
      </c>
      <c r="U3486" t="n">
        <v>1922.27</v>
      </c>
      <c r="X3486" t="inlineStr">
        <is>
          <t>acoa-apeca</t>
        </is>
      </c>
      <c r="Y3486" t="inlineStr">
        <is>
          <t>Atlantic Canada Opportunities Agency | Agence de promotion économique du Canada atlantique</t>
        </is>
      </c>
      <c r="Z3486" t="n">
        <v>2</v>
      </c>
      <c r="AA3486" t="n">
        <v>1922.27</v>
      </c>
      <c r="AB3486">
        <f>ROUND(U3486-AA3486,2)</f>
        <v/>
      </c>
      <c r="AC3486" t="b">
        <v>0</v>
      </c>
      <c r="AD3486">
        <f>IF(U3486="","MISSING_TOTAL",IF(ABS(AB3486)&lt;=0.01,"OK","CHECK"))</f>
        <v/>
      </c>
      <c r="AE3486">
        <f>IF(U3486="","MISSING",IF(AND(AA3486&gt;0,U3486/AA3486&gt;50),"POSSIBLE_SCALE_ERROR","OK"))</f>
        <v/>
      </c>
    </row>
    <row r="3487">
      <c r="A3487" t="inlineStr">
        <is>
          <t>T-2014-Q1-00026</t>
        </is>
      </c>
      <c r="B3487" t="inlineStr">
        <is>
          <t>SLE</t>
        </is>
      </c>
      <c r="C3487" t="inlineStr">
        <is>
          <t>Vice-President, Finance and Corporate Services</t>
        </is>
      </c>
      <c r="D3487" t="inlineStr">
        <is>
          <t>Vice-présidente, Finances et Services corporatifs</t>
        </is>
      </c>
      <c r="E3487" t="inlineStr">
        <is>
          <t>Denise Frenette</t>
        </is>
      </c>
      <c r="F3487" t="inlineStr">
        <is>
          <t>Meetings with Government of Canada officials; meetings with Agency officials and private sector officials</t>
        </is>
      </c>
      <c r="G3487" t="inlineStr">
        <is>
          <t>Participation à des réunions avec des fonctionnaires du gouvernement du Canada et de l'Agence et avec des représentants du secteur privé</t>
        </is>
      </c>
      <c r="H3487" s="1" t="n">
        <v>41378</v>
      </c>
      <c r="I3487" s="1" t="n">
        <v>41382</v>
      </c>
      <c r="J3487" t="inlineStr">
        <is>
          <t>Ottawa, Ontario</t>
        </is>
      </c>
      <c r="K3487" t="inlineStr">
        <is>
          <t>Ottawa (Ontario)</t>
        </is>
      </c>
      <c r="P3487" t="n">
        <v>602.4299999999999</v>
      </c>
      <c r="Q3487" t="n">
        <v>104.92</v>
      </c>
      <c r="R3487" t="n">
        <v>532.23</v>
      </c>
      <c r="S3487" t="n">
        <v>255.05</v>
      </c>
      <c r="T3487" t="n">
        <v>33.89</v>
      </c>
      <c r="U3487" t="n">
        <v>1528.52</v>
      </c>
      <c r="X3487" t="inlineStr">
        <is>
          <t>acoa-apeca</t>
        </is>
      </c>
      <c r="Y3487" t="inlineStr">
        <is>
          <t>Atlantic Canada Opportunities Agency | Agence de promotion économique du Canada atlantique</t>
        </is>
      </c>
      <c r="Z3487" t="n">
        <v>5</v>
      </c>
      <c r="AA3487" t="n">
        <v>1528.52</v>
      </c>
      <c r="AB3487">
        <f>ROUND(U3487-AA3487,2)</f>
        <v/>
      </c>
      <c r="AC3487" t="b">
        <v>0</v>
      </c>
      <c r="AD3487">
        <f>IF(U3487="","MISSING_TOTAL",IF(ABS(AB3487)&lt;=0.01,"OK","CHECK"))</f>
        <v/>
      </c>
      <c r="AE3487">
        <f>IF(U3487="","MISSING",IF(AND(AA3487&gt;0,U3487/AA3487&gt;50),"POSSIBLE_SCALE_ERROR","OK"))</f>
        <v/>
      </c>
    </row>
    <row r="3488">
      <c r="A3488" t="inlineStr">
        <is>
          <t>T-2013-Q1-00058</t>
        </is>
      </c>
      <c r="B3488" t="inlineStr">
        <is>
          <t>MPSES</t>
        </is>
      </c>
      <c r="C3488" t="inlineStr">
        <is>
          <t>Minister of State</t>
        </is>
      </c>
      <c r="D3488" t="inlineStr">
        <is>
          <t>Ministre d'État</t>
        </is>
      </c>
      <c r="E3488" t="inlineStr">
        <is>
          <t>Bernard Valcourt</t>
        </is>
      </c>
      <c r="F3488" t="inlineStr">
        <is>
          <t>Government of Canada announcement</t>
        </is>
      </c>
      <c r="G3488" t="inlineStr">
        <is>
          <t>Annonce du gouvernement du Canada</t>
        </is>
      </c>
      <c r="H3488" s="1" t="n">
        <v>41025</v>
      </c>
      <c r="I3488" s="1" t="n">
        <v>41027</v>
      </c>
      <c r="J3488" t="inlineStr">
        <is>
          <t>Edmundston, New Brunswick</t>
        </is>
      </c>
      <c r="K3488" t="inlineStr">
        <is>
          <t>Edmundston (Nouveau-Brunswick)</t>
        </is>
      </c>
      <c r="P3488" t="n">
        <v>0</v>
      </c>
      <c r="Q3488" t="n">
        <v>739.53</v>
      </c>
      <c r="R3488" t="n">
        <v>0</v>
      </c>
      <c r="S3488" t="n">
        <v>163.3</v>
      </c>
      <c r="T3488" t="n">
        <v>0</v>
      </c>
      <c r="U3488" t="n">
        <v>902.83</v>
      </c>
      <c r="X3488" t="inlineStr">
        <is>
          <t>acoa-apeca</t>
        </is>
      </c>
      <c r="Y3488" t="inlineStr">
        <is>
          <t>Atlantic Canada Opportunities Agency | Agence de promotion économique du Canada atlantique</t>
        </is>
      </c>
      <c r="Z3488" t="n">
        <v>3</v>
      </c>
      <c r="AA3488" t="n">
        <v>902.829999999999</v>
      </c>
      <c r="AB3488">
        <f>ROUND(U3488-AA3488,2)</f>
        <v/>
      </c>
      <c r="AC3488" t="b">
        <v>0</v>
      </c>
      <c r="AD3488">
        <f>IF(U3488="","MISSING_TOTAL",IF(ABS(AB3488)&lt;=0.01,"OK","CHECK"))</f>
        <v/>
      </c>
      <c r="AE3488">
        <f>IF(U3488="","MISSING",IF(AND(AA3488&gt;0,U3488/AA3488&gt;50),"POSSIBLE_SCALE_ERROR","OK"))</f>
        <v/>
      </c>
    </row>
    <row r="3489">
      <c r="A3489" t="inlineStr">
        <is>
          <t>T-2014-Q1-00025</t>
        </is>
      </c>
      <c r="B3489" t="inlineStr">
        <is>
          <t>SLE</t>
        </is>
      </c>
      <c r="C3489" t="inlineStr">
        <is>
          <t>Vice-President, Policy and Programs</t>
        </is>
      </c>
      <c r="D3489" t="inlineStr">
        <is>
          <t>Vice-président, Politiques et Programmes</t>
        </is>
      </c>
      <c r="E3489" t="inlineStr">
        <is>
          <t>Daryell Nowlan</t>
        </is>
      </c>
      <c r="F3489" t="inlineStr">
        <is>
          <t>Meetings with Government of Canada officials</t>
        </is>
      </c>
      <c r="G3489" t="inlineStr">
        <is>
          <t>Réunions avec des fonctionnaires du gouvernement du Canada</t>
        </is>
      </c>
      <c r="H3489" s="1" t="n">
        <v>41374</v>
      </c>
      <c r="I3489" s="1" t="n">
        <v>41376</v>
      </c>
      <c r="J3489" t="inlineStr">
        <is>
          <t>Ottawa, Ontario</t>
        </is>
      </c>
      <c r="K3489" t="inlineStr">
        <is>
          <t>Ottawa (Ontario)</t>
        </is>
      </c>
      <c r="P3489" t="n">
        <v>899.5599999999999</v>
      </c>
      <c r="Q3489" t="n">
        <v>115</v>
      </c>
      <c r="R3489" t="n">
        <v>354.82</v>
      </c>
      <c r="S3489" t="n">
        <v>241.77</v>
      </c>
      <c r="T3489" t="n">
        <v>0</v>
      </c>
      <c r="U3489" t="n">
        <v>1611.15</v>
      </c>
      <c r="X3489" t="inlineStr">
        <is>
          <t>acoa-apeca</t>
        </is>
      </c>
      <c r="Y3489" t="inlineStr">
        <is>
          <t>Atlantic Canada Opportunities Agency | Agence de promotion économique du Canada atlantique</t>
        </is>
      </c>
      <c r="Z3489" t="n">
        <v>3</v>
      </c>
      <c r="AA3489" t="n">
        <v>1611.14999999999</v>
      </c>
      <c r="AB3489">
        <f>ROUND(U3489-AA3489,2)</f>
        <v/>
      </c>
      <c r="AC3489" t="b">
        <v>0</v>
      </c>
      <c r="AD3489">
        <f>IF(U3489="","MISSING_TOTAL",IF(ABS(AB3489)&lt;=0.01,"OK","CHECK"))</f>
        <v/>
      </c>
      <c r="AE3489">
        <f>IF(U3489="","MISSING",IF(AND(AA3489&gt;0,U3489/AA3489&gt;50),"POSSIBLE_SCALE_ERROR","OK"))</f>
        <v/>
      </c>
    </row>
    <row r="3490">
      <c r="A3490" t="inlineStr">
        <is>
          <t>T-2014-Q1-00024</t>
        </is>
      </c>
      <c r="B3490" t="inlineStr">
        <is>
          <t>MPSES</t>
        </is>
      </c>
      <c r="C3490" t="inlineStr">
        <is>
          <t>Deputy Chief of Staff and Director of Policy</t>
        </is>
      </c>
      <c r="D3490" t="inlineStr">
        <is>
          <t>Chef de cabinet adjoint et directeur des politiques</t>
        </is>
      </c>
      <c r="E3490" t="inlineStr">
        <is>
          <t>Connor Robinson</t>
        </is>
      </c>
      <c r="F3490" t="inlineStr">
        <is>
          <t>To accompany Minister to various meetings and announcements</t>
        </is>
      </c>
      <c r="G3490" t="inlineStr">
        <is>
          <t>Accompagner la ministre à diverses réunions et annonces</t>
        </is>
      </c>
      <c r="H3490" s="1" t="n">
        <v>41372</v>
      </c>
      <c r="I3490" s="1" t="n">
        <v>41373</v>
      </c>
      <c r="J3490" t="inlineStr">
        <is>
          <t>Halifax and Shelburne, Nova Scotia</t>
        </is>
      </c>
      <c r="K3490" t="inlineStr">
        <is>
          <t>Halifax et Shelburne (Nouvelle-Écosse)</t>
        </is>
      </c>
      <c r="P3490" t="n">
        <v>621.74</v>
      </c>
      <c r="Q3490" t="n">
        <v>356.77</v>
      </c>
      <c r="R3490" t="n">
        <v>103.5</v>
      </c>
      <c r="S3490" t="n">
        <v>148.4</v>
      </c>
      <c r="T3490" t="n">
        <v>0</v>
      </c>
      <c r="U3490" t="n">
        <v>1230.41</v>
      </c>
      <c r="X3490" t="inlineStr">
        <is>
          <t>acoa-apeca</t>
        </is>
      </c>
      <c r="Y3490" t="inlineStr">
        <is>
          <t>Atlantic Canada Opportunities Agency | Agence de promotion économique du Canada atlantique</t>
        </is>
      </c>
      <c r="Z3490" t="n">
        <v>2</v>
      </c>
      <c r="AA3490" t="n">
        <v>1230.41</v>
      </c>
      <c r="AB3490">
        <f>ROUND(U3490-AA3490,2)</f>
        <v/>
      </c>
      <c r="AC3490" t="b">
        <v>0</v>
      </c>
      <c r="AD3490">
        <f>IF(U3490="","MISSING_TOTAL",IF(ABS(AB3490)&lt;=0.01,"OK","CHECK"))</f>
        <v/>
      </c>
      <c r="AE3490">
        <f>IF(U3490="","MISSING",IF(AND(AA3490&gt;0,U3490/AA3490&gt;50),"POSSIBLE_SCALE_ERROR","OK"))</f>
        <v/>
      </c>
    </row>
    <row r="3491">
      <c r="A3491" t="inlineStr">
        <is>
          <t>T-2014-Q1-00023</t>
        </is>
      </c>
      <c r="B3491" t="inlineStr">
        <is>
          <t>MPSES</t>
        </is>
      </c>
      <c r="C3491" t="inlineStr">
        <is>
          <t>Minister</t>
        </is>
      </c>
      <c r="D3491" t="inlineStr">
        <is>
          <t>Ministre</t>
        </is>
      </c>
      <c r="E3491" t="inlineStr">
        <is>
          <t>Gail Shea</t>
        </is>
      </c>
      <c r="F3491" t="inlineStr">
        <is>
          <t>Meeting with Atlantic Canada Opportunities Agency staff, stakeholders and announcements</t>
        </is>
      </c>
      <c r="G3491" t="inlineStr">
        <is>
          <t>Participation à une réunion avec des membres du personnel et des intervenants de l'APECA et à des annonces</t>
        </is>
      </c>
      <c r="H3491" s="1" t="n">
        <v>41372</v>
      </c>
      <c r="I3491" s="1" t="n">
        <v>41376</v>
      </c>
      <c r="J3491" t="inlineStr">
        <is>
          <t>Halifax and Shelbourne, Nova Scotia and Charlottetown, Prince Edward Island</t>
        </is>
      </c>
      <c r="K3491" t="inlineStr">
        <is>
          <t>Halifax et Shelbourne (N.-É.) et Charlottetown (Î.-P.-É.)</t>
        </is>
      </c>
      <c r="P3491" t="n">
        <v>856.51</v>
      </c>
      <c r="Q3491" t="n">
        <v>297</v>
      </c>
      <c r="R3491" t="n">
        <v>143.75</v>
      </c>
      <c r="S3491" t="n">
        <v>148.9</v>
      </c>
      <c r="T3491" t="n">
        <v>0</v>
      </c>
      <c r="U3491" t="n">
        <v>1446.16</v>
      </c>
      <c r="X3491" t="inlineStr">
        <is>
          <t>acoa-apeca</t>
        </is>
      </c>
      <c r="Y3491" t="inlineStr">
        <is>
          <t>Atlantic Canada Opportunities Agency | Agence de promotion économique du Canada atlantique</t>
        </is>
      </c>
      <c r="Z3491" t="n">
        <v>5</v>
      </c>
      <c r="AA3491" t="n">
        <v>1446.16</v>
      </c>
      <c r="AB3491">
        <f>ROUND(U3491-AA3491,2)</f>
        <v/>
      </c>
      <c r="AC3491" t="b">
        <v>0</v>
      </c>
      <c r="AD3491">
        <f>IF(U3491="","MISSING_TOTAL",IF(ABS(AB3491)&lt;=0.01,"OK","CHECK"))</f>
        <v/>
      </c>
      <c r="AE3491">
        <f>IF(U3491="","MISSING",IF(AND(AA3491&gt;0,U3491/AA3491&gt;50),"POSSIBLE_SCALE_ERROR","OK"))</f>
        <v/>
      </c>
    </row>
    <row r="3492">
      <c r="A3492" t="inlineStr">
        <is>
          <t>T-2014-Q1-00021</t>
        </is>
      </c>
      <c r="B3492" t="inlineStr">
        <is>
          <t>SLE</t>
        </is>
      </c>
      <c r="C3492" t="inlineStr">
        <is>
          <t>Vice-President, Newfoundland and Labrador</t>
        </is>
      </c>
      <c r="D3492" t="inlineStr">
        <is>
          <t>Vice-président, Terre-Neuve-et-Labrador</t>
        </is>
      </c>
      <c r="E3492" t="inlineStr">
        <is>
          <t>Paul Mills</t>
        </is>
      </c>
      <c r="F3492" t="inlineStr">
        <is>
          <t>Research Money Conference in Ottawa, Ontario</t>
        </is>
      </c>
      <c r="G3492" t="inlineStr">
        <is>
          <t>Participation à la conférence Research Money à Ottawa, en Ontario</t>
        </is>
      </c>
      <c r="H3492" s="1" t="n">
        <v>41372</v>
      </c>
      <c r="I3492" s="1" t="n">
        <v>41374</v>
      </c>
      <c r="J3492" t="inlineStr">
        <is>
          <t>Ottawa, Ontario</t>
        </is>
      </c>
      <c r="K3492" t="inlineStr">
        <is>
          <t>Ottawa (Ontario)</t>
        </is>
      </c>
      <c r="P3492" t="n">
        <v>1369.14</v>
      </c>
      <c r="Q3492" t="n">
        <v>132</v>
      </c>
      <c r="R3492" t="n">
        <v>354.82</v>
      </c>
      <c r="S3492" t="n">
        <v>212.15</v>
      </c>
      <c r="T3492" t="n">
        <v>9.33</v>
      </c>
      <c r="U3492" t="n">
        <v>2077.44</v>
      </c>
      <c r="X3492" t="inlineStr">
        <is>
          <t>acoa-apeca</t>
        </is>
      </c>
      <c r="Y3492" t="inlineStr">
        <is>
          <t>Atlantic Canada Opportunities Agency | Agence de promotion économique du Canada atlantique</t>
        </is>
      </c>
      <c r="Z3492" t="n">
        <v>3</v>
      </c>
      <c r="AA3492" t="n">
        <v>2077.44</v>
      </c>
      <c r="AB3492">
        <f>ROUND(U3492-AA3492,2)</f>
        <v/>
      </c>
      <c r="AC3492" t="b">
        <v>0</v>
      </c>
      <c r="AD3492">
        <f>IF(U3492="","MISSING_TOTAL",IF(ABS(AB3492)&lt;=0.01,"OK","CHECK"))</f>
        <v/>
      </c>
      <c r="AE3492">
        <f>IF(U3492="","MISSING",IF(AND(AA3492&gt;0,U3492/AA3492&gt;50),"POSSIBLE_SCALE_ERROR","OK"))</f>
        <v/>
      </c>
    </row>
    <row r="3493">
      <c r="A3493" t="inlineStr">
        <is>
          <t>T-2014-Q1-00020</t>
        </is>
      </c>
      <c r="B3493" t="inlineStr">
        <is>
          <t>SLE</t>
        </is>
      </c>
      <c r="C3493" t="inlineStr">
        <is>
          <t>Vice President, Nova Scotia</t>
        </is>
      </c>
      <c r="D3493" t="inlineStr">
        <is>
          <t>Vice-président, Nouvelle-Écosse</t>
        </is>
      </c>
      <c r="E3493" t="inlineStr">
        <is>
          <t>Peter Hogan</t>
        </is>
      </c>
      <c r="F3493" t="inlineStr">
        <is>
          <t>Various meetings with senior Government of Canada officials and clients</t>
        </is>
      </c>
      <c r="G3493" t="inlineStr">
        <is>
          <t>Participation à diverses réunions avec des hauts fonctionnaires du gouvernement du Canada et des clients</t>
        </is>
      </c>
      <c r="H3493" s="1" t="n">
        <v>41371</v>
      </c>
      <c r="I3493" s="1" t="n">
        <v>41372</v>
      </c>
      <c r="J3493" t="inlineStr">
        <is>
          <t>Shelburne, Nova Scotia</t>
        </is>
      </c>
      <c r="K3493" t="inlineStr">
        <is>
          <t>Shelburne (Nouvelle-Écosse)</t>
        </is>
      </c>
      <c r="P3493" t="n">
        <v>0</v>
      </c>
      <c r="Q3493" t="n">
        <v>0</v>
      </c>
      <c r="R3493" t="n">
        <v>143.75</v>
      </c>
      <c r="S3493" t="n">
        <v>91.5</v>
      </c>
      <c r="T3493" t="n">
        <v>0</v>
      </c>
      <c r="U3493" t="n">
        <v>235.25</v>
      </c>
      <c r="X3493" t="inlineStr">
        <is>
          <t>acoa-apeca</t>
        </is>
      </c>
      <c r="Y3493" t="inlineStr">
        <is>
          <t>Atlantic Canada Opportunities Agency | Agence de promotion économique du Canada atlantique</t>
        </is>
      </c>
      <c r="Z3493" t="n">
        <v>2</v>
      </c>
      <c r="AA3493" t="n">
        <v>235.25</v>
      </c>
      <c r="AB3493">
        <f>ROUND(U3493-AA3493,2)</f>
        <v/>
      </c>
      <c r="AC3493" t="b">
        <v>0</v>
      </c>
      <c r="AD3493">
        <f>IF(U3493="","MISSING_TOTAL",IF(ABS(AB3493)&lt;=0.01,"OK","CHECK"))</f>
        <v/>
      </c>
      <c r="AE3493">
        <f>IF(U3493="","MISSING",IF(AND(AA3493&gt;0,U3493/AA3493&gt;50),"POSSIBLE_SCALE_ERROR","OK"))</f>
        <v/>
      </c>
    </row>
    <row r="3494">
      <c r="A3494" t="inlineStr">
        <is>
          <t>T-2013-Q4-00058</t>
        </is>
      </c>
      <c r="B3494" t="inlineStr">
        <is>
          <t>SLE</t>
        </is>
      </c>
      <c r="C3494" t="inlineStr">
        <is>
          <t>Vice President, Nova Scotia</t>
        </is>
      </c>
      <c r="D3494" t="inlineStr">
        <is>
          <t>Vice-président, Nouvelle-Écosse</t>
        </is>
      </c>
      <c r="E3494" t="inlineStr">
        <is>
          <t>Peter Hogan</t>
        </is>
      </c>
      <c r="F3494" t="inlineStr">
        <is>
          <t>Meeting with Senior Agency Officials</t>
        </is>
      </c>
      <c r="G3494" t="inlineStr">
        <is>
          <t>Réunion avec des hauts fonctionnaires de l'Agence</t>
        </is>
      </c>
      <c r="H3494" s="1" t="n">
        <v>41326</v>
      </c>
      <c r="I3494" s="1" t="n">
        <v>41326</v>
      </c>
      <c r="J3494" t="inlineStr">
        <is>
          <t>Moncton, New Brunswick</t>
        </is>
      </c>
      <c r="K3494" t="inlineStr">
        <is>
          <t>Moncton (Nouveau-Brunswick)</t>
        </is>
      </c>
      <c r="P3494" t="n">
        <v>0</v>
      </c>
      <c r="Q3494" t="n">
        <v>231.25</v>
      </c>
      <c r="R3494" t="n">
        <v>0</v>
      </c>
      <c r="S3494" t="n">
        <v>36.87</v>
      </c>
      <c r="T3494" t="n">
        <v>0</v>
      </c>
      <c r="U3494" t="n">
        <v>268.12</v>
      </c>
      <c r="X3494" t="inlineStr">
        <is>
          <t>acoa-apeca</t>
        </is>
      </c>
      <c r="Y3494" t="inlineStr">
        <is>
          <t>Atlantic Canada Opportunities Agency | Agence de promotion économique du Canada atlantique</t>
        </is>
      </c>
      <c r="Z3494" t="n">
        <v>1</v>
      </c>
      <c r="AA3494" t="n">
        <v>268.12</v>
      </c>
      <c r="AB3494">
        <f>ROUND(U3494-AA3494,2)</f>
        <v/>
      </c>
      <c r="AC3494" t="b">
        <v>0</v>
      </c>
      <c r="AD3494">
        <f>IF(U3494="","MISSING_TOTAL",IF(ABS(AB3494)&lt;=0.01,"OK","CHECK"))</f>
        <v/>
      </c>
      <c r="AE3494">
        <f>IF(U3494="","MISSING",IF(AND(AA3494&gt;0,U3494/AA3494&gt;50),"POSSIBLE_SCALE_ERROR","OK"))</f>
        <v/>
      </c>
    </row>
    <row r="3495">
      <c r="A3495" t="inlineStr">
        <is>
          <t>T-2014-Q1-00017</t>
        </is>
      </c>
      <c r="B3495" t="inlineStr">
        <is>
          <t>MPSES</t>
        </is>
      </c>
      <c r="C3495" t="inlineStr">
        <is>
          <t>Minister</t>
        </is>
      </c>
      <c r="D3495" t="inlineStr">
        <is>
          <t>Ministre</t>
        </is>
      </c>
      <c r="E3495" t="inlineStr">
        <is>
          <t>Gail Shea</t>
        </is>
      </c>
      <c r="F3495" t="inlineStr">
        <is>
          <t>Meeting with Atlantic Canada Opportunities Agency staff, stakeholders and announcements</t>
        </is>
      </c>
      <c r="G3495" t="inlineStr">
        <is>
          <t>Participation à une réunion avec des membres du personnel et des intervenants de l'APECA et à des annonces</t>
        </is>
      </c>
      <c r="H3495" s="1" t="n">
        <v>41366</v>
      </c>
      <c r="I3495" s="1" t="n">
        <v>41369</v>
      </c>
      <c r="J3495" t="inlineStr">
        <is>
          <t>Charlottetown, Prince Edward Island and St. John's and Happy Valley-Goose Bay, Newfoundland</t>
        </is>
      </c>
      <c r="K3495" t="inlineStr">
        <is>
          <t>Charlottetown (Î.-P.-É.) et St. John's et Happy Valley-Goose Bay (T.-N.-L.)</t>
        </is>
      </c>
      <c r="P3495" t="n">
        <v>2123.42</v>
      </c>
      <c r="Q3495" t="n">
        <v>173.5</v>
      </c>
      <c r="R3495" t="n">
        <v>407.29</v>
      </c>
      <c r="S3495" t="n">
        <v>244.6</v>
      </c>
      <c r="T3495" t="n">
        <v>0</v>
      </c>
      <c r="U3495" t="n">
        <v>2948.81</v>
      </c>
      <c r="X3495" t="inlineStr">
        <is>
          <t>acoa-apeca</t>
        </is>
      </c>
      <c r="Y3495" t="inlineStr">
        <is>
          <t>Atlantic Canada Opportunities Agency | Agence de promotion économique du Canada atlantique</t>
        </is>
      </c>
      <c r="Z3495" t="n">
        <v>4</v>
      </c>
      <c r="AA3495" t="n">
        <v>2948.81</v>
      </c>
      <c r="AB3495">
        <f>ROUND(U3495-AA3495,2)</f>
        <v/>
      </c>
      <c r="AC3495" t="b">
        <v>0</v>
      </c>
      <c r="AD3495">
        <f>IF(U3495="","MISSING_TOTAL",IF(ABS(AB3495)&lt;=0.01,"OK","CHECK"))</f>
        <v/>
      </c>
      <c r="AE3495">
        <f>IF(U3495="","MISSING",IF(AND(AA3495&gt;0,U3495/AA3495&gt;50),"POSSIBLE_SCALE_ERROR","OK"))</f>
        <v/>
      </c>
    </row>
    <row r="3496">
      <c r="A3496" t="inlineStr">
        <is>
          <t>T-2014-Q1-00016</t>
        </is>
      </c>
      <c r="B3496" t="inlineStr">
        <is>
          <t>SLE</t>
        </is>
      </c>
      <c r="C3496" t="inlineStr">
        <is>
          <t>President</t>
        </is>
      </c>
      <c r="D3496" t="inlineStr">
        <is>
          <t>Président</t>
        </is>
      </c>
      <c r="E3496" t="inlineStr">
        <is>
          <t>Paul J. LeBlanc</t>
        </is>
      </c>
      <c r="F3496" t="inlineStr">
        <is>
          <t>For various meetings and discussions with Agency officials</t>
        </is>
      </c>
      <c r="G3496" t="inlineStr">
        <is>
          <t>Participation à diverses réunions et discussions avec des fonctionnaires de l'Agence</t>
        </is>
      </c>
      <c r="H3496" s="1" t="n">
        <v>41366</v>
      </c>
      <c r="I3496" s="1" t="n">
        <v>41366</v>
      </c>
      <c r="J3496" t="inlineStr">
        <is>
          <t>Charlottetown, Prince Edward Island</t>
        </is>
      </c>
      <c r="K3496" t="inlineStr">
        <is>
          <t>Charlottetown (Île-du-Prince-Édouard)</t>
        </is>
      </c>
      <c r="P3496" t="n">
        <v>0</v>
      </c>
      <c r="Q3496" t="n">
        <v>0</v>
      </c>
      <c r="R3496" t="n">
        <v>0</v>
      </c>
      <c r="S3496" t="n">
        <v>15.15</v>
      </c>
      <c r="T3496" t="n">
        <v>0</v>
      </c>
      <c r="U3496" t="n">
        <v>15.15</v>
      </c>
      <c r="X3496" t="inlineStr">
        <is>
          <t>acoa-apeca</t>
        </is>
      </c>
      <c r="Y3496" t="inlineStr">
        <is>
          <t>Atlantic Canada Opportunities Agency | Agence de promotion économique du Canada atlantique</t>
        </is>
      </c>
      <c r="Z3496" t="n">
        <v>1</v>
      </c>
      <c r="AA3496" t="n">
        <v>15.15</v>
      </c>
      <c r="AB3496">
        <f>ROUND(U3496-AA3496,2)</f>
        <v/>
      </c>
      <c r="AC3496" t="b">
        <v>0</v>
      </c>
      <c r="AD3496">
        <f>IF(U3496="","MISSING_TOTAL",IF(ABS(AB3496)&lt;=0.01,"OK","CHECK"))</f>
        <v/>
      </c>
      <c r="AE3496">
        <f>IF(U3496="","MISSING",IF(AND(AA3496&gt;0,U3496/AA3496&gt;50),"POSSIBLE_SCALE_ERROR","OK"))</f>
        <v/>
      </c>
    </row>
    <row r="3497">
      <c r="A3497" t="inlineStr">
        <is>
          <t>T-2014-Q1-00015</t>
        </is>
      </c>
      <c r="B3497" t="inlineStr">
        <is>
          <t>SLE</t>
        </is>
      </c>
      <c r="C3497" t="inlineStr">
        <is>
          <t>Vice-President, Newfoundland and Labrador</t>
        </is>
      </c>
      <c r="D3497" t="inlineStr">
        <is>
          <t>Vice-président, Terre-Neuve-et-Labrador</t>
        </is>
      </c>
      <c r="E3497" t="inlineStr">
        <is>
          <t>Paul Mills</t>
        </is>
      </c>
      <c r="F3497" t="inlineStr">
        <is>
          <t>Mileage for meetings in and around St. John's, Newfoundland from April 1 - June 30, 2013</t>
        </is>
      </c>
      <c r="G3497" t="inlineStr">
        <is>
          <t>Kilométrage pour des réunions à St. John's  et à l'extérieur (Terre-Neuve-et-Labrador) du 1er avril au 30 juin 2013</t>
        </is>
      </c>
      <c r="H3497" s="1" t="n">
        <v>41365</v>
      </c>
      <c r="I3497" s="1" t="n">
        <v>41455</v>
      </c>
      <c r="J3497" t="inlineStr">
        <is>
          <t>St. John's, Newfoundland</t>
        </is>
      </c>
      <c r="K3497" t="inlineStr">
        <is>
          <t>St. John's (Terre-Neuve-et-Labrador)</t>
        </is>
      </c>
      <c r="P3497" t="n">
        <v>0</v>
      </c>
      <c r="Q3497" t="n">
        <v>25.73</v>
      </c>
      <c r="R3497" t="n">
        <v>0</v>
      </c>
      <c r="S3497" t="n">
        <v>0</v>
      </c>
      <c r="T3497" t="n">
        <v>0</v>
      </c>
      <c r="U3497" t="n">
        <v>25.73</v>
      </c>
      <c r="X3497" t="inlineStr">
        <is>
          <t>acoa-apeca</t>
        </is>
      </c>
      <c r="Y3497" t="inlineStr">
        <is>
          <t>Atlantic Canada Opportunities Agency | Agence de promotion économique du Canada atlantique</t>
        </is>
      </c>
      <c r="Z3497" t="n">
        <v>91</v>
      </c>
      <c r="AA3497" t="n">
        <v>25.73</v>
      </c>
      <c r="AB3497">
        <f>ROUND(U3497-AA3497,2)</f>
        <v/>
      </c>
      <c r="AC3497" t="b">
        <v>0</v>
      </c>
      <c r="AD3497">
        <f>IF(U3497="","MISSING_TOTAL",IF(ABS(AB3497)&lt;=0.01,"OK","CHECK"))</f>
        <v/>
      </c>
      <c r="AE3497">
        <f>IF(U3497="","MISSING",IF(AND(AA3497&gt;0,U3497/AA3497&gt;50),"POSSIBLE_SCALE_ERROR","OK"))</f>
        <v/>
      </c>
    </row>
    <row r="3498">
      <c r="A3498" t="inlineStr">
        <is>
          <t>T-2014-Q1-00014</t>
        </is>
      </c>
      <c r="B3498" t="inlineStr">
        <is>
          <t>SLE</t>
        </is>
      </c>
      <c r="C3498" t="inlineStr">
        <is>
          <t>Vice President, Nova Scotia</t>
        </is>
      </c>
      <c r="D3498" t="inlineStr">
        <is>
          <t>Vice-président, Nouvelle-Écosse</t>
        </is>
      </c>
      <c r="E3498" t="inlineStr">
        <is>
          <t>Peter Hogan</t>
        </is>
      </c>
      <c r="F3498" t="inlineStr">
        <is>
          <t>Various meetings with Government of Canada officials</t>
        </is>
      </c>
      <c r="G3498" t="inlineStr">
        <is>
          <t>Diverses réunions avec des fonctionnaires du gouvernement du Canada</t>
        </is>
      </c>
      <c r="H3498" s="1" t="n">
        <v>41352</v>
      </c>
      <c r="I3498" s="1" t="n">
        <v>41353</v>
      </c>
      <c r="J3498" t="inlineStr">
        <is>
          <t>Ottawa, Ontario</t>
        </is>
      </c>
      <c r="K3498" t="inlineStr">
        <is>
          <t>Ottawa (Ontario)</t>
        </is>
      </c>
      <c r="P3498" t="n">
        <v>359.72</v>
      </c>
      <c r="Q3498" t="n">
        <v>142.4</v>
      </c>
      <c r="R3498" t="n">
        <v>177.41</v>
      </c>
      <c r="S3498" t="n">
        <v>105.9</v>
      </c>
      <c r="T3498" t="n">
        <v>0</v>
      </c>
      <c r="U3498" t="n">
        <v>785.4299999999999</v>
      </c>
      <c r="X3498" t="inlineStr">
        <is>
          <t>acoa-apeca</t>
        </is>
      </c>
      <c r="Y3498" t="inlineStr">
        <is>
          <t>Atlantic Canada Opportunities Agency | Agence de promotion économique du Canada atlantique</t>
        </is>
      </c>
      <c r="Z3498" t="n">
        <v>2</v>
      </c>
      <c r="AA3498" t="n">
        <v>785.4299999999999</v>
      </c>
      <c r="AB3498">
        <f>ROUND(U3498-AA3498,2)</f>
        <v/>
      </c>
      <c r="AC3498" t="b">
        <v>0</v>
      </c>
      <c r="AD3498">
        <f>IF(U3498="","MISSING_TOTAL",IF(ABS(AB3498)&lt;=0.01,"OK","CHECK"))</f>
        <v/>
      </c>
      <c r="AE3498">
        <f>IF(U3498="","MISSING",IF(AND(AA3498&gt;0,U3498/AA3498&gt;50),"POSSIBLE_SCALE_ERROR","OK"))</f>
        <v/>
      </c>
    </row>
    <row r="3499">
      <c r="A3499" t="inlineStr">
        <is>
          <t>T-2014-Q1-00013</t>
        </is>
      </c>
      <c r="B3499" t="inlineStr">
        <is>
          <t>SLE</t>
        </is>
      </c>
      <c r="C3499" t="inlineStr">
        <is>
          <t>President</t>
        </is>
      </c>
      <c r="D3499" t="inlineStr">
        <is>
          <t>Président</t>
        </is>
      </c>
      <c r="E3499" t="inlineStr">
        <is>
          <t>Paul J. LeBlanc</t>
        </is>
      </c>
      <c r="F3499" t="inlineStr">
        <is>
          <t>For various meetings and discussions with Agency officials; with Government of Canada officials</t>
        </is>
      </c>
      <c r="G3499" t="inlineStr">
        <is>
          <t>Participation à diverses réunions et discussions avec des fonctionnaires de l'Agence et du gouvernement du Canada</t>
        </is>
      </c>
      <c r="H3499" s="1" t="n">
        <v>41351</v>
      </c>
      <c r="I3499" s="1" t="n">
        <v>41354</v>
      </c>
      <c r="J3499" t="inlineStr">
        <is>
          <t>Ottawa, Ontario</t>
        </is>
      </c>
      <c r="K3499" t="inlineStr">
        <is>
          <t>Ottawa (Ontario)</t>
        </is>
      </c>
      <c r="P3499" t="n">
        <v>741.74</v>
      </c>
      <c r="Q3499" t="n">
        <v>0</v>
      </c>
      <c r="R3499" t="n">
        <v>572.91</v>
      </c>
      <c r="S3499" t="n">
        <v>269.1</v>
      </c>
      <c r="T3499" t="n">
        <v>56.5</v>
      </c>
      <c r="U3499" t="n">
        <v>1640.25</v>
      </c>
      <c r="X3499" t="inlineStr">
        <is>
          <t>acoa-apeca</t>
        </is>
      </c>
      <c r="Y3499" t="inlineStr">
        <is>
          <t>Atlantic Canada Opportunities Agency | Agence de promotion économique du Canada atlantique</t>
        </is>
      </c>
      <c r="Z3499" t="n">
        <v>4</v>
      </c>
      <c r="AA3499" t="n">
        <v>1640.25</v>
      </c>
      <c r="AB3499">
        <f>ROUND(U3499-AA3499,2)</f>
        <v/>
      </c>
      <c r="AC3499" t="b">
        <v>0</v>
      </c>
      <c r="AD3499">
        <f>IF(U3499="","MISSING_TOTAL",IF(ABS(AB3499)&lt;=0.01,"OK","CHECK"))</f>
        <v/>
      </c>
      <c r="AE3499">
        <f>IF(U3499="","MISSING",IF(AND(AA3499&gt;0,U3499/AA3499&gt;50),"POSSIBLE_SCALE_ERROR","OK"))</f>
        <v/>
      </c>
    </row>
    <row r="3500">
      <c r="A3500" t="inlineStr">
        <is>
          <t>T-2014-Q1-00011</t>
        </is>
      </c>
      <c r="B3500" t="inlineStr">
        <is>
          <t>MPSES</t>
        </is>
      </c>
      <c r="C3500" t="inlineStr">
        <is>
          <t>Director of Economic Development</t>
        </is>
      </c>
      <c r="D3500" t="inlineStr">
        <is>
          <t>Directrice du développement économique</t>
        </is>
      </c>
      <c r="E3500" t="inlineStr">
        <is>
          <t>Guylaine Le Couteur</t>
        </is>
      </c>
      <c r="F3500" t="inlineStr">
        <is>
          <t>Attend Atlantic Canada Opportunities Agency meetings</t>
        </is>
      </c>
      <c r="G3500" t="inlineStr">
        <is>
          <t>Participation à des réunions de l'Agence de promotion économique du Canada atlantique</t>
        </is>
      </c>
      <c r="H3500" s="1" t="n">
        <v>41342</v>
      </c>
      <c r="I3500" s="1" t="n">
        <v>41346</v>
      </c>
      <c r="J3500" t="inlineStr">
        <is>
          <t>St. John's, Newfoundland and Halifax, Nova Scotia</t>
        </is>
      </c>
      <c r="K3500" t="inlineStr">
        <is>
          <t>St. John's (Terre-Neuve-et-Labrador) et Halifax (Nouvelle-Écosse)</t>
        </is>
      </c>
      <c r="P3500" t="n">
        <v>1024.8</v>
      </c>
      <c r="Q3500" t="n">
        <v>209</v>
      </c>
      <c r="R3500" t="n">
        <v>450.47</v>
      </c>
      <c r="S3500" t="n">
        <v>341.4</v>
      </c>
      <c r="T3500" t="n">
        <v>0</v>
      </c>
      <c r="U3500" t="n">
        <v>2025.67</v>
      </c>
      <c r="X3500" t="inlineStr">
        <is>
          <t>acoa-apeca</t>
        </is>
      </c>
      <c r="Y3500" t="inlineStr">
        <is>
          <t>Atlantic Canada Opportunities Agency | Agence de promotion économique du Canada atlantique</t>
        </is>
      </c>
      <c r="Z3500" t="n">
        <v>5</v>
      </c>
      <c r="AA3500" t="n">
        <v>2025.67</v>
      </c>
      <c r="AB3500">
        <f>ROUND(U3500-AA3500,2)</f>
        <v/>
      </c>
      <c r="AC3500" t="b">
        <v>0</v>
      </c>
      <c r="AD3500">
        <f>IF(U3500="","MISSING_TOTAL",IF(ABS(AB3500)&lt;=0.01,"OK","CHECK"))</f>
        <v/>
      </c>
      <c r="AE3500">
        <f>IF(U3500="","MISSING",IF(AND(AA3500&gt;0,U3500/AA3500&gt;50),"POSSIBLE_SCALE_ERROR","OK"))</f>
        <v/>
      </c>
    </row>
    <row r="3501">
      <c r="A3501" t="inlineStr">
        <is>
          <t>T-2014-Q1-00010</t>
        </is>
      </c>
      <c r="B3501" t="inlineStr">
        <is>
          <t>MPSES</t>
        </is>
      </c>
      <c r="C3501" t="inlineStr">
        <is>
          <t>Director of Communications</t>
        </is>
      </c>
      <c r="D3501" t="inlineStr">
        <is>
          <t>Directrice des communications</t>
        </is>
      </c>
      <c r="E3501" t="inlineStr">
        <is>
          <t>Sophie Doucet</t>
        </is>
      </c>
      <c r="F3501" t="inlineStr">
        <is>
          <t>Accompany Minister to attend Boston Seafood Show</t>
        </is>
      </c>
      <c r="G3501" t="inlineStr">
        <is>
          <t>Accompagner la ministre au Salon international des produits de la mer de Boston</t>
        </is>
      </c>
      <c r="H3501" s="1" t="n">
        <v>41342</v>
      </c>
      <c r="I3501" s="1" t="n">
        <v>41344</v>
      </c>
      <c r="J3501" t="inlineStr">
        <is>
          <t>Boston, Massachussets</t>
        </is>
      </c>
      <c r="K3501" t="inlineStr">
        <is>
          <t>Boston (Massachussets)</t>
        </is>
      </c>
      <c r="P3501" t="n">
        <v>1534.95</v>
      </c>
      <c r="Q3501" t="n">
        <v>98.09</v>
      </c>
      <c r="R3501" t="n">
        <v>550.13</v>
      </c>
      <c r="S3501" t="n">
        <v>232.1</v>
      </c>
      <c r="T3501" t="n">
        <v>0</v>
      </c>
      <c r="U3501" t="n">
        <v>2415.27</v>
      </c>
      <c r="X3501" t="inlineStr">
        <is>
          <t>acoa-apeca</t>
        </is>
      </c>
      <c r="Y3501" t="inlineStr">
        <is>
          <t>Atlantic Canada Opportunities Agency | Agence de promotion économique du Canada atlantique</t>
        </is>
      </c>
      <c r="Z3501" t="n">
        <v>3</v>
      </c>
      <c r="AA3501" t="n">
        <v>2415.27</v>
      </c>
      <c r="AB3501">
        <f>ROUND(U3501-AA3501,2)</f>
        <v/>
      </c>
      <c r="AC3501" t="b">
        <v>0</v>
      </c>
      <c r="AD3501">
        <f>IF(U3501="","MISSING_TOTAL",IF(ABS(AB3501)&lt;=0.01,"OK","CHECK"))</f>
        <v/>
      </c>
      <c r="AE3501">
        <f>IF(U3501="","MISSING",IF(AND(AA3501&gt;0,U3501/AA3501&gt;50),"POSSIBLE_SCALE_ERROR","OK"))</f>
        <v/>
      </c>
    </row>
    <row r="3502">
      <c r="A3502" t="inlineStr">
        <is>
          <t>T-2012-Q4-00073</t>
        </is>
      </c>
      <c r="B3502" t="inlineStr">
        <is>
          <t>SLE</t>
        </is>
      </c>
      <c r="C3502" t="inlineStr">
        <is>
          <t>Vice-President, New Brunswick</t>
        </is>
      </c>
      <c r="D3502" t="inlineStr">
        <is>
          <t>Vice-présidente, Nouveau-Brunswick</t>
        </is>
      </c>
      <c r="E3502" t="inlineStr">
        <is>
          <t>Janet Gagnon</t>
        </is>
      </c>
      <c r="F3502" t="inlineStr">
        <is>
          <t>Northern New Brunswick Focus Meeting</t>
        </is>
      </c>
      <c r="G3502" t="inlineStr">
        <is>
          <t>Réunion axée sur le nord du Nouveau-Brunswick</t>
        </is>
      </c>
      <c r="H3502" s="1" t="n">
        <v>40956</v>
      </c>
      <c r="I3502" s="1" t="n">
        <v>40956</v>
      </c>
      <c r="J3502" t="inlineStr">
        <is>
          <t>Dalhousie, New Brunswick</t>
        </is>
      </c>
      <c r="K3502" t="inlineStr">
        <is>
          <t>Dalhousie (Nouveau-Brunswick)</t>
        </is>
      </c>
      <c r="P3502" t="n">
        <v>0</v>
      </c>
      <c r="Q3502" t="n">
        <v>0</v>
      </c>
      <c r="R3502" t="n">
        <v>0</v>
      </c>
      <c r="S3502" t="n">
        <v>72.95</v>
      </c>
      <c r="T3502" t="n">
        <v>0</v>
      </c>
      <c r="U3502" t="n">
        <v>72.95</v>
      </c>
      <c r="X3502" t="inlineStr">
        <is>
          <t>acoa-apeca</t>
        </is>
      </c>
      <c r="Y3502" t="inlineStr">
        <is>
          <t>Atlantic Canada Opportunities Agency | Agence de promotion économique du Canada atlantique</t>
        </is>
      </c>
      <c r="Z3502" t="n">
        <v>1</v>
      </c>
      <c r="AA3502" t="n">
        <v>72.95</v>
      </c>
      <c r="AB3502">
        <f>ROUND(U3502-AA3502,2)</f>
        <v/>
      </c>
      <c r="AC3502" t="b">
        <v>0</v>
      </c>
      <c r="AD3502">
        <f>IF(U3502="","MISSING_TOTAL",IF(ABS(AB3502)&lt;=0.01,"OK","CHECK"))</f>
        <v/>
      </c>
      <c r="AE3502">
        <f>IF(U3502="","MISSING",IF(AND(AA3502&gt;0,U3502/AA3502&gt;50),"POSSIBLE_SCALE_ERROR","OK"))</f>
        <v/>
      </c>
    </row>
    <row r="3503">
      <c r="A3503" t="inlineStr">
        <is>
          <t>T-2014-Q1-00009</t>
        </is>
      </c>
      <c r="B3503" t="inlineStr">
        <is>
          <t>MPSES</t>
        </is>
      </c>
      <c r="C3503" t="inlineStr">
        <is>
          <t>Minister</t>
        </is>
      </c>
      <c r="D3503" t="inlineStr">
        <is>
          <t>Ministre</t>
        </is>
      </c>
      <c r="E3503" t="inlineStr">
        <is>
          <t>Gail Shea</t>
        </is>
      </c>
      <c r="F3503" t="inlineStr">
        <is>
          <t>Attend Boston Seafood Show and Atlantic Canada Opportunities Agency meetings</t>
        </is>
      </c>
      <c r="G3503" t="inlineStr">
        <is>
          <t>Participation au Salon international de la mer de Boston et à des réunions de l'Agence de promotion économique du Canada atlantique</t>
        </is>
      </c>
      <c r="H3503" s="1" t="n">
        <v>41341</v>
      </c>
      <c r="I3503" s="1" t="n">
        <v>41344</v>
      </c>
      <c r="J3503" t="inlineStr">
        <is>
          <t>Boston, Massachussets</t>
        </is>
      </c>
      <c r="K3503" t="inlineStr">
        <is>
          <t>Boston (Massachussets)</t>
        </is>
      </c>
      <c r="P3503" t="n">
        <v>1847.86</v>
      </c>
      <c r="Q3503" t="n">
        <v>0</v>
      </c>
      <c r="R3503" t="n">
        <v>825.26</v>
      </c>
      <c r="S3503" t="n">
        <v>276.91</v>
      </c>
      <c r="T3503" t="n">
        <v>0</v>
      </c>
      <c r="U3503" t="n">
        <v>2950.03</v>
      </c>
      <c r="X3503" t="inlineStr">
        <is>
          <t>acoa-apeca</t>
        </is>
      </c>
      <c r="Y3503" t="inlineStr">
        <is>
          <t>Atlantic Canada Opportunities Agency | Agence de promotion économique du Canada atlantique</t>
        </is>
      </c>
      <c r="Z3503" t="n">
        <v>4</v>
      </c>
      <c r="AA3503" t="n">
        <v>2950.02999999999</v>
      </c>
      <c r="AB3503">
        <f>ROUND(U3503-AA3503,2)</f>
        <v/>
      </c>
      <c r="AC3503" t="b">
        <v>0</v>
      </c>
      <c r="AD3503">
        <f>IF(U3503="","MISSING_TOTAL",IF(ABS(AB3503)&lt;=0.01,"OK","CHECK"))</f>
        <v/>
      </c>
      <c r="AE3503">
        <f>IF(U3503="","MISSING",IF(AND(AA3503&gt;0,U3503/AA3503&gt;50),"POSSIBLE_SCALE_ERROR","OK"))</f>
        <v/>
      </c>
    </row>
    <row r="3504">
      <c r="A3504" t="inlineStr">
        <is>
          <t>T-2014-Q1-00007</t>
        </is>
      </c>
      <c r="B3504" t="inlineStr">
        <is>
          <t>SLE</t>
        </is>
      </c>
      <c r="C3504" t="inlineStr">
        <is>
          <t>Vice-President, Finance and Corporate Services</t>
        </is>
      </c>
      <c r="D3504" t="inlineStr">
        <is>
          <t>Vice-présidente, Finances et Services corporatifs</t>
        </is>
      </c>
      <c r="E3504" t="inlineStr">
        <is>
          <t>Denise Frenette</t>
        </is>
      </c>
      <c r="F3504" t="inlineStr">
        <is>
          <t>Meeting with Agency officials and private sector official</t>
        </is>
      </c>
      <c r="G3504" t="inlineStr">
        <is>
          <t>Participation à une réunion avec des fonctionnaires de l'Agence et des représentants du secteur privé</t>
        </is>
      </c>
      <c r="H3504" s="1" t="n">
        <v>41340</v>
      </c>
      <c r="I3504" s="1" t="n">
        <v>41341</v>
      </c>
      <c r="J3504" t="inlineStr">
        <is>
          <t>Ottawa, Ontario</t>
        </is>
      </c>
      <c r="K3504" t="inlineStr">
        <is>
          <t>Ottawa (Ontario)</t>
        </is>
      </c>
      <c r="P3504" t="n">
        <v>723.22</v>
      </c>
      <c r="Q3504" t="n">
        <v>89</v>
      </c>
      <c r="R3504" t="n">
        <v>177.41</v>
      </c>
      <c r="S3504" t="n">
        <v>90.90000000000001</v>
      </c>
      <c r="T3504" t="n">
        <v>2.12</v>
      </c>
      <c r="U3504" t="n">
        <v>1082.65</v>
      </c>
      <c r="X3504" t="inlineStr">
        <is>
          <t>acoa-apeca</t>
        </is>
      </c>
      <c r="Y3504" t="inlineStr">
        <is>
          <t>Atlantic Canada Opportunities Agency | Agence de promotion économique du Canada atlantique</t>
        </is>
      </c>
      <c r="Z3504" t="n">
        <v>2</v>
      </c>
      <c r="AA3504" t="n">
        <v>1082.64999999999</v>
      </c>
      <c r="AB3504">
        <f>ROUND(U3504-AA3504,2)</f>
        <v/>
      </c>
      <c r="AC3504" t="b">
        <v>0</v>
      </c>
      <c r="AD3504">
        <f>IF(U3504="","MISSING_TOTAL",IF(ABS(AB3504)&lt;=0.01,"OK","CHECK"))</f>
        <v/>
      </c>
      <c r="AE3504">
        <f>IF(U3504="","MISSING",IF(AND(AA3504&gt;0,U3504/AA3504&gt;50),"POSSIBLE_SCALE_ERROR","OK"))</f>
        <v/>
      </c>
    </row>
    <row r="3505">
      <c r="A3505" t="inlineStr">
        <is>
          <t>T-2014-Q1-00004</t>
        </is>
      </c>
      <c r="B3505" t="inlineStr">
        <is>
          <t>SLE</t>
        </is>
      </c>
      <c r="C3505" t="inlineStr">
        <is>
          <t>Vice-President, New Brunswick</t>
        </is>
      </c>
      <c r="D3505" t="inlineStr">
        <is>
          <t>Vice-présidente, Nouveau-Brunswick</t>
        </is>
      </c>
      <c r="E3505" t="inlineStr">
        <is>
          <t>Janet Gagnon</t>
        </is>
      </c>
      <c r="F3505" t="inlineStr">
        <is>
          <t>Atlantic Canada Opportunities Board Meeting / Vice Presidents Meeting on AIF (Atlantic Innovation Fund)</t>
        </is>
      </c>
      <c r="G3505" t="inlineStr">
        <is>
          <t>Réunion du Conseil de promotion économique du Canada atlantique et réunion des vice-présidents au sujet du Fonds d'innovation de l'Atlantique (FIA)</t>
        </is>
      </c>
      <c r="H3505" s="1" t="n">
        <v>41339</v>
      </c>
      <c r="I3505" s="1" t="n">
        <v>41340</v>
      </c>
      <c r="J3505" t="inlineStr">
        <is>
          <t>Halifax, Nova Scotia</t>
        </is>
      </c>
      <c r="K3505" t="inlineStr">
        <is>
          <t>Halifax (Nouvelle-Écosse)</t>
        </is>
      </c>
      <c r="P3505" t="n">
        <v>209.54</v>
      </c>
      <c r="Q3505" t="n">
        <v>0</v>
      </c>
      <c r="R3505" t="n">
        <v>127.86</v>
      </c>
      <c r="S3505" t="n">
        <v>147.7</v>
      </c>
      <c r="T3505" t="n">
        <v>158</v>
      </c>
      <c r="U3505" t="n">
        <v>643.1</v>
      </c>
      <c r="X3505" t="inlineStr">
        <is>
          <t>acoa-apeca</t>
        </is>
      </c>
      <c r="Y3505" t="inlineStr">
        <is>
          <t>Atlantic Canada Opportunities Agency | Agence de promotion économique du Canada atlantique</t>
        </is>
      </c>
      <c r="Z3505" t="n">
        <v>2</v>
      </c>
      <c r="AA3505" t="n">
        <v>643.099999999999</v>
      </c>
      <c r="AB3505">
        <f>ROUND(U3505-AA3505,2)</f>
        <v/>
      </c>
      <c r="AC3505" t="b">
        <v>0</v>
      </c>
      <c r="AD3505">
        <f>IF(U3505="","MISSING_TOTAL",IF(ABS(AB3505)&lt;=0.01,"OK","CHECK"))</f>
        <v/>
      </c>
      <c r="AE3505">
        <f>IF(U3505="","MISSING",IF(AND(AA3505&gt;0,U3505/AA3505&gt;50),"POSSIBLE_SCALE_ERROR","OK"))</f>
        <v/>
      </c>
    </row>
    <row r="3506">
      <c r="A3506" t="inlineStr">
        <is>
          <t>T-2014-Q1-00003</t>
        </is>
      </c>
      <c r="B3506" t="inlineStr">
        <is>
          <t>SLE</t>
        </is>
      </c>
      <c r="C3506" t="inlineStr">
        <is>
          <t>Vice-President, Prince Edward Island</t>
        </is>
      </c>
      <c r="D3506" t="inlineStr">
        <is>
          <t>Vice-président, Île-du-Prince-Édouard</t>
        </is>
      </c>
      <c r="E3506" t="inlineStr">
        <is>
          <t>Patrick Dorsey</t>
        </is>
      </c>
      <c r="F3506" t="inlineStr">
        <is>
          <t>Meeting with ACO Board and meeting with Government of Canada officials</t>
        </is>
      </c>
      <c r="G3506" t="inlineStr">
        <is>
          <t>Participation à une réunion avec le Conseil de promotion économique du Canada atlantique et avec des fonctionnaires du gouvernement du Canada</t>
        </is>
      </c>
      <c r="H3506" s="1" t="n">
        <v>41338</v>
      </c>
      <c r="I3506" s="1" t="n">
        <v>41341</v>
      </c>
      <c r="J3506" t="inlineStr">
        <is>
          <t>Halifax, Nova Scotia</t>
        </is>
      </c>
      <c r="K3506" t="inlineStr">
        <is>
          <t>Halifax (Nouvelle-Écosse)</t>
        </is>
      </c>
      <c r="P3506" t="n">
        <v>0</v>
      </c>
      <c r="Q3506" t="n">
        <v>244.63</v>
      </c>
      <c r="R3506" t="n">
        <v>415.23</v>
      </c>
      <c r="S3506" t="n">
        <v>254.6</v>
      </c>
      <c r="T3506" t="n">
        <v>0</v>
      </c>
      <c r="U3506" t="n">
        <v>914.46</v>
      </c>
      <c r="X3506" t="inlineStr">
        <is>
          <t>acoa-apeca</t>
        </is>
      </c>
      <c r="Y3506" t="inlineStr">
        <is>
          <t>Atlantic Canada Opportunities Agency | Agence de promotion économique du Canada atlantique</t>
        </is>
      </c>
      <c r="Z3506" t="n">
        <v>4</v>
      </c>
      <c r="AA3506" t="n">
        <v>914.46</v>
      </c>
      <c r="AB3506">
        <f>ROUND(U3506-AA3506,2)</f>
        <v/>
      </c>
      <c r="AC3506" t="b">
        <v>0</v>
      </c>
      <c r="AD3506">
        <f>IF(U3506="","MISSING_TOTAL",IF(ABS(AB3506)&lt;=0.01,"OK","CHECK"))</f>
        <v/>
      </c>
      <c r="AE3506">
        <f>IF(U3506="","MISSING",IF(AND(AA3506&gt;0,U3506/AA3506&gt;50),"POSSIBLE_SCALE_ERROR","OK"))</f>
        <v/>
      </c>
    </row>
    <row r="3507">
      <c r="A3507" t="inlineStr">
        <is>
          <t>T-2014-Q1-00002</t>
        </is>
      </c>
      <c r="B3507" t="inlineStr">
        <is>
          <t>SLE</t>
        </is>
      </c>
      <c r="C3507" t="inlineStr">
        <is>
          <t>Vice-President, Newfoundland and Labrador</t>
        </is>
      </c>
      <c r="D3507" t="inlineStr">
        <is>
          <t>Vice-président, Terre-Neuve-et-Labrador</t>
        </is>
      </c>
      <c r="E3507" t="inlineStr">
        <is>
          <t>Paul Mills</t>
        </is>
      </c>
      <c r="F3507" t="inlineStr">
        <is>
          <t>Travel to Halifax, Nova Scotia, for an Atlantic Innovation Fund Meeting and an Executive Committee Meeting</t>
        </is>
      </c>
      <c r="G3507" t="inlineStr">
        <is>
          <t>Voyage à Halifax, en Nouvelle-Écosse, pour participer à une réunion du Fonds d'innovation de l'Atlantique et à une réunion du Comité de direction</t>
        </is>
      </c>
      <c r="H3507" s="1" t="n">
        <v>41338</v>
      </c>
      <c r="I3507" s="1" t="n">
        <v>41340</v>
      </c>
      <c r="J3507" t="inlineStr">
        <is>
          <t>Halifax, Nova Scotia</t>
        </is>
      </c>
      <c r="K3507" t="inlineStr">
        <is>
          <t>Halifax (Nouvelle-Écosse)</t>
        </is>
      </c>
      <c r="P3507" t="n">
        <v>1369.14</v>
      </c>
      <c r="Q3507" t="n">
        <v>142.78</v>
      </c>
      <c r="R3507" t="n">
        <v>270.97</v>
      </c>
      <c r="S3507" t="n">
        <v>221.8</v>
      </c>
      <c r="T3507" t="n">
        <v>42.67</v>
      </c>
      <c r="U3507" t="n">
        <v>2047.36</v>
      </c>
      <c r="X3507" t="inlineStr">
        <is>
          <t>acoa-apeca</t>
        </is>
      </c>
      <c r="Y3507" t="inlineStr">
        <is>
          <t>Atlantic Canada Opportunities Agency | Agence de promotion économique du Canada atlantique</t>
        </is>
      </c>
      <c r="Z3507" t="n">
        <v>3</v>
      </c>
      <c r="AA3507" t="n">
        <v>2047.36</v>
      </c>
      <c r="AB3507">
        <f>ROUND(U3507-AA3507,2)</f>
        <v/>
      </c>
      <c r="AC3507" t="b">
        <v>0</v>
      </c>
      <c r="AD3507">
        <f>IF(U3507="","MISSING_TOTAL",IF(ABS(AB3507)&lt;=0.01,"OK","CHECK"))</f>
        <v/>
      </c>
      <c r="AE3507">
        <f>IF(U3507="","MISSING",IF(AND(AA3507&gt;0,U3507/AA3507&gt;50),"POSSIBLE_SCALE_ERROR","OK"))</f>
        <v/>
      </c>
    </row>
    <row r="3508">
      <c r="A3508" t="inlineStr">
        <is>
          <t>T-2014-Q1-00001</t>
        </is>
      </c>
      <c r="B3508" t="inlineStr">
        <is>
          <t>SLE</t>
        </is>
      </c>
      <c r="C3508" t="inlineStr">
        <is>
          <t>President</t>
        </is>
      </c>
      <c r="D3508" t="inlineStr">
        <is>
          <t>Président</t>
        </is>
      </c>
      <c r="E3508" t="inlineStr">
        <is>
          <t>Paul J. LeBlanc</t>
        </is>
      </c>
      <c r="F3508" t="inlineStr">
        <is>
          <t>For various meetings and discussions with Agency officials; with Government of Canada officials</t>
        </is>
      </c>
      <c r="G3508" t="inlineStr">
        <is>
          <t>Participation à diverses réunions et discussions avec des fonctionnaires de l'Agence et du gouvernement du Canada</t>
        </is>
      </c>
      <c r="H3508" s="1" t="n">
        <v>41337</v>
      </c>
      <c r="I3508" s="1" t="n">
        <v>41340</v>
      </c>
      <c r="J3508" t="inlineStr">
        <is>
          <t>Ottawa, Ontario and Halifax, Nova Scotia</t>
        </is>
      </c>
      <c r="K3508" t="inlineStr">
        <is>
          <t>Ottawa (Ontario) et Halifax (Nouvelle-Écosse)</t>
        </is>
      </c>
      <c r="P3508" t="n">
        <v>741.74</v>
      </c>
      <c r="Q3508" t="n">
        <v>0</v>
      </c>
      <c r="R3508" t="n">
        <v>521.53</v>
      </c>
      <c r="S3508" t="n">
        <v>254.1</v>
      </c>
      <c r="T3508" t="n">
        <v>0</v>
      </c>
      <c r="U3508" t="n">
        <v>1517.37</v>
      </c>
      <c r="X3508" t="inlineStr">
        <is>
          <t>acoa-apeca</t>
        </is>
      </c>
      <c r="Y3508" t="inlineStr">
        <is>
          <t>Atlantic Canada Opportunities Agency | Agence de promotion économique du Canada atlantique</t>
        </is>
      </c>
      <c r="Z3508" t="n">
        <v>4</v>
      </c>
      <c r="AA3508" t="n">
        <v>1517.37</v>
      </c>
      <c r="AB3508">
        <f>ROUND(U3508-AA3508,2)</f>
        <v/>
      </c>
      <c r="AC3508" t="b">
        <v>0</v>
      </c>
      <c r="AD3508">
        <f>IF(U3508="","MISSING_TOTAL",IF(ABS(AB3508)&lt;=0.01,"OK","CHECK"))</f>
        <v/>
      </c>
      <c r="AE3508">
        <f>IF(U3508="","MISSING",IF(AND(AA3508&gt;0,U3508/AA3508&gt;50),"POSSIBLE_SCALE_ERROR","OK"))</f>
        <v/>
      </c>
    </row>
    <row r="3509">
      <c r="A3509" t="inlineStr">
        <is>
          <t>T-2013-Q4-00059</t>
        </is>
      </c>
      <c r="B3509" t="inlineStr">
        <is>
          <t>SLE</t>
        </is>
      </c>
      <c r="C3509" t="inlineStr">
        <is>
          <t>President</t>
        </is>
      </c>
      <c r="D3509" t="inlineStr">
        <is>
          <t>Président</t>
        </is>
      </c>
      <c r="E3509" t="inlineStr">
        <is>
          <t>Paul J. LeBlanc</t>
        </is>
      </c>
      <c r="F3509" t="inlineStr">
        <is>
          <t>For various meetings and discussions with Agency officials; with Government of Canada officials</t>
        </is>
      </c>
      <c r="G3509" t="inlineStr">
        <is>
          <t>Participation à diverses réunions et discussions avec des fonctionnaires de l'Agence et du gouvernement du Canada</t>
        </is>
      </c>
      <c r="H3509" s="1" t="n">
        <v>41330</v>
      </c>
      <c r="I3509" s="1" t="n">
        <v>41334</v>
      </c>
      <c r="J3509" t="inlineStr">
        <is>
          <t>Ottawa, Ontario</t>
        </is>
      </c>
      <c r="K3509" t="inlineStr">
        <is>
          <t>Ottawa (Ontario)</t>
        </is>
      </c>
      <c r="P3509" t="n">
        <v>1065.25</v>
      </c>
      <c r="Q3509" t="n">
        <v>13</v>
      </c>
      <c r="R3509" t="n">
        <v>763.88</v>
      </c>
      <c r="S3509" t="n">
        <v>388.7</v>
      </c>
      <c r="T3509" t="n">
        <v>56.5</v>
      </c>
      <c r="U3509" t="n">
        <v>2287.33</v>
      </c>
      <c r="X3509" t="inlineStr">
        <is>
          <t>acoa-apeca</t>
        </is>
      </c>
      <c r="Y3509" t="inlineStr">
        <is>
          <t>Atlantic Canada Opportunities Agency | Agence de promotion économique du Canada atlantique</t>
        </is>
      </c>
      <c r="Z3509" t="n">
        <v>5</v>
      </c>
      <c r="AA3509" t="n">
        <v>2287.33</v>
      </c>
      <c r="AB3509">
        <f>ROUND(U3509-AA3509,2)</f>
        <v/>
      </c>
      <c r="AC3509" t="b">
        <v>0</v>
      </c>
      <c r="AD3509">
        <f>IF(U3509="","MISSING_TOTAL",IF(ABS(AB3509)&lt;=0.01,"OK","CHECK"))</f>
        <v/>
      </c>
      <c r="AE3509">
        <f>IF(U3509="","MISSING",IF(AND(AA3509&gt;0,U3509/AA3509&gt;50),"POSSIBLE_SCALE_ERROR","OK"))</f>
        <v/>
      </c>
    </row>
    <row r="3510">
      <c r="A3510" t="inlineStr">
        <is>
          <t>T-2013-Q4-00057</t>
        </is>
      </c>
      <c r="B3510" t="inlineStr">
        <is>
          <t>SLE</t>
        </is>
      </c>
      <c r="C3510" t="inlineStr">
        <is>
          <t>President</t>
        </is>
      </c>
      <c r="D3510" t="inlineStr">
        <is>
          <t>Président</t>
        </is>
      </c>
      <c r="E3510" t="inlineStr">
        <is>
          <t>Paul J. LeBlanc</t>
        </is>
      </c>
      <c r="F3510" t="inlineStr">
        <is>
          <t>For meetings and discussions with Agency officials; with Government of Canada officials</t>
        </is>
      </c>
      <c r="G3510" t="inlineStr">
        <is>
          <t>Participation à des réunions et discussions avec des fonctionnaires de l'Agence et du gouvernement du Canada</t>
        </is>
      </c>
      <c r="H3510" s="1" t="n">
        <v>41326</v>
      </c>
      <c r="I3510" s="1" t="n">
        <v>41327</v>
      </c>
      <c r="J3510" t="inlineStr">
        <is>
          <t>Fredericton, New Brunswick and Ottawa, Ontario</t>
        </is>
      </c>
      <c r="K3510" t="inlineStr">
        <is>
          <t>Fredericton (Nouveau-Brunswick) et Ottawa (Ontario)</t>
        </is>
      </c>
      <c r="P3510" t="n">
        <v>927.86</v>
      </c>
      <c r="Q3510" t="n">
        <v>0</v>
      </c>
      <c r="R3510" t="n">
        <v>152.55</v>
      </c>
      <c r="S3510" t="n">
        <v>106.4</v>
      </c>
      <c r="T3510" t="n">
        <v>0</v>
      </c>
      <c r="U3510" t="n">
        <v>1186.81</v>
      </c>
      <c r="X3510" t="inlineStr">
        <is>
          <t>acoa-apeca</t>
        </is>
      </c>
      <c r="Y3510" t="inlineStr">
        <is>
          <t>Atlantic Canada Opportunities Agency | Agence de promotion économique du Canada atlantique</t>
        </is>
      </c>
      <c r="Z3510" t="n">
        <v>2</v>
      </c>
      <c r="AA3510" t="n">
        <v>1186.81</v>
      </c>
      <c r="AB3510">
        <f>ROUND(U3510-AA3510,2)</f>
        <v/>
      </c>
      <c r="AC3510" t="b">
        <v>0</v>
      </c>
      <c r="AD3510">
        <f>IF(U3510="","MISSING_TOTAL",IF(ABS(AB3510)&lt;=0.01,"OK","CHECK"))</f>
        <v/>
      </c>
      <c r="AE3510">
        <f>IF(U3510="","MISSING",IF(AND(AA3510&gt;0,U3510/AA3510&gt;50),"POSSIBLE_SCALE_ERROR","OK"))</f>
        <v/>
      </c>
    </row>
    <row r="3511">
      <c r="A3511" t="inlineStr">
        <is>
          <t>T-2013-Q4-00056</t>
        </is>
      </c>
      <c r="B3511" t="inlineStr">
        <is>
          <t>SLE</t>
        </is>
      </c>
      <c r="C3511" t="inlineStr">
        <is>
          <t>Vice-President, New Brunswick</t>
        </is>
      </c>
      <c r="D3511" t="inlineStr">
        <is>
          <t>Vice-présidente, Nouveau-Brunswick</t>
        </is>
      </c>
      <c r="E3511" t="inlineStr">
        <is>
          <t>Janet Gagnon</t>
        </is>
      </c>
      <c r="F3511" t="inlineStr">
        <is>
          <t>Special meeting of President and Vice-Presidents / Access to Capital Meeting</t>
        </is>
      </c>
      <c r="G3511" t="inlineStr">
        <is>
          <t>Réunion extraordinaire du président et des vice-présidents; réunion sur l'accès au capital</t>
        </is>
      </c>
      <c r="H3511" s="1" t="n">
        <v>41325</v>
      </c>
      <c r="I3511" s="1" t="n">
        <v>41327</v>
      </c>
      <c r="J3511" t="inlineStr">
        <is>
          <t>Moncton, New Brunswick</t>
        </is>
      </c>
      <c r="K3511" t="inlineStr">
        <is>
          <t>Moncton (Nouveau-Brunswick)</t>
        </is>
      </c>
      <c r="P3511" t="n">
        <v>0</v>
      </c>
      <c r="Q3511" t="n">
        <v>0</v>
      </c>
      <c r="R3511" t="n">
        <v>325.44</v>
      </c>
      <c r="S3511" t="n">
        <v>164.5</v>
      </c>
      <c r="T3511" t="n">
        <v>34.26</v>
      </c>
      <c r="U3511" t="n">
        <v>524.2</v>
      </c>
      <c r="X3511" t="inlineStr">
        <is>
          <t>acoa-apeca</t>
        </is>
      </c>
      <c r="Y3511" t="inlineStr">
        <is>
          <t>Atlantic Canada Opportunities Agency | Agence de promotion économique du Canada atlantique</t>
        </is>
      </c>
      <c r="Z3511" t="n">
        <v>3</v>
      </c>
      <c r="AA3511" t="n">
        <v>524.2</v>
      </c>
      <c r="AB3511">
        <f>ROUND(U3511-AA3511,2)</f>
        <v/>
      </c>
      <c r="AC3511" t="b">
        <v>0</v>
      </c>
      <c r="AD3511">
        <f>IF(U3511="","MISSING_TOTAL",IF(ABS(AB3511)&lt;=0.01,"OK","CHECK"))</f>
        <v/>
      </c>
      <c r="AE3511">
        <f>IF(U3511="","MISSING",IF(AND(AA3511&gt;0,U3511/AA3511&gt;50),"POSSIBLE_SCALE_ERROR","OK"))</f>
        <v/>
      </c>
    </row>
    <row r="3512">
      <c r="A3512" t="inlineStr">
        <is>
          <t>T-2013-Q1-00057</t>
        </is>
      </c>
      <c r="B3512" t="inlineStr">
        <is>
          <t>SLE</t>
        </is>
      </c>
      <c r="C3512" t="inlineStr">
        <is>
          <t>Vice-President, New Brunswick</t>
        </is>
      </c>
      <c r="D3512" t="inlineStr">
        <is>
          <t>Vice-présidente, Nouveau-Brunswick</t>
        </is>
      </c>
      <c r="E3512" t="inlineStr">
        <is>
          <t>Janet Gagnon</t>
        </is>
      </c>
      <c r="F3512" t="inlineStr">
        <is>
          <t>Executive Committee meeting</t>
        </is>
      </c>
      <c r="G3512" t="inlineStr">
        <is>
          <t>Réunion du Comité de direction</t>
        </is>
      </c>
      <c r="H3512" s="1" t="n">
        <v>41024</v>
      </c>
      <c r="I3512" s="1" t="n">
        <v>41025</v>
      </c>
      <c r="J3512" t="inlineStr">
        <is>
          <t>Moncton, New Brunswick</t>
        </is>
      </c>
      <c r="K3512" t="inlineStr">
        <is>
          <t>Moncton (Nouveau-Brunswick)</t>
        </is>
      </c>
      <c r="P3512" t="n">
        <v>0</v>
      </c>
      <c r="Q3512" t="n">
        <v>0</v>
      </c>
      <c r="R3512" t="n">
        <v>162.72</v>
      </c>
      <c r="S3512" t="n">
        <v>116.3</v>
      </c>
      <c r="T3512" t="n">
        <v>0</v>
      </c>
      <c r="U3512" t="n">
        <v>279.02</v>
      </c>
      <c r="X3512" t="inlineStr">
        <is>
          <t>acoa-apeca</t>
        </is>
      </c>
      <c r="Y3512" t="inlineStr">
        <is>
          <t>Atlantic Canada Opportunities Agency | Agence de promotion économique du Canada atlantique</t>
        </is>
      </c>
      <c r="Z3512" t="n">
        <v>2</v>
      </c>
      <c r="AA3512" t="n">
        <v>279.02</v>
      </c>
      <c r="AB3512">
        <f>ROUND(U3512-AA3512,2)</f>
        <v/>
      </c>
      <c r="AC3512" t="b">
        <v>0</v>
      </c>
      <c r="AD3512">
        <f>IF(U3512="","MISSING_TOTAL",IF(ABS(AB3512)&lt;=0.01,"OK","CHECK"))</f>
        <v/>
      </c>
      <c r="AE3512">
        <f>IF(U3512="","MISSING",IF(AND(AA3512&gt;0,U3512/AA3512&gt;50),"POSSIBLE_SCALE_ERROR","OK"))</f>
        <v/>
      </c>
    </row>
    <row r="3513">
      <c r="A3513" t="inlineStr">
        <is>
          <t>T-2013-Q4-00054</t>
        </is>
      </c>
      <c r="B3513" t="inlineStr">
        <is>
          <t>SLE</t>
        </is>
      </c>
      <c r="C3513" t="inlineStr">
        <is>
          <t>Vice-President, Prince Edward Island</t>
        </is>
      </c>
      <c r="D3513" t="inlineStr">
        <is>
          <t>Vice-président, Île-du-Prince-Édouard</t>
        </is>
      </c>
      <c r="E3513" t="inlineStr">
        <is>
          <t>Patrick Dorsey</t>
        </is>
      </c>
      <c r="F3513" t="inlineStr">
        <is>
          <t>Meeting with ACOA Officials</t>
        </is>
      </c>
      <c r="G3513" t="inlineStr">
        <is>
          <t>Réunion avec des foncionnaires de l'APECA</t>
        </is>
      </c>
      <c r="H3513" s="1" t="n">
        <v>41325</v>
      </c>
      <c r="I3513" s="1" t="n">
        <v>41327</v>
      </c>
      <c r="J3513" t="inlineStr">
        <is>
          <t>Moncton, New Brunswick</t>
        </is>
      </c>
      <c r="K3513" t="inlineStr">
        <is>
          <t>Moncton (Nouveau-Brunswick)</t>
        </is>
      </c>
      <c r="P3513" t="n">
        <v>0</v>
      </c>
      <c r="Q3513" t="n">
        <v>73.88</v>
      </c>
      <c r="R3513" t="n">
        <v>302.84</v>
      </c>
      <c r="S3513" t="n">
        <v>180</v>
      </c>
      <c r="T3513" t="n">
        <v>0</v>
      </c>
      <c r="U3513" t="n">
        <v>556.72</v>
      </c>
      <c r="X3513" t="inlineStr">
        <is>
          <t>acoa-apeca</t>
        </is>
      </c>
      <c r="Y3513" t="inlineStr">
        <is>
          <t>Atlantic Canada Opportunities Agency | Agence de promotion économique du Canada atlantique</t>
        </is>
      </c>
      <c r="Z3513" t="n">
        <v>3</v>
      </c>
      <c r="AA3513" t="n">
        <v>556.72</v>
      </c>
      <c r="AB3513">
        <f>ROUND(U3513-AA3513,2)</f>
        <v/>
      </c>
      <c r="AC3513" t="b">
        <v>0</v>
      </c>
      <c r="AD3513">
        <f>IF(U3513="","MISSING_TOTAL",IF(ABS(AB3513)&lt;=0.01,"OK","CHECK"))</f>
        <v/>
      </c>
      <c r="AE3513">
        <f>IF(U3513="","MISSING",IF(AND(AA3513&gt;0,U3513/AA3513&gt;50),"POSSIBLE_SCALE_ERROR","OK"))</f>
        <v/>
      </c>
    </row>
    <row r="3514">
      <c r="A3514" t="inlineStr">
        <is>
          <t>T-2013-Q4-00053</t>
        </is>
      </c>
      <c r="B3514" t="inlineStr">
        <is>
          <t>SLE</t>
        </is>
      </c>
      <c r="C3514" t="inlineStr">
        <is>
          <t>Vice-President, Newfoundland and Labrador</t>
        </is>
      </c>
      <c r="D3514" t="inlineStr">
        <is>
          <t>Vice-président, Terre-Neuve-et-Labrador</t>
        </is>
      </c>
      <c r="E3514" t="inlineStr">
        <is>
          <t>Paul Mills</t>
        </is>
      </c>
      <c r="F3514" t="inlineStr">
        <is>
          <t>Meeting with ACOA President and Vice-Presidents in Moncton, New Brunswick</t>
        </is>
      </c>
      <c r="G3514" t="inlineStr">
        <is>
          <t>Réunion avec le président et les vice-présidents de l'APECA à Moncton, au Nouveau-Brunswick</t>
        </is>
      </c>
      <c r="H3514" s="1" t="n">
        <v>41325</v>
      </c>
      <c r="I3514" s="1" t="n">
        <v>41328</v>
      </c>
      <c r="J3514" t="inlineStr">
        <is>
          <t>Moncton, New Brunswick</t>
        </is>
      </c>
      <c r="K3514" t="inlineStr">
        <is>
          <t>Moncton (Nouveau-Brunswick)</t>
        </is>
      </c>
      <c r="P3514" t="n">
        <v>1369.14</v>
      </c>
      <c r="Q3514" t="n">
        <v>368.81</v>
      </c>
      <c r="R3514" t="n">
        <v>401.92</v>
      </c>
      <c r="S3514" t="n">
        <v>269.6</v>
      </c>
      <c r="T3514" t="n">
        <v>28.27</v>
      </c>
      <c r="U3514" t="n">
        <v>2437.74</v>
      </c>
      <c r="X3514" t="inlineStr">
        <is>
          <t>acoa-apeca</t>
        </is>
      </c>
      <c r="Y3514" t="inlineStr">
        <is>
          <t>Atlantic Canada Opportunities Agency | Agence de promotion économique du Canada atlantique</t>
        </is>
      </c>
      <c r="Z3514" t="n">
        <v>4</v>
      </c>
      <c r="AA3514" t="n">
        <v>2437.74</v>
      </c>
      <c r="AB3514">
        <f>ROUND(U3514-AA3514,2)</f>
        <v/>
      </c>
      <c r="AC3514" t="b">
        <v>0</v>
      </c>
      <c r="AD3514">
        <f>IF(U3514="","MISSING_TOTAL",IF(ABS(AB3514)&lt;=0.01,"OK","CHECK"))</f>
        <v/>
      </c>
      <c r="AE3514">
        <f>IF(U3514="","MISSING",IF(AND(AA3514&gt;0,U3514/AA3514&gt;50),"POSSIBLE_SCALE_ERROR","OK"))</f>
        <v/>
      </c>
    </row>
    <row r="3515">
      <c r="A3515" t="inlineStr">
        <is>
          <t>T-2013-Q4-00051</t>
        </is>
      </c>
      <c r="B3515" t="inlineStr">
        <is>
          <t>SLE</t>
        </is>
      </c>
      <c r="C3515" t="inlineStr">
        <is>
          <t>Vice-President, Prince Edward Island</t>
        </is>
      </c>
      <c r="D3515" t="inlineStr">
        <is>
          <t>Vice-président, Île-du-Prince-Édouard</t>
        </is>
      </c>
      <c r="E3515" t="inlineStr">
        <is>
          <t>Patrick Dorsey</t>
        </is>
      </c>
      <c r="F3515" t="inlineStr">
        <is>
          <t>Meeting with Federal Tourism Strategy Steering Committee</t>
        </is>
      </c>
      <c r="G3515" t="inlineStr">
        <is>
          <t>Réunion avec le Comité directeur de la Stratégie fédérale en matière de tourisme</t>
        </is>
      </c>
      <c r="H3515" s="1" t="n">
        <v>41318</v>
      </c>
      <c r="I3515" s="1" t="n">
        <v>41320</v>
      </c>
      <c r="J3515" t="inlineStr">
        <is>
          <t>Ottawa, Ontario</t>
        </is>
      </c>
      <c r="K3515" t="inlineStr">
        <is>
          <t>Ottawa (Ontario)</t>
        </is>
      </c>
      <c r="P3515" t="n">
        <v>686</v>
      </c>
      <c r="Q3515" t="n">
        <v>116.5</v>
      </c>
      <c r="R3515" t="n">
        <v>354.82</v>
      </c>
      <c r="S3515" t="n">
        <v>210.5</v>
      </c>
      <c r="T3515" t="n">
        <v>0</v>
      </c>
      <c r="U3515" t="n">
        <v>1367.82</v>
      </c>
      <c r="X3515" t="inlineStr">
        <is>
          <t>acoa-apeca</t>
        </is>
      </c>
      <c r="Y3515" t="inlineStr">
        <is>
          <t>Atlantic Canada Opportunities Agency | Agence de promotion économique du Canada atlantique</t>
        </is>
      </c>
      <c r="Z3515" t="n">
        <v>3</v>
      </c>
      <c r="AA3515" t="n">
        <v>1367.82</v>
      </c>
      <c r="AB3515">
        <f>ROUND(U3515-AA3515,2)</f>
        <v/>
      </c>
      <c r="AC3515" t="b">
        <v>0</v>
      </c>
      <c r="AD3515">
        <f>IF(U3515="","MISSING_TOTAL",IF(ABS(AB3515)&lt;=0.01,"OK","CHECK"))</f>
        <v/>
      </c>
      <c r="AE3515">
        <f>IF(U3515="","MISSING",IF(AND(AA3515&gt;0,U3515/AA3515&gt;50),"POSSIBLE_SCALE_ERROR","OK"))</f>
        <v/>
      </c>
    </row>
    <row r="3516">
      <c r="A3516" t="inlineStr">
        <is>
          <t>T-2013-Q4-00050</t>
        </is>
      </c>
      <c r="B3516" t="inlineStr">
        <is>
          <t>SLE</t>
        </is>
      </c>
      <c r="C3516" t="inlineStr">
        <is>
          <t>President</t>
        </is>
      </c>
      <c r="D3516" t="inlineStr">
        <is>
          <t>Président</t>
        </is>
      </c>
      <c r="E3516" t="inlineStr">
        <is>
          <t>Paul J. LeBlanc</t>
        </is>
      </c>
      <c r="F3516" t="inlineStr">
        <is>
          <t>For various meetings and discussions with Agency officials; with Government of Canada officials.</t>
        </is>
      </c>
      <c r="G3516" t="inlineStr">
        <is>
          <t>Participation à diverses réunions et discussions avec des fonctionnaires de l'Agence et du gouvernement du Canada</t>
        </is>
      </c>
      <c r="H3516" s="1" t="n">
        <v>41317</v>
      </c>
      <c r="I3516" s="1" t="n">
        <v>41325</v>
      </c>
      <c r="J3516" t="inlineStr">
        <is>
          <t>Ottawa, Ontario</t>
        </is>
      </c>
      <c r="K3516" t="inlineStr">
        <is>
          <t>Ottawa (Ontario)</t>
        </is>
      </c>
      <c r="P3516" t="n">
        <v>747.9400000000001</v>
      </c>
      <c r="Q3516" t="n">
        <v>0</v>
      </c>
      <c r="R3516" t="n">
        <v>354.82</v>
      </c>
      <c r="S3516" t="n">
        <v>154.2</v>
      </c>
      <c r="T3516" t="n">
        <v>0</v>
      </c>
      <c r="U3516" t="n">
        <v>1256.96</v>
      </c>
      <c r="X3516" t="inlineStr">
        <is>
          <t>acoa-apeca</t>
        </is>
      </c>
      <c r="Y3516" t="inlineStr">
        <is>
          <t>Atlantic Canada Opportunities Agency | Agence de promotion économique du Canada atlantique</t>
        </is>
      </c>
      <c r="Z3516" t="n">
        <v>9</v>
      </c>
      <c r="AA3516" t="n">
        <v>1256.96</v>
      </c>
      <c r="AB3516">
        <f>ROUND(U3516-AA3516,2)</f>
        <v/>
      </c>
      <c r="AC3516" t="b">
        <v>0</v>
      </c>
      <c r="AD3516">
        <f>IF(U3516="","MISSING_TOTAL",IF(ABS(AB3516)&lt;=0.01,"OK","CHECK"))</f>
        <v/>
      </c>
      <c r="AE3516">
        <f>IF(U3516="","MISSING",IF(AND(AA3516&gt;0,U3516/AA3516&gt;50),"POSSIBLE_SCALE_ERROR","OK"))</f>
        <v/>
      </c>
    </row>
    <row r="3517">
      <c r="A3517" t="inlineStr">
        <is>
          <t>T-2013-Q4-00049</t>
        </is>
      </c>
      <c r="B3517" t="inlineStr">
        <is>
          <t>SLE</t>
        </is>
      </c>
      <c r="C3517" t="inlineStr">
        <is>
          <t>Vice-President, Newfoundland and Labrador</t>
        </is>
      </c>
      <c r="D3517" t="inlineStr">
        <is>
          <t>Vice-président, Terre-Neuve-et-Labrador</t>
        </is>
      </c>
      <c r="E3517" t="inlineStr">
        <is>
          <t>Paul Mills</t>
        </is>
      </c>
      <c r="F3517" t="inlineStr">
        <is>
          <t>Meetings in Ottawa, February 12-14, 2012</t>
        </is>
      </c>
      <c r="G3517" t="inlineStr">
        <is>
          <t>Réunions à Ottawa du 12 au 14 février 2012</t>
        </is>
      </c>
      <c r="H3517" s="1" t="n">
        <v>41317</v>
      </c>
      <c r="I3517" s="1" t="n">
        <v>41319</v>
      </c>
      <c r="J3517" t="inlineStr">
        <is>
          <t>Ottawa, Ontario</t>
        </is>
      </c>
      <c r="K3517" t="inlineStr">
        <is>
          <t>Ottawa (Ontario)</t>
        </is>
      </c>
      <c r="P3517" t="n">
        <v>1369.14</v>
      </c>
      <c r="Q3517" t="n">
        <v>142</v>
      </c>
      <c r="R3517" t="n">
        <v>374.73</v>
      </c>
      <c r="S3517" t="n">
        <v>210.5</v>
      </c>
      <c r="T3517" t="n">
        <v>9.33</v>
      </c>
      <c r="U3517" t="n">
        <v>2105.7</v>
      </c>
      <c r="X3517" t="inlineStr">
        <is>
          <t>acoa-apeca</t>
        </is>
      </c>
      <c r="Y3517" t="inlineStr">
        <is>
          <t>Atlantic Canada Opportunities Agency | Agence de promotion économique du Canada atlantique</t>
        </is>
      </c>
      <c r="Z3517" t="n">
        <v>3</v>
      </c>
      <c r="AA3517" t="n">
        <v>2105.7</v>
      </c>
      <c r="AB3517">
        <f>ROUND(U3517-AA3517,2)</f>
        <v/>
      </c>
      <c r="AC3517" t="b">
        <v>0</v>
      </c>
      <c r="AD3517">
        <f>IF(U3517="","MISSING_TOTAL",IF(ABS(AB3517)&lt;=0.01,"OK","CHECK"))</f>
        <v/>
      </c>
      <c r="AE3517">
        <f>IF(U3517="","MISSING",IF(AND(AA3517&gt;0,U3517/AA3517&gt;50),"POSSIBLE_SCALE_ERROR","OK"))</f>
        <v/>
      </c>
    </row>
    <row r="3518">
      <c r="A3518" t="inlineStr">
        <is>
          <t>T-2013-Q4-00047</t>
        </is>
      </c>
      <c r="B3518" t="inlineStr">
        <is>
          <t>SLE</t>
        </is>
      </c>
      <c r="C3518" t="inlineStr">
        <is>
          <t>Vice-President, Finance and Corporate Services</t>
        </is>
      </c>
      <c r="D3518" t="inlineStr">
        <is>
          <t>Vice-présidente, Finances et Services corporatifs</t>
        </is>
      </c>
      <c r="E3518" t="inlineStr">
        <is>
          <t>Denise Frenette</t>
        </is>
      </c>
      <c r="F3518" t="inlineStr">
        <is>
          <t>Meetings with Government of Canada Officials</t>
        </is>
      </c>
      <c r="G3518" t="inlineStr">
        <is>
          <t>Réunions avec des fonctionnaires du gouvernement du Canada</t>
        </is>
      </c>
      <c r="H3518" s="1" t="n">
        <v>41316</v>
      </c>
      <c r="I3518" s="1" t="n">
        <v>41345</v>
      </c>
      <c r="J3518" t="inlineStr">
        <is>
          <t>Ottawa, Ontario</t>
        </is>
      </c>
      <c r="K3518" t="inlineStr">
        <is>
          <t>Ottawa (Ontario)</t>
        </is>
      </c>
      <c r="P3518" t="n">
        <v>723.2</v>
      </c>
      <c r="Q3518" t="n">
        <v>61.5</v>
      </c>
      <c r="R3518" t="n">
        <v>177.41</v>
      </c>
      <c r="S3518" t="n">
        <v>90.90000000000001</v>
      </c>
      <c r="T3518" t="n">
        <v>0</v>
      </c>
      <c r="U3518" t="n">
        <v>1053.01</v>
      </c>
      <c r="X3518" t="inlineStr">
        <is>
          <t>acoa-apeca</t>
        </is>
      </c>
      <c r="Y3518" t="inlineStr">
        <is>
          <t>Atlantic Canada Opportunities Agency | Agence de promotion économique du Canada atlantique</t>
        </is>
      </c>
      <c r="Z3518" t="n">
        <v>30</v>
      </c>
      <c r="AA3518" t="n">
        <v>1053.01</v>
      </c>
      <c r="AB3518">
        <f>ROUND(U3518-AA3518,2)</f>
        <v/>
      </c>
      <c r="AC3518" t="b">
        <v>0</v>
      </c>
      <c r="AD3518">
        <f>IF(U3518="","MISSING_TOTAL",IF(ABS(AB3518)&lt;=0.01,"OK","CHECK"))</f>
        <v/>
      </c>
      <c r="AE3518">
        <f>IF(U3518="","MISSING",IF(AND(AA3518&gt;0,U3518/AA3518&gt;50),"POSSIBLE_SCALE_ERROR","OK"))</f>
        <v/>
      </c>
    </row>
    <row r="3519">
      <c r="A3519" t="inlineStr">
        <is>
          <t>T-2013-Q4-00045</t>
        </is>
      </c>
      <c r="B3519" t="inlineStr">
        <is>
          <t>SLE</t>
        </is>
      </c>
      <c r="C3519" t="inlineStr">
        <is>
          <t>Vice-President, Policy and Programs</t>
        </is>
      </c>
      <c r="D3519" t="inlineStr">
        <is>
          <t>Vice-président, Politiques et Programmes</t>
        </is>
      </c>
      <c r="E3519" t="inlineStr">
        <is>
          <t>Daryell Nowlan</t>
        </is>
      </c>
      <c r="F3519" t="inlineStr">
        <is>
          <t>Meetings with Government of Canada officials</t>
        </is>
      </c>
      <c r="G3519" t="inlineStr">
        <is>
          <t>Réunions avec des fonctionnaires du gouvernement du Canada</t>
        </is>
      </c>
      <c r="H3519" s="1" t="n">
        <v>41316</v>
      </c>
      <c r="I3519" s="1" t="n">
        <v>41318</v>
      </c>
      <c r="J3519" t="inlineStr">
        <is>
          <t>Ottawa, Ontario</t>
        </is>
      </c>
      <c r="K3519" t="inlineStr">
        <is>
          <t>Ottawa (Ontatio)</t>
        </is>
      </c>
      <c r="P3519" t="n">
        <v>899.5599999999999</v>
      </c>
      <c r="Q3519" t="n">
        <v>115</v>
      </c>
      <c r="R3519" t="n">
        <v>354.82</v>
      </c>
      <c r="S3519" t="n">
        <v>165</v>
      </c>
      <c r="T3519" t="n">
        <v>0</v>
      </c>
      <c r="U3519" t="n">
        <v>1534.38</v>
      </c>
      <c r="X3519" t="inlineStr">
        <is>
          <t>acoa-apeca</t>
        </is>
      </c>
      <c r="Y3519" t="inlineStr">
        <is>
          <t>Atlantic Canada Opportunities Agency | Agence de promotion économique du Canada atlantique</t>
        </is>
      </c>
      <c r="Z3519" t="n">
        <v>3</v>
      </c>
      <c r="AA3519" t="n">
        <v>1534.37999999999</v>
      </c>
      <c r="AB3519">
        <f>ROUND(U3519-AA3519,2)</f>
        <v/>
      </c>
      <c r="AC3519" t="b">
        <v>0</v>
      </c>
      <c r="AD3519">
        <f>IF(U3519="","MISSING_TOTAL",IF(ABS(AB3519)&lt;=0.01,"OK","CHECK"))</f>
        <v/>
      </c>
      <c r="AE3519">
        <f>IF(U3519="","MISSING",IF(AND(AA3519&gt;0,U3519/AA3519&gt;50),"POSSIBLE_SCALE_ERROR","OK"))</f>
        <v/>
      </c>
    </row>
    <row r="3520">
      <c r="A3520" t="inlineStr">
        <is>
          <t>T-2013-Q4-00044</t>
        </is>
      </c>
      <c r="B3520" t="inlineStr">
        <is>
          <t>SLE</t>
        </is>
      </c>
      <c r="C3520" t="inlineStr">
        <is>
          <t>Vice-President, New Brunswick</t>
        </is>
      </c>
      <c r="D3520" t="inlineStr">
        <is>
          <t>Vice-présidente, Nouveau-Brunswick</t>
        </is>
      </c>
      <c r="E3520" t="inlineStr">
        <is>
          <t>Janet Gagnon</t>
        </is>
      </c>
      <c r="F3520" t="inlineStr">
        <is>
          <t>Meeting with the President</t>
        </is>
      </c>
      <c r="G3520" t="inlineStr">
        <is>
          <t>Réunion avec le président</t>
        </is>
      </c>
      <c r="H3520" s="1" t="n">
        <v>41313</v>
      </c>
      <c r="I3520" s="1" t="n">
        <v>41313</v>
      </c>
      <c r="J3520" t="inlineStr">
        <is>
          <t>Moncton, New Brunswick</t>
        </is>
      </c>
      <c r="K3520" t="inlineStr">
        <is>
          <t>Moncton (Nouveau-Brunswick)</t>
        </is>
      </c>
      <c r="P3520" t="n">
        <v>0</v>
      </c>
      <c r="Q3520" t="n">
        <v>0</v>
      </c>
      <c r="R3520" t="n">
        <v>0</v>
      </c>
      <c r="S3520" t="n">
        <v>15</v>
      </c>
      <c r="T3520" t="n">
        <v>7</v>
      </c>
      <c r="U3520" t="n">
        <v>22</v>
      </c>
      <c r="X3520" t="inlineStr">
        <is>
          <t>acoa-apeca</t>
        </is>
      </c>
      <c r="Y3520" t="inlineStr">
        <is>
          <t>Atlantic Canada Opportunities Agency | Agence de promotion économique du Canada atlantique</t>
        </is>
      </c>
      <c r="Z3520" t="n">
        <v>1</v>
      </c>
      <c r="AA3520" t="n">
        <v>22</v>
      </c>
      <c r="AB3520">
        <f>ROUND(U3520-AA3520,2)</f>
        <v/>
      </c>
      <c r="AC3520" t="b">
        <v>0</v>
      </c>
      <c r="AD3520">
        <f>IF(U3520="","MISSING_TOTAL",IF(ABS(AB3520)&lt;=0.01,"OK","CHECK"))</f>
        <v/>
      </c>
      <c r="AE3520">
        <f>IF(U3520="","MISSING",IF(AND(AA3520&gt;0,U3520/AA3520&gt;50),"POSSIBLE_SCALE_ERROR","OK"))</f>
        <v/>
      </c>
    </row>
    <row r="3521">
      <c r="A3521" t="inlineStr">
        <is>
          <t>T-2013-Q4-00043</t>
        </is>
      </c>
      <c r="B3521" t="inlineStr">
        <is>
          <t>SLE</t>
        </is>
      </c>
      <c r="C3521" t="inlineStr">
        <is>
          <t>Vice-President, Finance and Corporate Services</t>
        </is>
      </c>
      <c r="D3521" t="inlineStr">
        <is>
          <t>Vice-présidente, Finances et Services corporatifs</t>
        </is>
      </c>
      <c r="E3521" t="inlineStr">
        <is>
          <t>Denise Frenette</t>
        </is>
      </c>
      <c r="F3521" t="inlineStr">
        <is>
          <t>Meetings with public sector officials</t>
        </is>
      </c>
      <c r="G3521" t="inlineStr">
        <is>
          <t>Réunions avec des fonctionnaires du secteur public</t>
        </is>
      </c>
      <c r="H3521" s="1" t="n">
        <v>41311</v>
      </c>
      <c r="I3521" s="1" t="n">
        <v>41340</v>
      </c>
      <c r="J3521" t="inlineStr">
        <is>
          <t>Ottawa, Ontario</t>
        </is>
      </c>
      <c r="K3521" t="inlineStr">
        <is>
          <t>Ottawa (Ontario)</t>
        </is>
      </c>
      <c r="P3521" t="n">
        <v>723.2</v>
      </c>
      <c r="Q3521" t="n">
        <v>158.55</v>
      </c>
      <c r="R3521" t="n">
        <v>177.41</v>
      </c>
      <c r="S3521" t="n">
        <v>75.90000000000001</v>
      </c>
      <c r="T3521" t="n">
        <v>0</v>
      </c>
      <c r="U3521" t="n">
        <v>1135.06</v>
      </c>
      <c r="X3521" t="inlineStr">
        <is>
          <t>acoa-apeca</t>
        </is>
      </c>
      <c r="Y3521" t="inlineStr">
        <is>
          <t>Atlantic Canada Opportunities Agency | Agence de promotion économique du Canada atlantique</t>
        </is>
      </c>
      <c r="Z3521" t="n">
        <v>30</v>
      </c>
      <c r="AA3521" t="n">
        <v>1135.06</v>
      </c>
      <c r="AB3521">
        <f>ROUND(U3521-AA3521,2)</f>
        <v/>
      </c>
      <c r="AC3521" t="b">
        <v>0</v>
      </c>
      <c r="AD3521">
        <f>IF(U3521="","MISSING_TOTAL",IF(ABS(AB3521)&lt;=0.01,"OK","CHECK"))</f>
        <v/>
      </c>
      <c r="AE3521">
        <f>IF(U3521="","MISSING",IF(AND(AA3521&gt;0,U3521/AA3521&gt;50),"POSSIBLE_SCALE_ERROR","OK"))</f>
        <v/>
      </c>
    </row>
    <row r="3522">
      <c r="A3522" t="inlineStr">
        <is>
          <t>T-2013-Q4-00042</t>
        </is>
      </c>
      <c r="B3522" t="inlineStr">
        <is>
          <t>SLE</t>
        </is>
      </c>
      <c r="C3522" t="inlineStr">
        <is>
          <t>President</t>
        </is>
      </c>
      <c r="D3522" t="inlineStr">
        <is>
          <t>Président</t>
        </is>
      </c>
      <c r="E3522" t="inlineStr">
        <is>
          <t>Paul J. LeBlanc</t>
        </is>
      </c>
      <c r="F3522" t="inlineStr">
        <is>
          <t>For various meetings and discussions with Agency officials; with Government of Canada officials</t>
        </is>
      </c>
      <c r="G3522" t="inlineStr">
        <is>
          <t>Participation à diverses réunions et discussions avec des fonctionnaires de l'Agence et du gouvernement du Canada</t>
        </is>
      </c>
      <c r="H3522" s="1" t="n">
        <v>41310</v>
      </c>
      <c r="I3522" s="1" t="n">
        <v>41312</v>
      </c>
      <c r="J3522" t="inlineStr">
        <is>
          <t>Ottawa, Ontario</t>
        </is>
      </c>
      <c r="K3522" t="inlineStr">
        <is>
          <t>Ottawa (Ontario)</t>
        </is>
      </c>
      <c r="P3522" t="n">
        <v>741.36</v>
      </c>
      <c r="Q3522" t="n">
        <v>0</v>
      </c>
      <c r="R3522" t="n">
        <v>354.82</v>
      </c>
      <c r="S3522" t="n">
        <v>180</v>
      </c>
      <c r="T3522" t="n">
        <v>0</v>
      </c>
      <c r="U3522" t="n">
        <v>1276.18</v>
      </c>
      <c r="X3522" t="inlineStr">
        <is>
          <t>acoa-apeca</t>
        </is>
      </c>
      <c r="Y3522" t="inlineStr">
        <is>
          <t>Atlantic Canada Opportunities Agency | Agence de promotion économique du Canada atlantique</t>
        </is>
      </c>
      <c r="Z3522" t="n">
        <v>3</v>
      </c>
      <c r="AA3522" t="n">
        <v>1276.18</v>
      </c>
      <c r="AB3522">
        <f>ROUND(U3522-AA3522,2)</f>
        <v/>
      </c>
      <c r="AC3522" t="b">
        <v>0</v>
      </c>
      <c r="AD3522">
        <f>IF(U3522="","MISSING_TOTAL",IF(ABS(AB3522)&lt;=0.01,"OK","CHECK"))</f>
        <v/>
      </c>
      <c r="AE3522">
        <f>IF(U3522="","MISSING",IF(AND(AA3522&gt;0,U3522/AA3522&gt;50),"POSSIBLE_SCALE_ERROR","OK"))</f>
        <v/>
      </c>
    </row>
    <row r="3523">
      <c r="A3523" t="inlineStr">
        <is>
          <t>T-2013-Q4-00041</t>
        </is>
      </c>
      <c r="B3523" t="inlineStr">
        <is>
          <t>SLE</t>
        </is>
      </c>
      <c r="C3523" t="inlineStr">
        <is>
          <t>Vice-President, Prince Edward Island</t>
        </is>
      </c>
      <c r="D3523" t="inlineStr">
        <is>
          <t>Vice-président, Île-du-Prince-Édouard</t>
        </is>
      </c>
      <c r="E3523" t="inlineStr">
        <is>
          <t>Patrick Dorsey</t>
        </is>
      </c>
      <c r="F3523" t="inlineStr">
        <is>
          <t>Training course by the Canada School of Public Service</t>
        </is>
      </c>
      <c r="G3523" t="inlineStr">
        <is>
          <t>Formation de l'École de la fonction publique du Canada</t>
        </is>
      </c>
      <c r="H3523" s="1" t="n">
        <v>41308</v>
      </c>
      <c r="I3523" s="1" t="n">
        <v>41312</v>
      </c>
      <c r="J3523" t="inlineStr">
        <is>
          <t>Montreal, Quebec</t>
        </is>
      </c>
      <c r="K3523" t="inlineStr">
        <is>
          <t>Montréal (Québec)</t>
        </is>
      </c>
      <c r="P3523" t="n">
        <v>622.71</v>
      </c>
      <c r="Q3523" t="n">
        <v>129</v>
      </c>
      <c r="R3523" t="n">
        <v>660.2</v>
      </c>
      <c r="S3523" t="n">
        <v>430</v>
      </c>
      <c r="T3523" t="n">
        <v>0</v>
      </c>
      <c r="U3523" t="n">
        <v>1841.91</v>
      </c>
      <c r="X3523" t="inlineStr">
        <is>
          <t>acoa-apeca</t>
        </is>
      </c>
      <c r="Y3523" t="inlineStr">
        <is>
          <t>Atlantic Canada Opportunities Agency | Agence de promotion économique du Canada atlantique</t>
        </is>
      </c>
      <c r="Z3523" t="n">
        <v>5</v>
      </c>
      <c r="AA3523" t="n">
        <v>1841.91</v>
      </c>
      <c r="AB3523">
        <f>ROUND(U3523-AA3523,2)</f>
        <v/>
      </c>
      <c r="AC3523" t="b">
        <v>0</v>
      </c>
      <c r="AD3523">
        <f>IF(U3523="","MISSING_TOTAL",IF(ABS(AB3523)&lt;=0.01,"OK","CHECK"))</f>
        <v/>
      </c>
      <c r="AE3523">
        <f>IF(U3523="","MISSING",IF(AND(AA3523&gt;0,U3523/AA3523&gt;50),"POSSIBLE_SCALE_ERROR","OK"))</f>
        <v/>
      </c>
    </row>
    <row r="3524">
      <c r="A3524" t="inlineStr">
        <is>
          <t>T-2013-Q4-00040</t>
        </is>
      </c>
      <c r="B3524" t="inlineStr">
        <is>
          <t>SLE</t>
        </is>
      </c>
      <c r="C3524" t="inlineStr">
        <is>
          <t>President</t>
        </is>
      </c>
      <c r="D3524" t="inlineStr">
        <is>
          <t>Président</t>
        </is>
      </c>
      <c r="E3524" t="inlineStr">
        <is>
          <t>Paul J. LeBlanc</t>
        </is>
      </c>
      <c r="F3524" t="inlineStr">
        <is>
          <t>For various meetings and discussions with: Agency officials; with Government of Canada officials</t>
        </is>
      </c>
      <c r="G3524" t="inlineStr">
        <is>
          <t>Diverses réunions et discussions avec des fonctionnaires de l'Agence et du gouvernement du Canada</t>
        </is>
      </c>
      <c r="H3524" s="1" t="n">
        <v>41302</v>
      </c>
      <c r="I3524" s="1" t="n">
        <v>41305</v>
      </c>
      <c r="J3524" t="inlineStr">
        <is>
          <t>Ottawa, Ontario</t>
        </is>
      </c>
      <c r="K3524" t="inlineStr">
        <is>
          <t>Ottawa (Ontario)</t>
        </is>
      </c>
      <c r="P3524" t="n">
        <v>1096.62</v>
      </c>
      <c r="Q3524" t="n">
        <v>13</v>
      </c>
      <c r="R3524" t="n">
        <v>532.23</v>
      </c>
      <c r="S3524" t="n">
        <v>254.1</v>
      </c>
      <c r="T3524" t="n">
        <v>48</v>
      </c>
      <c r="U3524" t="n">
        <v>1943.95</v>
      </c>
      <c r="X3524" t="inlineStr">
        <is>
          <t>acoa-apeca</t>
        </is>
      </c>
      <c r="Y3524" t="inlineStr">
        <is>
          <t>Atlantic Canada Opportunities Agency | Agence de promotion économique du Canada atlantique</t>
        </is>
      </c>
      <c r="Z3524" t="n">
        <v>4</v>
      </c>
      <c r="AA3524" t="n">
        <v>1943.94999999999</v>
      </c>
      <c r="AB3524">
        <f>ROUND(U3524-AA3524,2)</f>
        <v/>
      </c>
      <c r="AC3524" t="b">
        <v>0</v>
      </c>
      <c r="AD3524">
        <f>IF(U3524="","MISSING_TOTAL",IF(ABS(AB3524)&lt;=0.01,"OK","CHECK"))</f>
        <v/>
      </c>
      <c r="AE3524">
        <f>IF(U3524="","MISSING",IF(AND(AA3524&gt;0,U3524/AA3524&gt;50),"POSSIBLE_SCALE_ERROR","OK"))</f>
        <v/>
      </c>
    </row>
    <row r="3525">
      <c r="A3525" t="inlineStr">
        <is>
          <t>T-2013-Q4-00039</t>
        </is>
      </c>
      <c r="B3525" t="inlineStr">
        <is>
          <t>SLE</t>
        </is>
      </c>
      <c r="C3525" t="inlineStr">
        <is>
          <t>President</t>
        </is>
      </c>
      <c r="D3525" t="inlineStr">
        <is>
          <t>Président</t>
        </is>
      </c>
      <c r="E3525" t="inlineStr">
        <is>
          <t>Paul J. LeBlanc</t>
        </is>
      </c>
      <c r="F3525" t="inlineStr">
        <is>
          <t>For meeting with a stakeholder from the transportation sector</t>
        </is>
      </c>
      <c r="G3525" t="inlineStr">
        <is>
          <t>Réunion avec des intervenants du secteur des transports</t>
        </is>
      </c>
      <c r="H3525" s="1" t="n">
        <v>41302</v>
      </c>
      <c r="I3525" s="1" t="n">
        <v>41302</v>
      </c>
      <c r="J3525" t="inlineStr">
        <is>
          <t>Miramichi, New Brunswick</t>
        </is>
      </c>
      <c r="K3525" t="inlineStr">
        <is>
          <t>Miramichi (Nouveau-Brunswick)</t>
        </is>
      </c>
      <c r="P3525" t="n">
        <v>0</v>
      </c>
      <c r="Q3525" t="n">
        <v>0</v>
      </c>
      <c r="R3525" t="n">
        <v>0</v>
      </c>
      <c r="S3525" t="n">
        <v>15</v>
      </c>
      <c r="T3525" t="n">
        <v>0</v>
      </c>
      <c r="U3525" t="n">
        <v>15</v>
      </c>
      <c r="X3525" t="inlineStr">
        <is>
          <t>acoa-apeca</t>
        </is>
      </c>
      <c r="Y3525" t="inlineStr">
        <is>
          <t>Atlantic Canada Opportunities Agency | Agence de promotion économique du Canada atlantique</t>
        </is>
      </c>
      <c r="Z3525" t="n">
        <v>1</v>
      </c>
      <c r="AA3525" t="n">
        <v>15</v>
      </c>
      <c r="AB3525">
        <f>ROUND(U3525-AA3525,2)</f>
        <v/>
      </c>
      <c r="AC3525" t="b">
        <v>0</v>
      </c>
      <c r="AD3525">
        <f>IF(U3525="","MISSING_TOTAL",IF(ABS(AB3525)&lt;=0.01,"OK","CHECK"))</f>
        <v/>
      </c>
      <c r="AE3525">
        <f>IF(U3525="","MISSING",IF(AND(AA3525&gt;0,U3525/AA3525&gt;50),"POSSIBLE_SCALE_ERROR","OK"))</f>
        <v/>
      </c>
    </row>
    <row r="3526">
      <c r="A3526" t="inlineStr">
        <is>
          <t>T-2013-Q4-00030</t>
        </is>
      </c>
      <c r="B3526" t="inlineStr">
        <is>
          <t>SLE</t>
        </is>
      </c>
      <c r="C3526" t="inlineStr">
        <is>
          <t>Vice-President, New Brunswick</t>
        </is>
      </c>
      <c r="D3526" t="inlineStr">
        <is>
          <t>Vice-présidente, Nouveau-Brunswick</t>
        </is>
      </c>
      <c r="E3526" t="inlineStr">
        <is>
          <t>Janet Gagnon</t>
        </is>
      </c>
      <c r="F3526" t="inlineStr">
        <is>
          <t>Atlantic Federal Council Chairs meeting</t>
        </is>
      </c>
      <c r="G3526" t="inlineStr">
        <is>
          <t>Réunion des présidents des conseils fédéraux de l'Atlantique</t>
        </is>
      </c>
      <c r="H3526" s="1" t="n">
        <v>41289</v>
      </c>
      <c r="I3526" s="1" t="n">
        <v>41290</v>
      </c>
      <c r="J3526" t="inlineStr">
        <is>
          <t>Halifax, Nova Scotia</t>
        </is>
      </c>
      <c r="K3526" t="inlineStr">
        <is>
          <t>Halifax (Nouvelle-Écosse)</t>
        </is>
      </c>
      <c r="P3526" t="n">
        <v>346.76</v>
      </c>
      <c r="Q3526" t="n">
        <v>70</v>
      </c>
      <c r="R3526" t="n">
        <v>139.59</v>
      </c>
      <c r="S3526" t="n">
        <v>132.7</v>
      </c>
      <c r="T3526" t="n">
        <v>0</v>
      </c>
      <c r="U3526" t="n">
        <v>689.05</v>
      </c>
      <c r="X3526" t="inlineStr">
        <is>
          <t>acoa-apeca</t>
        </is>
      </c>
      <c r="Y3526" t="inlineStr">
        <is>
          <t>Atlantic Canada Opportunities Agency | Agence de promotion économique du Canada atlantique</t>
        </is>
      </c>
      <c r="Z3526" t="n">
        <v>2</v>
      </c>
      <c r="AA3526" t="n">
        <v>689.05</v>
      </c>
      <c r="AB3526">
        <f>ROUND(U3526-AA3526,2)</f>
        <v/>
      </c>
      <c r="AC3526" t="b">
        <v>0</v>
      </c>
      <c r="AD3526">
        <f>IF(U3526="","MISSING_TOTAL",IF(ABS(AB3526)&lt;=0.01,"OK","CHECK"))</f>
        <v/>
      </c>
      <c r="AE3526">
        <f>IF(U3526="","MISSING",IF(AND(AA3526&gt;0,U3526/AA3526&gt;50),"POSSIBLE_SCALE_ERROR","OK"))</f>
        <v/>
      </c>
    </row>
    <row r="3527">
      <c r="A3527" t="inlineStr">
        <is>
          <t>T-2013-Q4-00038</t>
        </is>
      </c>
      <c r="B3527" t="inlineStr">
        <is>
          <t>MPSES</t>
        </is>
      </c>
      <c r="C3527" t="inlineStr">
        <is>
          <t>Executive Assistant and Press Secretary</t>
        </is>
      </c>
      <c r="D3527" t="inlineStr">
        <is>
          <t>Adjointe exécutive et attaché de presse</t>
        </is>
      </c>
      <c r="E3527" t="inlineStr">
        <is>
          <t>Andrea Richer</t>
        </is>
      </c>
      <c r="F3527" t="inlineStr">
        <is>
          <t>To accompany Minister of State to the Economic Roundtables, various meetings and event at Moncton University</t>
        </is>
      </c>
      <c r="G3527" t="inlineStr">
        <is>
          <t>Pour accompagner le ministre d'État aux tables rondes économiques, à diverses réunions et à une activité à l'Université de Moncton</t>
        </is>
      </c>
      <c r="H3527" s="1" t="n">
        <v>41298</v>
      </c>
      <c r="I3527" s="1" t="n">
        <v>41301</v>
      </c>
      <c r="J3527" t="inlineStr">
        <is>
          <t>Moncton, New-Brunswick</t>
        </is>
      </c>
      <c r="K3527" t="inlineStr">
        <is>
          <t>Moncton (Nouveau-Brunswick)</t>
        </is>
      </c>
      <c r="P3527" t="n">
        <v>609.24</v>
      </c>
      <c r="Q3527" t="n">
        <v>66.83</v>
      </c>
      <c r="R3527" t="n">
        <v>339</v>
      </c>
      <c r="S3527" t="n">
        <v>243.3</v>
      </c>
      <c r="T3527" t="n">
        <v>0</v>
      </c>
      <c r="U3527" t="n">
        <v>1258.37</v>
      </c>
      <c r="X3527" t="inlineStr">
        <is>
          <t>acoa-apeca</t>
        </is>
      </c>
      <c r="Y3527" t="inlineStr">
        <is>
          <t>Atlantic Canada Opportunities Agency | Agence de promotion économique du Canada atlantique</t>
        </is>
      </c>
      <c r="Z3527" t="n">
        <v>4</v>
      </c>
      <c r="AA3527" t="n">
        <v>1258.37</v>
      </c>
      <c r="AB3527">
        <f>ROUND(U3527-AA3527,2)</f>
        <v/>
      </c>
      <c r="AC3527" t="b">
        <v>0</v>
      </c>
      <c r="AD3527">
        <f>IF(U3527="","MISSING_TOTAL",IF(ABS(AB3527)&lt;=0.01,"OK","CHECK"))</f>
        <v/>
      </c>
      <c r="AE3527">
        <f>IF(U3527="","MISSING",IF(AND(AA3527&gt;0,U3527/AA3527&gt;50),"POSSIBLE_SCALE_ERROR","OK"))</f>
        <v/>
      </c>
    </row>
    <row r="3528">
      <c r="A3528" t="inlineStr">
        <is>
          <t>T-2013-Q4-00037</t>
        </is>
      </c>
      <c r="B3528" t="inlineStr">
        <is>
          <t>MPSES</t>
        </is>
      </c>
      <c r="C3528" t="inlineStr">
        <is>
          <t>Minister of State</t>
        </is>
      </c>
      <c r="D3528" t="inlineStr">
        <is>
          <t>Ministre d'État</t>
        </is>
      </c>
      <c r="E3528" t="inlineStr">
        <is>
          <t>Bernard Valcourt</t>
        </is>
      </c>
      <c r="F3528" t="inlineStr">
        <is>
          <t>Various meetings and speeches on behalf of the Government of Canada</t>
        </is>
      </c>
      <c r="G3528" t="inlineStr">
        <is>
          <t>Rencontres et allocutions diverses pour le gouvernement du Canada</t>
        </is>
      </c>
      <c r="H3528" s="1" t="n">
        <v>41297</v>
      </c>
      <c r="I3528" s="1" t="n">
        <v>41301</v>
      </c>
      <c r="J3528" t="inlineStr">
        <is>
          <t>Moncton, Miramichi, Negac, New Brunswick; London, Ontario</t>
        </is>
      </c>
      <c r="K3528" t="inlineStr">
        <is>
          <t>Moncton, Miramichi, Neguac (Nouveau-Brunswick); London (Ontario)</t>
        </is>
      </c>
      <c r="P3528" t="n">
        <v>1182.8</v>
      </c>
      <c r="Q3528" t="n">
        <v>20</v>
      </c>
      <c r="R3528" t="n">
        <v>339</v>
      </c>
      <c r="S3528" t="n">
        <v>243.3</v>
      </c>
      <c r="T3528" t="n">
        <v>0</v>
      </c>
      <c r="U3528" t="n">
        <v>1785.1</v>
      </c>
      <c r="X3528" t="inlineStr">
        <is>
          <t>acoa-apeca</t>
        </is>
      </c>
      <c r="Y3528" t="inlineStr">
        <is>
          <t>Atlantic Canada Opportunities Agency | Agence de promotion économique du Canada atlantique</t>
        </is>
      </c>
      <c r="Z3528" t="n">
        <v>5</v>
      </c>
      <c r="AA3528" t="n">
        <v>1785.1</v>
      </c>
      <c r="AB3528">
        <f>ROUND(U3528-AA3528,2)</f>
        <v/>
      </c>
      <c r="AC3528" t="b">
        <v>0</v>
      </c>
      <c r="AD3528">
        <f>IF(U3528="","MISSING_TOTAL",IF(ABS(AB3528)&lt;=0.01,"OK","CHECK"))</f>
        <v/>
      </c>
      <c r="AE3528">
        <f>IF(U3528="","MISSING",IF(AND(AA3528&gt;0,U3528/AA3528&gt;50),"POSSIBLE_SCALE_ERROR","OK"))</f>
        <v/>
      </c>
    </row>
    <row r="3529">
      <c r="A3529" t="inlineStr">
        <is>
          <t>T-2013-Q4-00035</t>
        </is>
      </c>
      <c r="B3529" t="inlineStr">
        <is>
          <t>SLE</t>
        </is>
      </c>
      <c r="C3529" t="inlineStr">
        <is>
          <t>Vice President, Nova Scotia</t>
        </is>
      </c>
      <c r="D3529" t="inlineStr">
        <is>
          <t>Vice-président, Nouvelle-Écosse</t>
        </is>
      </c>
      <c r="E3529" t="inlineStr">
        <is>
          <t>Peter Hogan</t>
        </is>
      </c>
      <c r="F3529" t="inlineStr">
        <is>
          <t>Various meetings with Agency and Government of Canada Officials</t>
        </is>
      </c>
      <c r="G3529" t="inlineStr">
        <is>
          <t>Diverses réunions avec des fonctionnaires de l'Agence et du gouvernement du Canada</t>
        </is>
      </c>
      <c r="H3529" s="1" t="n">
        <v>41296</v>
      </c>
      <c r="I3529" s="1" t="n">
        <v>41297</v>
      </c>
      <c r="J3529" t="inlineStr">
        <is>
          <t>Ottawa, Ontario</t>
        </is>
      </c>
      <c r="K3529" t="inlineStr">
        <is>
          <t>Ottawa (Ontario)</t>
        </is>
      </c>
      <c r="P3529" t="n">
        <v>319.03</v>
      </c>
      <c r="Q3529" t="n">
        <v>88.72</v>
      </c>
      <c r="R3529" t="n">
        <v>158.4</v>
      </c>
      <c r="S3529" t="n">
        <v>131.87</v>
      </c>
      <c r="T3529" t="n">
        <v>0</v>
      </c>
      <c r="U3529" t="n">
        <v>698.02</v>
      </c>
      <c r="X3529" t="inlineStr">
        <is>
          <t>acoa-apeca</t>
        </is>
      </c>
      <c r="Y3529" t="inlineStr">
        <is>
          <t>Atlantic Canada Opportunities Agency | Agence de promotion économique du Canada atlantique</t>
        </is>
      </c>
      <c r="Z3529" t="n">
        <v>2</v>
      </c>
      <c r="AA3529" t="n">
        <v>698.02</v>
      </c>
      <c r="AB3529">
        <f>ROUND(U3529-AA3529,2)</f>
        <v/>
      </c>
      <c r="AC3529" t="b">
        <v>0</v>
      </c>
      <c r="AD3529">
        <f>IF(U3529="","MISSING_TOTAL",IF(ABS(AB3529)&lt;=0.01,"OK","CHECK"))</f>
        <v/>
      </c>
      <c r="AE3529">
        <f>IF(U3529="","MISSING",IF(AND(AA3529&gt;0,U3529/AA3529&gt;50),"POSSIBLE_SCALE_ERROR","OK"))</f>
        <v/>
      </c>
    </row>
    <row r="3530">
      <c r="A3530" t="inlineStr">
        <is>
          <t>T-2013-Q4-00034</t>
        </is>
      </c>
      <c r="B3530" t="inlineStr">
        <is>
          <t>SLE</t>
        </is>
      </c>
      <c r="C3530" t="inlineStr">
        <is>
          <t>President</t>
        </is>
      </c>
      <c r="D3530" t="inlineStr">
        <is>
          <t>Président</t>
        </is>
      </c>
      <c r="E3530" t="inlineStr">
        <is>
          <t>Paul J. LeBlanc</t>
        </is>
      </c>
      <c r="F3530" t="inlineStr">
        <is>
          <t>For various meetings and discussions with: Agency officials; with Government of Canada officials</t>
        </is>
      </c>
      <c r="G3530" t="inlineStr">
        <is>
          <t>Diverses réunions et discussions avec des fonctionnaires de l'Agence et du gouvernement du Canada</t>
        </is>
      </c>
      <c r="H3530" s="1" t="n">
        <v>41296</v>
      </c>
      <c r="I3530" s="1" t="n">
        <v>41298</v>
      </c>
      <c r="J3530" t="inlineStr">
        <is>
          <t>Ottawa, Ontario</t>
        </is>
      </c>
      <c r="K3530" t="inlineStr">
        <is>
          <t>Ottawa (Ontario)</t>
        </is>
      </c>
      <c r="P3530" t="n">
        <v>741.36</v>
      </c>
      <c r="Q3530" t="n">
        <v>0</v>
      </c>
      <c r="R3530" t="n">
        <v>354.82</v>
      </c>
      <c r="S3530" t="n">
        <v>195.5</v>
      </c>
      <c r="T3530" t="n">
        <v>170.5</v>
      </c>
      <c r="U3530" t="n">
        <v>1462.18</v>
      </c>
      <c r="X3530" t="inlineStr">
        <is>
          <t>acoa-apeca</t>
        </is>
      </c>
      <c r="Y3530" t="inlineStr">
        <is>
          <t>Atlantic Canada Opportunities Agency | Agence de promotion économique du Canada atlantique</t>
        </is>
      </c>
      <c r="Z3530" t="n">
        <v>3</v>
      </c>
      <c r="AA3530" t="n">
        <v>1462.18</v>
      </c>
      <c r="AB3530">
        <f>ROUND(U3530-AA3530,2)</f>
        <v/>
      </c>
      <c r="AC3530" t="b">
        <v>0</v>
      </c>
      <c r="AD3530">
        <f>IF(U3530="","MISSING_TOTAL",IF(ABS(AB3530)&lt;=0.01,"OK","CHECK"))</f>
        <v/>
      </c>
      <c r="AE3530">
        <f>IF(U3530="","MISSING",IF(AND(AA3530&gt;0,U3530/AA3530&gt;50),"POSSIBLE_SCALE_ERROR","OK"))</f>
        <v/>
      </c>
    </row>
    <row r="3531">
      <c r="A3531" t="inlineStr">
        <is>
          <t>T-2013-Q4-00033</t>
        </is>
      </c>
      <c r="B3531" t="inlineStr">
        <is>
          <t>SLE</t>
        </is>
      </c>
      <c r="C3531" t="inlineStr">
        <is>
          <t>Vice President, Nova Scotia</t>
        </is>
      </c>
      <c r="D3531" t="inlineStr">
        <is>
          <t>Vice-président, Nouvelle-Écosse</t>
        </is>
      </c>
      <c r="E3531" t="inlineStr">
        <is>
          <t>Peter Hogan</t>
        </is>
      </c>
      <c r="F3531" t="inlineStr">
        <is>
          <t>Meeting with Agency Officials</t>
        </is>
      </c>
      <c r="G3531" t="inlineStr">
        <is>
          <t>Réunion avec des fonctionnaires de l'Agence</t>
        </is>
      </c>
      <c r="H3531" s="1" t="n">
        <v>41290</v>
      </c>
      <c r="I3531" s="1" t="n">
        <v>41291</v>
      </c>
      <c r="J3531" t="inlineStr">
        <is>
          <t>Moncton, New Brunswick</t>
        </is>
      </c>
      <c r="K3531" t="inlineStr">
        <is>
          <t>Moncton (Nouveau-Brunswick)</t>
        </is>
      </c>
      <c r="P3531" t="n">
        <v>0</v>
      </c>
      <c r="Q3531" t="n">
        <v>12.87</v>
      </c>
      <c r="R3531" t="n">
        <v>100.89</v>
      </c>
      <c r="S3531" t="n">
        <v>81.59999999999999</v>
      </c>
      <c r="T3531" t="n">
        <v>0</v>
      </c>
      <c r="U3531" t="n">
        <v>195.36</v>
      </c>
      <c r="X3531" t="inlineStr">
        <is>
          <t>acoa-apeca</t>
        </is>
      </c>
      <c r="Y3531" t="inlineStr">
        <is>
          <t>Atlantic Canada Opportunities Agency | Agence de promotion économique du Canada atlantique</t>
        </is>
      </c>
      <c r="Z3531" t="n">
        <v>2</v>
      </c>
      <c r="AA3531" t="n">
        <v>195.36</v>
      </c>
      <c r="AB3531">
        <f>ROUND(U3531-AA3531,2)</f>
        <v/>
      </c>
      <c r="AC3531" t="b">
        <v>0</v>
      </c>
      <c r="AD3531">
        <f>IF(U3531="","MISSING_TOTAL",IF(ABS(AB3531)&lt;=0.01,"OK","CHECK"))</f>
        <v/>
      </c>
      <c r="AE3531">
        <f>IF(U3531="","MISSING",IF(AND(AA3531&gt;0,U3531/AA3531&gt;50),"POSSIBLE_SCALE_ERROR","OK"))</f>
        <v/>
      </c>
    </row>
    <row r="3532">
      <c r="A3532" t="inlineStr">
        <is>
          <t>T-2013-Q4-00032</t>
        </is>
      </c>
      <c r="B3532" t="inlineStr">
        <is>
          <t>SLE</t>
        </is>
      </c>
      <c r="C3532" t="inlineStr">
        <is>
          <t>Vice-President, New Brunswick</t>
        </is>
      </c>
      <c r="D3532" t="inlineStr">
        <is>
          <t>Vice-présidente, Nouveau-Brunswick</t>
        </is>
      </c>
      <c r="E3532" t="inlineStr">
        <is>
          <t>Janet Gagnon</t>
        </is>
      </c>
      <c r="F3532" t="inlineStr">
        <is>
          <t>Executive Committee Meeting</t>
        </is>
      </c>
      <c r="G3532" t="inlineStr">
        <is>
          <t>Réunion du Comité de direction</t>
        </is>
      </c>
      <c r="H3532" s="1" t="n">
        <v>41290</v>
      </c>
      <c r="I3532" s="1" t="n">
        <v>41291</v>
      </c>
      <c r="J3532" t="inlineStr">
        <is>
          <t>Moncton, New Brunswick</t>
        </is>
      </c>
      <c r="K3532" t="inlineStr">
        <is>
          <t>Moncton (Nouveau-Brunswick)</t>
        </is>
      </c>
      <c r="P3532" t="n">
        <v>0</v>
      </c>
      <c r="Q3532" t="n">
        <v>0</v>
      </c>
      <c r="R3532" t="n">
        <v>157.07</v>
      </c>
      <c r="S3532" t="n">
        <v>17.3</v>
      </c>
      <c r="T3532" t="n">
        <v>2</v>
      </c>
      <c r="U3532" t="n">
        <v>176.37</v>
      </c>
      <c r="X3532" t="inlineStr">
        <is>
          <t>acoa-apeca</t>
        </is>
      </c>
      <c r="Y3532" t="inlineStr">
        <is>
          <t>Atlantic Canada Opportunities Agency | Agence de promotion économique du Canada atlantique</t>
        </is>
      </c>
      <c r="Z3532" t="n">
        <v>2</v>
      </c>
      <c r="AA3532" t="n">
        <v>176.37</v>
      </c>
      <c r="AB3532">
        <f>ROUND(U3532-AA3532,2)</f>
        <v/>
      </c>
      <c r="AC3532" t="b">
        <v>0</v>
      </c>
      <c r="AD3532">
        <f>IF(U3532="","MISSING_TOTAL",IF(ABS(AB3532)&lt;=0.01,"OK","CHECK"))</f>
        <v/>
      </c>
      <c r="AE3532">
        <f>IF(U3532="","MISSING",IF(AND(AA3532&gt;0,U3532/AA3532&gt;50),"POSSIBLE_SCALE_ERROR","OK"))</f>
        <v/>
      </c>
    </row>
    <row r="3533">
      <c r="A3533" t="inlineStr">
        <is>
          <t>T-2013-Q4-00031</t>
        </is>
      </c>
      <c r="B3533" t="inlineStr">
        <is>
          <t>SLE</t>
        </is>
      </c>
      <c r="C3533" t="inlineStr">
        <is>
          <t>Vice-President, Newfoundland and Labrador</t>
        </is>
      </c>
      <c r="D3533" t="inlineStr">
        <is>
          <t>Vice-président, Terre-Neuve-et-Labrador</t>
        </is>
      </c>
      <c r="E3533" t="inlineStr">
        <is>
          <t>Paul Mills</t>
        </is>
      </c>
      <c r="F3533" t="inlineStr">
        <is>
          <t>Travel to Moncton, New Brunswick for Executive Committee meeting</t>
        </is>
      </c>
      <c r="G3533" t="inlineStr">
        <is>
          <t>Voyage à Moncton, au Nouveau-Brunswick, pour participer à la réunion du Comité de direction</t>
        </is>
      </c>
      <c r="H3533" s="1" t="n">
        <v>41289</v>
      </c>
      <c r="I3533" s="1" t="n">
        <v>41292</v>
      </c>
      <c r="J3533" t="inlineStr">
        <is>
          <t>Moncton, New Brunswick</t>
        </is>
      </c>
      <c r="K3533" t="inlineStr">
        <is>
          <t>Moncton (Nouveau-Brunswick)</t>
        </is>
      </c>
      <c r="P3533" t="n">
        <v>1368.2</v>
      </c>
      <c r="Q3533" t="n">
        <v>397.79</v>
      </c>
      <c r="R3533" t="n">
        <v>368.72</v>
      </c>
      <c r="S3533" t="n">
        <v>254.6</v>
      </c>
      <c r="T3533" t="n">
        <v>8.93</v>
      </c>
      <c r="U3533" t="n">
        <v>2398.24</v>
      </c>
      <c r="X3533" t="inlineStr">
        <is>
          <t>acoa-apeca</t>
        </is>
      </c>
      <c r="Y3533" t="inlineStr">
        <is>
          <t>Atlantic Canada Opportunities Agency | Agence de promotion économique du Canada atlantique</t>
        </is>
      </c>
      <c r="Z3533" t="n">
        <v>4</v>
      </c>
      <c r="AA3533" t="n">
        <v>2398.24</v>
      </c>
      <c r="AB3533">
        <f>ROUND(U3533-AA3533,2)</f>
        <v/>
      </c>
      <c r="AC3533" t="b">
        <v>0</v>
      </c>
      <c r="AD3533">
        <f>IF(U3533="","MISSING_TOTAL",IF(ABS(AB3533)&lt;=0.01,"OK","CHECK"))</f>
        <v/>
      </c>
      <c r="AE3533">
        <f>IF(U3533="","MISSING",IF(AND(AA3533&gt;0,U3533/AA3533&gt;50),"POSSIBLE_SCALE_ERROR","OK"))</f>
        <v/>
      </c>
    </row>
    <row r="3534">
      <c r="A3534" t="inlineStr">
        <is>
          <t>T-2013-Q4-00006</t>
        </is>
      </c>
      <c r="B3534" t="inlineStr">
        <is>
          <t>SLE</t>
        </is>
      </c>
      <c r="C3534" t="inlineStr">
        <is>
          <t>Vice-President, New Brunswick</t>
        </is>
      </c>
      <c r="D3534" t="inlineStr">
        <is>
          <t>Vice-présidente, Nouveau-Brunswick</t>
        </is>
      </c>
      <c r="E3534" t="inlineStr">
        <is>
          <t>Janet Gagnon</t>
        </is>
      </c>
      <c r="F3534" t="inlineStr">
        <is>
          <t>Meeting with Manager of Fundy District Office</t>
        </is>
      </c>
      <c r="G3534" t="inlineStr">
        <is>
          <t>Réunion avec le gestionnaire du bureau du district de Fundy</t>
        </is>
      </c>
      <c r="H3534" s="1" t="n">
        <v>41249</v>
      </c>
      <c r="I3534" s="1" t="n">
        <v>41249</v>
      </c>
      <c r="J3534" t="inlineStr">
        <is>
          <t>Saint John, New Brunswick</t>
        </is>
      </c>
      <c r="K3534" t="inlineStr">
        <is>
          <t>Saint John (Nouveau-Brunswick)</t>
        </is>
      </c>
      <c r="P3534" t="n">
        <v>0</v>
      </c>
      <c r="Q3534" t="n">
        <v>0</v>
      </c>
      <c r="R3534" t="n">
        <v>0</v>
      </c>
      <c r="S3534" t="n">
        <v>15</v>
      </c>
      <c r="T3534" t="n">
        <v>0</v>
      </c>
      <c r="U3534" t="n">
        <v>15</v>
      </c>
      <c r="X3534" t="inlineStr">
        <is>
          <t>acoa-apeca</t>
        </is>
      </c>
      <c r="Y3534" t="inlineStr">
        <is>
          <t>Atlantic Canada Opportunities Agency | Agence de promotion économique du Canada atlantique</t>
        </is>
      </c>
      <c r="Z3534" t="n">
        <v>1</v>
      </c>
      <c r="AA3534" t="n">
        <v>15</v>
      </c>
      <c r="AB3534">
        <f>ROUND(U3534-AA3534,2)</f>
        <v/>
      </c>
      <c r="AC3534" t="b">
        <v>0</v>
      </c>
      <c r="AD3534">
        <f>IF(U3534="","MISSING_TOTAL",IF(ABS(AB3534)&lt;=0.01,"OK","CHECK"))</f>
        <v/>
      </c>
      <c r="AE3534">
        <f>IF(U3534="","MISSING",IF(AND(AA3534&gt;0,U3534/AA3534&gt;50),"POSSIBLE_SCALE_ERROR","OK"))</f>
        <v/>
      </c>
    </row>
    <row r="3535">
      <c r="A3535" t="inlineStr">
        <is>
          <t>T-2013-Q4-00029</t>
        </is>
      </c>
      <c r="B3535" t="inlineStr">
        <is>
          <t>SLE</t>
        </is>
      </c>
      <c r="C3535" t="inlineStr">
        <is>
          <t>Vice-President, Prince Edward Island</t>
        </is>
      </c>
      <c r="D3535" t="inlineStr">
        <is>
          <t>Vice-président, Île-du-Prince-Édouard</t>
        </is>
      </c>
      <c r="E3535" t="inlineStr">
        <is>
          <t>Patrick Dorsey</t>
        </is>
      </c>
      <c r="F3535" t="inlineStr">
        <is>
          <t>Meetings with Atlantic Chairs and ACOA Officials</t>
        </is>
      </c>
      <c r="G3535" t="inlineStr">
        <is>
          <t>Réunions avec des présidents de l'Atlantique et avec des fonctionnaires de l'APECA</t>
        </is>
      </c>
      <c r="H3535" s="1" t="n">
        <v>41289</v>
      </c>
      <c r="I3535" s="1" t="n">
        <v>41291</v>
      </c>
      <c r="J3535" t="inlineStr">
        <is>
          <t>Halifax, Nova Scotia</t>
        </is>
      </c>
      <c r="K3535" t="inlineStr">
        <is>
          <t>Halifax (Nouvelle-Écosse)</t>
        </is>
      </c>
      <c r="P3535" t="n">
        <v>0</v>
      </c>
      <c r="Q3535" t="n">
        <v>95.44</v>
      </c>
      <c r="R3535" t="n">
        <v>247.9</v>
      </c>
      <c r="S3535" t="n">
        <v>165.5</v>
      </c>
      <c r="T3535" t="n">
        <v>0</v>
      </c>
      <c r="U3535" t="n">
        <v>508.84</v>
      </c>
      <c r="X3535" t="inlineStr">
        <is>
          <t>acoa-apeca</t>
        </is>
      </c>
      <c r="Y3535" t="inlineStr">
        <is>
          <t>Atlantic Canada Opportunities Agency | Agence de promotion économique du Canada atlantique</t>
        </is>
      </c>
      <c r="Z3535" t="n">
        <v>3</v>
      </c>
      <c r="AA3535" t="n">
        <v>508.84</v>
      </c>
      <c r="AB3535">
        <f>ROUND(U3535-AA3535,2)</f>
        <v/>
      </c>
      <c r="AC3535" t="b">
        <v>0</v>
      </c>
      <c r="AD3535">
        <f>IF(U3535="","MISSING_TOTAL",IF(ABS(AB3535)&lt;=0.01,"OK","CHECK"))</f>
        <v/>
      </c>
      <c r="AE3535">
        <f>IF(U3535="","MISSING",IF(AND(AA3535&gt;0,U3535/AA3535&gt;50),"POSSIBLE_SCALE_ERROR","OK"))</f>
        <v/>
      </c>
    </row>
    <row r="3536">
      <c r="A3536" t="inlineStr">
        <is>
          <t>T-2013-Q4-00027</t>
        </is>
      </c>
      <c r="B3536" t="inlineStr">
        <is>
          <t>SLE</t>
        </is>
      </c>
      <c r="C3536" t="inlineStr">
        <is>
          <t>Vice-President, Finance and Corporate Services</t>
        </is>
      </c>
      <c r="D3536" t="inlineStr">
        <is>
          <t>Vice-présidente, Finances et Services corporatifs</t>
        </is>
      </c>
      <c r="E3536" t="inlineStr">
        <is>
          <t>Denise Frenette</t>
        </is>
      </c>
      <c r="F3536" t="inlineStr">
        <is>
          <t>Meetings with Agency Officials</t>
        </is>
      </c>
      <c r="G3536" t="inlineStr">
        <is>
          <t>Réunions avec des fonctionnaires de l'Agence</t>
        </is>
      </c>
      <c r="H3536" s="1" t="n">
        <v>41287</v>
      </c>
      <c r="I3536" s="1" t="n">
        <v>41289</v>
      </c>
      <c r="J3536" t="inlineStr">
        <is>
          <t>Ottawa, Ontario</t>
        </is>
      </c>
      <c r="K3536" t="inlineStr">
        <is>
          <t>Ottawa (Ontario)</t>
        </is>
      </c>
      <c r="P3536" t="n">
        <v>723.22</v>
      </c>
      <c r="Q3536" t="n">
        <v>76</v>
      </c>
      <c r="R3536" t="n">
        <v>354.82</v>
      </c>
      <c r="S3536" t="n">
        <v>108.2</v>
      </c>
      <c r="T3536" t="n">
        <v>0</v>
      </c>
      <c r="U3536" t="n">
        <v>1262.24</v>
      </c>
      <c r="X3536" t="inlineStr">
        <is>
          <t>acoa-apeca</t>
        </is>
      </c>
      <c r="Y3536" t="inlineStr">
        <is>
          <t>Atlantic Canada Opportunities Agency | Agence de promotion économique du Canada atlantique</t>
        </is>
      </c>
      <c r="Z3536" t="n">
        <v>3</v>
      </c>
      <c r="AA3536" t="n">
        <v>1262.24</v>
      </c>
      <c r="AB3536">
        <f>ROUND(U3536-AA3536,2)</f>
        <v/>
      </c>
      <c r="AC3536" t="b">
        <v>0</v>
      </c>
      <c r="AD3536">
        <f>IF(U3536="","MISSING_TOTAL",IF(ABS(AB3536)&lt;=0.01,"OK","CHECK"))</f>
        <v/>
      </c>
      <c r="AE3536">
        <f>IF(U3536="","MISSING",IF(AND(AA3536&gt;0,U3536/AA3536&gt;50),"POSSIBLE_SCALE_ERROR","OK"))</f>
        <v/>
      </c>
    </row>
    <row r="3537">
      <c r="A3537" t="inlineStr">
        <is>
          <t>T-2013-Q4-00026</t>
        </is>
      </c>
      <c r="B3537" t="inlineStr">
        <is>
          <t>SLE</t>
        </is>
      </c>
      <c r="C3537" t="inlineStr">
        <is>
          <t>Vice-President, Policy and Programs</t>
        </is>
      </c>
      <c r="D3537" t="inlineStr">
        <is>
          <t>Vice-président, Politiques et Programmes</t>
        </is>
      </c>
      <c r="E3537" t="inlineStr">
        <is>
          <t>Daryell Nowlan</t>
        </is>
      </c>
      <c r="F3537" t="inlineStr">
        <is>
          <t>Meetings with Government of Canada officials</t>
        </is>
      </c>
      <c r="G3537" t="inlineStr">
        <is>
          <t>Réunions avec des fonctionnaires du gouvernement du Canada</t>
        </is>
      </c>
      <c r="H3537" s="1" t="n">
        <v>41287</v>
      </c>
      <c r="I3537" s="1" t="n">
        <v>41289</v>
      </c>
      <c r="J3537" t="inlineStr">
        <is>
          <t>Ottawa, Ontario; Halifax, Nova Scotia</t>
        </is>
      </c>
      <c r="K3537" t="inlineStr">
        <is>
          <t>Ottawa (Ontario); Halifax (Nouvelle-Écosse)</t>
        </is>
      </c>
      <c r="P3537" t="n">
        <v>1349.35</v>
      </c>
      <c r="Q3537" t="n">
        <v>195</v>
      </c>
      <c r="R3537" t="n">
        <v>317</v>
      </c>
      <c r="S3537" t="n">
        <v>133.6</v>
      </c>
      <c r="T3537" t="n">
        <v>0</v>
      </c>
      <c r="U3537" t="n">
        <v>1994.95</v>
      </c>
      <c r="X3537" t="inlineStr">
        <is>
          <t>acoa-apeca</t>
        </is>
      </c>
      <c r="Y3537" t="inlineStr">
        <is>
          <t>Atlantic Canada Opportunities Agency | Agence de promotion économique du Canada atlantique</t>
        </is>
      </c>
      <c r="Z3537" t="n">
        <v>3</v>
      </c>
      <c r="AA3537" t="n">
        <v>1994.94999999999</v>
      </c>
      <c r="AB3537">
        <f>ROUND(U3537-AA3537,2)</f>
        <v/>
      </c>
      <c r="AC3537" t="b">
        <v>0</v>
      </c>
      <c r="AD3537">
        <f>IF(U3537="","MISSING_TOTAL",IF(ABS(AB3537)&lt;=0.01,"OK","CHECK"))</f>
        <v/>
      </c>
      <c r="AE3537">
        <f>IF(U3537="","MISSING",IF(AND(AA3537&gt;0,U3537/AA3537&gt;50),"POSSIBLE_SCALE_ERROR","OK"))</f>
        <v/>
      </c>
    </row>
    <row r="3538">
      <c r="A3538" t="inlineStr">
        <is>
          <t>T-2013-Q4-00025</t>
        </is>
      </c>
      <c r="B3538" t="inlineStr">
        <is>
          <t>SLE</t>
        </is>
      </c>
      <c r="C3538" t="inlineStr">
        <is>
          <t>Vice-President, New Brunswick</t>
        </is>
      </c>
      <c r="D3538" t="inlineStr">
        <is>
          <t>Vice-présidente, Nouveau-Brunswick</t>
        </is>
      </c>
      <c r="E3538" t="inlineStr">
        <is>
          <t>Janet Gagnon</t>
        </is>
      </c>
      <c r="F3538" t="inlineStr">
        <is>
          <t>Public Service Management Advisory Committee (PSMAC) Presentation</t>
        </is>
      </c>
      <c r="G3538" t="inlineStr">
        <is>
          <t>Exposé du Comité consultatif sur la gestion de la fonction publique (CCGFP)</t>
        </is>
      </c>
      <c r="H3538" s="1" t="n">
        <v>41284</v>
      </c>
      <c r="I3538" s="1" t="n">
        <v>41285</v>
      </c>
      <c r="J3538" t="inlineStr">
        <is>
          <t>Ottawa, Ontario</t>
        </is>
      </c>
      <c r="K3538" t="inlineStr">
        <is>
          <t>Ottawa (Ontario)</t>
        </is>
      </c>
      <c r="P3538" t="n">
        <v>459.86</v>
      </c>
      <c r="Q3538" t="n">
        <v>97</v>
      </c>
      <c r="R3538" t="n">
        <v>177.41</v>
      </c>
      <c r="S3538" t="n">
        <v>130.4</v>
      </c>
      <c r="T3538" t="n">
        <v>0</v>
      </c>
      <c r="U3538" t="n">
        <v>864.67</v>
      </c>
      <c r="X3538" t="inlineStr">
        <is>
          <t>acoa-apeca</t>
        </is>
      </c>
      <c r="Y3538" t="inlineStr">
        <is>
          <t>Atlantic Canada Opportunities Agency | Agence de promotion économique du Canada atlantique</t>
        </is>
      </c>
      <c r="Z3538" t="n">
        <v>2</v>
      </c>
      <c r="AA3538" t="n">
        <v>864.67</v>
      </c>
      <c r="AB3538">
        <f>ROUND(U3538-AA3538,2)</f>
        <v/>
      </c>
      <c r="AC3538" t="b">
        <v>0</v>
      </c>
      <c r="AD3538">
        <f>IF(U3538="","MISSING_TOTAL",IF(ABS(AB3538)&lt;=0.01,"OK","CHECK"))</f>
        <v/>
      </c>
      <c r="AE3538">
        <f>IF(U3538="","MISSING",IF(AND(AA3538&gt;0,U3538/AA3538&gt;50),"POSSIBLE_SCALE_ERROR","OK"))</f>
        <v/>
      </c>
    </row>
    <row r="3539">
      <c r="A3539" t="inlineStr">
        <is>
          <t>T-2013-Q4-00023</t>
        </is>
      </c>
      <c r="B3539" t="inlineStr">
        <is>
          <t>SLE</t>
        </is>
      </c>
      <c r="C3539" t="inlineStr">
        <is>
          <t>Vice-President, Prince Edward Island</t>
        </is>
      </c>
      <c r="D3539" t="inlineStr">
        <is>
          <t>Vice-président, Île-du-Prince-Édouard</t>
        </is>
      </c>
      <c r="E3539" t="inlineStr">
        <is>
          <t>Patrick Dorsey</t>
        </is>
      </c>
      <c r="F3539" t="inlineStr">
        <is>
          <t>Meetings with ACOA Officials</t>
        </is>
      </c>
      <c r="G3539" t="inlineStr">
        <is>
          <t>Réunions avec des fonctionnaires de l'APECA</t>
        </is>
      </c>
      <c r="H3539" s="1" t="n">
        <v>41283</v>
      </c>
      <c r="I3539" s="1" t="n">
        <v>41284</v>
      </c>
      <c r="J3539" t="inlineStr">
        <is>
          <t>Moncton, New Brunswick</t>
        </is>
      </c>
      <c r="K3539" t="inlineStr">
        <is>
          <t>Moncton (Nouveau-Brunswick)</t>
        </is>
      </c>
      <c r="P3539" t="n">
        <v>0</v>
      </c>
      <c r="Q3539" t="n">
        <v>58.88</v>
      </c>
      <c r="R3539" t="n">
        <v>113</v>
      </c>
      <c r="S3539" t="n">
        <v>75.90000000000001</v>
      </c>
      <c r="T3539" t="n">
        <v>0</v>
      </c>
      <c r="U3539" t="n">
        <v>247.78</v>
      </c>
      <c r="X3539" t="inlineStr">
        <is>
          <t>acoa-apeca</t>
        </is>
      </c>
      <c r="Y3539" t="inlineStr">
        <is>
          <t>Atlantic Canada Opportunities Agency | Agence de promotion économique du Canada atlantique</t>
        </is>
      </c>
      <c r="Z3539" t="n">
        <v>2</v>
      </c>
      <c r="AA3539" t="n">
        <v>247.78</v>
      </c>
      <c r="AB3539">
        <f>ROUND(U3539-AA3539,2)</f>
        <v/>
      </c>
      <c r="AC3539" t="b">
        <v>0</v>
      </c>
      <c r="AD3539">
        <f>IF(U3539="","MISSING_TOTAL",IF(ABS(AB3539)&lt;=0.01,"OK","CHECK"))</f>
        <v/>
      </c>
      <c r="AE3539">
        <f>IF(U3539="","MISSING",IF(AND(AA3539&gt;0,U3539/AA3539&gt;50),"POSSIBLE_SCALE_ERROR","OK"))</f>
        <v/>
      </c>
    </row>
    <row r="3540">
      <c r="A3540" t="inlineStr">
        <is>
          <t>T-2013-Q4-00022</t>
        </is>
      </c>
      <c r="B3540" t="inlineStr">
        <is>
          <t>MPSES</t>
        </is>
      </c>
      <c r="C3540" t="inlineStr">
        <is>
          <t>Special Assistant</t>
        </is>
      </c>
      <c r="D3540" t="inlineStr">
        <is>
          <t>Adjointe spéciale</t>
        </is>
      </c>
      <c r="E3540" t="inlineStr">
        <is>
          <t>Melanie Book</t>
        </is>
      </c>
      <c r="F3540" t="inlineStr">
        <is>
          <t>To attend various Atlantic Canada Opportunities Agency meetings</t>
        </is>
      </c>
      <c r="G3540" t="inlineStr">
        <is>
          <t>Pour participer à diverses réunions de l'Agence de promotion économique du Canada atlantique</t>
        </is>
      </c>
      <c r="H3540" s="1" t="n">
        <v>41277</v>
      </c>
      <c r="I3540" s="1" t="n">
        <v>41279</v>
      </c>
      <c r="J3540" t="inlineStr">
        <is>
          <t>Halifax, Nova Scotia</t>
        </is>
      </c>
      <c r="K3540" t="inlineStr">
        <is>
          <t>Halifax (Nouvelle-Écosse)</t>
        </is>
      </c>
      <c r="P3540" t="n">
        <v>72.83</v>
      </c>
      <c r="Q3540" t="n">
        <v>0</v>
      </c>
      <c r="R3540" t="n">
        <v>100</v>
      </c>
      <c r="S3540" t="n">
        <v>34.6</v>
      </c>
      <c r="T3540" t="n">
        <v>0</v>
      </c>
      <c r="U3540" t="n">
        <v>207.43</v>
      </c>
      <c r="X3540" t="inlineStr">
        <is>
          <t>acoa-apeca</t>
        </is>
      </c>
      <c r="Y3540" t="inlineStr">
        <is>
          <t>Atlantic Canada Opportunities Agency | Agence de promotion économique du Canada atlantique</t>
        </is>
      </c>
      <c r="Z3540" t="n">
        <v>3</v>
      </c>
      <c r="AA3540" t="n">
        <v>207.429999999999</v>
      </c>
      <c r="AB3540">
        <f>ROUND(U3540-AA3540,2)</f>
        <v/>
      </c>
      <c r="AC3540" t="b">
        <v>0</v>
      </c>
      <c r="AD3540">
        <f>IF(U3540="","MISSING_TOTAL",IF(ABS(AB3540)&lt;=0.01,"OK","CHECK"))</f>
        <v/>
      </c>
      <c r="AE3540">
        <f>IF(U3540="","MISSING",IF(AND(AA3540&gt;0,U3540/AA3540&gt;50),"POSSIBLE_SCALE_ERROR","OK"))</f>
        <v/>
      </c>
    </row>
    <row r="3541">
      <c r="A3541" t="inlineStr">
        <is>
          <t>T-2013-Q4-00021</t>
        </is>
      </c>
      <c r="B3541" t="inlineStr">
        <is>
          <t>SLE</t>
        </is>
      </c>
      <c r="C3541" t="inlineStr">
        <is>
          <t>Vice-President, Finance and Corporate Services</t>
        </is>
      </c>
      <c r="D3541" t="inlineStr">
        <is>
          <t>Vice-présidente, Finances et Services corporatifs</t>
        </is>
      </c>
      <c r="E3541" t="inlineStr">
        <is>
          <t>Denise Frenette</t>
        </is>
      </c>
      <c r="F3541" t="inlineStr">
        <is>
          <t>Meetings with Government of Canada Officials and Agency Officials</t>
        </is>
      </c>
      <c r="G3541" t="inlineStr">
        <is>
          <t>Réunions avec des fonctionnaires du gouvernement du Canada et de l'Agence</t>
        </is>
      </c>
      <c r="H3541" s="1" t="n">
        <v>41276</v>
      </c>
      <c r="I3541" s="1" t="n">
        <v>41277</v>
      </c>
      <c r="J3541" t="inlineStr">
        <is>
          <t>Ottawa, Ontario</t>
        </is>
      </c>
      <c r="K3541" t="inlineStr">
        <is>
          <t>Ottawa (Ontario)</t>
        </is>
      </c>
      <c r="P3541" t="n">
        <v>723.22</v>
      </c>
      <c r="Q3541" t="n">
        <v>152</v>
      </c>
      <c r="R3541" t="n">
        <v>177.41</v>
      </c>
      <c r="S3541" t="n">
        <v>106.4</v>
      </c>
      <c r="T3541" t="n">
        <v>2.12</v>
      </c>
      <c r="U3541" t="n">
        <v>1161.15</v>
      </c>
      <c r="X3541" t="inlineStr">
        <is>
          <t>acoa-apeca</t>
        </is>
      </c>
      <c r="Y3541" t="inlineStr">
        <is>
          <t>Atlantic Canada Opportunities Agency | Agence de promotion économique du Canada atlantique</t>
        </is>
      </c>
      <c r="Z3541" t="n">
        <v>2</v>
      </c>
      <c r="AA3541" t="n">
        <v>1161.15</v>
      </c>
      <c r="AB3541">
        <f>ROUND(U3541-AA3541,2)</f>
        <v/>
      </c>
      <c r="AC3541" t="b">
        <v>0</v>
      </c>
      <c r="AD3541">
        <f>IF(U3541="","MISSING_TOTAL",IF(ABS(AB3541)&lt;=0.01,"OK","CHECK"))</f>
        <v/>
      </c>
      <c r="AE3541">
        <f>IF(U3541="","MISSING",IF(AND(AA3541&gt;0,U3541/AA3541&gt;50),"POSSIBLE_SCALE_ERROR","OK"))</f>
        <v/>
      </c>
    </row>
    <row r="3542">
      <c r="A3542" t="inlineStr">
        <is>
          <t>T-2013-Q4-00010</t>
        </is>
      </c>
      <c r="B3542" t="inlineStr">
        <is>
          <t>SLE</t>
        </is>
      </c>
      <c r="C3542" t="inlineStr">
        <is>
          <t>Vice-President, New Brunswick</t>
        </is>
      </c>
      <c r="D3542" t="inlineStr">
        <is>
          <t>Vice-présidente, Nouveau-Brunswick</t>
        </is>
      </c>
      <c r="E3542" t="inlineStr">
        <is>
          <t>Janet Gagnon</t>
        </is>
      </c>
      <c r="F3542" t="inlineStr">
        <is>
          <t>New Brunswick Federal Council quarterly meeting</t>
        </is>
      </c>
      <c r="G3542" t="inlineStr">
        <is>
          <t>Réunion trimestrielle du Conseil fédéral du Nouveau-Brunswick</t>
        </is>
      </c>
      <c r="H3542" s="1" t="n">
        <v>41254</v>
      </c>
      <c r="I3542" s="1" t="n">
        <v>41256</v>
      </c>
      <c r="J3542" t="inlineStr">
        <is>
          <t>Miramichi, New Brunswick</t>
        </is>
      </c>
      <c r="K3542" t="inlineStr">
        <is>
          <t>Miramichi (Nouveau-Brunswick)</t>
        </is>
      </c>
      <c r="P3542" t="n">
        <v>0</v>
      </c>
      <c r="Q3542" t="n">
        <v>0</v>
      </c>
      <c r="R3542" t="n">
        <v>228.22</v>
      </c>
      <c r="S3542" t="n">
        <v>180.5</v>
      </c>
      <c r="T3542" t="n">
        <v>0</v>
      </c>
      <c r="U3542" t="n">
        <v>408.72</v>
      </c>
      <c r="X3542" t="inlineStr">
        <is>
          <t>acoa-apeca</t>
        </is>
      </c>
      <c r="Y3542" t="inlineStr">
        <is>
          <t>Atlantic Canada Opportunities Agency | Agence de promotion économique du Canada atlantique</t>
        </is>
      </c>
      <c r="Z3542" t="n">
        <v>3</v>
      </c>
      <c r="AA3542" t="n">
        <v>408.72</v>
      </c>
      <c r="AB3542">
        <f>ROUND(U3542-AA3542,2)</f>
        <v/>
      </c>
      <c r="AC3542" t="b">
        <v>0</v>
      </c>
      <c r="AD3542">
        <f>IF(U3542="","MISSING_TOTAL",IF(ABS(AB3542)&lt;=0.01,"OK","CHECK"))</f>
        <v/>
      </c>
      <c r="AE3542">
        <f>IF(U3542="","MISSING",IF(AND(AA3542&gt;0,U3542/AA3542&gt;50),"POSSIBLE_SCALE_ERROR","OK"))</f>
        <v/>
      </c>
    </row>
    <row r="3543">
      <c r="A3543" t="inlineStr">
        <is>
          <t>T-2013-Q4-00020</t>
        </is>
      </c>
      <c r="B3543" t="inlineStr">
        <is>
          <t>SLE</t>
        </is>
      </c>
      <c r="C3543" t="inlineStr">
        <is>
          <t>Vice-President, Newfoundland and Labrador</t>
        </is>
      </c>
      <c r="D3543" t="inlineStr">
        <is>
          <t>Vice-président, Terre-Neuve-et-Labrador</t>
        </is>
      </c>
      <c r="E3543" t="inlineStr">
        <is>
          <t>Paul Mills</t>
        </is>
      </c>
      <c r="F3543" t="inlineStr">
        <is>
          <t>Mileage for January to March 2013 to travel to meetings outside the St. John's area</t>
        </is>
      </c>
      <c r="G3543" t="inlineStr">
        <is>
          <t>Kilométrage pour les mois de janvier, février et mars 2013 pour participer à des réunions à l'extérieur de la région de St. John's</t>
        </is>
      </c>
      <c r="H3543" s="1" t="n">
        <v>41275</v>
      </c>
      <c r="I3543" s="1" t="n">
        <v>41364</v>
      </c>
      <c r="J3543" t="inlineStr">
        <is>
          <t>St. John's, Newfoundland</t>
        </is>
      </c>
      <c r="K3543" t="inlineStr">
        <is>
          <t>St. John's (Terre-Neuve-et-Labrador)</t>
        </is>
      </c>
      <c r="P3543" t="n">
        <v>0</v>
      </c>
      <c r="Q3543" t="n">
        <v>0</v>
      </c>
      <c r="R3543" t="n">
        <v>0</v>
      </c>
      <c r="S3543" t="n">
        <v>0</v>
      </c>
      <c r="T3543" t="n">
        <v>15.9</v>
      </c>
      <c r="U3543" t="n">
        <v>15.9</v>
      </c>
      <c r="X3543" t="inlineStr">
        <is>
          <t>acoa-apeca</t>
        </is>
      </c>
      <c r="Y3543" t="inlineStr">
        <is>
          <t>Atlantic Canada Opportunities Agency | Agence de promotion économique du Canada atlantique</t>
        </is>
      </c>
      <c r="Z3543" t="n">
        <v>90</v>
      </c>
      <c r="AA3543" t="n">
        <v>15.9</v>
      </c>
      <c r="AB3543">
        <f>ROUND(U3543-AA3543,2)</f>
        <v/>
      </c>
      <c r="AC3543" t="b">
        <v>0</v>
      </c>
      <c r="AD3543">
        <f>IF(U3543="","MISSING_TOTAL",IF(ABS(AB3543)&lt;=0.01,"OK","CHECK"))</f>
        <v/>
      </c>
      <c r="AE3543">
        <f>IF(U3543="","MISSING",IF(AND(AA3543&gt;0,U3543/AA3543&gt;50),"POSSIBLE_SCALE_ERROR","OK"))</f>
        <v/>
      </c>
    </row>
    <row r="3544">
      <c r="A3544" t="inlineStr">
        <is>
          <t>T-2013-Q4-00019</t>
        </is>
      </c>
      <c r="B3544" t="inlineStr">
        <is>
          <t>SLE</t>
        </is>
      </c>
      <c r="C3544" t="inlineStr">
        <is>
          <t>Vice President, Nova Scotia</t>
        </is>
      </c>
      <c r="D3544" t="inlineStr">
        <is>
          <t>Vice-président, Nouvelle-Écosse</t>
        </is>
      </c>
      <c r="E3544" t="inlineStr">
        <is>
          <t>Peter Hogan</t>
        </is>
      </c>
      <c r="F3544" t="inlineStr">
        <is>
          <t>Meetings with Senior Agency Officials</t>
        </is>
      </c>
      <c r="G3544" t="inlineStr">
        <is>
          <t>Réunions avec des hauts fonctionnaires de l'Agence</t>
        </is>
      </c>
      <c r="H3544" s="1" t="n">
        <v>41261</v>
      </c>
      <c r="I3544" s="1" t="n">
        <v>41263</v>
      </c>
      <c r="J3544" t="inlineStr">
        <is>
          <t>Moncton, New Brunswick</t>
        </is>
      </c>
      <c r="K3544" t="inlineStr">
        <is>
          <t>Moncton (Nouveau-Brunswick)</t>
        </is>
      </c>
      <c r="P3544" t="n">
        <v>0</v>
      </c>
      <c r="Q3544" t="n">
        <v>23.71</v>
      </c>
      <c r="R3544" t="n">
        <v>201.78</v>
      </c>
      <c r="S3544" t="n">
        <v>147.77</v>
      </c>
      <c r="T3544" t="n">
        <v>0</v>
      </c>
      <c r="U3544" t="n">
        <v>373.26</v>
      </c>
      <c r="X3544" t="inlineStr">
        <is>
          <t>acoa-apeca</t>
        </is>
      </c>
      <c r="Y3544" t="inlineStr">
        <is>
          <t>Atlantic Canada Opportunities Agency | Agence de promotion économique du Canada atlantique</t>
        </is>
      </c>
      <c r="Z3544" t="n">
        <v>3</v>
      </c>
      <c r="AA3544" t="n">
        <v>373.26</v>
      </c>
      <c r="AB3544">
        <f>ROUND(U3544-AA3544,2)</f>
        <v/>
      </c>
      <c r="AC3544" t="b">
        <v>0</v>
      </c>
      <c r="AD3544">
        <f>IF(U3544="","MISSING_TOTAL",IF(ABS(AB3544)&lt;=0.01,"OK","CHECK"))</f>
        <v/>
      </c>
      <c r="AE3544">
        <f>IF(U3544="","MISSING",IF(AND(AA3544&gt;0,U3544/AA3544&gt;50),"POSSIBLE_SCALE_ERROR","OK"))</f>
        <v/>
      </c>
    </row>
    <row r="3545">
      <c r="A3545" t="inlineStr">
        <is>
          <t>T-2013-Q4-00018</t>
        </is>
      </c>
      <c r="B3545" t="inlineStr">
        <is>
          <t>SLE</t>
        </is>
      </c>
      <c r="C3545" t="inlineStr">
        <is>
          <t>Vice-President, Newfoundland and Labrador</t>
        </is>
      </c>
      <c r="D3545" t="inlineStr">
        <is>
          <t>Vice-président, Terre-Neuve-et-Labrador</t>
        </is>
      </c>
      <c r="E3545" t="inlineStr">
        <is>
          <t>Paul Mills</t>
        </is>
      </c>
      <c r="F3545" t="inlineStr">
        <is>
          <t>Meeting with President of ACOA and Executive Committee Meetings December 18-21, 2012</t>
        </is>
      </c>
      <c r="G3545" t="inlineStr">
        <is>
          <t>Réunion avec le président de l'APECA et réunions du Comité de direction du 18 au 21 décembre 2012</t>
        </is>
      </c>
      <c r="H3545" s="1" t="n">
        <v>41261</v>
      </c>
      <c r="I3545" s="1" t="n">
        <v>41264</v>
      </c>
      <c r="J3545" t="inlineStr">
        <is>
          <t>Moncton, New Brunswick</t>
        </is>
      </c>
      <c r="K3545" t="inlineStr">
        <is>
          <t>Moncton (Nouveau-Brunswick)</t>
        </is>
      </c>
      <c r="P3545" t="n">
        <v>1369.2</v>
      </c>
      <c r="Q3545" t="n">
        <v>247.8</v>
      </c>
      <c r="R3545" t="n">
        <v>393.86</v>
      </c>
      <c r="S3545" t="n">
        <v>269.6</v>
      </c>
      <c r="T3545" t="n">
        <v>41.09</v>
      </c>
      <c r="U3545" t="n">
        <v>2321.55</v>
      </c>
      <c r="X3545" t="inlineStr">
        <is>
          <t>acoa-apeca</t>
        </is>
      </c>
      <c r="Y3545" t="inlineStr">
        <is>
          <t>Atlantic Canada Opportunities Agency | Agence de promotion économique du Canada atlantique</t>
        </is>
      </c>
      <c r="Z3545" t="n">
        <v>4</v>
      </c>
      <c r="AA3545" t="n">
        <v>2321.55</v>
      </c>
      <c r="AB3545">
        <f>ROUND(U3545-AA3545,2)</f>
        <v/>
      </c>
      <c r="AC3545" t="b">
        <v>0</v>
      </c>
      <c r="AD3545">
        <f>IF(U3545="","MISSING_TOTAL",IF(ABS(AB3545)&lt;=0.01,"OK","CHECK"))</f>
        <v/>
      </c>
      <c r="AE3545">
        <f>IF(U3545="","MISSING",IF(AND(AA3545&gt;0,U3545/AA3545&gt;50),"POSSIBLE_SCALE_ERROR","OK"))</f>
        <v/>
      </c>
    </row>
    <row r="3546">
      <c r="A3546" t="inlineStr">
        <is>
          <t>T-2013-Q4-00016</t>
        </is>
      </c>
      <c r="B3546" t="inlineStr">
        <is>
          <t>SLE</t>
        </is>
      </c>
      <c r="C3546" t="inlineStr">
        <is>
          <t>Vice-President, New Brunswick</t>
        </is>
      </c>
      <c r="D3546" t="inlineStr">
        <is>
          <t>Vice-présidente, Nouveau-Brunswick</t>
        </is>
      </c>
      <c r="E3546" t="inlineStr">
        <is>
          <t>Janet Gagnon</t>
        </is>
      </c>
      <c r="F3546" t="inlineStr">
        <is>
          <t>Meeting of Vice Presidents/Second Vice President meeting on Innovation</t>
        </is>
      </c>
      <c r="G3546" t="inlineStr">
        <is>
          <t>Réunion des vice-présidents et deuxième réunion des vice-présidents sur l'innovation</t>
        </is>
      </c>
      <c r="H3546" s="1" t="n">
        <v>41261</v>
      </c>
      <c r="I3546" s="1" t="n">
        <v>41263</v>
      </c>
      <c r="J3546" t="inlineStr">
        <is>
          <t>Moncton, New Brunswick</t>
        </is>
      </c>
      <c r="K3546" t="inlineStr">
        <is>
          <t>Moncton (Nouveau-Brunswick)</t>
        </is>
      </c>
      <c r="P3546" t="n">
        <v>0</v>
      </c>
      <c r="Q3546" t="n">
        <v>0</v>
      </c>
      <c r="R3546" t="n">
        <v>325.44</v>
      </c>
      <c r="S3546" t="n">
        <v>150</v>
      </c>
      <c r="T3546" t="n">
        <v>28.26</v>
      </c>
      <c r="U3546" t="n">
        <v>503.7</v>
      </c>
      <c r="X3546" t="inlineStr">
        <is>
          <t>acoa-apeca</t>
        </is>
      </c>
      <c r="Y3546" t="inlineStr">
        <is>
          <t>Atlantic Canada Opportunities Agency | Agence de promotion économique du Canada atlantique</t>
        </is>
      </c>
      <c r="Z3546" t="n">
        <v>3</v>
      </c>
      <c r="AA3546" t="n">
        <v>503.7</v>
      </c>
      <c r="AB3546">
        <f>ROUND(U3546-AA3546,2)</f>
        <v/>
      </c>
      <c r="AC3546" t="b">
        <v>0</v>
      </c>
      <c r="AD3546">
        <f>IF(U3546="","MISSING_TOTAL",IF(ABS(AB3546)&lt;=0.01,"OK","CHECK"))</f>
        <v/>
      </c>
      <c r="AE3546">
        <f>IF(U3546="","MISSING",IF(AND(AA3546&gt;0,U3546/AA3546&gt;50),"POSSIBLE_SCALE_ERROR","OK"))</f>
        <v/>
      </c>
    </row>
    <row r="3547">
      <c r="A3547" t="inlineStr">
        <is>
          <t>T-2013-Q4-00015</t>
        </is>
      </c>
      <c r="B3547" t="inlineStr">
        <is>
          <t>SLE</t>
        </is>
      </c>
      <c r="C3547" t="inlineStr">
        <is>
          <t>Vice-President, Prince Edward Island</t>
        </is>
      </c>
      <c r="D3547" t="inlineStr">
        <is>
          <t>Vice-président, Île-du-Prince-Édouard</t>
        </is>
      </c>
      <c r="E3547" t="inlineStr">
        <is>
          <t>Patrick Dorsey</t>
        </is>
      </c>
      <c r="F3547" t="inlineStr">
        <is>
          <t>Meeting with ACOA Officials</t>
        </is>
      </c>
      <c r="G3547" t="inlineStr">
        <is>
          <t>Réunion avec des fonctionnaires de l'APECA</t>
        </is>
      </c>
      <c r="H3547" s="1" t="n">
        <v>41261</v>
      </c>
      <c r="I3547" s="1" t="n">
        <v>41263</v>
      </c>
      <c r="J3547" t="inlineStr">
        <is>
          <t>Moncton, New Brunswick</t>
        </is>
      </c>
      <c r="K3547" t="inlineStr">
        <is>
          <t>Moncton (Nouveau-Brunswick)</t>
        </is>
      </c>
      <c r="P3547" t="n">
        <v>0</v>
      </c>
      <c r="Q3547" t="n">
        <v>84.09</v>
      </c>
      <c r="R3547" t="n">
        <v>339</v>
      </c>
      <c r="S3547" t="n">
        <v>239.1</v>
      </c>
      <c r="T3547" t="n">
        <v>0</v>
      </c>
      <c r="U3547" t="n">
        <v>662.1900000000001</v>
      </c>
      <c r="X3547" t="inlineStr">
        <is>
          <t>acoa-apeca</t>
        </is>
      </c>
      <c r="Y3547" t="inlineStr">
        <is>
          <t>Atlantic Canada Opportunities Agency | Agence de promotion économique du Canada atlantique</t>
        </is>
      </c>
      <c r="Z3547" t="n">
        <v>3</v>
      </c>
      <c r="AA3547" t="n">
        <v>662.1900000000001</v>
      </c>
      <c r="AB3547">
        <f>ROUND(U3547-AA3547,2)</f>
        <v/>
      </c>
      <c r="AC3547" t="b">
        <v>0</v>
      </c>
      <c r="AD3547">
        <f>IF(U3547="","MISSING_TOTAL",IF(ABS(AB3547)&lt;=0.01,"OK","CHECK"))</f>
        <v/>
      </c>
      <c r="AE3547">
        <f>IF(U3547="","MISSING",IF(AND(AA3547&gt;0,U3547/AA3547&gt;50),"POSSIBLE_SCALE_ERROR","OK"))</f>
        <v/>
      </c>
    </row>
    <row r="3548">
      <c r="A3548" t="inlineStr">
        <is>
          <t>T-2013-Q4-00013</t>
        </is>
      </c>
      <c r="B3548" t="inlineStr">
        <is>
          <t>MPSES</t>
        </is>
      </c>
      <c r="C3548" t="inlineStr">
        <is>
          <t>Chief of Staff</t>
        </is>
      </c>
      <c r="D3548" t="inlineStr">
        <is>
          <t>Chef de cabinet</t>
        </is>
      </c>
      <c r="E3548" t="inlineStr">
        <is>
          <t>Jacques Fauteux</t>
        </is>
      </c>
      <c r="F3548" t="inlineStr">
        <is>
          <t>To attend various Atlantic Canada Opportunities Agency meetings</t>
        </is>
      </c>
      <c r="G3548" t="inlineStr">
        <is>
          <t>Pour participer à diverses réunions de l'Agence de promotion économique du Canada atlantique</t>
        </is>
      </c>
      <c r="H3548" s="1" t="n">
        <v>41257</v>
      </c>
      <c r="I3548" s="1" t="n">
        <v>41261</v>
      </c>
      <c r="J3548" t="inlineStr">
        <is>
          <t>Halifax, Nova Scotia; St. John's, Newfoundland and Labrador</t>
        </is>
      </c>
      <c r="K3548" t="inlineStr">
        <is>
          <t>Halifax (Nouvelle-Écosse); St. John's (Terre-Neuve-et-Labrador)</t>
        </is>
      </c>
      <c r="P3548" t="n">
        <v>1320.93</v>
      </c>
      <c r="Q3548" t="n">
        <v>253.52</v>
      </c>
      <c r="R3548" t="n">
        <v>289.98</v>
      </c>
      <c r="S3548" t="n">
        <v>243.3</v>
      </c>
      <c r="T3548" t="n">
        <v>0</v>
      </c>
      <c r="U3548" t="n">
        <v>2107.73</v>
      </c>
      <c r="X3548" t="inlineStr">
        <is>
          <t>acoa-apeca</t>
        </is>
      </c>
      <c r="Y3548" t="inlineStr">
        <is>
          <t>Atlantic Canada Opportunities Agency | Agence de promotion économique du Canada atlantique</t>
        </is>
      </c>
      <c r="Z3548" t="n">
        <v>5</v>
      </c>
      <c r="AA3548" t="n">
        <v>2107.73</v>
      </c>
      <c r="AB3548">
        <f>ROUND(U3548-AA3548,2)</f>
        <v/>
      </c>
      <c r="AC3548" t="b">
        <v>0</v>
      </c>
      <c r="AD3548">
        <f>IF(U3548="","MISSING_TOTAL",IF(ABS(AB3548)&lt;=0.01,"OK","CHECK"))</f>
        <v/>
      </c>
      <c r="AE3548">
        <f>IF(U3548="","MISSING",IF(AND(AA3548&gt;0,U3548/AA3548&gt;50),"POSSIBLE_SCALE_ERROR","OK"))</f>
        <v/>
      </c>
    </row>
    <row r="3549">
      <c r="A3549" t="inlineStr">
        <is>
          <t>T-2013-Q4-00012</t>
        </is>
      </c>
      <c r="B3549" t="inlineStr">
        <is>
          <t>SLE</t>
        </is>
      </c>
      <c r="C3549" t="inlineStr">
        <is>
          <t>Vice-President, Finance and Corporate Services</t>
        </is>
      </c>
      <c r="D3549" t="inlineStr">
        <is>
          <t>Vice-présidente, Finances et Services corporatifs</t>
        </is>
      </c>
      <c r="E3549" t="inlineStr">
        <is>
          <t>Denise Frenette</t>
        </is>
      </c>
      <c r="F3549" t="inlineStr">
        <is>
          <t>Meetings with Government of Canada Officials</t>
        </is>
      </c>
      <c r="G3549" t="inlineStr">
        <is>
          <t>Réunions avec des fonctionnaires du governement du Canada</t>
        </is>
      </c>
      <c r="H3549" s="1" t="n">
        <v>41255</v>
      </c>
      <c r="I3549" s="1" t="n">
        <v>41346</v>
      </c>
      <c r="J3549" t="inlineStr">
        <is>
          <t>Toronto, Ontario</t>
        </is>
      </c>
      <c r="K3549" t="inlineStr">
        <is>
          <t>Toronto (Ontario)</t>
        </is>
      </c>
      <c r="P3549" t="n">
        <v>723.22</v>
      </c>
      <c r="Q3549" t="n">
        <v>65</v>
      </c>
      <c r="R3549" t="n">
        <v>175.15</v>
      </c>
      <c r="S3549" t="n">
        <v>147.7</v>
      </c>
      <c r="T3549" t="n">
        <v>0</v>
      </c>
      <c r="U3549" t="n">
        <v>1111.07</v>
      </c>
      <c r="X3549" t="inlineStr">
        <is>
          <t>acoa-apeca</t>
        </is>
      </c>
      <c r="Y3549" t="inlineStr">
        <is>
          <t>Atlantic Canada Opportunities Agency | Agence de promotion économique du Canada atlantique</t>
        </is>
      </c>
      <c r="Z3549" t="n">
        <v>92</v>
      </c>
      <c r="AA3549" t="n">
        <v>1111.07</v>
      </c>
      <c r="AB3549">
        <f>ROUND(U3549-AA3549,2)</f>
        <v/>
      </c>
      <c r="AC3549" t="b">
        <v>0</v>
      </c>
      <c r="AD3549">
        <f>IF(U3549="","MISSING_TOTAL",IF(ABS(AB3549)&lt;=0.01,"OK","CHECK"))</f>
        <v/>
      </c>
      <c r="AE3549">
        <f>IF(U3549="","MISSING",IF(AND(AA3549&gt;0,U3549/AA3549&gt;50),"POSSIBLE_SCALE_ERROR","OK"))</f>
        <v/>
      </c>
    </row>
    <row r="3550">
      <c r="A3550" t="inlineStr">
        <is>
          <t>T-2013-Q4-00009</t>
        </is>
      </c>
      <c r="B3550" t="inlineStr">
        <is>
          <t>SLE</t>
        </is>
      </c>
      <c r="C3550" t="inlineStr">
        <is>
          <t>Vice-President, Prince Edward Island</t>
        </is>
      </c>
      <c r="D3550" t="inlineStr">
        <is>
          <t>Vice-président, Île-du-Prince-Édouard</t>
        </is>
      </c>
      <c r="E3550" t="inlineStr">
        <is>
          <t>Patrick Dorsey</t>
        </is>
      </c>
      <c r="F3550" t="inlineStr">
        <is>
          <t>Meetings with ACOA Officials</t>
        </is>
      </c>
      <c r="G3550" t="inlineStr">
        <is>
          <t>Réunions avec des fonctionnaires de l'APECA</t>
        </is>
      </c>
      <c r="H3550" s="1" t="n">
        <v>41254</v>
      </c>
      <c r="I3550" s="1" t="n">
        <v>41255</v>
      </c>
      <c r="J3550" t="inlineStr">
        <is>
          <t>Ottawa, Ontario</t>
        </is>
      </c>
      <c r="K3550" t="inlineStr">
        <is>
          <t>Ottawa (Ontario)</t>
        </is>
      </c>
      <c r="P3550" t="n">
        <v>836.62</v>
      </c>
      <c r="Q3550" t="n">
        <v>90</v>
      </c>
      <c r="R3550" t="n">
        <v>177.41</v>
      </c>
      <c r="S3550" t="n">
        <v>180</v>
      </c>
      <c r="T3550" t="n">
        <v>0</v>
      </c>
      <c r="U3550" t="n">
        <v>1284.03</v>
      </c>
      <c r="X3550" t="inlineStr">
        <is>
          <t>acoa-apeca</t>
        </is>
      </c>
      <c r="Y3550" t="inlineStr">
        <is>
          <t>Atlantic Canada Opportunities Agency | Agence de promotion économique du Canada atlantique</t>
        </is>
      </c>
      <c r="Z3550" t="n">
        <v>2</v>
      </c>
      <c r="AA3550" t="n">
        <v>1284.03</v>
      </c>
      <c r="AB3550">
        <f>ROUND(U3550-AA3550,2)</f>
        <v/>
      </c>
      <c r="AC3550" t="b">
        <v>0</v>
      </c>
      <c r="AD3550">
        <f>IF(U3550="","MISSING_TOTAL",IF(ABS(AB3550)&lt;=0.01,"OK","CHECK"))</f>
        <v/>
      </c>
      <c r="AE3550">
        <f>IF(U3550="","MISSING",IF(AND(AA3550&gt;0,U3550/AA3550&gt;50),"POSSIBLE_SCALE_ERROR","OK"))</f>
        <v/>
      </c>
    </row>
    <row r="3551">
      <c r="A3551" t="inlineStr">
        <is>
          <t>T-2013-Q4-00008</t>
        </is>
      </c>
      <c r="B3551" t="inlineStr">
        <is>
          <t>SLE</t>
        </is>
      </c>
      <c r="C3551" t="inlineStr">
        <is>
          <t>President</t>
        </is>
      </c>
      <c r="D3551" t="inlineStr">
        <is>
          <t>Président</t>
        </is>
      </c>
      <c r="E3551" t="inlineStr">
        <is>
          <t>Paul J. LeBlanc</t>
        </is>
      </c>
      <c r="F3551" t="inlineStr">
        <is>
          <t>For various meetings and discussions with: Agency officials; with Government of Canada officials</t>
        </is>
      </c>
      <c r="G3551" t="inlineStr">
        <is>
          <t>Diverses réunions et discussions avec des fonctionnaires de l'Agence et du gouvernement du Canada</t>
        </is>
      </c>
      <c r="H3551" s="1" t="n">
        <v>41253</v>
      </c>
      <c r="I3551" s="1" t="n">
        <v>41255</v>
      </c>
      <c r="J3551" t="inlineStr">
        <is>
          <t>Ottawa, Ontario</t>
        </is>
      </c>
      <c r="K3551" t="inlineStr">
        <is>
          <t>Ottawa (Ontario)</t>
        </is>
      </c>
      <c r="P3551" t="n">
        <v>741.36</v>
      </c>
      <c r="Q3551" t="n">
        <v>12.74</v>
      </c>
      <c r="R3551" t="n">
        <v>359.34</v>
      </c>
      <c r="S3551" t="n">
        <v>180</v>
      </c>
      <c r="T3551" t="n">
        <v>30</v>
      </c>
      <c r="U3551" t="n">
        <v>1323.44</v>
      </c>
      <c r="X3551" t="inlineStr">
        <is>
          <t>acoa-apeca</t>
        </is>
      </c>
      <c r="Y3551" t="inlineStr">
        <is>
          <t>Atlantic Canada Opportunities Agency | Agence de promotion économique du Canada atlantique</t>
        </is>
      </c>
      <c r="Z3551" t="n">
        <v>3</v>
      </c>
      <c r="AA3551" t="n">
        <v>1323.44</v>
      </c>
      <c r="AB3551">
        <f>ROUND(U3551-AA3551,2)</f>
        <v/>
      </c>
      <c r="AC3551" t="b">
        <v>0</v>
      </c>
      <c r="AD3551">
        <f>IF(U3551="","MISSING_TOTAL",IF(ABS(AB3551)&lt;=0.01,"OK","CHECK"))</f>
        <v/>
      </c>
      <c r="AE3551">
        <f>IF(U3551="","MISSING",IF(AND(AA3551&gt;0,U3551/AA3551&gt;50),"POSSIBLE_SCALE_ERROR","OK"))</f>
        <v/>
      </c>
    </row>
    <row r="3552">
      <c r="A3552" t="inlineStr">
        <is>
          <t>T-2013-Q4-00005</t>
        </is>
      </c>
      <c r="B3552" t="inlineStr">
        <is>
          <t>SLE</t>
        </is>
      </c>
      <c r="C3552" t="inlineStr">
        <is>
          <t>Vice-President, Policy and Programs</t>
        </is>
      </c>
      <c r="D3552" t="inlineStr">
        <is>
          <t>Vice-président, Politiques et Programmes</t>
        </is>
      </c>
      <c r="E3552" t="inlineStr">
        <is>
          <t>Daryell Nowlan</t>
        </is>
      </c>
      <c r="F3552" t="inlineStr">
        <is>
          <t>Meeting with Government of Canada officials</t>
        </is>
      </c>
      <c r="G3552" t="inlineStr">
        <is>
          <t>Réunion avec des fonctionnaires du gouvernement du Canada</t>
        </is>
      </c>
      <c r="H3552" s="1" t="n">
        <v>41248</v>
      </c>
      <c r="I3552" s="1" t="n">
        <v>41249</v>
      </c>
      <c r="J3552" t="inlineStr">
        <is>
          <t>Ottawa, Ontario</t>
        </is>
      </c>
      <c r="K3552" t="inlineStr">
        <is>
          <t>Ottawa (Ontario)</t>
        </is>
      </c>
      <c r="P3552" t="n">
        <v>926.6</v>
      </c>
      <c r="Q3552" t="n">
        <v>128.82</v>
      </c>
      <c r="R3552" t="n">
        <v>177.41</v>
      </c>
      <c r="S3552" t="n">
        <v>90.3</v>
      </c>
      <c r="T3552" t="n">
        <v>0</v>
      </c>
      <c r="U3552" t="n">
        <v>1323.13</v>
      </c>
      <c r="X3552" t="inlineStr">
        <is>
          <t>acoa-apeca</t>
        </is>
      </c>
      <c r="Y3552" t="inlineStr">
        <is>
          <t>Atlantic Canada Opportunities Agency | Agence de promotion économique du Canada atlantique</t>
        </is>
      </c>
      <c r="Z3552" t="n">
        <v>2</v>
      </c>
      <c r="AA3552" t="n">
        <v>1323.13</v>
      </c>
      <c r="AB3552">
        <f>ROUND(U3552-AA3552,2)</f>
        <v/>
      </c>
      <c r="AC3552" t="b">
        <v>0</v>
      </c>
      <c r="AD3552">
        <f>IF(U3552="","MISSING_TOTAL",IF(ABS(AB3552)&lt;=0.01,"OK","CHECK"))</f>
        <v/>
      </c>
      <c r="AE3552">
        <f>IF(U3552="","MISSING",IF(AND(AA3552&gt;0,U3552/AA3552&gt;50),"POSSIBLE_SCALE_ERROR","OK"))</f>
        <v/>
      </c>
    </row>
    <row r="3553">
      <c r="A3553" t="inlineStr">
        <is>
          <t>T-2013-Q4-00004</t>
        </is>
      </c>
      <c r="B3553" t="inlineStr">
        <is>
          <t>SLE</t>
        </is>
      </c>
      <c r="C3553" t="inlineStr">
        <is>
          <t>Vice-President, Prince Edward Island</t>
        </is>
      </c>
      <c r="D3553" t="inlineStr">
        <is>
          <t>Vice-président, Île-du-Prince-Édouard</t>
        </is>
      </c>
      <c r="E3553" t="inlineStr">
        <is>
          <t>Patrick Dorsey</t>
        </is>
      </c>
      <c r="F3553" t="inlineStr">
        <is>
          <t>Meeting with ACOA Officials</t>
        </is>
      </c>
      <c r="G3553" t="inlineStr">
        <is>
          <t>Réunion avec des fonctionnaires de l'APECA</t>
        </is>
      </c>
      <c r="H3553" s="1" t="n">
        <v>41247</v>
      </c>
      <c r="I3553" s="1" t="n">
        <v>41248</v>
      </c>
      <c r="J3553" t="inlineStr">
        <is>
          <t>Moncton, New Brunswick</t>
        </is>
      </c>
      <c r="K3553" t="inlineStr">
        <is>
          <t>Moncton (Nouveau-Brunswick)</t>
        </is>
      </c>
      <c r="P3553" t="n">
        <v>0</v>
      </c>
      <c r="Q3553" t="n">
        <v>44.25</v>
      </c>
      <c r="R3553" t="n">
        <v>113</v>
      </c>
      <c r="S3553" t="n">
        <v>106.4</v>
      </c>
      <c r="T3553" t="n">
        <v>0</v>
      </c>
      <c r="U3553" t="n">
        <v>263.65</v>
      </c>
      <c r="X3553" t="inlineStr">
        <is>
          <t>acoa-apeca</t>
        </is>
      </c>
      <c r="Y3553" t="inlineStr">
        <is>
          <t>Atlantic Canada Opportunities Agency | Agence de promotion économique du Canada atlantique</t>
        </is>
      </c>
      <c r="Z3553" t="n">
        <v>2</v>
      </c>
      <c r="AA3553" t="n">
        <v>263.65</v>
      </c>
      <c r="AB3553">
        <f>ROUND(U3553-AA3553,2)</f>
        <v/>
      </c>
      <c r="AC3553" t="b">
        <v>0</v>
      </c>
      <c r="AD3553">
        <f>IF(U3553="","MISSING_TOTAL",IF(ABS(AB3553)&lt;=0.01,"OK","CHECK"))</f>
        <v/>
      </c>
      <c r="AE3553">
        <f>IF(U3553="","MISSING",IF(AND(AA3553&gt;0,U3553/AA3553&gt;50),"POSSIBLE_SCALE_ERROR","OK"))</f>
        <v/>
      </c>
    </row>
    <row r="3554">
      <c r="A3554" t="inlineStr">
        <is>
          <t>T-2013-Q4-00003</t>
        </is>
      </c>
      <c r="B3554" t="inlineStr">
        <is>
          <t>MPSES</t>
        </is>
      </c>
      <c r="C3554" t="inlineStr">
        <is>
          <t>Director of Communications</t>
        </is>
      </c>
      <c r="D3554" t="inlineStr">
        <is>
          <t>Directrice des communications</t>
        </is>
      </c>
      <c r="E3554" t="inlineStr">
        <is>
          <t>Sophie Doucet</t>
        </is>
      </c>
      <c r="F3554" t="inlineStr">
        <is>
          <t>To accompany Minister of State to the Exponaval Event (travel cancelled - airline penalty)</t>
        </is>
      </c>
      <c r="G3554" t="inlineStr">
        <is>
          <t>Pour accompagner le ministre d'État à l'Exponaval (voyage annulé - pénalité du transporteur aérien)</t>
        </is>
      </c>
      <c r="H3554" s="1" t="n">
        <v>41245</v>
      </c>
      <c r="I3554" s="1" t="n">
        <v>41250</v>
      </c>
      <c r="J3554" t="inlineStr">
        <is>
          <t>Santiago, Chile</t>
        </is>
      </c>
      <c r="K3554" t="inlineStr">
        <is>
          <t>Santiago, Chili</t>
        </is>
      </c>
      <c r="P3554" t="n">
        <v>286.9</v>
      </c>
      <c r="Q3554" t="n">
        <v>0</v>
      </c>
      <c r="R3554" t="n">
        <v>0</v>
      </c>
      <c r="S3554" t="n">
        <v>0</v>
      </c>
      <c r="T3554" t="n">
        <v>0</v>
      </c>
      <c r="U3554" t="n">
        <v>286.9</v>
      </c>
      <c r="X3554" t="inlineStr">
        <is>
          <t>acoa-apeca</t>
        </is>
      </c>
      <c r="Y3554" t="inlineStr">
        <is>
          <t>Atlantic Canada Opportunities Agency | Agence de promotion économique du Canada atlantique</t>
        </is>
      </c>
      <c r="Z3554" t="n">
        <v>6</v>
      </c>
      <c r="AA3554" t="n">
        <v>286.9</v>
      </c>
      <c r="AB3554">
        <f>ROUND(U3554-AA3554,2)</f>
        <v/>
      </c>
      <c r="AC3554" t="b">
        <v>0</v>
      </c>
      <c r="AD3554">
        <f>IF(U3554="","MISSING_TOTAL",IF(ABS(AB3554)&lt;=0.01,"OK","CHECK"))</f>
        <v/>
      </c>
      <c r="AE3554">
        <f>IF(U3554="","MISSING",IF(AND(AA3554&gt;0,U3554/AA3554&gt;50),"POSSIBLE_SCALE_ERROR","OK"))</f>
        <v/>
      </c>
    </row>
    <row r="3555">
      <c r="A3555" t="inlineStr">
        <is>
          <t>T-2013-Q4-00002</t>
        </is>
      </c>
      <c r="B3555" t="inlineStr">
        <is>
          <t>MPSES</t>
        </is>
      </c>
      <c r="C3555" t="inlineStr">
        <is>
          <t>Chief of Staff</t>
        </is>
      </c>
      <c r="D3555" t="inlineStr">
        <is>
          <t>Chef de cabinet</t>
        </is>
      </c>
      <c r="E3555" t="inlineStr">
        <is>
          <t>Jacques Fauteux</t>
        </is>
      </c>
      <c r="F3555" t="inlineStr">
        <is>
          <t>To accompany Minister of State to the Exponaval Event (travel cancelled - airline penalty)</t>
        </is>
      </c>
      <c r="G3555" t="inlineStr">
        <is>
          <t>Pour accompagner le ministre d'État à l'Exponaval (voyage annulé - pénalité du transporteur aérien)</t>
        </is>
      </c>
      <c r="H3555" s="1" t="n">
        <v>41245</v>
      </c>
      <c r="I3555" s="1" t="n">
        <v>41250</v>
      </c>
      <c r="J3555" t="inlineStr">
        <is>
          <t>Santiago, Chile</t>
        </is>
      </c>
      <c r="K3555" t="inlineStr">
        <is>
          <t>Santiago, Chili</t>
        </is>
      </c>
      <c r="P3555" t="n">
        <v>286.9</v>
      </c>
      <c r="Q3555" t="n">
        <v>0</v>
      </c>
      <c r="R3555" t="n">
        <v>0</v>
      </c>
      <c r="S3555" t="n">
        <v>0</v>
      </c>
      <c r="T3555" t="n">
        <v>0</v>
      </c>
      <c r="U3555" t="n">
        <v>286.9</v>
      </c>
      <c r="X3555" t="inlineStr">
        <is>
          <t>acoa-apeca</t>
        </is>
      </c>
      <c r="Y3555" t="inlineStr">
        <is>
          <t>Atlantic Canada Opportunities Agency | Agence de promotion économique du Canada atlantique</t>
        </is>
      </c>
      <c r="Z3555" t="n">
        <v>6</v>
      </c>
      <c r="AA3555" t="n">
        <v>286.9</v>
      </c>
      <c r="AB3555">
        <f>ROUND(U3555-AA3555,2)</f>
        <v/>
      </c>
      <c r="AC3555" t="b">
        <v>0</v>
      </c>
      <c r="AD3555">
        <f>IF(U3555="","MISSING_TOTAL",IF(ABS(AB3555)&lt;=0.01,"OK","CHECK"))</f>
        <v/>
      </c>
      <c r="AE3555">
        <f>IF(U3555="","MISSING",IF(AND(AA3555&gt;0,U3555/AA3555&gt;50),"POSSIBLE_SCALE_ERROR","OK"))</f>
        <v/>
      </c>
    </row>
    <row r="3556">
      <c r="A3556" t="inlineStr">
        <is>
          <t>T-2013-Q4-00001</t>
        </is>
      </c>
      <c r="B3556" t="inlineStr">
        <is>
          <t>SLE</t>
        </is>
      </c>
      <c r="C3556" t="inlineStr">
        <is>
          <t>President</t>
        </is>
      </c>
      <c r="D3556" t="inlineStr">
        <is>
          <t>Président</t>
        </is>
      </c>
      <c r="E3556" t="inlineStr">
        <is>
          <t>Paul J. LeBlanc</t>
        </is>
      </c>
      <c r="F3556" t="inlineStr">
        <is>
          <t>To attend sessions of the Organization for Economic Co-operation &amp; Development's Territorial Development Policy Committee</t>
        </is>
      </c>
      <c r="G3556" t="inlineStr">
        <is>
          <t>Participer à des séances du Comité des politiques de développement territorial de l'Organisation de la coopération et du développement économiques</t>
        </is>
      </c>
      <c r="H3556" s="1" t="n">
        <v>41245</v>
      </c>
      <c r="I3556" s="1" t="n">
        <v>41249</v>
      </c>
      <c r="J3556" t="inlineStr">
        <is>
          <t>Paris, France</t>
        </is>
      </c>
      <c r="K3556" t="inlineStr">
        <is>
          <t>Paris, France</t>
        </is>
      </c>
      <c r="P3556" t="n">
        <v>6633.14</v>
      </c>
      <c r="Q3556" t="n">
        <v>206.33</v>
      </c>
      <c r="R3556" t="n">
        <v>732.45</v>
      </c>
      <c r="S3556" t="n">
        <v>518.85</v>
      </c>
      <c r="T3556" t="n">
        <v>20.53</v>
      </c>
      <c r="U3556" t="n">
        <v>8111.3</v>
      </c>
      <c r="X3556" t="inlineStr">
        <is>
          <t>acoa-apeca</t>
        </is>
      </c>
      <c r="Y3556" t="inlineStr">
        <is>
          <t>Atlantic Canada Opportunities Agency | Agence de promotion économique du Canada atlantique</t>
        </is>
      </c>
      <c r="Z3556" t="n">
        <v>5</v>
      </c>
      <c r="AA3556" t="n">
        <v>8111.3</v>
      </c>
      <c r="AB3556">
        <f>ROUND(U3556-AA3556,2)</f>
        <v/>
      </c>
      <c r="AC3556" t="b">
        <v>0</v>
      </c>
      <c r="AD3556">
        <f>IF(U3556="","MISSING_TOTAL",IF(ABS(AB3556)&lt;=0.01,"OK","CHECK"))</f>
        <v/>
      </c>
      <c r="AE3556">
        <f>IF(U3556="","MISSING",IF(AND(AA3556&gt;0,U3556/AA3556&gt;50),"POSSIBLE_SCALE_ERROR","OK"))</f>
        <v/>
      </c>
    </row>
    <row r="3557">
      <c r="A3557" t="inlineStr">
        <is>
          <t>T-2013-Q3-00096</t>
        </is>
      </c>
      <c r="B3557" t="inlineStr">
        <is>
          <t>SLE</t>
        </is>
      </c>
      <c r="C3557" t="inlineStr">
        <is>
          <t>Vice-President, New Brunswick</t>
        </is>
      </c>
      <c r="D3557" t="inlineStr">
        <is>
          <t>Vice-présidente, Nouveau-Brunswick</t>
        </is>
      </c>
      <c r="E3557" t="inlineStr">
        <is>
          <t>Janet Gagnon</t>
        </is>
      </c>
      <c r="F3557" t="inlineStr">
        <is>
          <t>Future NB Board of Directors meeting</t>
        </is>
      </c>
      <c r="G3557" t="inlineStr">
        <is>
          <t>Réunion du conseil d'administration de Futur N.-B.</t>
        </is>
      </c>
      <c r="H3557" s="1" t="n">
        <v>41242</v>
      </c>
      <c r="I3557" s="1" t="n">
        <v>41242</v>
      </c>
      <c r="J3557" t="inlineStr">
        <is>
          <t>Fredericton, New Brunswick</t>
        </is>
      </c>
      <c r="K3557" t="inlineStr">
        <is>
          <t>Fredericton (Nouveau-Brunswick)</t>
        </is>
      </c>
      <c r="P3557" t="n">
        <v>0</v>
      </c>
      <c r="Q3557" t="n">
        <v>0</v>
      </c>
      <c r="R3557" t="n">
        <v>0</v>
      </c>
      <c r="S3557" t="n">
        <v>0</v>
      </c>
      <c r="T3557" t="n">
        <v>4.5</v>
      </c>
      <c r="U3557" t="n">
        <v>4.5</v>
      </c>
      <c r="X3557" t="inlineStr">
        <is>
          <t>acoa-apeca</t>
        </is>
      </c>
      <c r="Y3557" t="inlineStr">
        <is>
          <t>Atlantic Canada Opportunities Agency | Agence de promotion économique du Canada atlantique</t>
        </is>
      </c>
      <c r="Z3557" t="n">
        <v>1</v>
      </c>
      <c r="AA3557" t="n">
        <v>4.5</v>
      </c>
      <c r="AB3557">
        <f>ROUND(U3557-AA3557,2)</f>
        <v/>
      </c>
      <c r="AC3557" t="b">
        <v>0</v>
      </c>
      <c r="AD3557">
        <f>IF(U3557="","MISSING_TOTAL",IF(ABS(AB3557)&lt;=0.01,"OK","CHECK"))</f>
        <v/>
      </c>
      <c r="AE3557">
        <f>IF(U3557="","MISSING",IF(AND(AA3557&gt;0,U3557/AA3557&gt;50),"POSSIBLE_SCALE_ERROR","OK"))</f>
        <v/>
      </c>
    </row>
    <row r="3558">
      <c r="A3558" t="inlineStr">
        <is>
          <t>T-2013-Q3-00095</t>
        </is>
      </c>
      <c r="B3558" t="inlineStr">
        <is>
          <t>SLE</t>
        </is>
      </c>
      <c r="C3558" t="inlineStr">
        <is>
          <t>President</t>
        </is>
      </c>
      <c r="D3558" t="inlineStr">
        <is>
          <t>Président</t>
        </is>
      </c>
      <c r="E3558" t="inlineStr">
        <is>
          <t>Paul J. LeBlanc</t>
        </is>
      </c>
      <c r="F3558" t="inlineStr">
        <is>
          <t>For various meetings and discussions with Agency officials, with Government of Canada officials</t>
        </is>
      </c>
      <c r="G3558" t="inlineStr">
        <is>
          <t>Diverses réunions et discussions avec des fonctionnaires de l'Agence et du gouvernement du Canada</t>
        </is>
      </c>
      <c r="H3558" s="1" t="n">
        <v>41240</v>
      </c>
      <c r="I3558" s="1" t="n">
        <v>41242</v>
      </c>
      <c r="J3558" t="inlineStr">
        <is>
          <t>Ottawa, Ontario</t>
        </is>
      </c>
      <c r="K3558" t="inlineStr">
        <is>
          <t>Ottawa (Ontario)</t>
        </is>
      </c>
      <c r="P3558" t="n">
        <v>723.5</v>
      </c>
      <c r="Q3558" t="n">
        <v>12.74</v>
      </c>
      <c r="R3558" t="n">
        <v>359.34</v>
      </c>
      <c r="S3558" t="n">
        <v>221.3</v>
      </c>
      <c r="T3558" t="n">
        <v>45</v>
      </c>
      <c r="U3558" t="n">
        <v>1361.88</v>
      </c>
      <c r="X3558" t="inlineStr">
        <is>
          <t>acoa-apeca</t>
        </is>
      </c>
      <c r="Y3558" t="inlineStr">
        <is>
          <t>Atlantic Canada Opportunities Agency | Agence de promotion économique du Canada atlantique</t>
        </is>
      </c>
      <c r="Z3558" t="n">
        <v>3</v>
      </c>
      <c r="AA3558" t="n">
        <v>1361.87999999999</v>
      </c>
      <c r="AB3558">
        <f>ROUND(U3558-AA3558,2)</f>
        <v/>
      </c>
      <c r="AC3558" t="b">
        <v>0</v>
      </c>
      <c r="AD3558">
        <f>IF(U3558="","MISSING_TOTAL",IF(ABS(AB3558)&lt;=0.01,"OK","CHECK"))</f>
        <v/>
      </c>
      <c r="AE3558">
        <f>IF(U3558="","MISSING",IF(AND(AA3558&gt;0,U3558/AA3558&gt;50),"POSSIBLE_SCALE_ERROR","OK"))</f>
        <v/>
      </c>
    </row>
    <row r="3559">
      <c r="A3559" t="inlineStr">
        <is>
          <t>T-2013-Q3-00094</t>
        </is>
      </c>
      <c r="B3559" t="inlineStr">
        <is>
          <t>SLE</t>
        </is>
      </c>
      <c r="C3559" t="inlineStr">
        <is>
          <t>Vice-President, Newfoundland and Labrador</t>
        </is>
      </c>
      <c r="D3559" t="inlineStr">
        <is>
          <t>Vice-président, Terre-Neuve-et-Labrador</t>
        </is>
      </c>
      <c r="E3559" t="inlineStr">
        <is>
          <t>Paul Mills</t>
        </is>
      </c>
      <c r="F3559" t="inlineStr">
        <is>
          <t>Meetings in Trinity Bay, November 26-27</t>
        </is>
      </c>
      <c r="G3559" t="inlineStr">
        <is>
          <t>Réunions à Trinity Bay les 26 et 27 novembre</t>
        </is>
      </c>
      <c r="H3559" s="1" t="n">
        <v>41239</v>
      </c>
      <c r="I3559" s="1" t="n">
        <v>41332</v>
      </c>
      <c r="J3559" t="inlineStr">
        <is>
          <t>Trinity Bay - Port Rexton, Newfoundland and Labrador</t>
        </is>
      </c>
      <c r="K3559" t="inlineStr">
        <is>
          <t>Trinity Bay, Port Rexton (Terre-Neuve-et-Labrador)</t>
        </is>
      </c>
      <c r="P3559" t="n">
        <v>0</v>
      </c>
      <c r="Q3559" t="n">
        <v>0</v>
      </c>
      <c r="R3559" t="n">
        <v>169.5</v>
      </c>
      <c r="S3559" t="n">
        <v>106.4</v>
      </c>
      <c r="T3559" t="n">
        <v>0</v>
      </c>
      <c r="U3559" t="n">
        <v>275.9</v>
      </c>
      <c r="X3559" t="inlineStr">
        <is>
          <t>acoa-apeca</t>
        </is>
      </c>
      <c r="Y3559" t="inlineStr">
        <is>
          <t>Atlantic Canada Opportunities Agency | Agence de promotion économique du Canada atlantique</t>
        </is>
      </c>
      <c r="Z3559" t="n">
        <v>94</v>
      </c>
      <c r="AA3559" t="n">
        <v>275.9</v>
      </c>
      <c r="AB3559">
        <f>ROUND(U3559-AA3559,2)</f>
        <v/>
      </c>
      <c r="AC3559" t="b">
        <v>0</v>
      </c>
      <c r="AD3559">
        <f>IF(U3559="","MISSING_TOTAL",IF(ABS(AB3559)&lt;=0.01,"OK","CHECK"))</f>
        <v/>
      </c>
      <c r="AE3559">
        <f>IF(U3559="","MISSING",IF(AND(AA3559&gt;0,U3559/AA3559&gt;50),"POSSIBLE_SCALE_ERROR","OK"))</f>
        <v/>
      </c>
    </row>
    <row r="3560">
      <c r="A3560" t="inlineStr">
        <is>
          <t>T-2013-Q3-00093</t>
        </is>
      </c>
      <c r="B3560" t="inlineStr">
        <is>
          <t>SLE</t>
        </is>
      </c>
      <c r="C3560" t="inlineStr">
        <is>
          <t>Vice-President, Policy and Programs</t>
        </is>
      </c>
      <c r="D3560" t="inlineStr">
        <is>
          <t>Vice-président, Politiques et Programmes</t>
        </is>
      </c>
      <c r="E3560" t="inlineStr">
        <is>
          <t>Daryell Nowlan</t>
        </is>
      </c>
      <c r="F3560" t="inlineStr">
        <is>
          <t>Meeting with Government of Canada officials</t>
        </is>
      </c>
      <c r="G3560" t="inlineStr">
        <is>
          <t>Réunion avec des fonctionnaires du gouvernement du Canada</t>
        </is>
      </c>
      <c r="H3560" s="1" t="n">
        <v>41239</v>
      </c>
      <c r="I3560" s="1" t="n">
        <v>41241</v>
      </c>
      <c r="J3560" t="inlineStr">
        <is>
          <t>Ottawa, Ontario</t>
        </is>
      </c>
      <c r="K3560" t="inlineStr">
        <is>
          <t>Ottawa (Ontario)</t>
        </is>
      </c>
      <c r="P3560" t="n">
        <v>926.6</v>
      </c>
      <c r="Q3560" t="n">
        <v>138.08</v>
      </c>
      <c r="R3560" t="n">
        <v>354.82</v>
      </c>
      <c r="S3560" t="n">
        <v>178.15</v>
      </c>
      <c r="T3560" t="n">
        <v>0</v>
      </c>
      <c r="U3560" t="n">
        <v>1597.65</v>
      </c>
      <c r="X3560" t="inlineStr">
        <is>
          <t>acoa-apeca</t>
        </is>
      </c>
      <c r="Y3560" t="inlineStr">
        <is>
          <t>Atlantic Canada Opportunities Agency | Agence de promotion économique du Canada atlantique</t>
        </is>
      </c>
      <c r="Z3560" t="n">
        <v>3</v>
      </c>
      <c r="AA3560" t="n">
        <v>1597.65</v>
      </c>
      <c r="AB3560">
        <f>ROUND(U3560-AA3560,2)</f>
        <v/>
      </c>
      <c r="AC3560" t="b">
        <v>0</v>
      </c>
      <c r="AD3560">
        <f>IF(U3560="","MISSING_TOTAL",IF(ABS(AB3560)&lt;=0.01,"OK","CHECK"))</f>
        <v/>
      </c>
      <c r="AE3560">
        <f>IF(U3560="","MISSING",IF(AND(AA3560&gt;0,U3560/AA3560&gt;50),"POSSIBLE_SCALE_ERROR","OK"))</f>
        <v/>
      </c>
    </row>
    <row r="3561">
      <c r="A3561" t="inlineStr">
        <is>
          <t>T-2013-Q3-00092</t>
        </is>
      </c>
      <c r="B3561" t="inlineStr">
        <is>
          <t>SLE</t>
        </is>
      </c>
      <c r="C3561" t="inlineStr">
        <is>
          <t>Vice-President, New Brunswick</t>
        </is>
      </c>
      <c r="D3561" t="inlineStr">
        <is>
          <t>Vice-présidente, Nouveau-Brunswick</t>
        </is>
      </c>
      <c r="E3561" t="inlineStr">
        <is>
          <t>Janet Gagnon</t>
        </is>
      </c>
      <c r="F3561" t="inlineStr">
        <is>
          <t>Access to capital - Future NB</t>
        </is>
      </c>
      <c r="G3561" t="inlineStr">
        <is>
          <t>Accès au capital - Futur N.-B.</t>
        </is>
      </c>
      <c r="H3561" s="1" t="n">
        <v>41236</v>
      </c>
      <c r="I3561" s="1" t="n">
        <v>41236</v>
      </c>
      <c r="J3561" t="inlineStr">
        <is>
          <t>Moncton, New Brunswick</t>
        </is>
      </c>
      <c r="K3561" t="inlineStr">
        <is>
          <t>Moncton (Nouveau-Brunswick)</t>
        </is>
      </c>
      <c r="P3561" t="n">
        <v>0</v>
      </c>
      <c r="Q3561" t="n">
        <v>0</v>
      </c>
      <c r="R3561" t="n">
        <v>0</v>
      </c>
      <c r="S3561" t="n">
        <v>0</v>
      </c>
      <c r="T3561" t="n">
        <v>8</v>
      </c>
      <c r="U3561" t="n">
        <v>8</v>
      </c>
      <c r="X3561" t="inlineStr">
        <is>
          <t>acoa-apeca</t>
        </is>
      </c>
      <c r="Y3561" t="inlineStr">
        <is>
          <t>Atlantic Canada Opportunities Agency | Agence de promotion économique du Canada atlantique</t>
        </is>
      </c>
      <c r="Z3561" t="n">
        <v>1</v>
      </c>
      <c r="AA3561" t="n">
        <v>8</v>
      </c>
      <c r="AB3561">
        <f>ROUND(U3561-AA3561,2)</f>
        <v/>
      </c>
      <c r="AC3561" t="b">
        <v>0</v>
      </c>
      <c r="AD3561">
        <f>IF(U3561="","MISSING_TOTAL",IF(ABS(AB3561)&lt;=0.01,"OK","CHECK"))</f>
        <v/>
      </c>
      <c r="AE3561">
        <f>IF(U3561="","MISSING",IF(AND(AA3561&gt;0,U3561/AA3561&gt;50),"POSSIBLE_SCALE_ERROR","OK"))</f>
        <v/>
      </c>
    </row>
    <row r="3562">
      <c r="A3562" t="inlineStr">
        <is>
          <t>T-2013-Q3-00091</t>
        </is>
      </c>
      <c r="B3562" t="inlineStr">
        <is>
          <t>SLE</t>
        </is>
      </c>
      <c r="C3562" t="inlineStr">
        <is>
          <t>Vice-President, Finance and Corporate Services</t>
        </is>
      </c>
      <c r="D3562" t="inlineStr">
        <is>
          <t>Vice-présidente, Finances et Services corporatifs</t>
        </is>
      </c>
      <c r="E3562" t="inlineStr">
        <is>
          <t>Denise Frenette</t>
        </is>
      </c>
      <c r="F3562" t="inlineStr">
        <is>
          <t>Meetings with Government of Canada Officials and Agency Officials</t>
        </is>
      </c>
      <c r="G3562" t="inlineStr">
        <is>
          <t>Réunions avec des fonctionnaires du gouvernement du Canada et de l'Agence</t>
        </is>
      </c>
      <c r="H3562" s="1" t="n">
        <v>41233</v>
      </c>
      <c r="I3562" s="1" t="n">
        <v>41235</v>
      </c>
      <c r="J3562" t="inlineStr">
        <is>
          <t>Ottawa, Ontario</t>
        </is>
      </c>
      <c r="K3562" t="inlineStr">
        <is>
          <t>Ottawa (Ontario)</t>
        </is>
      </c>
      <c r="P3562" t="n">
        <v>723.22</v>
      </c>
      <c r="Q3562" t="n">
        <v>115</v>
      </c>
      <c r="R3562" t="n">
        <v>354.82</v>
      </c>
      <c r="S3562" t="n">
        <v>195.5</v>
      </c>
      <c r="T3562" t="n">
        <v>56.5</v>
      </c>
      <c r="U3562" t="n">
        <v>1445.04</v>
      </c>
      <c r="X3562" t="inlineStr">
        <is>
          <t>acoa-apeca</t>
        </is>
      </c>
      <c r="Y3562" t="inlineStr">
        <is>
          <t>Atlantic Canada Opportunities Agency | Agence de promotion économique du Canada atlantique</t>
        </is>
      </c>
      <c r="Z3562" t="n">
        <v>3</v>
      </c>
      <c r="AA3562" t="n">
        <v>1445.04</v>
      </c>
      <c r="AB3562">
        <f>ROUND(U3562-AA3562,2)</f>
        <v/>
      </c>
      <c r="AC3562" t="b">
        <v>0</v>
      </c>
      <c r="AD3562">
        <f>IF(U3562="","MISSING_TOTAL",IF(ABS(AB3562)&lt;=0.01,"OK","CHECK"))</f>
        <v/>
      </c>
      <c r="AE3562">
        <f>IF(U3562="","MISSING",IF(AND(AA3562&gt;0,U3562/AA3562&gt;50),"POSSIBLE_SCALE_ERROR","OK"))</f>
        <v/>
      </c>
    </row>
    <row r="3563">
      <c r="A3563" t="inlineStr">
        <is>
          <t>T-2013-Q3-00089</t>
        </is>
      </c>
      <c r="B3563" t="inlineStr">
        <is>
          <t>SLE</t>
        </is>
      </c>
      <c r="C3563" t="inlineStr">
        <is>
          <t>Vice President, Nova Scotia</t>
        </is>
      </c>
      <c r="D3563" t="inlineStr">
        <is>
          <t>Vice-président, Nouvelle-Écosse</t>
        </is>
      </c>
      <c r="E3563" t="inlineStr">
        <is>
          <t>Peter Hogan</t>
        </is>
      </c>
      <c r="F3563" t="inlineStr">
        <is>
          <t>National meeting of Regional Federal Council Chairs</t>
        </is>
      </c>
      <c r="G3563" t="inlineStr">
        <is>
          <t>Réunion nationale des présidents des Conseils fédéraux régionaux</t>
        </is>
      </c>
      <c r="H3563" s="1" t="n">
        <v>41232</v>
      </c>
      <c r="I3563" s="1" t="n">
        <v>41234</v>
      </c>
      <c r="J3563" t="inlineStr">
        <is>
          <t>Ottawa, Ontario</t>
        </is>
      </c>
      <c r="K3563" t="inlineStr">
        <is>
          <t>Ottawa (Ontario)</t>
        </is>
      </c>
      <c r="P3563" t="n">
        <v>582.3200000000001</v>
      </c>
      <c r="Q3563" t="n">
        <v>162.2</v>
      </c>
      <c r="R3563" t="n">
        <v>354.82</v>
      </c>
      <c r="S3563" t="n">
        <v>221.8</v>
      </c>
      <c r="T3563" t="n">
        <v>0</v>
      </c>
      <c r="U3563" t="n">
        <v>1321.14</v>
      </c>
      <c r="X3563" t="inlineStr">
        <is>
          <t>acoa-apeca</t>
        </is>
      </c>
      <c r="Y3563" t="inlineStr">
        <is>
          <t>Atlantic Canada Opportunities Agency | Agence de promotion économique du Canada atlantique</t>
        </is>
      </c>
      <c r="Z3563" t="n">
        <v>3</v>
      </c>
      <c r="AA3563" t="n">
        <v>1321.13999999999</v>
      </c>
      <c r="AB3563">
        <f>ROUND(U3563-AA3563,2)</f>
        <v/>
      </c>
      <c r="AC3563" t="b">
        <v>0</v>
      </c>
      <c r="AD3563">
        <f>IF(U3563="","MISSING_TOTAL",IF(ABS(AB3563)&lt;=0.01,"OK","CHECK"))</f>
        <v/>
      </c>
      <c r="AE3563">
        <f>IF(U3563="","MISSING",IF(AND(AA3563&gt;0,U3563/AA3563&gt;50),"POSSIBLE_SCALE_ERROR","OK"))</f>
        <v/>
      </c>
    </row>
    <row r="3564">
      <c r="A3564" t="inlineStr">
        <is>
          <t>T-2013-Q3-00088</t>
        </is>
      </c>
      <c r="B3564" t="inlineStr">
        <is>
          <t>SLE</t>
        </is>
      </c>
      <c r="C3564" t="inlineStr">
        <is>
          <t>Vice-President, New Brunswick</t>
        </is>
      </c>
      <c r="D3564" t="inlineStr">
        <is>
          <t>Vice-présidente, Nouveau-Brunswick</t>
        </is>
      </c>
      <c r="E3564" t="inlineStr">
        <is>
          <t>Janet Gagnon</t>
        </is>
      </c>
      <c r="F3564" t="inlineStr">
        <is>
          <t>National Regional Federal Council Chairs meeting</t>
        </is>
      </c>
      <c r="G3564" t="inlineStr">
        <is>
          <t>Réunion nationale des présidents et présidentes des Conseils fédéraux régionaux</t>
        </is>
      </c>
      <c r="H3564" s="1" t="n">
        <v>41232</v>
      </c>
      <c r="I3564" s="1" t="n">
        <v>41234</v>
      </c>
      <c r="J3564" t="inlineStr">
        <is>
          <t>Ottawa, Ontario</t>
        </is>
      </c>
      <c r="K3564" t="inlineStr">
        <is>
          <t>Ottawa (Ontario)</t>
        </is>
      </c>
      <c r="P3564" t="n">
        <v>1087.17</v>
      </c>
      <c r="Q3564" t="n">
        <v>0</v>
      </c>
      <c r="R3564" t="n">
        <v>354.82</v>
      </c>
      <c r="S3564" t="n">
        <v>221.8</v>
      </c>
      <c r="T3564" t="n">
        <v>99.5</v>
      </c>
      <c r="U3564" t="n">
        <v>1763.29</v>
      </c>
      <c r="X3564" t="inlineStr">
        <is>
          <t>acoa-apeca</t>
        </is>
      </c>
      <c r="Y3564" t="inlineStr">
        <is>
          <t>Atlantic Canada Opportunities Agency | Agence de promotion économique du Canada atlantique</t>
        </is>
      </c>
      <c r="Z3564" t="n">
        <v>3</v>
      </c>
      <c r="AA3564" t="n">
        <v>1763.29</v>
      </c>
      <c r="AB3564">
        <f>ROUND(U3564-AA3564,2)</f>
        <v/>
      </c>
      <c r="AC3564" t="b">
        <v>0</v>
      </c>
      <c r="AD3564">
        <f>IF(U3564="","MISSING_TOTAL",IF(ABS(AB3564)&lt;=0.01,"OK","CHECK"))</f>
        <v/>
      </c>
      <c r="AE3564">
        <f>IF(U3564="","MISSING",IF(AND(AA3564&gt;0,U3564/AA3564&gt;50),"POSSIBLE_SCALE_ERROR","OK"))</f>
        <v/>
      </c>
    </row>
    <row r="3565">
      <c r="A3565" t="inlineStr">
        <is>
          <t>T-2013-Q3-00087</t>
        </is>
      </c>
      <c r="B3565" t="inlineStr">
        <is>
          <t>SLE</t>
        </is>
      </c>
      <c r="C3565" t="inlineStr">
        <is>
          <t>President</t>
        </is>
      </c>
      <c r="D3565" t="inlineStr">
        <is>
          <t>Président</t>
        </is>
      </c>
      <c r="E3565" t="inlineStr">
        <is>
          <t>Paul J. LeBlanc</t>
        </is>
      </c>
      <c r="F3565" t="inlineStr">
        <is>
          <t>For various meetings and discussions with Agency officials, with Government of Canada officials</t>
        </is>
      </c>
      <c r="G3565" t="inlineStr">
        <is>
          <t>Diverses réunions et discussions avec des fonctionnaires de l'Agence et du gouvernement du Canada</t>
        </is>
      </c>
      <c r="H3565" s="1" t="n">
        <v>41232</v>
      </c>
      <c r="I3565" s="1" t="n">
        <v>41236</v>
      </c>
      <c r="J3565" t="inlineStr">
        <is>
          <t>Ottawa, Ontario</t>
        </is>
      </c>
      <c r="K3565" t="inlineStr">
        <is>
          <t>Ottawa (Ontario)</t>
        </is>
      </c>
      <c r="P3565" t="n">
        <v>1114.36</v>
      </c>
      <c r="Q3565" t="n">
        <v>12.74</v>
      </c>
      <c r="R3565" t="n">
        <v>718.6799999999999</v>
      </c>
      <c r="S3565" t="n">
        <v>358.2</v>
      </c>
      <c r="T3565" t="n">
        <v>60</v>
      </c>
      <c r="U3565" t="n">
        <v>2263.98</v>
      </c>
      <c r="X3565" t="inlineStr">
        <is>
          <t>acoa-apeca</t>
        </is>
      </c>
      <c r="Y3565" t="inlineStr">
        <is>
          <t>Atlantic Canada Opportunities Agency | Agence de promotion économique du Canada atlantique</t>
        </is>
      </c>
      <c r="Z3565" t="n">
        <v>5</v>
      </c>
      <c r="AA3565" t="n">
        <v>2263.97999999999</v>
      </c>
      <c r="AB3565">
        <f>ROUND(U3565-AA3565,2)</f>
        <v/>
      </c>
      <c r="AC3565" t="b">
        <v>0</v>
      </c>
      <c r="AD3565">
        <f>IF(U3565="","MISSING_TOTAL",IF(ABS(AB3565)&lt;=0.01,"OK","CHECK"))</f>
        <v/>
      </c>
      <c r="AE3565">
        <f>IF(U3565="","MISSING",IF(AND(AA3565&gt;0,U3565/AA3565&gt;50),"POSSIBLE_SCALE_ERROR","OK"))</f>
        <v/>
      </c>
    </row>
    <row r="3566">
      <c r="A3566" t="inlineStr">
        <is>
          <t>T-2013-Q3-00048</t>
        </is>
      </c>
      <c r="B3566" t="inlineStr">
        <is>
          <t>SLE</t>
        </is>
      </c>
      <c r="C3566" t="inlineStr">
        <is>
          <t>Vice-President, New Brunswick</t>
        </is>
      </c>
      <c r="D3566" t="inlineStr">
        <is>
          <t>Vice-présidente, Nouveau-Brunswick</t>
        </is>
      </c>
      <c r="E3566" t="inlineStr">
        <is>
          <t>Janet Gagnon</t>
        </is>
      </c>
      <c r="F3566" t="inlineStr">
        <is>
          <t>Executive Committee meeting</t>
        </is>
      </c>
      <c r="G3566" t="inlineStr">
        <is>
          <t>Réunion du Comité de direction</t>
        </is>
      </c>
      <c r="H3566" s="1" t="n">
        <v>41192</v>
      </c>
      <c r="I3566" s="1" t="n">
        <v>41193</v>
      </c>
      <c r="J3566" t="inlineStr">
        <is>
          <t>Moncton, New Brunswick</t>
        </is>
      </c>
      <c r="K3566" t="inlineStr">
        <is>
          <t>Moncton (Nouveau-Brunswick)</t>
        </is>
      </c>
      <c r="P3566" t="n">
        <v>0</v>
      </c>
      <c r="Q3566" t="n">
        <v>0</v>
      </c>
      <c r="R3566" t="n">
        <v>162.72</v>
      </c>
      <c r="S3566" t="n">
        <v>117.2</v>
      </c>
      <c r="T3566" t="n">
        <v>0</v>
      </c>
      <c r="U3566" t="n">
        <v>279.92</v>
      </c>
      <c r="X3566" t="inlineStr">
        <is>
          <t>acoa-apeca</t>
        </is>
      </c>
      <c r="Y3566" t="inlineStr">
        <is>
          <t>Atlantic Canada Opportunities Agency | Agence de promotion économique du Canada atlantique</t>
        </is>
      </c>
      <c r="Z3566" t="n">
        <v>2</v>
      </c>
      <c r="AA3566" t="n">
        <v>279.92</v>
      </c>
      <c r="AB3566">
        <f>ROUND(U3566-AA3566,2)</f>
        <v/>
      </c>
      <c r="AC3566" t="b">
        <v>0</v>
      </c>
      <c r="AD3566">
        <f>IF(U3566="","MISSING_TOTAL",IF(ABS(AB3566)&lt;=0.01,"OK","CHECK"))</f>
        <v/>
      </c>
      <c r="AE3566">
        <f>IF(U3566="","MISSING",IF(AND(AA3566&gt;0,U3566/AA3566&gt;50),"POSSIBLE_SCALE_ERROR","OK"))</f>
        <v/>
      </c>
    </row>
    <row r="3567">
      <c r="A3567" t="inlineStr">
        <is>
          <t>T-2013-Q3-00086</t>
        </is>
      </c>
      <c r="B3567" t="inlineStr">
        <is>
          <t>SLE</t>
        </is>
      </c>
      <c r="C3567" t="inlineStr">
        <is>
          <t>Vice-President, Newfoundland and Labrador</t>
        </is>
      </c>
      <c r="D3567" t="inlineStr">
        <is>
          <t>Vice-président, Terre-Neuve-et-Labrador</t>
        </is>
      </c>
      <c r="E3567" t="inlineStr">
        <is>
          <t>Paul Mills</t>
        </is>
      </c>
      <c r="F3567" t="inlineStr">
        <is>
          <t>Regional Federal Council Chairs Meeting</t>
        </is>
      </c>
      <c r="G3567" t="inlineStr">
        <is>
          <t>Réunion des présidents des conseils fédéraux régionaux</t>
        </is>
      </c>
      <c r="H3567" s="1" t="n">
        <v>41232</v>
      </c>
      <c r="I3567" s="1" t="n">
        <v>41235</v>
      </c>
      <c r="J3567" t="inlineStr">
        <is>
          <t>Ottawa, Ontario</t>
        </is>
      </c>
      <c r="K3567" t="inlineStr">
        <is>
          <t>Ottawa (Ontario)</t>
        </is>
      </c>
      <c r="P3567" t="n">
        <v>1369.2</v>
      </c>
      <c r="Q3567" t="n">
        <v>132</v>
      </c>
      <c r="R3567" t="n">
        <v>532.23</v>
      </c>
      <c r="S3567" t="n">
        <v>269.6</v>
      </c>
      <c r="T3567" t="n">
        <v>10.13</v>
      </c>
      <c r="U3567" t="n">
        <v>2313.16</v>
      </c>
      <c r="X3567" t="inlineStr">
        <is>
          <t>acoa-apeca</t>
        </is>
      </c>
      <c r="Y3567" t="inlineStr">
        <is>
          <t>Atlantic Canada Opportunities Agency | Agence de promotion économique du Canada atlantique</t>
        </is>
      </c>
      <c r="Z3567" t="n">
        <v>4</v>
      </c>
      <c r="AA3567" t="n">
        <v>2313.16</v>
      </c>
      <c r="AB3567">
        <f>ROUND(U3567-AA3567,2)</f>
        <v/>
      </c>
      <c r="AC3567" t="b">
        <v>0</v>
      </c>
      <c r="AD3567">
        <f>IF(U3567="","MISSING_TOTAL",IF(ABS(AB3567)&lt;=0.01,"OK","CHECK"))</f>
        <v/>
      </c>
      <c r="AE3567">
        <f>IF(U3567="","MISSING",IF(AND(AA3567&gt;0,U3567/AA3567&gt;50),"POSSIBLE_SCALE_ERROR","OK"))</f>
        <v/>
      </c>
    </row>
    <row r="3568">
      <c r="A3568" t="inlineStr">
        <is>
          <t>T-2013-Q3-00085</t>
        </is>
      </c>
      <c r="B3568" t="inlineStr">
        <is>
          <t>MPSES</t>
        </is>
      </c>
      <c r="C3568" t="inlineStr">
        <is>
          <t>Executive Assistant and Press Secretary</t>
        </is>
      </c>
      <c r="D3568" t="inlineStr">
        <is>
          <t>Adjointe exécutive et attaché de presse</t>
        </is>
      </c>
      <c r="E3568" t="inlineStr">
        <is>
          <t>Andrea Richer</t>
        </is>
      </c>
      <c r="F3568" t="inlineStr">
        <is>
          <t>To accompany Minister of State to the International Security Forum</t>
        </is>
      </c>
      <c r="G3568" t="inlineStr">
        <is>
          <t>Pour accompagner le ministre d'État au Forum sur la sécurité internationale</t>
        </is>
      </c>
      <c r="H3568" s="1" t="n">
        <v>41228</v>
      </c>
      <c r="I3568" s="1" t="n">
        <v>41230</v>
      </c>
      <c r="J3568" t="inlineStr">
        <is>
          <t>Halifax, Nova Scotia</t>
        </is>
      </c>
      <c r="K3568" t="inlineStr">
        <is>
          <t>Halifax (Nouvelle-Écosse)</t>
        </is>
      </c>
      <c r="P3568" t="n">
        <v>514.49</v>
      </c>
      <c r="Q3568" t="n">
        <v>0</v>
      </c>
      <c r="R3568" t="n">
        <v>0</v>
      </c>
      <c r="S3568" t="n">
        <v>0</v>
      </c>
      <c r="T3568" t="n">
        <v>0</v>
      </c>
      <c r="U3568" t="n">
        <v>514.49</v>
      </c>
      <c r="X3568" t="inlineStr">
        <is>
          <t>acoa-apeca</t>
        </is>
      </c>
      <c r="Y3568" t="inlineStr">
        <is>
          <t>Atlantic Canada Opportunities Agency | Agence de promotion économique du Canada atlantique</t>
        </is>
      </c>
      <c r="Z3568" t="n">
        <v>3</v>
      </c>
      <c r="AA3568" t="n">
        <v>514.49</v>
      </c>
      <c r="AB3568">
        <f>ROUND(U3568-AA3568,2)</f>
        <v/>
      </c>
      <c r="AC3568" t="b">
        <v>0</v>
      </c>
      <c r="AD3568">
        <f>IF(U3568="","MISSING_TOTAL",IF(ABS(AB3568)&lt;=0.01,"OK","CHECK"))</f>
        <v/>
      </c>
      <c r="AE3568">
        <f>IF(U3568="","MISSING",IF(AND(AA3568&gt;0,U3568/AA3568&gt;50),"POSSIBLE_SCALE_ERROR","OK"))</f>
        <v/>
      </c>
    </row>
    <row r="3569">
      <c r="A3569" t="inlineStr">
        <is>
          <t>T-2013-Q3-00084</t>
        </is>
      </c>
      <c r="B3569" t="inlineStr">
        <is>
          <t>MPSES</t>
        </is>
      </c>
      <c r="C3569" t="inlineStr">
        <is>
          <t>Chief of Staff</t>
        </is>
      </c>
      <c r="D3569" t="inlineStr">
        <is>
          <t>Chef de cabinet</t>
        </is>
      </c>
      <c r="E3569" t="inlineStr">
        <is>
          <t>Jacques Fauteux</t>
        </is>
      </c>
      <c r="F3569" t="inlineStr">
        <is>
          <t>To accompany Minister of State to the International Security Forum</t>
        </is>
      </c>
      <c r="G3569" t="inlineStr">
        <is>
          <t>Pour accompagner le ministre d'État au Forum sur la sécurité internationale</t>
        </is>
      </c>
      <c r="H3569" s="1" t="n">
        <v>41228</v>
      </c>
      <c r="I3569" s="1" t="n">
        <v>41231</v>
      </c>
      <c r="J3569" t="inlineStr">
        <is>
          <t>Halifax, Nova Scotia</t>
        </is>
      </c>
      <c r="K3569" t="inlineStr">
        <is>
          <t>Halifax (Nouvelle-Écosse)</t>
        </is>
      </c>
      <c r="P3569" t="n">
        <v>1018.7</v>
      </c>
      <c r="Q3569" t="n">
        <v>210.35</v>
      </c>
      <c r="R3569" t="n">
        <v>0</v>
      </c>
      <c r="S3569" t="n">
        <v>268.6</v>
      </c>
      <c r="T3569" t="n">
        <v>0</v>
      </c>
      <c r="U3569" t="n">
        <v>1497.65</v>
      </c>
      <c r="X3569" t="inlineStr">
        <is>
          <t>acoa-apeca</t>
        </is>
      </c>
      <c r="Y3569" t="inlineStr">
        <is>
          <t>Atlantic Canada Opportunities Agency | Agence de promotion économique du Canada atlantique</t>
        </is>
      </c>
      <c r="Z3569" t="n">
        <v>4</v>
      </c>
      <c r="AA3569" t="n">
        <v>1497.65</v>
      </c>
      <c r="AB3569">
        <f>ROUND(U3569-AA3569,2)</f>
        <v/>
      </c>
      <c r="AC3569" t="b">
        <v>0</v>
      </c>
      <c r="AD3569">
        <f>IF(U3569="","MISSING_TOTAL",IF(ABS(AB3569)&lt;=0.01,"OK","CHECK"))</f>
        <v/>
      </c>
      <c r="AE3569">
        <f>IF(U3569="","MISSING",IF(AND(AA3569&gt;0,U3569/AA3569&gt;50),"POSSIBLE_SCALE_ERROR","OK"))</f>
        <v/>
      </c>
    </row>
    <row r="3570">
      <c r="A3570" t="inlineStr">
        <is>
          <t>T-2013-Q3-00083</t>
        </is>
      </c>
      <c r="B3570" t="inlineStr">
        <is>
          <t>MPSES</t>
        </is>
      </c>
      <c r="C3570" t="inlineStr">
        <is>
          <t>Minister of State</t>
        </is>
      </c>
      <c r="D3570" t="inlineStr">
        <is>
          <t>Ministre d'État</t>
        </is>
      </c>
      <c r="E3570" t="inlineStr">
        <is>
          <t>Bernard Valcourt</t>
        </is>
      </c>
      <c r="F3570" t="inlineStr">
        <is>
          <t>Attend the International Security Forum</t>
        </is>
      </c>
      <c r="G3570" t="inlineStr">
        <is>
          <t>Participation au Forum sur la sécurité internationale</t>
        </is>
      </c>
      <c r="H3570" s="1" t="n">
        <v>41228</v>
      </c>
      <c r="I3570" s="1" t="n">
        <v>41231</v>
      </c>
      <c r="J3570" t="inlineStr">
        <is>
          <t>Halifax, Nova Scotia</t>
        </is>
      </c>
      <c r="K3570" t="inlineStr">
        <is>
          <t>Halifax (Nouvelle-Écosse)</t>
        </is>
      </c>
      <c r="P3570" t="n">
        <v>804.23</v>
      </c>
      <c r="Q3570" t="n">
        <v>309.08</v>
      </c>
      <c r="R3570" t="n">
        <v>0</v>
      </c>
      <c r="S3570" t="n">
        <v>181.8</v>
      </c>
      <c r="T3570" t="n">
        <v>0</v>
      </c>
      <c r="U3570" t="n">
        <v>1295.11</v>
      </c>
      <c r="X3570" t="inlineStr">
        <is>
          <t>acoa-apeca</t>
        </is>
      </c>
      <c r="Y3570" t="inlineStr">
        <is>
          <t>Atlantic Canada Opportunities Agency | Agence de promotion économique du Canada atlantique</t>
        </is>
      </c>
      <c r="Z3570" t="n">
        <v>4</v>
      </c>
      <c r="AA3570" t="n">
        <v>1295.11</v>
      </c>
      <c r="AB3570">
        <f>ROUND(U3570-AA3570,2)</f>
        <v/>
      </c>
      <c r="AC3570" t="b">
        <v>0</v>
      </c>
      <c r="AD3570">
        <f>IF(U3570="","MISSING_TOTAL",IF(ABS(AB3570)&lt;=0.01,"OK","CHECK"))</f>
        <v/>
      </c>
      <c r="AE3570">
        <f>IF(U3570="","MISSING",IF(AND(AA3570&gt;0,U3570/AA3570&gt;50),"POSSIBLE_SCALE_ERROR","OK"))</f>
        <v/>
      </c>
    </row>
    <row r="3571">
      <c r="A3571" t="inlineStr">
        <is>
          <t>T-2013-Q3-00082</t>
        </is>
      </c>
      <c r="B3571" t="inlineStr">
        <is>
          <t>SLE</t>
        </is>
      </c>
      <c r="C3571" t="inlineStr">
        <is>
          <t>President</t>
        </is>
      </c>
      <c r="D3571" t="inlineStr">
        <is>
          <t>Président</t>
        </is>
      </c>
      <c r="E3571" t="inlineStr">
        <is>
          <t>Paul J. LeBlanc</t>
        </is>
      </c>
      <c r="F3571" t="inlineStr">
        <is>
          <t>For various meetings and discussions with Agency officials, and to attend portions of the Halifax International Security Forum</t>
        </is>
      </c>
      <c r="G3571" t="inlineStr">
        <is>
          <t>Diverses réunions et discussions avec des fonctionnaires de l'Agence, et participation à des parties du Forum sur la sécurité internationale, à Halifax</t>
        </is>
      </c>
      <c r="H3571" s="1" t="n">
        <v>41228</v>
      </c>
      <c r="I3571" s="1" t="n">
        <v>41230</v>
      </c>
      <c r="J3571" t="inlineStr">
        <is>
          <t>Halifax, Nova Scotia</t>
        </is>
      </c>
      <c r="K3571" t="inlineStr">
        <is>
          <t>Halifax (Nouvelle-Écosse)</t>
        </is>
      </c>
      <c r="P3571" t="n">
        <v>0</v>
      </c>
      <c r="Q3571" t="n">
        <v>0</v>
      </c>
      <c r="R3571" t="n">
        <v>466.86</v>
      </c>
      <c r="S3571" t="n">
        <v>108.2</v>
      </c>
      <c r="T3571" t="n">
        <v>0</v>
      </c>
      <c r="U3571" t="n">
        <v>575.0599999999999</v>
      </c>
      <c r="X3571" t="inlineStr">
        <is>
          <t>acoa-apeca</t>
        </is>
      </c>
      <c r="Y3571" t="inlineStr">
        <is>
          <t>Atlantic Canada Opportunities Agency | Agence de promotion économique du Canada atlantique</t>
        </is>
      </c>
      <c r="Z3571" t="n">
        <v>3</v>
      </c>
      <c r="AA3571" t="n">
        <v>575.0599999999999</v>
      </c>
      <c r="AB3571">
        <f>ROUND(U3571-AA3571,2)</f>
        <v/>
      </c>
      <c r="AC3571" t="b">
        <v>0</v>
      </c>
      <c r="AD3571">
        <f>IF(U3571="","MISSING_TOTAL",IF(ABS(AB3571)&lt;=0.01,"OK","CHECK"))</f>
        <v/>
      </c>
      <c r="AE3571">
        <f>IF(U3571="","MISSING",IF(AND(AA3571&gt;0,U3571/AA3571&gt;50),"POSSIBLE_SCALE_ERROR","OK"))</f>
        <v/>
      </c>
    </row>
    <row r="3572">
      <c r="A3572" t="inlineStr">
        <is>
          <t>T-2013-Q3-00081</t>
        </is>
      </c>
      <c r="B3572" t="inlineStr">
        <is>
          <t>SLE</t>
        </is>
      </c>
      <c r="C3572" t="inlineStr">
        <is>
          <t>Vice President, Nova Scotia</t>
        </is>
      </c>
      <c r="D3572" t="inlineStr">
        <is>
          <t>Vice-président, Nouvelle-Écosse</t>
        </is>
      </c>
      <c r="E3572" t="inlineStr">
        <is>
          <t>Peter Hogan</t>
        </is>
      </c>
      <c r="F3572" t="inlineStr">
        <is>
          <t>Assistant Deputy Minister Forum</t>
        </is>
      </c>
      <c r="G3572" t="inlineStr">
        <is>
          <t>Forum des sous-ministres adjoints</t>
        </is>
      </c>
      <c r="H3572" s="1" t="n">
        <v>41227</v>
      </c>
      <c r="I3572" s="1" t="n">
        <v>41228</v>
      </c>
      <c r="J3572" t="inlineStr">
        <is>
          <t>Ottawa, Ontario</t>
        </is>
      </c>
      <c r="K3572" t="inlineStr">
        <is>
          <t>Ottawa (Ontario)</t>
        </is>
      </c>
      <c r="P3572" t="n">
        <v>616.28</v>
      </c>
      <c r="Q3572" t="n">
        <v>178.2</v>
      </c>
      <c r="R3572" t="n">
        <v>177.41</v>
      </c>
      <c r="S3572" t="n">
        <v>106.4</v>
      </c>
      <c r="T3572" t="n">
        <v>0</v>
      </c>
      <c r="U3572" t="n">
        <v>1078.29</v>
      </c>
      <c r="X3572" t="inlineStr">
        <is>
          <t>acoa-apeca</t>
        </is>
      </c>
      <c r="Y3572" t="inlineStr">
        <is>
          <t>Atlantic Canada Opportunities Agency | Agence de promotion économique du Canada atlantique</t>
        </is>
      </c>
      <c r="Z3572" t="n">
        <v>2</v>
      </c>
      <c r="AA3572" t="n">
        <v>1078.29</v>
      </c>
      <c r="AB3572">
        <f>ROUND(U3572-AA3572,2)</f>
        <v/>
      </c>
      <c r="AC3572" t="b">
        <v>0</v>
      </c>
      <c r="AD3572">
        <f>IF(U3572="","MISSING_TOTAL",IF(ABS(AB3572)&lt;=0.01,"OK","CHECK"))</f>
        <v/>
      </c>
      <c r="AE3572">
        <f>IF(U3572="","MISSING",IF(AND(AA3572&gt;0,U3572/AA3572&gt;50),"POSSIBLE_SCALE_ERROR","OK"))</f>
        <v/>
      </c>
    </row>
    <row r="3573">
      <c r="A3573" t="inlineStr">
        <is>
          <t>T-2013-Q3-00080</t>
        </is>
      </c>
      <c r="B3573" t="inlineStr">
        <is>
          <t>SLE</t>
        </is>
      </c>
      <c r="C3573" t="inlineStr">
        <is>
          <t>Vice-President, New Brunswick</t>
        </is>
      </c>
      <c r="D3573" t="inlineStr">
        <is>
          <t>Vice-présidente, Nouveau-Brunswick</t>
        </is>
      </c>
      <c r="E3573" t="inlineStr">
        <is>
          <t>Janet Gagnon</t>
        </is>
      </c>
      <c r="F3573" t="inlineStr">
        <is>
          <t>Our Top Talent 2012</t>
        </is>
      </c>
      <c r="G3573" t="inlineStr">
        <is>
          <t>Nos meilleurs talents 2012</t>
        </is>
      </c>
      <c r="H3573" s="1" t="n">
        <v>41226</v>
      </c>
      <c r="I3573" s="1" t="n">
        <v>41227</v>
      </c>
      <c r="J3573" t="inlineStr">
        <is>
          <t>Moncton, New Brunswick</t>
        </is>
      </c>
      <c r="K3573" t="inlineStr">
        <is>
          <t>Moncton (Nouveau-Brunswick)</t>
        </is>
      </c>
      <c r="P3573" t="n">
        <v>0</v>
      </c>
      <c r="Q3573" t="n">
        <v>0</v>
      </c>
      <c r="R3573" t="n">
        <v>134.47</v>
      </c>
      <c r="S3573" t="n">
        <v>106.4</v>
      </c>
      <c r="T3573" t="n">
        <v>13.28</v>
      </c>
      <c r="U3573" t="n">
        <v>254.15</v>
      </c>
      <c r="X3573" t="inlineStr">
        <is>
          <t>acoa-apeca</t>
        </is>
      </c>
      <c r="Y3573" t="inlineStr">
        <is>
          <t>Atlantic Canada Opportunities Agency | Agence de promotion économique du Canada atlantique</t>
        </is>
      </c>
      <c r="Z3573" t="n">
        <v>2</v>
      </c>
      <c r="AA3573" t="n">
        <v>254.15</v>
      </c>
      <c r="AB3573">
        <f>ROUND(U3573-AA3573,2)</f>
        <v/>
      </c>
      <c r="AC3573" t="b">
        <v>0</v>
      </c>
      <c r="AD3573">
        <f>IF(U3573="","MISSING_TOTAL",IF(ABS(AB3573)&lt;=0.01,"OK","CHECK"))</f>
        <v/>
      </c>
      <c r="AE3573">
        <f>IF(U3573="","MISSING",IF(AND(AA3573&gt;0,U3573/AA3573&gt;50),"POSSIBLE_SCALE_ERROR","OK"))</f>
        <v/>
      </c>
    </row>
    <row r="3574">
      <c r="A3574" t="inlineStr">
        <is>
          <t>T-2013-Q3-00079</t>
        </is>
      </c>
      <c r="B3574" t="inlineStr">
        <is>
          <t>SLE</t>
        </is>
      </c>
      <c r="C3574" t="inlineStr">
        <is>
          <t>Vice-President, Newfoundland and Labrador</t>
        </is>
      </c>
      <c r="D3574" t="inlineStr">
        <is>
          <t>Vice-président, Terre-Neuve-et-Labrador</t>
        </is>
      </c>
      <c r="E3574" t="inlineStr">
        <is>
          <t>Paul Mills</t>
        </is>
      </c>
      <c r="F3574" t="inlineStr">
        <is>
          <t>Travel to Ottawa for Canada Aviation and Space Museum</t>
        </is>
      </c>
      <c r="G3574" t="inlineStr">
        <is>
          <t>Voyage à Ottawa au Musée de l'aviation et de l'espace du Canada</t>
        </is>
      </c>
      <c r="H3574" s="1" t="n">
        <v>41226</v>
      </c>
      <c r="I3574" s="1" t="n">
        <v>41229</v>
      </c>
      <c r="P3574" t="n">
        <v>1369.2</v>
      </c>
      <c r="Q3574" t="n">
        <v>158</v>
      </c>
      <c r="R3574" t="n">
        <v>354.82</v>
      </c>
      <c r="S3574" t="n">
        <v>195.5</v>
      </c>
      <c r="T3574" t="n">
        <v>9.73</v>
      </c>
      <c r="U3574" t="n">
        <v>2087.25</v>
      </c>
      <c r="X3574" t="inlineStr">
        <is>
          <t>acoa-apeca</t>
        </is>
      </c>
      <c r="Y3574" t="inlineStr">
        <is>
          <t>Atlantic Canada Opportunities Agency | Agence de promotion économique du Canada atlantique</t>
        </is>
      </c>
      <c r="Z3574" t="n">
        <v>4</v>
      </c>
      <c r="AA3574" t="n">
        <v>2087.25</v>
      </c>
      <c r="AB3574">
        <f>ROUND(U3574-AA3574,2)</f>
        <v/>
      </c>
      <c r="AC3574" t="b">
        <v>0</v>
      </c>
      <c r="AD3574">
        <f>IF(U3574="","MISSING_TOTAL",IF(ABS(AB3574)&lt;=0.01,"OK","CHECK"))</f>
        <v/>
      </c>
      <c r="AE3574">
        <f>IF(U3574="","MISSING",IF(AND(AA3574&gt;0,U3574/AA3574&gt;50),"POSSIBLE_SCALE_ERROR","OK"))</f>
        <v/>
      </c>
    </row>
    <row r="3575">
      <c r="A3575" t="inlineStr">
        <is>
          <t>T-2013-Q3-00078</t>
        </is>
      </c>
      <c r="B3575" t="inlineStr">
        <is>
          <t>SLE</t>
        </is>
      </c>
      <c r="C3575" t="inlineStr">
        <is>
          <t>Vice-President, Policy and Programs</t>
        </is>
      </c>
      <c r="D3575" t="inlineStr">
        <is>
          <t>Vice-président, Politiques et Programmes</t>
        </is>
      </c>
      <c r="E3575" t="inlineStr">
        <is>
          <t>Daryell Nowlan</t>
        </is>
      </c>
      <c r="F3575" t="inlineStr">
        <is>
          <t>Meetings with Government of Canada officials</t>
        </is>
      </c>
      <c r="G3575" t="inlineStr">
        <is>
          <t>Réunions avec des fonctionnaires du gouvernement du Canada</t>
        </is>
      </c>
      <c r="H3575" s="1" t="n">
        <v>41226</v>
      </c>
      <c r="I3575" s="1" t="n">
        <v>41229</v>
      </c>
      <c r="J3575" t="inlineStr">
        <is>
          <t>Ottawa, Ontario</t>
        </is>
      </c>
      <c r="K3575" t="inlineStr">
        <is>
          <t>Ottawa (Ontario)</t>
        </is>
      </c>
      <c r="P3575" t="n">
        <v>926.6</v>
      </c>
      <c r="Q3575" t="n">
        <v>180</v>
      </c>
      <c r="R3575" t="n">
        <v>532.23</v>
      </c>
      <c r="S3575" t="n">
        <v>221.45</v>
      </c>
      <c r="T3575" t="n">
        <v>0</v>
      </c>
      <c r="U3575" t="n">
        <v>1860.28</v>
      </c>
      <c r="X3575" t="inlineStr">
        <is>
          <t>acoa-apeca</t>
        </is>
      </c>
      <c r="Y3575" t="inlineStr">
        <is>
          <t>Atlantic Canada Opportunities Agency | Agence de promotion économique du Canada atlantique</t>
        </is>
      </c>
      <c r="Z3575" t="n">
        <v>4</v>
      </c>
      <c r="AA3575" t="n">
        <v>1860.28</v>
      </c>
      <c r="AB3575">
        <f>ROUND(U3575-AA3575,2)</f>
        <v/>
      </c>
      <c r="AC3575" t="b">
        <v>0</v>
      </c>
      <c r="AD3575">
        <f>IF(U3575="","MISSING_TOTAL",IF(ABS(AB3575)&lt;=0.01,"OK","CHECK"))</f>
        <v/>
      </c>
      <c r="AE3575">
        <f>IF(U3575="","MISSING",IF(AND(AA3575&gt;0,U3575/AA3575&gt;50),"POSSIBLE_SCALE_ERROR","OK"))</f>
        <v/>
      </c>
    </row>
    <row r="3576">
      <c r="A3576" t="inlineStr">
        <is>
          <t>T-2013-Q3-00075</t>
        </is>
      </c>
      <c r="B3576" t="inlineStr">
        <is>
          <t>SLE</t>
        </is>
      </c>
      <c r="C3576" t="inlineStr">
        <is>
          <t>Vice President, Nova Scotia</t>
        </is>
      </c>
      <c r="D3576" t="inlineStr">
        <is>
          <t>Vice-président, Nouvelle-Écosse</t>
        </is>
      </c>
      <c r="E3576" t="inlineStr">
        <is>
          <t>Peter Hogan</t>
        </is>
      </c>
      <c r="F3576" t="inlineStr">
        <is>
          <t>Community Outreach Clients Visits to New Glasgow</t>
        </is>
      </c>
      <c r="G3576" t="inlineStr">
        <is>
          <t>Visites de sensibilisation communautaire auprès des clients à New Glasgow</t>
        </is>
      </c>
      <c r="H3576" s="1" t="n">
        <v>41220</v>
      </c>
      <c r="I3576" s="1" t="n">
        <v>41220</v>
      </c>
      <c r="J3576" t="inlineStr">
        <is>
          <t>New Glasgow, Nova Scotia</t>
        </is>
      </c>
      <c r="K3576" t="inlineStr">
        <is>
          <t>New Glasgow (Nouvelle-Écosse)</t>
        </is>
      </c>
      <c r="P3576" t="n">
        <v>0</v>
      </c>
      <c r="Q3576" t="n">
        <v>0</v>
      </c>
      <c r="R3576" t="n">
        <v>0</v>
      </c>
      <c r="S3576" t="n">
        <v>15</v>
      </c>
      <c r="T3576" t="n">
        <v>0</v>
      </c>
      <c r="U3576" t="n">
        <v>15</v>
      </c>
      <c r="X3576" t="inlineStr">
        <is>
          <t>acoa-apeca</t>
        </is>
      </c>
      <c r="Y3576" t="inlineStr">
        <is>
          <t>Atlantic Canada Opportunities Agency | Agence de promotion économique du Canada atlantique</t>
        </is>
      </c>
      <c r="Z3576" t="n">
        <v>1</v>
      </c>
      <c r="AA3576" t="n">
        <v>15</v>
      </c>
      <c r="AB3576">
        <f>ROUND(U3576-AA3576,2)</f>
        <v/>
      </c>
      <c r="AC3576" t="b">
        <v>0</v>
      </c>
      <c r="AD3576">
        <f>IF(U3576="","MISSING_TOTAL",IF(ABS(AB3576)&lt;=0.01,"OK","CHECK"))</f>
        <v/>
      </c>
      <c r="AE3576">
        <f>IF(U3576="","MISSING",IF(AND(AA3576&gt;0,U3576/AA3576&gt;50),"POSSIBLE_SCALE_ERROR","OK"))</f>
        <v/>
      </c>
    </row>
    <row r="3577">
      <c r="A3577" t="inlineStr">
        <is>
          <t>T-2013-Q3-00073</t>
        </is>
      </c>
      <c r="B3577" t="inlineStr">
        <is>
          <t>SLE</t>
        </is>
      </c>
      <c r="C3577" t="inlineStr">
        <is>
          <t>Vice-President, Policy and Programs</t>
        </is>
      </c>
      <c r="D3577" t="inlineStr">
        <is>
          <t>Vice-président, Politiques et Programmes</t>
        </is>
      </c>
      <c r="E3577" t="inlineStr">
        <is>
          <t>Daryell Nowlan</t>
        </is>
      </c>
      <c r="F3577" t="inlineStr">
        <is>
          <t>Attending the 4th Annual NB Health Research Conference as a speaker</t>
        </is>
      </c>
      <c r="G3577" t="inlineStr">
        <is>
          <t>Participer à titre de conférencier à la quatrième conférence annuelle sur la recherche en santé du N.-B.</t>
        </is>
      </c>
      <c r="H3577" s="1" t="n">
        <v>41220</v>
      </c>
      <c r="I3577" s="1" t="n">
        <v>41221</v>
      </c>
      <c r="J3577" t="inlineStr">
        <is>
          <t>Fredericton, New Brunswick</t>
        </is>
      </c>
      <c r="K3577" t="inlineStr">
        <is>
          <t>Fredericton (Nouveau-Brunswick)</t>
        </is>
      </c>
      <c r="P3577" t="n">
        <v>0</v>
      </c>
      <c r="Q3577" t="n">
        <v>153.41</v>
      </c>
      <c r="R3577" t="n">
        <v>163.85</v>
      </c>
      <c r="S3577" t="n">
        <v>75.45</v>
      </c>
      <c r="T3577" t="n">
        <v>0</v>
      </c>
      <c r="U3577" t="n">
        <v>392.71</v>
      </c>
      <c r="X3577" t="inlineStr">
        <is>
          <t>acoa-apeca</t>
        </is>
      </c>
      <c r="Y3577" t="inlineStr">
        <is>
          <t>Atlantic Canada Opportunities Agency | Agence de promotion économique du Canada atlantique</t>
        </is>
      </c>
      <c r="Z3577" t="n">
        <v>2</v>
      </c>
      <c r="AA3577" t="n">
        <v>392.71</v>
      </c>
      <c r="AB3577">
        <f>ROUND(U3577-AA3577,2)</f>
        <v/>
      </c>
      <c r="AC3577" t="b">
        <v>0</v>
      </c>
      <c r="AD3577">
        <f>IF(U3577="","MISSING_TOTAL",IF(ABS(AB3577)&lt;=0.01,"OK","CHECK"))</f>
        <v/>
      </c>
      <c r="AE3577">
        <f>IF(U3577="","MISSING",IF(AND(AA3577&gt;0,U3577/AA3577&gt;50),"POSSIBLE_SCALE_ERROR","OK"))</f>
        <v/>
      </c>
    </row>
    <row r="3578">
      <c r="A3578" t="inlineStr">
        <is>
          <t>T-2013-Q3-00072</t>
        </is>
      </c>
      <c r="B3578" t="inlineStr">
        <is>
          <t>MPSES</t>
        </is>
      </c>
      <c r="C3578" t="inlineStr">
        <is>
          <t>Executive Assistant and Press Secretary</t>
        </is>
      </c>
      <c r="D3578" t="inlineStr">
        <is>
          <t>Adjointe exécutive et attaché de presse</t>
        </is>
      </c>
      <c r="E3578" t="inlineStr">
        <is>
          <t>Andrea Richer</t>
        </is>
      </c>
      <c r="F3578" t="inlineStr">
        <is>
          <t>Travel to accompany Minister to various events (La Francophonie and Atlantic Canada Opportunities Agency)</t>
        </is>
      </c>
      <c r="G3578" t="inlineStr">
        <is>
          <t>Voyage pour accompagner le ministre à diverses activités (la Francophonie et Agence de promotion économique du Canada atlantique)</t>
        </is>
      </c>
      <c r="H3578" s="1" t="n">
        <v>41217</v>
      </c>
      <c r="I3578" s="1" t="n">
        <v>41218</v>
      </c>
      <c r="J3578" t="inlineStr">
        <is>
          <t>Montréal, Quebec and Halifax, Nova Scotia</t>
        </is>
      </c>
      <c r="K3578" t="inlineStr">
        <is>
          <t>Montréal (Québec) et Halifax (Nouvelle-Écosse)</t>
        </is>
      </c>
      <c r="P3578" t="n">
        <v>1267.53</v>
      </c>
      <c r="Q3578" t="n">
        <v>0</v>
      </c>
      <c r="R3578" t="n">
        <v>146.63</v>
      </c>
      <c r="S3578" t="n">
        <v>121.9</v>
      </c>
      <c r="T3578" t="n">
        <v>0</v>
      </c>
      <c r="U3578" t="n">
        <v>1536.06</v>
      </c>
      <c r="X3578" t="inlineStr">
        <is>
          <t>acoa-apeca</t>
        </is>
      </c>
      <c r="Y3578" t="inlineStr">
        <is>
          <t>Atlantic Canada Opportunities Agency | Agence de promotion économique du Canada atlantique</t>
        </is>
      </c>
      <c r="Z3578" t="n">
        <v>2</v>
      </c>
      <c r="AA3578" t="n">
        <v>1536.06</v>
      </c>
      <c r="AB3578">
        <f>ROUND(U3578-AA3578,2)</f>
        <v/>
      </c>
      <c r="AC3578" t="b">
        <v>0</v>
      </c>
      <c r="AD3578">
        <f>IF(U3578="","MISSING_TOTAL",IF(ABS(AB3578)&lt;=0.01,"OK","CHECK"))</f>
        <v/>
      </c>
      <c r="AE3578">
        <f>IF(U3578="","MISSING",IF(AND(AA3578&gt;0,U3578/AA3578&gt;50),"POSSIBLE_SCALE_ERROR","OK"))</f>
        <v/>
      </c>
    </row>
    <row r="3579">
      <c r="A3579" t="inlineStr">
        <is>
          <t>T-2013-Q3-00071</t>
        </is>
      </c>
      <c r="B3579" t="inlineStr">
        <is>
          <t>MPSES</t>
        </is>
      </c>
      <c r="C3579" t="inlineStr">
        <is>
          <t>Minister of State</t>
        </is>
      </c>
      <c r="D3579" t="inlineStr">
        <is>
          <t>Ministre d'État</t>
        </is>
      </c>
      <c r="E3579" t="inlineStr">
        <is>
          <t>Bernard Valcourt</t>
        </is>
      </c>
      <c r="F3579" t="inlineStr">
        <is>
          <t>Various meetings and speeches for the Government of Canada</t>
        </is>
      </c>
      <c r="G3579" t="inlineStr">
        <is>
          <t>Réunions et allocutions diverses pour le gouvernement du Canada</t>
        </is>
      </c>
      <c r="H3579" s="1" t="n">
        <v>41217</v>
      </c>
      <c r="I3579" s="1" t="n">
        <v>41218</v>
      </c>
      <c r="J3579" t="inlineStr">
        <is>
          <t>Montréal, Quebec and Halifax, Nova Scotia</t>
        </is>
      </c>
      <c r="K3579" t="inlineStr">
        <is>
          <t>Montréal (Québec) et Halifax (Nouvelle-Écosse)</t>
        </is>
      </c>
      <c r="P3579" t="n">
        <v>1156.34</v>
      </c>
      <c r="Q3579" t="n">
        <v>0</v>
      </c>
      <c r="R3579" t="n">
        <v>146.63</v>
      </c>
      <c r="S3579" t="n">
        <v>121.9</v>
      </c>
      <c r="T3579" t="n">
        <v>8.859999999999999</v>
      </c>
      <c r="U3579" t="n">
        <v>1433.73</v>
      </c>
      <c r="X3579" t="inlineStr">
        <is>
          <t>acoa-apeca</t>
        </is>
      </c>
      <c r="Y3579" t="inlineStr">
        <is>
          <t>Atlantic Canada Opportunities Agency | Agence de promotion économique du Canada atlantique</t>
        </is>
      </c>
      <c r="Z3579" t="n">
        <v>2</v>
      </c>
      <c r="AA3579" t="n">
        <v>1433.72999999999</v>
      </c>
      <c r="AB3579">
        <f>ROUND(U3579-AA3579,2)</f>
        <v/>
      </c>
      <c r="AC3579" t="b">
        <v>0</v>
      </c>
      <c r="AD3579">
        <f>IF(U3579="","MISSING_TOTAL",IF(ABS(AB3579)&lt;=0.01,"OK","CHECK"))</f>
        <v/>
      </c>
      <c r="AE3579">
        <f>IF(U3579="","MISSING",IF(AND(AA3579&gt;0,U3579/AA3579&gt;50),"POSSIBLE_SCALE_ERROR","OK"))</f>
        <v/>
      </c>
    </row>
    <row r="3580">
      <c r="A3580" t="inlineStr">
        <is>
          <t>T-2013-Q3-00070</t>
        </is>
      </c>
      <c r="B3580" t="inlineStr">
        <is>
          <t>SLE</t>
        </is>
      </c>
      <c r="C3580" t="inlineStr">
        <is>
          <t>Vice-President, Prince Edward Island</t>
        </is>
      </c>
      <c r="D3580" t="inlineStr">
        <is>
          <t>Vice-président, Île-du-Prince-Édouard</t>
        </is>
      </c>
      <c r="E3580" t="inlineStr">
        <is>
          <t>Patrick Dorsey</t>
        </is>
      </c>
      <c r="F3580" t="inlineStr">
        <is>
          <t>Meetings - Atlantic Canada Tourism Partnership (ACTP) Launch and ACOA Officials</t>
        </is>
      </c>
      <c r="G3580" t="inlineStr">
        <is>
          <t>Réunions - lancement du Partenariat du tourisme du Canada atlantique (PTCA) et fonctionnaires de l'APECA</t>
        </is>
      </c>
      <c r="H3580" s="1" t="n">
        <v>41217</v>
      </c>
      <c r="I3580" s="1" t="n">
        <v>41219</v>
      </c>
      <c r="J3580" t="inlineStr">
        <is>
          <t>Ottawa, Ontario</t>
        </is>
      </c>
      <c r="K3580" t="inlineStr">
        <is>
          <t>Ottawa (Ontario)</t>
        </is>
      </c>
      <c r="P3580" t="n">
        <v>955.17</v>
      </c>
      <c r="Q3580" t="n">
        <v>145</v>
      </c>
      <c r="R3580" t="n">
        <v>324.04</v>
      </c>
      <c r="S3580" t="n">
        <v>195.5</v>
      </c>
      <c r="T3580" t="n">
        <v>0</v>
      </c>
      <c r="U3580" t="n">
        <v>1619.71</v>
      </c>
      <c r="X3580" t="inlineStr">
        <is>
          <t>acoa-apeca</t>
        </is>
      </c>
      <c r="Y3580" t="inlineStr">
        <is>
          <t>Atlantic Canada Opportunities Agency | Agence de promotion économique du Canada atlantique</t>
        </is>
      </c>
      <c r="Z3580" t="n">
        <v>3</v>
      </c>
      <c r="AA3580" t="n">
        <v>1619.71</v>
      </c>
      <c r="AB3580">
        <f>ROUND(U3580-AA3580,2)</f>
        <v/>
      </c>
      <c r="AC3580" t="b">
        <v>0</v>
      </c>
      <c r="AD3580">
        <f>IF(U3580="","MISSING_TOTAL",IF(ABS(AB3580)&lt;=0.01,"OK","CHECK"))</f>
        <v/>
      </c>
      <c r="AE3580">
        <f>IF(U3580="","MISSING",IF(AND(AA3580&gt;0,U3580/AA3580&gt;50),"POSSIBLE_SCALE_ERROR","OK"))</f>
        <v/>
      </c>
    </row>
    <row r="3581">
      <c r="A3581" t="inlineStr">
        <is>
          <t>T-2013-Q3-00069</t>
        </is>
      </c>
      <c r="B3581" t="inlineStr">
        <is>
          <t>MPSES</t>
        </is>
      </c>
      <c r="C3581" t="inlineStr">
        <is>
          <t>Honourable Senator</t>
        </is>
      </c>
      <c r="D3581" t="inlineStr">
        <is>
          <t>Honorable sénateur</t>
        </is>
      </c>
      <c r="E3581" t="inlineStr">
        <is>
          <t>Michael L. MacDonald</t>
        </is>
      </c>
      <c r="F3581" t="inlineStr">
        <is>
          <t>Travel on behalf of Minister of State for Shipbuilding Roundtables</t>
        </is>
      </c>
      <c r="G3581" t="inlineStr">
        <is>
          <t>Voyage au nom du ministre d'État pour les tables rondes sur la construction navale</t>
        </is>
      </c>
      <c r="H3581" s="1" t="n">
        <v>41215</v>
      </c>
      <c r="I3581" s="1" t="n">
        <v>41215</v>
      </c>
      <c r="J3581" t="inlineStr">
        <is>
          <t>Membertou, Nova Scotia</t>
        </is>
      </c>
      <c r="K3581" t="inlineStr">
        <is>
          <t>Membertou (Nouvelle-Écosse)</t>
        </is>
      </c>
      <c r="P3581" t="n">
        <v>0</v>
      </c>
      <c r="Q3581" t="n">
        <v>473.69</v>
      </c>
      <c r="R3581" t="n">
        <v>0</v>
      </c>
      <c r="S3581" t="n">
        <v>71.8</v>
      </c>
      <c r="T3581" t="n">
        <v>0</v>
      </c>
      <c r="U3581" t="n">
        <v>545.49</v>
      </c>
      <c r="X3581" t="inlineStr">
        <is>
          <t>acoa-apeca</t>
        </is>
      </c>
      <c r="Y3581" t="inlineStr">
        <is>
          <t>Atlantic Canada Opportunities Agency | Agence de promotion économique du Canada atlantique</t>
        </is>
      </c>
      <c r="Z3581" t="n">
        <v>1</v>
      </c>
      <c r="AA3581" t="n">
        <v>545.49</v>
      </c>
      <c r="AB3581">
        <f>ROUND(U3581-AA3581,2)</f>
        <v/>
      </c>
      <c r="AC3581" t="b">
        <v>0</v>
      </c>
      <c r="AD3581">
        <f>IF(U3581="","MISSING_TOTAL",IF(ABS(AB3581)&lt;=0.01,"OK","CHECK"))</f>
        <v/>
      </c>
      <c r="AE3581">
        <f>IF(U3581="","MISSING",IF(AND(AA3581&gt;0,U3581/AA3581&gt;50),"POSSIBLE_SCALE_ERROR","OK"))</f>
        <v/>
      </c>
    </row>
    <row r="3582">
      <c r="A3582" t="inlineStr">
        <is>
          <t>T-2013-Q3-00067</t>
        </is>
      </c>
      <c r="B3582" t="inlineStr">
        <is>
          <t>SLE</t>
        </is>
      </c>
      <c r="C3582" t="inlineStr">
        <is>
          <t>Vice-President, Newfoundland and Labrador</t>
        </is>
      </c>
      <c r="D3582" t="inlineStr">
        <is>
          <t>Vice-président, Terre-Neuve-et-Labrador</t>
        </is>
      </c>
      <c r="E3582" t="inlineStr">
        <is>
          <t>Paul Mills</t>
        </is>
      </c>
      <c r="F3582" t="inlineStr">
        <is>
          <t>To participate in Executive Professional Development (2 days)</t>
        </is>
      </c>
      <c r="G3582" t="inlineStr">
        <is>
          <t>Participer à un cours de perfectionnement professionnel des cadres (deux jours)</t>
        </is>
      </c>
      <c r="H3582" s="1" t="n">
        <v>41213</v>
      </c>
      <c r="I3582" s="1" t="n">
        <v>41215</v>
      </c>
      <c r="J3582" t="inlineStr">
        <is>
          <t>Toronto, Ontario</t>
        </is>
      </c>
      <c r="K3582" t="inlineStr">
        <is>
          <t>Toronto (Ontario)</t>
        </is>
      </c>
      <c r="P3582" t="n">
        <v>1377.02</v>
      </c>
      <c r="Q3582" t="n">
        <v>178</v>
      </c>
      <c r="R3582" t="n">
        <v>350.3</v>
      </c>
      <c r="S3582" t="n">
        <v>236.8</v>
      </c>
      <c r="T3582" t="n">
        <v>10.53</v>
      </c>
      <c r="U3582" t="n">
        <v>2152.65</v>
      </c>
      <c r="X3582" t="inlineStr">
        <is>
          <t>acoa-apeca</t>
        </is>
      </c>
      <c r="Y3582" t="inlineStr">
        <is>
          <t>Atlantic Canada Opportunities Agency | Agence de promotion économique du Canada atlantique</t>
        </is>
      </c>
      <c r="Z3582" t="n">
        <v>3</v>
      </c>
      <c r="AA3582" t="n">
        <v>2152.65</v>
      </c>
      <c r="AB3582">
        <f>ROUND(U3582-AA3582,2)</f>
        <v/>
      </c>
      <c r="AC3582" t="b">
        <v>0</v>
      </c>
      <c r="AD3582">
        <f>IF(U3582="","MISSING_TOTAL",IF(ABS(AB3582)&lt;=0.01,"OK","CHECK"))</f>
        <v/>
      </c>
      <c r="AE3582">
        <f>IF(U3582="","MISSING",IF(AND(AA3582&gt;0,U3582/AA3582&gt;50),"POSSIBLE_SCALE_ERROR","OK"))</f>
        <v/>
      </c>
    </row>
    <row r="3583">
      <c r="A3583" t="inlineStr">
        <is>
          <t>T-2013-Q3-00066</t>
        </is>
      </c>
      <c r="B3583" t="inlineStr">
        <is>
          <t>SLE</t>
        </is>
      </c>
      <c r="C3583" t="inlineStr">
        <is>
          <t>Vice-President, Policy and Programs</t>
        </is>
      </c>
      <c r="D3583" t="inlineStr">
        <is>
          <t>Vice-président, Politiques et Programmes</t>
        </is>
      </c>
      <c r="E3583" t="inlineStr">
        <is>
          <t>Daryell Nowlan</t>
        </is>
      </c>
      <c r="F3583" t="inlineStr">
        <is>
          <t>Meeting with Government of Canada officials</t>
        </is>
      </c>
      <c r="G3583" t="inlineStr">
        <is>
          <t>Réunion avec des fonctionnaires du gouvernement du Canada</t>
        </is>
      </c>
      <c r="H3583" s="1" t="n">
        <v>41213</v>
      </c>
      <c r="I3583" s="1" t="n">
        <v>41214</v>
      </c>
      <c r="J3583" t="inlineStr">
        <is>
          <t>Ottawa, Ontario</t>
        </is>
      </c>
      <c r="K3583" t="inlineStr">
        <is>
          <t>Ottawa (Ontario)</t>
        </is>
      </c>
      <c r="P3583" t="n">
        <v>926.6</v>
      </c>
      <c r="Q3583" t="n">
        <v>120.58</v>
      </c>
      <c r="R3583" t="n">
        <v>177.41</v>
      </c>
      <c r="S3583" t="n">
        <v>146</v>
      </c>
      <c r="T3583" t="n">
        <v>0</v>
      </c>
      <c r="U3583" t="n">
        <v>1370.59</v>
      </c>
      <c r="X3583" t="inlineStr">
        <is>
          <t>acoa-apeca</t>
        </is>
      </c>
      <c r="Y3583" t="inlineStr">
        <is>
          <t>Atlantic Canada Opportunities Agency | Agence de promotion économique du Canada atlantique</t>
        </is>
      </c>
      <c r="Z3583" t="n">
        <v>2</v>
      </c>
      <c r="AA3583" t="n">
        <v>1370.59</v>
      </c>
      <c r="AB3583">
        <f>ROUND(U3583-AA3583,2)</f>
        <v/>
      </c>
      <c r="AC3583" t="b">
        <v>0</v>
      </c>
      <c r="AD3583">
        <f>IF(U3583="","MISSING_TOTAL",IF(ABS(AB3583)&lt;=0.01,"OK","CHECK"))</f>
        <v/>
      </c>
      <c r="AE3583">
        <f>IF(U3583="","MISSING",IF(AND(AA3583&gt;0,U3583/AA3583&gt;50),"POSSIBLE_SCALE_ERROR","OK"))</f>
        <v/>
      </c>
    </row>
    <row r="3584">
      <c r="A3584" t="inlineStr">
        <is>
          <t>T-2013-Q3-00065</t>
        </is>
      </c>
      <c r="B3584" t="inlineStr">
        <is>
          <t>SLE</t>
        </is>
      </c>
      <c r="C3584" t="inlineStr">
        <is>
          <t>Vice President, Nova Scotia</t>
        </is>
      </c>
      <c r="D3584" t="inlineStr">
        <is>
          <t>Vice-président, Nouvelle-Écosse</t>
        </is>
      </c>
      <c r="E3584" t="inlineStr">
        <is>
          <t>Peter Hogan</t>
        </is>
      </c>
      <c r="F3584" t="inlineStr">
        <is>
          <t>Atlantic Gateway Federal Provincial Officials Committee</t>
        </is>
      </c>
      <c r="G3584" t="inlineStr">
        <is>
          <t>Comité des représentants fédéraux-provinciaux de la Porte de l'Atlantique</t>
        </is>
      </c>
      <c r="H3584" s="1" t="n">
        <v>41212</v>
      </c>
      <c r="I3584" s="1" t="n">
        <v>41213</v>
      </c>
      <c r="J3584" t="inlineStr">
        <is>
          <t>St. John's, Newfoundland</t>
        </is>
      </c>
      <c r="K3584" t="inlineStr">
        <is>
          <t>St. John's (Terre-Neuve-et-Labrador)</t>
        </is>
      </c>
      <c r="P3584" t="n">
        <v>236.56</v>
      </c>
      <c r="Q3584" t="n">
        <v>92.2</v>
      </c>
      <c r="R3584" t="n">
        <v>207.64</v>
      </c>
      <c r="S3584" t="n">
        <v>91.40000000000001</v>
      </c>
      <c r="T3584" t="n">
        <v>0</v>
      </c>
      <c r="U3584" t="n">
        <v>627.8</v>
      </c>
      <c r="X3584" t="inlineStr">
        <is>
          <t>acoa-apeca</t>
        </is>
      </c>
      <c r="Y3584" t="inlineStr">
        <is>
          <t>Atlantic Canada Opportunities Agency | Agence de promotion économique du Canada atlantique</t>
        </is>
      </c>
      <c r="Z3584" t="n">
        <v>2</v>
      </c>
      <c r="AA3584" t="n">
        <v>627.8</v>
      </c>
      <c r="AB3584">
        <f>ROUND(U3584-AA3584,2)</f>
        <v/>
      </c>
      <c r="AC3584" t="b">
        <v>0</v>
      </c>
      <c r="AD3584">
        <f>IF(U3584="","MISSING_TOTAL",IF(ABS(AB3584)&lt;=0.01,"OK","CHECK"))</f>
        <v/>
      </c>
      <c r="AE3584">
        <f>IF(U3584="","MISSING",IF(AND(AA3584&gt;0,U3584/AA3584&gt;50),"POSSIBLE_SCALE_ERROR","OK"))</f>
        <v/>
      </c>
    </row>
    <row r="3585">
      <c r="A3585" t="inlineStr">
        <is>
          <t>T-2013-Q3-00063</t>
        </is>
      </c>
      <c r="B3585" t="inlineStr">
        <is>
          <t>SLE</t>
        </is>
      </c>
      <c r="C3585" t="inlineStr">
        <is>
          <t>President</t>
        </is>
      </c>
      <c r="D3585" t="inlineStr">
        <is>
          <t>Président</t>
        </is>
      </c>
      <c r="E3585" t="inlineStr">
        <is>
          <t>Paul J. LeBlanc</t>
        </is>
      </c>
      <c r="F3585" t="inlineStr">
        <is>
          <t>For various meetings and discussions with Government of Canada officials</t>
        </is>
      </c>
      <c r="G3585" t="inlineStr">
        <is>
          <t>Diverses réunions et discussions avec des fonctionnaires du gouvernement du Canada</t>
        </is>
      </c>
      <c r="H3585" s="1" t="n">
        <v>41212</v>
      </c>
      <c r="I3585" s="1" t="n">
        <v>41215</v>
      </c>
      <c r="J3585" t="inlineStr">
        <is>
          <t>Ottawa, Ontario</t>
        </is>
      </c>
      <c r="K3585" t="inlineStr">
        <is>
          <t>Ottawa (Ontario)</t>
        </is>
      </c>
      <c r="P3585" t="n">
        <v>873.46</v>
      </c>
      <c r="Q3585" t="n">
        <v>12.74</v>
      </c>
      <c r="R3585" t="n">
        <v>539.01</v>
      </c>
      <c r="S3585" t="n">
        <v>254.1</v>
      </c>
      <c r="T3585" t="n">
        <v>158</v>
      </c>
      <c r="U3585" t="n">
        <v>1837.31</v>
      </c>
      <c r="X3585" t="inlineStr">
        <is>
          <t>acoa-apeca</t>
        </is>
      </c>
      <c r="Y3585" t="inlineStr">
        <is>
          <t>Atlantic Canada Opportunities Agency | Agence de promotion économique du Canada atlantique</t>
        </is>
      </c>
      <c r="Z3585" t="n">
        <v>4</v>
      </c>
      <c r="AA3585" t="n">
        <v>1837.31</v>
      </c>
      <c r="AB3585">
        <f>ROUND(U3585-AA3585,2)</f>
        <v/>
      </c>
      <c r="AC3585" t="b">
        <v>0</v>
      </c>
      <c r="AD3585">
        <f>IF(U3585="","MISSING_TOTAL",IF(ABS(AB3585)&lt;=0.01,"OK","CHECK"))</f>
        <v/>
      </c>
      <c r="AE3585">
        <f>IF(U3585="","MISSING",IF(AND(AA3585&gt;0,U3585/AA3585&gt;50),"POSSIBLE_SCALE_ERROR","OK"))</f>
        <v/>
      </c>
    </row>
    <row r="3586">
      <c r="A3586" t="inlineStr">
        <is>
          <t>T-2013-Q3-00062</t>
        </is>
      </c>
      <c r="B3586" t="inlineStr">
        <is>
          <t>SLE</t>
        </is>
      </c>
      <c r="C3586" t="inlineStr">
        <is>
          <t>Vice-President, Finance and Corporate Services</t>
        </is>
      </c>
      <c r="D3586" t="inlineStr">
        <is>
          <t>Vice-présidente, Finances et Services corporatifs</t>
        </is>
      </c>
      <c r="E3586" t="inlineStr">
        <is>
          <t>Denise Frenette</t>
        </is>
      </c>
      <c r="F3586" t="inlineStr">
        <is>
          <t>Meetings with Government of Canada Officials and Agency Officials</t>
        </is>
      </c>
      <c r="G3586" t="inlineStr">
        <is>
          <t>Réunions avec des fonctionnaires du gouvernement du Canada et de l'Agence</t>
        </is>
      </c>
      <c r="H3586" s="1" t="n">
        <v>41212</v>
      </c>
      <c r="I3586" s="1" t="n">
        <v>41215</v>
      </c>
      <c r="J3586" t="inlineStr">
        <is>
          <t>Ottawa, Ontario</t>
        </is>
      </c>
      <c r="K3586" t="inlineStr">
        <is>
          <t>Ottawa (Ontario)</t>
        </is>
      </c>
      <c r="P3586" t="n">
        <v>723.22</v>
      </c>
      <c r="Q3586" t="n">
        <v>99.23</v>
      </c>
      <c r="R3586" t="n">
        <v>532.23</v>
      </c>
      <c r="S3586" t="n">
        <v>208.1</v>
      </c>
      <c r="T3586" t="n">
        <v>0</v>
      </c>
      <c r="U3586" t="n">
        <v>1562.78</v>
      </c>
      <c r="X3586" t="inlineStr">
        <is>
          <t>acoa-apeca</t>
        </is>
      </c>
      <c r="Y3586" t="inlineStr">
        <is>
          <t>Atlantic Canada Opportunities Agency | Agence de promotion économique du Canada atlantique</t>
        </is>
      </c>
      <c r="Z3586" t="n">
        <v>4</v>
      </c>
      <c r="AA3586" t="n">
        <v>1562.78</v>
      </c>
      <c r="AB3586">
        <f>ROUND(U3586-AA3586,2)</f>
        <v/>
      </c>
      <c r="AC3586" t="b">
        <v>0</v>
      </c>
      <c r="AD3586">
        <f>IF(U3586="","MISSING_TOTAL",IF(ABS(AB3586)&lt;=0.01,"OK","CHECK"))</f>
        <v/>
      </c>
      <c r="AE3586">
        <f>IF(U3586="","MISSING",IF(AND(AA3586&gt;0,U3586/AA3586&gt;50),"POSSIBLE_SCALE_ERROR","OK"))</f>
        <v/>
      </c>
    </row>
    <row r="3587">
      <c r="A3587" t="inlineStr">
        <is>
          <t>T-2013-Q3-00061</t>
        </is>
      </c>
      <c r="B3587" t="inlineStr">
        <is>
          <t>MPSES</t>
        </is>
      </c>
      <c r="C3587" t="inlineStr">
        <is>
          <t>Chief of Staff</t>
        </is>
      </c>
      <c r="D3587" t="inlineStr">
        <is>
          <t>Chef de cabinet</t>
        </is>
      </c>
      <c r="E3587" t="inlineStr">
        <is>
          <t>Jacques Fauteux</t>
        </is>
      </c>
      <c r="F3587" t="inlineStr">
        <is>
          <t>Travel for various Atlantic Canada Opportunities Agency meetings (amounts have been reduced from previously published numbers to reflect airline rebates.  The airline provided these rebates after travel had occurred.)</t>
        </is>
      </c>
      <c r="G3587" t="inlineStr">
        <is>
          <t>Voyage pour diverses réunions de l'APECA (Les chiffres publiés antérieurement ont été réduits pour refléter des rabais sur les tarifs aériens. Le transporteur aérien a offert ces rabais après le voyage.)</t>
        </is>
      </c>
      <c r="H3587" s="1" t="n">
        <v>41207</v>
      </c>
      <c r="I3587" s="1" t="n">
        <v>41211</v>
      </c>
      <c r="J3587" t="inlineStr">
        <is>
          <t>Moncton and Fredericton, New Brunswick, Halifax, Nova Scotia and St. John's, Newfoundland</t>
        </is>
      </c>
      <c r="K3587" t="inlineStr">
        <is>
          <t>Moncton et Fredericton (Nouveau-Brunswick), Halifax (Nouvelle-Écosse) et St. John's (Terre-Neuve)</t>
        </is>
      </c>
      <c r="P3587" t="n">
        <v>1747.21</v>
      </c>
      <c r="Q3587" t="n">
        <v>575.3</v>
      </c>
      <c r="R3587" t="n">
        <v>111.87</v>
      </c>
      <c r="S3587" t="n">
        <v>121.4</v>
      </c>
      <c r="T3587" t="n">
        <v>0</v>
      </c>
      <c r="U3587" t="n">
        <v>2555.78</v>
      </c>
      <c r="X3587" t="inlineStr">
        <is>
          <t>acoa-apeca</t>
        </is>
      </c>
      <c r="Y3587" t="inlineStr">
        <is>
          <t>Atlantic Canada Opportunities Agency | Agence de promotion économique du Canada atlantique</t>
        </is>
      </c>
      <c r="Z3587" t="n">
        <v>5</v>
      </c>
      <c r="AA3587" t="n">
        <v>2555.78</v>
      </c>
      <c r="AB3587">
        <f>ROUND(U3587-AA3587,2)</f>
        <v/>
      </c>
      <c r="AC3587" t="b">
        <v>0</v>
      </c>
      <c r="AD3587">
        <f>IF(U3587="","MISSING_TOTAL",IF(ABS(AB3587)&lt;=0.01,"OK","CHECK"))</f>
        <v/>
      </c>
      <c r="AE3587">
        <f>IF(U3587="","MISSING",IF(AND(AA3587&gt;0,U3587/AA3587&gt;50),"POSSIBLE_SCALE_ERROR","OK"))</f>
        <v/>
      </c>
    </row>
    <row r="3588">
      <c r="A3588" t="inlineStr">
        <is>
          <t>T-2013-Q3-00060</t>
        </is>
      </c>
      <c r="B3588" t="inlineStr">
        <is>
          <t>SLE</t>
        </is>
      </c>
      <c r="C3588" t="inlineStr">
        <is>
          <t>Vice-President, Policy and Programs</t>
        </is>
      </c>
      <c r="D3588" t="inlineStr">
        <is>
          <t>Vice-président, Politiques et Programmes</t>
        </is>
      </c>
      <c r="E3588" t="inlineStr">
        <is>
          <t>Daryell Nowlan</t>
        </is>
      </c>
      <c r="F3588" t="inlineStr">
        <is>
          <t>Meeting with Government of Canada officials</t>
        </is>
      </c>
      <c r="G3588" t="inlineStr">
        <is>
          <t>Réunion avec des fonctionnaires du gouvernement du Canada</t>
        </is>
      </c>
      <c r="H3588" s="1" t="n">
        <v>41207</v>
      </c>
      <c r="I3588" s="1" t="n">
        <v>41208</v>
      </c>
      <c r="J3588" t="inlineStr">
        <is>
          <t>Charlottetown, Prince Edward Island</t>
        </is>
      </c>
      <c r="K3588" t="inlineStr">
        <is>
          <t>Charlottetown (Île-du-Prince-Édouard)</t>
        </is>
      </c>
      <c r="P3588" t="n">
        <v>0</v>
      </c>
      <c r="Q3588" t="n">
        <v>124.37</v>
      </c>
      <c r="R3588" t="n">
        <v>118.65</v>
      </c>
      <c r="S3588" t="n">
        <v>90.3</v>
      </c>
      <c r="T3588" t="n">
        <v>0</v>
      </c>
      <c r="U3588" t="n">
        <v>333.32</v>
      </c>
      <c r="X3588" t="inlineStr">
        <is>
          <t>acoa-apeca</t>
        </is>
      </c>
      <c r="Y3588" t="inlineStr">
        <is>
          <t>Atlantic Canada Opportunities Agency | Agence de promotion économique du Canada atlantique</t>
        </is>
      </c>
      <c r="Z3588" t="n">
        <v>2</v>
      </c>
      <c r="AA3588" t="n">
        <v>333.32</v>
      </c>
      <c r="AB3588">
        <f>ROUND(U3588-AA3588,2)</f>
        <v/>
      </c>
      <c r="AC3588" t="b">
        <v>0</v>
      </c>
      <c r="AD3588">
        <f>IF(U3588="","MISSING_TOTAL",IF(ABS(AB3588)&lt;=0.01,"OK","CHECK"))</f>
        <v/>
      </c>
      <c r="AE3588">
        <f>IF(U3588="","MISSING",IF(AND(AA3588&gt;0,U3588/AA3588&gt;50),"POSSIBLE_SCALE_ERROR","OK"))</f>
        <v/>
      </c>
    </row>
    <row r="3589">
      <c r="A3589" t="inlineStr">
        <is>
          <t>T-2013-Q3-00058</t>
        </is>
      </c>
      <c r="B3589" t="inlineStr">
        <is>
          <t>MPSES</t>
        </is>
      </c>
      <c r="C3589" t="inlineStr">
        <is>
          <t>Minister of State</t>
        </is>
      </c>
      <c r="D3589" t="inlineStr">
        <is>
          <t>Ministre d'État</t>
        </is>
      </c>
      <c r="E3589" t="inlineStr">
        <is>
          <t>Bernard Valcourt</t>
        </is>
      </c>
      <c r="F3589" t="inlineStr">
        <is>
          <t>Various meetings and speeches for the Government of Canada</t>
        </is>
      </c>
      <c r="G3589" t="inlineStr">
        <is>
          <t>Réunions et allocutions diverses pour le gouvernement du Canada</t>
        </is>
      </c>
      <c r="H3589" s="1" t="n">
        <v>41204</v>
      </c>
      <c r="I3589" s="1" t="n">
        <v>41205</v>
      </c>
      <c r="J3589" t="inlineStr">
        <is>
          <t>Halifax, Nova Scotia</t>
        </is>
      </c>
      <c r="K3589" t="inlineStr">
        <is>
          <t>Halifax (Nouvelle-Écosse)</t>
        </is>
      </c>
      <c r="P3589" t="n">
        <v>766.72</v>
      </c>
      <c r="Q3589" t="n">
        <v>0</v>
      </c>
      <c r="R3589" t="n">
        <v>166.57</v>
      </c>
      <c r="S3589" t="n">
        <v>106.4</v>
      </c>
      <c r="T3589" t="n">
        <v>0</v>
      </c>
      <c r="U3589" t="n">
        <v>1039.69</v>
      </c>
      <c r="X3589" t="inlineStr">
        <is>
          <t>acoa-apeca</t>
        </is>
      </c>
      <c r="Y3589" t="inlineStr">
        <is>
          <t>Atlantic Canada Opportunities Agency | Agence de promotion économique du Canada atlantique</t>
        </is>
      </c>
      <c r="Z3589" t="n">
        <v>2</v>
      </c>
      <c r="AA3589" t="n">
        <v>1039.69</v>
      </c>
      <c r="AB3589">
        <f>ROUND(U3589-AA3589,2)</f>
        <v/>
      </c>
      <c r="AC3589" t="b">
        <v>0</v>
      </c>
      <c r="AD3589">
        <f>IF(U3589="","MISSING_TOTAL",IF(ABS(AB3589)&lt;=0.01,"OK","CHECK"))</f>
        <v/>
      </c>
      <c r="AE3589">
        <f>IF(U3589="","MISSING",IF(AND(AA3589&gt;0,U3589/AA3589&gt;50),"POSSIBLE_SCALE_ERROR","OK"))</f>
        <v/>
      </c>
    </row>
    <row r="3590">
      <c r="A3590" t="inlineStr">
        <is>
          <t>T-2013-Q3-00057</t>
        </is>
      </c>
      <c r="B3590" t="inlineStr">
        <is>
          <t>SLE</t>
        </is>
      </c>
      <c r="C3590" t="inlineStr">
        <is>
          <t>Vice-President, Prince Edward Island</t>
        </is>
      </c>
      <c r="D3590" t="inlineStr">
        <is>
          <t>Vice-président, Île-du-Prince-Édouard</t>
        </is>
      </c>
      <c r="E3590" t="inlineStr">
        <is>
          <t>Patrick Dorsey</t>
        </is>
      </c>
      <c r="F3590" t="inlineStr">
        <is>
          <t>Meetings with ACOA Officials</t>
        </is>
      </c>
      <c r="G3590" t="inlineStr">
        <is>
          <t>Réunions avec des fonctionnaires de l'APECA</t>
        </is>
      </c>
      <c r="H3590" s="1" t="n">
        <v>41204</v>
      </c>
      <c r="I3590" s="1" t="n">
        <v>41206</v>
      </c>
      <c r="J3590" t="inlineStr">
        <is>
          <t>Ottawa, Ontario</t>
        </is>
      </c>
      <c r="K3590" t="inlineStr">
        <is>
          <t>Ottawa (Ontario)</t>
        </is>
      </c>
      <c r="P3590" t="n">
        <v>837.38</v>
      </c>
      <c r="Q3590" t="n">
        <v>70</v>
      </c>
      <c r="R3590" t="n">
        <v>354.82</v>
      </c>
      <c r="S3590" t="n">
        <v>236.8</v>
      </c>
      <c r="T3590" t="n">
        <v>0</v>
      </c>
      <c r="U3590" t="n">
        <v>1499</v>
      </c>
      <c r="X3590" t="inlineStr">
        <is>
          <t>acoa-apeca</t>
        </is>
      </c>
      <c r="Y3590" t="inlineStr">
        <is>
          <t>Atlantic Canada Opportunities Agency | Agence de promotion économique du Canada atlantique</t>
        </is>
      </c>
      <c r="Z3590" t="n">
        <v>3</v>
      </c>
      <c r="AA3590" t="n">
        <v>1499</v>
      </c>
      <c r="AB3590">
        <f>ROUND(U3590-AA3590,2)</f>
        <v/>
      </c>
      <c r="AC3590" t="b">
        <v>0</v>
      </c>
      <c r="AD3590">
        <f>IF(U3590="","MISSING_TOTAL",IF(ABS(AB3590)&lt;=0.01,"OK","CHECK"))</f>
        <v/>
      </c>
      <c r="AE3590">
        <f>IF(U3590="","MISSING",IF(AND(AA3590&gt;0,U3590/AA3590&gt;50),"POSSIBLE_SCALE_ERROR","OK"))</f>
        <v/>
      </c>
    </row>
    <row r="3591">
      <c r="A3591" t="inlineStr">
        <is>
          <t>T-2013-Q3-00056</t>
        </is>
      </c>
      <c r="B3591" t="inlineStr">
        <is>
          <t>SLE</t>
        </is>
      </c>
      <c r="C3591" t="inlineStr">
        <is>
          <t>Vice President, Nova Scotia</t>
        </is>
      </c>
      <c r="D3591" t="inlineStr">
        <is>
          <t>Vice-président, Nouvelle-Écosse</t>
        </is>
      </c>
      <c r="E3591" t="inlineStr">
        <is>
          <t>Peter Hogan</t>
        </is>
      </c>
      <c r="F3591" t="inlineStr">
        <is>
          <t>Persons with Disabilities Champions and Chairs Committee Meeting and Various Meetings with Agency Officials</t>
        </is>
      </c>
      <c r="G3591" t="inlineStr">
        <is>
          <t>Réunion du comité des champions et des présidents des personnes handicapées et diverses réunions avec des fonctionnaires de l'Agence</t>
        </is>
      </c>
      <c r="H3591" s="1" t="n">
        <v>41203</v>
      </c>
      <c r="I3591" s="1" t="n">
        <v>41204</v>
      </c>
      <c r="J3591" t="inlineStr">
        <is>
          <t>Ottawa, Ontario</t>
        </is>
      </c>
      <c r="K3591" t="inlineStr">
        <is>
          <t>Ottawa (Ontario)</t>
        </is>
      </c>
      <c r="P3591" t="n">
        <v>623.98</v>
      </c>
      <c r="Q3591" t="n">
        <v>145.2</v>
      </c>
      <c r="R3591" t="n">
        <v>177.41</v>
      </c>
      <c r="S3591" t="n">
        <v>147.7</v>
      </c>
      <c r="T3591" t="n">
        <v>0</v>
      </c>
      <c r="U3591" t="n">
        <v>1094.29</v>
      </c>
      <c r="X3591" t="inlineStr">
        <is>
          <t>acoa-apeca</t>
        </is>
      </c>
      <c r="Y3591" t="inlineStr">
        <is>
          <t>Atlantic Canada Opportunities Agency | Agence de promotion économique du Canada atlantique</t>
        </is>
      </c>
      <c r="Z3591" t="n">
        <v>2</v>
      </c>
      <c r="AA3591" t="n">
        <v>1094.29</v>
      </c>
      <c r="AB3591">
        <f>ROUND(U3591-AA3591,2)</f>
        <v/>
      </c>
      <c r="AC3591" t="b">
        <v>0</v>
      </c>
      <c r="AD3591">
        <f>IF(U3591="","MISSING_TOTAL",IF(ABS(AB3591)&lt;=0.01,"OK","CHECK"))</f>
        <v/>
      </c>
      <c r="AE3591">
        <f>IF(U3591="","MISSING",IF(AND(AA3591&gt;0,U3591/AA3591&gt;50),"POSSIBLE_SCALE_ERROR","OK"))</f>
        <v/>
      </c>
    </row>
    <row r="3592">
      <c r="A3592" t="inlineStr">
        <is>
          <t>T-2013-Q3-00055</t>
        </is>
      </c>
      <c r="B3592" t="inlineStr">
        <is>
          <t>SLE</t>
        </is>
      </c>
      <c r="C3592" t="inlineStr">
        <is>
          <t>President</t>
        </is>
      </c>
      <c r="D3592" t="inlineStr">
        <is>
          <t>Président</t>
        </is>
      </c>
      <c r="E3592" t="inlineStr">
        <is>
          <t>Paul J. LeBlanc</t>
        </is>
      </c>
      <c r="F3592" t="inlineStr">
        <is>
          <t>For meeting with Agency officials</t>
        </is>
      </c>
      <c r="G3592" t="inlineStr">
        <is>
          <t>Réunion avec des fonctionnaires de l'Agence</t>
        </is>
      </c>
      <c r="H3592" s="1" t="n">
        <v>41203</v>
      </c>
      <c r="I3592" s="1" t="n">
        <v>41204</v>
      </c>
      <c r="J3592" t="inlineStr">
        <is>
          <t>Ottawa, Ontario</t>
        </is>
      </c>
      <c r="K3592" t="inlineStr">
        <is>
          <t>Ottawa (Ontario)</t>
        </is>
      </c>
      <c r="P3592" t="n">
        <v>1114.36</v>
      </c>
      <c r="Q3592" t="n">
        <v>12.74</v>
      </c>
      <c r="R3592" t="n">
        <v>179.67</v>
      </c>
      <c r="S3592" t="n">
        <v>106.4</v>
      </c>
      <c r="T3592" t="n">
        <v>15</v>
      </c>
      <c r="U3592" t="n">
        <v>1428.17</v>
      </c>
      <c r="X3592" t="inlineStr">
        <is>
          <t>acoa-apeca</t>
        </is>
      </c>
      <c r="Y3592" t="inlineStr">
        <is>
          <t>Atlantic Canada Opportunities Agency | Agence de promotion économique du Canada atlantique</t>
        </is>
      </c>
      <c r="Z3592" t="n">
        <v>2</v>
      </c>
      <c r="AA3592" t="n">
        <v>1428.17</v>
      </c>
      <c r="AB3592">
        <f>ROUND(U3592-AA3592,2)</f>
        <v/>
      </c>
      <c r="AC3592" t="b">
        <v>0</v>
      </c>
      <c r="AD3592">
        <f>IF(U3592="","MISSING_TOTAL",IF(ABS(AB3592)&lt;=0.01,"OK","CHECK"))</f>
        <v/>
      </c>
      <c r="AE3592">
        <f>IF(U3592="","MISSING",IF(AND(AA3592&gt;0,U3592/AA3592&gt;50),"POSSIBLE_SCALE_ERROR","OK"))</f>
        <v/>
      </c>
    </row>
    <row r="3593">
      <c r="A3593" t="inlineStr">
        <is>
          <t>T-2013-Q3-00054</t>
        </is>
      </c>
      <c r="B3593" t="inlineStr">
        <is>
          <t>SLE</t>
        </is>
      </c>
      <c r="C3593" t="inlineStr">
        <is>
          <t>Vice-President, Prince Edward Island</t>
        </is>
      </c>
      <c r="D3593" t="inlineStr">
        <is>
          <t>Vice-président, Île-du-Prince-Édouard</t>
        </is>
      </c>
      <c r="E3593" t="inlineStr">
        <is>
          <t>Patrick Dorsey</t>
        </is>
      </c>
      <c r="F3593" t="inlineStr">
        <is>
          <t>Meetings with ACOA Officials</t>
        </is>
      </c>
      <c r="G3593" t="inlineStr">
        <is>
          <t>Réunions avec des fonctionnaires de l'APECA</t>
        </is>
      </c>
      <c r="H3593" s="1" t="n">
        <v>41199</v>
      </c>
      <c r="I3593" s="1" t="n">
        <v>41200</v>
      </c>
      <c r="J3593" t="inlineStr">
        <is>
          <t>Ottawa, Ontario</t>
        </is>
      </c>
      <c r="K3593" t="inlineStr">
        <is>
          <t>Ottawa (Ontario)</t>
        </is>
      </c>
      <c r="P3593" t="n">
        <v>649.0599999999999</v>
      </c>
      <c r="Q3593" t="n">
        <v>35</v>
      </c>
      <c r="R3593" t="n">
        <v>222.61</v>
      </c>
      <c r="S3593" t="n">
        <v>106.4</v>
      </c>
      <c r="T3593" t="n">
        <v>0</v>
      </c>
      <c r="U3593" t="n">
        <v>1013.07</v>
      </c>
      <c r="X3593" t="inlineStr">
        <is>
          <t>acoa-apeca</t>
        </is>
      </c>
      <c r="Y3593" t="inlineStr">
        <is>
          <t>Atlantic Canada Opportunities Agency | Agence de promotion économique du Canada atlantique</t>
        </is>
      </c>
      <c r="Z3593" t="n">
        <v>2</v>
      </c>
      <c r="AA3593" t="n">
        <v>1013.06999999999</v>
      </c>
      <c r="AB3593">
        <f>ROUND(U3593-AA3593,2)</f>
        <v/>
      </c>
      <c r="AC3593" t="b">
        <v>0</v>
      </c>
      <c r="AD3593">
        <f>IF(U3593="","MISSING_TOTAL",IF(ABS(AB3593)&lt;=0.01,"OK","CHECK"))</f>
        <v/>
      </c>
      <c r="AE3593">
        <f>IF(U3593="","MISSING",IF(AND(AA3593&gt;0,U3593/AA3593&gt;50),"POSSIBLE_SCALE_ERROR","OK"))</f>
        <v/>
      </c>
    </row>
    <row r="3594">
      <c r="A3594" t="inlineStr">
        <is>
          <t>T-2013-Q3-00053</t>
        </is>
      </c>
      <c r="B3594" t="inlineStr">
        <is>
          <t>SLE</t>
        </is>
      </c>
      <c r="C3594" t="inlineStr">
        <is>
          <t>Vice President, Nova Scotia</t>
        </is>
      </c>
      <c r="D3594" t="inlineStr">
        <is>
          <t>Vice-président, Nouvelle-Écosse</t>
        </is>
      </c>
      <c r="E3594" t="inlineStr">
        <is>
          <t>Peter Hogan</t>
        </is>
      </c>
      <c r="F3594" t="inlineStr">
        <is>
          <t>Community Outreach Visits to Southwest Nova Scotia</t>
        </is>
      </c>
      <c r="G3594" t="inlineStr">
        <is>
          <t>Visites de sensibilisation communautaire dans le sud-ouest de la Nouvelle-Écosse</t>
        </is>
      </c>
      <c r="H3594" s="1" t="n">
        <v>41198</v>
      </c>
      <c r="I3594" s="1" t="n">
        <v>41199</v>
      </c>
      <c r="J3594" t="inlineStr">
        <is>
          <t>Yarmouth, Nova Scotia</t>
        </is>
      </c>
      <c r="K3594" t="inlineStr">
        <is>
          <t>Yarmouth (Nouvelle-Écosse)</t>
        </is>
      </c>
      <c r="P3594" t="n">
        <v>0</v>
      </c>
      <c r="Q3594" t="n">
        <v>0</v>
      </c>
      <c r="R3594" t="n">
        <v>108.1</v>
      </c>
      <c r="S3594" t="n">
        <v>121.4</v>
      </c>
      <c r="T3594" t="n">
        <v>0</v>
      </c>
      <c r="U3594" t="n">
        <v>229.5</v>
      </c>
      <c r="X3594" t="inlineStr">
        <is>
          <t>acoa-apeca</t>
        </is>
      </c>
      <c r="Y3594" t="inlineStr">
        <is>
          <t>Atlantic Canada Opportunities Agency | Agence de promotion économique du Canada atlantique</t>
        </is>
      </c>
      <c r="Z3594" t="n">
        <v>2</v>
      </c>
      <c r="AA3594" t="n">
        <v>229.5</v>
      </c>
      <c r="AB3594">
        <f>ROUND(U3594-AA3594,2)</f>
        <v/>
      </c>
      <c r="AC3594" t="b">
        <v>0</v>
      </c>
      <c r="AD3594">
        <f>IF(U3594="","MISSING_TOTAL",IF(ABS(AB3594)&lt;=0.01,"OK","CHECK"))</f>
        <v/>
      </c>
      <c r="AE3594">
        <f>IF(U3594="","MISSING",IF(AND(AA3594&gt;0,U3594/AA3594&gt;50),"POSSIBLE_SCALE_ERROR","OK"))</f>
        <v/>
      </c>
    </row>
    <row r="3595">
      <c r="A3595" t="inlineStr">
        <is>
          <t>T-2013-Q3-00052</t>
        </is>
      </c>
      <c r="B3595" t="inlineStr">
        <is>
          <t>SLE</t>
        </is>
      </c>
      <c r="C3595" t="inlineStr">
        <is>
          <t>President</t>
        </is>
      </c>
      <c r="D3595" t="inlineStr">
        <is>
          <t>Président</t>
        </is>
      </c>
      <c r="E3595" t="inlineStr">
        <is>
          <t>Paul J. LeBlanc</t>
        </is>
      </c>
      <c r="F3595" t="inlineStr">
        <is>
          <t>For various meetings and discussions with Agency officials and Government of Canada officials</t>
        </is>
      </c>
      <c r="G3595" t="inlineStr">
        <is>
          <t>Diverses réunions et discussions avec des fonctionnaires de l'Agence et du gouvernement du Canada</t>
        </is>
      </c>
      <c r="H3595" s="1" t="n">
        <v>41198</v>
      </c>
      <c r="I3595" s="1" t="n">
        <v>41201</v>
      </c>
      <c r="J3595" t="inlineStr">
        <is>
          <t>Ottawa, Ontario</t>
        </is>
      </c>
      <c r="K3595" t="inlineStr">
        <is>
          <t>Ottawa (Ontario)</t>
        </is>
      </c>
      <c r="P3595" t="n">
        <v>741.36</v>
      </c>
      <c r="Q3595" t="n">
        <v>12.74</v>
      </c>
      <c r="R3595" t="n">
        <v>539.01</v>
      </c>
      <c r="S3595" t="n">
        <v>310.4</v>
      </c>
      <c r="T3595" t="n">
        <v>173</v>
      </c>
      <c r="U3595" t="n">
        <v>1776.51</v>
      </c>
      <c r="X3595" t="inlineStr">
        <is>
          <t>acoa-apeca</t>
        </is>
      </c>
      <c r="Y3595" t="inlineStr">
        <is>
          <t>Atlantic Canada Opportunities Agency | Agence de promotion économique du Canada atlantique</t>
        </is>
      </c>
      <c r="Z3595" t="n">
        <v>4</v>
      </c>
      <c r="AA3595" t="n">
        <v>1776.51</v>
      </c>
      <c r="AB3595">
        <f>ROUND(U3595-AA3595,2)</f>
        <v/>
      </c>
      <c r="AC3595" t="b">
        <v>0</v>
      </c>
      <c r="AD3595">
        <f>IF(U3595="","MISSING_TOTAL",IF(ABS(AB3595)&lt;=0.01,"OK","CHECK"))</f>
        <v/>
      </c>
      <c r="AE3595">
        <f>IF(U3595="","MISSING",IF(AND(AA3595&gt;0,U3595/AA3595&gt;50),"POSSIBLE_SCALE_ERROR","OK"))</f>
        <v/>
      </c>
    </row>
    <row r="3596">
      <c r="A3596" t="inlineStr">
        <is>
          <t>T-2013-Q3-00051</t>
        </is>
      </c>
      <c r="B3596" t="inlineStr">
        <is>
          <t>SLE</t>
        </is>
      </c>
      <c r="C3596" t="inlineStr">
        <is>
          <t>Vice-President, Policy and Programs</t>
        </is>
      </c>
      <c r="D3596" t="inlineStr">
        <is>
          <t>Vice-président, Politiques et Programmes</t>
        </is>
      </c>
      <c r="E3596" t="inlineStr">
        <is>
          <t>Daryell Nowlan</t>
        </is>
      </c>
      <c r="F3596" t="inlineStr">
        <is>
          <t>Meeting with Goverment of Canada officials</t>
        </is>
      </c>
      <c r="G3596" t="inlineStr">
        <is>
          <t>Réunion avec des fonctionnaires du gouvernement du Canada</t>
        </is>
      </c>
      <c r="H3596" s="1" t="n">
        <v>41198</v>
      </c>
      <c r="I3596" s="1" t="n">
        <v>41199</v>
      </c>
      <c r="J3596" t="inlineStr">
        <is>
          <t>Ottawa, Ontario</t>
        </is>
      </c>
      <c r="K3596" t="inlineStr">
        <is>
          <t>Ottawa (Ontario)</t>
        </is>
      </c>
      <c r="P3596" t="n">
        <v>1000</v>
      </c>
      <c r="Q3596" t="n">
        <v>144.58</v>
      </c>
      <c r="R3596" t="n">
        <v>177.41</v>
      </c>
      <c r="S3596" t="n">
        <v>131.15</v>
      </c>
      <c r="T3596" t="n">
        <v>0</v>
      </c>
      <c r="U3596" t="n">
        <v>1453.14</v>
      </c>
      <c r="X3596" t="inlineStr">
        <is>
          <t>acoa-apeca</t>
        </is>
      </c>
      <c r="Y3596" t="inlineStr">
        <is>
          <t>Atlantic Canada Opportunities Agency | Agence de promotion économique du Canada atlantique</t>
        </is>
      </c>
      <c r="Z3596" t="n">
        <v>2</v>
      </c>
      <c r="AA3596" t="n">
        <v>1453.14</v>
      </c>
      <c r="AB3596">
        <f>ROUND(U3596-AA3596,2)</f>
        <v/>
      </c>
      <c r="AC3596" t="b">
        <v>0</v>
      </c>
      <c r="AD3596">
        <f>IF(U3596="","MISSING_TOTAL",IF(ABS(AB3596)&lt;=0.01,"OK","CHECK"))</f>
        <v/>
      </c>
      <c r="AE3596">
        <f>IF(U3596="","MISSING",IF(AND(AA3596&gt;0,U3596/AA3596&gt;50),"POSSIBLE_SCALE_ERROR","OK"))</f>
        <v/>
      </c>
    </row>
    <row r="3597">
      <c r="A3597" t="inlineStr">
        <is>
          <t>T-2013-Q3-00050</t>
        </is>
      </c>
      <c r="B3597" t="inlineStr">
        <is>
          <t>SLE</t>
        </is>
      </c>
      <c r="C3597" t="inlineStr">
        <is>
          <t>Vice President, Nova Scotia</t>
        </is>
      </c>
      <c r="D3597" t="inlineStr">
        <is>
          <t>Vice-président, Nouvelle-Écosse</t>
        </is>
      </c>
      <c r="E3597" t="inlineStr">
        <is>
          <t>Peter Hogan</t>
        </is>
      </c>
      <c r="F3597" t="inlineStr">
        <is>
          <t>Meeting with Agency Officials</t>
        </is>
      </c>
      <c r="G3597" t="inlineStr">
        <is>
          <t>Réunion avec des fonctionnaires de l'Agence</t>
        </is>
      </c>
      <c r="H3597" s="1" t="n">
        <v>41193</v>
      </c>
      <c r="I3597" s="1" t="n">
        <v>41193</v>
      </c>
      <c r="J3597" t="inlineStr">
        <is>
          <t>Moncton, New Brunswick</t>
        </is>
      </c>
      <c r="K3597" t="inlineStr">
        <is>
          <t>Moncton (Nouveau-Brunswick)</t>
        </is>
      </c>
      <c r="P3597" t="n">
        <v>0</v>
      </c>
      <c r="Q3597" t="n">
        <v>259.88</v>
      </c>
      <c r="R3597" t="n">
        <v>0</v>
      </c>
      <c r="S3597" t="n">
        <v>41.3</v>
      </c>
      <c r="T3597" t="n">
        <v>0</v>
      </c>
      <c r="U3597" t="n">
        <v>301.18</v>
      </c>
      <c r="X3597" t="inlineStr">
        <is>
          <t>acoa-apeca</t>
        </is>
      </c>
      <c r="Y3597" t="inlineStr">
        <is>
          <t>Atlantic Canada Opportunities Agency | Agence de promotion économique du Canada atlantique</t>
        </is>
      </c>
      <c r="Z3597" t="n">
        <v>1</v>
      </c>
      <c r="AA3597" t="n">
        <v>301.18</v>
      </c>
      <c r="AB3597">
        <f>ROUND(U3597-AA3597,2)</f>
        <v/>
      </c>
      <c r="AC3597" t="b">
        <v>0</v>
      </c>
      <c r="AD3597">
        <f>IF(U3597="","MISSING_TOTAL",IF(ABS(AB3597)&lt;=0.01,"OK","CHECK"))</f>
        <v/>
      </c>
      <c r="AE3597">
        <f>IF(U3597="","MISSING",IF(AND(AA3597&gt;0,U3597/AA3597&gt;50),"POSSIBLE_SCALE_ERROR","OK"))</f>
        <v/>
      </c>
    </row>
    <row r="3598">
      <c r="A3598" t="inlineStr">
        <is>
          <t>T-2013-Q3-00047</t>
        </is>
      </c>
      <c r="B3598" t="inlineStr">
        <is>
          <t>SLE</t>
        </is>
      </c>
      <c r="C3598" t="inlineStr">
        <is>
          <t>Vice-President, Prince Edward Island</t>
        </is>
      </c>
      <c r="D3598" t="inlineStr">
        <is>
          <t>Vice-président, Île-du-Prince-Édouard</t>
        </is>
      </c>
      <c r="E3598" t="inlineStr">
        <is>
          <t>Patrick Dorsey</t>
        </is>
      </c>
      <c r="F3598" t="inlineStr">
        <is>
          <t>Meeting with ACOA Officials</t>
        </is>
      </c>
      <c r="G3598" t="inlineStr">
        <is>
          <t>Réunion avec des fonctionnaires de l'APECA</t>
        </is>
      </c>
      <c r="H3598" s="1" t="n">
        <v>41192</v>
      </c>
      <c r="I3598" s="1" t="n">
        <v>41194</v>
      </c>
      <c r="J3598" t="inlineStr">
        <is>
          <t>Moncton, New Brunswick</t>
        </is>
      </c>
      <c r="K3598" t="inlineStr">
        <is>
          <t>Moncton (Nouveau-Brunswick)</t>
        </is>
      </c>
      <c r="P3598" t="n">
        <v>0</v>
      </c>
      <c r="Q3598" t="n">
        <v>44.25</v>
      </c>
      <c r="R3598" t="n">
        <v>268.94</v>
      </c>
      <c r="S3598" t="n">
        <v>165.5</v>
      </c>
      <c r="T3598" t="n">
        <v>0</v>
      </c>
      <c r="U3598" t="n">
        <v>478.69</v>
      </c>
      <c r="X3598" t="inlineStr">
        <is>
          <t>acoa-apeca</t>
        </is>
      </c>
      <c r="Y3598" t="inlineStr">
        <is>
          <t>Atlantic Canada Opportunities Agency | Agence de promotion économique du Canada atlantique</t>
        </is>
      </c>
      <c r="Z3598" t="n">
        <v>3</v>
      </c>
      <c r="AA3598" t="n">
        <v>478.69</v>
      </c>
      <c r="AB3598">
        <f>ROUND(U3598-AA3598,2)</f>
        <v/>
      </c>
      <c r="AC3598" t="b">
        <v>0</v>
      </c>
      <c r="AD3598">
        <f>IF(U3598="","MISSING_TOTAL",IF(ABS(AB3598)&lt;=0.01,"OK","CHECK"))</f>
        <v/>
      </c>
      <c r="AE3598">
        <f>IF(U3598="","MISSING",IF(AND(AA3598&gt;0,U3598/AA3598&gt;50),"POSSIBLE_SCALE_ERROR","OK"))</f>
        <v/>
      </c>
    </row>
    <row r="3599">
      <c r="A3599" t="inlineStr">
        <is>
          <t>T-2013-Q3-00039</t>
        </is>
      </c>
      <c r="B3599" t="inlineStr">
        <is>
          <t>SLE</t>
        </is>
      </c>
      <c r="C3599" t="inlineStr">
        <is>
          <t>Vice-President, Prince Edward Island</t>
        </is>
      </c>
      <c r="D3599" t="inlineStr">
        <is>
          <t>Vice-président, Île-du-Prince-Édouard</t>
        </is>
      </c>
      <c r="E3599" t="inlineStr">
        <is>
          <t>Patrick Dorsey</t>
        </is>
      </c>
      <c r="F3599" t="inlineStr">
        <is>
          <t>Meeting with ACTP Management Committee</t>
        </is>
      </c>
      <c r="G3599" t="inlineStr">
        <is>
          <t>Réunion avec le comité de gestion du PTCA</t>
        </is>
      </c>
      <c r="H3599" s="1" t="n">
        <v>41184</v>
      </c>
      <c r="I3599" s="1" t="n">
        <v>41185</v>
      </c>
      <c r="J3599" t="inlineStr">
        <is>
          <t>St. John's, Newfoundland and Labrador</t>
        </is>
      </c>
      <c r="K3599" t="inlineStr">
        <is>
          <t>St. John's (Terre-Neuve-et-Labrador)</t>
        </is>
      </c>
      <c r="P3599" t="n">
        <v>1678.22</v>
      </c>
      <c r="Q3599" t="n">
        <v>38</v>
      </c>
      <c r="R3599" t="n">
        <v>230.84</v>
      </c>
      <c r="S3599" t="n">
        <v>162.7</v>
      </c>
      <c r="T3599" t="n">
        <v>0</v>
      </c>
      <c r="U3599" t="n">
        <v>2109.76</v>
      </c>
      <c r="X3599" t="inlineStr">
        <is>
          <t>acoa-apeca</t>
        </is>
      </c>
      <c r="Y3599" t="inlineStr">
        <is>
          <t>Atlantic Canada Opportunities Agency | Agence de promotion économique du Canada atlantique</t>
        </is>
      </c>
      <c r="Z3599" t="n">
        <v>2</v>
      </c>
      <c r="AA3599" t="n">
        <v>2109.75999999999</v>
      </c>
      <c r="AB3599">
        <f>ROUND(U3599-AA3599,2)</f>
        <v/>
      </c>
      <c r="AC3599" t="b">
        <v>0</v>
      </c>
      <c r="AD3599">
        <f>IF(U3599="","MISSING_TOTAL",IF(ABS(AB3599)&lt;=0.01,"OK","CHECK"))</f>
        <v/>
      </c>
      <c r="AE3599">
        <f>IF(U3599="","MISSING",IF(AND(AA3599&gt;0,U3599/AA3599&gt;50),"POSSIBLE_SCALE_ERROR","OK"))</f>
        <v/>
      </c>
    </row>
    <row r="3600">
      <c r="A3600" t="inlineStr">
        <is>
          <t>T-2013-Q3-00046</t>
        </is>
      </c>
      <c r="B3600" t="inlineStr">
        <is>
          <t>SLE</t>
        </is>
      </c>
      <c r="C3600" t="inlineStr">
        <is>
          <t>Vice-President, Newfoundland and Labrador</t>
        </is>
      </c>
      <c r="D3600" t="inlineStr">
        <is>
          <t>Vice-président, Terre-Neuve-et-Labrador</t>
        </is>
      </c>
      <c r="E3600" t="inlineStr">
        <is>
          <t>Paul Mills</t>
        </is>
      </c>
      <c r="F3600" t="inlineStr">
        <is>
          <t>To attend an Executive Committee meeting in Moncton, October 10-12, 2012</t>
        </is>
      </c>
      <c r="G3600" t="inlineStr">
        <is>
          <t>Assister à une réunion du Comité de direction à Moncton du 10 au 12 octobre 2012</t>
        </is>
      </c>
      <c r="H3600" s="1" t="n">
        <v>41192</v>
      </c>
      <c r="I3600" s="1" t="n">
        <v>41194</v>
      </c>
      <c r="J3600" t="inlineStr">
        <is>
          <t>Moncton, New Brunswick</t>
        </is>
      </c>
      <c r="K3600" t="inlineStr">
        <is>
          <t>Moncton (Nouveau-Brunswick)</t>
        </is>
      </c>
      <c r="P3600" t="n">
        <v>1368.14</v>
      </c>
      <c r="Q3600" t="n">
        <v>286.79</v>
      </c>
      <c r="R3600" t="n">
        <v>309.25</v>
      </c>
      <c r="S3600" t="n">
        <v>195.5</v>
      </c>
      <c r="T3600" t="n">
        <v>6.93</v>
      </c>
      <c r="U3600" t="n">
        <v>2166.61</v>
      </c>
      <c r="X3600" t="inlineStr">
        <is>
          <t>acoa-apeca</t>
        </is>
      </c>
      <c r="Y3600" t="inlineStr">
        <is>
          <t>Atlantic Canada Opportunities Agency | Agence de promotion économique du Canada atlantique</t>
        </is>
      </c>
      <c r="Z3600" t="n">
        <v>3</v>
      </c>
      <c r="AA3600" t="n">
        <v>2166.61</v>
      </c>
      <c r="AB3600">
        <f>ROUND(U3600-AA3600,2)</f>
        <v/>
      </c>
      <c r="AC3600" t="b">
        <v>0</v>
      </c>
      <c r="AD3600">
        <f>IF(U3600="","MISSING_TOTAL",IF(ABS(AB3600)&lt;=0.01,"OK","CHECK"))</f>
        <v/>
      </c>
      <c r="AE3600">
        <f>IF(U3600="","MISSING",IF(AND(AA3600&gt;0,U3600/AA3600&gt;50),"POSSIBLE_SCALE_ERROR","OK"))</f>
        <v/>
      </c>
    </row>
    <row r="3601">
      <c r="A3601" t="inlineStr">
        <is>
          <t>T-2013-Q3-00045</t>
        </is>
      </c>
      <c r="B3601" t="inlineStr">
        <is>
          <t>SLE</t>
        </is>
      </c>
      <c r="C3601" t="inlineStr">
        <is>
          <t>Vice-President, Newfoundland and Labrador</t>
        </is>
      </c>
      <c r="D3601" t="inlineStr">
        <is>
          <t>Vice-président, Terre-Neuve-et-Labrador</t>
        </is>
      </c>
      <c r="E3601" t="inlineStr">
        <is>
          <t>Paul Mills</t>
        </is>
      </c>
      <c r="F3601" t="inlineStr">
        <is>
          <t>To attend an Executive Committee meeting in Moncton, October 10-12, 2012</t>
        </is>
      </c>
      <c r="G3601" t="inlineStr">
        <is>
          <t>Assister à une réunion du Comité de direction à Moncton du 10 au 12 octobre 2012</t>
        </is>
      </c>
      <c r="H3601" s="1" t="n">
        <v>41192</v>
      </c>
      <c r="I3601" s="1" t="n">
        <v>41194</v>
      </c>
      <c r="J3601" t="inlineStr">
        <is>
          <t>Moncton, New Brunswick</t>
        </is>
      </c>
      <c r="K3601" t="inlineStr">
        <is>
          <t>Moncton (Nouveau-Brunswick)</t>
        </is>
      </c>
      <c r="P3601" t="n">
        <v>1368.14</v>
      </c>
      <c r="Q3601" t="n">
        <v>286.79</v>
      </c>
      <c r="R3601" t="n">
        <v>309.25</v>
      </c>
      <c r="S3601" t="n">
        <v>195.5</v>
      </c>
      <c r="T3601" t="n">
        <v>6.93</v>
      </c>
      <c r="U3601" t="n">
        <v>2166.61</v>
      </c>
      <c r="X3601" t="inlineStr">
        <is>
          <t>acoa-apeca</t>
        </is>
      </c>
      <c r="Y3601" t="inlineStr">
        <is>
          <t>Atlantic Canada Opportunities Agency | Agence de promotion économique du Canada atlantique</t>
        </is>
      </c>
      <c r="Z3601" t="n">
        <v>3</v>
      </c>
      <c r="AA3601" t="n">
        <v>2166.61</v>
      </c>
      <c r="AB3601">
        <f>ROUND(U3601-AA3601,2)</f>
        <v/>
      </c>
      <c r="AC3601" t="b">
        <v>0</v>
      </c>
      <c r="AD3601">
        <f>IF(U3601="","MISSING_TOTAL",IF(ABS(AB3601)&lt;=0.01,"OK","CHECK"))</f>
        <v/>
      </c>
      <c r="AE3601">
        <f>IF(U3601="","MISSING",IF(AND(AA3601&gt;0,U3601/AA3601&gt;50),"POSSIBLE_SCALE_ERROR","OK"))</f>
        <v/>
      </c>
    </row>
    <row r="3602">
      <c r="A3602" t="inlineStr">
        <is>
          <t>T-2013-Q3-00044</t>
        </is>
      </c>
      <c r="B3602" t="inlineStr">
        <is>
          <t>MPSES</t>
        </is>
      </c>
      <c r="C3602" t="inlineStr">
        <is>
          <t>Senior Policy Advisor</t>
        </is>
      </c>
      <c r="D3602" t="inlineStr">
        <is>
          <t>Conseiller principal en politiques</t>
        </is>
      </c>
      <c r="E3602" t="inlineStr">
        <is>
          <t>Benoit Violette</t>
        </is>
      </c>
      <c r="F3602" t="inlineStr">
        <is>
          <t>Travel to accompany Minister to the Francophonie Summit and to Dublin, Ireland</t>
        </is>
      </c>
      <c r="G3602" t="inlineStr">
        <is>
          <t>Voyage pour accompagner le ministre au Sommet de la Francophonie et à Dublin, en Irlande</t>
        </is>
      </c>
      <c r="H3602" s="1" t="n">
        <v>41191</v>
      </c>
      <c r="I3602" s="1" t="n">
        <v>41199</v>
      </c>
      <c r="J3602" t="inlineStr">
        <is>
          <t>Kinshasa, Congo and Dublin, Ireland</t>
        </is>
      </c>
      <c r="K3602" t="inlineStr">
        <is>
          <t>Kinshasa (Congo) et Dublin (Irlande)</t>
        </is>
      </c>
      <c r="P3602" t="n">
        <v>2688.86</v>
      </c>
      <c r="Q3602" t="n">
        <v>81.95</v>
      </c>
      <c r="R3602" t="n">
        <v>1854.05</v>
      </c>
      <c r="S3602" t="n">
        <v>908.89</v>
      </c>
      <c r="T3602" t="n">
        <v>0</v>
      </c>
      <c r="U3602" t="n">
        <v>5533.75</v>
      </c>
      <c r="X3602" t="inlineStr">
        <is>
          <t>acoa-apeca</t>
        </is>
      </c>
      <c r="Y3602" t="inlineStr">
        <is>
          <t>Atlantic Canada Opportunities Agency | Agence de promotion économique du Canada atlantique</t>
        </is>
      </c>
      <c r="Z3602" t="n">
        <v>9</v>
      </c>
      <c r="AA3602" t="n">
        <v>5533.75</v>
      </c>
      <c r="AB3602">
        <f>ROUND(U3602-AA3602,2)</f>
        <v/>
      </c>
      <c r="AC3602" t="b">
        <v>0</v>
      </c>
      <c r="AD3602">
        <f>IF(U3602="","MISSING_TOTAL",IF(ABS(AB3602)&lt;=0.01,"OK","CHECK"))</f>
        <v/>
      </c>
      <c r="AE3602">
        <f>IF(U3602="","MISSING",IF(AND(AA3602&gt;0,U3602/AA3602&gt;50),"POSSIBLE_SCALE_ERROR","OK"))</f>
        <v/>
      </c>
    </row>
    <row r="3603">
      <c r="A3603" t="inlineStr">
        <is>
          <t>T-2013-Q3-00043</t>
        </is>
      </c>
      <c r="B3603" t="inlineStr">
        <is>
          <t>MPSES</t>
        </is>
      </c>
      <c r="C3603" t="inlineStr">
        <is>
          <t>Executive Assistant and Press Secretary</t>
        </is>
      </c>
      <c r="D3603" t="inlineStr">
        <is>
          <t>Adjointe exécutive et attaché de presse</t>
        </is>
      </c>
      <c r="E3603" t="inlineStr">
        <is>
          <t>Andrea Richer</t>
        </is>
      </c>
      <c r="F3603" t="inlineStr">
        <is>
          <t>Travel to accompany Minister to the Francophonie Summit and the Conference on Ocean Energy</t>
        </is>
      </c>
      <c r="G3603" t="inlineStr">
        <is>
          <t>Voyage pour accompagner le ministre au Sommet de la Francophonie et à la Conférence sur l'énergie marine</t>
        </is>
      </c>
      <c r="H3603" s="1" t="n">
        <v>41191</v>
      </c>
      <c r="I3603" s="1" t="n">
        <v>41199</v>
      </c>
      <c r="J3603" t="inlineStr">
        <is>
          <t>Kinshasa, Congo and Dublin, Ireland</t>
        </is>
      </c>
      <c r="K3603" t="inlineStr">
        <is>
          <t>Kinshasa (Congo) et Dublin (Irlande)</t>
        </is>
      </c>
      <c r="P3603" t="n">
        <v>2688.86</v>
      </c>
      <c r="Q3603" t="n">
        <v>49</v>
      </c>
      <c r="R3603" t="n">
        <v>1834</v>
      </c>
      <c r="S3603" t="n">
        <v>926.0700000000001</v>
      </c>
      <c r="T3603" t="n">
        <v>0</v>
      </c>
      <c r="U3603" t="n">
        <v>5497.93</v>
      </c>
      <c r="X3603" t="inlineStr">
        <is>
          <t>acoa-apeca</t>
        </is>
      </c>
      <c r="Y3603" t="inlineStr">
        <is>
          <t>Atlantic Canada Opportunities Agency | Agence de promotion économique du Canada atlantique</t>
        </is>
      </c>
      <c r="Z3603" t="n">
        <v>9</v>
      </c>
      <c r="AA3603" t="n">
        <v>5497.93</v>
      </c>
      <c r="AB3603">
        <f>ROUND(U3603-AA3603,2)</f>
        <v/>
      </c>
      <c r="AC3603" t="b">
        <v>0</v>
      </c>
      <c r="AD3603">
        <f>IF(U3603="","MISSING_TOTAL",IF(ABS(AB3603)&lt;=0.01,"OK","CHECK"))</f>
        <v/>
      </c>
      <c r="AE3603">
        <f>IF(U3603="","MISSING",IF(AND(AA3603&gt;0,U3603/AA3603&gt;50),"POSSIBLE_SCALE_ERROR","OK"))</f>
        <v/>
      </c>
    </row>
    <row r="3604">
      <c r="A3604" t="inlineStr">
        <is>
          <t>T-2013-Q3-00042</t>
        </is>
      </c>
      <c r="B3604" t="inlineStr">
        <is>
          <t>MPSES</t>
        </is>
      </c>
      <c r="C3604" t="inlineStr">
        <is>
          <t>Minister of State</t>
        </is>
      </c>
      <c r="D3604" t="inlineStr">
        <is>
          <t>Ministre d'État</t>
        </is>
      </c>
      <c r="E3604" t="inlineStr">
        <is>
          <t>Bernard Valcourt</t>
        </is>
      </c>
      <c r="F3604" t="inlineStr">
        <is>
          <t>Francophonie Summit and Conference on Ocean Energy</t>
        </is>
      </c>
      <c r="G3604" t="inlineStr">
        <is>
          <t>Sommet de la Francophonie et Conférence sur l'énergie marine</t>
        </is>
      </c>
      <c r="H3604" s="1" t="n">
        <v>41191</v>
      </c>
      <c r="I3604" s="1" t="n">
        <v>41199</v>
      </c>
      <c r="J3604" t="inlineStr">
        <is>
          <t>Kinshasa, Democratic Republic of the Congo and Dublin, Ireland</t>
        </is>
      </c>
      <c r="K3604" t="inlineStr">
        <is>
          <t>Kinshasa (République démocratique du Congo) et Dublin (Irlande)</t>
        </is>
      </c>
      <c r="P3604" t="n">
        <v>12752.91</v>
      </c>
      <c r="Q3604" t="n">
        <v>49</v>
      </c>
      <c r="R3604" t="n">
        <v>3471.16</v>
      </c>
      <c r="S3604" t="n">
        <v>908.89</v>
      </c>
      <c r="T3604" t="n">
        <v>38.49</v>
      </c>
      <c r="U3604" t="n">
        <v>17220.45</v>
      </c>
      <c r="X3604" t="inlineStr">
        <is>
          <t>acoa-apeca</t>
        </is>
      </c>
      <c r="Y3604" t="inlineStr">
        <is>
          <t>Atlantic Canada Opportunities Agency | Agence de promotion économique du Canada atlantique</t>
        </is>
      </c>
      <c r="Z3604" t="n">
        <v>9</v>
      </c>
      <c r="AA3604" t="n">
        <v>17220.45</v>
      </c>
      <c r="AB3604">
        <f>ROUND(U3604-AA3604,2)</f>
        <v/>
      </c>
      <c r="AC3604" t="b">
        <v>0</v>
      </c>
      <c r="AD3604">
        <f>IF(U3604="","MISSING_TOTAL",IF(ABS(AB3604)&lt;=0.01,"OK","CHECK"))</f>
        <v/>
      </c>
      <c r="AE3604">
        <f>IF(U3604="","MISSING",IF(AND(AA3604&gt;0,U3604/AA3604&gt;50),"POSSIBLE_SCALE_ERROR","OK"))</f>
        <v/>
      </c>
    </row>
    <row r="3605">
      <c r="A3605" t="inlineStr">
        <is>
          <t>T-2013-Q3-00041</t>
        </is>
      </c>
      <c r="B3605" t="inlineStr">
        <is>
          <t>SLE</t>
        </is>
      </c>
      <c r="C3605" t="inlineStr">
        <is>
          <t>Vice-President, Policy and Programs</t>
        </is>
      </c>
      <c r="D3605" t="inlineStr">
        <is>
          <t>Vice-président, Politiques et Programmes</t>
        </is>
      </c>
      <c r="E3605" t="inlineStr">
        <is>
          <t>Daryell Nowlan</t>
        </is>
      </c>
      <c r="F3605" t="inlineStr">
        <is>
          <t>Meeting with Government of Canada officials</t>
        </is>
      </c>
      <c r="G3605" t="inlineStr">
        <is>
          <t>Réunion avec des fonctionnaires du gouvernement du Canada</t>
        </is>
      </c>
      <c r="H3605" s="1" t="n">
        <v>41190</v>
      </c>
      <c r="I3605" s="1" t="n">
        <v>41192</v>
      </c>
      <c r="J3605" t="inlineStr">
        <is>
          <t>Ottawa, Ontario</t>
        </is>
      </c>
      <c r="K3605" t="inlineStr">
        <is>
          <t>Ottawa (Ontario)</t>
        </is>
      </c>
      <c r="P3605" t="n">
        <v>1000</v>
      </c>
      <c r="Q3605" t="n">
        <v>144.58</v>
      </c>
      <c r="R3605" t="n">
        <v>354.82</v>
      </c>
      <c r="S3605" t="n">
        <v>163.3</v>
      </c>
      <c r="T3605" t="n">
        <v>0</v>
      </c>
      <c r="U3605" t="n">
        <v>1662.7</v>
      </c>
      <c r="X3605" t="inlineStr">
        <is>
          <t>acoa-apeca</t>
        </is>
      </c>
      <c r="Y3605" t="inlineStr">
        <is>
          <t>Atlantic Canada Opportunities Agency | Agence de promotion économique du Canada atlantique</t>
        </is>
      </c>
      <c r="Z3605" t="n">
        <v>3</v>
      </c>
      <c r="AA3605" t="n">
        <v>1662.69999999999</v>
      </c>
      <c r="AB3605">
        <f>ROUND(U3605-AA3605,2)</f>
        <v/>
      </c>
      <c r="AC3605" t="b">
        <v>0</v>
      </c>
      <c r="AD3605">
        <f>IF(U3605="","MISSING_TOTAL",IF(ABS(AB3605)&lt;=0.01,"OK","CHECK"))</f>
        <v/>
      </c>
      <c r="AE3605">
        <f>IF(U3605="","MISSING",IF(AND(AA3605&gt;0,U3605/AA3605&gt;50),"POSSIBLE_SCALE_ERROR","OK"))</f>
        <v/>
      </c>
    </row>
    <row r="3606">
      <c r="A3606" t="inlineStr">
        <is>
          <t>T-2013-Q3-00038</t>
        </is>
      </c>
      <c r="B3606" t="inlineStr">
        <is>
          <t>SLE</t>
        </is>
      </c>
      <c r="C3606" t="inlineStr">
        <is>
          <t>President</t>
        </is>
      </c>
      <c r="D3606" t="inlineStr">
        <is>
          <t>Président</t>
        </is>
      </c>
      <c r="E3606" t="inlineStr">
        <is>
          <t>Paul J. LeBlanc</t>
        </is>
      </c>
      <c r="F3606" t="inlineStr">
        <is>
          <t>For various meetings and discussions with Agency officials and Government of Canada officials</t>
        </is>
      </c>
      <c r="G3606" t="inlineStr">
        <is>
          <t>Diverses réunions et discussions avec des fonctionnaires de l'Agence et du gouvernement du Canada</t>
        </is>
      </c>
      <c r="H3606" s="1" t="n">
        <v>41184</v>
      </c>
      <c r="I3606" s="1" t="n">
        <v>41185</v>
      </c>
      <c r="J3606" t="inlineStr">
        <is>
          <t>Ottawa, Ontario</t>
        </is>
      </c>
      <c r="K3606" t="inlineStr">
        <is>
          <t>Ottawa (Ontario)</t>
        </is>
      </c>
      <c r="P3606" t="n">
        <v>741.36</v>
      </c>
      <c r="Q3606" t="n">
        <v>0</v>
      </c>
      <c r="R3606" t="n">
        <v>179.67</v>
      </c>
      <c r="S3606" t="n">
        <v>90.90000000000001</v>
      </c>
      <c r="T3606" t="n">
        <v>30</v>
      </c>
      <c r="U3606" t="n">
        <v>1041.93</v>
      </c>
      <c r="X3606" t="inlineStr">
        <is>
          <t>acoa-apeca</t>
        </is>
      </c>
      <c r="Y3606" t="inlineStr">
        <is>
          <t>Atlantic Canada Opportunities Agency | Agence de promotion économique du Canada atlantique</t>
        </is>
      </c>
      <c r="Z3606" t="n">
        <v>2</v>
      </c>
      <c r="AA3606" t="n">
        <v>1041.92999999999</v>
      </c>
      <c r="AB3606">
        <f>ROUND(U3606-AA3606,2)</f>
        <v/>
      </c>
      <c r="AC3606" t="b">
        <v>0</v>
      </c>
      <c r="AD3606">
        <f>IF(U3606="","MISSING_TOTAL",IF(ABS(AB3606)&lt;=0.01,"OK","CHECK"))</f>
        <v/>
      </c>
      <c r="AE3606">
        <f>IF(U3606="","MISSING",IF(AND(AA3606&gt;0,U3606/AA3606&gt;50),"POSSIBLE_SCALE_ERROR","OK"))</f>
        <v/>
      </c>
    </row>
    <row r="3607">
      <c r="A3607" t="inlineStr">
        <is>
          <t>T-2013-Q3-00037</t>
        </is>
      </c>
      <c r="B3607" t="inlineStr">
        <is>
          <t>SLE</t>
        </is>
      </c>
      <c r="C3607" t="inlineStr">
        <is>
          <t>Vice-President, Newfoundland and Labrador</t>
        </is>
      </c>
      <c r="D3607" t="inlineStr">
        <is>
          <t>Vice-président, Terre-Neuve-et-Labrador</t>
        </is>
      </c>
      <c r="E3607" t="inlineStr">
        <is>
          <t>Paul Mills</t>
        </is>
      </c>
      <c r="F3607" t="inlineStr">
        <is>
          <t>Mileage for October to December 2012 period</t>
        </is>
      </c>
      <c r="G3607" t="inlineStr">
        <is>
          <t>Kilométrage pour les mois d'octobre à décembre 2012</t>
        </is>
      </c>
      <c r="H3607" s="1" t="n">
        <v>41183</v>
      </c>
      <c r="I3607" s="1" t="n">
        <v>41274</v>
      </c>
      <c r="J3607" t="inlineStr">
        <is>
          <t>Various locations around the Newfoundland region</t>
        </is>
      </c>
      <c r="K3607" t="inlineStr">
        <is>
          <t>Divers endroits dans la région de Terre-Neuve-et-Labrador</t>
        </is>
      </c>
      <c r="P3607" t="n">
        <v>0</v>
      </c>
      <c r="Q3607" t="n">
        <v>23.92</v>
      </c>
      <c r="R3607" t="n">
        <v>0</v>
      </c>
      <c r="S3607" t="n">
        <v>0</v>
      </c>
      <c r="T3607" t="n">
        <v>0</v>
      </c>
      <c r="U3607" t="n">
        <v>23.92</v>
      </c>
      <c r="X3607" t="inlineStr">
        <is>
          <t>acoa-apeca</t>
        </is>
      </c>
      <c r="Y3607" t="inlineStr">
        <is>
          <t>Atlantic Canada Opportunities Agency | Agence de promotion économique du Canada atlantique</t>
        </is>
      </c>
      <c r="Z3607" t="n">
        <v>92</v>
      </c>
      <c r="AA3607" t="n">
        <v>23.92</v>
      </c>
      <c r="AB3607">
        <f>ROUND(U3607-AA3607,2)</f>
        <v/>
      </c>
      <c r="AC3607" t="b">
        <v>0</v>
      </c>
      <c r="AD3607">
        <f>IF(U3607="","MISSING_TOTAL",IF(ABS(AB3607)&lt;=0.01,"OK","CHECK"))</f>
        <v/>
      </c>
      <c r="AE3607">
        <f>IF(U3607="","MISSING",IF(AND(AA3607&gt;0,U3607/AA3607&gt;50),"POSSIBLE_SCALE_ERROR","OK"))</f>
        <v/>
      </c>
    </row>
    <row r="3608">
      <c r="A3608" t="inlineStr">
        <is>
          <t>T-2013-Q3-00036</t>
        </is>
      </c>
      <c r="B3608" t="inlineStr">
        <is>
          <t>MPSES</t>
        </is>
      </c>
      <c r="C3608" t="inlineStr">
        <is>
          <t>Chief of Staff</t>
        </is>
      </c>
      <c r="D3608" t="inlineStr">
        <is>
          <t>Chef de cabinet</t>
        </is>
      </c>
      <c r="E3608" t="inlineStr">
        <is>
          <t>Jacques Fauteux</t>
        </is>
      </c>
      <c r="F3608" t="inlineStr">
        <is>
          <t>To attend the Aero Montreal Global Supply Chain Summit and bilateral meeting</t>
        </is>
      </c>
      <c r="G3608" t="inlineStr">
        <is>
          <t>Pour participer au Sommet aérospatiale Chaîne mondiale d'approvisionnement d'Aéro Montréal et à une réunion bilatérale</t>
        </is>
      </c>
      <c r="H3608" s="1" t="n">
        <v>41180</v>
      </c>
      <c r="I3608" s="1" t="n">
        <v>41180</v>
      </c>
      <c r="J3608" t="inlineStr">
        <is>
          <t>Montréal, Québec</t>
        </is>
      </c>
      <c r="K3608" t="inlineStr">
        <is>
          <t>Montréal (Québec)</t>
        </is>
      </c>
      <c r="P3608" t="n">
        <v>0</v>
      </c>
      <c r="Q3608" t="n">
        <v>222</v>
      </c>
      <c r="R3608" t="n">
        <v>0</v>
      </c>
      <c r="S3608" t="n">
        <v>15.6</v>
      </c>
      <c r="T3608" t="n">
        <v>0</v>
      </c>
      <c r="U3608" t="n">
        <v>237.6</v>
      </c>
      <c r="X3608" t="inlineStr">
        <is>
          <t>acoa-apeca</t>
        </is>
      </c>
      <c r="Y3608" t="inlineStr">
        <is>
          <t>Atlantic Canada Opportunities Agency | Agence de promotion économique du Canada atlantique</t>
        </is>
      </c>
      <c r="Z3608" t="n">
        <v>1</v>
      </c>
      <c r="AA3608" t="n">
        <v>237.6</v>
      </c>
      <c r="AB3608">
        <f>ROUND(U3608-AA3608,2)</f>
        <v/>
      </c>
      <c r="AC3608" t="b">
        <v>0</v>
      </c>
      <c r="AD3608">
        <f>IF(U3608="","MISSING_TOTAL",IF(ABS(AB3608)&lt;=0.01,"OK","CHECK"))</f>
        <v/>
      </c>
      <c r="AE3608">
        <f>IF(U3608="","MISSING",IF(AND(AA3608&gt;0,U3608/AA3608&gt;50),"POSSIBLE_SCALE_ERROR","OK"))</f>
        <v/>
      </c>
    </row>
    <row r="3609">
      <c r="A3609" t="inlineStr">
        <is>
          <t>T-2013-Q3-00034</t>
        </is>
      </c>
      <c r="B3609" t="inlineStr">
        <is>
          <t>MPSES</t>
        </is>
      </c>
      <c r="C3609" t="inlineStr">
        <is>
          <t>Executive Assistant and Press Secretary</t>
        </is>
      </c>
      <c r="D3609" t="inlineStr">
        <is>
          <t>Adjointe exécutive et attaché de presse</t>
        </is>
      </c>
      <c r="E3609" t="inlineStr">
        <is>
          <t>Andrea Richer</t>
        </is>
      </c>
      <c r="F3609" t="inlineStr">
        <is>
          <t>Travel to accompany Minister to various Government of Canada events</t>
        </is>
      </c>
      <c r="G3609" t="inlineStr">
        <is>
          <t>Voyage pour accompagner le ministre à diverses activités du gouvernement du Canada</t>
        </is>
      </c>
      <c r="H3609" s="1" t="n">
        <v>41179</v>
      </c>
      <c r="I3609" s="1" t="n">
        <v>41180</v>
      </c>
      <c r="J3609" t="inlineStr">
        <is>
          <t>Montréal, Québec</t>
        </is>
      </c>
      <c r="K3609" t="inlineStr">
        <is>
          <t>Montréal (Québec)</t>
        </is>
      </c>
      <c r="P3609" t="n">
        <v>0</v>
      </c>
      <c r="Q3609" t="n">
        <v>0</v>
      </c>
      <c r="R3609" t="n">
        <v>166.6</v>
      </c>
      <c r="S3609" t="n">
        <v>105.9</v>
      </c>
      <c r="T3609" t="n">
        <v>0</v>
      </c>
      <c r="U3609" t="n">
        <v>272.5</v>
      </c>
      <c r="X3609" t="inlineStr">
        <is>
          <t>acoa-apeca</t>
        </is>
      </c>
      <c r="Y3609" t="inlineStr">
        <is>
          <t>Atlantic Canada Opportunities Agency | Agence de promotion économique du Canada atlantique</t>
        </is>
      </c>
      <c r="Z3609" t="n">
        <v>2</v>
      </c>
      <c r="AA3609" t="n">
        <v>272.5</v>
      </c>
      <c r="AB3609">
        <f>ROUND(U3609-AA3609,2)</f>
        <v/>
      </c>
      <c r="AC3609" t="b">
        <v>0</v>
      </c>
      <c r="AD3609">
        <f>IF(U3609="","MISSING_TOTAL",IF(ABS(AB3609)&lt;=0.01,"OK","CHECK"))</f>
        <v/>
      </c>
      <c r="AE3609">
        <f>IF(U3609="","MISSING",IF(AND(AA3609&gt;0,U3609/AA3609&gt;50),"POSSIBLE_SCALE_ERROR","OK"))</f>
        <v/>
      </c>
    </row>
    <row r="3610">
      <c r="A3610" t="inlineStr">
        <is>
          <t>T-2013-Q3-00033</t>
        </is>
      </c>
      <c r="B3610" t="inlineStr">
        <is>
          <t>MPSES</t>
        </is>
      </c>
      <c r="C3610" t="inlineStr">
        <is>
          <t>Minister of State</t>
        </is>
      </c>
      <c r="D3610" t="inlineStr">
        <is>
          <t>Ministre d'État</t>
        </is>
      </c>
      <c r="E3610" t="inlineStr">
        <is>
          <t>Bernard Valcourt</t>
        </is>
      </c>
      <c r="F3610" t="inlineStr">
        <is>
          <t>Various meetings and speeches for the Government of Canada</t>
        </is>
      </c>
      <c r="G3610" t="inlineStr">
        <is>
          <t>Réunions et allocutions diverses pour le gouvernement du Canada</t>
        </is>
      </c>
      <c r="H3610" s="1" t="n">
        <v>41179</v>
      </c>
      <c r="I3610" s="1" t="n">
        <v>41180</v>
      </c>
      <c r="J3610" t="inlineStr">
        <is>
          <t>Montréal, Quebec</t>
        </is>
      </c>
      <c r="K3610" t="inlineStr">
        <is>
          <t>Montréal (Québec)</t>
        </is>
      </c>
      <c r="P3610" t="n">
        <v>0</v>
      </c>
      <c r="Q3610" t="n">
        <v>0</v>
      </c>
      <c r="R3610" t="n">
        <v>166.6</v>
      </c>
      <c r="S3610" t="n">
        <v>105.9</v>
      </c>
      <c r="T3610" t="n">
        <v>0</v>
      </c>
      <c r="U3610" t="n">
        <v>272.5</v>
      </c>
      <c r="X3610" t="inlineStr">
        <is>
          <t>acoa-apeca</t>
        </is>
      </c>
      <c r="Y3610" t="inlineStr">
        <is>
          <t>Atlantic Canada Opportunities Agency | Agence de promotion économique du Canada atlantique</t>
        </is>
      </c>
      <c r="Z3610" t="n">
        <v>2</v>
      </c>
      <c r="AA3610" t="n">
        <v>272.5</v>
      </c>
      <c r="AB3610">
        <f>ROUND(U3610-AA3610,2)</f>
        <v/>
      </c>
      <c r="AC3610" t="b">
        <v>0</v>
      </c>
      <c r="AD3610">
        <f>IF(U3610="","MISSING_TOTAL",IF(ABS(AB3610)&lt;=0.01,"OK","CHECK"))</f>
        <v/>
      </c>
      <c r="AE3610">
        <f>IF(U3610="","MISSING",IF(AND(AA3610&gt;0,U3610/AA3610&gt;50),"POSSIBLE_SCALE_ERROR","OK"))</f>
        <v/>
      </c>
    </row>
    <row r="3611">
      <c r="A3611" t="inlineStr">
        <is>
          <t>T-2013-Q3-00032</t>
        </is>
      </c>
      <c r="B3611" t="inlineStr">
        <is>
          <t>SLE</t>
        </is>
      </c>
      <c r="C3611" t="inlineStr">
        <is>
          <t>Vice-President, Newfoundland and Labrador</t>
        </is>
      </c>
      <c r="D3611" t="inlineStr">
        <is>
          <t>Vice-président, Terre-Neuve-et-Labrador</t>
        </is>
      </c>
      <c r="E3611" t="inlineStr">
        <is>
          <t>Paul Mills</t>
        </is>
      </c>
      <c r="F3611" t="inlineStr">
        <is>
          <t>To attend various meetings with Senior Government of Canada Officials</t>
        </is>
      </c>
      <c r="G3611" t="inlineStr">
        <is>
          <t>Assister à diverses réunions avec des hauts fonctionnaires du gouvernement du Canada</t>
        </is>
      </c>
      <c r="H3611" s="1" t="n">
        <v>41177</v>
      </c>
      <c r="I3611" s="1" t="n">
        <v>41179</v>
      </c>
      <c r="J3611" t="inlineStr">
        <is>
          <t>Ottawa, Ontario</t>
        </is>
      </c>
      <c r="K3611" t="inlineStr">
        <is>
          <t>Ottawa (Ontario)</t>
        </is>
      </c>
      <c r="P3611" t="n">
        <v>1368.14</v>
      </c>
      <c r="Q3611" t="n">
        <v>185</v>
      </c>
      <c r="R3611" t="n">
        <v>354.82</v>
      </c>
      <c r="S3611" t="n">
        <v>235.35</v>
      </c>
      <c r="T3611" t="n">
        <v>10.13</v>
      </c>
      <c r="U3611" t="n">
        <v>2153.44</v>
      </c>
      <c r="X3611" t="inlineStr">
        <is>
          <t>acoa-apeca</t>
        </is>
      </c>
      <c r="Y3611" t="inlineStr">
        <is>
          <t>Atlantic Canada Opportunities Agency | Agence de promotion économique du Canada atlantique</t>
        </is>
      </c>
      <c r="Z3611" t="n">
        <v>3</v>
      </c>
      <c r="AA3611" t="n">
        <v>2153.44</v>
      </c>
      <c r="AB3611">
        <f>ROUND(U3611-AA3611,2)</f>
        <v/>
      </c>
      <c r="AC3611" t="b">
        <v>0</v>
      </c>
      <c r="AD3611">
        <f>IF(U3611="","MISSING_TOTAL",IF(ABS(AB3611)&lt;=0.01,"OK","CHECK"))</f>
        <v/>
      </c>
      <c r="AE3611">
        <f>IF(U3611="","MISSING",IF(AND(AA3611&gt;0,U3611/AA3611&gt;50),"POSSIBLE_SCALE_ERROR","OK"))</f>
        <v/>
      </c>
    </row>
    <row r="3612">
      <c r="A3612" t="inlineStr">
        <is>
          <t>T-2013-Q3-00031</t>
        </is>
      </c>
      <c r="B3612" t="inlineStr">
        <is>
          <t>SLE</t>
        </is>
      </c>
      <c r="C3612" t="inlineStr">
        <is>
          <t>Vice-President, New Brunswick</t>
        </is>
      </c>
      <c r="D3612" t="inlineStr">
        <is>
          <t>Vice-présidente, Nouveau-Brunswick</t>
        </is>
      </c>
      <c r="E3612" t="inlineStr">
        <is>
          <t>Janet Gagnon</t>
        </is>
      </c>
      <c r="F3612" t="inlineStr">
        <is>
          <t>Northern Strategy meeting (Shippagan) / interviews (Moncton)</t>
        </is>
      </c>
      <c r="G3612" t="inlineStr">
        <is>
          <t>Réunion sur la Stratégie du Nord (Shippagan) / entrevues (Moncton)</t>
        </is>
      </c>
      <c r="H3612" s="1" t="n">
        <v>41177</v>
      </c>
      <c r="I3612" s="1" t="n">
        <v>41179</v>
      </c>
      <c r="J3612" t="inlineStr">
        <is>
          <t>Shippagan, New Brunswick / Moncton, New Brunswick</t>
        </is>
      </c>
      <c r="K3612" t="inlineStr">
        <is>
          <t>Shippagan (Nouveau-Brunswick) / Moncton (Nouveau-Brunswick)</t>
        </is>
      </c>
      <c r="P3612" t="n">
        <v>0</v>
      </c>
      <c r="Q3612" t="n">
        <v>0</v>
      </c>
      <c r="R3612" t="n">
        <v>274.59</v>
      </c>
      <c r="S3612" t="n">
        <v>219.75</v>
      </c>
      <c r="T3612" t="n">
        <v>0</v>
      </c>
      <c r="U3612" t="n">
        <v>494.34</v>
      </c>
      <c r="X3612" t="inlineStr">
        <is>
          <t>acoa-apeca</t>
        </is>
      </c>
      <c r="Y3612" t="inlineStr">
        <is>
          <t>Atlantic Canada Opportunities Agency | Agence de promotion économique du Canada atlantique</t>
        </is>
      </c>
      <c r="Z3612" t="n">
        <v>3</v>
      </c>
      <c r="AA3612" t="n">
        <v>494.34</v>
      </c>
      <c r="AB3612">
        <f>ROUND(U3612-AA3612,2)</f>
        <v/>
      </c>
      <c r="AC3612" t="b">
        <v>0</v>
      </c>
      <c r="AD3612">
        <f>IF(U3612="","MISSING_TOTAL",IF(ABS(AB3612)&lt;=0.01,"OK","CHECK"))</f>
        <v/>
      </c>
      <c r="AE3612">
        <f>IF(U3612="","MISSING",IF(AND(AA3612&gt;0,U3612/AA3612&gt;50),"POSSIBLE_SCALE_ERROR","OK"))</f>
        <v/>
      </c>
    </row>
    <row r="3613">
      <c r="A3613" t="inlineStr">
        <is>
          <t>T-2013-Q3-00010</t>
        </is>
      </c>
      <c r="B3613" t="inlineStr">
        <is>
          <t>SLE</t>
        </is>
      </c>
      <c r="C3613" t="inlineStr">
        <is>
          <t>Vice-President, Prince Edward Island</t>
        </is>
      </c>
      <c r="D3613" t="inlineStr">
        <is>
          <t>Vice-président, Île-du-Prince-Édouard</t>
        </is>
      </c>
      <c r="E3613" t="inlineStr">
        <is>
          <t>Patrick Dorsey</t>
        </is>
      </c>
      <c r="F3613" t="inlineStr">
        <is>
          <t>Meeting with ACOA Officials and EXCOMM</t>
        </is>
      </c>
      <c r="G3613" t="inlineStr">
        <is>
          <t>Réunion avec des fonctionnaires de l'APECA et réunion du Comité de direction</t>
        </is>
      </c>
      <c r="H3613" s="1" t="n">
        <v>41157</v>
      </c>
      <c r="I3613" s="1" t="n">
        <v>41159</v>
      </c>
      <c r="J3613" t="inlineStr">
        <is>
          <t>Halifax, Nova Scotia</t>
        </is>
      </c>
      <c r="K3613" t="inlineStr">
        <is>
          <t>Halifax (Nouvelle-Écosse)</t>
        </is>
      </c>
      <c r="P3613" t="n">
        <v>0</v>
      </c>
      <c r="Q3613" t="n">
        <v>100.13</v>
      </c>
      <c r="R3613" t="n">
        <v>373.02</v>
      </c>
      <c r="S3613" t="n">
        <v>194.5</v>
      </c>
      <c r="T3613" t="n">
        <v>0</v>
      </c>
      <c r="U3613" t="n">
        <v>667.65</v>
      </c>
      <c r="X3613" t="inlineStr">
        <is>
          <t>acoa-apeca</t>
        </is>
      </c>
      <c r="Y3613" t="inlineStr">
        <is>
          <t>Atlantic Canada Opportunities Agency | Agence de promotion économique du Canada atlantique</t>
        </is>
      </c>
      <c r="Z3613" t="n">
        <v>3</v>
      </c>
      <c r="AA3613" t="n">
        <v>667.65</v>
      </c>
      <c r="AB3613">
        <f>ROUND(U3613-AA3613,2)</f>
        <v/>
      </c>
      <c r="AC3613" t="b">
        <v>0</v>
      </c>
      <c r="AD3613">
        <f>IF(U3613="","MISSING_TOTAL",IF(ABS(AB3613)&lt;=0.01,"OK","CHECK"))</f>
        <v/>
      </c>
      <c r="AE3613">
        <f>IF(U3613="","MISSING",IF(AND(AA3613&gt;0,U3613/AA3613&gt;50),"POSSIBLE_SCALE_ERROR","OK"))</f>
        <v/>
      </c>
    </row>
    <row r="3614">
      <c r="A3614" t="inlineStr">
        <is>
          <t>T-2013-Q3-00029</t>
        </is>
      </c>
      <c r="B3614" t="inlineStr">
        <is>
          <t>SLE</t>
        </is>
      </c>
      <c r="C3614" t="inlineStr">
        <is>
          <t>President</t>
        </is>
      </c>
      <c r="D3614" t="inlineStr">
        <is>
          <t>Président</t>
        </is>
      </c>
      <c r="E3614" t="inlineStr">
        <is>
          <t>Paul J. LeBlanc</t>
        </is>
      </c>
      <c r="F3614" t="inlineStr">
        <is>
          <t>For various meetings and discussions with Agency officials and Government of Canada officials</t>
        </is>
      </c>
      <c r="G3614" t="inlineStr">
        <is>
          <t>Diverses réunions et discussions avec des fonctionnaires de l'Agence et du gouvernement du Canada</t>
        </is>
      </c>
      <c r="H3614" s="1" t="n">
        <v>41176</v>
      </c>
      <c r="I3614" s="1" t="n">
        <v>41180</v>
      </c>
      <c r="J3614" t="inlineStr">
        <is>
          <t>Ottawa, Ontario and Halifax, Nova Scotia</t>
        </is>
      </c>
      <c r="K3614" t="inlineStr">
        <is>
          <t>Ottawa (Ontario) et Halifax (Nouvelle-Écosse)</t>
        </is>
      </c>
      <c r="P3614" t="n">
        <v>370.68</v>
      </c>
      <c r="Q3614" t="n">
        <v>73</v>
      </c>
      <c r="R3614" t="n">
        <v>534.12</v>
      </c>
      <c r="S3614" t="n">
        <v>237.05</v>
      </c>
      <c r="T3614" t="n">
        <v>66</v>
      </c>
      <c r="U3614" t="n">
        <v>1280.85</v>
      </c>
      <c r="X3614" t="inlineStr">
        <is>
          <t>acoa-apeca</t>
        </is>
      </c>
      <c r="Y3614" t="inlineStr">
        <is>
          <t>Atlantic Canada Opportunities Agency | Agence de promotion économique du Canada atlantique</t>
        </is>
      </c>
      <c r="Z3614" t="n">
        <v>5</v>
      </c>
      <c r="AA3614" t="n">
        <v>1280.85</v>
      </c>
      <c r="AB3614">
        <f>ROUND(U3614-AA3614,2)</f>
        <v/>
      </c>
      <c r="AC3614" t="b">
        <v>0</v>
      </c>
      <c r="AD3614">
        <f>IF(U3614="","MISSING_TOTAL",IF(ABS(AB3614)&lt;=0.01,"OK","CHECK"))</f>
        <v/>
      </c>
      <c r="AE3614">
        <f>IF(U3614="","MISSING",IF(AND(AA3614&gt;0,U3614/AA3614&gt;50),"POSSIBLE_SCALE_ERROR","OK"))</f>
        <v/>
      </c>
    </row>
    <row r="3615">
      <c r="A3615" t="inlineStr">
        <is>
          <t>T-2013-Q3-00028</t>
        </is>
      </c>
      <c r="B3615" t="inlineStr">
        <is>
          <t>SLE</t>
        </is>
      </c>
      <c r="C3615" t="inlineStr">
        <is>
          <t>Vice-President, Finance and Corporate Services</t>
        </is>
      </c>
      <c r="D3615" t="inlineStr">
        <is>
          <t>Vice-présidente, Finances et Services corporatifs</t>
        </is>
      </c>
      <c r="E3615" t="inlineStr">
        <is>
          <t>Denise Frenette</t>
        </is>
      </c>
      <c r="F3615" t="inlineStr">
        <is>
          <t>Meetings with National Governments Officials</t>
        </is>
      </c>
      <c r="G3615" t="inlineStr">
        <is>
          <t>Réunions avec des fonctionnaires de gouvernements nationaux</t>
        </is>
      </c>
      <c r="H3615" s="1" t="n">
        <v>41174</v>
      </c>
      <c r="I3615" s="1" t="n">
        <v>41180</v>
      </c>
      <c r="J3615" t="inlineStr">
        <is>
          <t>Chicago, Illinois</t>
        </is>
      </c>
      <c r="K3615" t="inlineStr">
        <is>
          <t>Chicago (Illinois)</t>
        </is>
      </c>
      <c r="P3615" t="n">
        <v>681.13</v>
      </c>
      <c r="Q3615" t="n">
        <v>116.1</v>
      </c>
      <c r="R3615" t="n">
        <v>649.5700000000001</v>
      </c>
      <c r="S3615" t="n">
        <v>233.85</v>
      </c>
      <c r="T3615" t="n">
        <v>5.93</v>
      </c>
      <c r="U3615" t="n">
        <v>1686.58</v>
      </c>
      <c r="X3615" t="inlineStr">
        <is>
          <t>acoa-apeca</t>
        </is>
      </c>
      <c r="Y3615" t="inlineStr">
        <is>
          <t>Atlantic Canada Opportunities Agency | Agence de promotion économique du Canada atlantique</t>
        </is>
      </c>
      <c r="Z3615" t="n">
        <v>7</v>
      </c>
      <c r="AA3615" t="n">
        <v>1686.58</v>
      </c>
      <c r="AB3615">
        <f>ROUND(U3615-AA3615,2)</f>
        <v/>
      </c>
      <c r="AC3615" t="b">
        <v>0</v>
      </c>
      <c r="AD3615">
        <f>IF(U3615="","MISSING_TOTAL",IF(ABS(AB3615)&lt;=0.01,"OK","CHECK"))</f>
        <v/>
      </c>
      <c r="AE3615">
        <f>IF(U3615="","MISSING",IF(AND(AA3615&gt;0,U3615/AA3615&gt;50),"POSSIBLE_SCALE_ERROR","OK"))</f>
        <v/>
      </c>
    </row>
    <row r="3616">
      <c r="A3616" t="inlineStr">
        <is>
          <t>T-2013-Q3-00027</t>
        </is>
      </c>
      <c r="B3616" t="inlineStr">
        <is>
          <t>SLE</t>
        </is>
      </c>
      <c r="C3616" t="inlineStr">
        <is>
          <t>Vice-President, Finance and Corporate Services</t>
        </is>
      </c>
      <c r="D3616" t="inlineStr">
        <is>
          <t>Vice-présidente, Finances et Services corporatifs</t>
        </is>
      </c>
      <c r="E3616" t="inlineStr">
        <is>
          <t>Denise Frenette</t>
        </is>
      </c>
      <c r="F3616" t="inlineStr">
        <is>
          <t>Meetings with Government of Canada Officials</t>
        </is>
      </c>
      <c r="G3616" t="inlineStr">
        <is>
          <t>Réunion avec des fonctionnaires du gouvernement du Canada</t>
        </is>
      </c>
      <c r="H3616" s="1" t="n">
        <v>41172</v>
      </c>
      <c r="I3616" s="1" t="n">
        <v>41173</v>
      </c>
      <c r="J3616" t="inlineStr">
        <is>
          <t>Ottawa, Ontario</t>
        </is>
      </c>
      <c r="K3616" t="inlineStr">
        <is>
          <t>Ottawa (Ontario)</t>
        </is>
      </c>
      <c r="P3616" t="n">
        <v>1075.76</v>
      </c>
      <c r="Q3616" t="n">
        <v>54.5</v>
      </c>
      <c r="R3616" t="n">
        <v>177.41</v>
      </c>
      <c r="S3616" t="n">
        <v>105.15</v>
      </c>
      <c r="T3616" t="n">
        <v>0</v>
      </c>
      <c r="U3616" t="n">
        <v>1412.82</v>
      </c>
      <c r="X3616" t="inlineStr">
        <is>
          <t>acoa-apeca</t>
        </is>
      </c>
      <c r="Y3616" t="inlineStr">
        <is>
          <t>Atlantic Canada Opportunities Agency | Agence de promotion économique du Canada atlantique</t>
        </is>
      </c>
      <c r="Z3616" t="n">
        <v>2</v>
      </c>
      <c r="AA3616" t="n">
        <v>1412.82</v>
      </c>
      <c r="AB3616">
        <f>ROUND(U3616-AA3616,2)</f>
        <v/>
      </c>
      <c r="AC3616" t="b">
        <v>0</v>
      </c>
      <c r="AD3616">
        <f>IF(U3616="","MISSING_TOTAL",IF(ABS(AB3616)&lt;=0.01,"OK","CHECK"))</f>
        <v/>
      </c>
      <c r="AE3616">
        <f>IF(U3616="","MISSING",IF(AND(AA3616&gt;0,U3616/AA3616&gt;50),"POSSIBLE_SCALE_ERROR","OK"))</f>
        <v/>
      </c>
    </row>
    <row r="3617">
      <c r="A3617" t="inlineStr">
        <is>
          <t>T-2013-Q3-00026</t>
        </is>
      </c>
      <c r="B3617" t="inlineStr">
        <is>
          <t>SLE</t>
        </is>
      </c>
      <c r="C3617" t="inlineStr">
        <is>
          <t>Vice President, Nova Scotia</t>
        </is>
      </c>
      <c r="D3617" t="inlineStr">
        <is>
          <t>Vice-président, Nouvelle-Écosse</t>
        </is>
      </c>
      <c r="E3617" t="inlineStr">
        <is>
          <t>Peter Hogan</t>
        </is>
      </c>
      <c r="F3617" t="inlineStr">
        <is>
          <t>Atlantic Canada Opportunities Board Meeting</t>
        </is>
      </c>
      <c r="G3617" t="inlineStr">
        <is>
          <t>Réunion du Conseil de promotion économique du Canada atlantique</t>
        </is>
      </c>
      <c r="H3617" s="1" t="n">
        <v>41171</v>
      </c>
      <c r="I3617" s="1" t="n">
        <v>41172</v>
      </c>
      <c r="J3617" t="inlineStr">
        <is>
          <t>St. John's, Newfoundland</t>
        </is>
      </c>
      <c r="K3617" t="inlineStr">
        <is>
          <t>St. John's (Terre-Neuve-et-Labrador)</t>
        </is>
      </c>
      <c r="P3617" t="n">
        <v>803.9400000000001</v>
      </c>
      <c r="Q3617" t="n">
        <v>83.59999999999999</v>
      </c>
      <c r="R3617" t="n">
        <v>203</v>
      </c>
      <c r="S3617" t="n">
        <v>114.6</v>
      </c>
      <c r="T3617" t="n">
        <v>0</v>
      </c>
      <c r="U3617" t="n">
        <v>1205.14</v>
      </c>
      <c r="X3617" t="inlineStr">
        <is>
          <t>acoa-apeca</t>
        </is>
      </c>
      <c r="Y3617" t="inlineStr">
        <is>
          <t>Atlantic Canada Opportunities Agency | Agence de promotion économique du Canada atlantique</t>
        </is>
      </c>
      <c r="Z3617" t="n">
        <v>2</v>
      </c>
      <c r="AA3617" t="n">
        <v>1205.13999999999</v>
      </c>
      <c r="AB3617">
        <f>ROUND(U3617-AA3617,2)</f>
        <v/>
      </c>
      <c r="AC3617" t="b">
        <v>0</v>
      </c>
      <c r="AD3617">
        <f>IF(U3617="","MISSING_TOTAL",IF(ABS(AB3617)&lt;=0.01,"OK","CHECK"))</f>
        <v/>
      </c>
      <c r="AE3617">
        <f>IF(U3617="","MISSING",IF(AND(AA3617&gt;0,U3617/AA3617&gt;50),"POSSIBLE_SCALE_ERROR","OK"))</f>
        <v/>
      </c>
    </row>
    <row r="3618">
      <c r="A3618" t="inlineStr">
        <is>
          <t>T-2013-Q3-00025</t>
        </is>
      </c>
      <c r="B3618" t="inlineStr">
        <is>
          <t>SLE</t>
        </is>
      </c>
      <c r="C3618" t="inlineStr">
        <is>
          <t>Vice President, Nova Scotia</t>
        </is>
      </c>
      <c r="D3618" t="inlineStr">
        <is>
          <t>Vice-président, Nouvelle-Écosse</t>
        </is>
      </c>
      <c r="E3618" t="inlineStr">
        <is>
          <t>Peter Hogan</t>
        </is>
      </c>
      <c r="F3618" t="inlineStr">
        <is>
          <t>Meeting with Government of Canada Officials on the Atlantic Gateway</t>
        </is>
      </c>
      <c r="G3618" t="inlineStr">
        <is>
          <t>Réunion avec des fonctionnaires du gouvernement du Canada au sujet de la Porte de l'Atlantique</t>
        </is>
      </c>
      <c r="H3618" s="1" t="n">
        <v>41170</v>
      </c>
      <c r="I3618" s="1" t="n">
        <v>41170</v>
      </c>
      <c r="J3618" t="inlineStr">
        <is>
          <t>Ottawa, Ontario</t>
        </is>
      </c>
      <c r="K3618" t="inlineStr">
        <is>
          <t>Ottawa (Ontario)</t>
        </is>
      </c>
      <c r="P3618" t="n">
        <v>434.95</v>
      </c>
      <c r="Q3618" t="n">
        <v>119.6</v>
      </c>
      <c r="R3618" t="n">
        <v>0</v>
      </c>
      <c r="S3618" t="n">
        <v>55.7</v>
      </c>
      <c r="T3618" t="n">
        <v>0</v>
      </c>
      <c r="U3618" t="n">
        <v>610.25</v>
      </c>
      <c r="X3618" t="inlineStr">
        <is>
          <t>acoa-apeca</t>
        </is>
      </c>
      <c r="Y3618" t="inlineStr">
        <is>
          <t>Atlantic Canada Opportunities Agency | Agence de promotion économique du Canada atlantique</t>
        </is>
      </c>
      <c r="Z3618" t="n">
        <v>1</v>
      </c>
      <c r="AA3618" t="n">
        <v>610.25</v>
      </c>
      <c r="AB3618">
        <f>ROUND(U3618-AA3618,2)</f>
        <v/>
      </c>
      <c r="AC3618" t="b">
        <v>0</v>
      </c>
      <c r="AD3618">
        <f>IF(U3618="","MISSING_TOTAL",IF(ABS(AB3618)&lt;=0.01,"OK","CHECK"))</f>
        <v/>
      </c>
      <c r="AE3618">
        <f>IF(U3618="","MISSING",IF(AND(AA3618&gt;0,U3618/AA3618&gt;50),"POSSIBLE_SCALE_ERROR","OK"))</f>
        <v/>
      </c>
    </row>
    <row r="3619">
      <c r="A3619" t="inlineStr">
        <is>
          <t>T-2013-Q3-00024</t>
        </is>
      </c>
      <c r="B3619" t="inlineStr">
        <is>
          <t>SLE</t>
        </is>
      </c>
      <c r="C3619" t="inlineStr">
        <is>
          <t>President</t>
        </is>
      </c>
      <c r="D3619" t="inlineStr">
        <is>
          <t>Président</t>
        </is>
      </c>
      <c r="E3619" t="inlineStr">
        <is>
          <t>Paul J. LeBlanc</t>
        </is>
      </c>
      <c r="F3619" t="inlineStr">
        <is>
          <t>For various meetings and discussions with Agency officials and Government of Canada officials</t>
        </is>
      </c>
      <c r="G3619" t="inlineStr">
        <is>
          <t>Diverses réunions et discussions avec des fonctionnaires de l'Agence et du gouvernement du Canada</t>
        </is>
      </c>
      <c r="H3619" s="1" t="n">
        <v>41170</v>
      </c>
      <c r="I3619" s="1" t="n">
        <v>41172</v>
      </c>
      <c r="J3619" t="inlineStr">
        <is>
          <t>Ottawa, Ontario</t>
        </is>
      </c>
      <c r="K3619" t="inlineStr">
        <is>
          <t>Ottawa (Ontario)</t>
        </is>
      </c>
      <c r="P3619" t="n">
        <v>741.36</v>
      </c>
      <c r="Q3619" t="n">
        <v>0</v>
      </c>
      <c r="R3619" t="n">
        <v>404.54</v>
      </c>
      <c r="S3619" t="n">
        <v>193.75</v>
      </c>
      <c r="T3619" t="n">
        <v>158</v>
      </c>
      <c r="U3619" t="n">
        <v>1497.65</v>
      </c>
      <c r="X3619" t="inlineStr">
        <is>
          <t>acoa-apeca</t>
        </is>
      </c>
      <c r="Y3619" t="inlineStr">
        <is>
          <t>Atlantic Canada Opportunities Agency | Agence de promotion économique du Canada atlantique</t>
        </is>
      </c>
      <c r="Z3619" t="n">
        <v>3</v>
      </c>
      <c r="AA3619" t="n">
        <v>1497.65</v>
      </c>
      <c r="AB3619">
        <f>ROUND(U3619-AA3619,2)</f>
        <v/>
      </c>
      <c r="AC3619" t="b">
        <v>0</v>
      </c>
      <c r="AD3619">
        <f>IF(U3619="","MISSING_TOTAL",IF(ABS(AB3619)&lt;=0.01,"OK","CHECK"))</f>
        <v/>
      </c>
      <c r="AE3619">
        <f>IF(U3619="","MISSING",IF(AND(AA3619&gt;0,U3619/AA3619&gt;50),"POSSIBLE_SCALE_ERROR","OK"))</f>
        <v/>
      </c>
    </row>
    <row r="3620">
      <c r="A3620" t="inlineStr">
        <is>
          <t>T-2013-Q3-00015</t>
        </is>
      </c>
      <c r="B3620" t="inlineStr">
        <is>
          <t>MPSES</t>
        </is>
      </c>
      <c r="C3620" t="inlineStr">
        <is>
          <t>Minister of State</t>
        </is>
      </c>
      <c r="D3620" t="inlineStr">
        <is>
          <t>Ministre d'État</t>
        </is>
      </c>
      <c r="E3620" t="inlineStr">
        <is>
          <t>Bernard Valcourt</t>
        </is>
      </c>
      <c r="F3620" t="inlineStr">
        <is>
          <t>Various meetings and speeches for the Government of Canada</t>
        </is>
      </c>
      <c r="G3620" t="inlineStr">
        <is>
          <t>Réunions et allocutions diverses pour le gouvernement du Canada</t>
        </is>
      </c>
      <c r="H3620" s="1" t="n">
        <v>41160</v>
      </c>
      <c r="I3620" s="1" t="n">
        <v>41163</v>
      </c>
      <c r="J3620" t="inlineStr">
        <is>
          <t>Charlottetown, Prince Edward Island and Halifax, Nova Scotia</t>
        </is>
      </c>
      <c r="K3620" t="inlineStr">
        <is>
          <t>Charlottetown (Île-du-Prince-Édouard) et Halifax (Nouvelle-Écosse)</t>
        </is>
      </c>
      <c r="P3620" t="n">
        <v>750.77</v>
      </c>
      <c r="Q3620" t="n">
        <v>20</v>
      </c>
      <c r="R3620" t="n">
        <v>472.24</v>
      </c>
      <c r="S3620" t="n">
        <v>250.95</v>
      </c>
      <c r="T3620" t="n">
        <v>0</v>
      </c>
      <c r="U3620" t="n">
        <v>1493.96</v>
      </c>
      <c r="X3620" t="inlineStr">
        <is>
          <t>acoa-apeca</t>
        </is>
      </c>
      <c r="Y3620" t="inlineStr">
        <is>
          <t>Atlantic Canada Opportunities Agency | Agence de promotion économique du Canada atlantique</t>
        </is>
      </c>
      <c r="Z3620" t="n">
        <v>4</v>
      </c>
      <c r="AA3620" t="n">
        <v>1493.96</v>
      </c>
      <c r="AB3620">
        <f>ROUND(U3620-AA3620,2)</f>
        <v/>
      </c>
      <c r="AC3620" t="b">
        <v>0</v>
      </c>
      <c r="AD3620">
        <f>IF(U3620="","MISSING_TOTAL",IF(ABS(AB3620)&lt;=0.01,"OK","CHECK"))</f>
        <v/>
      </c>
      <c r="AE3620">
        <f>IF(U3620="","MISSING",IF(AND(AA3620&gt;0,U3620/AA3620&gt;50),"POSSIBLE_SCALE_ERROR","OK"))</f>
        <v/>
      </c>
    </row>
    <row r="3621">
      <c r="A3621" t="inlineStr">
        <is>
          <t>T-2013-Q3-00023</t>
        </is>
      </c>
      <c r="B3621" t="inlineStr">
        <is>
          <t>SLE</t>
        </is>
      </c>
      <c r="C3621" t="inlineStr">
        <is>
          <t>Vice-President, New Brunswick</t>
        </is>
      </c>
      <c r="D3621" t="inlineStr">
        <is>
          <t>Vice-présidente, Nouveau-Brunswick</t>
        </is>
      </c>
      <c r="E3621" t="inlineStr">
        <is>
          <t>Janet Gagnon</t>
        </is>
      </c>
      <c r="F3621" t="inlineStr">
        <is>
          <t>Interviews (Ottawa) and Atlantic Canada Opportunities Board meeting (Newfoundland)</t>
        </is>
      </c>
      <c r="G3621" t="inlineStr">
        <is>
          <t>Entrevues à Ottawa et réunion du Conseil  de promotion économique du Canada atlantique à Terre-Neuve</t>
        </is>
      </c>
      <c r="H3621" s="1" t="n">
        <v>41169</v>
      </c>
      <c r="I3621" s="1" t="n">
        <v>41172</v>
      </c>
      <c r="J3621" t="inlineStr">
        <is>
          <t>Ottawa, Ontario / St. John's, Newfoundland and Labrador</t>
        </is>
      </c>
      <c r="K3621" t="inlineStr">
        <is>
          <t>Ottawa (Ontario) / St. John's (Terre-Neuve-et-Labrador)</t>
        </is>
      </c>
      <c r="P3621" t="n">
        <v>1096.1</v>
      </c>
      <c r="Q3621" t="n">
        <v>139.53</v>
      </c>
      <c r="R3621" t="n">
        <v>557.8200000000001</v>
      </c>
      <c r="S3621" t="n">
        <v>309.1</v>
      </c>
      <c r="T3621" t="n">
        <v>35</v>
      </c>
      <c r="U3621" t="n">
        <v>2137.55</v>
      </c>
      <c r="X3621" t="inlineStr">
        <is>
          <t>acoa-apeca</t>
        </is>
      </c>
      <c r="Y3621" t="inlineStr">
        <is>
          <t>Atlantic Canada Opportunities Agency | Agence de promotion économique du Canada atlantique</t>
        </is>
      </c>
      <c r="Z3621" t="n">
        <v>4</v>
      </c>
      <c r="AA3621" t="n">
        <v>2137.54999999999</v>
      </c>
      <c r="AB3621">
        <f>ROUND(U3621-AA3621,2)</f>
        <v/>
      </c>
      <c r="AC3621" t="b">
        <v>0</v>
      </c>
      <c r="AD3621">
        <f>IF(U3621="","MISSING_TOTAL",IF(ABS(AB3621)&lt;=0.01,"OK","CHECK"))</f>
        <v/>
      </c>
      <c r="AE3621">
        <f>IF(U3621="","MISSING",IF(AND(AA3621&gt;0,U3621/AA3621&gt;50),"POSSIBLE_SCALE_ERROR","OK"))</f>
        <v/>
      </c>
    </row>
    <row r="3622">
      <c r="A3622" t="inlineStr">
        <is>
          <t>T-2013-Q3-00022</t>
        </is>
      </c>
      <c r="B3622" t="inlineStr">
        <is>
          <t>SLE</t>
        </is>
      </c>
      <c r="C3622" t="inlineStr">
        <is>
          <t>Vice-President, Policy and Programs</t>
        </is>
      </c>
      <c r="D3622" t="inlineStr">
        <is>
          <t>Vice-président, Politiques et Programmes</t>
        </is>
      </c>
      <c r="E3622" t="inlineStr">
        <is>
          <t>Daryell Nowlan</t>
        </is>
      </c>
      <c r="F3622" t="inlineStr">
        <is>
          <t>Meetings with Government of Canada and private sector officials</t>
        </is>
      </c>
      <c r="G3622" t="inlineStr">
        <is>
          <t>Réunions avec des représentants du gouvernement du Canada et du secteur privé</t>
        </is>
      </c>
      <c r="H3622" s="1" t="n">
        <v>41169</v>
      </c>
      <c r="I3622" s="1" t="n">
        <v>41173</v>
      </c>
      <c r="J3622" t="inlineStr">
        <is>
          <t>Ottawa, Ontario and St. John's, Newfoundland and Labrador</t>
        </is>
      </c>
      <c r="K3622" t="inlineStr">
        <is>
          <t>Ottawa (Ontario) et St. John's (Terre-Neuve-et-Labrador)</t>
        </is>
      </c>
      <c r="P3622" t="n">
        <v>1766.89</v>
      </c>
      <c r="Q3622" t="n">
        <v>171</v>
      </c>
      <c r="R3622" t="n">
        <v>760.8200000000001</v>
      </c>
      <c r="S3622" t="n">
        <v>279.6</v>
      </c>
      <c r="T3622" t="n">
        <v>0</v>
      </c>
      <c r="U3622" t="n">
        <v>2978.31</v>
      </c>
      <c r="X3622" t="inlineStr">
        <is>
          <t>acoa-apeca</t>
        </is>
      </c>
      <c r="Y3622" t="inlineStr">
        <is>
          <t>Atlantic Canada Opportunities Agency | Agence de promotion économique du Canada atlantique</t>
        </is>
      </c>
      <c r="Z3622" t="n">
        <v>5</v>
      </c>
      <c r="AA3622" t="n">
        <v>2978.31</v>
      </c>
      <c r="AB3622">
        <f>ROUND(U3622-AA3622,2)</f>
        <v/>
      </c>
      <c r="AC3622" t="b">
        <v>0</v>
      </c>
      <c r="AD3622">
        <f>IF(U3622="","MISSING_TOTAL",IF(ABS(AB3622)&lt;=0.01,"OK","CHECK"))</f>
        <v/>
      </c>
      <c r="AE3622">
        <f>IF(U3622="","MISSING",IF(AND(AA3622&gt;0,U3622/AA3622&gt;50),"POSSIBLE_SCALE_ERROR","OK"))</f>
        <v/>
      </c>
    </row>
    <row r="3623">
      <c r="A3623" t="inlineStr">
        <is>
          <t>T-2013-Q3-00020</t>
        </is>
      </c>
      <c r="B3623" t="inlineStr">
        <is>
          <t>SLE</t>
        </is>
      </c>
      <c r="C3623" t="inlineStr">
        <is>
          <t>Vice-President, Finance and Corporate Services</t>
        </is>
      </c>
      <c r="D3623" t="inlineStr">
        <is>
          <t>Vice-présidente, Finances et Services corporatifs</t>
        </is>
      </c>
      <c r="E3623" t="inlineStr">
        <is>
          <t>Denise Frenette</t>
        </is>
      </c>
      <c r="F3623" t="inlineStr">
        <is>
          <t>Meetings with Government of Canada Officials and Agency Officials</t>
        </is>
      </c>
      <c r="G3623" t="inlineStr">
        <is>
          <t>Réunions avec des fonctionnaires du gouvernement du Canada et de l'Agence</t>
        </is>
      </c>
      <c r="H3623" s="1" t="n">
        <v>41164</v>
      </c>
      <c r="I3623" s="1" t="n">
        <v>41165</v>
      </c>
      <c r="J3623" t="inlineStr">
        <is>
          <t>Ottawa, Ontario</t>
        </is>
      </c>
      <c r="K3623" t="inlineStr">
        <is>
          <t>Ottawa (Ontario)</t>
        </is>
      </c>
      <c r="P3623" t="n">
        <v>600.99</v>
      </c>
      <c r="Q3623" t="n">
        <v>117.5</v>
      </c>
      <c r="R3623" t="n">
        <v>177.41</v>
      </c>
      <c r="S3623" t="n">
        <v>131.15</v>
      </c>
      <c r="T3623" t="n">
        <v>0</v>
      </c>
      <c r="U3623" t="n">
        <v>1027.05</v>
      </c>
      <c r="X3623" t="inlineStr">
        <is>
          <t>acoa-apeca</t>
        </is>
      </c>
      <c r="Y3623" t="inlineStr">
        <is>
          <t>Atlantic Canada Opportunities Agency | Agence de promotion économique du Canada atlantique</t>
        </is>
      </c>
      <c r="Z3623" t="n">
        <v>2</v>
      </c>
      <c r="AA3623" t="n">
        <v>1027.05</v>
      </c>
      <c r="AB3623">
        <f>ROUND(U3623-AA3623,2)</f>
        <v/>
      </c>
      <c r="AC3623" t="b">
        <v>0</v>
      </c>
      <c r="AD3623">
        <f>IF(U3623="","MISSING_TOTAL",IF(ABS(AB3623)&lt;=0.01,"OK","CHECK"))</f>
        <v/>
      </c>
      <c r="AE3623">
        <f>IF(U3623="","MISSING",IF(AND(AA3623&gt;0,U3623/AA3623&gt;50),"POSSIBLE_SCALE_ERROR","OK"))</f>
        <v/>
      </c>
    </row>
    <row r="3624">
      <c r="A3624" t="inlineStr">
        <is>
          <t>T-2013-Q3-00017</t>
        </is>
      </c>
      <c r="B3624" t="inlineStr">
        <is>
          <t>SLE</t>
        </is>
      </c>
      <c r="C3624" t="inlineStr">
        <is>
          <t>President</t>
        </is>
      </c>
      <c r="D3624" t="inlineStr">
        <is>
          <t>Président</t>
        </is>
      </c>
      <c r="E3624" t="inlineStr">
        <is>
          <t>Paul J. LeBlanc</t>
        </is>
      </c>
      <c r="F3624" t="inlineStr">
        <is>
          <t>For various meetings and discussions with Agency officials and with government officials</t>
        </is>
      </c>
      <c r="G3624" t="inlineStr">
        <is>
          <t>Diverses réunions et discussions avec des fonctionnaires de l'Agence et du gouvernement</t>
        </is>
      </c>
      <c r="H3624" s="1" t="n">
        <v>41161</v>
      </c>
      <c r="I3624" s="1" t="n">
        <v>41162</v>
      </c>
      <c r="J3624" t="inlineStr">
        <is>
          <t>Charlottetown, Prince Edward Island</t>
        </is>
      </c>
      <c r="K3624" t="inlineStr">
        <is>
          <t>Charlottetown (Île-du-Prince-Édouard)</t>
        </is>
      </c>
      <c r="P3624" t="n">
        <v>0</v>
      </c>
      <c r="Q3624" t="n">
        <v>0</v>
      </c>
      <c r="R3624" t="n">
        <v>236.12</v>
      </c>
      <c r="S3624" t="n">
        <v>105.9</v>
      </c>
      <c r="T3624" t="n">
        <v>115.08</v>
      </c>
      <c r="U3624" t="n">
        <v>457.1</v>
      </c>
      <c r="X3624" t="inlineStr">
        <is>
          <t>acoa-apeca</t>
        </is>
      </c>
      <c r="Y3624" t="inlineStr">
        <is>
          <t>Atlantic Canada Opportunities Agency | Agence de promotion économique du Canada atlantique</t>
        </is>
      </c>
      <c r="Z3624" t="n">
        <v>2</v>
      </c>
      <c r="AA3624" t="n">
        <v>457.099999999999</v>
      </c>
      <c r="AB3624">
        <f>ROUND(U3624-AA3624,2)</f>
        <v/>
      </c>
      <c r="AC3624" t="b">
        <v>0</v>
      </c>
      <c r="AD3624">
        <f>IF(U3624="","MISSING_TOTAL",IF(ABS(AB3624)&lt;=0.01,"OK","CHECK"))</f>
        <v/>
      </c>
      <c r="AE3624">
        <f>IF(U3624="","MISSING",IF(AND(AA3624&gt;0,U3624/AA3624&gt;50),"POSSIBLE_SCALE_ERROR","OK"))</f>
        <v/>
      </c>
    </row>
    <row r="3625">
      <c r="A3625" t="inlineStr">
        <is>
          <t>T-2013-Q3-00009</t>
        </is>
      </c>
      <c r="B3625" t="inlineStr">
        <is>
          <t>SLE</t>
        </is>
      </c>
      <c r="C3625" t="inlineStr">
        <is>
          <t>Vice-President, Newfoundland and Labrador</t>
        </is>
      </c>
      <c r="D3625" t="inlineStr">
        <is>
          <t>Vice-président, Terre-Neuve-et-Labrador</t>
        </is>
      </c>
      <c r="E3625" t="inlineStr">
        <is>
          <t>Paul Mills</t>
        </is>
      </c>
      <c r="F3625" t="inlineStr">
        <is>
          <t>Executive Committee meeting - September 6, 2012 in Moncton, New Brunswick</t>
        </is>
      </c>
      <c r="G3625" t="inlineStr">
        <is>
          <t>Réunion du Comité de direction le 6 septembre 2012 à Moncton (Nouveau-Brunswick)</t>
        </is>
      </c>
      <c r="H3625" s="1" t="n">
        <v>41157</v>
      </c>
      <c r="I3625" s="1" t="n">
        <v>41159</v>
      </c>
      <c r="J3625" t="inlineStr">
        <is>
          <t>Moncton, New Brunswick</t>
        </is>
      </c>
      <c r="K3625" t="inlineStr">
        <is>
          <t>Moncton (Nouveau-Brunswick)</t>
        </is>
      </c>
      <c r="P3625" t="n">
        <v>1368.14</v>
      </c>
      <c r="Q3625" t="n">
        <v>133</v>
      </c>
      <c r="R3625" t="n">
        <v>356.6</v>
      </c>
      <c r="S3625" t="n">
        <v>194.5</v>
      </c>
      <c r="T3625" t="n">
        <v>8.93</v>
      </c>
      <c r="U3625" t="n">
        <v>2061.17</v>
      </c>
      <c r="X3625" t="inlineStr">
        <is>
          <t>acoa-apeca</t>
        </is>
      </c>
      <c r="Y3625" t="inlineStr">
        <is>
          <t>Atlantic Canada Opportunities Agency | Agence de promotion économique du Canada atlantique</t>
        </is>
      </c>
      <c r="Z3625" t="n">
        <v>3</v>
      </c>
      <c r="AA3625" t="n">
        <v>2061.17</v>
      </c>
      <c r="AB3625">
        <f>ROUND(U3625-AA3625,2)</f>
        <v/>
      </c>
      <c r="AC3625" t="b">
        <v>0</v>
      </c>
      <c r="AD3625">
        <f>IF(U3625="","MISSING_TOTAL",IF(ABS(AB3625)&lt;=0.01,"OK","CHECK"))</f>
        <v/>
      </c>
      <c r="AE3625">
        <f>IF(U3625="","MISSING",IF(AND(AA3625&gt;0,U3625/AA3625&gt;50),"POSSIBLE_SCALE_ERROR","OK"))</f>
        <v/>
      </c>
    </row>
    <row r="3626">
      <c r="A3626" t="inlineStr">
        <is>
          <t>T-2013-Q3-00016</t>
        </is>
      </c>
      <c r="B3626" t="inlineStr">
        <is>
          <t>MPSES</t>
        </is>
      </c>
      <c r="C3626" t="inlineStr">
        <is>
          <t>Executive Assistant and Press Secretary</t>
        </is>
      </c>
      <c r="D3626" t="inlineStr">
        <is>
          <t>Adjointe exécutive et attaché de presse</t>
        </is>
      </c>
      <c r="E3626" t="inlineStr">
        <is>
          <t>Andrea Richer</t>
        </is>
      </c>
      <c r="F3626" t="inlineStr">
        <is>
          <t>Travel to accompany Minister to various Atlantic Canada Opportunities Agency meetings</t>
        </is>
      </c>
      <c r="G3626" t="inlineStr">
        <is>
          <t>Voyage pour accompagner le ministre à diverses réunions de l'Agence de promotion économique du Canada atlantique</t>
        </is>
      </c>
      <c r="H3626" s="1" t="n">
        <v>41160</v>
      </c>
      <c r="I3626" s="1" t="n">
        <v>41163</v>
      </c>
      <c r="J3626" t="inlineStr">
        <is>
          <t>Charlottetown, Prince-Edward Island and Halifax, Nova Scotia</t>
        </is>
      </c>
      <c r="K3626" t="inlineStr">
        <is>
          <t>Charlottetown (Île-du-Prince-Édouard) et Halifax (Nouvelle-Écosse)</t>
        </is>
      </c>
      <c r="P3626" t="n">
        <v>750.77</v>
      </c>
      <c r="Q3626" t="n">
        <v>0</v>
      </c>
      <c r="R3626" t="n">
        <v>472.24</v>
      </c>
      <c r="S3626" t="n">
        <v>250.95</v>
      </c>
      <c r="T3626" t="n">
        <v>0</v>
      </c>
      <c r="U3626" t="n">
        <v>1473.96</v>
      </c>
      <c r="X3626" t="inlineStr">
        <is>
          <t>acoa-apeca</t>
        </is>
      </c>
      <c r="Y3626" t="inlineStr">
        <is>
          <t>Atlantic Canada Opportunities Agency | Agence de promotion économique du Canada atlantique</t>
        </is>
      </c>
      <c r="Z3626" t="n">
        <v>4</v>
      </c>
      <c r="AA3626" t="n">
        <v>1473.96</v>
      </c>
      <c r="AB3626">
        <f>ROUND(U3626-AA3626,2)</f>
        <v/>
      </c>
      <c r="AC3626" t="b">
        <v>0</v>
      </c>
      <c r="AD3626">
        <f>IF(U3626="","MISSING_TOTAL",IF(ABS(AB3626)&lt;=0.01,"OK","CHECK"))</f>
        <v/>
      </c>
      <c r="AE3626">
        <f>IF(U3626="","MISSING",IF(AND(AA3626&gt;0,U3626/AA3626&gt;50),"POSSIBLE_SCALE_ERROR","OK"))</f>
        <v/>
      </c>
    </row>
    <row r="3627">
      <c r="A3627" t="inlineStr">
        <is>
          <t>T-2013-Q3-00014</t>
        </is>
      </c>
      <c r="B3627" t="inlineStr">
        <is>
          <t>MPSES</t>
        </is>
      </c>
      <c r="C3627" t="inlineStr">
        <is>
          <t>Chief of Staff</t>
        </is>
      </c>
      <c r="D3627" t="inlineStr">
        <is>
          <t>Chef de cabinet</t>
        </is>
      </c>
      <c r="E3627" t="inlineStr">
        <is>
          <t>Jacques Fauteux</t>
        </is>
      </c>
      <c r="F3627" t="inlineStr">
        <is>
          <t>To attend The Canadian Defence Security and Aerospace Exhibition Atlantic with Minister of State</t>
        </is>
      </c>
      <c r="G3627" t="inlineStr">
        <is>
          <t>Pour participer avec le minitre d'État à la Canadian Defence Security and Aerospace Exhibition Atlantic</t>
        </is>
      </c>
      <c r="H3627" s="1" t="n">
        <v>41157</v>
      </c>
      <c r="I3627" s="1" t="n">
        <v>41163</v>
      </c>
      <c r="J3627" t="inlineStr">
        <is>
          <t>Halifax, Nova Scotia</t>
        </is>
      </c>
      <c r="K3627" t="inlineStr">
        <is>
          <t>Halifax (Nouvelle-Écosse)</t>
        </is>
      </c>
      <c r="P3627" t="n">
        <v>290.3</v>
      </c>
      <c r="Q3627" t="n">
        <v>398.51</v>
      </c>
      <c r="R3627" t="n">
        <v>284.93</v>
      </c>
      <c r="S3627" t="n">
        <v>478.35</v>
      </c>
      <c r="T3627" t="n">
        <v>0</v>
      </c>
      <c r="U3627" t="n">
        <v>1452.09</v>
      </c>
      <c r="X3627" t="inlineStr">
        <is>
          <t>acoa-apeca</t>
        </is>
      </c>
      <c r="Y3627" t="inlineStr">
        <is>
          <t>Atlantic Canada Opportunities Agency | Agence de promotion économique du Canada atlantique</t>
        </is>
      </c>
      <c r="Z3627" t="n">
        <v>7</v>
      </c>
      <c r="AA3627" t="n">
        <v>1452.09</v>
      </c>
      <c r="AB3627">
        <f>ROUND(U3627-AA3627,2)</f>
        <v/>
      </c>
      <c r="AC3627" t="b">
        <v>0</v>
      </c>
      <c r="AD3627">
        <f>IF(U3627="","MISSING_TOTAL",IF(ABS(AB3627)&lt;=0.01,"OK","CHECK"))</f>
        <v/>
      </c>
      <c r="AE3627">
        <f>IF(U3627="","MISSING",IF(AND(AA3627&gt;0,U3627/AA3627&gt;50),"POSSIBLE_SCALE_ERROR","OK"))</f>
        <v/>
      </c>
    </row>
    <row r="3628">
      <c r="A3628" t="inlineStr">
        <is>
          <t>T-2013-Q3-00013</t>
        </is>
      </c>
      <c r="B3628" t="inlineStr">
        <is>
          <t>MPSES</t>
        </is>
      </c>
      <c r="C3628" t="inlineStr">
        <is>
          <t>Senior Policy Advisor</t>
        </is>
      </c>
      <c r="D3628" t="inlineStr">
        <is>
          <t>Conseiller principal en politiques</t>
        </is>
      </c>
      <c r="E3628" t="inlineStr">
        <is>
          <t>Benoit Violette</t>
        </is>
      </c>
      <c r="F3628" t="inlineStr">
        <is>
          <t>Travel to accompany Chief of Staff to various Atlantic Canada Opportunities Agency meetings</t>
        </is>
      </c>
      <c r="G3628" t="inlineStr">
        <is>
          <t>Voyage pour accompagner le chef de cabinet à diverses réunions de l'Agence de promotion économique du Canada atlantique</t>
        </is>
      </c>
      <c r="H3628" s="1" t="n">
        <v>41157</v>
      </c>
      <c r="I3628" s="1" t="n">
        <v>41162</v>
      </c>
      <c r="J3628" t="inlineStr">
        <is>
          <t>Halifax, Nova Scotia, Moncton, New Brunswick and Charlottetown, Prince Edward Island</t>
        </is>
      </c>
      <c r="K3628" t="inlineStr">
        <is>
          <t>Halifax (Nouvelle-Écosse), Moncton (Nouveau-Brunswick) et Charlottetown (Île-du-Prince-Édouard)</t>
        </is>
      </c>
      <c r="P3628" t="n">
        <v>1176.52</v>
      </c>
      <c r="Q3628" t="n">
        <v>32</v>
      </c>
      <c r="R3628" t="n">
        <v>404.93</v>
      </c>
      <c r="S3628" t="n">
        <v>358.55</v>
      </c>
      <c r="T3628" t="n">
        <v>0</v>
      </c>
      <c r="U3628" t="n">
        <v>1972</v>
      </c>
      <c r="X3628" t="inlineStr">
        <is>
          <t>acoa-apeca</t>
        </is>
      </c>
      <c r="Y3628" t="inlineStr">
        <is>
          <t>Atlantic Canada Opportunities Agency | Agence de promotion économique du Canada atlantique</t>
        </is>
      </c>
      <c r="Z3628" t="n">
        <v>6</v>
      </c>
      <c r="AA3628" t="n">
        <v>1972</v>
      </c>
      <c r="AB3628">
        <f>ROUND(U3628-AA3628,2)</f>
        <v/>
      </c>
      <c r="AC3628" t="b">
        <v>0</v>
      </c>
      <c r="AD3628">
        <f>IF(U3628="","MISSING_TOTAL",IF(ABS(AB3628)&lt;=0.01,"OK","CHECK"))</f>
        <v/>
      </c>
      <c r="AE3628">
        <f>IF(U3628="","MISSING",IF(AND(AA3628&gt;0,U3628/AA3628&gt;50),"POSSIBLE_SCALE_ERROR","OK"))</f>
        <v/>
      </c>
    </row>
    <row r="3629">
      <c r="A3629" t="inlineStr">
        <is>
          <t>T-2013-Q3-00012</t>
        </is>
      </c>
      <c r="B3629" t="inlineStr">
        <is>
          <t>MPSES</t>
        </is>
      </c>
      <c r="C3629" t="inlineStr">
        <is>
          <t>Chief of Staff</t>
        </is>
      </c>
      <c r="D3629" t="inlineStr">
        <is>
          <t>Chef de cabinet</t>
        </is>
      </c>
      <c r="E3629" t="inlineStr">
        <is>
          <t>Jacques Fauteux</t>
        </is>
      </c>
      <c r="F3629" t="inlineStr">
        <is>
          <t>Travel for various Atlantic Canada Opportunities Agency meetings</t>
        </is>
      </c>
      <c r="G3629" t="inlineStr">
        <is>
          <t>Voyage pour diverses réunions de l'Agence de promotion économique du Canada atlantique</t>
        </is>
      </c>
      <c r="H3629" s="1" t="n">
        <v>41157</v>
      </c>
      <c r="I3629" s="1" t="n">
        <v>41163</v>
      </c>
      <c r="J3629" t="inlineStr">
        <is>
          <t>Charlottetown, Prince Edward Island and Halifax, Nova Scotia</t>
        </is>
      </c>
      <c r="K3629" t="inlineStr">
        <is>
          <t>Charlottetown (Île-du-Prince-Édouard) et Halifax (Nouvelle-Écosse)</t>
        </is>
      </c>
      <c r="P3629" t="n">
        <v>1543.51</v>
      </c>
      <c r="Q3629" t="n">
        <v>0</v>
      </c>
      <c r="R3629" t="n">
        <v>0</v>
      </c>
      <c r="S3629" t="n">
        <v>0</v>
      </c>
      <c r="T3629" t="n">
        <v>0</v>
      </c>
      <c r="U3629" t="n">
        <v>1543.51</v>
      </c>
      <c r="X3629" t="inlineStr">
        <is>
          <t>acoa-apeca</t>
        </is>
      </c>
      <c r="Y3629" t="inlineStr">
        <is>
          <t>Atlantic Canada Opportunities Agency | Agence de promotion économique du Canada atlantique</t>
        </is>
      </c>
      <c r="Z3629" t="n">
        <v>7</v>
      </c>
      <c r="AA3629" t="n">
        <v>1543.51</v>
      </c>
      <c r="AB3629">
        <f>ROUND(U3629-AA3629,2)</f>
        <v/>
      </c>
      <c r="AC3629" t="b">
        <v>0</v>
      </c>
      <c r="AD3629">
        <f>IF(U3629="","MISSING_TOTAL",IF(ABS(AB3629)&lt;=0.01,"OK","CHECK"))</f>
        <v/>
      </c>
      <c r="AE3629">
        <f>IF(U3629="","MISSING",IF(AND(AA3629&gt;0,U3629/AA3629&gt;50),"POSSIBLE_SCALE_ERROR","OK"))</f>
        <v/>
      </c>
    </row>
    <row r="3630">
      <c r="A3630" t="inlineStr">
        <is>
          <t>T-2013-Q3-00011</t>
        </is>
      </c>
      <c r="B3630" t="inlineStr">
        <is>
          <t>SLE</t>
        </is>
      </c>
      <c r="C3630" t="inlineStr">
        <is>
          <t>Vice-President, Finance and Corporate Services</t>
        </is>
      </c>
      <c r="D3630" t="inlineStr">
        <is>
          <t>Vice-présidente, Finances et Services corporatifs</t>
        </is>
      </c>
      <c r="E3630" t="inlineStr">
        <is>
          <t>Denise Frenette</t>
        </is>
      </c>
      <c r="F3630" t="inlineStr">
        <is>
          <t>Meeting with Agency Officials</t>
        </is>
      </c>
      <c r="G3630" t="inlineStr">
        <is>
          <t>Réunion avec des fonctionnaires de l'Agence</t>
        </is>
      </c>
      <c r="H3630" s="1" t="n">
        <v>41157</v>
      </c>
      <c r="I3630" s="1" t="n">
        <v>41158</v>
      </c>
      <c r="J3630" t="inlineStr">
        <is>
          <t>Halifax, Nova Scotia</t>
        </is>
      </c>
      <c r="K3630" t="inlineStr">
        <is>
          <t>Halifax (Nouvelle-Écosse)</t>
        </is>
      </c>
      <c r="P3630" t="n">
        <v>0</v>
      </c>
      <c r="Q3630" t="n">
        <v>0</v>
      </c>
      <c r="R3630" t="n">
        <v>174.78</v>
      </c>
      <c r="S3630" t="n">
        <v>116.3</v>
      </c>
      <c r="T3630" t="n">
        <v>0</v>
      </c>
      <c r="U3630" t="n">
        <v>291.08</v>
      </c>
      <c r="X3630" t="inlineStr">
        <is>
          <t>acoa-apeca</t>
        </is>
      </c>
      <c r="Y3630" t="inlineStr">
        <is>
          <t>Atlantic Canada Opportunities Agency | Agence de promotion économique du Canada atlantique</t>
        </is>
      </c>
      <c r="Z3630" t="n">
        <v>2</v>
      </c>
      <c r="AA3630" t="n">
        <v>291.08</v>
      </c>
      <c r="AB3630">
        <f>ROUND(U3630-AA3630,2)</f>
        <v/>
      </c>
      <c r="AC3630" t="b">
        <v>0</v>
      </c>
      <c r="AD3630">
        <f>IF(U3630="","MISSING_TOTAL",IF(ABS(AB3630)&lt;=0.01,"OK","CHECK"))</f>
        <v/>
      </c>
      <c r="AE3630">
        <f>IF(U3630="","MISSING",IF(AND(AA3630&gt;0,U3630/AA3630&gt;50),"POSSIBLE_SCALE_ERROR","OK"))</f>
        <v/>
      </c>
    </row>
    <row r="3631">
      <c r="A3631" t="inlineStr">
        <is>
          <t>T-2013-Q1-00048</t>
        </is>
      </c>
      <c r="B3631" t="inlineStr">
        <is>
          <t>SLE</t>
        </is>
      </c>
      <c r="C3631" t="inlineStr">
        <is>
          <t>Vice-President, New Brunswick</t>
        </is>
      </c>
      <c r="D3631" t="inlineStr">
        <is>
          <t>Vice-présidente, Nouveau-Brunswick</t>
        </is>
      </c>
      <c r="E3631" t="inlineStr">
        <is>
          <t>Janet Gagnon</t>
        </is>
      </c>
      <c r="F3631" t="inlineStr">
        <is>
          <t>New Brunswick Federal Council (NBFC) meeting</t>
        </is>
      </c>
      <c r="G3631" t="inlineStr">
        <is>
          <t>Réunion du Conseil fédéral du Nouveau-Brunswick</t>
        </is>
      </c>
      <c r="H3631" s="1" t="n">
        <v>41017</v>
      </c>
      <c r="I3631" s="1" t="n">
        <v>41019</v>
      </c>
      <c r="J3631" t="inlineStr">
        <is>
          <t>Ottawa, Ontario</t>
        </is>
      </c>
      <c r="K3631" t="inlineStr">
        <is>
          <t>Ottawa (Ontario)</t>
        </is>
      </c>
      <c r="P3631" t="n">
        <v>211.65</v>
      </c>
      <c r="Q3631" t="n">
        <v>89.25</v>
      </c>
      <c r="R3631" t="n">
        <v>354.82</v>
      </c>
      <c r="S3631" t="n">
        <v>235.35</v>
      </c>
      <c r="T3631" t="n">
        <v>30</v>
      </c>
      <c r="U3631" t="n">
        <v>921.0700000000001</v>
      </c>
      <c r="X3631" t="inlineStr">
        <is>
          <t>acoa-apeca</t>
        </is>
      </c>
      <c r="Y3631" t="inlineStr">
        <is>
          <t>Atlantic Canada Opportunities Agency | Agence de promotion économique du Canada atlantique</t>
        </is>
      </c>
      <c r="Z3631" t="n">
        <v>3</v>
      </c>
      <c r="AA3631" t="n">
        <v>921.0700000000001</v>
      </c>
      <c r="AB3631">
        <f>ROUND(U3631-AA3631,2)</f>
        <v/>
      </c>
      <c r="AC3631" t="b">
        <v>0</v>
      </c>
      <c r="AD3631">
        <f>IF(U3631="","MISSING_TOTAL",IF(ABS(AB3631)&lt;=0.01,"OK","CHECK"))</f>
        <v/>
      </c>
      <c r="AE3631">
        <f>IF(U3631="","MISSING",IF(AND(AA3631&gt;0,U3631/AA3631&gt;50),"POSSIBLE_SCALE_ERROR","OK"))</f>
        <v/>
      </c>
    </row>
    <row r="3632">
      <c r="A3632" t="inlineStr">
        <is>
          <t>T-2013-Q3-00008</t>
        </is>
      </c>
      <c r="B3632" t="inlineStr">
        <is>
          <t>SLE</t>
        </is>
      </c>
      <c r="C3632" t="inlineStr">
        <is>
          <t>Vice-President, New Brunswick</t>
        </is>
      </c>
      <c r="D3632" t="inlineStr">
        <is>
          <t>Vice-présidente, Nouveau-Brunswick</t>
        </is>
      </c>
      <c r="E3632" t="inlineStr">
        <is>
          <t>Janet Gagnon</t>
        </is>
      </c>
      <c r="F3632" t="inlineStr">
        <is>
          <t>Executive Committee meeting</t>
        </is>
      </c>
      <c r="G3632" t="inlineStr">
        <is>
          <t>Réunion du Comité de direction</t>
        </is>
      </c>
      <c r="H3632" s="1" t="n">
        <v>41157</v>
      </c>
      <c r="I3632" s="1" t="n">
        <v>41158</v>
      </c>
      <c r="J3632" t="inlineStr">
        <is>
          <t>Halifax, Nova Scotia</t>
        </is>
      </c>
      <c r="K3632" t="inlineStr">
        <is>
          <t>Halifax (Nouvelle-Écosse)</t>
        </is>
      </c>
      <c r="P3632" t="n">
        <v>672.8099999999999</v>
      </c>
      <c r="Q3632" t="n">
        <v>60</v>
      </c>
      <c r="R3632" t="n">
        <v>165.39</v>
      </c>
      <c r="S3632" t="n">
        <v>131.9</v>
      </c>
      <c r="T3632" t="n">
        <v>18</v>
      </c>
      <c r="U3632" t="n">
        <v>1048.1</v>
      </c>
      <c r="X3632" t="inlineStr">
        <is>
          <t>acoa-apeca</t>
        </is>
      </c>
      <c r="Y3632" t="inlineStr">
        <is>
          <t>Atlantic Canada Opportunities Agency | Agence de promotion économique du Canada atlantique</t>
        </is>
      </c>
      <c r="Z3632" t="n">
        <v>2</v>
      </c>
      <c r="AA3632" t="n">
        <v>1048.1</v>
      </c>
      <c r="AB3632">
        <f>ROUND(U3632-AA3632,2)</f>
        <v/>
      </c>
      <c r="AC3632" t="b">
        <v>0</v>
      </c>
      <c r="AD3632">
        <f>IF(U3632="","MISSING_TOTAL",IF(ABS(AB3632)&lt;=0.01,"OK","CHECK"))</f>
        <v/>
      </c>
      <c r="AE3632">
        <f>IF(U3632="","MISSING",IF(AND(AA3632&gt;0,U3632/AA3632&gt;50),"POSSIBLE_SCALE_ERROR","OK"))</f>
        <v/>
      </c>
    </row>
    <row r="3633">
      <c r="A3633" t="inlineStr">
        <is>
          <t>T-2013-Q3-00007</t>
        </is>
      </c>
      <c r="B3633" t="inlineStr">
        <is>
          <t>MPSES</t>
        </is>
      </c>
      <c r="C3633" t="inlineStr">
        <is>
          <t>Member of Parliament</t>
        </is>
      </c>
      <c r="D3633" t="inlineStr">
        <is>
          <t>Député</t>
        </is>
      </c>
      <c r="E3633" t="inlineStr">
        <is>
          <t>Christopher Alexander</t>
        </is>
      </c>
      <c r="F3633" t="inlineStr">
        <is>
          <t>Travel on behalf of Minister of State for various Atlantic Canada Opportunities Agency announcements (amounts have been reduced from previously published numbers to reflect airline rebates.  The airline provided these rebates after travel had occurred.)</t>
        </is>
      </c>
      <c r="G3633" t="inlineStr">
        <is>
          <t>Voyage au nom du ministre d'État pour diverses annonces de l'APECA (Les chiffres publiés antérieurement ont été réduits pour refléter des rabais sur les tarifs aériens. Le transporteur aérien a offert ces rabais après le voyage.)</t>
        </is>
      </c>
      <c r="H3633" s="1" t="n">
        <v>41156</v>
      </c>
      <c r="I3633" s="1" t="n">
        <v>41157</v>
      </c>
      <c r="J3633" t="inlineStr">
        <is>
          <t>Halifax, Nova Scotia</t>
        </is>
      </c>
      <c r="K3633" t="inlineStr">
        <is>
          <t>Halifax (Nouvelle-Écosse)</t>
        </is>
      </c>
      <c r="P3633" t="n">
        <v>1257.28</v>
      </c>
      <c r="Q3633" t="n">
        <v>0</v>
      </c>
      <c r="R3633" t="n">
        <v>186.51</v>
      </c>
      <c r="S3633" t="n">
        <v>120.75</v>
      </c>
      <c r="T3633" t="n">
        <v>0</v>
      </c>
      <c r="U3633" t="n">
        <v>1564.54</v>
      </c>
      <c r="X3633" t="inlineStr">
        <is>
          <t>acoa-apeca</t>
        </is>
      </c>
      <c r="Y3633" t="inlineStr">
        <is>
          <t>Atlantic Canada Opportunities Agency | Agence de promotion économique du Canada atlantique</t>
        </is>
      </c>
      <c r="Z3633" t="n">
        <v>2</v>
      </c>
      <c r="AA3633" t="n">
        <v>1564.54</v>
      </c>
      <c r="AB3633">
        <f>ROUND(U3633-AA3633,2)</f>
        <v/>
      </c>
      <c r="AC3633" t="b">
        <v>0</v>
      </c>
      <c r="AD3633">
        <f>IF(U3633="","MISSING_TOTAL",IF(ABS(AB3633)&lt;=0.01,"OK","CHECK"))</f>
        <v/>
      </c>
      <c r="AE3633">
        <f>IF(U3633="","MISSING",IF(AND(AA3633&gt;0,U3633/AA3633&gt;50),"POSSIBLE_SCALE_ERROR","OK"))</f>
        <v/>
      </c>
    </row>
    <row r="3634">
      <c r="A3634" t="inlineStr">
        <is>
          <t>T-2013-Q3-00006</t>
        </is>
      </c>
      <c r="B3634" t="inlineStr">
        <is>
          <t>SLE</t>
        </is>
      </c>
      <c r="C3634" t="inlineStr">
        <is>
          <t>Vice-President, Policy and Programs</t>
        </is>
      </c>
      <c r="D3634" t="inlineStr">
        <is>
          <t>Vice-président, Politiques et Programmes</t>
        </is>
      </c>
      <c r="E3634" t="inlineStr">
        <is>
          <t>Daryell Nowlan</t>
        </is>
      </c>
      <c r="F3634" t="inlineStr">
        <is>
          <t>Meeting with Government of Canada officials</t>
        </is>
      </c>
      <c r="G3634" t="inlineStr">
        <is>
          <t>Réunion avec des fonctionnaires du gouvernement du Canada</t>
        </is>
      </c>
      <c r="H3634" s="1" t="n">
        <v>41156</v>
      </c>
      <c r="I3634" s="1" t="n">
        <v>41159</v>
      </c>
      <c r="J3634" t="inlineStr">
        <is>
          <t>Halifax, Nova Scotia</t>
        </is>
      </c>
      <c r="K3634" t="inlineStr">
        <is>
          <t>Halifax (Nouvelle-Écosse)</t>
        </is>
      </c>
      <c r="P3634" t="n">
        <v>0</v>
      </c>
      <c r="Q3634" t="n">
        <v>270.94</v>
      </c>
      <c r="R3634" t="n">
        <v>349.56</v>
      </c>
      <c r="S3634" t="n">
        <v>148.45</v>
      </c>
      <c r="T3634" t="n">
        <v>0</v>
      </c>
      <c r="U3634" t="n">
        <v>768.95</v>
      </c>
      <c r="X3634" t="inlineStr">
        <is>
          <t>acoa-apeca</t>
        </is>
      </c>
      <c r="Y3634" t="inlineStr">
        <is>
          <t>Atlantic Canada Opportunities Agency | Agence de promotion économique du Canada atlantique</t>
        </is>
      </c>
      <c r="Z3634" t="n">
        <v>4</v>
      </c>
      <c r="AA3634" t="n">
        <v>768.95</v>
      </c>
      <c r="AB3634">
        <f>ROUND(U3634-AA3634,2)</f>
        <v/>
      </c>
      <c r="AC3634" t="b">
        <v>0</v>
      </c>
      <c r="AD3634">
        <f>IF(U3634="","MISSING_TOTAL",IF(ABS(AB3634)&lt;=0.01,"OK","CHECK"))</f>
        <v/>
      </c>
      <c r="AE3634">
        <f>IF(U3634="","MISSING",IF(AND(AA3634&gt;0,U3634/AA3634&gt;50),"POSSIBLE_SCALE_ERROR","OK"))</f>
        <v/>
      </c>
    </row>
    <row r="3635">
      <c r="A3635" t="inlineStr">
        <is>
          <t>T-2013-Q3-00005</t>
        </is>
      </c>
      <c r="B3635" t="inlineStr">
        <is>
          <t>SLE</t>
        </is>
      </c>
      <c r="C3635" t="inlineStr">
        <is>
          <t>President</t>
        </is>
      </c>
      <c r="D3635" t="inlineStr">
        <is>
          <t>Président</t>
        </is>
      </c>
      <c r="E3635" t="inlineStr">
        <is>
          <t>Paul J. LeBlanc</t>
        </is>
      </c>
      <c r="F3635" t="inlineStr">
        <is>
          <t>For various meetings and discussions with Agency officials and Government of Canada officials</t>
        </is>
      </c>
      <c r="G3635" t="inlineStr">
        <is>
          <t>Diverses réunions et discussions avec des fonctionnaires de l'Agence et du gouvernement du Canada</t>
        </is>
      </c>
      <c r="H3635" s="1" t="n">
        <v>41156</v>
      </c>
      <c r="I3635" s="1" t="n">
        <v>41159</v>
      </c>
      <c r="J3635" t="inlineStr">
        <is>
          <t>Ottawa, Ontario and Halifax, Nova Scotia</t>
        </is>
      </c>
      <c r="K3635" t="inlineStr">
        <is>
          <t>Ottawa (Ontario) et Halifax (Nouvelle-Écosse)</t>
        </is>
      </c>
      <c r="P3635" t="n">
        <v>1112.04</v>
      </c>
      <c r="Q3635" t="n">
        <v>0</v>
      </c>
      <c r="R3635" t="n">
        <v>529.23</v>
      </c>
      <c r="S3635" t="n">
        <v>227.4</v>
      </c>
      <c r="T3635" t="n">
        <v>60</v>
      </c>
      <c r="U3635" t="n">
        <v>1928.67</v>
      </c>
      <c r="X3635" t="inlineStr">
        <is>
          <t>acoa-apeca</t>
        </is>
      </c>
      <c r="Y3635" t="inlineStr">
        <is>
          <t>Atlantic Canada Opportunities Agency | Agence de promotion économique du Canada atlantique</t>
        </is>
      </c>
      <c r="Z3635" t="n">
        <v>4</v>
      </c>
      <c r="AA3635" t="n">
        <v>1928.67</v>
      </c>
      <c r="AB3635">
        <f>ROUND(U3635-AA3635,2)</f>
        <v/>
      </c>
      <c r="AC3635" t="b">
        <v>0</v>
      </c>
      <c r="AD3635">
        <f>IF(U3635="","MISSING_TOTAL",IF(ABS(AB3635)&lt;=0.01,"OK","CHECK"))</f>
        <v/>
      </c>
      <c r="AE3635">
        <f>IF(U3635="","MISSING",IF(AND(AA3635&gt;0,U3635/AA3635&gt;50),"POSSIBLE_SCALE_ERROR","OK"))</f>
        <v/>
      </c>
    </row>
    <row r="3636">
      <c r="A3636" t="inlineStr">
        <is>
          <t>T-2013-Q3-00004</t>
        </is>
      </c>
      <c r="B3636" t="inlineStr">
        <is>
          <t>MPSES</t>
        </is>
      </c>
      <c r="C3636" t="inlineStr">
        <is>
          <t>Member of Parliament for Yellowhead, Alberta</t>
        </is>
      </c>
      <c r="D3636" t="inlineStr">
        <is>
          <t>Membre du parlement, Yellowhead, Alberta</t>
        </is>
      </c>
      <c r="E3636" t="inlineStr">
        <is>
          <t>Robert Merrifield</t>
        </is>
      </c>
      <c r="F3636" t="inlineStr">
        <is>
          <t>Travel to accompany Minister of State for trade mission</t>
        </is>
      </c>
      <c r="G3636" t="inlineStr">
        <is>
          <t>Voyage pour accompagner le ministre d'État à une mission commerciale</t>
        </is>
      </c>
      <c r="H3636" s="1" t="n">
        <v>41154</v>
      </c>
      <c r="I3636" s="1" t="n">
        <v>41160</v>
      </c>
      <c r="J3636" t="inlineStr">
        <is>
          <t>Santo Domingo, Dominican Republic and Port-au-Prince, Haiti</t>
        </is>
      </c>
      <c r="K3636" t="inlineStr">
        <is>
          <t>Saint-Domingue (République dominicaine) et Port-au-Prince (Haïti)</t>
        </is>
      </c>
      <c r="P3636" t="n">
        <v>1586.23</v>
      </c>
      <c r="Q3636" t="n">
        <v>0</v>
      </c>
      <c r="R3636" t="n">
        <v>952.15</v>
      </c>
      <c r="S3636" t="n">
        <v>658.79</v>
      </c>
      <c r="T3636" t="n">
        <v>0</v>
      </c>
      <c r="U3636" t="n">
        <v>3197.17</v>
      </c>
      <c r="X3636" t="inlineStr">
        <is>
          <t>acoa-apeca</t>
        </is>
      </c>
      <c r="Y3636" t="inlineStr">
        <is>
          <t>Atlantic Canada Opportunities Agency | Agence de promotion économique du Canada atlantique</t>
        </is>
      </c>
      <c r="Z3636" t="n">
        <v>7</v>
      </c>
      <c r="AA3636" t="n">
        <v>3197.17</v>
      </c>
      <c r="AB3636">
        <f>ROUND(U3636-AA3636,2)</f>
        <v/>
      </c>
      <c r="AC3636" t="b">
        <v>0</v>
      </c>
      <c r="AD3636">
        <f>IF(U3636="","MISSING_TOTAL",IF(ABS(AB3636)&lt;=0.01,"OK","CHECK"))</f>
        <v/>
      </c>
      <c r="AE3636">
        <f>IF(U3636="","MISSING",IF(AND(AA3636&gt;0,U3636/AA3636&gt;50),"POSSIBLE_SCALE_ERROR","OK"))</f>
        <v/>
      </c>
    </row>
    <row r="3637">
      <c r="A3637" t="inlineStr">
        <is>
          <t>T-2013-Q3-00003</t>
        </is>
      </c>
      <c r="B3637" t="inlineStr">
        <is>
          <t>MPSES</t>
        </is>
      </c>
      <c r="C3637" t="inlineStr">
        <is>
          <t>Chief of Staff</t>
        </is>
      </c>
      <c r="D3637" t="inlineStr">
        <is>
          <t>Chef de cabinet</t>
        </is>
      </c>
      <c r="E3637" t="inlineStr">
        <is>
          <t>Mélisa Leclerc</t>
        </is>
      </c>
      <c r="F3637" t="inlineStr">
        <is>
          <t>Scheduled travel to accompany Minister of State to Trade Mission - but travel was cancelled for administrative reasons</t>
        </is>
      </c>
      <c r="G3637" t="inlineStr">
        <is>
          <t>Voyage prévu pour accompagner le ministre d'État à une mission commerciale, mais le voyage a été annulé pour des raisons administratives</t>
        </is>
      </c>
      <c r="H3637" s="1" t="n">
        <v>41154</v>
      </c>
      <c r="I3637" s="1" t="n">
        <v>41160</v>
      </c>
      <c r="J3637" t="inlineStr">
        <is>
          <t>Santo Domingo, Dominican Republic and Port-au-Prince, Haïti</t>
        </is>
      </c>
      <c r="K3637" t="inlineStr">
        <is>
          <t>Saint-Domingue (République dominicaine) et Port-au-Prince (Haïti)</t>
        </is>
      </c>
      <c r="P3637" t="n">
        <v>792.75</v>
      </c>
      <c r="Q3637" t="n">
        <v>0</v>
      </c>
      <c r="R3637" t="n">
        <v>0</v>
      </c>
      <c r="S3637" t="n">
        <v>0</v>
      </c>
      <c r="T3637" t="n">
        <v>0</v>
      </c>
      <c r="U3637" t="n">
        <v>792.75</v>
      </c>
      <c r="X3637" t="inlineStr">
        <is>
          <t>acoa-apeca</t>
        </is>
      </c>
      <c r="Y3637" t="inlineStr">
        <is>
          <t>Atlantic Canada Opportunities Agency | Agence de promotion économique du Canada atlantique</t>
        </is>
      </c>
      <c r="Z3637" t="n">
        <v>7</v>
      </c>
      <c r="AA3637" t="n">
        <v>792.75</v>
      </c>
      <c r="AB3637">
        <f>ROUND(U3637-AA3637,2)</f>
        <v/>
      </c>
      <c r="AC3637" t="b">
        <v>0</v>
      </c>
      <c r="AD3637">
        <f>IF(U3637="","MISSING_TOTAL",IF(ABS(AB3637)&lt;=0.01,"OK","CHECK"))</f>
        <v/>
      </c>
      <c r="AE3637">
        <f>IF(U3637="","MISSING",IF(AND(AA3637&gt;0,U3637/AA3637&gt;50),"POSSIBLE_SCALE_ERROR","OK"))</f>
        <v/>
      </c>
    </row>
    <row r="3638">
      <c r="A3638" t="inlineStr">
        <is>
          <t>T-2013-Q3-00002</t>
        </is>
      </c>
      <c r="B3638" t="inlineStr">
        <is>
          <t>MPSES</t>
        </is>
      </c>
      <c r="C3638" t="inlineStr">
        <is>
          <t>Executive Assistant and Press Secretary</t>
        </is>
      </c>
      <c r="D3638" t="inlineStr">
        <is>
          <t>Adjointe exécutive et attaché de presse</t>
        </is>
      </c>
      <c r="E3638" t="inlineStr">
        <is>
          <t>Andrea Richer</t>
        </is>
      </c>
      <c r="F3638" t="inlineStr">
        <is>
          <t>Travel to accompany Minister to trade mission</t>
        </is>
      </c>
      <c r="G3638" t="inlineStr">
        <is>
          <t>Voyage pour accompagner le ministre à une mission commerciale</t>
        </is>
      </c>
      <c r="H3638" s="1" t="n">
        <v>41154</v>
      </c>
      <c r="I3638" s="1" t="n">
        <v>41160</v>
      </c>
      <c r="J3638" t="inlineStr">
        <is>
          <t>Santo Domingo, Dominican Republic and Port-au-Prince, Haiti</t>
        </is>
      </c>
      <c r="K3638" t="inlineStr">
        <is>
          <t>Saint-Domingue (République dominicaine) et Port-au-Prince (Haïti)</t>
        </is>
      </c>
      <c r="P3638" t="n">
        <v>1540.31</v>
      </c>
      <c r="Q3638" t="n">
        <v>0</v>
      </c>
      <c r="R3638" t="n">
        <v>952.15</v>
      </c>
      <c r="S3638" t="n">
        <v>636.5599999999999</v>
      </c>
      <c r="T3638" t="n">
        <v>0</v>
      </c>
      <c r="U3638" t="n">
        <v>3129.02</v>
      </c>
      <c r="X3638" t="inlineStr">
        <is>
          <t>acoa-apeca</t>
        </is>
      </c>
      <c r="Y3638" t="inlineStr">
        <is>
          <t>Atlantic Canada Opportunities Agency | Agence de promotion économique du Canada atlantique</t>
        </is>
      </c>
      <c r="Z3638" t="n">
        <v>7</v>
      </c>
      <c r="AA3638" t="n">
        <v>3129.02</v>
      </c>
      <c r="AB3638">
        <f>ROUND(U3638-AA3638,2)</f>
        <v/>
      </c>
      <c r="AC3638" t="b">
        <v>0</v>
      </c>
      <c r="AD3638">
        <f>IF(U3638="","MISSING_TOTAL",IF(ABS(AB3638)&lt;=0.01,"OK","CHECK"))</f>
        <v/>
      </c>
      <c r="AE3638">
        <f>IF(U3638="","MISSING",IF(AND(AA3638&gt;0,U3638/AA3638&gt;50),"POSSIBLE_SCALE_ERROR","OK"))</f>
        <v/>
      </c>
    </row>
    <row r="3639">
      <c r="A3639" t="inlineStr">
        <is>
          <t>T-2013-Q3-00001</t>
        </is>
      </c>
      <c r="B3639" t="inlineStr">
        <is>
          <t>MPSES</t>
        </is>
      </c>
      <c r="C3639" t="inlineStr">
        <is>
          <t>Minister of State</t>
        </is>
      </c>
      <c r="D3639" t="inlineStr">
        <is>
          <t>Ministre d'État</t>
        </is>
      </c>
      <c r="E3639" t="inlineStr">
        <is>
          <t>Bernard Valcourt</t>
        </is>
      </c>
      <c r="F3639" t="inlineStr">
        <is>
          <t>Various meetings and speeches for the Government of Canada</t>
        </is>
      </c>
      <c r="G3639" t="inlineStr">
        <is>
          <t>Réunions et allocutions diverses pour le gouvernement du Canada</t>
        </is>
      </c>
      <c r="H3639" s="1" t="n">
        <v>41154</v>
      </c>
      <c r="I3639" s="1" t="n">
        <v>41160</v>
      </c>
      <c r="J3639" t="inlineStr">
        <is>
          <t>Santo Domingo, Dominican Republic and Port-au-Prince, Haiti</t>
        </is>
      </c>
      <c r="K3639" t="inlineStr">
        <is>
          <t>Saint-Domingue (République dominicaine) et Port-au-Prince (Haïti)</t>
        </is>
      </c>
      <c r="P3639" t="n">
        <v>1494.71</v>
      </c>
      <c r="Q3639" t="n">
        <v>0</v>
      </c>
      <c r="R3639" t="n">
        <v>952.15</v>
      </c>
      <c r="S3639" t="n">
        <v>560.09</v>
      </c>
      <c r="T3639" t="n">
        <v>132</v>
      </c>
      <c r="U3639" t="n">
        <v>3138.95</v>
      </c>
      <c r="X3639" t="inlineStr">
        <is>
          <t>acoa-apeca</t>
        </is>
      </c>
      <c r="Y3639" t="inlineStr">
        <is>
          <t>Atlantic Canada Opportunities Agency | Agence de promotion économique du Canada atlantique</t>
        </is>
      </c>
      <c r="Z3639" t="n">
        <v>7</v>
      </c>
      <c r="AA3639" t="n">
        <v>3138.95</v>
      </c>
      <c r="AB3639">
        <f>ROUND(U3639-AA3639,2)</f>
        <v/>
      </c>
      <c r="AC3639" t="b">
        <v>0</v>
      </c>
      <c r="AD3639">
        <f>IF(U3639="","MISSING_TOTAL",IF(ABS(AB3639)&lt;=0.01,"OK","CHECK"))</f>
        <v/>
      </c>
      <c r="AE3639">
        <f>IF(U3639="","MISSING",IF(AND(AA3639&gt;0,U3639/AA3639&gt;50),"POSSIBLE_SCALE_ERROR","OK"))</f>
        <v/>
      </c>
    </row>
    <row r="3640">
      <c r="A3640" t="inlineStr">
        <is>
          <t>T-2013-Q2-00064</t>
        </is>
      </c>
      <c r="B3640" t="inlineStr">
        <is>
          <t>SLE</t>
        </is>
      </c>
      <c r="C3640" t="inlineStr">
        <is>
          <t>Vice President, Nova Scotia</t>
        </is>
      </c>
      <c r="D3640" t="inlineStr">
        <is>
          <t>Vice-président, Nouvelle-Écosse</t>
        </is>
      </c>
      <c r="E3640" t="inlineStr">
        <is>
          <t>Peter Hogan</t>
        </is>
      </c>
      <c r="F3640" t="inlineStr">
        <is>
          <t>Various meetings with Agency and Government of Canada officials</t>
        </is>
      </c>
      <c r="G3640" t="inlineStr">
        <is>
          <t>Diverses réunions avec des fonctionnaires de l'Agence et du gouvernement du Canada</t>
        </is>
      </c>
      <c r="H3640" s="1" t="n">
        <v>41151</v>
      </c>
      <c r="I3640" s="1" t="n">
        <v>41151</v>
      </c>
      <c r="J3640" t="inlineStr">
        <is>
          <t>Ottawa, Ontario</t>
        </is>
      </c>
      <c r="K3640" t="inlineStr">
        <is>
          <t>Ottawa (Ontario)</t>
        </is>
      </c>
      <c r="P3640" t="n">
        <v>643.95</v>
      </c>
      <c r="Q3640" t="n">
        <v>109.6</v>
      </c>
      <c r="R3640" t="n">
        <v>0</v>
      </c>
      <c r="S3640" t="n">
        <v>71.3</v>
      </c>
      <c r="T3640" t="n">
        <v>0</v>
      </c>
      <c r="U3640" t="n">
        <v>824.85</v>
      </c>
      <c r="X3640" t="inlineStr">
        <is>
          <t>acoa-apeca</t>
        </is>
      </c>
      <c r="Y3640" t="inlineStr">
        <is>
          <t>Atlantic Canada Opportunities Agency | Agence de promotion économique du Canada atlantique</t>
        </is>
      </c>
      <c r="Z3640" t="n">
        <v>1</v>
      </c>
      <c r="AA3640" t="n">
        <v>824.85</v>
      </c>
      <c r="AB3640">
        <f>ROUND(U3640-AA3640,2)</f>
        <v/>
      </c>
      <c r="AC3640" t="b">
        <v>0</v>
      </c>
      <c r="AD3640">
        <f>IF(U3640="","MISSING_TOTAL",IF(ABS(AB3640)&lt;=0.01,"OK","CHECK"))</f>
        <v/>
      </c>
      <c r="AE3640">
        <f>IF(U3640="","MISSING",IF(AND(AA3640&gt;0,U3640/AA3640&gt;50),"POSSIBLE_SCALE_ERROR","OK"))</f>
        <v/>
      </c>
    </row>
    <row r="3641">
      <c r="A3641" t="inlineStr">
        <is>
          <t>T-2013-Q2-00063</t>
        </is>
      </c>
      <c r="B3641" t="inlineStr">
        <is>
          <t>SLE</t>
        </is>
      </c>
      <c r="C3641" t="inlineStr">
        <is>
          <t>President</t>
        </is>
      </c>
      <c r="D3641" t="inlineStr">
        <is>
          <t>Président</t>
        </is>
      </c>
      <c r="E3641" t="inlineStr">
        <is>
          <t>Paul J. LeBlanc</t>
        </is>
      </c>
      <c r="F3641" t="inlineStr">
        <is>
          <t>For meeting with Government of Canada official</t>
        </is>
      </c>
      <c r="G3641" t="inlineStr">
        <is>
          <t>Réunion avec un fonctionnaire du gouvernement du Canada</t>
        </is>
      </c>
      <c r="H3641" s="1" t="n">
        <v>41151</v>
      </c>
      <c r="I3641" s="1" t="n">
        <v>41152</v>
      </c>
      <c r="J3641" t="inlineStr">
        <is>
          <t>Ottawa, Ontario</t>
        </is>
      </c>
      <c r="K3641" t="inlineStr">
        <is>
          <t>Ottawa (Ontario)</t>
        </is>
      </c>
      <c r="P3641" t="n">
        <v>741.36</v>
      </c>
      <c r="Q3641" t="n">
        <v>0</v>
      </c>
      <c r="R3641" t="n">
        <v>177.41</v>
      </c>
      <c r="S3641" t="n">
        <v>105.9</v>
      </c>
      <c r="T3641" t="n">
        <v>27</v>
      </c>
      <c r="U3641" t="n">
        <v>1051.67</v>
      </c>
      <c r="X3641" t="inlineStr">
        <is>
          <t>acoa-apeca</t>
        </is>
      </c>
      <c r="Y3641" t="inlineStr">
        <is>
          <t>Atlantic Canada Opportunities Agency | Agence de promotion économique du Canada atlantique</t>
        </is>
      </c>
      <c r="Z3641" t="n">
        <v>2</v>
      </c>
      <c r="AA3641" t="n">
        <v>1051.67</v>
      </c>
      <c r="AB3641">
        <f>ROUND(U3641-AA3641,2)</f>
        <v/>
      </c>
      <c r="AC3641" t="b">
        <v>0</v>
      </c>
      <c r="AD3641">
        <f>IF(U3641="","MISSING_TOTAL",IF(ABS(AB3641)&lt;=0.01,"OK","CHECK"))</f>
        <v/>
      </c>
      <c r="AE3641">
        <f>IF(U3641="","MISSING",IF(AND(AA3641&gt;0,U3641/AA3641&gt;50),"POSSIBLE_SCALE_ERROR","OK"))</f>
        <v/>
      </c>
    </row>
    <row r="3642">
      <c r="A3642" t="inlineStr">
        <is>
          <t>T-2013-Q2-00061</t>
        </is>
      </c>
      <c r="B3642" t="inlineStr">
        <is>
          <t>MPSES</t>
        </is>
      </c>
      <c r="C3642" t="inlineStr">
        <is>
          <t>Executive Assistant and Press Secretary</t>
        </is>
      </c>
      <c r="D3642" t="inlineStr">
        <is>
          <t>Adjointe exécutive et attaché de presse</t>
        </is>
      </c>
      <c r="E3642" t="inlineStr">
        <is>
          <t>Andrea Richer</t>
        </is>
      </c>
      <c r="F3642" t="inlineStr">
        <is>
          <t>Travel to accompany Minister to various Atlantic Canada Opportunities Agency meetings and announcements (amounts have been reduced from previously published numbers to reflect airline rebates.  The airline provided these rebates after travel had occurred.)</t>
        </is>
      </c>
      <c r="G3642" t="inlineStr">
        <is>
          <t>Voyage pour accompagner le ministre à diverses réunions et annonces de l'APECA (Les chiffres publiés antérieurement ont été réduits pour refléter des rabais sur les tarifs aériens. Le transporteur aérien a offert ces rabais après le voyage.)</t>
        </is>
      </c>
      <c r="H3642" s="1" t="n">
        <v>41148</v>
      </c>
      <c r="I3642" s="1" t="n">
        <v>41152</v>
      </c>
      <c r="J3642" t="inlineStr">
        <is>
          <t>Campbellton, Acadian Peninsula, Moncton, Saint John and Fredericton, New Brunswick</t>
        </is>
      </c>
      <c r="K3642" t="inlineStr">
        <is>
          <t>Campbellton, Péninsule acadienne, Moncton, Saint John et Fredericton (Nouveau-Brunswick)</t>
        </is>
      </c>
      <c r="P3642" t="n">
        <v>500.62</v>
      </c>
      <c r="Q3642" t="n">
        <v>43.35</v>
      </c>
      <c r="R3642" t="n">
        <v>380.81</v>
      </c>
      <c r="S3642" t="n">
        <v>308.35</v>
      </c>
      <c r="T3642" t="n">
        <v>0</v>
      </c>
      <c r="U3642" t="n">
        <v>1233.13</v>
      </c>
      <c r="X3642" t="inlineStr">
        <is>
          <t>acoa-apeca</t>
        </is>
      </c>
      <c r="Y3642" t="inlineStr">
        <is>
          <t>Atlantic Canada Opportunities Agency | Agence de promotion économique du Canada atlantique</t>
        </is>
      </c>
      <c r="Z3642" t="n">
        <v>5</v>
      </c>
      <c r="AA3642" t="n">
        <v>1233.13</v>
      </c>
      <c r="AB3642">
        <f>ROUND(U3642-AA3642,2)</f>
        <v/>
      </c>
      <c r="AC3642" t="b">
        <v>0</v>
      </c>
      <c r="AD3642">
        <f>IF(U3642="","MISSING_TOTAL",IF(ABS(AB3642)&lt;=0.01,"OK","CHECK"))</f>
        <v/>
      </c>
      <c r="AE3642">
        <f>IF(U3642="","MISSING",IF(AND(AA3642&gt;0,U3642/AA3642&gt;50),"POSSIBLE_SCALE_ERROR","OK"))</f>
        <v/>
      </c>
    </row>
    <row r="3643">
      <c r="A3643" t="inlineStr">
        <is>
          <t>T-2013-Q2-00060</t>
        </is>
      </c>
      <c r="B3643" t="inlineStr">
        <is>
          <t>SLE</t>
        </is>
      </c>
      <c r="C3643" t="inlineStr">
        <is>
          <t>Vice-President, Policy and Programs</t>
        </is>
      </c>
      <c r="D3643" t="inlineStr">
        <is>
          <t>Vice-président, Politiques et Programmes</t>
        </is>
      </c>
      <c r="E3643" t="inlineStr">
        <is>
          <t>Daryell Nowlan</t>
        </is>
      </c>
      <c r="F3643" t="inlineStr">
        <is>
          <t>Meeting with Government of Canada officials</t>
        </is>
      </c>
      <c r="G3643" t="inlineStr">
        <is>
          <t>Réunion avec des fonctionnaires du gouvernement du Canada</t>
        </is>
      </c>
      <c r="H3643" s="1" t="n">
        <v>41148</v>
      </c>
      <c r="I3643" s="1" t="n">
        <v>41150</v>
      </c>
      <c r="J3643" t="inlineStr">
        <is>
          <t>Ottawa, Ontario</t>
        </is>
      </c>
      <c r="K3643" t="inlineStr">
        <is>
          <t>Ottawa (Ontario)</t>
        </is>
      </c>
      <c r="P3643" t="n">
        <v>944.6</v>
      </c>
      <c r="Q3643" t="n">
        <v>136</v>
      </c>
      <c r="R3643" t="n">
        <v>354.82</v>
      </c>
      <c r="S3643" t="n">
        <v>178.15</v>
      </c>
      <c r="T3643" t="n">
        <v>0</v>
      </c>
      <c r="U3643" t="n">
        <v>1613.57</v>
      </c>
      <c r="X3643" t="inlineStr">
        <is>
          <t>acoa-apeca</t>
        </is>
      </c>
      <c r="Y3643" t="inlineStr">
        <is>
          <t>Atlantic Canada Opportunities Agency | Agence de promotion économique du Canada atlantique</t>
        </is>
      </c>
      <c r="Z3643" t="n">
        <v>3</v>
      </c>
      <c r="AA3643" t="n">
        <v>1613.57</v>
      </c>
      <c r="AB3643">
        <f>ROUND(U3643-AA3643,2)</f>
        <v/>
      </c>
      <c r="AC3643" t="b">
        <v>0</v>
      </c>
      <c r="AD3643">
        <f>IF(U3643="","MISSING_TOTAL",IF(ABS(AB3643)&lt;=0.01,"OK","CHECK"))</f>
        <v/>
      </c>
      <c r="AE3643">
        <f>IF(U3643="","MISSING",IF(AND(AA3643&gt;0,U3643/AA3643&gt;50),"POSSIBLE_SCALE_ERROR","OK"))</f>
        <v/>
      </c>
    </row>
    <row r="3644">
      <c r="A3644" t="inlineStr">
        <is>
          <t>T-2013-Q2-00059</t>
        </is>
      </c>
      <c r="B3644" t="inlineStr">
        <is>
          <t>MPSES</t>
        </is>
      </c>
      <c r="C3644" t="inlineStr">
        <is>
          <t>Minister of State</t>
        </is>
      </c>
      <c r="D3644" t="inlineStr">
        <is>
          <t>Ministre d'État</t>
        </is>
      </c>
      <c r="E3644" t="inlineStr">
        <is>
          <t>Bernard Valcourt</t>
        </is>
      </c>
      <c r="F3644" t="inlineStr">
        <is>
          <t>Various meetings and speeches for the Atlantic Canada Opportunities Agency</t>
        </is>
      </c>
      <c r="G3644" t="inlineStr">
        <is>
          <t>Réunions et allocutions diverses pour l'Agence de promotion économique du Canada atlantique</t>
        </is>
      </c>
      <c r="H3644" s="1" t="n">
        <v>41147</v>
      </c>
      <c r="I3644" s="1" t="n">
        <v>41152</v>
      </c>
      <c r="J3644" t="inlineStr">
        <is>
          <t>Campbellton, Caraquet, Moncton, Sussex and Fredericton, New Brunswick</t>
        </is>
      </c>
      <c r="K3644" t="inlineStr">
        <is>
          <t>Campbellton, Caraquet, Moncton, Sussex et Fredericton (Nouveau-Brunswick)</t>
        </is>
      </c>
      <c r="P3644" t="n">
        <v>0</v>
      </c>
      <c r="Q3644" t="n">
        <v>655.54</v>
      </c>
      <c r="R3644" t="n">
        <v>492.68</v>
      </c>
      <c r="S3644" t="n">
        <v>308.35</v>
      </c>
      <c r="T3644" t="n">
        <v>0</v>
      </c>
      <c r="U3644" t="n">
        <v>1456.57</v>
      </c>
      <c r="X3644" t="inlineStr">
        <is>
          <t>acoa-apeca</t>
        </is>
      </c>
      <c r="Y3644" t="inlineStr">
        <is>
          <t>Atlantic Canada Opportunities Agency | Agence de promotion économique du Canada atlantique</t>
        </is>
      </c>
      <c r="Z3644" t="n">
        <v>6</v>
      </c>
      <c r="AA3644" t="n">
        <v>1456.57</v>
      </c>
      <c r="AB3644">
        <f>ROUND(U3644-AA3644,2)</f>
        <v/>
      </c>
      <c r="AC3644" t="b">
        <v>0</v>
      </c>
      <c r="AD3644">
        <f>IF(U3644="","MISSING_TOTAL",IF(ABS(AB3644)&lt;=0.01,"OK","CHECK"))</f>
        <v/>
      </c>
      <c r="AE3644">
        <f>IF(U3644="","MISSING",IF(AND(AA3644&gt;0,U3644/AA3644&gt;50),"POSSIBLE_SCALE_ERROR","OK"))</f>
        <v/>
      </c>
    </row>
    <row r="3645">
      <c r="A3645" t="inlineStr">
        <is>
          <t>T-2013-Q2-00057</t>
        </is>
      </c>
      <c r="B3645" t="inlineStr">
        <is>
          <t>SLE</t>
        </is>
      </c>
      <c r="C3645" t="inlineStr">
        <is>
          <t>President</t>
        </is>
      </c>
      <c r="D3645" t="inlineStr">
        <is>
          <t>Président</t>
        </is>
      </c>
      <c r="E3645" t="inlineStr">
        <is>
          <t>Paul J. LeBlanc</t>
        </is>
      </c>
      <c r="F3645" t="inlineStr">
        <is>
          <t>For various meetings and discussions with Agency officials and Government of Canada officials</t>
        </is>
      </c>
      <c r="G3645" t="inlineStr">
        <is>
          <t>Diverses réunions et discussions avec des fonctionnaires de l'Agence et du gouvernement du Canada</t>
        </is>
      </c>
      <c r="H3645" s="1" t="n">
        <v>41143</v>
      </c>
      <c r="I3645" s="1" t="n">
        <v>41145</v>
      </c>
      <c r="J3645" t="inlineStr">
        <is>
          <t>Ottawa, Ontario</t>
        </is>
      </c>
      <c r="K3645" t="inlineStr">
        <is>
          <t>Ottawa (Ontario)</t>
        </is>
      </c>
      <c r="P3645" t="n">
        <v>741.36</v>
      </c>
      <c r="Q3645" t="n">
        <v>13</v>
      </c>
      <c r="R3645" t="n">
        <v>354.82</v>
      </c>
      <c r="S3645" t="n">
        <v>179.65</v>
      </c>
      <c r="T3645" t="n">
        <v>30</v>
      </c>
      <c r="U3645" t="n">
        <v>1318.83</v>
      </c>
      <c r="X3645" t="inlineStr">
        <is>
          <t>acoa-apeca</t>
        </is>
      </c>
      <c r="Y3645" t="inlineStr">
        <is>
          <t>Atlantic Canada Opportunities Agency | Agence de promotion économique du Canada atlantique</t>
        </is>
      </c>
      <c r="Z3645" t="n">
        <v>3</v>
      </c>
      <c r="AA3645" t="n">
        <v>1318.83</v>
      </c>
      <c r="AB3645">
        <f>ROUND(U3645-AA3645,2)</f>
        <v/>
      </c>
      <c r="AC3645" t="b">
        <v>0</v>
      </c>
      <c r="AD3645">
        <f>IF(U3645="","MISSING_TOTAL",IF(ABS(AB3645)&lt;=0.01,"OK","CHECK"))</f>
        <v/>
      </c>
      <c r="AE3645">
        <f>IF(U3645="","MISSING",IF(AND(AA3645&gt;0,U3645/AA3645&gt;50),"POSSIBLE_SCALE_ERROR","OK"))</f>
        <v/>
      </c>
    </row>
    <row r="3646">
      <c r="A3646" t="inlineStr">
        <is>
          <t>T-2013-Q2-00056</t>
        </is>
      </c>
      <c r="B3646" t="inlineStr">
        <is>
          <t>SLE</t>
        </is>
      </c>
      <c r="C3646" t="inlineStr">
        <is>
          <t>Vice-President, Newfoundland and Labrador</t>
        </is>
      </c>
      <c r="D3646" t="inlineStr">
        <is>
          <t>Vice-président, Terre-Neuve-et-Labrador</t>
        </is>
      </c>
      <c r="E3646" t="inlineStr">
        <is>
          <t>Paul Mills</t>
        </is>
      </c>
      <c r="F3646" t="inlineStr">
        <is>
          <t>Trip to Trinity Bay August 21-24, 2012</t>
        </is>
      </c>
      <c r="G3646" t="inlineStr">
        <is>
          <t>Voyage à Trinity Bay du 21 au 24 août 2012</t>
        </is>
      </c>
      <c r="H3646" s="1" t="n">
        <v>41142</v>
      </c>
      <c r="I3646" s="1" t="n">
        <v>41145</v>
      </c>
      <c r="J3646" t="inlineStr">
        <is>
          <t>Trinity Bay, Newfoundland and Labrador</t>
        </is>
      </c>
      <c r="K3646" t="inlineStr">
        <is>
          <t>Trinity Bay (Terre-Neuve-et-Labrador)</t>
        </is>
      </c>
      <c r="P3646" t="n">
        <v>0</v>
      </c>
      <c r="Q3646" t="n">
        <v>408.1</v>
      </c>
      <c r="R3646" t="n">
        <v>253.12</v>
      </c>
      <c r="S3646" t="n">
        <v>235.35</v>
      </c>
      <c r="T3646" t="n">
        <v>6.53</v>
      </c>
      <c r="U3646" t="n">
        <v>903.1</v>
      </c>
      <c r="X3646" t="inlineStr">
        <is>
          <t>acoa-apeca</t>
        </is>
      </c>
      <c r="Y3646" t="inlineStr">
        <is>
          <t>Atlantic Canada Opportunities Agency | Agence de promotion économique du Canada atlantique</t>
        </is>
      </c>
      <c r="Z3646" t="n">
        <v>4</v>
      </c>
      <c r="AA3646" t="n">
        <v>903.1</v>
      </c>
      <c r="AB3646">
        <f>ROUND(U3646-AA3646,2)</f>
        <v/>
      </c>
      <c r="AC3646" t="b">
        <v>0</v>
      </c>
      <c r="AD3646">
        <f>IF(U3646="","MISSING_TOTAL",IF(ABS(AB3646)&lt;=0.01,"OK","CHECK"))</f>
        <v/>
      </c>
      <c r="AE3646">
        <f>IF(U3646="","MISSING",IF(AND(AA3646&gt;0,U3646/AA3646&gt;50),"POSSIBLE_SCALE_ERROR","OK"))</f>
        <v/>
      </c>
    </row>
    <row r="3647">
      <c r="A3647" t="inlineStr">
        <is>
          <t>T-2013-Q2-00055</t>
        </is>
      </c>
      <c r="B3647" t="inlineStr">
        <is>
          <t>SLE</t>
        </is>
      </c>
      <c r="C3647" t="inlineStr">
        <is>
          <t>Vice-President, New Brunswick</t>
        </is>
      </c>
      <c r="D3647" t="inlineStr">
        <is>
          <t>Vice-présidente, Nouveau-Brunswick</t>
        </is>
      </c>
      <c r="E3647" t="inlineStr">
        <is>
          <t>Janet Gagnon</t>
        </is>
      </c>
      <c r="F3647" t="inlineStr">
        <is>
          <t>IPAC Conference (Institute of Public Administration of Canada)</t>
        </is>
      </c>
      <c r="G3647" t="inlineStr">
        <is>
          <t>Conférence de l'IAPC (Institut d'administration publique du Canada)</t>
        </is>
      </c>
      <c r="H3647" s="1" t="n">
        <v>41139</v>
      </c>
      <c r="I3647" s="1" t="n">
        <v>41144</v>
      </c>
      <c r="J3647" t="inlineStr">
        <is>
          <t>St. John's, Newfoundland and Labrador</t>
        </is>
      </c>
      <c r="K3647" t="inlineStr">
        <is>
          <t>St. John's (Terre-Neuve-et-Labrador)</t>
        </is>
      </c>
      <c r="P3647" t="n">
        <v>934.74</v>
      </c>
      <c r="Q3647" t="n">
        <v>0</v>
      </c>
      <c r="R3647" t="n">
        <v>812</v>
      </c>
      <c r="S3647" t="n">
        <v>350.9</v>
      </c>
      <c r="T3647" t="n">
        <v>98</v>
      </c>
      <c r="U3647" t="n">
        <v>2195.64</v>
      </c>
      <c r="X3647" t="inlineStr">
        <is>
          <t>acoa-apeca</t>
        </is>
      </c>
      <c r="Y3647" t="inlineStr">
        <is>
          <t>Atlantic Canada Opportunities Agency | Agence de promotion économique du Canada atlantique</t>
        </is>
      </c>
      <c r="Z3647" t="n">
        <v>6</v>
      </c>
      <c r="AA3647" t="n">
        <v>2195.64</v>
      </c>
      <c r="AB3647">
        <f>ROUND(U3647-AA3647,2)</f>
        <v/>
      </c>
      <c r="AC3647" t="b">
        <v>0</v>
      </c>
      <c r="AD3647">
        <f>IF(U3647="","MISSING_TOTAL",IF(ABS(AB3647)&lt;=0.01,"OK","CHECK"))</f>
        <v/>
      </c>
      <c r="AE3647">
        <f>IF(U3647="","MISSING",IF(AND(AA3647&gt;0,U3647/AA3647&gt;50),"POSSIBLE_SCALE_ERROR","OK"))</f>
        <v/>
      </c>
    </row>
    <row r="3648">
      <c r="A3648" t="inlineStr">
        <is>
          <t>T-2013-Q2-00052</t>
        </is>
      </c>
      <c r="B3648" t="inlineStr">
        <is>
          <t>SLE</t>
        </is>
      </c>
      <c r="C3648" t="inlineStr">
        <is>
          <t>Vice-President, New Brunswick</t>
        </is>
      </c>
      <c r="D3648" t="inlineStr">
        <is>
          <t>Vice-présidente, Nouveau-Brunswick</t>
        </is>
      </c>
      <c r="E3648" t="inlineStr">
        <is>
          <t>Janet Gagnon</t>
        </is>
      </c>
      <c r="F3648" t="inlineStr">
        <is>
          <t>Client visits - Northeastern New Brunswick</t>
        </is>
      </c>
      <c r="G3648" t="inlineStr">
        <is>
          <t>Visites auprès des clients - Nord-Est du Nouveau-Brunswick</t>
        </is>
      </c>
      <c r="H3648" s="1" t="n">
        <v>41137</v>
      </c>
      <c r="I3648" s="1" t="n">
        <v>41138</v>
      </c>
      <c r="J3648" t="inlineStr">
        <is>
          <t>Caraquet, New Brunswick</t>
        </is>
      </c>
      <c r="K3648" t="inlineStr">
        <is>
          <t>Caraquet (Nouveau-Brunswick)</t>
        </is>
      </c>
      <c r="P3648" t="n">
        <v>0</v>
      </c>
      <c r="Q3648" t="n">
        <v>0</v>
      </c>
      <c r="R3648" t="n">
        <v>106.22</v>
      </c>
      <c r="S3648" t="n">
        <v>120.75</v>
      </c>
      <c r="T3648" t="n">
        <v>0</v>
      </c>
      <c r="U3648" t="n">
        <v>226.97</v>
      </c>
      <c r="X3648" t="inlineStr">
        <is>
          <t>acoa-apeca</t>
        </is>
      </c>
      <c r="Y3648" t="inlineStr">
        <is>
          <t>Atlantic Canada Opportunities Agency | Agence de promotion économique du Canada atlantique</t>
        </is>
      </c>
      <c r="Z3648" t="n">
        <v>2</v>
      </c>
      <c r="AA3648" t="n">
        <v>226.97</v>
      </c>
      <c r="AB3648">
        <f>ROUND(U3648-AA3648,2)</f>
        <v/>
      </c>
      <c r="AC3648" t="b">
        <v>0</v>
      </c>
      <c r="AD3648">
        <f>IF(U3648="","MISSING_TOTAL",IF(ABS(AB3648)&lt;=0.01,"OK","CHECK"))</f>
        <v/>
      </c>
      <c r="AE3648">
        <f>IF(U3648="","MISSING",IF(AND(AA3648&gt;0,U3648/AA3648&gt;50),"POSSIBLE_SCALE_ERROR","OK"))</f>
        <v/>
      </c>
    </row>
    <row r="3649">
      <c r="A3649" t="inlineStr">
        <is>
          <t>T-2013-Q2-00050</t>
        </is>
      </c>
      <c r="B3649" t="inlineStr">
        <is>
          <t>MPSES</t>
        </is>
      </c>
      <c r="C3649" t="inlineStr">
        <is>
          <t>Minister of State</t>
        </is>
      </c>
      <c r="D3649" t="inlineStr">
        <is>
          <t>Ministre d'État</t>
        </is>
      </c>
      <c r="E3649" t="inlineStr">
        <is>
          <t>Bernard Valcourt</t>
        </is>
      </c>
      <c r="F3649" t="inlineStr">
        <is>
          <t>Various meetings and speeches for the Atlantic Canada Opportunities Agency</t>
        </is>
      </c>
      <c r="G3649" t="inlineStr">
        <is>
          <t>Réunions et allocutions diverses pour l'Agence de promotion économique du Canada atlantique</t>
        </is>
      </c>
      <c r="H3649" s="1" t="n">
        <v>41135</v>
      </c>
      <c r="I3649" s="1" t="n">
        <v>41138</v>
      </c>
      <c r="J3649" t="inlineStr">
        <is>
          <t>Halifax and Grand Pré, Nova Scotia and St. John's and Trinity Bay, Newfoundland and Labrador</t>
        </is>
      </c>
      <c r="K3649" t="inlineStr">
        <is>
          <t>Halifax et Grand Pré (Nouvelle-Écosse) et St. John's et Trinity Bay (Terre-Neuve et Labrador)</t>
        </is>
      </c>
      <c r="P3649" t="n">
        <v>1531.97</v>
      </c>
      <c r="Q3649" t="n">
        <v>0</v>
      </c>
      <c r="R3649" t="n">
        <v>560.42</v>
      </c>
      <c r="S3649" t="n">
        <v>207.65</v>
      </c>
      <c r="T3649" t="n">
        <v>14.03</v>
      </c>
      <c r="U3649" t="n">
        <v>2314.07</v>
      </c>
      <c r="X3649" t="inlineStr">
        <is>
          <t>acoa-apeca</t>
        </is>
      </c>
      <c r="Y3649" t="inlineStr">
        <is>
          <t>Atlantic Canada Opportunities Agency | Agence de promotion économique du Canada atlantique</t>
        </is>
      </c>
      <c r="Z3649" t="n">
        <v>4</v>
      </c>
      <c r="AA3649" t="n">
        <v>2314.07</v>
      </c>
      <c r="AB3649">
        <f>ROUND(U3649-AA3649,2)</f>
        <v/>
      </c>
      <c r="AC3649" t="b">
        <v>0</v>
      </c>
      <c r="AD3649">
        <f>IF(U3649="","MISSING_TOTAL",IF(ABS(AB3649)&lt;=0.01,"OK","CHECK"))</f>
        <v/>
      </c>
      <c r="AE3649">
        <f>IF(U3649="","MISSING",IF(AND(AA3649&gt;0,U3649/AA3649&gt;50),"POSSIBLE_SCALE_ERROR","OK"))</f>
        <v/>
      </c>
    </row>
    <row r="3650">
      <c r="A3650" t="inlineStr">
        <is>
          <t>T-2013-Q2-00049</t>
        </is>
      </c>
      <c r="B3650" t="inlineStr">
        <is>
          <t>MPSES</t>
        </is>
      </c>
      <c r="C3650" t="inlineStr">
        <is>
          <t>Student</t>
        </is>
      </c>
      <c r="D3650" t="inlineStr">
        <is>
          <t>Étudiante</t>
        </is>
      </c>
      <c r="E3650" t="inlineStr">
        <is>
          <t>Ariane Hunter-Meunier</t>
        </is>
      </c>
      <c r="F3650" t="inlineStr">
        <is>
          <t>Travel to accompany Minister of State for various ACOA meetings and announcements</t>
        </is>
      </c>
      <c r="G3650" t="inlineStr">
        <is>
          <t>Voyage pour accompagner le ministre d'État à diverses réunions et annonces de l'APECA</t>
        </is>
      </c>
      <c r="H3650" s="1" t="n">
        <v>41135</v>
      </c>
      <c r="I3650" s="1" t="n">
        <v>41137</v>
      </c>
      <c r="J3650" t="inlineStr">
        <is>
          <t>Halifax, Nova Scotia</t>
        </is>
      </c>
      <c r="K3650" t="inlineStr">
        <is>
          <t>Halifax (Nouvelle-Écosse)</t>
        </is>
      </c>
      <c r="P3650" t="n">
        <v>709.08</v>
      </c>
      <c r="Q3650" t="n">
        <v>91.97</v>
      </c>
      <c r="R3650" t="n">
        <v>326.1</v>
      </c>
      <c r="S3650" t="n">
        <v>194.5</v>
      </c>
      <c r="T3650" t="n">
        <v>0</v>
      </c>
      <c r="U3650" t="n">
        <v>1321.65</v>
      </c>
      <c r="X3650" t="inlineStr">
        <is>
          <t>acoa-apeca</t>
        </is>
      </c>
      <c r="Y3650" t="inlineStr">
        <is>
          <t>Atlantic Canada Opportunities Agency | Agence de promotion économique du Canada atlantique</t>
        </is>
      </c>
      <c r="Z3650" t="n">
        <v>3</v>
      </c>
      <c r="AA3650" t="n">
        <v>1321.65</v>
      </c>
      <c r="AB3650">
        <f>ROUND(U3650-AA3650,2)</f>
        <v/>
      </c>
      <c r="AC3650" t="b">
        <v>0</v>
      </c>
      <c r="AD3650">
        <f>IF(U3650="","MISSING_TOTAL",IF(ABS(AB3650)&lt;=0.01,"OK","CHECK"))</f>
        <v/>
      </c>
      <c r="AE3650">
        <f>IF(U3650="","MISSING",IF(AND(AA3650&gt;0,U3650/AA3650&gt;50),"POSSIBLE_SCALE_ERROR","OK"))</f>
        <v/>
      </c>
    </row>
    <row r="3651">
      <c r="A3651" t="inlineStr">
        <is>
          <t>T-2013-Q2-00048</t>
        </is>
      </c>
      <c r="B3651" t="inlineStr">
        <is>
          <t>MPSES</t>
        </is>
      </c>
      <c r="C3651" t="inlineStr">
        <is>
          <t>Executive Assistant and Press Secretary</t>
        </is>
      </c>
      <c r="D3651" t="inlineStr">
        <is>
          <t>Adjointe exécutive et attaché de presse</t>
        </is>
      </c>
      <c r="E3651" t="inlineStr">
        <is>
          <t>Andrea Richer</t>
        </is>
      </c>
      <c r="F3651" t="inlineStr">
        <is>
          <t>Travel to accompany Minister of State for various ACOA meetings and announcements</t>
        </is>
      </c>
      <c r="G3651" t="inlineStr">
        <is>
          <t>Voyage pour accompagner le ministre d'État à diverses réunions et annonces de l'APECA</t>
        </is>
      </c>
      <c r="H3651" s="1" t="n">
        <v>41133</v>
      </c>
      <c r="I3651" s="1" t="n">
        <v>41138</v>
      </c>
      <c r="J3651" t="inlineStr">
        <is>
          <t>Goose Bay/St. John's, Newfoundland, and Halifax, Nova Scotia</t>
        </is>
      </c>
      <c r="K3651" t="inlineStr">
        <is>
          <t>Goose Bay/St. John's (Terre-Neuve-et-Labrador) et Halifax (Nouvelle-Écosse)</t>
        </is>
      </c>
      <c r="P3651" t="n">
        <v>2369.29</v>
      </c>
      <c r="Q3651" t="n">
        <v>87</v>
      </c>
      <c r="R3651" t="n">
        <v>874.5599999999999</v>
      </c>
      <c r="S3651" t="n">
        <v>490.75</v>
      </c>
      <c r="T3651" t="n">
        <v>22.53</v>
      </c>
      <c r="U3651" t="n">
        <v>3844.13</v>
      </c>
      <c r="X3651" t="inlineStr">
        <is>
          <t>acoa-apeca</t>
        </is>
      </c>
      <c r="Y3651" t="inlineStr">
        <is>
          <t>Atlantic Canada Opportunities Agency | Agence de promotion économique du Canada atlantique</t>
        </is>
      </c>
      <c r="Z3651" t="n">
        <v>6</v>
      </c>
      <c r="AA3651" t="n">
        <v>3844.13</v>
      </c>
      <c r="AB3651">
        <f>ROUND(U3651-AA3651,2)</f>
        <v/>
      </c>
      <c r="AC3651" t="b">
        <v>0</v>
      </c>
      <c r="AD3651">
        <f>IF(U3651="","MISSING_TOTAL",IF(ABS(AB3651)&lt;=0.01,"OK","CHECK"))</f>
        <v/>
      </c>
      <c r="AE3651">
        <f>IF(U3651="","MISSING",IF(AND(AA3651&gt;0,U3651/AA3651&gt;50),"POSSIBLE_SCALE_ERROR","OK"))</f>
        <v/>
      </c>
    </row>
    <row r="3652">
      <c r="A3652" t="inlineStr">
        <is>
          <t>T-2013-Q2-00047</t>
        </is>
      </c>
      <c r="B3652" t="inlineStr">
        <is>
          <t>SLE</t>
        </is>
      </c>
      <c r="C3652" t="inlineStr">
        <is>
          <t>Vice-President, Policy and Programs</t>
        </is>
      </c>
      <c r="D3652" t="inlineStr">
        <is>
          <t>Vice-président, Politiques et Programmes</t>
        </is>
      </c>
      <c r="E3652" t="inlineStr">
        <is>
          <t>Daryell Nowlan</t>
        </is>
      </c>
      <c r="F3652" t="inlineStr">
        <is>
          <t>Meeting with Government of Canada officials</t>
        </is>
      </c>
      <c r="G3652" t="inlineStr">
        <is>
          <t>Réunion avec des fonctionnaires du gouvernement du Canada</t>
        </is>
      </c>
      <c r="H3652" s="1" t="n">
        <v>41130</v>
      </c>
      <c r="I3652" s="1" t="n">
        <v>41131</v>
      </c>
      <c r="J3652" t="inlineStr">
        <is>
          <t>Ottawa, Ontario</t>
        </is>
      </c>
      <c r="K3652" t="inlineStr">
        <is>
          <t>Ottawa (Ontario)</t>
        </is>
      </c>
      <c r="P3652" t="n">
        <v>944.6</v>
      </c>
      <c r="Q3652" t="n">
        <v>124</v>
      </c>
      <c r="R3652" t="n">
        <v>177.41</v>
      </c>
      <c r="S3652" t="n">
        <v>146</v>
      </c>
      <c r="T3652" t="n">
        <v>0</v>
      </c>
      <c r="U3652" t="n">
        <v>1392.01</v>
      </c>
      <c r="X3652" t="inlineStr">
        <is>
          <t>acoa-apeca</t>
        </is>
      </c>
      <c r="Y3652" t="inlineStr">
        <is>
          <t>Atlantic Canada Opportunities Agency | Agence de promotion économique du Canada atlantique</t>
        </is>
      </c>
      <c r="Z3652" t="n">
        <v>2</v>
      </c>
      <c r="AA3652" t="n">
        <v>1392.01</v>
      </c>
      <c r="AB3652">
        <f>ROUND(U3652-AA3652,2)</f>
        <v/>
      </c>
      <c r="AC3652" t="b">
        <v>0</v>
      </c>
      <c r="AD3652">
        <f>IF(U3652="","MISSING_TOTAL",IF(ABS(AB3652)&lt;=0.01,"OK","CHECK"))</f>
        <v/>
      </c>
      <c r="AE3652">
        <f>IF(U3652="","MISSING",IF(AND(AA3652&gt;0,U3652/AA3652&gt;50),"POSSIBLE_SCALE_ERROR","OK"))</f>
        <v/>
      </c>
    </row>
    <row r="3653">
      <c r="A3653" t="inlineStr">
        <is>
          <t>T-2013-Q2-00046</t>
        </is>
      </c>
      <c r="B3653" t="inlineStr">
        <is>
          <t>SLE</t>
        </is>
      </c>
      <c r="C3653" t="inlineStr">
        <is>
          <t>Vice-President, Newfoundland and Labrador</t>
        </is>
      </c>
      <c r="D3653" t="inlineStr">
        <is>
          <t>Vice-président, Terre-Neuve-et-Labrador</t>
        </is>
      </c>
      <c r="E3653" t="inlineStr">
        <is>
          <t>Paul Mills</t>
        </is>
      </c>
      <c r="F3653" t="inlineStr">
        <is>
          <t>To attend various meetings in and around Central</t>
        </is>
      </c>
      <c r="G3653" t="inlineStr">
        <is>
          <t>Assister à diverses réunions dans la région du centre et aux environs</t>
        </is>
      </c>
      <c r="H3653" s="1" t="n">
        <v>41120</v>
      </c>
      <c r="I3653" s="1" t="n">
        <v>41124</v>
      </c>
      <c r="J3653" t="inlineStr">
        <is>
          <t>Fogo Island/Gros Morne, Newfoundland and Labrador</t>
        </is>
      </c>
      <c r="K3653" t="inlineStr">
        <is>
          <t>Île Fogo/Gros Morne (Terre-Neuve-et-Labrador)</t>
        </is>
      </c>
      <c r="P3653" t="n">
        <v>0</v>
      </c>
      <c r="Q3653" t="n">
        <v>923.33</v>
      </c>
      <c r="R3653" t="n">
        <v>524.5</v>
      </c>
      <c r="S3653" t="n">
        <v>371.7</v>
      </c>
      <c r="T3653" t="n">
        <v>19.06</v>
      </c>
      <c r="U3653" t="n">
        <v>1838.59</v>
      </c>
      <c r="X3653" t="inlineStr">
        <is>
          <t>acoa-apeca</t>
        </is>
      </c>
      <c r="Y3653" t="inlineStr">
        <is>
          <t>Atlantic Canada Opportunities Agency | Agence de promotion économique du Canada atlantique</t>
        </is>
      </c>
      <c r="Z3653" t="n">
        <v>5</v>
      </c>
      <c r="AA3653" t="n">
        <v>1838.59</v>
      </c>
      <c r="AB3653">
        <f>ROUND(U3653-AA3653,2)</f>
        <v/>
      </c>
      <c r="AC3653" t="b">
        <v>0</v>
      </c>
      <c r="AD3653">
        <f>IF(U3653="","MISSING_TOTAL",IF(ABS(AB3653)&lt;=0.01,"OK","CHECK"))</f>
        <v/>
      </c>
      <c r="AE3653">
        <f>IF(U3653="","MISSING",IF(AND(AA3653&gt;0,U3653/AA3653&gt;50),"POSSIBLE_SCALE_ERROR","OK"))</f>
        <v/>
      </c>
    </row>
    <row r="3654">
      <c r="A3654" t="inlineStr">
        <is>
          <t>T-2013-Q2-00045</t>
        </is>
      </c>
      <c r="B3654" t="inlineStr">
        <is>
          <t>MPSES</t>
        </is>
      </c>
      <c r="C3654" t="inlineStr">
        <is>
          <t>Senator</t>
        </is>
      </c>
      <c r="D3654" t="inlineStr">
        <is>
          <t>Sénatrice</t>
        </is>
      </c>
      <c r="E3654" t="inlineStr">
        <is>
          <t>Rose-May Poirier</t>
        </is>
      </c>
      <c r="F3654" t="inlineStr">
        <is>
          <t>Travel on behalf of Minister of State for Atlantic Canada Opportunities Agency funding announcement</t>
        </is>
      </c>
      <c r="G3654" t="inlineStr">
        <is>
          <t>Voyage au nom du ministre d'État pour une annonce de financement de l'Agence de promotion économique du Canada atlantique</t>
        </is>
      </c>
      <c r="H3654" s="1" t="n">
        <v>41119</v>
      </c>
      <c r="I3654" s="1" t="n">
        <v>41119</v>
      </c>
      <c r="J3654" t="inlineStr">
        <is>
          <t>Shippagan, New Brunswick</t>
        </is>
      </c>
      <c r="K3654" t="inlineStr">
        <is>
          <t>Shippagan (Nouveau-Brunswick)</t>
        </is>
      </c>
      <c r="P3654" t="n">
        <v>0</v>
      </c>
      <c r="Q3654" t="n">
        <v>177.21</v>
      </c>
      <c r="R3654" t="n">
        <v>0</v>
      </c>
      <c r="S3654" t="n">
        <v>71.3</v>
      </c>
      <c r="T3654" t="n">
        <v>0</v>
      </c>
      <c r="U3654" t="n">
        <v>248.51</v>
      </c>
      <c r="X3654" t="inlineStr">
        <is>
          <t>acoa-apeca</t>
        </is>
      </c>
      <c r="Y3654" t="inlineStr">
        <is>
          <t>Atlantic Canada Opportunities Agency | Agence de promotion économique du Canada atlantique</t>
        </is>
      </c>
      <c r="Z3654" t="n">
        <v>1</v>
      </c>
      <c r="AA3654" t="n">
        <v>248.51</v>
      </c>
      <c r="AB3654">
        <f>ROUND(U3654-AA3654,2)</f>
        <v/>
      </c>
      <c r="AC3654" t="b">
        <v>0</v>
      </c>
      <c r="AD3654">
        <f>IF(U3654="","MISSING_TOTAL",IF(ABS(AB3654)&lt;=0.01,"OK","CHECK"))</f>
        <v/>
      </c>
      <c r="AE3654">
        <f>IF(U3654="","MISSING",IF(AND(AA3654&gt;0,U3654/AA3654&gt;50),"POSSIBLE_SCALE_ERROR","OK"))</f>
        <v/>
      </c>
    </row>
    <row r="3655">
      <c r="A3655" t="inlineStr">
        <is>
          <t>T-2013-Q2-00044</t>
        </is>
      </c>
      <c r="B3655" t="inlineStr">
        <is>
          <t>SLE</t>
        </is>
      </c>
      <c r="C3655" t="inlineStr">
        <is>
          <t>Vice-President, Prince Edward Island</t>
        </is>
      </c>
      <c r="D3655" t="inlineStr">
        <is>
          <t>Vice-président, Île-du-Prince-Édouard</t>
        </is>
      </c>
      <c r="E3655" t="inlineStr">
        <is>
          <t>Patrick Dorsey</t>
        </is>
      </c>
      <c r="F3655" t="inlineStr">
        <is>
          <t>Meetings with Tourism New Brunswick officials and industry representatives</t>
        </is>
      </c>
      <c r="G3655" t="inlineStr">
        <is>
          <t>Réunions avec des représentants de Tourisme Nouveau-Brunswick et de l'industrie</t>
        </is>
      </c>
      <c r="H3655" s="1" t="n">
        <v>41115</v>
      </c>
      <c r="I3655" s="1" t="n">
        <v>41117</v>
      </c>
      <c r="J3655" t="inlineStr">
        <is>
          <t>Kedgewick, New Brunswick</t>
        </is>
      </c>
      <c r="K3655" t="inlineStr">
        <is>
          <t>Kedgewick (Nouveau-Brunswick)</t>
        </is>
      </c>
      <c r="P3655" t="n">
        <v>0</v>
      </c>
      <c r="Q3655" t="n">
        <v>44.25</v>
      </c>
      <c r="R3655" t="n">
        <v>0</v>
      </c>
      <c r="S3655" t="n">
        <v>97.2</v>
      </c>
      <c r="T3655" t="n">
        <v>0</v>
      </c>
      <c r="U3655" t="n">
        <v>141.45</v>
      </c>
      <c r="X3655" t="inlineStr">
        <is>
          <t>acoa-apeca</t>
        </is>
      </c>
      <c r="Y3655" t="inlineStr">
        <is>
          <t>Atlantic Canada Opportunities Agency | Agence de promotion économique du Canada atlantique</t>
        </is>
      </c>
      <c r="Z3655" t="n">
        <v>3</v>
      </c>
      <c r="AA3655" t="n">
        <v>141.45</v>
      </c>
      <c r="AB3655">
        <f>ROUND(U3655-AA3655,2)</f>
        <v/>
      </c>
      <c r="AC3655" t="b">
        <v>0</v>
      </c>
      <c r="AD3655">
        <f>IF(U3655="","MISSING_TOTAL",IF(ABS(AB3655)&lt;=0.01,"OK","CHECK"))</f>
        <v/>
      </c>
      <c r="AE3655">
        <f>IF(U3655="","MISSING",IF(AND(AA3655&gt;0,U3655/AA3655&gt;50),"POSSIBLE_SCALE_ERROR","OK"))</f>
        <v/>
      </c>
    </row>
    <row r="3656">
      <c r="A3656" t="inlineStr">
        <is>
          <t>T-2013-Q2-00043</t>
        </is>
      </c>
      <c r="B3656" t="inlineStr">
        <is>
          <t>SLE</t>
        </is>
      </c>
      <c r="C3656" t="inlineStr">
        <is>
          <t>Vice-President, Newfoundland and Labrador</t>
        </is>
      </c>
      <c r="D3656" t="inlineStr">
        <is>
          <t>Vice-président, Terre-Neuve-et-Labrador</t>
        </is>
      </c>
      <c r="E3656" t="inlineStr">
        <is>
          <t>Paul Mills</t>
        </is>
      </c>
      <c r="F3656" t="inlineStr">
        <is>
          <t>To attend meetings with senior Government of Canada Officials</t>
        </is>
      </c>
      <c r="G3656" t="inlineStr">
        <is>
          <t>Assister à des réunions avec des hauts fonctionnaires du gouvernement du Canada</t>
        </is>
      </c>
      <c r="H3656" s="1" t="n">
        <v>41114</v>
      </c>
      <c r="I3656" s="1" t="n">
        <v>41116</v>
      </c>
      <c r="J3656" t="inlineStr">
        <is>
          <t>Ottawa, Ontario</t>
        </is>
      </c>
      <c r="K3656" t="inlineStr">
        <is>
          <t>Ottawa (Ontario)</t>
        </is>
      </c>
      <c r="P3656" t="n">
        <v>1377.02</v>
      </c>
      <c r="Q3656" t="n">
        <v>130</v>
      </c>
      <c r="R3656" t="n">
        <v>354.82</v>
      </c>
      <c r="S3656" t="n">
        <v>250.2</v>
      </c>
      <c r="T3656" t="n">
        <v>8.93</v>
      </c>
      <c r="U3656" t="n">
        <v>2120.97</v>
      </c>
      <c r="X3656" t="inlineStr">
        <is>
          <t>acoa-apeca</t>
        </is>
      </c>
      <c r="Y3656" t="inlineStr">
        <is>
          <t>Atlantic Canada Opportunities Agency | Agence de promotion économique du Canada atlantique</t>
        </is>
      </c>
      <c r="Z3656" t="n">
        <v>3</v>
      </c>
      <c r="AA3656" t="n">
        <v>2120.97</v>
      </c>
      <c r="AB3656">
        <f>ROUND(U3656-AA3656,2)</f>
        <v/>
      </c>
      <c r="AC3656" t="b">
        <v>0</v>
      </c>
      <c r="AD3656">
        <f>IF(U3656="","MISSING_TOTAL",IF(ABS(AB3656)&lt;=0.01,"OK","CHECK"))</f>
        <v/>
      </c>
      <c r="AE3656">
        <f>IF(U3656="","MISSING",IF(AND(AA3656&gt;0,U3656/AA3656&gt;50),"POSSIBLE_SCALE_ERROR","OK"))</f>
        <v/>
      </c>
    </row>
    <row r="3657">
      <c r="A3657" t="inlineStr">
        <is>
          <t>T-2013-Q2-00041</t>
        </is>
      </c>
      <c r="B3657" t="inlineStr">
        <is>
          <t>MPSES</t>
        </is>
      </c>
      <c r="C3657" t="inlineStr">
        <is>
          <t>Executive Assistant and Press Secretary</t>
        </is>
      </c>
      <c r="D3657" t="inlineStr">
        <is>
          <t>Adjointe exécutive et attaché de presse</t>
        </is>
      </c>
      <c r="E3657" t="inlineStr">
        <is>
          <t>Andrea Richer</t>
        </is>
      </c>
      <c r="F3657" t="inlineStr">
        <is>
          <t>Travel to accompany Minister of State for various ACOA meetings and announcements</t>
        </is>
      </c>
      <c r="G3657" t="inlineStr">
        <is>
          <t>Voyage pour accompagner le ministre d'État à diverses réunions et annonces de l'APECA</t>
        </is>
      </c>
      <c r="H3657" s="1" t="n">
        <v>41113</v>
      </c>
      <c r="I3657" s="1" t="n">
        <v>41114</v>
      </c>
      <c r="J3657" t="inlineStr">
        <is>
          <t>Fredericton and Gagetown, New Brunswick</t>
        </is>
      </c>
      <c r="K3657" t="inlineStr">
        <is>
          <t>Fredericton et Gagetown (Nouveau-Brunswick)</t>
        </is>
      </c>
      <c r="P3657" t="n">
        <v>683.6799999999999</v>
      </c>
      <c r="Q3657" t="n">
        <v>78.51000000000001</v>
      </c>
      <c r="R3657" t="n">
        <v>163.85</v>
      </c>
      <c r="S3657" t="n">
        <v>105.9</v>
      </c>
      <c r="T3657" t="n">
        <v>0</v>
      </c>
      <c r="U3657" t="n">
        <v>1031.94</v>
      </c>
      <c r="X3657" t="inlineStr">
        <is>
          <t>acoa-apeca</t>
        </is>
      </c>
      <c r="Y3657" t="inlineStr">
        <is>
          <t>Atlantic Canada Opportunities Agency | Agence de promotion économique du Canada atlantique</t>
        </is>
      </c>
      <c r="Z3657" t="n">
        <v>2</v>
      </c>
      <c r="AA3657" t="n">
        <v>1031.94</v>
      </c>
      <c r="AB3657">
        <f>ROUND(U3657-AA3657,2)</f>
        <v/>
      </c>
      <c r="AC3657" t="b">
        <v>0</v>
      </c>
      <c r="AD3657">
        <f>IF(U3657="","MISSING_TOTAL",IF(ABS(AB3657)&lt;=0.01,"OK","CHECK"))</f>
        <v/>
      </c>
      <c r="AE3657">
        <f>IF(U3657="","MISSING",IF(AND(AA3657&gt;0,U3657/AA3657&gt;50),"POSSIBLE_SCALE_ERROR","OK"))</f>
        <v/>
      </c>
    </row>
    <row r="3658">
      <c r="A3658" t="inlineStr">
        <is>
          <t>T-2013-Q2-00040</t>
        </is>
      </c>
      <c r="B3658" t="inlineStr">
        <is>
          <t>SLE</t>
        </is>
      </c>
      <c r="C3658" t="inlineStr">
        <is>
          <t>President</t>
        </is>
      </c>
      <c r="D3658" t="inlineStr">
        <is>
          <t>Président</t>
        </is>
      </c>
      <c r="E3658" t="inlineStr">
        <is>
          <t>Paul J. LeBlanc</t>
        </is>
      </c>
      <c r="F3658" t="inlineStr">
        <is>
          <t>For various meetings and discussions with Agency officials</t>
        </is>
      </c>
      <c r="G3658" t="inlineStr">
        <is>
          <t>Diverses réunions et discussions avec des fonctionnaires de l'Agence</t>
        </is>
      </c>
      <c r="H3658" s="1" t="n">
        <v>41113</v>
      </c>
      <c r="I3658" s="1" t="n">
        <v>41114</v>
      </c>
      <c r="J3658" t="inlineStr">
        <is>
          <t>Fredericton, New Brunswick</t>
        </is>
      </c>
      <c r="K3658" t="inlineStr">
        <is>
          <t>Fredericton (Nouveau-Brunswick)</t>
        </is>
      </c>
      <c r="P3658" t="n">
        <v>0</v>
      </c>
      <c r="Q3658" t="n">
        <v>0</v>
      </c>
      <c r="R3658" t="n">
        <v>163.85</v>
      </c>
      <c r="S3658" t="n">
        <v>105.9</v>
      </c>
      <c r="T3658" t="n">
        <v>58</v>
      </c>
      <c r="U3658" t="n">
        <v>327.75</v>
      </c>
      <c r="X3658" t="inlineStr">
        <is>
          <t>acoa-apeca</t>
        </is>
      </c>
      <c r="Y3658" t="inlineStr">
        <is>
          <t>Atlantic Canada Opportunities Agency | Agence de promotion économique du Canada atlantique</t>
        </is>
      </c>
      <c r="Z3658" t="n">
        <v>2</v>
      </c>
      <c r="AA3658" t="n">
        <v>327.75</v>
      </c>
      <c r="AB3658">
        <f>ROUND(U3658-AA3658,2)</f>
        <v/>
      </c>
      <c r="AC3658" t="b">
        <v>0</v>
      </c>
      <c r="AD3658">
        <f>IF(U3658="","MISSING_TOTAL",IF(ABS(AB3658)&lt;=0.01,"OK","CHECK"))</f>
        <v/>
      </c>
      <c r="AE3658">
        <f>IF(U3658="","MISSING",IF(AND(AA3658&gt;0,U3658/AA3658&gt;50),"POSSIBLE_SCALE_ERROR","OK"))</f>
        <v/>
      </c>
    </row>
    <row r="3659">
      <c r="A3659" t="inlineStr">
        <is>
          <t>T-2013-Q2-00039</t>
        </is>
      </c>
      <c r="B3659" t="inlineStr">
        <is>
          <t>MPSES</t>
        </is>
      </c>
      <c r="C3659" t="inlineStr">
        <is>
          <t>Member of Parliament</t>
        </is>
      </c>
      <c r="D3659" t="inlineStr">
        <is>
          <t>Député</t>
        </is>
      </c>
      <c r="E3659" t="inlineStr">
        <is>
          <t>Robert Goguen</t>
        </is>
      </c>
      <c r="F3659" t="inlineStr">
        <is>
          <t>Travel on behalf of Minister of State for ACOA announcement</t>
        </is>
      </c>
      <c r="G3659" t="inlineStr">
        <is>
          <t>Voyage au nom du ministre d'État pour une annonce de l'APECA</t>
        </is>
      </c>
      <c r="H3659" s="1" t="n">
        <v>41109</v>
      </c>
      <c r="I3659" s="1" t="n">
        <v>41109</v>
      </c>
      <c r="J3659" t="inlineStr">
        <is>
          <t>Lamèque, New Brunswick</t>
        </is>
      </c>
      <c r="K3659" t="inlineStr">
        <is>
          <t>Lamèque (Nouveau-Brunswick)</t>
        </is>
      </c>
      <c r="P3659" t="n">
        <v>0</v>
      </c>
      <c r="Q3659" t="n">
        <v>246.51</v>
      </c>
      <c r="R3659" t="n">
        <v>0</v>
      </c>
      <c r="S3659" t="n">
        <v>14.85</v>
      </c>
      <c r="T3659" t="n">
        <v>0</v>
      </c>
      <c r="U3659" t="n">
        <v>261.36</v>
      </c>
      <c r="X3659" t="inlineStr">
        <is>
          <t>acoa-apeca</t>
        </is>
      </c>
      <c r="Y3659" t="inlineStr">
        <is>
          <t>Atlantic Canada Opportunities Agency | Agence de promotion économique du Canada atlantique</t>
        </is>
      </c>
      <c r="Z3659" t="n">
        <v>1</v>
      </c>
      <c r="AA3659" t="n">
        <v>261.36</v>
      </c>
      <c r="AB3659">
        <f>ROUND(U3659-AA3659,2)</f>
        <v/>
      </c>
      <c r="AC3659" t="b">
        <v>0</v>
      </c>
      <c r="AD3659">
        <f>IF(U3659="","MISSING_TOTAL",IF(ABS(AB3659)&lt;=0.01,"OK","CHECK"))</f>
        <v/>
      </c>
      <c r="AE3659">
        <f>IF(U3659="","MISSING",IF(AND(AA3659&gt;0,U3659/AA3659&gt;50),"POSSIBLE_SCALE_ERROR","OK"))</f>
        <v/>
      </c>
    </row>
    <row r="3660">
      <c r="A3660" t="inlineStr">
        <is>
          <t>T-2013-Q2-00038</t>
        </is>
      </c>
      <c r="B3660" t="inlineStr">
        <is>
          <t>MPSES</t>
        </is>
      </c>
      <c r="C3660" t="inlineStr">
        <is>
          <t>Constituency Assistant to Robert Goguen</t>
        </is>
      </c>
      <c r="D3660" t="inlineStr">
        <is>
          <t>Adjoint de circonscription pour Robert Goguen</t>
        </is>
      </c>
      <c r="E3660" t="inlineStr">
        <is>
          <t>Mark Doiron</t>
        </is>
      </c>
      <c r="F3660" t="inlineStr">
        <is>
          <t>Travel to accompany Member of Parliament Robert Goguen for ACOA announcement</t>
        </is>
      </c>
      <c r="G3660" t="inlineStr">
        <is>
          <t>Voyage pour accompagner le député fédéral Robert Goguen à une annonce de l'APECA</t>
        </is>
      </c>
      <c r="H3660" s="1" t="n">
        <v>41109</v>
      </c>
      <c r="I3660" s="1" t="n">
        <v>41109</v>
      </c>
      <c r="J3660" t="inlineStr">
        <is>
          <t>Lamèque, New Brunswick</t>
        </is>
      </c>
      <c r="K3660" t="inlineStr">
        <is>
          <t>Lamèque (Nouveau-Brunswick)</t>
        </is>
      </c>
      <c r="P3660" t="n">
        <v>0</v>
      </c>
      <c r="Q3660" t="n">
        <v>0</v>
      </c>
      <c r="R3660" t="n">
        <v>0</v>
      </c>
      <c r="S3660" t="n">
        <v>14.85</v>
      </c>
      <c r="T3660" t="n">
        <v>0</v>
      </c>
      <c r="U3660" t="n">
        <v>14.85</v>
      </c>
      <c r="X3660" t="inlineStr">
        <is>
          <t>acoa-apeca</t>
        </is>
      </c>
      <c r="Y3660" t="inlineStr">
        <is>
          <t>Atlantic Canada Opportunities Agency | Agence de promotion économique du Canada atlantique</t>
        </is>
      </c>
      <c r="Z3660" t="n">
        <v>1</v>
      </c>
      <c r="AA3660" t="n">
        <v>14.85</v>
      </c>
      <c r="AB3660">
        <f>ROUND(U3660-AA3660,2)</f>
        <v/>
      </c>
      <c r="AC3660" t="b">
        <v>0</v>
      </c>
      <c r="AD3660">
        <f>IF(U3660="","MISSING_TOTAL",IF(ABS(AB3660)&lt;=0.01,"OK","CHECK"))</f>
        <v/>
      </c>
      <c r="AE3660">
        <f>IF(U3660="","MISSING",IF(AND(AA3660&gt;0,U3660/AA3660&gt;50),"POSSIBLE_SCALE_ERROR","OK"))</f>
        <v/>
      </c>
    </row>
    <row r="3661">
      <c r="A3661" t="inlineStr">
        <is>
          <t>T-2013-Q2-00037</t>
        </is>
      </c>
      <c r="B3661" t="inlineStr">
        <is>
          <t>SLE</t>
        </is>
      </c>
      <c r="C3661" t="inlineStr">
        <is>
          <t>Vice-President, Policy and Programs</t>
        </is>
      </c>
      <c r="D3661" t="inlineStr">
        <is>
          <t>Vice-président, Politiques et Programmes</t>
        </is>
      </c>
      <c r="E3661" t="inlineStr">
        <is>
          <t>Daryell Nowlan</t>
        </is>
      </c>
      <c r="F3661" t="inlineStr">
        <is>
          <t>Meeting with Government of Canada officials</t>
        </is>
      </c>
      <c r="G3661" t="inlineStr">
        <is>
          <t>Réunion avec des fonctionnaires du gouvernement du Canada</t>
        </is>
      </c>
      <c r="H3661" s="1" t="n">
        <v>41109</v>
      </c>
      <c r="I3661" s="1" t="n">
        <v>41110</v>
      </c>
      <c r="J3661" t="inlineStr">
        <is>
          <t>Ottawa, Ontario</t>
        </is>
      </c>
      <c r="K3661" t="inlineStr">
        <is>
          <t>Ottawa (Ontario)</t>
        </is>
      </c>
      <c r="P3661" t="n">
        <v>1000</v>
      </c>
      <c r="Q3661" t="n">
        <v>121</v>
      </c>
      <c r="R3661" t="n">
        <v>177.41</v>
      </c>
      <c r="S3661" t="n">
        <v>105.15</v>
      </c>
      <c r="T3661" t="n">
        <v>0</v>
      </c>
      <c r="U3661" t="n">
        <v>1403.56</v>
      </c>
      <c r="X3661" t="inlineStr">
        <is>
          <t>acoa-apeca</t>
        </is>
      </c>
      <c r="Y3661" t="inlineStr">
        <is>
          <t>Atlantic Canada Opportunities Agency | Agence de promotion économique du Canada atlantique</t>
        </is>
      </c>
      <c r="Z3661" t="n">
        <v>2</v>
      </c>
      <c r="AA3661" t="n">
        <v>1403.56</v>
      </c>
      <c r="AB3661">
        <f>ROUND(U3661-AA3661,2)</f>
        <v/>
      </c>
      <c r="AC3661" t="b">
        <v>0</v>
      </c>
      <c r="AD3661">
        <f>IF(U3661="","MISSING_TOTAL",IF(ABS(AB3661)&lt;=0.01,"OK","CHECK"))</f>
        <v/>
      </c>
      <c r="AE3661">
        <f>IF(U3661="","MISSING",IF(AND(AA3661&gt;0,U3661/AA3661&gt;50),"POSSIBLE_SCALE_ERROR","OK"))</f>
        <v/>
      </c>
    </row>
    <row r="3662">
      <c r="A3662" t="inlineStr">
        <is>
          <t>T-2013-Q2-00035</t>
        </is>
      </c>
      <c r="B3662" t="inlineStr">
        <is>
          <t>SLE</t>
        </is>
      </c>
      <c r="C3662" t="inlineStr">
        <is>
          <t>Vice-President, New Brunswick</t>
        </is>
      </c>
      <c r="D3662" t="inlineStr">
        <is>
          <t>Vice-présidente, Nouveau-Brunswick</t>
        </is>
      </c>
      <c r="E3662" t="inlineStr">
        <is>
          <t>Janet Gagnon</t>
        </is>
      </c>
      <c r="F3662" t="inlineStr">
        <is>
          <t>Canadian National (CN) Railway meeting</t>
        </is>
      </c>
      <c r="G3662" t="inlineStr">
        <is>
          <t>Réunion au sujet du Canadien National (CN)</t>
        </is>
      </c>
      <c r="H3662" s="1" t="n">
        <v>41108</v>
      </c>
      <c r="I3662" s="1" t="n">
        <v>41109</v>
      </c>
      <c r="J3662" t="inlineStr">
        <is>
          <t>Bathurst, New Brunswick</t>
        </is>
      </c>
      <c r="K3662" t="inlineStr">
        <is>
          <t>Bathurst (Nouveau-Brunswick)</t>
        </is>
      </c>
      <c r="P3662" t="n">
        <v>0</v>
      </c>
      <c r="Q3662" t="n">
        <v>0</v>
      </c>
      <c r="R3662" t="n">
        <v>141.25</v>
      </c>
      <c r="S3662" t="n">
        <v>90.3</v>
      </c>
      <c r="T3662" t="n">
        <v>0</v>
      </c>
      <c r="U3662" t="n">
        <v>231.55</v>
      </c>
      <c r="X3662" t="inlineStr">
        <is>
          <t>acoa-apeca</t>
        </is>
      </c>
      <c r="Y3662" t="inlineStr">
        <is>
          <t>Atlantic Canada Opportunities Agency | Agence de promotion économique du Canada atlantique</t>
        </is>
      </c>
      <c r="Z3662" t="n">
        <v>2</v>
      </c>
      <c r="AA3662" t="n">
        <v>231.55</v>
      </c>
      <c r="AB3662">
        <f>ROUND(U3662-AA3662,2)</f>
        <v/>
      </c>
      <c r="AC3662" t="b">
        <v>0</v>
      </c>
      <c r="AD3662">
        <f>IF(U3662="","MISSING_TOTAL",IF(ABS(AB3662)&lt;=0.01,"OK","CHECK"))</f>
        <v/>
      </c>
      <c r="AE3662">
        <f>IF(U3662="","MISSING",IF(AND(AA3662&gt;0,U3662/AA3662&gt;50),"POSSIBLE_SCALE_ERROR","OK"))</f>
        <v/>
      </c>
    </row>
    <row r="3663">
      <c r="A3663" t="inlineStr">
        <is>
          <t>T-2013-Q2-00033</t>
        </is>
      </c>
      <c r="B3663" t="inlineStr">
        <is>
          <t>SLE</t>
        </is>
      </c>
      <c r="C3663" t="inlineStr">
        <is>
          <t>Vice-President, Newfoundland and Labrador</t>
        </is>
      </c>
      <c r="D3663" t="inlineStr">
        <is>
          <t>Vice-président, Terre-Neuve-et-Labrador</t>
        </is>
      </c>
      <c r="E3663" t="inlineStr">
        <is>
          <t>Paul Mills</t>
        </is>
      </c>
      <c r="F3663" t="inlineStr">
        <is>
          <t>To attend meetings in rural Newfoundland</t>
        </is>
      </c>
      <c r="G3663" t="inlineStr">
        <is>
          <t>Assister à des réunions dans les régions rurales de Terre-Neuve</t>
        </is>
      </c>
      <c r="H3663" s="1" t="n">
        <v>41100</v>
      </c>
      <c r="I3663" s="1" t="n">
        <v>41102</v>
      </c>
      <c r="J3663" t="inlineStr">
        <is>
          <t>Grand Falls-Windsor, Newfoundland and Labrador</t>
        </is>
      </c>
      <c r="K3663" t="inlineStr">
        <is>
          <t>Grand Falls-Windsor (Terre-Neuve-et-Labrador)</t>
        </is>
      </c>
      <c r="P3663" t="n">
        <v>0</v>
      </c>
      <c r="Q3663" t="n">
        <v>474.88</v>
      </c>
      <c r="R3663" t="n">
        <v>123.17</v>
      </c>
      <c r="S3663" t="n">
        <v>161.6</v>
      </c>
      <c r="T3663" t="n">
        <v>17.46</v>
      </c>
      <c r="U3663" t="n">
        <v>777.11</v>
      </c>
      <c r="X3663" t="inlineStr">
        <is>
          <t>acoa-apeca</t>
        </is>
      </c>
      <c r="Y3663" t="inlineStr">
        <is>
          <t>Atlantic Canada Opportunities Agency | Agence de promotion économique du Canada atlantique</t>
        </is>
      </c>
      <c r="Z3663" t="n">
        <v>3</v>
      </c>
      <c r="AA3663" t="n">
        <v>777.11</v>
      </c>
      <c r="AB3663">
        <f>ROUND(U3663-AA3663,2)</f>
        <v/>
      </c>
      <c r="AC3663" t="b">
        <v>0</v>
      </c>
      <c r="AD3663">
        <f>IF(U3663="","MISSING_TOTAL",IF(ABS(AB3663)&lt;=0.01,"OK","CHECK"))</f>
        <v/>
      </c>
      <c r="AE3663">
        <f>IF(U3663="","MISSING",IF(AND(AA3663&gt;0,U3663/AA3663&gt;50),"POSSIBLE_SCALE_ERROR","OK"))</f>
        <v/>
      </c>
    </row>
    <row r="3664">
      <c r="A3664" t="inlineStr">
        <is>
          <t>T-2013-Q2-00032</t>
        </is>
      </c>
      <c r="B3664" t="inlineStr">
        <is>
          <t>SLE</t>
        </is>
      </c>
      <c r="C3664" t="inlineStr">
        <is>
          <t>Vice-President, Newfoundland and Labrador</t>
        </is>
      </c>
      <c r="D3664" t="inlineStr">
        <is>
          <t>Vice-président, Terre-Neuve-et-Labrador</t>
        </is>
      </c>
      <c r="E3664" t="inlineStr">
        <is>
          <t>Paul Mills</t>
        </is>
      </c>
      <c r="F3664" t="inlineStr">
        <is>
          <t>Mileage for July to September 2012</t>
        </is>
      </c>
      <c r="G3664" t="inlineStr">
        <is>
          <t>Kilométrage pour les mois de juillet à septembre 2012</t>
        </is>
      </c>
      <c r="H3664" s="1" t="n">
        <v>41097</v>
      </c>
      <c r="I3664" s="1" t="n">
        <v>41182</v>
      </c>
      <c r="J3664" t="inlineStr">
        <is>
          <t>Various locations in Newfoundland region</t>
        </is>
      </c>
      <c r="K3664" t="inlineStr">
        <is>
          <t>Divers endroits dans la région de Terre-Neuve-et-Labrador</t>
        </is>
      </c>
      <c r="P3664" t="n">
        <v>0</v>
      </c>
      <c r="Q3664" t="n">
        <v>25.44</v>
      </c>
      <c r="R3664" t="n">
        <v>0</v>
      </c>
      <c r="S3664" t="n">
        <v>0</v>
      </c>
      <c r="T3664" t="n">
        <v>0</v>
      </c>
      <c r="U3664" t="n">
        <v>25.44</v>
      </c>
      <c r="X3664" t="inlineStr">
        <is>
          <t>acoa-apeca</t>
        </is>
      </c>
      <c r="Y3664" t="inlineStr">
        <is>
          <t>Atlantic Canada Opportunities Agency | Agence de promotion économique du Canada atlantique</t>
        </is>
      </c>
      <c r="Z3664" t="n">
        <v>86</v>
      </c>
      <c r="AA3664" t="n">
        <v>25.44</v>
      </c>
      <c r="AB3664">
        <f>ROUND(U3664-AA3664,2)</f>
        <v/>
      </c>
      <c r="AC3664" t="b">
        <v>0</v>
      </c>
      <c r="AD3664">
        <f>IF(U3664="","MISSING_TOTAL",IF(ABS(AB3664)&lt;=0.01,"OK","CHECK"))</f>
        <v/>
      </c>
      <c r="AE3664">
        <f>IF(U3664="","MISSING",IF(AND(AA3664&gt;0,U3664/AA3664&gt;50),"POSSIBLE_SCALE_ERROR","OK"))</f>
        <v/>
      </c>
    </row>
    <row r="3665">
      <c r="A3665" t="inlineStr">
        <is>
          <t>T-2013-Q2-00031</t>
        </is>
      </c>
      <c r="B3665" t="inlineStr">
        <is>
          <t>MPSES</t>
        </is>
      </c>
      <c r="C3665" t="inlineStr">
        <is>
          <t>Executive Assistant and Press Secretary</t>
        </is>
      </c>
      <c r="D3665" t="inlineStr">
        <is>
          <t>Adjointe exécutive et attaché de presse</t>
        </is>
      </c>
      <c r="E3665" t="inlineStr">
        <is>
          <t>Andrea Richer</t>
        </is>
      </c>
      <c r="F3665" t="inlineStr">
        <is>
          <t>Travel to accompany Minister of State for various ACOA announcements</t>
        </is>
      </c>
      <c r="G3665" t="inlineStr">
        <is>
          <t>Voyage pour accompagner le ministre d'État à diverses annonces de l'APECA</t>
        </is>
      </c>
      <c r="H3665" s="1" t="n">
        <v>41095</v>
      </c>
      <c r="I3665" s="1" t="n">
        <v>41096</v>
      </c>
      <c r="J3665" t="inlineStr">
        <is>
          <t>Saint-Quentin/Edmundston/Saint-Basile/Grand-Sault, New Brunswick and Dégelis, Quebec</t>
        </is>
      </c>
      <c r="K3665" t="inlineStr">
        <is>
          <t>Saint-Quentin/Edmundston/Saint-Basile/Grand-Sault (Nouveau-Brunswick) et Dégelis (Québec)</t>
        </is>
      </c>
      <c r="P3665" t="n">
        <v>790.04</v>
      </c>
      <c r="Q3665" t="n">
        <v>214.31</v>
      </c>
      <c r="R3665" t="n">
        <v>134.47</v>
      </c>
      <c r="S3665" t="n">
        <v>79.90000000000001</v>
      </c>
      <c r="T3665" t="n">
        <v>0</v>
      </c>
      <c r="U3665" t="n">
        <v>1218.72</v>
      </c>
      <c r="X3665" t="inlineStr">
        <is>
          <t>acoa-apeca</t>
        </is>
      </c>
      <c r="Y3665" t="inlineStr">
        <is>
          <t>Atlantic Canada Opportunities Agency | Agence de promotion économique du Canada atlantique</t>
        </is>
      </c>
      <c r="Z3665" t="n">
        <v>2</v>
      </c>
      <c r="AA3665" t="n">
        <v>1218.72</v>
      </c>
      <c r="AB3665">
        <f>ROUND(U3665-AA3665,2)</f>
        <v/>
      </c>
      <c r="AC3665" t="b">
        <v>0</v>
      </c>
      <c r="AD3665">
        <f>IF(U3665="","MISSING_TOTAL",IF(ABS(AB3665)&lt;=0.01,"OK","CHECK"))</f>
        <v/>
      </c>
      <c r="AE3665">
        <f>IF(U3665="","MISSING",IF(AND(AA3665&gt;0,U3665/AA3665&gt;50),"POSSIBLE_SCALE_ERROR","OK"))</f>
        <v/>
      </c>
    </row>
    <row r="3666">
      <c r="A3666" t="inlineStr">
        <is>
          <t>T-2013-Q2-00030</t>
        </is>
      </c>
      <c r="B3666" t="inlineStr">
        <is>
          <t>SLE</t>
        </is>
      </c>
      <c r="C3666" t="inlineStr">
        <is>
          <t>President</t>
        </is>
      </c>
      <c r="D3666" t="inlineStr">
        <is>
          <t>Président</t>
        </is>
      </c>
      <c r="E3666" t="inlineStr">
        <is>
          <t>Paul J. LeBlanc</t>
        </is>
      </c>
      <c r="F3666" t="inlineStr">
        <is>
          <t>For various meetings and discussions with Agency officials and with Government of Canada officials</t>
        </is>
      </c>
      <c r="G3666" t="inlineStr">
        <is>
          <t>Diverses réunions et discussions avec des fonctionnaires de l'Agence et des fonctionnaires du gouvernement du Canada</t>
        </is>
      </c>
      <c r="H3666" s="1" t="n">
        <v>41094</v>
      </c>
      <c r="I3666" s="1" t="n">
        <v>41096</v>
      </c>
      <c r="J3666" t="inlineStr">
        <is>
          <t>Ottawa, Ontario</t>
        </is>
      </c>
      <c r="K3666" t="inlineStr">
        <is>
          <t>Ottawa (Ontario)</t>
        </is>
      </c>
      <c r="P3666" t="n">
        <v>741.36</v>
      </c>
      <c r="Q3666" t="n">
        <v>0</v>
      </c>
      <c r="R3666" t="n">
        <v>354.82</v>
      </c>
      <c r="S3666" t="n">
        <v>194.5</v>
      </c>
      <c r="T3666" t="n">
        <v>30</v>
      </c>
      <c r="U3666" t="n">
        <v>1320.68</v>
      </c>
      <c r="X3666" t="inlineStr">
        <is>
          <t>acoa-apeca</t>
        </is>
      </c>
      <c r="Y3666" t="inlineStr">
        <is>
          <t>Atlantic Canada Opportunities Agency | Agence de promotion économique du Canada atlantique</t>
        </is>
      </c>
      <c r="Z3666" t="n">
        <v>3</v>
      </c>
      <c r="AA3666" t="n">
        <v>1320.68</v>
      </c>
      <c r="AB3666">
        <f>ROUND(U3666-AA3666,2)</f>
        <v/>
      </c>
      <c r="AC3666" t="b">
        <v>0</v>
      </c>
      <c r="AD3666">
        <f>IF(U3666="","MISSING_TOTAL",IF(ABS(AB3666)&lt;=0.01,"OK","CHECK"))</f>
        <v/>
      </c>
      <c r="AE3666">
        <f>IF(U3666="","MISSING",IF(AND(AA3666&gt;0,U3666/AA3666&gt;50),"POSSIBLE_SCALE_ERROR","OK"))</f>
        <v/>
      </c>
    </row>
    <row r="3667">
      <c r="A3667" t="inlineStr">
        <is>
          <t>T-2013-Q2-00029</t>
        </is>
      </c>
      <c r="B3667" t="inlineStr">
        <is>
          <t>MPSES</t>
        </is>
      </c>
      <c r="C3667" t="inlineStr">
        <is>
          <t>Chief of Staff</t>
        </is>
      </c>
      <c r="D3667" t="inlineStr">
        <is>
          <t>Chef de cabinet</t>
        </is>
      </c>
      <c r="E3667" t="inlineStr">
        <is>
          <t>Mélisa Leclerc</t>
        </is>
      </c>
      <c r="F3667" t="inlineStr">
        <is>
          <t>Travel to accompany the Minister of State to the French Language World Forum</t>
        </is>
      </c>
      <c r="G3667" t="inlineStr">
        <is>
          <t>Voyage pour accompagner le ministre d'État au Forum mondial de la langue française</t>
        </is>
      </c>
      <c r="H3667" s="1" t="n">
        <v>41091</v>
      </c>
      <c r="I3667" s="1" t="n">
        <v>41094</v>
      </c>
      <c r="J3667" t="inlineStr">
        <is>
          <t>Québec, Québec</t>
        </is>
      </c>
      <c r="K3667" t="inlineStr">
        <is>
          <t>Québec (Québec)</t>
        </is>
      </c>
      <c r="P3667" t="n">
        <v>770.1900000000001</v>
      </c>
      <c r="Q3667" t="n">
        <v>125</v>
      </c>
      <c r="R3667" t="n">
        <v>343.44</v>
      </c>
      <c r="S3667" t="n">
        <v>146.75</v>
      </c>
      <c r="T3667" t="n">
        <v>0</v>
      </c>
      <c r="U3667" t="n">
        <v>1385.38</v>
      </c>
      <c r="X3667" t="inlineStr">
        <is>
          <t>acoa-apeca</t>
        </is>
      </c>
      <c r="Y3667" t="inlineStr">
        <is>
          <t>Atlantic Canada Opportunities Agency | Agence de promotion économique du Canada atlantique</t>
        </is>
      </c>
      <c r="Z3667" t="n">
        <v>4</v>
      </c>
      <c r="AA3667" t="n">
        <v>1385.38</v>
      </c>
      <c r="AB3667">
        <f>ROUND(U3667-AA3667,2)</f>
        <v/>
      </c>
      <c r="AC3667" t="b">
        <v>0</v>
      </c>
      <c r="AD3667">
        <f>IF(U3667="","MISSING_TOTAL",IF(ABS(AB3667)&lt;=0.01,"OK","CHECK"))</f>
        <v/>
      </c>
      <c r="AE3667">
        <f>IF(U3667="","MISSING",IF(AND(AA3667&gt;0,U3667/AA3667&gt;50),"POSSIBLE_SCALE_ERROR","OK"))</f>
        <v/>
      </c>
    </row>
    <row r="3668">
      <c r="A3668" t="inlineStr">
        <is>
          <t>T-2013-Q2-00028</t>
        </is>
      </c>
      <c r="B3668" t="inlineStr">
        <is>
          <t>MPSES</t>
        </is>
      </c>
      <c r="C3668" t="inlineStr">
        <is>
          <t>Minister of State</t>
        </is>
      </c>
      <c r="D3668" t="inlineStr">
        <is>
          <t>Ministre d'État</t>
        </is>
      </c>
      <c r="E3668" t="inlineStr">
        <is>
          <t>Bernard Valcourt</t>
        </is>
      </c>
      <c r="F3668" t="inlineStr">
        <is>
          <t>Participate in French Language Forum and ACOA announcements</t>
        </is>
      </c>
      <c r="G3668" t="inlineStr">
        <is>
          <t>Participation au Forum de la langue française et annonces de l'APECA</t>
        </is>
      </c>
      <c r="H3668" s="1" t="n">
        <v>41091</v>
      </c>
      <c r="I3668" s="1" t="n">
        <v>41095</v>
      </c>
      <c r="J3668" t="inlineStr">
        <is>
          <t>Québec, Québec and Saint-Quentin, New Brunswick</t>
        </is>
      </c>
      <c r="K3668" t="inlineStr">
        <is>
          <t>Québec (Québec) et Saint-Quentin (Nouveau-Brunswick)</t>
        </is>
      </c>
      <c r="P3668" t="n">
        <v>0</v>
      </c>
      <c r="Q3668" t="n">
        <v>905.27</v>
      </c>
      <c r="R3668" t="n">
        <v>495.21</v>
      </c>
      <c r="S3668" t="n">
        <v>308.35</v>
      </c>
      <c r="T3668" t="n">
        <v>0</v>
      </c>
      <c r="U3668" t="n">
        <v>1708.83</v>
      </c>
      <c r="X3668" t="inlineStr">
        <is>
          <t>acoa-apeca</t>
        </is>
      </c>
      <c r="Y3668" t="inlineStr">
        <is>
          <t>Atlantic Canada Opportunities Agency | Agence de promotion économique du Canada atlantique</t>
        </is>
      </c>
      <c r="Z3668" t="n">
        <v>5</v>
      </c>
      <c r="AA3668" t="n">
        <v>1708.83</v>
      </c>
      <c r="AB3668">
        <f>ROUND(U3668-AA3668,2)</f>
        <v/>
      </c>
      <c r="AC3668" t="b">
        <v>0</v>
      </c>
      <c r="AD3668">
        <f>IF(U3668="","MISSING_TOTAL",IF(ABS(AB3668)&lt;=0.01,"OK","CHECK"))</f>
        <v/>
      </c>
      <c r="AE3668">
        <f>IF(U3668="","MISSING",IF(AND(AA3668&gt;0,U3668/AA3668&gt;50),"POSSIBLE_SCALE_ERROR","OK"))</f>
        <v/>
      </c>
    </row>
    <row r="3669">
      <c r="A3669" t="inlineStr">
        <is>
          <t>T-2013-Q2-00025</t>
        </is>
      </c>
      <c r="B3669" t="inlineStr">
        <is>
          <t>SLE</t>
        </is>
      </c>
      <c r="C3669" t="inlineStr">
        <is>
          <t>Vice-President, New Brunswick</t>
        </is>
      </c>
      <c r="D3669" t="inlineStr">
        <is>
          <t>Vice-présidente, Nouveau-Brunswick</t>
        </is>
      </c>
      <c r="E3669" t="inlineStr">
        <is>
          <t>Janet Gagnon</t>
        </is>
      </c>
      <c r="F3669" t="inlineStr">
        <is>
          <t>Moncton District Office meeting and site visit. Executive Committee meeting</t>
        </is>
      </c>
      <c r="G3669" t="inlineStr">
        <is>
          <t>Réunion au bureau de district de Moncton et visite des lieux; réunion du Comité de direction</t>
        </is>
      </c>
      <c r="H3669" s="1" t="n">
        <v>41086</v>
      </c>
      <c r="I3669" s="1" t="n">
        <v>41087</v>
      </c>
      <c r="J3669" t="inlineStr">
        <is>
          <t>Moncton, New Brunswick</t>
        </is>
      </c>
      <c r="K3669" t="inlineStr">
        <is>
          <t>Moncton (Nouveau-Brunswick)</t>
        </is>
      </c>
      <c r="P3669" t="n">
        <v>0</v>
      </c>
      <c r="Q3669" t="n">
        <v>0</v>
      </c>
      <c r="R3669" t="n">
        <v>50</v>
      </c>
      <c r="S3669" t="n">
        <v>146.75</v>
      </c>
      <c r="T3669" t="n">
        <v>26</v>
      </c>
      <c r="U3669" t="n">
        <v>222.75</v>
      </c>
      <c r="X3669" t="inlineStr">
        <is>
          <t>acoa-apeca</t>
        </is>
      </c>
      <c r="Y3669" t="inlineStr">
        <is>
          <t>Atlantic Canada Opportunities Agency | Agence de promotion économique du Canada atlantique</t>
        </is>
      </c>
      <c r="Z3669" t="n">
        <v>2</v>
      </c>
      <c r="AA3669" t="n">
        <v>222.75</v>
      </c>
      <c r="AB3669">
        <f>ROUND(U3669-AA3669,2)</f>
        <v/>
      </c>
      <c r="AC3669" t="b">
        <v>0</v>
      </c>
      <c r="AD3669">
        <f>IF(U3669="","MISSING_TOTAL",IF(ABS(AB3669)&lt;=0.01,"OK","CHECK"))</f>
        <v/>
      </c>
      <c r="AE3669">
        <f>IF(U3669="","MISSING",IF(AND(AA3669&gt;0,U3669/AA3669&gt;50),"POSSIBLE_SCALE_ERROR","OK"))</f>
        <v/>
      </c>
    </row>
    <row r="3670">
      <c r="A3670" t="inlineStr">
        <is>
          <t>T-2013-Q2-00024</t>
        </is>
      </c>
      <c r="B3670" t="inlineStr">
        <is>
          <t>SLE</t>
        </is>
      </c>
      <c r="C3670" t="inlineStr">
        <is>
          <t>Vice-President, Newfoundland and Labrador</t>
        </is>
      </c>
      <c r="D3670" t="inlineStr">
        <is>
          <t>Vice-président, Terre-Neuve-et-Labrador</t>
        </is>
      </c>
      <c r="E3670" t="inlineStr">
        <is>
          <t>Paul Mills</t>
        </is>
      </c>
      <c r="F3670" t="inlineStr">
        <is>
          <t>To attend EXCOMM Meeting</t>
        </is>
      </c>
      <c r="G3670" t="inlineStr">
        <is>
          <t>Assister à une réunion du Comité de direction</t>
        </is>
      </c>
      <c r="H3670" s="1" t="n">
        <v>41086</v>
      </c>
      <c r="I3670" s="1" t="n">
        <v>41088</v>
      </c>
      <c r="J3670" t="inlineStr">
        <is>
          <t>Moncton, New Brunswick</t>
        </is>
      </c>
      <c r="K3670" t="inlineStr">
        <is>
          <t>Moncton (Nouveau-Brunswick)</t>
        </is>
      </c>
      <c r="P3670" t="n">
        <v>1368.14</v>
      </c>
      <c r="Q3670" t="n">
        <v>214.06</v>
      </c>
      <c r="R3670" t="n">
        <v>345.56</v>
      </c>
      <c r="S3670" t="n">
        <v>220.5</v>
      </c>
      <c r="T3670" t="n">
        <v>7.73</v>
      </c>
      <c r="U3670" t="n">
        <v>2155.99</v>
      </c>
      <c r="X3670" t="inlineStr">
        <is>
          <t>acoa-apeca</t>
        </is>
      </c>
      <c r="Y3670" t="inlineStr">
        <is>
          <t>Atlantic Canada Opportunities Agency | Agence de promotion économique du Canada atlantique</t>
        </is>
      </c>
      <c r="Z3670" t="n">
        <v>3</v>
      </c>
      <c r="AA3670" t="n">
        <v>2155.99</v>
      </c>
      <c r="AB3670">
        <f>ROUND(U3670-AA3670,2)</f>
        <v/>
      </c>
      <c r="AC3670" t="b">
        <v>0</v>
      </c>
      <c r="AD3670">
        <f>IF(U3670="","MISSING_TOTAL",IF(ABS(AB3670)&lt;=0.01,"OK","CHECK"))</f>
        <v/>
      </c>
      <c r="AE3670">
        <f>IF(U3670="","MISSING",IF(AND(AA3670&gt;0,U3670/AA3670&gt;50),"POSSIBLE_SCALE_ERROR","OK"))</f>
        <v/>
      </c>
    </row>
    <row r="3671">
      <c r="A3671" t="inlineStr">
        <is>
          <t>T-2013-Q2-00023</t>
        </is>
      </c>
      <c r="B3671" t="inlineStr">
        <is>
          <t>SLE</t>
        </is>
      </c>
      <c r="C3671" t="inlineStr">
        <is>
          <t>Vice-President, New Brunswick</t>
        </is>
      </c>
      <c r="D3671" t="inlineStr">
        <is>
          <t>Vice-présidente, Nouveau-Brunswick</t>
        </is>
      </c>
      <c r="E3671" t="inlineStr">
        <is>
          <t>Janet Gagnon</t>
        </is>
      </c>
      <c r="F3671" t="inlineStr">
        <is>
          <t>Saint John District Office meeting and site visit</t>
        </is>
      </c>
      <c r="G3671" t="inlineStr">
        <is>
          <t>Réunion au bureau de district de Saint John et visite des lieux</t>
        </is>
      </c>
      <c r="H3671" s="1" t="n">
        <v>41082</v>
      </c>
      <c r="I3671" s="1" t="n">
        <v>41082</v>
      </c>
      <c r="J3671" t="inlineStr">
        <is>
          <t>Saint John, New Brunswick</t>
        </is>
      </c>
      <c r="K3671" t="inlineStr">
        <is>
          <t>Saint John (Nouveau-Brunswick)</t>
        </is>
      </c>
      <c r="P3671" t="n">
        <v>0</v>
      </c>
      <c r="Q3671" t="n">
        <v>0</v>
      </c>
      <c r="R3671" t="n">
        <v>0</v>
      </c>
      <c r="S3671" t="n">
        <v>55.7</v>
      </c>
      <c r="T3671" t="n">
        <v>0</v>
      </c>
      <c r="U3671" t="n">
        <v>55.7</v>
      </c>
      <c r="X3671" t="inlineStr">
        <is>
          <t>acoa-apeca</t>
        </is>
      </c>
      <c r="Y3671" t="inlineStr">
        <is>
          <t>Atlantic Canada Opportunities Agency | Agence de promotion économique du Canada atlantique</t>
        </is>
      </c>
      <c r="Z3671" t="n">
        <v>1</v>
      </c>
      <c r="AA3671" t="n">
        <v>55.7</v>
      </c>
      <c r="AB3671">
        <f>ROUND(U3671-AA3671,2)</f>
        <v/>
      </c>
      <c r="AC3671" t="b">
        <v>0</v>
      </c>
      <c r="AD3671">
        <f>IF(U3671="","MISSING_TOTAL",IF(ABS(AB3671)&lt;=0.01,"OK","CHECK"))</f>
        <v/>
      </c>
      <c r="AE3671">
        <f>IF(U3671="","MISSING",IF(AND(AA3671&gt;0,U3671/AA3671&gt;50),"POSSIBLE_SCALE_ERROR","OK"))</f>
        <v/>
      </c>
    </row>
    <row r="3672">
      <c r="A3672" t="inlineStr">
        <is>
          <t>T-2013-Q2-00006</t>
        </is>
      </c>
      <c r="B3672" t="inlineStr">
        <is>
          <t>SLE</t>
        </is>
      </c>
      <c r="C3672" t="inlineStr">
        <is>
          <t>Vice-President, Finance and Corporate Services</t>
        </is>
      </c>
      <c r="D3672" t="inlineStr">
        <is>
          <t>Vice-présidente, Finances et Services corporatifs</t>
        </is>
      </c>
      <c r="E3672" t="inlineStr">
        <is>
          <t>Denise Frenette</t>
        </is>
      </c>
      <c r="F3672" t="inlineStr">
        <is>
          <t>Meetings with Government of Canada officials</t>
        </is>
      </c>
      <c r="G3672" t="inlineStr">
        <is>
          <t>Réunions avec des fonctionnaires du gouvernement du Canada</t>
        </is>
      </c>
      <c r="H3672" s="1" t="n">
        <v>41065</v>
      </c>
      <c r="I3672" s="1" t="n">
        <v>41066</v>
      </c>
      <c r="J3672" t="inlineStr">
        <is>
          <t>Ottawa, Ontario</t>
        </is>
      </c>
      <c r="K3672" t="inlineStr">
        <is>
          <t>Ottawa (Ontario)</t>
        </is>
      </c>
      <c r="P3672" t="n">
        <v>1075.76</v>
      </c>
      <c r="Q3672" t="n">
        <v>55.9</v>
      </c>
      <c r="R3672" t="n">
        <v>165.42</v>
      </c>
      <c r="S3672" t="n">
        <v>116.3</v>
      </c>
      <c r="T3672" t="n">
        <v>2.5</v>
      </c>
      <c r="U3672" t="n">
        <v>1415.88</v>
      </c>
      <c r="X3672" t="inlineStr">
        <is>
          <t>acoa-apeca</t>
        </is>
      </c>
      <c r="Y3672" t="inlineStr">
        <is>
          <t>Atlantic Canada Opportunities Agency | Agence de promotion économique du Canada atlantique</t>
        </is>
      </c>
      <c r="Z3672" t="n">
        <v>2</v>
      </c>
      <c r="AA3672" t="n">
        <v>1415.88</v>
      </c>
      <c r="AB3672">
        <f>ROUND(U3672-AA3672,2)</f>
        <v/>
      </c>
      <c r="AC3672" t="b">
        <v>0</v>
      </c>
      <c r="AD3672">
        <f>IF(U3672="","MISSING_TOTAL",IF(ABS(AB3672)&lt;=0.01,"OK","CHECK"))</f>
        <v/>
      </c>
      <c r="AE3672">
        <f>IF(U3672="","MISSING",IF(AND(AA3672&gt;0,U3672/AA3672&gt;50),"POSSIBLE_SCALE_ERROR","OK"))</f>
        <v/>
      </c>
    </row>
    <row r="3673">
      <c r="A3673" t="inlineStr">
        <is>
          <t>T-2013-Q2-00021</t>
        </is>
      </c>
      <c r="B3673" t="inlineStr">
        <is>
          <t>MPSES</t>
        </is>
      </c>
      <c r="C3673" t="inlineStr">
        <is>
          <t>Member of Parliament</t>
        </is>
      </c>
      <c r="D3673" t="inlineStr">
        <is>
          <t>Député</t>
        </is>
      </c>
      <c r="E3673" t="inlineStr">
        <is>
          <t>Bernard Trottier</t>
        </is>
      </c>
      <c r="F3673" t="inlineStr">
        <is>
          <t>Travel to accompany Minister of State on his consultation meetings on Sommet de la Francophonie 2012</t>
        </is>
      </c>
      <c r="G3673" t="inlineStr">
        <is>
          <t>Voyage pour accompagner le ministre d'État à ses réunions de consultation sur le Sommet de la Francophonie 2012</t>
        </is>
      </c>
      <c r="H3673" s="1" t="n">
        <v>41079</v>
      </c>
      <c r="I3673" s="1" t="n">
        <v>41084</v>
      </c>
      <c r="J3673" t="inlineStr">
        <is>
          <t>Kinshasa, Congo - Africa</t>
        </is>
      </c>
      <c r="K3673" t="inlineStr">
        <is>
          <t>Kinshasa (Congo) - Afrique</t>
        </is>
      </c>
      <c r="P3673" t="n">
        <v>6548.73</v>
      </c>
      <c r="Q3673" t="n">
        <v>123.52</v>
      </c>
      <c r="R3673" t="n">
        <v>0</v>
      </c>
      <c r="S3673" t="n">
        <v>402.29</v>
      </c>
      <c r="T3673" t="n">
        <v>61.63</v>
      </c>
      <c r="U3673" t="n">
        <v>7136.17</v>
      </c>
      <c r="X3673" t="inlineStr">
        <is>
          <t>acoa-apeca</t>
        </is>
      </c>
      <c r="Y3673" t="inlineStr">
        <is>
          <t>Atlantic Canada Opportunities Agency | Agence de promotion économique du Canada atlantique</t>
        </is>
      </c>
      <c r="Z3673" t="n">
        <v>6</v>
      </c>
      <c r="AA3673" t="n">
        <v>7136.17</v>
      </c>
      <c r="AB3673">
        <f>ROUND(U3673-AA3673,2)</f>
        <v/>
      </c>
      <c r="AC3673" t="b">
        <v>0</v>
      </c>
      <c r="AD3673">
        <f>IF(U3673="","MISSING_TOTAL",IF(ABS(AB3673)&lt;=0.01,"OK","CHECK"))</f>
        <v/>
      </c>
      <c r="AE3673">
        <f>IF(U3673="","MISSING",IF(AND(AA3673&gt;0,U3673/AA3673&gt;50),"POSSIBLE_SCALE_ERROR","OK"))</f>
        <v/>
      </c>
    </row>
    <row r="3674">
      <c r="A3674" t="inlineStr">
        <is>
          <t>T-2013-Q2-00020</t>
        </is>
      </c>
      <c r="B3674" t="inlineStr">
        <is>
          <t>MPSES</t>
        </is>
      </c>
      <c r="C3674" t="inlineStr">
        <is>
          <t>Member of Parliament</t>
        </is>
      </c>
      <c r="D3674" t="inlineStr">
        <is>
          <t>Député</t>
        </is>
      </c>
      <c r="E3674" t="inlineStr">
        <is>
          <t>Christopher Alexander</t>
        </is>
      </c>
      <c r="F3674" t="inlineStr">
        <is>
          <t>Travel to accompany Minister of State on his consultation meetings on Sommet de la Francophonie 2012</t>
        </is>
      </c>
      <c r="G3674" t="inlineStr">
        <is>
          <t>Voyage pour accompagner le ministre d'État à ses réunions de consultation sur le Sommet de la Francophonie 2012</t>
        </is>
      </c>
      <c r="H3674" s="1" t="n">
        <v>41079</v>
      </c>
      <c r="I3674" s="1" t="n">
        <v>41084</v>
      </c>
      <c r="J3674" t="inlineStr">
        <is>
          <t>Kinshasa, Congo - Africa</t>
        </is>
      </c>
      <c r="K3674" t="inlineStr">
        <is>
          <t>Kinshasa (Congo) - Afrique</t>
        </is>
      </c>
      <c r="P3674" t="n">
        <v>6548.73</v>
      </c>
      <c r="Q3674" t="n">
        <v>51.52</v>
      </c>
      <c r="R3674" t="n">
        <v>0</v>
      </c>
      <c r="S3674" t="n">
        <v>402.29</v>
      </c>
      <c r="T3674" t="n">
        <v>0</v>
      </c>
      <c r="U3674" t="n">
        <v>7002.54</v>
      </c>
      <c r="X3674" t="inlineStr">
        <is>
          <t>acoa-apeca</t>
        </is>
      </c>
      <c r="Y3674" t="inlineStr">
        <is>
          <t>Atlantic Canada Opportunities Agency | Agence de promotion économique du Canada atlantique</t>
        </is>
      </c>
      <c r="Z3674" t="n">
        <v>6</v>
      </c>
      <c r="AA3674" t="n">
        <v>7002.54</v>
      </c>
      <c r="AB3674">
        <f>ROUND(U3674-AA3674,2)</f>
        <v/>
      </c>
      <c r="AC3674" t="b">
        <v>0</v>
      </c>
      <c r="AD3674">
        <f>IF(U3674="","MISSING_TOTAL",IF(ABS(AB3674)&lt;=0.01,"OK","CHECK"))</f>
        <v/>
      </c>
      <c r="AE3674">
        <f>IF(U3674="","MISSING",IF(AND(AA3674&gt;0,U3674/AA3674&gt;50),"POSSIBLE_SCALE_ERROR","OK"))</f>
        <v/>
      </c>
    </row>
    <row r="3675">
      <c r="A3675" t="inlineStr">
        <is>
          <t>T-2013-Q2-00019</t>
        </is>
      </c>
      <c r="B3675" t="inlineStr">
        <is>
          <t>SLE</t>
        </is>
      </c>
      <c r="C3675" t="inlineStr">
        <is>
          <t>Vice-President, Finance and Corporate Services</t>
        </is>
      </c>
      <c r="D3675" t="inlineStr">
        <is>
          <t>Vice-présidente, Finances et Services corporatifs</t>
        </is>
      </c>
      <c r="E3675" t="inlineStr">
        <is>
          <t>Denise Frenette</t>
        </is>
      </c>
      <c r="F3675" t="inlineStr">
        <is>
          <t>Meetings with Government of Canada officials</t>
        </is>
      </c>
      <c r="G3675" t="inlineStr">
        <is>
          <t>Réunions avec des fonctionnaires du gouvernement du Canada</t>
        </is>
      </c>
      <c r="H3675" s="1" t="n">
        <v>41079</v>
      </c>
      <c r="I3675" s="1" t="n">
        <v>41081</v>
      </c>
      <c r="J3675" t="inlineStr">
        <is>
          <t>Ottawa, Ontario</t>
        </is>
      </c>
      <c r="K3675" t="inlineStr">
        <is>
          <t>Ottawa (Ontario)</t>
        </is>
      </c>
      <c r="P3675" t="n">
        <v>1075.76</v>
      </c>
      <c r="Q3675" t="n">
        <v>116.94</v>
      </c>
      <c r="R3675" t="n">
        <v>354.82</v>
      </c>
      <c r="S3675" t="n">
        <v>204.15</v>
      </c>
      <c r="T3675" t="n">
        <v>0</v>
      </c>
      <c r="U3675" t="n">
        <v>1751.67</v>
      </c>
      <c r="X3675" t="inlineStr">
        <is>
          <t>acoa-apeca</t>
        </is>
      </c>
      <c r="Y3675" t="inlineStr">
        <is>
          <t>Atlantic Canada Opportunities Agency | Agence de promotion économique du Canada atlantique</t>
        </is>
      </c>
      <c r="Z3675" t="n">
        <v>3</v>
      </c>
      <c r="AA3675" t="n">
        <v>1751.67</v>
      </c>
      <c r="AB3675">
        <f>ROUND(U3675-AA3675,2)</f>
        <v/>
      </c>
      <c r="AC3675" t="b">
        <v>0</v>
      </c>
      <c r="AD3675">
        <f>IF(U3675="","MISSING_TOTAL",IF(ABS(AB3675)&lt;=0.01,"OK","CHECK"))</f>
        <v/>
      </c>
      <c r="AE3675">
        <f>IF(U3675="","MISSING",IF(AND(AA3675&gt;0,U3675/AA3675&gt;50),"POSSIBLE_SCALE_ERROR","OK"))</f>
        <v/>
      </c>
    </row>
    <row r="3676">
      <c r="A3676" t="inlineStr">
        <is>
          <t>T-2013-Q2-00018</t>
        </is>
      </c>
      <c r="B3676" t="inlineStr">
        <is>
          <t>MPSES</t>
        </is>
      </c>
      <c r="C3676" t="inlineStr">
        <is>
          <t>Chief of Staff</t>
        </is>
      </c>
      <c r="D3676" t="inlineStr">
        <is>
          <t>Chef de cabinet</t>
        </is>
      </c>
      <c r="E3676" t="inlineStr">
        <is>
          <t>Mélisa Leclerc</t>
        </is>
      </c>
      <c r="F3676" t="inlineStr">
        <is>
          <t>Travel to accompany the Minister on his consultation meetings at the Francophonie Summit</t>
        </is>
      </c>
      <c r="G3676" t="inlineStr">
        <is>
          <t>Voyage pour accompagner le ministre à ses rencontres de consultation au Sommet de la Francophonie</t>
        </is>
      </c>
      <c r="H3676" s="1" t="n">
        <v>41079</v>
      </c>
      <c r="I3676" s="1" t="n">
        <v>41089</v>
      </c>
      <c r="J3676" t="inlineStr">
        <is>
          <t>Kinshasa, Congo, Abidjan, Ivory Coast, and Paris, France</t>
        </is>
      </c>
      <c r="K3676" t="inlineStr">
        <is>
          <t>Kinshasa (Congo), Abidjan (Côte d'Ivoire) et Paris (France)</t>
        </is>
      </c>
      <c r="P3676" t="n">
        <v>4810.71</v>
      </c>
      <c r="Q3676" t="n">
        <v>86.52</v>
      </c>
      <c r="R3676" t="n">
        <v>1667.83</v>
      </c>
      <c r="S3676" t="n">
        <v>638.3099999999999</v>
      </c>
      <c r="T3676" t="n">
        <v>115.98</v>
      </c>
      <c r="U3676" t="n">
        <v>7319.35</v>
      </c>
      <c r="X3676" t="inlineStr">
        <is>
          <t>acoa-apeca</t>
        </is>
      </c>
      <c r="Y3676" t="inlineStr">
        <is>
          <t>Atlantic Canada Opportunities Agency | Agence de promotion économique du Canada atlantique</t>
        </is>
      </c>
      <c r="Z3676" t="n">
        <v>11</v>
      </c>
      <c r="AA3676" t="n">
        <v>7319.35</v>
      </c>
      <c r="AB3676">
        <f>ROUND(U3676-AA3676,2)</f>
        <v/>
      </c>
      <c r="AC3676" t="b">
        <v>0</v>
      </c>
      <c r="AD3676">
        <f>IF(U3676="","MISSING_TOTAL",IF(ABS(AB3676)&lt;=0.01,"OK","CHECK"))</f>
        <v/>
      </c>
      <c r="AE3676">
        <f>IF(U3676="","MISSING",IF(AND(AA3676&gt;0,U3676/AA3676&gt;50),"POSSIBLE_SCALE_ERROR","OK"))</f>
        <v/>
      </c>
    </row>
    <row r="3677">
      <c r="A3677" t="inlineStr">
        <is>
          <t>T-2013-Q2-00017</t>
        </is>
      </c>
      <c r="B3677" t="inlineStr">
        <is>
          <t>MPSES</t>
        </is>
      </c>
      <c r="C3677" t="inlineStr">
        <is>
          <t>Minister of State</t>
        </is>
      </c>
      <c r="D3677" t="inlineStr">
        <is>
          <t>Ministre d'État</t>
        </is>
      </c>
      <c r="E3677" t="inlineStr">
        <is>
          <t>Bernard Valcourt</t>
        </is>
      </c>
      <c r="F3677" t="inlineStr">
        <is>
          <t>Visit and meetings in advance of the Francophonie Summit</t>
        </is>
      </c>
      <c r="G3677" t="inlineStr">
        <is>
          <t>Visite et rencontres précédant le Sommet de la Francophonie</t>
        </is>
      </c>
      <c r="H3677" s="1" t="n">
        <v>41079</v>
      </c>
      <c r="I3677" s="1" t="n">
        <v>41088</v>
      </c>
      <c r="J3677" t="inlineStr">
        <is>
          <t>Kinshasa, Democratic Republic of the Congo, Abidjan, Ivory Coast, and Paris, France</t>
        </is>
      </c>
      <c r="K3677" t="inlineStr">
        <is>
          <t>Kinshasa (République démocratique du Congo), Abidjan (Côte d'Ivoire) et Paris (France)</t>
        </is>
      </c>
      <c r="P3677" t="n">
        <v>8304.040000000001</v>
      </c>
      <c r="Q3677" t="n">
        <v>51.52</v>
      </c>
      <c r="R3677" t="n">
        <v>2495.58</v>
      </c>
      <c r="S3677" t="n">
        <v>632.59</v>
      </c>
      <c r="T3677" t="n">
        <v>72.25</v>
      </c>
      <c r="U3677" t="n">
        <v>11555.98</v>
      </c>
      <c r="X3677" t="inlineStr">
        <is>
          <t>acoa-apeca</t>
        </is>
      </c>
      <c r="Y3677" t="inlineStr">
        <is>
          <t>Atlantic Canada Opportunities Agency | Agence de promotion économique du Canada atlantique</t>
        </is>
      </c>
      <c r="Z3677" t="n">
        <v>10</v>
      </c>
      <c r="AA3677" t="n">
        <v>11555.98</v>
      </c>
      <c r="AB3677">
        <f>ROUND(U3677-AA3677,2)</f>
        <v/>
      </c>
      <c r="AC3677" t="b">
        <v>0</v>
      </c>
      <c r="AD3677">
        <f>IF(U3677="","MISSING_TOTAL",IF(ABS(AB3677)&lt;=0.01,"OK","CHECK"))</f>
        <v/>
      </c>
      <c r="AE3677">
        <f>IF(U3677="","MISSING",IF(AND(AA3677&gt;0,U3677/AA3677&gt;50),"POSSIBLE_SCALE_ERROR","OK"))</f>
        <v/>
      </c>
    </row>
    <row r="3678">
      <c r="A3678" t="inlineStr">
        <is>
          <t>T-2013-Q2-00016</t>
        </is>
      </c>
      <c r="B3678" t="inlineStr">
        <is>
          <t>SLE</t>
        </is>
      </c>
      <c r="C3678" t="inlineStr">
        <is>
          <t>Vice-President, New Brunswick</t>
        </is>
      </c>
      <c r="D3678" t="inlineStr">
        <is>
          <t>Vice-présidente, Nouveau-Brunswick</t>
        </is>
      </c>
      <c r="E3678" t="inlineStr">
        <is>
          <t>Janet Gagnon</t>
        </is>
      </c>
      <c r="F3678" t="inlineStr">
        <is>
          <t>New Brunswick Federal Council (NBFC) meeting</t>
        </is>
      </c>
      <c r="G3678" t="inlineStr">
        <is>
          <t>Réunion du Conseil fédéral du Nouveau-Brunswick (CFNB)</t>
        </is>
      </c>
      <c r="H3678" s="1" t="n">
        <v>41079</v>
      </c>
      <c r="I3678" s="1" t="n">
        <v>41080</v>
      </c>
      <c r="J3678" t="inlineStr">
        <is>
          <t>Moncton, New Brunswick</t>
        </is>
      </c>
      <c r="K3678" t="inlineStr">
        <is>
          <t>Moncton (Nouveau-Brunswick)</t>
        </is>
      </c>
      <c r="P3678" t="n">
        <v>0</v>
      </c>
      <c r="Q3678" t="n">
        <v>0</v>
      </c>
      <c r="R3678" t="n">
        <v>162.72</v>
      </c>
      <c r="S3678" t="n">
        <v>90.3</v>
      </c>
      <c r="T3678" t="n">
        <v>14.13</v>
      </c>
      <c r="U3678" t="n">
        <v>267.15</v>
      </c>
      <c r="X3678" t="inlineStr">
        <is>
          <t>acoa-apeca</t>
        </is>
      </c>
      <c r="Y3678" t="inlineStr">
        <is>
          <t>Atlantic Canada Opportunities Agency | Agence de promotion économique du Canada atlantique</t>
        </is>
      </c>
      <c r="Z3678" t="n">
        <v>2</v>
      </c>
      <c r="AA3678" t="n">
        <v>267.15</v>
      </c>
      <c r="AB3678">
        <f>ROUND(U3678-AA3678,2)</f>
        <v/>
      </c>
      <c r="AC3678" t="b">
        <v>0</v>
      </c>
      <c r="AD3678">
        <f>IF(U3678="","MISSING_TOTAL",IF(ABS(AB3678)&lt;=0.01,"OK","CHECK"))</f>
        <v/>
      </c>
      <c r="AE3678">
        <f>IF(U3678="","MISSING",IF(AND(AA3678&gt;0,U3678/AA3678&gt;50),"POSSIBLE_SCALE_ERROR","OK"))</f>
        <v/>
      </c>
    </row>
    <row r="3679">
      <c r="A3679" t="inlineStr">
        <is>
          <t>T-2013-Q2-00015</t>
        </is>
      </c>
      <c r="B3679" t="inlineStr">
        <is>
          <t>SLE</t>
        </is>
      </c>
      <c r="C3679" t="inlineStr">
        <is>
          <t>Vice-President, Policy and Programs</t>
        </is>
      </c>
      <c r="D3679" t="inlineStr">
        <is>
          <t>Vice-président, Politiques et Programmes</t>
        </is>
      </c>
      <c r="E3679" t="inlineStr">
        <is>
          <t>Daryell Nowlan</t>
        </is>
      </c>
      <c r="F3679" t="inlineStr">
        <is>
          <t>Meetings with Agency officials</t>
        </is>
      </c>
      <c r="G3679" t="inlineStr">
        <is>
          <t>Réunions avec des fonctionnaires de l'Agence</t>
        </is>
      </c>
      <c r="H3679" s="1" t="n">
        <v>41078</v>
      </c>
      <c r="I3679" s="1" t="n">
        <v>41080</v>
      </c>
      <c r="J3679" t="inlineStr">
        <is>
          <t>Ottawa, Ontario</t>
        </is>
      </c>
      <c r="K3679" t="inlineStr">
        <is>
          <t>Ottawa (Ontario)</t>
        </is>
      </c>
      <c r="P3679" t="n">
        <v>1000</v>
      </c>
      <c r="Q3679" t="n">
        <v>131.8</v>
      </c>
      <c r="R3679" t="n">
        <v>354.82</v>
      </c>
      <c r="S3679" t="n">
        <v>204.15</v>
      </c>
      <c r="T3679" t="n">
        <v>0</v>
      </c>
      <c r="U3679" t="n">
        <v>1690.77</v>
      </c>
      <c r="X3679" t="inlineStr">
        <is>
          <t>acoa-apeca</t>
        </is>
      </c>
      <c r="Y3679" t="inlineStr">
        <is>
          <t>Atlantic Canada Opportunities Agency | Agence de promotion économique du Canada atlantique</t>
        </is>
      </c>
      <c r="Z3679" t="n">
        <v>3</v>
      </c>
      <c r="AA3679" t="n">
        <v>1690.77</v>
      </c>
      <c r="AB3679">
        <f>ROUND(U3679-AA3679,2)</f>
        <v/>
      </c>
      <c r="AC3679" t="b">
        <v>0</v>
      </c>
      <c r="AD3679">
        <f>IF(U3679="","MISSING_TOTAL",IF(ABS(AB3679)&lt;=0.01,"OK","CHECK"))</f>
        <v/>
      </c>
      <c r="AE3679">
        <f>IF(U3679="","MISSING",IF(AND(AA3679&gt;0,U3679/AA3679&gt;50),"POSSIBLE_SCALE_ERROR","OK"))</f>
        <v/>
      </c>
    </row>
    <row r="3680">
      <c r="A3680" t="inlineStr">
        <is>
          <t>T-2013-Q2-00014</t>
        </is>
      </c>
      <c r="B3680" t="inlineStr">
        <is>
          <t>SLE</t>
        </is>
      </c>
      <c r="C3680" t="inlineStr">
        <is>
          <t>Vice-President, Prince Edward Island</t>
        </is>
      </c>
      <c r="D3680" t="inlineStr">
        <is>
          <t>Vice-président, Île-du-Prince-Édouard</t>
        </is>
      </c>
      <c r="E3680" t="inlineStr">
        <is>
          <t>Patrick Dorsey</t>
        </is>
      </c>
      <c r="F3680" t="inlineStr">
        <is>
          <t>ACOA Board Meeting</t>
        </is>
      </c>
      <c r="G3680" t="inlineStr">
        <is>
          <t>Réunion du Conseil de promotion économique du Canada atlantique</t>
        </is>
      </c>
      <c r="H3680" s="1" t="n">
        <v>41073</v>
      </c>
      <c r="I3680" s="1" t="n">
        <v>41074</v>
      </c>
      <c r="J3680" t="inlineStr">
        <is>
          <t>Halifax, Nova Scotia</t>
        </is>
      </c>
      <c r="K3680" t="inlineStr">
        <is>
          <t>Halifax (Nouvelle-Écosse)</t>
        </is>
      </c>
      <c r="P3680" t="n">
        <v>0</v>
      </c>
      <c r="Q3680" t="n">
        <v>77.19</v>
      </c>
      <c r="R3680" t="n">
        <v>181.82</v>
      </c>
      <c r="S3680" t="n">
        <v>146.75</v>
      </c>
      <c r="T3680" t="n">
        <v>0</v>
      </c>
      <c r="U3680" t="n">
        <v>405.76</v>
      </c>
      <c r="X3680" t="inlineStr">
        <is>
          <t>acoa-apeca</t>
        </is>
      </c>
      <c r="Y3680" t="inlineStr">
        <is>
          <t>Atlantic Canada Opportunities Agency | Agence de promotion économique du Canada atlantique</t>
        </is>
      </c>
      <c r="Z3680" t="n">
        <v>2</v>
      </c>
      <c r="AA3680" t="n">
        <v>405.76</v>
      </c>
      <c r="AB3680">
        <f>ROUND(U3680-AA3680,2)</f>
        <v/>
      </c>
      <c r="AC3680" t="b">
        <v>0</v>
      </c>
      <c r="AD3680">
        <f>IF(U3680="","MISSING_TOTAL",IF(ABS(AB3680)&lt;=0.01,"OK","CHECK"))</f>
        <v/>
      </c>
      <c r="AE3680">
        <f>IF(U3680="","MISSING",IF(AND(AA3680&gt;0,U3680/AA3680&gt;50),"POSSIBLE_SCALE_ERROR","OK"))</f>
        <v/>
      </c>
    </row>
    <row r="3681">
      <c r="A3681" t="inlineStr">
        <is>
          <t>T-2013-Q2-00013</t>
        </is>
      </c>
      <c r="B3681" t="inlineStr">
        <is>
          <t>SLE</t>
        </is>
      </c>
      <c r="C3681" t="inlineStr">
        <is>
          <t>Vice-President, New Brunswick</t>
        </is>
      </c>
      <c r="D3681" t="inlineStr">
        <is>
          <t>Vice-présidente, Nouveau-Brunswick</t>
        </is>
      </c>
      <c r="E3681" t="inlineStr">
        <is>
          <t>Janet Gagnon</t>
        </is>
      </c>
      <c r="F3681" t="inlineStr">
        <is>
          <t>Atlantic Canada Opportunities Board (ACO Board)</t>
        </is>
      </c>
      <c r="G3681" t="inlineStr">
        <is>
          <t>Réunion du Conseil de promotion économique du Canada atlantique</t>
        </is>
      </c>
      <c r="H3681" s="1" t="n">
        <v>41073</v>
      </c>
      <c r="I3681" s="1" t="n">
        <v>41074</v>
      </c>
      <c r="J3681" t="inlineStr">
        <is>
          <t>Halifax, Nova Scotia</t>
        </is>
      </c>
      <c r="K3681" t="inlineStr">
        <is>
          <t>Halifax (Nouvelle-Écosse)</t>
        </is>
      </c>
      <c r="P3681" t="n">
        <v>1097.28</v>
      </c>
      <c r="Q3681" t="n">
        <v>100.83</v>
      </c>
      <c r="R3681" t="n">
        <v>174.78</v>
      </c>
      <c r="S3681" t="n">
        <v>131.9</v>
      </c>
      <c r="T3681" t="n">
        <v>40.94</v>
      </c>
      <c r="U3681" t="n">
        <v>1545.73</v>
      </c>
      <c r="X3681" t="inlineStr">
        <is>
          <t>acoa-apeca</t>
        </is>
      </c>
      <c r="Y3681" t="inlineStr">
        <is>
          <t>Atlantic Canada Opportunities Agency | Agence de promotion économique du Canada atlantique</t>
        </is>
      </c>
      <c r="Z3681" t="n">
        <v>2</v>
      </c>
      <c r="AA3681" t="n">
        <v>1545.73</v>
      </c>
      <c r="AB3681">
        <f>ROUND(U3681-AA3681,2)</f>
        <v/>
      </c>
      <c r="AC3681" t="b">
        <v>0</v>
      </c>
      <c r="AD3681">
        <f>IF(U3681="","MISSING_TOTAL",IF(ABS(AB3681)&lt;=0.01,"OK","CHECK"))</f>
        <v/>
      </c>
      <c r="AE3681">
        <f>IF(U3681="","MISSING",IF(AND(AA3681&gt;0,U3681/AA3681&gt;50),"POSSIBLE_SCALE_ERROR","OK"))</f>
        <v/>
      </c>
    </row>
    <row r="3682">
      <c r="A3682" t="inlineStr">
        <is>
          <t>T-2013-Q2-00012</t>
        </is>
      </c>
      <c r="B3682" t="inlineStr">
        <is>
          <t>SLE</t>
        </is>
      </c>
      <c r="C3682" t="inlineStr">
        <is>
          <t>Vice-President, Policy and Programs</t>
        </is>
      </c>
      <c r="D3682" t="inlineStr">
        <is>
          <t>Vice-président, Politiques et Programmes</t>
        </is>
      </c>
      <c r="E3682" t="inlineStr">
        <is>
          <t>Daryell Nowlan</t>
        </is>
      </c>
      <c r="F3682" t="inlineStr">
        <is>
          <t>ACO Board Meeting</t>
        </is>
      </c>
      <c r="G3682" t="inlineStr">
        <is>
          <t>Réunion du Conseil de promotion économique du Canada atlantique</t>
        </is>
      </c>
      <c r="H3682" s="1" t="n">
        <v>41073</v>
      </c>
      <c r="I3682" s="1" t="n">
        <v>41074</v>
      </c>
      <c r="J3682" t="inlineStr">
        <is>
          <t>Halifax, Nova Scotia</t>
        </is>
      </c>
      <c r="K3682" t="inlineStr">
        <is>
          <t>Halifax (Nouvelle-Écosse)</t>
        </is>
      </c>
      <c r="P3682" t="n">
        <v>0</v>
      </c>
      <c r="Q3682" t="n">
        <v>170.02</v>
      </c>
      <c r="R3682" t="n">
        <v>181.82</v>
      </c>
      <c r="S3682" t="n">
        <v>116.3</v>
      </c>
      <c r="T3682" t="n">
        <v>0</v>
      </c>
      <c r="U3682" t="n">
        <v>468.14</v>
      </c>
      <c r="X3682" t="inlineStr">
        <is>
          <t>acoa-apeca</t>
        </is>
      </c>
      <c r="Y3682" t="inlineStr">
        <is>
          <t>Atlantic Canada Opportunities Agency | Agence de promotion économique du Canada atlantique</t>
        </is>
      </c>
      <c r="Z3682" t="n">
        <v>2</v>
      </c>
      <c r="AA3682" t="n">
        <v>468.14</v>
      </c>
      <c r="AB3682">
        <f>ROUND(U3682-AA3682,2)</f>
        <v/>
      </c>
      <c r="AC3682" t="b">
        <v>0</v>
      </c>
      <c r="AD3682">
        <f>IF(U3682="","MISSING_TOTAL",IF(ABS(AB3682)&lt;=0.01,"OK","CHECK"))</f>
        <v/>
      </c>
      <c r="AE3682">
        <f>IF(U3682="","MISSING",IF(AND(AA3682&gt;0,U3682/AA3682&gt;50),"POSSIBLE_SCALE_ERROR","OK"))</f>
        <v/>
      </c>
    </row>
    <row r="3683">
      <c r="A3683" t="inlineStr">
        <is>
          <t>T-2013-Q2-00011</t>
        </is>
      </c>
      <c r="B3683" t="inlineStr">
        <is>
          <t>SLE</t>
        </is>
      </c>
      <c r="C3683" t="inlineStr">
        <is>
          <t>Vice-President, Newfoundland and Labrador</t>
        </is>
      </c>
      <c r="D3683" t="inlineStr">
        <is>
          <t>Vice-président, Terre-Neuve-et-Labrador</t>
        </is>
      </c>
      <c r="E3683" t="inlineStr">
        <is>
          <t>Paul Mills</t>
        </is>
      </c>
      <c r="F3683" t="inlineStr">
        <is>
          <t>To attend meetings with ACOA Board</t>
        </is>
      </c>
      <c r="G3683" t="inlineStr">
        <is>
          <t>Assister à des réunions avec le Conseil de promotion économique du Canada atlantique</t>
        </is>
      </c>
      <c r="H3683" s="1" t="n">
        <v>41073</v>
      </c>
      <c r="I3683" s="1" t="n">
        <v>41074</v>
      </c>
      <c r="J3683" t="inlineStr">
        <is>
          <t>Halifax, Nova Scotia</t>
        </is>
      </c>
      <c r="K3683" t="inlineStr">
        <is>
          <t>Halifax (Nouvelle-Écosse)</t>
        </is>
      </c>
      <c r="P3683" t="n">
        <v>1368.14</v>
      </c>
      <c r="Q3683" t="n">
        <v>113</v>
      </c>
      <c r="R3683" t="n">
        <v>198.24</v>
      </c>
      <c r="S3683" t="n">
        <v>131.9</v>
      </c>
      <c r="T3683" t="n">
        <v>7.33</v>
      </c>
      <c r="U3683" t="n">
        <v>1818.61</v>
      </c>
      <c r="X3683" t="inlineStr">
        <is>
          <t>acoa-apeca</t>
        </is>
      </c>
      <c r="Y3683" t="inlineStr">
        <is>
          <t>Atlantic Canada Opportunities Agency | Agence de promotion économique du Canada atlantique</t>
        </is>
      </c>
      <c r="Z3683" t="n">
        <v>2</v>
      </c>
      <c r="AA3683" t="n">
        <v>1818.61</v>
      </c>
      <c r="AB3683">
        <f>ROUND(U3683-AA3683,2)</f>
        <v/>
      </c>
      <c r="AC3683" t="b">
        <v>0</v>
      </c>
      <c r="AD3683">
        <f>IF(U3683="","MISSING_TOTAL",IF(ABS(AB3683)&lt;=0.01,"OK","CHECK"))</f>
        <v/>
      </c>
      <c r="AE3683">
        <f>IF(U3683="","MISSING",IF(AND(AA3683&gt;0,U3683/AA3683&gt;50),"POSSIBLE_SCALE_ERROR","OK"))</f>
        <v/>
      </c>
    </row>
    <row r="3684">
      <c r="A3684" t="inlineStr">
        <is>
          <t>T-2013-Q2-00010</t>
        </is>
      </c>
      <c r="B3684" t="inlineStr">
        <is>
          <t>SLE</t>
        </is>
      </c>
      <c r="C3684" t="inlineStr">
        <is>
          <t>President</t>
        </is>
      </c>
      <c r="D3684" t="inlineStr">
        <is>
          <t>Président</t>
        </is>
      </c>
      <c r="E3684" t="inlineStr">
        <is>
          <t>Paul J. LeBlanc</t>
        </is>
      </c>
      <c r="F3684" t="inlineStr">
        <is>
          <t>To take part in the 2012 Eurosatory Land Defence Exhibition and the OECD Conference in Paris. For various meetings and discussions with Agency officials and with Government of Canada officials</t>
        </is>
      </c>
      <c r="G3684" t="inlineStr">
        <is>
          <t>Participer à l'exposition Eurosatory 2012 sur la défense terrestre et à la conférence de l'OCDE à Paris; diverses réunions et discussions avec des fonctionnaires de l'Agence et des fonctionnaires fédéraux</t>
        </is>
      </c>
      <c r="H3684" s="1" t="n">
        <v>41069</v>
      </c>
      <c r="I3684" s="1" t="n">
        <v>41081</v>
      </c>
      <c r="J3684" t="inlineStr">
        <is>
          <t>Paris, France; Ottawa, Ontario; Toronto, Ontario</t>
        </is>
      </c>
      <c r="K3684" t="inlineStr">
        <is>
          <t>Paris (France); Ottawa (Ontario); Toronto (Ontario)</t>
        </is>
      </c>
      <c r="P3684" t="n">
        <v>5679.55</v>
      </c>
      <c r="Q3684" t="n">
        <v>122.69</v>
      </c>
      <c r="R3684" t="n">
        <v>2933.74</v>
      </c>
      <c r="S3684" t="n">
        <v>1285.65</v>
      </c>
      <c r="T3684" t="n">
        <v>118</v>
      </c>
      <c r="U3684" t="n">
        <v>10139.63</v>
      </c>
      <c r="X3684" t="inlineStr">
        <is>
          <t>acoa-apeca</t>
        </is>
      </c>
      <c r="Y3684" t="inlineStr">
        <is>
          <t>Atlantic Canada Opportunities Agency | Agence de promotion économique du Canada atlantique</t>
        </is>
      </c>
      <c r="Z3684" t="n">
        <v>13</v>
      </c>
      <c r="AA3684" t="n">
        <v>10139.63</v>
      </c>
      <c r="AB3684">
        <f>ROUND(U3684-AA3684,2)</f>
        <v/>
      </c>
      <c r="AC3684" t="b">
        <v>0</v>
      </c>
      <c r="AD3684">
        <f>IF(U3684="","MISSING_TOTAL",IF(ABS(AB3684)&lt;=0.01,"OK","CHECK"))</f>
        <v/>
      </c>
      <c r="AE3684">
        <f>IF(U3684="","MISSING",IF(AND(AA3684&gt;0,U3684/AA3684&gt;50),"POSSIBLE_SCALE_ERROR","OK"))</f>
        <v/>
      </c>
    </row>
    <row r="3685">
      <c r="A3685" t="inlineStr">
        <is>
          <t>T-2013-Q2-00009</t>
        </is>
      </c>
      <c r="B3685" t="inlineStr">
        <is>
          <t>MPSES</t>
        </is>
      </c>
      <c r="C3685" t="inlineStr">
        <is>
          <t>Minister of State</t>
        </is>
      </c>
      <c r="D3685" t="inlineStr">
        <is>
          <t>Ministre d'État</t>
        </is>
      </c>
      <c r="E3685" t="inlineStr">
        <is>
          <t>Bernard Valcourt</t>
        </is>
      </c>
      <c r="F3685" t="inlineStr">
        <is>
          <t>Announcement for ACOA and La Francophonie</t>
        </is>
      </c>
      <c r="G3685" t="inlineStr">
        <is>
          <t>Annonce pour l'APECA et la Francophonie</t>
        </is>
      </c>
      <c r="H3685" s="1" t="n">
        <v>41068</v>
      </c>
      <c r="I3685" s="1" t="n">
        <v>41070</v>
      </c>
      <c r="J3685" t="inlineStr">
        <is>
          <t>Edmundston and Campbellton, New Brunswick</t>
        </is>
      </c>
      <c r="K3685" t="inlineStr">
        <is>
          <t>Edmundston et Campbellton (Nouveau-Brunswick)</t>
        </is>
      </c>
      <c r="P3685" t="n">
        <v>0</v>
      </c>
      <c r="Q3685" t="n">
        <v>937.53</v>
      </c>
      <c r="R3685" t="n">
        <v>0</v>
      </c>
      <c r="S3685" t="n">
        <v>207.65</v>
      </c>
      <c r="T3685" t="n">
        <v>0</v>
      </c>
      <c r="U3685" t="n">
        <v>1145.18</v>
      </c>
      <c r="X3685" t="inlineStr">
        <is>
          <t>acoa-apeca</t>
        </is>
      </c>
      <c r="Y3685" t="inlineStr">
        <is>
          <t>Atlantic Canada Opportunities Agency | Agence de promotion économique du Canada atlantique</t>
        </is>
      </c>
      <c r="Z3685" t="n">
        <v>3</v>
      </c>
      <c r="AA3685" t="n">
        <v>1145.18</v>
      </c>
      <c r="AB3685">
        <f>ROUND(U3685-AA3685,2)</f>
        <v/>
      </c>
      <c r="AC3685" t="b">
        <v>0</v>
      </c>
      <c r="AD3685">
        <f>IF(U3685="","MISSING_TOTAL",IF(ABS(AB3685)&lt;=0.01,"OK","CHECK"))</f>
        <v/>
      </c>
      <c r="AE3685">
        <f>IF(U3685="","MISSING",IF(AND(AA3685&gt;0,U3685/AA3685&gt;50),"POSSIBLE_SCALE_ERROR","OK"))</f>
        <v/>
      </c>
    </row>
    <row r="3686">
      <c r="A3686" t="inlineStr">
        <is>
          <t>T-2013-Q2-00008</t>
        </is>
      </c>
      <c r="B3686" t="inlineStr">
        <is>
          <t>SLE</t>
        </is>
      </c>
      <c r="C3686" t="inlineStr">
        <is>
          <t>Vice-President, Policy and Programs</t>
        </is>
      </c>
      <c r="D3686" t="inlineStr">
        <is>
          <t>Vice-président, Politiques et Programmes</t>
        </is>
      </c>
      <c r="E3686" t="inlineStr">
        <is>
          <t>Daryell Nowlan</t>
        </is>
      </c>
      <c r="F3686" t="inlineStr">
        <is>
          <t>Meeting with Agency officials</t>
        </is>
      </c>
      <c r="G3686" t="inlineStr">
        <is>
          <t>Réunion avec des fonctionnaires de l'Agence</t>
        </is>
      </c>
      <c r="H3686" s="1" t="n">
        <v>41066</v>
      </c>
      <c r="I3686" s="1" t="n">
        <v>41068</v>
      </c>
      <c r="J3686" t="inlineStr">
        <is>
          <t>St. John's, Newfoundland and Labrador</t>
        </is>
      </c>
      <c r="K3686" t="inlineStr">
        <is>
          <t>St. John's (Terre-Neuve-et-Labrador)</t>
        </is>
      </c>
      <c r="P3686" t="n">
        <v>1534.3</v>
      </c>
      <c r="Q3686" t="n">
        <v>106.8</v>
      </c>
      <c r="R3686" t="n">
        <v>406</v>
      </c>
      <c r="S3686" t="n">
        <v>116.3</v>
      </c>
      <c r="T3686" t="n">
        <v>0</v>
      </c>
      <c r="U3686" t="n">
        <v>2163.4</v>
      </c>
      <c r="X3686" t="inlineStr">
        <is>
          <t>acoa-apeca</t>
        </is>
      </c>
      <c r="Y3686" t="inlineStr">
        <is>
          <t>Atlantic Canada Opportunities Agency | Agence de promotion économique du Canada atlantique</t>
        </is>
      </c>
      <c r="Z3686" t="n">
        <v>3</v>
      </c>
      <c r="AA3686" t="n">
        <v>2163.4</v>
      </c>
      <c r="AB3686">
        <f>ROUND(U3686-AA3686,2)</f>
        <v/>
      </c>
      <c r="AC3686" t="b">
        <v>0</v>
      </c>
      <c r="AD3686">
        <f>IF(U3686="","MISSING_TOTAL",IF(ABS(AB3686)&lt;=0.01,"OK","CHECK"))</f>
        <v/>
      </c>
      <c r="AE3686">
        <f>IF(U3686="","MISSING",IF(AND(AA3686&gt;0,U3686/AA3686&gt;50),"POSSIBLE_SCALE_ERROR","OK"))</f>
        <v/>
      </c>
    </row>
    <row r="3687">
      <c r="A3687" t="inlineStr">
        <is>
          <t>T-2013-Q2-00007</t>
        </is>
      </c>
      <c r="B3687" t="inlineStr">
        <is>
          <t>SLE</t>
        </is>
      </c>
      <c r="C3687" t="inlineStr">
        <is>
          <t>Vice President, Nova Scotia</t>
        </is>
      </c>
      <c r="D3687" t="inlineStr">
        <is>
          <t>Vice-président, Nouvelle-Écosse</t>
        </is>
      </c>
      <c r="E3687" t="inlineStr">
        <is>
          <t>Peter Hogan</t>
        </is>
      </c>
      <c r="F3687" t="inlineStr">
        <is>
          <t>National meeting of Regional Federal Council Chairs</t>
        </is>
      </c>
      <c r="G3687" t="inlineStr">
        <is>
          <t>Réunion nationale des présidents des Conseils fédéraux régionaux</t>
        </is>
      </c>
      <c r="H3687" s="1" t="n">
        <v>41065</v>
      </c>
      <c r="I3687" s="1" t="n">
        <v>41068</v>
      </c>
      <c r="J3687" t="inlineStr">
        <is>
          <t>Fort McMurray/Calgary, Alberta</t>
        </is>
      </c>
      <c r="K3687" t="inlineStr">
        <is>
          <t>Fort McMurray/Calgary (Alberta)</t>
        </is>
      </c>
      <c r="P3687" t="n">
        <v>733.11</v>
      </c>
      <c r="Q3687" t="n">
        <v>106.2</v>
      </c>
      <c r="R3687" t="n">
        <v>465.81</v>
      </c>
      <c r="S3687" t="n">
        <v>283.1</v>
      </c>
      <c r="T3687" t="n">
        <v>0</v>
      </c>
      <c r="U3687" t="n">
        <v>1588.22</v>
      </c>
      <c r="X3687" t="inlineStr">
        <is>
          <t>acoa-apeca</t>
        </is>
      </c>
      <c r="Y3687" t="inlineStr">
        <is>
          <t>Atlantic Canada Opportunities Agency | Agence de promotion économique du Canada atlantique</t>
        </is>
      </c>
      <c r="Z3687" t="n">
        <v>4</v>
      </c>
      <c r="AA3687" t="n">
        <v>1588.22</v>
      </c>
      <c r="AB3687">
        <f>ROUND(U3687-AA3687,2)</f>
        <v/>
      </c>
      <c r="AC3687" t="b">
        <v>0</v>
      </c>
      <c r="AD3687">
        <f>IF(U3687="","MISSING_TOTAL",IF(ABS(AB3687)&lt;=0.01,"OK","CHECK"))</f>
        <v/>
      </c>
      <c r="AE3687">
        <f>IF(U3687="","MISSING",IF(AND(AA3687&gt;0,U3687/AA3687&gt;50),"POSSIBLE_SCALE_ERROR","OK"))</f>
        <v/>
      </c>
    </row>
    <row r="3688">
      <c r="A3688" t="inlineStr">
        <is>
          <t>T-2013-Q2-00005</t>
        </is>
      </c>
      <c r="B3688" t="inlineStr">
        <is>
          <t>SLE</t>
        </is>
      </c>
      <c r="C3688" t="inlineStr">
        <is>
          <t>Vice-President, Prince Edward Island</t>
        </is>
      </c>
      <c r="D3688" t="inlineStr">
        <is>
          <t>Vice-président, Île-du-Prince-Édouard</t>
        </is>
      </c>
      <c r="E3688" t="inlineStr">
        <is>
          <t>Patrick Dorsey</t>
        </is>
      </c>
      <c r="F3688" t="inlineStr">
        <is>
          <t>Meeting with Regional Federal Council Chairs</t>
        </is>
      </c>
      <c r="G3688" t="inlineStr">
        <is>
          <t>Réunion avec les présidents des Conseils fédéraux régionaux</t>
        </is>
      </c>
      <c r="H3688" s="1" t="n">
        <v>41065</v>
      </c>
      <c r="I3688" s="1" t="n">
        <v>41066</v>
      </c>
      <c r="J3688" t="inlineStr">
        <is>
          <t>Fort McMurray, Alberta</t>
        </is>
      </c>
      <c r="K3688" t="inlineStr">
        <is>
          <t>Fort McMurray (Alberta)</t>
        </is>
      </c>
      <c r="P3688" t="n">
        <v>670.01</v>
      </c>
      <c r="Q3688" t="n">
        <v>113</v>
      </c>
      <c r="R3688" t="n">
        <v>303.02</v>
      </c>
      <c r="S3688" t="n">
        <v>252.65</v>
      </c>
      <c r="T3688" t="n">
        <v>0</v>
      </c>
      <c r="U3688" t="n">
        <v>1338.68</v>
      </c>
      <c r="X3688" t="inlineStr">
        <is>
          <t>acoa-apeca</t>
        </is>
      </c>
      <c r="Y3688" t="inlineStr">
        <is>
          <t>Atlantic Canada Opportunities Agency | Agence de promotion économique du Canada atlantique</t>
        </is>
      </c>
      <c r="Z3688" t="n">
        <v>2</v>
      </c>
      <c r="AA3688" t="n">
        <v>1338.68</v>
      </c>
      <c r="AB3688">
        <f>ROUND(U3688-AA3688,2)</f>
        <v/>
      </c>
      <c r="AC3688" t="b">
        <v>0</v>
      </c>
      <c r="AD3688">
        <f>IF(U3688="","MISSING_TOTAL",IF(ABS(AB3688)&lt;=0.01,"OK","CHECK"))</f>
        <v/>
      </c>
      <c r="AE3688">
        <f>IF(U3688="","MISSING",IF(AND(AA3688&gt;0,U3688/AA3688&gt;50),"POSSIBLE_SCALE_ERROR","OK"))</f>
        <v/>
      </c>
    </row>
    <row r="3689">
      <c r="A3689" t="inlineStr">
        <is>
          <t>T-2013-Q2-00003</t>
        </is>
      </c>
      <c r="B3689" t="inlineStr">
        <is>
          <t>SLE</t>
        </is>
      </c>
      <c r="C3689" t="inlineStr">
        <is>
          <t>President</t>
        </is>
      </c>
      <c r="D3689" t="inlineStr">
        <is>
          <t>Président</t>
        </is>
      </c>
      <c r="E3689" t="inlineStr">
        <is>
          <t>Paul J. LeBlanc</t>
        </is>
      </c>
      <c r="F3689" t="inlineStr">
        <is>
          <t>For various meetings and discussions with Agency officials and with Government of Canada officials</t>
        </is>
      </c>
      <c r="G3689" t="inlineStr">
        <is>
          <t>Diverses réunions et discussions avec des fonctionnaires de l'Agence et des fonctionnaires du gouvernement du Canada</t>
        </is>
      </c>
      <c r="H3689" s="1" t="n">
        <v>41064</v>
      </c>
      <c r="I3689" s="1" t="n">
        <v>41066</v>
      </c>
      <c r="J3689" t="inlineStr">
        <is>
          <t>Ottawa, Ontario</t>
        </is>
      </c>
      <c r="K3689" t="inlineStr">
        <is>
          <t>Ottawa (Ontario)</t>
        </is>
      </c>
      <c r="P3689" t="n">
        <v>741.36</v>
      </c>
      <c r="Q3689" t="n">
        <v>25.74</v>
      </c>
      <c r="R3689" t="n">
        <v>359.34</v>
      </c>
      <c r="S3689" t="n">
        <v>178.9</v>
      </c>
      <c r="T3689" t="n">
        <v>0</v>
      </c>
      <c r="U3689" t="n">
        <v>1305.34</v>
      </c>
      <c r="X3689" t="inlineStr">
        <is>
          <t>acoa-apeca</t>
        </is>
      </c>
      <c r="Y3689" t="inlineStr">
        <is>
          <t>Atlantic Canada Opportunities Agency | Agence de promotion économique du Canada atlantique</t>
        </is>
      </c>
      <c r="Z3689" t="n">
        <v>3</v>
      </c>
      <c r="AA3689" t="n">
        <v>1305.34</v>
      </c>
      <c r="AB3689">
        <f>ROUND(U3689-AA3689,2)</f>
        <v/>
      </c>
      <c r="AC3689" t="b">
        <v>0</v>
      </c>
      <c r="AD3689">
        <f>IF(U3689="","MISSING_TOTAL",IF(ABS(AB3689)&lt;=0.01,"OK","CHECK"))</f>
        <v/>
      </c>
      <c r="AE3689">
        <f>IF(U3689="","MISSING",IF(AND(AA3689&gt;0,U3689/AA3689&gt;50),"POSSIBLE_SCALE_ERROR","OK"))</f>
        <v/>
      </c>
    </row>
    <row r="3690">
      <c r="A3690" t="inlineStr">
        <is>
          <t>T-2013-Q2-00002</t>
        </is>
      </c>
      <c r="B3690" t="inlineStr">
        <is>
          <t>SLE</t>
        </is>
      </c>
      <c r="C3690" t="inlineStr">
        <is>
          <t>Vice-President, Newfoundland and Labrador</t>
        </is>
      </c>
      <c r="D3690" t="inlineStr">
        <is>
          <t>Vice-président, Terre-Neuve-et-Labrador</t>
        </is>
      </c>
      <c r="E3690" t="inlineStr">
        <is>
          <t>Paul Mills</t>
        </is>
      </c>
      <c r="F3690" t="inlineStr">
        <is>
          <t>RFC Chairs meeting in Fort McMurray</t>
        </is>
      </c>
      <c r="G3690" t="inlineStr">
        <is>
          <t>Réunion des présidents des conseils fédéraux régionaux à Fort McMurray</t>
        </is>
      </c>
      <c r="H3690" s="1" t="n">
        <v>41064</v>
      </c>
      <c r="I3690" s="1" t="n">
        <v>41068</v>
      </c>
      <c r="J3690" t="inlineStr">
        <is>
          <t>Fort McMurray, Alberta</t>
        </is>
      </c>
      <c r="K3690" t="inlineStr">
        <is>
          <t>Fort McMurray (Alberta)</t>
        </is>
      </c>
      <c r="P3690" t="n">
        <v>1448.64</v>
      </c>
      <c r="Q3690" t="n">
        <v>58</v>
      </c>
      <c r="R3690" t="n">
        <v>649.9</v>
      </c>
      <c r="S3690" t="n">
        <v>412.55</v>
      </c>
      <c r="T3690" t="n">
        <v>13.86</v>
      </c>
      <c r="U3690" t="n">
        <v>2582.95</v>
      </c>
      <c r="X3690" t="inlineStr">
        <is>
          <t>acoa-apeca</t>
        </is>
      </c>
      <c r="Y3690" t="inlineStr">
        <is>
          <t>Atlantic Canada Opportunities Agency | Agence de promotion économique du Canada atlantique</t>
        </is>
      </c>
      <c r="Z3690" t="n">
        <v>5</v>
      </c>
      <c r="AA3690" t="n">
        <v>2582.95</v>
      </c>
      <c r="AB3690">
        <f>ROUND(U3690-AA3690,2)</f>
        <v/>
      </c>
      <c r="AC3690" t="b">
        <v>0</v>
      </c>
      <c r="AD3690">
        <f>IF(U3690="","MISSING_TOTAL",IF(ABS(AB3690)&lt;=0.01,"OK","CHECK"))</f>
        <v/>
      </c>
      <c r="AE3690">
        <f>IF(U3690="","MISSING",IF(AND(AA3690&gt;0,U3690/AA3690&gt;50),"POSSIBLE_SCALE_ERROR","OK"))</f>
        <v/>
      </c>
    </row>
    <row r="3691">
      <c r="A3691" t="inlineStr">
        <is>
          <t>T-2013-Q2-00001</t>
        </is>
      </c>
      <c r="B3691" t="inlineStr">
        <is>
          <t>SLE</t>
        </is>
      </c>
      <c r="C3691" t="inlineStr">
        <is>
          <t>Vice-President, New Brunswick</t>
        </is>
      </c>
      <c r="D3691" t="inlineStr">
        <is>
          <t>Vice-présidente, Nouveau-Brunswick</t>
        </is>
      </c>
      <c r="E3691" t="inlineStr">
        <is>
          <t>Janet Gagnon</t>
        </is>
      </c>
      <c r="F3691" t="inlineStr">
        <is>
          <t>Meetings of Regional Federal Councils</t>
        </is>
      </c>
      <c r="G3691" t="inlineStr">
        <is>
          <t>Réunions des conseils fédéraux régionaux</t>
        </is>
      </c>
      <c r="H3691" s="1" t="n">
        <v>41064</v>
      </c>
      <c r="I3691" s="1" t="n">
        <v>41068</v>
      </c>
      <c r="J3691" t="inlineStr">
        <is>
          <t>Fort McMurray, Alberta</t>
        </is>
      </c>
      <c r="K3691" t="inlineStr">
        <is>
          <t>Fort McMurray (Alberta)</t>
        </is>
      </c>
      <c r="P3691" t="n">
        <v>2095.38</v>
      </c>
      <c r="Q3691" t="n">
        <v>210.65</v>
      </c>
      <c r="R3691" t="n">
        <v>690.41</v>
      </c>
      <c r="S3691" t="n">
        <v>427.4</v>
      </c>
      <c r="T3691" t="n">
        <v>44</v>
      </c>
      <c r="U3691" t="n">
        <v>3467.84</v>
      </c>
      <c r="X3691" t="inlineStr">
        <is>
          <t>acoa-apeca</t>
        </is>
      </c>
      <c r="Y3691" t="inlineStr">
        <is>
          <t>Atlantic Canada Opportunities Agency | Agence de promotion économique du Canada atlantique</t>
        </is>
      </c>
      <c r="Z3691" t="n">
        <v>5</v>
      </c>
      <c r="AA3691" t="n">
        <v>3467.84</v>
      </c>
      <c r="AB3691">
        <f>ROUND(U3691-AA3691,2)</f>
        <v/>
      </c>
      <c r="AC3691" t="b">
        <v>0</v>
      </c>
      <c r="AD3691">
        <f>IF(U3691="","MISSING_TOTAL",IF(ABS(AB3691)&lt;=0.01,"OK","CHECK"))</f>
        <v/>
      </c>
      <c r="AE3691">
        <f>IF(U3691="","MISSING",IF(AND(AA3691&gt;0,U3691/AA3691&gt;50),"POSSIBLE_SCALE_ERROR","OK"))</f>
        <v/>
      </c>
    </row>
    <row r="3692">
      <c r="A3692" t="inlineStr">
        <is>
          <t>T-2013-Q1-00089</t>
        </is>
      </c>
      <c r="B3692" t="inlineStr">
        <is>
          <t>SLE</t>
        </is>
      </c>
      <c r="C3692" t="inlineStr">
        <is>
          <t>President</t>
        </is>
      </c>
      <c r="D3692" t="inlineStr">
        <is>
          <t>Président</t>
        </is>
      </c>
      <c r="E3692" t="inlineStr">
        <is>
          <t>Paul J. LeBlanc</t>
        </is>
      </c>
      <c r="F3692" t="inlineStr">
        <is>
          <t>For meeting with Government of Canada officials and transportation sector officials</t>
        </is>
      </c>
      <c r="G3692" t="inlineStr">
        <is>
          <t>Réunion avec des fonctionnaires du gouvernement du Canada et des représentants du secteur des transports</t>
        </is>
      </c>
      <c r="H3692" s="1" t="n">
        <v>41060</v>
      </c>
      <c r="I3692" s="1" t="n">
        <v>41061</v>
      </c>
      <c r="J3692" t="inlineStr">
        <is>
          <t>Halifax, Nova Scotia</t>
        </is>
      </c>
      <c r="K3692" t="inlineStr">
        <is>
          <t>Halifax (Nouvelle-Écosse)</t>
        </is>
      </c>
      <c r="P3692" t="n">
        <v>0</v>
      </c>
      <c r="Q3692" t="n">
        <v>0</v>
      </c>
      <c r="R3692" t="n">
        <v>263.16</v>
      </c>
      <c r="S3692" t="n">
        <v>131.9</v>
      </c>
      <c r="T3692" t="n">
        <v>0</v>
      </c>
      <c r="U3692" t="n">
        <v>395.06</v>
      </c>
      <c r="X3692" t="inlineStr">
        <is>
          <t>acoa-apeca</t>
        </is>
      </c>
      <c r="Y3692" t="inlineStr">
        <is>
          <t>Atlantic Canada Opportunities Agency | Agence de promotion économique du Canada atlantique</t>
        </is>
      </c>
      <c r="Z3692" t="n">
        <v>2</v>
      </c>
      <c r="AA3692" t="n">
        <v>395.06</v>
      </c>
      <c r="AB3692">
        <f>ROUND(U3692-AA3692,2)</f>
        <v/>
      </c>
      <c r="AC3692" t="b">
        <v>0</v>
      </c>
      <c r="AD3692">
        <f>IF(U3692="","MISSING_TOTAL",IF(ABS(AB3692)&lt;=0.01,"OK","CHECK"))</f>
        <v/>
      </c>
      <c r="AE3692">
        <f>IF(U3692="","MISSING",IF(AND(AA3692&gt;0,U3692/AA3692&gt;50),"POSSIBLE_SCALE_ERROR","OK"))</f>
        <v/>
      </c>
    </row>
    <row r="3693">
      <c r="A3693" t="inlineStr">
        <is>
          <t>T-2013-Q1-00088</t>
        </is>
      </c>
      <c r="B3693" t="inlineStr">
        <is>
          <t>SLE</t>
        </is>
      </c>
      <c r="C3693" t="inlineStr">
        <is>
          <t>Vice-President, Prince Edward Island</t>
        </is>
      </c>
      <c r="D3693" t="inlineStr">
        <is>
          <t>Vice-président, Île-du-Prince-Édouard</t>
        </is>
      </c>
      <c r="E3693" t="inlineStr">
        <is>
          <t>Patrick Dorsey</t>
        </is>
      </c>
      <c r="F3693" t="inlineStr">
        <is>
          <t>Meetings with Agency and Government of Canada officials</t>
        </is>
      </c>
      <c r="G3693" t="inlineStr">
        <is>
          <t>Réunions avec des fonctionnaires de l'Agence et du gouvernement du Canada</t>
        </is>
      </c>
      <c r="H3693" s="1" t="n">
        <v>41059</v>
      </c>
      <c r="I3693" s="1" t="n">
        <v>41060</v>
      </c>
      <c r="J3693" t="inlineStr">
        <is>
          <t>Ottawa, Ontario</t>
        </is>
      </c>
      <c r="K3693" t="inlineStr">
        <is>
          <t>Ottawa (Ontario)</t>
        </is>
      </c>
      <c r="P3693" t="n">
        <v>675.83</v>
      </c>
      <c r="Q3693" t="n">
        <v>49</v>
      </c>
      <c r="R3693" t="n">
        <v>177.41</v>
      </c>
      <c r="S3693" t="n">
        <v>105.9</v>
      </c>
      <c r="T3693" t="n">
        <v>0</v>
      </c>
      <c r="U3693" t="n">
        <v>1008.14</v>
      </c>
      <c r="X3693" t="inlineStr">
        <is>
          <t>acoa-apeca</t>
        </is>
      </c>
      <c r="Y3693" t="inlineStr">
        <is>
          <t>Atlantic Canada Opportunities Agency | Agence de promotion économique du Canada atlantique</t>
        </is>
      </c>
      <c r="Z3693" t="n">
        <v>2</v>
      </c>
      <c r="AA3693" t="n">
        <v>1008.14</v>
      </c>
      <c r="AB3693">
        <f>ROUND(U3693-AA3693,2)</f>
        <v/>
      </c>
      <c r="AC3693" t="b">
        <v>0</v>
      </c>
      <c r="AD3693">
        <f>IF(U3693="","MISSING_TOTAL",IF(ABS(AB3693)&lt;=0.01,"OK","CHECK"))</f>
        <v/>
      </c>
      <c r="AE3693">
        <f>IF(U3693="","MISSING",IF(AND(AA3693&gt;0,U3693/AA3693&gt;50),"POSSIBLE_SCALE_ERROR","OK"))</f>
        <v/>
      </c>
    </row>
    <row r="3694">
      <c r="A3694" t="inlineStr">
        <is>
          <t>T-2013-Q1-00087</t>
        </is>
      </c>
      <c r="B3694" t="inlineStr">
        <is>
          <t>MPSES</t>
        </is>
      </c>
      <c r="C3694" t="inlineStr">
        <is>
          <t>Executive Assistant and Press Secretary</t>
        </is>
      </c>
      <c r="D3694" t="inlineStr">
        <is>
          <t>Adjointe exécutive et attaché de presse</t>
        </is>
      </c>
      <c r="E3694" t="inlineStr">
        <is>
          <t>Andrea Richer</t>
        </is>
      </c>
      <c r="F3694" t="inlineStr">
        <is>
          <t>Travel to accompany Minister of State for AGM-CBDC of Atlantic Speech</t>
        </is>
      </c>
      <c r="G3694" t="inlineStr">
        <is>
          <t>Voyage pour accompagner le ministre d'État en vue d'une allocution à l'AGA des CBDC de l'Atlantique</t>
        </is>
      </c>
      <c r="H3694" s="1" t="n">
        <v>41058</v>
      </c>
      <c r="I3694" s="1" t="n">
        <v>41059</v>
      </c>
      <c r="J3694" t="inlineStr">
        <is>
          <t>Halifax, Nova Scotia</t>
        </is>
      </c>
      <c r="K3694" t="inlineStr">
        <is>
          <t>Halifax (Nouvelle-Écosse)</t>
        </is>
      </c>
      <c r="P3694" t="n">
        <v>1273.65</v>
      </c>
      <c r="Q3694" t="n">
        <v>60</v>
      </c>
      <c r="R3694" t="n">
        <v>303.81</v>
      </c>
      <c r="S3694" t="n">
        <v>91.05</v>
      </c>
      <c r="T3694" t="n">
        <v>0</v>
      </c>
      <c r="U3694" t="n">
        <v>1728.51</v>
      </c>
      <c r="X3694" t="inlineStr">
        <is>
          <t>acoa-apeca</t>
        </is>
      </c>
      <c r="Y3694" t="inlineStr">
        <is>
          <t>Atlantic Canada Opportunities Agency | Agence de promotion économique du Canada atlantique</t>
        </is>
      </c>
      <c r="Z3694" t="n">
        <v>2</v>
      </c>
      <c r="AA3694" t="n">
        <v>1728.51</v>
      </c>
      <c r="AB3694">
        <f>ROUND(U3694-AA3694,2)</f>
        <v/>
      </c>
      <c r="AC3694" t="b">
        <v>0</v>
      </c>
      <c r="AD3694">
        <f>IF(U3694="","MISSING_TOTAL",IF(ABS(AB3694)&lt;=0.01,"OK","CHECK"))</f>
        <v/>
      </c>
      <c r="AE3694">
        <f>IF(U3694="","MISSING",IF(AND(AA3694&gt;0,U3694/AA3694&gt;50),"POSSIBLE_SCALE_ERROR","OK"))</f>
        <v/>
      </c>
    </row>
    <row r="3695">
      <c r="A3695" t="inlineStr">
        <is>
          <t>T-2013-Q1-00086</t>
        </is>
      </c>
      <c r="B3695" t="inlineStr">
        <is>
          <t>MPSES</t>
        </is>
      </c>
      <c r="C3695" t="inlineStr">
        <is>
          <t>Minister of State</t>
        </is>
      </c>
      <c r="D3695" t="inlineStr">
        <is>
          <t>Ministre d'État</t>
        </is>
      </c>
      <c r="E3695" t="inlineStr">
        <is>
          <t>Bernard Valcourt</t>
        </is>
      </c>
      <c r="F3695" t="inlineStr">
        <is>
          <t>Various meetings and speeches for ACOA</t>
        </is>
      </c>
      <c r="G3695" t="inlineStr">
        <is>
          <t>Rencontres et allocutions diverses pour l'APECA</t>
        </is>
      </c>
      <c r="H3695" s="1" t="n">
        <v>41058</v>
      </c>
      <c r="I3695" s="1" t="n">
        <v>41059</v>
      </c>
      <c r="J3695" t="inlineStr">
        <is>
          <t>Halifax, Nova Scotia</t>
        </is>
      </c>
      <c r="K3695" t="inlineStr">
        <is>
          <t>Halifax (Nouvelle-Écosse)</t>
        </is>
      </c>
      <c r="P3695" t="n">
        <v>1175.9</v>
      </c>
      <c r="Q3695" t="n">
        <v>0</v>
      </c>
      <c r="R3695" t="n">
        <v>303.81</v>
      </c>
      <c r="S3695" t="n">
        <v>91.05</v>
      </c>
      <c r="T3695" t="n">
        <v>0</v>
      </c>
      <c r="U3695" t="n">
        <v>1570.76</v>
      </c>
      <c r="X3695" t="inlineStr">
        <is>
          <t>acoa-apeca</t>
        </is>
      </c>
      <c r="Y3695" t="inlineStr">
        <is>
          <t>Atlantic Canada Opportunities Agency | Agence de promotion économique du Canada atlantique</t>
        </is>
      </c>
      <c r="Z3695" t="n">
        <v>2</v>
      </c>
      <c r="AA3695" t="n">
        <v>1570.76</v>
      </c>
      <c r="AB3695">
        <f>ROUND(U3695-AA3695,2)</f>
        <v/>
      </c>
      <c r="AC3695" t="b">
        <v>0</v>
      </c>
      <c r="AD3695">
        <f>IF(U3695="","MISSING_TOTAL",IF(ABS(AB3695)&lt;=0.01,"OK","CHECK"))</f>
        <v/>
      </c>
      <c r="AE3695">
        <f>IF(U3695="","MISSING",IF(AND(AA3695&gt;0,U3695/AA3695&gt;50),"POSSIBLE_SCALE_ERROR","OK"))</f>
        <v/>
      </c>
    </row>
    <row r="3696">
      <c r="A3696" t="inlineStr">
        <is>
          <t>T-2013-Q1-00085</t>
        </is>
      </c>
      <c r="B3696" t="inlineStr">
        <is>
          <t>SLE</t>
        </is>
      </c>
      <c r="C3696" t="inlineStr">
        <is>
          <t>Vice-President, New Brunswick</t>
        </is>
      </c>
      <c r="D3696" t="inlineStr">
        <is>
          <t>Vice-présidente, Nouveau-Brunswick</t>
        </is>
      </c>
      <c r="E3696" t="inlineStr">
        <is>
          <t>Janet Gagnon</t>
        </is>
      </c>
      <c r="F3696" t="inlineStr">
        <is>
          <t>Aquaculture Meeting</t>
        </is>
      </c>
      <c r="G3696" t="inlineStr">
        <is>
          <t>Réunion sur l'aquaculture</t>
        </is>
      </c>
      <c r="H3696" s="1" t="n">
        <v>41057</v>
      </c>
      <c r="I3696" s="1" t="n">
        <v>41059</v>
      </c>
      <c r="J3696" t="inlineStr">
        <is>
          <t>Charlottetown, Prince Edward Island</t>
        </is>
      </c>
      <c r="K3696" t="inlineStr">
        <is>
          <t>Charlottetown (Île-du-Prince-Édouard)</t>
        </is>
      </c>
      <c r="P3696" t="n">
        <v>0</v>
      </c>
      <c r="Q3696" t="n">
        <v>0</v>
      </c>
      <c r="R3696" t="n">
        <v>329.86</v>
      </c>
      <c r="S3696" t="n">
        <v>194.5</v>
      </c>
      <c r="T3696" t="n">
        <v>44.25</v>
      </c>
      <c r="U3696" t="n">
        <v>568.61</v>
      </c>
      <c r="X3696" t="inlineStr">
        <is>
          <t>acoa-apeca</t>
        </is>
      </c>
      <c r="Y3696" t="inlineStr">
        <is>
          <t>Atlantic Canada Opportunities Agency | Agence de promotion économique du Canada atlantique</t>
        </is>
      </c>
      <c r="Z3696" t="n">
        <v>3</v>
      </c>
      <c r="AA3696" t="n">
        <v>568.61</v>
      </c>
      <c r="AB3696">
        <f>ROUND(U3696-AA3696,2)</f>
        <v/>
      </c>
      <c r="AC3696" t="b">
        <v>0</v>
      </c>
      <c r="AD3696">
        <f>IF(U3696="","MISSING_TOTAL",IF(ABS(AB3696)&lt;=0.01,"OK","CHECK"))</f>
        <v/>
      </c>
      <c r="AE3696">
        <f>IF(U3696="","MISSING",IF(AND(AA3696&gt;0,U3696/AA3696&gt;50),"POSSIBLE_SCALE_ERROR","OK"))</f>
        <v/>
      </c>
    </row>
    <row r="3697">
      <c r="A3697" t="inlineStr">
        <is>
          <t>T-2013-Q1-00084</t>
        </is>
      </c>
      <c r="B3697" t="inlineStr">
        <is>
          <t>SLE</t>
        </is>
      </c>
      <c r="C3697" t="inlineStr">
        <is>
          <t>President</t>
        </is>
      </c>
      <c r="D3697" t="inlineStr">
        <is>
          <t>Président</t>
        </is>
      </c>
      <c r="E3697" t="inlineStr">
        <is>
          <t>Paul J. LeBlanc</t>
        </is>
      </c>
      <c r="F3697" t="inlineStr">
        <is>
          <t>For various meetings and discussions with Agency officials and with Government of Canada officials</t>
        </is>
      </c>
      <c r="G3697" t="inlineStr">
        <is>
          <t>Diverses réunions et discussions avec des fonctionnaires de l'Agence et des fonctionnaires du gouvernement du Canada</t>
        </is>
      </c>
      <c r="H3697" s="1" t="n">
        <v>41057</v>
      </c>
      <c r="I3697" s="1" t="n">
        <v>41059</v>
      </c>
      <c r="J3697" t="inlineStr">
        <is>
          <t>Ottawa, Ontario</t>
        </is>
      </c>
      <c r="K3697" t="inlineStr">
        <is>
          <t>Ottawa (Ontario)</t>
        </is>
      </c>
      <c r="P3697" t="n">
        <v>741.36</v>
      </c>
      <c r="Q3697" t="n">
        <v>0</v>
      </c>
      <c r="R3697" t="n">
        <v>354.82</v>
      </c>
      <c r="S3697" t="n">
        <v>193.75</v>
      </c>
      <c r="T3697" t="n">
        <v>42</v>
      </c>
      <c r="U3697" t="n">
        <v>1331.93</v>
      </c>
      <c r="X3697" t="inlineStr">
        <is>
          <t>acoa-apeca</t>
        </is>
      </c>
      <c r="Y3697" t="inlineStr">
        <is>
          <t>Atlantic Canada Opportunities Agency | Agence de promotion économique du Canada atlantique</t>
        </is>
      </c>
      <c r="Z3697" t="n">
        <v>3</v>
      </c>
      <c r="AA3697" t="n">
        <v>1331.93</v>
      </c>
      <c r="AB3697">
        <f>ROUND(U3697-AA3697,2)</f>
        <v/>
      </c>
      <c r="AC3697" t="b">
        <v>0</v>
      </c>
      <c r="AD3697">
        <f>IF(U3697="","MISSING_TOTAL",IF(ABS(AB3697)&lt;=0.01,"OK","CHECK"))</f>
        <v/>
      </c>
      <c r="AE3697">
        <f>IF(U3697="","MISSING",IF(AND(AA3697&gt;0,U3697/AA3697&gt;50),"POSSIBLE_SCALE_ERROR","OK"))</f>
        <v/>
      </c>
    </row>
    <row r="3698">
      <c r="A3698" t="inlineStr">
        <is>
          <t>T-2013-Q1-00082</t>
        </is>
      </c>
      <c r="B3698" t="inlineStr">
        <is>
          <t>SLE</t>
        </is>
      </c>
      <c r="C3698" t="inlineStr">
        <is>
          <t>Vice-President, Finance and Corporate Services</t>
        </is>
      </c>
      <c r="D3698" t="inlineStr">
        <is>
          <t>Vice-présidente, Finances et Services corporatifs</t>
        </is>
      </c>
      <c r="E3698" t="inlineStr">
        <is>
          <t>Denise Frenette</t>
        </is>
      </c>
      <c r="F3698" t="inlineStr">
        <is>
          <t>Meetings with Agency officials</t>
        </is>
      </c>
      <c r="G3698" t="inlineStr">
        <is>
          <t>Réunions avec des fonctionnaires de l'Agence</t>
        </is>
      </c>
      <c r="H3698" s="1" t="n">
        <v>41052</v>
      </c>
      <c r="I3698" s="1" t="n">
        <v>41053</v>
      </c>
      <c r="J3698" t="inlineStr">
        <is>
          <t>Halifax, Nova Scotia</t>
        </is>
      </c>
      <c r="K3698" t="inlineStr">
        <is>
          <t>Halifax (Nouvelle-Écosse)</t>
        </is>
      </c>
      <c r="P3698" t="n">
        <v>0</v>
      </c>
      <c r="Q3698" t="n">
        <v>0</v>
      </c>
      <c r="R3698" t="n">
        <v>174.78</v>
      </c>
      <c r="S3698" t="n">
        <v>75.45</v>
      </c>
      <c r="T3698" t="n">
        <v>0</v>
      </c>
      <c r="U3698" t="n">
        <v>250.23</v>
      </c>
      <c r="X3698" t="inlineStr">
        <is>
          <t>acoa-apeca</t>
        </is>
      </c>
      <c r="Y3698" t="inlineStr">
        <is>
          <t>Atlantic Canada Opportunities Agency | Agence de promotion économique du Canada atlantique</t>
        </is>
      </c>
      <c r="Z3698" t="n">
        <v>2</v>
      </c>
      <c r="AA3698" t="n">
        <v>250.23</v>
      </c>
      <c r="AB3698">
        <f>ROUND(U3698-AA3698,2)</f>
        <v/>
      </c>
      <c r="AC3698" t="b">
        <v>0</v>
      </c>
      <c r="AD3698">
        <f>IF(U3698="","MISSING_TOTAL",IF(ABS(AB3698)&lt;=0.01,"OK","CHECK"))</f>
        <v/>
      </c>
      <c r="AE3698">
        <f>IF(U3698="","MISSING",IF(AND(AA3698&gt;0,U3698/AA3698&gt;50),"POSSIBLE_SCALE_ERROR","OK"))</f>
        <v/>
      </c>
    </row>
    <row r="3699">
      <c r="A3699" t="inlineStr">
        <is>
          <t>T-2013-Q1-00081</t>
        </is>
      </c>
      <c r="B3699" t="inlineStr">
        <is>
          <t>SLE</t>
        </is>
      </c>
      <c r="C3699" t="inlineStr">
        <is>
          <t>Vice-President, Prince Edward Island</t>
        </is>
      </c>
      <c r="D3699" t="inlineStr">
        <is>
          <t>Vice-président, Île-du-Prince-Édouard</t>
        </is>
      </c>
      <c r="E3699" t="inlineStr">
        <is>
          <t>Patrick Dorsey</t>
        </is>
      </c>
      <c r="F3699" t="inlineStr">
        <is>
          <t>4Front Altantic Conference and meetings in Halifax</t>
        </is>
      </c>
      <c r="G3699" t="inlineStr">
        <is>
          <t>Conférence Atlantique à l'avant-garde et réunions à Halifax</t>
        </is>
      </c>
      <c r="H3699" s="1" t="n">
        <v>41052</v>
      </c>
      <c r="I3699" s="1" t="n">
        <v>41055</v>
      </c>
      <c r="J3699" t="inlineStr">
        <is>
          <t>Halifax, Nova Scotia</t>
        </is>
      </c>
      <c r="K3699" t="inlineStr">
        <is>
          <t>Halifax (Nouvelle-Écosse)</t>
        </is>
      </c>
      <c r="P3699" t="n">
        <v>0</v>
      </c>
      <c r="Q3699" t="n">
        <v>471.89</v>
      </c>
      <c r="R3699" t="n">
        <v>399.56</v>
      </c>
      <c r="S3699" t="n">
        <v>353.4</v>
      </c>
      <c r="T3699" t="n">
        <v>0</v>
      </c>
      <c r="U3699" t="n">
        <v>1224.85</v>
      </c>
      <c r="X3699" t="inlineStr">
        <is>
          <t>acoa-apeca</t>
        </is>
      </c>
      <c r="Y3699" t="inlineStr">
        <is>
          <t>Atlantic Canada Opportunities Agency | Agence de promotion économique du Canada atlantique</t>
        </is>
      </c>
      <c r="Z3699" t="n">
        <v>4</v>
      </c>
      <c r="AA3699" t="n">
        <v>1224.85</v>
      </c>
      <c r="AB3699">
        <f>ROUND(U3699-AA3699,2)</f>
        <v/>
      </c>
      <c r="AC3699" t="b">
        <v>0</v>
      </c>
      <c r="AD3699">
        <f>IF(U3699="","MISSING_TOTAL",IF(ABS(AB3699)&lt;=0.01,"OK","CHECK"))</f>
        <v/>
      </c>
      <c r="AE3699">
        <f>IF(U3699="","MISSING",IF(AND(AA3699&gt;0,U3699/AA3699&gt;50),"POSSIBLE_SCALE_ERROR","OK"))</f>
        <v/>
      </c>
    </row>
    <row r="3700">
      <c r="A3700" t="inlineStr">
        <is>
          <t>T-2013-Q1-00080</t>
        </is>
      </c>
      <c r="B3700" t="inlineStr">
        <is>
          <t>SLE</t>
        </is>
      </c>
      <c r="C3700" t="inlineStr">
        <is>
          <t>President</t>
        </is>
      </c>
      <c r="D3700" t="inlineStr">
        <is>
          <t>Président</t>
        </is>
      </c>
      <c r="E3700" t="inlineStr">
        <is>
          <t>Paul J. LeBlanc</t>
        </is>
      </c>
      <c r="F3700" t="inlineStr">
        <is>
          <t>For various meetings and discussions with Agency officials and with Government of Canada officials</t>
        </is>
      </c>
      <c r="G3700" t="inlineStr">
        <is>
          <t>Diverses réunions et discussions avec des fonctionnaires de l'Agence et des fonctionnaires du gouvernement du Canada</t>
        </is>
      </c>
      <c r="H3700" s="1" t="n">
        <v>41052</v>
      </c>
      <c r="I3700" s="1" t="n">
        <v>41054</v>
      </c>
      <c r="J3700" t="inlineStr">
        <is>
          <t>Halifax, Nova Scotia</t>
        </is>
      </c>
      <c r="K3700" t="inlineStr">
        <is>
          <t>Halifax (Nouvelle-Écosse)</t>
        </is>
      </c>
      <c r="P3700" t="n">
        <v>0</v>
      </c>
      <c r="Q3700" t="n">
        <v>0</v>
      </c>
      <c r="R3700" t="n">
        <v>349.56</v>
      </c>
      <c r="S3700" t="n">
        <v>91.05</v>
      </c>
      <c r="T3700" t="n">
        <v>0</v>
      </c>
      <c r="U3700" t="n">
        <v>440.61</v>
      </c>
      <c r="X3700" t="inlineStr">
        <is>
          <t>acoa-apeca</t>
        </is>
      </c>
      <c r="Y3700" t="inlineStr">
        <is>
          <t>Atlantic Canada Opportunities Agency | Agence de promotion économique du Canada atlantique</t>
        </is>
      </c>
      <c r="Z3700" t="n">
        <v>3</v>
      </c>
      <c r="AA3700" t="n">
        <v>440.61</v>
      </c>
      <c r="AB3700">
        <f>ROUND(U3700-AA3700,2)</f>
        <v/>
      </c>
      <c r="AC3700" t="b">
        <v>0</v>
      </c>
      <c r="AD3700">
        <f>IF(U3700="","MISSING_TOTAL",IF(ABS(AB3700)&lt;=0.01,"OK","CHECK"))</f>
        <v/>
      </c>
      <c r="AE3700">
        <f>IF(U3700="","MISSING",IF(AND(AA3700&gt;0,U3700/AA3700&gt;50),"POSSIBLE_SCALE_ERROR","OK"))</f>
        <v/>
      </c>
    </row>
    <row r="3701">
      <c r="A3701" t="inlineStr">
        <is>
          <t>T-2013-Q1-00079</t>
        </is>
      </c>
      <c r="B3701" t="inlineStr">
        <is>
          <t>SLE</t>
        </is>
      </c>
      <c r="C3701" t="inlineStr">
        <is>
          <t>Vice-President, Newfoundland and Labrador</t>
        </is>
      </c>
      <c r="D3701" t="inlineStr">
        <is>
          <t>Vice-président, Terre-Neuve-et-Labrador</t>
        </is>
      </c>
      <c r="E3701" t="inlineStr">
        <is>
          <t>Paul Mills</t>
        </is>
      </c>
      <c r="F3701" t="inlineStr">
        <is>
          <t>Meeting with President and vice-presidents</t>
        </is>
      </c>
      <c r="G3701" t="inlineStr">
        <is>
          <t>Réunion avec le président et les vice-présidents</t>
        </is>
      </c>
      <c r="H3701" s="1" t="n">
        <v>41052</v>
      </c>
      <c r="I3701" s="1" t="n">
        <v>41054</v>
      </c>
      <c r="J3701" t="inlineStr">
        <is>
          <t>Halifax, Nova Scotia</t>
        </is>
      </c>
      <c r="K3701" t="inlineStr">
        <is>
          <t>Halifax (Nouvelle-Écosse)</t>
        </is>
      </c>
      <c r="P3701" t="n">
        <v>1368.14</v>
      </c>
      <c r="Q3701" t="n">
        <v>141</v>
      </c>
      <c r="R3701" t="n">
        <v>344.87</v>
      </c>
      <c r="S3701" t="n">
        <v>164.8</v>
      </c>
      <c r="T3701" t="n">
        <v>8.529999999999999</v>
      </c>
      <c r="U3701" t="n">
        <v>2027.34</v>
      </c>
      <c r="X3701" t="inlineStr">
        <is>
          <t>acoa-apeca</t>
        </is>
      </c>
      <c r="Y3701" t="inlineStr">
        <is>
          <t>Atlantic Canada Opportunities Agency | Agence de promotion économique du Canada atlantique</t>
        </is>
      </c>
      <c r="Z3701" t="n">
        <v>3</v>
      </c>
      <c r="AA3701" t="n">
        <v>2027.34</v>
      </c>
      <c r="AB3701">
        <f>ROUND(U3701-AA3701,2)</f>
        <v/>
      </c>
      <c r="AC3701" t="b">
        <v>0</v>
      </c>
      <c r="AD3701">
        <f>IF(U3701="","MISSING_TOTAL",IF(ABS(AB3701)&lt;=0.01,"OK","CHECK"))</f>
        <v/>
      </c>
      <c r="AE3701">
        <f>IF(U3701="","MISSING",IF(AND(AA3701&gt;0,U3701/AA3701&gt;50),"POSSIBLE_SCALE_ERROR","OK"))</f>
        <v/>
      </c>
    </row>
    <row r="3702">
      <c r="A3702" t="inlineStr">
        <is>
          <t>T-2013-Q1-00076</t>
        </is>
      </c>
      <c r="B3702" t="inlineStr">
        <is>
          <t>MPSES</t>
        </is>
      </c>
      <c r="C3702" t="inlineStr">
        <is>
          <t>Executive Assistant and Press Secretary</t>
        </is>
      </c>
      <c r="D3702" t="inlineStr">
        <is>
          <t>Adjointe exécutive et attaché de presse</t>
        </is>
      </c>
      <c r="E3702" t="inlineStr">
        <is>
          <t>Andrea Richer</t>
        </is>
      </c>
      <c r="F3702" t="inlineStr">
        <is>
          <t>Travel to accompany Minister of State for various ACOA meetings and announcements (amounts have been reduced from previously published numbers to reflect airline rebates.  The airline provided these rebates after travel had occurred.)</t>
        </is>
      </c>
      <c r="G3702" t="inlineStr">
        <is>
          <t>Voyage pour accompagner le ministre d'État à diverses réunions et annonces de l'APECA (Les chiffres publiés antérieurement ont été réduits pour refléter des rabais sur les tarifs aériens. Le transporteur aérien a offert ces rabais après le voyage.)</t>
        </is>
      </c>
      <c r="H3702" s="1" t="n">
        <v>41050</v>
      </c>
      <c r="I3702" s="1" t="n">
        <v>41053</v>
      </c>
      <c r="J3702" t="inlineStr">
        <is>
          <t>Fredericton, Caraquet and Edmundston, New Brunswick</t>
        </is>
      </c>
      <c r="K3702" t="inlineStr">
        <is>
          <t>Fredericton, Caraquet et Edmundston (Nouveau-Brunswick)</t>
        </is>
      </c>
      <c r="P3702" t="n">
        <v>849.42</v>
      </c>
      <c r="Q3702" t="n">
        <v>73.5</v>
      </c>
      <c r="R3702" t="n">
        <v>384.2</v>
      </c>
      <c r="S3702" t="n">
        <v>272.7</v>
      </c>
      <c r="T3702" t="n">
        <v>0</v>
      </c>
      <c r="U3702" t="n">
        <v>1579.82</v>
      </c>
      <c r="X3702" t="inlineStr">
        <is>
          <t>acoa-apeca</t>
        </is>
      </c>
      <c r="Y3702" t="inlineStr">
        <is>
          <t>Atlantic Canada Opportunities Agency | Agence de promotion économique du Canada atlantique</t>
        </is>
      </c>
      <c r="Z3702" t="n">
        <v>4</v>
      </c>
      <c r="AA3702" t="n">
        <v>1579.82</v>
      </c>
      <c r="AB3702">
        <f>ROUND(U3702-AA3702,2)</f>
        <v/>
      </c>
      <c r="AC3702" t="b">
        <v>0</v>
      </c>
      <c r="AD3702">
        <f>IF(U3702="","MISSING_TOTAL",IF(ABS(AB3702)&lt;=0.01,"OK","CHECK"))</f>
        <v/>
      </c>
      <c r="AE3702">
        <f>IF(U3702="","MISSING",IF(AND(AA3702&gt;0,U3702/AA3702&gt;50),"POSSIBLE_SCALE_ERROR","OK"))</f>
        <v/>
      </c>
    </row>
    <row r="3703">
      <c r="A3703" t="inlineStr">
        <is>
          <t>T-2013-Q1-00075</t>
        </is>
      </c>
      <c r="B3703" t="inlineStr">
        <is>
          <t>MPSES</t>
        </is>
      </c>
      <c r="C3703" t="inlineStr">
        <is>
          <t>Minister of State</t>
        </is>
      </c>
      <c r="D3703" t="inlineStr">
        <is>
          <t>Ministre d'État</t>
        </is>
      </c>
      <c r="E3703" t="inlineStr">
        <is>
          <t>Bernard Valcourt</t>
        </is>
      </c>
      <c r="F3703" t="inlineStr">
        <is>
          <t>Various meetings and speeches for ACOA</t>
        </is>
      </c>
      <c r="G3703" t="inlineStr">
        <is>
          <t>Rencontres et allocutions diverses pour l'APECA</t>
        </is>
      </c>
      <c r="H3703" s="1" t="n">
        <v>41050</v>
      </c>
      <c r="I3703" s="1" t="n">
        <v>41053</v>
      </c>
      <c r="J3703" t="inlineStr">
        <is>
          <t>Fredericton, Shippagan and Edmundston, New Brunswick</t>
        </is>
      </c>
      <c r="K3703" t="inlineStr">
        <is>
          <t>Fredericton, Shippagan et Edmundston (Nouveau-Brunswick)</t>
        </is>
      </c>
      <c r="P3703" t="n">
        <v>0</v>
      </c>
      <c r="Q3703" t="n">
        <v>575.6900000000001</v>
      </c>
      <c r="R3703" t="n">
        <v>275.72</v>
      </c>
      <c r="S3703" t="n">
        <v>313.55</v>
      </c>
      <c r="T3703" t="n">
        <v>0</v>
      </c>
      <c r="U3703" t="n">
        <v>1164.96</v>
      </c>
      <c r="X3703" t="inlineStr">
        <is>
          <t>acoa-apeca</t>
        </is>
      </c>
      <c r="Y3703" t="inlineStr">
        <is>
          <t>Atlantic Canada Opportunities Agency | Agence de promotion économique du Canada atlantique</t>
        </is>
      </c>
      <c r="Z3703" t="n">
        <v>4</v>
      </c>
      <c r="AA3703" t="n">
        <v>1164.96</v>
      </c>
      <c r="AB3703">
        <f>ROUND(U3703-AA3703,2)</f>
        <v/>
      </c>
      <c r="AC3703" t="b">
        <v>0</v>
      </c>
      <c r="AD3703">
        <f>IF(U3703="","MISSING_TOTAL",IF(ABS(AB3703)&lt;=0.01,"OK","CHECK"))</f>
        <v/>
      </c>
      <c r="AE3703">
        <f>IF(U3703="","MISSING",IF(AND(AA3703&gt;0,U3703/AA3703&gt;50),"POSSIBLE_SCALE_ERROR","OK"))</f>
        <v/>
      </c>
    </row>
    <row r="3704">
      <c r="A3704" t="inlineStr">
        <is>
          <t>T-2013-Q1-00074</t>
        </is>
      </c>
      <c r="B3704" t="inlineStr">
        <is>
          <t>SLE</t>
        </is>
      </c>
      <c r="C3704" t="inlineStr">
        <is>
          <t>Vice-President, New Brunswick</t>
        </is>
      </c>
      <c r="D3704" t="inlineStr">
        <is>
          <t>Vice-présidente, Nouveau-Brunswick</t>
        </is>
      </c>
      <c r="E3704" t="inlineStr">
        <is>
          <t>Janet Gagnon</t>
        </is>
      </c>
      <c r="F3704" t="inlineStr">
        <is>
          <t>Meeting regarding rail services in northern and eastern New Brunswick</t>
        </is>
      </c>
      <c r="G3704" t="inlineStr">
        <is>
          <t>Réunion sur les services ferroviaires du Nord et de l'Est du Nouveau-Brunswick</t>
        </is>
      </c>
      <c r="H3704" s="1" t="n">
        <v>41045</v>
      </c>
      <c r="I3704" s="1" t="n">
        <v>41045</v>
      </c>
      <c r="J3704" t="inlineStr">
        <is>
          <t>Moncton, New Brunswick</t>
        </is>
      </c>
      <c r="K3704" t="inlineStr">
        <is>
          <t>Moncton (Nouveau-Brunswick)</t>
        </is>
      </c>
      <c r="P3704" t="n">
        <v>0</v>
      </c>
      <c r="Q3704" t="n">
        <v>0</v>
      </c>
      <c r="R3704" t="n">
        <v>0</v>
      </c>
      <c r="S3704" t="n">
        <v>0</v>
      </c>
      <c r="T3704" t="n">
        <v>3</v>
      </c>
      <c r="U3704" t="n">
        <v>3</v>
      </c>
      <c r="X3704" t="inlineStr">
        <is>
          <t>acoa-apeca</t>
        </is>
      </c>
      <c r="Y3704" t="inlineStr">
        <is>
          <t>Atlantic Canada Opportunities Agency | Agence de promotion économique du Canada atlantique</t>
        </is>
      </c>
      <c r="Z3704" t="n">
        <v>1</v>
      </c>
      <c r="AA3704" t="n">
        <v>3</v>
      </c>
      <c r="AB3704">
        <f>ROUND(U3704-AA3704,2)</f>
        <v/>
      </c>
      <c r="AC3704" t="b">
        <v>0</v>
      </c>
      <c r="AD3704">
        <f>IF(U3704="","MISSING_TOTAL",IF(ABS(AB3704)&lt;=0.01,"OK","CHECK"))</f>
        <v/>
      </c>
      <c r="AE3704">
        <f>IF(U3704="","MISSING",IF(AND(AA3704&gt;0,U3704/AA3704&gt;50),"POSSIBLE_SCALE_ERROR","OK"))</f>
        <v/>
      </c>
    </row>
    <row r="3705">
      <c r="A3705" t="inlineStr">
        <is>
          <t>T-2013-Q1-00073</t>
        </is>
      </c>
      <c r="B3705" t="inlineStr">
        <is>
          <t>SLE</t>
        </is>
      </c>
      <c r="C3705" t="inlineStr">
        <is>
          <t>Vice-President, Finance and Corporate Services</t>
        </is>
      </c>
      <c r="D3705" t="inlineStr">
        <is>
          <t>Vice-présidente, Finances et Services corporatifs</t>
        </is>
      </c>
      <c r="E3705" t="inlineStr">
        <is>
          <t>Denise Frenette</t>
        </is>
      </c>
      <c r="F3705" t="inlineStr">
        <is>
          <t>Meetings with Government of Canada officials</t>
        </is>
      </c>
      <c r="G3705" t="inlineStr">
        <is>
          <t>Réunions avec des fonctionnaires du gouvernement du Canada</t>
        </is>
      </c>
      <c r="H3705" s="1" t="n">
        <v>41044</v>
      </c>
      <c r="I3705" s="1" t="n">
        <v>41046</v>
      </c>
      <c r="J3705" t="inlineStr">
        <is>
          <t>Sudbury, Ontario</t>
        </is>
      </c>
      <c r="K3705" t="inlineStr">
        <is>
          <t>Sudbury (Ontario)</t>
        </is>
      </c>
      <c r="P3705" t="n">
        <v>974.96</v>
      </c>
      <c r="Q3705" t="n">
        <v>26.94</v>
      </c>
      <c r="R3705" t="n">
        <v>223.74</v>
      </c>
      <c r="S3705" t="n">
        <v>235.35</v>
      </c>
      <c r="T3705" t="n">
        <v>0</v>
      </c>
      <c r="U3705" t="n">
        <v>1460.99</v>
      </c>
      <c r="X3705" t="inlineStr">
        <is>
          <t>acoa-apeca</t>
        </is>
      </c>
      <c r="Y3705" t="inlineStr">
        <is>
          <t>Atlantic Canada Opportunities Agency | Agence de promotion économique du Canada atlantique</t>
        </is>
      </c>
      <c r="Z3705" t="n">
        <v>3</v>
      </c>
      <c r="AA3705" t="n">
        <v>1460.99</v>
      </c>
      <c r="AB3705">
        <f>ROUND(U3705-AA3705,2)</f>
        <v/>
      </c>
      <c r="AC3705" t="b">
        <v>0</v>
      </c>
      <c r="AD3705">
        <f>IF(U3705="","MISSING_TOTAL",IF(ABS(AB3705)&lt;=0.01,"OK","CHECK"))</f>
        <v/>
      </c>
      <c r="AE3705">
        <f>IF(U3705="","MISSING",IF(AND(AA3705&gt;0,U3705/AA3705&gt;50),"POSSIBLE_SCALE_ERROR","OK"))</f>
        <v/>
      </c>
    </row>
    <row r="3706">
      <c r="A3706" t="inlineStr">
        <is>
          <t>T-2013-Q1-00072</t>
        </is>
      </c>
      <c r="B3706" t="inlineStr">
        <is>
          <t>SLE</t>
        </is>
      </c>
      <c r="C3706" t="inlineStr">
        <is>
          <t>President</t>
        </is>
      </c>
      <c r="D3706" t="inlineStr">
        <is>
          <t>Président</t>
        </is>
      </c>
      <c r="E3706" t="inlineStr">
        <is>
          <t>Paul J. LeBlanc</t>
        </is>
      </c>
      <c r="F3706" t="inlineStr">
        <is>
          <t>For various meetings and discussions with Agency officials and with Government of Canada officials</t>
        </is>
      </c>
      <c r="G3706" t="inlineStr">
        <is>
          <t>Diverses réunions et discussions avec des fonctionnaires de l'Agence et des fonctionnaires du gouvernement du Canada</t>
        </is>
      </c>
      <c r="H3706" s="1" t="n">
        <v>41042</v>
      </c>
      <c r="I3706" s="1" t="n">
        <v>41046</v>
      </c>
      <c r="J3706" t="inlineStr">
        <is>
          <t>Ottawa, Ontario</t>
        </is>
      </c>
      <c r="K3706" t="inlineStr">
        <is>
          <t>Ottawa (Ontario)</t>
        </is>
      </c>
      <c r="P3706" t="n">
        <v>741.36</v>
      </c>
      <c r="Q3706" t="n">
        <v>0</v>
      </c>
      <c r="R3706" t="n">
        <v>718.6799999999999</v>
      </c>
      <c r="S3706" t="n">
        <v>315.25</v>
      </c>
      <c r="T3706" t="n">
        <v>0</v>
      </c>
      <c r="U3706" t="n">
        <v>1775.29</v>
      </c>
      <c r="X3706" t="inlineStr">
        <is>
          <t>acoa-apeca</t>
        </is>
      </c>
      <c r="Y3706" t="inlineStr">
        <is>
          <t>Atlantic Canada Opportunities Agency | Agence de promotion économique du Canada atlantique</t>
        </is>
      </c>
      <c r="Z3706" t="n">
        <v>5</v>
      </c>
      <c r="AA3706" t="n">
        <v>1775.29</v>
      </c>
      <c r="AB3706">
        <f>ROUND(U3706-AA3706,2)</f>
        <v/>
      </c>
      <c r="AC3706" t="b">
        <v>0</v>
      </c>
      <c r="AD3706">
        <f>IF(U3706="","MISSING_TOTAL",IF(ABS(AB3706)&lt;=0.01,"OK","CHECK"))</f>
        <v/>
      </c>
      <c r="AE3706">
        <f>IF(U3706="","MISSING",IF(AND(AA3706&gt;0,U3706/AA3706&gt;50),"POSSIBLE_SCALE_ERROR","OK"))</f>
        <v/>
      </c>
    </row>
    <row r="3707">
      <c r="A3707" t="inlineStr">
        <is>
          <t>T-2013-Q1-00070</t>
        </is>
      </c>
      <c r="B3707" t="inlineStr">
        <is>
          <t>SLE</t>
        </is>
      </c>
      <c r="C3707" t="inlineStr">
        <is>
          <t>Vice-President, New Brunswick</t>
        </is>
      </c>
      <c r="D3707" t="inlineStr">
        <is>
          <t>Vice-présidente, Nouveau-Brunswick</t>
        </is>
      </c>
      <c r="E3707" t="inlineStr">
        <is>
          <t>Janet Gagnon</t>
        </is>
      </c>
      <c r="F3707" t="inlineStr">
        <is>
          <t>Northern Action Plan</t>
        </is>
      </c>
      <c r="G3707" t="inlineStr">
        <is>
          <t>Plan d'action pour la région du Nord du Nouveau-Brunswick</t>
        </is>
      </c>
      <c r="H3707" s="1" t="n">
        <v>41038</v>
      </c>
      <c r="I3707" s="1" t="n">
        <v>41039</v>
      </c>
      <c r="J3707" t="inlineStr">
        <is>
          <t>Grand Falls, New Brunswick</t>
        </is>
      </c>
      <c r="K3707" t="inlineStr">
        <is>
          <t>Grand-Sault (Nouveau-Brunswick)</t>
        </is>
      </c>
      <c r="P3707" t="n">
        <v>0</v>
      </c>
      <c r="Q3707" t="n">
        <v>0</v>
      </c>
      <c r="R3707" t="n">
        <v>113</v>
      </c>
      <c r="S3707" t="n">
        <v>136.35</v>
      </c>
      <c r="T3707" t="n">
        <v>0</v>
      </c>
      <c r="U3707" t="n">
        <v>249.35</v>
      </c>
      <c r="X3707" t="inlineStr">
        <is>
          <t>acoa-apeca</t>
        </is>
      </c>
      <c r="Y3707" t="inlineStr">
        <is>
          <t>Atlantic Canada Opportunities Agency | Agence de promotion économique du Canada atlantique</t>
        </is>
      </c>
      <c r="Z3707" t="n">
        <v>2</v>
      </c>
      <c r="AA3707" t="n">
        <v>249.35</v>
      </c>
      <c r="AB3707">
        <f>ROUND(U3707-AA3707,2)</f>
        <v/>
      </c>
      <c r="AC3707" t="b">
        <v>0</v>
      </c>
      <c r="AD3707">
        <f>IF(U3707="","MISSING_TOTAL",IF(ABS(AB3707)&lt;=0.01,"OK","CHECK"))</f>
        <v/>
      </c>
      <c r="AE3707">
        <f>IF(U3707="","MISSING",IF(AND(AA3707&gt;0,U3707/AA3707&gt;50),"POSSIBLE_SCALE_ERROR","OK"))</f>
        <v/>
      </c>
    </row>
    <row r="3708">
      <c r="A3708" t="inlineStr">
        <is>
          <t>T-2013-Q1-00069</t>
        </is>
      </c>
      <c r="B3708" t="inlineStr">
        <is>
          <t>SLE</t>
        </is>
      </c>
      <c r="C3708" t="inlineStr">
        <is>
          <t>Vice-President, Prince Edward Island</t>
        </is>
      </c>
      <c r="D3708" t="inlineStr">
        <is>
          <t>Vice-président, Île-du-Prince-Édouard</t>
        </is>
      </c>
      <c r="E3708" t="inlineStr">
        <is>
          <t>Patrick Dorsey</t>
        </is>
      </c>
      <c r="F3708" t="inlineStr">
        <is>
          <t>ACTP Meeting in Saint John</t>
        </is>
      </c>
      <c r="G3708" t="inlineStr">
        <is>
          <t>Réunion sur le Partenariat du tourisme du Canada atlantique à Saint John</t>
        </is>
      </c>
      <c r="H3708" s="1" t="n">
        <v>41037</v>
      </c>
      <c r="I3708" s="1" t="n">
        <v>41039</v>
      </c>
      <c r="J3708" t="inlineStr">
        <is>
          <t>Ottawa, Ontario</t>
        </is>
      </c>
      <c r="K3708" t="inlineStr">
        <is>
          <t>Ottawa (Ontario)</t>
        </is>
      </c>
      <c r="P3708" t="n">
        <v>0</v>
      </c>
      <c r="Q3708" t="n">
        <v>44.25</v>
      </c>
      <c r="R3708" t="n">
        <v>274.32</v>
      </c>
      <c r="S3708" t="n">
        <v>168.5</v>
      </c>
      <c r="T3708" t="n">
        <v>0</v>
      </c>
      <c r="U3708" t="n">
        <v>487.07</v>
      </c>
      <c r="X3708" t="inlineStr">
        <is>
          <t>acoa-apeca</t>
        </is>
      </c>
      <c r="Y3708" t="inlineStr">
        <is>
          <t>Atlantic Canada Opportunities Agency | Agence de promotion économique du Canada atlantique</t>
        </is>
      </c>
      <c r="Z3708" t="n">
        <v>3</v>
      </c>
      <c r="AA3708" t="n">
        <v>487.07</v>
      </c>
      <c r="AB3708">
        <f>ROUND(U3708-AA3708,2)</f>
        <v/>
      </c>
      <c r="AC3708" t="b">
        <v>0</v>
      </c>
      <c r="AD3708">
        <f>IF(U3708="","MISSING_TOTAL",IF(ABS(AB3708)&lt;=0.01,"OK","CHECK"))</f>
        <v/>
      </c>
      <c r="AE3708">
        <f>IF(U3708="","MISSING",IF(AND(AA3708&gt;0,U3708/AA3708&gt;50),"POSSIBLE_SCALE_ERROR","OK"))</f>
        <v/>
      </c>
    </row>
    <row r="3709">
      <c r="A3709" t="inlineStr">
        <is>
          <t>T-2013-Q1-00068</t>
        </is>
      </c>
      <c r="B3709" t="inlineStr">
        <is>
          <t>SLE</t>
        </is>
      </c>
      <c r="C3709" t="inlineStr">
        <is>
          <t>President</t>
        </is>
      </c>
      <c r="D3709" t="inlineStr">
        <is>
          <t>Président</t>
        </is>
      </c>
      <c r="E3709" t="inlineStr">
        <is>
          <t>Paul J. LeBlanc</t>
        </is>
      </c>
      <c r="F3709" t="inlineStr">
        <is>
          <t>For various meetings and discussions with Agency officials and with Government of Canada officials</t>
        </is>
      </c>
      <c r="G3709" t="inlineStr">
        <is>
          <t>Diverses réunions et discussions avec des fonctionnaires de l'Agence et des fonctionnaires du gouvernement du Canada</t>
        </is>
      </c>
      <c r="H3709" s="1" t="n">
        <v>41036</v>
      </c>
      <c r="I3709" s="1" t="n">
        <v>41038</v>
      </c>
      <c r="J3709" t="inlineStr">
        <is>
          <t>Ottawa, Ontario</t>
        </is>
      </c>
      <c r="K3709" t="inlineStr">
        <is>
          <t>Ottawa (Ontario)</t>
        </is>
      </c>
      <c r="P3709" t="n">
        <v>370.68</v>
      </c>
      <c r="Q3709" t="n">
        <v>12.87</v>
      </c>
      <c r="R3709" t="n">
        <v>354.82</v>
      </c>
      <c r="S3709" t="n">
        <v>209.35</v>
      </c>
      <c r="T3709" t="n">
        <v>56.5</v>
      </c>
      <c r="U3709" t="n">
        <v>1004.22</v>
      </c>
      <c r="X3709" t="inlineStr">
        <is>
          <t>acoa-apeca</t>
        </is>
      </c>
      <c r="Y3709" t="inlineStr">
        <is>
          <t>Atlantic Canada Opportunities Agency | Agence de promotion économique du Canada atlantique</t>
        </is>
      </c>
      <c r="Z3709" t="n">
        <v>3</v>
      </c>
      <c r="AA3709" t="n">
        <v>1004.22</v>
      </c>
      <c r="AB3709">
        <f>ROUND(U3709-AA3709,2)</f>
        <v/>
      </c>
      <c r="AC3709" t="b">
        <v>0</v>
      </c>
      <c r="AD3709">
        <f>IF(U3709="","MISSING_TOTAL",IF(ABS(AB3709)&lt;=0.01,"OK","CHECK"))</f>
        <v/>
      </c>
      <c r="AE3709">
        <f>IF(U3709="","MISSING",IF(AND(AA3709&gt;0,U3709/AA3709&gt;50),"POSSIBLE_SCALE_ERROR","OK"))</f>
        <v/>
      </c>
    </row>
    <row r="3710">
      <c r="A3710" t="inlineStr">
        <is>
          <t>T-2013-Q1-00067</t>
        </is>
      </c>
      <c r="B3710" t="inlineStr">
        <is>
          <t>SLE</t>
        </is>
      </c>
      <c r="C3710" t="inlineStr">
        <is>
          <t>Vice-President, Finance and Corporate Services</t>
        </is>
      </c>
      <c r="D3710" t="inlineStr">
        <is>
          <t>Vice-présidente, Finances et Services corporatifs</t>
        </is>
      </c>
      <c r="E3710" t="inlineStr">
        <is>
          <t>Denise Frenette</t>
        </is>
      </c>
      <c r="F3710" t="inlineStr">
        <is>
          <t>Meetings with Government of Canada officials and Agency officials</t>
        </is>
      </c>
      <c r="G3710" t="inlineStr">
        <is>
          <t>Réunions avec des fonctionnaires du gouvernement du Canada et de l'Agence</t>
        </is>
      </c>
      <c r="H3710" s="1" t="n">
        <v>41035</v>
      </c>
      <c r="I3710" s="1" t="n">
        <v>41037</v>
      </c>
      <c r="J3710" t="inlineStr">
        <is>
          <t>Ottawa, Ontario</t>
        </is>
      </c>
      <c r="K3710" t="inlineStr">
        <is>
          <t>Ottawa (Ontario)</t>
        </is>
      </c>
      <c r="P3710" t="n">
        <v>1075.76</v>
      </c>
      <c r="Q3710" t="n">
        <v>94.38</v>
      </c>
      <c r="R3710" t="n">
        <v>354.82</v>
      </c>
      <c r="S3710" t="n">
        <v>178.9</v>
      </c>
      <c r="T3710" t="n">
        <v>0</v>
      </c>
      <c r="U3710" t="n">
        <v>1703.86</v>
      </c>
      <c r="X3710" t="inlineStr">
        <is>
          <t>acoa-apeca</t>
        </is>
      </c>
      <c r="Y3710" t="inlineStr">
        <is>
          <t>Atlantic Canada Opportunities Agency | Agence de promotion économique du Canada atlantique</t>
        </is>
      </c>
      <c r="Z3710" t="n">
        <v>3</v>
      </c>
      <c r="AA3710" t="n">
        <v>1703.86</v>
      </c>
      <c r="AB3710">
        <f>ROUND(U3710-AA3710,2)</f>
        <v/>
      </c>
      <c r="AC3710" t="b">
        <v>0</v>
      </c>
      <c r="AD3710">
        <f>IF(U3710="","MISSING_TOTAL",IF(ABS(AB3710)&lt;=0.01,"OK","CHECK"))</f>
        <v/>
      </c>
      <c r="AE3710">
        <f>IF(U3710="","MISSING",IF(AND(AA3710&gt;0,U3710/AA3710&gt;50),"POSSIBLE_SCALE_ERROR","OK"))</f>
        <v/>
      </c>
    </row>
    <row r="3711">
      <c r="A3711" t="inlineStr">
        <is>
          <t>T-2013-Q1-00066</t>
        </is>
      </c>
      <c r="B3711" t="inlineStr">
        <is>
          <t>SLE</t>
        </is>
      </c>
      <c r="C3711" t="inlineStr">
        <is>
          <t>Vice-President, Finance and Corporate Services</t>
        </is>
      </c>
      <c r="D3711" t="inlineStr">
        <is>
          <t>Vice-présidente, Finances et Services corporatifs</t>
        </is>
      </c>
      <c r="E3711" t="inlineStr">
        <is>
          <t>Denise Frenette</t>
        </is>
      </c>
      <c r="F3711" t="inlineStr">
        <is>
          <t>Meetings with Government of Canada officials</t>
        </is>
      </c>
      <c r="G3711" t="inlineStr">
        <is>
          <t>Réunions avec des fonctionnaires du gouvernement du Canada</t>
        </is>
      </c>
      <c r="H3711" s="1" t="n">
        <v>41032</v>
      </c>
      <c r="I3711" s="1" t="n">
        <v>41033</v>
      </c>
      <c r="J3711" t="inlineStr">
        <is>
          <t>Cornwall, Ontario</t>
        </is>
      </c>
      <c r="K3711" t="inlineStr">
        <is>
          <t>Cornwall (Ontario)</t>
        </is>
      </c>
      <c r="P3711" t="n">
        <v>1075.76</v>
      </c>
      <c r="Q3711" t="n">
        <v>225.3</v>
      </c>
      <c r="R3711" t="n">
        <v>262.44</v>
      </c>
      <c r="S3711" t="n">
        <v>90.3</v>
      </c>
      <c r="T3711" t="n">
        <v>0</v>
      </c>
      <c r="U3711" t="n">
        <v>1653.8</v>
      </c>
      <c r="X3711" t="inlineStr">
        <is>
          <t>acoa-apeca</t>
        </is>
      </c>
      <c r="Y3711" t="inlineStr">
        <is>
          <t>Atlantic Canada Opportunities Agency | Agence de promotion économique du Canada atlantique</t>
        </is>
      </c>
      <c r="Z3711" t="n">
        <v>2</v>
      </c>
      <c r="AA3711" t="n">
        <v>1653.8</v>
      </c>
      <c r="AB3711">
        <f>ROUND(U3711-AA3711,2)</f>
        <v/>
      </c>
      <c r="AC3711" t="b">
        <v>0</v>
      </c>
      <c r="AD3711">
        <f>IF(U3711="","MISSING_TOTAL",IF(ABS(AB3711)&lt;=0.01,"OK","CHECK"))</f>
        <v/>
      </c>
      <c r="AE3711">
        <f>IF(U3711="","MISSING",IF(AND(AA3711&gt;0,U3711/AA3711&gt;50),"POSSIBLE_SCALE_ERROR","OK"))</f>
        <v/>
      </c>
    </row>
    <row r="3712">
      <c r="A3712" t="inlineStr">
        <is>
          <t>T-2013-Q1-00065</t>
        </is>
      </c>
      <c r="B3712" t="inlineStr">
        <is>
          <t>SLE</t>
        </is>
      </c>
      <c r="C3712" t="inlineStr">
        <is>
          <t>President</t>
        </is>
      </c>
      <c r="D3712" t="inlineStr">
        <is>
          <t>Président</t>
        </is>
      </c>
      <c r="E3712" t="inlineStr">
        <is>
          <t>Paul J. LeBlanc</t>
        </is>
      </c>
      <c r="F3712" t="inlineStr">
        <is>
          <t>For various meetings and discussions with Agency officials and with Government of Canada officials</t>
        </is>
      </c>
      <c r="G3712" t="inlineStr">
        <is>
          <t>Diverses réunions et discussions avec des fonctionnaires de l'Agence et des fonctionnaires du gouvernement du Canada</t>
        </is>
      </c>
      <c r="H3712" s="1" t="n">
        <v>41029</v>
      </c>
      <c r="I3712" s="1" t="n">
        <v>41031</v>
      </c>
      <c r="J3712" t="inlineStr">
        <is>
          <t>Ottawa, Ontario</t>
        </is>
      </c>
      <c r="K3712" t="inlineStr">
        <is>
          <t>Ottawa (Ontario)</t>
        </is>
      </c>
      <c r="P3712" t="n">
        <v>741.36</v>
      </c>
      <c r="Q3712" t="n">
        <v>12.87</v>
      </c>
      <c r="R3712" t="n">
        <v>354.82</v>
      </c>
      <c r="S3712" t="n">
        <v>178.9</v>
      </c>
      <c r="T3712" t="n">
        <v>39</v>
      </c>
      <c r="U3712" t="n">
        <v>1326.95</v>
      </c>
      <c r="X3712" t="inlineStr">
        <is>
          <t>acoa-apeca</t>
        </is>
      </c>
      <c r="Y3712" t="inlineStr">
        <is>
          <t>Atlantic Canada Opportunities Agency | Agence de promotion économique du Canada atlantique</t>
        </is>
      </c>
      <c r="Z3712" t="n">
        <v>3</v>
      </c>
      <c r="AA3712" t="n">
        <v>1326.95</v>
      </c>
      <c r="AB3712">
        <f>ROUND(U3712-AA3712,2)</f>
        <v/>
      </c>
      <c r="AC3712" t="b">
        <v>0</v>
      </c>
      <c r="AD3712">
        <f>IF(U3712="","MISSING_TOTAL",IF(ABS(AB3712)&lt;=0.01,"OK","CHECK"))</f>
        <v/>
      </c>
      <c r="AE3712">
        <f>IF(U3712="","MISSING",IF(AND(AA3712&gt;0,U3712/AA3712&gt;50),"POSSIBLE_SCALE_ERROR","OK"))</f>
        <v/>
      </c>
    </row>
    <row r="3713">
      <c r="A3713" t="inlineStr">
        <is>
          <t>T-2013-Q1-00064</t>
        </is>
      </c>
      <c r="B3713" t="inlineStr">
        <is>
          <t>MPSES</t>
        </is>
      </c>
      <c r="C3713" t="inlineStr">
        <is>
          <t>Executive Assistant and Press Secretary</t>
        </is>
      </c>
      <c r="D3713" t="inlineStr">
        <is>
          <t>Adjointe exécutive et attaché de presse</t>
        </is>
      </c>
      <c r="E3713" t="inlineStr">
        <is>
          <t>Andrea Richer</t>
        </is>
      </c>
      <c r="F3713" t="inlineStr">
        <is>
          <t>Travel to Houston, Texas to accompany Minister of State at the Offshore Technology Conference</t>
        </is>
      </c>
      <c r="G3713" t="inlineStr">
        <is>
          <t>Voyage à Houston au Texax pour accompagner le ministre d'État au Salon des technologies extracôtières</t>
        </is>
      </c>
      <c r="H3713" s="1" t="n">
        <v>41028</v>
      </c>
      <c r="I3713" s="1" t="n">
        <v>41030</v>
      </c>
      <c r="J3713" t="inlineStr">
        <is>
          <t>Houston, Texas</t>
        </is>
      </c>
      <c r="K3713" t="inlineStr">
        <is>
          <t>Houston (Texas)</t>
        </is>
      </c>
      <c r="P3713" t="n">
        <v>2492.65</v>
      </c>
      <c r="Q3713" t="n">
        <v>0</v>
      </c>
      <c r="R3713" t="n">
        <v>287.95</v>
      </c>
      <c r="S3713" t="n">
        <v>145.06</v>
      </c>
      <c r="T3713" t="n">
        <v>0</v>
      </c>
      <c r="U3713" t="n">
        <v>2925.66</v>
      </c>
      <c r="X3713" t="inlineStr">
        <is>
          <t>acoa-apeca</t>
        </is>
      </c>
      <c r="Y3713" t="inlineStr">
        <is>
          <t>Atlantic Canada Opportunities Agency | Agence de promotion économique du Canada atlantique</t>
        </is>
      </c>
      <c r="Z3713" t="n">
        <v>3</v>
      </c>
      <c r="AA3713" t="n">
        <v>2925.66</v>
      </c>
      <c r="AB3713">
        <f>ROUND(U3713-AA3713,2)</f>
        <v/>
      </c>
      <c r="AC3713" t="b">
        <v>0</v>
      </c>
      <c r="AD3713">
        <f>IF(U3713="","MISSING_TOTAL",IF(ABS(AB3713)&lt;=0.01,"OK","CHECK"))</f>
        <v/>
      </c>
      <c r="AE3713">
        <f>IF(U3713="","MISSING",IF(AND(AA3713&gt;0,U3713/AA3713&gt;50),"POSSIBLE_SCALE_ERROR","OK"))</f>
        <v/>
      </c>
    </row>
    <row r="3714">
      <c r="A3714" t="inlineStr">
        <is>
          <t>T-2013-Q1-00063</t>
        </is>
      </c>
      <c r="B3714" t="inlineStr">
        <is>
          <t>MPSES</t>
        </is>
      </c>
      <c r="C3714" t="inlineStr">
        <is>
          <t>Minister of State</t>
        </is>
      </c>
      <c r="D3714" t="inlineStr">
        <is>
          <t>Ministre d'État</t>
        </is>
      </c>
      <c r="E3714" t="inlineStr">
        <is>
          <t>Bernard Valcourt</t>
        </is>
      </c>
      <c r="F3714" t="inlineStr">
        <is>
          <t>Attend the Offshore Technology Conference</t>
        </is>
      </c>
      <c r="G3714" t="inlineStr">
        <is>
          <t>Participation au Salon des technologies extracôtières</t>
        </is>
      </c>
      <c r="H3714" s="1" t="n">
        <v>41028</v>
      </c>
      <c r="I3714" s="1" t="n">
        <v>41030</v>
      </c>
      <c r="J3714" t="inlineStr">
        <is>
          <t>Houston, Texas</t>
        </is>
      </c>
      <c r="K3714" t="inlineStr">
        <is>
          <t>Houston (Texas)</t>
        </is>
      </c>
      <c r="P3714" t="n">
        <v>2492.65</v>
      </c>
      <c r="Q3714" t="n">
        <v>49.61</v>
      </c>
      <c r="R3714" t="n">
        <v>287.95</v>
      </c>
      <c r="S3714" t="n">
        <v>145.06</v>
      </c>
      <c r="T3714" t="n">
        <v>0</v>
      </c>
      <c r="U3714" t="n">
        <v>2975.27</v>
      </c>
      <c r="X3714" t="inlineStr">
        <is>
          <t>acoa-apeca</t>
        </is>
      </c>
      <c r="Y3714" t="inlineStr">
        <is>
          <t>Atlantic Canada Opportunities Agency | Agence de promotion économique du Canada atlantique</t>
        </is>
      </c>
      <c r="Z3714" t="n">
        <v>3</v>
      </c>
      <c r="AA3714" t="n">
        <v>2975.27</v>
      </c>
      <c r="AB3714">
        <f>ROUND(U3714-AA3714,2)</f>
        <v/>
      </c>
      <c r="AC3714" t="b">
        <v>0</v>
      </c>
      <c r="AD3714">
        <f>IF(U3714="","MISSING_TOTAL",IF(ABS(AB3714)&lt;=0.01,"OK","CHECK"))</f>
        <v/>
      </c>
      <c r="AE3714">
        <f>IF(U3714="","MISSING",IF(AND(AA3714&gt;0,U3714/AA3714&gt;50),"POSSIBLE_SCALE_ERROR","OK"))</f>
        <v/>
      </c>
    </row>
    <row r="3715">
      <c r="A3715" t="inlineStr">
        <is>
          <t>T-2013-Q1-00060</t>
        </is>
      </c>
      <c r="B3715" t="inlineStr">
        <is>
          <t>SLE</t>
        </is>
      </c>
      <c r="C3715" t="inlineStr">
        <is>
          <t>Vice President, Nova Scotia</t>
        </is>
      </c>
      <c r="D3715" t="inlineStr">
        <is>
          <t>Vice-président, Nouvelle-Écosse</t>
        </is>
      </c>
      <c r="E3715" t="inlineStr">
        <is>
          <t>Peter Hogan</t>
        </is>
      </c>
      <c r="F3715" t="inlineStr">
        <is>
          <t>Various meetings with Agency and Government of Canada officials</t>
        </is>
      </c>
      <c r="G3715" t="inlineStr">
        <is>
          <t>Diverses réunions avec des fonctionnaires de l'Agence et du gouvernement du Canada</t>
        </is>
      </c>
      <c r="H3715" s="1" t="n">
        <v>41025</v>
      </c>
      <c r="I3715" s="1" t="n">
        <v>41026</v>
      </c>
      <c r="J3715" t="inlineStr">
        <is>
          <t>Moncton, New Brunswick and Ottawa, Ontario</t>
        </is>
      </c>
      <c r="K3715" t="inlineStr">
        <is>
          <t>Moncton (Nouveau-Brunswick) et Ottawa (Ontario)</t>
        </is>
      </c>
      <c r="P3715" t="n">
        <v>1712.98</v>
      </c>
      <c r="Q3715" t="n">
        <v>128</v>
      </c>
      <c r="R3715" t="n">
        <v>0</v>
      </c>
      <c r="S3715" t="n">
        <v>96.55</v>
      </c>
      <c r="T3715" t="n">
        <v>0</v>
      </c>
      <c r="U3715" t="n">
        <v>1937.53</v>
      </c>
      <c r="X3715" t="inlineStr">
        <is>
          <t>acoa-apeca</t>
        </is>
      </c>
      <c r="Y3715" t="inlineStr">
        <is>
          <t>Atlantic Canada Opportunities Agency | Agence de promotion économique du Canada atlantique</t>
        </is>
      </c>
      <c r="Z3715" t="n">
        <v>2</v>
      </c>
      <c r="AA3715" t="n">
        <v>1937.53</v>
      </c>
      <c r="AB3715">
        <f>ROUND(U3715-AA3715,2)</f>
        <v/>
      </c>
      <c r="AC3715" t="b">
        <v>0</v>
      </c>
      <c r="AD3715">
        <f>IF(U3715="","MISSING_TOTAL",IF(ABS(AB3715)&lt;=0.01,"OK","CHECK"))</f>
        <v/>
      </c>
      <c r="AE3715">
        <f>IF(U3715="","MISSING",IF(AND(AA3715&gt;0,U3715/AA3715&gt;50),"POSSIBLE_SCALE_ERROR","OK"))</f>
        <v/>
      </c>
    </row>
    <row r="3716">
      <c r="A3716" t="inlineStr">
        <is>
          <t>T-2013-Q1-00059</t>
        </is>
      </c>
      <c r="B3716" t="inlineStr">
        <is>
          <t>MPSES</t>
        </is>
      </c>
      <c r="C3716" t="inlineStr">
        <is>
          <t>Executive Assistant and Press Secretary</t>
        </is>
      </c>
      <c r="D3716" t="inlineStr">
        <is>
          <t>Adjointe exécutive et attaché de presse</t>
        </is>
      </c>
      <c r="E3716" t="inlineStr">
        <is>
          <t>Andrea Richer</t>
        </is>
      </c>
      <c r="F3716" t="inlineStr">
        <is>
          <t>Travel to accompany Minister of State and to attend announcement and meetings for ACOA</t>
        </is>
      </c>
      <c r="G3716" t="inlineStr">
        <is>
          <t>Voyage pour accompagner le ministre d'État et pour assiter à des annonces et réunions de l'APECA</t>
        </is>
      </c>
      <c r="H3716" s="1" t="n">
        <v>41025</v>
      </c>
      <c r="I3716" s="1" t="n">
        <v>41027</v>
      </c>
      <c r="J3716" t="inlineStr">
        <is>
          <t>Edmundston, New-Brunswick</t>
        </is>
      </c>
      <c r="K3716" t="inlineStr">
        <is>
          <t>Edmundston (Nouveau-Brunswick)</t>
        </is>
      </c>
      <c r="P3716" t="n">
        <v>0</v>
      </c>
      <c r="Q3716" t="n">
        <v>0</v>
      </c>
      <c r="R3716" t="n">
        <v>216.96</v>
      </c>
      <c r="S3716" t="n">
        <v>163.3</v>
      </c>
      <c r="T3716" t="n">
        <v>0</v>
      </c>
      <c r="U3716" t="n">
        <v>380.26</v>
      </c>
      <c r="X3716" t="inlineStr">
        <is>
          <t>acoa-apeca</t>
        </is>
      </c>
      <c r="Y3716" t="inlineStr">
        <is>
          <t>Atlantic Canada Opportunities Agency | Agence de promotion économique du Canada atlantique</t>
        </is>
      </c>
      <c r="Z3716" t="n">
        <v>3</v>
      </c>
      <c r="AA3716" t="n">
        <v>380.26</v>
      </c>
      <c r="AB3716">
        <f>ROUND(U3716-AA3716,2)</f>
        <v/>
      </c>
      <c r="AC3716" t="b">
        <v>0</v>
      </c>
      <c r="AD3716">
        <f>IF(U3716="","MISSING_TOTAL",IF(ABS(AB3716)&lt;=0.01,"OK","CHECK"))</f>
        <v/>
      </c>
      <c r="AE3716">
        <f>IF(U3716="","MISSING",IF(AND(AA3716&gt;0,U3716/AA3716&gt;50),"POSSIBLE_SCALE_ERROR","OK"))</f>
        <v/>
      </c>
    </row>
    <row r="3717">
      <c r="A3717" t="inlineStr">
        <is>
          <t>T-2013-Q1-00055</t>
        </is>
      </c>
      <c r="B3717" t="inlineStr">
        <is>
          <t>SLE</t>
        </is>
      </c>
      <c r="C3717" t="inlineStr">
        <is>
          <t>Vice-President, Newfoundland and Labrador</t>
        </is>
      </c>
      <c r="D3717" t="inlineStr">
        <is>
          <t>Vice-président, Terre-Neuve-et-Labrador</t>
        </is>
      </c>
      <c r="E3717" t="inlineStr">
        <is>
          <t>Paul Mills</t>
        </is>
      </c>
      <c r="F3717" t="inlineStr">
        <is>
          <t>Meeting with senior officials in Moncton</t>
        </is>
      </c>
      <c r="G3717" t="inlineStr">
        <is>
          <t>Réunion avec de hauts fonctionnaires à Moncton</t>
        </is>
      </c>
      <c r="H3717" s="1" t="n">
        <v>41024</v>
      </c>
      <c r="I3717" s="1" t="n">
        <v>41026</v>
      </c>
      <c r="J3717" t="inlineStr">
        <is>
          <t>Moncton, New Brunswick</t>
        </is>
      </c>
      <c r="K3717" t="inlineStr">
        <is>
          <t>Moncton (Nouveau-Brunswick)</t>
        </is>
      </c>
      <c r="P3717" t="n">
        <v>1377.02</v>
      </c>
      <c r="Q3717" t="n">
        <v>240.93</v>
      </c>
      <c r="R3717" t="n">
        <v>304.5</v>
      </c>
      <c r="S3717" t="n">
        <v>194.5</v>
      </c>
      <c r="T3717" t="n">
        <v>7.33</v>
      </c>
      <c r="U3717" t="n">
        <v>2124.28</v>
      </c>
      <c r="X3717" t="inlineStr">
        <is>
          <t>acoa-apeca</t>
        </is>
      </c>
      <c r="Y3717" t="inlineStr">
        <is>
          <t>Atlantic Canada Opportunities Agency | Agence de promotion économique du Canada atlantique</t>
        </is>
      </c>
      <c r="Z3717" t="n">
        <v>3</v>
      </c>
      <c r="AA3717" t="n">
        <v>2124.27999999999</v>
      </c>
      <c r="AB3717">
        <f>ROUND(U3717-AA3717,2)</f>
        <v/>
      </c>
      <c r="AC3717" t="b">
        <v>0</v>
      </c>
      <c r="AD3717">
        <f>IF(U3717="","MISSING_TOTAL",IF(ABS(AB3717)&lt;=0.01,"OK","CHECK"))</f>
        <v/>
      </c>
      <c r="AE3717">
        <f>IF(U3717="","MISSING",IF(AND(AA3717&gt;0,U3717/AA3717&gt;50),"POSSIBLE_SCALE_ERROR","OK"))</f>
        <v/>
      </c>
    </row>
    <row r="3718">
      <c r="A3718" t="inlineStr">
        <is>
          <t>T-2013-Q1-00054</t>
        </is>
      </c>
      <c r="B3718" t="inlineStr">
        <is>
          <t>SLE</t>
        </is>
      </c>
      <c r="C3718" t="inlineStr">
        <is>
          <t>Vice-President, Prince Edward Island</t>
        </is>
      </c>
      <c r="D3718" t="inlineStr">
        <is>
          <t>Vice-président, Île-du-Prince-Édouard</t>
        </is>
      </c>
      <c r="E3718" t="inlineStr">
        <is>
          <t>Patrick Dorsey</t>
        </is>
      </c>
      <c r="F3718" t="inlineStr">
        <is>
          <t>Meeting with Agency and Government of Canada officials</t>
        </is>
      </c>
      <c r="G3718" t="inlineStr">
        <is>
          <t>Réunion avec des fonctionnaires de l'Agence et du gouvernement du Canada</t>
        </is>
      </c>
      <c r="H3718" s="1" t="n">
        <v>41023</v>
      </c>
      <c r="I3718" s="1" t="n">
        <v>41025</v>
      </c>
      <c r="J3718" t="inlineStr">
        <is>
          <t>Halifax, Nova Scotia</t>
        </is>
      </c>
      <c r="K3718" t="inlineStr">
        <is>
          <t>Halifax (Nouvelle-Écosse)</t>
        </is>
      </c>
      <c r="P3718" t="n">
        <v>0</v>
      </c>
      <c r="Q3718" t="n">
        <v>90.47</v>
      </c>
      <c r="R3718" t="n">
        <v>292.4</v>
      </c>
      <c r="S3718" t="n">
        <v>265.8</v>
      </c>
      <c r="T3718" t="n">
        <v>0</v>
      </c>
      <c r="U3718" t="n">
        <v>648.67</v>
      </c>
      <c r="X3718" t="inlineStr">
        <is>
          <t>acoa-apeca</t>
        </is>
      </c>
      <c r="Y3718" t="inlineStr">
        <is>
          <t>Atlantic Canada Opportunities Agency | Agence de promotion économique du Canada atlantique</t>
        </is>
      </c>
      <c r="Z3718" t="n">
        <v>3</v>
      </c>
      <c r="AA3718" t="n">
        <v>648.67</v>
      </c>
      <c r="AB3718">
        <f>ROUND(U3718-AA3718,2)</f>
        <v/>
      </c>
      <c r="AC3718" t="b">
        <v>0</v>
      </c>
      <c r="AD3718">
        <f>IF(U3718="","MISSING_TOTAL",IF(ABS(AB3718)&lt;=0.01,"OK","CHECK"))</f>
        <v/>
      </c>
      <c r="AE3718">
        <f>IF(U3718="","MISSING",IF(AND(AA3718&gt;0,U3718/AA3718&gt;50),"POSSIBLE_SCALE_ERROR","OK"))</f>
        <v/>
      </c>
    </row>
    <row r="3719">
      <c r="A3719" t="inlineStr">
        <is>
          <t>T-2013-Q1-00053</t>
        </is>
      </c>
      <c r="B3719" t="inlineStr">
        <is>
          <t>SLE</t>
        </is>
      </c>
      <c r="C3719" t="inlineStr">
        <is>
          <t>President</t>
        </is>
      </c>
      <c r="D3719" t="inlineStr">
        <is>
          <t>Président</t>
        </is>
      </c>
      <c r="E3719" t="inlineStr">
        <is>
          <t>Paul J. LeBlanc</t>
        </is>
      </c>
      <c r="F3719" t="inlineStr">
        <is>
          <t>Various meetings and discussions with Agency officials and Government of Canada officials</t>
        </is>
      </c>
      <c r="G3719" t="inlineStr">
        <is>
          <t>Diverses réunions et discussions avec des fonctionnaires de l'Agence et du gouvernement du Canada</t>
        </is>
      </c>
      <c r="H3719" s="1" t="n">
        <v>41022</v>
      </c>
      <c r="I3719" s="1" t="n">
        <v>41024</v>
      </c>
      <c r="J3719" t="inlineStr">
        <is>
          <t>Ottawa, Ontario</t>
        </is>
      </c>
      <c r="K3719" t="inlineStr">
        <is>
          <t>Ottawa (Ontario)</t>
        </is>
      </c>
      <c r="P3719" t="n">
        <v>741.36</v>
      </c>
      <c r="Q3719" t="n">
        <v>0</v>
      </c>
      <c r="R3719" t="n">
        <v>359.34</v>
      </c>
      <c r="S3719" t="n">
        <v>193.75</v>
      </c>
      <c r="T3719" t="n">
        <v>0</v>
      </c>
      <c r="U3719" t="n">
        <v>1294.45</v>
      </c>
      <c r="X3719" t="inlineStr">
        <is>
          <t>acoa-apeca</t>
        </is>
      </c>
      <c r="Y3719" t="inlineStr">
        <is>
          <t>Atlantic Canada Opportunities Agency | Agence de promotion économique du Canada atlantique</t>
        </is>
      </c>
      <c r="Z3719" t="n">
        <v>3</v>
      </c>
      <c r="AA3719" t="n">
        <v>1294.45</v>
      </c>
      <c r="AB3719">
        <f>ROUND(U3719-AA3719,2)</f>
        <v/>
      </c>
      <c r="AC3719" t="b">
        <v>0</v>
      </c>
      <c r="AD3719">
        <f>IF(U3719="","MISSING_TOTAL",IF(ABS(AB3719)&lt;=0.01,"OK","CHECK"))</f>
        <v/>
      </c>
      <c r="AE3719">
        <f>IF(U3719="","MISSING",IF(AND(AA3719&gt;0,U3719/AA3719&gt;50),"POSSIBLE_SCALE_ERROR","OK"))</f>
        <v/>
      </c>
    </row>
    <row r="3720">
      <c r="A3720" t="inlineStr">
        <is>
          <t>T-2013-Q1-00051</t>
        </is>
      </c>
      <c r="B3720" t="inlineStr">
        <is>
          <t>SLE</t>
        </is>
      </c>
      <c r="C3720" t="inlineStr">
        <is>
          <t>Vice-President, Finance and Corporate Services</t>
        </is>
      </c>
      <c r="D3720" t="inlineStr">
        <is>
          <t>Vice-présidente, Finances et Services corporatifs</t>
        </is>
      </c>
      <c r="E3720" t="inlineStr">
        <is>
          <t>Denise Frenette</t>
        </is>
      </c>
      <c r="F3720" t="inlineStr">
        <is>
          <t>Meetings with Government of Canada officials</t>
        </is>
      </c>
      <c r="G3720" t="inlineStr">
        <is>
          <t>Réunions avec des fonctionnaires du gouvernement du Canada</t>
        </is>
      </c>
      <c r="H3720" s="1" t="n">
        <v>41021</v>
      </c>
      <c r="I3720" s="1" t="n">
        <v>41022</v>
      </c>
      <c r="J3720" t="inlineStr">
        <is>
          <t>Ottawa, Ontario</t>
        </is>
      </c>
      <c r="K3720" t="inlineStr">
        <is>
          <t>Ottawa (Ontario)</t>
        </is>
      </c>
      <c r="P3720" t="n">
        <v>1075.76</v>
      </c>
      <c r="Q3720" t="n">
        <v>90.88</v>
      </c>
      <c r="R3720" t="n">
        <v>177.41</v>
      </c>
      <c r="S3720" t="n">
        <v>131.15</v>
      </c>
      <c r="T3720" t="n">
        <v>0</v>
      </c>
      <c r="U3720" t="n">
        <v>1475.2</v>
      </c>
      <c r="X3720" t="inlineStr">
        <is>
          <t>acoa-apeca</t>
        </is>
      </c>
      <c r="Y3720" t="inlineStr">
        <is>
          <t>Atlantic Canada Opportunities Agency | Agence de promotion économique du Canada atlantique</t>
        </is>
      </c>
      <c r="Z3720" t="n">
        <v>2</v>
      </c>
      <c r="AA3720" t="n">
        <v>1475.2</v>
      </c>
      <c r="AB3720">
        <f>ROUND(U3720-AA3720,2)</f>
        <v/>
      </c>
      <c r="AC3720" t="b">
        <v>0</v>
      </c>
      <c r="AD3720">
        <f>IF(U3720="","MISSING_TOTAL",IF(ABS(AB3720)&lt;=0.01,"OK","CHECK"))</f>
        <v/>
      </c>
      <c r="AE3720">
        <f>IF(U3720="","MISSING",IF(AND(AA3720&gt;0,U3720/AA3720&gt;50),"POSSIBLE_SCALE_ERROR","OK"))</f>
        <v/>
      </c>
    </row>
    <row r="3721">
      <c r="A3721" t="inlineStr">
        <is>
          <t>T-2013-Q1-00050</t>
        </is>
      </c>
      <c r="B3721" t="inlineStr">
        <is>
          <t>SLE</t>
        </is>
      </c>
      <c r="C3721" t="inlineStr">
        <is>
          <t>Vice President, Nova Scotia</t>
        </is>
      </c>
      <c r="D3721" t="inlineStr">
        <is>
          <t>Vice-président, Nouvelle-Écosse</t>
        </is>
      </c>
      <c r="E3721" t="inlineStr">
        <is>
          <t>Peter Hogan</t>
        </is>
      </c>
      <c r="F3721" t="inlineStr">
        <is>
          <t>Various mMeetings with Agency and Government of Canada officials</t>
        </is>
      </c>
      <c r="G3721" t="inlineStr">
        <is>
          <t>Diverses réunions avec des fonctionnaires de l'Agence et du gouvernement du Canada</t>
        </is>
      </c>
      <c r="H3721" s="1" t="n">
        <v>41017</v>
      </c>
      <c r="I3721" s="1" t="n">
        <v>41019</v>
      </c>
      <c r="J3721" t="inlineStr">
        <is>
          <t>Ottawa, Ontario</t>
        </is>
      </c>
      <c r="K3721" t="inlineStr">
        <is>
          <t>Ottawa (Ontario)</t>
        </is>
      </c>
      <c r="P3721" t="n">
        <v>723.37</v>
      </c>
      <c r="Q3721" t="n">
        <v>145.7</v>
      </c>
      <c r="R3721" t="n">
        <v>354.82</v>
      </c>
      <c r="S3721" t="n">
        <v>220.5</v>
      </c>
      <c r="T3721" t="n">
        <v>22.48</v>
      </c>
      <c r="U3721" t="n">
        <v>1466.87</v>
      </c>
      <c r="X3721" t="inlineStr">
        <is>
          <t>acoa-apeca</t>
        </is>
      </c>
      <c r="Y3721" t="inlineStr">
        <is>
          <t>Atlantic Canada Opportunities Agency | Agence de promotion économique du Canada atlantique</t>
        </is>
      </c>
      <c r="Z3721" t="n">
        <v>3</v>
      </c>
      <c r="AA3721" t="n">
        <v>1466.87</v>
      </c>
      <c r="AB3721">
        <f>ROUND(U3721-AA3721,2)</f>
        <v/>
      </c>
      <c r="AC3721" t="b">
        <v>0</v>
      </c>
      <c r="AD3721">
        <f>IF(U3721="","MISSING_TOTAL",IF(ABS(AB3721)&lt;=0.01,"OK","CHECK"))</f>
        <v/>
      </c>
      <c r="AE3721">
        <f>IF(U3721="","MISSING",IF(AND(AA3721&gt;0,U3721/AA3721&gt;50),"POSSIBLE_SCALE_ERROR","OK"))</f>
        <v/>
      </c>
    </row>
    <row r="3722">
      <c r="A3722" t="inlineStr">
        <is>
          <t>T-2013-Q1-00049</t>
        </is>
      </c>
      <c r="B3722" t="inlineStr">
        <is>
          <t>SLE</t>
        </is>
      </c>
      <c r="C3722" t="inlineStr">
        <is>
          <t>Vice-President, Prince Edward Island</t>
        </is>
      </c>
      <c r="D3722" t="inlineStr">
        <is>
          <t>Vice-président, Île-du-Prince-Édouard</t>
        </is>
      </c>
      <c r="E3722" t="inlineStr">
        <is>
          <t>Patrick Dorsey</t>
        </is>
      </c>
      <c r="F3722" t="inlineStr">
        <is>
          <t>Meetings with Agency and Government of Canada officials</t>
        </is>
      </c>
      <c r="G3722" t="inlineStr">
        <is>
          <t>Réunions avec des fonctionnaires de l'Agence et du gouvernement du Canada</t>
        </is>
      </c>
      <c r="H3722" s="1" t="n">
        <v>41017</v>
      </c>
      <c r="I3722" s="1" t="n">
        <v>41019</v>
      </c>
      <c r="J3722" t="inlineStr">
        <is>
          <t>Ottawa, Ontario</t>
        </is>
      </c>
      <c r="K3722" t="inlineStr">
        <is>
          <t>Ottawa (Ontario)</t>
        </is>
      </c>
      <c r="P3722" t="n">
        <v>603.3</v>
      </c>
      <c r="Q3722" t="n">
        <v>90</v>
      </c>
      <c r="R3722" t="n">
        <v>354.82</v>
      </c>
      <c r="S3722" t="n">
        <v>194.5</v>
      </c>
      <c r="T3722" t="n">
        <v>0</v>
      </c>
      <c r="U3722" t="n">
        <v>1242.62</v>
      </c>
      <c r="X3722" t="inlineStr">
        <is>
          <t>acoa-apeca</t>
        </is>
      </c>
      <c r="Y3722" t="inlineStr">
        <is>
          <t>Atlantic Canada Opportunities Agency | Agence de promotion économique du Canada atlantique</t>
        </is>
      </c>
      <c r="Z3722" t="n">
        <v>3</v>
      </c>
      <c r="AA3722" t="n">
        <v>1242.62</v>
      </c>
      <c r="AB3722">
        <f>ROUND(U3722-AA3722,2)</f>
        <v/>
      </c>
      <c r="AC3722" t="b">
        <v>0</v>
      </c>
      <c r="AD3722">
        <f>IF(U3722="","MISSING_TOTAL",IF(ABS(AB3722)&lt;=0.01,"OK","CHECK"))</f>
        <v/>
      </c>
      <c r="AE3722">
        <f>IF(U3722="","MISSING",IF(AND(AA3722&gt;0,U3722/AA3722&gt;50),"POSSIBLE_SCALE_ERROR","OK"))</f>
        <v/>
      </c>
    </row>
    <row r="3723">
      <c r="A3723" t="inlineStr">
        <is>
          <t>T-2013-Q1-00047</t>
        </is>
      </c>
      <c r="B3723" t="inlineStr">
        <is>
          <t>SLE</t>
        </is>
      </c>
      <c r="C3723" t="inlineStr">
        <is>
          <t>Vice-President, Newfoundland and Labrador</t>
        </is>
      </c>
      <c r="D3723" t="inlineStr">
        <is>
          <t>Vice-président, Terre-Neuve-et-Labrador</t>
        </is>
      </c>
      <c r="E3723" t="inlineStr">
        <is>
          <t>Paul Mills</t>
        </is>
      </c>
      <c r="F3723" t="inlineStr">
        <is>
          <t>Meetings in Ottawa and training in Toronto</t>
        </is>
      </c>
      <c r="G3723" t="inlineStr">
        <is>
          <t>Réunions à Ottawa et séance de formation à Toronto</t>
        </is>
      </c>
      <c r="H3723" s="1" t="n">
        <v>41017</v>
      </c>
      <c r="I3723" s="1" t="n">
        <v>41022</v>
      </c>
      <c r="J3723" t="inlineStr">
        <is>
          <t>Ottawa and Toronto, Ontario</t>
        </is>
      </c>
      <c r="K3723" t="inlineStr">
        <is>
          <t>Ottawa et Toronto (Ontario)</t>
        </is>
      </c>
      <c r="P3723" t="n">
        <v>1377.02</v>
      </c>
      <c r="Q3723" t="n">
        <v>250</v>
      </c>
      <c r="R3723" t="n">
        <v>816.99</v>
      </c>
      <c r="S3723" t="n">
        <v>374.9</v>
      </c>
      <c r="T3723" t="n">
        <v>17.06</v>
      </c>
      <c r="U3723" t="n">
        <v>2835.97</v>
      </c>
      <c r="X3723" t="inlineStr">
        <is>
          <t>acoa-apeca</t>
        </is>
      </c>
      <c r="Y3723" t="inlineStr">
        <is>
          <t>Atlantic Canada Opportunities Agency | Agence de promotion économique du Canada atlantique</t>
        </is>
      </c>
      <c r="Z3723" t="n">
        <v>6</v>
      </c>
      <c r="AA3723" t="n">
        <v>2835.97</v>
      </c>
      <c r="AB3723">
        <f>ROUND(U3723-AA3723,2)</f>
        <v/>
      </c>
      <c r="AC3723" t="b">
        <v>0</v>
      </c>
      <c r="AD3723">
        <f>IF(U3723="","MISSING_TOTAL",IF(ABS(AB3723)&lt;=0.01,"OK","CHECK"))</f>
        <v/>
      </c>
      <c r="AE3723">
        <f>IF(U3723="","MISSING",IF(AND(AA3723&gt;0,U3723/AA3723&gt;50),"POSSIBLE_SCALE_ERROR","OK"))</f>
        <v/>
      </c>
    </row>
    <row r="3724">
      <c r="A3724" t="inlineStr">
        <is>
          <t>T-2013-Q1-00046</t>
        </is>
      </c>
      <c r="B3724" t="inlineStr">
        <is>
          <t>SLE</t>
        </is>
      </c>
      <c r="C3724" t="inlineStr">
        <is>
          <t>President</t>
        </is>
      </c>
      <c r="D3724" t="inlineStr">
        <is>
          <t>Président</t>
        </is>
      </c>
      <c r="E3724" t="inlineStr">
        <is>
          <t>Paul J. LeBlanc</t>
        </is>
      </c>
      <c r="F3724" t="inlineStr">
        <is>
          <t>Meeting with Government of Canada officials</t>
        </is>
      </c>
      <c r="G3724" t="inlineStr">
        <is>
          <t>Réunion avec des fonctionnaires du gouvernement du Canada</t>
        </is>
      </c>
      <c r="H3724" s="1" t="n">
        <v>41016</v>
      </c>
      <c r="I3724" s="1" t="n">
        <v>41017</v>
      </c>
      <c r="J3724" t="inlineStr">
        <is>
          <t>Ottawa, Ontario</t>
        </is>
      </c>
      <c r="K3724" t="inlineStr">
        <is>
          <t>Ottawa (Ontario)</t>
        </is>
      </c>
      <c r="P3724" t="n">
        <v>1452.67</v>
      </c>
      <c r="Q3724" t="n">
        <v>0</v>
      </c>
      <c r="R3724" t="n">
        <v>179.67</v>
      </c>
      <c r="S3724" t="n">
        <v>105.15</v>
      </c>
      <c r="T3724" t="n">
        <v>168.25</v>
      </c>
      <c r="U3724" t="n">
        <v>1905.74</v>
      </c>
      <c r="X3724" t="inlineStr">
        <is>
          <t>acoa-apeca</t>
        </is>
      </c>
      <c r="Y3724" t="inlineStr">
        <is>
          <t>Atlantic Canada Opportunities Agency | Agence de promotion économique du Canada atlantique</t>
        </is>
      </c>
      <c r="Z3724" t="n">
        <v>2</v>
      </c>
      <c r="AA3724" t="n">
        <v>1905.74</v>
      </c>
      <c r="AB3724">
        <f>ROUND(U3724-AA3724,2)</f>
        <v/>
      </c>
      <c r="AC3724" t="b">
        <v>0</v>
      </c>
      <c r="AD3724">
        <f>IF(U3724="","MISSING_TOTAL",IF(ABS(AB3724)&lt;=0.01,"OK","CHECK"))</f>
        <v/>
      </c>
      <c r="AE3724">
        <f>IF(U3724="","MISSING",IF(AND(AA3724&gt;0,U3724/AA3724&gt;50),"POSSIBLE_SCALE_ERROR","OK"))</f>
        <v/>
      </c>
    </row>
    <row r="3725">
      <c r="A3725" t="inlineStr">
        <is>
          <t>T-2013-Q1-00045</t>
        </is>
      </c>
      <c r="B3725" t="inlineStr">
        <is>
          <t>SLE</t>
        </is>
      </c>
      <c r="C3725" t="inlineStr">
        <is>
          <t>President</t>
        </is>
      </c>
      <c r="D3725" t="inlineStr">
        <is>
          <t>Président</t>
        </is>
      </c>
      <c r="E3725" t="inlineStr">
        <is>
          <t>Paul J. LeBlanc</t>
        </is>
      </c>
      <c r="F3725" t="inlineStr">
        <is>
          <t>Various meetings and discussions with Agency officials and provincial governments officials</t>
        </is>
      </c>
      <c r="G3725" t="inlineStr">
        <is>
          <t>Diverses réunions et discussions avec des fonctionnaires de l'Agence et des gouvernements provinciaux</t>
        </is>
      </c>
      <c r="H3725" s="1" t="n">
        <v>41011</v>
      </c>
      <c r="I3725" s="1" t="n">
        <v>41012</v>
      </c>
      <c r="J3725" t="inlineStr">
        <is>
          <t>Charlottetown, Prince Edward Island and St. John's, Newfoundland and Labrador</t>
        </is>
      </c>
      <c r="K3725" t="inlineStr">
        <is>
          <t>Charlottetown (Île-du-Prince-Édouard) et St. John's (Terre-Neuve-et-Labrador)</t>
        </is>
      </c>
      <c r="P3725" t="n">
        <v>2325.96</v>
      </c>
      <c r="Q3725" t="n">
        <v>0</v>
      </c>
      <c r="R3725" t="n">
        <v>151.96</v>
      </c>
      <c r="S3725" t="n">
        <v>120.75</v>
      </c>
      <c r="T3725" t="n">
        <v>0</v>
      </c>
      <c r="U3725" t="n">
        <v>2598.67</v>
      </c>
      <c r="X3725" t="inlineStr">
        <is>
          <t>acoa-apeca</t>
        </is>
      </c>
      <c r="Y3725" t="inlineStr">
        <is>
          <t>Atlantic Canada Opportunities Agency | Agence de promotion économique du Canada atlantique</t>
        </is>
      </c>
      <c r="Z3725" t="n">
        <v>2</v>
      </c>
      <c r="AA3725" t="n">
        <v>2598.67</v>
      </c>
      <c r="AB3725">
        <f>ROUND(U3725-AA3725,2)</f>
        <v/>
      </c>
      <c r="AC3725" t="b">
        <v>0</v>
      </c>
      <c r="AD3725">
        <f>IF(U3725="","MISSING_TOTAL",IF(ABS(AB3725)&lt;=0.01,"OK","CHECK"))</f>
        <v/>
      </c>
      <c r="AE3725">
        <f>IF(U3725="","MISSING",IF(AND(AA3725&gt;0,U3725/AA3725&gt;50),"POSSIBLE_SCALE_ERROR","OK"))</f>
        <v/>
      </c>
    </row>
    <row r="3726">
      <c r="A3726" t="inlineStr">
        <is>
          <t>T-2013-Q1-00044</t>
        </is>
      </c>
      <c r="B3726" t="inlineStr">
        <is>
          <t>MPSES</t>
        </is>
      </c>
      <c r="C3726" t="inlineStr">
        <is>
          <t>Executive Assistant and Press Secretary</t>
        </is>
      </c>
      <c r="D3726" t="inlineStr">
        <is>
          <t>Adjointe exécutive et attaché de presse</t>
        </is>
      </c>
      <c r="E3726" t="inlineStr">
        <is>
          <t>Andrea Richer</t>
        </is>
      </c>
      <c r="F3726" t="inlineStr">
        <is>
          <t>Travel to accompany Minister of State at various ACOA meetings and announcements</t>
        </is>
      </c>
      <c r="G3726" t="inlineStr">
        <is>
          <t>Voyage pour accompagner le ministre d'État à diverses réunions et annonces de l'APECA</t>
        </is>
      </c>
      <c r="H3726" s="1" t="n">
        <v>41009</v>
      </c>
      <c r="I3726" s="1" t="n">
        <v>41013</v>
      </c>
      <c r="J3726" t="inlineStr">
        <is>
          <t>Fredericton, NB; Halifax, NS; Charlottetown, PEI, St. John's, NL</t>
        </is>
      </c>
      <c r="K3726" t="inlineStr">
        <is>
          <t>Fredericton (N.-B.); Halifax (N.-É.); Charlottetown (Î.-P.-É.), St. John's (T.-N.-L.)</t>
        </is>
      </c>
      <c r="P3726" t="n">
        <v>3872.16</v>
      </c>
      <c r="Q3726" t="n">
        <v>69</v>
      </c>
      <c r="R3726" t="n">
        <v>561.9299999999999</v>
      </c>
      <c r="S3726" t="n">
        <v>412.55</v>
      </c>
      <c r="T3726" t="n">
        <v>0</v>
      </c>
      <c r="U3726" t="n">
        <v>4915.64</v>
      </c>
      <c r="X3726" t="inlineStr">
        <is>
          <t>acoa-apeca</t>
        </is>
      </c>
      <c r="Y3726" t="inlineStr">
        <is>
          <t>Atlantic Canada Opportunities Agency | Agence de promotion économique du Canada atlantique</t>
        </is>
      </c>
      <c r="Z3726" t="n">
        <v>5</v>
      </c>
      <c r="AA3726" t="n">
        <v>4915.64</v>
      </c>
      <c r="AB3726">
        <f>ROUND(U3726-AA3726,2)</f>
        <v/>
      </c>
      <c r="AC3726" t="b">
        <v>0</v>
      </c>
      <c r="AD3726">
        <f>IF(U3726="","MISSING_TOTAL",IF(ABS(AB3726)&lt;=0.01,"OK","CHECK"))</f>
        <v/>
      </c>
      <c r="AE3726">
        <f>IF(U3726="","MISSING",IF(AND(AA3726&gt;0,U3726/AA3726&gt;50),"POSSIBLE_SCALE_ERROR","OK"))</f>
        <v/>
      </c>
    </row>
    <row r="3727">
      <c r="A3727" t="inlineStr">
        <is>
          <t>T-2013-Q1-00043</t>
        </is>
      </c>
      <c r="B3727" t="inlineStr">
        <is>
          <t>MPSES</t>
        </is>
      </c>
      <c r="C3727" t="inlineStr">
        <is>
          <t>Minister of State</t>
        </is>
      </c>
      <c r="D3727" t="inlineStr">
        <is>
          <t>Ministre d'État</t>
        </is>
      </c>
      <c r="E3727" t="inlineStr">
        <is>
          <t>Bernard Valcourt</t>
        </is>
      </c>
      <c r="F3727" t="inlineStr">
        <is>
          <t>Various meetings and speeches for ACOA</t>
        </is>
      </c>
      <c r="G3727" t="inlineStr">
        <is>
          <t>Diverses rencontres et allocutions pour l'APECA</t>
        </is>
      </c>
      <c r="H3727" s="1" t="n">
        <v>41009</v>
      </c>
      <c r="I3727" s="1" t="n">
        <v>41013</v>
      </c>
      <c r="J3727" t="inlineStr">
        <is>
          <t>Fredericton, NB; Halifax, NS; Charlottetown, PEI; St. John's, NL</t>
        </is>
      </c>
      <c r="K3727" t="inlineStr">
        <is>
          <t>Fredericton (N.-B.), Halifax (N.-É.), Charlottetown (Î.-P.-É.), St. John's (T.-N.-L.)</t>
        </is>
      </c>
      <c r="P3727" t="n">
        <v>3448.56</v>
      </c>
      <c r="Q3727" t="n">
        <v>371.6</v>
      </c>
      <c r="R3727" t="n">
        <v>561.9299999999999</v>
      </c>
      <c r="S3727" t="n">
        <v>412.55</v>
      </c>
      <c r="T3727" t="n">
        <v>0</v>
      </c>
      <c r="U3727" t="n">
        <v>4794.64</v>
      </c>
      <c r="X3727" t="inlineStr">
        <is>
          <t>acoa-apeca</t>
        </is>
      </c>
      <c r="Y3727" t="inlineStr">
        <is>
          <t>Atlantic Canada Opportunities Agency | Agence de promotion économique du Canada atlantique</t>
        </is>
      </c>
      <c r="Z3727" t="n">
        <v>5</v>
      </c>
      <c r="AA3727" t="n">
        <v>4794.64</v>
      </c>
      <c r="AB3727">
        <f>ROUND(U3727-AA3727,2)</f>
        <v/>
      </c>
      <c r="AC3727" t="b">
        <v>0</v>
      </c>
      <c r="AD3727">
        <f>IF(U3727="","MISSING_TOTAL",IF(ABS(AB3727)&lt;=0.01,"OK","CHECK"))</f>
        <v/>
      </c>
      <c r="AE3727">
        <f>IF(U3727="","MISSING",IF(AND(AA3727&gt;0,U3727/AA3727&gt;50),"POSSIBLE_SCALE_ERROR","OK"))</f>
        <v/>
      </c>
    </row>
    <row r="3728">
      <c r="A3728" t="inlineStr">
        <is>
          <t>T-2013-Q1-00042</t>
        </is>
      </c>
      <c r="B3728" t="inlineStr">
        <is>
          <t>SLE</t>
        </is>
      </c>
      <c r="C3728" t="inlineStr">
        <is>
          <t>President</t>
        </is>
      </c>
      <c r="D3728" t="inlineStr">
        <is>
          <t>Président</t>
        </is>
      </c>
      <c r="E3728" t="inlineStr">
        <is>
          <t>Paul J. LeBlanc</t>
        </is>
      </c>
      <c r="F3728" t="inlineStr">
        <is>
          <t>Various meetings and discussions with Agency officials and provincial governments officials</t>
        </is>
      </c>
      <c r="G3728" t="inlineStr">
        <is>
          <t>Diverses réunions et discussions avec des fonctionnaires de l'Agence et des gouvernements provinciaux</t>
        </is>
      </c>
      <c r="H3728" s="1" t="n">
        <v>41009</v>
      </c>
      <c r="I3728" s="1" t="n">
        <v>41010</v>
      </c>
      <c r="J3728" t="inlineStr">
        <is>
          <t>Fredericton, New Brunswick and Halifax, Nova Scotia</t>
        </is>
      </c>
      <c r="K3728" t="inlineStr">
        <is>
          <t>Fredericton (Nouveau-Brunswick) et Halifax (Nouvelle-Écosse)</t>
        </is>
      </c>
      <c r="P3728" t="n">
        <v>370.68</v>
      </c>
      <c r="Q3728" t="n">
        <v>0</v>
      </c>
      <c r="R3728" t="n">
        <v>146.63</v>
      </c>
      <c r="S3728" t="n">
        <v>105.9</v>
      </c>
      <c r="T3728" t="n">
        <v>0</v>
      </c>
      <c r="U3728" t="n">
        <v>623.21</v>
      </c>
      <c r="X3728" t="inlineStr">
        <is>
          <t>acoa-apeca</t>
        </is>
      </c>
      <c r="Y3728" t="inlineStr">
        <is>
          <t>Atlantic Canada Opportunities Agency | Agence de promotion économique du Canada atlantique</t>
        </is>
      </c>
      <c r="Z3728" t="n">
        <v>2</v>
      </c>
      <c r="AA3728" t="n">
        <v>623.209999999999</v>
      </c>
      <c r="AB3728">
        <f>ROUND(U3728-AA3728,2)</f>
        <v/>
      </c>
      <c r="AC3728" t="b">
        <v>0</v>
      </c>
      <c r="AD3728">
        <f>IF(U3728="","MISSING_TOTAL",IF(ABS(AB3728)&lt;=0.01,"OK","CHECK"))</f>
        <v/>
      </c>
      <c r="AE3728">
        <f>IF(U3728="","MISSING",IF(AND(AA3728&gt;0,U3728/AA3728&gt;50),"POSSIBLE_SCALE_ERROR","OK"))</f>
        <v/>
      </c>
    </row>
    <row r="3729">
      <c r="A3729" t="inlineStr">
        <is>
          <t>T-2013-Q1-00041</t>
        </is>
      </c>
      <c r="B3729" t="inlineStr">
        <is>
          <t>MPSES</t>
        </is>
      </c>
      <c r="C3729" t="inlineStr">
        <is>
          <t>Senior Policy Advisor</t>
        </is>
      </c>
      <c r="D3729" t="inlineStr">
        <is>
          <t>Conseiller principal en politiques</t>
        </is>
      </c>
      <c r="E3729" t="inlineStr">
        <is>
          <t>Guy Lévesque</t>
        </is>
      </c>
      <c r="F3729" t="inlineStr">
        <is>
          <t>Travel to accompany Minister of State for various ACOA meetings</t>
        </is>
      </c>
      <c r="G3729" t="inlineStr">
        <is>
          <t>Voyage pour accompagner le ministre d'État à diverses réunions de l'APECA</t>
        </is>
      </c>
      <c r="H3729" s="1" t="n">
        <v>41008</v>
      </c>
      <c r="I3729" s="1" t="n">
        <v>41009</v>
      </c>
      <c r="J3729" t="inlineStr">
        <is>
          <t>Fredericton, New Brunswick</t>
        </is>
      </c>
      <c r="K3729" t="inlineStr">
        <is>
          <t>Fredericton (Nouveau-Brunswick)</t>
        </is>
      </c>
      <c r="P3729" t="n">
        <v>1163.99</v>
      </c>
      <c r="Q3729" t="n">
        <v>83.98999999999999</v>
      </c>
      <c r="R3729" t="n">
        <v>123.17</v>
      </c>
      <c r="S3729" t="n">
        <v>161.6</v>
      </c>
      <c r="T3729" t="n">
        <v>0</v>
      </c>
      <c r="U3729" t="n">
        <v>1532.75</v>
      </c>
      <c r="X3729" t="inlineStr">
        <is>
          <t>acoa-apeca</t>
        </is>
      </c>
      <c r="Y3729" t="inlineStr">
        <is>
          <t>Atlantic Canada Opportunities Agency | Agence de promotion économique du Canada atlantique</t>
        </is>
      </c>
      <c r="Z3729" t="n">
        <v>2</v>
      </c>
      <c r="AA3729" t="n">
        <v>1532.75</v>
      </c>
      <c r="AB3729">
        <f>ROUND(U3729-AA3729,2)</f>
        <v/>
      </c>
      <c r="AC3729" t="b">
        <v>0</v>
      </c>
      <c r="AD3729">
        <f>IF(U3729="","MISSING_TOTAL",IF(ABS(AB3729)&lt;=0.01,"OK","CHECK"))</f>
        <v/>
      </c>
      <c r="AE3729">
        <f>IF(U3729="","MISSING",IF(AND(AA3729&gt;0,U3729/AA3729&gt;50),"POSSIBLE_SCALE_ERROR","OK"))</f>
        <v/>
      </c>
    </row>
    <row r="3730">
      <c r="A3730" t="inlineStr">
        <is>
          <t>T-2013-Q1-00039</t>
        </is>
      </c>
      <c r="B3730" t="inlineStr">
        <is>
          <t>SLE</t>
        </is>
      </c>
      <c r="C3730" t="inlineStr">
        <is>
          <t>Vice-President, New Brunswick</t>
        </is>
      </c>
      <c r="D3730" t="inlineStr">
        <is>
          <t>Vice-présidente, Nouveau-Brunswick</t>
        </is>
      </c>
      <c r="E3730" t="inlineStr">
        <is>
          <t>Janet Gagnon</t>
        </is>
      </c>
      <c r="F3730" t="inlineStr">
        <is>
          <t>Staff meeting</t>
        </is>
      </c>
      <c r="G3730" t="inlineStr">
        <is>
          <t>Réunion du personnel</t>
        </is>
      </c>
      <c r="H3730" s="1" t="n">
        <v>41003</v>
      </c>
      <c r="I3730" s="1" t="n">
        <v>41003</v>
      </c>
      <c r="J3730" t="inlineStr">
        <is>
          <t>Fredericton, New Brunswick</t>
        </is>
      </c>
      <c r="K3730" t="inlineStr">
        <is>
          <t>Fredericton (Nouveau-Brunswick)</t>
        </is>
      </c>
      <c r="P3730" t="n">
        <v>0</v>
      </c>
      <c r="Q3730" t="n">
        <v>0</v>
      </c>
      <c r="R3730" t="n">
        <v>0</v>
      </c>
      <c r="S3730" t="n">
        <v>0</v>
      </c>
      <c r="T3730" t="n">
        <v>4</v>
      </c>
      <c r="U3730" t="n">
        <v>4</v>
      </c>
      <c r="X3730" t="inlineStr">
        <is>
          <t>acoa-apeca</t>
        </is>
      </c>
      <c r="Y3730" t="inlineStr">
        <is>
          <t>Atlantic Canada Opportunities Agency | Agence de promotion économique du Canada atlantique</t>
        </is>
      </c>
      <c r="Z3730" t="n">
        <v>1</v>
      </c>
      <c r="AA3730" t="n">
        <v>4</v>
      </c>
      <c r="AB3730">
        <f>ROUND(U3730-AA3730,2)</f>
        <v/>
      </c>
      <c r="AC3730" t="b">
        <v>0</v>
      </c>
      <c r="AD3730">
        <f>IF(U3730="","MISSING_TOTAL",IF(ABS(AB3730)&lt;=0.01,"OK","CHECK"))</f>
        <v/>
      </c>
      <c r="AE3730">
        <f>IF(U3730="","MISSING",IF(AND(AA3730&gt;0,U3730/AA3730&gt;50),"POSSIBLE_SCALE_ERROR","OK"))</f>
        <v/>
      </c>
    </row>
    <row r="3731">
      <c r="A3731" t="inlineStr">
        <is>
          <t>T-2013-Q1-00038</t>
        </is>
      </c>
      <c r="B3731" t="inlineStr">
        <is>
          <t>MPSES</t>
        </is>
      </c>
      <c r="C3731" t="inlineStr">
        <is>
          <t>Executive Assistant and Press Secretary</t>
        </is>
      </c>
      <c r="D3731" t="inlineStr">
        <is>
          <t>Adjointe exécutive et attaché de presse</t>
        </is>
      </c>
      <c r="E3731" t="inlineStr">
        <is>
          <t>Andrea Richer</t>
        </is>
      </c>
      <c r="F3731" t="inlineStr">
        <is>
          <t>Travel to accompany Minister of State at various La Francophonie related announcements and meetings</t>
        </is>
      </c>
      <c r="G3731" t="inlineStr">
        <is>
          <t>Voyage pour accompagner le ministre d'État à diverses annonces et réunions liées au dossier de la Francophonie</t>
        </is>
      </c>
      <c r="H3731" s="1" t="n">
        <v>41002</v>
      </c>
      <c r="I3731" s="1" t="n">
        <v>41002</v>
      </c>
      <c r="J3731" t="inlineStr">
        <is>
          <t>Quebec, Quebec</t>
        </is>
      </c>
      <c r="K3731" t="inlineStr">
        <is>
          <t>Québec (Québec)</t>
        </is>
      </c>
      <c r="P3731" t="n">
        <v>637.3200000000001</v>
      </c>
      <c r="Q3731" t="n">
        <v>86.90000000000001</v>
      </c>
      <c r="R3731" t="n">
        <v>0</v>
      </c>
      <c r="S3731" t="n">
        <v>0</v>
      </c>
      <c r="T3731" t="n">
        <v>0</v>
      </c>
      <c r="U3731" t="n">
        <v>724.22</v>
      </c>
      <c r="X3731" t="inlineStr">
        <is>
          <t>acoa-apeca</t>
        </is>
      </c>
      <c r="Y3731" t="inlineStr">
        <is>
          <t>Atlantic Canada Opportunities Agency | Agence de promotion économique du Canada atlantique</t>
        </is>
      </c>
      <c r="Z3731" t="n">
        <v>1</v>
      </c>
      <c r="AA3731" t="n">
        <v>724.22</v>
      </c>
      <c r="AB3731">
        <f>ROUND(U3731-AA3731,2)</f>
        <v/>
      </c>
      <c r="AC3731" t="b">
        <v>0</v>
      </c>
      <c r="AD3731">
        <f>IF(U3731="","MISSING_TOTAL",IF(ABS(AB3731)&lt;=0.01,"OK","CHECK"))</f>
        <v/>
      </c>
      <c r="AE3731">
        <f>IF(U3731="","MISSING",IF(AND(AA3731&gt;0,U3731/AA3731&gt;50),"POSSIBLE_SCALE_ERROR","OK"))</f>
        <v/>
      </c>
    </row>
    <row r="3732">
      <c r="A3732" t="inlineStr">
        <is>
          <t>T-2013-Q1-00037</t>
        </is>
      </c>
      <c r="B3732" t="inlineStr">
        <is>
          <t>MPSES</t>
        </is>
      </c>
      <c r="C3732" t="inlineStr">
        <is>
          <t>Minister of State</t>
        </is>
      </c>
      <c r="D3732" t="inlineStr">
        <is>
          <t>Ministre d'État</t>
        </is>
      </c>
      <c r="E3732" t="inlineStr">
        <is>
          <t>Bernard Valcourt</t>
        </is>
      </c>
      <c r="F3732" t="inlineStr">
        <is>
          <t>Announcement for the French Language Forum and various meetings for the Francophonie file</t>
        </is>
      </c>
      <c r="G3732" t="inlineStr">
        <is>
          <t>Annonce pour le Forum de la langue française et diverses rencontres pour le dossier de la Francophonie</t>
        </is>
      </c>
      <c r="H3732" s="1" t="n">
        <v>41002</v>
      </c>
      <c r="I3732" s="1" t="n">
        <v>41002</v>
      </c>
      <c r="J3732" t="inlineStr">
        <is>
          <t>Quebec, Quebec</t>
        </is>
      </c>
      <c r="K3732" t="inlineStr">
        <is>
          <t>Québec (Québec)</t>
        </is>
      </c>
      <c r="P3732" t="n">
        <v>1699.17</v>
      </c>
      <c r="Q3732" t="n">
        <v>0</v>
      </c>
      <c r="R3732" t="n">
        <v>0</v>
      </c>
      <c r="S3732" t="n">
        <v>0</v>
      </c>
      <c r="T3732" t="n">
        <v>0</v>
      </c>
      <c r="U3732" t="n">
        <v>1699.17</v>
      </c>
      <c r="X3732" t="inlineStr">
        <is>
          <t>acoa-apeca</t>
        </is>
      </c>
      <c r="Y3732" t="inlineStr">
        <is>
          <t>Atlantic Canada Opportunities Agency | Agence de promotion économique du Canada atlantique</t>
        </is>
      </c>
      <c r="Z3732" t="n">
        <v>1</v>
      </c>
      <c r="AA3732" t="n">
        <v>1699.17</v>
      </c>
      <c r="AB3732">
        <f>ROUND(U3732-AA3732,2)</f>
        <v/>
      </c>
      <c r="AC3732" t="b">
        <v>0</v>
      </c>
      <c r="AD3732">
        <f>IF(U3732="","MISSING_TOTAL",IF(ABS(AB3732)&lt;=0.01,"OK","CHECK"))</f>
        <v/>
      </c>
      <c r="AE3732">
        <f>IF(U3732="","MISSING",IF(AND(AA3732&gt;0,U3732/AA3732&gt;50),"POSSIBLE_SCALE_ERROR","OK"))</f>
        <v/>
      </c>
    </row>
    <row r="3733">
      <c r="A3733" t="inlineStr">
        <is>
          <t>T-2013-Q1-00036</t>
        </is>
      </c>
      <c r="B3733" t="inlineStr">
        <is>
          <t>SLE</t>
        </is>
      </c>
      <c r="C3733" t="inlineStr">
        <is>
          <t>President</t>
        </is>
      </c>
      <c r="D3733" t="inlineStr">
        <is>
          <t>Président</t>
        </is>
      </c>
      <c r="E3733" t="inlineStr">
        <is>
          <t>Paul J. LeBlanc</t>
        </is>
      </c>
      <c r="F3733" t="inlineStr">
        <is>
          <t>Meeting with various Government of Canada officials</t>
        </is>
      </c>
      <c r="G3733" t="inlineStr">
        <is>
          <t>Réunion avec divers fonctionnaires du gouvernement du Canada</t>
        </is>
      </c>
      <c r="H3733" s="1" t="n">
        <v>41002</v>
      </c>
      <c r="I3733" s="1" t="n">
        <v>41003</v>
      </c>
      <c r="J3733" t="inlineStr">
        <is>
          <t>Ottawa, Ontario</t>
        </is>
      </c>
      <c r="K3733" t="inlineStr">
        <is>
          <t>Ottawa (Ontario)</t>
        </is>
      </c>
      <c r="P3733" t="n">
        <v>741.36</v>
      </c>
      <c r="Q3733" t="n">
        <v>0</v>
      </c>
      <c r="R3733" t="n">
        <v>179.67</v>
      </c>
      <c r="S3733" t="n">
        <v>90.3</v>
      </c>
      <c r="T3733" t="n">
        <v>113</v>
      </c>
      <c r="U3733" t="n">
        <v>1124.33</v>
      </c>
      <c r="X3733" t="inlineStr">
        <is>
          <t>acoa-apeca</t>
        </is>
      </c>
      <c r="Y3733" t="inlineStr">
        <is>
          <t>Atlantic Canada Opportunities Agency | Agence de promotion économique du Canada atlantique</t>
        </is>
      </c>
      <c r="Z3733" t="n">
        <v>2</v>
      </c>
      <c r="AA3733" t="n">
        <v>1124.33</v>
      </c>
      <c r="AB3733">
        <f>ROUND(U3733-AA3733,2)</f>
        <v/>
      </c>
      <c r="AC3733" t="b">
        <v>0</v>
      </c>
      <c r="AD3733">
        <f>IF(U3733="","MISSING_TOTAL",IF(ABS(AB3733)&lt;=0.01,"OK","CHECK"))</f>
        <v/>
      </c>
      <c r="AE3733">
        <f>IF(U3733="","MISSING",IF(AND(AA3733&gt;0,U3733/AA3733&gt;50),"POSSIBLE_SCALE_ERROR","OK"))</f>
        <v/>
      </c>
    </row>
    <row r="3734">
      <c r="A3734" t="inlineStr">
        <is>
          <t>T-2013-Q1-00035</t>
        </is>
      </c>
      <c r="B3734" t="inlineStr">
        <is>
          <t>SLE</t>
        </is>
      </c>
      <c r="C3734" t="inlineStr">
        <is>
          <t>Vice President, Nova Scotia</t>
        </is>
      </c>
      <c r="D3734" t="inlineStr">
        <is>
          <t>Vice-président, Nouvelle-Écosse</t>
        </is>
      </c>
      <c r="E3734" t="inlineStr">
        <is>
          <t>Peter Hogan</t>
        </is>
      </c>
      <c r="F3734" t="inlineStr">
        <is>
          <t>Various meetings with Agency and Government of Canada officials</t>
        </is>
      </c>
      <c r="G3734" t="inlineStr">
        <is>
          <t>Diverses réunions avec des fonctionnaires de l'Agence et du gouvernement du Canada</t>
        </is>
      </c>
      <c r="H3734" s="1" t="n">
        <v>40995</v>
      </c>
      <c r="I3734" s="1" t="n">
        <v>40995</v>
      </c>
      <c r="J3734" t="inlineStr">
        <is>
          <t>Ottawa, Ontario</t>
        </is>
      </c>
      <c r="K3734" t="inlineStr">
        <is>
          <t>Ottawa (Ontario)</t>
        </is>
      </c>
      <c r="P3734" t="n">
        <v>680.73</v>
      </c>
      <c r="Q3734" t="n">
        <v>128.2</v>
      </c>
      <c r="R3734" t="n">
        <v>177.41</v>
      </c>
      <c r="S3734" t="n">
        <v>145.15</v>
      </c>
      <c r="T3734" t="n">
        <v>0</v>
      </c>
      <c r="U3734" t="n">
        <v>1131.49</v>
      </c>
      <c r="X3734" t="inlineStr">
        <is>
          <t>acoa-apeca</t>
        </is>
      </c>
      <c r="Y3734" t="inlineStr">
        <is>
          <t>Atlantic Canada Opportunities Agency | Agence de promotion économique du Canada atlantique</t>
        </is>
      </c>
      <c r="Z3734" t="n">
        <v>1</v>
      </c>
      <c r="AA3734" t="n">
        <v>1131.49</v>
      </c>
      <c r="AB3734">
        <f>ROUND(U3734-AA3734,2)</f>
        <v/>
      </c>
      <c r="AC3734" t="b">
        <v>0</v>
      </c>
      <c r="AD3734">
        <f>IF(U3734="","MISSING_TOTAL",IF(ABS(AB3734)&lt;=0.01,"OK","CHECK"))</f>
        <v/>
      </c>
      <c r="AE3734">
        <f>IF(U3734="","MISSING",IF(AND(AA3734&gt;0,U3734/AA3734&gt;50),"POSSIBLE_SCALE_ERROR","OK"))</f>
        <v/>
      </c>
    </row>
    <row r="3735">
      <c r="A3735" t="inlineStr">
        <is>
          <t>T-2013-Q1-00034</t>
        </is>
      </c>
      <c r="B3735" t="inlineStr">
        <is>
          <t>SLE</t>
        </is>
      </c>
      <c r="C3735" t="inlineStr">
        <is>
          <t>Vice-President, Finance and Corporate Services</t>
        </is>
      </c>
      <c r="D3735" t="inlineStr">
        <is>
          <t>Vice-présidente, Finances et Services corporatifs</t>
        </is>
      </c>
      <c r="E3735" t="inlineStr">
        <is>
          <t>Denise Frenette</t>
        </is>
      </c>
      <c r="F3735" t="inlineStr">
        <is>
          <t>Meetings with Government of Canada officials and Agency officials</t>
        </is>
      </c>
      <c r="G3735" t="inlineStr">
        <is>
          <t>Réunions avec des fonctionnaires du gouvernement du Canada et de l'Agence</t>
        </is>
      </c>
      <c r="H3735" s="1" t="n">
        <v>40995</v>
      </c>
      <c r="I3735" s="1" t="n">
        <v>40996</v>
      </c>
      <c r="J3735" t="inlineStr">
        <is>
          <t>Ottawa, Ontario</t>
        </is>
      </c>
      <c r="K3735" t="inlineStr">
        <is>
          <t>Ottawa (Ontario)</t>
        </is>
      </c>
      <c r="P3735" t="n">
        <v>1075.76</v>
      </c>
      <c r="Q3735" t="n">
        <v>54.88</v>
      </c>
      <c r="R3735" t="n">
        <v>177.41</v>
      </c>
      <c r="S3735" t="n">
        <v>89.5</v>
      </c>
      <c r="T3735" t="n">
        <v>0</v>
      </c>
      <c r="U3735" t="n">
        <v>1397.55</v>
      </c>
      <c r="X3735" t="inlineStr">
        <is>
          <t>acoa-apeca</t>
        </is>
      </c>
      <c r="Y3735" t="inlineStr">
        <is>
          <t>Atlantic Canada Opportunities Agency | Agence de promotion économique du Canada atlantique</t>
        </is>
      </c>
      <c r="Z3735" t="n">
        <v>2</v>
      </c>
      <c r="AA3735" t="n">
        <v>1397.55</v>
      </c>
      <c r="AB3735">
        <f>ROUND(U3735-AA3735,2)</f>
        <v/>
      </c>
      <c r="AC3735" t="b">
        <v>0</v>
      </c>
      <c r="AD3735">
        <f>IF(U3735="","MISSING_TOTAL",IF(ABS(AB3735)&lt;=0.01,"OK","CHECK"))</f>
        <v/>
      </c>
      <c r="AE3735">
        <f>IF(U3735="","MISSING",IF(AND(AA3735&gt;0,U3735/AA3735&gt;50),"POSSIBLE_SCALE_ERROR","OK"))</f>
        <v/>
      </c>
    </row>
    <row r="3736">
      <c r="A3736" t="inlineStr">
        <is>
          <t>T-2013-Q1-00033</t>
        </is>
      </c>
      <c r="B3736" t="inlineStr">
        <is>
          <t>SLE</t>
        </is>
      </c>
      <c r="C3736" t="inlineStr">
        <is>
          <t>Vice-President, Prince Edward Island</t>
        </is>
      </c>
      <c r="D3736" t="inlineStr">
        <is>
          <t>Vice-président, Île-du-Prince-Édouard</t>
        </is>
      </c>
      <c r="E3736" t="inlineStr">
        <is>
          <t>Patrick Dorsey</t>
        </is>
      </c>
      <c r="F3736" t="inlineStr">
        <is>
          <t>ACO Board Meeting</t>
        </is>
      </c>
      <c r="G3736" t="inlineStr">
        <is>
          <t>Réunion du Conseil de promotion économique du Canada atlantique</t>
        </is>
      </c>
      <c r="H3736" s="1" t="n">
        <v>40995</v>
      </c>
      <c r="I3736" s="1" t="n">
        <v>40997</v>
      </c>
      <c r="J3736" t="inlineStr">
        <is>
          <t>Ottawa, Ontario</t>
        </is>
      </c>
      <c r="K3736" t="inlineStr">
        <is>
          <t>Ottawa (Ontario)</t>
        </is>
      </c>
      <c r="P3736" t="n">
        <v>622.28</v>
      </c>
      <c r="Q3736" t="n">
        <v>87</v>
      </c>
      <c r="R3736" t="n">
        <v>354.82</v>
      </c>
      <c r="S3736" t="n">
        <v>192.4</v>
      </c>
      <c r="T3736" t="n">
        <v>0</v>
      </c>
      <c r="U3736" t="n">
        <v>1256.5</v>
      </c>
      <c r="X3736" t="inlineStr">
        <is>
          <t>acoa-apeca</t>
        </is>
      </c>
      <c r="Y3736" t="inlineStr">
        <is>
          <t>Atlantic Canada Opportunities Agency | Agence de promotion économique du Canada atlantique</t>
        </is>
      </c>
      <c r="Z3736" t="n">
        <v>3</v>
      </c>
      <c r="AA3736" t="n">
        <v>1256.5</v>
      </c>
      <c r="AB3736">
        <f>ROUND(U3736-AA3736,2)</f>
        <v/>
      </c>
      <c r="AC3736" t="b">
        <v>0</v>
      </c>
      <c r="AD3736">
        <f>IF(U3736="","MISSING_TOTAL",IF(ABS(AB3736)&lt;=0.01,"OK","CHECK"))</f>
        <v/>
      </c>
      <c r="AE3736">
        <f>IF(U3736="","MISSING",IF(AND(AA3736&gt;0,U3736/AA3736&gt;50),"POSSIBLE_SCALE_ERROR","OK"))</f>
        <v/>
      </c>
    </row>
    <row r="3737">
      <c r="A3737" t="inlineStr">
        <is>
          <t>T-2012-Q2-00064</t>
        </is>
      </c>
      <c r="B3737" t="inlineStr">
        <is>
          <t>SLE</t>
        </is>
      </c>
      <c r="C3737" t="inlineStr">
        <is>
          <t>President</t>
        </is>
      </c>
      <c r="D3737" t="inlineStr">
        <is>
          <t>Président</t>
        </is>
      </c>
      <c r="E3737" t="inlineStr">
        <is>
          <t>Paul J. LeBlanc</t>
        </is>
      </c>
      <c r="F3737" t="inlineStr">
        <is>
          <t>For various meetings and discussions with Agency officials</t>
        </is>
      </c>
      <c r="G3737" t="inlineStr">
        <is>
          <t>Diverses réunions et discussions avec des fonctionnaires de l'Agence</t>
        </is>
      </c>
      <c r="H3737" s="1" t="n">
        <v>40773</v>
      </c>
      <c r="I3737" s="1" t="n">
        <v>40774</v>
      </c>
      <c r="J3737" t="inlineStr">
        <is>
          <t>Ottawa, Ontario</t>
        </is>
      </c>
      <c r="K3737" t="inlineStr">
        <is>
          <t>Ottawa (Ontario)</t>
        </is>
      </c>
      <c r="P3737" t="n">
        <v>727.36</v>
      </c>
      <c r="Q3737" t="n">
        <v>0</v>
      </c>
      <c r="R3737" t="n">
        <v>174.02</v>
      </c>
      <c r="S3737" t="n">
        <v>143.5</v>
      </c>
      <c r="T3737" t="n">
        <v>30</v>
      </c>
      <c r="U3737" t="n">
        <v>1074.88</v>
      </c>
      <c r="X3737" t="inlineStr">
        <is>
          <t>acoa-apeca</t>
        </is>
      </c>
      <c r="Y3737" t="inlineStr">
        <is>
          <t>Atlantic Canada Opportunities Agency | Agence de promotion économique du Canada atlantique</t>
        </is>
      </c>
      <c r="Z3737" t="n">
        <v>2</v>
      </c>
      <c r="AA3737" t="n">
        <v>1074.88</v>
      </c>
      <c r="AB3737">
        <f>ROUND(U3737-AA3737,2)</f>
        <v/>
      </c>
      <c r="AC3737" t="b">
        <v>0</v>
      </c>
      <c r="AD3737">
        <f>IF(U3737="","MISSING_TOTAL",IF(ABS(AB3737)&lt;=0.01,"OK","CHECK"))</f>
        <v/>
      </c>
      <c r="AE3737">
        <f>IF(U3737="","MISSING",IF(AND(AA3737&gt;0,U3737/AA3737&gt;50),"POSSIBLE_SCALE_ERROR","OK"))</f>
        <v/>
      </c>
    </row>
    <row r="3738">
      <c r="A3738" t="inlineStr">
        <is>
          <t>T-2013-Q1-00030</t>
        </is>
      </c>
      <c r="B3738" t="inlineStr">
        <is>
          <t>SLE</t>
        </is>
      </c>
      <c r="C3738" t="inlineStr">
        <is>
          <t>Vice-President, New Brunswick</t>
        </is>
      </c>
      <c r="D3738" t="inlineStr">
        <is>
          <t>Vice-présidente, Nouveau-Brunswick</t>
        </is>
      </c>
      <c r="E3738" t="inlineStr">
        <is>
          <t>Janet Gagnon</t>
        </is>
      </c>
      <c r="F3738" t="inlineStr">
        <is>
          <t>ACO Board meeting</t>
        </is>
      </c>
      <c r="G3738" t="inlineStr">
        <is>
          <t>Réunion du Conseil de promotion économique du Canada atlantique</t>
        </is>
      </c>
      <c r="H3738" s="1" t="n">
        <v>40994</v>
      </c>
      <c r="I3738" s="1" t="n">
        <v>40996</v>
      </c>
      <c r="J3738" t="inlineStr">
        <is>
          <t>Ottawa, Ontario</t>
        </is>
      </c>
      <c r="K3738" t="inlineStr">
        <is>
          <t>Ottawa (Ontario)</t>
        </is>
      </c>
      <c r="P3738" t="n">
        <v>1207.21</v>
      </c>
      <c r="Q3738" t="n">
        <v>74.47</v>
      </c>
      <c r="R3738" t="n">
        <v>354.82</v>
      </c>
      <c r="S3738" t="n">
        <v>232.7</v>
      </c>
      <c r="T3738" t="n">
        <v>32</v>
      </c>
      <c r="U3738" t="n">
        <v>1901.2</v>
      </c>
      <c r="X3738" t="inlineStr">
        <is>
          <t>acoa-apeca</t>
        </is>
      </c>
      <c r="Y3738" t="inlineStr">
        <is>
          <t>Atlantic Canada Opportunities Agency | Agence de promotion économique du Canada atlantique</t>
        </is>
      </c>
      <c r="Z3738" t="n">
        <v>3</v>
      </c>
      <c r="AA3738" t="n">
        <v>1901.2</v>
      </c>
      <c r="AB3738">
        <f>ROUND(U3738-AA3738,2)</f>
        <v/>
      </c>
      <c r="AC3738" t="b">
        <v>0</v>
      </c>
      <c r="AD3738">
        <f>IF(U3738="","MISSING_TOTAL",IF(ABS(AB3738)&lt;=0.01,"OK","CHECK"))</f>
        <v/>
      </c>
      <c r="AE3738">
        <f>IF(U3738="","MISSING",IF(AND(AA3738&gt;0,U3738/AA3738&gt;50),"POSSIBLE_SCALE_ERROR","OK"))</f>
        <v/>
      </c>
    </row>
    <row r="3739">
      <c r="A3739" t="inlineStr">
        <is>
          <t>T-2013-Q1-00029</t>
        </is>
      </c>
      <c r="B3739" t="inlineStr">
        <is>
          <t>SLE</t>
        </is>
      </c>
      <c r="C3739" t="inlineStr">
        <is>
          <t>President</t>
        </is>
      </c>
      <c r="D3739" t="inlineStr">
        <is>
          <t>Président</t>
        </is>
      </c>
      <c r="E3739" t="inlineStr">
        <is>
          <t>Paul J. LeBlanc</t>
        </is>
      </c>
      <c r="F3739" t="inlineStr">
        <is>
          <t>Various meetings and discussions with Agency officials and Government of Canada officials</t>
        </is>
      </c>
      <c r="G3739" t="inlineStr">
        <is>
          <t>Diverses réunions et discussions avec des fonctionnaires de l'Agence et du gouvernement du Canada</t>
        </is>
      </c>
      <c r="H3739" s="1" t="n">
        <v>40994</v>
      </c>
      <c r="I3739" s="1" t="n">
        <v>40998</v>
      </c>
      <c r="J3739" t="inlineStr">
        <is>
          <t>Ottawa, Ontario</t>
        </is>
      </c>
      <c r="K3739" t="inlineStr">
        <is>
          <t>Ottawa (Ontario)</t>
        </is>
      </c>
      <c r="P3739" t="n">
        <v>741.36</v>
      </c>
      <c r="Q3739" t="n">
        <v>12.87</v>
      </c>
      <c r="R3739" t="n">
        <v>718.6799999999999</v>
      </c>
      <c r="S3739" t="n">
        <v>377.85</v>
      </c>
      <c r="T3739" t="n">
        <v>0</v>
      </c>
      <c r="U3739" t="n">
        <v>1850.76</v>
      </c>
      <c r="X3739" t="inlineStr">
        <is>
          <t>acoa-apeca</t>
        </is>
      </c>
      <c r="Y3739" t="inlineStr">
        <is>
          <t>Atlantic Canada Opportunities Agency | Agence de promotion économique du Canada atlantique</t>
        </is>
      </c>
      <c r="Z3739" t="n">
        <v>5</v>
      </c>
      <c r="AA3739" t="n">
        <v>1850.75999999999</v>
      </c>
      <c r="AB3739">
        <f>ROUND(U3739-AA3739,2)</f>
        <v/>
      </c>
      <c r="AC3739" t="b">
        <v>0</v>
      </c>
      <c r="AD3739">
        <f>IF(U3739="","MISSING_TOTAL",IF(ABS(AB3739)&lt;=0.01,"OK","CHECK"))</f>
        <v/>
      </c>
      <c r="AE3739">
        <f>IF(U3739="","MISSING",IF(AND(AA3739&gt;0,U3739/AA3739&gt;50),"POSSIBLE_SCALE_ERROR","OK"))</f>
        <v/>
      </c>
    </row>
    <row r="3740">
      <c r="A3740" t="inlineStr">
        <is>
          <t>T-2013-Q1-00028</t>
        </is>
      </c>
      <c r="B3740" t="inlineStr">
        <is>
          <t>SLE</t>
        </is>
      </c>
      <c r="C3740" t="inlineStr">
        <is>
          <t>Vice-President, Newfoundland and Labrador</t>
        </is>
      </c>
      <c r="D3740" t="inlineStr">
        <is>
          <t>Vice-président, Terre-Neuve-et-Labrador</t>
        </is>
      </c>
      <c r="E3740" t="inlineStr">
        <is>
          <t>Paul Mills</t>
        </is>
      </c>
      <c r="F3740" t="inlineStr">
        <is>
          <t>Meetings with President and vice-presidents</t>
        </is>
      </c>
      <c r="G3740" t="inlineStr">
        <is>
          <t>Réunions avec le président et les vice-présidents</t>
        </is>
      </c>
      <c r="H3740" s="1" t="n">
        <v>40994</v>
      </c>
      <c r="I3740" s="1" t="n">
        <v>40995</v>
      </c>
      <c r="J3740" t="inlineStr">
        <is>
          <t>Ottawa, Ontario</t>
        </is>
      </c>
      <c r="K3740" t="inlineStr">
        <is>
          <t>Ottawa (Ontario)</t>
        </is>
      </c>
      <c r="P3740" t="n">
        <v>1368.14</v>
      </c>
      <c r="Q3740" t="n">
        <v>129</v>
      </c>
      <c r="R3740" t="n">
        <v>177.41</v>
      </c>
      <c r="S3740" t="n">
        <v>159.75</v>
      </c>
      <c r="T3740" t="n">
        <v>8.529999999999999</v>
      </c>
      <c r="U3740" t="n">
        <v>1842.83</v>
      </c>
      <c r="X3740" t="inlineStr">
        <is>
          <t>acoa-apeca</t>
        </is>
      </c>
      <c r="Y3740" t="inlineStr">
        <is>
          <t>Atlantic Canada Opportunities Agency | Agence de promotion économique du Canada atlantique</t>
        </is>
      </c>
      <c r="Z3740" t="n">
        <v>2</v>
      </c>
      <c r="AA3740" t="n">
        <v>1842.83</v>
      </c>
      <c r="AB3740">
        <f>ROUND(U3740-AA3740,2)</f>
        <v/>
      </c>
      <c r="AC3740" t="b">
        <v>0</v>
      </c>
      <c r="AD3740">
        <f>IF(U3740="","MISSING_TOTAL",IF(ABS(AB3740)&lt;=0.01,"OK","CHECK"))</f>
        <v/>
      </c>
      <c r="AE3740">
        <f>IF(U3740="","MISSING",IF(AND(AA3740&gt;0,U3740/AA3740&gt;50),"POSSIBLE_SCALE_ERROR","OK"))</f>
        <v/>
      </c>
    </row>
    <row r="3741">
      <c r="A3741" t="inlineStr">
        <is>
          <t>T-2013-Q1-00026</t>
        </is>
      </c>
      <c r="B3741" t="inlineStr">
        <is>
          <t>SLE</t>
        </is>
      </c>
      <c r="C3741" t="inlineStr">
        <is>
          <t>Vice-President, New Brunswick</t>
        </is>
      </c>
      <c r="D3741" t="inlineStr">
        <is>
          <t>Vice-présidente, Nouveau-Brunswick</t>
        </is>
      </c>
      <c r="E3741" t="inlineStr">
        <is>
          <t>Janet Gagnon</t>
        </is>
      </c>
      <c r="F3741" t="inlineStr">
        <is>
          <t>Meeting with New Brunswick Economic Council</t>
        </is>
      </c>
      <c r="G3741" t="inlineStr">
        <is>
          <t>Réunion avec le Conseil économique du Nouveau-Brunswick</t>
        </is>
      </c>
      <c r="H3741" s="1" t="n">
        <v>40988</v>
      </c>
      <c r="I3741" s="1" t="n">
        <v>40989</v>
      </c>
      <c r="J3741" t="inlineStr">
        <is>
          <t>Moncton, New Brunswick</t>
        </is>
      </c>
      <c r="K3741" t="inlineStr">
        <is>
          <t>Moncton (Nouveau-Brunswick)</t>
        </is>
      </c>
      <c r="P3741" t="n">
        <v>0</v>
      </c>
      <c r="Q3741" t="n">
        <v>0</v>
      </c>
      <c r="R3741" t="n">
        <v>162.72</v>
      </c>
      <c r="S3741" t="n">
        <v>89.5</v>
      </c>
      <c r="T3741" t="n">
        <v>44.14</v>
      </c>
      <c r="U3741" t="n">
        <v>296.36</v>
      </c>
      <c r="X3741" t="inlineStr">
        <is>
          <t>acoa-apeca</t>
        </is>
      </c>
      <c r="Y3741" t="inlineStr">
        <is>
          <t>Atlantic Canada Opportunities Agency | Agence de promotion économique du Canada atlantique</t>
        </is>
      </c>
      <c r="Z3741" t="n">
        <v>2</v>
      </c>
      <c r="AA3741" t="n">
        <v>296.36</v>
      </c>
      <c r="AB3741">
        <f>ROUND(U3741-AA3741,2)</f>
        <v/>
      </c>
      <c r="AC3741" t="b">
        <v>0</v>
      </c>
      <c r="AD3741">
        <f>IF(U3741="","MISSING_TOTAL",IF(ABS(AB3741)&lt;=0.01,"OK","CHECK"))</f>
        <v/>
      </c>
      <c r="AE3741">
        <f>IF(U3741="","MISSING",IF(AND(AA3741&gt;0,U3741/AA3741&gt;50),"POSSIBLE_SCALE_ERROR","OK"))</f>
        <v/>
      </c>
    </row>
    <row r="3742">
      <c r="A3742" t="inlineStr">
        <is>
          <t>T-2013-Q1-00025</t>
        </is>
      </c>
      <c r="B3742" t="inlineStr">
        <is>
          <t>SLE</t>
        </is>
      </c>
      <c r="C3742" t="inlineStr">
        <is>
          <t>Vice-President, Prince Edward Island</t>
        </is>
      </c>
      <c r="D3742" t="inlineStr">
        <is>
          <t>Vice-président, Île-du-Prince-Édouard</t>
        </is>
      </c>
      <c r="E3742" t="inlineStr">
        <is>
          <t>Patrick Dorsey</t>
        </is>
      </c>
      <c r="F3742" t="inlineStr">
        <is>
          <t>Meetings with Agency officials</t>
        </is>
      </c>
      <c r="G3742" t="inlineStr">
        <is>
          <t>Réunions avec des fonctionnaires de l'Agence</t>
        </is>
      </c>
      <c r="H3742" s="1" t="n">
        <v>40988</v>
      </c>
      <c r="I3742" s="1" t="n">
        <v>40988</v>
      </c>
      <c r="J3742" t="inlineStr">
        <is>
          <t>Moncton, New Brunswick</t>
        </is>
      </c>
      <c r="K3742" t="inlineStr">
        <is>
          <t>Moncton (Nouveau-Brunswick)</t>
        </is>
      </c>
      <c r="P3742" t="n">
        <v>0</v>
      </c>
      <c r="Q3742" t="n">
        <v>52.25</v>
      </c>
      <c r="R3742" t="n">
        <v>0</v>
      </c>
      <c r="S3742" t="n">
        <v>0</v>
      </c>
      <c r="T3742" t="n">
        <v>0</v>
      </c>
      <c r="U3742" t="n">
        <v>52.25</v>
      </c>
      <c r="X3742" t="inlineStr">
        <is>
          <t>acoa-apeca</t>
        </is>
      </c>
      <c r="Y3742" t="inlineStr">
        <is>
          <t>Atlantic Canada Opportunities Agency | Agence de promotion économique du Canada atlantique</t>
        </is>
      </c>
      <c r="Z3742" t="n">
        <v>1</v>
      </c>
      <c r="AA3742" t="n">
        <v>52.25</v>
      </c>
      <c r="AB3742">
        <f>ROUND(U3742-AA3742,2)</f>
        <v/>
      </c>
      <c r="AC3742" t="b">
        <v>0</v>
      </c>
      <c r="AD3742">
        <f>IF(U3742="","MISSING_TOTAL",IF(ABS(AB3742)&lt;=0.01,"OK","CHECK"))</f>
        <v/>
      </c>
      <c r="AE3742">
        <f>IF(U3742="","MISSING",IF(AND(AA3742&gt;0,U3742/AA3742&gt;50),"POSSIBLE_SCALE_ERROR","OK"))</f>
        <v/>
      </c>
    </row>
    <row r="3743">
      <c r="A3743" t="inlineStr">
        <is>
          <t>T-2013-Q1-00024</t>
        </is>
      </c>
      <c r="B3743" t="inlineStr">
        <is>
          <t>SLE</t>
        </is>
      </c>
      <c r="C3743" t="inlineStr">
        <is>
          <t>President</t>
        </is>
      </c>
      <c r="D3743" t="inlineStr">
        <is>
          <t>Président</t>
        </is>
      </c>
      <c r="E3743" t="inlineStr">
        <is>
          <t>Paul J. LeBlanc</t>
        </is>
      </c>
      <c r="F3743" t="inlineStr">
        <is>
          <t>Various meetings and discussions with Agency officials and Government of Canada officials</t>
        </is>
      </c>
      <c r="G3743" t="inlineStr">
        <is>
          <t>Diverses réunions et discussions avec des fonctionnaires de l'Agence et du gouvernement du Canada</t>
        </is>
      </c>
      <c r="H3743" s="1" t="n">
        <v>40988</v>
      </c>
      <c r="I3743" s="1" t="n">
        <v>40989</v>
      </c>
      <c r="J3743" t="inlineStr">
        <is>
          <t>Ottawa, Ontario</t>
        </is>
      </c>
      <c r="K3743" t="inlineStr">
        <is>
          <t>Ottawa (Ontario)</t>
        </is>
      </c>
      <c r="P3743" t="n">
        <v>741.36</v>
      </c>
      <c r="Q3743" t="n">
        <v>0</v>
      </c>
      <c r="R3743" t="n">
        <v>179.67</v>
      </c>
      <c r="S3743" t="n">
        <v>129.8</v>
      </c>
      <c r="T3743" t="n">
        <v>30</v>
      </c>
      <c r="U3743" t="n">
        <v>1080.83</v>
      </c>
      <c r="X3743" t="inlineStr">
        <is>
          <t>acoa-apeca</t>
        </is>
      </c>
      <c r="Y3743" t="inlineStr">
        <is>
          <t>Atlantic Canada Opportunities Agency | Agence de promotion économique du Canada atlantique</t>
        </is>
      </c>
      <c r="Z3743" t="n">
        <v>2</v>
      </c>
      <c r="AA3743" t="n">
        <v>1080.83</v>
      </c>
      <c r="AB3743">
        <f>ROUND(U3743-AA3743,2)</f>
        <v/>
      </c>
      <c r="AC3743" t="b">
        <v>0</v>
      </c>
      <c r="AD3743">
        <f>IF(U3743="","MISSING_TOTAL",IF(ABS(AB3743)&lt;=0.01,"OK","CHECK"))</f>
        <v/>
      </c>
      <c r="AE3743">
        <f>IF(U3743="","MISSING",IF(AND(AA3743&gt;0,U3743/AA3743&gt;50),"POSSIBLE_SCALE_ERROR","OK"))</f>
        <v/>
      </c>
    </row>
    <row r="3744">
      <c r="A3744" t="inlineStr">
        <is>
          <t>T-2013-Q1-00023</t>
        </is>
      </c>
      <c r="B3744" t="inlineStr">
        <is>
          <t>MPSES</t>
        </is>
      </c>
      <c r="C3744" t="inlineStr">
        <is>
          <t>Executive Assistant and Press Secretary</t>
        </is>
      </c>
      <c r="D3744" t="inlineStr">
        <is>
          <t>Adjointe exécutive et attaché de presse</t>
        </is>
      </c>
      <c r="E3744" t="inlineStr">
        <is>
          <t>Andrea Richer</t>
        </is>
      </c>
      <c r="F3744" t="inlineStr">
        <is>
          <t>Travel to attend various ACOA related meetings/events and to attend activities for la Francophonie</t>
        </is>
      </c>
      <c r="G3744" t="inlineStr">
        <is>
          <t>Voyage pour participer à diverses réunions et activités de l'APECA et à des activités liées au dossier de la Francophonie</t>
        </is>
      </c>
      <c r="H3744" s="1" t="n">
        <v>40987</v>
      </c>
      <c r="I3744" s="1" t="n">
        <v>40990</v>
      </c>
      <c r="J3744" t="inlineStr">
        <is>
          <t>Moncton, New Brunswick and Winnipeg, Manitoba</t>
        </is>
      </c>
      <c r="K3744" t="inlineStr">
        <is>
          <t>Moncton (Nouveau-Brunswick) et Winnipeg (Manitoba)</t>
        </is>
      </c>
      <c r="P3744" t="n">
        <v>1912.82</v>
      </c>
      <c r="Q3744" t="n">
        <v>106.56</v>
      </c>
      <c r="R3744" t="n">
        <v>445.14</v>
      </c>
      <c r="S3744" t="n">
        <v>355.1</v>
      </c>
      <c r="T3744" t="n">
        <v>0</v>
      </c>
      <c r="U3744" t="n">
        <v>2819.62</v>
      </c>
      <c r="X3744" t="inlineStr">
        <is>
          <t>acoa-apeca</t>
        </is>
      </c>
      <c r="Y3744" t="inlineStr">
        <is>
          <t>Atlantic Canada Opportunities Agency | Agence de promotion économique du Canada atlantique</t>
        </is>
      </c>
      <c r="Z3744" t="n">
        <v>4</v>
      </c>
      <c r="AA3744" t="n">
        <v>2819.62</v>
      </c>
      <c r="AB3744">
        <f>ROUND(U3744-AA3744,2)</f>
        <v/>
      </c>
      <c r="AC3744" t="b">
        <v>0</v>
      </c>
      <c r="AD3744">
        <f>IF(U3744="","MISSING_TOTAL",IF(ABS(AB3744)&lt;=0.01,"OK","CHECK"))</f>
        <v/>
      </c>
      <c r="AE3744">
        <f>IF(U3744="","MISSING",IF(AND(AA3744&gt;0,U3744/AA3744&gt;50),"POSSIBLE_SCALE_ERROR","OK"))</f>
        <v/>
      </c>
    </row>
    <row r="3745">
      <c r="A3745" t="inlineStr">
        <is>
          <t>T-2013-Q1-00022</t>
        </is>
      </c>
      <c r="B3745" t="inlineStr">
        <is>
          <t>MPSES</t>
        </is>
      </c>
      <c r="C3745" t="inlineStr">
        <is>
          <t>Minister of State</t>
        </is>
      </c>
      <c r="D3745" t="inlineStr">
        <is>
          <t>Ministre d'État</t>
        </is>
      </c>
      <c r="E3745" t="inlineStr">
        <is>
          <t>Bernard Valcourt</t>
        </is>
      </c>
      <c r="F3745" t="inlineStr">
        <is>
          <t>Meetings and annoucements for the International Francophonie Week</t>
        </is>
      </c>
      <c r="G3745" t="inlineStr">
        <is>
          <t>Rencontres et annonces dans le cadre de la Semaine internationale de la Francophonie</t>
        </is>
      </c>
      <c r="H3745" s="1" t="n">
        <v>40987</v>
      </c>
      <c r="I3745" s="1" t="n">
        <v>40990</v>
      </c>
      <c r="J3745" t="inlineStr">
        <is>
          <t>Moncton, New Brunswick and Winnipeg, Manitoba</t>
        </is>
      </c>
      <c r="K3745" t="inlineStr">
        <is>
          <t>Moncton (Nouveau-Brunswick) et Winnipeg (Manitoba)</t>
        </is>
      </c>
      <c r="P3745" t="n">
        <v>3417.07</v>
      </c>
      <c r="Q3745" t="n">
        <v>0</v>
      </c>
      <c r="R3745" t="n">
        <v>445.14</v>
      </c>
      <c r="S3745" t="n">
        <v>320.25</v>
      </c>
      <c r="T3745" t="n">
        <v>0</v>
      </c>
      <c r="U3745" t="n">
        <v>4182.46</v>
      </c>
      <c r="X3745" t="inlineStr">
        <is>
          <t>acoa-apeca</t>
        </is>
      </c>
      <c r="Y3745" t="inlineStr">
        <is>
          <t>Atlantic Canada Opportunities Agency | Agence de promotion économique du Canada atlantique</t>
        </is>
      </c>
      <c r="Z3745" t="n">
        <v>4</v>
      </c>
      <c r="AA3745" t="n">
        <v>4182.46</v>
      </c>
      <c r="AB3745">
        <f>ROUND(U3745-AA3745,2)</f>
        <v/>
      </c>
      <c r="AC3745" t="b">
        <v>0</v>
      </c>
      <c r="AD3745">
        <f>IF(U3745="","MISSING_TOTAL",IF(ABS(AB3745)&lt;=0.01,"OK","CHECK"))</f>
        <v/>
      </c>
      <c r="AE3745">
        <f>IF(U3745="","MISSING",IF(AND(AA3745&gt;0,U3745/AA3745&gt;50),"POSSIBLE_SCALE_ERROR","OK"))</f>
        <v/>
      </c>
    </row>
    <row r="3746">
      <c r="A3746" t="inlineStr">
        <is>
          <t>T-2013-Q1-00020</t>
        </is>
      </c>
      <c r="B3746" t="inlineStr">
        <is>
          <t>SLE</t>
        </is>
      </c>
      <c r="C3746" t="inlineStr">
        <is>
          <t>Vice-President, New Brunswick</t>
        </is>
      </c>
      <c r="D3746" t="inlineStr">
        <is>
          <t>Vice-présidente, Nouveau-Brunswick</t>
        </is>
      </c>
      <c r="E3746" t="inlineStr">
        <is>
          <t>Janet Gagnon</t>
        </is>
      </c>
      <c r="F3746" t="inlineStr">
        <is>
          <t>Executive Committee meeting at Head Office</t>
        </is>
      </c>
      <c r="G3746" t="inlineStr">
        <is>
          <t>Réunion du Comité de direction au siège social</t>
        </is>
      </c>
      <c r="H3746" s="1" t="n">
        <v>40983</v>
      </c>
      <c r="I3746" s="1" t="n">
        <v>40983</v>
      </c>
      <c r="J3746" t="inlineStr">
        <is>
          <t>Moncton, New Brunswick</t>
        </is>
      </c>
      <c r="K3746" t="inlineStr">
        <is>
          <t>Moncton (Nouveau-Brunswick)</t>
        </is>
      </c>
      <c r="P3746" t="n">
        <v>0</v>
      </c>
      <c r="Q3746" t="n">
        <v>0</v>
      </c>
      <c r="R3746" t="n">
        <v>0</v>
      </c>
      <c r="S3746" t="n">
        <v>40.3</v>
      </c>
      <c r="T3746" t="n">
        <v>13</v>
      </c>
      <c r="U3746" t="n">
        <v>53.3</v>
      </c>
      <c r="X3746" t="inlineStr">
        <is>
          <t>acoa-apeca</t>
        </is>
      </c>
      <c r="Y3746" t="inlineStr">
        <is>
          <t>Atlantic Canada Opportunities Agency | Agence de promotion économique du Canada atlantique</t>
        </is>
      </c>
      <c r="Z3746" t="n">
        <v>1</v>
      </c>
      <c r="AA3746" t="n">
        <v>53.3</v>
      </c>
      <c r="AB3746">
        <f>ROUND(U3746-AA3746,2)</f>
        <v/>
      </c>
      <c r="AC3746" t="b">
        <v>0</v>
      </c>
      <c r="AD3746">
        <f>IF(U3746="","MISSING_TOTAL",IF(ABS(AB3746)&lt;=0.01,"OK","CHECK"))</f>
        <v/>
      </c>
      <c r="AE3746">
        <f>IF(U3746="","MISSING",IF(AND(AA3746&gt;0,U3746/AA3746&gt;50),"POSSIBLE_SCALE_ERROR","OK"))</f>
        <v/>
      </c>
    </row>
    <row r="3747">
      <c r="A3747" t="inlineStr">
        <is>
          <t>T-2013-Q1-00019</t>
        </is>
      </c>
      <c r="B3747" t="inlineStr">
        <is>
          <t>SLE</t>
        </is>
      </c>
      <c r="C3747" t="inlineStr">
        <is>
          <t>Vice President, Nova Scotia</t>
        </is>
      </c>
      <c r="D3747" t="inlineStr">
        <is>
          <t>Vice-président, Nouvelle-Écosse</t>
        </is>
      </c>
      <c r="E3747" t="inlineStr">
        <is>
          <t>Peter Hogan</t>
        </is>
      </c>
      <c r="F3747" t="inlineStr">
        <is>
          <t>Meeting with senior Agency officials</t>
        </is>
      </c>
      <c r="G3747" t="inlineStr">
        <is>
          <t>Réunion avec des hauts fonctionnaires de l'Agence</t>
        </is>
      </c>
      <c r="H3747" s="1" t="n">
        <v>40982</v>
      </c>
      <c r="I3747" s="1" t="n">
        <v>40983</v>
      </c>
      <c r="J3747" t="inlineStr">
        <is>
          <t>Moncton, New Brunswick</t>
        </is>
      </c>
      <c r="K3747" t="inlineStr">
        <is>
          <t>Moncton (Nouveau-Brunswick)</t>
        </is>
      </c>
      <c r="P3747" t="n">
        <v>0</v>
      </c>
      <c r="Q3747" t="n">
        <v>45</v>
      </c>
      <c r="R3747" t="n">
        <v>145.77</v>
      </c>
      <c r="S3747" t="n">
        <v>130.55</v>
      </c>
      <c r="T3747" t="n">
        <v>0</v>
      </c>
      <c r="U3747" t="n">
        <v>321.32</v>
      </c>
      <c r="X3747" t="inlineStr">
        <is>
          <t>acoa-apeca</t>
        </is>
      </c>
      <c r="Y3747" t="inlineStr">
        <is>
          <t>Atlantic Canada Opportunities Agency | Agence de promotion économique du Canada atlantique</t>
        </is>
      </c>
      <c r="Z3747" t="n">
        <v>2</v>
      </c>
      <c r="AA3747" t="n">
        <v>321.32</v>
      </c>
      <c r="AB3747">
        <f>ROUND(U3747-AA3747,2)</f>
        <v/>
      </c>
      <c r="AC3747" t="b">
        <v>0</v>
      </c>
      <c r="AD3747">
        <f>IF(U3747="","MISSING_TOTAL",IF(ABS(AB3747)&lt;=0.01,"OK","CHECK"))</f>
        <v/>
      </c>
      <c r="AE3747">
        <f>IF(U3747="","MISSING",IF(AND(AA3747&gt;0,U3747/AA3747&gt;50),"POSSIBLE_SCALE_ERROR","OK"))</f>
        <v/>
      </c>
    </row>
    <row r="3748">
      <c r="A3748" t="inlineStr">
        <is>
          <t>T-2013-Q1-00018</t>
        </is>
      </c>
      <c r="B3748" t="inlineStr">
        <is>
          <t>SLE</t>
        </is>
      </c>
      <c r="C3748" t="inlineStr">
        <is>
          <t>Vice-President, Prince Edward Island</t>
        </is>
      </c>
      <c r="D3748" t="inlineStr">
        <is>
          <t>Vice-président, Île-du-Prince-Édouard</t>
        </is>
      </c>
      <c r="E3748" t="inlineStr">
        <is>
          <t>Patrick Dorsey</t>
        </is>
      </c>
      <c r="F3748" t="inlineStr">
        <is>
          <t>Executive Committee meeting</t>
        </is>
      </c>
      <c r="G3748" t="inlineStr">
        <is>
          <t>Réunion du Comité de direction</t>
        </is>
      </c>
      <c r="H3748" s="1" t="n">
        <v>40982</v>
      </c>
      <c r="I3748" s="1" t="n">
        <v>40983</v>
      </c>
      <c r="J3748" t="inlineStr">
        <is>
          <t>Moncton, New Brunswick</t>
        </is>
      </c>
      <c r="K3748" t="inlineStr">
        <is>
          <t>Moncton (Nouveau-Brunswick)</t>
        </is>
      </c>
      <c r="P3748" t="n">
        <v>0</v>
      </c>
      <c r="Q3748" t="n">
        <v>44.25</v>
      </c>
      <c r="R3748" t="n">
        <v>159.05</v>
      </c>
      <c r="S3748" t="n">
        <v>90.25</v>
      </c>
      <c r="T3748" t="n">
        <v>0</v>
      </c>
      <c r="U3748" t="n">
        <v>293.55</v>
      </c>
      <c r="X3748" t="inlineStr">
        <is>
          <t>acoa-apeca</t>
        </is>
      </c>
      <c r="Y3748" t="inlineStr">
        <is>
          <t>Atlantic Canada Opportunities Agency | Agence de promotion économique du Canada atlantique</t>
        </is>
      </c>
      <c r="Z3748" t="n">
        <v>2</v>
      </c>
      <c r="AA3748" t="n">
        <v>293.55</v>
      </c>
      <c r="AB3748">
        <f>ROUND(U3748-AA3748,2)</f>
        <v/>
      </c>
      <c r="AC3748" t="b">
        <v>0</v>
      </c>
      <c r="AD3748">
        <f>IF(U3748="","MISSING_TOTAL",IF(ABS(AB3748)&lt;=0.01,"OK","CHECK"))</f>
        <v/>
      </c>
      <c r="AE3748">
        <f>IF(U3748="","MISSING",IF(AND(AA3748&gt;0,U3748/AA3748&gt;50),"POSSIBLE_SCALE_ERROR","OK"))</f>
        <v/>
      </c>
    </row>
    <row r="3749">
      <c r="A3749" t="inlineStr">
        <is>
          <t>T-2012-Q4-00062</t>
        </is>
      </c>
      <c r="B3749" t="inlineStr">
        <is>
          <t>SLE</t>
        </is>
      </c>
      <c r="C3749" t="inlineStr">
        <is>
          <t>Vice-President, New Brunswick</t>
        </is>
      </c>
      <c r="D3749" t="inlineStr">
        <is>
          <t>Vice-présidente, Nouveau-Brunswick</t>
        </is>
      </c>
      <c r="E3749" t="inlineStr">
        <is>
          <t>Janet Gagnon</t>
        </is>
      </c>
      <c r="F3749" t="inlineStr">
        <is>
          <t>Shipbuilding meeting</t>
        </is>
      </c>
      <c r="G3749" t="inlineStr">
        <is>
          <t>Réunion sur la construction navale</t>
        </is>
      </c>
      <c r="H3749" s="1" t="n">
        <v>40948</v>
      </c>
      <c r="I3749" s="1" t="n">
        <v>40949</v>
      </c>
      <c r="J3749" t="inlineStr">
        <is>
          <t>Halifax, Nova Scotia</t>
        </is>
      </c>
      <c r="K3749" t="inlineStr">
        <is>
          <t>Halifax (Nouvelle-Écosse)</t>
        </is>
      </c>
      <c r="P3749" t="n">
        <v>0</v>
      </c>
      <c r="Q3749" t="n">
        <v>77.29000000000001</v>
      </c>
      <c r="R3749" t="n">
        <v>50</v>
      </c>
      <c r="S3749" t="n">
        <v>142.45</v>
      </c>
      <c r="T3749" t="n">
        <v>39.25</v>
      </c>
      <c r="U3749" t="n">
        <v>308.99</v>
      </c>
      <c r="X3749" t="inlineStr">
        <is>
          <t>acoa-apeca</t>
        </is>
      </c>
      <c r="Y3749" t="inlineStr">
        <is>
          <t>Atlantic Canada Opportunities Agency | Agence de promotion économique du Canada atlantique</t>
        </is>
      </c>
      <c r="Z3749" t="n">
        <v>2</v>
      </c>
      <c r="AA3749" t="n">
        <v>308.99</v>
      </c>
      <c r="AB3749">
        <f>ROUND(U3749-AA3749,2)</f>
        <v/>
      </c>
      <c r="AC3749" t="b">
        <v>0</v>
      </c>
      <c r="AD3749">
        <f>IF(U3749="","MISSING_TOTAL",IF(ABS(AB3749)&lt;=0.01,"OK","CHECK"))</f>
        <v/>
      </c>
      <c r="AE3749">
        <f>IF(U3749="","MISSING",IF(AND(AA3749&gt;0,U3749/AA3749&gt;50),"POSSIBLE_SCALE_ERROR","OK"))</f>
        <v/>
      </c>
    </row>
    <row r="3750">
      <c r="A3750" t="inlineStr">
        <is>
          <t>T-2013-Q1-00016</t>
        </is>
      </c>
      <c r="B3750" t="inlineStr">
        <is>
          <t>SLE</t>
        </is>
      </c>
      <c r="C3750" t="inlineStr">
        <is>
          <t>Vice-President, Newfoundland and Labrador</t>
        </is>
      </c>
      <c r="D3750" t="inlineStr">
        <is>
          <t>Vice-président, Terre-Neuve-et-Labrador</t>
        </is>
      </c>
      <c r="E3750" t="inlineStr">
        <is>
          <t>Paul Mills</t>
        </is>
      </c>
      <c r="F3750" t="inlineStr">
        <is>
          <t>Meeting of President and vice-presidents</t>
        </is>
      </c>
      <c r="G3750" t="inlineStr">
        <is>
          <t>Réunion du président et des vice-présidents</t>
        </is>
      </c>
      <c r="H3750" s="1" t="n">
        <v>40982</v>
      </c>
      <c r="I3750" s="1" t="n">
        <v>40984</v>
      </c>
      <c r="J3750" t="inlineStr">
        <is>
          <t>Moncton, New Brunswick</t>
        </is>
      </c>
      <c r="K3750" t="inlineStr">
        <is>
          <t>Moncton (Nouveau-Brunswick)</t>
        </is>
      </c>
      <c r="P3750" t="n">
        <v>1368.14</v>
      </c>
      <c r="Q3750" t="n">
        <v>212.61</v>
      </c>
      <c r="R3750" t="n">
        <v>285.36</v>
      </c>
      <c r="S3750" t="n">
        <v>202.75</v>
      </c>
      <c r="T3750" t="n">
        <v>109.44</v>
      </c>
      <c r="U3750" t="n">
        <v>2178.3</v>
      </c>
      <c r="X3750" t="inlineStr">
        <is>
          <t>acoa-apeca</t>
        </is>
      </c>
      <c r="Y3750" t="inlineStr">
        <is>
          <t>Atlantic Canada Opportunities Agency | Agence de promotion économique du Canada atlantique</t>
        </is>
      </c>
      <c r="Z3750" t="n">
        <v>3</v>
      </c>
      <c r="AA3750" t="n">
        <v>2178.3</v>
      </c>
      <c r="AB3750">
        <f>ROUND(U3750-AA3750,2)</f>
        <v/>
      </c>
      <c r="AC3750" t="b">
        <v>0</v>
      </c>
      <c r="AD3750">
        <f>IF(U3750="","MISSING_TOTAL",IF(ABS(AB3750)&lt;=0.01,"OK","CHECK"))</f>
        <v/>
      </c>
      <c r="AE3750">
        <f>IF(U3750="","MISSING",IF(AND(AA3750&gt;0,U3750/AA3750&gt;50),"POSSIBLE_SCALE_ERROR","OK"))</f>
        <v/>
      </c>
    </row>
    <row r="3751">
      <c r="A3751" t="inlineStr">
        <is>
          <t>T-2013-Q1-00015</t>
        </is>
      </c>
      <c r="B3751" t="inlineStr">
        <is>
          <t>SLE</t>
        </is>
      </c>
      <c r="C3751" t="inlineStr">
        <is>
          <t>Vice-President, Finance and Corporate Services</t>
        </is>
      </c>
      <c r="D3751" t="inlineStr">
        <is>
          <t>Vice-présidente, Finances et Services corporatifs</t>
        </is>
      </c>
      <c r="E3751" t="inlineStr">
        <is>
          <t>Denise Frenette</t>
        </is>
      </c>
      <c r="F3751" t="inlineStr">
        <is>
          <t>Meetings with Government of Canada officials and Agency officials</t>
        </is>
      </c>
      <c r="G3751" t="inlineStr">
        <is>
          <t>Réunions avec des fonctionnaires du gouvernement du Canada et de l'Agence</t>
        </is>
      </c>
      <c r="H3751" s="1" t="n">
        <v>40980</v>
      </c>
      <c r="I3751" s="1" t="n">
        <v>40981</v>
      </c>
      <c r="J3751" t="inlineStr">
        <is>
          <t>Ottawa, Ontario</t>
        </is>
      </c>
      <c r="K3751" t="inlineStr">
        <is>
          <t>Ottawa (Ontario)</t>
        </is>
      </c>
      <c r="P3751" t="n">
        <v>1075.76</v>
      </c>
      <c r="Q3751" t="n">
        <v>95.97</v>
      </c>
      <c r="R3751" t="n">
        <v>177.41</v>
      </c>
      <c r="S3751" t="n">
        <v>119.45</v>
      </c>
      <c r="T3751" t="n">
        <v>0</v>
      </c>
      <c r="U3751" t="n">
        <v>1468.59</v>
      </c>
      <c r="X3751" t="inlineStr">
        <is>
          <t>acoa-apeca</t>
        </is>
      </c>
      <c r="Y3751" t="inlineStr">
        <is>
          <t>Atlantic Canada Opportunities Agency | Agence de promotion économique du Canada atlantique</t>
        </is>
      </c>
      <c r="Z3751" t="n">
        <v>2</v>
      </c>
      <c r="AA3751" t="n">
        <v>1468.59</v>
      </c>
      <c r="AB3751">
        <f>ROUND(U3751-AA3751,2)</f>
        <v/>
      </c>
      <c r="AC3751" t="b">
        <v>0</v>
      </c>
      <c r="AD3751">
        <f>IF(U3751="","MISSING_TOTAL",IF(ABS(AB3751)&lt;=0.01,"OK","CHECK"))</f>
        <v/>
      </c>
      <c r="AE3751">
        <f>IF(U3751="","MISSING",IF(AND(AA3751&gt;0,U3751/AA3751&gt;50),"POSSIBLE_SCALE_ERROR","OK"))</f>
        <v/>
      </c>
    </row>
    <row r="3752">
      <c r="A3752" t="inlineStr">
        <is>
          <t>T-2013-Q1-00014</t>
        </is>
      </c>
      <c r="B3752" t="inlineStr">
        <is>
          <t>SLE</t>
        </is>
      </c>
      <c r="C3752" t="inlineStr">
        <is>
          <t>President</t>
        </is>
      </c>
      <c r="D3752" t="inlineStr">
        <is>
          <t>Président</t>
        </is>
      </c>
      <c r="E3752" t="inlineStr">
        <is>
          <t>Paul J. LeBlanc</t>
        </is>
      </c>
      <c r="F3752" t="inlineStr">
        <is>
          <t>Various meetings and discussions with Agency officials and Government of Canada officials</t>
        </is>
      </c>
      <c r="G3752" t="inlineStr">
        <is>
          <t>Diverses réunions et discussions avec des fonctionnaires de l'Agence et du gouvernement du Canada</t>
        </is>
      </c>
      <c r="H3752" s="1" t="n">
        <v>40980</v>
      </c>
      <c r="I3752" s="1" t="n">
        <v>40982</v>
      </c>
      <c r="J3752" t="inlineStr">
        <is>
          <t>Ottawa, Ontario</t>
        </is>
      </c>
      <c r="K3752" t="inlineStr">
        <is>
          <t>Ottawa (Ontario)</t>
        </is>
      </c>
      <c r="P3752" t="n">
        <v>1269.22</v>
      </c>
      <c r="Q3752" t="n">
        <v>33</v>
      </c>
      <c r="R3752" t="n">
        <v>359.34</v>
      </c>
      <c r="S3752" t="n">
        <v>217.35</v>
      </c>
      <c r="T3752" t="n">
        <v>45</v>
      </c>
      <c r="U3752" t="n">
        <v>1923.91</v>
      </c>
      <c r="X3752" t="inlineStr">
        <is>
          <t>acoa-apeca</t>
        </is>
      </c>
      <c r="Y3752" t="inlineStr">
        <is>
          <t>Atlantic Canada Opportunities Agency | Agence de promotion économique du Canada atlantique</t>
        </is>
      </c>
      <c r="Z3752" t="n">
        <v>3</v>
      </c>
      <c r="AA3752" t="n">
        <v>1923.90999999999</v>
      </c>
      <c r="AB3752">
        <f>ROUND(U3752-AA3752,2)</f>
        <v/>
      </c>
      <c r="AC3752" t="b">
        <v>0</v>
      </c>
      <c r="AD3752">
        <f>IF(U3752="","MISSING_TOTAL",IF(ABS(AB3752)&lt;=0.01,"OK","CHECK"))</f>
        <v/>
      </c>
      <c r="AE3752">
        <f>IF(U3752="","MISSING",IF(AND(AA3752&gt;0,U3752/AA3752&gt;50),"POSSIBLE_SCALE_ERROR","OK"))</f>
        <v/>
      </c>
    </row>
    <row r="3753">
      <c r="A3753" t="inlineStr">
        <is>
          <t>T-2013-Q1-00013</t>
        </is>
      </c>
      <c r="B3753" t="inlineStr">
        <is>
          <t>SLE</t>
        </is>
      </c>
      <c r="C3753" t="inlineStr">
        <is>
          <t>Vice President, Nova Scotia</t>
        </is>
      </c>
      <c r="D3753" t="inlineStr">
        <is>
          <t>Vice-président, Nouvelle-Écosse</t>
        </is>
      </c>
      <c r="E3753" t="inlineStr">
        <is>
          <t>Peter Hogan</t>
        </is>
      </c>
      <c r="F3753" t="inlineStr">
        <is>
          <t>Atlantic Shipbuilding Action Plan information session</t>
        </is>
      </c>
      <c r="G3753" t="inlineStr">
        <is>
          <t>Séance d'information sur le Plan d'action pour la construction navale en Atlantique</t>
        </is>
      </c>
      <c r="H3753" s="1" t="n">
        <v>40979</v>
      </c>
      <c r="I3753" s="1" t="n">
        <v>40980</v>
      </c>
      <c r="J3753" t="inlineStr">
        <is>
          <t>Shelburne, Nova Scotia</t>
        </is>
      </c>
      <c r="K3753" t="inlineStr">
        <is>
          <t>Shelburne (Nouvelle-Écosse)</t>
        </is>
      </c>
      <c r="P3753" t="n">
        <v>0</v>
      </c>
      <c r="Q3753" t="n">
        <v>0</v>
      </c>
      <c r="R3753" t="n">
        <v>113.85</v>
      </c>
      <c r="S3753" t="n">
        <v>89.5</v>
      </c>
      <c r="T3753" t="n">
        <v>0</v>
      </c>
      <c r="U3753" t="n">
        <v>203.35</v>
      </c>
      <c r="X3753" t="inlineStr">
        <is>
          <t>acoa-apeca</t>
        </is>
      </c>
      <c r="Y3753" t="inlineStr">
        <is>
          <t>Atlantic Canada Opportunities Agency | Agence de promotion économique du Canada atlantique</t>
        </is>
      </c>
      <c r="Z3753" t="n">
        <v>2</v>
      </c>
      <c r="AA3753" t="n">
        <v>203.35</v>
      </c>
      <c r="AB3753">
        <f>ROUND(U3753-AA3753,2)</f>
        <v/>
      </c>
      <c r="AC3753" t="b">
        <v>0</v>
      </c>
      <c r="AD3753">
        <f>IF(U3753="","MISSING_TOTAL",IF(ABS(AB3753)&lt;=0.01,"OK","CHECK"))</f>
        <v/>
      </c>
      <c r="AE3753">
        <f>IF(U3753="","MISSING",IF(AND(AA3753&gt;0,U3753/AA3753&gt;50),"POSSIBLE_SCALE_ERROR","OK"))</f>
        <v/>
      </c>
    </row>
    <row r="3754">
      <c r="A3754" t="inlineStr">
        <is>
          <t>T-2013-Q1-00012</t>
        </is>
      </c>
      <c r="B3754" t="inlineStr">
        <is>
          <t>MPSES</t>
        </is>
      </c>
      <c r="C3754" t="inlineStr">
        <is>
          <t>Member of Parliament</t>
        </is>
      </c>
      <c r="D3754" t="inlineStr">
        <is>
          <t>Député</t>
        </is>
      </c>
      <c r="E3754" t="inlineStr">
        <is>
          <t>Greg Kerr</t>
        </is>
      </c>
      <c r="F3754" t="inlineStr">
        <is>
          <t>Travel on behalf of MoS to attend ACOA event</t>
        </is>
      </c>
      <c r="G3754" t="inlineStr">
        <is>
          <t>Voyage pour représenter le ministre d'État à une activité de l'APECA</t>
        </is>
      </c>
      <c r="H3754" s="1" t="n">
        <v>40977</v>
      </c>
      <c r="I3754" s="1" t="n">
        <v>40978</v>
      </c>
      <c r="J3754" t="inlineStr">
        <is>
          <t>Sydney, Nova Scotia</t>
        </is>
      </c>
      <c r="K3754" t="inlineStr">
        <is>
          <t>Sydney (Nouvelle-Écosse)</t>
        </is>
      </c>
      <c r="P3754" t="n">
        <v>0</v>
      </c>
      <c r="Q3754" t="n">
        <v>609.54</v>
      </c>
      <c r="R3754" t="n">
        <v>116.13</v>
      </c>
      <c r="S3754" t="n">
        <v>134.8</v>
      </c>
      <c r="T3754" t="n">
        <v>0</v>
      </c>
      <c r="U3754" t="n">
        <v>860.47</v>
      </c>
      <c r="X3754" t="inlineStr">
        <is>
          <t>acoa-apeca</t>
        </is>
      </c>
      <c r="Y3754" t="inlineStr">
        <is>
          <t>Atlantic Canada Opportunities Agency | Agence de promotion économique du Canada atlantique</t>
        </is>
      </c>
      <c r="Z3754" t="n">
        <v>2</v>
      </c>
      <c r="AA3754" t="n">
        <v>860.47</v>
      </c>
      <c r="AB3754">
        <f>ROUND(U3754-AA3754,2)</f>
        <v/>
      </c>
      <c r="AC3754" t="b">
        <v>0</v>
      </c>
      <c r="AD3754">
        <f>IF(U3754="","MISSING_TOTAL",IF(ABS(AB3754)&lt;=0.01,"OK","CHECK"))</f>
        <v/>
      </c>
      <c r="AE3754">
        <f>IF(U3754="","MISSING",IF(AND(AA3754&gt;0,U3754/AA3754&gt;50),"POSSIBLE_SCALE_ERROR","OK"))</f>
        <v/>
      </c>
    </row>
    <row r="3755">
      <c r="A3755" t="inlineStr">
        <is>
          <t>T-2013-Q1-00009</t>
        </is>
      </c>
      <c r="B3755" t="inlineStr">
        <is>
          <t>MPSES</t>
        </is>
      </c>
      <c r="C3755" t="inlineStr">
        <is>
          <t>Executive Assistant and Press Secretary</t>
        </is>
      </c>
      <c r="D3755" t="inlineStr">
        <is>
          <t>Adjointe exécutive et attaché de presse</t>
        </is>
      </c>
      <c r="E3755" t="inlineStr">
        <is>
          <t>Andrea Richer</t>
        </is>
      </c>
      <c r="F3755" t="inlineStr">
        <is>
          <t>Travel to accompany MoS at Boston International Seafood Show and to attend ACOA related meetings</t>
        </is>
      </c>
      <c r="G3755" t="inlineStr">
        <is>
          <t>Voyage pour accompagner le ministre d'État au Salon international des produits de la mer de Boston et à des réunions de l'APECA</t>
        </is>
      </c>
      <c r="H3755" s="1" t="n">
        <v>40977</v>
      </c>
      <c r="I3755" s="1" t="n">
        <v>40980</v>
      </c>
      <c r="J3755" t="inlineStr">
        <is>
          <t>Boston, Massachussetts</t>
        </is>
      </c>
      <c r="K3755" t="inlineStr">
        <is>
          <t>Boston (Massachussetts)</t>
        </is>
      </c>
      <c r="P3755" t="n">
        <v>1761.22</v>
      </c>
      <c r="Q3755" t="n">
        <v>0</v>
      </c>
      <c r="R3755" t="n">
        <v>780.12</v>
      </c>
      <c r="S3755" t="n">
        <v>191.68</v>
      </c>
      <c r="T3755" t="n">
        <v>0</v>
      </c>
      <c r="U3755" t="n">
        <v>2733.02</v>
      </c>
      <c r="X3755" t="inlineStr">
        <is>
          <t>acoa-apeca</t>
        </is>
      </c>
      <c r="Y3755" t="inlineStr">
        <is>
          <t>Atlantic Canada Opportunities Agency | Agence de promotion économique du Canada atlantique</t>
        </is>
      </c>
      <c r="Z3755" t="n">
        <v>4</v>
      </c>
      <c r="AA3755" t="n">
        <v>2733.02</v>
      </c>
      <c r="AB3755">
        <f>ROUND(U3755-AA3755,2)</f>
        <v/>
      </c>
      <c r="AC3755" t="b">
        <v>0</v>
      </c>
      <c r="AD3755">
        <f>IF(U3755="","MISSING_TOTAL",IF(ABS(AB3755)&lt;=0.01,"OK","CHECK"))</f>
        <v/>
      </c>
      <c r="AE3755">
        <f>IF(U3755="","MISSING",IF(AND(AA3755&gt;0,U3755/AA3755&gt;50),"POSSIBLE_SCALE_ERROR","OK"))</f>
        <v/>
      </c>
    </row>
    <row r="3756">
      <c r="A3756" t="inlineStr">
        <is>
          <t>T-2013-Q1-00008</t>
        </is>
      </c>
      <c r="B3756" t="inlineStr">
        <is>
          <t>MPSES</t>
        </is>
      </c>
      <c r="C3756" t="inlineStr">
        <is>
          <t>Minister of State</t>
        </is>
      </c>
      <c r="D3756" t="inlineStr">
        <is>
          <t>Ministre d'État</t>
        </is>
      </c>
      <c r="E3756" t="inlineStr">
        <is>
          <t>Bernard Valcourt</t>
        </is>
      </c>
      <c r="F3756" t="inlineStr">
        <is>
          <t>To attend the International Boston Seafood Show</t>
        </is>
      </c>
      <c r="G3756" t="inlineStr">
        <is>
          <t>Pour participer au Salon international des produits de la mer de Boston</t>
        </is>
      </c>
      <c r="H3756" s="1" t="n">
        <v>40977</v>
      </c>
      <c r="I3756" s="1" t="n">
        <v>40980</v>
      </c>
      <c r="J3756" t="inlineStr">
        <is>
          <t>Boston, Massachussetts</t>
        </is>
      </c>
      <c r="K3756" t="inlineStr">
        <is>
          <t>Boston (Massachussets)</t>
        </is>
      </c>
      <c r="P3756" t="n">
        <v>1761.22</v>
      </c>
      <c r="Q3756" t="n">
        <v>0</v>
      </c>
      <c r="R3756" t="n">
        <v>780.12</v>
      </c>
      <c r="S3756" t="n">
        <v>191.68</v>
      </c>
      <c r="T3756" t="n">
        <v>27.34</v>
      </c>
      <c r="U3756" t="n">
        <v>2760.36</v>
      </c>
      <c r="X3756" t="inlineStr">
        <is>
          <t>acoa-apeca</t>
        </is>
      </c>
      <c r="Y3756" t="inlineStr">
        <is>
          <t>Atlantic Canada Opportunities Agency | Agence de promotion économique du Canada atlantique</t>
        </is>
      </c>
      <c r="Z3756" t="n">
        <v>4</v>
      </c>
      <c r="AA3756" t="n">
        <v>2760.36</v>
      </c>
      <c r="AB3756">
        <f>ROUND(U3756-AA3756,2)</f>
        <v/>
      </c>
      <c r="AC3756" t="b">
        <v>0</v>
      </c>
      <c r="AD3756">
        <f>IF(U3756="","MISSING_TOTAL",IF(ABS(AB3756)&lt;=0.01,"OK","CHECK"))</f>
        <v/>
      </c>
      <c r="AE3756">
        <f>IF(U3756="","MISSING",IF(AND(AA3756&gt;0,U3756/AA3756&gt;50),"POSSIBLE_SCALE_ERROR","OK"))</f>
        <v/>
      </c>
    </row>
    <row r="3757">
      <c r="A3757" t="inlineStr">
        <is>
          <t>T-2013-Q1-00007</t>
        </is>
      </c>
      <c r="B3757" t="inlineStr">
        <is>
          <t>SLE</t>
        </is>
      </c>
      <c r="C3757" t="inlineStr">
        <is>
          <t>Vice-President, New Brunswick</t>
        </is>
      </c>
      <c r="D3757" t="inlineStr">
        <is>
          <t>Vice-présidente, Nouveau-Brunswick</t>
        </is>
      </c>
      <c r="E3757" t="inlineStr">
        <is>
          <t>Janet Gagnon</t>
        </is>
      </c>
      <c r="F3757" t="inlineStr">
        <is>
          <t>National Managers Community meeting and Assistant Deputy Ministers' Board meeting</t>
        </is>
      </c>
      <c r="G3757" t="inlineStr">
        <is>
          <t>Réunion de la Communauté nationale des gestionnaires et réunion du conseil des sous-ministres adjoints</t>
        </is>
      </c>
      <c r="H3757" s="1" t="n">
        <v>40975</v>
      </c>
      <c r="I3757" s="1" t="n">
        <v>40976</v>
      </c>
      <c r="J3757" t="inlineStr">
        <is>
          <t>Ottawa, Ontario</t>
        </is>
      </c>
      <c r="K3757" t="inlineStr">
        <is>
          <t>Ottawa (Ontario)</t>
        </is>
      </c>
      <c r="P3757" t="n">
        <v>230</v>
      </c>
      <c r="Q3757" t="n">
        <v>20</v>
      </c>
      <c r="R3757" t="n">
        <v>177.41</v>
      </c>
      <c r="S3757" t="n">
        <v>159.75</v>
      </c>
      <c r="T3757" t="n">
        <v>86.53</v>
      </c>
      <c r="U3757" t="n">
        <v>673.6900000000001</v>
      </c>
      <c r="X3757" t="inlineStr">
        <is>
          <t>acoa-apeca</t>
        </is>
      </c>
      <c r="Y3757" t="inlineStr">
        <is>
          <t>Atlantic Canada Opportunities Agency | Agence de promotion économique du Canada atlantique</t>
        </is>
      </c>
      <c r="Z3757" t="n">
        <v>2</v>
      </c>
      <c r="AA3757" t="n">
        <v>673.689999999999</v>
      </c>
      <c r="AB3757">
        <f>ROUND(U3757-AA3757,2)</f>
        <v/>
      </c>
      <c r="AC3757" t="b">
        <v>0</v>
      </c>
      <c r="AD3757">
        <f>IF(U3757="","MISSING_TOTAL",IF(ABS(AB3757)&lt;=0.01,"OK","CHECK"))</f>
        <v/>
      </c>
      <c r="AE3757">
        <f>IF(U3757="","MISSING",IF(AND(AA3757&gt;0,U3757/AA3757&gt;50),"POSSIBLE_SCALE_ERROR","OK"))</f>
        <v/>
      </c>
    </row>
    <row r="3758">
      <c r="A3758" t="inlineStr">
        <is>
          <t>T-2013-Q1-00005</t>
        </is>
      </c>
      <c r="B3758" t="inlineStr">
        <is>
          <t>SLE</t>
        </is>
      </c>
      <c r="C3758" t="inlineStr">
        <is>
          <t>Vice-President, New Brunswick</t>
        </is>
      </c>
      <c r="D3758" t="inlineStr">
        <is>
          <t>Vice-présidente, Nouveau-Brunswick</t>
        </is>
      </c>
      <c r="E3758" t="inlineStr">
        <is>
          <t>Janet Gagnon</t>
        </is>
      </c>
      <c r="F3758" t="inlineStr">
        <is>
          <t>Northern NB Strategy meeting</t>
        </is>
      </c>
      <c r="G3758" t="inlineStr">
        <is>
          <t>Réunion sur la stratégie pour la région du Nord du Nouveau-Brunswick</t>
        </is>
      </c>
      <c r="H3758" s="1" t="n">
        <v>40974</v>
      </c>
      <c r="I3758" s="1" t="n">
        <v>40974</v>
      </c>
      <c r="J3758" t="inlineStr">
        <is>
          <t>Fredericton, New Brunswick</t>
        </is>
      </c>
      <c r="K3758" t="inlineStr">
        <is>
          <t>Fredericton (Nouveau-Brunswick)</t>
        </is>
      </c>
      <c r="P3758" t="n">
        <v>0</v>
      </c>
      <c r="Q3758" t="n">
        <v>0</v>
      </c>
      <c r="R3758" t="n">
        <v>0</v>
      </c>
      <c r="S3758" t="n">
        <v>12.76</v>
      </c>
      <c r="T3758" t="n">
        <v>0</v>
      </c>
      <c r="U3758" t="n">
        <v>12.76</v>
      </c>
      <c r="X3758" t="inlineStr">
        <is>
          <t>acoa-apeca</t>
        </is>
      </c>
      <c r="Y3758" t="inlineStr">
        <is>
          <t>Atlantic Canada Opportunities Agency | Agence de promotion économique du Canada atlantique</t>
        </is>
      </c>
      <c r="Z3758" t="n">
        <v>1</v>
      </c>
      <c r="AA3758" t="n">
        <v>12.76</v>
      </c>
      <c r="AB3758">
        <f>ROUND(U3758-AA3758,2)</f>
        <v/>
      </c>
      <c r="AC3758" t="b">
        <v>0</v>
      </c>
      <c r="AD3758">
        <f>IF(U3758="","MISSING_TOTAL",IF(ABS(AB3758)&lt;=0.01,"OK","CHECK"))</f>
        <v/>
      </c>
      <c r="AE3758">
        <f>IF(U3758="","MISSING",IF(AND(AA3758&gt;0,U3758/AA3758&gt;50),"POSSIBLE_SCALE_ERROR","OK"))</f>
        <v/>
      </c>
    </row>
    <row r="3759">
      <c r="A3759" t="inlineStr">
        <is>
          <t>T-2013-Q1-00003</t>
        </is>
      </c>
      <c r="B3759" t="inlineStr">
        <is>
          <t>SLE</t>
        </is>
      </c>
      <c r="C3759" t="inlineStr">
        <is>
          <t>President</t>
        </is>
      </c>
      <c r="D3759" t="inlineStr">
        <is>
          <t>Président</t>
        </is>
      </c>
      <c r="E3759" t="inlineStr">
        <is>
          <t>Paul J. LeBlanc</t>
        </is>
      </c>
      <c r="F3759" t="inlineStr">
        <is>
          <t>Various meetings and discussions with Agency officials and Government of Canada officials</t>
        </is>
      </c>
      <c r="G3759" t="inlineStr">
        <is>
          <t>Diverses réunions et discussions avec des fonctionnaires de l'Agence et du gouvernement du Canada</t>
        </is>
      </c>
      <c r="H3759" s="1" t="n">
        <v>40973</v>
      </c>
      <c r="I3759" s="1" t="n">
        <v>40976</v>
      </c>
      <c r="J3759" t="inlineStr">
        <is>
          <t>Ottawa, Ontario</t>
        </is>
      </c>
      <c r="K3759" t="inlineStr">
        <is>
          <t>Ottawa (Ontario)</t>
        </is>
      </c>
      <c r="P3759" t="n">
        <v>1740.55</v>
      </c>
      <c r="Q3759" t="n">
        <v>25.74</v>
      </c>
      <c r="R3759" t="n">
        <v>539.01</v>
      </c>
      <c r="S3759" t="n">
        <v>289.55</v>
      </c>
      <c r="T3759" t="n">
        <v>0</v>
      </c>
      <c r="U3759" t="n">
        <v>2594.85</v>
      </c>
      <c r="X3759" t="inlineStr">
        <is>
          <t>acoa-apeca</t>
        </is>
      </c>
      <c r="Y3759" t="inlineStr">
        <is>
          <t>Atlantic Canada Opportunities Agency | Agence de promotion économique du Canada atlantique</t>
        </is>
      </c>
      <c r="Z3759" t="n">
        <v>4</v>
      </c>
      <c r="AA3759" t="n">
        <v>2594.85</v>
      </c>
      <c r="AB3759">
        <f>ROUND(U3759-AA3759,2)</f>
        <v/>
      </c>
      <c r="AC3759" t="b">
        <v>0</v>
      </c>
      <c r="AD3759">
        <f>IF(U3759="","MISSING_TOTAL",IF(ABS(AB3759)&lt;=0.01,"OK","CHECK"))</f>
        <v/>
      </c>
      <c r="AE3759">
        <f>IF(U3759="","MISSING",IF(AND(AA3759&gt;0,U3759/AA3759&gt;50),"POSSIBLE_SCALE_ERROR","OK"))</f>
        <v/>
      </c>
    </row>
    <row r="3760">
      <c r="A3760" t="inlineStr">
        <is>
          <t>T-2013-Q1-00002</t>
        </is>
      </c>
      <c r="B3760" t="inlineStr">
        <is>
          <t>MPSES</t>
        </is>
      </c>
      <c r="C3760" t="inlineStr">
        <is>
          <t>Executive Assistant and Press Secretary</t>
        </is>
      </c>
      <c r="D3760" t="inlineStr">
        <is>
          <t>Adjointe exécutive et attaché de presse</t>
        </is>
      </c>
      <c r="E3760" t="inlineStr">
        <is>
          <t>Andrea Richer</t>
        </is>
      </c>
      <c r="F3760" t="inlineStr">
        <is>
          <t>Travel to accompany MoS at ACOA related meetings and announcements</t>
        </is>
      </c>
      <c r="G3760" t="inlineStr">
        <is>
          <t>Voyage pour accompagner le ministre d'État à des réunions et à des annonces de l'APECA</t>
        </is>
      </c>
      <c r="H3760" s="1" t="n">
        <v>40972</v>
      </c>
      <c r="I3760" s="1" t="n">
        <v>40973</v>
      </c>
      <c r="J3760" t="inlineStr">
        <is>
          <t>St. John's,  Newfoundland and Labrador</t>
        </is>
      </c>
      <c r="K3760" t="inlineStr">
        <is>
          <t>St. John's (Terre-Neuve-et-Labrador)</t>
        </is>
      </c>
      <c r="P3760" t="n">
        <v>1329.99</v>
      </c>
      <c r="Q3760" t="n">
        <v>31</v>
      </c>
      <c r="R3760" t="n">
        <v>151.96</v>
      </c>
      <c r="S3760" t="n">
        <v>87.55</v>
      </c>
      <c r="T3760" t="n">
        <v>0</v>
      </c>
      <c r="U3760" t="n">
        <v>1600.5</v>
      </c>
      <c r="X3760" t="inlineStr">
        <is>
          <t>acoa-apeca</t>
        </is>
      </c>
      <c r="Y3760" t="inlineStr">
        <is>
          <t>Atlantic Canada Opportunities Agency | Agence de promotion économique du Canada atlantique</t>
        </is>
      </c>
      <c r="Z3760" t="n">
        <v>2</v>
      </c>
      <c r="AA3760" t="n">
        <v>1600.5</v>
      </c>
      <c r="AB3760">
        <f>ROUND(U3760-AA3760,2)</f>
        <v/>
      </c>
      <c r="AC3760" t="b">
        <v>0</v>
      </c>
      <c r="AD3760">
        <f>IF(U3760="","MISSING_TOTAL",IF(ABS(AB3760)&lt;=0.01,"OK","CHECK"))</f>
        <v/>
      </c>
      <c r="AE3760">
        <f>IF(U3760="","MISSING",IF(AND(AA3760&gt;0,U3760/AA3760&gt;50),"POSSIBLE_SCALE_ERROR","OK"))</f>
        <v/>
      </c>
    </row>
    <row r="3761">
      <c r="A3761" t="inlineStr">
        <is>
          <t>T-2013-Q1-00001</t>
        </is>
      </c>
      <c r="B3761" t="inlineStr">
        <is>
          <t>MPSES</t>
        </is>
      </c>
      <c r="C3761" t="inlineStr">
        <is>
          <t>Minister of State</t>
        </is>
      </c>
      <c r="D3761" t="inlineStr">
        <is>
          <t>Ministre d'État</t>
        </is>
      </c>
      <c r="E3761" t="inlineStr">
        <is>
          <t>Bernard Valcourt</t>
        </is>
      </c>
      <c r="F3761" t="inlineStr">
        <is>
          <t>Travel for ACOA annoucements</t>
        </is>
      </c>
      <c r="G3761" t="inlineStr">
        <is>
          <t>Voyage pour annonces de l'APECA</t>
        </is>
      </c>
      <c r="H3761" s="1" t="n">
        <v>40972</v>
      </c>
      <c r="I3761" s="1" t="n">
        <v>40973</v>
      </c>
      <c r="J3761" t="inlineStr">
        <is>
          <t>St. John's, Newfoundland and Labrador</t>
        </is>
      </c>
      <c r="K3761" t="inlineStr">
        <is>
          <t>St. John's (Terre-Neuve-et-Labrador)</t>
        </is>
      </c>
      <c r="P3761" t="n">
        <v>1817.02</v>
      </c>
      <c r="Q3761" t="n">
        <v>0</v>
      </c>
      <c r="R3761" t="n">
        <v>151.96</v>
      </c>
      <c r="S3761" t="n">
        <v>87.55</v>
      </c>
      <c r="T3761" t="n">
        <v>0</v>
      </c>
      <c r="U3761" t="n">
        <v>2056.53</v>
      </c>
      <c r="X3761" t="inlineStr">
        <is>
          <t>acoa-apeca</t>
        </is>
      </c>
      <c r="Y3761" t="inlineStr">
        <is>
          <t>Atlantic Canada Opportunities Agency | Agence de promotion économique du Canada atlantique</t>
        </is>
      </c>
      <c r="Z3761" t="n">
        <v>2</v>
      </c>
      <c r="AA3761" t="n">
        <v>2056.53</v>
      </c>
      <c r="AB3761">
        <f>ROUND(U3761-AA3761,2)</f>
        <v/>
      </c>
      <c r="AC3761" t="b">
        <v>0</v>
      </c>
      <c r="AD3761">
        <f>IF(U3761="","MISSING_TOTAL",IF(ABS(AB3761)&lt;=0.01,"OK","CHECK"))</f>
        <v/>
      </c>
      <c r="AE3761">
        <f>IF(U3761="","MISSING",IF(AND(AA3761&gt;0,U3761/AA3761&gt;50),"POSSIBLE_SCALE_ERROR","OK"))</f>
        <v/>
      </c>
    </row>
    <row r="3762">
      <c r="A3762" t="inlineStr">
        <is>
          <t>T-2012-Q4-00084</t>
        </is>
      </c>
      <c r="B3762" t="inlineStr">
        <is>
          <t>SLE</t>
        </is>
      </c>
      <c r="C3762" t="inlineStr">
        <is>
          <t>Vice President, Nova Scotia</t>
        </is>
      </c>
      <c r="D3762" t="inlineStr">
        <is>
          <t>Vice-président, Nouvelle-Écosse</t>
        </is>
      </c>
      <c r="E3762" t="inlineStr">
        <is>
          <t>Peter Hogan</t>
        </is>
      </c>
      <c r="F3762" t="inlineStr">
        <is>
          <t>Meeting with Agency officials</t>
        </is>
      </c>
      <c r="G3762" t="inlineStr">
        <is>
          <t>Réunion avec des fonctionnaires de l'Agence</t>
        </is>
      </c>
      <c r="H3762" s="1" t="n">
        <v>40969</v>
      </c>
      <c r="I3762" s="1" t="n">
        <v>40969</v>
      </c>
      <c r="J3762" t="inlineStr">
        <is>
          <t>Moncton, New Brunswick</t>
        </is>
      </c>
      <c r="K3762" t="inlineStr">
        <is>
          <t>Moncton (Nouveau-Brunswick)</t>
        </is>
      </c>
      <c r="P3762" t="n">
        <v>0</v>
      </c>
      <c r="Q3762" t="n">
        <v>6</v>
      </c>
      <c r="R3762" t="n">
        <v>0</v>
      </c>
      <c r="S3762" t="n">
        <v>54.9</v>
      </c>
      <c r="T3762" t="n">
        <v>0</v>
      </c>
      <c r="U3762" t="n">
        <v>60.9</v>
      </c>
      <c r="X3762" t="inlineStr">
        <is>
          <t>acoa-apeca</t>
        </is>
      </c>
      <c r="Y3762" t="inlineStr">
        <is>
          <t>Atlantic Canada Opportunities Agency | Agence de promotion économique du Canada atlantique</t>
        </is>
      </c>
      <c r="Z3762" t="n">
        <v>1</v>
      </c>
      <c r="AA3762" t="n">
        <v>60.9</v>
      </c>
      <c r="AB3762">
        <f>ROUND(U3762-AA3762,2)</f>
        <v/>
      </c>
      <c r="AC3762" t="b">
        <v>0</v>
      </c>
      <c r="AD3762">
        <f>IF(U3762="","MISSING_TOTAL",IF(ABS(AB3762)&lt;=0.01,"OK","CHECK"))</f>
        <v/>
      </c>
      <c r="AE3762">
        <f>IF(U3762="","MISSING",IF(AND(AA3762&gt;0,U3762/AA3762&gt;50),"POSSIBLE_SCALE_ERROR","OK"))</f>
        <v/>
      </c>
    </row>
    <row r="3763">
      <c r="A3763" t="inlineStr">
        <is>
          <t>T-2012-Q4-00082</t>
        </is>
      </c>
      <c r="B3763" t="inlineStr">
        <is>
          <t>SLE</t>
        </is>
      </c>
      <c r="C3763" t="inlineStr">
        <is>
          <t>President</t>
        </is>
      </c>
      <c r="D3763" t="inlineStr">
        <is>
          <t>Président</t>
        </is>
      </c>
      <c r="E3763" t="inlineStr">
        <is>
          <t>Paul J. LeBlanc</t>
        </is>
      </c>
      <c r="F3763" t="inlineStr">
        <is>
          <t>Various meetings and discussions with Agency officials and Government of Canada officials</t>
        </is>
      </c>
      <c r="G3763" t="inlineStr">
        <is>
          <t>Diverses réunions et discussions avec des fonctionnaires de l'Agence et du gouvernement du Canada</t>
        </is>
      </c>
      <c r="H3763" s="1" t="n">
        <v>40965</v>
      </c>
      <c r="I3763" s="1" t="n">
        <v>40968</v>
      </c>
      <c r="J3763" t="inlineStr">
        <is>
          <t>Ottawa, Ontario</t>
        </is>
      </c>
      <c r="K3763" t="inlineStr">
        <is>
          <t>Ottawa (Ontario)</t>
        </is>
      </c>
      <c r="P3763" t="n">
        <v>775.6799999999999</v>
      </c>
      <c r="Q3763" t="n">
        <v>25.74</v>
      </c>
      <c r="R3763" t="n">
        <v>539.01</v>
      </c>
      <c r="S3763" t="n">
        <v>304.9</v>
      </c>
      <c r="T3763" t="n">
        <v>56.5</v>
      </c>
      <c r="U3763" t="n">
        <v>1701.83</v>
      </c>
      <c r="X3763" t="inlineStr">
        <is>
          <t>acoa-apeca</t>
        </is>
      </c>
      <c r="Y3763" t="inlineStr">
        <is>
          <t>Atlantic Canada Opportunities Agency | Agence de promotion économique du Canada atlantique</t>
        </is>
      </c>
      <c r="Z3763" t="n">
        <v>4</v>
      </c>
      <c r="AA3763" t="n">
        <v>1701.83</v>
      </c>
      <c r="AB3763">
        <f>ROUND(U3763-AA3763,2)</f>
        <v/>
      </c>
      <c r="AC3763" t="b">
        <v>0</v>
      </c>
      <c r="AD3763">
        <f>IF(U3763="","MISSING_TOTAL",IF(ABS(AB3763)&lt;=0.01,"OK","CHECK"))</f>
        <v/>
      </c>
      <c r="AE3763">
        <f>IF(U3763="","MISSING",IF(AND(AA3763&gt;0,U3763/AA3763&gt;50),"POSSIBLE_SCALE_ERROR","OK"))</f>
        <v/>
      </c>
    </row>
    <row r="3764">
      <c r="A3764" t="inlineStr">
        <is>
          <t>T-2012-Q4-00081</t>
        </is>
      </c>
      <c r="B3764" t="inlineStr">
        <is>
          <t>SLE</t>
        </is>
      </c>
      <c r="C3764" t="inlineStr">
        <is>
          <t>Vice-President, New Brunswick</t>
        </is>
      </c>
      <c r="D3764" t="inlineStr">
        <is>
          <t>Vice-présidente, Nouveau-Brunswick</t>
        </is>
      </c>
      <c r="E3764" t="inlineStr">
        <is>
          <t>Janet Gagnon</t>
        </is>
      </c>
      <c r="F3764" t="inlineStr">
        <is>
          <t>Meeting with ACOA President</t>
        </is>
      </c>
      <c r="G3764" t="inlineStr">
        <is>
          <t>Réunion avec le président de l'APECA</t>
        </is>
      </c>
      <c r="H3764" s="1" t="n">
        <v>40962</v>
      </c>
      <c r="I3764" s="1" t="n">
        <v>40962</v>
      </c>
      <c r="J3764" t="inlineStr">
        <is>
          <t>Moncton, New Brunswick</t>
        </is>
      </c>
      <c r="K3764" t="inlineStr">
        <is>
          <t>Moncton (Nouveau-Brunswick)</t>
        </is>
      </c>
      <c r="P3764" t="n">
        <v>0</v>
      </c>
      <c r="Q3764" t="n">
        <v>0</v>
      </c>
      <c r="R3764" t="n">
        <v>0</v>
      </c>
      <c r="S3764" t="n">
        <v>54.9</v>
      </c>
      <c r="T3764" t="n">
        <v>7</v>
      </c>
      <c r="U3764" t="n">
        <v>61.9</v>
      </c>
      <c r="X3764" t="inlineStr">
        <is>
          <t>acoa-apeca</t>
        </is>
      </c>
      <c r="Y3764" t="inlineStr">
        <is>
          <t>Atlantic Canada Opportunities Agency | Agence de promotion économique du Canada atlantique</t>
        </is>
      </c>
      <c r="Z3764" t="n">
        <v>1</v>
      </c>
      <c r="AA3764" t="n">
        <v>61.9</v>
      </c>
      <c r="AB3764">
        <f>ROUND(U3764-AA3764,2)</f>
        <v/>
      </c>
      <c r="AC3764" t="b">
        <v>0</v>
      </c>
      <c r="AD3764">
        <f>IF(U3764="","MISSING_TOTAL",IF(ABS(AB3764)&lt;=0.01,"OK","CHECK"))</f>
        <v/>
      </c>
      <c r="AE3764">
        <f>IF(U3764="","MISSING",IF(AND(AA3764&gt;0,U3764/AA3764&gt;50),"POSSIBLE_SCALE_ERROR","OK"))</f>
        <v/>
      </c>
    </row>
    <row r="3765">
      <c r="A3765" t="inlineStr">
        <is>
          <t>T-2012-Q4-00080</t>
        </is>
      </c>
      <c r="B3765" t="inlineStr">
        <is>
          <t>SLE</t>
        </is>
      </c>
      <c r="C3765" t="inlineStr">
        <is>
          <t>Vice President, Nova Scotia</t>
        </is>
      </c>
      <c r="D3765" t="inlineStr">
        <is>
          <t>Vice-président, Nouvelle-Écosse</t>
        </is>
      </c>
      <c r="E3765" t="inlineStr">
        <is>
          <t>Peter Hogan</t>
        </is>
      </c>
      <c r="F3765" t="inlineStr">
        <is>
          <t>Various meetings with Agency officials in Ottawa and Canadian Embassy information sessions in Washington, DC.</t>
        </is>
      </c>
      <c r="G3765" t="inlineStr">
        <is>
          <t>Diverses réunions avec des fonctionnaires de l'APECA à Ottawa et séances d'information de l'ambassade du Canada à Washington (D.C.)</t>
        </is>
      </c>
      <c r="H3765" s="1" t="n">
        <v>40960</v>
      </c>
      <c r="I3765" s="1" t="n">
        <v>40963</v>
      </c>
      <c r="J3765" t="inlineStr">
        <is>
          <t>Ottawa, Ontario; Washington, DC, USA and Ottawa, Ontario</t>
        </is>
      </c>
      <c r="K3765" t="inlineStr">
        <is>
          <t>Ottawa (Ontario); Washington, D.C. (É.-U.) et Ottawa (Ontario)</t>
        </is>
      </c>
      <c r="P3765" t="n">
        <v>2337.45</v>
      </c>
      <c r="Q3765" t="n">
        <v>297.21</v>
      </c>
      <c r="R3765" t="n">
        <v>781.87</v>
      </c>
      <c r="S3765" t="n">
        <v>338.75</v>
      </c>
      <c r="T3765" t="n">
        <v>0</v>
      </c>
      <c r="U3765" t="n">
        <v>3755.28</v>
      </c>
      <c r="X3765" t="inlineStr">
        <is>
          <t>acoa-apeca</t>
        </is>
      </c>
      <c r="Y3765" t="inlineStr">
        <is>
          <t>Atlantic Canada Opportunities Agency | Agence de promotion économique du Canada atlantique</t>
        </is>
      </c>
      <c r="Z3765" t="n">
        <v>4</v>
      </c>
      <c r="AA3765" t="n">
        <v>3755.27999999999</v>
      </c>
      <c r="AB3765">
        <f>ROUND(U3765-AA3765,2)</f>
        <v/>
      </c>
      <c r="AC3765" t="b">
        <v>0</v>
      </c>
      <c r="AD3765">
        <f>IF(U3765="","MISSING_TOTAL",IF(ABS(AB3765)&lt;=0.01,"OK","CHECK"))</f>
        <v/>
      </c>
      <c r="AE3765">
        <f>IF(U3765="","MISSING",IF(AND(AA3765&gt;0,U3765/AA3765&gt;50),"POSSIBLE_SCALE_ERROR","OK"))</f>
        <v/>
      </c>
    </row>
    <row r="3766">
      <c r="A3766" t="inlineStr">
        <is>
          <t>T-2012-Q4-00079</t>
        </is>
      </c>
      <c r="B3766" t="inlineStr">
        <is>
          <t>SLE</t>
        </is>
      </c>
      <c r="C3766" t="inlineStr">
        <is>
          <t>Vice-President, New Brunswick</t>
        </is>
      </c>
      <c r="D3766" t="inlineStr">
        <is>
          <t>Vice-présidente, Nouveau-Brunswick</t>
        </is>
      </c>
      <c r="E3766" t="inlineStr">
        <is>
          <t>Janet Gagnon</t>
        </is>
      </c>
      <c r="F3766" t="inlineStr">
        <is>
          <t>Northern New Brunswick Focus Meeting in Bathurst</t>
        </is>
      </c>
      <c r="G3766" t="inlineStr">
        <is>
          <t>Réunion axée sur le nord du Nouveau-Brunswick à Bathurst</t>
        </is>
      </c>
      <c r="H3766" s="1" t="n">
        <v>40959</v>
      </c>
      <c r="I3766" s="1" t="n">
        <v>40960</v>
      </c>
      <c r="J3766" t="inlineStr">
        <is>
          <t>Bathurst, New Brunswick</t>
        </is>
      </c>
      <c r="K3766" t="inlineStr">
        <is>
          <t>Bathurst (Nouveau-Brunswick)</t>
        </is>
      </c>
      <c r="P3766" t="n">
        <v>0</v>
      </c>
      <c r="Q3766" t="n">
        <v>91.3</v>
      </c>
      <c r="R3766" t="n">
        <v>100.57</v>
      </c>
      <c r="S3766" t="n">
        <v>145.15</v>
      </c>
      <c r="T3766" t="n">
        <v>0</v>
      </c>
      <c r="U3766" t="n">
        <v>337.02</v>
      </c>
      <c r="X3766" t="inlineStr">
        <is>
          <t>acoa-apeca</t>
        </is>
      </c>
      <c r="Y3766" t="inlineStr">
        <is>
          <t>Atlantic Canada Opportunities Agency | Agence de promotion économique du Canada atlantique</t>
        </is>
      </c>
      <c r="Z3766" t="n">
        <v>2</v>
      </c>
      <c r="AA3766" t="n">
        <v>337.02</v>
      </c>
      <c r="AB3766">
        <f>ROUND(U3766-AA3766,2)</f>
        <v/>
      </c>
      <c r="AC3766" t="b">
        <v>0</v>
      </c>
      <c r="AD3766">
        <f>IF(U3766="","MISSING_TOTAL",IF(ABS(AB3766)&lt;=0.01,"OK","CHECK"))</f>
        <v/>
      </c>
      <c r="AE3766">
        <f>IF(U3766="","MISSING",IF(AND(AA3766&gt;0,U3766/AA3766&gt;50),"POSSIBLE_SCALE_ERROR","OK"))</f>
        <v/>
      </c>
    </row>
    <row r="3767">
      <c r="A3767" t="inlineStr">
        <is>
          <t>T-2012-Q4-00077</t>
        </is>
      </c>
      <c r="B3767" t="inlineStr">
        <is>
          <t>MPSES</t>
        </is>
      </c>
      <c r="C3767" t="inlineStr">
        <is>
          <t>Executive Assistant and Press Secretary</t>
        </is>
      </c>
      <c r="D3767" t="inlineStr">
        <is>
          <t>Adjointe exécutive et attaché de presse</t>
        </is>
      </c>
      <c r="E3767" t="inlineStr">
        <is>
          <t>Andrea Richer</t>
        </is>
      </c>
      <c r="F3767" t="inlineStr">
        <is>
          <t>Travel with MoS to attend ACOA meetings and announcement</t>
        </is>
      </c>
      <c r="G3767" t="inlineStr">
        <is>
          <t>Voyage pour assister à des réunions et à une annonce de l'APECA avec le ministre d'État</t>
        </is>
      </c>
      <c r="H3767" s="1" t="n">
        <v>40959</v>
      </c>
      <c r="I3767" s="1" t="n">
        <v>40960</v>
      </c>
      <c r="J3767" t="inlineStr">
        <is>
          <t>Bathurst, New Brunswick</t>
        </is>
      </c>
      <c r="K3767" t="inlineStr">
        <is>
          <t>Bathurst (Nouveau-Brunswick)</t>
        </is>
      </c>
      <c r="P3767" t="n">
        <v>941.9</v>
      </c>
      <c r="Q3767" t="n">
        <v>57.35</v>
      </c>
      <c r="R3767" t="n">
        <v>99.44</v>
      </c>
      <c r="S3767" t="n">
        <v>113.25</v>
      </c>
      <c r="T3767" t="n">
        <v>0</v>
      </c>
      <c r="U3767" t="n">
        <v>1211.94</v>
      </c>
      <c r="X3767" t="inlineStr">
        <is>
          <t>acoa-apeca</t>
        </is>
      </c>
      <c r="Y3767" t="inlineStr">
        <is>
          <t>Atlantic Canada Opportunities Agency | Agence de promotion économique du Canada atlantique</t>
        </is>
      </c>
      <c r="Z3767" t="n">
        <v>2</v>
      </c>
      <c r="AA3767" t="n">
        <v>1211.94</v>
      </c>
      <c r="AB3767">
        <f>ROUND(U3767-AA3767,2)</f>
        <v/>
      </c>
      <c r="AC3767" t="b">
        <v>0</v>
      </c>
      <c r="AD3767">
        <f>IF(U3767="","MISSING_TOTAL",IF(ABS(AB3767)&lt;=0.01,"OK","CHECK"))</f>
        <v/>
      </c>
      <c r="AE3767">
        <f>IF(U3767="","MISSING",IF(AND(AA3767&gt;0,U3767/AA3767&gt;50),"POSSIBLE_SCALE_ERROR","OK"))</f>
        <v/>
      </c>
    </row>
    <row r="3768">
      <c r="A3768" t="inlineStr">
        <is>
          <t>T-2012-Q4-00072</t>
        </is>
      </c>
      <c r="B3768" t="inlineStr">
        <is>
          <t>SLE</t>
        </is>
      </c>
      <c r="C3768" t="inlineStr">
        <is>
          <t>Vice-President, New Brunswick</t>
        </is>
      </c>
      <c r="D3768" t="inlineStr">
        <is>
          <t>Vice-présidente, Nouveau-Brunswick</t>
        </is>
      </c>
      <c r="E3768" t="inlineStr">
        <is>
          <t>Janet Gagnon</t>
        </is>
      </c>
      <c r="F3768" t="inlineStr">
        <is>
          <t>Executive Committee meeting</t>
        </is>
      </c>
      <c r="G3768" t="inlineStr">
        <is>
          <t>Réunion du Comité de direction</t>
        </is>
      </c>
      <c r="H3768" s="1" t="n">
        <v>40955</v>
      </c>
      <c r="I3768" s="1" t="n">
        <v>40955</v>
      </c>
      <c r="J3768" t="inlineStr">
        <is>
          <t>Moncton, New Brunswick</t>
        </is>
      </c>
      <c r="K3768" t="inlineStr">
        <is>
          <t>Moncton (Nouveau-Brunswick)</t>
        </is>
      </c>
      <c r="P3768" t="n">
        <v>0</v>
      </c>
      <c r="Q3768" t="n">
        <v>82.77</v>
      </c>
      <c r="R3768" t="n">
        <v>107.34</v>
      </c>
      <c r="S3768" t="n">
        <v>72.95</v>
      </c>
      <c r="T3768" t="n">
        <v>14</v>
      </c>
      <c r="U3768" t="n">
        <v>277.06</v>
      </c>
      <c r="X3768" t="inlineStr">
        <is>
          <t>acoa-apeca</t>
        </is>
      </c>
      <c r="Y3768" t="inlineStr">
        <is>
          <t>Atlantic Canada Opportunities Agency | Agence de promotion économique du Canada atlantique</t>
        </is>
      </c>
      <c r="Z3768" t="n">
        <v>1</v>
      </c>
      <c r="AA3768" t="n">
        <v>277.06</v>
      </c>
      <c r="AB3768">
        <f>ROUND(U3768-AA3768,2)</f>
        <v/>
      </c>
      <c r="AC3768" t="b">
        <v>0</v>
      </c>
      <c r="AD3768">
        <f>IF(U3768="","MISSING_TOTAL",IF(ABS(AB3768)&lt;=0.01,"OK","CHECK"))</f>
        <v/>
      </c>
      <c r="AE3768">
        <f>IF(U3768="","MISSING",IF(AND(AA3768&gt;0,U3768/AA3768&gt;50),"POSSIBLE_SCALE_ERROR","OK"))</f>
        <v/>
      </c>
    </row>
    <row r="3769">
      <c r="A3769" t="inlineStr">
        <is>
          <t>T-2012-Q4-00071</t>
        </is>
      </c>
      <c r="B3769" t="inlineStr">
        <is>
          <t>SLE</t>
        </is>
      </c>
      <c r="C3769" t="inlineStr">
        <is>
          <t>Vice-President, Prince Edward Island</t>
        </is>
      </c>
      <c r="D3769" t="inlineStr">
        <is>
          <t>Vice-président, Île-du-Prince-Édouard</t>
        </is>
      </c>
      <c r="E3769" t="inlineStr">
        <is>
          <t>Patrick Dorsey</t>
        </is>
      </c>
      <c r="F3769" t="inlineStr">
        <is>
          <t>To attend an Executive Committee meeting with Agency officials</t>
        </is>
      </c>
      <c r="G3769" t="inlineStr">
        <is>
          <t>Assister à une réunion du Comité de direction avec des fonctionnaires de l'Agence</t>
        </is>
      </c>
      <c r="H3769" s="1" t="n">
        <v>40954</v>
      </c>
      <c r="I3769" s="1" t="n">
        <v>40955</v>
      </c>
      <c r="J3769" t="inlineStr">
        <is>
          <t>Moncton, New Brunswick</t>
        </is>
      </c>
      <c r="K3769" t="inlineStr">
        <is>
          <t>Moncton (Nouveau-Brunswick)</t>
        </is>
      </c>
      <c r="P3769" t="n">
        <v>0</v>
      </c>
      <c r="Q3769" t="n">
        <v>57.53</v>
      </c>
      <c r="R3769" t="n">
        <v>145.77</v>
      </c>
      <c r="S3769" t="n">
        <v>130.55</v>
      </c>
      <c r="T3769" t="n">
        <v>0</v>
      </c>
      <c r="U3769" t="n">
        <v>333.85</v>
      </c>
      <c r="X3769" t="inlineStr">
        <is>
          <t>acoa-apeca</t>
        </is>
      </c>
      <c r="Y3769" t="inlineStr">
        <is>
          <t>Atlantic Canada Opportunities Agency | Agence de promotion économique du Canada atlantique</t>
        </is>
      </c>
      <c r="Z3769" t="n">
        <v>2</v>
      </c>
      <c r="AA3769" t="n">
        <v>333.85</v>
      </c>
      <c r="AB3769">
        <f>ROUND(U3769-AA3769,2)</f>
        <v/>
      </c>
      <c r="AC3769" t="b">
        <v>0</v>
      </c>
      <c r="AD3769">
        <f>IF(U3769="","MISSING_TOTAL",IF(ABS(AB3769)&lt;=0.01,"OK","CHECK"))</f>
        <v/>
      </c>
      <c r="AE3769">
        <f>IF(U3769="","MISSING",IF(AND(AA3769&gt;0,U3769/AA3769&gt;50),"POSSIBLE_SCALE_ERROR","OK"))</f>
        <v/>
      </c>
    </row>
    <row r="3770">
      <c r="A3770" t="inlineStr">
        <is>
          <t>T-2012-Q4-00070</t>
        </is>
      </c>
      <c r="B3770" t="inlineStr">
        <is>
          <t>SLE</t>
        </is>
      </c>
      <c r="C3770" t="inlineStr">
        <is>
          <t>Vice President, Nova Scotia</t>
        </is>
      </c>
      <c r="D3770" t="inlineStr">
        <is>
          <t>Vice-président, Nouvelle-Écosse</t>
        </is>
      </c>
      <c r="E3770" t="inlineStr">
        <is>
          <t>Peter Hogan</t>
        </is>
      </c>
      <c r="F3770" t="inlineStr">
        <is>
          <t>Executive Committee meeting</t>
        </is>
      </c>
      <c r="G3770" t="inlineStr">
        <is>
          <t>Réunion du Comité de direction</t>
        </is>
      </c>
      <c r="H3770" s="1" t="n">
        <v>40954</v>
      </c>
      <c r="I3770" s="1" t="n">
        <v>40955</v>
      </c>
      <c r="J3770" t="inlineStr">
        <is>
          <t>Moncton, New Brunswick</t>
        </is>
      </c>
      <c r="K3770" t="inlineStr">
        <is>
          <t>Moncton (Nouveau-Brunswick)</t>
        </is>
      </c>
      <c r="P3770" t="n">
        <v>0</v>
      </c>
      <c r="Q3770" t="n">
        <v>18</v>
      </c>
      <c r="R3770" t="n">
        <v>0</v>
      </c>
      <c r="S3770" t="n">
        <v>40.3</v>
      </c>
      <c r="T3770" t="n">
        <v>0</v>
      </c>
      <c r="U3770" t="n">
        <v>58.3</v>
      </c>
      <c r="X3770" t="inlineStr">
        <is>
          <t>acoa-apeca</t>
        </is>
      </c>
      <c r="Y3770" t="inlineStr">
        <is>
          <t>Atlantic Canada Opportunities Agency | Agence de promotion économique du Canada atlantique</t>
        </is>
      </c>
      <c r="Z3770" t="n">
        <v>2</v>
      </c>
      <c r="AA3770" t="n">
        <v>58.3</v>
      </c>
      <c r="AB3770">
        <f>ROUND(U3770-AA3770,2)</f>
        <v/>
      </c>
      <c r="AC3770" t="b">
        <v>0</v>
      </c>
      <c r="AD3770">
        <f>IF(U3770="","MISSING_TOTAL",IF(ABS(AB3770)&lt;=0.01,"OK","CHECK"))</f>
        <v/>
      </c>
      <c r="AE3770">
        <f>IF(U3770="","MISSING",IF(AND(AA3770&gt;0,U3770/AA3770&gt;50),"POSSIBLE_SCALE_ERROR","OK"))</f>
        <v/>
      </c>
    </row>
    <row r="3771">
      <c r="A3771" t="inlineStr">
        <is>
          <t>T-2012-Q4-00069</t>
        </is>
      </c>
      <c r="B3771" t="inlineStr">
        <is>
          <t>SLE</t>
        </is>
      </c>
      <c r="C3771" t="inlineStr">
        <is>
          <t>Vice-President, Newfoundland and Labrador</t>
        </is>
      </c>
      <c r="D3771" t="inlineStr">
        <is>
          <t>Vice-président, Terre-Neuve-et-Labrador</t>
        </is>
      </c>
      <c r="E3771" t="inlineStr">
        <is>
          <t>Paul Mills</t>
        </is>
      </c>
      <c r="F3771" t="inlineStr">
        <is>
          <t>To attend Executive Committee meeting</t>
        </is>
      </c>
      <c r="G3771" t="inlineStr">
        <is>
          <t>Assister à une réunion du Comité de direction</t>
        </is>
      </c>
      <c r="H3771" s="1" t="n">
        <v>40954</v>
      </c>
      <c r="I3771" s="1" t="n">
        <v>40956</v>
      </c>
      <c r="J3771" t="inlineStr">
        <is>
          <t>Moncton, New Brunswick</t>
        </is>
      </c>
      <c r="K3771" t="inlineStr">
        <is>
          <t>Moncton (Nouveau-Brunswick)</t>
        </is>
      </c>
      <c r="P3771" t="n">
        <v>1377.02</v>
      </c>
      <c r="Q3771" t="n">
        <v>204.61</v>
      </c>
      <c r="R3771" t="n">
        <v>285.36</v>
      </c>
      <c r="S3771" t="n">
        <v>177.8</v>
      </c>
      <c r="T3771" t="n">
        <v>108.19</v>
      </c>
      <c r="U3771" t="n">
        <v>2152.98</v>
      </c>
      <c r="X3771" t="inlineStr">
        <is>
          <t>acoa-apeca</t>
        </is>
      </c>
      <c r="Y3771" t="inlineStr">
        <is>
          <t>Atlantic Canada Opportunities Agency | Agence de promotion économique du Canada atlantique</t>
        </is>
      </c>
      <c r="Z3771" t="n">
        <v>3</v>
      </c>
      <c r="AA3771" t="n">
        <v>2152.98</v>
      </c>
      <c r="AB3771">
        <f>ROUND(U3771-AA3771,2)</f>
        <v/>
      </c>
      <c r="AC3771" t="b">
        <v>0</v>
      </c>
      <c r="AD3771">
        <f>IF(U3771="","MISSING_TOTAL",IF(ABS(AB3771)&lt;=0.01,"OK","CHECK"))</f>
        <v/>
      </c>
      <c r="AE3771">
        <f>IF(U3771="","MISSING",IF(AND(AA3771&gt;0,U3771/AA3771&gt;50),"POSSIBLE_SCALE_ERROR","OK"))</f>
        <v/>
      </c>
    </row>
    <row r="3772">
      <c r="A3772" t="inlineStr">
        <is>
          <t>T-2012-Q4-00067</t>
        </is>
      </c>
      <c r="B3772" t="inlineStr">
        <is>
          <t>SLE</t>
        </is>
      </c>
      <c r="C3772" t="inlineStr">
        <is>
          <t>Vice-President, Finance and Corporate Services</t>
        </is>
      </c>
      <c r="D3772" t="inlineStr">
        <is>
          <t>Vice-présidente, Finances et Services corporatifs</t>
        </is>
      </c>
      <c r="E3772" t="inlineStr">
        <is>
          <t>Denise Frenette</t>
        </is>
      </c>
      <c r="F3772" t="inlineStr">
        <is>
          <t>Meetings with Government of Canada officials and Agency officials</t>
        </is>
      </c>
      <c r="G3772" t="inlineStr">
        <is>
          <t>Réunions avec des fonctionnaires du gouvernement du Canada et de l'Agence</t>
        </is>
      </c>
      <c r="H3772" s="1" t="n">
        <v>40952</v>
      </c>
      <c r="I3772" s="1" t="n">
        <v>40953</v>
      </c>
      <c r="J3772" t="inlineStr">
        <is>
          <t>Ottawa, Ontario</t>
        </is>
      </c>
      <c r="K3772" t="inlineStr">
        <is>
          <t>Ottawa (Ontario)</t>
        </is>
      </c>
      <c r="P3772" t="n">
        <v>1075.76</v>
      </c>
      <c r="Q3772" t="n">
        <v>119.44</v>
      </c>
      <c r="R3772" t="n">
        <v>177.41</v>
      </c>
      <c r="S3772" t="n">
        <v>144.4</v>
      </c>
      <c r="T3772" t="n">
        <v>0</v>
      </c>
      <c r="U3772" t="n">
        <v>1517.01</v>
      </c>
      <c r="X3772" t="inlineStr">
        <is>
          <t>acoa-apeca</t>
        </is>
      </c>
      <c r="Y3772" t="inlineStr">
        <is>
          <t>Atlantic Canada Opportunities Agency | Agence de promotion économique du Canada atlantique</t>
        </is>
      </c>
      <c r="Z3772" t="n">
        <v>2</v>
      </c>
      <c r="AA3772" t="n">
        <v>1517.01</v>
      </c>
      <c r="AB3772">
        <f>ROUND(U3772-AA3772,2)</f>
        <v/>
      </c>
      <c r="AC3772" t="b">
        <v>0</v>
      </c>
      <c r="AD3772">
        <f>IF(U3772="","MISSING_TOTAL",IF(ABS(AB3772)&lt;=0.01,"OK","CHECK"))</f>
        <v/>
      </c>
      <c r="AE3772">
        <f>IF(U3772="","MISSING",IF(AND(AA3772&gt;0,U3772/AA3772&gt;50),"POSSIBLE_SCALE_ERROR","OK"))</f>
        <v/>
      </c>
    </row>
    <row r="3773">
      <c r="A3773" t="inlineStr">
        <is>
          <t>T-2012-Q4-00066</t>
        </is>
      </c>
      <c r="B3773" t="inlineStr">
        <is>
          <t>MPSES</t>
        </is>
      </c>
      <c r="C3773" t="inlineStr">
        <is>
          <t>Minister of State</t>
        </is>
      </c>
      <c r="D3773" t="inlineStr">
        <is>
          <t>Ministre d'État</t>
        </is>
      </c>
      <c r="E3773" t="inlineStr">
        <is>
          <t>Bernard Valcourt</t>
        </is>
      </c>
      <c r="F3773" t="inlineStr">
        <is>
          <t>ACOA announcements</t>
        </is>
      </c>
      <c r="G3773" t="inlineStr">
        <is>
          <t>Annonces de l'APECA</t>
        </is>
      </c>
      <c r="H3773" s="1" t="n">
        <v>40951</v>
      </c>
      <c r="I3773" s="1" t="n">
        <v>40952</v>
      </c>
      <c r="J3773" t="inlineStr">
        <is>
          <t>Halifax, Nova Scotia</t>
        </is>
      </c>
      <c r="K3773" t="inlineStr">
        <is>
          <t>Halifax (Nouvelle-Ecosse)</t>
        </is>
      </c>
      <c r="P3773" t="n">
        <v>868.78</v>
      </c>
      <c r="Q3773" t="n">
        <v>0</v>
      </c>
      <c r="R3773" t="n">
        <v>139.59</v>
      </c>
      <c r="S3773" t="n">
        <v>72.95</v>
      </c>
      <c r="T3773" t="n">
        <v>0</v>
      </c>
      <c r="U3773" t="n">
        <v>1081.32</v>
      </c>
      <c r="X3773" t="inlineStr">
        <is>
          <t>acoa-apeca</t>
        </is>
      </c>
      <c r="Y3773" t="inlineStr">
        <is>
          <t>Atlantic Canada Opportunities Agency | Agence de promotion économique du Canada atlantique</t>
        </is>
      </c>
      <c r="Z3773" t="n">
        <v>2</v>
      </c>
      <c r="AA3773" t="n">
        <v>1081.32</v>
      </c>
      <c r="AB3773">
        <f>ROUND(U3773-AA3773,2)</f>
        <v/>
      </c>
      <c r="AC3773" t="b">
        <v>0</v>
      </c>
      <c r="AD3773">
        <f>IF(U3773="","MISSING_TOTAL",IF(ABS(AB3773)&lt;=0.01,"OK","CHECK"))</f>
        <v/>
      </c>
      <c r="AE3773">
        <f>IF(U3773="","MISSING",IF(AND(AA3773&gt;0,U3773/AA3773&gt;50),"POSSIBLE_SCALE_ERROR","OK"))</f>
        <v/>
      </c>
    </row>
    <row r="3774">
      <c r="A3774" t="inlineStr">
        <is>
          <t>T-2012-Q4-00065</t>
        </is>
      </c>
      <c r="B3774" t="inlineStr">
        <is>
          <t>MPSES</t>
        </is>
      </c>
      <c r="C3774" t="inlineStr">
        <is>
          <t>Executive Assistant and Press Secretary</t>
        </is>
      </c>
      <c r="D3774" t="inlineStr">
        <is>
          <t>Adjointe exécutive et attaché de presse</t>
        </is>
      </c>
      <c r="E3774" t="inlineStr">
        <is>
          <t>Andrea Richer</t>
        </is>
      </c>
      <c r="F3774" t="inlineStr">
        <is>
          <t>Travel with MoS to attend ACOA announcement</t>
        </is>
      </c>
      <c r="G3774" t="inlineStr">
        <is>
          <t>Voyage pour assister à une annonce de l'APECA avec le ministre d'État</t>
        </is>
      </c>
      <c r="H3774" s="1" t="n">
        <v>40951</v>
      </c>
      <c r="I3774" s="1" t="n">
        <v>40952</v>
      </c>
      <c r="J3774" t="inlineStr">
        <is>
          <t>Halifax, Nova Scotia</t>
        </is>
      </c>
      <c r="K3774" t="inlineStr">
        <is>
          <t>Halifax (Nouvelle-Écosse)</t>
        </is>
      </c>
      <c r="P3774" t="n">
        <v>1087.33</v>
      </c>
      <c r="Q3774" t="n">
        <v>56</v>
      </c>
      <c r="R3774" t="n">
        <v>139.59</v>
      </c>
      <c r="S3774" t="n">
        <v>72.95</v>
      </c>
      <c r="T3774" t="n">
        <v>0</v>
      </c>
      <c r="U3774" t="n">
        <v>1355.87</v>
      </c>
      <c r="X3774" t="inlineStr">
        <is>
          <t>acoa-apeca</t>
        </is>
      </c>
      <c r="Y3774" t="inlineStr">
        <is>
          <t>Atlantic Canada Opportunities Agency | Agence de promotion économique du Canada atlantique</t>
        </is>
      </c>
      <c r="Z3774" t="n">
        <v>2</v>
      </c>
      <c r="AA3774" t="n">
        <v>1355.87</v>
      </c>
      <c r="AB3774">
        <f>ROUND(U3774-AA3774,2)</f>
        <v/>
      </c>
      <c r="AC3774" t="b">
        <v>0</v>
      </c>
      <c r="AD3774">
        <f>IF(U3774="","MISSING_TOTAL",IF(ABS(AB3774)&lt;=0.01,"OK","CHECK"))</f>
        <v/>
      </c>
      <c r="AE3774">
        <f>IF(U3774="","MISSING",IF(AND(AA3774&gt;0,U3774/AA3774&gt;50),"POSSIBLE_SCALE_ERROR","OK"))</f>
        <v/>
      </c>
    </row>
    <row r="3775">
      <c r="A3775" t="inlineStr">
        <is>
          <t>T-2012-Q4-00064</t>
        </is>
      </c>
      <c r="B3775" t="inlineStr">
        <is>
          <t>SLE</t>
        </is>
      </c>
      <c r="C3775" t="inlineStr">
        <is>
          <t>President</t>
        </is>
      </c>
      <c r="D3775" t="inlineStr">
        <is>
          <t>Président</t>
        </is>
      </c>
      <c r="E3775" t="inlineStr">
        <is>
          <t>Paul J. LeBlanc</t>
        </is>
      </c>
      <c r="F3775" t="inlineStr">
        <is>
          <t>Various meetings and discussions with Agency officials and Government of Canada officials</t>
        </is>
      </c>
      <c r="G3775" t="inlineStr">
        <is>
          <t>Diverses réunions et discussions avec des fonctionnaires de l'Agence et du gouvernement du Canada</t>
        </is>
      </c>
      <c r="H3775" s="1" t="n">
        <v>40951</v>
      </c>
      <c r="I3775" s="1" t="n">
        <v>40954</v>
      </c>
      <c r="J3775" t="inlineStr">
        <is>
          <t>Halifax, Nova Scotia and Ottawa, Ontario</t>
        </is>
      </c>
      <c r="K3775" t="inlineStr">
        <is>
          <t>Halifax (Nouvelle-Écosse) et Ottawa (Ontario)</t>
        </is>
      </c>
      <c r="P3775" t="n">
        <v>1254.2</v>
      </c>
      <c r="Q3775" t="n">
        <v>83.73999999999999</v>
      </c>
      <c r="R3775" t="n">
        <v>498.93</v>
      </c>
      <c r="S3775" t="n">
        <v>289.55</v>
      </c>
      <c r="T3775" t="n">
        <v>113</v>
      </c>
      <c r="U3775" t="n">
        <v>2239.42</v>
      </c>
      <c r="X3775" t="inlineStr">
        <is>
          <t>acoa-apeca</t>
        </is>
      </c>
      <c r="Y3775" t="inlineStr">
        <is>
          <t>Atlantic Canada Opportunities Agency | Agence de promotion économique du Canada atlantique</t>
        </is>
      </c>
      <c r="Z3775" t="n">
        <v>4</v>
      </c>
      <c r="AA3775" t="n">
        <v>2239.42</v>
      </c>
      <c r="AB3775">
        <f>ROUND(U3775-AA3775,2)</f>
        <v/>
      </c>
      <c r="AC3775" t="b">
        <v>0</v>
      </c>
      <c r="AD3775">
        <f>IF(U3775="","MISSING_TOTAL",IF(ABS(AB3775)&lt;=0.01,"OK","CHECK"))</f>
        <v/>
      </c>
      <c r="AE3775">
        <f>IF(U3775="","MISSING",IF(AND(AA3775&gt;0,U3775/AA3775&gt;50),"POSSIBLE_SCALE_ERROR","OK"))</f>
        <v/>
      </c>
    </row>
    <row r="3776">
      <c r="A3776" t="inlineStr">
        <is>
          <t>T-2012-Q4-00060</t>
        </is>
      </c>
      <c r="B3776" t="inlineStr">
        <is>
          <t>SLE</t>
        </is>
      </c>
      <c r="C3776" t="inlineStr">
        <is>
          <t>Vice-President, New Brunswick</t>
        </is>
      </c>
      <c r="D3776" t="inlineStr">
        <is>
          <t>Vice-présidente, Nouveau-Brunswick</t>
        </is>
      </c>
      <c r="E3776" t="inlineStr">
        <is>
          <t>Janet Gagnon</t>
        </is>
      </c>
      <c r="F3776" t="inlineStr">
        <is>
          <t>Meeting with Vice-President, Finance &amp; Corporate Services D. Frenette</t>
        </is>
      </c>
      <c r="G3776" t="inlineStr">
        <is>
          <t>Réunion avec la vice-présidente des Finances et Services corporatifs, D. Frenette</t>
        </is>
      </c>
      <c r="H3776" s="1" t="n">
        <v>40947</v>
      </c>
      <c r="I3776" s="1" t="n">
        <v>40948</v>
      </c>
      <c r="J3776" t="inlineStr">
        <is>
          <t>Moncton, New Brunswick</t>
        </is>
      </c>
      <c r="K3776" t="inlineStr">
        <is>
          <t>Moncton (Nouveau-Brunswick)</t>
        </is>
      </c>
      <c r="P3776" t="n">
        <v>0</v>
      </c>
      <c r="Q3776" t="n">
        <v>29</v>
      </c>
      <c r="R3776" t="n">
        <v>162.72</v>
      </c>
      <c r="S3776" t="n">
        <v>74.90000000000001</v>
      </c>
      <c r="T3776" t="n">
        <v>4</v>
      </c>
      <c r="U3776" t="n">
        <v>270.62</v>
      </c>
      <c r="X3776" t="inlineStr">
        <is>
          <t>acoa-apeca</t>
        </is>
      </c>
      <c r="Y3776" t="inlineStr">
        <is>
          <t>Atlantic Canada Opportunities Agency | Agence de promotion économique du Canada atlantique</t>
        </is>
      </c>
      <c r="Z3776" t="n">
        <v>2</v>
      </c>
      <c r="AA3776" t="n">
        <v>270.62</v>
      </c>
      <c r="AB3776">
        <f>ROUND(U3776-AA3776,2)</f>
        <v/>
      </c>
      <c r="AC3776" t="b">
        <v>0</v>
      </c>
      <c r="AD3776">
        <f>IF(U3776="","MISSING_TOTAL",IF(ABS(AB3776)&lt;=0.01,"OK","CHECK"))</f>
        <v/>
      </c>
      <c r="AE3776">
        <f>IF(U3776="","MISSING",IF(AND(AA3776&gt;0,U3776/AA3776&gt;50),"POSSIBLE_SCALE_ERROR","OK"))</f>
        <v/>
      </c>
    </row>
    <row r="3777">
      <c r="A3777" t="inlineStr">
        <is>
          <t>T-2012-Q4-00059</t>
        </is>
      </c>
      <c r="B3777" t="inlineStr">
        <is>
          <t>SLE</t>
        </is>
      </c>
      <c r="C3777" t="inlineStr">
        <is>
          <t>Vice-President, Newfoundland and Labrador</t>
        </is>
      </c>
      <c r="D3777" t="inlineStr">
        <is>
          <t>Vice-président, Terre-Neuve-et-Labrador</t>
        </is>
      </c>
      <c r="E3777" t="inlineStr">
        <is>
          <t>Paul Mills</t>
        </is>
      </c>
      <c r="F3777" t="inlineStr">
        <is>
          <t>To attend Directors Education Program Training</t>
        </is>
      </c>
      <c r="G3777" t="inlineStr">
        <is>
          <t>Suivre une formation du Directors Education Program</t>
        </is>
      </c>
      <c r="H3777" s="1" t="n">
        <v>40947</v>
      </c>
      <c r="I3777" s="1" t="n">
        <v>40952</v>
      </c>
      <c r="J3777" t="inlineStr">
        <is>
          <t>Toronto, Ontario</t>
        </is>
      </c>
      <c r="K3777" t="inlineStr">
        <is>
          <t>Toronto (Ontario)</t>
        </is>
      </c>
      <c r="P3777" t="n">
        <v>1377.02</v>
      </c>
      <c r="Q3777" t="n">
        <v>178</v>
      </c>
      <c r="R3777" t="n">
        <v>841.85</v>
      </c>
      <c r="S3777" t="n">
        <v>425.85</v>
      </c>
      <c r="T3777" t="n">
        <v>16.66</v>
      </c>
      <c r="U3777" t="n">
        <v>2839.38</v>
      </c>
      <c r="X3777" t="inlineStr">
        <is>
          <t>acoa-apeca</t>
        </is>
      </c>
      <c r="Y3777" t="inlineStr">
        <is>
          <t>Atlantic Canada Opportunities Agency | Agence de promotion économique du Canada atlantique</t>
        </is>
      </c>
      <c r="Z3777" t="n">
        <v>6</v>
      </c>
      <c r="AA3777" t="n">
        <v>2839.37999999999</v>
      </c>
      <c r="AB3777">
        <f>ROUND(U3777-AA3777,2)</f>
        <v/>
      </c>
      <c r="AC3777" t="b">
        <v>0</v>
      </c>
      <c r="AD3777">
        <f>IF(U3777="","MISSING_TOTAL",IF(ABS(AB3777)&lt;=0.01,"OK","CHECK"))</f>
        <v/>
      </c>
      <c r="AE3777">
        <f>IF(U3777="","MISSING",IF(AND(AA3777&gt;0,U3777/AA3777&gt;50),"POSSIBLE_SCALE_ERROR","OK"))</f>
        <v/>
      </c>
    </row>
    <row r="3778">
      <c r="A3778" t="inlineStr">
        <is>
          <t>T-2012-Q4-00057</t>
        </is>
      </c>
      <c r="B3778" t="inlineStr">
        <is>
          <t>SLE</t>
        </is>
      </c>
      <c r="C3778" t="inlineStr">
        <is>
          <t>Vice-President, Finance and Corporate Services</t>
        </is>
      </c>
      <c r="D3778" t="inlineStr">
        <is>
          <t>Vice-présidente, Finances et Services corporatifs</t>
        </is>
      </c>
      <c r="E3778" t="inlineStr">
        <is>
          <t>Denise Frenette</t>
        </is>
      </c>
      <c r="F3778" t="inlineStr">
        <is>
          <t>Meetings with Government of Canada officials</t>
        </is>
      </c>
      <c r="G3778" t="inlineStr">
        <is>
          <t>Réunions avec des fonctionnaires du gouvernement du Canada</t>
        </is>
      </c>
      <c r="H3778" s="1" t="n">
        <v>40946</v>
      </c>
      <c r="I3778" s="1" t="n">
        <v>40946</v>
      </c>
      <c r="J3778" t="inlineStr">
        <is>
          <t>Ottawa, Ontario</t>
        </is>
      </c>
      <c r="K3778" t="inlineStr">
        <is>
          <t>Ottawa (Ontario)</t>
        </is>
      </c>
      <c r="P3778" t="n">
        <v>1075.76</v>
      </c>
      <c r="Q3778" t="n">
        <v>84.91</v>
      </c>
      <c r="R3778" t="n">
        <v>0</v>
      </c>
      <c r="S3778" t="n">
        <v>54.9</v>
      </c>
      <c r="T3778" t="n">
        <v>0</v>
      </c>
      <c r="U3778" t="n">
        <v>1215.57</v>
      </c>
      <c r="X3778" t="inlineStr">
        <is>
          <t>acoa-apeca</t>
        </is>
      </c>
      <c r="Y3778" t="inlineStr">
        <is>
          <t>Atlantic Canada Opportunities Agency | Agence de promotion économique du Canada atlantique</t>
        </is>
      </c>
      <c r="Z3778" t="n">
        <v>1</v>
      </c>
      <c r="AA3778" t="n">
        <v>1215.57</v>
      </c>
      <c r="AB3778">
        <f>ROUND(U3778-AA3778,2)</f>
        <v/>
      </c>
      <c r="AC3778" t="b">
        <v>0</v>
      </c>
      <c r="AD3778">
        <f>IF(U3778="","MISSING_TOTAL",IF(ABS(AB3778)&lt;=0.01,"OK","CHECK"))</f>
        <v/>
      </c>
      <c r="AE3778">
        <f>IF(U3778="","MISSING",IF(AND(AA3778&gt;0,U3778/AA3778&gt;50),"POSSIBLE_SCALE_ERROR","OK"))</f>
        <v/>
      </c>
    </row>
    <row r="3779">
      <c r="A3779" t="inlineStr">
        <is>
          <t>T-2012-Q4-00056</t>
        </is>
      </c>
      <c r="B3779" t="inlineStr">
        <is>
          <t>SLE</t>
        </is>
      </c>
      <c r="C3779" t="inlineStr">
        <is>
          <t>President</t>
        </is>
      </c>
      <c r="D3779" t="inlineStr">
        <is>
          <t>Président</t>
        </is>
      </c>
      <c r="E3779" t="inlineStr">
        <is>
          <t>Paul J. LeBlanc</t>
        </is>
      </c>
      <c r="F3779" t="inlineStr">
        <is>
          <t>For various meetings and discussions with: Agency officials; with Government of Canada officials; with provincial government officials.</t>
        </is>
      </c>
      <c r="G3779" t="inlineStr">
        <is>
          <t>Diverses réunions et discussions avec des fonctionnaires de l'Agence ainsi que des fonctionnaires fédéraux et provinciaux</t>
        </is>
      </c>
      <c r="H3779" s="1" t="n">
        <v>40945</v>
      </c>
      <c r="I3779" s="1" t="n">
        <v>40949</v>
      </c>
      <c r="J3779" t="inlineStr">
        <is>
          <t>Ottawa, Ontario and Halifax, Nova Scotia</t>
        </is>
      </c>
      <c r="K3779" t="inlineStr">
        <is>
          <t>Ottawa (Ontario) et Halifax (Nouvelle-Écosse)</t>
        </is>
      </c>
      <c r="P3779" t="n">
        <v>741.36</v>
      </c>
      <c r="Q3779" t="n">
        <v>167.66</v>
      </c>
      <c r="R3779" t="n">
        <v>678.6</v>
      </c>
      <c r="S3779" t="n">
        <v>366.75</v>
      </c>
      <c r="T3779" t="n">
        <v>0</v>
      </c>
      <c r="U3779" t="n">
        <v>1954.37</v>
      </c>
      <c r="X3779" t="inlineStr">
        <is>
          <t>acoa-apeca</t>
        </is>
      </c>
      <c r="Y3779" t="inlineStr">
        <is>
          <t>Atlantic Canada Opportunities Agency | Agence de promotion économique du Canada atlantique</t>
        </is>
      </c>
      <c r="Z3779" t="n">
        <v>5</v>
      </c>
      <c r="AA3779" t="n">
        <v>1954.37</v>
      </c>
      <c r="AB3779">
        <f>ROUND(U3779-AA3779,2)</f>
        <v/>
      </c>
      <c r="AC3779" t="b">
        <v>0</v>
      </c>
      <c r="AD3779">
        <f>IF(U3779="","MISSING_TOTAL",IF(ABS(AB3779)&lt;=0.01,"OK","CHECK"))</f>
        <v/>
      </c>
      <c r="AE3779">
        <f>IF(U3779="","MISSING",IF(AND(AA3779&gt;0,U3779/AA3779&gt;50),"POSSIBLE_SCALE_ERROR","OK"))</f>
        <v/>
      </c>
    </row>
    <row r="3780">
      <c r="A3780" t="inlineStr">
        <is>
          <t>T-2012-Q4-00055</t>
        </is>
      </c>
      <c r="B3780" t="inlineStr">
        <is>
          <t>MPSES</t>
        </is>
      </c>
      <c r="C3780" t="inlineStr">
        <is>
          <t>Constituency Assistant to Robert Goguen</t>
        </is>
      </c>
      <c r="D3780" t="inlineStr">
        <is>
          <t>Adjoint de circonscription pour Robert Goguen</t>
        </is>
      </c>
      <c r="E3780" t="inlineStr">
        <is>
          <t>Mark Doiron</t>
        </is>
      </c>
      <c r="F3780" t="inlineStr">
        <is>
          <t>Travel to accompany MP Goguen for various ACOA meetings and announcements</t>
        </is>
      </c>
      <c r="G3780" t="inlineStr">
        <is>
          <t>Voyage pour accompagner le député Goguen à diverses réunions et annonces de l'APECA</t>
        </is>
      </c>
      <c r="H3780" s="1" t="n">
        <v>40941</v>
      </c>
      <c r="I3780" s="1" t="n">
        <v>40942</v>
      </c>
      <c r="J3780" t="inlineStr">
        <is>
          <t>St. John's, Newfoundland and Labrador</t>
        </is>
      </c>
      <c r="K3780" t="inlineStr">
        <is>
          <t>St. John's (Terre-Neuve-et-Labrador)</t>
        </is>
      </c>
      <c r="P3780" t="n">
        <v>1250.12</v>
      </c>
      <c r="Q3780" t="n">
        <v>0</v>
      </c>
      <c r="R3780" t="n">
        <v>149.64</v>
      </c>
      <c r="S3780" t="n">
        <v>145.15</v>
      </c>
      <c r="T3780" t="n">
        <v>0</v>
      </c>
      <c r="U3780" t="n">
        <v>1544.91</v>
      </c>
      <c r="X3780" t="inlineStr">
        <is>
          <t>acoa-apeca</t>
        </is>
      </c>
      <c r="Y3780" t="inlineStr">
        <is>
          <t>Atlantic Canada Opportunities Agency | Agence de promotion économique du Canada atlantique</t>
        </is>
      </c>
      <c r="Z3780" t="n">
        <v>2</v>
      </c>
      <c r="AA3780" t="n">
        <v>1544.90999999999</v>
      </c>
      <c r="AB3780">
        <f>ROUND(U3780-AA3780,2)</f>
        <v/>
      </c>
      <c r="AC3780" t="b">
        <v>0</v>
      </c>
      <c r="AD3780">
        <f>IF(U3780="","MISSING_TOTAL",IF(ABS(AB3780)&lt;=0.01,"OK","CHECK"))</f>
        <v/>
      </c>
      <c r="AE3780">
        <f>IF(U3780="","MISSING",IF(AND(AA3780&gt;0,U3780/AA3780&gt;50),"POSSIBLE_SCALE_ERROR","OK"))</f>
        <v/>
      </c>
    </row>
    <row r="3781">
      <c r="A3781" t="inlineStr">
        <is>
          <t>T-2012-Q4-00054</t>
        </is>
      </c>
      <c r="B3781" t="inlineStr">
        <is>
          <t>MPSES</t>
        </is>
      </c>
      <c r="C3781" t="inlineStr">
        <is>
          <t>Member of Parliament</t>
        </is>
      </c>
      <c r="D3781" t="inlineStr">
        <is>
          <t>Député</t>
        </is>
      </c>
      <c r="E3781" t="inlineStr">
        <is>
          <t>Robert Goguen</t>
        </is>
      </c>
      <c r="F3781" t="inlineStr">
        <is>
          <t>Travel on behalf on MoS for various ACOA meetings and announcements</t>
        </is>
      </c>
      <c r="G3781" t="inlineStr">
        <is>
          <t>Voyage pour représenter le ministre d'État à diverses réunions et annonces de l'APECA</t>
        </is>
      </c>
      <c r="H3781" s="1" t="n">
        <v>40941</v>
      </c>
      <c r="I3781" s="1" t="n">
        <v>40942</v>
      </c>
      <c r="J3781" t="inlineStr">
        <is>
          <t>St. John's, Newfoundland and Labrador</t>
        </is>
      </c>
      <c r="K3781" t="inlineStr">
        <is>
          <t>St. John's (Terre-Neuve-et-Labrador)</t>
        </is>
      </c>
      <c r="P3781" t="n">
        <v>1698.08</v>
      </c>
      <c r="Q3781" t="n">
        <v>30</v>
      </c>
      <c r="R3781" t="n">
        <v>149.64</v>
      </c>
      <c r="S3781" t="n">
        <v>47.25</v>
      </c>
      <c r="T3781" t="n">
        <v>0</v>
      </c>
      <c r="U3781" t="n">
        <v>1924.97</v>
      </c>
      <c r="X3781" t="inlineStr">
        <is>
          <t>acoa-apeca</t>
        </is>
      </c>
      <c r="Y3781" t="inlineStr">
        <is>
          <t>Atlantic Canada Opportunities Agency | Agence de promotion économique du Canada atlantique</t>
        </is>
      </c>
      <c r="Z3781" t="n">
        <v>2</v>
      </c>
      <c r="AA3781" t="n">
        <v>1924.96999999999</v>
      </c>
      <c r="AB3781">
        <f>ROUND(U3781-AA3781,2)</f>
        <v/>
      </c>
      <c r="AC3781" t="b">
        <v>0</v>
      </c>
      <c r="AD3781">
        <f>IF(U3781="","MISSING_TOTAL",IF(ABS(AB3781)&lt;=0.01,"OK","CHECK"))</f>
        <v/>
      </c>
      <c r="AE3781">
        <f>IF(U3781="","MISSING",IF(AND(AA3781&gt;0,U3781/AA3781&gt;50),"POSSIBLE_SCALE_ERROR","OK"))</f>
        <v/>
      </c>
    </row>
    <row r="3782">
      <c r="A3782" t="inlineStr">
        <is>
          <t>T-2012-Q4-00051</t>
        </is>
      </c>
      <c r="B3782" t="inlineStr">
        <is>
          <t>MPSES</t>
        </is>
      </c>
      <c r="C3782" t="inlineStr">
        <is>
          <t>Minister of State</t>
        </is>
      </c>
      <c r="D3782" t="inlineStr">
        <is>
          <t>Ministre d'État</t>
        </is>
      </c>
      <c r="E3782" t="inlineStr">
        <is>
          <t>Bernard Valcourt</t>
        </is>
      </c>
      <c r="F3782" t="inlineStr">
        <is>
          <t>Various meetings and announcements for ACOA</t>
        </is>
      </c>
      <c r="G3782" t="inlineStr">
        <is>
          <t>Diverses rencontres et annonces pour l'APECA</t>
        </is>
      </c>
      <c r="H3782" s="1" t="n">
        <v>40941</v>
      </c>
      <c r="I3782" s="1" t="n">
        <v>40943</v>
      </c>
      <c r="J3782" t="inlineStr">
        <is>
          <t>Fredericton, New Brunswick</t>
        </is>
      </c>
      <c r="K3782" t="inlineStr">
        <is>
          <t>Fredericton (Nouveau-Brunswick)</t>
        </is>
      </c>
      <c r="P3782" t="n">
        <v>952.66</v>
      </c>
      <c r="Q3782" t="n">
        <v>334.88</v>
      </c>
      <c r="R3782" t="n">
        <v>152.55</v>
      </c>
      <c r="S3782" t="n">
        <v>143.2</v>
      </c>
      <c r="T3782" t="n">
        <v>0</v>
      </c>
      <c r="U3782" t="n">
        <v>1583.29</v>
      </c>
      <c r="X3782" t="inlineStr">
        <is>
          <t>acoa-apeca</t>
        </is>
      </c>
      <c r="Y3782" t="inlineStr">
        <is>
          <t>Atlantic Canada Opportunities Agency | Agence de promotion économique du Canada atlantique</t>
        </is>
      </c>
      <c r="Z3782" t="n">
        <v>3</v>
      </c>
      <c r="AA3782" t="n">
        <v>1583.29</v>
      </c>
      <c r="AB3782">
        <f>ROUND(U3782-AA3782,2)</f>
        <v/>
      </c>
      <c r="AC3782" t="b">
        <v>0</v>
      </c>
      <c r="AD3782">
        <f>IF(U3782="","MISSING_TOTAL",IF(ABS(AB3782)&lt;=0.01,"OK","CHECK"))</f>
        <v/>
      </c>
      <c r="AE3782">
        <f>IF(U3782="","MISSING",IF(AND(AA3782&gt;0,U3782/AA3782&gt;50),"POSSIBLE_SCALE_ERROR","OK"))</f>
        <v/>
      </c>
    </row>
    <row r="3783">
      <c r="A3783" t="inlineStr">
        <is>
          <t>T-2012-Q4-00050</t>
        </is>
      </c>
      <c r="B3783" t="inlineStr">
        <is>
          <t>MPSES</t>
        </is>
      </c>
      <c r="C3783" t="inlineStr">
        <is>
          <t>Executive Assistant and Press Secretary</t>
        </is>
      </c>
      <c r="D3783" t="inlineStr">
        <is>
          <t>Adjointe exécutive et attaché de presse</t>
        </is>
      </c>
      <c r="E3783" t="inlineStr">
        <is>
          <t>Andrea Richer</t>
        </is>
      </c>
      <c r="F3783" t="inlineStr">
        <is>
          <t>Travel with MoS to attend ACOA announcements</t>
        </is>
      </c>
      <c r="G3783" t="inlineStr">
        <is>
          <t>Voyage pour assister à des annonces de l'APECA avec le ministre d'État</t>
        </is>
      </c>
      <c r="H3783" s="1" t="n">
        <v>40941</v>
      </c>
      <c r="I3783" s="1" t="n">
        <v>40943</v>
      </c>
      <c r="J3783" t="inlineStr">
        <is>
          <t>Fredericton and Edmundston, New Brunswick</t>
        </is>
      </c>
      <c r="K3783" t="inlineStr">
        <is>
          <t>Fredericton et Edmundston (Nouveau-Brunswick)</t>
        </is>
      </c>
      <c r="P3783" t="n">
        <v>952.66</v>
      </c>
      <c r="Q3783" t="n">
        <v>57.5</v>
      </c>
      <c r="R3783" t="n">
        <v>261.03</v>
      </c>
      <c r="S3783" t="n">
        <v>120.2</v>
      </c>
      <c r="T3783" t="n">
        <v>0</v>
      </c>
      <c r="U3783" t="n">
        <v>1391.39</v>
      </c>
      <c r="X3783" t="inlineStr">
        <is>
          <t>acoa-apeca</t>
        </is>
      </c>
      <c r="Y3783" t="inlineStr">
        <is>
          <t>Atlantic Canada Opportunities Agency | Agence de promotion économique du Canada atlantique</t>
        </is>
      </c>
      <c r="Z3783" t="n">
        <v>3</v>
      </c>
      <c r="AA3783" t="n">
        <v>1391.39</v>
      </c>
      <c r="AB3783">
        <f>ROUND(U3783-AA3783,2)</f>
        <v/>
      </c>
      <c r="AC3783" t="b">
        <v>0</v>
      </c>
      <c r="AD3783">
        <f>IF(U3783="","MISSING_TOTAL",IF(ABS(AB3783)&lt;=0.01,"OK","CHECK"))</f>
        <v/>
      </c>
      <c r="AE3783">
        <f>IF(U3783="","MISSING",IF(AND(AA3783&gt;0,U3783/AA3783&gt;50),"POSSIBLE_SCALE_ERROR","OK"))</f>
        <v/>
      </c>
    </row>
    <row r="3784">
      <c r="A3784" t="inlineStr">
        <is>
          <t>T-2012-Q4-00049</t>
        </is>
      </c>
      <c r="B3784" t="inlineStr">
        <is>
          <t>SLE</t>
        </is>
      </c>
      <c r="C3784" t="inlineStr">
        <is>
          <t>Vice-President, Prince Edward Island</t>
        </is>
      </c>
      <c r="D3784" t="inlineStr">
        <is>
          <t>Vice-président, Île-du-Prince-Édouard</t>
        </is>
      </c>
      <c r="E3784" t="inlineStr">
        <is>
          <t>Patrick Dorsey</t>
        </is>
      </c>
      <c r="F3784" t="inlineStr">
        <is>
          <t>To attend a meeting with Agency officials</t>
        </is>
      </c>
      <c r="G3784" t="inlineStr">
        <is>
          <t>Assister à une réunion avec des fonctionnaires de l'Agence</t>
        </is>
      </c>
      <c r="H3784" s="1" t="n">
        <v>40940</v>
      </c>
      <c r="I3784" s="1" t="n">
        <v>40942</v>
      </c>
      <c r="J3784" t="inlineStr">
        <is>
          <t>Moncton, New Brunswick</t>
        </is>
      </c>
      <c r="K3784" t="inlineStr">
        <is>
          <t>Moncton (Nouveau-Brunswick)</t>
        </is>
      </c>
      <c r="P3784" t="n">
        <v>0</v>
      </c>
      <c r="Q3784" t="n">
        <v>44.25</v>
      </c>
      <c r="R3784" t="n">
        <v>291.54</v>
      </c>
      <c r="S3784" t="n">
        <v>177.8</v>
      </c>
      <c r="T3784" t="n">
        <v>0</v>
      </c>
      <c r="U3784" t="n">
        <v>513.59</v>
      </c>
      <c r="X3784" t="inlineStr">
        <is>
          <t>acoa-apeca</t>
        </is>
      </c>
      <c r="Y3784" t="inlineStr">
        <is>
          <t>Atlantic Canada Opportunities Agency | Agence de promotion économique du Canada atlantique</t>
        </is>
      </c>
      <c r="Z3784" t="n">
        <v>3</v>
      </c>
      <c r="AA3784" t="n">
        <v>513.59</v>
      </c>
      <c r="AB3784">
        <f>ROUND(U3784-AA3784,2)</f>
        <v/>
      </c>
      <c r="AC3784" t="b">
        <v>0</v>
      </c>
      <c r="AD3784">
        <f>IF(U3784="","MISSING_TOTAL",IF(ABS(AB3784)&lt;=0.01,"OK","CHECK"))</f>
        <v/>
      </c>
      <c r="AE3784">
        <f>IF(U3784="","MISSING",IF(AND(AA3784&gt;0,U3784/AA3784&gt;50),"POSSIBLE_SCALE_ERROR","OK"))</f>
        <v/>
      </c>
    </row>
    <row r="3785">
      <c r="A3785" t="inlineStr">
        <is>
          <t>T-2012-Q4-00047</t>
        </is>
      </c>
      <c r="B3785" t="inlineStr">
        <is>
          <t>SLE</t>
        </is>
      </c>
      <c r="C3785" t="inlineStr">
        <is>
          <t>Vice-President, Newfoundland and Labrador</t>
        </is>
      </c>
      <c r="D3785" t="inlineStr">
        <is>
          <t>Vice-président, Terre-Neuve-et-Labrador</t>
        </is>
      </c>
      <c r="E3785" t="inlineStr">
        <is>
          <t>Paul Mills</t>
        </is>
      </c>
      <c r="F3785" t="inlineStr">
        <is>
          <t>To attend meeting with President and Vice Presidents</t>
        </is>
      </c>
      <c r="G3785" t="inlineStr">
        <is>
          <t>Assister à une réunion avec le président et les vice-présidents</t>
        </is>
      </c>
      <c r="H3785" s="1" t="n">
        <v>40940</v>
      </c>
      <c r="I3785" s="1" t="n">
        <v>40942</v>
      </c>
      <c r="J3785" t="inlineStr">
        <is>
          <t>Moncton, New Brunswick</t>
        </is>
      </c>
      <c r="K3785" t="inlineStr">
        <is>
          <t>Moncton (Nouveau-Brunswick)</t>
        </is>
      </c>
      <c r="P3785" t="n">
        <v>1377.02</v>
      </c>
      <c r="Q3785" t="n">
        <v>310.34</v>
      </c>
      <c r="R3785" t="n">
        <v>285.36</v>
      </c>
      <c r="S3785" t="n">
        <v>177.8</v>
      </c>
      <c r="T3785" t="n">
        <v>21.01</v>
      </c>
      <c r="U3785" t="n">
        <v>2171.53</v>
      </c>
      <c r="X3785" t="inlineStr">
        <is>
          <t>acoa-apeca</t>
        </is>
      </c>
      <c r="Y3785" t="inlineStr">
        <is>
          <t>Atlantic Canada Opportunities Agency | Agence de promotion économique du Canada atlantique</t>
        </is>
      </c>
      <c r="Z3785" t="n">
        <v>3</v>
      </c>
      <c r="AA3785" t="n">
        <v>2171.53</v>
      </c>
      <c r="AB3785">
        <f>ROUND(U3785-AA3785,2)</f>
        <v/>
      </c>
      <c r="AC3785" t="b">
        <v>0</v>
      </c>
      <c r="AD3785">
        <f>IF(U3785="","MISSING_TOTAL",IF(ABS(AB3785)&lt;=0.01,"OK","CHECK"))</f>
        <v/>
      </c>
      <c r="AE3785">
        <f>IF(U3785="","MISSING",IF(AND(AA3785&gt;0,U3785/AA3785&gt;50),"POSSIBLE_SCALE_ERROR","OK"))</f>
        <v/>
      </c>
    </row>
    <row r="3786">
      <c r="A3786" t="inlineStr">
        <is>
          <t>T-2012-Q4-00046</t>
        </is>
      </c>
      <c r="B3786" t="inlineStr">
        <is>
          <t>SLE</t>
        </is>
      </c>
      <c r="C3786" t="inlineStr">
        <is>
          <t>Vice President, Nova Scotia</t>
        </is>
      </c>
      <c r="D3786" t="inlineStr">
        <is>
          <t>Vice-président, Nouvelle-Écosse</t>
        </is>
      </c>
      <c r="E3786" t="inlineStr">
        <is>
          <t>Peter Hogan</t>
        </is>
      </c>
      <c r="F3786" t="inlineStr">
        <is>
          <t>Various meetings with Government of Canada and Agency officials</t>
        </is>
      </c>
      <c r="G3786" t="inlineStr">
        <is>
          <t>Diverses réunions avec des fonctionnaires du gouvernement du Canada et de l'Agence</t>
        </is>
      </c>
      <c r="H3786" s="1" t="n">
        <v>40938</v>
      </c>
      <c r="I3786" s="1" t="n">
        <v>40940</v>
      </c>
      <c r="J3786" t="inlineStr">
        <is>
          <t>Ottawa, Ontario and Moncton, New Brunswick</t>
        </is>
      </c>
      <c r="K3786" t="inlineStr">
        <is>
          <t>Ottawa (Ontario) et Moncton (Nouveau-Brunswick)</t>
        </is>
      </c>
      <c r="P3786" t="n">
        <v>1656.54</v>
      </c>
      <c r="Q3786" t="n">
        <v>221.2</v>
      </c>
      <c r="R3786" t="n">
        <v>320.92</v>
      </c>
      <c r="S3786" t="n">
        <v>218.1</v>
      </c>
      <c r="T3786" t="n">
        <v>0</v>
      </c>
      <c r="U3786" t="n">
        <v>2416.76</v>
      </c>
      <c r="X3786" t="inlineStr">
        <is>
          <t>acoa-apeca</t>
        </is>
      </c>
      <c r="Y3786" t="inlineStr">
        <is>
          <t>Atlantic Canada Opportunities Agency | Agence de promotion économique du Canada atlantique</t>
        </is>
      </c>
      <c r="Z3786" t="n">
        <v>3</v>
      </c>
      <c r="AA3786" t="n">
        <v>2416.75999999999</v>
      </c>
      <c r="AB3786">
        <f>ROUND(U3786-AA3786,2)</f>
        <v/>
      </c>
      <c r="AC3786" t="b">
        <v>0</v>
      </c>
      <c r="AD3786">
        <f>IF(U3786="","MISSING_TOTAL",IF(ABS(AB3786)&lt;=0.01,"OK","CHECK"))</f>
        <v/>
      </c>
      <c r="AE3786">
        <f>IF(U3786="","MISSING",IF(AND(AA3786&gt;0,U3786/AA3786&gt;50),"POSSIBLE_SCALE_ERROR","OK"))</f>
        <v/>
      </c>
    </row>
    <row r="3787">
      <c r="A3787" t="inlineStr">
        <is>
          <t>T-2012-Q4-00045</t>
        </is>
      </c>
      <c r="B3787" t="inlineStr">
        <is>
          <t>SLE</t>
        </is>
      </c>
      <c r="C3787" t="inlineStr">
        <is>
          <t>President</t>
        </is>
      </c>
      <c r="D3787" t="inlineStr">
        <is>
          <t>Président</t>
        </is>
      </c>
      <c r="E3787" t="inlineStr">
        <is>
          <t>Paul J. LeBlanc</t>
        </is>
      </c>
      <c r="F3787" t="inlineStr">
        <is>
          <t>For various meetings and discussions with: Agency officials; with Government of Canada officials</t>
        </is>
      </c>
      <c r="G3787" t="inlineStr">
        <is>
          <t>Diverses réunions et discussions avec des fonctionnaires de l'Agence et du gouvernement du Canada</t>
        </is>
      </c>
      <c r="H3787" s="1" t="n">
        <v>40938</v>
      </c>
      <c r="I3787" s="1" t="n">
        <v>40939</v>
      </c>
      <c r="J3787" t="inlineStr">
        <is>
          <t>Ottawa, Ontario</t>
        </is>
      </c>
      <c r="K3787" t="inlineStr">
        <is>
          <t>Ottawa (Ontario)</t>
        </is>
      </c>
      <c r="P3787" t="n">
        <v>763.88</v>
      </c>
      <c r="Q3787" t="n">
        <v>0</v>
      </c>
      <c r="R3787" t="n">
        <v>179.67</v>
      </c>
      <c r="S3787" t="n">
        <v>145.15</v>
      </c>
      <c r="T3787" t="n">
        <v>56.5</v>
      </c>
      <c r="U3787" t="n">
        <v>1145.2</v>
      </c>
      <c r="X3787" t="inlineStr">
        <is>
          <t>acoa-apeca</t>
        </is>
      </c>
      <c r="Y3787" t="inlineStr">
        <is>
          <t>Atlantic Canada Opportunities Agency | Agence de promotion économique du Canada atlantique</t>
        </is>
      </c>
      <c r="Z3787" t="n">
        <v>2</v>
      </c>
      <c r="AA3787" t="n">
        <v>1145.2</v>
      </c>
      <c r="AB3787">
        <f>ROUND(U3787-AA3787,2)</f>
        <v/>
      </c>
      <c r="AC3787" t="b">
        <v>0</v>
      </c>
      <c r="AD3787">
        <f>IF(U3787="","MISSING_TOTAL",IF(ABS(AB3787)&lt;=0.01,"OK","CHECK"))</f>
        <v/>
      </c>
      <c r="AE3787">
        <f>IF(U3787="","MISSING",IF(AND(AA3787&gt;0,U3787/AA3787&gt;50),"POSSIBLE_SCALE_ERROR","OK"))</f>
        <v/>
      </c>
    </row>
    <row r="3788">
      <c r="A3788" t="inlineStr">
        <is>
          <t>T-2012-Q4-00043</t>
        </is>
      </c>
      <c r="B3788" t="inlineStr">
        <is>
          <t>SLE</t>
        </is>
      </c>
      <c r="C3788" t="inlineStr">
        <is>
          <t>Vice President, Nova Scotia</t>
        </is>
      </c>
      <c r="D3788" t="inlineStr">
        <is>
          <t>Vice-président, Nouvelle-Écosse</t>
        </is>
      </c>
      <c r="E3788" t="inlineStr">
        <is>
          <t>Peter Hogan</t>
        </is>
      </c>
      <c r="F3788" t="inlineStr">
        <is>
          <t>Various meetings with Government of Canada officials</t>
        </is>
      </c>
      <c r="G3788" t="inlineStr">
        <is>
          <t>Diverses réunions avec des fonctionnaires du gouvernement du Canada</t>
        </is>
      </c>
      <c r="H3788" s="1" t="n">
        <v>40932</v>
      </c>
      <c r="I3788" s="1" t="n">
        <v>40933</v>
      </c>
      <c r="J3788" t="inlineStr">
        <is>
          <t>Ottawa, Ontario</t>
        </is>
      </c>
      <c r="K3788" t="inlineStr">
        <is>
          <t>Ottawa (Ontario)</t>
        </is>
      </c>
      <c r="P3788" t="n">
        <v>590.12</v>
      </c>
      <c r="Q3788" t="n">
        <v>127.2</v>
      </c>
      <c r="R3788" t="n">
        <v>175.15</v>
      </c>
      <c r="S3788" t="n">
        <v>145.15</v>
      </c>
      <c r="T3788" t="n">
        <v>0</v>
      </c>
      <c r="U3788" t="n">
        <v>1037.62</v>
      </c>
      <c r="X3788" t="inlineStr">
        <is>
          <t>acoa-apeca</t>
        </is>
      </c>
      <c r="Y3788" t="inlineStr">
        <is>
          <t>Atlantic Canada Opportunities Agency | Agence de promotion économique du Canada atlantique</t>
        </is>
      </c>
      <c r="Z3788" t="n">
        <v>2</v>
      </c>
      <c r="AA3788" t="n">
        <v>1037.62</v>
      </c>
      <c r="AB3788">
        <f>ROUND(U3788-AA3788,2)</f>
        <v/>
      </c>
      <c r="AC3788" t="b">
        <v>0</v>
      </c>
      <c r="AD3788">
        <f>IF(U3788="","MISSING_TOTAL",IF(ABS(AB3788)&lt;=0.01,"OK","CHECK"))</f>
        <v/>
      </c>
      <c r="AE3788">
        <f>IF(U3788="","MISSING",IF(AND(AA3788&gt;0,U3788/AA3788&gt;50),"POSSIBLE_SCALE_ERROR","OK"))</f>
        <v/>
      </c>
    </row>
    <row r="3789">
      <c r="A3789" t="inlineStr">
        <is>
          <t>T-2012-Q4-00042</t>
        </is>
      </c>
      <c r="B3789" t="inlineStr">
        <is>
          <t>SLE</t>
        </is>
      </c>
      <c r="C3789" t="inlineStr">
        <is>
          <t>Vice-President, Prince Edward Island</t>
        </is>
      </c>
      <c r="D3789" t="inlineStr">
        <is>
          <t>Vice-président, Île-du-Prince-Édouard</t>
        </is>
      </c>
      <c r="E3789" t="inlineStr">
        <is>
          <t>Patrick Dorsey</t>
        </is>
      </c>
      <c r="F3789" t="inlineStr">
        <is>
          <t>To attend Atlantic Canada Tourism Partnership meetings</t>
        </is>
      </c>
      <c r="G3789" t="inlineStr">
        <is>
          <t>Assister à des réunions du Partenariat du tourisme du Canada atlantique</t>
        </is>
      </c>
      <c r="H3789" s="1" t="n">
        <v>40932</v>
      </c>
      <c r="I3789" s="1" t="n">
        <v>40933</v>
      </c>
      <c r="J3789" t="inlineStr">
        <is>
          <t>Halifax, Nova Scotia</t>
        </is>
      </c>
      <c r="K3789" t="inlineStr">
        <is>
          <t>Halifax (Nouvelle-Écosse)</t>
        </is>
      </c>
      <c r="P3789" t="n">
        <v>0</v>
      </c>
      <c r="Q3789" t="n">
        <v>52.25</v>
      </c>
      <c r="R3789" t="n">
        <v>186.16</v>
      </c>
      <c r="S3789" t="n">
        <v>104.85</v>
      </c>
      <c r="T3789" t="n">
        <v>0</v>
      </c>
      <c r="U3789" t="n">
        <v>343.26</v>
      </c>
      <c r="X3789" t="inlineStr">
        <is>
          <t>acoa-apeca</t>
        </is>
      </c>
      <c r="Y3789" t="inlineStr">
        <is>
          <t>Atlantic Canada Opportunities Agency | Agence de promotion économique du Canada atlantique</t>
        </is>
      </c>
      <c r="Z3789" t="n">
        <v>2</v>
      </c>
      <c r="AA3789" t="n">
        <v>343.26</v>
      </c>
      <c r="AB3789">
        <f>ROUND(U3789-AA3789,2)</f>
        <v/>
      </c>
      <c r="AC3789" t="b">
        <v>0</v>
      </c>
      <c r="AD3789">
        <f>IF(U3789="","MISSING_TOTAL",IF(ABS(AB3789)&lt;=0.01,"OK","CHECK"))</f>
        <v/>
      </c>
      <c r="AE3789">
        <f>IF(U3789="","MISSING",IF(AND(AA3789&gt;0,U3789/AA3789&gt;50),"POSSIBLE_SCALE_ERROR","OK"))</f>
        <v/>
      </c>
    </row>
    <row r="3790">
      <c r="A3790" t="inlineStr">
        <is>
          <t>T-2012-Q4-00041</t>
        </is>
      </c>
      <c r="B3790" t="inlineStr">
        <is>
          <t>SLE</t>
        </is>
      </c>
      <c r="C3790" t="inlineStr">
        <is>
          <t>Vice-President, Finance and Corporate Services</t>
        </is>
      </c>
      <c r="D3790" t="inlineStr">
        <is>
          <t>Vice-présidente, Finances et Services corporatifs</t>
        </is>
      </c>
      <c r="E3790" t="inlineStr">
        <is>
          <t>Denise Frenette</t>
        </is>
      </c>
      <c r="F3790" t="inlineStr">
        <is>
          <t>Meetings with Agency officials</t>
        </is>
      </c>
      <c r="G3790" t="inlineStr">
        <is>
          <t>Réunions avec des fonctionnaires de l'Agence</t>
        </is>
      </c>
      <c r="H3790" s="1" t="n">
        <v>40931</v>
      </c>
      <c r="I3790" s="1" t="n">
        <v>40932</v>
      </c>
      <c r="J3790" t="inlineStr">
        <is>
          <t>Charlottetown, Prince Edward Island and St. John's, Newfoundland and Labrador</t>
        </is>
      </c>
      <c r="K3790" t="inlineStr">
        <is>
          <t>Charlottetown (Île-du-Prince-Édouard) et St. John's (Terre-Neuve-et-Labrador)</t>
        </is>
      </c>
      <c r="P3790" t="n">
        <v>1006.71</v>
      </c>
      <c r="Q3790" t="n">
        <v>18</v>
      </c>
      <c r="R3790" t="n">
        <v>149.64</v>
      </c>
      <c r="S3790" t="n">
        <v>119.45</v>
      </c>
      <c r="T3790" t="n">
        <v>0</v>
      </c>
      <c r="U3790" t="n">
        <v>1293.8</v>
      </c>
      <c r="X3790" t="inlineStr">
        <is>
          <t>acoa-apeca</t>
        </is>
      </c>
      <c r="Y3790" t="inlineStr">
        <is>
          <t>Atlantic Canada Opportunities Agency | Agence de promotion économique du Canada atlantique</t>
        </is>
      </c>
      <c r="Z3790" t="n">
        <v>2</v>
      </c>
      <c r="AA3790" t="n">
        <v>1293.8</v>
      </c>
      <c r="AB3790">
        <f>ROUND(U3790-AA3790,2)</f>
        <v/>
      </c>
      <c r="AC3790" t="b">
        <v>0</v>
      </c>
      <c r="AD3790">
        <f>IF(U3790="","MISSING_TOTAL",IF(ABS(AB3790)&lt;=0.01,"OK","CHECK"))</f>
        <v/>
      </c>
      <c r="AE3790">
        <f>IF(U3790="","MISSING",IF(AND(AA3790&gt;0,U3790/AA3790&gt;50),"POSSIBLE_SCALE_ERROR","OK"))</f>
        <v/>
      </c>
    </row>
    <row r="3791">
      <c r="A3791" t="inlineStr">
        <is>
          <t>T-2012-Q4-00040</t>
        </is>
      </c>
      <c r="B3791" t="inlineStr">
        <is>
          <t>SLE</t>
        </is>
      </c>
      <c r="C3791" t="inlineStr">
        <is>
          <t>Vice-President, New Brunswick</t>
        </is>
      </c>
      <c r="D3791" t="inlineStr">
        <is>
          <t>Vice-présidente, Nouveau-Brunswick</t>
        </is>
      </c>
      <c r="E3791" t="inlineStr">
        <is>
          <t>Janet Gagnon</t>
        </is>
      </c>
      <c r="F3791" t="inlineStr">
        <is>
          <t>Minister's tour</t>
        </is>
      </c>
      <c r="G3791" t="inlineStr">
        <is>
          <t>Tournée du ministre</t>
        </is>
      </c>
      <c r="H3791" s="1" t="n">
        <v>40931</v>
      </c>
      <c r="I3791" s="1" t="n">
        <v>40931</v>
      </c>
      <c r="J3791" t="inlineStr">
        <is>
          <t>Moncton, New Brunswick</t>
        </is>
      </c>
      <c r="K3791" t="inlineStr">
        <is>
          <t>Moncton (Nouveau-Brunswick)</t>
        </is>
      </c>
      <c r="P3791" t="n">
        <v>0</v>
      </c>
      <c r="Q3791" t="n">
        <v>6</v>
      </c>
      <c r="R3791" t="n">
        <v>0</v>
      </c>
      <c r="S3791" t="n">
        <v>70.25</v>
      </c>
      <c r="T3791" t="n">
        <v>0</v>
      </c>
      <c r="U3791" t="n">
        <v>76.25</v>
      </c>
      <c r="X3791" t="inlineStr">
        <is>
          <t>acoa-apeca</t>
        </is>
      </c>
      <c r="Y3791" t="inlineStr">
        <is>
          <t>Atlantic Canada Opportunities Agency | Agence de promotion économique du Canada atlantique</t>
        </is>
      </c>
      <c r="Z3791" t="n">
        <v>1</v>
      </c>
      <c r="AA3791" t="n">
        <v>76.25</v>
      </c>
      <c r="AB3791">
        <f>ROUND(U3791-AA3791,2)</f>
        <v/>
      </c>
      <c r="AC3791" t="b">
        <v>0</v>
      </c>
      <c r="AD3791">
        <f>IF(U3791="","MISSING_TOTAL",IF(ABS(AB3791)&lt;=0.01,"OK","CHECK"))</f>
        <v/>
      </c>
      <c r="AE3791">
        <f>IF(U3791="","MISSING",IF(AND(AA3791&gt;0,U3791/AA3791&gt;50),"POSSIBLE_SCALE_ERROR","OK"))</f>
        <v/>
      </c>
    </row>
    <row r="3792">
      <c r="A3792" t="inlineStr">
        <is>
          <t>T-2012-Q4-00038</t>
        </is>
      </c>
      <c r="B3792" t="inlineStr">
        <is>
          <t>SLE</t>
        </is>
      </c>
      <c r="C3792" t="inlineStr">
        <is>
          <t>President</t>
        </is>
      </c>
      <c r="D3792" t="inlineStr">
        <is>
          <t>Président</t>
        </is>
      </c>
      <c r="E3792" t="inlineStr">
        <is>
          <t>Paul J. LeBlanc</t>
        </is>
      </c>
      <c r="F3792" t="inlineStr">
        <is>
          <t>For various meetings and discussions with: Agency officials; with Government of Canada officials</t>
        </is>
      </c>
      <c r="G3792" t="inlineStr">
        <is>
          <t>Diverses réunions et discussions avec des fonctionnaires de l'Agence et du gouvernement du Canada</t>
        </is>
      </c>
      <c r="H3792" s="1" t="n">
        <v>40931</v>
      </c>
      <c r="I3792" s="1" t="n">
        <v>40934</v>
      </c>
      <c r="J3792" t="inlineStr">
        <is>
          <t>Ottawa, Ontario</t>
        </is>
      </c>
      <c r="K3792" t="inlineStr">
        <is>
          <t>Ottawa (Ontario)</t>
        </is>
      </c>
      <c r="P3792" t="n">
        <v>727.36</v>
      </c>
      <c r="Q3792" t="n">
        <v>25.74</v>
      </c>
      <c r="R3792" t="n">
        <v>539.01</v>
      </c>
      <c r="S3792" t="n">
        <v>184.75</v>
      </c>
      <c r="T3792" t="n">
        <v>0</v>
      </c>
      <c r="U3792" t="n">
        <v>1476.86</v>
      </c>
      <c r="X3792" t="inlineStr">
        <is>
          <t>acoa-apeca</t>
        </is>
      </c>
      <c r="Y3792" t="inlineStr">
        <is>
          <t>Atlantic Canada Opportunities Agency | Agence de promotion économique du Canada atlantique</t>
        </is>
      </c>
      <c r="Z3792" t="n">
        <v>4</v>
      </c>
      <c r="AA3792" t="n">
        <v>1476.86</v>
      </c>
      <c r="AB3792">
        <f>ROUND(U3792-AA3792,2)</f>
        <v/>
      </c>
      <c r="AC3792" t="b">
        <v>0</v>
      </c>
      <c r="AD3792">
        <f>IF(U3792="","MISSING_TOTAL",IF(ABS(AB3792)&lt;=0.01,"OK","CHECK"))</f>
        <v/>
      </c>
      <c r="AE3792">
        <f>IF(U3792="","MISSING",IF(AND(AA3792&gt;0,U3792/AA3792&gt;50),"POSSIBLE_SCALE_ERROR","OK"))</f>
        <v/>
      </c>
    </row>
    <row r="3793">
      <c r="A3793" t="inlineStr">
        <is>
          <t>T-2012-Q4-00037</t>
        </is>
      </c>
      <c r="B3793" t="inlineStr">
        <is>
          <t>MPSES</t>
        </is>
      </c>
      <c r="C3793" t="inlineStr">
        <is>
          <t>Minister of State</t>
        </is>
      </c>
      <c r="D3793" t="inlineStr">
        <is>
          <t>Ministre d'État</t>
        </is>
      </c>
      <c r="E3793" t="inlineStr">
        <is>
          <t>Bernard Valcourt</t>
        </is>
      </c>
      <c r="F3793" t="inlineStr">
        <is>
          <t>Various meetings and announcements for ACOA</t>
        </is>
      </c>
      <c r="G3793" t="inlineStr">
        <is>
          <t>Diverses rencontres et annonces pour l'APECA</t>
        </is>
      </c>
      <c r="H3793" s="1" t="n">
        <v>40930</v>
      </c>
      <c r="I3793" s="1" t="n">
        <v>40931</v>
      </c>
      <c r="J3793" t="inlineStr">
        <is>
          <t>Moncton and Fredericton, New Brunswick</t>
        </is>
      </c>
      <c r="K3793" t="inlineStr">
        <is>
          <t>Moncton et Fredericton (Nouveau-Brunswick)</t>
        </is>
      </c>
      <c r="P3793" t="n">
        <v>508.01</v>
      </c>
      <c r="Q3793" t="n">
        <v>0</v>
      </c>
      <c r="R3793" t="n">
        <v>152.55</v>
      </c>
      <c r="S3793" t="n">
        <v>127.85</v>
      </c>
      <c r="T3793" t="n">
        <v>0</v>
      </c>
      <c r="U3793" t="n">
        <v>788.41</v>
      </c>
      <c r="X3793" t="inlineStr">
        <is>
          <t>acoa-apeca</t>
        </is>
      </c>
      <c r="Y3793" t="inlineStr">
        <is>
          <t>Atlantic Canada Opportunities Agency | Agence de promotion économique du Canada atlantique</t>
        </is>
      </c>
      <c r="Z3793" t="n">
        <v>2</v>
      </c>
      <c r="AA3793" t="n">
        <v>788.41</v>
      </c>
      <c r="AB3793">
        <f>ROUND(U3793-AA3793,2)</f>
        <v/>
      </c>
      <c r="AC3793" t="b">
        <v>0</v>
      </c>
      <c r="AD3793">
        <f>IF(U3793="","MISSING_TOTAL",IF(ABS(AB3793)&lt;=0.01,"OK","CHECK"))</f>
        <v/>
      </c>
      <c r="AE3793">
        <f>IF(U3793="","MISSING",IF(AND(AA3793&gt;0,U3793/AA3793&gt;50),"POSSIBLE_SCALE_ERROR","OK"))</f>
        <v/>
      </c>
    </row>
    <row r="3794">
      <c r="A3794" t="inlineStr">
        <is>
          <t>T-2012-Q4-00036</t>
        </is>
      </c>
      <c r="B3794" t="inlineStr">
        <is>
          <t>MPSES</t>
        </is>
      </c>
      <c r="C3794" t="inlineStr">
        <is>
          <t>Executive Assistant and Press Secretary</t>
        </is>
      </c>
      <c r="D3794" t="inlineStr">
        <is>
          <t>Adjointe exécutive et attaché de presse</t>
        </is>
      </c>
      <c r="E3794" t="inlineStr">
        <is>
          <t>Andrea Richer</t>
        </is>
      </c>
      <c r="F3794" t="inlineStr">
        <is>
          <t>Travel with MoS to attend ACOA meetings and announcements</t>
        </is>
      </c>
      <c r="G3794" t="inlineStr">
        <is>
          <t>Voyage pour assister à des réunions et à des annonces de l'APECA avec le ministre d'État</t>
        </is>
      </c>
      <c r="H3794" s="1" t="n">
        <v>40930</v>
      </c>
      <c r="I3794" s="1" t="n">
        <v>40931</v>
      </c>
      <c r="J3794" t="inlineStr">
        <is>
          <t>Fredericton and Moncton, New Brunswick</t>
        </is>
      </c>
      <c r="K3794" t="inlineStr">
        <is>
          <t>Fredericton et Moncton (Nouveau-Brunswick)</t>
        </is>
      </c>
      <c r="P3794" t="n">
        <v>1486.18</v>
      </c>
      <c r="Q3794" t="n">
        <v>26</v>
      </c>
      <c r="R3794" t="n">
        <v>152.55</v>
      </c>
      <c r="S3794" t="n">
        <v>87.55</v>
      </c>
      <c r="T3794" t="n">
        <v>0</v>
      </c>
      <c r="U3794" t="n">
        <v>1752.28</v>
      </c>
      <c r="X3794" t="inlineStr">
        <is>
          <t>acoa-apeca</t>
        </is>
      </c>
      <c r="Y3794" t="inlineStr">
        <is>
          <t>Atlantic Canada Opportunities Agency | Agence de promotion économique du Canada atlantique</t>
        </is>
      </c>
      <c r="Z3794" t="n">
        <v>2</v>
      </c>
      <c r="AA3794" t="n">
        <v>1752.28</v>
      </c>
      <c r="AB3794">
        <f>ROUND(U3794-AA3794,2)</f>
        <v/>
      </c>
      <c r="AC3794" t="b">
        <v>0</v>
      </c>
      <c r="AD3794">
        <f>IF(U3794="","MISSING_TOTAL",IF(ABS(AB3794)&lt;=0.01,"OK","CHECK"))</f>
        <v/>
      </c>
      <c r="AE3794">
        <f>IF(U3794="","MISSING",IF(AND(AA3794&gt;0,U3794/AA3794&gt;50),"POSSIBLE_SCALE_ERROR","OK"))</f>
        <v/>
      </c>
    </row>
    <row r="3795">
      <c r="A3795" t="inlineStr">
        <is>
          <t>T-2012-Q4-00035</t>
        </is>
      </c>
      <c r="B3795" t="inlineStr">
        <is>
          <t>SLE</t>
        </is>
      </c>
      <c r="C3795" t="inlineStr">
        <is>
          <t>Vice-President, Finance and Corporate Services</t>
        </is>
      </c>
      <c r="D3795" t="inlineStr">
        <is>
          <t>Vice-présidente, Finances et Services corporatifs</t>
        </is>
      </c>
      <c r="E3795" t="inlineStr">
        <is>
          <t>Denise Frenette</t>
        </is>
      </c>
      <c r="F3795" t="inlineStr">
        <is>
          <t>Meetings with Agency officials</t>
        </is>
      </c>
      <c r="G3795" t="inlineStr">
        <is>
          <t>Réunions avec des fonctionnaires de l'Agence</t>
        </is>
      </c>
      <c r="H3795" s="1" t="n">
        <v>40927</v>
      </c>
      <c r="I3795" s="1" t="n">
        <v>40928</v>
      </c>
      <c r="J3795" t="inlineStr">
        <is>
          <t>Halifax, Nova Scotia and Fredericton, New Brunswick</t>
        </is>
      </c>
      <c r="K3795" t="inlineStr">
        <is>
          <t>Halifax (Nouvelle-Écosse) et Fredericton (Nouveau-Brunswick)</t>
        </is>
      </c>
      <c r="P3795" t="n">
        <v>1075.76</v>
      </c>
      <c r="Q3795" t="n">
        <v>0</v>
      </c>
      <c r="R3795" t="n">
        <v>134.9</v>
      </c>
      <c r="S3795" t="n">
        <v>104.85</v>
      </c>
      <c r="T3795" t="n">
        <v>0</v>
      </c>
      <c r="U3795" t="n">
        <v>1315.51</v>
      </c>
      <c r="X3795" t="inlineStr">
        <is>
          <t>acoa-apeca</t>
        </is>
      </c>
      <c r="Y3795" t="inlineStr">
        <is>
          <t>Atlantic Canada Opportunities Agency | Agence de promotion économique du Canada atlantique</t>
        </is>
      </c>
      <c r="Z3795" t="n">
        <v>2</v>
      </c>
      <c r="AA3795" t="n">
        <v>1315.51</v>
      </c>
      <c r="AB3795">
        <f>ROUND(U3795-AA3795,2)</f>
        <v/>
      </c>
      <c r="AC3795" t="b">
        <v>0</v>
      </c>
      <c r="AD3795">
        <f>IF(U3795="","MISSING_TOTAL",IF(ABS(AB3795)&lt;=0.01,"OK","CHECK"))</f>
        <v/>
      </c>
      <c r="AE3795">
        <f>IF(U3795="","MISSING",IF(AND(AA3795&gt;0,U3795/AA3795&gt;50),"POSSIBLE_SCALE_ERROR","OK"))</f>
        <v/>
      </c>
    </row>
    <row r="3796">
      <c r="A3796" t="inlineStr">
        <is>
          <t>T-2012-Q4-00034</t>
        </is>
      </c>
      <c r="B3796" t="inlineStr">
        <is>
          <t>SLE</t>
        </is>
      </c>
      <c r="C3796" t="inlineStr">
        <is>
          <t>Vice President, Nova Scotia</t>
        </is>
      </c>
      <c r="D3796" t="inlineStr">
        <is>
          <t>Vice-président, Nouvelle-Écosse</t>
        </is>
      </c>
      <c r="E3796" t="inlineStr">
        <is>
          <t>Peter Hogan</t>
        </is>
      </c>
      <c r="F3796" t="inlineStr">
        <is>
          <t>Executive Committee meeting</t>
        </is>
      </c>
      <c r="G3796" t="inlineStr">
        <is>
          <t>Réunion du Comité de direction</t>
        </is>
      </c>
      <c r="H3796" s="1" t="n">
        <v>40925</v>
      </c>
      <c r="I3796" s="1" t="n">
        <v>40926</v>
      </c>
      <c r="J3796" t="inlineStr">
        <is>
          <t>Ottawa, Ontario</t>
        </is>
      </c>
      <c r="K3796" t="inlineStr">
        <is>
          <t>Ottawa (Ontario)</t>
        </is>
      </c>
      <c r="P3796" t="n">
        <v>377.13</v>
      </c>
      <c r="Q3796" t="n">
        <v>199.7</v>
      </c>
      <c r="R3796" t="n">
        <v>354.82</v>
      </c>
      <c r="S3796" t="n">
        <v>177.8</v>
      </c>
      <c r="T3796" t="n">
        <v>0</v>
      </c>
      <c r="U3796" t="n">
        <v>1109.45</v>
      </c>
      <c r="X3796" t="inlineStr">
        <is>
          <t>acoa-apeca</t>
        </is>
      </c>
      <c r="Y3796" t="inlineStr">
        <is>
          <t>Atlantic Canada Opportunities Agency | Agence de promotion économique du Canada atlantique</t>
        </is>
      </c>
      <c r="Z3796" t="n">
        <v>2</v>
      </c>
      <c r="AA3796" t="n">
        <v>1109.44999999999</v>
      </c>
      <c r="AB3796">
        <f>ROUND(U3796-AA3796,2)</f>
        <v/>
      </c>
      <c r="AC3796" t="b">
        <v>0</v>
      </c>
      <c r="AD3796">
        <f>IF(U3796="","MISSING_TOTAL",IF(ABS(AB3796)&lt;=0.01,"OK","CHECK"))</f>
        <v/>
      </c>
      <c r="AE3796">
        <f>IF(U3796="","MISSING",IF(AND(AA3796&gt;0,U3796/AA3796&gt;50),"POSSIBLE_SCALE_ERROR","OK"))</f>
        <v/>
      </c>
    </row>
    <row r="3797">
      <c r="A3797" t="inlineStr">
        <is>
          <t>T-2012-Q4-00033</t>
        </is>
      </c>
      <c r="B3797" t="inlineStr">
        <is>
          <t>SLE</t>
        </is>
      </c>
      <c r="C3797" t="inlineStr">
        <is>
          <t>Vice-President, Finance and Corporate Services</t>
        </is>
      </c>
      <c r="D3797" t="inlineStr">
        <is>
          <t>Vice-présidente, Finances et Services corporatifs</t>
        </is>
      </c>
      <c r="E3797" t="inlineStr">
        <is>
          <t>Denise Frenette</t>
        </is>
      </c>
      <c r="F3797" t="inlineStr">
        <is>
          <t>Meetings with Agency officials</t>
        </is>
      </c>
      <c r="G3797" t="inlineStr">
        <is>
          <t>Réunions avec des fonctionnaires de l'Agence</t>
        </is>
      </c>
      <c r="H3797" s="1" t="n">
        <v>40924</v>
      </c>
      <c r="I3797" s="1" t="n">
        <v>40925</v>
      </c>
      <c r="J3797" t="inlineStr">
        <is>
          <t>Ottawa, Ontario</t>
        </is>
      </c>
      <c r="K3797" t="inlineStr">
        <is>
          <t>Ottawa (Ontario)</t>
        </is>
      </c>
      <c r="P3797" t="n">
        <v>1075.76</v>
      </c>
      <c r="Q3797" t="n">
        <v>25.94</v>
      </c>
      <c r="R3797" t="n">
        <v>177.41</v>
      </c>
      <c r="S3797" t="n">
        <v>115.2</v>
      </c>
      <c r="T3797" t="n">
        <v>0</v>
      </c>
      <c r="U3797" t="n">
        <v>1394.31</v>
      </c>
      <c r="X3797" t="inlineStr">
        <is>
          <t>acoa-apeca</t>
        </is>
      </c>
      <c r="Y3797" t="inlineStr">
        <is>
          <t>Atlantic Canada Opportunities Agency | Agence de promotion économique du Canada atlantique</t>
        </is>
      </c>
      <c r="Z3797" t="n">
        <v>2</v>
      </c>
      <c r="AA3797" t="n">
        <v>1394.31</v>
      </c>
      <c r="AB3797">
        <f>ROUND(U3797-AA3797,2)</f>
        <v/>
      </c>
      <c r="AC3797" t="b">
        <v>0</v>
      </c>
      <c r="AD3797">
        <f>IF(U3797="","MISSING_TOTAL",IF(ABS(AB3797)&lt;=0.01,"OK","CHECK"))</f>
        <v/>
      </c>
      <c r="AE3797">
        <f>IF(U3797="","MISSING",IF(AND(AA3797&gt;0,U3797/AA3797&gt;50),"POSSIBLE_SCALE_ERROR","OK"))</f>
        <v/>
      </c>
    </row>
    <row r="3798">
      <c r="A3798" t="inlineStr">
        <is>
          <t>T-2012-Q4-00032</t>
        </is>
      </c>
      <c r="B3798" t="inlineStr">
        <is>
          <t>SLE</t>
        </is>
      </c>
      <c r="C3798" t="inlineStr">
        <is>
          <t>Vice-President, Prince Edward Island</t>
        </is>
      </c>
      <c r="D3798" t="inlineStr">
        <is>
          <t>Vice-président, Île-du-Prince-Édouard</t>
        </is>
      </c>
      <c r="E3798" t="inlineStr">
        <is>
          <t>Patrick Dorsey</t>
        </is>
      </c>
      <c r="F3798" t="inlineStr">
        <is>
          <t>To attend an Executive Committee meeting</t>
        </is>
      </c>
      <c r="G3798" t="inlineStr">
        <is>
          <t>Assister à une réunion du Comité de direction</t>
        </is>
      </c>
      <c r="H3798" s="1" t="n">
        <v>40924</v>
      </c>
      <c r="I3798" s="1" t="n">
        <v>40926</v>
      </c>
      <c r="J3798" t="inlineStr">
        <is>
          <t>Ottawa, Ontario</t>
        </is>
      </c>
      <c r="K3798" t="inlineStr">
        <is>
          <t>Ottawa (Ontario)</t>
        </is>
      </c>
      <c r="P3798" t="n">
        <v>796.4</v>
      </c>
      <c r="Q3798" t="n">
        <v>75</v>
      </c>
      <c r="R3798" t="n">
        <v>406.8</v>
      </c>
      <c r="S3798" t="n">
        <v>177.8</v>
      </c>
      <c r="T3798" t="n">
        <v>0</v>
      </c>
      <c r="U3798" t="n">
        <v>1456</v>
      </c>
      <c r="X3798" t="inlineStr">
        <is>
          <t>acoa-apeca</t>
        </is>
      </c>
      <c r="Y3798" t="inlineStr">
        <is>
          <t>Atlantic Canada Opportunities Agency | Agence de promotion économique du Canada atlantique</t>
        </is>
      </c>
      <c r="Z3798" t="n">
        <v>3</v>
      </c>
      <c r="AA3798" t="n">
        <v>1456</v>
      </c>
      <c r="AB3798">
        <f>ROUND(U3798-AA3798,2)</f>
        <v/>
      </c>
      <c r="AC3798" t="b">
        <v>0</v>
      </c>
      <c r="AD3798">
        <f>IF(U3798="","MISSING_TOTAL",IF(ABS(AB3798)&lt;=0.01,"OK","CHECK"))</f>
        <v/>
      </c>
      <c r="AE3798">
        <f>IF(U3798="","MISSING",IF(AND(AA3798&gt;0,U3798/AA3798&gt;50),"POSSIBLE_SCALE_ERROR","OK"))</f>
        <v/>
      </c>
    </row>
    <row r="3799">
      <c r="A3799" t="inlineStr">
        <is>
          <t>T-2012-Q4-00031</t>
        </is>
      </c>
      <c r="B3799" t="inlineStr">
        <is>
          <t>SLE</t>
        </is>
      </c>
      <c r="C3799" t="inlineStr">
        <is>
          <t>Vice-President, New Brunswick</t>
        </is>
      </c>
      <c r="D3799" t="inlineStr">
        <is>
          <t>Vice-présidente, Nouveau-Brunswick</t>
        </is>
      </c>
      <c r="E3799" t="inlineStr">
        <is>
          <t>Janet Gagnon</t>
        </is>
      </c>
      <c r="F3799" t="inlineStr">
        <is>
          <t>Minister's Tour - Northern New Brunswick</t>
        </is>
      </c>
      <c r="G3799" t="inlineStr">
        <is>
          <t>Tournée du ministre dans le nord du Nouveau-Brunswick</t>
        </is>
      </c>
      <c r="H3799" s="1" t="n">
        <v>40924</v>
      </c>
      <c r="I3799" s="1" t="n">
        <v>40926</v>
      </c>
      <c r="J3799" t="inlineStr">
        <is>
          <t>Campbellton, New Brunswick</t>
        </is>
      </c>
      <c r="K3799" t="inlineStr">
        <is>
          <t>Campbellton (Nouveau-Brunswick)</t>
        </is>
      </c>
      <c r="P3799" t="n">
        <v>0</v>
      </c>
      <c r="Q3799" t="n">
        <v>14</v>
      </c>
      <c r="R3799" t="n">
        <v>207.92</v>
      </c>
      <c r="S3799" t="n">
        <v>192.4</v>
      </c>
      <c r="T3799" t="n">
        <v>0</v>
      </c>
      <c r="U3799" t="n">
        <v>414.32</v>
      </c>
      <c r="X3799" t="inlineStr">
        <is>
          <t>acoa-apeca</t>
        </is>
      </c>
      <c r="Y3799" t="inlineStr">
        <is>
          <t>Atlantic Canada Opportunities Agency | Agence de promotion économique du Canada atlantique</t>
        </is>
      </c>
      <c r="Z3799" t="n">
        <v>3</v>
      </c>
      <c r="AA3799" t="n">
        <v>414.32</v>
      </c>
      <c r="AB3799">
        <f>ROUND(U3799-AA3799,2)</f>
        <v/>
      </c>
      <c r="AC3799" t="b">
        <v>0</v>
      </c>
      <c r="AD3799">
        <f>IF(U3799="","MISSING_TOTAL",IF(ABS(AB3799)&lt;=0.01,"OK","CHECK"))</f>
        <v/>
      </c>
      <c r="AE3799">
        <f>IF(U3799="","MISSING",IF(AND(AA3799&gt;0,U3799/AA3799&gt;50),"POSSIBLE_SCALE_ERROR","OK"))</f>
        <v/>
      </c>
    </row>
    <row r="3800">
      <c r="A3800" t="inlineStr">
        <is>
          <t>T-2012-Q4-00029</t>
        </is>
      </c>
      <c r="B3800" t="inlineStr">
        <is>
          <t>SLE</t>
        </is>
      </c>
      <c r="C3800" t="inlineStr">
        <is>
          <t>President</t>
        </is>
      </c>
      <c r="D3800" t="inlineStr">
        <is>
          <t>Président</t>
        </is>
      </c>
      <c r="E3800" t="inlineStr">
        <is>
          <t>Paul J. LeBlanc</t>
        </is>
      </c>
      <c r="F3800" t="inlineStr">
        <is>
          <t>For various meetings with Agency officials; with Government of Canada officials</t>
        </is>
      </c>
      <c r="G3800" t="inlineStr">
        <is>
          <t>Diverses réunions avec des fonctionnaires de l'Agence et du gouvernement du Canada</t>
        </is>
      </c>
      <c r="H3800" s="1" t="n">
        <v>40924</v>
      </c>
      <c r="I3800" s="1" t="n">
        <v>40929</v>
      </c>
      <c r="J3800" t="inlineStr">
        <is>
          <t>Ottawa, Ontario and Vancouver, British Columbia</t>
        </is>
      </c>
      <c r="K3800" t="inlineStr">
        <is>
          <t>Ottawa (Ontario) et Vancouver (Colombie-Britannique)</t>
        </is>
      </c>
      <c r="P3800" t="n">
        <v>1552.66</v>
      </c>
      <c r="Q3800" t="n">
        <v>42.5</v>
      </c>
      <c r="R3800" t="n">
        <v>842.01</v>
      </c>
      <c r="S3800" t="n">
        <v>425.1</v>
      </c>
      <c r="T3800" t="n">
        <v>56.5</v>
      </c>
      <c r="U3800" t="n">
        <v>2918.77</v>
      </c>
      <c r="X3800" t="inlineStr">
        <is>
          <t>acoa-apeca</t>
        </is>
      </c>
      <c r="Y3800" t="inlineStr">
        <is>
          <t>Atlantic Canada Opportunities Agency | Agence de promotion économique du Canada atlantique</t>
        </is>
      </c>
      <c r="Z3800" t="n">
        <v>6</v>
      </c>
      <c r="AA3800" t="n">
        <v>2918.77</v>
      </c>
      <c r="AB3800">
        <f>ROUND(U3800-AA3800,2)</f>
        <v/>
      </c>
      <c r="AC3800" t="b">
        <v>0</v>
      </c>
      <c r="AD3800">
        <f>IF(U3800="","MISSING_TOTAL",IF(ABS(AB3800)&lt;=0.01,"OK","CHECK"))</f>
        <v/>
      </c>
      <c r="AE3800">
        <f>IF(U3800="","MISSING",IF(AND(AA3800&gt;0,U3800/AA3800&gt;50),"POSSIBLE_SCALE_ERROR","OK"))</f>
        <v/>
      </c>
    </row>
    <row r="3801">
      <c r="A3801" t="inlineStr">
        <is>
          <t>T-2012-Q4-00027</t>
        </is>
      </c>
      <c r="B3801" t="inlineStr">
        <is>
          <t>SLE</t>
        </is>
      </c>
      <c r="C3801" t="inlineStr">
        <is>
          <t>Vice-President, Newfoundland and Labrador</t>
        </is>
      </c>
      <c r="D3801" t="inlineStr">
        <is>
          <t>Vice-président, Terre-Neuve-et-Labrador</t>
        </is>
      </c>
      <c r="E3801" t="inlineStr">
        <is>
          <t>Paul Mills</t>
        </is>
      </c>
      <c r="F3801" t="inlineStr">
        <is>
          <t>To attend Executive Committee meeting</t>
        </is>
      </c>
      <c r="G3801" t="inlineStr">
        <is>
          <t>Assister à une réunion du Comité de direction</t>
        </is>
      </c>
      <c r="H3801" s="1" t="n">
        <v>40924</v>
      </c>
      <c r="I3801" s="1" t="n">
        <v>40926</v>
      </c>
      <c r="J3801" t="inlineStr">
        <is>
          <t>Ottawa, Ontario</t>
        </is>
      </c>
      <c r="K3801" t="inlineStr">
        <is>
          <t>Ottawa (Ontario)</t>
        </is>
      </c>
      <c r="P3801" t="n">
        <v>1329.26</v>
      </c>
      <c r="Q3801" t="n">
        <v>129</v>
      </c>
      <c r="R3801" t="n">
        <v>359.34</v>
      </c>
      <c r="S3801" t="n">
        <v>202.75</v>
      </c>
      <c r="T3801" t="n">
        <v>9.33</v>
      </c>
      <c r="U3801" t="n">
        <v>2029.68</v>
      </c>
      <c r="X3801" t="inlineStr">
        <is>
          <t>acoa-apeca</t>
        </is>
      </c>
      <c r="Y3801" t="inlineStr">
        <is>
          <t>Atlantic Canada Opportunities Agency | Agence de promotion économique du Canada atlantique</t>
        </is>
      </c>
      <c r="Z3801" t="n">
        <v>3</v>
      </c>
      <c r="AA3801" t="n">
        <v>2029.67999999999</v>
      </c>
      <c r="AB3801">
        <f>ROUND(U3801-AA3801,2)</f>
        <v/>
      </c>
      <c r="AC3801" t="b">
        <v>0</v>
      </c>
      <c r="AD3801">
        <f>IF(U3801="","MISSING_TOTAL",IF(ABS(AB3801)&lt;=0.01,"OK","CHECK"))</f>
        <v/>
      </c>
      <c r="AE3801">
        <f>IF(U3801="","MISSING",IF(AND(AA3801&gt;0,U3801/AA3801&gt;50),"POSSIBLE_SCALE_ERROR","OK"))</f>
        <v/>
      </c>
    </row>
    <row r="3802">
      <c r="A3802" t="inlineStr">
        <is>
          <t>T-2012-Q4-00026</t>
        </is>
      </c>
      <c r="B3802" t="inlineStr">
        <is>
          <t>MPSES</t>
        </is>
      </c>
      <c r="C3802" t="inlineStr">
        <is>
          <t>Minister of State</t>
        </is>
      </c>
      <c r="D3802" t="inlineStr">
        <is>
          <t>Ministre d'État</t>
        </is>
      </c>
      <c r="E3802" t="inlineStr">
        <is>
          <t>Bernard Valcourt</t>
        </is>
      </c>
      <c r="F3802" t="inlineStr">
        <is>
          <t>Various meetings and announcements for ACOA and Transport Canada</t>
        </is>
      </c>
      <c r="G3802" t="inlineStr">
        <is>
          <t>Diverses rencontres et annonces pour l'APECA et Transports Canada</t>
        </is>
      </c>
      <c r="H3802" s="1" t="n">
        <v>40923</v>
      </c>
      <c r="I3802" s="1" t="n">
        <v>40927</v>
      </c>
      <c r="J3802" t="inlineStr">
        <is>
          <t>Shippagan, Campbellton and Fredericton, New Brunswick</t>
        </is>
      </c>
      <c r="K3802" t="inlineStr">
        <is>
          <t>Shippagan, Campbellton et Fredericton (Nouveau-Brunswick)</t>
        </is>
      </c>
      <c r="P3802" t="n">
        <v>325.62</v>
      </c>
      <c r="Q3802" t="n">
        <v>0</v>
      </c>
      <c r="R3802" t="n">
        <v>360.47</v>
      </c>
      <c r="S3802" t="n">
        <v>292.6</v>
      </c>
      <c r="T3802" t="n">
        <v>0</v>
      </c>
      <c r="U3802" t="n">
        <v>978.6900000000001</v>
      </c>
      <c r="X3802" t="inlineStr">
        <is>
          <t>acoa-apeca</t>
        </is>
      </c>
      <c r="Y3802" t="inlineStr">
        <is>
          <t>Atlantic Canada Opportunities Agency | Agence de promotion économique du Canada atlantique</t>
        </is>
      </c>
      <c r="Z3802" t="n">
        <v>5</v>
      </c>
      <c r="AA3802" t="n">
        <v>978.6900000000001</v>
      </c>
      <c r="AB3802">
        <f>ROUND(U3802-AA3802,2)</f>
        <v/>
      </c>
      <c r="AC3802" t="b">
        <v>0</v>
      </c>
      <c r="AD3802">
        <f>IF(U3802="","MISSING_TOTAL",IF(ABS(AB3802)&lt;=0.01,"OK","CHECK"))</f>
        <v/>
      </c>
      <c r="AE3802">
        <f>IF(U3802="","MISSING",IF(AND(AA3802&gt;0,U3802/AA3802&gt;50),"POSSIBLE_SCALE_ERROR","OK"))</f>
        <v/>
      </c>
    </row>
    <row r="3803">
      <c r="A3803" t="inlineStr">
        <is>
          <t>T-2012-Q4-00025</t>
        </is>
      </c>
      <c r="B3803" t="inlineStr">
        <is>
          <t>MPSES</t>
        </is>
      </c>
      <c r="C3803" t="inlineStr">
        <is>
          <t>Executive Assistant and Press Secretary</t>
        </is>
      </c>
      <c r="D3803" t="inlineStr">
        <is>
          <t>Adjointe exécutive et attaché de presse</t>
        </is>
      </c>
      <c r="E3803" t="inlineStr">
        <is>
          <t>Andrea Richer</t>
        </is>
      </c>
      <c r="F3803" t="inlineStr">
        <is>
          <t>Travel with MoS to attend ACOA meetings and announcements</t>
        </is>
      </c>
      <c r="G3803" t="inlineStr">
        <is>
          <t>Voyage pour assister à des réunions et à des annonces de l'APECA avec le ministre d'État</t>
        </is>
      </c>
      <c r="H3803" s="1" t="n">
        <v>40923</v>
      </c>
      <c r="I3803" s="1" t="n">
        <v>40927</v>
      </c>
      <c r="J3803" t="inlineStr">
        <is>
          <t>Edmundston, Shippagan, Bathurst, Campbellton and Fredericton, New Brunswick</t>
        </is>
      </c>
      <c r="K3803" t="inlineStr">
        <is>
          <t>Edmundston, Shippagan, Bathurst, Campbellton et Fredericton (Nouveau-Brunswick)</t>
        </is>
      </c>
      <c r="P3803" t="n">
        <v>325.62</v>
      </c>
      <c r="Q3803" t="n">
        <v>0</v>
      </c>
      <c r="R3803" t="n">
        <v>468.95</v>
      </c>
      <c r="S3803" t="n">
        <v>309.9</v>
      </c>
      <c r="T3803" t="n">
        <v>0</v>
      </c>
      <c r="U3803" t="n">
        <v>1104.47</v>
      </c>
      <c r="X3803" t="inlineStr">
        <is>
          <t>acoa-apeca</t>
        </is>
      </c>
      <c r="Y3803" t="inlineStr">
        <is>
          <t>Atlantic Canada Opportunities Agency | Agence de promotion économique du Canada atlantique</t>
        </is>
      </c>
      <c r="Z3803" t="n">
        <v>5</v>
      </c>
      <c r="AA3803" t="n">
        <v>1104.46999999999</v>
      </c>
      <c r="AB3803">
        <f>ROUND(U3803-AA3803,2)</f>
        <v/>
      </c>
      <c r="AC3803" t="b">
        <v>0</v>
      </c>
      <c r="AD3803">
        <f>IF(U3803="","MISSING_TOTAL",IF(ABS(AB3803)&lt;=0.01,"OK","CHECK"))</f>
        <v/>
      </c>
      <c r="AE3803">
        <f>IF(U3803="","MISSING",IF(AND(AA3803&gt;0,U3803/AA3803&gt;50),"POSSIBLE_SCALE_ERROR","OK"))</f>
        <v/>
      </c>
    </row>
    <row r="3804">
      <c r="A3804" t="inlineStr">
        <is>
          <t>T-2012-Q4-00024</t>
        </is>
      </c>
      <c r="B3804" t="inlineStr">
        <is>
          <t>SLE</t>
        </is>
      </c>
      <c r="C3804" t="inlineStr">
        <is>
          <t>Vice-President, Prince Edward Island</t>
        </is>
      </c>
      <c r="D3804" t="inlineStr">
        <is>
          <t>Vice-président, Île-du-Prince-Édouard</t>
        </is>
      </c>
      <c r="E3804" t="inlineStr">
        <is>
          <t>Patrick Dorsey</t>
        </is>
      </c>
      <c r="F3804" t="inlineStr">
        <is>
          <t>To attend an Atlantic Canada Tourism Partnership briefing</t>
        </is>
      </c>
      <c r="G3804" t="inlineStr">
        <is>
          <t>Assister à une séance d'information sur le Partenariat du tourisme du Canada atlantique</t>
        </is>
      </c>
      <c r="H3804" s="1" t="n">
        <v>40920</v>
      </c>
      <c r="I3804" s="1" t="n">
        <v>40921</v>
      </c>
      <c r="J3804" t="inlineStr">
        <is>
          <t>Ottawa, Ontario</t>
        </is>
      </c>
      <c r="K3804" t="inlineStr">
        <is>
          <t>Ottawa (Ontario)</t>
        </is>
      </c>
      <c r="P3804" t="n">
        <v>701.73</v>
      </c>
      <c r="Q3804" t="n">
        <v>10</v>
      </c>
      <c r="R3804" t="n">
        <v>312.31</v>
      </c>
      <c r="S3804" t="n">
        <v>207</v>
      </c>
      <c r="T3804" t="n">
        <v>0</v>
      </c>
      <c r="U3804" t="n">
        <v>1231.04</v>
      </c>
      <c r="X3804" t="inlineStr">
        <is>
          <t>acoa-apeca</t>
        </is>
      </c>
      <c r="Y3804" t="inlineStr">
        <is>
          <t>Atlantic Canada Opportunities Agency | Agence de promotion économique du Canada atlantique</t>
        </is>
      </c>
      <c r="Z3804" t="n">
        <v>2</v>
      </c>
      <c r="AA3804" t="n">
        <v>1231.04</v>
      </c>
      <c r="AB3804">
        <f>ROUND(U3804-AA3804,2)</f>
        <v/>
      </c>
      <c r="AC3804" t="b">
        <v>0</v>
      </c>
      <c r="AD3804">
        <f>IF(U3804="","MISSING_TOTAL",IF(ABS(AB3804)&lt;=0.01,"OK","CHECK"))</f>
        <v/>
      </c>
      <c r="AE3804">
        <f>IF(U3804="","MISSING",IF(AND(AA3804&gt;0,U3804/AA3804&gt;50),"POSSIBLE_SCALE_ERROR","OK"))</f>
        <v/>
      </c>
    </row>
    <row r="3805">
      <c r="A3805" t="inlineStr">
        <is>
          <t>T-2012-Q4-00023</t>
        </is>
      </c>
      <c r="B3805" t="inlineStr">
        <is>
          <t>SLE</t>
        </is>
      </c>
      <c r="C3805" t="inlineStr">
        <is>
          <t>President</t>
        </is>
      </c>
      <c r="D3805" t="inlineStr">
        <is>
          <t>Président</t>
        </is>
      </c>
      <c r="E3805" t="inlineStr">
        <is>
          <t>Paul J. LeBlanc</t>
        </is>
      </c>
      <c r="F3805" t="inlineStr">
        <is>
          <t>For various meetings and discussions with Agency officials; with stakeholders; with Government of Canada officials</t>
        </is>
      </c>
      <c r="G3805" t="inlineStr">
        <is>
          <t>Diverses réunions et discussions avec des fonctionnaires de l'Agence, des intervenants et des fonctionnaires du gouvernement du Canada</t>
        </is>
      </c>
      <c r="H3805" s="1" t="n">
        <v>40919</v>
      </c>
      <c r="I3805" s="1" t="n">
        <v>40921</v>
      </c>
      <c r="J3805" t="inlineStr">
        <is>
          <t>Halifax, Nova Scotia and Ottawa, Ontario</t>
        </is>
      </c>
      <c r="K3805" t="inlineStr">
        <is>
          <t>Halifax (Nouvelle-Écosse) et Ottawa (Ontario)</t>
        </is>
      </c>
      <c r="P3805" t="n">
        <v>1091.04</v>
      </c>
      <c r="Q3805" t="n">
        <v>0</v>
      </c>
      <c r="R3805" t="n">
        <v>314.57</v>
      </c>
      <c r="S3805" t="n">
        <v>218.1</v>
      </c>
      <c r="T3805" t="n">
        <v>317.84</v>
      </c>
      <c r="U3805" t="n">
        <v>1941.55</v>
      </c>
      <c r="X3805" t="inlineStr">
        <is>
          <t>acoa-apeca</t>
        </is>
      </c>
      <c r="Y3805" t="inlineStr">
        <is>
          <t>Atlantic Canada Opportunities Agency | Agence de promotion économique du Canada atlantique</t>
        </is>
      </c>
      <c r="Z3805" t="n">
        <v>3</v>
      </c>
      <c r="AA3805" t="n">
        <v>1941.54999999999</v>
      </c>
      <c r="AB3805">
        <f>ROUND(U3805-AA3805,2)</f>
        <v/>
      </c>
      <c r="AC3805" t="b">
        <v>0</v>
      </c>
      <c r="AD3805">
        <f>IF(U3805="","MISSING_TOTAL",IF(ABS(AB3805)&lt;=0.01,"OK","CHECK"))</f>
        <v/>
      </c>
      <c r="AE3805">
        <f>IF(U3805="","MISSING",IF(AND(AA3805&gt;0,U3805/AA3805&gt;50),"POSSIBLE_SCALE_ERROR","OK"))</f>
        <v/>
      </c>
    </row>
    <row r="3806">
      <c r="A3806" t="inlineStr">
        <is>
          <t>T-2012-Q4-00022</t>
        </is>
      </c>
      <c r="B3806" t="inlineStr">
        <is>
          <t>SLE</t>
        </is>
      </c>
      <c r="C3806" t="inlineStr">
        <is>
          <t>Vice-President, Finance and Corporate Services</t>
        </is>
      </c>
      <c r="D3806" t="inlineStr">
        <is>
          <t>Vice-présidente, Finances et Services corporatifs</t>
        </is>
      </c>
      <c r="E3806" t="inlineStr">
        <is>
          <t>Denise Frenette</t>
        </is>
      </c>
      <c r="F3806" t="inlineStr">
        <is>
          <t>Meetings with Government of Canada officials and Agency officials</t>
        </is>
      </c>
      <c r="G3806" t="inlineStr">
        <is>
          <t>Réunions avec des fonctionnaires du gouvernement du Canada et de l'Agence</t>
        </is>
      </c>
      <c r="H3806" s="1" t="n">
        <v>40918</v>
      </c>
      <c r="I3806" s="1" t="n">
        <v>40919</v>
      </c>
      <c r="J3806" t="inlineStr">
        <is>
          <t>Ottawa, Ontario</t>
        </is>
      </c>
      <c r="K3806" t="inlineStr">
        <is>
          <t>Ottawa (Ontario)</t>
        </is>
      </c>
      <c r="P3806" t="n">
        <v>1075.76</v>
      </c>
      <c r="Q3806" t="n">
        <v>94.88</v>
      </c>
      <c r="R3806" t="n">
        <v>177.41</v>
      </c>
      <c r="S3806" t="n">
        <v>159.75</v>
      </c>
      <c r="T3806" t="n">
        <v>0</v>
      </c>
      <c r="U3806" t="n">
        <v>1507.8</v>
      </c>
      <c r="X3806" t="inlineStr">
        <is>
          <t>acoa-apeca</t>
        </is>
      </c>
      <c r="Y3806" t="inlineStr">
        <is>
          <t>Atlantic Canada Opportunities Agency | Agence de promotion économique du Canada atlantique</t>
        </is>
      </c>
      <c r="Z3806" t="n">
        <v>2</v>
      </c>
      <c r="AA3806" t="n">
        <v>1507.8</v>
      </c>
      <c r="AB3806">
        <f>ROUND(U3806-AA3806,2)</f>
        <v/>
      </c>
      <c r="AC3806" t="b">
        <v>0</v>
      </c>
      <c r="AD3806">
        <f>IF(U3806="","MISSING_TOTAL",IF(ABS(AB3806)&lt;=0.01,"OK","CHECK"))</f>
        <v/>
      </c>
      <c r="AE3806">
        <f>IF(U3806="","MISSING",IF(AND(AA3806&gt;0,U3806/AA3806&gt;50),"POSSIBLE_SCALE_ERROR","OK"))</f>
        <v/>
      </c>
    </row>
    <row r="3807">
      <c r="A3807" t="inlineStr">
        <is>
          <t>T-2012-Q4-00021</t>
        </is>
      </c>
      <c r="B3807" t="inlineStr">
        <is>
          <t>SLE</t>
        </is>
      </c>
      <c r="C3807" t="inlineStr">
        <is>
          <t>Vice-President, New Brunswick</t>
        </is>
      </c>
      <c r="D3807" t="inlineStr">
        <is>
          <t>Vice-présidente, Nouveau-Brunswick</t>
        </is>
      </c>
      <c r="E3807" t="inlineStr">
        <is>
          <t>Janet Gagnon</t>
        </is>
      </c>
      <c r="F3807" t="inlineStr">
        <is>
          <t>New Brunswick Federal Youth Network</t>
        </is>
      </c>
      <c r="G3807" t="inlineStr">
        <is>
          <t>Réseau des jeunes fonctionnaires fédéraux du Nouveau-Brunswick</t>
        </is>
      </c>
      <c r="H3807" s="1" t="n">
        <v>40918</v>
      </c>
      <c r="I3807" s="1" t="n">
        <v>40919</v>
      </c>
      <c r="J3807" t="inlineStr">
        <is>
          <t>Moncton, New Brunswick</t>
        </is>
      </c>
      <c r="K3807" t="inlineStr">
        <is>
          <t>Moncton (Nouveau-Brunswick)</t>
        </is>
      </c>
      <c r="P3807" t="n">
        <v>0</v>
      </c>
      <c r="Q3807" t="n">
        <v>0</v>
      </c>
      <c r="R3807" t="n">
        <v>50</v>
      </c>
      <c r="S3807" t="n">
        <v>90.25</v>
      </c>
      <c r="T3807" t="n">
        <v>0</v>
      </c>
      <c r="U3807" t="n">
        <v>140.25</v>
      </c>
      <c r="X3807" t="inlineStr">
        <is>
          <t>acoa-apeca</t>
        </is>
      </c>
      <c r="Y3807" t="inlineStr">
        <is>
          <t>Atlantic Canada Opportunities Agency | Agence de promotion économique du Canada atlantique</t>
        </is>
      </c>
      <c r="Z3807" t="n">
        <v>2</v>
      </c>
      <c r="AA3807" t="n">
        <v>140.25</v>
      </c>
      <c r="AB3807">
        <f>ROUND(U3807-AA3807,2)</f>
        <v/>
      </c>
      <c r="AC3807" t="b">
        <v>0</v>
      </c>
      <c r="AD3807">
        <f>IF(U3807="","MISSING_TOTAL",IF(ABS(AB3807)&lt;=0.01,"OK","CHECK"))</f>
        <v/>
      </c>
      <c r="AE3807">
        <f>IF(U3807="","MISSING",IF(AND(AA3807&gt;0,U3807/AA3807&gt;50),"POSSIBLE_SCALE_ERROR","OK"))</f>
        <v/>
      </c>
    </row>
    <row r="3808">
      <c r="A3808" t="inlineStr">
        <is>
          <t>T-2012-Q3-00084</t>
        </is>
      </c>
      <c r="B3808" t="inlineStr">
        <is>
          <t>MPSES</t>
        </is>
      </c>
      <c r="C3808" t="inlineStr">
        <is>
          <t>Minister of State</t>
        </is>
      </c>
      <c r="D3808" t="inlineStr">
        <is>
          <t>Ministre d'État</t>
        </is>
      </c>
      <c r="E3808" t="inlineStr">
        <is>
          <t>Bernard Valcourt</t>
        </is>
      </c>
      <c r="F3808" t="inlineStr">
        <is>
          <t>Various events and meetings for the Francophonie</t>
        </is>
      </c>
      <c r="G3808" t="inlineStr">
        <is>
          <t>Rencontres et évènements divers pour la Francophonie</t>
        </is>
      </c>
      <c r="H3808" s="1" t="n">
        <v>40876</v>
      </c>
      <c r="I3808" s="1" t="n">
        <v>40884</v>
      </c>
      <c r="J3808" t="inlineStr">
        <is>
          <t>Paris, France</t>
        </is>
      </c>
      <c r="K3808" t="inlineStr">
        <is>
          <t>Paris (France)</t>
        </is>
      </c>
      <c r="P3808" t="n">
        <v>1323.34</v>
      </c>
      <c r="Q3808" t="n">
        <v>0</v>
      </c>
      <c r="R3808" t="n">
        <v>2363.64</v>
      </c>
      <c r="S3808" t="n">
        <v>921.13</v>
      </c>
      <c r="T3808" t="n">
        <v>0</v>
      </c>
      <c r="U3808" t="n">
        <v>4608.11</v>
      </c>
      <c r="X3808" t="inlineStr">
        <is>
          <t>acoa-apeca</t>
        </is>
      </c>
      <c r="Y3808" t="inlineStr">
        <is>
          <t>Atlantic Canada Opportunities Agency | Agence de promotion économique du Canada atlantique</t>
        </is>
      </c>
      <c r="Z3808" t="n">
        <v>9</v>
      </c>
      <c r="AA3808" t="n">
        <v>4608.11</v>
      </c>
      <c r="AB3808">
        <f>ROUND(U3808-AA3808,2)</f>
        <v/>
      </c>
      <c r="AC3808" t="b">
        <v>0</v>
      </c>
      <c r="AD3808">
        <f>IF(U3808="","MISSING_TOTAL",IF(ABS(AB3808)&lt;=0.01,"OK","CHECK"))</f>
        <v/>
      </c>
      <c r="AE3808">
        <f>IF(U3808="","MISSING",IF(AND(AA3808&gt;0,U3808/AA3808&gt;50),"POSSIBLE_SCALE_ERROR","OK"))</f>
        <v/>
      </c>
    </row>
    <row r="3809">
      <c r="A3809" t="inlineStr">
        <is>
          <t>T-2012-Q4-00019</t>
        </is>
      </c>
      <c r="B3809" t="inlineStr">
        <is>
          <t>MPSES</t>
        </is>
      </c>
      <c r="C3809" t="inlineStr">
        <is>
          <t>Minister of State</t>
        </is>
      </c>
      <c r="D3809" t="inlineStr">
        <is>
          <t>Ministre d'État</t>
        </is>
      </c>
      <c r="E3809" t="inlineStr">
        <is>
          <t>Bernard Valcourt</t>
        </is>
      </c>
      <c r="F3809" t="inlineStr">
        <is>
          <t>Various meetings and announcements for ACOA</t>
        </is>
      </c>
      <c r="G3809" t="inlineStr">
        <is>
          <t>Diverses rencontres et annonces pour l'APECA</t>
        </is>
      </c>
      <c r="H3809" s="1" t="n">
        <v>40917</v>
      </c>
      <c r="I3809" s="1" t="n">
        <v>40920</v>
      </c>
      <c r="J3809" t="inlineStr">
        <is>
          <t>Charlottetown, Prince Edward Island and Halifax, Nova Scotia</t>
        </is>
      </c>
      <c r="K3809" t="inlineStr">
        <is>
          <t>Chalottetown (Île-du-Prince-Édouard) et Halifax (Nouvelle-Écosse)</t>
        </is>
      </c>
      <c r="P3809" t="n">
        <v>1896.54</v>
      </c>
      <c r="Q3809" t="n">
        <v>0</v>
      </c>
      <c r="R3809" t="n">
        <v>367.55</v>
      </c>
      <c r="S3809" t="n">
        <v>248.05</v>
      </c>
      <c r="T3809" t="n">
        <v>0</v>
      </c>
      <c r="U3809" t="n">
        <v>2512.14</v>
      </c>
      <c r="X3809" t="inlineStr">
        <is>
          <t>acoa-apeca</t>
        </is>
      </c>
      <c r="Y3809" t="inlineStr">
        <is>
          <t>Atlantic Canada Opportunities Agency | Agence de promotion économique du Canada atlantique</t>
        </is>
      </c>
      <c r="Z3809" t="n">
        <v>4</v>
      </c>
      <c r="AA3809" t="n">
        <v>2512.14</v>
      </c>
      <c r="AB3809">
        <f>ROUND(U3809-AA3809,2)</f>
        <v/>
      </c>
      <c r="AC3809" t="b">
        <v>0</v>
      </c>
      <c r="AD3809">
        <f>IF(U3809="","MISSING_TOTAL",IF(ABS(AB3809)&lt;=0.01,"OK","CHECK"))</f>
        <v/>
      </c>
      <c r="AE3809">
        <f>IF(U3809="","MISSING",IF(AND(AA3809&gt;0,U3809/AA3809&gt;50),"POSSIBLE_SCALE_ERROR","OK"))</f>
        <v/>
      </c>
    </row>
    <row r="3810">
      <c r="A3810" t="inlineStr">
        <is>
          <t>T-2012-Q4-00018</t>
        </is>
      </c>
      <c r="B3810" t="inlineStr">
        <is>
          <t>MPSES</t>
        </is>
      </c>
      <c r="C3810" t="inlineStr">
        <is>
          <t>Executive Assistant and Press Secretary</t>
        </is>
      </c>
      <c r="D3810" t="inlineStr">
        <is>
          <t>Adjointe exécutive et attaché de presse</t>
        </is>
      </c>
      <c r="E3810" t="inlineStr">
        <is>
          <t>Andrea Richer</t>
        </is>
      </c>
      <c r="F3810" t="inlineStr">
        <is>
          <t>Travel with MoS to attend ACOA meetings and announcements</t>
        </is>
      </c>
      <c r="G3810" t="inlineStr">
        <is>
          <t>Voyage pour assister à des réunions et à des annonces de l'APECA avec le ministre d'État</t>
        </is>
      </c>
      <c r="H3810" s="1" t="n">
        <v>40917</v>
      </c>
      <c r="I3810" s="1" t="n">
        <v>40920</v>
      </c>
      <c r="J3810" t="inlineStr">
        <is>
          <t>Charlottetown, Prince Edward Island - Halifax, Nova Scotia - St. John's, Newfoundland</t>
        </is>
      </c>
      <c r="K3810" t="inlineStr">
        <is>
          <t>Charlottetown (Île-du-Prince-Édouard), Halifax (Nouvelle-Écosse) et St. John's (Terre-Neuve-et-Labrador)</t>
        </is>
      </c>
      <c r="P3810" t="n">
        <v>1673.59</v>
      </c>
      <c r="Q3810" t="n">
        <v>42</v>
      </c>
      <c r="R3810" t="n">
        <v>367.55</v>
      </c>
      <c r="S3810" t="n">
        <v>265.35</v>
      </c>
      <c r="T3810" t="n">
        <v>0</v>
      </c>
      <c r="U3810" t="n">
        <v>2348.49</v>
      </c>
      <c r="X3810" t="inlineStr">
        <is>
          <t>acoa-apeca</t>
        </is>
      </c>
      <c r="Y3810" t="inlineStr">
        <is>
          <t>Atlantic Canada Opportunities Agency | Agence de promotion économique du Canada atlantique</t>
        </is>
      </c>
      <c r="Z3810" t="n">
        <v>4</v>
      </c>
      <c r="AA3810" t="n">
        <v>2348.49</v>
      </c>
      <c r="AB3810">
        <f>ROUND(U3810-AA3810,2)</f>
        <v/>
      </c>
      <c r="AC3810" t="b">
        <v>0</v>
      </c>
      <c r="AD3810">
        <f>IF(U3810="","MISSING_TOTAL",IF(ABS(AB3810)&lt;=0.01,"OK","CHECK"))</f>
        <v/>
      </c>
      <c r="AE3810">
        <f>IF(U3810="","MISSING",IF(AND(AA3810&gt;0,U3810/AA3810&gt;50),"POSSIBLE_SCALE_ERROR","OK"))</f>
        <v/>
      </c>
    </row>
    <row r="3811">
      <c r="A3811" t="inlineStr">
        <is>
          <t>T-2012-Q4-00017</t>
        </is>
      </c>
      <c r="B3811" t="inlineStr">
        <is>
          <t>SLE</t>
        </is>
      </c>
      <c r="C3811" t="inlineStr">
        <is>
          <t>Vice-President, Prince Edward Island</t>
        </is>
      </c>
      <c r="D3811" t="inlineStr">
        <is>
          <t>Vice-président, Île-du-Prince-Édouard</t>
        </is>
      </c>
      <c r="E3811" t="inlineStr">
        <is>
          <t>Patrick Dorsey</t>
        </is>
      </c>
      <c r="F3811" t="inlineStr">
        <is>
          <t>Drove Minister to meetings in Amherst</t>
        </is>
      </c>
      <c r="G3811" t="inlineStr">
        <is>
          <t>Conduire le ministre à des réunions à Amherst</t>
        </is>
      </c>
      <c r="H3811" s="1" t="n">
        <v>40917</v>
      </c>
      <c r="I3811" s="1" t="n">
        <v>40917</v>
      </c>
      <c r="J3811" t="inlineStr">
        <is>
          <t>Amherst, Nova Scotia</t>
        </is>
      </c>
      <c r="K3811" t="inlineStr">
        <is>
          <t>Amherst (Nouvelle-Écosse)</t>
        </is>
      </c>
      <c r="P3811" t="n">
        <v>0</v>
      </c>
      <c r="Q3811" t="n">
        <v>84.55</v>
      </c>
      <c r="R3811" t="n">
        <v>0</v>
      </c>
      <c r="S3811" t="n">
        <v>0</v>
      </c>
      <c r="T3811" t="n">
        <v>0</v>
      </c>
      <c r="U3811" t="n">
        <v>84.55</v>
      </c>
      <c r="X3811" t="inlineStr">
        <is>
          <t>acoa-apeca</t>
        </is>
      </c>
      <c r="Y3811" t="inlineStr">
        <is>
          <t>Atlantic Canada Opportunities Agency | Agence de promotion économique du Canada atlantique</t>
        </is>
      </c>
      <c r="Z3811" t="n">
        <v>1</v>
      </c>
      <c r="AA3811" t="n">
        <v>84.55</v>
      </c>
      <c r="AB3811">
        <f>ROUND(U3811-AA3811,2)</f>
        <v/>
      </c>
      <c r="AC3811" t="b">
        <v>0</v>
      </c>
      <c r="AD3811">
        <f>IF(U3811="","MISSING_TOTAL",IF(ABS(AB3811)&lt;=0.01,"OK","CHECK"))</f>
        <v/>
      </c>
      <c r="AE3811">
        <f>IF(U3811="","MISSING",IF(AND(AA3811&gt;0,U3811/AA3811&gt;50),"POSSIBLE_SCALE_ERROR","OK"))</f>
        <v/>
      </c>
    </row>
    <row r="3812">
      <c r="A3812" t="inlineStr">
        <is>
          <t>T-2012-Q4-00016</t>
        </is>
      </c>
      <c r="B3812" t="inlineStr">
        <is>
          <t>SLE</t>
        </is>
      </c>
      <c r="C3812" t="inlineStr">
        <is>
          <t>President</t>
        </is>
      </c>
      <c r="D3812" t="inlineStr">
        <is>
          <t>Président</t>
        </is>
      </c>
      <c r="E3812" t="inlineStr">
        <is>
          <t>Paul J. LeBlanc</t>
        </is>
      </c>
      <c r="F3812" t="inlineStr">
        <is>
          <t>For meetings with Agency officials and various stakeholders</t>
        </is>
      </c>
      <c r="G3812" t="inlineStr">
        <is>
          <t>Réunions avec des fonctionnaires de l'Agence et divers intervenants</t>
        </is>
      </c>
      <c r="H3812" s="1" t="n">
        <v>40917</v>
      </c>
      <c r="I3812" s="1" t="n">
        <v>40917</v>
      </c>
      <c r="J3812" t="inlineStr">
        <is>
          <t>Charlottetown, Prince Edward Island</t>
        </is>
      </c>
      <c r="K3812" t="inlineStr">
        <is>
          <t>Charlottetown (Île-du-Prince-Édouard)</t>
        </is>
      </c>
      <c r="P3812" t="n">
        <v>0</v>
      </c>
      <c r="Q3812" t="n">
        <v>0</v>
      </c>
      <c r="R3812" t="n">
        <v>0</v>
      </c>
      <c r="S3812" t="n">
        <v>54.9</v>
      </c>
      <c r="T3812" t="n">
        <v>0</v>
      </c>
      <c r="U3812" t="n">
        <v>54.9</v>
      </c>
      <c r="X3812" t="inlineStr">
        <is>
          <t>acoa-apeca</t>
        </is>
      </c>
      <c r="Y3812" t="inlineStr">
        <is>
          <t>Atlantic Canada Opportunities Agency | Agence de promotion économique du Canada atlantique</t>
        </is>
      </c>
      <c r="Z3812" t="n">
        <v>1</v>
      </c>
      <c r="AA3812" t="n">
        <v>54.9</v>
      </c>
      <c r="AB3812">
        <f>ROUND(U3812-AA3812,2)</f>
        <v/>
      </c>
      <c r="AC3812" t="b">
        <v>0</v>
      </c>
      <c r="AD3812">
        <f>IF(U3812="","MISSING_TOTAL",IF(ABS(AB3812)&lt;=0.01,"OK","CHECK"))</f>
        <v/>
      </c>
      <c r="AE3812">
        <f>IF(U3812="","MISSING",IF(AND(AA3812&gt;0,U3812/AA3812&gt;50),"POSSIBLE_SCALE_ERROR","OK"))</f>
        <v/>
      </c>
    </row>
    <row r="3813">
      <c r="A3813" t="inlineStr">
        <is>
          <t>T-2012-Q4-00015</t>
        </is>
      </c>
      <c r="B3813" t="inlineStr">
        <is>
          <t>SLE</t>
        </is>
      </c>
      <c r="C3813" t="inlineStr">
        <is>
          <t>Vice-President, Newfoundland and Labrador</t>
        </is>
      </c>
      <c r="D3813" t="inlineStr">
        <is>
          <t>Vice-président, Terre-Neuve-et-Labrador</t>
        </is>
      </c>
      <c r="E3813" t="inlineStr">
        <is>
          <t>Paul Mills</t>
        </is>
      </c>
      <c r="F3813" t="inlineStr">
        <is>
          <t>Mileage for meetings in St. John's, Newfoundland and Labrador</t>
        </is>
      </c>
      <c r="G3813" t="inlineStr">
        <is>
          <t>Kilométrage pour réunions à St. John's (Terre-Neuve-et-Labrador)</t>
        </is>
      </c>
      <c r="H3813" s="1" t="n">
        <v>40909</v>
      </c>
      <c r="I3813" s="1" t="n">
        <v>41089</v>
      </c>
      <c r="J3813" t="inlineStr">
        <is>
          <t>St. John's, Newfoundland and Labrador</t>
        </is>
      </c>
      <c r="K3813" t="inlineStr">
        <is>
          <t>St. John's (Terre-Neuve-et-Labrador)</t>
        </is>
      </c>
      <c r="P3813" t="n">
        <v>0</v>
      </c>
      <c r="Q3813" t="n">
        <v>65.16</v>
      </c>
      <c r="R3813" t="n">
        <v>0</v>
      </c>
      <c r="S3813" t="n">
        <v>0</v>
      </c>
      <c r="T3813" t="n">
        <v>0</v>
      </c>
      <c r="U3813" t="n">
        <v>65.16</v>
      </c>
      <c r="X3813" t="inlineStr">
        <is>
          <t>acoa-apeca</t>
        </is>
      </c>
      <c r="Y3813" t="inlineStr">
        <is>
          <t>Atlantic Canada Opportunities Agency | Agence de promotion économique du Canada atlantique</t>
        </is>
      </c>
      <c r="Z3813" t="n">
        <v>181</v>
      </c>
      <c r="AA3813" t="n">
        <v>65.16</v>
      </c>
      <c r="AB3813">
        <f>ROUND(U3813-AA3813,2)</f>
        <v/>
      </c>
      <c r="AC3813" t="b">
        <v>0</v>
      </c>
      <c r="AD3813">
        <f>IF(U3813="","MISSING_TOTAL",IF(ABS(AB3813)&lt;=0.01,"OK","CHECK"))</f>
        <v/>
      </c>
      <c r="AE3813">
        <f>IF(U3813="","MISSING",IF(AND(AA3813&gt;0,U3813/AA3813&gt;50),"POSSIBLE_SCALE_ERROR","OK"))</f>
        <v/>
      </c>
    </row>
    <row r="3814">
      <c r="A3814" t="inlineStr">
        <is>
          <t>T-2012-Q4-00014</t>
        </is>
      </c>
      <c r="B3814" t="inlineStr">
        <is>
          <t>SLE</t>
        </is>
      </c>
      <c r="C3814" t="inlineStr">
        <is>
          <t>Vice President, Nova Scotia</t>
        </is>
      </c>
      <c r="D3814" t="inlineStr">
        <is>
          <t>Vice-président, Nouvelle-Écosse</t>
        </is>
      </c>
      <c r="E3814" t="inlineStr">
        <is>
          <t>Peter Hogan</t>
        </is>
      </c>
      <c r="F3814" t="inlineStr">
        <is>
          <t>National meeting of the Labour Management Consultation Committee</t>
        </is>
      </c>
      <c r="G3814" t="inlineStr">
        <is>
          <t>Réunion nationale du Comité consultatif patronal-syndical</t>
        </is>
      </c>
      <c r="H3814" s="1" t="n">
        <v>40896</v>
      </c>
      <c r="I3814" s="1" t="n">
        <v>40896</v>
      </c>
      <c r="J3814" t="inlineStr">
        <is>
          <t>Moncton, New Brunswick</t>
        </is>
      </c>
      <c r="K3814" t="inlineStr">
        <is>
          <t>Moncton (Nouveau-Brunswick)</t>
        </is>
      </c>
      <c r="P3814" t="n">
        <v>0</v>
      </c>
      <c r="Q3814" t="n">
        <v>8</v>
      </c>
      <c r="R3814" t="n">
        <v>0</v>
      </c>
      <c r="S3814" t="n">
        <v>14.6</v>
      </c>
      <c r="T3814" t="n">
        <v>0</v>
      </c>
      <c r="U3814" t="n">
        <v>22.6</v>
      </c>
      <c r="X3814" t="inlineStr">
        <is>
          <t>acoa-apeca</t>
        </is>
      </c>
      <c r="Y3814" t="inlineStr">
        <is>
          <t>Atlantic Canada Opportunities Agency | Agence de promotion économique du Canada atlantique</t>
        </is>
      </c>
      <c r="Z3814" t="n">
        <v>1</v>
      </c>
      <c r="AA3814" t="n">
        <v>22.6</v>
      </c>
      <c r="AB3814">
        <f>ROUND(U3814-AA3814,2)</f>
        <v/>
      </c>
      <c r="AC3814" t="b">
        <v>0</v>
      </c>
      <c r="AD3814">
        <f>IF(U3814="","MISSING_TOTAL",IF(ABS(AB3814)&lt;=0.01,"OK","CHECK"))</f>
        <v/>
      </c>
      <c r="AE3814">
        <f>IF(U3814="","MISSING",IF(AND(AA3814&gt;0,U3814/AA3814&gt;50),"POSSIBLE_SCALE_ERROR","OK"))</f>
        <v/>
      </c>
    </row>
    <row r="3815">
      <c r="A3815" t="inlineStr">
        <is>
          <t>T-2012-Q4-00013</t>
        </is>
      </c>
      <c r="B3815" t="inlineStr">
        <is>
          <t>SLE</t>
        </is>
      </c>
      <c r="C3815" t="inlineStr">
        <is>
          <t>Vice President, Nova Scotia</t>
        </is>
      </c>
      <c r="D3815" t="inlineStr">
        <is>
          <t>Vice-président, Nouvelle-Écosse</t>
        </is>
      </c>
      <c r="E3815" t="inlineStr">
        <is>
          <t>Peter Hogan</t>
        </is>
      </c>
      <c r="F3815" t="inlineStr">
        <is>
          <t>Senior executives meeting</t>
        </is>
      </c>
      <c r="G3815" t="inlineStr">
        <is>
          <t>Réunion des cadres supérieurs</t>
        </is>
      </c>
      <c r="H3815" s="1" t="n">
        <v>40891</v>
      </c>
      <c r="I3815" s="1" t="n">
        <v>40892</v>
      </c>
      <c r="J3815" t="inlineStr">
        <is>
          <t>Moncton, New Brunswick</t>
        </is>
      </c>
      <c r="K3815" t="inlineStr">
        <is>
          <t>Moncton (Nouveau-Brunswick)</t>
        </is>
      </c>
      <c r="P3815" t="n">
        <v>0</v>
      </c>
      <c r="Q3815" t="n">
        <v>13.28</v>
      </c>
      <c r="R3815" t="n">
        <v>145.77</v>
      </c>
      <c r="S3815" t="n">
        <v>90.25</v>
      </c>
      <c r="T3815" t="n">
        <v>0</v>
      </c>
      <c r="U3815" t="n">
        <v>249.3</v>
      </c>
      <c r="X3815" t="inlineStr">
        <is>
          <t>acoa-apeca</t>
        </is>
      </c>
      <c r="Y3815" t="inlineStr">
        <is>
          <t>Atlantic Canada Opportunities Agency | Agence de promotion économique du Canada atlantique</t>
        </is>
      </c>
      <c r="Z3815" t="n">
        <v>2</v>
      </c>
      <c r="AA3815" t="n">
        <v>249.3</v>
      </c>
      <c r="AB3815">
        <f>ROUND(U3815-AA3815,2)</f>
        <v/>
      </c>
      <c r="AC3815" t="b">
        <v>0</v>
      </c>
      <c r="AD3815">
        <f>IF(U3815="","MISSING_TOTAL",IF(ABS(AB3815)&lt;=0.01,"OK","CHECK"))</f>
        <v/>
      </c>
      <c r="AE3815">
        <f>IF(U3815="","MISSING",IF(AND(AA3815&gt;0,U3815/AA3815&gt;50),"POSSIBLE_SCALE_ERROR","OK"))</f>
        <v/>
      </c>
    </row>
    <row r="3816">
      <c r="A3816" t="inlineStr">
        <is>
          <t>T-2012-Q4-00011</t>
        </is>
      </c>
      <c r="B3816" t="inlineStr">
        <is>
          <t>SLE</t>
        </is>
      </c>
      <c r="C3816" t="inlineStr">
        <is>
          <t>Vice-President, Prince Edward Island</t>
        </is>
      </c>
      <c r="D3816" t="inlineStr">
        <is>
          <t>Vice-président, Île-du-Prince-Édouard</t>
        </is>
      </c>
      <c r="E3816" t="inlineStr">
        <is>
          <t>Patrick Dorsey</t>
        </is>
      </c>
      <c r="F3816" t="inlineStr">
        <is>
          <t>To attend an Executive Committee meeting</t>
        </is>
      </c>
      <c r="G3816" t="inlineStr">
        <is>
          <t>Assister à une réunion du Comité de direction</t>
        </is>
      </c>
      <c r="H3816" s="1" t="n">
        <v>40891</v>
      </c>
      <c r="I3816" s="1" t="n">
        <v>40892</v>
      </c>
      <c r="J3816" t="inlineStr">
        <is>
          <t>Moncton, New Brunswick</t>
        </is>
      </c>
      <c r="K3816" t="inlineStr">
        <is>
          <t>Moncton (Nouveau-Brunswick)</t>
        </is>
      </c>
      <c r="P3816" t="n">
        <v>0</v>
      </c>
      <c r="Q3816" t="n">
        <v>43.35</v>
      </c>
      <c r="R3816" t="n">
        <v>145.77</v>
      </c>
      <c r="S3816" t="n">
        <v>90.25</v>
      </c>
      <c r="T3816" t="n">
        <v>0</v>
      </c>
      <c r="U3816" t="n">
        <v>279.37</v>
      </c>
      <c r="X3816" t="inlineStr">
        <is>
          <t>acoa-apeca</t>
        </is>
      </c>
      <c r="Y3816" t="inlineStr">
        <is>
          <t>Atlantic Canada Opportunities Agency | Agence de promotion économique du Canada atlantique</t>
        </is>
      </c>
      <c r="Z3816" t="n">
        <v>2</v>
      </c>
      <c r="AA3816" t="n">
        <v>279.37</v>
      </c>
      <c r="AB3816">
        <f>ROUND(U3816-AA3816,2)</f>
        <v/>
      </c>
      <c r="AC3816" t="b">
        <v>0</v>
      </c>
      <c r="AD3816">
        <f>IF(U3816="","MISSING_TOTAL",IF(ABS(AB3816)&lt;=0.01,"OK","CHECK"))</f>
        <v/>
      </c>
      <c r="AE3816">
        <f>IF(U3816="","MISSING",IF(AND(AA3816&gt;0,U3816/AA3816&gt;50),"POSSIBLE_SCALE_ERROR","OK"))</f>
        <v/>
      </c>
    </row>
    <row r="3817">
      <c r="A3817" t="inlineStr">
        <is>
          <t>T-2012-Q4-00009</t>
        </is>
      </c>
      <c r="B3817" t="inlineStr">
        <is>
          <t>SLE</t>
        </is>
      </c>
      <c r="C3817" t="inlineStr">
        <is>
          <t>Vice-President, New Brunswick</t>
        </is>
      </c>
      <c r="D3817" t="inlineStr">
        <is>
          <t>Vice-présidente, Nouveau-Brunswick</t>
        </is>
      </c>
      <c r="E3817" t="inlineStr">
        <is>
          <t>Janet Gagnon</t>
        </is>
      </c>
      <c r="F3817" t="inlineStr">
        <is>
          <t>Executive Committee meeting and New Brunswick Federal Council meeting</t>
        </is>
      </c>
      <c r="G3817" t="inlineStr">
        <is>
          <t>Réunion du Comité de direction et réunion du Conseil fédéral du Nouveau-Brunswick</t>
        </is>
      </c>
      <c r="H3817" s="1" t="n">
        <v>40890</v>
      </c>
      <c r="I3817" s="1" t="n">
        <v>40892</v>
      </c>
      <c r="J3817" t="inlineStr">
        <is>
          <t>Moncton, New Brunswick</t>
        </is>
      </c>
      <c r="K3817" t="inlineStr">
        <is>
          <t>Moncton (Nouveau-Brunswick)</t>
        </is>
      </c>
      <c r="P3817" t="n">
        <v>0</v>
      </c>
      <c r="Q3817" t="n">
        <v>0</v>
      </c>
      <c r="R3817" t="n">
        <v>291.54</v>
      </c>
      <c r="S3817" t="n">
        <v>187.4</v>
      </c>
      <c r="T3817" t="n">
        <v>18</v>
      </c>
      <c r="U3817" t="n">
        <v>496.94</v>
      </c>
      <c r="X3817" t="inlineStr">
        <is>
          <t>acoa-apeca</t>
        </is>
      </c>
      <c r="Y3817" t="inlineStr">
        <is>
          <t>Atlantic Canada Opportunities Agency | Agence de promotion économique du Canada atlantique</t>
        </is>
      </c>
      <c r="Z3817" t="n">
        <v>3</v>
      </c>
      <c r="AA3817" t="n">
        <v>496.94</v>
      </c>
      <c r="AB3817">
        <f>ROUND(U3817-AA3817,2)</f>
        <v/>
      </c>
      <c r="AC3817" t="b">
        <v>0</v>
      </c>
      <c r="AD3817">
        <f>IF(U3817="","MISSING_TOTAL",IF(ABS(AB3817)&lt;=0.01,"OK","CHECK"))</f>
        <v/>
      </c>
      <c r="AE3817">
        <f>IF(U3817="","MISSING",IF(AND(AA3817&gt;0,U3817/AA3817&gt;50),"POSSIBLE_SCALE_ERROR","OK"))</f>
        <v/>
      </c>
    </row>
    <row r="3818">
      <c r="A3818" t="inlineStr">
        <is>
          <t>T-2012-Q4-00008</t>
        </is>
      </c>
      <c r="B3818" t="inlineStr">
        <is>
          <t>SLE</t>
        </is>
      </c>
      <c r="C3818" t="inlineStr">
        <is>
          <t>Vice-President, Newfoundland and Labrador</t>
        </is>
      </c>
      <c r="D3818" t="inlineStr">
        <is>
          <t>Vice-président, Terre-Neuve-et-Labrador</t>
        </is>
      </c>
      <c r="E3818" t="inlineStr">
        <is>
          <t>Paul Mills</t>
        </is>
      </c>
      <c r="F3818" t="inlineStr">
        <is>
          <t>To attend meeting with senior government officials and Executive Committee meeting</t>
        </is>
      </c>
      <c r="G3818" t="inlineStr">
        <is>
          <t>Assister à une réunion avec des hauts fonctionnaires et à une réunion du Comité de direction</t>
        </is>
      </c>
      <c r="H3818" s="1" t="n">
        <v>40890</v>
      </c>
      <c r="I3818" s="1" t="n">
        <v>40892</v>
      </c>
      <c r="J3818" t="inlineStr">
        <is>
          <t>Ottawa, Ontario and Moncton, New Brunswick</t>
        </is>
      </c>
      <c r="K3818" t="inlineStr">
        <is>
          <t>Ottawa (Ontario) et Moncton (Nouveau-Brunswick)</t>
        </is>
      </c>
      <c r="P3818" t="n">
        <v>1377.02</v>
      </c>
      <c r="Q3818" t="n">
        <v>306.19</v>
      </c>
      <c r="R3818" t="n">
        <v>319.26</v>
      </c>
      <c r="S3818" t="n">
        <v>248.05</v>
      </c>
      <c r="T3818" t="n">
        <v>54.53</v>
      </c>
      <c r="U3818" t="n">
        <v>2305.05</v>
      </c>
      <c r="X3818" t="inlineStr">
        <is>
          <t>acoa-apeca</t>
        </is>
      </c>
      <c r="Y3818" t="inlineStr">
        <is>
          <t>Atlantic Canada Opportunities Agency | Agence de promotion économique du Canada atlantique</t>
        </is>
      </c>
      <c r="Z3818" t="n">
        <v>3</v>
      </c>
      <c r="AA3818" t="n">
        <v>2305.05</v>
      </c>
      <c r="AB3818">
        <f>ROUND(U3818-AA3818,2)</f>
        <v/>
      </c>
      <c r="AC3818" t="b">
        <v>0</v>
      </c>
      <c r="AD3818">
        <f>IF(U3818="","MISSING_TOTAL",IF(ABS(AB3818)&lt;=0.01,"OK","CHECK"))</f>
        <v/>
      </c>
      <c r="AE3818">
        <f>IF(U3818="","MISSING",IF(AND(AA3818&gt;0,U3818/AA3818&gt;50),"POSSIBLE_SCALE_ERROR","OK"))</f>
        <v/>
      </c>
    </row>
    <row r="3819">
      <c r="A3819" t="inlineStr">
        <is>
          <t>T-2012-Q4-00007</t>
        </is>
      </c>
      <c r="B3819" t="inlineStr">
        <is>
          <t>SLE</t>
        </is>
      </c>
      <c r="C3819" t="inlineStr">
        <is>
          <t>President</t>
        </is>
      </c>
      <c r="D3819" t="inlineStr">
        <is>
          <t>Président</t>
        </is>
      </c>
      <c r="E3819" t="inlineStr">
        <is>
          <t>Paul J. LeBlanc</t>
        </is>
      </c>
      <c r="F3819" t="inlineStr">
        <is>
          <t>For various meetings and discussions with: Agency officials; with Government of Canada officials</t>
        </is>
      </c>
      <c r="G3819" t="inlineStr">
        <is>
          <t>Diverses réunions et discussions avec des fonctionnaires de l'Agence et du gouvernement du Canada</t>
        </is>
      </c>
      <c r="H3819" s="1" t="n">
        <v>40890</v>
      </c>
      <c r="I3819" s="1" t="n">
        <v>40891</v>
      </c>
      <c r="J3819" t="inlineStr">
        <is>
          <t>Ottawa, Ontario</t>
        </is>
      </c>
      <c r="K3819" t="inlineStr">
        <is>
          <t>Ottawa (Ontario)</t>
        </is>
      </c>
      <c r="P3819" t="n">
        <v>727.36</v>
      </c>
      <c r="Q3819" t="n">
        <v>0</v>
      </c>
      <c r="R3819" t="n">
        <v>174.02</v>
      </c>
      <c r="S3819" t="n">
        <v>89.5</v>
      </c>
      <c r="T3819" t="n">
        <v>139.77</v>
      </c>
      <c r="U3819" t="n">
        <v>1130.65</v>
      </c>
      <c r="X3819" t="inlineStr">
        <is>
          <t>acoa-apeca</t>
        </is>
      </c>
      <c r="Y3819" t="inlineStr">
        <is>
          <t>Atlantic Canada Opportunities Agency | Agence de promotion économique du Canada atlantique</t>
        </is>
      </c>
      <c r="Z3819" t="n">
        <v>2</v>
      </c>
      <c r="AA3819" t="n">
        <v>1130.65</v>
      </c>
      <c r="AB3819">
        <f>ROUND(U3819-AA3819,2)</f>
        <v/>
      </c>
      <c r="AC3819" t="b">
        <v>0</v>
      </c>
      <c r="AD3819">
        <f>IF(U3819="","MISSING_TOTAL",IF(ABS(AB3819)&lt;=0.01,"OK","CHECK"))</f>
        <v/>
      </c>
      <c r="AE3819">
        <f>IF(U3819="","MISSING",IF(AND(AA3819&gt;0,U3819/AA3819&gt;50),"POSSIBLE_SCALE_ERROR","OK"))</f>
        <v/>
      </c>
    </row>
    <row r="3820">
      <c r="A3820" t="inlineStr">
        <is>
          <t>T-2012-Q4-00004</t>
        </is>
      </c>
      <c r="B3820" t="inlineStr">
        <is>
          <t>SLE</t>
        </is>
      </c>
      <c r="C3820" t="inlineStr">
        <is>
          <t>President</t>
        </is>
      </c>
      <c r="D3820" t="inlineStr">
        <is>
          <t>Président</t>
        </is>
      </c>
      <c r="E3820" t="inlineStr">
        <is>
          <t>Paul J. LeBlanc</t>
        </is>
      </c>
      <c r="F3820" t="inlineStr">
        <is>
          <t>For various meetings and discussions with Agency officials; and with Government of Canada officials</t>
        </is>
      </c>
      <c r="G3820" t="inlineStr">
        <is>
          <t>Diverses réunions et discussions avec des fonctionnaires de l'Agence et du gouvernement du Canada</t>
        </is>
      </c>
      <c r="H3820" s="1" t="n">
        <v>40883</v>
      </c>
      <c r="I3820" s="1" t="n">
        <v>40886</v>
      </c>
      <c r="J3820" t="inlineStr">
        <is>
          <t>Ottawa, Ontario</t>
        </is>
      </c>
      <c r="K3820" t="inlineStr">
        <is>
          <t>Ottawa (Ontario)</t>
        </is>
      </c>
      <c r="P3820" t="n">
        <v>727.36</v>
      </c>
      <c r="Q3820" t="n">
        <v>0</v>
      </c>
      <c r="R3820" t="n">
        <v>522.0599999999999</v>
      </c>
      <c r="S3820" t="n">
        <v>304.9</v>
      </c>
      <c r="T3820" t="n">
        <v>60</v>
      </c>
      <c r="U3820" t="n">
        <v>1614.32</v>
      </c>
      <c r="X3820" t="inlineStr">
        <is>
          <t>acoa-apeca</t>
        </is>
      </c>
      <c r="Y3820" t="inlineStr">
        <is>
          <t>Atlantic Canada Opportunities Agency | Agence de promotion économique du Canada atlantique</t>
        </is>
      </c>
      <c r="Z3820" t="n">
        <v>4</v>
      </c>
      <c r="AA3820" t="n">
        <v>1614.32</v>
      </c>
      <c r="AB3820">
        <f>ROUND(U3820-AA3820,2)</f>
        <v/>
      </c>
      <c r="AC3820" t="b">
        <v>0</v>
      </c>
      <c r="AD3820">
        <f>IF(U3820="","MISSING_TOTAL",IF(ABS(AB3820)&lt;=0.01,"OK","CHECK"))</f>
        <v/>
      </c>
      <c r="AE3820">
        <f>IF(U3820="","MISSING",IF(AND(AA3820&gt;0,U3820/AA3820&gt;50),"POSSIBLE_SCALE_ERROR","OK"))</f>
        <v/>
      </c>
    </row>
    <row r="3821">
      <c r="A3821" t="inlineStr">
        <is>
          <t>T-2012-Q4-00003</t>
        </is>
      </c>
      <c r="B3821" t="inlineStr">
        <is>
          <t>SLE</t>
        </is>
      </c>
      <c r="C3821" t="inlineStr">
        <is>
          <t>Vice-President, Prince Edward Island</t>
        </is>
      </c>
      <c r="D3821" t="inlineStr">
        <is>
          <t>Vice-président, Île-du-Prince-Édouard</t>
        </is>
      </c>
      <c r="E3821" t="inlineStr">
        <is>
          <t>Patrick Dorsey</t>
        </is>
      </c>
      <c r="F3821" t="inlineStr">
        <is>
          <t>To attend meetings in Ottawa</t>
        </is>
      </c>
      <c r="G3821" t="inlineStr">
        <is>
          <t>Assister à des réunions à Ottawa</t>
        </is>
      </c>
      <c r="H3821" s="1" t="n">
        <v>40882</v>
      </c>
      <c r="I3821" s="1" t="n">
        <v>40883</v>
      </c>
      <c r="J3821" t="inlineStr">
        <is>
          <t>Ottawa, Ontario</t>
        </is>
      </c>
      <c r="K3821" t="inlineStr">
        <is>
          <t>Ottawa (Ontario)</t>
        </is>
      </c>
      <c r="P3821" t="n">
        <v>643.17</v>
      </c>
      <c r="Q3821" t="n">
        <v>74</v>
      </c>
      <c r="R3821" t="n">
        <v>175.15</v>
      </c>
      <c r="S3821" t="n">
        <v>119.45</v>
      </c>
      <c r="T3821" t="n">
        <v>0</v>
      </c>
      <c r="U3821" t="n">
        <v>1011.77</v>
      </c>
      <c r="X3821" t="inlineStr">
        <is>
          <t>acoa-apeca</t>
        </is>
      </c>
      <c r="Y3821" t="inlineStr">
        <is>
          <t>Atlantic Canada Opportunities Agency | Agence de promotion économique du Canada atlantique</t>
        </is>
      </c>
      <c r="Z3821" t="n">
        <v>2</v>
      </c>
      <c r="AA3821" t="n">
        <v>1011.77</v>
      </c>
      <c r="AB3821">
        <f>ROUND(U3821-AA3821,2)</f>
        <v/>
      </c>
      <c r="AC3821" t="b">
        <v>0</v>
      </c>
      <c r="AD3821">
        <f>IF(U3821="","MISSING_TOTAL",IF(ABS(AB3821)&lt;=0.01,"OK","CHECK"))</f>
        <v/>
      </c>
      <c r="AE3821">
        <f>IF(U3821="","MISSING",IF(AND(AA3821&gt;0,U3821/AA3821&gt;50),"POSSIBLE_SCALE_ERROR","OK"))</f>
        <v/>
      </c>
    </row>
    <row r="3822">
      <c r="A3822" t="inlineStr">
        <is>
          <t>T-2012-Q3-00089</t>
        </is>
      </c>
      <c r="B3822" t="inlineStr">
        <is>
          <t>SLE</t>
        </is>
      </c>
      <c r="C3822" t="inlineStr">
        <is>
          <t>Vice-President, Finance and Corporate Services</t>
        </is>
      </c>
      <c r="D3822" t="inlineStr">
        <is>
          <t>Vice-présidente, Finances et Services corporatifs</t>
        </is>
      </c>
      <c r="E3822" t="inlineStr">
        <is>
          <t>Denise Frenette</t>
        </is>
      </c>
      <c r="F3822" t="inlineStr">
        <is>
          <t>Meetings with Agency officials</t>
        </is>
      </c>
      <c r="G3822" t="inlineStr">
        <is>
          <t>Réunions avec des fonctionnaires de l'Agence</t>
        </is>
      </c>
      <c r="H3822" s="1" t="n">
        <v>40878</v>
      </c>
      <c r="I3822" s="1" t="n">
        <v>40879</v>
      </c>
      <c r="J3822" t="inlineStr">
        <is>
          <t>Fredericton, New Brunswick</t>
        </is>
      </c>
      <c r="K3822" t="inlineStr">
        <is>
          <t>Fredericton (Nouveau-Brunswick)</t>
        </is>
      </c>
      <c r="P3822" t="n">
        <v>0</v>
      </c>
      <c r="Q3822" t="n">
        <v>0</v>
      </c>
      <c r="R3822" t="n">
        <v>162.72</v>
      </c>
      <c r="S3822" t="n">
        <v>89.5</v>
      </c>
      <c r="T3822" t="n">
        <v>0</v>
      </c>
      <c r="U3822" t="n">
        <v>252.22</v>
      </c>
      <c r="X3822" t="inlineStr">
        <is>
          <t>acoa-apeca</t>
        </is>
      </c>
      <c r="Y3822" t="inlineStr">
        <is>
          <t>Atlantic Canada Opportunities Agency | Agence de promotion économique du Canada atlantique</t>
        </is>
      </c>
      <c r="Z3822" t="n">
        <v>2</v>
      </c>
      <c r="AA3822" t="n">
        <v>252.22</v>
      </c>
      <c r="AB3822">
        <f>ROUND(U3822-AA3822,2)</f>
        <v/>
      </c>
      <c r="AC3822" t="b">
        <v>0</v>
      </c>
      <c r="AD3822">
        <f>IF(U3822="","MISSING_TOTAL",IF(ABS(AB3822)&lt;=0.01,"OK","CHECK"))</f>
        <v/>
      </c>
      <c r="AE3822">
        <f>IF(U3822="","MISSING",IF(AND(AA3822&gt;0,U3822/AA3822&gt;50),"POSSIBLE_SCALE_ERROR","OK"))</f>
        <v/>
      </c>
    </row>
    <row r="3823">
      <c r="A3823" t="inlineStr">
        <is>
          <t>T-2012-Q3-00088</t>
        </is>
      </c>
      <c r="B3823" t="inlineStr">
        <is>
          <t>SLE</t>
        </is>
      </c>
      <c r="C3823" t="inlineStr">
        <is>
          <t>Vice President, Nova Scotia</t>
        </is>
      </c>
      <c r="D3823" t="inlineStr">
        <is>
          <t>Vice-président, Nouvelle-Écosse</t>
        </is>
      </c>
      <c r="E3823" t="inlineStr">
        <is>
          <t>Peter Hogan</t>
        </is>
      </c>
      <c r="F3823" t="inlineStr">
        <is>
          <t>Atlantic Canada Opportunities Board meeting and meeting with the President and Regional Vice-Presidents</t>
        </is>
      </c>
      <c r="G3823" t="inlineStr">
        <is>
          <t>Réunion du Conseil de promotion économique du Canada atlantique et réunion avec le président et les vice-présidents régionaux</t>
        </is>
      </c>
      <c r="H3823" s="1" t="n">
        <v>40877</v>
      </c>
      <c r="I3823" s="1" t="n">
        <v>40879</v>
      </c>
      <c r="J3823" t="inlineStr">
        <is>
          <t>Fredericton and Moncton, New Brunswick</t>
        </is>
      </c>
      <c r="K3823" t="inlineStr">
        <is>
          <t>Fredericton et Moncton (Nouveau-Brunswick)</t>
        </is>
      </c>
      <c r="P3823" t="n">
        <v>868.4400000000001</v>
      </c>
      <c r="Q3823" t="n">
        <v>107.2</v>
      </c>
      <c r="R3823" t="n">
        <v>302.84</v>
      </c>
      <c r="S3823" t="n">
        <v>177.8</v>
      </c>
      <c r="T3823" t="n">
        <v>0</v>
      </c>
      <c r="U3823" t="n">
        <v>1456.28</v>
      </c>
      <c r="X3823" t="inlineStr">
        <is>
          <t>acoa-apeca</t>
        </is>
      </c>
      <c r="Y3823" t="inlineStr">
        <is>
          <t>Atlantic Canada Opportunities Agency | Agence de promotion économique du Canada atlantique</t>
        </is>
      </c>
      <c r="Z3823" t="n">
        <v>3</v>
      </c>
      <c r="AA3823" t="n">
        <v>1456.28</v>
      </c>
      <c r="AB3823">
        <f>ROUND(U3823-AA3823,2)</f>
        <v/>
      </c>
      <c r="AC3823" t="b">
        <v>0</v>
      </c>
      <c r="AD3823">
        <f>IF(U3823="","MISSING_TOTAL",IF(ABS(AB3823)&lt;=0.01,"OK","CHECK"))</f>
        <v/>
      </c>
      <c r="AE3823">
        <f>IF(U3823="","MISSING",IF(AND(AA3823&gt;0,U3823/AA3823&gt;50),"POSSIBLE_SCALE_ERROR","OK"))</f>
        <v/>
      </c>
    </row>
    <row r="3824">
      <c r="A3824" t="inlineStr">
        <is>
          <t>T-2012-Q3-00085</t>
        </is>
      </c>
      <c r="B3824" t="inlineStr">
        <is>
          <t>SLE</t>
        </is>
      </c>
      <c r="C3824" t="inlineStr">
        <is>
          <t>President</t>
        </is>
      </c>
      <c r="D3824" t="inlineStr">
        <is>
          <t>Président</t>
        </is>
      </c>
      <c r="E3824" t="inlineStr">
        <is>
          <t>Paul J. LeBlanc</t>
        </is>
      </c>
      <c r="F3824" t="inlineStr">
        <is>
          <t>For various meetings and discussions with Agency officials</t>
        </is>
      </c>
      <c r="G3824" t="inlineStr">
        <is>
          <t>Diverses réunions et discussions avec des fonctionnaires de l'Agence</t>
        </is>
      </c>
      <c r="H3824" s="1" t="n">
        <v>40877</v>
      </c>
      <c r="I3824" s="1" t="n">
        <v>40879</v>
      </c>
      <c r="J3824" t="inlineStr">
        <is>
          <t>Fredericton, New Brunswick</t>
        </is>
      </c>
      <c r="K3824" t="inlineStr">
        <is>
          <t>Fredericton (Nouveau-Brunswick)</t>
        </is>
      </c>
      <c r="P3824" t="n">
        <v>0</v>
      </c>
      <c r="Q3824" t="n">
        <v>0</v>
      </c>
      <c r="R3824" t="n">
        <v>325.44</v>
      </c>
      <c r="S3824" t="n">
        <v>177.8</v>
      </c>
      <c r="T3824" t="n">
        <v>179.5</v>
      </c>
      <c r="U3824" t="n">
        <v>682.74</v>
      </c>
      <c r="X3824" t="inlineStr">
        <is>
          <t>acoa-apeca</t>
        </is>
      </c>
      <c r="Y3824" t="inlineStr">
        <is>
          <t>Atlantic Canada Opportunities Agency | Agence de promotion économique du Canada atlantique</t>
        </is>
      </c>
      <c r="Z3824" t="n">
        <v>3</v>
      </c>
      <c r="AA3824" t="n">
        <v>682.74</v>
      </c>
      <c r="AB3824">
        <f>ROUND(U3824-AA3824,2)</f>
        <v/>
      </c>
      <c r="AC3824" t="b">
        <v>0</v>
      </c>
      <c r="AD3824">
        <f>IF(U3824="","MISSING_TOTAL",IF(ABS(AB3824)&lt;=0.01,"OK","CHECK"))</f>
        <v/>
      </c>
      <c r="AE3824">
        <f>IF(U3824="","MISSING",IF(AND(AA3824&gt;0,U3824/AA3824&gt;50),"POSSIBLE_SCALE_ERROR","OK"))</f>
        <v/>
      </c>
    </row>
    <row r="3825">
      <c r="A3825" t="inlineStr">
        <is>
          <t>T-2012-Q3-00083</t>
        </is>
      </c>
      <c r="B3825" t="inlineStr">
        <is>
          <t>MPSES</t>
        </is>
      </c>
      <c r="C3825" t="inlineStr">
        <is>
          <t>Chief of Staff</t>
        </is>
      </c>
      <c r="D3825" t="inlineStr">
        <is>
          <t>Chef de cabinet</t>
        </is>
      </c>
      <c r="E3825" t="inlineStr">
        <is>
          <t>Mélisa Leclerc</t>
        </is>
      </c>
      <c r="F3825" t="inlineStr">
        <is>
          <t>Travel with MoS to attend various Francophonie related events and meetings</t>
        </is>
      </c>
      <c r="G3825" t="inlineStr">
        <is>
          <t>Voyage pour assister à diveres activités et réunions liées à la Francophonie avec le ministre d'État</t>
        </is>
      </c>
      <c r="H3825" s="1" t="n">
        <v>40876</v>
      </c>
      <c r="I3825" s="1" t="n">
        <v>40884</v>
      </c>
      <c r="J3825" t="inlineStr">
        <is>
          <t>Paris, France</t>
        </is>
      </c>
      <c r="K3825" t="inlineStr">
        <is>
          <t>Paris (France)</t>
        </is>
      </c>
      <c r="P3825" t="n">
        <v>1323.34</v>
      </c>
      <c r="Q3825" t="n">
        <v>84</v>
      </c>
      <c r="R3825" t="n">
        <v>2268.89</v>
      </c>
      <c r="S3825" t="n">
        <v>967.62</v>
      </c>
      <c r="T3825" t="n">
        <v>0</v>
      </c>
      <c r="U3825" t="n">
        <v>4643.85</v>
      </c>
      <c r="X3825" t="inlineStr">
        <is>
          <t>acoa-apeca</t>
        </is>
      </c>
      <c r="Y3825" t="inlineStr">
        <is>
          <t>Atlantic Canada Opportunities Agency | Agence de promotion économique du Canada atlantique</t>
        </is>
      </c>
      <c r="Z3825" t="n">
        <v>9</v>
      </c>
      <c r="AA3825" t="n">
        <v>4643.84999999999</v>
      </c>
      <c r="AB3825">
        <f>ROUND(U3825-AA3825,2)</f>
        <v/>
      </c>
      <c r="AC3825" t="b">
        <v>0</v>
      </c>
      <c r="AD3825">
        <f>IF(U3825="","MISSING_TOTAL",IF(ABS(AB3825)&lt;=0.01,"OK","CHECK"))</f>
        <v/>
      </c>
      <c r="AE3825">
        <f>IF(U3825="","MISSING",IF(AND(AA3825&gt;0,U3825/AA3825&gt;50),"POSSIBLE_SCALE_ERROR","OK"))</f>
        <v/>
      </c>
    </row>
    <row r="3826">
      <c r="A3826" t="inlineStr">
        <is>
          <t>T-2012-Q3-00082</t>
        </is>
      </c>
      <c r="B3826" t="inlineStr">
        <is>
          <t>SLE</t>
        </is>
      </c>
      <c r="C3826" t="inlineStr">
        <is>
          <t>Vice-President, Prince Edward Island</t>
        </is>
      </c>
      <c r="D3826" t="inlineStr">
        <is>
          <t>Vice-président, Île-du-Prince-Édouard</t>
        </is>
      </c>
      <c r="E3826" t="inlineStr">
        <is>
          <t>Patrick Dorsey</t>
        </is>
      </c>
      <c r="F3826" t="inlineStr">
        <is>
          <t>Meetings Tourism Industry Association NS Conference and ACOA Board Meeting and Executive Committee</t>
        </is>
      </c>
      <c r="G3826" t="inlineStr">
        <is>
          <t>Réunions, conférence de l'association de l'industrie touristique de la Nouvelle-Écosse et réunions du Conseil de promotion économique du Canada atlantique et du Comité de direction</t>
        </is>
      </c>
      <c r="H3826" s="1" t="n">
        <v>40875</v>
      </c>
      <c r="I3826" s="1" t="n">
        <v>40879</v>
      </c>
      <c r="J3826" t="inlineStr">
        <is>
          <t>Halifax, Nova Scotia and Fredericton, New Brunswick</t>
        </is>
      </c>
      <c r="K3826" t="inlineStr">
        <is>
          <t>Halifax (Nouvelle-Écosse) / Fredericton (Nouveau-Brunswick)</t>
        </is>
      </c>
      <c r="P3826" t="n">
        <v>0</v>
      </c>
      <c r="Q3826" t="n">
        <v>114.13</v>
      </c>
      <c r="R3826" t="n">
        <v>618.7</v>
      </c>
      <c r="S3826" t="n">
        <v>272.3</v>
      </c>
      <c r="T3826" t="n">
        <v>0</v>
      </c>
      <c r="U3826" t="n">
        <v>1005.13</v>
      </c>
      <c r="X3826" t="inlineStr">
        <is>
          <t>acoa-apeca</t>
        </is>
      </c>
      <c r="Y3826" t="inlineStr">
        <is>
          <t>Atlantic Canada Opportunities Agency | Agence de promotion économique du Canada atlantique</t>
        </is>
      </c>
      <c r="Z3826" t="n">
        <v>5</v>
      </c>
      <c r="AA3826" t="n">
        <v>1005.13</v>
      </c>
      <c r="AB3826">
        <f>ROUND(U3826-AA3826,2)</f>
        <v/>
      </c>
      <c r="AC3826" t="b">
        <v>0</v>
      </c>
      <c r="AD3826">
        <f>IF(U3826="","MISSING_TOTAL",IF(ABS(AB3826)&lt;=0.01,"OK","CHECK"))</f>
        <v/>
      </c>
      <c r="AE3826">
        <f>IF(U3826="","MISSING",IF(AND(AA3826&gt;0,U3826/AA3826&gt;50),"POSSIBLE_SCALE_ERROR","OK"))</f>
        <v/>
      </c>
    </row>
    <row r="3827">
      <c r="A3827" t="inlineStr">
        <is>
          <t>T-2012-Q3-00079</t>
        </is>
      </c>
      <c r="B3827" t="inlineStr">
        <is>
          <t>SLE</t>
        </is>
      </c>
      <c r="C3827" t="inlineStr">
        <is>
          <t>Vice-President, New Brunswick</t>
        </is>
      </c>
      <c r="D3827" t="inlineStr">
        <is>
          <t>Vice-présidente, Nouveau-Brunswick</t>
        </is>
      </c>
      <c r="E3827" t="inlineStr">
        <is>
          <t>Janet Gagnon</t>
        </is>
      </c>
      <c r="F3827" t="inlineStr">
        <is>
          <t>Member of interview board during interview process for ACOA Nova Scotia</t>
        </is>
      </c>
      <c r="G3827" t="inlineStr">
        <is>
          <t>Faire partie du comité de sélection dans le cadre d'un processus de sélection du bureau de l'APECA en Nouvelle-Écosse</t>
        </is>
      </c>
      <c r="H3827" s="1" t="n">
        <v>40868</v>
      </c>
      <c r="I3827" s="1" t="n">
        <v>40869</v>
      </c>
      <c r="J3827" t="inlineStr">
        <is>
          <t>Halifax, Nova Scotia</t>
        </is>
      </c>
      <c r="K3827" t="inlineStr">
        <is>
          <t>Halifax (Nouvelle-Écosse)</t>
        </is>
      </c>
      <c r="P3827" t="n">
        <v>643.99</v>
      </c>
      <c r="Q3827" t="n">
        <v>116</v>
      </c>
      <c r="R3827" t="n">
        <v>139.59</v>
      </c>
      <c r="S3827" t="n">
        <v>145.15</v>
      </c>
      <c r="T3827" t="n">
        <v>18</v>
      </c>
      <c r="U3827" t="n">
        <v>1062.73</v>
      </c>
      <c r="X3827" t="inlineStr">
        <is>
          <t>acoa-apeca</t>
        </is>
      </c>
      <c r="Y3827" t="inlineStr">
        <is>
          <t>Atlantic Canada Opportunities Agency | Agence de promotion économique du Canada atlantique</t>
        </is>
      </c>
      <c r="Z3827" t="n">
        <v>2</v>
      </c>
      <c r="AA3827" t="n">
        <v>1062.73</v>
      </c>
      <c r="AB3827">
        <f>ROUND(U3827-AA3827,2)</f>
        <v/>
      </c>
      <c r="AC3827" t="b">
        <v>0</v>
      </c>
      <c r="AD3827">
        <f>IF(U3827="","MISSING_TOTAL",IF(ABS(AB3827)&lt;=0.01,"OK","CHECK"))</f>
        <v/>
      </c>
      <c r="AE3827">
        <f>IF(U3827="","MISSING",IF(AND(AA3827&gt;0,U3827/AA3827&gt;50),"POSSIBLE_SCALE_ERROR","OK"))</f>
        <v/>
      </c>
    </row>
    <row r="3828">
      <c r="A3828" t="inlineStr">
        <is>
          <t>T-2012-Q3-00078</t>
        </is>
      </c>
      <c r="B3828" t="inlineStr">
        <is>
          <t>SLE</t>
        </is>
      </c>
      <c r="C3828" t="inlineStr">
        <is>
          <t>President</t>
        </is>
      </c>
      <c r="D3828" t="inlineStr">
        <is>
          <t>Président</t>
        </is>
      </c>
      <c r="E3828" t="inlineStr">
        <is>
          <t>Paul J. LeBlanc</t>
        </is>
      </c>
      <c r="F3828" t="inlineStr">
        <is>
          <t>For various meetings and discussions with Agency officials; and with Government of Canada officials</t>
        </is>
      </c>
      <c r="G3828" t="inlineStr">
        <is>
          <t>Diverses réunions et discussions avec des fonctionnaires de l'Agence et des fonctionnaires du gouvernement du Canada</t>
        </is>
      </c>
      <c r="H3828" s="1" t="n">
        <v>40868</v>
      </c>
      <c r="I3828" s="1" t="n">
        <v>40871</v>
      </c>
      <c r="J3828" t="inlineStr">
        <is>
          <t>Ottawa, Ontario</t>
        </is>
      </c>
      <c r="K3828" t="inlineStr">
        <is>
          <t>Ottawa (Ontario)</t>
        </is>
      </c>
      <c r="P3828" t="n">
        <v>727.36</v>
      </c>
      <c r="Q3828" t="n">
        <v>0</v>
      </c>
      <c r="R3828" t="n">
        <v>522.0599999999999</v>
      </c>
      <c r="S3828" t="n">
        <v>304.9</v>
      </c>
      <c r="T3828" t="n">
        <v>185.5</v>
      </c>
      <c r="U3828" t="n">
        <v>1739.82</v>
      </c>
      <c r="X3828" t="inlineStr">
        <is>
          <t>acoa-apeca</t>
        </is>
      </c>
      <c r="Y3828" t="inlineStr">
        <is>
          <t>Atlantic Canada Opportunities Agency | Agence de promotion économique du Canada atlantique</t>
        </is>
      </c>
      <c r="Z3828" t="n">
        <v>4</v>
      </c>
      <c r="AA3828" t="n">
        <v>1739.82</v>
      </c>
      <c r="AB3828">
        <f>ROUND(U3828-AA3828,2)</f>
        <v/>
      </c>
      <c r="AC3828" t="b">
        <v>0</v>
      </c>
      <c r="AD3828">
        <f>IF(U3828="","MISSING_TOTAL",IF(ABS(AB3828)&lt;=0.01,"OK","CHECK"))</f>
        <v/>
      </c>
      <c r="AE3828">
        <f>IF(U3828="","MISSING",IF(AND(AA3828&gt;0,U3828/AA3828&gt;50),"POSSIBLE_SCALE_ERROR","OK"))</f>
        <v/>
      </c>
    </row>
    <row r="3829">
      <c r="A3829" t="inlineStr">
        <is>
          <t>T-2012-Q3-00077</t>
        </is>
      </c>
      <c r="B3829" t="inlineStr">
        <is>
          <t>SLE</t>
        </is>
      </c>
      <c r="C3829" t="inlineStr">
        <is>
          <t>Vice-President, Newfoundland and Labrador</t>
        </is>
      </c>
      <c r="D3829" t="inlineStr">
        <is>
          <t>Vice-président, Terre-Neuve-et-Labrador</t>
        </is>
      </c>
      <c r="E3829" t="inlineStr">
        <is>
          <t>Paul Mills</t>
        </is>
      </c>
      <c r="F3829" t="inlineStr">
        <is>
          <t>To participate in DG OPS interviews in Halifax, NS</t>
        </is>
      </c>
      <c r="G3829" t="inlineStr">
        <is>
          <t>Participer aux entrevues des directeurs généraux des Opérations à Halifax (Nouvelle-Écosse)</t>
        </is>
      </c>
      <c r="H3829" s="1" t="n">
        <v>40868</v>
      </c>
      <c r="I3829" s="1" t="n">
        <v>40869</v>
      </c>
      <c r="J3829" t="inlineStr">
        <is>
          <t>Halifax, NS</t>
        </is>
      </c>
      <c r="K3829" t="inlineStr">
        <is>
          <t>Halifax (Nouvelle-Écosse)</t>
        </is>
      </c>
      <c r="P3829" t="n">
        <v>1377.02</v>
      </c>
      <c r="Q3829" t="n">
        <v>168</v>
      </c>
      <c r="R3829" t="n">
        <v>139.59</v>
      </c>
      <c r="S3829" t="n">
        <v>130.55</v>
      </c>
      <c r="T3829" t="n">
        <v>8.529999999999999</v>
      </c>
      <c r="U3829" t="n">
        <v>1823.69</v>
      </c>
      <c r="X3829" t="inlineStr">
        <is>
          <t>acoa-apeca</t>
        </is>
      </c>
      <c r="Y3829" t="inlineStr">
        <is>
          <t>Atlantic Canada Opportunities Agency | Agence de promotion économique du Canada atlantique</t>
        </is>
      </c>
      <c r="Z3829" t="n">
        <v>2</v>
      </c>
      <c r="AA3829" t="n">
        <v>1823.68999999999</v>
      </c>
      <c r="AB3829">
        <f>ROUND(U3829-AA3829,2)</f>
        <v/>
      </c>
      <c r="AC3829" t="b">
        <v>0</v>
      </c>
      <c r="AD3829">
        <f>IF(U3829="","MISSING_TOTAL",IF(ABS(AB3829)&lt;=0.01,"OK","CHECK"))</f>
        <v/>
      </c>
      <c r="AE3829">
        <f>IF(U3829="","MISSING",IF(AND(AA3829&gt;0,U3829/AA3829&gt;50),"POSSIBLE_SCALE_ERROR","OK"))</f>
        <v/>
      </c>
    </row>
    <row r="3830">
      <c r="A3830" t="inlineStr">
        <is>
          <t>T-2012-Q3-00075</t>
        </is>
      </c>
      <c r="B3830" t="inlineStr">
        <is>
          <t>MPSES</t>
        </is>
      </c>
      <c r="C3830" t="inlineStr">
        <is>
          <t>Minister of State</t>
        </is>
      </c>
      <c r="D3830" t="inlineStr">
        <is>
          <t>Ministre d'État</t>
        </is>
      </c>
      <c r="E3830" t="inlineStr">
        <is>
          <t>Bernard Valcourt</t>
        </is>
      </c>
      <c r="F3830" t="inlineStr">
        <is>
          <t>Various meetings and announcements for ACOA</t>
        </is>
      </c>
      <c r="G3830" t="inlineStr">
        <is>
          <t>Diverses rencontres et annonces pour l'APECA</t>
        </is>
      </c>
      <c r="H3830" s="1" t="n">
        <v>40865</v>
      </c>
      <c r="I3830" s="1" t="n">
        <v>40867</v>
      </c>
      <c r="J3830" t="inlineStr">
        <is>
          <t>Moncton, New Brunswick</t>
        </is>
      </c>
      <c r="K3830" t="inlineStr">
        <is>
          <t>Moncton (Nouveau-Brunswick)</t>
        </is>
      </c>
      <c r="P3830" t="n">
        <v>703.6799999999999</v>
      </c>
      <c r="Q3830" t="n">
        <v>0</v>
      </c>
      <c r="R3830" t="n">
        <v>291.54</v>
      </c>
      <c r="S3830" t="n">
        <v>119.45</v>
      </c>
      <c r="T3830" t="n">
        <v>0</v>
      </c>
      <c r="U3830" t="n">
        <v>1114.67</v>
      </c>
      <c r="X3830" t="inlineStr">
        <is>
          <t>acoa-apeca</t>
        </is>
      </c>
      <c r="Y3830" t="inlineStr">
        <is>
          <t>Atlantic Canada Opportunities Agency | Agence de promotion économique du Canada atlantique</t>
        </is>
      </c>
      <c r="Z3830" t="n">
        <v>3</v>
      </c>
      <c r="AA3830" t="n">
        <v>1114.67</v>
      </c>
      <c r="AB3830">
        <f>ROUND(U3830-AA3830,2)</f>
        <v/>
      </c>
      <c r="AC3830" t="b">
        <v>0</v>
      </c>
      <c r="AD3830">
        <f>IF(U3830="","MISSING_TOTAL",IF(ABS(AB3830)&lt;=0.01,"OK","CHECK"))</f>
        <v/>
      </c>
      <c r="AE3830">
        <f>IF(U3830="","MISSING",IF(AND(AA3830&gt;0,U3830/AA3830&gt;50),"POSSIBLE_SCALE_ERROR","OK"))</f>
        <v/>
      </c>
    </row>
    <row r="3831">
      <c r="A3831" t="inlineStr">
        <is>
          <t>T-2012-Q3-00074</t>
        </is>
      </c>
      <c r="B3831" t="inlineStr">
        <is>
          <t>MPSES</t>
        </is>
      </c>
      <c r="C3831" t="inlineStr">
        <is>
          <t>Executive Assistant and Press Secretary</t>
        </is>
      </c>
      <c r="D3831" t="inlineStr">
        <is>
          <t>Adjointe exécutive et attaché de presse</t>
        </is>
      </c>
      <c r="E3831" t="inlineStr">
        <is>
          <t>Andrea Richer</t>
        </is>
      </c>
      <c r="F3831" t="inlineStr">
        <is>
          <t>Travel with MoS to attend ACOA meetings and events</t>
        </is>
      </c>
      <c r="G3831" t="inlineStr">
        <is>
          <t>Voyage pour assister à des réunions et à des évènements de l'APECA avec le ministre d'État</t>
        </is>
      </c>
      <c r="H3831" s="1" t="n">
        <v>40865</v>
      </c>
      <c r="I3831" s="1" t="n">
        <v>40867</v>
      </c>
      <c r="J3831" t="inlineStr">
        <is>
          <t>Moncton, New Brunswick</t>
        </is>
      </c>
      <c r="K3831" t="inlineStr">
        <is>
          <t>Moncton (Nouveau-Brunswick)</t>
        </is>
      </c>
      <c r="P3831" t="n">
        <v>703.6799999999999</v>
      </c>
      <c r="Q3831" t="n">
        <v>20.41</v>
      </c>
      <c r="R3831" t="n">
        <v>291.54</v>
      </c>
      <c r="S3831" t="n">
        <v>119.45</v>
      </c>
      <c r="T3831" t="n">
        <v>0</v>
      </c>
      <c r="U3831" t="n">
        <v>1135.08</v>
      </c>
      <c r="X3831" t="inlineStr">
        <is>
          <t>acoa-apeca</t>
        </is>
      </c>
      <c r="Y3831" t="inlineStr">
        <is>
          <t>Atlantic Canada Opportunities Agency | Agence de promotion économique du Canada atlantique</t>
        </is>
      </c>
      <c r="Z3831" t="n">
        <v>3</v>
      </c>
      <c r="AA3831" t="n">
        <v>1135.08</v>
      </c>
      <c r="AB3831">
        <f>ROUND(U3831-AA3831,2)</f>
        <v/>
      </c>
      <c r="AC3831" t="b">
        <v>0</v>
      </c>
      <c r="AD3831">
        <f>IF(U3831="","MISSING_TOTAL",IF(ABS(AB3831)&lt;=0.01,"OK","CHECK"))</f>
        <v/>
      </c>
      <c r="AE3831">
        <f>IF(U3831="","MISSING",IF(AND(AA3831&gt;0,U3831/AA3831&gt;50),"POSSIBLE_SCALE_ERROR","OK"))</f>
        <v/>
      </c>
    </row>
    <row r="3832">
      <c r="A3832" t="inlineStr">
        <is>
          <t>T-2012-Q3-00073</t>
        </is>
      </c>
      <c r="B3832" t="inlineStr">
        <is>
          <t>SLE</t>
        </is>
      </c>
      <c r="C3832" t="inlineStr">
        <is>
          <t>President</t>
        </is>
      </c>
      <c r="D3832" t="inlineStr">
        <is>
          <t>Président</t>
        </is>
      </c>
      <c r="E3832" t="inlineStr">
        <is>
          <t>Paul J. LeBlanc</t>
        </is>
      </c>
      <c r="F3832" t="inlineStr">
        <is>
          <t>To attend the Halifax International Security Forum</t>
        </is>
      </c>
      <c r="G3832" t="inlineStr">
        <is>
          <t>Assister au Forum international sur la sécurité d'Halifax</t>
        </is>
      </c>
      <c r="H3832" s="1" t="n">
        <v>40865</v>
      </c>
      <c r="I3832" s="1" t="n">
        <v>40866</v>
      </c>
      <c r="J3832" t="inlineStr">
        <is>
          <t>Halifax, Nova Scotia</t>
        </is>
      </c>
      <c r="K3832" t="inlineStr">
        <is>
          <t>Halifax (Nouvelle-Écosse)</t>
        </is>
      </c>
      <c r="P3832" t="n">
        <v>727.36</v>
      </c>
      <c r="Q3832" t="n">
        <v>0</v>
      </c>
      <c r="R3832" t="n">
        <v>0</v>
      </c>
      <c r="S3832" t="n">
        <v>34.6</v>
      </c>
      <c r="T3832" t="n">
        <v>258</v>
      </c>
      <c r="U3832" t="n">
        <v>1019.96</v>
      </c>
      <c r="X3832" t="inlineStr">
        <is>
          <t>acoa-apeca</t>
        </is>
      </c>
      <c r="Y3832" t="inlineStr">
        <is>
          <t>Atlantic Canada Opportunities Agency | Agence de promotion économique du Canada atlantique</t>
        </is>
      </c>
      <c r="Z3832" t="n">
        <v>2</v>
      </c>
      <c r="AA3832" t="n">
        <v>1019.96</v>
      </c>
      <c r="AB3832">
        <f>ROUND(U3832-AA3832,2)</f>
        <v/>
      </c>
      <c r="AC3832" t="b">
        <v>0</v>
      </c>
      <c r="AD3832">
        <f>IF(U3832="","MISSING_TOTAL",IF(ABS(AB3832)&lt;=0.01,"OK","CHECK"))</f>
        <v/>
      </c>
      <c r="AE3832">
        <f>IF(U3832="","MISSING",IF(AND(AA3832&gt;0,U3832/AA3832&gt;50),"POSSIBLE_SCALE_ERROR","OK"))</f>
        <v/>
      </c>
    </row>
    <row r="3833">
      <c r="A3833" t="inlineStr">
        <is>
          <t>T-2012-Q3-00072</t>
        </is>
      </c>
      <c r="B3833" t="inlineStr">
        <is>
          <t>SLE</t>
        </is>
      </c>
      <c r="C3833" t="inlineStr">
        <is>
          <t>Vice-President, Finance and Corporate Services</t>
        </is>
      </c>
      <c r="D3833" t="inlineStr">
        <is>
          <t>Vice-présidente, Finances et Services corporatifs</t>
        </is>
      </c>
      <c r="E3833" t="inlineStr">
        <is>
          <t>Denise Frenette</t>
        </is>
      </c>
      <c r="F3833" t="inlineStr">
        <is>
          <t>Meetings with Government of Canada officials and Agency officials</t>
        </is>
      </c>
      <c r="G3833" t="inlineStr">
        <is>
          <t>Réunions avec des fonctionnaires du gouvernement du Canada et de l'Agence</t>
        </is>
      </c>
      <c r="H3833" s="1" t="n">
        <v>40862</v>
      </c>
      <c r="I3833" s="1" t="n">
        <v>40864</v>
      </c>
      <c r="J3833" t="inlineStr">
        <is>
          <t>Ottawa, Ontario</t>
        </is>
      </c>
      <c r="K3833" t="inlineStr">
        <is>
          <t>Ottawa (Ontario)</t>
        </is>
      </c>
      <c r="P3833" t="n">
        <v>1075.76</v>
      </c>
      <c r="Q3833" t="n">
        <v>79</v>
      </c>
      <c r="R3833" t="n">
        <v>348.04</v>
      </c>
      <c r="S3833" t="n">
        <v>202</v>
      </c>
      <c r="T3833" t="n">
        <v>0</v>
      </c>
      <c r="U3833" t="n">
        <v>1704.8</v>
      </c>
      <c r="X3833" t="inlineStr">
        <is>
          <t>acoa-apeca</t>
        </is>
      </c>
      <c r="Y3833" t="inlineStr">
        <is>
          <t>Atlantic Canada Opportunities Agency | Agence de promotion économique du Canada atlantique</t>
        </is>
      </c>
      <c r="Z3833" t="n">
        <v>3</v>
      </c>
      <c r="AA3833" t="n">
        <v>1704.8</v>
      </c>
      <c r="AB3833">
        <f>ROUND(U3833-AA3833,2)</f>
        <v/>
      </c>
      <c r="AC3833" t="b">
        <v>0</v>
      </c>
      <c r="AD3833">
        <f>IF(U3833="","MISSING_TOTAL",IF(ABS(AB3833)&lt;=0.01,"OK","CHECK"))</f>
        <v/>
      </c>
      <c r="AE3833">
        <f>IF(U3833="","MISSING",IF(AND(AA3833&gt;0,U3833/AA3833&gt;50),"POSSIBLE_SCALE_ERROR","OK"))</f>
        <v/>
      </c>
    </row>
    <row r="3834">
      <c r="A3834" t="inlineStr">
        <is>
          <t>T-2012-Q3-00071</t>
        </is>
      </c>
      <c r="B3834" t="inlineStr">
        <is>
          <t>SLE</t>
        </is>
      </c>
      <c r="C3834" t="inlineStr">
        <is>
          <t>Vice-President, New Brunswick</t>
        </is>
      </c>
      <c r="D3834" t="inlineStr">
        <is>
          <t>Vice-présidente, Nouveau-Brunswick</t>
        </is>
      </c>
      <c r="E3834" t="inlineStr">
        <is>
          <t>Janet Gagnon</t>
        </is>
      </c>
      <c r="F3834" t="inlineStr">
        <is>
          <t>Executive Committee meeting and New Brunswick Federal Council Board meeting</t>
        </is>
      </c>
      <c r="G3834" t="inlineStr">
        <is>
          <t>Réunion du Comité de direction et réunion du Conseil fédéral du Nouveau-Brunswick</t>
        </is>
      </c>
      <c r="H3834" s="1" t="n">
        <v>40861</v>
      </c>
      <c r="I3834" s="1" t="n">
        <v>40862</v>
      </c>
      <c r="J3834" t="inlineStr">
        <is>
          <t>Moncton, New Brunswick</t>
        </is>
      </c>
      <c r="K3834" t="inlineStr">
        <is>
          <t>Moncton (Nouveau-Brunswick)</t>
        </is>
      </c>
      <c r="P3834" t="n">
        <v>0</v>
      </c>
      <c r="Q3834" t="n">
        <v>0</v>
      </c>
      <c r="R3834" t="n">
        <v>145.77</v>
      </c>
      <c r="S3834" t="n">
        <v>144.4</v>
      </c>
      <c r="T3834" t="n">
        <v>14</v>
      </c>
      <c r="U3834" t="n">
        <v>304.17</v>
      </c>
      <c r="X3834" t="inlineStr">
        <is>
          <t>acoa-apeca</t>
        </is>
      </c>
      <c r="Y3834" t="inlineStr">
        <is>
          <t>Atlantic Canada Opportunities Agency | Agence de promotion économique du Canada atlantique</t>
        </is>
      </c>
      <c r="Z3834" t="n">
        <v>2</v>
      </c>
      <c r="AA3834" t="n">
        <v>304.17</v>
      </c>
      <c r="AB3834">
        <f>ROUND(U3834-AA3834,2)</f>
        <v/>
      </c>
      <c r="AC3834" t="b">
        <v>0</v>
      </c>
      <c r="AD3834">
        <f>IF(U3834="","MISSING_TOTAL",IF(ABS(AB3834)&lt;=0.01,"OK","CHECK"))</f>
        <v/>
      </c>
      <c r="AE3834">
        <f>IF(U3834="","MISSING",IF(AND(AA3834&gt;0,U3834/AA3834&gt;50),"POSSIBLE_SCALE_ERROR","OK"))</f>
        <v/>
      </c>
    </row>
    <row r="3835">
      <c r="A3835" t="inlineStr">
        <is>
          <t>T-2012-Q3-00069</t>
        </is>
      </c>
      <c r="B3835" t="inlineStr">
        <is>
          <t>SLE</t>
        </is>
      </c>
      <c r="C3835" t="inlineStr">
        <is>
          <t>Vice-President, Prince Edward Island</t>
        </is>
      </c>
      <c r="D3835" t="inlineStr">
        <is>
          <t>Vice-président, Île-du-Prince-Édouard</t>
        </is>
      </c>
      <c r="E3835" t="inlineStr">
        <is>
          <t>Patrick Dorsey</t>
        </is>
      </c>
      <c r="F3835" t="inlineStr">
        <is>
          <t>Executive Committee Meeting</t>
        </is>
      </c>
      <c r="G3835" t="inlineStr">
        <is>
          <t>Réunion du Comité de direction</t>
        </is>
      </c>
      <c r="H3835" s="1" t="n">
        <v>40861</v>
      </c>
      <c r="I3835" s="1" t="n">
        <v>40861</v>
      </c>
      <c r="J3835" t="inlineStr">
        <is>
          <t>Moncton, New Brunswick</t>
        </is>
      </c>
      <c r="K3835" t="inlineStr">
        <is>
          <t>Moncton (Nouveau-Brunswick)</t>
        </is>
      </c>
      <c r="P3835" t="n">
        <v>0</v>
      </c>
      <c r="Q3835" t="n">
        <v>56.25</v>
      </c>
      <c r="R3835" t="n">
        <v>0</v>
      </c>
      <c r="S3835" t="n">
        <v>0</v>
      </c>
      <c r="T3835" t="n">
        <v>0</v>
      </c>
      <c r="U3835" t="n">
        <v>56.25</v>
      </c>
      <c r="X3835" t="inlineStr">
        <is>
          <t>acoa-apeca</t>
        </is>
      </c>
      <c r="Y3835" t="inlineStr">
        <is>
          <t>Atlantic Canada Opportunities Agency | Agence de promotion économique du Canada atlantique</t>
        </is>
      </c>
      <c r="Z3835" t="n">
        <v>1</v>
      </c>
      <c r="AA3835" t="n">
        <v>56.25</v>
      </c>
      <c r="AB3835">
        <f>ROUND(U3835-AA3835,2)</f>
        <v/>
      </c>
      <c r="AC3835" t="b">
        <v>0</v>
      </c>
      <c r="AD3835">
        <f>IF(U3835="","MISSING_TOTAL",IF(ABS(AB3835)&lt;=0.01,"OK","CHECK"))</f>
        <v/>
      </c>
      <c r="AE3835">
        <f>IF(U3835="","MISSING",IF(AND(AA3835&gt;0,U3835/AA3835&gt;50),"POSSIBLE_SCALE_ERROR","OK"))</f>
        <v/>
      </c>
    </row>
    <row r="3836">
      <c r="A3836" t="inlineStr">
        <is>
          <t>T-2012-Q3-00068</t>
        </is>
      </c>
      <c r="B3836" t="inlineStr">
        <is>
          <t>SLE</t>
        </is>
      </c>
      <c r="C3836" t="inlineStr">
        <is>
          <t>Vice President, Nova Scotia</t>
        </is>
      </c>
      <c r="D3836" t="inlineStr">
        <is>
          <t>Vice-président, Nouvelle-Écosse</t>
        </is>
      </c>
      <c r="E3836" t="inlineStr">
        <is>
          <t>Peter Hogan</t>
        </is>
      </c>
      <c r="F3836" t="inlineStr">
        <is>
          <t>Executive Committee meeting</t>
        </is>
      </c>
      <c r="G3836" t="inlineStr">
        <is>
          <t>Réunion du Comité de direction</t>
        </is>
      </c>
      <c r="H3836" s="1" t="n">
        <v>40861</v>
      </c>
      <c r="I3836" s="1" t="n">
        <v>40861</v>
      </c>
      <c r="J3836" t="inlineStr">
        <is>
          <t>Moncton, New Brunswick</t>
        </is>
      </c>
      <c r="K3836" t="inlineStr">
        <is>
          <t>Moncton (Nouveau-Brunswick)</t>
        </is>
      </c>
      <c r="P3836" t="n">
        <v>0</v>
      </c>
      <c r="Q3836" t="n">
        <v>265.51</v>
      </c>
      <c r="R3836" t="n">
        <v>0</v>
      </c>
      <c r="S3836" t="n">
        <v>40.3</v>
      </c>
      <c r="T3836" t="n">
        <v>0</v>
      </c>
      <c r="U3836" t="n">
        <v>305.81</v>
      </c>
      <c r="X3836" t="inlineStr">
        <is>
          <t>acoa-apeca</t>
        </is>
      </c>
      <c r="Y3836" t="inlineStr">
        <is>
          <t>Atlantic Canada Opportunities Agency | Agence de promotion économique du Canada atlantique</t>
        </is>
      </c>
      <c r="Z3836" t="n">
        <v>1</v>
      </c>
      <c r="AA3836" t="n">
        <v>305.81</v>
      </c>
      <c r="AB3836">
        <f>ROUND(U3836-AA3836,2)</f>
        <v/>
      </c>
      <c r="AC3836" t="b">
        <v>0</v>
      </c>
      <c r="AD3836">
        <f>IF(U3836="","MISSING_TOTAL",IF(ABS(AB3836)&lt;=0.01,"OK","CHECK"))</f>
        <v/>
      </c>
      <c r="AE3836">
        <f>IF(U3836="","MISSING",IF(AND(AA3836&gt;0,U3836/AA3836&gt;50),"POSSIBLE_SCALE_ERROR","OK"))</f>
        <v/>
      </c>
    </row>
    <row r="3837">
      <c r="A3837" t="inlineStr">
        <is>
          <t>T-2012-Q3-00067</t>
        </is>
      </c>
      <c r="B3837" t="inlineStr">
        <is>
          <t>SLE</t>
        </is>
      </c>
      <c r="C3837" t="inlineStr">
        <is>
          <t>President</t>
        </is>
      </c>
      <c r="D3837" t="inlineStr">
        <is>
          <t>Président</t>
        </is>
      </c>
      <c r="E3837" t="inlineStr">
        <is>
          <t>Paul J. LeBlanc</t>
        </is>
      </c>
      <c r="F3837" t="inlineStr">
        <is>
          <t>For various meetings and discussions with Agency officials; with Government of Canada officials</t>
        </is>
      </c>
      <c r="G3837" t="inlineStr">
        <is>
          <t>Diverses réunions et discussions avec des fonctionnaires de l'Agence et du gouvernement du Canada</t>
        </is>
      </c>
      <c r="H3837" s="1" t="n">
        <v>40861</v>
      </c>
      <c r="I3837" s="1" t="n">
        <v>40864</v>
      </c>
      <c r="J3837" t="inlineStr">
        <is>
          <t>Ottawa, Ontario</t>
        </is>
      </c>
      <c r="K3837" t="inlineStr">
        <is>
          <t>Ottawa (Ontario)</t>
        </is>
      </c>
      <c r="P3837" t="n">
        <v>727.36</v>
      </c>
      <c r="Q3837" t="n">
        <v>34</v>
      </c>
      <c r="R3837" t="n">
        <v>522.0599999999999</v>
      </c>
      <c r="S3837" t="n">
        <v>209.7</v>
      </c>
      <c r="T3837" t="n">
        <v>0</v>
      </c>
      <c r="U3837" t="n">
        <v>1493.12</v>
      </c>
      <c r="X3837" t="inlineStr">
        <is>
          <t>acoa-apeca</t>
        </is>
      </c>
      <c r="Y3837" t="inlineStr">
        <is>
          <t>Atlantic Canada Opportunities Agency | Agence de promotion économique du Canada atlantique</t>
        </is>
      </c>
      <c r="Z3837" t="n">
        <v>4</v>
      </c>
      <c r="AA3837" t="n">
        <v>1493.12</v>
      </c>
      <c r="AB3837">
        <f>ROUND(U3837-AA3837,2)</f>
        <v/>
      </c>
      <c r="AC3837" t="b">
        <v>0</v>
      </c>
      <c r="AD3837">
        <f>IF(U3837="","MISSING_TOTAL",IF(ABS(AB3837)&lt;=0.01,"OK","CHECK"))</f>
        <v/>
      </c>
      <c r="AE3837">
        <f>IF(U3837="","MISSING",IF(AND(AA3837&gt;0,U3837/AA3837&gt;50),"POSSIBLE_SCALE_ERROR","OK"))</f>
        <v/>
      </c>
    </row>
    <row r="3838">
      <c r="A3838" t="inlineStr">
        <is>
          <t>T-2012-Q2-00012</t>
        </is>
      </c>
      <c r="B3838" t="inlineStr">
        <is>
          <t>SLE</t>
        </is>
      </c>
      <c r="C3838" t="inlineStr">
        <is>
          <t>Vice President, Nova Scotia</t>
        </is>
      </c>
      <c r="D3838" t="inlineStr">
        <is>
          <t>Vice-président, Nouvelle-Écosse</t>
        </is>
      </c>
      <c r="E3838" t="inlineStr">
        <is>
          <t>Peter Hogan</t>
        </is>
      </c>
      <c r="F3838" t="inlineStr">
        <is>
          <t>Executive Committee Meeting</t>
        </is>
      </c>
      <c r="G3838" t="inlineStr">
        <is>
          <t>Réunion du Comité de direction</t>
        </is>
      </c>
      <c r="H3838" s="1" t="n">
        <v>40709</v>
      </c>
      <c r="I3838" s="1" t="n">
        <v>40710</v>
      </c>
      <c r="J3838" t="inlineStr">
        <is>
          <t>Moncton, NB</t>
        </is>
      </c>
      <c r="K3838" t="inlineStr">
        <is>
          <t>Moncton (Nouveau-Brunswick)</t>
        </is>
      </c>
      <c r="P3838" t="n">
        <v>0</v>
      </c>
      <c r="Q3838" t="n">
        <v>0</v>
      </c>
      <c r="R3838" t="n">
        <v>145.77</v>
      </c>
      <c r="S3838" t="n">
        <v>129.35</v>
      </c>
      <c r="T3838" t="n">
        <v>12.15</v>
      </c>
      <c r="U3838" t="n">
        <v>287.27</v>
      </c>
      <c r="X3838" t="inlineStr">
        <is>
          <t>acoa-apeca</t>
        </is>
      </c>
      <c r="Y3838" t="inlineStr">
        <is>
          <t>Atlantic Canada Opportunities Agency | Agence de promotion économique du Canada atlantique</t>
        </is>
      </c>
      <c r="Z3838" t="n">
        <v>2</v>
      </c>
      <c r="AA3838" t="n">
        <v>287.27</v>
      </c>
      <c r="AB3838">
        <f>ROUND(U3838-AA3838,2)</f>
        <v/>
      </c>
      <c r="AC3838" t="b">
        <v>0</v>
      </c>
      <c r="AD3838">
        <f>IF(U3838="","MISSING_TOTAL",IF(ABS(AB3838)&lt;=0.01,"OK","CHECK"))</f>
        <v/>
      </c>
      <c r="AE3838">
        <f>IF(U3838="","MISSING",IF(AND(AA3838&gt;0,U3838/AA3838&gt;50),"POSSIBLE_SCALE_ERROR","OK"))</f>
        <v/>
      </c>
    </row>
    <row r="3839">
      <c r="A3839" t="inlineStr">
        <is>
          <t>T-2012-Q3-00065</t>
        </is>
      </c>
      <c r="B3839" t="inlineStr">
        <is>
          <t>SLE</t>
        </is>
      </c>
      <c r="C3839" t="inlineStr">
        <is>
          <t>Vice-President, Newfoundland and Labrador</t>
        </is>
      </c>
      <c r="D3839" t="inlineStr">
        <is>
          <t>Vice-président, Terre-Neuve-et-Labrador</t>
        </is>
      </c>
      <c r="E3839" t="inlineStr">
        <is>
          <t>Paul Mills</t>
        </is>
      </c>
      <c r="F3839" t="inlineStr">
        <is>
          <t>To attend Executive Committee meeting</t>
        </is>
      </c>
      <c r="G3839" t="inlineStr">
        <is>
          <t>Assister à une réunion du Comité de direction</t>
        </is>
      </c>
      <c r="H3839" s="1" t="n">
        <v>40860</v>
      </c>
      <c r="I3839" s="1" t="n">
        <v>40862</v>
      </c>
      <c r="J3839" t="inlineStr">
        <is>
          <t>Moncton, NB</t>
        </is>
      </c>
      <c r="K3839" t="inlineStr">
        <is>
          <t>Moncton (Nouveau-Brunswick)</t>
        </is>
      </c>
      <c r="P3839" t="n">
        <v>1377.02</v>
      </c>
      <c r="Q3839" t="n">
        <v>180.2</v>
      </c>
      <c r="R3839" t="n">
        <v>285.36</v>
      </c>
      <c r="S3839" t="n">
        <v>177.8</v>
      </c>
      <c r="T3839" t="n">
        <v>125.69</v>
      </c>
      <c r="U3839" t="n">
        <v>2146.07</v>
      </c>
      <c r="X3839" t="inlineStr">
        <is>
          <t>acoa-apeca</t>
        </is>
      </c>
      <c r="Y3839" t="inlineStr">
        <is>
          <t>Atlantic Canada Opportunities Agency | Agence de promotion économique du Canada atlantique</t>
        </is>
      </c>
      <c r="Z3839" t="n">
        <v>3</v>
      </c>
      <c r="AA3839" t="n">
        <v>2146.06999999999</v>
      </c>
      <c r="AB3839">
        <f>ROUND(U3839-AA3839,2)</f>
        <v/>
      </c>
      <c r="AC3839" t="b">
        <v>0</v>
      </c>
      <c r="AD3839">
        <f>IF(U3839="","MISSING_TOTAL",IF(ABS(AB3839)&lt;=0.01,"OK","CHECK"))</f>
        <v/>
      </c>
      <c r="AE3839">
        <f>IF(U3839="","MISSING",IF(AND(AA3839&gt;0,U3839/AA3839&gt;50),"POSSIBLE_SCALE_ERROR","OK"))</f>
        <v/>
      </c>
    </row>
    <row r="3840">
      <c r="A3840" t="inlineStr">
        <is>
          <t>T-2012-Q3-00064</t>
        </is>
      </c>
      <c r="B3840" t="inlineStr">
        <is>
          <t>MPSES</t>
        </is>
      </c>
      <c r="C3840" t="inlineStr">
        <is>
          <t>Minister of State</t>
        </is>
      </c>
      <c r="D3840" t="inlineStr">
        <is>
          <t>Ministre d'État</t>
        </is>
      </c>
      <c r="E3840" t="inlineStr">
        <is>
          <t>Bernard Valcourt</t>
        </is>
      </c>
      <c r="F3840" t="inlineStr">
        <is>
          <t>Various announcements and meetings for ACOA</t>
        </is>
      </c>
      <c r="G3840" t="inlineStr">
        <is>
          <t>Annonces et rencontres diverses pour l'APECA</t>
        </is>
      </c>
      <c r="H3840" s="1" t="n">
        <v>40855</v>
      </c>
      <c r="I3840" s="1" t="n">
        <v>40856</v>
      </c>
      <c r="J3840" t="inlineStr">
        <is>
          <t>Edmundston, Bathurst, Beresford, Atholville, St-Arthur, New Brunswick</t>
        </is>
      </c>
      <c r="K3840" t="inlineStr">
        <is>
          <t>Edmundston, Bathurst, Beresford, Atholville, St-Arthur (Nouveau-Brunswick)</t>
        </is>
      </c>
      <c r="P3840" t="n">
        <v>0</v>
      </c>
      <c r="Q3840" t="n">
        <v>371.8</v>
      </c>
      <c r="R3840" t="n">
        <v>232.78</v>
      </c>
      <c r="S3840" t="n">
        <v>79.90000000000001</v>
      </c>
      <c r="T3840" t="n">
        <v>0</v>
      </c>
      <c r="U3840" t="n">
        <v>684.48</v>
      </c>
      <c r="X3840" t="inlineStr">
        <is>
          <t>acoa-apeca</t>
        </is>
      </c>
      <c r="Y3840" t="inlineStr">
        <is>
          <t>Atlantic Canada Opportunities Agency | Agence de promotion économique du Canada atlantique</t>
        </is>
      </c>
      <c r="Z3840" t="n">
        <v>2</v>
      </c>
      <c r="AA3840" t="n">
        <v>684.48</v>
      </c>
      <c r="AB3840">
        <f>ROUND(U3840-AA3840,2)</f>
        <v/>
      </c>
      <c r="AC3840" t="b">
        <v>0</v>
      </c>
      <c r="AD3840">
        <f>IF(U3840="","MISSING_TOTAL",IF(ABS(AB3840)&lt;=0.01,"OK","CHECK"))</f>
        <v/>
      </c>
      <c r="AE3840">
        <f>IF(U3840="","MISSING",IF(AND(AA3840&gt;0,U3840/AA3840&gt;50),"POSSIBLE_SCALE_ERROR","OK"))</f>
        <v/>
      </c>
    </row>
    <row r="3841">
      <c r="A3841" t="inlineStr">
        <is>
          <t>T-2012-Q3-00063</t>
        </is>
      </c>
      <c r="B3841" t="inlineStr">
        <is>
          <t>SLE</t>
        </is>
      </c>
      <c r="C3841" t="inlineStr">
        <is>
          <t>Vice-President, New Brunswick</t>
        </is>
      </c>
      <c r="D3841" t="inlineStr">
        <is>
          <t>Vice-présidente, Nouveau-Brunswick</t>
        </is>
      </c>
      <c r="E3841" t="inlineStr">
        <is>
          <t>Janet Gagnon</t>
        </is>
      </c>
      <c r="F3841" t="inlineStr">
        <is>
          <t>Atlantic Provinces Economic Council's Outlook Conference</t>
        </is>
      </c>
      <c r="G3841" t="inlineStr">
        <is>
          <t>Conférence sur les perspectives du Conseil économique des provinces de l'Atlantique</t>
        </is>
      </c>
      <c r="H3841" s="1" t="n">
        <v>40854</v>
      </c>
      <c r="I3841" s="1" t="n">
        <v>40854</v>
      </c>
      <c r="J3841" t="inlineStr">
        <is>
          <t>Saint John, New Brunswick</t>
        </is>
      </c>
      <c r="K3841" t="inlineStr">
        <is>
          <t>Saint John (Nouveau-Brunswick)</t>
        </is>
      </c>
      <c r="P3841" t="n">
        <v>0</v>
      </c>
      <c r="Q3841" t="n">
        <v>0</v>
      </c>
      <c r="R3841" t="n">
        <v>0</v>
      </c>
      <c r="S3841" t="n">
        <v>14.6</v>
      </c>
      <c r="T3841" t="n">
        <v>11</v>
      </c>
      <c r="U3841" t="n">
        <v>25.6</v>
      </c>
      <c r="X3841" t="inlineStr">
        <is>
          <t>acoa-apeca</t>
        </is>
      </c>
      <c r="Y3841" t="inlineStr">
        <is>
          <t>Atlantic Canada Opportunities Agency | Agence de promotion économique du Canada atlantique</t>
        </is>
      </c>
      <c r="Z3841" t="n">
        <v>1</v>
      </c>
      <c r="AA3841" t="n">
        <v>25.6</v>
      </c>
      <c r="AB3841">
        <f>ROUND(U3841-AA3841,2)</f>
        <v/>
      </c>
      <c r="AC3841" t="b">
        <v>0</v>
      </c>
      <c r="AD3841">
        <f>IF(U3841="","MISSING_TOTAL",IF(ABS(AB3841)&lt;=0.01,"OK","CHECK"))</f>
        <v/>
      </c>
      <c r="AE3841">
        <f>IF(U3841="","MISSING",IF(AND(AA3841&gt;0,U3841/AA3841&gt;50),"POSSIBLE_SCALE_ERROR","OK"))</f>
        <v/>
      </c>
    </row>
    <row r="3842">
      <c r="A3842" t="inlineStr">
        <is>
          <t>T-2012-Q3-00062</t>
        </is>
      </c>
      <c r="B3842" t="inlineStr">
        <is>
          <t>MPSES</t>
        </is>
      </c>
      <c r="C3842" t="inlineStr">
        <is>
          <t>Chief of Staff</t>
        </is>
      </c>
      <c r="D3842" t="inlineStr">
        <is>
          <t>Chef de cabinet</t>
        </is>
      </c>
      <c r="E3842" t="inlineStr">
        <is>
          <t>Mélisa Leclerc</t>
        </is>
      </c>
      <c r="F3842" t="inlineStr">
        <is>
          <t>Travel to attend ACOA meetings at ACOA regional offices</t>
        </is>
      </c>
      <c r="G3842" t="inlineStr">
        <is>
          <t>Voyage pour assister à des réunions de l'APECA aux bureaux régionaux de l'APECA</t>
        </is>
      </c>
      <c r="H3842" s="1" t="n">
        <v>40849</v>
      </c>
      <c r="I3842" s="1" t="n">
        <v>40857</v>
      </c>
      <c r="J3842" t="inlineStr">
        <is>
          <t>Moncton and Fredericton, New Brunswick - Charlottetown, Prince Edward Island - St. John's, Newfoundland</t>
        </is>
      </c>
      <c r="K3842" t="inlineStr">
        <is>
          <t>Moncton et Fredericton (Nouveau-Brunswick), Charlottetown (Île-du-Prince-Édouard) et St. John's (Terre-Neuve-et-Labrador)</t>
        </is>
      </c>
      <c r="P3842" t="n">
        <v>1847.06</v>
      </c>
      <c r="Q3842" t="n">
        <v>182</v>
      </c>
      <c r="R3842" t="n">
        <v>1169.32</v>
      </c>
      <c r="S3842" t="n">
        <v>436.95</v>
      </c>
      <c r="T3842" t="n">
        <v>0</v>
      </c>
      <c r="U3842" t="n">
        <v>3635.33</v>
      </c>
      <c r="X3842" t="inlineStr">
        <is>
          <t>acoa-apeca</t>
        </is>
      </c>
      <c r="Y3842" t="inlineStr">
        <is>
          <t>Atlantic Canada Opportunities Agency | Agence de promotion économique du Canada atlantique</t>
        </is>
      </c>
      <c r="Z3842" t="n">
        <v>9</v>
      </c>
      <c r="AA3842" t="n">
        <v>3635.33</v>
      </c>
      <c r="AB3842">
        <f>ROUND(U3842-AA3842,2)</f>
        <v/>
      </c>
      <c r="AC3842" t="b">
        <v>0</v>
      </c>
      <c r="AD3842">
        <f>IF(U3842="","MISSING_TOTAL",IF(ABS(AB3842)&lt;=0.01,"OK","CHECK"))</f>
        <v/>
      </c>
      <c r="AE3842">
        <f>IF(U3842="","MISSING",IF(AND(AA3842&gt;0,U3842/AA3842&gt;50),"POSSIBLE_SCALE_ERROR","OK"))</f>
        <v/>
      </c>
    </row>
    <row r="3843">
      <c r="A3843" t="inlineStr">
        <is>
          <t>T-2012-Q3-00059</t>
        </is>
      </c>
      <c r="B3843" t="inlineStr">
        <is>
          <t>SLE</t>
        </is>
      </c>
      <c r="C3843" t="inlineStr">
        <is>
          <t>Vice-President, Newfoundland and Labrador</t>
        </is>
      </c>
      <c r="D3843" t="inlineStr">
        <is>
          <t>Vice-président, Terre-Neuve-et-Labrador</t>
        </is>
      </c>
      <c r="E3843" t="inlineStr">
        <is>
          <t>Paul Mills</t>
        </is>
      </c>
      <c r="F3843" t="inlineStr">
        <is>
          <t>To attend meetings with senior government officials</t>
        </is>
      </c>
      <c r="G3843" t="inlineStr">
        <is>
          <t>Assister à des réunions avec de hauts fonctionnaires</t>
        </is>
      </c>
      <c r="H3843" s="1" t="n">
        <v>40848</v>
      </c>
      <c r="I3843" s="1" t="n">
        <v>40849</v>
      </c>
      <c r="J3843" t="inlineStr">
        <is>
          <t>Ottawa, ON</t>
        </is>
      </c>
      <c r="K3843" t="inlineStr">
        <is>
          <t>Ottawa (Ontario)</t>
        </is>
      </c>
      <c r="P3843" t="n">
        <v>1377.02</v>
      </c>
      <c r="Q3843" t="n">
        <v>130</v>
      </c>
      <c r="R3843" t="n">
        <v>179.67</v>
      </c>
      <c r="S3843" t="n">
        <v>160.5</v>
      </c>
      <c r="T3843" t="n">
        <v>7.73</v>
      </c>
      <c r="U3843" t="n">
        <v>1854.92</v>
      </c>
      <c r="X3843" t="inlineStr">
        <is>
          <t>acoa-apeca</t>
        </is>
      </c>
      <c r="Y3843" t="inlineStr">
        <is>
          <t>Atlantic Canada Opportunities Agency | Agence de promotion économique du Canada atlantique</t>
        </is>
      </c>
      <c r="Z3843" t="n">
        <v>2</v>
      </c>
      <c r="AA3843" t="n">
        <v>1854.92</v>
      </c>
      <c r="AB3843">
        <f>ROUND(U3843-AA3843,2)</f>
        <v/>
      </c>
      <c r="AC3843" t="b">
        <v>0</v>
      </c>
      <c r="AD3843">
        <f>IF(U3843="","MISSING_TOTAL",IF(ABS(AB3843)&lt;=0.01,"OK","CHECK"))</f>
        <v/>
      </c>
      <c r="AE3843">
        <f>IF(U3843="","MISSING",IF(AND(AA3843&gt;0,U3843/AA3843&gt;50),"POSSIBLE_SCALE_ERROR","OK"))</f>
        <v/>
      </c>
    </row>
    <row r="3844">
      <c r="A3844" t="inlineStr">
        <is>
          <t>T-2012-Q3-00058</t>
        </is>
      </c>
      <c r="B3844" t="inlineStr">
        <is>
          <t>SLE</t>
        </is>
      </c>
      <c r="C3844" t="inlineStr">
        <is>
          <t>Vice-President, New Brunswick</t>
        </is>
      </c>
      <c r="D3844" t="inlineStr">
        <is>
          <t>Vice-présidente, Nouveau-Brunswick</t>
        </is>
      </c>
      <c r="E3844" t="inlineStr">
        <is>
          <t>Janet Gagnon</t>
        </is>
      </c>
      <c r="F3844" t="inlineStr">
        <is>
          <t>National Federal Chairs meeting</t>
        </is>
      </c>
      <c r="G3844" t="inlineStr">
        <is>
          <t>Réunion nationale des présidents fédéraux</t>
        </is>
      </c>
      <c r="H3844" s="1" t="n">
        <v>40847</v>
      </c>
      <c r="I3844" s="1" t="n">
        <v>40849</v>
      </c>
      <c r="J3844" t="inlineStr">
        <is>
          <t>Ottawa, Ontario</t>
        </is>
      </c>
      <c r="K3844" t="inlineStr">
        <is>
          <t>Ottawa (Ontario)</t>
        </is>
      </c>
      <c r="P3844" t="n">
        <v>532.29</v>
      </c>
      <c r="Q3844" t="n">
        <v>39.03</v>
      </c>
      <c r="R3844" t="n">
        <v>359.34</v>
      </c>
      <c r="S3844" t="n">
        <v>218.1</v>
      </c>
      <c r="T3844" t="n">
        <v>30</v>
      </c>
      <c r="U3844" t="n">
        <v>1178.76</v>
      </c>
      <c r="X3844" t="inlineStr">
        <is>
          <t>acoa-apeca</t>
        </is>
      </c>
      <c r="Y3844" t="inlineStr">
        <is>
          <t>Atlantic Canada Opportunities Agency | Agence de promotion économique du Canada atlantique</t>
        </is>
      </c>
      <c r="Z3844" t="n">
        <v>3</v>
      </c>
      <c r="AA3844" t="n">
        <v>1178.75999999999</v>
      </c>
      <c r="AB3844">
        <f>ROUND(U3844-AA3844,2)</f>
        <v/>
      </c>
      <c r="AC3844" t="b">
        <v>0</v>
      </c>
      <c r="AD3844">
        <f>IF(U3844="","MISSING_TOTAL",IF(ABS(AB3844)&lt;=0.01,"OK","CHECK"))</f>
        <v/>
      </c>
      <c r="AE3844">
        <f>IF(U3844="","MISSING",IF(AND(AA3844&gt;0,U3844/AA3844&gt;50),"POSSIBLE_SCALE_ERROR","OK"))</f>
        <v/>
      </c>
    </row>
    <row r="3845">
      <c r="A3845" t="inlineStr">
        <is>
          <t>T-2012-Q3-00057</t>
        </is>
      </c>
      <c r="B3845" t="inlineStr">
        <is>
          <t>SLE</t>
        </is>
      </c>
      <c r="C3845" t="inlineStr">
        <is>
          <t>Vice-President, Prince Edward Island</t>
        </is>
      </c>
      <c r="D3845" t="inlineStr">
        <is>
          <t>Vice-président, Île-du-Prince-Édouard</t>
        </is>
      </c>
      <c r="E3845" t="inlineStr">
        <is>
          <t>Patrick Dorsey</t>
        </is>
      </c>
      <c r="F3845" t="inlineStr">
        <is>
          <t>To attend National Federal Council Chairs Meeting</t>
        </is>
      </c>
      <c r="G3845" t="inlineStr">
        <is>
          <t>Assister à une réunion nationale des présidents du Conseil fédéral</t>
        </is>
      </c>
      <c r="H3845" s="1" t="n">
        <v>40847</v>
      </c>
      <c r="I3845" s="1" t="n">
        <v>40849</v>
      </c>
      <c r="J3845" t="inlineStr">
        <is>
          <t>Ottawa, Ontario</t>
        </is>
      </c>
      <c r="K3845" t="inlineStr">
        <is>
          <t>Ottawa (Ontario)</t>
        </is>
      </c>
      <c r="P3845" t="n">
        <v>632.51</v>
      </c>
      <c r="Q3845" t="n">
        <v>97</v>
      </c>
      <c r="R3845" t="n">
        <v>350.3</v>
      </c>
      <c r="S3845" t="n">
        <v>218.1</v>
      </c>
      <c r="T3845" t="n">
        <v>0</v>
      </c>
      <c r="U3845" t="n">
        <v>1297.91</v>
      </c>
      <c r="X3845" t="inlineStr">
        <is>
          <t>acoa-apeca</t>
        </is>
      </c>
      <c r="Y3845" t="inlineStr">
        <is>
          <t>Atlantic Canada Opportunities Agency | Agence de promotion économique du Canada atlantique</t>
        </is>
      </c>
      <c r="Z3845" t="n">
        <v>3</v>
      </c>
      <c r="AA3845" t="n">
        <v>1297.90999999999</v>
      </c>
      <c r="AB3845">
        <f>ROUND(U3845-AA3845,2)</f>
        <v/>
      </c>
      <c r="AC3845" t="b">
        <v>0</v>
      </c>
      <c r="AD3845">
        <f>IF(U3845="","MISSING_TOTAL",IF(ABS(AB3845)&lt;=0.01,"OK","CHECK"))</f>
        <v/>
      </c>
      <c r="AE3845">
        <f>IF(U3845="","MISSING",IF(AND(AA3845&gt;0,U3845/AA3845&gt;50),"POSSIBLE_SCALE_ERROR","OK"))</f>
        <v/>
      </c>
    </row>
    <row r="3846">
      <c r="A3846" t="inlineStr">
        <is>
          <t>T-2012-Q2-00011</t>
        </is>
      </c>
      <c r="B3846" t="inlineStr">
        <is>
          <t>SLE</t>
        </is>
      </c>
      <c r="C3846" t="inlineStr">
        <is>
          <t>Vice-President, New Brunswick</t>
        </is>
      </c>
      <c r="D3846" t="inlineStr">
        <is>
          <t>Vice-présidente, Nouveau-Brunswick</t>
        </is>
      </c>
      <c r="E3846" t="inlineStr">
        <is>
          <t>Janet Gagnon</t>
        </is>
      </c>
      <c r="F3846" t="inlineStr">
        <is>
          <t>Executive Committee Meeting</t>
        </is>
      </c>
      <c r="G3846" t="inlineStr">
        <is>
          <t>Réunion du Comité de direction</t>
        </is>
      </c>
      <c r="H3846" s="1" t="n">
        <v>40709</v>
      </c>
      <c r="I3846" s="1" t="n">
        <v>40710</v>
      </c>
      <c r="J3846" t="inlineStr">
        <is>
          <t>Moncton, New Brunswick</t>
        </is>
      </c>
      <c r="K3846" t="inlineStr">
        <is>
          <t>Moncton (Nouveau-Brunswick)</t>
        </is>
      </c>
      <c r="P3846" t="n">
        <v>0</v>
      </c>
      <c r="Q3846" t="n">
        <v>0</v>
      </c>
      <c r="R3846" t="n">
        <v>50</v>
      </c>
      <c r="S3846" t="n">
        <v>129.35</v>
      </c>
      <c r="T3846" t="n">
        <v>18</v>
      </c>
      <c r="U3846" t="n">
        <v>197.35</v>
      </c>
      <c r="X3846" t="inlineStr">
        <is>
          <t>acoa-apeca</t>
        </is>
      </c>
      <c r="Y3846" t="inlineStr">
        <is>
          <t>Atlantic Canada Opportunities Agency | Agence de promotion économique du Canada atlantique</t>
        </is>
      </c>
      <c r="Z3846" t="n">
        <v>2</v>
      </c>
      <c r="AA3846" t="n">
        <v>197.35</v>
      </c>
      <c r="AB3846">
        <f>ROUND(U3846-AA3846,2)</f>
        <v/>
      </c>
      <c r="AC3846" t="b">
        <v>0</v>
      </c>
      <c r="AD3846">
        <f>IF(U3846="","MISSING_TOTAL",IF(ABS(AB3846)&lt;=0.01,"OK","CHECK"))</f>
        <v/>
      </c>
      <c r="AE3846">
        <f>IF(U3846="","MISSING",IF(AND(AA3846&gt;0,U3846/AA3846&gt;50),"POSSIBLE_SCALE_ERROR","OK"))</f>
        <v/>
      </c>
    </row>
    <row r="3847">
      <c r="A3847" t="inlineStr">
        <is>
          <t>T-2012-Q3-00056</t>
        </is>
      </c>
      <c r="B3847" t="inlineStr">
        <is>
          <t>SLE</t>
        </is>
      </c>
      <c r="C3847" t="inlineStr">
        <is>
          <t>Vice President, Nova Scotia</t>
        </is>
      </c>
      <c r="D3847" t="inlineStr">
        <is>
          <t>Vice-président, Nouvelle-Écosse</t>
        </is>
      </c>
      <c r="E3847" t="inlineStr">
        <is>
          <t>Peter Hogan</t>
        </is>
      </c>
      <c r="F3847" t="inlineStr">
        <is>
          <t>National meeting of Regional Federal Council Chairs</t>
        </is>
      </c>
      <c r="G3847" t="inlineStr">
        <is>
          <t>Réunion nationale des présidents des Conseil fédéraux régionaux</t>
        </is>
      </c>
      <c r="H3847" s="1" t="n">
        <v>40847</v>
      </c>
      <c r="I3847" s="1" t="n">
        <v>40850</v>
      </c>
      <c r="J3847" t="inlineStr">
        <is>
          <t>Ottawa, Ontario</t>
        </is>
      </c>
      <c r="K3847" t="inlineStr">
        <is>
          <t>Ottawa (Ontario)</t>
        </is>
      </c>
      <c r="P3847" t="n">
        <v>528.77</v>
      </c>
      <c r="Q3847" t="n">
        <v>190.2</v>
      </c>
      <c r="R3847" t="n">
        <v>532.23</v>
      </c>
      <c r="S3847" t="n">
        <v>305.65</v>
      </c>
      <c r="T3847" t="n">
        <v>0</v>
      </c>
      <c r="U3847" t="n">
        <v>1556.85</v>
      </c>
      <c r="X3847" t="inlineStr">
        <is>
          <t>acoa-apeca</t>
        </is>
      </c>
      <c r="Y3847" t="inlineStr">
        <is>
          <t>Atlantic Canada Opportunities Agency | Agence de promotion économique du Canada atlantique</t>
        </is>
      </c>
      <c r="Z3847" t="n">
        <v>4</v>
      </c>
      <c r="AA3847" t="n">
        <v>1556.85</v>
      </c>
      <c r="AB3847">
        <f>ROUND(U3847-AA3847,2)</f>
        <v/>
      </c>
      <c r="AC3847" t="b">
        <v>0</v>
      </c>
      <c r="AD3847">
        <f>IF(U3847="","MISSING_TOTAL",IF(ABS(AB3847)&lt;=0.01,"OK","CHECK"))</f>
        <v/>
      </c>
      <c r="AE3847">
        <f>IF(U3847="","MISSING",IF(AND(AA3847&gt;0,U3847/AA3847&gt;50),"POSSIBLE_SCALE_ERROR","OK"))</f>
        <v/>
      </c>
    </row>
    <row r="3848">
      <c r="A3848" t="inlineStr">
        <is>
          <t>T-2012-Q3-00055</t>
        </is>
      </c>
      <c r="B3848" t="inlineStr">
        <is>
          <t>SLE</t>
        </is>
      </c>
      <c r="C3848" t="inlineStr">
        <is>
          <t>President</t>
        </is>
      </c>
      <c r="D3848" t="inlineStr">
        <is>
          <t>Président</t>
        </is>
      </c>
      <c r="E3848" t="inlineStr">
        <is>
          <t>Paul J. LeBlanc</t>
        </is>
      </c>
      <c r="F3848" t="inlineStr">
        <is>
          <t>For various meetings and discussions with: Agency officials; with Government of Canada officials</t>
        </is>
      </c>
      <c r="G3848" t="inlineStr">
        <is>
          <t>Diverses réunions et discussions avec des fonctionnaires de l'Agence et des fonctionnaires du gouvernement fédéral</t>
        </is>
      </c>
      <c r="H3848" s="1" t="n">
        <v>40847</v>
      </c>
      <c r="I3848" s="1" t="n">
        <v>40848</v>
      </c>
      <c r="J3848" t="inlineStr">
        <is>
          <t>Ottawa, Ontario</t>
        </is>
      </c>
      <c r="K3848" t="inlineStr">
        <is>
          <t>Ottawa (Ontario)</t>
        </is>
      </c>
      <c r="P3848" t="n">
        <v>727.36</v>
      </c>
      <c r="Q3848" t="n">
        <v>13.52</v>
      </c>
      <c r="R3848" t="n">
        <v>174.02</v>
      </c>
      <c r="S3848" t="n">
        <v>159.75</v>
      </c>
      <c r="T3848" t="n">
        <v>86.5</v>
      </c>
      <c r="U3848" t="n">
        <v>1161.15</v>
      </c>
      <c r="X3848" t="inlineStr">
        <is>
          <t>acoa-apeca</t>
        </is>
      </c>
      <c r="Y3848" t="inlineStr">
        <is>
          <t>Atlantic Canada Opportunities Agency | Agence de promotion économique du Canada atlantique</t>
        </is>
      </c>
      <c r="Z3848" t="n">
        <v>2</v>
      </c>
      <c r="AA3848" t="n">
        <v>1161.15</v>
      </c>
      <c r="AB3848">
        <f>ROUND(U3848-AA3848,2)</f>
        <v/>
      </c>
      <c r="AC3848" t="b">
        <v>0</v>
      </c>
      <c r="AD3848">
        <f>IF(U3848="","MISSING_TOTAL",IF(ABS(AB3848)&lt;=0.01,"OK","CHECK"))</f>
        <v/>
      </c>
      <c r="AE3848">
        <f>IF(U3848="","MISSING",IF(AND(AA3848&gt;0,U3848/AA3848&gt;50),"POSSIBLE_SCALE_ERROR","OK"))</f>
        <v/>
      </c>
    </row>
    <row r="3849">
      <c r="A3849" t="inlineStr">
        <is>
          <t>T-2012-Q3-00053</t>
        </is>
      </c>
      <c r="B3849" t="inlineStr">
        <is>
          <t>MPSES</t>
        </is>
      </c>
      <c r="C3849" t="inlineStr">
        <is>
          <t>Honourable Senator</t>
        </is>
      </c>
      <c r="D3849" t="inlineStr">
        <is>
          <t>Honorable sénateur</t>
        </is>
      </c>
      <c r="E3849" t="inlineStr">
        <is>
          <t>Michael L. MacDonald</t>
        </is>
      </c>
      <c r="F3849" t="inlineStr">
        <is>
          <t>To attend announcement on behalf of Minister Valcourt</t>
        </is>
      </c>
      <c r="G3849" t="inlineStr">
        <is>
          <t>Assister à une annonce au nom du ministre Valcourt</t>
        </is>
      </c>
      <c r="H3849" s="1" t="n">
        <v>40844</v>
      </c>
      <c r="I3849" s="1" t="n">
        <v>40844</v>
      </c>
      <c r="J3849" t="inlineStr">
        <is>
          <t>Sydney, Mabou, Nova Scotia</t>
        </is>
      </c>
      <c r="K3849" t="inlineStr">
        <is>
          <t>Sydney, Mabou (Nouvelle-Écosse)</t>
        </is>
      </c>
      <c r="P3849" t="n">
        <v>0</v>
      </c>
      <c r="Q3849" t="n">
        <v>498.2</v>
      </c>
      <c r="R3849" t="n">
        <v>0</v>
      </c>
      <c r="S3849" t="n">
        <v>70.25</v>
      </c>
      <c r="T3849" t="n">
        <v>0</v>
      </c>
      <c r="U3849" t="n">
        <v>568.45</v>
      </c>
      <c r="X3849" t="inlineStr">
        <is>
          <t>acoa-apeca</t>
        </is>
      </c>
      <c r="Y3849" t="inlineStr">
        <is>
          <t>Atlantic Canada Opportunities Agency | Agence de promotion économique du Canada atlantique</t>
        </is>
      </c>
      <c r="Z3849" t="n">
        <v>1</v>
      </c>
      <c r="AA3849" t="n">
        <v>568.45</v>
      </c>
      <c r="AB3849">
        <f>ROUND(U3849-AA3849,2)</f>
        <v/>
      </c>
      <c r="AC3849" t="b">
        <v>0</v>
      </c>
      <c r="AD3849">
        <f>IF(U3849="","MISSING_TOTAL",IF(ABS(AB3849)&lt;=0.01,"OK","CHECK"))</f>
        <v/>
      </c>
      <c r="AE3849">
        <f>IF(U3849="","MISSING",IF(AND(AA3849&gt;0,U3849/AA3849&gt;50),"POSSIBLE_SCALE_ERROR","OK"))</f>
        <v/>
      </c>
    </row>
    <row r="3850">
      <c r="A3850" t="inlineStr">
        <is>
          <t>T-2012-Q3-00052</t>
        </is>
      </c>
      <c r="B3850" t="inlineStr">
        <is>
          <t>SLE</t>
        </is>
      </c>
      <c r="C3850" t="inlineStr">
        <is>
          <t>President</t>
        </is>
      </c>
      <c r="D3850" t="inlineStr">
        <is>
          <t>Président</t>
        </is>
      </c>
      <c r="E3850" t="inlineStr">
        <is>
          <t>Paul J. LeBlanc</t>
        </is>
      </c>
      <c r="F3850" t="inlineStr">
        <is>
          <t>For meeting and discussions with Agency officials and transportation sector officials</t>
        </is>
      </c>
      <c r="G3850" t="inlineStr">
        <is>
          <t>Réunion et discussions avec des fonctionnaires de l'Agence et des représentants du secteur des transports</t>
        </is>
      </c>
      <c r="H3850" s="1" t="n">
        <v>40844</v>
      </c>
      <c r="I3850" s="1" t="n">
        <v>40844</v>
      </c>
      <c r="J3850" t="inlineStr">
        <is>
          <t>Halifax, Nova Scotia</t>
        </is>
      </c>
      <c r="K3850" t="inlineStr">
        <is>
          <t>Halifax (Nouvelle-Écosse)</t>
        </is>
      </c>
      <c r="P3850" t="n">
        <v>1222.87</v>
      </c>
      <c r="Q3850" t="n">
        <v>13.52</v>
      </c>
      <c r="R3850" t="n">
        <v>0</v>
      </c>
      <c r="S3850" t="n">
        <v>0</v>
      </c>
      <c r="T3850" t="n">
        <v>15</v>
      </c>
      <c r="U3850" t="n">
        <v>1251.39</v>
      </c>
      <c r="X3850" t="inlineStr">
        <is>
          <t>acoa-apeca</t>
        </is>
      </c>
      <c r="Y3850" t="inlineStr">
        <is>
          <t>Atlantic Canada Opportunities Agency | Agence de promotion économique du Canada atlantique</t>
        </is>
      </c>
      <c r="Z3850" t="n">
        <v>1</v>
      </c>
      <c r="AA3850" t="n">
        <v>1251.38999999999</v>
      </c>
      <c r="AB3850">
        <f>ROUND(U3850-AA3850,2)</f>
        <v/>
      </c>
      <c r="AC3850" t="b">
        <v>0</v>
      </c>
      <c r="AD3850">
        <f>IF(U3850="","MISSING_TOTAL",IF(ABS(AB3850)&lt;=0.01,"OK","CHECK"))</f>
        <v/>
      </c>
      <c r="AE3850">
        <f>IF(U3850="","MISSING",IF(AND(AA3850&gt;0,U3850/AA3850&gt;50),"POSSIBLE_SCALE_ERROR","OK"))</f>
        <v/>
      </c>
    </row>
    <row r="3851">
      <c r="A3851" t="inlineStr">
        <is>
          <t>T-2012-Q3-00051</t>
        </is>
      </c>
      <c r="B3851" t="inlineStr">
        <is>
          <t>SLE</t>
        </is>
      </c>
      <c r="C3851" t="inlineStr">
        <is>
          <t>President</t>
        </is>
      </c>
      <c r="D3851" t="inlineStr">
        <is>
          <t>Président</t>
        </is>
      </c>
      <c r="E3851" t="inlineStr">
        <is>
          <t>Paul J. LeBlanc</t>
        </is>
      </c>
      <c r="F3851" t="inlineStr">
        <is>
          <t>To attend sessions with energy sector stakeholders; for various meetings and discussions with Agency officials; with Government of Canada officials</t>
        </is>
      </c>
      <c r="G3851" t="inlineStr">
        <is>
          <t>Assister à des réunions avec des intervenants du secteur de l'énergie et à des réunions et discussions avec des fonctionnaires de l'Agence et du fédéral</t>
        </is>
      </c>
      <c r="H3851" s="1" t="n">
        <v>40841</v>
      </c>
      <c r="I3851" s="1" t="n">
        <v>40842</v>
      </c>
      <c r="J3851" t="inlineStr">
        <is>
          <t>Rothesay, New Brunswick / Ottawa, Ontario</t>
        </is>
      </c>
      <c r="K3851" t="inlineStr">
        <is>
          <t>Rothesay (Nouveau-Brunswick) / Ottawa (Ontario)</t>
        </is>
      </c>
      <c r="P3851" t="n">
        <v>1025.68</v>
      </c>
      <c r="Q3851" t="n">
        <v>0</v>
      </c>
      <c r="R3851" t="n">
        <v>174.02</v>
      </c>
      <c r="S3851" t="n">
        <v>145.15</v>
      </c>
      <c r="T3851" t="n">
        <v>71.5</v>
      </c>
      <c r="U3851" t="n">
        <v>1416.35</v>
      </c>
      <c r="X3851" t="inlineStr">
        <is>
          <t>acoa-apeca</t>
        </is>
      </c>
      <c r="Y3851" t="inlineStr">
        <is>
          <t>Atlantic Canada Opportunities Agency | Agence de promotion économique du Canada atlantique</t>
        </is>
      </c>
      <c r="Z3851" t="n">
        <v>2</v>
      </c>
      <c r="AA3851" t="n">
        <v>1416.35</v>
      </c>
      <c r="AB3851">
        <f>ROUND(U3851-AA3851,2)</f>
        <v/>
      </c>
      <c r="AC3851" t="b">
        <v>0</v>
      </c>
      <c r="AD3851">
        <f>IF(U3851="","MISSING_TOTAL",IF(ABS(AB3851)&lt;=0.01,"OK","CHECK"))</f>
        <v/>
      </c>
      <c r="AE3851">
        <f>IF(U3851="","MISSING",IF(AND(AA3851&gt;0,U3851/AA3851&gt;50),"POSSIBLE_SCALE_ERROR","OK"))</f>
        <v/>
      </c>
    </row>
    <row r="3852">
      <c r="A3852" t="inlineStr">
        <is>
          <t>T-2012-Q3-00040</t>
        </is>
      </c>
      <c r="B3852" t="inlineStr">
        <is>
          <t>SLE</t>
        </is>
      </c>
      <c r="C3852" t="inlineStr">
        <is>
          <t>Vice-President, New Brunswick</t>
        </is>
      </c>
      <c r="D3852" t="inlineStr">
        <is>
          <t>Vice-présidente, Nouveau-Brunswick</t>
        </is>
      </c>
      <c r="E3852" t="inlineStr">
        <is>
          <t>Janet Gagnon</t>
        </is>
      </c>
      <c r="F3852" t="inlineStr">
        <is>
          <t>Executive Committee meeting</t>
        </is>
      </c>
      <c r="G3852" t="inlineStr">
        <is>
          <t>Réunion du Comité de direction</t>
        </is>
      </c>
      <c r="H3852" s="1" t="n">
        <v>40821</v>
      </c>
      <c r="I3852" s="1" t="n">
        <v>40821</v>
      </c>
      <c r="J3852" t="inlineStr">
        <is>
          <t>Halifax, Nova Scotia</t>
        </is>
      </c>
      <c r="K3852" t="inlineStr">
        <is>
          <t>Halifax (Nouvelle-Écosse)</t>
        </is>
      </c>
      <c r="P3852" t="n">
        <v>634.39</v>
      </c>
      <c r="Q3852" t="n">
        <v>59</v>
      </c>
      <c r="R3852" t="n">
        <v>0</v>
      </c>
      <c r="S3852" t="n">
        <v>55.65</v>
      </c>
      <c r="T3852" t="n">
        <v>10</v>
      </c>
      <c r="U3852" t="n">
        <v>759.04</v>
      </c>
      <c r="X3852" t="inlineStr">
        <is>
          <t>acoa-apeca</t>
        </is>
      </c>
      <c r="Y3852" t="inlineStr">
        <is>
          <t>Atlantic Canada Opportunities Agency | Agence de promotion économique du Canada atlantique</t>
        </is>
      </c>
      <c r="Z3852" t="n">
        <v>1</v>
      </c>
      <c r="AA3852" t="n">
        <v>759.04</v>
      </c>
      <c r="AB3852">
        <f>ROUND(U3852-AA3852,2)</f>
        <v/>
      </c>
      <c r="AC3852" t="b">
        <v>0</v>
      </c>
      <c r="AD3852">
        <f>IF(U3852="","MISSING_TOTAL",IF(ABS(AB3852)&lt;=0.01,"OK","CHECK"))</f>
        <v/>
      </c>
      <c r="AE3852">
        <f>IF(U3852="","MISSING",IF(AND(AA3852&gt;0,U3852/AA3852&gt;50),"POSSIBLE_SCALE_ERROR","OK"))</f>
        <v/>
      </c>
    </row>
    <row r="3853">
      <c r="A3853" t="inlineStr">
        <is>
          <t>T-2012-Q3-00047</t>
        </is>
      </c>
      <c r="B3853" t="inlineStr">
        <is>
          <t>SLE</t>
        </is>
      </c>
      <c r="C3853" t="inlineStr">
        <is>
          <t>President</t>
        </is>
      </c>
      <c r="D3853" t="inlineStr">
        <is>
          <t>Président</t>
        </is>
      </c>
      <c r="E3853" t="inlineStr">
        <is>
          <t>Paul J. LeBlanc</t>
        </is>
      </c>
      <c r="F3853" t="inlineStr">
        <is>
          <t>For various meetings and discussions with Agency officials; and with Government of Canada official</t>
        </is>
      </c>
      <c r="G3853" t="inlineStr">
        <is>
          <t>Diverses réunions et discussions avec des fonctionnaires de l'Agence et un fonctionnaire du gouvernement fédéral</t>
        </is>
      </c>
      <c r="H3853" s="1" t="n">
        <v>40834</v>
      </c>
      <c r="I3853" s="1" t="n">
        <v>40835</v>
      </c>
      <c r="J3853" t="inlineStr">
        <is>
          <t>Ottawa, Ontario</t>
        </is>
      </c>
      <c r="K3853" t="inlineStr">
        <is>
          <t>Ottawa (Ontario)</t>
        </is>
      </c>
      <c r="P3853" t="n">
        <v>1025.68</v>
      </c>
      <c r="Q3853" t="n">
        <v>0</v>
      </c>
      <c r="R3853" t="n">
        <v>174.02</v>
      </c>
      <c r="S3853" t="n">
        <v>104.1</v>
      </c>
      <c r="T3853" t="n">
        <v>0</v>
      </c>
      <c r="U3853" t="n">
        <v>1303.8</v>
      </c>
      <c r="X3853" t="inlineStr">
        <is>
          <t>acoa-apeca</t>
        </is>
      </c>
      <c r="Y3853" t="inlineStr">
        <is>
          <t>Atlantic Canada Opportunities Agency | Agence de promotion économique du Canada atlantique</t>
        </is>
      </c>
      <c r="Z3853" t="n">
        <v>2</v>
      </c>
      <c r="AA3853" t="n">
        <v>1303.8</v>
      </c>
      <c r="AB3853">
        <f>ROUND(U3853-AA3853,2)</f>
        <v/>
      </c>
      <c r="AC3853" t="b">
        <v>0</v>
      </c>
      <c r="AD3853">
        <f>IF(U3853="","MISSING_TOTAL",IF(ABS(AB3853)&lt;=0.01,"OK","CHECK"))</f>
        <v/>
      </c>
      <c r="AE3853">
        <f>IF(U3853="","MISSING",IF(AND(AA3853&gt;0,U3853/AA3853&gt;50),"POSSIBLE_SCALE_ERROR","OK"))</f>
        <v/>
      </c>
    </row>
    <row r="3854">
      <c r="A3854" t="inlineStr">
        <is>
          <t>T-2012-Q3-00046</t>
        </is>
      </c>
      <c r="B3854" t="inlineStr">
        <is>
          <t>SLE</t>
        </is>
      </c>
      <c r="C3854" t="inlineStr">
        <is>
          <t>Vice President, Nova Scotia</t>
        </is>
      </c>
      <c r="D3854" t="inlineStr">
        <is>
          <t>Vice-président, Nouvelle-Écosse</t>
        </is>
      </c>
      <c r="E3854" t="inlineStr">
        <is>
          <t>Peter Hogan</t>
        </is>
      </c>
      <c r="F3854" t="inlineStr">
        <is>
          <t>Assistant Deputy Minister Forum</t>
        </is>
      </c>
      <c r="G3854" t="inlineStr">
        <is>
          <t>Forum des sous-ministres adjoints</t>
        </is>
      </c>
      <c r="H3854" s="1" t="n">
        <v>40828</v>
      </c>
      <c r="I3854" s="1" t="n">
        <v>40830</v>
      </c>
      <c r="J3854" t="inlineStr">
        <is>
          <t>Ottawa, Ontario</t>
        </is>
      </c>
      <c r="K3854" t="inlineStr">
        <is>
          <t>Ottawa (Ontario)</t>
        </is>
      </c>
      <c r="P3854" t="n">
        <v>893.66</v>
      </c>
      <c r="Q3854" t="n">
        <v>210.2</v>
      </c>
      <c r="R3854" t="n">
        <v>391.62</v>
      </c>
      <c r="S3854" t="n">
        <v>203.5</v>
      </c>
      <c r="T3854" t="n">
        <v>9.06</v>
      </c>
      <c r="U3854" t="n">
        <v>1708.04</v>
      </c>
      <c r="X3854" t="inlineStr">
        <is>
          <t>acoa-apeca</t>
        </is>
      </c>
      <c r="Y3854" t="inlineStr">
        <is>
          <t>Atlantic Canada Opportunities Agency | Agence de promotion économique du Canada atlantique</t>
        </is>
      </c>
      <c r="Z3854" t="n">
        <v>3</v>
      </c>
      <c r="AA3854" t="n">
        <v>1708.04</v>
      </c>
      <c r="AB3854">
        <f>ROUND(U3854-AA3854,2)</f>
        <v/>
      </c>
      <c r="AC3854" t="b">
        <v>0</v>
      </c>
      <c r="AD3854">
        <f>IF(U3854="","MISSING_TOTAL",IF(ABS(AB3854)&lt;=0.01,"OK","CHECK"))</f>
        <v/>
      </c>
      <c r="AE3854">
        <f>IF(U3854="","MISSING",IF(AND(AA3854&gt;0,U3854/AA3854&gt;50),"POSSIBLE_SCALE_ERROR","OK"))</f>
        <v/>
      </c>
    </row>
    <row r="3855">
      <c r="A3855" t="inlineStr">
        <is>
          <t>T-2012-Q3-00044</t>
        </is>
      </c>
      <c r="B3855" t="inlineStr">
        <is>
          <t>SLE</t>
        </is>
      </c>
      <c r="C3855" t="inlineStr">
        <is>
          <t>President</t>
        </is>
      </c>
      <c r="D3855" t="inlineStr">
        <is>
          <t>Président</t>
        </is>
      </c>
      <c r="E3855" t="inlineStr">
        <is>
          <t>Paul J. LeBlanc</t>
        </is>
      </c>
      <c r="F3855" t="inlineStr">
        <is>
          <t>For various meetings and discussions with Agency officials; and with Government of Canada officials</t>
        </is>
      </c>
      <c r="G3855" t="inlineStr">
        <is>
          <t>Diverses réunions et discussions avec des fonctionnaires de l'Agence et du gouvernement fédéral</t>
        </is>
      </c>
      <c r="H3855" s="1" t="n">
        <v>40828</v>
      </c>
      <c r="I3855" s="1" t="n">
        <v>40829</v>
      </c>
      <c r="J3855" t="inlineStr">
        <is>
          <t>Ottawa, Ontario</t>
        </is>
      </c>
      <c r="K3855" t="inlineStr">
        <is>
          <t>Ottawa (Ontario)</t>
        </is>
      </c>
      <c r="P3855" t="n">
        <v>1025.68</v>
      </c>
      <c r="Q3855" t="n">
        <v>0</v>
      </c>
      <c r="R3855" t="n">
        <v>174.02</v>
      </c>
      <c r="S3855" t="n">
        <v>104.85</v>
      </c>
      <c r="T3855" t="n">
        <v>71.5</v>
      </c>
      <c r="U3855" t="n">
        <v>1376.05</v>
      </c>
      <c r="X3855" t="inlineStr">
        <is>
          <t>acoa-apeca</t>
        </is>
      </c>
      <c r="Y3855" t="inlineStr">
        <is>
          <t>Atlantic Canada Opportunities Agency | Agence de promotion économique du Canada atlantique</t>
        </is>
      </c>
      <c r="Z3855" t="n">
        <v>2</v>
      </c>
      <c r="AA3855" t="n">
        <v>1376.05</v>
      </c>
      <c r="AB3855">
        <f>ROUND(U3855-AA3855,2)</f>
        <v/>
      </c>
      <c r="AC3855" t="b">
        <v>0</v>
      </c>
      <c r="AD3855">
        <f>IF(U3855="","MISSING_TOTAL",IF(ABS(AB3855)&lt;=0.01,"OK","CHECK"))</f>
        <v/>
      </c>
      <c r="AE3855">
        <f>IF(U3855="","MISSING",IF(AND(AA3855&gt;0,U3855/AA3855&gt;50),"POSSIBLE_SCALE_ERROR","OK"))</f>
        <v/>
      </c>
    </row>
    <row r="3856">
      <c r="A3856" t="inlineStr">
        <is>
          <t>T-2012-Q3-00043</t>
        </is>
      </c>
      <c r="B3856" t="inlineStr">
        <is>
          <t>SLE</t>
        </is>
      </c>
      <c r="C3856" t="inlineStr">
        <is>
          <t>Vice-President, Newfoundland and Labrador</t>
        </is>
      </c>
      <c r="D3856" t="inlineStr">
        <is>
          <t>Vice-président, Terre-Neuve-et-Labrador</t>
        </is>
      </c>
      <c r="E3856" t="inlineStr">
        <is>
          <t>Paul Mills</t>
        </is>
      </c>
      <c r="F3856" t="inlineStr">
        <is>
          <t>To attend ADM Forum</t>
        </is>
      </c>
      <c r="G3856" t="inlineStr">
        <is>
          <t>Assister au Forum des sous-ministres adjoints</t>
        </is>
      </c>
      <c r="H3856" s="1" t="n">
        <v>40828</v>
      </c>
      <c r="I3856" s="1" t="n">
        <v>40830</v>
      </c>
      <c r="J3856" t="inlineStr">
        <is>
          <t>Ottawa, ON</t>
        </is>
      </c>
      <c r="K3856" t="inlineStr">
        <is>
          <t>Ottawa (Ontario)</t>
        </is>
      </c>
      <c r="P3856" t="n">
        <v>1329.26</v>
      </c>
      <c r="Q3856" t="n">
        <v>190</v>
      </c>
      <c r="R3856" t="n">
        <v>539.01</v>
      </c>
      <c r="S3856" t="n">
        <v>207.75</v>
      </c>
      <c r="T3856" t="n">
        <v>8.529999999999999</v>
      </c>
      <c r="U3856" t="n">
        <v>2274.55</v>
      </c>
      <c r="X3856" t="inlineStr">
        <is>
          <t>acoa-apeca</t>
        </is>
      </c>
      <c r="Y3856" t="inlineStr">
        <is>
          <t>Atlantic Canada Opportunities Agency | Agence de promotion économique du Canada atlantique</t>
        </is>
      </c>
      <c r="Z3856" t="n">
        <v>3</v>
      </c>
      <c r="AA3856" t="n">
        <v>2274.55</v>
      </c>
      <c r="AB3856">
        <f>ROUND(U3856-AA3856,2)</f>
        <v/>
      </c>
      <c r="AC3856" t="b">
        <v>0</v>
      </c>
      <c r="AD3856">
        <f>IF(U3856="","MISSING_TOTAL",IF(ABS(AB3856)&lt;=0.01,"OK","CHECK"))</f>
        <v/>
      </c>
      <c r="AE3856">
        <f>IF(U3856="","MISSING",IF(AND(AA3856&gt;0,U3856/AA3856&gt;50),"POSSIBLE_SCALE_ERROR","OK"))</f>
        <v/>
      </c>
    </row>
    <row r="3857">
      <c r="A3857" t="inlineStr">
        <is>
          <t>T-2012-Q3-00042</t>
        </is>
      </c>
      <c r="B3857" t="inlineStr">
        <is>
          <t>SLE</t>
        </is>
      </c>
      <c r="C3857" t="inlineStr">
        <is>
          <t>Vice-President, New Brunswick</t>
        </is>
      </c>
      <c r="D3857" t="inlineStr">
        <is>
          <t>Vice-présidente, Nouveau-Brunswick</t>
        </is>
      </c>
      <c r="E3857" t="inlineStr">
        <is>
          <t>Janet Gagnon</t>
        </is>
      </c>
      <c r="F3857" t="inlineStr">
        <is>
          <t>2011 Assistant Deputy Ministers Forum</t>
        </is>
      </c>
      <c r="G3857" t="inlineStr">
        <is>
          <t>Forum des sous-ministres adjoints 2011</t>
        </is>
      </c>
      <c r="H3857" s="1" t="n">
        <v>40827</v>
      </c>
      <c r="I3857" s="1" t="n">
        <v>40829</v>
      </c>
      <c r="J3857" t="inlineStr">
        <is>
          <t>Ottawa, Ontario</t>
        </is>
      </c>
      <c r="K3857" t="inlineStr">
        <is>
          <t>Ottawa (Ontario)</t>
        </is>
      </c>
      <c r="P3857" t="n">
        <v>726.87</v>
      </c>
      <c r="Q3857" t="n">
        <v>141.31</v>
      </c>
      <c r="R3857" t="n">
        <v>217.6</v>
      </c>
      <c r="S3857" t="n">
        <v>185.45</v>
      </c>
      <c r="T3857" t="n">
        <v>33</v>
      </c>
      <c r="U3857" t="n">
        <v>1304.23</v>
      </c>
      <c r="X3857" t="inlineStr">
        <is>
          <t>acoa-apeca</t>
        </is>
      </c>
      <c r="Y3857" t="inlineStr">
        <is>
          <t>Atlantic Canada Opportunities Agency | Agence de promotion économique du Canada atlantique</t>
        </is>
      </c>
      <c r="Z3857" t="n">
        <v>3</v>
      </c>
      <c r="AA3857" t="n">
        <v>1304.23</v>
      </c>
      <c r="AB3857">
        <f>ROUND(U3857-AA3857,2)</f>
        <v/>
      </c>
      <c r="AC3857" t="b">
        <v>0</v>
      </c>
      <c r="AD3857">
        <f>IF(U3857="","MISSING_TOTAL",IF(ABS(AB3857)&lt;=0.01,"OK","CHECK"))</f>
        <v/>
      </c>
      <c r="AE3857">
        <f>IF(U3857="","MISSING",IF(AND(AA3857&gt;0,U3857/AA3857&gt;50),"POSSIBLE_SCALE_ERROR","OK"))</f>
        <v/>
      </c>
    </row>
    <row r="3858">
      <c r="A3858" t="inlineStr">
        <is>
          <t>T-2012-Q3-00041</t>
        </is>
      </c>
      <c r="B3858" t="inlineStr">
        <is>
          <t>SLE</t>
        </is>
      </c>
      <c r="C3858" t="inlineStr">
        <is>
          <t>Vice-President, Finance and Corporate Services</t>
        </is>
      </c>
      <c r="D3858" t="inlineStr">
        <is>
          <t>Vice-présidente, Finances et Services corporatifs</t>
        </is>
      </c>
      <c r="E3858" t="inlineStr">
        <is>
          <t>Denise Frenette</t>
        </is>
      </c>
      <c r="F3858" t="inlineStr">
        <is>
          <t>Meetings with Government of Canada officials and Agency officials</t>
        </is>
      </c>
      <c r="G3858" t="inlineStr">
        <is>
          <t>Réunions avec des fonctionnaires du gouvernement du Canada et de l'Agence</t>
        </is>
      </c>
      <c r="H3858" s="1" t="n">
        <v>40826</v>
      </c>
      <c r="I3858" s="1" t="n">
        <v>40829</v>
      </c>
      <c r="J3858" t="inlineStr">
        <is>
          <t>Ottawa, Ontario</t>
        </is>
      </c>
      <c r="K3858" t="inlineStr">
        <is>
          <t>Ottawa (Ontario)</t>
        </is>
      </c>
      <c r="P3858" t="n">
        <v>1075.76</v>
      </c>
      <c r="Q3858" t="n">
        <v>49.56</v>
      </c>
      <c r="R3858" t="n">
        <v>522.0599999999999</v>
      </c>
      <c r="S3858" t="n">
        <v>274.2</v>
      </c>
      <c r="T3858" t="n">
        <v>0</v>
      </c>
      <c r="U3858" t="n">
        <v>1921.58</v>
      </c>
      <c r="X3858" t="inlineStr">
        <is>
          <t>acoa-apeca</t>
        </is>
      </c>
      <c r="Y3858" t="inlineStr">
        <is>
          <t>Atlantic Canada Opportunities Agency | Agence de promotion économique du Canada atlantique</t>
        </is>
      </c>
      <c r="Z3858" t="n">
        <v>4</v>
      </c>
      <c r="AA3858" t="n">
        <v>1921.58</v>
      </c>
      <c r="AB3858">
        <f>ROUND(U3858-AA3858,2)</f>
        <v/>
      </c>
      <c r="AC3858" t="b">
        <v>0</v>
      </c>
      <c r="AD3858">
        <f>IF(U3858="","MISSING_TOTAL",IF(ABS(AB3858)&lt;=0.01,"OK","CHECK"))</f>
        <v/>
      </c>
      <c r="AE3858">
        <f>IF(U3858="","MISSING",IF(AND(AA3858&gt;0,U3858/AA3858&gt;50),"POSSIBLE_SCALE_ERROR","OK"))</f>
        <v/>
      </c>
    </row>
    <row r="3859">
      <c r="A3859" t="inlineStr">
        <is>
          <t>T-2012-Q3-00039</t>
        </is>
      </c>
      <c r="B3859" t="inlineStr">
        <is>
          <t>SLE</t>
        </is>
      </c>
      <c r="C3859" t="inlineStr">
        <is>
          <t>Vice-President, Finance and Corporate Services</t>
        </is>
      </c>
      <c r="D3859" t="inlineStr">
        <is>
          <t>Vice-présidente, Finances et Services corporatifs</t>
        </is>
      </c>
      <c r="E3859" t="inlineStr">
        <is>
          <t>Denise Frenette</t>
        </is>
      </c>
      <c r="F3859" t="inlineStr">
        <is>
          <t>Meetings with Government of Canada officials and Agency officials</t>
        </is>
      </c>
      <c r="G3859" t="inlineStr">
        <is>
          <t>Réunions avec des fonctionnaires du gouvernement du Canada et de l'Agence</t>
        </is>
      </c>
      <c r="H3859" s="1" t="n">
        <v>40821</v>
      </c>
      <c r="I3859" s="1" t="n">
        <v>40822</v>
      </c>
      <c r="J3859" t="inlineStr">
        <is>
          <t>Halifax, Nova Scotia</t>
        </is>
      </c>
      <c r="K3859" t="inlineStr">
        <is>
          <t>Halifax (Nouvelle-Écosse)</t>
        </is>
      </c>
      <c r="P3859" t="n">
        <v>0</v>
      </c>
      <c r="Q3859" t="n">
        <v>97.05</v>
      </c>
      <c r="R3859" t="n">
        <v>174.78</v>
      </c>
      <c r="S3859" t="n">
        <v>74.90000000000001</v>
      </c>
      <c r="T3859" t="n">
        <v>10</v>
      </c>
      <c r="U3859" t="n">
        <v>356.73</v>
      </c>
      <c r="X3859" t="inlineStr">
        <is>
          <t>acoa-apeca</t>
        </is>
      </c>
      <c r="Y3859" t="inlineStr">
        <is>
          <t>Atlantic Canada Opportunities Agency | Agence de promotion économique du Canada atlantique</t>
        </is>
      </c>
      <c r="Z3859" t="n">
        <v>2</v>
      </c>
      <c r="AA3859" t="n">
        <v>356.73</v>
      </c>
      <c r="AB3859">
        <f>ROUND(U3859-AA3859,2)</f>
        <v/>
      </c>
      <c r="AC3859" t="b">
        <v>0</v>
      </c>
      <c r="AD3859">
        <f>IF(U3859="","MISSING_TOTAL",IF(ABS(AB3859)&lt;=0.01,"OK","CHECK"))</f>
        <v/>
      </c>
      <c r="AE3859">
        <f>IF(U3859="","MISSING",IF(AND(AA3859&gt;0,U3859/AA3859&gt;50),"POSSIBLE_SCALE_ERROR","OK"))</f>
        <v/>
      </c>
    </row>
    <row r="3860">
      <c r="A3860" t="inlineStr">
        <is>
          <t>T-2012-Q3-00038</t>
        </is>
      </c>
      <c r="B3860" t="inlineStr">
        <is>
          <t>SLE</t>
        </is>
      </c>
      <c r="C3860" t="inlineStr">
        <is>
          <t>Vice-President, Prince Edward Island</t>
        </is>
      </c>
      <c r="D3860" t="inlineStr">
        <is>
          <t>Vice-président, Île-du-Prince-Édouard</t>
        </is>
      </c>
      <c r="E3860" t="inlineStr">
        <is>
          <t>Patrick Dorsey</t>
        </is>
      </c>
      <c r="F3860" t="inlineStr">
        <is>
          <t>Attend Executive Committee Meeting</t>
        </is>
      </c>
      <c r="G3860" t="inlineStr">
        <is>
          <t>Assister à une réunion du Comité de direction</t>
        </is>
      </c>
      <c r="H3860" s="1" t="n">
        <v>40820</v>
      </c>
      <c r="I3860" s="1" t="n">
        <v>40821</v>
      </c>
      <c r="J3860" t="inlineStr">
        <is>
          <t>Halifax, Nova Scotia</t>
        </is>
      </c>
      <c r="K3860" t="inlineStr">
        <is>
          <t>Halifax (Nouvelle-Écosse)</t>
        </is>
      </c>
      <c r="P3860" t="n">
        <v>858.85</v>
      </c>
      <c r="Q3860" t="n">
        <v>136</v>
      </c>
      <c r="R3860" t="n">
        <v>166.57</v>
      </c>
      <c r="S3860" t="n">
        <v>130.55</v>
      </c>
      <c r="T3860" t="n">
        <v>0</v>
      </c>
      <c r="U3860" t="n">
        <v>1291.97</v>
      </c>
      <c r="X3860" t="inlineStr">
        <is>
          <t>acoa-apeca</t>
        </is>
      </c>
      <c r="Y3860" t="inlineStr">
        <is>
          <t>Atlantic Canada Opportunities Agency | Agence de promotion économique du Canada atlantique</t>
        </is>
      </c>
      <c r="Z3860" t="n">
        <v>2</v>
      </c>
      <c r="AA3860" t="n">
        <v>1291.97</v>
      </c>
      <c r="AB3860">
        <f>ROUND(U3860-AA3860,2)</f>
        <v/>
      </c>
      <c r="AC3860" t="b">
        <v>0</v>
      </c>
      <c r="AD3860">
        <f>IF(U3860="","MISSING_TOTAL",IF(ABS(AB3860)&lt;=0.01,"OK","CHECK"))</f>
        <v/>
      </c>
      <c r="AE3860">
        <f>IF(U3860="","MISSING",IF(AND(AA3860&gt;0,U3860/AA3860&gt;50),"POSSIBLE_SCALE_ERROR","OK"))</f>
        <v/>
      </c>
    </row>
    <row r="3861">
      <c r="A3861" t="inlineStr">
        <is>
          <t>T-2012-Q3-00037</t>
        </is>
      </c>
      <c r="B3861" t="inlineStr">
        <is>
          <t>SLE</t>
        </is>
      </c>
      <c r="C3861" t="inlineStr">
        <is>
          <t>Vice-President, Newfoundland and Labrador</t>
        </is>
      </c>
      <c r="D3861" t="inlineStr">
        <is>
          <t>Vice-président, Terre-Neuve-et-Labrador</t>
        </is>
      </c>
      <c r="E3861" t="inlineStr">
        <is>
          <t>Paul Mills</t>
        </is>
      </c>
      <c r="F3861" t="inlineStr">
        <is>
          <t>To attend meeting with senior government officials and conference</t>
        </is>
      </c>
      <c r="G3861" t="inlineStr">
        <is>
          <t>Assister à une réunion avec de hauts fonctionnaires ainsi qu'à une conférence</t>
        </is>
      </c>
      <c r="H3861" s="1" t="n">
        <v>40820</v>
      </c>
      <c r="I3861" s="1" t="n">
        <v>40823</v>
      </c>
      <c r="J3861" t="inlineStr">
        <is>
          <t>Halifax, NS</t>
        </is>
      </c>
      <c r="K3861" t="inlineStr">
        <is>
          <t>Halifax (Nouvelle-Écosse)</t>
        </is>
      </c>
      <c r="P3861" t="n">
        <v>1329.26</v>
      </c>
      <c r="Q3861" t="n">
        <v>168</v>
      </c>
      <c r="R3861" t="n">
        <v>510.27</v>
      </c>
      <c r="S3861" t="n">
        <v>163.2</v>
      </c>
      <c r="T3861" t="n">
        <v>10.53</v>
      </c>
      <c r="U3861" t="n">
        <v>2181.26</v>
      </c>
      <c r="X3861" t="inlineStr">
        <is>
          <t>acoa-apeca</t>
        </is>
      </c>
      <c r="Y3861" t="inlineStr">
        <is>
          <t>Atlantic Canada Opportunities Agency | Agence de promotion économique du Canada atlantique</t>
        </is>
      </c>
      <c r="Z3861" t="n">
        <v>4</v>
      </c>
      <c r="AA3861" t="n">
        <v>2181.26</v>
      </c>
      <c r="AB3861">
        <f>ROUND(U3861-AA3861,2)</f>
        <v/>
      </c>
      <c r="AC3861" t="b">
        <v>0</v>
      </c>
      <c r="AD3861">
        <f>IF(U3861="","MISSING_TOTAL",IF(ABS(AB3861)&lt;=0.01,"OK","CHECK"))</f>
        <v/>
      </c>
      <c r="AE3861">
        <f>IF(U3861="","MISSING",IF(AND(AA3861&gt;0,U3861/AA3861&gt;50),"POSSIBLE_SCALE_ERROR","OK"))</f>
        <v/>
      </c>
    </row>
    <row r="3862">
      <c r="A3862" t="inlineStr">
        <is>
          <t>T-2012-Q3-00034</t>
        </is>
      </c>
      <c r="B3862" t="inlineStr">
        <is>
          <t>SLE</t>
        </is>
      </c>
      <c r="C3862" t="inlineStr">
        <is>
          <t>Vice President, Nova Scotia</t>
        </is>
      </c>
      <c r="D3862" t="inlineStr">
        <is>
          <t>Vice-président, Nouvelle-Écosse</t>
        </is>
      </c>
      <c r="E3862" t="inlineStr">
        <is>
          <t>Peter Hogan</t>
        </is>
      </c>
      <c r="F3862" t="inlineStr">
        <is>
          <t>Meeting with the Minister and various other meetings with Government Officials</t>
        </is>
      </c>
      <c r="G3862" t="inlineStr">
        <is>
          <t>Réunion avec le ministre et autres réunions avec des fonctionnaires gouvernementaux</t>
        </is>
      </c>
      <c r="H3862" s="1" t="n">
        <v>40819</v>
      </c>
      <c r="I3862" s="1" t="n">
        <v>40820</v>
      </c>
      <c r="J3862" t="inlineStr">
        <is>
          <t>Ottawa, Ontario</t>
        </is>
      </c>
      <c r="K3862" t="inlineStr">
        <is>
          <t>Ottawa (Ontario)</t>
        </is>
      </c>
      <c r="P3862" t="n">
        <v>594.67</v>
      </c>
      <c r="Q3862" t="n">
        <v>132.2</v>
      </c>
      <c r="R3862" t="n">
        <v>177.41</v>
      </c>
      <c r="S3862" t="n">
        <v>145.15</v>
      </c>
      <c r="T3862" t="n">
        <v>0</v>
      </c>
      <c r="U3862" t="n">
        <v>1049.43</v>
      </c>
      <c r="X3862" t="inlineStr">
        <is>
          <t>acoa-apeca</t>
        </is>
      </c>
      <c r="Y3862" t="inlineStr">
        <is>
          <t>Atlantic Canada Opportunities Agency | Agence de promotion économique du Canada atlantique</t>
        </is>
      </c>
      <c r="Z3862" t="n">
        <v>2</v>
      </c>
      <c r="AA3862" t="n">
        <v>1049.42999999999</v>
      </c>
      <c r="AB3862">
        <f>ROUND(U3862-AA3862,2)</f>
        <v/>
      </c>
      <c r="AC3862" t="b">
        <v>0</v>
      </c>
      <c r="AD3862">
        <f>IF(U3862="","MISSING_TOTAL",IF(ABS(AB3862)&lt;=0.01,"OK","CHECK"))</f>
        <v/>
      </c>
      <c r="AE3862">
        <f>IF(U3862="","MISSING",IF(AND(AA3862&gt;0,U3862/AA3862&gt;50),"POSSIBLE_SCALE_ERROR","OK"))</f>
        <v/>
      </c>
    </row>
    <row r="3863">
      <c r="A3863" t="inlineStr">
        <is>
          <t>T-2012-Q3-00033</t>
        </is>
      </c>
      <c r="B3863" t="inlineStr">
        <is>
          <t>SLE</t>
        </is>
      </c>
      <c r="C3863" t="inlineStr">
        <is>
          <t>President</t>
        </is>
      </c>
      <c r="D3863" t="inlineStr">
        <is>
          <t>Président</t>
        </is>
      </c>
      <c r="E3863" t="inlineStr">
        <is>
          <t>Paul J. LeBlanc</t>
        </is>
      </c>
      <c r="F3863" t="inlineStr">
        <is>
          <t>For various meetings and discussions with Agency officials; with Government of Canada officials; to attend the 4Front Atlantic Conference</t>
        </is>
      </c>
      <c r="G3863" t="inlineStr">
        <is>
          <t>Diverses réunions et discussions avec des fonctionnaires de l'Agence et du fédéral, et participation à la conférence Atlantique à l'avant-garde</t>
        </is>
      </c>
      <c r="H3863" s="1" t="n">
        <v>40819</v>
      </c>
      <c r="I3863" s="1" t="n">
        <v>40823</v>
      </c>
      <c r="J3863" t="inlineStr">
        <is>
          <t>Ottawa, Ontario / Halifax, Nova Scotia</t>
        </is>
      </c>
      <c r="K3863" t="inlineStr">
        <is>
          <t>Ottawa (Ontario) / Halifax (Nouvelle-Écosse)</t>
        </is>
      </c>
      <c r="P3863" t="n">
        <v>876.52</v>
      </c>
      <c r="Q3863" t="n">
        <v>0</v>
      </c>
      <c r="R3863" t="n">
        <v>592.79</v>
      </c>
      <c r="S3863" t="n">
        <v>396.3</v>
      </c>
      <c r="T3863" t="n">
        <v>0</v>
      </c>
      <c r="U3863" t="n">
        <v>1865.61</v>
      </c>
      <c r="X3863" t="inlineStr">
        <is>
          <t>acoa-apeca</t>
        </is>
      </c>
      <c r="Y3863" t="inlineStr">
        <is>
          <t>Atlantic Canada Opportunities Agency | Agence de promotion économique du Canada atlantique</t>
        </is>
      </c>
      <c r="Z3863" t="n">
        <v>5</v>
      </c>
      <c r="AA3863" t="n">
        <v>1865.61</v>
      </c>
      <c r="AB3863">
        <f>ROUND(U3863-AA3863,2)</f>
        <v/>
      </c>
      <c r="AC3863" t="b">
        <v>0</v>
      </c>
      <c r="AD3863">
        <f>IF(U3863="","MISSING_TOTAL",IF(ABS(AB3863)&lt;=0.01,"OK","CHECK"))</f>
        <v/>
      </c>
      <c r="AE3863">
        <f>IF(U3863="","MISSING",IF(AND(AA3863&gt;0,U3863/AA3863&gt;50),"POSSIBLE_SCALE_ERROR","OK"))</f>
        <v/>
      </c>
    </row>
    <row r="3864">
      <c r="A3864" t="inlineStr">
        <is>
          <t>T-2012-Q3-00024</t>
        </is>
      </c>
      <c r="B3864" t="inlineStr">
        <is>
          <t>SLE</t>
        </is>
      </c>
      <c r="C3864" t="inlineStr">
        <is>
          <t>Vice-President, Finance and Corporate Services</t>
        </is>
      </c>
      <c r="D3864" t="inlineStr">
        <is>
          <t>Vice-présidente, Finances et Services corporatifs</t>
        </is>
      </c>
      <c r="E3864" t="inlineStr">
        <is>
          <t>Denise Frenette</t>
        </is>
      </c>
      <c r="F3864" t="inlineStr">
        <is>
          <t>Meetings with Government of Canada officials and Agency officials</t>
        </is>
      </c>
      <c r="G3864" t="inlineStr">
        <is>
          <t>Réunions avec des fonctionnaires du gouvernement du Canada et de l'Agence</t>
        </is>
      </c>
      <c r="H3864" s="1" t="n">
        <v>40805</v>
      </c>
      <c r="I3864" s="1" t="n">
        <v>40806</v>
      </c>
      <c r="J3864" t="inlineStr">
        <is>
          <t>Ottawa, Ontario</t>
        </is>
      </c>
      <c r="K3864" t="inlineStr">
        <is>
          <t>Ottawa (Ontario)</t>
        </is>
      </c>
      <c r="P3864" t="n">
        <v>1075.76</v>
      </c>
      <c r="Q3864" t="n">
        <v>144.28</v>
      </c>
      <c r="R3864" t="n">
        <v>186.51</v>
      </c>
      <c r="S3864" t="n">
        <v>142.6</v>
      </c>
      <c r="T3864" t="n">
        <v>0</v>
      </c>
      <c r="U3864" t="n">
        <v>1549.15</v>
      </c>
      <c r="X3864" t="inlineStr">
        <is>
          <t>acoa-apeca</t>
        </is>
      </c>
      <c r="Y3864" t="inlineStr">
        <is>
          <t>Atlantic Canada Opportunities Agency | Agence de promotion économique du Canada atlantique</t>
        </is>
      </c>
      <c r="Z3864" t="n">
        <v>2</v>
      </c>
      <c r="AA3864" t="n">
        <v>1549.14999999999</v>
      </c>
      <c r="AB3864">
        <f>ROUND(U3864-AA3864,2)</f>
        <v/>
      </c>
      <c r="AC3864" t="b">
        <v>0</v>
      </c>
      <c r="AD3864">
        <f>IF(U3864="","MISSING_TOTAL",IF(ABS(AB3864)&lt;=0.01,"OK","CHECK"))</f>
        <v/>
      </c>
      <c r="AE3864">
        <f>IF(U3864="","MISSING",IF(AND(AA3864&gt;0,U3864/AA3864&gt;50),"POSSIBLE_SCALE_ERROR","OK"))</f>
        <v/>
      </c>
    </row>
    <row r="3865">
      <c r="A3865" t="inlineStr">
        <is>
          <t>T-2012-Q3-00031</t>
        </is>
      </c>
      <c r="B3865" t="inlineStr">
        <is>
          <t>SLE</t>
        </is>
      </c>
      <c r="C3865" t="inlineStr">
        <is>
          <t>Vice President, Nova Scotia</t>
        </is>
      </c>
      <c r="D3865" t="inlineStr">
        <is>
          <t>Vice-président, Nouvelle-Écosse</t>
        </is>
      </c>
      <c r="E3865" t="inlineStr">
        <is>
          <t>Peter Hogan</t>
        </is>
      </c>
      <c r="F3865" t="inlineStr">
        <is>
          <t>Various meetings with senior Agency and Government of Canada officials</t>
        </is>
      </c>
      <c r="G3865" t="inlineStr">
        <is>
          <t>Diverses réunions avec des hauts fonctionnaires de l'Agence et du gouvernement fédéral</t>
        </is>
      </c>
      <c r="H3865" s="1" t="n">
        <v>40813</v>
      </c>
      <c r="I3865" s="1" t="n">
        <v>40814</v>
      </c>
      <c r="J3865" t="inlineStr">
        <is>
          <t>Ottawa, Ontario</t>
        </is>
      </c>
      <c r="K3865" t="inlineStr">
        <is>
          <t>Ottawa (Ontario)</t>
        </is>
      </c>
      <c r="P3865" t="n">
        <v>631.92</v>
      </c>
      <c r="Q3865" t="n">
        <v>132.4</v>
      </c>
      <c r="R3865" t="n">
        <v>177.41</v>
      </c>
      <c r="S3865" t="n">
        <v>143.5</v>
      </c>
      <c r="T3865" t="n">
        <v>0</v>
      </c>
      <c r="U3865" t="n">
        <v>1085.23</v>
      </c>
      <c r="X3865" t="inlineStr">
        <is>
          <t>acoa-apeca</t>
        </is>
      </c>
      <c r="Y3865" t="inlineStr">
        <is>
          <t>Atlantic Canada Opportunities Agency | Agence de promotion économique du Canada atlantique</t>
        </is>
      </c>
      <c r="Z3865" t="n">
        <v>2</v>
      </c>
      <c r="AA3865" t="n">
        <v>1085.23</v>
      </c>
      <c r="AB3865">
        <f>ROUND(U3865-AA3865,2)</f>
        <v/>
      </c>
      <c r="AC3865" t="b">
        <v>0</v>
      </c>
      <c r="AD3865">
        <f>IF(U3865="","MISSING_TOTAL",IF(ABS(AB3865)&lt;=0.01,"OK","CHECK"))</f>
        <v/>
      </c>
      <c r="AE3865">
        <f>IF(U3865="","MISSING",IF(AND(AA3865&gt;0,U3865/AA3865&gt;50),"POSSIBLE_SCALE_ERROR","OK"))</f>
        <v/>
      </c>
    </row>
    <row r="3866">
      <c r="A3866" t="inlineStr">
        <is>
          <t>T-2012-Q3-00029</t>
        </is>
      </c>
      <c r="B3866" t="inlineStr">
        <is>
          <t>SLE</t>
        </is>
      </c>
      <c r="C3866" t="inlineStr">
        <is>
          <t>Vice-President, Prince Edward Island</t>
        </is>
      </c>
      <c r="D3866" t="inlineStr">
        <is>
          <t>Vice-président, Île-du-Prince-Édouard</t>
        </is>
      </c>
      <c r="E3866" t="inlineStr">
        <is>
          <t>Patrick Dorsey</t>
        </is>
      </c>
      <c r="F3866" t="inlineStr">
        <is>
          <t>Meetings in the ACOA Ottawa Office</t>
        </is>
      </c>
      <c r="G3866" t="inlineStr">
        <is>
          <t>Réunions au bureau de l'APECA à Ottawa</t>
        </is>
      </c>
      <c r="H3866" s="1" t="n">
        <v>40812</v>
      </c>
      <c r="I3866" s="1" t="n">
        <v>40813</v>
      </c>
      <c r="J3866" t="inlineStr">
        <is>
          <t>Ottawa, Ontario</t>
        </is>
      </c>
      <c r="K3866" t="inlineStr">
        <is>
          <t>Ottawa (Ontario)</t>
        </is>
      </c>
      <c r="P3866" t="n">
        <v>1074.69</v>
      </c>
      <c r="Q3866" t="n">
        <v>91</v>
      </c>
      <c r="R3866" t="n">
        <v>303.97</v>
      </c>
      <c r="S3866" t="n">
        <v>117.8</v>
      </c>
      <c r="T3866" t="n">
        <v>0</v>
      </c>
      <c r="U3866" t="n">
        <v>1587.46</v>
      </c>
      <c r="X3866" t="inlineStr">
        <is>
          <t>acoa-apeca</t>
        </is>
      </c>
      <c r="Y3866" t="inlineStr">
        <is>
          <t>Atlantic Canada Opportunities Agency | Agence de promotion économique du Canada atlantique</t>
        </is>
      </c>
      <c r="Z3866" t="n">
        <v>2</v>
      </c>
      <c r="AA3866" t="n">
        <v>1587.46</v>
      </c>
      <c r="AB3866">
        <f>ROUND(U3866-AA3866,2)</f>
        <v/>
      </c>
      <c r="AC3866" t="b">
        <v>0</v>
      </c>
      <c r="AD3866">
        <f>IF(U3866="","MISSING_TOTAL",IF(ABS(AB3866)&lt;=0.01,"OK","CHECK"))</f>
        <v/>
      </c>
      <c r="AE3866">
        <f>IF(U3866="","MISSING",IF(AND(AA3866&gt;0,U3866/AA3866&gt;50),"POSSIBLE_SCALE_ERROR","OK"))</f>
        <v/>
      </c>
    </row>
    <row r="3867">
      <c r="A3867" t="inlineStr">
        <is>
          <t>T-2012-Q3-00028</t>
        </is>
      </c>
      <c r="B3867" t="inlineStr">
        <is>
          <t>SLE</t>
        </is>
      </c>
      <c r="C3867" t="inlineStr">
        <is>
          <t>President</t>
        </is>
      </c>
      <c r="D3867" t="inlineStr">
        <is>
          <t>Président</t>
        </is>
      </c>
      <c r="E3867" t="inlineStr">
        <is>
          <t>Paul J. LeBlanc</t>
        </is>
      </c>
      <c r="F3867" t="inlineStr">
        <is>
          <t>For various meetings and discussions with Agency officials; with Government of Canada officials</t>
        </is>
      </c>
      <c r="G3867" t="inlineStr">
        <is>
          <t>Diverses réunions et discussions avec des fonctionnaires de l'Agence et des fonctionnaires du gouvernement fédéral</t>
        </is>
      </c>
      <c r="H3867" s="1" t="n">
        <v>40812</v>
      </c>
      <c r="I3867" s="1" t="n">
        <v>40815</v>
      </c>
      <c r="J3867" t="inlineStr">
        <is>
          <t>Ottawa, Ontario</t>
        </is>
      </c>
      <c r="K3867" t="inlineStr">
        <is>
          <t>Ottawa (Ontario)</t>
        </is>
      </c>
      <c r="P3867" t="n">
        <v>727.36</v>
      </c>
      <c r="Q3867" t="n">
        <v>13.52</v>
      </c>
      <c r="R3867" t="n">
        <v>522.0599999999999</v>
      </c>
      <c r="S3867" t="n">
        <v>261.3</v>
      </c>
      <c r="T3867" t="n">
        <v>101.5</v>
      </c>
      <c r="U3867" t="n">
        <v>1625.74</v>
      </c>
      <c r="X3867" t="inlineStr">
        <is>
          <t>acoa-apeca</t>
        </is>
      </c>
      <c r="Y3867" t="inlineStr">
        <is>
          <t>Atlantic Canada Opportunities Agency | Agence de promotion économique du Canada atlantique</t>
        </is>
      </c>
      <c r="Z3867" t="n">
        <v>4</v>
      </c>
      <c r="AA3867" t="n">
        <v>1625.74</v>
      </c>
      <c r="AB3867">
        <f>ROUND(U3867-AA3867,2)</f>
        <v/>
      </c>
      <c r="AC3867" t="b">
        <v>0</v>
      </c>
      <c r="AD3867">
        <f>IF(U3867="","MISSING_TOTAL",IF(ABS(AB3867)&lt;=0.01,"OK","CHECK"))</f>
        <v/>
      </c>
      <c r="AE3867">
        <f>IF(U3867="","MISSING",IF(AND(AA3867&gt;0,U3867/AA3867&gt;50),"POSSIBLE_SCALE_ERROR","OK"))</f>
        <v/>
      </c>
    </row>
    <row r="3868">
      <c r="A3868" t="inlineStr">
        <is>
          <t>T-2012-Q3-00027</t>
        </is>
      </c>
      <c r="B3868" t="inlineStr">
        <is>
          <t>SLE</t>
        </is>
      </c>
      <c r="C3868" t="inlineStr">
        <is>
          <t>Vice President, Nova Scotia</t>
        </is>
      </c>
      <c r="D3868" t="inlineStr">
        <is>
          <t>Vice-président, Nouvelle-Écosse</t>
        </is>
      </c>
      <c r="E3868" t="inlineStr">
        <is>
          <t>Peter Hogan</t>
        </is>
      </c>
      <c r="F3868" t="inlineStr">
        <is>
          <t>Various meetings with Government of Canada officials</t>
        </is>
      </c>
      <c r="G3868" t="inlineStr">
        <is>
          <t>Diverses réunions avec des fonctionnaires du gouvernement fédéral</t>
        </is>
      </c>
      <c r="H3868" s="1" t="n">
        <v>40807</v>
      </c>
      <c r="I3868" s="1" t="n">
        <v>40808</v>
      </c>
      <c r="J3868" t="inlineStr">
        <is>
          <t>Ottawa, Ontario</t>
        </is>
      </c>
      <c r="K3868" t="inlineStr">
        <is>
          <t>Ottawa (Ontario)</t>
        </is>
      </c>
      <c r="P3868" t="n">
        <v>1172.68</v>
      </c>
      <c r="Q3868" t="n">
        <v>129.4</v>
      </c>
      <c r="R3868" t="n">
        <v>174.02</v>
      </c>
      <c r="S3868" t="n">
        <v>103.65</v>
      </c>
      <c r="T3868" t="n">
        <v>0</v>
      </c>
      <c r="U3868" t="n">
        <v>1579.75</v>
      </c>
      <c r="X3868" t="inlineStr">
        <is>
          <t>acoa-apeca</t>
        </is>
      </c>
      <c r="Y3868" t="inlineStr">
        <is>
          <t>Atlantic Canada Opportunities Agency | Agence de promotion économique du Canada atlantique</t>
        </is>
      </c>
      <c r="Z3868" t="n">
        <v>2</v>
      </c>
      <c r="AA3868" t="n">
        <v>1579.75</v>
      </c>
      <c r="AB3868">
        <f>ROUND(U3868-AA3868,2)</f>
        <v/>
      </c>
      <c r="AC3868" t="b">
        <v>0</v>
      </c>
      <c r="AD3868">
        <f>IF(U3868="","MISSING_TOTAL",IF(ABS(AB3868)&lt;=0.01,"OK","CHECK"))</f>
        <v/>
      </c>
      <c r="AE3868">
        <f>IF(U3868="","MISSING",IF(AND(AA3868&gt;0,U3868/AA3868&gt;50),"POSSIBLE_SCALE_ERROR","OK"))</f>
        <v/>
      </c>
    </row>
    <row r="3869">
      <c r="A3869" t="inlineStr">
        <is>
          <t>T-2012-Q3-00025</t>
        </is>
      </c>
      <c r="B3869" t="inlineStr">
        <is>
          <t>MPSES</t>
        </is>
      </c>
      <c r="C3869" t="inlineStr">
        <is>
          <t>Chief of Staff</t>
        </is>
      </c>
      <c r="D3869" t="inlineStr">
        <is>
          <t>Chef de cabinet</t>
        </is>
      </c>
      <c r="E3869" t="inlineStr">
        <is>
          <t>Mélisa Leclerc</t>
        </is>
      </c>
      <c r="F3869" t="inlineStr">
        <is>
          <t>Travel with MoS to attend various events and meetings on ACOA and the Francophonie</t>
        </is>
      </c>
      <c r="G3869" t="inlineStr">
        <is>
          <t>Voyage avec le ministre d'État pour assister à diverses activités et réunions liées à l'APECA et à la Francophonie</t>
        </is>
      </c>
      <c r="H3869" s="1" t="n">
        <v>40805</v>
      </c>
      <c r="I3869" s="1" t="n">
        <v>40806</v>
      </c>
      <c r="J3869" t="inlineStr">
        <is>
          <t>New York, New York - United States of America</t>
        </is>
      </c>
      <c r="K3869" t="inlineStr">
        <is>
          <t>New York, État de New York (États-Unis)</t>
        </is>
      </c>
      <c r="P3869" t="n">
        <v>628.89</v>
      </c>
      <c r="Q3869" t="n">
        <v>0</v>
      </c>
      <c r="R3869" t="n">
        <v>564.6799999999999</v>
      </c>
      <c r="S3869" t="n">
        <v>88.67</v>
      </c>
      <c r="T3869" t="n">
        <v>0</v>
      </c>
      <c r="U3869" t="n">
        <v>1282.24</v>
      </c>
      <c r="X3869" t="inlineStr">
        <is>
          <t>acoa-apeca</t>
        </is>
      </c>
      <c r="Y3869" t="inlineStr">
        <is>
          <t>Atlantic Canada Opportunities Agency | Agence de promotion économique du Canada atlantique</t>
        </is>
      </c>
      <c r="Z3869" t="n">
        <v>2</v>
      </c>
      <c r="AA3869" t="n">
        <v>1282.24</v>
      </c>
      <c r="AB3869">
        <f>ROUND(U3869-AA3869,2)</f>
        <v/>
      </c>
      <c r="AC3869" t="b">
        <v>0</v>
      </c>
      <c r="AD3869">
        <f>IF(U3869="","MISSING_TOTAL",IF(ABS(AB3869)&lt;=0.01,"OK","CHECK"))</f>
        <v/>
      </c>
      <c r="AE3869">
        <f>IF(U3869="","MISSING",IF(AND(AA3869&gt;0,U3869/AA3869&gt;50),"POSSIBLE_SCALE_ERROR","OK"))</f>
        <v/>
      </c>
    </row>
    <row r="3870">
      <c r="A3870" t="inlineStr">
        <is>
          <t>T-2012-Q3-00023</t>
        </is>
      </c>
      <c r="B3870" t="inlineStr">
        <is>
          <t>SLE</t>
        </is>
      </c>
      <c r="C3870" t="inlineStr">
        <is>
          <t>Vice-President, Prince Edward Island</t>
        </is>
      </c>
      <c r="D3870" t="inlineStr">
        <is>
          <t>Vice-président, Île-du-Prince-Édouard</t>
        </is>
      </c>
      <c r="E3870" t="inlineStr">
        <is>
          <t>Patrick Dorsey</t>
        </is>
      </c>
      <c r="F3870" t="inlineStr">
        <is>
          <t>Meeting with ACOA Officials</t>
        </is>
      </c>
      <c r="G3870" t="inlineStr">
        <is>
          <t>Réunion avec des fonctionnaires de l'APECA</t>
        </is>
      </c>
      <c r="H3870" s="1" t="n">
        <v>40805</v>
      </c>
      <c r="I3870" s="1" t="n">
        <v>40805</v>
      </c>
      <c r="J3870" t="inlineStr">
        <is>
          <t>Halifax, Nova Scotia</t>
        </is>
      </c>
      <c r="K3870" t="inlineStr">
        <is>
          <t>Halifax (Nouvelle-Écosse)</t>
        </is>
      </c>
      <c r="P3870" t="n">
        <v>0</v>
      </c>
      <c r="Q3870" t="n">
        <v>65.25</v>
      </c>
      <c r="R3870" t="n">
        <v>0</v>
      </c>
      <c r="S3870" t="n">
        <v>54</v>
      </c>
      <c r="T3870" t="n">
        <v>0</v>
      </c>
      <c r="U3870" t="n">
        <v>119.25</v>
      </c>
      <c r="X3870" t="inlineStr">
        <is>
          <t>acoa-apeca</t>
        </is>
      </c>
      <c r="Y3870" t="inlineStr">
        <is>
          <t>Atlantic Canada Opportunities Agency | Agence de promotion économique du Canada atlantique</t>
        </is>
      </c>
      <c r="Z3870" t="n">
        <v>1</v>
      </c>
      <c r="AA3870" t="n">
        <v>119.25</v>
      </c>
      <c r="AB3870">
        <f>ROUND(U3870-AA3870,2)</f>
        <v/>
      </c>
      <c r="AC3870" t="b">
        <v>0</v>
      </c>
      <c r="AD3870">
        <f>IF(U3870="","MISSING_TOTAL",IF(ABS(AB3870)&lt;=0.01,"OK","CHECK"))</f>
        <v/>
      </c>
      <c r="AE3870">
        <f>IF(U3870="","MISSING",IF(AND(AA3870&gt;0,U3870/AA3870&gt;50),"POSSIBLE_SCALE_ERROR","OK"))</f>
        <v/>
      </c>
    </row>
    <row r="3871">
      <c r="A3871" t="inlineStr">
        <is>
          <t>T-2012-Q3-00022</t>
        </is>
      </c>
      <c r="B3871" t="inlineStr">
        <is>
          <t>MPSES</t>
        </is>
      </c>
      <c r="C3871" t="inlineStr">
        <is>
          <t>Minister of State</t>
        </is>
      </c>
      <c r="D3871" t="inlineStr">
        <is>
          <t>Ministre d'État</t>
        </is>
      </c>
      <c r="E3871" t="inlineStr">
        <is>
          <t>Bernard Valcourt</t>
        </is>
      </c>
      <c r="F3871" t="inlineStr">
        <is>
          <t>Francophonie's ministerial co-operation</t>
        </is>
      </c>
      <c r="G3871" t="inlineStr">
        <is>
          <t>Concertation ministérielle de la Francophonie</t>
        </is>
      </c>
      <c r="H3871" s="1" t="n">
        <v>40805</v>
      </c>
      <c r="I3871" s="1" t="n">
        <v>40806</v>
      </c>
      <c r="J3871" t="inlineStr">
        <is>
          <t>New York, New York - U.S.A.</t>
        </is>
      </c>
      <c r="K3871" t="inlineStr">
        <is>
          <t>New York (New York) - États-Unis</t>
        </is>
      </c>
      <c r="P3871" t="n">
        <v>628.89</v>
      </c>
      <c r="Q3871" t="n">
        <v>0</v>
      </c>
      <c r="R3871" t="n">
        <v>564.6799999999999</v>
      </c>
      <c r="S3871" t="n">
        <v>88.67</v>
      </c>
      <c r="T3871" t="n">
        <v>0</v>
      </c>
      <c r="U3871" t="n">
        <v>1282.24</v>
      </c>
      <c r="X3871" t="inlineStr">
        <is>
          <t>acoa-apeca</t>
        </is>
      </c>
      <c r="Y3871" t="inlineStr">
        <is>
          <t>Atlantic Canada Opportunities Agency | Agence de promotion économique du Canada atlantique</t>
        </is>
      </c>
      <c r="Z3871" t="n">
        <v>2</v>
      </c>
      <c r="AA3871" t="n">
        <v>1282.24</v>
      </c>
      <c r="AB3871">
        <f>ROUND(U3871-AA3871,2)</f>
        <v/>
      </c>
      <c r="AC3871" t="b">
        <v>0</v>
      </c>
      <c r="AD3871">
        <f>IF(U3871="","MISSING_TOTAL",IF(ABS(AB3871)&lt;=0.01,"OK","CHECK"))</f>
        <v/>
      </c>
      <c r="AE3871">
        <f>IF(U3871="","MISSING",IF(AND(AA3871&gt;0,U3871/AA3871&gt;50),"POSSIBLE_SCALE_ERROR","OK"))</f>
        <v/>
      </c>
    </row>
    <row r="3872">
      <c r="A3872" t="inlineStr">
        <is>
          <t>T-2012-Q3-00020</t>
        </is>
      </c>
      <c r="B3872" t="inlineStr">
        <is>
          <t>SLE</t>
        </is>
      </c>
      <c r="C3872" t="inlineStr">
        <is>
          <t>Vice-President, Newfoundland and Labrador</t>
        </is>
      </c>
      <c r="D3872" t="inlineStr">
        <is>
          <t>Vice-président, Terre-Neuve-et-Labrador</t>
        </is>
      </c>
      <c r="E3872" t="inlineStr">
        <is>
          <t>Paul Mills</t>
        </is>
      </c>
      <c r="F3872" t="inlineStr">
        <is>
          <t>To attend meetings with senior government officials</t>
        </is>
      </c>
      <c r="G3872" t="inlineStr">
        <is>
          <t>Assister à des réunions avec de hauts fonctionnaires</t>
        </is>
      </c>
      <c r="H3872" s="1" t="n">
        <v>40805</v>
      </c>
      <c r="I3872" s="1" t="n">
        <v>40808</v>
      </c>
      <c r="J3872" t="inlineStr">
        <is>
          <t>Ottawa, ON</t>
        </is>
      </c>
      <c r="K3872" t="inlineStr">
        <is>
          <t>Ottawa (Ontario)</t>
        </is>
      </c>
      <c r="P3872" t="n">
        <v>1993.69</v>
      </c>
      <c r="Q3872" t="n">
        <v>231</v>
      </c>
      <c r="R3872" t="n">
        <v>638.51</v>
      </c>
      <c r="S3872" t="n">
        <v>250.65</v>
      </c>
      <c r="T3872" t="n">
        <v>15.06</v>
      </c>
      <c r="U3872" t="n">
        <v>3128.91</v>
      </c>
      <c r="X3872" t="inlineStr">
        <is>
          <t>acoa-apeca</t>
        </is>
      </c>
      <c r="Y3872" t="inlineStr">
        <is>
          <t>Atlantic Canada Opportunities Agency | Agence de promotion économique du Canada atlantique</t>
        </is>
      </c>
      <c r="Z3872" t="n">
        <v>4</v>
      </c>
      <c r="AA3872" t="n">
        <v>3128.91</v>
      </c>
      <c r="AB3872">
        <f>ROUND(U3872-AA3872,2)</f>
        <v/>
      </c>
      <c r="AC3872" t="b">
        <v>0</v>
      </c>
      <c r="AD3872">
        <f>IF(U3872="","MISSING_TOTAL",IF(ABS(AB3872)&lt;=0.01,"OK","CHECK"))</f>
        <v/>
      </c>
      <c r="AE3872">
        <f>IF(U3872="","MISSING",IF(AND(AA3872&gt;0,U3872/AA3872&gt;50),"POSSIBLE_SCALE_ERROR","OK"))</f>
        <v/>
      </c>
    </row>
    <row r="3873">
      <c r="A3873" t="inlineStr">
        <is>
          <t>T-2012-Q3-00018</t>
        </is>
      </c>
      <c r="B3873" t="inlineStr">
        <is>
          <t>SLE</t>
        </is>
      </c>
      <c r="C3873" t="inlineStr">
        <is>
          <t>President</t>
        </is>
      </c>
      <c r="D3873" t="inlineStr">
        <is>
          <t>Président</t>
        </is>
      </c>
      <c r="E3873" t="inlineStr">
        <is>
          <t>Paul J. LeBlanc</t>
        </is>
      </c>
      <c r="F3873" t="inlineStr">
        <is>
          <t>To take part in various meetings and sessions with Agency officials and investment stakeholders; to take part in meetings and discussions with Agency officials and Government of Canada officials</t>
        </is>
      </c>
      <c r="G3873" t="inlineStr">
        <is>
          <t>Participer à diverses réunions et séances avec des représentants de l'Agence et des investisseurs; participer à des réunions et à des discussions avec des fonctionnaires de l'Agence et du fédéral</t>
        </is>
      </c>
      <c r="H3873" s="1" t="n">
        <v>40804</v>
      </c>
      <c r="I3873" s="1" t="n">
        <v>40807</v>
      </c>
      <c r="J3873" t="inlineStr">
        <is>
          <t>Ottawa, Ontario; New York, New York; Ottawa, Ontario</t>
        </is>
      </c>
      <c r="K3873" t="inlineStr">
        <is>
          <t>Ottawa (Ontario) / New York (New York) / Ottawa (Ontario)</t>
        </is>
      </c>
      <c r="P3873" t="n">
        <v>2400.4</v>
      </c>
      <c r="Q3873" t="n">
        <v>0</v>
      </c>
      <c r="R3873" t="n">
        <v>1147.53</v>
      </c>
      <c r="S3873" t="n">
        <v>212.55</v>
      </c>
      <c r="T3873" t="n">
        <v>122.99</v>
      </c>
      <c r="U3873" t="n">
        <v>3883.47</v>
      </c>
      <c r="X3873" t="inlineStr">
        <is>
          <t>acoa-apeca</t>
        </is>
      </c>
      <c r="Y3873" t="inlineStr">
        <is>
          <t>Atlantic Canada Opportunities Agency | Agence de promotion économique du Canada atlantique</t>
        </is>
      </c>
      <c r="Z3873" t="n">
        <v>4</v>
      </c>
      <c r="AA3873" t="n">
        <v>3883.47</v>
      </c>
      <c r="AB3873">
        <f>ROUND(U3873-AA3873,2)</f>
        <v/>
      </c>
      <c r="AC3873" t="b">
        <v>0</v>
      </c>
      <c r="AD3873">
        <f>IF(U3873="","MISSING_TOTAL",IF(ABS(AB3873)&lt;=0.01,"OK","CHECK"))</f>
        <v/>
      </c>
      <c r="AE3873">
        <f>IF(U3873="","MISSING",IF(AND(AA3873&gt;0,U3873/AA3873&gt;50),"POSSIBLE_SCALE_ERROR","OK"))</f>
        <v/>
      </c>
    </row>
    <row r="3874">
      <c r="A3874" t="inlineStr">
        <is>
          <t>T-2012-Q3-00016</t>
        </is>
      </c>
      <c r="B3874" t="inlineStr">
        <is>
          <t>MPSES</t>
        </is>
      </c>
      <c r="C3874" t="inlineStr">
        <is>
          <t>Chief of Staff</t>
        </is>
      </c>
      <c r="D3874" t="inlineStr">
        <is>
          <t>Chef de cabinet</t>
        </is>
      </c>
      <c r="E3874" t="inlineStr">
        <is>
          <t>Mélisa Leclerc</t>
        </is>
      </c>
      <c r="F3874" t="inlineStr">
        <is>
          <t>Atlantic Canada Mission to DSEI and various Governement of Canada events and meetings</t>
        </is>
      </c>
      <c r="G3874" t="inlineStr">
        <is>
          <t>Mission du Canada atlantique à DSEI et diverses activités et réunions du gouvernement du Canada</t>
        </is>
      </c>
      <c r="H3874" s="1" t="n">
        <v>40799</v>
      </c>
      <c r="I3874" s="1" t="n">
        <v>40802</v>
      </c>
      <c r="J3874" t="inlineStr">
        <is>
          <t>London, England / Paris, France</t>
        </is>
      </c>
      <c r="K3874" t="inlineStr">
        <is>
          <t>Londres (Angleterre) / Paris (France)</t>
        </is>
      </c>
      <c r="P3874" t="n">
        <v>3140.6</v>
      </c>
      <c r="Q3874" t="n">
        <v>0</v>
      </c>
      <c r="R3874" t="n">
        <v>1816.74</v>
      </c>
      <c r="S3874" t="n">
        <v>308.64</v>
      </c>
      <c r="T3874" t="n">
        <v>0</v>
      </c>
      <c r="U3874" t="n">
        <v>5265.98</v>
      </c>
      <c r="X3874" t="inlineStr">
        <is>
          <t>acoa-apeca</t>
        </is>
      </c>
      <c r="Y3874" t="inlineStr">
        <is>
          <t>Atlantic Canada Opportunities Agency | Agence de promotion économique du Canada atlantique</t>
        </is>
      </c>
      <c r="Z3874" t="n">
        <v>4</v>
      </c>
      <c r="AA3874" t="n">
        <v>5265.98</v>
      </c>
      <c r="AB3874">
        <f>ROUND(U3874-AA3874,2)</f>
        <v/>
      </c>
      <c r="AC3874" t="b">
        <v>0</v>
      </c>
      <c r="AD3874">
        <f>IF(U3874="","MISSING_TOTAL",IF(ABS(AB3874)&lt;=0.01,"OK","CHECK"))</f>
        <v/>
      </c>
      <c r="AE3874">
        <f>IF(U3874="","MISSING",IF(AND(AA3874&gt;0,U3874/AA3874&gt;50),"POSSIBLE_SCALE_ERROR","OK"))</f>
        <v/>
      </c>
    </row>
    <row r="3875">
      <c r="A3875" t="inlineStr">
        <is>
          <t>T-2012-Q3-00015</t>
        </is>
      </c>
      <c r="B3875" t="inlineStr">
        <is>
          <t>SLE</t>
        </is>
      </c>
      <c r="C3875" t="inlineStr">
        <is>
          <t>Vice-President, New Brunswick</t>
        </is>
      </c>
      <c r="D3875" t="inlineStr">
        <is>
          <t>Vice-présidente, Nouveau-Brunswick</t>
        </is>
      </c>
      <c r="E3875" t="inlineStr">
        <is>
          <t>Janet Gagnon</t>
        </is>
      </c>
      <c r="F3875" t="inlineStr">
        <is>
          <t>To attend the Aquaculture Showcase 2011</t>
        </is>
      </c>
      <c r="G3875" t="inlineStr">
        <is>
          <t>Assister à l'Aquaculture Showcase 2011</t>
        </is>
      </c>
      <c r="H3875" s="1" t="n">
        <v>40799</v>
      </c>
      <c r="I3875" s="1" t="n">
        <v>40801</v>
      </c>
      <c r="J3875" t="inlineStr">
        <is>
          <t>St. Alban, Newfoundland</t>
        </is>
      </c>
      <c r="K3875" t="inlineStr">
        <is>
          <t>St. Alban (Terre-Neuve-et-Labrador)</t>
        </is>
      </c>
      <c r="P3875" t="n">
        <v>1280.35</v>
      </c>
      <c r="Q3875" t="n">
        <v>0</v>
      </c>
      <c r="R3875" t="n">
        <v>224.87</v>
      </c>
      <c r="S3875" t="n">
        <v>190</v>
      </c>
      <c r="T3875" t="n">
        <v>22</v>
      </c>
      <c r="U3875" t="n">
        <v>1717.22</v>
      </c>
      <c r="X3875" t="inlineStr">
        <is>
          <t>acoa-apeca</t>
        </is>
      </c>
      <c r="Y3875" t="inlineStr">
        <is>
          <t>Atlantic Canada Opportunities Agency | Agence de promotion économique du Canada atlantique</t>
        </is>
      </c>
      <c r="Z3875" t="n">
        <v>3</v>
      </c>
      <c r="AA3875" t="n">
        <v>1717.21999999999</v>
      </c>
      <c r="AB3875">
        <f>ROUND(U3875-AA3875,2)</f>
        <v/>
      </c>
      <c r="AC3875" t="b">
        <v>0</v>
      </c>
      <c r="AD3875">
        <f>IF(U3875="","MISSING_TOTAL",IF(ABS(AB3875)&lt;=0.01,"OK","CHECK"))</f>
        <v/>
      </c>
      <c r="AE3875">
        <f>IF(U3875="","MISSING",IF(AND(AA3875&gt;0,U3875/AA3875&gt;50),"POSSIBLE_SCALE_ERROR","OK"))</f>
        <v/>
      </c>
    </row>
    <row r="3876">
      <c r="A3876" t="inlineStr">
        <is>
          <t>T-2012-Q3-00014</t>
        </is>
      </c>
      <c r="B3876" t="inlineStr">
        <is>
          <t>SLE</t>
        </is>
      </c>
      <c r="C3876" t="inlineStr">
        <is>
          <t>Vice-President, Finance and Corporate Services</t>
        </is>
      </c>
      <c r="D3876" t="inlineStr">
        <is>
          <t>Vice-présidente, Finances et Services corporatifs</t>
        </is>
      </c>
      <c r="E3876" t="inlineStr">
        <is>
          <t>Denise Frenette</t>
        </is>
      </c>
      <c r="F3876" t="inlineStr">
        <is>
          <t>Meetings with Government of Canada officials and Agency officials</t>
        </is>
      </c>
      <c r="G3876" t="inlineStr">
        <is>
          <t>Réunions avec des fonctionnaires du gouvernement du Canada et de l'Agence</t>
        </is>
      </c>
      <c r="H3876" s="1" t="n">
        <v>40798</v>
      </c>
      <c r="I3876" s="1" t="n">
        <v>40799</v>
      </c>
      <c r="J3876" t="inlineStr">
        <is>
          <t>Ottawa, Ontario</t>
        </is>
      </c>
      <c r="K3876" t="inlineStr">
        <is>
          <t>Ottawa (Ontario)</t>
        </is>
      </c>
      <c r="P3876" t="n">
        <v>1075.76</v>
      </c>
      <c r="Q3876" t="n">
        <v>7.28</v>
      </c>
      <c r="R3876" t="n">
        <v>174.02</v>
      </c>
      <c r="S3876" t="n">
        <v>143.5</v>
      </c>
      <c r="T3876" t="n">
        <v>0</v>
      </c>
      <c r="U3876" t="n">
        <v>1400.56</v>
      </c>
      <c r="X3876" t="inlineStr">
        <is>
          <t>acoa-apeca</t>
        </is>
      </c>
      <c r="Y3876" t="inlineStr">
        <is>
          <t>Atlantic Canada Opportunities Agency | Agence de promotion économique du Canada atlantique</t>
        </is>
      </c>
      <c r="Z3876" t="n">
        <v>2</v>
      </c>
      <c r="AA3876" t="n">
        <v>1400.56</v>
      </c>
      <c r="AB3876">
        <f>ROUND(U3876-AA3876,2)</f>
        <v/>
      </c>
      <c r="AC3876" t="b">
        <v>0</v>
      </c>
      <c r="AD3876">
        <f>IF(U3876="","MISSING_TOTAL",IF(ABS(AB3876)&lt;=0.01,"OK","CHECK"))</f>
        <v/>
      </c>
      <c r="AE3876">
        <f>IF(U3876="","MISSING",IF(AND(AA3876&gt;0,U3876/AA3876&gt;50),"POSSIBLE_SCALE_ERROR","OK"))</f>
        <v/>
      </c>
    </row>
    <row r="3877">
      <c r="A3877" t="inlineStr">
        <is>
          <t>T-2012-Q3-00012</t>
        </is>
      </c>
      <c r="B3877" t="inlineStr">
        <is>
          <t>MPSES</t>
        </is>
      </c>
      <c r="C3877" t="inlineStr">
        <is>
          <t>Minister of State</t>
        </is>
      </c>
      <c r="D3877" t="inlineStr">
        <is>
          <t>Ministre d'État</t>
        </is>
      </c>
      <c r="E3877" t="inlineStr">
        <is>
          <t>Bernard Valcourt</t>
        </is>
      </c>
      <c r="F3877" t="inlineStr">
        <is>
          <t>Meeting and roundtable for ACOA and various meetings for the Francophonie</t>
        </is>
      </c>
      <c r="G3877" t="inlineStr">
        <is>
          <t>Rencontre et table ronde pour l'APECA et rencontres diverses pour la Francophonie</t>
        </is>
      </c>
      <c r="H3877" s="1" t="n">
        <v>40797</v>
      </c>
      <c r="I3877" s="1" t="n">
        <v>40803</v>
      </c>
      <c r="J3877" t="inlineStr">
        <is>
          <t>London, England / Paris, France</t>
        </is>
      </c>
      <c r="K3877" t="inlineStr">
        <is>
          <t>Londres (Angleterre) / Paris (France)</t>
        </is>
      </c>
      <c r="P3877" t="n">
        <v>2823.4</v>
      </c>
      <c r="Q3877" t="n">
        <v>317.2</v>
      </c>
      <c r="R3877" t="n">
        <v>1883.25</v>
      </c>
      <c r="S3877" t="n">
        <v>308.64</v>
      </c>
      <c r="T3877" t="n">
        <v>0</v>
      </c>
      <c r="U3877" t="n">
        <v>5332.49</v>
      </c>
      <c r="X3877" t="inlineStr">
        <is>
          <t>acoa-apeca</t>
        </is>
      </c>
      <c r="Y3877" t="inlineStr">
        <is>
          <t>Atlantic Canada Opportunities Agency | Agence de promotion économique du Canada atlantique</t>
        </is>
      </c>
      <c r="Z3877" t="n">
        <v>7</v>
      </c>
      <c r="AA3877" t="n">
        <v>5332.49</v>
      </c>
      <c r="AB3877">
        <f>ROUND(U3877-AA3877,2)</f>
        <v/>
      </c>
      <c r="AC3877" t="b">
        <v>0</v>
      </c>
      <c r="AD3877">
        <f>IF(U3877="","MISSING_TOTAL",IF(ABS(AB3877)&lt;=0.01,"OK","CHECK"))</f>
        <v/>
      </c>
      <c r="AE3877">
        <f>IF(U3877="","MISSING",IF(AND(AA3877&gt;0,U3877/AA3877&gt;50),"POSSIBLE_SCALE_ERROR","OK"))</f>
        <v/>
      </c>
    </row>
    <row r="3878">
      <c r="A3878" t="inlineStr">
        <is>
          <t>T-2012-Q3-00011</t>
        </is>
      </c>
      <c r="B3878" t="inlineStr">
        <is>
          <t>SLE</t>
        </is>
      </c>
      <c r="C3878" t="inlineStr">
        <is>
          <t>President</t>
        </is>
      </c>
      <c r="D3878" t="inlineStr">
        <is>
          <t>Président</t>
        </is>
      </c>
      <c r="E3878" t="inlineStr">
        <is>
          <t>Paul J. LeBlanc</t>
        </is>
      </c>
      <c r="F3878" t="inlineStr">
        <is>
          <t>To take part in the Defence and Security Equipment International Exhibition; to take part in meetings and sessions with Agency officials and investment stakeholders</t>
        </is>
      </c>
      <c r="G3878" t="inlineStr">
        <is>
          <t>Participer au salon Defence and Security Equipment International; participer à des réunions et à des séances avec des fonctionnaires de l'Agence et des investisseurs</t>
        </is>
      </c>
      <c r="H3878" s="1" t="n">
        <v>40796</v>
      </c>
      <c r="I3878" s="1" t="n">
        <v>40804</v>
      </c>
      <c r="J3878" t="inlineStr">
        <is>
          <t>London, United Kingdom; Paris, France; Ottawa, Ontario</t>
        </is>
      </c>
      <c r="K3878" t="inlineStr">
        <is>
          <t>Londres (Royaume-Uni) / Paris (France) / Ottawa (Ontario)</t>
        </is>
      </c>
      <c r="P3878" t="n">
        <v>5363.64</v>
      </c>
      <c r="Q3878" t="n">
        <v>170.25</v>
      </c>
      <c r="R3878" t="n">
        <v>3142.47</v>
      </c>
      <c r="S3878" t="n">
        <v>1049.2</v>
      </c>
      <c r="T3878" t="n">
        <v>0</v>
      </c>
      <c r="U3878" t="n">
        <v>9725.559999999999</v>
      </c>
      <c r="X3878" t="inlineStr">
        <is>
          <t>acoa-apeca</t>
        </is>
      </c>
      <c r="Y3878" t="inlineStr">
        <is>
          <t>Atlantic Canada Opportunities Agency | Agence de promotion économique du Canada atlantique</t>
        </is>
      </c>
      <c r="Z3878" t="n">
        <v>9</v>
      </c>
      <c r="AA3878" t="n">
        <v>9725.559999999999</v>
      </c>
      <c r="AB3878">
        <f>ROUND(U3878-AA3878,2)</f>
        <v/>
      </c>
      <c r="AC3878" t="b">
        <v>0</v>
      </c>
      <c r="AD3878">
        <f>IF(U3878="","MISSING_TOTAL",IF(ABS(AB3878)&lt;=0.01,"OK","CHECK"))</f>
        <v/>
      </c>
      <c r="AE3878">
        <f>IF(U3878="","MISSING",IF(AND(AA3878&gt;0,U3878/AA3878&gt;50),"POSSIBLE_SCALE_ERROR","OK"))</f>
        <v/>
      </c>
    </row>
    <row r="3879">
      <c r="A3879" t="inlineStr">
        <is>
          <t>T-2012-Q3-00010</t>
        </is>
      </c>
      <c r="B3879" t="inlineStr">
        <is>
          <t>MPSES</t>
        </is>
      </c>
      <c r="C3879" t="inlineStr">
        <is>
          <t>Minister of State</t>
        </is>
      </c>
      <c r="D3879" t="inlineStr">
        <is>
          <t>Ministre d'État</t>
        </is>
      </c>
      <c r="E3879" t="inlineStr">
        <is>
          <t>Bernard Valcourt</t>
        </is>
      </c>
      <c r="F3879" t="inlineStr">
        <is>
          <t>Various announcements and meetings for ACOA</t>
        </is>
      </c>
      <c r="G3879" t="inlineStr">
        <is>
          <t>Annonces et rencontres diverses pour l'APECA</t>
        </is>
      </c>
      <c r="H3879" s="1" t="n">
        <v>40794</v>
      </c>
      <c r="I3879" s="1" t="n">
        <v>40795</v>
      </c>
      <c r="J3879" t="inlineStr">
        <is>
          <t>Fredericton and Eel River, New Brunswick</t>
        </is>
      </c>
      <c r="K3879" t="inlineStr">
        <is>
          <t>Fredericton et Eel River (Nouveau-Brunswick)</t>
        </is>
      </c>
      <c r="P3879" t="n">
        <v>401.03</v>
      </c>
      <c r="Q3879" t="n">
        <v>332.8</v>
      </c>
      <c r="R3879" t="n">
        <v>120.91</v>
      </c>
      <c r="S3879" t="n">
        <v>71.3</v>
      </c>
      <c r="T3879" t="n">
        <v>0</v>
      </c>
      <c r="U3879" t="n">
        <v>926.04</v>
      </c>
      <c r="X3879" t="inlineStr">
        <is>
          <t>acoa-apeca</t>
        </is>
      </c>
      <c r="Y3879" t="inlineStr">
        <is>
          <t>Atlantic Canada Opportunities Agency | Agence de promotion économique du Canada atlantique</t>
        </is>
      </c>
      <c r="Z3879" t="n">
        <v>2</v>
      </c>
      <c r="AA3879" t="n">
        <v>926.0399999999991</v>
      </c>
      <c r="AB3879">
        <f>ROUND(U3879-AA3879,2)</f>
        <v/>
      </c>
      <c r="AC3879" t="b">
        <v>0</v>
      </c>
      <c r="AD3879">
        <f>IF(U3879="","MISSING_TOTAL",IF(ABS(AB3879)&lt;=0.01,"OK","CHECK"))</f>
        <v/>
      </c>
      <c r="AE3879">
        <f>IF(U3879="","MISSING",IF(AND(AA3879&gt;0,U3879/AA3879&gt;50),"POSSIBLE_SCALE_ERROR","OK"))</f>
        <v/>
      </c>
    </row>
    <row r="3880">
      <c r="A3880" t="inlineStr">
        <is>
          <t>T-2012-Q3-00008</t>
        </is>
      </c>
      <c r="B3880" t="inlineStr">
        <is>
          <t>SLE</t>
        </is>
      </c>
      <c r="C3880" t="inlineStr">
        <is>
          <t>Vice-President, Finance and Corporate Services</t>
        </is>
      </c>
      <c r="D3880" t="inlineStr">
        <is>
          <t>Vice-présidente, Finances et Services corporatifs</t>
        </is>
      </c>
      <c r="E3880" t="inlineStr">
        <is>
          <t>Denise Frenette</t>
        </is>
      </c>
      <c r="F3880" t="inlineStr">
        <is>
          <t>Meetings with Government of Canada officials and Agency officials</t>
        </is>
      </c>
      <c r="G3880" t="inlineStr">
        <is>
          <t>Réunions avec des fonctionnaires du gouvernement du Canada et de l'Agence</t>
        </is>
      </c>
      <c r="H3880" s="1" t="n">
        <v>40792</v>
      </c>
      <c r="I3880" s="1" t="n">
        <v>40793</v>
      </c>
      <c r="J3880" t="inlineStr">
        <is>
          <t>Ottawa, Ontario</t>
        </is>
      </c>
      <c r="K3880" t="inlineStr">
        <is>
          <t>Ottawa (Ontario)</t>
        </is>
      </c>
      <c r="P3880" t="n">
        <v>1075.76</v>
      </c>
      <c r="Q3880" t="n">
        <v>88</v>
      </c>
      <c r="R3880" t="n">
        <v>174.02</v>
      </c>
      <c r="S3880" t="n">
        <v>114.3</v>
      </c>
      <c r="T3880" t="n">
        <v>1.75</v>
      </c>
      <c r="U3880" t="n">
        <v>1453.83</v>
      </c>
      <c r="X3880" t="inlineStr">
        <is>
          <t>acoa-apeca</t>
        </is>
      </c>
      <c r="Y3880" t="inlineStr">
        <is>
          <t>Atlantic Canada Opportunities Agency | Agence de promotion économique du Canada atlantique</t>
        </is>
      </c>
      <c r="Z3880" t="n">
        <v>2</v>
      </c>
      <c r="AA3880" t="n">
        <v>1453.83</v>
      </c>
      <c r="AB3880">
        <f>ROUND(U3880-AA3880,2)</f>
        <v/>
      </c>
      <c r="AC3880" t="b">
        <v>0</v>
      </c>
      <c r="AD3880">
        <f>IF(U3880="","MISSING_TOTAL",IF(ABS(AB3880)&lt;=0.01,"OK","CHECK"))</f>
        <v/>
      </c>
      <c r="AE3880">
        <f>IF(U3880="","MISSING",IF(AND(AA3880&gt;0,U3880/AA3880&gt;50),"POSSIBLE_SCALE_ERROR","OK"))</f>
        <v/>
      </c>
    </row>
    <row r="3881">
      <c r="A3881" t="inlineStr">
        <is>
          <t>T-2012-Q3-00007</t>
        </is>
      </c>
      <c r="B3881" t="inlineStr">
        <is>
          <t>SLE</t>
        </is>
      </c>
      <c r="C3881" t="inlineStr">
        <is>
          <t>Vice-President, Prince Edward Island</t>
        </is>
      </c>
      <c r="D3881" t="inlineStr">
        <is>
          <t>Vice-président, Île-du-Prince-Édouard</t>
        </is>
      </c>
      <c r="E3881" t="inlineStr">
        <is>
          <t>Patrick Dorsey</t>
        </is>
      </c>
      <c r="F3881" t="inlineStr">
        <is>
          <t>Meeting with ACOA Officials</t>
        </is>
      </c>
      <c r="G3881" t="inlineStr">
        <is>
          <t>Réunion avec des fonctionnaires de l'APECA</t>
        </is>
      </c>
      <c r="H3881" s="1" t="n">
        <v>40792</v>
      </c>
      <c r="I3881" s="1" t="n">
        <v>40793</v>
      </c>
      <c r="J3881" t="inlineStr">
        <is>
          <t>Ottawa, Ontario</t>
        </is>
      </c>
      <c r="K3881" t="inlineStr">
        <is>
          <t>Ottawa (Ontario)</t>
        </is>
      </c>
      <c r="P3881" t="n">
        <v>2191.99</v>
      </c>
      <c r="Q3881" t="n">
        <v>97</v>
      </c>
      <c r="R3881" t="n">
        <v>175.15</v>
      </c>
      <c r="S3881" t="n">
        <v>103.65</v>
      </c>
      <c r="T3881" t="n">
        <v>0</v>
      </c>
      <c r="U3881" t="n">
        <v>2567.79</v>
      </c>
      <c r="X3881" t="inlineStr">
        <is>
          <t>acoa-apeca</t>
        </is>
      </c>
      <c r="Y3881" t="inlineStr">
        <is>
          <t>Atlantic Canada Opportunities Agency | Agence de promotion économique du Canada atlantique</t>
        </is>
      </c>
      <c r="Z3881" t="n">
        <v>2</v>
      </c>
      <c r="AA3881" t="n">
        <v>2567.79</v>
      </c>
      <c r="AB3881">
        <f>ROUND(U3881-AA3881,2)</f>
        <v/>
      </c>
      <c r="AC3881" t="b">
        <v>0</v>
      </c>
      <c r="AD3881">
        <f>IF(U3881="","MISSING_TOTAL",IF(ABS(AB3881)&lt;=0.01,"OK","CHECK"))</f>
        <v/>
      </c>
      <c r="AE3881">
        <f>IF(U3881="","MISSING",IF(AND(AA3881&gt;0,U3881/AA3881&gt;50),"POSSIBLE_SCALE_ERROR","OK"))</f>
        <v/>
      </c>
    </row>
    <row r="3882">
      <c r="A3882" t="inlineStr">
        <is>
          <t>T-2012-Q3-00006</t>
        </is>
      </c>
      <c r="B3882" t="inlineStr">
        <is>
          <t>SLE</t>
        </is>
      </c>
      <c r="C3882" t="inlineStr">
        <is>
          <t>Vice President, Nova Scotia</t>
        </is>
      </c>
      <c r="D3882" t="inlineStr">
        <is>
          <t>Vice-président, Nouvelle-Écosse</t>
        </is>
      </c>
      <c r="E3882" t="inlineStr">
        <is>
          <t>Peter Hogan</t>
        </is>
      </c>
      <c r="F3882" t="inlineStr">
        <is>
          <t>Meeting with Agency officials</t>
        </is>
      </c>
      <c r="G3882" t="inlineStr">
        <is>
          <t>Réunion avec des fonctionnaires de l'Agence</t>
        </is>
      </c>
      <c r="H3882" s="1" t="n">
        <v>40792</v>
      </c>
      <c r="I3882" s="1" t="n">
        <v>40793</v>
      </c>
      <c r="J3882" t="inlineStr">
        <is>
          <t>Ottawa, Ontario</t>
        </is>
      </c>
      <c r="K3882" t="inlineStr">
        <is>
          <t>Ottawa (Ontario)</t>
        </is>
      </c>
      <c r="P3882" t="n">
        <v>862.05</v>
      </c>
      <c r="Q3882" t="n">
        <v>125.4</v>
      </c>
      <c r="R3882" t="n">
        <v>174.02</v>
      </c>
      <c r="S3882" t="n">
        <v>129.35</v>
      </c>
      <c r="T3882" t="n">
        <v>0</v>
      </c>
      <c r="U3882" t="n">
        <v>1290.82</v>
      </c>
      <c r="X3882" t="inlineStr">
        <is>
          <t>acoa-apeca</t>
        </is>
      </c>
      <c r="Y3882" t="inlineStr">
        <is>
          <t>Atlantic Canada Opportunities Agency | Agence de promotion économique du Canada atlantique</t>
        </is>
      </c>
      <c r="Z3882" t="n">
        <v>2</v>
      </c>
      <c r="AA3882" t="n">
        <v>1290.82</v>
      </c>
      <c r="AB3882">
        <f>ROUND(U3882-AA3882,2)</f>
        <v/>
      </c>
      <c r="AC3882" t="b">
        <v>0</v>
      </c>
      <c r="AD3882">
        <f>IF(U3882="","MISSING_TOTAL",IF(ABS(AB3882)&lt;=0.01,"OK","CHECK"))</f>
        <v/>
      </c>
      <c r="AE3882">
        <f>IF(U3882="","MISSING",IF(AND(AA3882&gt;0,U3882/AA3882&gt;50),"POSSIBLE_SCALE_ERROR","OK"))</f>
        <v/>
      </c>
    </row>
    <row r="3883">
      <c r="A3883" t="inlineStr">
        <is>
          <t>T-2012-Q3-00005</t>
        </is>
      </c>
      <c r="B3883" t="inlineStr">
        <is>
          <t>SLE</t>
        </is>
      </c>
      <c r="C3883" t="inlineStr">
        <is>
          <t>Vice-President, New Brunswick</t>
        </is>
      </c>
      <c r="D3883" t="inlineStr">
        <is>
          <t>Vice-présidente, Nouveau-Brunswick</t>
        </is>
      </c>
      <c r="E3883" t="inlineStr">
        <is>
          <t>Janet Gagnon</t>
        </is>
      </c>
      <c r="F3883" t="inlineStr">
        <is>
          <t>To attend the Strategic Operating Review meeting</t>
        </is>
      </c>
      <c r="G3883" t="inlineStr">
        <is>
          <t>Assister à la réunion sur l'Examen stratégique et fonctionnel</t>
        </is>
      </c>
      <c r="H3883" s="1" t="n">
        <v>40792</v>
      </c>
      <c r="I3883" s="1" t="n">
        <v>40793</v>
      </c>
      <c r="J3883" t="inlineStr">
        <is>
          <t>Ottawa, Ontario</t>
        </is>
      </c>
      <c r="K3883" t="inlineStr">
        <is>
          <t>Ottawa (Ontario)</t>
        </is>
      </c>
      <c r="P3883" t="n">
        <v>662.91</v>
      </c>
      <c r="Q3883" t="n">
        <v>39.55</v>
      </c>
      <c r="R3883" t="n">
        <v>174.02</v>
      </c>
      <c r="S3883" t="n">
        <v>129.35</v>
      </c>
      <c r="T3883" t="n">
        <v>20</v>
      </c>
      <c r="U3883" t="n">
        <v>1025.83</v>
      </c>
      <c r="X3883" t="inlineStr">
        <is>
          <t>acoa-apeca</t>
        </is>
      </c>
      <c r="Y3883" t="inlineStr">
        <is>
          <t>Atlantic Canada Opportunities Agency | Agence de promotion économique du Canada atlantique</t>
        </is>
      </c>
      <c r="Z3883" t="n">
        <v>2</v>
      </c>
      <c r="AA3883" t="n">
        <v>1025.83</v>
      </c>
      <c r="AB3883">
        <f>ROUND(U3883-AA3883,2)</f>
        <v/>
      </c>
      <c r="AC3883" t="b">
        <v>0</v>
      </c>
      <c r="AD3883">
        <f>IF(U3883="","MISSING_TOTAL",IF(ABS(AB3883)&lt;=0.01,"OK","CHECK"))</f>
        <v/>
      </c>
      <c r="AE3883">
        <f>IF(U3883="","MISSING",IF(AND(AA3883&gt;0,U3883/AA3883&gt;50),"POSSIBLE_SCALE_ERROR","OK"))</f>
        <v/>
      </c>
    </row>
    <row r="3884">
      <c r="A3884" t="inlineStr">
        <is>
          <t>T-2012-Q3-00004</t>
        </is>
      </c>
      <c r="B3884" t="inlineStr">
        <is>
          <t>SLE</t>
        </is>
      </c>
      <c r="C3884" t="inlineStr">
        <is>
          <t>President</t>
        </is>
      </c>
      <c r="D3884" t="inlineStr">
        <is>
          <t>Président</t>
        </is>
      </c>
      <c r="E3884" t="inlineStr">
        <is>
          <t>Paul J. LeBlanc</t>
        </is>
      </c>
      <c r="F3884" t="inlineStr">
        <is>
          <t>For various meetings and discussions with Agency officials</t>
        </is>
      </c>
      <c r="G3884" t="inlineStr">
        <is>
          <t>Diverses réunions et discussions avec des fonctionnaires de l'Agence</t>
        </is>
      </c>
      <c r="H3884" s="1" t="n">
        <v>40792</v>
      </c>
      <c r="I3884" s="1" t="n">
        <v>40794</v>
      </c>
      <c r="J3884" t="inlineStr">
        <is>
          <t>Ottawa, Ontario</t>
        </is>
      </c>
      <c r="K3884" t="inlineStr">
        <is>
          <t>Ottawa (Ontario)</t>
        </is>
      </c>
      <c r="P3884" t="n">
        <v>727.36</v>
      </c>
      <c r="Q3884" t="n">
        <v>30</v>
      </c>
      <c r="R3884" t="n">
        <v>348.04</v>
      </c>
      <c r="S3884" t="n">
        <v>160.8</v>
      </c>
      <c r="T3884" t="n">
        <v>113</v>
      </c>
      <c r="U3884" t="n">
        <v>1379.2</v>
      </c>
      <c r="X3884" t="inlineStr">
        <is>
          <t>acoa-apeca</t>
        </is>
      </c>
      <c r="Y3884" t="inlineStr">
        <is>
          <t>Atlantic Canada Opportunities Agency | Agence de promotion économique du Canada atlantique</t>
        </is>
      </c>
      <c r="Z3884" t="n">
        <v>3</v>
      </c>
      <c r="AA3884" t="n">
        <v>1379.2</v>
      </c>
      <c r="AB3884">
        <f>ROUND(U3884-AA3884,2)</f>
        <v/>
      </c>
      <c r="AC3884" t="b">
        <v>0</v>
      </c>
      <c r="AD3884">
        <f>IF(U3884="","MISSING_TOTAL",IF(ABS(AB3884)&lt;=0.01,"OK","CHECK"))</f>
        <v/>
      </c>
      <c r="AE3884">
        <f>IF(U3884="","MISSING",IF(AND(AA3884&gt;0,U3884/AA3884&gt;50),"POSSIBLE_SCALE_ERROR","OK"))</f>
        <v/>
      </c>
    </row>
    <row r="3885">
      <c r="A3885" t="inlineStr">
        <is>
          <t>T-2012-Q3-00002</t>
        </is>
      </c>
      <c r="B3885" t="inlineStr">
        <is>
          <t>SLE</t>
        </is>
      </c>
      <c r="C3885" t="inlineStr">
        <is>
          <t>Vice-President, Newfoundland and Labrador</t>
        </is>
      </c>
      <c r="D3885" t="inlineStr">
        <is>
          <t>Vice-président, Terre-Neuve-et-Labrador</t>
        </is>
      </c>
      <c r="E3885" t="inlineStr">
        <is>
          <t>Paul Mills</t>
        </is>
      </c>
      <c r="F3885" t="inlineStr">
        <is>
          <t>To attend meetings with senior government officials and training session</t>
        </is>
      </c>
      <c r="G3885" t="inlineStr">
        <is>
          <t>Assister à des réunions avec des hauts fonctionnaires du gouvernement et à une séance de formation</t>
        </is>
      </c>
      <c r="H3885" s="1" t="n">
        <v>40792</v>
      </c>
      <c r="I3885" s="1" t="n">
        <v>40798</v>
      </c>
      <c r="J3885" t="inlineStr">
        <is>
          <t>Toronto, ON</t>
        </is>
      </c>
      <c r="K3885" t="inlineStr">
        <is>
          <t>Toronto (Ontario)</t>
        </is>
      </c>
      <c r="P3885" t="n">
        <v>1993.69</v>
      </c>
      <c r="Q3885" t="n">
        <v>151</v>
      </c>
      <c r="R3885" t="n">
        <v>879.14</v>
      </c>
      <c r="S3885" t="n">
        <v>478.8</v>
      </c>
      <c r="T3885" t="n">
        <v>19.06</v>
      </c>
      <c r="U3885" t="n">
        <v>3521.69</v>
      </c>
      <c r="X3885" t="inlineStr">
        <is>
          <t>acoa-apeca</t>
        </is>
      </c>
      <c r="Y3885" t="inlineStr">
        <is>
          <t>Atlantic Canada Opportunities Agency | Agence de promotion économique du Canada atlantique</t>
        </is>
      </c>
      <c r="Z3885" t="n">
        <v>7</v>
      </c>
      <c r="AA3885" t="n">
        <v>3521.69</v>
      </c>
      <c r="AB3885">
        <f>ROUND(U3885-AA3885,2)</f>
        <v/>
      </c>
      <c r="AC3885" t="b">
        <v>0</v>
      </c>
      <c r="AD3885">
        <f>IF(U3885="","MISSING_TOTAL",IF(ABS(AB3885)&lt;=0.01,"OK","CHECK"))</f>
        <v/>
      </c>
      <c r="AE3885">
        <f>IF(U3885="","MISSING",IF(AND(AA3885&gt;0,U3885/AA3885&gt;50),"POSSIBLE_SCALE_ERROR","OK"))</f>
        <v/>
      </c>
    </row>
    <row r="3886">
      <c r="A3886" t="inlineStr">
        <is>
          <t>T-2012-Q2-00074</t>
        </is>
      </c>
      <c r="B3886" t="inlineStr">
        <is>
          <t>SLE</t>
        </is>
      </c>
      <c r="C3886" t="inlineStr">
        <is>
          <t>Vice-President, Finance and Corporate Services</t>
        </is>
      </c>
      <c r="D3886" t="inlineStr">
        <is>
          <t>Vice-présidente, Finances et Services corporatifs</t>
        </is>
      </c>
      <c r="E3886" t="inlineStr">
        <is>
          <t>Denise Frenette</t>
        </is>
      </c>
      <c r="F3886" t="inlineStr">
        <is>
          <t>For meetings and discussions with Agency officials</t>
        </is>
      </c>
      <c r="G3886" t="inlineStr">
        <is>
          <t>Réunions et discussions avec des fonctionnaires de l'Agence</t>
        </is>
      </c>
      <c r="H3886" s="1" t="n">
        <v>40785</v>
      </c>
      <c r="I3886" s="1" t="n">
        <v>40788</v>
      </c>
      <c r="J3886" t="inlineStr">
        <is>
          <t>Fredricton, New Brunswick; Halifax, Nova Scotia; St. John's, Newfoundland and Labrador; Charlottetown, Prince Edward Island</t>
        </is>
      </c>
      <c r="K3886" t="inlineStr">
        <is>
          <t>Fredericton (Nouveau-Brunswick) / Halifax (Nouvelle-Écosse) / St. John's (Terre-Neuve-et-Labrador) / Charlottetown (Île-du-Prince-Édouard)</t>
        </is>
      </c>
      <c r="P3886" t="n">
        <v>1500.53</v>
      </c>
      <c r="Q3886" t="n">
        <v>7.28</v>
      </c>
      <c r="R3886" t="n">
        <v>357.4</v>
      </c>
      <c r="S3886" t="n">
        <v>218.3</v>
      </c>
      <c r="T3886" t="n">
        <v>45</v>
      </c>
      <c r="U3886" t="n">
        <v>2128.51</v>
      </c>
      <c r="X3886" t="inlineStr">
        <is>
          <t>acoa-apeca</t>
        </is>
      </c>
      <c r="Y3886" t="inlineStr">
        <is>
          <t>Atlantic Canada Opportunities Agency | Agence de promotion économique du Canada atlantique</t>
        </is>
      </c>
      <c r="Z3886" t="n">
        <v>4</v>
      </c>
      <c r="AA3886" t="n">
        <v>2128.51</v>
      </c>
      <c r="AB3886">
        <f>ROUND(U3886-AA3886,2)</f>
        <v/>
      </c>
      <c r="AC3886" t="b">
        <v>0</v>
      </c>
      <c r="AD3886">
        <f>IF(U3886="","MISSING_TOTAL",IF(ABS(AB3886)&lt;=0.01,"OK","CHECK"))</f>
        <v/>
      </c>
      <c r="AE3886">
        <f>IF(U3886="","MISSING",IF(AND(AA3886&gt;0,U3886/AA3886&gt;50),"POSSIBLE_SCALE_ERROR","OK"))</f>
        <v/>
      </c>
    </row>
    <row r="3887">
      <c r="A3887" t="inlineStr">
        <is>
          <t>T-2012-Q2-00073</t>
        </is>
      </c>
      <c r="B3887" t="inlineStr">
        <is>
          <t>MPSES</t>
        </is>
      </c>
      <c r="C3887" t="inlineStr">
        <is>
          <t>Minister of State</t>
        </is>
      </c>
      <c r="D3887" t="inlineStr">
        <is>
          <t>Ministre d'État</t>
        </is>
      </c>
      <c r="E3887" t="inlineStr">
        <is>
          <t>Bernard Valcourt</t>
        </is>
      </c>
      <c r="F3887" t="inlineStr">
        <is>
          <t>Various meetings and announcements for ACOA</t>
        </is>
      </c>
      <c r="G3887" t="inlineStr">
        <is>
          <t>Rencontres diverses et annonces pour l'APECA</t>
        </is>
      </c>
      <c r="H3887" s="1" t="n">
        <v>40785</v>
      </c>
      <c r="I3887" s="1" t="n">
        <v>40787</v>
      </c>
      <c r="J3887" t="inlineStr">
        <is>
          <t>Moncton, New Brunswick</t>
        </is>
      </c>
      <c r="K3887" t="inlineStr">
        <is>
          <t>Moncton (Nouveau-Brunswick)</t>
        </is>
      </c>
      <c r="P3887" t="n">
        <v>0</v>
      </c>
      <c r="Q3887" t="n">
        <v>436.8</v>
      </c>
      <c r="R3887" t="n">
        <v>291.54</v>
      </c>
      <c r="S3887" t="n">
        <v>89.5</v>
      </c>
      <c r="T3887" t="n">
        <v>0</v>
      </c>
      <c r="U3887" t="n">
        <v>817.84</v>
      </c>
      <c r="X3887" t="inlineStr">
        <is>
          <t>acoa-apeca</t>
        </is>
      </c>
      <c r="Y3887" t="inlineStr">
        <is>
          <t>Atlantic Canada Opportunities Agency | Agence de promotion économique du Canada atlantique</t>
        </is>
      </c>
      <c r="Z3887" t="n">
        <v>3</v>
      </c>
      <c r="AA3887" t="n">
        <v>817.84</v>
      </c>
      <c r="AB3887">
        <f>ROUND(U3887-AA3887,2)</f>
        <v/>
      </c>
      <c r="AC3887" t="b">
        <v>0</v>
      </c>
      <c r="AD3887">
        <f>IF(U3887="","MISSING_TOTAL",IF(ABS(AB3887)&lt;=0.01,"OK","CHECK"))</f>
        <v/>
      </c>
      <c r="AE3887">
        <f>IF(U3887="","MISSING",IF(AND(AA3887&gt;0,U3887/AA3887&gt;50),"POSSIBLE_SCALE_ERROR","OK"))</f>
        <v/>
      </c>
    </row>
    <row r="3888">
      <c r="A3888" t="inlineStr">
        <is>
          <t>T-2012-Q2-00072</t>
        </is>
      </c>
      <c r="B3888" t="inlineStr">
        <is>
          <t>SLE</t>
        </is>
      </c>
      <c r="C3888" t="inlineStr">
        <is>
          <t>Vice President, Nova Scotia</t>
        </is>
      </c>
      <c r="D3888" t="inlineStr">
        <is>
          <t>Vice-président, Nouvelle-Écosse</t>
        </is>
      </c>
      <c r="E3888" t="inlineStr">
        <is>
          <t>Peter Hogan</t>
        </is>
      </c>
      <c r="F3888" t="inlineStr">
        <is>
          <t>Meeting with Senior Government of Canada Officials</t>
        </is>
      </c>
      <c r="G3888" t="inlineStr">
        <is>
          <t>Réunion avec des hauts fonctionnaires du gouvernement du Canada</t>
        </is>
      </c>
      <c r="H3888" s="1" t="n">
        <v>40780</v>
      </c>
      <c r="I3888" s="1" t="n">
        <v>40780</v>
      </c>
      <c r="J3888" t="inlineStr">
        <is>
          <t>Moncton, NB</t>
        </is>
      </c>
      <c r="K3888" t="inlineStr">
        <is>
          <t>Moncton (Nouveau-Brunswick)</t>
        </is>
      </c>
      <c r="P3888" t="n">
        <v>0</v>
      </c>
      <c r="Q3888" t="n">
        <v>251.45</v>
      </c>
      <c r="R3888" t="n">
        <v>0</v>
      </c>
      <c r="S3888" t="n">
        <v>0</v>
      </c>
      <c r="T3888" t="n">
        <v>16</v>
      </c>
      <c r="U3888" t="n">
        <v>267.45</v>
      </c>
      <c r="X3888" t="inlineStr">
        <is>
          <t>acoa-apeca</t>
        </is>
      </c>
      <c r="Y3888" t="inlineStr">
        <is>
          <t>Atlantic Canada Opportunities Agency | Agence de promotion économique du Canada atlantique</t>
        </is>
      </c>
      <c r="Z3888" t="n">
        <v>1</v>
      </c>
      <c r="AA3888" t="n">
        <v>267.45</v>
      </c>
      <c r="AB3888">
        <f>ROUND(U3888-AA3888,2)</f>
        <v/>
      </c>
      <c r="AC3888" t="b">
        <v>0</v>
      </c>
      <c r="AD3888">
        <f>IF(U3888="","MISSING_TOTAL",IF(ABS(AB3888)&lt;=0.01,"OK","CHECK"))</f>
        <v/>
      </c>
      <c r="AE3888">
        <f>IF(U3888="","MISSING",IF(AND(AA3888&gt;0,U3888/AA3888&gt;50),"POSSIBLE_SCALE_ERROR","OK"))</f>
        <v/>
      </c>
    </row>
    <row r="3889">
      <c r="A3889" t="inlineStr">
        <is>
          <t>T-2012-Q2-00071</t>
        </is>
      </c>
      <c r="B3889" t="inlineStr">
        <is>
          <t>MPSES</t>
        </is>
      </c>
      <c r="C3889" t="inlineStr">
        <is>
          <t>Chief of Staff</t>
        </is>
      </c>
      <c r="D3889" t="inlineStr">
        <is>
          <t>Chef de cabinet</t>
        </is>
      </c>
      <c r="E3889" t="inlineStr">
        <is>
          <t>Mélisa Leclerc</t>
        </is>
      </c>
      <c r="F3889" t="inlineStr">
        <is>
          <t>Attend various announcements and ACOA related meetings with MOS</t>
        </is>
      </c>
      <c r="G3889" t="inlineStr">
        <is>
          <t>Assister à diverses annonces et à des réunions de l'APECA avec le ministre d'État</t>
        </is>
      </c>
      <c r="H3889" s="1" t="n">
        <v>40779</v>
      </c>
      <c r="I3889" s="1" t="n">
        <v>40791</v>
      </c>
      <c r="J3889" t="inlineStr">
        <is>
          <t>Rivière-du-Loup, Trois-Pistoles, Québec / Moncton, New Brunswick</t>
        </is>
      </c>
      <c r="K3889" t="inlineStr">
        <is>
          <t>Rivière-du-Loup, Trois-Pistoles (Québec) / Moncton (Nouveau-Brunswick)</t>
        </is>
      </c>
      <c r="P3889" t="n">
        <v>199.22</v>
      </c>
      <c r="Q3889" t="n">
        <v>0</v>
      </c>
      <c r="R3889" t="n">
        <v>386.31</v>
      </c>
      <c r="S3889" t="n">
        <v>207.3</v>
      </c>
      <c r="T3889" t="n">
        <v>0</v>
      </c>
      <c r="U3889" t="n">
        <v>792.83</v>
      </c>
      <c r="X3889" t="inlineStr">
        <is>
          <t>acoa-apeca</t>
        </is>
      </c>
      <c r="Y3889" t="inlineStr">
        <is>
          <t>Atlantic Canada Opportunities Agency | Agence de promotion économique du Canada atlantique</t>
        </is>
      </c>
      <c r="Z3889" t="n">
        <v>13</v>
      </c>
      <c r="AA3889" t="n">
        <v>792.829999999999</v>
      </c>
      <c r="AB3889">
        <f>ROUND(U3889-AA3889,2)</f>
        <v/>
      </c>
      <c r="AC3889" t="b">
        <v>0</v>
      </c>
      <c r="AD3889">
        <f>IF(U3889="","MISSING_TOTAL",IF(ABS(AB3889)&lt;=0.01,"OK","CHECK"))</f>
        <v/>
      </c>
      <c r="AE3889">
        <f>IF(U3889="","MISSING",IF(AND(AA3889&gt;0,U3889/AA3889&gt;50),"POSSIBLE_SCALE_ERROR","OK"))</f>
        <v/>
      </c>
    </row>
    <row r="3890">
      <c r="A3890" t="inlineStr">
        <is>
          <t>T-2012-Q2-00070</t>
        </is>
      </c>
      <c r="B3890" t="inlineStr">
        <is>
          <t>MPSES</t>
        </is>
      </c>
      <c r="C3890" t="inlineStr">
        <is>
          <t>Minister of State</t>
        </is>
      </c>
      <c r="D3890" t="inlineStr">
        <is>
          <t>Ministre d'État</t>
        </is>
      </c>
      <c r="E3890" t="inlineStr">
        <is>
          <t>Bernard Valcourt</t>
        </is>
      </c>
      <c r="F3890" t="inlineStr">
        <is>
          <t>Various meetings and announcements for ACOA and Transport Canada</t>
        </is>
      </c>
      <c r="G3890" t="inlineStr">
        <is>
          <t>Rencontres diverses et annonces pour l'APECA et Transports Canada</t>
        </is>
      </c>
      <c r="H3890" s="1" t="n">
        <v>40779</v>
      </c>
      <c r="I3890" s="1" t="n">
        <v>40781</v>
      </c>
      <c r="J3890" t="inlineStr">
        <is>
          <t>Rivière-du-Loup, Trois-Pistoles, Québec</t>
        </is>
      </c>
      <c r="K3890" t="inlineStr">
        <is>
          <t>Rivière-du-Loup, Trois-Pistoles (Québec)</t>
        </is>
      </c>
      <c r="P3890" t="n">
        <v>128.33</v>
      </c>
      <c r="Q3890" t="n">
        <v>324.48</v>
      </c>
      <c r="R3890" t="n">
        <v>240.64</v>
      </c>
      <c r="S3890" t="n">
        <v>143.6</v>
      </c>
      <c r="T3890" t="n">
        <v>0</v>
      </c>
      <c r="U3890" t="n">
        <v>837.05</v>
      </c>
      <c r="X3890" t="inlineStr">
        <is>
          <t>acoa-apeca</t>
        </is>
      </c>
      <c r="Y3890" t="inlineStr">
        <is>
          <t>Atlantic Canada Opportunities Agency | Agence de promotion économique du Canada atlantique</t>
        </is>
      </c>
      <c r="Z3890" t="n">
        <v>3</v>
      </c>
      <c r="AA3890" t="n">
        <v>837.05</v>
      </c>
      <c r="AB3890">
        <f>ROUND(U3890-AA3890,2)</f>
        <v/>
      </c>
      <c r="AC3890" t="b">
        <v>0</v>
      </c>
      <c r="AD3890">
        <f>IF(U3890="","MISSING_TOTAL",IF(ABS(AB3890)&lt;=0.01,"OK","CHECK"))</f>
        <v/>
      </c>
      <c r="AE3890">
        <f>IF(U3890="","MISSING",IF(AND(AA3890&gt;0,U3890/AA3890&gt;50),"POSSIBLE_SCALE_ERROR","OK"))</f>
        <v/>
      </c>
    </row>
    <row r="3891">
      <c r="A3891" t="inlineStr">
        <is>
          <t>T-2012-Q2-00068</t>
        </is>
      </c>
      <c r="B3891" t="inlineStr">
        <is>
          <t>SLE</t>
        </is>
      </c>
      <c r="C3891" t="inlineStr">
        <is>
          <t>Vice-President, New Brunswick</t>
        </is>
      </c>
      <c r="D3891" t="inlineStr">
        <is>
          <t>Vice-présidente, Nouveau-Brunswick</t>
        </is>
      </c>
      <c r="E3891" t="inlineStr">
        <is>
          <t>Janet Gagnon</t>
        </is>
      </c>
      <c r="F3891" t="inlineStr">
        <is>
          <t>To attend a meeting with the ACOA President</t>
        </is>
      </c>
      <c r="G3891" t="inlineStr">
        <is>
          <t>Assister à une réunion avec le président de l'APECA</t>
        </is>
      </c>
      <c r="H3891" s="1" t="n">
        <v>40779</v>
      </c>
      <c r="I3891" s="1" t="n">
        <v>40780</v>
      </c>
      <c r="J3891" t="inlineStr">
        <is>
          <t>Moncton, New Brunswick</t>
        </is>
      </c>
      <c r="K3891" t="inlineStr">
        <is>
          <t>Moncton (Nouveau-Brunswick)</t>
        </is>
      </c>
      <c r="P3891" t="n">
        <v>0</v>
      </c>
      <c r="Q3891" t="n">
        <v>0</v>
      </c>
      <c r="R3891" t="n">
        <v>50</v>
      </c>
      <c r="S3891" t="n">
        <v>129.35</v>
      </c>
      <c r="T3891" t="n">
        <v>17</v>
      </c>
      <c r="U3891" t="n">
        <v>196.35</v>
      </c>
      <c r="X3891" t="inlineStr">
        <is>
          <t>acoa-apeca</t>
        </is>
      </c>
      <c r="Y3891" t="inlineStr">
        <is>
          <t>Atlantic Canada Opportunities Agency | Agence de promotion économique du Canada atlantique</t>
        </is>
      </c>
      <c r="Z3891" t="n">
        <v>2</v>
      </c>
      <c r="AA3891" t="n">
        <v>196.35</v>
      </c>
      <c r="AB3891">
        <f>ROUND(U3891-AA3891,2)</f>
        <v/>
      </c>
      <c r="AC3891" t="b">
        <v>0</v>
      </c>
      <c r="AD3891">
        <f>IF(U3891="","MISSING_TOTAL",IF(ABS(AB3891)&lt;=0.01,"OK","CHECK"))</f>
        <v/>
      </c>
      <c r="AE3891">
        <f>IF(U3891="","MISSING",IF(AND(AA3891&gt;0,U3891/AA3891&gt;50),"POSSIBLE_SCALE_ERROR","OK"))</f>
        <v/>
      </c>
    </row>
    <row r="3892">
      <c r="A3892" t="inlineStr">
        <is>
          <t>T-2012-Q2-00066</t>
        </is>
      </c>
      <c r="B3892" t="inlineStr">
        <is>
          <t>SLE</t>
        </is>
      </c>
      <c r="C3892" t="inlineStr">
        <is>
          <t>Vice-President, Newfoundland and Labrador</t>
        </is>
      </c>
      <c r="D3892" t="inlineStr">
        <is>
          <t>Vice-président, Terre-Neuve-et-Labrador</t>
        </is>
      </c>
      <c r="E3892" t="inlineStr">
        <is>
          <t>Paul Mills</t>
        </is>
      </c>
      <c r="F3892" t="inlineStr">
        <is>
          <t>To attend meeting with senior Agency officials</t>
        </is>
      </c>
      <c r="G3892" t="inlineStr">
        <is>
          <t>Assister à une réunion avec des hauts fonctionnaires de l'Agence</t>
        </is>
      </c>
      <c r="H3892" s="1" t="n">
        <v>40779</v>
      </c>
      <c r="I3892" s="1" t="n">
        <v>40781</v>
      </c>
      <c r="J3892" t="inlineStr">
        <is>
          <t>Moncton, New Brunswick</t>
        </is>
      </c>
      <c r="K3892" t="inlineStr">
        <is>
          <t>Moncton (Nouveau-Brunswick)</t>
        </is>
      </c>
      <c r="P3892" t="n">
        <v>1329.26</v>
      </c>
      <c r="Q3892" t="n">
        <v>320.55</v>
      </c>
      <c r="R3892" t="n">
        <v>175.85</v>
      </c>
      <c r="S3892" t="n">
        <v>291.27</v>
      </c>
      <c r="T3892" t="n">
        <v>7.33</v>
      </c>
      <c r="U3892" t="n">
        <v>2124.26</v>
      </c>
      <c r="X3892" t="inlineStr">
        <is>
          <t>acoa-apeca</t>
        </is>
      </c>
      <c r="Y3892" t="inlineStr">
        <is>
          <t>Atlantic Canada Opportunities Agency | Agence de promotion économique du Canada atlantique</t>
        </is>
      </c>
      <c r="Z3892" t="n">
        <v>3</v>
      </c>
      <c r="AA3892" t="n">
        <v>2124.25999999999</v>
      </c>
      <c r="AB3892">
        <f>ROUND(U3892-AA3892,2)</f>
        <v/>
      </c>
      <c r="AC3892" t="b">
        <v>0</v>
      </c>
      <c r="AD3892">
        <f>IF(U3892="","MISSING_TOTAL",IF(ABS(AB3892)&lt;=0.01,"OK","CHECK"))</f>
        <v/>
      </c>
      <c r="AE3892">
        <f>IF(U3892="","MISSING",IF(AND(AA3892&gt;0,U3892/AA3892&gt;50),"POSSIBLE_SCALE_ERROR","OK"))</f>
        <v/>
      </c>
    </row>
    <row r="3893">
      <c r="A3893" t="inlineStr">
        <is>
          <t>T-2012-Q2-00062</t>
        </is>
      </c>
      <c r="B3893" t="inlineStr">
        <is>
          <t>SLE</t>
        </is>
      </c>
      <c r="C3893" t="inlineStr">
        <is>
          <t>Vice President, Nova Scotia</t>
        </is>
      </c>
      <c r="D3893" t="inlineStr">
        <is>
          <t>Vice-président, Nouvelle-Écosse</t>
        </is>
      </c>
      <c r="E3893" t="inlineStr">
        <is>
          <t>Peter Hogan</t>
        </is>
      </c>
      <c r="F3893" t="inlineStr">
        <is>
          <t>Attend various meetings and annoucements with Minister</t>
        </is>
      </c>
      <c r="G3893" t="inlineStr">
        <is>
          <t>Assister à diverses réunions et annonces avec le ministre</t>
        </is>
      </c>
      <c r="H3893" s="1" t="n">
        <v>40772</v>
      </c>
      <c r="I3893" s="1" t="n">
        <v>40773</v>
      </c>
      <c r="J3893" t="inlineStr">
        <is>
          <t>Yarmouth, NS</t>
        </is>
      </c>
      <c r="K3893" t="inlineStr">
        <is>
          <t>Yarmouth (Nouvelle-Écosse)</t>
        </is>
      </c>
      <c r="P3893" t="n">
        <v>0</v>
      </c>
      <c r="Q3893" t="n">
        <v>0</v>
      </c>
      <c r="R3893" t="n">
        <v>123.05</v>
      </c>
      <c r="S3893" t="n">
        <v>103.65</v>
      </c>
      <c r="T3893" t="n">
        <v>0</v>
      </c>
      <c r="U3893" t="n">
        <v>226.7</v>
      </c>
      <c r="X3893" t="inlineStr">
        <is>
          <t>acoa-apeca</t>
        </is>
      </c>
      <c r="Y3893" t="inlineStr">
        <is>
          <t>Atlantic Canada Opportunities Agency | Agence de promotion économique du Canada atlantique</t>
        </is>
      </c>
      <c r="Z3893" t="n">
        <v>2</v>
      </c>
      <c r="AA3893" t="n">
        <v>226.7</v>
      </c>
      <c r="AB3893">
        <f>ROUND(U3893-AA3893,2)</f>
        <v/>
      </c>
      <c r="AC3893" t="b">
        <v>0</v>
      </c>
      <c r="AD3893">
        <f>IF(U3893="","MISSING_TOTAL",IF(ABS(AB3893)&lt;=0.01,"OK","CHECK"))</f>
        <v/>
      </c>
      <c r="AE3893">
        <f>IF(U3893="","MISSING",IF(AND(AA3893&gt;0,U3893/AA3893&gt;50),"POSSIBLE_SCALE_ERROR","OK"))</f>
        <v/>
      </c>
    </row>
    <row r="3894">
      <c r="A3894" t="inlineStr">
        <is>
          <t>T-2012-Q2-00061</t>
        </is>
      </c>
      <c r="B3894" t="inlineStr">
        <is>
          <t>MPSES</t>
        </is>
      </c>
      <c r="C3894" t="inlineStr">
        <is>
          <t>Minister of State</t>
        </is>
      </c>
      <c r="D3894" t="inlineStr">
        <is>
          <t>Ministre d'État</t>
        </is>
      </c>
      <c r="E3894" t="inlineStr">
        <is>
          <t>Bernard Valcourt</t>
        </is>
      </c>
      <c r="F3894" t="inlineStr">
        <is>
          <t>Atlantic caucus meeting and various meetings and announcements for ACOA</t>
        </is>
      </c>
      <c r="G3894" t="inlineStr">
        <is>
          <t>Rencontre du caucus de l'Atlantique et diverses rencontres et annonces pour l'APECA</t>
        </is>
      </c>
      <c r="H3894" s="1" t="n">
        <v>40771</v>
      </c>
      <c r="I3894" s="1" t="n">
        <v>40773</v>
      </c>
      <c r="J3894" t="inlineStr">
        <is>
          <t>Halifax and Digby, Nova Scotia</t>
        </is>
      </c>
      <c r="K3894" t="inlineStr">
        <is>
          <t>Halifax et Digby (Nouvelle-Écosse)</t>
        </is>
      </c>
      <c r="P3894" t="n">
        <v>1672.43</v>
      </c>
      <c r="Q3894" t="n">
        <v>0</v>
      </c>
      <c r="R3894" t="n">
        <v>111.55</v>
      </c>
      <c r="S3894" t="n">
        <v>103.65</v>
      </c>
      <c r="T3894" t="n">
        <v>4.36</v>
      </c>
      <c r="U3894" t="n">
        <v>1891.99</v>
      </c>
      <c r="X3894" t="inlineStr">
        <is>
          <t>acoa-apeca</t>
        </is>
      </c>
      <c r="Y3894" t="inlineStr">
        <is>
          <t>Atlantic Canada Opportunities Agency | Agence de promotion économique du Canada atlantique</t>
        </is>
      </c>
      <c r="Z3894" t="n">
        <v>3</v>
      </c>
      <c r="AA3894" t="n">
        <v>1891.99</v>
      </c>
      <c r="AB3894">
        <f>ROUND(U3894-AA3894,2)</f>
        <v/>
      </c>
      <c r="AC3894" t="b">
        <v>0</v>
      </c>
      <c r="AD3894">
        <f>IF(U3894="","MISSING_TOTAL",IF(ABS(AB3894)&lt;=0.01,"OK","CHECK"))</f>
        <v/>
      </c>
      <c r="AE3894">
        <f>IF(U3894="","MISSING",IF(AND(AA3894&gt;0,U3894/AA3894&gt;50),"POSSIBLE_SCALE_ERROR","OK"))</f>
        <v/>
      </c>
    </row>
    <row r="3895">
      <c r="A3895" t="inlineStr">
        <is>
          <t>T-2012-Q2-00060</t>
        </is>
      </c>
      <c r="B3895" t="inlineStr">
        <is>
          <t>MPSES</t>
        </is>
      </c>
      <c r="C3895" t="inlineStr">
        <is>
          <t>Executive Assistant and Press Secretary</t>
        </is>
      </c>
      <c r="D3895" t="inlineStr">
        <is>
          <t>Adjointe exécutive et attaché de presse</t>
        </is>
      </c>
      <c r="E3895" t="inlineStr">
        <is>
          <t>Andrea Richer</t>
        </is>
      </c>
      <c r="F3895" t="inlineStr">
        <is>
          <t>Travel to attend various ACOA meetings &amp; announcements with MoS</t>
        </is>
      </c>
      <c r="G3895" t="inlineStr">
        <is>
          <t>Assister à diverses réunions et annonces de l'APECA avec le ministre d'État</t>
        </is>
      </c>
      <c r="H3895" s="1" t="n">
        <v>40771</v>
      </c>
      <c r="I3895" s="1" t="n">
        <v>40773</v>
      </c>
      <c r="J3895" t="inlineStr">
        <is>
          <t>Halifax, Digby County and Yarmouth, Nova Scotia</t>
        </is>
      </c>
      <c r="K3895" t="inlineStr">
        <is>
          <t>Halifax, comté de Digby et Yarmouth (Nouvelle-Écosse)</t>
        </is>
      </c>
      <c r="P3895" t="n">
        <v>628.4299999999999</v>
      </c>
      <c r="Q3895" t="n">
        <v>0</v>
      </c>
      <c r="R3895" t="n">
        <v>306.06</v>
      </c>
      <c r="S3895" t="n">
        <v>103.65</v>
      </c>
      <c r="T3895" t="n">
        <v>0</v>
      </c>
      <c r="U3895" t="n">
        <v>1038.14</v>
      </c>
      <c r="X3895" t="inlineStr">
        <is>
          <t>acoa-apeca</t>
        </is>
      </c>
      <c r="Y3895" t="inlineStr">
        <is>
          <t>Atlantic Canada Opportunities Agency | Agence de promotion économique du Canada atlantique</t>
        </is>
      </c>
      <c r="Z3895" t="n">
        <v>3</v>
      </c>
      <c r="AA3895" t="n">
        <v>1038.14</v>
      </c>
      <c r="AB3895">
        <f>ROUND(U3895-AA3895,2)</f>
        <v/>
      </c>
      <c r="AC3895" t="b">
        <v>0</v>
      </c>
      <c r="AD3895">
        <f>IF(U3895="","MISSING_TOTAL",IF(ABS(AB3895)&lt;=0.01,"OK","CHECK"))</f>
        <v/>
      </c>
      <c r="AE3895">
        <f>IF(U3895="","MISSING",IF(AND(AA3895&gt;0,U3895/AA3895&gt;50),"POSSIBLE_SCALE_ERROR","OK"))</f>
        <v/>
      </c>
    </row>
    <row r="3896">
      <c r="A3896" t="inlineStr">
        <is>
          <t>T-2012-Q2-00059</t>
        </is>
      </c>
      <c r="B3896" t="inlineStr">
        <is>
          <t>SLE</t>
        </is>
      </c>
      <c r="C3896" t="inlineStr">
        <is>
          <t>President</t>
        </is>
      </c>
      <c r="D3896" t="inlineStr">
        <is>
          <t>Président</t>
        </is>
      </c>
      <c r="E3896" t="inlineStr">
        <is>
          <t>Paul J. LeBlanc</t>
        </is>
      </c>
      <c r="F3896" t="inlineStr">
        <is>
          <t>For various meetings and discussions with Agency officials</t>
        </is>
      </c>
      <c r="G3896" t="inlineStr">
        <is>
          <t>Diverses réunions et discussions avec des fonctionnaires de l'Agence</t>
        </is>
      </c>
      <c r="H3896" s="1" t="n">
        <v>40770</v>
      </c>
      <c r="I3896" s="1" t="n">
        <v>40771</v>
      </c>
      <c r="J3896" t="inlineStr">
        <is>
          <t>Halifax, Nova Scotia</t>
        </is>
      </c>
      <c r="K3896" t="inlineStr">
        <is>
          <t>Halifax (Nouvelle-Écosse)</t>
        </is>
      </c>
      <c r="P3896" t="n">
        <v>0</v>
      </c>
      <c r="Q3896" t="n">
        <v>0</v>
      </c>
      <c r="R3896" t="n">
        <v>174.78</v>
      </c>
      <c r="S3896" t="n">
        <v>129.35</v>
      </c>
      <c r="T3896" t="n">
        <v>80.77</v>
      </c>
      <c r="U3896" t="n">
        <v>384.9</v>
      </c>
      <c r="X3896" t="inlineStr">
        <is>
          <t>acoa-apeca</t>
        </is>
      </c>
      <c r="Y3896" t="inlineStr">
        <is>
          <t>Atlantic Canada Opportunities Agency | Agence de promotion économique du Canada atlantique</t>
        </is>
      </c>
      <c r="Z3896" t="n">
        <v>2</v>
      </c>
      <c r="AA3896" t="n">
        <v>384.9</v>
      </c>
      <c r="AB3896">
        <f>ROUND(U3896-AA3896,2)</f>
        <v/>
      </c>
      <c r="AC3896" t="b">
        <v>0</v>
      </c>
      <c r="AD3896">
        <f>IF(U3896="","MISSING_TOTAL",IF(ABS(AB3896)&lt;=0.01,"OK","CHECK"))</f>
        <v/>
      </c>
      <c r="AE3896">
        <f>IF(U3896="","MISSING",IF(AND(AA3896&gt;0,U3896/AA3896&gt;50),"POSSIBLE_SCALE_ERROR","OK"))</f>
        <v/>
      </c>
    </row>
    <row r="3897">
      <c r="A3897" t="inlineStr">
        <is>
          <t>T-2012-Q2-00057</t>
        </is>
      </c>
      <c r="B3897" t="inlineStr">
        <is>
          <t>SLE</t>
        </is>
      </c>
      <c r="C3897" t="inlineStr">
        <is>
          <t>Vice-President, Prince Edward Island</t>
        </is>
      </c>
      <c r="D3897" t="inlineStr">
        <is>
          <t>Vice-président, Île-du-Prince-Édouard</t>
        </is>
      </c>
      <c r="E3897" t="inlineStr">
        <is>
          <t>Patrick Dorsey</t>
        </is>
      </c>
      <c r="F3897" t="inlineStr">
        <is>
          <t>Meeting with ACOA Officials</t>
        </is>
      </c>
      <c r="G3897" t="inlineStr">
        <is>
          <t>Réunion avec des fonctionnaires de l'APECA</t>
        </is>
      </c>
      <c r="H3897" s="1" t="n">
        <v>40763</v>
      </c>
      <c r="I3897" s="1" t="n">
        <v>40763</v>
      </c>
      <c r="J3897" t="inlineStr">
        <is>
          <t>Moncton, New Brunswick</t>
        </is>
      </c>
      <c r="K3897" t="inlineStr">
        <is>
          <t>Moncton (Nouveau-Brunswick)</t>
        </is>
      </c>
      <c r="P3897" t="n">
        <v>0</v>
      </c>
      <c r="Q3897" t="n">
        <v>62.25</v>
      </c>
      <c r="R3897" t="n">
        <v>0</v>
      </c>
      <c r="S3897" t="n">
        <v>15.05</v>
      </c>
      <c r="T3897" t="n">
        <v>0</v>
      </c>
      <c r="U3897" t="n">
        <v>77.3</v>
      </c>
      <c r="X3897" t="inlineStr">
        <is>
          <t>acoa-apeca</t>
        </is>
      </c>
      <c r="Y3897" t="inlineStr">
        <is>
          <t>Atlantic Canada Opportunities Agency | Agence de promotion économique du Canada atlantique</t>
        </is>
      </c>
      <c r="Z3897" t="n">
        <v>1</v>
      </c>
      <c r="AA3897" t="n">
        <v>77.3</v>
      </c>
      <c r="AB3897">
        <f>ROUND(U3897-AA3897,2)</f>
        <v/>
      </c>
      <c r="AC3897" t="b">
        <v>0</v>
      </c>
      <c r="AD3897">
        <f>IF(U3897="","MISSING_TOTAL",IF(ABS(AB3897)&lt;=0.01,"OK","CHECK"))</f>
        <v/>
      </c>
      <c r="AE3897">
        <f>IF(U3897="","MISSING",IF(AND(AA3897&gt;0,U3897/AA3897&gt;50),"POSSIBLE_SCALE_ERROR","OK"))</f>
        <v/>
      </c>
    </row>
    <row r="3898">
      <c r="A3898" t="inlineStr">
        <is>
          <t>T-2012-Q2-00055</t>
        </is>
      </c>
      <c r="B3898" t="inlineStr">
        <is>
          <t>SLE</t>
        </is>
      </c>
      <c r="C3898" t="inlineStr">
        <is>
          <t>Vice-President, Newfoundland and Labrador</t>
        </is>
      </c>
      <c r="D3898" t="inlineStr">
        <is>
          <t>Vice-président, Terre-Neuve-et-Labrador</t>
        </is>
      </c>
      <c r="E3898" t="inlineStr">
        <is>
          <t>Paul Mills</t>
        </is>
      </c>
      <c r="F3898" t="inlineStr">
        <is>
          <t>To participate in Field Office Site Visit</t>
        </is>
      </c>
      <c r="G3898" t="inlineStr">
        <is>
          <t>Participer à une visite de bureau régional</t>
        </is>
      </c>
      <c r="H3898" s="1" t="n">
        <v>40756</v>
      </c>
      <c r="I3898" s="1" t="n">
        <v>40759</v>
      </c>
      <c r="J3898" t="inlineStr">
        <is>
          <t>Corner Brook, Newfoundland</t>
        </is>
      </c>
      <c r="K3898" t="inlineStr">
        <is>
          <t>Corner Brook (Terre-Neuve-et-Labrador)</t>
        </is>
      </c>
      <c r="P3898" t="n">
        <v>0</v>
      </c>
      <c r="Q3898" t="n">
        <v>927.96</v>
      </c>
      <c r="R3898" t="n">
        <v>511.42</v>
      </c>
      <c r="S3898" t="n">
        <v>330.35</v>
      </c>
      <c r="T3898" t="n">
        <v>10.53</v>
      </c>
      <c r="U3898" t="n">
        <v>1780.26</v>
      </c>
      <c r="X3898" t="inlineStr">
        <is>
          <t>acoa-apeca</t>
        </is>
      </c>
      <c r="Y3898" t="inlineStr">
        <is>
          <t>Atlantic Canada Opportunities Agency | Agence de promotion économique du Canada atlantique</t>
        </is>
      </c>
      <c r="Z3898" t="n">
        <v>4</v>
      </c>
      <c r="AA3898" t="n">
        <v>1780.26</v>
      </c>
      <c r="AB3898">
        <f>ROUND(U3898-AA3898,2)</f>
        <v/>
      </c>
      <c r="AC3898" t="b">
        <v>0</v>
      </c>
      <c r="AD3898">
        <f>IF(U3898="","MISSING_TOTAL",IF(ABS(AB3898)&lt;=0.01,"OK","CHECK"))</f>
        <v/>
      </c>
      <c r="AE3898">
        <f>IF(U3898="","MISSING",IF(AND(AA3898&gt;0,U3898/AA3898&gt;50),"POSSIBLE_SCALE_ERROR","OK"))</f>
        <v/>
      </c>
    </row>
    <row r="3899">
      <c r="A3899" t="inlineStr">
        <is>
          <t>T-2012-Q2-00054</t>
        </is>
      </c>
      <c r="B3899" t="inlineStr">
        <is>
          <t>SLE</t>
        </is>
      </c>
      <c r="C3899" t="inlineStr">
        <is>
          <t>Vice President, Nova Scotia</t>
        </is>
      </c>
      <c r="D3899" t="inlineStr">
        <is>
          <t>Vice-président, Nouvelle-Écosse</t>
        </is>
      </c>
      <c r="E3899" t="inlineStr">
        <is>
          <t>Peter Hogan</t>
        </is>
      </c>
      <c r="F3899" t="inlineStr">
        <is>
          <t>Meeting with Senior Government of Canada Officials</t>
        </is>
      </c>
      <c r="G3899" t="inlineStr">
        <is>
          <t>Réunion avec des hauts fonctionnaires du gouvernement du Canada</t>
        </is>
      </c>
      <c r="H3899" s="1" t="n">
        <v>40752</v>
      </c>
      <c r="I3899" s="1" t="n">
        <v>40752</v>
      </c>
      <c r="J3899" t="inlineStr">
        <is>
          <t>Moncton, NB</t>
        </is>
      </c>
      <c r="K3899" t="inlineStr">
        <is>
          <t>Moncton (Nouveau-Brunswick)</t>
        </is>
      </c>
      <c r="P3899" t="n">
        <v>0</v>
      </c>
      <c r="Q3899" t="n">
        <v>288.36</v>
      </c>
      <c r="R3899" t="n">
        <v>0</v>
      </c>
      <c r="S3899" t="n">
        <v>0</v>
      </c>
      <c r="T3899" t="n">
        <v>22</v>
      </c>
      <c r="U3899" t="n">
        <v>310.36</v>
      </c>
      <c r="X3899" t="inlineStr">
        <is>
          <t>acoa-apeca</t>
        </is>
      </c>
      <c r="Y3899" t="inlineStr">
        <is>
          <t>Atlantic Canada Opportunities Agency | Agence de promotion économique du Canada atlantique</t>
        </is>
      </c>
      <c r="Z3899" t="n">
        <v>1</v>
      </c>
      <c r="AA3899" t="n">
        <v>310.36</v>
      </c>
      <c r="AB3899">
        <f>ROUND(U3899-AA3899,2)</f>
        <v/>
      </c>
      <c r="AC3899" t="b">
        <v>0</v>
      </c>
      <c r="AD3899">
        <f>IF(U3899="","MISSING_TOTAL",IF(ABS(AB3899)&lt;=0.01,"OK","CHECK"))</f>
        <v/>
      </c>
      <c r="AE3899">
        <f>IF(U3899="","MISSING",IF(AND(AA3899&gt;0,U3899/AA3899&gt;50),"POSSIBLE_SCALE_ERROR","OK"))</f>
        <v/>
      </c>
    </row>
    <row r="3900">
      <c r="A3900" t="inlineStr">
        <is>
          <t>T-2012-Q2-00053</t>
        </is>
      </c>
      <c r="B3900" t="inlineStr">
        <is>
          <t>SLE</t>
        </is>
      </c>
      <c r="C3900" t="inlineStr">
        <is>
          <t>Vice-President, Prince Edward Island</t>
        </is>
      </c>
      <c r="D3900" t="inlineStr">
        <is>
          <t>Vice-président, Île-du-Prince-Édouard</t>
        </is>
      </c>
      <c r="E3900" t="inlineStr">
        <is>
          <t>Patrick Dorsey</t>
        </is>
      </c>
      <c r="F3900" t="inlineStr">
        <is>
          <t>Meeting with ACOA officials in Moncton</t>
        </is>
      </c>
      <c r="G3900" t="inlineStr">
        <is>
          <t>Réunion avec des fonctionnaires de l'APECA à Moncton</t>
        </is>
      </c>
      <c r="H3900" s="1" t="n">
        <v>40751</v>
      </c>
      <c r="I3900" s="1" t="n">
        <v>40752</v>
      </c>
      <c r="J3900" t="inlineStr">
        <is>
          <t>Moncton, New Brunswick</t>
        </is>
      </c>
      <c r="K3900" t="inlineStr">
        <is>
          <t>Moncton (Nouveau-Brunswick)</t>
        </is>
      </c>
      <c r="P3900" t="n">
        <v>0</v>
      </c>
      <c r="Q3900" t="n">
        <v>43.25</v>
      </c>
      <c r="R3900" t="n">
        <v>157.92</v>
      </c>
      <c r="S3900" t="n">
        <v>89.5</v>
      </c>
      <c r="T3900" t="n">
        <v>0</v>
      </c>
      <c r="U3900" t="n">
        <v>290.67</v>
      </c>
      <c r="X3900" t="inlineStr">
        <is>
          <t>acoa-apeca</t>
        </is>
      </c>
      <c r="Y3900" t="inlineStr">
        <is>
          <t>Atlantic Canada Opportunities Agency | Agence de promotion économique du Canada atlantique</t>
        </is>
      </c>
      <c r="Z3900" t="n">
        <v>2</v>
      </c>
      <c r="AA3900" t="n">
        <v>290.669999999999</v>
      </c>
      <c r="AB3900">
        <f>ROUND(U3900-AA3900,2)</f>
        <v/>
      </c>
      <c r="AC3900" t="b">
        <v>0</v>
      </c>
      <c r="AD3900">
        <f>IF(U3900="","MISSING_TOTAL",IF(ABS(AB3900)&lt;=0.01,"OK","CHECK"))</f>
        <v/>
      </c>
      <c r="AE3900">
        <f>IF(U3900="","MISSING",IF(AND(AA3900&gt;0,U3900/AA3900&gt;50),"POSSIBLE_SCALE_ERROR","OK"))</f>
        <v/>
      </c>
    </row>
    <row r="3901">
      <c r="A3901" t="inlineStr">
        <is>
          <t>T-2012-Q2-00051</t>
        </is>
      </c>
      <c r="B3901" t="inlineStr">
        <is>
          <t>SLE</t>
        </is>
      </c>
      <c r="C3901" t="inlineStr">
        <is>
          <t>Vice-President, Newfoundland and Labrador</t>
        </is>
      </c>
      <c r="D3901" t="inlineStr">
        <is>
          <t>Vice-président, Terre-Neuve-et-Labrador</t>
        </is>
      </c>
      <c r="E3901" t="inlineStr">
        <is>
          <t>Paul Mills</t>
        </is>
      </c>
      <c r="F3901" t="inlineStr">
        <is>
          <t>To attend meeting with Senior Government of Canada Officials</t>
        </is>
      </c>
      <c r="G3901" t="inlineStr">
        <is>
          <t>Assister à une réunion avec des hauts fonctionnaires du gouvernement du Canada</t>
        </is>
      </c>
      <c r="H3901" s="1" t="n">
        <v>40751</v>
      </c>
      <c r="I3901" s="1" t="n">
        <v>40753</v>
      </c>
      <c r="J3901" t="inlineStr">
        <is>
          <t>Moncton, NB</t>
        </is>
      </c>
      <c r="K3901" t="inlineStr">
        <is>
          <t>Moncton (Nouveau-Brunswick)</t>
        </is>
      </c>
      <c r="P3901" t="n">
        <v>1329.26</v>
      </c>
      <c r="Q3901" t="n">
        <v>210</v>
      </c>
      <c r="R3901" t="n">
        <v>349.56</v>
      </c>
      <c r="S3901" t="n">
        <v>190</v>
      </c>
      <c r="T3901" t="n">
        <v>7.33</v>
      </c>
      <c r="U3901" t="n">
        <v>2086.15</v>
      </c>
      <c r="X3901" t="inlineStr">
        <is>
          <t>acoa-apeca</t>
        </is>
      </c>
      <c r="Y3901" t="inlineStr">
        <is>
          <t>Atlantic Canada Opportunities Agency | Agence de promotion économique du Canada atlantique</t>
        </is>
      </c>
      <c r="Z3901" t="n">
        <v>3</v>
      </c>
      <c r="AA3901" t="n">
        <v>2086.14999999999</v>
      </c>
      <c r="AB3901">
        <f>ROUND(U3901-AA3901,2)</f>
        <v/>
      </c>
      <c r="AC3901" t="b">
        <v>0</v>
      </c>
      <c r="AD3901">
        <f>IF(U3901="","MISSING_TOTAL",IF(ABS(AB3901)&lt;=0.01,"OK","CHECK"))</f>
        <v/>
      </c>
      <c r="AE3901">
        <f>IF(U3901="","MISSING",IF(AND(AA3901&gt;0,U3901/AA3901&gt;50),"POSSIBLE_SCALE_ERROR","OK"))</f>
        <v/>
      </c>
    </row>
    <row r="3902">
      <c r="A3902" t="inlineStr">
        <is>
          <t>T-2012-Q2-00050</t>
        </is>
      </c>
      <c r="B3902" t="inlineStr">
        <is>
          <t>SLE</t>
        </is>
      </c>
      <c r="C3902" t="inlineStr">
        <is>
          <t>President</t>
        </is>
      </c>
      <c r="D3902" t="inlineStr">
        <is>
          <t>Président</t>
        </is>
      </c>
      <c r="E3902" t="inlineStr">
        <is>
          <t>Paul J. LeBlanc</t>
        </is>
      </c>
      <c r="F3902" t="inlineStr">
        <is>
          <t>For various meetings and discussions with Agency officials; with Government of Canada officials</t>
        </is>
      </c>
      <c r="G3902" t="inlineStr">
        <is>
          <t>Diverses réunions et discussions avec des fonctionnaires de l'Agence et du gouvernement du Canada</t>
        </is>
      </c>
      <c r="H3902" s="1" t="n">
        <v>40749</v>
      </c>
      <c r="I3902" s="1" t="n">
        <v>40750</v>
      </c>
      <c r="J3902" t="inlineStr">
        <is>
          <t>Ottawa, Ontario</t>
        </is>
      </c>
      <c r="K3902" t="inlineStr">
        <is>
          <t>Ottawa (Ontario)</t>
        </is>
      </c>
      <c r="P3902" t="n">
        <v>727.36</v>
      </c>
      <c r="Q3902" t="n">
        <v>13.52</v>
      </c>
      <c r="R3902" t="n">
        <v>174.02</v>
      </c>
      <c r="S3902" t="n">
        <v>117.8</v>
      </c>
      <c r="T3902" t="n">
        <v>86.5</v>
      </c>
      <c r="U3902" t="n">
        <v>1119.2</v>
      </c>
      <c r="X3902" t="inlineStr">
        <is>
          <t>acoa-apeca</t>
        </is>
      </c>
      <c r="Y3902" t="inlineStr">
        <is>
          <t>Atlantic Canada Opportunities Agency | Agence de promotion économique du Canada atlantique</t>
        </is>
      </c>
      <c r="Z3902" t="n">
        <v>2</v>
      </c>
      <c r="AA3902" t="n">
        <v>1119.2</v>
      </c>
      <c r="AB3902">
        <f>ROUND(U3902-AA3902,2)</f>
        <v/>
      </c>
      <c r="AC3902" t="b">
        <v>0</v>
      </c>
      <c r="AD3902">
        <f>IF(U3902="","MISSING_TOTAL",IF(ABS(AB3902)&lt;=0.01,"OK","CHECK"))</f>
        <v/>
      </c>
      <c r="AE3902">
        <f>IF(U3902="","MISSING",IF(AND(AA3902&gt;0,U3902/AA3902&gt;50),"POSSIBLE_SCALE_ERROR","OK"))</f>
        <v/>
      </c>
    </row>
    <row r="3903">
      <c r="A3903" t="inlineStr">
        <is>
          <t>T-2012-Q2-00034</t>
        </is>
      </c>
      <c r="B3903" t="inlineStr">
        <is>
          <t>SLE</t>
        </is>
      </c>
      <c r="C3903" t="inlineStr">
        <is>
          <t>Vice-President, New Brunswick</t>
        </is>
      </c>
      <c r="D3903" t="inlineStr">
        <is>
          <t>Vice-présidente, Nouveau-Brunswick</t>
        </is>
      </c>
      <c r="E3903" t="inlineStr">
        <is>
          <t>Janet Gagnon</t>
        </is>
      </c>
      <c r="F3903" t="inlineStr">
        <is>
          <t>Attend various announcements with Minister</t>
        </is>
      </c>
      <c r="G3903" t="inlineStr">
        <is>
          <t>Assister à diverses annonces avec le ministre</t>
        </is>
      </c>
      <c r="H3903" s="1" t="n">
        <v>40728</v>
      </c>
      <c r="I3903" s="1" t="n">
        <v>40729</v>
      </c>
      <c r="J3903" t="inlineStr">
        <is>
          <t>Saint John, New Brunswick</t>
        </is>
      </c>
      <c r="K3903" t="inlineStr">
        <is>
          <t>Saint John (Nouveau-Brunswick)</t>
        </is>
      </c>
      <c r="P3903" t="n">
        <v>0</v>
      </c>
      <c r="Q3903" t="n">
        <v>0</v>
      </c>
      <c r="R3903" t="n">
        <v>132.55</v>
      </c>
      <c r="S3903" t="n">
        <v>125.3</v>
      </c>
      <c r="T3903" t="n">
        <v>11</v>
      </c>
      <c r="U3903" t="n">
        <v>268.85</v>
      </c>
      <c r="X3903" t="inlineStr">
        <is>
          <t>acoa-apeca</t>
        </is>
      </c>
      <c r="Y3903" t="inlineStr">
        <is>
          <t>Atlantic Canada Opportunities Agency | Agence de promotion économique du Canada atlantique</t>
        </is>
      </c>
      <c r="Z3903" t="n">
        <v>2</v>
      </c>
      <c r="AA3903" t="n">
        <v>268.85</v>
      </c>
      <c r="AB3903">
        <f>ROUND(U3903-AA3903,2)</f>
        <v/>
      </c>
      <c r="AC3903" t="b">
        <v>0</v>
      </c>
      <c r="AD3903">
        <f>IF(U3903="","MISSING_TOTAL",IF(ABS(AB3903)&lt;=0.01,"OK","CHECK"))</f>
        <v/>
      </c>
      <c r="AE3903">
        <f>IF(U3903="","MISSING",IF(AND(AA3903&gt;0,U3903/AA3903&gt;50),"POSSIBLE_SCALE_ERROR","OK"))</f>
        <v/>
      </c>
    </row>
    <row r="3904">
      <c r="A3904" t="inlineStr">
        <is>
          <t>T-2012-Q2-00048</t>
        </is>
      </c>
      <c r="B3904" t="inlineStr">
        <is>
          <t>MPSES</t>
        </is>
      </c>
      <c r="C3904" t="inlineStr">
        <is>
          <t>Student</t>
        </is>
      </c>
      <c r="D3904" t="inlineStr">
        <is>
          <t>Étudiante</t>
        </is>
      </c>
      <c r="E3904" t="inlineStr">
        <is>
          <t>Stephanie Keron</t>
        </is>
      </c>
      <c r="F3904" t="inlineStr">
        <is>
          <t>Travel to attend various ACOA related meetings &amp; announcements with MoS</t>
        </is>
      </c>
      <c r="G3904" t="inlineStr">
        <is>
          <t>Assister à diverses réunions et annonces de l'APECA avec le ministre d'État</t>
        </is>
      </c>
      <c r="H3904" s="1" t="n">
        <v>40744</v>
      </c>
      <c r="I3904" s="1" t="n">
        <v>40745</v>
      </c>
      <c r="J3904" t="inlineStr">
        <is>
          <t>Charlottetown, Prince Edward Island</t>
        </is>
      </c>
      <c r="K3904" t="inlineStr">
        <is>
          <t>Charlottetown (Île-du-Prince-Édouard)</t>
        </is>
      </c>
      <c r="P3904" t="n">
        <v>746.6</v>
      </c>
      <c r="Q3904" t="n">
        <v>0</v>
      </c>
      <c r="R3904" t="n">
        <v>247.98</v>
      </c>
      <c r="S3904" t="n">
        <v>74.45</v>
      </c>
      <c r="T3904" t="n">
        <v>0</v>
      </c>
      <c r="U3904" t="n">
        <v>1069.03</v>
      </c>
      <c r="X3904" t="inlineStr">
        <is>
          <t>acoa-apeca</t>
        </is>
      </c>
      <c r="Y3904" t="inlineStr">
        <is>
          <t>Atlantic Canada Opportunities Agency | Agence de promotion économique du Canada atlantique</t>
        </is>
      </c>
      <c r="Z3904" t="n">
        <v>2</v>
      </c>
      <c r="AA3904" t="n">
        <v>1069.03</v>
      </c>
      <c r="AB3904">
        <f>ROUND(U3904-AA3904,2)</f>
        <v/>
      </c>
      <c r="AC3904" t="b">
        <v>0</v>
      </c>
      <c r="AD3904">
        <f>IF(U3904="","MISSING_TOTAL",IF(ABS(AB3904)&lt;=0.01,"OK","CHECK"))</f>
        <v/>
      </c>
      <c r="AE3904">
        <f>IF(U3904="","MISSING",IF(AND(AA3904&gt;0,U3904/AA3904&gt;50),"POSSIBLE_SCALE_ERROR","OK"))</f>
        <v/>
      </c>
    </row>
    <row r="3905">
      <c r="A3905" t="inlineStr">
        <is>
          <t>T-2012-Q2-00047</t>
        </is>
      </c>
      <c r="B3905" t="inlineStr">
        <is>
          <t>SLE</t>
        </is>
      </c>
      <c r="C3905" t="inlineStr">
        <is>
          <t>Vice President, Nova Scotia</t>
        </is>
      </c>
      <c r="D3905" t="inlineStr">
        <is>
          <t>Vice-président, Nouvelle-Écosse</t>
        </is>
      </c>
      <c r="E3905" t="inlineStr">
        <is>
          <t>Peter Hogan</t>
        </is>
      </c>
      <c r="F3905" t="inlineStr">
        <is>
          <t>Community Outreach Visit in Windsor, NS</t>
        </is>
      </c>
      <c r="G3905" t="inlineStr">
        <is>
          <t>Visite de sensibilisation communautaire à Windsor (Nouvelle-Écosse)</t>
        </is>
      </c>
      <c r="H3905" s="1" t="n">
        <v>40743</v>
      </c>
      <c r="I3905" s="1" t="n">
        <v>40743</v>
      </c>
      <c r="J3905" t="inlineStr">
        <is>
          <t>Windsor, NS</t>
        </is>
      </c>
      <c r="K3905" t="inlineStr">
        <is>
          <t>Windsor (Nouvelle-Écosse)</t>
        </is>
      </c>
      <c r="P3905" t="n">
        <v>0</v>
      </c>
      <c r="Q3905" t="n">
        <v>72.76000000000001</v>
      </c>
      <c r="R3905" t="n">
        <v>0</v>
      </c>
      <c r="S3905" t="n">
        <v>0</v>
      </c>
      <c r="T3905" t="n">
        <v>0</v>
      </c>
      <c r="U3905" t="n">
        <v>72.76000000000001</v>
      </c>
      <c r="X3905" t="inlineStr">
        <is>
          <t>acoa-apeca</t>
        </is>
      </c>
      <c r="Y3905" t="inlineStr">
        <is>
          <t>Atlantic Canada Opportunities Agency | Agence de promotion économique du Canada atlantique</t>
        </is>
      </c>
      <c r="Z3905" t="n">
        <v>1</v>
      </c>
      <c r="AA3905" t="n">
        <v>72.76000000000001</v>
      </c>
      <c r="AB3905">
        <f>ROUND(U3905-AA3905,2)</f>
        <v/>
      </c>
      <c r="AC3905" t="b">
        <v>0</v>
      </c>
      <c r="AD3905">
        <f>IF(U3905="","MISSING_TOTAL",IF(ABS(AB3905)&lt;=0.01,"OK","CHECK"))</f>
        <v/>
      </c>
      <c r="AE3905">
        <f>IF(U3905="","MISSING",IF(AND(AA3905&gt;0,U3905/AA3905&gt;50),"POSSIBLE_SCALE_ERROR","OK"))</f>
        <v/>
      </c>
    </row>
    <row r="3906">
      <c r="A3906" t="inlineStr">
        <is>
          <t>T-2012-Q2-00046</t>
        </is>
      </c>
      <c r="B3906" t="inlineStr">
        <is>
          <t>SLE</t>
        </is>
      </c>
      <c r="C3906" t="inlineStr">
        <is>
          <t>President</t>
        </is>
      </c>
      <c r="D3906" t="inlineStr">
        <is>
          <t>Président</t>
        </is>
      </c>
      <c r="E3906" t="inlineStr">
        <is>
          <t>Paul J. LeBlanc</t>
        </is>
      </c>
      <c r="F3906" t="inlineStr">
        <is>
          <t>For various meetings and discussions with: Agency officials</t>
        </is>
      </c>
      <c r="G3906" t="inlineStr">
        <is>
          <t>Diverses réunions et discussions avec des focntionnaires de l'Agence</t>
        </is>
      </c>
      <c r="H3906" s="1" t="n">
        <v>40742</v>
      </c>
      <c r="I3906" s="1" t="n">
        <v>40743</v>
      </c>
      <c r="J3906" t="inlineStr">
        <is>
          <t>St. John's, Newfoundland and Labrador</t>
        </is>
      </c>
      <c r="K3906" t="inlineStr">
        <is>
          <t>St. John's (Terre-Neuve-et-Labrador)</t>
        </is>
      </c>
      <c r="P3906" t="n">
        <v>1814.22</v>
      </c>
      <c r="Q3906" t="n">
        <v>0</v>
      </c>
      <c r="R3906" t="n">
        <v>196.04</v>
      </c>
      <c r="S3906" t="n">
        <v>157.75</v>
      </c>
      <c r="T3906" t="n">
        <v>0</v>
      </c>
      <c r="U3906" t="n">
        <v>2168.01</v>
      </c>
      <c r="X3906" t="inlineStr">
        <is>
          <t>acoa-apeca</t>
        </is>
      </c>
      <c r="Y3906" t="inlineStr">
        <is>
          <t>Atlantic Canada Opportunities Agency | Agence de promotion économique du Canada atlantique</t>
        </is>
      </c>
      <c r="Z3906" t="n">
        <v>2</v>
      </c>
      <c r="AA3906" t="n">
        <v>2168.01</v>
      </c>
      <c r="AB3906">
        <f>ROUND(U3906-AA3906,2)</f>
        <v/>
      </c>
      <c r="AC3906" t="b">
        <v>0</v>
      </c>
      <c r="AD3906">
        <f>IF(U3906="","MISSING_TOTAL",IF(ABS(AB3906)&lt;=0.01,"OK","CHECK"))</f>
        <v/>
      </c>
      <c r="AE3906">
        <f>IF(U3906="","MISSING",IF(AND(AA3906&gt;0,U3906/AA3906&gt;50),"POSSIBLE_SCALE_ERROR","OK"))</f>
        <v/>
      </c>
    </row>
    <row r="3907">
      <c r="A3907" t="inlineStr">
        <is>
          <t>T-2012-Q2-00045</t>
        </is>
      </c>
      <c r="B3907" t="inlineStr">
        <is>
          <t>MPSES</t>
        </is>
      </c>
      <c r="C3907" t="inlineStr">
        <is>
          <t>Executive Assistant and Press Secretary</t>
        </is>
      </c>
      <c r="D3907" t="inlineStr">
        <is>
          <t>Adjointe exécutive et attaché de presse</t>
        </is>
      </c>
      <c r="E3907" t="inlineStr">
        <is>
          <t>Andrea Richer</t>
        </is>
      </c>
      <c r="F3907" t="inlineStr">
        <is>
          <t>Travel to attend various ACOA meetings &amp; announcements with MoS</t>
        </is>
      </c>
      <c r="G3907" t="inlineStr">
        <is>
          <t>Assister à diverses réunions et annonces de l'APECA avec le ministre d'État</t>
        </is>
      </c>
      <c r="H3907" s="1" t="n">
        <v>40741</v>
      </c>
      <c r="I3907" s="1" t="n">
        <v>40745</v>
      </c>
      <c r="J3907" t="inlineStr">
        <is>
          <t>Halifax, Nova Scotia ,St. John's, Newfoundland &amp; Labrador, Charlottetown, Prince Edward Island</t>
        </is>
      </c>
      <c r="K3907" t="inlineStr">
        <is>
          <t>Halifax (Nouvelle-Écosse)/St. John's (Terre-Neuve-et-Labrador)/Charlottetown (Île-du-Prince-Édouard)</t>
        </is>
      </c>
      <c r="P3907" t="n">
        <v>1428.72</v>
      </c>
      <c r="Q3907" t="n">
        <v>0</v>
      </c>
      <c r="R3907" t="n">
        <v>821.65</v>
      </c>
      <c r="S3907" t="n">
        <v>330</v>
      </c>
      <c r="T3907" t="n">
        <v>0</v>
      </c>
      <c r="U3907" t="n">
        <v>2580.37</v>
      </c>
      <c r="X3907" t="inlineStr">
        <is>
          <t>acoa-apeca</t>
        </is>
      </c>
      <c r="Y3907" t="inlineStr">
        <is>
          <t>Atlantic Canada Opportunities Agency | Agence de promotion économique du Canada atlantique</t>
        </is>
      </c>
      <c r="Z3907" t="n">
        <v>5</v>
      </c>
      <c r="AA3907" t="n">
        <v>2580.37</v>
      </c>
      <c r="AB3907">
        <f>ROUND(U3907-AA3907,2)</f>
        <v/>
      </c>
      <c r="AC3907" t="b">
        <v>0</v>
      </c>
      <c r="AD3907">
        <f>IF(U3907="","MISSING_TOTAL",IF(ABS(AB3907)&lt;=0.01,"OK","CHECK"))</f>
        <v/>
      </c>
      <c r="AE3907">
        <f>IF(U3907="","MISSING",IF(AND(AA3907&gt;0,U3907/AA3907&gt;50),"POSSIBLE_SCALE_ERROR","OK"))</f>
        <v/>
      </c>
    </row>
    <row r="3908">
      <c r="A3908" t="inlineStr">
        <is>
          <t>T-2012-Q1-00062</t>
        </is>
      </c>
      <c r="B3908" t="inlineStr">
        <is>
          <t>SLE</t>
        </is>
      </c>
      <c r="C3908" t="inlineStr">
        <is>
          <t>Vice-President, New Brunswick</t>
        </is>
      </c>
      <c r="D3908" t="inlineStr">
        <is>
          <t>Vice-présidente, Nouveau-Brunswick</t>
        </is>
      </c>
      <c r="E3908" t="inlineStr">
        <is>
          <t>Janet Gagnon</t>
        </is>
      </c>
      <c r="F3908" t="inlineStr">
        <is>
          <t>Meeting with Western Economic Diversification representative</t>
        </is>
      </c>
      <c r="G3908" t="inlineStr">
        <is>
          <t>Réunion avec un fonctionnaire de Diversification de l'économie de l'Ouest Canada</t>
        </is>
      </c>
      <c r="H3908" s="1" t="n">
        <v>40687</v>
      </c>
      <c r="I3908" s="1" t="n">
        <v>40690</v>
      </c>
      <c r="J3908" t="inlineStr">
        <is>
          <t>Moncton, New Brunswick</t>
        </is>
      </c>
      <c r="K3908" t="inlineStr">
        <is>
          <t>Moncton (Nouveau-Brunswick)</t>
        </is>
      </c>
      <c r="P3908" t="n">
        <v>0</v>
      </c>
      <c r="Q3908" t="n">
        <v>0</v>
      </c>
      <c r="R3908" t="n">
        <v>123.17</v>
      </c>
      <c r="S3908" t="n">
        <v>143.5</v>
      </c>
      <c r="T3908" t="n">
        <v>13</v>
      </c>
      <c r="U3908" t="n">
        <v>279.67</v>
      </c>
      <c r="X3908" t="inlineStr">
        <is>
          <t>acoa-apeca</t>
        </is>
      </c>
      <c r="Y3908" t="inlineStr">
        <is>
          <t>Atlantic Canada Opportunities Agency | Agence de promotion économique du Canada atlantique</t>
        </is>
      </c>
      <c r="Z3908" t="n">
        <v>4</v>
      </c>
      <c r="AA3908" t="n">
        <v>279.67</v>
      </c>
      <c r="AB3908">
        <f>ROUND(U3908-AA3908,2)</f>
        <v/>
      </c>
      <c r="AC3908" t="b">
        <v>0</v>
      </c>
      <c r="AD3908">
        <f>IF(U3908="","MISSING_TOTAL",IF(ABS(AB3908)&lt;=0.01,"OK","CHECK"))</f>
        <v/>
      </c>
      <c r="AE3908">
        <f>IF(U3908="","MISSING",IF(AND(AA3908&gt;0,U3908/AA3908&gt;50),"POSSIBLE_SCALE_ERROR","OK"))</f>
        <v/>
      </c>
    </row>
    <row r="3909">
      <c r="A3909" t="inlineStr">
        <is>
          <t>T-2012-Q2-00044</t>
        </is>
      </c>
      <c r="B3909" t="inlineStr">
        <is>
          <t>MPSES</t>
        </is>
      </c>
      <c r="C3909" t="inlineStr">
        <is>
          <t>Minister of State</t>
        </is>
      </c>
      <c r="D3909" t="inlineStr">
        <is>
          <t>Ministre d'État</t>
        </is>
      </c>
      <c r="E3909" t="inlineStr">
        <is>
          <t>Bernard Valcourt</t>
        </is>
      </c>
      <c r="F3909" t="inlineStr">
        <is>
          <t>Travel to attend ACOA funding announcements and various meetings</t>
        </is>
      </c>
      <c r="G3909" t="inlineStr">
        <is>
          <t>Assister à des annonces de financement et à diverses réunions de l'APECA</t>
        </is>
      </c>
      <c r="H3909" s="1" t="n">
        <v>40741</v>
      </c>
      <c r="I3909" s="1" t="n">
        <v>40745</v>
      </c>
      <c r="J3909" t="inlineStr">
        <is>
          <t>St. John's &amp; Trinity, Newfoundland and Labrador - Summerside &amp; Charlottetown, Prince Edward Island</t>
        </is>
      </c>
      <c r="K3909" t="inlineStr">
        <is>
          <t>St. John's et Trinity (Terre-Neuve-et-Labrador)/Summerside et Charlottetown (Île-du-Prince-Édouard)</t>
        </is>
      </c>
      <c r="P3909" t="n">
        <v>1266.18</v>
      </c>
      <c r="Q3909" t="n">
        <v>592.8</v>
      </c>
      <c r="R3909" t="n">
        <v>821.65</v>
      </c>
      <c r="S3909" t="n">
        <v>298.55</v>
      </c>
      <c r="T3909" t="n">
        <v>0</v>
      </c>
      <c r="U3909" t="n">
        <v>2979.18</v>
      </c>
      <c r="X3909" t="inlineStr">
        <is>
          <t>acoa-apeca</t>
        </is>
      </c>
      <c r="Y3909" t="inlineStr">
        <is>
          <t>Atlantic Canada Opportunities Agency | Agence de promotion économique du Canada atlantique</t>
        </is>
      </c>
      <c r="Z3909" t="n">
        <v>5</v>
      </c>
      <c r="AA3909" t="n">
        <v>2979.18</v>
      </c>
      <c r="AB3909">
        <f>ROUND(U3909-AA3909,2)</f>
        <v/>
      </c>
      <c r="AC3909" t="b">
        <v>0</v>
      </c>
      <c r="AD3909">
        <f>IF(U3909="","MISSING_TOTAL",IF(ABS(AB3909)&lt;=0.01,"OK","CHECK"))</f>
        <v/>
      </c>
      <c r="AE3909">
        <f>IF(U3909="","MISSING",IF(AND(AA3909&gt;0,U3909/AA3909&gt;50),"POSSIBLE_SCALE_ERROR","OK"))</f>
        <v/>
      </c>
    </row>
    <row r="3910">
      <c r="A3910" t="inlineStr">
        <is>
          <t>T-2012-Q2-00043</t>
        </is>
      </c>
      <c r="B3910" t="inlineStr">
        <is>
          <t>SLE</t>
        </is>
      </c>
      <c r="C3910" t="inlineStr">
        <is>
          <t>Vice-President, Newfoundland and Labrador</t>
        </is>
      </c>
      <c r="D3910" t="inlineStr">
        <is>
          <t>Vice-président, Terre-Neuve-et-Labrador</t>
        </is>
      </c>
      <c r="E3910" t="inlineStr">
        <is>
          <t>Paul Mills</t>
        </is>
      </c>
      <c r="F3910" t="inlineStr">
        <is>
          <t>Attend various meetings with Minister's</t>
        </is>
      </c>
      <c r="G3910" t="inlineStr">
        <is>
          <t>Assister à diverses réunions avec le ministre</t>
        </is>
      </c>
      <c r="H3910" s="1" t="n">
        <v>40741</v>
      </c>
      <c r="I3910" s="1" t="n">
        <v>40743</v>
      </c>
      <c r="J3910" t="inlineStr">
        <is>
          <t>Clarenville, NL</t>
        </is>
      </c>
      <c r="K3910" t="inlineStr">
        <is>
          <t>Clarenville (Terre-Neuve-et-Labrador)</t>
        </is>
      </c>
      <c r="P3910" t="n">
        <v>0</v>
      </c>
      <c r="Q3910" t="n">
        <v>0</v>
      </c>
      <c r="R3910" t="n">
        <v>141.25</v>
      </c>
      <c r="S3910" t="n">
        <v>143.5</v>
      </c>
      <c r="T3910" t="n">
        <v>0</v>
      </c>
      <c r="U3910" t="n">
        <v>284.75</v>
      </c>
      <c r="X3910" t="inlineStr">
        <is>
          <t>acoa-apeca</t>
        </is>
      </c>
      <c r="Y3910" t="inlineStr">
        <is>
          <t>Atlantic Canada Opportunities Agency | Agence de promotion économique du Canada atlantique</t>
        </is>
      </c>
      <c r="Z3910" t="n">
        <v>3</v>
      </c>
      <c r="AA3910" t="n">
        <v>284.75</v>
      </c>
      <c r="AB3910">
        <f>ROUND(U3910-AA3910,2)</f>
        <v/>
      </c>
      <c r="AC3910" t="b">
        <v>0</v>
      </c>
      <c r="AD3910">
        <f>IF(U3910="","MISSING_TOTAL",IF(ABS(AB3910)&lt;=0.01,"OK","CHECK"))</f>
        <v/>
      </c>
      <c r="AE3910">
        <f>IF(U3910="","MISSING",IF(AND(AA3910&gt;0,U3910/AA3910&gt;50),"POSSIBLE_SCALE_ERROR","OK"))</f>
        <v/>
      </c>
    </row>
    <row r="3911">
      <c r="A3911" t="inlineStr">
        <is>
          <t>T-2012-Q2-00042</t>
        </is>
      </c>
      <c r="B3911" t="inlineStr">
        <is>
          <t>SLE</t>
        </is>
      </c>
      <c r="C3911" t="inlineStr">
        <is>
          <t>Vice President, Nova Scotia</t>
        </is>
      </c>
      <c r="D3911" t="inlineStr">
        <is>
          <t>Vice-président, Nouvelle-Écosse</t>
        </is>
      </c>
      <c r="E3911" t="inlineStr">
        <is>
          <t>Peter Hogan</t>
        </is>
      </c>
      <c r="F3911" t="inlineStr">
        <is>
          <t>Meeting with Officials from ACOA and Memorial University</t>
        </is>
      </c>
      <c r="G3911" t="inlineStr">
        <is>
          <t>Réunion avec des fonctionnaires de l'APECA et des représentants de l'Université Memorial</t>
        </is>
      </c>
      <c r="H3911" s="1" t="n">
        <v>40738</v>
      </c>
      <c r="I3911" s="1" t="n">
        <v>40738</v>
      </c>
      <c r="J3911" t="inlineStr">
        <is>
          <t>St. John's, NL</t>
        </is>
      </c>
      <c r="K3911" t="inlineStr">
        <is>
          <t>St. John's (Terre-Neuve-et-Labrador)</t>
        </is>
      </c>
      <c r="P3911" t="n">
        <v>172.4</v>
      </c>
      <c r="Q3911" t="n">
        <v>61.4</v>
      </c>
      <c r="R3911" t="n">
        <v>184.44</v>
      </c>
      <c r="S3911" t="n">
        <v>143.4</v>
      </c>
      <c r="T3911" t="n">
        <v>30</v>
      </c>
      <c r="U3911" t="n">
        <v>591.64</v>
      </c>
      <c r="X3911" t="inlineStr">
        <is>
          <t>acoa-apeca</t>
        </is>
      </c>
      <c r="Y3911" t="inlineStr">
        <is>
          <t>Atlantic Canada Opportunities Agency | Agence de promotion économique du Canada atlantique</t>
        </is>
      </c>
      <c r="Z3911" t="n">
        <v>1</v>
      </c>
      <c r="AA3911" t="n">
        <v>591.64</v>
      </c>
      <c r="AB3911">
        <f>ROUND(U3911-AA3911,2)</f>
        <v/>
      </c>
      <c r="AC3911" t="b">
        <v>0</v>
      </c>
      <c r="AD3911">
        <f>IF(U3911="","MISSING_TOTAL",IF(ABS(AB3911)&lt;=0.01,"OK","CHECK"))</f>
        <v/>
      </c>
      <c r="AE3911">
        <f>IF(U3911="","MISSING",IF(AND(AA3911&gt;0,U3911/AA3911&gt;50),"POSSIBLE_SCALE_ERROR","OK"))</f>
        <v/>
      </c>
    </row>
    <row r="3912">
      <c r="A3912" t="inlineStr">
        <is>
          <t>T-2012-Q2-00041</t>
        </is>
      </c>
      <c r="B3912" t="inlineStr">
        <is>
          <t>SLE</t>
        </is>
      </c>
      <c r="C3912" t="inlineStr">
        <is>
          <t>Vice-President, Finance and Corporate Services</t>
        </is>
      </c>
      <c r="D3912" t="inlineStr">
        <is>
          <t>Vice-présidente, Finances et Services corporatifs</t>
        </is>
      </c>
      <c r="E3912" t="inlineStr">
        <is>
          <t>Denise Frenette</t>
        </is>
      </c>
      <c r="F3912" t="inlineStr">
        <is>
          <t>For various meetings and discussions with Agency officials; and Governemnt of Canada officials</t>
        </is>
      </c>
      <c r="G3912" t="inlineStr">
        <is>
          <t>Diverses réunions et discussions avec des fonctionnaires de l'Agence et du gouvernement du Canada</t>
        </is>
      </c>
      <c r="H3912" s="1" t="n">
        <v>40737</v>
      </c>
      <c r="I3912" s="1" t="n">
        <v>40739</v>
      </c>
      <c r="J3912" t="inlineStr">
        <is>
          <t>Ottawa, Ontario and Sydney, Nova Scotia</t>
        </is>
      </c>
      <c r="K3912" t="inlineStr">
        <is>
          <t>Ottawa (Ontario)/Sydney (Nouvelle-Écosse)</t>
        </is>
      </c>
      <c r="P3912" t="n">
        <v>1613.64</v>
      </c>
      <c r="Q3912" t="n">
        <v>121.84</v>
      </c>
      <c r="R3912" t="n">
        <v>246.34</v>
      </c>
      <c r="S3912" t="n">
        <v>136</v>
      </c>
      <c r="T3912" t="n">
        <v>35</v>
      </c>
      <c r="U3912" t="n">
        <v>2152.82</v>
      </c>
      <c r="X3912" t="inlineStr">
        <is>
          <t>acoa-apeca</t>
        </is>
      </c>
      <c r="Y3912" t="inlineStr">
        <is>
          <t>Atlantic Canada Opportunities Agency | Agence de promotion économique du Canada atlantique</t>
        </is>
      </c>
      <c r="Z3912" t="n">
        <v>3</v>
      </c>
      <c r="AA3912" t="n">
        <v>2152.81999999999</v>
      </c>
      <c r="AB3912">
        <f>ROUND(U3912-AA3912,2)</f>
        <v/>
      </c>
      <c r="AC3912" t="b">
        <v>0</v>
      </c>
      <c r="AD3912">
        <f>IF(U3912="","MISSING_TOTAL",IF(ABS(AB3912)&lt;=0.01,"OK","CHECK"))</f>
        <v/>
      </c>
      <c r="AE3912">
        <f>IF(U3912="","MISSING",IF(AND(AA3912&gt;0,U3912/AA3912&gt;50),"POSSIBLE_SCALE_ERROR","OK"))</f>
        <v/>
      </c>
    </row>
    <row r="3913">
      <c r="A3913" t="inlineStr">
        <is>
          <t>T-2012-Q2-00040</t>
        </is>
      </c>
      <c r="B3913" t="inlineStr">
        <is>
          <t>SLE</t>
        </is>
      </c>
      <c r="C3913" t="inlineStr">
        <is>
          <t>Vice-President, Prince Edward Island</t>
        </is>
      </c>
      <c r="D3913" t="inlineStr">
        <is>
          <t>Vice-président, Île-du-Prince-Édouard</t>
        </is>
      </c>
      <c r="E3913" t="inlineStr">
        <is>
          <t>Patrick Dorsey</t>
        </is>
      </c>
      <c r="F3913" t="inlineStr">
        <is>
          <t>To attend Atlantic Canada Tourism Partnership (ACTP) Meeting in Halifax, NS</t>
        </is>
      </c>
      <c r="G3913" t="inlineStr">
        <is>
          <t>Assister à une réunion du Partenariat du tourisme du Canada atlantique (PTCA) à Halifax (Nouvelle-Écosse)</t>
        </is>
      </c>
      <c r="H3913" s="1" t="n">
        <v>40735</v>
      </c>
      <c r="I3913" s="1" t="n">
        <v>40736</v>
      </c>
      <c r="J3913" t="inlineStr">
        <is>
          <t>Halifax, Nova Scotia</t>
        </is>
      </c>
      <c r="K3913" t="inlineStr">
        <is>
          <t>Halifax (Nouvelle-Écosse)</t>
        </is>
      </c>
      <c r="P3913" t="n">
        <v>0</v>
      </c>
      <c r="Q3913" t="n">
        <v>73.19</v>
      </c>
      <c r="R3913" t="n">
        <v>174.78</v>
      </c>
      <c r="S3913" t="n">
        <v>49.65</v>
      </c>
      <c r="T3913" t="n">
        <v>0</v>
      </c>
      <c r="U3913" t="n">
        <v>297.62</v>
      </c>
      <c r="X3913" t="inlineStr">
        <is>
          <t>acoa-apeca</t>
        </is>
      </c>
      <c r="Y3913" t="inlineStr">
        <is>
          <t>Atlantic Canada Opportunities Agency | Agence de promotion économique du Canada atlantique</t>
        </is>
      </c>
      <c r="Z3913" t="n">
        <v>2</v>
      </c>
      <c r="AA3913" t="n">
        <v>297.62</v>
      </c>
      <c r="AB3913">
        <f>ROUND(U3913-AA3913,2)</f>
        <v/>
      </c>
      <c r="AC3913" t="b">
        <v>0</v>
      </c>
      <c r="AD3913">
        <f>IF(U3913="","MISSING_TOTAL",IF(ABS(AB3913)&lt;=0.01,"OK","CHECK"))</f>
        <v/>
      </c>
      <c r="AE3913">
        <f>IF(U3913="","MISSING",IF(AND(AA3913&gt;0,U3913/AA3913&gt;50),"POSSIBLE_SCALE_ERROR","OK"))</f>
        <v/>
      </c>
    </row>
    <row r="3914">
      <c r="A3914" t="inlineStr">
        <is>
          <t>T-2012-Q2-00039</t>
        </is>
      </c>
      <c r="B3914" t="inlineStr">
        <is>
          <t>SLE</t>
        </is>
      </c>
      <c r="C3914" t="inlineStr">
        <is>
          <t>President</t>
        </is>
      </c>
      <c r="D3914" t="inlineStr">
        <is>
          <t>Président</t>
        </is>
      </c>
      <c r="E3914" t="inlineStr">
        <is>
          <t>Paul J. LeBlanc</t>
        </is>
      </c>
      <c r="F3914" t="inlineStr">
        <is>
          <t>For various meetings and discussions with: Agency officials; with Government of Canada officials</t>
        </is>
      </c>
      <c r="G3914" t="inlineStr">
        <is>
          <t>Diverses réunions et discussions avec des fonctionnaires de l'Agence et du gouvernement du Canada</t>
        </is>
      </c>
      <c r="H3914" s="1" t="n">
        <v>40735</v>
      </c>
      <c r="I3914" s="1" t="n">
        <v>40738</v>
      </c>
      <c r="J3914" t="inlineStr">
        <is>
          <t>Ottawa, Ontario and Iqaluit, Nunavut</t>
        </is>
      </c>
      <c r="K3914" t="inlineStr">
        <is>
          <t>Ottawa (Ontario)/Iqaluit (Nunavut)</t>
        </is>
      </c>
      <c r="P3914" t="n">
        <v>1355.23</v>
      </c>
      <c r="Q3914" t="n">
        <v>0</v>
      </c>
      <c r="R3914" t="n">
        <v>558.03</v>
      </c>
      <c r="S3914" t="n">
        <v>344.85</v>
      </c>
      <c r="T3914" t="n">
        <v>60</v>
      </c>
      <c r="U3914" t="n">
        <v>2318.11</v>
      </c>
      <c r="X3914" t="inlineStr">
        <is>
          <t>acoa-apeca</t>
        </is>
      </c>
      <c r="Y3914" t="inlineStr">
        <is>
          <t>Atlantic Canada Opportunities Agency | Agence de promotion économique du Canada atlantique</t>
        </is>
      </c>
      <c r="Z3914" t="n">
        <v>4</v>
      </c>
      <c r="AA3914" t="n">
        <v>2318.11</v>
      </c>
      <c r="AB3914">
        <f>ROUND(U3914-AA3914,2)</f>
        <v/>
      </c>
      <c r="AC3914" t="b">
        <v>0</v>
      </c>
      <c r="AD3914">
        <f>IF(U3914="","MISSING_TOTAL",IF(ABS(AB3914)&lt;=0.01,"OK","CHECK"))</f>
        <v/>
      </c>
      <c r="AE3914">
        <f>IF(U3914="","MISSING",IF(AND(AA3914&gt;0,U3914/AA3914&gt;50),"POSSIBLE_SCALE_ERROR","OK"))</f>
        <v/>
      </c>
    </row>
    <row r="3915">
      <c r="A3915" t="inlineStr">
        <is>
          <t>T-2012-Q2-00036</t>
        </is>
      </c>
      <c r="B3915" t="inlineStr">
        <is>
          <t>SLE</t>
        </is>
      </c>
      <c r="C3915" t="inlineStr">
        <is>
          <t>President</t>
        </is>
      </c>
      <c r="D3915" t="inlineStr">
        <is>
          <t>Président</t>
        </is>
      </c>
      <c r="E3915" t="inlineStr">
        <is>
          <t>Paul J. LeBlanc</t>
        </is>
      </c>
      <c r="F3915" t="inlineStr">
        <is>
          <t>For various meetings and discussions with Agency officials</t>
        </is>
      </c>
      <c r="G3915" t="inlineStr">
        <is>
          <t>Diverses réunions et discussions avec des fonctionnaires de l'Agence</t>
        </is>
      </c>
      <c r="H3915" s="1" t="n">
        <v>40730</v>
      </c>
      <c r="I3915" s="1" t="n">
        <v>40731</v>
      </c>
      <c r="J3915" t="inlineStr">
        <is>
          <t>Fredericton, New Brunswick</t>
        </is>
      </c>
      <c r="K3915" t="inlineStr">
        <is>
          <t>Fredericton (Nouveau-Brunswick)</t>
        </is>
      </c>
      <c r="P3915" t="n">
        <v>0</v>
      </c>
      <c r="Q3915" t="n">
        <v>0</v>
      </c>
      <c r="R3915" t="n">
        <v>151.42</v>
      </c>
      <c r="S3915" t="n">
        <v>103.65</v>
      </c>
      <c r="T3915" t="n">
        <v>3</v>
      </c>
      <c r="U3915" t="n">
        <v>258.07</v>
      </c>
      <c r="X3915" t="inlineStr">
        <is>
          <t>acoa-apeca</t>
        </is>
      </c>
      <c r="Y3915" t="inlineStr">
        <is>
          <t>Atlantic Canada Opportunities Agency | Agence de promotion économique du Canada atlantique</t>
        </is>
      </c>
      <c r="Z3915" t="n">
        <v>2</v>
      </c>
      <c r="AA3915" t="n">
        <v>258.07</v>
      </c>
      <c r="AB3915">
        <f>ROUND(U3915-AA3915,2)</f>
        <v/>
      </c>
      <c r="AC3915" t="b">
        <v>0</v>
      </c>
      <c r="AD3915">
        <f>IF(U3915="","MISSING_TOTAL",IF(ABS(AB3915)&lt;=0.01,"OK","CHECK"))</f>
        <v/>
      </c>
      <c r="AE3915">
        <f>IF(U3915="","MISSING",IF(AND(AA3915&gt;0,U3915/AA3915&gt;50),"POSSIBLE_SCALE_ERROR","OK"))</f>
        <v/>
      </c>
    </row>
    <row r="3916">
      <c r="A3916" t="inlineStr">
        <is>
          <t>T-2012-Q2-00035</t>
        </is>
      </c>
      <c r="B3916" t="inlineStr">
        <is>
          <t>MPSES</t>
        </is>
      </c>
      <c r="C3916" t="inlineStr">
        <is>
          <t>Minister of State</t>
        </is>
      </c>
      <c r="D3916" t="inlineStr">
        <is>
          <t>Ministre d'État</t>
        </is>
      </c>
      <c r="E3916" t="inlineStr">
        <is>
          <t>Bernard Valcourt</t>
        </is>
      </c>
      <c r="F3916" t="inlineStr">
        <is>
          <t>Travel to attend ACOA funding announcements and various meetings</t>
        </is>
      </c>
      <c r="G3916" t="inlineStr">
        <is>
          <t>Assister à des annonces de financement et à diverses réunions de l'APECA</t>
        </is>
      </c>
      <c r="H3916" s="1" t="n">
        <v>40728</v>
      </c>
      <c r="I3916" s="1" t="n">
        <v>40731</v>
      </c>
      <c r="J3916" t="inlineStr">
        <is>
          <t>Edmundston, Saint John, Saint-Quentin, New Brunswick</t>
        </is>
      </c>
      <c r="K3916" t="inlineStr">
        <is>
          <t>Edmundston, Saint John, Saint-Quentin (Nouveau-Brunswick)</t>
        </is>
      </c>
      <c r="P3916" t="n">
        <v>0</v>
      </c>
      <c r="Q3916" t="n">
        <v>281.69</v>
      </c>
      <c r="R3916" t="n">
        <v>400.45</v>
      </c>
      <c r="S3916" t="n">
        <v>34.6</v>
      </c>
      <c r="T3916" t="n">
        <v>0</v>
      </c>
      <c r="U3916" t="n">
        <v>716.74</v>
      </c>
      <c r="X3916" t="inlineStr">
        <is>
          <t>acoa-apeca</t>
        </is>
      </c>
      <c r="Y3916" t="inlineStr">
        <is>
          <t>Atlantic Canada Opportunities Agency | Agence de promotion économique du Canada atlantique</t>
        </is>
      </c>
      <c r="Z3916" t="n">
        <v>4</v>
      </c>
      <c r="AA3916" t="n">
        <v>716.74</v>
      </c>
      <c r="AB3916">
        <f>ROUND(U3916-AA3916,2)</f>
        <v/>
      </c>
      <c r="AC3916" t="b">
        <v>0</v>
      </c>
      <c r="AD3916">
        <f>IF(U3916="","MISSING_TOTAL",IF(ABS(AB3916)&lt;=0.01,"OK","CHECK"))</f>
        <v/>
      </c>
      <c r="AE3916">
        <f>IF(U3916="","MISSING",IF(AND(AA3916&gt;0,U3916/AA3916&gt;50),"POSSIBLE_SCALE_ERROR","OK"))</f>
        <v/>
      </c>
    </row>
    <row r="3917">
      <c r="A3917" t="inlineStr">
        <is>
          <t>T-2012-Q2-00033</t>
        </is>
      </c>
      <c r="B3917" t="inlineStr">
        <is>
          <t>MPSES</t>
        </is>
      </c>
      <c r="C3917" t="inlineStr">
        <is>
          <t>Executive Assistant and Press Secretary</t>
        </is>
      </c>
      <c r="D3917" t="inlineStr">
        <is>
          <t>Adjointe exécutive et attaché de presse</t>
        </is>
      </c>
      <c r="E3917" t="inlineStr">
        <is>
          <t>Andrea Richer</t>
        </is>
      </c>
      <c r="F3917" t="inlineStr">
        <is>
          <t>Travel to attend various ACOA meetings &amp; announcements with MOS</t>
        </is>
      </c>
      <c r="G3917" t="inlineStr">
        <is>
          <t>Assister à diverses réunions et annonces de l'APECA avec le ministre d'État</t>
        </is>
      </c>
      <c r="H3917" s="1" t="n">
        <v>40727</v>
      </c>
      <c r="I3917" s="1" t="n">
        <v>40730</v>
      </c>
      <c r="J3917" t="inlineStr">
        <is>
          <t>Fredericton, Moncton and Saint John, New Brunswick</t>
        </is>
      </c>
      <c r="K3917" t="inlineStr">
        <is>
          <t>Fredericton, Moncton et Saint John (Nouveau-Brunswick)</t>
        </is>
      </c>
      <c r="P3917" t="n">
        <v>1159.58</v>
      </c>
      <c r="Q3917" t="n">
        <v>0</v>
      </c>
      <c r="R3917" t="n">
        <v>412.88</v>
      </c>
      <c r="S3917" t="n">
        <v>177.95</v>
      </c>
      <c r="T3917" t="n">
        <v>0</v>
      </c>
      <c r="U3917" t="n">
        <v>1750.41</v>
      </c>
      <c r="X3917" t="inlineStr">
        <is>
          <t>acoa-apeca</t>
        </is>
      </c>
      <c r="Y3917" t="inlineStr">
        <is>
          <t>Atlantic Canada Opportunities Agency | Agence de promotion économique du Canada atlantique</t>
        </is>
      </c>
      <c r="Z3917" t="n">
        <v>4</v>
      </c>
      <c r="AA3917" t="n">
        <v>1750.41</v>
      </c>
      <c r="AB3917">
        <f>ROUND(U3917-AA3917,2)</f>
        <v/>
      </c>
      <c r="AC3917" t="b">
        <v>0</v>
      </c>
      <c r="AD3917">
        <f>IF(U3917="","MISSING_TOTAL",IF(ABS(AB3917)&lt;=0.01,"OK","CHECK"))</f>
        <v/>
      </c>
      <c r="AE3917">
        <f>IF(U3917="","MISSING",IF(AND(AA3917&gt;0,U3917/AA3917&gt;50),"POSSIBLE_SCALE_ERROR","OK"))</f>
        <v/>
      </c>
    </row>
    <row r="3918">
      <c r="A3918" t="inlineStr">
        <is>
          <t>T-2012-Q2-00032</t>
        </is>
      </c>
      <c r="B3918" t="inlineStr">
        <is>
          <t>SLE</t>
        </is>
      </c>
      <c r="C3918" t="inlineStr">
        <is>
          <t>Vice-President, New Brunswick</t>
        </is>
      </c>
      <c r="D3918" t="inlineStr">
        <is>
          <t>Vice-présidente, Nouveau-Brunswick</t>
        </is>
      </c>
      <c r="E3918" t="inlineStr">
        <is>
          <t>Janet Gagnon</t>
        </is>
      </c>
      <c r="F3918" t="inlineStr">
        <is>
          <t>Attend various announcements with Minister</t>
        </is>
      </c>
      <c r="G3918" t="inlineStr">
        <is>
          <t>Assister à diverses annonces avec le ministre</t>
        </is>
      </c>
      <c r="H3918" s="1" t="n">
        <v>40727</v>
      </c>
      <c r="I3918" s="1" t="n">
        <v>40728</v>
      </c>
      <c r="J3918" t="inlineStr">
        <is>
          <t>Edmundston, New Brunswick</t>
        </is>
      </c>
      <c r="K3918" t="inlineStr">
        <is>
          <t>Edmundston (Nouveau-Brunswick)</t>
        </is>
      </c>
      <c r="P3918" t="n">
        <v>0</v>
      </c>
      <c r="Q3918" t="n">
        <v>0</v>
      </c>
      <c r="R3918" t="n">
        <v>133.34</v>
      </c>
      <c r="S3918" t="n">
        <v>88.59999999999999</v>
      </c>
      <c r="T3918" t="n">
        <v>0</v>
      </c>
      <c r="U3918" t="n">
        <v>221.94</v>
      </c>
      <c r="X3918" t="inlineStr">
        <is>
          <t>acoa-apeca</t>
        </is>
      </c>
      <c r="Y3918" t="inlineStr">
        <is>
          <t>Atlantic Canada Opportunities Agency | Agence de promotion économique du Canada atlantique</t>
        </is>
      </c>
      <c r="Z3918" t="n">
        <v>2</v>
      </c>
      <c r="AA3918" t="n">
        <v>221.94</v>
      </c>
      <c r="AB3918">
        <f>ROUND(U3918-AA3918,2)</f>
        <v/>
      </c>
      <c r="AC3918" t="b">
        <v>0</v>
      </c>
      <c r="AD3918">
        <f>IF(U3918="","MISSING_TOTAL",IF(ABS(AB3918)&lt;=0.01,"OK","CHECK"))</f>
        <v/>
      </c>
      <c r="AE3918">
        <f>IF(U3918="","MISSING",IF(AND(AA3918&gt;0,U3918/AA3918&gt;50),"POSSIBLE_SCALE_ERROR","OK"))</f>
        <v/>
      </c>
    </row>
    <row r="3919">
      <c r="A3919" t="inlineStr">
        <is>
          <t>T-2012-Q2-00031</t>
        </is>
      </c>
      <c r="B3919" t="inlineStr">
        <is>
          <t>SLE</t>
        </is>
      </c>
      <c r="C3919" t="inlineStr">
        <is>
          <t>President</t>
        </is>
      </c>
      <c r="D3919" t="inlineStr">
        <is>
          <t>Président</t>
        </is>
      </c>
      <c r="E3919" t="inlineStr">
        <is>
          <t>Paul J. LeBlanc</t>
        </is>
      </c>
      <c r="F3919" t="inlineStr">
        <is>
          <t>For various meetings and discussions with Agency officials</t>
        </is>
      </c>
      <c r="G3919" t="inlineStr">
        <is>
          <t>Diverses réunions et discussions avec des fonctionnaires de l'Agence</t>
        </is>
      </c>
      <c r="H3919" s="1" t="n">
        <v>40727</v>
      </c>
      <c r="I3919" s="1" t="n">
        <v>40729</v>
      </c>
      <c r="J3919" t="inlineStr">
        <is>
          <t>Edmundston, St. Quentin, Saint John and Sussex, New Brunswick</t>
        </is>
      </c>
      <c r="K3919" t="inlineStr">
        <is>
          <t>Edmundston, Saint-Quentin, Saint John et Sussex (Nouveau-Brunswick)</t>
        </is>
      </c>
      <c r="P3919" t="n">
        <v>0</v>
      </c>
      <c r="Q3919" t="n">
        <v>0</v>
      </c>
      <c r="R3919" t="n">
        <v>256.85</v>
      </c>
      <c r="S3919" t="n">
        <v>190</v>
      </c>
      <c r="T3919" t="n">
        <v>98.42</v>
      </c>
      <c r="U3919" t="n">
        <v>545.27</v>
      </c>
      <c r="X3919" t="inlineStr">
        <is>
          <t>acoa-apeca</t>
        </is>
      </c>
      <c r="Y3919" t="inlineStr">
        <is>
          <t>Atlantic Canada Opportunities Agency | Agence de promotion économique du Canada atlantique</t>
        </is>
      </c>
      <c r="Z3919" t="n">
        <v>3</v>
      </c>
      <c r="AA3919" t="n">
        <v>545.27</v>
      </c>
      <c r="AB3919">
        <f>ROUND(U3919-AA3919,2)</f>
        <v/>
      </c>
      <c r="AC3919" t="b">
        <v>0</v>
      </c>
      <c r="AD3919">
        <f>IF(U3919="","MISSING_TOTAL",IF(ABS(AB3919)&lt;=0.01,"OK","CHECK"))</f>
        <v/>
      </c>
      <c r="AE3919">
        <f>IF(U3919="","MISSING",IF(AND(AA3919&gt;0,U3919/AA3919&gt;50),"POSSIBLE_SCALE_ERROR","OK"))</f>
        <v/>
      </c>
    </row>
    <row r="3920">
      <c r="A3920" t="inlineStr">
        <is>
          <t>T-2012-Q2-00030</t>
        </is>
      </c>
      <c r="B3920" t="inlineStr">
        <is>
          <t>SLE</t>
        </is>
      </c>
      <c r="C3920" t="inlineStr">
        <is>
          <t>Vice-President, Newfoundland and Labrador</t>
        </is>
      </c>
      <c r="D3920" t="inlineStr">
        <is>
          <t>Vice-président, Terre-Neuve-et-Labrador</t>
        </is>
      </c>
      <c r="E3920" t="inlineStr">
        <is>
          <t>Paul Mills</t>
        </is>
      </c>
      <c r="F3920" t="inlineStr">
        <is>
          <t>Various travel in the St. John's area</t>
        </is>
      </c>
      <c r="G3920" t="inlineStr">
        <is>
          <t>Voyages divers dans la région de St. John's</t>
        </is>
      </c>
      <c r="H3920" s="1" t="n">
        <v>40722</v>
      </c>
      <c r="I3920" s="1" t="n">
        <v>40899</v>
      </c>
      <c r="J3920" t="inlineStr">
        <is>
          <t>St. John's, Newfoundland and Labrador</t>
        </is>
      </c>
      <c r="K3920" t="inlineStr">
        <is>
          <t>St. John's (Terre-Neuve-et-Labrador)</t>
        </is>
      </c>
      <c r="P3920" t="n">
        <v>0</v>
      </c>
      <c r="Q3920" t="n">
        <v>57.24</v>
      </c>
      <c r="R3920" t="n">
        <v>0</v>
      </c>
      <c r="S3920" t="n">
        <v>0</v>
      </c>
      <c r="T3920" t="n">
        <v>0</v>
      </c>
      <c r="U3920" t="n">
        <v>57.24</v>
      </c>
      <c r="X3920" t="inlineStr">
        <is>
          <t>acoa-apeca</t>
        </is>
      </c>
      <c r="Y3920" t="inlineStr">
        <is>
          <t>Atlantic Canada Opportunities Agency | Agence de promotion économique du Canada atlantique</t>
        </is>
      </c>
      <c r="Z3920" t="n">
        <v>178</v>
      </c>
      <c r="AA3920" t="n">
        <v>57.24</v>
      </c>
      <c r="AB3920">
        <f>ROUND(U3920-AA3920,2)</f>
        <v/>
      </c>
      <c r="AC3920" t="b">
        <v>0</v>
      </c>
      <c r="AD3920">
        <f>IF(U3920="","MISSING_TOTAL",IF(ABS(AB3920)&lt;=0.01,"OK","CHECK"))</f>
        <v/>
      </c>
      <c r="AE3920">
        <f>IF(U3920="","MISSING",IF(AND(AA3920&gt;0,U3920/AA3920&gt;50),"POSSIBLE_SCALE_ERROR","OK"))</f>
        <v/>
      </c>
    </row>
    <row r="3921">
      <c r="A3921" t="inlineStr">
        <is>
          <t>T-2012-Q2-00028</t>
        </is>
      </c>
      <c r="B3921" t="inlineStr">
        <is>
          <t>SLE</t>
        </is>
      </c>
      <c r="C3921" t="inlineStr">
        <is>
          <t>Vice-President, New Brunswick</t>
        </is>
      </c>
      <c r="D3921" t="inlineStr">
        <is>
          <t>Vice-présidente, Nouveau-Brunswick</t>
        </is>
      </c>
      <c r="E3921" t="inlineStr">
        <is>
          <t>Janet Gagnon</t>
        </is>
      </c>
      <c r="F3921" t="inlineStr">
        <is>
          <t>New Brunswick Federal Council (NBFC)Quarterly Meeting</t>
        </is>
      </c>
      <c r="G3921" t="inlineStr">
        <is>
          <t>Réunion trimestrielle du Conseil fédéral du Nouveau-Brunswick (CFNB)</t>
        </is>
      </c>
      <c r="H3921" s="1" t="n">
        <v>40721</v>
      </c>
      <c r="I3921" s="1" t="n">
        <v>40723</v>
      </c>
      <c r="J3921" t="inlineStr">
        <is>
          <t>Sackville, New Brunswick</t>
        </is>
      </c>
      <c r="K3921" t="inlineStr">
        <is>
          <t>Sackville (Nouveau-Brunswick)</t>
        </is>
      </c>
      <c r="P3921" t="n">
        <v>0</v>
      </c>
      <c r="Q3921" t="n">
        <v>0</v>
      </c>
      <c r="R3921" t="n">
        <v>189.84</v>
      </c>
      <c r="S3921" t="n">
        <v>215.7</v>
      </c>
      <c r="T3921" t="n">
        <v>0</v>
      </c>
      <c r="U3921" t="n">
        <v>405.54</v>
      </c>
      <c r="X3921" t="inlineStr">
        <is>
          <t>acoa-apeca</t>
        </is>
      </c>
      <c r="Y3921" t="inlineStr">
        <is>
          <t>Atlantic Canada Opportunities Agency | Agence de promotion économique du Canada atlantique</t>
        </is>
      </c>
      <c r="Z3921" t="n">
        <v>3</v>
      </c>
      <c r="AA3921" t="n">
        <v>405.539999999999</v>
      </c>
      <c r="AB3921">
        <f>ROUND(U3921-AA3921,2)</f>
        <v/>
      </c>
      <c r="AC3921" t="b">
        <v>0</v>
      </c>
      <c r="AD3921">
        <f>IF(U3921="","MISSING_TOTAL",IF(ABS(AB3921)&lt;=0.01,"OK","CHECK"))</f>
        <v/>
      </c>
      <c r="AE3921">
        <f>IF(U3921="","MISSING",IF(AND(AA3921&gt;0,U3921/AA3921&gt;50),"POSSIBLE_SCALE_ERROR","OK"))</f>
        <v/>
      </c>
    </row>
    <row r="3922">
      <c r="A3922" t="inlineStr">
        <is>
          <t>T-2012-Q2-00026</t>
        </is>
      </c>
      <c r="B3922" t="inlineStr">
        <is>
          <t>SLE</t>
        </is>
      </c>
      <c r="C3922" t="inlineStr">
        <is>
          <t>President</t>
        </is>
      </c>
      <c r="D3922" t="inlineStr">
        <is>
          <t>Président</t>
        </is>
      </c>
      <c r="E3922" t="inlineStr">
        <is>
          <t>Paul J. LeBlanc</t>
        </is>
      </c>
      <c r="F3922" t="inlineStr">
        <is>
          <t>For various meetings and discussions with: Agency officials; with Government of Canada officials</t>
        </is>
      </c>
      <c r="G3922" t="inlineStr">
        <is>
          <t>Diverses réunions et discussions avec des fonctionnaires de l'Agence et du gouvernement du Canada</t>
        </is>
      </c>
      <c r="H3922" s="1" t="n">
        <v>40721</v>
      </c>
      <c r="I3922" s="1" t="n">
        <v>40724</v>
      </c>
      <c r="J3922" t="inlineStr">
        <is>
          <t>Ottawa, Ontario</t>
        </is>
      </c>
      <c r="K3922" t="inlineStr">
        <is>
          <t>Ottawa (Ontario)</t>
        </is>
      </c>
      <c r="P3922" t="n">
        <v>727.36</v>
      </c>
      <c r="Q3922" t="n">
        <v>13.13</v>
      </c>
      <c r="R3922" t="n">
        <v>522.0599999999999</v>
      </c>
      <c r="S3922" t="n">
        <v>222.35</v>
      </c>
      <c r="T3922" t="n">
        <v>45</v>
      </c>
      <c r="U3922" t="n">
        <v>1529.9</v>
      </c>
      <c r="X3922" t="inlineStr">
        <is>
          <t>acoa-apeca</t>
        </is>
      </c>
      <c r="Y3922" t="inlineStr">
        <is>
          <t>Atlantic Canada Opportunities Agency | Agence de promotion économique du Canada atlantique</t>
        </is>
      </c>
      <c r="Z3922" t="n">
        <v>4</v>
      </c>
      <c r="AA3922" t="n">
        <v>1529.89999999999</v>
      </c>
      <c r="AB3922">
        <f>ROUND(U3922-AA3922,2)</f>
        <v/>
      </c>
      <c r="AC3922" t="b">
        <v>0</v>
      </c>
      <c r="AD3922">
        <f>IF(U3922="","MISSING_TOTAL",IF(ABS(AB3922)&lt;=0.01,"OK","CHECK"))</f>
        <v/>
      </c>
      <c r="AE3922">
        <f>IF(U3922="","MISSING",IF(AND(AA3922&gt;0,U3922/AA3922&gt;50),"POSSIBLE_SCALE_ERROR","OK"))</f>
        <v/>
      </c>
    </row>
    <row r="3923">
      <c r="A3923" t="inlineStr">
        <is>
          <t>T-2012-Q2-00023</t>
        </is>
      </c>
      <c r="B3923" t="inlineStr">
        <is>
          <t>SLE</t>
        </is>
      </c>
      <c r="C3923" t="inlineStr">
        <is>
          <t>Vice-President, Prince Edward Island</t>
        </is>
      </c>
      <c r="D3923" t="inlineStr">
        <is>
          <t>Vice-président, Île-du-Prince-Édouard</t>
        </is>
      </c>
      <c r="E3923" t="inlineStr">
        <is>
          <t>Patrick Dorsey</t>
        </is>
      </c>
      <c r="F3923" t="inlineStr">
        <is>
          <t>To attend the BIO2011 World Congress on Biotechnology in Washington, DC</t>
        </is>
      </c>
      <c r="G3923" t="inlineStr">
        <is>
          <t>Assister au congrès mondial sur la biotechnologie BIO2011 à Washington (district de Columbia)</t>
        </is>
      </c>
      <c r="H3923" s="1" t="n">
        <v>40720</v>
      </c>
      <c r="I3923" s="1" t="n">
        <v>40723</v>
      </c>
      <c r="J3923" t="inlineStr">
        <is>
          <t>Washington, District of Columbia, USA</t>
        </is>
      </c>
      <c r="K3923" t="inlineStr">
        <is>
          <t>Washington (district de Columbia - États-Unis)</t>
        </is>
      </c>
      <c r="P3923" t="n">
        <v>1540.02</v>
      </c>
      <c r="Q3923" t="n">
        <v>419.89</v>
      </c>
      <c r="R3923" t="n">
        <v>849.6799999999999</v>
      </c>
      <c r="S3923" t="n">
        <v>219.54</v>
      </c>
      <c r="T3923" t="n">
        <v>0</v>
      </c>
      <c r="U3923" t="n">
        <v>3029.13</v>
      </c>
      <c r="X3923" t="inlineStr">
        <is>
          <t>acoa-apeca</t>
        </is>
      </c>
      <c r="Y3923" t="inlineStr">
        <is>
          <t>Atlantic Canada Opportunities Agency | Agence de promotion économique du Canada atlantique</t>
        </is>
      </c>
      <c r="Z3923" t="n">
        <v>4</v>
      </c>
      <c r="AA3923" t="n">
        <v>3029.12999999999</v>
      </c>
      <c r="AB3923">
        <f>ROUND(U3923-AA3923,2)</f>
        <v/>
      </c>
      <c r="AC3923" t="b">
        <v>0</v>
      </c>
      <c r="AD3923">
        <f>IF(U3923="","MISSING_TOTAL",IF(ABS(AB3923)&lt;=0.01,"OK","CHECK"))</f>
        <v/>
      </c>
      <c r="AE3923">
        <f>IF(U3923="","MISSING",IF(AND(AA3923&gt;0,U3923/AA3923&gt;50),"POSSIBLE_SCALE_ERROR","OK"))</f>
        <v/>
      </c>
    </row>
    <row r="3924">
      <c r="A3924" t="inlineStr">
        <is>
          <t>T-2012-Q2-00022</t>
        </is>
      </c>
      <c r="B3924" t="inlineStr">
        <is>
          <t>SLE</t>
        </is>
      </c>
      <c r="C3924" t="inlineStr">
        <is>
          <t>Vice-President, Prince Edward Island</t>
        </is>
      </c>
      <c r="D3924" t="inlineStr">
        <is>
          <t>Vice-président, Île-du-Prince-Édouard</t>
        </is>
      </c>
      <c r="E3924" t="inlineStr">
        <is>
          <t>Patrick Dorsey</t>
        </is>
      </c>
      <c r="F3924" t="inlineStr">
        <is>
          <t>To attend a Federal Regional Council Chairs Meeting in Charlottetown, PEI</t>
        </is>
      </c>
      <c r="G3924" t="inlineStr">
        <is>
          <t>Assister à une réunion des présidents des Conseils fédéraux régionaux à Charlottetown (Île-du-Prince-Édouard)</t>
        </is>
      </c>
      <c r="H3924" s="1" t="n">
        <v>40716</v>
      </c>
      <c r="I3924" s="1" t="n">
        <v>40716</v>
      </c>
      <c r="J3924" t="inlineStr">
        <is>
          <t>Charlottetown, Prince Edward Island</t>
        </is>
      </c>
      <c r="K3924" t="inlineStr">
        <is>
          <t>Charlottetown (Île-du-Prince-Édouard)</t>
        </is>
      </c>
      <c r="P3924" t="n">
        <v>0</v>
      </c>
      <c r="Q3924" t="n">
        <v>0</v>
      </c>
      <c r="R3924" t="n">
        <v>0</v>
      </c>
      <c r="S3924" t="n">
        <v>39.85</v>
      </c>
      <c r="T3924" t="n">
        <v>0</v>
      </c>
      <c r="U3924" t="n">
        <v>39.85</v>
      </c>
      <c r="X3924" t="inlineStr">
        <is>
          <t>acoa-apeca</t>
        </is>
      </c>
      <c r="Y3924" t="inlineStr">
        <is>
          <t>Atlantic Canada Opportunities Agency | Agence de promotion économique du Canada atlantique</t>
        </is>
      </c>
      <c r="Z3924" t="n">
        <v>1</v>
      </c>
      <c r="AA3924" t="n">
        <v>39.85</v>
      </c>
      <c r="AB3924">
        <f>ROUND(U3924-AA3924,2)</f>
        <v/>
      </c>
      <c r="AC3924" t="b">
        <v>0</v>
      </c>
      <c r="AD3924">
        <f>IF(U3924="","MISSING_TOTAL",IF(ABS(AB3924)&lt;=0.01,"OK","CHECK"))</f>
        <v/>
      </c>
      <c r="AE3924">
        <f>IF(U3924="","MISSING",IF(AND(AA3924&gt;0,U3924/AA3924&gt;50),"POSSIBLE_SCALE_ERROR","OK"))</f>
        <v/>
      </c>
    </row>
    <row r="3925">
      <c r="A3925" t="inlineStr">
        <is>
          <t>T-2012-Q2-00021</t>
        </is>
      </c>
      <c r="B3925" t="inlineStr">
        <is>
          <t>SLE</t>
        </is>
      </c>
      <c r="C3925" t="inlineStr">
        <is>
          <t>Vice President, Nova Scotia</t>
        </is>
      </c>
      <c r="D3925" t="inlineStr">
        <is>
          <t>Vice-président, Nouvelle-Écosse</t>
        </is>
      </c>
      <c r="E3925" t="inlineStr">
        <is>
          <t>Peter Hogan</t>
        </is>
      </c>
      <c r="F3925" t="inlineStr">
        <is>
          <t>National Federal Council Chairs Meeting</t>
        </is>
      </c>
      <c r="G3925" t="inlineStr">
        <is>
          <t>Réunion nationale des présidents des Conseils fédéraux</t>
        </is>
      </c>
      <c r="H3925" s="1" t="n">
        <v>40715</v>
      </c>
      <c r="I3925" s="1" t="n">
        <v>40717</v>
      </c>
      <c r="J3925" t="inlineStr">
        <is>
          <t>Charlottetown, PE</t>
        </is>
      </c>
      <c r="K3925" t="inlineStr">
        <is>
          <t>Charlottetown (Île-du-Prince-Édouard)</t>
        </is>
      </c>
      <c r="P3925" t="n">
        <v>490.35</v>
      </c>
      <c r="Q3925" t="n">
        <v>34.8</v>
      </c>
      <c r="R3925" t="n">
        <v>472.24</v>
      </c>
      <c r="S3925" t="n">
        <v>175.85</v>
      </c>
      <c r="T3925" t="n">
        <v>36</v>
      </c>
      <c r="U3925" t="n">
        <v>1209.24</v>
      </c>
      <c r="X3925" t="inlineStr">
        <is>
          <t>acoa-apeca</t>
        </is>
      </c>
      <c r="Y3925" t="inlineStr">
        <is>
          <t>Atlantic Canada Opportunities Agency | Agence de promotion économique du Canada atlantique</t>
        </is>
      </c>
      <c r="Z3925" t="n">
        <v>3</v>
      </c>
      <c r="AA3925" t="n">
        <v>1209.24</v>
      </c>
      <c r="AB3925">
        <f>ROUND(U3925-AA3925,2)</f>
        <v/>
      </c>
      <c r="AC3925" t="b">
        <v>0</v>
      </c>
      <c r="AD3925">
        <f>IF(U3925="","MISSING_TOTAL",IF(ABS(AB3925)&lt;=0.01,"OK","CHECK"))</f>
        <v/>
      </c>
      <c r="AE3925">
        <f>IF(U3925="","MISSING",IF(AND(AA3925&gt;0,U3925/AA3925&gt;50),"POSSIBLE_SCALE_ERROR","OK"))</f>
        <v/>
      </c>
    </row>
    <row r="3926">
      <c r="A3926" t="inlineStr">
        <is>
          <t>T-2012-Q2-00020</t>
        </is>
      </c>
      <c r="B3926" t="inlineStr">
        <is>
          <t>SLE</t>
        </is>
      </c>
      <c r="C3926" t="inlineStr">
        <is>
          <t>Vice-President, New Brunswick</t>
        </is>
      </c>
      <c r="D3926" t="inlineStr">
        <is>
          <t>Vice-présidente, Nouveau-Brunswick</t>
        </is>
      </c>
      <c r="E3926" t="inlineStr">
        <is>
          <t>Janet Gagnon</t>
        </is>
      </c>
      <c r="F3926" t="inlineStr">
        <is>
          <t>Regional Federal Council Chairs Meeting</t>
        </is>
      </c>
      <c r="G3926" t="inlineStr">
        <is>
          <t>Réunion des présidents des Conseils fédéraux régionaux</t>
        </is>
      </c>
      <c r="H3926" s="1" t="n">
        <v>40715</v>
      </c>
      <c r="I3926" s="1" t="n">
        <v>40717</v>
      </c>
      <c r="J3926" t="inlineStr">
        <is>
          <t>Charlottetown, Prince Edward Island</t>
        </is>
      </c>
      <c r="K3926" t="inlineStr">
        <is>
          <t>Charlottetown (Île-du-Prince-Édouard)</t>
        </is>
      </c>
      <c r="P3926" t="n">
        <v>0</v>
      </c>
      <c r="Q3926" t="n">
        <v>0</v>
      </c>
      <c r="R3926" t="n">
        <v>481.72</v>
      </c>
      <c r="S3926" t="n">
        <v>215.7</v>
      </c>
      <c r="T3926" t="n">
        <v>56.25</v>
      </c>
      <c r="U3926" t="n">
        <v>753.67</v>
      </c>
      <c r="X3926" t="inlineStr">
        <is>
          <t>acoa-apeca</t>
        </is>
      </c>
      <c r="Y3926" t="inlineStr">
        <is>
          <t>Atlantic Canada Opportunities Agency | Agence de promotion économique du Canada atlantique</t>
        </is>
      </c>
      <c r="Z3926" t="n">
        <v>3</v>
      </c>
      <c r="AA3926" t="n">
        <v>753.67</v>
      </c>
      <c r="AB3926">
        <f>ROUND(U3926-AA3926,2)</f>
        <v/>
      </c>
      <c r="AC3926" t="b">
        <v>0</v>
      </c>
      <c r="AD3926">
        <f>IF(U3926="","MISSING_TOTAL",IF(ABS(AB3926)&lt;=0.01,"OK","CHECK"))</f>
        <v/>
      </c>
      <c r="AE3926">
        <f>IF(U3926="","MISSING",IF(AND(AA3926&gt;0,U3926/AA3926&gt;50),"POSSIBLE_SCALE_ERROR","OK"))</f>
        <v/>
      </c>
    </row>
    <row r="3927">
      <c r="A3927" t="inlineStr">
        <is>
          <t>T-2012-Q2-00019</t>
        </is>
      </c>
      <c r="B3927" t="inlineStr">
        <is>
          <t>SLE</t>
        </is>
      </c>
      <c r="C3927" t="inlineStr">
        <is>
          <t>Vice-President, Newfoundland and Labrador</t>
        </is>
      </c>
      <c r="D3927" t="inlineStr">
        <is>
          <t>Vice-président, Terre-Neuve-et-Labrador</t>
        </is>
      </c>
      <c r="E3927" t="inlineStr">
        <is>
          <t>Paul Mills</t>
        </is>
      </c>
      <c r="F3927" t="inlineStr">
        <is>
          <t>To Attend National Regional Federal Council Chairs Meeting in PEI and meetings with senior officials in Halifax</t>
        </is>
      </c>
      <c r="G3927" t="inlineStr">
        <is>
          <t>Réunion nationale des présidents des Conseils fédéraux régionaux à l'Île-du-Prince-Édouard; réunions avec des hauts fonctionnaires à Halifax</t>
        </is>
      </c>
      <c r="H3927" s="1" t="n">
        <v>40715</v>
      </c>
      <c r="I3927" s="1" t="n">
        <v>40718</v>
      </c>
      <c r="J3927" t="inlineStr">
        <is>
          <t>Charlottetown, PE</t>
        </is>
      </c>
      <c r="K3927" t="inlineStr">
        <is>
          <t>Charlottetown (Île-du-Prince-Édouard)</t>
        </is>
      </c>
      <c r="P3927" t="n">
        <v>1329.26</v>
      </c>
      <c r="Q3927" t="n">
        <v>403.23</v>
      </c>
      <c r="R3927" t="n">
        <v>647.02</v>
      </c>
      <c r="S3927" t="n">
        <v>276.35</v>
      </c>
      <c r="T3927" t="n">
        <v>62.63</v>
      </c>
      <c r="U3927" t="n">
        <v>2718.49</v>
      </c>
      <c r="X3927" t="inlineStr">
        <is>
          <t>acoa-apeca</t>
        </is>
      </c>
      <c r="Y3927" t="inlineStr">
        <is>
          <t>Atlantic Canada Opportunities Agency | Agence de promotion économique du Canada atlantique</t>
        </is>
      </c>
      <c r="Z3927" t="n">
        <v>4</v>
      </c>
      <c r="AA3927" t="n">
        <v>2718.49</v>
      </c>
      <c r="AB3927">
        <f>ROUND(U3927-AA3927,2)</f>
        <v/>
      </c>
      <c r="AC3927" t="b">
        <v>0</v>
      </c>
      <c r="AD3927">
        <f>IF(U3927="","MISSING_TOTAL",IF(ABS(AB3927)&lt;=0.01,"OK","CHECK"))</f>
        <v/>
      </c>
      <c r="AE3927">
        <f>IF(U3927="","MISSING",IF(AND(AA3927&gt;0,U3927/AA3927&gt;50),"POSSIBLE_SCALE_ERROR","OK"))</f>
        <v/>
      </c>
    </row>
    <row r="3928">
      <c r="A3928" t="inlineStr">
        <is>
          <t>T-2012-Q2-00018</t>
        </is>
      </c>
      <c r="B3928" t="inlineStr">
        <is>
          <t>SLE</t>
        </is>
      </c>
      <c r="C3928" t="inlineStr">
        <is>
          <t>Vice-President, Prince Edward Island</t>
        </is>
      </c>
      <c r="D3928" t="inlineStr">
        <is>
          <t>Vice-président, Île-du-Prince-Édouard</t>
        </is>
      </c>
      <c r="E3928" t="inlineStr">
        <is>
          <t>Patrick Dorsey</t>
        </is>
      </c>
      <c r="F3928" t="inlineStr">
        <is>
          <t>To attend Briefing for Minister Valcourt in Ottawa, ON</t>
        </is>
      </c>
      <c r="G3928" t="inlineStr">
        <is>
          <t>Assister à une séance d'information pour le ministre Valcourt à Ottawa (Ontario)</t>
        </is>
      </c>
      <c r="H3928" s="1" t="n">
        <v>40714</v>
      </c>
      <c r="I3928" s="1" t="n">
        <v>40715</v>
      </c>
      <c r="J3928" t="inlineStr">
        <is>
          <t>Ottawa, Ontario</t>
        </is>
      </c>
      <c r="K3928" t="inlineStr">
        <is>
          <t>Ottawa (Ontario)</t>
        </is>
      </c>
      <c r="P3928" t="n">
        <v>1490.33</v>
      </c>
      <c r="Q3928" t="n">
        <v>84</v>
      </c>
      <c r="R3928" t="n">
        <v>175.15</v>
      </c>
      <c r="S3928" t="n">
        <v>103.65</v>
      </c>
      <c r="T3928" t="n">
        <v>0</v>
      </c>
      <c r="U3928" t="n">
        <v>1853.13</v>
      </c>
      <c r="X3928" t="inlineStr">
        <is>
          <t>acoa-apeca</t>
        </is>
      </c>
      <c r="Y3928" t="inlineStr">
        <is>
          <t>Atlantic Canada Opportunities Agency | Agence de promotion économique du Canada atlantique</t>
        </is>
      </c>
      <c r="Z3928" t="n">
        <v>2</v>
      </c>
      <c r="AA3928" t="n">
        <v>1853.13</v>
      </c>
      <c r="AB3928">
        <f>ROUND(U3928-AA3928,2)</f>
        <v/>
      </c>
      <c r="AC3928" t="b">
        <v>0</v>
      </c>
      <c r="AD3928">
        <f>IF(U3928="","MISSING_TOTAL",IF(ABS(AB3928)&lt;=0.01,"OK","CHECK"))</f>
        <v/>
      </c>
      <c r="AE3928">
        <f>IF(U3928="","MISSING",IF(AND(AA3928&gt;0,U3928/AA3928&gt;50),"POSSIBLE_SCALE_ERROR","OK"))</f>
        <v/>
      </c>
    </row>
    <row r="3929">
      <c r="A3929" t="inlineStr">
        <is>
          <t>T-2012-Q2-00017</t>
        </is>
      </c>
      <c r="B3929" t="inlineStr">
        <is>
          <t>SLE</t>
        </is>
      </c>
      <c r="C3929" t="inlineStr">
        <is>
          <t>Vice-President, New Brunswick</t>
        </is>
      </c>
      <c r="D3929" t="inlineStr">
        <is>
          <t>Vice-présidente, Nouveau-Brunswick</t>
        </is>
      </c>
      <c r="E3929" t="inlineStr">
        <is>
          <t>Janet Gagnon</t>
        </is>
      </c>
      <c r="F3929" t="inlineStr">
        <is>
          <t>Visit the Grand Falls District Office</t>
        </is>
      </c>
      <c r="G3929" t="inlineStr">
        <is>
          <t>Visite du bureau de district de Grand-Sault</t>
        </is>
      </c>
      <c r="H3929" s="1" t="n">
        <v>40714</v>
      </c>
      <c r="I3929" s="1" t="n">
        <v>40714</v>
      </c>
      <c r="J3929" t="inlineStr">
        <is>
          <t>Grand Falls, New Brunswick</t>
        </is>
      </c>
      <c r="K3929" t="inlineStr">
        <is>
          <t>Grand-Sault (Nouveau-Brunswick)</t>
        </is>
      </c>
      <c r="P3929" t="n">
        <v>0</v>
      </c>
      <c r="Q3929" t="n">
        <v>0</v>
      </c>
      <c r="R3929" t="n">
        <v>0</v>
      </c>
      <c r="S3929" t="n">
        <v>54.9</v>
      </c>
      <c r="T3929" t="n">
        <v>0</v>
      </c>
      <c r="U3929" t="n">
        <v>54.9</v>
      </c>
      <c r="X3929" t="inlineStr">
        <is>
          <t>acoa-apeca</t>
        </is>
      </c>
      <c r="Y3929" t="inlineStr">
        <is>
          <t>Atlantic Canada Opportunities Agency | Agence de promotion économique du Canada atlantique</t>
        </is>
      </c>
      <c r="Z3929" t="n">
        <v>1</v>
      </c>
      <c r="AA3929" t="n">
        <v>54.9</v>
      </c>
      <c r="AB3929">
        <f>ROUND(U3929-AA3929,2)</f>
        <v/>
      </c>
      <c r="AC3929" t="b">
        <v>0</v>
      </c>
      <c r="AD3929">
        <f>IF(U3929="","MISSING_TOTAL",IF(ABS(AB3929)&lt;=0.01,"OK","CHECK"))</f>
        <v/>
      </c>
      <c r="AE3929">
        <f>IF(U3929="","MISSING",IF(AND(AA3929&gt;0,U3929/AA3929&gt;50),"POSSIBLE_SCALE_ERROR","OK"))</f>
        <v/>
      </c>
    </row>
    <row r="3930">
      <c r="A3930" t="inlineStr">
        <is>
          <t>T-2012-Q2-00015</t>
        </is>
      </c>
      <c r="B3930" t="inlineStr">
        <is>
          <t>SLE</t>
        </is>
      </c>
      <c r="C3930" t="inlineStr">
        <is>
          <t>President</t>
        </is>
      </c>
      <c r="D3930" t="inlineStr">
        <is>
          <t>Président</t>
        </is>
      </c>
      <c r="E3930" t="inlineStr">
        <is>
          <t>Paul J. LeBlanc</t>
        </is>
      </c>
      <c r="F3930" t="inlineStr">
        <is>
          <t>To take part in the 2011 International Paris Airshow</t>
        </is>
      </c>
      <c r="G3930" t="inlineStr">
        <is>
          <t>Participer au Salon international de l'aéronautique de Paris 2011</t>
        </is>
      </c>
      <c r="H3930" s="1" t="n">
        <v>40711</v>
      </c>
      <c r="I3930" s="1" t="n">
        <v>40720</v>
      </c>
      <c r="J3930" t="inlineStr">
        <is>
          <t>Paris, France</t>
        </is>
      </c>
      <c r="K3930" t="inlineStr">
        <is>
          <t>Paris (France)</t>
        </is>
      </c>
      <c r="P3930" t="n">
        <v>6724.36</v>
      </c>
      <c r="Q3930" t="n">
        <v>40</v>
      </c>
      <c r="R3930" t="n">
        <v>1646.06</v>
      </c>
      <c r="S3930" t="n">
        <v>844.78</v>
      </c>
      <c r="T3930" t="n">
        <v>0</v>
      </c>
      <c r="U3930" t="n">
        <v>9255.200000000001</v>
      </c>
      <c r="X3930" t="inlineStr">
        <is>
          <t>acoa-apeca</t>
        </is>
      </c>
      <c r="Y3930" t="inlineStr">
        <is>
          <t>Atlantic Canada Opportunities Agency | Agence de promotion économique du Canada atlantique</t>
        </is>
      </c>
      <c r="Z3930" t="n">
        <v>10</v>
      </c>
      <c r="AA3930" t="n">
        <v>9255.200000000001</v>
      </c>
      <c r="AB3930">
        <f>ROUND(U3930-AA3930,2)</f>
        <v/>
      </c>
      <c r="AC3930" t="b">
        <v>0</v>
      </c>
      <c r="AD3930">
        <f>IF(U3930="","MISSING_TOTAL",IF(ABS(AB3930)&lt;=0.01,"OK","CHECK"))</f>
        <v/>
      </c>
      <c r="AE3930">
        <f>IF(U3930="","MISSING",IF(AND(AA3930&gt;0,U3930/AA3930&gt;50),"POSSIBLE_SCALE_ERROR","OK"))</f>
        <v/>
      </c>
    </row>
    <row r="3931">
      <c r="A3931" t="inlineStr">
        <is>
          <t>T-2012-Q2-00014</t>
        </is>
      </c>
      <c r="B3931" t="inlineStr">
        <is>
          <t>MPSES</t>
        </is>
      </c>
      <c r="C3931" t="inlineStr">
        <is>
          <t>Minister of State</t>
        </is>
      </c>
      <c r="D3931" t="inlineStr">
        <is>
          <t>Ministre d'État</t>
        </is>
      </c>
      <c r="E3931" t="inlineStr">
        <is>
          <t>Bernard Valcourt</t>
        </is>
      </c>
      <c r="F3931" t="inlineStr">
        <is>
          <t>Travel to speak at the Conférence ministérielle sur la francophonie canadienne</t>
        </is>
      </c>
      <c r="G3931" t="inlineStr">
        <is>
          <t>Prendre la parole à la Conférence ministérielle sur la francophonie canadienne</t>
        </is>
      </c>
      <c r="H3931" s="1" t="n">
        <v>40710</v>
      </c>
      <c r="I3931" s="1" t="n">
        <v>40711</v>
      </c>
      <c r="J3931" t="inlineStr">
        <is>
          <t>Moncton, New Brunswick</t>
        </is>
      </c>
      <c r="K3931" t="inlineStr">
        <is>
          <t>Moncton (Nouveau-Brunswick)</t>
        </is>
      </c>
      <c r="P3931" t="n">
        <v>0</v>
      </c>
      <c r="Q3931" t="n">
        <v>215.94</v>
      </c>
      <c r="R3931" t="n">
        <v>0</v>
      </c>
      <c r="S3931" t="n">
        <v>0</v>
      </c>
      <c r="T3931" t="n">
        <v>0</v>
      </c>
      <c r="U3931" t="n">
        <v>215.94</v>
      </c>
      <c r="X3931" t="inlineStr">
        <is>
          <t>acoa-apeca</t>
        </is>
      </c>
      <c r="Y3931" t="inlineStr">
        <is>
          <t>Atlantic Canada Opportunities Agency | Agence de promotion économique du Canada atlantique</t>
        </is>
      </c>
      <c r="Z3931" t="n">
        <v>2</v>
      </c>
      <c r="AA3931" t="n">
        <v>215.94</v>
      </c>
      <c r="AB3931">
        <f>ROUND(U3931-AA3931,2)</f>
        <v/>
      </c>
      <c r="AC3931" t="b">
        <v>0</v>
      </c>
      <c r="AD3931">
        <f>IF(U3931="","MISSING_TOTAL",IF(ABS(AB3931)&lt;=0.01,"OK","CHECK"))</f>
        <v/>
      </c>
      <c r="AE3931">
        <f>IF(U3931="","MISSING",IF(AND(AA3931&gt;0,U3931/AA3931&gt;50),"POSSIBLE_SCALE_ERROR","OK"))</f>
        <v/>
      </c>
    </row>
    <row r="3932">
      <c r="A3932" t="inlineStr">
        <is>
          <t>T-2012-Q2-00010</t>
        </is>
      </c>
      <c r="B3932" t="inlineStr">
        <is>
          <t>SLE</t>
        </is>
      </c>
      <c r="C3932" t="inlineStr">
        <is>
          <t>Vice-President, Prince Edward Island</t>
        </is>
      </c>
      <c r="D3932" t="inlineStr">
        <is>
          <t>Vice-président, Île-du-Prince-Édouard</t>
        </is>
      </c>
      <c r="E3932" t="inlineStr">
        <is>
          <t>Patrick Dorsey</t>
        </is>
      </c>
      <c r="F3932" t="inlineStr">
        <is>
          <t>To attend Executive Committee Meeting in Moncton and Meetings in Ottawa, ON</t>
        </is>
      </c>
      <c r="G3932" t="inlineStr">
        <is>
          <t>Assister à une réunion du Comité de direction à Moncton et à des réunions à Ottawa (Ontario)</t>
        </is>
      </c>
      <c r="H3932" s="1" t="n">
        <v>40708</v>
      </c>
      <c r="I3932" s="1" t="n">
        <v>40710</v>
      </c>
      <c r="J3932" t="inlineStr">
        <is>
          <t>Ottawa, Ontario</t>
        </is>
      </c>
      <c r="K3932" t="inlineStr">
        <is>
          <t>Ottawa (Ontario)</t>
        </is>
      </c>
      <c r="P3932" t="n">
        <v>700.39</v>
      </c>
      <c r="Q3932" t="n">
        <v>249.54</v>
      </c>
      <c r="R3932" t="n">
        <v>319.79</v>
      </c>
      <c r="S3932" t="n">
        <v>215.7</v>
      </c>
      <c r="T3932" t="n">
        <v>0</v>
      </c>
      <c r="U3932" t="n">
        <v>1485.42</v>
      </c>
      <c r="X3932" t="inlineStr">
        <is>
          <t>acoa-apeca</t>
        </is>
      </c>
      <c r="Y3932" t="inlineStr">
        <is>
          <t>Atlantic Canada Opportunities Agency | Agence de promotion économique du Canada atlantique</t>
        </is>
      </c>
      <c r="Z3932" t="n">
        <v>3</v>
      </c>
      <c r="AA3932" t="n">
        <v>1485.42</v>
      </c>
      <c r="AB3932">
        <f>ROUND(U3932-AA3932,2)</f>
        <v/>
      </c>
      <c r="AC3932" t="b">
        <v>0</v>
      </c>
      <c r="AD3932">
        <f>IF(U3932="","MISSING_TOTAL",IF(ABS(AB3932)&lt;=0.01,"OK","CHECK"))</f>
        <v/>
      </c>
      <c r="AE3932">
        <f>IF(U3932="","MISSING",IF(AND(AA3932&gt;0,U3932/AA3932&gt;50),"POSSIBLE_SCALE_ERROR","OK"))</f>
        <v/>
      </c>
    </row>
    <row r="3933">
      <c r="A3933" t="inlineStr">
        <is>
          <t>T-2012-Q2-00009</t>
        </is>
      </c>
      <c r="B3933" t="inlineStr">
        <is>
          <t>SLE</t>
        </is>
      </c>
      <c r="C3933" t="inlineStr">
        <is>
          <t>Vice-President, Newfoundland and Labrador</t>
        </is>
      </c>
      <c r="D3933" t="inlineStr">
        <is>
          <t>Vice-président, Terre-Neuve-et-Labrador</t>
        </is>
      </c>
      <c r="E3933" t="inlineStr">
        <is>
          <t>Paul Mills</t>
        </is>
      </c>
      <c r="F3933" t="inlineStr">
        <is>
          <t>Meeting to Brief the Minister in Ottawa and EXCOM in Moncton</t>
        </is>
      </c>
      <c r="G3933" t="inlineStr">
        <is>
          <t>Réunion pour informer le ministre à Ottawa et réunion du Comité de direction à Moncton</t>
        </is>
      </c>
      <c r="H3933" s="1" t="n">
        <v>40707</v>
      </c>
      <c r="I3933" s="1" t="n">
        <v>40711</v>
      </c>
      <c r="J3933" t="inlineStr">
        <is>
          <t>Ottawa, ON</t>
        </is>
      </c>
      <c r="K3933" t="inlineStr">
        <is>
          <t>Ottawa (Ontario)</t>
        </is>
      </c>
      <c r="P3933" t="n">
        <v>1993.89</v>
      </c>
      <c r="Q3933" t="n">
        <v>265.29</v>
      </c>
      <c r="R3933" t="n">
        <v>669.35</v>
      </c>
      <c r="S3933" t="n">
        <v>348.55</v>
      </c>
      <c r="T3933" t="n">
        <v>157.47</v>
      </c>
      <c r="U3933" t="n">
        <v>3434.55</v>
      </c>
      <c r="X3933" t="inlineStr">
        <is>
          <t>acoa-apeca</t>
        </is>
      </c>
      <c r="Y3933" t="inlineStr">
        <is>
          <t>Atlantic Canada Opportunities Agency | Agence de promotion économique du Canada atlantique</t>
        </is>
      </c>
      <c r="Z3933" t="n">
        <v>5</v>
      </c>
      <c r="AA3933" t="n">
        <v>3434.55</v>
      </c>
      <c r="AB3933">
        <f>ROUND(U3933-AA3933,2)</f>
        <v/>
      </c>
      <c r="AC3933" t="b">
        <v>0</v>
      </c>
      <c r="AD3933">
        <f>IF(U3933="","MISSING_TOTAL",IF(ABS(AB3933)&lt;=0.01,"OK","CHECK"))</f>
        <v/>
      </c>
      <c r="AE3933">
        <f>IF(U3933="","MISSING",IF(AND(AA3933&gt;0,U3933/AA3933&gt;50),"POSSIBLE_SCALE_ERROR","OK"))</f>
        <v/>
      </c>
    </row>
    <row r="3934">
      <c r="A3934" t="inlineStr">
        <is>
          <t>T-2012-Q2-00008</t>
        </is>
      </c>
      <c r="B3934" t="inlineStr">
        <is>
          <t>SLE</t>
        </is>
      </c>
      <c r="C3934" t="inlineStr">
        <is>
          <t>President</t>
        </is>
      </c>
      <c r="D3934" t="inlineStr">
        <is>
          <t>Président</t>
        </is>
      </c>
      <c r="E3934" t="inlineStr">
        <is>
          <t>Paul J. LeBlanc</t>
        </is>
      </c>
      <c r="F3934" t="inlineStr">
        <is>
          <t>For various meetings and discussions with: Agency officials; and with Government of Canada officials</t>
        </is>
      </c>
      <c r="G3934" t="inlineStr">
        <is>
          <t>Diverses réunions et discussions avec des fonctionnaires de l'Agence et du gouvernement du Canada</t>
        </is>
      </c>
      <c r="H3934" s="1" t="n">
        <v>40707</v>
      </c>
      <c r="I3934" s="1" t="n">
        <v>40709</v>
      </c>
      <c r="J3934" t="inlineStr">
        <is>
          <t>Ottawa, Ontario</t>
        </is>
      </c>
      <c r="K3934" t="inlineStr">
        <is>
          <t>Ottawa (Ontario)</t>
        </is>
      </c>
      <c r="P3934" t="n">
        <v>741.24</v>
      </c>
      <c r="Q3934" t="n">
        <v>48.13</v>
      </c>
      <c r="R3934" t="n">
        <v>348.04</v>
      </c>
      <c r="S3934" t="n">
        <v>214.8</v>
      </c>
      <c r="T3934" t="n">
        <v>158</v>
      </c>
      <c r="U3934" t="n">
        <v>1510.21</v>
      </c>
      <c r="X3934" t="inlineStr">
        <is>
          <t>acoa-apeca</t>
        </is>
      </c>
      <c r="Y3934" t="inlineStr">
        <is>
          <t>Atlantic Canada Opportunities Agency | Agence de promotion économique du Canada atlantique</t>
        </is>
      </c>
      <c r="Z3934" t="n">
        <v>3</v>
      </c>
      <c r="AA3934" t="n">
        <v>1510.21</v>
      </c>
      <c r="AB3934">
        <f>ROUND(U3934-AA3934,2)</f>
        <v/>
      </c>
      <c r="AC3934" t="b">
        <v>0</v>
      </c>
      <c r="AD3934">
        <f>IF(U3934="","MISSING_TOTAL",IF(ABS(AB3934)&lt;=0.01,"OK","CHECK"))</f>
        <v/>
      </c>
      <c r="AE3934">
        <f>IF(U3934="","MISSING",IF(AND(AA3934&gt;0,U3934/AA3934&gt;50),"POSSIBLE_SCALE_ERROR","OK"))</f>
        <v/>
      </c>
    </row>
    <row r="3935">
      <c r="A3935" t="inlineStr">
        <is>
          <t>T-2012-Q1-00054</t>
        </is>
      </c>
      <c r="B3935" t="inlineStr">
        <is>
          <t>SLE</t>
        </is>
      </c>
      <c r="C3935" t="inlineStr">
        <is>
          <t>Vice President, Nova Scotia</t>
        </is>
      </c>
      <c r="D3935" t="inlineStr">
        <is>
          <t>Vice-président, Nouvelle-Écosse</t>
        </is>
      </c>
      <c r="E3935" t="inlineStr">
        <is>
          <t>Peter Hogan</t>
        </is>
      </c>
      <c r="F3935" t="inlineStr">
        <is>
          <t>Halifax Gateway Council Event</t>
        </is>
      </c>
      <c r="G3935" t="inlineStr">
        <is>
          <t>Activité du Halifax Gateway Council</t>
        </is>
      </c>
      <c r="H3935" s="1" t="n">
        <v>40673</v>
      </c>
      <c r="I3935" s="1" t="n">
        <v>40674</v>
      </c>
      <c r="J3935" t="inlineStr">
        <is>
          <t>Toronto, Ontario</t>
        </is>
      </c>
      <c r="K3935" t="inlineStr">
        <is>
          <t>Toronto (Ontario)</t>
        </is>
      </c>
      <c r="P3935" t="n">
        <v>712.62</v>
      </c>
      <c r="Q3935" t="n">
        <v>76.8</v>
      </c>
      <c r="R3935" t="n">
        <v>171.76</v>
      </c>
      <c r="S3935" t="n">
        <v>89.5</v>
      </c>
      <c r="T3935" t="n">
        <v>0</v>
      </c>
      <c r="U3935" t="n">
        <v>1050.68</v>
      </c>
      <c r="X3935" t="inlineStr">
        <is>
          <t>acoa-apeca</t>
        </is>
      </c>
      <c r="Y3935" t="inlineStr">
        <is>
          <t>Atlantic Canada Opportunities Agency | Agence de promotion économique du Canada atlantique</t>
        </is>
      </c>
      <c r="Z3935" t="n">
        <v>2</v>
      </c>
      <c r="AA3935" t="n">
        <v>1050.67999999999</v>
      </c>
      <c r="AB3935">
        <f>ROUND(U3935-AA3935,2)</f>
        <v/>
      </c>
      <c r="AC3935" t="b">
        <v>0</v>
      </c>
      <c r="AD3935">
        <f>IF(U3935="","MISSING_TOTAL",IF(ABS(AB3935)&lt;=0.01,"OK","CHECK"))</f>
        <v/>
      </c>
      <c r="AE3935">
        <f>IF(U3935="","MISSING",IF(AND(AA3935&gt;0,U3935/AA3935&gt;50),"POSSIBLE_SCALE_ERROR","OK"))</f>
        <v/>
      </c>
    </row>
    <row r="3936">
      <c r="A3936" t="inlineStr">
        <is>
          <t>T-2012-Q2-00006</t>
        </is>
      </c>
      <c r="B3936" t="inlineStr">
        <is>
          <t>SLE</t>
        </is>
      </c>
      <c r="C3936" t="inlineStr">
        <is>
          <t>Vice-President, Prince Edward Island</t>
        </is>
      </c>
      <c r="D3936" t="inlineStr">
        <is>
          <t>Vice-président, Île-du-Prince-Édouard</t>
        </is>
      </c>
      <c r="E3936" t="inlineStr">
        <is>
          <t>Patrick Dorsey</t>
        </is>
      </c>
      <c r="F3936" t="inlineStr">
        <is>
          <t>Meeting to attend an ACOA Board Meeting in St. John's, Newfoundland</t>
        </is>
      </c>
      <c r="G3936" t="inlineStr">
        <is>
          <t>Assister à une réunion du Conseil de promotion économique du Canada atlantique à St. John's (Terre-Neuve-et-Labrador)</t>
        </is>
      </c>
      <c r="H3936" s="1" t="n">
        <v>40700</v>
      </c>
      <c r="I3936" s="1" t="n">
        <v>40701</v>
      </c>
      <c r="J3936" t="inlineStr">
        <is>
          <t>St. John's, Newfoundland and Labrador</t>
        </is>
      </c>
      <c r="K3936" t="inlineStr">
        <is>
          <t>St. John's (Terre-Neuve-et-Labrador)</t>
        </is>
      </c>
      <c r="P3936" t="n">
        <v>1203.03</v>
      </c>
      <c r="Q3936" t="n">
        <v>35</v>
      </c>
      <c r="R3936" t="n">
        <v>199.52</v>
      </c>
      <c r="S3936" t="n">
        <v>128.35</v>
      </c>
      <c r="T3936" t="n">
        <v>0</v>
      </c>
      <c r="U3936" t="n">
        <v>1565.9</v>
      </c>
      <c r="X3936" t="inlineStr">
        <is>
          <t>acoa-apeca</t>
        </is>
      </c>
      <c r="Y3936" t="inlineStr">
        <is>
          <t>Atlantic Canada Opportunities Agency | Agence de promotion économique du Canada atlantique</t>
        </is>
      </c>
      <c r="Z3936" t="n">
        <v>2</v>
      </c>
      <c r="AA3936" t="n">
        <v>1565.89999999999</v>
      </c>
      <c r="AB3936">
        <f>ROUND(U3936-AA3936,2)</f>
        <v/>
      </c>
      <c r="AC3936" t="b">
        <v>0</v>
      </c>
      <c r="AD3936">
        <f>IF(U3936="","MISSING_TOTAL",IF(ABS(AB3936)&lt;=0.01,"OK","CHECK"))</f>
        <v/>
      </c>
      <c r="AE3936">
        <f>IF(U3936="","MISSING",IF(AND(AA3936&gt;0,U3936/AA3936&gt;50),"POSSIBLE_SCALE_ERROR","OK"))</f>
        <v/>
      </c>
    </row>
    <row r="3937">
      <c r="A3937" t="inlineStr">
        <is>
          <t>T-2012-Q2-00005</t>
        </is>
      </c>
      <c r="B3937" t="inlineStr">
        <is>
          <t>SLE</t>
        </is>
      </c>
      <c r="C3937" t="inlineStr">
        <is>
          <t>Vice President, Nova Scotia</t>
        </is>
      </c>
      <c r="D3937" t="inlineStr">
        <is>
          <t>Vice-président, Nouvelle-Écosse</t>
        </is>
      </c>
      <c r="E3937" t="inlineStr">
        <is>
          <t>Peter Hogan</t>
        </is>
      </c>
      <c r="F3937" t="inlineStr">
        <is>
          <t>Atlantic Canada Opportunities Board meeting</t>
        </is>
      </c>
      <c r="G3937" t="inlineStr">
        <is>
          <t>Réunion du Conseil de promotion économique du Canada atlantique</t>
        </is>
      </c>
      <c r="H3937" s="1" t="n">
        <v>40700</v>
      </c>
      <c r="I3937" s="1" t="n">
        <v>40702</v>
      </c>
      <c r="J3937" t="inlineStr">
        <is>
          <t>St. John's, NL</t>
        </is>
      </c>
      <c r="K3937" t="inlineStr">
        <is>
          <t>St.John's (Terre-Neuve-et-Labrador)</t>
        </is>
      </c>
      <c r="P3937" t="n">
        <v>1184.75</v>
      </c>
      <c r="Q3937" t="n">
        <v>129.05</v>
      </c>
      <c r="R3937" t="n">
        <v>394.98</v>
      </c>
      <c r="S3937" t="n">
        <v>215.7</v>
      </c>
      <c r="T3937" t="n">
        <v>59</v>
      </c>
      <c r="U3937" t="n">
        <v>1983.48</v>
      </c>
      <c r="X3937" t="inlineStr">
        <is>
          <t>acoa-apeca</t>
        </is>
      </c>
      <c r="Y3937" t="inlineStr">
        <is>
          <t>Atlantic Canada Opportunities Agency | Agence de promotion économique du Canada atlantique</t>
        </is>
      </c>
      <c r="Z3937" t="n">
        <v>3</v>
      </c>
      <c r="AA3937" t="n">
        <v>1983.48</v>
      </c>
      <c r="AB3937">
        <f>ROUND(U3937-AA3937,2)</f>
        <v/>
      </c>
      <c r="AC3937" t="b">
        <v>0</v>
      </c>
      <c r="AD3937">
        <f>IF(U3937="","MISSING_TOTAL",IF(ABS(AB3937)&lt;=0.01,"OK","CHECK"))</f>
        <v/>
      </c>
      <c r="AE3937">
        <f>IF(U3937="","MISSING",IF(AND(AA3937&gt;0,U3937/AA3937&gt;50),"POSSIBLE_SCALE_ERROR","OK"))</f>
        <v/>
      </c>
    </row>
    <row r="3938">
      <c r="A3938" t="inlineStr">
        <is>
          <t>T-2012-Q2-00004</t>
        </is>
      </c>
      <c r="B3938" t="inlineStr">
        <is>
          <t>SLE</t>
        </is>
      </c>
      <c r="C3938" t="inlineStr">
        <is>
          <t>Vice-President, Finance and Corporate Services</t>
        </is>
      </c>
      <c r="D3938" t="inlineStr">
        <is>
          <t>Vice-présidente, Finances et Services corporatifs</t>
        </is>
      </c>
      <c r="E3938" t="inlineStr">
        <is>
          <t>Denise Frenette</t>
        </is>
      </c>
      <c r="F3938" t="inlineStr">
        <is>
          <t>Participation in APEX Symposium</t>
        </is>
      </c>
      <c r="G3938" t="inlineStr">
        <is>
          <t>Participation au symposium de l'APEX</t>
        </is>
      </c>
      <c r="H3938" s="1" t="n">
        <v>40700</v>
      </c>
      <c r="I3938" s="1" t="n">
        <v>40702</v>
      </c>
      <c r="J3938" t="inlineStr">
        <is>
          <t>Ottawa, Ontario</t>
        </is>
      </c>
      <c r="K3938" t="inlineStr">
        <is>
          <t>Ottawa (Ontario)</t>
        </is>
      </c>
      <c r="P3938" t="n">
        <v>1075.6</v>
      </c>
      <c r="Q3938" t="n">
        <v>102.08</v>
      </c>
      <c r="R3938" t="n">
        <v>348.04</v>
      </c>
      <c r="S3938" t="n">
        <v>131.6</v>
      </c>
      <c r="T3938" t="n">
        <v>45</v>
      </c>
      <c r="U3938" t="n">
        <v>1702.32</v>
      </c>
      <c r="X3938" t="inlineStr">
        <is>
          <t>acoa-apeca</t>
        </is>
      </c>
      <c r="Y3938" t="inlineStr">
        <is>
          <t>Atlantic Canada Opportunities Agency | Agence de promotion économique du Canada atlantique</t>
        </is>
      </c>
      <c r="Z3938" t="n">
        <v>3</v>
      </c>
      <c r="AA3938" t="n">
        <v>1702.31999999999</v>
      </c>
      <c r="AB3938">
        <f>ROUND(U3938-AA3938,2)</f>
        <v/>
      </c>
      <c r="AC3938" t="b">
        <v>0</v>
      </c>
      <c r="AD3938">
        <f>IF(U3938="","MISSING_TOTAL",IF(ABS(AB3938)&lt;=0.01,"OK","CHECK"))</f>
        <v/>
      </c>
      <c r="AE3938">
        <f>IF(U3938="","MISSING",IF(AND(AA3938&gt;0,U3938/AA3938&gt;50),"POSSIBLE_SCALE_ERROR","OK"))</f>
        <v/>
      </c>
    </row>
    <row r="3939">
      <c r="A3939" t="inlineStr">
        <is>
          <t>T-2012-Q2-00003</t>
        </is>
      </c>
      <c r="B3939" t="inlineStr">
        <is>
          <t>SLE</t>
        </is>
      </c>
      <c r="C3939" t="inlineStr">
        <is>
          <t>Vice-President, New Brunswick</t>
        </is>
      </c>
      <c r="D3939" t="inlineStr">
        <is>
          <t>Vice-présidente, Nouveau-Brunswick</t>
        </is>
      </c>
      <c r="E3939" t="inlineStr">
        <is>
          <t>Janet Gagnon</t>
        </is>
      </c>
      <c r="F3939" t="inlineStr">
        <is>
          <t>ACOA Board Meeting</t>
        </is>
      </c>
      <c r="G3939" t="inlineStr">
        <is>
          <t>Réunion du Conseil de promotion économique du Canada atlantique</t>
        </is>
      </c>
      <c r="H3939" s="1" t="n">
        <v>40700</v>
      </c>
      <c r="I3939" s="1" t="n">
        <v>40702</v>
      </c>
      <c r="J3939" t="inlineStr">
        <is>
          <t>St. John's, Newfoundland</t>
        </is>
      </c>
      <c r="K3939" t="inlineStr">
        <is>
          <t>St. John's (Terre-Neuve-et-Labrador)</t>
        </is>
      </c>
      <c r="P3939" t="n">
        <v>1293.99</v>
      </c>
      <c r="Q3939" t="n">
        <v>18</v>
      </c>
      <c r="R3939" t="n">
        <v>396.72</v>
      </c>
      <c r="S3939" t="n">
        <v>175.85</v>
      </c>
      <c r="T3939" t="n">
        <v>22</v>
      </c>
      <c r="U3939" t="n">
        <v>1906.56</v>
      </c>
      <c r="X3939" t="inlineStr">
        <is>
          <t>acoa-apeca</t>
        </is>
      </c>
      <c r="Y3939" t="inlineStr">
        <is>
          <t>Atlantic Canada Opportunities Agency | Agence de promotion économique du Canada atlantique</t>
        </is>
      </c>
      <c r="Z3939" t="n">
        <v>3</v>
      </c>
      <c r="AA3939" t="n">
        <v>1906.56</v>
      </c>
      <c r="AB3939">
        <f>ROUND(U3939-AA3939,2)</f>
        <v/>
      </c>
      <c r="AC3939" t="b">
        <v>0</v>
      </c>
      <c r="AD3939">
        <f>IF(U3939="","MISSING_TOTAL",IF(ABS(AB3939)&lt;=0.01,"OK","CHECK"))</f>
        <v/>
      </c>
      <c r="AE3939">
        <f>IF(U3939="","MISSING",IF(AND(AA3939&gt;0,U3939/AA3939&gt;50),"POSSIBLE_SCALE_ERROR","OK"))</f>
        <v/>
      </c>
    </row>
    <row r="3940">
      <c r="A3940" t="inlineStr">
        <is>
          <t>T-2012-Q2-00002</t>
        </is>
      </c>
      <c r="B3940" t="inlineStr">
        <is>
          <t>SLE</t>
        </is>
      </c>
      <c r="C3940" t="inlineStr">
        <is>
          <t>President</t>
        </is>
      </c>
      <c r="D3940" t="inlineStr">
        <is>
          <t>Président</t>
        </is>
      </c>
      <c r="E3940" t="inlineStr">
        <is>
          <t>Paul J. LeBlanc</t>
        </is>
      </c>
      <c r="F3940" t="inlineStr">
        <is>
          <t>For various meetings and discussions with: Agency officials; with Government of Canada officials</t>
        </is>
      </c>
      <c r="G3940" t="inlineStr">
        <is>
          <t>Diverses réunions et discussions avec des fonctionnaires de l'Agence et du gouvernement du Canada</t>
        </is>
      </c>
      <c r="H3940" s="1" t="n">
        <v>40700</v>
      </c>
      <c r="I3940" s="1" t="n">
        <v>40704</v>
      </c>
      <c r="J3940" t="inlineStr">
        <is>
          <t>St. John's, Newfoundland and Labrador / Ottawa, Ontario</t>
        </is>
      </c>
      <c r="K3940" t="inlineStr">
        <is>
          <t>St. John's (Terre-Neuve-et-Labrador)/Ottawa (Ontario)</t>
        </is>
      </c>
      <c r="P3940" t="n">
        <v>1334.78</v>
      </c>
      <c r="Q3940" t="n">
        <v>0</v>
      </c>
      <c r="R3940" t="n">
        <v>787.7</v>
      </c>
      <c r="S3940" t="n">
        <v>304.3</v>
      </c>
      <c r="T3940" t="n">
        <v>169.5</v>
      </c>
      <c r="U3940" t="n">
        <v>2596.28</v>
      </c>
      <c r="X3940" t="inlineStr">
        <is>
          <t>acoa-apeca</t>
        </is>
      </c>
      <c r="Y3940" t="inlineStr">
        <is>
          <t>Atlantic Canada Opportunities Agency | Agence de promotion économique du Canada atlantique</t>
        </is>
      </c>
      <c r="Z3940" t="n">
        <v>5</v>
      </c>
      <c r="AA3940" t="n">
        <v>2596.28</v>
      </c>
      <c r="AB3940">
        <f>ROUND(U3940-AA3940,2)</f>
        <v/>
      </c>
      <c r="AC3940" t="b">
        <v>0</v>
      </c>
      <c r="AD3940">
        <f>IF(U3940="","MISSING_TOTAL",IF(ABS(AB3940)&lt;=0.01,"OK","CHECK"))</f>
        <v/>
      </c>
      <c r="AE3940">
        <f>IF(U3940="","MISSING",IF(AND(AA3940&gt;0,U3940/AA3940&gt;50),"POSSIBLE_SCALE_ERROR","OK"))</f>
        <v/>
      </c>
    </row>
    <row r="3941">
      <c r="A3941" t="inlineStr">
        <is>
          <t>T-2012-Q1-00045</t>
        </is>
      </c>
      <c r="B3941" t="inlineStr">
        <is>
          <t>SLE</t>
        </is>
      </c>
      <c r="C3941" t="inlineStr">
        <is>
          <t>President</t>
        </is>
      </c>
      <c r="D3941" t="inlineStr">
        <is>
          <t>Président</t>
        </is>
      </c>
      <c r="E3941" t="inlineStr">
        <is>
          <t>Paul J. LeBlanc</t>
        </is>
      </c>
      <c r="F3941" t="inlineStr">
        <is>
          <t>For a meeting with Agency official</t>
        </is>
      </c>
      <c r="G3941" t="inlineStr">
        <is>
          <t>Réunon avec un fonctionnaire de l'Agence</t>
        </is>
      </c>
      <c r="H3941" s="1" t="n">
        <v>40661</v>
      </c>
      <c r="I3941" s="1" t="n">
        <v>40661</v>
      </c>
      <c r="J3941" t="inlineStr">
        <is>
          <t>Charlottetown, Prince Edward Island</t>
        </is>
      </c>
      <c r="K3941" t="inlineStr">
        <is>
          <t>Charlottetown (Île-du-Prince-Édouard)</t>
        </is>
      </c>
      <c r="P3941" t="n">
        <v>0</v>
      </c>
      <c r="Q3941" t="n">
        <v>0</v>
      </c>
      <c r="R3941" t="n">
        <v>0</v>
      </c>
      <c r="S3941" t="n">
        <v>0</v>
      </c>
      <c r="T3941" t="n">
        <v>46.25</v>
      </c>
      <c r="U3941" t="n">
        <v>46.25</v>
      </c>
      <c r="X3941" t="inlineStr">
        <is>
          <t>acoa-apeca</t>
        </is>
      </c>
      <c r="Y3941" t="inlineStr">
        <is>
          <t>Atlantic Canada Opportunities Agency | Agence de promotion économique du Canada atlantique</t>
        </is>
      </c>
      <c r="Z3941" t="n">
        <v>1</v>
      </c>
      <c r="AA3941" t="n">
        <v>46.25</v>
      </c>
      <c r="AB3941">
        <f>ROUND(U3941-AA3941,2)</f>
        <v/>
      </c>
      <c r="AC3941" t="b">
        <v>0</v>
      </c>
      <c r="AD3941">
        <f>IF(U3941="","MISSING_TOTAL",IF(ABS(AB3941)&lt;=0.01,"OK","CHECK"))</f>
        <v/>
      </c>
      <c r="AE3941">
        <f>IF(U3941="","MISSING",IF(AND(AA3941&gt;0,U3941/AA3941&gt;50),"POSSIBLE_SCALE_ERROR","OK"))</f>
        <v/>
      </c>
    </row>
    <row r="3942">
      <c r="A3942" t="inlineStr">
        <is>
          <t>T-2012-Q1-00070</t>
        </is>
      </c>
      <c r="B3942" t="inlineStr">
        <is>
          <t>SLE</t>
        </is>
      </c>
      <c r="C3942" t="inlineStr">
        <is>
          <t>Vice-President, Finance and Corporate Services</t>
        </is>
      </c>
      <c r="D3942" t="inlineStr">
        <is>
          <t>Vice-présidente, Finances et Services corporatifs</t>
        </is>
      </c>
      <c r="E3942" t="inlineStr">
        <is>
          <t>Denise Frenette</t>
        </is>
      </c>
      <c r="F3942" t="inlineStr">
        <is>
          <t>Meetings with Government of Canada Officials and Agency Officials</t>
        </is>
      </c>
      <c r="G3942" t="inlineStr">
        <is>
          <t>Réunions avec des fonctionnaires du gouvernement du Canada et de l'Agence</t>
        </is>
      </c>
      <c r="H3942" s="1" t="n">
        <v>40693</v>
      </c>
      <c r="I3942" s="1" t="n">
        <v>40695</v>
      </c>
      <c r="J3942" t="inlineStr">
        <is>
          <t>Ottawa, Ontario</t>
        </is>
      </c>
      <c r="K3942" t="inlineStr">
        <is>
          <t>Ottawa (Ontario)</t>
        </is>
      </c>
      <c r="P3942" t="n">
        <v>1075.6</v>
      </c>
      <c r="Q3942" t="n">
        <v>0</v>
      </c>
      <c r="R3942" t="n">
        <v>348.04</v>
      </c>
      <c r="S3942" t="n">
        <v>160.8</v>
      </c>
      <c r="T3942" t="n">
        <v>0</v>
      </c>
      <c r="U3942" t="n">
        <v>1584.44</v>
      </c>
      <c r="X3942" t="inlineStr">
        <is>
          <t>acoa-apeca</t>
        </is>
      </c>
      <c r="Y3942" t="inlineStr">
        <is>
          <t>Atlantic Canada Opportunities Agency | Agence de promotion économique du Canada atlantique</t>
        </is>
      </c>
      <c r="Z3942" t="n">
        <v>3</v>
      </c>
      <c r="AA3942" t="n">
        <v>1584.43999999999</v>
      </c>
      <c r="AB3942">
        <f>ROUND(U3942-AA3942,2)</f>
        <v/>
      </c>
      <c r="AC3942" t="b">
        <v>0</v>
      </c>
      <c r="AD3942">
        <f>IF(U3942="","MISSING_TOTAL",IF(ABS(AB3942)&lt;=0.01,"OK","CHECK"))</f>
        <v/>
      </c>
      <c r="AE3942">
        <f>IF(U3942="","MISSING",IF(AND(AA3942&gt;0,U3942/AA3942&gt;50),"POSSIBLE_SCALE_ERROR","OK"))</f>
        <v/>
      </c>
    </row>
    <row r="3943">
      <c r="A3943" t="inlineStr">
        <is>
          <t>T-2012-Q1-00069</t>
        </is>
      </c>
      <c r="B3943" t="inlineStr">
        <is>
          <t>SLE</t>
        </is>
      </c>
      <c r="C3943" t="inlineStr">
        <is>
          <t>President</t>
        </is>
      </c>
      <c r="D3943" t="inlineStr">
        <is>
          <t>Président</t>
        </is>
      </c>
      <c r="E3943" t="inlineStr">
        <is>
          <t>Paul J. LeBlanc</t>
        </is>
      </c>
      <c r="F3943" t="inlineStr">
        <is>
          <t>For various meetings and discussions with Agency officials; and with Government of Canada officials</t>
        </is>
      </c>
      <c r="G3943" t="inlineStr">
        <is>
          <t>Diverses réunions et discussions avec des fonctionnaires de l'Agence et du gouvernement du Canada</t>
        </is>
      </c>
      <c r="H3943" s="1" t="n">
        <v>40693</v>
      </c>
      <c r="I3943" s="1" t="n">
        <v>40697</v>
      </c>
      <c r="J3943" t="inlineStr">
        <is>
          <t>Ottawa, Ontario</t>
        </is>
      </c>
      <c r="K3943" t="inlineStr">
        <is>
          <t>Ottawa (Ontario)</t>
        </is>
      </c>
      <c r="P3943" t="n">
        <v>727.36</v>
      </c>
      <c r="Q3943" t="n">
        <v>13.13</v>
      </c>
      <c r="R3943" t="n">
        <v>696.08</v>
      </c>
      <c r="S3943" t="n">
        <v>333.5</v>
      </c>
      <c r="T3943" t="n">
        <v>63</v>
      </c>
      <c r="U3943" t="n">
        <v>1833.07</v>
      </c>
      <c r="X3943" t="inlineStr">
        <is>
          <t>acoa-apeca</t>
        </is>
      </c>
      <c r="Y3943" t="inlineStr">
        <is>
          <t>Atlantic Canada Opportunities Agency | Agence de promotion économique du Canada atlantique</t>
        </is>
      </c>
      <c r="Z3943" t="n">
        <v>5</v>
      </c>
      <c r="AA3943" t="n">
        <v>1833.07</v>
      </c>
      <c r="AB3943">
        <f>ROUND(U3943-AA3943,2)</f>
        <v/>
      </c>
      <c r="AC3943" t="b">
        <v>0</v>
      </c>
      <c r="AD3943">
        <f>IF(U3943="","MISSING_TOTAL",IF(ABS(AB3943)&lt;=0.01,"OK","CHECK"))</f>
        <v/>
      </c>
      <c r="AE3943">
        <f>IF(U3943="","MISSING",IF(AND(AA3943&gt;0,U3943/AA3943&gt;50),"POSSIBLE_SCALE_ERROR","OK"))</f>
        <v/>
      </c>
    </row>
    <row r="3944">
      <c r="A3944" t="inlineStr">
        <is>
          <t>T-2012-Q1-00068</t>
        </is>
      </c>
      <c r="B3944" t="inlineStr">
        <is>
          <t>SLE</t>
        </is>
      </c>
      <c r="C3944" t="inlineStr">
        <is>
          <t>Vice-President, New Brunswick</t>
        </is>
      </c>
      <c r="D3944" t="inlineStr">
        <is>
          <t>Vice-présidente, Nouveau-Brunswick</t>
        </is>
      </c>
      <c r="E3944" t="inlineStr">
        <is>
          <t>Janet Gagnon</t>
        </is>
      </c>
      <c r="F3944" t="inlineStr">
        <is>
          <t>Executive Committee Meeting &amp; Meeting with new Minister</t>
        </is>
      </c>
      <c r="G3944" t="inlineStr">
        <is>
          <t>Réunion du Comité de direction et réunion avec le nouveau ministre</t>
        </is>
      </c>
      <c r="H3944" s="1" t="n">
        <v>40693</v>
      </c>
      <c r="I3944" s="1" t="n">
        <v>40695</v>
      </c>
      <c r="J3944" t="inlineStr">
        <is>
          <t>Ottawa, Ontario</t>
        </is>
      </c>
      <c r="K3944" t="inlineStr">
        <is>
          <t>Ottawa (Ontario)</t>
        </is>
      </c>
      <c r="P3944" t="n">
        <v>1442.92</v>
      </c>
      <c r="Q3944" t="n">
        <v>83</v>
      </c>
      <c r="R3944" t="n">
        <v>348.04</v>
      </c>
      <c r="S3944" t="n">
        <v>229.85</v>
      </c>
      <c r="T3944" t="n">
        <v>30</v>
      </c>
      <c r="U3944" t="n">
        <v>2133.81</v>
      </c>
      <c r="X3944" t="inlineStr">
        <is>
          <t>acoa-apeca</t>
        </is>
      </c>
      <c r="Y3944" t="inlineStr">
        <is>
          <t>Atlantic Canada Opportunities Agency | Agence de promotion économique du Canada atlantique</t>
        </is>
      </c>
      <c r="Z3944" t="n">
        <v>3</v>
      </c>
      <c r="AA3944" t="n">
        <v>2133.81</v>
      </c>
      <c r="AB3944">
        <f>ROUND(U3944-AA3944,2)</f>
        <v/>
      </c>
      <c r="AC3944" t="b">
        <v>0</v>
      </c>
      <c r="AD3944">
        <f>IF(U3944="","MISSING_TOTAL",IF(ABS(AB3944)&lt;=0.01,"OK","CHECK"))</f>
        <v/>
      </c>
      <c r="AE3944">
        <f>IF(U3944="","MISSING",IF(AND(AA3944&gt;0,U3944/AA3944&gt;50),"POSSIBLE_SCALE_ERROR","OK"))</f>
        <v/>
      </c>
    </row>
    <row r="3945">
      <c r="A3945" t="inlineStr">
        <is>
          <t>T-2012-Q1-00066</t>
        </is>
      </c>
      <c r="B3945" t="inlineStr">
        <is>
          <t>SLE</t>
        </is>
      </c>
      <c r="C3945" t="inlineStr">
        <is>
          <t>Vice-President, Newfoundland and Labrador</t>
        </is>
      </c>
      <c r="D3945" t="inlineStr">
        <is>
          <t>Vice-président, Terre-Neuve-et-Labrador</t>
        </is>
      </c>
      <c r="E3945" t="inlineStr">
        <is>
          <t>Paul Mills</t>
        </is>
      </c>
      <c r="F3945" t="inlineStr">
        <is>
          <t>To Attend EXCOM Meeting with Minister</t>
        </is>
      </c>
      <c r="G3945" t="inlineStr">
        <is>
          <t>Réunion du Comité de direction avec le ministre</t>
        </is>
      </c>
      <c r="H3945" s="1" t="n">
        <v>40693</v>
      </c>
      <c r="I3945" s="1" t="n">
        <v>40695</v>
      </c>
      <c r="J3945" t="inlineStr">
        <is>
          <t>Ottawa, Ontario</t>
        </is>
      </c>
      <c r="K3945" t="inlineStr">
        <is>
          <t>Ottawa (Ontario)</t>
        </is>
      </c>
      <c r="P3945" t="n">
        <v>1329.26</v>
      </c>
      <c r="Q3945" t="n">
        <v>151</v>
      </c>
      <c r="R3945" t="n">
        <v>355.16</v>
      </c>
      <c r="S3945" t="n">
        <v>190</v>
      </c>
      <c r="T3945" t="n">
        <v>9.73</v>
      </c>
      <c r="U3945" t="n">
        <v>2035.15</v>
      </c>
      <c r="X3945" t="inlineStr">
        <is>
          <t>acoa-apeca</t>
        </is>
      </c>
      <c r="Y3945" t="inlineStr">
        <is>
          <t>Atlantic Canada Opportunities Agency | Agence de promotion économique du Canada atlantique</t>
        </is>
      </c>
      <c r="Z3945" t="n">
        <v>3</v>
      </c>
      <c r="AA3945" t="n">
        <v>2035.15</v>
      </c>
      <c r="AB3945">
        <f>ROUND(U3945-AA3945,2)</f>
        <v/>
      </c>
      <c r="AC3945" t="b">
        <v>0</v>
      </c>
      <c r="AD3945">
        <f>IF(U3945="","MISSING_TOTAL",IF(ABS(AB3945)&lt;=0.01,"OK","CHECK"))</f>
        <v/>
      </c>
      <c r="AE3945">
        <f>IF(U3945="","MISSING",IF(AND(AA3945&gt;0,U3945/AA3945&gt;50),"POSSIBLE_SCALE_ERROR","OK"))</f>
        <v/>
      </c>
    </row>
    <row r="3946">
      <c r="A3946" t="inlineStr">
        <is>
          <t>T-2012-Q1-00064</t>
        </is>
      </c>
      <c r="B3946" t="inlineStr">
        <is>
          <t>SLE</t>
        </is>
      </c>
      <c r="C3946" t="inlineStr">
        <is>
          <t>Vice President, Nova Scotia</t>
        </is>
      </c>
      <c r="D3946" t="inlineStr">
        <is>
          <t>Vice-président, Nouvelle-Écosse</t>
        </is>
      </c>
      <c r="E3946" t="inlineStr">
        <is>
          <t>Peter Hogan</t>
        </is>
      </c>
      <c r="F3946" t="inlineStr">
        <is>
          <t>NS Day in Ottawa and Executive Committee Meeting</t>
        </is>
      </c>
      <c r="G3946" t="inlineStr">
        <is>
          <t>Journée de la Nouvelle-Écosse à Ottawa et réunion du Comité de direction</t>
        </is>
      </c>
      <c r="H3946" s="1" t="n">
        <v>40692</v>
      </c>
      <c r="I3946" s="1" t="n">
        <v>40694</v>
      </c>
      <c r="J3946" t="inlineStr">
        <is>
          <t>Ottawa, Ontatio</t>
        </is>
      </c>
      <c r="K3946" t="inlineStr">
        <is>
          <t>Ottawa (Ontario)</t>
        </is>
      </c>
      <c r="P3946" t="n">
        <v>1362.19</v>
      </c>
      <c r="Q3946" t="n">
        <v>224.8</v>
      </c>
      <c r="R3946" t="n">
        <v>348.04</v>
      </c>
      <c r="S3946" t="n">
        <v>186.5</v>
      </c>
      <c r="T3946" t="n">
        <v>0</v>
      </c>
      <c r="U3946" t="n">
        <v>2121.53</v>
      </c>
      <c r="X3946" t="inlineStr">
        <is>
          <t>acoa-apeca</t>
        </is>
      </c>
      <c r="Y3946" t="inlineStr">
        <is>
          <t>Atlantic Canada Opportunities Agency | Agence de promotion économique du Canada atlantique</t>
        </is>
      </c>
      <c r="Z3946" t="n">
        <v>3</v>
      </c>
      <c r="AA3946" t="n">
        <v>2121.52999999999</v>
      </c>
      <c r="AB3946">
        <f>ROUND(U3946-AA3946,2)</f>
        <v/>
      </c>
      <c r="AC3946" t="b">
        <v>0</v>
      </c>
      <c r="AD3946">
        <f>IF(U3946="","MISSING_TOTAL",IF(ABS(AB3946)&lt;=0.01,"OK","CHECK"))</f>
        <v/>
      </c>
      <c r="AE3946">
        <f>IF(U3946="","MISSING",IF(AND(AA3946&gt;0,U3946/AA3946&gt;50),"POSSIBLE_SCALE_ERROR","OK"))</f>
        <v/>
      </c>
    </row>
    <row r="3947">
      <c r="A3947" t="inlineStr">
        <is>
          <t>T-2012-Q1-00063</t>
        </is>
      </c>
      <c r="B3947" t="inlineStr">
        <is>
          <t>SLE</t>
        </is>
      </c>
      <c r="C3947" t="inlineStr">
        <is>
          <t>Vice-President, New Brunswick</t>
        </is>
      </c>
      <c r="D3947" t="inlineStr">
        <is>
          <t>Vice-présidente, Nouveau-Brunswick</t>
        </is>
      </c>
      <c r="E3947" t="inlineStr">
        <is>
          <t>Janet Gagnon</t>
        </is>
      </c>
      <c r="F3947" t="inlineStr">
        <is>
          <t>Meeting-Labour Management Consultation Committee (LMCC)</t>
        </is>
      </c>
      <c r="G3947" t="inlineStr">
        <is>
          <t>Réunion du Comité de consultation patronale-syndicale</t>
        </is>
      </c>
      <c r="H3947" s="1" t="n">
        <v>40690</v>
      </c>
      <c r="I3947" s="1" t="n">
        <v>40690</v>
      </c>
      <c r="J3947" t="inlineStr">
        <is>
          <t>Moncton, New Brunswick</t>
        </is>
      </c>
      <c r="K3947" t="inlineStr">
        <is>
          <t>Moncton (Nouveau-Brunswick)</t>
        </is>
      </c>
      <c r="P3947" t="n">
        <v>0</v>
      </c>
      <c r="Q3947" t="n">
        <v>0</v>
      </c>
      <c r="R3947" t="n">
        <v>0</v>
      </c>
      <c r="S3947" t="n">
        <v>69.05</v>
      </c>
      <c r="T3947" t="n">
        <v>16</v>
      </c>
      <c r="U3947" t="n">
        <v>85.05</v>
      </c>
      <c r="X3947" t="inlineStr">
        <is>
          <t>acoa-apeca</t>
        </is>
      </c>
      <c r="Y3947" t="inlineStr">
        <is>
          <t>Atlantic Canada Opportunities Agency | Agence de promotion économique du Canada atlantique</t>
        </is>
      </c>
      <c r="Z3947" t="n">
        <v>1</v>
      </c>
      <c r="AA3947" t="n">
        <v>85.05</v>
      </c>
      <c r="AB3947">
        <f>ROUND(U3947-AA3947,2)</f>
        <v/>
      </c>
      <c r="AC3947" t="b">
        <v>0</v>
      </c>
      <c r="AD3947">
        <f>IF(U3947="","MISSING_TOTAL",IF(ABS(AB3947)&lt;=0.01,"OK","CHECK"))</f>
        <v/>
      </c>
      <c r="AE3947">
        <f>IF(U3947="","MISSING",IF(AND(AA3947&gt;0,U3947/AA3947&gt;50),"POSSIBLE_SCALE_ERROR","OK"))</f>
        <v/>
      </c>
    </row>
    <row r="3948">
      <c r="A3948" t="inlineStr">
        <is>
          <t>T-2012-Q1-00061</t>
        </is>
      </c>
      <c r="B3948" t="inlineStr">
        <is>
          <t>SLE</t>
        </is>
      </c>
      <c r="C3948" t="inlineStr">
        <is>
          <t>President</t>
        </is>
      </c>
      <c r="D3948" t="inlineStr">
        <is>
          <t>Président</t>
        </is>
      </c>
      <c r="E3948" t="inlineStr">
        <is>
          <t>Paul J. LeBlanc</t>
        </is>
      </c>
      <c r="F3948" t="inlineStr">
        <is>
          <t>for various meetings and discussions with: Agency officials; Government of Canada officials</t>
        </is>
      </c>
      <c r="G3948" t="inlineStr">
        <is>
          <t>Diverses réunions et discussions avec des fonctionnaires de l'Agence et du gouvernement du Canada</t>
        </is>
      </c>
      <c r="H3948" s="1" t="n">
        <v>40687</v>
      </c>
      <c r="I3948" s="1" t="n">
        <v>40689</v>
      </c>
      <c r="J3948" t="inlineStr">
        <is>
          <t>Ottawa, Ontario</t>
        </is>
      </c>
      <c r="K3948" t="inlineStr">
        <is>
          <t>Ottawa (Ontario)</t>
        </is>
      </c>
      <c r="P3948" t="n">
        <v>727.36</v>
      </c>
      <c r="Q3948" t="n">
        <v>0</v>
      </c>
      <c r="R3948" t="n">
        <v>348.04</v>
      </c>
      <c r="S3948" t="n">
        <v>174.95</v>
      </c>
      <c r="T3948" t="n">
        <v>0</v>
      </c>
      <c r="U3948" t="n">
        <v>1250.35</v>
      </c>
      <c r="X3948" t="inlineStr">
        <is>
          <t>acoa-apeca</t>
        </is>
      </c>
      <c r="Y3948" t="inlineStr">
        <is>
          <t>Atlantic Canada Opportunities Agency | Agence de promotion économique du Canada atlantique</t>
        </is>
      </c>
      <c r="Z3948" t="n">
        <v>3</v>
      </c>
      <c r="AA3948" t="n">
        <v>1250.35</v>
      </c>
      <c r="AB3948">
        <f>ROUND(U3948-AA3948,2)</f>
        <v/>
      </c>
      <c r="AC3948" t="b">
        <v>0</v>
      </c>
      <c r="AD3948">
        <f>IF(U3948="","MISSING_TOTAL",IF(ABS(AB3948)&lt;=0.01,"OK","CHECK"))</f>
        <v/>
      </c>
      <c r="AE3948">
        <f>IF(U3948="","MISSING",IF(AND(AA3948&gt;0,U3948/AA3948&gt;50),"POSSIBLE_SCALE_ERROR","OK"))</f>
        <v/>
      </c>
    </row>
    <row r="3949">
      <c r="A3949" t="inlineStr">
        <is>
          <t>T-2012-Q1-00060</t>
        </is>
      </c>
      <c r="B3949" t="inlineStr">
        <is>
          <t>SLE</t>
        </is>
      </c>
      <c r="C3949" t="inlineStr">
        <is>
          <t>Vice-President, Finance and Corporate Services</t>
        </is>
      </c>
      <c r="D3949" t="inlineStr">
        <is>
          <t>Vice-présidente, Finances et Services corporatifs</t>
        </is>
      </c>
      <c r="E3949" t="inlineStr">
        <is>
          <t>Denise Frenette</t>
        </is>
      </c>
      <c r="F3949" t="inlineStr">
        <is>
          <t>Meetings with Government of Canada Officials and Agency Officials</t>
        </is>
      </c>
      <c r="G3949" t="inlineStr">
        <is>
          <t>Réunions avec des fonctionnaires du gouvernement du Canada et de l'Agence</t>
        </is>
      </c>
      <c r="H3949" s="1" t="n">
        <v>40682</v>
      </c>
      <c r="I3949" s="1" t="n">
        <v>40683</v>
      </c>
      <c r="J3949" t="inlineStr">
        <is>
          <t>Ottawa, Ontario</t>
        </is>
      </c>
      <c r="K3949" t="inlineStr">
        <is>
          <t>Ottawa (Ontario)</t>
        </is>
      </c>
      <c r="P3949" t="n">
        <v>1075.6</v>
      </c>
      <c r="Q3949" t="n">
        <v>80.59</v>
      </c>
      <c r="R3949" t="n">
        <v>174.02</v>
      </c>
      <c r="S3949" t="n">
        <v>117.8</v>
      </c>
      <c r="T3949" t="n">
        <v>30</v>
      </c>
      <c r="U3949" t="n">
        <v>1478.01</v>
      </c>
      <c r="X3949" t="inlineStr">
        <is>
          <t>acoa-apeca</t>
        </is>
      </c>
      <c r="Y3949" t="inlineStr">
        <is>
          <t>Atlantic Canada Opportunities Agency | Agence de promotion économique du Canada atlantique</t>
        </is>
      </c>
      <c r="Z3949" t="n">
        <v>2</v>
      </c>
      <c r="AA3949" t="n">
        <v>1478.00999999999</v>
      </c>
      <c r="AB3949">
        <f>ROUND(U3949-AA3949,2)</f>
        <v/>
      </c>
      <c r="AC3949" t="b">
        <v>0</v>
      </c>
      <c r="AD3949">
        <f>IF(U3949="","MISSING_TOTAL",IF(ABS(AB3949)&lt;=0.01,"OK","CHECK"))</f>
        <v/>
      </c>
      <c r="AE3949">
        <f>IF(U3949="","MISSING",IF(AND(AA3949&gt;0,U3949/AA3949&gt;50),"POSSIBLE_SCALE_ERROR","OK"))</f>
        <v/>
      </c>
    </row>
    <row r="3950">
      <c r="A3950" t="inlineStr">
        <is>
          <t>T-2012-Q1-00059</t>
        </is>
      </c>
      <c r="B3950" t="inlineStr">
        <is>
          <t>SLE</t>
        </is>
      </c>
      <c r="C3950" t="inlineStr">
        <is>
          <t>Vice President, Nova Scotia</t>
        </is>
      </c>
      <c r="D3950" t="inlineStr">
        <is>
          <t>Vice-président, Nouvelle-Écosse</t>
        </is>
      </c>
      <c r="E3950" t="inlineStr">
        <is>
          <t>Peter Hogan</t>
        </is>
      </c>
      <c r="F3950" t="inlineStr">
        <is>
          <t>Atlantic Gateway Federal Provincial Officials Committee</t>
        </is>
      </c>
      <c r="G3950" t="inlineStr">
        <is>
          <t>Comité des représentants fédéraux-provinciaux de la Porte de l'Atlantique</t>
        </is>
      </c>
      <c r="H3950" s="1" t="n">
        <v>40682</v>
      </c>
      <c r="I3950" s="1" t="n">
        <v>40683</v>
      </c>
      <c r="J3950" t="inlineStr">
        <is>
          <t>Moncton, New Brunswick</t>
        </is>
      </c>
      <c r="K3950" t="inlineStr">
        <is>
          <t>Moncton (Nouveau-Brunswick)</t>
        </is>
      </c>
      <c r="P3950" t="n">
        <v>0</v>
      </c>
      <c r="Q3950" t="n">
        <v>258.47</v>
      </c>
      <c r="R3950" t="n">
        <v>145.77</v>
      </c>
      <c r="S3950" t="n">
        <v>89.5</v>
      </c>
      <c r="T3950" t="n">
        <v>0</v>
      </c>
      <c r="U3950" t="n">
        <v>493.74</v>
      </c>
      <c r="X3950" t="inlineStr">
        <is>
          <t>acoa-apeca</t>
        </is>
      </c>
      <c r="Y3950" t="inlineStr">
        <is>
          <t>Atlantic Canada Opportunities Agency | Agence de promotion économique du Canada atlantique</t>
        </is>
      </c>
      <c r="Z3950" t="n">
        <v>2</v>
      </c>
      <c r="AA3950" t="n">
        <v>493.74</v>
      </c>
      <c r="AB3950">
        <f>ROUND(U3950-AA3950,2)</f>
        <v/>
      </c>
      <c r="AC3950" t="b">
        <v>0</v>
      </c>
      <c r="AD3950">
        <f>IF(U3950="","MISSING_TOTAL",IF(ABS(AB3950)&lt;=0.01,"OK","CHECK"))</f>
        <v/>
      </c>
      <c r="AE3950">
        <f>IF(U3950="","MISSING",IF(AND(AA3950&gt;0,U3950/AA3950&gt;50),"POSSIBLE_SCALE_ERROR","OK"))</f>
        <v/>
      </c>
    </row>
    <row r="3951">
      <c r="A3951" t="inlineStr">
        <is>
          <t>T-2012-Q1-00057</t>
        </is>
      </c>
      <c r="B3951" t="inlineStr">
        <is>
          <t>MPSES</t>
        </is>
      </c>
      <c r="C3951" t="inlineStr">
        <is>
          <t>Policy Advisor</t>
        </is>
      </c>
      <c r="D3951" t="inlineStr">
        <is>
          <t>Conseillère en politique</t>
        </is>
      </c>
      <c r="E3951" t="inlineStr">
        <is>
          <t>Guylaine Le Couteur</t>
        </is>
      </c>
      <c r="F3951" t="inlineStr">
        <is>
          <t>Travel to Moncton, NB for ACOA related Meetings</t>
        </is>
      </c>
      <c r="G3951" t="inlineStr">
        <is>
          <t>Voyage à Moncton, au Nouveau-Brunswick, pour participer à des réunions de l'APECA</t>
        </is>
      </c>
      <c r="H3951" s="1" t="n">
        <v>40678</v>
      </c>
      <c r="I3951" s="1" t="n">
        <v>40680</v>
      </c>
      <c r="J3951" t="inlineStr">
        <is>
          <t>Moncton, New Burnswick</t>
        </is>
      </c>
      <c r="K3951" t="inlineStr">
        <is>
          <t>Moncton (Nouveau-Brunswick)</t>
        </is>
      </c>
      <c r="P3951" t="n">
        <v>0</v>
      </c>
      <c r="Q3951" t="n">
        <v>1290.93</v>
      </c>
      <c r="R3951" t="n">
        <v>100</v>
      </c>
      <c r="S3951" t="n">
        <v>190</v>
      </c>
      <c r="T3951" t="n">
        <v>0</v>
      </c>
      <c r="U3951" t="n">
        <v>1580.93</v>
      </c>
      <c r="X3951" t="inlineStr">
        <is>
          <t>acoa-apeca</t>
        </is>
      </c>
      <c r="Y3951" t="inlineStr">
        <is>
          <t>Atlantic Canada Opportunities Agency | Agence de promotion économique du Canada atlantique</t>
        </is>
      </c>
      <c r="Z3951" t="n">
        <v>3</v>
      </c>
      <c r="AA3951" t="n">
        <v>1580.93</v>
      </c>
      <c r="AB3951">
        <f>ROUND(U3951-AA3951,2)</f>
        <v/>
      </c>
      <c r="AC3951" t="b">
        <v>0</v>
      </c>
      <c r="AD3951">
        <f>IF(U3951="","MISSING_TOTAL",IF(ABS(AB3951)&lt;=0.01,"OK","CHECK"))</f>
        <v/>
      </c>
      <c r="AE3951">
        <f>IF(U3951="","MISSING",IF(AND(AA3951&gt;0,U3951/AA3951&gt;50),"POSSIBLE_SCALE_ERROR","OK"))</f>
        <v/>
      </c>
    </row>
    <row r="3952">
      <c r="A3952" t="inlineStr">
        <is>
          <t>T-2012-Q1-00056</t>
        </is>
      </c>
      <c r="B3952" t="inlineStr">
        <is>
          <t>SLE</t>
        </is>
      </c>
      <c r="C3952" t="inlineStr">
        <is>
          <t>President</t>
        </is>
      </c>
      <c r="D3952" t="inlineStr">
        <is>
          <t>Président</t>
        </is>
      </c>
      <c r="E3952" t="inlineStr">
        <is>
          <t>Paul J. LeBlanc</t>
        </is>
      </c>
      <c r="F3952" t="inlineStr">
        <is>
          <t>For various meetings and discussions with: Agency officials; with Government of Canada officials</t>
        </is>
      </c>
      <c r="G3952" t="inlineStr">
        <is>
          <t>Diverses réunons et discussions avec des fonctionnaires de l'Agence et du gouvernement du Canada</t>
        </is>
      </c>
      <c r="H3952" s="1" t="n">
        <v>40678</v>
      </c>
      <c r="I3952" s="1" t="n">
        <v>40683</v>
      </c>
      <c r="J3952" t="inlineStr">
        <is>
          <t>Ottawa, Ontario</t>
        </is>
      </c>
      <c r="K3952" t="inlineStr">
        <is>
          <t>Ottawa (Ontario)</t>
        </is>
      </c>
      <c r="P3952" t="n">
        <v>727.36</v>
      </c>
      <c r="Q3952" t="n">
        <v>13.13</v>
      </c>
      <c r="R3952" t="n">
        <v>870.1</v>
      </c>
      <c r="S3952" t="n">
        <v>434</v>
      </c>
      <c r="T3952" t="n">
        <v>126.5</v>
      </c>
      <c r="U3952" t="n">
        <v>2171.09</v>
      </c>
      <c r="X3952" t="inlineStr">
        <is>
          <t>acoa-apeca</t>
        </is>
      </c>
      <c r="Y3952" t="inlineStr">
        <is>
          <t>Atlantic Canada Opportunities Agency | Agence de promotion économique du Canada atlantique</t>
        </is>
      </c>
      <c r="Z3952" t="n">
        <v>6</v>
      </c>
      <c r="AA3952" t="n">
        <v>2171.09</v>
      </c>
      <c r="AB3952">
        <f>ROUND(U3952-AA3952,2)</f>
        <v/>
      </c>
      <c r="AC3952" t="b">
        <v>0</v>
      </c>
      <c r="AD3952">
        <f>IF(U3952="","MISSING_TOTAL",IF(ABS(AB3952)&lt;=0.01,"OK","CHECK"))</f>
        <v/>
      </c>
      <c r="AE3952">
        <f>IF(U3952="","MISSING",IF(AND(AA3952&gt;0,U3952/AA3952&gt;50),"POSSIBLE_SCALE_ERROR","OK"))</f>
        <v/>
      </c>
    </row>
    <row r="3953">
      <c r="A3953" t="inlineStr">
        <is>
          <t>T-2012-Q1-00055</t>
        </is>
      </c>
      <c r="B3953" t="inlineStr">
        <is>
          <t>MPSES</t>
        </is>
      </c>
      <c r="C3953" t="inlineStr">
        <is>
          <t>Regional Special Assistant</t>
        </is>
      </c>
      <c r="D3953" t="inlineStr">
        <is>
          <t>Adjointe spéciale régionale</t>
        </is>
      </c>
      <c r="E3953" t="inlineStr">
        <is>
          <t>Neyda Long</t>
        </is>
      </c>
      <c r="F3953" t="inlineStr">
        <is>
          <t>Travel to Minto, NB on regional affairs</t>
        </is>
      </c>
      <c r="G3953" t="inlineStr">
        <is>
          <t>Voyage à Minto, au Nouveau-Brunswick, pour des questions de nature régionale</t>
        </is>
      </c>
      <c r="H3953" s="1" t="n">
        <v>40675</v>
      </c>
      <c r="I3953" s="1" t="n">
        <v>40675</v>
      </c>
      <c r="J3953" t="inlineStr">
        <is>
          <t>Minto, New Brunswick</t>
        </is>
      </c>
      <c r="K3953" t="inlineStr">
        <is>
          <t>Minto (Nouveau-Brunswick)</t>
        </is>
      </c>
      <c r="P3953" t="n">
        <v>0</v>
      </c>
      <c r="Q3953" t="n">
        <v>74.23999999999999</v>
      </c>
      <c r="R3953" t="n">
        <v>0</v>
      </c>
      <c r="S3953" t="n">
        <v>14.15</v>
      </c>
      <c r="T3953" t="n">
        <v>0</v>
      </c>
      <c r="U3953" t="n">
        <v>88.39</v>
      </c>
      <c r="X3953" t="inlineStr">
        <is>
          <t>acoa-apeca</t>
        </is>
      </c>
      <c r="Y3953" t="inlineStr">
        <is>
          <t>Atlantic Canada Opportunities Agency | Agence de promotion économique du Canada atlantique</t>
        </is>
      </c>
      <c r="Z3953" t="n">
        <v>1</v>
      </c>
      <c r="AA3953" t="n">
        <v>88.39</v>
      </c>
      <c r="AB3953">
        <f>ROUND(U3953-AA3953,2)</f>
        <v/>
      </c>
      <c r="AC3953" t="b">
        <v>0</v>
      </c>
      <c r="AD3953">
        <f>IF(U3953="","MISSING_TOTAL",IF(ABS(AB3953)&lt;=0.01,"OK","CHECK"))</f>
        <v/>
      </c>
      <c r="AE3953">
        <f>IF(U3953="","MISSING",IF(AND(AA3953&gt;0,U3953/AA3953&gt;50),"POSSIBLE_SCALE_ERROR","OK"))</f>
        <v/>
      </c>
    </row>
    <row r="3954">
      <c r="A3954" t="inlineStr">
        <is>
          <t>T-2012-Q1-00053</t>
        </is>
      </c>
      <c r="B3954" t="inlineStr">
        <is>
          <t>SLE</t>
        </is>
      </c>
      <c r="C3954" t="inlineStr">
        <is>
          <t>President</t>
        </is>
      </c>
      <c r="D3954" t="inlineStr">
        <is>
          <t>Président</t>
        </is>
      </c>
      <c r="E3954" t="inlineStr">
        <is>
          <t>Paul J. LeBlanc</t>
        </is>
      </c>
      <c r="F3954" t="inlineStr">
        <is>
          <t>For various meetings and discussions with: Agency officials; with Government of Canada officials</t>
        </is>
      </c>
      <c r="G3954" t="inlineStr">
        <is>
          <t>Diverses réunons et discussions avec des fonctionnaires de l'Agence et du gouvernement du Canada</t>
        </is>
      </c>
      <c r="H3954" s="1" t="n">
        <v>40673</v>
      </c>
      <c r="I3954" s="1" t="n">
        <v>40676</v>
      </c>
      <c r="J3954" t="inlineStr">
        <is>
          <t>Ottawa, Ontario</t>
        </is>
      </c>
      <c r="K3954" t="inlineStr">
        <is>
          <t>Ottawa (Ontario)</t>
        </is>
      </c>
      <c r="P3954" t="n">
        <v>727.36</v>
      </c>
      <c r="Q3954" t="n">
        <v>13.13</v>
      </c>
      <c r="R3954" t="n">
        <v>522.0599999999999</v>
      </c>
      <c r="S3954" t="n">
        <v>261.3</v>
      </c>
      <c r="T3954" t="n">
        <v>104.5</v>
      </c>
      <c r="U3954" t="n">
        <v>1628.35</v>
      </c>
      <c r="X3954" t="inlineStr">
        <is>
          <t>acoa-apeca</t>
        </is>
      </c>
      <c r="Y3954" t="inlineStr">
        <is>
          <t>Atlantic Canada Opportunities Agency | Agence de promotion économique du Canada atlantique</t>
        </is>
      </c>
      <c r="Z3954" t="n">
        <v>4</v>
      </c>
      <c r="AA3954" t="n">
        <v>1628.35</v>
      </c>
      <c r="AB3954">
        <f>ROUND(U3954-AA3954,2)</f>
        <v/>
      </c>
      <c r="AC3954" t="b">
        <v>0</v>
      </c>
      <c r="AD3954">
        <f>IF(U3954="","MISSING_TOTAL",IF(ABS(AB3954)&lt;=0.01,"OK","CHECK"))</f>
        <v/>
      </c>
      <c r="AE3954">
        <f>IF(U3954="","MISSING",IF(AND(AA3954&gt;0,U3954/AA3954&gt;50),"POSSIBLE_SCALE_ERROR","OK"))</f>
        <v/>
      </c>
    </row>
    <row r="3955">
      <c r="A3955" t="inlineStr">
        <is>
          <t>T-2012-Q1-00052</t>
        </is>
      </c>
      <c r="B3955" t="inlineStr">
        <is>
          <t>SLE</t>
        </is>
      </c>
      <c r="C3955" t="inlineStr">
        <is>
          <t>Vice-President, Prince Edward Island</t>
        </is>
      </c>
      <c r="D3955" t="inlineStr">
        <is>
          <t>Vice-président, Île-du-Prince-Édouard</t>
        </is>
      </c>
      <c r="E3955" t="inlineStr">
        <is>
          <t>Patrick Dorsey</t>
        </is>
      </c>
      <c r="F3955" t="inlineStr">
        <is>
          <t>Various meetings and discussions with Agency and Government of Canada officials</t>
        </is>
      </c>
      <c r="G3955" t="inlineStr">
        <is>
          <t>Diverses réunions et discussions avec des fonctionnaires de l'Agence et du gouvernement du Canada</t>
        </is>
      </c>
      <c r="H3955" s="1" t="n">
        <v>40672</v>
      </c>
      <c r="I3955" s="1" t="n">
        <v>40672</v>
      </c>
      <c r="J3955" t="inlineStr">
        <is>
          <t>Moncton, New Brunswick</t>
        </is>
      </c>
      <c r="K3955" t="inlineStr">
        <is>
          <t>Moncton (Nouveau-Brunswick)</t>
        </is>
      </c>
      <c r="P3955" t="n">
        <v>0</v>
      </c>
      <c r="Q3955" t="n">
        <v>48.75</v>
      </c>
      <c r="R3955" t="n">
        <v>0</v>
      </c>
      <c r="S3955" t="n">
        <v>0</v>
      </c>
      <c r="T3955" t="n">
        <v>0</v>
      </c>
      <c r="U3955" t="n">
        <v>48.75</v>
      </c>
      <c r="X3955" t="inlineStr">
        <is>
          <t>acoa-apeca</t>
        </is>
      </c>
      <c r="Y3955" t="inlineStr">
        <is>
          <t>Atlantic Canada Opportunities Agency | Agence de promotion économique du Canada atlantique</t>
        </is>
      </c>
      <c r="Z3955" t="n">
        <v>1</v>
      </c>
      <c r="AA3955" t="n">
        <v>48.75</v>
      </c>
      <c r="AB3955">
        <f>ROUND(U3955-AA3955,2)</f>
        <v/>
      </c>
      <c r="AC3955" t="b">
        <v>0</v>
      </c>
      <c r="AD3955">
        <f>IF(U3955="","MISSING_TOTAL",IF(ABS(AB3955)&lt;=0.01,"OK","CHECK"))</f>
        <v/>
      </c>
      <c r="AE3955">
        <f>IF(U3955="","MISSING",IF(AND(AA3955&gt;0,U3955/AA3955&gt;50),"POSSIBLE_SCALE_ERROR","OK"))</f>
        <v/>
      </c>
    </row>
    <row r="3956">
      <c r="A3956" t="inlineStr">
        <is>
          <t>T-2012-Q1-00051</t>
        </is>
      </c>
      <c r="B3956" t="inlineStr">
        <is>
          <t>SLE</t>
        </is>
      </c>
      <c r="C3956" t="inlineStr">
        <is>
          <t>President</t>
        </is>
      </c>
      <c r="D3956" t="inlineStr">
        <is>
          <t>Président</t>
        </is>
      </c>
      <c r="E3956" t="inlineStr">
        <is>
          <t>Paul J. LeBlanc</t>
        </is>
      </c>
      <c r="F3956" t="inlineStr">
        <is>
          <t>For various meetings and discussions with: Agency officials; with Government of Canada officials</t>
        </is>
      </c>
      <c r="G3956" t="inlineStr">
        <is>
          <t>Diverses réunons et discussions avec des fonctionnaires de l'Agence et du gouvernement du Canada</t>
        </is>
      </c>
      <c r="H3956" s="1" t="n">
        <v>40666</v>
      </c>
      <c r="I3956" s="1" t="n">
        <v>40670</v>
      </c>
      <c r="J3956" t="inlineStr">
        <is>
          <t>Ottawa and Kitchener, Ontario</t>
        </is>
      </c>
      <c r="K3956" t="inlineStr">
        <is>
          <t>Ottawa et Kitchener (Ontario)</t>
        </is>
      </c>
      <c r="P3956" t="n">
        <v>1658.28</v>
      </c>
      <c r="Q3956" t="n">
        <v>80.13</v>
      </c>
      <c r="R3956" t="n">
        <v>663.3099999999999</v>
      </c>
      <c r="S3956" t="n">
        <v>278.6</v>
      </c>
      <c r="T3956" t="n">
        <v>119.5</v>
      </c>
      <c r="U3956" t="n">
        <v>2799.82</v>
      </c>
      <c r="X3956" t="inlineStr">
        <is>
          <t>acoa-apeca</t>
        </is>
      </c>
      <c r="Y3956" t="inlineStr">
        <is>
          <t>Atlantic Canada Opportunities Agency | Agence de promotion économique du Canada atlantique</t>
        </is>
      </c>
      <c r="Z3956" t="n">
        <v>5</v>
      </c>
      <c r="AA3956" t="n">
        <v>2799.81999999999</v>
      </c>
      <c r="AB3956">
        <f>ROUND(U3956-AA3956,2)</f>
        <v/>
      </c>
      <c r="AC3956" t="b">
        <v>0</v>
      </c>
      <c r="AD3956">
        <f>IF(U3956="","MISSING_TOTAL",IF(ABS(AB3956)&lt;=0.01,"OK","CHECK"))</f>
        <v/>
      </c>
      <c r="AE3956">
        <f>IF(U3956="","MISSING",IF(AND(AA3956&gt;0,U3956/AA3956&gt;50),"POSSIBLE_SCALE_ERROR","OK"))</f>
        <v/>
      </c>
    </row>
    <row r="3957">
      <c r="A3957" t="inlineStr">
        <is>
          <t>T-2012-Q1-00050</t>
        </is>
      </c>
      <c r="B3957" t="inlineStr">
        <is>
          <t>SLE</t>
        </is>
      </c>
      <c r="C3957" t="inlineStr">
        <is>
          <t>Vice-President, Prince Edward Island</t>
        </is>
      </c>
      <c r="D3957" t="inlineStr">
        <is>
          <t>Vice-président, Île-du-Prince-Édouard</t>
        </is>
      </c>
      <c r="E3957" t="inlineStr">
        <is>
          <t>Patrick Dorsey</t>
        </is>
      </c>
      <c r="F3957" t="inlineStr">
        <is>
          <t>To attend middle managers forum and Convention Centre Best Practices Mission</t>
        </is>
      </c>
      <c r="G3957" t="inlineStr">
        <is>
          <t>Participation au forum des gestionnaires intermédiaires et à la mission sur les pratiques exemplaires des centres de congrès</t>
        </is>
      </c>
      <c r="H3957" s="1" t="n">
        <v>40665</v>
      </c>
      <c r="I3957" s="1" t="n">
        <v>40667</v>
      </c>
      <c r="J3957" t="inlineStr">
        <is>
          <t>Toronto, Ontario</t>
        </is>
      </c>
      <c r="K3957" t="inlineStr">
        <is>
          <t>Toronto (Ontario)</t>
        </is>
      </c>
      <c r="P3957" t="n">
        <v>603.7</v>
      </c>
      <c r="Q3957" t="n">
        <v>175</v>
      </c>
      <c r="R3957" t="n">
        <v>307.36</v>
      </c>
      <c r="S3957" t="n">
        <v>204.15</v>
      </c>
      <c r="T3957" t="n">
        <v>4.5</v>
      </c>
      <c r="U3957" t="n">
        <v>1294.71</v>
      </c>
      <c r="X3957" t="inlineStr">
        <is>
          <t>acoa-apeca</t>
        </is>
      </c>
      <c r="Y3957" t="inlineStr">
        <is>
          <t>Atlantic Canada Opportunities Agency | Agence de promotion économique du Canada atlantique</t>
        </is>
      </c>
      <c r="Z3957" t="n">
        <v>3</v>
      </c>
      <c r="AA3957" t="n">
        <v>1294.71</v>
      </c>
      <c r="AB3957">
        <f>ROUND(U3957-AA3957,2)</f>
        <v/>
      </c>
      <c r="AC3957" t="b">
        <v>0</v>
      </c>
      <c r="AD3957">
        <f>IF(U3957="","MISSING_TOTAL",IF(ABS(AB3957)&lt;=0.01,"OK","CHECK"))</f>
        <v/>
      </c>
      <c r="AE3957">
        <f>IF(U3957="","MISSING",IF(AND(AA3957&gt;0,U3957/AA3957&gt;50),"POSSIBLE_SCALE_ERROR","OK"))</f>
        <v/>
      </c>
    </row>
    <row r="3958">
      <c r="A3958" t="inlineStr">
        <is>
          <t>T-2012-Q1-00049</t>
        </is>
      </c>
      <c r="B3958" t="inlineStr">
        <is>
          <t>SLE</t>
        </is>
      </c>
      <c r="C3958" t="inlineStr">
        <is>
          <t>Vice-President, New Brunswick</t>
        </is>
      </c>
      <c r="D3958" t="inlineStr">
        <is>
          <t>Vice-présidente, Nouveau-Brunswick</t>
        </is>
      </c>
      <c r="E3958" t="inlineStr">
        <is>
          <t>Janet Gagnon</t>
        </is>
      </c>
      <c r="F3958" t="inlineStr">
        <is>
          <t>National Manager's Community Professional Development Forum</t>
        </is>
      </c>
      <c r="G3958" t="inlineStr">
        <is>
          <t>Forum de perfectionnement professionnel de la Communauté nationale des gestionnaires</t>
        </is>
      </c>
      <c r="H3958" s="1" t="n">
        <v>40664</v>
      </c>
      <c r="I3958" s="1" t="n">
        <v>40667</v>
      </c>
      <c r="J3958" t="inlineStr">
        <is>
          <t>Toronto, Ontario</t>
        </is>
      </c>
      <c r="K3958" t="inlineStr">
        <is>
          <t>Toronto (Ontario)</t>
        </is>
      </c>
      <c r="P3958" t="n">
        <v>692.04</v>
      </c>
      <c r="Q3958" t="n">
        <v>150.14</v>
      </c>
      <c r="R3958" t="n">
        <v>655.4</v>
      </c>
      <c r="S3958" t="n">
        <v>294.55</v>
      </c>
      <c r="T3958" t="n">
        <v>0</v>
      </c>
      <c r="U3958" t="n">
        <v>1792.13</v>
      </c>
      <c r="X3958" t="inlineStr">
        <is>
          <t>acoa-apeca</t>
        </is>
      </c>
      <c r="Y3958" t="inlineStr">
        <is>
          <t>Atlantic Canada Opportunities Agency | Agence de promotion économique du Canada atlantique</t>
        </is>
      </c>
      <c r="Z3958" t="n">
        <v>4</v>
      </c>
      <c r="AA3958" t="n">
        <v>1792.12999999999</v>
      </c>
      <c r="AB3958">
        <f>ROUND(U3958-AA3958,2)</f>
        <v/>
      </c>
      <c r="AC3958" t="b">
        <v>0</v>
      </c>
      <c r="AD3958">
        <f>IF(U3958="","MISSING_TOTAL",IF(ABS(AB3958)&lt;=0.01,"OK","CHECK"))</f>
        <v/>
      </c>
      <c r="AE3958">
        <f>IF(U3958="","MISSING",IF(AND(AA3958&gt;0,U3958/AA3958&gt;50),"POSSIBLE_SCALE_ERROR","OK"))</f>
        <v/>
      </c>
    </row>
    <row r="3959">
      <c r="A3959" t="inlineStr">
        <is>
          <t>T-2012-Q1-00047</t>
        </is>
      </c>
      <c r="B3959" t="inlineStr">
        <is>
          <t>SLE</t>
        </is>
      </c>
      <c r="C3959" t="inlineStr">
        <is>
          <t>Vice-President, New Brunswick</t>
        </is>
      </c>
      <c r="D3959" t="inlineStr">
        <is>
          <t>Vice-présidente, Nouveau-Brunswick</t>
        </is>
      </c>
      <c r="E3959" t="inlineStr">
        <is>
          <t>Janet Gagnon</t>
        </is>
      </c>
      <c r="F3959" t="inlineStr">
        <is>
          <t>Visit with Moncton District Office</t>
        </is>
      </c>
      <c r="G3959" t="inlineStr">
        <is>
          <t>Visite au bureau de district de Moncton</t>
        </is>
      </c>
      <c r="H3959" s="1" t="n">
        <v>40661</v>
      </c>
      <c r="I3959" s="1" t="n">
        <v>40661</v>
      </c>
      <c r="J3959" t="inlineStr">
        <is>
          <t>Moncton, New Brunswick</t>
        </is>
      </c>
      <c r="K3959" t="inlineStr">
        <is>
          <t>Moncton (Nouveau-Brunswick)</t>
        </is>
      </c>
      <c r="P3959" t="n">
        <v>0</v>
      </c>
      <c r="Q3959" t="n">
        <v>0</v>
      </c>
      <c r="R3959" t="n">
        <v>0</v>
      </c>
      <c r="S3959" t="n">
        <v>0</v>
      </c>
      <c r="T3959" t="n">
        <v>10</v>
      </c>
      <c r="U3959" t="n">
        <v>10</v>
      </c>
      <c r="X3959" t="inlineStr">
        <is>
          <t>acoa-apeca</t>
        </is>
      </c>
      <c r="Y3959" t="inlineStr">
        <is>
          <t>Atlantic Canada Opportunities Agency | Agence de promotion économique du Canada atlantique</t>
        </is>
      </c>
      <c r="Z3959" t="n">
        <v>1</v>
      </c>
      <c r="AA3959" t="n">
        <v>10</v>
      </c>
      <c r="AB3959">
        <f>ROUND(U3959-AA3959,2)</f>
        <v/>
      </c>
      <c r="AC3959" t="b">
        <v>0</v>
      </c>
      <c r="AD3959">
        <f>IF(U3959="","MISSING_TOTAL",IF(ABS(AB3959)&lt;=0.01,"OK","CHECK"))</f>
        <v/>
      </c>
      <c r="AE3959">
        <f>IF(U3959="","MISSING",IF(AND(AA3959&gt;0,U3959/AA3959&gt;50),"POSSIBLE_SCALE_ERROR","OK"))</f>
        <v/>
      </c>
    </row>
    <row r="3960">
      <c r="A3960" t="inlineStr">
        <is>
          <t>T-2012-Q1-00046</t>
        </is>
      </c>
      <c r="B3960" t="inlineStr">
        <is>
          <t>SLE</t>
        </is>
      </c>
      <c r="C3960" t="inlineStr">
        <is>
          <t>Vice-President, Newfoundland and Labrador</t>
        </is>
      </c>
      <c r="D3960" t="inlineStr">
        <is>
          <t>Vice-président, Terre-Neuve-et-Labrador</t>
        </is>
      </c>
      <c r="E3960" t="inlineStr">
        <is>
          <t>Paul Mills</t>
        </is>
      </c>
      <c r="F3960" t="inlineStr">
        <is>
          <t>To participate in Training and National Managers Forum</t>
        </is>
      </c>
      <c r="G3960" t="inlineStr">
        <is>
          <t>Pour participer à une formation et au Forum de la Communauté nationale des gestionnaires</t>
        </is>
      </c>
      <c r="H3960" s="1" t="n">
        <v>40661</v>
      </c>
      <c r="I3960" s="1" t="n">
        <v>40668</v>
      </c>
      <c r="J3960" t="inlineStr">
        <is>
          <t>Toronto, Ontario</t>
        </is>
      </c>
      <c r="K3960" t="inlineStr">
        <is>
          <t>Toronto (Ontario)</t>
        </is>
      </c>
      <c r="P3960" t="n">
        <v>1329.26</v>
      </c>
      <c r="Q3960" t="n">
        <v>173</v>
      </c>
      <c r="R3960" t="n">
        <v>1246.39</v>
      </c>
      <c r="S3960" t="n">
        <v>605</v>
      </c>
      <c r="T3960" t="n">
        <v>19.06</v>
      </c>
      <c r="U3960" t="n">
        <v>3372.71</v>
      </c>
      <c r="X3960" t="inlineStr">
        <is>
          <t>acoa-apeca</t>
        </is>
      </c>
      <c r="Y3960" t="inlineStr">
        <is>
          <t>Atlantic Canada Opportunities Agency | Agence de promotion économique du Canada atlantique</t>
        </is>
      </c>
      <c r="Z3960" t="n">
        <v>8</v>
      </c>
      <c r="AA3960" t="n">
        <v>3372.71</v>
      </c>
      <c r="AB3960">
        <f>ROUND(U3960-AA3960,2)</f>
        <v/>
      </c>
      <c r="AC3960" t="b">
        <v>0</v>
      </c>
      <c r="AD3960">
        <f>IF(U3960="","MISSING_TOTAL",IF(ABS(AB3960)&lt;=0.01,"OK","CHECK"))</f>
        <v/>
      </c>
      <c r="AE3960">
        <f>IF(U3960="","MISSING",IF(AND(AA3960&gt;0,U3960/AA3960&gt;50),"POSSIBLE_SCALE_ERROR","OK"))</f>
        <v/>
      </c>
    </row>
    <row r="3961">
      <c r="A3961" t="inlineStr">
        <is>
          <t>T-2012-Q1-00044</t>
        </is>
      </c>
      <c r="B3961" t="inlineStr">
        <is>
          <t>SLE</t>
        </is>
      </c>
      <c r="C3961" t="inlineStr">
        <is>
          <t>Vice President, Nova Scotia</t>
        </is>
      </c>
      <c r="D3961" t="inlineStr">
        <is>
          <t>Vice-président, Nouvelle-Écosse</t>
        </is>
      </c>
      <c r="E3961" t="inlineStr">
        <is>
          <t>Peter Hogan</t>
        </is>
      </c>
      <c r="F3961" t="inlineStr">
        <is>
          <t>Meeting with Agency Officials</t>
        </is>
      </c>
      <c r="G3961" t="inlineStr">
        <is>
          <t>Réunion avec des fonctionnaires de l'Agence</t>
        </is>
      </c>
      <c r="H3961" s="1" t="n">
        <v>40659</v>
      </c>
      <c r="I3961" s="1" t="n">
        <v>40659</v>
      </c>
      <c r="J3961" t="inlineStr">
        <is>
          <t>Moncton, New Brunswick</t>
        </is>
      </c>
      <c r="K3961" t="inlineStr">
        <is>
          <t>Moncton (Nouveau-Brunswick)</t>
        </is>
      </c>
      <c r="P3961" t="n">
        <v>0</v>
      </c>
      <c r="Q3961" t="n">
        <v>93.34</v>
      </c>
      <c r="R3961" t="n">
        <v>0</v>
      </c>
      <c r="S3961" t="n">
        <v>14.15</v>
      </c>
      <c r="T3961" t="n">
        <v>0</v>
      </c>
      <c r="U3961" t="n">
        <v>107.49</v>
      </c>
      <c r="X3961" t="inlineStr">
        <is>
          <t>acoa-apeca</t>
        </is>
      </c>
      <c r="Y3961" t="inlineStr">
        <is>
          <t>Atlantic Canada Opportunities Agency | Agence de promotion économique du Canada atlantique</t>
        </is>
      </c>
      <c r="Z3961" t="n">
        <v>1</v>
      </c>
      <c r="AA3961" t="n">
        <v>107.49</v>
      </c>
      <c r="AB3961">
        <f>ROUND(U3961-AA3961,2)</f>
        <v/>
      </c>
      <c r="AC3961" t="b">
        <v>0</v>
      </c>
      <c r="AD3961">
        <f>IF(U3961="","MISSING_TOTAL",IF(ABS(AB3961)&lt;=0.01,"OK","CHECK"))</f>
        <v/>
      </c>
      <c r="AE3961">
        <f>IF(U3961="","MISSING",IF(AND(AA3961&gt;0,U3961/AA3961&gt;50),"POSSIBLE_SCALE_ERROR","OK"))</f>
        <v/>
      </c>
    </row>
    <row r="3962">
      <c r="A3962" t="inlineStr">
        <is>
          <t>T-2012-Q1-00043</t>
        </is>
      </c>
      <c r="B3962" t="inlineStr">
        <is>
          <t>SLE</t>
        </is>
      </c>
      <c r="C3962" t="inlineStr">
        <is>
          <t>President</t>
        </is>
      </c>
      <c r="D3962" t="inlineStr">
        <is>
          <t>Président</t>
        </is>
      </c>
      <c r="E3962" t="inlineStr">
        <is>
          <t>Paul J. LeBlanc</t>
        </is>
      </c>
      <c r="F3962" t="inlineStr">
        <is>
          <t>For various meetings and discussions with Government of Canada officials</t>
        </is>
      </c>
      <c r="G3962" t="inlineStr">
        <is>
          <t>Diverses réunons et discussions avec des fonctionnaires du gouvernement du Canada</t>
        </is>
      </c>
      <c r="H3962" s="1" t="n">
        <v>40659</v>
      </c>
      <c r="I3962" s="1" t="n">
        <v>40660</v>
      </c>
      <c r="J3962" t="inlineStr">
        <is>
          <t>Ottawa, Ontario</t>
        </is>
      </c>
      <c r="K3962" t="inlineStr">
        <is>
          <t>Ottawa (Ontario)</t>
        </is>
      </c>
      <c r="P3962" t="n">
        <v>727.36</v>
      </c>
      <c r="Q3962" t="n">
        <v>13.13</v>
      </c>
      <c r="R3962" t="n">
        <v>174.02</v>
      </c>
      <c r="S3962" t="n">
        <v>88.59999999999999</v>
      </c>
      <c r="T3962" t="n">
        <v>15</v>
      </c>
      <c r="U3962" t="n">
        <v>1018.11</v>
      </c>
      <c r="X3962" t="inlineStr">
        <is>
          <t>acoa-apeca</t>
        </is>
      </c>
      <c r="Y3962" t="inlineStr">
        <is>
          <t>Atlantic Canada Opportunities Agency | Agence de promotion économique du Canada atlantique</t>
        </is>
      </c>
      <c r="Z3962" t="n">
        <v>2</v>
      </c>
      <c r="AA3962" t="n">
        <v>1018.11</v>
      </c>
      <c r="AB3962">
        <f>ROUND(U3962-AA3962,2)</f>
        <v/>
      </c>
      <c r="AC3962" t="b">
        <v>0</v>
      </c>
      <c r="AD3962">
        <f>IF(U3962="","MISSING_TOTAL",IF(ABS(AB3962)&lt;=0.01,"OK","CHECK"))</f>
        <v/>
      </c>
      <c r="AE3962">
        <f>IF(U3962="","MISSING",IF(AND(AA3962&gt;0,U3962/AA3962&gt;50),"POSSIBLE_SCALE_ERROR","OK"))</f>
        <v/>
      </c>
    </row>
    <row r="3963">
      <c r="A3963" t="inlineStr">
        <is>
          <t>T-2012-Q1-00042</t>
        </is>
      </c>
      <c r="B3963" t="inlineStr">
        <is>
          <t>SLE</t>
        </is>
      </c>
      <c r="C3963" t="inlineStr">
        <is>
          <t>Vice-President, Finance and Corporate Services</t>
        </is>
      </c>
      <c r="D3963" t="inlineStr">
        <is>
          <t>Vice-présidente, Finances et Services corporatifs</t>
        </is>
      </c>
      <c r="E3963" t="inlineStr">
        <is>
          <t>Denise Frenette</t>
        </is>
      </c>
      <c r="F3963" t="inlineStr">
        <is>
          <t>Meetings with Government of Canada Officials and Agency Officials</t>
        </is>
      </c>
      <c r="G3963" t="inlineStr">
        <is>
          <t>Réunions avec des fonctionnaires du gouvernement du Canada et de l'Agence</t>
        </is>
      </c>
      <c r="H3963" s="1" t="n">
        <v>40653</v>
      </c>
      <c r="I3963" s="1" t="n">
        <v>40654</v>
      </c>
      <c r="J3963" t="inlineStr">
        <is>
          <t>Ottawa, Ontario</t>
        </is>
      </c>
      <c r="K3963" t="inlineStr">
        <is>
          <t>Ottawa (Ontario)</t>
        </is>
      </c>
      <c r="P3963" t="n">
        <v>1075.6</v>
      </c>
      <c r="Q3963" t="n">
        <v>95.58</v>
      </c>
      <c r="R3963" t="n">
        <v>174.02</v>
      </c>
      <c r="S3963" t="n">
        <v>77.95</v>
      </c>
      <c r="T3963" t="n">
        <v>30</v>
      </c>
      <c r="U3963" t="n">
        <v>1453.15</v>
      </c>
      <c r="X3963" t="inlineStr">
        <is>
          <t>acoa-apeca</t>
        </is>
      </c>
      <c r="Y3963" t="inlineStr">
        <is>
          <t>Atlantic Canada Opportunities Agency | Agence de promotion économique du Canada atlantique</t>
        </is>
      </c>
      <c r="Z3963" t="n">
        <v>2</v>
      </c>
      <c r="AA3963" t="n">
        <v>1453.14999999999</v>
      </c>
      <c r="AB3963">
        <f>ROUND(U3963-AA3963,2)</f>
        <v/>
      </c>
      <c r="AC3963" t="b">
        <v>0</v>
      </c>
      <c r="AD3963">
        <f>IF(U3963="","MISSING_TOTAL",IF(ABS(AB3963)&lt;=0.01,"OK","CHECK"))</f>
        <v/>
      </c>
      <c r="AE3963">
        <f>IF(U3963="","MISSING",IF(AND(AA3963&gt;0,U3963/AA3963&gt;50),"POSSIBLE_SCALE_ERROR","OK"))</f>
        <v/>
      </c>
    </row>
    <row r="3964">
      <c r="A3964" t="inlineStr">
        <is>
          <t>T-2012-Q1-00041</t>
        </is>
      </c>
      <c r="B3964" t="inlineStr">
        <is>
          <t>SLE</t>
        </is>
      </c>
      <c r="C3964" t="inlineStr">
        <is>
          <t>Vice-President, New Brunswick</t>
        </is>
      </c>
      <c r="D3964" t="inlineStr">
        <is>
          <t>Vice-présidente, Nouveau-Brunswick</t>
        </is>
      </c>
      <c r="E3964" t="inlineStr">
        <is>
          <t>Janet Gagnon</t>
        </is>
      </c>
      <c r="F3964" t="inlineStr">
        <is>
          <t>National meeting of the Regional Federal Council Chairs and Executive Committee Meeting</t>
        </is>
      </c>
      <c r="G3964" t="inlineStr">
        <is>
          <t>Rencontre nationale des présidents des conseils fédéraux régionaux et réunion du Comité de direction</t>
        </is>
      </c>
      <c r="H3964" s="1" t="n">
        <v>40652</v>
      </c>
      <c r="I3964" s="1" t="n">
        <v>40654</v>
      </c>
      <c r="J3964" t="inlineStr">
        <is>
          <t>Ottawa, Ontario</t>
        </is>
      </c>
      <c r="K3964" t="inlineStr">
        <is>
          <t>Ottawa (Ontario)</t>
        </is>
      </c>
      <c r="P3964" t="n">
        <v>1297.92</v>
      </c>
      <c r="Q3964" t="n">
        <v>76.33</v>
      </c>
      <c r="R3964" t="n">
        <v>522.0599999999999</v>
      </c>
      <c r="S3964" t="n">
        <v>262.2</v>
      </c>
      <c r="T3964" t="n">
        <v>32</v>
      </c>
      <c r="U3964" t="n">
        <v>2190.51</v>
      </c>
      <c r="X3964" t="inlineStr">
        <is>
          <t>acoa-apeca</t>
        </is>
      </c>
      <c r="Y3964" t="inlineStr">
        <is>
          <t>Atlantic Canada Opportunities Agency | Agence de promotion économique du Canada atlantique</t>
        </is>
      </c>
      <c r="Z3964" t="n">
        <v>3</v>
      </c>
      <c r="AA3964" t="n">
        <v>2190.50999999999</v>
      </c>
      <c r="AB3964">
        <f>ROUND(U3964-AA3964,2)</f>
        <v/>
      </c>
      <c r="AC3964" t="b">
        <v>0</v>
      </c>
      <c r="AD3964">
        <f>IF(U3964="","MISSING_TOTAL",IF(ABS(AB3964)&lt;=0.01,"OK","CHECK"))</f>
        <v/>
      </c>
      <c r="AE3964">
        <f>IF(U3964="","MISSING",IF(AND(AA3964&gt;0,U3964/AA3964&gt;50),"POSSIBLE_SCALE_ERROR","OK"))</f>
        <v/>
      </c>
    </row>
    <row r="3965">
      <c r="A3965" t="inlineStr">
        <is>
          <t>T-2012-Q1-00039</t>
        </is>
      </c>
      <c r="B3965" t="inlineStr">
        <is>
          <t>SLE</t>
        </is>
      </c>
      <c r="C3965" t="inlineStr">
        <is>
          <t>Vice-President, Prince Edward Island</t>
        </is>
      </c>
      <c r="D3965" t="inlineStr">
        <is>
          <t>Vice-président, Île-du-Prince-Édouard</t>
        </is>
      </c>
      <c r="E3965" t="inlineStr">
        <is>
          <t>Patrick Dorsey</t>
        </is>
      </c>
      <c r="F3965" t="inlineStr">
        <is>
          <t>Federal Regional Council Chairs meeting and meeting of Executive Committee</t>
        </is>
      </c>
      <c r="G3965" t="inlineStr">
        <is>
          <t>Réunion des présidents des conseils fédéraux régionaux et réunion du Comité de direction</t>
        </is>
      </c>
      <c r="H3965" s="1" t="n">
        <v>40651</v>
      </c>
      <c r="I3965" s="1" t="n">
        <v>40654</v>
      </c>
      <c r="J3965" t="inlineStr">
        <is>
          <t>Ottawa, Ontario</t>
        </is>
      </c>
      <c r="K3965" t="inlineStr">
        <is>
          <t>Ottawa (Ontario)</t>
        </is>
      </c>
      <c r="P3965" t="n">
        <v>1476.21</v>
      </c>
      <c r="Q3965" t="n">
        <v>78</v>
      </c>
      <c r="R3965" t="n">
        <v>525.45</v>
      </c>
      <c r="S3965" t="n">
        <v>222.35</v>
      </c>
      <c r="T3965" t="n">
        <v>58</v>
      </c>
      <c r="U3965" t="n">
        <v>2360.01</v>
      </c>
      <c r="X3965" t="inlineStr">
        <is>
          <t>acoa-apeca</t>
        </is>
      </c>
      <c r="Y3965" t="inlineStr">
        <is>
          <t>Atlantic Canada Opportunities Agency | Agence de promotion économique du Canada atlantique</t>
        </is>
      </c>
      <c r="Z3965" t="n">
        <v>4</v>
      </c>
      <c r="AA3965" t="n">
        <v>2360.00999999999</v>
      </c>
      <c r="AB3965">
        <f>ROUND(U3965-AA3965,2)</f>
        <v/>
      </c>
      <c r="AC3965" t="b">
        <v>0</v>
      </c>
      <c r="AD3965">
        <f>IF(U3965="","MISSING_TOTAL",IF(ABS(AB3965)&lt;=0.01,"OK","CHECK"))</f>
        <v/>
      </c>
      <c r="AE3965">
        <f>IF(U3965="","MISSING",IF(AND(AA3965&gt;0,U3965/AA3965&gt;50),"POSSIBLE_SCALE_ERROR","OK"))</f>
        <v/>
      </c>
    </row>
    <row r="3966">
      <c r="A3966" t="inlineStr">
        <is>
          <t>T-2012-Q1-00038</t>
        </is>
      </c>
      <c r="B3966" t="inlineStr">
        <is>
          <t>SLE</t>
        </is>
      </c>
      <c r="C3966" t="inlineStr">
        <is>
          <t>Vice President, Nova Scotia</t>
        </is>
      </c>
      <c r="D3966" t="inlineStr">
        <is>
          <t>Vice-président, Nouvelle-Écosse</t>
        </is>
      </c>
      <c r="E3966" t="inlineStr">
        <is>
          <t>Peter Hogan</t>
        </is>
      </c>
      <c r="F3966" t="inlineStr">
        <is>
          <t>National Regional Federal Council Chairs and Executive Committee</t>
        </is>
      </c>
      <c r="G3966" t="inlineStr">
        <is>
          <t>Rencontre nationale des présidents des conseils fédéraux régionaux et réunion du Comité de direction</t>
        </is>
      </c>
      <c r="H3966" s="1" t="n">
        <v>40651</v>
      </c>
      <c r="I3966" s="1" t="n">
        <v>40654</v>
      </c>
      <c r="J3966" t="inlineStr">
        <is>
          <t>Ottawa, Ontario</t>
        </is>
      </c>
      <c r="K3966" t="inlineStr">
        <is>
          <t>Ottawa (Ontario)</t>
        </is>
      </c>
      <c r="P3966" t="n">
        <v>187.7</v>
      </c>
      <c r="Q3966" t="n">
        <v>170.8</v>
      </c>
      <c r="R3966" t="n">
        <v>522.0599999999999</v>
      </c>
      <c r="S3966" t="n">
        <v>236.5</v>
      </c>
      <c r="T3966" t="n">
        <v>0</v>
      </c>
      <c r="U3966" t="n">
        <v>1117.06</v>
      </c>
      <c r="X3966" t="inlineStr">
        <is>
          <t>acoa-apeca</t>
        </is>
      </c>
      <c r="Y3966" t="inlineStr">
        <is>
          <t>Atlantic Canada Opportunities Agency | Agence de promotion économique du Canada atlantique</t>
        </is>
      </c>
      <c r="Z3966" t="n">
        <v>4</v>
      </c>
      <c r="AA3966" t="n">
        <v>1117.06</v>
      </c>
      <c r="AB3966">
        <f>ROUND(U3966-AA3966,2)</f>
        <v/>
      </c>
      <c r="AC3966" t="b">
        <v>0</v>
      </c>
      <c r="AD3966">
        <f>IF(U3966="","MISSING_TOTAL",IF(ABS(AB3966)&lt;=0.01,"OK","CHECK"))</f>
        <v/>
      </c>
      <c r="AE3966">
        <f>IF(U3966="","MISSING",IF(AND(AA3966&gt;0,U3966/AA3966&gt;50),"POSSIBLE_SCALE_ERROR","OK"))</f>
        <v/>
      </c>
    </row>
    <row r="3967">
      <c r="A3967" t="inlineStr">
        <is>
          <t>T-2012-Q1-00037</t>
        </is>
      </c>
      <c r="B3967" t="inlineStr">
        <is>
          <t>SLE</t>
        </is>
      </c>
      <c r="C3967" t="inlineStr">
        <is>
          <t>President</t>
        </is>
      </c>
      <c r="D3967" t="inlineStr">
        <is>
          <t>Président</t>
        </is>
      </c>
      <c r="E3967" t="inlineStr">
        <is>
          <t>Paul J. LeBlanc</t>
        </is>
      </c>
      <c r="F3967" t="inlineStr">
        <is>
          <t>For various meetings and discussions with Agency officials; and Governemnt of Canada officials</t>
        </is>
      </c>
      <c r="G3967" t="inlineStr">
        <is>
          <t>Diverses réunons et discussions avec des fonctionnaires de l'Agence et du gouvernement du Canada</t>
        </is>
      </c>
      <c r="H3967" s="1" t="n">
        <v>40651</v>
      </c>
      <c r="I3967" s="1" t="n">
        <v>40654</v>
      </c>
      <c r="J3967" t="inlineStr">
        <is>
          <t>Ottawa, Ontario</t>
        </is>
      </c>
      <c r="K3967" t="inlineStr">
        <is>
          <t>Ottawa (Ontario)</t>
        </is>
      </c>
      <c r="P3967" t="n">
        <v>727.36</v>
      </c>
      <c r="Q3967" t="n">
        <v>0</v>
      </c>
      <c r="R3967" t="n">
        <v>522.0599999999999</v>
      </c>
      <c r="S3967" t="n">
        <v>222.35</v>
      </c>
      <c r="T3967" t="n">
        <v>61.13</v>
      </c>
      <c r="U3967" t="n">
        <v>1532.9</v>
      </c>
      <c r="X3967" t="inlineStr">
        <is>
          <t>acoa-apeca</t>
        </is>
      </c>
      <c r="Y3967" t="inlineStr">
        <is>
          <t>Atlantic Canada Opportunities Agency | Agence de promotion économique du Canada atlantique</t>
        </is>
      </c>
      <c r="Z3967" t="n">
        <v>4</v>
      </c>
      <c r="AA3967" t="n">
        <v>1532.9</v>
      </c>
      <c r="AB3967">
        <f>ROUND(U3967-AA3967,2)</f>
        <v/>
      </c>
      <c r="AC3967" t="b">
        <v>0</v>
      </c>
      <c r="AD3967">
        <f>IF(U3967="","MISSING_TOTAL",IF(ABS(AB3967)&lt;=0.01,"OK","CHECK"))</f>
        <v/>
      </c>
      <c r="AE3967">
        <f>IF(U3967="","MISSING",IF(AND(AA3967&gt;0,U3967/AA3967&gt;50),"POSSIBLE_SCALE_ERROR","OK"))</f>
        <v/>
      </c>
    </row>
    <row r="3968">
      <c r="A3968" t="inlineStr">
        <is>
          <t>T-2012-Q1-00036</t>
        </is>
      </c>
      <c r="B3968" t="inlineStr">
        <is>
          <t>SLE</t>
        </is>
      </c>
      <c r="C3968" t="inlineStr">
        <is>
          <t>Vice-President, Newfoundland and Labrador</t>
        </is>
      </c>
      <c r="D3968" t="inlineStr">
        <is>
          <t>Vice-président, Terre-Neuve-et-Labrador</t>
        </is>
      </c>
      <c r="E3968" t="inlineStr">
        <is>
          <t>Paul Mills</t>
        </is>
      </c>
      <c r="F3968" t="inlineStr">
        <is>
          <t>To attend National Meeting of Regional Federal Council Chairs and Executive Committee Meeting</t>
        </is>
      </c>
      <c r="G3968" t="inlineStr">
        <is>
          <t>Réunion nationale des présidents des conseils fédéraux régionaux et réunion du Comité de direction</t>
        </is>
      </c>
      <c r="H3968" s="1" t="n">
        <v>40651</v>
      </c>
      <c r="I3968" s="1" t="n">
        <v>40654</v>
      </c>
      <c r="J3968" t="inlineStr">
        <is>
          <t>Ottawa, Ontario</t>
        </is>
      </c>
      <c r="K3968" t="inlineStr">
        <is>
          <t>Ottawa (Ontario)</t>
        </is>
      </c>
      <c r="P3968" t="n">
        <v>1329.26</v>
      </c>
      <c r="Q3968" t="n">
        <v>128</v>
      </c>
      <c r="R3968" t="n">
        <v>522.0599999999999</v>
      </c>
      <c r="S3968" t="n">
        <v>247.15</v>
      </c>
      <c r="T3968" t="n">
        <v>9.73</v>
      </c>
      <c r="U3968" t="n">
        <v>2236.2</v>
      </c>
      <c r="X3968" t="inlineStr">
        <is>
          <t>acoa-apeca</t>
        </is>
      </c>
      <c r="Y3968" t="inlineStr">
        <is>
          <t>Atlantic Canada Opportunities Agency | Agence de promotion économique du Canada atlantique</t>
        </is>
      </c>
      <c r="Z3968" t="n">
        <v>4</v>
      </c>
      <c r="AA3968" t="n">
        <v>2236.2</v>
      </c>
      <c r="AB3968">
        <f>ROUND(U3968-AA3968,2)</f>
        <v/>
      </c>
      <c r="AC3968" t="b">
        <v>0</v>
      </c>
      <c r="AD3968">
        <f>IF(U3968="","MISSING_TOTAL",IF(ABS(AB3968)&lt;=0.01,"OK","CHECK"))</f>
        <v/>
      </c>
      <c r="AE3968">
        <f>IF(U3968="","MISSING",IF(AND(AA3968&gt;0,U3968/AA3968&gt;50),"POSSIBLE_SCALE_ERROR","OK"))</f>
        <v/>
      </c>
    </row>
    <row r="3969">
      <c r="A3969" t="inlineStr">
        <is>
          <t>T-2012-Q1-00035</t>
        </is>
      </c>
      <c r="B3969" t="inlineStr">
        <is>
          <t>SLE</t>
        </is>
      </c>
      <c r="C3969" t="inlineStr">
        <is>
          <t>Vice-President, New Brunswick</t>
        </is>
      </c>
      <c r="D3969" t="inlineStr">
        <is>
          <t>Vice-présidente, Nouveau-Brunswick</t>
        </is>
      </c>
      <c r="E3969" t="inlineStr">
        <is>
          <t>Janet Gagnon</t>
        </is>
      </c>
      <c r="F3969" t="inlineStr">
        <is>
          <t>ACOA Committee on Information Management and Technology Meeting</t>
        </is>
      </c>
      <c r="G3969" t="inlineStr">
        <is>
          <t>Réunion du Comité sur la gestion de l'information et la technologie de l'APECA</t>
        </is>
      </c>
      <c r="H3969" s="1" t="n">
        <v>40648</v>
      </c>
      <c r="I3969" s="1" t="n">
        <v>40648</v>
      </c>
      <c r="J3969" t="inlineStr">
        <is>
          <t>Moncton, New Brunswick</t>
        </is>
      </c>
      <c r="K3969" t="inlineStr">
        <is>
          <t>Moncton (Nouveau-Brunswick)</t>
        </is>
      </c>
      <c r="P3969" t="n">
        <v>0</v>
      </c>
      <c r="Q3969" t="n">
        <v>0</v>
      </c>
      <c r="R3969" t="n">
        <v>0</v>
      </c>
      <c r="S3969" t="n">
        <v>54</v>
      </c>
      <c r="T3969" t="n">
        <v>6</v>
      </c>
      <c r="U3969" t="n">
        <v>60</v>
      </c>
      <c r="X3969" t="inlineStr">
        <is>
          <t>acoa-apeca</t>
        </is>
      </c>
      <c r="Y3969" t="inlineStr">
        <is>
          <t>Atlantic Canada Opportunities Agency | Agence de promotion économique du Canada atlantique</t>
        </is>
      </c>
      <c r="Z3969" t="n">
        <v>1</v>
      </c>
      <c r="AA3969" t="n">
        <v>60</v>
      </c>
      <c r="AB3969">
        <f>ROUND(U3969-AA3969,2)</f>
        <v/>
      </c>
      <c r="AC3969" t="b">
        <v>0</v>
      </c>
      <c r="AD3969">
        <f>IF(U3969="","MISSING_TOTAL",IF(ABS(AB3969)&lt;=0.01,"OK","CHECK"))</f>
        <v/>
      </c>
      <c r="AE3969">
        <f>IF(U3969="","MISSING",IF(AND(AA3969&gt;0,U3969/AA3969&gt;50),"POSSIBLE_SCALE_ERROR","OK"))</f>
        <v/>
      </c>
    </row>
    <row r="3970">
      <c r="A3970" t="inlineStr">
        <is>
          <t>T-2012-Q1-00033</t>
        </is>
      </c>
      <c r="B3970" t="inlineStr">
        <is>
          <t>SLE</t>
        </is>
      </c>
      <c r="C3970" t="inlineStr">
        <is>
          <t>Vice-President, Finance and Corporate Services</t>
        </is>
      </c>
      <c r="D3970" t="inlineStr">
        <is>
          <t>Vice-présidente, Finances et Services corporatifs</t>
        </is>
      </c>
      <c r="E3970" t="inlineStr">
        <is>
          <t>Denise Frenette</t>
        </is>
      </c>
      <c r="F3970" t="inlineStr">
        <is>
          <t>Meetings with Agency Officials</t>
        </is>
      </c>
      <c r="G3970" t="inlineStr">
        <is>
          <t>Réunions avec des fonctionnaires de l'Agence</t>
        </is>
      </c>
      <c r="H3970" s="1" t="n">
        <v>40645</v>
      </c>
      <c r="I3970" s="1" t="n">
        <v>40645</v>
      </c>
      <c r="J3970" t="inlineStr">
        <is>
          <t>Sydney, Nova Scotia</t>
        </is>
      </c>
      <c r="K3970" t="inlineStr">
        <is>
          <t>Sydney (Nouvelle-Écosse)</t>
        </is>
      </c>
      <c r="P3970" t="n">
        <v>1075.6</v>
      </c>
      <c r="Q3970" t="n">
        <v>21.08</v>
      </c>
      <c r="R3970" t="n">
        <v>0</v>
      </c>
      <c r="S3970" t="n">
        <v>54</v>
      </c>
      <c r="T3970" t="n">
        <v>15</v>
      </c>
      <c r="U3970" t="n">
        <v>1165.68</v>
      </c>
      <c r="X3970" t="inlineStr">
        <is>
          <t>acoa-apeca</t>
        </is>
      </c>
      <c r="Y3970" t="inlineStr">
        <is>
          <t>Atlantic Canada Opportunities Agency | Agence de promotion économique du Canada atlantique</t>
        </is>
      </c>
      <c r="Z3970" t="n">
        <v>1</v>
      </c>
      <c r="AA3970" t="n">
        <v>1165.67999999999</v>
      </c>
      <c r="AB3970">
        <f>ROUND(U3970-AA3970,2)</f>
        <v/>
      </c>
      <c r="AC3970" t="b">
        <v>0</v>
      </c>
      <c r="AD3970">
        <f>IF(U3970="","MISSING_TOTAL",IF(ABS(AB3970)&lt;=0.01,"OK","CHECK"))</f>
        <v/>
      </c>
      <c r="AE3970">
        <f>IF(U3970="","MISSING",IF(AND(AA3970&gt;0,U3970/AA3970&gt;50),"POSSIBLE_SCALE_ERROR","OK"))</f>
        <v/>
      </c>
    </row>
    <row r="3971">
      <c r="A3971" t="inlineStr">
        <is>
          <t>T-2011-Q4-00064</t>
        </is>
      </c>
      <c r="B3971" t="inlineStr">
        <is>
          <t>MPSES</t>
        </is>
      </c>
      <c r="C3971" t="inlineStr">
        <is>
          <t>Regional Affairs Director</t>
        </is>
      </c>
      <c r="D3971" t="inlineStr">
        <is>
          <t>Directeur des affaires régionales</t>
        </is>
      </c>
      <c r="E3971" t="inlineStr">
        <is>
          <t>Raymond Vogan</t>
        </is>
      </c>
      <c r="F3971" t="inlineStr">
        <is>
          <t>Travel to attend regional affairs meeting</t>
        </is>
      </c>
      <c r="G3971" t="inlineStr">
        <is>
          <t>Voyage pour participer à des réunions sur des questions de nature régionale</t>
        </is>
      </c>
      <c r="H3971" s="1" t="n">
        <v>40590</v>
      </c>
      <c r="I3971" s="1" t="n">
        <v>40591</v>
      </c>
      <c r="J3971" t="inlineStr">
        <is>
          <t>Ottawa, Ontario</t>
        </is>
      </c>
      <c r="K3971" t="inlineStr">
        <is>
          <t>Ottawa (Ontario)</t>
        </is>
      </c>
      <c r="P3971" t="n">
        <v>969</v>
      </c>
      <c r="Q3971" t="n">
        <v>60</v>
      </c>
      <c r="R3971" t="n">
        <v>174.02</v>
      </c>
      <c r="S3971" t="n">
        <v>170.4</v>
      </c>
      <c r="T3971" t="n">
        <v>0</v>
      </c>
      <c r="U3971" t="n">
        <v>1373.42</v>
      </c>
      <c r="X3971" t="inlineStr">
        <is>
          <t>acoa-apeca</t>
        </is>
      </c>
      <c r="Y3971" t="inlineStr">
        <is>
          <t>Atlantic Canada Opportunities Agency | Agence de promotion économique du Canada atlantique</t>
        </is>
      </c>
      <c r="Z3971" t="n">
        <v>2</v>
      </c>
      <c r="AA3971" t="n">
        <v>1373.42</v>
      </c>
      <c r="AB3971">
        <f>ROUND(U3971-AA3971,2)</f>
        <v/>
      </c>
      <c r="AC3971" t="b">
        <v>0</v>
      </c>
      <c r="AD3971">
        <f>IF(U3971="","MISSING_TOTAL",IF(ABS(AB3971)&lt;=0.01,"OK","CHECK"))</f>
        <v/>
      </c>
      <c r="AE3971">
        <f>IF(U3971="","MISSING",IF(AND(AA3971&gt;0,U3971/AA3971&gt;50),"POSSIBLE_SCALE_ERROR","OK"))</f>
        <v/>
      </c>
    </row>
    <row r="3972">
      <c r="A3972" t="inlineStr">
        <is>
          <t>T-2012-Q1-00032</t>
        </is>
      </c>
      <c r="B3972" t="inlineStr">
        <is>
          <t>SLE</t>
        </is>
      </c>
      <c r="C3972" t="inlineStr">
        <is>
          <t>Vice President, Nova Scotia</t>
        </is>
      </c>
      <c r="D3972" t="inlineStr">
        <is>
          <t>Vice-président, Nouvelle-Écosse</t>
        </is>
      </c>
      <c r="E3972" t="inlineStr">
        <is>
          <t>Peter Hogan</t>
        </is>
      </c>
      <c r="F3972" t="inlineStr">
        <is>
          <t>Various Meetings Government of Canada Officials</t>
        </is>
      </c>
      <c r="G3972" t="inlineStr">
        <is>
          <t>Diverses réunions avec des fonctionnaires du gouvernement du Canada</t>
        </is>
      </c>
      <c r="H3972" s="1" t="n">
        <v>40645</v>
      </c>
      <c r="I3972" s="1" t="n">
        <v>40646</v>
      </c>
      <c r="J3972" t="inlineStr">
        <is>
          <t>Ottawa, Ontario</t>
        </is>
      </c>
      <c r="K3972" t="inlineStr">
        <is>
          <t>Ottawa (Ontario)</t>
        </is>
      </c>
      <c r="P3972" t="n">
        <v>643.4299999999999</v>
      </c>
      <c r="Q3972" t="n">
        <v>91.8</v>
      </c>
      <c r="R3972" t="n">
        <v>174.02</v>
      </c>
      <c r="S3972" t="n">
        <v>143.5</v>
      </c>
      <c r="T3972" t="n">
        <v>0</v>
      </c>
      <c r="U3972" t="n">
        <v>1052.75</v>
      </c>
      <c r="X3972" t="inlineStr">
        <is>
          <t>acoa-apeca</t>
        </is>
      </c>
      <c r="Y3972" t="inlineStr">
        <is>
          <t>Atlantic Canada Opportunities Agency | Agence de promotion économique du Canada atlantique</t>
        </is>
      </c>
      <c r="Z3972" t="n">
        <v>2</v>
      </c>
      <c r="AA3972" t="n">
        <v>1052.75</v>
      </c>
      <c r="AB3972">
        <f>ROUND(U3972-AA3972,2)</f>
        <v/>
      </c>
      <c r="AC3972" t="b">
        <v>0</v>
      </c>
      <c r="AD3972">
        <f>IF(U3972="","MISSING_TOTAL",IF(ABS(AB3972)&lt;=0.01,"OK","CHECK"))</f>
        <v/>
      </c>
      <c r="AE3972">
        <f>IF(U3972="","MISSING",IF(AND(AA3972&gt;0,U3972/AA3972&gt;50),"POSSIBLE_SCALE_ERROR","OK"))</f>
        <v/>
      </c>
    </row>
    <row r="3973">
      <c r="A3973" t="inlineStr">
        <is>
          <t>T-2012-Q1-00030</t>
        </is>
      </c>
      <c r="B3973" t="inlineStr">
        <is>
          <t>SLE</t>
        </is>
      </c>
      <c r="C3973" t="inlineStr">
        <is>
          <t>Vice-President, Finance and Corporate Services</t>
        </is>
      </c>
      <c r="D3973" t="inlineStr">
        <is>
          <t>Vice-présidente, Finances et Services corporatifs</t>
        </is>
      </c>
      <c r="E3973" t="inlineStr">
        <is>
          <t>Denise Frenette</t>
        </is>
      </c>
      <c r="F3973" t="inlineStr">
        <is>
          <t>Meetings with Agency Officials</t>
        </is>
      </c>
      <c r="G3973" t="inlineStr">
        <is>
          <t>Réunions avec des fonctionnaires de l'Agence</t>
        </is>
      </c>
      <c r="H3973" s="1" t="n">
        <v>40638</v>
      </c>
      <c r="I3973" s="1" t="n">
        <v>40638</v>
      </c>
      <c r="J3973" t="inlineStr">
        <is>
          <t>Sydney, Nova Scotia</t>
        </is>
      </c>
      <c r="K3973" t="inlineStr">
        <is>
          <t>Sydney (Nouvelle-Écosse)</t>
        </is>
      </c>
      <c r="P3973" t="n">
        <v>1075.6</v>
      </c>
      <c r="Q3973" t="n">
        <v>11.12</v>
      </c>
      <c r="R3973" t="n">
        <v>0</v>
      </c>
      <c r="S3973" t="n">
        <v>29.2</v>
      </c>
      <c r="T3973" t="n">
        <v>15</v>
      </c>
      <c r="U3973" t="n">
        <v>1130.92</v>
      </c>
      <c r="X3973" t="inlineStr">
        <is>
          <t>acoa-apeca</t>
        </is>
      </c>
      <c r="Y3973" t="inlineStr">
        <is>
          <t>Atlantic Canada Opportunities Agency | Agence de promotion économique du Canada atlantique</t>
        </is>
      </c>
      <c r="Z3973" t="n">
        <v>1</v>
      </c>
      <c r="AA3973" t="n">
        <v>1130.91999999999</v>
      </c>
      <c r="AB3973">
        <f>ROUND(U3973-AA3973,2)</f>
        <v/>
      </c>
      <c r="AC3973" t="b">
        <v>0</v>
      </c>
      <c r="AD3973">
        <f>IF(U3973="","MISSING_TOTAL",IF(ABS(AB3973)&lt;=0.01,"OK","CHECK"))</f>
        <v/>
      </c>
      <c r="AE3973">
        <f>IF(U3973="","MISSING",IF(AND(AA3973&gt;0,U3973/AA3973&gt;50),"POSSIBLE_SCALE_ERROR","OK"))</f>
        <v/>
      </c>
    </row>
    <row r="3974">
      <c r="A3974" t="inlineStr">
        <is>
          <t>T-2012-Q1-00029</t>
        </is>
      </c>
      <c r="B3974" t="inlineStr">
        <is>
          <t>SLE</t>
        </is>
      </c>
      <c r="C3974" t="inlineStr">
        <is>
          <t>Vice-President, New Brunswick</t>
        </is>
      </c>
      <c r="D3974" t="inlineStr">
        <is>
          <t>Vice-présidente, Nouveau-Brunswick</t>
        </is>
      </c>
      <c r="E3974" t="inlineStr">
        <is>
          <t>Janet Gagnon</t>
        </is>
      </c>
      <c r="F3974" t="inlineStr">
        <is>
          <t>NB Energy Meeting</t>
        </is>
      </c>
      <c r="G3974" t="inlineStr">
        <is>
          <t>Réunion sur l'énergie du Nouveau-Brunswick</t>
        </is>
      </c>
      <c r="H3974" s="1" t="n">
        <v>40638</v>
      </c>
      <c r="I3974" s="1" t="n">
        <v>40638</v>
      </c>
      <c r="J3974" t="inlineStr">
        <is>
          <t>Saint John, New Brunswick</t>
        </is>
      </c>
      <c r="K3974" t="inlineStr">
        <is>
          <t>Saint John (Nouveau-Brunswick)</t>
        </is>
      </c>
      <c r="P3974" t="n">
        <v>0</v>
      </c>
      <c r="Q3974" t="n">
        <v>0</v>
      </c>
      <c r="R3974" t="n">
        <v>0</v>
      </c>
      <c r="S3974" t="n">
        <v>46.5</v>
      </c>
      <c r="T3974" t="n">
        <v>8.75</v>
      </c>
      <c r="U3974" t="n">
        <v>55.25</v>
      </c>
      <c r="X3974" t="inlineStr">
        <is>
          <t>acoa-apeca</t>
        </is>
      </c>
      <c r="Y3974" t="inlineStr">
        <is>
          <t>Atlantic Canada Opportunities Agency | Agence de promotion économique du Canada atlantique</t>
        </is>
      </c>
      <c r="Z3974" t="n">
        <v>1</v>
      </c>
      <c r="AA3974" t="n">
        <v>55.25</v>
      </c>
      <c r="AB3974">
        <f>ROUND(U3974-AA3974,2)</f>
        <v/>
      </c>
      <c r="AC3974" t="b">
        <v>0</v>
      </c>
      <c r="AD3974">
        <f>IF(U3974="","MISSING_TOTAL",IF(ABS(AB3974)&lt;=0.01,"OK","CHECK"))</f>
        <v/>
      </c>
      <c r="AE3974">
        <f>IF(U3974="","MISSING",IF(AND(AA3974&gt;0,U3974/AA3974&gt;50),"POSSIBLE_SCALE_ERROR","OK"))</f>
        <v/>
      </c>
    </row>
    <row r="3975">
      <c r="A3975" t="inlineStr">
        <is>
          <t>T-2012-Q1-00028</t>
        </is>
      </c>
      <c r="B3975" t="inlineStr">
        <is>
          <t>SLE</t>
        </is>
      </c>
      <c r="C3975" t="inlineStr">
        <is>
          <t>Vice-President, New Brunswick</t>
        </is>
      </c>
      <c r="D3975" t="inlineStr">
        <is>
          <t>Vice-présidente, Nouveau-Brunswick</t>
        </is>
      </c>
      <c r="E3975" t="inlineStr">
        <is>
          <t>Janet Gagnon</t>
        </is>
      </c>
      <c r="F3975" t="inlineStr">
        <is>
          <t>ACOA Committee on Information Management and Technology Meeting</t>
        </is>
      </c>
      <c r="G3975" t="inlineStr">
        <is>
          <t>Réunion du Comité sur la gestion de l'information et la technologie de l'APECA</t>
        </is>
      </c>
      <c r="H3975" s="1" t="n">
        <v>40637</v>
      </c>
      <c r="I3975" s="1" t="n">
        <v>40637</v>
      </c>
      <c r="J3975" t="inlineStr">
        <is>
          <t>Moncton, New Brunswick</t>
        </is>
      </c>
      <c r="K3975" t="inlineStr">
        <is>
          <t>Moncton (Nouveau-Brunswick)</t>
        </is>
      </c>
      <c r="P3975" t="n">
        <v>0</v>
      </c>
      <c r="Q3975" t="n">
        <v>0</v>
      </c>
      <c r="R3975" t="n">
        <v>50</v>
      </c>
      <c r="S3975" t="n">
        <v>31.45</v>
      </c>
      <c r="T3975" t="n">
        <v>7</v>
      </c>
      <c r="U3975" t="n">
        <v>88.45</v>
      </c>
      <c r="X3975" t="inlineStr">
        <is>
          <t>acoa-apeca</t>
        </is>
      </c>
      <c r="Y3975" t="inlineStr">
        <is>
          <t>Atlantic Canada Opportunities Agency | Agence de promotion économique du Canada atlantique</t>
        </is>
      </c>
      <c r="Z3975" t="n">
        <v>1</v>
      </c>
      <c r="AA3975" t="n">
        <v>88.45</v>
      </c>
      <c r="AB3975">
        <f>ROUND(U3975-AA3975,2)</f>
        <v/>
      </c>
      <c r="AC3975" t="b">
        <v>0</v>
      </c>
      <c r="AD3975">
        <f>IF(U3975="","MISSING_TOTAL",IF(ABS(AB3975)&lt;=0.01,"OK","CHECK"))</f>
        <v/>
      </c>
      <c r="AE3975">
        <f>IF(U3975="","MISSING",IF(AND(AA3975&gt;0,U3975/AA3975&gt;50),"POSSIBLE_SCALE_ERROR","OK"))</f>
        <v/>
      </c>
    </row>
    <row r="3976">
      <c r="A3976" t="inlineStr">
        <is>
          <t>T-2012-Q1-00027</t>
        </is>
      </c>
      <c r="B3976" t="inlineStr">
        <is>
          <t>SLE</t>
        </is>
      </c>
      <c r="C3976" t="inlineStr">
        <is>
          <t>President</t>
        </is>
      </c>
      <c r="D3976" t="inlineStr">
        <is>
          <t>Président</t>
        </is>
      </c>
      <c r="E3976" t="inlineStr">
        <is>
          <t>Paul J. LeBlanc</t>
        </is>
      </c>
      <c r="F3976" t="inlineStr">
        <is>
          <t>For various meetings and discussions with Agency and Government of Canada officials</t>
        </is>
      </c>
      <c r="G3976" t="inlineStr">
        <is>
          <t>Diverses réunons et discussions avec des fonctionnaires de l'Agence et du gouvernement du Canada</t>
        </is>
      </c>
      <c r="H3976" s="1" t="n">
        <v>40629</v>
      </c>
      <c r="I3976" s="1" t="n">
        <v>40633</v>
      </c>
      <c r="J3976" t="inlineStr">
        <is>
          <t>Ottawa, Ontario</t>
        </is>
      </c>
      <c r="K3976" t="inlineStr">
        <is>
          <t>Ottawa (Ontario)</t>
        </is>
      </c>
      <c r="P3976" t="n">
        <v>863.9299999999999</v>
      </c>
      <c r="Q3976" t="n">
        <v>12.87</v>
      </c>
      <c r="R3976" t="n">
        <v>696.08</v>
      </c>
      <c r="S3976" t="n">
        <v>343.3</v>
      </c>
      <c r="T3976" t="n">
        <v>60</v>
      </c>
      <c r="U3976" t="n">
        <v>1976.18</v>
      </c>
      <c r="X3976" t="inlineStr">
        <is>
          <t>acoa-apeca</t>
        </is>
      </c>
      <c r="Y3976" t="inlineStr">
        <is>
          <t>Atlantic Canada Opportunities Agency | Agence de promotion économique du Canada atlantique</t>
        </is>
      </c>
      <c r="Z3976" t="n">
        <v>5</v>
      </c>
      <c r="AA3976" t="n">
        <v>1976.18</v>
      </c>
      <c r="AB3976">
        <f>ROUND(U3976-AA3976,2)</f>
        <v/>
      </c>
      <c r="AC3976" t="b">
        <v>0</v>
      </c>
      <c r="AD3976">
        <f>IF(U3976="","MISSING_TOTAL",IF(ABS(AB3976)&lt;=0.01,"OK","CHECK"))</f>
        <v/>
      </c>
      <c r="AE3976">
        <f>IF(U3976="","MISSING",IF(AND(AA3976&gt;0,U3976/AA3976&gt;50),"POSSIBLE_SCALE_ERROR","OK"))</f>
        <v/>
      </c>
    </row>
    <row r="3977">
      <c r="A3977" t="inlineStr">
        <is>
          <t>T-2012-Q1-00026</t>
        </is>
      </c>
      <c r="B3977" t="inlineStr">
        <is>
          <t>SLE</t>
        </is>
      </c>
      <c r="C3977" t="inlineStr">
        <is>
          <t>Vice-President, Prince Edward Island</t>
        </is>
      </c>
      <c r="D3977" t="inlineStr">
        <is>
          <t>Vice-président, Île-du-Prince-Édouard</t>
        </is>
      </c>
      <c r="E3977" t="inlineStr">
        <is>
          <t>Patrick Dorsey</t>
        </is>
      </c>
      <c r="F3977" t="inlineStr">
        <is>
          <t>Executive Committee Meeting</t>
        </is>
      </c>
      <c r="G3977" t="inlineStr">
        <is>
          <t>Réunion du Comité de direction</t>
        </is>
      </c>
      <c r="H3977" s="1" t="n">
        <v>40627</v>
      </c>
      <c r="I3977" s="1" t="n">
        <v>40627</v>
      </c>
      <c r="J3977" t="inlineStr">
        <is>
          <t>Moncton, New Brunswick</t>
        </is>
      </c>
      <c r="K3977" t="inlineStr">
        <is>
          <t>Moncton (Nouveau-Brunswick)</t>
        </is>
      </c>
      <c r="P3977" t="n">
        <v>0</v>
      </c>
      <c r="Q3977" t="n">
        <v>0</v>
      </c>
      <c r="R3977" t="n">
        <v>0</v>
      </c>
      <c r="S3977" t="n">
        <v>13.9</v>
      </c>
      <c r="T3977" t="n">
        <v>55.25</v>
      </c>
      <c r="U3977" t="n">
        <v>69.15000000000001</v>
      </c>
      <c r="X3977" t="inlineStr">
        <is>
          <t>acoa-apeca</t>
        </is>
      </c>
      <c r="Y3977" t="inlineStr">
        <is>
          <t>Atlantic Canada Opportunities Agency | Agence de promotion économique du Canada atlantique</t>
        </is>
      </c>
      <c r="Z3977" t="n">
        <v>1</v>
      </c>
      <c r="AA3977" t="n">
        <v>69.15000000000001</v>
      </c>
      <c r="AB3977">
        <f>ROUND(U3977-AA3977,2)</f>
        <v/>
      </c>
      <c r="AC3977" t="b">
        <v>0</v>
      </c>
      <c r="AD3977">
        <f>IF(U3977="","MISSING_TOTAL",IF(ABS(AB3977)&lt;=0.01,"OK","CHECK"))</f>
        <v/>
      </c>
      <c r="AE3977">
        <f>IF(U3977="","MISSING",IF(AND(AA3977&gt;0,U3977/AA3977&gt;50),"POSSIBLE_SCALE_ERROR","OK"))</f>
        <v/>
      </c>
    </row>
    <row r="3978">
      <c r="A3978" t="inlineStr">
        <is>
          <t>T-2012-Q1-00025</t>
        </is>
      </c>
      <c r="B3978" t="inlineStr">
        <is>
          <t>SLE</t>
        </is>
      </c>
      <c r="C3978" t="inlineStr">
        <is>
          <t>Vice-President, New Brunswick</t>
        </is>
      </c>
      <c r="D3978" t="inlineStr">
        <is>
          <t>Vice-présidente, Nouveau-Brunswick</t>
        </is>
      </c>
      <c r="E3978" t="inlineStr">
        <is>
          <t>Janet Gagnon</t>
        </is>
      </c>
      <c r="F3978" t="inlineStr">
        <is>
          <t>Executive Committee Meeting</t>
        </is>
      </c>
      <c r="G3978" t="inlineStr">
        <is>
          <t>Réunion du Comité de direction</t>
        </is>
      </c>
      <c r="H3978" s="1" t="n">
        <v>40627</v>
      </c>
      <c r="I3978" s="1" t="n">
        <v>40627</v>
      </c>
      <c r="J3978" t="inlineStr">
        <is>
          <t>Moncton, New Brunswick</t>
        </is>
      </c>
      <c r="K3978" t="inlineStr">
        <is>
          <t>Moncton (Nouveau-Brunswick)</t>
        </is>
      </c>
      <c r="P3978" t="n">
        <v>0</v>
      </c>
      <c r="Q3978" t="n">
        <v>0</v>
      </c>
      <c r="R3978" t="n">
        <v>0</v>
      </c>
      <c r="S3978" t="n">
        <v>67.90000000000001</v>
      </c>
      <c r="T3978" t="n">
        <v>14</v>
      </c>
      <c r="U3978" t="n">
        <v>81.90000000000001</v>
      </c>
      <c r="X3978" t="inlineStr">
        <is>
          <t>acoa-apeca</t>
        </is>
      </c>
      <c r="Y3978" t="inlineStr">
        <is>
          <t>Atlantic Canada Opportunities Agency | Agence de promotion économique du Canada atlantique</t>
        </is>
      </c>
      <c r="Z3978" t="n">
        <v>1</v>
      </c>
      <c r="AA3978" t="n">
        <v>81.90000000000001</v>
      </c>
      <c r="AB3978">
        <f>ROUND(U3978-AA3978,2)</f>
        <v/>
      </c>
      <c r="AC3978" t="b">
        <v>0</v>
      </c>
      <c r="AD3978">
        <f>IF(U3978="","MISSING_TOTAL",IF(ABS(AB3978)&lt;=0.01,"OK","CHECK"))</f>
        <v/>
      </c>
      <c r="AE3978">
        <f>IF(U3978="","MISSING",IF(AND(AA3978&gt;0,U3978/AA3978&gt;50),"POSSIBLE_SCALE_ERROR","OK"))</f>
        <v/>
      </c>
    </row>
    <row r="3979">
      <c r="A3979" t="inlineStr">
        <is>
          <t>T-2012-Q1-00024</t>
        </is>
      </c>
      <c r="B3979" t="inlineStr">
        <is>
          <t>SLE</t>
        </is>
      </c>
      <c r="C3979" t="inlineStr">
        <is>
          <t>Vice President, Nova Scotia</t>
        </is>
      </c>
      <c r="D3979" t="inlineStr">
        <is>
          <t>Vice-président, Nouvelle-Écosse</t>
        </is>
      </c>
      <c r="E3979" t="inlineStr">
        <is>
          <t>Peter Hogan</t>
        </is>
      </c>
      <c r="F3979" t="inlineStr">
        <is>
          <t>Executive Committee Meeting</t>
        </is>
      </c>
      <c r="G3979" t="inlineStr">
        <is>
          <t>Réunion du Comité de direction</t>
        </is>
      </c>
      <c r="H3979" s="1" t="n">
        <v>40626</v>
      </c>
      <c r="I3979" s="1" t="n">
        <v>40627</v>
      </c>
      <c r="J3979" t="inlineStr">
        <is>
          <t>Moncton, New Brunswick</t>
        </is>
      </c>
      <c r="K3979" t="inlineStr">
        <is>
          <t>Moncton (Nouveau-Brunswick)</t>
        </is>
      </c>
      <c r="P3979" t="n">
        <v>0</v>
      </c>
      <c r="Q3979" t="n">
        <v>48.15</v>
      </c>
      <c r="R3979" t="n">
        <v>145.77</v>
      </c>
      <c r="S3979" t="n">
        <v>127.8</v>
      </c>
      <c r="T3979" t="n">
        <v>0</v>
      </c>
      <c r="U3979" t="n">
        <v>321.72</v>
      </c>
      <c r="X3979" t="inlineStr">
        <is>
          <t>acoa-apeca</t>
        </is>
      </c>
      <c r="Y3979" t="inlineStr">
        <is>
          <t>Atlantic Canada Opportunities Agency | Agence de promotion économique du Canada atlantique</t>
        </is>
      </c>
      <c r="Z3979" t="n">
        <v>2</v>
      </c>
      <c r="AA3979" t="n">
        <v>321.72</v>
      </c>
      <c r="AB3979">
        <f>ROUND(U3979-AA3979,2)</f>
        <v/>
      </c>
      <c r="AC3979" t="b">
        <v>0</v>
      </c>
      <c r="AD3979">
        <f>IF(U3979="","MISSING_TOTAL",IF(ABS(AB3979)&lt;=0.01,"OK","CHECK"))</f>
        <v/>
      </c>
      <c r="AE3979">
        <f>IF(U3979="","MISSING",IF(AND(AA3979&gt;0,U3979/AA3979&gt;50),"POSSIBLE_SCALE_ERROR","OK"))</f>
        <v/>
      </c>
    </row>
    <row r="3980">
      <c r="A3980" t="inlineStr">
        <is>
          <t>T-2012-Q1-00023</t>
        </is>
      </c>
      <c r="B3980" t="inlineStr">
        <is>
          <t>SLE</t>
        </is>
      </c>
      <c r="C3980" t="inlineStr">
        <is>
          <t>Vice-President, Newfoundland and Labrador</t>
        </is>
      </c>
      <c r="D3980" t="inlineStr">
        <is>
          <t>Vice-président, Terre-Neuve-et-Labrador</t>
        </is>
      </c>
      <c r="E3980" t="inlineStr">
        <is>
          <t>Paul Mills</t>
        </is>
      </c>
      <c r="F3980" t="inlineStr">
        <is>
          <t>To Attend Executive Committee Meeting in Moncton</t>
        </is>
      </c>
      <c r="G3980" t="inlineStr">
        <is>
          <t>Réunion du Comité de direction à Moncton</t>
        </is>
      </c>
      <c r="H3980" s="1" t="n">
        <v>40626</v>
      </c>
      <c r="I3980" s="1" t="n">
        <v>40628</v>
      </c>
      <c r="J3980" t="inlineStr">
        <is>
          <t>Moncton, New Brunswick</t>
        </is>
      </c>
      <c r="K3980" t="inlineStr">
        <is>
          <t>Moncton (Nouveau-Brunswick)</t>
        </is>
      </c>
      <c r="P3980" t="n">
        <v>1264.76</v>
      </c>
      <c r="Q3980" t="n">
        <v>280.45</v>
      </c>
      <c r="R3980" t="n">
        <v>284.18</v>
      </c>
      <c r="S3980" t="n">
        <v>173.8</v>
      </c>
      <c r="T3980" t="n">
        <v>7.33</v>
      </c>
      <c r="U3980" t="n">
        <v>2010.52</v>
      </c>
      <c r="X3980" t="inlineStr">
        <is>
          <t>acoa-apeca</t>
        </is>
      </c>
      <c r="Y3980" t="inlineStr">
        <is>
          <t>Atlantic Canada Opportunities Agency | Agence de promotion économique du Canada atlantique</t>
        </is>
      </c>
      <c r="Z3980" t="n">
        <v>3</v>
      </c>
      <c r="AA3980" t="n">
        <v>2010.52</v>
      </c>
      <c r="AB3980">
        <f>ROUND(U3980-AA3980,2)</f>
        <v/>
      </c>
      <c r="AC3980" t="b">
        <v>0</v>
      </c>
      <c r="AD3980">
        <f>IF(U3980="","MISSING_TOTAL",IF(ABS(AB3980)&lt;=0.01,"OK","CHECK"))</f>
        <v/>
      </c>
      <c r="AE3980">
        <f>IF(U3980="","MISSING",IF(AND(AA3980&gt;0,U3980/AA3980&gt;50),"POSSIBLE_SCALE_ERROR","OK"))</f>
        <v/>
      </c>
    </row>
    <row r="3981">
      <c r="A3981" t="inlineStr">
        <is>
          <t>T-2012-Q1-00022</t>
        </is>
      </c>
      <c r="B3981" t="inlineStr">
        <is>
          <t>SLE</t>
        </is>
      </c>
      <c r="C3981" t="inlineStr">
        <is>
          <t>Vice President, Nova Scotia</t>
        </is>
      </c>
      <c r="D3981" t="inlineStr">
        <is>
          <t>Vice-président, Nouvelle-Écosse</t>
        </is>
      </c>
      <c r="E3981" t="inlineStr">
        <is>
          <t>Peter Hogan</t>
        </is>
      </c>
      <c r="F3981" t="inlineStr">
        <is>
          <t>Various Meetings with Officials on the Atlantic Gateway</t>
        </is>
      </c>
      <c r="G3981" t="inlineStr">
        <is>
          <t>Diverses réunions avec des réprésentants de la Porte de l'Atlantique</t>
        </is>
      </c>
      <c r="H3981" s="1" t="n">
        <v>40625</v>
      </c>
      <c r="I3981" s="1" t="n">
        <v>40626</v>
      </c>
      <c r="J3981" t="inlineStr">
        <is>
          <t>New York, USA</t>
        </is>
      </c>
      <c r="K3981" t="inlineStr">
        <is>
          <t>New York, États-Unis</t>
        </is>
      </c>
      <c r="P3981" t="n">
        <v>708.48</v>
      </c>
      <c r="Q3981" t="n">
        <v>0</v>
      </c>
      <c r="R3981" t="n">
        <v>231.85</v>
      </c>
      <c r="S3981" t="n">
        <v>46.9</v>
      </c>
      <c r="T3981" t="n">
        <v>0</v>
      </c>
      <c r="U3981" t="n">
        <v>987.23</v>
      </c>
      <c r="X3981" t="inlineStr">
        <is>
          <t>acoa-apeca</t>
        </is>
      </c>
      <c r="Y3981" t="inlineStr">
        <is>
          <t>Atlantic Canada Opportunities Agency | Agence de promotion économique du Canada atlantique</t>
        </is>
      </c>
      <c r="Z3981" t="n">
        <v>2</v>
      </c>
      <c r="AA3981" t="n">
        <v>987.23</v>
      </c>
      <c r="AB3981">
        <f>ROUND(U3981-AA3981,2)</f>
        <v/>
      </c>
      <c r="AC3981" t="b">
        <v>0</v>
      </c>
      <c r="AD3981">
        <f>IF(U3981="","MISSING_TOTAL",IF(ABS(AB3981)&lt;=0.01,"OK","CHECK"))</f>
        <v/>
      </c>
      <c r="AE3981">
        <f>IF(U3981="","MISSING",IF(AND(AA3981&gt;0,U3981/AA3981&gt;50),"POSSIBLE_SCALE_ERROR","OK"))</f>
        <v/>
      </c>
    </row>
    <row r="3982">
      <c r="A3982" t="inlineStr">
        <is>
          <t>T-2012-Q1-00018</t>
        </is>
      </c>
      <c r="B3982" t="inlineStr">
        <is>
          <t>SLE</t>
        </is>
      </c>
      <c r="C3982" t="inlineStr">
        <is>
          <t>President</t>
        </is>
      </c>
      <c r="D3982" t="inlineStr">
        <is>
          <t>Président</t>
        </is>
      </c>
      <c r="E3982" t="inlineStr">
        <is>
          <t>Paul J. LeBlanc</t>
        </is>
      </c>
      <c r="F3982" t="inlineStr">
        <is>
          <t>For various meetings and discussions with Agency and Government of Canada officials</t>
        </is>
      </c>
      <c r="G3982" t="inlineStr">
        <is>
          <t>Diverses réunons et discussions avec des fonctionnaires de l'Agence et du gouvernement du Canada</t>
        </is>
      </c>
      <c r="H3982" s="1" t="n">
        <v>40623</v>
      </c>
      <c r="I3982" s="1" t="n">
        <v>40625</v>
      </c>
      <c r="J3982" t="inlineStr">
        <is>
          <t>Ottawa, Ontario</t>
        </is>
      </c>
      <c r="K3982" t="inlineStr">
        <is>
          <t>Ottawa (Ontario)</t>
        </is>
      </c>
      <c r="P3982" t="n">
        <v>727.36</v>
      </c>
      <c r="Q3982" t="n">
        <v>0</v>
      </c>
      <c r="R3982" t="n">
        <v>348.04</v>
      </c>
      <c r="S3982" t="n">
        <v>172.9</v>
      </c>
      <c r="T3982" t="n">
        <v>86.5</v>
      </c>
      <c r="U3982" t="n">
        <v>1334.8</v>
      </c>
      <c r="X3982" t="inlineStr">
        <is>
          <t>acoa-apeca</t>
        </is>
      </c>
      <c r="Y3982" t="inlineStr">
        <is>
          <t>Atlantic Canada Opportunities Agency | Agence de promotion économique du Canada atlantique</t>
        </is>
      </c>
      <c r="Z3982" t="n">
        <v>3</v>
      </c>
      <c r="AA3982" t="n">
        <v>1334.8</v>
      </c>
      <c r="AB3982">
        <f>ROUND(U3982-AA3982,2)</f>
        <v/>
      </c>
      <c r="AC3982" t="b">
        <v>0</v>
      </c>
      <c r="AD3982">
        <f>IF(U3982="","MISSING_TOTAL",IF(ABS(AB3982)&lt;=0.01,"OK","CHECK"))</f>
        <v/>
      </c>
      <c r="AE3982">
        <f>IF(U3982="","MISSING",IF(AND(AA3982&gt;0,U3982/AA3982&gt;50),"POSSIBLE_SCALE_ERROR","OK"))</f>
        <v/>
      </c>
    </row>
    <row r="3983">
      <c r="A3983" t="inlineStr">
        <is>
          <t>T-2012-Q1-00017</t>
        </is>
      </c>
      <c r="B3983" t="inlineStr">
        <is>
          <t>MPSES</t>
        </is>
      </c>
      <c r="C3983" t="inlineStr">
        <is>
          <t>Policy Advisor</t>
        </is>
      </c>
      <c r="D3983" t="inlineStr">
        <is>
          <t>Conseillère en politique</t>
        </is>
      </c>
      <c r="E3983" t="inlineStr">
        <is>
          <t>Guylaine Le Couteur</t>
        </is>
      </c>
      <c r="F3983" t="inlineStr">
        <is>
          <t>Travel with Minister to attend Boston seafood show</t>
        </is>
      </c>
      <c r="G3983" t="inlineStr">
        <is>
          <t>Voyage avec le ministre pour assister au Salon des produits de la mer de Boston</t>
        </is>
      </c>
      <c r="H3983" s="1" t="n">
        <v>40621</v>
      </c>
      <c r="I3983" s="1" t="n">
        <v>40623</v>
      </c>
      <c r="J3983" t="inlineStr">
        <is>
          <t>Boston, Massachusetts, USA</t>
        </is>
      </c>
      <c r="K3983" t="inlineStr">
        <is>
          <t>Boston, Massachusetts, É.-U.</t>
        </is>
      </c>
      <c r="P3983" t="n">
        <v>1367.43</v>
      </c>
      <c r="Q3983" t="n">
        <v>54</v>
      </c>
      <c r="R3983" t="n">
        <v>419.2</v>
      </c>
      <c r="S3983" t="n">
        <v>177.49</v>
      </c>
      <c r="T3983" t="n">
        <v>0</v>
      </c>
      <c r="U3983" t="n">
        <v>2018.12</v>
      </c>
      <c r="X3983" t="inlineStr">
        <is>
          <t>acoa-apeca</t>
        </is>
      </c>
      <c r="Y3983" t="inlineStr">
        <is>
          <t>Atlantic Canada Opportunities Agency | Agence de promotion économique du Canada atlantique</t>
        </is>
      </c>
      <c r="Z3983" t="n">
        <v>3</v>
      </c>
      <c r="AA3983" t="n">
        <v>2018.12</v>
      </c>
      <c r="AB3983">
        <f>ROUND(U3983-AA3983,2)</f>
        <v/>
      </c>
      <c r="AC3983" t="b">
        <v>0</v>
      </c>
      <c r="AD3983">
        <f>IF(U3983="","MISSING_TOTAL",IF(ABS(AB3983)&lt;=0.01,"OK","CHECK"))</f>
        <v/>
      </c>
      <c r="AE3983">
        <f>IF(U3983="","MISSING",IF(AND(AA3983&gt;0,U3983/AA3983&gt;50),"POSSIBLE_SCALE_ERROR","OK"))</f>
        <v/>
      </c>
    </row>
    <row r="3984">
      <c r="A3984" t="inlineStr">
        <is>
          <t>T-2012-Q1-00016</t>
        </is>
      </c>
      <c r="B3984" t="inlineStr">
        <is>
          <t>SLE</t>
        </is>
      </c>
      <c r="C3984" t="inlineStr">
        <is>
          <t>Vice-President, Finance and Corporate Services</t>
        </is>
      </c>
      <c r="D3984" t="inlineStr">
        <is>
          <t>Vice-présidente, Finances et Services corporatifs</t>
        </is>
      </c>
      <c r="E3984" t="inlineStr">
        <is>
          <t>Denise Frenette</t>
        </is>
      </c>
      <c r="F3984" t="inlineStr">
        <is>
          <t>Meeting with Agency Officials</t>
        </is>
      </c>
      <c r="G3984" t="inlineStr">
        <is>
          <t>Réunion avec des fonctionnaires de l'Agence</t>
        </is>
      </c>
      <c r="H3984" s="1" t="n">
        <v>40620</v>
      </c>
      <c r="I3984" s="1" t="n">
        <v>40620</v>
      </c>
      <c r="J3984" t="inlineStr">
        <is>
          <t>Charlottetown, Prince Edward Island</t>
        </is>
      </c>
      <c r="K3984" t="inlineStr">
        <is>
          <t>Charlottetown (Île-du-Prince-Édouard)</t>
        </is>
      </c>
      <c r="P3984" t="n">
        <v>0</v>
      </c>
      <c r="Q3984" t="n">
        <v>0</v>
      </c>
      <c r="R3984" t="n">
        <v>0</v>
      </c>
      <c r="S3984" t="n">
        <v>13.9</v>
      </c>
      <c r="T3984" t="n">
        <v>0</v>
      </c>
      <c r="U3984" t="n">
        <v>13.9</v>
      </c>
      <c r="X3984" t="inlineStr">
        <is>
          <t>acoa-apeca</t>
        </is>
      </c>
      <c r="Y3984" t="inlineStr">
        <is>
          <t>Atlantic Canada Opportunities Agency | Agence de promotion économique du Canada atlantique</t>
        </is>
      </c>
      <c r="Z3984" t="n">
        <v>1</v>
      </c>
      <c r="AA3984" t="n">
        <v>13.9</v>
      </c>
      <c r="AB3984">
        <f>ROUND(U3984-AA3984,2)</f>
        <v/>
      </c>
      <c r="AC3984" t="b">
        <v>0</v>
      </c>
      <c r="AD3984">
        <f>IF(U3984="","MISSING_TOTAL",IF(ABS(AB3984)&lt;=0.01,"OK","CHECK"))</f>
        <v/>
      </c>
      <c r="AE3984">
        <f>IF(U3984="","MISSING",IF(AND(AA3984&gt;0,U3984/AA3984&gt;50),"POSSIBLE_SCALE_ERROR","OK"))</f>
        <v/>
      </c>
    </row>
    <row r="3985">
      <c r="A3985" t="inlineStr">
        <is>
          <t>T-2012-Q1-00015</t>
        </is>
      </c>
      <c r="B3985" t="inlineStr">
        <is>
          <t>SLE</t>
        </is>
      </c>
      <c r="C3985" t="inlineStr">
        <is>
          <t>Vice-President, Prince Edward Island</t>
        </is>
      </c>
      <c r="D3985" t="inlineStr">
        <is>
          <t>Vice-président, Île-du-Prince-Édouard</t>
        </is>
      </c>
      <c r="E3985" t="inlineStr">
        <is>
          <t>Patrick Dorsey</t>
        </is>
      </c>
      <c r="F3985" t="inlineStr">
        <is>
          <t>Boston Seafood Trade Show and Conference</t>
        </is>
      </c>
      <c r="G3985" t="inlineStr">
        <is>
          <t>Salon international et conférence sur les produits de la mer à Boston</t>
        </is>
      </c>
      <c r="H3985" s="1" t="n">
        <v>40620</v>
      </c>
      <c r="I3985" s="1" t="n">
        <v>40623</v>
      </c>
      <c r="J3985" t="inlineStr">
        <is>
          <t>Boston, Massachusetts, USA</t>
        </is>
      </c>
      <c r="K3985" t="inlineStr">
        <is>
          <t>Boston, Massachussets, États-Unis</t>
        </is>
      </c>
      <c r="P3985" t="n">
        <v>1871.28</v>
      </c>
      <c r="Q3985" t="n">
        <v>87.91</v>
      </c>
      <c r="R3985" t="n">
        <v>616.8</v>
      </c>
      <c r="S3985" t="n">
        <v>208.86</v>
      </c>
      <c r="T3985" t="n">
        <v>14.87</v>
      </c>
      <c r="U3985" t="n">
        <v>2799.72</v>
      </c>
      <c r="X3985" t="inlineStr">
        <is>
          <t>acoa-apeca</t>
        </is>
      </c>
      <c r="Y3985" t="inlineStr">
        <is>
          <t>Atlantic Canada Opportunities Agency | Agence de promotion économique du Canada atlantique</t>
        </is>
      </c>
      <c r="Z3985" t="n">
        <v>4</v>
      </c>
      <c r="AA3985" t="n">
        <v>2799.72</v>
      </c>
      <c r="AB3985">
        <f>ROUND(U3985-AA3985,2)</f>
        <v/>
      </c>
      <c r="AC3985" t="b">
        <v>0</v>
      </c>
      <c r="AD3985">
        <f>IF(U3985="","MISSING_TOTAL",IF(ABS(AB3985)&lt;=0.01,"OK","CHECK"))</f>
        <v/>
      </c>
      <c r="AE3985">
        <f>IF(U3985="","MISSING",IF(AND(AA3985&gt;0,U3985/AA3985&gt;50),"POSSIBLE_SCALE_ERROR","OK"))</f>
        <v/>
      </c>
    </row>
    <row r="3986">
      <c r="A3986" t="inlineStr">
        <is>
          <t>T-2012-Q1-00014</t>
        </is>
      </c>
      <c r="B3986" t="inlineStr">
        <is>
          <t>MPSES</t>
        </is>
      </c>
      <c r="C3986" t="inlineStr">
        <is>
          <t>Regional Affairs Director</t>
        </is>
      </c>
      <c r="D3986" t="inlineStr">
        <is>
          <t>Directeur des affaires régionales</t>
        </is>
      </c>
      <c r="E3986" t="inlineStr">
        <is>
          <t>Raymond Vogan</t>
        </is>
      </c>
      <c r="F3986" t="inlineStr">
        <is>
          <t>Travel to attend regional affairs meetings</t>
        </is>
      </c>
      <c r="G3986" t="inlineStr">
        <is>
          <t>Voyage pour participer à des réunions sur des questions de nature régionale</t>
        </is>
      </c>
      <c r="H3986" s="1" t="n">
        <v>40617</v>
      </c>
      <c r="I3986" s="1" t="n">
        <v>40619</v>
      </c>
      <c r="J3986" t="inlineStr">
        <is>
          <t>Edmunston, Cambellton, Caraquet, Shippagan, New Brunswick</t>
        </is>
      </c>
      <c r="K3986" t="inlineStr">
        <is>
          <t>Edmundston, Cambellton, Caraquet et Shippagan (N.-B.)</t>
        </is>
      </c>
      <c r="P3986" t="n">
        <v>0</v>
      </c>
      <c r="Q3986" t="n">
        <v>0</v>
      </c>
      <c r="R3986" t="n">
        <v>223.74</v>
      </c>
      <c r="S3986" t="n">
        <v>216.4</v>
      </c>
      <c r="T3986" t="n">
        <v>0</v>
      </c>
      <c r="U3986" t="n">
        <v>440.14</v>
      </c>
      <c r="X3986" t="inlineStr">
        <is>
          <t>acoa-apeca</t>
        </is>
      </c>
      <c r="Y3986" t="inlineStr">
        <is>
          <t>Atlantic Canada Opportunities Agency | Agence de promotion économique du Canada atlantique</t>
        </is>
      </c>
      <c r="Z3986" t="n">
        <v>3</v>
      </c>
      <c r="AA3986" t="n">
        <v>440.14</v>
      </c>
      <c r="AB3986">
        <f>ROUND(U3986-AA3986,2)</f>
        <v/>
      </c>
      <c r="AC3986" t="b">
        <v>0</v>
      </c>
      <c r="AD3986">
        <f>IF(U3986="","MISSING_TOTAL",IF(ABS(AB3986)&lt;=0.01,"OK","CHECK"))</f>
        <v/>
      </c>
      <c r="AE3986">
        <f>IF(U3986="","MISSING",IF(AND(AA3986&gt;0,U3986/AA3986&gt;50),"POSSIBLE_SCALE_ERROR","OK"))</f>
        <v/>
      </c>
    </row>
    <row r="3987">
      <c r="A3987" t="inlineStr">
        <is>
          <t>T-2012-Q1-00013</t>
        </is>
      </c>
      <c r="B3987" t="inlineStr">
        <is>
          <t>MPSES</t>
        </is>
      </c>
      <c r="C3987" t="inlineStr">
        <is>
          <t>Policy Advisor</t>
        </is>
      </c>
      <c r="D3987" t="inlineStr">
        <is>
          <t>Conseillère en politique</t>
        </is>
      </c>
      <c r="E3987" t="inlineStr">
        <is>
          <t>Guylaine Le Couteur</t>
        </is>
      </c>
      <c r="F3987" t="inlineStr">
        <is>
          <t>Travel for attending ACOA-PEI regional meetings</t>
        </is>
      </c>
      <c r="G3987" t="inlineStr">
        <is>
          <t>Voyage pour participer à des réunions régionales du bureau de l'APECA à l'Île-du-Prince-Édouard</t>
        </is>
      </c>
      <c r="H3987" s="1" t="n">
        <v>40616</v>
      </c>
      <c r="I3987" s="1" t="n">
        <v>40617</v>
      </c>
      <c r="J3987" t="inlineStr">
        <is>
          <t>Charlottetown, Prince Edward Island</t>
        </is>
      </c>
      <c r="K3987" t="inlineStr">
        <is>
          <t>Charlottetown (Île-du-Prince-Édouard)</t>
        </is>
      </c>
      <c r="P3987" t="n">
        <v>645.92</v>
      </c>
      <c r="Q3987" t="n">
        <v>36</v>
      </c>
      <c r="R3987" t="n">
        <v>117.6</v>
      </c>
      <c r="S3987" t="n">
        <v>77.2</v>
      </c>
      <c r="T3987" t="n">
        <v>0</v>
      </c>
      <c r="U3987" t="n">
        <v>876.72</v>
      </c>
      <c r="X3987" t="inlineStr">
        <is>
          <t>acoa-apeca</t>
        </is>
      </c>
      <c r="Y3987" t="inlineStr">
        <is>
          <t>Atlantic Canada Opportunities Agency | Agence de promotion économique du Canada atlantique</t>
        </is>
      </c>
      <c r="Z3987" t="n">
        <v>2</v>
      </c>
      <c r="AA3987" t="n">
        <v>876.72</v>
      </c>
      <c r="AB3987">
        <f>ROUND(U3987-AA3987,2)</f>
        <v/>
      </c>
      <c r="AC3987" t="b">
        <v>0</v>
      </c>
      <c r="AD3987">
        <f>IF(U3987="","MISSING_TOTAL",IF(ABS(AB3987)&lt;=0.01,"OK","CHECK"))</f>
        <v/>
      </c>
      <c r="AE3987">
        <f>IF(U3987="","MISSING",IF(AND(AA3987&gt;0,U3987/AA3987&gt;50),"POSSIBLE_SCALE_ERROR","OK"))</f>
        <v/>
      </c>
    </row>
    <row r="3988">
      <c r="A3988" t="inlineStr">
        <is>
          <t>T-2012-Q1-00012</t>
        </is>
      </c>
      <c r="B3988" t="inlineStr">
        <is>
          <t>SLE</t>
        </is>
      </c>
      <c r="C3988" t="inlineStr">
        <is>
          <t>Vice President, Nova Scotia</t>
        </is>
      </c>
      <c r="D3988" t="inlineStr">
        <is>
          <t>Vice-président, Nouvelle-Écosse</t>
        </is>
      </c>
      <c r="E3988" t="inlineStr">
        <is>
          <t>Peter Hogan</t>
        </is>
      </c>
      <c r="F3988" t="inlineStr">
        <is>
          <t>Atlantic Canada Opportunities Board Meeting</t>
        </is>
      </c>
      <c r="G3988" t="inlineStr">
        <is>
          <t>Réunion du Conseil de promotion économique du Canada atlantique</t>
        </is>
      </c>
      <c r="H3988" s="1" t="n">
        <v>40615</v>
      </c>
      <c r="I3988" s="1" t="n">
        <v>40616</v>
      </c>
      <c r="J3988" t="inlineStr">
        <is>
          <t>Charlottetown, Prince Edward Island</t>
        </is>
      </c>
      <c r="K3988" t="inlineStr">
        <is>
          <t>Charlottetown (Île-du-Prince-Édouard)</t>
        </is>
      </c>
      <c r="P3988" t="n">
        <v>0</v>
      </c>
      <c r="Q3988" t="n">
        <v>58.25</v>
      </c>
      <c r="R3988" t="n">
        <v>50</v>
      </c>
      <c r="S3988" t="n">
        <v>127.8</v>
      </c>
      <c r="T3988" t="n">
        <v>0</v>
      </c>
      <c r="U3988" t="n">
        <v>236.05</v>
      </c>
      <c r="X3988" t="inlineStr">
        <is>
          <t>acoa-apeca</t>
        </is>
      </c>
      <c r="Y3988" t="inlineStr">
        <is>
          <t>Atlantic Canada Opportunities Agency | Agence de promotion économique du Canada atlantique</t>
        </is>
      </c>
      <c r="Z3988" t="n">
        <v>2</v>
      </c>
      <c r="AA3988" t="n">
        <v>236.05</v>
      </c>
      <c r="AB3988">
        <f>ROUND(U3988-AA3988,2)</f>
        <v/>
      </c>
      <c r="AC3988" t="b">
        <v>0</v>
      </c>
      <c r="AD3988">
        <f>IF(U3988="","MISSING_TOTAL",IF(ABS(AB3988)&lt;=0.01,"OK","CHECK"))</f>
        <v/>
      </c>
      <c r="AE3988">
        <f>IF(U3988="","MISSING",IF(AND(AA3988&gt;0,U3988/AA3988&gt;50),"POSSIBLE_SCALE_ERROR","OK"))</f>
        <v/>
      </c>
    </row>
    <row r="3989">
      <c r="A3989" t="inlineStr">
        <is>
          <t>T-2011-Q4-00069</t>
        </is>
      </c>
      <c r="B3989" t="inlineStr">
        <is>
          <t>MPSES</t>
        </is>
      </c>
      <c r="C3989" t="inlineStr">
        <is>
          <t>Regional Affairs Director</t>
        </is>
      </c>
      <c r="D3989" t="inlineStr">
        <is>
          <t>Directeur des affaires régionales</t>
        </is>
      </c>
      <c r="E3989" t="inlineStr">
        <is>
          <t>Raymond Vogan</t>
        </is>
      </c>
      <c r="F3989" t="inlineStr">
        <is>
          <t>Travel to attend regional affairs meetings</t>
        </is>
      </c>
      <c r="G3989" t="inlineStr">
        <is>
          <t>Voyage pour participer à des réunions sur des questions de nature régionale</t>
        </is>
      </c>
      <c r="H3989" s="1" t="n">
        <v>40597</v>
      </c>
      <c r="I3989" s="1" t="n">
        <v>40597</v>
      </c>
      <c r="J3989" t="inlineStr">
        <is>
          <t>Moncton, New Brunswick</t>
        </is>
      </c>
      <c r="K3989" t="inlineStr">
        <is>
          <t>Moncton (Nouveau-Brunswick)</t>
        </is>
      </c>
      <c r="P3989" t="n">
        <v>0</v>
      </c>
      <c r="Q3989" t="n">
        <v>339.08</v>
      </c>
      <c r="R3989" t="n">
        <v>0</v>
      </c>
      <c r="S3989" t="n">
        <v>67.90000000000001</v>
      </c>
      <c r="T3989" t="n">
        <v>0</v>
      </c>
      <c r="U3989" t="n">
        <v>406.98</v>
      </c>
      <c r="X3989" t="inlineStr">
        <is>
          <t>acoa-apeca</t>
        </is>
      </c>
      <c r="Y3989" t="inlineStr">
        <is>
          <t>Atlantic Canada Opportunities Agency | Agence de promotion économique du Canada atlantique</t>
        </is>
      </c>
      <c r="Z3989" t="n">
        <v>1</v>
      </c>
      <c r="AA3989" t="n">
        <v>406.98</v>
      </c>
      <c r="AB3989">
        <f>ROUND(U3989-AA3989,2)</f>
        <v/>
      </c>
      <c r="AC3989" t="b">
        <v>0</v>
      </c>
      <c r="AD3989">
        <f>IF(U3989="","MISSING_TOTAL",IF(ABS(AB3989)&lt;=0.01,"OK","CHECK"))</f>
        <v/>
      </c>
      <c r="AE3989">
        <f>IF(U3989="","MISSING",IF(AND(AA3989&gt;0,U3989/AA3989&gt;50),"POSSIBLE_SCALE_ERROR","OK"))</f>
        <v/>
      </c>
    </row>
    <row r="3990">
      <c r="A3990" t="inlineStr">
        <is>
          <t>T-2012-Q1-00010</t>
        </is>
      </c>
      <c r="B3990" t="inlineStr">
        <is>
          <t>SLE</t>
        </is>
      </c>
      <c r="C3990" t="inlineStr">
        <is>
          <t>President</t>
        </is>
      </c>
      <c r="D3990" t="inlineStr">
        <is>
          <t>Président</t>
        </is>
      </c>
      <c r="E3990" t="inlineStr">
        <is>
          <t>Paul J. LeBlanc</t>
        </is>
      </c>
      <c r="F3990" t="inlineStr">
        <is>
          <t>For meeting with Agency and private sector officials</t>
        </is>
      </c>
      <c r="G3990" t="inlineStr">
        <is>
          <t>Réunion avec des fonctionnaires de l'Agence et des représentants du secteur privé</t>
        </is>
      </c>
      <c r="H3990" s="1" t="n">
        <v>40615</v>
      </c>
      <c r="I3990" s="1" t="n">
        <v>40616</v>
      </c>
      <c r="J3990" t="inlineStr">
        <is>
          <t>Charlottetown, Prince Edward Island</t>
        </is>
      </c>
      <c r="K3990" t="inlineStr">
        <is>
          <t>Charlottetown (Île-du-Prince-Édouard)</t>
        </is>
      </c>
      <c r="P3990" t="n">
        <v>0</v>
      </c>
      <c r="Q3990" t="n">
        <v>0</v>
      </c>
      <c r="R3990" t="n">
        <v>117.6</v>
      </c>
      <c r="S3990" t="n">
        <v>34.6</v>
      </c>
      <c r="T3990" t="n">
        <v>0</v>
      </c>
      <c r="U3990" t="n">
        <v>152.2</v>
      </c>
      <c r="X3990" t="inlineStr">
        <is>
          <t>acoa-apeca</t>
        </is>
      </c>
      <c r="Y3990" t="inlineStr">
        <is>
          <t>Atlantic Canada Opportunities Agency | Agence de promotion économique du Canada atlantique</t>
        </is>
      </c>
      <c r="Z3990" t="n">
        <v>2</v>
      </c>
      <c r="AA3990" t="n">
        <v>152.2</v>
      </c>
      <c r="AB3990">
        <f>ROUND(U3990-AA3990,2)</f>
        <v/>
      </c>
      <c r="AC3990" t="b">
        <v>0</v>
      </c>
      <c r="AD3990">
        <f>IF(U3990="","MISSING_TOTAL",IF(ABS(AB3990)&lt;=0.01,"OK","CHECK"))</f>
        <v/>
      </c>
      <c r="AE3990">
        <f>IF(U3990="","MISSING",IF(AND(AA3990&gt;0,U3990/AA3990&gt;50),"POSSIBLE_SCALE_ERROR","OK"))</f>
        <v/>
      </c>
    </row>
    <row r="3991">
      <c r="A3991" t="inlineStr">
        <is>
          <t>T-2012-Q1-00009</t>
        </is>
      </c>
      <c r="B3991" t="inlineStr">
        <is>
          <t>MPSES</t>
        </is>
      </c>
      <c r="C3991" t="inlineStr">
        <is>
          <t>Policy Advisor</t>
        </is>
      </c>
      <c r="D3991" t="inlineStr">
        <is>
          <t>Conseiller politique</t>
        </is>
      </c>
      <c r="E3991" t="inlineStr">
        <is>
          <t>Terry Andow</t>
        </is>
      </c>
      <c r="F3991" t="inlineStr">
        <is>
          <t>Travel to attend various ACOA meetings</t>
        </is>
      </c>
      <c r="G3991" t="inlineStr">
        <is>
          <t>Voyage pour participer à diverses réunions de l'APECA</t>
        </is>
      </c>
      <c r="H3991" s="1" t="n">
        <v>40613</v>
      </c>
      <c r="I3991" s="1" t="n">
        <v>40627</v>
      </c>
      <c r="J3991" t="inlineStr">
        <is>
          <t>Fredericton, New Brunswick</t>
        </is>
      </c>
      <c r="K3991" t="inlineStr">
        <is>
          <t>Fredericton (Nouveau-Brunswick)</t>
        </is>
      </c>
      <c r="P3991" t="n">
        <v>354.96</v>
      </c>
      <c r="Q3991" t="n">
        <v>66</v>
      </c>
      <c r="R3991" t="n">
        <v>0</v>
      </c>
      <c r="S3991" t="n">
        <v>0</v>
      </c>
      <c r="T3991" t="n">
        <v>0</v>
      </c>
      <c r="U3991" t="n">
        <v>420.96</v>
      </c>
      <c r="X3991" t="inlineStr">
        <is>
          <t>acoa-apeca</t>
        </is>
      </c>
      <c r="Y3991" t="inlineStr">
        <is>
          <t>Atlantic Canada Opportunities Agency | Agence de promotion économique du Canada atlantique</t>
        </is>
      </c>
      <c r="Z3991" t="n">
        <v>15</v>
      </c>
      <c r="AA3991" t="n">
        <v>420.96</v>
      </c>
      <c r="AB3991">
        <f>ROUND(U3991-AA3991,2)</f>
        <v/>
      </c>
      <c r="AC3991" t="b">
        <v>0</v>
      </c>
      <c r="AD3991">
        <f>IF(U3991="","MISSING_TOTAL",IF(ABS(AB3991)&lt;=0.01,"OK","CHECK"))</f>
        <v/>
      </c>
      <c r="AE3991">
        <f>IF(U3991="","MISSING",IF(AND(AA3991&gt;0,U3991/AA3991&gt;50),"POSSIBLE_SCALE_ERROR","OK"))</f>
        <v/>
      </c>
    </row>
    <row r="3992">
      <c r="A3992" t="inlineStr">
        <is>
          <t>T-2012-Q1-00008</t>
        </is>
      </c>
      <c r="B3992" t="inlineStr">
        <is>
          <t>SLE</t>
        </is>
      </c>
      <c r="C3992" t="inlineStr">
        <is>
          <t>President</t>
        </is>
      </c>
      <c r="D3992" t="inlineStr">
        <is>
          <t>Président</t>
        </is>
      </c>
      <c r="E3992" t="inlineStr">
        <is>
          <t>Paul J. LeBlanc</t>
        </is>
      </c>
      <c r="F3992" t="inlineStr">
        <is>
          <t>For various meetings and discussions with Agency and Government officials</t>
        </is>
      </c>
      <c r="G3992" t="inlineStr">
        <is>
          <t>Diverses réunons et discussions avec des fonctionnaires de l'Agence et du gouvernement du Canada</t>
        </is>
      </c>
      <c r="H3992" s="1" t="n">
        <v>40612</v>
      </c>
      <c r="I3992" s="1" t="n">
        <v>40613</v>
      </c>
      <c r="J3992" t="inlineStr">
        <is>
          <t>Halifax, Nova Scotia</t>
        </is>
      </c>
      <c r="K3992" t="inlineStr">
        <is>
          <t>Halifax (Nouvelle-Écosse)</t>
        </is>
      </c>
      <c r="P3992" t="n">
        <v>0</v>
      </c>
      <c r="Q3992" t="n">
        <v>0</v>
      </c>
      <c r="R3992" t="n">
        <v>139.59</v>
      </c>
      <c r="S3992" t="n">
        <v>127.8</v>
      </c>
      <c r="T3992" t="n">
        <v>0</v>
      </c>
      <c r="U3992" t="n">
        <v>267.39</v>
      </c>
      <c r="X3992" t="inlineStr">
        <is>
          <t>acoa-apeca</t>
        </is>
      </c>
      <c r="Y3992" t="inlineStr">
        <is>
          <t>Atlantic Canada Opportunities Agency | Agence de promotion économique du Canada atlantique</t>
        </is>
      </c>
      <c r="Z3992" t="n">
        <v>2</v>
      </c>
      <c r="AA3992" t="n">
        <v>267.39</v>
      </c>
      <c r="AB3992">
        <f>ROUND(U3992-AA3992,2)</f>
        <v/>
      </c>
      <c r="AC3992" t="b">
        <v>0</v>
      </c>
      <c r="AD3992">
        <f>IF(U3992="","MISSING_TOTAL",IF(ABS(AB3992)&lt;=0.01,"OK","CHECK"))</f>
        <v/>
      </c>
      <c r="AE3992">
        <f>IF(U3992="","MISSING",IF(AND(AA3992&gt;0,U3992/AA3992&gt;50),"POSSIBLE_SCALE_ERROR","OK"))</f>
        <v/>
      </c>
    </row>
    <row r="3993">
      <c r="A3993" t="inlineStr">
        <is>
          <t>T-2012-Q1-00007</t>
        </is>
      </c>
      <c r="B3993" t="inlineStr">
        <is>
          <t>SLE</t>
        </is>
      </c>
      <c r="C3993" t="inlineStr">
        <is>
          <t>Vice President, Nova Scotia</t>
        </is>
      </c>
      <c r="D3993" t="inlineStr">
        <is>
          <t>Vice-président, Nouvelle-Écosse</t>
        </is>
      </c>
      <c r="E3993" t="inlineStr">
        <is>
          <t>Peter Hogan</t>
        </is>
      </c>
      <c r="F3993" t="inlineStr">
        <is>
          <t>Parliamentary Standing Committee</t>
        </is>
      </c>
      <c r="G3993" t="inlineStr">
        <is>
          <t>Comité permanent du Parlement</t>
        </is>
      </c>
      <c r="H3993" s="1" t="n">
        <v>40611</v>
      </c>
      <c r="I3993" s="1" t="n">
        <v>40612</v>
      </c>
      <c r="J3993" t="inlineStr">
        <is>
          <t>Ottawa</t>
        </is>
      </c>
      <c r="K3993" t="inlineStr">
        <is>
          <t>Ottawa (Ontario)</t>
        </is>
      </c>
      <c r="P3993" t="n">
        <v>1564.74</v>
      </c>
      <c r="Q3993" t="n">
        <v>126.4</v>
      </c>
      <c r="R3993" t="n">
        <v>157.07</v>
      </c>
      <c r="S3993" t="n">
        <v>141.7</v>
      </c>
      <c r="T3993" t="n">
        <v>0</v>
      </c>
      <c r="U3993" t="n">
        <v>1989.91</v>
      </c>
      <c r="X3993" t="inlineStr">
        <is>
          <t>acoa-apeca</t>
        </is>
      </c>
      <c r="Y3993" t="inlineStr">
        <is>
          <t>Atlantic Canada Opportunities Agency | Agence de promotion économique du Canada atlantique</t>
        </is>
      </c>
      <c r="Z3993" t="n">
        <v>2</v>
      </c>
      <c r="AA3993" t="n">
        <v>1989.91</v>
      </c>
      <c r="AB3993">
        <f>ROUND(U3993-AA3993,2)</f>
        <v/>
      </c>
      <c r="AC3993" t="b">
        <v>0</v>
      </c>
      <c r="AD3993">
        <f>IF(U3993="","MISSING_TOTAL",IF(ABS(AB3993)&lt;=0.01,"OK","CHECK"))</f>
        <v/>
      </c>
      <c r="AE3993">
        <f>IF(U3993="","MISSING",IF(AND(AA3993&gt;0,U3993/AA3993&gt;50),"POSSIBLE_SCALE_ERROR","OK"))</f>
        <v/>
      </c>
    </row>
    <row r="3994">
      <c r="A3994" t="inlineStr">
        <is>
          <t>T-2012-Q1-00006</t>
        </is>
      </c>
      <c r="B3994" t="inlineStr">
        <is>
          <t>SLE</t>
        </is>
      </c>
      <c r="C3994" t="inlineStr">
        <is>
          <t>Vice-President, New Brunswick</t>
        </is>
      </c>
      <c r="D3994" t="inlineStr">
        <is>
          <t>Vice-présidente, Nouveau-Brunswick</t>
        </is>
      </c>
      <c r="E3994" t="inlineStr">
        <is>
          <t>Janet Gagnon</t>
        </is>
      </c>
      <c r="F3994" t="inlineStr">
        <is>
          <t>Economic Development meeting with City Council</t>
        </is>
      </c>
      <c r="G3994" t="inlineStr">
        <is>
          <t>Réunion sur le développement économique avec conseil municipal</t>
        </is>
      </c>
      <c r="H3994" s="1" t="n">
        <v>40611</v>
      </c>
      <c r="I3994" s="1" t="n">
        <v>40612</v>
      </c>
      <c r="J3994" t="inlineStr">
        <is>
          <t>Bathurst, New Brunswick</t>
        </is>
      </c>
      <c r="K3994" t="inlineStr">
        <is>
          <t>Bathurst (Nouveau-Brunswick)</t>
        </is>
      </c>
      <c r="P3994" t="n">
        <v>0</v>
      </c>
      <c r="Q3994" t="n">
        <v>0</v>
      </c>
      <c r="R3994" t="n">
        <v>120.91</v>
      </c>
      <c r="S3994" t="n">
        <v>102.5</v>
      </c>
      <c r="T3994" t="n">
        <v>0</v>
      </c>
      <c r="U3994" t="n">
        <v>223.41</v>
      </c>
      <c r="X3994" t="inlineStr">
        <is>
          <t>acoa-apeca</t>
        </is>
      </c>
      <c r="Y3994" t="inlineStr">
        <is>
          <t>Atlantic Canada Opportunities Agency | Agence de promotion économique du Canada atlantique</t>
        </is>
      </c>
      <c r="Z3994" t="n">
        <v>2</v>
      </c>
      <c r="AA3994" t="n">
        <v>223.41</v>
      </c>
      <c r="AB3994">
        <f>ROUND(U3994-AA3994,2)</f>
        <v/>
      </c>
      <c r="AC3994" t="b">
        <v>0</v>
      </c>
      <c r="AD3994">
        <f>IF(U3994="","MISSING_TOTAL",IF(ABS(AB3994)&lt;=0.01,"OK","CHECK"))</f>
        <v/>
      </c>
      <c r="AE3994">
        <f>IF(U3994="","MISSING",IF(AND(AA3994&gt;0,U3994/AA3994&gt;50),"POSSIBLE_SCALE_ERROR","OK"))</f>
        <v/>
      </c>
    </row>
    <row r="3995">
      <c r="A3995" t="inlineStr">
        <is>
          <t>T-2012-Q1-00005</t>
        </is>
      </c>
      <c r="B3995" t="inlineStr">
        <is>
          <t>SLE</t>
        </is>
      </c>
      <c r="C3995" t="inlineStr">
        <is>
          <t>President</t>
        </is>
      </c>
      <c r="D3995" t="inlineStr">
        <is>
          <t>Président</t>
        </is>
      </c>
      <c r="E3995" t="inlineStr">
        <is>
          <t>Paul J. LeBlanc</t>
        </is>
      </c>
      <c r="F3995" t="inlineStr">
        <is>
          <t>For various meetings and discussions with Agency and Government of Canada officials</t>
        </is>
      </c>
      <c r="G3995" t="inlineStr">
        <is>
          <t>Diverses réunions et discussions avec des fonctionnaires de l'Agence et du gouvernement du Canada</t>
        </is>
      </c>
      <c r="H3995" s="1" t="n">
        <v>40610</v>
      </c>
      <c r="I3995" s="1" t="n">
        <v>40611</v>
      </c>
      <c r="J3995" t="inlineStr">
        <is>
          <t>Ottawa, Ontario</t>
        </is>
      </c>
      <c r="K3995" t="inlineStr">
        <is>
          <t>Ottawa (Ontario)</t>
        </is>
      </c>
      <c r="P3995" t="n">
        <v>1000.5</v>
      </c>
      <c r="Q3995" t="n">
        <v>0</v>
      </c>
      <c r="R3995" t="n">
        <v>174.02</v>
      </c>
      <c r="S3995" t="n">
        <v>102.5</v>
      </c>
      <c r="T3995" t="n">
        <v>71.5</v>
      </c>
      <c r="U3995" t="n">
        <v>1348.52</v>
      </c>
      <c r="X3995" t="inlineStr">
        <is>
          <t>acoa-apeca</t>
        </is>
      </c>
      <c r="Y3995" t="inlineStr">
        <is>
          <t>Atlantic Canada Opportunities Agency | Agence de promotion économique du Canada atlantique</t>
        </is>
      </c>
      <c r="Z3995" t="n">
        <v>2</v>
      </c>
      <c r="AA3995" t="n">
        <v>1348.52</v>
      </c>
      <c r="AB3995">
        <f>ROUND(U3995-AA3995,2)</f>
        <v/>
      </c>
      <c r="AC3995" t="b">
        <v>0</v>
      </c>
      <c r="AD3995">
        <f>IF(U3995="","MISSING_TOTAL",IF(ABS(AB3995)&lt;=0.01,"OK","CHECK"))</f>
        <v/>
      </c>
      <c r="AE3995">
        <f>IF(U3995="","MISSING",IF(AND(AA3995&gt;0,U3995/AA3995&gt;50),"POSSIBLE_SCALE_ERROR","OK"))</f>
        <v/>
      </c>
    </row>
    <row r="3996">
      <c r="A3996" t="inlineStr">
        <is>
          <t>T-2012-Q1-00004</t>
        </is>
      </c>
      <c r="B3996" t="inlineStr">
        <is>
          <t>SLE</t>
        </is>
      </c>
      <c r="C3996" t="inlineStr">
        <is>
          <t>Vice-President, Newfoundland and Labrador</t>
        </is>
      </c>
      <c r="D3996" t="inlineStr">
        <is>
          <t>Vice-président, Terre-Neuve-et-Labrador</t>
        </is>
      </c>
      <c r="E3996" t="inlineStr">
        <is>
          <t>Paul Mills</t>
        </is>
      </c>
      <c r="F3996" t="inlineStr">
        <is>
          <t>Meetings with senior government officials in Ottawa</t>
        </is>
      </c>
      <c r="G3996" t="inlineStr">
        <is>
          <t>Réunions avec des hauts fonctionnaires à Ottawa</t>
        </is>
      </c>
      <c r="H3996" s="1" t="n">
        <v>40610</v>
      </c>
      <c r="I3996" s="1" t="n">
        <v>40612</v>
      </c>
      <c r="J3996" t="inlineStr">
        <is>
          <t>Ottawa, Ontario</t>
        </is>
      </c>
      <c r="K3996" t="inlineStr">
        <is>
          <t>Ottawa (Ontario)</t>
        </is>
      </c>
      <c r="P3996" t="n">
        <v>1264.76</v>
      </c>
      <c r="Q3996" t="n">
        <v>126</v>
      </c>
      <c r="R3996" t="n">
        <v>348.04</v>
      </c>
      <c r="S3996" t="n">
        <v>187.7</v>
      </c>
      <c r="T3996" t="n">
        <v>14.26</v>
      </c>
      <c r="U3996" t="n">
        <v>1940.76</v>
      </c>
      <c r="X3996" t="inlineStr">
        <is>
          <t>acoa-apeca</t>
        </is>
      </c>
      <c r="Y3996" t="inlineStr">
        <is>
          <t>Atlantic Canada Opportunities Agency | Agence de promotion économique du Canada atlantique</t>
        </is>
      </c>
      <c r="Z3996" t="n">
        <v>3</v>
      </c>
      <c r="AA3996" t="n">
        <v>1940.76</v>
      </c>
      <c r="AB3996">
        <f>ROUND(U3996-AA3996,2)</f>
        <v/>
      </c>
      <c r="AC3996" t="b">
        <v>0</v>
      </c>
      <c r="AD3996">
        <f>IF(U3996="","MISSING_TOTAL",IF(ABS(AB3996)&lt;=0.01,"OK","CHECK"))</f>
        <v/>
      </c>
      <c r="AE3996">
        <f>IF(U3996="","MISSING",IF(AND(AA3996&gt;0,U3996/AA3996&gt;50),"POSSIBLE_SCALE_ERROR","OK"))</f>
        <v/>
      </c>
    </row>
    <row r="3997">
      <c r="A3997" t="inlineStr">
        <is>
          <t>T-2011-Q4-00065</t>
        </is>
      </c>
      <c r="B3997" t="inlineStr">
        <is>
          <t>SLE</t>
        </is>
      </c>
      <c r="C3997" t="inlineStr">
        <is>
          <t>Vice President, Nova Scotia</t>
        </is>
      </c>
      <c r="D3997" t="inlineStr">
        <is>
          <t>Vice-président, Nouvelle-Écosse</t>
        </is>
      </c>
      <c r="E3997" t="inlineStr">
        <is>
          <t>Peter Hogan</t>
        </is>
      </c>
      <c r="F3997" t="inlineStr">
        <is>
          <t>Meeting with Government of Canada and private sector officials</t>
        </is>
      </c>
      <c r="G3997" t="inlineStr">
        <is>
          <t>Réunion avec des fonctionnaires du gouvernement du Canada et des représentants du secteur privé</t>
        </is>
      </c>
      <c r="H3997" s="1" t="n">
        <v>40595</v>
      </c>
      <c r="I3997" s="1" t="n">
        <v>40595</v>
      </c>
      <c r="J3997" t="inlineStr">
        <is>
          <t>Halifax, Nova Scotia</t>
        </is>
      </c>
      <c r="K3997" t="inlineStr">
        <is>
          <t>Halifax (Nouvelle-Écosse)</t>
        </is>
      </c>
      <c r="P3997" t="n">
        <v>0</v>
      </c>
      <c r="Q3997" t="n">
        <v>12</v>
      </c>
      <c r="R3997" t="n">
        <v>0</v>
      </c>
      <c r="S3997" t="n">
        <v>0</v>
      </c>
      <c r="T3997" t="n">
        <v>0</v>
      </c>
      <c r="U3997" t="n">
        <v>12</v>
      </c>
      <c r="X3997" t="inlineStr">
        <is>
          <t>acoa-apeca</t>
        </is>
      </c>
      <c r="Y3997" t="inlineStr">
        <is>
          <t>Atlantic Canada Opportunities Agency | Agence de promotion économique du Canada atlantique</t>
        </is>
      </c>
      <c r="Z3997" t="n">
        <v>1</v>
      </c>
      <c r="AA3997" t="n">
        <v>12</v>
      </c>
      <c r="AB3997">
        <f>ROUND(U3997-AA3997,2)</f>
        <v/>
      </c>
      <c r="AC3997" t="b">
        <v>0</v>
      </c>
      <c r="AD3997">
        <f>IF(U3997="","MISSING_TOTAL",IF(ABS(AB3997)&lt;=0.01,"OK","CHECK"))</f>
        <v/>
      </c>
      <c r="AE3997">
        <f>IF(U3997="","MISSING",IF(AND(AA3997&gt;0,U3997/AA3997&gt;50),"POSSIBLE_SCALE_ERROR","OK"))</f>
        <v/>
      </c>
    </row>
    <row r="3998">
      <c r="A3998" t="inlineStr">
        <is>
          <t>T-2012-Q1-00003</t>
        </is>
      </c>
      <c r="B3998" t="inlineStr">
        <is>
          <t>SLE</t>
        </is>
      </c>
      <c r="C3998" t="inlineStr">
        <is>
          <t>Vice-President, Prince Edward Island</t>
        </is>
      </c>
      <c r="D3998" t="inlineStr">
        <is>
          <t>Vice-président, Île-du-Prince-Édouard</t>
        </is>
      </c>
      <c r="E3998" t="inlineStr">
        <is>
          <t>Patrick Dorsey</t>
        </is>
      </c>
      <c r="F3998" t="inlineStr">
        <is>
          <t>Various Meetings and Discussions with Agency and Government of Canada Officials</t>
        </is>
      </c>
      <c r="G3998" t="inlineStr">
        <is>
          <t>Diverses réunions et discussions avec des fonctionnaires de l'Agence et du gouvernement du Canada</t>
        </is>
      </c>
      <c r="H3998" s="1" t="n">
        <v>40609</v>
      </c>
      <c r="I3998" s="1" t="n">
        <v>40611</v>
      </c>
      <c r="J3998" t="inlineStr">
        <is>
          <t>Ottawa, Ontario</t>
        </is>
      </c>
      <c r="K3998" t="inlineStr">
        <is>
          <t>Ottawa (Ontario)</t>
        </is>
      </c>
      <c r="P3998" t="n">
        <v>704.85</v>
      </c>
      <c r="Q3998" t="n">
        <v>78.75</v>
      </c>
      <c r="R3998" t="n">
        <v>350.3</v>
      </c>
      <c r="S3998" t="n">
        <v>134.6</v>
      </c>
      <c r="T3998" t="n">
        <v>0</v>
      </c>
      <c r="U3998" t="n">
        <v>1268.5</v>
      </c>
      <c r="X3998" t="inlineStr">
        <is>
          <t>acoa-apeca</t>
        </is>
      </c>
      <c r="Y3998" t="inlineStr">
        <is>
          <t>Atlantic Canada Opportunities Agency | Agence de promotion économique du Canada atlantique</t>
        </is>
      </c>
      <c r="Z3998" t="n">
        <v>3</v>
      </c>
      <c r="AA3998" t="n">
        <v>1268.5</v>
      </c>
      <c r="AB3998">
        <f>ROUND(U3998-AA3998,2)</f>
        <v/>
      </c>
      <c r="AC3998" t="b">
        <v>0</v>
      </c>
      <c r="AD3998">
        <f>IF(U3998="","MISSING_TOTAL",IF(ABS(AB3998)&lt;=0.01,"OK","CHECK"))</f>
        <v/>
      </c>
      <c r="AE3998">
        <f>IF(U3998="","MISSING",IF(AND(AA3998&gt;0,U3998/AA3998&gt;50),"POSSIBLE_SCALE_ERROR","OK"))</f>
        <v/>
      </c>
    </row>
    <row r="3999">
      <c r="A3999" t="inlineStr">
        <is>
          <t>T-2012-Q1-00002</t>
        </is>
      </c>
      <c r="B3999" t="inlineStr">
        <is>
          <t>SLE</t>
        </is>
      </c>
      <c r="C3999" t="inlineStr">
        <is>
          <t>Vice-President, Prince Edward Island</t>
        </is>
      </c>
      <c r="D3999" t="inlineStr">
        <is>
          <t>Vice-président, Île-du-Prince-Édouard</t>
        </is>
      </c>
      <c r="E3999" t="inlineStr">
        <is>
          <t>Patrick Dorsey</t>
        </is>
      </c>
      <c r="F3999" t="inlineStr">
        <is>
          <t>Various Meetings and Discussions with Agency and Government of Canada Officials</t>
        </is>
      </c>
      <c r="G3999" t="inlineStr">
        <is>
          <t>Diverses réunions et discussions avec des fonctionnaires de l'Agence et du gouvernement du Canada</t>
        </is>
      </c>
      <c r="H3999" s="1" t="n">
        <v>40604</v>
      </c>
      <c r="I3999" s="1" t="n">
        <v>40605</v>
      </c>
      <c r="J3999" t="inlineStr">
        <is>
          <t>Ottawa, Ontario</t>
        </is>
      </c>
      <c r="K3999" t="inlineStr">
        <is>
          <t>Ottawa (Ontario)</t>
        </is>
      </c>
      <c r="P3999" t="n">
        <v>1624.36</v>
      </c>
      <c r="Q3999" t="n">
        <v>95.5</v>
      </c>
      <c r="R3999" t="n">
        <v>175.15</v>
      </c>
      <c r="S3999" t="n">
        <v>102.5</v>
      </c>
      <c r="T3999" t="n">
        <v>0</v>
      </c>
      <c r="U3999" t="n">
        <v>1997.51</v>
      </c>
      <c r="X3999" t="inlineStr">
        <is>
          <t>acoa-apeca</t>
        </is>
      </c>
      <c r="Y3999" t="inlineStr">
        <is>
          <t>Atlantic Canada Opportunities Agency | Agence de promotion économique du Canada atlantique</t>
        </is>
      </c>
      <c r="Z3999" t="n">
        <v>2</v>
      </c>
      <c r="AA3999" t="n">
        <v>1997.51</v>
      </c>
      <c r="AB3999">
        <f>ROUND(U3999-AA3999,2)</f>
        <v/>
      </c>
      <c r="AC3999" t="b">
        <v>0</v>
      </c>
      <c r="AD3999">
        <f>IF(U3999="","MISSING_TOTAL",IF(ABS(AB3999)&lt;=0.01,"OK","CHECK"))</f>
        <v/>
      </c>
      <c r="AE3999">
        <f>IF(U3999="","MISSING",IF(AND(AA3999&gt;0,U3999/AA3999&gt;50),"POSSIBLE_SCALE_ERROR","OK"))</f>
        <v/>
      </c>
    </row>
    <row r="4000">
      <c r="A4000" t="inlineStr">
        <is>
          <t>T-2012-Q1-00001</t>
        </is>
      </c>
      <c r="B4000" t="inlineStr">
        <is>
          <t>SLE</t>
        </is>
      </c>
      <c r="C4000" t="inlineStr">
        <is>
          <t>Vice-President, New Brunswick</t>
        </is>
      </c>
      <c r="D4000" t="inlineStr">
        <is>
          <t>Vice-présidente, Nouveau-Brunswick</t>
        </is>
      </c>
      <c r="E4000" t="inlineStr">
        <is>
          <t>Janet Gagnon</t>
        </is>
      </c>
      <c r="F4000" t="inlineStr">
        <is>
          <t>Interviews for Director General position in Newfoundland</t>
        </is>
      </c>
      <c r="G4000" t="inlineStr">
        <is>
          <t>Entrevues pour le poste de directeur général à Terre-Neuve-et-Labrador</t>
        </is>
      </c>
      <c r="H4000" s="1" t="n">
        <v>40604</v>
      </c>
      <c r="I4000" s="1" t="n">
        <v>40606</v>
      </c>
      <c r="J4000" t="inlineStr">
        <is>
          <t>St. John's, Newfoundland</t>
        </is>
      </c>
      <c r="K4000" t="inlineStr">
        <is>
          <t>St. John's (Terre-Neuve-et-Labrador)</t>
        </is>
      </c>
      <c r="P4000" t="n">
        <v>1139.17</v>
      </c>
      <c r="Q4000" t="n">
        <v>53</v>
      </c>
      <c r="R4000" t="n">
        <v>290</v>
      </c>
      <c r="S4000" t="n">
        <v>201.6</v>
      </c>
      <c r="T4000" t="n">
        <v>30</v>
      </c>
      <c r="U4000" t="n">
        <v>1713.77</v>
      </c>
      <c r="X4000" t="inlineStr">
        <is>
          <t>acoa-apeca</t>
        </is>
      </c>
      <c r="Y4000" t="inlineStr">
        <is>
          <t>Atlantic Canada Opportunities Agency | Agence de promotion économique du Canada atlantique</t>
        </is>
      </c>
      <c r="Z4000" t="n">
        <v>3</v>
      </c>
      <c r="AA4000" t="n">
        <v>1713.77</v>
      </c>
      <c r="AB4000">
        <f>ROUND(U4000-AA4000,2)</f>
        <v/>
      </c>
      <c r="AC4000" t="b">
        <v>0</v>
      </c>
      <c r="AD4000">
        <f>IF(U4000="","MISSING_TOTAL",IF(ABS(AB4000)&lt;=0.01,"OK","CHECK"))</f>
        <v/>
      </c>
      <c r="AE4000">
        <f>IF(U4000="","MISSING",IF(AND(AA4000&gt;0,U4000/AA4000&gt;50),"POSSIBLE_SCALE_ERROR","OK"))</f>
        <v/>
      </c>
    </row>
    <row r="4001">
      <c r="A4001" t="inlineStr">
        <is>
          <t>T-2011-Q4-00072</t>
        </is>
      </c>
      <c r="B4001" t="inlineStr">
        <is>
          <t>SLE</t>
        </is>
      </c>
      <c r="C4001" t="inlineStr">
        <is>
          <t>President</t>
        </is>
      </c>
      <c r="D4001" t="inlineStr">
        <is>
          <t>Président</t>
        </is>
      </c>
      <c r="E4001" t="inlineStr">
        <is>
          <t>Paul J. LeBlanc</t>
        </is>
      </c>
      <c r="F4001" t="inlineStr">
        <is>
          <t>For various meetings and discussions with Agency and Government of Canada officials</t>
        </is>
      </c>
      <c r="G4001" t="inlineStr">
        <is>
          <t>Diverses réunions et discussions avec des fonctionnaires de l'Agence et du gouvernement du Canada</t>
        </is>
      </c>
      <c r="H4001" s="1" t="n">
        <v>40603</v>
      </c>
      <c r="I4001" s="1" t="n">
        <v>40606</v>
      </c>
      <c r="J4001" t="inlineStr">
        <is>
          <t>Ottawa, Ontario</t>
        </is>
      </c>
      <c r="K4001" t="inlineStr">
        <is>
          <t>Ottawwa (Ontario)</t>
        </is>
      </c>
      <c r="P4001" t="n">
        <v>1000.5</v>
      </c>
      <c r="Q4001" t="n">
        <v>0</v>
      </c>
      <c r="R4001" t="n">
        <v>522.0599999999999</v>
      </c>
      <c r="S4001" t="n">
        <v>258.1</v>
      </c>
      <c r="T4001" t="n">
        <v>45</v>
      </c>
      <c r="U4001" t="n">
        <v>1825.66</v>
      </c>
      <c r="X4001" t="inlineStr">
        <is>
          <t>acoa-apeca</t>
        </is>
      </c>
      <c r="Y4001" t="inlineStr">
        <is>
          <t>Atlantic Canada Opportunities Agency | Agence de promotion économique du Canada atlantique</t>
        </is>
      </c>
      <c r="Z4001" t="n">
        <v>4</v>
      </c>
      <c r="AA4001" t="n">
        <v>1825.65999999999</v>
      </c>
      <c r="AB4001">
        <f>ROUND(U4001-AA4001,2)</f>
        <v/>
      </c>
      <c r="AC4001" t="b">
        <v>0</v>
      </c>
      <c r="AD4001">
        <f>IF(U4001="","MISSING_TOTAL",IF(ABS(AB4001)&lt;=0.01,"OK","CHECK"))</f>
        <v/>
      </c>
      <c r="AE4001">
        <f>IF(U4001="","MISSING",IF(AND(AA4001&gt;0,U4001/AA4001&gt;50),"POSSIBLE_SCALE_ERROR","OK"))</f>
        <v/>
      </c>
    </row>
    <row r="4002">
      <c r="A4002" t="inlineStr">
        <is>
          <t>T-2011-Q4-00071</t>
        </is>
      </c>
      <c r="B4002" t="inlineStr">
        <is>
          <t>SLE</t>
        </is>
      </c>
      <c r="C4002" t="inlineStr">
        <is>
          <t>Vice-President, New Brunswick</t>
        </is>
      </c>
      <c r="D4002" t="inlineStr">
        <is>
          <t>Vice-présidente, Nouveau-Brunswick</t>
        </is>
      </c>
      <c r="E4002" t="inlineStr">
        <is>
          <t>Janet Gagnon</t>
        </is>
      </c>
      <c r="F4002" t="inlineStr">
        <is>
          <t>Meeting with the Minister</t>
        </is>
      </c>
      <c r="G4002" t="inlineStr">
        <is>
          <t>Réunion avec le ministre</t>
        </is>
      </c>
      <c r="H4002" s="1" t="n">
        <v>40601</v>
      </c>
      <c r="I4002" s="1" t="n">
        <v>40603</v>
      </c>
      <c r="J4002" t="inlineStr">
        <is>
          <t>Ottawa, Ontario</t>
        </is>
      </c>
      <c r="K4002" t="inlineStr">
        <is>
          <t>Ottawa (Ontario)</t>
        </is>
      </c>
      <c r="P4002" t="n">
        <v>747.3</v>
      </c>
      <c r="Q4002" t="n">
        <v>83</v>
      </c>
      <c r="R4002" t="n">
        <v>348.04</v>
      </c>
      <c r="S4002" t="n">
        <v>226.9</v>
      </c>
      <c r="T4002" t="n">
        <v>30</v>
      </c>
      <c r="U4002" t="n">
        <v>1435.24</v>
      </c>
      <c r="X4002" t="inlineStr">
        <is>
          <t>acoa-apeca</t>
        </is>
      </c>
      <c r="Y4002" t="inlineStr">
        <is>
          <t>Atlantic Canada Opportunities Agency | Agence de promotion économique du Canada atlantique</t>
        </is>
      </c>
      <c r="Z4002" t="n">
        <v>3</v>
      </c>
      <c r="AA4002" t="n">
        <v>1435.24</v>
      </c>
      <c r="AB4002">
        <f>ROUND(U4002-AA4002,2)</f>
        <v/>
      </c>
      <c r="AC4002" t="b">
        <v>0</v>
      </c>
      <c r="AD4002">
        <f>IF(U4002="","MISSING_TOTAL",IF(ABS(AB4002)&lt;=0.01,"OK","CHECK"))</f>
        <v/>
      </c>
      <c r="AE4002">
        <f>IF(U4002="","MISSING",IF(AND(AA4002&gt;0,U4002/AA4002&gt;50),"POSSIBLE_SCALE_ERROR","OK"))</f>
        <v/>
      </c>
    </row>
    <row r="4003">
      <c r="A4003" t="inlineStr">
        <is>
          <t>T-2011-Q4-00070</t>
        </is>
      </c>
      <c r="B4003" t="inlineStr">
        <is>
          <t>SLE</t>
        </is>
      </c>
      <c r="C4003" t="inlineStr">
        <is>
          <t>President</t>
        </is>
      </c>
      <c r="D4003" t="inlineStr">
        <is>
          <t>Président</t>
        </is>
      </c>
      <c r="E4003" t="inlineStr">
        <is>
          <t>Paul J. LeBlanc</t>
        </is>
      </c>
      <c r="F4003" t="inlineStr">
        <is>
          <t>For various meetings and discussions with Agency, Government and Industry officials</t>
        </is>
      </c>
      <c r="G4003" t="inlineStr">
        <is>
          <t>Diverses réunions et discussions avec des fonctionnaires de l'Agence et du gouvernement du Canada et des représentants de l'industrie</t>
        </is>
      </c>
      <c r="H4003" s="1" t="n">
        <v>40598</v>
      </c>
      <c r="I4003" s="1" t="n">
        <v>40599</v>
      </c>
      <c r="J4003" t="inlineStr">
        <is>
          <t>Charlottetown, Prince Edward Island</t>
        </is>
      </c>
      <c r="K4003" t="inlineStr">
        <is>
          <t>Charlottetown (Île-du-Prince-Édouard)</t>
        </is>
      </c>
      <c r="P4003" t="n">
        <v>0</v>
      </c>
      <c r="Q4003" t="n">
        <v>0</v>
      </c>
      <c r="R4003" t="n">
        <v>117.6</v>
      </c>
      <c r="S4003" t="n">
        <v>113</v>
      </c>
      <c r="T4003" t="n">
        <v>0</v>
      </c>
      <c r="U4003" t="n">
        <v>230.6</v>
      </c>
      <c r="X4003" t="inlineStr">
        <is>
          <t>acoa-apeca</t>
        </is>
      </c>
      <c r="Y4003" t="inlineStr">
        <is>
          <t>Atlantic Canada Opportunities Agency | Agence de promotion économique du Canada atlantique</t>
        </is>
      </c>
      <c r="Z4003" t="n">
        <v>2</v>
      </c>
      <c r="AA4003" t="n">
        <v>230.6</v>
      </c>
      <c r="AB4003">
        <f>ROUND(U4003-AA4003,2)</f>
        <v/>
      </c>
      <c r="AC4003" t="b">
        <v>0</v>
      </c>
      <c r="AD4003">
        <f>IF(U4003="","MISSING_TOTAL",IF(ABS(AB4003)&lt;=0.01,"OK","CHECK"))</f>
        <v/>
      </c>
      <c r="AE4003">
        <f>IF(U4003="","MISSING",IF(AND(AA4003&gt;0,U4003/AA4003&gt;50),"POSSIBLE_SCALE_ERROR","OK"))</f>
        <v/>
      </c>
    </row>
    <row r="4004">
      <c r="A4004" t="inlineStr">
        <is>
          <t>T-2018-Q1-00023</t>
        </is>
      </c>
      <c r="B4004" t="inlineStr">
        <is>
          <t>SLE</t>
        </is>
      </c>
      <c r="C4004" t="inlineStr">
        <is>
          <t>Senior Advisor (Energy)</t>
        </is>
      </c>
      <c r="D4004" t="inlineStr">
        <is>
          <t>Conseiller spécial (energie)</t>
        </is>
      </c>
      <c r="E4004" t="inlineStr">
        <is>
          <t>Andrew F. Noseworthy</t>
        </is>
      </c>
      <c r="F4004" t="inlineStr">
        <is>
          <t>Attend the Offshore Technology Conference 2017</t>
        </is>
      </c>
      <c r="G4004" t="inlineStr">
        <is>
          <t>Assister à l'Offshore Technology Conference 2017</t>
        </is>
      </c>
      <c r="H4004" s="1" t="n">
        <v>42853</v>
      </c>
      <c r="I4004" s="1" t="n">
        <v>42861</v>
      </c>
      <c r="J4004" t="inlineStr">
        <is>
          <t>Houston, Texas</t>
        </is>
      </c>
      <c r="K4004" t="inlineStr">
        <is>
          <t>Houston, Texas</t>
        </is>
      </c>
      <c r="P4004" t="n">
        <v>1244.39</v>
      </c>
      <c r="Q4004" t="n">
        <v>782.98</v>
      </c>
      <c r="R4004" t="n">
        <v>2796.07</v>
      </c>
      <c r="S4004" t="n">
        <v>760.62</v>
      </c>
      <c r="T4004" t="n">
        <v>19.75</v>
      </c>
      <c r="U4004" t="n">
        <v>5603.81</v>
      </c>
      <c r="X4004" t="inlineStr">
        <is>
          <t>acoa-apeca</t>
        </is>
      </c>
      <c r="Y4004" t="inlineStr">
        <is>
          <t>Atlantic Canada Opportunities Agency | Agence de promotion économique du Canada atlantique</t>
        </is>
      </c>
      <c r="Z4004" t="n">
        <v>9</v>
      </c>
      <c r="AA4004" t="n">
        <v>5603.81</v>
      </c>
      <c r="AB4004">
        <f>ROUND(U4004-AA4004,2)</f>
        <v/>
      </c>
      <c r="AC4004" t="b">
        <v>0</v>
      </c>
      <c r="AD4004">
        <f>IF(U4004="","MISSING_TOTAL",IF(ABS(AB4004)&lt;=0.01,"OK","CHECK"))</f>
        <v/>
      </c>
      <c r="AE4004">
        <f>IF(U4004="","MISSING",IF(AND(AA4004&gt;0,U4004/AA4004&gt;50),"POSSIBLE_SCALE_ERROR","OK"))</f>
        <v/>
      </c>
    </row>
    <row r="4005">
      <c r="A4005" t="inlineStr">
        <is>
          <t>T-2011-Q4-00068</t>
        </is>
      </c>
      <c r="B4005" t="inlineStr">
        <is>
          <t>MPSES</t>
        </is>
      </c>
      <c r="C4005" t="inlineStr">
        <is>
          <t>Policy Advisor</t>
        </is>
      </c>
      <c r="D4005" t="inlineStr">
        <is>
          <t>Conseillère en politique</t>
        </is>
      </c>
      <c r="E4005" t="inlineStr">
        <is>
          <t>Guylaine Le Couteur</t>
        </is>
      </c>
      <c r="F4005" t="inlineStr">
        <is>
          <t>Travel for various ACOA meetings</t>
        </is>
      </c>
      <c r="G4005" t="inlineStr">
        <is>
          <t>Voyage pour diverses réunions de l'APECA</t>
        </is>
      </c>
      <c r="H4005" s="1" t="n">
        <v>40597</v>
      </c>
      <c r="I4005" s="1" t="n">
        <v>40599</v>
      </c>
      <c r="J4005" t="inlineStr">
        <is>
          <t>Fredericton and Moncton, New Brusnwick</t>
        </is>
      </c>
      <c r="K4005" t="inlineStr">
        <is>
          <t>Fredericton et Moncton (Nouveau-Brunswick)</t>
        </is>
      </c>
      <c r="P4005" t="n">
        <v>852.67</v>
      </c>
      <c r="Q4005" t="n">
        <v>0</v>
      </c>
      <c r="R4005" t="n">
        <v>302.84</v>
      </c>
      <c r="S4005" t="n">
        <v>199.1</v>
      </c>
      <c r="T4005" t="n">
        <v>0</v>
      </c>
      <c r="U4005" t="n">
        <v>1354.61</v>
      </c>
      <c r="X4005" t="inlineStr">
        <is>
          <t>acoa-apeca</t>
        </is>
      </c>
      <c r="Y4005" t="inlineStr">
        <is>
          <t>Atlantic Canada Opportunities Agency | Agence de promotion économique du Canada atlantique</t>
        </is>
      </c>
      <c r="Z4005" t="n">
        <v>3</v>
      </c>
      <c r="AA4005" t="n">
        <v>1354.61</v>
      </c>
      <c r="AB4005">
        <f>ROUND(U4005-AA4005,2)</f>
        <v/>
      </c>
      <c r="AC4005" t="b">
        <v>0</v>
      </c>
      <c r="AD4005">
        <f>IF(U4005="","MISSING_TOTAL",IF(ABS(AB4005)&lt;=0.01,"OK","CHECK"))</f>
        <v/>
      </c>
      <c r="AE4005">
        <f>IF(U4005="","MISSING",IF(AND(AA4005&gt;0,U4005/AA4005&gt;50),"POSSIBLE_SCALE_ERROR","OK"))</f>
        <v/>
      </c>
    </row>
    <row r="4006">
      <c r="A4006" t="inlineStr">
        <is>
          <t>T-2011-Q4-00063</t>
        </is>
      </c>
      <c r="B4006" t="inlineStr">
        <is>
          <t>SLE</t>
        </is>
      </c>
      <c r="C4006" t="inlineStr">
        <is>
          <t>Vice-President, New Brunswick</t>
        </is>
      </c>
      <c r="D4006" t="inlineStr">
        <is>
          <t>Vice-présidente, Nouveau-Brunswick</t>
        </is>
      </c>
      <c r="E4006" t="inlineStr">
        <is>
          <t>Janet Gagnon</t>
        </is>
      </c>
      <c r="F4006" t="inlineStr">
        <is>
          <t>Executive Committee Meeting</t>
        </is>
      </c>
      <c r="G4006" t="inlineStr">
        <is>
          <t>Réunion du Comité de direction</t>
        </is>
      </c>
      <c r="H4006" s="1" t="n">
        <v>40589</v>
      </c>
      <c r="I4006" s="1" t="n">
        <v>40591</v>
      </c>
      <c r="J4006" t="inlineStr">
        <is>
          <t>Ottawa, Ontario</t>
        </is>
      </c>
      <c r="K4006" t="inlineStr">
        <is>
          <t>Ottawa (Ontario)</t>
        </is>
      </c>
      <c r="P4006" t="n">
        <v>1624.93</v>
      </c>
      <c r="Q4006" t="n">
        <v>103.5</v>
      </c>
      <c r="R4006" t="n">
        <v>404.54</v>
      </c>
      <c r="S4006" t="n">
        <v>213</v>
      </c>
      <c r="T4006" t="n">
        <v>30</v>
      </c>
      <c r="U4006" t="n">
        <v>2375.97</v>
      </c>
      <c r="X4006" t="inlineStr">
        <is>
          <t>acoa-apeca</t>
        </is>
      </c>
      <c r="Y4006" t="inlineStr">
        <is>
          <t>Atlantic Canada Opportunities Agency | Agence de promotion économique du Canada atlantique</t>
        </is>
      </c>
      <c r="Z4006" t="n">
        <v>3</v>
      </c>
      <c r="AA4006" t="n">
        <v>2375.97</v>
      </c>
      <c r="AB4006">
        <f>ROUND(U4006-AA4006,2)</f>
        <v/>
      </c>
      <c r="AC4006" t="b">
        <v>0</v>
      </c>
      <c r="AD4006">
        <f>IF(U4006="","MISSING_TOTAL",IF(ABS(AB4006)&lt;=0.01,"OK","CHECK"))</f>
        <v/>
      </c>
      <c r="AE4006">
        <f>IF(U4006="","MISSING",IF(AND(AA4006&gt;0,U4006/AA4006&gt;50),"POSSIBLE_SCALE_ERROR","OK"))</f>
        <v/>
      </c>
    </row>
    <row r="4007">
      <c r="A4007" t="inlineStr">
        <is>
          <t>T-2011-Q4-00062</t>
        </is>
      </c>
      <c r="B4007" t="inlineStr">
        <is>
          <t>SLE</t>
        </is>
      </c>
      <c r="C4007" t="inlineStr">
        <is>
          <t>Vice-President, Prince Edward Island</t>
        </is>
      </c>
      <c r="D4007" t="inlineStr">
        <is>
          <t>Vice-président, Île-du-Prince-Édouard</t>
        </is>
      </c>
      <c r="E4007" t="inlineStr">
        <is>
          <t>Patrick Dorsey</t>
        </is>
      </c>
      <c r="F4007" t="inlineStr">
        <is>
          <t>Executive Committee Meeting</t>
        </is>
      </c>
      <c r="G4007" t="inlineStr">
        <is>
          <t>Réunion du Comité de direction</t>
        </is>
      </c>
      <c r="H4007" s="1" t="n">
        <v>40589</v>
      </c>
      <c r="I4007" s="1" t="n">
        <v>40591</v>
      </c>
      <c r="J4007" t="inlineStr">
        <is>
          <t>Ottawa, Ontario</t>
        </is>
      </c>
      <c r="K4007" t="inlineStr">
        <is>
          <t>Ottawa (Ontario)</t>
        </is>
      </c>
      <c r="P4007" t="n">
        <v>1492.08</v>
      </c>
      <c r="Q4007" t="n">
        <v>93</v>
      </c>
      <c r="R4007" t="n">
        <v>350.3</v>
      </c>
      <c r="S4007" t="n">
        <v>173.8</v>
      </c>
      <c r="T4007" t="n">
        <v>0</v>
      </c>
      <c r="U4007" t="n">
        <v>2109.18</v>
      </c>
      <c r="X4007" t="inlineStr">
        <is>
          <t>acoa-apeca</t>
        </is>
      </c>
      <c r="Y4007" t="inlineStr">
        <is>
          <t>Atlantic Canada Opportunities Agency | Agence de promotion économique du Canada atlantique</t>
        </is>
      </c>
      <c r="Z4007" t="n">
        <v>3</v>
      </c>
      <c r="AA4007" t="n">
        <v>2109.18</v>
      </c>
      <c r="AB4007">
        <f>ROUND(U4007-AA4007,2)</f>
        <v/>
      </c>
      <c r="AC4007" t="b">
        <v>0</v>
      </c>
      <c r="AD4007">
        <f>IF(U4007="","MISSING_TOTAL",IF(ABS(AB4007)&lt;=0.01,"OK","CHECK"))</f>
        <v/>
      </c>
      <c r="AE4007">
        <f>IF(U4007="","MISSING",IF(AND(AA4007&gt;0,U4007/AA4007&gt;50),"POSSIBLE_SCALE_ERROR","OK"))</f>
        <v/>
      </c>
    </row>
    <row r="4008">
      <c r="A4008" t="inlineStr">
        <is>
          <t>T-2011-Q4-00061</t>
        </is>
      </c>
      <c r="B4008" t="inlineStr">
        <is>
          <t>SLE</t>
        </is>
      </c>
      <c r="C4008" t="inlineStr">
        <is>
          <t>Vice-President, Finance and Corporate Services</t>
        </is>
      </c>
      <c r="D4008" t="inlineStr">
        <is>
          <t>Vice-présidente, Finances et Services corporatifs</t>
        </is>
      </c>
      <c r="E4008" t="inlineStr">
        <is>
          <t>Denise Frenette</t>
        </is>
      </c>
      <c r="F4008" t="inlineStr">
        <is>
          <t>Meetings with Government of Canada Officials and Agency Officials</t>
        </is>
      </c>
      <c r="G4008" t="inlineStr">
        <is>
          <t>Réunions avec des fonctionnaires du gouvernement du Canada et de l'Agence</t>
        </is>
      </c>
      <c r="H4008" s="1" t="n">
        <v>40589</v>
      </c>
      <c r="I4008" s="1" t="n">
        <v>40591</v>
      </c>
      <c r="J4008" t="inlineStr">
        <is>
          <t>Ottawa, Ontario</t>
        </is>
      </c>
      <c r="K4008" t="inlineStr">
        <is>
          <t>Ottawa (Ontario)</t>
        </is>
      </c>
      <c r="P4008" t="n">
        <v>966</v>
      </c>
      <c r="Q4008" t="n">
        <v>73</v>
      </c>
      <c r="R4008" t="n">
        <v>348.04</v>
      </c>
      <c r="S4008" t="n">
        <v>183.4</v>
      </c>
      <c r="T4008" t="n">
        <v>0</v>
      </c>
      <c r="U4008" t="n">
        <v>1570.44</v>
      </c>
      <c r="X4008" t="inlineStr">
        <is>
          <t>acoa-apeca</t>
        </is>
      </c>
      <c r="Y4008" t="inlineStr">
        <is>
          <t>Atlantic Canada Opportunities Agency | Agence de promotion économique du Canada atlantique</t>
        </is>
      </c>
      <c r="Z4008" t="n">
        <v>3</v>
      </c>
      <c r="AA4008" t="n">
        <v>1570.44</v>
      </c>
      <c r="AB4008">
        <f>ROUND(U4008-AA4008,2)</f>
        <v/>
      </c>
      <c r="AC4008" t="b">
        <v>0</v>
      </c>
      <c r="AD4008">
        <f>IF(U4008="","MISSING_TOTAL",IF(ABS(AB4008)&lt;=0.01,"OK","CHECK"))</f>
        <v/>
      </c>
      <c r="AE4008">
        <f>IF(U4008="","MISSING",IF(AND(AA4008&gt;0,U4008/AA4008&gt;50),"POSSIBLE_SCALE_ERROR","OK"))</f>
        <v/>
      </c>
    </row>
    <row r="4009">
      <c r="A4009" t="inlineStr">
        <is>
          <t>T-2011-Q4-00059</t>
        </is>
      </c>
      <c r="B4009" t="inlineStr">
        <is>
          <t>SLE</t>
        </is>
      </c>
      <c r="C4009" t="inlineStr">
        <is>
          <t>Vice-President, Newfoundland and Labrador</t>
        </is>
      </c>
      <c r="D4009" t="inlineStr">
        <is>
          <t>Vice-président, Terre-Neuve-et-Labrador</t>
        </is>
      </c>
      <c r="E4009" t="inlineStr">
        <is>
          <t>Paul Mills</t>
        </is>
      </c>
      <c r="F4009" t="inlineStr">
        <is>
          <t>To attend EXCOM Meeting in Ottawa, Feb. 15-17, 2011</t>
        </is>
      </c>
      <c r="G4009" t="inlineStr">
        <is>
          <t>Pour participer à la réunion du Comité de direction, du 15 au 17 février 2011, à Ottawa</t>
        </is>
      </c>
      <c r="H4009" s="1" t="n">
        <v>40589</v>
      </c>
      <c r="I4009" s="1" t="n">
        <v>40591</v>
      </c>
      <c r="J4009" t="inlineStr">
        <is>
          <t>Ottawa, ON</t>
        </is>
      </c>
      <c r="K4009" t="inlineStr">
        <is>
          <t>Ottawa (Ontario)</t>
        </is>
      </c>
      <c r="P4009" t="n">
        <v>1264.76</v>
      </c>
      <c r="Q4009" t="n">
        <v>152</v>
      </c>
      <c r="R4009" t="n">
        <v>348.04</v>
      </c>
      <c r="S4009" t="n">
        <v>207.64</v>
      </c>
      <c r="T4009" t="n">
        <v>8.93</v>
      </c>
      <c r="U4009" t="n">
        <v>1981.37</v>
      </c>
      <c r="X4009" t="inlineStr">
        <is>
          <t>acoa-apeca</t>
        </is>
      </c>
      <c r="Y4009" t="inlineStr">
        <is>
          <t>Atlantic Canada Opportunities Agency | Agence de promotion économique du Canada atlantique</t>
        </is>
      </c>
      <c r="Z4009" t="n">
        <v>3</v>
      </c>
      <c r="AA4009" t="n">
        <v>1981.37</v>
      </c>
      <c r="AB4009">
        <f>ROUND(U4009-AA4009,2)</f>
        <v/>
      </c>
      <c r="AC4009" t="b">
        <v>0</v>
      </c>
      <c r="AD4009">
        <f>IF(U4009="","MISSING_TOTAL",IF(ABS(AB4009)&lt;=0.01,"OK","CHECK"))</f>
        <v/>
      </c>
      <c r="AE4009">
        <f>IF(U4009="","MISSING",IF(AND(AA4009&gt;0,U4009/AA4009&gt;50),"POSSIBLE_SCALE_ERROR","OK"))</f>
        <v/>
      </c>
    </row>
    <row r="4010">
      <c r="A4010" t="inlineStr">
        <is>
          <t>T-2011-Q4-00058</t>
        </is>
      </c>
      <c r="B4010" t="inlineStr">
        <is>
          <t>SLE</t>
        </is>
      </c>
      <c r="C4010" t="inlineStr">
        <is>
          <t>President</t>
        </is>
      </c>
      <c r="D4010" t="inlineStr">
        <is>
          <t>Président</t>
        </is>
      </c>
      <c r="E4010" t="inlineStr">
        <is>
          <t>Paul J. LeBlanc</t>
        </is>
      </c>
      <c r="F4010" t="inlineStr">
        <is>
          <t>For various meetings and discussions with Agency and Government of Canada officials</t>
        </is>
      </c>
      <c r="G4010" t="inlineStr">
        <is>
          <t>Diverses réunions et discussions avec des fonctionnaires de l'Agence et du gouvernement du Canada</t>
        </is>
      </c>
      <c r="H4010" s="1" t="n">
        <v>40589</v>
      </c>
      <c r="I4010" s="1" t="n">
        <v>40591</v>
      </c>
      <c r="J4010" t="inlineStr">
        <is>
          <t>Ottawa, Ontario</t>
        </is>
      </c>
      <c r="K4010" t="inlineStr">
        <is>
          <t>Ottawa (Onratio)</t>
        </is>
      </c>
      <c r="P4010" t="n">
        <v>881.85</v>
      </c>
      <c r="Q4010" t="n">
        <v>0</v>
      </c>
      <c r="R4010" t="n">
        <v>348.04</v>
      </c>
      <c r="S4010" t="n">
        <v>198.2</v>
      </c>
      <c r="T4010" t="n">
        <v>99.38</v>
      </c>
      <c r="U4010" t="n">
        <v>1527.47</v>
      </c>
      <c r="X4010" t="inlineStr">
        <is>
          <t>acoa-apeca</t>
        </is>
      </c>
      <c r="Y4010" t="inlineStr">
        <is>
          <t>Atlantic Canada Opportunities Agency | Agence de promotion économique du Canada atlantique</t>
        </is>
      </c>
      <c r="Z4010" t="n">
        <v>3</v>
      </c>
      <c r="AA4010" t="n">
        <v>1527.47</v>
      </c>
      <c r="AB4010">
        <f>ROUND(U4010-AA4010,2)</f>
        <v/>
      </c>
      <c r="AC4010" t="b">
        <v>0</v>
      </c>
      <c r="AD4010">
        <f>IF(U4010="","MISSING_TOTAL",IF(ABS(AB4010)&lt;=0.01,"OK","CHECK"))</f>
        <v/>
      </c>
      <c r="AE4010">
        <f>IF(U4010="","MISSING",IF(AND(AA4010&gt;0,U4010/AA4010&gt;50),"POSSIBLE_SCALE_ERROR","OK"))</f>
        <v/>
      </c>
    </row>
    <row r="4011">
      <c r="A4011" t="inlineStr">
        <is>
          <t>T-2011-Q4-00056</t>
        </is>
      </c>
      <c r="B4011" t="inlineStr">
        <is>
          <t>SLE</t>
        </is>
      </c>
      <c r="C4011" t="inlineStr">
        <is>
          <t>Vice President, Nova Scotia</t>
        </is>
      </c>
      <c r="D4011" t="inlineStr">
        <is>
          <t>Vice-président, Nouvelle-Écosse</t>
        </is>
      </c>
      <c r="E4011" t="inlineStr">
        <is>
          <t>Peter Hogan</t>
        </is>
      </c>
      <c r="F4011" t="inlineStr">
        <is>
          <t>Atlantic Gateway Officials Committee and Various Meetings with Agency and Goverment of Canada Officials</t>
        </is>
      </c>
      <c r="G4011" t="inlineStr">
        <is>
          <t>Comité des représentants de la Porte de l'Atlantique et diverses réunions avec des fonctionnaires de l'Agence et du gouvernement du Canada</t>
        </is>
      </c>
      <c r="H4011" s="1" t="n">
        <v>40588</v>
      </c>
      <c r="I4011" s="1" t="n">
        <v>40591</v>
      </c>
      <c r="J4011" t="inlineStr">
        <is>
          <t>Moncton, New Brunswick; Ottawa, Ontario</t>
        </is>
      </c>
      <c r="K4011" t="inlineStr">
        <is>
          <t>Moncton (Nouveau-Brusnwick), Ottawa (Ontario)</t>
        </is>
      </c>
      <c r="P4011" t="n">
        <v>1749.99</v>
      </c>
      <c r="Q4011" t="n">
        <v>218.4</v>
      </c>
      <c r="R4011" t="n">
        <v>493.81</v>
      </c>
      <c r="S4011" t="n">
        <v>205.9</v>
      </c>
      <c r="T4011" t="n">
        <v>0</v>
      </c>
      <c r="U4011" t="n">
        <v>2668.1</v>
      </c>
      <c r="X4011" t="inlineStr">
        <is>
          <t>acoa-apeca</t>
        </is>
      </c>
      <c r="Y4011" t="inlineStr">
        <is>
          <t>Atlantic Canada Opportunities Agency | Agence de promotion économique du Canada atlantique</t>
        </is>
      </c>
      <c r="Z4011" t="n">
        <v>4</v>
      </c>
      <c r="AA4011" t="n">
        <v>2668.1</v>
      </c>
      <c r="AB4011">
        <f>ROUND(U4011-AA4011,2)</f>
        <v/>
      </c>
      <c r="AC4011" t="b">
        <v>0</v>
      </c>
      <c r="AD4011">
        <f>IF(U4011="","MISSING_TOTAL",IF(ABS(AB4011)&lt;=0.01,"OK","CHECK"))</f>
        <v/>
      </c>
      <c r="AE4011">
        <f>IF(U4011="","MISSING",IF(AND(AA4011&gt;0,U4011/AA4011&gt;50),"POSSIBLE_SCALE_ERROR","OK"))</f>
        <v/>
      </c>
    </row>
    <row r="4012">
      <c r="A4012" t="inlineStr">
        <is>
          <t>T-2011-Q4-00055</t>
        </is>
      </c>
      <c r="B4012" t="inlineStr">
        <is>
          <t>SLE</t>
        </is>
      </c>
      <c r="C4012" t="inlineStr">
        <is>
          <t>Vice-President, Finance and Corporate Services</t>
        </is>
      </c>
      <c r="D4012" t="inlineStr">
        <is>
          <t>Vice-présidente, Finances et Services corporatifs</t>
        </is>
      </c>
      <c r="E4012" t="inlineStr">
        <is>
          <t>Denise Frenette</t>
        </is>
      </c>
      <c r="F4012" t="inlineStr">
        <is>
          <t>Meetings with Agency Officials</t>
        </is>
      </c>
      <c r="G4012" t="inlineStr">
        <is>
          <t>Réunions avec des fonctionnaires de l'Agence</t>
        </is>
      </c>
      <c r="H4012" s="1" t="n">
        <v>40588</v>
      </c>
      <c r="I4012" s="1" t="n">
        <v>40588</v>
      </c>
      <c r="J4012" t="inlineStr">
        <is>
          <t>Fredericton, New Brunswick</t>
        </is>
      </c>
      <c r="K4012" t="inlineStr">
        <is>
          <t>Fredericton (Nouveau-Brunswick)</t>
        </is>
      </c>
      <c r="P4012" t="n">
        <v>0</v>
      </c>
      <c r="Q4012" t="n">
        <v>0</v>
      </c>
      <c r="R4012" t="n">
        <v>0</v>
      </c>
      <c r="S4012" t="n">
        <v>13.9</v>
      </c>
      <c r="T4012" t="n">
        <v>0</v>
      </c>
      <c r="U4012" t="n">
        <v>13.9</v>
      </c>
      <c r="X4012" t="inlineStr">
        <is>
          <t>acoa-apeca</t>
        </is>
      </c>
      <c r="Y4012" t="inlineStr">
        <is>
          <t>Atlantic Canada Opportunities Agency | Agence de promotion économique du Canada atlantique</t>
        </is>
      </c>
      <c r="Z4012" t="n">
        <v>1</v>
      </c>
      <c r="AA4012" t="n">
        <v>13.9</v>
      </c>
      <c r="AB4012">
        <f>ROUND(U4012-AA4012,2)</f>
        <v/>
      </c>
      <c r="AC4012" t="b">
        <v>0</v>
      </c>
      <c r="AD4012">
        <f>IF(U4012="","MISSING_TOTAL",IF(ABS(AB4012)&lt;=0.01,"OK","CHECK"))</f>
        <v/>
      </c>
      <c r="AE4012">
        <f>IF(U4012="","MISSING",IF(AND(AA4012&gt;0,U4012/AA4012&gt;50),"POSSIBLE_SCALE_ERROR","OK"))</f>
        <v/>
      </c>
    </row>
    <row r="4013">
      <c r="A4013" t="inlineStr">
        <is>
          <t>T-2011-Q4-00054</t>
        </is>
      </c>
      <c r="B4013" t="inlineStr">
        <is>
          <t>SLE</t>
        </is>
      </c>
      <c r="C4013" t="inlineStr">
        <is>
          <t>Vice President, Nova Scotia</t>
        </is>
      </c>
      <c r="D4013" t="inlineStr">
        <is>
          <t>Vice-président, Nouvelle-Écosse</t>
        </is>
      </c>
      <c r="E4013" t="inlineStr">
        <is>
          <t>Peter Hogan</t>
        </is>
      </c>
      <c r="F4013" t="inlineStr">
        <is>
          <t>Meeting with Government of Canada Officials</t>
        </is>
      </c>
      <c r="G4013" t="inlineStr">
        <is>
          <t>Réunion avec des fonctionnaires du gouvernement du Canada</t>
        </is>
      </c>
      <c r="H4013" s="1" t="n">
        <v>40583</v>
      </c>
      <c r="I4013" s="1" t="n">
        <v>40584</v>
      </c>
      <c r="J4013" t="inlineStr">
        <is>
          <t>Ottawa, Ontario</t>
        </is>
      </c>
      <c r="K4013" t="inlineStr">
        <is>
          <t>Ottawa (Ontario)</t>
        </is>
      </c>
      <c r="P4013" t="n">
        <v>173.25</v>
      </c>
      <c r="Q4013" t="n">
        <v>206.4</v>
      </c>
      <c r="R4013" t="n">
        <v>174.02</v>
      </c>
      <c r="S4013" t="n">
        <v>131.2</v>
      </c>
      <c r="T4013" t="n">
        <v>0</v>
      </c>
      <c r="U4013" t="n">
        <v>684.87</v>
      </c>
      <c r="X4013" t="inlineStr">
        <is>
          <t>acoa-apeca</t>
        </is>
      </c>
      <c r="Y4013" t="inlineStr">
        <is>
          <t>Atlantic Canada Opportunities Agency | Agence de promotion économique du Canada atlantique</t>
        </is>
      </c>
      <c r="Z4013" t="n">
        <v>2</v>
      </c>
      <c r="AA4013" t="n">
        <v>684.869999999999</v>
      </c>
      <c r="AB4013">
        <f>ROUND(U4013-AA4013,2)</f>
        <v/>
      </c>
      <c r="AC4013" t="b">
        <v>0</v>
      </c>
      <c r="AD4013">
        <f>IF(U4013="","MISSING_TOTAL",IF(ABS(AB4013)&lt;=0.01,"OK","CHECK"))</f>
        <v/>
      </c>
      <c r="AE4013">
        <f>IF(U4013="","MISSING",IF(AND(AA4013&gt;0,U4013/AA4013&gt;50),"POSSIBLE_SCALE_ERROR","OK"))</f>
        <v/>
      </c>
    </row>
    <row r="4014">
      <c r="A4014" t="inlineStr">
        <is>
          <t>T-2011-Q4-00053</t>
        </is>
      </c>
      <c r="B4014" t="inlineStr">
        <is>
          <t>SLE</t>
        </is>
      </c>
      <c r="C4014" t="inlineStr">
        <is>
          <t>President</t>
        </is>
      </c>
      <c r="D4014" t="inlineStr">
        <is>
          <t>Président</t>
        </is>
      </c>
      <c r="E4014" t="inlineStr">
        <is>
          <t>Paul J. LeBlanc</t>
        </is>
      </c>
      <c r="F4014" t="inlineStr">
        <is>
          <t>For meetings and discussions with various Agency and Government of Canada officials</t>
        </is>
      </c>
      <c r="G4014" t="inlineStr">
        <is>
          <t>Réunions et discussions avec divers fonctionnaires de l'Agence et du gouvernement du Canada</t>
        </is>
      </c>
      <c r="H4014" s="1" t="n">
        <v>40582</v>
      </c>
      <c r="I4014" s="1" t="n">
        <v>40584</v>
      </c>
      <c r="J4014" t="inlineStr">
        <is>
          <t>Ottawa, Ontario</t>
        </is>
      </c>
      <c r="K4014" t="inlineStr">
        <is>
          <t>Ottawa (Ontario)</t>
        </is>
      </c>
      <c r="P4014" t="n">
        <v>763.2</v>
      </c>
      <c r="Q4014" t="n">
        <v>0</v>
      </c>
      <c r="R4014" t="n">
        <v>348.04</v>
      </c>
      <c r="S4014" t="n">
        <v>158.1</v>
      </c>
      <c r="T4014" t="n">
        <v>0</v>
      </c>
      <c r="U4014" t="n">
        <v>1269.34</v>
      </c>
      <c r="X4014" t="inlineStr">
        <is>
          <t>acoa-apeca</t>
        </is>
      </c>
      <c r="Y4014" t="inlineStr">
        <is>
          <t>Atlantic Canada Opportunities Agency | Agence de promotion économique du Canada atlantique</t>
        </is>
      </c>
      <c r="Z4014" t="n">
        <v>3</v>
      </c>
      <c r="AA4014" t="n">
        <v>1269.34</v>
      </c>
      <c r="AB4014">
        <f>ROUND(U4014-AA4014,2)</f>
        <v/>
      </c>
      <c r="AC4014" t="b">
        <v>0</v>
      </c>
      <c r="AD4014">
        <f>IF(U4014="","MISSING_TOTAL",IF(ABS(AB4014)&lt;=0.01,"OK","CHECK"))</f>
        <v/>
      </c>
      <c r="AE4014">
        <f>IF(U4014="","MISSING",IF(AND(AA4014&gt;0,U4014/AA4014&gt;50),"POSSIBLE_SCALE_ERROR","OK"))</f>
        <v/>
      </c>
    </row>
    <row r="4015">
      <c r="A4015" t="inlineStr">
        <is>
          <t>T-2011-Q4-00051</t>
        </is>
      </c>
      <c r="B4015" t="inlineStr">
        <is>
          <t>SLE</t>
        </is>
      </c>
      <c r="C4015" t="inlineStr">
        <is>
          <t>Vice President, Nova Scotia</t>
        </is>
      </c>
      <c r="D4015" t="inlineStr">
        <is>
          <t>Vice-président, Nouvelle-Écosse</t>
        </is>
      </c>
      <c r="E4015" t="inlineStr">
        <is>
          <t>Peter Hogan</t>
        </is>
      </c>
      <c r="F4015" t="inlineStr">
        <is>
          <t>Nova Scotia Federal Council Event</t>
        </is>
      </c>
      <c r="G4015" t="inlineStr">
        <is>
          <t>Activité du Conseil fédéral de la Nouvelle-Écosse</t>
        </is>
      </c>
      <c r="H4015" s="1" t="n">
        <v>40576</v>
      </c>
      <c r="I4015" s="1" t="n">
        <v>40576</v>
      </c>
      <c r="J4015" t="inlineStr">
        <is>
          <t>Halifax, Nova Scotia</t>
        </is>
      </c>
      <c r="K4015" t="inlineStr">
        <is>
          <t>Halifax (Nouvelle-Écosse)</t>
        </is>
      </c>
      <c r="P4015" t="n">
        <v>0</v>
      </c>
      <c r="Q4015" t="n">
        <v>8</v>
      </c>
      <c r="R4015" t="n">
        <v>0</v>
      </c>
      <c r="S4015" t="n">
        <v>0</v>
      </c>
      <c r="T4015" t="n">
        <v>0</v>
      </c>
      <c r="U4015" t="n">
        <v>8</v>
      </c>
      <c r="X4015" t="inlineStr">
        <is>
          <t>acoa-apeca</t>
        </is>
      </c>
      <c r="Y4015" t="inlineStr">
        <is>
          <t>Atlantic Canada Opportunities Agency | Agence de promotion économique du Canada atlantique</t>
        </is>
      </c>
      <c r="Z4015" t="n">
        <v>1</v>
      </c>
      <c r="AA4015" t="n">
        <v>8</v>
      </c>
      <c r="AB4015">
        <f>ROUND(U4015-AA4015,2)</f>
        <v/>
      </c>
      <c r="AC4015" t="b">
        <v>0</v>
      </c>
      <c r="AD4015">
        <f>IF(U4015="","MISSING_TOTAL",IF(ABS(AB4015)&lt;=0.01,"OK","CHECK"))</f>
        <v/>
      </c>
      <c r="AE4015">
        <f>IF(U4015="","MISSING",IF(AND(AA4015&gt;0,U4015/AA4015&gt;50),"POSSIBLE_SCALE_ERROR","OK"))</f>
        <v/>
      </c>
    </row>
    <row r="4016">
      <c r="A4016" t="inlineStr">
        <is>
          <t>T-2011-Q4-00049</t>
        </is>
      </c>
      <c r="B4016" t="inlineStr">
        <is>
          <t>MPSES</t>
        </is>
      </c>
      <c r="C4016" t="inlineStr">
        <is>
          <t>Regional Affairs Director</t>
        </is>
      </c>
      <c r="D4016" t="inlineStr">
        <is>
          <t>Directeur des affaires régionales</t>
        </is>
      </c>
      <c r="E4016" t="inlineStr">
        <is>
          <t>Raymond Vogan</t>
        </is>
      </c>
      <c r="F4016" t="inlineStr">
        <is>
          <t>To attend regional related meetings</t>
        </is>
      </c>
      <c r="G4016" t="inlineStr">
        <is>
          <t>Pour participer à des réunions régionales sur des sujets connexes</t>
        </is>
      </c>
      <c r="H4016" s="1" t="n">
        <v>40574</v>
      </c>
      <c r="I4016" s="1" t="n">
        <v>40576</v>
      </c>
      <c r="J4016" t="inlineStr">
        <is>
          <t>Ottawa, Ontario</t>
        </is>
      </c>
      <c r="K4016" t="inlineStr">
        <is>
          <t>Ottawa (Ontario)</t>
        </is>
      </c>
      <c r="P4016" t="n">
        <v>661.08</v>
      </c>
      <c r="Q4016" t="n">
        <v>110</v>
      </c>
      <c r="R4016" t="n">
        <v>348.04</v>
      </c>
      <c r="S4016" t="n">
        <v>255.6</v>
      </c>
      <c r="T4016" t="n">
        <v>0</v>
      </c>
      <c r="U4016" t="n">
        <v>1374.72</v>
      </c>
      <c r="X4016" t="inlineStr">
        <is>
          <t>acoa-apeca</t>
        </is>
      </c>
      <c r="Y4016" t="inlineStr">
        <is>
          <t>Atlantic Canada Opportunities Agency | Agence de promotion économique du Canada atlantique</t>
        </is>
      </c>
      <c r="Z4016" t="n">
        <v>3</v>
      </c>
      <c r="AA4016" t="n">
        <v>1374.72</v>
      </c>
      <c r="AB4016">
        <f>ROUND(U4016-AA4016,2)</f>
        <v/>
      </c>
      <c r="AC4016" t="b">
        <v>0</v>
      </c>
      <c r="AD4016">
        <f>IF(U4016="","MISSING_TOTAL",IF(ABS(AB4016)&lt;=0.01,"OK","CHECK"))</f>
        <v/>
      </c>
      <c r="AE4016">
        <f>IF(U4016="","MISSING",IF(AND(AA4016&gt;0,U4016/AA4016&gt;50),"POSSIBLE_SCALE_ERROR","OK"))</f>
        <v/>
      </c>
    </row>
    <row r="4017">
      <c r="A4017" t="inlineStr">
        <is>
          <t>T-2011-Q4-00048</t>
        </is>
      </c>
      <c r="B4017" t="inlineStr">
        <is>
          <t>SLE</t>
        </is>
      </c>
      <c r="C4017" t="inlineStr">
        <is>
          <t>Vice-President, Finance and Corporate Services</t>
        </is>
      </c>
      <c r="D4017" t="inlineStr">
        <is>
          <t>Vice-présidente, Finances et Services corporatifs</t>
        </is>
      </c>
      <c r="E4017" t="inlineStr">
        <is>
          <t>Denise Frenette</t>
        </is>
      </c>
      <c r="F4017" t="inlineStr">
        <is>
          <t>Meetings with Government of Canada Officials and Agency Officials</t>
        </is>
      </c>
      <c r="G4017" t="inlineStr">
        <is>
          <t>Réunions avec des fonctionnaires du gouvernement du Canada et de l'Agence</t>
        </is>
      </c>
      <c r="H4017" s="1" t="n">
        <v>40569</v>
      </c>
      <c r="I4017" s="1" t="n">
        <v>40570</v>
      </c>
      <c r="J4017" t="inlineStr">
        <is>
          <t>Ottawa, Ontario</t>
        </is>
      </c>
      <c r="K4017" t="inlineStr">
        <is>
          <t>Ottawa (Ontario)</t>
        </is>
      </c>
      <c r="P4017" t="n">
        <v>966</v>
      </c>
      <c r="Q4017" t="n">
        <v>318</v>
      </c>
      <c r="R4017" t="n">
        <v>174.02</v>
      </c>
      <c r="S4017" t="n">
        <v>113</v>
      </c>
      <c r="T4017" t="n">
        <v>31.75</v>
      </c>
      <c r="U4017" t="n">
        <v>1602.77</v>
      </c>
      <c r="X4017" t="inlineStr">
        <is>
          <t>acoa-apeca</t>
        </is>
      </c>
      <c r="Y4017" t="inlineStr">
        <is>
          <t>Atlantic Canada Opportunities Agency | Agence de promotion économique du Canada atlantique</t>
        </is>
      </c>
      <c r="Z4017" t="n">
        <v>2</v>
      </c>
      <c r="AA4017" t="n">
        <v>1602.77</v>
      </c>
      <c r="AB4017">
        <f>ROUND(U4017-AA4017,2)</f>
        <v/>
      </c>
      <c r="AC4017" t="b">
        <v>0</v>
      </c>
      <c r="AD4017">
        <f>IF(U4017="","MISSING_TOTAL",IF(ABS(AB4017)&lt;=0.01,"OK","CHECK"))</f>
        <v/>
      </c>
      <c r="AE4017">
        <f>IF(U4017="","MISSING",IF(AND(AA4017&gt;0,U4017/AA4017&gt;50),"POSSIBLE_SCALE_ERROR","OK"))</f>
        <v/>
      </c>
    </row>
    <row r="4018">
      <c r="A4018" t="inlineStr">
        <is>
          <t>T-2011-Q4-00046</t>
        </is>
      </c>
      <c r="B4018" t="inlineStr">
        <is>
          <t>MPSES</t>
        </is>
      </c>
      <c r="C4018" t="inlineStr">
        <is>
          <t>Policy Advisor</t>
        </is>
      </c>
      <c r="D4018" t="inlineStr">
        <is>
          <t>Conseillère en politique</t>
        </is>
      </c>
      <c r="E4018" t="inlineStr">
        <is>
          <t>Guylaine Le Couteur</t>
        </is>
      </c>
      <c r="F4018" t="inlineStr">
        <is>
          <t>To attend various ACOA related meetings</t>
        </is>
      </c>
      <c r="G4018" t="inlineStr">
        <is>
          <t>Pour participer à diverses réunions de l'APECA</t>
        </is>
      </c>
      <c r="H4018" s="1" t="n">
        <v>40569</v>
      </c>
      <c r="I4018" s="1" t="n">
        <v>40572</v>
      </c>
      <c r="J4018" t="inlineStr">
        <is>
          <t>Fredericton and Bathurst. New Brunswick</t>
        </is>
      </c>
      <c r="K4018" t="inlineStr">
        <is>
          <t>Fredericton et Bathurst (Nouveau-Brunswick)</t>
        </is>
      </c>
      <c r="P4018" t="n">
        <v>1672.16</v>
      </c>
      <c r="Q4018" t="n">
        <v>289.8</v>
      </c>
      <c r="R4018" t="n">
        <v>296.34</v>
      </c>
      <c r="S4018" t="n">
        <v>286.8</v>
      </c>
      <c r="T4018" t="n">
        <v>0</v>
      </c>
      <c r="U4018" t="n">
        <v>2545.1</v>
      </c>
      <c r="X4018" t="inlineStr">
        <is>
          <t>acoa-apeca</t>
        </is>
      </c>
      <c r="Y4018" t="inlineStr">
        <is>
          <t>Atlantic Canada Opportunities Agency | Agence de promotion économique du Canada atlantique</t>
        </is>
      </c>
      <c r="Z4018" t="n">
        <v>4</v>
      </c>
      <c r="AA4018" t="n">
        <v>2545.1</v>
      </c>
      <c r="AB4018">
        <f>ROUND(U4018-AA4018,2)</f>
        <v/>
      </c>
      <c r="AC4018" t="b">
        <v>0</v>
      </c>
      <c r="AD4018">
        <f>IF(U4018="","MISSING_TOTAL",IF(ABS(AB4018)&lt;=0.01,"OK","CHECK"))</f>
        <v/>
      </c>
      <c r="AE4018">
        <f>IF(U4018="","MISSING",IF(AND(AA4018&gt;0,U4018/AA4018&gt;50),"POSSIBLE_SCALE_ERROR","OK"))</f>
        <v/>
      </c>
    </row>
    <row r="4019">
      <c r="A4019" t="inlineStr">
        <is>
          <t>T-2011-Q4-00045</t>
        </is>
      </c>
      <c r="B4019" t="inlineStr">
        <is>
          <t>SLE</t>
        </is>
      </c>
      <c r="C4019" t="inlineStr">
        <is>
          <t>President</t>
        </is>
      </c>
      <c r="D4019" t="inlineStr">
        <is>
          <t>Président</t>
        </is>
      </c>
      <c r="E4019" t="inlineStr">
        <is>
          <t>Paul J. LeBlanc</t>
        </is>
      </c>
      <c r="F4019" t="inlineStr">
        <is>
          <t>For meetings with Agency officials</t>
        </is>
      </c>
      <c r="G4019" t="inlineStr">
        <is>
          <t>Réunions avec des fonctionnaires de l'Agence</t>
        </is>
      </c>
      <c r="H4019" s="1" t="n">
        <v>40569</v>
      </c>
      <c r="I4019" s="1" t="n">
        <v>40571</v>
      </c>
      <c r="J4019" t="inlineStr">
        <is>
          <t>Fredericton, New Brunswick</t>
        </is>
      </c>
      <c r="K4019" t="inlineStr">
        <is>
          <t>Fredericton (Nouveau-Brunswick)</t>
        </is>
      </c>
      <c r="P4019" t="n">
        <v>0</v>
      </c>
      <c r="Q4019" t="n">
        <v>0</v>
      </c>
      <c r="R4019" t="n">
        <v>291.54</v>
      </c>
      <c r="S4019" t="n">
        <v>176.76</v>
      </c>
      <c r="T4019" t="n">
        <v>113</v>
      </c>
      <c r="U4019" t="n">
        <v>581.3</v>
      </c>
      <c r="X4019" t="inlineStr">
        <is>
          <t>acoa-apeca</t>
        </is>
      </c>
      <c r="Y4019" t="inlineStr">
        <is>
          <t>Atlantic Canada Opportunities Agency | Agence de promotion économique du Canada atlantique</t>
        </is>
      </c>
      <c r="Z4019" t="n">
        <v>3</v>
      </c>
      <c r="AA4019" t="n">
        <v>581.3</v>
      </c>
      <c r="AB4019">
        <f>ROUND(U4019-AA4019,2)</f>
        <v/>
      </c>
      <c r="AC4019" t="b">
        <v>0</v>
      </c>
      <c r="AD4019">
        <f>IF(U4019="","MISSING_TOTAL",IF(ABS(AB4019)&lt;=0.01,"OK","CHECK"))</f>
        <v/>
      </c>
      <c r="AE4019">
        <f>IF(U4019="","MISSING",IF(AND(AA4019&gt;0,U4019/AA4019&gt;50),"POSSIBLE_SCALE_ERROR","OK"))</f>
        <v/>
      </c>
    </row>
    <row r="4020">
      <c r="A4020" t="inlineStr">
        <is>
          <t>T-2011-Q4-00044</t>
        </is>
      </c>
      <c r="B4020" t="inlineStr">
        <is>
          <t>MPSES</t>
        </is>
      </c>
      <c r="C4020" t="inlineStr">
        <is>
          <t>Deputy Chief of Staff</t>
        </is>
      </c>
      <c r="D4020" t="inlineStr">
        <is>
          <t>Chef de cabinet adjoint</t>
        </is>
      </c>
      <c r="E4020" t="inlineStr">
        <is>
          <t>Kevin MacAdam</t>
        </is>
      </c>
      <c r="F4020" t="inlineStr">
        <is>
          <t>To attend meetings on regional priorities with provinces of NS, NFLD and meetings with ACOA officials</t>
        </is>
      </c>
      <c r="G4020" t="inlineStr">
        <is>
          <t>Réunions sur les priorités régionales avec la N.-É. et T.-N.-L.; et réunions avec des fonctionnaires de l'Agence</t>
        </is>
      </c>
      <c r="H4020" s="1" t="n">
        <v>40568</v>
      </c>
      <c r="I4020" s="1" t="n">
        <v>40573</v>
      </c>
      <c r="J4020" t="inlineStr">
        <is>
          <t>Halifax, Nova Scotia -  Charlottetown, Prince Edward Island</t>
        </is>
      </c>
      <c r="K4020" t="inlineStr">
        <is>
          <t>Halifax (Nouvelle-Écosse), Charlottetown (Île-du-Prince-Édouard)</t>
        </is>
      </c>
      <c r="P4020" t="n">
        <v>697.9</v>
      </c>
      <c r="Q4020" t="n">
        <v>0</v>
      </c>
      <c r="R4020" t="n">
        <v>352.49</v>
      </c>
      <c r="S4020" t="n">
        <v>116.4</v>
      </c>
      <c r="T4020" t="n">
        <v>0</v>
      </c>
      <c r="U4020" t="n">
        <v>1166.79</v>
      </c>
      <c r="X4020" t="inlineStr">
        <is>
          <t>acoa-apeca</t>
        </is>
      </c>
      <c r="Y4020" t="inlineStr">
        <is>
          <t>Atlantic Canada Opportunities Agency | Agence de promotion économique du Canada atlantique</t>
        </is>
      </c>
      <c r="Z4020" t="n">
        <v>6</v>
      </c>
      <c r="AA4020" t="n">
        <v>1166.79</v>
      </c>
      <c r="AB4020">
        <f>ROUND(U4020-AA4020,2)</f>
        <v/>
      </c>
      <c r="AC4020" t="b">
        <v>0</v>
      </c>
      <c r="AD4020">
        <f>IF(U4020="","MISSING_TOTAL",IF(ABS(AB4020)&lt;=0.01,"OK","CHECK"))</f>
        <v/>
      </c>
      <c r="AE4020">
        <f>IF(U4020="","MISSING",IF(AND(AA4020&gt;0,U4020/AA4020&gt;50),"POSSIBLE_SCALE_ERROR","OK"))</f>
        <v/>
      </c>
    </row>
    <row r="4021">
      <c r="A4021" t="inlineStr">
        <is>
          <t>T-2011-Q4-00043</t>
        </is>
      </c>
      <c r="B4021" t="inlineStr">
        <is>
          <t>SLE</t>
        </is>
      </c>
      <c r="C4021" t="inlineStr">
        <is>
          <t>Vice-President, New Brunswick</t>
        </is>
      </c>
      <c r="D4021" t="inlineStr">
        <is>
          <t>Vice-présidente, Nouveau-Brunswick</t>
        </is>
      </c>
      <c r="E4021" t="inlineStr">
        <is>
          <t>Janet Gagnon</t>
        </is>
      </c>
      <c r="F4021" t="inlineStr">
        <is>
          <t>To attend the Official Languages Event "Dialoguing With the Community"</t>
        </is>
      </c>
      <c r="G4021" t="inlineStr">
        <is>
          <t>Pour partifciper à l'activité "En dialogue avec la communauté" portant sur les langues officielles</t>
        </is>
      </c>
      <c r="H4021" s="1" t="n">
        <v>40568</v>
      </c>
      <c r="I4021" s="1" t="n">
        <v>40569</v>
      </c>
      <c r="J4021" t="inlineStr">
        <is>
          <t>Moncton, New Brunswick</t>
        </is>
      </c>
      <c r="K4021" t="inlineStr">
        <is>
          <t>Moncton (Nouveau-Brunswick)</t>
        </is>
      </c>
      <c r="P4021" t="n">
        <v>0</v>
      </c>
      <c r="Q4021" t="n">
        <v>0</v>
      </c>
      <c r="R4021" t="n">
        <v>124.24</v>
      </c>
      <c r="S4021" t="n">
        <v>127.8</v>
      </c>
      <c r="T4021" t="n">
        <v>0</v>
      </c>
      <c r="U4021" t="n">
        <v>252.04</v>
      </c>
      <c r="X4021" t="inlineStr">
        <is>
          <t>acoa-apeca</t>
        </is>
      </c>
      <c r="Y4021" t="inlineStr">
        <is>
          <t>Atlantic Canada Opportunities Agency | Agence de promotion économique du Canada atlantique</t>
        </is>
      </c>
      <c r="Z4021" t="n">
        <v>2</v>
      </c>
      <c r="AA4021" t="n">
        <v>252.04</v>
      </c>
      <c r="AB4021">
        <f>ROUND(U4021-AA4021,2)</f>
        <v/>
      </c>
      <c r="AC4021" t="b">
        <v>0</v>
      </c>
      <c r="AD4021">
        <f>IF(U4021="","MISSING_TOTAL",IF(ABS(AB4021)&lt;=0.01,"OK","CHECK"))</f>
        <v/>
      </c>
      <c r="AE4021">
        <f>IF(U4021="","MISSING",IF(AND(AA4021&gt;0,U4021/AA4021&gt;50),"POSSIBLE_SCALE_ERROR","OK"))</f>
        <v/>
      </c>
    </row>
    <row r="4022">
      <c r="A4022" t="inlineStr">
        <is>
          <t>T-2011-Q4-00042</t>
        </is>
      </c>
      <c r="B4022" t="inlineStr">
        <is>
          <t>MPSES</t>
        </is>
      </c>
      <c r="C4022" t="inlineStr">
        <is>
          <t>Special Assistant</t>
        </is>
      </c>
      <c r="D4022" t="inlineStr">
        <is>
          <t>Adjointe spéciale</t>
        </is>
      </c>
      <c r="E4022" t="inlineStr">
        <is>
          <t>Heather Domereckyj</t>
        </is>
      </c>
      <c r="F4022" t="inlineStr">
        <is>
          <t>To attend Elekta Neuromag Official Opening with Minister</t>
        </is>
      </c>
      <c r="G4022" t="inlineStr">
        <is>
          <t>Pour participer l'inauguration de Elekta Neuromag en compagnie du ministre</t>
        </is>
      </c>
      <c r="H4022" s="1" t="n">
        <v>40566</v>
      </c>
      <c r="I4022" s="1" t="n">
        <v>40569</v>
      </c>
      <c r="J4022" t="inlineStr">
        <is>
          <t>Halifax, Nova Scotia</t>
        </is>
      </c>
      <c r="K4022" t="inlineStr">
        <is>
          <t>Halifax (Nouvelle-Écosse)</t>
        </is>
      </c>
      <c r="P4022" t="n">
        <v>1404.15</v>
      </c>
      <c r="Q4022" t="n">
        <v>69.43000000000001</v>
      </c>
      <c r="R4022" t="n">
        <v>404.7</v>
      </c>
      <c r="S4022" t="n">
        <v>326</v>
      </c>
      <c r="T4022" t="n">
        <v>0</v>
      </c>
      <c r="U4022" t="n">
        <v>2204.28</v>
      </c>
      <c r="X4022" t="inlineStr">
        <is>
          <t>acoa-apeca</t>
        </is>
      </c>
      <c r="Y4022" t="inlineStr">
        <is>
          <t>Atlantic Canada Opportunities Agency | Agence de promotion économique du Canada atlantique</t>
        </is>
      </c>
      <c r="Z4022" t="n">
        <v>4</v>
      </c>
      <c r="AA4022" t="n">
        <v>2204.28</v>
      </c>
      <c r="AB4022">
        <f>ROUND(U4022-AA4022,2)</f>
        <v/>
      </c>
      <c r="AC4022" t="b">
        <v>0</v>
      </c>
      <c r="AD4022">
        <f>IF(U4022="","MISSING_TOTAL",IF(ABS(AB4022)&lt;=0.01,"OK","CHECK"))</f>
        <v/>
      </c>
      <c r="AE4022">
        <f>IF(U4022="","MISSING",IF(AND(AA4022&gt;0,U4022/AA4022&gt;50),"POSSIBLE_SCALE_ERROR","OK"))</f>
        <v/>
      </c>
    </row>
    <row r="4023">
      <c r="A4023" t="inlineStr">
        <is>
          <t>T-2011-Q4-00041</t>
        </is>
      </c>
      <c r="B4023" t="inlineStr">
        <is>
          <t>MPSES</t>
        </is>
      </c>
      <c r="C4023" t="inlineStr">
        <is>
          <t>Regional Affairs Director</t>
        </is>
      </c>
      <c r="D4023" t="inlineStr">
        <is>
          <t>Directeur des affaires régionales</t>
        </is>
      </c>
      <c r="E4023" t="inlineStr">
        <is>
          <t>Raymond Vogan</t>
        </is>
      </c>
      <c r="F4023" t="inlineStr">
        <is>
          <t>To attend Regional Affairs meetings with Minister</t>
        </is>
      </c>
      <c r="G4023" t="inlineStr">
        <is>
          <t>Pour participer à des réunions sur des questions régionales en compagnie du ministre</t>
        </is>
      </c>
      <c r="H4023" s="1" t="n">
        <v>40566</v>
      </c>
      <c r="I4023" s="1" t="n">
        <v>40569</v>
      </c>
      <c r="J4023" t="inlineStr">
        <is>
          <t>Halifax, Nova Scotia</t>
        </is>
      </c>
      <c r="K4023" t="inlineStr">
        <is>
          <t>Halifax (Nouvelle-Écosse)</t>
        </is>
      </c>
      <c r="P4023" t="n">
        <v>0</v>
      </c>
      <c r="Q4023" t="n">
        <v>0</v>
      </c>
      <c r="R4023" t="n">
        <v>404.7</v>
      </c>
      <c r="S4023" t="n">
        <v>262.4</v>
      </c>
      <c r="T4023" t="n">
        <v>0</v>
      </c>
      <c r="U4023" t="n">
        <v>667.1</v>
      </c>
      <c r="X4023" t="inlineStr">
        <is>
          <t>acoa-apeca</t>
        </is>
      </c>
      <c r="Y4023" t="inlineStr">
        <is>
          <t>Atlantic Canada Opportunities Agency | Agence de promotion économique du Canada atlantique</t>
        </is>
      </c>
      <c r="Z4023" t="n">
        <v>4</v>
      </c>
      <c r="AA4023" t="n">
        <v>667.099999999999</v>
      </c>
      <c r="AB4023">
        <f>ROUND(U4023-AA4023,2)</f>
        <v/>
      </c>
      <c r="AC4023" t="b">
        <v>0</v>
      </c>
      <c r="AD4023">
        <f>IF(U4023="","MISSING_TOTAL",IF(ABS(AB4023)&lt;=0.01,"OK","CHECK"))</f>
        <v/>
      </c>
      <c r="AE4023">
        <f>IF(U4023="","MISSING",IF(AND(AA4023&gt;0,U4023/AA4023&gt;50),"POSSIBLE_SCALE_ERROR","OK"))</f>
        <v/>
      </c>
    </row>
    <row r="4024">
      <c r="A4024" t="inlineStr">
        <is>
          <t>T-2011-Q4-00038</t>
        </is>
      </c>
      <c r="B4024" t="inlineStr">
        <is>
          <t>SLE</t>
        </is>
      </c>
      <c r="C4024" t="inlineStr">
        <is>
          <t>Vice-President, New Brunswick</t>
        </is>
      </c>
      <c r="D4024" t="inlineStr">
        <is>
          <t>Vice-présidente, Nouveau-Brunswick</t>
        </is>
      </c>
      <c r="E4024" t="inlineStr">
        <is>
          <t>Janet Gagnon</t>
        </is>
      </c>
      <c r="F4024" t="inlineStr">
        <is>
          <t>To attend a meeting with the City of Moncton</t>
        </is>
      </c>
      <c r="G4024" t="inlineStr">
        <is>
          <t>Pour participer à une réunion avec la Ville de Moncton</t>
        </is>
      </c>
      <c r="H4024" s="1" t="n">
        <v>40561</v>
      </c>
      <c r="I4024" s="1" t="n">
        <v>40561</v>
      </c>
      <c r="J4024" t="inlineStr">
        <is>
          <t>Moncton, New Brunswick</t>
        </is>
      </c>
      <c r="K4024" t="inlineStr">
        <is>
          <t>Moncton (Nouveau-Brunswick)</t>
        </is>
      </c>
      <c r="P4024" t="n">
        <v>0</v>
      </c>
      <c r="Q4024" t="n">
        <v>0</v>
      </c>
      <c r="R4024" t="n">
        <v>0</v>
      </c>
      <c r="S4024" t="n">
        <v>13.9</v>
      </c>
      <c r="T4024" t="n">
        <v>0</v>
      </c>
      <c r="U4024" t="n">
        <v>13.9</v>
      </c>
      <c r="X4024" t="inlineStr">
        <is>
          <t>acoa-apeca</t>
        </is>
      </c>
      <c r="Y4024" t="inlineStr">
        <is>
          <t>Atlantic Canada Opportunities Agency | Agence de promotion économique du Canada atlantique</t>
        </is>
      </c>
      <c r="Z4024" t="n">
        <v>1</v>
      </c>
      <c r="AA4024" t="n">
        <v>13.9</v>
      </c>
      <c r="AB4024">
        <f>ROUND(U4024-AA4024,2)</f>
        <v/>
      </c>
      <c r="AC4024" t="b">
        <v>0</v>
      </c>
      <c r="AD4024">
        <f>IF(U4024="","MISSING_TOTAL",IF(ABS(AB4024)&lt;=0.01,"OK","CHECK"))</f>
        <v/>
      </c>
      <c r="AE4024">
        <f>IF(U4024="","MISSING",IF(AND(AA4024&gt;0,U4024/AA4024&gt;50),"POSSIBLE_SCALE_ERROR","OK"))</f>
        <v/>
      </c>
    </row>
    <row r="4025">
      <c r="A4025" t="inlineStr">
        <is>
          <t>T-2011-Q4-00037</t>
        </is>
      </c>
      <c r="B4025" t="inlineStr">
        <is>
          <t>SLE</t>
        </is>
      </c>
      <c r="C4025" t="inlineStr">
        <is>
          <t>President</t>
        </is>
      </c>
      <c r="D4025" t="inlineStr">
        <is>
          <t>Président</t>
        </is>
      </c>
      <c r="E4025" t="inlineStr">
        <is>
          <t>Paul J. LeBlanc</t>
        </is>
      </c>
      <c r="F4025" t="inlineStr">
        <is>
          <t>For meetings and discussions with various Agency and Government of Canada officials</t>
        </is>
      </c>
      <c r="G4025" t="inlineStr">
        <is>
          <t>Réunions et discussions avec divers fonctionnaires de l'Agence et du gouvernement du Canada</t>
        </is>
      </c>
      <c r="H4025" s="1" t="n">
        <v>40561</v>
      </c>
      <c r="I4025" s="1" t="n">
        <v>40564</v>
      </c>
      <c r="J4025" t="inlineStr">
        <is>
          <t>Ottawa, Ontario</t>
        </is>
      </c>
      <c r="K4025" t="inlineStr">
        <is>
          <t>Ottawa (Ontario)</t>
        </is>
      </c>
      <c r="P4025" t="n">
        <v>763.2</v>
      </c>
      <c r="Q4025" t="n">
        <v>0</v>
      </c>
      <c r="R4025" t="n">
        <v>522.0599999999999</v>
      </c>
      <c r="S4025" t="n">
        <v>218.9</v>
      </c>
      <c r="T4025" t="n">
        <v>169.5</v>
      </c>
      <c r="U4025" t="n">
        <v>1673.66</v>
      </c>
      <c r="X4025" t="inlineStr">
        <is>
          <t>acoa-apeca</t>
        </is>
      </c>
      <c r="Y4025" t="inlineStr">
        <is>
          <t>Atlantic Canada Opportunities Agency | Agence de promotion économique du Canada atlantique</t>
        </is>
      </c>
      <c r="Z4025" t="n">
        <v>4</v>
      </c>
      <c r="AA4025" t="n">
        <v>1673.66</v>
      </c>
      <c r="AB4025">
        <f>ROUND(U4025-AA4025,2)</f>
        <v/>
      </c>
      <c r="AC4025" t="b">
        <v>0</v>
      </c>
      <c r="AD4025">
        <f>IF(U4025="","MISSING_TOTAL",IF(ABS(AB4025)&lt;=0.01,"OK","CHECK"))</f>
        <v/>
      </c>
      <c r="AE4025">
        <f>IF(U4025="","MISSING",IF(AND(AA4025&gt;0,U4025/AA4025&gt;50),"POSSIBLE_SCALE_ERROR","OK"))</f>
        <v/>
      </c>
    </row>
    <row r="4026">
      <c r="A4026" t="inlineStr">
        <is>
          <t>T-2011-Q4-00036</t>
        </is>
      </c>
      <c r="B4026" t="inlineStr">
        <is>
          <t>SLE</t>
        </is>
      </c>
      <c r="C4026" t="inlineStr">
        <is>
          <t>President</t>
        </is>
      </c>
      <c r="D4026" t="inlineStr">
        <is>
          <t>Président</t>
        </is>
      </c>
      <c r="E4026" t="inlineStr">
        <is>
          <t>Paul J. LeBlanc</t>
        </is>
      </c>
      <c r="F4026" t="inlineStr">
        <is>
          <t>For meetings and discussions with Agency and various government and private-sector officials</t>
        </is>
      </c>
      <c r="G4026" t="inlineStr">
        <is>
          <t>Réunions et discussions avec fonctionnaires de l'Agence et du gouvernement du Canada et des représentants du secteur privé</t>
        </is>
      </c>
      <c r="H4026" s="1" t="n">
        <v>40560</v>
      </c>
      <c r="I4026" s="1" t="n">
        <v>40560</v>
      </c>
      <c r="J4026" t="inlineStr">
        <is>
          <t>Fredericton, New Brunswick</t>
        </is>
      </c>
      <c r="K4026" t="inlineStr">
        <is>
          <t>Fredericton (Nouveau-Brunswick)</t>
        </is>
      </c>
      <c r="P4026" t="n">
        <v>0</v>
      </c>
      <c r="Q4026" t="n">
        <v>0</v>
      </c>
      <c r="R4026" t="n">
        <v>0</v>
      </c>
      <c r="S4026" t="n">
        <v>39.2</v>
      </c>
      <c r="T4026" t="n">
        <v>0</v>
      </c>
      <c r="U4026" t="n">
        <v>39.2</v>
      </c>
      <c r="X4026" t="inlineStr">
        <is>
          <t>acoa-apeca</t>
        </is>
      </c>
      <c r="Y4026" t="inlineStr">
        <is>
          <t>Atlantic Canada Opportunities Agency | Agence de promotion économique du Canada atlantique</t>
        </is>
      </c>
      <c r="Z4026" t="n">
        <v>1</v>
      </c>
      <c r="AA4026" t="n">
        <v>39.2</v>
      </c>
      <c r="AB4026">
        <f>ROUND(U4026-AA4026,2)</f>
        <v/>
      </c>
      <c r="AC4026" t="b">
        <v>0</v>
      </c>
      <c r="AD4026">
        <f>IF(U4026="","MISSING_TOTAL",IF(ABS(AB4026)&lt;=0.01,"OK","CHECK"))</f>
        <v/>
      </c>
      <c r="AE4026">
        <f>IF(U4026="","MISSING",IF(AND(AA4026&gt;0,U4026/AA4026&gt;50),"POSSIBLE_SCALE_ERROR","OK"))</f>
        <v/>
      </c>
    </row>
    <row r="4027">
      <c r="A4027" t="inlineStr">
        <is>
          <t>T-2011-Q4-00034</t>
        </is>
      </c>
      <c r="B4027" t="inlineStr">
        <is>
          <t>MPSES</t>
        </is>
      </c>
      <c r="C4027" t="inlineStr">
        <is>
          <t>Regional Affairs Director</t>
        </is>
      </c>
      <c r="D4027" t="inlineStr">
        <is>
          <t>Directeur des affaires régionales</t>
        </is>
      </c>
      <c r="E4027" t="inlineStr">
        <is>
          <t>Raymond Vogan</t>
        </is>
      </c>
      <c r="F4027" t="inlineStr">
        <is>
          <t>To attend regional affairs meetings with Minister</t>
        </is>
      </c>
      <c r="G4027" t="inlineStr">
        <is>
          <t>Pour participer à des réunions sur des questions régionales en compagnie du ministre</t>
        </is>
      </c>
      <c r="H4027" s="1" t="n">
        <v>40557</v>
      </c>
      <c r="I4027" s="1" t="n">
        <v>40559</v>
      </c>
      <c r="J4027" t="inlineStr">
        <is>
          <t>Grand Falls, St. Andre, St. Leonard, Campbellton, Charlo, Belledune, Nigadoo, Beresford and Miramichi, New Brunswick</t>
        </is>
      </c>
      <c r="K4027" t="inlineStr">
        <is>
          <t>Grand-Sault, Saint-André, Saint-Léonard, Campbellton, Charlo, Belledune, Nigadoo, Beresford et Miramichi (Nouveau-Brunswick)</t>
        </is>
      </c>
      <c r="P4027" t="n">
        <v>0</v>
      </c>
      <c r="Q4027" t="n">
        <v>0</v>
      </c>
      <c r="R4027" t="n">
        <v>111.87</v>
      </c>
      <c r="S4027" t="n">
        <v>170.4</v>
      </c>
      <c r="T4027" t="n">
        <v>0</v>
      </c>
      <c r="U4027" t="n">
        <v>282.27</v>
      </c>
      <c r="X4027" t="inlineStr">
        <is>
          <t>acoa-apeca</t>
        </is>
      </c>
      <c r="Y4027" t="inlineStr">
        <is>
          <t>Atlantic Canada Opportunities Agency | Agence de promotion économique du Canada atlantique</t>
        </is>
      </c>
      <c r="Z4027" t="n">
        <v>3</v>
      </c>
      <c r="AA4027" t="n">
        <v>282.27</v>
      </c>
      <c r="AB4027">
        <f>ROUND(U4027-AA4027,2)</f>
        <v/>
      </c>
      <c r="AC4027" t="b">
        <v>0</v>
      </c>
      <c r="AD4027">
        <f>IF(U4027="","MISSING_TOTAL",IF(ABS(AB4027)&lt;=0.01,"OK","CHECK"))</f>
        <v/>
      </c>
      <c r="AE4027">
        <f>IF(U4027="","MISSING",IF(AND(AA4027&gt;0,U4027/AA4027&gt;50),"POSSIBLE_SCALE_ERROR","OK"))</f>
        <v/>
      </c>
    </row>
    <row r="4028">
      <c r="A4028" t="inlineStr">
        <is>
          <t>T-2011-Q4-00033</t>
        </is>
      </c>
      <c r="B4028" t="inlineStr">
        <is>
          <t>MPSES</t>
        </is>
      </c>
      <c r="C4028" t="inlineStr">
        <is>
          <t>Policy Advisor</t>
        </is>
      </c>
      <c r="D4028" t="inlineStr">
        <is>
          <t>Conseillère en politique</t>
        </is>
      </c>
      <c r="E4028" t="inlineStr">
        <is>
          <t>Guylaine Le Couteur</t>
        </is>
      </c>
      <c r="F4028" t="inlineStr">
        <is>
          <t>To attend ACOA meetings</t>
        </is>
      </c>
      <c r="G4028" t="inlineStr">
        <is>
          <t>Pour participer à des réunions de l'APECA</t>
        </is>
      </c>
      <c r="H4028" s="1" t="n">
        <v>40555</v>
      </c>
      <c r="I4028" s="1" t="n">
        <v>40559</v>
      </c>
      <c r="J4028" t="inlineStr">
        <is>
          <t>Edmundston, New Brunswick</t>
        </is>
      </c>
      <c r="K4028" t="inlineStr">
        <is>
          <t>Edmundston (Nouveau-Brunswick)</t>
        </is>
      </c>
      <c r="P4028" t="n">
        <v>0</v>
      </c>
      <c r="Q4028" t="n">
        <v>1338.7</v>
      </c>
      <c r="R4028" t="n">
        <v>466.68</v>
      </c>
      <c r="S4028" t="n">
        <v>321.18</v>
      </c>
      <c r="T4028" t="n">
        <v>0</v>
      </c>
      <c r="U4028" t="n">
        <v>2126.56</v>
      </c>
      <c r="X4028" t="inlineStr">
        <is>
          <t>acoa-apeca</t>
        </is>
      </c>
      <c r="Y4028" t="inlineStr">
        <is>
          <t>Atlantic Canada Opportunities Agency | Agence de promotion économique du Canada atlantique</t>
        </is>
      </c>
      <c r="Z4028" t="n">
        <v>5</v>
      </c>
      <c r="AA4028" t="n">
        <v>2126.56</v>
      </c>
      <c r="AB4028">
        <f>ROUND(U4028-AA4028,2)</f>
        <v/>
      </c>
      <c r="AC4028" t="b">
        <v>0</v>
      </c>
      <c r="AD4028">
        <f>IF(U4028="","MISSING_TOTAL",IF(ABS(AB4028)&lt;=0.01,"OK","CHECK"))</f>
        <v/>
      </c>
      <c r="AE4028">
        <f>IF(U4028="","MISSING",IF(AND(AA4028&gt;0,U4028/AA4028&gt;50),"POSSIBLE_SCALE_ERROR","OK"))</f>
        <v/>
      </c>
    </row>
    <row r="4029">
      <c r="A4029" t="inlineStr">
        <is>
          <t>T-2011-Q4-00032</t>
        </is>
      </c>
      <c r="B4029" t="inlineStr">
        <is>
          <t>SLE</t>
        </is>
      </c>
      <c r="C4029" t="inlineStr">
        <is>
          <t>Vice President, Nova Scotia</t>
        </is>
      </c>
      <c r="D4029" t="inlineStr">
        <is>
          <t>Vice-président, Nouvelle-Écosse</t>
        </is>
      </c>
      <c r="E4029" t="inlineStr">
        <is>
          <t>Peter Hogan</t>
        </is>
      </c>
      <c r="F4029" t="inlineStr">
        <is>
          <t>Executive Committee (Nancy Ives, Director, Corporate Services attended  meeting in Mr. Hogan's stead)</t>
        </is>
      </c>
      <c r="G4029" t="inlineStr">
        <is>
          <t>Comité de direction (Nancy Ives, directrice des finances et des services de gestion a assisté à la réunion pour M. Hogan)</t>
        </is>
      </c>
      <c r="H4029" s="1" t="n">
        <v>40553</v>
      </c>
      <c r="I4029" s="1" t="n">
        <v>40554</v>
      </c>
      <c r="J4029" t="inlineStr">
        <is>
          <t>Moncton, New Brunswick</t>
        </is>
      </c>
      <c r="K4029" t="inlineStr">
        <is>
          <t>Moncton (Nouveau-Brunswick)</t>
        </is>
      </c>
      <c r="P4029" t="n">
        <v>877.27</v>
      </c>
      <c r="Q4029" t="n">
        <v>102.4</v>
      </c>
      <c r="R4029" t="n">
        <v>145.77</v>
      </c>
      <c r="S4029" t="n">
        <v>88.59999999999999</v>
      </c>
      <c r="T4029" t="n">
        <v>0</v>
      </c>
      <c r="U4029" t="n">
        <v>1214.04</v>
      </c>
      <c r="X4029" t="inlineStr">
        <is>
          <t>acoa-apeca</t>
        </is>
      </c>
      <c r="Y4029" t="inlineStr">
        <is>
          <t>Atlantic Canada Opportunities Agency | Agence de promotion économique du Canada atlantique</t>
        </is>
      </c>
      <c r="Z4029" t="n">
        <v>2</v>
      </c>
      <c r="AA4029" t="n">
        <v>1214.04</v>
      </c>
      <c r="AB4029">
        <f>ROUND(U4029-AA4029,2)</f>
        <v/>
      </c>
      <c r="AC4029" t="b">
        <v>0</v>
      </c>
      <c r="AD4029">
        <f>IF(U4029="","MISSING_TOTAL",IF(ABS(AB4029)&lt;=0.01,"OK","CHECK"))</f>
        <v/>
      </c>
      <c r="AE4029">
        <f>IF(U4029="","MISSING",IF(AND(AA4029&gt;0,U4029/AA4029&gt;50),"POSSIBLE_SCALE_ERROR","OK"))</f>
        <v/>
      </c>
    </row>
    <row r="4030">
      <c r="A4030" t="inlineStr">
        <is>
          <t>T-2011-Q4-00029</t>
        </is>
      </c>
      <c r="B4030" t="inlineStr">
        <is>
          <t>SLE</t>
        </is>
      </c>
      <c r="C4030" t="inlineStr">
        <is>
          <t>Vice President, Nova Scotia</t>
        </is>
      </c>
      <c r="D4030" t="inlineStr">
        <is>
          <t>Vice-président, Nouvelle-Écosse</t>
        </is>
      </c>
      <c r="E4030" t="inlineStr">
        <is>
          <t>Peter Hogan</t>
        </is>
      </c>
      <c r="F4030" t="inlineStr">
        <is>
          <t>Meeting with Agency Officials</t>
        </is>
      </c>
      <c r="G4030" t="inlineStr">
        <is>
          <t>Réunion avec des fonctionnaires de l'Agence</t>
        </is>
      </c>
      <c r="H4030" s="1" t="n">
        <v>40553</v>
      </c>
      <c r="I4030" s="1" t="n">
        <v>40553</v>
      </c>
      <c r="J4030" t="inlineStr">
        <is>
          <t>Moncton, New Brunswick</t>
        </is>
      </c>
      <c r="K4030" t="inlineStr">
        <is>
          <t>Moncton (Nouveau-Brunswick)</t>
        </is>
      </c>
      <c r="P4030" t="n">
        <v>0</v>
      </c>
      <c r="Q4030" t="n">
        <v>10</v>
      </c>
      <c r="R4030" t="n">
        <v>0</v>
      </c>
      <c r="S4030" t="n">
        <v>13.9</v>
      </c>
      <c r="T4030" t="n">
        <v>0</v>
      </c>
      <c r="U4030" t="n">
        <v>23.9</v>
      </c>
      <c r="X4030" t="inlineStr">
        <is>
          <t>acoa-apeca</t>
        </is>
      </c>
      <c r="Y4030" t="inlineStr">
        <is>
          <t>Atlantic Canada Opportunities Agency | Agence de promotion économique du Canada atlantique</t>
        </is>
      </c>
      <c r="Z4030" t="n">
        <v>1</v>
      </c>
      <c r="AA4030" t="n">
        <v>23.9</v>
      </c>
      <c r="AB4030">
        <f>ROUND(U4030-AA4030,2)</f>
        <v/>
      </c>
      <c r="AC4030" t="b">
        <v>0</v>
      </c>
      <c r="AD4030">
        <f>IF(U4030="","MISSING_TOTAL",IF(ABS(AB4030)&lt;=0.01,"OK","CHECK"))</f>
        <v/>
      </c>
      <c r="AE4030">
        <f>IF(U4030="","MISSING",IF(AND(AA4030&gt;0,U4030/AA4030&gt;50),"POSSIBLE_SCALE_ERROR","OK"))</f>
        <v/>
      </c>
    </row>
    <row r="4031">
      <c r="A4031" t="inlineStr">
        <is>
          <t>T-2011-Q4-00027</t>
        </is>
      </c>
      <c r="B4031" t="inlineStr">
        <is>
          <t>SLE</t>
        </is>
      </c>
      <c r="C4031" t="inlineStr">
        <is>
          <t>Vice-President, New Brunswick</t>
        </is>
      </c>
      <c r="D4031" t="inlineStr">
        <is>
          <t>Vice-présidente, Nouveau-Brunswick</t>
        </is>
      </c>
      <c r="E4031" t="inlineStr">
        <is>
          <t>Janet Gagnon</t>
        </is>
      </c>
      <c r="F4031" t="inlineStr">
        <is>
          <t>To attend an Executive Committee meeting in Moncton</t>
        </is>
      </c>
      <c r="G4031" t="inlineStr">
        <is>
          <t>Pour participer à la réunion du Comité de direction à Moncton</t>
        </is>
      </c>
      <c r="H4031" s="1" t="n">
        <v>40553</v>
      </c>
      <c r="I4031" s="1" t="n">
        <v>40554</v>
      </c>
      <c r="J4031" t="inlineStr">
        <is>
          <t>Moncton, New Brunswick</t>
        </is>
      </c>
      <c r="K4031" t="inlineStr">
        <is>
          <t>Moncton (Nouveau-Brunswick)</t>
        </is>
      </c>
      <c r="P4031" t="n">
        <v>0</v>
      </c>
      <c r="Q4031" t="n">
        <v>0</v>
      </c>
      <c r="R4031" t="n">
        <v>145.77</v>
      </c>
      <c r="S4031" t="n">
        <v>127.8</v>
      </c>
      <c r="T4031" t="n">
        <v>12.15</v>
      </c>
      <c r="U4031" t="n">
        <v>285.72</v>
      </c>
      <c r="X4031" t="inlineStr">
        <is>
          <t>acoa-apeca</t>
        </is>
      </c>
      <c r="Y4031" t="inlineStr">
        <is>
          <t>Atlantic Canada Opportunities Agency | Agence de promotion économique du Canada atlantique</t>
        </is>
      </c>
      <c r="Z4031" t="n">
        <v>2</v>
      </c>
      <c r="AA4031" t="n">
        <v>285.719999999999</v>
      </c>
      <c r="AB4031">
        <f>ROUND(U4031-AA4031,2)</f>
        <v/>
      </c>
      <c r="AC4031" t="b">
        <v>0</v>
      </c>
      <c r="AD4031">
        <f>IF(U4031="","MISSING_TOTAL",IF(ABS(AB4031)&lt;=0.01,"OK","CHECK"))</f>
        <v/>
      </c>
      <c r="AE4031">
        <f>IF(U4031="","MISSING",IF(AND(AA4031&gt;0,U4031/AA4031&gt;50),"POSSIBLE_SCALE_ERROR","OK"))</f>
        <v/>
      </c>
    </row>
    <row r="4032">
      <c r="A4032" t="inlineStr">
        <is>
          <t>T-2011-Q4-00026</t>
        </is>
      </c>
      <c r="B4032" t="inlineStr">
        <is>
          <t>SLE</t>
        </is>
      </c>
      <c r="C4032" t="inlineStr">
        <is>
          <t>Vice-President, Newfoundland and Labrador</t>
        </is>
      </c>
      <c r="D4032" t="inlineStr">
        <is>
          <t>Vice-président, Terre-Neuve-et-Labrador</t>
        </is>
      </c>
      <c r="E4032" t="inlineStr">
        <is>
          <t>Paul Mills</t>
        </is>
      </c>
      <c r="F4032" t="inlineStr">
        <is>
          <t>To attend Executive Committee Meeting</t>
        </is>
      </c>
      <c r="G4032" t="inlineStr">
        <is>
          <t>Pour participer à la réunion du Comité de direction</t>
        </is>
      </c>
      <c r="H4032" s="1" t="n">
        <v>40553</v>
      </c>
      <c r="I4032" s="1" t="n">
        <v>40555</v>
      </c>
      <c r="J4032" t="inlineStr">
        <is>
          <t>Moncton, NB</t>
        </is>
      </c>
      <c r="K4032" t="inlineStr">
        <is>
          <t>Moncton (Nouveau-Brunswick)</t>
        </is>
      </c>
      <c r="P4032" t="n">
        <v>1264.76</v>
      </c>
      <c r="Q4032" t="n">
        <v>325.88</v>
      </c>
      <c r="R4032" t="n">
        <v>284.18</v>
      </c>
      <c r="S4032" t="n">
        <v>249.11</v>
      </c>
      <c r="T4032" t="n">
        <v>7.33</v>
      </c>
      <c r="U4032" t="n">
        <v>2131.26</v>
      </c>
      <c r="X4032" t="inlineStr">
        <is>
          <t>acoa-apeca</t>
        </is>
      </c>
      <c r="Y4032" t="inlineStr">
        <is>
          <t>Atlantic Canada Opportunities Agency | Agence de promotion économique du Canada atlantique</t>
        </is>
      </c>
      <c r="Z4032" t="n">
        <v>3</v>
      </c>
      <c r="AA4032" t="n">
        <v>2131.25999999999</v>
      </c>
      <c r="AB4032">
        <f>ROUND(U4032-AA4032,2)</f>
        <v/>
      </c>
      <c r="AC4032" t="b">
        <v>0</v>
      </c>
      <c r="AD4032">
        <f>IF(U4032="","MISSING_TOTAL",IF(ABS(AB4032)&lt;=0.01,"OK","CHECK"))</f>
        <v/>
      </c>
      <c r="AE4032">
        <f>IF(U4032="","MISSING",IF(AND(AA4032&gt;0,U4032/AA4032&gt;50),"POSSIBLE_SCALE_ERROR","OK"))</f>
        <v/>
      </c>
    </row>
    <row r="4033">
      <c r="A4033" t="inlineStr">
        <is>
          <t>T-2011-Q4-00025</t>
        </is>
      </c>
      <c r="B4033" t="inlineStr">
        <is>
          <t>SLE</t>
        </is>
      </c>
      <c r="C4033" t="inlineStr">
        <is>
          <t>President</t>
        </is>
      </c>
      <c r="D4033" t="inlineStr">
        <is>
          <t>Président</t>
        </is>
      </c>
      <c r="E4033" t="inlineStr">
        <is>
          <t>Paul J. LeBlanc</t>
        </is>
      </c>
      <c r="F4033" t="inlineStr">
        <is>
          <t>For meetings and discussions with various Agency, Government and private-sector officials</t>
        </is>
      </c>
      <c r="G4033" t="inlineStr">
        <is>
          <t>Réunions et discussions avec divers fonctionnaires de l'Agence et du gouvernement du Canada et des représentants du secteur privé</t>
        </is>
      </c>
      <c r="H4033" s="1" t="n">
        <v>40549</v>
      </c>
      <c r="I4033" s="1" t="n">
        <v>40550</v>
      </c>
      <c r="J4033" t="inlineStr">
        <is>
          <t>St. John's, Newfoundland and Labrador</t>
        </is>
      </c>
      <c r="K4033" t="inlineStr">
        <is>
          <t>St. John's (Terre-Neuve-et-Labrador)</t>
        </is>
      </c>
      <c r="P4033" t="n">
        <v>1000.5</v>
      </c>
      <c r="Q4033" t="n">
        <v>0</v>
      </c>
      <c r="R4033" t="n">
        <v>145</v>
      </c>
      <c r="S4033" t="n">
        <v>101.6</v>
      </c>
      <c r="T4033" t="n">
        <v>8.75</v>
      </c>
      <c r="U4033" t="n">
        <v>1255.85</v>
      </c>
      <c r="X4033" t="inlineStr">
        <is>
          <t>acoa-apeca</t>
        </is>
      </c>
      <c r="Y4033" t="inlineStr">
        <is>
          <t>Atlantic Canada Opportunities Agency | Agence de promotion économique du Canada atlantique</t>
        </is>
      </c>
      <c r="Z4033" t="n">
        <v>2</v>
      </c>
      <c r="AA4033" t="n">
        <v>1255.85</v>
      </c>
      <c r="AB4033">
        <f>ROUND(U4033-AA4033,2)</f>
        <v/>
      </c>
      <c r="AC4033" t="b">
        <v>0</v>
      </c>
      <c r="AD4033">
        <f>IF(U4033="","MISSING_TOTAL",IF(ABS(AB4033)&lt;=0.01,"OK","CHECK"))</f>
        <v/>
      </c>
      <c r="AE4033">
        <f>IF(U4033="","MISSING",IF(AND(AA4033&gt;0,U4033/AA4033&gt;50),"POSSIBLE_SCALE_ERROR","OK"))</f>
        <v/>
      </c>
    </row>
    <row r="4034">
      <c r="A4034" t="inlineStr">
        <is>
          <t>T-2011-Q4-00024</t>
        </is>
      </c>
      <c r="B4034" t="inlineStr">
        <is>
          <t>MPSES</t>
        </is>
      </c>
      <c r="C4034" t="inlineStr">
        <is>
          <t>Support Staff</t>
        </is>
      </c>
      <c r="D4034" t="inlineStr">
        <is>
          <t>Soutien administratif</t>
        </is>
      </c>
      <c r="E4034" t="inlineStr">
        <is>
          <t>Jill Drury</t>
        </is>
      </c>
      <c r="F4034" t="inlineStr">
        <is>
          <t>Travel for ACOA related meetings</t>
        </is>
      </c>
      <c r="G4034" t="inlineStr">
        <is>
          <t>Voyage pour participer à des réunions de l'APECA</t>
        </is>
      </c>
      <c r="H4034" s="1" t="n">
        <v>40544</v>
      </c>
      <c r="I4034" s="1" t="n">
        <v>40633</v>
      </c>
      <c r="J4034" t="inlineStr">
        <is>
          <t>Fredericton, New Brusnwick</t>
        </is>
      </c>
      <c r="K4034" t="inlineStr">
        <is>
          <t>Fredericton (Nouveau-Brunswick)</t>
        </is>
      </c>
      <c r="P4034" t="n">
        <v>0</v>
      </c>
      <c r="Q4034" t="n">
        <v>301.95</v>
      </c>
      <c r="R4034" t="n">
        <v>0</v>
      </c>
      <c r="S4034" t="n">
        <v>0</v>
      </c>
      <c r="T4034" t="n">
        <v>0</v>
      </c>
      <c r="U4034" t="n">
        <v>301.95</v>
      </c>
      <c r="X4034" t="inlineStr">
        <is>
          <t>acoa-apeca</t>
        </is>
      </c>
      <c r="Y4034" t="inlineStr">
        <is>
          <t>Atlantic Canada Opportunities Agency | Agence de promotion économique du Canada atlantique</t>
        </is>
      </c>
      <c r="Z4034" t="n">
        <v>90</v>
      </c>
      <c r="AA4034" t="n">
        <v>301.95</v>
      </c>
      <c r="AB4034">
        <f>ROUND(U4034-AA4034,2)</f>
        <v/>
      </c>
      <c r="AC4034" t="b">
        <v>0</v>
      </c>
      <c r="AD4034">
        <f>IF(U4034="","MISSING_TOTAL",IF(ABS(AB4034)&lt;=0.01,"OK","CHECK"))</f>
        <v/>
      </c>
      <c r="AE4034">
        <f>IF(U4034="","MISSING",IF(AND(AA4034&gt;0,U4034/AA4034&gt;50),"POSSIBLE_SCALE_ERROR","OK"))</f>
        <v/>
      </c>
    </row>
    <row r="4035">
      <c r="A4035" t="inlineStr">
        <is>
          <t>T-2011-Q4-00023</t>
        </is>
      </c>
      <c r="B4035" t="inlineStr">
        <is>
          <t>SLE</t>
        </is>
      </c>
      <c r="C4035" t="inlineStr">
        <is>
          <t>President</t>
        </is>
      </c>
      <c r="D4035" t="inlineStr">
        <is>
          <t>Président</t>
        </is>
      </c>
      <c r="E4035" t="inlineStr">
        <is>
          <t>Paul J. LeBlanc</t>
        </is>
      </c>
      <c r="F4035" t="inlineStr">
        <is>
          <t>For meetings and discussions with various government and private-sector officials</t>
        </is>
      </c>
      <c r="G4035" t="inlineStr">
        <is>
          <t>Réunions et discussions avec divers fonctionnaires du gouvernement du Canada et représentants du secteur privé</t>
        </is>
      </c>
      <c r="H4035" s="1" t="n">
        <v>40532</v>
      </c>
      <c r="I4035" s="1" t="n">
        <v>40533</v>
      </c>
      <c r="J4035" t="inlineStr">
        <is>
          <t>Halifax, Nova Scotia</t>
        </is>
      </c>
      <c r="K4035" t="inlineStr">
        <is>
          <t>Halifax (Nouvelle-Écosse)</t>
        </is>
      </c>
      <c r="P4035" t="n">
        <v>0</v>
      </c>
      <c r="Q4035" t="n">
        <v>0</v>
      </c>
      <c r="R4035" t="n">
        <v>163.05</v>
      </c>
      <c r="S4035" t="n">
        <v>127.8</v>
      </c>
      <c r="T4035" t="n">
        <v>0</v>
      </c>
      <c r="U4035" t="n">
        <v>290.85</v>
      </c>
      <c r="X4035" t="inlineStr">
        <is>
          <t>acoa-apeca</t>
        </is>
      </c>
      <c r="Y4035" t="inlineStr">
        <is>
          <t>Atlantic Canada Opportunities Agency | Agence de promotion économique du Canada atlantique</t>
        </is>
      </c>
      <c r="Z4035" t="n">
        <v>2</v>
      </c>
      <c r="AA4035" t="n">
        <v>290.85</v>
      </c>
      <c r="AB4035">
        <f>ROUND(U4035-AA4035,2)</f>
        <v/>
      </c>
      <c r="AC4035" t="b">
        <v>0</v>
      </c>
      <c r="AD4035">
        <f>IF(U4035="","MISSING_TOTAL",IF(ABS(AB4035)&lt;=0.01,"OK","CHECK"))</f>
        <v/>
      </c>
      <c r="AE4035">
        <f>IF(U4035="","MISSING",IF(AND(AA4035&gt;0,U4035/AA4035&gt;50),"POSSIBLE_SCALE_ERROR","OK"))</f>
        <v/>
      </c>
    </row>
    <row r="4036">
      <c r="A4036" t="inlineStr">
        <is>
          <t>T-2011-Q4-00022</t>
        </is>
      </c>
      <c r="B4036" t="inlineStr">
        <is>
          <t>SLE</t>
        </is>
      </c>
      <c r="C4036" t="inlineStr">
        <is>
          <t>Vice-President, Finance and Corporate Services</t>
        </is>
      </c>
      <c r="D4036" t="inlineStr">
        <is>
          <t>Vice-présidente, Finances et Services corporatifs</t>
        </is>
      </c>
      <c r="E4036" t="inlineStr">
        <is>
          <t>Denise Frenette</t>
        </is>
      </c>
      <c r="F4036" t="inlineStr">
        <is>
          <t>Meetings with  Agency Officials</t>
        </is>
      </c>
      <c r="G4036" t="inlineStr">
        <is>
          <t>Réunions avec des fonctionnaires  de l'Agence</t>
        </is>
      </c>
      <c r="H4036" s="1" t="n">
        <v>40528</v>
      </c>
      <c r="I4036" s="1" t="n">
        <v>40528</v>
      </c>
      <c r="J4036" t="inlineStr">
        <is>
          <t>Halifax, Nova Scotia</t>
        </is>
      </c>
      <c r="K4036" t="inlineStr">
        <is>
          <t>Halifax (Nouvelle-Écosse)</t>
        </is>
      </c>
      <c r="P4036" t="n">
        <v>0</v>
      </c>
      <c r="Q4036" t="n">
        <v>0</v>
      </c>
      <c r="R4036" t="n">
        <v>0</v>
      </c>
      <c r="S4036" t="n">
        <v>53.1</v>
      </c>
      <c r="T4036" t="n">
        <v>0</v>
      </c>
      <c r="U4036" t="n">
        <v>53.1</v>
      </c>
      <c r="X4036" t="inlineStr">
        <is>
          <t>acoa-apeca</t>
        </is>
      </c>
      <c r="Y4036" t="inlineStr">
        <is>
          <t>Atlantic Canada Opportunities Agency | Agence de promotion économique du Canada atlantique</t>
        </is>
      </c>
      <c r="Z4036" t="n">
        <v>1</v>
      </c>
      <c r="AA4036" t="n">
        <v>53.1</v>
      </c>
      <c r="AB4036">
        <f>ROUND(U4036-AA4036,2)</f>
        <v/>
      </c>
      <c r="AC4036" t="b">
        <v>0</v>
      </c>
      <c r="AD4036">
        <f>IF(U4036="","MISSING_TOTAL",IF(ABS(AB4036)&lt;=0.01,"OK","CHECK"))</f>
        <v/>
      </c>
      <c r="AE4036">
        <f>IF(U4036="","MISSING",IF(AND(AA4036&gt;0,U4036/AA4036&gt;50),"POSSIBLE_SCALE_ERROR","OK"))</f>
        <v/>
      </c>
    </row>
    <row r="4037">
      <c r="A4037" t="inlineStr">
        <is>
          <t>T-2011-Q4-00021</t>
        </is>
      </c>
      <c r="B4037" t="inlineStr">
        <is>
          <t>MPSES</t>
        </is>
      </c>
      <c r="C4037" t="inlineStr">
        <is>
          <t>Deputy Chief of Staff</t>
        </is>
      </c>
      <c r="D4037" t="inlineStr">
        <is>
          <t>Chef de cabinet adjoint</t>
        </is>
      </c>
      <c r="E4037" t="inlineStr">
        <is>
          <t>Kevin MacAdam</t>
        </is>
      </c>
      <c r="F4037" t="inlineStr">
        <is>
          <t>To attend various ACOA meetings</t>
        </is>
      </c>
      <c r="G4037" t="inlineStr">
        <is>
          <t>Pour participer à diverses réunions de l'APECA</t>
        </is>
      </c>
      <c r="H4037" s="1" t="n">
        <v>40526</v>
      </c>
      <c r="I4037" s="1" t="n">
        <v>40531</v>
      </c>
      <c r="J4037" t="inlineStr">
        <is>
          <t>Charlottetown, Prince Edward Island</t>
        </is>
      </c>
      <c r="K4037" t="inlineStr">
        <is>
          <t>Charlottetown (Île-du-Prince-Édouard)</t>
        </is>
      </c>
      <c r="P4037" t="n">
        <v>929.4299999999999</v>
      </c>
      <c r="Q4037" t="n">
        <v>0</v>
      </c>
      <c r="R4037" t="n">
        <v>0</v>
      </c>
      <c r="S4037" t="n">
        <v>326</v>
      </c>
      <c r="T4037" t="n">
        <v>0</v>
      </c>
      <c r="U4037" t="n">
        <v>1255.43</v>
      </c>
      <c r="X4037" t="inlineStr">
        <is>
          <t>acoa-apeca</t>
        </is>
      </c>
      <c r="Y4037" t="inlineStr">
        <is>
          <t>Atlantic Canada Opportunities Agency | Agence de promotion économique du Canada atlantique</t>
        </is>
      </c>
      <c r="Z4037" t="n">
        <v>6</v>
      </c>
      <c r="AA4037" t="n">
        <v>1255.42999999999</v>
      </c>
      <c r="AB4037">
        <f>ROUND(U4037-AA4037,2)</f>
        <v/>
      </c>
      <c r="AC4037" t="b">
        <v>0</v>
      </c>
      <c r="AD4037">
        <f>IF(U4037="","MISSING_TOTAL",IF(ABS(AB4037)&lt;=0.01,"OK","CHECK"))</f>
        <v/>
      </c>
      <c r="AE4037">
        <f>IF(U4037="","MISSING",IF(AND(AA4037&gt;0,U4037/AA4037&gt;50),"POSSIBLE_SCALE_ERROR","OK"))</f>
        <v/>
      </c>
    </row>
    <row r="4038">
      <c r="A4038" t="inlineStr">
        <is>
          <t>T-2011-Q4-00020</t>
        </is>
      </c>
      <c r="B4038" t="inlineStr">
        <is>
          <t>SLE</t>
        </is>
      </c>
      <c r="C4038" t="inlineStr">
        <is>
          <t>Vice-President, New Brunswick</t>
        </is>
      </c>
      <c r="D4038" t="inlineStr">
        <is>
          <t>Vice-présidente, Nouveau-Brunswick</t>
        </is>
      </c>
      <c r="E4038" t="inlineStr">
        <is>
          <t>Janet Gagnon</t>
        </is>
      </c>
      <c r="F4038" t="inlineStr">
        <is>
          <t>New Brunswick Federal Council Meeting</t>
        </is>
      </c>
      <c r="G4038" t="inlineStr">
        <is>
          <t>Réunion du Conseil fédéral du Nouveau-Brunswick</t>
        </is>
      </c>
      <c r="H4038" s="1" t="n">
        <v>40526</v>
      </c>
      <c r="I4038" s="1" t="n">
        <v>40527</v>
      </c>
      <c r="J4038" t="inlineStr">
        <is>
          <t>Saint John, New Brunswick</t>
        </is>
      </c>
      <c r="K4038" t="inlineStr">
        <is>
          <t>Saint John (Nouveau-Brunswick)</t>
        </is>
      </c>
      <c r="P4038" t="n">
        <v>0</v>
      </c>
      <c r="Q4038" t="n">
        <v>0</v>
      </c>
      <c r="R4038" t="n">
        <v>111.87</v>
      </c>
      <c r="S4038" t="n">
        <v>102.5</v>
      </c>
      <c r="T4038" t="n">
        <v>0</v>
      </c>
      <c r="U4038" t="n">
        <v>214.37</v>
      </c>
      <c r="X4038" t="inlineStr">
        <is>
          <t>acoa-apeca</t>
        </is>
      </c>
      <c r="Y4038" t="inlineStr">
        <is>
          <t>Atlantic Canada Opportunities Agency | Agence de promotion économique du Canada atlantique</t>
        </is>
      </c>
      <c r="Z4038" t="n">
        <v>2</v>
      </c>
      <c r="AA4038" t="n">
        <v>214.37</v>
      </c>
      <c r="AB4038">
        <f>ROUND(U4038-AA4038,2)</f>
        <v/>
      </c>
      <c r="AC4038" t="b">
        <v>0</v>
      </c>
      <c r="AD4038">
        <f>IF(U4038="","MISSING_TOTAL",IF(ABS(AB4038)&lt;=0.01,"OK","CHECK"))</f>
        <v/>
      </c>
      <c r="AE4038">
        <f>IF(U4038="","MISSING",IF(AND(AA4038&gt;0,U4038/AA4038&gt;50),"POSSIBLE_SCALE_ERROR","OK"))</f>
        <v/>
      </c>
    </row>
    <row r="4039">
      <c r="A4039" t="inlineStr">
        <is>
          <t>T-2011-Q4-00019</t>
        </is>
      </c>
      <c r="B4039" t="inlineStr">
        <is>
          <t>SLE</t>
        </is>
      </c>
      <c r="C4039" t="inlineStr">
        <is>
          <t>President</t>
        </is>
      </c>
      <c r="D4039" t="inlineStr">
        <is>
          <t>Président</t>
        </is>
      </c>
      <c r="E4039" t="inlineStr">
        <is>
          <t>Paul J. LeBlanc</t>
        </is>
      </c>
      <c r="F4039" t="inlineStr">
        <is>
          <t>For various meetings and discussions with Agency and Government of Canada officials</t>
        </is>
      </c>
      <c r="G4039" t="inlineStr">
        <is>
          <t>Diverses réunions et discussions avec des fonctionnaires de l'Agence et du gouvernement du Canada</t>
        </is>
      </c>
      <c r="H4039" s="1" t="n">
        <v>40526</v>
      </c>
      <c r="I4039" s="1" t="n">
        <v>40529</v>
      </c>
      <c r="J4039" t="inlineStr">
        <is>
          <t>Ottawa, Ontario</t>
        </is>
      </c>
      <c r="K4039" t="inlineStr">
        <is>
          <t>Ottawa (Ontario)</t>
        </is>
      </c>
      <c r="P4039" t="n">
        <v>763.2</v>
      </c>
      <c r="Q4039" t="n">
        <v>0</v>
      </c>
      <c r="R4039" t="n">
        <v>505.11</v>
      </c>
      <c r="S4039" t="n">
        <v>258.1</v>
      </c>
      <c r="T4039" t="n">
        <v>38.5</v>
      </c>
      <c r="U4039" t="n">
        <v>1564.91</v>
      </c>
      <c r="X4039" t="inlineStr">
        <is>
          <t>acoa-apeca</t>
        </is>
      </c>
      <c r="Y4039" t="inlineStr">
        <is>
          <t>Atlantic Canada Opportunities Agency | Agence de promotion économique du Canada atlantique</t>
        </is>
      </c>
      <c r="Z4039" t="n">
        <v>4</v>
      </c>
      <c r="AA4039" t="n">
        <v>1564.90999999999</v>
      </c>
      <c r="AB4039">
        <f>ROUND(U4039-AA4039,2)</f>
        <v/>
      </c>
      <c r="AC4039" t="b">
        <v>0</v>
      </c>
      <c r="AD4039">
        <f>IF(U4039="","MISSING_TOTAL",IF(ABS(AB4039)&lt;=0.01,"OK","CHECK"))</f>
        <v/>
      </c>
      <c r="AE4039">
        <f>IF(U4039="","MISSING",IF(AND(AA4039&gt;0,U4039/AA4039&gt;50),"POSSIBLE_SCALE_ERROR","OK"))</f>
        <v/>
      </c>
    </row>
    <row r="4040">
      <c r="A4040" t="inlineStr">
        <is>
          <t>T-2011-Q4-00017</t>
        </is>
      </c>
      <c r="B4040" t="inlineStr">
        <is>
          <t>SLE</t>
        </is>
      </c>
      <c r="C4040" t="inlineStr">
        <is>
          <t>Vice-President, Prince Edward Island</t>
        </is>
      </c>
      <c r="D4040" t="inlineStr">
        <is>
          <t>Vice-président, Île-du-Prince-Édouard</t>
        </is>
      </c>
      <c r="E4040" t="inlineStr">
        <is>
          <t>Patrick Dorsey</t>
        </is>
      </c>
      <c r="F4040" t="inlineStr">
        <is>
          <t>Atlantic Canada Tourism Partnership (ACTP) Managment Committee Meeting</t>
        </is>
      </c>
      <c r="G4040" t="inlineStr">
        <is>
          <t>Réunion du Comité de gestion du Partenariat du tourisme du Canada atlantique (PTCA)</t>
        </is>
      </c>
      <c r="H4040" s="1" t="n">
        <v>40525</v>
      </c>
      <c r="I4040" s="1" t="n">
        <v>40526</v>
      </c>
      <c r="J4040" t="inlineStr">
        <is>
          <t>Moncton, New Brunswick</t>
        </is>
      </c>
      <c r="K4040" t="inlineStr">
        <is>
          <t>Moncton (Nouveau-Brunswick)</t>
        </is>
      </c>
      <c r="P4040" t="n">
        <v>0</v>
      </c>
      <c r="Q4040" t="n">
        <v>54.65</v>
      </c>
      <c r="R4040" t="n">
        <v>145.77</v>
      </c>
      <c r="S4040" t="n">
        <v>102.5</v>
      </c>
      <c r="T4040" t="n">
        <v>0</v>
      </c>
      <c r="U4040" t="n">
        <v>302.92</v>
      </c>
      <c r="X4040" t="inlineStr">
        <is>
          <t>acoa-apeca</t>
        </is>
      </c>
      <c r="Y4040" t="inlineStr">
        <is>
          <t>Atlantic Canada Opportunities Agency | Agence de promotion économique du Canada atlantique</t>
        </is>
      </c>
      <c r="Z4040" t="n">
        <v>2</v>
      </c>
      <c r="AA4040" t="n">
        <v>302.92</v>
      </c>
      <c r="AB4040">
        <f>ROUND(U4040-AA4040,2)</f>
        <v/>
      </c>
      <c r="AC4040" t="b">
        <v>0</v>
      </c>
      <c r="AD4040">
        <f>IF(U4040="","MISSING_TOTAL",IF(ABS(AB4040)&lt;=0.01,"OK","CHECK"))</f>
        <v/>
      </c>
      <c r="AE4040">
        <f>IF(U4040="","MISSING",IF(AND(AA4040&gt;0,U4040/AA4040&gt;50),"POSSIBLE_SCALE_ERROR","OK"))</f>
        <v/>
      </c>
    </row>
    <row r="4041">
      <c r="A4041" t="inlineStr">
        <is>
          <t>T-2011-Q4-00015</t>
        </is>
      </c>
      <c r="B4041" t="inlineStr">
        <is>
          <t>SLE</t>
        </is>
      </c>
      <c r="C4041" t="inlineStr">
        <is>
          <t>President</t>
        </is>
      </c>
      <c r="D4041" t="inlineStr">
        <is>
          <t>Président</t>
        </is>
      </c>
      <c r="E4041" t="inlineStr">
        <is>
          <t>Paul J. LeBlanc</t>
        </is>
      </c>
      <c r="F4041" t="inlineStr">
        <is>
          <t>For various meetings and discussions with Agency officials</t>
        </is>
      </c>
      <c r="G4041" t="inlineStr">
        <is>
          <t>Diverses réunions et discussions avec des fonctionnaires de l'Agence</t>
        </is>
      </c>
      <c r="H4041" s="1" t="n">
        <v>40524</v>
      </c>
      <c r="I4041" s="1" t="n">
        <v>40525</v>
      </c>
      <c r="J4041" t="inlineStr">
        <is>
          <t>Halifax, Nova Scotia</t>
        </is>
      </c>
      <c r="K4041" t="inlineStr">
        <is>
          <t>Halifax (Nouvelle-Écosse)</t>
        </is>
      </c>
      <c r="P4041" t="n">
        <v>0</v>
      </c>
      <c r="Q4041" t="n">
        <v>0</v>
      </c>
      <c r="R4041" t="n">
        <v>174.78</v>
      </c>
      <c r="S4041" t="n">
        <v>88.59999999999999</v>
      </c>
      <c r="T4041" t="n">
        <v>82.09</v>
      </c>
      <c r="U4041" t="n">
        <v>345.47</v>
      </c>
      <c r="X4041" t="inlineStr">
        <is>
          <t>acoa-apeca</t>
        </is>
      </c>
      <c r="Y4041" t="inlineStr">
        <is>
          <t>Atlantic Canada Opportunities Agency | Agence de promotion économique du Canada atlantique</t>
        </is>
      </c>
      <c r="Z4041" t="n">
        <v>2</v>
      </c>
      <c r="AA4041" t="n">
        <v>345.47</v>
      </c>
      <c r="AB4041">
        <f>ROUND(U4041-AA4041,2)</f>
        <v/>
      </c>
      <c r="AC4041" t="b">
        <v>0</v>
      </c>
      <c r="AD4041">
        <f>IF(U4041="","MISSING_TOTAL",IF(ABS(AB4041)&lt;=0.01,"OK","CHECK"))</f>
        <v/>
      </c>
      <c r="AE4041">
        <f>IF(U4041="","MISSING",IF(AND(AA4041&gt;0,U4041/AA4041&gt;50),"POSSIBLE_SCALE_ERROR","OK"))</f>
        <v/>
      </c>
    </row>
    <row r="4042">
      <c r="A4042" t="inlineStr">
        <is>
          <t>T-2011-Q4-00013</t>
        </is>
      </c>
      <c r="B4042" t="inlineStr">
        <is>
          <t>MPSES</t>
        </is>
      </c>
      <c r="C4042" t="inlineStr">
        <is>
          <t>Policy Advisor</t>
        </is>
      </c>
      <c r="D4042" t="inlineStr">
        <is>
          <t>Conseillère en politique</t>
        </is>
      </c>
      <c r="E4042" t="inlineStr">
        <is>
          <t>Guylaine Le Couteur</t>
        </is>
      </c>
      <c r="F4042" t="inlineStr">
        <is>
          <t>To attend various ACOA related meetings</t>
        </is>
      </c>
      <c r="G4042" t="inlineStr">
        <is>
          <t>Pour participer à diverses réunions de l'APECA</t>
        </is>
      </c>
      <c r="H4042" s="1" t="n">
        <v>40521</v>
      </c>
      <c r="I4042" s="1" t="n">
        <v>40525</v>
      </c>
      <c r="J4042" t="inlineStr">
        <is>
          <t>Shippagan, New Brunswick</t>
        </is>
      </c>
      <c r="K4042" t="inlineStr">
        <is>
          <t>Shippagan (Nouveau-Brunswick)</t>
        </is>
      </c>
      <c r="P4042" t="n">
        <v>0</v>
      </c>
      <c r="Q4042" t="n">
        <v>1444.85</v>
      </c>
      <c r="R4042" t="n">
        <v>242.55</v>
      </c>
      <c r="S4042" t="n">
        <v>397.3</v>
      </c>
      <c r="T4042" t="n">
        <v>0</v>
      </c>
      <c r="U4042" t="n">
        <v>2084.7</v>
      </c>
      <c r="X4042" t="inlineStr">
        <is>
          <t>acoa-apeca</t>
        </is>
      </c>
      <c r="Y4042" t="inlineStr">
        <is>
          <t>Atlantic Canada Opportunities Agency | Agence de promotion économique du Canada atlantique</t>
        </is>
      </c>
      <c r="Z4042" t="n">
        <v>5</v>
      </c>
      <c r="AA4042" t="n">
        <v>2084.7</v>
      </c>
      <c r="AB4042">
        <f>ROUND(U4042-AA4042,2)</f>
        <v/>
      </c>
      <c r="AC4042" t="b">
        <v>0</v>
      </c>
      <c r="AD4042">
        <f>IF(U4042="","MISSING_TOTAL",IF(ABS(AB4042)&lt;=0.01,"OK","CHECK"))</f>
        <v/>
      </c>
      <c r="AE4042">
        <f>IF(U4042="","MISSING",IF(AND(AA4042&gt;0,U4042/AA4042&gt;50),"POSSIBLE_SCALE_ERROR","OK"))</f>
        <v/>
      </c>
    </row>
    <row r="4043">
      <c r="A4043" t="inlineStr">
        <is>
          <t>T-2011-Q4-00012</t>
        </is>
      </c>
      <c r="B4043" t="inlineStr">
        <is>
          <t>SLE</t>
        </is>
      </c>
      <c r="C4043" t="inlineStr">
        <is>
          <t>Vice-President, Finance and Corporate Services</t>
        </is>
      </c>
      <c r="D4043" t="inlineStr">
        <is>
          <t>Vice-présidente, Finances et Services corporatifs</t>
        </is>
      </c>
      <c r="E4043" t="inlineStr">
        <is>
          <t>Denise Frenette</t>
        </is>
      </c>
      <c r="F4043" t="inlineStr">
        <is>
          <t>Meetings with Government of Canada Officials and Agency Officials</t>
        </is>
      </c>
      <c r="G4043" t="inlineStr">
        <is>
          <t>Réunions avec des fonctionnaires du gouvernement du Canada et de l'Agence</t>
        </is>
      </c>
      <c r="H4043" s="1" t="n">
        <v>40519</v>
      </c>
      <c r="I4043" s="1" t="n">
        <v>40520</v>
      </c>
      <c r="J4043" t="inlineStr">
        <is>
          <t>Ottawa, Ontario</t>
        </is>
      </c>
      <c r="K4043" t="inlineStr">
        <is>
          <t>Ottawa (Ontario)</t>
        </is>
      </c>
      <c r="P4043" t="n">
        <v>966</v>
      </c>
      <c r="Q4043" t="n">
        <v>69.94</v>
      </c>
      <c r="R4043" t="n">
        <v>174.02</v>
      </c>
      <c r="S4043" t="n">
        <v>85.2</v>
      </c>
      <c r="T4043" t="n">
        <v>24</v>
      </c>
      <c r="U4043" t="n">
        <v>1319.16</v>
      </c>
      <c r="X4043" t="inlineStr">
        <is>
          <t>acoa-apeca</t>
        </is>
      </c>
      <c r="Y4043" t="inlineStr">
        <is>
          <t>Atlantic Canada Opportunities Agency | Agence de promotion économique du Canada atlantique</t>
        </is>
      </c>
      <c r="Z4043" t="n">
        <v>2</v>
      </c>
      <c r="AA4043" t="n">
        <v>1319.16</v>
      </c>
      <c r="AB4043">
        <f>ROUND(U4043-AA4043,2)</f>
        <v/>
      </c>
      <c r="AC4043" t="b">
        <v>0</v>
      </c>
      <c r="AD4043">
        <f>IF(U4043="","MISSING_TOTAL",IF(ABS(AB4043)&lt;=0.01,"OK","CHECK"))</f>
        <v/>
      </c>
      <c r="AE4043">
        <f>IF(U4043="","MISSING",IF(AND(AA4043&gt;0,U4043/AA4043&gt;50),"POSSIBLE_SCALE_ERROR","OK"))</f>
        <v/>
      </c>
    </row>
    <row r="4044">
      <c r="A4044" t="inlineStr">
        <is>
          <t>T-2011-Q4-00011</t>
        </is>
      </c>
      <c r="B4044" t="inlineStr">
        <is>
          <t>SLE</t>
        </is>
      </c>
      <c r="C4044" t="inlineStr">
        <is>
          <t>Vice-President, New Brunswick</t>
        </is>
      </c>
      <c r="D4044" t="inlineStr">
        <is>
          <t>Vice-présidente, Nouveau-Brunswick</t>
        </is>
      </c>
      <c r="E4044" t="inlineStr">
        <is>
          <t>Janet Gagnon</t>
        </is>
      </c>
      <c r="F4044" t="inlineStr">
        <is>
          <t>Executive Committee Meeting</t>
        </is>
      </c>
      <c r="G4044" t="inlineStr">
        <is>
          <t>Réunion du Comité de direction</t>
        </is>
      </c>
      <c r="H4044" s="1" t="n">
        <v>40519</v>
      </c>
      <c r="I4044" s="1" t="n">
        <v>40520</v>
      </c>
      <c r="J4044" t="inlineStr">
        <is>
          <t>Ottawa, Ontario</t>
        </is>
      </c>
      <c r="K4044" t="inlineStr">
        <is>
          <t>Ottawa (Ontario)</t>
        </is>
      </c>
      <c r="P4044" t="n">
        <v>696.3099999999999</v>
      </c>
      <c r="Q4044" t="n">
        <v>75.37</v>
      </c>
      <c r="R4044" t="n">
        <v>174.02</v>
      </c>
      <c r="S4044" t="n">
        <v>156.5</v>
      </c>
      <c r="T4044" t="n">
        <v>20</v>
      </c>
      <c r="U4044" t="n">
        <v>1122.2</v>
      </c>
      <c r="X4044" t="inlineStr">
        <is>
          <t>acoa-apeca</t>
        </is>
      </c>
      <c r="Y4044" t="inlineStr">
        <is>
          <t>Atlantic Canada Opportunities Agency | Agence de promotion économique du Canada atlantique</t>
        </is>
      </c>
      <c r="Z4044" t="n">
        <v>2</v>
      </c>
      <c r="AA4044" t="n">
        <v>1122.19999999999</v>
      </c>
      <c r="AB4044">
        <f>ROUND(U4044-AA4044,2)</f>
        <v/>
      </c>
      <c r="AC4044" t="b">
        <v>0</v>
      </c>
      <c r="AD4044">
        <f>IF(U4044="","MISSING_TOTAL",IF(ABS(AB4044)&lt;=0.01,"OK","CHECK"))</f>
        <v/>
      </c>
      <c r="AE4044">
        <f>IF(U4044="","MISSING",IF(AND(AA4044&gt;0,U4044/AA4044&gt;50),"POSSIBLE_SCALE_ERROR","OK"))</f>
        <v/>
      </c>
    </row>
    <row r="4045">
      <c r="A4045" t="inlineStr">
        <is>
          <t>T-2011-Q4-00009</t>
        </is>
      </c>
      <c r="B4045" t="inlineStr">
        <is>
          <t>SLE</t>
        </is>
      </c>
      <c r="C4045" t="inlineStr">
        <is>
          <t>Vice President, Nova Scotia</t>
        </is>
      </c>
      <c r="D4045" t="inlineStr">
        <is>
          <t>Vice-président, Nouvelle-Écosse</t>
        </is>
      </c>
      <c r="E4045" t="inlineStr">
        <is>
          <t>Peter Hogan</t>
        </is>
      </c>
      <c r="F4045" t="inlineStr">
        <is>
          <t>Various Meetings with Agency Officials</t>
        </is>
      </c>
      <c r="G4045" t="inlineStr">
        <is>
          <t>Diverses réunions avec des fonctionnaires de l'Agence</t>
        </is>
      </c>
      <c r="H4045" s="1" t="n">
        <v>40518</v>
      </c>
      <c r="I4045" s="1" t="n">
        <v>40520</v>
      </c>
      <c r="J4045" t="inlineStr">
        <is>
          <t>Ottawa, Ontario</t>
        </is>
      </c>
      <c r="K4045" t="inlineStr">
        <is>
          <t>Ottawa (Ontario)</t>
        </is>
      </c>
      <c r="P4045" t="n">
        <v>571.09</v>
      </c>
      <c r="Q4045" t="n">
        <v>168.4</v>
      </c>
      <c r="R4045" t="n">
        <v>348.04</v>
      </c>
      <c r="S4045" t="n">
        <v>134.6</v>
      </c>
      <c r="T4045" t="n">
        <v>0</v>
      </c>
      <c r="U4045" t="n">
        <v>1222.13</v>
      </c>
      <c r="X4045" t="inlineStr">
        <is>
          <t>acoa-apeca</t>
        </is>
      </c>
      <c r="Y4045" t="inlineStr">
        <is>
          <t>Atlantic Canada Opportunities Agency | Agence de promotion économique du Canada atlantique</t>
        </is>
      </c>
      <c r="Z4045" t="n">
        <v>3</v>
      </c>
      <c r="AA4045" t="n">
        <v>1222.12999999999</v>
      </c>
      <c r="AB4045">
        <f>ROUND(U4045-AA4045,2)</f>
        <v/>
      </c>
      <c r="AC4045" t="b">
        <v>0</v>
      </c>
      <c r="AD4045">
        <f>IF(U4045="","MISSING_TOTAL",IF(ABS(AB4045)&lt;=0.01,"OK","CHECK"))</f>
        <v/>
      </c>
      <c r="AE4045">
        <f>IF(U4045="","MISSING",IF(AND(AA4045&gt;0,U4045/AA4045&gt;50),"POSSIBLE_SCALE_ERROR","OK"))</f>
        <v/>
      </c>
    </row>
    <row r="4046">
      <c r="A4046" t="inlineStr">
        <is>
          <t>T-2011-Q4-00008</t>
        </is>
      </c>
      <c r="B4046" t="inlineStr">
        <is>
          <t>MPSES</t>
        </is>
      </c>
      <c r="C4046" t="inlineStr">
        <is>
          <t>Regional Affairs Director</t>
        </is>
      </c>
      <c r="D4046" t="inlineStr">
        <is>
          <t>Directeur des affaires régionales</t>
        </is>
      </c>
      <c r="E4046" t="inlineStr">
        <is>
          <t>Raymond Vogan</t>
        </is>
      </c>
      <c r="F4046" t="inlineStr">
        <is>
          <t>To attend meetings with Minister</t>
        </is>
      </c>
      <c r="G4046" t="inlineStr">
        <is>
          <t>Pour participer à des réunions avec le ministre</t>
        </is>
      </c>
      <c r="H4046" s="1" t="n">
        <v>40518</v>
      </c>
      <c r="I4046" s="1" t="n">
        <v>40522</v>
      </c>
      <c r="J4046" t="inlineStr">
        <is>
          <t>Ottawa, Ontario</t>
        </is>
      </c>
      <c r="K4046" t="inlineStr">
        <is>
          <t>Ottawa (Ontario)</t>
        </is>
      </c>
      <c r="P4046" t="n">
        <v>735.25</v>
      </c>
      <c r="Q4046" t="n">
        <v>32</v>
      </c>
      <c r="R4046" t="n">
        <v>628.28</v>
      </c>
      <c r="S4046" t="n">
        <v>352</v>
      </c>
      <c r="T4046" t="n">
        <v>0</v>
      </c>
      <c r="U4046" t="n">
        <v>1747.53</v>
      </c>
      <c r="X4046" t="inlineStr">
        <is>
          <t>acoa-apeca</t>
        </is>
      </c>
      <c r="Y4046" t="inlineStr">
        <is>
          <t>Atlantic Canada Opportunities Agency | Agence de promotion économique du Canada atlantique</t>
        </is>
      </c>
      <c r="Z4046" t="n">
        <v>5</v>
      </c>
      <c r="AA4046" t="n">
        <v>1747.53</v>
      </c>
      <c r="AB4046">
        <f>ROUND(U4046-AA4046,2)</f>
        <v/>
      </c>
      <c r="AC4046" t="b">
        <v>0</v>
      </c>
      <c r="AD4046">
        <f>IF(U4046="","MISSING_TOTAL",IF(ABS(AB4046)&lt;=0.01,"OK","CHECK"))</f>
        <v/>
      </c>
      <c r="AE4046">
        <f>IF(U4046="","MISSING",IF(AND(AA4046&gt;0,U4046/AA4046&gt;50),"POSSIBLE_SCALE_ERROR","OK"))</f>
        <v/>
      </c>
    </row>
    <row r="4047">
      <c r="A4047" t="inlineStr">
        <is>
          <t>T-2011-Q4-00007</t>
        </is>
      </c>
      <c r="B4047" t="inlineStr">
        <is>
          <t>SLE</t>
        </is>
      </c>
      <c r="C4047" t="inlineStr">
        <is>
          <t>Vice-President, Prince Edward Island</t>
        </is>
      </c>
      <c r="D4047" t="inlineStr">
        <is>
          <t>Vice-président, Île-du-Prince-Édouard</t>
        </is>
      </c>
      <c r="E4047" t="inlineStr">
        <is>
          <t>Patrick Dorsey</t>
        </is>
      </c>
      <c r="F4047" t="inlineStr">
        <is>
          <t>Executive Committee Meeting</t>
        </is>
      </c>
      <c r="G4047" t="inlineStr">
        <is>
          <t>Réunion du Comité de direction</t>
        </is>
      </c>
      <c r="H4047" s="1" t="n">
        <v>40518</v>
      </c>
      <c r="I4047" s="1" t="n">
        <v>40520</v>
      </c>
      <c r="J4047" t="inlineStr">
        <is>
          <t>Ottawa, Ontario</t>
        </is>
      </c>
      <c r="K4047" t="inlineStr">
        <is>
          <t>Ottawa (Ontario)</t>
        </is>
      </c>
      <c r="P4047" t="n">
        <v>546.5</v>
      </c>
      <c r="Q4047" t="n">
        <v>341.56</v>
      </c>
      <c r="R4047" t="n">
        <v>348.04</v>
      </c>
      <c r="S4047" t="n">
        <v>148.5</v>
      </c>
      <c r="T4047" t="n">
        <v>0</v>
      </c>
      <c r="U4047" t="n">
        <v>1384.6</v>
      </c>
      <c r="X4047" t="inlineStr">
        <is>
          <t>acoa-apeca</t>
        </is>
      </c>
      <c r="Y4047" t="inlineStr">
        <is>
          <t>Atlantic Canada Opportunities Agency | Agence de promotion économique du Canada atlantique</t>
        </is>
      </c>
      <c r="Z4047" t="n">
        <v>3</v>
      </c>
      <c r="AA4047" t="n">
        <v>1384.6</v>
      </c>
      <c r="AB4047">
        <f>ROUND(U4047-AA4047,2)</f>
        <v/>
      </c>
      <c r="AC4047" t="b">
        <v>0</v>
      </c>
      <c r="AD4047">
        <f>IF(U4047="","MISSING_TOTAL",IF(ABS(AB4047)&lt;=0.01,"OK","CHECK"))</f>
        <v/>
      </c>
      <c r="AE4047">
        <f>IF(U4047="","MISSING",IF(AND(AA4047&gt;0,U4047/AA4047&gt;50),"POSSIBLE_SCALE_ERROR","OK"))</f>
        <v/>
      </c>
    </row>
    <row r="4048">
      <c r="A4048" t="inlineStr">
        <is>
          <t>T-2011-Q4-00005</t>
        </is>
      </c>
      <c r="B4048" t="inlineStr">
        <is>
          <t>SLE</t>
        </is>
      </c>
      <c r="C4048" t="inlineStr">
        <is>
          <t>President</t>
        </is>
      </c>
      <c r="D4048" t="inlineStr">
        <is>
          <t>Président</t>
        </is>
      </c>
      <c r="E4048" t="inlineStr">
        <is>
          <t>Paul J. LeBlanc</t>
        </is>
      </c>
      <c r="F4048" t="inlineStr">
        <is>
          <t>For various meetings and discussions with Agency and Government of Canada official</t>
        </is>
      </c>
      <c r="G4048" t="inlineStr">
        <is>
          <t>Diverses réunions et discussions avec des fonctionnaires de l'Agence et du gouvernement du Canada</t>
        </is>
      </c>
      <c r="H4048" s="1" t="n">
        <v>40518</v>
      </c>
      <c r="I4048" s="1" t="n">
        <v>40521</v>
      </c>
      <c r="J4048" t="inlineStr">
        <is>
          <t>Ottawa, Ontario</t>
        </is>
      </c>
      <c r="K4048" t="inlineStr">
        <is>
          <t>Ottawa (Ontario)</t>
        </is>
      </c>
      <c r="P4048" t="n">
        <v>278.79</v>
      </c>
      <c r="Q4048" t="n">
        <v>56.5</v>
      </c>
      <c r="R4048" t="n">
        <v>505.11</v>
      </c>
      <c r="S4048" t="n">
        <v>172.9</v>
      </c>
      <c r="T4048" t="n">
        <v>131.47</v>
      </c>
      <c r="U4048" t="n">
        <v>1144.77</v>
      </c>
      <c r="X4048" t="inlineStr">
        <is>
          <t>acoa-apeca</t>
        </is>
      </c>
      <c r="Y4048" t="inlineStr">
        <is>
          <t>Atlantic Canada Opportunities Agency | Agence de promotion économique du Canada atlantique</t>
        </is>
      </c>
      <c r="Z4048" t="n">
        <v>4</v>
      </c>
      <c r="AA4048" t="n">
        <v>1144.77</v>
      </c>
      <c r="AB4048">
        <f>ROUND(U4048-AA4048,2)</f>
        <v/>
      </c>
      <c r="AC4048" t="b">
        <v>0</v>
      </c>
      <c r="AD4048">
        <f>IF(U4048="","MISSING_TOTAL",IF(ABS(AB4048)&lt;=0.01,"OK","CHECK"))</f>
        <v/>
      </c>
      <c r="AE4048">
        <f>IF(U4048="","MISSING",IF(AND(AA4048&gt;0,U4048/AA4048&gt;50),"POSSIBLE_SCALE_ERROR","OK"))</f>
        <v/>
      </c>
    </row>
    <row r="4049">
      <c r="A4049" t="inlineStr">
        <is>
          <t>T-2011-Q4-00004</t>
        </is>
      </c>
      <c r="B4049" t="inlineStr">
        <is>
          <t>SLE</t>
        </is>
      </c>
      <c r="C4049" t="inlineStr">
        <is>
          <t>Vice-President, Newfoundland and Labrador</t>
        </is>
      </c>
      <c r="D4049" t="inlineStr">
        <is>
          <t>Vice-président, Terre-Neuve-et-Labrador</t>
        </is>
      </c>
      <c r="E4049" t="inlineStr">
        <is>
          <t>Paul Mills</t>
        </is>
      </c>
      <c r="F4049" t="inlineStr">
        <is>
          <t>To attend the Executive Committee Meeting;  VMT-CAE Simulation Meeting; and meetings with senior government officials</t>
        </is>
      </c>
      <c r="G4049" t="inlineStr">
        <is>
          <t>Réunion du Comité de direction, réunion sur les VMT/simulateurs CAE et réunions avec des hauts fonctionnaires</t>
        </is>
      </c>
      <c r="H4049" s="1" t="n">
        <v>40518</v>
      </c>
      <c r="I4049" s="1" t="n">
        <v>40520</v>
      </c>
      <c r="J4049" t="inlineStr">
        <is>
          <t>Ottawa, Ontario</t>
        </is>
      </c>
      <c r="K4049" t="inlineStr">
        <is>
          <t>Ottawa (Ontario)</t>
        </is>
      </c>
      <c r="P4049" t="n">
        <v>1264.76</v>
      </c>
      <c r="Q4049" t="n">
        <v>143</v>
      </c>
      <c r="R4049" t="n">
        <v>348.04</v>
      </c>
      <c r="S4049" t="n">
        <v>201.6</v>
      </c>
      <c r="T4049" t="n">
        <v>7.73</v>
      </c>
      <c r="U4049" t="n">
        <v>1965.13</v>
      </c>
      <c r="X4049" t="inlineStr">
        <is>
          <t>acoa-apeca</t>
        </is>
      </c>
      <c r="Y4049" t="inlineStr">
        <is>
          <t>Atlantic Canada Opportunities Agency | Agence de promotion économique du Canada atlantique</t>
        </is>
      </c>
      <c r="Z4049" t="n">
        <v>3</v>
      </c>
      <c r="AA4049" t="n">
        <v>1965.12999999999</v>
      </c>
      <c r="AB4049">
        <f>ROUND(U4049-AA4049,2)</f>
        <v/>
      </c>
      <c r="AC4049" t="b">
        <v>0</v>
      </c>
      <c r="AD4049">
        <f>IF(U4049="","MISSING_TOTAL",IF(ABS(AB4049)&lt;=0.01,"OK","CHECK"))</f>
        <v/>
      </c>
      <c r="AE4049">
        <f>IF(U4049="","MISSING",IF(AND(AA4049&gt;0,U4049/AA4049&gt;50),"POSSIBLE_SCALE_ERROR","OK"))</f>
        <v/>
      </c>
    </row>
    <row r="4050">
      <c r="A4050" t="inlineStr">
        <is>
          <t>T-2011-Q4-00003</t>
        </is>
      </c>
      <c r="B4050" t="inlineStr">
        <is>
          <t>MPSES</t>
        </is>
      </c>
      <c r="C4050" t="inlineStr">
        <is>
          <t>Regional Affairs Director</t>
        </is>
      </c>
      <c r="D4050" t="inlineStr">
        <is>
          <t>Directeur des affaires régionales</t>
        </is>
      </c>
      <c r="E4050" t="inlineStr">
        <is>
          <t>Raymond Vogan</t>
        </is>
      </c>
      <c r="F4050" t="inlineStr">
        <is>
          <t>To attend meetings on regional issues</t>
        </is>
      </c>
      <c r="G4050" t="inlineStr">
        <is>
          <t>Pour participer à des réunions sur des enjeux régionaux</t>
        </is>
      </c>
      <c r="H4050" s="1" t="n">
        <v>40517</v>
      </c>
      <c r="I4050" s="1" t="n">
        <v>40517</v>
      </c>
      <c r="J4050" t="inlineStr">
        <is>
          <t>Moncton, New Brunswick</t>
        </is>
      </c>
      <c r="K4050" t="inlineStr">
        <is>
          <t>Moncton (Nouveau-Brunswick)</t>
        </is>
      </c>
      <c r="P4050" t="n">
        <v>0</v>
      </c>
      <c r="Q4050" t="n">
        <v>185.63</v>
      </c>
      <c r="R4050" t="n">
        <v>0</v>
      </c>
      <c r="S4050" t="n">
        <v>28.7</v>
      </c>
      <c r="T4050" t="n">
        <v>0</v>
      </c>
      <c r="U4050" t="n">
        <v>214.33</v>
      </c>
      <c r="X4050" t="inlineStr">
        <is>
          <t>acoa-apeca</t>
        </is>
      </c>
      <c r="Y4050" t="inlineStr">
        <is>
          <t>Atlantic Canada Opportunities Agency | Agence de promotion économique du Canada atlantique</t>
        </is>
      </c>
      <c r="Z4050" t="n">
        <v>1</v>
      </c>
      <c r="AA4050" t="n">
        <v>214.329999999999</v>
      </c>
      <c r="AB4050">
        <f>ROUND(U4050-AA4050,2)</f>
        <v/>
      </c>
      <c r="AC4050" t="b">
        <v>0</v>
      </c>
      <c r="AD4050">
        <f>IF(U4050="","MISSING_TOTAL",IF(ABS(AB4050)&lt;=0.01,"OK","CHECK"))</f>
        <v/>
      </c>
      <c r="AE4050">
        <f>IF(U4050="","MISSING",IF(AND(AA4050&gt;0,U4050/AA4050&gt;50),"POSSIBLE_SCALE_ERROR","OK"))</f>
        <v/>
      </c>
    </row>
    <row r="4051">
      <c r="A4051" t="inlineStr">
        <is>
          <t>T-2011-Q4-00002</t>
        </is>
      </c>
      <c r="B4051" t="inlineStr">
        <is>
          <t>MPSES</t>
        </is>
      </c>
      <c r="C4051" t="inlineStr">
        <is>
          <t>Regional Special Assistant</t>
        </is>
      </c>
      <c r="D4051" t="inlineStr">
        <is>
          <t>Adjointe spéciale régionale</t>
        </is>
      </c>
      <c r="E4051" t="inlineStr">
        <is>
          <t>Neyda Long</t>
        </is>
      </c>
      <c r="F4051" t="inlineStr">
        <is>
          <t>To attend meetings - regional issues</t>
        </is>
      </c>
      <c r="G4051" t="inlineStr">
        <is>
          <t>Pour participer à des réunions sur des enjeux régionaux</t>
        </is>
      </c>
      <c r="H4051" s="1" t="n">
        <v>40517</v>
      </c>
      <c r="I4051" s="1" t="n">
        <v>40517</v>
      </c>
      <c r="J4051" t="inlineStr">
        <is>
          <t>Moncton, New Brunswick</t>
        </is>
      </c>
      <c r="K4051" t="inlineStr">
        <is>
          <t>Moncton (Nouveau-Brunswick)</t>
        </is>
      </c>
      <c r="P4051" t="n">
        <v>0</v>
      </c>
      <c r="Q4051" t="n">
        <v>0</v>
      </c>
      <c r="R4051" t="n">
        <v>0</v>
      </c>
      <c r="S4051" t="n">
        <v>28.7</v>
      </c>
      <c r="T4051" t="n">
        <v>0</v>
      </c>
      <c r="U4051" t="n">
        <v>28.7</v>
      </c>
      <c r="X4051" t="inlineStr">
        <is>
          <t>acoa-apeca</t>
        </is>
      </c>
      <c r="Y4051" t="inlineStr">
        <is>
          <t>Atlantic Canada Opportunities Agency | Agence de promotion économique du Canada atlantique</t>
        </is>
      </c>
      <c r="Z4051" t="n">
        <v>1</v>
      </c>
      <c r="AA4051" t="n">
        <v>28.7</v>
      </c>
      <c r="AB4051">
        <f>ROUND(U4051-AA4051,2)</f>
        <v/>
      </c>
      <c r="AC4051" t="b">
        <v>0</v>
      </c>
      <c r="AD4051">
        <f>IF(U4051="","MISSING_TOTAL",IF(ABS(AB4051)&lt;=0.01,"OK","CHECK"))</f>
        <v/>
      </c>
      <c r="AE4051">
        <f>IF(U4051="","MISSING",IF(AND(AA4051&gt;0,U4051/AA4051&gt;50),"POSSIBLE_SCALE_ERROR","OK"))</f>
        <v/>
      </c>
    </row>
    <row r="4052">
      <c r="A4052" t="inlineStr">
        <is>
          <t>T-2017-Q4-00041</t>
        </is>
      </c>
      <c r="B4052" t="inlineStr">
        <is>
          <t>SLE</t>
        </is>
      </c>
      <c r="C4052" t="inlineStr">
        <is>
          <t>Vice President, Nova Scotia</t>
        </is>
      </c>
      <c r="D4052" t="inlineStr">
        <is>
          <t>Vice-président, Nouvelle-Écosse</t>
        </is>
      </c>
      <c r="E4052" t="inlineStr">
        <is>
          <t>Peter Hogan</t>
        </is>
      </c>
      <c r="F4052" t="inlineStr">
        <is>
          <t>Meeting with Agency officials</t>
        </is>
      </c>
      <c r="G4052" t="inlineStr">
        <is>
          <t>Réunion avec des fonctionnaires de l'Agence</t>
        </is>
      </c>
      <c r="H4052" s="1" t="n">
        <v>42711</v>
      </c>
      <c r="I4052" s="1" t="n">
        <v>42712</v>
      </c>
      <c r="J4052" t="inlineStr">
        <is>
          <t>Moncton, New Brunswick</t>
        </is>
      </c>
      <c r="K4052" t="inlineStr">
        <is>
          <t>Moncton (Nouveau-Brunswick)</t>
        </is>
      </c>
      <c r="P4052" t="n">
        <v>0</v>
      </c>
      <c r="Q4052" t="n">
        <v>16.1</v>
      </c>
      <c r="R4052" t="n">
        <v>121.9</v>
      </c>
      <c r="S4052" t="n">
        <v>177.2</v>
      </c>
      <c r="T4052" t="n">
        <v>0</v>
      </c>
      <c r="U4052" t="n">
        <v>315.2</v>
      </c>
      <c r="X4052" t="inlineStr">
        <is>
          <t>acoa-apeca</t>
        </is>
      </c>
      <c r="Y4052" t="inlineStr">
        <is>
          <t>Atlantic Canada Opportunities Agency | Agence de promotion économique du Canada atlantique</t>
        </is>
      </c>
      <c r="Z4052" t="n">
        <v>2</v>
      </c>
      <c r="AA4052" t="n">
        <v>315.2</v>
      </c>
      <c r="AB4052">
        <f>ROUND(U4052-AA4052,2)</f>
        <v/>
      </c>
      <c r="AC4052" t="b">
        <v>0</v>
      </c>
      <c r="AD4052">
        <f>IF(U4052="","MISSING_TOTAL",IF(ABS(AB4052)&lt;=0.01,"OK","CHECK"))</f>
        <v/>
      </c>
      <c r="AE4052">
        <f>IF(U4052="","MISSING",IF(AND(AA4052&gt;0,U4052/AA4052&gt;50),"POSSIBLE_SCALE_ERROR","OK"))</f>
        <v/>
      </c>
    </row>
    <row r="4053">
      <c r="A4053" t="inlineStr">
        <is>
          <t>T-2017-Q4-00040</t>
        </is>
      </c>
      <c r="B4053" t="inlineStr">
        <is>
          <t>SLE</t>
        </is>
      </c>
      <c r="C4053" t="inlineStr">
        <is>
          <t>Acting Vice-President, Nova-Scotia</t>
        </is>
      </c>
      <c r="D4053" t="inlineStr">
        <is>
          <t>Vice-président par intérim, Nouvelle-Écosse</t>
        </is>
      </c>
      <c r="E4053" t="inlineStr">
        <is>
          <t>Patrick Dorsey</t>
        </is>
      </c>
      <c r="F4053" t="inlineStr">
        <is>
          <t>Assignment in Halifax</t>
        </is>
      </c>
      <c r="G4053" t="inlineStr">
        <is>
          <t>Affectation à Halifax</t>
        </is>
      </c>
      <c r="H4053" s="1" t="n">
        <v>42767</v>
      </c>
      <c r="I4053" s="1" t="n">
        <v>42794</v>
      </c>
      <c r="J4053" t="inlineStr">
        <is>
          <t>Halifax, Nova Scotia</t>
        </is>
      </c>
      <c r="K4053" t="inlineStr">
        <is>
          <t>Halifax (Nouvelle-Écosse)</t>
        </is>
      </c>
      <c r="P4053" t="n">
        <v>0</v>
      </c>
      <c r="Q4053" t="n">
        <v>0</v>
      </c>
      <c r="R4053" t="n">
        <v>3080</v>
      </c>
      <c r="S4053" t="n">
        <v>1083.05</v>
      </c>
      <c r="T4053" t="n">
        <v>0</v>
      </c>
      <c r="U4053" t="n">
        <v>4163.05</v>
      </c>
      <c r="X4053" t="inlineStr">
        <is>
          <t>acoa-apeca</t>
        </is>
      </c>
      <c r="Y4053" t="inlineStr">
        <is>
          <t>Atlantic Canada Opportunities Agency | Agence de promotion économique du Canada atlantique</t>
        </is>
      </c>
      <c r="Z4053" t="n">
        <v>28</v>
      </c>
      <c r="AA4053" t="n">
        <v>4163.05</v>
      </c>
      <c r="AB4053">
        <f>ROUND(U4053-AA4053,2)</f>
        <v/>
      </c>
      <c r="AC4053" t="b">
        <v>0</v>
      </c>
      <c r="AD4053">
        <f>IF(U4053="","MISSING_TOTAL",IF(ABS(AB4053)&lt;=0.01,"OK","CHECK"))</f>
        <v/>
      </c>
      <c r="AE4053">
        <f>IF(U4053="","MISSING",IF(AND(AA4053&gt;0,U4053/AA4053&gt;50),"POSSIBLE_SCALE_ERROR","OK"))</f>
        <v/>
      </c>
    </row>
    <row r="4054">
      <c r="A4054" t="inlineStr">
        <is>
          <t>T-2017-Q4-00039</t>
        </is>
      </c>
      <c r="B4054" t="inlineStr">
        <is>
          <t>SLE</t>
        </is>
      </c>
      <c r="C4054" t="inlineStr">
        <is>
          <t>Acting Vice-President, Nova-Scotia</t>
        </is>
      </c>
      <c r="D4054" t="inlineStr">
        <is>
          <t>Vice-président par intérim, Nouvelle-Écosse</t>
        </is>
      </c>
      <c r="E4054" t="inlineStr">
        <is>
          <t>Patrick Dorsey</t>
        </is>
      </c>
      <c r="F4054" t="inlineStr">
        <is>
          <t>Assignment in Halifax</t>
        </is>
      </c>
      <c r="G4054" t="inlineStr">
        <is>
          <t>Affectation à Halifax</t>
        </is>
      </c>
      <c r="H4054" s="1" t="n">
        <v>42737</v>
      </c>
      <c r="I4054" s="1" t="n">
        <v>42766</v>
      </c>
      <c r="J4054" t="inlineStr">
        <is>
          <t>Halifax, Nova Scotia</t>
        </is>
      </c>
      <c r="K4054" t="inlineStr">
        <is>
          <t>Halifax (Nouvelle-Écosse)</t>
        </is>
      </c>
      <c r="P4054" t="n">
        <v>0</v>
      </c>
      <c r="Q4054" t="n">
        <v>843.64</v>
      </c>
      <c r="R4054" t="n">
        <v>3336.21</v>
      </c>
      <c r="S4054" t="n">
        <v>2045.2</v>
      </c>
      <c r="T4054" t="n">
        <v>0</v>
      </c>
      <c r="U4054" t="n">
        <v>6225.05</v>
      </c>
      <c r="X4054" t="inlineStr">
        <is>
          <t>acoa-apeca</t>
        </is>
      </c>
      <c r="Y4054" t="inlineStr">
        <is>
          <t>Atlantic Canada Opportunities Agency | Agence de promotion économique du Canada atlantique</t>
        </is>
      </c>
      <c r="Z4054" t="n">
        <v>30</v>
      </c>
      <c r="AA4054" t="n">
        <v>6225.05</v>
      </c>
      <c r="AB4054">
        <f>ROUND(U4054-AA4054,2)</f>
        <v/>
      </c>
      <c r="AC4054" t="b">
        <v>0</v>
      </c>
      <c r="AD4054">
        <f>IF(U4054="","MISSING_TOTAL",IF(ABS(AB4054)&lt;=0.01,"OK","CHECK"))</f>
        <v/>
      </c>
      <c r="AE4054">
        <f>IF(U4054="","MISSING",IF(AND(AA4054&gt;0,U4054/AA4054&gt;50),"POSSIBLE_SCALE_ERROR","OK"))</f>
        <v/>
      </c>
    </row>
    <row r="4055">
      <c r="A4055" t="inlineStr">
        <is>
          <t>T-2017-Q4-00019</t>
        </is>
      </c>
      <c r="B4055" t="inlineStr">
        <is>
          <t>SLE</t>
        </is>
      </c>
      <c r="C4055" t="inlineStr">
        <is>
          <t>Vice-President, Newfoundland and Labrador</t>
        </is>
      </c>
      <c r="D4055" t="inlineStr">
        <is>
          <t>Vice-président, Terre-Neuve-et-Labrador</t>
        </is>
      </c>
      <c r="E4055" t="inlineStr">
        <is>
          <t>Ken Martin</t>
        </is>
      </c>
      <c r="F4055" t="inlineStr">
        <is>
          <t>Attend Executive Committee Meeting</t>
        </is>
      </c>
      <c r="G4055" t="inlineStr">
        <is>
          <t>Assister à une réunion du Comité de direction</t>
        </is>
      </c>
      <c r="H4055" s="1" t="n">
        <v>42767</v>
      </c>
      <c r="I4055" s="1" t="n">
        <v>42768</v>
      </c>
      <c r="J4055" t="inlineStr">
        <is>
          <t>Moncton, New-Brunswick</t>
        </is>
      </c>
      <c r="K4055" t="inlineStr">
        <is>
          <t>Moncton (Nouveau-Brunswick)</t>
        </is>
      </c>
      <c r="P4055" t="n">
        <v>986.79</v>
      </c>
      <c r="Q4055" t="n">
        <v>40.54</v>
      </c>
      <c r="R4055" t="n">
        <v>119.6</v>
      </c>
      <c r="S4055" t="n">
        <v>159.95</v>
      </c>
      <c r="T4055" t="n">
        <v>0</v>
      </c>
      <c r="U4055" t="n">
        <v>1306.88</v>
      </c>
      <c r="X4055" t="inlineStr">
        <is>
          <t>acoa-apeca</t>
        </is>
      </c>
      <c r="Y4055" t="inlineStr">
        <is>
          <t>Atlantic Canada Opportunities Agency | Agence de promotion économique du Canada atlantique</t>
        </is>
      </c>
      <c r="Z4055" t="n">
        <v>2</v>
      </c>
      <c r="AA4055" t="n">
        <v>1306.87999999999</v>
      </c>
      <c r="AB4055">
        <f>ROUND(U4055-AA4055,2)</f>
        <v/>
      </c>
      <c r="AC4055" t="b">
        <v>0</v>
      </c>
      <c r="AD4055">
        <f>IF(U4055="","MISSING_TOTAL",IF(ABS(AB4055)&lt;=0.01,"OK","CHECK"))</f>
        <v/>
      </c>
      <c r="AE4055">
        <f>IF(U4055="","MISSING",IF(AND(AA4055&gt;0,U4055/AA4055&gt;50),"POSSIBLE_SCALE_ERROR","OK"))</f>
        <v/>
      </c>
    </row>
    <row r="4056">
      <c r="A4056" t="inlineStr">
        <is>
          <t>T-2017-Q4-00038</t>
        </is>
      </c>
      <c r="B4056" t="inlineStr">
        <is>
          <t>SLE</t>
        </is>
      </c>
      <c r="C4056" t="inlineStr">
        <is>
          <t>Acting Vice-President, Nova-Scotia</t>
        </is>
      </c>
      <c r="D4056" t="inlineStr">
        <is>
          <t>Vice-président par intérim, Nouvelle-Écosse</t>
        </is>
      </c>
      <c r="E4056" t="inlineStr">
        <is>
          <t>Patrick Dorsey</t>
        </is>
      </c>
      <c r="F4056" t="inlineStr">
        <is>
          <t>Various meetings with Agency and Government of Canada officials</t>
        </is>
      </c>
      <c r="G4056" t="inlineStr">
        <is>
          <t>Diverses réunions avec des fonctionnaires de l'Agence et du gouvernement du Canada</t>
        </is>
      </c>
      <c r="H4056" s="1" t="n">
        <v>42773</v>
      </c>
      <c r="I4056" s="1" t="n">
        <v>42774</v>
      </c>
      <c r="J4056" t="inlineStr">
        <is>
          <t>Ottawa, Ontario</t>
        </is>
      </c>
      <c r="K4056" t="inlineStr">
        <is>
          <t>Ottawa (Ontario)</t>
        </is>
      </c>
      <c r="P4056" t="n">
        <v>690.46</v>
      </c>
      <c r="Q4056" t="n">
        <v>213.93</v>
      </c>
      <c r="R4056" t="n">
        <v>231.62</v>
      </c>
      <c r="S4056" t="n">
        <v>120</v>
      </c>
      <c r="T4056" t="n">
        <v>0</v>
      </c>
      <c r="U4056" t="n">
        <v>1256.01</v>
      </c>
      <c r="X4056" t="inlineStr">
        <is>
          <t>acoa-apeca</t>
        </is>
      </c>
      <c r="Y4056" t="inlineStr">
        <is>
          <t>Atlantic Canada Opportunities Agency | Agence de promotion économique du Canada atlantique</t>
        </is>
      </c>
      <c r="Z4056" t="n">
        <v>2</v>
      </c>
      <c r="AA4056" t="n">
        <v>1256.01</v>
      </c>
      <c r="AB4056">
        <f>ROUND(U4056-AA4056,2)</f>
        <v/>
      </c>
      <c r="AC4056" t="b">
        <v>0</v>
      </c>
      <c r="AD4056">
        <f>IF(U4056="","MISSING_TOTAL",IF(ABS(AB4056)&lt;=0.01,"OK","CHECK"))</f>
        <v/>
      </c>
      <c r="AE4056">
        <f>IF(U4056="","MISSING",IF(AND(AA4056&gt;0,U4056/AA4056&gt;50),"POSSIBLE_SCALE_ERROR","OK"))</f>
        <v/>
      </c>
    </row>
    <row r="4057">
      <c r="A4057" t="inlineStr">
        <is>
          <t>T-2017-Q4-00037</t>
        </is>
      </c>
      <c r="B4057" t="inlineStr">
        <is>
          <t>SLE</t>
        </is>
      </c>
      <c r="C4057" t="inlineStr">
        <is>
          <t>Acting Vice-President, Nova-Scotia</t>
        </is>
      </c>
      <c r="D4057" t="inlineStr">
        <is>
          <t>Vice-président par intérim, Nouvelle-Écosse</t>
        </is>
      </c>
      <c r="E4057" t="inlineStr">
        <is>
          <t>Patrick Dorsey</t>
        </is>
      </c>
      <c r="F4057" t="inlineStr">
        <is>
          <t>Meeting with Agency officials</t>
        </is>
      </c>
      <c r="G4057" t="inlineStr">
        <is>
          <t>Réunion avec des fonctionnaires de l'Agence</t>
        </is>
      </c>
      <c r="H4057" s="1" t="n">
        <v>42767</v>
      </c>
      <c r="I4057" s="1" t="n">
        <v>42768</v>
      </c>
      <c r="J4057" t="inlineStr">
        <is>
          <t>Moncton, New Brunswick</t>
        </is>
      </c>
      <c r="K4057" t="inlineStr">
        <is>
          <t>Moncton (Nouveau-Brunswick)</t>
        </is>
      </c>
      <c r="P4057" t="n">
        <v>0</v>
      </c>
      <c r="Q4057" t="n">
        <v>16.1</v>
      </c>
      <c r="R4057" t="n">
        <v>119.6</v>
      </c>
      <c r="S4057" t="n">
        <v>107.05</v>
      </c>
      <c r="T4057" t="n">
        <v>0</v>
      </c>
      <c r="U4057" t="n">
        <v>242.75</v>
      </c>
      <c r="X4057" t="inlineStr">
        <is>
          <t>acoa-apeca</t>
        </is>
      </c>
      <c r="Y4057" t="inlineStr">
        <is>
          <t>Atlantic Canada Opportunities Agency | Agence de promotion économique du Canada atlantique</t>
        </is>
      </c>
      <c r="Z4057" t="n">
        <v>2</v>
      </c>
      <c r="AA4057" t="n">
        <v>242.75</v>
      </c>
      <c r="AB4057">
        <f>ROUND(U4057-AA4057,2)</f>
        <v/>
      </c>
      <c r="AC4057" t="b">
        <v>0</v>
      </c>
      <c r="AD4057">
        <f>IF(U4057="","MISSING_TOTAL",IF(ABS(AB4057)&lt;=0.01,"OK","CHECK"))</f>
        <v/>
      </c>
      <c r="AE4057">
        <f>IF(U4057="","MISSING",IF(AND(AA4057&gt;0,U4057/AA4057&gt;50),"POSSIBLE_SCALE_ERROR","OK"))</f>
        <v/>
      </c>
    </row>
    <row r="4058">
      <c r="A4058" t="inlineStr">
        <is>
          <t>T-2017-Q4-00036</t>
        </is>
      </c>
      <c r="B4058" t="inlineStr">
        <is>
          <t>SLE</t>
        </is>
      </c>
      <c r="C4058" t="inlineStr">
        <is>
          <t>Acting Vice-President, Nova-Scotia</t>
        </is>
      </c>
      <c r="D4058" t="inlineStr">
        <is>
          <t>Vice-président par intérim, Nouvelle-Écosse</t>
        </is>
      </c>
      <c r="E4058" t="inlineStr">
        <is>
          <t>Patrick Dorsey</t>
        </is>
      </c>
      <c r="F4058" t="inlineStr">
        <is>
          <t>Professional development</t>
        </is>
      </c>
      <c r="G4058" t="inlineStr">
        <is>
          <t>Perfectionnement professionnel</t>
        </is>
      </c>
      <c r="H4058" s="1" t="n">
        <v>42757</v>
      </c>
      <c r="I4058" s="1" t="n">
        <v>42760</v>
      </c>
      <c r="J4058" t="inlineStr">
        <is>
          <t>Toronto, Ontario</t>
        </is>
      </c>
      <c r="K4058" t="inlineStr">
        <is>
          <t>Toronto (Ontario)</t>
        </is>
      </c>
      <c r="P4058" t="n">
        <v>686.9400000000001</v>
      </c>
      <c r="Q4058" t="n">
        <v>172</v>
      </c>
      <c r="R4058" t="n">
        <v>518.52</v>
      </c>
      <c r="S4058" t="n">
        <v>285.65</v>
      </c>
      <c r="T4058" t="n">
        <v>0</v>
      </c>
      <c r="U4058" t="n">
        <v>1663.11</v>
      </c>
      <c r="X4058" t="inlineStr">
        <is>
          <t>acoa-apeca</t>
        </is>
      </c>
      <c r="Y4058" t="inlineStr">
        <is>
          <t>Atlantic Canada Opportunities Agency | Agence de promotion économique du Canada atlantique</t>
        </is>
      </c>
      <c r="Z4058" t="n">
        <v>4</v>
      </c>
      <c r="AA4058" t="n">
        <v>1663.11</v>
      </c>
      <c r="AB4058">
        <f>ROUND(U4058-AA4058,2)</f>
        <v/>
      </c>
      <c r="AC4058" t="b">
        <v>0</v>
      </c>
      <c r="AD4058">
        <f>IF(U4058="","MISSING_TOTAL",IF(ABS(AB4058)&lt;=0.01,"OK","CHECK"))</f>
        <v/>
      </c>
      <c r="AE4058">
        <f>IF(U4058="","MISSING",IF(AND(AA4058&gt;0,U4058/AA4058&gt;50),"POSSIBLE_SCALE_ERROR","OK"))</f>
        <v/>
      </c>
    </row>
    <row r="4059">
      <c r="A4059" t="inlineStr">
        <is>
          <t>T-2017-Q4-00035</t>
        </is>
      </c>
      <c r="B4059" t="inlineStr">
        <is>
          <t>SLE</t>
        </is>
      </c>
      <c r="C4059" t="inlineStr">
        <is>
          <t>Acting Vice-President, Nova-Scotia</t>
        </is>
      </c>
      <c r="D4059" t="inlineStr">
        <is>
          <t>Vice-président par intérim, Nouvelle-Écosse</t>
        </is>
      </c>
      <c r="E4059" t="inlineStr">
        <is>
          <t>Patrick Dorsey</t>
        </is>
      </c>
      <c r="F4059" t="inlineStr">
        <is>
          <t>Various meetings with Agency officials and clients</t>
        </is>
      </c>
      <c r="G4059" t="inlineStr">
        <is>
          <t>Diverses réunions avec des fonctionnaires de l'Agence et des clients</t>
        </is>
      </c>
      <c r="H4059" s="1" t="n">
        <v>42745</v>
      </c>
      <c r="I4059" s="1" t="n">
        <v>42745</v>
      </c>
      <c r="J4059" t="inlineStr">
        <is>
          <t>Sydney, Nova Scotia</t>
        </is>
      </c>
      <c r="K4059" t="inlineStr">
        <is>
          <t>Sydney (Nouvelle-Écosse)</t>
        </is>
      </c>
      <c r="P4059" t="n">
        <v>477.75</v>
      </c>
      <c r="Q4059" t="n">
        <v>168</v>
      </c>
      <c r="R4059" t="n">
        <v>0</v>
      </c>
      <c r="S4059" t="n">
        <v>79.8</v>
      </c>
      <c r="T4059" t="n">
        <v>0</v>
      </c>
      <c r="U4059" t="n">
        <v>725.55</v>
      </c>
      <c r="X4059" t="inlineStr">
        <is>
          <t>acoa-apeca</t>
        </is>
      </c>
      <c r="Y4059" t="inlineStr">
        <is>
          <t>Atlantic Canada Opportunities Agency | Agence de promotion économique du Canada atlantique</t>
        </is>
      </c>
      <c r="Z4059" t="n">
        <v>1</v>
      </c>
      <c r="AA4059" t="n">
        <v>725.55</v>
      </c>
      <c r="AB4059">
        <f>ROUND(U4059-AA4059,2)</f>
        <v/>
      </c>
      <c r="AC4059" t="b">
        <v>0</v>
      </c>
      <c r="AD4059">
        <f>IF(U4059="","MISSING_TOTAL",IF(ABS(AB4059)&lt;=0.01,"OK","CHECK"))</f>
        <v/>
      </c>
      <c r="AE4059">
        <f>IF(U4059="","MISSING",IF(AND(AA4059&gt;0,U4059/AA4059&gt;50),"POSSIBLE_SCALE_ERROR","OK"))</f>
        <v/>
      </c>
    </row>
    <row r="4060">
      <c r="A4060" t="inlineStr">
        <is>
          <t>T-2017-Q4-00024</t>
        </is>
      </c>
      <c r="B4060" t="inlineStr">
        <is>
          <t>SLE</t>
        </is>
      </c>
      <c r="C4060" t="inlineStr">
        <is>
          <t>Acting Vice-President, Nova-Scotia</t>
        </is>
      </c>
      <c r="D4060" t="inlineStr">
        <is>
          <t>Vice-président par intérim, Nouvelle-Écosse</t>
        </is>
      </c>
      <c r="E4060" t="inlineStr">
        <is>
          <t>Patrick Dorsey</t>
        </is>
      </c>
      <c r="F4060" t="inlineStr">
        <is>
          <t>Assignment in Halifax</t>
        </is>
      </c>
      <c r="G4060" t="inlineStr">
        <is>
          <t>Affectation à Halifax</t>
        </is>
      </c>
      <c r="H4060" s="1" t="n">
        <v>42723</v>
      </c>
      <c r="I4060" s="1" t="n">
        <v>42727</v>
      </c>
      <c r="J4060" t="inlineStr">
        <is>
          <t>Halifax, Nova Scotia</t>
        </is>
      </c>
      <c r="K4060" t="inlineStr">
        <is>
          <t>Halifax (Nouvelle-Écosse)</t>
        </is>
      </c>
      <c r="P4060" t="n">
        <v>0</v>
      </c>
      <c r="Q4060" t="n">
        <v>449.63</v>
      </c>
      <c r="R4060" t="n">
        <v>703.8</v>
      </c>
      <c r="S4060" t="n">
        <v>520.05</v>
      </c>
      <c r="T4060" t="n">
        <v>55</v>
      </c>
      <c r="U4060" t="n">
        <v>1728.48</v>
      </c>
      <c r="X4060" t="inlineStr">
        <is>
          <t>acoa-apeca</t>
        </is>
      </c>
      <c r="Y4060" t="inlineStr">
        <is>
          <t>Atlantic Canada Opportunities Agency | Agence de promotion économique du Canada atlantique</t>
        </is>
      </c>
      <c r="Z4060" t="n">
        <v>5</v>
      </c>
      <c r="AA4060" t="n">
        <v>1728.47999999999</v>
      </c>
      <c r="AB4060">
        <f>ROUND(U4060-AA4060,2)</f>
        <v/>
      </c>
      <c r="AC4060" t="b">
        <v>0</v>
      </c>
      <c r="AD4060">
        <f>IF(U4060="","MISSING_TOTAL",IF(ABS(AB4060)&lt;=0.01,"OK","CHECK"))</f>
        <v/>
      </c>
      <c r="AE4060">
        <f>IF(U4060="","MISSING",IF(AND(AA4060&gt;0,U4060/AA4060&gt;50),"POSSIBLE_SCALE_ERROR","OK"))</f>
        <v/>
      </c>
    </row>
    <row r="4061">
      <c r="A4061" t="inlineStr">
        <is>
          <t>T-2017-Q4-00022</t>
        </is>
      </c>
      <c r="B4061" t="inlineStr">
        <is>
          <t>SLE</t>
        </is>
      </c>
      <c r="C4061" t="inlineStr">
        <is>
          <t>Vice-President, Newfoundland and Labrador</t>
        </is>
      </c>
      <c r="D4061" t="inlineStr">
        <is>
          <t>Vice-président, Terre-Neuve-et-Labrador</t>
        </is>
      </c>
      <c r="E4061" t="inlineStr">
        <is>
          <t>Ken Martin</t>
        </is>
      </c>
      <c r="F4061" t="inlineStr">
        <is>
          <t>Meeting with senior government officials</t>
        </is>
      </c>
      <c r="G4061" t="inlineStr">
        <is>
          <t>Réunion avec des hauts fonctionnaires</t>
        </is>
      </c>
      <c r="H4061" s="1" t="n">
        <v>42773</v>
      </c>
      <c r="I4061" s="1" t="n">
        <v>42773</v>
      </c>
      <c r="J4061" t="inlineStr">
        <is>
          <t>Chapel's Cove, Newfoundland and Labrador</t>
        </is>
      </c>
      <c r="K4061" t="inlineStr">
        <is>
          <t>Chapel's Cove (Terre-Neuve-et-Labrador)</t>
        </is>
      </c>
      <c r="P4061" t="n">
        <v>0</v>
      </c>
      <c r="Q4061" t="n">
        <v>81.03</v>
      </c>
      <c r="R4061" t="n">
        <v>0</v>
      </c>
      <c r="S4061" t="n">
        <v>17.25</v>
      </c>
      <c r="T4061" t="n">
        <v>0</v>
      </c>
      <c r="U4061" t="n">
        <v>98.28</v>
      </c>
      <c r="X4061" t="inlineStr">
        <is>
          <t>acoa-apeca</t>
        </is>
      </c>
      <c r="Y4061" t="inlineStr">
        <is>
          <t>Atlantic Canada Opportunities Agency | Agence de promotion économique du Canada atlantique</t>
        </is>
      </c>
      <c r="Z4061" t="n">
        <v>1</v>
      </c>
      <c r="AA4061" t="n">
        <v>98.28</v>
      </c>
      <c r="AB4061">
        <f>ROUND(U4061-AA4061,2)</f>
        <v/>
      </c>
      <c r="AC4061" t="b">
        <v>0</v>
      </c>
      <c r="AD4061">
        <f>IF(U4061="","MISSING_TOTAL",IF(ABS(AB4061)&lt;=0.01,"OK","CHECK"))</f>
        <v/>
      </c>
      <c r="AE4061">
        <f>IF(U4061="","MISSING",IF(AND(AA4061&gt;0,U4061/AA4061&gt;50),"POSSIBLE_SCALE_ERROR","OK"))</f>
        <v/>
      </c>
    </row>
    <row r="4062">
      <c r="A4062" t="inlineStr">
        <is>
          <t>T-2017-Q4-00021</t>
        </is>
      </c>
      <c r="B4062" t="inlineStr">
        <is>
          <t>SLE</t>
        </is>
      </c>
      <c r="C4062" t="inlineStr">
        <is>
          <t>Vice-President, New Brunswick</t>
        </is>
      </c>
      <c r="D4062" t="inlineStr">
        <is>
          <t>Vice-président, Nouveau-Brunswick</t>
        </is>
      </c>
      <c r="E4062" t="inlineStr">
        <is>
          <t>Kent Estabrooks</t>
        </is>
      </c>
      <c r="F4062" t="inlineStr">
        <is>
          <t>Agency Executive Committee Meeting</t>
        </is>
      </c>
      <c r="G4062" t="inlineStr">
        <is>
          <t>Réunion du Comité de direction de l'Agence</t>
        </is>
      </c>
      <c r="H4062" s="1" t="n">
        <v>42767</v>
      </c>
      <c r="I4062" s="1" t="n">
        <v>42768</v>
      </c>
      <c r="J4062" t="inlineStr">
        <is>
          <t>Moncton, New Brunswick</t>
        </is>
      </c>
      <c r="K4062" t="inlineStr">
        <is>
          <t>Moncton (Nouveau-Brunswick)</t>
        </is>
      </c>
      <c r="P4062" t="n">
        <v>0</v>
      </c>
      <c r="Q4062" t="n">
        <v>0</v>
      </c>
      <c r="R4062" t="n">
        <v>119.6</v>
      </c>
      <c r="S4062" t="n">
        <v>142.95</v>
      </c>
      <c r="T4062" t="n">
        <v>16.1</v>
      </c>
      <c r="U4062" t="n">
        <v>278.65</v>
      </c>
      <c r="X4062" t="inlineStr">
        <is>
          <t>acoa-apeca</t>
        </is>
      </c>
      <c r="Y4062" t="inlineStr">
        <is>
          <t>Atlantic Canada Opportunities Agency | Agence de promotion économique du Canada atlantique</t>
        </is>
      </c>
      <c r="Z4062" t="n">
        <v>2</v>
      </c>
      <c r="AA4062" t="n">
        <v>278.65</v>
      </c>
      <c r="AB4062">
        <f>ROUND(U4062-AA4062,2)</f>
        <v/>
      </c>
      <c r="AC4062" t="b">
        <v>0</v>
      </c>
      <c r="AD4062">
        <f>IF(U4062="","MISSING_TOTAL",IF(ABS(AB4062)&lt;=0.01,"OK","CHECK"))</f>
        <v/>
      </c>
      <c r="AE4062">
        <f>IF(U4062="","MISSING",IF(AND(AA4062&gt;0,U4062/AA4062&gt;50),"POSSIBLE_SCALE_ERROR","OK"))</f>
        <v/>
      </c>
    </row>
    <row r="4063">
      <c r="A4063" t="inlineStr">
        <is>
          <t>T-2017-Q4-00001</t>
        </is>
      </c>
      <c r="B4063" t="inlineStr">
        <is>
          <t>SLE</t>
        </is>
      </c>
      <c r="C4063" t="inlineStr">
        <is>
          <t>President</t>
        </is>
      </c>
      <c r="D4063" t="inlineStr">
        <is>
          <t>Président</t>
        </is>
      </c>
      <c r="E4063" t="inlineStr">
        <is>
          <t>Paul J. LeBlanc</t>
        </is>
      </c>
      <c r="F4063" t="inlineStr">
        <is>
          <t>Meeting with Agency officials</t>
        </is>
      </c>
      <c r="G4063" t="inlineStr">
        <is>
          <t>Réunion avec des fonctionnaires de l'Agence</t>
        </is>
      </c>
      <c r="H4063" s="1" t="n">
        <v>42706</v>
      </c>
      <c r="I4063" s="1" t="n">
        <v>42706</v>
      </c>
      <c r="J4063" t="inlineStr">
        <is>
          <t>Charlottetown, Prince Edward Island</t>
        </is>
      </c>
      <c r="K4063" t="inlineStr">
        <is>
          <t>Charlottetown (Île-du-Prince-Édouard)</t>
        </is>
      </c>
      <c r="P4063" t="n">
        <v>0</v>
      </c>
      <c r="Q4063" t="n">
        <v>0</v>
      </c>
      <c r="R4063" t="n">
        <v>0</v>
      </c>
      <c r="S4063" t="n">
        <v>0</v>
      </c>
      <c r="T4063" t="n">
        <v>46</v>
      </c>
      <c r="U4063" t="n">
        <v>46</v>
      </c>
      <c r="X4063" t="inlineStr">
        <is>
          <t>acoa-apeca</t>
        </is>
      </c>
      <c r="Y4063" t="inlineStr">
        <is>
          <t>Atlantic Canada Opportunities Agency | Agence de promotion économique du Canada atlantique</t>
        </is>
      </c>
      <c r="Z4063" t="n">
        <v>1</v>
      </c>
      <c r="AA4063" t="n">
        <v>46</v>
      </c>
      <c r="AB4063">
        <f>ROUND(U4063-AA4063,2)</f>
        <v/>
      </c>
      <c r="AC4063" t="b">
        <v>0</v>
      </c>
      <c r="AD4063">
        <f>IF(U4063="","MISSING_TOTAL",IF(ABS(AB4063)&lt;=0.01,"OK","CHECK"))</f>
        <v/>
      </c>
      <c r="AE4063">
        <f>IF(U4063="","MISSING",IF(AND(AA4063&gt;0,U4063/AA4063&gt;50),"POSSIBLE_SCALE_ERROR","OK"))</f>
        <v/>
      </c>
    </row>
    <row r="4064">
      <c r="A4064" t="inlineStr">
        <is>
          <t>T-2018-Q2-00055</t>
        </is>
      </c>
      <c r="B4064" t="inlineStr">
        <is>
          <t>SLE</t>
        </is>
      </c>
      <c r="C4064" t="inlineStr">
        <is>
          <t>Vice-President, New Brunswick</t>
        </is>
      </c>
      <c r="D4064" t="inlineStr">
        <is>
          <t>Vice-président, Nouveau-Brunswick</t>
        </is>
      </c>
      <c r="E4064" t="inlineStr">
        <is>
          <t>Kent Estabrooks</t>
        </is>
      </c>
      <c r="F4064" t="inlineStr">
        <is>
          <t>Interview board member</t>
        </is>
      </c>
      <c r="G4064" t="inlineStr">
        <is>
          <t>Membre d'un comité d'entrevue</t>
        </is>
      </c>
      <c r="H4064" s="1" t="n">
        <v>42912</v>
      </c>
      <c r="I4064" s="1" t="n">
        <v>42912</v>
      </c>
      <c r="J4064" t="inlineStr">
        <is>
          <t>Moncton, New Brunswick</t>
        </is>
      </c>
      <c r="K4064" t="inlineStr">
        <is>
          <t>Moncton (Nouveau-Brunswick)</t>
        </is>
      </c>
      <c r="P4064" t="n">
        <v>0</v>
      </c>
      <c r="Q4064" t="n">
        <v>0</v>
      </c>
      <c r="R4064" t="n">
        <v>0</v>
      </c>
      <c r="S4064" t="n">
        <v>64</v>
      </c>
      <c r="T4064" t="n">
        <v>21.5</v>
      </c>
      <c r="U4064" t="n">
        <v>85.5</v>
      </c>
      <c r="X4064" t="inlineStr">
        <is>
          <t>acoa-apeca</t>
        </is>
      </c>
      <c r="Y4064" t="inlineStr">
        <is>
          <t>Atlantic Canada Opportunities Agency | Agence de promotion économique du Canada atlantique</t>
        </is>
      </c>
      <c r="Z4064" t="n">
        <v>1</v>
      </c>
      <c r="AA4064" t="n">
        <v>85.5</v>
      </c>
      <c r="AB4064">
        <f>ROUND(U4064-AA4064,2)</f>
        <v/>
      </c>
      <c r="AC4064" t="b">
        <v>0</v>
      </c>
      <c r="AD4064">
        <f>IF(U4064="","MISSING_TOTAL",IF(ABS(AB4064)&lt;=0.01,"OK","CHECK"))</f>
        <v/>
      </c>
      <c r="AE4064">
        <f>IF(U4064="","MISSING",IF(AND(AA4064&gt;0,U4064/AA4064&gt;50),"POSSIBLE_SCALE_ERROR","OK"))</f>
        <v/>
      </c>
    </row>
    <row r="4065">
      <c r="A4065" t="inlineStr">
        <is>
          <t>T-2017-Q4-00017</t>
        </is>
      </c>
      <c r="B4065" t="inlineStr">
        <is>
          <t>SLE</t>
        </is>
      </c>
      <c r="C4065" t="inlineStr">
        <is>
          <t>Vice-President, Policy and Programs</t>
        </is>
      </c>
      <c r="D4065" t="inlineStr">
        <is>
          <t>Vice-président, Politiques et Programmes</t>
        </is>
      </c>
      <c r="E4065" t="inlineStr">
        <is>
          <t>Daryell Nowlan</t>
        </is>
      </c>
      <c r="F4065" t="inlineStr">
        <is>
          <t>Meetings with Government of Canada officials</t>
        </is>
      </c>
      <c r="G4065" t="inlineStr">
        <is>
          <t>Réunions avec des fonctionnaires du gouvernement du Canada</t>
        </is>
      </c>
      <c r="H4065" s="1" t="n">
        <v>42760</v>
      </c>
      <c r="I4065" s="1" t="n">
        <v>42762</v>
      </c>
      <c r="J4065" t="inlineStr">
        <is>
          <t>Halifax and Wolfville, Nova Scotia</t>
        </is>
      </c>
      <c r="K4065" t="inlineStr">
        <is>
          <t>Halifax et Wolfville (Nouvelle-Écosse)</t>
        </is>
      </c>
      <c r="P4065" t="n">
        <v>0</v>
      </c>
      <c r="Q4065" t="n">
        <v>360.6</v>
      </c>
      <c r="R4065" t="n">
        <v>273.13</v>
      </c>
      <c r="S4065" t="n">
        <v>160.2</v>
      </c>
      <c r="T4065" t="n">
        <v>0</v>
      </c>
      <c r="U4065" t="n">
        <v>793.9299999999999</v>
      </c>
      <c r="X4065" t="inlineStr">
        <is>
          <t>acoa-apeca</t>
        </is>
      </c>
      <c r="Y4065" t="inlineStr">
        <is>
          <t>Atlantic Canada Opportunities Agency | Agence de promotion économique du Canada atlantique</t>
        </is>
      </c>
      <c r="Z4065" t="n">
        <v>3</v>
      </c>
      <c r="AA4065" t="n">
        <v>793.9299999999999</v>
      </c>
      <c r="AB4065">
        <f>ROUND(U4065-AA4065,2)</f>
        <v/>
      </c>
      <c r="AC4065" t="b">
        <v>0</v>
      </c>
      <c r="AD4065">
        <f>IF(U4065="","MISSING_TOTAL",IF(ABS(AB4065)&lt;=0.01,"OK","CHECK"))</f>
        <v/>
      </c>
      <c r="AE4065">
        <f>IF(U4065="","MISSING",IF(AND(AA4065&gt;0,U4065/AA4065&gt;50),"POSSIBLE_SCALE_ERROR","OK"))</f>
        <v/>
      </c>
    </row>
    <row r="4066">
      <c r="A4066" t="inlineStr">
        <is>
          <t>T-2017-Q4-00016</t>
        </is>
      </c>
      <c r="B4066" t="inlineStr">
        <is>
          <t>SLE</t>
        </is>
      </c>
      <c r="C4066" t="inlineStr">
        <is>
          <t>President</t>
        </is>
      </c>
      <c r="D4066" t="inlineStr">
        <is>
          <t>Président</t>
        </is>
      </c>
      <c r="E4066" t="inlineStr">
        <is>
          <t>Paul J. LeBlanc</t>
        </is>
      </c>
      <c r="F4066" t="inlineStr">
        <is>
          <t>Various meetings and discussions with Agency and Government of Canada officials</t>
        </is>
      </c>
      <c r="G4066" t="inlineStr">
        <is>
          <t>Diverses réunions et discussions avec des fonctionnaires de l'Agence et du gouvernement du Canada</t>
        </is>
      </c>
      <c r="H4066" s="1" t="n">
        <v>42760</v>
      </c>
      <c r="I4066" s="1" t="n">
        <v>42762</v>
      </c>
      <c r="J4066" t="inlineStr">
        <is>
          <t>Halifax and Wolfville, Nova Scotia</t>
        </is>
      </c>
      <c r="K4066" t="inlineStr">
        <is>
          <t>Halifax et Wolfville (Nouvelle-Écosse)</t>
        </is>
      </c>
      <c r="P4066" t="n">
        <v>0</v>
      </c>
      <c r="Q4066" t="n">
        <v>0</v>
      </c>
      <c r="R4066" t="n">
        <v>324.74</v>
      </c>
      <c r="S4066" t="n">
        <v>114.45</v>
      </c>
      <c r="T4066" t="n">
        <v>34.5</v>
      </c>
      <c r="U4066" t="n">
        <v>473.69</v>
      </c>
      <c r="X4066" t="inlineStr">
        <is>
          <t>acoa-apeca</t>
        </is>
      </c>
      <c r="Y4066" t="inlineStr">
        <is>
          <t>Atlantic Canada Opportunities Agency | Agence de promotion économique du Canada atlantique</t>
        </is>
      </c>
      <c r="Z4066" t="n">
        <v>3</v>
      </c>
      <c r="AA4066" t="n">
        <v>473.69</v>
      </c>
      <c r="AB4066">
        <f>ROUND(U4066-AA4066,2)</f>
        <v/>
      </c>
      <c r="AC4066" t="b">
        <v>0</v>
      </c>
      <c r="AD4066">
        <f>IF(U4066="","MISSING_TOTAL",IF(ABS(AB4066)&lt;=0.01,"OK","CHECK"))</f>
        <v/>
      </c>
      <c r="AE4066">
        <f>IF(U4066="","MISSING",IF(AND(AA4066&gt;0,U4066/AA4066&gt;50),"POSSIBLE_SCALE_ERROR","OK"))</f>
        <v/>
      </c>
    </row>
    <row r="4067">
      <c r="A4067" t="inlineStr">
        <is>
          <t>T-2017-Q4-00015</t>
        </is>
      </c>
      <c r="B4067" t="inlineStr">
        <is>
          <t>SLE</t>
        </is>
      </c>
      <c r="C4067" t="inlineStr">
        <is>
          <t>Vice-President, New Brunswick</t>
        </is>
      </c>
      <c r="D4067" t="inlineStr">
        <is>
          <t>Vice-président, Nouveau-Brunswick</t>
        </is>
      </c>
      <c r="E4067" t="inlineStr">
        <is>
          <t>Kent Estabrooks</t>
        </is>
      </c>
      <c r="F4067" t="inlineStr">
        <is>
          <t>Meeting with Agency officials and other government officials</t>
        </is>
      </c>
      <c r="G4067" t="inlineStr">
        <is>
          <t>Réunion avec des fonctionnaires de l'Agence et d'autres organismes gouvernementaux</t>
        </is>
      </c>
      <c r="H4067" s="1" t="n">
        <v>42759</v>
      </c>
      <c r="I4067" s="1" t="n">
        <v>42760</v>
      </c>
      <c r="J4067" t="inlineStr">
        <is>
          <t>Moncton, New Brunswick</t>
        </is>
      </c>
      <c r="K4067" t="inlineStr">
        <is>
          <t>Moncton (Nouveau-Brunswick)</t>
        </is>
      </c>
      <c r="P4067" t="n">
        <v>0</v>
      </c>
      <c r="Q4067" t="n">
        <v>0</v>
      </c>
      <c r="R4067" t="n">
        <v>119.6</v>
      </c>
      <c r="S4067" t="n">
        <v>114.65</v>
      </c>
      <c r="T4067" t="n">
        <v>16.1</v>
      </c>
      <c r="U4067" t="n">
        <v>250.35</v>
      </c>
      <c r="X4067" t="inlineStr">
        <is>
          <t>acoa-apeca</t>
        </is>
      </c>
      <c r="Y4067" t="inlineStr">
        <is>
          <t>Atlantic Canada Opportunities Agency | Agence de promotion économique du Canada atlantique</t>
        </is>
      </c>
      <c r="Z4067" t="n">
        <v>2</v>
      </c>
      <c r="AA4067" t="n">
        <v>250.35</v>
      </c>
      <c r="AB4067">
        <f>ROUND(U4067-AA4067,2)</f>
        <v/>
      </c>
      <c r="AC4067" t="b">
        <v>0</v>
      </c>
      <c r="AD4067">
        <f>IF(U4067="","MISSING_TOTAL",IF(ABS(AB4067)&lt;=0.01,"OK","CHECK"))</f>
        <v/>
      </c>
      <c r="AE4067">
        <f>IF(U4067="","MISSING",IF(AND(AA4067&gt;0,U4067/AA4067&gt;50),"POSSIBLE_SCALE_ERROR","OK"))</f>
        <v/>
      </c>
    </row>
    <row r="4068">
      <c r="A4068" t="inlineStr">
        <is>
          <t>T-2017-Q4-00014</t>
        </is>
      </c>
      <c r="B4068" t="inlineStr">
        <is>
          <t>SLE</t>
        </is>
      </c>
      <c r="C4068" t="inlineStr">
        <is>
          <t>Vice-President, Policy and Programs</t>
        </is>
      </c>
      <c r="D4068" t="inlineStr">
        <is>
          <t>Vice-président, Politiques et Programmes</t>
        </is>
      </c>
      <c r="E4068" t="inlineStr">
        <is>
          <t>Daryell Nowlan</t>
        </is>
      </c>
      <c r="F4068" t="inlineStr">
        <is>
          <t>Meetings with Government of Canada officials</t>
        </is>
      </c>
      <c r="G4068" t="inlineStr">
        <is>
          <t>Réunions avec des fonctionnaires du gouvernement du Canada</t>
        </is>
      </c>
      <c r="H4068" s="1" t="n">
        <v>42752</v>
      </c>
      <c r="I4068" s="1" t="n">
        <v>42754</v>
      </c>
      <c r="J4068" t="inlineStr">
        <is>
          <t>Ottawa, Ontario</t>
        </is>
      </c>
      <c r="K4068" t="inlineStr">
        <is>
          <t>Ottawa (Ontario)</t>
        </is>
      </c>
      <c r="P4068" t="n">
        <v>694.6</v>
      </c>
      <c r="Q4068" t="n">
        <v>229</v>
      </c>
      <c r="R4068" t="n">
        <v>407.36</v>
      </c>
      <c r="S4068" t="n">
        <v>188.55</v>
      </c>
      <c r="T4068" t="n">
        <v>0</v>
      </c>
      <c r="U4068" t="n">
        <v>1519.51</v>
      </c>
      <c r="X4068" t="inlineStr">
        <is>
          <t>acoa-apeca</t>
        </is>
      </c>
      <c r="Y4068" t="inlineStr">
        <is>
          <t>Atlantic Canada Opportunities Agency | Agence de promotion économique du Canada atlantique</t>
        </is>
      </c>
      <c r="Z4068" t="n">
        <v>3</v>
      </c>
      <c r="AA4068" t="n">
        <v>1519.51</v>
      </c>
      <c r="AB4068">
        <f>ROUND(U4068-AA4068,2)</f>
        <v/>
      </c>
      <c r="AC4068" t="b">
        <v>0</v>
      </c>
      <c r="AD4068">
        <f>IF(U4068="","MISSING_TOTAL",IF(ABS(AB4068)&lt;=0.01,"OK","CHECK"))</f>
        <v/>
      </c>
      <c r="AE4068">
        <f>IF(U4068="","MISSING",IF(AND(AA4068&gt;0,U4068/AA4068&gt;50),"POSSIBLE_SCALE_ERROR","OK"))</f>
        <v/>
      </c>
    </row>
    <row r="4069">
      <c r="A4069" t="inlineStr">
        <is>
          <t>T-2017-Q4-00013</t>
        </is>
      </c>
      <c r="B4069" t="inlineStr">
        <is>
          <t>SLE</t>
        </is>
      </c>
      <c r="C4069" t="inlineStr">
        <is>
          <t>Vice-President, New Brunswick</t>
        </is>
      </c>
      <c r="D4069" t="inlineStr">
        <is>
          <t>Vice-président, Nouveau-Brunswick</t>
        </is>
      </c>
      <c r="E4069" t="inlineStr">
        <is>
          <t>Kent Estabrooks</t>
        </is>
      </c>
      <c r="F4069" t="inlineStr">
        <is>
          <t>Various meetings with federal officials</t>
        </is>
      </c>
      <c r="G4069" t="inlineStr">
        <is>
          <t>Diverses réunions avec des fonctionnaires fédéraux</t>
        </is>
      </c>
      <c r="H4069" s="1" t="n">
        <v>42751</v>
      </c>
      <c r="I4069" s="1" t="n">
        <v>42754</v>
      </c>
      <c r="J4069" t="inlineStr">
        <is>
          <t>Ottawa, Ontario</t>
        </is>
      </c>
      <c r="K4069" t="inlineStr">
        <is>
          <t>Ottawa (Ontario)</t>
        </is>
      </c>
      <c r="P4069" t="n">
        <v>673.9</v>
      </c>
      <c r="Q4069" t="n">
        <v>191.49</v>
      </c>
      <c r="R4069" t="n">
        <v>640.15</v>
      </c>
      <c r="S4069" t="n">
        <v>268.65</v>
      </c>
      <c r="T4069" t="n">
        <v>14.63</v>
      </c>
      <c r="U4069" t="n">
        <v>1788.82</v>
      </c>
      <c r="X4069" t="inlineStr">
        <is>
          <t>acoa-apeca</t>
        </is>
      </c>
      <c r="Y4069" t="inlineStr">
        <is>
          <t>Atlantic Canada Opportunities Agency | Agence de promotion économique du Canada atlantique</t>
        </is>
      </c>
      <c r="Z4069" t="n">
        <v>4</v>
      </c>
      <c r="AA4069" t="n">
        <v>1788.82</v>
      </c>
      <c r="AB4069">
        <f>ROUND(U4069-AA4069,2)</f>
        <v/>
      </c>
      <c r="AC4069" t="b">
        <v>0</v>
      </c>
      <c r="AD4069">
        <f>IF(U4069="","MISSING_TOTAL",IF(ABS(AB4069)&lt;=0.01,"OK","CHECK"))</f>
        <v/>
      </c>
      <c r="AE4069">
        <f>IF(U4069="","MISSING",IF(AND(AA4069&gt;0,U4069/AA4069&gt;50),"POSSIBLE_SCALE_ERROR","OK"))</f>
        <v/>
      </c>
    </row>
    <row r="4070">
      <c r="A4070" t="inlineStr">
        <is>
          <t>T-2017-Q4-00012</t>
        </is>
      </c>
      <c r="B4070" t="inlineStr">
        <is>
          <t>SLE</t>
        </is>
      </c>
      <c r="C4070" t="inlineStr">
        <is>
          <t>Vice-President, New Brunswick</t>
        </is>
      </c>
      <c r="D4070" t="inlineStr">
        <is>
          <t>Vice-président, Nouveau-Brunswick</t>
        </is>
      </c>
      <c r="E4070" t="inlineStr">
        <is>
          <t>Kent Estabrooks</t>
        </is>
      </c>
      <c r="F4070" t="inlineStr">
        <is>
          <t>Client meeting</t>
        </is>
      </c>
      <c r="G4070" t="inlineStr">
        <is>
          <t>Réunion avec un client</t>
        </is>
      </c>
      <c r="H4070" s="1" t="n">
        <v>42724</v>
      </c>
      <c r="I4070" s="1" t="n">
        <v>42724</v>
      </c>
      <c r="J4070" t="inlineStr">
        <is>
          <t>Saint John, New Brunswick</t>
        </is>
      </c>
      <c r="K4070" t="inlineStr">
        <is>
          <t>Saint John (Nouveau-Brunswick)</t>
        </is>
      </c>
      <c r="P4070" t="n">
        <v>0</v>
      </c>
      <c r="Q4070" t="n">
        <v>0</v>
      </c>
      <c r="R4070" t="n">
        <v>0</v>
      </c>
      <c r="S4070" t="n">
        <v>17.25</v>
      </c>
      <c r="T4070" t="n">
        <v>0</v>
      </c>
      <c r="U4070" t="n">
        <v>17.25</v>
      </c>
      <c r="X4070" t="inlineStr">
        <is>
          <t>acoa-apeca</t>
        </is>
      </c>
      <c r="Y4070" t="inlineStr">
        <is>
          <t>Atlantic Canada Opportunities Agency | Agence de promotion économique du Canada atlantique</t>
        </is>
      </c>
      <c r="Z4070" t="n">
        <v>1</v>
      </c>
      <c r="AA4070" t="n">
        <v>17.25</v>
      </c>
      <c r="AB4070">
        <f>ROUND(U4070-AA4070,2)</f>
        <v/>
      </c>
      <c r="AC4070" t="b">
        <v>0</v>
      </c>
      <c r="AD4070">
        <f>IF(U4070="","MISSING_TOTAL",IF(ABS(AB4070)&lt;=0.01,"OK","CHECK"))</f>
        <v/>
      </c>
      <c r="AE4070">
        <f>IF(U4070="","MISSING",IF(AND(AA4070&gt;0,U4070/AA4070&gt;50),"POSSIBLE_SCALE_ERROR","OK"))</f>
        <v/>
      </c>
    </row>
    <row r="4071">
      <c r="A4071" t="inlineStr">
        <is>
          <t>T-2017-Q4-00011</t>
        </is>
      </c>
      <c r="B4071" t="inlineStr">
        <is>
          <t>SLE</t>
        </is>
      </c>
      <c r="C4071" t="inlineStr">
        <is>
          <t>President</t>
        </is>
      </c>
      <c r="D4071" t="inlineStr">
        <is>
          <t>Président</t>
        </is>
      </c>
      <c r="E4071" t="inlineStr">
        <is>
          <t>Paul J. LeBlanc</t>
        </is>
      </c>
      <c r="F4071" t="inlineStr">
        <is>
          <t>Site visit with key stakeholder</t>
        </is>
      </c>
      <c r="G4071" t="inlineStr">
        <is>
          <t>Visite des lieux avec un intervenant clé</t>
        </is>
      </c>
      <c r="H4071" s="1" t="n">
        <v>42724</v>
      </c>
      <c r="I4071" s="1" t="n">
        <v>42724</v>
      </c>
      <c r="J4071" t="inlineStr">
        <is>
          <t>Saint John, New Brunswick</t>
        </is>
      </c>
      <c r="K4071" t="inlineStr">
        <is>
          <t>Saint John (Nouveau-Brunswick)</t>
        </is>
      </c>
      <c r="P4071" t="n">
        <v>0</v>
      </c>
      <c r="Q4071" t="n">
        <v>0</v>
      </c>
      <c r="R4071" t="n">
        <v>0</v>
      </c>
      <c r="S4071" t="n">
        <v>17.25</v>
      </c>
      <c r="T4071" t="n">
        <v>0</v>
      </c>
      <c r="U4071" t="n">
        <v>17.25</v>
      </c>
      <c r="X4071" t="inlineStr">
        <is>
          <t>acoa-apeca</t>
        </is>
      </c>
      <c r="Y4071" t="inlineStr">
        <is>
          <t>Atlantic Canada Opportunities Agency | Agence de promotion économique du Canada atlantique</t>
        </is>
      </c>
      <c r="Z4071" t="n">
        <v>1</v>
      </c>
      <c r="AA4071" t="n">
        <v>17.25</v>
      </c>
      <c r="AB4071">
        <f>ROUND(U4071-AA4071,2)</f>
        <v/>
      </c>
      <c r="AC4071" t="b">
        <v>0</v>
      </c>
      <c r="AD4071">
        <f>IF(U4071="","MISSING_TOTAL",IF(ABS(AB4071)&lt;=0.01,"OK","CHECK"))</f>
        <v/>
      </c>
      <c r="AE4071">
        <f>IF(U4071="","MISSING",IF(AND(AA4071&gt;0,U4071/AA4071&gt;50),"POSSIBLE_SCALE_ERROR","OK"))</f>
        <v/>
      </c>
    </row>
    <row r="4072">
      <c r="A4072" t="inlineStr">
        <is>
          <t>T-2017-Q4-00010</t>
        </is>
      </c>
      <c r="B4072" t="inlineStr">
        <is>
          <t>SLE</t>
        </is>
      </c>
      <c r="C4072" t="inlineStr">
        <is>
          <t>Vice-President, New Brunswick</t>
        </is>
      </c>
      <c r="D4072" t="inlineStr">
        <is>
          <t>Vice-président, Nouveau-Brunswick</t>
        </is>
      </c>
      <c r="E4072" t="inlineStr">
        <is>
          <t>Kent Estabrooks</t>
        </is>
      </c>
      <c r="F4072" t="inlineStr">
        <is>
          <t>Training and development</t>
        </is>
      </c>
      <c r="G4072" t="inlineStr">
        <is>
          <t>Formation et perfectionnement</t>
        </is>
      </c>
      <c r="H4072" s="1" t="n">
        <v>42719</v>
      </c>
      <c r="I4072" s="1" t="n">
        <v>42721</v>
      </c>
      <c r="J4072" t="inlineStr">
        <is>
          <t>Ottawa, Ontario</t>
        </is>
      </c>
      <c r="K4072" t="inlineStr">
        <is>
          <t>Ottawa (Ontario)</t>
        </is>
      </c>
      <c r="P4072" t="n">
        <v>673</v>
      </c>
      <c r="Q4072" t="n">
        <v>113.74</v>
      </c>
      <c r="R4072" t="n">
        <v>196.7</v>
      </c>
      <c r="S4072" t="n">
        <v>205.8</v>
      </c>
      <c r="T4072" t="n">
        <v>14.63</v>
      </c>
      <c r="U4072" t="n">
        <v>1203.87</v>
      </c>
      <c r="X4072" t="inlineStr">
        <is>
          <t>acoa-apeca</t>
        </is>
      </c>
      <c r="Y4072" t="inlineStr">
        <is>
          <t>Atlantic Canada Opportunities Agency | Agence de promotion économique du Canada atlantique</t>
        </is>
      </c>
      <c r="Z4072" t="n">
        <v>3</v>
      </c>
      <c r="AA4072" t="n">
        <v>1203.87</v>
      </c>
      <c r="AB4072">
        <f>ROUND(U4072-AA4072,2)</f>
        <v/>
      </c>
      <c r="AC4072" t="b">
        <v>0</v>
      </c>
      <c r="AD4072">
        <f>IF(U4072="","MISSING_TOTAL",IF(ABS(AB4072)&lt;=0.01,"OK","CHECK"))</f>
        <v/>
      </c>
      <c r="AE4072">
        <f>IF(U4072="","MISSING",IF(AND(AA4072&gt;0,U4072/AA4072&gt;50),"POSSIBLE_SCALE_ERROR","OK"))</f>
        <v/>
      </c>
    </row>
    <row r="4073">
      <c r="A4073" t="inlineStr">
        <is>
          <t>T-2017-Q4-00009</t>
        </is>
      </c>
      <c r="B4073" t="inlineStr">
        <is>
          <t>SLE</t>
        </is>
      </c>
      <c r="C4073" t="inlineStr">
        <is>
          <t>Vice-President, Finance and Corporate Services</t>
        </is>
      </c>
      <c r="D4073" t="inlineStr">
        <is>
          <t>Vice-présidente, Finances et Services corporatifs</t>
        </is>
      </c>
      <c r="E4073" t="inlineStr">
        <is>
          <t>Denise Frenette</t>
        </is>
      </c>
      <c r="F4073" t="inlineStr">
        <is>
          <t>Numerous meetings with various Government of Canada officials</t>
        </is>
      </c>
      <c r="G4073" t="inlineStr">
        <is>
          <t>Plusieurs réunions avec divers fonctionnaires du gouvernement du Canada</t>
        </is>
      </c>
      <c r="H4073" s="1" t="n">
        <v>42718</v>
      </c>
      <c r="I4073" s="1" t="n">
        <v>42719</v>
      </c>
      <c r="J4073" t="inlineStr">
        <is>
          <t>Ottawa, Ontario</t>
        </is>
      </c>
      <c r="K4073" t="inlineStr">
        <is>
          <t>Ottawa (Ontario)</t>
        </is>
      </c>
      <c r="P4073" t="n">
        <v>588.8</v>
      </c>
      <c r="Q4073" t="n">
        <v>87.39</v>
      </c>
      <c r="R4073" t="n">
        <v>173.42</v>
      </c>
      <c r="S4073" t="n">
        <v>159.95</v>
      </c>
      <c r="T4073" t="n">
        <v>0</v>
      </c>
      <c r="U4073" t="n">
        <v>1009.56</v>
      </c>
      <c r="X4073" t="inlineStr">
        <is>
          <t>acoa-apeca</t>
        </is>
      </c>
      <c r="Y4073" t="inlineStr">
        <is>
          <t>Atlantic Canada Opportunities Agency | Agence de promotion économique du Canada atlantique</t>
        </is>
      </c>
      <c r="Z4073" t="n">
        <v>2</v>
      </c>
      <c r="AA4073" t="n">
        <v>1009.56</v>
      </c>
      <c r="AB4073">
        <f>ROUND(U4073-AA4073,2)</f>
        <v/>
      </c>
      <c r="AC4073" t="b">
        <v>0</v>
      </c>
      <c r="AD4073">
        <f>IF(U4073="","MISSING_TOTAL",IF(ABS(AB4073)&lt;=0.01,"OK","CHECK"))</f>
        <v/>
      </c>
      <c r="AE4073">
        <f>IF(U4073="","MISSING",IF(AND(AA4073&gt;0,U4073/AA4073&gt;50),"POSSIBLE_SCALE_ERROR","OK"))</f>
        <v/>
      </c>
    </row>
    <row r="4074">
      <c r="A4074" t="inlineStr">
        <is>
          <t>T-2017-Q4-00008</t>
        </is>
      </c>
      <c r="B4074" t="inlineStr">
        <is>
          <t>SLE</t>
        </is>
      </c>
      <c r="C4074" t="inlineStr">
        <is>
          <t>Vice-President, Policy and Programs</t>
        </is>
      </c>
      <c r="D4074" t="inlineStr">
        <is>
          <t>Vice-président, Politiques et Programmes</t>
        </is>
      </c>
      <c r="E4074" t="inlineStr">
        <is>
          <t>Daryell Nowlan</t>
        </is>
      </c>
      <c r="F4074" t="inlineStr">
        <is>
          <t>Meetings with Government of Canada officials</t>
        </is>
      </c>
      <c r="G4074" t="inlineStr">
        <is>
          <t>Réunions avec des fonctionnaires du gouvernement du Canada</t>
        </is>
      </c>
      <c r="H4074" s="1" t="n">
        <v>42718</v>
      </c>
      <c r="I4074" s="1" t="n">
        <v>42720</v>
      </c>
      <c r="J4074" t="inlineStr">
        <is>
          <t>Ottawa, Ontario</t>
        </is>
      </c>
      <c r="K4074" t="inlineStr">
        <is>
          <t>Ottawa (Ontario)</t>
        </is>
      </c>
      <c r="P4074" t="n">
        <v>694.6</v>
      </c>
      <c r="Q4074" t="n">
        <v>281</v>
      </c>
      <c r="R4074" t="n">
        <v>393.4</v>
      </c>
      <c r="S4074" t="n">
        <v>205.8</v>
      </c>
      <c r="T4074" t="n">
        <v>0</v>
      </c>
      <c r="U4074" t="n">
        <v>1574.8</v>
      </c>
      <c r="X4074" t="inlineStr">
        <is>
          <t>acoa-apeca</t>
        </is>
      </c>
      <c r="Y4074" t="inlineStr">
        <is>
          <t>Atlantic Canada Opportunities Agency | Agence de promotion économique du Canada atlantique</t>
        </is>
      </c>
      <c r="Z4074" t="n">
        <v>3</v>
      </c>
      <c r="AA4074" t="n">
        <v>1574.8</v>
      </c>
      <c r="AB4074">
        <f>ROUND(U4074-AA4074,2)</f>
        <v/>
      </c>
      <c r="AC4074" t="b">
        <v>0</v>
      </c>
      <c r="AD4074">
        <f>IF(U4074="","MISSING_TOTAL",IF(ABS(AB4074)&lt;=0.01,"OK","CHECK"))</f>
        <v/>
      </c>
      <c r="AE4074">
        <f>IF(U4074="","MISSING",IF(AND(AA4074&gt;0,U4074/AA4074&gt;50),"POSSIBLE_SCALE_ERROR","OK"))</f>
        <v/>
      </c>
    </row>
    <row r="4075">
      <c r="A4075" t="inlineStr">
        <is>
          <t>T-2017-Q4-00007</t>
        </is>
      </c>
      <c r="B4075" t="inlineStr">
        <is>
          <t>SLE</t>
        </is>
      </c>
      <c r="C4075" t="inlineStr">
        <is>
          <t>Vice-President, New Brunswick</t>
        </is>
      </c>
      <c r="D4075" t="inlineStr">
        <is>
          <t>Vice-président, Nouveau-Brunswick</t>
        </is>
      </c>
      <c r="E4075" t="inlineStr">
        <is>
          <t>Kent Estabrooks</t>
        </is>
      </c>
      <c r="F4075" t="inlineStr">
        <is>
          <t>Mentorship Initiative Meeting</t>
        </is>
      </c>
      <c r="G4075" t="inlineStr">
        <is>
          <t>Réunion dans le cadre d'une initiative de mentorat</t>
        </is>
      </c>
      <c r="H4075" s="1" t="n">
        <v>42717</v>
      </c>
      <c r="I4075" s="1" t="n">
        <v>42717</v>
      </c>
      <c r="J4075" t="inlineStr">
        <is>
          <t>Moncton, New Brunswick</t>
        </is>
      </c>
      <c r="K4075" t="inlineStr">
        <is>
          <t>Moncton (Nouveau-Brunswick)</t>
        </is>
      </c>
      <c r="P4075" t="n">
        <v>0</v>
      </c>
      <c r="Q4075" t="n">
        <v>0</v>
      </c>
      <c r="R4075" t="n">
        <v>0</v>
      </c>
      <c r="S4075" t="n">
        <v>45.55</v>
      </c>
      <c r="T4075" t="n">
        <v>10</v>
      </c>
      <c r="U4075" t="n">
        <v>55.55</v>
      </c>
      <c r="X4075" t="inlineStr">
        <is>
          <t>acoa-apeca</t>
        </is>
      </c>
      <c r="Y4075" t="inlineStr">
        <is>
          <t>Atlantic Canada Opportunities Agency | Agence de promotion économique du Canada atlantique</t>
        </is>
      </c>
      <c r="Z4075" t="n">
        <v>1</v>
      </c>
      <c r="AA4075" t="n">
        <v>55.55</v>
      </c>
      <c r="AB4075">
        <f>ROUND(U4075-AA4075,2)</f>
        <v/>
      </c>
      <c r="AC4075" t="b">
        <v>0</v>
      </c>
      <c r="AD4075">
        <f>IF(U4075="","MISSING_TOTAL",IF(ABS(AB4075)&lt;=0.01,"OK","CHECK"))</f>
        <v/>
      </c>
      <c r="AE4075">
        <f>IF(U4075="","MISSING",IF(AND(AA4075&gt;0,U4075/AA4075&gt;50),"POSSIBLE_SCALE_ERROR","OK"))</f>
        <v/>
      </c>
    </row>
    <row r="4076">
      <c r="A4076" t="inlineStr">
        <is>
          <t>T-2017-Q4-00006</t>
        </is>
      </c>
      <c r="B4076" t="inlineStr">
        <is>
          <t>SLE</t>
        </is>
      </c>
      <c r="C4076" t="inlineStr">
        <is>
          <t>Vice-President, Newfoundland and Labrador</t>
        </is>
      </c>
      <c r="D4076" t="inlineStr">
        <is>
          <t>Vice-président, Terre-Neuve-et-Labrador</t>
        </is>
      </c>
      <c r="E4076" t="inlineStr">
        <is>
          <t>Ken Martin</t>
        </is>
      </c>
      <c r="F4076" t="inlineStr">
        <is>
          <t>Attend National Labour Management Consultation Committee (NLMCC) meeting in Moncton</t>
        </is>
      </c>
      <c r="G4076" t="inlineStr">
        <is>
          <t>Assister à un réunion du Comité national de consultation patronale-syndicale (CNCPS) à Moncton</t>
        </is>
      </c>
      <c r="H4076" s="1" t="n">
        <v>42715</v>
      </c>
      <c r="I4076" s="1" t="n">
        <v>42716</v>
      </c>
      <c r="J4076" t="inlineStr">
        <is>
          <t>Moncton, New Brunswick</t>
        </is>
      </c>
      <c r="K4076" t="inlineStr">
        <is>
          <t>Moncton (Nouveau-Brunswick)</t>
        </is>
      </c>
      <c r="P4076" t="n">
        <v>750.4400000000001</v>
      </c>
      <c r="Q4076" t="n">
        <v>65.84</v>
      </c>
      <c r="R4076" t="n">
        <v>121.9</v>
      </c>
      <c r="S4076" t="n">
        <v>159.95</v>
      </c>
      <c r="T4076" t="n">
        <v>0</v>
      </c>
      <c r="U4076" t="n">
        <v>1098.13</v>
      </c>
      <c r="X4076" t="inlineStr">
        <is>
          <t>acoa-apeca</t>
        </is>
      </c>
      <c r="Y4076" t="inlineStr">
        <is>
          <t>Atlantic Canada Opportunities Agency | Agence de promotion économique du Canada atlantique</t>
        </is>
      </c>
      <c r="Z4076" t="n">
        <v>2</v>
      </c>
      <c r="AA4076" t="n">
        <v>1098.13</v>
      </c>
      <c r="AB4076">
        <f>ROUND(U4076-AA4076,2)</f>
        <v/>
      </c>
      <c r="AC4076" t="b">
        <v>0</v>
      </c>
      <c r="AD4076">
        <f>IF(U4076="","MISSING_TOTAL",IF(ABS(AB4076)&lt;=0.01,"OK","CHECK"))</f>
        <v/>
      </c>
      <c r="AE4076">
        <f>IF(U4076="","MISSING",IF(AND(AA4076&gt;0,U4076/AA4076&gt;50),"POSSIBLE_SCALE_ERROR","OK"))</f>
        <v/>
      </c>
    </row>
    <row r="4077">
      <c r="A4077" t="inlineStr">
        <is>
          <t>T-2017-Q4-00005</t>
        </is>
      </c>
      <c r="B4077" t="inlineStr">
        <is>
          <t>SLE</t>
        </is>
      </c>
      <c r="C4077" t="inlineStr">
        <is>
          <t>Vice-President, New Brunswick</t>
        </is>
      </c>
      <c r="D4077" t="inlineStr">
        <is>
          <t>Vice-président, Nouveau-Brunswick</t>
        </is>
      </c>
      <c r="E4077" t="inlineStr">
        <is>
          <t>Kent Estabrooks</t>
        </is>
      </c>
      <c r="F4077" t="inlineStr">
        <is>
          <t>Meetings with Agency officials</t>
        </is>
      </c>
      <c r="G4077" t="inlineStr">
        <is>
          <t>Réunions avec des fonctionnaires de l'Agence</t>
        </is>
      </c>
      <c r="H4077" s="1" t="n">
        <v>42711</v>
      </c>
      <c r="I4077" s="1" t="n">
        <v>42712</v>
      </c>
      <c r="J4077" t="inlineStr">
        <is>
          <t>Moncton, New Brunswick</t>
        </is>
      </c>
      <c r="K4077" t="inlineStr">
        <is>
          <t>Moncton (Nouveau-Brunswick)</t>
        </is>
      </c>
      <c r="P4077" t="n">
        <v>0</v>
      </c>
      <c r="Q4077" t="n">
        <v>0</v>
      </c>
      <c r="R4077" t="n">
        <v>121.9</v>
      </c>
      <c r="S4077" t="n">
        <v>142.95</v>
      </c>
      <c r="T4077" t="n">
        <v>16.1</v>
      </c>
      <c r="U4077" t="n">
        <v>280.95</v>
      </c>
      <c r="X4077" t="inlineStr">
        <is>
          <t>acoa-apeca</t>
        </is>
      </c>
      <c r="Y4077" t="inlineStr">
        <is>
          <t>Atlantic Canada Opportunities Agency | Agence de promotion économique du Canada atlantique</t>
        </is>
      </c>
      <c r="Z4077" t="n">
        <v>2</v>
      </c>
      <c r="AA4077" t="n">
        <v>280.95</v>
      </c>
      <c r="AB4077">
        <f>ROUND(U4077-AA4077,2)</f>
        <v/>
      </c>
      <c r="AC4077" t="b">
        <v>0</v>
      </c>
      <c r="AD4077">
        <f>IF(U4077="","MISSING_TOTAL",IF(ABS(AB4077)&lt;=0.01,"OK","CHECK"))</f>
        <v/>
      </c>
      <c r="AE4077">
        <f>IF(U4077="","MISSING",IF(AND(AA4077&gt;0,U4077/AA4077&gt;50),"POSSIBLE_SCALE_ERROR","OK"))</f>
        <v/>
      </c>
    </row>
    <row r="4078">
      <c r="A4078" t="inlineStr">
        <is>
          <t>T-2017-Q4-00004</t>
        </is>
      </c>
      <c r="B4078" t="inlineStr">
        <is>
          <t>SLE</t>
        </is>
      </c>
      <c r="C4078" t="inlineStr">
        <is>
          <t>Vice-President, Prince Edward Island</t>
        </is>
      </c>
      <c r="D4078" t="inlineStr">
        <is>
          <t>Vice-président, Île-du-Prince-Édouard</t>
        </is>
      </c>
      <c r="E4078" t="inlineStr">
        <is>
          <t>Patrick Dorsey</t>
        </is>
      </c>
      <c r="F4078" t="inlineStr">
        <is>
          <t>Meetings with Government of Canada officials</t>
        </is>
      </c>
      <c r="G4078" t="inlineStr">
        <is>
          <t>Réunions avec des fonctionnaires du gouvernement du Canada</t>
        </is>
      </c>
      <c r="H4078" s="1" t="n">
        <v>42711</v>
      </c>
      <c r="I4078" s="1" t="n">
        <v>42712</v>
      </c>
      <c r="J4078" t="inlineStr">
        <is>
          <t>Moncton, New Brunswick</t>
        </is>
      </c>
      <c r="K4078" t="inlineStr">
        <is>
          <t>Moncton (Nouveau-Brunswick)</t>
        </is>
      </c>
      <c r="P4078" t="n">
        <v>0</v>
      </c>
      <c r="Q4078" t="n">
        <v>62.1</v>
      </c>
      <c r="R4078" t="n">
        <v>121.9</v>
      </c>
      <c r="S4078" t="n">
        <v>142.7</v>
      </c>
      <c r="T4078" t="n">
        <v>0</v>
      </c>
      <c r="U4078" t="n">
        <v>326.7</v>
      </c>
      <c r="X4078" t="inlineStr">
        <is>
          <t>acoa-apeca</t>
        </is>
      </c>
      <c r="Y4078" t="inlineStr">
        <is>
          <t>Atlantic Canada Opportunities Agency | Agence de promotion économique du Canada atlantique</t>
        </is>
      </c>
      <c r="Z4078" t="n">
        <v>2</v>
      </c>
      <c r="AA4078" t="n">
        <v>326.7</v>
      </c>
      <c r="AB4078">
        <f>ROUND(U4078-AA4078,2)</f>
        <v/>
      </c>
      <c r="AC4078" t="b">
        <v>0</v>
      </c>
      <c r="AD4078">
        <f>IF(U4078="","MISSING_TOTAL",IF(ABS(AB4078)&lt;=0.01,"OK","CHECK"))</f>
        <v/>
      </c>
      <c r="AE4078">
        <f>IF(U4078="","MISSING",IF(AND(AA4078&gt;0,U4078/AA4078&gt;50),"POSSIBLE_SCALE_ERROR","OK"))</f>
        <v/>
      </c>
    </row>
    <row r="4079">
      <c r="A4079" t="inlineStr">
        <is>
          <t>T-2017-Q4-00003</t>
        </is>
      </c>
      <c r="B4079" t="inlineStr">
        <is>
          <t>SLE</t>
        </is>
      </c>
      <c r="C4079" t="inlineStr">
        <is>
          <t>Vice-President, Newfoundland and Labrador</t>
        </is>
      </c>
      <c r="D4079" t="inlineStr">
        <is>
          <t>Vice-président, Terre-Neuve-et-Labrador</t>
        </is>
      </c>
      <c r="E4079" t="inlineStr">
        <is>
          <t>Ken Martin</t>
        </is>
      </c>
      <c r="F4079" t="inlineStr">
        <is>
          <t>Attend Executive Committee meeting in Moncton</t>
        </is>
      </c>
      <c r="G4079" t="inlineStr">
        <is>
          <t>Assister à une réunion du Comité de direction à Moncton</t>
        </is>
      </c>
      <c r="H4079" s="1" t="n">
        <v>42711</v>
      </c>
      <c r="I4079" s="1" t="n">
        <v>42713</v>
      </c>
      <c r="J4079" t="inlineStr">
        <is>
          <t>Moncton, New Brunswick</t>
        </is>
      </c>
      <c r="K4079" t="inlineStr">
        <is>
          <t>Moncton (Nouveau-Brunswick)</t>
        </is>
      </c>
      <c r="P4079" t="n">
        <v>882.55</v>
      </c>
      <c r="Q4079" t="n">
        <v>64.84</v>
      </c>
      <c r="R4079" t="n">
        <v>243.8</v>
      </c>
      <c r="S4079" t="n">
        <v>211.5</v>
      </c>
      <c r="T4079" t="n">
        <v>0</v>
      </c>
      <c r="U4079" t="n">
        <v>1402.69</v>
      </c>
      <c r="X4079" t="inlineStr">
        <is>
          <t>acoa-apeca</t>
        </is>
      </c>
      <c r="Y4079" t="inlineStr">
        <is>
          <t>Atlantic Canada Opportunities Agency | Agence de promotion économique du Canada atlantique</t>
        </is>
      </c>
      <c r="Z4079" t="n">
        <v>3</v>
      </c>
      <c r="AA4079" t="n">
        <v>1402.69</v>
      </c>
      <c r="AB4079">
        <f>ROUND(U4079-AA4079,2)</f>
        <v/>
      </c>
      <c r="AC4079" t="b">
        <v>0</v>
      </c>
      <c r="AD4079">
        <f>IF(U4079="","MISSING_TOTAL",IF(ABS(AB4079)&lt;=0.01,"OK","CHECK"))</f>
        <v/>
      </c>
      <c r="AE4079">
        <f>IF(U4079="","MISSING",IF(AND(AA4079&gt;0,U4079/AA4079&gt;50),"POSSIBLE_SCALE_ERROR","OK"))</f>
        <v/>
      </c>
    </row>
    <row r="4080">
      <c r="A4080" t="inlineStr">
        <is>
          <t>T-2017-Q4-00002</t>
        </is>
      </c>
      <c r="B4080" t="inlineStr">
        <is>
          <t>SLE</t>
        </is>
      </c>
      <c r="C4080" t="inlineStr">
        <is>
          <t>Vice-President, Policy and Programs</t>
        </is>
      </c>
      <c r="D4080" t="inlineStr">
        <is>
          <t>Vice-président, Politiques et Programmes</t>
        </is>
      </c>
      <c r="E4080" t="inlineStr">
        <is>
          <t>Daryell Nowlan</t>
        </is>
      </c>
      <c r="F4080" t="inlineStr">
        <is>
          <t>Meetings with Government of Canada officials</t>
        </is>
      </c>
      <c r="G4080" t="inlineStr">
        <is>
          <t>Réunions avec des fonctionnaires du gouvernement du Canada</t>
        </is>
      </c>
      <c r="H4080" s="1" t="n">
        <v>42709</v>
      </c>
      <c r="I4080" s="1" t="n">
        <v>42710</v>
      </c>
      <c r="J4080" t="inlineStr">
        <is>
          <t>Halifax, Nova Scotia</t>
        </is>
      </c>
      <c r="K4080" t="inlineStr">
        <is>
          <t>Halifax (Nouvelle-Écosse)</t>
        </is>
      </c>
      <c r="P4080" t="n">
        <v>0</v>
      </c>
      <c r="Q4080" t="n">
        <v>0</v>
      </c>
      <c r="R4080" t="n">
        <v>154.84</v>
      </c>
      <c r="S4080" t="n">
        <v>114.65</v>
      </c>
      <c r="T4080" t="n">
        <v>0</v>
      </c>
      <c r="U4080" t="n">
        <v>269.49</v>
      </c>
      <c r="X4080" t="inlineStr">
        <is>
          <t>acoa-apeca</t>
        </is>
      </c>
      <c r="Y4080" t="inlineStr">
        <is>
          <t>Atlantic Canada Opportunities Agency | Agence de promotion économique du Canada atlantique</t>
        </is>
      </c>
      <c r="Z4080" t="n">
        <v>2</v>
      </c>
      <c r="AA4080" t="n">
        <v>269.49</v>
      </c>
      <c r="AB4080">
        <f>ROUND(U4080-AA4080,2)</f>
        <v/>
      </c>
      <c r="AC4080" t="b">
        <v>0</v>
      </c>
      <c r="AD4080">
        <f>IF(U4080="","MISSING_TOTAL",IF(ABS(AB4080)&lt;=0.01,"OK","CHECK"))</f>
        <v/>
      </c>
      <c r="AE4080">
        <f>IF(U4080="","MISSING",IF(AND(AA4080&gt;0,U4080/AA4080&gt;50),"POSSIBLE_SCALE_ERROR","OK"))</f>
        <v/>
      </c>
    </row>
    <row r="4081">
      <c r="A4081" t="inlineStr">
        <is>
          <t>T-2017-Q4-00020</t>
        </is>
      </c>
      <c r="B4081" t="inlineStr">
        <is>
          <t>SLE</t>
        </is>
      </c>
      <c r="C4081" t="inlineStr">
        <is>
          <t>Acting Vice-President Prince Edward Island and Tourism</t>
        </is>
      </c>
      <c r="D4081" t="inlineStr">
        <is>
          <t>Vice-présidente par intérim, Île-du-Prince-Édouard</t>
        </is>
      </c>
      <c r="E4081" t="inlineStr">
        <is>
          <t>Sandra Lambe</t>
        </is>
      </c>
      <c r="F4081" t="inlineStr">
        <is>
          <t>Attend Executive Committee Meeting</t>
        </is>
      </c>
      <c r="G4081" t="inlineStr">
        <is>
          <t>Assister à une réunion du Comité de direction</t>
        </is>
      </c>
      <c r="H4081" s="1" t="n">
        <v>42767</v>
      </c>
      <c r="I4081" s="1" t="n">
        <v>42768</v>
      </c>
      <c r="J4081" t="inlineStr">
        <is>
          <t>Moncton, New Brunswick</t>
        </is>
      </c>
      <c r="K4081" t="inlineStr">
        <is>
          <t>Moncton (Nouveau-Brunswick)</t>
        </is>
      </c>
      <c r="P4081" t="n">
        <v>0</v>
      </c>
      <c r="Q4081" t="n">
        <v>62.6</v>
      </c>
      <c r="R4081" t="n">
        <v>119.6</v>
      </c>
      <c r="S4081" t="n">
        <v>97.15000000000001</v>
      </c>
      <c r="T4081" t="n">
        <v>0</v>
      </c>
      <c r="U4081" t="n">
        <v>279.35</v>
      </c>
      <c r="X4081" t="inlineStr">
        <is>
          <t>acoa-apeca</t>
        </is>
      </c>
      <c r="Y4081" t="inlineStr">
        <is>
          <t>Atlantic Canada Opportunities Agency | Agence de promotion économique du Canada atlantique</t>
        </is>
      </c>
      <c r="Z4081" t="n">
        <v>2</v>
      </c>
      <c r="AA4081" t="n">
        <v>279.35</v>
      </c>
      <c r="AB4081">
        <f>ROUND(U4081-AA4081,2)</f>
        <v/>
      </c>
      <c r="AC4081" t="b">
        <v>0</v>
      </c>
      <c r="AD4081">
        <f>IF(U4081="","MISSING_TOTAL",IF(ABS(AB4081)&lt;=0.01,"OK","CHECK"))</f>
        <v/>
      </c>
      <c r="AE4081">
        <f>IF(U4081="","MISSING",IF(AND(AA4081&gt;0,U4081/AA4081&gt;50),"POSSIBLE_SCALE_ERROR","OK"))</f>
        <v/>
      </c>
    </row>
    <row r="4082">
      <c r="A4082" t="inlineStr">
        <is>
          <t>T-2017-Q3-00057</t>
        </is>
      </c>
      <c r="B4082" t="inlineStr">
        <is>
          <t>SLE</t>
        </is>
      </c>
      <c r="C4082" t="inlineStr">
        <is>
          <t>Vice-President, New Brunswick</t>
        </is>
      </c>
      <c r="D4082" t="inlineStr">
        <is>
          <t>Vice-président, Nouveau-Brunswick</t>
        </is>
      </c>
      <c r="E4082" t="inlineStr">
        <is>
          <t>Kent Estabrooks</t>
        </is>
      </c>
      <c r="F4082" t="inlineStr">
        <is>
          <t>Meetings with entrepreneurial ecosystem organizations in the Toronto and Waterloo area</t>
        </is>
      </c>
      <c r="G4082" t="inlineStr">
        <is>
          <t>Réunions avec des organismes de l'écosystème entrepreneurial des régions de Toronto et de Waterloo</t>
        </is>
      </c>
      <c r="H4082" s="1" t="n">
        <v>42702</v>
      </c>
      <c r="I4082" s="1" t="n">
        <v>42704</v>
      </c>
      <c r="J4082" t="inlineStr">
        <is>
          <t>Toronto, Ontario</t>
        </is>
      </c>
      <c r="K4082" t="inlineStr">
        <is>
          <t>Toronto (Ontario)</t>
        </is>
      </c>
      <c r="P4082" t="n">
        <v>673</v>
      </c>
      <c r="Q4082" t="n">
        <v>61.9</v>
      </c>
      <c r="R4082" t="n">
        <v>299.28</v>
      </c>
      <c r="S4082" t="n">
        <v>257.05</v>
      </c>
      <c r="T4082" t="n">
        <v>0</v>
      </c>
      <c r="U4082" t="n">
        <v>1291.23</v>
      </c>
      <c r="X4082" t="inlineStr">
        <is>
          <t>acoa-apeca</t>
        </is>
      </c>
      <c r="Y4082" t="inlineStr">
        <is>
          <t>Atlantic Canada Opportunities Agency | Agence de promotion économique du Canada atlantique</t>
        </is>
      </c>
      <c r="Z4082" t="n">
        <v>3</v>
      </c>
      <c r="AA4082" t="n">
        <v>1291.22999999999</v>
      </c>
      <c r="AB4082">
        <f>ROUND(U4082-AA4082,2)</f>
        <v/>
      </c>
      <c r="AC4082" t="b">
        <v>0</v>
      </c>
      <c r="AD4082">
        <f>IF(U4082="","MISSING_TOTAL",IF(ABS(AB4082)&lt;=0.01,"OK","CHECK"))</f>
        <v/>
      </c>
      <c r="AE4082">
        <f>IF(U4082="","MISSING",IF(AND(AA4082&gt;0,U4082/AA4082&gt;50),"POSSIBLE_SCALE_ERROR","OK"))</f>
        <v/>
      </c>
    </row>
    <row r="4083">
      <c r="A4083" t="inlineStr">
        <is>
          <t>T-2017-Q3-00056</t>
        </is>
      </c>
      <c r="B4083" t="inlineStr">
        <is>
          <t>SLE</t>
        </is>
      </c>
      <c r="C4083" t="inlineStr">
        <is>
          <t>Vice-President, Prince Edward Island</t>
        </is>
      </c>
      <c r="D4083" t="inlineStr">
        <is>
          <t>Vice-président, Île-du-Prince-Édouard</t>
        </is>
      </c>
      <c r="E4083" t="inlineStr">
        <is>
          <t>Patrick Dorsey</t>
        </is>
      </c>
      <c r="F4083" t="inlineStr">
        <is>
          <t>Tourism Atlantic Association Congress and meetings with Government of Canada officials</t>
        </is>
      </c>
      <c r="G4083" t="inlineStr">
        <is>
          <t>Congrès de l'Association de l'industrie touristique de l'Atlantique et réunions avec des fonctionnaires du gouvernement du Canada</t>
        </is>
      </c>
      <c r="H4083" s="1" t="n">
        <v>42702</v>
      </c>
      <c r="I4083" s="1" t="n">
        <v>42704</v>
      </c>
      <c r="J4083" t="inlineStr">
        <is>
          <t>Ottawa, Ontario</t>
        </is>
      </c>
      <c r="K4083" t="inlineStr">
        <is>
          <t>Ottawa (Ontario)</t>
        </is>
      </c>
      <c r="P4083" t="n">
        <v>675.5700000000001</v>
      </c>
      <c r="Q4083" t="n">
        <v>136.58</v>
      </c>
      <c r="R4083" t="n">
        <v>372.44</v>
      </c>
      <c r="S4083" t="n">
        <v>257.05</v>
      </c>
      <c r="T4083" t="n">
        <v>0</v>
      </c>
      <c r="U4083" t="n">
        <v>1441.64</v>
      </c>
      <c r="X4083" t="inlineStr">
        <is>
          <t>acoa-apeca</t>
        </is>
      </c>
      <c r="Y4083" t="inlineStr">
        <is>
          <t>Atlantic Canada Opportunities Agency | Agence de promotion économique du Canada atlantique</t>
        </is>
      </c>
      <c r="Z4083" t="n">
        <v>3</v>
      </c>
      <c r="AA4083" t="n">
        <v>1441.64</v>
      </c>
      <c r="AB4083">
        <f>ROUND(U4083-AA4083,2)</f>
        <v/>
      </c>
      <c r="AC4083" t="b">
        <v>0</v>
      </c>
      <c r="AD4083">
        <f>IF(U4083="","MISSING_TOTAL",IF(ABS(AB4083)&lt;=0.01,"OK","CHECK"))</f>
        <v/>
      </c>
      <c r="AE4083">
        <f>IF(U4083="","MISSING",IF(AND(AA4083&gt;0,U4083/AA4083&gt;50),"POSSIBLE_SCALE_ERROR","OK"))</f>
        <v/>
      </c>
    </row>
    <row r="4084">
      <c r="A4084" t="inlineStr">
        <is>
          <t>T-2017-Q3-00055</t>
        </is>
      </c>
      <c r="B4084" t="inlineStr">
        <is>
          <t>SLE</t>
        </is>
      </c>
      <c r="C4084" t="inlineStr">
        <is>
          <t>Vice-President, Prince Edward Island</t>
        </is>
      </c>
      <c r="D4084" t="inlineStr">
        <is>
          <t>Vice-président, Île-du-Prince-Édouard</t>
        </is>
      </c>
      <c r="E4084" t="inlineStr">
        <is>
          <t>Patrick Dorsey</t>
        </is>
      </c>
      <c r="F4084" t="inlineStr">
        <is>
          <t>Meeting with government official in Alberton</t>
        </is>
      </c>
      <c r="G4084" t="inlineStr">
        <is>
          <t>Réunion avec un fonctionnaire à Alberton</t>
        </is>
      </c>
      <c r="H4084" s="1" t="n">
        <v>42699</v>
      </c>
      <c r="I4084" s="1" t="n">
        <v>42699</v>
      </c>
      <c r="J4084" t="inlineStr">
        <is>
          <t>Alberton, Prince Edward Island</t>
        </is>
      </c>
      <c r="K4084" t="inlineStr">
        <is>
          <t>Alberton (Île-du-Prince-Édouard)</t>
        </is>
      </c>
      <c r="P4084" t="n">
        <v>0</v>
      </c>
      <c r="Q4084" t="n">
        <v>0</v>
      </c>
      <c r="R4084" t="n">
        <v>0</v>
      </c>
      <c r="S4084" t="n">
        <v>17.25</v>
      </c>
      <c r="T4084" t="n">
        <v>0</v>
      </c>
      <c r="U4084" t="n">
        <v>17.25</v>
      </c>
      <c r="X4084" t="inlineStr">
        <is>
          <t>acoa-apeca</t>
        </is>
      </c>
      <c r="Y4084" t="inlineStr">
        <is>
          <t>Atlantic Canada Opportunities Agency | Agence de promotion économique du Canada atlantique</t>
        </is>
      </c>
      <c r="Z4084" t="n">
        <v>1</v>
      </c>
      <c r="AA4084" t="n">
        <v>17.25</v>
      </c>
      <c r="AB4084">
        <f>ROUND(U4084-AA4084,2)</f>
        <v/>
      </c>
      <c r="AC4084" t="b">
        <v>0</v>
      </c>
      <c r="AD4084">
        <f>IF(U4084="","MISSING_TOTAL",IF(ABS(AB4084)&lt;=0.01,"OK","CHECK"))</f>
        <v/>
      </c>
      <c r="AE4084">
        <f>IF(U4084="","MISSING",IF(AND(AA4084&gt;0,U4084/AA4084&gt;50),"POSSIBLE_SCALE_ERROR","OK"))</f>
        <v/>
      </c>
    </row>
    <row r="4085">
      <c r="A4085" t="inlineStr">
        <is>
          <t>T-2017-Q3-00053</t>
        </is>
      </c>
      <c r="B4085" t="inlineStr">
        <is>
          <t>SLE</t>
        </is>
      </c>
      <c r="C4085" t="inlineStr">
        <is>
          <t>President</t>
        </is>
      </c>
      <c r="D4085" t="inlineStr">
        <is>
          <t>Président</t>
        </is>
      </c>
      <c r="E4085" t="inlineStr">
        <is>
          <t>Paul J. LeBlanc</t>
        </is>
      </c>
      <c r="F4085" t="inlineStr">
        <is>
          <t>Various meetings and discussions with Agency and Government of Canada officials</t>
        </is>
      </c>
      <c r="G4085" t="inlineStr">
        <is>
          <t>Diverses réunions et discussions avec des fonctionnaires de l'Agence et du gouvernement du Canada</t>
        </is>
      </c>
      <c r="H4085" s="1" t="n">
        <v>42696</v>
      </c>
      <c r="I4085" s="1" t="n">
        <v>42698</v>
      </c>
      <c r="J4085" t="inlineStr">
        <is>
          <t>Ottawa, Ontario</t>
        </is>
      </c>
      <c r="K4085" t="inlineStr">
        <is>
          <t>Ottawa (Ontario)</t>
        </is>
      </c>
      <c r="P4085" t="n">
        <v>598.0599999999999</v>
      </c>
      <c r="Q4085" t="n">
        <v>0</v>
      </c>
      <c r="R4085" t="n">
        <v>393.4</v>
      </c>
      <c r="S4085" t="n">
        <v>194.5</v>
      </c>
      <c r="T4085" t="n">
        <v>66.20999999999999</v>
      </c>
      <c r="U4085" t="n">
        <v>1252.17</v>
      </c>
      <c r="X4085" t="inlineStr">
        <is>
          <t>acoa-apeca</t>
        </is>
      </c>
      <c r="Y4085" t="inlineStr">
        <is>
          <t>Atlantic Canada Opportunities Agency | Agence de promotion économique du Canada atlantique</t>
        </is>
      </c>
      <c r="Z4085" t="n">
        <v>3</v>
      </c>
      <c r="AA4085" t="n">
        <v>1252.17</v>
      </c>
      <c r="AB4085">
        <f>ROUND(U4085-AA4085,2)</f>
        <v/>
      </c>
      <c r="AC4085" t="b">
        <v>0</v>
      </c>
      <c r="AD4085">
        <f>IF(U4085="","MISSING_TOTAL",IF(ABS(AB4085)&lt;=0.01,"OK","CHECK"))</f>
        <v/>
      </c>
      <c r="AE4085">
        <f>IF(U4085="","MISSING",IF(AND(AA4085&gt;0,U4085/AA4085&gt;50),"POSSIBLE_SCALE_ERROR","OK"))</f>
        <v/>
      </c>
    </row>
    <row r="4086">
      <c r="A4086" t="inlineStr">
        <is>
          <t>T-2017-Q3-00051</t>
        </is>
      </c>
      <c r="B4086" t="inlineStr">
        <is>
          <t>SLE</t>
        </is>
      </c>
      <c r="C4086" t="inlineStr">
        <is>
          <t>President</t>
        </is>
      </c>
      <c r="D4086" t="inlineStr">
        <is>
          <t>Président</t>
        </is>
      </c>
      <c r="E4086" t="inlineStr">
        <is>
          <t>Paul J. LeBlanc</t>
        </is>
      </c>
      <c r="F4086" t="inlineStr">
        <is>
          <t>Various meetings and discussions with Agency and Government of Canada officials</t>
        </is>
      </c>
      <c r="G4086" t="inlineStr">
        <is>
          <t>Diverses réunions et discussions avec des fonctionnaires de l'Agence et du gouvernement du Canada</t>
        </is>
      </c>
      <c r="H4086" s="1" t="n">
        <v>42690</v>
      </c>
      <c r="I4086" s="1" t="n">
        <v>42692</v>
      </c>
      <c r="J4086" t="inlineStr">
        <is>
          <t>Ottawa, Ontario</t>
        </is>
      </c>
      <c r="K4086" t="inlineStr">
        <is>
          <t>Ottawa (Ontario)</t>
        </is>
      </c>
      <c r="P4086" t="n">
        <v>1156.73</v>
      </c>
      <c r="Q4086" t="n">
        <v>0</v>
      </c>
      <c r="R4086" t="n">
        <v>365.46</v>
      </c>
      <c r="S4086" t="n">
        <v>194.25</v>
      </c>
      <c r="T4086" t="n">
        <v>576.71</v>
      </c>
      <c r="U4086" t="n">
        <v>2293.15</v>
      </c>
      <c r="X4086" t="inlineStr">
        <is>
          <t>acoa-apeca</t>
        </is>
      </c>
      <c r="Y4086" t="inlineStr">
        <is>
          <t>Atlantic Canada Opportunities Agency | Agence de promotion économique du Canada atlantique</t>
        </is>
      </c>
      <c r="Z4086" t="n">
        <v>3</v>
      </c>
      <c r="AA4086" t="n">
        <v>2293.15</v>
      </c>
      <c r="AB4086">
        <f>ROUND(U4086-AA4086,2)</f>
        <v/>
      </c>
      <c r="AC4086" t="b">
        <v>0</v>
      </c>
      <c r="AD4086">
        <f>IF(U4086="","MISSING_TOTAL",IF(ABS(AB4086)&lt;=0.01,"OK","CHECK"))</f>
        <v/>
      </c>
      <c r="AE4086">
        <f>IF(U4086="","MISSING",IF(AND(AA4086&gt;0,U4086/AA4086&gt;50),"POSSIBLE_SCALE_ERROR","OK"))</f>
        <v/>
      </c>
    </row>
    <row r="4087">
      <c r="A4087" t="inlineStr">
        <is>
          <t>T-2017-Q1-00050</t>
        </is>
      </c>
      <c r="B4087" t="inlineStr">
        <is>
          <t>SLE</t>
        </is>
      </c>
      <c r="C4087" t="inlineStr">
        <is>
          <t>Vice-President, Newfoundland and Labrador</t>
        </is>
      </c>
      <c r="D4087" t="inlineStr">
        <is>
          <t>Vice-président, Terre-Neuve-et-Labrador</t>
        </is>
      </c>
      <c r="E4087" t="inlineStr">
        <is>
          <t>Ken Martin</t>
        </is>
      </c>
      <c r="F4087" t="inlineStr">
        <is>
          <t>Various meetings and discussions with senior government and private sector officials</t>
        </is>
      </c>
      <c r="G4087" t="inlineStr">
        <is>
          <t>Diverses réunions et discussions avec des hauts fonctionnaires et des représentants du secteur privé</t>
        </is>
      </c>
      <c r="H4087" s="1" t="n">
        <v>42522</v>
      </c>
      <c r="I4087" s="1" t="n">
        <v>42734</v>
      </c>
      <c r="J4087" t="inlineStr">
        <is>
          <t>St. John's, Newfoundland and Labrador</t>
        </is>
      </c>
      <c r="K4087" t="inlineStr">
        <is>
          <t>St. John's (Terre-Neuve-et-Labrador)</t>
        </is>
      </c>
      <c r="P4087" t="n">
        <v>0</v>
      </c>
      <c r="Q4087" t="n">
        <v>100.7</v>
      </c>
      <c r="R4087" t="n">
        <v>0</v>
      </c>
      <c r="S4087" t="n">
        <v>0</v>
      </c>
      <c r="T4087" t="n">
        <v>0</v>
      </c>
      <c r="U4087" t="n">
        <v>100.7</v>
      </c>
      <c r="X4087" t="inlineStr">
        <is>
          <t>acoa-apeca</t>
        </is>
      </c>
      <c r="Y4087" t="inlineStr">
        <is>
          <t>Atlantic Canada Opportunities Agency | Agence de promotion économique du Canada atlantique</t>
        </is>
      </c>
      <c r="Z4087" t="n">
        <v>213</v>
      </c>
      <c r="AA4087" t="n">
        <v>100.7</v>
      </c>
      <c r="AB4087">
        <f>ROUND(U4087-AA4087,2)</f>
        <v/>
      </c>
      <c r="AC4087" t="b">
        <v>0</v>
      </c>
      <c r="AD4087">
        <f>IF(U4087="","MISSING_TOTAL",IF(ABS(AB4087)&lt;=0.01,"OK","CHECK"))</f>
        <v/>
      </c>
      <c r="AE4087">
        <f>IF(U4087="","MISSING",IF(AND(AA4087&gt;0,U4087/AA4087&gt;50),"POSSIBLE_SCALE_ERROR","OK"))</f>
        <v/>
      </c>
    </row>
    <row r="4088">
      <c r="A4088" t="inlineStr">
        <is>
          <t>T-2018-Q1-00053</t>
        </is>
      </c>
      <c r="B4088" t="inlineStr">
        <is>
          <t>SLE</t>
        </is>
      </c>
      <c r="C4088" t="inlineStr">
        <is>
          <t>Vice-President, New Brunswick</t>
        </is>
      </c>
      <c r="D4088" t="inlineStr">
        <is>
          <t>Vice-président, Nouveau-Brunswick</t>
        </is>
      </c>
      <c r="E4088" t="inlineStr">
        <is>
          <t>Kent Estabrooks</t>
        </is>
      </c>
      <c r="F4088" t="inlineStr">
        <is>
          <t>Training and Development</t>
        </is>
      </c>
      <c r="G4088" t="inlineStr">
        <is>
          <t>Formation et perfectionnement</t>
        </is>
      </c>
      <c r="H4088" s="1" t="n">
        <v>42869</v>
      </c>
      <c r="I4088" s="1" t="n">
        <v>42873</v>
      </c>
      <c r="J4088" t="inlineStr">
        <is>
          <t>Washington, DC</t>
        </is>
      </c>
      <c r="K4088" t="inlineStr">
        <is>
          <t>Washington, DC</t>
        </is>
      </c>
      <c r="P4088" t="n">
        <v>972.51</v>
      </c>
      <c r="Q4088" t="n">
        <v>98.73</v>
      </c>
      <c r="R4088" t="n">
        <v>1508.92</v>
      </c>
      <c r="S4088" t="n">
        <v>497.25</v>
      </c>
      <c r="T4088" t="n">
        <v>4.77</v>
      </c>
      <c r="U4088" t="n">
        <v>3082.18</v>
      </c>
      <c r="X4088" t="inlineStr">
        <is>
          <t>acoa-apeca</t>
        </is>
      </c>
      <c r="Y4088" t="inlineStr">
        <is>
          <t>Atlantic Canada Opportunities Agency | Agence de promotion économique du Canada atlantique</t>
        </is>
      </c>
      <c r="Z4088" t="n">
        <v>5</v>
      </c>
      <c r="AA4088" t="n">
        <v>3082.18</v>
      </c>
      <c r="AB4088">
        <f>ROUND(U4088-AA4088,2)</f>
        <v/>
      </c>
      <c r="AC4088" t="b">
        <v>0</v>
      </c>
      <c r="AD4088">
        <f>IF(U4088="","MISSING_TOTAL",IF(ABS(AB4088)&lt;=0.01,"OK","CHECK"))</f>
        <v/>
      </c>
      <c r="AE4088">
        <f>IF(U4088="","MISSING",IF(AND(AA4088&gt;0,U4088/AA4088&gt;50),"POSSIBLE_SCALE_ERROR","OK"))</f>
        <v/>
      </c>
    </row>
    <row r="4089">
      <c r="A4089" t="inlineStr">
        <is>
          <t>T-2018-Q1-00052</t>
        </is>
      </c>
      <c r="B4089" t="inlineStr">
        <is>
          <t>SLE</t>
        </is>
      </c>
      <c r="C4089" t="inlineStr">
        <is>
          <t>Vice-President, New Brunswick</t>
        </is>
      </c>
      <c r="D4089" t="inlineStr">
        <is>
          <t>Vice-président, Nouveau-Brunswick</t>
        </is>
      </c>
      <c r="E4089" t="inlineStr">
        <is>
          <t>Kent Estabrooks</t>
        </is>
      </c>
      <c r="F4089" t="inlineStr">
        <is>
          <t>Various meetings with Government of Canada officials</t>
        </is>
      </c>
      <c r="G4089" t="inlineStr">
        <is>
          <t>Réunions diverses avec des fonctionnaires du gouvernement du Canada</t>
        </is>
      </c>
      <c r="H4089" s="1" t="n">
        <v>42886</v>
      </c>
      <c r="I4089" s="1" t="n">
        <v>42887</v>
      </c>
      <c r="J4089" t="inlineStr">
        <is>
          <t>Ottawa, Ontario</t>
        </is>
      </c>
      <c r="K4089" t="inlineStr">
        <is>
          <t>Ottawa (Ontario)</t>
        </is>
      </c>
      <c r="P4089" t="n">
        <v>673.9</v>
      </c>
      <c r="Q4089" t="n">
        <v>109.94</v>
      </c>
      <c r="R4089" t="n">
        <v>230.84</v>
      </c>
      <c r="S4089" t="n">
        <v>162.6</v>
      </c>
      <c r="T4089" t="n">
        <v>0</v>
      </c>
      <c r="U4089" t="n">
        <v>1177.28</v>
      </c>
      <c r="X4089" t="inlineStr">
        <is>
          <t>acoa-apeca</t>
        </is>
      </c>
      <c r="Y4089" t="inlineStr">
        <is>
          <t>Atlantic Canada Opportunities Agency | Agence de promotion économique du Canada atlantique</t>
        </is>
      </c>
      <c r="Z4089" t="n">
        <v>2</v>
      </c>
      <c r="AA4089" t="n">
        <v>1177.28</v>
      </c>
      <c r="AB4089">
        <f>ROUND(U4089-AA4089,2)</f>
        <v/>
      </c>
      <c r="AC4089" t="b">
        <v>0</v>
      </c>
      <c r="AD4089">
        <f>IF(U4089="","MISSING_TOTAL",IF(ABS(AB4089)&lt;=0.01,"OK","CHECK"))</f>
        <v/>
      </c>
      <c r="AE4089">
        <f>IF(U4089="","MISSING",IF(AND(AA4089&gt;0,U4089/AA4089&gt;50),"POSSIBLE_SCALE_ERROR","OK"))</f>
        <v/>
      </c>
    </row>
    <row r="4090">
      <c r="A4090" t="inlineStr">
        <is>
          <t>T-2018-Q1-00051</t>
        </is>
      </c>
      <c r="B4090" t="inlineStr">
        <is>
          <t>SLE</t>
        </is>
      </c>
      <c r="C4090" t="inlineStr">
        <is>
          <t>Vice-President, New Brunswick</t>
        </is>
      </c>
      <c r="D4090" t="inlineStr">
        <is>
          <t>Vice-président, Nouveau-Brunswick</t>
        </is>
      </c>
      <c r="E4090" t="inlineStr">
        <is>
          <t>Kent Estabrooks</t>
        </is>
      </c>
      <c r="F4090" t="inlineStr">
        <is>
          <t>Executive Committee meeting and mentorship initiative meeting</t>
        </is>
      </c>
      <c r="G4090" t="inlineStr">
        <is>
          <t>Réunion du Comité de direction de l'Agence et réunion dans le cadre d'une initiative de mentorat</t>
        </is>
      </c>
      <c r="H4090" s="1" t="n">
        <v>42879</v>
      </c>
      <c r="I4090" s="1" t="n">
        <v>42880</v>
      </c>
      <c r="J4090" t="inlineStr">
        <is>
          <t>Moncton, New Brunswick</t>
        </is>
      </c>
      <c r="K4090" t="inlineStr">
        <is>
          <t>Moncton (Nouveau-Brunswick)</t>
        </is>
      </c>
      <c r="P4090" t="n">
        <v>0</v>
      </c>
      <c r="Q4090" t="n">
        <v>0</v>
      </c>
      <c r="R4090" t="n">
        <v>121.9</v>
      </c>
      <c r="S4090" t="n">
        <v>144.55</v>
      </c>
      <c r="T4090" t="n">
        <v>16.1</v>
      </c>
      <c r="U4090" t="n">
        <v>282.55</v>
      </c>
      <c r="X4090" t="inlineStr">
        <is>
          <t>acoa-apeca</t>
        </is>
      </c>
      <c r="Y4090" t="inlineStr">
        <is>
          <t>Atlantic Canada Opportunities Agency | Agence de promotion économique du Canada atlantique</t>
        </is>
      </c>
      <c r="Z4090" t="n">
        <v>2</v>
      </c>
      <c r="AA4090" t="n">
        <v>282.55</v>
      </c>
      <c r="AB4090">
        <f>ROUND(U4090-AA4090,2)</f>
        <v/>
      </c>
      <c r="AC4090" t="b">
        <v>0</v>
      </c>
      <c r="AD4090">
        <f>IF(U4090="","MISSING_TOTAL",IF(ABS(AB4090)&lt;=0.01,"OK","CHECK"))</f>
        <v/>
      </c>
      <c r="AE4090">
        <f>IF(U4090="","MISSING",IF(AND(AA4090&gt;0,U4090/AA4090&gt;50),"POSSIBLE_SCALE_ERROR","OK"))</f>
        <v/>
      </c>
    </row>
    <row r="4091">
      <c r="A4091" t="inlineStr">
        <is>
          <t>T-2018-Q1-00050</t>
        </is>
      </c>
      <c r="B4091" t="inlineStr">
        <is>
          <t>SLE</t>
        </is>
      </c>
      <c r="C4091" t="inlineStr">
        <is>
          <t>Vice-President, New Brunswick</t>
        </is>
      </c>
      <c r="D4091" t="inlineStr">
        <is>
          <t>Vice-président, Nouveau-Brunswick</t>
        </is>
      </c>
      <c r="E4091" t="inlineStr">
        <is>
          <t>Kent Estabrooks</t>
        </is>
      </c>
      <c r="F4091" t="inlineStr">
        <is>
          <t>Training and development</t>
        </is>
      </c>
      <c r="G4091" t="inlineStr">
        <is>
          <t>Formation et perfectionnement</t>
        </is>
      </c>
      <c r="H4091" s="1" t="n">
        <v>42824</v>
      </c>
      <c r="I4091" s="1" t="n">
        <v>42825</v>
      </c>
      <c r="J4091" t="inlineStr">
        <is>
          <t>Montreal, Quebec</t>
        </is>
      </c>
      <c r="K4091" t="inlineStr">
        <is>
          <t>Montréal (Québec)</t>
        </is>
      </c>
      <c r="P4091" t="n">
        <v>673.9</v>
      </c>
      <c r="Q4091" t="n">
        <v>134.65</v>
      </c>
      <c r="R4091" t="n">
        <v>165.41</v>
      </c>
      <c r="S4091" t="n">
        <v>142.95</v>
      </c>
      <c r="T4091" t="n">
        <v>0</v>
      </c>
      <c r="U4091" t="n">
        <v>1116.91</v>
      </c>
      <c r="X4091" t="inlineStr">
        <is>
          <t>acoa-apeca</t>
        </is>
      </c>
      <c r="Y4091" t="inlineStr">
        <is>
          <t>Atlantic Canada Opportunities Agency | Agence de promotion économique du Canada atlantique</t>
        </is>
      </c>
      <c r="Z4091" t="n">
        <v>2</v>
      </c>
      <c r="AA4091" t="n">
        <v>1116.90999999999</v>
      </c>
      <c r="AB4091">
        <f>ROUND(U4091-AA4091,2)</f>
        <v/>
      </c>
      <c r="AC4091" t="b">
        <v>0</v>
      </c>
      <c r="AD4091">
        <f>IF(U4091="","MISSING_TOTAL",IF(ABS(AB4091)&lt;=0.01,"OK","CHECK"))</f>
        <v/>
      </c>
      <c r="AE4091">
        <f>IF(U4091="","MISSING",IF(AND(AA4091&gt;0,U4091/AA4091&gt;50),"POSSIBLE_SCALE_ERROR","OK"))</f>
        <v/>
      </c>
    </row>
    <row r="4092">
      <c r="A4092" t="inlineStr">
        <is>
          <t>T-2018-Q1-00049</t>
        </is>
      </c>
      <c r="B4092" t="inlineStr">
        <is>
          <t>SLE</t>
        </is>
      </c>
      <c r="C4092" t="inlineStr">
        <is>
          <t>Vice-President, New Brunswick</t>
        </is>
      </c>
      <c r="D4092" t="inlineStr">
        <is>
          <t>Vice-président, Nouveau-Brunswick</t>
        </is>
      </c>
      <c r="E4092" t="inlineStr">
        <is>
          <t>Kent Estabrooks</t>
        </is>
      </c>
      <c r="F4092" t="inlineStr">
        <is>
          <t>Training and development and meeting with Government of Canada officials</t>
        </is>
      </c>
      <c r="G4092" t="inlineStr">
        <is>
          <t>Formation et perfectionnement et réunion avec des fonctionnaires du gouvernement du Canada</t>
        </is>
      </c>
      <c r="H4092" s="1" t="n">
        <v>42829</v>
      </c>
      <c r="I4092" s="1" t="n">
        <v>42832</v>
      </c>
      <c r="J4092" t="inlineStr">
        <is>
          <t>Ottawa, Ontario</t>
        </is>
      </c>
      <c r="K4092" t="inlineStr">
        <is>
          <t>Ottawa (Ontario)</t>
        </is>
      </c>
      <c r="P4092" t="n">
        <v>678.5</v>
      </c>
      <c r="Q4092" t="n">
        <v>125</v>
      </c>
      <c r="R4092" t="n">
        <v>694.86</v>
      </c>
      <c r="S4092" t="n">
        <v>261.2</v>
      </c>
      <c r="T4092" t="n">
        <v>0</v>
      </c>
      <c r="U4092" t="n">
        <v>1759.56</v>
      </c>
      <c r="X4092" t="inlineStr">
        <is>
          <t>acoa-apeca</t>
        </is>
      </c>
      <c r="Y4092" t="inlineStr">
        <is>
          <t>Atlantic Canada Opportunities Agency | Agence de promotion économique du Canada atlantique</t>
        </is>
      </c>
      <c r="Z4092" t="n">
        <v>4</v>
      </c>
      <c r="AA4092" t="n">
        <v>1759.56</v>
      </c>
      <c r="AB4092">
        <f>ROUND(U4092-AA4092,2)</f>
        <v/>
      </c>
      <c r="AC4092" t="b">
        <v>0</v>
      </c>
      <c r="AD4092">
        <f>IF(U4092="","MISSING_TOTAL",IF(ABS(AB4092)&lt;=0.01,"OK","CHECK"))</f>
        <v/>
      </c>
      <c r="AE4092">
        <f>IF(U4092="","MISSING",IF(AND(AA4092&gt;0,U4092/AA4092&gt;50),"POSSIBLE_SCALE_ERROR","OK"))</f>
        <v/>
      </c>
    </row>
    <row r="4093">
      <c r="A4093" t="inlineStr">
        <is>
          <t>T-2018-Q1-00047</t>
        </is>
      </c>
      <c r="B4093" t="inlineStr">
        <is>
          <t>SLE</t>
        </is>
      </c>
      <c r="C4093" t="inlineStr">
        <is>
          <t>Vice-President, New Brunswick</t>
        </is>
      </c>
      <c r="D4093" t="inlineStr">
        <is>
          <t>Vice-président, Nouveau-Brunswick</t>
        </is>
      </c>
      <c r="E4093" t="inlineStr">
        <is>
          <t>Kent Estabrooks</t>
        </is>
      </c>
      <c r="F4093" t="inlineStr">
        <is>
          <t>Training and development</t>
        </is>
      </c>
      <c r="G4093" t="inlineStr">
        <is>
          <t>Formation et perfectionnement</t>
        </is>
      </c>
      <c r="H4093" s="1" t="n">
        <v>42858</v>
      </c>
      <c r="I4093" s="1" t="n">
        <v>42859</v>
      </c>
      <c r="J4093" t="inlineStr">
        <is>
          <t>Ottawa, Ontario</t>
        </is>
      </c>
      <c r="K4093" t="inlineStr">
        <is>
          <t>Ottawa (Ontario)</t>
        </is>
      </c>
      <c r="P4093" t="n">
        <v>673.9</v>
      </c>
      <c r="Q4093" t="n">
        <v>143.09</v>
      </c>
      <c r="R4093" t="n">
        <v>213.62</v>
      </c>
      <c r="S4093" t="n">
        <v>144.55</v>
      </c>
      <c r="T4093" t="n">
        <v>0</v>
      </c>
      <c r="U4093" t="n">
        <v>1175.16</v>
      </c>
      <c r="X4093" t="inlineStr">
        <is>
          <t>acoa-apeca</t>
        </is>
      </c>
      <c r="Y4093" t="inlineStr">
        <is>
          <t>Atlantic Canada Opportunities Agency | Agence de promotion économique du Canada atlantique</t>
        </is>
      </c>
      <c r="Z4093" t="n">
        <v>2</v>
      </c>
      <c r="AA4093" t="n">
        <v>1175.16</v>
      </c>
      <c r="AB4093">
        <f>ROUND(U4093-AA4093,2)</f>
        <v/>
      </c>
      <c r="AC4093" t="b">
        <v>0</v>
      </c>
      <c r="AD4093">
        <f>IF(U4093="","MISSING_TOTAL",IF(ABS(AB4093)&lt;=0.01,"OK","CHECK"))</f>
        <v/>
      </c>
      <c r="AE4093">
        <f>IF(U4093="","MISSING",IF(AND(AA4093&gt;0,U4093/AA4093&gt;50),"POSSIBLE_SCALE_ERROR","OK"))</f>
        <v/>
      </c>
    </row>
    <row r="4094">
      <c r="A4094" t="inlineStr">
        <is>
          <t>T-2018-Q1-00046</t>
        </is>
      </c>
      <c r="B4094" t="inlineStr">
        <is>
          <t>SLE</t>
        </is>
      </c>
      <c r="C4094" t="inlineStr">
        <is>
          <t>Vice-President, New Brunswick</t>
        </is>
      </c>
      <c r="D4094" t="inlineStr">
        <is>
          <t>Vice-président, Nouveau-Brunswick</t>
        </is>
      </c>
      <c r="E4094" t="inlineStr">
        <is>
          <t>Kent Estabrooks</t>
        </is>
      </c>
      <c r="F4094" t="inlineStr">
        <is>
          <t>Various meetings with Agency officials</t>
        </is>
      </c>
      <c r="G4094" t="inlineStr">
        <is>
          <t>Réunions diverses avec des fonctionnaires de l'Agence</t>
        </is>
      </c>
      <c r="H4094" s="1" t="n">
        <v>42863</v>
      </c>
      <c r="I4094" s="1" t="n">
        <v>42864</v>
      </c>
      <c r="J4094" t="inlineStr">
        <is>
          <t>Moncton, New Brunswick</t>
        </is>
      </c>
      <c r="K4094" t="inlineStr">
        <is>
          <t>Moncton (Nouveau-Brunswick)</t>
        </is>
      </c>
      <c r="P4094" t="n">
        <v>0</v>
      </c>
      <c r="Q4094" t="n">
        <v>0</v>
      </c>
      <c r="R4094" t="n">
        <v>125.35</v>
      </c>
      <c r="S4094" t="n">
        <v>126.5</v>
      </c>
      <c r="T4094" t="n">
        <v>16.1</v>
      </c>
      <c r="U4094" t="n">
        <v>267.95</v>
      </c>
      <c r="X4094" t="inlineStr">
        <is>
          <t>acoa-apeca</t>
        </is>
      </c>
      <c r="Y4094" t="inlineStr">
        <is>
          <t>Atlantic Canada Opportunities Agency | Agence de promotion économique du Canada atlantique</t>
        </is>
      </c>
      <c r="Z4094" t="n">
        <v>2</v>
      </c>
      <c r="AA4094" t="n">
        <v>267.95</v>
      </c>
      <c r="AB4094">
        <f>ROUND(U4094-AA4094,2)</f>
        <v/>
      </c>
      <c r="AC4094" t="b">
        <v>0</v>
      </c>
      <c r="AD4094">
        <f>IF(U4094="","MISSING_TOTAL",IF(ABS(AB4094)&lt;=0.01,"OK","CHECK"))</f>
        <v/>
      </c>
      <c r="AE4094">
        <f>IF(U4094="","MISSING",IF(AND(AA4094&gt;0,U4094/AA4094&gt;50),"POSSIBLE_SCALE_ERROR","OK"))</f>
        <v/>
      </c>
    </row>
    <row r="4095">
      <c r="A4095" t="inlineStr">
        <is>
          <t>T-2018-Q1-00044</t>
        </is>
      </c>
      <c r="B4095" t="inlineStr">
        <is>
          <t>SLE</t>
        </is>
      </c>
      <c r="C4095" t="inlineStr">
        <is>
          <t>Acting Vice-President, Nova-Scotia</t>
        </is>
      </c>
      <c r="D4095" t="inlineStr">
        <is>
          <t>Vice-président par intérim, Nouvelle-Écosse</t>
        </is>
      </c>
      <c r="E4095" t="inlineStr">
        <is>
          <t>Ken Martin</t>
        </is>
      </c>
      <c r="F4095" t="inlineStr">
        <is>
          <t>Assignment in Halifax</t>
        </is>
      </c>
      <c r="G4095" t="inlineStr">
        <is>
          <t>Affectation à Halifax</t>
        </is>
      </c>
      <c r="H4095" s="1" t="n">
        <v>42870</v>
      </c>
      <c r="I4095" s="1" t="n">
        <v>42886</v>
      </c>
      <c r="J4095" t="inlineStr">
        <is>
          <t>Halifax, Nova Scotia</t>
        </is>
      </c>
      <c r="K4095" t="inlineStr">
        <is>
          <t>Halifax (Nouvelle-Écosse)</t>
        </is>
      </c>
      <c r="P4095" t="n">
        <v>1467.28</v>
      </c>
      <c r="Q4095" t="n">
        <v>38.85</v>
      </c>
      <c r="R4095" t="n">
        <v>2090</v>
      </c>
      <c r="S4095" t="n">
        <v>950.2</v>
      </c>
      <c r="T4095" t="n">
        <v>0</v>
      </c>
      <c r="U4095" t="n">
        <v>4546.33</v>
      </c>
      <c r="X4095" t="inlineStr">
        <is>
          <t>acoa-apeca</t>
        </is>
      </c>
      <c r="Y4095" t="inlineStr">
        <is>
          <t>Atlantic Canada Opportunities Agency | Agence de promotion économique du Canada atlantique</t>
        </is>
      </c>
      <c r="Z4095" t="n">
        <v>17</v>
      </c>
      <c r="AA4095" t="n">
        <v>4546.33</v>
      </c>
      <c r="AB4095">
        <f>ROUND(U4095-AA4095,2)</f>
        <v/>
      </c>
      <c r="AC4095" t="b">
        <v>0</v>
      </c>
      <c r="AD4095">
        <f>IF(U4095="","MISSING_TOTAL",IF(ABS(AB4095)&lt;=0.01,"OK","CHECK"))</f>
        <v/>
      </c>
      <c r="AE4095">
        <f>IF(U4095="","MISSING",IF(AND(AA4095&gt;0,U4095/AA4095&gt;50),"POSSIBLE_SCALE_ERROR","OK"))</f>
        <v/>
      </c>
    </row>
    <row r="4096">
      <c r="A4096" t="inlineStr">
        <is>
          <t>T-2018-Q1-00042</t>
        </is>
      </c>
      <c r="B4096" t="inlineStr">
        <is>
          <t>SLE</t>
        </is>
      </c>
      <c r="C4096" t="inlineStr">
        <is>
          <t>Acting Vice-President, Nova-Scotia</t>
        </is>
      </c>
      <c r="D4096" t="inlineStr">
        <is>
          <t>Vice-président par intérim, Nouvelle-Écosse</t>
        </is>
      </c>
      <c r="E4096" t="inlineStr">
        <is>
          <t>Ken Martin</t>
        </is>
      </c>
      <c r="F4096" t="inlineStr">
        <is>
          <t>Meeting with Agency officials</t>
        </is>
      </c>
      <c r="G4096" t="inlineStr">
        <is>
          <t>Réunion avec des fonctionnaires de l'Agence</t>
        </is>
      </c>
      <c r="H4096" s="1" t="n">
        <v>42879</v>
      </c>
      <c r="I4096" s="1" t="n">
        <v>42880</v>
      </c>
      <c r="J4096" t="inlineStr">
        <is>
          <t>Moncton, New-Brunswick</t>
        </is>
      </c>
      <c r="K4096" t="inlineStr">
        <is>
          <t>Moncton (Nouveau-Brunswick)</t>
        </is>
      </c>
      <c r="P4096" t="n">
        <v>0</v>
      </c>
      <c r="Q4096" t="n">
        <v>0</v>
      </c>
      <c r="R4096" t="n">
        <v>125.35</v>
      </c>
      <c r="S4096" t="n">
        <v>161.7</v>
      </c>
      <c r="T4096" t="n">
        <v>21.85</v>
      </c>
      <c r="U4096" t="n">
        <v>308.9</v>
      </c>
      <c r="X4096" t="inlineStr">
        <is>
          <t>acoa-apeca</t>
        </is>
      </c>
      <c r="Y4096" t="inlineStr">
        <is>
          <t>Atlantic Canada Opportunities Agency | Agence de promotion économique du Canada atlantique</t>
        </is>
      </c>
      <c r="Z4096" t="n">
        <v>2</v>
      </c>
      <c r="AA4096" t="n">
        <v>308.9</v>
      </c>
      <c r="AB4096">
        <f>ROUND(U4096-AA4096,2)</f>
        <v/>
      </c>
      <c r="AC4096" t="b">
        <v>0</v>
      </c>
      <c r="AD4096">
        <f>IF(U4096="","MISSING_TOTAL",IF(ABS(AB4096)&lt;=0.01,"OK","CHECK"))</f>
        <v/>
      </c>
      <c r="AE4096">
        <f>IF(U4096="","MISSING",IF(AND(AA4096&gt;0,U4096/AA4096&gt;50),"POSSIBLE_SCALE_ERROR","OK"))</f>
        <v/>
      </c>
    </row>
    <row r="4097">
      <c r="A4097" t="inlineStr">
        <is>
          <t>T-2018-Q1-00040</t>
        </is>
      </c>
      <c r="B4097" t="inlineStr">
        <is>
          <t>SLE</t>
        </is>
      </c>
      <c r="C4097" t="inlineStr">
        <is>
          <t>Vice-President, Prince Edward Island</t>
        </is>
      </c>
      <c r="D4097" t="inlineStr">
        <is>
          <t>Vice-président, Île-du-Prince-Édouard</t>
        </is>
      </c>
      <c r="E4097" t="inlineStr">
        <is>
          <t>Patrick Dorsey</t>
        </is>
      </c>
      <c r="F4097" t="inlineStr">
        <is>
          <t>Meeting with Government of Canada officials</t>
        </is>
      </c>
      <c r="G4097" t="inlineStr">
        <is>
          <t>Réunion avec des fonctionnaires du gouvernement du Canada</t>
        </is>
      </c>
      <c r="H4097" s="1" t="n">
        <v>42879</v>
      </c>
      <c r="I4097" s="1" t="n">
        <v>42880</v>
      </c>
      <c r="J4097" t="inlineStr">
        <is>
          <t>Moncton, New Brunswick</t>
        </is>
      </c>
      <c r="K4097" t="inlineStr">
        <is>
          <t>Moncton (Nouveau-Brunswick)</t>
        </is>
      </c>
      <c r="P4097" t="n">
        <v>0</v>
      </c>
      <c r="Q4097" t="n">
        <v>62.6</v>
      </c>
      <c r="R4097" t="n">
        <v>125.35</v>
      </c>
      <c r="S4097" t="n">
        <v>126.5</v>
      </c>
      <c r="T4097" t="n">
        <v>0</v>
      </c>
      <c r="U4097" t="n">
        <v>314.45</v>
      </c>
      <c r="X4097" t="inlineStr">
        <is>
          <t>acoa-apeca</t>
        </is>
      </c>
      <c r="Y4097" t="inlineStr">
        <is>
          <t>Atlantic Canada Opportunities Agency | Agence de promotion économique du Canada atlantique</t>
        </is>
      </c>
      <c r="Z4097" t="n">
        <v>2</v>
      </c>
      <c r="AA4097" t="n">
        <v>314.45</v>
      </c>
      <c r="AB4097">
        <f>ROUND(U4097-AA4097,2)</f>
        <v/>
      </c>
      <c r="AC4097" t="b">
        <v>0</v>
      </c>
      <c r="AD4097">
        <f>IF(U4097="","MISSING_TOTAL",IF(ABS(AB4097)&lt;=0.01,"OK","CHECK"))</f>
        <v/>
      </c>
      <c r="AE4097">
        <f>IF(U4097="","MISSING",IF(AND(AA4097&gt;0,U4097/AA4097&gt;50),"POSSIBLE_SCALE_ERROR","OK"))</f>
        <v/>
      </c>
    </row>
    <row r="4098">
      <c r="A4098" t="inlineStr">
        <is>
          <t>T-2018-Q1-00039</t>
        </is>
      </c>
      <c r="B4098" t="inlineStr">
        <is>
          <t>SLE</t>
        </is>
      </c>
      <c r="C4098" t="inlineStr">
        <is>
          <t>Vice-President, Prince Edward Island</t>
        </is>
      </c>
      <c r="D4098" t="inlineStr">
        <is>
          <t>Vice-président, Île-du-Prince-Édouard</t>
        </is>
      </c>
      <c r="E4098" t="inlineStr">
        <is>
          <t>Patrick Dorsey</t>
        </is>
      </c>
      <c r="F4098" t="inlineStr">
        <is>
          <t>Professional development</t>
        </is>
      </c>
      <c r="G4098" t="inlineStr">
        <is>
          <t>Perfectionnement professionnel</t>
        </is>
      </c>
      <c r="H4098" s="1" t="n">
        <v>42870</v>
      </c>
      <c r="I4098" s="1" t="n">
        <v>42873</v>
      </c>
      <c r="J4098" t="inlineStr">
        <is>
          <t>Toronto, Ontario</t>
        </is>
      </c>
      <c r="K4098" t="inlineStr">
        <is>
          <t>Toronto (Ontario)</t>
        </is>
      </c>
      <c r="P4098" t="n">
        <v>927.84</v>
      </c>
      <c r="Q4098" t="n">
        <v>92.62</v>
      </c>
      <c r="R4098" t="n">
        <v>830.5599999999999</v>
      </c>
      <c r="S4098" t="n">
        <v>341.6</v>
      </c>
      <c r="T4098" t="n">
        <v>0</v>
      </c>
      <c r="U4098" t="n">
        <v>2192.62</v>
      </c>
      <c r="X4098" t="inlineStr">
        <is>
          <t>acoa-apeca</t>
        </is>
      </c>
      <c r="Y4098" t="inlineStr">
        <is>
          <t>Atlantic Canada Opportunities Agency | Agence de promotion économique du Canada atlantique</t>
        </is>
      </c>
      <c r="Z4098" t="n">
        <v>4</v>
      </c>
      <c r="AA4098" t="n">
        <v>2192.62</v>
      </c>
      <c r="AB4098">
        <f>ROUND(U4098-AA4098,2)</f>
        <v/>
      </c>
      <c r="AC4098" t="b">
        <v>0</v>
      </c>
      <c r="AD4098">
        <f>IF(U4098="","MISSING_TOTAL",IF(ABS(AB4098)&lt;=0.01,"OK","CHECK"))</f>
        <v/>
      </c>
      <c r="AE4098">
        <f>IF(U4098="","MISSING",IF(AND(AA4098&gt;0,U4098/AA4098&gt;50),"POSSIBLE_SCALE_ERROR","OK"))</f>
        <v/>
      </c>
    </row>
    <row r="4099">
      <c r="A4099" t="inlineStr">
        <is>
          <t>T-2018-Q1-00038</t>
        </is>
      </c>
      <c r="B4099" t="inlineStr">
        <is>
          <t>SLE</t>
        </is>
      </c>
      <c r="C4099" t="inlineStr">
        <is>
          <t>Acting Vice-President, Newfoundland and Labrador</t>
        </is>
      </c>
      <c r="D4099" t="inlineStr">
        <is>
          <t>Vice-présidente par intérim, Terre-Neuve-et-Labrador</t>
        </is>
      </c>
      <c r="E4099" t="inlineStr">
        <is>
          <t>Karen Skinner</t>
        </is>
      </c>
      <c r="F4099" t="inlineStr">
        <is>
          <t>Attend Executive Committee meeting in Moncton</t>
        </is>
      </c>
      <c r="G4099" t="inlineStr">
        <is>
          <t>Assister à une réunion du Comité de direction à Moncton</t>
        </is>
      </c>
      <c r="H4099" s="1" t="n">
        <v>42879</v>
      </c>
      <c r="I4099" s="1" t="n">
        <v>42880</v>
      </c>
      <c r="J4099" t="inlineStr">
        <is>
          <t>Moncton, New-Brunswick</t>
        </is>
      </c>
      <c r="K4099" t="inlineStr">
        <is>
          <t>Moncton (Nouveau-Brunswick)</t>
        </is>
      </c>
      <c r="P4099" t="n">
        <v>842.61</v>
      </c>
      <c r="Q4099" t="n">
        <v>52.76</v>
      </c>
      <c r="R4099" t="n">
        <v>159.85</v>
      </c>
      <c r="S4099" t="n">
        <v>126.5</v>
      </c>
      <c r="T4099" t="n">
        <v>0</v>
      </c>
      <c r="U4099" t="n">
        <v>1181.72</v>
      </c>
      <c r="X4099" t="inlineStr">
        <is>
          <t>acoa-apeca</t>
        </is>
      </c>
      <c r="Y4099" t="inlineStr">
        <is>
          <t>Atlantic Canada Opportunities Agency | Agence de promotion économique du Canada atlantique</t>
        </is>
      </c>
      <c r="Z4099" t="n">
        <v>2</v>
      </c>
      <c r="AA4099" t="n">
        <v>1181.72</v>
      </c>
      <c r="AB4099">
        <f>ROUND(U4099-AA4099,2)</f>
        <v/>
      </c>
      <c r="AC4099" t="b">
        <v>0</v>
      </c>
      <c r="AD4099">
        <f>IF(U4099="","MISSING_TOTAL",IF(ABS(AB4099)&lt;=0.01,"OK","CHECK"))</f>
        <v/>
      </c>
      <c r="AE4099">
        <f>IF(U4099="","MISSING",IF(AND(AA4099&gt;0,U4099/AA4099&gt;50),"POSSIBLE_SCALE_ERROR","OK"))</f>
        <v/>
      </c>
    </row>
    <row r="4100">
      <c r="A4100" t="inlineStr">
        <is>
          <t>T-2018-Q1-00037</t>
        </is>
      </c>
      <c r="B4100" t="inlineStr">
        <is>
          <t>SLE</t>
        </is>
      </c>
      <c r="C4100" t="inlineStr">
        <is>
          <t>Acting Vice-President, Policy and Programs</t>
        </is>
      </c>
      <c r="D4100" t="inlineStr">
        <is>
          <t>Vice-présidente, Politiques et Programmes par intérim</t>
        </is>
      </c>
      <c r="E4100" t="inlineStr">
        <is>
          <t>Denise Frenette</t>
        </is>
      </c>
      <c r="F4100" t="inlineStr">
        <is>
          <t>Meeting with Government of Canada officials</t>
        </is>
      </c>
      <c r="G4100" t="inlineStr">
        <is>
          <t>Réunion avec des fonctionnaires du gouvernement du Canada</t>
        </is>
      </c>
      <c r="H4100" s="1" t="n">
        <v>42884</v>
      </c>
      <c r="I4100" s="1" t="n">
        <v>42885</v>
      </c>
      <c r="J4100" t="inlineStr">
        <is>
          <t>Halifax, Nova Scotia</t>
        </is>
      </c>
      <c r="K4100" t="inlineStr">
        <is>
          <t>Halifax (Nouvelle-Écosse)</t>
        </is>
      </c>
      <c r="P4100" t="n">
        <v>0</v>
      </c>
      <c r="Q4100" t="n">
        <v>30.3</v>
      </c>
      <c r="R4100" t="n">
        <v>198.24</v>
      </c>
      <c r="S4100" t="n">
        <v>126.5</v>
      </c>
      <c r="T4100" t="n">
        <v>3</v>
      </c>
      <c r="U4100" t="n">
        <v>358.04</v>
      </c>
      <c r="X4100" t="inlineStr">
        <is>
          <t>acoa-apeca</t>
        </is>
      </c>
      <c r="Y4100" t="inlineStr">
        <is>
          <t>Atlantic Canada Opportunities Agency | Agence de promotion économique du Canada atlantique</t>
        </is>
      </c>
      <c r="Z4100" t="n">
        <v>2</v>
      </c>
      <c r="AA4100" t="n">
        <v>358.04</v>
      </c>
      <c r="AB4100">
        <f>ROUND(U4100-AA4100,2)</f>
        <v/>
      </c>
      <c r="AC4100" t="b">
        <v>0</v>
      </c>
      <c r="AD4100">
        <f>IF(U4100="","MISSING_TOTAL",IF(ABS(AB4100)&lt;=0.01,"OK","CHECK"))</f>
        <v/>
      </c>
      <c r="AE4100">
        <f>IF(U4100="","MISSING",IF(AND(AA4100&gt;0,U4100/AA4100&gt;50),"POSSIBLE_SCALE_ERROR","OK"))</f>
        <v/>
      </c>
    </row>
    <row r="4101">
      <c r="A4101" t="inlineStr">
        <is>
          <t>T-2018-Q1-00036</t>
        </is>
      </c>
      <c r="B4101" t="inlineStr">
        <is>
          <t>SLE</t>
        </is>
      </c>
      <c r="C4101" t="inlineStr">
        <is>
          <t>Acting Vice-President, Nova-Scotia</t>
        </is>
      </c>
      <c r="D4101" t="inlineStr">
        <is>
          <t>Vice-président par intérim, Nouvelle-Écosse</t>
        </is>
      </c>
      <c r="E4101" t="inlineStr">
        <is>
          <t>Patrick Dorsey</t>
        </is>
      </c>
      <c r="F4101" t="inlineStr">
        <is>
          <t>Various meetings with Agency officials</t>
        </is>
      </c>
      <c r="G4101" t="inlineStr">
        <is>
          <t>Réunions diverses avec des fonctionnaires de l'Agence</t>
        </is>
      </c>
      <c r="H4101" s="1" t="n">
        <v>42863</v>
      </c>
      <c r="I4101" s="1" t="n">
        <v>42864</v>
      </c>
      <c r="J4101" t="inlineStr">
        <is>
          <t>Moncton, New Brunswick</t>
        </is>
      </c>
      <c r="K4101" t="inlineStr">
        <is>
          <t>Moncton (Nouveau-Brunswick)</t>
        </is>
      </c>
      <c r="P4101" t="n">
        <v>0</v>
      </c>
      <c r="Q4101" t="n">
        <v>16.1</v>
      </c>
      <c r="R4101" t="n">
        <v>125.35</v>
      </c>
      <c r="S4101" t="n">
        <v>115.75</v>
      </c>
      <c r="T4101" t="n">
        <v>0</v>
      </c>
      <c r="U4101" t="n">
        <v>257.2</v>
      </c>
      <c r="X4101" t="inlineStr">
        <is>
          <t>acoa-apeca</t>
        </is>
      </c>
      <c r="Y4101" t="inlineStr">
        <is>
          <t>Atlantic Canada Opportunities Agency | Agence de promotion économique du Canada atlantique</t>
        </is>
      </c>
      <c r="Z4101" t="n">
        <v>2</v>
      </c>
      <c r="AA4101" t="n">
        <v>257.2</v>
      </c>
      <c r="AB4101">
        <f>ROUND(U4101-AA4101,2)</f>
        <v/>
      </c>
      <c r="AC4101" t="b">
        <v>0</v>
      </c>
      <c r="AD4101">
        <f>IF(U4101="","MISSING_TOTAL",IF(ABS(AB4101)&lt;=0.01,"OK","CHECK"))</f>
        <v/>
      </c>
      <c r="AE4101">
        <f>IF(U4101="","MISSING",IF(AND(AA4101&gt;0,U4101/AA4101&gt;50),"POSSIBLE_SCALE_ERROR","OK"))</f>
        <v/>
      </c>
    </row>
    <row r="4102">
      <c r="A4102" t="inlineStr">
        <is>
          <t>T-2018-Q1-00035</t>
        </is>
      </c>
      <c r="B4102" t="inlineStr">
        <is>
          <t>SLE</t>
        </is>
      </c>
      <c r="C4102" t="inlineStr">
        <is>
          <t>Acting Vice-President, Nova-Scotia</t>
        </is>
      </c>
      <c r="D4102" t="inlineStr">
        <is>
          <t>Vice-président par intérim, Nouvelle-Écosse</t>
        </is>
      </c>
      <c r="E4102" t="inlineStr">
        <is>
          <t>Patrick Dorsey</t>
        </is>
      </c>
      <c r="F4102" t="inlineStr">
        <is>
          <t>Attend various meetings on the Atlantic Canada Tourism Partnership</t>
        </is>
      </c>
      <c r="G4102" t="inlineStr">
        <is>
          <t>Assister à des réunions diverses au sujet du Partenariat du tourisme du Canada atlantique</t>
        </is>
      </c>
      <c r="H4102" s="1" t="n">
        <v>42858</v>
      </c>
      <c r="I4102" s="1" t="n">
        <v>42859</v>
      </c>
      <c r="J4102" t="inlineStr">
        <is>
          <t>St. John's, Newfoundland and Labrador</t>
        </is>
      </c>
      <c r="K4102" t="inlineStr">
        <is>
          <t>St. John's (Terre-Neuve-et-Labrador)</t>
        </is>
      </c>
      <c r="P4102" t="n">
        <v>630.95</v>
      </c>
      <c r="Q4102" t="n">
        <v>26.5</v>
      </c>
      <c r="R4102" t="n">
        <v>172.55</v>
      </c>
      <c r="S4102" t="n">
        <v>115.75</v>
      </c>
      <c r="T4102" t="n">
        <v>0</v>
      </c>
      <c r="U4102" t="n">
        <v>945.75</v>
      </c>
      <c r="X4102" t="inlineStr">
        <is>
          <t>acoa-apeca</t>
        </is>
      </c>
      <c r="Y4102" t="inlineStr">
        <is>
          <t>Atlantic Canada Opportunities Agency | Agence de promotion économique du Canada atlantique</t>
        </is>
      </c>
      <c r="Z4102" t="n">
        <v>2</v>
      </c>
      <c r="AA4102" t="n">
        <v>945.75</v>
      </c>
      <c r="AB4102">
        <f>ROUND(U4102-AA4102,2)</f>
        <v/>
      </c>
      <c r="AC4102" t="b">
        <v>0</v>
      </c>
      <c r="AD4102">
        <f>IF(U4102="","MISSING_TOTAL",IF(ABS(AB4102)&lt;=0.01,"OK","CHECK"))</f>
        <v/>
      </c>
      <c r="AE4102">
        <f>IF(U4102="","MISSING",IF(AND(AA4102&gt;0,U4102/AA4102&gt;50),"POSSIBLE_SCALE_ERROR","OK"))</f>
        <v/>
      </c>
    </row>
    <row r="4103">
      <c r="A4103" t="inlineStr">
        <is>
          <t>T-2017-Q1-00002</t>
        </is>
      </c>
      <c r="B4103" t="inlineStr">
        <is>
          <t>SLE</t>
        </is>
      </c>
      <c r="C4103" t="inlineStr">
        <is>
          <t>Senior Advisor (Energy)</t>
        </is>
      </c>
      <c r="D4103" t="inlineStr">
        <is>
          <t>Conseiller spécial (energie)</t>
        </is>
      </c>
      <c r="E4103" t="inlineStr">
        <is>
          <t>Andrew F. Noseworthy</t>
        </is>
      </c>
      <c r="F4103" t="inlineStr">
        <is>
          <t>Attend Executive Committee meeting</t>
        </is>
      </c>
      <c r="G4103" t="inlineStr">
        <is>
          <t>Assister à une réunion du Comité de direction</t>
        </is>
      </c>
      <c r="H4103" s="1" t="n">
        <v>42431</v>
      </c>
      <c r="I4103" s="1" t="n">
        <v>42432</v>
      </c>
      <c r="J4103" t="inlineStr">
        <is>
          <t>Moncton, New Brunswick</t>
        </is>
      </c>
      <c r="K4103" t="inlineStr">
        <is>
          <t>Moncton (Nouveau-Brunswick)</t>
        </is>
      </c>
      <c r="P4103" t="n">
        <v>1063.56</v>
      </c>
      <c r="Q4103" t="n">
        <v>24</v>
      </c>
      <c r="R4103" t="n">
        <v>145.77</v>
      </c>
      <c r="S4103" t="n">
        <v>123.4</v>
      </c>
      <c r="T4103" t="n">
        <v>38.75</v>
      </c>
      <c r="U4103" t="n">
        <v>1395.48</v>
      </c>
      <c r="X4103" t="inlineStr">
        <is>
          <t>acoa-apeca</t>
        </is>
      </c>
      <c r="Y4103" t="inlineStr">
        <is>
          <t>Atlantic Canada Opportunities Agency | Agence de promotion économique du Canada atlantique</t>
        </is>
      </c>
      <c r="Z4103" t="n">
        <v>2</v>
      </c>
      <c r="AA4103" t="n">
        <v>1395.48</v>
      </c>
      <c r="AB4103">
        <f>ROUND(U4103-AA4103,2)</f>
        <v/>
      </c>
      <c r="AC4103" t="b">
        <v>0</v>
      </c>
      <c r="AD4103">
        <f>IF(U4103="","MISSING_TOTAL",IF(ABS(AB4103)&lt;=0.01,"OK","CHECK"))</f>
        <v/>
      </c>
      <c r="AE4103">
        <f>IF(U4103="","MISSING",IF(AND(AA4103&gt;0,U4103/AA4103&gt;50),"POSSIBLE_SCALE_ERROR","OK"))</f>
        <v/>
      </c>
    </row>
    <row r="4104">
      <c r="A4104" t="inlineStr">
        <is>
          <t>T-2018-Q1-00034</t>
        </is>
      </c>
      <c r="B4104" t="inlineStr">
        <is>
          <t>SLE</t>
        </is>
      </c>
      <c r="C4104" t="inlineStr">
        <is>
          <t>Acting Vice-President, Nova-Scotia</t>
        </is>
      </c>
      <c r="D4104" t="inlineStr">
        <is>
          <t>Vice-président par intérim, Nouvelle-Écosse</t>
        </is>
      </c>
      <c r="E4104" t="inlineStr">
        <is>
          <t>Patrick Dorsey</t>
        </is>
      </c>
      <c r="F4104" t="inlineStr">
        <is>
          <t>Meeting with Agency official</t>
        </is>
      </c>
      <c r="G4104" t="inlineStr">
        <is>
          <t>Réunion avec un fonctionnaire de l'Agence</t>
        </is>
      </c>
      <c r="H4104" s="1" t="n">
        <v>42838</v>
      </c>
      <c r="I4104" s="1" t="n">
        <v>42838</v>
      </c>
      <c r="J4104" t="inlineStr">
        <is>
          <t>Moncton, New Brunswick</t>
        </is>
      </c>
      <c r="K4104" t="inlineStr">
        <is>
          <t>Moncton (Nouveau-Brunswick)</t>
        </is>
      </c>
      <c r="P4104" t="n">
        <v>0</v>
      </c>
      <c r="Q4104" t="n">
        <v>0</v>
      </c>
      <c r="R4104" t="n">
        <v>0</v>
      </c>
      <c r="S4104" t="n">
        <v>18.05</v>
      </c>
      <c r="T4104" t="n">
        <v>0</v>
      </c>
      <c r="U4104" t="n">
        <v>18.05</v>
      </c>
      <c r="X4104" t="inlineStr">
        <is>
          <t>acoa-apeca</t>
        </is>
      </c>
      <c r="Y4104" t="inlineStr">
        <is>
          <t>Atlantic Canada Opportunities Agency | Agence de promotion économique du Canada atlantique</t>
        </is>
      </c>
      <c r="Z4104" t="n">
        <v>1</v>
      </c>
      <c r="AA4104" t="n">
        <v>18.05</v>
      </c>
      <c r="AB4104">
        <f>ROUND(U4104-AA4104,2)</f>
        <v/>
      </c>
      <c r="AC4104" t="b">
        <v>0</v>
      </c>
      <c r="AD4104">
        <f>IF(U4104="","MISSING_TOTAL",IF(ABS(AB4104)&lt;=0.01,"OK","CHECK"))</f>
        <v/>
      </c>
      <c r="AE4104">
        <f>IF(U4104="","MISSING",IF(AND(AA4104&gt;0,U4104/AA4104&gt;50),"POSSIBLE_SCALE_ERROR","OK"))</f>
        <v/>
      </c>
    </row>
    <row r="4105">
      <c r="A4105" t="inlineStr">
        <is>
          <t>T-2018-Q1-00033</t>
        </is>
      </c>
      <c r="B4105" t="inlineStr">
        <is>
          <t>SLE</t>
        </is>
      </c>
      <c r="C4105" t="inlineStr">
        <is>
          <t>Acting Vice-President, Nova-Scotia</t>
        </is>
      </c>
      <c r="D4105" t="inlineStr">
        <is>
          <t>Vice-président par intérim, Nouvelle-Écosse</t>
        </is>
      </c>
      <c r="E4105" t="inlineStr">
        <is>
          <t>Patrick Dorsey</t>
        </is>
      </c>
      <c r="F4105" t="inlineStr">
        <is>
          <t>Various meetings with senior Agency officials</t>
        </is>
      </c>
      <c r="G4105" t="inlineStr">
        <is>
          <t>Réunions diverses avec des hauts fonctionnaires de l'Agence</t>
        </is>
      </c>
      <c r="H4105" s="1" t="n">
        <v>42834</v>
      </c>
      <c r="I4105" s="1" t="n">
        <v>42836</v>
      </c>
      <c r="J4105" t="inlineStr">
        <is>
          <t>Ottawa, Ontario</t>
        </is>
      </c>
      <c r="K4105" t="inlineStr">
        <is>
          <t>Ottawa (Ontario)</t>
        </is>
      </c>
      <c r="P4105" t="n">
        <v>1188.89</v>
      </c>
      <c r="Q4105" t="n">
        <v>171.15</v>
      </c>
      <c r="R4105" t="n">
        <v>645.0599999999999</v>
      </c>
      <c r="S4105" t="n">
        <v>225.85</v>
      </c>
      <c r="T4105" t="n">
        <v>0</v>
      </c>
      <c r="U4105" t="n">
        <v>2230.95</v>
      </c>
      <c r="X4105" t="inlineStr">
        <is>
          <t>acoa-apeca</t>
        </is>
      </c>
      <c r="Y4105" t="inlineStr">
        <is>
          <t>Atlantic Canada Opportunities Agency | Agence de promotion économique du Canada atlantique</t>
        </is>
      </c>
      <c r="Z4105" t="n">
        <v>3</v>
      </c>
      <c r="AA4105" t="n">
        <v>2230.95</v>
      </c>
      <c r="AB4105">
        <f>ROUND(U4105-AA4105,2)</f>
        <v/>
      </c>
      <c r="AC4105" t="b">
        <v>0</v>
      </c>
      <c r="AD4105">
        <f>IF(U4105="","MISSING_TOTAL",IF(ABS(AB4105)&lt;=0.01,"OK","CHECK"))</f>
        <v/>
      </c>
      <c r="AE4105">
        <f>IF(U4105="","MISSING",IF(AND(AA4105&gt;0,U4105/AA4105&gt;50),"POSSIBLE_SCALE_ERROR","OK"))</f>
        <v/>
      </c>
    </row>
    <row r="4106">
      <c r="A4106" t="inlineStr">
        <is>
          <t>T-2012-Q1-00048</t>
        </is>
      </c>
      <c r="B4106" t="inlineStr">
        <is>
          <t>SLE</t>
        </is>
      </c>
      <c r="C4106" t="inlineStr">
        <is>
          <t>Senior Advisor (Energy)</t>
        </is>
      </c>
      <c r="D4106" t="inlineStr">
        <is>
          <t>Conseiller spécial (energie)</t>
        </is>
      </c>
      <c r="E4106" t="inlineStr">
        <is>
          <t>Andrew F. Noseworthy</t>
        </is>
      </c>
      <c r="F4106" t="inlineStr">
        <is>
          <t>Attend Offshore Technology Conference 2011</t>
        </is>
      </c>
      <c r="G4106" t="inlineStr">
        <is>
          <t>Participer à la Offshore Technology Conference 2011</t>
        </is>
      </c>
      <c r="H4106" s="1" t="n">
        <v>40663</v>
      </c>
      <c r="I4106" s="1" t="n">
        <v>40670</v>
      </c>
      <c r="J4106" t="inlineStr">
        <is>
          <t>Houston, Texas</t>
        </is>
      </c>
      <c r="K4106" t="inlineStr">
        <is>
          <t>Houston, Texas</t>
        </is>
      </c>
      <c r="P4106" t="n">
        <v>1217.27</v>
      </c>
      <c r="Q4106" t="n">
        <v>327.65</v>
      </c>
      <c r="R4106" t="n">
        <v>1912.68</v>
      </c>
      <c r="S4106" t="n">
        <v>558.12</v>
      </c>
      <c r="T4106" t="n">
        <v>0</v>
      </c>
      <c r="U4106" t="n">
        <v>4015.72</v>
      </c>
      <c r="X4106" t="inlineStr">
        <is>
          <t>acoa-apeca</t>
        </is>
      </c>
      <c r="Y4106" t="inlineStr">
        <is>
          <t>Atlantic Canada Opportunities Agency | Agence de promotion économique du Canada atlantique</t>
        </is>
      </c>
      <c r="Z4106" t="n">
        <v>8</v>
      </c>
      <c r="AA4106" t="n">
        <v>4015.72</v>
      </c>
      <c r="AB4106">
        <f>ROUND(U4106-AA4106,2)</f>
        <v/>
      </c>
      <c r="AC4106" t="b">
        <v>0</v>
      </c>
      <c r="AD4106">
        <f>IF(U4106="","MISSING_TOTAL",IF(ABS(AB4106)&lt;=0.01,"OK","CHECK"))</f>
        <v/>
      </c>
      <c r="AE4106">
        <f>IF(U4106="","MISSING",IF(AND(AA4106&gt;0,U4106/AA4106&gt;50),"POSSIBLE_SCALE_ERROR","OK"))</f>
        <v/>
      </c>
    </row>
    <row r="4107">
      <c r="A4107" t="inlineStr">
        <is>
          <t>T-2018-Q1-00032</t>
        </is>
      </c>
      <c r="B4107" t="inlineStr">
        <is>
          <t>SLE</t>
        </is>
      </c>
      <c r="C4107" t="inlineStr">
        <is>
          <t>Acting Vice-President, Nova-Scotia</t>
        </is>
      </c>
      <c r="D4107" t="inlineStr">
        <is>
          <t>Vice-président par intérim, Nouvelle-Écosse</t>
        </is>
      </c>
      <c r="E4107" t="inlineStr">
        <is>
          <t>Patrick Dorsey</t>
        </is>
      </c>
      <c r="F4107" t="inlineStr">
        <is>
          <t>Various meetings with Agency and Government of Canada officials</t>
        </is>
      </c>
      <c r="G4107" t="inlineStr">
        <is>
          <t>Réunions diverses avec des fonctionnaires de l'Agence et du gouvernement du Canada</t>
        </is>
      </c>
      <c r="H4107" s="1" t="n">
        <v>42830</v>
      </c>
      <c r="I4107" s="1" t="n">
        <v>42831</v>
      </c>
      <c r="J4107" t="inlineStr">
        <is>
          <t>Ottawa, Ontario</t>
        </is>
      </c>
      <c r="K4107" t="inlineStr">
        <is>
          <t>Ottawa (Ontario)</t>
        </is>
      </c>
      <c r="P4107" t="n">
        <v>396.29</v>
      </c>
      <c r="Q4107" t="n">
        <v>55.31</v>
      </c>
      <c r="R4107" t="n">
        <v>231.62</v>
      </c>
      <c r="S4107" t="n">
        <v>179.75</v>
      </c>
      <c r="T4107" t="n">
        <v>0</v>
      </c>
      <c r="U4107" t="n">
        <v>862.97</v>
      </c>
      <c r="X4107" t="inlineStr">
        <is>
          <t>acoa-apeca</t>
        </is>
      </c>
      <c r="Y4107" t="inlineStr">
        <is>
          <t>Atlantic Canada Opportunities Agency | Agence de promotion économique du Canada atlantique</t>
        </is>
      </c>
      <c r="Z4107" t="n">
        <v>2</v>
      </c>
      <c r="AA4107" t="n">
        <v>862.97</v>
      </c>
      <c r="AB4107">
        <f>ROUND(U4107-AA4107,2)</f>
        <v/>
      </c>
      <c r="AC4107" t="b">
        <v>0</v>
      </c>
      <c r="AD4107">
        <f>IF(U4107="","MISSING_TOTAL",IF(ABS(AB4107)&lt;=0.01,"OK","CHECK"))</f>
        <v/>
      </c>
      <c r="AE4107">
        <f>IF(U4107="","MISSING",IF(AND(AA4107&gt;0,U4107/AA4107&gt;50),"POSSIBLE_SCALE_ERROR","OK"))</f>
        <v/>
      </c>
    </row>
    <row r="4108">
      <c r="A4108" t="inlineStr">
        <is>
          <t>T-2018-Q1-00031</t>
        </is>
      </c>
      <c r="B4108" t="inlineStr">
        <is>
          <t>SLE</t>
        </is>
      </c>
      <c r="C4108" t="inlineStr">
        <is>
          <t>Acting Vice-President, Nova-Scotia</t>
        </is>
      </c>
      <c r="D4108" t="inlineStr">
        <is>
          <t>Vice-président par intérim, Nouvelle-Écosse</t>
        </is>
      </c>
      <c r="E4108" t="inlineStr">
        <is>
          <t>Patrick Dorsey</t>
        </is>
      </c>
      <c r="F4108" t="inlineStr">
        <is>
          <t>Various meetings with Agency officials and clients</t>
        </is>
      </c>
      <c r="G4108" t="inlineStr">
        <is>
          <t>Réunions diverses avec des fonctionnaires de l'Agence et des clients</t>
        </is>
      </c>
      <c r="H4108" s="1" t="n">
        <v>42829</v>
      </c>
      <c r="I4108" s="1" t="n">
        <v>42829</v>
      </c>
      <c r="J4108" t="inlineStr">
        <is>
          <t>Sydney, Nova Scotia</t>
        </is>
      </c>
      <c r="K4108" t="inlineStr">
        <is>
          <t>Sydney (Nouvelle-Écosse)</t>
        </is>
      </c>
      <c r="P4108" t="n">
        <v>488.07</v>
      </c>
      <c r="Q4108" t="n">
        <v>14</v>
      </c>
      <c r="R4108" t="n">
        <v>0</v>
      </c>
      <c r="S4108" t="n">
        <v>52.5</v>
      </c>
      <c r="T4108" t="n">
        <v>0</v>
      </c>
      <c r="U4108" t="n">
        <v>554.5700000000001</v>
      </c>
      <c r="X4108" t="inlineStr">
        <is>
          <t>acoa-apeca</t>
        </is>
      </c>
      <c r="Y4108" t="inlineStr">
        <is>
          <t>Atlantic Canada Opportunities Agency | Agence de promotion économique du Canada atlantique</t>
        </is>
      </c>
      <c r="Z4108" t="n">
        <v>1</v>
      </c>
      <c r="AA4108" t="n">
        <v>554.569999999999</v>
      </c>
      <c r="AB4108">
        <f>ROUND(U4108-AA4108,2)</f>
        <v/>
      </c>
      <c r="AC4108" t="b">
        <v>0</v>
      </c>
      <c r="AD4108">
        <f>IF(U4108="","MISSING_TOTAL",IF(ABS(AB4108)&lt;=0.01,"OK","CHECK"))</f>
        <v/>
      </c>
      <c r="AE4108">
        <f>IF(U4108="","MISSING",IF(AND(AA4108&gt;0,U4108/AA4108&gt;50),"POSSIBLE_SCALE_ERROR","OK"))</f>
        <v/>
      </c>
    </row>
    <row r="4109">
      <c r="A4109" t="inlineStr">
        <is>
          <t>T-2018-Q1-00030</t>
        </is>
      </c>
      <c r="B4109" t="inlineStr">
        <is>
          <t>SLE</t>
        </is>
      </c>
      <c r="C4109" t="inlineStr">
        <is>
          <t>Acting Vice-President, Nova-Scotia</t>
        </is>
      </c>
      <c r="D4109" t="inlineStr">
        <is>
          <t>Vice-président par intérim, Nouvelle-Écosse</t>
        </is>
      </c>
      <c r="E4109" t="inlineStr">
        <is>
          <t>Patrick Dorsey</t>
        </is>
      </c>
      <c r="F4109" t="inlineStr">
        <is>
          <t>Professional development</t>
        </is>
      </c>
      <c r="G4109" t="inlineStr">
        <is>
          <t>Perfectionnement professionnel</t>
        </is>
      </c>
      <c r="H4109" s="1" t="n">
        <v>42799</v>
      </c>
      <c r="I4109" s="1" t="n">
        <v>42802</v>
      </c>
      <c r="J4109" t="inlineStr">
        <is>
          <t>Toronto, Ontario</t>
        </is>
      </c>
      <c r="K4109" t="inlineStr">
        <is>
          <t>Toronto (Ontario)</t>
        </is>
      </c>
      <c r="P4109" t="n">
        <v>626.35</v>
      </c>
      <c r="Q4109" t="n">
        <v>130.35</v>
      </c>
      <c r="R4109" t="n">
        <v>622.95</v>
      </c>
      <c r="S4109" t="n">
        <v>337.4</v>
      </c>
      <c r="T4109" t="n">
        <v>0</v>
      </c>
      <c r="U4109" t="n">
        <v>1717.05</v>
      </c>
      <c r="X4109" t="inlineStr">
        <is>
          <t>acoa-apeca</t>
        </is>
      </c>
      <c r="Y4109" t="inlineStr">
        <is>
          <t>Atlantic Canada Opportunities Agency | Agence de promotion économique du Canada atlantique</t>
        </is>
      </c>
      <c r="Z4109" t="n">
        <v>4</v>
      </c>
      <c r="AA4109" t="n">
        <v>1717.05</v>
      </c>
      <c r="AB4109">
        <f>ROUND(U4109-AA4109,2)</f>
        <v/>
      </c>
      <c r="AC4109" t="b">
        <v>0</v>
      </c>
      <c r="AD4109">
        <f>IF(U4109="","MISSING_TOTAL",IF(ABS(AB4109)&lt;=0.01,"OK","CHECK"))</f>
        <v/>
      </c>
      <c r="AE4109">
        <f>IF(U4109="","MISSING",IF(AND(AA4109&gt;0,U4109/AA4109&gt;50),"POSSIBLE_SCALE_ERROR","OK"))</f>
        <v/>
      </c>
    </row>
    <row r="4110">
      <c r="A4110" t="inlineStr">
        <is>
          <t>T-2018-Q1-00027</t>
        </is>
      </c>
      <c r="B4110" t="inlineStr">
        <is>
          <t>SLE</t>
        </is>
      </c>
      <c r="C4110" t="inlineStr">
        <is>
          <t>Acting Vice-President, Nova-Scotia</t>
        </is>
      </c>
      <c r="D4110" t="inlineStr">
        <is>
          <t>Vice-président par intérim, Nouvelle-Écosse</t>
        </is>
      </c>
      <c r="E4110" t="inlineStr">
        <is>
          <t>Patrick Dorsey</t>
        </is>
      </c>
      <c r="F4110" t="inlineStr">
        <is>
          <t>Assignment in Halifax</t>
        </is>
      </c>
      <c r="G4110" t="inlineStr">
        <is>
          <t>Affectation à Halifax</t>
        </is>
      </c>
      <c r="H4110" s="1" t="n">
        <v>42856</v>
      </c>
      <c r="I4110" s="1" t="n">
        <v>42867</v>
      </c>
      <c r="J4110" t="inlineStr">
        <is>
          <t>Halifax, Nova Scotia</t>
        </is>
      </c>
      <c r="K4110" t="inlineStr">
        <is>
          <t>Halifax (Nouvelle-Écosse)</t>
        </is>
      </c>
      <c r="P4110" t="n">
        <v>0</v>
      </c>
      <c r="Q4110" t="n">
        <v>249.73</v>
      </c>
      <c r="R4110" t="n">
        <v>1320</v>
      </c>
      <c r="S4110" t="n">
        <v>416.55</v>
      </c>
      <c r="T4110" t="n">
        <v>0</v>
      </c>
      <c r="U4110" t="n">
        <v>1986.28</v>
      </c>
      <c r="X4110" t="inlineStr">
        <is>
          <t>acoa-apeca</t>
        </is>
      </c>
      <c r="Y4110" t="inlineStr">
        <is>
          <t>Atlantic Canada Opportunities Agency | Agence de promotion économique du Canada atlantique</t>
        </is>
      </c>
      <c r="Z4110" t="n">
        <v>12</v>
      </c>
      <c r="AA4110" t="n">
        <v>1986.28</v>
      </c>
      <c r="AB4110">
        <f>ROUND(U4110-AA4110,2)</f>
        <v/>
      </c>
      <c r="AC4110" t="b">
        <v>0</v>
      </c>
      <c r="AD4110">
        <f>IF(U4110="","MISSING_TOTAL",IF(ABS(AB4110)&lt;=0.01,"OK","CHECK"))</f>
        <v/>
      </c>
      <c r="AE4110">
        <f>IF(U4110="","MISSING",IF(AND(AA4110&gt;0,U4110/AA4110&gt;50),"POSSIBLE_SCALE_ERROR","OK"))</f>
        <v/>
      </c>
    </row>
    <row r="4111">
      <c r="A4111" t="inlineStr">
        <is>
          <t>T-2018-Q1-00026</t>
        </is>
      </c>
      <c r="B4111" t="inlineStr">
        <is>
          <t>SLE</t>
        </is>
      </c>
      <c r="C4111" t="inlineStr">
        <is>
          <t>Acting Vice-President, Nova-Scotia</t>
        </is>
      </c>
      <c r="D4111" t="inlineStr">
        <is>
          <t>Vice-président par intérim, Nouvelle-Écosse</t>
        </is>
      </c>
      <c r="E4111" t="inlineStr">
        <is>
          <t>Patrick Dorsey</t>
        </is>
      </c>
      <c r="F4111" t="inlineStr">
        <is>
          <t>Assignment in Halifax</t>
        </is>
      </c>
      <c r="G4111" t="inlineStr">
        <is>
          <t>Affectation à Halifax</t>
        </is>
      </c>
      <c r="H4111" s="1" t="n">
        <v>42826</v>
      </c>
      <c r="I4111" s="1" t="n">
        <v>42855</v>
      </c>
      <c r="J4111" t="inlineStr">
        <is>
          <t>Halifax, Nova Scotia</t>
        </is>
      </c>
      <c r="K4111" t="inlineStr">
        <is>
          <t>Halifax (Nouvelle-Écosse)</t>
        </is>
      </c>
      <c r="P4111" t="n">
        <v>431.25</v>
      </c>
      <c r="Q4111" t="n">
        <v>16.1</v>
      </c>
      <c r="R4111" t="n">
        <v>3300</v>
      </c>
      <c r="S4111" t="n">
        <v>964.6</v>
      </c>
      <c r="T4111" t="n">
        <v>0</v>
      </c>
      <c r="U4111" t="n">
        <v>4711.95</v>
      </c>
      <c r="X4111" t="inlineStr">
        <is>
          <t>acoa-apeca</t>
        </is>
      </c>
      <c r="Y4111" t="inlineStr">
        <is>
          <t>Atlantic Canada Opportunities Agency | Agence de promotion économique du Canada atlantique</t>
        </is>
      </c>
      <c r="Z4111" t="n">
        <v>30</v>
      </c>
      <c r="AA4111" t="n">
        <v>4711.95</v>
      </c>
      <c r="AB4111">
        <f>ROUND(U4111-AA4111,2)</f>
        <v/>
      </c>
      <c r="AC4111" t="b">
        <v>0</v>
      </c>
      <c r="AD4111">
        <f>IF(U4111="","MISSING_TOTAL",IF(ABS(AB4111)&lt;=0.01,"OK","CHECK"))</f>
        <v/>
      </c>
      <c r="AE4111">
        <f>IF(U4111="","MISSING",IF(AND(AA4111&gt;0,U4111/AA4111&gt;50),"POSSIBLE_SCALE_ERROR","OK"))</f>
        <v/>
      </c>
    </row>
    <row r="4112">
      <c r="A4112" t="inlineStr">
        <is>
          <t>T-2018-Q1-00025</t>
        </is>
      </c>
      <c r="B4112" t="inlineStr">
        <is>
          <t>SLE</t>
        </is>
      </c>
      <c r="C4112" t="inlineStr">
        <is>
          <t>Acting Vice-President, Policy and Programs</t>
        </is>
      </c>
      <c r="D4112" t="inlineStr">
        <is>
          <t>Vice-présidente, Politiques et Programmes par intérim</t>
        </is>
      </c>
      <c r="E4112" t="inlineStr">
        <is>
          <t>Denise Frenette</t>
        </is>
      </c>
      <c r="F4112" t="inlineStr">
        <is>
          <t>Meetings with Government of Canada officials</t>
        </is>
      </c>
      <c r="G4112" t="inlineStr">
        <is>
          <t>Réunions avec des fonctionnaires du gouvernement du Canada</t>
        </is>
      </c>
      <c r="H4112" s="1" t="n">
        <v>42870</v>
      </c>
      <c r="I4112" s="1" t="n">
        <v>42873</v>
      </c>
      <c r="J4112" t="inlineStr">
        <is>
          <t>Ottawa, Ontario</t>
        </is>
      </c>
      <c r="K4112" t="inlineStr">
        <is>
          <t>Ottawa (Ontario)</t>
        </is>
      </c>
      <c r="P4112" t="n">
        <v>1159.33</v>
      </c>
      <c r="Q4112" t="n">
        <v>112.98</v>
      </c>
      <c r="R4112" t="n">
        <v>694.86</v>
      </c>
      <c r="S4112" t="n">
        <v>358.6</v>
      </c>
      <c r="T4112" t="n">
        <v>25.86</v>
      </c>
      <c r="U4112" t="n">
        <v>2351.63</v>
      </c>
      <c r="X4112" t="inlineStr">
        <is>
          <t>acoa-apeca</t>
        </is>
      </c>
      <c r="Y4112" t="inlineStr">
        <is>
          <t>Atlantic Canada Opportunities Agency | Agence de promotion économique du Canada atlantique</t>
        </is>
      </c>
      <c r="Z4112" t="n">
        <v>4</v>
      </c>
      <c r="AA4112" t="n">
        <v>2351.63</v>
      </c>
      <c r="AB4112">
        <f>ROUND(U4112-AA4112,2)</f>
        <v/>
      </c>
      <c r="AC4112" t="b">
        <v>0</v>
      </c>
      <c r="AD4112">
        <f>IF(U4112="","MISSING_TOTAL",IF(ABS(AB4112)&lt;=0.01,"OK","CHECK"))</f>
        <v/>
      </c>
      <c r="AE4112">
        <f>IF(U4112="","MISSING",IF(AND(AA4112&gt;0,U4112/AA4112&gt;50),"POSSIBLE_SCALE_ERROR","OK"))</f>
        <v/>
      </c>
    </row>
    <row r="4113">
      <c r="A4113" t="inlineStr">
        <is>
          <t>T-2018-Q1-00024</t>
        </is>
      </c>
      <c r="B4113" t="inlineStr">
        <is>
          <t>SLE</t>
        </is>
      </c>
      <c r="C4113" t="inlineStr">
        <is>
          <t>Acting President</t>
        </is>
      </c>
      <c r="D4113" t="inlineStr">
        <is>
          <t>Président par intérim</t>
        </is>
      </c>
      <c r="E4113" t="inlineStr">
        <is>
          <t>Daryell Nowlan</t>
        </is>
      </c>
      <c r="F4113" t="inlineStr">
        <is>
          <t>Training and development</t>
        </is>
      </c>
      <c r="G4113" t="inlineStr">
        <is>
          <t>Formation et perfectionnement</t>
        </is>
      </c>
      <c r="H4113" s="1" t="n">
        <v>42869</v>
      </c>
      <c r="I4113" s="1" t="n">
        <v>42872</v>
      </c>
      <c r="J4113" t="inlineStr">
        <is>
          <t>Washington D.C.</t>
        </is>
      </c>
      <c r="K4113" t="inlineStr">
        <is>
          <t>Washington D.C.</t>
        </is>
      </c>
      <c r="P4113" t="n">
        <v>714.24</v>
      </c>
      <c r="Q4113" t="n">
        <v>82.70999999999999</v>
      </c>
      <c r="R4113" t="n">
        <v>1488.72</v>
      </c>
      <c r="S4113" t="n">
        <v>368.99</v>
      </c>
      <c r="T4113" t="n">
        <v>25.3</v>
      </c>
      <c r="U4113" t="n">
        <v>2679.96</v>
      </c>
      <c r="X4113" t="inlineStr">
        <is>
          <t>acoa-apeca</t>
        </is>
      </c>
      <c r="Y4113" t="inlineStr">
        <is>
          <t>Atlantic Canada Opportunities Agency | Agence de promotion économique du Canada atlantique</t>
        </is>
      </c>
      <c r="Z4113" t="n">
        <v>4</v>
      </c>
      <c r="AA4113" t="n">
        <v>2679.96</v>
      </c>
      <c r="AB4113">
        <f>ROUND(U4113-AA4113,2)</f>
        <v/>
      </c>
      <c r="AC4113" t="b">
        <v>0</v>
      </c>
      <c r="AD4113">
        <f>IF(U4113="","MISSING_TOTAL",IF(ABS(AB4113)&lt;=0.01,"OK","CHECK"))</f>
        <v/>
      </c>
      <c r="AE4113">
        <f>IF(U4113="","MISSING",IF(AND(AA4113&gt;0,U4113/AA4113&gt;50),"POSSIBLE_SCALE_ERROR","OK"))</f>
        <v/>
      </c>
    </row>
    <row r="4114">
      <c r="A4114" t="inlineStr">
        <is>
          <t>T-2018-Q1-00022</t>
        </is>
      </c>
      <c r="B4114" t="inlineStr">
        <is>
          <t>SLE</t>
        </is>
      </c>
      <c r="C4114" t="inlineStr">
        <is>
          <t>Vice-President, Newfoundland and Labrador</t>
        </is>
      </c>
      <c r="D4114" t="inlineStr">
        <is>
          <t>Vice-président, Terre-Neuve-et-Labrador</t>
        </is>
      </c>
      <c r="E4114" t="inlineStr">
        <is>
          <t>Ken Martin</t>
        </is>
      </c>
      <c r="F4114" t="inlineStr">
        <is>
          <t>Attend meetings with senior government officials in Moncton</t>
        </is>
      </c>
      <c r="G4114" t="inlineStr">
        <is>
          <t>Assister à des réunions avec des hauts fonctionnaires du gouvernement à Moncton</t>
        </is>
      </c>
      <c r="H4114" s="1" t="n">
        <v>42863</v>
      </c>
      <c r="I4114" s="1" t="n">
        <v>42864</v>
      </c>
      <c r="J4114" t="inlineStr">
        <is>
          <t>Moncton, New-Brunswick</t>
        </is>
      </c>
      <c r="K4114" t="inlineStr">
        <is>
          <t>Moncton (Nouveau-Brunswick)</t>
        </is>
      </c>
      <c r="P4114" t="n">
        <v>769.04</v>
      </c>
      <c r="Q4114" t="n">
        <v>38.54</v>
      </c>
      <c r="R4114" t="n">
        <v>125.35</v>
      </c>
      <c r="S4114" t="n">
        <v>143.65</v>
      </c>
      <c r="T4114" t="n">
        <v>0</v>
      </c>
      <c r="U4114" t="n">
        <v>1076.58</v>
      </c>
      <c r="X4114" t="inlineStr">
        <is>
          <t>acoa-apeca</t>
        </is>
      </c>
      <c r="Y4114" t="inlineStr">
        <is>
          <t>Atlantic Canada Opportunities Agency | Agence de promotion économique du Canada atlantique</t>
        </is>
      </c>
      <c r="Z4114" t="n">
        <v>2</v>
      </c>
      <c r="AA4114" t="n">
        <v>1076.58</v>
      </c>
      <c r="AB4114">
        <f>ROUND(U4114-AA4114,2)</f>
        <v/>
      </c>
      <c r="AC4114" t="b">
        <v>0</v>
      </c>
      <c r="AD4114">
        <f>IF(U4114="","MISSING_TOTAL",IF(ABS(AB4114)&lt;=0.01,"OK","CHECK"))</f>
        <v/>
      </c>
      <c r="AE4114">
        <f>IF(U4114="","MISSING",IF(AND(AA4114&gt;0,U4114/AA4114&gt;50),"POSSIBLE_SCALE_ERROR","OK"))</f>
        <v/>
      </c>
    </row>
    <row r="4115">
      <c r="A4115" t="inlineStr">
        <is>
          <t>T-2011-Q4-00028</t>
        </is>
      </c>
      <c r="B4115" t="inlineStr">
        <is>
          <t>SLE</t>
        </is>
      </c>
      <c r="C4115" t="inlineStr">
        <is>
          <t>Senior Advisor (Energy)</t>
        </is>
      </c>
      <c r="D4115" t="inlineStr">
        <is>
          <t>Conseiller spécial (energie)</t>
        </is>
      </c>
      <c r="E4115" t="inlineStr">
        <is>
          <t>Andrew F. Noseworthy</t>
        </is>
      </c>
      <c r="F4115" t="inlineStr">
        <is>
          <t>Executive Committee Meeting</t>
        </is>
      </c>
      <c r="G4115" t="inlineStr">
        <is>
          <t>Réunion du Comité de direction</t>
        </is>
      </c>
      <c r="H4115" s="1" t="n">
        <v>40553</v>
      </c>
      <c r="I4115" s="1" t="n">
        <v>40554</v>
      </c>
      <c r="J4115" t="inlineStr">
        <is>
          <t>Monton, NB</t>
        </is>
      </c>
      <c r="K4115" t="inlineStr">
        <is>
          <t>Moncton (Nouveau-Brunswick)</t>
        </is>
      </c>
      <c r="P4115" t="n">
        <v>1587.54</v>
      </c>
      <c r="Q4115" t="n">
        <v>47</v>
      </c>
      <c r="R4115" t="n">
        <v>145.77</v>
      </c>
      <c r="S4115" t="n">
        <v>127.8</v>
      </c>
      <c r="T4115" t="n">
        <v>109.94</v>
      </c>
      <c r="U4115" t="n">
        <v>2018.05</v>
      </c>
      <c r="X4115" t="inlineStr">
        <is>
          <t>acoa-apeca</t>
        </is>
      </c>
      <c r="Y4115" t="inlineStr">
        <is>
          <t>Atlantic Canada Opportunities Agency | Agence de promotion économique du Canada atlantique</t>
        </is>
      </c>
      <c r="Z4115" t="n">
        <v>2</v>
      </c>
      <c r="AA4115" t="n">
        <v>2018.05</v>
      </c>
      <c r="AB4115">
        <f>ROUND(U4115-AA4115,2)</f>
        <v/>
      </c>
      <c r="AC4115" t="b">
        <v>0</v>
      </c>
      <c r="AD4115">
        <f>IF(U4115="","MISSING_TOTAL",IF(ABS(AB4115)&lt;=0.01,"OK","CHECK"))</f>
        <v/>
      </c>
      <c r="AE4115">
        <f>IF(U4115="","MISSING",IF(AND(AA4115&gt;0,U4115/AA4115&gt;50),"POSSIBLE_SCALE_ERROR","OK"))</f>
        <v/>
      </c>
    </row>
    <row r="4116">
      <c r="A4116" t="inlineStr">
        <is>
          <t>T-2018-Q1-00021</t>
        </is>
      </c>
      <c r="B4116" t="inlineStr">
        <is>
          <t>SLE</t>
        </is>
      </c>
      <c r="C4116" t="inlineStr">
        <is>
          <t>Acting President</t>
        </is>
      </c>
      <c r="D4116" t="inlineStr">
        <is>
          <t>Président par intérim</t>
        </is>
      </c>
      <c r="E4116" t="inlineStr">
        <is>
          <t>Daryell Nowlan</t>
        </is>
      </c>
      <c r="F4116" t="inlineStr">
        <is>
          <t>Various meetings and discussions with Agency officials and Government of Canada officials</t>
        </is>
      </c>
      <c r="G4116" t="inlineStr">
        <is>
          <t>Diverses réunions et discussions avec des fonctionnaires de l'Agence et du gouvernement du Canada</t>
        </is>
      </c>
      <c r="H4116" s="1" t="n">
        <v>42864</v>
      </c>
      <c r="I4116" s="1" t="n">
        <v>42866</v>
      </c>
      <c r="J4116" t="inlineStr">
        <is>
          <t>Ottawa, Ontario</t>
        </is>
      </c>
      <c r="K4116" t="inlineStr">
        <is>
          <t>Ottawa (Ontario)</t>
        </is>
      </c>
      <c r="P4116" t="n">
        <v>685.4</v>
      </c>
      <c r="Q4116" t="n">
        <v>82.31</v>
      </c>
      <c r="R4116" t="n">
        <v>407.36</v>
      </c>
      <c r="S4116" t="n">
        <v>189.75</v>
      </c>
      <c r="T4116" t="n">
        <v>0</v>
      </c>
      <c r="U4116" t="n">
        <v>1364.82</v>
      </c>
      <c r="X4116" t="inlineStr">
        <is>
          <t>acoa-apeca</t>
        </is>
      </c>
      <c r="Y4116" t="inlineStr">
        <is>
          <t>Atlantic Canada Opportunities Agency | Agence de promotion économique du Canada atlantique</t>
        </is>
      </c>
      <c r="Z4116" t="n">
        <v>3</v>
      </c>
      <c r="AA4116" t="n">
        <v>1364.82</v>
      </c>
      <c r="AB4116">
        <f>ROUND(U4116-AA4116,2)</f>
        <v/>
      </c>
      <c r="AC4116" t="b">
        <v>0</v>
      </c>
      <c r="AD4116">
        <f>IF(U4116="","MISSING_TOTAL",IF(ABS(AB4116)&lt;=0.01,"OK","CHECK"))</f>
        <v/>
      </c>
      <c r="AE4116">
        <f>IF(U4116="","MISSING",IF(AND(AA4116&gt;0,U4116/AA4116&gt;50),"POSSIBLE_SCALE_ERROR","OK"))</f>
        <v/>
      </c>
    </row>
    <row r="4117">
      <c r="A4117" t="inlineStr">
        <is>
          <t>T-2018-Q1-00020</t>
        </is>
      </c>
      <c r="B4117" t="inlineStr">
        <is>
          <t>SLE</t>
        </is>
      </c>
      <c r="C4117" t="inlineStr">
        <is>
          <t>Acting Vice-President Prince Edward Island and Tourism</t>
        </is>
      </c>
      <c r="D4117" t="inlineStr">
        <is>
          <t>Vice-présidente par intérim, Île-du-Prince-Édouard</t>
        </is>
      </c>
      <c r="E4117" t="inlineStr">
        <is>
          <t>Sandra Lambe</t>
        </is>
      </c>
      <c r="F4117" t="inlineStr">
        <is>
          <t>Meetings with Government of Canada officials</t>
        </is>
      </c>
      <c r="G4117" t="inlineStr">
        <is>
          <t>Réunions avec des fonctionnaires du gouvernement du Canada</t>
        </is>
      </c>
      <c r="H4117" s="1" t="n">
        <v>42863</v>
      </c>
      <c r="I4117" s="1" t="n">
        <v>42864</v>
      </c>
      <c r="J4117" t="inlineStr">
        <is>
          <t>Moncton, New Brunswick</t>
        </is>
      </c>
      <c r="K4117" t="inlineStr">
        <is>
          <t>Moncton (Nouveau-Brunswick)</t>
        </is>
      </c>
      <c r="P4117" t="n">
        <v>0</v>
      </c>
      <c r="Q4117" t="n">
        <v>57.75</v>
      </c>
      <c r="R4117" t="n">
        <v>0</v>
      </c>
      <c r="S4117" t="n">
        <v>18.05</v>
      </c>
      <c r="T4117" t="n">
        <v>0</v>
      </c>
      <c r="U4117" t="n">
        <v>75.8</v>
      </c>
      <c r="X4117" t="inlineStr">
        <is>
          <t>acoa-apeca</t>
        </is>
      </c>
      <c r="Y4117" t="inlineStr">
        <is>
          <t>Atlantic Canada Opportunities Agency | Agence de promotion économique du Canada atlantique</t>
        </is>
      </c>
      <c r="Z4117" t="n">
        <v>2</v>
      </c>
      <c r="AA4117" t="n">
        <v>75.8</v>
      </c>
      <c r="AB4117">
        <f>ROUND(U4117-AA4117,2)</f>
        <v/>
      </c>
      <c r="AC4117" t="b">
        <v>0</v>
      </c>
      <c r="AD4117">
        <f>IF(U4117="","MISSING_TOTAL",IF(ABS(AB4117)&lt;=0.01,"OK","CHECK"))</f>
        <v/>
      </c>
      <c r="AE4117">
        <f>IF(U4117="","MISSING",IF(AND(AA4117&gt;0,U4117/AA4117&gt;50),"POSSIBLE_SCALE_ERROR","OK"))</f>
        <v/>
      </c>
    </row>
    <row r="4118">
      <c r="A4118" t="inlineStr">
        <is>
          <t>T-2018-Q1-00019</t>
        </is>
      </c>
      <c r="B4118" t="inlineStr">
        <is>
          <t>SLE</t>
        </is>
      </c>
      <c r="C4118" t="inlineStr">
        <is>
          <t>Acting President</t>
        </is>
      </c>
      <c r="D4118" t="inlineStr">
        <is>
          <t>Président par intérim</t>
        </is>
      </c>
      <c r="E4118" t="inlineStr">
        <is>
          <t>Daryell Nowlan</t>
        </is>
      </c>
      <c r="F4118" t="inlineStr">
        <is>
          <t>Various meetings and discussions with Agency officials and Government of Canada officials</t>
        </is>
      </c>
      <c r="G4118" t="inlineStr">
        <is>
          <t>Diverses réunions et discussions avec des fonctionnaires de l'Agence et du gouvernement du Canada</t>
        </is>
      </c>
      <c r="H4118" s="1" t="n">
        <v>42857</v>
      </c>
      <c r="I4118" s="1" t="n">
        <v>42860</v>
      </c>
      <c r="J4118" t="inlineStr">
        <is>
          <t>Ottawa, Ontario</t>
        </is>
      </c>
      <c r="K4118" t="inlineStr">
        <is>
          <t>Ottawa (Ontario)</t>
        </is>
      </c>
      <c r="P4118" t="n">
        <v>685.4</v>
      </c>
      <c r="Q4118" t="n">
        <v>82</v>
      </c>
      <c r="R4118" t="n">
        <v>694.86</v>
      </c>
      <c r="S4118" t="n">
        <v>307.15</v>
      </c>
      <c r="T4118" t="n">
        <v>171.5</v>
      </c>
      <c r="U4118" t="n">
        <v>1940.91</v>
      </c>
      <c r="X4118" t="inlineStr">
        <is>
          <t>acoa-apeca</t>
        </is>
      </c>
      <c r="Y4118" t="inlineStr">
        <is>
          <t>Atlantic Canada Opportunities Agency | Agence de promotion économique du Canada atlantique</t>
        </is>
      </c>
      <c r="Z4118" t="n">
        <v>4</v>
      </c>
      <c r="AA4118" t="n">
        <v>1940.90999999999</v>
      </c>
      <c r="AB4118">
        <f>ROUND(U4118-AA4118,2)</f>
        <v/>
      </c>
      <c r="AC4118" t="b">
        <v>0</v>
      </c>
      <c r="AD4118">
        <f>IF(U4118="","MISSING_TOTAL",IF(ABS(AB4118)&lt;=0.01,"OK","CHECK"))</f>
        <v/>
      </c>
      <c r="AE4118">
        <f>IF(U4118="","MISSING",IF(AND(AA4118&gt;0,U4118/AA4118&gt;50),"POSSIBLE_SCALE_ERROR","OK"))</f>
        <v/>
      </c>
    </row>
    <row r="4119">
      <c r="A4119" t="inlineStr">
        <is>
          <t>T-2018-Q1-00018</t>
        </is>
      </c>
      <c r="B4119" t="inlineStr">
        <is>
          <t>SLE</t>
        </is>
      </c>
      <c r="C4119" t="inlineStr">
        <is>
          <t>Acting Vice-President, Policy and Programs</t>
        </is>
      </c>
      <c r="D4119" t="inlineStr">
        <is>
          <t>Vice-présidente, Politiques et Programmes par intérim</t>
        </is>
      </c>
      <c r="E4119" t="inlineStr">
        <is>
          <t>Denise Frenette</t>
        </is>
      </c>
      <c r="F4119" t="inlineStr">
        <is>
          <t>Meetings with Government of Canada officials</t>
        </is>
      </c>
      <c r="G4119" t="inlineStr">
        <is>
          <t>Réunions avec des fonctionnaires du gouvernement du Canada</t>
        </is>
      </c>
      <c r="H4119" s="1" t="n">
        <v>42856</v>
      </c>
      <c r="I4119" s="1" t="n">
        <v>42858</v>
      </c>
      <c r="J4119" t="inlineStr">
        <is>
          <t>Ottawa, Ontario</t>
        </is>
      </c>
      <c r="K4119" t="inlineStr">
        <is>
          <t>Ottawa (Ontario)</t>
        </is>
      </c>
      <c r="P4119" t="n">
        <v>794.9400000000001</v>
      </c>
      <c r="Q4119" t="n">
        <v>115.4</v>
      </c>
      <c r="R4119" t="n">
        <v>393.38</v>
      </c>
      <c r="S4119" t="n">
        <v>214.2</v>
      </c>
      <c r="T4119" t="n">
        <v>0</v>
      </c>
      <c r="U4119" t="n">
        <v>1517.92</v>
      </c>
      <c r="X4119" t="inlineStr">
        <is>
          <t>acoa-apeca</t>
        </is>
      </c>
      <c r="Y4119" t="inlineStr">
        <is>
          <t>Atlantic Canada Opportunities Agency | Agence de promotion économique du Canada atlantique</t>
        </is>
      </c>
      <c r="Z4119" t="n">
        <v>3</v>
      </c>
      <c r="AA4119" t="n">
        <v>1517.92</v>
      </c>
      <c r="AB4119">
        <f>ROUND(U4119-AA4119,2)</f>
        <v/>
      </c>
      <c r="AC4119" t="b">
        <v>0</v>
      </c>
      <c r="AD4119">
        <f>IF(U4119="","MISSING_TOTAL",IF(ABS(AB4119)&lt;=0.01,"OK","CHECK"))</f>
        <v/>
      </c>
      <c r="AE4119">
        <f>IF(U4119="","MISSING",IF(AND(AA4119&gt;0,U4119/AA4119&gt;50),"POSSIBLE_SCALE_ERROR","OK"))</f>
        <v/>
      </c>
    </row>
    <row r="4120">
      <c r="A4120" t="inlineStr">
        <is>
          <t>T-2018-Q1-00017</t>
        </is>
      </c>
      <c r="B4120" t="inlineStr">
        <is>
          <t>SLE</t>
        </is>
      </c>
      <c r="C4120" t="inlineStr">
        <is>
          <t>Acting Vice-President Prince Edward Island and Tourism</t>
        </is>
      </c>
      <c r="D4120" t="inlineStr">
        <is>
          <t>Vice-présidente par intérim, Île-du-Prince-Édouard</t>
        </is>
      </c>
      <c r="E4120" t="inlineStr">
        <is>
          <t>Sandra Lambe</t>
        </is>
      </c>
      <c r="F4120" t="inlineStr">
        <is>
          <t>Meetings with Government of Canada officials</t>
        </is>
      </c>
      <c r="G4120" t="inlineStr">
        <is>
          <t>Réunions avec des fonctionnaires du gouvernement du Canada</t>
        </is>
      </c>
      <c r="H4120" s="1" t="n">
        <v>42845</v>
      </c>
      <c r="I4120" s="1" t="n">
        <v>42846</v>
      </c>
      <c r="J4120" t="inlineStr">
        <is>
          <t>Moncton, New Brunswick</t>
        </is>
      </c>
      <c r="K4120" t="inlineStr">
        <is>
          <t>Moncton (Nouveau-Brunswick)</t>
        </is>
      </c>
      <c r="P4120" t="n">
        <v>0</v>
      </c>
      <c r="Q4120" t="n">
        <v>58.85</v>
      </c>
      <c r="R4120" t="n">
        <v>129.1</v>
      </c>
      <c r="S4120" t="n">
        <v>98.59999999999999</v>
      </c>
      <c r="T4120" t="n">
        <v>0</v>
      </c>
      <c r="U4120" t="n">
        <v>286.55</v>
      </c>
      <c r="X4120" t="inlineStr">
        <is>
          <t>acoa-apeca</t>
        </is>
      </c>
      <c r="Y4120" t="inlineStr">
        <is>
          <t>Atlantic Canada Opportunities Agency | Agence de promotion économique du Canada atlantique</t>
        </is>
      </c>
      <c r="Z4120" t="n">
        <v>2</v>
      </c>
      <c r="AA4120" t="n">
        <v>286.549999999999</v>
      </c>
      <c r="AB4120">
        <f>ROUND(U4120-AA4120,2)</f>
        <v/>
      </c>
      <c r="AC4120" t="b">
        <v>0</v>
      </c>
      <c r="AD4120">
        <f>IF(U4120="","MISSING_TOTAL",IF(ABS(AB4120)&lt;=0.01,"OK","CHECK"))</f>
        <v/>
      </c>
      <c r="AE4120">
        <f>IF(U4120="","MISSING",IF(AND(AA4120&gt;0,U4120/AA4120&gt;50),"POSSIBLE_SCALE_ERROR","OK"))</f>
        <v/>
      </c>
    </row>
    <row r="4121">
      <c r="A4121" t="inlineStr">
        <is>
          <t>T-2018-Q1-00016</t>
        </is>
      </c>
      <c r="B4121" t="inlineStr">
        <is>
          <t>SLE</t>
        </is>
      </c>
      <c r="C4121" t="inlineStr">
        <is>
          <t>Acting Vice-President, Policy and Programs</t>
        </is>
      </c>
      <c r="D4121" t="inlineStr">
        <is>
          <t>Vice-présidente, Politiques et Programmes par intérim</t>
        </is>
      </c>
      <c r="E4121" t="inlineStr">
        <is>
          <t>Denise Frenette</t>
        </is>
      </c>
      <c r="F4121" t="inlineStr">
        <is>
          <t>Meetings with Government of Canada officials</t>
        </is>
      </c>
      <c r="G4121" t="inlineStr">
        <is>
          <t>Réunions avec des fonctionnaires du gouvernement du Canada</t>
        </is>
      </c>
      <c r="H4121" s="1" t="n">
        <v>42851</v>
      </c>
      <c r="I4121" s="1" t="n">
        <v>42854</v>
      </c>
      <c r="J4121" t="inlineStr">
        <is>
          <t>Ottawa, Ontario and Halifax, Nova Scotia</t>
        </is>
      </c>
      <c r="K4121" t="inlineStr">
        <is>
          <t>Ottawa (Ontario) et Halifax (Nouvelle-Écosse)</t>
        </is>
      </c>
      <c r="P4121" t="n">
        <v>667.8099999999999</v>
      </c>
      <c r="Q4121" t="n">
        <v>301.65</v>
      </c>
      <c r="R4121" t="n">
        <v>595.17</v>
      </c>
      <c r="S4121" t="n">
        <v>340.55</v>
      </c>
      <c r="T4121" t="n">
        <v>2.1</v>
      </c>
      <c r="U4121" t="n">
        <v>1907.28</v>
      </c>
      <c r="X4121" t="inlineStr">
        <is>
          <t>acoa-apeca</t>
        </is>
      </c>
      <c r="Y4121" t="inlineStr">
        <is>
          <t>Atlantic Canada Opportunities Agency | Agence de promotion économique du Canada atlantique</t>
        </is>
      </c>
      <c r="Z4121" t="n">
        <v>4</v>
      </c>
      <c r="AA4121" t="n">
        <v>1907.27999999999</v>
      </c>
      <c r="AB4121">
        <f>ROUND(U4121-AA4121,2)</f>
        <v/>
      </c>
      <c r="AC4121" t="b">
        <v>0</v>
      </c>
      <c r="AD4121">
        <f>IF(U4121="","MISSING_TOTAL",IF(ABS(AB4121)&lt;=0.01,"OK","CHECK"))</f>
        <v/>
      </c>
      <c r="AE4121">
        <f>IF(U4121="","MISSING",IF(AND(AA4121&gt;0,U4121/AA4121&gt;50),"POSSIBLE_SCALE_ERROR","OK"))</f>
        <v/>
      </c>
    </row>
    <row r="4122">
      <c r="A4122" t="inlineStr">
        <is>
          <t>T-2013-Q3-00040</t>
        </is>
      </c>
      <c r="B4122" t="inlineStr">
        <is>
          <t>SLE</t>
        </is>
      </c>
      <c r="C4122" t="inlineStr">
        <is>
          <t>Senior Advisor (Energy)</t>
        </is>
      </c>
      <c r="D4122" t="inlineStr">
        <is>
          <t>Conseiller spécial (energie)</t>
        </is>
      </c>
      <c r="E4122" t="inlineStr">
        <is>
          <t>Andrew F. Noseworthy</t>
        </is>
      </c>
      <c r="F4122" t="inlineStr">
        <is>
          <t>New England Canada Business Council meetings</t>
        </is>
      </c>
      <c r="G4122" t="inlineStr">
        <is>
          <t>Réunions du New England Canada Business Council</t>
        </is>
      </c>
      <c r="H4122" s="1" t="n">
        <v>41186</v>
      </c>
      <c r="I4122" s="1" t="n">
        <v>41187</v>
      </c>
      <c r="J4122" t="inlineStr">
        <is>
          <t>Halifax, Nova Scotia</t>
        </is>
      </c>
      <c r="K4122" t="inlineStr">
        <is>
          <t>Halifax (Nouvelle-Écosse)</t>
        </is>
      </c>
      <c r="P4122" t="n">
        <v>882.5700000000001</v>
      </c>
      <c r="Q4122" t="n">
        <v>140</v>
      </c>
      <c r="R4122" t="n">
        <v>174.78</v>
      </c>
      <c r="S4122" t="n">
        <v>49.6</v>
      </c>
      <c r="T4122" t="n">
        <v>28</v>
      </c>
      <c r="U4122" t="n">
        <v>1274.95</v>
      </c>
      <c r="X4122" t="inlineStr">
        <is>
          <t>acoa-apeca</t>
        </is>
      </c>
      <c r="Y4122" t="inlineStr">
        <is>
          <t>Atlantic Canada Opportunities Agency | Agence de promotion économique du Canada atlantique</t>
        </is>
      </c>
      <c r="Z4122" t="n">
        <v>2</v>
      </c>
      <c r="AA4122" t="n">
        <v>1274.95</v>
      </c>
      <c r="AB4122">
        <f>ROUND(U4122-AA4122,2)</f>
        <v/>
      </c>
      <c r="AC4122" t="b">
        <v>0</v>
      </c>
      <c r="AD4122">
        <f>IF(U4122="","MISSING_TOTAL",IF(ABS(AB4122)&lt;=0.01,"OK","CHECK"))</f>
        <v/>
      </c>
      <c r="AE4122">
        <f>IF(U4122="","MISSING",IF(AND(AA4122&gt;0,U4122/AA4122&gt;50),"POSSIBLE_SCALE_ERROR","OK"))</f>
        <v/>
      </c>
    </row>
    <row r="4123">
      <c r="A4123" t="inlineStr">
        <is>
          <t>T-2018-Q1-00015</t>
        </is>
      </c>
      <c r="B4123" t="inlineStr">
        <is>
          <t>SLE</t>
        </is>
      </c>
      <c r="C4123" t="inlineStr">
        <is>
          <t>Vice-President, Newfoundland and Labrador</t>
        </is>
      </c>
      <c r="D4123" t="inlineStr">
        <is>
          <t>Vice-président, Terre-Neuve-et-Labrador</t>
        </is>
      </c>
      <c r="E4123" t="inlineStr">
        <is>
          <t>Ken Martin</t>
        </is>
      </c>
      <c r="F4123" t="inlineStr">
        <is>
          <t>Attend a vice-presidents' meeting along with various meetings with senior government officials in Ottawa</t>
        </is>
      </c>
      <c r="G4123" t="inlineStr">
        <is>
          <t>Assister à une réunion des vice-présidents et à des réunions diverses avec des hauts fonctionnaires à Ottawa</t>
        </is>
      </c>
      <c r="H4123" s="1" t="n">
        <v>42835</v>
      </c>
      <c r="I4123" s="1" t="n">
        <v>42838</v>
      </c>
      <c r="J4123" t="inlineStr">
        <is>
          <t>Ottawa, Ontario</t>
        </is>
      </c>
      <c r="K4123" t="inlineStr">
        <is>
          <t>Ottawa (Ontario)</t>
        </is>
      </c>
      <c r="P4123" t="n">
        <v>1451.39</v>
      </c>
      <c r="Q4123" t="n">
        <v>68.77</v>
      </c>
      <c r="R4123" t="n">
        <v>659.9400000000001</v>
      </c>
      <c r="S4123" t="n">
        <v>289.1</v>
      </c>
      <c r="T4123" t="n">
        <v>0</v>
      </c>
      <c r="U4123" t="n">
        <v>2469.2</v>
      </c>
      <c r="X4123" t="inlineStr">
        <is>
          <t>acoa-apeca</t>
        </is>
      </c>
      <c r="Y4123" t="inlineStr">
        <is>
          <t>Atlantic Canada Opportunities Agency | Agence de promotion économique du Canada atlantique</t>
        </is>
      </c>
      <c r="Z4123" t="n">
        <v>4</v>
      </c>
      <c r="AA4123" t="n">
        <v>2469.2</v>
      </c>
      <c r="AB4123">
        <f>ROUND(U4123-AA4123,2)</f>
        <v/>
      </c>
      <c r="AC4123" t="b">
        <v>0</v>
      </c>
      <c r="AD4123">
        <f>IF(U4123="","MISSING_TOTAL",IF(ABS(AB4123)&lt;=0.01,"OK","CHECK"))</f>
        <v/>
      </c>
      <c r="AE4123">
        <f>IF(U4123="","MISSING",IF(AND(AA4123&gt;0,U4123/AA4123&gt;50),"POSSIBLE_SCALE_ERROR","OK"))</f>
        <v/>
      </c>
    </row>
    <row r="4124">
      <c r="A4124" t="inlineStr">
        <is>
          <t>T-2018-Q1-00014</t>
        </is>
      </c>
      <c r="B4124" t="inlineStr">
        <is>
          <t>SLE</t>
        </is>
      </c>
      <c r="C4124" t="inlineStr">
        <is>
          <t>Acting Vice-President Prince Edward Island and Tourism</t>
        </is>
      </c>
      <c r="D4124" t="inlineStr">
        <is>
          <t>Vice-présidente par intérim, Île-du-Prince-Édouard</t>
        </is>
      </c>
      <c r="E4124" t="inlineStr">
        <is>
          <t>Sandra Lambe</t>
        </is>
      </c>
      <c r="F4124" t="inlineStr">
        <is>
          <t>Meetings with Government of Canada officials</t>
        </is>
      </c>
      <c r="G4124" t="inlineStr">
        <is>
          <t>Réunions avec des fonctionnaires du gouvernement du Canada</t>
        </is>
      </c>
      <c r="H4124" s="1" t="n">
        <v>42835</v>
      </c>
      <c r="I4124" s="1" t="n">
        <v>42837</v>
      </c>
      <c r="J4124" t="inlineStr">
        <is>
          <t>Ottawa, Ontario</t>
        </is>
      </c>
      <c r="K4124" t="inlineStr">
        <is>
          <t>Ottawa (Ontario)</t>
        </is>
      </c>
      <c r="P4124" t="n">
        <v>836.99</v>
      </c>
      <c r="Q4124" t="n">
        <v>86.51000000000001</v>
      </c>
      <c r="R4124" t="n">
        <v>416.68</v>
      </c>
      <c r="S4124" t="n">
        <v>196.15</v>
      </c>
      <c r="T4124" t="n">
        <v>0</v>
      </c>
      <c r="U4124" t="n">
        <v>1536.33</v>
      </c>
      <c r="X4124" t="inlineStr">
        <is>
          <t>acoa-apeca</t>
        </is>
      </c>
      <c r="Y4124" t="inlineStr">
        <is>
          <t>Atlantic Canada Opportunities Agency | Agence de promotion économique du Canada atlantique</t>
        </is>
      </c>
      <c r="Z4124" t="n">
        <v>3</v>
      </c>
      <c r="AA4124" t="n">
        <v>1536.33</v>
      </c>
      <c r="AB4124">
        <f>ROUND(U4124-AA4124,2)</f>
        <v/>
      </c>
      <c r="AC4124" t="b">
        <v>0</v>
      </c>
      <c r="AD4124">
        <f>IF(U4124="","MISSING_TOTAL",IF(ABS(AB4124)&lt;=0.01,"OK","CHECK"))</f>
        <v/>
      </c>
      <c r="AE4124">
        <f>IF(U4124="","MISSING",IF(AND(AA4124&gt;0,U4124/AA4124&gt;50),"POSSIBLE_SCALE_ERROR","OK"))</f>
        <v/>
      </c>
    </row>
    <row r="4125">
      <c r="A4125" t="inlineStr">
        <is>
          <t>T-2018-Q1-00013</t>
        </is>
      </c>
      <c r="B4125" t="inlineStr">
        <is>
          <t>SLE</t>
        </is>
      </c>
      <c r="C4125" t="inlineStr">
        <is>
          <t>Acting Vice-President, Policy and Programs</t>
        </is>
      </c>
      <c r="D4125" t="inlineStr">
        <is>
          <t>Vice-présidente, Politiques et Programmes par intérim</t>
        </is>
      </c>
      <c r="E4125" t="inlineStr">
        <is>
          <t>Denise Frenette</t>
        </is>
      </c>
      <c r="F4125" t="inlineStr">
        <is>
          <t>Meeting with Government of Canada officials</t>
        </is>
      </c>
      <c r="G4125" t="inlineStr">
        <is>
          <t>Réunion avec des fonctionnaires du gouvernement du Canada</t>
        </is>
      </c>
      <c r="H4125" s="1" t="n">
        <v>42843</v>
      </c>
      <c r="I4125" s="1" t="n">
        <v>42844</v>
      </c>
      <c r="J4125" t="inlineStr">
        <is>
          <t>Halifax, Nova Scotia</t>
        </is>
      </c>
      <c r="K4125" t="inlineStr">
        <is>
          <t>Halifax (Nouvelle-Écosse)</t>
        </is>
      </c>
      <c r="P4125" t="n">
        <v>0</v>
      </c>
      <c r="Q4125" t="n">
        <v>0</v>
      </c>
      <c r="R4125" t="n">
        <v>204.1</v>
      </c>
      <c r="S4125" t="n">
        <v>97.7</v>
      </c>
      <c r="T4125" t="n">
        <v>0</v>
      </c>
      <c r="U4125" t="n">
        <v>301.8</v>
      </c>
      <c r="X4125" t="inlineStr">
        <is>
          <t>acoa-apeca</t>
        </is>
      </c>
      <c r="Y4125" t="inlineStr">
        <is>
          <t>Atlantic Canada Opportunities Agency | Agence de promotion économique du Canada atlantique</t>
        </is>
      </c>
      <c r="Z4125" t="n">
        <v>2</v>
      </c>
      <c r="AA4125" t="n">
        <v>301.8</v>
      </c>
      <c r="AB4125">
        <f>ROUND(U4125-AA4125,2)</f>
        <v/>
      </c>
      <c r="AC4125" t="b">
        <v>0</v>
      </c>
      <c r="AD4125">
        <f>IF(U4125="","MISSING_TOTAL",IF(ABS(AB4125)&lt;=0.01,"OK","CHECK"))</f>
        <v/>
      </c>
      <c r="AE4125">
        <f>IF(U4125="","MISSING",IF(AND(AA4125&gt;0,U4125/AA4125&gt;50),"POSSIBLE_SCALE_ERROR","OK"))</f>
        <v/>
      </c>
    </row>
    <row r="4126">
      <c r="A4126" t="inlineStr">
        <is>
          <t>T-2018-Q1-00012</t>
        </is>
      </c>
      <c r="B4126" t="inlineStr">
        <is>
          <t>SLE</t>
        </is>
      </c>
      <c r="C4126" t="inlineStr">
        <is>
          <t>Acting Vice-President, Policy and Programs</t>
        </is>
      </c>
      <c r="D4126" t="inlineStr">
        <is>
          <t>Vice-présidente, Politiques et Programmes par intérim</t>
        </is>
      </c>
      <c r="E4126" t="inlineStr">
        <is>
          <t>Denise Frenette</t>
        </is>
      </c>
      <c r="F4126" t="inlineStr">
        <is>
          <t>Meeting with Government of Canada officials</t>
        </is>
      </c>
      <c r="G4126" t="inlineStr">
        <is>
          <t>Réunion avec des fonctionnaires du gouvernement du Canada</t>
        </is>
      </c>
      <c r="H4126" s="1" t="n">
        <v>42835</v>
      </c>
      <c r="I4126" s="1" t="n">
        <v>42836</v>
      </c>
      <c r="J4126" t="inlineStr">
        <is>
          <t>Ottawa, Ontario</t>
        </is>
      </c>
      <c r="K4126" t="inlineStr">
        <is>
          <t>Ottawa (Ontario)</t>
        </is>
      </c>
      <c r="P4126" t="n">
        <v>0</v>
      </c>
      <c r="Q4126" t="n">
        <v>63.77</v>
      </c>
      <c r="R4126" t="n">
        <v>231.62</v>
      </c>
      <c r="S4126" t="n">
        <v>143.65</v>
      </c>
      <c r="T4126" t="n">
        <v>0</v>
      </c>
      <c r="U4126" t="n">
        <v>439.04</v>
      </c>
      <c r="X4126" t="inlineStr">
        <is>
          <t>acoa-apeca</t>
        </is>
      </c>
      <c r="Y4126" t="inlineStr">
        <is>
          <t>Atlantic Canada Opportunities Agency | Agence de promotion économique du Canada atlantique</t>
        </is>
      </c>
      <c r="Z4126" t="n">
        <v>2</v>
      </c>
      <c r="AA4126" t="n">
        <v>439.039999999999</v>
      </c>
      <c r="AB4126">
        <f>ROUND(U4126-AA4126,2)</f>
        <v/>
      </c>
      <c r="AC4126" t="b">
        <v>0</v>
      </c>
      <c r="AD4126">
        <f>IF(U4126="","MISSING_TOTAL",IF(ABS(AB4126)&lt;=0.01,"OK","CHECK"))</f>
        <v/>
      </c>
      <c r="AE4126">
        <f>IF(U4126="","MISSING",IF(AND(AA4126&gt;0,U4126/AA4126&gt;50),"POSSIBLE_SCALE_ERROR","OK"))</f>
        <v/>
      </c>
    </row>
    <row r="4127">
      <c r="A4127" t="inlineStr">
        <is>
          <t>T-2018-Q1-00011</t>
        </is>
      </c>
      <c r="B4127" t="inlineStr">
        <is>
          <t>SLE</t>
        </is>
      </c>
      <c r="C4127" t="inlineStr">
        <is>
          <t>Acting President</t>
        </is>
      </c>
      <c r="D4127" t="inlineStr">
        <is>
          <t>Président par intérim</t>
        </is>
      </c>
      <c r="E4127" t="inlineStr">
        <is>
          <t>Daryell Nowlan</t>
        </is>
      </c>
      <c r="F4127" t="inlineStr">
        <is>
          <t>Various meetings and discussions with Agency officials and Government of Canada Officials</t>
        </is>
      </c>
      <c r="G4127" t="inlineStr">
        <is>
          <t>Diverses réunions et discussions avec des fonctionnaires de l'Agence et du gouvernement du Canada</t>
        </is>
      </c>
      <c r="H4127" s="1" t="n">
        <v>42834</v>
      </c>
      <c r="I4127" s="1" t="n">
        <v>42837</v>
      </c>
      <c r="J4127" t="inlineStr">
        <is>
          <t>Ottawa, Ontario</t>
        </is>
      </c>
      <c r="K4127" t="inlineStr">
        <is>
          <t>Ottawa (Ontario)</t>
        </is>
      </c>
      <c r="P4127" t="n">
        <v>685.4</v>
      </c>
      <c r="Q4127" t="n">
        <v>60</v>
      </c>
      <c r="R4127" t="n">
        <v>694.86</v>
      </c>
      <c r="S4127" t="n">
        <v>197.2</v>
      </c>
      <c r="T4127" t="n">
        <v>115</v>
      </c>
      <c r="U4127" t="n">
        <v>1752.46</v>
      </c>
      <c r="X4127" t="inlineStr">
        <is>
          <t>acoa-apeca</t>
        </is>
      </c>
      <c r="Y4127" t="inlineStr">
        <is>
          <t>Atlantic Canada Opportunities Agency | Agence de promotion économique du Canada atlantique</t>
        </is>
      </c>
      <c r="Z4127" t="n">
        <v>4</v>
      </c>
      <c r="AA4127" t="n">
        <v>1752.46</v>
      </c>
      <c r="AB4127">
        <f>ROUND(U4127-AA4127,2)</f>
        <v/>
      </c>
      <c r="AC4127" t="b">
        <v>0</v>
      </c>
      <c r="AD4127">
        <f>IF(U4127="","MISSING_TOTAL",IF(ABS(AB4127)&lt;=0.01,"OK","CHECK"))</f>
        <v/>
      </c>
      <c r="AE4127">
        <f>IF(U4127="","MISSING",IF(AND(AA4127&gt;0,U4127/AA4127&gt;50),"POSSIBLE_SCALE_ERROR","OK"))</f>
        <v/>
      </c>
    </row>
    <row r="4128">
      <c r="A4128" t="inlineStr">
        <is>
          <t>T-2018-Q1-00010</t>
        </is>
      </c>
      <c r="B4128" t="inlineStr">
        <is>
          <t>SLE</t>
        </is>
      </c>
      <c r="C4128" t="inlineStr">
        <is>
          <t>Acting President</t>
        </is>
      </c>
      <c r="D4128" t="inlineStr">
        <is>
          <t>Président par intérim</t>
        </is>
      </c>
      <c r="E4128" t="inlineStr">
        <is>
          <t>Daryell Nowlan</t>
        </is>
      </c>
      <c r="F4128" t="inlineStr">
        <is>
          <t>Various meetings and discussions with Agency officials and Government of Canada officials</t>
        </is>
      </c>
      <c r="G4128" t="inlineStr">
        <is>
          <t>Diverses réunions et discussions avec des fonctionnaires de l'Agence et du gouvernement du Canada</t>
        </is>
      </c>
      <c r="H4128" s="1" t="n">
        <v>42829</v>
      </c>
      <c r="I4128" s="1" t="n">
        <v>42831</v>
      </c>
      <c r="J4128" t="inlineStr">
        <is>
          <t>Ottawa, Ontario</t>
        </is>
      </c>
      <c r="K4128" t="inlineStr">
        <is>
          <t>Ottawa (Ontario)</t>
        </is>
      </c>
      <c r="P4128" t="n">
        <v>685.4</v>
      </c>
      <c r="Q4128" t="n">
        <v>51</v>
      </c>
      <c r="R4128" t="n">
        <v>463.24</v>
      </c>
      <c r="S4128" t="n">
        <v>207.8</v>
      </c>
      <c r="T4128" t="n">
        <v>56.5</v>
      </c>
      <c r="U4128" t="n">
        <v>1463.94</v>
      </c>
      <c r="X4128" t="inlineStr">
        <is>
          <t>acoa-apeca</t>
        </is>
      </c>
      <c r="Y4128" t="inlineStr">
        <is>
          <t>Atlantic Canada Opportunities Agency | Agence de promotion économique du Canada atlantique</t>
        </is>
      </c>
      <c r="Z4128" t="n">
        <v>3</v>
      </c>
      <c r="AA4128" t="n">
        <v>1463.93999999999</v>
      </c>
      <c r="AB4128">
        <f>ROUND(U4128-AA4128,2)</f>
        <v/>
      </c>
      <c r="AC4128" t="b">
        <v>0</v>
      </c>
      <c r="AD4128">
        <f>IF(U4128="","MISSING_TOTAL",IF(ABS(AB4128)&lt;=0.01,"OK","CHECK"))</f>
        <v/>
      </c>
      <c r="AE4128">
        <f>IF(U4128="","MISSING",IF(AND(AA4128&gt;0,U4128/AA4128&gt;50),"POSSIBLE_SCALE_ERROR","OK"))</f>
        <v/>
      </c>
    </row>
    <row r="4129">
      <c r="A4129" t="inlineStr">
        <is>
          <t>T-2018-Q1-00009</t>
        </is>
      </c>
      <c r="B4129" t="inlineStr">
        <is>
          <t>SLE</t>
        </is>
      </c>
      <c r="C4129" t="inlineStr">
        <is>
          <t>Acting Vice-President, Policy and Programs</t>
        </is>
      </c>
      <c r="D4129" t="inlineStr">
        <is>
          <t>Vice-présidente, Politiques et Programmes par intérim</t>
        </is>
      </c>
      <c r="E4129" t="inlineStr">
        <is>
          <t>Denise Frenette</t>
        </is>
      </c>
      <c r="F4129" t="inlineStr">
        <is>
          <t>Meetings with Government of Canada officials</t>
        </is>
      </c>
      <c r="G4129" t="inlineStr">
        <is>
          <t>Réunions avec des fonctionnaires du gouvernement du Canada</t>
        </is>
      </c>
      <c r="H4129" s="1" t="n">
        <v>42829</v>
      </c>
      <c r="I4129" s="1" t="n">
        <v>42832</v>
      </c>
      <c r="J4129" t="inlineStr">
        <is>
          <t>Ottawa, Ontario and Halifax, Nova Scotia</t>
        </is>
      </c>
      <c r="K4129" t="inlineStr">
        <is>
          <t>Ottawa (Ontario) et Halifax (Nouvelle-Écosse)</t>
        </is>
      </c>
      <c r="P4129" t="n">
        <v>1620.56</v>
      </c>
      <c r="Q4129" t="n">
        <v>265.8</v>
      </c>
      <c r="R4129" t="n">
        <v>626.24</v>
      </c>
      <c r="S4129" t="n">
        <v>294.6</v>
      </c>
      <c r="T4129" t="n">
        <v>0</v>
      </c>
      <c r="U4129" t="n">
        <v>2807.2</v>
      </c>
      <c r="X4129" t="inlineStr">
        <is>
          <t>acoa-apeca</t>
        </is>
      </c>
      <c r="Y4129" t="inlineStr">
        <is>
          <t>Atlantic Canada Opportunities Agency | Agence de promotion économique du Canada atlantique</t>
        </is>
      </c>
      <c r="Z4129" t="n">
        <v>4</v>
      </c>
      <c r="AA4129" t="n">
        <v>2807.2</v>
      </c>
      <c r="AB4129">
        <f>ROUND(U4129-AA4129,2)</f>
        <v/>
      </c>
      <c r="AC4129" t="b">
        <v>0</v>
      </c>
      <c r="AD4129">
        <f>IF(U4129="","MISSING_TOTAL",IF(ABS(AB4129)&lt;=0.01,"OK","CHECK"))</f>
        <v/>
      </c>
      <c r="AE4129">
        <f>IF(U4129="","MISSING",IF(AND(AA4129&gt;0,U4129/AA4129&gt;50),"POSSIBLE_SCALE_ERROR","OK"))</f>
        <v/>
      </c>
    </row>
    <row r="4130">
      <c r="A4130" t="inlineStr">
        <is>
          <t>T-2015-Q2-00009</t>
        </is>
      </c>
      <c r="B4130" t="inlineStr">
        <is>
          <t>SLE</t>
        </is>
      </c>
      <c r="C4130" t="inlineStr">
        <is>
          <t>Senior Advisor (Energy)</t>
        </is>
      </c>
      <c r="D4130" t="inlineStr">
        <is>
          <t>Conseiller spécial (energie)</t>
        </is>
      </c>
      <c r="E4130" t="inlineStr">
        <is>
          <t>Andrew F. Noseworthy</t>
        </is>
      </c>
      <c r="F4130" t="inlineStr">
        <is>
          <t>Attend Global Petroleum Show 2014; meetings with industry officials</t>
        </is>
      </c>
      <c r="G4130" t="inlineStr">
        <is>
          <t>Assister au Global Petroleum Show 2014; réunions avec des représentants de l'industrie</t>
        </is>
      </c>
      <c r="H4130" s="1" t="n">
        <v>41799</v>
      </c>
      <c r="I4130" s="1" t="n">
        <v>41803</v>
      </c>
      <c r="J4130" t="inlineStr">
        <is>
          <t>Calgary, Alberta</t>
        </is>
      </c>
      <c r="K4130" t="inlineStr">
        <is>
          <t>Calgary (Alberta)</t>
        </is>
      </c>
      <c r="P4130" t="n">
        <v>1177.42</v>
      </c>
      <c r="Q4130" t="n">
        <v>164</v>
      </c>
      <c r="R4130" t="n">
        <v>1252.92</v>
      </c>
      <c r="S4130" t="n">
        <v>316.65</v>
      </c>
      <c r="T4130" t="n">
        <v>0</v>
      </c>
      <c r="U4130" t="n">
        <v>2910.99</v>
      </c>
      <c r="X4130" t="inlineStr">
        <is>
          <t>acoa-apeca</t>
        </is>
      </c>
      <c r="Y4130" t="inlineStr">
        <is>
          <t>Atlantic Canada Opportunities Agency | Agence de promotion économique du Canada atlantique</t>
        </is>
      </c>
      <c r="Z4130" t="n">
        <v>5</v>
      </c>
      <c r="AA4130" t="n">
        <v>2910.99</v>
      </c>
      <c r="AB4130">
        <f>ROUND(U4130-AA4130,2)</f>
        <v/>
      </c>
      <c r="AC4130" t="b">
        <v>0</v>
      </c>
      <c r="AD4130">
        <f>IF(U4130="","MISSING_TOTAL",IF(ABS(AB4130)&lt;=0.01,"OK","CHECK"))</f>
        <v/>
      </c>
      <c r="AE4130">
        <f>IF(U4130="","MISSING",IF(AND(AA4130&gt;0,U4130/AA4130&gt;50),"POSSIBLE_SCALE_ERROR","OK"))</f>
        <v/>
      </c>
    </row>
    <row r="4131">
      <c r="A4131" t="inlineStr">
        <is>
          <t>T-2018-Q1-00007</t>
        </is>
      </c>
      <c r="B4131" t="inlineStr">
        <is>
          <t>SLE</t>
        </is>
      </c>
      <c r="C4131" t="inlineStr">
        <is>
          <t>Acting President</t>
        </is>
      </c>
      <c r="D4131" t="inlineStr">
        <is>
          <t>Président par intérim</t>
        </is>
      </c>
      <c r="E4131" t="inlineStr">
        <is>
          <t>Daryell Nowlan</t>
        </is>
      </c>
      <c r="F4131" t="inlineStr">
        <is>
          <t>Meeting with an Agency official and Government of Canada officials</t>
        </is>
      </c>
      <c r="G4131" t="inlineStr">
        <is>
          <t>Réunion avec un fonctionnaire de l'Agence et des fonctionnaires du gouvernement du Canada</t>
        </is>
      </c>
      <c r="H4131" s="1" t="n">
        <v>42824</v>
      </c>
      <c r="I4131" s="1" t="n">
        <v>42825</v>
      </c>
      <c r="J4131" t="inlineStr">
        <is>
          <t>Montreal, Quebec</t>
        </is>
      </c>
      <c r="K4131" t="inlineStr">
        <is>
          <t>Montréal (Québec)</t>
        </is>
      </c>
      <c r="P4131" t="n">
        <v>685.4</v>
      </c>
      <c r="Q4131" t="n">
        <v>115</v>
      </c>
      <c r="R4131" t="n">
        <v>208.26</v>
      </c>
      <c r="S4131" t="n">
        <v>142.95</v>
      </c>
      <c r="T4131" t="n">
        <v>0</v>
      </c>
      <c r="U4131" t="n">
        <v>1151.61</v>
      </c>
      <c r="X4131" t="inlineStr">
        <is>
          <t>acoa-apeca</t>
        </is>
      </c>
      <c r="Y4131" t="inlineStr">
        <is>
          <t>Atlantic Canada Opportunities Agency | Agence de promotion économique du Canada atlantique</t>
        </is>
      </c>
      <c r="Z4131" t="n">
        <v>2</v>
      </c>
      <c r="AA4131" t="n">
        <v>1151.61</v>
      </c>
      <c r="AB4131">
        <f>ROUND(U4131-AA4131,2)</f>
        <v/>
      </c>
      <c r="AC4131" t="b">
        <v>0</v>
      </c>
      <c r="AD4131">
        <f>IF(U4131="","MISSING_TOTAL",IF(ABS(AB4131)&lt;=0.01,"OK","CHECK"))</f>
        <v/>
      </c>
      <c r="AE4131">
        <f>IF(U4131="","MISSING",IF(AND(AA4131&gt;0,U4131/AA4131&gt;50),"POSSIBLE_SCALE_ERROR","OK"))</f>
        <v/>
      </c>
    </row>
    <row r="4132">
      <c r="A4132" t="inlineStr">
        <is>
          <t>T-2018-Q1-00006</t>
        </is>
      </c>
      <c r="B4132" t="inlineStr">
        <is>
          <t>SLE</t>
        </is>
      </c>
      <c r="C4132" t="inlineStr">
        <is>
          <t>Acting President</t>
        </is>
      </c>
      <c r="D4132" t="inlineStr">
        <is>
          <t>Président par intérim</t>
        </is>
      </c>
      <c r="E4132" t="inlineStr">
        <is>
          <t>Daryell Nowlan</t>
        </is>
      </c>
      <c r="F4132" t="inlineStr">
        <is>
          <t>Various meetings and discussions with Agency officials and Government of Canada officials</t>
        </is>
      </c>
      <c r="G4132" t="inlineStr">
        <is>
          <t>Diverses réunions et discussions avec des fonctionnaires de l'Agence et du gouvernement du Canada</t>
        </is>
      </c>
      <c r="H4132" s="1" t="n">
        <v>42815</v>
      </c>
      <c r="I4132" s="1" t="n">
        <v>42819</v>
      </c>
      <c r="J4132" t="inlineStr">
        <is>
          <t>Ottawa, Ontario</t>
        </is>
      </c>
      <c r="K4132" t="inlineStr">
        <is>
          <t>Ottawa (Ontario)</t>
        </is>
      </c>
      <c r="P4132" t="n">
        <v>644.1</v>
      </c>
      <c r="Q4132" t="n">
        <v>85</v>
      </c>
      <c r="R4132" t="n">
        <v>694.86</v>
      </c>
      <c r="S4132" t="n">
        <v>274.9</v>
      </c>
      <c r="T4132" t="n">
        <v>56.5</v>
      </c>
      <c r="U4132" t="n">
        <v>1755.36</v>
      </c>
      <c r="X4132" t="inlineStr">
        <is>
          <t>acoa-apeca</t>
        </is>
      </c>
      <c r="Y4132" t="inlineStr">
        <is>
          <t>Atlantic Canada Opportunities Agency | Agence de promotion économique du Canada atlantique</t>
        </is>
      </c>
      <c r="Z4132" t="n">
        <v>5</v>
      </c>
      <c r="AA4132" t="n">
        <v>1755.36</v>
      </c>
      <c r="AB4132">
        <f>ROUND(U4132-AA4132,2)</f>
        <v/>
      </c>
      <c r="AC4132" t="b">
        <v>0</v>
      </c>
      <c r="AD4132">
        <f>IF(U4132="","MISSING_TOTAL",IF(ABS(AB4132)&lt;=0.01,"OK","CHECK"))</f>
        <v/>
      </c>
      <c r="AE4132">
        <f>IF(U4132="","MISSING",IF(AND(AA4132&gt;0,U4132/AA4132&gt;50),"POSSIBLE_SCALE_ERROR","OK"))</f>
        <v/>
      </c>
    </row>
    <row r="4133">
      <c r="A4133" t="inlineStr">
        <is>
          <t>T-2018-Q1-00005</t>
        </is>
      </c>
      <c r="B4133" t="inlineStr">
        <is>
          <t>SLE</t>
        </is>
      </c>
      <c r="C4133" t="inlineStr">
        <is>
          <t>Acting Vice-President, Policy and Programs</t>
        </is>
      </c>
      <c r="D4133" t="inlineStr">
        <is>
          <t>Vice-présidente, Politiques et Programmes par intérim</t>
        </is>
      </c>
      <c r="E4133" t="inlineStr">
        <is>
          <t>Denise Frenette</t>
        </is>
      </c>
      <c r="F4133" t="inlineStr">
        <is>
          <t>Meeting with Government of Canada officials</t>
        </is>
      </c>
      <c r="G4133" t="inlineStr">
        <is>
          <t>Réunion avec des fonctionnaires du gouvernement du Canada</t>
        </is>
      </c>
      <c r="H4133" s="1" t="n">
        <v>42800</v>
      </c>
      <c r="I4133" s="1" t="n">
        <v>42801</v>
      </c>
      <c r="J4133" t="inlineStr">
        <is>
          <t>Halifax, Nova Scotia</t>
        </is>
      </c>
      <c r="K4133" t="inlineStr">
        <is>
          <t>Halifax (Nouvelle-Écosse)</t>
        </is>
      </c>
      <c r="P4133" t="n">
        <v>0</v>
      </c>
      <c r="Q4133" t="n">
        <v>86.33</v>
      </c>
      <c r="R4133" t="n">
        <v>157.18</v>
      </c>
      <c r="S4133" t="n">
        <v>114.4</v>
      </c>
      <c r="T4133" t="n">
        <v>0</v>
      </c>
      <c r="U4133" t="n">
        <v>357.91</v>
      </c>
      <c r="X4133" t="inlineStr">
        <is>
          <t>acoa-apeca</t>
        </is>
      </c>
      <c r="Y4133" t="inlineStr">
        <is>
          <t>Atlantic Canada Opportunities Agency | Agence de promotion économique du Canada atlantique</t>
        </is>
      </c>
      <c r="Z4133" t="n">
        <v>2</v>
      </c>
      <c r="AA4133" t="n">
        <v>357.909999999999</v>
      </c>
      <c r="AB4133">
        <f>ROUND(U4133-AA4133,2)</f>
        <v/>
      </c>
      <c r="AC4133" t="b">
        <v>0</v>
      </c>
      <c r="AD4133">
        <f>IF(U4133="","MISSING_TOTAL",IF(ABS(AB4133)&lt;=0.01,"OK","CHECK"))</f>
        <v/>
      </c>
      <c r="AE4133">
        <f>IF(U4133="","MISSING",IF(AND(AA4133&gt;0,U4133/AA4133&gt;50),"POSSIBLE_SCALE_ERROR","OK"))</f>
        <v/>
      </c>
    </row>
    <row r="4134">
      <c r="A4134" t="inlineStr">
        <is>
          <t>T-2018-Q1-00002</t>
        </is>
      </c>
      <c r="B4134" t="inlineStr">
        <is>
          <t>SLE</t>
        </is>
      </c>
      <c r="C4134" t="inlineStr">
        <is>
          <t>Acting President</t>
        </is>
      </c>
      <c r="D4134" t="inlineStr">
        <is>
          <t>Président par intérim</t>
        </is>
      </c>
      <c r="E4134" t="inlineStr">
        <is>
          <t>Daryell Nowlan</t>
        </is>
      </c>
      <c r="F4134" t="inlineStr">
        <is>
          <t>Meetings and discussions with Agency officials and Government of Canada officials</t>
        </is>
      </c>
      <c r="G4134" t="inlineStr">
        <is>
          <t>Réunions et discussions avec des fonctionnaires de l'Agence et du gouvernement du Canada</t>
        </is>
      </c>
      <c r="H4134" s="1" t="n">
        <v>42800</v>
      </c>
      <c r="I4134" s="1" t="n">
        <v>42802</v>
      </c>
      <c r="J4134" t="inlineStr">
        <is>
          <t>Halifax, Nova Scotia and Ottawa, Ontario</t>
        </is>
      </c>
      <c r="K4134" t="inlineStr">
        <is>
          <t>Halifax (Nouvelle-Écosse) et Ottawa (Ontario)</t>
        </is>
      </c>
      <c r="P4134" t="n">
        <v>1013.16</v>
      </c>
      <c r="Q4134" t="n">
        <v>105</v>
      </c>
      <c r="R4134" t="n">
        <v>383.03</v>
      </c>
      <c r="S4134" t="n">
        <v>160.25</v>
      </c>
      <c r="T4134" t="n">
        <v>0</v>
      </c>
      <c r="U4134" t="n">
        <v>1661.44</v>
      </c>
      <c r="X4134" t="inlineStr">
        <is>
          <t>acoa-apeca</t>
        </is>
      </c>
      <c r="Y4134" t="inlineStr">
        <is>
          <t>Atlantic Canada Opportunities Agency | Agence de promotion économique du Canada atlantique</t>
        </is>
      </c>
      <c r="Z4134" t="n">
        <v>3</v>
      </c>
      <c r="AA4134" t="n">
        <v>1661.43999999999</v>
      </c>
      <c r="AB4134">
        <f>ROUND(U4134-AA4134,2)</f>
        <v/>
      </c>
      <c r="AC4134" t="b">
        <v>0</v>
      </c>
      <c r="AD4134">
        <f>IF(U4134="","MISSING_TOTAL",IF(ABS(AB4134)&lt;=0.01,"OK","CHECK"))</f>
        <v/>
      </c>
      <c r="AE4134">
        <f>IF(U4134="","MISSING",IF(AND(AA4134&gt;0,U4134/AA4134&gt;50),"POSSIBLE_SCALE_ERROR","OK"))</f>
        <v/>
      </c>
    </row>
    <row r="4135">
      <c r="A4135" t="inlineStr">
        <is>
          <t>T-2018-Q1-00001</t>
        </is>
      </c>
      <c r="B4135" t="inlineStr">
        <is>
          <t>SLE</t>
        </is>
      </c>
      <c r="C4135" t="inlineStr">
        <is>
          <t>Acting President</t>
        </is>
      </c>
      <c r="D4135" t="inlineStr">
        <is>
          <t>Président par intérim</t>
        </is>
      </c>
      <c r="E4135" t="inlineStr">
        <is>
          <t>Daryell Nowlan</t>
        </is>
      </c>
      <c r="F4135" t="inlineStr">
        <is>
          <t>Meeting and discussions with Government of Canada officials</t>
        </is>
      </c>
      <c r="G4135" t="inlineStr">
        <is>
          <t>Réunion et discussions avec des fonctionnaires du gouvernement du Canada</t>
        </is>
      </c>
      <c r="H4135" s="1" t="n">
        <v>42796</v>
      </c>
      <c r="I4135" s="1" t="n">
        <v>42797</v>
      </c>
      <c r="J4135" t="inlineStr">
        <is>
          <t>Ottawa, Ontario</t>
        </is>
      </c>
      <c r="K4135" t="inlineStr">
        <is>
          <t>Ottawa (Ontario)</t>
        </is>
      </c>
      <c r="P4135" t="n">
        <v>838.33</v>
      </c>
      <c r="Q4135" t="n">
        <v>80</v>
      </c>
      <c r="R4135" t="n">
        <v>231.62</v>
      </c>
      <c r="S4135" t="n">
        <v>142.95</v>
      </c>
      <c r="T4135" t="n">
        <v>34.21</v>
      </c>
      <c r="U4135" t="n">
        <v>1327.11</v>
      </c>
      <c r="X4135" t="inlineStr">
        <is>
          <t>acoa-apeca</t>
        </is>
      </c>
      <c r="Y4135" t="inlineStr">
        <is>
          <t>Atlantic Canada Opportunities Agency | Agence de promotion économique du Canada atlantique</t>
        </is>
      </c>
      <c r="Z4135" t="n">
        <v>2</v>
      </c>
      <c r="AA4135" t="n">
        <v>1327.11</v>
      </c>
      <c r="AB4135">
        <f>ROUND(U4135-AA4135,2)</f>
        <v/>
      </c>
      <c r="AC4135" t="b">
        <v>0</v>
      </c>
      <c r="AD4135">
        <f>IF(U4135="","MISSING_TOTAL",IF(ABS(AB4135)&lt;=0.01,"OK","CHECK"))</f>
        <v/>
      </c>
      <c r="AE4135">
        <f>IF(U4135="","MISSING",IF(AND(AA4135&gt;0,U4135/AA4135&gt;50),"POSSIBLE_SCALE_ERROR","OK"))</f>
        <v/>
      </c>
    </row>
    <row r="4136">
      <c r="A4136" t="inlineStr">
        <is>
          <t>T-2017-Q4-00042</t>
        </is>
      </c>
      <c r="B4136" t="inlineStr">
        <is>
          <t>SLE</t>
        </is>
      </c>
      <c r="C4136" t="inlineStr">
        <is>
          <t>Acting Vice-President, Nova-Scotia</t>
        </is>
      </c>
      <c r="D4136" t="inlineStr">
        <is>
          <t>Vice-président par intérim, Nouvelle-Écosse</t>
        </is>
      </c>
      <c r="E4136" t="inlineStr">
        <is>
          <t>Patrick Dorsey</t>
        </is>
      </c>
      <c r="F4136" t="inlineStr">
        <is>
          <t>Assignment in Halifax</t>
        </is>
      </c>
      <c r="G4136" t="inlineStr">
        <is>
          <t>Affectation à Halifax</t>
        </is>
      </c>
      <c r="H4136" s="1" t="n">
        <v>42795</v>
      </c>
      <c r="I4136" s="1" t="n">
        <v>42825</v>
      </c>
      <c r="J4136" t="inlineStr">
        <is>
          <t>Halifax, Nova Scotia</t>
        </is>
      </c>
      <c r="K4136" t="inlineStr">
        <is>
          <t>Halifax (Nouvelle-Écosse)</t>
        </is>
      </c>
      <c r="P4136" t="n">
        <v>374.75</v>
      </c>
      <c r="Q4136" t="n">
        <v>84.56999999999999</v>
      </c>
      <c r="R4136" t="n">
        <v>3410</v>
      </c>
      <c r="S4136" t="n">
        <v>1558.1</v>
      </c>
      <c r="T4136" t="n">
        <v>0</v>
      </c>
      <c r="U4136" t="n">
        <v>5427.42</v>
      </c>
      <c r="X4136" t="inlineStr">
        <is>
          <t>acoa-apeca</t>
        </is>
      </c>
      <c r="Y4136" t="inlineStr">
        <is>
          <t>Atlantic Canada Opportunities Agency | Agence de promotion économique du Canada atlantique</t>
        </is>
      </c>
      <c r="Z4136" t="n">
        <v>31</v>
      </c>
      <c r="AA4136" t="n">
        <v>5427.42</v>
      </c>
      <c r="AB4136">
        <f>ROUND(U4136-AA4136,2)</f>
        <v/>
      </c>
      <c r="AC4136" t="b">
        <v>0</v>
      </c>
      <c r="AD4136">
        <f>IF(U4136="","MISSING_TOTAL",IF(ABS(AB4136)&lt;=0.01,"OK","CHECK"))</f>
        <v/>
      </c>
      <c r="AE4136">
        <f>IF(U4136="","MISSING",IF(AND(AA4136&gt;0,U4136/AA4136&gt;50),"POSSIBLE_SCALE_ERROR","OK"))</f>
        <v/>
      </c>
    </row>
    <row r="4137">
      <c r="A4137" t="inlineStr">
        <is>
          <t>T-2017-Q3-00052</t>
        </is>
      </c>
      <c r="B4137" t="inlineStr">
        <is>
          <t>SLE</t>
        </is>
      </c>
      <c r="C4137" t="inlineStr">
        <is>
          <t>Senior Advisor (Energy)</t>
        </is>
      </c>
      <c r="D4137" t="inlineStr">
        <is>
          <t>Conseiller spécial (energie)</t>
        </is>
      </c>
      <c r="E4137" t="inlineStr">
        <is>
          <t>Andrew F. Noseworthy</t>
        </is>
      </c>
      <c r="F4137" t="inlineStr">
        <is>
          <t>Attend the 2016 Canada-Europe Energy Summit</t>
        </is>
      </c>
      <c r="G4137" t="inlineStr">
        <is>
          <t>Assister au Sommet canado-européen sur l'énergie de 2016</t>
        </is>
      </c>
      <c r="H4137" s="1" t="n">
        <v>42693</v>
      </c>
      <c r="I4137" s="1" t="n">
        <v>42697</v>
      </c>
      <c r="J4137" t="inlineStr">
        <is>
          <t>London, United Kingdom</t>
        </is>
      </c>
      <c r="K4137" t="inlineStr">
        <is>
          <t>Londres (Royaume-Uni)</t>
        </is>
      </c>
      <c r="P4137" t="n">
        <v>960.61</v>
      </c>
      <c r="Q4137" t="n">
        <v>351.1</v>
      </c>
      <c r="R4137" t="n">
        <v>1109.89</v>
      </c>
      <c r="S4137" t="n">
        <v>614.49</v>
      </c>
      <c r="T4137" t="n">
        <v>5.25</v>
      </c>
      <c r="U4137" t="n">
        <v>3041.34</v>
      </c>
      <c r="X4137" t="inlineStr">
        <is>
          <t>acoa-apeca</t>
        </is>
      </c>
      <c r="Y4137" t="inlineStr">
        <is>
          <t>Atlantic Canada Opportunities Agency | Agence de promotion économique du Canada atlantique</t>
        </is>
      </c>
      <c r="Z4137" t="n">
        <v>5</v>
      </c>
      <c r="AA4137" t="n">
        <v>3041.34</v>
      </c>
      <c r="AB4137">
        <f>ROUND(U4137-AA4137,2)</f>
        <v/>
      </c>
      <c r="AC4137" t="b">
        <v>0</v>
      </c>
      <c r="AD4137">
        <f>IF(U4137="","MISSING_TOTAL",IF(ABS(AB4137)&lt;=0.01,"OK","CHECK"))</f>
        <v/>
      </c>
      <c r="AE4137">
        <f>IF(U4137="","MISSING",IF(AND(AA4137&gt;0,U4137/AA4137&gt;50),"POSSIBLE_SCALE_ERROR","OK"))</f>
        <v/>
      </c>
    </row>
    <row r="4138">
      <c r="A4138" t="inlineStr">
        <is>
          <t>T-2017-Q3-00048</t>
        </is>
      </c>
      <c r="B4138" t="inlineStr">
        <is>
          <t>SLE</t>
        </is>
      </c>
      <c r="C4138" t="inlineStr">
        <is>
          <t>Senior Advisor (Energy)</t>
        </is>
      </c>
      <c r="D4138" t="inlineStr">
        <is>
          <t>Conseiller spécial (energie)</t>
        </is>
      </c>
      <c r="E4138" t="inlineStr">
        <is>
          <t>Andrew F. Noseworthy</t>
        </is>
      </c>
      <c r="F4138" t="inlineStr">
        <is>
          <t>Attend the New England-Canada Business Council's Energy, Trade and Technology Conference; meetings with Canadian Consulate and industry officials in Boston</t>
        </is>
      </c>
      <c r="G4138" t="inlineStr">
        <is>
          <t>Conférence sur l'énergie, le commerce et la technologie du New England-Canada Business Council; réunions avec le Consulat du Canada et des représentants de l'industrie à Boston</t>
        </is>
      </c>
      <c r="H4138" s="1" t="n">
        <v>42687</v>
      </c>
      <c r="I4138" s="1" t="n">
        <v>42692</v>
      </c>
      <c r="J4138" t="inlineStr">
        <is>
          <t>Boston, Massachusetts and Ottawa, Ontario</t>
        </is>
      </c>
      <c r="K4138" t="inlineStr">
        <is>
          <t>Boston (Massachusetts) et Ottawa (Ontario)</t>
        </is>
      </c>
      <c r="P4138" t="n">
        <v>1402.06</v>
      </c>
      <c r="Q4138" t="n">
        <v>194.9</v>
      </c>
      <c r="R4138" t="n">
        <v>947.73</v>
      </c>
      <c r="S4138" t="n">
        <v>438.98</v>
      </c>
      <c r="T4138" t="n">
        <v>58.75</v>
      </c>
      <c r="U4138" t="n">
        <v>3042.42</v>
      </c>
      <c r="X4138" t="inlineStr">
        <is>
          <t>acoa-apeca</t>
        </is>
      </c>
      <c r="Y4138" t="inlineStr">
        <is>
          <t>Atlantic Canada Opportunities Agency | Agence de promotion économique du Canada atlantique</t>
        </is>
      </c>
      <c r="Z4138" t="n">
        <v>6</v>
      </c>
      <c r="AA4138" t="n">
        <v>3042.42</v>
      </c>
      <c r="AB4138">
        <f>ROUND(U4138-AA4138,2)</f>
        <v/>
      </c>
      <c r="AC4138" t="b">
        <v>0</v>
      </c>
      <c r="AD4138">
        <f>IF(U4138="","MISSING_TOTAL",IF(ABS(AB4138)&lt;=0.01,"OK","CHECK"))</f>
        <v/>
      </c>
      <c r="AE4138">
        <f>IF(U4138="","MISSING",IF(AND(AA4138&gt;0,U4138/AA4138&gt;50),"POSSIBLE_SCALE_ERROR","OK"))</f>
        <v/>
      </c>
    </row>
    <row r="4139">
      <c r="A4139" t="inlineStr">
        <is>
          <t>T-2012-Q1-00071</t>
        </is>
      </c>
      <c r="B4139" t="inlineStr">
        <is>
          <t>SLE</t>
        </is>
      </c>
      <c r="C4139" t="inlineStr">
        <is>
          <t>Acting Senior Vice-President</t>
        </is>
      </c>
      <c r="D4139" t="inlineStr">
        <is>
          <t>Vice-président principal par intérim</t>
        </is>
      </c>
      <c r="E4139" t="inlineStr">
        <is>
          <t>David Slade</t>
        </is>
      </c>
      <c r="F4139" t="inlineStr">
        <is>
          <t>Meeting with Government of Canada officials</t>
        </is>
      </c>
      <c r="G4139" t="inlineStr">
        <is>
          <t>Réunion avec des fonctionnaires du gouvernement du Canada</t>
        </is>
      </c>
      <c r="H4139" s="1" t="n">
        <v>40693</v>
      </c>
      <c r="I4139" s="1" t="n">
        <v>40695</v>
      </c>
      <c r="J4139" t="inlineStr">
        <is>
          <t>Ottawa, Ontario</t>
        </is>
      </c>
      <c r="K4139" t="inlineStr">
        <is>
          <t>Ottawa (Ontario)</t>
        </is>
      </c>
      <c r="P4139" t="n">
        <v>645.1900000000001</v>
      </c>
      <c r="Q4139" t="n">
        <v>68.90000000000001</v>
      </c>
      <c r="R4139" t="n">
        <v>348.04</v>
      </c>
      <c r="S4139" t="n">
        <v>195.87</v>
      </c>
      <c r="T4139" t="n">
        <v>0</v>
      </c>
      <c r="U4139" t="n">
        <v>1258</v>
      </c>
      <c r="X4139" t="inlineStr">
        <is>
          <t>acoa-apeca</t>
        </is>
      </c>
      <c r="Y4139" t="inlineStr">
        <is>
          <t>Atlantic Canada Opportunities Agency | Agence de promotion économique du Canada atlantique</t>
        </is>
      </c>
      <c r="Z4139" t="n">
        <v>3</v>
      </c>
      <c r="AA4139" t="n">
        <v>1258</v>
      </c>
      <c r="AB4139">
        <f>ROUND(U4139-AA4139,2)</f>
        <v/>
      </c>
      <c r="AC4139" t="b">
        <v>0</v>
      </c>
      <c r="AD4139">
        <f>IF(U4139="","MISSING_TOTAL",IF(ABS(AB4139)&lt;=0.01,"OK","CHECK"))</f>
        <v/>
      </c>
      <c r="AE4139">
        <f>IF(U4139="","MISSING",IF(AND(AA4139&gt;0,U4139/AA4139&gt;50),"POSSIBLE_SCALE_ERROR","OK"))</f>
        <v/>
      </c>
    </row>
    <row r="4140">
      <c r="A4140" t="inlineStr">
        <is>
          <t>T-2017-Q2-00034</t>
        </is>
      </c>
      <c r="B4140" t="inlineStr">
        <is>
          <t>SLE</t>
        </is>
      </c>
      <c r="C4140" t="inlineStr">
        <is>
          <t>Senior Advisor (Energy)</t>
        </is>
      </c>
      <c r="D4140" t="inlineStr">
        <is>
          <t>Conseiller spécial (energie)</t>
        </is>
      </c>
      <c r="E4140" t="inlineStr">
        <is>
          <t>Andrew F. Noseworthy</t>
        </is>
      </c>
      <c r="F4140" t="inlineStr">
        <is>
          <t>Attend Offshore Northern Seas 2016 Conference, and attend industry meetings in Norway; meeting with High Commission officials in London</t>
        </is>
      </c>
      <c r="G4140" t="inlineStr">
        <is>
          <t>Assister à la conférence Offshore Northern Seas 2016 et à des réunions de l'industrie en Norvège; réunion avec des représentants du Haut-Commissariat à Londres</t>
        </is>
      </c>
      <c r="H4140" s="1" t="n">
        <v>42608</v>
      </c>
      <c r="I4140" s="1" t="n">
        <v>42616</v>
      </c>
      <c r="J4140" t="inlineStr">
        <is>
          <t>Stavanger, Norway; Bergen, Norway; London, United Kingdom</t>
        </is>
      </c>
      <c r="K4140" t="inlineStr">
        <is>
          <t>Stavanger (Norvège); Bergen (Norvège); Londres (Royaume-Uni)</t>
        </is>
      </c>
      <c r="P4140" t="n">
        <v>2237.16</v>
      </c>
      <c r="Q4140" t="n">
        <v>951.09</v>
      </c>
      <c r="R4140" t="n">
        <v>2443.06</v>
      </c>
      <c r="S4140" t="n">
        <v>1157.08</v>
      </c>
      <c r="T4140" t="n">
        <v>0</v>
      </c>
      <c r="U4140" t="n">
        <v>6788.39</v>
      </c>
      <c r="X4140" t="inlineStr">
        <is>
          <t>acoa-apeca</t>
        </is>
      </c>
      <c r="Y4140" t="inlineStr">
        <is>
          <t>Atlantic Canada Opportunities Agency | Agence de promotion économique du Canada atlantique</t>
        </is>
      </c>
      <c r="Z4140" t="n">
        <v>9</v>
      </c>
      <c r="AA4140" t="n">
        <v>6788.38999999999</v>
      </c>
      <c r="AB4140">
        <f>ROUND(U4140-AA4140,2)</f>
        <v/>
      </c>
      <c r="AC4140" t="b">
        <v>0</v>
      </c>
      <c r="AD4140">
        <f>IF(U4140="","MISSING_TOTAL",IF(ABS(AB4140)&lt;=0.01,"OK","CHECK"))</f>
        <v/>
      </c>
      <c r="AE4140">
        <f>IF(U4140="","MISSING",IF(AND(AA4140&gt;0,U4140/AA4140&gt;50),"POSSIBLE_SCALE_ERROR","OK"))</f>
        <v/>
      </c>
    </row>
    <row r="4141">
      <c r="A4141" t="inlineStr">
        <is>
          <t>T-2017-Q1-00034</t>
        </is>
      </c>
      <c r="B4141" t="inlineStr">
        <is>
          <t>SLE</t>
        </is>
      </c>
      <c r="C4141" t="inlineStr">
        <is>
          <t>Senior Advisor (Energy)</t>
        </is>
      </c>
      <c r="D4141" t="inlineStr">
        <is>
          <t>Conseiller spécial (energie)</t>
        </is>
      </c>
      <c r="E4141" t="inlineStr">
        <is>
          <t>Andrew F. Noseworthy</t>
        </is>
      </c>
      <c r="F4141" t="inlineStr">
        <is>
          <t>Attend Offshore Technology Conference 2016</t>
        </is>
      </c>
      <c r="G4141" t="inlineStr">
        <is>
          <t>Assister à l'Offshore Technology Conference 2016</t>
        </is>
      </c>
      <c r="H4141" s="1" t="n">
        <v>42489</v>
      </c>
      <c r="I4141" s="1" t="n">
        <v>42497</v>
      </c>
      <c r="J4141" t="inlineStr">
        <is>
          <t>Houston, Texas</t>
        </is>
      </c>
      <c r="K4141" t="inlineStr">
        <is>
          <t>Houston, Texas</t>
        </is>
      </c>
      <c r="P4141" t="n">
        <v>1319.94</v>
      </c>
      <c r="Q4141" t="n">
        <v>590.3099999999999</v>
      </c>
      <c r="R4141" t="n">
        <v>3288.14</v>
      </c>
      <c r="S4141" t="n">
        <v>794.7</v>
      </c>
      <c r="T4141" t="n">
        <v>0</v>
      </c>
      <c r="U4141" t="n">
        <v>5993.09</v>
      </c>
      <c r="X4141" t="inlineStr">
        <is>
          <t>acoa-apeca</t>
        </is>
      </c>
      <c r="Y4141" t="inlineStr">
        <is>
          <t>Atlantic Canada Opportunities Agency | Agence de promotion économique du Canada atlantique</t>
        </is>
      </c>
      <c r="Z4141" t="n">
        <v>9</v>
      </c>
      <c r="AA4141" t="n">
        <v>5993.08999999999</v>
      </c>
      <c r="AB4141">
        <f>ROUND(U4141-AA4141,2)</f>
        <v/>
      </c>
      <c r="AC4141" t="b">
        <v>0</v>
      </c>
      <c r="AD4141">
        <f>IF(U4141="","MISSING_TOTAL",IF(ABS(AB4141)&lt;=0.01,"OK","CHECK"))</f>
        <v/>
      </c>
      <c r="AE4141">
        <f>IF(U4141="","MISSING",IF(AND(AA4141&gt;0,U4141/AA4141&gt;50),"POSSIBLE_SCALE_ERROR","OK"))</f>
        <v/>
      </c>
    </row>
    <row r="4142">
      <c r="A4142" t="inlineStr">
        <is>
          <t>T-2017-Q1-00021</t>
        </is>
      </c>
      <c r="B4142" t="inlineStr">
        <is>
          <t>SLE</t>
        </is>
      </c>
      <c r="C4142" t="inlineStr">
        <is>
          <t>Senior Advisor (Energy)</t>
        </is>
      </c>
      <c r="D4142" t="inlineStr">
        <is>
          <t>Conseiller spécial (energie)</t>
        </is>
      </c>
      <c r="E4142" t="inlineStr">
        <is>
          <t>Andrew F. Noseworthy</t>
        </is>
      </c>
      <c r="F4142" t="inlineStr">
        <is>
          <t>Meetings with First Ministers' Working Group on Clean Technology, Innovation and Jobs</t>
        </is>
      </c>
      <c r="G4142" t="inlineStr">
        <is>
          <t>Réunions avec le Groupe de travail des premiers ministres sur les technologies propres, l'innovation et l'emploi</t>
        </is>
      </c>
      <c r="H4142" s="1" t="n">
        <v>42471</v>
      </c>
      <c r="I4142" s="1" t="n">
        <v>42472</v>
      </c>
      <c r="J4142" t="inlineStr">
        <is>
          <t>Ottawa, Ontario</t>
        </is>
      </c>
      <c r="K4142" t="inlineStr">
        <is>
          <t>Ottawa (Ontario)</t>
        </is>
      </c>
      <c r="P4142" t="n">
        <v>830.8200000000001</v>
      </c>
      <c r="Q4142" t="n">
        <v>78</v>
      </c>
      <c r="R4142" t="n">
        <v>181.57</v>
      </c>
      <c r="S4142" t="n">
        <v>175.4</v>
      </c>
      <c r="T4142" t="n">
        <v>28</v>
      </c>
      <c r="U4142" t="n">
        <v>1293.79</v>
      </c>
      <c r="X4142" t="inlineStr">
        <is>
          <t>acoa-apeca</t>
        </is>
      </c>
      <c r="Y4142" t="inlineStr">
        <is>
          <t>Atlantic Canada Opportunities Agency | Agence de promotion économique du Canada atlantique</t>
        </is>
      </c>
      <c r="Z4142" t="n">
        <v>2</v>
      </c>
      <c r="AA4142" t="n">
        <v>1293.79</v>
      </c>
      <c r="AB4142">
        <f>ROUND(U4142-AA4142,2)</f>
        <v/>
      </c>
      <c r="AC4142" t="b">
        <v>0</v>
      </c>
      <c r="AD4142">
        <f>IF(U4142="","MISSING_TOTAL",IF(ABS(AB4142)&lt;=0.01,"OK","CHECK"))</f>
        <v/>
      </c>
      <c r="AE4142">
        <f>IF(U4142="","MISSING",IF(AND(AA4142&gt;0,U4142/AA4142&gt;50),"POSSIBLE_SCALE_ERROR","OK"))</f>
        <v/>
      </c>
    </row>
    <row r="4143">
      <c r="A4143" t="inlineStr">
        <is>
          <t>T-2017-Q1-00018</t>
        </is>
      </c>
      <c r="B4143" t="inlineStr">
        <is>
          <t>SLE</t>
        </is>
      </c>
      <c r="C4143" t="inlineStr">
        <is>
          <t>Senior Advisor (Energy)</t>
        </is>
      </c>
      <c r="D4143" t="inlineStr">
        <is>
          <t>Conseiller spécial (energie)</t>
        </is>
      </c>
      <c r="E4143" t="inlineStr">
        <is>
          <t>Andrew F. Noseworthy</t>
        </is>
      </c>
      <c r="F4143" t="inlineStr">
        <is>
          <t>Meetings with First Ministers' Working Group on Clean Technology, Innovation and Jobs</t>
        </is>
      </c>
      <c r="G4143" t="inlineStr">
        <is>
          <t>Réunions avec le Groupe de travail des premiers ministres sur les technologies propres, l'innovation et l'emploi</t>
        </is>
      </c>
      <c r="H4143" s="1" t="n">
        <v>42465</v>
      </c>
      <c r="I4143" s="1" t="n">
        <v>42467</v>
      </c>
      <c r="J4143" t="inlineStr">
        <is>
          <t>Ottawa, Ontario</t>
        </is>
      </c>
      <c r="K4143" t="inlineStr">
        <is>
          <t>Ottawa (Ontario)</t>
        </is>
      </c>
      <c r="P4143" t="n">
        <v>1057</v>
      </c>
      <c r="Q4143" t="n">
        <v>70</v>
      </c>
      <c r="R4143" t="n">
        <v>447.21</v>
      </c>
      <c r="S4143" t="n">
        <v>181.5</v>
      </c>
      <c r="T4143" t="n">
        <v>44.26</v>
      </c>
      <c r="U4143" t="n">
        <v>1799.97</v>
      </c>
      <c r="X4143" t="inlineStr">
        <is>
          <t>acoa-apeca</t>
        </is>
      </c>
      <c r="Y4143" t="inlineStr">
        <is>
          <t>Atlantic Canada Opportunities Agency | Agence de promotion économique du Canada atlantique</t>
        </is>
      </c>
      <c r="Z4143" t="n">
        <v>3</v>
      </c>
      <c r="AA4143" t="n">
        <v>1799.97</v>
      </c>
      <c r="AB4143">
        <f>ROUND(U4143-AA4143,2)</f>
        <v/>
      </c>
      <c r="AC4143" t="b">
        <v>0</v>
      </c>
      <c r="AD4143">
        <f>IF(U4143="","MISSING_TOTAL",IF(ABS(AB4143)&lt;=0.01,"OK","CHECK"))</f>
        <v/>
      </c>
      <c r="AE4143">
        <f>IF(U4143="","MISSING",IF(AND(AA4143&gt;0,U4143/AA4143&gt;50),"POSSIBLE_SCALE_ERROR","OK"))</f>
        <v/>
      </c>
    </row>
    <row r="4144">
      <c r="A4144" t="inlineStr">
        <is>
          <t>T-2017-Q1-00014</t>
        </is>
      </c>
      <c r="B4144" t="inlineStr">
        <is>
          <t>SLE</t>
        </is>
      </c>
      <c r="C4144" t="inlineStr">
        <is>
          <t>Senior Advisor (Energy)</t>
        </is>
      </c>
      <c r="D4144" t="inlineStr">
        <is>
          <t>Conseiller spécial (energie)</t>
        </is>
      </c>
      <c r="E4144" t="inlineStr">
        <is>
          <t>Andrew F. Noseworthy</t>
        </is>
      </c>
      <c r="F4144" t="inlineStr">
        <is>
          <t>Energy meetings with officials from Nova Scotia Department of Energy; meeting with Nova Scotia Agency staff</t>
        </is>
      </c>
      <c r="G4144" t="inlineStr">
        <is>
          <t>Réunions sur l'énergie avec des fonctionnaires du ministère de l'Énergie de la Nouvelle-Écosse; réunion avec des employés de l'Agence en Nouvelle-Écosse</t>
        </is>
      </c>
      <c r="H4144" s="1" t="n">
        <v>42458</v>
      </c>
      <c r="I4144" s="1" t="n">
        <v>42459</v>
      </c>
      <c r="J4144" t="inlineStr">
        <is>
          <t>Halifax, Nova Scotia</t>
        </is>
      </c>
      <c r="K4144" t="inlineStr">
        <is>
          <t>Halifax (Nouvelle-Écosse)</t>
        </is>
      </c>
      <c r="P4144" t="n">
        <v>1295.32</v>
      </c>
      <c r="Q4144" t="n">
        <v>150</v>
      </c>
      <c r="R4144" t="n">
        <v>151.32</v>
      </c>
      <c r="S4144" t="n">
        <v>95.8</v>
      </c>
      <c r="T4144" t="n">
        <v>24.75</v>
      </c>
      <c r="U4144" t="n">
        <v>1717.19</v>
      </c>
      <c r="X4144" t="inlineStr">
        <is>
          <t>acoa-apeca</t>
        </is>
      </c>
      <c r="Y4144" t="inlineStr">
        <is>
          <t>Atlantic Canada Opportunities Agency | Agence de promotion économique du Canada atlantique</t>
        </is>
      </c>
      <c r="Z4144" t="n">
        <v>2</v>
      </c>
      <c r="AA4144" t="n">
        <v>1717.18999999999</v>
      </c>
      <c r="AB4144">
        <f>ROUND(U4144-AA4144,2)</f>
        <v/>
      </c>
      <c r="AC4144" t="b">
        <v>0</v>
      </c>
      <c r="AD4144">
        <f>IF(U4144="","MISSING_TOTAL",IF(ABS(AB4144)&lt;=0.01,"OK","CHECK"))</f>
        <v/>
      </c>
      <c r="AE4144">
        <f>IF(U4144="","MISSING",IF(AND(AA4144&gt;0,U4144/AA4144&gt;50),"POSSIBLE_SCALE_ERROR","OK"))</f>
        <v/>
      </c>
    </row>
    <row r="4145">
      <c r="A4145" t="inlineStr">
        <is>
          <t>T-2017-Q1-00010</t>
        </is>
      </c>
      <c r="B4145" t="inlineStr">
        <is>
          <t>SLE</t>
        </is>
      </c>
      <c r="C4145" t="inlineStr">
        <is>
          <t>Senior Advisor (Energy)</t>
        </is>
      </c>
      <c r="D4145" t="inlineStr">
        <is>
          <t>Conseiller spécial (energie)</t>
        </is>
      </c>
      <c r="E4145" t="inlineStr">
        <is>
          <t>Andrew F. Noseworthy</t>
        </is>
      </c>
      <c r="F4145" t="inlineStr">
        <is>
          <t>Meetings with officials from the Department of Innovation, Science and Economic Development and Natural Resources Canada</t>
        </is>
      </c>
      <c r="G4145" t="inlineStr">
        <is>
          <t>Réunions avec des fonctionnaires du ministère de l'Innovation, des Sciences et du Développement économique et de Ressources naturelles Canada</t>
        </is>
      </c>
      <c r="H4145" s="1" t="n">
        <v>42450</v>
      </c>
      <c r="I4145" s="1" t="n">
        <v>42451</v>
      </c>
      <c r="J4145" t="inlineStr">
        <is>
          <t>Ottawa, Ontario</t>
        </is>
      </c>
      <c r="K4145" t="inlineStr">
        <is>
          <t>Ottawa (Ontario)</t>
        </is>
      </c>
      <c r="P4145" t="n">
        <v>1294.67</v>
      </c>
      <c r="Q4145" t="n">
        <v>97.5</v>
      </c>
      <c r="R4145" t="n">
        <v>196.7</v>
      </c>
      <c r="S4145" t="n">
        <v>190.1</v>
      </c>
      <c r="T4145" t="n">
        <v>28</v>
      </c>
      <c r="U4145" t="n">
        <v>1806.97</v>
      </c>
      <c r="X4145" t="inlineStr">
        <is>
          <t>acoa-apeca</t>
        </is>
      </c>
      <c r="Y4145" t="inlineStr">
        <is>
          <t>Atlantic Canada Opportunities Agency | Agence de promotion économique du Canada atlantique</t>
        </is>
      </c>
      <c r="Z4145" t="n">
        <v>2</v>
      </c>
      <c r="AA4145" t="n">
        <v>1806.97</v>
      </c>
      <c r="AB4145">
        <f>ROUND(U4145-AA4145,2)</f>
        <v/>
      </c>
      <c r="AC4145" t="b">
        <v>0</v>
      </c>
      <c r="AD4145">
        <f>IF(U4145="","MISSING_TOTAL",IF(ABS(AB4145)&lt;=0.01,"OK","CHECK"))</f>
        <v/>
      </c>
      <c r="AE4145">
        <f>IF(U4145="","MISSING",IF(AND(AA4145&gt;0,U4145/AA4145&gt;50),"POSSIBLE_SCALE_ERROR","OK"))</f>
        <v/>
      </c>
    </row>
    <row r="4146">
      <c r="A4146" t="inlineStr">
        <is>
          <t>T-2017-Q1-00007</t>
        </is>
      </c>
      <c r="B4146" t="inlineStr">
        <is>
          <t>SLE</t>
        </is>
      </c>
      <c r="C4146" t="inlineStr">
        <is>
          <t>Senior Advisor (Energy)</t>
        </is>
      </c>
      <c r="D4146" t="inlineStr">
        <is>
          <t>Conseiller spécial (energie)</t>
        </is>
      </c>
      <c r="E4146" t="inlineStr">
        <is>
          <t>Andrew F. Noseworthy</t>
        </is>
      </c>
      <c r="F4146" t="inlineStr">
        <is>
          <t>Meetings with officials from the Department of Innovation, Science and Economic Development and Natural Resources Canada</t>
        </is>
      </c>
      <c r="G4146" t="inlineStr">
        <is>
          <t>Réunions avec des fonctionnaires du ministère de l'Innovation, des Sciences et du Développement économique et de Ressources naturelles Canada</t>
        </is>
      </c>
      <c r="H4146" s="1" t="n">
        <v>42443</v>
      </c>
      <c r="I4146" s="1" t="n">
        <v>42444</v>
      </c>
      <c r="J4146" t="inlineStr">
        <is>
          <t>Ottawa, Ontario</t>
        </is>
      </c>
      <c r="K4146" t="inlineStr">
        <is>
          <t>Ottawa (Ontario)</t>
        </is>
      </c>
      <c r="P4146" t="n">
        <v>817.3200000000001</v>
      </c>
      <c r="Q4146" t="n">
        <v>100</v>
      </c>
      <c r="R4146" t="n">
        <v>176.91</v>
      </c>
      <c r="S4146" t="n">
        <v>173.55</v>
      </c>
      <c r="T4146" t="n">
        <v>28</v>
      </c>
      <c r="U4146" t="n">
        <v>1295.78</v>
      </c>
      <c r="X4146" t="inlineStr">
        <is>
          <t>acoa-apeca</t>
        </is>
      </c>
      <c r="Y4146" t="inlineStr">
        <is>
          <t>Atlantic Canada Opportunities Agency | Agence de promotion économique du Canada atlantique</t>
        </is>
      </c>
      <c r="Z4146" t="n">
        <v>2</v>
      </c>
      <c r="AA4146" t="n">
        <v>1295.78</v>
      </c>
      <c r="AB4146">
        <f>ROUND(U4146-AA4146,2)</f>
        <v/>
      </c>
      <c r="AC4146" t="b">
        <v>0</v>
      </c>
      <c r="AD4146">
        <f>IF(U4146="","MISSING_TOTAL",IF(ABS(AB4146)&lt;=0.01,"OK","CHECK"))</f>
        <v/>
      </c>
      <c r="AE4146">
        <f>IF(U4146="","MISSING",IF(AND(AA4146&gt;0,U4146/AA4146&gt;50),"POSSIBLE_SCALE_ERROR","OK"))</f>
        <v/>
      </c>
    </row>
    <row r="4147">
      <c r="A4147" t="inlineStr">
        <is>
          <t>T-2016-Q4-00042</t>
        </is>
      </c>
      <c r="B4147" t="inlineStr">
        <is>
          <t>SLE</t>
        </is>
      </c>
      <c r="C4147" t="inlineStr">
        <is>
          <t>Senior Advisor (Energy)</t>
        </is>
      </c>
      <c r="D4147" t="inlineStr">
        <is>
          <t>Conseiller spécial (energie)</t>
        </is>
      </c>
      <c r="E4147" t="inlineStr">
        <is>
          <t>Andrew F. Noseworthy</t>
        </is>
      </c>
      <c r="F4147" t="inlineStr">
        <is>
          <t>Atlantic Canada Energy Sector Trade-Related Events in Edinburgh and Aberdeen; and Atlantic Energy meetings with Canadian High Commission</t>
        </is>
      </c>
      <c r="G4147" t="inlineStr">
        <is>
          <t>Activités commerciales liés au secteur de l'énergie du Canada atlantique à Édimbourg et à Aberdeen; réunions sur l'énergie de l'Atlantique avec le Haut-commissariat du Canada</t>
        </is>
      </c>
      <c r="H4147" s="1" t="n">
        <v>42420</v>
      </c>
      <c r="I4147" s="1" t="n">
        <v>42427</v>
      </c>
      <c r="J4147" t="inlineStr">
        <is>
          <t>London, United Kingdom; Edinburgh, United Kingdom; Aberdeen, United Kingdom; London, United Kingdom</t>
        </is>
      </c>
      <c r="K4147" t="inlineStr">
        <is>
          <t>Londres, Royaume-Uni; Édimbourg, Royaume-Uni; Aberdeen, Royaume-Uni; Londres, Royaume-Uni</t>
        </is>
      </c>
      <c r="P4147" t="n">
        <v>1828.22</v>
      </c>
      <c r="Q4147" t="n">
        <v>438.73</v>
      </c>
      <c r="R4147" t="n">
        <v>1915.68</v>
      </c>
      <c r="S4147" t="n">
        <v>1372.52</v>
      </c>
      <c r="T4147" t="n">
        <v>0</v>
      </c>
      <c r="U4147" t="n">
        <v>5555.15</v>
      </c>
      <c r="X4147" t="inlineStr">
        <is>
          <t>acoa-apeca</t>
        </is>
      </c>
      <c r="Y4147" t="inlineStr">
        <is>
          <t>Atlantic Canada Opportunities Agency | Agence de promotion économique du Canada atlantique</t>
        </is>
      </c>
      <c r="Z4147" t="n">
        <v>8</v>
      </c>
      <c r="AA4147" t="n">
        <v>5555.15</v>
      </c>
      <c r="AB4147">
        <f>ROUND(U4147-AA4147,2)</f>
        <v/>
      </c>
      <c r="AC4147" t="b">
        <v>0</v>
      </c>
      <c r="AD4147">
        <f>IF(U4147="","MISSING_TOTAL",IF(ABS(AB4147)&lt;=0.01,"OK","CHECK"))</f>
        <v/>
      </c>
      <c r="AE4147">
        <f>IF(U4147="","MISSING",IF(AND(AA4147&gt;0,U4147/AA4147&gt;50),"POSSIBLE_SCALE_ERROR","OK"))</f>
        <v/>
      </c>
    </row>
    <row r="4148">
      <c r="A4148" t="inlineStr">
        <is>
          <t>T-2016-Q4-00039</t>
        </is>
      </c>
      <c r="B4148" t="inlineStr">
        <is>
          <t>SLE</t>
        </is>
      </c>
      <c r="C4148" t="inlineStr">
        <is>
          <t>Senior Advisor (Energy)</t>
        </is>
      </c>
      <c r="D4148" t="inlineStr">
        <is>
          <t>Conseiller spécial (energie)</t>
        </is>
      </c>
      <c r="E4148" t="inlineStr">
        <is>
          <t>Andrew F. Noseworthy</t>
        </is>
      </c>
      <c r="F4148" t="inlineStr">
        <is>
          <t>Meeting with Agency and other government officials</t>
        </is>
      </c>
      <c r="G4148" t="inlineStr">
        <is>
          <t>Réunion avec des fonctionnaires de l'Agence et du gouvernement</t>
        </is>
      </c>
      <c r="H4148" s="1" t="n">
        <v>42417</v>
      </c>
      <c r="I4148" s="1" t="n">
        <v>42418</v>
      </c>
      <c r="J4148" t="inlineStr">
        <is>
          <t>Ottawa, Ontario</t>
        </is>
      </c>
      <c r="K4148" t="inlineStr">
        <is>
          <t>Ottawa (Ontario)</t>
        </is>
      </c>
      <c r="P4148" t="n">
        <v>830.85</v>
      </c>
      <c r="Q4148" t="n">
        <v>106</v>
      </c>
      <c r="R4148" t="n">
        <v>196.7</v>
      </c>
      <c r="S4148" t="n">
        <v>129.15</v>
      </c>
      <c r="T4148" t="n">
        <v>9</v>
      </c>
      <c r="U4148" t="n">
        <v>1271.7</v>
      </c>
      <c r="X4148" t="inlineStr">
        <is>
          <t>acoa-apeca</t>
        </is>
      </c>
      <c r="Y4148" t="inlineStr">
        <is>
          <t>Atlantic Canada Opportunities Agency | Agence de promotion économique du Canada atlantique</t>
        </is>
      </c>
      <c r="Z4148" t="n">
        <v>2</v>
      </c>
      <c r="AA4148" t="n">
        <v>1271.7</v>
      </c>
      <c r="AB4148">
        <f>ROUND(U4148-AA4148,2)</f>
        <v/>
      </c>
      <c r="AC4148" t="b">
        <v>0</v>
      </c>
      <c r="AD4148">
        <f>IF(U4148="","MISSING_TOTAL",IF(ABS(AB4148)&lt;=0.01,"OK","CHECK"))</f>
        <v/>
      </c>
      <c r="AE4148">
        <f>IF(U4148="","MISSING",IF(AND(AA4148&gt;0,U4148/AA4148&gt;50),"POSSIBLE_SCALE_ERROR","OK"))</f>
        <v/>
      </c>
    </row>
    <row r="4149">
      <c r="A4149" t="inlineStr">
        <is>
          <t>T-2016-Q4-00028</t>
        </is>
      </c>
      <c r="B4149" t="inlineStr">
        <is>
          <t>SLE</t>
        </is>
      </c>
      <c r="C4149" t="inlineStr">
        <is>
          <t>Senior Advisor (Energy)</t>
        </is>
      </c>
      <c r="D4149" t="inlineStr">
        <is>
          <t>Conseiller spécial (energie)</t>
        </is>
      </c>
      <c r="E4149" t="inlineStr">
        <is>
          <t>Andrew F. Noseworthy</t>
        </is>
      </c>
      <c r="F4149" t="inlineStr">
        <is>
          <t>Executive Committee Meeting</t>
        </is>
      </c>
      <c r="G4149" t="inlineStr">
        <is>
          <t>Réunion du Comité de direction</t>
        </is>
      </c>
      <c r="H4149" s="1" t="n">
        <v>42396</v>
      </c>
      <c r="I4149" s="1" t="n">
        <v>42397</v>
      </c>
      <c r="J4149" t="inlineStr">
        <is>
          <t>Moncton, New Brunswick</t>
        </is>
      </c>
      <c r="K4149" t="inlineStr">
        <is>
          <t>Moncton (Nouveau-Brunswick)</t>
        </is>
      </c>
      <c r="P4149" t="n">
        <v>842.36</v>
      </c>
      <c r="Q4149" t="n">
        <v>50</v>
      </c>
      <c r="R4149" t="n">
        <v>113</v>
      </c>
      <c r="S4149" t="n">
        <v>139.95</v>
      </c>
      <c r="T4149" t="n">
        <v>49.25</v>
      </c>
      <c r="U4149" t="n">
        <v>1194.56</v>
      </c>
      <c r="X4149" t="inlineStr">
        <is>
          <t>acoa-apeca</t>
        </is>
      </c>
      <c r="Y4149" t="inlineStr">
        <is>
          <t>Atlantic Canada Opportunities Agency | Agence de promotion économique du Canada atlantique</t>
        </is>
      </c>
      <c r="Z4149" t="n">
        <v>2</v>
      </c>
      <c r="AA4149" t="n">
        <v>1194.56</v>
      </c>
      <c r="AB4149">
        <f>ROUND(U4149-AA4149,2)</f>
        <v/>
      </c>
      <c r="AC4149" t="b">
        <v>0</v>
      </c>
      <c r="AD4149">
        <f>IF(U4149="","MISSING_TOTAL",IF(ABS(AB4149)&lt;=0.01,"OK","CHECK"))</f>
        <v/>
      </c>
      <c r="AE4149">
        <f>IF(U4149="","MISSING",IF(AND(AA4149&gt;0,U4149/AA4149&gt;50),"POSSIBLE_SCALE_ERROR","OK"))</f>
        <v/>
      </c>
    </row>
    <row r="4150">
      <c r="A4150" t="inlineStr">
        <is>
          <t>T-2016-Q4-00020</t>
        </is>
      </c>
      <c r="B4150" t="inlineStr">
        <is>
          <t>SLE</t>
        </is>
      </c>
      <c r="C4150" t="inlineStr">
        <is>
          <t>Senior Advisor (Energy)</t>
        </is>
      </c>
      <c r="D4150" t="inlineStr">
        <is>
          <t>Conseiller spécial (energie)</t>
        </is>
      </c>
      <c r="E4150" t="inlineStr">
        <is>
          <t>Andrew F. Noseworthy</t>
        </is>
      </c>
      <c r="F4150" t="inlineStr">
        <is>
          <t>Natural Resources Canada Ministerial Roundtable and meetings with Industry</t>
        </is>
      </c>
      <c r="G4150" t="inlineStr">
        <is>
          <t>Table ronde ministérielle de Ressources naturelles Canada et réunions avec l'industrie</t>
        </is>
      </c>
      <c r="H4150" s="1" t="n">
        <v>42389</v>
      </c>
      <c r="I4150" s="1" t="n">
        <v>42389</v>
      </c>
      <c r="J4150" t="inlineStr">
        <is>
          <t>Halifax, Nova Scotia</t>
        </is>
      </c>
      <c r="K4150" t="inlineStr">
        <is>
          <t>Halifax (Nouvelle-Écosse)</t>
        </is>
      </c>
      <c r="P4150" t="n">
        <v>937.67</v>
      </c>
      <c r="Q4150" t="n">
        <v>157.54</v>
      </c>
      <c r="R4150" t="n">
        <v>0</v>
      </c>
      <c r="S4150" t="n">
        <v>61.2</v>
      </c>
      <c r="T4150" t="n">
        <v>14</v>
      </c>
      <c r="U4150" t="n">
        <v>1170.41</v>
      </c>
      <c r="X4150" t="inlineStr">
        <is>
          <t>acoa-apeca</t>
        </is>
      </c>
      <c r="Y4150" t="inlineStr">
        <is>
          <t>Atlantic Canada Opportunities Agency | Agence de promotion économique du Canada atlantique</t>
        </is>
      </c>
      <c r="Z4150" t="n">
        <v>1</v>
      </c>
      <c r="AA4150" t="n">
        <v>1170.41</v>
      </c>
      <c r="AB4150">
        <f>ROUND(U4150-AA4150,2)</f>
        <v/>
      </c>
      <c r="AC4150" t="b">
        <v>0</v>
      </c>
      <c r="AD4150">
        <f>IF(U4150="","MISSING_TOTAL",IF(ABS(AB4150)&lt;=0.01,"OK","CHECK"))</f>
        <v/>
      </c>
      <c r="AE4150">
        <f>IF(U4150="","MISSING",IF(AND(AA4150&gt;0,U4150/AA4150&gt;50),"POSSIBLE_SCALE_ERROR","OK"))</f>
        <v/>
      </c>
    </row>
    <row r="4151">
      <c r="A4151" t="inlineStr">
        <is>
          <t>T-2016-Q4-00018</t>
        </is>
      </c>
      <c r="B4151" t="inlineStr">
        <is>
          <t>SLE</t>
        </is>
      </c>
      <c r="C4151" t="inlineStr">
        <is>
          <t>Senior Advisor (Energy)</t>
        </is>
      </c>
      <c r="D4151" t="inlineStr">
        <is>
          <t>Conseiller spécial (energie)</t>
        </is>
      </c>
      <c r="E4151" t="inlineStr">
        <is>
          <t>Andrew F. Noseworthy</t>
        </is>
      </c>
      <c r="F4151" t="inlineStr">
        <is>
          <t>Energy meetings with provincial Energy  and association officials; Clean Tech meeting and Pictou site visit</t>
        </is>
      </c>
      <c r="G4151" t="inlineStr">
        <is>
          <t>Réunions sur l'énergie avec des fonctionnaires provinciaux et des représentants de l'association; réunion sur les technologies propres et visite des lieux à Pictou</t>
        </is>
      </c>
      <c r="H4151" s="1" t="n">
        <v>42382</v>
      </c>
      <c r="I4151" s="1" t="n">
        <v>42383</v>
      </c>
      <c r="J4151" t="inlineStr">
        <is>
          <t>Halifax, Nova Scotia; Pictou, Nova Scotia</t>
        </is>
      </c>
      <c r="K4151" t="inlineStr">
        <is>
          <t>Halifax (Nouvelle-Écosse); Pictou (Nouvelle-Écosse)</t>
        </is>
      </c>
      <c r="P4151" t="n">
        <v>953.15</v>
      </c>
      <c r="Q4151" t="n">
        <v>70</v>
      </c>
      <c r="R4151" t="n">
        <v>146.63</v>
      </c>
      <c r="S4151" t="n">
        <v>173.55</v>
      </c>
      <c r="T4151" t="n">
        <v>28</v>
      </c>
      <c r="U4151" t="n">
        <v>1371.33</v>
      </c>
      <c r="X4151" t="inlineStr">
        <is>
          <t>acoa-apeca</t>
        </is>
      </c>
      <c r="Y4151" t="inlineStr">
        <is>
          <t>Atlantic Canada Opportunities Agency | Agence de promotion économique du Canada atlantique</t>
        </is>
      </c>
      <c r="Z4151" t="n">
        <v>2</v>
      </c>
      <c r="AA4151" t="n">
        <v>1371.33</v>
      </c>
      <c r="AB4151">
        <f>ROUND(U4151-AA4151,2)</f>
        <v/>
      </c>
      <c r="AC4151" t="b">
        <v>0</v>
      </c>
      <c r="AD4151">
        <f>IF(U4151="","MISSING_TOTAL",IF(ABS(AB4151)&lt;=0.01,"OK","CHECK"))</f>
        <v/>
      </c>
      <c r="AE4151">
        <f>IF(U4151="","MISSING",IF(AND(AA4151&gt;0,U4151/AA4151&gt;50),"POSSIBLE_SCALE_ERROR","OK"))</f>
        <v/>
      </c>
    </row>
    <row r="4152">
      <c r="A4152" t="inlineStr">
        <is>
          <t>T-2016-Q4-00016</t>
        </is>
      </c>
      <c r="B4152" t="inlineStr">
        <is>
          <t>SLE</t>
        </is>
      </c>
      <c r="C4152" t="inlineStr">
        <is>
          <t>Senior Advisor (Energy)</t>
        </is>
      </c>
      <c r="D4152" t="inlineStr">
        <is>
          <t>Conseiller spécial (energie)</t>
        </is>
      </c>
      <c r="E4152" t="inlineStr">
        <is>
          <t>Andrew F. Noseworthy</t>
        </is>
      </c>
      <c r="F4152" t="inlineStr">
        <is>
          <t>Meeting with government, utilities and Agency staff in New Brunswick on Clean Tech Sector; meetings with Energy industry and association officials</t>
        </is>
      </c>
      <c r="G4152" t="inlineStr">
        <is>
          <t>Réunion sur le secteur des technologies propres avec des employés de l'Agence, du gouvernement et des services publics du Nouveau-Brunswick; réunions avec des représentants de l'industrie et de l'association de l'énergie</t>
        </is>
      </c>
      <c r="H4152" s="1" t="n">
        <v>42375</v>
      </c>
      <c r="I4152" s="1" t="n">
        <v>42376</v>
      </c>
      <c r="J4152" t="inlineStr">
        <is>
          <t>Fredericton, New Brunswick; Saint John, New Brunswick</t>
        </is>
      </c>
      <c r="K4152" t="inlineStr">
        <is>
          <t>Fredericton (Nouveau-Brunswick); Saint John (Nouveau-Brunswick)</t>
        </is>
      </c>
      <c r="P4152" t="n">
        <v>746.99</v>
      </c>
      <c r="Q4152" t="n">
        <v>0</v>
      </c>
      <c r="R4152" t="n">
        <v>122.21</v>
      </c>
      <c r="S4152" t="n">
        <v>112.35</v>
      </c>
      <c r="T4152" t="n">
        <v>39</v>
      </c>
      <c r="U4152" t="n">
        <v>1020.55</v>
      </c>
      <c r="X4152" t="inlineStr">
        <is>
          <t>acoa-apeca</t>
        </is>
      </c>
      <c r="Y4152" t="inlineStr">
        <is>
          <t>Atlantic Canada Opportunities Agency | Agence de promotion économique du Canada atlantique</t>
        </is>
      </c>
      <c r="Z4152" t="n">
        <v>2</v>
      </c>
      <c r="AA4152" t="n">
        <v>1020.55</v>
      </c>
      <c r="AB4152">
        <f>ROUND(U4152-AA4152,2)</f>
        <v/>
      </c>
      <c r="AC4152" t="b">
        <v>0</v>
      </c>
      <c r="AD4152">
        <f>IF(U4152="","MISSING_TOTAL",IF(ABS(AB4152)&lt;=0.01,"OK","CHECK"))</f>
        <v/>
      </c>
      <c r="AE4152">
        <f>IF(U4152="","MISSING",IF(AND(AA4152&gt;0,U4152/AA4152&gt;50),"POSSIBLE_SCALE_ERROR","OK"))</f>
        <v/>
      </c>
    </row>
    <row r="4153">
      <c r="A4153" t="inlineStr">
        <is>
          <t>T-2018-Q2-00054</t>
        </is>
      </c>
      <c r="B4153" t="inlineStr">
        <is>
          <t>SLE</t>
        </is>
      </c>
      <c r="C4153" t="inlineStr">
        <is>
          <t>Vice-President, New Brunswick</t>
        </is>
      </c>
      <c r="D4153" t="inlineStr">
        <is>
          <t>Vice-président, Nouveau-Brunswick</t>
        </is>
      </c>
      <c r="E4153" t="inlineStr">
        <is>
          <t>Kent Estabrooks</t>
        </is>
      </c>
      <c r="F4153" t="inlineStr">
        <is>
          <t>Meeting with a client</t>
        </is>
      </c>
      <c r="G4153" t="inlineStr">
        <is>
          <t>Réunion avec un client</t>
        </is>
      </c>
      <c r="H4153" s="1" t="n">
        <v>42914</v>
      </c>
      <c r="I4153" s="1" t="n">
        <v>42914</v>
      </c>
      <c r="J4153" t="inlineStr">
        <is>
          <t>Saint John, New Brunswick</t>
        </is>
      </c>
      <c r="K4153" t="inlineStr">
        <is>
          <t>Saint John (Nouveau-Brunswick)</t>
        </is>
      </c>
      <c r="P4153" t="n">
        <v>0</v>
      </c>
      <c r="Q4153" t="n">
        <v>0</v>
      </c>
      <c r="R4153" t="n">
        <v>0</v>
      </c>
      <c r="S4153" t="n">
        <v>18.05</v>
      </c>
      <c r="T4153" t="n">
        <v>0</v>
      </c>
      <c r="U4153" t="n">
        <v>18.05</v>
      </c>
      <c r="X4153" t="inlineStr">
        <is>
          <t>acoa-apeca</t>
        </is>
      </c>
      <c r="Y4153" t="inlineStr">
        <is>
          <t>Atlantic Canada Opportunities Agency | Agence de promotion économique du Canada atlantique</t>
        </is>
      </c>
      <c r="Z4153" t="n">
        <v>1</v>
      </c>
      <c r="AA4153" t="n">
        <v>18.05</v>
      </c>
      <c r="AB4153">
        <f>ROUND(U4153-AA4153,2)</f>
        <v/>
      </c>
      <c r="AC4153" t="b">
        <v>0</v>
      </c>
      <c r="AD4153">
        <f>IF(U4153="","MISSING_TOTAL",IF(ABS(AB4153)&lt;=0.01,"OK","CHECK"))</f>
        <v/>
      </c>
      <c r="AE4153">
        <f>IF(U4153="","MISSING",IF(AND(AA4153&gt;0,U4153/AA4153&gt;50),"POSSIBLE_SCALE_ERROR","OK"))</f>
        <v/>
      </c>
    </row>
    <row r="4154">
      <c r="A4154" t="inlineStr">
        <is>
          <t>T-2016-Q4-00003</t>
        </is>
      </c>
      <c r="B4154" t="inlineStr">
        <is>
          <t>SLE</t>
        </is>
      </c>
      <c r="C4154" t="inlineStr">
        <is>
          <t>Senior Advisor (Energy)</t>
        </is>
      </c>
      <c r="D4154" t="inlineStr">
        <is>
          <t>Conseiller spécial (energie)</t>
        </is>
      </c>
      <c r="E4154" t="inlineStr">
        <is>
          <t>Andrew F. Noseworthy</t>
        </is>
      </c>
      <c r="F4154" t="inlineStr">
        <is>
          <t>Executive Committee meeting; meeting with Agency's International Business Development group</t>
        </is>
      </c>
      <c r="G4154" t="inlineStr">
        <is>
          <t>Réunion du Comité de direction; réunion avec le groupe de Promotion du commerce extérieur de l'Agence</t>
        </is>
      </c>
      <c r="H4154" s="1" t="n">
        <v>42340</v>
      </c>
      <c r="I4154" s="1" t="n">
        <v>42342</v>
      </c>
      <c r="J4154" t="inlineStr">
        <is>
          <t>Moncton, New Brunswick</t>
        </is>
      </c>
      <c r="K4154" t="inlineStr">
        <is>
          <t>Moncton (Nouveau-Brunswick)</t>
        </is>
      </c>
      <c r="P4154" t="n">
        <v>666.98</v>
      </c>
      <c r="Q4154" t="n">
        <v>85</v>
      </c>
      <c r="R4154" t="n">
        <v>246.34</v>
      </c>
      <c r="S4154" t="n">
        <v>190.6</v>
      </c>
      <c r="T4154" t="n">
        <v>54.5</v>
      </c>
      <c r="U4154" t="n">
        <v>1243.42</v>
      </c>
      <c r="X4154" t="inlineStr">
        <is>
          <t>acoa-apeca</t>
        </is>
      </c>
      <c r="Y4154" t="inlineStr">
        <is>
          <t>Atlantic Canada Opportunities Agency | Agence de promotion économique du Canada atlantique</t>
        </is>
      </c>
      <c r="Z4154" t="n">
        <v>3</v>
      </c>
      <c r="AA4154" t="n">
        <v>1243.42</v>
      </c>
      <c r="AB4154">
        <f>ROUND(U4154-AA4154,2)</f>
        <v/>
      </c>
      <c r="AC4154" t="b">
        <v>0</v>
      </c>
      <c r="AD4154">
        <f>IF(U4154="","MISSING_TOTAL",IF(ABS(AB4154)&lt;=0.01,"OK","CHECK"))</f>
        <v/>
      </c>
      <c r="AE4154">
        <f>IF(U4154="","MISSING",IF(AND(AA4154&gt;0,U4154/AA4154&gt;50),"POSSIBLE_SCALE_ERROR","OK"))</f>
        <v/>
      </c>
    </row>
    <row r="4155">
      <c r="A4155" t="inlineStr">
        <is>
          <t>T-2016-Q3-00046</t>
        </is>
      </c>
      <c r="B4155" t="inlineStr">
        <is>
          <t>SLE</t>
        </is>
      </c>
      <c r="C4155" t="inlineStr">
        <is>
          <t>Senior Advisor (Energy)</t>
        </is>
      </c>
      <c r="D4155" t="inlineStr">
        <is>
          <t>Conseiller spécial (energie)</t>
        </is>
      </c>
      <c r="E4155" t="inlineStr">
        <is>
          <t>Andrew F. Noseworthy</t>
        </is>
      </c>
      <c r="F4155" t="inlineStr">
        <is>
          <t>Attend Energy, Trade and Technology Conference; meetings with Canadian Consulate and industry officials in Boston</t>
        </is>
      </c>
      <c r="G4155" t="inlineStr">
        <is>
          <t>Assister à la conférence sur l'énergie, le commerce et la technologie; réunions avec des représentants du consulat canadien et de l'industrie à Boston</t>
        </is>
      </c>
      <c r="H4155" s="1" t="n">
        <v>42318</v>
      </c>
      <c r="I4155" s="1" t="n">
        <v>42322</v>
      </c>
      <c r="J4155" t="inlineStr">
        <is>
          <t>Boston, Massachusetts</t>
        </is>
      </c>
      <c r="K4155" t="inlineStr">
        <is>
          <t>Boston (Massachusetts)</t>
        </is>
      </c>
      <c r="P4155" t="n">
        <v>794.62</v>
      </c>
      <c r="Q4155" t="n">
        <v>169.44</v>
      </c>
      <c r="R4155" t="n">
        <v>1959.2</v>
      </c>
      <c r="S4155" t="n">
        <v>483.76</v>
      </c>
      <c r="T4155" t="n">
        <v>85.75</v>
      </c>
      <c r="U4155" t="n">
        <v>3492.77</v>
      </c>
      <c r="X4155" t="inlineStr">
        <is>
          <t>acoa-apeca</t>
        </is>
      </c>
      <c r="Y4155" t="inlineStr">
        <is>
          <t>Atlantic Canada Opportunities Agency | Agence de promotion économique du Canada atlantique</t>
        </is>
      </c>
      <c r="Z4155" t="n">
        <v>5</v>
      </c>
      <c r="AA4155" t="n">
        <v>3492.77</v>
      </c>
      <c r="AB4155">
        <f>ROUND(U4155-AA4155,2)</f>
        <v/>
      </c>
      <c r="AC4155" t="b">
        <v>0</v>
      </c>
      <c r="AD4155">
        <f>IF(U4155="","MISSING_TOTAL",IF(ABS(AB4155)&lt;=0.01,"OK","CHECK"))</f>
        <v/>
      </c>
      <c r="AE4155">
        <f>IF(U4155="","MISSING",IF(AND(AA4155&gt;0,U4155/AA4155&gt;50),"POSSIBLE_SCALE_ERROR","OK"))</f>
        <v/>
      </c>
    </row>
    <row r="4156">
      <c r="A4156" t="inlineStr">
        <is>
          <t>T-2016-Q3-00037</t>
        </is>
      </c>
      <c r="B4156" t="inlineStr">
        <is>
          <t>SLE</t>
        </is>
      </c>
      <c r="C4156" t="inlineStr">
        <is>
          <t>Senior Advisor (Energy)</t>
        </is>
      </c>
      <c r="D4156" t="inlineStr">
        <is>
          <t>Conseiller spécial (energie)</t>
        </is>
      </c>
      <c r="E4156" t="inlineStr">
        <is>
          <t>Andrew F. Noseworthy</t>
        </is>
      </c>
      <c r="F4156" t="inlineStr">
        <is>
          <t>Attend Executive Committee meeting</t>
        </is>
      </c>
      <c r="G4156" t="inlineStr">
        <is>
          <t>Assister à une réunion du Comité de direction</t>
        </is>
      </c>
      <c r="H4156" s="1" t="n">
        <v>42305</v>
      </c>
      <c r="I4156" s="1" t="n">
        <v>42306</v>
      </c>
      <c r="J4156" t="inlineStr">
        <is>
          <t>Moncton, New Brunswick</t>
        </is>
      </c>
      <c r="K4156" t="inlineStr">
        <is>
          <t>Moncton (Nouveau-Brunswick)</t>
        </is>
      </c>
      <c r="P4156" t="n">
        <v>1218.69</v>
      </c>
      <c r="Q4156" t="n">
        <v>48</v>
      </c>
      <c r="R4156" t="n">
        <v>123.17</v>
      </c>
      <c r="S4156" t="n">
        <v>156.75</v>
      </c>
      <c r="T4156" t="n">
        <v>35</v>
      </c>
      <c r="U4156" t="n">
        <v>1581.61</v>
      </c>
      <c r="X4156" t="inlineStr">
        <is>
          <t>acoa-apeca</t>
        </is>
      </c>
      <c r="Y4156" t="inlineStr">
        <is>
          <t>Atlantic Canada Opportunities Agency | Agence de promotion économique du Canada atlantique</t>
        </is>
      </c>
      <c r="Z4156" t="n">
        <v>2</v>
      </c>
      <c r="AA4156" t="n">
        <v>1581.61</v>
      </c>
      <c r="AB4156">
        <f>ROUND(U4156-AA4156,2)</f>
        <v/>
      </c>
      <c r="AC4156" t="b">
        <v>0</v>
      </c>
      <c r="AD4156">
        <f>IF(U4156="","MISSING_TOTAL",IF(ABS(AB4156)&lt;=0.01,"OK","CHECK"))</f>
        <v/>
      </c>
      <c r="AE4156">
        <f>IF(U4156="","MISSING",IF(AND(AA4156&gt;0,U4156/AA4156&gt;50),"POSSIBLE_SCALE_ERROR","OK"))</f>
        <v/>
      </c>
    </row>
    <row r="4157">
      <c r="A4157" t="inlineStr">
        <is>
          <t>T-2016-Q3-00035</t>
        </is>
      </c>
      <c r="B4157" t="inlineStr">
        <is>
          <t>SLE</t>
        </is>
      </c>
      <c r="C4157" t="inlineStr">
        <is>
          <t>Senior Advisor (Energy)</t>
        </is>
      </c>
      <c r="D4157" t="inlineStr">
        <is>
          <t>Conseiller spécial (energie)</t>
        </is>
      </c>
      <c r="E4157" t="inlineStr">
        <is>
          <t>Andrew F. Noseworthy</t>
        </is>
      </c>
      <c r="F4157" t="inlineStr">
        <is>
          <t>Meetings with Energy Industry and Association officials; meeting with Nova Scotia Agency staff</t>
        </is>
      </c>
      <c r="G4157" t="inlineStr">
        <is>
          <t>Réunions avec des représentants de l'association et de l'industrie de l'énergie; réunion avec des employés du bureau de l'APECA en Nouvelle-Écosse</t>
        </is>
      </c>
      <c r="H4157" s="1" t="n">
        <v>42302</v>
      </c>
      <c r="I4157" s="1" t="n">
        <v>42303</v>
      </c>
      <c r="J4157" t="inlineStr">
        <is>
          <t>Halifax, Nova Scotia</t>
        </is>
      </c>
      <c r="K4157" t="inlineStr">
        <is>
          <t>Halifax (Nouvelle-Écosse)</t>
        </is>
      </c>
      <c r="P4157" t="n">
        <v>731.8099999999999</v>
      </c>
      <c r="Q4157" t="n">
        <v>140</v>
      </c>
      <c r="R4157" t="n">
        <v>174.78</v>
      </c>
      <c r="S4157" t="n">
        <v>112.35</v>
      </c>
      <c r="T4157" t="n">
        <v>61.3</v>
      </c>
      <c r="U4157" t="n">
        <v>1220.24</v>
      </c>
      <c r="X4157" t="inlineStr">
        <is>
          <t>acoa-apeca</t>
        </is>
      </c>
      <c r="Y4157" t="inlineStr">
        <is>
          <t>Atlantic Canada Opportunities Agency | Agence de promotion économique du Canada atlantique</t>
        </is>
      </c>
      <c r="Z4157" t="n">
        <v>2</v>
      </c>
      <c r="AA4157" t="n">
        <v>1220.23999999999</v>
      </c>
      <c r="AB4157">
        <f>ROUND(U4157-AA4157,2)</f>
        <v/>
      </c>
      <c r="AC4157" t="b">
        <v>0</v>
      </c>
      <c r="AD4157">
        <f>IF(U4157="","MISSING_TOTAL",IF(ABS(AB4157)&lt;=0.01,"OK","CHECK"))</f>
        <v/>
      </c>
      <c r="AE4157">
        <f>IF(U4157="","MISSING",IF(AND(AA4157&gt;0,U4157/AA4157&gt;50),"POSSIBLE_SCALE_ERROR","OK"))</f>
        <v/>
      </c>
    </row>
    <row r="4158">
      <c r="A4158" t="inlineStr">
        <is>
          <t>T-2016-Q3-00019</t>
        </is>
      </c>
      <c r="B4158" t="inlineStr">
        <is>
          <t>SLE</t>
        </is>
      </c>
      <c r="C4158" t="inlineStr">
        <is>
          <t>Senior Advisor (Energy)</t>
        </is>
      </c>
      <c r="D4158" t="inlineStr">
        <is>
          <t>Conseiller spécial (energie)</t>
        </is>
      </c>
      <c r="E4158" t="inlineStr">
        <is>
          <t>Andrew F. Noseworthy</t>
        </is>
      </c>
      <c r="F4158" t="inlineStr">
        <is>
          <t>Attend Core Energy Conference 2015; various energy related meetings with industry officials; meeting with Agency staff</t>
        </is>
      </c>
      <c r="G4158" t="inlineStr">
        <is>
          <t>Assister à la conférence sur l'énergie 2015 de Core; réunions liées à l'énergie avec des représentants de l'industrie; réunion avec des employés de l'Agence</t>
        </is>
      </c>
      <c r="H4158" s="1" t="n">
        <v>42275</v>
      </c>
      <c r="I4158" s="1" t="n">
        <v>42277</v>
      </c>
      <c r="J4158" t="inlineStr">
        <is>
          <t>Halifax, Nova Scotia</t>
        </is>
      </c>
      <c r="K4158" t="inlineStr">
        <is>
          <t>Halifax (Nouvelle-Écosse)</t>
        </is>
      </c>
      <c r="P4158" t="n">
        <v>734.15</v>
      </c>
      <c r="Q4158" t="n">
        <v>140</v>
      </c>
      <c r="R4158" t="n">
        <v>373.02</v>
      </c>
      <c r="S4158" t="n">
        <v>137.5</v>
      </c>
      <c r="T4158" t="n">
        <v>67</v>
      </c>
      <c r="U4158" t="n">
        <v>1451.67</v>
      </c>
      <c r="X4158" t="inlineStr">
        <is>
          <t>acoa-apeca</t>
        </is>
      </c>
      <c r="Y4158" t="inlineStr">
        <is>
          <t>Atlantic Canada Opportunities Agency | Agence de promotion économique du Canada atlantique</t>
        </is>
      </c>
      <c r="Z4158" t="n">
        <v>3</v>
      </c>
      <c r="AA4158" t="n">
        <v>1451.67</v>
      </c>
      <c r="AB4158">
        <f>ROUND(U4158-AA4158,2)</f>
        <v/>
      </c>
      <c r="AC4158" t="b">
        <v>0</v>
      </c>
      <c r="AD4158">
        <f>IF(U4158="","MISSING_TOTAL",IF(ABS(AB4158)&lt;=0.01,"OK","CHECK"))</f>
        <v/>
      </c>
      <c r="AE4158">
        <f>IF(U4158="","MISSING",IF(AND(AA4158&gt;0,U4158/AA4158&gt;50),"POSSIBLE_SCALE_ERROR","OK"))</f>
        <v/>
      </c>
    </row>
    <row r="4159">
      <c r="A4159" t="inlineStr">
        <is>
          <t>T-2016-Q2-00052</t>
        </is>
      </c>
      <c r="B4159" t="inlineStr">
        <is>
          <t>SLE</t>
        </is>
      </c>
      <c r="C4159" t="inlineStr">
        <is>
          <t>Senior Advisor (Energy)</t>
        </is>
      </c>
      <c r="D4159" t="inlineStr">
        <is>
          <t>Conseiller spécial (energie)</t>
        </is>
      </c>
      <c r="E4159" t="inlineStr">
        <is>
          <t>Andrew F. Noseworthy</t>
        </is>
      </c>
      <c r="F4159" t="inlineStr">
        <is>
          <t>Deepwater Steering Committee Study Tour visits to Harstad and Stavanger, Norway; Offshore Europe 2015 conference in Aberdeen; meetings with High Commission staff in London</t>
        </is>
      </c>
      <c r="G4159" t="inlineStr">
        <is>
          <t>Voyage d'observation du comité directeur d'activités en eaux profondes à Harstad et Stavanger (Norvège); conférence Offshore Europe 2015 à Aberdeen; réunions avec le personnel du Haut-commissariat à Londres</t>
        </is>
      </c>
      <c r="H4159" s="1" t="n">
        <v>42248</v>
      </c>
      <c r="I4159" s="1" t="n">
        <v>42259</v>
      </c>
      <c r="J4159" t="inlineStr">
        <is>
          <t>Harstad, Norway; Stavanger, Norway; Aberdeen, Scotland; London, United Kingdom</t>
        </is>
      </c>
      <c r="K4159" t="inlineStr">
        <is>
          <t>Harstad (Norvège); Stavanger (Norvège); Aberdeen (Écosse); Londres (Royaume-Uni)</t>
        </is>
      </c>
      <c r="P4159" t="n">
        <v>2846.11</v>
      </c>
      <c r="Q4159" t="n">
        <v>690.5700000000001</v>
      </c>
      <c r="R4159" t="n">
        <v>4683.22</v>
      </c>
      <c r="S4159" t="n">
        <v>1963.1</v>
      </c>
      <c r="T4159" t="n">
        <v>0</v>
      </c>
      <c r="U4159" t="n">
        <v>10183</v>
      </c>
      <c r="X4159" t="inlineStr">
        <is>
          <t>acoa-apeca</t>
        </is>
      </c>
      <c r="Y4159" t="inlineStr">
        <is>
          <t>Atlantic Canada Opportunities Agency | Agence de promotion économique du Canada atlantique</t>
        </is>
      </c>
      <c r="Z4159" t="n">
        <v>12</v>
      </c>
      <c r="AA4159" t="n">
        <v>10183</v>
      </c>
      <c r="AB4159">
        <f>ROUND(U4159-AA4159,2)</f>
        <v/>
      </c>
      <c r="AC4159" t="b">
        <v>0</v>
      </c>
      <c r="AD4159">
        <f>IF(U4159="","MISSING_TOTAL",IF(ABS(AB4159)&lt;=0.01,"OK","CHECK"))</f>
        <v/>
      </c>
      <c r="AE4159">
        <f>IF(U4159="","MISSING",IF(AND(AA4159&gt;0,U4159/AA4159&gt;50),"POSSIBLE_SCALE_ERROR","OK"))</f>
        <v/>
      </c>
    </row>
    <row r="4160">
      <c r="A4160" t="inlineStr">
        <is>
          <t>T-2016-Q2-00039</t>
        </is>
      </c>
      <c r="B4160" t="inlineStr">
        <is>
          <t>SLE</t>
        </is>
      </c>
      <c r="C4160" t="inlineStr">
        <is>
          <t>Senior Advisor (Energy)</t>
        </is>
      </c>
      <c r="D4160" t="inlineStr">
        <is>
          <t>Conseiller spécial (energie)</t>
        </is>
      </c>
      <c r="E4160" t="inlineStr">
        <is>
          <t>Andrew F. Noseworthy</t>
        </is>
      </c>
      <c r="F4160" t="inlineStr">
        <is>
          <t>Attend the Energy and Mines Ministers' Conference; meeting with Energy office staff; meetings with Industry officials</t>
        </is>
      </c>
      <c r="G4160" t="inlineStr">
        <is>
          <t>Assister à la conférence des ministres de l'Énergie et des Mines; réunion avec le personnel de l'office de l'énergie; réunions avec des représentants d'Industrie</t>
        </is>
      </c>
      <c r="H4160" s="1" t="n">
        <v>42205</v>
      </c>
      <c r="I4160" s="1" t="n">
        <v>42205</v>
      </c>
      <c r="J4160" t="inlineStr">
        <is>
          <t>Halifax, Nova Scotia</t>
        </is>
      </c>
      <c r="K4160" t="inlineStr">
        <is>
          <t>Halifax (Nouvelle-Écosse)</t>
        </is>
      </c>
      <c r="P4160" t="n">
        <v>969.87</v>
      </c>
      <c r="Q4160" t="n">
        <v>140</v>
      </c>
      <c r="R4160" t="n">
        <v>0</v>
      </c>
      <c r="S4160" t="n">
        <v>42.8</v>
      </c>
      <c r="T4160" t="n">
        <v>0</v>
      </c>
      <c r="U4160" t="n">
        <v>1152.67</v>
      </c>
      <c r="X4160" t="inlineStr">
        <is>
          <t>acoa-apeca</t>
        </is>
      </c>
      <c r="Y4160" t="inlineStr">
        <is>
          <t>Atlantic Canada Opportunities Agency | Agence de promotion économique du Canada atlantique</t>
        </is>
      </c>
      <c r="Z4160" t="n">
        <v>1</v>
      </c>
      <c r="AA4160" t="n">
        <v>1152.66999999999</v>
      </c>
      <c r="AB4160">
        <f>ROUND(U4160-AA4160,2)</f>
        <v/>
      </c>
      <c r="AC4160" t="b">
        <v>0</v>
      </c>
      <c r="AD4160">
        <f>IF(U4160="","MISSING_TOTAL",IF(ABS(AB4160)&lt;=0.01,"OK","CHECK"))</f>
        <v/>
      </c>
      <c r="AE4160">
        <f>IF(U4160="","MISSING",IF(AND(AA4160&gt;0,U4160/AA4160&gt;50),"POSSIBLE_SCALE_ERROR","OK"))</f>
        <v/>
      </c>
    </row>
    <row r="4161">
      <c r="A4161" t="inlineStr">
        <is>
          <t>T-2016-Q2-00030</t>
        </is>
      </c>
      <c r="B4161" t="inlineStr">
        <is>
          <t>SLE</t>
        </is>
      </c>
      <c r="C4161" t="inlineStr">
        <is>
          <t>Senior Advisor (Energy)</t>
        </is>
      </c>
      <c r="D4161" t="inlineStr">
        <is>
          <t>Conseiller spécial (energie)</t>
        </is>
      </c>
      <c r="E4161" t="inlineStr">
        <is>
          <t>Andrew F. Noseworthy</t>
        </is>
      </c>
      <c r="F4161" t="inlineStr">
        <is>
          <t>Meetings with senior officials from Natural Resources Canada; and senior Agency officials</t>
        </is>
      </c>
      <c r="G4161" t="inlineStr">
        <is>
          <t>Réunions avec des hauts fonctionnaires de Ressources naturelles Canada et de l'Agence</t>
        </is>
      </c>
      <c r="H4161" s="1" t="n">
        <v>42193</v>
      </c>
      <c r="I4161" s="1" t="n">
        <v>42194</v>
      </c>
      <c r="J4161" t="inlineStr">
        <is>
          <t>Ottawa, Ontario</t>
        </is>
      </c>
      <c r="K4161" t="inlineStr">
        <is>
          <t>Ottawa (Ontario)</t>
        </is>
      </c>
      <c r="P4161" t="n">
        <v>657.8099999999999</v>
      </c>
      <c r="Q4161" t="n">
        <v>91</v>
      </c>
      <c r="R4161" t="n">
        <v>182.73</v>
      </c>
      <c r="S4161" t="n">
        <v>110</v>
      </c>
      <c r="T4161" t="n">
        <v>47.25</v>
      </c>
      <c r="U4161" t="n">
        <v>1088.79</v>
      </c>
      <c r="X4161" t="inlineStr">
        <is>
          <t>acoa-apeca</t>
        </is>
      </c>
      <c r="Y4161" t="inlineStr">
        <is>
          <t>Atlantic Canada Opportunities Agency | Agence de promotion économique du Canada atlantique</t>
        </is>
      </c>
      <c r="Z4161" t="n">
        <v>2</v>
      </c>
      <c r="AA4161" t="n">
        <v>1088.79</v>
      </c>
      <c r="AB4161">
        <f>ROUND(U4161-AA4161,2)</f>
        <v/>
      </c>
      <c r="AC4161" t="b">
        <v>0</v>
      </c>
      <c r="AD4161">
        <f>IF(U4161="","MISSING_TOTAL",IF(ABS(AB4161)&lt;=0.01,"OK","CHECK"))</f>
        <v/>
      </c>
      <c r="AE4161">
        <f>IF(U4161="","MISSING",IF(AND(AA4161&gt;0,U4161/AA4161&gt;50),"POSSIBLE_SCALE_ERROR","OK"))</f>
        <v/>
      </c>
    </row>
    <row r="4162">
      <c r="A4162" t="inlineStr">
        <is>
          <t>T-2016-Q2-00008</t>
        </is>
      </c>
      <c r="B4162" t="inlineStr">
        <is>
          <t>SLE</t>
        </is>
      </c>
      <c r="C4162" t="inlineStr">
        <is>
          <t>Senior Advisor (Energy)</t>
        </is>
      </c>
      <c r="D4162" t="inlineStr">
        <is>
          <t>Conseiller spécial (energie)</t>
        </is>
      </c>
      <c r="E4162" t="inlineStr">
        <is>
          <t>Andrew F. Noseworthy</t>
        </is>
      </c>
      <c r="F4162" t="inlineStr">
        <is>
          <t>Atlantic Energy Gateway meeting; East Coast Energy Connection conference; meeting with senior Agency officials</t>
        </is>
      </c>
      <c r="G4162" t="inlineStr">
        <is>
          <t>Réunion avec des représentants de la Porte d'entrée de l'énergie de l'Atlantique; conférence East Coast Energy Connection; réunion avec des hauts fonctionnaires de l'Agence</t>
        </is>
      </c>
      <c r="H4162" s="1" t="n">
        <v>42163</v>
      </c>
      <c r="I4162" s="1" t="n">
        <v>42167</v>
      </c>
      <c r="J4162" t="inlineStr">
        <is>
          <t>Saint John, New Brunswick, and Moncton, New Brunswick</t>
        </is>
      </c>
      <c r="K4162" t="inlineStr">
        <is>
          <t>Saint John (Nouveau-Brunswick) et Moncton (Nouveau-Brunswick)</t>
        </is>
      </c>
      <c r="P4162" t="n">
        <v>856.51</v>
      </c>
      <c r="Q4162" t="n">
        <v>338.04</v>
      </c>
      <c r="R4162" t="n">
        <v>526.28</v>
      </c>
      <c r="S4162" t="n">
        <v>305.7</v>
      </c>
      <c r="T4162" t="n">
        <v>87.41</v>
      </c>
      <c r="U4162" t="n">
        <v>2113.94</v>
      </c>
      <c r="X4162" t="inlineStr">
        <is>
          <t>acoa-apeca</t>
        </is>
      </c>
      <c r="Y4162" t="inlineStr">
        <is>
          <t>Atlantic Canada Opportunities Agency | Agence de promotion économique du Canada atlantique</t>
        </is>
      </c>
      <c r="Z4162" t="n">
        <v>5</v>
      </c>
      <c r="AA4162" t="n">
        <v>2113.94</v>
      </c>
      <c r="AB4162">
        <f>ROUND(U4162-AA4162,2)</f>
        <v/>
      </c>
      <c r="AC4162" t="b">
        <v>0</v>
      </c>
      <c r="AD4162">
        <f>IF(U4162="","MISSING_TOTAL",IF(ABS(AB4162)&lt;=0.01,"OK","CHECK"))</f>
        <v/>
      </c>
      <c r="AE4162">
        <f>IF(U4162="","MISSING",IF(AND(AA4162&gt;0,U4162/AA4162&gt;50),"POSSIBLE_SCALE_ERROR","OK"))</f>
        <v/>
      </c>
    </row>
    <row r="4163">
      <c r="A4163" t="inlineStr">
        <is>
          <t>T-2016-Q1-00068</t>
        </is>
      </c>
      <c r="B4163" t="inlineStr">
        <is>
          <t>SLE</t>
        </is>
      </c>
      <c r="C4163" t="inlineStr">
        <is>
          <t>Senior Advisor (Energy)</t>
        </is>
      </c>
      <c r="D4163" t="inlineStr">
        <is>
          <t>Conseiller spécial (energie)</t>
        </is>
      </c>
      <c r="E4163" t="inlineStr">
        <is>
          <t>Andrew F. Noseworthy</t>
        </is>
      </c>
      <c r="F4163" t="inlineStr">
        <is>
          <t>Agency interview board; Cape Breton site visits</t>
        </is>
      </c>
      <c r="G4163" t="inlineStr">
        <is>
          <t>Jury d'entrevue pour l'Agence; visites des lieux au Cap-Breton</t>
        </is>
      </c>
      <c r="H4163" s="1" t="n">
        <v>42156</v>
      </c>
      <c r="I4163" s="1" t="n">
        <v>42159</v>
      </c>
      <c r="J4163" t="inlineStr">
        <is>
          <t>Halifax, Nova Scotia; Port Hawkesbury, Nova Scotia; Antigonish, Nova Scotia</t>
        </is>
      </c>
      <c r="K4163" t="inlineStr">
        <is>
          <t>Halifax (Nouvelle-Écosse); Port Hawkesbury (Nouvelle-Écosse); Antigonish (Nouvelle-Écosse)</t>
        </is>
      </c>
      <c r="P4163" t="n">
        <v>585.86</v>
      </c>
      <c r="Q4163" t="n">
        <v>70</v>
      </c>
      <c r="R4163" t="n">
        <v>476.77</v>
      </c>
      <c r="S4163" t="n">
        <v>278.8</v>
      </c>
      <c r="T4163" t="n">
        <v>61.25</v>
      </c>
      <c r="U4163" t="n">
        <v>1472.68</v>
      </c>
      <c r="X4163" t="inlineStr">
        <is>
          <t>acoa-apeca</t>
        </is>
      </c>
      <c r="Y4163" t="inlineStr">
        <is>
          <t>Atlantic Canada Opportunities Agency | Agence de promotion économique du Canada atlantique</t>
        </is>
      </c>
      <c r="Z4163" t="n">
        <v>4</v>
      </c>
      <c r="AA4163" t="n">
        <v>1472.68</v>
      </c>
      <c r="AB4163">
        <f>ROUND(U4163-AA4163,2)</f>
        <v/>
      </c>
      <c r="AC4163" t="b">
        <v>0</v>
      </c>
      <c r="AD4163">
        <f>IF(U4163="","MISSING_TOTAL",IF(ABS(AB4163)&lt;=0.01,"OK","CHECK"))</f>
        <v/>
      </c>
      <c r="AE4163">
        <f>IF(U4163="","MISSING",IF(AND(AA4163&gt;0,U4163/AA4163&gt;50),"POSSIBLE_SCALE_ERROR","OK"))</f>
        <v/>
      </c>
    </row>
    <row r="4164">
      <c r="A4164" t="inlineStr">
        <is>
          <t>T-2016-Q1-00062</t>
        </is>
      </c>
      <c r="B4164" t="inlineStr">
        <is>
          <t>SLE</t>
        </is>
      </c>
      <c r="C4164" t="inlineStr">
        <is>
          <t>Senior Advisor (Energy)</t>
        </is>
      </c>
      <c r="D4164" t="inlineStr">
        <is>
          <t>Conseiller spécial (energie)</t>
        </is>
      </c>
      <c r="E4164" t="inlineStr">
        <is>
          <t>Andrew F. Noseworthy</t>
        </is>
      </c>
      <c r="F4164" t="inlineStr">
        <is>
          <t>Energy discussions with officials from the Agency and other Government Departments</t>
        </is>
      </c>
      <c r="G4164" t="inlineStr">
        <is>
          <t>Discussions sur l'énergie avec des fonctionnaires de l'Agence et d'autres organismes gouvernementaux</t>
        </is>
      </c>
      <c r="H4164" s="1" t="n">
        <v>42151</v>
      </c>
      <c r="I4164" s="1" t="n">
        <v>42152</v>
      </c>
      <c r="J4164" t="inlineStr">
        <is>
          <t>Ottawa, Ontario</t>
        </is>
      </c>
      <c r="K4164" t="inlineStr">
        <is>
          <t>Ottawa (Ontario)</t>
        </is>
      </c>
      <c r="P4164" t="n">
        <v>1279.08</v>
      </c>
      <c r="Q4164" t="n">
        <v>110</v>
      </c>
      <c r="R4164" t="n">
        <v>186.22</v>
      </c>
      <c r="S4164" t="n">
        <v>110</v>
      </c>
      <c r="T4164" t="n">
        <v>28</v>
      </c>
      <c r="U4164" t="n">
        <v>1713.3</v>
      </c>
      <c r="X4164" t="inlineStr">
        <is>
          <t>acoa-apeca</t>
        </is>
      </c>
      <c r="Y4164" t="inlineStr">
        <is>
          <t>Atlantic Canada Opportunities Agency | Agence de promotion économique du Canada atlantique</t>
        </is>
      </c>
      <c r="Z4164" t="n">
        <v>2</v>
      </c>
      <c r="AA4164" t="n">
        <v>1713.3</v>
      </c>
      <c r="AB4164">
        <f>ROUND(U4164-AA4164,2)</f>
        <v/>
      </c>
      <c r="AC4164" t="b">
        <v>0</v>
      </c>
      <c r="AD4164">
        <f>IF(U4164="","MISSING_TOTAL",IF(ABS(AB4164)&lt;=0.01,"OK","CHECK"))</f>
        <v/>
      </c>
      <c r="AE4164">
        <f>IF(U4164="","MISSING",IF(AND(AA4164&gt;0,U4164/AA4164&gt;50),"POSSIBLE_SCALE_ERROR","OK"))</f>
        <v/>
      </c>
    </row>
    <row r="4165">
      <c r="A4165" t="inlineStr">
        <is>
          <t>T-2016-Q1-00050</t>
        </is>
      </c>
      <c r="B4165" t="inlineStr">
        <is>
          <t>SLE</t>
        </is>
      </c>
      <c r="C4165" t="inlineStr">
        <is>
          <t>Senior Advisor (Energy)</t>
        </is>
      </c>
      <c r="D4165" t="inlineStr">
        <is>
          <t>Conseiller spécial (energie)</t>
        </is>
      </c>
      <c r="E4165" t="inlineStr">
        <is>
          <t>Andrew F. Noseworthy</t>
        </is>
      </c>
      <c r="F4165" t="inlineStr">
        <is>
          <t>Energy meetings with Agency staff in Halifax and Fredericton; meetings with officials from Nova Scotia Department of Energy and NB Power</t>
        </is>
      </c>
      <c r="G4165" t="inlineStr">
        <is>
          <t>Réunions sur l'énergie avec des employés de l'Agence à Halifax et à Fredericton; réunions avec des représentants du ministère de l'Énergie de la Nouvelle-Écosse et d'Énergie NB</t>
        </is>
      </c>
      <c r="H4165" s="1" t="n">
        <v>42137</v>
      </c>
      <c r="I4165" s="1" t="n">
        <v>42139</v>
      </c>
      <c r="J4165" t="inlineStr">
        <is>
          <t>Halifax, Nova Scotia; Fredericton, New Brunswick</t>
        </is>
      </c>
      <c r="K4165" t="inlineStr">
        <is>
          <t>Halifax (Nouvelle-Écosse); Fredericton (Nouveau-Brunswick)</t>
        </is>
      </c>
      <c r="P4165" t="n">
        <v>1690.55</v>
      </c>
      <c r="Q4165" t="n">
        <v>70</v>
      </c>
      <c r="R4165" t="n">
        <v>309.25</v>
      </c>
      <c r="S4165" t="n">
        <v>219.3</v>
      </c>
      <c r="T4165" t="n">
        <v>42</v>
      </c>
      <c r="U4165" t="n">
        <v>2331.1</v>
      </c>
      <c r="X4165" t="inlineStr">
        <is>
          <t>acoa-apeca</t>
        </is>
      </c>
      <c r="Y4165" t="inlineStr">
        <is>
          <t>Atlantic Canada Opportunities Agency | Agence de promotion économique du Canada atlantique</t>
        </is>
      </c>
      <c r="Z4165" t="n">
        <v>3</v>
      </c>
      <c r="AA4165" t="n">
        <v>2331.1</v>
      </c>
      <c r="AB4165">
        <f>ROUND(U4165-AA4165,2)</f>
        <v/>
      </c>
      <c r="AC4165" t="b">
        <v>0</v>
      </c>
      <c r="AD4165">
        <f>IF(U4165="","MISSING_TOTAL",IF(ABS(AB4165)&lt;=0.01,"OK","CHECK"))</f>
        <v/>
      </c>
      <c r="AE4165">
        <f>IF(U4165="","MISSING",IF(AND(AA4165&gt;0,U4165/AA4165&gt;50),"POSSIBLE_SCALE_ERROR","OK"))</f>
        <v/>
      </c>
    </row>
    <row r="4166">
      <c r="A4166" t="inlineStr">
        <is>
          <t>T-2013-Q1-00031</t>
        </is>
      </c>
      <c r="B4166" t="inlineStr">
        <is>
          <t>SLE</t>
        </is>
      </c>
      <c r="C4166" t="inlineStr">
        <is>
          <t>Senior Advisor (Energy)</t>
        </is>
      </c>
      <c r="D4166" t="inlineStr">
        <is>
          <t>Conseiller spécial (energie)</t>
        </is>
      </c>
      <c r="E4166" t="inlineStr">
        <is>
          <t>Andrew F. Noseworthy</t>
        </is>
      </c>
      <c r="F4166" t="inlineStr">
        <is>
          <t>Atlantic Canada Opportunities Board meeting</t>
        </is>
      </c>
      <c r="G4166" t="inlineStr">
        <is>
          <t>Réunion du Conseil de promotion économique du Canada atlantique</t>
        </is>
      </c>
      <c r="H4166" s="1" t="n">
        <v>40995</v>
      </c>
      <c r="I4166" s="1" t="n">
        <v>40996</v>
      </c>
      <c r="J4166" t="inlineStr">
        <is>
          <t>Ottawa, Ontario</t>
        </is>
      </c>
      <c r="K4166" t="inlineStr">
        <is>
          <t>Ottawa (Ontario)</t>
        </is>
      </c>
      <c r="P4166" t="n">
        <v>1357.13</v>
      </c>
      <c r="Q4166" t="n">
        <v>140</v>
      </c>
      <c r="R4166" t="n">
        <v>177.41</v>
      </c>
      <c r="S4166" t="n">
        <v>130.55</v>
      </c>
      <c r="T4166" t="n">
        <v>0</v>
      </c>
      <c r="U4166" t="n">
        <v>1805.09</v>
      </c>
      <c r="X4166" t="inlineStr">
        <is>
          <t>acoa-apeca</t>
        </is>
      </c>
      <c r="Y4166" t="inlineStr">
        <is>
          <t>Atlantic Canada Opportunities Agency | Agence de promotion économique du Canada atlantique</t>
        </is>
      </c>
      <c r="Z4166" t="n">
        <v>2</v>
      </c>
      <c r="AA4166" t="n">
        <v>1805.09</v>
      </c>
      <c r="AB4166">
        <f>ROUND(U4166-AA4166,2)</f>
        <v/>
      </c>
      <c r="AC4166" t="b">
        <v>0</v>
      </c>
      <c r="AD4166">
        <f>IF(U4166="","MISSING_TOTAL",IF(ABS(AB4166)&lt;=0.01,"OK","CHECK"))</f>
        <v/>
      </c>
      <c r="AE4166">
        <f>IF(U4166="","MISSING",IF(AND(AA4166&gt;0,U4166/AA4166&gt;50),"POSSIBLE_SCALE_ERROR","OK"))</f>
        <v/>
      </c>
    </row>
    <row r="4167">
      <c r="A4167" t="inlineStr">
        <is>
          <t>T-2016-Q1-00036</t>
        </is>
      </c>
      <c r="B4167" t="inlineStr">
        <is>
          <t>SLE</t>
        </is>
      </c>
      <c r="C4167" t="inlineStr">
        <is>
          <t>Senior Advisor (Energy)</t>
        </is>
      </c>
      <c r="D4167" t="inlineStr">
        <is>
          <t>Conseiller spécial (energie)</t>
        </is>
      </c>
      <c r="E4167" t="inlineStr">
        <is>
          <t>Andrew F. Noseworthy</t>
        </is>
      </c>
      <c r="F4167" t="inlineStr">
        <is>
          <t>Attend Offshore Technology Conference 2015 in Houston; meeting with industry officials</t>
        </is>
      </c>
      <c r="G4167" t="inlineStr">
        <is>
          <t>Assister au salon des technologies extracôtières 2015 à Houston et à des réunions avec des représentants de l'industrie</t>
        </is>
      </c>
      <c r="H4167" s="1" t="n">
        <v>42125</v>
      </c>
      <c r="I4167" s="1" t="n">
        <v>42133</v>
      </c>
      <c r="J4167" t="inlineStr">
        <is>
          <t>Houston, Texas</t>
        </is>
      </c>
      <c r="K4167" t="inlineStr">
        <is>
          <t>Houston, Texas</t>
        </is>
      </c>
      <c r="P4167" t="n">
        <v>1087.01</v>
      </c>
      <c r="Q4167" t="n">
        <v>471.65</v>
      </c>
      <c r="R4167" t="n">
        <v>2978.5</v>
      </c>
      <c r="S4167" t="n">
        <v>663.1799999999999</v>
      </c>
      <c r="T4167" t="n">
        <v>0</v>
      </c>
      <c r="U4167" t="n">
        <v>5200.34</v>
      </c>
      <c r="X4167" t="inlineStr">
        <is>
          <t>acoa-apeca</t>
        </is>
      </c>
      <c r="Y4167" t="inlineStr">
        <is>
          <t>Atlantic Canada Opportunities Agency | Agence de promotion économique du Canada atlantique</t>
        </is>
      </c>
      <c r="Z4167" t="n">
        <v>9</v>
      </c>
      <c r="AA4167" t="n">
        <v>5200.34</v>
      </c>
      <c r="AB4167">
        <f>ROUND(U4167-AA4167,2)</f>
        <v/>
      </c>
      <c r="AC4167" t="b">
        <v>0</v>
      </c>
      <c r="AD4167">
        <f>IF(U4167="","MISSING_TOTAL",IF(ABS(AB4167)&lt;=0.01,"OK","CHECK"))</f>
        <v/>
      </c>
      <c r="AE4167">
        <f>IF(U4167="","MISSING",IF(AND(AA4167&gt;0,U4167/AA4167&gt;50),"POSSIBLE_SCALE_ERROR","OK"))</f>
        <v/>
      </c>
    </row>
    <row r="4168">
      <c r="A4168" t="inlineStr">
        <is>
          <t>T-2016-Q1-00029</t>
        </is>
      </c>
      <c r="B4168" t="inlineStr">
        <is>
          <t>SLE</t>
        </is>
      </c>
      <c r="C4168" t="inlineStr">
        <is>
          <t>Senior Advisor (Energy)</t>
        </is>
      </c>
      <c r="D4168" t="inlineStr">
        <is>
          <t>Conseiller spécial (energie)</t>
        </is>
      </c>
      <c r="E4168" t="inlineStr">
        <is>
          <t>Andrew F. Noseworthy</t>
        </is>
      </c>
      <c r="F4168" t="inlineStr">
        <is>
          <t>Attend National Policy Symposium on Energy Delivery and Management; meeting with Government of Nova Scotia officials</t>
        </is>
      </c>
      <c r="G4168" t="inlineStr">
        <is>
          <t>Assister au symposium stratégique national sur la distribution et la gestion de l'énergie ainsi qu'à une réunion avec des fonctionnaires du gouvernement de la Nouvelle-Écosse</t>
        </is>
      </c>
      <c r="H4168" s="1" t="n">
        <v>42109</v>
      </c>
      <c r="I4168" s="1" t="n">
        <v>42110</v>
      </c>
      <c r="J4168" t="inlineStr">
        <is>
          <t>Halifax, Nova Scotia</t>
        </is>
      </c>
      <c r="K4168" t="inlineStr">
        <is>
          <t>Halifax (Nouvelle-Écosse)</t>
        </is>
      </c>
      <c r="P4168" t="n">
        <v>555.1799999999999</v>
      </c>
      <c r="Q4168" t="n">
        <v>140</v>
      </c>
      <c r="R4168" t="n">
        <v>140.76</v>
      </c>
      <c r="S4168" t="n">
        <v>93.40000000000001</v>
      </c>
      <c r="T4168" t="n">
        <v>28</v>
      </c>
      <c r="U4168" t="n">
        <v>957.34</v>
      </c>
      <c r="X4168" t="inlineStr">
        <is>
          <t>acoa-apeca</t>
        </is>
      </c>
      <c r="Y4168" t="inlineStr">
        <is>
          <t>Atlantic Canada Opportunities Agency | Agence de promotion économique du Canada atlantique</t>
        </is>
      </c>
      <c r="Z4168" t="n">
        <v>2</v>
      </c>
      <c r="AA4168" t="n">
        <v>957.339999999999</v>
      </c>
      <c r="AB4168">
        <f>ROUND(U4168-AA4168,2)</f>
        <v/>
      </c>
      <c r="AC4168" t="b">
        <v>0</v>
      </c>
      <c r="AD4168">
        <f>IF(U4168="","MISSING_TOTAL",IF(ABS(AB4168)&lt;=0.01,"OK","CHECK"))</f>
        <v/>
      </c>
      <c r="AE4168">
        <f>IF(U4168="","MISSING",IF(AND(AA4168&gt;0,U4168/AA4168&gt;50),"POSSIBLE_SCALE_ERROR","OK"))</f>
        <v/>
      </c>
    </row>
    <row r="4169">
      <c r="A4169" t="inlineStr">
        <is>
          <t>T-2016-Q1-00024</t>
        </is>
      </c>
      <c r="B4169" t="inlineStr">
        <is>
          <t>SLE</t>
        </is>
      </c>
      <c r="C4169" t="inlineStr">
        <is>
          <t>Senior Advisor (Energy)</t>
        </is>
      </c>
      <c r="D4169" t="inlineStr">
        <is>
          <t>Conseiller spécial (energie)</t>
        </is>
      </c>
      <c r="E4169" t="inlineStr">
        <is>
          <t>Andrew F. Noseworthy</t>
        </is>
      </c>
      <c r="F4169" t="inlineStr">
        <is>
          <t>Attend Canadian Association of Petroleum Producers (CAPP) Investment Symposium; meeting with CAPP officials</t>
        </is>
      </c>
      <c r="G4169" t="inlineStr">
        <is>
          <t>Assister au symposium sur les investissements de l'Association canadienne des producteurs pétroliers (ACPP) ainsi qu'à une réunion avec des représentants de l'ACPP</t>
        </is>
      </c>
      <c r="H4169" s="1" t="n">
        <v>42101</v>
      </c>
      <c r="I4169" s="1" t="n">
        <v>42103</v>
      </c>
      <c r="J4169" t="inlineStr">
        <is>
          <t>Toronto, Ontario</t>
        </is>
      </c>
      <c r="K4169" t="inlineStr">
        <is>
          <t>Toronto (Ontario)</t>
        </is>
      </c>
      <c r="P4169" t="n">
        <v>1210.81</v>
      </c>
      <c r="Q4169" t="n">
        <v>165</v>
      </c>
      <c r="R4169" t="n">
        <v>290</v>
      </c>
      <c r="S4169" t="n">
        <v>180.3</v>
      </c>
      <c r="T4169" t="n">
        <v>40.5</v>
      </c>
      <c r="U4169" t="n">
        <v>1886.61</v>
      </c>
      <c r="X4169" t="inlineStr">
        <is>
          <t>acoa-apeca</t>
        </is>
      </c>
      <c r="Y4169" t="inlineStr">
        <is>
          <t>Atlantic Canada Opportunities Agency | Agence de promotion économique du Canada atlantique</t>
        </is>
      </c>
      <c r="Z4169" t="n">
        <v>3</v>
      </c>
      <c r="AA4169" t="n">
        <v>1886.61</v>
      </c>
      <c r="AB4169">
        <f>ROUND(U4169-AA4169,2)</f>
        <v/>
      </c>
      <c r="AC4169" t="b">
        <v>0</v>
      </c>
      <c r="AD4169">
        <f>IF(U4169="","MISSING_TOTAL",IF(ABS(AB4169)&lt;=0.01,"OK","CHECK"))</f>
        <v/>
      </c>
      <c r="AE4169">
        <f>IF(U4169="","MISSING",IF(AND(AA4169&gt;0,U4169/AA4169&gt;50),"POSSIBLE_SCALE_ERROR","OK"))</f>
        <v/>
      </c>
    </row>
    <row r="4170">
      <c r="A4170" t="inlineStr">
        <is>
          <t>T-2016-Q1-00015</t>
        </is>
      </c>
      <c r="B4170" t="inlineStr">
        <is>
          <t>SLE</t>
        </is>
      </c>
      <c r="C4170" t="inlineStr">
        <is>
          <t>Senior Advisor (Energy)</t>
        </is>
      </c>
      <c r="D4170" t="inlineStr">
        <is>
          <t>Conseiller spécial (energie)</t>
        </is>
      </c>
      <c r="E4170" t="inlineStr">
        <is>
          <t>Andrew F. Noseworthy</t>
        </is>
      </c>
      <c r="F4170" t="inlineStr">
        <is>
          <t>Host and speak at Arctic Oil and Gas Technology Seminars in Reykjavik and Copenhagen; Natural Gas Sessions in Warsaw and London; and attend the Arctic Technology Conference in Copenhagen</t>
        </is>
      </c>
      <c r="G4170" t="inlineStr">
        <is>
          <t>Prononcer un discours/animer des séminaires sur les technologies pétrolières et gazières dans l'Arctique à Reykjavik/Copenhague; assister à des séances sur le gaz nat. à Varsovie/Londres; assister à la conférence sur les technologies arctiques à Copenhague</t>
        </is>
      </c>
      <c r="H4170" s="1" t="n">
        <v>42082</v>
      </c>
      <c r="I4170" s="1" t="n">
        <v>42093</v>
      </c>
      <c r="J4170" t="inlineStr">
        <is>
          <t>Reykjavik, Iceland; Warsaw, Poland; Copenhagen, Denmark; London, United Kingdom</t>
        </is>
      </c>
      <c r="K4170" t="inlineStr">
        <is>
          <t>Reykjavik, Islande; Varsovie, Pologne; Copenhague, Danemark; Londres, Royaume-Uni</t>
        </is>
      </c>
      <c r="P4170" t="n">
        <v>2335.7</v>
      </c>
      <c r="Q4170" t="n">
        <v>528.91</v>
      </c>
      <c r="R4170" t="n">
        <v>2707.44</v>
      </c>
      <c r="S4170" t="n">
        <v>1164.7</v>
      </c>
      <c r="T4170" t="n">
        <v>144.94</v>
      </c>
      <c r="U4170" t="n">
        <v>6881.69</v>
      </c>
      <c r="X4170" t="inlineStr">
        <is>
          <t>acoa-apeca</t>
        </is>
      </c>
      <c r="Y4170" t="inlineStr">
        <is>
          <t>Atlantic Canada Opportunities Agency | Agence de promotion économique du Canada atlantique</t>
        </is>
      </c>
      <c r="Z4170" t="n">
        <v>12</v>
      </c>
      <c r="AA4170" t="n">
        <v>6881.68999999999</v>
      </c>
      <c r="AB4170">
        <f>ROUND(U4170-AA4170,2)</f>
        <v/>
      </c>
      <c r="AC4170" t="b">
        <v>0</v>
      </c>
      <c r="AD4170">
        <f>IF(U4170="","MISSING_TOTAL",IF(ABS(AB4170)&lt;=0.01,"OK","CHECK"))</f>
        <v/>
      </c>
      <c r="AE4170">
        <f>IF(U4170="","MISSING",IF(AND(AA4170&gt;0,U4170/AA4170&gt;50),"POSSIBLE_SCALE_ERROR","OK"))</f>
        <v/>
      </c>
    </row>
    <row r="4171">
      <c r="A4171" t="inlineStr">
        <is>
          <t>T-2015-Q4-00068</t>
        </is>
      </c>
      <c r="B4171" t="inlineStr">
        <is>
          <t>SLE</t>
        </is>
      </c>
      <c r="C4171" t="inlineStr">
        <is>
          <t>Senior Advisor (Energy)</t>
        </is>
      </c>
      <c r="D4171" t="inlineStr">
        <is>
          <t>Conseiller spécial (energie)</t>
        </is>
      </c>
      <c r="E4171" t="inlineStr">
        <is>
          <t>Andrew F. Noseworthy</t>
        </is>
      </c>
      <c r="F4171" t="inlineStr">
        <is>
          <t>Attend Energy Geoscience Network meeting; attend Atlantic Energy Gateway meeting</t>
        </is>
      </c>
      <c r="G4171" t="inlineStr">
        <is>
          <t>Assister à une réunion du Réseau des géosciences énergétiques et à une réunion sur la Porte d'entrée de l'énergie de l'Atlantique</t>
        </is>
      </c>
      <c r="H4171" s="1" t="n">
        <v>42058</v>
      </c>
      <c r="I4171" s="1" t="n">
        <v>42059</v>
      </c>
      <c r="J4171" t="inlineStr">
        <is>
          <t>Halifax, Nova Scotia</t>
        </is>
      </c>
      <c r="K4171" t="inlineStr">
        <is>
          <t>Halifax (Nouvelle-Écosse)</t>
        </is>
      </c>
      <c r="P4171" t="n">
        <v>607.1</v>
      </c>
      <c r="Q4171" t="n">
        <v>160</v>
      </c>
      <c r="R4171" t="n">
        <v>139.59</v>
      </c>
      <c r="S4171" t="n">
        <v>92.55</v>
      </c>
      <c r="T4171" t="n">
        <v>38</v>
      </c>
      <c r="U4171" t="n">
        <v>1037.24</v>
      </c>
      <c r="X4171" t="inlineStr">
        <is>
          <t>acoa-apeca</t>
        </is>
      </c>
      <c r="Y4171" t="inlineStr">
        <is>
          <t>Atlantic Canada Opportunities Agency | Agence de promotion économique du Canada atlantique</t>
        </is>
      </c>
      <c r="Z4171" t="n">
        <v>2</v>
      </c>
      <c r="AA4171" t="n">
        <v>1037.24</v>
      </c>
      <c r="AB4171">
        <f>ROUND(U4171-AA4171,2)</f>
        <v/>
      </c>
      <c r="AC4171" t="b">
        <v>0</v>
      </c>
      <c r="AD4171">
        <f>IF(U4171="","MISSING_TOTAL",IF(ABS(AB4171)&lt;=0.01,"OK","CHECK"))</f>
        <v/>
      </c>
      <c r="AE4171">
        <f>IF(U4171="","MISSING",IF(AND(AA4171&gt;0,U4171/AA4171&gt;50),"POSSIBLE_SCALE_ERROR","OK"))</f>
        <v/>
      </c>
    </row>
    <row r="4172">
      <c r="A4172" t="inlineStr">
        <is>
          <t>T-2015-Q4-00056</t>
        </is>
      </c>
      <c r="B4172" t="inlineStr">
        <is>
          <t>SLE</t>
        </is>
      </c>
      <c r="C4172" t="inlineStr">
        <is>
          <t>Senior Advisor (Energy)</t>
        </is>
      </c>
      <c r="D4172" t="inlineStr">
        <is>
          <t>Conseiller spécial (energie)</t>
        </is>
      </c>
      <c r="E4172" t="inlineStr">
        <is>
          <t>Andrew F. Noseworthy</t>
        </is>
      </c>
      <c r="F4172" t="inlineStr">
        <is>
          <t>Meetings with Agency, Nova Scotia Department of Energy, and Industry officials</t>
        </is>
      </c>
      <c r="G4172" t="inlineStr">
        <is>
          <t>Réunions avec des fonctionnaires de l'Agence et du ministère de l'Énergie de la Nouvelle-Écosse et des représentants de l'industrie</t>
        </is>
      </c>
      <c r="H4172" s="1" t="n">
        <v>42045</v>
      </c>
      <c r="I4172" s="1" t="n">
        <v>42046</v>
      </c>
      <c r="J4172" t="inlineStr">
        <is>
          <t>Halifax, Nova Scotia</t>
        </is>
      </c>
      <c r="K4172" t="inlineStr">
        <is>
          <t>Halifax (Nouvelle-Écosse)</t>
        </is>
      </c>
      <c r="P4172" t="n">
        <v>589.09</v>
      </c>
      <c r="Q4172" t="n">
        <v>157</v>
      </c>
      <c r="R4172" t="n">
        <v>139.59</v>
      </c>
      <c r="S4172" t="n">
        <v>135.35</v>
      </c>
      <c r="T4172" t="n">
        <v>37</v>
      </c>
      <c r="U4172" t="n">
        <v>1058.03</v>
      </c>
      <c r="X4172" t="inlineStr">
        <is>
          <t>acoa-apeca</t>
        </is>
      </c>
      <c r="Y4172" t="inlineStr">
        <is>
          <t>Atlantic Canada Opportunities Agency | Agence de promotion économique du Canada atlantique</t>
        </is>
      </c>
      <c r="Z4172" t="n">
        <v>2</v>
      </c>
      <c r="AA4172" t="n">
        <v>1058.03</v>
      </c>
      <c r="AB4172">
        <f>ROUND(U4172-AA4172,2)</f>
        <v/>
      </c>
      <c r="AC4172" t="b">
        <v>0</v>
      </c>
      <c r="AD4172">
        <f>IF(U4172="","MISSING_TOTAL",IF(ABS(AB4172)&lt;=0.01,"OK","CHECK"))</f>
        <v/>
      </c>
      <c r="AE4172">
        <f>IF(U4172="","MISSING",IF(AND(AA4172&gt;0,U4172/AA4172&gt;50),"POSSIBLE_SCALE_ERROR","OK"))</f>
        <v/>
      </c>
    </row>
    <row r="4173">
      <c r="A4173" t="inlineStr">
        <is>
          <t>T-2015-Q4-00038</t>
        </is>
      </c>
      <c r="B4173" t="inlineStr">
        <is>
          <t>SLE</t>
        </is>
      </c>
      <c r="C4173" t="inlineStr">
        <is>
          <t>Senior Advisor (Energy)</t>
        </is>
      </c>
      <c r="D4173" t="inlineStr">
        <is>
          <t>Conseiller spécial (energie)</t>
        </is>
      </c>
      <c r="E4173" t="inlineStr">
        <is>
          <t>Andrew F. Noseworthy</t>
        </is>
      </c>
      <c r="F4173" t="inlineStr">
        <is>
          <t>Attend Assistant Deputy Minister Forum in Ottawa; attend Executive Committee Meeting in Moncton</t>
        </is>
      </c>
      <c r="G4173" t="inlineStr">
        <is>
          <t>Assister au Forum des sous-ministres adjoints à Ottawa et à une réunion du Comité de direction à Moncton</t>
        </is>
      </c>
      <c r="H4173" s="1" t="n">
        <v>42023</v>
      </c>
      <c r="I4173" s="1" t="n">
        <v>42026</v>
      </c>
      <c r="J4173" t="inlineStr">
        <is>
          <t>Ottawa, Ontario; Moncton, New Brunswick</t>
        </is>
      </c>
      <c r="K4173" t="inlineStr">
        <is>
          <t>Ottawa (Ontario) et Moncton (Nouveau-Brunswick)</t>
        </is>
      </c>
      <c r="P4173" t="n">
        <v>1052.33</v>
      </c>
      <c r="Q4173" t="n">
        <v>172</v>
      </c>
      <c r="R4173" t="n">
        <v>478.46</v>
      </c>
      <c r="S4173" t="n">
        <v>301.6</v>
      </c>
      <c r="T4173" t="n">
        <v>63.25</v>
      </c>
      <c r="U4173" t="n">
        <v>2067.64</v>
      </c>
      <c r="X4173" t="inlineStr">
        <is>
          <t>acoa-apeca</t>
        </is>
      </c>
      <c r="Y4173" t="inlineStr">
        <is>
          <t>Atlantic Canada Opportunities Agency | Agence de promotion économique du Canada atlantique</t>
        </is>
      </c>
      <c r="Z4173" t="n">
        <v>4</v>
      </c>
      <c r="AA4173" t="n">
        <v>2067.64</v>
      </c>
      <c r="AB4173">
        <f>ROUND(U4173-AA4173,2)</f>
        <v/>
      </c>
      <c r="AC4173" t="b">
        <v>0</v>
      </c>
      <c r="AD4173">
        <f>IF(U4173="","MISSING_TOTAL",IF(ABS(AB4173)&lt;=0.01,"OK","CHECK"))</f>
        <v/>
      </c>
      <c r="AE4173">
        <f>IF(U4173="","MISSING",IF(AND(AA4173&gt;0,U4173/AA4173&gt;50),"POSSIBLE_SCALE_ERROR","OK"))</f>
        <v/>
      </c>
    </row>
    <row r="4174">
      <c r="A4174" t="inlineStr">
        <is>
          <t>T-2015-Q4-00032</t>
        </is>
      </c>
      <c r="B4174" t="inlineStr">
        <is>
          <t>SLE</t>
        </is>
      </c>
      <c r="C4174" t="inlineStr">
        <is>
          <t>Senior Advisor (Energy)</t>
        </is>
      </c>
      <c r="D4174" t="inlineStr">
        <is>
          <t>Conseiller spécial (energie)</t>
        </is>
      </c>
      <c r="E4174" t="inlineStr">
        <is>
          <t>Andrew F. Noseworthy</t>
        </is>
      </c>
      <c r="F4174" t="inlineStr">
        <is>
          <t>Meetings with officials from Nova Scotia Department of Energy</t>
        </is>
      </c>
      <c r="G4174" t="inlineStr">
        <is>
          <t>Réunions avec des fonctionnaires du ministère de l'Énergie de la Nouvelle-Écosse</t>
        </is>
      </c>
      <c r="H4174" s="1" t="n">
        <v>42016</v>
      </c>
      <c r="I4174" s="1" t="n">
        <v>42017</v>
      </c>
      <c r="J4174" t="inlineStr">
        <is>
          <t>Halifax, Nova Scotia</t>
        </is>
      </c>
      <c r="K4174" t="inlineStr">
        <is>
          <t>Halifax (Nouvelle-Écosse)</t>
        </is>
      </c>
      <c r="P4174" t="n">
        <v>1090.67</v>
      </c>
      <c r="Q4174" t="n">
        <v>140</v>
      </c>
      <c r="R4174" t="n">
        <v>139.59</v>
      </c>
      <c r="S4174" t="n">
        <v>119</v>
      </c>
      <c r="T4174" t="n">
        <v>46</v>
      </c>
      <c r="U4174" t="n">
        <v>1535.26</v>
      </c>
      <c r="X4174" t="inlineStr">
        <is>
          <t>acoa-apeca</t>
        </is>
      </c>
      <c r="Y4174" t="inlineStr">
        <is>
          <t>Atlantic Canada Opportunities Agency | Agence de promotion économique du Canada atlantique</t>
        </is>
      </c>
      <c r="Z4174" t="n">
        <v>2</v>
      </c>
      <c r="AA4174" t="n">
        <v>1535.26</v>
      </c>
      <c r="AB4174">
        <f>ROUND(U4174-AA4174,2)</f>
        <v/>
      </c>
      <c r="AC4174" t="b">
        <v>0</v>
      </c>
      <c r="AD4174">
        <f>IF(U4174="","MISSING_TOTAL",IF(ABS(AB4174)&lt;=0.01,"OK","CHECK"))</f>
        <v/>
      </c>
      <c r="AE4174">
        <f>IF(U4174="","MISSING",IF(AND(AA4174&gt;0,U4174/AA4174&gt;50),"POSSIBLE_SCALE_ERROR","OK"))</f>
        <v/>
      </c>
    </row>
    <row r="4175">
      <c r="A4175" t="inlineStr">
        <is>
          <t>T-2015-Q4-00002</t>
        </is>
      </c>
      <c r="B4175" t="inlineStr">
        <is>
          <t>SLE</t>
        </is>
      </c>
      <c r="C4175" t="inlineStr">
        <is>
          <t>Senior Advisor (Energy)</t>
        </is>
      </c>
      <c r="D4175" t="inlineStr">
        <is>
          <t>Conseiller spécial (energie)</t>
        </is>
      </c>
      <c r="E4175" t="inlineStr">
        <is>
          <t>Andrew F. Noseworthy</t>
        </is>
      </c>
      <c r="F4175" t="inlineStr">
        <is>
          <t>Meetings with senior provincial energy officials; Energy meeting with Agency staff in Nova Scotia</t>
        </is>
      </c>
      <c r="G4175" t="inlineStr">
        <is>
          <t>Réunions avec des hauts fonctionnaires provinciaux du secteur de l'énergie et réunion sur l'énergie avec des employés de l'Agence en Nouvelle-Écosse</t>
        </is>
      </c>
      <c r="H4175" s="1" t="n">
        <v>41975</v>
      </c>
      <c r="I4175" s="1" t="n">
        <v>41976</v>
      </c>
      <c r="J4175" t="inlineStr">
        <is>
          <t>Halifax, Nova Scotia</t>
        </is>
      </c>
      <c r="K4175" t="inlineStr">
        <is>
          <t>Halifax (Nouvelle-Écosse)</t>
        </is>
      </c>
      <c r="P4175" t="n">
        <v>473.83</v>
      </c>
      <c r="Q4175" t="n">
        <v>70</v>
      </c>
      <c r="R4175" t="n">
        <v>139.59</v>
      </c>
      <c r="S4175" t="n">
        <v>92.55</v>
      </c>
      <c r="T4175" t="n">
        <v>28</v>
      </c>
      <c r="U4175" t="n">
        <v>803.97</v>
      </c>
      <c r="X4175" t="inlineStr">
        <is>
          <t>acoa-apeca</t>
        </is>
      </c>
      <c r="Y4175" t="inlineStr">
        <is>
          <t>Atlantic Canada Opportunities Agency | Agence de promotion économique du Canada atlantique</t>
        </is>
      </c>
      <c r="Z4175" t="n">
        <v>2</v>
      </c>
      <c r="AA4175" t="n">
        <v>803.969999999999</v>
      </c>
      <c r="AB4175">
        <f>ROUND(U4175-AA4175,2)</f>
        <v/>
      </c>
      <c r="AC4175" t="b">
        <v>0</v>
      </c>
      <c r="AD4175">
        <f>IF(U4175="","MISSING_TOTAL",IF(ABS(AB4175)&lt;=0.01,"OK","CHECK"))</f>
        <v/>
      </c>
      <c r="AE4175">
        <f>IF(U4175="","MISSING",IF(AND(AA4175&gt;0,U4175/AA4175&gt;50),"POSSIBLE_SCALE_ERROR","OK"))</f>
        <v/>
      </c>
    </row>
    <row r="4176">
      <c r="A4176" t="inlineStr">
        <is>
          <t>T-2015-Q3-00076</t>
        </is>
      </c>
      <c r="B4176" t="inlineStr">
        <is>
          <t>SLE</t>
        </is>
      </c>
      <c r="C4176" t="inlineStr">
        <is>
          <t>Senior Advisor (Energy)</t>
        </is>
      </c>
      <c r="D4176" t="inlineStr">
        <is>
          <t>Conseiller spécial (energie)</t>
        </is>
      </c>
      <c r="E4176" t="inlineStr">
        <is>
          <t>Andrew F. Noseworthy</t>
        </is>
      </c>
      <c r="F4176" t="inlineStr">
        <is>
          <t>Various meetings with senior officials from the Agency and other government departments</t>
        </is>
      </c>
      <c r="G4176" t="inlineStr">
        <is>
          <t>Diverses réunions avec des hauts fonctionnaires de l'Agence et d'autres ministères</t>
        </is>
      </c>
      <c r="H4176" s="1" t="n">
        <v>41966</v>
      </c>
      <c r="I4176" s="1" t="n">
        <v>41967</v>
      </c>
      <c r="J4176" t="inlineStr">
        <is>
          <t>Ottawa, Ontario</t>
        </is>
      </c>
      <c r="K4176" t="inlineStr">
        <is>
          <t>Ottawa (Ontario)</t>
        </is>
      </c>
      <c r="P4176" t="n">
        <v>1650.64</v>
      </c>
      <c r="Q4176" t="n">
        <v>115</v>
      </c>
      <c r="R4176" t="n">
        <v>182.73</v>
      </c>
      <c r="S4176" t="n">
        <v>167.45</v>
      </c>
      <c r="T4176" t="n">
        <v>50.25</v>
      </c>
      <c r="U4176" t="n">
        <v>2166.07</v>
      </c>
      <c r="X4176" t="inlineStr">
        <is>
          <t>acoa-apeca</t>
        </is>
      </c>
      <c r="Y4176" t="inlineStr">
        <is>
          <t>Atlantic Canada Opportunities Agency | Agence de promotion économique du Canada atlantique</t>
        </is>
      </c>
      <c r="Z4176" t="n">
        <v>2</v>
      </c>
      <c r="AA4176" t="n">
        <v>2166.07</v>
      </c>
      <c r="AB4176">
        <f>ROUND(U4176-AA4176,2)</f>
        <v/>
      </c>
      <c r="AC4176" t="b">
        <v>0</v>
      </c>
      <c r="AD4176">
        <f>IF(U4176="","MISSING_TOTAL",IF(ABS(AB4176)&lt;=0.01,"OK","CHECK"))</f>
        <v/>
      </c>
      <c r="AE4176">
        <f>IF(U4176="","MISSING",IF(AND(AA4176&gt;0,U4176/AA4176&gt;50),"POSSIBLE_SCALE_ERROR","OK"))</f>
        <v/>
      </c>
    </row>
    <row r="4177">
      <c r="A4177" t="inlineStr">
        <is>
          <t>T-2015-Q3-00068</t>
        </is>
      </c>
      <c r="B4177" t="inlineStr">
        <is>
          <t>SLE</t>
        </is>
      </c>
      <c r="C4177" t="inlineStr">
        <is>
          <t>Senior Advisor (Energy)</t>
        </is>
      </c>
      <c r="D4177" t="inlineStr">
        <is>
          <t>Conseiller spécial (energie)</t>
        </is>
      </c>
      <c r="E4177" t="inlineStr">
        <is>
          <t>Andrew F. Noseworthy</t>
        </is>
      </c>
      <c r="F4177" t="inlineStr">
        <is>
          <t>Attend the New England-Canada Business Council's Energy, Trade and Technology Conference; meeting with Canadian Consulate and Industry officials</t>
        </is>
      </c>
      <c r="G4177" t="inlineStr">
        <is>
          <t>Conférence sur l'énergie, le commerce et la technologie du New England-Canada Business Council; réunion avec le Consulat du Canada et des représentants d'Industrie</t>
        </is>
      </c>
      <c r="H4177" s="1" t="n">
        <v>41954</v>
      </c>
      <c r="I4177" s="1" t="n">
        <v>41958</v>
      </c>
      <c r="J4177" t="inlineStr">
        <is>
          <t>Boston, Massachusetts</t>
        </is>
      </c>
      <c r="K4177" t="inlineStr">
        <is>
          <t>Boston (Massachusetts)</t>
        </is>
      </c>
      <c r="P4177" t="n">
        <v>760.24</v>
      </c>
      <c r="Q4177" t="n">
        <v>214.7</v>
      </c>
      <c r="R4177" t="n">
        <v>1221.51</v>
      </c>
      <c r="S4177" t="n">
        <v>226.29</v>
      </c>
      <c r="T4177" t="n">
        <v>0</v>
      </c>
      <c r="U4177" t="n">
        <v>2422.74</v>
      </c>
      <c r="X4177" t="inlineStr">
        <is>
          <t>acoa-apeca</t>
        </is>
      </c>
      <c r="Y4177" t="inlineStr">
        <is>
          <t>Atlantic Canada Opportunities Agency | Agence de promotion économique du Canada atlantique</t>
        </is>
      </c>
      <c r="Z4177" t="n">
        <v>5</v>
      </c>
      <c r="AA4177" t="n">
        <v>2422.74</v>
      </c>
      <c r="AB4177">
        <f>ROUND(U4177-AA4177,2)</f>
        <v/>
      </c>
      <c r="AC4177" t="b">
        <v>0</v>
      </c>
      <c r="AD4177">
        <f>IF(U4177="","MISSING_TOTAL",IF(ABS(AB4177)&lt;=0.01,"OK","CHECK"))</f>
        <v/>
      </c>
      <c r="AE4177">
        <f>IF(U4177="","MISSING",IF(AND(AA4177&gt;0,U4177/AA4177&gt;50),"POSSIBLE_SCALE_ERROR","OK"))</f>
        <v/>
      </c>
    </row>
    <row r="4178">
      <c r="A4178" t="inlineStr">
        <is>
          <t>T-2015-Q3-00059</t>
        </is>
      </c>
      <c r="B4178" t="inlineStr">
        <is>
          <t>SLE</t>
        </is>
      </c>
      <c r="C4178" t="inlineStr">
        <is>
          <t>Senior Advisor (Energy)</t>
        </is>
      </c>
      <c r="D4178" t="inlineStr">
        <is>
          <t>Conseiller spécial (energie)</t>
        </is>
      </c>
      <c r="E4178" t="inlineStr">
        <is>
          <t>Andrew F. Noseworthy</t>
        </is>
      </c>
      <c r="F4178" t="inlineStr">
        <is>
          <t>Attend International Conference on Ocean Energy; Meeting with Nova Scotia Department of Energy and Marine Renewables Canada officials</t>
        </is>
      </c>
      <c r="G4178" t="inlineStr">
        <is>
          <t>Conférence internationale sur l'énergie marine; réunion avec des représentants du ministère de l'Énergie de la Nouvelle-Écosse et de Marine Renewables Canada</t>
        </is>
      </c>
      <c r="H4178" s="1" t="n">
        <v>41946</v>
      </c>
      <c r="I4178" s="1" t="n">
        <v>41947</v>
      </c>
      <c r="J4178" t="inlineStr">
        <is>
          <t>Halifax, Nova Scotia</t>
        </is>
      </c>
      <c r="K4178" t="inlineStr">
        <is>
          <t>Halifax (Nouvelle-Écosse)</t>
        </is>
      </c>
      <c r="P4178" t="n">
        <v>826.96</v>
      </c>
      <c r="Q4178" t="n">
        <v>70</v>
      </c>
      <c r="R4178" t="n">
        <v>139.59</v>
      </c>
      <c r="S4178" t="n">
        <v>66.7</v>
      </c>
      <c r="T4178" t="n">
        <v>28</v>
      </c>
      <c r="U4178" t="n">
        <v>1131.25</v>
      </c>
      <c r="X4178" t="inlineStr">
        <is>
          <t>acoa-apeca</t>
        </is>
      </c>
      <c r="Y4178" t="inlineStr">
        <is>
          <t>Atlantic Canada Opportunities Agency | Agence de promotion économique du Canada atlantique</t>
        </is>
      </c>
      <c r="Z4178" t="n">
        <v>2</v>
      </c>
      <c r="AA4178" t="n">
        <v>1131.25</v>
      </c>
      <c r="AB4178">
        <f>ROUND(U4178-AA4178,2)</f>
        <v/>
      </c>
      <c r="AC4178" t="b">
        <v>0</v>
      </c>
      <c r="AD4178">
        <f>IF(U4178="","MISSING_TOTAL",IF(ABS(AB4178)&lt;=0.01,"OK","CHECK"))</f>
        <v/>
      </c>
      <c r="AE4178">
        <f>IF(U4178="","MISSING",IF(AND(AA4178&gt;0,U4178/AA4178&gt;50),"POSSIBLE_SCALE_ERROR","OK"))</f>
        <v/>
      </c>
    </row>
    <row r="4179">
      <c r="A4179" t="inlineStr">
        <is>
          <t>T-2014-Q4-00043</t>
        </is>
      </c>
      <c r="B4179" t="inlineStr">
        <is>
          <t>SLE</t>
        </is>
      </c>
      <c r="C4179" t="inlineStr">
        <is>
          <t>Senior Advisor (Energy)</t>
        </is>
      </c>
      <c r="D4179" t="inlineStr">
        <is>
          <t>Conseiller spécial (energie)</t>
        </is>
      </c>
      <c r="E4179" t="inlineStr">
        <is>
          <t>Andrew F. Noseworthy</t>
        </is>
      </c>
      <c r="F4179" t="inlineStr">
        <is>
          <t>Executive Committee meeting, and meeting with Senior Agency officials</t>
        </is>
      </c>
      <c r="G4179" t="inlineStr">
        <is>
          <t>Réunion du Comité de direction et réunion avec des hauts fonctionnaires de l'Agence</t>
        </is>
      </c>
      <c r="H4179" s="1" t="n">
        <v>41675</v>
      </c>
      <c r="I4179" s="1" t="n">
        <v>41677</v>
      </c>
      <c r="J4179" t="inlineStr">
        <is>
          <t>Moncton, New Brunswick</t>
        </is>
      </c>
      <c r="K4179" t="inlineStr">
        <is>
          <t>Moncton (Nouveau-Brunswick)</t>
        </is>
      </c>
      <c r="P4179" t="n">
        <v>1358.2</v>
      </c>
      <c r="Q4179" t="n">
        <v>50</v>
      </c>
      <c r="R4179" t="n">
        <v>276.05</v>
      </c>
      <c r="S4179" t="n">
        <v>167.4</v>
      </c>
      <c r="T4179" t="n">
        <v>0</v>
      </c>
      <c r="U4179" t="n">
        <v>1851.65</v>
      </c>
      <c r="X4179" t="inlineStr">
        <is>
          <t>acoa-apeca</t>
        </is>
      </c>
      <c r="Y4179" t="inlineStr">
        <is>
          <t>Atlantic Canada Opportunities Agency | Agence de promotion économique du Canada atlantique</t>
        </is>
      </c>
      <c r="Z4179" t="n">
        <v>3</v>
      </c>
      <c r="AA4179" t="n">
        <v>1851.65</v>
      </c>
      <c r="AB4179">
        <f>ROUND(U4179-AA4179,2)</f>
        <v/>
      </c>
      <c r="AC4179" t="b">
        <v>0</v>
      </c>
      <c r="AD4179">
        <f>IF(U4179="","MISSING_TOTAL",IF(ABS(AB4179)&lt;=0.01,"OK","CHECK"))</f>
        <v/>
      </c>
      <c r="AE4179">
        <f>IF(U4179="","MISSING",IF(AND(AA4179&gt;0,U4179/AA4179&gt;50),"POSSIBLE_SCALE_ERROR","OK"))</f>
        <v/>
      </c>
    </row>
    <row r="4180">
      <c r="A4180" t="inlineStr">
        <is>
          <t>T-2015-Q3-00041</t>
        </is>
      </c>
      <c r="B4180" t="inlineStr">
        <is>
          <t>SLE</t>
        </is>
      </c>
      <c r="C4180" t="inlineStr">
        <is>
          <t>Senior Advisor (Energy)</t>
        </is>
      </c>
      <c r="D4180" t="inlineStr">
        <is>
          <t>Conseiller spécial (energie)</t>
        </is>
      </c>
      <c r="E4180" t="inlineStr">
        <is>
          <t>Andrew F. Noseworthy</t>
        </is>
      </c>
      <c r="F4180" t="inlineStr">
        <is>
          <t>Participate on interview board; various meetings with officials from other government departments and private sector representatives; Executive Committee meeting in Moncton</t>
        </is>
      </c>
      <c r="G4180" t="inlineStr">
        <is>
          <t>Comité d'entrevue; diverses réunions avec des représentants d'autres ministères et du secteur privé; réunion du Comité de direction à Moncton</t>
        </is>
      </c>
      <c r="H4180" s="1" t="n">
        <v>41932</v>
      </c>
      <c r="I4180" s="1" t="n">
        <v>41935</v>
      </c>
      <c r="J4180" t="inlineStr">
        <is>
          <t>Halifax, Nova Scotia and Moncton, New Brunswick</t>
        </is>
      </c>
      <c r="K4180" t="inlineStr">
        <is>
          <t>Halifax (Nouvelle-Écosse) et Moncton (Nouveau-Brunswick)</t>
        </is>
      </c>
      <c r="P4180" t="n">
        <v>956.54</v>
      </c>
      <c r="Q4180" t="n">
        <v>383.68</v>
      </c>
      <c r="R4180" t="n">
        <v>439.1</v>
      </c>
      <c r="S4180" t="n">
        <v>334.3</v>
      </c>
      <c r="T4180" t="n">
        <v>152.55</v>
      </c>
      <c r="U4180" t="n">
        <v>2266.17</v>
      </c>
      <c r="X4180" t="inlineStr">
        <is>
          <t>acoa-apeca</t>
        </is>
      </c>
      <c r="Y4180" t="inlineStr">
        <is>
          <t>Atlantic Canada Opportunities Agency | Agence de promotion économique du Canada atlantique</t>
        </is>
      </c>
      <c r="Z4180" t="n">
        <v>4</v>
      </c>
      <c r="AA4180" t="n">
        <v>2266.17</v>
      </c>
      <c r="AB4180">
        <f>ROUND(U4180-AA4180,2)</f>
        <v/>
      </c>
      <c r="AC4180" t="b">
        <v>0</v>
      </c>
      <c r="AD4180">
        <f>IF(U4180="","MISSING_TOTAL",IF(ABS(AB4180)&lt;=0.01,"OK","CHECK"))</f>
        <v/>
      </c>
      <c r="AE4180">
        <f>IF(U4180="","MISSING",IF(AND(AA4180&gt;0,U4180/AA4180&gt;50),"POSSIBLE_SCALE_ERROR","OK"))</f>
        <v/>
      </c>
    </row>
    <row r="4181">
      <c r="A4181" t="inlineStr">
        <is>
          <t>T-2015-Q3-00035</t>
        </is>
      </c>
      <c r="B4181" t="inlineStr">
        <is>
          <t>SLE</t>
        </is>
      </c>
      <c r="C4181" t="inlineStr">
        <is>
          <t>Senior Advisor (Energy)</t>
        </is>
      </c>
      <c r="D4181" t="inlineStr">
        <is>
          <t>Conseiller spécial (energie)</t>
        </is>
      </c>
      <c r="E4181" t="inlineStr">
        <is>
          <t>Andrew F. Noseworthy</t>
        </is>
      </c>
      <c r="F4181" t="inlineStr">
        <is>
          <t>Attend the Core Energy Conference; various meetings with private sector representatives</t>
        </is>
      </c>
      <c r="G4181" t="inlineStr">
        <is>
          <t>Assister à la conférence sur l'énergie de Core; diverses réunions avec des représentants du secteur privé</t>
        </is>
      </c>
      <c r="H4181" s="1" t="n">
        <v>41919</v>
      </c>
      <c r="I4181" s="1" t="n">
        <v>41922</v>
      </c>
      <c r="J4181" t="inlineStr">
        <is>
          <t>Halifax, Nova Scotia</t>
        </is>
      </c>
      <c r="K4181" t="inlineStr">
        <is>
          <t>Halifax (Nouvelle-Écosse)</t>
        </is>
      </c>
      <c r="P4181" t="n">
        <v>522.9</v>
      </c>
      <c r="Q4181" t="n">
        <v>148</v>
      </c>
      <c r="R4181" t="n">
        <v>328.44</v>
      </c>
      <c r="S4181" t="n">
        <v>260</v>
      </c>
      <c r="T4181" t="n">
        <v>76.25</v>
      </c>
      <c r="U4181" t="n">
        <v>1335.59</v>
      </c>
      <c r="X4181" t="inlineStr">
        <is>
          <t>acoa-apeca</t>
        </is>
      </c>
      <c r="Y4181" t="inlineStr">
        <is>
          <t>Atlantic Canada Opportunities Agency | Agence de promotion économique du Canada atlantique</t>
        </is>
      </c>
      <c r="Z4181" t="n">
        <v>4</v>
      </c>
      <c r="AA4181" t="n">
        <v>1335.59</v>
      </c>
      <c r="AB4181">
        <f>ROUND(U4181-AA4181,2)</f>
        <v/>
      </c>
      <c r="AC4181" t="b">
        <v>0</v>
      </c>
      <c r="AD4181">
        <f>IF(U4181="","MISSING_TOTAL",IF(ABS(AB4181)&lt;=0.01,"OK","CHECK"))</f>
        <v/>
      </c>
      <c r="AE4181">
        <f>IF(U4181="","MISSING",IF(AND(AA4181&gt;0,U4181/AA4181&gt;50),"POSSIBLE_SCALE_ERROR","OK"))</f>
        <v/>
      </c>
    </row>
    <row r="4182">
      <c r="A4182" t="inlineStr">
        <is>
          <t>T-2015-Q3-00013</t>
        </is>
      </c>
      <c r="B4182" t="inlineStr">
        <is>
          <t>SLE</t>
        </is>
      </c>
      <c r="C4182" t="inlineStr">
        <is>
          <t>Senior Advisor (Energy)</t>
        </is>
      </c>
      <c r="D4182" t="inlineStr">
        <is>
          <t>Conseiller spécial (energie)</t>
        </is>
      </c>
      <c r="E4182" t="inlineStr">
        <is>
          <t>Andrew F. Noseworthy</t>
        </is>
      </c>
      <c r="F4182" t="inlineStr">
        <is>
          <t>Attend Executive Committee meeting</t>
        </is>
      </c>
      <c r="G4182" t="inlineStr">
        <is>
          <t>Assister à une réunion du Comité de direction</t>
        </is>
      </c>
      <c r="H4182" s="1" t="n">
        <v>41892</v>
      </c>
      <c r="I4182" s="1" t="n">
        <v>41893</v>
      </c>
      <c r="J4182" t="inlineStr">
        <is>
          <t>Moncton, New Brunswick</t>
        </is>
      </c>
      <c r="K4182" t="inlineStr">
        <is>
          <t>Moncton (Nouveau-Brunswick)</t>
        </is>
      </c>
      <c r="P4182" t="n">
        <v>648.5599999999999</v>
      </c>
      <c r="Q4182" t="n">
        <v>47</v>
      </c>
      <c r="R4182" t="n">
        <v>113</v>
      </c>
      <c r="S4182" t="n">
        <v>135.45</v>
      </c>
      <c r="T4182" t="n">
        <v>28</v>
      </c>
      <c r="U4182" t="n">
        <v>972.01</v>
      </c>
      <c r="X4182" t="inlineStr">
        <is>
          <t>acoa-apeca</t>
        </is>
      </c>
      <c r="Y4182" t="inlineStr">
        <is>
          <t>Atlantic Canada Opportunities Agency | Agence de promotion économique du Canada atlantique</t>
        </is>
      </c>
      <c r="Z4182" t="n">
        <v>2</v>
      </c>
      <c r="AA4182" t="n">
        <v>972.01</v>
      </c>
      <c r="AB4182">
        <f>ROUND(U4182-AA4182,2)</f>
        <v/>
      </c>
      <c r="AC4182" t="b">
        <v>0</v>
      </c>
      <c r="AD4182">
        <f>IF(U4182="","MISSING_TOTAL",IF(ABS(AB4182)&lt;=0.01,"OK","CHECK"))</f>
        <v/>
      </c>
      <c r="AE4182">
        <f>IF(U4182="","MISSING",IF(AND(AA4182&gt;0,U4182/AA4182&gt;50),"POSSIBLE_SCALE_ERROR","OK"))</f>
        <v/>
      </c>
    </row>
    <row r="4183">
      <c r="A4183" t="inlineStr">
        <is>
          <t>T-2015-Q2-00052</t>
        </is>
      </c>
      <c r="B4183" t="inlineStr">
        <is>
          <t>SLE</t>
        </is>
      </c>
      <c r="C4183" t="inlineStr">
        <is>
          <t>Senior Advisor (Energy)</t>
        </is>
      </c>
      <c r="D4183" t="inlineStr">
        <is>
          <t>Conseiller spécial (energie)</t>
        </is>
      </c>
      <c r="E4183" t="inlineStr">
        <is>
          <t>Andrew F. Noseworthy</t>
        </is>
      </c>
      <c r="F4183" t="inlineStr">
        <is>
          <t>Attend International Upstream Forum; attend Offshore Northern Seas Conference in Norway. Meeting with High Commission officials in London</t>
        </is>
      </c>
      <c r="G4183" t="inlineStr">
        <is>
          <t>Assister au International Upstream Forum; assister à la Offshore Northern Seas Conference en Norvège; réunion avec des représentants du Haut-Commissariat à Londres</t>
        </is>
      </c>
      <c r="H4183" s="1" t="n">
        <v>41872</v>
      </c>
      <c r="I4183" s="1" t="n">
        <v>41890</v>
      </c>
      <c r="J4183" t="inlineStr">
        <is>
          <t>Stavanger, Norway and London, United Kingdom</t>
        </is>
      </c>
      <c r="K4183" t="inlineStr">
        <is>
          <t>Stavanger (Norvège) et Londres (Royaume-Uni)</t>
        </is>
      </c>
      <c r="P4183" t="n">
        <v>1588.39</v>
      </c>
      <c r="Q4183" t="n">
        <v>541.3200000000001</v>
      </c>
      <c r="R4183" t="n">
        <v>3187.27</v>
      </c>
      <c r="S4183" t="n">
        <v>1308.51</v>
      </c>
      <c r="T4183" t="n">
        <v>8.75</v>
      </c>
      <c r="U4183" t="n">
        <v>6634.24</v>
      </c>
      <c r="X4183" t="inlineStr">
        <is>
          <t>acoa-apeca</t>
        </is>
      </c>
      <c r="Y4183" t="inlineStr">
        <is>
          <t>Atlantic Canada Opportunities Agency | Agence de promotion économique du Canada atlantique</t>
        </is>
      </c>
      <c r="Z4183" t="n">
        <v>19</v>
      </c>
      <c r="AA4183" t="n">
        <v>6634.24</v>
      </c>
      <c r="AB4183">
        <f>ROUND(U4183-AA4183,2)</f>
        <v/>
      </c>
      <c r="AC4183" t="b">
        <v>0</v>
      </c>
      <c r="AD4183">
        <f>IF(U4183="","MISSING_TOTAL",IF(ABS(AB4183)&lt;=0.01,"OK","CHECK"))</f>
        <v/>
      </c>
      <c r="AE4183">
        <f>IF(U4183="","MISSING",IF(AND(AA4183&gt;0,U4183/AA4183&gt;50),"POSSIBLE_SCALE_ERROR","OK"))</f>
        <v/>
      </c>
    </row>
    <row r="4184">
      <c r="A4184" t="inlineStr">
        <is>
          <t>T-2015-Q2-00035</t>
        </is>
      </c>
      <c r="B4184" t="inlineStr">
        <is>
          <t>SLE</t>
        </is>
      </c>
      <c r="C4184" t="inlineStr">
        <is>
          <t>Senior Advisor (Energy)</t>
        </is>
      </c>
      <c r="D4184" t="inlineStr">
        <is>
          <t>Conseiller spécial (energie)</t>
        </is>
      </c>
      <c r="E4184" t="inlineStr">
        <is>
          <t>Andrew F. Noseworthy</t>
        </is>
      </c>
      <c r="F4184" t="inlineStr">
        <is>
          <t>Atlantic Energy Gateway meeting; energy-related site visits</t>
        </is>
      </c>
      <c r="G4184" t="inlineStr">
        <is>
          <t>Réunion de la Porte d'entrée de l'énergie de l'Atlantique; visites sur place liées à l'énergie</t>
        </is>
      </c>
      <c r="H4184" s="1" t="n">
        <v>41829</v>
      </c>
      <c r="I4184" s="1" t="n">
        <v>41830</v>
      </c>
      <c r="J4184" t="inlineStr">
        <is>
          <t>Halifax, Nova Scotia</t>
        </is>
      </c>
      <c r="K4184" t="inlineStr">
        <is>
          <t>Halifax (Nouvelle-Écosse)</t>
        </is>
      </c>
      <c r="P4184" t="n">
        <v>618.55</v>
      </c>
      <c r="Q4184" t="n">
        <v>89</v>
      </c>
      <c r="R4184" t="n">
        <v>174.78</v>
      </c>
      <c r="S4184" t="n">
        <v>134.75</v>
      </c>
      <c r="T4184" t="n">
        <v>28</v>
      </c>
      <c r="U4184" t="n">
        <v>1045.08</v>
      </c>
      <c r="X4184" t="inlineStr">
        <is>
          <t>acoa-apeca</t>
        </is>
      </c>
      <c r="Y4184" t="inlineStr">
        <is>
          <t>Atlantic Canada Opportunities Agency | Agence de promotion économique du Canada atlantique</t>
        </is>
      </c>
      <c r="Z4184" t="n">
        <v>2</v>
      </c>
      <c r="AA4184" t="n">
        <v>1045.08</v>
      </c>
      <c r="AB4184">
        <f>ROUND(U4184-AA4184,2)</f>
        <v/>
      </c>
      <c r="AC4184" t="b">
        <v>0</v>
      </c>
      <c r="AD4184">
        <f>IF(U4184="","MISSING_TOTAL",IF(ABS(AB4184)&lt;=0.01,"OK","CHECK"))</f>
        <v/>
      </c>
      <c r="AE4184">
        <f>IF(U4184="","MISSING",IF(AND(AA4184&gt;0,U4184/AA4184&gt;50),"POSSIBLE_SCALE_ERROR","OK"))</f>
        <v/>
      </c>
    </row>
    <row r="4185">
      <c r="A4185" t="inlineStr">
        <is>
          <t>T-2015-Q2-00026</t>
        </is>
      </c>
      <c r="B4185" t="inlineStr">
        <is>
          <t>SLE</t>
        </is>
      </c>
      <c r="C4185" t="inlineStr">
        <is>
          <t>Senior Advisor (Energy)</t>
        </is>
      </c>
      <c r="D4185" t="inlineStr">
        <is>
          <t>Conseiller spécial (energie)</t>
        </is>
      </c>
      <c r="E4185" t="inlineStr">
        <is>
          <t>Andrew F. Noseworthy</t>
        </is>
      </c>
      <c r="F4185" t="inlineStr">
        <is>
          <t>Various meetings with senior officials of other government departments, and private sector representatives</t>
        </is>
      </c>
      <c r="G4185" t="inlineStr">
        <is>
          <t>Diverses réunions avec des hauts fonctionnaires d'autres ministères et des représentants du secteur privé</t>
        </is>
      </c>
      <c r="H4185" s="1" t="n">
        <v>41815</v>
      </c>
      <c r="I4185" s="1" t="n">
        <v>41816</v>
      </c>
      <c r="J4185" t="inlineStr">
        <is>
          <t>Ottawa, Ontario; Toronto, Ontario</t>
        </is>
      </c>
      <c r="K4185" t="inlineStr">
        <is>
          <t>Ottawa (Ontario) et Toronto (Ontario)</t>
        </is>
      </c>
      <c r="P4185" t="n">
        <v>868.26</v>
      </c>
      <c r="Q4185" t="n">
        <v>170</v>
      </c>
      <c r="R4185" t="n">
        <v>182.83</v>
      </c>
      <c r="S4185" t="n">
        <v>139.45</v>
      </c>
      <c r="T4185" t="n">
        <v>0</v>
      </c>
      <c r="U4185" t="n">
        <v>1360.54</v>
      </c>
      <c r="X4185" t="inlineStr">
        <is>
          <t>acoa-apeca</t>
        </is>
      </c>
      <c r="Y4185" t="inlineStr">
        <is>
          <t>Atlantic Canada Opportunities Agency | Agence de promotion économique du Canada atlantique</t>
        </is>
      </c>
      <c r="Z4185" t="n">
        <v>2</v>
      </c>
      <c r="AA4185" t="n">
        <v>1360.54</v>
      </c>
      <c r="AB4185">
        <f>ROUND(U4185-AA4185,2)</f>
        <v/>
      </c>
      <c r="AC4185" t="b">
        <v>0</v>
      </c>
      <c r="AD4185">
        <f>IF(U4185="","MISSING_TOTAL",IF(ABS(AB4185)&lt;=0.01,"OK","CHECK"))</f>
        <v/>
      </c>
      <c r="AE4185">
        <f>IF(U4185="","MISSING",IF(AND(AA4185&gt;0,U4185/AA4185&gt;50),"POSSIBLE_SCALE_ERROR","OK"))</f>
        <v/>
      </c>
    </row>
    <row r="4186">
      <c r="A4186" t="inlineStr">
        <is>
          <t>T-2015-Q2-00015</t>
        </is>
      </c>
      <c r="B4186" t="inlineStr">
        <is>
          <t>SLE</t>
        </is>
      </c>
      <c r="C4186" t="inlineStr">
        <is>
          <t>Senior Advisor (Energy)</t>
        </is>
      </c>
      <c r="D4186" t="inlineStr">
        <is>
          <t>Conseiller spécial (energie)</t>
        </is>
      </c>
      <c r="E4186" t="inlineStr">
        <is>
          <t>Andrew F. Noseworthy</t>
        </is>
      </c>
      <c r="F4186" t="inlineStr">
        <is>
          <t>Executive Committee meeting</t>
        </is>
      </c>
      <c r="G4186" t="inlineStr">
        <is>
          <t>Réunion du Comité de direction</t>
        </is>
      </c>
      <c r="H4186" s="1" t="n">
        <v>41808</v>
      </c>
      <c r="I4186" s="1" t="n">
        <v>41809</v>
      </c>
      <c r="J4186" t="inlineStr">
        <is>
          <t>Moncton, New Brunswick</t>
        </is>
      </c>
      <c r="K4186" t="inlineStr">
        <is>
          <t>Moncton (Nouveau-Brunswick)</t>
        </is>
      </c>
      <c r="P4186" t="n">
        <v>951.09</v>
      </c>
      <c r="Q4186" t="n">
        <v>261.86</v>
      </c>
      <c r="R4186" t="n">
        <v>137.86</v>
      </c>
      <c r="S4186" t="n">
        <v>135.45</v>
      </c>
      <c r="T4186" t="n">
        <v>109.36</v>
      </c>
      <c r="U4186" t="n">
        <v>1595.62</v>
      </c>
      <c r="X4186" t="inlineStr">
        <is>
          <t>acoa-apeca</t>
        </is>
      </c>
      <c r="Y4186" t="inlineStr">
        <is>
          <t>Atlantic Canada Opportunities Agency | Agence de promotion économique du Canada atlantique</t>
        </is>
      </c>
      <c r="Z4186" t="n">
        <v>2</v>
      </c>
      <c r="AA4186" t="n">
        <v>1595.62</v>
      </c>
      <c r="AB4186">
        <f>ROUND(U4186-AA4186,2)</f>
        <v/>
      </c>
      <c r="AC4186" t="b">
        <v>0</v>
      </c>
      <c r="AD4186">
        <f>IF(U4186="","MISSING_TOTAL",IF(ABS(AB4186)&lt;=0.01,"OK","CHECK"))</f>
        <v/>
      </c>
      <c r="AE4186">
        <f>IF(U4186="","MISSING",IF(AND(AA4186&gt;0,U4186/AA4186&gt;50),"POSSIBLE_SCALE_ERROR","OK"))</f>
        <v/>
      </c>
    </row>
    <row r="4187">
      <c r="A4187" t="inlineStr">
        <is>
          <t>T-2015-Q1-00059</t>
        </is>
      </c>
      <c r="B4187" t="inlineStr">
        <is>
          <t>SLE</t>
        </is>
      </c>
      <c r="C4187" t="inlineStr">
        <is>
          <t>Senior Advisor (Energy)</t>
        </is>
      </c>
      <c r="D4187" t="inlineStr">
        <is>
          <t>Conseiller spécial (energie)</t>
        </is>
      </c>
      <c r="E4187" t="inlineStr">
        <is>
          <t>Andrew F. Noseworthy</t>
        </is>
      </c>
      <c r="F4187" t="inlineStr">
        <is>
          <t>Atlantic Innovation Fund board meeting and Atlantic Energy Gateway Steering Committee meeting</t>
        </is>
      </c>
      <c r="G4187" t="inlineStr">
        <is>
          <t>Réunions du Conseil du Fonds d'innovation de l'Atlantique et du Comité directeur de la Porte d'entrée de l'énergie de l'Atlantique</t>
        </is>
      </c>
      <c r="H4187" s="1" t="n">
        <v>41785</v>
      </c>
      <c r="I4187" s="1" t="n">
        <v>41788</v>
      </c>
      <c r="J4187" t="inlineStr">
        <is>
          <t>Moncton, New Brunswick</t>
        </is>
      </c>
      <c r="K4187" t="inlineStr">
        <is>
          <t>Moncton (Nouveau-Brunswick)</t>
        </is>
      </c>
      <c r="P4187" t="n">
        <v>1459.62</v>
      </c>
      <c r="Q4187" t="n">
        <v>161.75</v>
      </c>
      <c r="R4187" t="n">
        <v>339</v>
      </c>
      <c r="S4187" t="n">
        <v>190</v>
      </c>
      <c r="T4187" t="n">
        <v>71.73999999999999</v>
      </c>
      <c r="U4187" t="n">
        <v>2222.11</v>
      </c>
      <c r="X4187" t="inlineStr">
        <is>
          <t>acoa-apeca</t>
        </is>
      </c>
      <c r="Y4187" t="inlineStr">
        <is>
          <t>Atlantic Canada Opportunities Agency | Agence de promotion économique du Canada atlantique</t>
        </is>
      </c>
      <c r="Z4187" t="n">
        <v>4</v>
      </c>
      <c r="AA4187" t="n">
        <v>2222.10999999999</v>
      </c>
      <c r="AB4187">
        <f>ROUND(U4187-AA4187,2)</f>
        <v/>
      </c>
      <c r="AC4187" t="b">
        <v>0</v>
      </c>
      <c r="AD4187">
        <f>IF(U4187="","MISSING_TOTAL",IF(ABS(AB4187)&lt;=0.01,"OK","CHECK"))</f>
        <v/>
      </c>
      <c r="AE4187">
        <f>IF(U4187="","MISSING",IF(AND(AA4187&gt;0,U4187/AA4187&gt;50),"POSSIBLE_SCALE_ERROR","OK"))</f>
        <v/>
      </c>
    </row>
    <row r="4188">
      <c r="A4188" t="inlineStr">
        <is>
          <t>T-2015-Q1-00054</t>
        </is>
      </c>
      <c r="B4188" t="inlineStr">
        <is>
          <t>SLE</t>
        </is>
      </c>
      <c r="C4188" t="inlineStr">
        <is>
          <t>Senior Advisor (Energy)</t>
        </is>
      </c>
      <c r="D4188" t="inlineStr">
        <is>
          <t>Conseiller spécial (energie)</t>
        </is>
      </c>
      <c r="E4188" t="inlineStr">
        <is>
          <t>Andrew F. Noseworthy</t>
        </is>
      </c>
      <c r="F4188" t="inlineStr">
        <is>
          <t>Attend Nova Scotia Energy Research and Development Forum 2014 and meetings with Nova Scotia Energy and Industry officials</t>
        </is>
      </c>
      <c r="G4188" t="inlineStr">
        <is>
          <t>Assister au Forum sur la recherche-développement énergétique de la Nouvelle-Écosse de 2014 et à des réunions avec des représentants de l'industrie de l'énergie de la Nouvelle-Écosse</t>
        </is>
      </c>
      <c r="H4188" s="1" t="n">
        <v>41779</v>
      </c>
      <c r="I4188" s="1" t="n">
        <v>41781</v>
      </c>
      <c r="J4188" t="inlineStr">
        <is>
          <t>Halifax, Nova Scotia</t>
        </is>
      </c>
      <c r="K4188" t="inlineStr">
        <is>
          <t>Halifax (Nouvelle-Écosse)</t>
        </is>
      </c>
      <c r="P4188" t="n">
        <v>730.65</v>
      </c>
      <c r="Q4188" t="n">
        <v>140</v>
      </c>
      <c r="R4188" t="n">
        <v>326.1</v>
      </c>
      <c r="S4188" t="n">
        <v>226.4</v>
      </c>
      <c r="T4188" t="n">
        <v>42</v>
      </c>
      <c r="U4188" t="n">
        <v>1465.15</v>
      </c>
      <c r="X4188" t="inlineStr">
        <is>
          <t>acoa-apeca</t>
        </is>
      </c>
      <c r="Y4188" t="inlineStr">
        <is>
          <t>Atlantic Canada Opportunities Agency | Agence de promotion économique du Canada atlantique</t>
        </is>
      </c>
      <c r="Z4188" t="n">
        <v>3</v>
      </c>
      <c r="AA4188" t="n">
        <v>1465.15</v>
      </c>
      <c r="AB4188">
        <f>ROUND(U4188-AA4188,2)</f>
        <v/>
      </c>
      <c r="AC4188" t="b">
        <v>0</v>
      </c>
      <c r="AD4188">
        <f>IF(U4188="","MISSING_TOTAL",IF(ABS(AB4188)&lt;=0.01,"OK","CHECK"))</f>
        <v/>
      </c>
      <c r="AE4188">
        <f>IF(U4188="","MISSING",IF(AND(AA4188&gt;0,U4188/AA4188&gt;50),"POSSIBLE_SCALE_ERROR","OK"))</f>
        <v/>
      </c>
    </row>
    <row r="4189">
      <c r="A4189" t="inlineStr">
        <is>
          <t>T-2015-Q1-00036</t>
        </is>
      </c>
      <c r="B4189" t="inlineStr">
        <is>
          <t>SLE</t>
        </is>
      </c>
      <c r="C4189" t="inlineStr">
        <is>
          <t>Senior Advisor (Energy)</t>
        </is>
      </c>
      <c r="D4189" t="inlineStr">
        <is>
          <t>Conseiller spécial (energie)</t>
        </is>
      </c>
      <c r="E4189" t="inlineStr">
        <is>
          <t>Andrew F. Noseworthy</t>
        </is>
      </c>
      <c r="F4189" t="inlineStr">
        <is>
          <t>Attend Offshore Technology Conference 2014 and meetings with Consular and Industry officials</t>
        </is>
      </c>
      <c r="G4189" t="inlineStr">
        <is>
          <t>Assister à la conférence Offshore Technology de 2014 et à des réunions avec des représentants du consulat et de l'industrie</t>
        </is>
      </c>
      <c r="H4189" s="1" t="n">
        <v>41761</v>
      </c>
      <c r="I4189" s="1" t="n">
        <v>41770</v>
      </c>
      <c r="J4189" t="inlineStr">
        <is>
          <t>Houston, Texas</t>
        </is>
      </c>
      <c r="K4189" t="inlineStr">
        <is>
          <t>Houston, Texas</t>
        </is>
      </c>
      <c r="P4189" t="n">
        <v>1183.89</v>
      </c>
      <c r="Q4189" t="n">
        <v>629.15</v>
      </c>
      <c r="R4189" t="n">
        <v>2221.58</v>
      </c>
      <c r="S4189" t="n">
        <v>435.7</v>
      </c>
      <c r="T4189" t="n">
        <v>0</v>
      </c>
      <c r="U4189" t="n">
        <v>4470.32</v>
      </c>
      <c r="X4189" t="inlineStr">
        <is>
          <t>acoa-apeca</t>
        </is>
      </c>
      <c r="Y4189" t="inlineStr">
        <is>
          <t>Atlantic Canada Opportunities Agency | Agence de promotion économique du Canada atlantique</t>
        </is>
      </c>
      <c r="Z4189" t="n">
        <v>10</v>
      </c>
      <c r="AA4189" t="n">
        <v>4470.32</v>
      </c>
      <c r="AB4189">
        <f>ROUND(U4189-AA4189,2)</f>
        <v/>
      </c>
      <c r="AC4189" t="b">
        <v>0</v>
      </c>
      <c r="AD4189">
        <f>IF(U4189="","MISSING_TOTAL",IF(ABS(AB4189)&lt;=0.01,"OK","CHECK"))</f>
        <v/>
      </c>
      <c r="AE4189">
        <f>IF(U4189="","MISSING",IF(AND(AA4189&gt;0,U4189/AA4189&gt;50),"POSSIBLE_SCALE_ERROR","OK"))</f>
        <v/>
      </c>
    </row>
    <row r="4190">
      <c r="A4190" t="inlineStr">
        <is>
          <t>T-2015-Q1-00024</t>
        </is>
      </c>
      <c r="B4190" t="inlineStr">
        <is>
          <t>SLE</t>
        </is>
      </c>
      <c r="C4190" t="inlineStr">
        <is>
          <t>Senior Advisor (Energy)</t>
        </is>
      </c>
      <c r="D4190" t="inlineStr">
        <is>
          <t>Conseiller spécial (energie)</t>
        </is>
      </c>
      <c r="E4190" t="inlineStr">
        <is>
          <t>Andrew F. Noseworthy</t>
        </is>
      </c>
      <c r="F4190" t="inlineStr">
        <is>
          <t>Meeting with Senior Federal and Provincial Officials in Halifax and Energy Meetings in Fredericton and Saint John</t>
        </is>
      </c>
      <c r="G4190" t="inlineStr">
        <is>
          <t>Réunions avec des hauts fonctionnaires fédéraux et provinciaux à Halifax et réunions liées à l'énergie à Fredericton et à Saint John</t>
        </is>
      </c>
      <c r="H4190" s="1" t="n">
        <v>41742</v>
      </c>
      <c r="I4190" s="1" t="n">
        <v>41745</v>
      </c>
      <c r="J4190" t="inlineStr">
        <is>
          <t>Halifax, Nova Scotia; Fredericton, New Brunswick; Saint John, New Brunswick</t>
        </is>
      </c>
      <c r="K4190" t="inlineStr">
        <is>
          <t>Halifax (Nouvelle-Écosse); Fredericton et Saint John (Nouveau-Brunswick)</t>
        </is>
      </c>
      <c r="P4190" t="n">
        <v>1069.04</v>
      </c>
      <c r="Q4190" t="n">
        <v>529.4400000000001</v>
      </c>
      <c r="R4190" t="n">
        <v>414.35</v>
      </c>
      <c r="S4190" t="n">
        <v>316.65</v>
      </c>
      <c r="T4190" t="n">
        <v>90.53</v>
      </c>
      <c r="U4190" t="n">
        <v>2420.01</v>
      </c>
      <c r="X4190" t="inlineStr">
        <is>
          <t>acoa-apeca</t>
        </is>
      </c>
      <c r="Y4190" t="inlineStr">
        <is>
          <t>Atlantic Canada Opportunities Agency | Agence de promotion économique du Canada atlantique</t>
        </is>
      </c>
      <c r="Z4190" t="n">
        <v>4</v>
      </c>
      <c r="AA4190" t="n">
        <v>2420.01</v>
      </c>
      <c r="AB4190">
        <f>ROUND(U4190-AA4190,2)</f>
        <v/>
      </c>
      <c r="AC4190" t="b">
        <v>0</v>
      </c>
      <c r="AD4190">
        <f>IF(U4190="","MISSING_TOTAL",IF(ABS(AB4190)&lt;=0.01,"OK","CHECK"))</f>
        <v/>
      </c>
      <c r="AE4190">
        <f>IF(U4190="","MISSING",IF(AND(AA4190&gt;0,U4190/AA4190&gt;50),"POSSIBLE_SCALE_ERROR","OK"))</f>
        <v/>
      </c>
    </row>
    <row r="4191">
      <c r="A4191" t="inlineStr">
        <is>
          <t>T-2014-Q4-00056</t>
        </is>
      </c>
      <c r="B4191" t="inlineStr">
        <is>
          <t>SLE</t>
        </is>
      </c>
      <c r="C4191" t="inlineStr">
        <is>
          <t>Senior Advisor (Energy)</t>
        </is>
      </c>
      <c r="D4191" t="inlineStr">
        <is>
          <t>Conseiller spécial (energie)</t>
        </is>
      </c>
      <c r="E4191" t="inlineStr">
        <is>
          <t>Andrew F. Noseworthy</t>
        </is>
      </c>
      <c r="F4191" t="inlineStr">
        <is>
          <t>Meeting with officials of the Association of Atlantic Universities and senior Agency officials</t>
        </is>
      </c>
      <c r="G4191" t="inlineStr">
        <is>
          <t>Réunion avec des représentants de l'Association des universités de l'Atlantique et des hauts fonctionnaires de l'Agence</t>
        </is>
      </c>
      <c r="H4191" s="1" t="n">
        <v>41690</v>
      </c>
      <c r="I4191" s="1" t="n">
        <v>41690</v>
      </c>
      <c r="J4191" t="inlineStr">
        <is>
          <t>Halifax, Nova Scotia</t>
        </is>
      </c>
      <c r="K4191" t="inlineStr">
        <is>
          <t>Halifax (Nouvelle-Écosse)</t>
        </is>
      </c>
      <c r="P4191" t="n">
        <v>1358.2</v>
      </c>
      <c r="Q4191" t="n">
        <v>214</v>
      </c>
      <c r="R4191" t="n">
        <v>0</v>
      </c>
      <c r="S4191" t="n">
        <v>57.1</v>
      </c>
      <c r="T4191" t="n">
        <v>24.5</v>
      </c>
      <c r="U4191" t="n">
        <v>1653.8</v>
      </c>
      <c r="X4191" t="inlineStr">
        <is>
          <t>acoa-apeca</t>
        </is>
      </c>
      <c r="Y4191" t="inlineStr">
        <is>
          <t>Atlantic Canada Opportunities Agency | Agence de promotion économique du Canada atlantique</t>
        </is>
      </c>
      <c r="Z4191" t="n">
        <v>1</v>
      </c>
      <c r="AA4191" t="n">
        <v>1653.8</v>
      </c>
      <c r="AB4191">
        <f>ROUND(U4191-AA4191,2)</f>
        <v/>
      </c>
      <c r="AC4191" t="b">
        <v>0</v>
      </c>
      <c r="AD4191">
        <f>IF(U4191="","MISSING_TOTAL",IF(ABS(AB4191)&lt;=0.01,"OK","CHECK"))</f>
        <v/>
      </c>
      <c r="AE4191">
        <f>IF(U4191="","MISSING",IF(AND(AA4191&gt;0,U4191/AA4191&gt;50),"POSSIBLE_SCALE_ERROR","OK"))</f>
        <v/>
      </c>
    </row>
    <row r="4192">
      <c r="A4192" t="inlineStr">
        <is>
          <t>T-2014-Q4-00051</t>
        </is>
      </c>
      <c r="B4192" t="inlineStr">
        <is>
          <t>SLE</t>
        </is>
      </c>
      <c r="C4192" t="inlineStr">
        <is>
          <t>Senior Advisor (Energy)</t>
        </is>
      </c>
      <c r="D4192" t="inlineStr">
        <is>
          <t>Conseiller spécial (energie)</t>
        </is>
      </c>
      <c r="E4192" t="inlineStr">
        <is>
          <t>Andrew F. Noseworthy</t>
        </is>
      </c>
      <c r="F4192" t="inlineStr">
        <is>
          <t>Various meetings with senior Agency officials, and with senior officials from other government departments</t>
        </is>
      </c>
      <c r="G4192" t="inlineStr">
        <is>
          <t>Diverses réunions avec des hauts fonctionnaires de l'Agence et d'autres ministères</t>
        </is>
      </c>
      <c r="H4192" s="1" t="n">
        <v>41684</v>
      </c>
      <c r="I4192" s="1" t="n">
        <v>41687</v>
      </c>
      <c r="J4192" t="inlineStr">
        <is>
          <t>Ottawa, Ontario</t>
        </is>
      </c>
      <c r="K4192" t="inlineStr">
        <is>
          <t>Ottawa (Ontario)</t>
        </is>
      </c>
      <c r="P4192" t="n">
        <v>1358.2</v>
      </c>
      <c r="Q4192" t="n">
        <v>250</v>
      </c>
      <c r="R4192" t="n">
        <v>182.73</v>
      </c>
      <c r="S4192" t="n">
        <v>164.55</v>
      </c>
      <c r="T4192" t="n">
        <v>28.25</v>
      </c>
      <c r="U4192" t="n">
        <v>1983.73</v>
      </c>
      <c r="X4192" t="inlineStr">
        <is>
          <t>acoa-apeca</t>
        </is>
      </c>
      <c r="Y4192" t="inlineStr">
        <is>
          <t>Atlantic Canada Opportunities Agency | Agence de promotion économique du Canada atlantique</t>
        </is>
      </c>
      <c r="Z4192" t="n">
        <v>4</v>
      </c>
      <c r="AA4192" t="n">
        <v>1983.73</v>
      </c>
      <c r="AB4192">
        <f>ROUND(U4192-AA4192,2)</f>
        <v/>
      </c>
      <c r="AC4192" t="b">
        <v>0</v>
      </c>
      <c r="AD4192">
        <f>IF(U4192="","MISSING_TOTAL",IF(ABS(AB4192)&lt;=0.01,"OK","CHECK"))</f>
        <v/>
      </c>
      <c r="AE4192">
        <f>IF(U4192="","MISSING",IF(AND(AA4192&gt;0,U4192/AA4192&gt;50),"POSSIBLE_SCALE_ERROR","OK"))</f>
        <v/>
      </c>
    </row>
    <row r="4193">
      <c r="A4193" t="inlineStr">
        <is>
          <t>T-2013-Q3-00068</t>
        </is>
      </c>
      <c r="B4193" t="inlineStr">
        <is>
          <t>SLE</t>
        </is>
      </c>
      <c r="C4193" t="inlineStr">
        <is>
          <t>Senior Advisor (Energy)</t>
        </is>
      </c>
      <c r="D4193" t="inlineStr">
        <is>
          <t>Conseiller spécial (energie)</t>
        </is>
      </c>
      <c r="E4193" t="inlineStr">
        <is>
          <t>Andrew F. Noseworthy</t>
        </is>
      </c>
      <c r="F4193" t="inlineStr">
        <is>
          <t>Attend Energy, Trade and Technology Conference</t>
        </is>
      </c>
      <c r="G4193" t="inlineStr">
        <is>
          <t>Assister à l'Energy, Trade and Technology Conference</t>
        </is>
      </c>
      <c r="H4193" s="1" t="n">
        <v>41213</v>
      </c>
      <c r="I4193" s="1" t="n">
        <v>41216</v>
      </c>
      <c r="J4193" t="inlineStr">
        <is>
          <t>Boston, Massachusetts</t>
        </is>
      </c>
      <c r="K4193" t="inlineStr">
        <is>
          <t>Boston (Massachusetts)</t>
        </is>
      </c>
      <c r="P4193" t="n">
        <v>955.0700000000001</v>
      </c>
      <c r="Q4193" t="n">
        <v>152.92</v>
      </c>
      <c r="R4193" t="n">
        <v>961</v>
      </c>
      <c r="S4193" t="n">
        <v>238.51</v>
      </c>
      <c r="T4193" t="n">
        <v>0</v>
      </c>
      <c r="U4193" t="n">
        <v>2307.5</v>
      </c>
      <c r="X4193" t="inlineStr">
        <is>
          <t>acoa-apeca</t>
        </is>
      </c>
      <c r="Y4193" t="inlineStr">
        <is>
          <t>Atlantic Canada Opportunities Agency | Agence de promotion économique du Canada atlantique</t>
        </is>
      </c>
      <c r="Z4193" t="n">
        <v>4</v>
      </c>
      <c r="AA4193" t="n">
        <v>2307.5</v>
      </c>
      <c r="AB4193">
        <f>ROUND(U4193-AA4193,2)</f>
        <v/>
      </c>
      <c r="AC4193" t="b">
        <v>0</v>
      </c>
      <c r="AD4193">
        <f>IF(U4193="","MISSING_TOTAL",IF(ABS(AB4193)&lt;=0.01,"OK","CHECK"))</f>
        <v/>
      </c>
      <c r="AE4193">
        <f>IF(U4193="","MISSING",IF(AND(AA4193&gt;0,U4193/AA4193&gt;50),"POSSIBLE_SCALE_ERROR","OK"))</f>
        <v/>
      </c>
    </row>
    <row r="4194">
      <c r="A4194" t="inlineStr">
        <is>
          <t>T-2014-Q4-00035</t>
        </is>
      </c>
      <c r="B4194" t="inlineStr">
        <is>
          <t>SLE</t>
        </is>
      </c>
      <c r="C4194" t="inlineStr">
        <is>
          <t>Senior Advisor (Energy)</t>
        </is>
      </c>
      <c r="D4194" t="inlineStr">
        <is>
          <t>Conseiller spécial (energie)</t>
        </is>
      </c>
      <c r="E4194" t="inlineStr">
        <is>
          <t>Andrew F. Noseworthy</t>
        </is>
      </c>
      <c r="F4194" t="inlineStr">
        <is>
          <t>Meeting with senior Agency officials; meetings with senior provincial officials, and private sector representatives</t>
        </is>
      </c>
      <c r="G4194" t="inlineStr">
        <is>
          <t>Réunion avec des hauts fonctionnaires de l'Agence et réunions avec des hauts fonctionnaires provinciaux et des représentants du secteur privé</t>
        </is>
      </c>
      <c r="H4194" s="1" t="n">
        <v>41666</v>
      </c>
      <c r="I4194" s="1" t="n">
        <v>41668</v>
      </c>
      <c r="J4194" t="inlineStr">
        <is>
          <t>Halifax, Nova Scotia</t>
        </is>
      </c>
      <c r="K4194" t="inlineStr">
        <is>
          <t>Halifax (Nouvelle-Écosse)</t>
        </is>
      </c>
      <c r="P4194" t="n">
        <v>1358.2</v>
      </c>
      <c r="Q4194" t="n">
        <v>202</v>
      </c>
      <c r="R4194" t="n">
        <v>279.18</v>
      </c>
      <c r="S4194" t="n">
        <v>198.25</v>
      </c>
      <c r="T4194" t="n">
        <v>7.25</v>
      </c>
      <c r="U4194" t="n">
        <v>2044.88</v>
      </c>
      <c r="X4194" t="inlineStr">
        <is>
          <t>acoa-apeca</t>
        </is>
      </c>
      <c r="Y4194" t="inlineStr">
        <is>
          <t>Atlantic Canada Opportunities Agency | Agence de promotion économique du Canada atlantique</t>
        </is>
      </c>
      <c r="Z4194" t="n">
        <v>3</v>
      </c>
      <c r="AA4194" t="n">
        <v>2044.88</v>
      </c>
      <c r="AB4194">
        <f>ROUND(U4194-AA4194,2)</f>
        <v/>
      </c>
      <c r="AC4194" t="b">
        <v>0</v>
      </c>
      <c r="AD4194">
        <f>IF(U4194="","MISSING_TOTAL",IF(ABS(AB4194)&lt;=0.01,"OK","CHECK"))</f>
        <v/>
      </c>
      <c r="AE4194">
        <f>IF(U4194="","MISSING",IF(AND(AA4194&gt;0,U4194/AA4194&gt;50),"POSSIBLE_SCALE_ERROR","OK"))</f>
        <v/>
      </c>
    </row>
    <row r="4195">
      <c r="A4195" t="inlineStr">
        <is>
          <t>T-2014-Q4-00015</t>
        </is>
      </c>
      <c r="B4195" t="inlineStr">
        <is>
          <t>SLE</t>
        </is>
      </c>
      <c r="C4195" t="inlineStr">
        <is>
          <t>Senior Advisor (Energy)</t>
        </is>
      </c>
      <c r="D4195" t="inlineStr">
        <is>
          <t>Conseiller spécial (energie)</t>
        </is>
      </c>
      <c r="E4195" t="inlineStr">
        <is>
          <t>Andrew F. Noseworthy</t>
        </is>
      </c>
      <c r="F4195" t="inlineStr">
        <is>
          <t>Meeting with Atlantic Innovation Fund board and senior Agency officials</t>
        </is>
      </c>
      <c r="G4195" t="inlineStr">
        <is>
          <t>Réunion avec le Conseil consultatif du Fonds d'innovation de l'Atlantique et des hauts fonctionnaires de l'Agence</t>
        </is>
      </c>
      <c r="H4195" s="1" t="n">
        <v>41647</v>
      </c>
      <c r="I4195" s="1" t="n">
        <v>41648</v>
      </c>
      <c r="J4195" t="inlineStr">
        <is>
          <t>Halifax, Nova Scotia</t>
        </is>
      </c>
      <c r="K4195" t="inlineStr">
        <is>
          <t>Halifax (Nouvelle-Écosse)</t>
        </is>
      </c>
      <c r="P4195" t="n">
        <v>1358.2</v>
      </c>
      <c r="Q4195" t="n">
        <v>105</v>
      </c>
      <c r="R4195" t="n">
        <v>113</v>
      </c>
      <c r="S4195" t="n">
        <v>149.45</v>
      </c>
      <c r="T4195" t="n">
        <v>37.25</v>
      </c>
      <c r="U4195" t="n">
        <v>1762.9</v>
      </c>
      <c r="X4195" t="inlineStr">
        <is>
          <t>acoa-apeca</t>
        </is>
      </c>
      <c r="Y4195" t="inlineStr">
        <is>
          <t>Atlantic Canada Opportunities Agency | Agence de promotion économique du Canada atlantique</t>
        </is>
      </c>
      <c r="Z4195" t="n">
        <v>2</v>
      </c>
      <c r="AA4195" t="n">
        <v>1762.9</v>
      </c>
      <c r="AB4195">
        <f>ROUND(U4195-AA4195,2)</f>
        <v/>
      </c>
      <c r="AC4195" t="b">
        <v>0</v>
      </c>
      <c r="AD4195">
        <f>IF(U4195="","MISSING_TOTAL",IF(ABS(AB4195)&lt;=0.01,"OK","CHECK"))</f>
        <v/>
      </c>
      <c r="AE4195">
        <f>IF(U4195="","MISSING",IF(AND(AA4195&gt;0,U4195/AA4195&gt;50),"POSSIBLE_SCALE_ERROR","OK"))</f>
        <v/>
      </c>
    </row>
    <row r="4196">
      <c r="A4196" t="inlineStr">
        <is>
          <t>T-2014-Q3-00027</t>
        </is>
      </c>
      <c r="B4196" t="inlineStr">
        <is>
          <t>SLE</t>
        </is>
      </c>
      <c r="C4196" t="inlineStr">
        <is>
          <t>Senior Advisor (Energy)</t>
        </is>
      </c>
      <c r="D4196" t="inlineStr">
        <is>
          <t>Conseiller spécial (energie)</t>
        </is>
      </c>
      <c r="E4196" t="inlineStr">
        <is>
          <t>Andrew F. Noseworthy</t>
        </is>
      </c>
      <c r="F4196" t="inlineStr">
        <is>
          <t>Various meetings with senior Agency officials, senior officials from other government departments, and senior industry officials; attend CORE Energy Conference;  Energy and Atlantic Innovation Fund meetings with senior Agency officials</t>
        </is>
      </c>
      <c r="G4196" t="inlineStr">
        <is>
          <t>Diverses réunions avec des hauts fonctionnaires de l'Agence et d'autres ministères et des cadres de l'industrie; assister à la conférence de CORE; réunions sur l'énergie et le Fonds d'innovation de l'Atlantique avec des hauts fonctionnaires de l'Agence</t>
        </is>
      </c>
      <c r="H4196" s="1" t="n">
        <v>41547</v>
      </c>
      <c r="I4196" s="1" t="n">
        <v>41550</v>
      </c>
      <c r="J4196" t="inlineStr">
        <is>
          <t>Fredericton, New Brunswick; Saint John, New Brunswick; Halifax, Nova Scotia; Ottawa, Ontario</t>
        </is>
      </c>
      <c r="K4196" t="inlineStr">
        <is>
          <t>Fredericton (Nouveau-Brunswick)/Saint John (Nouveau-Brunswick)/Halifax (Nouvelle-Écosse)/Ottawa (Ontario)</t>
        </is>
      </c>
      <c r="P4196" t="n">
        <v>1279.69</v>
      </c>
      <c r="Q4196" t="n">
        <v>303</v>
      </c>
      <c r="R4196" t="n">
        <v>475.98</v>
      </c>
      <c r="S4196" t="n">
        <v>314.95</v>
      </c>
      <c r="T4196" t="n">
        <v>61.25</v>
      </c>
      <c r="U4196" t="n">
        <v>2434.87</v>
      </c>
      <c r="X4196" t="inlineStr">
        <is>
          <t>acoa-apeca</t>
        </is>
      </c>
      <c r="Y4196" t="inlineStr">
        <is>
          <t>Atlantic Canada Opportunities Agency | Agence de promotion économique du Canada atlantique</t>
        </is>
      </c>
      <c r="Z4196" t="n">
        <v>4</v>
      </c>
      <c r="AA4196" t="n">
        <v>2434.87</v>
      </c>
      <c r="AB4196">
        <f>ROUND(U4196-AA4196,2)</f>
        <v/>
      </c>
      <c r="AC4196" t="b">
        <v>0</v>
      </c>
      <c r="AD4196">
        <f>IF(U4196="","MISSING_TOTAL",IF(ABS(AB4196)&lt;=0.01,"OK","CHECK"))</f>
        <v/>
      </c>
      <c r="AE4196">
        <f>IF(U4196="","MISSING",IF(AND(AA4196&gt;0,U4196/AA4196&gt;50),"POSSIBLE_SCALE_ERROR","OK"))</f>
        <v/>
      </c>
    </row>
    <row r="4197">
      <c r="A4197" t="inlineStr">
        <is>
          <t>T-2014-Q3-00019</t>
        </is>
      </c>
      <c r="B4197" t="inlineStr">
        <is>
          <t>SLE</t>
        </is>
      </c>
      <c r="C4197" t="inlineStr">
        <is>
          <t>Senior Advisor (Energy)</t>
        </is>
      </c>
      <c r="D4197" t="inlineStr">
        <is>
          <t>Conseiller spécial (energie)</t>
        </is>
      </c>
      <c r="E4197" t="inlineStr">
        <is>
          <t>Andrew F. Noseworthy</t>
        </is>
      </c>
      <c r="F4197" t="inlineStr">
        <is>
          <t>Attend the 5th International Upstream Forum; attend meeting on offshore licencing and industrial benefit issues</t>
        </is>
      </c>
      <c r="G4197" t="inlineStr">
        <is>
          <t>Assister au cinquième International Upstream Forum; assister à une réunion sur l'octroi de permis d'exploitation extracôtière et les retombées industrielles</t>
        </is>
      </c>
      <c r="H4197" s="1" t="n">
        <v>41540</v>
      </c>
      <c r="I4197" s="1" t="n">
        <v>41543</v>
      </c>
      <c r="J4197" t="inlineStr">
        <is>
          <t>Washington, District of Columbia, United States</t>
        </is>
      </c>
      <c r="K4197" t="inlineStr">
        <is>
          <t>Washington, district de Columbia (États-Unis)</t>
        </is>
      </c>
      <c r="P4197" t="n">
        <v>1809.59</v>
      </c>
      <c r="Q4197" t="n">
        <v>108.09</v>
      </c>
      <c r="R4197" t="n">
        <v>1237.28</v>
      </c>
      <c r="S4197" t="n">
        <v>308.97</v>
      </c>
      <c r="T4197" t="n">
        <v>56</v>
      </c>
      <c r="U4197" t="n">
        <v>3519.93</v>
      </c>
      <c r="X4197" t="inlineStr">
        <is>
          <t>acoa-apeca</t>
        </is>
      </c>
      <c r="Y4197" t="inlineStr">
        <is>
          <t>Atlantic Canada Opportunities Agency | Agence de promotion économique du Canada atlantique</t>
        </is>
      </c>
      <c r="Z4197" t="n">
        <v>4</v>
      </c>
      <c r="AA4197" t="n">
        <v>3519.93</v>
      </c>
      <c r="AB4197">
        <f>ROUND(U4197-AA4197,2)</f>
        <v/>
      </c>
      <c r="AC4197" t="b">
        <v>0</v>
      </c>
      <c r="AD4197">
        <f>IF(U4197="","MISSING_TOTAL",IF(ABS(AB4197)&lt;=0.01,"OK","CHECK"))</f>
        <v/>
      </c>
      <c r="AE4197">
        <f>IF(U4197="","MISSING",IF(AND(AA4197&gt;0,U4197/AA4197&gt;50),"POSSIBLE_SCALE_ERROR","OK"))</f>
        <v/>
      </c>
    </row>
    <row r="4198">
      <c r="A4198" t="inlineStr">
        <is>
          <t>T-2014-Q3-00016</t>
        </is>
      </c>
      <c r="B4198" t="inlineStr">
        <is>
          <t>SLE</t>
        </is>
      </c>
      <c r="C4198" t="inlineStr">
        <is>
          <t>Senior Advisor (Energy)</t>
        </is>
      </c>
      <c r="D4198" t="inlineStr">
        <is>
          <t>Conseiller spécial (energie)</t>
        </is>
      </c>
      <c r="E4198" t="inlineStr">
        <is>
          <t>Andrew F. Noseworthy</t>
        </is>
      </c>
      <c r="F4198" t="inlineStr">
        <is>
          <t>Meetings with senior Agency officials</t>
        </is>
      </c>
      <c r="G4198" t="inlineStr">
        <is>
          <t>Réunions avec des hauts fonctionnaires de l'Agence</t>
        </is>
      </c>
      <c r="H4198" s="1" t="n">
        <v>41535</v>
      </c>
      <c r="I4198" s="1" t="n">
        <v>41536</v>
      </c>
      <c r="J4198" t="inlineStr">
        <is>
          <t>Moncton, New Brunswick</t>
        </is>
      </c>
      <c r="K4198" t="inlineStr">
        <is>
          <t>Moncton (Nouveau-Brunswick)</t>
        </is>
      </c>
      <c r="P4198" t="n">
        <v>393.52</v>
      </c>
      <c r="Q4198" t="n">
        <v>128.89</v>
      </c>
      <c r="R4198" t="n">
        <v>113</v>
      </c>
      <c r="S4198" t="n">
        <v>164.55</v>
      </c>
      <c r="T4198" t="n">
        <v>50.41</v>
      </c>
      <c r="U4198" t="n">
        <v>850.37</v>
      </c>
      <c r="X4198" t="inlineStr">
        <is>
          <t>acoa-apeca</t>
        </is>
      </c>
      <c r="Y4198" t="inlineStr">
        <is>
          <t>Atlantic Canada Opportunities Agency | Agence de promotion économique du Canada atlantique</t>
        </is>
      </c>
      <c r="Z4198" t="n">
        <v>2</v>
      </c>
      <c r="AA4198" t="n">
        <v>850.37</v>
      </c>
      <c r="AB4198">
        <f>ROUND(U4198-AA4198,2)</f>
        <v/>
      </c>
      <c r="AC4198" t="b">
        <v>0</v>
      </c>
      <c r="AD4198">
        <f>IF(U4198="","MISSING_TOTAL",IF(ABS(AB4198)&lt;=0.01,"OK","CHECK"))</f>
        <v/>
      </c>
      <c r="AE4198">
        <f>IF(U4198="","MISSING",IF(AND(AA4198&gt;0,U4198/AA4198&gt;50),"POSSIBLE_SCALE_ERROR","OK"))</f>
        <v/>
      </c>
    </row>
    <row r="4199">
      <c r="A4199" t="inlineStr">
        <is>
          <t>T-2014-Q2-00045</t>
        </is>
      </c>
      <c r="B4199" t="inlineStr">
        <is>
          <t>SLE</t>
        </is>
      </c>
      <c r="C4199" t="inlineStr">
        <is>
          <t>Senior Advisor (Energy)</t>
        </is>
      </c>
      <c r="D4199" t="inlineStr">
        <is>
          <t>Conseiller spécial (energie)</t>
        </is>
      </c>
      <c r="E4199" t="inlineStr">
        <is>
          <t>Andrew F. Noseworthy</t>
        </is>
      </c>
      <c r="F4199" t="inlineStr">
        <is>
          <t>Participate in trade mission to Offshore Europe 2013 Conference; meeting with Canadian High Commission officials</t>
        </is>
      </c>
      <c r="G4199" t="inlineStr">
        <is>
          <t>Participer à une mission commerciale à la conférence Offshore Europe 2013; réunion avec des représentants du Haut-commissariat du Canada</t>
        </is>
      </c>
      <c r="H4199" s="1" t="n">
        <v>41516</v>
      </c>
      <c r="I4199" s="1" t="n">
        <v>41524</v>
      </c>
      <c r="J4199" t="inlineStr">
        <is>
          <t>Aberdeen, United Kingdom; London, United Kingdom</t>
        </is>
      </c>
      <c r="K4199" t="inlineStr">
        <is>
          <t>Aberdeen (Royaume-Uni)/Londres (Royaume-Uni)</t>
        </is>
      </c>
      <c r="P4199" t="n">
        <v>1565.55</v>
      </c>
      <c r="Q4199" t="n">
        <v>533.51</v>
      </c>
      <c r="R4199" t="n">
        <v>1847.17</v>
      </c>
      <c r="S4199" t="n">
        <v>1021.8</v>
      </c>
      <c r="T4199" t="n">
        <v>0</v>
      </c>
      <c r="U4199" t="n">
        <v>4968.03</v>
      </c>
      <c r="X4199" t="inlineStr">
        <is>
          <t>acoa-apeca</t>
        </is>
      </c>
      <c r="Y4199" t="inlineStr">
        <is>
          <t>Atlantic Canada Opportunities Agency | Agence de promotion économique du Canada atlantique</t>
        </is>
      </c>
      <c r="Z4199" t="n">
        <v>9</v>
      </c>
      <c r="AA4199" t="n">
        <v>4968.03</v>
      </c>
      <c r="AB4199">
        <f>ROUND(U4199-AA4199,2)</f>
        <v/>
      </c>
      <c r="AC4199" t="b">
        <v>0</v>
      </c>
      <c r="AD4199">
        <f>IF(U4199="","MISSING_TOTAL",IF(ABS(AB4199)&lt;=0.01,"OK","CHECK"))</f>
        <v/>
      </c>
      <c r="AE4199">
        <f>IF(U4199="","MISSING",IF(AND(AA4199&gt;0,U4199/AA4199&gt;50),"POSSIBLE_SCALE_ERROR","OK"))</f>
        <v/>
      </c>
    </row>
    <row r="4200">
      <c r="A4200" t="inlineStr">
        <is>
          <t>T-2014-Q2-00027</t>
        </is>
      </c>
      <c r="B4200" t="inlineStr">
        <is>
          <t>SLE</t>
        </is>
      </c>
      <c r="C4200" t="inlineStr">
        <is>
          <t>Senior Advisor (Energy)</t>
        </is>
      </c>
      <c r="D4200" t="inlineStr">
        <is>
          <t>Conseiller spécial (energie)</t>
        </is>
      </c>
      <c r="E4200" t="inlineStr">
        <is>
          <t>Andrew F. Noseworthy</t>
        </is>
      </c>
      <c r="F4200" t="inlineStr">
        <is>
          <t>Energy Ministers' meeting</t>
        </is>
      </c>
      <c r="G4200" t="inlineStr">
        <is>
          <t>Réunion avec des ministres de l'énergie</t>
        </is>
      </c>
      <c r="H4200" s="1" t="n">
        <v>41469</v>
      </c>
      <c r="I4200" s="1" t="n">
        <v>41470</v>
      </c>
      <c r="J4200" t="inlineStr">
        <is>
          <t>Pictou, Nova Scotia</t>
        </is>
      </c>
      <c r="K4200" t="inlineStr">
        <is>
          <t>Pictou (Nouvelle-Écosse)</t>
        </is>
      </c>
      <c r="P4200" t="n">
        <v>681.14</v>
      </c>
      <c r="Q4200" t="n">
        <v>84.95</v>
      </c>
      <c r="R4200" t="n">
        <v>142.47</v>
      </c>
      <c r="S4200" t="n">
        <v>92</v>
      </c>
      <c r="T4200" t="n">
        <v>27.5</v>
      </c>
      <c r="U4200" t="n">
        <v>1028.06</v>
      </c>
      <c r="X4200" t="inlineStr">
        <is>
          <t>acoa-apeca</t>
        </is>
      </c>
      <c r="Y4200" t="inlineStr">
        <is>
          <t>Atlantic Canada Opportunities Agency | Agence de promotion économique du Canada atlantique</t>
        </is>
      </c>
      <c r="Z4200" t="n">
        <v>2</v>
      </c>
      <c r="AA4200" t="n">
        <v>1028.06</v>
      </c>
      <c r="AB4200">
        <f>ROUND(U4200-AA4200,2)</f>
        <v/>
      </c>
      <c r="AC4200" t="b">
        <v>0</v>
      </c>
      <c r="AD4200">
        <f>IF(U4200="","MISSING_TOTAL",IF(ABS(AB4200)&lt;=0.01,"OK","CHECK"))</f>
        <v/>
      </c>
      <c r="AE4200">
        <f>IF(U4200="","MISSING",IF(AND(AA4200&gt;0,U4200/AA4200&gt;50),"POSSIBLE_SCALE_ERROR","OK"))</f>
        <v/>
      </c>
    </row>
    <row r="4201">
      <c r="A4201" t="inlineStr">
        <is>
          <t>T-2014-Q2-00025</t>
        </is>
      </c>
      <c r="B4201" t="inlineStr">
        <is>
          <t>SLE</t>
        </is>
      </c>
      <c r="C4201" t="inlineStr">
        <is>
          <t>Senior Advisor (Energy)</t>
        </is>
      </c>
      <c r="D4201" t="inlineStr">
        <is>
          <t>Conseiller spécial (energie)</t>
        </is>
      </c>
      <c r="E4201" t="inlineStr">
        <is>
          <t>Andrew F. Noseworthy</t>
        </is>
      </c>
      <c r="F4201" t="inlineStr">
        <is>
          <t>Various meetings with senior Agency officials, and officials from other federal government departments</t>
        </is>
      </c>
      <c r="G4201" t="inlineStr">
        <is>
          <t>Diverses réunions avec des hauts fonctionnaires de l'Agence et des fonctionnaires d'autres ministères fédéraux</t>
        </is>
      </c>
      <c r="H4201" s="1" t="n">
        <v>41463</v>
      </c>
      <c r="I4201" s="1" t="n">
        <v>41464</v>
      </c>
      <c r="J4201" t="inlineStr">
        <is>
          <t>Ottawa, Ontario</t>
        </is>
      </c>
      <c r="K4201" t="inlineStr">
        <is>
          <t>Ottawa (Ontario)</t>
        </is>
      </c>
      <c r="P4201" t="n">
        <v>594.66</v>
      </c>
      <c r="Q4201" t="n">
        <v>168</v>
      </c>
      <c r="R4201" t="n">
        <v>182.73</v>
      </c>
      <c r="S4201" t="n">
        <v>179.7</v>
      </c>
      <c r="T4201" t="n">
        <v>0</v>
      </c>
      <c r="U4201" t="n">
        <v>1125.09</v>
      </c>
      <c r="X4201" t="inlineStr">
        <is>
          <t>acoa-apeca</t>
        </is>
      </c>
      <c r="Y4201" t="inlineStr">
        <is>
          <t>Atlantic Canada Opportunities Agency | Agence de promotion économique du Canada atlantique</t>
        </is>
      </c>
      <c r="Z4201" t="n">
        <v>2</v>
      </c>
      <c r="AA4201" t="n">
        <v>1125.09</v>
      </c>
      <c r="AB4201">
        <f>ROUND(U4201-AA4201,2)</f>
        <v/>
      </c>
      <c r="AC4201" t="b">
        <v>0</v>
      </c>
      <c r="AD4201">
        <f>IF(U4201="","MISSING_TOTAL",IF(ABS(AB4201)&lt;=0.01,"OK","CHECK"))</f>
        <v/>
      </c>
      <c r="AE4201">
        <f>IF(U4201="","MISSING",IF(AND(AA4201&gt;0,U4201/AA4201&gt;50),"POSSIBLE_SCALE_ERROR","OK"))</f>
        <v/>
      </c>
    </row>
    <row r="4202">
      <c r="A4202" t="inlineStr">
        <is>
          <t>T-2014-Q2-00015</t>
        </is>
      </c>
      <c r="B4202" t="inlineStr">
        <is>
          <t>SLE</t>
        </is>
      </c>
      <c r="C4202" t="inlineStr">
        <is>
          <t>Senior Advisor (Energy)</t>
        </is>
      </c>
      <c r="D4202" t="inlineStr">
        <is>
          <t>Conseiller spécial (energie)</t>
        </is>
      </c>
      <c r="E4202" t="inlineStr">
        <is>
          <t>Andrew F. Noseworthy</t>
        </is>
      </c>
      <c r="F4202" t="inlineStr">
        <is>
          <t>Various meetings with senior federal government officials and provincial and private sector representatives. Meeting with Agency officials and senior provincial government officials</t>
        </is>
      </c>
      <c r="G4202" t="inlineStr">
        <is>
          <t>Diverses réunions avec des hauts fonctionnaires fédéraux et des représentants du provincial et du privé. Réunion avec des fonctionnaires de l'Agence et des hauts fonctionnaires provinciaux</t>
        </is>
      </c>
      <c r="H4202" s="1" t="n">
        <v>41444</v>
      </c>
      <c r="I4202" s="1" t="n">
        <v>41446</v>
      </c>
      <c r="J4202" t="inlineStr">
        <is>
          <t>Halifax, Nova Scotia</t>
        </is>
      </c>
      <c r="K4202" t="inlineStr">
        <is>
          <t>Halifax (Nouvelle-Écosse)</t>
        </is>
      </c>
      <c r="P4202" t="n">
        <v>415.36</v>
      </c>
      <c r="Q4202" t="n">
        <v>140</v>
      </c>
      <c r="R4202" t="n">
        <v>363.64</v>
      </c>
      <c r="S4202" t="n">
        <v>196.5</v>
      </c>
      <c r="T4202" t="n">
        <v>13.5</v>
      </c>
      <c r="U4202" t="n">
        <v>1129</v>
      </c>
      <c r="X4202" t="inlineStr">
        <is>
          <t>acoa-apeca</t>
        </is>
      </c>
      <c r="Y4202" t="inlineStr">
        <is>
          <t>Atlantic Canada Opportunities Agency | Agence de promotion économique du Canada atlantique</t>
        </is>
      </c>
      <c r="Z4202" t="n">
        <v>3</v>
      </c>
      <c r="AA4202" t="n">
        <v>1129</v>
      </c>
      <c r="AB4202">
        <f>ROUND(U4202-AA4202,2)</f>
        <v/>
      </c>
      <c r="AC4202" t="b">
        <v>0</v>
      </c>
      <c r="AD4202">
        <f>IF(U4202="","MISSING_TOTAL",IF(ABS(AB4202)&lt;=0.01,"OK","CHECK"))</f>
        <v/>
      </c>
      <c r="AE4202">
        <f>IF(U4202="","MISSING",IF(AND(AA4202&gt;0,U4202/AA4202&gt;50),"POSSIBLE_SCALE_ERROR","OK"))</f>
        <v/>
      </c>
    </row>
    <row r="4203">
      <c r="A4203" t="inlineStr">
        <is>
          <t>T-2014-Q2-00008</t>
        </is>
      </c>
      <c r="B4203" t="inlineStr">
        <is>
          <t>SLE</t>
        </is>
      </c>
      <c r="C4203" t="inlineStr">
        <is>
          <t>Senior Advisor (Energy)</t>
        </is>
      </c>
      <c r="D4203" t="inlineStr">
        <is>
          <t>Conseiller spécial (energie)</t>
        </is>
      </c>
      <c r="E4203" t="inlineStr">
        <is>
          <t>Andrew F. Noseworthy</t>
        </is>
      </c>
      <c r="F4203" t="inlineStr">
        <is>
          <t>Meeting with senior Agency officials</t>
        </is>
      </c>
      <c r="G4203" t="inlineStr">
        <is>
          <t>Réunion avec des hauts fonctionnaires de l'Agence</t>
        </is>
      </c>
      <c r="H4203" s="1" t="n">
        <v>41437</v>
      </c>
      <c r="I4203" s="1" t="n">
        <v>41439</v>
      </c>
      <c r="J4203" t="inlineStr">
        <is>
          <t>Moncton, New Brunswick</t>
        </is>
      </c>
      <c r="K4203" t="inlineStr">
        <is>
          <t>Moncton (Nouveau-Brunswick)</t>
        </is>
      </c>
      <c r="P4203" t="n">
        <v>496.9</v>
      </c>
      <c r="Q4203" t="n">
        <v>196.01</v>
      </c>
      <c r="R4203" t="n">
        <v>226</v>
      </c>
      <c r="S4203" t="n">
        <v>181.85</v>
      </c>
      <c r="T4203" t="n">
        <v>72.56999999999999</v>
      </c>
      <c r="U4203" t="n">
        <v>1173.33</v>
      </c>
      <c r="X4203" t="inlineStr">
        <is>
          <t>acoa-apeca</t>
        </is>
      </c>
      <c r="Y4203" t="inlineStr">
        <is>
          <t>Atlantic Canada Opportunities Agency | Agence de promotion économique du Canada atlantique</t>
        </is>
      </c>
      <c r="Z4203" t="n">
        <v>3</v>
      </c>
      <c r="AA4203" t="n">
        <v>1173.33</v>
      </c>
      <c r="AB4203">
        <f>ROUND(U4203-AA4203,2)</f>
        <v/>
      </c>
      <c r="AC4203" t="b">
        <v>0</v>
      </c>
      <c r="AD4203">
        <f>IF(U4203="","MISSING_TOTAL",IF(ABS(AB4203)&lt;=0.01,"OK","CHECK"))</f>
        <v/>
      </c>
      <c r="AE4203">
        <f>IF(U4203="","MISSING",IF(AND(AA4203&gt;0,U4203/AA4203&gt;50),"POSSIBLE_SCALE_ERROR","OK"))</f>
        <v/>
      </c>
    </row>
    <row r="4204">
      <c r="A4204" t="inlineStr">
        <is>
          <t>T-2014-Q1-00054</t>
        </is>
      </c>
      <c r="B4204" t="inlineStr">
        <is>
          <t>SLE</t>
        </is>
      </c>
      <c r="C4204" t="inlineStr">
        <is>
          <t>Senior Advisor (Energy)</t>
        </is>
      </c>
      <c r="D4204" t="inlineStr">
        <is>
          <t>Conseiller spécial (energie)</t>
        </is>
      </c>
      <c r="E4204" t="inlineStr">
        <is>
          <t>Andrew F. Noseworthy</t>
        </is>
      </c>
      <c r="F4204" t="inlineStr">
        <is>
          <t>Various meetings with senior officials of  the Agency and other government departments</t>
        </is>
      </c>
      <c r="G4204" t="inlineStr">
        <is>
          <t>Participation à diverses réunions avec des hauts fonctionnaires de l'Agence et d'autres ministères</t>
        </is>
      </c>
      <c r="H4204" s="1" t="n">
        <v>41417</v>
      </c>
      <c r="I4204" s="1" t="n">
        <v>41418</v>
      </c>
      <c r="J4204" t="inlineStr">
        <is>
          <t>Ottawa, Ontario</t>
        </is>
      </c>
      <c r="K4204" t="inlineStr">
        <is>
          <t>Ottawa (Ontario)</t>
        </is>
      </c>
      <c r="P4204" t="n">
        <v>767.3099999999999</v>
      </c>
      <c r="Q4204" t="n">
        <v>161</v>
      </c>
      <c r="R4204" t="n">
        <v>177.41</v>
      </c>
      <c r="S4204" t="n">
        <v>122.8</v>
      </c>
      <c r="T4204" t="n">
        <v>0</v>
      </c>
      <c r="U4204" t="n">
        <v>1228.52</v>
      </c>
      <c r="X4204" t="inlineStr">
        <is>
          <t>acoa-apeca</t>
        </is>
      </c>
      <c r="Y4204" t="inlineStr">
        <is>
          <t>Atlantic Canada Opportunities Agency | Agence de promotion économique du Canada atlantique</t>
        </is>
      </c>
      <c r="Z4204" t="n">
        <v>2</v>
      </c>
      <c r="AA4204" t="n">
        <v>1228.52</v>
      </c>
      <c r="AB4204">
        <f>ROUND(U4204-AA4204,2)</f>
        <v/>
      </c>
      <c r="AC4204" t="b">
        <v>0</v>
      </c>
      <c r="AD4204">
        <f>IF(U4204="","MISSING_TOTAL",IF(ABS(AB4204)&lt;=0.01,"OK","CHECK"))</f>
        <v/>
      </c>
      <c r="AE4204">
        <f>IF(U4204="","MISSING",IF(AND(AA4204&gt;0,U4204/AA4204&gt;50),"POSSIBLE_SCALE_ERROR","OK"))</f>
        <v/>
      </c>
    </row>
    <row r="4205">
      <c r="A4205" t="inlineStr">
        <is>
          <t>T-2014-Q1-00048</t>
        </is>
      </c>
      <c r="B4205" t="inlineStr">
        <is>
          <t>SLE</t>
        </is>
      </c>
      <c r="C4205" t="inlineStr">
        <is>
          <t>Senior Advisor (Energy)</t>
        </is>
      </c>
      <c r="D4205" t="inlineStr">
        <is>
          <t>Conseiller spécial (energie)</t>
        </is>
      </c>
      <c r="E4205" t="inlineStr">
        <is>
          <t>Andrew F. Noseworthy</t>
        </is>
      </c>
      <c r="F4205" t="inlineStr">
        <is>
          <t>Various meetings with senior Agency officials, senior officials from other government departments, and private sector representatives in Halifax and Ottawa</t>
        </is>
      </c>
      <c r="G4205" t="inlineStr">
        <is>
          <t>Participation à diverses réunions avec des hauts fonctionnaires de l'Agence et d'autres ministères et des représentants du secteur privé à Halifax et à Ottawa</t>
        </is>
      </c>
      <c r="H4205" s="1" t="n">
        <v>41408</v>
      </c>
      <c r="I4205" s="1" t="n">
        <v>41409</v>
      </c>
      <c r="J4205" t="inlineStr">
        <is>
          <t>Halifax, Nova Scotia; Ottawa, Ontario</t>
        </is>
      </c>
      <c r="K4205" t="inlineStr">
        <is>
          <t>Halifax (Nouvelle-Écosse); Ottawa (Ontario)</t>
        </is>
      </c>
      <c r="P4205" t="n">
        <v>1125.69</v>
      </c>
      <c r="Q4205" t="n">
        <v>176</v>
      </c>
      <c r="R4205" t="n">
        <v>169.5</v>
      </c>
      <c r="S4205" t="n">
        <v>179.7</v>
      </c>
      <c r="T4205" t="n">
        <v>37.5</v>
      </c>
      <c r="U4205" t="n">
        <v>1688.39</v>
      </c>
      <c r="X4205" t="inlineStr">
        <is>
          <t>acoa-apeca</t>
        </is>
      </c>
      <c r="Y4205" t="inlineStr">
        <is>
          <t>Atlantic Canada Opportunities Agency | Agence de promotion économique du Canada atlantique</t>
        </is>
      </c>
      <c r="Z4205" t="n">
        <v>2</v>
      </c>
      <c r="AA4205" t="n">
        <v>1688.39</v>
      </c>
      <c r="AB4205">
        <f>ROUND(U4205-AA4205,2)</f>
        <v/>
      </c>
      <c r="AC4205" t="b">
        <v>0</v>
      </c>
      <c r="AD4205">
        <f>IF(U4205="","MISSING_TOTAL",IF(ABS(AB4205)&lt;=0.01,"OK","CHECK"))</f>
        <v/>
      </c>
      <c r="AE4205">
        <f>IF(U4205="","MISSING",IF(AND(AA4205&gt;0,U4205/AA4205&gt;50),"POSSIBLE_SCALE_ERROR","OK"))</f>
        <v/>
      </c>
    </row>
    <row r="4206">
      <c r="A4206" t="inlineStr">
        <is>
          <t>T-2014-Q1-00041</t>
        </is>
      </c>
      <c r="B4206" t="inlineStr">
        <is>
          <t>SLE</t>
        </is>
      </c>
      <c r="C4206" t="inlineStr">
        <is>
          <t>Senior Advisor (Energy)</t>
        </is>
      </c>
      <c r="D4206" t="inlineStr">
        <is>
          <t>Conseiller spécial (energie)</t>
        </is>
      </c>
      <c r="E4206" t="inlineStr">
        <is>
          <t>Andrew F. Noseworthy</t>
        </is>
      </c>
      <c r="F4206" t="inlineStr">
        <is>
          <t>Participate in Trade Mission to Offshore Technology Conference, meetings with private sector representatives, Houston, Texas</t>
        </is>
      </c>
      <c r="G4206" t="inlineStr">
        <is>
          <t>Participation à une mission commerciale au Salon des technologies extracôtières et à des réunions avec des représentants du secteur privé à Houston, au Texas</t>
        </is>
      </c>
      <c r="H4206" s="1" t="n">
        <v>41397</v>
      </c>
      <c r="I4206" s="1" t="n">
        <v>41405</v>
      </c>
      <c r="J4206" t="inlineStr">
        <is>
          <t>Houston, Texas</t>
        </is>
      </c>
      <c r="K4206" t="inlineStr">
        <is>
          <t>Houston (Texas)</t>
        </is>
      </c>
      <c r="P4206" t="n">
        <v>337.15</v>
      </c>
      <c r="Q4206" t="n">
        <v>694.3200000000001</v>
      </c>
      <c r="R4206" t="n">
        <v>1144.64</v>
      </c>
      <c r="S4206" t="n">
        <v>604.0599999999999</v>
      </c>
      <c r="T4206" t="n">
        <v>0</v>
      </c>
      <c r="U4206" t="n">
        <v>2780.17</v>
      </c>
      <c r="X4206" t="inlineStr">
        <is>
          <t>acoa-apeca</t>
        </is>
      </c>
      <c r="Y4206" t="inlineStr">
        <is>
          <t>Atlantic Canada Opportunities Agency | Agence de promotion économique du Canada atlantique</t>
        </is>
      </c>
      <c r="Z4206" t="n">
        <v>9</v>
      </c>
      <c r="AA4206" t="n">
        <v>2780.17</v>
      </c>
      <c r="AB4206">
        <f>ROUND(U4206-AA4206,2)</f>
        <v/>
      </c>
      <c r="AC4206" t="b">
        <v>0</v>
      </c>
      <c r="AD4206">
        <f>IF(U4206="","MISSING_TOTAL",IF(ABS(AB4206)&lt;=0.01,"OK","CHECK"))</f>
        <v/>
      </c>
      <c r="AE4206">
        <f>IF(U4206="","MISSING",IF(AND(AA4206&gt;0,U4206/AA4206&gt;50),"POSSIBLE_SCALE_ERROR","OK"))</f>
        <v/>
      </c>
    </row>
    <row r="4207">
      <c r="A4207" t="inlineStr">
        <is>
          <t>T-2014-Q1-00037</t>
        </is>
      </c>
      <c r="B4207" t="inlineStr">
        <is>
          <t>SLE</t>
        </is>
      </c>
      <c r="C4207" t="inlineStr">
        <is>
          <t>Senior Advisor (Energy)</t>
        </is>
      </c>
      <c r="D4207" t="inlineStr">
        <is>
          <t>Conseiller spécial (energie)</t>
        </is>
      </c>
      <c r="E4207" t="inlineStr">
        <is>
          <t>Andrew F. Noseworthy</t>
        </is>
      </c>
      <c r="F4207" t="inlineStr">
        <is>
          <t>Attend Marine and Defence Industry Forum</t>
        </is>
      </c>
      <c r="G4207" t="inlineStr">
        <is>
          <t>Participation au Forum des secteurs de la marine et de la défence</t>
        </is>
      </c>
      <c r="H4207" s="1" t="n">
        <v>41390</v>
      </c>
      <c r="I4207" s="1" t="n">
        <v>41390</v>
      </c>
      <c r="J4207" t="inlineStr">
        <is>
          <t>Halifax, Nova Scotia</t>
        </is>
      </c>
      <c r="K4207" t="inlineStr">
        <is>
          <t>Halifax (Nouvelle-Écosse)</t>
        </is>
      </c>
      <c r="P4207" t="n">
        <v>112.42</v>
      </c>
      <c r="Q4207" t="n">
        <v>150</v>
      </c>
      <c r="R4207" t="n">
        <v>0</v>
      </c>
      <c r="S4207" t="n">
        <v>72.55</v>
      </c>
      <c r="T4207" t="n">
        <v>28</v>
      </c>
      <c r="U4207" t="n">
        <v>362.97</v>
      </c>
      <c r="X4207" t="inlineStr">
        <is>
          <t>acoa-apeca</t>
        </is>
      </c>
      <c r="Y4207" t="inlineStr">
        <is>
          <t>Atlantic Canada Opportunities Agency | Agence de promotion économique du Canada atlantique</t>
        </is>
      </c>
      <c r="Z4207" t="n">
        <v>1</v>
      </c>
      <c r="AA4207" t="n">
        <v>362.97</v>
      </c>
      <c r="AB4207">
        <f>ROUND(U4207-AA4207,2)</f>
        <v/>
      </c>
      <c r="AC4207" t="b">
        <v>0</v>
      </c>
      <c r="AD4207">
        <f>IF(U4207="","MISSING_TOTAL",IF(ABS(AB4207)&lt;=0.01,"OK","CHECK"))</f>
        <v/>
      </c>
      <c r="AE4207">
        <f>IF(U4207="","MISSING",IF(AND(AA4207&gt;0,U4207/AA4207&gt;50),"POSSIBLE_SCALE_ERROR","OK"))</f>
        <v/>
      </c>
    </row>
    <row r="4208">
      <c r="A4208" t="inlineStr">
        <is>
          <t>T-2014-Q1-00029</t>
        </is>
      </c>
      <c r="B4208" t="inlineStr">
        <is>
          <t>SLE</t>
        </is>
      </c>
      <c r="C4208" t="inlineStr">
        <is>
          <t>Senior Advisor (Energy)</t>
        </is>
      </c>
      <c r="D4208" t="inlineStr">
        <is>
          <t>Conseiller spécial (energie)</t>
        </is>
      </c>
      <c r="E4208" t="inlineStr">
        <is>
          <t>Andrew F. Noseworthy</t>
        </is>
      </c>
      <c r="F4208" t="inlineStr">
        <is>
          <t>Various meetings with senior officials of Agency and other government departments; attend mandatory Human Resources training</t>
        </is>
      </c>
      <c r="G4208" t="inlineStr">
        <is>
          <t>Participation à diverses réunions avec des hauts fonctionnaires de l'Agence et d'autres ministères et à une formation obligatoire en ressources humaines</t>
        </is>
      </c>
      <c r="H4208" s="1" t="n">
        <v>41380</v>
      </c>
      <c r="I4208" s="1" t="n">
        <v>41381</v>
      </c>
      <c r="J4208" t="inlineStr">
        <is>
          <t>Ottawa, Ontario; Halifax, Nova Scotia</t>
        </is>
      </c>
      <c r="K4208" t="inlineStr">
        <is>
          <t>Ottawa (Ontario); Halifax (Nouvelle-Écosse)</t>
        </is>
      </c>
      <c r="P4208" t="n">
        <v>1263.89</v>
      </c>
      <c r="Q4208" t="n">
        <v>80</v>
      </c>
      <c r="R4208" t="n">
        <v>146.63</v>
      </c>
      <c r="S4208" t="n">
        <v>122.8</v>
      </c>
      <c r="T4208" t="n">
        <v>46.75</v>
      </c>
      <c r="U4208" t="n">
        <v>1660.07</v>
      </c>
      <c r="X4208" t="inlineStr">
        <is>
          <t>acoa-apeca</t>
        </is>
      </c>
      <c r="Y4208" t="inlineStr">
        <is>
          <t>Atlantic Canada Opportunities Agency | Agence de promotion économique du Canada atlantique</t>
        </is>
      </c>
      <c r="Z4208" t="n">
        <v>2</v>
      </c>
      <c r="AA4208" t="n">
        <v>1660.07</v>
      </c>
      <c r="AB4208">
        <f>ROUND(U4208-AA4208,2)</f>
        <v/>
      </c>
      <c r="AC4208" t="b">
        <v>0</v>
      </c>
      <c r="AD4208">
        <f>IF(U4208="","MISSING_TOTAL",IF(ABS(AB4208)&lt;=0.01,"OK","CHECK"))</f>
        <v/>
      </c>
      <c r="AE4208">
        <f>IF(U4208="","MISSING",IF(AND(AA4208&gt;0,U4208/AA4208&gt;50),"POSSIBLE_SCALE_ERROR","OK"))</f>
        <v/>
      </c>
    </row>
    <row r="4209">
      <c r="A4209" t="inlineStr">
        <is>
          <t>T-2014-Q1-00022</t>
        </is>
      </c>
      <c r="B4209" t="inlineStr">
        <is>
          <t>SLE</t>
        </is>
      </c>
      <c r="C4209" t="inlineStr">
        <is>
          <t>Senior Advisor (Energy)</t>
        </is>
      </c>
      <c r="D4209" t="inlineStr">
        <is>
          <t>Conseiller spécial (energie)</t>
        </is>
      </c>
      <c r="E4209" t="inlineStr">
        <is>
          <t>Andrew F. Noseworthy</t>
        </is>
      </c>
      <c r="F4209" t="inlineStr">
        <is>
          <t>Meeting of Atlantic Innovation Fund Advisory Board and various meetings with senior officials of Agency</t>
        </is>
      </c>
      <c r="G4209" t="inlineStr">
        <is>
          <t>Participation à une réunion du Conseil consultatif du Fonds d'innovation de l'Atlantique et à diverses réunions avec des hauts fonctionnaires de l'Agence</t>
        </is>
      </c>
      <c r="H4209" s="1" t="n">
        <v>41372</v>
      </c>
      <c r="I4209" s="1" t="n">
        <v>41374</v>
      </c>
      <c r="J4209" t="inlineStr">
        <is>
          <t>Moncton, New Brunswick</t>
        </is>
      </c>
      <c r="K4209" t="inlineStr">
        <is>
          <t>Moncton (Nouveau-Brunswick)</t>
        </is>
      </c>
      <c r="P4209" t="n">
        <v>559.04</v>
      </c>
      <c r="Q4209" t="n">
        <v>163.33</v>
      </c>
      <c r="R4209" t="n">
        <v>291.54</v>
      </c>
      <c r="S4209" t="n">
        <v>197</v>
      </c>
      <c r="T4209" t="n">
        <v>68.12</v>
      </c>
      <c r="U4209" t="n">
        <v>1279.03</v>
      </c>
      <c r="X4209" t="inlineStr">
        <is>
          <t>acoa-apeca</t>
        </is>
      </c>
      <c r="Y4209" t="inlineStr">
        <is>
          <t>Atlantic Canada Opportunities Agency | Agence de promotion économique du Canada atlantique</t>
        </is>
      </c>
      <c r="Z4209" t="n">
        <v>3</v>
      </c>
      <c r="AA4209" t="n">
        <v>1279.03</v>
      </c>
      <c r="AB4209">
        <f>ROUND(U4209-AA4209,2)</f>
        <v/>
      </c>
      <c r="AC4209" t="b">
        <v>0</v>
      </c>
      <c r="AD4209">
        <f>IF(U4209="","MISSING_TOTAL",IF(ABS(AB4209)&lt;=0.01,"OK","CHECK"))</f>
        <v/>
      </c>
      <c r="AE4209">
        <f>IF(U4209="","MISSING",IF(AND(AA4209&gt;0,U4209/AA4209&gt;50),"POSSIBLE_SCALE_ERROR","OK"))</f>
        <v/>
      </c>
    </row>
    <row r="4210">
      <c r="A4210" t="inlineStr">
        <is>
          <t>T-2014-Q1-00012</t>
        </is>
      </c>
      <c r="B4210" t="inlineStr">
        <is>
          <t>SLE</t>
        </is>
      </c>
      <c r="C4210" t="inlineStr">
        <is>
          <t>Senior Advisor (Energy)</t>
        </is>
      </c>
      <c r="D4210" t="inlineStr">
        <is>
          <t>Conseiller spécial (energie)</t>
        </is>
      </c>
      <c r="E4210" t="inlineStr">
        <is>
          <t>Andrew F. Noseworthy</t>
        </is>
      </c>
      <c r="F4210" t="inlineStr">
        <is>
          <t>Meeting of Federal Assistant Deputy Minister, Science and Technology Committee and various meetings with other senior Agency and government officials</t>
        </is>
      </c>
      <c r="G4210" t="inlineStr">
        <is>
          <t>Réunion du comité des sous-ministres adjoints fédéraux des sciences et de la technologie; réunions avec des hauts fonctionnaires de l'Agence et du gouvernement</t>
        </is>
      </c>
      <c r="H4210" s="1" t="n">
        <v>41346</v>
      </c>
      <c r="I4210" s="1" t="n">
        <v>41347</v>
      </c>
      <c r="J4210" t="inlineStr">
        <is>
          <t>Ottawa, Ontario</t>
        </is>
      </c>
      <c r="K4210" t="inlineStr">
        <is>
          <t>Ottawa (Ontario)</t>
        </is>
      </c>
      <c r="P4210" t="n">
        <v>716.12</v>
      </c>
      <c r="Q4210" t="n">
        <v>73</v>
      </c>
      <c r="R4210" t="n">
        <v>177.41</v>
      </c>
      <c r="S4210" t="n">
        <v>121.4</v>
      </c>
      <c r="T4210" t="n">
        <v>28</v>
      </c>
      <c r="U4210" t="n">
        <v>1115.93</v>
      </c>
      <c r="X4210" t="inlineStr">
        <is>
          <t>acoa-apeca</t>
        </is>
      </c>
      <c r="Y4210" t="inlineStr">
        <is>
          <t>Atlantic Canada Opportunities Agency | Agence de promotion économique du Canada atlantique</t>
        </is>
      </c>
      <c r="Z4210" t="n">
        <v>2</v>
      </c>
      <c r="AA4210" t="n">
        <v>1115.93</v>
      </c>
      <c r="AB4210">
        <f>ROUND(U4210-AA4210,2)</f>
        <v/>
      </c>
      <c r="AC4210" t="b">
        <v>0</v>
      </c>
      <c r="AD4210">
        <f>IF(U4210="","MISSING_TOTAL",IF(ABS(AB4210)&lt;=0.01,"OK","CHECK"))</f>
        <v/>
      </c>
      <c r="AE4210">
        <f>IF(U4210="","MISSING",IF(AND(AA4210&gt;0,U4210/AA4210&gt;50),"POSSIBLE_SCALE_ERROR","OK"))</f>
        <v/>
      </c>
    </row>
    <row r="4211">
      <c r="A4211" t="inlineStr">
        <is>
          <t>T-2014-Q1-00005</t>
        </is>
      </c>
      <c r="B4211" t="inlineStr">
        <is>
          <t>SLE</t>
        </is>
      </c>
      <c r="C4211" t="inlineStr">
        <is>
          <t>Senior Advisor (Energy)</t>
        </is>
      </c>
      <c r="D4211" t="inlineStr">
        <is>
          <t>Conseiller spécial (energie)</t>
        </is>
      </c>
      <c r="E4211" t="inlineStr">
        <is>
          <t>Andrew F. Noseworthy</t>
        </is>
      </c>
      <c r="F4211" t="inlineStr">
        <is>
          <t>Various meetings with senior officials of the Agency</t>
        </is>
      </c>
      <c r="G4211" t="inlineStr">
        <is>
          <t>Diverses réunions avec des hauts fonctionnaires de l'Agence</t>
        </is>
      </c>
      <c r="H4211" s="1" t="n">
        <v>41339</v>
      </c>
      <c r="I4211" s="1" t="n">
        <v>41340</v>
      </c>
      <c r="J4211" t="inlineStr">
        <is>
          <t>Halifax, Nova Scotia</t>
        </is>
      </c>
      <c r="K4211" t="inlineStr">
        <is>
          <t>Halifax (Nouvelle-Écosse)</t>
        </is>
      </c>
      <c r="P4211" t="n">
        <v>514.8</v>
      </c>
      <c r="Q4211" t="n">
        <v>140</v>
      </c>
      <c r="R4211" t="n">
        <v>139.59</v>
      </c>
      <c r="S4211" t="n">
        <v>147.7</v>
      </c>
      <c r="T4211" t="n">
        <v>32.5</v>
      </c>
      <c r="U4211" t="n">
        <v>974.59</v>
      </c>
      <c r="X4211" t="inlineStr">
        <is>
          <t>acoa-apeca</t>
        </is>
      </c>
      <c r="Y4211" t="inlineStr">
        <is>
          <t>Atlantic Canada Opportunities Agency | Agence de promotion économique du Canada atlantique</t>
        </is>
      </c>
      <c r="Z4211" t="n">
        <v>2</v>
      </c>
      <c r="AA4211" t="n">
        <v>974.589999999999</v>
      </c>
      <c r="AB4211">
        <f>ROUND(U4211-AA4211,2)</f>
        <v/>
      </c>
      <c r="AC4211" t="b">
        <v>0</v>
      </c>
      <c r="AD4211">
        <f>IF(U4211="","MISSING_TOTAL",IF(ABS(AB4211)&lt;=0.01,"OK","CHECK"))</f>
        <v/>
      </c>
      <c r="AE4211">
        <f>IF(U4211="","MISSING",IF(AND(AA4211&gt;0,U4211/AA4211&gt;50),"POSSIBLE_SCALE_ERROR","OK"))</f>
        <v/>
      </c>
    </row>
    <row r="4212">
      <c r="A4212" t="inlineStr">
        <is>
          <t>T-2013-Q4-00055</t>
        </is>
      </c>
      <c r="B4212" t="inlineStr">
        <is>
          <t>SLE</t>
        </is>
      </c>
      <c r="C4212" t="inlineStr">
        <is>
          <t>Senior Advisor (Energy)</t>
        </is>
      </c>
      <c r="D4212" t="inlineStr">
        <is>
          <t>Conseiller spécial (energie)</t>
        </is>
      </c>
      <c r="E4212" t="inlineStr">
        <is>
          <t>Andrew F. Noseworthy</t>
        </is>
      </c>
      <c r="F4212" t="inlineStr">
        <is>
          <t>Meetings with Senior Agency Officials</t>
        </is>
      </c>
      <c r="G4212" t="inlineStr">
        <is>
          <t>Réunions avec des hauts fonctionnaires de l'Agence</t>
        </is>
      </c>
      <c r="H4212" s="1" t="n">
        <v>41325</v>
      </c>
      <c r="I4212" s="1" t="n">
        <v>41326</v>
      </c>
      <c r="J4212" t="inlineStr">
        <is>
          <t>Moncton, New Brunswick</t>
        </is>
      </c>
      <c r="K4212" t="inlineStr">
        <is>
          <t>Moncton (Nouveau-Brunswick)</t>
        </is>
      </c>
      <c r="P4212" t="n">
        <v>1524.58</v>
      </c>
      <c r="Q4212" t="n">
        <v>259.45</v>
      </c>
      <c r="R4212" t="n">
        <v>134.47</v>
      </c>
      <c r="S4212" t="n">
        <v>147.7</v>
      </c>
      <c r="T4212" t="n">
        <v>22.41</v>
      </c>
      <c r="U4212" t="n">
        <v>2088.61</v>
      </c>
      <c r="X4212" t="inlineStr">
        <is>
          <t>acoa-apeca</t>
        </is>
      </c>
      <c r="Y4212" t="inlineStr">
        <is>
          <t>Atlantic Canada Opportunities Agency | Agence de promotion économique du Canada atlantique</t>
        </is>
      </c>
      <c r="Z4212" t="n">
        <v>2</v>
      </c>
      <c r="AA4212" t="n">
        <v>2088.60999999999</v>
      </c>
      <c r="AB4212">
        <f>ROUND(U4212-AA4212,2)</f>
        <v/>
      </c>
      <c r="AC4212" t="b">
        <v>0</v>
      </c>
      <c r="AD4212">
        <f>IF(U4212="","MISSING_TOTAL",IF(ABS(AB4212)&lt;=0.01,"OK","CHECK"))</f>
        <v/>
      </c>
      <c r="AE4212">
        <f>IF(U4212="","MISSING",IF(AND(AA4212&gt;0,U4212/AA4212&gt;50),"POSSIBLE_SCALE_ERROR","OK"))</f>
        <v/>
      </c>
    </row>
    <row r="4213">
      <c r="A4213" t="inlineStr">
        <is>
          <t>T-2013-Q4-00052</t>
        </is>
      </c>
      <c r="B4213" t="inlineStr">
        <is>
          <t>SLE</t>
        </is>
      </c>
      <c r="C4213" t="inlineStr">
        <is>
          <t>Senior Advisor (Energy)</t>
        </is>
      </c>
      <c r="D4213" t="inlineStr">
        <is>
          <t>Conseiller spécial (energie)</t>
        </is>
      </c>
      <c r="E4213" t="inlineStr">
        <is>
          <t>Andrew F. Noseworthy</t>
        </is>
      </c>
      <c r="F4213" t="inlineStr">
        <is>
          <t>Atlantic Conference on Public Administration panelist</t>
        </is>
      </c>
      <c r="G4213" t="inlineStr">
        <is>
          <t>Expert d'un groupe de discussion à la Conférence atlantique sur l'administration publique</t>
        </is>
      </c>
      <c r="H4213" s="1" t="n">
        <v>41319</v>
      </c>
      <c r="I4213" s="1" t="n">
        <v>41320</v>
      </c>
      <c r="J4213" t="inlineStr">
        <is>
          <t>Halifax, Nova Scotia</t>
        </is>
      </c>
      <c r="K4213" t="inlineStr">
        <is>
          <t>Halifax (Nouvelle-Écosse)</t>
        </is>
      </c>
      <c r="P4213" t="n">
        <v>1796.08</v>
      </c>
      <c r="Q4213" t="n">
        <v>213</v>
      </c>
      <c r="R4213" t="n">
        <v>127.86</v>
      </c>
      <c r="S4213" t="n">
        <v>132.7</v>
      </c>
      <c r="T4213" t="n">
        <v>18.5</v>
      </c>
      <c r="U4213" t="n">
        <v>2288.14</v>
      </c>
      <c r="X4213" t="inlineStr">
        <is>
          <t>acoa-apeca</t>
        </is>
      </c>
      <c r="Y4213" t="inlineStr">
        <is>
          <t>Atlantic Canada Opportunities Agency | Agence de promotion économique du Canada atlantique</t>
        </is>
      </c>
      <c r="Z4213" t="n">
        <v>2</v>
      </c>
      <c r="AA4213" t="n">
        <v>2288.14</v>
      </c>
      <c r="AB4213">
        <f>ROUND(U4213-AA4213,2)</f>
        <v/>
      </c>
      <c r="AC4213" t="b">
        <v>0</v>
      </c>
      <c r="AD4213">
        <f>IF(U4213="","MISSING_TOTAL",IF(ABS(AB4213)&lt;=0.01,"OK","CHECK"))</f>
        <v/>
      </c>
      <c r="AE4213">
        <f>IF(U4213="","MISSING",IF(AND(AA4213&gt;0,U4213/AA4213&gt;50),"POSSIBLE_SCALE_ERROR","OK"))</f>
        <v/>
      </c>
    </row>
    <row r="4214">
      <c r="A4214" t="inlineStr">
        <is>
          <t>T-2013-Q3-00049</t>
        </is>
      </c>
      <c r="B4214" t="inlineStr">
        <is>
          <t>SLE</t>
        </is>
      </c>
      <c r="C4214" t="inlineStr">
        <is>
          <t>Senior Advisor (Energy)</t>
        </is>
      </c>
      <c r="D4214" t="inlineStr">
        <is>
          <t>Conseiller spécial (energie)</t>
        </is>
      </c>
      <c r="E4214" t="inlineStr">
        <is>
          <t>Andrew F. Noseworthy</t>
        </is>
      </c>
      <c r="F4214" t="inlineStr">
        <is>
          <t>Meetings with Senior Agency officials</t>
        </is>
      </c>
      <c r="G4214" t="inlineStr">
        <is>
          <t>Réunions avec des hauts fonctionnaires de l'Agence</t>
        </is>
      </c>
      <c r="H4214" s="1" t="n">
        <v>41193</v>
      </c>
      <c r="I4214" s="1" t="n">
        <v>41193</v>
      </c>
      <c r="J4214" t="inlineStr">
        <is>
          <t>Moncton, New Brunswick</t>
        </is>
      </c>
      <c r="K4214" t="inlineStr">
        <is>
          <t>Moncton (Nouveau-Brunswick)</t>
        </is>
      </c>
      <c r="P4214" t="n">
        <v>865.51</v>
      </c>
      <c r="Q4214" t="n">
        <v>51</v>
      </c>
      <c r="R4214" t="n">
        <v>0</v>
      </c>
      <c r="S4214" t="n">
        <v>56.8</v>
      </c>
      <c r="T4214" t="n">
        <v>14</v>
      </c>
      <c r="U4214" t="n">
        <v>987.3099999999999</v>
      </c>
      <c r="X4214" t="inlineStr">
        <is>
          <t>acoa-apeca</t>
        </is>
      </c>
      <c r="Y4214" t="inlineStr">
        <is>
          <t>Atlantic Canada Opportunities Agency | Agence de promotion économique du Canada atlantique</t>
        </is>
      </c>
      <c r="Z4214" t="n">
        <v>1</v>
      </c>
      <c r="AA4214" t="n">
        <v>987.3099999999999</v>
      </c>
      <c r="AB4214">
        <f>ROUND(U4214-AA4214,2)</f>
        <v/>
      </c>
      <c r="AC4214" t="b">
        <v>0</v>
      </c>
      <c r="AD4214">
        <f>IF(U4214="","MISSING_TOTAL",IF(ABS(AB4214)&lt;=0.01,"OK","CHECK"))</f>
        <v/>
      </c>
      <c r="AE4214">
        <f>IF(U4214="","MISSING",IF(AND(AA4214&gt;0,U4214/AA4214&gt;50),"POSSIBLE_SCALE_ERROR","OK"))</f>
        <v/>
      </c>
    </row>
    <row r="4215">
      <c r="A4215" t="inlineStr">
        <is>
          <t>T-2013-Q4-00036</t>
        </is>
      </c>
      <c r="B4215" t="inlineStr">
        <is>
          <t>SLE</t>
        </is>
      </c>
      <c r="C4215" t="inlineStr">
        <is>
          <t>Senior Advisor (Energy)</t>
        </is>
      </c>
      <c r="D4215" t="inlineStr">
        <is>
          <t>Conseiller spécial (energie)</t>
        </is>
      </c>
      <c r="E4215" t="inlineStr">
        <is>
          <t>Andrew F. Noseworthy</t>
        </is>
      </c>
      <c r="F4215" t="inlineStr">
        <is>
          <t>Energy and skills meetings; Atlantic Canada Opportunities Board meeting; Atlantic Innovation Fund meetings</t>
        </is>
      </c>
      <c r="G4215" t="inlineStr">
        <is>
          <t>Réunions sur l'énergie et les compétences; réunion du Conseil de promotion économique du Canada atlantique; réunions du Fonds d'innovation de l'Atlantique</t>
        </is>
      </c>
      <c r="H4215" s="1" t="n">
        <v>41297</v>
      </c>
      <c r="I4215" s="1" t="n">
        <v>41297</v>
      </c>
      <c r="J4215" t="inlineStr">
        <is>
          <t>Ottawa, Ontario; Moncton, New Brunswick; Halifax, Nova Scotia</t>
        </is>
      </c>
      <c r="K4215" t="inlineStr">
        <is>
          <t>Ottawa (Ontario); Moncton (Nouveau-Brunswick); Halifax (Nouvelle-Écosse)</t>
        </is>
      </c>
      <c r="P4215" t="n">
        <v>1707.08</v>
      </c>
      <c r="Q4215" t="n">
        <v>499</v>
      </c>
      <c r="R4215" t="n">
        <v>505.18</v>
      </c>
      <c r="S4215" t="n">
        <v>358.7</v>
      </c>
      <c r="T4215" t="n">
        <v>6.25</v>
      </c>
      <c r="U4215" t="n">
        <v>3076.21</v>
      </c>
      <c r="X4215" t="inlineStr">
        <is>
          <t>acoa-apeca</t>
        </is>
      </c>
      <c r="Y4215" t="inlineStr">
        <is>
          <t>Atlantic Canada Opportunities Agency | Agence de promotion économique du Canada atlantique</t>
        </is>
      </c>
      <c r="Z4215" t="n">
        <v>1</v>
      </c>
      <c r="AA4215" t="n">
        <v>3076.20999999999</v>
      </c>
      <c r="AB4215">
        <f>ROUND(U4215-AA4215,2)</f>
        <v/>
      </c>
      <c r="AC4215" t="b">
        <v>0</v>
      </c>
      <c r="AD4215">
        <f>IF(U4215="","MISSING_TOTAL",IF(ABS(AB4215)&lt;=0.01,"OK","CHECK"))</f>
        <v/>
      </c>
      <c r="AE4215">
        <f>IF(U4215="","MISSING",IF(AND(AA4215&gt;0,U4215/AA4215&gt;50),"POSSIBLE_SCALE_ERROR","OK"))</f>
        <v/>
      </c>
    </row>
    <row r="4216">
      <c r="A4216" t="inlineStr">
        <is>
          <t>T-2013-Q4-00028</t>
        </is>
      </c>
      <c r="B4216" t="inlineStr">
        <is>
          <t>SLE</t>
        </is>
      </c>
      <c r="C4216" t="inlineStr">
        <is>
          <t>Senior Advisor (Energy)</t>
        </is>
      </c>
      <c r="D4216" t="inlineStr">
        <is>
          <t>Conseiller spécial (energie)</t>
        </is>
      </c>
      <c r="E4216" t="inlineStr">
        <is>
          <t>Andrew F. Noseworthy</t>
        </is>
      </c>
      <c r="F4216" t="inlineStr">
        <is>
          <t>Atlantic Workforce Partnership meeting;  energy meetings; meeting with Senior Agency Officials</t>
        </is>
      </c>
      <c r="G4216" t="inlineStr">
        <is>
          <t>Réunion du Partenariat pour la main-d'oeuvre de l'Atlantique; réunion portant sur l'énergie; réunion avec des hauts fonctionnaires de l'Agence</t>
        </is>
      </c>
      <c r="H4216" s="1" t="n">
        <v>41289</v>
      </c>
      <c r="I4216" s="1" t="n">
        <v>41291</v>
      </c>
      <c r="J4216" t="inlineStr">
        <is>
          <t>Halifax, Nova Scotia; Moncton, New Brunswick</t>
        </is>
      </c>
      <c r="K4216" t="inlineStr">
        <is>
          <t>Halifax (Nouvelle-Écosse); Moncton (Nouveau-Brunswick)</t>
        </is>
      </c>
      <c r="P4216" t="n">
        <v>1044.4</v>
      </c>
      <c r="Q4216" t="n">
        <v>179</v>
      </c>
      <c r="R4216" t="n">
        <v>252.59</v>
      </c>
      <c r="S4216" t="n">
        <v>221.8</v>
      </c>
      <c r="T4216" t="n">
        <v>29.25</v>
      </c>
      <c r="U4216" t="n">
        <v>1727.04</v>
      </c>
      <c r="X4216" t="inlineStr">
        <is>
          <t>acoa-apeca</t>
        </is>
      </c>
      <c r="Y4216" t="inlineStr">
        <is>
          <t>Atlantic Canada Opportunities Agency | Agence de promotion économique du Canada atlantique</t>
        </is>
      </c>
      <c r="Z4216" t="n">
        <v>3</v>
      </c>
      <c r="AA4216" t="n">
        <v>1727.04</v>
      </c>
      <c r="AB4216">
        <f>ROUND(U4216-AA4216,2)</f>
        <v/>
      </c>
      <c r="AC4216" t="b">
        <v>0</v>
      </c>
      <c r="AD4216">
        <f>IF(U4216="","MISSING_TOTAL",IF(ABS(AB4216)&lt;=0.01,"OK","CHECK"))</f>
        <v/>
      </c>
      <c r="AE4216">
        <f>IF(U4216="","MISSING",IF(AND(AA4216&gt;0,U4216/AA4216&gt;50),"POSSIBLE_SCALE_ERROR","OK"))</f>
        <v/>
      </c>
    </row>
    <row r="4217">
      <c r="A4217" t="inlineStr">
        <is>
          <t>T-2013-Q4-00017</t>
        </is>
      </c>
      <c r="B4217" t="inlineStr">
        <is>
          <t>SLE</t>
        </is>
      </c>
      <c r="C4217" t="inlineStr">
        <is>
          <t>Senior Advisor (Energy)</t>
        </is>
      </c>
      <c r="D4217" t="inlineStr">
        <is>
          <t>Conseiller spécial (energie)</t>
        </is>
      </c>
      <c r="E4217" t="inlineStr">
        <is>
          <t>Andrew F. Noseworthy</t>
        </is>
      </c>
      <c r="F4217" t="inlineStr">
        <is>
          <t>Meetings with Senior Agency Officials</t>
        </is>
      </c>
      <c r="G4217" t="inlineStr">
        <is>
          <t>Réunions avec des hauts fonctionnaires de l'Agence</t>
        </is>
      </c>
      <c r="H4217" s="1" t="n">
        <v>41261</v>
      </c>
      <c r="I4217" s="1" t="n">
        <v>41263</v>
      </c>
      <c r="J4217" t="inlineStr">
        <is>
          <t>Moncton, New Brunswick</t>
        </is>
      </c>
      <c r="K4217" t="inlineStr">
        <is>
          <t>Moncton (Nouveau-Brunswick)</t>
        </is>
      </c>
      <c r="P4217" t="n">
        <v>1048.24</v>
      </c>
      <c r="Q4217" t="n">
        <v>50</v>
      </c>
      <c r="R4217" t="n">
        <v>226</v>
      </c>
      <c r="S4217" t="n">
        <v>221.8</v>
      </c>
      <c r="T4217" t="n">
        <v>42</v>
      </c>
      <c r="U4217" t="n">
        <v>1588.04</v>
      </c>
      <c r="X4217" t="inlineStr">
        <is>
          <t>acoa-apeca</t>
        </is>
      </c>
      <c r="Y4217" t="inlineStr">
        <is>
          <t>Atlantic Canada Opportunities Agency | Agence de promotion économique du Canada atlantique</t>
        </is>
      </c>
      <c r="Z4217" t="n">
        <v>3</v>
      </c>
      <c r="AA4217" t="n">
        <v>1588.04</v>
      </c>
      <c r="AB4217">
        <f>ROUND(U4217-AA4217,2)</f>
        <v/>
      </c>
      <c r="AC4217" t="b">
        <v>0</v>
      </c>
      <c r="AD4217">
        <f>IF(U4217="","MISSING_TOTAL",IF(ABS(AB4217)&lt;=0.01,"OK","CHECK"))</f>
        <v/>
      </c>
      <c r="AE4217">
        <f>IF(U4217="","MISSING",IF(AND(AA4217&gt;0,U4217/AA4217&gt;50),"POSSIBLE_SCALE_ERROR","OK"))</f>
        <v/>
      </c>
    </row>
    <row r="4218">
      <c r="A4218" t="inlineStr">
        <is>
          <t>T-2013-Q4-00011</t>
        </is>
      </c>
      <c r="B4218" t="inlineStr">
        <is>
          <t>SLE</t>
        </is>
      </c>
      <c r="C4218" t="inlineStr">
        <is>
          <t>Senior Advisor (Energy)</t>
        </is>
      </c>
      <c r="D4218" t="inlineStr">
        <is>
          <t>Conseiller spécial (energie)</t>
        </is>
      </c>
      <c r="E4218" t="inlineStr">
        <is>
          <t>Andrew F. Noseworthy</t>
        </is>
      </c>
      <c r="F4218" t="inlineStr">
        <is>
          <t>Atlantic Innovation Fund meetings</t>
        </is>
      </c>
      <c r="G4218" t="inlineStr">
        <is>
          <t>Réunions du Fonds d'innovation de l'Atlantique</t>
        </is>
      </c>
      <c r="H4218" s="1" t="n">
        <v>41255</v>
      </c>
      <c r="I4218" s="1" t="n">
        <v>41256</v>
      </c>
      <c r="J4218" t="inlineStr">
        <is>
          <t>Halifax, Nova Scotia; Moncton, New Brunswick</t>
        </is>
      </c>
      <c r="K4218" t="inlineStr">
        <is>
          <t>Halifax (Nouvelle-Écosse); Moncton (Nouveau-Brunswick)</t>
        </is>
      </c>
      <c r="P4218" t="n">
        <v>906.5</v>
      </c>
      <c r="Q4218" t="n">
        <v>25</v>
      </c>
      <c r="R4218" t="n">
        <v>113</v>
      </c>
      <c r="S4218" t="n">
        <v>147.7</v>
      </c>
      <c r="T4218" t="n">
        <v>28</v>
      </c>
      <c r="U4218" t="n">
        <v>1220.2</v>
      </c>
      <c r="X4218" t="inlineStr">
        <is>
          <t>acoa-apeca</t>
        </is>
      </c>
      <c r="Y4218" t="inlineStr">
        <is>
          <t>Atlantic Canada Opportunities Agency | Agence de promotion économique du Canada atlantique</t>
        </is>
      </c>
      <c r="Z4218" t="n">
        <v>2</v>
      </c>
      <c r="AA4218" t="n">
        <v>1220.2</v>
      </c>
      <c r="AB4218">
        <f>ROUND(U4218-AA4218,2)</f>
        <v/>
      </c>
      <c r="AC4218" t="b">
        <v>0</v>
      </c>
      <c r="AD4218">
        <f>IF(U4218="","MISSING_TOTAL",IF(ABS(AB4218)&lt;=0.01,"OK","CHECK"))</f>
        <v/>
      </c>
      <c r="AE4218">
        <f>IF(U4218="","MISSING",IF(AND(AA4218&gt;0,U4218/AA4218&gt;50),"POSSIBLE_SCALE_ERROR","OK"))</f>
        <v/>
      </c>
    </row>
    <row r="4219">
      <c r="A4219" t="inlineStr">
        <is>
          <t>T-2013-Q3-00090</t>
        </is>
      </c>
      <c r="B4219" t="inlineStr">
        <is>
          <t>SLE</t>
        </is>
      </c>
      <c r="C4219" t="inlineStr">
        <is>
          <t>Senior Advisor (Energy)</t>
        </is>
      </c>
      <c r="D4219" t="inlineStr">
        <is>
          <t>Conseiller spécial (energie)</t>
        </is>
      </c>
      <c r="E4219" t="inlineStr">
        <is>
          <t>Andrew F. Noseworthy</t>
        </is>
      </c>
      <c r="F4219" t="inlineStr">
        <is>
          <t>Atlantic Innovation Fund Board meeting; Meetings with Agency staff</t>
        </is>
      </c>
      <c r="G4219" t="inlineStr">
        <is>
          <t>Réunion du Conseil du Fonds d'innovation de l'Atlantique; réunions avec le personnel de l'Agence</t>
        </is>
      </c>
      <c r="H4219" s="1" t="n">
        <v>41233</v>
      </c>
      <c r="I4219" s="1" t="n">
        <v>41234</v>
      </c>
      <c r="J4219" t="inlineStr">
        <is>
          <t>Moncton, New Brunswick</t>
        </is>
      </c>
      <c r="K4219" t="inlineStr">
        <is>
          <t>Moncton (Nouveau-Brunswick)</t>
        </is>
      </c>
      <c r="P4219" t="n">
        <v>1146.09</v>
      </c>
      <c r="Q4219" t="n">
        <v>43</v>
      </c>
      <c r="R4219" t="n">
        <v>134.47</v>
      </c>
      <c r="S4219" t="n">
        <v>163.2</v>
      </c>
      <c r="T4219" t="n">
        <v>28</v>
      </c>
      <c r="U4219" t="n">
        <v>1514.76</v>
      </c>
      <c r="X4219" t="inlineStr">
        <is>
          <t>acoa-apeca</t>
        </is>
      </c>
      <c r="Y4219" t="inlineStr">
        <is>
          <t>Atlantic Canada Opportunities Agency | Agence de promotion économique du Canada atlantique</t>
        </is>
      </c>
      <c r="Z4219" t="n">
        <v>2</v>
      </c>
      <c r="AA4219" t="n">
        <v>1514.76</v>
      </c>
      <c r="AB4219">
        <f>ROUND(U4219-AA4219,2)</f>
        <v/>
      </c>
      <c r="AC4219" t="b">
        <v>0</v>
      </c>
      <c r="AD4219">
        <f>IF(U4219="","MISSING_TOTAL",IF(ABS(AB4219)&lt;=0.01,"OK","CHECK"))</f>
        <v/>
      </c>
      <c r="AE4219">
        <f>IF(U4219="","MISSING",IF(AND(AA4219&gt;0,U4219/AA4219&gt;50),"POSSIBLE_SCALE_ERROR","OK"))</f>
        <v/>
      </c>
    </row>
    <row r="4220">
      <c r="A4220" t="inlineStr">
        <is>
          <t>T-2013-Q3-00077</t>
        </is>
      </c>
      <c r="B4220" t="inlineStr">
        <is>
          <t>SLE</t>
        </is>
      </c>
      <c r="C4220" t="inlineStr">
        <is>
          <t>Senior Advisor (Energy)</t>
        </is>
      </c>
      <c r="D4220" t="inlineStr">
        <is>
          <t>Conseiller spécial (energie)</t>
        </is>
      </c>
      <c r="E4220" t="inlineStr">
        <is>
          <t>Andrew F. Noseworthy</t>
        </is>
      </c>
      <c r="F4220" t="inlineStr">
        <is>
          <t>Meet with senior Agency officials; meet with officials from Natural Resources Canada and Industry Canada</t>
        </is>
      </c>
      <c r="G4220" t="inlineStr">
        <is>
          <t>Réunion avec des hauts fonctionnaires de l'Agence; réunion avec des fonctionnaires de Ressources naturelles Canada et d'Industrie Canada</t>
        </is>
      </c>
      <c r="H4220" s="1" t="n">
        <v>41226</v>
      </c>
      <c r="I4220" s="1" t="n">
        <v>41227</v>
      </c>
      <c r="J4220" t="inlineStr">
        <is>
          <t>Ottawa, Ontario</t>
        </is>
      </c>
      <c r="K4220" t="inlineStr">
        <is>
          <t>Ottawa (Ontario)</t>
        </is>
      </c>
      <c r="P4220" t="n">
        <v>1357.13</v>
      </c>
      <c r="Q4220" t="n">
        <v>94</v>
      </c>
      <c r="R4220" t="n">
        <v>177.41</v>
      </c>
      <c r="S4220" t="n">
        <v>121.9</v>
      </c>
      <c r="T4220" t="n">
        <v>32.5</v>
      </c>
      <c r="U4220" t="n">
        <v>1782.94</v>
      </c>
      <c r="X4220" t="inlineStr">
        <is>
          <t>acoa-apeca</t>
        </is>
      </c>
      <c r="Y4220" t="inlineStr">
        <is>
          <t>Atlantic Canada Opportunities Agency | Agence de promotion économique du Canada atlantique</t>
        </is>
      </c>
      <c r="Z4220" t="n">
        <v>2</v>
      </c>
      <c r="AA4220" t="n">
        <v>1782.94</v>
      </c>
      <c r="AB4220">
        <f>ROUND(U4220-AA4220,2)</f>
        <v/>
      </c>
      <c r="AC4220" t="b">
        <v>0</v>
      </c>
      <c r="AD4220">
        <f>IF(U4220="","MISSING_TOTAL",IF(ABS(AB4220)&lt;=0.01,"OK","CHECK"))</f>
        <v/>
      </c>
      <c r="AE4220">
        <f>IF(U4220="","MISSING",IF(AND(AA4220&gt;0,U4220/AA4220&gt;50),"POSSIBLE_SCALE_ERROR","OK"))</f>
        <v/>
      </c>
    </row>
    <row r="4221">
      <c r="A4221" t="inlineStr">
        <is>
          <t>T-2013-Q3-00074</t>
        </is>
      </c>
      <c r="B4221" t="inlineStr">
        <is>
          <t>SLE</t>
        </is>
      </c>
      <c r="C4221" t="inlineStr">
        <is>
          <t>Senior Advisor (Energy)</t>
        </is>
      </c>
      <c r="D4221" t="inlineStr">
        <is>
          <t>Conseiller spécial (energie)</t>
        </is>
      </c>
      <c r="E4221" t="inlineStr">
        <is>
          <t>Andrew F. Noseworthy</t>
        </is>
      </c>
      <c r="F4221" t="inlineStr">
        <is>
          <t>Meet with officials from the New Brunswick Department of Energy; Atlantic Innovation Fund meeting; Energy meeting</t>
        </is>
      </c>
      <c r="G4221" t="inlineStr">
        <is>
          <t>Réunion avec des fonctionnaires du ministère de l'Énergie du Nouveau-Brunswick; réunion du Fonds d'innovation de l'Atlantique; réunion sur l'énergie</t>
        </is>
      </c>
      <c r="H4221" s="1" t="n">
        <v>41220</v>
      </c>
      <c r="I4221" s="1" t="n">
        <v>41220</v>
      </c>
      <c r="J4221" t="inlineStr">
        <is>
          <t>Fredericton, New Brunswick; Saint John, New Brunswick</t>
        </is>
      </c>
      <c r="K4221" t="inlineStr">
        <is>
          <t>Fredericton et Saint John (Nouveau-Brunswick)</t>
        </is>
      </c>
      <c r="P4221" t="n">
        <v>1720.11</v>
      </c>
      <c r="Q4221" t="n">
        <v>231.77</v>
      </c>
      <c r="R4221" t="n">
        <v>0</v>
      </c>
      <c r="S4221" t="n">
        <v>71.8</v>
      </c>
      <c r="T4221" t="n">
        <v>13.5</v>
      </c>
      <c r="U4221" t="n">
        <v>2037.18</v>
      </c>
      <c r="X4221" t="inlineStr">
        <is>
          <t>acoa-apeca</t>
        </is>
      </c>
      <c r="Y4221" t="inlineStr">
        <is>
          <t>Atlantic Canada Opportunities Agency | Agence de promotion économique du Canada atlantique</t>
        </is>
      </c>
      <c r="Z4221" t="n">
        <v>1</v>
      </c>
      <c r="AA4221" t="n">
        <v>2037.17999999999</v>
      </c>
      <c r="AB4221">
        <f>ROUND(U4221-AA4221,2)</f>
        <v/>
      </c>
      <c r="AC4221" t="b">
        <v>0</v>
      </c>
      <c r="AD4221">
        <f>IF(U4221="","MISSING_TOTAL",IF(ABS(AB4221)&lt;=0.01,"OK","CHECK"))</f>
        <v/>
      </c>
      <c r="AE4221">
        <f>IF(U4221="","MISSING",IF(AND(AA4221&gt;0,U4221/AA4221&gt;50),"POSSIBLE_SCALE_ERROR","OK"))</f>
        <v/>
      </c>
    </row>
    <row r="4222">
      <c r="A4222" t="inlineStr">
        <is>
          <t>T-2013-Q3-00030</t>
        </is>
      </c>
      <c r="B4222" t="inlineStr">
        <is>
          <t>SLE</t>
        </is>
      </c>
      <c r="C4222" t="inlineStr">
        <is>
          <t>Senior Advisor (Energy)</t>
        </is>
      </c>
      <c r="D4222" t="inlineStr">
        <is>
          <t>Conseiller spécial (energie)</t>
        </is>
      </c>
      <c r="E4222" t="inlineStr">
        <is>
          <t>Andrew F. Noseworthy</t>
        </is>
      </c>
      <c r="F4222" t="inlineStr">
        <is>
          <t>Meeting with Senior Agency Officials; energy meeting with Senior Officials from Natural Resources Canada; Atlantic Energy Gateway meeting</t>
        </is>
      </c>
      <c r="G4222" t="inlineStr">
        <is>
          <t>Réunion avec des hauts fonctionnaires de l'Agence; réunion sur l'énergie avec des hauts fonctionnaires de Ressources naturelles Canada; réunion sur la Porte d'entrée de l'énergie de l'Atlantique</t>
        </is>
      </c>
      <c r="H4222" s="1" t="n">
        <v>41176</v>
      </c>
      <c r="I4222" s="1" t="n">
        <v>41178</v>
      </c>
      <c r="J4222" t="inlineStr">
        <is>
          <t>Ottawa, Ontario and Halifax, Nova Scotia</t>
        </is>
      </c>
      <c r="K4222" t="inlineStr">
        <is>
          <t>Ottawa (Ontario) et Halifax (Nouvelle-Écosse)</t>
        </is>
      </c>
      <c r="P4222" t="n">
        <v>1043.55</v>
      </c>
      <c r="Q4222" t="n">
        <v>142</v>
      </c>
      <c r="R4222" t="n">
        <v>340.46</v>
      </c>
      <c r="S4222" t="n">
        <v>220.5</v>
      </c>
      <c r="T4222" t="n">
        <v>63.25</v>
      </c>
      <c r="U4222" t="n">
        <v>1809.76</v>
      </c>
      <c r="X4222" t="inlineStr">
        <is>
          <t>acoa-apeca</t>
        </is>
      </c>
      <c r="Y4222" t="inlineStr">
        <is>
          <t>Atlantic Canada Opportunities Agency | Agence de promotion économique du Canada atlantique</t>
        </is>
      </c>
      <c r="Z4222" t="n">
        <v>3</v>
      </c>
      <c r="AA4222" t="n">
        <v>1809.76</v>
      </c>
      <c r="AB4222">
        <f>ROUND(U4222-AA4222,2)</f>
        <v/>
      </c>
      <c r="AC4222" t="b">
        <v>0</v>
      </c>
      <c r="AD4222">
        <f>IF(U4222="","MISSING_TOTAL",IF(ABS(AB4222)&lt;=0.01,"OK","CHECK"))</f>
        <v/>
      </c>
      <c r="AE4222">
        <f>IF(U4222="","MISSING",IF(AND(AA4222&gt;0,U4222/AA4222&gt;50),"POSSIBLE_SCALE_ERROR","OK"))</f>
        <v/>
      </c>
    </row>
    <row r="4223">
      <c r="A4223" t="inlineStr">
        <is>
          <t>T-2013-Q3-00021</t>
        </is>
      </c>
      <c r="B4223" t="inlineStr">
        <is>
          <t>SLE</t>
        </is>
      </c>
      <c r="C4223" t="inlineStr">
        <is>
          <t>Senior Advisor (Energy)</t>
        </is>
      </c>
      <c r="D4223" t="inlineStr">
        <is>
          <t>Conseiller spécial (energie)</t>
        </is>
      </c>
      <c r="E4223" t="inlineStr">
        <is>
          <t>Andrew F. Noseworthy</t>
        </is>
      </c>
      <c r="F4223" t="inlineStr">
        <is>
          <t>Energy and Atlantic Innovation meetings; meetings with senior Agency officials; meeting with senior industry officials</t>
        </is>
      </c>
      <c r="G4223" t="inlineStr">
        <is>
          <t>Réunions sur l'énergie et le Fonds d'innovation de l'Atlantique; réunions avec des hauts fonctionnaires de l'Agence; réunion avec des cadres supérieurs de l'industrie</t>
        </is>
      </c>
      <c r="H4223" s="1" t="n">
        <v>41168</v>
      </c>
      <c r="I4223" s="1" t="n">
        <v>41171</v>
      </c>
      <c r="J4223" t="inlineStr">
        <is>
          <t>Ottawa, Ontario and Halifax, Nova Scotia</t>
        </is>
      </c>
      <c r="K4223" t="inlineStr">
        <is>
          <t>Ottawa (Ontario) et Halifax (Nouvelle-Écosse)</t>
        </is>
      </c>
      <c r="P4223" t="n">
        <v>1327.4</v>
      </c>
      <c r="Q4223" t="n">
        <v>70</v>
      </c>
      <c r="R4223" t="n">
        <v>532.23</v>
      </c>
      <c r="S4223" t="n">
        <v>268.25</v>
      </c>
      <c r="T4223" t="n">
        <v>56</v>
      </c>
      <c r="U4223" t="n">
        <v>2253.88</v>
      </c>
      <c r="X4223" t="inlineStr">
        <is>
          <t>acoa-apeca</t>
        </is>
      </c>
      <c r="Y4223" t="inlineStr">
        <is>
          <t>Atlantic Canada Opportunities Agency | Agence de promotion économique du Canada atlantique</t>
        </is>
      </c>
      <c r="Z4223" t="n">
        <v>4</v>
      </c>
      <c r="AA4223" t="n">
        <v>2253.88</v>
      </c>
      <c r="AB4223">
        <f>ROUND(U4223-AA4223,2)</f>
        <v/>
      </c>
      <c r="AC4223" t="b">
        <v>0</v>
      </c>
      <c r="AD4223">
        <f>IF(U4223="","MISSING_TOTAL",IF(ABS(AB4223)&lt;=0.01,"OK","CHECK"))</f>
        <v/>
      </c>
      <c r="AE4223">
        <f>IF(U4223="","MISSING",IF(AND(AA4223&gt;0,U4223/AA4223&gt;50),"POSSIBLE_SCALE_ERROR","OK"))</f>
        <v/>
      </c>
    </row>
    <row r="4224">
      <c r="A4224" t="inlineStr">
        <is>
          <t>T-2013-Q3-00018</t>
        </is>
      </c>
      <c r="B4224" t="inlineStr">
        <is>
          <t>SLE</t>
        </is>
      </c>
      <c r="C4224" t="inlineStr">
        <is>
          <t>Senior Advisor (Energy)</t>
        </is>
      </c>
      <c r="D4224" t="inlineStr">
        <is>
          <t>Conseiller spécial (energie)</t>
        </is>
      </c>
      <c r="E4224" t="inlineStr">
        <is>
          <t>Andrew F. Noseworthy</t>
        </is>
      </c>
      <c r="F4224" t="inlineStr">
        <is>
          <t>Atlantic Energy Gateway announcement</t>
        </is>
      </c>
      <c r="G4224" t="inlineStr">
        <is>
          <t>Annonce liée à la Porte d'entrée de l'énergie de l'Atlantique</t>
        </is>
      </c>
      <c r="H4224" s="1" t="n">
        <v>41161</v>
      </c>
      <c r="I4224" s="1" t="n">
        <v>41162</v>
      </c>
      <c r="J4224" t="inlineStr">
        <is>
          <t>Charlottetown, Prince Edward Island</t>
        </is>
      </c>
      <c r="K4224" t="inlineStr">
        <is>
          <t>Charlottetown (Île-du-Prince-Édouard)</t>
        </is>
      </c>
      <c r="P4224" t="n">
        <v>1204.18</v>
      </c>
      <c r="Q4224" t="n">
        <v>28</v>
      </c>
      <c r="R4224" t="n">
        <v>236.12</v>
      </c>
      <c r="S4224" t="n">
        <v>177.2</v>
      </c>
      <c r="T4224" t="n">
        <v>28</v>
      </c>
      <c r="U4224" t="n">
        <v>1673.5</v>
      </c>
      <c r="X4224" t="inlineStr">
        <is>
          <t>acoa-apeca</t>
        </is>
      </c>
      <c r="Y4224" t="inlineStr">
        <is>
          <t>Atlantic Canada Opportunities Agency | Agence de promotion économique du Canada atlantique</t>
        </is>
      </c>
      <c r="Z4224" t="n">
        <v>2</v>
      </c>
      <c r="AA4224" t="n">
        <v>1673.5</v>
      </c>
      <c r="AB4224">
        <f>ROUND(U4224-AA4224,2)</f>
        <v/>
      </c>
      <c r="AC4224" t="b">
        <v>0</v>
      </c>
      <c r="AD4224">
        <f>IF(U4224="","MISSING_TOTAL",IF(ABS(AB4224)&lt;=0.01,"OK","CHECK"))</f>
        <v/>
      </c>
      <c r="AE4224">
        <f>IF(U4224="","MISSING",IF(AND(AA4224&gt;0,U4224/AA4224&gt;50),"POSSIBLE_SCALE_ERROR","OK"))</f>
        <v/>
      </c>
    </row>
    <row r="4225">
      <c r="A4225" t="inlineStr">
        <is>
          <t>T-2013-Q2-00058</t>
        </is>
      </c>
      <c r="B4225" t="inlineStr">
        <is>
          <t>SLE</t>
        </is>
      </c>
      <c r="C4225" t="inlineStr">
        <is>
          <t>Senior Advisor (Energy)</t>
        </is>
      </c>
      <c r="D4225" t="inlineStr">
        <is>
          <t>Conseiller spécial (energie)</t>
        </is>
      </c>
      <c r="E4225" t="inlineStr">
        <is>
          <t>Andrew F. Noseworthy</t>
        </is>
      </c>
      <c r="F4225" t="inlineStr">
        <is>
          <t>Upstream Forum; Offshore Northern Seas 2012 conference; Meetings with High Commission</t>
        </is>
      </c>
      <c r="G4225" t="inlineStr">
        <is>
          <t>Assister à l'Upstream Forum; assister à la conférence Offshore Northern Seas 2012; réunions avec le Haut-commissariat</t>
        </is>
      </c>
      <c r="H4225" s="1" t="n">
        <v>41143</v>
      </c>
      <c r="I4225" s="1" t="n">
        <v>41153</v>
      </c>
      <c r="J4225" t="inlineStr">
        <is>
          <t>Aberdeen, Scotland, Stavanger, Norway and London, England</t>
        </is>
      </c>
      <c r="K4225" t="inlineStr">
        <is>
          <t>Aberdeen (Écosse), Stavanger (Norvège) et Londres (Angleterre)</t>
        </is>
      </c>
      <c r="P4225" t="n">
        <v>2395.61</v>
      </c>
      <c r="Q4225" t="n">
        <v>685.64</v>
      </c>
      <c r="R4225" t="n">
        <v>3233.44</v>
      </c>
      <c r="S4225" t="n">
        <v>1521</v>
      </c>
      <c r="T4225" t="n">
        <v>0</v>
      </c>
      <c r="U4225" t="n">
        <v>7835.69</v>
      </c>
      <c r="X4225" t="inlineStr">
        <is>
          <t>acoa-apeca</t>
        </is>
      </c>
      <c r="Y4225" t="inlineStr">
        <is>
          <t>Atlantic Canada Opportunities Agency | Agence de promotion économique du Canada atlantique</t>
        </is>
      </c>
      <c r="Z4225" t="n">
        <v>11</v>
      </c>
      <c r="AA4225" t="n">
        <v>7835.69</v>
      </c>
      <c r="AB4225">
        <f>ROUND(U4225-AA4225,2)</f>
        <v/>
      </c>
      <c r="AC4225" t="b">
        <v>0</v>
      </c>
      <c r="AD4225">
        <f>IF(U4225="","MISSING_TOTAL",IF(ABS(AB4225)&lt;=0.01,"OK","CHECK"))</f>
        <v/>
      </c>
      <c r="AE4225">
        <f>IF(U4225="","MISSING",IF(AND(AA4225&gt;0,U4225/AA4225&gt;50),"POSSIBLE_SCALE_ERROR","OK"))</f>
        <v/>
      </c>
    </row>
    <row r="4226">
      <c r="A4226" t="inlineStr">
        <is>
          <t>T-2013-Q2-00051</t>
        </is>
      </c>
      <c r="B4226" t="inlineStr">
        <is>
          <t>SLE</t>
        </is>
      </c>
      <c r="C4226" t="inlineStr">
        <is>
          <t>Senior Advisor (Energy)</t>
        </is>
      </c>
      <c r="D4226" t="inlineStr">
        <is>
          <t>Conseiller spécial (energie)</t>
        </is>
      </c>
      <c r="E4226" t="inlineStr">
        <is>
          <t>Andrew F. Noseworthy</t>
        </is>
      </c>
      <c r="F4226" t="inlineStr">
        <is>
          <t>Tidal energy meetings</t>
        </is>
      </c>
      <c r="G4226" t="inlineStr">
        <is>
          <t>Réunions sur l'énergie marémotrice</t>
        </is>
      </c>
      <c r="H4226" s="1" t="n">
        <v>41136</v>
      </c>
      <c r="I4226" s="1" t="n">
        <v>41136</v>
      </c>
      <c r="J4226" t="inlineStr">
        <is>
          <t>Halifax, Nova Scotia</t>
        </is>
      </c>
      <c r="K4226" t="inlineStr">
        <is>
          <t>Halifax (Nouvelle-Écosse)</t>
        </is>
      </c>
      <c r="P4226" t="n">
        <v>589.17</v>
      </c>
      <c r="Q4226" t="n">
        <v>59.58</v>
      </c>
      <c r="R4226" t="n">
        <v>0</v>
      </c>
      <c r="S4226" t="n">
        <v>55.7</v>
      </c>
      <c r="T4226" t="n">
        <v>58.07</v>
      </c>
      <c r="U4226" t="n">
        <v>762.52</v>
      </c>
      <c r="X4226" t="inlineStr">
        <is>
          <t>acoa-apeca</t>
        </is>
      </c>
      <c r="Y4226" t="inlineStr">
        <is>
          <t>Atlantic Canada Opportunities Agency | Agence de promotion économique du Canada atlantique</t>
        </is>
      </c>
      <c r="Z4226" t="n">
        <v>1</v>
      </c>
      <c r="AA4226" t="n">
        <v>762.52</v>
      </c>
      <c r="AB4226">
        <f>ROUND(U4226-AA4226,2)</f>
        <v/>
      </c>
      <c r="AC4226" t="b">
        <v>0</v>
      </c>
      <c r="AD4226">
        <f>IF(U4226="","MISSING_TOTAL",IF(ABS(AB4226)&lt;=0.01,"OK","CHECK"))</f>
        <v/>
      </c>
      <c r="AE4226">
        <f>IF(U4226="","MISSING",IF(AND(AA4226&gt;0,U4226/AA4226&gt;50),"POSSIBLE_SCALE_ERROR","OK"))</f>
        <v/>
      </c>
    </row>
    <row r="4227">
      <c r="A4227" t="inlineStr">
        <is>
          <t>T-2013-Q2-00036</t>
        </is>
      </c>
      <c r="B4227" t="inlineStr">
        <is>
          <t>SLE</t>
        </is>
      </c>
      <c r="C4227" t="inlineStr">
        <is>
          <t>Senior Advisor (Energy)</t>
        </is>
      </c>
      <c r="D4227" t="inlineStr">
        <is>
          <t>Conseiller spécial (energie)</t>
        </is>
      </c>
      <c r="E4227" t="inlineStr">
        <is>
          <t>Andrew F. Noseworthy</t>
        </is>
      </c>
      <c r="F4227" t="inlineStr">
        <is>
          <t>Meeting with Atlantic Innovation Fund Team</t>
        </is>
      </c>
      <c r="G4227" t="inlineStr">
        <is>
          <t>Réunion avec l'équipe du Fonds d'innovation de l'Atlantique</t>
        </is>
      </c>
      <c r="H4227" s="1" t="n">
        <v>41108</v>
      </c>
      <c r="I4227" s="1" t="n">
        <v>41109</v>
      </c>
      <c r="J4227" t="inlineStr">
        <is>
          <t>Charlottetown, Prince Edward Island</t>
        </is>
      </c>
      <c r="K4227" t="inlineStr">
        <is>
          <t>Charlottetown (Île-du-Prince-Édouard)</t>
        </is>
      </c>
      <c r="P4227" t="n">
        <v>1134.77</v>
      </c>
      <c r="Q4227" t="n">
        <v>15</v>
      </c>
      <c r="R4227" t="n">
        <v>164.93</v>
      </c>
      <c r="S4227" t="n">
        <v>146.75</v>
      </c>
      <c r="T4227" t="n">
        <v>28</v>
      </c>
      <c r="U4227" t="n">
        <v>1489.45</v>
      </c>
      <c r="X4227" t="inlineStr">
        <is>
          <t>acoa-apeca</t>
        </is>
      </c>
      <c r="Y4227" t="inlineStr">
        <is>
          <t>Atlantic Canada Opportunities Agency | Agence de promotion économique du Canada atlantique</t>
        </is>
      </c>
      <c r="Z4227" t="n">
        <v>2</v>
      </c>
      <c r="AA4227" t="n">
        <v>1489.45</v>
      </c>
      <c r="AB4227">
        <f>ROUND(U4227-AA4227,2)</f>
        <v/>
      </c>
      <c r="AC4227" t="b">
        <v>0</v>
      </c>
      <c r="AD4227">
        <f>IF(U4227="","MISSING_TOTAL",IF(ABS(AB4227)&lt;=0.01,"OK","CHECK"))</f>
        <v/>
      </c>
      <c r="AE4227">
        <f>IF(U4227="","MISSING",IF(AND(AA4227&gt;0,U4227/AA4227&gt;50),"POSSIBLE_SCALE_ERROR","OK"))</f>
        <v/>
      </c>
    </row>
    <row r="4228">
      <c r="A4228" t="inlineStr">
        <is>
          <t>T-2012-Q3-00070</t>
        </is>
      </c>
      <c r="B4228" t="inlineStr">
        <is>
          <t>SLE</t>
        </is>
      </c>
      <c r="C4228" t="inlineStr">
        <is>
          <t>Senior Advisor (Energy)</t>
        </is>
      </c>
      <c r="D4228" t="inlineStr">
        <is>
          <t>Conseiller spécial (energie)</t>
        </is>
      </c>
      <c r="E4228" t="inlineStr">
        <is>
          <t>Andrew F. Noseworthy</t>
        </is>
      </c>
      <c r="F4228" t="inlineStr">
        <is>
          <t>Executive Committee meeting; meeting with senior departmental official</t>
        </is>
      </c>
      <c r="G4228" t="inlineStr">
        <is>
          <t>Réunion du Comité de direction et réunion avec un haut fonctionnaire de l'Agence</t>
        </is>
      </c>
      <c r="H4228" s="1" t="n">
        <v>40861</v>
      </c>
      <c r="I4228" s="1" t="n">
        <v>40862</v>
      </c>
      <c r="J4228" t="inlineStr">
        <is>
          <t>Moncton, New Brunswick; Ottawa, Ontario</t>
        </is>
      </c>
      <c r="K4228" t="inlineStr">
        <is>
          <t>Moncton (Nouveau-Brunswick) et Ottawa (Ontario)</t>
        </is>
      </c>
      <c r="P4228" t="n">
        <v>2796.07</v>
      </c>
      <c r="Q4228" t="n">
        <v>121</v>
      </c>
      <c r="R4228" t="n">
        <v>174.02</v>
      </c>
      <c r="S4228" t="n">
        <v>160.5</v>
      </c>
      <c r="T4228" t="n">
        <v>37.5</v>
      </c>
      <c r="U4228" t="n">
        <v>3289.09</v>
      </c>
      <c r="X4228" t="inlineStr">
        <is>
          <t>acoa-apeca</t>
        </is>
      </c>
      <c r="Y4228" t="inlineStr">
        <is>
          <t>Atlantic Canada Opportunities Agency | Agence de promotion économique du Canada atlantique</t>
        </is>
      </c>
      <c r="Z4228" t="n">
        <v>2</v>
      </c>
      <c r="AA4228" t="n">
        <v>3289.09</v>
      </c>
      <c r="AB4228">
        <f>ROUND(U4228-AA4228,2)</f>
        <v/>
      </c>
      <c r="AC4228" t="b">
        <v>0</v>
      </c>
      <c r="AD4228">
        <f>IF(U4228="","MISSING_TOTAL",IF(ABS(AB4228)&lt;=0.01,"OK","CHECK"))</f>
        <v/>
      </c>
      <c r="AE4228">
        <f>IF(U4228="","MISSING",IF(AND(AA4228&gt;0,U4228/AA4228&gt;50),"POSSIBLE_SCALE_ERROR","OK"))</f>
        <v/>
      </c>
    </row>
    <row r="4229">
      <c r="A4229" t="inlineStr">
        <is>
          <t>T-2013-Q2-00034</t>
        </is>
      </c>
      <c r="B4229" t="inlineStr">
        <is>
          <t>SLE</t>
        </is>
      </c>
      <c r="C4229" t="inlineStr">
        <is>
          <t>Senior Advisor (Energy)</t>
        </is>
      </c>
      <c r="D4229" t="inlineStr">
        <is>
          <t>Conseiller spécial (energie)</t>
        </is>
      </c>
      <c r="E4229" t="inlineStr">
        <is>
          <t>Andrew F. Noseworthy</t>
        </is>
      </c>
      <c r="F4229" t="inlineStr">
        <is>
          <t>Meetings with Atlantic Innovation Fund Teams</t>
        </is>
      </c>
      <c r="G4229" t="inlineStr">
        <is>
          <t>Réunions avec les équipes du Fonds d'innovation de l'Atlantique</t>
        </is>
      </c>
      <c r="H4229" s="1" t="n">
        <v>41100</v>
      </c>
      <c r="I4229" s="1" t="n">
        <v>41105</v>
      </c>
      <c r="J4229" t="inlineStr">
        <is>
          <t>Fredericton, New Brunswick; Sydney, Nova Scotia; Halifax, Nova Scotia; Saint John, New Brunswick</t>
        </is>
      </c>
      <c r="K4229" t="inlineStr">
        <is>
          <t>Fredericton (Nouveau-Brunswick); Sydney (Nouvelle-Écosse); Halifax (Nouvelle-Écosse); Saint John (Nouveau-Brunswick)</t>
        </is>
      </c>
      <c r="P4229" t="n">
        <v>2732.4</v>
      </c>
      <c r="Q4229" t="n">
        <v>486.67</v>
      </c>
      <c r="R4229" t="n">
        <v>572.0599999999999</v>
      </c>
      <c r="S4229" t="n">
        <v>445.45</v>
      </c>
      <c r="T4229" t="n">
        <v>53.11</v>
      </c>
      <c r="U4229" t="n">
        <v>4289.69</v>
      </c>
      <c r="X4229" t="inlineStr">
        <is>
          <t>acoa-apeca</t>
        </is>
      </c>
      <c r="Y4229" t="inlineStr">
        <is>
          <t>Atlantic Canada Opportunities Agency | Agence de promotion économique du Canada atlantique</t>
        </is>
      </c>
      <c r="Z4229" t="n">
        <v>6</v>
      </c>
      <c r="AA4229" t="n">
        <v>4289.69</v>
      </c>
      <c r="AB4229">
        <f>ROUND(U4229-AA4229,2)</f>
        <v/>
      </c>
      <c r="AC4229" t="b">
        <v>0</v>
      </c>
      <c r="AD4229">
        <f>IF(U4229="","MISSING_TOTAL",IF(ABS(AB4229)&lt;=0.01,"OK","CHECK"))</f>
        <v/>
      </c>
      <c r="AE4229">
        <f>IF(U4229="","MISSING",IF(AND(AA4229&gt;0,U4229/AA4229&gt;50),"POSSIBLE_SCALE_ERROR","OK"))</f>
        <v/>
      </c>
    </row>
    <row r="4230">
      <c r="A4230" t="inlineStr">
        <is>
          <t>T-2013-Q2-00026</t>
        </is>
      </c>
      <c r="B4230" t="inlineStr">
        <is>
          <t>SLE</t>
        </is>
      </c>
      <c r="C4230" t="inlineStr">
        <is>
          <t>Senior Advisor (Energy)</t>
        </is>
      </c>
      <c r="D4230" t="inlineStr">
        <is>
          <t>Conseiller spécial (energie)</t>
        </is>
      </c>
      <c r="E4230" t="inlineStr">
        <is>
          <t>Andrew F. Noseworthy</t>
        </is>
      </c>
      <c r="F4230" t="inlineStr">
        <is>
          <t>Atlantic Innovation Fund meetings; Executive Committee meeting</t>
        </is>
      </c>
      <c r="G4230" t="inlineStr">
        <is>
          <t>Réunions du Fonds d'innovation de l'Atlantique; réunion du Comité de direction</t>
        </is>
      </c>
      <c r="H4230" s="1" t="n">
        <v>41086</v>
      </c>
      <c r="I4230" s="1" t="n">
        <v>41089</v>
      </c>
      <c r="J4230" t="inlineStr">
        <is>
          <t>Moncton, New Brunswick</t>
        </is>
      </c>
      <c r="K4230" t="inlineStr">
        <is>
          <t>Moncton (Nouveau-Brunswick)</t>
        </is>
      </c>
      <c r="P4230" t="n">
        <v>557.1</v>
      </c>
      <c r="Q4230" t="n">
        <v>114</v>
      </c>
      <c r="R4230" t="n">
        <v>437.31</v>
      </c>
      <c r="S4230" t="n">
        <v>205.65</v>
      </c>
      <c r="T4230" t="n">
        <v>0</v>
      </c>
      <c r="U4230" t="n">
        <v>1314.06</v>
      </c>
      <c r="X4230" t="inlineStr">
        <is>
          <t>acoa-apeca</t>
        </is>
      </c>
      <c r="Y4230" t="inlineStr">
        <is>
          <t>Atlantic Canada Opportunities Agency | Agence de promotion économique du Canada atlantique</t>
        </is>
      </c>
      <c r="Z4230" t="n">
        <v>4</v>
      </c>
      <c r="AA4230" t="n">
        <v>1314.06</v>
      </c>
      <c r="AB4230">
        <f>ROUND(U4230-AA4230,2)</f>
        <v/>
      </c>
      <c r="AC4230" t="b">
        <v>0</v>
      </c>
      <c r="AD4230">
        <f>IF(U4230="","MISSING_TOTAL",IF(ABS(AB4230)&lt;=0.01,"OK","CHECK"))</f>
        <v/>
      </c>
      <c r="AE4230">
        <f>IF(U4230="","MISSING",IF(AND(AA4230&gt;0,U4230/AA4230&gt;50),"POSSIBLE_SCALE_ERROR","OK"))</f>
        <v/>
      </c>
    </row>
    <row r="4231">
      <c r="A4231" t="inlineStr">
        <is>
          <t>T-2013-Q2-00022</t>
        </is>
      </c>
      <c r="B4231" t="inlineStr">
        <is>
          <t>SLE</t>
        </is>
      </c>
      <c r="C4231" t="inlineStr">
        <is>
          <t>Senior Advisor (Energy)</t>
        </is>
      </c>
      <c r="D4231" t="inlineStr">
        <is>
          <t>Conseiller spécial (energie)</t>
        </is>
      </c>
      <c r="E4231" t="inlineStr">
        <is>
          <t>Andrew F. Noseworthy</t>
        </is>
      </c>
      <c r="F4231" t="inlineStr">
        <is>
          <t>Atlantic Energy Gateway Deputy Ministers' meeting</t>
        </is>
      </c>
      <c r="G4231" t="inlineStr">
        <is>
          <t>Réunion des sous-ministres de la Porte d'entrée de l'énergie de l'Atlantique</t>
        </is>
      </c>
      <c r="H4231" s="1" t="n">
        <v>41080</v>
      </c>
      <c r="I4231" s="1" t="n">
        <v>41081</v>
      </c>
      <c r="J4231" t="inlineStr">
        <is>
          <t>Toronto, Ontario</t>
        </is>
      </c>
      <c r="K4231" t="inlineStr">
        <is>
          <t>Toronto (Ontario)</t>
        </is>
      </c>
      <c r="P4231" t="n">
        <v>592.98</v>
      </c>
      <c r="Q4231" t="n">
        <v>0</v>
      </c>
      <c r="R4231" t="n">
        <v>168.37</v>
      </c>
      <c r="S4231" t="n">
        <v>105.9</v>
      </c>
      <c r="T4231" t="n">
        <v>68</v>
      </c>
      <c r="U4231" t="n">
        <v>935.25</v>
      </c>
      <c r="X4231" t="inlineStr">
        <is>
          <t>acoa-apeca</t>
        </is>
      </c>
      <c r="Y4231" t="inlineStr">
        <is>
          <t>Atlantic Canada Opportunities Agency | Agence de promotion économique du Canada atlantique</t>
        </is>
      </c>
      <c r="Z4231" t="n">
        <v>2</v>
      </c>
      <c r="AA4231" t="n">
        <v>935.25</v>
      </c>
      <c r="AB4231">
        <f>ROUND(U4231-AA4231,2)</f>
        <v/>
      </c>
      <c r="AC4231" t="b">
        <v>0</v>
      </c>
      <c r="AD4231">
        <f>IF(U4231="","MISSING_TOTAL",IF(ABS(AB4231)&lt;=0.01,"OK","CHECK"))</f>
        <v/>
      </c>
      <c r="AE4231">
        <f>IF(U4231="","MISSING",IF(AND(AA4231&gt;0,U4231/AA4231&gt;50),"POSSIBLE_SCALE_ERROR","OK"))</f>
        <v/>
      </c>
    </row>
    <row r="4232">
      <c r="A4232" t="inlineStr">
        <is>
          <t>T-2013-Q2-00004</t>
        </is>
      </c>
      <c r="B4232" t="inlineStr">
        <is>
          <t>SLE</t>
        </is>
      </c>
      <c r="C4232" t="inlineStr">
        <is>
          <t>Senior Advisor (Energy)</t>
        </is>
      </c>
      <c r="D4232" t="inlineStr">
        <is>
          <t>Conseiller spécial (energie)</t>
        </is>
      </c>
      <c r="E4232" t="inlineStr">
        <is>
          <t>Andrew F. Noseworthy</t>
        </is>
      </c>
      <c r="F4232" t="inlineStr">
        <is>
          <t>Atlantic Energy Gateway meetings</t>
        </is>
      </c>
      <c r="G4232" t="inlineStr">
        <is>
          <t>Réunions de la Porte d'entrée de l'énergie de l'Atlantique</t>
        </is>
      </c>
      <c r="H4232" s="1" t="n">
        <v>41064</v>
      </c>
      <c r="I4232" s="1" t="n">
        <v>41066</v>
      </c>
      <c r="J4232" t="inlineStr">
        <is>
          <t>Ottawa, Ontario</t>
        </is>
      </c>
      <c r="K4232" t="inlineStr">
        <is>
          <t>Ottawa (Ontario)</t>
        </is>
      </c>
      <c r="P4232" t="n">
        <v>1025.54</v>
      </c>
      <c r="Q4232" t="n">
        <v>113</v>
      </c>
      <c r="R4232" t="n">
        <v>177.41</v>
      </c>
      <c r="S4232" t="n">
        <v>194.5</v>
      </c>
      <c r="T4232" t="n">
        <v>12.5</v>
      </c>
      <c r="U4232" t="n">
        <v>1522.95</v>
      </c>
      <c r="X4232" t="inlineStr">
        <is>
          <t>acoa-apeca</t>
        </is>
      </c>
      <c r="Y4232" t="inlineStr">
        <is>
          <t>Atlantic Canada Opportunities Agency | Agence de promotion économique du Canada atlantique</t>
        </is>
      </c>
      <c r="Z4232" t="n">
        <v>3</v>
      </c>
      <c r="AA4232" t="n">
        <v>1522.95</v>
      </c>
      <c r="AB4232">
        <f>ROUND(U4232-AA4232,2)</f>
        <v/>
      </c>
      <c r="AC4232" t="b">
        <v>0</v>
      </c>
      <c r="AD4232">
        <f>IF(U4232="","MISSING_TOTAL",IF(ABS(AB4232)&lt;=0.01,"OK","CHECK"))</f>
        <v/>
      </c>
      <c r="AE4232">
        <f>IF(U4232="","MISSING",IF(AND(AA4232&gt;0,U4232/AA4232&gt;50),"POSSIBLE_SCALE_ERROR","OK"))</f>
        <v/>
      </c>
    </row>
    <row r="4233">
      <c r="A4233" t="inlineStr">
        <is>
          <t>T-2013-Q1-00083</t>
        </is>
      </c>
      <c r="B4233" t="inlineStr">
        <is>
          <t>SLE</t>
        </is>
      </c>
      <c r="C4233" t="inlineStr">
        <is>
          <t>Senior Advisor (Energy)</t>
        </is>
      </c>
      <c r="D4233" t="inlineStr">
        <is>
          <t>Conseiller spécial (energie)</t>
        </is>
      </c>
      <c r="E4233" t="inlineStr">
        <is>
          <t>Andrew F. Noseworthy</t>
        </is>
      </c>
      <c r="F4233" t="inlineStr">
        <is>
          <t>Meeting with senior Agency official</t>
        </is>
      </c>
      <c r="G4233" t="inlineStr">
        <is>
          <t>Réunion avec un haut fonctionnaire de l'Agence</t>
        </is>
      </c>
      <c r="H4233" s="1" t="n">
        <v>41057</v>
      </c>
      <c r="I4233" s="1" t="n">
        <v>41058</v>
      </c>
      <c r="J4233" t="inlineStr">
        <is>
          <t>Ottawa, Ontario</t>
        </is>
      </c>
      <c r="K4233" t="inlineStr">
        <is>
          <t>Ottawa (Ontario)</t>
        </is>
      </c>
      <c r="P4233" t="n">
        <v>1357.13</v>
      </c>
      <c r="Q4233" t="n">
        <v>84</v>
      </c>
      <c r="R4233" t="n">
        <v>177.41</v>
      </c>
      <c r="S4233" t="n">
        <v>146.75</v>
      </c>
      <c r="T4233" t="n">
        <v>28</v>
      </c>
      <c r="U4233" t="n">
        <v>1793.29</v>
      </c>
      <c r="X4233" t="inlineStr">
        <is>
          <t>acoa-apeca</t>
        </is>
      </c>
      <c r="Y4233" t="inlineStr">
        <is>
          <t>Atlantic Canada Opportunities Agency | Agence de promotion économique du Canada atlantique</t>
        </is>
      </c>
      <c r="Z4233" t="n">
        <v>2</v>
      </c>
      <c r="AA4233" t="n">
        <v>1793.29</v>
      </c>
      <c r="AB4233">
        <f>ROUND(U4233-AA4233,2)</f>
        <v/>
      </c>
      <c r="AC4233" t="b">
        <v>0</v>
      </c>
      <c r="AD4233">
        <f>IF(U4233="","MISSING_TOTAL",IF(ABS(AB4233)&lt;=0.01,"OK","CHECK"))</f>
        <v/>
      </c>
      <c r="AE4233">
        <f>IF(U4233="","MISSING",IF(AND(AA4233&gt;0,U4233/AA4233&gt;50),"POSSIBLE_SCALE_ERROR","OK"))</f>
        <v/>
      </c>
    </row>
    <row r="4234">
      <c r="A4234" t="inlineStr">
        <is>
          <t>T-2013-Q1-00077</t>
        </is>
      </c>
      <c r="B4234" t="inlineStr">
        <is>
          <t>SLE</t>
        </is>
      </c>
      <c r="C4234" t="inlineStr">
        <is>
          <t>Senior Advisor (Energy)</t>
        </is>
      </c>
      <c r="D4234" t="inlineStr">
        <is>
          <t>Conseiller spécial (energie)</t>
        </is>
      </c>
      <c r="E4234" t="inlineStr">
        <is>
          <t>Andrew F. Noseworthy</t>
        </is>
      </c>
      <c r="F4234" t="inlineStr">
        <is>
          <t>Energy Meetings; meeting with senior Agency officials</t>
        </is>
      </c>
      <c r="G4234" t="inlineStr">
        <is>
          <t>Réunions sur l'énergie; réunion avec de hauts fonctionnaires de l'Agence</t>
        </is>
      </c>
      <c r="H4234" s="1" t="n">
        <v>41051</v>
      </c>
      <c r="I4234" s="1" t="n">
        <v>41053</v>
      </c>
      <c r="J4234" t="inlineStr">
        <is>
          <t>Saint John and Fredericton, New Brunswick</t>
        </is>
      </c>
      <c r="K4234" t="inlineStr">
        <is>
          <t>Saint John et Fredericton (Nouveau-Brunswick)</t>
        </is>
      </c>
      <c r="P4234" t="n">
        <v>1120.58</v>
      </c>
      <c r="Q4234" t="n">
        <v>343.47</v>
      </c>
      <c r="R4234" t="n">
        <v>338.63</v>
      </c>
      <c r="S4234" t="n">
        <v>250.95</v>
      </c>
      <c r="T4234" t="n">
        <v>34.76</v>
      </c>
      <c r="U4234" t="n">
        <v>2088.39</v>
      </c>
      <c r="X4234" t="inlineStr">
        <is>
          <t>acoa-apeca</t>
        </is>
      </c>
      <c r="Y4234" t="inlineStr">
        <is>
          <t>Atlantic Canada Opportunities Agency | Agence de promotion économique du Canada atlantique</t>
        </is>
      </c>
      <c r="Z4234" t="n">
        <v>3</v>
      </c>
      <c r="AA4234" t="n">
        <v>2088.39</v>
      </c>
      <c r="AB4234">
        <f>ROUND(U4234-AA4234,2)</f>
        <v/>
      </c>
      <c r="AC4234" t="b">
        <v>0</v>
      </c>
      <c r="AD4234">
        <f>IF(U4234="","MISSING_TOTAL",IF(ABS(AB4234)&lt;=0.01,"OK","CHECK"))</f>
        <v/>
      </c>
      <c r="AE4234">
        <f>IF(U4234="","MISSING",IF(AND(AA4234&gt;0,U4234/AA4234&gt;50),"POSSIBLE_SCALE_ERROR","OK"))</f>
        <v/>
      </c>
    </row>
    <row r="4235">
      <c r="A4235" t="inlineStr">
        <is>
          <t>T-2013-Q1-00062</t>
        </is>
      </c>
      <c r="B4235" t="inlineStr">
        <is>
          <t>SLE</t>
        </is>
      </c>
      <c r="C4235" t="inlineStr">
        <is>
          <t>Senior Advisor (Energy)</t>
        </is>
      </c>
      <c r="D4235" t="inlineStr">
        <is>
          <t>Conseiller spécial (energie)</t>
        </is>
      </c>
      <c r="E4235" t="inlineStr">
        <is>
          <t>Andrew F. Noseworthy</t>
        </is>
      </c>
      <c r="F4235" t="inlineStr">
        <is>
          <t>Offshore Technology Conference 2012</t>
        </is>
      </c>
      <c r="G4235" t="inlineStr">
        <is>
          <t>Salon des technologies extracôtières de 2012</t>
        </is>
      </c>
      <c r="H4235" s="1" t="n">
        <v>41027</v>
      </c>
      <c r="I4235" s="1" t="n">
        <v>41034</v>
      </c>
      <c r="J4235" t="inlineStr">
        <is>
          <t>Houston, Texas</t>
        </is>
      </c>
      <c r="K4235" t="inlineStr">
        <is>
          <t>Houston (Texas)</t>
        </is>
      </c>
      <c r="P4235" t="n">
        <v>1628.23</v>
      </c>
      <c r="Q4235" t="n">
        <v>446.63</v>
      </c>
      <c r="R4235" t="n">
        <v>2030.27</v>
      </c>
      <c r="S4235" t="n">
        <v>541.52</v>
      </c>
      <c r="T4235" t="n">
        <v>0</v>
      </c>
      <c r="U4235" t="n">
        <v>4646.65</v>
      </c>
      <c r="X4235" t="inlineStr">
        <is>
          <t>acoa-apeca</t>
        </is>
      </c>
      <c r="Y4235" t="inlineStr">
        <is>
          <t>Atlantic Canada Opportunities Agency | Agence de promotion économique du Canada atlantique</t>
        </is>
      </c>
      <c r="Z4235" t="n">
        <v>8</v>
      </c>
      <c r="AA4235" t="n">
        <v>4646.65</v>
      </c>
      <c r="AB4235">
        <f>ROUND(U4235-AA4235,2)</f>
        <v/>
      </c>
      <c r="AC4235" t="b">
        <v>0</v>
      </c>
      <c r="AD4235">
        <f>IF(U4235="","MISSING_TOTAL",IF(ABS(AB4235)&lt;=0.01,"OK","CHECK"))</f>
        <v/>
      </c>
      <c r="AE4235">
        <f>IF(U4235="","MISSING",IF(AND(AA4235&gt;0,U4235/AA4235&gt;50),"POSSIBLE_SCALE_ERROR","OK"))</f>
        <v/>
      </c>
    </row>
    <row r="4236">
      <c r="A4236" t="inlineStr">
        <is>
          <t>T-2013-Q1-00056</t>
        </is>
      </c>
      <c r="B4236" t="inlineStr">
        <is>
          <t>SLE</t>
        </is>
      </c>
      <c r="C4236" t="inlineStr">
        <is>
          <t>Senior Advisor (Energy)</t>
        </is>
      </c>
      <c r="D4236" t="inlineStr">
        <is>
          <t>Conseiller spécial (energie)</t>
        </is>
      </c>
      <c r="E4236" t="inlineStr">
        <is>
          <t>Andrew F. Noseworthy</t>
        </is>
      </c>
      <c r="F4236" t="inlineStr">
        <is>
          <t>Executive Committee meeting; meeting with energy officials</t>
        </is>
      </c>
      <c r="G4236" t="inlineStr">
        <is>
          <t>Réunion du Comité de direction; réunion avec des représentants du secteur de l'énergie</t>
        </is>
      </c>
      <c r="H4236" s="1" t="n">
        <v>41024</v>
      </c>
      <c r="I4236" s="1" t="n">
        <v>41026</v>
      </c>
      <c r="J4236" t="inlineStr">
        <is>
          <t>Moncton, New Brunswick; Halifax, Nova Scotia</t>
        </is>
      </c>
      <c r="K4236" t="inlineStr">
        <is>
          <t>Moncton (Nouveau-Brunswick); Halifax (Nouvelle-Écosse)</t>
        </is>
      </c>
      <c r="P4236" t="n">
        <v>1275.52</v>
      </c>
      <c r="Q4236" t="n">
        <v>168</v>
      </c>
      <c r="R4236" t="n">
        <v>291.22</v>
      </c>
      <c r="S4236" t="n">
        <v>164.8</v>
      </c>
      <c r="T4236" t="n">
        <v>43.5</v>
      </c>
      <c r="U4236" t="n">
        <v>1943.04</v>
      </c>
      <c r="X4236" t="inlineStr">
        <is>
          <t>acoa-apeca</t>
        </is>
      </c>
      <c r="Y4236" t="inlineStr">
        <is>
          <t>Atlantic Canada Opportunities Agency | Agence de promotion économique du Canada atlantique</t>
        </is>
      </c>
      <c r="Z4236" t="n">
        <v>3</v>
      </c>
      <c r="AA4236" t="n">
        <v>1943.04</v>
      </c>
      <c r="AB4236">
        <f>ROUND(U4236-AA4236,2)</f>
        <v/>
      </c>
      <c r="AC4236" t="b">
        <v>0</v>
      </c>
      <c r="AD4236">
        <f>IF(U4236="","MISSING_TOTAL",IF(ABS(AB4236)&lt;=0.01,"OK","CHECK"))</f>
        <v/>
      </c>
      <c r="AE4236">
        <f>IF(U4236="","MISSING",IF(AND(AA4236&gt;0,U4236/AA4236&gt;50),"POSSIBLE_SCALE_ERROR","OK"))</f>
        <v/>
      </c>
    </row>
    <row r="4237">
      <c r="A4237" t="inlineStr">
        <is>
          <t>T-2013-Q1-00021</t>
        </is>
      </c>
      <c r="B4237" t="inlineStr">
        <is>
          <t>SLE</t>
        </is>
      </c>
      <c r="C4237" t="inlineStr">
        <is>
          <t>Senior Advisor (Energy)</t>
        </is>
      </c>
      <c r="D4237" t="inlineStr">
        <is>
          <t>Conseiller spécial (energie)</t>
        </is>
      </c>
      <c r="E4237" t="inlineStr">
        <is>
          <t>Andrew F. Noseworthy</t>
        </is>
      </c>
      <c r="F4237" t="inlineStr">
        <is>
          <t>Natural gas workshop; Atlantic Energy Gateway meeting</t>
        </is>
      </c>
      <c r="G4237" t="inlineStr">
        <is>
          <t>Atelier sur le gaz naturel; réunion de la Porte d'entrée de l'énergie de l'Atlantique</t>
        </is>
      </c>
      <c r="H4237" s="1" t="n">
        <v>40986</v>
      </c>
      <c r="I4237" s="1" t="n">
        <v>40989</v>
      </c>
      <c r="J4237" t="inlineStr">
        <is>
          <t>Halifax, Nova Scotia; Charlottetown, Prince Edward Island</t>
        </is>
      </c>
      <c r="K4237" t="inlineStr">
        <is>
          <t>Halifax (Nouvelle-Écosse); Charlottetown (Île-du-Prince-Édouard)</t>
        </is>
      </c>
      <c r="P4237" t="n">
        <v>2102.08</v>
      </c>
      <c r="Q4237" t="n">
        <v>160</v>
      </c>
      <c r="R4237" t="n">
        <v>431.59</v>
      </c>
      <c r="S4237" t="n">
        <v>195.1</v>
      </c>
      <c r="T4237" t="n">
        <v>42</v>
      </c>
      <c r="U4237" t="n">
        <v>2930.77</v>
      </c>
      <c r="X4237" t="inlineStr">
        <is>
          <t>acoa-apeca</t>
        </is>
      </c>
      <c r="Y4237" t="inlineStr">
        <is>
          <t>Atlantic Canada Opportunities Agency | Agence de promotion économique du Canada atlantique</t>
        </is>
      </c>
      <c r="Z4237" t="n">
        <v>4</v>
      </c>
      <c r="AA4237" t="n">
        <v>2930.77</v>
      </c>
      <c r="AB4237">
        <f>ROUND(U4237-AA4237,2)</f>
        <v/>
      </c>
      <c r="AC4237" t="b">
        <v>0</v>
      </c>
      <c r="AD4237">
        <f>IF(U4237="","MISSING_TOTAL",IF(ABS(AB4237)&lt;=0.01,"OK","CHECK"))</f>
        <v/>
      </c>
      <c r="AE4237">
        <f>IF(U4237="","MISSING",IF(AND(AA4237&gt;0,U4237/AA4237&gt;50),"POSSIBLE_SCALE_ERROR","OK"))</f>
        <v/>
      </c>
    </row>
    <row r="4238">
      <c r="A4238" t="inlineStr">
        <is>
          <t>T-2013-Q1-00017</t>
        </is>
      </c>
      <c r="B4238" t="inlineStr">
        <is>
          <t>SLE</t>
        </is>
      </c>
      <c r="C4238" t="inlineStr">
        <is>
          <t>Senior Advisor (Energy)</t>
        </is>
      </c>
      <c r="D4238" t="inlineStr">
        <is>
          <t>Conseiller spécial (energie)</t>
        </is>
      </c>
      <c r="E4238" t="inlineStr">
        <is>
          <t>Andrew F. Noseworthy</t>
        </is>
      </c>
      <c r="F4238" t="inlineStr">
        <is>
          <t>Energy meetings; meeting with senior Agency staff</t>
        </is>
      </c>
      <c r="G4238" t="inlineStr">
        <is>
          <t>Réunions sur l'énergie; réunion avec de hauts fonctionnaires de l'Agence</t>
        </is>
      </c>
      <c r="H4238" s="1" t="n">
        <v>40982</v>
      </c>
      <c r="I4238" s="1" t="n">
        <v>40983</v>
      </c>
      <c r="J4238" t="inlineStr">
        <is>
          <t>Saint John and Moncton, New Brunswick</t>
        </is>
      </c>
      <c r="K4238" t="inlineStr">
        <is>
          <t>Saint John et Moncton (Nouveau-Brunswick)</t>
        </is>
      </c>
      <c r="P4238" t="n">
        <v>2311.78</v>
      </c>
      <c r="Q4238" t="n">
        <v>326.9</v>
      </c>
      <c r="R4238" t="n">
        <v>145.77</v>
      </c>
      <c r="S4238" t="n">
        <v>160.5</v>
      </c>
      <c r="T4238" t="n">
        <v>0</v>
      </c>
      <c r="U4238" t="n">
        <v>2944.95</v>
      </c>
      <c r="X4238" t="inlineStr">
        <is>
          <t>acoa-apeca</t>
        </is>
      </c>
      <c r="Y4238" t="inlineStr">
        <is>
          <t>Atlantic Canada Opportunities Agency | Agence de promotion économique du Canada atlantique</t>
        </is>
      </c>
      <c r="Z4238" t="n">
        <v>2</v>
      </c>
      <c r="AA4238" t="n">
        <v>2944.95</v>
      </c>
      <c r="AB4238">
        <f>ROUND(U4238-AA4238,2)</f>
        <v/>
      </c>
      <c r="AC4238" t="b">
        <v>0</v>
      </c>
      <c r="AD4238">
        <f>IF(U4238="","MISSING_TOTAL",IF(ABS(AB4238)&lt;=0.01,"OK","CHECK"))</f>
        <v/>
      </c>
      <c r="AE4238">
        <f>IF(U4238="","MISSING",IF(AND(AA4238&gt;0,U4238/AA4238&gt;50),"POSSIBLE_SCALE_ERROR","OK"))</f>
        <v/>
      </c>
    </row>
    <row r="4239">
      <c r="A4239" t="inlineStr">
        <is>
          <t>T-2013-Q1-00004</t>
        </is>
      </c>
      <c r="B4239" t="inlineStr">
        <is>
          <t>SLE</t>
        </is>
      </c>
      <c r="C4239" t="inlineStr">
        <is>
          <t>Senior Advisor (Energy)</t>
        </is>
      </c>
      <c r="D4239" t="inlineStr">
        <is>
          <t>Conseiller spécial (energie)</t>
        </is>
      </c>
      <c r="E4239" t="inlineStr">
        <is>
          <t>Andrew F. Noseworthy</t>
        </is>
      </c>
      <c r="F4239" t="inlineStr">
        <is>
          <t>Energy briefings to senior Agency officials</t>
        </is>
      </c>
      <c r="G4239" t="inlineStr">
        <is>
          <t>Réunions d'information sur l'énergie avec de hauts fonctionnaires de l'Agence</t>
        </is>
      </c>
      <c r="H4239" s="1" t="n">
        <v>40973</v>
      </c>
      <c r="I4239" s="1" t="n">
        <v>40975</v>
      </c>
      <c r="J4239" t="inlineStr">
        <is>
          <t>Ottawa, Ontario</t>
        </is>
      </c>
      <c r="K4239" t="inlineStr">
        <is>
          <t>Ottawa (Ontario)</t>
        </is>
      </c>
      <c r="P4239" t="n">
        <v>1329.93</v>
      </c>
      <c r="Q4239" t="n">
        <v>150</v>
      </c>
      <c r="R4239" t="n">
        <v>177.41</v>
      </c>
      <c r="S4239" t="n">
        <v>177.8</v>
      </c>
      <c r="T4239" t="n">
        <v>28</v>
      </c>
      <c r="U4239" t="n">
        <v>1863.14</v>
      </c>
      <c r="X4239" t="inlineStr">
        <is>
          <t>acoa-apeca</t>
        </is>
      </c>
      <c r="Y4239" t="inlineStr">
        <is>
          <t>Atlantic Canada Opportunities Agency | Agence de promotion économique du Canada atlantique</t>
        </is>
      </c>
      <c r="Z4239" t="n">
        <v>3</v>
      </c>
      <c r="AA4239" t="n">
        <v>1863.14</v>
      </c>
      <c r="AB4239">
        <f>ROUND(U4239-AA4239,2)</f>
        <v/>
      </c>
      <c r="AC4239" t="b">
        <v>0</v>
      </c>
      <c r="AD4239">
        <f>IF(U4239="","MISSING_TOTAL",IF(ABS(AB4239)&lt;=0.01,"OK","CHECK"))</f>
        <v/>
      </c>
      <c r="AE4239">
        <f>IF(U4239="","MISSING",IF(AND(AA4239&gt;0,U4239/AA4239&gt;50),"POSSIBLE_SCALE_ERROR","OK"))</f>
        <v/>
      </c>
    </row>
    <row r="4240">
      <c r="A4240" t="inlineStr">
        <is>
          <t>T-2012-Q4-00083</t>
        </is>
      </c>
      <c r="B4240" t="inlineStr">
        <is>
          <t>SLE</t>
        </is>
      </c>
      <c r="C4240" t="inlineStr">
        <is>
          <t>Senior Advisor (Energy)</t>
        </is>
      </c>
      <c r="D4240" t="inlineStr">
        <is>
          <t>Conseiller spécial (energie)</t>
        </is>
      </c>
      <c r="E4240" t="inlineStr">
        <is>
          <t>Andrew F. Noseworthy</t>
        </is>
      </c>
      <c r="F4240" t="inlineStr">
        <is>
          <t>Halifax Energy Dialogue</t>
        </is>
      </c>
      <c r="G4240" t="inlineStr">
        <is>
          <t>Dialogue sur l'énergie à Halifax</t>
        </is>
      </c>
      <c r="H4240" s="1" t="n">
        <v>40966</v>
      </c>
      <c r="I4240" s="1" t="n">
        <v>40967</v>
      </c>
      <c r="J4240" t="inlineStr">
        <is>
          <t>Halifax, Nova Scotia</t>
        </is>
      </c>
      <c r="K4240" t="inlineStr">
        <is>
          <t>Halifax (Nouvelle-Écosse)</t>
        </is>
      </c>
      <c r="P4240" t="n">
        <v>746.23</v>
      </c>
      <c r="Q4240" t="n">
        <v>120</v>
      </c>
      <c r="R4240" t="n">
        <v>139.59</v>
      </c>
      <c r="S4240" t="n">
        <v>49.95</v>
      </c>
      <c r="T4240" t="n">
        <v>24</v>
      </c>
      <c r="U4240" t="n">
        <v>1079.77</v>
      </c>
      <c r="X4240" t="inlineStr">
        <is>
          <t>acoa-apeca</t>
        </is>
      </c>
      <c r="Y4240" t="inlineStr">
        <is>
          <t>Atlantic Canada Opportunities Agency | Agence de promotion économique du Canada atlantique</t>
        </is>
      </c>
      <c r="Z4240" t="n">
        <v>2</v>
      </c>
      <c r="AA4240" t="n">
        <v>1079.77</v>
      </c>
      <c r="AB4240">
        <f>ROUND(U4240-AA4240,2)</f>
        <v/>
      </c>
      <c r="AC4240" t="b">
        <v>0</v>
      </c>
      <c r="AD4240">
        <f>IF(U4240="","MISSING_TOTAL",IF(ABS(AB4240)&lt;=0.01,"OK","CHECK"))</f>
        <v/>
      </c>
      <c r="AE4240">
        <f>IF(U4240="","MISSING",IF(AND(AA4240&gt;0,U4240/AA4240&gt;50),"POSSIBLE_SCALE_ERROR","OK"))</f>
        <v/>
      </c>
    </row>
    <row r="4241">
      <c r="A4241" t="inlineStr">
        <is>
          <t>T-2012-Q4-00068</t>
        </is>
      </c>
      <c r="B4241" t="inlineStr">
        <is>
          <t>SLE</t>
        </is>
      </c>
      <c r="C4241" t="inlineStr">
        <is>
          <t>Senior Advisor (Energy)</t>
        </is>
      </c>
      <c r="D4241" t="inlineStr">
        <is>
          <t>Conseiller spécial (energie)</t>
        </is>
      </c>
      <c r="E4241" t="inlineStr">
        <is>
          <t>Andrew F. Noseworthy</t>
        </is>
      </c>
      <c r="F4241" t="inlineStr">
        <is>
          <t>Meeting with senior Agengy officials</t>
        </is>
      </c>
      <c r="G4241" t="inlineStr">
        <is>
          <t>Réunion avec des hauts fonctionnaires de l'Agence</t>
        </is>
      </c>
      <c r="H4241" s="1" t="n">
        <v>40952</v>
      </c>
      <c r="I4241" s="1" t="n">
        <v>40953</v>
      </c>
      <c r="J4241" t="inlineStr">
        <is>
          <t>Ottawa, Ontario</t>
        </is>
      </c>
      <c r="K4241" t="inlineStr">
        <is>
          <t>Ottawa (Ontario)</t>
        </is>
      </c>
      <c r="P4241" t="n">
        <v>1357.13</v>
      </c>
      <c r="Q4241" t="n">
        <v>138</v>
      </c>
      <c r="R4241" t="n">
        <v>177.41</v>
      </c>
      <c r="S4241" t="n">
        <v>159.75</v>
      </c>
      <c r="T4241" t="n">
        <v>0</v>
      </c>
      <c r="U4241" t="n">
        <v>1832.29</v>
      </c>
      <c r="X4241" t="inlineStr">
        <is>
          <t>acoa-apeca</t>
        </is>
      </c>
      <c r="Y4241" t="inlineStr">
        <is>
          <t>Atlantic Canada Opportunities Agency | Agence de promotion économique du Canada atlantique</t>
        </is>
      </c>
      <c r="Z4241" t="n">
        <v>2</v>
      </c>
      <c r="AA4241" t="n">
        <v>1832.29</v>
      </c>
      <c r="AB4241">
        <f>ROUND(U4241-AA4241,2)</f>
        <v/>
      </c>
      <c r="AC4241" t="b">
        <v>0</v>
      </c>
      <c r="AD4241">
        <f>IF(U4241="","MISSING_TOTAL",IF(ABS(AB4241)&lt;=0.01,"OK","CHECK"))</f>
        <v/>
      </c>
      <c r="AE4241">
        <f>IF(U4241="","MISSING",IF(AND(AA4241&gt;0,U4241/AA4241&gt;50),"POSSIBLE_SCALE_ERROR","OK"))</f>
        <v/>
      </c>
    </row>
    <row r="4242">
      <c r="A4242" t="inlineStr">
        <is>
          <t>T-2012-Q4-00058</t>
        </is>
      </c>
      <c r="B4242" t="inlineStr">
        <is>
          <t>SLE</t>
        </is>
      </c>
      <c r="C4242" t="inlineStr">
        <is>
          <t>Senior Advisor (Energy)</t>
        </is>
      </c>
      <c r="D4242" t="inlineStr">
        <is>
          <t>Conseiller spécial (energie)</t>
        </is>
      </c>
      <c r="E4242" t="inlineStr">
        <is>
          <t>Andrew F. Noseworthy</t>
        </is>
      </c>
      <c r="F4242" t="inlineStr">
        <is>
          <t>Atlantic Energy Gateway meetings; meeting with senior Agency staff; meeting with Nova Scotia Department of Energy officials</t>
        </is>
      </c>
      <c r="G4242" t="inlineStr">
        <is>
          <t>Réunions sur la Porte d'entrée de l'énergie de l'Atlantique, réunion avec des hauts fonctionnaires de l'Agence et réunion avec des fonctionnaires du ministère de l'Énergie de la Nouvelle-Écosse</t>
        </is>
      </c>
      <c r="H4242" s="1" t="n">
        <v>40946</v>
      </c>
      <c r="I4242" s="1" t="n">
        <v>40949</v>
      </c>
      <c r="J4242" t="inlineStr">
        <is>
          <t>Halifax, Nova Scotia</t>
        </is>
      </c>
      <c r="K4242" t="inlineStr">
        <is>
          <t>Halifax (Nouvelle-Écosse)</t>
        </is>
      </c>
      <c r="P4242" t="n">
        <v>1357.13</v>
      </c>
      <c r="Q4242" t="n">
        <v>227</v>
      </c>
      <c r="R4242" t="n">
        <v>418.77</v>
      </c>
      <c r="S4242" t="n">
        <v>295.3</v>
      </c>
      <c r="T4242" t="n">
        <v>0</v>
      </c>
      <c r="U4242" t="n">
        <v>2298.2</v>
      </c>
      <c r="X4242" t="inlineStr">
        <is>
          <t>acoa-apeca</t>
        </is>
      </c>
      <c r="Y4242" t="inlineStr">
        <is>
          <t>Atlantic Canada Opportunities Agency | Agence de promotion économique du Canada atlantique</t>
        </is>
      </c>
      <c r="Z4242" t="n">
        <v>4</v>
      </c>
      <c r="AA4242" t="n">
        <v>2298.2</v>
      </c>
      <c r="AB4242">
        <f>ROUND(U4242-AA4242,2)</f>
        <v/>
      </c>
      <c r="AC4242" t="b">
        <v>0</v>
      </c>
      <c r="AD4242">
        <f>IF(U4242="","MISSING_TOTAL",IF(ABS(AB4242)&lt;=0.01,"OK","CHECK"))</f>
        <v/>
      </c>
      <c r="AE4242">
        <f>IF(U4242="","MISSING",IF(AND(AA4242&gt;0,U4242/AA4242&gt;50),"POSSIBLE_SCALE_ERROR","OK"))</f>
        <v/>
      </c>
    </row>
    <row r="4243">
      <c r="A4243" t="inlineStr">
        <is>
          <t>T-2012-Q4-00048</t>
        </is>
      </c>
      <c r="B4243" t="inlineStr">
        <is>
          <t>SLE</t>
        </is>
      </c>
      <c r="C4243" t="inlineStr">
        <is>
          <t>Senior Advisor (Energy)</t>
        </is>
      </c>
      <c r="D4243" t="inlineStr">
        <is>
          <t>Conseiller spécial (energie)</t>
        </is>
      </c>
      <c r="E4243" t="inlineStr">
        <is>
          <t>Andrew F. Noseworthy</t>
        </is>
      </c>
      <c r="F4243" t="inlineStr">
        <is>
          <t>Senior ACOA executives meeting</t>
        </is>
      </c>
      <c r="G4243" t="inlineStr">
        <is>
          <t>Réunion des cadres supérieurs de l'APECA</t>
        </is>
      </c>
      <c r="H4243" s="1" t="n">
        <v>40940</v>
      </c>
      <c r="I4243" s="1" t="n">
        <v>40941</v>
      </c>
      <c r="J4243" t="inlineStr">
        <is>
          <t>Moncton, New Brunwick</t>
        </is>
      </c>
      <c r="K4243" t="inlineStr">
        <is>
          <t>Moncton (Nouveau-Brunswick)</t>
        </is>
      </c>
      <c r="P4243" t="n">
        <v>589.38</v>
      </c>
      <c r="Q4243" t="n">
        <v>100</v>
      </c>
      <c r="R4243" t="n">
        <v>145.77</v>
      </c>
      <c r="S4243" t="n">
        <v>130.55</v>
      </c>
      <c r="T4243" t="n">
        <v>9.25</v>
      </c>
      <c r="U4243" t="n">
        <v>974.95</v>
      </c>
      <c r="X4243" t="inlineStr">
        <is>
          <t>acoa-apeca</t>
        </is>
      </c>
      <c r="Y4243" t="inlineStr">
        <is>
          <t>Atlantic Canada Opportunities Agency | Agence de promotion économique du Canada atlantique</t>
        </is>
      </c>
      <c r="Z4243" t="n">
        <v>2</v>
      </c>
      <c r="AA4243" t="n">
        <v>974.95</v>
      </c>
      <c r="AB4243">
        <f>ROUND(U4243-AA4243,2)</f>
        <v/>
      </c>
      <c r="AC4243" t="b">
        <v>0</v>
      </c>
      <c r="AD4243">
        <f>IF(U4243="","MISSING_TOTAL",IF(ABS(AB4243)&lt;=0.01,"OK","CHECK"))</f>
        <v/>
      </c>
      <c r="AE4243">
        <f>IF(U4243="","MISSING",IF(AND(AA4243&gt;0,U4243/AA4243&gt;50),"POSSIBLE_SCALE_ERROR","OK"))</f>
        <v/>
      </c>
    </row>
    <row r="4244">
      <c r="A4244" t="inlineStr">
        <is>
          <t>T-2012-Q2-00067</t>
        </is>
      </c>
      <c r="B4244" t="inlineStr">
        <is>
          <t>SLE</t>
        </is>
      </c>
      <c r="C4244" t="inlineStr">
        <is>
          <t>Senior Advisor (Energy)</t>
        </is>
      </c>
      <c r="D4244" t="inlineStr">
        <is>
          <t>Conseiller spécial (energie)</t>
        </is>
      </c>
      <c r="E4244" t="inlineStr">
        <is>
          <t>Andrew F. Noseworthy</t>
        </is>
      </c>
      <c r="F4244" t="inlineStr">
        <is>
          <t>Attend meeting of senior Agency officials</t>
        </is>
      </c>
      <c r="G4244" t="inlineStr">
        <is>
          <t>Assister à une réunion avec des hauts fonctionnaires de l'Agence</t>
        </is>
      </c>
      <c r="H4244" s="1" t="n">
        <v>40779</v>
      </c>
      <c r="I4244" s="1" t="n">
        <v>40780</v>
      </c>
      <c r="J4244" t="inlineStr">
        <is>
          <t>Moncton, New Brunswick</t>
        </is>
      </c>
      <c r="K4244" t="inlineStr">
        <is>
          <t>Moncton (Nouveau-Brunswick)</t>
        </is>
      </c>
      <c r="P4244" t="n">
        <v>1317.58</v>
      </c>
      <c r="Q4244" t="n">
        <v>48</v>
      </c>
      <c r="R4244" t="n">
        <v>145.77</v>
      </c>
      <c r="S4244" t="n">
        <v>129.35</v>
      </c>
      <c r="T4244" t="n">
        <v>24</v>
      </c>
      <c r="U4244" t="n">
        <v>1664.7</v>
      </c>
      <c r="X4244" t="inlineStr">
        <is>
          <t>acoa-apeca</t>
        </is>
      </c>
      <c r="Y4244" t="inlineStr">
        <is>
          <t>Atlantic Canada Opportunities Agency | Agence de promotion économique du Canada atlantique</t>
        </is>
      </c>
      <c r="Z4244" t="n">
        <v>2</v>
      </c>
      <c r="AA4244" t="n">
        <v>1664.69999999999</v>
      </c>
      <c r="AB4244">
        <f>ROUND(U4244-AA4244,2)</f>
        <v/>
      </c>
      <c r="AC4244" t="b">
        <v>0</v>
      </c>
      <c r="AD4244">
        <f>IF(U4244="","MISSING_TOTAL",IF(ABS(AB4244)&lt;=0.01,"OK","CHECK"))</f>
        <v/>
      </c>
      <c r="AE4244">
        <f>IF(U4244="","MISSING",IF(AND(AA4244&gt;0,U4244/AA4244&gt;50),"POSSIBLE_SCALE_ERROR","OK"))</f>
        <v/>
      </c>
    </row>
    <row r="4245">
      <c r="A4245" t="inlineStr">
        <is>
          <t>T-2012-Q4-00039</t>
        </is>
      </c>
      <c r="B4245" t="inlineStr">
        <is>
          <t>SLE</t>
        </is>
      </c>
      <c r="C4245" t="inlineStr">
        <is>
          <t>Senior Advisor (Energy)</t>
        </is>
      </c>
      <c r="D4245" t="inlineStr">
        <is>
          <t>Conseiller spécial (energie)</t>
        </is>
      </c>
      <c r="E4245" t="inlineStr">
        <is>
          <t>Andrew F. Noseworthy</t>
        </is>
      </c>
      <c r="F4245" t="inlineStr">
        <is>
          <t>Meeting with senior Agency official, meeting with senior industry officials; Atlantica Centre for Energy Board meeting</t>
        </is>
      </c>
      <c r="G4245" t="inlineStr">
        <is>
          <t>Réunion avec un haut fonctionnaire de l'Agence; réunion avec des représentants de l'industrie; réunion du conseil du Atlantica Centre for Energy</t>
        </is>
      </c>
      <c r="H4245" s="1" t="n">
        <v>40931</v>
      </c>
      <c r="I4245" s="1" t="n">
        <v>40932</v>
      </c>
      <c r="J4245" t="inlineStr">
        <is>
          <t>Moncton and Saint John, New Brunswick</t>
        </is>
      </c>
      <c r="K4245" t="inlineStr">
        <is>
          <t>Moncton et Saint John (Nouveau-Brunswick)</t>
        </is>
      </c>
      <c r="P4245" t="n">
        <v>1625.12</v>
      </c>
      <c r="Q4245" t="n">
        <v>207.68</v>
      </c>
      <c r="R4245" t="n">
        <v>145.77</v>
      </c>
      <c r="S4245" t="n">
        <v>175.1</v>
      </c>
      <c r="T4245" t="n">
        <v>29.25</v>
      </c>
      <c r="U4245" t="n">
        <v>2182.92</v>
      </c>
      <c r="X4245" t="inlineStr">
        <is>
          <t>acoa-apeca</t>
        </is>
      </c>
      <c r="Y4245" t="inlineStr">
        <is>
          <t>Atlantic Canada Opportunities Agency | Agence de promotion économique du Canada atlantique</t>
        </is>
      </c>
      <c r="Z4245" t="n">
        <v>2</v>
      </c>
      <c r="AA4245" t="n">
        <v>2182.92</v>
      </c>
      <c r="AB4245">
        <f>ROUND(U4245-AA4245,2)</f>
        <v/>
      </c>
      <c r="AC4245" t="b">
        <v>0</v>
      </c>
      <c r="AD4245">
        <f>IF(U4245="","MISSING_TOTAL",IF(ABS(AB4245)&lt;=0.01,"OK","CHECK"))</f>
        <v/>
      </c>
      <c r="AE4245">
        <f>IF(U4245="","MISSING",IF(AND(AA4245&gt;0,U4245/AA4245&gt;50),"POSSIBLE_SCALE_ERROR","OK"))</f>
        <v/>
      </c>
    </row>
    <row r="4246">
      <c r="A4246" t="inlineStr">
        <is>
          <t>T-2012-Q4-00030</t>
        </is>
      </c>
      <c r="B4246" t="inlineStr">
        <is>
          <t>SLE</t>
        </is>
      </c>
      <c r="C4246" t="inlineStr">
        <is>
          <t>Senior Advisor (Energy)</t>
        </is>
      </c>
      <c r="D4246" t="inlineStr">
        <is>
          <t>Conseiller spécial (energie)</t>
        </is>
      </c>
      <c r="E4246" t="inlineStr">
        <is>
          <t>Andrew F. Noseworthy</t>
        </is>
      </c>
      <c r="F4246" t="inlineStr">
        <is>
          <t>Executive Committee meeting</t>
        </is>
      </c>
      <c r="G4246" t="inlineStr">
        <is>
          <t>Réunion du Comité de direction</t>
        </is>
      </c>
      <c r="H4246" s="1" t="n">
        <v>40924</v>
      </c>
      <c r="I4246" s="1" t="n">
        <v>40926</v>
      </c>
      <c r="J4246" t="inlineStr">
        <is>
          <t>Ottawa, Ontario</t>
        </is>
      </c>
      <c r="K4246" t="inlineStr">
        <is>
          <t>Ottawa (Ontario)</t>
        </is>
      </c>
      <c r="P4246" t="n">
        <v>2508.68</v>
      </c>
      <c r="Q4246" t="n">
        <v>95</v>
      </c>
      <c r="R4246" t="n">
        <v>333.51</v>
      </c>
      <c r="S4246" t="n">
        <v>177.8</v>
      </c>
      <c r="T4246" t="n">
        <v>43.5</v>
      </c>
      <c r="U4246" t="n">
        <v>3158.49</v>
      </c>
      <c r="X4246" t="inlineStr">
        <is>
          <t>acoa-apeca</t>
        </is>
      </c>
      <c r="Y4246" t="inlineStr">
        <is>
          <t>Atlantic Canada Opportunities Agency | Agence de promotion économique du Canada atlantique</t>
        </is>
      </c>
      <c r="Z4246" t="n">
        <v>3</v>
      </c>
      <c r="AA4246" t="n">
        <v>3158.49</v>
      </c>
      <c r="AB4246">
        <f>ROUND(U4246-AA4246,2)</f>
        <v/>
      </c>
      <c r="AC4246" t="b">
        <v>0</v>
      </c>
      <c r="AD4246">
        <f>IF(U4246="","MISSING_TOTAL",IF(ABS(AB4246)&lt;=0.01,"OK","CHECK"))</f>
        <v/>
      </c>
      <c r="AE4246">
        <f>IF(U4246="","MISSING",IF(AND(AA4246&gt;0,U4246/AA4246&gt;50),"POSSIBLE_SCALE_ERROR","OK"))</f>
        <v/>
      </c>
    </row>
    <row r="4247">
      <c r="A4247" t="inlineStr">
        <is>
          <t>T-2012-Q4-00010</t>
        </is>
      </c>
      <c r="B4247" t="inlineStr">
        <is>
          <t>SLE</t>
        </is>
      </c>
      <c r="C4247" t="inlineStr">
        <is>
          <t>Senior Advisor (Energy)</t>
        </is>
      </c>
      <c r="D4247" t="inlineStr">
        <is>
          <t>Conseiller spécial (energie)</t>
        </is>
      </c>
      <c r="E4247" t="inlineStr">
        <is>
          <t>Andrew F. Noseworthy</t>
        </is>
      </c>
      <c r="F4247" t="inlineStr">
        <is>
          <t>Meeting with senior Agency officials; meeting with senior industry official</t>
        </is>
      </c>
      <c r="G4247" t="inlineStr">
        <is>
          <t>Réunion avec des hauts fonctionnaires de l'Agence; réunion avec un représentant  de l'industrie</t>
        </is>
      </c>
      <c r="H4247" s="1" t="n">
        <v>40891</v>
      </c>
      <c r="I4247" s="1" t="n">
        <v>40892</v>
      </c>
      <c r="J4247" t="inlineStr">
        <is>
          <t>Moncton and Saint John, New Brunswick</t>
        </is>
      </c>
      <c r="K4247" t="inlineStr">
        <is>
          <t>Moncton et Saint John (Nouveau-Brunswick)</t>
        </is>
      </c>
      <c r="P4247" t="n">
        <v>1899.41</v>
      </c>
      <c r="Q4247" t="n">
        <v>317.49</v>
      </c>
      <c r="R4247" t="n">
        <v>111.8</v>
      </c>
      <c r="S4247" t="n">
        <v>145.15</v>
      </c>
      <c r="T4247" t="n">
        <v>50.74</v>
      </c>
      <c r="U4247" t="n">
        <v>2524.59</v>
      </c>
      <c r="X4247" t="inlineStr">
        <is>
          <t>acoa-apeca</t>
        </is>
      </c>
      <c r="Y4247" t="inlineStr">
        <is>
          <t>Atlantic Canada Opportunities Agency | Agence de promotion économique du Canada atlantique</t>
        </is>
      </c>
      <c r="Z4247" t="n">
        <v>2</v>
      </c>
      <c r="AA4247" t="n">
        <v>2524.59</v>
      </c>
      <c r="AB4247">
        <f>ROUND(U4247-AA4247,2)</f>
        <v/>
      </c>
      <c r="AC4247" t="b">
        <v>0</v>
      </c>
      <c r="AD4247">
        <f>IF(U4247="","MISSING_TOTAL",IF(ABS(AB4247)&lt;=0.01,"OK","CHECK"))</f>
        <v/>
      </c>
      <c r="AE4247">
        <f>IF(U4247="","MISSING",IF(AND(AA4247&gt;0,U4247/AA4247&gt;50),"POSSIBLE_SCALE_ERROR","OK"))</f>
        <v/>
      </c>
    </row>
    <row r="4248">
      <c r="A4248" t="inlineStr">
        <is>
          <t>T-2012-Q4-00006</t>
        </is>
      </c>
      <c r="B4248" t="inlineStr">
        <is>
          <t>SLE</t>
        </is>
      </c>
      <c r="C4248" t="inlineStr">
        <is>
          <t>Senior Advisor (Energy)</t>
        </is>
      </c>
      <c r="D4248" t="inlineStr">
        <is>
          <t>Conseiller spécial (energie)</t>
        </is>
      </c>
      <c r="E4248" t="inlineStr">
        <is>
          <t>Andrew F. Noseworthy</t>
        </is>
      </c>
      <c r="F4248" t="inlineStr">
        <is>
          <t>Meeting with Transport Canada official; meeting with senior industry officials</t>
        </is>
      </c>
      <c r="G4248" t="inlineStr">
        <is>
          <t>Réunion avec un fonctionnaire de Transports Canada; réunion avec des représentants de l'industrie</t>
        </is>
      </c>
      <c r="H4248" s="1" t="n">
        <v>40889</v>
      </c>
      <c r="I4248" s="1" t="n">
        <v>40889</v>
      </c>
      <c r="J4248" t="inlineStr">
        <is>
          <t>Ottawa, Ontario</t>
        </is>
      </c>
      <c r="K4248" t="inlineStr">
        <is>
          <t>Ottawa (Ontario)</t>
        </is>
      </c>
      <c r="P4248" t="n">
        <v>1445.73</v>
      </c>
      <c r="Q4248" t="n">
        <v>80</v>
      </c>
      <c r="R4248" t="n">
        <v>0</v>
      </c>
      <c r="S4248" t="n">
        <v>70.25</v>
      </c>
      <c r="T4248" t="n">
        <v>12</v>
      </c>
      <c r="U4248" t="n">
        <v>1607.98</v>
      </c>
      <c r="X4248" t="inlineStr">
        <is>
          <t>acoa-apeca</t>
        </is>
      </c>
      <c r="Y4248" t="inlineStr">
        <is>
          <t>Atlantic Canada Opportunities Agency | Agence de promotion économique du Canada atlantique</t>
        </is>
      </c>
      <c r="Z4248" t="n">
        <v>1</v>
      </c>
      <c r="AA4248" t="n">
        <v>1607.98</v>
      </c>
      <c r="AB4248">
        <f>ROUND(U4248-AA4248,2)</f>
        <v/>
      </c>
      <c r="AC4248" t="b">
        <v>0</v>
      </c>
      <c r="AD4248">
        <f>IF(U4248="","MISSING_TOTAL",IF(ABS(AB4248)&lt;=0.01,"OK","CHECK"))</f>
        <v/>
      </c>
      <c r="AE4248">
        <f>IF(U4248="","MISSING",IF(AND(AA4248&gt;0,U4248/AA4248&gt;50),"POSSIBLE_SCALE_ERROR","OK"))</f>
        <v/>
      </c>
    </row>
    <row r="4249">
      <c r="A4249" t="inlineStr">
        <is>
          <t>T-2012-Q4-00002</t>
        </is>
      </c>
      <c r="B4249" t="inlineStr">
        <is>
          <t>SLE</t>
        </is>
      </c>
      <c r="C4249" t="inlineStr">
        <is>
          <t>Senior Advisor (Energy)</t>
        </is>
      </c>
      <c r="D4249" t="inlineStr">
        <is>
          <t>Conseiller spécial (energie)</t>
        </is>
      </c>
      <c r="E4249" t="inlineStr">
        <is>
          <t>Andrew F. Noseworthy</t>
        </is>
      </c>
      <c r="F4249" t="inlineStr">
        <is>
          <t>Atlantic Energy Gateway meeting in Halifax; meeting with Agency officials in Moncton</t>
        </is>
      </c>
      <c r="G4249" t="inlineStr">
        <is>
          <t>Réunion sur la Porte d'entrée de l'énergie de l'Atlantique à Halifax et réunion avec des fonctionnaires de l'Agence à Moncton</t>
        </is>
      </c>
      <c r="H4249" s="1" t="n">
        <v>40882</v>
      </c>
      <c r="I4249" s="1" t="n">
        <v>40884</v>
      </c>
      <c r="J4249" t="inlineStr">
        <is>
          <t>Halifax, Nova Scotia; Moncton, New Brunswick</t>
        </is>
      </c>
      <c r="K4249" t="inlineStr">
        <is>
          <t>Halifax (Nouvelle-Écosse) et Moncton (Nouveau-Brunswick)</t>
        </is>
      </c>
      <c r="P4249" t="n">
        <v>2323.23</v>
      </c>
      <c r="Q4249" t="n">
        <v>338.13</v>
      </c>
      <c r="R4249" t="n">
        <v>272.14</v>
      </c>
      <c r="S4249" t="n">
        <v>247.3</v>
      </c>
      <c r="T4249" t="n">
        <v>61.84</v>
      </c>
      <c r="U4249" t="n">
        <v>3242.64</v>
      </c>
      <c r="X4249" t="inlineStr">
        <is>
          <t>acoa-apeca</t>
        </is>
      </c>
      <c r="Y4249" t="inlineStr">
        <is>
          <t>Atlantic Canada Opportunities Agency | Agence de promotion économique du Canada atlantique</t>
        </is>
      </c>
      <c r="Z4249" t="n">
        <v>3</v>
      </c>
      <c r="AA4249" t="n">
        <v>3242.64</v>
      </c>
      <c r="AB4249">
        <f>ROUND(U4249-AA4249,2)</f>
        <v/>
      </c>
      <c r="AC4249" t="b">
        <v>0</v>
      </c>
      <c r="AD4249">
        <f>IF(U4249="","MISSING_TOTAL",IF(ABS(AB4249)&lt;=0.01,"OK","CHECK"))</f>
        <v/>
      </c>
      <c r="AE4249">
        <f>IF(U4249="","MISSING",IF(AND(AA4249&gt;0,U4249/AA4249&gt;50),"POSSIBLE_SCALE_ERROR","OK"))</f>
        <v/>
      </c>
    </row>
    <row r="4250">
      <c r="A4250" t="inlineStr">
        <is>
          <t>T-2012-Q4-00001</t>
        </is>
      </c>
      <c r="B4250" t="inlineStr">
        <is>
          <t>SLE</t>
        </is>
      </c>
      <c r="C4250" t="inlineStr">
        <is>
          <t>Senior Advisor (Energy)</t>
        </is>
      </c>
      <c r="D4250" t="inlineStr">
        <is>
          <t>Conseiller spécial (energie)</t>
        </is>
      </c>
      <c r="E4250" t="inlineStr">
        <is>
          <t>Andrew F. Noseworthy</t>
        </is>
      </c>
      <c r="F4250" t="inlineStr">
        <is>
          <t>Meeting with senior Agency officials</t>
        </is>
      </c>
      <c r="G4250" t="inlineStr">
        <is>
          <t>Réunion avec des hauts fonctionnaires de l'Agence</t>
        </is>
      </c>
      <c r="H4250" s="1" t="n">
        <v>40879</v>
      </c>
      <c r="I4250" s="1" t="n">
        <v>40879</v>
      </c>
      <c r="J4250" t="inlineStr">
        <is>
          <t>Fredericton, New Brunswick</t>
        </is>
      </c>
      <c r="K4250" t="inlineStr">
        <is>
          <t>Fredericton (Nouveau-Brunswick)</t>
        </is>
      </c>
      <c r="P4250" t="n">
        <v>1013.73</v>
      </c>
      <c r="Q4250" t="n">
        <v>55</v>
      </c>
      <c r="R4250" t="n">
        <v>0</v>
      </c>
      <c r="S4250" t="n">
        <v>54.9</v>
      </c>
      <c r="T4250" t="n">
        <v>12</v>
      </c>
      <c r="U4250" t="n">
        <v>1135.63</v>
      </c>
      <c r="X4250" t="inlineStr">
        <is>
          <t>acoa-apeca</t>
        </is>
      </c>
      <c r="Y4250" t="inlineStr">
        <is>
          <t>Atlantic Canada Opportunities Agency | Agence de promotion économique du Canada atlantique</t>
        </is>
      </c>
      <c r="Z4250" t="n">
        <v>1</v>
      </c>
      <c r="AA4250" t="n">
        <v>1135.63</v>
      </c>
      <c r="AB4250">
        <f>ROUND(U4250-AA4250,2)</f>
        <v/>
      </c>
      <c r="AC4250" t="b">
        <v>0</v>
      </c>
      <c r="AD4250">
        <f>IF(U4250="","MISSING_TOTAL",IF(ABS(AB4250)&lt;=0.01,"OK","CHECK"))</f>
        <v/>
      </c>
      <c r="AE4250">
        <f>IF(U4250="","MISSING",IF(AND(AA4250&gt;0,U4250/AA4250&gt;50),"POSSIBLE_SCALE_ERROR","OK"))</f>
        <v/>
      </c>
    </row>
    <row r="4251">
      <c r="A4251" t="inlineStr">
        <is>
          <t>T-2012-Q3-00086</t>
        </is>
      </c>
      <c r="B4251" t="inlineStr">
        <is>
          <t>SLE</t>
        </is>
      </c>
      <c r="C4251" t="inlineStr">
        <is>
          <t>Senior Advisor (Energy)</t>
        </is>
      </c>
      <c r="D4251" t="inlineStr">
        <is>
          <t>Conseiller spécial (energie)</t>
        </is>
      </c>
      <c r="E4251" t="inlineStr">
        <is>
          <t>Andrew F. Noseworthy</t>
        </is>
      </c>
      <c r="F4251" t="inlineStr">
        <is>
          <t>National Roundtable on the Environment and the Economy Halifax Round Table session</t>
        </is>
      </c>
      <c r="G4251" t="inlineStr">
        <is>
          <t>Table ronde nationale sur l'environnement et l'économie, table ronde d'Halifax</t>
        </is>
      </c>
      <c r="H4251" s="1" t="n">
        <v>40877</v>
      </c>
      <c r="I4251" s="1" t="n">
        <v>40877</v>
      </c>
      <c r="J4251" t="inlineStr">
        <is>
          <t>Halifax, Nova Scotia</t>
        </is>
      </c>
      <c r="K4251" t="inlineStr">
        <is>
          <t>Halifax (Nouvelle-Écosse)</t>
        </is>
      </c>
      <c r="P4251" t="n">
        <v>1357.13</v>
      </c>
      <c r="Q4251" t="n">
        <v>137</v>
      </c>
      <c r="R4251" t="n">
        <v>0</v>
      </c>
      <c r="S4251" t="n">
        <v>70.25</v>
      </c>
      <c r="T4251" t="n">
        <v>12</v>
      </c>
      <c r="U4251" t="n">
        <v>1576.38</v>
      </c>
      <c r="X4251" t="inlineStr">
        <is>
          <t>acoa-apeca</t>
        </is>
      </c>
      <c r="Y4251" t="inlineStr">
        <is>
          <t>Atlantic Canada Opportunities Agency | Agence de promotion économique du Canada atlantique</t>
        </is>
      </c>
      <c r="Z4251" t="n">
        <v>1</v>
      </c>
      <c r="AA4251" t="n">
        <v>1576.38</v>
      </c>
      <c r="AB4251">
        <f>ROUND(U4251-AA4251,2)</f>
        <v/>
      </c>
      <c r="AC4251" t="b">
        <v>0</v>
      </c>
      <c r="AD4251">
        <f>IF(U4251="","MISSING_TOTAL",IF(ABS(AB4251)&lt;=0.01,"OK","CHECK"))</f>
        <v/>
      </c>
      <c r="AE4251">
        <f>IF(U4251="","MISSING",IF(AND(AA4251&gt;0,U4251/AA4251&gt;50),"POSSIBLE_SCALE_ERROR","OK"))</f>
        <v/>
      </c>
    </row>
    <row r="4252">
      <c r="A4252" t="inlineStr">
        <is>
          <t>T-2012-Q3-00081</t>
        </is>
      </c>
      <c r="B4252" t="inlineStr">
        <is>
          <t>SLE</t>
        </is>
      </c>
      <c r="C4252" t="inlineStr">
        <is>
          <t>Senior Advisor (Energy)</t>
        </is>
      </c>
      <c r="D4252" t="inlineStr">
        <is>
          <t>Conseiller spécial (energie)</t>
        </is>
      </c>
      <c r="E4252" t="inlineStr">
        <is>
          <t>Andrew F. Noseworthy</t>
        </is>
      </c>
      <c r="F4252" t="inlineStr">
        <is>
          <t>Meeting with officials from Natural Resources Canada</t>
        </is>
      </c>
      <c r="G4252" t="inlineStr">
        <is>
          <t>Réunion avec des fonctionnaires de Ressources naturelles Canada</t>
        </is>
      </c>
      <c r="H4252" s="1" t="n">
        <v>40870</v>
      </c>
      <c r="I4252" s="1" t="n">
        <v>40870</v>
      </c>
      <c r="J4252" t="inlineStr">
        <is>
          <t>Ottawa, Ontario</t>
        </is>
      </c>
      <c r="K4252" t="inlineStr">
        <is>
          <t>Ottawa (Ontario)</t>
        </is>
      </c>
      <c r="P4252" t="n">
        <v>1357.13</v>
      </c>
      <c r="Q4252" t="n">
        <v>120</v>
      </c>
      <c r="R4252" t="n">
        <v>0</v>
      </c>
      <c r="S4252" t="n">
        <v>54.9</v>
      </c>
      <c r="T4252" t="n">
        <v>12</v>
      </c>
      <c r="U4252" t="n">
        <v>1544.03</v>
      </c>
      <c r="X4252" t="inlineStr">
        <is>
          <t>acoa-apeca</t>
        </is>
      </c>
      <c r="Y4252" t="inlineStr">
        <is>
          <t>Atlantic Canada Opportunities Agency | Agence de promotion économique du Canada atlantique</t>
        </is>
      </c>
      <c r="Z4252" t="n">
        <v>1</v>
      </c>
      <c r="AA4252" t="n">
        <v>1544.03</v>
      </c>
      <c r="AB4252">
        <f>ROUND(U4252-AA4252,2)</f>
        <v/>
      </c>
      <c r="AC4252" t="b">
        <v>0</v>
      </c>
      <c r="AD4252">
        <f>IF(U4252="","MISSING_TOTAL",IF(ABS(AB4252)&lt;=0.01,"OK","CHECK"))</f>
        <v/>
      </c>
      <c r="AE4252">
        <f>IF(U4252="","MISSING",IF(AND(AA4252&gt;0,U4252/AA4252&gt;50),"POSSIBLE_SCALE_ERROR","OK"))</f>
        <v/>
      </c>
    </row>
    <row r="4253">
      <c r="A4253" t="inlineStr">
        <is>
          <t>T-2012-Q3-00061</t>
        </is>
      </c>
      <c r="B4253" t="inlineStr">
        <is>
          <t>SLE</t>
        </is>
      </c>
      <c r="C4253" t="inlineStr">
        <is>
          <t>Senior Advisor (Energy)</t>
        </is>
      </c>
      <c r="D4253" t="inlineStr">
        <is>
          <t>Conseiller spécial (energie)</t>
        </is>
      </c>
      <c r="E4253" t="inlineStr">
        <is>
          <t>Andrew F. Noseworthy</t>
        </is>
      </c>
      <c r="F4253" t="inlineStr">
        <is>
          <t>Attend United States-Canada Energy Trade and Technology Conference; meetings with Canadian Embassy official</t>
        </is>
      </c>
      <c r="G4253" t="inlineStr">
        <is>
          <t>Assister à la conférence sur les échanges et les technologies énergétiques États-Unis – Canada; réunions avec un fonctionnaire de l'ambassade du Canada</t>
        </is>
      </c>
      <c r="H4253" s="1" t="n">
        <v>40849</v>
      </c>
      <c r="I4253" s="1" t="n">
        <v>40852</v>
      </c>
      <c r="J4253" t="inlineStr">
        <is>
          <t>Boston, Massachusetts</t>
        </is>
      </c>
      <c r="K4253" t="inlineStr">
        <is>
          <t>Boston (Massachusetts)</t>
        </is>
      </c>
      <c r="P4253" t="n">
        <v>1939.59</v>
      </c>
      <c r="Q4253" t="n">
        <v>152.39</v>
      </c>
      <c r="R4253" t="n">
        <v>877.25</v>
      </c>
      <c r="S4253" t="n">
        <v>242.12</v>
      </c>
      <c r="T4253" t="n">
        <v>90.84</v>
      </c>
      <c r="U4253" t="n">
        <v>3302.19</v>
      </c>
      <c r="X4253" t="inlineStr">
        <is>
          <t>acoa-apeca</t>
        </is>
      </c>
      <c r="Y4253" t="inlineStr">
        <is>
          <t>Atlantic Canada Opportunities Agency | Agence de promotion économique du Canada atlantique</t>
        </is>
      </c>
      <c r="Z4253" t="n">
        <v>4</v>
      </c>
      <c r="AA4253" t="n">
        <v>3302.19</v>
      </c>
      <c r="AB4253">
        <f>ROUND(U4253-AA4253,2)</f>
        <v/>
      </c>
      <c r="AC4253" t="b">
        <v>0</v>
      </c>
      <c r="AD4253">
        <f>IF(U4253="","MISSING_TOTAL",IF(ABS(AB4253)&lt;=0.01,"OK","CHECK"))</f>
        <v/>
      </c>
      <c r="AE4253">
        <f>IF(U4253="","MISSING",IF(AND(AA4253&gt;0,U4253/AA4253&gt;50),"POSSIBLE_SCALE_ERROR","OK"))</f>
        <v/>
      </c>
    </row>
    <row r="4254">
      <c r="A4254" t="inlineStr">
        <is>
          <t>T-2012-Q3-00050</t>
        </is>
      </c>
      <c r="B4254" t="inlineStr">
        <is>
          <t>SLE</t>
        </is>
      </c>
      <c r="C4254" t="inlineStr">
        <is>
          <t>Senior Advisor (Energy)</t>
        </is>
      </c>
      <c r="D4254" t="inlineStr">
        <is>
          <t>Conseiller spécial (energie)</t>
        </is>
      </c>
      <c r="E4254" t="inlineStr">
        <is>
          <t>Andrew F. Noseworthy</t>
        </is>
      </c>
      <c r="F4254" t="inlineStr">
        <is>
          <t>Attend Rothesay Energy Dialogue; attend Atlantica Centre for Energy Board meeting</t>
        </is>
      </c>
      <c r="G4254" t="inlineStr">
        <is>
          <t>Assister au dialogue sur l'énergie de Rothesay; assister à une réunion du conseil d'administration d'Atlantica Centre for Energy</t>
        </is>
      </c>
      <c r="H4254" s="1" t="n">
        <v>40840</v>
      </c>
      <c r="I4254" s="1" t="n">
        <v>40843</v>
      </c>
      <c r="J4254" t="inlineStr">
        <is>
          <t>Saint John, New Brunswick</t>
        </is>
      </c>
      <c r="K4254" t="inlineStr">
        <is>
          <t>Saint John (Nouveau-Brunswick)</t>
        </is>
      </c>
      <c r="P4254" t="n">
        <v>1357.13</v>
      </c>
      <c r="Q4254" t="n">
        <v>216.02</v>
      </c>
      <c r="R4254" t="n">
        <v>416.9</v>
      </c>
      <c r="S4254" t="n">
        <v>179.75</v>
      </c>
      <c r="T4254" t="n">
        <v>71.95</v>
      </c>
      <c r="U4254" t="n">
        <v>2241.75</v>
      </c>
      <c r="X4254" t="inlineStr">
        <is>
          <t>acoa-apeca</t>
        </is>
      </c>
      <c r="Y4254" t="inlineStr">
        <is>
          <t>Atlantic Canada Opportunities Agency | Agence de promotion économique du Canada atlantique</t>
        </is>
      </c>
      <c r="Z4254" t="n">
        <v>4</v>
      </c>
      <c r="AA4254" t="n">
        <v>2241.75</v>
      </c>
      <c r="AB4254">
        <f>ROUND(U4254-AA4254,2)</f>
        <v/>
      </c>
      <c r="AC4254" t="b">
        <v>0</v>
      </c>
      <c r="AD4254">
        <f>IF(U4254="","MISSING_TOTAL",IF(ABS(AB4254)&lt;=0.01,"OK","CHECK"))</f>
        <v/>
      </c>
      <c r="AE4254">
        <f>IF(U4254="","MISSING",IF(AND(AA4254&gt;0,U4254/AA4254&gt;50),"POSSIBLE_SCALE_ERROR","OK"))</f>
        <v/>
      </c>
    </row>
    <row r="4255">
      <c r="A4255" t="inlineStr">
        <is>
          <t>T-2012-Q3-00045</t>
        </is>
      </c>
      <c r="B4255" t="inlineStr">
        <is>
          <t>SLE</t>
        </is>
      </c>
      <c r="C4255" t="inlineStr">
        <is>
          <t>Senior Advisor (Energy)</t>
        </is>
      </c>
      <c r="D4255" t="inlineStr">
        <is>
          <t>Conseiller spécial (energie)</t>
        </is>
      </c>
      <c r="E4255" t="inlineStr">
        <is>
          <t>Andrew F. Noseworthy</t>
        </is>
      </c>
      <c r="F4255" t="inlineStr">
        <is>
          <t>Attend ADM Forum</t>
        </is>
      </c>
      <c r="G4255" t="inlineStr">
        <is>
          <t>Assister au Forum des sous-ministres adjoints</t>
        </is>
      </c>
      <c r="H4255" s="1" t="n">
        <v>40828</v>
      </c>
      <c r="I4255" s="1" t="n">
        <v>40829</v>
      </c>
      <c r="J4255" t="inlineStr">
        <is>
          <t>Ottawa, Ontario</t>
        </is>
      </c>
      <c r="K4255" t="inlineStr">
        <is>
          <t>Ottawa (Ontario)</t>
        </is>
      </c>
      <c r="P4255" t="n">
        <v>1855.66</v>
      </c>
      <c r="Q4255" t="n">
        <v>120</v>
      </c>
      <c r="R4255" t="n">
        <v>217.6</v>
      </c>
      <c r="S4255" t="n">
        <v>104.85</v>
      </c>
      <c r="T4255" t="n">
        <v>24</v>
      </c>
      <c r="U4255" t="n">
        <v>2322.11</v>
      </c>
      <c r="X4255" t="inlineStr">
        <is>
          <t>acoa-apeca</t>
        </is>
      </c>
      <c r="Y4255" t="inlineStr">
        <is>
          <t>Atlantic Canada Opportunities Agency | Agence de promotion économique du Canada atlantique</t>
        </is>
      </c>
      <c r="Z4255" t="n">
        <v>2</v>
      </c>
      <c r="AA4255" t="n">
        <v>2322.11</v>
      </c>
      <c r="AB4255">
        <f>ROUND(U4255-AA4255,2)</f>
        <v/>
      </c>
      <c r="AC4255" t="b">
        <v>0</v>
      </c>
      <c r="AD4255">
        <f>IF(U4255="","MISSING_TOTAL",IF(ABS(AB4255)&lt;=0.01,"OK","CHECK"))</f>
        <v/>
      </c>
      <c r="AE4255">
        <f>IF(U4255="","MISSING",IF(AND(AA4255&gt;0,U4255/AA4255&gt;50),"POSSIBLE_SCALE_ERROR","OK"))</f>
        <v/>
      </c>
    </row>
    <row r="4256">
      <c r="A4256" t="inlineStr">
        <is>
          <t>T-2012-Q3-00021</t>
        </is>
      </c>
      <c r="B4256" t="inlineStr">
        <is>
          <t>SLE</t>
        </is>
      </c>
      <c r="C4256" t="inlineStr">
        <is>
          <t>Senior Advisor (Energy)</t>
        </is>
      </c>
      <c r="D4256" t="inlineStr">
        <is>
          <t>Conseiller spécial (energie)</t>
        </is>
      </c>
      <c r="E4256" t="inlineStr">
        <is>
          <t>Andrew F. Noseworthy</t>
        </is>
      </c>
      <c r="F4256" t="inlineStr">
        <is>
          <t>Meeting with Agency officials; Energy meetings with Industry and provincial Energy officials</t>
        </is>
      </c>
      <c r="G4256" t="inlineStr">
        <is>
          <t>Réunion avec des fonctionnaires de l'Agence; réunions sur l'énergie avec des représentants de l'industrie et des fonctionnaires provinciaux de l'énergie</t>
        </is>
      </c>
      <c r="H4256" s="1" t="n">
        <v>40805</v>
      </c>
      <c r="I4256" s="1" t="n">
        <v>40806</v>
      </c>
      <c r="J4256" t="inlineStr">
        <is>
          <t>Halifax, Nova Scotia</t>
        </is>
      </c>
      <c r="K4256" t="inlineStr">
        <is>
          <t>Halifax (Nouvelle-Écosse)</t>
        </is>
      </c>
      <c r="P4256" t="n">
        <v>1697.83</v>
      </c>
      <c r="Q4256" t="n">
        <v>120</v>
      </c>
      <c r="R4256" t="n">
        <v>174.78</v>
      </c>
      <c r="S4256" t="n">
        <v>102.75</v>
      </c>
      <c r="T4256" t="n">
        <v>24</v>
      </c>
      <c r="U4256" t="n">
        <v>2119.36</v>
      </c>
      <c r="X4256" t="inlineStr">
        <is>
          <t>acoa-apeca</t>
        </is>
      </c>
      <c r="Y4256" t="inlineStr">
        <is>
          <t>Atlantic Canada Opportunities Agency | Agence de promotion économique du Canada atlantique</t>
        </is>
      </c>
      <c r="Z4256" t="n">
        <v>2</v>
      </c>
      <c r="AA4256" t="n">
        <v>2119.35999999999</v>
      </c>
      <c r="AB4256">
        <f>ROUND(U4256-AA4256,2)</f>
        <v/>
      </c>
      <c r="AC4256" t="b">
        <v>0</v>
      </c>
      <c r="AD4256">
        <f>IF(U4256="","MISSING_TOTAL",IF(ABS(AB4256)&lt;=0.01,"OK","CHECK"))</f>
        <v/>
      </c>
      <c r="AE4256">
        <f>IF(U4256="","MISSING",IF(AND(AA4256&gt;0,U4256/AA4256&gt;50),"POSSIBLE_SCALE_ERROR","OK"))</f>
        <v/>
      </c>
    </row>
    <row r="4257">
      <c r="A4257" t="inlineStr">
        <is>
          <t>T-2012-Q3-00001</t>
        </is>
      </c>
      <c r="B4257" t="inlineStr">
        <is>
          <t>SLE</t>
        </is>
      </c>
      <c r="C4257" t="inlineStr">
        <is>
          <t>Senior Advisor (Energy)</t>
        </is>
      </c>
      <c r="D4257" t="inlineStr">
        <is>
          <t>Conseiller spécial (energie)</t>
        </is>
      </c>
      <c r="E4257" t="inlineStr">
        <is>
          <t>Andrew F. Noseworthy</t>
        </is>
      </c>
      <c r="F4257" t="inlineStr">
        <is>
          <t>Attend Offshore Europe conference in Aberdeen; meeting with Canadian Embassy officials in London</t>
        </is>
      </c>
      <c r="G4257" t="inlineStr">
        <is>
          <t>Assister à la conférence Offshore Europe à Aberdeen; réunion avec des fonctionnaires de l'ambassade du Canada à Londres</t>
        </is>
      </c>
      <c r="H4257" s="1" t="n">
        <v>40788</v>
      </c>
      <c r="I4257" s="1" t="n">
        <v>40796</v>
      </c>
      <c r="J4257" t="inlineStr">
        <is>
          <t>Aberdeen, UK and London, UK</t>
        </is>
      </c>
      <c r="K4257" t="inlineStr">
        <is>
          <t>Aberdeen et Londres (Royaume-Uni)</t>
        </is>
      </c>
      <c r="P4257" t="n">
        <v>1457.72</v>
      </c>
      <c r="Q4257" t="n">
        <v>483.34</v>
      </c>
      <c r="R4257" t="n">
        <v>1683.94</v>
      </c>
      <c r="S4257" t="n">
        <v>1079.71</v>
      </c>
      <c r="T4257" t="n">
        <v>0</v>
      </c>
      <c r="U4257" t="n">
        <v>4704.71</v>
      </c>
      <c r="X4257" t="inlineStr">
        <is>
          <t>acoa-apeca</t>
        </is>
      </c>
      <c r="Y4257" t="inlineStr">
        <is>
          <t>Atlantic Canada Opportunities Agency | Agence de promotion économique du Canada atlantique</t>
        </is>
      </c>
      <c r="Z4257" t="n">
        <v>9</v>
      </c>
      <c r="AA4257" t="n">
        <v>4704.71</v>
      </c>
      <c r="AB4257">
        <f>ROUND(U4257-AA4257,2)</f>
        <v/>
      </c>
      <c r="AC4257" t="b">
        <v>0</v>
      </c>
      <c r="AD4257">
        <f>IF(U4257="","MISSING_TOTAL",IF(ABS(AB4257)&lt;=0.01,"OK","CHECK"))</f>
        <v/>
      </c>
      <c r="AE4257">
        <f>IF(U4257="","MISSING",IF(AND(AA4257&gt;0,U4257/AA4257&gt;50),"POSSIBLE_SCALE_ERROR","OK"))</f>
        <v/>
      </c>
    </row>
    <row r="4258">
      <c r="A4258" t="inlineStr">
        <is>
          <t>T-2012-Q2-00065</t>
        </is>
      </c>
      <c r="B4258" t="inlineStr">
        <is>
          <t>SLE</t>
        </is>
      </c>
      <c r="C4258" t="inlineStr">
        <is>
          <t>Senior Advisor (Energy)</t>
        </is>
      </c>
      <c r="D4258" t="inlineStr">
        <is>
          <t>Conseiller spécial (energie)</t>
        </is>
      </c>
      <c r="E4258" t="inlineStr">
        <is>
          <t>Andrew F. Noseworthy</t>
        </is>
      </c>
      <c r="F4258" t="inlineStr">
        <is>
          <t>To attend the 2011 Palmer Conference on Building a Canadian Energy Strategy</t>
        </is>
      </c>
      <c r="G4258" t="inlineStr">
        <is>
          <t>Assister à la conférence Palmer 2011 sur l'élaboration d'une stratégie énergétique canadienne</t>
        </is>
      </c>
      <c r="H4258" s="1" t="n">
        <v>40773</v>
      </c>
      <c r="I4258" s="1" t="n">
        <v>40774</v>
      </c>
      <c r="J4258" t="inlineStr">
        <is>
          <t>Charlottetown, Prince Edward Island</t>
        </is>
      </c>
      <c r="K4258" t="inlineStr">
        <is>
          <t>Charlottetown (Île-du-Prince-Édouard)</t>
        </is>
      </c>
      <c r="P4258" t="n">
        <v>1317.58</v>
      </c>
      <c r="Q4258" t="n">
        <v>92</v>
      </c>
      <c r="R4258" t="n">
        <v>164.93</v>
      </c>
      <c r="S4258" t="n">
        <v>88.59999999999999</v>
      </c>
      <c r="T4258" t="n">
        <v>0</v>
      </c>
      <c r="U4258" t="n">
        <v>1663.11</v>
      </c>
      <c r="X4258" t="inlineStr">
        <is>
          <t>acoa-apeca</t>
        </is>
      </c>
      <c r="Y4258" t="inlineStr">
        <is>
          <t>Atlantic Canada Opportunities Agency | Agence de promotion économique du Canada atlantique</t>
        </is>
      </c>
      <c r="Z4258" t="n">
        <v>2</v>
      </c>
      <c r="AA4258" t="n">
        <v>1663.11</v>
      </c>
      <c r="AB4258">
        <f>ROUND(U4258-AA4258,2)</f>
        <v/>
      </c>
      <c r="AC4258" t="b">
        <v>0</v>
      </c>
      <c r="AD4258">
        <f>IF(U4258="","MISSING_TOTAL",IF(ABS(AB4258)&lt;=0.01,"OK","CHECK"))</f>
        <v/>
      </c>
      <c r="AE4258">
        <f>IF(U4258="","MISSING",IF(AND(AA4258&gt;0,U4258/AA4258&gt;50),"POSSIBLE_SCALE_ERROR","OK"))</f>
        <v/>
      </c>
    </row>
    <row r="4259">
      <c r="A4259" t="inlineStr">
        <is>
          <t>T-2012-Q2-00056</t>
        </is>
      </c>
      <c r="B4259" t="inlineStr">
        <is>
          <t>SLE</t>
        </is>
      </c>
      <c r="C4259" t="inlineStr">
        <is>
          <t>Senior Advisor (Energy)</t>
        </is>
      </c>
      <c r="D4259" t="inlineStr">
        <is>
          <t>Conseiller spécial (energie)</t>
        </is>
      </c>
      <c r="E4259" t="inlineStr">
        <is>
          <t>Andrew F. Noseworthy</t>
        </is>
      </c>
      <c r="F4259" t="inlineStr">
        <is>
          <t>Energy discussion with departmental official</t>
        </is>
      </c>
      <c r="G4259" t="inlineStr">
        <is>
          <t>Discussion sur l'énergie avec un fonctionnaire ministériel</t>
        </is>
      </c>
      <c r="H4259" s="1" t="n">
        <v>40757</v>
      </c>
      <c r="I4259" s="1" t="n">
        <v>40757</v>
      </c>
      <c r="J4259" t="inlineStr">
        <is>
          <t>Ottawa, Ontario</t>
        </is>
      </c>
      <c r="K4259" t="inlineStr">
        <is>
          <t>Ottawa (Ontario)</t>
        </is>
      </c>
      <c r="P4259" t="n">
        <v>1317.58</v>
      </c>
      <c r="Q4259" t="n">
        <v>78</v>
      </c>
      <c r="R4259" t="n">
        <v>0</v>
      </c>
      <c r="S4259" t="n">
        <v>54</v>
      </c>
      <c r="T4259" t="n">
        <v>12</v>
      </c>
      <c r="U4259" t="n">
        <v>1461.58</v>
      </c>
      <c r="X4259" t="inlineStr">
        <is>
          <t>acoa-apeca</t>
        </is>
      </c>
      <c r="Y4259" t="inlineStr">
        <is>
          <t>Atlantic Canada Opportunities Agency | Agence de promotion économique du Canada atlantique</t>
        </is>
      </c>
      <c r="Z4259" t="n">
        <v>1</v>
      </c>
      <c r="AA4259" t="n">
        <v>1461.58</v>
      </c>
      <c r="AB4259">
        <f>ROUND(U4259-AA4259,2)</f>
        <v/>
      </c>
      <c r="AC4259" t="b">
        <v>0</v>
      </c>
      <c r="AD4259">
        <f>IF(U4259="","MISSING_TOTAL",IF(ABS(AB4259)&lt;=0.01,"OK","CHECK"))</f>
        <v/>
      </c>
      <c r="AE4259">
        <f>IF(U4259="","MISSING",IF(AND(AA4259&gt;0,U4259/AA4259&gt;50),"POSSIBLE_SCALE_ERROR","OK"))</f>
        <v/>
      </c>
    </row>
    <row r="4260">
      <c r="A4260" t="inlineStr">
        <is>
          <t>T-2012-Q2-00049</t>
        </is>
      </c>
      <c r="B4260" t="inlineStr">
        <is>
          <t>SLE</t>
        </is>
      </c>
      <c r="C4260" t="inlineStr">
        <is>
          <t>Senior Advisor (Energy)</t>
        </is>
      </c>
      <c r="D4260" t="inlineStr">
        <is>
          <t>Conseiller spécial (energie)</t>
        </is>
      </c>
      <c r="E4260" t="inlineStr">
        <is>
          <t>Andrew F. Noseworthy</t>
        </is>
      </c>
      <c r="F4260" t="inlineStr">
        <is>
          <t>Meeting with Associate Deputy Minister, Natural Resources Canada; Meeting with officials from Nova Scotia Department of Energy</t>
        </is>
      </c>
      <c r="G4260" t="inlineStr">
        <is>
          <t>Réunion avec le sous-minitre délégué de Ressources naturelles Canada; réunion avec des fonctionnaires du ministère de l'Énergie de la Nouvelle-Écosse</t>
        </is>
      </c>
      <c r="H4260" s="1" t="n">
        <v>40746</v>
      </c>
      <c r="I4260" s="1" t="n">
        <v>40746</v>
      </c>
      <c r="J4260" t="inlineStr">
        <is>
          <t>Halifax, Nova Scotia</t>
        </is>
      </c>
      <c r="K4260" t="inlineStr">
        <is>
          <t>Halifax (Nouvelle-Écosse)</t>
        </is>
      </c>
      <c r="P4260" t="n">
        <v>1317.58</v>
      </c>
      <c r="Q4260" t="n">
        <v>120</v>
      </c>
      <c r="R4260" t="n">
        <v>0</v>
      </c>
      <c r="S4260" t="n">
        <v>54</v>
      </c>
      <c r="T4260" t="n">
        <v>19.75</v>
      </c>
      <c r="U4260" t="n">
        <v>1511.33</v>
      </c>
      <c r="X4260" t="inlineStr">
        <is>
          <t>acoa-apeca</t>
        </is>
      </c>
      <c r="Y4260" t="inlineStr">
        <is>
          <t>Atlantic Canada Opportunities Agency | Agence de promotion économique du Canada atlantique</t>
        </is>
      </c>
      <c r="Z4260" t="n">
        <v>1</v>
      </c>
      <c r="AA4260" t="n">
        <v>1511.33</v>
      </c>
      <c r="AB4260">
        <f>ROUND(U4260-AA4260,2)</f>
        <v/>
      </c>
      <c r="AC4260" t="b">
        <v>0</v>
      </c>
      <c r="AD4260">
        <f>IF(U4260="","MISSING_TOTAL",IF(ABS(AB4260)&lt;=0.01,"OK","CHECK"))</f>
        <v/>
      </c>
      <c r="AE4260">
        <f>IF(U4260="","MISSING",IF(AND(AA4260&gt;0,U4260/AA4260&gt;50),"POSSIBLE_SCALE_ERROR","OK"))</f>
        <v/>
      </c>
    </row>
    <row r="4261">
      <c r="A4261" t="inlineStr">
        <is>
          <t>T-2012-Q2-00038</t>
        </is>
      </c>
      <c r="B4261" t="inlineStr">
        <is>
          <t>SLE</t>
        </is>
      </c>
      <c r="C4261" t="inlineStr">
        <is>
          <t>Senior Advisor (Energy)</t>
        </is>
      </c>
      <c r="D4261" t="inlineStr">
        <is>
          <t>Conseiller spécial (energie)</t>
        </is>
      </c>
      <c r="E4261" t="inlineStr">
        <is>
          <t>Andrew F. Noseworthy</t>
        </is>
      </c>
      <c r="F4261" t="inlineStr">
        <is>
          <t>Meeting with department staff; meeting with New Brunswick Energy Committee; Energy meetings in Saint John</t>
        </is>
      </c>
      <c r="G4261" t="inlineStr">
        <is>
          <t>Réunion avec du personnel ministériel; réunion avec le comité de l'énergie du Nouveau-Brunswick; réunions sur l'énergie à Saint John</t>
        </is>
      </c>
      <c r="H4261" s="1" t="n">
        <v>40735</v>
      </c>
      <c r="I4261" s="1" t="n">
        <v>40736</v>
      </c>
      <c r="J4261" t="inlineStr">
        <is>
          <t>Fredericton, New Brunswick; Saint John, New Brunswick</t>
        </is>
      </c>
      <c r="K4261" t="inlineStr">
        <is>
          <t>Fredericton et Saint John (Nouveau-Brunswick)</t>
        </is>
      </c>
      <c r="P4261" t="n">
        <v>1317.58</v>
      </c>
      <c r="Q4261" t="n">
        <v>113.53</v>
      </c>
      <c r="R4261" t="n">
        <v>132.55</v>
      </c>
      <c r="S4261" t="n">
        <v>158.55</v>
      </c>
      <c r="T4261" t="n">
        <v>207.45</v>
      </c>
      <c r="U4261" t="n">
        <v>1929.66</v>
      </c>
      <c r="X4261" t="inlineStr">
        <is>
          <t>acoa-apeca</t>
        </is>
      </c>
      <c r="Y4261" t="inlineStr">
        <is>
          <t>Atlantic Canada Opportunities Agency | Agence de promotion économique du Canada atlantique</t>
        </is>
      </c>
      <c r="Z4261" t="n">
        <v>2</v>
      </c>
      <c r="AA4261" t="n">
        <v>1929.65999999999</v>
      </c>
      <c r="AB4261">
        <f>ROUND(U4261-AA4261,2)</f>
        <v/>
      </c>
      <c r="AC4261" t="b">
        <v>0</v>
      </c>
      <c r="AD4261">
        <f>IF(U4261="","MISSING_TOTAL",IF(ABS(AB4261)&lt;=0.01,"OK","CHECK"))</f>
        <v/>
      </c>
      <c r="AE4261">
        <f>IF(U4261="","MISSING",IF(AND(AA4261&gt;0,U4261/AA4261&gt;50),"POSSIBLE_SCALE_ERROR","OK"))</f>
        <v/>
      </c>
    </row>
    <row r="4262">
      <c r="A4262" t="inlineStr">
        <is>
          <t>T-2012-Q2-00037</t>
        </is>
      </c>
      <c r="B4262" t="inlineStr">
        <is>
          <t>SLE</t>
        </is>
      </c>
      <c r="C4262" t="inlineStr">
        <is>
          <t>Senior Advisor (Energy)</t>
        </is>
      </c>
      <c r="D4262" t="inlineStr">
        <is>
          <t>Conseiller spécial (energie)</t>
        </is>
      </c>
      <c r="E4262" t="inlineStr">
        <is>
          <t>Andrew F. Noseworthy</t>
        </is>
      </c>
      <c r="F4262" t="inlineStr">
        <is>
          <t>Attend Nova Scotia Tidal Symposium; Energy meetings</t>
        </is>
      </c>
      <c r="G4262" t="inlineStr">
        <is>
          <t>Assister au Nova Scotia Tidal Symposium; réunions sur l'énergie</t>
        </is>
      </c>
      <c r="H4262" s="1" t="n">
        <v>40731</v>
      </c>
      <c r="I4262" s="1" t="n">
        <v>40732</v>
      </c>
      <c r="J4262" t="inlineStr">
        <is>
          <t>Halifax, Nova Scotia</t>
        </is>
      </c>
      <c r="K4262" t="inlineStr">
        <is>
          <t>Halifax (Nouvelle-Écosse)</t>
        </is>
      </c>
      <c r="P4262" t="n">
        <v>1317.52</v>
      </c>
      <c r="Q4262" t="n">
        <v>120</v>
      </c>
      <c r="R4262" t="n">
        <v>174.78</v>
      </c>
      <c r="S4262" t="n">
        <v>129.35</v>
      </c>
      <c r="T4262" t="n">
        <v>111.85</v>
      </c>
      <c r="U4262" t="n">
        <v>1853.5</v>
      </c>
      <c r="X4262" t="inlineStr">
        <is>
          <t>acoa-apeca</t>
        </is>
      </c>
      <c r="Y4262" t="inlineStr">
        <is>
          <t>Atlantic Canada Opportunities Agency | Agence de promotion économique du Canada atlantique</t>
        </is>
      </c>
      <c r="Z4262" t="n">
        <v>2</v>
      </c>
      <c r="AA4262" t="n">
        <v>1853.49999999999</v>
      </c>
      <c r="AB4262">
        <f>ROUND(U4262-AA4262,2)</f>
        <v/>
      </c>
      <c r="AC4262" t="b">
        <v>0</v>
      </c>
      <c r="AD4262">
        <f>IF(U4262="","MISSING_TOTAL",IF(ABS(AB4262)&lt;=0.01,"OK","CHECK"))</f>
        <v/>
      </c>
      <c r="AE4262">
        <f>IF(U4262="","MISSING",IF(AND(AA4262&gt;0,U4262/AA4262&gt;50),"POSSIBLE_SCALE_ERROR","OK"))</f>
        <v/>
      </c>
    </row>
    <row r="4263">
      <c r="A4263" t="inlineStr">
        <is>
          <t>T-2012-Q2-00029</t>
        </is>
      </c>
      <c r="B4263" t="inlineStr">
        <is>
          <t>SLE</t>
        </is>
      </c>
      <c r="C4263" t="inlineStr">
        <is>
          <t>Senior Advisor (Energy)</t>
        </is>
      </c>
      <c r="D4263" t="inlineStr">
        <is>
          <t>Conseiller spécial (energie)</t>
        </is>
      </c>
      <c r="E4263" t="inlineStr">
        <is>
          <t>Andrew F. Noseworthy</t>
        </is>
      </c>
      <c r="F4263" t="inlineStr">
        <is>
          <t>Meetings with officials from Nova Scotia Department of Energy</t>
        </is>
      </c>
      <c r="G4263" t="inlineStr">
        <is>
          <t>Réunions avec des fonctionnaires du ministère de l'Énergie de la Nouvelle-Écosse</t>
        </is>
      </c>
      <c r="H4263" s="1" t="n">
        <v>40722</v>
      </c>
      <c r="I4263" s="1" t="n">
        <v>40723</v>
      </c>
      <c r="J4263" t="inlineStr">
        <is>
          <t>Halifax, Nova Scotia</t>
        </is>
      </c>
      <c r="K4263" t="inlineStr">
        <is>
          <t>Halifax (Nouvelle-Écosse)</t>
        </is>
      </c>
      <c r="P4263" t="n">
        <v>661.22</v>
      </c>
      <c r="Q4263" t="n">
        <v>60</v>
      </c>
      <c r="R4263" t="n">
        <v>186.51</v>
      </c>
      <c r="S4263" t="n">
        <v>103.65</v>
      </c>
      <c r="T4263" t="n">
        <v>15.75</v>
      </c>
      <c r="U4263" t="n">
        <v>1027.13</v>
      </c>
      <c r="X4263" t="inlineStr">
        <is>
          <t>acoa-apeca</t>
        </is>
      </c>
      <c r="Y4263" t="inlineStr">
        <is>
          <t>Atlantic Canada Opportunities Agency | Agence de promotion économique du Canada atlantique</t>
        </is>
      </c>
      <c r="Z4263" t="n">
        <v>2</v>
      </c>
      <c r="AA4263" t="n">
        <v>1027.13</v>
      </c>
      <c r="AB4263">
        <f>ROUND(U4263-AA4263,2)</f>
        <v/>
      </c>
      <c r="AC4263" t="b">
        <v>0</v>
      </c>
      <c r="AD4263">
        <f>IF(U4263="","MISSING_TOTAL",IF(ABS(AB4263)&lt;=0.01,"OK","CHECK"))</f>
        <v/>
      </c>
      <c r="AE4263">
        <f>IF(U4263="","MISSING",IF(AND(AA4263&gt;0,U4263/AA4263&gt;50),"POSSIBLE_SCALE_ERROR","OK"))</f>
        <v/>
      </c>
    </row>
    <row r="4264">
      <c r="A4264" t="inlineStr">
        <is>
          <t>T-2012-Q2-00016</t>
        </is>
      </c>
      <c r="B4264" t="inlineStr">
        <is>
          <t>SLE</t>
        </is>
      </c>
      <c r="C4264" t="inlineStr">
        <is>
          <t>Senior Advisor (Energy)</t>
        </is>
      </c>
      <c r="D4264" t="inlineStr">
        <is>
          <t>Conseiller spécial (energie)</t>
        </is>
      </c>
      <c r="E4264" t="inlineStr">
        <is>
          <t>Andrew F. Noseworthy</t>
        </is>
      </c>
      <c r="F4264" t="inlineStr">
        <is>
          <t>Energy briefing for Minister.  Meeting with NRCan officials</t>
        </is>
      </c>
      <c r="G4264" t="inlineStr">
        <is>
          <t>Séance d'information sur l'énergie pour le ministre; réunion avec des fonctionnaires de Ressources naturelles Canada</t>
        </is>
      </c>
      <c r="H4264" s="1" t="n">
        <v>40714</v>
      </c>
      <c r="I4264" s="1" t="n">
        <v>40714</v>
      </c>
      <c r="J4264" t="inlineStr">
        <is>
          <t>Ottawa, Ontario</t>
        </is>
      </c>
      <c r="K4264" t="inlineStr">
        <is>
          <t>Ottawa (Ontario)</t>
        </is>
      </c>
      <c r="P4264" t="n">
        <v>1317.58</v>
      </c>
      <c r="Q4264" t="n">
        <v>152</v>
      </c>
      <c r="R4264" t="n">
        <v>0</v>
      </c>
      <c r="S4264" t="n">
        <v>54</v>
      </c>
      <c r="T4264" t="n">
        <v>88.59999999999999</v>
      </c>
      <c r="U4264" t="n">
        <v>1612.18</v>
      </c>
      <c r="X4264" t="inlineStr">
        <is>
          <t>acoa-apeca</t>
        </is>
      </c>
      <c r="Y4264" t="inlineStr">
        <is>
          <t>Atlantic Canada Opportunities Agency | Agence de promotion économique du Canada atlantique</t>
        </is>
      </c>
      <c r="Z4264" t="n">
        <v>1</v>
      </c>
      <c r="AA4264" t="n">
        <v>1612.17999999999</v>
      </c>
      <c r="AB4264">
        <f>ROUND(U4264-AA4264,2)</f>
        <v/>
      </c>
      <c r="AC4264" t="b">
        <v>0</v>
      </c>
      <c r="AD4264">
        <f>IF(U4264="","MISSING_TOTAL",IF(ABS(AB4264)&lt;=0.01,"OK","CHECK"))</f>
        <v/>
      </c>
      <c r="AE4264">
        <f>IF(U4264="","MISSING",IF(AND(AA4264&gt;0,U4264/AA4264&gt;50),"POSSIBLE_SCALE_ERROR","OK"))</f>
        <v/>
      </c>
    </row>
    <row r="4265">
      <c r="A4265" t="inlineStr">
        <is>
          <t>T-2012-Q2-00007</t>
        </is>
      </c>
      <c r="B4265" t="inlineStr">
        <is>
          <t>SLE</t>
        </is>
      </c>
      <c r="C4265" t="inlineStr">
        <is>
          <t>Senior Advisor (Energy)</t>
        </is>
      </c>
      <c r="D4265" t="inlineStr">
        <is>
          <t>Conseiller spécial (energie)</t>
        </is>
      </c>
      <c r="E4265" t="inlineStr">
        <is>
          <t>Andrew F. Noseworthy</t>
        </is>
      </c>
      <c r="F4265" t="inlineStr">
        <is>
          <t>Atlantic Energy briefing to Minister</t>
        </is>
      </c>
      <c r="G4265" t="inlineStr">
        <is>
          <t>Séance d'information sur la porte d'entrée de l'énergie de l'Atlantique pour le ministre</t>
        </is>
      </c>
      <c r="H4265" s="1" t="n">
        <v>40702</v>
      </c>
      <c r="I4265" s="1" t="n">
        <v>40703</v>
      </c>
      <c r="J4265" t="inlineStr">
        <is>
          <t>Ottawa, Ontario</t>
        </is>
      </c>
      <c r="K4265" t="inlineStr">
        <is>
          <t>Ottawa (Ontario)</t>
        </is>
      </c>
      <c r="P4265" t="n">
        <v>857.73</v>
      </c>
      <c r="Q4265" t="n">
        <v>151</v>
      </c>
      <c r="R4265" t="n">
        <v>168.37</v>
      </c>
      <c r="S4265" t="n">
        <v>71.3</v>
      </c>
      <c r="T4265" t="n">
        <v>51</v>
      </c>
      <c r="U4265" t="n">
        <v>1299.4</v>
      </c>
      <c r="X4265" t="inlineStr">
        <is>
          <t>acoa-apeca</t>
        </is>
      </c>
      <c r="Y4265" t="inlineStr">
        <is>
          <t>Atlantic Canada Opportunities Agency | Agence de promotion économique du Canada atlantique</t>
        </is>
      </c>
      <c r="Z4265" t="n">
        <v>2</v>
      </c>
      <c r="AA4265" t="n">
        <v>1299.39999999999</v>
      </c>
      <c r="AB4265">
        <f>ROUND(U4265-AA4265,2)</f>
        <v/>
      </c>
      <c r="AC4265" t="b">
        <v>0</v>
      </c>
      <c r="AD4265">
        <f>IF(U4265="","MISSING_TOTAL",IF(ABS(AB4265)&lt;=0.01,"OK","CHECK"))</f>
        <v/>
      </c>
      <c r="AE4265">
        <f>IF(U4265="","MISSING",IF(AND(AA4265&gt;0,U4265/AA4265&gt;50),"POSSIBLE_SCALE_ERROR","OK"))</f>
        <v/>
      </c>
    </row>
    <row r="4266">
      <c r="A4266" t="inlineStr">
        <is>
          <t>T-2012-Q1-00065</t>
        </is>
      </c>
      <c r="B4266" t="inlineStr">
        <is>
          <t>SLE</t>
        </is>
      </c>
      <c r="C4266" t="inlineStr">
        <is>
          <t>Senior Advisor (Energy)</t>
        </is>
      </c>
      <c r="D4266" t="inlineStr">
        <is>
          <t>Conseiller spécial (energie)</t>
        </is>
      </c>
      <c r="E4266" t="inlineStr">
        <is>
          <t>Andrew F. Noseworthy</t>
        </is>
      </c>
      <c r="F4266" t="inlineStr">
        <is>
          <t>Executive Committee Meeting; Atlantic Energy Gateway Federal Team Meeting</t>
        </is>
      </c>
      <c r="G4266" t="inlineStr">
        <is>
          <t>Réunion du Comité de direction et réunion de l'équipe fédérale de la Porte d'entrée de l'énergie de l'Atlantique</t>
        </is>
      </c>
      <c r="H4266" s="1" t="n">
        <v>40693</v>
      </c>
      <c r="I4266" s="1" t="n">
        <v>40695</v>
      </c>
      <c r="J4266" t="inlineStr">
        <is>
          <t>Ottawa, Ontario</t>
        </is>
      </c>
      <c r="K4266" t="inlineStr">
        <is>
          <t>Ottawa (Ontario)</t>
        </is>
      </c>
      <c r="P4266" t="n">
        <v>1317.58</v>
      </c>
      <c r="Q4266" t="n">
        <v>47</v>
      </c>
      <c r="R4266" t="n">
        <v>393.24</v>
      </c>
      <c r="S4266" t="n">
        <v>175.85</v>
      </c>
      <c r="T4266" t="n">
        <v>123.85</v>
      </c>
      <c r="U4266" t="n">
        <v>2057.52</v>
      </c>
      <c r="X4266" t="inlineStr">
        <is>
          <t>acoa-apeca</t>
        </is>
      </c>
      <c r="Y4266" t="inlineStr">
        <is>
          <t>Atlantic Canada Opportunities Agency | Agence de promotion économique du Canada atlantique</t>
        </is>
      </c>
      <c r="Z4266" t="n">
        <v>3</v>
      </c>
      <c r="AA4266" t="n">
        <v>2057.52</v>
      </c>
      <c r="AB4266">
        <f>ROUND(U4266-AA4266,2)</f>
        <v/>
      </c>
      <c r="AC4266" t="b">
        <v>0</v>
      </c>
      <c r="AD4266">
        <f>IF(U4266="","MISSING_TOTAL",IF(ABS(AB4266)&lt;=0.01,"OK","CHECK"))</f>
        <v/>
      </c>
      <c r="AE4266">
        <f>IF(U4266="","MISSING",IF(AND(AA4266&gt;0,U4266/AA4266&gt;50),"POSSIBLE_SCALE_ERROR","OK"))</f>
        <v/>
      </c>
    </row>
    <row r="4267">
      <c r="A4267" t="inlineStr">
        <is>
          <t>T-2012-Q1-00031</t>
        </is>
      </c>
      <c r="B4267" t="inlineStr">
        <is>
          <t>SLE</t>
        </is>
      </c>
      <c r="C4267" t="inlineStr">
        <is>
          <t>Senior Advisor (Energy)</t>
        </is>
      </c>
      <c r="D4267" t="inlineStr">
        <is>
          <t>Conseiller spécial (energie)</t>
        </is>
      </c>
      <c r="E4267" t="inlineStr">
        <is>
          <t>Andrew F. Noseworthy</t>
        </is>
      </c>
      <c r="F4267" t="inlineStr">
        <is>
          <t>Atlantic Energy Gateway Federal Team meeting; Energy meetings with Natural Resources Canada officials</t>
        </is>
      </c>
      <c r="G4267" t="inlineStr">
        <is>
          <t>Réunion de l'équipe fédérale de la Porte d'entrée de l'énergie de l'Atlantique; réunions sur l'énergie avec RNC</t>
        </is>
      </c>
      <c r="H4267" s="1" t="n">
        <v>40644</v>
      </c>
      <c r="I4267" s="1" t="n">
        <v>40645</v>
      </c>
      <c r="J4267" t="inlineStr">
        <is>
          <t>Ottawa, Ontario</t>
        </is>
      </c>
      <c r="K4267" t="inlineStr">
        <is>
          <t>Ottawa (Ontario)</t>
        </is>
      </c>
      <c r="P4267" t="n">
        <v>1317.58</v>
      </c>
      <c r="Q4267" t="n">
        <v>107</v>
      </c>
      <c r="R4267" t="n">
        <v>175.15</v>
      </c>
      <c r="S4267" t="n">
        <v>143.5</v>
      </c>
      <c r="T4267" t="n">
        <v>127.6</v>
      </c>
      <c r="U4267" t="n">
        <v>1870.83</v>
      </c>
      <c r="X4267" t="inlineStr">
        <is>
          <t>acoa-apeca</t>
        </is>
      </c>
      <c r="Y4267" t="inlineStr">
        <is>
          <t>Atlantic Canada Opportunities Agency | Agence de promotion économique du Canada atlantique</t>
        </is>
      </c>
      <c r="Z4267" t="n">
        <v>2</v>
      </c>
      <c r="AA4267" t="n">
        <v>1870.83</v>
      </c>
      <c r="AB4267">
        <f>ROUND(U4267-AA4267,2)</f>
        <v/>
      </c>
      <c r="AC4267" t="b">
        <v>0</v>
      </c>
      <c r="AD4267">
        <f>IF(U4267="","MISSING_TOTAL",IF(ABS(AB4267)&lt;=0.01,"OK","CHECK"))</f>
        <v/>
      </c>
      <c r="AE4267">
        <f>IF(U4267="","MISSING",IF(AND(AA4267&gt;0,U4267/AA4267&gt;50),"POSSIBLE_SCALE_ERROR","OK"))</f>
        <v/>
      </c>
    </row>
    <row r="4268">
      <c r="A4268" t="inlineStr">
        <is>
          <t>T-2012-Q1-00020</t>
        </is>
      </c>
      <c r="B4268" t="inlineStr">
        <is>
          <t>SLE</t>
        </is>
      </c>
      <c r="C4268" t="inlineStr">
        <is>
          <t>Senior Advisor (Energy)</t>
        </is>
      </c>
      <c r="D4268" t="inlineStr">
        <is>
          <t>Conseiller spécial (energie)</t>
        </is>
      </c>
      <c r="E4268" t="inlineStr">
        <is>
          <t>Andrew F. Noseworthy</t>
        </is>
      </c>
      <c r="F4268" t="inlineStr">
        <is>
          <t>Meeting with New Brunswick Energy Commission; Atlantica Centre for Energy Board Meeting; Executive Committee Meeting.</t>
        </is>
      </c>
      <c r="G4268" t="inlineStr">
        <is>
          <t>Réunion avec la Commission de l'énergie du N.-B.; avec le conseil du Atlantica Centre for Energy; avec le Comité de direction</t>
        </is>
      </c>
      <c r="H4268" s="1" t="n">
        <v>40624</v>
      </c>
      <c r="I4268" s="1" t="n">
        <v>40627</v>
      </c>
      <c r="J4268" t="inlineStr">
        <is>
          <t>Fredericton, Saint John, and Moncton, New Brunswick</t>
        </is>
      </c>
      <c r="K4268" t="inlineStr">
        <is>
          <t>Fredericton, Saint John et Moncton (Nouveau-Brunswick)</t>
        </is>
      </c>
      <c r="P4268" t="n">
        <v>1686.28</v>
      </c>
      <c r="Q4268" t="n">
        <v>502.47</v>
      </c>
      <c r="R4268" t="n">
        <v>412.45</v>
      </c>
      <c r="S4268" t="n">
        <v>284.3</v>
      </c>
      <c r="T4268" t="n">
        <v>26.84</v>
      </c>
      <c r="U4268" t="n">
        <v>2912.34</v>
      </c>
      <c r="X4268" t="inlineStr">
        <is>
          <t>acoa-apeca</t>
        </is>
      </c>
      <c r="Y4268" t="inlineStr">
        <is>
          <t>Atlantic Canada Opportunities Agency | Agence de promotion économique du Canada atlantique</t>
        </is>
      </c>
      <c r="Z4268" t="n">
        <v>4</v>
      </c>
      <c r="AA4268" t="n">
        <v>2912.34</v>
      </c>
      <c r="AB4268">
        <f>ROUND(U4268-AA4268,2)</f>
        <v/>
      </c>
      <c r="AC4268" t="b">
        <v>0</v>
      </c>
      <c r="AD4268">
        <f>IF(U4268="","MISSING_TOTAL",IF(ABS(AB4268)&lt;=0.01,"OK","CHECK"))</f>
        <v/>
      </c>
      <c r="AE4268">
        <f>IF(U4268="","MISSING",IF(AND(AA4268&gt;0,U4268/AA4268&gt;50),"POSSIBLE_SCALE_ERROR","OK"))</f>
        <v/>
      </c>
    </row>
    <row r="4269">
      <c r="A4269" t="inlineStr">
        <is>
          <t>T-2011-Q4-00073</t>
        </is>
      </c>
      <c r="B4269" t="inlineStr">
        <is>
          <t>SLE</t>
        </is>
      </c>
      <c r="C4269" t="inlineStr">
        <is>
          <t>Senior Advisor (Energy)</t>
        </is>
      </c>
      <c r="D4269" t="inlineStr">
        <is>
          <t>Conseiller spécial (energie)</t>
        </is>
      </c>
      <c r="E4269" t="inlineStr">
        <is>
          <t>Andrew F. Noseworthy</t>
        </is>
      </c>
      <c r="F4269" t="inlineStr">
        <is>
          <t>Appearance at the Senate Standing Committee on Energy, the Environment and Natural Resources</t>
        </is>
      </c>
      <c r="G4269" t="inlineStr">
        <is>
          <t>Comparution devant le Comité sénatorial permanent de l'énergie, de l'environnement et des ressources naturelles</t>
        </is>
      </c>
      <c r="H4269" s="1" t="n">
        <v>40603</v>
      </c>
      <c r="I4269" s="1" t="n">
        <v>40604</v>
      </c>
      <c r="J4269" t="inlineStr">
        <is>
          <t>Charlottetown, Prince Edward Island</t>
        </is>
      </c>
      <c r="K4269" t="inlineStr">
        <is>
          <t>Charlottetown (Île-du-Prince-Édouard)</t>
        </is>
      </c>
      <c r="P4269" t="n">
        <v>2296.06</v>
      </c>
      <c r="Q4269" t="n">
        <v>90</v>
      </c>
      <c r="R4269" t="n">
        <v>117.6</v>
      </c>
      <c r="S4269" t="n">
        <v>141.7</v>
      </c>
      <c r="T4269" t="n">
        <v>0</v>
      </c>
      <c r="U4269" t="n">
        <v>2645.36</v>
      </c>
      <c r="X4269" t="inlineStr">
        <is>
          <t>acoa-apeca</t>
        </is>
      </c>
      <c r="Y4269" t="inlineStr">
        <is>
          <t>Atlantic Canada Opportunities Agency | Agence de promotion économique du Canada atlantique</t>
        </is>
      </c>
      <c r="Z4269" t="n">
        <v>2</v>
      </c>
      <c r="AA4269" t="n">
        <v>2645.35999999999</v>
      </c>
      <c r="AB4269">
        <f>ROUND(U4269-AA4269,2)</f>
        <v/>
      </c>
      <c r="AC4269" t="b">
        <v>0</v>
      </c>
      <c r="AD4269">
        <f>IF(U4269="","MISSING_TOTAL",IF(ABS(AB4269)&lt;=0.01,"OK","CHECK"))</f>
        <v/>
      </c>
      <c r="AE4269">
        <f>IF(U4269="","MISSING",IF(AND(AA4269&gt;0,U4269/AA4269&gt;50),"POSSIBLE_SCALE_ERROR","OK"))</f>
        <v/>
      </c>
    </row>
    <row r="4270">
      <c r="A4270" t="inlineStr">
        <is>
          <t>T-2011-Q4-00066</t>
        </is>
      </c>
      <c r="B4270" t="inlineStr">
        <is>
          <t>SLE</t>
        </is>
      </c>
      <c r="C4270" t="inlineStr">
        <is>
          <t>Senior Advisor (Energy)</t>
        </is>
      </c>
      <c r="D4270" t="inlineStr">
        <is>
          <t>Conseiller spécial (energie)</t>
        </is>
      </c>
      <c r="E4270" t="inlineStr">
        <is>
          <t>Andrew F. Noseworthy</t>
        </is>
      </c>
      <c r="F4270" t="inlineStr">
        <is>
          <t>Energy meeting with NB officials; Atlantica Centre for Energy Board Meeting and AGM.</t>
        </is>
      </c>
      <c r="G4270" t="inlineStr">
        <is>
          <t>Réunion sur l'énergie avec fonctionnaires provinciaux; réunion du conseil et AGA du Atlantica Centre for Energy</t>
        </is>
      </c>
      <c r="H4270" s="1" t="n">
        <v>40597</v>
      </c>
      <c r="I4270" s="1" t="n">
        <v>40598</v>
      </c>
      <c r="J4270" t="inlineStr">
        <is>
          <t>Fredericton, New Brunswick; Saint John, New Brunswick</t>
        </is>
      </c>
      <c r="K4270" t="inlineStr">
        <is>
          <t>Fredericton et Saint John (Nouveau-Brunswick)</t>
        </is>
      </c>
      <c r="P4270" t="n">
        <v>1189.38</v>
      </c>
      <c r="Q4270" t="n">
        <v>254.22</v>
      </c>
      <c r="R4270" t="n">
        <v>123.17</v>
      </c>
      <c r="S4270" t="n">
        <v>141.7</v>
      </c>
      <c r="T4270" t="n">
        <v>20.24</v>
      </c>
      <c r="U4270" t="n">
        <v>1728.71</v>
      </c>
      <c r="X4270" t="inlineStr">
        <is>
          <t>acoa-apeca</t>
        </is>
      </c>
      <c r="Y4270" t="inlineStr">
        <is>
          <t>Atlantic Canada Opportunities Agency | Agence de promotion économique du Canada atlantique</t>
        </is>
      </c>
      <c r="Z4270" t="n">
        <v>2</v>
      </c>
      <c r="AA4270" t="n">
        <v>1728.71</v>
      </c>
      <c r="AB4270">
        <f>ROUND(U4270-AA4270,2)</f>
        <v/>
      </c>
      <c r="AC4270" t="b">
        <v>0</v>
      </c>
      <c r="AD4270">
        <f>IF(U4270="","MISSING_TOTAL",IF(ABS(AB4270)&lt;=0.01,"OK","CHECK"))</f>
        <v/>
      </c>
      <c r="AE4270">
        <f>IF(U4270="","MISSING",IF(AND(AA4270&gt;0,U4270/AA4270&gt;50),"POSSIBLE_SCALE_ERROR","OK"))</f>
        <v/>
      </c>
    </row>
    <row r="4271">
      <c r="A4271" t="inlineStr">
        <is>
          <t>T-2011-Q4-00057</t>
        </is>
      </c>
      <c r="B4271" t="inlineStr">
        <is>
          <t>SLE</t>
        </is>
      </c>
      <c r="C4271" t="inlineStr">
        <is>
          <t>Senior Advisor (Energy)</t>
        </is>
      </c>
      <c r="D4271" t="inlineStr">
        <is>
          <t>Conseiller spécial (energie)</t>
        </is>
      </c>
      <c r="E4271" t="inlineStr">
        <is>
          <t>Andrew F. Noseworthy</t>
        </is>
      </c>
      <c r="F4271" t="inlineStr">
        <is>
          <t>Energy Meetings; Executive Committee Meeting; Meeting with PCO Officials</t>
        </is>
      </c>
      <c r="G4271" t="inlineStr">
        <is>
          <t>Réunions sur l'énergie; réunion du Comité de direction; et réunion avec des fonctionnaires du BCP</t>
        </is>
      </c>
      <c r="H4271" s="1" t="n">
        <v>40589</v>
      </c>
      <c r="I4271" s="1" t="n">
        <v>40591</v>
      </c>
      <c r="J4271" t="inlineStr">
        <is>
          <t>Ottawa, Ontario</t>
        </is>
      </c>
      <c r="K4271" t="inlineStr">
        <is>
          <t>Ottawa (Ontario)</t>
        </is>
      </c>
      <c r="P4271" t="n">
        <v>1506.45</v>
      </c>
      <c r="Q4271" t="n">
        <v>175</v>
      </c>
      <c r="R4271" t="n">
        <v>350.3</v>
      </c>
      <c r="S4271" t="n">
        <v>240.8</v>
      </c>
      <c r="T4271" t="n">
        <v>0</v>
      </c>
      <c r="U4271" t="n">
        <v>2272.55</v>
      </c>
      <c r="X4271" t="inlineStr">
        <is>
          <t>acoa-apeca</t>
        </is>
      </c>
      <c r="Y4271" t="inlineStr">
        <is>
          <t>Atlantic Canada Opportunities Agency | Agence de promotion économique du Canada atlantique</t>
        </is>
      </c>
      <c r="Z4271" t="n">
        <v>3</v>
      </c>
      <c r="AA4271" t="n">
        <v>2272.55</v>
      </c>
      <c r="AB4271">
        <f>ROUND(U4271-AA4271,2)</f>
        <v/>
      </c>
      <c r="AC4271" t="b">
        <v>0</v>
      </c>
      <c r="AD4271">
        <f>IF(U4271="","MISSING_TOTAL",IF(ABS(AB4271)&lt;=0.01,"OK","CHECK"))</f>
        <v/>
      </c>
      <c r="AE4271">
        <f>IF(U4271="","MISSING",IF(AND(AA4271&gt;0,U4271/AA4271&gt;50),"POSSIBLE_SCALE_ERROR","OK"))</f>
        <v/>
      </c>
    </row>
    <row r="4272">
      <c r="A4272" t="inlineStr">
        <is>
          <t>T-2011-Q4-00050</t>
        </is>
      </c>
      <c r="B4272" t="inlineStr">
        <is>
          <t>SLE</t>
        </is>
      </c>
      <c r="C4272" t="inlineStr">
        <is>
          <t>Senior Advisor (Energy)</t>
        </is>
      </c>
      <c r="D4272" t="inlineStr">
        <is>
          <t>Conseiller spécial (energie)</t>
        </is>
      </c>
      <c r="E4272" t="inlineStr">
        <is>
          <t>Andrew F. Noseworthy</t>
        </is>
      </c>
      <c r="F4272" t="inlineStr">
        <is>
          <t>Science and Technology Panelist on the Dalhousie conference on Public Administration; Energy meetings</t>
        </is>
      </c>
      <c r="G4272" t="inlineStr">
        <is>
          <t>Table ronde des sciences et technologies à la conférence de Dalhousie sur l'admin. publique; réunions sur l'énergie</t>
        </is>
      </c>
      <c r="H4272" s="1" t="n">
        <v>40576</v>
      </c>
      <c r="I4272" s="1" t="n">
        <v>40577</v>
      </c>
      <c r="J4272" t="inlineStr">
        <is>
          <t>Halifax, Nova Scotia</t>
        </is>
      </c>
      <c r="K4272" t="inlineStr">
        <is>
          <t>Halifax (Nouvelle-Écosse)</t>
        </is>
      </c>
      <c r="P4272" t="n">
        <v>318.39</v>
      </c>
      <c r="Q4272" t="n">
        <v>209</v>
      </c>
      <c r="R4272" t="n">
        <v>139.59</v>
      </c>
      <c r="S4272" t="n">
        <v>155.6</v>
      </c>
      <c r="T4272" t="n">
        <v>0</v>
      </c>
      <c r="U4272" t="n">
        <v>822.58</v>
      </c>
      <c r="X4272" t="inlineStr">
        <is>
          <t>acoa-apeca</t>
        </is>
      </c>
      <c r="Y4272" t="inlineStr">
        <is>
          <t>Atlantic Canada Opportunities Agency | Agence de promotion économique du Canada atlantique</t>
        </is>
      </c>
      <c r="Z4272" t="n">
        <v>2</v>
      </c>
      <c r="AA4272" t="n">
        <v>822.58</v>
      </c>
      <c r="AB4272">
        <f>ROUND(U4272-AA4272,2)</f>
        <v/>
      </c>
      <c r="AC4272" t="b">
        <v>0</v>
      </c>
      <c r="AD4272">
        <f>IF(U4272="","MISSING_TOTAL",IF(ABS(AB4272)&lt;=0.01,"OK","CHECK"))</f>
        <v/>
      </c>
      <c r="AE4272">
        <f>IF(U4272="","MISSING",IF(AND(AA4272&gt;0,U4272/AA4272&gt;50),"POSSIBLE_SCALE_ERROR","OK"))</f>
        <v/>
      </c>
    </row>
    <row r="4273">
      <c r="A4273" t="inlineStr">
        <is>
          <t>T-2011-Q4-00035</t>
        </is>
      </c>
      <c r="B4273" t="inlineStr">
        <is>
          <t>SLE</t>
        </is>
      </c>
      <c r="C4273" t="inlineStr">
        <is>
          <t>Senior Advisor (Energy)</t>
        </is>
      </c>
      <c r="D4273" t="inlineStr">
        <is>
          <t>Conseiller spécial (energie)</t>
        </is>
      </c>
      <c r="E4273" t="inlineStr">
        <is>
          <t>Andrew F. Noseworthy</t>
        </is>
      </c>
      <c r="F4273" t="inlineStr">
        <is>
          <t>Atlantic Energy Gateway (AEG) Steering Committee Meeting</t>
        </is>
      </c>
      <c r="G4273" t="inlineStr">
        <is>
          <t>Réunion du Comité directeur de la Porte d'entrée de l'énergie de l'Atlantique</t>
        </is>
      </c>
      <c r="H4273" s="1" t="n">
        <v>40559</v>
      </c>
      <c r="I4273" s="1" t="n">
        <v>40560</v>
      </c>
      <c r="J4273" t="inlineStr">
        <is>
          <t>Toronto, Ontario</t>
        </is>
      </c>
      <c r="K4273" t="inlineStr">
        <is>
          <t>Toronto (Ontario)</t>
        </is>
      </c>
      <c r="P4273" t="n">
        <v>841.34</v>
      </c>
      <c r="Q4273" t="n">
        <v>0</v>
      </c>
      <c r="R4273" t="n">
        <v>168.37</v>
      </c>
      <c r="S4273" t="n">
        <v>102.5</v>
      </c>
      <c r="T4273" t="n">
        <v>24</v>
      </c>
      <c r="U4273" t="n">
        <v>1136.21</v>
      </c>
      <c r="X4273" t="inlineStr">
        <is>
          <t>acoa-apeca</t>
        </is>
      </c>
      <c r="Y4273" t="inlineStr">
        <is>
          <t>Atlantic Canada Opportunities Agency | Agence de promotion économique du Canada atlantique</t>
        </is>
      </c>
      <c r="Z4273" t="n">
        <v>2</v>
      </c>
      <c r="AA4273" t="n">
        <v>1136.21</v>
      </c>
      <c r="AB4273">
        <f>ROUND(U4273-AA4273,2)</f>
        <v/>
      </c>
      <c r="AC4273" t="b">
        <v>0</v>
      </c>
      <c r="AD4273">
        <f>IF(U4273="","MISSING_TOTAL",IF(ABS(AB4273)&lt;=0.01,"OK","CHECK"))</f>
        <v/>
      </c>
      <c r="AE4273">
        <f>IF(U4273="","MISSING",IF(AND(AA4273&gt;0,U4273/AA4273&gt;50),"POSSIBLE_SCALE_ERROR","OK"))</f>
        <v/>
      </c>
    </row>
    <row r="4274">
      <c r="A4274" t="inlineStr">
        <is>
          <t>T-2011-Q4-00018</t>
        </is>
      </c>
      <c r="B4274" t="inlineStr">
        <is>
          <t>SLE</t>
        </is>
      </c>
      <c r="C4274" t="inlineStr">
        <is>
          <t>Senior Advisor (Energy)</t>
        </is>
      </c>
      <c r="D4274" t="inlineStr">
        <is>
          <t>Conseiller spécial (energie)</t>
        </is>
      </c>
      <c r="E4274" t="inlineStr">
        <is>
          <t>Andrew F. Noseworthy</t>
        </is>
      </c>
      <c r="F4274" t="inlineStr">
        <is>
          <t>Atlantic Energy Gateway (AEG) Steering Committee meetings</t>
        </is>
      </c>
      <c r="G4274" t="inlineStr">
        <is>
          <t>Réunions du Comité directeur de la Porte d'entrée de l'énergie de l'Atlantique</t>
        </is>
      </c>
      <c r="H4274" s="1" t="n">
        <v>40525</v>
      </c>
      <c r="I4274" s="1" t="n">
        <v>40526</v>
      </c>
      <c r="J4274" t="inlineStr">
        <is>
          <t>Halifax, Nova Scotia</t>
        </is>
      </c>
      <c r="K4274" t="inlineStr">
        <is>
          <t>Halifax (Nouvelle-Écosse)</t>
        </is>
      </c>
      <c r="P4274" t="n">
        <v>384.3</v>
      </c>
      <c r="Q4274" t="n">
        <v>127</v>
      </c>
      <c r="R4274" t="n">
        <v>139.59</v>
      </c>
      <c r="S4274" t="n">
        <v>126.9</v>
      </c>
      <c r="T4274" t="n">
        <v>24</v>
      </c>
      <c r="U4274" t="n">
        <v>801.79</v>
      </c>
      <c r="X4274" t="inlineStr">
        <is>
          <t>acoa-apeca</t>
        </is>
      </c>
      <c r="Y4274" t="inlineStr">
        <is>
          <t>Atlantic Canada Opportunities Agency | Agence de promotion économique du Canada atlantique</t>
        </is>
      </c>
      <c r="Z4274" t="n">
        <v>2</v>
      </c>
      <c r="AA4274" t="n">
        <v>801.79</v>
      </c>
      <c r="AB4274">
        <f>ROUND(U4274-AA4274,2)</f>
        <v/>
      </c>
      <c r="AC4274" t="b">
        <v>0</v>
      </c>
      <c r="AD4274">
        <f>IF(U4274="","MISSING_TOTAL",IF(ABS(AB4274)&lt;=0.01,"OK","CHECK"))</f>
        <v/>
      </c>
      <c r="AE4274">
        <f>IF(U4274="","MISSING",IF(AND(AA4274&gt;0,U4274/AA4274&gt;50),"POSSIBLE_SCALE_ERROR","OK"))</f>
        <v/>
      </c>
    </row>
    <row r="4275">
      <c r="A4275" t="inlineStr">
        <is>
          <t>T-2011-Q4-00010</t>
        </is>
      </c>
      <c r="B4275" t="inlineStr">
        <is>
          <t>SLE</t>
        </is>
      </c>
      <c r="C4275" t="inlineStr">
        <is>
          <t>Senior Advisor (Energy)</t>
        </is>
      </c>
      <c r="D4275" t="inlineStr">
        <is>
          <t>Conseiller spécial (energie)</t>
        </is>
      </c>
      <c r="E4275" t="inlineStr">
        <is>
          <t>Andrew F. Noseworthy</t>
        </is>
      </c>
      <c r="F4275" t="inlineStr">
        <is>
          <t>Executive Committee meeting; participate on an Interview Board</t>
        </is>
      </c>
      <c r="G4275" t="inlineStr">
        <is>
          <t>Réunion du Comité de direction; participation à un comité de sélection</t>
        </is>
      </c>
      <c r="H4275" s="1" t="n">
        <v>40519</v>
      </c>
      <c r="I4275" s="1" t="n">
        <v>40520</v>
      </c>
      <c r="J4275" t="inlineStr">
        <is>
          <t>Ottawa, Ontario</t>
        </is>
      </c>
      <c r="K4275" t="inlineStr">
        <is>
          <t>Ottawa (Ontario)</t>
        </is>
      </c>
      <c r="P4275" t="n">
        <v>714.78</v>
      </c>
      <c r="Q4275" t="n">
        <v>115</v>
      </c>
      <c r="R4275" t="n">
        <v>174.02</v>
      </c>
      <c r="S4275" t="n">
        <v>117.3</v>
      </c>
      <c r="T4275" t="n">
        <v>24</v>
      </c>
      <c r="U4275" t="n">
        <v>1145.1</v>
      </c>
      <c r="X4275" t="inlineStr">
        <is>
          <t>acoa-apeca</t>
        </is>
      </c>
      <c r="Y4275" t="inlineStr">
        <is>
          <t>Atlantic Canada Opportunities Agency | Agence de promotion économique du Canada atlantique</t>
        </is>
      </c>
      <c r="Z4275" t="n">
        <v>2</v>
      </c>
      <c r="AA4275" t="n">
        <v>1145.1</v>
      </c>
      <c r="AB4275">
        <f>ROUND(U4275-AA4275,2)</f>
        <v/>
      </c>
      <c r="AC4275" t="b">
        <v>0</v>
      </c>
      <c r="AD4275">
        <f>IF(U4275="","MISSING_TOTAL",IF(ABS(AB4275)&lt;=0.01,"OK","CHECK"))</f>
        <v/>
      </c>
      <c r="AE4275">
        <f>IF(U4275="","MISSING",IF(AND(AA4275&gt;0,U4275/AA4275&gt;50),"POSSIBLE_SCALE_ERROR","OK"))</f>
        <v/>
      </c>
    </row>
    <row r="4276">
      <c r="A4276" t="inlineStr">
        <is>
          <t>T-2011-Q4-00001</t>
        </is>
      </c>
      <c r="B4276" t="inlineStr">
        <is>
          <t>SLE</t>
        </is>
      </c>
      <c r="C4276" t="inlineStr">
        <is>
          <t>Senior Advisor (Energy)</t>
        </is>
      </c>
      <c r="D4276" t="inlineStr">
        <is>
          <t>Conseiller spécial (energie)</t>
        </is>
      </c>
      <c r="E4276" t="inlineStr">
        <is>
          <t>Andrew F. Noseworthy</t>
        </is>
      </c>
      <c r="F4276" t="inlineStr">
        <is>
          <t>Participate on an Interview Board</t>
        </is>
      </c>
      <c r="G4276" t="inlineStr">
        <is>
          <t>Participation à un comité de sélection</t>
        </is>
      </c>
      <c r="H4276" s="1" t="n">
        <v>40515</v>
      </c>
      <c r="I4276" s="1" t="n">
        <v>40515</v>
      </c>
      <c r="J4276" t="inlineStr">
        <is>
          <t>Moncton, New Brunswick</t>
        </is>
      </c>
      <c r="K4276" t="inlineStr">
        <is>
          <t>Moncton (Nouveau-Brunswick)</t>
        </is>
      </c>
      <c r="P4276" t="n">
        <v>810.1</v>
      </c>
      <c r="Q4276" t="n">
        <v>23</v>
      </c>
      <c r="R4276" t="n">
        <v>0</v>
      </c>
      <c r="S4276" t="n">
        <v>0</v>
      </c>
      <c r="T4276" t="n">
        <v>22.5</v>
      </c>
      <c r="U4276" t="n">
        <v>855.6</v>
      </c>
      <c r="X4276" t="inlineStr">
        <is>
          <t>acoa-apeca</t>
        </is>
      </c>
      <c r="Y4276" t="inlineStr">
        <is>
          <t>Atlantic Canada Opportunities Agency | Agence de promotion économique du Canada atlantique</t>
        </is>
      </c>
      <c r="Z4276" t="n">
        <v>1</v>
      </c>
      <c r="AA4276" t="n">
        <v>855.6</v>
      </c>
      <c r="AB4276">
        <f>ROUND(U4276-AA4276,2)</f>
        <v/>
      </c>
      <c r="AC4276" t="b">
        <v>0</v>
      </c>
      <c r="AD4276">
        <f>IF(U4276="","MISSING_TOTAL",IF(ABS(AB4276)&lt;=0.01,"OK","CHECK"))</f>
        <v/>
      </c>
      <c r="AE4276">
        <f>IF(U4276="","MISSING",IF(AND(AA4276&gt;0,U4276/AA4276&gt;50),"POSSIBLE_SCALE_ERROR","OK"))</f>
        <v/>
      </c>
    </row>
    <row r="4277">
      <c r="A4277" t="inlineStr">
        <is>
          <t>T-2018-Q1-00048</t>
        </is>
      </c>
      <c r="B4277" t="inlineStr">
        <is>
          <t>SLE</t>
        </is>
      </c>
      <c r="C4277" t="inlineStr">
        <is>
          <t>Vice-President, New Brunswick</t>
        </is>
      </c>
      <c r="D4277" t="inlineStr">
        <is>
          <t>Vice-président, Nouveau-Brunswick</t>
        </is>
      </c>
      <c r="E4277" t="inlineStr">
        <is>
          <t>Kent Estabrooks</t>
        </is>
      </c>
      <c r="F4277" t="inlineStr">
        <is>
          <t>Training and development and meetings with Agency officials</t>
        </is>
      </c>
      <c r="G4277" t="inlineStr">
        <is>
          <t>Formation et perfectionnement et réunions avec des fonctionnaires de l'Agence</t>
        </is>
      </c>
      <c r="H4277" s="1" t="n">
        <v>42850</v>
      </c>
      <c r="I4277" s="1" t="n">
        <v>42852</v>
      </c>
      <c r="J4277" t="inlineStr">
        <is>
          <t>Ottawa, Ontario</t>
        </is>
      </c>
      <c r="K4277" t="inlineStr">
        <is>
          <t>Ottawa (Ontario)</t>
        </is>
      </c>
      <c r="P4277" t="n">
        <v>673.9</v>
      </c>
      <c r="Q4277" t="n">
        <v>161</v>
      </c>
      <c r="R4277" t="n">
        <v>463.24</v>
      </c>
      <c r="S4277" t="n">
        <v>225.85</v>
      </c>
      <c r="T4277" t="n">
        <v>172.5</v>
      </c>
      <c r="U4277" t="n">
        <v>1696.49</v>
      </c>
      <c r="X4277" t="inlineStr">
        <is>
          <t>acoa-apeca</t>
        </is>
      </c>
      <c r="Y4277" t="inlineStr">
        <is>
          <t>Atlantic Canada Opportunities Agency | Agence de promotion économique du Canada atlantique</t>
        </is>
      </c>
      <c r="Z4277" t="n">
        <v>3</v>
      </c>
      <c r="AA4277" t="n">
        <v>1696.48999999999</v>
      </c>
      <c r="AB4277">
        <f>ROUND(U4277-AA4277,2)</f>
        <v/>
      </c>
      <c r="AC4277" t="b">
        <v>0</v>
      </c>
      <c r="AD4277">
        <f>IF(U4277="","MISSING_TOTAL",IF(ABS(AB4277)&lt;=0.01,"OK","CHECK"))</f>
        <v/>
      </c>
      <c r="AE4277">
        <f>IF(U4277="","MISSING",IF(AND(AA4277&gt;0,U4277/AA4277&gt;50),"POSSIBLE_SCALE_ERROR","OK"))</f>
        <v/>
      </c>
    </row>
    <row r="4278">
      <c r="A4278" t="inlineStr">
        <is>
          <t>T-2018-Q1-00008</t>
        </is>
      </c>
      <c r="B4278" t="inlineStr">
        <is>
          <t>SLE</t>
        </is>
      </c>
      <c r="C4278" t="inlineStr">
        <is>
          <t>Senior Advisor (Energy)</t>
        </is>
      </c>
      <c r="D4278" t="inlineStr">
        <is>
          <t>Conseiller spécial (energie)</t>
        </is>
      </c>
      <c r="E4278" t="inlineStr">
        <is>
          <t>Andrew F. Noseworthy</t>
        </is>
      </c>
      <c r="F4278" t="inlineStr">
        <is>
          <t>Attend Atlantic Energy Deputies meeting</t>
        </is>
      </c>
      <c r="G4278" t="inlineStr">
        <is>
          <t>Assister à la réunion des sous-ministres sur l'énergie de l'Atlantique</t>
        </is>
      </c>
      <c r="H4278" s="1" t="n">
        <v>42822</v>
      </c>
      <c r="I4278" s="1" t="n">
        <v>42822</v>
      </c>
      <c r="J4278" t="inlineStr">
        <is>
          <t>Charlottetown, Prince Edward Island</t>
        </is>
      </c>
      <c r="K4278" t="inlineStr">
        <is>
          <t>Charlottetown (Île-du-Prince-Édouard)</t>
        </is>
      </c>
      <c r="P4278" t="n">
        <v>484.18</v>
      </c>
      <c r="Q4278" t="n">
        <v>0</v>
      </c>
      <c r="R4278" t="n">
        <v>0</v>
      </c>
      <c r="S4278" t="n">
        <v>17</v>
      </c>
      <c r="T4278" t="n">
        <v>25.75</v>
      </c>
      <c r="U4278" t="n">
        <v>526.9299999999999</v>
      </c>
      <c r="X4278" t="inlineStr">
        <is>
          <t>acoa-apeca</t>
        </is>
      </c>
      <c r="Y4278" t="inlineStr">
        <is>
          <t>Atlantic Canada Opportunities Agency | Agence de promotion économique du Canada atlantique</t>
        </is>
      </c>
      <c r="Z4278" t="n">
        <v>1</v>
      </c>
      <c r="AA4278" t="n">
        <v>526.9299999999999</v>
      </c>
      <c r="AB4278">
        <f>ROUND(U4278-AA4278,2)</f>
        <v/>
      </c>
      <c r="AC4278" t="b">
        <v>0</v>
      </c>
      <c r="AD4278">
        <f>IF(U4278="","MISSING_TOTAL",IF(ABS(AB4278)&lt;=0.01,"OK","CHECK"))</f>
        <v/>
      </c>
      <c r="AE4278">
        <f>IF(U4278="","MISSING",IF(AND(AA4278&gt;0,U4278/AA4278&gt;50),"POSSIBLE_SCALE_ERROR","OK"))</f>
        <v/>
      </c>
    </row>
    <row r="4279">
      <c r="A4279" t="inlineStr">
        <is>
          <t>T-2017-Q4-00018</t>
        </is>
      </c>
      <c r="B4279" t="inlineStr">
        <is>
          <t>SLE</t>
        </is>
      </c>
      <c r="C4279" t="inlineStr">
        <is>
          <t>Senior Advisor (Energy)</t>
        </is>
      </c>
      <c r="D4279" t="inlineStr">
        <is>
          <t>Conseiller spécial (energie)</t>
        </is>
      </c>
      <c r="E4279" t="inlineStr">
        <is>
          <t>Andrew F. Noseworthy</t>
        </is>
      </c>
      <c r="F4279" t="inlineStr">
        <is>
          <t>Attend Executive Committee Meeting</t>
        </is>
      </c>
      <c r="G4279" t="inlineStr">
        <is>
          <t>Assister à une réunion du Comité de direction</t>
        </is>
      </c>
      <c r="H4279" s="1" t="n">
        <v>42766</v>
      </c>
      <c r="I4279" s="1" t="n">
        <v>42768</v>
      </c>
      <c r="J4279" t="inlineStr">
        <is>
          <t>Moncton, New Brunswick</t>
        </is>
      </c>
      <c r="K4279" t="inlineStr">
        <is>
          <t>Moncton (Nouveau-Brunswick)</t>
        </is>
      </c>
      <c r="P4279" t="n">
        <v>985.67</v>
      </c>
      <c r="Q4279" t="n">
        <v>23</v>
      </c>
      <c r="R4279" t="n">
        <v>239.2</v>
      </c>
      <c r="S4279" t="n">
        <v>176.95</v>
      </c>
      <c r="T4279" t="n">
        <v>33.25</v>
      </c>
      <c r="U4279" t="n">
        <v>1458.07</v>
      </c>
      <c r="X4279" t="inlineStr">
        <is>
          <t>acoa-apeca</t>
        </is>
      </c>
      <c r="Y4279" t="inlineStr">
        <is>
          <t>Atlantic Canada Opportunities Agency | Agence de promotion économique du Canada atlantique</t>
        </is>
      </c>
      <c r="Z4279" t="n">
        <v>3</v>
      </c>
      <c r="AA4279" t="n">
        <v>1458.07</v>
      </c>
      <c r="AB4279">
        <f>ROUND(U4279-AA4279,2)</f>
        <v/>
      </c>
      <c r="AC4279" t="b">
        <v>0</v>
      </c>
      <c r="AD4279">
        <f>IF(U4279="","MISSING_TOTAL",IF(ABS(AB4279)&lt;=0.01,"OK","CHECK"))</f>
        <v/>
      </c>
      <c r="AE4279">
        <f>IF(U4279="","MISSING",IF(AND(AA4279&gt;0,U4279/AA4279&gt;50),"POSSIBLE_SCALE_ERROR","OK"))</f>
        <v/>
      </c>
    </row>
    <row r="4280">
      <c r="A4280" t="inlineStr">
        <is>
          <t>T-2014-Q1-00061</t>
        </is>
      </c>
      <c r="B4280" t="inlineStr">
        <is>
          <t>SLE</t>
        </is>
      </c>
      <c r="C4280" t="inlineStr">
        <is>
          <t>Acting Vice-President, New Brunswick</t>
        </is>
      </c>
      <c r="D4280" t="inlineStr">
        <is>
          <t>Vice-présidente par intérim, Nouveau-Brunswick</t>
        </is>
      </c>
      <c r="E4280" t="inlineStr">
        <is>
          <t>Denise Frenette</t>
        </is>
      </c>
      <c r="F4280" t="inlineStr">
        <is>
          <t>Atlantic Canada Opportunities Board Meeting</t>
        </is>
      </c>
      <c r="G4280" t="inlineStr">
        <is>
          <t>Réunion du Conseil de promotion économique du Canada atlantique</t>
        </is>
      </c>
      <c r="H4280" s="1" t="n">
        <v>41422</v>
      </c>
      <c r="I4280" s="1" t="n">
        <v>41422</v>
      </c>
      <c r="J4280" t="inlineStr">
        <is>
          <t>Charlottetown, Prince Edward Island</t>
        </is>
      </c>
      <c r="K4280" t="inlineStr">
        <is>
          <t>Charlottetown (Île-du-Prince-Edouard)</t>
        </is>
      </c>
      <c r="P4280" t="n">
        <v>0</v>
      </c>
      <c r="Q4280" t="n">
        <v>44.5</v>
      </c>
      <c r="R4280" t="n">
        <v>0</v>
      </c>
      <c r="S4280" t="n">
        <v>0</v>
      </c>
      <c r="T4280" t="n">
        <v>7.58</v>
      </c>
      <c r="U4280" t="n">
        <v>52.08</v>
      </c>
      <c r="X4280" t="inlineStr">
        <is>
          <t>acoa-apeca</t>
        </is>
      </c>
      <c r="Y4280" t="inlineStr">
        <is>
          <t>Atlantic Canada Opportunities Agency | Agence de promotion économique du Canada atlantique</t>
        </is>
      </c>
      <c r="Z4280" t="n">
        <v>1</v>
      </c>
      <c r="AA4280" t="n">
        <v>52.08</v>
      </c>
      <c r="AB4280">
        <f>ROUND(U4280-AA4280,2)</f>
        <v/>
      </c>
      <c r="AC4280" t="b">
        <v>0</v>
      </c>
      <c r="AD4280">
        <f>IF(U4280="","MISSING_TOTAL",IF(ABS(AB4280)&lt;=0.01,"OK","CHECK"))</f>
        <v/>
      </c>
      <c r="AE4280">
        <f>IF(U4280="","MISSING",IF(AND(AA4280&gt;0,U4280/AA4280&gt;50),"POSSIBLE_SCALE_ERROR","OK"))</f>
        <v/>
      </c>
    </row>
    <row r="4281">
      <c r="A4281" t="inlineStr">
        <is>
          <t>T-2011-Q4-00006</t>
        </is>
      </c>
      <c r="B4281" t="inlineStr">
        <is>
          <t>SLE</t>
        </is>
      </c>
      <c r="C4281" t="inlineStr">
        <is>
          <t>Acting Senior Vice-President</t>
        </is>
      </c>
      <c r="D4281" t="inlineStr">
        <is>
          <t>Vice-président principal par intérim</t>
        </is>
      </c>
      <c r="E4281" t="inlineStr">
        <is>
          <t>David Slade</t>
        </is>
      </c>
      <c r="F4281" t="inlineStr">
        <is>
          <t>Meeting with Government of Canada officials</t>
        </is>
      </c>
      <c r="G4281" t="inlineStr">
        <is>
          <t>Réunion avec des fonctionnaires du gouvernement du Canada</t>
        </is>
      </c>
      <c r="H4281" s="1" t="n">
        <v>40518</v>
      </c>
      <c r="I4281" s="1" t="n">
        <v>40520</v>
      </c>
      <c r="J4281" t="inlineStr">
        <is>
          <t>Ottawa, Ontario</t>
        </is>
      </c>
      <c r="K4281" t="inlineStr">
        <is>
          <t>Ottawa (Ontario)</t>
        </is>
      </c>
      <c r="P4281" t="n">
        <v>968.15</v>
      </c>
      <c r="Q4281" t="n">
        <v>41.93</v>
      </c>
      <c r="R4281" t="n">
        <v>348.04</v>
      </c>
      <c r="S4281" t="n">
        <v>95.40000000000001</v>
      </c>
      <c r="T4281" t="n">
        <v>0</v>
      </c>
      <c r="U4281" t="n">
        <v>1453.52</v>
      </c>
      <c r="X4281" t="inlineStr">
        <is>
          <t>acoa-apeca</t>
        </is>
      </c>
      <c r="Y4281" t="inlineStr">
        <is>
          <t>Atlantic Canada Opportunities Agency | Agence de promotion économique du Canada atlantique</t>
        </is>
      </c>
      <c r="Z4281" t="n">
        <v>3</v>
      </c>
      <c r="AA4281" t="n">
        <v>1453.52</v>
      </c>
      <c r="AB4281">
        <f>ROUND(U4281-AA4281,2)</f>
        <v/>
      </c>
      <c r="AC4281" t="b">
        <v>0</v>
      </c>
      <c r="AD4281">
        <f>IF(U4281="","MISSING_TOTAL",IF(ABS(AB4281)&lt;=0.01,"OK","CHECK"))</f>
        <v/>
      </c>
      <c r="AE4281">
        <f>IF(U4281="","MISSING",IF(AND(AA4281&gt;0,U4281/AA4281&gt;50),"POSSIBLE_SCALE_ERROR","OK"))</f>
        <v/>
      </c>
    </row>
    <row r="4282">
      <c r="A4282" t="inlineStr">
        <is>
          <t>T-2011-Q4-00014</t>
        </is>
      </c>
      <c r="B4282" t="inlineStr">
        <is>
          <t>SLE</t>
        </is>
      </c>
      <c r="C4282" t="inlineStr">
        <is>
          <t>Acting Senior Vice-President</t>
        </is>
      </c>
      <c r="D4282" t="inlineStr">
        <is>
          <t>Vice-président principal par intérim</t>
        </is>
      </c>
      <c r="E4282" t="inlineStr">
        <is>
          <t>David Slade</t>
        </is>
      </c>
      <c r="F4282" t="inlineStr">
        <is>
          <t>Meeting with Government of Canada and private sector officials</t>
        </is>
      </c>
      <c r="G4282" t="inlineStr">
        <is>
          <t>Réunion avec des fonctionnaires du gouvernerment du Canada et des représentants du secteur privé</t>
        </is>
      </c>
      <c r="H4282" s="1" t="n">
        <v>40522</v>
      </c>
      <c r="I4282" s="1" t="n">
        <v>40522</v>
      </c>
      <c r="J4282" t="inlineStr">
        <is>
          <t>Charlottetown, Prince Edward Island</t>
        </is>
      </c>
      <c r="K4282" t="inlineStr">
        <is>
          <t>Charlottetown (Île-du-Prince-Édouard)</t>
        </is>
      </c>
      <c r="P4282" t="n">
        <v>0</v>
      </c>
      <c r="Q4282" t="n">
        <v>133.7</v>
      </c>
      <c r="R4282" t="n">
        <v>0</v>
      </c>
      <c r="S4282" t="n">
        <v>0</v>
      </c>
      <c r="T4282" t="n">
        <v>0</v>
      </c>
      <c r="U4282" t="n">
        <v>133.7</v>
      </c>
      <c r="X4282" t="inlineStr">
        <is>
          <t>acoa-apeca</t>
        </is>
      </c>
      <c r="Y4282" t="inlineStr">
        <is>
          <t>Atlantic Canada Opportunities Agency | Agence de promotion économique du Canada atlantique</t>
        </is>
      </c>
      <c r="Z4282" t="n">
        <v>1</v>
      </c>
      <c r="AA4282" t="n">
        <v>133.7</v>
      </c>
      <c r="AB4282">
        <f>ROUND(U4282-AA4282,2)</f>
        <v/>
      </c>
      <c r="AC4282" t="b">
        <v>0</v>
      </c>
      <c r="AD4282">
        <f>IF(U4282="","MISSING_TOTAL",IF(ABS(AB4282)&lt;=0.01,"OK","CHECK"))</f>
        <v/>
      </c>
      <c r="AE4282">
        <f>IF(U4282="","MISSING",IF(AND(AA4282&gt;0,U4282/AA4282&gt;50),"POSSIBLE_SCALE_ERROR","OK"))</f>
        <v/>
      </c>
    </row>
    <row r="4283">
      <c r="A4283" t="inlineStr">
        <is>
          <t>T-2011-Q4-00016</t>
        </is>
      </c>
      <c r="B4283" t="inlineStr">
        <is>
          <t>SLE</t>
        </is>
      </c>
      <c r="C4283" t="inlineStr">
        <is>
          <t>Acting Senior Vice-President</t>
        </is>
      </c>
      <c r="D4283" t="inlineStr">
        <is>
          <t>Vice-président principal par intérim</t>
        </is>
      </c>
      <c r="E4283" t="inlineStr">
        <is>
          <t>David Slade</t>
        </is>
      </c>
      <c r="F4283" t="inlineStr">
        <is>
          <t>Meeting with Government of Canada officials and private sector officials</t>
        </is>
      </c>
      <c r="G4283" t="inlineStr">
        <is>
          <t>Réunion avec des fonctionnaires du gouvernement du Canada et des représentants du secteur privé</t>
        </is>
      </c>
      <c r="H4283" s="1" t="n">
        <v>40524</v>
      </c>
      <c r="I4283" s="1" t="n">
        <v>40525</v>
      </c>
      <c r="J4283" t="inlineStr">
        <is>
          <t>Halifax, Nova Scotia</t>
        </is>
      </c>
      <c r="K4283" t="inlineStr">
        <is>
          <t>Halifax (Nouvelle-Écosse)</t>
        </is>
      </c>
      <c r="P4283" t="n">
        <v>0</v>
      </c>
      <c r="Q4283" t="n">
        <v>0</v>
      </c>
      <c r="R4283" t="n">
        <v>134.9</v>
      </c>
      <c r="S4283" t="n">
        <v>73.8</v>
      </c>
      <c r="T4283" t="n">
        <v>0</v>
      </c>
      <c r="U4283" t="n">
        <v>208.7</v>
      </c>
      <c r="X4283" t="inlineStr">
        <is>
          <t>acoa-apeca</t>
        </is>
      </c>
      <c r="Y4283" t="inlineStr">
        <is>
          <t>Atlantic Canada Opportunities Agency | Agence de promotion économique du Canada atlantique</t>
        </is>
      </c>
      <c r="Z4283" t="n">
        <v>2</v>
      </c>
      <c r="AA4283" t="n">
        <v>208.7</v>
      </c>
      <c r="AB4283">
        <f>ROUND(U4283-AA4283,2)</f>
        <v/>
      </c>
      <c r="AC4283" t="b">
        <v>0</v>
      </c>
      <c r="AD4283">
        <f>IF(U4283="","MISSING_TOTAL",IF(ABS(AB4283)&lt;=0.01,"OK","CHECK"))</f>
        <v/>
      </c>
      <c r="AE4283">
        <f>IF(U4283="","MISSING",IF(AND(AA4283&gt;0,U4283/AA4283&gt;50),"POSSIBLE_SCALE_ERROR","OK"))</f>
        <v/>
      </c>
    </row>
    <row r="4284">
      <c r="A4284" t="inlineStr">
        <is>
          <t>T-2011-Q4-00039</t>
        </is>
      </c>
      <c r="B4284" t="inlineStr">
        <is>
          <t>SLE</t>
        </is>
      </c>
      <c r="C4284" t="inlineStr">
        <is>
          <t>Acting Senior Vice-President</t>
        </is>
      </c>
      <c r="D4284" t="inlineStr">
        <is>
          <t>Vice-président principal par intérim</t>
        </is>
      </c>
      <c r="E4284" t="inlineStr">
        <is>
          <t>David Slade</t>
        </is>
      </c>
      <c r="F4284" t="inlineStr">
        <is>
          <t>Meetings with Government of Canada officials</t>
        </is>
      </c>
      <c r="G4284" t="inlineStr">
        <is>
          <t>Réunions avec des fonctionnaires du gouvernement du Canada</t>
        </is>
      </c>
      <c r="H4284" s="1" t="n">
        <v>40562</v>
      </c>
      <c r="I4284" s="1" t="n">
        <v>40564</v>
      </c>
      <c r="J4284" t="inlineStr">
        <is>
          <t>Ottawa, Ontario</t>
        </is>
      </c>
      <c r="K4284" t="inlineStr">
        <is>
          <t>Ottawa (Ontario)</t>
        </is>
      </c>
      <c r="P4284" t="n">
        <v>1061.07</v>
      </c>
      <c r="Q4284" t="n">
        <v>71</v>
      </c>
      <c r="R4284" t="n">
        <v>348.04</v>
      </c>
      <c r="S4284" t="n">
        <v>201.6</v>
      </c>
      <c r="T4284" t="n">
        <v>0</v>
      </c>
      <c r="U4284" t="n">
        <v>1681.71</v>
      </c>
      <c r="X4284" t="inlineStr">
        <is>
          <t>acoa-apeca</t>
        </is>
      </c>
      <c r="Y4284" t="inlineStr">
        <is>
          <t>Atlantic Canada Opportunities Agency | Agence de promotion économique du Canada atlantique</t>
        </is>
      </c>
      <c r="Z4284" t="n">
        <v>3</v>
      </c>
      <c r="AA4284" t="n">
        <v>1681.70999999999</v>
      </c>
      <c r="AB4284">
        <f>ROUND(U4284-AA4284,2)</f>
        <v/>
      </c>
      <c r="AC4284" t="b">
        <v>0</v>
      </c>
      <c r="AD4284">
        <f>IF(U4284="","MISSING_TOTAL",IF(ABS(AB4284)&lt;=0.01,"OK","CHECK"))</f>
        <v/>
      </c>
      <c r="AE4284">
        <f>IF(U4284="","MISSING",IF(AND(AA4284&gt;0,U4284/AA4284&gt;50),"POSSIBLE_SCALE_ERROR","OK"))</f>
        <v/>
      </c>
    </row>
    <row r="4285">
      <c r="A4285" t="inlineStr">
        <is>
          <t>T-2011-Q4-00060</t>
        </is>
      </c>
      <c r="B4285" t="inlineStr">
        <is>
          <t>SLE</t>
        </is>
      </c>
      <c r="C4285" t="inlineStr">
        <is>
          <t>Acting Senior Vice-President</t>
        </is>
      </c>
      <c r="D4285" t="inlineStr">
        <is>
          <t>Vice-président principal par intérim</t>
        </is>
      </c>
      <c r="E4285" t="inlineStr">
        <is>
          <t>David Slade</t>
        </is>
      </c>
      <c r="F4285" t="inlineStr">
        <is>
          <t>Meetings with Government of Canada Officials</t>
        </is>
      </c>
      <c r="G4285" t="inlineStr">
        <is>
          <t>Réunions avec des fonctionnaires du gouvernement du Canada</t>
        </is>
      </c>
      <c r="H4285" s="1" t="n">
        <v>40589</v>
      </c>
      <c r="I4285" s="1" t="n">
        <v>40591</v>
      </c>
      <c r="J4285" t="inlineStr">
        <is>
          <t>Ottawa, Ontario</t>
        </is>
      </c>
      <c r="K4285" t="inlineStr">
        <is>
          <t>Ottawa (Ontario)</t>
        </is>
      </c>
      <c r="P4285" t="n">
        <v>1075.76</v>
      </c>
      <c r="Q4285" t="n">
        <v>43.37</v>
      </c>
      <c r="R4285" t="n">
        <v>348.04</v>
      </c>
      <c r="S4285" t="n">
        <v>252.2</v>
      </c>
      <c r="T4285" t="n">
        <v>0</v>
      </c>
      <c r="U4285" t="n">
        <v>1719.37</v>
      </c>
      <c r="X4285" t="inlineStr">
        <is>
          <t>acoa-apeca</t>
        </is>
      </c>
      <c r="Y4285" t="inlineStr">
        <is>
          <t>Atlantic Canada Opportunities Agency | Agence de promotion économique du Canada atlantique</t>
        </is>
      </c>
      <c r="Z4285" t="n">
        <v>3</v>
      </c>
      <c r="AA4285" t="n">
        <v>1719.37</v>
      </c>
      <c r="AB4285">
        <f>ROUND(U4285-AA4285,2)</f>
        <v/>
      </c>
      <c r="AC4285" t="b">
        <v>0</v>
      </c>
      <c r="AD4285">
        <f>IF(U4285="","MISSING_TOTAL",IF(ABS(AB4285)&lt;=0.01,"OK","CHECK"))</f>
        <v/>
      </c>
      <c r="AE4285">
        <f>IF(U4285="","MISSING",IF(AND(AA4285&gt;0,U4285/AA4285&gt;50),"POSSIBLE_SCALE_ERROR","OK"))</f>
        <v/>
      </c>
    </row>
    <row r="4286">
      <c r="A4286" t="inlineStr">
        <is>
          <t>T-2012-Q1-00011</t>
        </is>
      </c>
      <c r="B4286" t="inlineStr">
        <is>
          <t>SLE</t>
        </is>
      </c>
      <c r="C4286" t="inlineStr">
        <is>
          <t>Acting Senior Vice-President</t>
        </is>
      </c>
      <c r="D4286" t="inlineStr">
        <is>
          <t>Vice-président principal par intérim</t>
        </is>
      </c>
      <c r="E4286" t="inlineStr">
        <is>
          <t>David Slade</t>
        </is>
      </c>
      <c r="F4286" t="inlineStr">
        <is>
          <t>Meeting with Private Sector and Government of Canada officials</t>
        </is>
      </c>
      <c r="G4286" t="inlineStr">
        <is>
          <t>Réunion avec des représentants du secteur privé et des fonctionnaires du gouvernement du Canada</t>
        </is>
      </c>
      <c r="H4286" s="1" t="n">
        <v>40615</v>
      </c>
      <c r="I4286" s="1" t="n">
        <v>40616</v>
      </c>
      <c r="J4286" t="inlineStr">
        <is>
          <t>Charlottetown, Prince Edward Island</t>
        </is>
      </c>
      <c r="K4286" t="inlineStr">
        <is>
          <t>Charlottetown (Île-du-Prince-Édouard)</t>
        </is>
      </c>
      <c r="P4286" t="n">
        <v>0</v>
      </c>
      <c r="Q4286" t="n">
        <v>204.01</v>
      </c>
      <c r="R4286" t="n">
        <v>117.6</v>
      </c>
      <c r="S4286" t="n">
        <v>49.4</v>
      </c>
      <c r="T4286" t="n">
        <v>20.5</v>
      </c>
      <c r="U4286" t="n">
        <v>391.51</v>
      </c>
      <c r="X4286" t="inlineStr">
        <is>
          <t>acoa-apeca</t>
        </is>
      </c>
      <c r="Y4286" t="inlineStr">
        <is>
          <t>Atlantic Canada Opportunities Agency | Agence de promotion économique du Canada atlantique</t>
        </is>
      </c>
      <c r="Z4286" t="n">
        <v>2</v>
      </c>
      <c r="AA4286" t="n">
        <v>391.51</v>
      </c>
      <c r="AB4286">
        <f>ROUND(U4286-AA4286,2)</f>
        <v/>
      </c>
      <c r="AC4286" t="b">
        <v>0</v>
      </c>
      <c r="AD4286">
        <f>IF(U4286="","MISSING_TOTAL",IF(ABS(AB4286)&lt;=0.01,"OK","CHECK"))</f>
        <v/>
      </c>
      <c r="AE4286">
        <f>IF(U4286="","MISSING",IF(AND(AA4286&gt;0,U4286/AA4286&gt;50),"POSSIBLE_SCALE_ERROR","OK"))</f>
        <v/>
      </c>
    </row>
    <row r="4287">
      <c r="A4287" t="inlineStr">
        <is>
          <t>T-2012-Q1-00019</t>
        </is>
      </c>
      <c r="B4287" t="inlineStr">
        <is>
          <t>SLE</t>
        </is>
      </c>
      <c r="C4287" t="inlineStr">
        <is>
          <t>Acting Senior Vice-President</t>
        </is>
      </c>
      <c r="D4287" t="inlineStr">
        <is>
          <t>Vice-président principal par intérim</t>
        </is>
      </c>
      <c r="E4287" t="inlineStr">
        <is>
          <t>David Slade</t>
        </is>
      </c>
      <c r="F4287" t="inlineStr">
        <is>
          <t>Meeting with Government of Canada Officials</t>
        </is>
      </c>
      <c r="G4287" t="inlineStr">
        <is>
          <t>Réunion avec des fonctionnaires du gouvernement du Canada</t>
        </is>
      </c>
      <c r="H4287" s="1" t="n">
        <v>40623</v>
      </c>
      <c r="I4287" s="1" t="n">
        <v>40626</v>
      </c>
      <c r="J4287" t="inlineStr">
        <is>
          <t>Ottawa, Ontario</t>
        </is>
      </c>
      <c r="K4287" t="inlineStr">
        <is>
          <t>Ottawa (Ontario)</t>
        </is>
      </c>
      <c r="P4287" t="n">
        <v>1075.76</v>
      </c>
      <c r="Q4287" t="n">
        <v>51.37</v>
      </c>
      <c r="R4287" t="n">
        <v>674.61</v>
      </c>
      <c r="S4287" t="n">
        <v>272.9</v>
      </c>
      <c r="T4287" t="n">
        <v>0</v>
      </c>
      <c r="U4287" t="n">
        <v>2074.64</v>
      </c>
      <c r="X4287" t="inlineStr">
        <is>
          <t>acoa-apeca</t>
        </is>
      </c>
      <c r="Y4287" t="inlineStr">
        <is>
          <t>Atlantic Canada Opportunities Agency | Agence de promotion économique du Canada atlantique</t>
        </is>
      </c>
      <c r="Z4287" t="n">
        <v>4</v>
      </c>
      <c r="AA4287" t="n">
        <v>2074.64</v>
      </c>
      <c r="AB4287">
        <f>ROUND(U4287-AA4287,2)</f>
        <v/>
      </c>
      <c r="AC4287" t="b">
        <v>0</v>
      </c>
      <c r="AD4287">
        <f>IF(U4287="","MISSING_TOTAL",IF(ABS(AB4287)&lt;=0.01,"OK","CHECK"))</f>
        <v/>
      </c>
      <c r="AE4287">
        <f>IF(U4287="","MISSING",IF(AND(AA4287&gt;0,U4287/AA4287&gt;50),"POSSIBLE_SCALE_ERROR","OK"))</f>
        <v/>
      </c>
    </row>
    <row r="4288">
      <c r="A4288" t="inlineStr">
        <is>
          <t>T-2012-Q1-00040</t>
        </is>
      </c>
      <c r="B4288" t="inlineStr">
        <is>
          <t>SLE</t>
        </is>
      </c>
      <c r="C4288" t="inlineStr">
        <is>
          <t>Acting Senior Vice-President</t>
        </is>
      </c>
      <c r="D4288" t="inlineStr">
        <is>
          <t>Vice-président principal par intérim</t>
        </is>
      </c>
      <c r="E4288" t="inlineStr">
        <is>
          <t>David Slade</t>
        </is>
      </c>
      <c r="F4288" t="inlineStr">
        <is>
          <t>Meeting with Government of Canada officials</t>
        </is>
      </c>
      <c r="G4288" t="inlineStr">
        <is>
          <t>Réunion avec des fonctionnaires du gouvernement du Canada</t>
        </is>
      </c>
      <c r="H4288" s="1" t="n">
        <v>40652</v>
      </c>
      <c r="I4288" s="1" t="n">
        <v>40654</v>
      </c>
      <c r="J4288" t="inlineStr">
        <is>
          <t>Ottawa, Ontario</t>
        </is>
      </c>
      <c r="K4288" t="inlineStr">
        <is>
          <t>Ottawa (Ontario)</t>
        </is>
      </c>
      <c r="P4288" t="n">
        <v>1075.76</v>
      </c>
      <c r="Q4288" t="n">
        <v>51.64</v>
      </c>
      <c r="R4288" t="n">
        <v>449.74</v>
      </c>
      <c r="S4288" t="n">
        <v>150.15</v>
      </c>
      <c r="T4288" t="n">
        <v>0</v>
      </c>
      <c r="U4288" t="n">
        <v>1727.29</v>
      </c>
      <c r="X4288" t="inlineStr">
        <is>
          <t>acoa-apeca</t>
        </is>
      </c>
      <c r="Y4288" t="inlineStr">
        <is>
          <t>Atlantic Canada Opportunities Agency | Agence de promotion économique du Canada atlantique</t>
        </is>
      </c>
      <c r="Z4288" t="n">
        <v>3</v>
      </c>
      <c r="AA4288" t="n">
        <v>1727.29</v>
      </c>
      <c r="AB4288">
        <f>ROUND(U4288-AA4288,2)</f>
        <v/>
      </c>
      <c r="AC4288" t="b">
        <v>0</v>
      </c>
      <c r="AD4288">
        <f>IF(U4288="","MISSING_TOTAL",IF(ABS(AB4288)&lt;=0.01,"OK","CHECK"))</f>
        <v/>
      </c>
      <c r="AE4288">
        <f>IF(U4288="","MISSING",IF(AND(AA4288&gt;0,U4288/AA4288&gt;50),"POSSIBLE_SCALE_ERROR","OK"))</f>
        <v/>
      </c>
    </row>
    <row r="4289">
      <c r="A4289" t="inlineStr">
        <is>
          <t>T-2012-Q1-00058</t>
        </is>
      </c>
      <c r="B4289" t="inlineStr">
        <is>
          <t>SLE</t>
        </is>
      </c>
      <c r="C4289" t="inlineStr">
        <is>
          <t>Acting Senior Vice-President</t>
        </is>
      </c>
      <c r="D4289" t="inlineStr">
        <is>
          <t>Vice-président principal par intérim</t>
        </is>
      </c>
      <c r="E4289" t="inlineStr">
        <is>
          <t>David Slade</t>
        </is>
      </c>
      <c r="F4289" t="inlineStr">
        <is>
          <t>Meetings with Government of Canada officials</t>
        </is>
      </c>
      <c r="G4289" t="inlineStr">
        <is>
          <t>Réunions avec des fonctionnaires du gouvernement du Canada</t>
        </is>
      </c>
      <c r="H4289" s="1" t="n">
        <v>40679</v>
      </c>
      <c r="I4289" s="1" t="n">
        <v>40680</v>
      </c>
      <c r="J4289" t="inlineStr">
        <is>
          <t>Ottawa, Ontario</t>
        </is>
      </c>
      <c r="K4289" t="inlineStr">
        <is>
          <t>Ottawa (Ontario)</t>
        </is>
      </c>
      <c r="P4289" t="n">
        <v>1075.76</v>
      </c>
      <c r="Q4289" t="n">
        <v>112.23</v>
      </c>
      <c r="R4289" t="n">
        <v>197.75</v>
      </c>
      <c r="S4289" t="n">
        <v>143.5</v>
      </c>
      <c r="T4289" t="n">
        <v>0</v>
      </c>
      <c r="U4289" t="n">
        <v>1529.24</v>
      </c>
      <c r="X4289" t="inlineStr">
        <is>
          <t>acoa-apeca</t>
        </is>
      </c>
      <c r="Y4289" t="inlineStr">
        <is>
          <t>Atlantic Canada Opportunities Agency | Agence de promotion économique du Canada atlantique</t>
        </is>
      </c>
      <c r="Z4289" t="n">
        <v>2</v>
      </c>
      <c r="AA4289" t="n">
        <v>1529.24</v>
      </c>
      <c r="AB4289">
        <f>ROUND(U4289-AA4289,2)</f>
        <v/>
      </c>
      <c r="AC4289" t="b">
        <v>0</v>
      </c>
      <c r="AD4289">
        <f>IF(U4289="","MISSING_TOTAL",IF(ABS(AB4289)&lt;=0.01,"OK","CHECK"))</f>
        <v/>
      </c>
      <c r="AE4289">
        <f>IF(U4289="","MISSING",IF(AND(AA4289&gt;0,U4289/AA4289&gt;50),"POSSIBLE_SCALE_ERROR","OK"))</f>
        <v/>
      </c>
    </row>
    <row r="4290">
      <c r="A4290" t="inlineStr">
        <is>
          <t>T-2012-Q2-00001</t>
        </is>
      </c>
      <c r="B4290" t="inlineStr">
        <is>
          <t>SLE</t>
        </is>
      </c>
      <c r="C4290" t="inlineStr">
        <is>
          <t>Acting Senior Vice-President</t>
        </is>
      </c>
      <c r="D4290" t="inlineStr">
        <is>
          <t>Vice-président principal par intérim</t>
        </is>
      </c>
      <c r="E4290" t="inlineStr">
        <is>
          <t>David Slade</t>
        </is>
      </c>
      <c r="F4290" t="inlineStr">
        <is>
          <t>Meeting with Government of Canada and Private Sector officials</t>
        </is>
      </c>
      <c r="G4290" t="inlineStr">
        <is>
          <t>Réunion avec des fonctionnaires du gouvernement du Canada et des représentants du secteur privé</t>
        </is>
      </c>
      <c r="H4290" s="1" t="n">
        <v>40699</v>
      </c>
      <c r="I4290" s="1" t="n">
        <v>40702</v>
      </c>
      <c r="J4290" t="inlineStr">
        <is>
          <t>St. John's, Newfoundland and Labrador</t>
        </is>
      </c>
      <c r="K4290" t="inlineStr">
        <is>
          <t>St. John's (Terre-Neuve-et-Labrador)</t>
        </is>
      </c>
      <c r="P4290" t="n">
        <v>1151.27</v>
      </c>
      <c r="Q4290" t="n">
        <v>275.15</v>
      </c>
      <c r="R4290" t="n">
        <v>276.08</v>
      </c>
      <c r="S4290" t="n">
        <v>205.05</v>
      </c>
      <c r="T4290" t="n">
        <v>0</v>
      </c>
      <c r="U4290" t="n">
        <v>1907.55</v>
      </c>
      <c r="X4290" t="inlineStr">
        <is>
          <t>acoa-apeca</t>
        </is>
      </c>
      <c r="Y4290" t="inlineStr">
        <is>
          <t>Atlantic Canada Opportunities Agency | Agence de promotion économique du Canada atlantique</t>
        </is>
      </c>
      <c r="Z4290" t="n">
        <v>4</v>
      </c>
      <c r="AA4290" t="n">
        <v>1907.55</v>
      </c>
      <c r="AB4290">
        <f>ROUND(U4290-AA4290,2)</f>
        <v/>
      </c>
      <c r="AC4290" t="b">
        <v>0</v>
      </c>
      <c r="AD4290">
        <f>IF(U4290="","MISSING_TOTAL",IF(ABS(AB4290)&lt;=0.01,"OK","CHECK"))</f>
        <v/>
      </c>
      <c r="AE4290">
        <f>IF(U4290="","MISSING",IF(AND(AA4290&gt;0,U4290/AA4290&gt;50),"POSSIBLE_SCALE_ERROR","OK"))</f>
        <v/>
      </c>
    </row>
    <row r="4291">
      <c r="A4291" t="inlineStr">
        <is>
          <t>T-2012-Q2-00027</t>
        </is>
      </c>
      <c r="B4291" t="inlineStr">
        <is>
          <t>SLE</t>
        </is>
      </c>
      <c r="C4291" t="inlineStr">
        <is>
          <t>Acting Senior Vice-President</t>
        </is>
      </c>
      <c r="D4291" t="inlineStr">
        <is>
          <t>Vice-président principal par intérim</t>
        </is>
      </c>
      <c r="E4291" t="inlineStr">
        <is>
          <t>David Slade</t>
        </is>
      </c>
      <c r="F4291" t="inlineStr">
        <is>
          <t>Meeting with Government of Canada officials</t>
        </is>
      </c>
      <c r="G4291" t="inlineStr">
        <is>
          <t>Réunion avec des fonctionnaires du gouvernement du Canada</t>
        </is>
      </c>
      <c r="H4291" s="1" t="n">
        <v>40721</v>
      </c>
      <c r="I4291" s="1" t="n">
        <v>40723</v>
      </c>
      <c r="J4291" t="inlineStr">
        <is>
          <t>Winnipeg, Manitoba</t>
        </is>
      </c>
      <c r="K4291" t="inlineStr">
        <is>
          <t>Winnipeg (Manitoba)</t>
        </is>
      </c>
      <c r="P4291" t="n">
        <v>2383.44</v>
      </c>
      <c r="Q4291" t="n">
        <v>65.56999999999999</v>
      </c>
      <c r="R4291" t="n">
        <v>372.86</v>
      </c>
      <c r="S4291" t="n">
        <v>244</v>
      </c>
      <c r="T4291" t="n">
        <v>2.46</v>
      </c>
      <c r="U4291" t="n">
        <v>3068.33</v>
      </c>
      <c r="X4291" t="inlineStr">
        <is>
          <t>acoa-apeca</t>
        </is>
      </c>
      <c r="Y4291" t="inlineStr">
        <is>
          <t>Atlantic Canada Opportunities Agency | Agence de promotion économique du Canada atlantique</t>
        </is>
      </c>
      <c r="Z4291" t="n">
        <v>3</v>
      </c>
      <c r="AA4291" t="n">
        <v>3068.33</v>
      </c>
      <c r="AB4291">
        <f>ROUND(U4291-AA4291,2)</f>
        <v/>
      </c>
      <c r="AC4291" t="b">
        <v>0</v>
      </c>
      <c r="AD4291">
        <f>IF(U4291="","MISSING_TOTAL",IF(ABS(AB4291)&lt;=0.01,"OK","CHECK"))</f>
        <v/>
      </c>
      <c r="AE4291">
        <f>IF(U4291="","MISSING",IF(AND(AA4291&gt;0,U4291/AA4291&gt;50),"POSSIBLE_SCALE_ERROR","OK"))</f>
        <v/>
      </c>
    </row>
    <row r="4292">
      <c r="A4292" t="inlineStr">
        <is>
          <t>T-2012-Q2-00052</t>
        </is>
      </c>
      <c r="B4292" t="inlineStr">
        <is>
          <t>SLE</t>
        </is>
      </c>
      <c r="C4292" t="inlineStr">
        <is>
          <t>Acting Senior Vice-President</t>
        </is>
      </c>
      <c r="D4292" t="inlineStr">
        <is>
          <t>Vice-président principal par intérim</t>
        </is>
      </c>
      <c r="E4292" t="inlineStr">
        <is>
          <t>David Slade</t>
        </is>
      </c>
      <c r="F4292" t="inlineStr">
        <is>
          <t>Meeting with Government of Canada officials</t>
        </is>
      </c>
      <c r="G4292" t="inlineStr">
        <is>
          <t>Réunion avec des fonctionnaires du gouvernement du Canada</t>
        </is>
      </c>
      <c r="H4292" s="1" t="n">
        <v>40751</v>
      </c>
      <c r="I4292" s="1" t="n">
        <v>40752</v>
      </c>
      <c r="J4292" t="inlineStr">
        <is>
          <t>Summerside, Prince Edward Island</t>
        </is>
      </c>
      <c r="K4292" t="inlineStr">
        <is>
          <t>Summerside (Île-du-Prince-Édouard)</t>
        </is>
      </c>
      <c r="P4292" t="n">
        <v>0</v>
      </c>
      <c r="Q4292" t="n">
        <v>161.83</v>
      </c>
      <c r="R4292" t="n">
        <v>0</v>
      </c>
      <c r="S4292" t="n">
        <v>0</v>
      </c>
      <c r="T4292" t="n">
        <v>0</v>
      </c>
      <c r="U4292" t="n">
        <v>161.83</v>
      </c>
      <c r="X4292" t="inlineStr">
        <is>
          <t>acoa-apeca</t>
        </is>
      </c>
      <c r="Y4292" t="inlineStr">
        <is>
          <t>Atlantic Canada Opportunities Agency | Agence de promotion économique du Canada atlantique</t>
        </is>
      </c>
      <c r="Z4292" t="n">
        <v>2</v>
      </c>
      <c r="AA4292" t="n">
        <v>161.83</v>
      </c>
      <c r="AB4292">
        <f>ROUND(U4292-AA4292,2)</f>
        <v/>
      </c>
      <c r="AC4292" t="b">
        <v>0</v>
      </c>
      <c r="AD4292">
        <f>IF(U4292="","MISSING_TOTAL",IF(ABS(AB4292)&lt;=0.01,"OK","CHECK"))</f>
        <v/>
      </c>
      <c r="AE4292">
        <f>IF(U4292="","MISSING",IF(AND(AA4292&gt;0,U4292/AA4292&gt;50),"POSSIBLE_SCALE_ERROR","OK"))</f>
        <v/>
      </c>
    </row>
    <row r="4293">
      <c r="A4293" t="inlineStr">
        <is>
          <t>T-2012-Q2-00058</t>
        </is>
      </c>
      <c r="B4293" t="inlineStr">
        <is>
          <t>SLE</t>
        </is>
      </c>
      <c r="C4293" t="inlineStr">
        <is>
          <t>Acting Senior Vice-President</t>
        </is>
      </c>
      <c r="D4293" t="inlineStr">
        <is>
          <t>Vice-président principal par intérim</t>
        </is>
      </c>
      <c r="E4293" t="inlineStr">
        <is>
          <t>David Slade</t>
        </is>
      </c>
      <c r="F4293" t="inlineStr">
        <is>
          <t>Meeting with Government of Canada officials</t>
        </is>
      </c>
      <c r="G4293" t="inlineStr">
        <is>
          <t>Réunion avec des fonctionnaires du gouvernement du Canada</t>
        </is>
      </c>
      <c r="H4293" s="1" t="n">
        <v>40766</v>
      </c>
      <c r="I4293" s="1" t="n">
        <v>40767</v>
      </c>
      <c r="J4293" t="inlineStr">
        <is>
          <t>Ottawa, Ontario</t>
        </is>
      </c>
      <c r="K4293" t="inlineStr">
        <is>
          <t>Ottawa (Ontario)</t>
        </is>
      </c>
      <c r="P4293" t="n">
        <v>847.75</v>
      </c>
      <c r="Q4293" t="n">
        <v>14.04</v>
      </c>
      <c r="R4293" t="n">
        <v>174.02</v>
      </c>
      <c r="S4293" t="n">
        <v>117.8</v>
      </c>
      <c r="T4293" t="n">
        <v>0</v>
      </c>
      <c r="U4293" t="n">
        <v>1153.61</v>
      </c>
      <c r="X4293" t="inlineStr">
        <is>
          <t>acoa-apeca</t>
        </is>
      </c>
      <c r="Y4293" t="inlineStr">
        <is>
          <t>Atlantic Canada Opportunities Agency | Agence de promotion économique du Canada atlantique</t>
        </is>
      </c>
      <c r="Z4293" t="n">
        <v>2</v>
      </c>
      <c r="AA4293" t="n">
        <v>1153.61</v>
      </c>
      <c r="AB4293">
        <f>ROUND(U4293-AA4293,2)</f>
        <v/>
      </c>
      <c r="AC4293" t="b">
        <v>0</v>
      </c>
      <c r="AD4293">
        <f>IF(U4293="","MISSING_TOTAL",IF(ABS(AB4293)&lt;=0.01,"OK","CHECK"))</f>
        <v/>
      </c>
      <c r="AE4293">
        <f>IF(U4293="","MISSING",IF(AND(AA4293&gt;0,U4293/AA4293&gt;50),"POSSIBLE_SCALE_ERROR","OK"))</f>
        <v/>
      </c>
    </row>
    <row r="4294">
      <c r="A4294" t="inlineStr">
        <is>
          <t>T-2012-Q2-00063</t>
        </is>
      </c>
      <c r="B4294" t="inlineStr">
        <is>
          <t>SLE</t>
        </is>
      </c>
      <c r="C4294" t="inlineStr">
        <is>
          <t>Acting Senior Vice-President</t>
        </is>
      </c>
      <c r="D4294" t="inlineStr">
        <is>
          <t>Vice-président principal par intérim</t>
        </is>
      </c>
      <c r="E4294" t="inlineStr">
        <is>
          <t>David Slade</t>
        </is>
      </c>
      <c r="F4294" t="inlineStr">
        <is>
          <t>Meeting with Government of Canada officials</t>
        </is>
      </c>
      <c r="G4294" t="inlineStr">
        <is>
          <t>Réunion avec des fonctionnaires du gouvernement du Canada</t>
        </is>
      </c>
      <c r="H4294" s="1" t="n">
        <v>40773</v>
      </c>
      <c r="I4294" s="1" t="n">
        <v>40774</v>
      </c>
      <c r="J4294" t="inlineStr">
        <is>
          <t>Ottawa, Ontario</t>
        </is>
      </c>
      <c r="K4294" t="inlineStr">
        <is>
          <t>Ottawa (Ontario)</t>
        </is>
      </c>
      <c r="P4294" t="n">
        <v>1117.74</v>
      </c>
      <c r="Q4294" t="n">
        <v>14.04</v>
      </c>
      <c r="R4294" t="n">
        <v>157.07</v>
      </c>
      <c r="S4294" t="n">
        <v>143.5</v>
      </c>
      <c r="T4294" t="n">
        <v>0</v>
      </c>
      <c r="U4294" t="n">
        <v>1432.35</v>
      </c>
      <c r="X4294" t="inlineStr">
        <is>
          <t>acoa-apeca</t>
        </is>
      </c>
      <c r="Y4294" t="inlineStr">
        <is>
          <t>Atlantic Canada Opportunities Agency | Agence de promotion économique du Canada atlantique</t>
        </is>
      </c>
      <c r="Z4294" t="n">
        <v>2</v>
      </c>
      <c r="AA4294" t="n">
        <v>1432.35</v>
      </c>
      <c r="AB4294">
        <f>ROUND(U4294-AA4294,2)</f>
        <v/>
      </c>
      <c r="AC4294" t="b">
        <v>0</v>
      </c>
      <c r="AD4294">
        <f>IF(U4294="","MISSING_TOTAL",IF(ABS(AB4294)&lt;=0.01,"OK","CHECK"))</f>
        <v/>
      </c>
      <c r="AE4294">
        <f>IF(U4294="","MISSING",IF(AND(AA4294&gt;0,U4294/AA4294&gt;50),"POSSIBLE_SCALE_ERROR","OK"))</f>
        <v/>
      </c>
    </row>
    <row r="4295">
      <c r="A4295" t="inlineStr">
        <is>
          <t>T-2012-Q3-00003</t>
        </is>
      </c>
      <c r="B4295" t="inlineStr">
        <is>
          <t>SLE</t>
        </is>
      </c>
      <c r="C4295" t="inlineStr">
        <is>
          <t>Acting Senior Vice-President</t>
        </is>
      </c>
      <c r="D4295" t="inlineStr">
        <is>
          <t>Vice-président principal par intérim</t>
        </is>
      </c>
      <c r="E4295" t="inlineStr">
        <is>
          <t>David Slade</t>
        </is>
      </c>
      <c r="F4295" t="inlineStr">
        <is>
          <t>Meeting with Government of Canada officials</t>
        </is>
      </c>
      <c r="G4295" t="inlineStr">
        <is>
          <t>Réunion avec des fonctionnaires du gouvernement du Canada</t>
        </is>
      </c>
      <c r="H4295" s="1" t="n">
        <v>40792</v>
      </c>
      <c r="I4295" s="1" t="n">
        <v>40793</v>
      </c>
      <c r="J4295" t="inlineStr">
        <is>
          <t>Ottawa, Ontario</t>
        </is>
      </c>
      <c r="K4295" t="inlineStr">
        <is>
          <t>Ottawa (Ontario)</t>
        </is>
      </c>
      <c r="P4295" t="n">
        <v>764.1900000000001</v>
      </c>
      <c r="Q4295" t="n">
        <v>54.04</v>
      </c>
      <c r="R4295" t="n">
        <v>174.02</v>
      </c>
      <c r="S4295" t="n">
        <v>129.35</v>
      </c>
      <c r="T4295" t="n">
        <v>0</v>
      </c>
      <c r="U4295" t="n">
        <v>1121.6</v>
      </c>
      <c r="X4295" t="inlineStr">
        <is>
          <t>acoa-apeca</t>
        </is>
      </c>
      <c r="Y4295" t="inlineStr">
        <is>
          <t>Atlantic Canada Opportunities Agency | Agence de promotion économique du Canada atlantique</t>
        </is>
      </c>
      <c r="Z4295" t="n">
        <v>2</v>
      </c>
      <c r="AA4295" t="n">
        <v>1121.6</v>
      </c>
      <c r="AB4295">
        <f>ROUND(U4295-AA4295,2)</f>
        <v/>
      </c>
      <c r="AC4295" t="b">
        <v>0</v>
      </c>
      <c r="AD4295">
        <f>IF(U4295="","MISSING_TOTAL",IF(ABS(AB4295)&lt;=0.01,"OK","CHECK"))</f>
        <v/>
      </c>
      <c r="AE4295">
        <f>IF(U4295="","MISSING",IF(AND(AA4295&gt;0,U4295/AA4295&gt;50),"POSSIBLE_SCALE_ERROR","OK"))</f>
        <v/>
      </c>
    </row>
    <row r="4296">
      <c r="A4296" t="inlineStr">
        <is>
          <t>T-2012-Q3-00013</t>
        </is>
      </c>
      <c r="B4296" t="inlineStr">
        <is>
          <t>SLE</t>
        </is>
      </c>
      <c r="C4296" t="inlineStr">
        <is>
          <t>Acting Senior Vice-President</t>
        </is>
      </c>
      <c r="D4296" t="inlineStr">
        <is>
          <t>Vice-président principal par intérim</t>
        </is>
      </c>
      <c r="E4296" t="inlineStr">
        <is>
          <t>David Slade</t>
        </is>
      </c>
      <c r="F4296" t="inlineStr">
        <is>
          <t>Meeting with Government of Canada officials</t>
        </is>
      </c>
      <c r="G4296" t="inlineStr">
        <is>
          <t>Réunion avec des fonctionnaires du gouvernement du Canada</t>
        </is>
      </c>
      <c r="H4296" s="1" t="n">
        <v>40798</v>
      </c>
      <c r="I4296" s="1" t="n">
        <v>40800</v>
      </c>
      <c r="J4296" t="inlineStr">
        <is>
          <t>Ottawa, Ontario</t>
        </is>
      </c>
      <c r="K4296" t="inlineStr">
        <is>
          <t>Ottawa (Ontario)</t>
        </is>
      </c>
      <c r="P4296" t="n">
        <v>864.05</v>
      </c>
      <c r="Q4296" t="n">
        <v>52.04</v>
      </c>
      <c r="R4296" t="n">
        <v>348.04</v>
      </c>
      <c r="S4296" t="n">
        <v>229.85</v>
      </c>
      <c r="T4296" t="n">
        <v>0</v>
      </c>
      <c r="U4296" t="n">
        <v>1493.98</v>
      </c>
      <c r="X4296" t="inlineStr">
        <is>
          <t>acoa-apeca</t>
        </is>
      </c>
      <c r="Y4296" t="inlineStr">
        <is>
          <t>Atlantic Canada Opportunities Agency | Agence de promotion économique du Canada atlantique</t>
        </is>
      </c>
      <c r="Z4296" t="n">
        <v>3</v>
      </c>
      <c r="AA4296" t="n">
        <v>1493.97999999999</v>
      </c>
      <c r="AB4296">
        <f>ROUND(U4296-AA4296,2)</f>
        <v/>
      </c>
      <c r="AC4296" t="b">
        <v>0</v>
      </c>
      <c r="AD4296">
        <f>IF(U4296="","MISSING_TOTAL",IF(ABS(AB4296)&lt;=0.01,"OK","CHECK"))</f>
        <v/>
      </c>
      <c r="AE4296">
        <f>IF(U4296="","MISSING",IF(AND(AA4296&gt;0,U4296/AA4296&gt;50),"POSSIBLE_SCALE_ERROR","OK"))</f>
        <v/>
      </c>
    </row>
    <row r="4297">
      <c r="A4297" t="inlineStr">
        <is>
          <t>T-2012-Q3-00019</t>
        </is>
      </c>
      <c r="B4297" t="inlineStr">
        <is>
          <t>SLE</t>
        </is>
      </c>
      <c r="C4297" t="inlineStr">
        <is>
          <t>Acting Senior Vice-President</t>
        </is>
      </c>
      <c r="D4297" t="inlineStr">
        <is>
          <t>Vice-président principal par intérim</t>
        </is>
      </c>
      <c r="E4297" t="inlineStr">
        <is>
          <t>David Slade</t>
        </is>
      </c>
      <c r="F4297" t="inlineStr">
        <is>
          <t>Meeting with Government of Canada and private sector officials</t>
        </is>
      </c>
      <c r="G4297" t="inlineStr">
        <is>
          <t>Réunion avec des représentants du gouvernement fédéral et du secteur privé</t>
        </is>
      </c>
      <c r="H4297" s="1" t="n">
        <v>40805</v>
      </c>
      <c r="I4297" s="1" t="n">
        <v>40806</v>
      </c>
      <c r="J4297" t="inlineStr">
        <is>
          <t>Halifax, Nova Scotia</t>
        </is>
      </c>
      <c r="K4297" t="inlineStr">
        <is>
          <t>Halifax (Nouvelle-Écosse)</t>
        </is>
      </c>
      <c r="P4297" t="n">
        <v>0</v>
      </c>
      <c r="Q4297" t="n">
        <v>193.78</v>
      </c>
      <c r="R4297" t="n">
        <v>186.51</v>
      </c>
      <c r="S4297" t="n">
        <v>143.5</v>
      </c>
      <c r="T4297" t="n">
        <v>0</v>
      </c>
      <c r="U4297" t="n">
        <v>523.79</v>
      </c>
      <c r="X4297" t="inlineStr">
        <is>
          <t>acoa-apeca</t>
        </is>
      </c>
      <c r="Y4297" t="inlineStr">
        <is>
          <t>Atlantic Canada Opportunities Agency | Agence de promotion économique du Canada atlantique</t>
        </is>
      </c>
      <c r="Z4297" t="n">
        <v>2</v>
      </c>
      <c r="AA4297" t="n">
        <v>523.79</v>
      </c>
      <c r="AB4297">
        <f>ROUND(U4297-AA4297,2)</f>
        <v/>
      </c>
      <c r="AC4297" t="b">
        <v>0</v>
      </c>
      <c r="AD4297">
        <f>IF(U4297="","MISSING_TOTAL",IF(ABS(AB4297)&lt;=0.01,"OK","CHECK"))</f>
        <v/>
      </c>
      <c r="AE4297">
        <f>IF(U4297="","MISSING",IF(AND(AA4297&gt;0,U4297/AA4297&gt;50),"POSSIBLE_SCALE_ERROR","OK"))</f>
        <v/>
      </c>
    </row>
    <row r="4298">
      <c r="A4298" t="inlineStr">
        <is>
          <t>T-2012-Q3-00030</t>
        </is>
      </c>
      <c r="B4298" t="inlineStr">
        <is>
          <t>SLE</t>
        </is>
      </c>
      <c r="C4298" t="inlineStr">
        <is>
          <t>Acting Senior Vice-President</t>
        </is>
      </c>
      <c r="D4298" t="inlineStr">
        <is>
          <t>Vice-président principal par intérim</t>
        </is>
      </c>
      <c r="E4298" t="inlineStr">
        <is>
          <t>David Slade</t>
        </is>
      </c>
      <c r="F4298" t="inlineStr">
        <is>
          <t>Meeting with Government of Canada officials</t>
        </is>
      </c>
      <c r="G4298" t="inlineStr">
        <is>
          <t>Réunion avec des fonctionnaires du gouvernement fédéral</t>
        </is>
      </c>
      <c r="H4298" s="1" t="n">
        <v>40813</v>
      </c>
      <c r="I4298" s="1" t="n">
        <v>40815</v>
      </c>
      <c r="J4298" t="inlineStr">
        <is>
          <t>Ottawa, Ontario</t>
        </is>
      </c>
      <c r="K4298" t="inlineStr">
        <is>
          <t>Ottawa (Ontario)</t>
        </is>
      </c>
      <c r="P4298" t="n">
        <v>832.6799999999999</v>
      </c>
      <c r="Q4298" t="n">
        <v>52.04</v>
      </c>
      <c r="R4298" t="n">
        <v>585.34</v>
      </c>
      <c r="S4298" t="n">
        <v>204.15</v>
      </c>
      <c r="T4298" t="n">
        <v>4.75</v>
      </c>
      <c r="U4298" t="n">
        <v>1678.96</v>
      </c>
      <c r="X4298" t="inlineStr">
        <is>
          <t>acoa-apeca</t>
        </is>
      </c>
      <c r="Y4298" t="inlineStr">
        <is>
          <t>Atlantic Canada Opportunities Agency | Agence de promotion économique du Canada atlantique</t>
        </is>
      </c>
      <c r="Z4298" t="n">
        <v>3</v>
      </c>
      <c r="AA4298" t="n">
        <v>1678.96</v>
      </c>
      <c r="AB4298">
        <f>ROUND(U4298-AA4298,2)</f>
        <v/>
      </c>
      <c r="AC4298" t="b">
        <v>0</v>
      </c>
      <c r="AD4298">
        <f>IF(U4298="","MISSING_TOTAL",IF(ABS(AB4298)&lt;=0.01,"OK","CHECK"))</f>
        <v/>
      </c>
      <c r="AE4298">
        <f>IF(U4298="","MISSING",IF(AND(AA4298&gt;0,U4298/AA4298&gt;50),"POSSIBLE_SCALE_ERROR","OK"))</f>
        <v/>
      </c>
    </row>
    <row r="4299">
      <c r="A4299" t="inlineStr">
        <is>
          <t>T-2012-Q3-00036</t>
        </is>
      </c>
      <c r="B4299" t="inlineStr">
        <is>
          <t>SLE</t>
        </is>
      </c>
      <c r="C4299" t="inlineStr">
        <is>
          <t>Acting Senior Vice-President</t>
        </is>
      </c>
      <c r="D4299" t="inlineStr">
        <is>
          <t>Vice-président principal par intérim</t>
        </is>
      </c>
      <c r="E4299" t="inlineStr">
        <is>
          <t>David Slade</t>
        </is>
      </c>
      <c r="F4299" t="inlineStr">
        <is>
          <t>Meeting with Government of Canada officials</t>
        </is>
      </c>
      <c r="G4299" t="inlineStr">
        <is>
          <t>Réunion avec des fonctionnaires du gouvernement fédéral</t>
        </is>
      </c>
      <c r="H4299" s="1" t="n">
        <v>40820</v>
      </c>
      <c r="I4299" s="1" t="n">
        <v>40821</v>
      </c>
      <c r="J4299" t="inlineStr">
        <is>
          <t>Halifax, Nova Scotia</t>
        </is>
      </c>
      <c r="K4299" t="inlineStr">
        <is>
          <t>Halifax (Nouvelle-Écosse)</t>
        </is>
      </c>
      <c r="P4299" t="n">
        <v>0</v>
      </c>
      <c r="Q4299" t="n">
        <v>187.86</v>
      </c>
      <c r="R4299" t="n">
        <v>218.18</v>
      </c>
      <c r="S4299" t="n">
        <v>130.55</v>
      </c>
      <c r="T4299" t="n">
        <v>0</v>
      </c>
      <c r="U4299" t="n">
        <v>536.59</v>
      </c>
      <c r="X4299" t="inlineStr">
        <is>
          <t>acoa-apeca</t>
        </is>
      </c>
      <c r="Y4299" t="inlineStr">
        <is>
          <t>Atlantic Canada Opportunities Agency | Agence de promotion économique du Canada atlantique</t>
        </is>
      </c>
      <c r="Z4299" t="n">
        <v>2</v>
      </c>
      <c r="AA4299" t="n">
        <v>536.59</v>
      </c>
      <c r="AB4299">
        <f>ROUND(U4299-AA4299,2)</f>
        <v/>
      </c>
      <c r="AC4299" t="b">
        <v>0</v>
      </c>
      <c r="AD4299">
        <f>IF(U4299="","MISSING_TOTAL",IF(ABS(AB4299)&lt;=0.01,"OK","CHECK"))</f>
        <v/>
      </c>
      <c r="AE4299">
        <f>IF(U4299="","MISSING",IF(AND(AA4299&gt;0,U4299/AA4299&gt;50),"POSSIBLE_SCALE_ERROR","OK"))</f>
        <v/>
      </c>
    </row>
    <row r="4300">
      <c r="A4300" t="inlineStr">
        <is>
          <t>T-2012-Q3-00049</t>
        </is>
      </c>
      <c r="B4300" t="inlineStr">
        <is>
          <t>SLE</t>
        </is>
      </c>
      <c r="C4300" t="inlineStr">
        <is>
          <t>Acting Senior Vice-President</t>
        </is>
      </c>
      <c r="D4300" t="inlineStr">
        <is>
          <t>Vice-président principal par intérim</t>
        </is>
      </c>
      <c r="E4300" t="inlineStr">
        <is>
          <t>David Slade</t>
        </is>
      </c>
      <c r="F4300" t="inlineStr">
        <is>
          <t>Meeting with Government of Canada and private sector officials</t>
        </is>
      </c>
      <c r="G4300" t="inlineStr">
        <is>
          <t>Réunion avec des représentants du gouvernement fédéral et du secteur privé</t>
        </is>
      </c>
      <c r="H4300" s="1" t="n">
        <v>40840</v>
      </c>
      <c r="I4300" s="1" t="n">
        <v>40842</v>
      </c>
      <c r="J4300" t="inlineStr">
        <is>
          <t>Rothesay, New Brunswick</t>
        </is>
      </c>
      <c r="K4300" t="inlineStr">
        <is>
          <t>Rothesay (Nouveau-Brunswick)</t>
        </is>
      </c>
      <c r="P4300" t="n">
        <v>0</v>
      </c>
      <c r="Q4300" t="n">
        <v>209.13</v>
      </c>
      <c r="R4300" t="n">
        <v>223.74</v>
      </c>
      <c r="S4300" t="n">
        <v>192.4</v>
      </c>
      <c r="T4300" t="n">
        <v>0</v>
      </c>
      <c r="U4300" t="n">
        <v>625.27</v>
      </c>
      <c r="X4300" t="inlineStr">
        <is>
          <t>acoa-apeca</t>
        </is>
      </c>
      <c r="Y4300" t="inlineStr">
        <is>
          <t>Atlantic Canada Opportunities Agency | Agence de promotion économique du Canada atlantique</t>
        </is>
      </c>
      <c r="Z4300" t="n">
        <v>3</v>
      </c>
      <c r="AA4300" t="n">
        <v>625.27</v>
      </c>
      <c r="AB4300">
        <f>ROUND(U4300-AA4300,2)</f>
        <v/>
      </c>
      <c r="AC4300" t="b">
        <v>0</v>
      </c>
      <c r="AD4300">
        <f>IF(U4300="","MISSING_TOTAL",IF(ABS(AB4300)&lt;=0.01,"OK","CHECK"))</f>
        <v/>
      </c>
      <c r="AE4300">
        <f>IF(U4300="","MISSING",IF(AND(AA4300&gt;0,U4300/AA4300&gt;50),"POSSIBLE_SCALE_ERROR","OK"))</f>
        <v/>
      </c>
    </row>
    <row r="4301">
      <c r="A4301" t="inlineStr">
        <is>
          <t>T-2012-Q3-00087</t>
        </is>
      </c>
      <c r="B4301" t="inlineStr">
        <is>
          <t>SLE</t>
        </is>
      </c>
      <c r="C4301" t="inlineStr">
        <is>
          <t>Acting Senior Vice-President</t>
        </is>
      </c>
      <c r="D4301" t="inlineStr">
        <is>
          <t>Vice-président principal par intérim</t>
        </is>
      </c>
      <c r="E4301" t="inlineStr">
        <is>
          <t>David Slade</t>
        </is>
      </c>
      <c r="F4301" t="inlineStr">
        <is>
          <t>Meetings with Private Sector and Government of Canada officials</t>
        </is>
      </c>
      <c r="G4301" t="inlineStr">
        <is>
          <t>Réunions avec des représentants du secteur privé et des fonctionnaires du gouvernement du Canada</t>
        </is>
      </c>
      <c r="H4301" s="1" t="n">
        <v>40877</v>
      </c>
      <c r="I4301" s="1" t="n">
        <v>40879</v>
      </c>
      <c r="J4301" t="inlineStr">
        <is>
          <t>Fredericton, New Brunswick</t>
        </is>
      </c>
      <c r="K4301" t="inlineStr">
        <is>
          <t>Fredericton (Nouveau-Brunswick)</t>
        </is>
      </c>
      <c r="P4301" t="n">
        <v>0</v>
      </c>
      <c r="Q4301" t="n">
        <v>199.47</v>
      </c>
      <c r="R4301" t="n">
        <v>325.44</v>
      </c>
      <c r="S4301" t="n">
        <v>137.5</v>
      </c>
      <c r="T4301" t="n">
        <v>0</v>
      </c>
      <c r="U4301" t="n">
        <v>662.41</v>
      </c>
      <c r="X4301" t="inlineStr">
        <is>
          <t>acoa-apeca</t>
        </is>
      </c>
      <c r="Y4301" t="inlineStr">
        <is>
          <t>Atlantic Canada Opportunities Agency | Agence de promotion économique du Canada atlantique</t>
        </is>
      </c>
      <c r="Z4301" t="n">
        <v>3</v>
      </c>
      <c r="AA4301" t="n">
        <v>662.41</v>
      </c>
      <c r="AB4301">
        <f>ROUND(U4301-AA4301,2)</f>
        <v/>
      </c>
      <c r="AC4301" t="b">
        <v>0</v>
      </c>
      <c r="AD4301">
        <f>IF(U4301="","MISSING_TOTAL",IF(ABS(AB4301)&lt;=0.01,"OK","CHECK"))</f>
        <v/>
      </c>
      <c r="AE4301">
        <f>IF(U4301="","MISSING",IF(AND(AA4301&gt;0,U4301/AA4301&gt;50),"POSSIBLE_SCALE_ERROR","OK"))</f>
        <v/>
      </c>
    </row>
    <row r="4302">
      <c r="A4302" t="inlineStr">
        <is>
          <t>T-2012-Q4-00020</t>
        </is>
      </c>
      <c r="B4302" t="inlineStr">
        <is>
          <t>SLE</t>
        </is>
      </c>
      <c r="C4302" t="inlineStr">
        <is>
          <t>Acting Senior Vice-President</t>
        </is>
      </c>
      <c r="D4302" t="inlineStr">
        <is>
          <t>Vice-président principal par intérim</t>
        </is>
      </c>
      <c r="E4302" t="inlineStr">
        <is>
          <t>David Slade</t>
        </is>
      </c>
      <c r="F4302" t="inlineStr">
        <is>
          <t>Meetings with Government of Canada officials</t>
        </is>
      </c>
      <c r="G4302" t="inlineStr">
        <is>
          <t>Réunions avec des fonctionnaires du gouvernement du Canada</t>
        </is>
      </c>
      <c r="H4302" s="1" t="n">
        <v>40918</v>
      </c>
      <c r="I4302" s="1" t="n">
        <v>40921</v>
      </c>
      <c r="J4302" t="inlineStr">
        <is>
          <t>Ottawa, Ontario</t>
        </is>
      </c>
      <c r="K4302" t="inlineStr">
        <is>
          <t>Otawa (Ontario)</t>
        </is>
      </c>
      <c r="P4302" t="n">
        <v>604.75</v>
      </c>
      <c r="Q4302" t="n">
        <v>120.37</v>
      </c>
      <c r="R4302" t="n">
        <v>522.0599999999999</v>
      </c>
      <c r="S4302" t="n">
        <v>279.95</v>
      </c>
      <c r="T4302" t="n">
        <v>0</v>
      </c>
      <c r="U4302" t="n">
        <v>1527.13</v>
      </c>
      <c r="X4302" t="inlineStr">
        <is>
          <t>acoa-apeca</t>
        </is>
      </c>
      <c r="Y4302" t="inlineStr">
        <is>
          <t>Atlantic Canada Opportunities Agency | Agence de promotion économique du Canada atlantique</t>
        </is>
      </c>
      <c r="Z4302" t="n">
        <v>4</v>
      </c>
      <c r="AA4302" t="n">
        <v>1527.12999999999</v>
      </c>
      <c r="AB4302">
        <f>ROUND(U4302-AA4302,2)</f>
        <v/>
      </c>
      <c r="AC4302" t="b">
        <v>0</v>
      </c>
      <c r="AD4302">
        <f>IF(U4302="","MISSING_TOTAL",IF(ABS(AB4302)&lt;=0.01,"OK","CHECK"))</f>
        <v/>
      </c>
      <c r="AE4302">
        <f>IF(U4302="","MISSING",IF(AND(AA4302&gt;0,U4302/AA4302&gt;50),"POSSIBLE_SCALE_ERROR","OK"))</f>
        <v/>
      </c>
    </row>
    <row r="4303">
      <c r="A4303" t="inlineStr">
        <is>
          <t>T-2012-Q4-00028</t>
        </is>
      </c>
      <c r="B4303" t="inlineStr">
        <is>
          <t>SLE</t>
        </is>
      </c>
      <c r="C4303" t="inlineStr">
        <is>
          <t>Acting Senior Vice-President</t>
        </is>
      </c>
      <c r="D4303" t="inlineStr">
        <is>
          <t>Vice-président principal par intérim</t>
        </is>
      </c>
      <c r="E4303" t="inlineStr">
        <is>
          <t>David Slade</t>
        </is>
      </c>
      <c r="F4303" t="inlineStr">
        <is>
          <t>Meeting with Government of Canada officials</t>
        </is>
      </c>
      <c r="G4303" t="inlineStr">
        <is>
          <t>Réunion avec des fonctionnaires du gouvernement du Canada</t>
        </is>
      </c>
      <c r="H4303" s="1" t="n">
        <v>40924</v>
      </c>
      <c r="I4303" s="1" t="n">
        <v>40926</v>
      </c>
      <c r="J4303" t="inlineStr">
        <is>
          <t>Ottawa, Ontario</t>
        </is>
      </c>
      <c r="K4303" t="inlineStr">
        <is>
          <t>Ottawa (Ontario)</t>
        </is>
      </c>
      <c r="P4303" t="n">
        <v>704.15</v>
      </c>
      <c r="Q4303" t="n">
        <v>58.37</v>
      </c>
      <c r="R4303" t="n">
        <v>359.34</v>
      </c>
      <c r="S4303" t="n">
        <v>177.8</v>
      </c>
      <c r="T4303" t="n">
        <v>0</v>
      </c>
      <c r="U4303" t="n">
        <v>1299.66</v>
      </c>
      <c r="X4303" t="inlineStr">
        <is>
          <t>acoa-apeca</t>
        </is>
      </c>
      <c r="Y4303" t="inlineStr">
        <is>
          <t>Atlantic Canada Opportunities Agency | Agence de promotion économique du Canada atlantique</t>
        </is>
      </c>
      <c r="Z4303" t="n">
        <v>3</v>
      </c>
      <c r="AA4303" t="n">
        <v>1299.65999999999</v>
      </c>
      <c r="AB4303">
        <f>ROUND(U4303-AA4303,2)</f>
        <v/>
      </c>
      <c r="AC4303" t="b">
        <v>0</v>
      </c>
      <c r="AD4303">
        <f>IF(U4303="","MISSING_TOTAL",IF(ABS(AB4303)&lt;=0.01,"OK","CHECK"))</f>
        <v/>
      </c>
      <c r="AE4303">
        <f>IF(U4303="","MISSING",IF(AND(AA4303&gt;0,U4303/AA4303&gt;50),"POSSIBLE_SCALE_ERROR","OK"))</f>
        <v/>
      </c>
    </row>
    <row r="4304">
      <c r="A4304" t="inlineStr">
        <is>
          <t>T-2012-Q4-00061</t>
        </is>
      </c>
      <c r="B4304" t="inlineStr">
        <is>
          <t>SLE</t>
        </is>
      </c>
      <c r="C4304" t="inlineStr">
        <is>
          <t>Acting Senior Vice-President</t>
        </is>
      </c>
      <c r="D4304" t="inlineStr">
        <is>
          <t>Vice-président principal par intérim</t>
        </is>
      </c>
      <c r="E4304" t="inlineStr">
        <is>
          <t>David Slade</t>
        </is>
      </c>
      <c r="F4304" t="inlineStr">
        <is>
          <t>Meetings with Government of Canada and provincial officials</t>
        </is>
      </c>
      <c r="G4304" t="inlineStr">
        <is>
          <t>Réunions avec des fonctionnaires fédéraux et provinciaux</t>
        </is>
      </c>
      <c r="H4304" s="1" t="n">
        <v>40948</v>
      </c>
      <c r="I4304" s="1" t="n">
        <v>40949</v>
      </c>
      <c r="J4304" t="inlineStr">
        <is>
          <t>Halifax, Nova Scotia</t>
        </is>
      </c>
      <c r="K4304" t="inlineStr">
        <is>
          <t>Halifax (Nouvelle-Écosse)</t>
        </is>
      </c>
      <c r="P4304" t="n">
        <v>0</v>
      </c>
      <c r="Q4304" t="n">
        <v>221.7</v>
      </c>
      <c r="R4304" t="n">
        <v>139.59</v>
      </c>
      <c r="S4304" t="n">
        <v>159.75</v>
      </c>
      <c r="T4304" t="n">
        <v>0</v>
      </c>
      <c r="U4304" t="n">
        <v>521.04</v>
      </c>
      <c r="X4304" t="inlineStr">
        <is>
          <t>acoa-apeca</t>
        </is>
      </c>
      <c r="Y4304" t="inlineStr">
        <is>
          <t>Atlantic Canada Opportunities Agency | Agence de promotion économique du Canada atlantique</t>
        </is>
      </c>
      <c r="Z4304" t="n">
        <v>2</v>
      </c>
      <c r="AA4304" t="n">
        <v>521.04</v>
      </c>
      <c r="AB4304">
        <f>ROUND(U4304-AA4304,2)</f>
        <v/>
      </c>
      <c r="AC4304" t="b">
        <v>0</v>
      </c>
      <c r="AD4304">
        <f>IF(U4304="","MISSING_TOTAL",IF(ABS(AB4304)&lt;=0.01,"OK","CHECK"))</f>
        <v/>
      </c>
      <c r="AE4304">
        <f>IF(U4304="","MISSING",IF(AND(AA4304&gt;0,U4304/AA4304&gt;50),"POSSIBLE_SCALE_ERROR","OK"))</f>
        <v/>
      </c>
    </row>
    <row r="4305">
      <c r="A4305" t="inlineStr">
        <is>
          <t>T-2013-Q1-00006</t>
        </is>
      </c>
      <c r="B4305" t="inlineStr">
        <is>
          <t>SLE</t>
        </is>
      </c>
      <c r="C4305" t="inlineStr">
        <is>
          <t>Acting Senior Vice-President</t>
        </is>
      </c>
      <c r="D4305" t="inlineStr">
        <is>
          <t>Vice-président principal par intérim</t>
        </is>
      </c>
      <c r="E4305" t="inlineStr">
        <is>
          <t>David Slade</t>
        </is>
      </c>
      <c r="F4305" t="inlineStr">
        <is>
          <t>Meeting with Government of Canada officials</t>
        </is>
      </c>
      <c r="G4305" t="inlineStr">
        <is>
          <t>Réunion avec des fonctionnaires du gouvernement du Canada</t>
        </is>
      </c>
      <c r="H4305" s="1" t="n">
        <v>40974</v>
      </c>
      <c r="I4305" s="1" t="n">
        <v>40976</v>
      </c>
      <c r="J4305" t="inlineStr">
        <is>
          <t>Ottawa, Ontario</t>
        </is>
      </c>
      <c r="K4305" t="inlineStr">
        <is>
          <t>Ottawa (Ontario)</t>
        </is>
      </c>
      <c r="P4305" t="n">
        <v>784.37</v>
      </c>
      <c r="Q4305" t="n">
        <v>48.37</v>
      </c>
      <c r="R4305" t="n">
        <v>354.82</v>
      </c>
      <c r="S4305" t="n">
        <v>232.7</v>
      </c>
      <c r="T4305" t="n">
        <v>0</v>
      </c>
      <c r="U4305" t="n">
        <v>1420.26</v>
      </c>
      <c r="X4305" t="inlineStr">
        <is>
          <t>acoa-apeca</t>
        </is>
      </c>
      <c r="Y4305" t="inlineStr">
        <is>
          <t>Atlantic Canada Opportunities Agency | Agence de promotion économique du Canada atlantique</t>
        </is>
      </c>
      <c r="Z4305" t="n">
        <v>3</v>
      </c>
      <c r="AA4305" t="n">
        <v>1420.26</v>
      </c>
      <c r="AB4305">
        <f>ROUND(U4305-AA4305,2)</f>
        <v/>
      </c>
      <c r="AC4305" t="b">
        <v>0</v>
      </c>
      <c r="AD4305">
        <f>IF(U4305="","MISSING_TOTAL",IF(ABS(AB4305)&lt;=0.01,"OK","CHECK"))</f>
        <v/>
      </c>
      <c r="AE4305">
        <f>IF(U4305="","MISSING",IF(AND(AA4305&gt;0,U4305/AA4305&gt;50),"POSSIBLE_SCALE_ERROR","OK"))</f>
        <v/>
      </c>
    </row>
    <row r="4306">
      <c r="A4306" t="inlineStr">
        <is>
          <t>T-2013-Q1-00027</t>
        </is>
      </c>
      <c r="B4306" t="inlineStr">
        <is>
          <t>SLE</t>
        </is>
      </c>
      <c r="C4306" t="inlineStr">
        <is>
          <t>Acting Senior Vice-President</t>
        </is>
      </c>
      <c r="D4306" t="inlineStr">
        <is>
          <t>Vice-président principal par intérim</t>
        </is>
      </c>
      <c r="E4306" t="inlineStr">
        <is>
          <t>David Slade</t>
        </is>
      </c>
      <c r="F4306" t="inlineStr">
        <is>
          <t>Meeting with Government of Canada officials</t>
        </is>
      </c>
      <c r="G4306" t="inlineStr">
        <is>
          <t>Réunion avec des fonctionnaires du gouvernement du Canada</t>
        </is>
      </c>
      <c r="H4306" s="1" t="n">
        <v>40989</v>
      </c>
      <c r="I4306" s="1" t="n">
        <v>40993</v>
      </c>
      <c r="J4306" t="inlineStr">
        <is>
          <t>St. John's, Newfoundland and Labrador</t>
        </is>
      </c>
      <c r="K4306" t="inlineStr">
        <is>
          <t>St. John's (Terre-Neuve-et-Labrador)</t>
        </is>
      </c>
      <c r="P4306" t="n">
        <v>668.1</v>
      </c>
      <c r="Q4306" t="n">
        <v>251.67</v>
      </c>
      <c r="R4306" t="n">
        <v>294.64</v>
      </c>
      <c r="S4306" t="n">
        <v>232.7</v>
      </c>
      <c r="T4306" t="n">
        <v>0</v>
      </c>
      <c r="U4306" t="n">
        <v>1447.11</v>
      </c>
      <c r="X4306" t="inlineStr">
        <is>
          <t>acoa-apeca</t>
        </is>
      </c>
      <c r="Y4306" t="inlineStr">
        <is>
          <t>Atlantic Canada Opportunities Agency | Agence de promotion économique du Canada atlantique</t>
        </is>
      </c>
      <c r="Z4306" t="n">
        <v>5</v>
      </c>
      <c r="AA4306" t="n">
        <v>1447.11</v>
      </c>
      <c r="AB4306">
        <f>ROUND(U4306-AA4306,2)</f>
        <v/>
      </c>
      <c r="AC4306" t="b">
        <v>0</v>
      </c>
      <c r="AD4306">
        <f>IF(U4306="","MISSING_TOTAL",IF(ABS(AB4306)&lt;=0.01,"OK","CHECK"))</f>
        <v/>
      </c>
      <c r="AE4306">
        <f>IF(U4306="","MISSING",IF(AND(AA4306&gt;0,U4306/AA4306&gt;50),"POSSIBLE_SCALE_ERROR","OK"))</f>
        <v/>
      </c>
    </row>
    <row r="4307">
      <c r="A4307" t="inlineStr">
        <is>
          <t>T-2013-Q1-00032</t>
        </is>
      </c>
      <c r="B4307" t="inlineStr">
        <is>
          <t>SLE</t>
        </is>
      </c>
      <c r="C4307" t="inlineStr">
        <is>
          <t>Acting Senior Vice-President</t>
        </is>
      </c>
      <c r="D4307" t="inlineStr">
        <is>
          <t>Vice-président principal par intérim</t>
        </is>
      </c>
      <c r="E4307" t="inlineStr">
        <is>
          <t>David Slade</t>
        </is>
      </c>
      <c r="F4307" t="inlineStr">
        <is>
          <t>Meeting with private sector officials</t>
        </is>
      </c>
      <c r="G4307" t="inlineStr">
        <is>
          <t>Réunion avec des représentants du secteur privé</t>
        </is>
      </c>
      <c r="H4307" s="1" t="n">
        <v>40995</v>
      </c>
      <c r="I4307" s="1" t="n">
        <v>40998</v>
      </c>
      <c r="J4307" t="inlineStr">
        <is>
          <t>Ottawa, Ontario</t>
        </is>
      </c>
      <c r="K4307" t="inlineStr">
        <is>
          <t>Ottawa (Ontario)</t>
        </is>
      </c>
      <c r="P4307" t="n">
        <v>575.34</v>
      </c>
      <c r="Q4307" t="n">
        <v>91.37</v>
      </c>
      <c r="R4307" t="n">
        <v>532.23</v>
      </c>
      <c r="S4307" t="n">
        <v>265.35</v>
      </c>
      <c r="T4307" t="n">
        <v>0</v>
      </c>
      <c r="U4307" t="n">
        <v>1464.29</v>
      </c>
      <c r="X4307" t="inlineStr">
        <is>
          <t>acoa-apeca</t>
        </is>
      </c>
      <c r="Y4307" t="inlineStr">
        <is>
          <t>Atlantic Canada Opportunities Agency | Agence de promotion économique du Canada atlantique</t>
        </is>
      </c>
      <c r="Z4307" t="n">
        <v>4</v>
      </c>
      <c r="AA4307" t="n">
        <v>1464.29</v>
      </c>
      <c r="AB4307">
        <f>ROUND(U4307-AA4307,2)</f>
        <v/>
      </c>
      <c r="AC4307" t="b">
        <v>0</v>
      </c>
      <c r="AD4307">
        <f>IF(U4307="","MISSING_TOTAL",IF(ABS(AB4307)&lt;=0.01,"OK","CHECK"))</f>
        <v/>
      </c>
      <c r="AE4307">
        <f>IF(U4307="","MISSING",IF(AND(AA4307&gt;0,U4307/AA4307&gt;50),"POSSIBLE_SCALE_ERROR","OK"))</f>
        <v/>
      </c>
    </row>
    <row r="4308">
      <c r="A4308" t="inlineStr">
        <is>
          <t>T-2013-Q1-00040</t>
        </is>
      </c>
      <c r="B4308" t="inlineStr">
        <is>
          <t>SLE</t>
        </is>
      </c>
      <c r="C4308" t="inlineStr">
        <is>
          <t>Acting Senior Vice-President</t>
        </is>
      </c>
      <c r="D4308" t="inlineStr">
        <is>
          <t>Vice-président principal par intérim</t>
        </is>
      </c>
      <c r="E4308" t="inlineStr">
        <is>
          <t>David Slade</t>
        </is>
      </c>
      <c r="F4308" t="inlineStr">
        <is>
          <t>Meeting with Government of Canada officials</t>
        </is>
      </c>
      <c r="G4308" t="inlineStr">
        <is>
          <t>Réunion avec des fonctionnaires du gouvernement du Canada</t>
        </is>
      </c>
      <c r="H4308" s="1" t="n">
        <v>41008</v>
      </c>
      <c r="I4308" s="1" t="n">
        <v>41009</v>
      </c>
      <c r="J4308" t="inlineStr">
        <is>
          <t>Fredericton, New Brunswick</t>
        </is>
      </c>
      <c r="K4308" t="inlineStr">
        <is>
          <t>Fredericton (Nouveau-Brunswick)</t>
        </is>
      </c>
      <c r="P4308" t="n">
        <v>0</v>
      </c>
      <c r="Q4308" t="n">
        <v>185.24</v>
      </c>
      <c r="R4308" t="n">
        <v>123.17</v>
      </c>
      <c r="S4308" t="n">
        <v>91.05</v>
      </c>
      <c r="T4308" t="n">
        <v>0</v>
      </c>
      <c r="U4308" t="n">
        <v>399.46</v>
      </c>
      <c r="X4308" t="inlineStr">
        <is>
          <t>acoa-apeca</t>
        </is>
      </c>
      <c r="Y4308" t="inlineStr">
        <is>
          <t>Atlantic Canada Opportunities Agency | Agence de promotion économique du Canada atlantique</t>
        </is>
      </c>
      <c r="Z4308" t="n">
        <v>2</v>
      </c>
      <c r="AA4308" t="n">
        <v>399.46</v>
      </c>
      <c r="AB4308">
        <f>ROUND(U4308-AA4308,2)</f>
        <v/>
      </c>
      <c r="AC4308" t="b">
        <v>0</v>
      </c>
      <c r="AD4308">
        <f>IF(U4308="","MISSING_TOTAL",IF(ABS(AB4308)&lt;=0.01,"OK","CHECK"))</f>
        <v/>
      </c>
      <c r="AE4308">
        <f>IF(U4308="","MISSING",IF(AND(AA4308&gt;0,U4308/AA4308&gt;50),"POSSIBLE_SCALE_ERROR","OK"))</f>
        <v/>
      </c>
    </row>
    <row r="4309">
      <c r="A4309" t="inlineStr">
        <is>
          <t>T-2013-Q1-00052</t>
        </is>
      </c>
      <c r="B4309" t="inlineStr">
        <is>
          <t>SLE</t>
        </is>
      </c>
      <c r="C4309" t="inlineStr">
        <is>
          <t>Acting Senior Vice-President</t>
        </is>
      </c>
      <c r="D4309" t="inlineStr">
        <is>
          <t>Vice-président principal par intérim</t>
        </is>
      </c>
      <c r="E4309" t="inlineStr">
        <is>
          <t>David Slade</t>
        </is>
      </c>
      <c r="F4309" t="inlineStr">
        <is>
          <t>Meeting with Government of Canada officials</t>
        </is>
      </c>
      <c r="G4309" t="inlineStr">
        <is>
          <t>Réunion avec des fonctionnaires du gouvernement du Canada</t>
        </is>
      </c>
      <c r="H4309" s="1" t="n">
        <v>41022</v>
      </c>
      <c r="I4309" s="1" t="n">
        <v>41023</v>
      </c>
      <c r="J4309" t="inlineStr">
        <is>
          <t>Ottawa, Ontario</t>
        </is>
      </c>
      <c r="K4309" t="inlineStr">
        <is>
          <t>Ottawa (Ontario)</t>
        </is>
      </c>
      <c r="P4309" t="n">
        <v>989.1799999999999</v>
      </c>
      <c r="Q4309" t="n">
        <v>53.37</v>
      </c>
      <c r="R4309" t="n">
        <v>177.41</v>
      </c>
      <c r="S4309" t="n">
        <v>120.75</v>
      </c>
      <c r="T4309" t="n">
        <v>0</v>
      </c>
      <c r="U4309" t="n">
        <v>1340.71</v>
      </c>
      <c r="X4309" t="inlineStr">
        <is>
          <t>acoa-apeca</t>
        </is>
      </c>
      <c r="Y4309" t="inlineStr">
        <is>
          <t>Atlantic Canada Opportunities Agency | Agence de promotion économique du Canada atlantique</t>
        </is>
      </c>
      <c r="Z4309" t="n">
        <v>2</v>
      </c>
      <c r="AA4309" t="n">
        <v>1340.71</v>
      </c>
      <c r="AB4309">
        <f>ROUND(U4309-AA4309,2)</f>
        <v/>
      </c>
      <c r="AC4309" t="b">
        <v>0</v>
      </c>
      <c r="AD4309">
        <f>IF(U4309="","MISSING_TOTAL",IF(ABS(AB4309)&lt;=0.01,"OK","CHECK"))</f>
        <v/>
      </c>
      <c r="AE4309">
        <f>IF(U4309="","MISSING",IF(AND(AA4309&gt;0,U4309/AA4309&gt;50),"POSSIBLE_SCALE_ERROR","OK"))</f>
        <v/>
      </c>
    </row>
    <row r="4310">
      <c r="A4310" t="inlineStr">
        <is>
          <t>T-2013-Q1-00071</t>
        </is>
      </c>
      <c r="B4310" t="inlineStr">
        <is>
          <t>SLE</t>
        </is>
      </c>
      <c r="C4310" t="inlineStr">
        <is>
          <t>Acting Senior Vice-President</t>
        </is>
      </c>
      <c r="D4310" t="inlineStr">
        <is>
          <t>Vice-président principal par intérim</t>
        </is>
      </c>
      <c r="E4310" t="inlineStr">
        <is>
          <t>David Slade</t>
        </is>
      </c>
      <c r="F4310" t="inlineStr">
        <is>
          <t>Meeting with private sector officials</t>
        </is>
      </c>
      <c r="G4310" t="inlineStr">
        <is>
          <t>Réunion avec des représentants du secteur privé</t>
        </is>
      </c>
      <c r="H4310" s="1" t="n">
        <v>41040</v>
      </c>
      <c r="I4310" s="1" t="n">
        <v>41040</v>
      </c>
      <c r="J4310" t="inlineStr">
        <is>
          <t>Fredericton, New Brunswick</t>
        </is>
      </c>
      <c r="K4310" t="inlineStr">
        <is>
          <t>Fredericton (Nouveau-Brunswick)</t>
        </is>
      </c>
      <c r="P4310" t="n">
        <v>0</v>
      </c>
      <c r="Q4310" t="n">
        <v>169.29</v>
      </c>
      <c r="R4310" t="n">
        <v>0</v>
      </c>
      <c r="S4310" t="n">
        <v>14.85</v>
      </c>
      <c r="T4310" t="n">
        <v>0</v>
      </c>
      <c r="U4310" t="n">
        <v>184.14</v>
      </c>
      <c r="X4310" t="inlineStr">
        <is>
          <t>acoa-apeca</t>
        </is>
      </c>
      <c r="Y4310" t="inlineStr">
        <is>
          <t>Atlantic Canada Opportunities Agency | Agence de promotion économique du Canada atlantique</t>
        </is>
      </c>
      <c r="Z4310" t="n">
        <v>1</v>
      </c>
      <c r="AA4310" t="n">
        <v>184.14</v>
      </c>
      <c r="AB4310">
        <f>ROUND(U4310-AA4310,2)</f>
        <v/>
      </c>
      <c r="AC4310" t="b">
        <v>0</v>
      </c>
      <c r="AD4310">
        <f>IF(U4310="","MISSING_TOTAL",IF(ABS(AB4310)&lt;=0.01,"OK","CHECK"))</f>
        <v/>
      </c>
      <c r="AE4310">
        <f>IF(U4310="","MISSING",IF(AND(AA4310&gt;0,U4310/AA4310&gt;50),"POSSIBLE_SCALE_ERROR","OK"))</f>
        <v/>
      </c>
    </row>
    <row r="4311">
      <c r="A4311" t="inlineStr">
        <is>
          <t>T-2013-Q1-00078</t>
        </is>
      </c>
      <c r="B4311" t="inlineStr">
        <is>
          <t>SLE</t>
        </is>
      </c>
      <c r="C4311" t="inlineStr">
        <is>
          <t>Acting Senior Vice-President</t>
        </is>
      </c>
      <c r="D4311" t="inlineStr">
        <is>
          <t>Vice-président principal par intérim</t>
        </is>
      </c>
      <c r="E4311" t="inlineStr">
        <is>
          <t>David Slade</t>
        </is>
      </c>
      <c r="F4311" t="inlineStr">
        <is>
          <t>Meeting with Government of Canada officials</t>
        </is>
      </c>
      <c r="G4311" t="inlineStr">
        <is>
          <t>Réunion avec des fonctionnaires du gouvernement du Canada</t>
        </is>
      </c>
      <c r="H4311" s="1" t="n">
        <v>41052</v>
      </c>
      <c r="I4311" s="1" t="n">
        <v>41053</v>
      </c>
      <c r="J4311" t="inlineStr">
        <is>
          <t>Halifax, Nova Scotia</t>
        </is>
      </c>
      <c r="K4311" t="inlineStr">
        <is>
          <t>Halifax (Nouvelle-Écosse)</t>
        </is>
      </c>
      <c r="P4311" t="n">
        <v>0</v>
      </c>
      <c r="Q4311" t="n">
        <v>168.14</v>
      </c>
      <c r="R4311" t="n">
        <v>174.78</v>
      </c>
      <c r="S4311" t="n">
        <v>91.05</v>
      </c>
      <c r="T4311" t="n">
        <v>28</v>
      </c>
      <c r="U4311" t="n">
        <v>461.97</v>
      </c>
      <c r="X4311" t="inlineStr">
        <is>
          <t>acoa-apeca</t>
        </is>
      </c>
      <c r="Y4311" t="inlineStr">
        <is>
          <t>Atlantic Canada Opportunities Agency | Agence de promotion économique du Canada atlantique</t>
        </is>
      </c>
      <c r="Z4311" t="n">
        <v>2</v>
      </c>
      <c r="AA4311" t="n">
        <v>461.969999999999</v>
      </c>
      <c r="AB4311">
        <f>ROUND(U4311-AA4311,2)</f>
        <v/>
      </c>
      <c r="AC4311" t="b">
        <v>0</v>
      </c>
      <c r="AD4311">
        <f>IF(U4311="","MISSING_TOTAL",IF(ABS(AB4311)&lt;=0.01,"OK","CHECK"))</f>
        <v/>
      </c>
      <c r="AE4311">
        <f>IF(U4311="","MISSING",IF(AND(AA4311&gt;0,U4311/AA4311&gt;50),"POSSIBLE_SCALE_ERROR","OK"))</f>
        <v/>
      </c>
    </row>
    <row r="4312">
      <c r="A4312" t="inlineStr">
        <is>
          <t>T-2013-Q2-00042</t>
        </is>
      </c>
      <c r="B4312" t="inlineStr">
        <is>
          <t>MPSES</t>
        </is>
      </c>
      <c r="C4312" t="inlineStr">
        <is>
          <t>Minister of State</t>
        </is>
      </c>
      <c r="D4312" t="inlineStr">
        <is>
          <t>Ministre d'État</t>
        </is>
      </c>
      <c r="E4312" t="inlineStr">
        <is>
          <t>Bernard Valcourt</t>
        </is>
      </c>
      <c r="F4312" t="inlineStr">
        <is>
          <t>Various meetings and speeches for the Atlantic Canada Opportunities Agency and the Department of National Defence</t>
        </is>
      </c>
      <c r="G4312" t="inlineStr">
        <is>
          <t>Réunions et allocutions diverses pour l'Agence de promotion économique du Canada atlantique et le ministère de la Défense nationale</t>
        </is>
      </c>
      <c r="H4312" s="1" t="n">
        <v>41113</v>
      </c>
      <c r="I4312" s="1" t="n">
        <v>41114</v>
      </c>
      <c r="J4312" t="inlineStr">
        <is>
          <t>Fredericton and Gagetown, New Brunswick</t>
        </is>
      </c>
      <c r="K4312" t="inlineStr">
        <is>
          <t>Fredericton et Gagetown (Nouveau-Brunswick)</t>
        </is>
      </c>
      <c r="P4312" t="n">
        <v>0</v>
      </c>
      <c r="Q4312" t="n">
        <v>270.27</v>
      </c>
      <c r="R4312" t="n">
        <v>163.85</v>
      </c>
      <c r="S4312" t="n">
        <v>120.75</v>
      </c>
      <c r="T4312" t="n">
        <v>0</v>
      </c>
      <c r="U4312" t="n">
        <v>554.87</v>
      </c>
      <c r="X4312" t="inlineStr">
        <is>
          <t>acoa-apeca</t>
        </is>
      </c>
      <c r="Y4312" t="inlineStr">
        <is>
          <t>Atlantic Canada Opportunities Agency | Agence de promotion économique du Canada atlantique</t>
        </is>
      </c>
      <c r="Z4312" t="n">
        <v>2</v>
      </c>
      <c r="AA4312" t="n">
        <v>554.87</v>
      </c>
      <c r="AB4312">
        <f>ROUND(U4312-AA4312,2)</f>
        <v/>
      </c>
      <c r="AC4312" t="b">
        <v>0</v>
      </c>
      <c r="AD4312">
        <f>IF(U4312="","MISSING_TOTAL",IF(ABS(AB4312)&lt;=0.01,"OK","CHECK"))</f>
        <v/>
      </c>
      <c r="AE4312">
        <f>IF(U4312="","MISSING",IF(AND(AA4312&gt;0,U4312/AA4312&gt;50),"POSSIBLE_SCALE_ERROR","OK"))</f>
        <v/>
      </c>
    </row>
    <row r="4313">
      <c r="A4313" t="inlineStr">
        <is>
          <t>T-2013-Q2-00054</t>
        </is>
      </c>
      <c r="B4313" t="inlineStr">
        <is>
          <t>MPSES</t>
        </is>
      </c>
      <c r="C4313" t="inlineStr">
        <is>
          <t>Honourable Senator</t>
        </is>
      </c>
      <c r="D4313" t="inlineStr">
        <is>
          <t>Honorable sénateur</t>
        </is>
      </c>
      <c r="E4313" t="inlineStr">
        <is>
          <t>Michael L. MacDonald</t>
        </is>
      </c>
      <c r="F4313" t="inlineStr">
        <is>
          <t>Travel on behalf of Minister of State for Atlantic Canada Opportunities Agency announcement</t>
        </is>
      </c>
      <c r="G4313" t="inlineStr">
        <is>
          <t>Voyage au nom du ministre d'État pour une annonce de l'Agence de promotion économique du Canada atlantique</t>
        </is>
      </c>
      <c r="H4313" s="1" t="n">
        <v>41138</v>
      </c>
      <c r="I4313" s="1" t="n">
        <v>41140</v>
      </c>
      <c r="J4313" t="inlineStr">
        <is>
          <t>Cape Breton, Nova Scotia</t>
        </is>
      </c>
      <c r="K4313" t="inlineStr">
        <is>
          <t>Cap-Breton (Nouvelle-Écosse)</t>
        </is>
      </c>
      <c r="P4313" t="n">
        <v>0</v>
      </c>
      <c r="Q4313" t="n">
        <v>366.63</v>
      </c>
      <c r="R4313" t="n">
        <v>100</v>
      </c>
      <c r="S4313" t="n">
        <v>179.65</v>
      </c>
      <c r="T4313" t="n">
        <v>0</v>
      </c>
      <c r="U4313" t="n">
        <v>646.28</v>
      </c>
      <c r="X4313" t="inlineStr">
        <is>
          <t>acoa-apeca</t>
        </is>
      </c>
      <c r="Y4313" t="inlineStr">
        <is>
          <t>Atlantic Canada Opportunities Agency | Agence de promotion économique du Canada atlantique</t>
        </is>
      </c>
      <c r="Z4313" t="n">
        <v>3</v>
      </c>
      <c r="AA4313" t="n">
        <v>646.28</v>
      </c>
      <c r="AB4313">
        <f>ROUND(U4313-AA4313,2)</f>
        <v/>
      </c>
      <c r="AC4313" t="b">
        <v>0</v>
      </c>
      <c r="AD4313">
        <f>IF(U4313="","MISSING_TOTAL",IF(ABS(AB4313)&lt;=0.01,"OK","CHECK"))</f>
        <v/>
      </c>
      <c r="AE4313">
        <f>IF(U4313="","MISSING",IF(AND(AA4313&gt;0,U4313/AA4313&gt;50),"POSSIBLE_SCALE_ERROR","OK"))</f>
        <v/>
      </c>
    </row>
    <row r="4314">
      <c r="A4314" t="inlineStr">
        <is>
          <t>T-2013-Q3-00059</t>
        </is>
      </c>
      <c r="B4314" t="inlineStr">
        <is>
          <t>MPSES</t>
        </is>
      </c>
      <c r="C4314" t="inlineStr">
        <is>
          <t>Executive Assistant and Press Secretary</t>
        </is>
      </c>
      <c r="D4314" t="inlineStr">
        <is>
          <t>Adjointe exécutive et attaché de presse</t>
        </is>
      </c>
      <c r="E4314" t="inlineStr">
        <is>
          <t>Andrea Richer</t>
        </is>
      </c>
      <c r="F4314" t="inlineStr">
        <is>
          <t>Travel to accompany Minister to various Atlantic Canada Opportunities Agency and Department of National Defense meetings</t>
        </is>
      </c>
      <c r="G4314" t="inlineStr">
        <is>
          <t>Voyage pour accompagner le ministre à diverses réunions de l'Agence de promotion économique du Canada atlantique et du ministère de la Défense nationale</t>
        </is>
      </c>
      <c r="H4314" s="1" t="n">
        <v>41204</v>
      </c>
      <c r="I4314" s="1" t="n">
        <v>41205</v>
      </c>
      <c r="J4314" t="inlineStr">
        <is>
          <t>Halifax, Nova Scotia</t>
        </is>
      </c>
      <c r="K4314" t="inlineStr">
        <is>
          <t>Halifax (Nouvelle-Écosse)</t>
        </is>
      </c>
      <c r="P4314" t="n">
        <v>766.72</v>
      </c>
      <c r="Q4314" t="n">
        <v>65.5</v>
      </c>
      <c r="R4314" t="n">
        <v>166.57</v>
      </c>
      <c r="S4314" t="n">
        <v>106.4</v>
      </c>
      <c r="T4314" t="n">
        <v>0</v>
      </c>
      <c r="U4314" t="n">
        <v>1105.19</v>
      </c>
      <c r="X4314" t="inlineStr">
        <is>
          <t>acoa-apeca</t>
        </is>
      </c>
      <c r="Y4314" t="inlineStr">
        <is>
          <t>Atlantic Canada Opportunities Agency | Agence de promotion économique du Canada atlantique</t>
        </is>
      </c>
      <c r="Z4314" t="n">
        <v>2</v>
      </c>
      <c r="AA4314" t="n">
        <v>1105.19</v>
      </c>
      <c r="AB4314">
        <f>ROUND(U4314-AA4314,2)</f>
        <v/>
      </c>
      <c r="AC4314" t="b">
        <v>0</v>
      </c>
      <c r="AD4314">
        <f>IF(U4314="","MISSING_TOTAL",IF(ABS(AB4314)&lt;=0.01,"OK","CHECK"))</f>
        <v/>
      </c>
      <c r="AE4314">
        <f>IF(U4314="","MISSING",IF(AND(AA4314&gt;0,U4314/AA4314&gt;50),"POSSIBLE_SCALE_ERROR","OK"))</f>
        <v/>
      </c>
    </row>
    <row r="4315">
      <c r="A4315" t="inlineStr">
        <is>
          <t>T-2013-Q3-00064</t>
        </is>
      </c>
      <c r="B4315" t="inlineStr">
        <is>
          <t>SLE</t>
        </is>
      </c>
      <c r="C4315" t="inlineStr">
        <is>
          <t>Vice-President, New Brunswick</t>
        </is>
      </c>
      <c r="D4315" t="inlineStr">
        <is>
          <t>Vice-présidente, Nouveau-Brunswick</t>
        </is>
      </c>
      <c r="E4315" t="inlineStr">
        <is>
          <t>Janet Gagnon</t>
        </is>
      </c>
      <c r="F4315" t="inlineStr">
        <is>
          <t>Pan-Canadian Forum for economic development in Francophone Canada</t>
        </is>
      </c>
      <c r="G4315" t="inlineStr">
        <is>
          <t>Forum pancanadien sur le développement économique en francophonie canadienne</t>
        </is>
      </c>
      <c r="H4315" s="1" t="n">
        <v>41212</v>
      </c>
      <c r="I4315" s="1" t="n">
        <v>41214</v>
      </c>
      <c r="J4315" t="inlineStr">
        <is>
          <t>Ottawa, Ontario</t>
        </is>
      </c>
      <c r="K4315" t="inlineStr">
        <is>
          <t>Ottawa (Ontario)</t>
        </is>
      </c>
      <c r="P4315" t="n">
        <v>676.36</v>
      </c>
      <c r="Q4315" t="n">
        <v>121.78</v>
      </c>
      <c r="R4315" t="n">
        <v>354.82</v>
      </c>
      <c r="S4315" t="n">
        <v>236.8</v>
      </c>
      <c r="T4315" t="n">
        <v>30</v>
      </c>
      <c r="U4315" t="n">
        <v>1419.76</v>
      </c>
      <c r="X4315" t="inlineStr">
        <is>
          <t>acoa-apeca</t>
        </is>
      </c>
      <c r="Y4315" t="inlineStr">
        <is>
          <t>Atlantic Canada Opportunities Agency | Agence de promotion économique du Canada atlantique</t>
        </is>
      </c>
      <c r="Z4315" t="n">
        <v>3</v>
      </c>
      <c r="AA4315" t="n">
        <v>1419.76</v>
      </c>
      <c r="AB4315">
        <f>ROUND(U4315-AA4315,2)</f>
        <v/>
      </c>
      <c r="AC4315" t="b">
        <v>0</v>
      </c>
      <c r="AD4315">
        <f>IF(U4315="","MISSING_TOTAL",IF(ABS(AB4315)&lt;=0.01,"OK","CHECK"))</f>
        <v/>
      </c>
      <c r="AE4315">
        <f>IF(U4315="","MISSING",IF(AND(AA4315&gt;0,U4315/AA4315&gt;50),"POSSIBLE_SCALE_ERROR","OK"))</f>
        <v/>
      </c>
    </row>
    <row r="4316">
      <c r="A4316" t="inlineStr">
        <is>
          <t>T-2013-Q4-00014</t>
        </is>
      </c>
      <c r="B4316" t="inlineStr">
        <is>
          <t>SLE</t>
        </is>
      </c>
      <c r="C4316" t="inlineStr">
        <is>
          <t>Vice-President, New Brunswick</t>
        </is>
      </c>
      <c r="D4316" t="inlineStr">
        <is>
          <t>Vice-présidente, Nouveau-Brunswick</t>
        </is>
      </c>
      <c r="E4316" t="inlineStr">
        <is>
          <t>Janet Gagnon</t>
        </is>
      </c>
      <c r="F4316" t="inlineStr">
        <is>
          <t>Labour Management Consultation Committee meeting</t>
        </is>
      </c>
      <c r="G4316" t="inlineStr">
        <is>
          <t>Réunion du Comité de consultation patronale-syndicale</t>
        </is>
      </c>
      <c r="H4316" s="1" t="n">
        <v>41260</v>
      </c>
      <c r="I4316" s="1" t="n">
        <v>41260</v>
      </c>
      <c r="J4316" t="inlineStr">
        <is>
          <t>Moncton, New Brunswick</t>
        </is>
      </c>
      <c r="K4316" t="inlineStr">
        <is>
          <t>Moncton (Nouveau-Brunswick)</t>
        </is>
      </c>
      <c r="P4316" t="n">
        <v>0</v>
      </c>
      <c r="Q4316" t="n">
        <v>0</v>
      </c>
      <c r="R4316" t="n">
        <v>0</v>
      </c>
      <c r="S4316" t="n">
        <v>56.3</v>
      </c>
      <c r="T4316" t="n">
        <v>6</v>
      </c>
      <c r="U4316" t="n">
        <v>62.3</v>
      </c>
      <c r="X4316" t="inlineStr">
        <is>
          <t>acoa-apeca</t>
        </is>
      </c>
      <c r="Y4316" t="inlineStr">
        <is>
          <t>Atlantic Canada Opportunities Agency | Agence de promotion économique du Canada atlantique</t>
        </is>
      </c>
      <c r="Z4316" t="n">
        <v>1</v>
      </c>
      <c r="AA4316" t="n">
        <v>62.3</v>
      </c>
      <c r="AB4316">
        <f>ROUND(U4316-AA4316,2)</f>
        <v/>
      </c>
      <c r="AC4316" t="b">
        <v>0</v>
      </c>
      <c r="AD4316">
        <f>IF(U4316="","MISSING_TOTAL",IF(ABS(AB4316)&lt;=0.01,"OK","CHECK"))</f>
        <v/>
      </c>
      <c r="AE4316">
        <f>IF(U4316="","MISSING",IF(AND(AA4316&gt;0,U4316/AA4316&gt;50),"POSSIBLE_SCALE_ERROR","OK"))</f>
        <v/>
      </c>
    </row>
    <row r="4317">
      <c r="A4317" t="inlineStr">
        <is>
          <t>T-2013-Q4-00024</t>
        </is>
      </c>
      <c r="B4317" t="inlineStr">
        <is>
          <t>SLE</t>
        </is>
      </c>
      <c r="C4317" t="inlineStr">
        <is>
          <t>Vice-President, New Brunswick</t>
        </is>
      </c>
      <c r="D4317" t="inlineStr">
        <is>
          <t>Vice-présidente, Nouveau-Brunswick</t>
        </is>
      </c>
      <c r="E4317" t="inlineStr">
        <is>
          <t>Janet Gagnon</t>
        </is>
      </c>
      <c r="F4317" t="inlineStr">
        <is>
          <t>Atlantic Canada Opportunities Board Meeting</t>
        </is>
      </c>
      <c r="G4317" t="inlineStr">
        <is>
          <t>Réunion de Conseil de promotion économique du Canada atlantique</t>
        </is>
      </c>
      <c r="H4317" s="1" t="n">
        <v>41283</v>
      </c>
      <c r="I4317" s="1" t="n">
        <v>41284</v>
      </c>
      <c r="J4317" t="inlineStr">
        <is>
          <t>Moncton, New Brunswick</t>
        </is>
      </c>
      <c r="K4317" t="inlineStr">
        <is>
          <t>Moncton (Nouveau-Brunswick)</t>
        </is>
      </c>
      <c r="P4317" t="n">
        <v>0</v>
      </c>
      <c r="Q4317" t="n">
        <v>22</v>
      </c>
      <c r="R4317" t="n">
        <v>157.07</v>
      </c>
      <c r="S4317" t="n">
        <v>75.90000000000001</v>
      </c>
      <c r="T4317" t="n">
        <v>0</v>
      </c>
      <c r="U4317" t="n">
        <v>254.97</v>
      </c>
      <c r="X4317" t="inlineStr">
        <is>
          <t>acoa-apeca</t>
        </is>
      </c>
      <c r="Y4317" t="inlineStr">
        <is>
          <t>Atlantic Canada Opportunities Agency | Agence de promotion économique du Canada atlantique</t>
        </is>
      </c>
      <c r="Z4317" t="n">
        <v>2</v>
      </c>
      <c r="AA4317" t="n">
        <v>254.97</v>
      </c>
      <c r="AB4317">
        <f>ROUND(U4317-AA4317,2)</f>
        <v/>
      </c>
      <c r="AC4317" t="b">
        <v>0</v>
      </c>
      <c r="AD4317">
        <f>IF(U4317="","MISSING_TOTAL",IF(ABS(AB4317)&lt;=0.01,"OK","CHECK"))</f>
        <v/>
      </c>
      <c r="AE4317">
        <f>IF(U4317="","MISSING",IF(AND(AA4317&gt;0,U4317/AA4317&gt;50),"POSSIBLE_SCALE_ERROR","OK"))</f>
        <v/>
      </c>
    </row>
    <row r="4318">
      <c r="A4318" t="inlineStr">
        <is>
          <t>T-2012-Q3-00032</t>
        </is>
      </c>
      <c r="B4318" t="inlineStr">
        <is>
          <t>SLE</t>
        </is>
      </c>
      <c r="C4318" t="inlineStr">
        <is>
          <t>Senior Advisor (Energy)</t>
        </is>
      </c>
      <c r="D4318" t="inlineStr">
        <is>
          <t>Conseiller spécial (energie)</t>
        </is>
      </c>
      <c r="E4318" t="inlineStr">
        <is>
          <t>Andrew F. Noseworthy</t>
        </is>
      </c>
      <c r="F4318" t="inlineStr">
        <is>
          <t>Organisation for Economic Co-operation and Development (OECD) meeting in Ottawa; meeting with NRCan officials in Ottawa;  CORE Conference (Canadian Offshore Resources Exhibition) in Halifax; Trudeau Foundation Mentors meeting in Montreal</t>
        </is>
      </c>
      <c r="G4318" t="inlineStr">
        <is>
          <t>Réunion de l'Organisation de coopération et de développement économiques à Ottawa; réunion avec des fonctionnaires de RNCan à Ottawa; conférence de Canadian Offshore Resources Exhibition à Halifax; réunion des mentors de la Fondation Trudeau à Montréal</t>
        </is>
      </c>
      <c r="H4318" s="1" t="n">
        <v>40818</v>
      </c>
      <c r="I4318" s="1" t="n">
        <v>40823</v>
      </c>
      <c r="J4318" t="inlineStr">
        <is>
          <t>Ottawa, Ontario; Halifax, Nova Scotia; Montreal, Quebec</t>
        </is>
      </c>
      <c r="K4318" t="inlineStr">
        <is>
          <t>Ottawa (Ontario) / Halifax (Nouvelle-Écosse) / Montréal (Québec)</t>
        </is>
      </c>
      <c r="P4318" t="n">
        <v>2891.46</v>
      </c>
      <c r="Q4318" t="n">
        <v>330</v>
      </c>
      <c r="R4318" t="n">
        <v>836.08</v>
      </c>
      <c r="S4318" t="n">
        <v>340.25</v>
      </c>
      <c r="T4318" t="n">
        <v>60</v>
      </c>
      <c r="U4318" t="n">
        <v>4457.79</v>
      </c>
      <c r="X4318" t="inlineStr">
        <is>
          <t>acoa-apeca</t>
        </is>
      </c>
      <c r="Y4318" t="inlineStr">
        <is>
          <t>Atlantic Canada Opportunities Agency | Agence de promotion économique du Canada atlantique</t>
        </is>
      </c>
      <c r="Z4318" t="n">
        <v>6</v>
      </c>
      <c r="AA4318" t="n">
        <v>4457.79</v>
      </c>
      <c r="AB4318">
        <f>ROUND(U4318-AA4318,2)</f>
        <v/>
      </c>
      <c r="AC4318" t="b">
        <v>0</v>
      </c>
      <c r="AD4318">
        <f>IF(U4318="","MISSING_TOTAL",IF(ABS(AB4318)&lt;=0.01,"OK","CHECK"))</f>
        <v/>
      </c>
      <c r="AE4318">
        <f>IF(U4318="","MISSING",IF(AND(AA4318&gt;0,U4318/AA4318&gt;50),"POSSIBLE_SCALE_ERROR","OK"))</f>
        <v/>
      </c>
    </row>
    <row r="4319">
      <c r="A4319" t="inlineStr">
        <is>
          <t>T-2018-Q3-00003</t>
        </is>
      </c>
      <c r="B4319" t="inlineStr">
        <is>
          <t>SLE</t>
        </is>
      </c>
      <c r="C4319" t="inlineStr">
        <is>
          <t>Vice-President, New Brunswick</t>
        </is>
      </c>
      <c r="D4319" t="inlineStr">
        <is>
          <t>Vice-président, Nouveau-Brunswick</t>
        </is>
      </c>
      <c r="E4319" t="inlineStr">
        <is>
          <t>Kent Estabrooks</t>
        </is>
      </c>
      <c r="F4319" t="inlineStr">
        <is>
          <t>Meeting with Agency officials</t>
        </is>
      </c>
      <c r="G4319" t="inlineStr">
        <is>
          <t>Réunion avec des fonctionnaires de l'Agence</t>
        </is>
      </c>
      <c r="H4319" s="1" t="n">
        <v>42908</v>
      </c>
      <c r="I4319" s="1" t="n">
        <v>42909</v>
      </c>
      <c r="J4319" t="inlineStr">
        <is>
          <t>Moncton, New Brunswick</t>
        </is>
      </c>
      <c r="K4319" t="inlineStr">
        <is>
          <t>Moncton (Nouveau-Brunswick)</t>
        </is>
      </c>
      <c r="P4319" t="n">
        <v>0</v>
      </c>
      <c r="Q4319" t="n">
        <v>0</v>
      </c>
      <c r="R4319" t="n">
        <v>159.85</v>
      </c>
      <c r="S4319" t="n">
        <v>98.59999999999999</v>
      </c>
      <c r="T4319" t="n">
        <v>0</v>
      </c>
      <c r="U4319" t="n">
        <v>258.45</v>
      </c>
      <c r="X4319" t="inlineStr">
        <is>
          <t>acoa-apeca</t>
        </is>
      </c>
      <c r="Y4319" t="inlineStr">
        <is>
          <t>Atlantic Canada Opportunities Agency | Agence de promotion économique du Canada atlantique</t>
        </is>
      </c>
      <c r="Z4319" t="n">
        <v>2</v>
      </c>
      <c r="AA4319" t="n">
        <v>258.45</v>
      </c>
      <c r="AB4319">
        <f>ROUND(U4319-AA4319,2)</f>
        <v/>
      </c>
      <c r="AC4319" t="b">
        <v>0</v>
      </c>
      <c r="AD4319">
        <f>IF(U4319="","MISSING_TOTAL",IF(ABS(AB4319)&lt;=0.01,"OK","CHECK"))</f>
        <v/>
      </c>
      <c r="AE4319">
        <f>IF(U4319="","MISSING",IF(AND(AA4319&gt;0,U4319/AA4319&gt;50),"POSSIBLE_SCALE_ERROR","OK"))</f>
        <v/>
      </c>
    </row>
    <row r="4320">
      <c r="A4320" t="inlineStr">
        <is>
          <t>T-2018-Q3-00002</t>
        </is>
      </c>
      <c r="B4320" t="inlineStr">
        <is>
          <t>SLE</t>
        </is>
      </c>
      <c r="C4320" t="inlineStr">
        <is>
          <t>Vice-President, New Brunswick</t>
        </is>
      </c>
      <c r="D4320" t="inlineStr">
        <is>
          <t>Vice-président, Nouveau-Brunswick</t>
        </is>
      </c>
      <c r="E4320" t="inlineStr">
        <is>
          <t>Kent Estabrooks</t>
        </is>
      </c>
      <c r="F4320" t="inlineStr">
        <is>
          <t>Meetings with various Government of Canada officials</t>
        </is>
      </c>
      <c r="G4320" t="inlineStr">
        <is>
          <t>Réunions avec divers fonctionnaires fédéraux</t>
        </is>
      </c>
      <c r="H4320" s="1" t="n">
        <v>42933</v>
      </c>
      <c r="I4320" s="1" t="n">
        <v>42935</v>
      </c>
      <c r="J4320" t="inlineStr">
        <is>
          <t>Ottawa, Ontario</t>
        </is>
      </c>
      <c r="K4320" t="inlineStr">
        <is>
          <t>Ottawa (Ontario)</t>
        </is>
      </c>
      <c r="P4320" t="n">
        <v>673.9</v>
      </c>
      <c r="Q4320" t="n">
        <v>173</v>
      </c>
      <c r="R4320" t="n">
        <v>463.24</v>
      </c>
      <c r="S4320" t="n">
        <v>225.85</v>
      </c>
      <c r="T4320" t="n">
        <v>0</v>
      </c>
      <c r="U4320" t="n">
        <v>1535.99</v>
      </c>
      <c r="X4320" t="inlineStr">
        <is>
          <t>acoa-apeca</t>
        </is>
      </c>
      <c r="Y4320" t="inlineStr">
        <is>
          <t>Atlantic Canada Opportunities Agency | Agence de promotion économique du Canada atlantique</t>
        </is>
      </c>
      <c r="Z4320" t="n">
        <v>3</v>
      </c>
      <c r="AA4320" t="n">
        <v>1535.98999999999</v>
      </c>
      <c r="AB4320">
        <f>ROUND(U4320-AA4320,2)</f>
        <v/>
      </c>
      <c r="AC4320" t="b">
        <v>0</v>
      </c>
      <c r="AD4320">
        <f>IF(U4320="","MISSING_TOTAL",IF(ABS(AB4320)&lt;=0.01,"OK","CHECK"))</f>
        <v/>
      </c>
      <c r="AE4320">
        <f>IF(U4320="","MISSING",IF(AND(AA4320&gt;0,U4320/AA4320&gt;50),"POSSIBLE_SCALE_ERROR","OK"))</f>
        <v/>
      </c>
    </row>
    <row r="4321">
      <c r="A4321" t="inlineStr">
        <is>
          <t>T-2018-Q3-00001</t>
        </is>
      </c>
      <c r="B4321" t="inlineStr">
        <is>
          <t>SLE</t>
        </is>
      </c>
      <c r="C4321" t="inlineStr">
        <is>
          <t>Vice-President, New Brunswick</t>
        </is>
      </c>
      <c r="D4321" t="inlineStr">
        <is>
          <t>Vice-président, Nouveau-Brunswick</t>
        </is>
      </c>
      <c r="E4321" t="inlineStr">
        <is>
          <t>Kent Estabrooks</t>
        </is>
      </c>
      <c r="F4321" t="inlineStr">
        <is>
          <t>Meetings with Agency officials and meetings with various Government of Canada officials</t>
        </is>
      </c>
      <c r="G4321" t="inlineStr">
        <is>
          <t>Réunions avec des fonctionnaires de l'Agence et réunions avec divers fonctionnaires fédéraux</t>
        </is>
      </c>
      <c r="H4321" s="1" t="n">
        <v>42976</v>
      </c>
      <c r="I4321" s="1" t="n">
        <v>42978</v>
      </c>
      <c r="J4321" t="inlineStr">
        <is>
          <t>Ottawa, Ontario</t>
        </is>
      </c>
      <c r="K4321" t="inlineStr">
        <is>
          <t>Ottawa (Ontario)</t>
        </is>
      </c>
      <c r="P4321" t="n">
        <v>673.9</v>
      </c>
      <c r="Q4321" t="n">
        <v>130</v>
      </c>
      <c r="R4321" t="n">
        <v>407.36</v>
      </c>
      <c r="S4321" t="n">
        <v>197.95</v>
      </c>
      <c r="T4321" t="n">
        <v>0</v>
      </c>
      <c r="U4321" t="n">
        <v>1409.21</v>
      </c>
      <c r="X4321" t="inlineStr">
        <is>
          <t>acoa-apeca</t>
        </is>
      </c>
      <c r="Y4321" t="inlineStr">
        <is>
          <t>Atlantic Canada Opportunities Agency | Agence de promotion économique du Canada atlantique</t>
        </is>
      </c>
      <c r="Z4321" t="n">
        <v>3</v>
      </c>
      <c r="AA4321" t="n">
        <v>1409.21</v>
      </c>
      <c r="AB4321">
        <f>ROUND(U4321-AA4321,2)</f>
        <v/>
      </c>
      <c r="AC4321" t="b">
        <v>0</v>
      </c>
      <c r="AD4321">
        <f>IF(U4321="","MISSING_TOTAL",IF(ABS(AB4321)&lt;=0.01,"OK","CHECK"))</f>
        <v/>
      </c>
      <c r="AE4321">
        <f>IF(U4321="","MISSING",IF(AND(AA4321&gt;0,U4321/AA4321&gt;50),"POSSIBLE_SCALE_ERROR","OK"))</f>
        <v/>
      </c>
    </row>
    <row r="4322">
      <c r="A4322" t="inlineStr">
        <is>
          <t>T-2018-Q2-00056</t>
        </is>
      </c>
      <c r="B4322" t="inlineStr">
        <is>
          <t>SLE</t>
        </is>
      </c>
      <c r="C4322" t="inlineStr">
        <is>
          <t>Vice-President, New Brunswick</t>
        </is>
      </c>
      <c r="D4322" t="inlineStr">
        <is>
          <t>Vice-président, Nouveau-Brunswick</t>
        </is>
      </c>
      <c r="E4322" t="inlineStr">
        <is>
          <t>Kent Estabrooks</t>
        </is>
      </c>
      <c r="F4322" t="inlineStr">
        <is>
          <t>Meetings with Agency officials and meetings with Government of Canada officials</t>
        </is>
      </c>
      <c r="G4322" t="inlineStr">
        <is>
          <t>Réunions avec des fonctionnaires de l'Agence et réunions avec des fonctionnaires fédéraux</t>
        </is>
      </c>
      <c r="H4322" s="1" t="n">
        <v>42905</v>
      </c>
      <c r="I4322" s="1" t="n">
        <v>42906</v>
      </c>
      <c r="J4322" t="inlineStr">
        <is>
          <t>Ottawa, Ontario</t>
        </is>
      </c>
      <c r="K4322" t="inlineStr">
        <is>
          <t>Ottawa (Ontario)</t>
        </is>
      </c>
      <c r="P4322" t="n">
        <v>673.9</v>
      </c>
      <c r="Q4322" t="n">
        <v>124</v>
      </c>
      <c r="R4322" t="n">
        <v>231.62</v>
      </c>
      <c r="S4322" t="n">
        <v>162.6</v>
      </c>
      <c r="T4322" t="n">
        <v>7.99</v>
      </c>
      <c r="U4322" t="n">
        <v>1200.11</v>
      </c>
      <c r="X4322" t="inlineStr">
        <is>
          <t>acoa-apeca</t>
        </is>
      </c>
      <c r="Y4322" t="inlineStr">
        <is>
          <t>Atlantic Canada Opportunities Agency | Agence de promotion économique du Canada atlantique</t>
        </is>
      </c>
      <c r="Z4322" t="n">
        <v>2</v>
      </c>
      <c r="AA4322" t="n">
        <v>1200.11</v>
      </c>
      <c r="AB4322">
        <f>ROUND(U4322-AA4322,2)</f>
        <v/>
      </c>
      <c r="AC4322" t="b">
        <v>0</v>
      </c>
      <c r="AD4322">
        <f>IF(U4322="","MISSING_TOTAL",IF(ABS(AB4322)&lt;=0.01,"OK","CHECK"))</f>
        <v/>
      </c>
      <c r="AE4322">
        <f>IF(U4322="","MISSING",IF(AND(AA4322&gt;0,U4322/AA4322&gt;50),"POSSIBLE_SCALE_ERROR","OK"))</f>
        <v/>
      </c>
    </row>
    <row r="4323">
      <c r="A4323" t="inlineStr">
        <is>
          <t>T-2018-Q2-00051</t>
        </is>
      </c>
      <c r="B4323" t="inlineStr">
        <is>
          <t>SLE</t>
        </is>
      </c>
      <c r="C4323" t="inlineStr">
        <is>
          <t>Vice-President, Nova Scotia</t>
        </is>
      </c>
      <c r="D4323" t="inlineStr">
        <is>
          <t>Vice-président, Nouvelle-Écosse</t>
        </is>
      </c>
      <c r="E4323" t="inlineStr">
        <is>
          <t>Chuck Maillet</t>
        </is>
      </c>
      <c r="F4323" t="inlineStr">
        <is>
          <t>Various meetings with Agency officials and stakeholders</t>
        </is>
      </c>
      <c r="G4323" t="inlineStr">
        <is>
          <t>Diverses réunions avec des fonctionnaires de l'Agence et des intervenants</t>
        </is>
      </c>
      <c r="H4323" s="1" t="n">
        <v>42969</v>
      </c>
      <c r="I4323" s="1" t="n">
        <v>42972</v>
      </c>
      <c r="J4323" t="inlineStr">
        <is>
          <t>Sydney, Nova Scotia</t>
        </is>
      </c>
      <c r="K4323" t="inlineStr">
        <is>
          <t>Sydney (Nouvelle-Écosse)</t>
        </is>
      </c>
      <c r="P4323" t="n">
        <v>464.8</v>
      </c>
      <c r="Q4323" t="n">
        <v>130</v>
      </c>
      <c r="R4323" t="n">
        <v>401.16</v>
      </c>
      <c r="S4323" t="n">
        <v>233.3</v>
      </c>
      <c r="T4323" t="n">
        <v>0</v>
      </c>
      <c r="U4323" t="n">
        <v>1229.26</v>
      </c>
      <c r="X4323" t="inlineStr">
        <is>
          <t>acoa-apeca</t>
        </is>
      </c>
      <c r="Y4323" t="inlineStr">
        <is>
          <t>Atlantic Canada Opportunities Agency | Agence de promotion économique du Canada atlantique</t>
        </is>
      </c>
      <c r="Z4323" t="n">
        <v>4</v>
      </c>
      <c r="AA4323" t="n">
        <v>1229.26</v>
      </c>
      <c r="AB4323">
        <f>ROUND(U4323-AA4323,2)</f>
        <v/>
      </c>
      <c r="AC4323" t="b">
        <v>0</v>
      </c>
      <c r="AD4323">
        <f>IF(U4323="","MISSING_TOTAL",IF(ABS(AB4323)&lt;=0.01,"OK","CHECK"))</f>
        <v/>
      </c>
      <c r="AE4323">
        <f>IF(U4323="","MISSING",IF(AND(AA4323&gt;0,U4323/AA4323&gt;50),"POSSIBLE_SCALE_ERROR","OK"))</f>
        <v/>
      </c>
    </row>
    <row r="4324">
      <c r="A4324" t="inlineStr">
        <is>
          <t>T-2018-Q2-00050</t>
        </is>
      </c>
      <c r="B4324" t="inlineStr">
        <is>
          <t>SLE</t>
        </is>
      </c>
      <c r="C4324" t="inlineStr">
        <is>
          <t>Vice-President, Nova Scotia</t>
        </is>
      </c>
      <c r="D4324" t="inlineStr">
        <is>
          <t>Vice-président, Nouvelle-Écosse</t>
        </is>
      </c>
      <c r="E4324" t="inlineStr">
        <is>
          <t>Chuck Maillet</t>
        </is>
      </c>
      <c r="F4324" t="inlineStr">
        <is>
          <t>Meetings with Agency officials and stakeholders</t>
        </is>
      </c>
      <c r="G4324" t="inlineStr">
        <is>
          <t>Réunions avec des fonctionnaires de l'Agence et des intervenants</t>
        </is>
      </c>
      <c r="H4324" s="1" t="n">
        <v>42947</v>
      </c>
      <c r="I4324" s="1" t="n">
        <v>42947</v>
      </c>
      <c r="J4324" t="inlineStr">
        <is>
          <t>Antigonish, Nova Scotia</t>
        </is>
      </c>
      <c r="K4324" t="inlineStr">
        <is>
          <t>Antigonish (Nouvelle-Écosse)</t>
        </is>
      </c>
      <c r="P4324" t="n">
        <v>0</v>
      </c>
      <c r="Q4324" t="n">
        <v>0</v>
      </c>
      <c r="R4324" t="n">
        <v>0</v>
      </c>
      <c r="S4324" t="n">
        <v>18.05</v>
      </c>
      <c r="T4324" t="n">
        <v>0</v>
      </c>
      <c r="U4324" t="n">
        <v>18.05</v>
      </c>
      <c r="X4324" t="inlineStr">
        <is>
          <t>acoa-apeca</t>
        </is>
      </c>
      <c r="Y4324" t="inlineStr">
        <is>
          <t>Atlantic Canada Opportunities Agency | Agence de promotion économique du Canada atlantique</t>
        </is>
      </c>
      <c r="Z4324" t="n">
        <v>1</v>
      </c>
      <c r="AA4324" t="n">
        <v>18.05</v>
      </c>
      <c r="AB4324">
        <f>ROUND(U4324-AA4324,2)</f>
        <v/>
      </c>
      <c r="AC4324" t="b">
        <v>0</v>
      </c>
      <c r="AD4324">
        <f>IF(U4324="","MISSING_TOTAL",IF(ABS(AB4324)&lt;=0.01,"OK","CHECK"))</f>
        <v/>
      </c>
      <c r="AE4324">
        <f>IF(U4324="","MISSING",IF(AND(AA4324&gt;0,U4324/AA4324&gt;50),"POSSIBLE_SCALE_ERROR","OK"))</f>
        <v/>
      </c>
    </row>
    <row r="4325">
      <c r="A4325" t="inlineStr">
        <is>
          <t>T-2018-Q2-00049</t>
        </is>
      </c>
      <c r="B4325" t="inlineStr">
        <is>
          <t>SLE</t>
        </is>
      </c>
      <c r="C4325" t="inlineStr">
        <is>
          <t>Vice-President, Nova Scotia</t>
        </is>
      </c>
      <c r="D4325" t="inlineStr">
        <is>
          <t>Vice-président, Nouvelle-Écosse</t>
        </is>
      </c>
      <c r="E4325" t="inlineStr">
        <is>
          <t>Chuck Maillet</t>
        </is>
      </c>
      <c r="F4325" t="inlineStr">
        <is>
          <t>Meetings with Agency officials and stakeholders</t>
        </is>
      </c>
      <c r="G4325" t="inlineStr">
        <is>
          <t>Réunions avec des fonctionnaires de l'Agence et des intervenants</t>
        </is>
      </c>
      <c r="H4325" s="1" t="n">
        <v>42923</v>
      </c>
      <c r="I4325" s="1" t="n">
        <v>42923</v>
      </c>
      <c r="J4325" t="inlineStr">
        <is>
          <t>Wolfville, Nova Scotia</t>
        </is>
      </c>
      <c r="K4325" t="inlineStr">
        <is>
          <t>Wolfville (Nouvelle-Écosse)</t>
        </is>
      </c>
      <c r="P4325" t="n">
        <v>0</v>
      </c>
      <c r="Q4325" t="n">
        <v>92</v>
      </c>
      <c r="R4325" t="n">
        <v>0</v>
      </c>
      <c r="S4325" t="n">
        <v>18.05</v>
      </c>
      <c r="T4325" t="n">
        <v>0</v>
      </c>
      <c r="U4325" t="n">
        <v>110.05</v>
      </c>
      <c r="X4325" t="inlineStr">
        <is>
          <t>acoa-apeca</t>
        </is>
      </c>
      <c r="Y4325" t="inlineStr">
        <is>
          <t>Atlantic Canada Opportunities Agency | Agence de promotion économique du Canada atlantique</t>
        </is>
      </c>
      <c r="Z4325" t="n">
        <v>1</v>
      </c>
      <c r="AA4325" t="n">
        <v>110.05</v>
      </c>
      <c r="AB4325">
        <f>ROUND(U4325-AA4325,2)</f>
        <v/>
      </c>
      <c r="AC4325" t="b">
        <v>0</v>
      </c>
      <c r="AD4325">
        <f>IF(U4325="","MISSING_TOTAL",IF(ABS(AB4325)&lt;=0.01,"OK","CHECK"))</f>
        <v/>
      </c>
      <c r="AE4325">
        <f>IF(U4325="","MISSING",IF(AND(AA4325&gt;0,U4325/AA4325&gt;50),"POSSIBLE_SCALE_ERROR","OK"))</f>
        <v/>
      </c>
    </row>
    <row r="4326">
      <c r="A4326" t="inlineStr">
        <is>
          <t>T-2018-Q2-00048</t>
        </is>
      </c>
      <c r="B4326" t="inlineStr">
        <is>
          <t>SLE</t>
        </is>
      </c>
      <c r="C4326" t="inlineStr">
        <is>
          <t>Acting Vice-President, Nova-Scotia</t>
        </is>
      </c>
      <c r="D4326" t="inlineStr">
        <is>
          <t>Vice-président par intérim, Nouvelle-Écosse</t>
        </is>
      </c>
      <c r="E4326" t="inlineStr">
        <is>
          <t>Ken Martin</t>
        </is>
      </c>
      <c r="F4326" t="inlineStr">
        <is>
          <t>Various meetings with Agency officials and stakeholders</t>
        </is>
      </c>
      <c r="G4326" t="inlineStr">
        <is>
          <t>Diverses réunions avec des fonctionnaires de l'Agence et des intervenants</t>
        </is>
      </c>
      <c r="H4326" s="1" t="n">
        <v>42898</v>
      </c>
      <c r="I4326" s="1" t="n">
        <v>42899</v>
      </c>
      <c r="J4326" t="inlineStr">
        <is>
          <t>Sydney, Nova Scotia</t>
        </is>
      </c>
      <c r="K4326" t="inlineStr">
        <is>
          <t>Sydney (Nouvelle-Écosse)</t>
        </is>
      </c>
      <c r="P4326" t="n">
        <v>1121.68</v>
      </c>
      <c r="Q4326" t="n">
        <v>0</v>
      </c>
      <c r="R4326" t="n">
        <v>248.68</v>
      </c>
      <c r="S4326" t="n">
        <v>161.1</v>
      </c>
      <c r="T4326" t="n">
        <v>0</v>
      </c>
      <c r="U4326" t="n">
        <v>1531.46</v>
      </c>
      <c r="X4326" t="inlineStr">
        <is>
          <t>acoa-apeca</t>
        </is>
      </c>
      <c r="Y4326" t="inlineStr">
        <is>
          <t>Atlantic Canada Opportunities Agency | Agence de promotion économique du Canada atlantique</t>
        </is>
      </c>
      <c r="Z4326" t="n">
        <v>2</v>
      </c>
      <c r="AA4326" t="n">
        <v>1531.46</v>
      </c>
      <c r="AB4326">
        <f>ROUND(U4326-AA4326,2)</f>
        <v/>
      </c>
      <c r="AC4326" t="b">
        <v>0</v>
      </c>
      <c r="AD4326">
        <f>IF(U4326="","MISSING_TOTAL",IF(ABS(AB4326)&lt;=0.01,"OK","CHECK"))</f>
        <v/>
      </c>
      <c r="AE4326">
        <f>IF(U4326="","MISSING",IF(AND(AA4326&gt;0,U4326/AA4326&gt;50),"POSSIBLE_SCALE_ERROR","OK"))</f>
        <v/>
      </c>
    </row>
    <row r="4327">
      <c r="A4327" t="inlineStr">
        <is>
          <t>T-2018-Q2-00047</t>
        </is>
      </c>
      <c r="B4327" t="inlineStr">
        <is>
          <t>SLE</t>
        </is>
      </c>
      <c r="C4327" t="inlineStr">
        <is>
          <t>Acting Vice-President, Nova-Scotia</t>
        </is>
      </c>
      <c r="D4327" t="inlineStr">
        <is>
          <t>Vice-président par intérim, Nouvelle-Écosse</t>
        </is>
      </c>
      <c r="E4327" t="inlineStr">
        <is>
          <t>Ken Martin</t>
        </is>
      </c>
      <c r="F4327" t="inlineStr">
        <is>
          <t>Attendance at the Symposium for the Association of Professional Executives of the Public Service of Canada</t>
        </is>
      </c>
      <c r="G4327" t="inlineStr">
        <is>
          <t>Assister au Symposium de l'Association professionnelle des cadres supérieurs de la fonction publique du Canada</t>
        </is>
      </c>
      <c r="H4327" s="1" t="n">
        <v>42892</v>
      </c>
      <c r="I4327" s="1" t="n">
        <v>42894</v>
      </c>
      <c r="J4327" t="inlineStr">
        <is>
          <t>Ottawa, Ontario</t>
        </is>
      </c>
      <c r="K4327" t="inlineStr">
        <is>
          <t>Ottawa (Ontario)</t>
        </is>
      </c>
      <c r="P4327" t="n">
        <v>790.3</v>
      </c>
      <c r="Q4327" t="n">
        <v>72</v>
      </c>
      <c r="R4327" t="n">
        <v>879.92</v>
      </c>
      <c r="S4327" t="n">
        <v>356.16</v>
      </c>
      <c r="T4327" t="n">
        <v>0</v>
      </c>
      <c r="U4327" t="n">
        <v>2098.38</v>
      </c>
      <c r="X4327" t="inlineStr">
        <is>
          <t>acoa-apeca</t>
        </is>
      </c>
      <c r="Y4327" t="inlineStr">
        <is>
          <t>Atlantic Canada Opportunities Agency | Agence de promotion économique du Canada atlantique</t>
        </is>
      </c>
      <c r="Z4327" t="n">
        <v>3</v>
      </c>
      <c r="AA4327" t="n">
        <v>2098.37999999999</v>
      </c>
      <c r="AB4327">
        <f>ROUND(U4327-AA4327,2)</f>
        <v/>
      </c>
      <c r="AC4327" t="b">
        <v>0</v>
      </c>
      <c r="AD4327">
        <f>IF(U4327="","MISSING_TOTAL",IF(ABS(AB4327)&lt;=0.01,"OK","CHECK"))</f>
        <v/>
      </c>
      <c r="AE4327">
        <f>IF(U4327="","MISSING",IF(AND(AA4327&gt;0,U4327/AA4327&gt;50),"POSSIBLE_SCALE_ERROR","OK"))</f>
        <v/>
      </c>
    </row>
    <row r="4328">
      <c r="A4328" t="inlineStr">
        <is>
          <t>T-2018-Q2-00046</t>
        </is>
      </c>
      <c r="B4328" t="inlineStr">
        <is>
          <t>SLE</t>
        </is>
      </c>
      <c r="C4328" t="inlineStr">
        <is>
          <t>Vice-President, Prince Edward Island</t>
        </is>
      </c>
      <c r="D4328" t="inlineStr">
        <is>
          <t>Vice-président, Île-du-Prince-Édouard</t>
        </is>
      </c>
      <c r="E4328" t="inlineStr">
        <is>
          <t>Patrick Dorsey</t>
        </is>
      </c>
      <c r="F4328" t="inlineStr">
        <is>
          <t>Meeting with seafood industry stakeholder</t>
        </is>
      </c>
      <c r="G4328" t="inlineStr">
        <is>
          <t>Réunion avec un intervenant de l'industrie des produits de la mer</t>
        </is>
      </c>
      <c r="H4328" s="1" t="n">
        <v>42976</v>
      </c>
      <c r="I4328" s="1" t="n">
        <v>42976</v>
      </c>
      <c r="J4328" t="inlineStr">
        <is>
          <t>Cap-Pelé, New Brunswick</t>
        </is>
      </c>
      <c r="K4328" t="inlineStr">
        <is>
          <t>Cap-Pelé (Nouveau-Brunswick)</t>
        </is>
      </c>
      <c r="P4328" t="n">
        <v>0</v>
      </c>
      <c r="Q4328" t="n">
        <v>66.5</v>
      </c>
      <c r="R4328" t="n">
        <v>0</v>
      </c>
      <c r="S4328" t="n">
        <v>18.05</v>
      </c>
      <c r="T4328" t="n">
        <v>0</v>
      </c>
      <c r="U4328" t="n">
        <v>84.55</v>
      </c>
      <c r="X4328" t="inlineStr">
        <is>
          <t>acoa-apeca</t>
        </is>
      </c>
      <c r="Y4328" t="inlineStr">
        <is>
          <t>Atlantic Canada Opportunities Agency | Agence de promotion économique du Canada atlantique</t>
        </is>
      </c>
      <c r="Z4328" t="n">
        <v>1</v>
      </c>
      <c r="AA4328" t="n">
        <v>84.55</v>
      </c>
      <c r="AB4328">
        <f>ROUND(U4328-AA4328,2)</f>
        <v/>
      </c>
      <c r="AC4328" t="b">
        <v>0</v>
      </c>
      <c r="AD4328">
        <f>IF(U4328="","MISSING_TOTAL",IF(ABS(AB4328)&lt;=0.01,"OK","CHECK"))</f>
        <v/>
      </c>
      <c r="AE4328">
        <f>IF(U4328="","MISSING",IF(AND(AA4328&gt;0,U4328/AA4328&gt;50),"POSSIBLE_SCALE_ERROR","OK"))</f>
        <v/>
      </c>
    </row>
    <row r="4329">
      <c r="A4329" t="inlineStr">
        <is>
          <t>T-2018-Q2-00043</t>
        </is>
      </c>
      <c r="B4329" t="inlineStr">
        <is>
          <t>SLE</t>
        </is>
      </c>
      <c r="C4329" t="inlineStr">
        <is>
          <t>Vice-President, Policy and Programs</t>
        </is>
      </c>
      <c r="D4329" t="inlineStr">
        <is>
          <t>Vice-président, Politiques et Programmes</t>
        </is>
      </c>
      <c r="E4329" t="inlineStr">
        <is>
          <t>Daryell Nowlan</t>
        </is>
      </c>
      <c r="F4329" t="inlineStr">
        <is>
          <t>Meetings with Government of Canada officials</t>
        </is>
      </c>
      <c r="G4329" t="inlineStr">
        <is>
          <t>Réunions avec des fonctionnaires du gouvernement du Canada</t>
        </is>
      </c>
      <c r="H4329" s="1" t="n">
        <v>42977</v>
      </c>
      <c r="I4329" s="1" t="n">
        <v>42979</v>
      </c>
      <c r="J4329" t="inlineStr">
        <is>
          <t>Ottawa, Ontario</t>
        </is>
      </c>
      <c r="K4329" t="inlineStr">
        <is>
          <t>Ottawa (Ontario)</t>
        </is>
      </c>
      <c r="P4329" t="n">
        <v>692.3</v>
      </c>
      <c r="Q4329" t="n">
        <v>117</v>
      </c>
      <c r="R4329" t="n">
        <v>407.36</v>
      </c>
      <c r="S4329" t="n">
        <v>179.9</v>
      </c>
      <c r="T4329" t="n">
        <v>0</v>
      </c>
      <c r="U4329" t="n">
        <v>1396.56</v>
      </c>
      <c r="X4329" t="inlineStr">
        <is>
          <t>acoa-apeca</t>
        </is>
      </c>
      <c r="Y4329" t="inlineStr">
        <is>
          <t>Atlantic Canada Opportunities Agency | Agence de promotion économique du Canada atlantique</t>
        </is>
      </c>
      <c r="Z4329" t="n">
        <v>3</v>
      </c>
      <c r="AA4329" t="n">
        <v>1396.56</v>
      </c>
      <c r="AB4329">
        <f>ROUND(U4329-AA4329,2)</f>
        <v/>
      </c>
      <c r="AC4329" t="b">
        <v>0</v>
      </c>
      <c r="AD4329">
        <f>IF(U4329="","MISSING_TOTAL",IF(ABS(AB4329)&lt;=0.01,"OK","CHECK"))</f>
        <v/>
      </c>
      <c r="AE4329">
        <f>IF(U4329="","MISSING",IF(AND(AA4329&gt;0,U4329/AA4329&gt;50),"POSSIBLE_SCALE_ERROR","OK"))</f>
        <v/>
      </c>
    </row>
    <row r="4330">
      <c r="A4330" t="inlineStr">
        <is>
          <t>T-2018-Q2-00039</t>
        </is>
      </c>
      <c r="B4330" t="inlineStr">
        <is>
          <t>SLE</t>
        </is>
      </c>
      <c r="C4330" t="inlineStr">
        <is>
          <t>Senior Advisor (Energy)</t>
        </is>
      </c>
      <c r="D4330" t="inlineStr">
        <is>
          <t>Conseiller spécial (energie)</t>
        </is>
      </c>
      <c r="E4330" t="inlineStr">
        <is>
          <t>Andrew F. Noseworthy</t>
        </is>
      </c>
      <c r="F4330" t="inlineStr">
        <is>
          <t>Meetings with energy industry officials in Saint John, New Brunswick</t>
        </is>
      </c>
      <c r="G4330" t="inlineStr">
        <is>
          <t>Réunions avec des représentants de l'industrie de l'énergie à Saint John, au Nouveau-Brunswick</t>
        </is>
      </c>
      <c r="H4330" s="1" t="n">
        <v>42926</v>
      </c>
      <c r="I4330" s="1" t="n">
        <v>42927</v>
      </c>
      <c r="J4330" t="inlineStr">
        <is>
          <t>Saint John, New Brunswick</t>
        </is>
      </c>
      <c r="K4330" t="inlineStr">
        <is>
          <t>Saint John (Nouveau-Brunswick)</t>
        </is>
      </c>
      <c r="P4330" t="n">
        <v>810.9</v>
      </c>
      <c r="Q4330" t="n">
        <v>48.9</v>
      </c>
      <c r="R4330" t="n">
        <v>142.14</v>
      </c>
      <c r="S4330" t="n">
        <v>161.7</v>
      </c>
      <c r="T4330" t="n">
        <v>106.59</v>
      </c>
      <c r="U4330" t="n">
        <v>1270.23</v>
      </c>
      <c r="X4330" t="inlineStr">
        <is>
          <t>acoa-apeca</t>
        </is>
      </c>
      <c r="Y4330" t="inlineStr">
        <is>
          <t>Atlantic Canada Opportunities Agency | Agence de promotion économique du Canada atlantique</t>
        </is>
      </c>
      <c r="Z4330" t="n">
        <v>2</v>
      </c>
      <c r="AA4330" t="n">
        <v>1270.22999999999</v>
      </c>
      <c r="AB4330">
        <f>ROUND(U4330-AA4330,2)</f>
        <v/>
      </c>
      <c r="AC4330" t="b">
        <v>0</v>
      </c>
      <c r="AD4330">
        <f>IF(U4330="","MISSING_TOTAL",IF(ABS(AB4330)&lt;=0.01,"OK","CHECK"))</f>
        <v/>
      </c>
      <c r="AE4330">
        <f>IF(U4330="","MISSING",IF(AND(AA4330&gt;0,U4330/AA4330&gt;50),"POSSIBLE_SCALE_ERROR","OK"))</f>
        <v/>
      </c>
    </row>
    <row r="4331">
      <c r="A4331" t="inlineStr">
        <is>
          <t>T-2018-Q2-00038</t>
        </is>
      </c>
      <c r="B4331" t="inlineStr">
        <is>
          <t>SLE</t>
        </is>
      </c>
      <c r="C4331" t="inlineStr">
        <is>
          <t>Vice-President, Prince Edward Island</t>
        </is>
      </c>
      <c r="D4331" t="inlineStr">
        <is>
          <t>Vice-président, Île-du-Prince-Édouard</t>
        </is>
      </c>
      <c r="E4331" t="inlineStr">
        <is>
          <t>Patrick Dorsey</t>
        </is>
      </c>
      <c r="F4331" t="inlineStr">
        <is>
          <t>Meetings with Government of Canada officials</t>
        </is>
      </c>
      <c r="G4331" t="inlineStr">
        <is>
          <t>Réunions avec des fonctionnaires du gouvernement du Canada</t>
        </is>
      </c>
      <c r="H4331" s="1" t="n">
        <v>42955</v>
      </c>
      <c r="I4331" s="1" t="n">
        <v>42955</v>
      </c>
      <c r="J4331" t="inlineStr">
        <is>
          <t>Moncton, New Brunswick</t>
        </is>
      </c>
      <c r="K4331" t="inlineStr">
        <is>
          <t>Moncton (Nouveau-Brunswick)</t>
        </is>
      </c>
      <c r="P4331" t="n">
        <v>0</v>
      </c>
      <c r="Q4331" t="n">
        <v>224.15</v>
      </c>
      <c r="R4331" t="n">
        <v>0</v>
      </c>
      <c r="S4331" t="n">
        <v>64</v>
      </c>
      <c r="T4331" t="n">
        <v>0</v>
      </c>
      <c r="U4331" t="n">
        <v>288.15</v>
      </c>
      <c r="X4331" t="inlineStr">
        <is>
          <t>acoa-apeca</t>
        </is>
      </c>
      <c r="Y4331" t="inlineStr">
        <is>
          <t>Atlantic Canada Opportunities Agency | Agence de promotion économique du Canada atlantique</t>
        </is>
      </c>
      <c r="Z4331" t="n">
        <v>1</v>
      </c>
      <c r="AA4331" t="n">
        <v>288.15</v>
      </c>
      <c r="AB4331">
        <f>ROUND(U4331-AA4331,2)</f>
        <v/>
      </c>
      <c r="AC4331" t="b">
        <v>0</v>
      </c>
      <c r="AD4331">
        <f>IF(U4331="","MISSING_TOTAL",IF(ABS(AB4331)&lt;=0.01,"OK","CHECK"))</f>
        <v/>
      </c>
      <c r="AE4331">
        <f>IF(U4331="","MISSING",IF(AND(AA4331&gt;0,U4331/AA4331&gt;50),"POSSIBLE_SCALE_ERROR","OK"))</f>
        <v/>
      </c>
    </row>
    <row r="4332">
      <c r="A4332" t="inlineStr">
        <is>
          <t>T-2018-Q2-00037</t>
        </is>
      </c>
      <c r="B4332" t="inlineStr">
        <is>
          <t>SLE</t>
        </is>
      </c>
      <c r="C4332" t="inlineStr">
        <is>
          <t>Vice-President, Prince Edward Island</t>
        </is>
      </c>
      <c r="D4332" t="inlineStr">
        <is>
          <t>Vice-président, Île-du-Prince-Édouard</t>
        </is>
      </c>
      <c r="E4332" t="inlineStr">
        <is>
          <t>Patrick Dorsey</t>
        </is>
      </c>
      <c r="F4332" t="inlineStr">
        <is>
          <t>Various meetings with stakeholders</t>
        </is>
      </c>
      <c r="G4332" t="inlineStr">
        <is>
          <t>Diverses réunions avec des intervenants</t>
        </is>
      </c>
      <c r="H4332" s="1" t="n">
        <v>42961</v>
      </c>
      <c r="I4332" s="1" t="n">
        <v>42963</v>
      </c>
      <c r="J4332" t="inlineStr">
        <is>
          <t>Halifax, Nova Scotia</t>
        </is>
      </c>
      <c r="K4332" t="inlineStr">
        <is>
          <t>Halifax (Nouvelle-Écosse)</t>
        </is>
      </c>
      <c r="P4332" t="n">
        <v>0</v>
      </c>
      <c r="Q4332" t="n">
        <v>79.25</v>
      </c>
      <c r="R4332" t="n">
        <v>352.49</v>
      </c>
      <c r="S4332" t="n">
        <v>161.85</v>
      </c>
      <c r="T4332" t="n">
        <v>0</v>
      </c>
      <c r="U4332" t="n">
        <v>593.59</v>
      </c>
      <c r="X4332" t="inlineStr">
        <is>
          <t>acoa-apeca</t>
        </is>
      </c>
      <c r="Y4332" t="inlineStr">
        <is>
          <t>Atlantic Canada Opportunities Agency | Agence de promotion économique du Canada atlantique</t>
        </is>
      </c>
      <c r="Z4332" t="n">
        <v>3</v>
      </c>
      <c r="AA4332" t="n">
        <v>593.59</v>
      </c>
      <c r="AB4332">
        <f>ROUND(U4332-AA4332,2)</f>
        <v/>
      </c>
      <c r="AC4332" t="b">
        <v>0</v>
      </c>
      <c r="AD4332">
        <f>IF(U4332="","MISSING_TOTAL",IF(ABS(AB4332)&lt;=0.01,"OK","CHECK"))</f>
        <v/>
      </c>
      <c r="AE4332">
        <f>IF(U4332="","MISSING",IF(AND(AA4332&gt;0,U4332/AA4332&gt;50),"POSSIBLE_SCALE_ERROR","OK"))</f>
        <v/>
      </c>
    </row>
    <row r="4333">
      <c r="A4333" t="inlineStr">
        <is>
          <t>T-2018-Q2-00036</t>
        </is>
      </c>
      <c r="B4333" t="inlineStr">
        <is>
          <t>SLE</t>
        </is>
      </c>
      <c r="C4333" t="inlineStr">
        <is>
          <t>Vice-President, Prince Edward Island</t>
        </is>
      </c>
      <c r="D4333" t="inlineStr">
        <is>
          <t>Vice-président, Île-du-Prince-Édouard</t>
        </is>
      </c>
      <c r="E4333" t="inlineStr">
        <is>
          <t>Patrick Dorsey</t>
        </is>
      </c>
      <c r="F4333" t="inlineStr">
        <is>
          <t>Sea to Sky Conference</t>
        </is>
      </c>
      <c r="G4333" t="inlineStr">
        <is>
          <t>Conférence Sea to Sky</t>
        </is>
      </c>
      <c r="H4333" s="1" t="n">
        <v>42956</v>
      </c>
      <c r="I4333" s="1" t="n">
        <v>42957</v>
      </c>
      <c r="J4333" t="inlineStr">
        <is>
          <t>Brudenell, Prince Edward Island</t>
        </is>
      </c>
      <c r="K4333" t="inlineStr">
        <is>
          <t>Brudenell (Île-du-Prince-Édouard)</t>
        </is>
      </c>
      <c r="P4333" t="n">
        <v>0</v>
      </c>
      <c r="Q4333" t="n">
        <v>0</v>
      </c>
      <c r="R4333" t="n">
        <v>227.7</v>
      </c>
      <c r="S4333" t="n">
        <v>69.8</v>
      </c>
      <c r="T4333" t="n">
        <v>0</v>
      </c>
      <c r="U4333" t="n">
        <v>297.5</v>
      </c>
      <c r="X4333" t="inlineStr">
        <is>
          <t>acoa-apeca</t>
        </is>
      </c>
      <c r="Y4333" t="inlineStr">
        <is>
          <t>Atlantic Canada Opportunities Agency | Agence de promotion économique du Canada atlantique</t>
        </is>
      </c>
      <c r="Z4333" t="n">
        <v>2</v>
      </c>
      <c r="AA4333" t="n">
        <v>297.5</v>
      </c>
      <c r="AB4333">
        <f>ROUND(U4333-AA4333,2)</f>
        <v/>
      </c>
      <c r="AC4333" t="b">
        <v>0</v>
      </c>
      <c r="AD4333">
        <f>IF(U4333="","MISSING_TOTAL",IF(ABS(AB4333)&lt;=0.01,"OK","CHECK"))</f>
        <v/>
      </c>
      <c r="AE4333">
        <f>IF(U4333="","MISSING",IF(AND(AA4333&gt;0,U4333/AA4333&gt;50),"POSSIBLE_SCALE_ERROR","OK"))</f>
        <v/>
      </c>
    </row>
    <row r="4334">
      <c r="A4334" t="inlineStr">
        <is>
          <t>T-2018-Q2-00035</t>
        </is>
      </c>
      <c r="B4334" t="inlineStr">
        <is>
          <t>SLE</t>
        </is>
      </c>
      <c r="C4334" t="inlineStr">
        <is>
          <t>Vice-President, Newfoundland and Labrador</t>
        </is>
      </c>
      <c r="D4334" t="inlineStr">
        <is>
          <t>Vice-président, Terre-Neuve-et-Labrador</t>
        </is>
      </c>
      <c r="E4334" t="inlineStr">
        <is>
          <t>Ken Martin</t>
        </is>
      </c>
      <c r="F4334" t="inlineStr">
        <is>
          <t>Client site visit</t>
        </is>
      </c>
      <c r="G4334" t="inlineStr">
        <is>
          <t>Visite chez un client</t>
        </is>
      </c>
      <c r="H4334" s="1" t="n">
        <v>42968</v>
      </c>
      <c r="I4334" s="1" t="n">
        <v>42968</v>
      </c>
      <c r="J4334" t="inlineStr">
        <is>
          <t>Harbour Main, Newfoundland and Labrador</t>
        </is>
      </c>
      <c r="K4334" t="inlineStr">
        <is>
          <t>Harbour Main (Terre-Neuve-et-Labrador)</t>
        </is>
      </c>
      <c r="P4334" t="n">
        <v>0</v>
      </c>
      <c r="Q4334" t="n">
        <v>58.28</v>
      </c>
      <c r="R4334" t="n">
        <v>0</v>
      </c>
      <c r="S4334" t="n">
        <v>0</v>
      </c>
      <c r="T4334" t="n">
        <v>0</v>
      </c>
      <c r="U4334" t="n">
        <v>58.28</v>
      </c>
      <c r="X4334" t="inlineStr">
        <is>
          <t>acoa-apeca</t>
        </is>
      </c>
      <c r="Y4334" t="inlineStr">
        <is>
          <t>Atlantic Canada Opportunities Agency | Agence de promotion économique du Canada atlantique</t>
        </is>
      </c>
      <c r="Z4334" t="n">
        <v>1</v>
      </c>
      <c r="AA4334" t="n">
        <v>58.28</v>
      </c>
      <c r="AB4334">
        <f>ROUND(U4334-AA4334,2)</f>
        <v/>
      </c>
      <c r="AC4334" t="b">
        <v>0</v>
      </c>
      <c r="AD4334">
        <f>IF(U4334="","MISSING_TOTAL",IF(ABS(AB4334)&lt;=0.01,"OK","CHECK"))</f>
        <v/>
      </c>
      <c r="AE4334">
        <f>IF(U4334="","MISSING",IF(AND(AA4334&gt;0,U4334/AA4334&gt;50),"POSSIBLE_SCALE_ERROR","OK"))</f>
        <v/>
      </c>
    </row>
    <row r="4335">
      <c r="A4335" t="inlineStr">
        <is>
          <t>T-2018-Q2-00034</t>
        </is>
      </c>
      <c r="B4335" t="inlineStr">
        <is>
          <t>SLE</t>
        </is>
      </c>
      <c r="C4335" t="inlineStr">
        <is>
          <t>President</t>
        </is>
      </c>
      <c r="D4335" t="inlineStr">
        <is>
          <t>Président</t>
        </is>
      </c>
      <c r="E4335" t="inlineStr">
        <is>
          <t>Francis McGuire</t>
        </is>
      </c>
      <c r="F4335" t="inlineStr">
        <is>
          <t>For various meetings with Government officials and key stakeholders</t>
        </is>
      </c>
      <c r="G4335" t="inlineStr">
        <is>
          <t>Diverses réunions avec des fonctionnaires et des intervenants clés</t>
        </is>
      </c>
      <c r="H4335" s="1" t="n">
        <v>42942</v>
      </c>
      <c r="I4335" s="1" t="n">
        <v>42944</v>
      </c>
      <c r="J4335" t="inlineStr">
        <is>
          <t>Halifax, Nova Scotia</t>
        </is>
      </c>
      <c r="K4335" t="inlineStr">
        <is>
          <t>Halifax (Nouvelle-Écosse)</t>
        </is>
      </c>
      <c r="P4335" t="n">
        <v>0</v>
      </c>
      <c r="Q4335" t="n">
        <v>0</v>
      </c>
      <c r="R4335" t="n">
        <v>419.94</v>
      </c>
      <c r="S4335" t="n">
        <v>260.15</v>
      </c>
      <c r="T4335" t="n">
        <v>0</v>
      </c>
      <c r="U4335" t="n">
        <v>680.09</v>
      </c>
      <c r="X4335" t="inlineStr">
        <is>
          <t>acoa-apeca</t>
        </is>
      </c>
      <c r="Y4335" t="inlineStr">
        <is>
          <t>Atlantic Canada Opportunities Agency | Agence de promotion économique du Canada atlantique</t>
        </is>
      </c>
      <c r="Z4335" t="n">
        <v>3</v>
      </c>
      <c r="AA4335" t="n">
        <v>680.089999999999</v>
      </c>
      <c r="AB4335">
        <f>ROUND(U4335-AA4335,2)</f>
        <v/>
      </c>
      <c r="AC4335" t="b">
        <v>0</v>
      </c>
      <c r="AD4335">
        <f>IF(U4335="","MISSING_TOTAL",IF(ABS(AB4335)&lt;=0.01,"OK","CHECK"))</f>
        <v/>
      </c>
      <c r="AE4335">
        <f>IF(U4335="","MISSING",IF(AND(AA4335&gt;0,U4335/AA4335&gt;50),"POSSIBLE_SCALE_ERROR","OK"))</f>
        <v/>
      </c>
    </row>
    <row r="4336">
      <c r="A4336" t="inlineStr">
        <is>
          <t>T-2018-Q2-00033</t>
        </is>
      </c>
      <c r="B4336" t="inlineStr">
        <is>
          <t>SLE</t>
        </is>
      </c>
      <c r="C4336" t="inlineStr">
        <is>
          <t>President</t>
        </is>
      </c>
      <c r="D4336" t="inlineStr">
        <is>
          <t>Président</t>
        </is>
      </c>
      <c r="E4336" t="inlineStr">
        <is>
          <t>Francis McGuire</t>
        </is>
      </c>
      <c r="F4336" t="inlineStr">
        <is>
          <t>For meetings with Government officials and key stakeholders</t>
        </is>
      </c>
      <c r="G4336" t="inlineStr">
        <is>
          <t>Réunions avec des fonctionnaires et des intervenants clés</t>
        </is>
      </c>
      <c r="H4336" s="1" t="n">
        <v>42957</v>
      </c>
      <c r="I4336" s="1" t="n">
        <v>42957</v>
      </c>
      <c r="J4336" t="inlineStr">
        <is>
          <t>Oxford, Nova Scotia</t>
        </is>
      </c>
      <c r="K4336" t="inlineStr">
        <is>
          <t>Oxford (Nouvelle-Écosse)</t>
        </is>
      </c>
      <c r="P4336" t="n">
        <v>0</v>
      </c>
      <c r="Q4336" t="n">
        <v>0</v>
      </c>
      <c r="R4336" t="n">
        <v>0</v>
      </c>
      <c r="S4336" t="n">
        <v>0</v>
      </c>
      <c r="T4336" t="n">
        <v>98.98</v>
      </c>
      <c r="U4336" t="n">
        <v>98.98</v>
      </c>
      <c r="X4336" t="inlineStr">
        <is>
          <t>acoa-apeca</t>
        </is>
      </c>
      <c r="Y4336" t="inlineStr">
        <is>
          <t>Atlantic Canada Opportunities Agency | Agence de promotion économique du Canada atlantique</t>
        </is>
      </c>
      <c r="Z4336" t="n">
        <v>1</v>
      </c>
      <c r="AA4336" t="n">
        <v>98.98</v>
      </c>
      <c r="AB4336">
        <f>ROUND(U4336-AA4336,2)</f>
        <v/>
      </c>
      <c r="AC4336" t="b">
        <v>0</v>
      </c>
      <c r="AD4336">
        <f>IF(U4336="","MISSING_TOTAL",IF(ABS(AB4336)&lt;=0.01,"OK","CHECK"))</f>
        <v/>
      </c>
      <c r="AE4336">
        <f>IF(U4336="","MISSING",IF(AND(AA4336&gt;0,U4336/AA4336&gt;50),"POSSIBLE_SCALE_ERROR","OK"))</f>
        <v/>
      </c>
    </row>
    <row r="4337">
      <c r="A4337" t="inlineStr">
        <is>
          <t>T-2018-Q2-00032</t>
        </is>
      </c>
      <c r="B4337" t="inlineStr">
        <is>
          <t>SLE</t>
        </is>
      </c>
      <c r="C4337" t="inlineStr">
        <is>
          <t>President</t>
        </is>
      </c>
      <c r="D4337" t="inlineStr">
        <is>
          <t>Président</t>
        </is>
      </c>
      <c r="E4337" t="inlineStr">
        <is>
          <t>Francis McGuire</t>
        </is>
      </c>
      <c r="F4337" t="inlineStr">
        <is>
          <t>For various meetings and discussions with Government of Canada officials and key stakeholders</t>
        </is>
      </c>
      <c r="G4337" t="inlineStr">
        <is>
          <t>Diverses réunions et discussions avec des fonctionnaires du gouvernement du Canada et des intervenants clés</t>
        </is>
      </c>
      <c r="H4337" s="1" t="n">
        <v>42947</v>
      </c>
      <c r="I4337" s="1" t="n">
        <v>42949</v>
      </c>
      <c r="J4337" t="inlineStr">
        <is>
          <t>Montreal, Quebec</t>
        </is>
      </c>
      <c r="K4337" t="inlineStr">
        <is>
          <t>Montréal (Québec)</t>
        </is>
      </c>
      <c r="P4337" t="n">
        <v>588.9400000000001</v>
      </c>
      <c r="Q4337" t="n">
        <v>92.09999999999999</v>
      </c>
      <c r="R4337" t="n">
        <v>232.05</v>
      </c>
      <c r="S4337" t="n">
        <v>186.3</v>
      </c>
      <c r="T4337" t="n">
        <v>25.3</v>
      </c>
      <c r="U4337" t="n">
        <v>1124.69</v>
      </c>
      <c r="X4337" t="inlineStr">
        <is>
          <t>acoa-apeca</t>
        </is>
      </c>
      <c r="Y4337" t="inlineStr">
        <is>
          <t>Atlantic Canada Opportunities Agency | Agence de promotion économique du Canada atlantique</t>
        </is>
      </c>
      <c r="Z4337" t="n">
        <v>3</v>
      </c>
      <c r="AA4337" t="n">
        <v>1124.69</v>
      </c>
      <c r="AB4337">
        <f>ROUND(U4337-AA4337,2)</f>
        <v/>
      </c>
      <c r="AC4337" t="b">
        <v>0</v>
      </c>
      <c r="AD4337">
        <f>IF(U4337="","MISSING_TOTAL",IF(ABS(AB4337)&lt;=0.01,"OK","CHECK"))</f>
        <v/>
      </c>
      <c r="AE4337">
        <f>IF(U4337="","MISSING",IF(AND(AA4337&gt;0,U4337/AA4337&gt;50),"POSSIBLE_SCALE_ERROR","OK"))</f>
        <v/>
      </c>
    </row>
    <row r="4338">
      <c r="A4338" t="inlineStr">
        <is>
          <t>T-2018-Q2-00031</t>
        </is>
      </c>
      <c r="B4338" t="inlineStr">
        <is>
          <t>SLE</t>
        </is>
      </c>
      <c r="C4338" t="inlineStr">
        <is>
          <t>Vice-President, Newfoundland and Labrador</t>
        </is>
      </c>
      <c r="D4338" t="inlineStr">
        <is>
          <t>Vice-président, Terre-Neuve-et-Labrador</t>
        </is>
      </c>
      <c r="E4338" t="inlineStr">
        <is>
          <t>Ken Martin</t>
        </is>
      </c>
      <c r="F4338" t="inlineStr">
        <is>
          <t>Business and Indigenous client meetings in Southern Labrador</t>
        </is>
      </c>
      <c r="G4338" t="inlineStr">
        <is>
          <t>Réunions avec des clients commerciaux et autochtones dans le Sud du Labrador</t>
        </is>
      </c>
      <c r="H4338" s="1" t="n">
        <v>42961</v>
      </c>
      <c r="I4338" s="1" t="n">
        <v>42963</v>
      </c>
      <c r="J4338" t="inlineStr">
        <is>
          <t>Southern Labrador</t>
        </is>
      </c>
      <c r="K4338" t="inlineStr">
        <is>
          <t>Sud du Labrador</t>
        </is>
      </c>
      <c r="P4338" t="n">
        <v>1085.76</v>
      </c>
      <c r="Q4338" t="n">
        <v>113.29</v>
      </c>
      <c r="R4338" t="n">
        <v>258.75</v>
      </c>
      <c r="S4338" t="n">
        <v>277.3</v>
      </c>
      <c r="T4338" t="n">
        <v>0</v>
      </c>
      <c r="U4338" t="n">
        <v>1735.1</v>
      </c>
      <c r="X4338" t="inlineStr">
        <is>
          <t>acoa-apeca</t>
        </is>
      </c>
      <c r="Y4338" t="inlineStr">
        <is>
          <t>Atlantic Canada Opportunities Agency | Agence de promotion économique du Canada atlantique</t>
        </is>
      </c>
      <c r="Z4338" t="n">
        <v>3</v>
      </c>
      <c r="AA4338" t="n">
        <v>1735.1</v>
      </c>
      <c r="AB4338">
        <f>ROUND(U4338-AA4338,2)</f>
        <v/>
      </c>
      <c r="AC4338" t="b">
        <v>0</v>
      </c>
      <c r="AD4338">
        <f>IF(U4338="","MISSING_TOTAL",IF(ABS(AB4338)&lt;=0.01,"OK","CHECK"))</f>
        <v/>
      </c>
      <c r="AE4338">
        <f>IF(U4338="","MISSING",IF(AND(AA4338&gt;0,U4338/AA4338&gt;50),"POSSIBLE_SCALE_ERROR","OK"))</f>
        <v/>
      </c>
    </row>
    <row r="4339">
      <c r="A4339" t="inlineStr">
        <is>
          <t>T-2018-Q2-00030</t>
        </is>
      </c>
      <c r="B4339" t="inlineStr">
        <is>
          <t>SLE</t>
        </is>
      </c>
      <c r="C4339" t="inlineStr">
        <is>
          <t>Vice-President, Policy and Programs</t>
        </is>
      </c>
      <c r="D4339" t="inlineStr">
        <is>
          <t>Vice-président, Politiques et Programmes</t>
        </is>
      </c>
      <c r="E4339" t="inlineStr">
        <is>
          <t>Daryell Nowlan</t>
        </is>
      </c>
      <c r="F4339" t="inlineStr">
        <is>
          <t>Meetings with Government of Canada officials</t>
        </is>
      </c>
      <c r="G4339" t="inlineStr">
        <is>
          <t>Réunions avec des fonctionnaires du gouvernement du Canada</t>
        </is>
      </c>
      <c r="H4339" s="1" t="n">
        <v>42947</v>
      </c>
      <c r="I4339" s="1" t="n">
        <v>42948</v>
      </c>
      <c r="J4339" t="inlineStr">
        <is>
          <t>Ottawa, Ontario</t>
        </is>
      </c>
      <c r="K4339" t="inlineStr">
        <is>
          <t>Ottawa (Ontario)</t>
        </is>
      </c>
      <c r="P4339" t="n">
        <v>692.3</v>
      </c>
      <c r="Q4339" t="n">
        <v>110.04</v>
      </c>
      <c r="R4339" t="n">
        <v>187.39</v>
      </c>
      <c r="S4339" t="n">
        <v>144.55</v>
      </c>
      <c r="T4339" t="n">
        <v>0</v>
      </c>
      <c r="U4339" t="n">
        <v>1134.28</v>
      </c>
      <c r="X4339" t="inlineStr">
        <is>
          <t>acoa-apeca</t>
        </is>
      </c>
      <c r="Y4339" t="inlineStr">
        <is>
          <t>Atlantic Canada Opportunities Agency | Agence de promotion économique du Canada atlantique</t>
        </is>
      </c>
      <c r="Z4339" t="n">
        <v>2</v>
      </c>
      <c r="AA4339" t="n">
        <v>1134.28</v>
      </c>
      <c r="AB4339">
        <f>ROUND(U4339-AA4339,2)</f>
        <v/>
      </c>
      <c r="AC4339" t="b">
        <v>0</v>
      </c>
      <c r="AD4339">
        <f>IF(U4339="","MISSING_TOTAL",IF(ABS(AB4339)&lt;=0.01,"OK","CHECK"))</f>
        <v/>
      </c>
      <c r="AE4339">
        <f>IF(U4339="","MISSING",IF(AND(AA4339&gt;0,U4339/AA4339&gt;50),"POSSIBLE_SCALE_ERROR","OK"))</f>
        <v/>
      </c>
    </row>
    <row r="4340">
      <c r="A4340" t="inlineStr">
        <is>
          <t>T-2018-Q2-00029</t>
        </is>
      </c>
      <c r="B4340" t="inlineStr">
        <is>
          <t>SLE</t>
        </is>
      </c>
      <c r="C4340" t="inlineStr">
        <is>
          <t>Vice President, Finance and Corporate Services</t>
        </is>
      </c>
      <c r="D4340" t="inlineStr">
        <is>
          <t>Vice-présidente, Finances et Services corporatifs</t>
        </is>
      </c>
      <c r="E4340" t="inlineStr">
        <is>
          <t>Denise Frenette</t>
        </is>
      </c>
      <c r="F4340" t="inlineStr">
        <is>
          <t>Meeting with Government of Canada officials</t>
        </is>
      </c>
      <c r="G4340" t="inlineStr">
        <is>
          <t>Réunion avec des fonctionnaires du gouvernement du Canada</t>
        </is>
      </c>
      <c r="H4340" s="1" t="n">
        <v>42942</v>
      </c>
      <c r="I4340" s="1" t="n">
        <v>42943</v>
      </c>
      <c r="J4340" t="inlineStr">
        <is>
          <t>Halifax, Nova Scotia</t>
        </is>
      </c>
      <c r="K4340" t="inlineStr">
        <is>
          <t>Halifax (Nouvelle-Écosse)</t>
        </is>
      </c>
      <c r="P4340" t="n">
        <v>0</v>
      </c>
      <c r="Q4340" t="n">
        <v>110.69</v>
      </c>
      <c r="R4340" t="n">
        <v>238.72</v>
      </c>
      <c r="S4340" t="n">
        <v>161.7</v>
      </c>
      <c r="T4340" t="n">
        <v>50.85</v>
      </c>
      <c r="U4340" t="n">
        <v>561.96</v>
      </c>
      <c r="X4340" t="inlineStr">
        <is>
          <t>acoa-apeca</t>
        </is>
      </c>
      <c r="Y4340" t="inlineStr">
        <is>
          <t>Atlantic Canada Opportunities Agency | Agence de promotion économique du Canada atlantique</t>
        </is>
      </c>
      <c r="Z4340" t="n">
        <v>2</v>
      </c>
      <c r="AA4340" t="n">
        <v>561.959999999999</v>
      </c>
      <c r="AB4340">
        <f>ROUND(U4340-AA4340,2)</f>
        <v/>
      </c>
      <c r="AC4340" t="b">
        <v>0</v>
      </c>
      <c r="AD4340">
        <f>IF(U4340="","MISSING_TOTAL",IF(ABS(AB4340)&lt;=0.01,"OK","CHECK"))</f>
        <v/>
      </c>
      <c r="AE4340">
        <f>IF(U4340="","MISSING",IF(AND(AA4340&gt;0,U4340/AA4340&gt;50),"POSSIBLE_SCALE_ERROR","OK"))</f>
        <v/>
      </c>
    </row>
    <row r="4341">
      <c r="A4341" t="inlineStr">
        <is>
          <t>T-2018-Q2-00028</t>
        </is>
      </c>
      <c r="B4341" t="inlineStr">
        <is>
          <t>SLE</t>
        </is>
      </c>
      <c r="C4341" t="inlineStr">
        <is>
          <t>Vice-President, Newfoundland and Labrador</t>
        </is>
      </c>
      <c r="D4341" t="inlineStr">
        <is>
          <t>Vice-président, Terre-Neuve-et-Labrador</t>
        </is>
      </c>
      <c r="E4341" t="inlineStr">
        <is>
          <t>Ken Martin</t>
        </is>
      </c>
      <c r="F4341" t="inlineStr">
        <is>
          <t>Attend client meetings around Avalon Peninsula</t>
        </is>
      </c>
      <c r="G4341" t="inlineStr">
        <is>
          <t>Assister à des réunions avec des clients dans la presqu'île Avalon</t>
        </is>
      </c>
      <c r="H4341" s="1" t="n">
        <v>42928</v>
      </c>
      <c r="I4341" s="1" t="n">
        <v>42930</v>
      </c>
      <c r="J4341" t="inlineStr">
        <is>
          <t>Avalon Peninsula, Newfoundland and Labrador</t>
        </is>
      </c>
      <c r="K4341" t="inlineStr">
        <is>
          <t>Presqu'île Avalon (Terre-Neuve-et-Labrador)</t>
        </is>
      </c>
      <c r="P4341" t="n">
        <v>0</v>
      </c>
      <c r="Q4341" t="n">
        <v>459.17</v>
      </c>
      <c r="R4341" t="n">
        <v>0</v>
      </c>
      <c r="S4341" t="n">
        <v>64</v>
      </c>
      <c r="T4341" t="n">
        <v>0</v>
      </c>
      <c r="U4341" t="n">
        <v>523.17</v>
      </c>
      <c r="X4341" t="inlineStr">
        <is>
          <t>acoa-apeca</t>
        </is>
      </c>
      <c r="Y4341" t="inlineStr">
        <is>
          <t>Atlantic Canada Opportunities Agency | Agence de promotion économique du Canada atlantique</t>
        </is>
      </c>
      <c r="Z4341" t="n">
        <v>3</v>
      </c>
      <c r="AA4341" t="n">
        <v>523.17</v>
      </c>
      <c r="AB4341">
        <f>ROUND(U4341-AA4341,2)</f>
        <v/>
      </c>
      <c r="AC4341" t="b">
        <v>0</v>
      </c>
      <c r="AD4341">
        <f>IF(U4341="","MISSING_TOTAL",IF(ABS(AB4341)&lt;=0.01,"OK","CHECK"))</f>
        <v/>
      </c>
      <c r="AE4341">
        <f>IF(U4341="","MISSING",IF(AND(AA4341&gt;0,U4341/AA4341&gt;50),"POSSIBLE_SCALE_ERROR","OK"))</f>
        <v/>
      </c>
    </row>
    <row r="4342">
      <c r="A4342" t="inlineStr">
        <is>
          <t>T-2018-Q2-00027</t>
        </is>
      </c>
      <c r="B4342" t="inlineStr">
        <is>
          <t>SLE</t>
        </is>
      </c>
      <c r="C4342" t="inlineStr">
        <is>
          <t>Vice-President, Policy and Programs</t>
        </is>
      </c>
      <c r="D4342" t="inlineStr">
        <is>
          <t>Vice-président, Politiques et Programmes</t>
        </is>
      </c>
      <c r="E4342" t="inlineStr">
        <is>
          <t>Daryell Nowlan</t>
        </is>
      </c>
      <c r="F4342" t="inlineStr">
        <is>
          <t>Meetings with private sector officials and Government of Canada officials</t>
        </is>
      </c>
      <c r="G4342" t="inlineStr">
        <is>
          <t>Réunions avec des représentants du secteur privé et des fonctionnaires du gouvernement du Canada</t>
        </is>
      </c>
      <c r="H4342" s="1" t="n">
        <v>42937</v>
      </c>
      <c r="I4342" s="1" t="n">
        <v>42937</v>
      </c>
      <c r="J4342" t="inlineStr">
        <is>
          <t>Halifax, Nova Scotia</t>
        </is>
      </c>
      <c r="K4342" t="inlineStr">
        <is>
          <t>Halifax (Nouvelle-Écosse)</t>
        </is>
      </c>
      <c r="P4342" t="n">
        <v>0</v>
      </c>
      <c r="Q4342" t="n">
        <v>210</v>
      </c>
      <c r="R4342" t="n">
        <v>0</v>
      </c>
      <c r="S4342" t="n">
        <v>18.05</v>
      </c>
      <c r="T4342" t="n">
        <v>0</v>
      </c>
      <c r="U4342" t="n">
        <v>228.05</v>
      </c>
      <c r="X4342" t="inlineStr">
        <is>
          <t>acoa-apeca</t>
        </is>
      </c>
      <c r="Y4342" t="inlineStr">
        <is>
          <t>Atlantic Canada Opportunities Agency | Agence de promotion économique du Canada atlantique</t>
        </is>
      </c>
      <c r="Z4342" t="n">
        <v>1</v>
      </c>
      <c r="AA4342" t="n">
        <v>228.05</v>
      </c>
      <c r="AB4342">
        <f>ROUND(U4342-AA4342,2)</f>
        <v/>
      </c>
      <c r="AC4342" t="b">
        <v>0</v>
      </c>
      <c r="AD4342">
        <f>IF(U4342="","MISSING_TOTAL",IF(ABS(AB4342)&lt;=0.01,"OK","CHECK"))</f>
        <v/>
      </c>
      <c r="AE4342">
        <f>IF(U4342="","MISSING",IF(AND(AA4342&gt;0,U4342/AA4342&gt;50),"POSSIBLE_SCALE_ERROR","OK"))</f>
        <v/>
      </c>
    </row>
    <row r="4343">
      <c r="A4343" t="inlineStr">
        <is>
          <t>T-2018-Q2-00026</t>
        </is>
      </c>
      <c r="B4343" t="inlineStr">
        <is>
          <t>SLE</t>
        </is>
      </c>
      <c r="C4343" t="inlineStr">
        <is>
          <t>President</t>
        </is>
      </c>
      <c r="D4343" t="inlineStr">
        <is>
          <t>Président</t>
        </is>
      </c>
      <c r="E4343" t="inlineStr">
        <is>
          <t>Francis McGuire</t>
        </is>
      </c>
      <c r="F4343" t="inlineStr">
        <is>
          <t>For various meetings and discussions with Agency officials, Government of Canada officials and key stakeholders</t>
        </is>
      </c>
      <c r="G4343" t="inlineStr">
        <is>
          <t>Diverses réunions et discussions avec des fonctionnaires de l'Agence, des fonctionnaires du gouvernement du Canada et des intervenants clés</t>
        </is>
      </c>
      <c r="H4343" s="1" t="n">
        <v>42936</v>
      </c>
      <c r="I4343" s="1" t="n">
        <v>42937</v>
      </c>
      <c r="J4343" t="inlineStr">
        <is>
          <t>Halifax, Nova Scotia</t>
        </is>
      </c>
      <c r="K4343" t="inlineStr">
        <is>
          <t>Halifax (Nouvelle-Écosse)</t>
        </is>
      </c>
      <c r="P4343" t="n">
        <v>0</v>
      </c>
      <c r="Q4343" t="n">
        <v>267.14</v>
      </c>
      <c r="R4343" t="n">
        <v>212.87</v>
      </c>
      <c r="S4343" t="n">
        <v>115.75</v>
      </c>
      <c r="T4343" t="n">
        <v>39.05</v>
      </c>
      <c r="U4343" t="n">
        <v>634.8099999999999</v>
      </c>
      <c r="X4343" t="inlineStr">
        <is>
          <t>acoa-apeca</t>
        </is>
      </c>
      <c r="Y4343" t="inlineStr">
        <is>
          <t>Atlantic Canada Opportunities Agency | Agence de promotion économique du Canada atlantique</t>
        </is>
      </c>
      <c r="Z4343" t="n">
        <v>2</v>
      </c>
      <c r="AA4343" t="n">
        <v>634.8099999999999</v>
      </c>
      <c r="AB4343">
        <f>ROUND(U4343-AA4343,2)</f>
        <v/>
      </c>
      <c r="AC4343" t="b">
        <v>0</v>
      </c>
      <c r="AD4343">
        <f>IF(U4343="","MISSING_TOTAL",IF(ABS(AB4343)&lt;=0.01,"OK","CHECK"))</f>
        <v/>
      </c>
      <c r="AE4343">
        <f>IF(U4343="","MISSING",IF(AND(AA4343&gt;0,U4343/AA4343&gt;50),"POSSIBLE_SCALE_ERROR","OK"))</f>
        <v/>
      </c>
    </row>
    <row r="4344">
      <c r="A4344" t="inlineStr">
        <is>
          <t>T-2018-Q2-00025</t>
        </is>
      </c>
      <c r="B4344" t="inlineStr">
        <is>
          <t>SLE</t>
        </is>
      </c>
      <c r="C4344" t="inlineStr">
        <is>
          <t>Vice President, Finance and Corporate Services</t>
        </is>
      </c>
      <c r="D4344" t="inlineStr">
        <is>
          <t>Vice-présidente, Finances et Services corporatifs</t>
        </is>
      </c>
      <c r="E4344" t="inlineStr">
        <is>
          <t>Denise Frenette</t>
        </is>
      </c>
      <c r="F4344" t="inlineStr">
        <is>
          <t>Meeting with Government of Canada officials</t>
        </is>
      </c>
      <c r="G4344" t="inlineStr">
        <is>
          <t>Réunion avec des fonctionnaires du gouvernement du Canada</t>
        </is>
      </c>
      <c r="H4344" s="1" t="n">
        <v>42933</v>
      </c>
      <c r="I4344" s="1" t="n">
        <v>42934</v>
      </c>
      <c r="J4344" t="inlineStr">
        <is>
          <t>Ottawa, Ontario</t>
        </is>
      </c>
      <c r="K4344" t="inlineStr">
        <is>
          <t>Ottawa (Ontario)</t>
        </is>
      </c>
      <c r="P4344" t="n">
        <v>227.7</v>
      </c>
      <c r="Q4344" t="n">
        <v>40.25</v>
      </c>
      <c r="R4344" t="n">
        <v>203.68</v>
      </c>
      <c r="S4344" t="n">
        <v>144.55</v>
      </c>
      <c r="T4344" t="n">
        <v>7.07</v>
      </c>
      <c r="U4344" t="n">
        <v>623.25</v>
      </c>
      <c r="X4344" t="inlineStr">
        <is>
          <t>acoa-apeca</t>
        </is>
      </c>
      <c r="Y4344" t="inlineStr">
        <is>
          <t>Atlantic Canada Opportunities Agency | Agence de promotion économique du Canada atlantique</t>
        </is>
      </c>
      <c r="Z4344" t="n">
        <v>2</v>
      </c>
      <c r="AA4344" t="n">
        <v>623.25</v>
      </c>
      <c r="AB4344">
        <f>ROUND(U4344-AA4344,2)</f>
        <v/>
      </c>
      <c r="AC4344" t="b">
        <v>0</v>
      </c>
      <c r="AD4344">
        <f>IF(U4344="","MISSING_TOTAL",IF(ABS(AB4344)&lt;=0.01,"OK","CHECK"))</f>
        <v/>
      </c>
      <c r="AE4344">
        <f>IF(U4344="","MISSING",IF(AND(AA4344&gt;0,U4344/AA4344&gt;50),"POSSIBLE_SCALE_ERROR","OK"))</f>
        <v/>
      </c>
    </row>
    <row r="4345">
      <c r="A4345" t="inlineStr">
        <is>
          <t>T-2018-Q2-00024</t>
        </is>
      </c>
      <c r="B4345" t="inlineStr">
        <is>
          <t>SLE</t>
        </is>
      </c>
      <c r="C4345" t="inlineStr">
        <is>
          <t>Vice-President, Policy and Programs</t>
        </is>
      </c>
      <c r="D4345" t="inlineStr">
        <is>
          <t>Vice-président, Politiques et Programmes</t>
        </is>
      </c>
      <c r="E4345" t="inlineStr">
        <is>
          <t>Daryell Nowlan</t>
        </is>
      </c>
      <c r="F4345" t="inlineStr">
        <is>
          <t>Meeting with Government of Canada officials</t>
        </is>
      </c>
      <c r="G4345" t="inlineStr">
        <is>
          <t>Réunion avec des fonctionnaires du gouvernement du Canada</t>
        </is>
      </c>
      <c r="H4345" s="1" t="n">
        <v>42933</v>
      </c>
      <c r="I4345" s="1" t="n">
        <v>42934</v>
      </c>
      <c r="J4345" t="inlineStr">
        <is>
          <t>Ottawa, Ontario</t>
        </is>
      </c>
      <c r="K4345" t="inlineStr">
        <is>
          <t>Ottawa (Ontario)</t>
        </is>
      </c>
      <c r="P4345" t="n">
        <v>692.3</v>
      </c>
      <c r="Q4345" t="n">
        <v>79</v>
      </c>
      <c r="R4345" t="n">
        <v>197.86</v>
      </c>
      <c r="S4345" t="n">
        <v>144.55</v>
      </c>
      <c r="T4345" t="n">
        <v>0</v>
      </c>
      <c r="U4345" t="n">
        <v>1113.71</v>
      </c>
      <c r="X4345" t="inlineStr">
        <is>
          <t>acoa-apeca</t>
        </is>
      </c>
      <c r="Y4345" t="inlineStr">
        <is>
          <t>Atlantic Canada Opportunities Agency | Agence de promotion économique du Canada atlantique</t>
        </is>
      </c>
      <c r="Z4345" t="n">
        <v>2</v>
      </c>
      <c r="AA4345" t="n">
        <v>1113.71</v>
      </c>
      <c r="AB4345">
        <f>ROUND(U4345-AA4345,2)</f>
        <v/>
      </c>
      <c r="AC4345" t="b">
        <v>0</v>
      </c>
      <c r="AD4345">
        <f>IF(U4345="","MISSING_TOTAL",IF(ABS(AB4345)&lt;=0.01,"OK","CHECK"))</f>
        <v/>
      </c>
      <c r="AE4345">
        <f>IF(U4345="","MISSING",IF(AND(AA4345&gt;0,U4345/AA4345&gt;50),"POSSIBLE_SCALE_ERROR","OK"))</f>
        <v/>
      </c>
    </row>
    <row r="4346">
      <c r="A4346" t="inlineStr">
        <is>
          <t>T-2018-Q2-00023</t>
        </is>
      </c>
      <c r="B4346" t="inlineStr">
        <is>
          <t>SLE</t>
        </is>
      </c>
      <c r="C4346" t="inlineStr">
        <is>
          <t>President</t>
        </is>
      </c>
      <c r="D4346" t="inlineStr">
        <is>
          <t>Président</t>
        </is>
      </c>
      <c r="E4346" t="inlineStr">
        <is>
          <t>Francis McGuire</t>
        </is>
      </c>
      <c r="F4346" t="inlineStr">
        <is>
          <t>For various meetings and discussions with Agency officials, Government of Canada officials, Provincial Government officials and key stakeholders</t>
        </is>
      </c>
      <c r="G4346" t="inlineStr">
        <is>
          <t>Diverses réunions et discussions avec des fonctionnaires de l'Agence, des fonctionnaires du gouvernement du Canada, des fonctionnaires du gouvernement provincial et des intervenants clés</t>
        </is>
      </c>
      <c r="H4346" s="1" t="n">
        <v>42933</v>
      </c>
      <c r="I4346" s="1" t="n">
        <v>42934</v>
      </c>
      <c r="J4346" t="inlineStr">
        <is>
          <t>Saint Andrews and St. Stephen, New Brunswick</t>
        </is>
      </c>
      <c r="K4346" t="inlineStr">
        <is>
          <t>Saint Andrews et St. Stephen (Nouveau-Brunswick)</t>
        </is>
      </c>
      <c r="P4346" t="n">
        <v>0</v>
      </c>
      <c r="Q4346" t="n">
        <v>143.42</v>
      </c>
      <c r="R4346" t="n">
        <v>233.43</v>
      </c>
      <c r="S4346" t="n">
        <v>97.7</v>
      </c>
      <c r="T4346" t="n">
        <v>0</v>
      </c>
      <c r="U4346" t="n">
        <v>474.55</v>
      </c>
      <c r="X4346" t="inlineStr">
        <is>
          <t>acoa-apeca</t>
        </is>
      </c>
      <c r="Y4346" t="inlineStr">
        <is>
          <t>Atlantic Canada Opportunities Agency | Agence de promotion économique du Canada atlantique</t>
        </is>
      </c>
      <c r="Z4346" t="n">
        <v>2</v>
      </c>
      <c r="AA4346" t="n">
        <v>474.55</v>
      </c>
      <c r="AB4346">
        <f>ROUND(U4346-AA4346,2)</f>
        <v/>
      </c>
      <c r="AC4346" t="b">
        <v>0</v>
      </c>
      <c r="AD4346">
        <f>IF(U4346="","MISSING_TOTAL",IF(ABS(AB4346)&lt;=0.01,"OK","CHECK"))</f>
        <v/>
      </c>
      <c r="AE4346">
        <f>IF(U4346="","MISSING",IF(AND(AA4346&gt;0,U4346/AA4346&gt;50),"POSSIBLE_SCALE_ERROR","OK"))</f>
        <v/>
      </c>
    </row>
    <row r="4347">
      <c r="A4347" t="inlineStr">
        <is>
          <t>T-2018-Q2-00008</t>
        </is>
      </c>
      <c r="B4347" t="inlineStr">
        <is>
          <t>SLE</t>
        </is>
      </c>
      <c r="C4347" t="inlineStr">
        <is>
          <t>Vice-President, Prince Edward Island</t>
        </is>
      </c>
      <c r="D4347" t="inlineStr">
        <is>
          <t>Vice-président, Île-du-Prince-Édouard</t>
        </is>
      </c>
      <c r="E4347" t="inlineStr">
        <is>
          <t>Patrick Dorsey</t>
        </is>
      </c>
      <c r="F4347" t="inlineStr">
        <is>
          <t>APEX meetings</t>
        </is>
      </c>
      <c r="G4347" t="inlineStr">
        <is>
          <t>Réunions de l'APEX</t>
        </is>
      </c>
      <c r="H4347" s="1" t="n">
        <v>42892</v>
      </c>
      <c r="I4347" s="1" t="n">
        <v>42894</v>
      </c>
      <c r="J4347" t="inlineStr">
        <is>
          <t>Ottawa, Ontario</t>
        </is>
      </c>
      <c r="K4347" t="inlineStr">
        <is>
          <t>Ottawa (Ontario)</t>
        </is>
      </c>
      <c r="P4347" t="n">
        <v>667.4299999999999</v>
      </c>
      <c r="Q4347" t="n">
        <v>101.84</v>
      </c>
      <c r="R4347" t="n">
        <v>439.96</v>
      </c>
      <c r="S4347" t="n">
        <v>242.1</v>
      </c>
      <c r="T4347" t="n">
        <v>0</v>
      </c>
      <c r="U4347" t="n">
        <v>1451.33</v>
      </c>
      <c r="X4347" t="inlineStr">
        <is>
          <t>acoa-apeca</t>
        </is>
      </c>
      <c r="Y4347" t="inlineStr">
        <is>
          <t>Atlantic Canada Opportunities Agency | Agence de promotion économique du Canada atlantique</t>
        </is>
      </c>
      <c r="Z4347" t="n">
        <v>3</v>
      </c>
      <c r="AA4347" t="n">
        <v>1451.33</v>
      </c>
      <c r="AB4347">
        <f>ROUND(U4347-AA4347,2)</f>
        <v/>
      </c>
      <c r="AC4347" t="b">
        <v>0</v>
      </c>
      <c r="AD4347">
        <f>IF(U4347="","MISSING_TOTAL",IF(ABS(AB4347)&lt;=0.01,"OK","CHECK"))</f>
        <v/>
      </c>
      <c r="AE4347">
        <f>IF(U4347="","MISSING",IF(AND(AA4347&gt;0,U4347/AA4347&gt;50),"POSSIBLE_SCALE_ERROR","OK"))</f>
        <v/>
      </c>
    </row>
    <row r="4348">
      <c r="A4348" t="inlineStr">
        <is>
          <t>T-2018-Q2-00022</t>
        </is>
      </c>
      <c r="B4348" t="inlineStr">
        <is>
          <t>SLE</t>
        </is>
      </c>
      <c r="C4348" t="inlineStr">
        <is>
          <t>President</t>
        </is>
      </c>
      <c r="D4348" t="inlineStr">
        <is>
          <t>Président</t>
        </is>
      </c>
      <c r="E4348" t="inlineStr">
        <is>
          <t>Francis McGuire</t>
        </is>
      </c>
      <c r="F4348" t="inlineStr">
        <is>
          <t>For various meetings and discussions with Agency officials, Government of Canada officials, Provincial Government officials and key stakeholders</t>
        </is>
      </c>
      <c r="G4348" t="inlineStr">
        <is>
          <t>Diverses réunions et discussions avec des fonctionnaires de l'Agence, des fonctionnaires du gouvernement du Canada, des fonctionnaires du gouvernement provincial et des intervenants clés</t>
        </is>
      </c>
      <c r="H4348" s="1" t="n">
        <v>42926</v>
      </c>
      <c r="I4348" s="1" t="n">
        <v>42930</v>
      </c>
      <c r="J4348" t="inlineStr">
        <is>
          <t>Deer Lake and St. John's, Newfoundland and Labrador</t>
        </is>
      </c>
      <c r="K4348" t="inlineStr">
        <is>
          <t>Deer Lake et St. John's (Terre-Neuve-et-Labrador)</t>
        </is>
      </c>
      <c r="P4348" t="n">
        <v>838.3200000000001</v>
      </c>
      <c r="Q4348" t="n">
        <v>0</v>
      </c>
      <c r="R4348" t="n">
        <v>832.9</v>
      </c>
      <c r="S4348" t="n">
        <v>405</v>
      </c>
      <c r="T4348" t="n">
        <v>25.3</v>
      </c>
      <c r="U4348" t="n">
        <v>2101.52</v>
      </c>
      <c r="X4348" t="inlineStr">
        <is>
          <t>acoa-apeca</t>
        </is>
      </c>
      <c r="Y4348" t="inlineStr">
        <is>
          <t>Atlantic Canada Opportunities Agency | Agence de promotion économique du Canada atlantique</t>
        </is>
      </c>
      <c r="Z4348" t="n">
        <v>5</v>
      </c>
      <c r="AA4348" t="n">
        <v>2101.52</v>
      </c>
      <c r="AB4348">
        <f>ROUND(U4348-AA4348,2)</f>
        <v/>
      </c>
      <c r="AC4348" t="b">
        <v>0</v>
      </c>
      <c r="AD4348">
        <f>IF(U4348="","MISSING_TOTAL",IF(ABS(AB4348)&lt;=0.01,"OK","CHECK"))</f>
        <v/>
      </c>
      <c r="AE4348">
        <f>IF(U4348="","MISSING",IF(AND(AA4348&gt;0,U4348/AA4348&gt;50),"POSSIBLE_SCALE_ERROR","OK"))</f>
        <v/>
      </c>
    </row>
    <row r="4349">
      <c r="A4349" t="inlineStr">
        <is>
          <t>T-2018-Q2-00021</t>
        </is>
      </c>
      <c r="B4349" t="inlineStr">
        <is>
          <t>SLE</t>
        </is>
      </c>
      <c r="C4349" t="inlineStr">
        <is>
          <t>Vice-President, Newfoundland and Labrador</t>
        </is>
      </c>
      <c r="D4349" t="inlineStr">
        <is>
          <t>Vice-président, Terre-Neuve-et-Labrador</t>
        </is>
      </c>
      <c r="E4349" t="inlineStr">
        <is>
          <t>Ken Martin</t>
        </is>
      </c>
      <c r="F4349" t="inlineStr">
        <is>
          <t>Attend meetings with senior government officials in Steady Brook</t>
        </is>
      </c>
      <c r="G4349" t="inlineStr">
        <is>
          <t>Assister à des réunions avec de hauts fonctionnaires à Steady Brook</t>
        </is>
      </c>
      <c r="H4349" s="1" t="n">
        <v>42926</v>
      </c>
      <c r="I4349" s="1" t="n">
        <v>42927</v>
      </c>
      <c r="J4349" t="inlineStr">
        <is>
          <t>Steady Brook, Newfoundland and Labrador</t>
        </is>
      </c>
      <c r="K4349" t="inlineStr">
        <is>
          <t>Steady Brook (Terre-Neuve-et-Labrador)</t>
        </is>
      </c>
      <c r="P4349" t="n">
        <v>797.5599999999999</v>
      </c>
      <c r="Q4349" t="n">
        <v>159.23</v>
      </c>
      <c r="R4349" t="n">
        <v>171.35</v>
      </c>
      <c r="S4349" t="n">
        <v>115.75</v>
      </c>
      <c r="T4349" t="n">
        <v>32</v>
      </c>
      <c r="U4349" t="n">
        <v>1275.89</v>
      </c>
      <c r="X4349" t="inlineStr">
        <is>
          <t>acoa-apeca</t>
        </is>
      </c>
      <c r="Y4349" t="inlineStr">
        <is>
          <t>Atlantic Canada Opportunities Agency | Agence de promotion économique du Canada atlantique</t>
        </is>
      </c>
      <c r="Z4349" t="n">
        <v>2</v>
      </c>
      <c r="AA4349" t="n">
        <v>1275.88999999999</v>
      </c>
      <c r="AB4349">
        <f>ROUND(U4349-AA4349,2)</f>
        <v/>
      </c>
      <c r="AC4349" t="b">
        <v>0</v>
      </c>
      <c r="AD4349">
        <f>IF(U4349="","MISSING_TOTAL",IF(ABS(AB4349)&lt;=0.01,"OK","CHECK"))</f>
        <v/>
      </c>
      <c r="AE4349">
        <f>IF(U4349="","MISSING",IF(AND(AA4349&gt;0,U4349/AA4349&gt;50),"POSSIBLE_SCALE_ERROR","OK"))</f>
        <v/>
      </c>
    </row>
    <row r="4350">
      <c r="A4350" t="inlineStr">
        <is>
          <t>T-2018-Q2-00020</t>
        </is>
      </c>
      <c r="B4350" t="inlineStr">
        <is>
          <t>SLE</t>
        </is>
      </c>
      <c r="C4350" t="inlineStr">
        <is>
          <t>Vice-President, Policy and Programs</t>
        </is>
      </c>
      <c r="D4350" t="inlineStr">
        <is>
          <t>Vice-président, Politiques et Programmes</t>
        </is>
      </c>
      <c r="E4350" t="inlineStr">
        <is>
          <t>Daryell Nowlan</t>
        </is>
      </c>
      <c r="F4350" t="inlineStr">
        <is>
          <t>Meetings with Government of Canada, provincial government and industry officials</t>
        </is>
      </c>
      <c r="G4350" t="inlineStr">
        <is>
          <t>Réunions avec des fonctionnaires des gouvernements fédéral et provincial et des représentants de l'industrie</t>
        </is>
      </c>
      <c r="H4350" s="1" t="n">
        <v>42926</v>
      </c>
      <c r="I4350" s="1" t="n">
        <v>42930</v>
      </c>
      <c r="J4350" t="inlineStr">
        <is>
          <t>Steady Brook, Newfoundland and Labrador and St. John's, Newfoundland and Labrador</t>
        </is>
      </c>
      <c r="K4350" t="inlineStr">
        <is>
          <t>Steady Brook (Terre-Neuve-et-Labrador) et St. John's (Terre-Neuve-et-Labrador)</t>
        </is>
      </c>
      <c r="P4350" t="n">
        <v>2220.94</v>
      </c>
      <c r="Q4350" t="n">
        <v>204.97</v>
      </c>
      <c r="R4350" t="n">
        <v>765.63</v>
      </c>
      <c r="S4350" t="n">
        <v>359.65</v>
      </c>
      <c r="T4350" t="n">
        <v>0</v>
      </c>
      <c r="U4350" t="n">
        <v>3551.19</v>
      </c>
      <c r="X4350" t="inlineStr">
        <is>
          <t>acoa-apeca</t>
        </is>
      </c>
      <c r="Y4350" t="inlineStr">
        <is>
          <t>Atlantic Canada Opportunities Agency | Agence de promotion économique du Canada atlantique</t>
        </is>
      </c>
      <c r="Z4350" t="n">
        <v>5</v>
      </c>
      <c r="AA4350" t="n">
        <v>3551.19</v>
      </c>
      <c r="AB4350">
        <f>ROUND(U4350-AA4350,2)</f>
        <v/>
      </c>
      <c r="AC4350" t="b">
        <v>0</v>
      </c>
      <c r="AD4350">
        <f>IF(U4350="","MISSING_TOTAL",IF(ABS(AB4350)&lt;=0.01,"OK","CHECK"))</f>
        <v/>
      </c>
      <c r="AE4350">
        <f>IF(U4350="","MISSING",IF(AND(AA4350&gt;0,U4350/AA4350&gt;50),"POSSIBLE_SCALE_ERROR","OK"))</f>
        <v/>
      </c>
    </row>
    <row r="4351">
      <c r="A4351" t="inlineStr">
        <is>
          <t>T-2018-Q2-00019</t>
        </is>
      </c>
      <c r="B4351" t="inlineStr">
        <is>
          <t>SLE</t>
        </is>
      </c>
      <c r="C4351" t="inlineStr">
        <is>
          <t>Vice-President, Prince Edward Island</t>
        </is>
      </c>
      <c r="D4351" t="inlineStr">
        <is>
          <t>Vice-président, Île-du-Prince-Édouard</t>
        </is>
      </c>
      <c r="E4351" t="inlineStr">
        <is>
          <t>Patrick Dorsey</t>
        </is>
      </c>
      <c r="F4351" t="inlineStr">
        <is>
          <t>Meetings of the AGS Leadership Committee</t>
        </is>
      </c>
      <c r="G4351" t="inlineStr">
        <is>
          <t>Réunions avec le Comité de direction de la SCA</t>
        </is>
      </c>
      <c r="H4351" s="1" t="n">
        <v>42926</v>
      </c>
      <c r="I4351" s="1" t="n">
        <v>42928</v>
      </c>
      <c r="J4351" t="inlineStr">
        <is>
          <t>Corner Brook, Newfoundland and Labrador</t>
        </is>
      </c>
      <c r="K4351" t="inlineStr">
        <is>
          <t>Corner Brook (Terre-Neuve-et-Labrador)</t>
        </is>
      </c>
      <c r="P4351" t="n">
        <v>1014.59</v>
      </c>
      <c r="Q4351" t="n">
        <v>45</v>
      </c>
      <c r="R4351" t="n">
        <v>489.3</v>
      </c>
      <c r="S4351" t="n">
        <v>213.45</v>
      </c>
      <c r="T4351" t="n">
        <v>0</v>
      </c>
      <c r="U4351" t="n">
        <v>1762.34</v>
      </c>
      <c r="X4351" t="inlineStr">
        <is>
          <t>acoa-apeca</t>
        </is>
      </c>
      <c r="Y4351" t="inlineStr">
        <is>
          <t>Atlantic Canada Opportunities Agency | Agence de promotion économique du Canada atlantique</t>
        </is>
      </c>
      <c r="Z4351" t="n">
        <v>3</v>
      </c>
      <c r="AA4351" t="n">
        <v>1762.34</v>
      </c>
      <c r="AB4351">
        <f>ROUND(U4351-AA4351,2)</f>
        <v/>
      </c>
      <c r="AC4351" t="b">
        <v>0</v>
      </c>
      <c r="AD4351">
        <f>IF(U4351="","MISSING_TOTAL",IF(ABS(AB4351)&lt;=0.01,"OK","CHECK"))</f>
        <v/>
      </c>
      <c r="AE4351">
        <f>IF(U4351="","MISSING",IF(AND(AA4351&gt;0,U4351/AA4351&gt;50),"POSSIBLE_SCALE_ERROR","OK"))</f>
        <v/>
      </c>
    </row>
    <row r="4352">
      <c r="A4352" t="inlineStr">
        <is>
          <t>T-2018-Q2-00012</t>
        </is>
      </c>
      <c r="B4352" t="inlineStr">
        <is>
          <t>SLE</t>
        </is>
      </c>
      <c r="C4352" t="inlineStr">
        <is>
          <t>Vice-President, Policy and Programs</t>
        </is>
      </c>
      <c r="D4352" t="inlineStr">
        <is>
          <t>Vice-président, Politiques et Programmes</t>
        </is>
      </c>
      <c r="E4352" t="inlineStr">
        <is>
          <t>Daryell Nowlan</t>
        </is>
      </c>
      <c r="F4352" t="inlineStr">
        <is>
          <t>Meetings with Government of Canada officials</t>
        </is>
      </c>
      <c r="G4352" t="inlineStr">
        <is>
          <t>Réunions avec des fonctionnaires du gouvernement du Canada</t>
        </is>
      </c>
      <c r="H4352" s="1" t="n">
        <v>42906</v>
      </c>
      <c r="I4352" s="1" t="n">
        <v>42909</v>
      </c>
      <c r="J4352" t="inlineStr">
        <is>
          <t>Halifax, Nova Scotia and Ottawa, Ontario</t>
        </is>
      </c>
      <c r="K4352" t="inlineStr">
        <is>
          <t>Halifax (Nouvelle-Écosse) et Ottawa (Ontario)</t>
        </is>
      </c>
      <c r="P4352" t="n">
        <v>692.3</v>
      </c>
      <c r="Q4352" t="n">
        <v>65.23</v>
      </c>
      <c r="R4352" t="n">
        <v>691.73</v>
      </c>
      <c r="S4352" t="n">
        <v>243.15</v>
      </c>
      <c r="T4352" t="n">
        <v>0</v>
      </c>
      <c r="U4352" t="n">
        <v>1692.41</v>
      </c>
      <c r="X4352" t="inlineStr">
        <is>
          <t>acoa-apeca</t>
        </is>
      </c>
      <c r="Y4352" t="inlineStr">
        <is>
          <t>Atlantic Canada Opportunities Agency | Agence de promotion économique du Canada atlantique</t>
        </is>
      </c>
      <c r="Z4352" t="n">
        <v>4</v>
      </c>
      <c r="AA4352" t="n">
        <v>1692.41</v>
      </c>
      <c r="AB4352">
        <f>ROUND(U4352-AA4352,2)</f>
        <v/>
      </c>
      <c r="AC4352" t="b">
        <v>0</v>
      </c>
      <c r="AD4352">
        <f>IF(U4352="","MISSING_TOTAL",IF(ABS(AB4352)&lt;=0.01,"OK","CHECK"))</f>
        <v/>
      </c>
      <c r="AE4352">
        <f>IF(U4352="","MISSING",IF(AND(AA4352&gt;0,U4352/AA4352&gt;50),"POSSIBLE_SCALE_ERROR","OK"))</f>
        <v/>
      </c>
    </row>
    <row r="4353">
      <c r="A4353" t="inlineStr">
        <is>
          <t>T-2018-Q2-00018</t>
        </is>
      </c>
      <c r="B4353" t="inlineStr">
        <is>
          <t>SLE</t>
        </is>
      </c>
      <c r="C4353" t="inlineStr">
        <is>
          <t>President</t>
        </is>
      </c>
      <c r="D4353" t="inlineStr">
        <is>
          <t>Président</t>
        </is>
      </c>
      <c r="E4353" t="inlineStr">
        <is>
          <t>Francis McGuire</t>
        </is>
      </c>
      <c r="F4353" t="inlineStr">
        <is>
          <t>For various meetings and discussions with Agency officials, Government of Canada officials, Provincial Government officials and key stakeholders</t>
        </is>
      </c>
      <c r="G4353" t="inlineStr">
        <is>
          <t>Diverses réunions et discussions avec des fonctionnaires de l'Agence, des fonctionnaires du gouvernement du Canada, des fonctionnaires du gouvernement provincial et des intervenants clés</t>
        </is>
      </c>
      <c r="H4353" s="1" t="n">
        <v>42920</v>
      </c>
      <c r="I4353" s="1" t="n">
        <v>42922</v>
      </c>
      <c r="J4353" t="inlineStr">
        <is>
          <t>Saint John, New Brunswick and Summerside, Prince Edward Island</t>
        </is>
      </c>
      <c r="K4353" t="inlineStr">
        <is>
          <t>Saint John (Nouveau-Brunswick) et Summerside (Île-du-Prince-Édouard)</t>
        </is>
      </c>
      <c r="P4353" t="n">
        <v>0</v>
      </c>
      <c r="Q4353" t="n">
        <v>0</v>
      </c>
      <c r="R4353" t="n">
        <v>406.87</v>
      </c>
      <c r="S4353" t="n">
        <v>214.2</v>
      </c>
      <c r="T4353" t="n">
        <v>268.16</v>
      </c>
      <c r="U4353" t="n">
        <v>889.23</v>
      </c>
      <c r="X4353" t="inlineStr">
        <is>
          <t>acoa-apeca</t>
        </is>
      </c>
      <c r="Y4353" t="inlineStr">
        <is>
          <t>Atlantic Canada Opportunities Agency | Agence de promotion économique du Canada atlantique</t>
        </is>
      </c>
      <c r="Z4353" t="n">
        <v>3</v>
      </c>
      <c r="AA4353" t="n">
        <v>889.23</v>
      </c>
      <c r="AB4353">
        <f>ROUND(U4353-AA4353,2)</f>
        <v/>
      </c>
      <c r="AC4353" t="b">
        <v>0</v>
      </c>
      <c r="AD4353">
        <f>IF(U4353="","MISSING_TOTAL",IF(ABS(AB4353)&lt;=0.01,"OK","CHECK"))</f>
        <v/>
      </c>
      <c r="AE4353">
        <f>IF(U4353="","MISSING",IF(AND(AA4353&gt;0,U4353/AA4353&gt;50),"POSSIBLE_SCALE_ERROR","OK"))</f>
        <v/>
      </c>
    </row>
    <row r="4354">
      <c r="A4354" t="inlineStr">
        <is>
          <t>T-2018-Q2-00017</t>
        </is>
      </c>
      <c r="B4354" t="inlineStr">
        <is>
          <t>SLE</t>
        </is>
      </c>
      <c r="C4354" t="inlineStr">
        <is>
          <t>President</t>
        </is>
      </c>
      <c r="D4354" t="inlineStr">
        <is>
          <t>Président</t>
        </is>
      </c>
      <c r="E4354" t="inlineStr">
        <is>
          <t>Francis McGuire</t>
        </is>
      </c>
      <c r="F4354" t="inlineStr">
        <is>
          <t>For a meeting and discussion with Agency official and key stakeholders</t>
        </is>
      </c>
      <c r="G4354" t="inlineStr">
        <is>
          <t>Réunion et discussion avec un fonctionnaire de l'Agence et des intervenants clés</t>
        </is>
      </c>
      <c r="H4354" s="1" t="n">
        <v>42914</v>
      </c>
      <c r="I4354" s="1" t="n">
        <v>42914</v>
      </c>
      <c r="J4354" t="inlineStr">
        <is>
          <t>Saint John, New Brunswick</t>
        </is>
      </c>
      <c r="K4354" t="inlineStr">
        <is>
          <t>Saint John (Nouveau-Brunswick)</t>
        </is>
      </c>
      <c r="P4354" t="n">
        <v>0</v>
      </c>
      <c r="Q4354" t="n">
        <v>0</v>
      </c>
      <c r="R4354" t="n">
        <v>0</v>
      </c>
      <c r="S4354" t="n">
        <v>18.05</v>
      </c>
      <c r="T4354" t="n">
        <v>0</v>
      </c>
      <c r="U4354" t="n">
        <v>18.05</v>
      </c>
      <c r="X4354" t="inlineStr">
        <is>
          <t>acoa-apeca</t>
        </is>
      </c>
      <c r="Y4354" t="inlineStr">
        <is>
          <t>Atlantic Canada Opportunities Agency | Agence de promotion économique du Canada atlantique</t>
        </is>
      </c>
      <c r="Z4354" t="n">
        <v>1</v>
      </c>
      <c r="AA4354" t="n">
        <v>18.05</v>
      </c>
      <c r="AB4354">
        <f>ROUND(U4354-AA4354,2)</f>
        <v/>
      </c>
      <c r="AC4354" t="b">
        <v>0</v>
      </c>
      <c r="AD4354">
        <f>IF(U4354="","MISSING_TOTAL",IF(ABS(AB4354)&lt;=0.01,"OK","CHECK"))</f>
        <v/>
      </c>
      <c r="AE4354">
        <f>IF(U4354="","MISSING",IF(AND(AA4354&gt;0,U4354/AA4354&gt;50),"POSSIBLE_SCALE_ERROR","OK"))</f>
        <v/>
      </c>
    </row>
    <row r="4355">
      <c r="A4355" t="inlineStr">
        <is>
          <t>T-2018-Q2-00007</t>
        </is>
      </c>
      <c r="B4355" t="inlineStr">
        <is>
          <t>SLE</t>
        </is>
      </c>
      <c r="C4355" t="inlineStr">
        <is>
          <t>Vice-President, Prince Edward Island</t>
        </is>
      </c>
      <c r="D4355" t="inlineStr">
        <is>
          <t>Vice-président, Île-du-Prince-Édouard</t>
        </is>
      </c>
      <c r="E4355" t="inlineStr">
        <is>
          <t>Patrick Dorsey</t>
        </is>
      </c>
      <c r="F4355" t="inlineStr">
        <is>
          <t>ICD evaluation</t>
        </is>
      </c>
      <c r="G4355" t="inlineStr">
        <is>
          <t>Évaluation de l'IAS</t>
        </is>
      </c>
      <c r="H4355" s="1" t="n">
        <v>42898</v>
      </c>
      <c r="I4355" s="1" t="n">
        <v>42899</v>
      </c>
      <c r="J4355" t="inlineStr">
        <is>
          <t>Toronto, Ontario</t>
        </is>
      </c>
      <c r="K4355" t="inlineStr">
        <is>
          <t>Toronto (Ontario)</t>
        </is>
      </c>
      <c r="P4355" t="n">
        <v>881.49</v>
      </c>
      <c r="Q4355" t="n">
        <v>56.29</v>
      </c>
      <c r="R4355" t="n">
        <v>230.34</v>
      </c>
      <c r="S4355" t="n">
        <v>179.75</v>
      </c>
      <c r="T4355" t="n">
        <v>0</v>
      </c>
      <c r="U4355" t="n">
        <v>1347.87</v>
      </c>
      <c r="X4355" t="inlineStr">
        <is>
          <t>acoa-apeca</t>
        </is>
      </c>
      <c r="Y4355" t="inlineStr">
        <is>
          <t>Atlantic Canada Opportunities Agency | Agence de promotion économique du Canada atlantique</t>
        </is>
      </c>
      <c r="Z4355" t="n">
        <v>2</v>
      </c>
      <c r="AA4355" t="n">
        <v>1347.87</v>
      </c>
      <c r="AB4355">
        <f>ROUND(U4355-AA4355,2)</f>
        <v/>
      </c>
      <c r="AC4355" t="b">
        <v>0</v>
      </c>
      <c r="AD4355">
        <f>IF(U4355="","MISSING_TOTAL",IF(ABS(AB4355)&lt;=0.01,"OK","CHECK"))</f>
        <v/>
      </c>
      <c r="AE4355">
        <f>IF(U4355="","MISSING",IF(AND(AA4355&gt;0,U4355/AA4355&gt;50),"POSSIBLE_SCALE_ERROR","OK"))</f>
        <v/>
      </c>
    </row>
    <row r="4356">
      <c r="A4356" t="inlineStr">
        <is>
          <t>T-2018-Q2-00016</t>
        </is>
      </c>
      <c r="B4356" t="inlineStr">
        <is>
          <t>SLE</t>
        </is>
      </c>
      <c r="C4356" t="inlineStr">
        <is>
          <t>Vice President, Finance and Corporate Services</t>
        </is>
      </c>
      <c r="D4356" t="inlineStr">
        <is>
          <t>Vice-présidente, Finances et Services corporatifs</t>
        </is>
      </c>
      <c r="E4356" t="inlineStr">
        <is>
          <t>Denise Frenette</t>
        </is>
      </c>
      <c r="F4356" t="inlineStr">
        <is>
          <t>Meeting with Government of Canada officials, provincial government officials and private sector officials</t>
        </is>
      </c>
      <c r="G4356" t="inlineStr">
        <is>
          <t>Réunion avec des fonctionnaires des gouvernements fédéral et provincial et des représentants du secteur privé</t>
        </is>
      </c>
      <c r="H4356" s="1" t="n">
        <v>42925</v>
      </c>
      <c r="I4356" s="1" t="n">
        <v>42926</v>
      </c>
      <c r="J4356" t="inlineStr">
        <is>
          <t>Halifax, Nova Scotia</t>
        </is>
      </c>
      <c r="K4356" t="inlineStr">
        <is>
          <t>Halifax (Nouvelle-Écosse)</t>
        </is>
      </c>
      <c r="P4356" t="n">
        <v>0</v>
      </c>
      <c r="Q4356" t="n">
        <v>0</v>
      </c>
      <c r="R4356" t="n">
        <v>209.97</v>
      </c>
      <c r="S4356" t="n">
        <v>143.65</v>
      </c>
      <c r="T4356" t="n">
        <v>0</v>
      </c>
      <c r="U4356" t="n">
        <v>353.62</v>
      </c>
      <c r="X4356" t="inlineStr">
        <is>
          <t>acoa-apeca</t>
        </is>
      </c>
      <c r="Y4356" t="inlineStr">
        <is>
          <t>Atlantic Canada Opportunities Agency | Agence de promotion économique du Canada atlantique</t>
        </is>
      </c>
      <c r="Z4356" t="n">
        <v>2</v>
      </c>
      <c r="AA4356" t="n">
        <v>353.62</v>
      </c>
      <c r="AB4356">
        <f>ROUND(U4356-AA4356,2)</f>
        <v/>
      </c>
      <c r="AC4356" t="b">
        <v>0</v>
      </c>
      <c r="AD4356">
        <f>IF(U4356="","MISSING_TOTAL",IF(ABS(AB4356)&lt;=0.01,"OK","CHECK"))</f>
        <v/>
      </c>
      <c r="AE4356">
        <f>IF(U4356="","MISSING",IF(AND(AA4356&gt;0,U4356/AA4356&gt;50),"POSSIBLE_SCALE_ERROR","OK"))</f>
        <v/>
      </c>
    </row>
    <row r="4357">
      <c r="A4357" t="inlineStr">
        <is>
          <t>T-2018-Q2-00015</t>
        </is>
      </c>
      <c r="B4357" t="inlineStr">
        <is>
          <t>SLE</t>
        </is>
      </c>
      <c r="C4357" t="inlineStr">
        <is>
          <t>Vice President, Finance and Corporate Services</t>
        </is>
      </c>
      <c r="D4357" t="inlineStr">
        <is>
          <t>Vice-présidente, Finances et Services corporatifs</t>
        </is>
      </c>
      <c r="E4357" t="inlineStr">
        <is>
          <t>Denise Frenette</t>
        </is>
      </c>
      <c r="F4357" t="inlineStr">
        <is>
          <t>Meeting with Government of Canada officials, provincial government officials and private sector officials</t>
        </is>
      </c>
      <c r="G4357" t="inlineStr">
        <is>
          <t>Réunion avec des fonctionnaires des gouvernements fédéral et provincial et des représentants du secteur privé</t>
        </is>
      </c>
      <c r="H4357" s="1" t="n">
        <v>42924</v>
      </c>
      <c r="I4357" s="1" t="n">
        <v>42925</v>
      </c>
      <c r="J4357" t="inlineStr">
        <is>
          <t>Halifax, Nova Scotia</t>
        </is>
      </c>
      <c r="K4357" t="inlineStr">
        <is>
          <t>Halifax (Nouvelle-Écosse)</t>
        </is>
      </c>
      <c r="P4357" t="n">
        <v>0</v>
      </c>
      <c r="Q4357" t="n">
        <v>0</v>
      </c>
      <c r="R4357" t="n">
        <v>238.72</v>
      </c>
      <c r="S4357" t="n">
        <v>97.7</v>
      </c>
      <c r="T4357" t="n">
        <v>8</v>
      </c>
      <c r="U4357" t="n">
        <v>344.42</v>
      </c>
      <c r="X4357" t="inlineStr">
        <is>
          <t>acoa-apeca</t>
        </is>
      </c>
      <c r="Y4357" t="inlineStr">
        <is>
          <t>Atlantic Canada Opportunities Agency | Agence de promotion économique du Canada atlantique</t>
        </is>
      </c>
      <c r="Z4357" t="n">
        <v>2</v>
      </c>
      <c r="AA4357" t="n">
        <v>344.42</v>
      </c>
      <c r="AB4357">
        <f>ROUND(U4357-AA4357,2)</f>
        <v/>
      </c>
      <c r="AC4357" t="b">
        <v>0</v>
      </c>
      <c r="AD4357">
        <f>IF(U4357="","MISSING_TOTAL",IF(ABS(AB4357)&lt;=0.01,"OK","CHECK"))</f>
        <v/>
      </c>
      <c r="AE4357">
        <f>IF(U4357="","MISSING",IF(AND(AA4357&gt;0,U4357/AA4357&gt;50),"POSSIBLE_SCALE_ERROR","OK"))</f>
        <v/>
      </c>
    </row>
    <row r="4358">
      <c r="A4358" t="inlineStr">
        <is>
          <t>T-2018-Q2-00014</t>
        </is>
      </c>
      <c r="B4358" t="inlineStr">
        <is>
          <t>SLE</t>
        </is>
      </c>
      <c r="C4358" t="inlineStr">
        <is>
          <t>Vice-President, Policy and Programs</t>
        </is>
      </c>
      <c r="D4358" t="inlineStr">
        <is>
          <t>Vice-président, Politiques et Programmes</t>
        </is>
      </c>
      <c r="E4358" t="inlineStr">
        <is>
          <t>Daryell Nowlan</t>
        </is>
      </c>
      <c r="F4358" t="inlineStr">
        <is>
          <t>Meeting with Government of Canada officials and private sector officials</t>
        </is>
      </c>
      <c r="G4358" t="inlineStr">
        <is>
          <t>Réunion avec des fonctionnaires du gouvernement du Canada et des représentants du secteur privé</t>
        </is>
      </c>
      <c r="H4358" s="1" t="n">
        <v>42920</v>
      </c>
      <c r="I4358" s="1" t="n">
        <v>42920</v>
      </c>
      <c r="J4358" t="inlineStr">
        <is>
          <t>Saint John, New Brunswick</t>
        </is>
      </c>
      <c r="K4358" t="inlineStr">
        <is>
          <t>Saint John (Nouveau-Brunswick)</t>
        </is>
      </c>
      <c r="P4358" t="n">
        <v>0</v>
      </c>
      <c r="Q4358" t="n">
        <v>0</v>
      </c>
      <c r="R4358" t="n">
        <v>0</v>
      </c>
      <c r="S4358" t="n">
        <v>64</v>
      </c>
      <c r="T4358" t="n">
        <v>0</v>
      </c>
      <c r="U4358" t="n">
        <v>64</v>
      </c>
      <c r="X4358" t="inlineStr">
        <is>
          <t>acoa-apeca</t>
        </is>
      </c>
      <c r="Y4358" t="inlineStr">
        <is>
          <t>Atlantic Canada Opportunities Agency | Agence de promotion économique du Canada atlantique</t>
        </is>
      </c>
      <c r="Z4358" t="n">
        <v>1</v>
      </c>
      <c r="AA4358" t="n">
        <v>64</v>
      </c>
      <c r="AB4358">
        <f>ROUND(U4358-AA4358,2)</f>
        <v/>
      </c>
      <c r="AC4358" t="b">
        <v>0</v>
      </c>
      <c r="AD4358">
        <f>IF(U4358="","MISSING_TOTAL",IF(ABS(AB4358)&lt;=0.01,"OK","CHECK"))</f>
        <v/>
      </c>
      <c r="AE4358">
        <f>IF(U4358="","MISSING",IF(AND(AA4358&gt;0,U4358/AA4358&gt;50),"POSSIBLE_SCALE_ERROR","OK"))</f>
        <v/>
      </c>
    </row>
    <row r="4359">
      <c r="A4359" t="inlineStr">
        <is>
          <t>T-2018-Q2-00013</t>
        </is>
      </c>
      <c r="B4359" t="inlineStr">
        <is>
          <t>SLE</t>
        </is>
      </c>
      <c r="C4359" t="inlineStr">
        <is>
          <t>Vice-President, Policy and Programs</t>
        </is>
      </c>
      <c r="D4359" t="inlineStr">
        <is>
          <t>Vice-président, Politiques et Programmes</t>
        </is>
      </c>
      <c r="E4359" t="inlineStr">
        <is>
          <t>Daryell Nowlan</t>
        </is>
      </c>
      <c r="F4359" t="inlineStr">
        <is>
          <t>Meeting with private sector officials</t>
        </is>
      </c>
      <c r="G4359" t="inlineStr">
        <is>
          <t>Réunion avec des représentants du secteur privé</t>
        </is>
      </c>
      <c r="H4359" s="1" t="n">
        <v>42914</v>
      </c>
      <c r="I4359" s="1" t="n">
        <v>42914</v>
      </c>
      <c r="J4359" t="inlineStr">
        <is>
          <t>Saint John, New Brunswick</t>
        </is>
      </c>
      <c r="K4359" t="inlineStr">
        <is>
          <t>Saint John (Nouveau-Brunswick)</t>
        </is>
      </c>
      <c r="P4359" t="n">
        <v>0</v>
      </c>
      <c r="Q4359" t="n">
        <v>130.25</v>
      </c>
      <c r="R4359" t="n">
        <v>0</v>
      </c>
      <c r="S4359" t="n">
        <v>18.05</v>
      </c>
      <c r="T4359" t="n">
        <v>0</v>
      </c>
      <c r="U4359" t="n">
        <v>148.3</v>
      </c>
      <c r="X4359" t="inlineStr">
        <is>
          <t>acoa-apeca</t>
        </is>
      </c>
      <c r="Y4359" t="inlineStr">
        <is>
          <t>Atlantic Canada Opportunities Agency | Agence de promotion économique du Canada atlantique</t>
        </is>
      </c>
      <c r="Z4359" t="n">
        <v>1</v>
      </c>
      <c r="AA4359" t="n">
        <v>148.3</v>
      </c>
      <c r="AB4359">
        <f>ROUND(U4359-AA4359,2)</f>
        <v/>
      </c>
      <c r="AC4359" t="b">
        <v>0</v>
      </c>
      <c r="AD4359">
        <f>IF(U4359="","MISSING_TOTAL",IF(ABS(AB4359)&lt;=0.01,"OK","CHECK"))</f>
        <v/>
      </c>
      <c r="AE4359">
        <f>IF(U4359="","MISSING",IF(AND(AA4359&gt;0,U4359/AA4359&gt;50),"POSSIBLE_SCALE_ERROR","OK"))</f>
        <v/>
      </c>
    </row>
    <row r="4360">
      <c r="A4360" t="inlineStr">
        <is>
          <t>T-2018-Q2-00011</t>
        </is>
      </c>
      <c r="B4360" t="inlineStr">
        <is>
          <t>SLE</t>
        </is>
      </c>
      <c r="C4360" t="inlineStr">
        <is>
          <t>President</t>
        </is>
      </c>
      <c r="D4360" t="inlineStr">
        <is>
          <t>Président</t>
        </is>
      </c>
      <c r="E4360" t="inlineStr">
        <is>
          <t>Francis McGuire</t>
        </is>
      </c>
      <c r="F4360" t="inlineStr">
        <is>
          <t>For various meetings and discussions with Agency officials, Government of Canada officials and key stakeholders</t>
        </is>
      </c>
      <c r="G4360" t="inlineStr">
        <is>
          <t>Diverses réunions et discussions avec des fonctionnaires de l'Agence, des fonctionnaires du gouvernement du Canada et des intervenants clés</t>
        </is>
      </c>
      <c r="H4360" s="1" t="n">
        <v>42906</v>
      </c>
      <c r="I4360" s="1" t="n">
        <v>42909</v>
      </c>
      <c r="J4360" t="inlineStr">
        <is>
          <t>Halifax, Nova Scotia and Ottawa, Ontario</t>
        </is>
      </c>
      <c r="K4360" t="inlineStr">
        <is>
          <t>Halifax (Nouvelle-Écosse) et Ottawa (Ontario)</t>
        </is>
      </c>
      <c r="P4360" t="n">
        <v>748.1</v>
      </c>
      <c r="Q4360" t="n">
        <v>275.73</v>
      </c>
      <c r="R4360" t="n">
        <v>682.34</v>
      </c>
      <c r="S4360" t="n">
        <v>304.45</v>
      </c>
      <c r="T4360" t="n">
        <v>25.3</v>
      </c>
      <c r="U4360" t="n">
        <v>2035.92</v>
      </c>
      <c r="X4360" t="inlineStr">
        <is>
          <t>acoa-apeca</t>
        </is>
      </c>
      <c r="Y4360" t="inlineStr">
        <is>
          <t>Atlantic Canada Opportunities Agency | Agence de promotion économique du Canada atlantique</t>
        </is>
      </c>
      <c r="Z4360" t="n">
        <v>4</v>
      </c>
      <c r="AA4360" t="n">
        <v>2035.92</v>
      </c>
      <c r="AB4360">
        <f>ROUND(U4360-AA4360,2)</f>
        <v/>
      </c>
      <c r="AC4360" t="b">
        <v>0</v>
      </c>
      <c r="AD4360">
        <f>IF(U4360="","MISSING_TOTAL",IF(ABS(AB4360)&lt;=0.01,"OK","CHECK"))</f>
        <v/>
      </c>
      <c r="AE4360">
        <f>IF(U4360="","MISSING",IF(AND(AA4360&gt;0,U4360/AA4360&gt;50),"POSSIBLE_SCALE_ERROR","OK"))</f>
        <v/>
      </c>
    </row>
    <row r="4361">
      <c r="A4361" t="inlineStr">
        <is>
          <t>T-2018-Q2-00009</t>
        </is>
      </c>
      <c r="B4361" t="inlineStr">
        <is>
          <t>SLE</t>
        </is>
      </c>
      <c r="C4361" t="inlineStr">
        <is>
          <t>Vice-President, Prince Edward Island</t>
        </is>
      </c>
      <c r="D4361" t="inlineStr">
        <is>
          <t>Vice-président, Île-du-Prince-Édouard</t>
        </is>
      </c>
      <c r="E4361" t="inlineStr">
        <is>
          <t>Patrick Dorsey</t>
        </is>
      </c>
      <c r="F4361" t="inlineStr">
        <is>
          <t>Meetings with Government of Canada officials</t>
        </is>
      </c>
      <c r="G4361" t="inlineStr">
        <is>
          <t>Réunions avec des fonctionnaires du gouvernement du Canada</t>
        </is>
      </c>
      <c r="H4361" s="1" t="n">
        <v>42907</v>
      </c>
      <c r="I4361" s="1" t="n">
        <v>42908</v>
      </c>
      <c r="J4361" t="inlineStr">
        <is>
          <t>Ottawa, Ontario</t>
        </is>
      </c>
      <c r="K4361" t="inlineStr">
        <is>
          <t>Ottawa (Ontario)</t>
        </is>
      </c>
      <c r="P4361" t="n">
        <v>644.21</v>
      </c>
      <c r="Q4361" t="n">
        <v>54.03</v>
      </c>
      <c r="R4361" t="n">
        <v>219.98</v>
      </c>
      <c r="S4361" t="n">
        <v>143.65</v>
      </c>
      <c r="T4361" t="n">
        <v>0</v>
      </c>
      <c r="U4361" t="n">
        <v>1061.87</v>
      </c>
      <c r="X4361" t="inlineStr">
        <is>
          <t>acoa-apeca</t>
        </is>
      </c>
      <c r="Y4361" t="inlineStr">
        <is>
          <t>Atlantic Canada Opportunities Agency | Agence de promotion économique du Canada atlantique</t>
        </is>
      </c>
      <c r="Z4361" t="n">
        <v>2</v>
      </c>
      <c r="AA4361" t="n">
        <v>1061.87</v>
      </c>
      <c r="AB4361">
        <f>ROUND(U4361-AA4361,2)</f>
        <v/>
      </c>
      <c r="AC4361" t="b">
        <v>0</v>
      </c>
      <c r="AD4361">
        <f>IF(U4361="","MISSING_TOTAL",IF(ABS(AB4361)&lt;=0.01,"OK","CHECK"))</f>
        <v/>
      </c>
      <c r="AE4361">
        <f>IF(U4361="","MISSING",IF(AND(AA4361&gt;0,U4361/AA4361&gt;50),"POSSIBLE_SCALE_ERROR","OK"))</f>
        <v/>
      </c>
    </row>
    <row r="4362">
      <c r="A4362" t="inlineStr">
        <is>
          <t>T-2018-Q2-00006</t>
        </is>
      </c>
      <c r="B4362" t="inlineStr">
        <is>
          <t>SLE</t>
        </is>
      </c>
      <c r="C4362" t="inlineStr">
        <is>
          <t>Vice-President, Policy and Programs</t>
        </is>
      </c>
      <c r="D4362" t="inlineStr">
        <is>
          <t>Vice-président, Politiques et Programmes</t>
        </is>
      </c>
      <c r="E4362" t="inlineStr">
        <is>
          <t>Daryell Nowlan</t>
        </is>
      </c>
      <c r="F4362" t="inlineStr">
        <is>
          <t>Meetings with Government of Canada officials</t>
        </is>
      </c>
      <c r="G4362" t="inlineStr">
        <is>
          <t>Réunions avec des fonctionnaires du gouvernement du Canada</t>
        </is>
      </c>
      <c r="H4362" s="1" t="n">
        <v>42899</v>
      </c>
      <c r="I4362" s="1" t="n">
        <v>42900</v>
      </c>
      <c r="J4362" t="inlineStr">
        <is>
          <t>Ottawa, Ontario</t>
        </is>
      </c>
      <c r="K4362" t="inlineStr">
        <is>
          <t>Ottawa (Ontario)</t>
        </is>
      </c>
      <c r="P4362" t="n">
        <v>1384.6</v>
      </c>
      <c r="Q4362" t="n">
        <v>81</v>
      </c>
      <c r="R4362" t="n">
        <v>579.62</v>
      </c>
      <c r="S4362" t="n">
        <v>323.4</v>
      </c>
      <c r="T4362" t="n">
        <v>0</v>
      </c>
      <c r="U4362" t="n">
        <v>2368.62</v>
      </c>
      <c r="X4362" t="inlineStr">
        <is>
          <t>acoa-apeca</t>
        </is>
      </c>
      <c r="Y4362" t="inlineStr">
        <is>
          <t>Atlantic Canada Opportunities Agency | Agence de promotion économique du Canada atlantique</t>
        </is>
      </c>
      <c r="Z4362" t="n">
        <v>2</v>
      </c>
      <c r="AA4362" t="n">
        <v>2368.62</v>
      </c>
      <c r="AB4362">
        <f>ROUND(U4362-AA4362,2)</f>
        <v/>
      </c>
      <c r="AC4362" t="b">
        <v>0</v>
      </c>
      <c r="AD4362">
        <f>IF(U4362="","MISSING_TOTAL",IF(ABS(AB4362)&lt;=0.01,"OK","CHECK"))</f>
        <v/>
      </c>
      <c r="AE4362">
        <f>IF(U4362="","MISSING",IF(AND(AA4362&gt;0,U4362/AA4362&gt;50),"POSSIBLE_SCALE_ERROR","OK"))</f>
        <v/>
      </c>
    </row>
    <row r="4363">
      <c r="A4363" t="inlineStr">
        <is>
          <t>T-2018-Q2-00005</t>
        </is>
      </c>
      <c r="B4363" t="inlineStr">
        <is>
          <t>SLE</t>
        </is>
      </c>
      <c r="C4363" t="inlineStr">
        <is>
          <t>President</t>
        </is>
      </c>
      <c r="D4363" t="inlineStr">
        <is>
          <t>Président</t>
        </is>
      </c>
      <c r="E4363" t="inlineStr">
        <is>
          <t>Francis McGuire</t>
        </is>
      </c>
      <c r="F4363" t="inlineStr">
        <is>
          <t>For various meetings and discussions with Agency officials and Government of Canada officials</t>
        </is>
      </c>
      <c r="G4363" t="inlineStr">
        <is>
          <t>Diverses réunions et discussions avec des fonctionnaires de l'Agence et des fonctionnaires du gouvernement du Canada</t>
        </is>
      </c>
      <c r="H4363" s="1" t="n">
        <v>42899</v>
      </c>
      <c r="I4363" s="1" t="n">
        <v>42900</v>
      </c>
      <c r="J4363" t="inlineStr">
        <is>
          <t>Ottawa, Ontario</t>
        </is>
      </c>
      <c r="K4363" t="inlineStr">
        <is>
          <t>Ottawa (Ontario)</t>
        </is>
      </c>
      <c r="P4363" t="n">
        <v>647.74</v>
      </c>
      <c r="Q4363" t="n">
        <v>0</v>
      </c>
      <c r="R4363" t="n">
        <v>161.7</v>
      </c>
      <c r="S4363" t="n">
        <v>231.62</v>
      </c>
      <c r="T4363" t="n">
        <v>25.3</v>
      </c>
      <c r="U4363" t="n">
        <v>1066.36</v>
      </c>
      <c r="X4363" t="inlineStr">
        <is>
          <t>acoa-apeca</t>
        </is>
      </c>
      <c r="Y4363" t="inlineStr">
        <is>
          <t>Atlantic Canada Opportunities Agency | Agence de promotion économique du Canada atlantique</t>
        </is>
      </c>
      <c r="Z4363" t="n">
        <v>2</v>
      </c>
      <c r="AA4363" t="n">
        <v>1066.36</v>
      </c>
      <c r="AB4363">
        <f>ROUND(U4363-AA4363,2)</f>
        <v/>
      </c>
      <c r="AC4363" t="b">
        <v>0</v>
      </c>
      <c r="AD4363">
        <f>IF(U4363="","MISSING_TOTAL",IF(ABS(AB4363)&lt;=0.01,"OK","CHECK"))</f>
        <v/>
      </c>
      <c r="AE4363">
        <f>IF(U4363="","MISSING",IF(AND(AA4363&gt;0,U4363/AA4363&gt;50),"POSSIBLE_SCALE_ERROR","OK"))</f>
        <v/>
      </c>
    </row>
    <row r="4364">
      <c r="A4364" t="inlineStr">
        <is>
          <t>T-2018-Q2-00004</t>
        </is>
      </c>
      <c r="B4364" t="inlineStr">
        <is>
          <t>SLE</t>
        </is>
      </c>
      <c r="C4364" t="inlineStr">
        <is>
          <t>President</t>
        </is>
      </c>
      <c r="D4364" t="inlineStr">
        <is>
          <t>Président</t>
        </is>
      </c>
      <c r="E4364" t="inlineStr">
        <is>
          <t>Francis McGuire</t>
        </is>
      </c>
      <c r="F4364" t="inlineStr">
        <is>
          <t>For various meetings and discussions with Agency officials and Provincial Government officials</t>
        </is>
      </c>
      <c r="G4364" t="inlineStr">
        <is>
          <t>Diverses réunions et discussions avec des fonctionnaires de l'Agence et des fonctionnaires du gouvernement provincial</t>
        </is>
      </c>
      <c r="H4364" s="1" t="n">
        <v>42901</v>
      </c>
      <c r="I4364" s="1" t="n">
        <v>42902</v>
      </c>
      <c r="J4364" t="inlineStr">
        <is>
          <t>Charlottetown and Summerside, Prince Edward Island</t>
        </is>
      </c>
      <c r="K4364" t="inlineStr">
        <is>
          <t>Charlottetown et Summerside (Île-du-Prince-Édouard)</t>
        </is>
      </c>
      <c r="P4364" t="n">
        <v>0</v>
      </c>
      <c r="Q4364" t="n">
        <v>0</v>
      </c>
      <c r="R4364" t="n">
        <v>259.41</v>
      </c>
      <c r="S4364" t="n">
        <v>97.7</v>
      </c>
      <c r="T4364" t="n">
        <v>191.9</v>
      </c>
      <c r="U4364" t="n">
        <v>549.01</v>
      </c>
      <c r="X4364" t="inlineStr">
        <is>
          <t>acoa-apeca</t>
        </is>
      </c>
      <c r="Y4364" t="inlineStr">
        <is>
          <t>Atlantic Canada Opportunities Agency | Agence de promotion économique du Canada atlantique</t>
        </is>
      </c>
      <c r="Z4364" t="n">
        <v>2</v>
      </c>
      <c r="AA4364" t="n">
        <v>549.01</v>
      </c>
      <c r="AB4364">
        <f>ROUND(U4364-AA4364,2)</f>
        <v/>
      </c>
      <c r="AC4364" t="b">
        <v>0</v>
      </c>
      <c r="AD4364">
        <f>IF(U4364="","MISSING_TOTAL",IF(ABS(AB4364)&lt;=0.01,"OK","CHECK"))</f>
        <v/>
      </c>
      <c r="AE4364">
        <f>IF(U4364="","MISSING",IF(AND(AA4364&gt;0,U4364/AA4364&gt;50),"POSSIBLE_SCALE_ERROR","OK"))</f>
        <v/>
      </c>
    </row>
    <row r="4365">
      <c r="A4365" t="inlineStr">
        <is>
          <t>T-2018-Q2-00003</t>
        </is>
      </c>
      <c r="B4365" t="inlineStr">
        <is>
          <t>SLE</t>
        </is>
      </c>
      <c r="C4365" t="inlineStr">
        <is>
          <t>Vice-President, New Brunswick</t>
        </is>
      </c>
      <c r="D4365" t="inlineStr">
        <is>
          <t>Vice-président, Nouveau-Brunswick</t>
        </is>
      </c>
      <c r="E4365" t="inlineStr">
        <is>
          <t>Kent Estabrooks</t>
        </is>
      </c>
      <c r="F4365" t="inlineStr">
        <is>
          <t>Training and development / Various  meetings with Government of Canada officials</t>
        </is>
      </c>
      <c r="G4365" t="inlineStr">
        <is>
          <t xml:space="preserve">Formation et perfectionnement / diverses réunions avec des fonctionnaires fédéraux</t>
        </is>
      </c>
      <c r="H4365" s="1" t="n">
        <v>42890</v>
      </c>
      <c r="I4365" s="1" t="n">
        <v>42894</v>
      </c>
      <c r="J4365" t="inlineStr">
        <is>
          <t>Ottawa, Ontario</t>
        </is>
      </c>
      <c r="K4365" t="inlineStr">
        <is>
          <t>Ottawa (Ontario)</t>
        </is>
      </c>
      <c r="P4365" t="n">
        <v>678.5</v>
      </c>
      <c r="Q4365" t="n">
        <v>118.38</v>
      </c>
      <c r="R4365" t="n">
        <v>926.48</v>
      </c>
      <c r="S4365" t="n">
        <v>288.35</v>
      </c>
      <c r="T4365" t="n">
        <v>17.39</v>
      </c>
      <c r="U4365" t="n">
        <v>2029.1</v>
      </c>
      <c r="X4365" t="inlineStr">
        <is>
          <t>acoa-apeca</t>
        </is>
      </c>
      <c r="Y4365" t="inlineStr">
        <is>
          <t>Atlantic Canada Opportunities Agency | Agence de promotion économique du Canada atlantique</t>
        </is>
      </c>
      <c r="Z4365" t="n">
        <v>5</v>
      </c>
      <c r="AA4365" t="n">
        <v>2029.1</v>
      </c>
      <c r="AB4365">
        <f>ROUND(U4365-AA4365,2)</f>
        <v/>
      </c>
      <c r="AC4365" t="b">
        <v>0</v>
      </c>
      <c r="AD4365">
        <f>IF(U4365="","MISSING_TOTAL",IF(ABS(AB4365)&lt;=0.01,"OK","CHECK"))</f>
        <v/>
      </c>
      <c r="AE4365">
        <f>IF(U4365="","MISSING",IF(AND(AA4365&gt;0,U4365/AA4365&gt;50),"POSSIBLE_SCALE_ERROR","OK"))</f>
        <v/>
      </c>
    </row>
    <row r="4366">
      <c r="A4366" t="inlineStr">
        <is>
          <t>T-2018-Q2-00002</t>
        </is>
      </c>
      <c r="B4366" t="inlineStr">
        <is>
          <t>SLE</t>
        </is>
      </c>
      <c r="C4366" t="inlineStr">
        <is>
          <t>Acting President</t>
        </is>
      </c>
      <c r="D4366" t="inlineStr">
        <is>
          <t>Président par intérim</t>
        </is>
      </c>
      <c r="E4366" t="inlineStr">
        <is>
          <t>Daryell Nowlan</t>
        </is>
      </c>
      <c r="F4366" t="inlineStr">
        <is>
          <t>For various meetings and discussions with Agency officials and Government of Canada officials</t>
        </is>
      </c>
      <c r="G4366" t="inlineStr">
        <is>
          <t>Diverses réunions et discussions avec des fonctionnaires de l'Agence et du gouvernement du Canada</t>
        </is>
      </c>
      <c r="H4366" s="1" t="n">
        <v>42891</v>
      </c>
      <c r="I4366" s="1" t="n">
        <v>42893</v>
      </c>
      <c r="J4366" t="inlineStr">
        <is>
          <t>Ottawa, Ontario</t>
        </is>
      </c>
      <c r="K4366" t="inlineStr">
        <is>
          <t>Ottawa (Ontario)</t>
        </is>
      </c>
      <c r="P4366" t="n">
        <v>657.9400000000001</v>
      </c>
      <c r="Q4366" t="n">
        <v>104</v>
      </c>
      <c r="R4366" t="n">
        <v>579.62</v>
      </c>
      <c r="S4366" t="n">
        <v>224.95</v>
      </c>
      <c r="T4366" t="n">
        <v>113</v>
      </c>
      <c r="U4366" t="n">
        <v>1679.51</v>
      </c>
      <c r="X4366" t="inlineStr">
        <is>
          <t>acoa-apeca</t>
        </is>
      </c>
      <c r="Y4366" t="inlineStr">
        <is>
          <t>Atlantic Canada Opportunities Agency | Agence de promotion économique du Canada atlantique</t>
        </is>
      </c>
      <c r="Z4366" t="n">
        <v>3</v>
      </c>
      <c r="AA4366" t="n">
        <v>1679.51</v>
      </c>
      <c r="AB4366">
        <f>ROUND(U4366-AA4366,2)</f>
        <v/>
      </c>
      <c r="AC4366" t="b">
        <v>0</v>
      </c>
      <c r="AD4366">
        <f>IF(U4366="","MISSING_TOTAL",IF(ABS(AB4366)&lt;=0.01,"OK","CHECK"))</f>
        <v/>
      </c>
      <c r="AE4366">
        <f>IF(U4366="","MISSING",IF(AND(AA4366&gt;0,U4366/AA4366&gt;50),"POSSIBLE_SCALE_ERROR","OK"))</f>
        <v/>
      </c>
    </row>
    <row r="4367">
      <c r="A4367" t="inlineStr">
        <is>
          <t>T-2018-Q3-00070</t>
        </is>
      </c>
      <c r="B4367" t="inlineStr">
        <is>
          <t>SLE</t>
        </is>
      </c>
      <c r="C4367" t="inlineStr">
        <is>
          <t>Vice-President, New Brunswick</t>
        </is>
      </c>
      <c r="D4367" t="inlineStr">
        <is>
          <t>Vice-président, Nouveau-Brunswick</t>
        </is>
      </c>
      <c r="E4367" t="inlineStr">
        <is>
          <t>Kent Estabrooks</t>
        </is>
      </c>
      <c r="F4367" t="inlineStr">
        <is>
          <t>Meetings with various federal officials / training and development</t>
        </is>
      </c>
      <c r="G4367" t="inlineStr">
        <is>
          <t>Réunions avec divers fonctionnaires fédéraux / formation et perfectionnement</t>
        </is>
      </c>
      <c r="H4367" s="1" t="n">
        <v>43010</v>
      </c>
      <c r="I4367" s="1" t="n">
        <v>43011</v>
      </c>
      <c r="J4367" t="inlineStr">
        <is>
          <t>Ottawa, Ontario</t>
        </is>
      </c>
      <c r="K4367" t="inlineStr">
        <is>
          <t>Ottawa (Ontario)</t>
        </is>
      </c>
      <c r="P4367" t="n">
        <v>658.55</v>
      </c>
      <c r="Q4367" t="n">
        <v>123.5</v>
      </c>
      <c r="R4367" t="n">
        <v>231.62</v>
      </c>
      <c r="S4367" t="n">
        <v>148.2</v>
      </c>
      <c r="T4367" t="n">
        <v>24</v>
      </c>
      <c r="U4367" t="n">
        <v>1185.87</v>
      </c>
      <c r="X4367" t="inlineStr">
        <is>
          <t>acoa-apeca</t>
        </is>
      </c>
      <c r="Y4367" t="inlineStr">
        <is>
          <t>Atlantic Canada Opportunities Agency | Agence de promotion économique du Canada atlantique</t>
        </is>
      </c>
      <c r="Z4367" t="n">
        <v>2</v>
      </c>
      <c r="AA4367" t="n">
        <v>1185.87</v>
      </c>
      <c r="AB4367">
        <f>ROUND(U4367-AA4367,2)</f>
        <v/>
      </c>
      <c r="AC4367" t="b">
        <v>0</v>
      </c>
      <c r="AD4367">
        <f>IF(U4367="","MISSING_TOTAL",IF(ABS(AB4367)&lt;=0.01,"OK","CHECK"))</f>
        <v/>
      </c>
      <c r="AE4367">
        <f>IF(U4367="","MISSING",IF(AND(AA4367&gt;0,U4367/AA4367&gt;50),"POSSIBLE_SCALE_ERROR","OK"))</f>
        <v/>
      </c>
    </row>
    <row r="4368">
      <c r="A4368" t="inlineStr">
        <is>
          <t>T-2018-Q2-00001</t>
        </is>
      </c>
      <c r="B4368" t="inlineStr">
        <is>
          <t>SLE</t>
        </is>
      </c>
      <c r="C4368" t="inlineStr">
        <is>
          <t>Acting Vice-President, Policy and Programs</t>
        </is>
      </c>
      <c r="D4368" t="inlineStr">
        <is>
          <t>Vice-présidente, Politiques et Programmes par intérim</t>
        </is>
      </c>
      <c r="E4368" t="inlineStr">
        <is>
          <t>Denise Frenette</t>
        </is>
      </c>
      <c r="F4368" t="inlineStr">
        <is>
          <t>Meetings with Government of Canada and private sector officials</t>
        </is>
      </c>
      <c r="G4368" t="inlineStr">
        <is>
          <t>Réunions avec des fonctionnaires du gouvermement du Canada et des représentants du secteur privé</t>
        </is>
      </c>
      <c r="H4368" s="1" t="n">
        <v>42892</v>
      </c>
      <c r="I4368" s="1" t="n">
        <v>42893</v>
      </c>
      <c r="J4368" t="inlineStr">
        <is>
          <t>Halifax, Nova Scotia</t>
        </is>
      </c>
      <c r="K4368" t="inlineStr">
        <is>
          <t>Halifax (Nouvelle-Écosse)</t>
        </is>
      </c>
      <c r="P4368" t="n">
        <v>0</v>
      </c>
      <c r="Q4368" t="n">
        <v>22.94</v>
      </c>
      <c r="R4368" t="n">
        <v>222.86</v>
      </c>
      <c r="S4368" t="n">
        <v>98.59999999999999</v>
      </c>
      <c r="T4368" t="n">
        <v>0</v>
      </c>
      <c r="U4368" t="n">
        <v>344.4</v>
      </c>
      <c r="X4368" t="inlineStr">
        <is>
          <t>acoa-apeca</t>
        </is>
      </c>
      <c r="Y4368" t="inlineStr">
        <is>
          <t>Atlantic Canada Opportunities Agency | Agence de promotion économique du Canada atlantique</t>
        </is>
      </c>
      <c r="Z4368" t="n">
        <v>2</v>
      </c>
      <c r="AA4368" t="n">
        <v>344.4</v>
      </c>
      <c r="AB4368">
        <f>ROUND(U4368-AA4368,2)</f>
        <v/>
      </c>
      <c r="AC4368" t="b">
        <v>0</v>
      </c>
      <c r="AD4368">
        <f>IF(U4368="","MISSING_TOTAL",IF(ABS(AB4368)&lt;=0.01,"OK","CHECK"))</f>
        <v/>
      </c>
      <c r="AE4368">
        <f>IF(U4368="","MISSING",IF(AND(AA4368&gt;0,U4368/AA4368&gt;50),"POSSIBLE_SCALE_ERROR","OK"))</f>
        <v/>
      </c>
    </row>
    <row r="4369">
      <c r="A4369" t="inlineStr">
        <is>
          <t>T-2018-Q1-00054</t>
        </is>
      </c>
      <c r="B4369" t="inlineStr">
        <is>
          <t>SLE</t>
        </is>
      </c>
      <c r="C4369" t="inlineStr">
        <is>
          <t>Acting Vice-President, Nova-Scotia</t>
        </is>
      </c>
      <c r="D4369" t="inlineStr">
        <is>
          <t>Vice-président par intérim, Nouvelle-Écosse</t>
        </is>
      </c>
      <c r="E4369" t="inlineStr">
        <is>
          <t>Ken Martin</t>
        </is>
      </c>
      <c r="F4369" t="inlineStr">
        <is>
          <t>Assignment in Halifax</t>
        </is>
      </c>
      <c r="G4369" t="inlineStr">
        <is>
          <t>Affectation à Halifax</t>
        </is>
      </c>
      <c r="H4369" s="1" t="n">
        <v>42887</v>
      </c>
      <c r="I4369" s="1" t="n">
        <v>42916</v>
      </c>
      <c r="J4369" t="inlineStr">
        <is>
          <t>Halifax, Nova Scotia</t>
        </is>
      </c>
      <c r="K4369" t="inlineStr">
        <is>
          <t>Halifax (Nouvelle-Écosse)</t>
        </is>
      </c>
      <c r="P4369" t="n">
        <v>5432</v>
      </c>
      <c r="Q4369" t="n">
        <v>619.96</v>
      </c>
      <c r="R4369" t="n">
        <v>6600</v>
      </c>
      <c r="S4369" t="n">
        <v>2857.1</v>
      </c>
      <c r="T4369" t="n">
        <v>0</v>
      </c>
      <c r="U4369" t="n">
        <v>15509.06</v>
      </c>
      <c r="X4369" t="inlineStr">
        <is>
          <t>acoa-apeca</t>
        </is>
      </c>
      <c r="Y4369" t="inlineStr">
        <is>
          <t>Atlantic Canada Opportunities Agency | Agence de promotion économique du Canada atlantique</t>
        </is>
      </c>
      <c r="Z4369" t="n">
        <v>30</v>
      </c>
      <c r="AA4369" t="n">
        <v>15509.06</v>
      </c>
      <c r="AB4369">
        <f>ROUND(U4369-AA4369,2)</f>
        <v/>
      </c>
      <c r="AC4369" t="b">
        <v>0</v>
      </c>
      <c r="AD4369">
        <f>IF(U4369="","MISSING_TOTAL",IF(ABS(AB4369)&lt;=0.01,"OK","CHECK"))</f>
        <v/>
      </c>
      <c r="AE4369">
        <f>IF(U4369="","MISSING",IF(AND(AA4369&gt;0,U4369/AA4369&gt;50),"POSSIBLE_SCALE_ERROR","OK"))</f>
        <v/>
      </c>
    </row>
    <row r="4370">
      <c r="A4370" t="inlineStr">
        <is>
          <t>T-2018-Q1-00045</t>
        </is>
      </c>
      <c r="B4370" t="inlineStr">
        <is>
          <t>SLE</t>
        </is>
      </c>
      <c r="C4370" t="inlineStr">
        <is>
          <t>Acting President</t>
        </is>
      </c>
      <c r="D4370" t="inlineStr">
        <is>
          <t>Président par intérim</t>
        </is>
      </c>
      <c r="E4370" t="inlineStr">
        <is>
          <t>Daryell Nowlan</t>
        </is>
      </c>
      <c r="F4370" t="inlineStr">
        <is>
          <t>For various meetings and discussions with Agency officials and Government of Canada officials</t>
        </is>
      </c>
      <c r="G4370" t="inlineStr">
        <is>
          <t>Diverses réunions et discussions avec des fonctionnaires de l'Agence et du gouvernement du Canada</t>
        </is>
      </c>
      <c r="H4370" s="1" t="n">
        <v>42884</v>
      </c>
      <c r="I4370" s="1" t="n">
        <v>42886</v>
      </c>
      <c r="J4370" t="inlineStr">
        <is>
          <t>Halifax, Nova Scotia and Ottawa, Ontario</t>
        </is>
      </c>
      <c r="K4370" t="inlineStr">
        <is>
          <t>Halifax (Nouvelle-Écosse) et Ottawa (Ontario)</t>
        </is>
      </c>
      <c r="P4370" t="n">
        <v>605.97</v>
      </c>
      <c r="Q4370" t="n">
        <v>139.39</v>
      </c>
      <c r="R4370" t="n">
        <v>441.5</v>
      </c>
      <c r="S4370" t="n">
        <v>224.95</v>
      </c>
      <c r="T4370" t="n">
        <v>232.49</v>
      </c>
      <c r="U4370" t="n">
        <v>1644.3</v>
      </c>
      <c r="X4370" t="inlineStr">
        <is>
          <t>acoa-apeca</t>
        </is>
      </c>
      <c r="Y4370" t="inlineStr">
        <is>
          <t>Atlantic Canada Opportunities Agency | Agence de promotion économique du Canada atlantique</t>
        </is>
      </c>
      <c r="Z4370" t="n">
        <v>3</v>
      </c>
      <c r="AA4370" t="n">
        <v>1644.3</v>
      </c>
      <c r="AB4370">
        <f>ROUND(U4370-AA4370,2)</f>
        <v/>
      </c>
      <c r="AC4370" t="b">
        <v>0</v>
      </c>
      <c r="AD4370">
        <f>IF(U4370="","MISSING_TOTAL",IF(ABS(AB4370)&lt;=0.01,"OK","CHECK"))</f>
        <v/>
      </c>
      <c r="AE4370">
        <f>IF(U4370="","MISSING",IF(AND(AA4370&gt;0,U4370/AA4370&gt;50),"POSSIBLE_SCALE_ERROR","OK"))</f>
        <v/>
      </c>
    </row>
    <row r="4371">
      <c r="A4371" t="inlineStr">
        <is>
          <t>T-2018-Q3-00075</t>
        </is>
      </c>
      <c r="B4371" t="inlineStr">
        <is>
          <t>SLE</t>
        </is>
      </c>
      <c r="C4371" t="inlineStr">
        <is>
          <t>Vice-President, Prince Edward Island</t>
        </is>
      </c>
      <c r="D4371" t="inlineStr">
        <is>
          <t>Vice-président, Île-du-Prince-Édouard</t>
        </is>
      </c>
      <c r="E4371" t="inlineStr">
        <is>
          <t>Patrick Dorsey</t>
        </is>
      </c>
      <c r="F4371" t="inlineStr">
        <is>
          <t>Meetings with Government of Canada officials and provincial government officials</t>
        </is>
      </c>
      <c r="G4371" t="inlineStr">
        <is>
          <t>Réunions avec des fonctionnaires des gouvernements fédéral et provincial</t>
        </is>
      </c>
      <c r="H4371" s="1" t="n">
        <v>43066</v>
      </c>
      <c r="I4371" s="1" t="n">
        <v>43067</v>
      </c>
      <c r="J4371" t="inlineStr">
        <is>
          <t>St. John's, Newfoundland</t>
        </is>
      </c>
      <c r="K4371" t="inlineStr">
        <is>
          <t>St. John's (Terre-Neuve-et-Labrador)</t>
        </is>
      </c>
      <c r="P4371" t="n">
        <v>1406.12</v>
      </c>
      <c r="Q4371" t="n">
        <v>34</v>
      </c>
      <c r="R4371" t="n">
        <v>169.65</v>
      </c>
      <c r="S4371" t="n">
        <v>205.3</v>
      </c>
      <c r="T4371" t="n">
        <v>0</v>
      </c>
      <c r="U4371" t="n">
        <v>1815.07</v>
      </c>
      <c r="X4371" t="inlineStr">
        <is>
          <t>acoa-apeca</t>
        </is>
      </c>
      <c r="Y4371" t="inlineStr">
        <is>
          <t>Atlantic Canada Opportunities Agency | Agence de promotion économique du Canada atlantique</t>
        </is>
      </c>
      <c r="Z4371" t="n">
        <v>2</v>
      </c>
      <c r="AA4371" t="n">
        <v>1815.07</v>
      </c>
      <c r="AB4371">
        <f>ROUND(U4371-AA4371,2)</f>
        <v/>
      </c>
      <c r="AC4371" t="b">
        <v>0</v>
      </c>
      <c r="AD4371">
        <f>IF(U4371="","MISSING_TOTAL",IF(ABS(AB4371)&lt;=0.01,"OK","CHECK"))</f>
        <v/>
      </c>
      <c r="AE4371">
        <f>IF(U4371="","MISSING",IF(AND(AA4371&gt;0,U4371/AA4371&gt;50),"POSSIBLE_SCALE_ERROR","OK"))</f>
        <v/>
      </c>
    </row>
    <row r="4372">
      <c r="A4372" t="inlineStr">
        <is>
          <t>T-2018-Q3-00074</t>
        </is>
      </c>
      <c r="B4372" t="inlineStr">
        <is>
          <t>SLE</t>
        </is>
      </c>
      <c r="C4372" t="inlineStr">
        <is>
          <t>Vice-President, New Brunswick</t>
        </is>
      </c>
      <c r="D4372" t="inlineStr">
        <is>
          <t>Vice-président, Nouveau-Brunswick</t>
        </is>
      </c>
      <c r="E4372" t="inlineStr">
        <is>
          <t>Kent Estabrooks</t>
        </is>
      </c>
      <c r="F4372" t="inlineStr">
        <is>
          <t>Agency Executive Committee meeting / mentorship initiative meeting</t>
        </is>
      </c>
      <c r="G4372" t="inlineStr">
        <is>
          <t>Réunion du Comité de direction de l'Agence / réunion dans le cadre d'une initiative de mentorat</t>
        </is>
      </c>
      <c r="H4372" s="1" t="n">
        <v>42990</v>
      </c>
      <c r="I4372" s="1" t="n">
        <v>42992</v>
      </c>
      <c r="J4372" t="inlineStr">
        <is>
          <t>Moncton, New Brunswick</t>
        </is>
      </c>
      <c r="K4372" t="inlineStr">
        <is>
          <t>Moncton (Nouveau-Brunswick)</t>
        </is>
      </c>
      <c r="P4372" t="n">
        <v>0</v>
      </c>
      <c r="Q4372" t="n">
        <v>0</v>
      </c>
      <c r="R4372" t="n">
        <v>188</v>
      </c>
      <c r="S4372" t="n">
        <v>179</v>
      </c>
      <c r="T4372" t="n">
        <v>4</v>
      </c>
      <c r="U4372" t="n">
        <v>371</v>
      </c>
      <c r="X4372" t="inlineStr">
        <is>
          <t>acoa-apeca</t>
        </is>
      </c>
      <c r="Y4372" t="inlineStr">
        <is>
          <t>Atlantic Canada Opportunities Agency | Agence de promotion économique du Canada atlantique</t>
        </is>
      </c>
      <c r="Z4372" t="n">
        <v>3</v>
      </c>
      <c r="AA4372" t="n">
        <v>371</v>
      </c>
      <c r="AB4372">
        <f>ROUND(U4372-AA4372,2)</f>
        <v/>
      </c>
      <c r="AC4372" t="b">
        <v>0</v>
      </c>
      <c r="AD4372">
        <f>IF(U4372="","MISSING_TOTAL",IF(ABS(AB4372)&lt;=0.01,"OK","CHECK"))</f>
        <v/>
      </c>
      <c r="AE4372">
        <f>IF(U4372="","MISSING",IF(AND(AA4372&gt;0,U4372/AA4372&gt;50),"POSSIBLE_SCALE_ERROR","OK"))</f>
        <v/>
      </c>
    </row>
    <row r="4373">
      <c r="A4373" t="inlineStr">
        <is>
          <t>T-2018-Q3-00073</t>
        </is>
      </c>
      <c r="B4373" t="inlineStr">
        <is>
          <t>SLE</t>
        </is>
      </c>
      <c r="C4373" t="inlineStr">
        <is>
          <t>Vice-President, New Brunswick</t>
        </is>
      </c>
      <c r="D4373" t="inlineStr">
        <is>
          <t>Vice-président, Nouveau-Brunswick</t>
        </is>
      </c>
      <c r="E4373" t="inlineStr">
        <is>
          <t>Kent Estabrooks</t>
        </is>
      </c>
      <c r="F4373" t="inlineStr">
        <is>
          <t>Training and development, study tour of Atlantic Canada</t>
        </is>
      </c>
      <c r="G4373" t="inlineStr">
        <is>
          <t>Formation et perfectionnement, voyage d'étude au Canada atlantique</t>
        </is>
      </c>
      <c r="H4373" s="1" t="n">
        <v>42994</v>
      </c>
      <c r="I4373" s="1" t="n">
        <v>42998</v>
      </c>
      <c r="J4373" t="inlineStr">
        <is>
          <t>St. John's, Newfoundland and Labrador</t>
        </is>
      </c>
      <c r="K4373" t="inlineStr">
        <is>
          <t>St. John's (Terre-Neuve-et-Labrador)</t>
        </is>
      </c>
      <c r="P4373" t="n">
        <v>726.15</v>
      </c>
      <c r="Q4373" t="n">
        <v>200.72</v>
      </c>
      <c r="R4373" t="n">
        <v>677.53</v>
      </c>
      <c r="S4373" t="n">
        <v>307.15</v>
      </c>
      <c r="T4373" t="n">
        <v>14.89</v>
      </c>
      <c r="U4373" t="n">
        <v>1926.44</v>
      </c>
      <c r="X4373" t="inlineStr">
        <is>
          <t>acoa-apeca</t>
        </is>
      </c>
      <c r="Y4373" t="inlineStr">
        <is>
          <t>Atlantic Canada Opportunities Agency | Agence de promotion économique du Canada atlantique</t>
        </is>
      </c>
      <c r="Z4373" t="n">
        <v>5</v>
      </c>
      <c r="AA4373" t="n">
        <v>1926.44</v>
      </c>
      <c r="AB4373">
        <f>ROUND(U4373-AA4373,2)</f>
        <v/>
      </c>
      <c r="AC4373" t="b">
        <v>0</v>
      </c>
      <c r="AD4373">
        <f>IF(U4373="","MISSING_TOTAL",IF(ABS(AB4373)&lt;=0.01,"OK","CHECK"))</f>
        <v/>
      </c>
      <c r="AE4373">
        <f>IF(U4373="","MISSING",IF(AND(AA4373&gt;0,U4373/AA4373&gt;50),"POSSIBLE_SCALE_ERROR","OK"))</f>
        <v/>
      </c>
    </row>
    <row r="4374">
      <c r="A4374" t="inlineStr">
        <is>
          <t>T-2018-Q3-00072</t>
        </is>
      </c>
      <c r="B4374" t="inlineStr">
        <is>
          <t>SLE</t>
        </is>
      </c>
      <c r="C4374" t="inlineStr">
        <is>
          <t>Vice-President, New Brunswick</t>
        </is>
      </c>
      <c r="D4374" t="inlineStr">
        <is>
          <t>Vice-président, Nouveau-Brunswick</t>
        </is>
      </c>
      <c r="E4374" t="inlineStr">
        <is>
          <t>Kent Estabrooks</t>
        </is>
      </c>
      <c r="F4374" t="inlineStr">
        <is>
          <t>Training and development, Canada/North study tour</t>
        </is>
      </c>
      <c r="G4374" t="inlineStr">
        <is>
          <t>Formation et perfectionnement, voyage d'étude au Canada/Nord</t>
        </is>
      </c>
      <c r="H4374" s="1" t="n">
        <v>42999</v>
      </c>
      <c r="I4374" s="1" t="n">
        <v>43001</v>
      </c>
      <c r="J4374" t="inlineStr">
        <is>
          <t>Iqaluit, Nunavut</t>
        </is>
      </c>
      <c r="K4374" t="inlineStr">
        <is>
          <t>Iqaluit (Nunavut)</t>
        </is>
      </c>
      <c r="P4374" t="n">
        <v>1233.41</v>
      </c>
      <c r="Q4374" t="n">
        <v>106</v>
      </c>
      <c r="R4374" t="n">
        <v>627.28</v>
      </c>
      <c r="S4374" t="n">
        <v>408.1</v>
      </c>
      <c r="T4374" t="n">
        <v>3</v>
      </c>
      <c r="U4374" t="n">
        <v>2377.79</v>
      </c>
      <c r="X4374" t="inlineStr">
        <is>
          <t>acoa-apeca</t>
        </is>
      </c>
      <c r="Y4374" t="inlineStr">
        <is>
          <t>Atlantic Canada Opportunities Agency | Agence de promotion économique du Canada atlantique</t>
        </is>
      </c>
      <c r="Z4374" t="n">
        <v>3</v>
      </c>
      <c r="AA4374" t="n">
        <v>2377.79</v>
      </c>
      <c r="AB4374">
        <f>ROUND(U4374-AA4374,2)</f>
        <v/>
      </c>
      <c r="AC4374" t="b">
        <v>0</v>
      </c>
      <c r="AD4374">
        <f>IF(U4374="","MISSING_TOTAL",IF(ABS(AB4374)&lt;=0.01,"OK","CHECK"))</f>
        <v/>
      </c>
      <c r="AE4374">
        <f>IF(U4374="","MISSING",IF(AND(AA4374&gt;0,U4374/AA4374&gt;50),"POSSIBLE_SCALE_ERROR","OK"))</f>
        <v/>
      </c>
    </row>
    <row r="4375">
      <c r="A4375" t="inlineStr">
        <is>
          <t>T-2018-Q3-00071</t>
        </is>
      </c>
      <c r="B4375" t="inlineStr">
        <is>
          <t>SLE</t>
        </is>
      </c>
      <c r="C4375" t="inlineStr">
        <is>
          <t>Vice-President, New Brunswick</t>
        </is>
      </c>
      <c r="D4375" t="inlineStr">
        <is>
          <t>Vice-président, Nouveau-Brunswick</t>
        </is>
      </c>
      <c r="E4375" t="inlineStr">
        <is>
          <t>Kent Estabrooks</t>
        </is>
      </c>
      <c r="F4375" t="inlineStr">
        <is>
          <t>Training and development</t>
        </is>
      </c>
      <c r="G4375" t="inlineStr">
        <is>
          <t>Formation et perfectionnement</t>
        </is>
      </c>
      <c r="H4375" s="1" t="n">
        <v>43004</v>
      </c>
      <c r="I4375" s="1" t="n">
        <v>43006</v>
      </c>
      <c r="J4375" t="inlineStr">
        <is>
          <t>Ottawa, Ontario</t>
        </is>
      </c>
      <c r="K4375" t="inlineStr">
        <is>
          <t>Ottawa (Ontario)</t>
        </is>
      </c>
      <c r="P4375" t="n">
        <v>692.3</v>
      </c>
      <c r="Q4375" t="n">
        <v>190</v>
      </c>
      <c r="R4375" t="n">
        <v>219.98</v>
      </c>
      <c r="S4375" t="n">
        <v>225.85</v>
      </c>
      <c r="T4375" t="n">
        <v>56.5</v>
      </c>
      <c r="U4375" t="n">
        <v>1384.63</v>
      </c>
      <c r="X4375" t="inlineStr">
        <is>
          <t>acoa-apeca</t>
        </is>
      </c>
      <c r="Y4375" t="inlineStr">
        <is>
          <t>Atlantic Canada Opportunities Agency | Agence de promotion économique du Canada atlantique</t>
        </is>
      </c>
      <c r="Z4375" t="n">
        <v>3</v>
      </c>
      <c r="AA4375" t="n">
        <v>1384.62999999999</v>
      </c>
      <c r="AB4375">
        <f>ROUND(U4375-AA4375,2)</f>
        <v/>
      </c>
      <c r="AC4375" t="b">
        <v>0</v>
      </c>
      <c r="AD4375">
        <f>IF(U4375="","MISSING_TOTAL",IF(ABS(AB4375)&lt;=0.01,"OK","CHECK"))</f>
        <v/>
      </c>
      <c r="AE4375">
        <f>IF(U4375="","MISSING",IF(AND(AA4375&gt;0,U4375/AA4375&gt;50),"POSSIBLE_SCALE_ERROR","OK"))</f>
        <v/>
      </c>
    </row>
    <row r="4376">
      <c r="A4376" t="inlineStr">
        <is>
          <t>T-2018-Q3-00069</t>
        </is>
      </c>
      <c r="B4376" t="inlineStr">
        <is>
          <t>SLE</t>
        </is>
      </c>
      <c r="C4376" t="inlineStr">
        <is>
          <t>Vice-President, New Brunswick</t>
        </is>
      </c>
      <c r="D4376" t="inlineStr">
        <is>
          <t>Vice-président, Nouveau-Brunswick</t>
        </is>
      </c>
      <c r="E4376" t="inlineStr">
        <is>
          <t>Kent Estabrooks</t>
        </is>
      </c>
      <c r="F4376" t="inlineStr">
        <is>
          <t>Champion file client meetings - Nova Scotia</t>
        </is>
      </c>
      <c r="G4376" t="inlineStr">
        <is>
          <t>Réunions avec des clients sur les dossiers des champions - Nouvelle-Écosse</t>
        </is>
      </c>
      <c r="H4376" s="1" t="n">
        <v>43018</v>
      </c>
      <c r="I4376" s="1" t="n">
        <v>43020</v>
      </c>
      <c r="J4376" t="inlineStr">
        <is>
          <t>Halifax, Nova Scotia</t>
        </is>
      </c>
      <c r="K4376" t="inlineStr">
        <is>
          <t>Halifax (Nouvelle-Écosse)</t>
        </is>
      </c>
      <c r="P4376" t="n">
        <v>0</v>
      </c>
      <c r="Q4376" t="n">
        <v>0</v>
      </c>
      <c r="R4376" t="n">
        <v>393.28</v>
      </c>
      <c r="S4376" t="n">
        <v>203.3</v>
      </c>
      <c r="T4376" t="n">
        <v>30.6</v>
      </c>
      <c r="U4376" t="n">
        <v>627.1799999999999</v>
      </c>
      <c r="X4376" t="inlineStr">
        <is>
          <t>acoa-apeca</t>
        </is>
      </c>
      <c r="Y4376" t="inlineStr">
        <is>
          <t>Atlantic Canada Opportunities Agency | Agence de promotion économique du Canada atlantique</t>
        </is>
      </c>
      <c r="Z4376" t="n">
        <v>3</v>
      </c>
      <c r="AA4376" t="n">
        <v>627.1799999999999</v>
      </c>
      <c r="AB4376">
        <f>ROUND(U4376-AA4376,2)</f>
        <v/>
      </c>
      <c r="AC4376" t="b">
        <v>0</v>
      </c>
      <c r="AD4376">
        <f>IF(U4376="","MISSING_TOTAL",IF(ABS(AB4376)&lt;=0.01,"OK","CHECK"))</f>
        <v/>
      </c>
      <c r="AE4376">
        <f>IF(U4376="","MISSING",IF(AND(AA4376&gt;0,U4376/AA4376&gt;50),"POSSIBLE_SCALE_ERROR","OK"))</f>
        <v/>
      </c>
    </row>
    <row r="4377">
      <c r="A4377" t="inlineStr">
        <is>
          <t>T-2018-Q3-00068</t>
        </is>
      </c>
      <c r="B4377" t="inlineStr">
        <is>
          <t>SLE</t>
        </is>
      </c>
      <c r="C4377" t="inlineStr">
        <is>
          <t>Vice-President, New Brunswick</t>
        </is>
      </c>
      <c r="D4377" t="inlineStr">
        <is>
          <t>Vice-président, Nouveau-Brunswick</t>
        </is>
      </c>
      <c r="E4377" t="inlineStr">
        <is>
          <t>Kent Estabrooks</t>
        </is>
      </c>
      <c r="F4377" t="inlineStr">
        <is>
          <t>Meeting with President and other Vice-Presidents</t>
        </is>
      </c>
      <c r="G4377" t="inlineStr">
        <is>
          <t>Réunion avec le président et les autres vice-présidents</t>
        </is>
      </c>
      <c r="H4377" s="1" t="n">
        <v>43024</v>
      </c>
      <c r="I4377" s="1" t="n">
        <v>43026</v>
      </c>
      <c r="J4377" t="inlineStr">
        <is>
          <t>Wolfville, Nova Scotia</t>
        </is>
      </c>
      <c r="K4377" t="inlineStr">
        <is>
          <t>Wolfville (Nouvelle-Écosse)</t>
        </is>
      </c>
      <c r="P4377" t="n">
        <v>0</v>
      </c>
      <c r="Q4377" t="n">
        <v>0</v>
      </c>
      <c r="R4377" t="n">
        <v>257.6</v>
      </c>
      <c r="S4377" t="n">
        <v>222.6</v>
      </c>
      <c r="T4377" t="n">
        <v>8</v>
      </c>
      <c r="U4377" t="n">
        <v>488.2</v>
      </c>
      <c r="X4377" t="inlineStr">
        <is>
          <t>acoa-apeca</t>
        </is>
      </c>
      <c r="Y4377" t="inlineStr">
        <is>
          <t>Atlantic Canada Opportunities Agency | Agence de promotion économique du Canada atlantique</t>
        </is>
      </c>
      <c r="Z4377" t="n">
        <v>3</v>
      </c>
      <c r="AA4377" t="n">
        <v>488.2</v>
      </c>
      <c r="AB4377">
        <f>ROUND(U4377-AA4377,2)</f>
        <v/>
      </c>
      <c r="AC4377" t="b">
        <v>0</v>
      </c>
      <c r="AD4377">
        <f>IF(U4377="","MISSING_TOTAL",IF(ABS(AB4377)&lt;=0.01,"OK","CHECK"))</f>
        <v/>
      </c>
      <c r="AE4377">
        <f>IF(U4377="","MISSING",IF(AND(AA4377&gt;0,U4377/AA4377&gt;50),"POSSIBLE_SCALE_ERROR","OK"))</f>
        <v/>
      </c>
    </row>
    <row r="4378">
      <c r="A4378" t="inlineStr">
        <is>
          <t>T-2018-Q3-00067</t>
        </is>
      </c>
      <c r="B4378" t="inlineStr">
        <is>
          <t>SLE</t>
        </is>
      </c>
      <c r="C4378" t="inlineStr">
        <is>
          <t>Vice-President, New Brunswick</t>
        </is>
      </c>
      <c r="D4378" t="inlineStr">
        <is>
          <t>Vice-président, Nouveau-Brunswick</t>
        </is>
      </c>
      <c r="E4378" t="inlineStr">
        <is>
          <t>Kent Estabrooks</t>
        </is>
      </c>
      <c r="F4378" t="inlineStr">
        <is>
          <t>Champion file client meetings - Newfoundland and Labrador</t>
        </is>
      </c>
      <c r="G4378" t="inlineStr">
        <is>
          <t>Réunions avec des clients sur les dossiers des champions - Terre-Neuve-et-Labrador</t>
        </is>
      </c>
      <c r="H4378" s="1" t="n">
        <v>43032</v>
      </c>
      <c r="I4378" s="1" t="n">
        <v>43034</v>
      </c>
      <c r="J4378" t="inlineStr">
        <is>
          <t>St. John's, Newfoundland and Labrador</t>
        </is>
      </c>
      <c r="K4378" t="inlineStr">
        <is>
          <t>St. John's (Terre-Neuve-et-Labrador)</t>
        </is>
      </c>
      <c r="P4378" t="n">
        <v>744.4</v>
      </c>
      <c r="Q4378" t="n">
        <v>434.12</v>
      </c>
      <c r="R4378" t="n">
        <v>0</v>
      </c>
      <c r="S4378" t="n">
        <v>325.05</v>
      </c>
      <c r="T4378" t="n">
        <v>4</v>
      </c>
      <c r="U4378" t="n">
        <v>1507.57</v>
      </c>
      <c r="X4378" t="inlineStr">
        <is>
          <t>acoa-apeca</t>
        </is>
      </c>
      <c r="Y4378" t="inlineStr">
        <is>
          <t>Atlantic Canada Opportunities Agency | Agence de promotion économique du Canada atlantique</t>
        </is>
      </c>
      <c r="Z4378" t="n">
        <v>3</v>
      </c>
      <c r="AA4378" t="n">
        <v>1507.57</v>
      </c>
      <c r="AB4378">
        <f>ROUND(U4378-AA4378,2)</f>
        <v/>
      </c>
      <c r="AC4378" t="b">
        <v>0</v>
      </c>
      <c r="AD4378">
        <f>IF(U4378="","MISSING_TOTAL",IF(ABS(AB4378)&lt;=0.01,"OK","CHECK"))</f>
        <v/>
      </c>
      <c r="AE4378">
        <f>IF(U4378="","MISSING",IF(AND(AA4378&gt;0,U4378/AA4378&gt;50),"POSSIBLE_SCALE_ERROR","OK"))</f>
        <v/>
      </c>
    </row>
    <row r="4379">
      <c r="A4379" t="inlineStr">
        <is>
          <t>T-2018-Q3-00065</t>
        </is>
      </c>
      <c r="B4379" t="inlineStr">
        <is>
          <t>SLE</t>
        </is>
      </c>
      <c r="C4379" t="inlineStr">
        <is>
          <t>Vice-President, New Brunswick</t>
        </is>
      </c>
      <c r="D4379" t="inlineStr">
        <is>
          <t>Vice-président, Nouveau-Brunswick</t>
        </is>
      </c>
      <c r="E4379" t="inlineStr">
        <is>
          <t>Kent Estabrooks</t>
        </is>
      </c>
      <c r="F4379" t="inlineStr">
        <is>
          <t>Meeting with Agency officials / training and development</t>
        </is>
      </c>
      <c r="G4379" t="inlineStr">
        <is>
          <t>Réunion avec des fonctionnaires de l'Agence / formation et perfectionnement</t>
        </is>
      </c>
      <c r="H4379" s="1" t="n">
        <v>43038</v>
      </c>
      <c r="I4379" s="1" t="n">
        <v>43040</v>
      </c>
      <c r="J4379" t="inlineStr">
        <is>
          <t>Ottawa, Ontario</t>
        </is>
      </c>
      <c r="K4379" t="inlineStr">
        <is>
          <t>Ottawa (Ontario)</t>
        </is>
      </c>
      <c r="P4379" t="n">
        <v>678.5</v>
      </c>
      <c r="Q4379" t="n">
        <v>173.5</v>
      </c>
      <c r="R4379" t="n">
        <v>656.45</v>
      </c>
      <c r="S4379" t="n">
        <v>230.15</v>
      </c>
      <c r="T4379" t="n">
        <v>0</v>
      </c>
      <c r="U4379" t="n">
        <v>1738.6</v>
      </c>
      <c r="X4379" t="inlineStr">
        <is>
          <t>acoa-apeca</t>
        </is>
      </c>
      <c r="Y4379" t="inlineStr">
        <is>
          <t>Atlantic Canada Opportunities Agency | Agence de promotion économique du Canada atlantique</t>
        </is>
      </c>
      <c r="Z4379" t="n">
        <v>3</v>
      </c>
      <c r="AA4379" t="n">
        <v>1738.6</v>
      </c>
      <c r="AB4379">
        <f>ROUND(U4379-AA4379,2)</f>
        <v/>
      </c>
      <c r="AC4379" t="b">
        <v>0</v>
      </c>
      <c r="AD4379">
        <f>IF(U4379="","MISSING_TOTAL",IF(ABS(AB4379)&lt;=0.01,"OK","CHECK"))</f>
        <v/>
      </c>
      <c r="AE4379">
        <f>IF(U4379="","MISSING",IF(AND(AA4379&gt;0,U4379/AA4379&gt;50),"POSSIBLE_SCALE_ERROR","OK"))</f>
        <v/>
      </c>
    </row>
    <row r="4380">
      <c r="A4380" t="inlineStr">
        <is>
          <t>T-2018-Q3-00064</t>
        </is>
      </c>
      <c r="B4380" t="inlineStr">
        <is>
          <t>SLE</t>
        </is>
      </c>
      <c r="C4380" t="inlineStr">
        <is>
          <t>Vice-President, New Brunswick</t>
        </is>
      </c>
      <c r="D4380" t="inlineStr">
        <is>
          <t>Vice-président, Nouveau-Brunswick</t>
        </is>
      </c>
      <c r="E4380" t="inlineStr">
        <is>
          <t>Kent Estabrooks</t>
        </is>
      </c>
      <c r="F4380" t="inlineStr">
        <is>
          <t>Meeting with various federal officials</t>
        </is>
      </c>
      <c r="G4380" t="inlineStr">
        <is>
          <t>Réunion avec divers fonctionnaires fédéraux</t>
        </is>
      </c>
      <c r="H4380" s="1" t="n">
        <v>43041</v>
      </c>
      <c r="I4380" s="1" t="n">
        <v>43041</v>
      </c>
      <c r="J4380" t="inlineStr">
        <is>
          <t>Moncton, New Brunswick</t>
        </is>
      </c>
      <c r="K4380" t="inlineStr">
        <is>
          <t>Moncton (Nouveau-Brunswick)</t>
        </is>
      </c>
      <c r="P4380" t="n">
        <v>0</v>
      </c>
      <c r="Q4380" t="n">
        <v>0</v>
      </c>
      <c r="R4380" t="n">
        <v>0</v>
      </c>
      <c r="S4380" t="n">
        <v>66.25</v>
      </c>
      <c r="T4380" t="n">
        <v>14.25</v>
      </c>
      <c r="U4380" t="n">
        <v>80.5</v>
      </c>
      <c r="X4380" t="inlineStr">
        <is>
          <t>acoa-apeca</t>
        </is>
      </c>
      <c r="Y4380" t="inlineStr">
        <is>
          <t>Atlantic Canada Opportunities Agency | Agence de promotion économique du Canada atlantique</t>
        </is>
      </c>
      <c r="Z4380" t="n">
        <v>1</v>
      </c>
      <c r="AA4380" t="n">
        <v>80.5</v>
      </c>
      <c r="AB4380">
        <f>ROUND(U4380-AA4380,2)</f>
        <v/>
      </c>
      <c r="AC4380" t="b">
        <v>0</v>
      </c>
      <c r="AD4380">
        <f>IF(U4380="","MISSING_TOTAL",IF(ABS(AB4380)&lt;=0.01,"OK","CHECK"))</f>
        <v/>
      </c>
      <c r="AE4380">
        <f>IF(U4380="","MISSING",IF(AND(AA4380&gt;0,U4380/AA4380&gt;50),"POSSIBLE_SCALE_ERROR","OK"))</f>
        <v/>
      </c>
    </row>
    <row r="4381">
      <c r="A4381" t="inlineStr">
        <is>
          <t>T-2018-Q3-00063</t>
        </is>
      </c>
      <c r="B4381" t="inlineStr">
        <is>
          <t>SLE</t>
        </is>
      </c>
      <c r="C4381" t="inlineStr">
        <is>
          <t>Vice-President, New Brunswick</t>
        </is>
      </c>
      <c r="D4381" t="inlineStr">
        <is>
          <t>Vice-président, Nouveau-Brunswick</t>
        </is>
      </c>
      <c r="E4381" t="inlineStr">
        <is>
          <t>Kent Estabrooks</t>
        </is>
      </c>
      <c r="F4381" t="inlineStr">
        <is>
          <t>External stakeholders meeting</t>
        </is>
      </c>
      <c r="G4381" t="inlineStr">
        <is>
          <t>Réunion avec des intervenants externes</t>
        </is>
      </c>
      <c r="H4381" s="1" t="n">
        <v>43042</v>
      </c>
      <c r="I4381" s="1" t="n">
        <v>43042</v>
      </c>
      <c r="J4381" t="inlineStr">
        <is>
          <t>Saint John, New Brunswick</t>
        </is>
      </c>
      <c r="K4381" t="inlineStr">
        <is>
          <t>Saint John (Nouveau-Brunswick)</t>
        </is>
      </c>
      <c r="P4381" t="n">
        <v>0</v>
      </c>
      <c r="Q4381" t="n">
        <v>0</v>
      </c>
      <c r="R4381" t="n">
        <v>0</v>
      </c>
      <c r="S4381" t="n">
        <v>18.9</v>
      </c>
      <c r="T4381" t="n">
        <v>7</v>
      </c>
      <c r="U4381" t="n">
        <v>25.9</v>
      </c>
      <c r="X4381" t="inlineStr">
        <is>
          <t>acoa-apeca</t>
        </is>
      </c>
      <c r="Y4381" t="inlineStr">
        <is>
          <t>Atlantic Canada Opportunities Agency | Agence de promotion économique du Canada atlantique</t>
        </is>
      </c>
      <c r="Z4381" t="n">
        <v>1</v>
      </c>
      <c r="AA4381" t="n">
        <v>25.9</v>
      </c>
      <c r="AB4381">
        <f>ROUND(U4381-AA4381,2)</f>
        <v/>
      </c>
      <c r="AC4381" t="b">
        <v>0</v>
      </c>
      <c r="AD4381">
        <f>IF(U4381="","MISSING_TOTAL",IF(ABS(AB4381)&lt;=0.01,"OK","CHECK"))</f>
        <v/>
      </c>
      <c r="AE4381">
        <f>IF(U4381="","MISSING",IF(AND(AA4381&gt;0,U4381/AA4381&gt;50),"POSSIBLE_SCALE_ERROR","OK"))</f>
        <v/>
      </c>
    </row>
    <row r="4382">
      <c r="A4382" t="inlineStr">
        <is>
          <t>T-2018-Q3-00062</t>
        </is>
      </c>
      <c r="B4382" t="inlineStr">
        <is>
          <t>SLE</t>
        </is>
      </c>
      <c r="C4382" t="inlineStr">
        <is>
          <t>Vice-President, New Brunswick</t>
        </is>
      </c>
      <c r="D4382" t="inlineStr">
        <is>
          <t>Vice-président, Nouveau-Brunswick</t>
        </is>
      </c>
      <c r="E4382" t="inlineStr">
        <is>
          <t>Kent Estabrooks</t>
        </is>
      </c>
      <c r="F4382" t="inlineStr">
        <is>
          <t>Meeting with federal officials</t>
        </is>
      </c>
      <c r="G4382" t="inlineStr">
        <is>
          <t>Réunion avec des fonctionnaires fédéraux</t>
        </is>
      </c>
      <c r="H4382" s="1" t="n">
        <v>43046</v>
      </c>
      <c r="I4382" s="1" t="n">
        <v>43048</v>
      </c>
      <c r="J4382" t="inlineStr">
        <is>
          <t>Ottawa, Ontario</t>
        </is>
      </c>
      <c r="K4382" t="inlineStr">
        <is>
          <t>Ottawa (Ontario)</t>
        </is>
      </c>
      <c r="P4382" t="n">
        <v>678.5</v>
      </c>
      <c r="Q4382" t="n">
        <v>99</v>
      </c>
      <c r="R4382" t="n">
        <v>463.24</v>
      </c>
      <c r="S4382" t="n">
        <v>165.5</v>
      </c>
      <c r="T4382" t="n">
        <v>18.23</v>
      </c>
      <c r="U4382" t="n">
        <v>1424.47</v>
      </c>
      <c r="X4382" t="inlineStr">
        <is>
          <t>acoa-apeca</t>
        </is>
      </c>
      <c r="Y4382" t="inlineStr">
        <is>
          <t>Atlantic Canada Opportunities Agency | Agence de promotion économique du Canada atlantique</t>
        </is>
      </c>
      <c r="Z4382" t="n">
        <v>3</v>
      </c>
      <c r="AA4382" t="n">
        <v>1424.47</v>
      </c>
      <c r="AB4382">
        <f>ROUND(U4382-AA4382,2)</f>
        <v/>
      </c>
      <c r="AC4382" t="b">
        <v>0</v>
      </c>
      <c r="AD4382">
        <f>IF(U4382="","MISSING_TOTAL",IF(ABS(AB4382)&lt;=0.01,"OK","CHECK"))</f>
        <v/>
      </c>
      <c r="AE4382">
        <f>IF(U4382="","MISSING",IF(AND(AA4382&gt;0,U4382/AA4382&gt;50),"POSSIBLE_SCALE_ERROR","OK"))</f>
        <v/>
      </c>
    </row>
    <row r="4383">
      <c r="A4383" t="inlineStr">
        <is>
          <t>T-2018-Q3-00061</t>
        </is>
      </c>
      <c r="B4383" t="inlineStr">
        <is>
          <t>SLE</t>
        </is>
      </c>
      <c r="C4383" t="inlineStr">
        <is>
          <t>President</t>
        </is>
      </c>
      <c r="D4383" t="inlineStr">
        <is>
          <t>Président</t>
        </is>
      </c>
      <c r="E4383" t="inlineStr">
        <is>
          <t>Francis McGuire</t>
        </is>
      </c>
      <c r="F4383" t="inlineStr">
        <is>
          <t>For various meetings and discussions with Agency officials and key stakeholders</t>
        </is>
      </c>
      <c r="G4383" t="inlineStr">
        <is>
          <t>Diverses réunions et discussions avec des fonctionnaires de l'Agence et des intervenants clés</t>
        </is>
      </c>
      <c r="H4383" s="1" t="n">
        <v>42989</v>
      </c>
      <c r="I4383" s="1" t="n">
        <v>42991</v>
      </c>
      <c r="J4383" t="inlineStr">
        <is>
          <t>St. John's, Newfoundland and Labrador</t>
        </is>
      </c>
      <c r="K4383" t="inlineStr">
        <is>
          <t>St. John's (Terre-Neuve-et-Labrador)</t>
        </is>
      </c>
      <c r="P4383" t="n">
        <v>856.62</v>
      </c>
      <c r="Q4383" t="n">
        <v>0</v>
      </c>
      <c r="R4383" t="n">
        <v>416.5</v>
      </c>
      <c r="S4383" t="n">
        <v>278.2</v>
      </c>
      <c r="T4383" t="n">
        <v>109.28</v>
      </c>
      <c r="U4383" t="n">
        <v>1660.6</v>
      </c>
      <c r="X4383" t="inlineStr">
        <is>
          <t>acoa-apeca</t>
        </is>
      </c>
      <c r="Y4383" t="inlineStr">
        <is>
          <t>Atlantic Canada Opportunities Agency | Agence de promotion économique du Canada atlantique</t>
        </is>
      </c>
      <c r="Z4383" t="n">
        <v>3</v>
      </c>
      <c r="AA4383" t="n">
        <v>1660.6</v>
      </c>
      <c r="AB4383">
        <f>ROUND(U4383-AA4383,2)</f>
        <v/>
      </c>
      <c r="AC4383" t="b">
        <v>0</v>
      </c>
      <c r="AD4383">
        <f>IF(U4383="","MISSING_TOTAL",IF(ABS(AB4383)&lt;=0.01,"OK","CHECK"))</f>
        <v/>
      </c>
      <c r="AE4383">
        <f>IF(U4383="","MISSING",IF(AND(AA4383&gt;0,U4383/AA4383&gt;50),"POSSIBLE_SCALE_ERROR","OK"))</f>
        <v/>
      </c>
    </row>
    <row r="4384">
      <c r="A4384" t="inlineStr">
        <is>
          <t>T-2018-Q3-00027</t>
        </is>
      </c>
      <c r="B4384" t="inlineStr">
        <is>
          <t>SLE</t>
        </is>
      </c>
      <c r="C4384" t="inlineStr">
        <is>
          <t>President</t>
        </is>
      </c>
      <c r="D4384" t="inlineStr">
        <is>
          <t>Président</t>
        </is>
      </c>
      <c r="E4384" t="inlineStr">
        <is>
          <t>Francis McGuire</t>
        </is>
      </c>
      <c r="F4384" t="inlineStr">
        <is>
          <t>For a meeting with Government of Canada officials</t>
        </is>
      </c>
      <c r="G4384" t="inlineStr">
        <is>
          <t>Réunion avec des fonctionnaires du gouvernement du Canada</t>
        </is>
      </c>
      <c r="H4384" s="1" t="n">
        <v>43031</v>
      </c>
      <c r="I4384" s="1" t="n">
        <v>43032</v>
      </c>
      <c r="J4384" t="inlineStr">
        <is>
          <t>Ottawa, Ontario</t>
        </is>
      </c>
      <c r="K4384" t="inlineStr">
        <is>
          <t>Ottawa (Ontario)</t>
        </is>
      </c>
      <c r="P4384" t="n">
        <v>543.25</v>
      </c>
      <c r="Q4384" t="n">
        <v>33</v>
      </c>
      <c r="R4384" t="n">
        <v>196.97</v>
      </c>
      <c r="S4384" t="n">
        <v>101.05</v>
      </c>
      <c r="T4384" t="n">
        <v>217.55</v>
      </c>
      <c r="U4384" t="n">
        <v>1091.82</v>
      </c>
      <c r="X4384" t="inlineStr">
        <is>
          <t>acoa-apeca</t>
        </is>
      </c>
      <c r="Y4384" t="inlineStr">
        <is>
          <t>Atlantic Canada Opportunities Agency | Agence de promotion économique du Canada atlantique</t>
        </is>
      </c>
      <c r="Z4384" t="n">
        <v>2</v>
      </c>
      <c r="AA4384" t="n">
        <v>1091.82</v>
      </c>
      <c r="AB4384">
        <f>ROUND(U4384-AA4384,2)</f>
        <v/>
      </c>
      <c r="AC4384" t="b">
        <v>0</v>
      </c>
      <c r="AD4384">
        <f>IF(U4384="","MISSING_TOTAL",IF(ABS(AB4384)&lt;=0.01,"OK","CHECK"))</f>
        <v/>
      </c>
      <c r="AE4384">
        <f>IF(U4384="","MISSING",IF(AND(AA4384&gt;0,U4384/AA4384&gt;50),"POSSIBLE_SCALE_ERROR","OK"))</f>
        <v/>
      </c>
    </row>
    <row r="4385">
      <c r="A4385" t="inlineStr">
        <is>
          <t>T-2018-Q3-00060</t>
        </is>
      </c>
      <c r="B4385" t="inlineStr">
        <is>
          <t>SLE</t>
        </is>
      </c>
      <c r="C4385" t="inlineStr">
        <is>
          <t>President</t>
        </is>
      </c>
      <c r="D4385" t="inlineStr">
        <is>
          <t>Président</t>
        </is>
      </c>
      <c r="E4385" t="inlineStr">
        <is>
          <t>Francis McGuire</t>
        </is>
      </c>
      <c r="F4385" t="inlineStr">
        <is>
          <t>For various meetings and discussions with Agency officials and key stakeholders</t>
        </is>
      </c>
      <c r="G4385" t="inlineStr">
        <is>
          <t>Diveses réunions et discussions avec des fonctionnaires de l'Agence et des intervenants clés</t>
        </is>
      </c>
      <c r="H4385" s="1" t="n">
        <v>42985</v>
      </c>
      <c r="I4385" s="1" t="n">
        <v>42986</v>
      </c>
      <c r="J4385" t="inlineStr">
        <is>
          <t>Charlottetown, Prince Edward Island</t>
        </is>
      </c>
      <c r="K4385" t="inlineStr">
        <is>
          <t>Charlottetown (Île-du-Prince-Édouard)</t>
        </is>
      </c>
      <c r="P4385" t="n">
        <v>0</v>
      </c>
      <c r="Q4385" t="n">
        <v>38</v>
      </c>
      <c r="R4385" t="n">
        <v>283.1</v>
      </c>
      <c r="S4385" t="n">
        <v>97.7</v>
      </c>
      <c r="T4385" t="n">
        <v>240.92</v>
      </c>
      <c r="U4385" t="n">
        <v>659.72</v>
      </c>
      <c r="X4385" t="inlineStr">
        <is>
          <t>acoa-apeca</t>
        </is>
      </c>
      <c r="Y4385" t="inlineStr">
        <is>
          <t>Atlantic Canada Opportunities Agency | Agence de promotion économique du Canada atlantique</t>
        </is>
      </c>
      <c r="Z4385" t="n">
        <v>2</v>
      </c>
      <c r="AA4385" t="n">
        <v>659.72</v>
      </c>
      <c r="AB4385">
        <f>ROUND(U4385-AA4385,2)</f>
        <v/>
      </c>
      <c r="AC4385" t="b">
        <v>0</v>
      </c>
      <c r="AD4385">
        <f>IF(U4385="","MISSING_TOTAL",IF(ABS(AB4385)&lt;=0.01,"OK","CHECK"))</f>
        <v/>
      </c>
      <c r="AE4385">
        <f>IF(U4385="","MISSING",IF(AND(AA4385&gt;0,U4385/AA4385&gt;50),"POSSIBLE_SCALE_ERROR","OK"))</f>
        <v/>
      </c>
    </row>
    <row r="4386">
      <c r="A4386" t="inlineStr">
        <is>
          <t>T-2018-Q3-00059</t>
        </is>
      </c>
      <c r="B4386" t="inlineStr">
        <is>
          <t>SLE</t>
        </is>
      </c>
      <c r="C4386" t="inlineStr">
        <is>
          <t>Vice-President, Policy and Programs</t>
        </is>
      </c>
      <c r="D4386" t="inlineStr">
        <is>
          <t>Vice-président, Politiques et Programmes</t>
        </is>
      </c>
      <c r="E4386" t="inlineStr">
        <is>
          <t>Daryell Nowlan</t>
        </is>
      </c>
      <c r="F4386" t="inlineStr">
        <is>
          <t>Meetings with Government of Canada officials</t>
        </is>
      </c>
      <c r="G4386" t="inlineStr">
        <is>
          <t>Réunions avec des fonctionnaires du gouvernement du Canada</t>
        </is>
      </c>
      <c r="H4386" s="1" t="n">
        <v>43066</v>
      </c>
      <c r="I4386" s="1" t="n">
        <v>43068</v>
      </c>
      <c r="J4386" t="inlineStr">
        <is>
          <t>Ottawa, Ontario</t>
        </is>
      </c>
      <c r="K4386" t="inlineStr">
        <is>
          <t>Ottawa (Ontario)</t>
        </is>
      </c>
      <c r="P4386" t="n">
        <v>556.05</v>
      </c>
      <c r="Q4386" t="n">
        <v>119.52</v>
      </c>
      <c r="R4386" t="n">
        <v>439.96</v>
      </c>
      <c r="S4386" t="n">
        <v>231.95</v>
      </c>
      <c r="T4386" t="n">
        <v>57.5</v>
      </c>
      <c r="U4386" t="n">
        <v>1404.98</v>
      </c>
      <c r="X4386" t="inlineStr">
        <is>
          <t>acoa-apeca</t>
        </is>
      </c>
      <c r="Y4386" t="inlineStr">
        <is>
          <t>Atlantic Canada Opportunities Agency | Agence de promotion économique du Canada atlantique</t>
        </is>
      </c>
      <c r="Z4386" t="n">
        <v>3</v>
      </c>
      <c r="AA4386" t="n">
        <v>1404.98</v>
      </c>
      <c r="AB4386">
        <f>ROUND(U4386-AA4386,2)</f>
        <v/>
      </c>
      <c r="AC4386" t="b">
        <v>0</v>
      </c>
      <c r="AD4386">
        <f>IF(U4386="","MISSING_TOTAL",IF(ABS(AB4386)&lt;=0.01,"OK","CHECK"))</f>
        <v/>
      </c>
      <c r="AE4386">
        <f>IF(U4386="","MISSING",IF(AND(AA4386&gt;0,U4386/AA4386&gt;50),"POSSIBLE_SCALE_ERROR","OK"))</f>
        <v/>
      </c>
    </row>
    <row r="4387">
      <c r="A4387" t="inlineStr">
        <is>
          <t>T-2018-Q3-00057</t>
        </is>
      </c>
      <c r="B4387" t="inlineStr">
        <is>
          <t>SLE</t>
        </is>
      </c>
      <c r="C4387" t="inlineStr">
        <is>
          <t>Vice-President, Nova Scotia</t>
        </is>
      </c>
      <c r="D4387" t="inlineStr">
        <is>
          <t>Vice-président, Nouvelle-Écosse</t>
        </is>
      </c>
      <c r="E4387" t="inlineStr">
        <is>
          <t>Chuck Maillet</t>
        </is>
      </c>
      <c r="F4387" t="inlineStr">
        <is>
          <t>Annual committee meeting of the 19th Canada-France Regional Joint Cooperation Commission</t>
        </is>
      </c>
      <c r="G4387" t="inlineStr">
        <is>
          <t>Réunion annuelle du comité de la 19e Commission mixte de coopération régionale Canada-France</t>
        </is>
      </c>
      <c r="H4387" s="1" t="n">
        <v>43058</v>
      </c>
      <c r="I4387" s="1" t="n">
        <v>43060</v>
      </c>
      <c r="J4387" t="inlineStr">
        <is>
          <t>St. John's, Newfoundland and Labrador</t>
        </is>
      </c>
      <c r="K4387" t="inlineStr">
        <is>
          <t>St. John's (Terre-Neuve-et-Labrador)</t>
        </is>
      </c>
      <c r="P4387" t="n">
        <v>347.39</v>
      </c>
      <c r="Q4387" t="n">
        <v>185</v>
      </c>
      <c r="R4387" t="n">
        <v>340.34</v>
      </c>
      <c r="S4387" t="n">
        <v>241.7</v>
      </c>
      <c r="T4387" t="n">
        <v>28.75</v>
      </c>
      <c r="U4387" t="n">
        <v>1143.18</v>
      </c>
      <c r="X4387" t="inlineStr">
        <is>
          <t>acoa-apeca</t>
        </is>
      </c>
      <c r="Y4387" t="inlineStr">
        <is>
          <t>Atlantic Canada Opportunities Agency | Agence de promotion économique du Canada atlantique</t>
        </is>
      </c>
      <c r="Z4387" t="n">
        <v>3</v>
      </c>
      <c r="AA4387" t="n">
        <v>1143.18</v>
      </c>
      <c r="AB4387">
        <f>ROUND(U4387-AA4387,2)</f>
        <v/>
      </c>
      <c r="AC4387" t="b">
        <v>0</v>
      </c>
      <c r="AD4387">
        <f>IF(U4387="","MISSING_TOTAL",IF(ABS(AB4387)&lt;=0.01,"OK","CHECK"))</f>
        <v/>
      </c>
      <c r="AE4387">
        <f>IF(U4387="","MISSING",IF(AND(AA4387&gt;0,U4387/AA4387&gt;50),"POSSIBLE_SCALE_ERROR","OK"))</f>
        <v/>
      </c>
    </row>
    <row r="4388">
      <c r="A4388" t="inlineStr">
        <is>
          <t>T-2018-Q3-00056</t>
        </is>
      </c>
      <c r="B4388" t="inlineStr">
        <is>
          <t>SLE</t>
        </is>
      </c>
      <c r="C4388" t="inlineStr">
        <is>
          <t>Vice-President, Nova Scotia</t>
        </is>
      </c>
      <c r="D4388" t="inlineStr">
        <is>
          <t>Vice-président, Nouvelle-Écosse</t>
        </is>
      </c>
      <c r="E4388" t="inlineStr">
        <is>
          <t>Chuck Maillet</t>
        </is>
      </c>
      <c r="F4388" t="inlineStr">
        <is>
          <t>Various meetings with Agency staff and stakeholders</t>
        </is>
      </c>
      <c r="G4388" t="inlineStr">
        <is>
          <t>Diverses réunions avec des fonctionnaires de l'Agence et des intervenants</t>
        </is>
      </c>
      <c r="H4388" s="1" t="n">
        <v>43048</v>
      </c>
      <c r="I4388" s="1" t="n">
        <v>43049</v>
      </c>
      <c r="J4388" t="inlineStr">
        <is>
          <t>Sydney, Nova Scotia</t>
        </is>
      </c>
      <c r="K4388" t="inlineStr">
        <is>
          <t>Sydney (Nouvelle-Écosse)</t>
        </is>
      </c>
      <c r="P4388" t="n">
        <v>476.94</v>
      </c>
      <c r="Q4388" t="n">
        <v>0</v>
      </c>
      <c r="R4388" t="n">
        <v>123.17</v>
      </c>
      <c r="S4388" t="n">
        <v>119.75</v>
      </c>
      <c r="T4388" t="n">
        <v>0</v>
      </c>
      <c r="U4388" t="n">
        <v>719.86</v>
      </c>
      <c r="X4388" t="inlineStr">
        <is>
          <t>acoa-apeca</t>
        </is>
      </c>
      <c r="Y4388" t="inlineStr">
        <is>
          <t>Atlantic Canada Opportunities Agency | Agence de promotion économique du Canada atlantique</t>
        </is>
      </c>
      <c r="Z4388" t="n">
        <v>2</v>
      </c>
      <c r="AA4388" t="n">
        <v>719.86</v>
      </c>
      <c r="AB4388">
        <f>ROUND(U4388-AA4388,2)</f>
        <v/>
      </c>
      <c r="AC4388" t="b">
        <v>0</v>
      </c>
      <c r="AD4388">
        <f>IF(U4388="","MISSING_TOTAL",IF(ABS(AB4388)&lt;=0.01,"OK","CHECK"))</f>
        <v/>
      </c>
      <c r="AE4388">
        <f>IF(U4388="","MISSING",IF(AND(AA4388&gt;0,U4388/AA4388&gt;50),"POSSIBLE_SCALE_ERROR","OK"))</f>
        <v/>
      </c>
    </row>
    <row r="4389">
      <c r="A4389" t="inlineStr">
        <is>
          <t>T-2018-Q3-00055</t>
        </is>
      </c>
      <c r="B4389" t="inlineStr">
        <is>
          <t>SLE</t>
        </is>
      </c>
      <c r="C4389" t="inlineStr">
        <is>
          <t>Vice-President, Nova Scotia</t>
        </is>
      </c>
      <c r="D4389" t="inlineStr">
        <is>
          <t>Vice-président, Nouvelle-Écosse</t>
        </is>
      </c>
      <c r="E4389" t="inlineStr">
        <is>
          <t>Chuck Maillet</t>
        </is>
      </c>
      <c r="F4389" t="inlineStr">
        <is>
          <t>Various meetings with Agency officials and training</t>
        </is>
      </c>
      <c r="G4389" t="inlineStr">
        <is>
          <t>Diverses réunions avec des fonctionnaires de l'Agence et formation</t>
        </is>
      </c>
      <c r="H4389" s="1" t="n">
        <v>43046</v>
      </c>
      <c r="I4389" s="1" t="n">
        <v>43047</v>
      </c>
      <c r="J4389" t="inlineStr">
        <is>
          <t>Moncton, New Brunswick</t>
        </is>
      </c>
      <c r="K4389" t="inlineStr">
        <is>
          <t>Moncton (Nouveau-Brunswick)</t>
        </is>
      </c>
      <c r="P4389" t="n">
        <v>0</v>
      </c>
      <c r="Q4389" t="n">
        <v>0</v>
      </c>
      <c r="R4389" t="n">
        <v>132.25</v>
      </c>
      <c r="S4389" t="n">
        <v>186.2</v>
      </c>
      <c r="T4389" t="n">
        <v>16.1</v>
      </c>
      <c r="U4389" t="n">
        <v>334.55</v>
      </c>
      <c r="X4389" t="inlineStr">
        <is>
          <t>acoa-apeca</t>
        </is>
      </c>
      <c r="Y4389" t="inlineStr">
        <is>
          <t>Atlantic Canada Opportunities Agency | Agence de promotion économique du Canada atlantique</t>
        </is>
      </c>
      <c r="Z4389" t="n">
        <v>2</v>
      </c>
      <c r="AA4389" t="n">
        <v>334.55</v>
      </c>
      <c r="AB4389">
        <f>ROUND(U4389-AA4389,2)</f>
        <v/>
      </c>
      <c r="AC4389" t="b">
        <v>0</v>
      </c>
      <c r="AD4389">
        <f>IF(U4389="","MISSING_TOTAL",IF(ABS(AB4389)&lt;=0.01,"OK","CHECK"))</f>
        <v/>
      </c>
      <c r="AE4389">
        <f>IF(U4389="","MISSING",IF(AND(AA4389&gt;0,U4389/AA4389&gt;50),"POSSIBLE_SCALE_ERROR","OK"))</f>
        <v/>
      </c>
    </row>
    <row r="4390">
      <c r="A4390" t="inlineStr">
        <is>
          <t>T-2018-Q3-00054</t>
        </is>
      </c>
      <c r="B4390" t="inlineStr">
        <is>
          <t>SLE</t>
        </is>
      </c>
      <c r="C4390" t="inlineStr">
        <is>
          <t>Vice-President, Nova Scotia</t>
        </is>
      </c>
      <c r="D4390" t="inlineStr">
        <is>
          <t>Vice-président, Nouvelle-Écosse</t>
        </is>
      </c>
      <c r="E4390" t="inlineStr">
        <is>
          <t>Chuck Maillet</t>
        </is>
      </c>
      <c r="F4390" t="inlineStr">
        <is>
          <t>Meeting with Agency officials</t>
        </is>
      </c>
      <c r="G4390" t="inlineStr">
        <is>
          <t>Réunion avec des fonctionnaires de l'Agence</t>
        </is>
      </c>
      <c r="H4390" s="1" t="n">
        <v>42991</v>
      </c>
      <c r="I4390" s="1" t="n">
        <v>42992</v>
      </c>
      <c r="J4390" t="inlineStr">
        <is>
          <t>Moncton, New Brunswick</t>
        </is>
      </c>
      <c r="K4390" t="inlineStr">
        <is>
          <t>Moncton (Nouveau-Brunswick)</t>
        </is>
      </c>
      <c r="P4390" t="n">
        <v>0</v>
      </c>
      <c r="Q4390" t="n">
        <v>0</v>
      </c>
      <c r="R4390" t="n">
        <v>132.25</v>
      </c>
      <c r="S4390" t="n">
        <v>143.65</v>
      </c>
      <c r="T4390" t="n">
        <v>16.1</v>
      </c>
      <c r="U4390" t="n">
        <v>292</v>
      </c>
      <c r="X4390" t="inlineStr">
        <is>
          <t>acoa-apeca</t>
        </is>
      </c>
      <c r="Y4390" t="inlineStr">
        <is>
          <t>Atlantic Canada Opportunities Agency | Agence de promotion économique du Canada atlantique</t>
        </is>
      </c>
      <c r="Z4390" t="n">
        <v>2</v>
      </c>
      <c r="AA4390" t="n">
        <v>292</v>
      </c>
      <c r="AB4390">
        <f>ROUND(U4390-AA4390,2)</f>
        <v/>
      </c>
      <c r="AC4390" t="b">
        <v>0</v>
      </c>
      <c r="AD4390">
        <f>IF(U4390="","MISSING_TOTAL",IF(ABS(AB4390)&lt;=0.01,"OK","CHECK"))</f>
        <v/>
      </c>
      <c r="AE4390">
        <f>IF(U4390="","MISSING",IF(AND(AA4390&gt;0,U4390/AA4390&gt;50),"POSSIBLE_SCALE_ERROR","OK"))</f>
        <v/>
      </c>
    </row>
    <row r="4391">
      <c r="A4391" t="inlineStr">
        <is>
          <t>T-2018-Q3-00053</t>
        </is>
      </c>
      <c r="B4391" t="inlineStr">
        <is>
          <t>SLE</t>
        </is>
      </c>
      <c r="C4391" t="inlineStr">
        <is>
          <t>Vice-President, Nova Scotia</t>
        </is>
      </c>
      <c r="D4391" t="inlineStr">
        <is>
          <t>Vice-président, Nouvelle-Écosse</t>
        </is>
      </c>
      <c r="E4391" t="inlineStr">
        <is>
          <t>Chuck Maillet</t>
        </is>
      </c>
      <c r="F4391" t="inlineStr">
        <is>
          <t>Various meetings with Agency officials</t>
        </is>
      </c>
      <c r="G4391" t="inlineStr">
        <is>
          <t>Diverses réunions avec des fonctionnaires de l'Agence</t>
        </is>
      </c>
      <c r="H4391" s="1" t="n">
        <v>43019</v>
      </c>
      <c r="I4391" s="1" t="n">
        <v>43020</v>
      </c>
      <c r="J4391" t="inlineStr">
        <is>
          <t>Moncton, New Brunswick</t>
        </is>
      </c>
      <c r="K4391" t="inlineStr">
        <is>
          <t>Moncton (Nouveau-Brunswick)</t>
        </is>
      </c>
      <c r="P4391" t="n">
        <v>0</v>
      </c>
      <c r="Q4391" t="n">
        <v>0</v>
      </c>
      <c r="R4391" t="n">
        <v>132.25</v>
      </c>
      <c r="S4391" t="n">
        <v>167.3</v>
      </c>
      <c r="T4391" t="n">
        <v>16.1</v>
      </c>
      <c r="U4391" t="n">
        <v>315.65</v>
      </c>
      <c r="X4391" t="inlineStr">
        <is>
          <t>acoa-apeca</t>
        </is>
      </c>
      <c r="Y4391" t="inlineStr">
        <is>
          <t>Atlantic Canada Opportunities Agency | Agence de promotion économique du Canada atlantique</t>
        </is>
      </c>
      <c r="Z4391" t="n">
        <v>2</v>
      </c>
      <c r="AA4391" t="n">
        <v>315.65</v>
      </c>
      <c r="AB4391">
        <f>ROUND(U4391-AA4391,2)</f>
        <v/>
      </c>
      <c r="AC4391" t="b">
        <v>0</v>
      </c>
      <c r="AD4391">
        <f>IF(U4391="","MISSING_TOTAL",IF(ABS(AB4391)&lt;=0.01,"OK","CHECK"))</f>
        <v/>
      </c>
      <c r="AE4391">
        <f>IF(U4391="","MISSING",IF(AND(AA4391&gt;0,U4391/AA4391&gt;50),"POSSIBLE_SCALE_ERROR","OK"))</f>
        <v/>
      </c>
    </row>
    <row r="4392">
      <c r="A4392" t="inlineStr">
        <is>
          <t>T-2018-Q3-00052</t>
        </is>
      </c>
      <c r="B4392" t="inlineStr">
        <is>
          <t>SLE</t>
        </is>
      </c>
      <c r="C4392" t="inlineStr">
        <is>
          <t>Vice-President, Nova Scotia</t>
        </is>
      </c>
      <c r="D4392" t="inlineStr">
        <is>
          <t>Vice-président, Nouvelle-Écosse</t>
        </is>
      </c>
      <c r="E4392" t="inlineStr">
        <is>
          <t>Chuck Maillet</t>
        </is>
      </c>
      <c r="F4392" t="inlineStr">
        <is>
          <t>Meeting with stakeholders</t>
        </is>
      </c>
      <c r="G4392" t="inlineStr">
        <is>
          <t>Réunion avec des intervenants</t>
        </is>
      </c>
      <c r="H4392" s="1" t="n">
        <v>43021</v>
      </c>
      <c r="I4392" s="1" t="n">
        <v>43021</v>
      </c>
      <c r="J4392" t="inlineStr">
        <is>
          <t>Truro, Nova Scotia</t>
        </is>
      </c>
      <c r="K4392" t="inlineStr">
        <is>
          <t>Truro (Nouvelle-Écosse)</t>
        </is>
      </c>
      <c r="P4392" t="n">
        <v>0</v>
      </c>
      <c r="Q4392" t="n">
        <v>0</v>
      </c>
      <c r="R4392" t="n">
        <v>0</v>
      </c>
      <c r="S4392" t="n">
        <v>18.9</v>
      </c>
      <c r="T4392" t="n">
        <v>0</v>
      </c>
      <c r="U4392" t="n">
        <v>18.9</v>
      </c>
      <c r="X4392" t="inlineStr">
        <is>
          <t>acoa-apeca</t>
        </is>
      </c>
      <c r="Y4392" t="inlineStr">
        <is>
          <t>Atlantic Canada Opportunities Agency | Agence de promotion économique du Canada atlantique</t>
        </is>
      </c>
      <c r="Z4392" t="n">
        <v>1</v>
      </c>
      <c r="AA4392" t="n">
        <v>18.9</v>
      </c>
      <c r="AB4392">
        <f>ROUND(U4392-AA4392,2)</f>
        <v/>
      </c>
      <c r="AC4392" t="b">
        <v>0</v>
      </c>
      <c r="AD4392">
        <f>IF(U4392="","MISSING_TOTAL",IF(ABS(AB4392)&lt;=0.01,"OK","CHECK"))</f>
        <v/>
      </c>
      <c r="AE4392">
        <f>IF(U4392="","MISSING",IF(AND(AA4392&gt;0,U4392/AA4392&gt;50),"POSSIBLE_SCALE_ERROR","OK"))</f>
        <v/>
      </c>
    </row>
    <row r="4393">
      <c r="A4393" t="inlineStr">
        <is>
          <t>T-2018-Q3-00051</t>
        </is>
      </c>
      <c r="B4393" t="inlineStr">
        <is>
          <t>SLE</t>
        </is>
      </c>
      <c r="C4393" t="inlineStr">
        <is>
          <t>Vice-President, Nova Scotia</t>
        </is>
      </c>
      <c r="D4393" t="inlineStr">
        <is>
          <t>Vice-président, Nouvelle-Écosse</t>
        </is>
      </c>
      <c r="E4393" t="inlineStr">
        <is>
          <t>Chuck Maillet</t>
        </is>
      </c>
      <c r="F4393" t="inlineStr">
        <is>
          <t>Meeting with Agency officials and various meetings with stakeholders</t>
        </is>
      </c>
      <c r="G4393" t="inlineStr">
        <is>
          <t>Réunion avec des fonctionnaires de l'Agence et diverses réunions avec des intervenants</t>
        </is>
      </c>
      <c r="H4393" s="1" t="n">
        <v>43024</v>
      </c>
      <c r="I4393" s="1" t="n">
        <v>43026</v>
      </c>
      <c r="J4393" t="inlineStr">
        <is>
          <t>Wolfville, Nova Scotia</t>
        </is>
      </c>
      <c r="K4393" t="inlineStr">
        <is>
          <t>Wolfville (Nouvelle-Écosse)</t>
        </is>
      </c>
      <c r="P4393" t="n">
        <v>0</v>
      </c>
      <c r="Q4393" t="n">
        <v>0</v>
      </c>
      <c r="R4393" t="n">
        <v>257.6</v>
      </c>
      <c r="S4393" t="n">
        <v>203.7</v>
      </c>
      <c r="T4393" t="n">
        <v>0</v>
      </c>
      <c r="U4393" t="n">
        <v>461.3</v>
      </c>
      <c r="X4393" t="inlineStr">
        <is>
          <t>acoa-apeca</t>
        </is>
      </c>
      <c r="Y4393" t="inlineStr">
        <is>
          <t>Atlantic Canada Opportunities Agency | Agence de promotion économique du Canada atlantique</t>
        </is>
      </c>
      <c r="Z4393" t="n">
        <v>3</v>
      </c>
      <c r="AA4393" t="n">
        <v>461.3</v>
      </c>
      <c r="AB4393">
        <f>ROUND(U4393-AA4393,2)</f>
        <v/>
      </c>
      <c r="AC4393" t="b">
        <v>0</v>
      </c>
      <c r="AD4393">
        <f>IF(U4393="","MISSING_TOTAL",IF(ABS(AB4393)&lt;=0.01,"OK","CHECK"))</f>
        <v/>
      </c>
      <c r="AE4393">
        <f>IF(U4393="","MISSING",IF(AND(AA4393&gt;0,U4393/AA4393&gt;50),"POSSIBLE_SCALE_ERROR","OK"))</f>
        <v/>
      </c>
    </row>
    <row r="4394">
      <c r="A4394" t="inlineStr">
        <is>
          <t>T-2018-Q3-00050</t>
        </is>
      </c>
      <c r="B4394" t="inlineStr">
        <is>
          <t>SLE</t>
        </is>
      </c>
      <c r="C4394" t="inlineStr">
        <is>
          <t>Vice-President, Nova Scotia</t>
        </is>
      </c>
      <c r="D4394" t="inlineStr">
        <is>
          <t>Vice-président, Nouvelle-Écosse</t>
        </is>
      </c>
      <c r="E4394" t="inlineStr">
        <is>
          <t>Chuck Maillet</t>
        </is>
      </c>
      <c r="F4394" t="inlineStr">
        <is>
          <t>Various events with stakeholders</t>
        </is>
      </c>
      <c r="G4394" t="inlineStr">
        <is>
          <t>Diverses activités avec des intervenants</t>
        </is>
      </c>
      <c r="H4394" s="1" t="n">
        <v>43062</v>
      </c>
      <c r="I4394" s="1" t="n">
        <v>43062</v>
      </c>
      <c r="J4394" t="inlineStr">
        <is>
          <t>Truro, Nova Scotia</t>
        </is>
      </c>
      <c r="K4394" t="inlineStr">
        <is>
          <t>Truro (Nouvelle-Écosse)</t>
        </is>
      </c>
      <c r="P4394" t="n">
        <v>0</v>
      </c>
      <c r="Q4394" t="n">
        <v>0</v>
      </c>
      <c r="R4394" t="n">
        <v>0</v>
      </c>
      <c r="S4394" t="n">
        <v>66.25</v>
      </c>
      <c r="T4394" t="n">
        <v>0</v>
      </c>
      <c r="U4394" t="n">
        <v>66.25</v>
      </c>
      <c r="X4394" t="inlineStr">
        <is>
          <t>acoa-apeca</t>
        </is>
      </c>
      <c r="Y4394" t="inlineStr">
        <is>
          <t>Atlantic Canada Opportunities Agency | Agence de promotion économique du Canada atlantique</t>
        </is>
      </c>
      <c r="Z4394" t="n">
        <v>1</v>
      </c>
      <c r="AA4394" t="n">
        <v>66.25</v>
      </c>
      <c r="AB4394">
        <f>ROUND(U4394-AA4394,2)</f>
        <v/>
      </c>
      <c r="AC4394" t="b">
        <v>0</v>
      </c>
      <c r="AD4394">
        <f>IF(U4394="","MISSING_TOTAL",IF(ABS(AB4394)&lt;=0.01,"OK","CHECK"))</f>
        <v/>
      </c>
      <c r="AE4394">
        <f>IF(U4394="","MISSING",IF(AND(AA4394&gt;0,U4394/AA4394&gt;50),"POSSIBLE_SCALE_ERROR","OK"))</f>
        <v/>
      </c>
    </row>
    <row r="4395">
      <c r="A4395" t="inlineStr">
        <is>
          <t>T-2018-Q3-00048</t>
        </is>
      </c>
      <c r="B4395" t="inlineStr">
        <is>
          <t>SLE</t>
        </is>
      </c>
      <c r="C4395" t="inlineStr">
        <is>
          <t>A/Vice-President, Finance and Corporate Services</t>
        </is>
      </c>
      <c r="D4395" t="inlineStr">
        <is>
          <t>Vice-président par intérim, Finances et Services corporatifs</t>
        </is>
      </c>
      <c r="E4395" t="inlineStr">
        <is>
          <t>Stephane Lagace</t>
        </is>
      </c>
      <c r="F4395" t="inlineStr">
        <is>
          <t>Meetings with Government of Canada officials</t>
        </is>
      </c>
      <c r="G4395" t="inlineStr">
        <is>
          <t>Réunions avec des fonctionnaires du gouvernement du Canada</t>
        </is>
      </c>
      <c r="H4395" s="1" t="n">
        <v>43049</v>
      </c>
      <c r="I4395" s="1" t="n">
        <v>43049</v>
      </c>
      <c r="J4395" t="inlineStr">
        <is>
          <t>Fredericton, New Brunswick</t>
        </is>
      </c>
      <c r="K4395" t="inlineStr">
        <is>
          <t>Fredericton (Nouveau-Brunswick)</t>
        </is>
      </c>
      <c r="P4395" t="n">
        <v>66.25</v>
      </c>
      <c r="Q4395" t="n">
        <v>0</v>
      </c>
      <c r="R4395" t="n">
        <v>0</v>
      </c>
      <c r="S4395" t="n">
        <v>0</v>
      </c>
      <c r="T4395" t="n">
        <v>4</v>
      </c>
      <c r="U4395" t="n">
        <v>70.25</v>
      </c>
      <c r="X4395" t="inlineStr">
        <is>
          <t>acoa-apeca</t>
        </is>
      </c>
      <c r="Y4395" t="inlineStr">
        <is>
          <t>Atlantic Canada Opportunities Agency | Agence de promotion économique du Canada atlantique</t>
        </is>
      </c>
      <c r="Z4395" t="n">
        <v>1</v>
      </c>
      <c r="AA4395" t="n">
        <v>70.25</v>
      </c>
      <c r="AB4395">
        <f>ROUND(U4395-AA4395,2)</f>
        <v/>
      </c>
      <c r="AC4395" t="b">
        <v>0</v>
      </c>
      <c r="AD4395">
        <f>IF(U4395="","MISSING_TOTAL",IF(ABS(AB4395)&lt;=0.01,"OK","CHECK"))</f>
        <v/>
      </c>
      <c r="AE4395">
        <f>IF(U4395="","MISSING",IF(AND(AA4395&gt;0,U4395/AA4395&gt;50),"POSSIBLE_SCALE_ERROR","OK"))</f>
        <v/>
      </c>
    </row>
    <row r="4396">
      <c r="A4396" t="inlineStr">
        <is>
          <t>T-2018-Q3-00047</t>
        </is>
      </c>
      <c r="B4396" t="inlineStr">
        <is>
          <t>SLE</t>
        </is>
      </c>
      <c r="C4396" t="inlineStr">
        <is>
          <t>A/Vice-President, Finance and Corporate Services</t>
        </is>
      </c>
      <c r="D4396" t="inlineStr">
        <is>
          <t>Vice-président par intérim, Finances et Services corporatifs</t>
        </is>
      </c>
      <c r="E4396" t="inlineStr">
        <is>
          <t>Stephane Lagace</t>
        </is>
      </c>
      <c r="F4396" t="inlineStr">
        <is>
          <t>Meetings with Government of Canada officials</t>
        </is>
      </c>
      <c r="G4396" t="inlineStr">
        <is>
          <t>Réunions avec des fonctionnaires du gouvernement du Canada</t>
        </is>
      </c>
      <c r="H4396" s="1" t="n">
        <v>43024</v>
      </c>
      <c r="I4396" s="1" t="n">
        <v>43026</v>
      </c>
      <c r="J4396" t="inlineStr">
        <is>
          <t>Wolfville, Nova Scotia</t>
        </is>
      </c>
      <c r="K4396" t="inlineStr">
        <is>
          <t>Wolfville (Nouvelle-Écosse)</t>
        </is>
      </c>
      <c r="P4396" t="n">
        <v>0</v>
      </c>
      <c r="Q4396" t="n">
        <v>155.42</v>
      </c>
      <c r="R4396" t="n">
        <v>257.6</v>
      </c>
      <c r="S4396" t="n">
        <v>222.6</v>
      </c>
      <c r="T4396" t="n">
        <v>84.48999999999999</v>
      </c>
      <c r="U4396" t="n">
        <v>720.11</v>
      </c>
      <c r="X4396" t="inlineStr">
        <is>
          <t>acoa-apeca</t>
        </is>
      </c>
      <c r="Y4396" t="inlineStr">
        <is>
          <t>Atlantic Canada Opportunities Agency | Agence de promotion économique du Canada atlantique</t>
        </is>
      </c>
      <c r="Z4396" t="n">
        <v>3</v>
      </c>
      <c r="AA4396" t="n">
        <v>720.11</v>
      </c>
      <c r="AB4396">
        <f>ROUND(U4396-AA4396,2)</f>
        <v/>
      </c>
      <c r="AC4396" t="b">
        <v>0</v>
      </c>
      <c r="AD4396">
        <f>IF(U4396="","MISSING_TOTAL",IF(ABS(AB4396)&lt;=0.01,"OK","CHECK"))</f>
        <v/>
      </c>
      <c r="AE4396">
        <f>IF(U4396="","MISSING",IF(AND(AA4396&gt;0,U4396/AA4396&gt;50),"POSSIBLE_SCALE_ERROR","OK"))</f>
        <v/>
      </c>
    </row>
    <row r="4397">
      <c r="A4397" t="inlineStr">
        <is>
          <t>T-2018-Q3-00046</t>
        </is>
      </c>
      <c r="B4397" t="inlineStr">
        <is>
          <t>SLE</t>
        </is>
      </c>
      <c r="C4397" t="inlineStr">
        <is>
          <t>Senior Advisor (Energy)</t>
        </is>
      </c>
      <c r="D4397" t="inlineStr">
        <is>
          <t>Conseiller spécial (energie)</t>
        </is>
      </c>
      <c r="E4397" t="inlineStr">
        <is>
          <t>Andrew F. Noseworthy</t>
        </is>
      </c>
      <c r="F4397" t="inlineStr">
        <is>
          <t>Newfoundland and Labrador subsea cost reduction group visit to Norway and the United Kingdom</t>
        </is>
      </c>
      <c r="G4397" t="inlineStr">
        <is>
          <t>Visite du groupe de réduction des coûts d'opérations sous-marines de Terre-Neuve-et-Labrador en Norvège et au Royaume-Uni</t>
        </is>
      </c>
      <c r="H4397" s="1" t="n">
        <v>42994</v>
      </c>
      <c r="I4397" s="1" t="n">
        <v>43001</v>
      </c>
      <c r="J4397" t="inlineStr">
        <is>
          <t>Oslo, Norway; Stavanger, Norway; Aberdeen, United Kingdom; London, United Kingdom</t>
        </is>
      </c>
      <c r="K4397" t="inlineStr">
        <is>
          <t>Oslo et Stavanger, Norvège; Aberdeen et Londres (Royaume-Uni)</t>
        </is>
      </c>
      <c r="P4397" t="n">
        <v>1929.36</v>
      </c>
      <c r="Q4397" t="n">
        <v>524.28</v>
      </c>
      <c r="R4397" t="n">
        <v>1942.76</v>
      </c>
      <c r="S4397" t="n">
        <v>1029.19</v>
      </c>
      <c r="T4397" t="n">
        <v>0</v>
      </c>
      <c r="U4397" t="n">
        <v>5425.59</v>
      </c>
      <c r="X4397" t="inlineStr">
        <is>
          <t>acoa-apeca</t>
        </is>
      </c>
      <c r="Y4397" t="inlineStr">
        <is>
          <t>Atlantic Canada Opportunities Agency | Agence de promotion économique du Canada atlantique</t>
        </is>
      </c>
      <c r="Z4397" t="n">
        <v>8</v>
      </c>
      <c r="AA4397" t="n">
        <v>5425.59</v>
      </c>
      <c r="AB4397">
        <f>ROUND(U4397-AA4397,2)</f>
        <v/>
      </c>
      <c r="AC4397" t="b">
        <v>0</v>
      </c>
      <c r="AD4397">
        <f>IF(U4397="","MISSING_TOTAL",IF(ABS(AB4397)&lt;=0.01,"OK","CHECK"))</f>
        <v/>
      </c>
      <c r="AE4397">
        <f>IF(U4397="","MISSING",IF(AND(AA4397&gt;0,U4397/AA4397&gt;50),"POSSIBLE_SCALE_ERROR","OK"))</f>
        <v/>
      </c>
    </row>
    <row r="4398">
      <c r="A4398" t="inlineStr">
        <is>
          <t>T-2018-Q3-00045</t>
        </is>
      </c>
      <c r="B4398" t="inlineStr">
        <is>
          <t>SLE</t>
        </is>
      </c>
      <c r="C4398" t="inlineStr">
        <is>
          <t>Senior Advisor (Energy)</t>
        </is>
      </c>
      <c r="D4398" t="inlineStr">
        <is>
          <t>Conseiller spécial (energie)</t>
        </is>
      </c>
      <c r="E4398" t="inlineStr">
        <is>
          <t>Andrew F. Noseworthy</t>
        </is>
      </c>
      <c r="F4398" t="inlineStr">
        <is>
          <t>Attend Offshore Europe Conference and the International Upstream Forum 2017</t>
        </is>
      </c>
      <c r="G4398" t="inlineStr">
        <is>
          <t>Assister à la conférence Offshore Europe et à l'International Upstream Forum 2017</t>
        </is>
      </c>
      <c r="H4398" s="1" t="n">
        <v>42980</v>
      </c>
      <c r="I4398" s="1" t="n">
        <v>42988</v>
      </c>
      <c r="J4398" t="inlineStr">
        <is>
          <t>Aberdeen, United Kingdom</t>
        </is>
      </c>
      <c r="K4398" t="inlineStr">
        <is>
          <t>Aberdeen (Royaume-Uni)</t>
        </is>
      </c>
      <c r="P4398" t="n">
        <v>2080.56</v>
      </c>
      <c r="Q4398" t="n">
        <v>438.14</v>
      </c>
      <c r="R4398" t="n">
        <v>1903.58</v>
      </c>
      <c r="S4398" t="n">
        <v>898.59</v>
      </c>
      <c r="T4398" t="n">
        <v>0</v>
      </c>
      <c r="U4398" t="n">
        <v>5320.87</v>
      </c>
      <c r="X4398" t="inlineStr">
        <is>
          <t>acoa-apeca</t>
        </is>
      </c>
      <c r="Y4398" t="inlineStr">
        <is>
          <t>Atlantic Canada Opportunities Agency | Agence de promotion économique du Canada atlantique</t>
        </is>
      </c>
      <c r="Z4398" t="n">
        <v>9</v>
      </c>
      <c r="AA4398" t="n">
        <v>5320.87</v>
      </c>
      <c r="AB4398">
        <f>ROUND(U4398-AA4398,2)</f>
        <v/>
      </c>
      <c r="AC4398" t="b">
        <v>0</v>
      </c>
      <c r="AD4398">
        <f>IF(U4398="","MISSING_TOTAL",IF(ABS(AB4398)&lt;=0.01,"OK","CHECK"))</f>
        <v/>
      </c>
      <c r="AE4398">
        <f>IF(U4398="","MISSING",IF(AND(AA4398&gt;0,U4398/AA4398&gt;50),"POSSIBLE_SCALE_ERROR","OK"))</f>
        <v/>
      </c>
    </row>
    <row r="4399">
      <c r="A4399" t="inlineStr">
        <is>
          <t>T-2018-Q3-00044</t>
        </is>
      </c>
      <c r="B4399" t="inlineStr">
        <is>
          <t>SLE</t>
        </is>
      </c>
      <c r="C4399" t="inlineStr">
        <is>
          <t>Senior Advisor (Energy)</t>
        </is>
      </c>
      <c r="D4399" t="inlineStr">
        <is>
          <t>Conseiller spécial (energie)</t>
        </is>
      </c>
      <c r="E4399" t="inlineStr">
        <is>
          <t>Andrew F. Noseworthy</t>
        </is>
      </c>
      <c r="F4399" t="inlineStr">
        <is>
          <t>Attend Vice-Presidents' Retreat</t>
        </is>
      </c>
      <c r="G4399" t="inlineStr">
        <is>
          <t>Assister à la retraite des vice-présidents</t>
        </is>
      </c>
      <c r="H4399" s="1" t="n">
        <v>43025</v>
      </c>
      <c r="I4399" s="1" t="n">
        <v>43026</v>
      </c>
      <c r="J4399" t="inlineStr">
        <is>
          <t>Greenwich, Nova Scotia</t>
        </is>
      </c>
      <c r="K4399" t="inlineStr">
        <is>
          <t>Greenwich (Nouvelle-Écosse)</t>
        </is>
      </c>
      <c r="P4399" t="n">
        <v>708.46</v>
      </c>
      <c r="Q4399" t="n">
        <v>122.45</v>
      </c>
      <c r="R4399" t="n">
        <v>128.8</v>
      </c>
      <c r="S4399" t="n">
        <v>139.05</v>
      </c>
      <c r="T4399" t="n">
        <v>53</v>
      </c>
      <c r="U4399" t="n">
        <v>1151.76</v>
      </c>
      <c r="X4399" t="inlineStr">
        <is>
          <t>acoa-apeca</t>
        </is>
      </c>
      <c r="Y4399" t="inlineStr">
        <is>
          <t>Atlantic Canada Opportunities Agency | Agence de promotion économique du Canada atlantique</t>
        </is>
      </c>
      <c r="Z4399" t="n">
        <v>2</v>
      </c>
      <c r="AA4399" t="n">
        <v>1151.76</v>
      </c>
      <c r="AB4399">
        <f>ROUND(U4399-AA4399,2)</f>
        <v/>
      </c>
      <c r="AC4399" t="b">
        <v>0</v>
      </c>
      <c r="AD4399">
        <f>IF(U4399="","MISSING_TOTAL",IF(ABS(AB4399)&lt;=0.01,"OK","CHECK"))</f>
        <v/>
      </c>
      <c r="AE4399">
        <f>IF(U4399="","MISSING",IF(AND(AA4399&gt;0,U4399/AA4399&gt;50),"POSSIBLE_SCALE_ERROR","OK"))</f>
        <v/>
      </c>
    </row>
    <row r="4400">
      <c r="A4400" t="inlineStr">
        <is>
          <t>T-2018-Q3-00043</t>
        </is>
      </c>
      <c r="B4400" t="inlineStr">
        <is>
          <t>SLE</t>
        </is>
      </c>
      <c r="C4400" t="inlineStr">
        <is>
          <t>Senior Advisor (Energy)</t>
        </is>
      </c>
      <c r="D4400" t="inlineStr">
        <is>
          <t>Conseiller spécial (energie)</t>
        </is>
      </c>
      <c r="E4400" t="inlineStr">
        <is>
          <t>Andrew F. Noseworthy</t>
        </is>
      </c>
      <c r="F4400" t="inlineStr">
        <is>
          <t>Attend Executive Committee meeting</t>
        </is>
      </c>
      <c r="G4400" t="inlineStr">
        <is>
          <t>Assister à une réunion du Comité de direction</t>
        </is>
      </c>
      <c r="H4400" s="1" t="n">
        <v>42991</v>
      </c>
      <c r="I4400" s="1" t="n">
        <v>42992</v>
      </c>
      <c r="J4400" t="inlineStr">
        <is>
          <t>Moncton, New Brunswick</t>
        </is>
      </c>
      <c r="K4400" t="inlineStr">
        <is>
          <t>Moncton (Nouveau-Brunswick)</t>
        </is>
      </c>
      <c r="P4400" t="n">
        <v>926.26</v>
      </c>
      <c r="Q4400" t="n">
        <v>131.57</v>
      </c>
      <c r="R4400" t="n">
        <v>132.25</v>
      </c>
      <c r="S4400" t="n">
        <v>115.75</v>
      </c>
      <c r="T4400" t="n">
        <v>56.1</v>
      </c>
      <c r="U4400" t="n">
        <v>1361.93</v>
      </c>
      <c r="X4400" t="inlineStr">
        <is>
          <t>acoa-apeca</t>
        </is>
      </c>
      <c r="Y4400" t="inlineStr">
        <is>
          <t>Atlantic Canada Opportunities Agency | Agence de promotion économique du Canada atlantique</t>
        </is>
      </c>
      <c r="Z4400" t="n">
        <v>2</v>
      </c>
      <c r="AA4400" t="n">
        <v>1361.92999999999</v>
      </c>
      <c r="AB4400">
        <f>ROUND(U4400-AA4400,2)</f>
        <v/>
      </c>
      <c r="AC4400" t="b">
        <v>0</v>
      </c>
      <c r="AD4400">
        <f>IF(U4400="","MISSING_TOTAL",IF(ABS(AB4400)&lt;=0.01,"OK","CHECK"))</f>
        <v/>
      </c>
      <c r="AE4400">
        <f>IF(U4400="","MISSING",IF(AND(AA4400&gt;0,U4400/AA4400&gt;50),"POSSIBLE_SCALE_ERROR","OK"))</f>
        <v/>
      </c>
    </row>
    <row r="4401">
      <c r="A4401" t="inlineStr">
        <is>
          <t>T-2018-Q3-00042</t>
        </is>
      </c>
      <c r="B4401" t="inlineStr">
        <is>
          <t>SLE</t>
        </is>
      </c>
      <c r="C4401" t="inlineStr">
        <is>
          <t>Vice-President, Newfoundland and Labrador</t>
        </is>
      </c>
      <c r="D4401" t="inlineStr">
        <is>
          <t>Vice-président, Terre-Neuve-et-Labrador</t>
        </is>
      </c>
      <c r="E4401" t="inlineStr">
        <is>
          <t>Ken Martin</t>
        </is>
      </c>
      <c r="F4401" t="inlineStr">
        <is>
          <t>Meetings and discussions with key community stakeholders</t>
        </is>
      </c>
      <c r="G4401" t="inlineStr">
        <is>
          <t>Réunions et discussions avec des intervenants clés de la collectivité</t>
        </is>
      </c>
      <c r="H4401" s="1" t="n">
        <v>43061</v>
      </c>
      <c r="I4401" s="1" t="n">
        <v>43062</v>
      </c>
      <c r="J4401" t="inlineStr">
        <is>
          <t>Goose Bay, Newfoundland and Labrador</t>
        </is>
      </c>
      <c r="K4401" t="inlineStr">
        <is>
          <t>Goose Bay (Terre-Neuve-et-Labrador)</t>
        </is>
      </c>
      <c r="P4401" t="n">
        <v>1107.73</v>
      </c>
      <c r="Q4401" t="n">
        <v>15.12</v>
      </c>
      <c r="R4401" t="n">
        <v>166.75</v>
      </c>
      <c r="S4401" t="n">
        <v>167.3</v>
      </c>
      <c r="T4401" t="n">
        <v>0</v>
      </c>
      <c r="U4401" t="n">
        <v>1456.9</v>
      </c>
      <c r="X4401" t="inlineStr">
        <is>
          <t>acoa-apeca</t>
        </is>
      </c>
      <c r="Y4401" t="inlineStr">
        <is>
          <t>Atlantic Canada Opportunities Agency | Agence de promotion économique du Canada atlantique</t>
        </is>
      </c>
      <c r="Z4401" t="n">
        <v>2</v>
      </c>
      <c r="AA4401" t="n">
        <v>1456.89999999999</v>
      </c>
      <c r="AB4401">
        <f>ROUND(U4401-AA4401,2)</f>
        <v/>
      </c>
      <c r="AC4401" t="b">
        <v>0</v>
      </c>
      <c r="AD4401">
        <f>IF(U4401="","MISSING_TOTAL",IF(ABS(AB4401)&lt;=0.01,"OK","CHECK"))</f>
        <v/>
      </c>
      <c r="AE4401">
        <f>IF(U4401="","MISSING",IF(AND(AA4401&gt;0,U4401/AA4401&gt;50),"POSSIBLE_SCALE_ERROR","OK"))</f>
        <v/>
      </c>
    </row>
    <row r="4402">
      <c r="A4402" t="inlineStr">
        <is>
          <t>T-2018-Q3-00024</t>
        </is>
      </c>
      <c r="B4402" t="inlineStr">
        <is>
          <t>SLE</t>
        </is>
      </c>
      <c r="C4402" t="inlineStr">
        <is>
          <t>Vice-President, Newfoundland and Labrador</t>
        </is>
      </c>
      <c r="D4402" t="inlineStr">
        <is>
          <t>Vice-président, Terre-Neuve-et-Labrador</t>
        </is>
      </c>
      <c r="E4402" t="inlineStr">
        <is>
          <t>Ken Martin</t>
        </is>
      </c>
      <c r="F4402" t="inlineStr">
        <is>
          <t>Attend client meeting in Holyrood</t>
        </is>
      </c>
      <c r="G4402" t="inlineStr">
        <is>
          <t>Assister à une réunion avec un client à Holyrood</t>
        </is>
      </c>
      <c r="H4402" s="1" t="n">
        <v>43014</v>
      </c>
      <c r="I4402" s="1" t="n">
        <v>43014</v>
      </c>
      <c r="J4402" t="inlineStr">
        <is>
          <t>Holyrood, Newfoundland and Labrador</t>
        </is>
      </c>
      <c r="K4402" t="inlineStr">
        <is>
          <t>Holyrood (Terre-Neuve-et-Labrador)</t>
        </is>
      </c>
      <c r="P4402" t="n">
        <v>0</v>
      </c>
      <c r="Q4402" t="n">
        <v>48.6</v>
      </c>
      <c r="R4402" t="n">
        <v>0</v>
      </c>
      <c r="S4402" t="n">
        <v>0</v>
      </c>
      <c r="T4402" t="n">
        <v>0</v>
      </c>
      <c r="U4402" t="n">
        <v>48.6</v>
      </c>
      <c r="X4402" t="inlineStr">
        <is>
          <t>acoa-apeca</t>
        </is>
      </c>
      <c r="Y4402" t="inlineStr">
        <is>
          <t>Atlantic Canada Opportunities Agency | Agence de promotion économique du Canada atlantique</t>
        </is>
      </c>
      <c r="Z4402" t="n">
        <v>1</v>
      </c>
      <c r="AA4402" t="n">
        <v>48.6</v>
      </c>
      <c r="AB4402">
        <f>ROUND(U4402-AA4402,2)</f>
        <v/>
      </c>
      <c r="AC4402" t="b">
        <v>0</v>
      </c>
      <c r="AD4402">
        <f>IF(U4402="","MISSING_TOTAL",IF(ABS(AB4402)&lt;=0.01,"OK","CHECK"))</f>
        <v/>
      </c>
      <c r="AE4402">
        <f>IF(U4402="","MISSING",IF(AND(AA4402&gt;0,U4402/AA4402&gt;50),"POSSIBLE_SCALE_ERROR","OK"))</f>
        <v/>
      </c>
    </row>
    <row r="4403">
      <c r="A4403" t="inlineStr">
        <is>
          <t>T-2018-Q3-00041</t>
        </is>
      </c>
      <c r="B4403" t="inlineStr">
        <is>
          <t>SLE</t>
        </is>
      </c>
      <c r="C4403" t="inlineStr">
        <is>
          <t>Vice-President, Prince Edward Island</t>
        </is>
      </c>
      <c r="D4403" t="inlineStr">
        <is>
          <t>Vice-président, Île-du-Prince-Édouard</t>
        </is>
      </c>
      <c r="E4403" t="inlineStr">
        <is>
          <t>Patrick Dorsey</t>
        </is>
      </c>
      <c r="F4403" t="inlineStr">
        <is>
          <t>Meetings with Government of Canada officials</t>
        </is>
      </c>
      <c r="G4403" t="inlineStr">
        <is>
          <t>Réunions avec des fonctionnaires du gouvernement du Canada</t>
        </is>
      </c>
      <c r="H4403" s="1" t="n">
        <v>43060</v>
      </c>
      <c r="I4403" s="1" t="n">
        <v>43061</v>
      </c>
      <c r="J4403" t="inlineStr">
        <is>
          <t>Moncton, New Brunswick</t>
        </is>
      </c>
      <c r="K4403" t="inlineStr">
        <is>
          <t>Moncton (Nouveau-Brunswick)</t>
        </is>
      </c>
      <c r="P4403" t="n">
        <v>0</v>
      </c>
      <c r="Q4403" t="n">
        <v>57.5</v>
      </c>
      <c r="R4403" t="n">
        <v>148.35</v>
      </c>
      <c r="S4403" t="n">
        <v>167.3</v>
      </c>
      <c r="T4403" t="n">
        <v>0</v>
      </c>
      <c r="U4403" t="n">
        <v>373.15</v>
      </c>
      <c r="X4403" t="inlineStr">
        <is>
          <t>acoa-apeca</t>
        </is>
      </c>
      <c r="Y4403" t="inlineStr">
        <is>
          <t>Atlantic Canada Opportunities Agency | Agence de promotion économique du Canada atlantique</t>
        </is>
      </c>
      <c r="Z4403" t="n">
        <v>2</v>
      </c>
      <c r="AA4403" t="n">
        <v>373.15</v>
      </c>
      <c r="AB4403">
        <f>ROUND(U4403-AA4403,2)</f>
        <v/>
      </c>
      <c r="AC4403" t="b">
        <v>0</v>
      </c>
      <c r="AD4403">
        <f>IF(U4403="","MISSING_TOTAL",IF(ABS(AB4403)&lt;=0.01,"OK","CHECK"))</f>
        <v/>
      </c>
      <c r="AE4403">
        <f>IF(U4403="","MISSING",IF(AND(AA4403&gt;0,U4403/AA4403&gt;50),"POSSIBLE_SCALE_ERROR","OK"))</f>
        <v/>
      </c>
    </row>
    <row r="4404">
      <c r="A4404" t="inlineStr">
        <is>
          <t>T-2018-Q3-00039</t>
        </is>
      </c>
      <c r="B4404" t="inlineStr">
        <is>
          <t>SLE</t>
        </is>
      </c>
      <c r="C4404" t="inlineStr">
        <is>
          <t>Vice-President, Newfoundland and Labrador</t>
        </is>
      </c>
      <c r="D4404" t="inlineStr">
        <is>
          <t>Vice-président, Terre-Neuve-et-Labrador</t>
        </is>
      </c>
      <c r="E4404" t="inlineStr">
        <is>
          <t>Ken Martin</t>
        </is>
      </c>
      <c r="F4404" t="inlineStr">
        <is>
          <t>Attend meetings with clients and senior government officials</t>
        </is>
      </c>
      <c r="G4404" t="inlineStr">
        <is>
          <t>Assister à des réunions avec des clients et des hauts fonctionnaires</t>
        </is>
      </c>
      <c r="H4404" s="1" t="n">
        <v>43053</v>
      </c>
      <c r="I4404" s="1" t="n">
        <v>43055</v>
      </c>
      <c r="J4404" t="inlineStr">
        <is>
          <t>St. John's and surrounding area, Newfoundland and Labrador</t>
        </is>
      </c>
      <c r="K4404" t="inlineStr">
        <is>
          <t>St. John's et environs (Terre-Neuve-et-Labrador)</t>
        </is>
      </c>
      <c r="P4404" t="n">
        <v>0</v>
      </c>
      <c r="Q4404" t="n">
        <v>43.74</v>
      </c>
      <c r="R4404" t="n">
        <v>0</v>
      </c>
      <c r="S4404" t="n">
        <v>113.6</v>
      </c>
      <c r="T4404" t="n">
        <v>0</v>
      </c>
      <c r="U4404" t="n">
        <v>157.34</v>
      </c>
      <c r="X4404" t="inlineStr">
        <is>
          <t>acoa-apeca</t>
        </is>
      </c>
      <c r="Y4404" t="inlineStr">
        <is>
          <t>Atlantic Canada Opportunities Agency | Agence de promotion économique du Canada atlantique</t>
        </is>
      </c>
      <c r="Z4404" t="n">
        <v>3</v>
      </c>
      <c r="AA4404" t="n">
        <v>157.34</v>
      </c>
      <c r="AB4404">
        <f>ROUND(U4404-AA4404,2)</f>
        <v/>
      </c>
      <c r="AC4404" t="b">
        <v>0</v>
      </c>
      <c r="AD4404">
        <f>IF(U4404="","MISSING_TOTAL",IF(ABS(AB4404)&lt;=0.01,"OK","CHECK"))</f>
        <v/>
      </c>
      <c r="AE4404">
        <f>IF(U4404="","MISSING",IF(AND(AA4404&gt;0,U4404/AA4404&gt;50),"POSSIBLE_SCALE_ERROR","OK"))</f>
        <v/>
      </c>
    </row>
    <row r="4405">
      <c r="A4405" t="inlineStr">
        <is>
          <t>T-2018-Q3-00038</t>
        </is>
      </c>
      <c r="B4405" t="inlineStr">
        <is>
          <t>SLE</t>
        </is>
      </c>
      <c r="C4405" t="inlineStr">
        <is>
          <t>Vice-President, Newfoundland and Labrador</t>
        </is>
      </c>
      <c r="D4405" t="inlineStr">
        <is>
          <t>Vice-président, Terre-Neuve-et-Labrador</t>
        </is>
      </c>
      <c r="E4405" t="inlineStr">
        <is>
          <t>Ken Martin</t>
        </is>
      </c>
      <c r="F4405" t="inlineStr">
        <is>
          <t>Attend client meetings</t>
        </is>
      </c>
      <c r="G4405" t="inlineStr">
        <is>
          <t>Assister à des réunions avec des clients</t>
        </is>
      </c>
      <c r="H4405" s="1" t="n">
        <v>43052</v>
      </c>
      <c r="I4405" s="1" t="n">
        <v>43053</v>
      </c>
      <c r="J4405" t="inlineStr">
        <is>
          <t>Conne River, Newfoundland and Labrador</t>
        </is>
      </c>
      <c r="K4405" t="inlineStr">
        <is>
          <t>Conne River (Terre-Neuve-et-Labrador)</t>
        </is>
      </c>
      <c r="P4405" t="n">
        <v>1349.18</v>
      </c>
      <c r="Q4405" t="n">
        <v>20.4</v>
      </c>
      <c r="R4405" t="n">
        <v>126</v>
      </c>
      <c r="S4405" t="n">
        <v>72.59999999999999</v>
      </c>
      <c r="T4405" t="n">
        <v>16</v>
      </c>
      <c r="U4405" t="n">
        <v>1584.18</v>
      </c>
      <c r="X4405" t="inlineStr">
        <is>
          <t>acoa-apeca</t>
        </is>
      </c>
      <c r="Y4405" t="inlineStr">
        <is>
          <t>Atlantic Canada Opportunities Agency | Agence de promotion économique du Canada atlantique</t>
        </is>
      </c>
      <c r="Z4405" t="n">
        <v>2</v>
      </c>
      <c r="AA4405" t="n">
        <v>1584.18</v>
      </c>
      <c r="AB4405">
        <f>ROUND(U4405-AA4405,2)</f>
        <v/>
      </c>
      <c r="AC4405" t="b">
        <v>0</v>
      </c>
      <c r="AD4405">
        <f>IF(U4405="","MISSING_TOTAL",IF(ABS(AB4405)&lt;=0.01,"OK","CHECK"))</f>
        <v/>
      </c>
      <c r="AE4405">
        <f>IF(U4405="","MISSING",IF(AND(AA4405&gt;0,U4405/AA4405&gt;50),"POSSIBLE_SCALE_ERROR","OK"))</f>
        <v/>
      </c>
    </row>
    <row r="4406">
      <c r="A4406" t="inlineStr">
        <is>
          <t>T-2018-Q3-00037</t>
        </is>
      </c>
      <c r="B4406" t="inlineStr">
        <is>
          <t>SLE</t>
        </is>
      </c>
      <c r="C4406" t="inlineStr">
        <is>
          <t>Vice-President, Newfoundland and Labrador</t>
        </is>
      </c>
      <c r="D4406" t="inlineStr">
        <is>
          <t>Vice-président, Terre-Neuve-et-Labrador</t>
        </is>
      </c>
      <c r="E4406" t="inlineStr">
        <is>
          <t>Ken Martin</t>
        </is>
      </c>
      <c r="F4406" t="inlineStr">
        <is>
          <t>To attend meeting with senior officials in Ottawa</t>
        </is>
      </c>
      <c r="G4406" t="inlineStr">
        <is>
          <t>Assister à une réunion avec des hauts fonctionnaires à Ottawa</t>
        </is>
      </c>
      <c r="H4406" s="1" t="n">
        <v>43045</v>
      </c>
      <c r="I4406" s="1" t="n">
        <v>43045</v>
      </c>
      <c r="J4406" t="inlineStr">
        <is>
          <t>Ottawa, Ontario</t>
        </is>
      </c>
      <c r="K4406" t="inlineStr">
        <is>
          <t>Ottawa (Ontario)</t>
        </is>
      </c>
      <c r="P4406" t="n">
        <v>869.7</v>
      </c>
      <c r="Q4406" t="n">
        <v>86.12</v>
      </c>
      <c r="R4406" t="n">
        <v>0</v>
      </c>
      <c r="S4406" t="n">
        <v>85.34999999999999</v>
      </c>
      <c r="T4406" t="n">
        <v>0</v>
      </c>
      <c r="U4406" t="n">
        <v>1041.17</v>
      </c>
      <c r="X4406" t="inlineStr">
        <is>
          <t>acoa-apeca</t>
        </is>
      </c>
      <c r="Y4406" t="inlineStr">
        <is>
          <t>Atlantic Canada Opportunities Agency | Agence de promotion économique du Canada atlantique</t>
        </is>
      </c>
      <c r="Z4406" t="n">
        <v>1</v>
      </c>
      <c r="AA4406" t="n">
        <v>1041.17</v>
      </c>
      <c r="AB4406">
        <f>ROUND(U4406-AA4406,2)</f>
        <v/>
      </c>
      <c r="AC4406" t="b">
        <v>0</v>
      </c>
      <c r="AD4406">
        <f>IF(U4406="","MISSING_TOTAL",IF(ABS(AB4406)&lt;=0.01,"OK","CHECK"))</f>
        <v/>
      </c>
      <c r="AE4406">
        <f>IF(U4406="","MISSING",IF(AND(AA4406&gt;0,U4406/AA4406&gt;50),"POSSIBLE_SCALE_ERROR","OK"))</f>
        <v/>
      </c>
    </row>
    <row r="4407">
      <c r="A4407" t="inlineStr">
        <is>
          <t>T-2018-Q3-00036</t>
        </is>
      </c>
      <c r="B4407" t="inlineStr">
        <is>
          <t>SLE</t>
        </is>
      </c>
      <c r="C4407" t="inlineStr">
        <is>
          <t>Vice-President, Policy and Programs</t>
        </is>
      </c>
      <c r="D4407" t="inlineStr">
        <is>
          <t>Vice-président, Politiques et Programmes</t>
        </is>
      </c>
      <c r="E4407" t="inlineStr">
        <is>
          <t>Daryell Nowlan</t>
        </is>
      </c>
      <c r="F4407" t="inlineStr">
        <is>
          <t>Meeting with official</t>
        </is>
      </c>
      <c r="G4407" t="inlineStr">
        <is>
          <t>Réunion avec un représentant</t>
        </is>
      </c>
      <c r="H4407" s="1" t="n">
        <v>43051</v>
      </c>
      <c r="I4407" s="1" t="n">
        <v>43053</v>
      </c>
      <c r="J4407" t="inlineStr">
        <is>
          <t>Toronto, Ontario</t>
        </is>
      </c>
      <c r="K4407" t="inlineStr">
        <is>
          <t>Toronto (Ontario)</t>
        </is>
      </c>
      <c r="P4407" t="n">
        <v>477.96</v>
      </c>
      <c r="Q4407" t="n">
        <v>62</v>
      </c>
      <c r="R4407" t="n">
        <v>207.64</v>
      </c>
      <c r="S4407" t="n">
        <v>167.3</v>
      </c>
      <c r="T4407" t="n">
        <v>0</v>
      </c>
      <c r="U4407" t="n">
        <v>914.9</v>
      </c>
      <c r="X4407" t="inlineStr">
        <is>
          <t>acoa-apeca</t>
        </is>
      </c>
      <c r="Y4407" t="inlineStr">
        <is>
          <t>Atlantic Canada Opportunities Agency | Agence de promotion économique du Canada atlantique</t>
        </is>
      </c>
      <c r="Z4407" t="n">
        <v>3</v>
      </c>
      <c r="AA4407" t="n">
        <v>914.9</v>
      </c>
      <c r="AB4407">
        <f>ROUND(U4407-AA4407,2)</f>
        <v/>
      </c>
      <c r="AC4407" t="b">
        <v>0</v>
      </c>
      <c r="AD4407">
        <f>IF(U4407="","MISSING_TOTAL",IF(ABS(AB4407)&lt;=0.01,"OK","CHECK"))</f>
        <v/>
      </c>
      <c r="AE4407">
        <f>IF(U4407="","MISSING",IF(AND(AA4407&gt;0,U4407/AA4407&gt;50),"POSSIBLE_SCALE_ERROR","OK"))</f>
        <v/>
      </c>
    </row>
    <row r="4408">
      <c r="A4408" t="inlineStr">
        <is>
          <t>T-2018-Q3-00035</t>
        </is>
      </c>
      <c r="B4408" t="inlineStr">
        <is>
          <t>SLE</t>
        </is>
      </c>
      <c r="C4408" t="inlineStr">
        <is>
          <t>Vice-President, Newfoundland and Labrador</t>
        </is>
      </c>
      <c r="D4408" t="inlineStr">
        <is>
          <t>Vice-président, Terre-Neuve-et-Labrador</t>
        </is>
      </c>
      <c r="E4408" t="inlineStr">
        <is>
          <t>Ken Martin</t>
        </is>
      </c>
      <c r="F4408" t="inlineStr">
        <is>
          <t>Attend meetings with Newfoundland and Labrador Federal Caucus</t>
        </is>
      </c>
      <c r="G4408" t="inlineStr">
        <is>
          <t>Assister à des réunions avec le caucus libéral de Terre-Neuve-et-Labrador</t>
        </is>
      </c>
      <c r="H4408" s="1" t="n">
        <v>43039</v>
      </c>
      <c r="I4408" s="1" t="n">
        <v>43041</v>
      </c>
      <c r="J4408" t="inlineStr">
        <is>
          <t>Ottawa, Ontario</t>
        </is>
      </c>
      <c r="K4408" t="inlineStr">
        <is>
          <t>Ottawa (Ontario)</t>
        </is>
      </c>
      <c r="P4408" t="n">
        <v>885.35</v>
      </c>
      <c r="Q4408" t="n">
        <v>98.40000000000001</v>
      </c>
      <c r="R4408" t="n">
        <v>439.96</v>
      </c>
      <c r="S4408" t="n">
        <v>222.4</v>
      </c>
      <c r="T4408" t="n">
        <v>0</v>
      </c>
      <c r="U4408" t="n">
        <v>1646.11</v>
      </c>
      <c r="X4408" t="inlineStr">
        <is>
          <t>acoa-apeca</t>
        </is>
      </c>
      <c r="Y4408" t="inlineStr">
        <is>
          <t>Atlantic Canada Opportunities Agency | Agence de promotion économique du Canada atlantique</t>
        </is>
      </c>
      <c r="Z4408" t="n">
        <v>3</v>
      </c>
      <c r="AA4408" t="n">
        <v>1646.11</v>
      </c>
      <c r="AB4408">
        <f>ROUND(U4408-AA4408,2)</f>
        <v/>
      </c>
      <c r="AC4408" t="b">
        <v>0</v>
      </c>
      <c r="AD4408">
        <f>IF(U4408="","MISSING_TOTAL",IF(ABS(AB4408)&lt;=0.01,"OK","CHECK"))</f>
        <v/>
      </c>
      <c r="AE4408">
        <f>IF(U4408="","MISSING",IF(AND(AA4408&gt;0,U4408/AA4408&gt;50),"POSSIBLE_SCALE_ERROR","OK"))</f>
        <v/>
      </c>
    </row>
    <row r="4409">
      <c r="A4409" t="inlineStr">
        <is>
          <t>T-2018-Q3-00034</t>
        </is>
      </c>
      <c r="B4409" t="inlineStr">
        <is>
          <t>SLE</t>
        </is>
      </c>
      <c r="C4409" t="inlineStr">
        <is>
          <t>President</t>
        </is>
      </c>
      <c r="D4409" t="inlineStr">
        <is>
          <t>Président</t>
        </is>
      </c>
      <c r="E4409" t="inlineStr">
        <is>
          <t>Francis McGuire</t>
        </is>
      </c>
      <c r="F4409" t="inlineStr">
        <is>
          <t>For various meetings and discussions with Agency officials, provincial government officials and key stakeholders</t>
        </is>
      </c>
      <c r="G4409" t="inlineStr">
        <is>
          <t>Diverses réunions et discussions avec des fonctionnaires de l'Agence et du gouvernement provincial et des intervenants clés</t>
        </is>
      </c>
      <c r="H4409" s="1" t="n">
        <v>43053</v>
      </c>
      <c r="I4409" s="1" t="n">
        <v>43055</v>
      </c>
      <c r="J4409" t="inlineStr">
        <is>
          <t>St. John's, Newfoundland and Labrador</t>
        </is>
      </c>
      <c r="K4409" t="inlineStr">
        <is>
          <t>St. John's (Terre-Neuve-et-Labrador)</t>
        </is>
      </c>
      <c r="P4409" t="n">
        <v>655.79</v>
      </c>
      <c r="Q4409" t="n">
        <v>0</v>
      </c>
      <c r="R4409" t="n">
        <v>340.34</v>
      </c>
      <c r="S4409" t="n">
        <v>222.6</v>
      </c>
      <c r="T4409" t="n">
        <v>121.4</v>
      </c>
      <c r="U4409" t="n">
        <v>1340.13</v>
      </c>
      <c r="X4409" t="inlineStr">
        <is>
          <t>acoa-apeca</t>
        </is>
      </c>
      <c r="Y4409" t="inlineStr">
        <is>
          <t>Atlantic Canada Opportunities Agency | Agence de promotion économique du Canada atlantique</t>
        </is>
      </c>
      <c r="Z4409" t="n">
        <v>3</v>
      </c>
      <c r="AA4409" t="n">
        <v>1340.12999999999</v>
      </c>
      <c r="AB4409">
        <f>ROUND(U4409-AA4409,2)</f>
        <v/>
      </c>
      <c r="AC4409" t="b">
        <v>0</v>
      </c>
      <c r="AD4409">
        <f>IF(U4409="","MISSING_TOTAL",IF(ABS(AB4409)&lt;=0.01,"OK","CHECK"))</f>
        <v/>
      </c>
      <c r="AE4409">
        <f>IF(U4409="","MISSING",IF(AND(AA4409&gt;0,U4409/AA4409&gt;50),"POSSIBLE_SCALE_ERROR","OK"))</f>
        <v/>
      </c>
    </row>
    <row r="4410">
      <c r="A4410" t="inlineStr">
        <is>
          <t>T-2018-Q3-00033</t>
        </is>
      </c>
      <c r="B4410" t="inlineStr">
        <is>
          <t>SLE</t>
        </is>
      </c>
      <c r="C4410" t="inlineStr">
        <is>
          <t>President</t>
        </is>
      </c>
      <c r="D4410" t="inlineStr">
        <is>
          <t>Président</t>
        </is>
      </c>
      <c r="E4410" t="inlineStr">
        <is>
          <t>Francis McGuire</t>
        </is>
      </c>
      <c r="F4410" t="inlineStr">
        <is>
          <t>For meetings with Agency officials, Government of Canada officials and key stakeholders</t>
        </is>
      </c>
      <c r="G4410" t="inlineStr">
        <is>
          <t>Diverses réunions avec des fonctionnaires de l'Agence et du gouvernement du Canada et des intervenants clés</t>
        </is>
      </c>
      <c r="H4410" s="1" t="n">
        <v>43044</v>
      </c>
      <c r="I4410" s="1" t="n">
        <v>43047</v>
      </c>
      <c r="J4410" t="inlineStr">
        <is>
          <t>Ottawa, Ontario and Montreal, Quebec</t>
        </is>
      </c>
      <c r="K4410" t="inlineStr">
        <is>
          <t>Ottawa (Ontario) et Montréal (Québec)</t>
        </is>
      </c>
      <c r="P4410" t="n">
        <v>1925.97</v>
      </c>
      <c r="Q4410" t="n">
        <v>128</v>
      </c>
      <c r="R4410" t="n">
        <v>608.48</v>
      </c>
      <c r="S4410" t="n">
        <v>258.8</v>
      </c>
      <c r="T4410" t="n">
        <v>588.33</v>
      </c>
      <c r="U4410" t="n">
        <v>3509.58</v>
      </c>
      <c r="X4410" t="inlineStr">
        <is>
          <t>acoa-apeca</t>
        </is>
      </c>
      <c r="Y4410" t="inlineStr">
        <is>
          <t>Atlantic Canada Opportunities Agency | Agence de promotion économique du Canada atlantique</t>
        </is>
      </c>
      <c r="Z4410" t="n">
        <v>4</v>
      </c>
      <c r="AA4410" t="n">
        <v>3509.58</v>
      </c>
      <c r="AB4410">
        <f>ROUND(U4410-AA4410,2)</f>
        <v/>
      </c>
      <c r="AC4410" t="b">
        <v>0</v>
      </c>
      <c r="AD4410">
        <f>IF(U4410="","MISSING_TOTAL",IF(ABS(AB4410)&lt;=0.01,"OK","CHECK"))</f>
        <v/>
      </c>
      <c r="AE4410">
        <f>IF(U4410="","MISSING",IF(AND(AA4410&gt;0,U4410/AA4410&gt;50),"POSSIBLE_SCALE_ERROR","OK"))</f>
        <v/>
      </c>
    </row>
    <row r="4411">
      <c r="A4411" t="inlineStr">
        <is>
          <t>T-2018-Q3-00032</t>
        </is>
      </c>
      <c r="B4411" t="inlineStr">
        <is>
          <t>SLE</t>
        </is>
      </c>
      <c r="C4411" t="inlineStr">
        <is>
          <t>Vice-President, Prince Edward Island</t>
        </is>
      </c>
      <c r="D4411" t="inlineStr">
        <is>
          <t>Vice-président, Île-du-Prince-Édouard</t>
        </is>
      </c>
      <c r="E4411" t="inlineStr">
        <is>
          <t>Patrick Dorsey</t>
        </is>
      </c>
      <c r="F4411" t="inlineStr">
        <is>
          <t>Meeting with Government of Canada officials</t>
        </is>
      </c>
      <c r="G4411" t="inlineStr">
        <is>
          <t>Réunion avec des fonctionnaires du gouvernement du Canada</t>
        </is>
      </c>
      <c r="H4411" s="1" t="n">
        <v>43040</v>
      </c>
      <c r="I4411" s="1" t="n">
        <v>43040</v>
      </c>
      <c r="J4411" t="inlineStr">
        <is>
          <t>Moncton, New Brunswick</t>
        </is>
      </c>
      <c r="K4411" t="inlineStr">
        <is>
          <t>Moncton (Nouveau-Brunswick)</t>
        </is>
      </c>
      <c r="P4411" t="n">
        <v>0</v>
      </c>
      <c r="Q4411" t="n">
        <v>0</v>
      </c>
      <c r="R4411" t="n">
        <v>0</v>
      </c>
      <c r="S4411" t="n">
        <v>47.35</v>
      </c>
      <c r="T4411" t="n">
        <v>0</v>
      </c>
      <c r="U4411" t="n">
        <v>47.35</v>
      </c>
      <c r="X4411" t="inlineStr">
        <is>
          <t>acoa-apeca</t>
        </is>
      </c>
      <c r="Y4411" t="inlineStr">
        <is>
          <t>Atlantic Canada Opportunities Agency | Agence de promotion économique du Canada atlantique</t>
        </is>
      </c>
      <c r="Z4411" t="n">
        <v>1</v>
      </c>
      <c r="AA4411" t="n">
        <v>47.35</v>
      </c>
      <c r="AB4411">
        <f>ROUND(U4411-AA4411,2)</f>
        <v/>
      </c>
      <c r="AC4411" t="b">
        <v>0</v>
      </c>
      <c r="AD4411">
        <f>IF(U4411="","MISSING_TOTAL",IF(ABS(AB4411)&lt;=0.01,"OK","CHECK"))</f>
        <v/>
      </c>
      <c r="AE4411">
        <f>IF(U4411="","MISSING",IF(AND(AA4411&gt;0,U4411/AA4411&gt;50),"POSSIBLE_SCALE_ERROR","OK"))</f>
        <v/>
      </c>
    </row>
    <row r="4412">
      <c r="A4412" t="inlineStr">
        <is>
          <t>T-2018-Q3-00031</t>
        </is>
      </c>
      <c r="B4412" t="inlineStr">
        <is>
          <t>SLE</t>
        </is>
      </c>
      <c r="C4412" t="inlineStr">
        <is>
          <t>Vice-President, Prince Edward Island</t>
        </is>
      </c>
      <c r="D4412" t="inlineStr">
        <is>
          <t>Vice-président, Île-du-Prince-Édouard</t>
        </is>
      </c>
      <c r="E4412" t="inlineStr">
        <is>
          <t>Patrick Dorsey</t>
        </is>
      </c>
      <c r="F4412" t="inlineStr">
        <is>
          <t>Meetings with Government of Canada officials and Food Summit</t>
        </is>
      </c>
      <c r="G4412" t="inlineStr">
        <is>
          <t>Réunions avec des fonctionnaires du gouvernement du Canada, et Sommet mondial de l'alimentation</t>
        </is>
      </c>
      <c r="H4412" s="1" t="n">
        <v>43031</v>
      </c>
      <c r="I4412" s="1" t="n">
        <v>43034</v>
      </c>
      <c r="J4412" t="inlineStr">
        <is>
          <t>Ottawa, Ontario / Truro, Nova Scotia</t>
        </is>
      </c>
      <c r="K4412" t="inlineStr">
        <is>
          <t>Ottawa (Ontario) et Truro (Nouvelle-Écosse)</t>
        </is>
      </c>
      <c r="P4412" t="n">
        <v>951.83</v>
      </c>
      <c r="Q4412" t="n">
        <v>165.62</v>
      </c>
      <c r="R4412" t="n">
        <v>575.4299999999999</v>
      </c>
      <c r="S4412" t="n">
        <v>259</v>
      </c>
      <c r="T4412" t="n">
        <v>0</v>
      </c>
      <c r="U4412" t="n">
        <v>1951.88</v>
      </c>
      <c r="X4412" t="inlineStr">
        <is>
          <t>acoa-apeca</t>
        </is>
      </c>
      <c r="Y4412" t="inlineStr">
        <is>
          <t>Atlantic Canada Opportunities Agency | Agence de promotion économique du Canada atlantique</t>
        </is>
      </c>
      <c r="Z4412" t="n">
        <v>4</v>
      </c>
      <c r="AA4412" t="n">
        <v>1951.88</v>
      </c>
      <c r="AB4412">
        <f>ROUND(U4412-AA4412,2)</f>
        <v/>
      </c>
      <c r="AC4412" t="b">
        <v>0</v>
      </c>
      <c r="AD4412">
        <f>IF(U4412="","MISSING_TOTAL",IF(ABS(AB4412)&lt;=0.01,"OK","CHECK"))</f>
        <v/>
      </c>
      <c r="AE4412">
        <f>IF(U4412="","MISSING",IF(AND(AA4412&gt;0,U4412/AA4412&gt;50),"POSSIBLE_SCALE_ERROR","OK"))</f>
        <v/>
      </c>
    </row>
    <row r="4413">
      <c r="A4413" t="inlineStr">
        <is>
          <t>T-2018-Q3-00030</t>
        </is>
      </c>
      <c r="B4413" t="inlineStr">
        <is>
          <t>SLE</t>
        </is>
      </c>
      <c r="C4413" t="inlineStr">
        <is>
          <t>Vice-President, Policy and Programs</t>
        </is>
      </c>
      <c r="D4413" t="inlineStr">
        <is>
          <t>Vice-président, Politiques et Programmes</t>
        </is>
      </c>
      <c r="E4413" t="inlineStr">
        <is>
          <t>Daryell Nowlan</t>
        </is>
      </c>
      <c r="F4413" t="inlineStr">
        <is>
          <t>Meetings with Government of Canada officials</t>
        </is>
      </c>
      <c r="G4413" t="inlineStr">
        <is>
          <t>Réunions avec des fonctionnaires du gouvernement du Canada</t>
        </is>
      </c>
      <c r="H4413" s="1" t="n">
        <v>43045</v>
      </c>
      <c r="I4413" s="1" t="n">
        <v>43046</v>
      </c>
      <c r="J4413" t="inlineStr">
        <is>
          <t>Ottawa, Ontario</t>
        </is>
      </c>
      <c r="K4413" t="inlineStr">
        <is>
          <t>Ottawa (Ontario)</t>
        </is>
      </c>
      <c r="P4413" t="n">
        <v>584.12</v>
      </c>
      <c r="Q4413" t="n">
        <v>91</v>
      </c>
      <c r="R4413" t="n">
        <v>203.68</v>
      </c>
      <c r="S4413" t="n">
        <v>167.1</v>
      </c>
      <c r="T4413" t="n">
        <v>0</v>
      </c>
      <c r="U4413" t="n">
        <v>1045.9</v>
      </c>
      <c r="X4413" t="inlineStr">
        <is>
          <t>acoa-apeca</t>
        </is>
      </c>
      <c r="Y4413" t="inlineStr">
        <is>
          <t>Atlantic Canada Opportunities Agency | Agence de promotion économique du Canada atlantique</t>
        </is>
      </c>
      <c r="Z4413" t="n">
        <v>2</v>
      </c>
      <c r="AA4413" t="n">
        <v>1045.89999999999</v>
      </c>
      <c r="AB4413">
        <f>ROUND(U4413-AA4413,2)</f>
        <v/>
      </c>
      <c r="AC4413" t="b">
        <v>0</v>
      </c>
      <c r="AD4413">
        <f>IF(U4413="","MISSING_TOTAL",IF(ABS(AB4413)&lt;=0.01,"OK","CHECK"))</f>
        <v/>
      </c>
      <c r="AE4413">
        <f>IF(U4413="","MISSING",IF(AND(AA4413&gt;0,U4413/AA4413&gt;50),"POSSIBLE_SCALE_ERROR","OK"))</f>
        <v/>
      </c>
    </row>
    <row r="4414">
      <c r="A4414" t="inlineStr">
        <is>
          <t>T-2018-Q3-00029</t>
        </is>
      </c>
      <c r="B4414" t="inlineStr">
        <is>
          <t>SLE</t>
        </is>
      </c>
      <c r="C4414" t="inlineStr">
        <is>
          <t>President</t>
        </is>
      </c>
      <c r="D4414" t="inlineStr">
        <is>
          <t>Président</t>
        </is>
      </c>
      <c r="E4414" t="inlineStr">
        <is>
          <t>Francis McGuire</t>
        </is>
      </c>
      <c r="F4414" t="inlineStr">
        <is>
          <t>For various meetings and discussions with Agency officials, provincial government officials, key stakeholders and Government of Canada officials</t>
        </is>
      </c>
      <c r="G4414" t="inlineStr">
        <is>
          <t>Diverses réunions et discussions avec des fonctionnaires de l'Agence et du gouvernement provincial, des intervenants clés et des fonctionnaires du gouvernement du Canada</t>
        </is>
      </c>
      <c r="H4414" s="1" t="n">
        <v>43033</v>
      </c>
      <c r="I4414" s="1" t="n">
        <v>43034</v>
      </c>
      <c r="J4414" t="inlineStr">
        <is>
          <t>Halifax, Nova Scotia</t>
        </is>
      </c>
      <c r="K4414" t="inlineStr">
        <is>
          <t>Halifax (Nouvelle-Écosse)</t>
        </is>
      </c>
      <c r="P4414" t="n">
        <v>201.25</v>
      </c>
      <c r="Q4414" t="n">
        <v>0</v>
      </c>
      <c r="R4414" t="n">
        <v>209.97</v>
      </c>
      <c r="S4414" t="n">
        <v>186.4</v>
      </c>
      <c r="T4414" t="n">
        <v>78.54000000000001</v>
      </c>
      <c r="U4414" t="n">
        <v>676.16</v>
      </c>
      <c r="X4414" t="inlineStr">
        <is>
          <t>acoa-apeca</t>
        </is>
      </c>
      <c r="Y4414" t="inlineStr">
        <is>
          <t>Atlantic Canada Opportunities Agency | Agence de promotion économique du Canada atlantique</t>
        </is>
      </c>
      <c r="Z4414" t="n">
        <v>2</v>
      </c>
      <c r="AA4414" t="n">
        <v>676.16</v>
      </c>
      <c r="AB4414">
        <f>ROUND(U4414-AA4414,2)</f>
        <v/>
      </c>
      <c r="AC4414" t="b">
        <v>0</v>
      </c>
      <c r="AD4414">
        <f>IF(U4414="","MISSING_TOTAL",IF(ABS(AB4414)&lt;=0.01,"OK","CHECK"))</f>
        <v/>
      </c>
      <c r="AE4414">
        <f>IF(U4414="","MISSING",IF(AND(AA4414&gt;0,U4414/AA4414&gt;50),"POSSIBLE_SCALE_ERROR","OK"))</f>
        <v/>
      </c>
    </row>
    <row r="4415">
      <c r="A4415" t="inlineStr">
        <is>
          <t>T-2018-Q3-00028</t>
        </is>
      </c>
      <c r="B4415" t="inlineStr">
        <is>
          <t>SLE</t>
        </is>
      </c>
      <c r="C4415" t="inlineStr">
        <is>
          <t>President</t>
        </is>
      </c>
      <c r="D4415" t="inlineStr">
        <is>
          <t>Président</t>
        </is>
      </c>
      <c r="E4415" t="inlineStr">
        <is>
          <t>Francis McGuire</t>
        </is>
      </c>
      <c r="F4415" t="inlineStr">
        <is>
          <t>For various meetings and discussions with officials from the Education sector, Agency officials and key stakeholders</t>
        </is>
      </c>
      <c r="G4415" t="inlineStr">
        <is>
          <t>Diverses réunions et discussions avec des représentants du secteur de l'éducation, des fonctionnaires de l'Agence et des intervenants clés</t>
        </is>
      </c>
      <c r="H4415" s="1" t="n">
        <v>43039</v>
      </c>
      <c r="I4415" s="1" t="n">
        <v>43042</v>
      </c>
      <c r="J4415" t="inlineStr">
        <is>
          <t>Sackville, New Brunswick and Saint John, New Brunswick</t>
        </is>
      </c>
      <c r="K4415" t="inlineStr">
        <is>
          <t>Sackville (Nouveau-Brunswick) et Saint John (Nouveau-Brunswick)</t>
        </is>
      </c>
      <c r="P4415" t="n">
        <v>0</v>
      </c>
      <c r="Q4415" t="n">
        <v>0</v>
      </c>
      <c r="R4415" t="n">
        <v>0</v>
      </c>
      <c r="S4415" t="n">
        <v>0</v>
      </c>
      <c r="T4415" t="n">
        <v>192.91</v>
      </c>
      <c r="U4415" t="n">
        <v>192.91</v>
      </c>
      <c r="X4415" t="inlineStr">
        <is>
          <t>acoa-apeca</t>
        </is>
      </c>
      <c r="Y4415" t="inlineStr">
        <is>
          <t>Atlantic Canada Opportunities Agency | Agence de promotion économique du Canada atlantique</t>
        </is>
      </c>
      <c r="Z4415" t="n">
        <v>4</v>
      </c>
      <c r="AA4415" t="n">
        <v>192.91</v>
      </c>
      <c r="AB4415">
        <f>ROUND(U4415-AA4415,2)</f>
        <v/>
      </c>
      <c r="AC4415" t="b">
        <v>0</v>
      </c>
      <c r="AD4415">
        <f>IF(U4415="","MISSING_TOTAL",IF(ABS(AB4415)&lt;=0.01,"OK","CHECK"))</f>
        <v/>
      </c>
      <c r="AE4415">
        <f>IF(U4415="","MISSING",IF(AND(AA4415&gt;0,U4415/AA4415&gt;50),"POSSIBLE_SCALE_ERROR","OK"))</f>
        <v/>
      </c>
    </row>
    <row r="4416">
      <c r="A4416" t="inlineStr">
        <is>
          <t>T-2018-Q3-00026</t>
        </is>
      </c>
      <c r="B4416" t="inlineStr">
        <is>
          <t>SLE</t>
        </is>
      </c>
      <c r="C4416" t="inlineStr">
        <is>
          <t>Vice-President, Policy and Programs</t>
        </is>
      </c>
      <c r="D4416" t="inlineStr">
        <is>
          <t>Vice-président, Politiques et Programmes</t>
        </is>
      </c>
      <c r="E4416" t="inlineStr">
        <is>
          <t>Daryell Nowlan</t>
        </is>
      </c>
      <c r="F4416" t="inlineStr">
        <is>
          <t>Meetings with Government of Canada officials</t>
        </is>
      </c>
      <c r="G4416" t="inlineStr">
        <is>
          <t>Réunions avec des fonctionnaires du gouvernement du Canada</t>
        </is>
      </c>
      <c r="H4416" s="1" t="n">
        <v>43037</v>
      </c>
      <c r="I4416" s="1" t="n">
        <v>43039</v>
      </c>
      <c r="J4416" t="inlineStr">
        <is>
          <t>Ottawa, Ontario</t>
        </is>
      </c>
      <c r="K4416" t="inlineStr">
        <is>
          <t>Ottawa (Ontario)</t>
        </is>
      </c>
      <c r="P4416" t="n">
        <v>692.3</v>
      </c>
      <c r="Q4416" t="n">
        <v>145</v>
      </c>
      <c r="R4416" t="n">
        <v>400.38</v>
      </c>
      <c r="S4416" t="n">
        <v>212.85</v>
      </c>
      <c r="T4416" t="n">
        <v>0</v>
      </c>
      <c r="U4416" t="n">
        <v>1450.53</v>
      </c>
      <c r="X4416" t="inlineStr">
        <is>
          <t>acoa-apeca</t>
        </is>
      </c>
      <c r="Y4416" t="inlineStr">
        <is>
          <t>Atlantic Canada Opportunities Agency | Agence de promotion économique du Canada atlantique</t>
        </is>
      </c>
      <c r="Z4416" t="n">
        <v>3</v>
      </c>
      <c r="AA4416" t="n">
        <v>1450.52999999999</v>
      </c>
      <c r="AB4416">
        <f>ROUND(U4416-AA4416,2)</f>
        <v/>
      </c>
      <c r="AC4416" t="b">
        <v>0</v>
      </c>
      <c r="AD4416">
        <f>IF(U4416="","MISSING_TOTAL",IF(ABS(AB4416)&lt;=0.01,"OK","CHECK"))</f>
        <v/>
      </c>
      <c r="AE4416">
        <f>IF(U4416="","MISSING",IF(AND(AA4416&gt;0,U4416/AA4416&gt;50),"POSSIBLE_SCALE_ERROR","OK"))</f>
        <v/>
      </c>
    </row>
    <row r="4417">
      <c r="A4417" t="inlineStr">
        <is>
          <t>T-2018-Q3-00025</t>
        </is>
      </c>
      <c r="B4417" t="inlineStr">
        <is>
          <t>SLE</t>
        </is>
      </c>
      <c r="C4417" t="inlineStr">
        <is>
          <t>President</t>
        </is>
      </c>
      <c r="D4417" t="inlineStr">
        <is>
          <t>Président</t>
        </is>
      </c>
      <c r="E4417" t="inlineStr">
        <is>
          <t>Francis McGuire</t>
        </is>
      </c>
      <c r="F4417" t="inlineStr">
        <is>
          <t>For a meeting with the Northern Economic Development Group</t>
        </is>
      </c>
      <c r="G4417" t="inlineStr">
        <is>
          <t>Réunion avec le groupe de développement économique pour le nord</t>
        </is>
      </c>
      <c r="H4417" s="1" t="n">
        <v>43038</v>
      </c>
      <c r="I4417" s="1" t="n">
        <v>43038</v>
      </c>
      <c r="J4417" t="inlineStr">
        <is>
          <t>Miramichi, New Brunswick</t>
        </is>
      </c>
      <c r="K4417" t="inlineStr">
        <is>
          <t>Miramichi (Nouveau-Brunswick)</t>
        </is>
      </c>
      <c r="P4417" t="n">
        <v>0</v>
      </c>
      <c r="Q4417" t="n">
        <v>0</v>
      </c>
      <c r="R4417" t="n">
        <v>0</v>
      </c>
      <c r="S4417" t="n">
        <v>0</v>
      </c>
      <c r="T4417" t="n">
        <v>152.51</v>
      </c>
      <c r="U4417" t="n">
        <v>152.51</v>
      </c>
      <c r="X4417" t="inlineStr">
        <is>
          <t>acoa-apeca</t>
        </is>
      </c>
      <c r="Y4417" t="inlineStr">
        <is>
          <t>Atlantic Canada Opportunities Agency | Agence de promotion économique du Canada atlantique</t>
        </is>
      </c>
      <c r="Z4417" t="n">
        <v>1</v>
      </c>
      <c r="AA4417" t="n">
        <v>152.51</v>
      </c>
      <c r="AB4417">
        <f>ROUND(U4417-AA4417,2)</f>
        <v/>
      </c>
      <c r="AC4417" t="b">
        <v>0</v>
      </c>
      <c r="AD4417">
        <f>IF(U4417="","MISSING_TOTAL",IF(ABS(AB4417)&lt;=0.01,"OK","CHECK"))</f>
        <v/>
      </c>
      <c r="AE4417">
        <f>IF(U4417="","MISSING",IF(AND(AA4417&gt;0,U4417/AA4417&gt;50),"POSSIBLE_SCALE_ERROR","OK"))</f>
        <v/>
      </c>
    </row>
    <row r="4418">
      <c r="A4418" t="inlineStr">
        <is>
          <t>T-2018-Q3-00023</t>
        </is>
      </c>
      <c r="B4418" t="inlineStr">
        <is>
          <t>SLE</t>
        </is>
      </c>
      <c r="C4418" t="inlineStr">
        <is>
          <t>Vice-President, Newfoundland and Labrador</t>
        </is>
      </c>
      <c r="D4418" t="inlineStr">
        <is>
          <t>Vice-président, Terre-Neuve-et-Labrador</t>
        </is>
      </c>
      <c r="E4418" t="inlineStr">
        <is>
          <t>Ken Martin</t>
        </is>
      </c>
      <c r="F4418" t="inlineStr">
        <is>
          <t>Attend meeting with Indigenous leaders</t>
        </is>
      </c>
      <c r="G4418" t="inlineStr">
        <is>
          <t>Assister à une réunion avec des dirigeants autochtones</t>
        </is>
      </c>
      <c r="H4418" s="1" t="n">
        <v>43021</v>
      </c>
      <c r="I4418" s="1" t="n">
        <v>43021</v>
      </c>
      <c r="J4418" t="inlineStr">
        <is>
          <t>Corner Brook, Newfoundland and Labrador</t>
        </is>
      </c>
      <c r="K4418" t="inlineStr">
        <is>
          <t>Corner Brook (Terre-Neuve-et-Labrador)</t>
        </is>
      </c>
      <c r="P4418" t="n">
        <v>737.4400000000001</v>
      </c>
      <c r="Q4418" t="n">
        <v>7.56</v>
      </c>
      <c r="R4418" t="n">
        <v>0</v>
      </c>
      <c r="S4418" t="n">
        <v>38</v>
      </c>
      <c r="T4418" t="n">
        <v>16</v>
      </c>
      <c r="U4418" t="n">
        <v>799</v>
      </c>
      <c r="X4418" t="inlineStr">
        <is>
          <t>acoa-apeca</t>
        </is>
      </c>
      <c r="Y4418" t="inlineStr">
        <is>
          <t>Atlantic Canada Opportunities Agency | Agence de promotion économique du Canada atlantique</t>
        </is>
      </c>
      <c r="Z4418" t="n">
        <v>1</v>
      </c>
      <c r="AA4418" t="n">
        <v>799</v>
      </c>
      <c r="AB4418">
        <f>ROUND(U4418-AA4418,2)</f>
        <v/>
      </c>
      <c r="AC4418" t="b">
        <v>0</v>
      </c>
      <c r="AD4418">
        <f>IF(U4418="","MISSING_TOTAL",IF(ABS(AB4418)&lt;=0.01,"OK","CHECK"))</f>
        <v/>
      </c>
      <c r="AE4418">
        <f>IF(U4418="","MISSING",IF(AND(AA4418&gt;0,U4418/AA4418&gt;50),"POSSIBLE_SCALE_ERROR","OK"))</f>
        <v/>
      </c>
    </row>
    <row r="4419">
      <c r="A4419" t="inlineStr">
        <is>
          <t>T-2018-Q3-00022</t>
        </is>
      </c>
      <c r="B4419" t="inlineStr">
        <is>
          <t>SLE</t>
        </is>
      </c>
      <c r="C4419" t="inlineStr">
        <is>
          <t>Vice-President, Newfoundland and Labrador</t>
        </is>
      </c>
      <c r="D4419" t="inlineStr">
        <is>
          <t>Vice-président, Terre-Neuve-et-Labrador</t>
        </is>
      </c>
      <c r="E4419" t="inlineStr">
        <is>
          <t>Ken Martin</t>
        </is>
      </c>
      <c r="F4419" t="inlineStr">
        <is>
          <t>Attend executive planning session</t>
        </is>
      </c>
      <c r="G4419" t="inlineStr">
        <is>
          <t>Assister à une séance de planification de la haute direction</t>
        </is>
      </c>
      <c r="H4419" s="1" t="n">
        <v>43023</v>
      </c>
      <c r="I4419" s="1" t="n">
        <v>43026</v>
      </c>
      <c r="J4419" t="inlineStr">
        <is>
          <t>Wolfville, Nova Scotia</t>
        </is>
      </c>
      <c r="K4419" t="inlineStr">
        <is>
          <t>Wolfville (Nouvelle-Écosse)</t>
        </is>
      </c>
      <c r="P4419" t="n">
        <v>777.4</v>
      </c>
      <c r="Q4419" t="n">
        <v>282.43</v>
      </c>
      <c r="R4419" t="n">
        <v>420.65</v>
      </c>
      <c r="S4419" t="n">
        <v>372.6</v>
      </c>
      <c r="T4419" t="n">
        <v>23</v>
      </c>
      <c r="U4419" t="n">
        <v>1876.08</v>
      </c>
      <c r="X4419" t="inlineStr">
        <is>
          <t>acoa-apeca</t>
        </is>
      </c>
      <c r="Y4419" t="inlineStr">
        <is>
          <t>Atlantic Canada Opportunities Agency | Agence de promotion économique du Canada atlantique</t>
        </is>
      </c>
      <c r="Z4419" t="n">
        <v>4</v>
      </c>
      <c r="AA4419" t="n">
        <v>1876.08</v>
      </c>
      <c r="AB4419">
        <f>ROUND(U4419-AA4419,2)</f>
        <v/>
      </c>
      <c r="AC4419" t="b">
        <v>0</v>
      </c>
      <c r="AD4419">
        <f>IF(U4419="","MISSING_TOTAL",IF(ABS(AB4419)&lt;=0.01,"OK","CHECK"))</f>
        <v/>
      </c>
      <c r="AE4419">
        <f>IF(U4419="","MISSING",IF(AND(AA4419&gt;0,U4419/AA4419&gt;50),"POSSIBLE_SCALE_ERROR","OK"))</f>
        <v/>
      </c>
    </row>
    <row r="4420">
      <c r="A4420" t="inlineStr">
        <is>
          <t>T-2018-Q3-00021</t>
        </is>
      </c>
      <c r="B4420" t="inlineStr">
        <is>
          <t>SLE</t>
        </is>
      </c>
      <c r="C4420" t="inlineStr">
        <is>
          <t>President</t>
        </is>
      </c>
      <c r="D4420" t="inlineStr">
        <is>
          <t>Président</t>
        </is>
      </c>
      <c r="E4420" t="inlineStr">
        <is>
          <t>Francis McGuire</t>
        </is>
      </c>
      <c r="F4420" t="inlineStr">
        <is>
          <t>For various meetings and discussions with Agency officials, provincial government officials, key stakeholders and Government of Canada officials</t>
        </is>
      </c>
      <c r="G4420" t="inlineStr">
        <is>
          <t>Diverses réunions et discussions avec des fonctionnaires de l'Agence et du gouvernement provincial, des intervenants clés et des fonctionnaires du gouvernement du Canada</t>
        </is>
      </c>
      <c r="H4420" s="1" t="n">
        <v>43023</v>
      </c>
      <c r="I4420" s="1" t="n">
        <v>43026</v>
      </c>
      <c r="J4420" t="inlineStr">
        <is>
          <t>Halifax, Nova Scotia</t>
        </is>
      </c>
      <c r="K4420" t="inlineStr">
        <is>
          <t>Halifax (Nouvelle-Écosse)</t>
        </is>
      </c>
      <c r="P4420" t="n">
        <v>94.90000000000001</v>
      </c>
      <c r="Q4420" t="n">
        <v>70</v>
      </c>
      <c r="R4420" t="n">
        <v>467.57</v>
      </c>
      <c r="S4420" t="n">
        <v>323.16</v>
      </c>
      <c r="T4420" t="n">
        <v>278.98</v>
      </c>
      <c r="U4420" t="n">
        <v>1234.61</v>
      </c>
      <c r="X4420" t="inlineStr">
        <is>
          <t>acoa-apeca</t>
        </is>
      </c>
      <c r="Y4420" t="inlineStr">
        <is>
          <t>Atlantic Canada Opportunities Agency | Agence de promotion économique du Canada atlantique</t>
        </is>
      </c>
      <c r="Z4420" t="n">
        <v>4</v>
      </c>
      <c r="AA4420" t="n">
        <v>1234.61</v>
      </c>
      <c r="AB4420">
        <f>ROUND(U4420-AA4420,2)</f>
        <v/>
      </c>
      <c r="AC4420" t="b">
        <v>0</v>
      </c>
      <c r="AD4420">
        <f>IF(U4420="","MISSING_TOTAL",IF(ABS(AB4420)&lt;=0.01,"OK","CHECK"))</f>
        <v/>
      </c>
      <c r="AE4420">
        <f>IF(U4420="","MISSING",IF(AND(AA4420&gt;0,U4420/AA4420&gt;50),"POSSIBLE_SCALE_ERROR","OK"))</f>
        <v/>
      </c>
    </row>
    <row r="4421">
      <c r="A4421" t="inlineStr">
        <is>
          <t>T-2018-Q3-00020</t>
        </is>
      </c>
      <c r="B4421" t="inlineStr">
        <is>
          <t>SLE</t>
        </is>
      </c>
      <c r="C4421" t="inlineStr">
        <is>
          <t>Vice-President, Policy and Programs</t>
        </is>
      </c>
      <c r="D4421" t="inlineStr">
        <is>
          <t>Vice-président, Politiques et Programmes</t>
        </is>
      </c>
      <c r="E4421" t="inlineStr">
        <is>
          <t>Daryell Nowlan</t>
        </is>
      </c>
      <c r="F4421" t="inlineStr">
        <is>
          <t>Meeting with Government of Canada officials</t>
        </is>
      </c>
      <c r="G4421" t="inlineStr">
        <is>
          <t>Réunion avec des fonctionnaires du gouvernement du Canada</t>
        </is>
      </c>
      <c r="H4421" s="1" t="n">
        <v>43031</v>
      </c>
      <c r="I4421" s="1" t="n">
        <v>43032</v>
      </c>
      <c r="J4421" t="inlineStr">
        <is>
          <t>Fredericton, New Brunswick</t>
        </is>
      </c>
      <c r="K4421" t="inlineStr">
        <is>
          <t>Fredericton (Nouveau-Brunswick)</t>
        </is>
      </c>
      <c r="P4421" t="n">
        <v>0</v>
      </c>
      <c r="Q4421" t="n">
        <v>162.1</v>
      </c>
      <c r="R4421" t="n">
        <v>159.85</v>
      </c>
      <c r="S4421" t="n">
        <v>101.05</v>
      </c>
      <c r="T4421" t="n">
        <v>0</v>
      </c>
      <c r="U4421" t="n">
        <v>423</v>
      </c>
      <c r="X4421" t="inlineStr">
        <is>
          <t>acoa-apeca</t>
        </is>
      </c>
      <c r="Y4421" t="inlineStr">
        <is>
          <t>Atlantic Canada Opportunities Agency | Agence de promotion économique du Canada atlantique</t>
        </is>
      </c>
      <c r="Z4421" t="n">
        <v>2</v>
      </c>
      <c r="AA4421" t="n">
        <v>423</v>
      </c>
      <c r="AB4421">
        <f>ROUND(U4421-AA4421,2)</f>
        <v/>
      </c>
      <c r="AC4421" t="b">
        <v>0</v>
      </c>
      <c r="AD4421">
        <f>IF(U4421="","MISSING_TOTAL",IF(ABS(AB4421)&lt;=0.01,"OK","CHECK"))</f>
        <v/>
      </c>
      <c r="AE4421">
        <f>IF(U4421="","MISSING",IF(AND(AA4421&gt;0,U4421/AA4421&gt;50),"POSSIBLE_SCALE_ERROR","OK"))</f>
        <v/>
      </c>
    </row>
    <row r="4422">
      <c r="A4422" t="inlineStr">
        <is>
          <t>T-2018-Q3-00019</t>
        </is>
      </c>
      <c r="B4422" t="inlineStr">
        <is>
          <t>SLE</t>
        </is>
      </c>
      <c r="C4422" t="inlineStr">
        <is>
          <t>Vice-President, Prince Edward Island</t>
        </is>
      </c>
      <c r="D4422" t="inlineStr">
        <is>
          <t>Vice-président, Île-du-Prince-Édouard</t>
        </is>
      </c>
      <c r="E4422" t="inlineStr">
        <is>
          <t>Patrick Dorsey</t>
        </is>
      </c>
      <c r="F4422" t="inlineStr">
        <is>
          <t>Atlantic Canada Tourism Partnership Management Committee and meetings with Government of Canada officials</t>
        </is>
      </c>
      <c r="G4422" t="inlineStr">
        <is>
          <t>Comité de gestion du Partenariat du tourisme du Canada atlantique et réunions avec des fonctionnaires du gouvernement du Canada</t>
        </is>
      </c>
      <c r="H4422" s="1" t="n">
        <v>43023</v>
      </c>
      <c r="I4422" s="1" t="n">
        <v>43026</v>
      </c>
      <c r="J4422" t="inlineStr">
        <is>
          <t>Halifax and Annapolis Valley, Nova Scotia</t>
        </is>
      </c>
      <c r="K4422" t="inlineStr">
        <is>
          <t>Halifax et vallée de l'Annapolis (Nouvelle-Écosse)</t>
        </is>
      </c>
      <c r="P4422" t="n">
        <v>0</v>
      </c>
      <c r="Q4422" t="n">
        <v>56.5</v>
      </c>
      <c r="R4422" t="n">
        <v>466.99</v>
      </c>
      <c r="S4422" t="n">
        <v>259</v>
      </c>
      <c r="T4422" t="n">
        <v>0</v>
      </c>
      <c r="U4422" t="n">
        <v>782.49</v>
      </c>
      <c r="X4422" t="inlineStr">
        <is>
          <t>acoa-apeca</t>
        </is>
      </c>
      <c r="Y4422" t="inlineStr">
        <is>
          <t>Atlantic Canada Opportunities Agency | Agence de promotion économique du Canada atlantique</t>
        </is>
      </c>
      <c r="Z4422" t="n">
        <v>4</v>
      </c>
      <c r="AA4422" t="n">
        <v>782.49</v>
      </c>
      <c r="AB4422">
        <f>ROUND(U4422-AA4422,2)</f>
        <v/>
      </c>
      <c r="AC4422" t="b">
        <v>0</v>
      </c>
      <c r="AD4422">
        <f>IF(U4422="","MISSING_TOTAL",IF(ABS(AB4422)&lt;=0.01,"OK","CHECK"))</f>
        <v/>
      </c>
      <c r="AE4422">
        <f>IF(U4422="","MISSING",IF(AND(AA4422&gt;0,U4422/AA4422&gt;50),"POSSIBLE_SCALE_ERROR","OK"))</f>
        <v/>
      </c>
    </row>
    <row r="4423">
      <c r="A4423" t="inlineStr">
        <is>
          <t>T-2018-Q3-00010</t>
        </is>
      </c>
      <c r="B4423" t="inlineStr">
        <is>
          <t>SLE</t>
        </is>
      </c>
      <c r="C4423" t="inlineStr">
        <is>
          <t>Vice-President, Newfoundland and Labrador</t>
        </is>
      </c>
      <c r="D4423" t="inlineStr">
        <is>
          <t>Vice-président, Terre-Neuve-et-Labrador</t>
        </is>
      </c>
      <c r="E4423" t="inlineStr">
        <is>
          <t>Ken Martin</t>
        </is>
      </c>
      <c r="F4423" t="inlineStr">
        <is>
          <t>Attend client meetings</t>
        </is>
      </c>
      <c r="G4423" t="inlineStr">
        <is>
          <t>Assister à des réunions avec des clients</t>
        </is>
      </c>
      <c r="H4423" s="1" t="n">
        <v>42999</v>
      </c>
      <c r="I4423" s="1" t="n">
        <v>42999</v>
      </c>
      <c r="J4423" t="inlineStr">
        <is>
          <t>Holyrood, Newfoundland and Labrador</t>
        </is>
      </c>
      <c r="K4423" t="inlineStr">
        <is>
          <t>Holyrood (Terre-Neuve-et-Labrador)</t>
        </is>
      </c>
      <c r="P4423" t="n">
        <v>0</v>
      </c>
      <c r="Q4423" t="n">
        <v>61.05</v>
      </c>
      <c r="R4423" t="n">
        <v>0</v>
      </c>
      <c r="S4423" t="n">
        <v>0</v>
      </c>
      <c r="T4423" t="n">
        <v>0</v>
      </c>
      <c r="U4423" t="n">
        <v>61.05</v>
      </c>
      <c r="X4423" t="inlineStr">
        <is>
          <t>acoa-apeca</t>
        </is>
      </c>
      <c r="Y4423" t="inlineStr">
        <is>
          <t>Atlantic Canada Opportunities Agency | Agence de promotion économique du Canada atlantique</t>
        </is>
      </c>
      <c r="Z4423" t="n">
        <v>1</v>
      </c>
      <c r="AA4423" t="n">
        <v>61.05</v>
      </c>
      <c r="AB4423">
        <f>ROUND(U4423-AA4423,2)</f>
        <v/>
      </c>
      <c r="AC4423" t="b">
        <v>0</v>
      </c>
      <c r="AD4423">
        <f>IF(U4423="","MISSING_TOTAL",IF(ABS(AB4423)&lt;=0.01,"OK","CHECK"))</f>
        <v/>
      </c>
      <c r="AE4423">
        <f>IF(U4423="","MISSING",IF(AND(AA4423&gt;0,U4423/AA4423&gt;50),"POSSIBLE_SCALE_ERROR","OK"))</f>
        <v/>
      </c>
    </row>
    <row r="4424">
      <c r="A4424" t="inlineStr">
        <is>
          <t>T-2018-Q3-00018</t>
        </is>
      </c>
      <c r="B4424" t="inlineStr">
        <is>
          <t>SLE</t>
        </is>
      </c>
      <c r="C4424" t="inlineStr">
        <is>
          <t>Vice-President, Prince Edward Island</t>
        </is>
      </c>
      <c r="D4424" t="inlineStr">
        <is>
          <t>Vice-président, Île-du-Prince-Édouard</t>
        </is>
      </c>
      <c r="E4424" t="inlineStr">
        <is>
          <t>Patrick Dorsey</t>
        </is>
      </c>
      <c r="F4424" t="inlineStr">
        <is>
          <t>Meetings with Government of Canada officials</t>
        </is>
      </c>
      <c r="G4424" t="inlineStr">
        <is>
          <t>Réunions avec des fonctionnaires du gouvernement du Canada</t>
        </is>
      </c>
      <c r="H4424" s="1" t="n">
        <v>43019</v>
      </c>
      <c r="I4424" s="1" t="n">
        <v>43021</v>
      </c>
      <c r="J4424" t="inlineStr">
        <is>
          <t>Ottawa, Ontario</t>
        </is>
      </c>
      <c r="K4424" t="inlineStr">
        <is>
          <t>Ottawa (Ontario)</t>
        </is>
      </c>
      <c r="P4424" t="n">
        <v>717.29</v>
      </c>
      <c r="Q4424" t="n">
        <v>67.90000000000001</v>
      </c>
      <c r="R4424" t="n">
        <v>439.96</v>
      </c>
      <c r="S4424" t="n">
        <v>241.5</v>
      </c>
      <c r="T4424" t="n">
        <v>42</v>
      </c>
      <c r="U4424" t="n">
        <v>1508.65</v>
      </c>
      <c r="X4424" t="inlineStr">
        <is>
          <t>acoa-apeca</t>
        </is>
      </c>
      <c r="Y4424" t="inlineStr">
        <is>
          <t>Atlantic Canada Opportunities Agency | Agence de promotion économique du Canada atlantique</t>
        </is>
      </c>
      <c r="Z4424" t="n">
        <v>3</v>
      </c>
      <c r="AA4424" t="n">
        <v>1508.64999999999</v>
      </c>
      <c r="AB4424">
        <f>ROUND(U4424-AA4424,2)</f>
        <v/>
      </c>
      <c r="AC4424" t="b">
        <v>0</v>
      </c>
      <c r="AD4424">
        <f>IF(U4424="","MISSING_TOTAL",IF(ABS(AB4424)&lt;=0.01,"OK","CHECK"))</f>
        <v/>
      </c>
      <c r="AE4424">
        <f>IF(U4424="","MISSING",IF(AND(AA4424&gt;0,U4424/AA4424&gt;50),"POSSIBLE_SCALE_ERROR","OK"))</f>
        <v/>
      </c>
    </row>
    <row r="4425">
      <c r="A4425" t="inlineStr">
        <is>
          <t>T-2018-Q3-00017</t>
        </is>
      </c>
      <c r="B4425" t="inlineStr">
        <is>
          <t>SLE</t>
        </is>
      </c>
      <c r="C4425" t="inlineStr">
        <is>
          <t>Vice-President, Policy and Programs</t>
        </is>
      </c>
      <c r="D4425" t="inlineStr">
        <is>
          <t>Vice-président, Politiques et Programmes</t>
        </is>
      </c>
      <c r="E4425" t="inlineStr">
        <is>
          <t>Daryell Nowlan</t>
        </is>
      </c>
      <c r="F4425" t="inlineStr">
        <is>
          <t>Meetings with Government of Canada officials</t>
        </is>
      </c>
      <c r="G4425" t="inlineStr">
        <is>
          <t>Réunions avec des fonctionnaires du gouvernement du Canada</t>
        </is>
      </c>
      <c r="H4425" s="1" t="n">
        <v>43023</v>
      </c>
      <c r="I4425" s="1" t="n">
        <v>43026</v>
      </c>
      <c r="J4425" t="inlineStr">
        <is>
          <t>Halifax and Wolfville, Nova Scotia</t>
        </is>
      </c>
      <c r="K4425" t="inlineStr">
        <is>
          <t>Halifax et Wolfville (Nouvelle-Écosse)</t>
        </is>
      </c>
      <c r="P4425" t="n">
        <v>0</v>
      </c>
      <c r="Q4425" t="n">
        <v>249.91</v>
      </c>
      <c r="R4425" t="n">
        <v>312.51</v>
      </c>
      <c r="S4425" t="n">
        <v>222.6</v>
      </c>
      <c r="T4425" t="n">
        <v>0</v>
      </c>
      <c r="U4425" t="n">
        <v>785.02</v>
      </c>
      <c r="X4425" t="inlineStr">
        <is>
          <t>acoa-apeca</t>
        </is>
      </c>
      <c r="Y4425" t="inlineStr">
        <is>
          <t>Atlantic Canada Opportunities Agency | Agence de promotion économique du Canada atlantique</t>
        </is>
      </c>
      <c r="Z4425" t="n">
        <v>4</v>
      </c>
      <c r="AA4425" t="n">
        <v>785.02</v>
      </c>
      <c r="AB4425">
        <f>ROUND(U4425-AA4425,2)</f>
        <v/>
      </c>
      <c r="AC4425" t="b">
        <v>0</v>
      </c>
      <c r="AD4425">
        <f>IF(U4425="","MISSING_TOTAL",IF(ABS(AB4425)&lt;=0.01,"OK","CHECK"))</f>
        <v/>
      </c>
      <c r="AE4425">
        <f>IF(U4425="","MISSING",IF(AND(AA4425&gt;0,U4425/AA4425&gt;50),"POSSIBLE_SCALE_ERROR","OK"))</f>
        <v/>
      </c>
    </row>
    <row r="4426">
      <c r="A4426" t="inlineStr">
        <is>
          <t>T-2018-Q3-00016</t>
        </is>
      </c>
      <c r="B4426" t="inlineStr">
        <is>
          <t>SLE</t>
        </is>
      </c>
      <c r="C4426" t="inlineStr">
        <is>
          <t>Vice-President, Newfoundland and Labrador</t>
        </is>
      </c>
      <c r="D4426" t="inlineStr">
        <is>
          <t>Vice-président, Terre-Neuve-et-Labrador</t>
        </is>
      </c>
      <c r="E4426" t="inlineStr">
        <is>
          <t>Ken Martin</t>
        </is>
      </c>
      <c r="F4426" t="inlineStr">
        <is>
          <t>Attend meeting with senior government officials from Department of Fisheries and Oceans</t>
        </is>
      </c>
      <c r="G4426" t="inlineStr">
        <is>
          <t>Assister à une réunion avec des hauts fonctionnaires du ministère des Pêches et des Océans</t>
        </is>
      </c>
      <c r="H4426" s="1" t="n">
        <v>43017</v>
      </c>
      <c r="I4426" s="1" t="n">
        <v>43018</v>
      </c>
      <c r="J4426" t="inlineStr">
        <is>
          <t>Dartmouth, Nova Scotia</t>
        </is>
      </c>
      <c r="K4426" t="inlineStr">
        <is>
          <t>Dartmouth (Nouvelle-Écosse)</t>
        </is>
      </c>
      <c r="P4426" t="n">
        <v>692.36</v>
      </c>
      <c r="Q4426" t="n">
        <v>127.12</v>
      </c>
      <c r="R4426" t="n">
        <v>209.97</v>
      </c>
      <c r="S4426" t="n">
        <v>167.3</v>
      </c>
      <c r="T4426" t="n">
        <v>0</v>
      </c>
      <c r="U4426" t="n">
        <v>1196.75</v>
      </c>
      <c r="X4426" t="inlineStr">
        <is>
          <t>acoa-apeca</t>
        </is>
      </c>
      <c r="Y4426" t="inlineStr">
        <is>
          <t>Atlantic Canada Opportunities Agency | Agence de promotion économique du Canada atlantique</t>
        </is>
      </c>
      <c r="Z4426" t="n">
        <v>2</v>
      </c>
      <c r="AA4426" t="n">
        <v>1196.75</v>
      </c>
      <c r="AB4426">
        <f>ROUND(U4426-AA4426,2)</f>
        <v/>
      </c>
      <c r="AC4426" t="b">
        <v>0</v>
      </c>
      <c r="AD4426">
        <f>IF(U4426="","MISSING_TOTAL",IF(ABS(AB4426)&lt;=0.01,"OK","CHECK"))</f>
        <v/>
      </c>
      <c r="AE4426">
        <f>IF(U4426="","MISSING",IF(AND(AA4426&gt;0,U4426/AA4426&gt;50),"POSSIBLE_SCALE_ERROR","OK"))</f>
        <v/>
      </c>
    </row>
    <row r="4427">
      <c r="A4427" t="inlineStr">
        <is>
          <t>T-2018-Q3-00015</t>
        </is>
      </c>
      <c r="B4427" t="inlineStr">
        <is>
          <t>SLE</t>
        </is>
      </c>
      <c r="C4427" t="inlineStr">
        <is>
          <t>Vice-President, Policy and Programs</t>
        </is>
      </c>
      <c r="D4427" t="inlineStr">
        <is>
          <t>Vice-président, Politiques et Programmes</t>
        </is>
      </c>
      <c r="E4427" t="inlineStr">
        <is>
          <t>Daryell Nowlan</t>
        </is>
      </c>
      <c r="F4427" t="inlineStr">
        <is>
          <t>Meetings with Government of Canada officials</t>
        </is>
      </c>
      <c r="G4427" t="inlineStr">
        <is>
          <t>Réunions avec des fonctionnaires du gouvernement du Canada</t>
        </is>
      </c>
      <c r="H4427" s="1" t="n">
        <v>43018</v>
      </c>
      <c r="I4427" s="1" t="n">
        <v>43019</v>
      </c>
      <c r="J4427" t="inlineStr">
        <is>
          <t>Halifax, Nova Scotia</t>
        </is>
      </c>
      <c r="K4427" t="inlineStr">
        <is>
          <t>Halifax (Nouvelle-Écosse)</t>
        </is>
      </c>
      <c r="P4427" t="n">
        <v>0</v>
      </c>
      <c r="Q4427" t="n">
        <v>0</v>
      </c>
      <c r="R4427" t="n">
        <v>218.18</v>
      </c>
      <c r="S4427" t="n">
        <v>167.1</v>
      </c>
      <c r="T4427" t="n">
        <v>0</v>
      </c>
      <c r="U4427" t="n">
        <v>385.28</v>
      </c>
      <c r="X4427" t="inlineStr">
        <is>
          <t>acoa-apeca</t>
        </is>
      </c>
      <c r="Y4427" t="inlineStr">
        <is>
          <t>Atlantic Canada Opportunities Agency | Agence de promotion économique du Canada atlantique</t>
        </is>
      </c>
      <c r="Z4427" t="n">
        <v>2</v>
      </c>
      <c r="AA4427" t="n">
        <v>385.28</v>
      </c>
      <c r="AB4427">
        <f>ROUND(U4427-AA4427,2)</f>
        <v/>
      </c>
      <c r="AC4427" t="b">
        <v>0</v>
      </c>
      <c r="AD4427">
        <f>IF(U4427="","MISSING_TOTAL",IF(ABS(AB4427)&lt;=0.01,"OK","CHECK"))</f>
        <v/>
      </c>
      <c r="AE4427">
        <f>IF(U4427="","MISSING",IF(AND(AA4427&gt;0,U4427/AA4427&gt;50),"POSSIBLE_SCALE_ERROR","OK"))</f>
        <v/>
      </c>
    </row>
    <row r="4428">
      <c r="A4428" t="inlineStr">
        <is>
          <t>T-2018-Q3-00014</t>
        </is>
      </c>
      <c r="B4428" t="inlineStr">
        <is>
          <t>SLE</t>
        </is>
      </c>
      <c r="C4428" t="inlineStr">
        <is>
          <t>Vice-President, Prince Edward Island</t>
        </is>
      </c>
      <c r="D4428" t="inlineStr">
        <is>
          <t>Vice-président, Île-du-Prince-Édouard</t>
        </is>
      </c>
      <c r="E4428" t="inlineStr">
        <is>
          <t>Patrick Dorsey</t>
        </is>
      </c>
      <c r="F4428" t="inlineStr">
        <is>
          <t>Policy, Advocacy and Coordination Forum</t>
        </is>
      </c>
      <c r="G4428" t="inlineStr">
        <is>
          <t>Forum de Politiques, défense des intérêts et coordination</t>
        </is>
      </c>
      <c r="H4428" s="1" t="n">
        <v>43010</v>
      </c>
      <c r="I4428" s="1" t="n">
        <v>43010</v>
      </c>
      <c r="J4428" t="inlineStr">
        <is>
          <t>Moncton, New Brunswick</t>
        </is>
      </c>
      <c r="K4428" t="inlineStr">
        <is>
          <t>Moncton (Nouveau-Brunswick)</t>
        </is>
      </c>
      <c r="P4428" t="n">
        <v>0</v>
      </c>
      <c r="Q4428" t="n">
        <v>46.5</v>
      </c>
      <c r="R4428" t="n">
        <v>0</v>
      </c>
      <c r="S4428" t="n">
        <v>66.25</v>
      </c>
      <c r="T4428" t="n">
        <v>0</v>
      </c>
      <c r="U4428" t="n">
        <v>112.75</v>
      </c>
      <c r="X4428" t="inlineStr">
        <is>
          <t>acoa-apeca</t>
        </is>
      </c>
      <c r="Y4428" t="inlineStr">
        <is>
          <t>Atlantic Canada Opportunities Agency | Agence de promotion économique du Canada atlantique</t>
        </is>
      </c>
      <c r="Z4428" t="n">
        <v>1</v>
      </c>
      <c r="AA4428" t="n">
        <v>112.75</v>
      </c>
      <c r="AB4428">
        <f>ROUND(U4428-AA4428,2)</f>
        <v/>
      </c>
      <c r="AC4428" t="b">
        <v>0</v>
      </c>
      <c r="AD4428">
        <f>IF(U4428="","MISSING_TOTAL",IF(ABS(AB4428)&lt;=0.01,"OK","CHECK"))</f>
        <v/>
      </c>
      <c r="AE4428">
        <f>IF(U4428="","MISSING",IF(AND(AA4428&gt;0,U4428/AA4428&gt;50),"POSSIBLE_SCALE_ERROR","OK"))</f>
        <v/>
      </c>
    </row>
    <row r="4429">
      <c r="A4429" t="inlineStr">
        <is>
          <t>T-2018-Q3-00013</t>
        </is>
      </c>
      <c r="B4429" t="inlineStr">
        <is>
          <t>SLE</t>
        </is>
      </c>
      <c r="C4429" t="inlineStr">
        <is>
          <t>Vice-President, Policy and Programs</t>
        </is>
      </c>
      <c r="D4429" t="inlineStr">
        <is>
          <t>Vice-président, Politiques et Programmes</t>
        </is>
      </c>
      <c r="E4429" t="inlineStr">
        <is>
          <t>Daryell Nowlan</t>
        </is>
      </c>
      <c r="F4429" t="inlineStr">
        <is>
          <t>Meetings with Government of Canada officials</t>
        </is>
      </c>
      <c r="G4429" t="inlineStr">
        <is>
          <t>Réunions avec des fonctionnaires du gouvernement du Canada</t>
        </is>
      </c>
      <c r="H4429" s="1" t="n">
        <v>43012</v>
      </c>
      <c r="I4429" s="1" t="n">
        <v>43013</v>
      </c>
      <c r="J4429" t="inlineStr">
        <is>
          <t>Ottawa, Ontario</t>
        </is>
      </c>
      <c r="K4429" t="inlineStr">
        <is>
          <t>Ottawa (Ontario)</t>
        </is>
      </c>
      <c r="P4429" t="n">
        <v>1041.43</v>
      </c>
      <c r="Q4429" t="n">
        <v>107.12</v>
      </c>
      <c r="R4429" t="n">
        <v>203.68</v>
      </c>
      <c r="S4429" t="n">
        <v>205.3</v>
      </c>
      <c r="T4429" t="n">
        <v>0</v>
      </c>
      <c r="U4429" t="n">
        <v>1557.53</v>
      </c>
      <c r="X4429" t="inlineStr">
        <is>
          <t>acoa-apeca</t>
        </is>
      </c>
      <c r="Y4429" t="inlineStr">
        <is>
          <t>Atlantic Canada Opportunities Agency | Agence de promotion économique du Canada atlantique</t>
        </is>
      </c>
      <c r="Z4429" t="n">
        <v>2</v>
      </c>
      <c r="AA4429" t="n">
        <v>1557.53</v>
      </c>
      <c r="AB4429">
        <f>ROUND(U4429-AA4429,2)</f>
        <v/>
      </c>
      <c r="AC4429" t="b">
        <v>0</v>
      </c>
      <c r="AD4429">
        <f>IF(U4429="","MISSING_TOTAL",IF(ABS(AB4429)&lt;=0.01,"OK","CHECK"))</f>
        <v/>
      </c>
      <c r="AE4429">
        <f>IF(U4429="","MISSING",IF(AND(AA4429&gt;0,U4429/AA4429&gt;50),"POSSIBLE_SCALE_ERROR","OK"))</f>
        <v/>
      </c>
    </row>
    <row r="4430">
      <c r="A4430" t="inlineStr">
        <is>
          <t>T-2018-Q3-00012</t>
        </is>
      </c>
      <c r="B4430" t="inlineStr">
        <is>
          <t>SLE</t>
        </is>
      </c>
      <c r="C4430" t="inlineStr">
        <is>
          <t>Vice-President, Policy and Programs</t>
        </is>
      </c>
      <c r="D4430" t="inlineStr">
        <is>
          <t>Vice-président, Politiques et Programmes</t>
        </is>
      </c>
      <c r="E4430" t="inlineStr">
        <is>
          <t>Daryell Nowlan</t>
        </is>
      </c>
      <c r="F4430" t="inlineStr">
        <is>
          <t>Meetings with Government of Canada officials</t>
        </is>
      </c>
      <c r="G4430" t="inlineStr">
        <is>
          <t>Réunions avec des fonctionnaires du gouvernement du Canada</t>
        </is>
      </c>
      <c r="H4430" s="1" t="n">
        <v>43010</v>
      </c>
      <c r="I4430" s="1" t="n">
        <v>43010</v>
      </c>
      <c r="J4430" t="inlineStr">
        <is>
          <t>Ottawa, Ontario</t>
        </is>
      </c>
      <c r="K4430" t="inlineStr">
        <is>
          <t>Ottawa (Ontario)</t>
        </is>
      </c>
      <c r="P4430" t="n">
        <v>692.3</v>
      </c>
      <c r="Q4430" t="n">
        <v>120.83</v>
      </c>
      <c r="R4430" t="n">
        <v>0</v>
      </c>
      <c r="S4430" t="n">
        <v>85.34999999999999</v>
      </c>
      <c r="T4430" t="n">
        <v>0</v>
      </c>
      <c r="U4430" t="n">
        <v>898.48</v>
      </c>
      <c r="X4430" t="inlineStr">
        <is>
          <t>acoa-apeca</t>
        </is>
      </c>
      <c r="Y4430" t="inlineStr">
        <is>
          <t>Atlantic Canada Opportunities Agency | Agence de promotion économique du Canada atlantique</t>
        </is>
      </c>
      <c r="Z4430" t="n">
        <v>1</v>
      </c>
      <c r="AA4430" t="n">
        <v>898.48</v>
      </c>
      <c r="AB4430">
        <f>ROUND(U4430-AA4430,2)</f>
        <v/>
      </c>
      <c r="AC4430" t="b">
        <v>0</v>
      </c>
      <c r="AD4430">
        <f>IF(U4430="","MISSING_TOTAL",IF(ABS(AB4430)&lt;=0.01,"OK","CHECK"))</f>
        <v/>
      </c>
      <c r="AE4430">
        <f>IF(U4430="","MISSING",IF(AND(AA4430&gt;0,U4430/AA4430&gt;50),"POSSIBLE_SCALE_ERROR","OK"))</f>
        <v/>
      </c>
    </row>
    <row r="4431">
      <c r="A4431" t="inlineStr">
        <is>
          <t>T-2018-Q3-00011</t>
        </is>
      </c>
      <c r="B4431" t="inlineStr">
        <is>
          <t>SLE</t>
        </is>
      </c>
      <c r="C4431" t="inlineStr">
        <is>
          <t>President</t>
        </is>
      </c>
      <c r="D4431" t="inlineStr">
        <is>
          <t>Président</t>
        </is>
      </c>
      <c r="E4431" t="inlineStr">
        <is>
          <t>Francis McGuire</t>
        </is>
      </c>
      <c r="F4431" t="inlineStr">
        <is>
          <t>For various meetings and discussions with Agency officials, provincial government officials, key stakeholders and Government of Canada officials</t>
        </is>
      </c>
      <c r="G4431" t="inlineStr">
        <is>
          <t>Diverses réunions et discussions avec des fonctionnaires de l'Agence et du gouvernement provincial, des intervenants clés et des fonctionnaires du gouvernement du Canada</t>
        </is>
      </c>
      <c r="H4431" s="1" t="n">
        <v>43011</v>
      </c>
      <c r="I4431" s="1" t="n">
        <v>43013</v>
      </c>
      <c r="J4431" t="inlineStr">
        <is>
          <t>Ottawa, Ontario</t>
        </is>
      </c>
      <c r="K4431" t="inlineStr">
        <is>
          <t>Ottawa (Ontario)</t>
        </is>
      </c>
      <c r="P4431" t="n">
        <v>328.73</v>
      </c>
      <c r="Q4431" t="n">
        <v>35</v>
      </c>
      <c r="R4431" t="n">
        <v>439.96</v>
      </c>
      <c r="S4431" t="n">
        <v>175.25</v>
      </c>
      <c r="T4431" t="n">
        <v>0</v>
      </c>
      <c r="U4431" t="n">
        <v>978.9400000000001</v>
      </c>
      <c r="X4431" t="inlineStr">
        <is>
          <t>acoa-apeca</t>
        </is>
      </c>
      <c r="Y4431" t="inlineStr">
        <is>
          <t>Atlantic Canada Opportunities Agency | Agence de promotion économique du Canada atlantique</t>
        </is>
      </c>
      <c r="Z4431" t="n">
        <v>3</v>
      </c>
      <c r="AA4431" t="n">
        <v>978.9400000000001</v>
      </c>
      <c r="AB4431">
        <f>ROUND(U4431-AA4431,2)</f>
        <v/>
      </c>
      <c r="AC4431" t="b">
        <v>0</v>
      </c>
      <c r="AD4431">
        <f>IF(U4431="","MISSING_TOTAL",IF(ABS(AB4431)&lt;=0.01,"OK","CHECK"))</f>
        <v/>
      </c>
      <c r="AE4431">
        <f>IF(U4431="","MISSING",IF(AND(AA4431&gt;0,U4431/AA4431&gt;50),"POSSIBLE_SCALE_ERROR","OK"))</f>
        <v/>
      </c>
    </row>
    <row r="4432">
      <c r="A4432" t="inlineStr">
        <is>
          <t>T-2018-Q3-00009</t>
        </is>
      </c>
      <c r="B4432" t="inlineStr">
        <is>
          <t>SLE</t>
        </is>
      </c>
      <c r="C4432" t="inlineStr">
        <is>
          <t>Vice-President, Newfoundland and Labrador</t>
        </is>
      </c>
      <c r="D4432" t="inlineStr">
        <is>
          <t>Vice-président, Terre-Neuve-et-Labrador</t>
        </is>
      </c>
      <c r="E4432" t="inlineStr">
        <is>
          <t>Ken Martin</t>
        </is>
      </c>
      <c r="F4432" t="inlineStr">
        <is>
          <t>Attend forward agenda planning session</t>
        </is>
      </c>
      <c r="G4432" t="inlineStr">
        <is>
          <t>Assister à une séance de planification de l'ordre du jour à long terme</t>
        </is>
      </c>
      <c r="H4432" s="1" t="n">
        <v>43003</v>
      </c>
      <c r="I4432" s="1" t="n">
        <v>43003</v>
      </c>
      <c r="J4432" t="inlineStr">
        <is>
          <t>Chapel's Cove-Harbour Main, Newfoundland and Labrador</t>
        </is>
      </c>
      <c r="K4432" t="inlineStr">
        <is>
          <t>Chapel's Cove-Harbour Main (Terre-Neuve-et-Labrador)</t>
        </is>
      </c>
      <c r="P4432" t="n">
        <v>0</v>
      </c>
      <c r="Q4432" t="n">
        <v>80.48</v>
      </c>
      <c r="R4432" t="n">
        <v>0</v>
      </c>
      <c r="S4432" t="n">
        <v>18.05</v>
      </c>
      <c r="T4432" t="n">
        <v>0</v>
      </c>
      <c r="U4432" t="n">
        <v>98.53</v>
      </c>
      <c r="X4432" t="inlineStr">
        <is>
          <t>acoa-apeca</t>
        </is>
      </c>
      <c r="Y4432" t="inlineStr">
        <is>
          <t>Atlantic Canada Opportunities Agency | Agence de promotion économique du Canada atlantique</t>
        </is>
      </c>
      <c r="Z4432" t="n">
        <v>1</v>
      </c>
      <c r="AA4432" t="n">
        <v>98.53</v>
      </c>
      <c r="AB4432">
        <f>ROUND(U4432-AA4432,2)</f>
        <v/>
      </c>
      <c r="AC4432" t="b">
        <v>0</v>
      </c>
      <c r="AD4432">
        <f>IF(U4432="","MISSING_TOTAL",IF(ABS(AB4432)&lt;=0.01,"OK","CHECK"))</f>
        <v/>
      </c>
      <c r="AE4432">
        <f>IF(U4432="","MISSING",IF(AND(AA4432&gt;0,U4432/AA4432&gt;50),"POSSIBLE_SCALE_ERROR","OK"))</f>
        <v/>
      </c>
    </row>
    <row r="4433">
      <c r="A4433" t="inlineStr">
        <is>
          <t>T-2018-Q3-00008</t>
        </is>
      </c>
      <c r="B4433" t="inlineStr">
        <is>
          <t>SLE</t>
        </is>
      </c>
      <c r="C4433" t="inlineStr">
        <is>
          <t>Vice-President, Policy and Programs</t>
        </is>
      </c>
      <c r="D4433" t="inlineStr">
        <is>
          <t>Vice-président, Politiques et Programmes</t>
        </is>
      </c>
      <c r="E4433" t="inlineStr">
        <is>
          <t>Daryell Nowlan</t>
        </is>
      </c>
      <c r="F4433" t="inlineStr">
        <is>
          <t>Meetings with Government of Canada officials</t>
        </is>
      </c>
      <c r="G4433" t="inlineStr">
        <is>
          <t>Réunions avec des fonctionnaires du gouvernement du Canada</t>
        </is>
      </c>
      <c r="H4433" s="1" t="n">
        <v>43003</v>
      </c>
      <c r="I4433" s="1" t="n">
        <v>43004</v>
      </c>
      <c r="J4433" t="inlineStr">
        <is>
          <t>Halifax, Nova Scotia</t>
        </is>
      </c>
      <c r="K4433" t="inlineStr">
        <is>
          <t>Halifax (Nouvelle-Écosse)</t>
        </is>
      </c>
      <c r="P4433" t="n">
        <v>0</v>
      </c>
      <c r="Q4433" t="n">
        <v>4</v>
      </c>
      <c r="R4433" t="n">
        <v>198.24</v>
      </c>
      <c r="S4433" t="n">
        <v>161.7</v>
      </c>
      <c r="T4433" t="n">
        <v>0</v>
      </c>
      <c r="U4433" t="n">
        <v>363.94</v>
      </c>
      <c r="X4433" t="inlineStr">
        <is>
          <t>acoa-apeca</t>
        </is>
      </c>
      <c r="Y4433" t="inlineStr">
        <is>
          <t>Atlantic Canada Opportunities Agency | Agence de promotion économique du Canada atlantique</t>
        </is>
      </c>
      <c r="Z4433" t="n">
        <v>2</v>
      </c>
      <c r="AA4433" t="n">
        <v>363.94</v>
      </c>
      <c r="AB4433">
        <f>ROUND(U4433-AA4433,2)</f>
        <v/>
      </c>
      <c r="AC4433" t="b">
        <v>0</v>
      </c>
      <c r="AD4433">
        <f>IF(U4433="","MISSING_TOTAL",IF(ABS(AB4433)&lt;=0.01,"OK","CHECK"))</f>
        <v/>
      </c>
      <c r="AE4433">
        <f>IF(U4433="","MISSING",IF(AND(AA4433&gt;0,U4433/AA4433&gt;50),"POSSIBLE_SCALE_ERROR","OK"))</f>
        <v/>
      </c>
    </row>
    <row r="4434">
      <c r="A4434" t="inlineStr">
        <is>
          <t>T-2018-Q3-00007</t>
        </is>
      </c>
      <c r="B4434" t="inlineStr">
        <is>
          <t>SLE</t>
        </is>
      </c>
      <c r="C4434" t="inlineStr">
        <is>
          <t>Vice-President, Policy and Programs</t>
        </is>
      </c>
      <c r="D4434" t="inlineStr">
        <is>
          <t>Vice-président, Politiques et Programmes</t>
        </is>
      </c>
      <c r="E4434" t="inlineStr">
        <is>
          <t>Daryell Nowlan</t>
        </is>
      </c>
      <c r="F4434" t="inlineStr">
        <is>
          <t>Canada/North Study Tour</t>
        </is>
      </c>
      <c r="G4434" t="inlineStr">
        <is>
          <t>Voyage d'étude au Canada/Nord</t>
        </is>
      </c>
      <c r="H4434" s="1" t="n">
        <v>42995</v>
      </c>
      <c r="I4434" s="1" t="n">
        <v>43001</v>
      </c>
      <c r="J4434" t="inlineStr">
        <is>
          <t>Vancouver, British Columbia and Yellowknife, Northwest Territories</t>
        </is>
      </c>
      <c r="K4434" t="inlineStr">
        <is>
          <t>Vancouver (Colombie-Britannique) et Yellowknife (Territoires du Nord-Ouest)</t>
        </is>
      </c>
      <c r="P4434" t="n">
        <v>1806.5</v>
      </c>
      <c r="Q4434" t="n">
        <v>126</v>
      </c>
      <c r="R4434" t="n">
        <v>993.3</v>
      </c>
      <c r="S4434" t="n">
        <v>706.55</v>
      </c>
      <c r="T4434" t="n">
        <v>0</v>
      </c>
      <c r="U4434" t="n">
        <v>3632.35</v>
      </c>
      <c r="X4434" t="inlineStr">
        <is>
          <t>acoa-apeca</t>
        </is>
      </c>
      <c r="Y4434" t="inlineStr">
        <is>
          <t>Atlantic Canada Opportunities Agency | Agence de promotion économique du Canada atlantique</t>
        </is>
      </c>
      <c r="Z4434" t="n">
        <v>7</v>
      </c>
      <c r="AA4434" t="n">
        <v>3632.35</v>
      </c>
      <c r="AB4434">
        <f>ROUND(U4434-AA4434,2)</f>
        <v/>
      </c>
      <c r="AC4434" t="b">
        <v>0</v>
      </c>
      <c r="AD4434">
        <f>IF(U4434="","MISSING_TOTAL",IF(ABS(AB4434)&lt;=0.01,"OK","CHECK"))</f>
        <v/>
      </c>
      <c r="AE4434">
        <f>IF(U4434="","MISSING",IF(AND(AA4434&gt;0,U4434/AA4434&gt;50),"POSSIBLE_SCALE_ERROR","OK"))</f>
        <v/>
      </c>
    </row>
    <row r="4435">
      <c r="A4435" t="inlineStr">
        <is>
          <t>T-2018-Q3-00006</t>
        </is>
      </c>
      <c r="B4435" t="inlineStr">
        <is>
          <t>SLE</t>
        </is>
      </c>
      <c r="C4435" t="inlineStr">
        <is>
          <t>Vice-President, Newfoundland and Labrador</t>
        </is>
      </c>
      <c r="D4435" t="inlineStr">
        <is>
          <t>Vice-président, Terre-Neuve-et-Labrador</t>
        </is>
      </c>
      <c r="E4435" t="inlineStr">
        <is>
          <t>Ken Martin</t>
        </is>
      </c>
      <c r="F4435" t="inlineStr">
        <is>
          <t>Attend client meetings on Avalon Peninsula</t>
        </is>
      </c>
      <c r="G4435" t="inlineStr">
        <is>
          <t>Assister à des réunions avec des clients dans la presqu'île Avalon</t>
        </is>
      </c>
      <c r="H4435" s="1" t="n">
        <v>42989</v>
      </c>
      <c r="I4435" s="1" t="n">
        <v>42991</v>
      </c>
      <c r="J4435" t="inlineStr">
        <is>
          <t>Avalon Peninsula, Newfoundland and Labrador</t>
        </is>
      </c>
      <c r="K4435" t="inlineStr">
        <is>
          <t>Presqu'île Avalon (Terre-Neuve-et-Labrador)</t>
        </is>
      </c>
      <c r="P4435" t="n">
        <v>0</v>
      </c>
      <c r="Q4435" t="n">
        <v>24.42</v>
      </c>
      <c r="R4435" t="n">
        <v>0</v>
      </c>
      <c r="S4435" t="n">
        <v>128</v>
      </c>
      <c r="T4435" t="n">
        <v>0</v>
      </c>
      <c r="U4435" t="n">
        <v>152.42</v>
      </c>
      <c r="X4435" t="inlineStr">
        <is>
          <t>acoa-apeca</t>
        </is>
      </c>
      <c r="Y4435" t="inlineStr">
        <is>
          <t>Atlantic Canada Opportunities Agency | Agence de promotion économique du Canada atlantique</t>
        </is>
      </c>
      <c r="Z4435" t="n">
        <v>3</v>
      </c>
      <c r="AA4435" t="n">
        <v>152.42</v>
      </c>
      <c r="AB4435">
        <f>ROUND(U4435-AA4435,2)</f>
        <v/>
      </c>
      <c r="AC4435" t="b">
        <v>0</v>
      </c>
      <c r="AD4435">
        <f>IF(U4435="","MISSING_TOTAL",IF(ABS(AB4435)&lt;=0.01,"OK","CHECK"))</f>
        <v/>
      </c>
      <c r="AE4435">
        <f>IF(U4435="","MISSING",IF(AND(AA4435&gt;0,U4435/AA4435&gt;50),"POSSIBLE_SCALE_ERROR","OK"))</f>
        <v/>
      </c>
    </row>
    <row r="4436">
      <c r="A4436" t="inlineStr">
        <is>
          <t>T-2018-Q3-00005</t>
        </is>
      </c>
      <c r="B4436" t="inlineStr">
        <is>
          <t>SLE</t>
        </is>
      </c>
      <c r="C4436" t="inlineStr">
        <is>
          <t>Vice-President, Newfoundland and Labrador</t>
        </is>
      </c>
      <c r="D4436" t="inlineStr">
        <is>
          <t>Vice-président, Terre-Neuve-et-Labrador</t>
        </is>
      </c>
      <c r="E4436" t="inlineStr">
        <is>
          <t>Ken Martin</t>
        </is>
      </c>
      <c r="F4436" t="inlineStr">
        <is>
          <t>Attend Executive Committee meeting</t>
        </is>
      </c>
      <c r="G4436" t="inlineStr">
        <is>
          <t>Assister à une réunion du Comité de direction</t>
        </is>
      </c>
      <c r="H4436" s="1" t="n">
        <v>42991</v>
      </c>
      <c r="I4436" s="1" t="n">
        <v>42992</v>
      </c>
      <c r="J4436" t="inlineStr">
        <is>
          <t>Moncton, New Brunswick</t>
        </is>
      </c>
      <c r="K4436" t="inlineStr">
        <is>
          <t>Moncton (Nouveau-Brunswick)</t>
        </is>
      </c>
      <c r="P4436" t="n">
        <v>1180.8</v>
      </c>
      <c r="Q4436" t="n">
        <v>125.19</v>
      </c>
      <c r="R4436" t="n">
        <v>132.25</v>
      </c>
      <c r="S4436" t="n">
        <v>143.65</v>
      </c>
      <c r="T4436" t="n">
        <v>16.1</v>
      </c>
      <c r="U4436" t="n">
        <v>1597.99</v>
      </c>
      <c r="X4436" t="inlineStr">
        <is>
          <t>acoa-apeca</t>
        </is>
      </c>
      <c r="Y4436" t="inlineStr">
        <is>
          <t>Atlantic Canada Opportunities Agency | Agence de promotion économique du Canada atlantique</t>
        </is>
      </c>
      <c r="Z4436" t="n">
        <v>2</v>
      </c>
      <c r="AA4436" t="n">
        <v>1597.99</v>
      </c>
      <c r="AB4436">
        <f>ROUND(U4436-AA4436,2)</f>
        <v/>
      </c>
      <c r="AC4436" t="b">
        <v>0</v>
      </c>
      <c r="AD4436">
        <f>IF(U4436="","MISSING_TOTAL",IF(ABS(AB4436)&lt;=0.01,"OK","CHECK"))</f>
        <v/>
      </c>
      <c r="AE4436">
        <f>IF(U4436="","MISSING",IF(AND(AA4436&gt;0,U4436/AA4436&gt;50),"POSSIBLE_SCALE_ERROR","OK"))</f>
        <v/>
      </c>
    </row>
    <row r="4437">
      <c r="A4437" t="inlineStr">
        <is>
          <t>T-2018-Q3-00004</t>
        </is>
      </c>
      <c r="B4437" t="inlineStr">
        <is>
          <t>SLE</t>
        </is>
      </c>
      <c r="C4437" t="inlineStr">
        <is>
          <t>Vice-President, Policy and Programs</t>
        </is>
      </c>
      <c r="D4437" t="inlineStr">
        <is>
          <t>Vice-président, Politiques et Programmes</t>
        </is>
      </c>
      <c r="E4437" t="inlineStr">
        <is>
          <t>Daryell Nowlan</t>
        </is>
      </c>
      <c r="F4437" t="inlineStr">
        <is>
          <t>Attending the Defence Security and Equipment International (DSEi) exhibition in London, United Kingdom</t>
        </is>
      </c>
      <c r="G4437" t="inlineStr">
        <is>
          <t>Assister au salon Defence Security and Equipment International (DSEi) à Londres, au Royaume-Uni</t>
        </is>
      </c>
      <c r="H4437" s="1" t="n">
        <v>42988</v>
      </c>
      <c r="I4437" s="1" t="n">
        <v>42993</v>
      </c>
      <c r="J4437" t="inlineStr">
        <is>
          <t>London, United Kingdom</t>
        </is>
      </c>
      <c r="K4437" t="inlineStr">
        <is>
          <t>Londres (Royaume-Uni)</t>
        </is>
      </c>
      <c r="P4437" t="n">
        <v>1048.01</v>
      </c>
      <c r="Q4437" t="n">
        <v>316.04</v>
      </c>
      <c r="R4437" t="n">
        <v>2365.13</v>
      </c>
      <c r="S4437" t="n">
        <v>854.15</v>
      </c>
      <c r="T4437" t="n">
        <v>0</v>
      </c>
      <c r="U4437" t="n">
        <v>4583.33</v>
      </c>
      <c r="X4437" t="inlineStr">
        <is>
          <t>acoa-apeca</t>
        </is>
      </c>
      <c r="Y4437" t="inlineStr">
        <is>
          <t>Atlantic Canada Opportunities Agency | Agence de promotion économique du Canada atlantique</t>
        </is>
      </c>
      <c r="Z4437" t="n">
        <v>6</v>
      </c>
      <c r="AA4437" t="n">
        <v>4583.33</v>
      </c>
      <c r="AB4437">
        <f>ROUND(U4437-AA4437,2)</f>
        <v/>
      </c>
      <c r="AC4437" t="b">
        <v>0</v>
      </c>
      <c r="AD4437">
        <f>IF(U4437="","MISSING_TOTAL",IF(ABS(AB4437)&lt;=0.01,"OK","CHECK"))</f>
        <v/>
      </c>
      <c r="AE4437">
        <f>IF(U4437="","MISSING",IF(AND(AA4437&gt;0,U4437/AA4437&gt;50),"POSSIBLE_SCALE_ERROR","OK"))</f>
        <v/>
      </c>
    </row>
    <row r="4438">
      <c r="A4438" t="inlineStr">
        <is>
          <t>T-2018-Q2-00045</t>
        </is>
      </c>
      <c r="B4438" t="inlineStr">
        <is>
          <t>SLE</t>
        </is>
      </c>
      <c r="C4438" t="inlineStr">
        <is>
          <t>President</t>
        </is>
      </c>
      <c r="D4438" t="inlineStr">
        <is>
          <t>Président</t>
        </is>
      </c>
      <c r="E4438" t="inlineStr">
        <is>
          <t>Francis McGuire</t>
        </is>
      </c>
      <c r="F4438" t="inlineStr">
        <is>
          <t>For various meetings and discussions with Agency officials and Government of Canada officials</t>
        </is>
      </c>
      <c r="G4438" t="inlineStr">
        <is>
          <t>Diverses réunions et discussions avec des fonctionnaires de l'Agence et du gouvernement du Canada</t>
        </is>
      </c>
      <c r="H4438" s="1" t="n">
        <v>42976</v>
      </c>
      <c r="I4438" s="1" t="n">
        <v>42979</v>
      </c>
      <c r="J4438" t="inlineStr">
        <is>
          <t>Ottawa, Ontario</t>
        </is>
      </c>
      <c r="K4438" t="inlineStr">
        <is>
          <t>Ottawa (Ontario)</t>
        </is>
      </c>
      <c r="P4438" t="n">
        <v>515.03</v>
      </c>
      <c r="Q4438" t="n">
        <v>0</v>
      </c>
      <c r="R4438" t="n">
        <v>694.86</v>
      </c>
      <c r="S4438" t="n">
        <v>340.55</v>
      </c>
      <c r="T4438" t="n">
        <v>126.5</v>
      </c>
      <c r="U4438" t="n">
        <v>1676.94</v>
      </c>
      <c r="X4438" t="inlineStr">
        <is>
          <t>acoa-apeca</t>
        </is>
      </c>
      <c r="Y4438" t="inlineStr">
        <is>
          <t>Atlantic Canada Opportunities Agency | Agence de promotion économique du Canada atlantique</t>
        </is>
      </c>
      <c r="Z4438" t="n">
        <v>4</v>
      </c>
      <c r="AA4438" t="n">
        <v>1676.93999999999</v>
      </c>
      <c r="AB4438">
        <f>ROUND(U4438-AA4438,2)</f>
        <v/>
      </c>
      <c r="AC4438" t="b">
        <v>0</v>
      </c>
      <c r="AD4438">
        <f>IF(U4438="","MISSING_TOTAL",IF(ABS(AB4438)&lt;=0.01,"OK","CHECK"))</f>
        <v/>
      </c>
      <c r="AE4438">
        <f>IF(U4438="","MISSING",IF(AND(AA4438&gt;0,U4438/AA4438&gt;50),"POSSIBLE_SCALE_ERROR","OK"))</f>
        <v/>
      </c>
    </row>
    <row r="4439">
      <c r="A4439" t="inlineStr">
        <is>
          <t>T-2018-Q4-00020</t>
        </is>
      </c>
      <c r="B4439" t="inlineStr">
        <is>
          <t>SLE</t>
        </is>
      </c>
      <c r="C4439" t="inlineStr">
        <is>
          <t>President</t>
        </is>
      </c>
      <c r="D4439" t="inlineStr">
        <is>
          <t>Président</t>
        </is>
      </c>
      <c r="E4439" t="inlineStr">
        <is>
          <t>Francis McGuire</t>
        </is>
      </c>
      <c r="F4439" t="inlineStr">
        <is>
          <t>Various meetings with Agency officials and key stakeholders</t>
        </is>
      </c>
      <c r="G4439" t="inlineStr">
        <is>
          <t>Diverses réunions avec des fonctionnaires de l'Agence et des intervenants clés</t>
        </is>
      </c>
      <c r="H4439" s="1" t="n">
        <v>43136</v>
      </c>
      <c r="I4439" s="1" t="n">
        <v>43137</v>
      </c>
      <c r="J4439" t="inlineStr">
        <is>
          <t>Halifax, Nova Scotia</t>
        </is>
      </c>
      <c r="K4439" t="inlineStr">
        <is>
          <t>Halifax (Nouvelle-Écosse)</t>
        </is>
      </c>
      <c r="P4439" t="n">
        <v>0</v>
      </c>
      <c r="Q4439" t="n">
        <v>226.6</v>
      </c>
      <c r="R4439" t="n">
        <v>50</v>
      </c>
      <c r="S4439" t="n">
        <v>17.3</v>
      </c>
      <c r="T4439" t="n">
        <v>0</v>
      </c>
      <c r="U4439" t="n">
        <v>293.9</v>
      </c>
      <c r="X4439" t="inlineStr">
        <is>
          <t>acoa-apeca</t>
        </is>
      </c>
      <c r="Y4439" t="inlineStr">
        <is>
          <t>Atlantic Canada Opportunities Agency | Agence de promotion économique du Canada atlantique</t>
        </is>
      </c>
      <c r="Z4439" t="n">
        <v>2</v>
      </c>
      <c r="AA4439" t="n">
        <v>293.9</v>
      </c>
      <c r="AB4439">
        <f>ROUND(U4439-AA4439,2)</f>
        <v/>
      </c>
      <c r="AC4439" t="b">
        <v>0</v>
      </c>
      <c r="AD4439">
        <f>IF(U4439="","MISSING_TOTAL",IF(ABS(AB4439)&lt;=0.01,"OK","CHECK"))</f>
        <v/>
      </c>
      <c r="AE4439">
        <f>IF(U4439="","MISSING",IF(AND(AA4439&gt;0,U4439/AA4439&gt;50),"POSSIBLE_SCALE_ERROR","OK"))</f>
        <v/>
      </c>
    </row>
    <row r="4440">
      <c r="A4440" t="inlineStr">
        <is>
          <t>T-2018-Q2-00044</t>
        </is>
      </c>
      <c r="B4440" t="inlineStr">
        <is>
          <t>SLE</t>
        </is>
      </c>
      <c r="C4440" t="inlineStr">
        <is>
          <t>President</t>
        </is>
      </c>
      <c r="D4440" t="inlineStr">
        <is>
          <t>Président</t>
        </is>
      </c>
      <c r="E4440" t="inlineStr">
        <is>
          <t>Francis McGuire</t>
        </is>
      </c>
      <c r="F4440" t="inlineStr">
        <is>
          <t>For various meetings and discussions with provincial government officials and key stakeholders</t>
        </is>
      </c>
      <c r="G4440" t="inlineStr">
        <is>
          <t>Diverses réunions et discussions avec des fonctionnaires du gouvernement provincial et des intervenants clés</t>
        </is>
      </c>
      <c r="H4440" s="1" t="n">
        <v>42974</v>
      </c>
      <c r="I4440" s="1" t="n">
        <v>42976</v>
      </c>
      <c r="J4440" t="inlineStr">
        <is>
          <t>Charlottetown, Prince Edward Island</t>
        </is>
      </c>
      <c r="K4440" t="inlineStr">
        <is>
          <t>Charlottetown (Île-du-Prince-Édouard)</t>
        </is>
      </c>
      <c r="P4440" t="n">
        <v>0</v>
      </c>
      <c r="Q4440" t="n">
        <v>0</v>
      </c>
      <c r="R4440" t="n">
        <v>589.88</v>
      </c>
      <c r="S4440" t="n">
        <v>114.85</v>
      </c>
      <c r="T4440" t="n">
        <v>277.72</v>
      </c>
      <c r="U4440" t="n">
        <v>982.45</v>
      </c>
      <c r="X4440" t="inlineStr">
        <is>
          <t>acoa-apeca</t>
        </is>
      </c>
      <c r="Y4440" t="inlineStr">
        <is>
          <t>Atlantic Canada Opportunities Agency | Agence de promotion économique du Canada atlantique</t>
        </is>
      </c>
      <c r="Z4440" t="n">
        <v>3</v>
      </c>
      <c r="AA4440" t="n">
        <v>982.45</v>
      </c>
      <c r="AB4440">
        <f>ROUND(U4440-AA4440,2)</f>
        <v/>
      </c>
      <c r="AC4440" t="b">
        <v>0</v>
      </c>
      <c r="AD4440">
        <f>IF(U4440="","MISSING_TOTAL",IF(ABS(AB4440)&lt;=0.01,"OK","CHECK"))</f>
        <v/>
      </c>
      <c r="AE4440">
        <f>IF(U4440="","MISSING",IF(AND(AA4440&gt;0,U4440/AA4440&gt;50),"POSSIBLE_SCALE_ERROR","OK"))</f>
        <v/>
      </c>
    </row>
    <row r="4441">
      <c r="A4441" t="inlineStr">
        <is>
          <t>T-2018-Q2-00042</t>
        </is>
      </c>
      <c r="B4441" t="inlineStr">
        <is>
          <t>SLE</t>
        </is>
      </c>
      <c r="C4441" t="inlineStr">
        <is>
          <t>President</t>
        </is>
      </c>
      <c r="D4441" t="inlineStr">
        <is>
          <t>Président</t>
        </is>
      </c>
      <c r="E4441" t="inlineStr">
        <is>
          <t>Francis McGuire</t>
        </is>
      </c>
      <c r="F4441" t="inlineStr">
        <is>
          <t>For various meetings and discussions with Agency officials and key stakeholders</t>
        </is>
      </c>
      <c r="G4441" t="inlineStr">
        <is>
          <t>Diverses réunions et discussions avec des fonctionnaires de l'Agence et des intervenants clés</t>
        </is>
      </c>
      <c r="H4441" s="1" t="n">
        <v>42967</v>
      </c>
      <c r="I4441" s="1" t="n">
        <v>42972</v>
      </c>
      <c r="J4441" t="inlineStr">
        <is>
          <t>Sydney, Nova Scotia</t>
        </is>
      </c>
      <c r="K4441" t="inlineStr">
        <is>
          <t>Sydney (Nouvelle-Écosse)</t>
        </is>
      </c>
      <c r="P4441" t="n">
        <v>516.64</v>
      </c>
      <c r="Q4441" t="n">
        <v>0</v>
      </c>
      <c r="R4441" t="n">
        <v>729.6</v>
      </c>
      <c r="S4441" t="n">
        <v>412.15</v>
      </c>
      <c r="T4441" t="n">
        <v>24.86</v>
      </c>
      <c r="U4441" t="n">
        <v>1683.25</v>
      </c>
      <c r="X4441" t="inlineStr">
        <is>
          <t>acoa-apeca</t>
        </is>
      </c>
      <c r="Y4441" t="inlineStr">
        <is>
          <t>Atlantic Canada Opportunities Agency | Agence de promotion économique du Canada atlantique</t>
        </is>
      </c>
      <c r="Z4441" t="n">
        <v>6</v>
      </c>
      <c r="AA4441" t="n">
        <v>1683.24999999999</v>
      </c>
      <c r="AB4441">
        <f>ROUND(U4441-AA4441,2)</f>
        <v/>
      </c>
      <c r="AC4441" t="b">
        <v>0</v>
      </c>
      <c r="AD4441">
        <f>IF(U4441="","MISSING_TOTAL",IF(ABS(AB4441)&lt;=0.01,"OK","CHECK"))</f>
        <v/>
      </c>
      <c r="AE4441">
        <f>IF(U4441="","MISSING",IF(AND(AA4441&gt;0,U4441/AA4441&gt;50),"POSSIBLE_SCALE_ERROR","OK"))</f>
        <v/>
      </c>
    </row>
    <row r="4442">
      <c r="A4442" t="inlineStr">
        <is>
          <t>T-2018-Q2-00041</t>
        </is>
      </c>
      <c r="B4442" t="inlineStr">
        <is>
          <t>SLE</t>
        </is>
      </c>
      <c r="C4442" t="inlineStr">
        <is>
          <t>President</t>
        </is>
      </c>
      <c r="D4442" t="inlineStr">
        <is>
          <t>Président</t>
        </is>
      </c>
      <c r="E4442" t="inlineStr">
        <is>
          <t>Francis McGuire</t>
        </is>
      </c>
      <c r="F4442" t="inlineStr">
        <is>
          <t>For various meetings and discussions with provincial government officials and key stakeholders</t>
        </is>
      </c>
      <c r="G4442" t="inlineStr">
        <is>
          <t>Diverses réunions et discussions avec des fonctionnaires du gouvernement provincial et des intervenants clés</t>
        </is>
      </c>
      <c r="H4442" s="1" t="n">
        <v>42964</v>
      </c>
      <c r="I4442" s="1" t="n">
        <v>42965</v>
      </c>
      <c r="J4442" t="inlineStr">
        <is>
          <t>St. Andrews, New Brunswick</t>
        </is>
      </c>
      <c r="K4442" t="inlineStr">
        <is>
          <t>St. Andrews (Nouveau-Brunswick)</t>
        </is>
      </c>
      <c r="P4442" t="n">
        <v>0</v>
      </c>
      <c r="Q4442" t="n">
        <v>0</v>
      </c>
      <c r="R4442" t="n">
        <v>233.43</v>
      </c>
      <c r="S4442" t="n">
        <v>116.65</v>
      </c>
      <c r="T4442" t="n">
        <v>137.36</v>
      </c>
      <c r="U4442" t="n">
        <v>487.44</v>
      </c>
      <c r="X4442" t="inlineStr">
        <is>
          <t>acoa-apeca</t>
        </is>
      </c>
      <c r="Y4442" t="inlineStr">
        <is>
          <t>Atlantic Canada Opportunities Agency | Agence de promotion économique du Canada atlantique</t>
        </is>
      </c>
      <c r="Z4442" t="n">
        <v>2</v>
      </c>
      <c r="AA4442" t="n">
        <v>487.44</v>
      </c>
      <c r="AB4442">
        <f>ROUND(U4442-AA4442,2)</f>
        <v/>
      </c>
      <c r="AC4442" t="b">
        <v>0</v>
      </c>
      <c r="AD4442">
        <f>IF(U4442="","MISSING_TOTAL",IF(ABS(AB4442)&lt;=0.01,"OK","CHECK"))</f>
        <v/>
      </c>
      <c r="AE4442">
        <f>IF(U4442="","MISSING",IF(AND(AA4442&gt;0,U4442/AA4442&gt;50),"POSSIBLE_SCALE_ERROR","OK"))</f>
        <v/>
      </c>
    </row>
    <row r="4443">
      <c r="A4443" t="inlineStr">
        <is>
          <t>T-2018-Q2-00040</t>
        </is>
      </c>
      <c r="B4443" t="inlineStr">
        <is>
          <t>SLE</t>
        </is>
      </c>
      <c r="C4443" t="inlineStr">
        <is>
          <t>President</t>
        </is>
      </c>
      <c r="D4443" t="inlineStr">
        <is>
          <t>Président</t>
        </is>
      </c>
      <c r="E4443" t="inlineStr">
        <is>
          <t>Francis McGuire</t>
        </is>
      </c>
      <c r="F4443" t="inlineStr">
        <is>
          <t>For various meetings and discussions with Agency officials, provincial government officials and key stakeholders</t>
        </is>
      </c>
      <c r="G4443" t="inlineStr">
        <is>
          <t>Diverses réunions et discussions avec des fonctionnaires de l'Agence et du gouvernement provincial et des intervenants clés</t>
        </is>
      </c>
      <c r="H4443" s="1" t="n">
        <v>42961</v>
      </c>
      <c r="I4443" s="1" t="n">
        <v>42963</v>
      </c>
      <c r="J4443" t="inlineStr">
        <is>
          <t>Fox Harbour, Nova Scotia, and Halifax, Nova Scotia</t>
        </is>
      </c>
      <c r="K4443" t="inlineStr">
        <is>
          <t>Fox Harbour et Halifax (Nouvelle-Écosse)</t>
        </is>
      </c>
      <c r="P4443" t="n">
        <v>0</v>
      </c>
      <c r="Q4443" t="n">
        <v>0</v>
      </c>
      <c r="R4443" t="n">
        <v>466.86</v>
      </c>
      <c r="S4443" t="n">
        <v>232.25</v>
      </c>
      <c r="T4443" t="n">
        <v>657.01</v>
      </c>
      <c r="U4443" t="n">
        <v>1356.12</v>
      </c>
      <c r="X4443" t="inlineStr">
        <is>
          <t>acoa-apeca</t>
        </is>
      </c>
      <c r="Y4443" t="inlineStr">
        <is>
          <t>Atlantic Canada Opportunities Agency | Agence de promotion économique du Canada atlantique</t>
        </is>
      </c>
      <c r="Z4443" t="n">
        <v>3</v>
      </c>
      <c r="AA4443" t="n">
        <v>1356.12</v>
      </c>
      <c r="AB4443">
        <f>ROUND(U4443-AA4443,2)</f>
        <v/>
      </c>
      <c r="AC4443" t="b">
        <v>0</v>
      </c>
      <c r="AD4443">
        <f>IF(U4443="","MISSING_TOTAL",IF(ABS(AB4443)&lt;=0.01,"OK","CHECK"))</f>
        <v/>
      </c>
      <c r="AE4443">
        <f>IF(U4443="","MISSING",IF(AND(AA4443&gt;0,U4443/AA4443&gt;50),"POSSIBLE_SCALE_ERROR","OK"))</f>
        <v/>
      </c>
    </row>
    <row r="4444">
      <c r="A4444" t="inlineStr">
        <is>
          <t>T-2018-Q1-00055</t>
        </is>
      </c>
      <c r="B4444" t="inlineStr">
        <is>
          <t>SLE</t>
        </is>
      </c>
      <c r="C4444" t="inlineStr">
        <is>
          <t>Vice-President, Prince Edward Island</t>
        </is>
      </c>
      <c r="D4444" t="inlineStr">
        <is>
          <t>Vice-président, Île-du-Prince-Édouard</t>
        </is>
      </c>
      <c r="E4444" t="inlineStr">
        <is>
          <t>Patrick Dorsey</t>
        </is>
      </c>
      <c r="F4444" t="inlineStr">
        <is>
          <t>Executive Committee meeting</t>
        </is>
      </c>
      <c r="G4444" t="inlineStr">
        <is>
          <t>Réunion du Comité de direction</t>
        </is>
      </c>
      <c r="H4444" s="1" t="n">
        <v>42992</v>
      </c>
      <c r="I4444" s="1" t="n">
        <v>42992</v>
      </c>
      <c r="J4444" t="inlineStr">
        <is>
          <t>Moncton, New Brunswick</t>
        </is>
      </c>
      <c r="K4444" t="inlineStr">
        <is>
          <t>Moncton (Nouveau-Brunswick)</t>
        </is>
      </c>
      <c r="P4444" t="n">
        <v>0</v>
      </c>
      <c r="Q4444" t="n">
        <v>61</v>
      </c>
      <c r="R4444" t="n">
        <v>0</v>
      </c>
      <c r="S4444" t="n">
        <v>17.15</v>
      </c>
      <c r="T4444" t="n">
        <v>0</v>
      </c>
      <c r="U4444" t="n">
        <v>78.15000000000001</v>
      </c>
      <c r="X4444" t="inlineStr">
        <is>
          <t>acoa-apeca</t>
        </is>
      </c>
      <c r="Y4444" t="inlineStr">
        <is>
          <t>Atlantic Canada Opportunities Agency | Agence de promotion économique du Canada atlantique</t>
        </is>
      </c>
      <c r="Z4444" t="n">
        <v>1</v>
      </c>
      <c r="AA4444" t="n">
        <v>78.15000000000001</v>
      </c>
      <c r="AB4444">
        <f>ROUND(U4444-AA4444,2)</f>
        <v/>
      </c>
      <c r="AC4444" t="b">
        <v>0</v>
      </c>
      <c r="AD4444">
        <f>IF(U4444="","MISSING_TOTAL",IF(ABS(AB4444)&lt;=0.01,"OK","CHECK"))</f>
        <v/>
      </c>
      <c r="AE4444">
        <f>IF(U4444="","MISSING",IF(AND(AA4444&gt;0,U4444/AA4444&gt;50),"POSSIBLE_SCALE_ERROR","OK"))</f>
        <v/>
      </c>
    </row>
    <row r="4445">
      <c r="A4445" t="inlineStr">
        <is>
          <t>T-2018-Q4-00042</t>
        </is>
      </c>
      <c r="B4445" t="inlineStr">
        <is>
          <t>SLE</t>
        </is>
      </c>
      <c r="C4445" t="inlineStr">
        <is>
          <t>Vice-President, New Brunswick</t>
        </is>
      </c>
      <c r="D4445" t="inlineStr">
        <is>
          <t>Vice-président, Nouveau-Brunswick</t>
        </is>
      </c>
      <c r="E4445" t="inlineStr">
        <is>
          <t>Kent Estabrooks</t>
        </is>
      </c>
      <c r="F4445" t="inlineStr">
        <is>
          <t>Champion file meeting</t>
        </is>
      </c>
      <c r="G4445" t="inlineStr">
        <is>
          <t>Réunion sur un dossier de champion</t>
        </is>
      </c>
      <c r="H4445" s="1" t="n">
        <v>43089</v>
      </c>
      <c r="I4445" s="1" t="n">
        <v>43090</v>
      </c>
      <c r="J4445" t="inlineStr">
        <is>
          <t>Moncton, New Brunswick</t>
        </is>
      </c>
      <c r="K4445" t="inlineStr">
        <is>
          <t>Moncton (Nouveau-Brunswick)</t>
        </is>
      </c>
      <c r="P4445" t="n">
        <v>0</v>
      </c>
      <c r="Q4445" t="n">
        <v>0</v>
      </c>
      <c r="R4445" t="n">
        <v>125.35</v>
      </c>
      <c r="S4445" t="n">
        <v>129.3</v>
      </c>
      <c r="T4445" t="n">
        <v>16.1</v>
      </c>
      <c r="U4445" t="n">
        <v>270.75</v>
      </c>
      <c r="X4445" t="inlineStr">
        <is>
          <t>acoa-apeca</t>
        </is>
      </c>
      <c r="Y4445" t="inlineStr">
        <is>
          <t>Atlantic Canada Opportunities Agency | Agence de promotion économique du Canada atlantique</t>
        </is>
      </c>
      <c r="Z4445" t="n">
        <v>2</v>
      </c>
      <c r="AA4445" t="n">
        <v>270.75</v>
      </c>
      <c r="AB4445">
        <f>ROUND(U4445-AA4445,2)</f>
        <v/>
      </c>
      <c r="AC4445" t="b">
        <v>0</v>
      </c>
      <c r="AD4445">
        <f>IF(U4445="","MISSING_TOTAL",IF(ABS(AB4445)&lt;=0.01,"OK","CHECK"))</f>
        <v/>
      </c>
      <c r="AE4445">
        <f>IF(U4445="","MISSING",IF(AND(AA4445&gt;0,U4445/AA4445&gt;50),"POSSIBLE_SCALE_ERROR","OK"))</f>
        <v/>
      </c>
    </row>
    <row r="4446">
      <c r="A4446" t="inlineStr">
        <is>
          <t>T-2018-Q4-00041</t>
        </is>
      </c>
      <c r="B4446" t="inlineStr">
        <is>
          <t>SLE</t>
        </is>
      </c>
      <c r="C4446" t="inlineStr">
        <is>
          <t>Vice-President, New Brunswick</t>
        </is>
      </c>
      <c r="D4446" t="inlineStr">
        <is>
          <t>Vice-président, Nouveau-Brunswick</t>
        </is>
      </c>
      <c r="E4446" t="inlineStr">
        <is>
          <t>Kent Estabrooks</t>
        </is>
      </c>
      <c r="F4446" t="inlineStr">
        <is>
          <t>Various meetings with Agency officials</t>
        </is>
      </c>
      <c r="G4446" t="inlineStr">
        <is>
          <t>Diverses réunions avec des fonctionnaires de l'Agence</t>
        </is>
      </c>
      <c r="H4446" s="1" t="n">
        <v>43075</v>
      </c>
      <c r="I4446" s="1" t="n">
        <v>43076</v>
      </c>
      <c r="J4446" t="inlineStr">
        <is>
          <t>Moncton, New Brunswick</t>
        </is>
      </c>
      <c r="K4446" t="inlineStr">
        <is>
          <t>Moncton (Nouveau-Brunswick)</t>
        </is>
      </c>
      <c r="P4446" t="n">
        <v>0</v>
      </c>
      <c r="Q4446" t="n">
        <v>0</v>
      </c>
      <c r="R4446" t="n">
        <v>141.45</v>
      </c>
      <c r="S4446" t="n">
        <v>129.3</v>
      </c>
      <c r="T4446" t="n">
        <v>0</v>
      </c>
      <c r="U4446" t="n">
        <v>270.75</v>
      </c>
      <c r="X4446" t="inlineStr">
        <is>
          <t>acoa-apeca</t>
        </is>
      </c>
      <c r="Y4446" t="inlineStr">
        <is>
          <t>Atlantic Canada Opportunities Agency | Agence de promotion économique du Canada atlantique</t>
        </is>
      </c>
      <c r="Z4446" t="n">
        <v>2</v>
      </c>
      <c r="AA4446" t="n">
        <v>270.75</v>
      </c>
      <c r="AB4446">
        <f>ROUND(U4446-AA4446,2)</f>
        <v/>
      </c>
      <c r="AC4446" t="b">
        <v>0</v>
      </c>
      <c r="AD4446">
        <f>IF(U4446="","MISSING_TOTAL",IF(ABS(AB4446)&lt;=0.01,"OK","CHECK"))</f>
        <v/>
      </c>
      <c r="AE4446">
        <f>IF(U4446="","MISSING",IF(AND(AA4446&gt;0,U4446/AA4446&gt;50),"POSSIBLE_SCALE_ERROR","OK"))</f>
        <v/>
      </c>
    </row>
    <row r="4447">
      <c r="A4447" t="inlineStr">
        <is>
          <t>T-2018-Q4-00040</t>
        </is>
      </c>
      <c r="B4447" t="inlineStr">
        <is>
          <t>SLE</t>
        </is>
      </c>
      <c r="C4447" t="inlineStr">
        <is>
          <t>Vice-President, Nova Scotia</t>
        </is>
      </c>
      <c r="D4447" t="inlineStr">
        <is>
          <t>Vice-président, Nouvelle-Écosse</t>
        </is>
      </c>
      <c r="E4447" t="inlineStr">
        <is>
          <t>Chuck Maillet</t>
        </is>
      </c>
      <c r="F4447" t="inlineStr">
        <is>
          <t>Assistant deputy minister orientation and meeting with Government of Canada officials</t>
        </is>
      </c>
      <c r="G4447" t="inlineStr">
        <is>
          <t>Séance d'orientation pour les sous-ministres et réunion avec des fonctionnaires du gouvernement du Canada</t>
        </is>
      </c>
      <c r="H4447" s="1" t="n">
        <v>43136</v>
      </c>
      <c r="I4447" s="1" t="n">
        <v>43137</v>
      </c>
      <c r="J4447" t="inlineStr">
        <is>
          <t>Ottawa, Ontario</t>
        </is>
      </c>
      <c r="K4447" t="inlineStr">
        <is>
          <t>Ottawa (Ontario)</t>
        </is>
      </c>
      <c r="P4447" t="n">
        <v>1101.53</v>
      </c>
      <c r="Q4447" t="n">
        <v>141.63</v>
      </c>
      <c r="R4447" t="n">
        <v>366.66</v>
      </c>
      <c r="S4447" t="n">
        <v>184.8</v>
      </c>
      <c r="T4447" t="n">
        <v>0</v>
      </c>
      <c r="U4447" t="n">
        <v>1794.62</v>
      </c>
      <c r="X4447" t="inlineStr">
        <is>
          <t>acoa-apeca</t>
        </is>
      </c>
      <c r="Y4447" t="inlineStr">
        <is>
          <t>Atlantic Canada Opportunities Agency | Agence de promotion économique du Canada atlantique</t>
        </is>
      </c>
      <c r="Z4447" t="n">
        <v>2</v>
      </c>
      <c r="AA4447" t="n">
        <v>1794.62</v>
      </c>
      <c r="AB4447">
        <f>ROUND(U4447-AA4447,2)</f>
        <v/>
      </c>
      <c r="AC4447" t="b">
        <v>0</v>
      </c>
      <c r="AD4447">
        <f>IF(U4447="","MISSING_TOTAL",IF(ABS(AB4447)&lt;=0.01,"OK","CHECK"))</f>
        <v/>
      </c>
      <c r="AE4447">
        <f>IF(U4447="","MISSING",IF(AND(AA4447&gt;0,U4447/AA4447&gt;50),"POSSIBLE_SCALE_ERROR","OK"))</f>
        <v/>
      </c>
    </row>
    <row r="4448">
      <c r="A4448" t="inlineStr">
        <is>
          <t>T-2018-Q4-00039</t>
        </is>
      </c>
      <c r="B4448" t="inlineStr">
        <is>
          <t>SLE</t>
        </is>
      </c>
      <c r="C4448" t="inlineStr">
        <is>
          <t>Vice-President, Nova Scotia</t>
        </is>
      </c>
      <c r="D4448" t="inlineStr">
        <is>
          <t>Vice-président, Nouvelle-Écosse</t>
        </is>
      </c>
      <c r="E4448" t="inlineStr">
        <is>
          <t>Chuck Maillet</t>
        </is>
      </c>
      <c r="F4448" t="inlineStr">
        <is>
          <t>Various meetings with Government of Canada and Agency officials, and private sector representatives</t>
        </is>
      </c>
      <c r="G4448" t="inlineStr">
        <is>
          <t>Diverses réunions avec des fonctionnaires du gouvernement du Canada et de l'Agence, ainsi que des représentants du secteur privé</t>
        </is>
      </c>
      <c r="H4448" s="1" t="n">
        <v>43129</v>
      </c>
      <c r="I4448" s="1" t="n">
        <v>43133</v>
      </c>
      <c r="J4448" t="inlineStr">
        <is>
          <t>Toronto, Waterloo and Hamilton, Ontario</t>
        </is>
      </c>
      <c r="K4448" t="inlineStr">
        <is>
          <t>Toronto, Waterloo et Hamilton (Ontario)</t>
        </is>
      </c>
      <c r="P4448" t="n">
        <v>1264.17</v>
      </c>
      <c r="Q4448" t="n">
        <v>98.93000000000001</v>
      </c>
      <c r="R4448" t="n">
        <v>754.53</v>
      </c>
      <c r="S4448" t="n">
        <v>418.35</v>
      </c>
      <c r="T4448" t="n">
        <v>0</v>
      </c>
      <c r="U4448" t="n">
        <v>2535.98</v>
      </c>
      <c r="X4448" t="inlineStr">
        <is>
          <t>acoa-apeca</t>
        </is>
      </c>
      <c r="Y4448" t="inlineStr">
        <is>
          <t>Atlantic Canada Opportunities Agency | Agence de promotion économique du Canada atlantique</t>
        </is>
      </c>
      <c r="Z4448" t="n">
        <v>5</v>
      </c>
      <c r="AA4448" t="n">
        <v>2535.98</v>
      </c>
      <c r="AB4448">
        <f>ROUND(U4448-AA4448,2)</f>
        <v/>
      </c>
      <c r="AC4448" t="b">
        <v>0</v>
      </c>
      <c r="AD4448">
        <f>IF(U4448="","MISSING_TOTAL",IF(ABS(AB4448)&lt;=0.01,"OK","CHECK"))</f>
        <v/>
      </c>
      <c r="AE4448">
        <f>IF(U4448="","MISSING",IF(AND(AA4448&gt;0,U4448/AA4448&gt;50),"POSSIBLE_SCALE_ERROR","OK"))</f>
        <v/>
      </c>
    </row>
    <row r="4449">
      <c r="A4449" t="inlineStr">
        <is>
          <t>T-2018-Q4-00038</t>
        </is>
      </c>
      <c r="B4449" t="inlineStr">
        <is>
          <t>SLE</t>
        </is>
      </c>
      <c r="C4449" t="inlineStr">
        <is>
          <t>Vice-President, Nova Scotia</t>
        </is>
      </c>
      <c r="D4449" t="inlineStr">
        <is>
          <t>Vice-président, Nouvelle-Écosse</t>
        </is>
      </c>
      <c r="E4449" t="inlineStr">
        <is>
          <t>Chuck Maillet</t>
        </is>
      </c>
      <c r="F4449" t="inlineStr">
        <is>
          <t>Various meetings with Agency officials and stakeholders</t>
        </is>
      </c>
      <c r="G4449" t="inlineStr">
        <is>
          <t>Diverses réunions avec des fonctionnaires de l'Agence et des intervenants</t>
        </is>
      </c>
      <c r="H4449" s="1" t="n">
        <v>43089</v>
      </c>
      <c r="I4449" s="1" t="n">
        <v>43090</v>
      </c>
      <c r="J4449" t="inlineStr">
        <is>
          <t>Sydney, Nova Scotia</t>
        </is>
      </c>
      <c r="K4449" t="inlineStr">
        <is>
          <t>Sydney (Nouvelle-Écosse)</t>
        </is>
      </c>
      <c r="P4449" t="n">
        <v>540.42</v>
      </c>
      <c r="Q4449" t="n">
        <v>0</v>
      </c>
      <c r="R4449" t="n">
        <v>123.17</v>
      </c>
      <c r="S4449" t="n">
        <v>138.85</v>
      </c>
      <c r="T4449" t="n">
        <v>0</v>
      </c>
      <c r="U4449" t="n">
        <v>802.4400000000001</v>
      </c>
      <c r="X4449" t="inlineStr">
        <is>
          <t>acoa-apeca</t>
        </is>
      </c>
      <c r="Y4449" t="inlineStr">
        <is>
          <t>Atlantic Canada Opportunities Agency | Agence de promotion économique du Canada atlantique</t>
        </is>
      </c>
      <c r="Z4449" t="n">
        <v>2</v>
      </c>
      <c r="AA4449" t="n">
        <v>802.439999999999</v>
      </c>
      <c r="AB4449">
        <f>ROUND(U4449-AA4449,2)</f>
        <v/>
      </c>
      <c r="AC4449" t="b">
        <v>0</v>
      </c>
      <c r="AD4449">
        <f>IF(U4449="","MISSING_TOTAL",IF(ABS(AB4449)&lt;=0.01,"OK","CHECK"))</f>
        <v/>
      </c>
      <c r="AE4449">
        <f>IF(U4449="","MISSING",IF(AND(AA4449&gt;0,U4449/AA4449&gt;50),"POSSIBLE_SCALE_ERROR","OK"))</f>
        <v/>
      </c>
    </row>
    <row r="4450">
      <c r="A4450" t="inlineStr">
        <is>
          <t>T-2018-Q4-00037</t>
        </is>
      </c>
      <c r="B4450" t="inlineStr">
        <is>
          <t>SLE</t>
        </is>
      </c>
      <c r="C4450" t="inlineStr">
        <is>
          <t>Vice-President, Nova Scotia</t>
        </is>
      </c>
      <c r="D4450" t="inlineStr">
        <is>
          <t>Vice-président, Nouvelle-Écosse</t>
        </is>
      </c>
      <c r="E4450" t="inlineStr">
        <is>
          <t>Chuck Maillet</t>
        </is>
      </c>
      <c r="F4450" t="inlineStr">
        <is>
          <t>Meetings with senior Agency officials</t>
        </is>
      </c>
      <c r="G4450" t="inlineStr">
        <is>
          <t>Réunions avec des hauts fonctionnaires de l'Agence</t>
        </is>
      </c>
      <c r="H4450" s="1" t="n">
        <v>43075</v>
      </c>
      <c r="I4450" s="1" t="n">
        <v>43076</v>
      </c>
      <c r="J4450" t="inlineStr">
        <is>
          <t>Moncton, New Brunswick</t>
        </is>
      </c>
      <c r="K4450" t="inlineStr">
        <is>
          <t>Moncton (Nouveau-Brunswick)</t>
        </is>
      </c>
      <c r="P4450" t="n">
        <v>0</v>
      </c>
      <c r="Q4450" t="n">
        <v>16.1</v>
      </c>
      <c r="R4450" t="n">
        <v>125.35</v>
      </c>
      <c r="S4450" t="n">
        <v>101.05</v>
      </c>
      <c r="T4450" t="n">
        <v>0</v>
      </c>
      <c r="U4450" t="n">
        <v>242.5</v>
      </c>
      <c r="X4450" t="inlineStr">
        <is>
          <t>acoa-apeca</t>
        </is>
      </c>
      <c r="Y4450" t="inlineStr">
        <is>
          <t>Atlantic Canada Opportunities Agency | Agence de promotion économique du Canada atlantique</t>
        </is>
      </c>
      <c r="Z4450" t="n">
        <v>2</v>
      </c>
      <c r="AA4450" t="n">
        <v>242.5</v>
      </c>
      <c r="AB4450">
        <f>ROUND(U4450-AA4450,2)</f>
        <v/>
      </c>
      <c r="AC4450" t="b">
        <v>0</v>
      </c>
      <c r="AD4450">
        <f>IF(U4450="","MISSING_TOTAL",IF(ABS(AB4450)&lt;=0.01,"OK","CHECK"))</f>
        <v/>
      </c>
      <c r="AE4450">
        <f>IF(U4450="","MISSING",IF(AND(AA4450&gt;0,U4450/AA4450&gt;50),"POSSIBLE_SCALE_ERROR","OK"))</f>
        <v/>
      </c>
    </row>
    <row r="4451">
      <c r="A4451" t="inlineStr">
        <is>
          <t>T-2018-Q4-00036</t>
        </is>
      </c>
      <c r="B4451" t="inlineStr">
        <is>
          <t>SLE</t>
        </is>
      </c>
      <c r="C4451" t="inlineStr">
        <is>
          <t>Vice-President, New Brunswick</t>
        </is>
      </c>
      <c r="D4451" t="inlineStr">
        <is>
          <t>Vice-président, Nouveau-Brunswick</t>
        </is>
      </c>
      <c r="E4451" t="inlineStr">
        <is>
          <t>Kent Estabrooks</t>
        </is>
      </c>
      <c r="F4451" t="inlineStr">
        <is>
          <t>Meetings with union officials and interviews</t>
        </is>
      </c>
      <c r="G4451" t="inlineStr">
        <is>
          <t>Réunions avec des représentants syndicaux et entrevues</t>
        </is>
      </c>
      <c r="H4451" s="1" t="n">
        <v>43080</v>
      </c>
      <c r="I4451" s="1" t="n">
        <v>43081</v>
      </c>
      <c r="J4451" t="inlineStr">
        <is>
          <t>Moncton, New Brunswick</t>
        </is>
      </c>
      <c r="K4451" t="inlineStr">
        <is>
          <t>Moncton (Nouveau-Brunswick)</t>
        </is>
      </c>
      <c r="P4451" t="n">
        <v>0</v>
      </c>
      <c r="Q4451" t="n">
        <v>0</v>
      </c>
      <c r="R4451" t="n">
        <v>125.35</v>
      </c>
      <c r="S4451" t="n">
        <v>119.75</v>
      </c>
      <c r="T4451" t="n">
        <v>16.1</v>
      </c>
      <c r="U4451" t="n">
        <v>261.2</v>
      </c>
      <c r="X4451" t="inlineStr">
        <is>
          <t>acoa-apeca</t>
        </is>
      </c>
      <c r="Y4451" t="inlineStr">
        <is>
          <t>Atlantic Canada Opportunities Agency | Agence de promotion économique du Canada atlantique</t>
        </is>
      </c>
      <c r="Z4451" t="n">
        <v>2</v>
      </c>
      <c r="AA4451" t="n">
        <v>261.2</v>
      </c>
      <c r="AB4451">
        <f>ROUND(U4451-AA4451,2)</f>
        <v/>
      </c>
      <c r="AC4451" t="b">
        <v>0</v>
      </c>
      <c r="AD4451">
        <f>IF(U4451="","MISSING_TOTAL",IF(ABS(AB4451)&lt;=0.01,"OK","CHECK"))</f>
        <v/>
      </c>
      <c r="AE4451">
        <f>IF(U4451="","MISSING",IF(AND(AA4451&gt;0,U4451/AA4451&gt;50),"POSSIBLE_SCALE_ERROR","OK"))</f>
        <v/>
      </c>
    </row>
    <row r="4452">
      <c r="A4452" t="inlineStr">
        <is>
          <t>T-2018-Q4-00035</t>
        </is>
      </c>
      <c r="B4452" t="inlineStr">
        <is>
          <t>SLE</t>
        </is>
      </c>
      <c r="C4452" t="inlineStr">
        <is>
          <t>Vice-President, New Brunswick</t>
        </is>
      </c>
      <c r="D4452" t="inlineStr">
        <is>
          <t>Vice-président, Nouveau-Brunswick</t>
        </is>
      </c>
      <c r="E4452" t="inlineStr">
        <is>
          <t>Kent Estabrooks</t>
        </is>
      </c>
      <c r="F4452" t="inlineStr">
        <is>
          <t>Mentorship initiative meeting</t>
        </is>
      </c>
      <c r="G4452" t="inlineStr">
        <is>
          <t>Réunion dans le cadre d'une initiative de mentorat</t>
        </is>
      </c>
      <c r="H4452" s="1" t="n">
        <v>43084</v>
      </c>
      <c r="I4452" s="1" t="n">
        <v>43084</v>
      </c>
      <c r="J4452" t="inlineStr">
        <is>
          <t>Moncton, New Brunswick</t>
        </is>
      </c>
      <c r="K4452" t="inlineStr">
        <is>
          <t>Moncton (Nouveau-Brunswick)</t>
        </is>
      </c>
      <c r="P4452" t="n">
        <v>0</v>
      </c>
      <c r="Q4452" t="n">
        <v>7.21</v>
      </c>
      <c r="R4452" t="n">
        <v>0</v>
      </c>
      <c r="S4452" t="n">
        <v>18.9</v>
      </c>
      <c r="T4452" t="n">
        <v>18.5</v>
      </c>
      <c r="U4452" t="n">
        <v>44.61</v>
      </c>
      <c r="X4452" t="inlineStr">
        <is>
          <t>acoa-apeca</t>
        </is>
      </c>
      <c r="Y4452" t="inlineStr">
        <is>
          <t>Atlantic Canada Opportunities Agency | Agence de promotion économique du Canada atlantique</t>
        </is>
      </c>
      <c r="Z4452" t="n">
        <v>1</v>
      </c>
      <c r="AA4452" t="n">
        <v>44.61</v>
      </c>
      <c r="AB4452">
        <f>ROUND(U4452-AA4452,2)</f>
        <v/>
      </c>
      <c r="AC4452" t="b">
        <v>0</v>
      </c>
      <c r="AD4452">
        <f>IF(U4452="","MISSING_TOTAL",IF(ABS(AB4452)&lt;=0.01,"OK","CHECK"))</f>
        <v/>
      </c>
      <c r="AE4452">
        <f>IF(U4452="","MISSING",IF(AND(AA4452&gt;0,U4452/AA4452&gt;50),"POSSIBLE_SCALE_ERROR","OK"))</f>
        <v/>
      </c>
    </row>
    <row r="4453">
      <c r="A4453" t="inlineStr">
        <is>
          <t>T-2018-Q4-00034</t>
        </is>
      </c>
      <c r="B4453" t="inlineStr">
        <is>
          <t>SLE</t>
        </is>
      </c>
      <c r="C4453" t="inlineStr">
        <is>
          <t>Vice-President, New Brunswick</t>
        </is>
      </c>
      <c r="D4453" t="inlineStr">
        <is>
          <t>Vice-président, Nouveau-Brunswick</t>
        </is>
      </c>
      <c r="E4453" t="inlineStr">
        <is>
          <t>Kent Estabrooks</t>
        </is>
      </c>
      <c r="F4453" t="inlineStr">
        <is>
          <t>Meetings with various federal officials</t>
        </is>
      </c>
      <c r="G4453" t="inlineStr">
        <is>
          <t>Réunions avec divers fonctionnaires fédéraux</t>
        </is>
      </c>
      <c r="H4453" s="1" t="n">
        <v>43116</v>
      </c>
      <c r="I4453" s="1" t="n">
        <v>43118</v>
      </c>
      <c r="J4453" t="inlineStr">
        <is>
          <t>Ottawa, Ontario</t>
        </is>
      </c>
      <c r="K4453" t="inlineStr">
        <is>
          <t>Ottawa (Ontario)</t>
        </is>
      </c>
      <c r="P4453" t="n">
        <v>692.3</v>
      </c>
      <c r="Q4453" t="n">
        <v>171.96</v>
      </c>
      <c r="R4453" t="n">
        <v>411.32</v>
      </c>
      <c r="S4453" t="n">
        <v>267.95</v>
      </c>
      <c r="T4453" t="n">
        <v>17.25</v>
      </c>
      <c r="U4453" t="n">
        <v>1560.78</v>
      </c>
      <c r="X4453" t="inlineStr">
        <is>
          <t>acoa-apeca</t>
        </is>
      </c>
      <c r="Y4453" t="inlineStr">
        <is>
          <t>Atlantic Canada Opportunities Agency | Agence de promotion économique du Canada atlantique</t>
        </is>
      </c>
      <c r="Z4453" t="n">
        <v>3</v>
      </c>
      <c r="AA4453" t="n">
        <v>1560.78</v>
      </c>
      <c r="AB4453">
        <f>ROUND(U4453-AA4453,2)</f>
        <v/>
      </c>
      <c r="AC4453" t="b">
        <v>0</v>
      </c>
      <c r="AD4453">
        <f>IF(U4453="","MISSING_TOTAL",IF(ABS(AB4453)&lt;=0.01,"OK","CHECK"))</f>
        <v/>
      </c>
      <c r="AE4453">
        <f>IF(U4453="","MISSING",IF(AND(AA4453&gt;0,U4453/AA4453&gt;50),"POSSIBLE_SCALE_ERROR","OK"))</f>
        <v/>
      </c>
    </row>
    <row r="4454">
      <c r="A4454" t="inlineStr">
        <is>
          <t>T-2018-Q4-00033</t>
        </is>
      </c>
      <c r="B4454" t="inlineStr">
        <is>
          <t>SLE</t>
        </is>
      </c>
      <c r="C4454" t="inlineStr">
        <is>
          <t>Vice-President, New Brunswick</t>
        </is>
      </c>
      <c r="D4454" t="inlineStr">
        <is>
          <t>Vice-président, Nouveau-Brunswick</t>
        </is>
      </c>
      <c r="E4454" t="inlineStr">
        <is>
          <t>Kent Estabrooks</t>
        </is>
      </c>
      <c r="F4454" t="inlineStr">
        <is>
          <t>Various meetings with Agency officials</t>
        </is>
      </c>
      <c r="G4454" t="inlineStr">
        <is>
          <t>Diverses réunions avec des fonctionnaires de l'Agence</t>
        </is>
      </c>
      <c r="H4454" s="1" t="n">
        <v>43123</v>
      </c>
      <c r="I4454" s="1" t="n">
        <v>43124</v>
      </c>
      <c r="J4454" t="inlineStr">
        <is>
          <t>Moncton, New Brunswick</t>
        </is>
      </c>
      <c r="K4454" t="inlineStr">
        <is>
          <t>Moncton (Nouveau-Brunswick)</t>
        </is>
      </c>
      <c r="P4454" t="n">
        <v>0</v>
      </c>
      <c r="Q4454" t="n">
        <v>0</v>
      </c>
      <c r="R4454" t="n">
        <v>165.6</v>
      </c>
      <c r="S4454" t="n">
        <v>119.75</v>
      </c>
      <c r="T4454" t="n">
        <v>0</v>
      </c>
      <c r="U4454" t="n">
        <v>285.35</v>
      </c>
      <c r="X4454" t="inlineStr">
        <is>
          <t>acoa-apeca</t>
        </is>
      </c>
      <c r="Y4454" t="inlineStr">
        <is>
          <t>Atlantic Canada Opportunities Agency | Agence de promotion économique du Canada atlantique</t>
        </is>
      </c>
      <c r="Z4454" t="n">
        <v>2</v>
      </c>
      <c r="AA4454" t="n">
        <v>285.35</v>
      </c>
      <c r="AB4454">
        <f>ROUND(U4454-AA4454,2)</f>
        <v/>
      </c>
      <c r="AC4454" t="b">
        <v>0</v>
      </c>
      <c r="AD4454">
        <f>IF(U4454="","MISSING_TOTAL",IF(ABS(AB4454)&lt;=0.01,"OK","CHECK"))</f>
        <v/>
      </c>
      <c r="AE4454">
        <f>IF(U4454="","MISSING",IF(AND(AA4454&gt;0,U4454/AA4454&gt;50),"POSSIBLE_SCALE_ERROR","OK"))</f>
        <v/>
      </c>
    </row>
    <row r="4455">
      <c r="A4455" t="inlineStr">
        <is>
          <t>T-2018-Q4-00032</t>
        </is>
      </c>
      <c r="B4455" t="inlineStr">
        <is>
          <t>SLE</t>
        </is>
      </c>
      <c r="C4455" t="inlineStr">
        <is>
          <t>Vice-President, New Brunswick</t>
        </is>
      </c>
      <c r="D4455" t="inlineStr">
        <is>
          <t>Vice-président, Nouveau-Brunswick</t>
        </is>
      </c>
      <c r="E4455" t="inlineStr">
        <is>
          <t>Kent Estabrooks</t>
        </is>
      </c>
      <c r="F4455" t="inlineStr">
        <is>
          <t>Meeting with a client</t>
        </is>
      </c>
      <c r="G4455" t="inlineStr">
        <is>
          <t>Réunion avec un client</t>
        </is>
      </c>
      <c r="H4455" s="1" t="n">
        <v>43129</v>
      </c>
      <c r="I4455" s="1" t="n">
        <v>43129</v>
      </c>
      <c r="J4455" t="inlineStr">
        <is>
          <t>Woodstock, New Brunswick</t>
        </is>
      </c>
      <c r="K4455" t="inlineStr">
        <is>
          <t>Woodstock (Nouveau-Brunswick)</t>
        </is>
      </c>
      <c r="P4455" t="n">
        <v>0</v>
      </c>
      <c r="Q4455" t="n">
        <v>0</v>
      </c>
      <c r="R4455" t="n">
        <v>0</v>
      </c>
      <c r="S4455" t="n">
        <v>18.9</v>
      </c>
      <c r="T4455" t="n">
        <v>0</v>
      </c>
      <c r="U4455" t="n">
        <v>18.9</v>
      </c>
      <c r="X4455" t="inlineStr">
        <is>
          <t>acoa-apeca</t>
        </is>
      </c>
      <c r="Y4455" t="inlineStr">
        <is>
          <t>Atlantic Canada Opportunities Agency | Agence de promotion économique du Canada atlantique</t>
        </is>
      </c>
      <c r="Z4455" t="n">
        <v>1</v>
      </c>
      <c r="AA4455" t="n">
        <v>18.9</v>
      </c>
      <c r="AB4455">
        <f>ROUND(U4455-AA4455,2)</f>
        <v/>
      </c>
      <c r="AC4455" t="b">
        <v>0</v>
      </c>
      <c r="AD4455">
        <f>IF(U4455="","MISSING_TOTAL",IF(ABS(AB4455)&lt;=0.01,"OK","CHECK"))</f>
        <v/>
      </c>
      <c r="AE4455">
        <f>IF(U4455="","MISSING",IF(AND(AA4455&gt;0,U4455/AA4455&gt;50),"POSSIBLE_SCALE_ERROR","OK"))</f>
        <v/>
      </c>
    </row>
    <row r="4456">
      <c r="A4456" t="inlineStr">
        <is>
          <t>T-2018-Q4-00031</t>
        </is>
      </c>
      <c r="B4456" t="inlineStr">
        <is>
          <t>SLE</t>
        </is>
      </c>
      <c r="C4456" t="inlineStr">
        <is>
          <t>Vice-President, New Brunswick</t>
        </is>
      </c>
      <c r="D4456" t="inlineStr">
        <is>
          <t>Vice-président, Nouveau-Brunswick</t>
        </is>
      </c>
      <c r="E4456" t="inlineStr">
        <is>
          <t>Kent Estabrooks</t>
        </is>
      </c>
      <c r="F4456" t="inlineStr">
        <is>
          <t>Agency Executive Committee meeting and various meetings with federal officials</t>
        </is>
      </c>
      <c r="G4456" t="inlineStr">
        <is>
          <t>Réunion du Comité de direction de l'Agence et diverses réunions avec des fonctionnaires fédéraux</t>
        </is>
      </c>
      <c r="H4456" s="1" t="n">
        <v>43131</v>
      </c>
      <c r="I4456" s="1" t="n">
        <v>43133</v>
      </c>
      <c r="J4456" t="inlineStr">
        <is>
          <t>Hamilton, Ontario</t>
        </is>
      </c>
      <c r="K4456" t="inlineStr">
        <is>
          <t>Hamilton (Ontario)</t>
        </is>
      </c>
      <c r="P4456" t="n">
        <v>692.3</v>
      </c>
      <c r="Q4456" t="n">
        <v>197.23</v>
      </c>
      <c r="R4456" t="n">
        <v>315.69</v>
      </c>
      <c r="S4456" t="n">
        <v>212.85</v>
      </c>
      <c r="T4456" t="n">
        <v>0</v>
      </c>
      <c r="U4456" t="n">
        <v>1418.07</v>
      </c>
      <c r="X4456" t="inlineStr">
        <is>
          <t>acoa-apeca</t>
        </is>
      </c>
      <c r="Y4456" t="inlineStr">
        <is>
          <t>Atlantic Canada Opportunities Agency | Agence de promotion économique du Canada atlantique</t>
        </is>
      </c>
      <c r="Z4456" t="n">
        <v>3</v>
      </c>
      <c r="AA4456" t="n">
        <v>1418.07</v>
      </c>
      <c r="AB4456">
        <f>ROUND(U4456-AA4456,2)</f>
        <v/>
      </c>
      <c r="AC4456" t="b">
        <v>0</v>
      </c>
      <c r="AD4456">
        <f>IF(U4456="","MISSING_TOTAL",IF(ABS(AB4456)&lt;=0.01,"OK","CHECK"))</f>
        <v/>
      </c>
      <c r="AE4456">
        <f>IF(U4456="","MISSING",IF(AND(AA4456&gt;0,U4456/AA4456&gt;50),"POSSIBLE_SCALE_ERROR","OK"))</f>
        <v/>
      </c>
    </row>
    <row r="4457">
      <c r="A4457" t="inlineStr">
        <is>
          <t>T-2018-Q4-00030</t>
        </is>
      </c>
      <c r="B4457" t="inlineStr">
        <is>
          <t>SLE</t>
        </is>
      </c>
      <c r="C4457" t="inlineStr">
        <is>
          <t>Vice-President, New Brunswick</t>
        </is>
      </c>
      <c r="D4457" t="inlineStr">
        <is>
          <t>Vice-président, Nouveau-Brunswick</t>
        </is>
      </c>
      <c r="E4457" t="inlineStr">
        <is>
          <t>Kent Estabrooks</t>
        </is>
      </c>
      <c r="F4457" t="inlineStr">
        <is>
          <t>Meetings with various federal officials</t>
        </is>
      </c>
      <c r="G4457" t="inlineStr">
        <is>
          <t>Réunions avec divers fonctionnaires fédéraux</t>
        </is>
      </c>
      <c r="H4457" s="1" t="n">
        <v>43144</v>
      </c>
      <c r="I4457" s="1" t="n">
        <v>43145</v>
      </c>
      <c r="J4457" t="inlineStr">
        <is>
          <t>Ottawa, Ontario</t>
        </is>
      </c>
      <c r="K4457" t="inlineStr">
        <is>
          <t>Ottawa (Ontario)</t>
        </is>
      </c>
      <c r="P4457" t="n">
        <v>692.3</v>
      </c>
      <c r="Q4457" t="n">
        <v>127.1</v>
      </c>
      <c r="R4457" t="n">
        <v>205.66</v>
      </c>
      <c r="S4457" t="n">
        <v>167.1</v>
      </c>
      <c r="T4457" t="n">
        <v>0</v>
      </c>
      <c r="U4457" t="n">
        <v>1192.16</v>
      </c>
      <c r="X4457" t="inlineStr">
        <is>
          <t>acoa-apeca</t>
        </is>
      </c>
      <c r="Y4457" t="inlineStr">
        <is>
          <t>Atlantic Canada Opportunities Agency | Agence de promotion économique du Canada atlantique</t>
        </is>
      </c>
      <c r="Z4457" t="n">
        <v>2</v>
      </c>
      <c r="AA4457" t="n">
        <v>1192.15999999999</v>
      </c>
      <c r="AB4457">
        <f>ROUND(U4457-AA4457,2)</f>
        <v/>
      </c>
      <c r="AC4457" t="b">
        <v>0</v>
      </c>
      <c r="AD4457">
        <f>IF(U4457="","MISSING_TOTAL",IF(ABS(AB4457)&lt;=0.01,"OK","CHECK"))</f>
        <v/>
      </c>
      <c r="AE4457">
        <f>IF(U4457="","MISSING",IF(AND(AA4457&gt;0,U4457/AA4457&gt;50),"POSSIBLE_SCALE_ERROR","OK"))</f>
        <v/>
      </c>
    </row>
    <row r="4458">
      <c r="A4458" t="inlineStr">
        <is>
          <t>T-2018-Q4-00029</t>
        </is>
      </c>
      <c r="B4458" t="inlineStr">
        <is>
          <t>SLE</t>
        </is>
      </c>
      <c r="C4458" t="inlineStr">
        <is>
          <t>Vice-President, New Brunswick</t>
        </is>
      </c>
      <c r="D4458" t="inlineStr">
        <is>
          <t>Vice-président, Nouveau-Brunswick</t>
        </is>
      </c>
      <c r="E4458" t="inlineStr">
        <is>
          <t>Kent Estabrooks</t>
        </is>
      </c>
      <c r="F4458" t="inlineStr">
        <is>
          <t>Meeting with Agency officials</t>
        </is>
      </c>
      <c r="G4458" t="inlineStr">
        <is>
          <t>Réunion avec des fonctionnaires de l'Agence</t>
        </is>
      </c>
      <c r="H4458" s="1" t="n">
        <v>43146</v>
      </c>
      <c r="I4458" s="1" t="n">
        <v>43146</v>
      </c>
      <c r="J4458" t="inlineStr">
        <is>
          <t>Moncton, New Brunswick</t>
        </is>
      </c>
      <c r="K4458" t="inlineStr">
        <is>
          <t>Moncton (Nouveau-Brunswick)</t>
        </is>
      </c>
      <c r="P4458" t="n">
        <v>0</v>
      </c>
      <c r="Q4458" t="n">
        <v>0</v>
      </c>
      <c r="R4458" t="n">
        <v>0</v>
      </c>
      <c r="S4458" t="n">
        <v>18.9</v>
      </c>
      <c r="T4458" t="n">
        <v>9</v>
      </c>
      <c r="U4458" t="n">
        <v>27.9</v>
      </c>
      <c r="X4458" t="inlineStr">
        <is>
          <t>acoa-apeca</t>
        </is>
      </c>
      <c r="Y4458" t="inlineStr">
        <is>
          <t>Atlantic Canada Opportunities Agency | Agence de promotion économique du Canada atlantique</t>
        </is>
      </c>
      <c r="Z4458" t="n">
        <v>1</v>
      </c>
      <c r="AA4458" t="n">
        <v>27.9</v>
      </c>
      <c r="AB4458">
        <f>ROUND(U4458-AA4458,2)</f>
        <v/>
      </c>
      <c r="AC4458" t="b">
        <v>0</v>
      </c>
      <c r="AD4458">
        <f>IF(U4458="","MISSING_TOTAL",IF(ABS(AB4458)&lt;=0.01,"OK","CHECK"))</f>
        <v/>
      </c>
      <c r="AE4458">
        <f>IF(U4458="","MISSING",IF(AND(AA4458&gt;0,U4458/AA4458&gt;50),"POSSIBLE_SCALE_ERROR","OK"))</f>
        <v/>
      </c>
    </row>
    <row r="4459">
      <c r="A4459" t="inlineStr">
        <is>
          <t>T-2018-Q4-00025</t>
        </is>
      </c>
      <c r="B4459" t="inlineStr">
        <is>
          <t>SLE</t>
        </is>
      </c>
      <c r="C4459" t="inlineStr">
        <is>
          <t>Vice-President, Prince Edward Island</t>
        </is>
      </c>
      <c r="D4459" t="inlineStr">
        <is>
          <t>Vice-président, Île-du-Prince-Édouard</t>
        </is>
      </c>
      <c r="E4459" t="inlineStr">
        <is>
          <t>Patrick Dorsey</t>
        </is>
      </c>
      <c r="F4459" t="inlineStr">
        <is>
          <t>Various meetings with Government of Canada officials</t>
        </is>
      </c>
      <c r="G4459" t="inlineStr">
        <is>
          <t>Diverses réunions avec des fonctionnaires du gouvernement du Canada</t>
        </is>
      </c>
      <c r="H4459" s="1" t="n">
        <v>43143</v>
      </c>
      <c r="I4459" s="1" t="n">
        <v>43145</v>
      </c>
      <c r="J4459" t="inlineStr">
        <is>
          <t>Ottawa, Ontario</t>
        </is>
      </c>
      <c r="K4459" t="inlineStr">
        <is>
          <t>Ottawa (Ontario)</t>
        </is>
      </c>
      <c r="P4459" t="n">
        <v>635.78</v>
      </c>
      <c r="Q4459" t="n">
        <v>144.21</v>
      </c>
      <c r="R4459" t="n">
        <v>411.32</v>
      </c>
      <c r="S4459" t="n">
        <v>222.4</v>
      </c>
      <c r="T4459" t="n">
        <v>271.4</v>
      </c>
      <c r="U4459" t="n">
        <v>1685.11</v>
      </c>
      <c r="X4459" t="inlineStr">
        <is>
          <t>acoa-apeca</t>
        </is>
      </c>
      <c r="Y4459" t="inlineStr">
        <is>
          <t>Atlantic Canada Opportunities Agency | Agence de promotion économique du Canada atlantique</t>
        </is>
      </c>
      <c r="Z4459" t="n">
        <v>3</v>
      </c>
      <c r="AA4459" t="n">
        <v>1685.11</v>
      </c>
      <c r="AB4459">
        <f>ROUND(U4459-AA4459,2)</f>
        <v/>
      </c>
      <c r="AC4459" t="b">
        <v>0</v>
      </c>
      <c r="AD4459">
        <f>IF(U4459="","MISSING_TOTAL",IF(ABS(AB4459)&lt;=0.01,"OK","CHECK"))</f>
        <v/>
      </c>
      <c r="AE4459">
        <f>IF(U4459="","MISSING",IF(AND(AA4459&gt;0,U4459/AA4459&gt;50),"POSSIBLE_SCALE_ERROR","OK"))</f>
        <v/>
      </c>
    </row>
    <row r="4460">
      <c r="A4460" t="inlineStr">
        <is>
          <t>T-2018-Q4-00024</t>
        </is>
      </c>
      <c r="B4460" t="inlineStr">
        <is>
          <t>SLE</t>
        </is>
      </c>
      <c r="C4460" t="inlineStr">
        <is>
          <t>Vice-President, Prince Edward Island</t>
        </is>
      </c>
      <c r="D4460" t="inlineStr">
        <is>
          <t>Vice-président, Île-du-Prince-Édouard</t>
        </is>
      </c>
      <c r="E4460" t="inlineStr">
        <is>
          <t>Patrick Dorsey</t>
        </is>
      </c>
      <c r="F4460" t="inlineStr">
        <is>
          <t>Federal/provincial food sector working group meeting</t>
        </is>
      </c>
      <c r="G4460" t="inlineStr">
        <is>
          <t>Réunion du groupe de travail fédéral-provincial sur l'alimentation</t>
        </is>
      </c>
      <c r="H4460" s="1" t="n">
        <v>43138</v>
      </c>
      <c r="I4460" s="1" t="n">
        <v>43140</v>
      </c>
      <c r="J4460" t="inlineStr">
        <is>
          <t>Halifax, Nova Scotia</t>
        </is>
      </c>
      <c r="K4460" t="inlineStr">
        <is>
          <t>Halifax (Nouvelle-Écosse)</t>
        </is>
      </c>
      <c r="P4460" t="n">
        <v>0</v>
      </c>
      <c r="Q4460" t="n">
        <v>57</v>
      </c>
      <c r="R4460" t="n">
        <v>302.64</v>
      </c>
      <c r="S4460" t="n">
        <v>241.5</v>
      </c>
      <c r="T4460" t="n">
        <v>52.78</v>
      </c>
      <c r="U4460" t="n">
        <v>653.92</v>
      </c>
      <c r="X4460" t="inlineStr">
        <is>
          <t>acoa-apeca</t>
        </is>
      </c>
      <c r="Y4460" t="inlineStr">
        <is>
          <t>Atlantic Canada Opportunities Agency | Agence de promotion économique du Canada atlantique</t>
        </is>
      </c>
      <c r="Z4460" t="n">
        <v>3</v>
      </c>
      <c r="AA4460" t="n">
        <v>653.92</v>
      </c>
      <c r="AB4460">
        <f>ROUND(U4460-AA4460,2)</f>
        <v/>
      </c>
      <c r="AC4460" t="b">
        <v>0</v>
      </c>
      <c r="AD4460">
        <f>IF(U4460="","MISSING_TOTAL",IF(ABS(AB4460)&lt;=0.01,"OK","CHECK"))</f>
        <v/>
      </c>
      <c r="AE4460">
        <f>IF(U4460="","MISSING",IF(AND(AA4460&gt;0,U4460/AA4460&gt;50),"POSSIBLE_SCALE_ERROR","OK"))</f>
        <v/>
      </c>
    </row>
    <row r="4461">
      <c r="A4461" t="inlineStr">
        <is>
          <t>T-2018-Q4-00023</t>
        </is>
      </c>
      <c r="B4461" t="inlineStr">
        <is>
          <t>SLE</t>
        </is>
      </c>
      <c r="C4461" t="inlineStr">
        <is>
          <t>President</t>
        </is>
      </c>
      <c r="D4461" t="inlineStr">
        <is>
          <t>Président</t>
        </is>
      </c>
      <c r="E4461" t="inlineStr">
        <is>
          <t>Francis McGuire</t>
        </is>
      </c>
      <c r="F4461" t="inlineStr">
        <is>
          <t>Various meetings with Agency and Government of Canada officials, and key stakeholders</t>
        </is>
      </c>
      <c r="G4461" t="inlineStr">
        <is>
          <t>Diverses réunions avec des fonctionnaires de l'Agence et du gouvernement du Canada, ainsi que des intervenants clés</t>
        </is>
      </c>
      <c r="H4461" s="1" t="n">
        <v>43143</v>
      </c>
      <c r="I4461" s="1" t="n">
        <v>43146</v>
      </c>
      <c r="J4461" t="inlineStr">
        <is>
          <t>Ottawa, Ontario</t>
        </is>
      </c>
      <c r="K4461" t="inlineStr">
        <is>
          <t>Ottawa (Ontario)</t>
        </is>
      </c>
      <c r="P4461" t="n">
        <v>1661.41</v>
      </c>
      <c r="Q4461" t="n">
        <v>58.24</v>
      </c>
      <c r="R4461" t="n">
        <v>646.3200000000001</v>
      </c>
      <c r="S4461" t="n">
        <v>372.6</v>
      </c>
      <c r="T4461" t="n">
        <v>0</v>
      </c>
      <c r="U4461" t="n">
        <v>2738.57</v>
      </c>
      <c r="X4461" t="inlineStr">
        <is>
          <t>acoa-apeca</t>
        </is>
      </c>
      <c r="Y4461" t="inlineStr">
        <is>
          <t>Atlantic Canada Opportunities Agency | Agence de promotion économique du Canada atlantique</t>
        </is>
      </c>
      <c r="Z4461" t="n">
        <v>4</v>
      </c>
      <c r="AA4461" t="n">
        <v>2738.57</v>
      </c>
      <c r="AB4461">
        <f>ROUND(U4461-AA4461,2)</f>
        <v/>
      </c>
      <c r="AC4461" t="b">
        <v>0</v>
      </c>
      <c r="AD4461">
        <f>IF(U4461="","MISSING_TOTAL",IF(ABS(AB4461)&lt;=0.01,"OK","CHECK"))</f>
        <v/>
      </c>
      <c r="AE4461">
        <f>IF(U4461="","MISSING",IF(AND(AA4461&gt;0,U4461/AA4461&gt;50),"POSSIBLE_SCALE_ERROR","OK"))</f>
        <v/>
      </c>
    </row>
    <row r="4462">
      <c r="A4462" t="inlineStr">
        <is>
          <t>T-2018-Q4-00022</t>
        </is>
      </c>
      <c r="B4462" t="inlineStr">
        <is>
          <t>SLE</t>
        </is>
      </c>
      <c r="C4462" t="inlineStr">
        <is>
          <t>Vice-President, Policy and Programs</t>
        </is>
      </c>
      <c r="D4462" t="inlineStr">
        <is>
          <t>Vice-président, Politiques et Programmes</t>
        </is>
      </c>
      <c r="E4462" t="inlineStr">
        <is>
          <t>Daryell Nowlan</t>
        </is>
      </c>
      <c r="F4462" t="inlineStr">
        <is>
          <t>Meetings with Government of Canada officials</t>
        </is>
      </c>
      <c r="G4462" t="inlineStr">
        <is>
          <t>Réunions avec des fonctionnaires du gouvernement du Canada</t>
        </is>
      </c>
      <c r="H4462" s="1" t="n">
        <v>43142</v>
      </c>
      <c r="I4462" s="1" t="n">
        <v>43144</v>
      </c>
      <c r="J4462" t="inlineStr">
        <is>
          <t>Ottawa, Ontario</t>
        </is>
      </c>
      <c r="K4462" t="inlineStr">
        <is>
          <t>Ottawa (Ontario)</t>
        </is>
      </c>
      <c r="P4462" t="n">
        <v>692.3</v>
      </c>
      <c r="Q4462" t="n">
        <v>103.84</v>
      </c>
      <c r="R4462" t="n">
        <v>447.75</v>
      </c>
      <c r="S4462" t="n">
        <v>184.4</v>
      </c>
      <c r="T4462" t="n">
        <v>0</v>
      </c>
      <c r="U4462" t="n">
        <v>1428.29</v>
      </c>
      <c r="X4462" t="inlineStr">
        <is>
          <t>acoa-apeca</t>
        </is>
      </c>
      <c r="Y4462" t="inlineStr">
        <is>
          <t>Atlantic Canada Opportunities Agency | Agence de promotion économique du Canada atlantique</t>
        </is>
      </c>
      <c r="Z4462" t="n">
        <v>3</v>
      </c>
      <c r="AA4462" t="n">
        <v>1428.29</v>
      </c>
      <c r="AB4462">
        <f>ROUND(U4462-AA4462,2)</f>
        <v/>
      </c>
      <c r="AC4462" t="b">
        <v>0</v>
      </c>
      <c r="AD4462">
        <f>IF(U4462="","MISSING_TOTAL",IF(ABS(AB4462)&lt;=0.01,"OK","CHECK"))</f>
        <v/>
      </c>
      <c r="AE4462">
        <f>IF(U4462="","MISSING",IF(AND(AA4462&gt;0,U4462/AA4462&gt;50),"POSSIBLE_SCALE_ERROR","OK"))</f>
        <v/>
      </c>
    </row>
    <row r="4463">
      <c r="A4463" t="inlineStr">
        <is>
          <t>T-2018-Q4-00021</t>
        </is>
      </c>
      <c r="B4463" t="inlineStr">
        <is>
          <t>SLE</t>
        </is>
      </c>
      <c r="C4463" t="inlineStr">
        <is>
          <t>Vice-President, Prince Edward Island</t>
        </is>
      </c>
      <c r="D4463" t="inlineStr">
        <is>
          <t>Vice-président, Île-du-Prince-Édouard</t>
        </is>
      </c>
      <c r="E4463" t="inlineStr">
        <is>
          <t>Patrick Dorsey</t>
        </is>
      </c>
      <c r="F4463" t="inlineStr">
        <is>
          <t>Meetings with advanced manufacturing stakeholders and Government of Canada officials</t>
        </is>
      </c>
      <c r="G4463" t="inlineStr">
        <is>
          <t>Réunions avec des intervenants du secteur de la fabrication de pointe et des fonctionnaires du gouvernement du Canada</t>
        </is>
      </c>
      <c r="H4463" s="1" t="n">
        <v>43131</v>
      </c>
      <c r="I4463" s="1" t="n">
        <v>43134</v>
      </c>
      <c r="J4463" t="inlineStr">
        <is>
          <t>Hamilton, Waterloo and Mississauga, Ontario</t>
        </is>
      </c>
      <c r="K4463" t="inlineStr">
        <is>
          <t>Hamilton, Waterloo et Mississauga (Ontario)</t>
        </is>
      </c>
      <c r="P4463" t="n">
        <v>652.99</v>
      </c>
      <c r="Q4463" t="n">
        <v>31</v>
      </c>
      <c r="R4463" t="n">
        <v>318.01</v>
      </c>
      <c r="S4463" t="n">
        <v>230.15</v>
      </c>
      <c r="T4463" t="n">
        <v>0</v>
      </c>
      <c r="U4463" t="n">
        <v>1232.15</v>
      </c>
      <c r="X4463" t="inlineStr">
        <is>
          <t>acoa-apeca</t>
        </is>
      </c>
      <c r="Y4463" t="inlineStr">
        <is>
          <t>Atlantic Canada Opportunities Agency | Agence de promotion économique du Canada atlantique</t>
        </is>
      </c>
      <c r="Z4463" t="n">
        <v>4</v>
      </c>
      <c r="AA4463" t="n">
        <v>1232.15</v>
      </c>
      <c r="AB4463">
        <f>ROUND(U4463-AA4463,2)</f>
        <v/>
      </c>
      <c r="AC4463" t="b">
        <v>0</v>
      </c>
      <c r="AD4463">
        <f>IF(U4463="","MISSING_TOTAL",IF(ABS(AB4463)&lt;=0.01,"OK","CHECK"))</f>
        <v/>
      </c>
      <c r="AE4463">
        <f>IF(U4463="","MISSING",IF(AND(AA4463&gt;0,U4463/AA4463&gt;50),"POSSIBLE_SCALE_ERROR","OK"))</f>
        <v/>
      </c>
    </row>
    <row r="4464">
      <c r="A4464" t="inlineStr">
        <is>
          <t>T-2018-Q4-00019</t>
        </is>
      </c>
      <c r="B4464" t="inlineStr">
        <is>
          <t>SLE</t>
        </is>
      </c>
      <c r="C4464" t="inlineStr">
        <is>
          <t>Vice-President, Finance and Corporate Services</t>
        </is>
      </c>
      <c r="D4464" t="inlineStr">
        <is>
          <t>Vice-président, Finance et Services corporatifs</t>
        </is>
      </c>
      <c r="E4464" t="inlineStr">
        <is>
          <t>Stephane Lagace</t>
        </is>
      </c>
      <c r="F4464" t="inlineStr">
        <is>
          <t>Meetings with Government of Canada officials and private sector representatives</t>
        </is>
      </c>
      <c r="G4464" t="inlineStr">
        <is>
          <t>Réunions avec des fonctionnaires du gouvernement du Canada et des représentants du secteur privé</t>
        </is>
      </c>
      <c r="H4464" s="1" t="n">
        <v>43129</v>
      </c>
      <c r="I4464" s="1" t="n">
        <v>43133</v>
      </c>
      <c r="J4464" t="inlineStr">
        <is>
          <t>Ottawa, Hamilton, Waterloo and Mississauga, Ontario</t>
        </is>
      </c>
      <c r="K4464" t="inlineStr">
        <is>
          <t>Ottawa, Hamilton, Waterloo et Mississauga (Ontario)</t>
        </is>
      </c>
      <c r="P4464" t="n">
        <v>576.79</v>
      </c>
      <c r="Q4464" t="n">
        <v>316.62</v>
      </c>
      <c r="R4464" t="n">
        <v>729.33</v>
      </c>
      <c r="S4464" t="n">
        <v>456.35</v>
      </c>
      <c r="T4464" t="n">
        <v>0</v>
      </c>
      <c r="U4464" t="n">
        <v>2079.09</v>
      </c>
      <c r="X4464" t="inlineStr">
        <is>
          <t>acoa-apeca</t>
        </is>
      </c>
      <c r="Y4464" t="inlineStr">
        <is>
          <t>Atlantic Canada Opportunities Agency | Agence de promotion économique du Canada atlantique</t>
        </is>
      </c>
      <c r="Z4464" t="n">
        <v>5</v>
      </c>
      <c r="AA4464" t="n">
        <v>2079.09</v>
      </c>
      <c r="AB4464">
        <f>ROUND(U4464-AA4464,2)</f>
        <v/>
      </c>
      <c r="AC4464" t="b">
        <v>0</v>
      </c>
      <c r="AD4464">
        <f>IF(U4464="","MISSING_TOTAL",IF(ABS(AB4464)&lt;=0.01,"OK","CHECK"))</f>
        <v/>
      </c>
      <c r="AE4464">
        <f>IF(U4464="","MISSING",IF(AND(AA4464&gt;0,U4464/AA4464&gt;50),"POSSIBLE_SCALE_ERROR","OK"))</f>
        <v/>
      </c>
    </row>
    <row r="4465">
      <c r="A4465" t="inlineStr">
        <is>
          <t>T-2018-Q4-00018</t>
        </is>
      </c>
      <c r="B4465" t="inlineStr">
        <is>
          <t>SLE</t>
        </is>
      </c>
      <c r="C4465" t="inlineStr">
        <is>
          <t>President</t>
        </is>
      </c>
      <c r="D4465" t="inlineStr">
        <is>
          <t>Président</t>
        </is>
      </c>
      <c r="E4465" t="inlineStr">
        <is>
          <t>Francis McGuire</t>
        </is>
      </c>
      <c r="F4465" t="inlineStr">
        <is>
          <t>Various meetings/tour with Agency and Government of Canada officials, and key stakeholders</t>
        </is>
      </c>
      <c r="G4465" t="inlineStr">
        <is>
          <t>Diverses réunions et tournée avec des fonctionnaires de l'Agence et du gouvernement du Canada, ainsi que des intervenants clés</t>
        </is>
      </c>
      <c r="H4465" s="1" t="n">
        <v>43130</v>
      </c>
      <c r="I4465" s="1" t="n">
        <v>43135</v>
      </c>
      <c r="J4465" t="inlineStr">
        <is>
          <t>Ottawa, Toronto and Hamilton, Ontario</t>
        </is>
      </c>
      <c r="K4465" t="inlineStr">
        <is>
          <t>Ottawa, Toronto et Hamilton (Ontario)</t>
        </is>
      </c>
      <c r="P4465" t="n">
        <v>1120.46</v>
      </c>
      <c r="Q4465" t="n">
        <v>229.32</v>
      </c>
      <c r="R4465" t="n">
        <v>589.09</v>
      </c>
      <c r="S4465" t="n">
        <v>221</v>
      </c>
      <c r="T4465" t="n">
        <v>24</v>
      </c>
      <c r="U4465" t="n">
        <v>2183.87</v>
      </c>
      <c r="X4465" t="inlineStr">
        <is>
          <t>acoa-apeca</t>
        </is>
      </c>
      <c r="Y4465" t="inlineStr">
        <is>
          <t>Atlantic Canada Opportunities Agency | Agence de promotion économique du Canada atlantique</t>
        </is>
      </c>
      <c r="Z4465" t="n">
        <v>6</v>
      </c>
      <c r="AA4465" t="n">
        <v>2183.87</v>
      </c>
      <c r="AB4465">
        <f>ROUND(U4465-AA4465,2)</f>
        <v/>
      </c>
      <c r="AC4465" t="b">
        <v>0</v>
      </c>
      <c r="AD4465">
        <f>IF(U4465="","MISSING_TOTAL",IF(ABS(AB4465)&lt;=0.01,"OK","CHECK"))</f>
        <v/>
      </c>
      <c r="AE4465">
        <f>IF(U4465="","MISSING",IF(AND(AA4465&gt;0,U4465/AA4465&gt;50),"POSSIBLE_SCALE_ERROR","OK"))</f>
        <v/>
      </c>
    </row>
    <row r="4466">
      <c r="A4466" t="inlineStr">
        <is>
          <t>T-2018-Q4-00017</t>
        </is>
      </c>
      <c r="B4466" t="inlineStr">
        <is>
          <t>SLE</t>
        </is>
      </c>
      <c r="C4466" t="inlineStr">
        <is>
          <t>Vice-President, Policy and Programs</t>
        </is>
      </c>
      <c r="D4466" t="inlineStr">
        <is>
          <t>Vice-président, Politiques et Programmes</t>
        </is>
      </c>
      <c r="E4466" t="inlineStr">
        <is>
          <t>Daryell Nowlan</t>
        </is>
      </c>
      <c r="F4466" t="inlineStr">
        <is>
          <t>Meetings with Government of Canada officials and private sector representatives</t>
        </is>
      </c>
      <c r="G4466" t="inlineStr">
        <is>
          <t>Réunions avec des fonctionnaires du gouvernement du Canada et des représentants du secteur privé</t>
        </is>
      </c>
      <c r="H4466" s="1" t="n">
        <v>43129</v>
      </c>
      <c r="I4466" s="1" t="n">
        <v>43133</v>
      </c>
      <c r="J4466" t="inlineStr">
        <is>
          <t>Ottawa, Toronto and Waterloo, Ontario</t>
        </is>
      </c>
      <c r="K4466" t="inlineStr">
        <is>
          <t>Ottawa, Toronto et Waterloo (Ontario)</t>
        </is>
      </c>
      <c r="P4466" t="n">
        <v>1038.45</v>
      </c>
      <c r="Q4466" t="n">
        <v>230.64</v>
      </c>
      <c r="R4466" t="n">
        <v>824.9</v>
      </c>
      <c r="S4466" t="n">
        <v>398.85</v>
      </c>
      <c r="T4466" t="n">
        <v>0</v>
      </c>
      <c r="U4466" t="n">
        <v>2492.84</v>
      </c>
      <c r="X4466" t="inlineStr">
        <is>
          <t>acoa-apeca</t>
        </is>
      </c>
      <c r="Y4466" t="inlineStr">
        <is>
          <t>Atlantic Canada Opportunities Agency | Agence de promotion économique du Canada atlantique</t>
        </is>
      </c>
      <c r="Z4466" t="n">
        <v>5</v>
      </c>
      <c r="AA4466" t="n">
        <v>2492.84</v>
      </c>
      <c r="AB4466">
        <f>ROUND(U4466-AA4466,2)</f>
        <v/>
      </c>
      <c r="AC4466" t="b">
        <v>0</v>
      </c>
      <c r="AD4466">
        <f>IF(U4466="","MISSING_TOTAL",IF(ABS(AB4466)&lt;=0.01,"OK","CHECK"))</f>
        <v/>
      </c>
      <c r="AE4466">
        <f>IF(U4466="","MISSING",IF(AND(AA4466&gt;0,U4466/AA4466&gt;50),"POSSIBLE_SCALE_ERROR","OK"))</f>
        <v/>
      </c>
    </row>
    <row r="4467">
      <c r="A4467" t="inlineStr">
        <is>
          <t>T-2018-Q4-00016</t>
        </is>
      </c>
      <c r="B4467" t="inlineStr">
        <is>
          <t>SLE</t>
        </is>
      </c>
      <c r="C4467" t="inlineStr">
        <is>
          <t>Vice-President, Newfoundland and Labrador</t>
        </is>
      </c>
      <c r="D4467" t="inlineStr">
        <is>
          <t>Vice-président, Terre-Neuve-et-Labrador</t>
        </is>
      </c>
      <c r="E4467" t="inlineStr">
        <is>
          <t>Ken Martin</t>
        </is>
      </c>
      <c r="F4467" t="inlineStr">
        <is>
          <t>ACOA executive team meetings</t>
        </is>
      </c>
      <c r="G4467" t="inlineStr">
        <is>
          <t>Réunions de l'équipe de la haute direction de l'APECA</t>
        </is>
      </c>
      <c r="H4467" s="1" t="n">
        <v>43132</v>
      </c>
      <c r="I4467" s="1" t="n">
        <v>43133</v>
      </c>
      <c r="J4467" t="inlineStr">
        <is>
          <t>Toronto, Ontario</t>
        </is>
      </c>
      <c r="K4467" t="inlineStr">
        <is>
          <t>Toronto (Ontario)</t>
        </is>
      </c>
      <c r="P4467" t="n">
        <v>633.12</v>
      </c>
      <c r="Q4467" t="n">
        <v>73.65000000000001</v>
      </c>
      <c r="R4467" t="n">
        <v>318.01</v>
      </c>
      <c r="S4467" t="n">
        <v>232.15</v>
      </c>
      <c r="T4467" t="n">
        <v>0</v>
      </c>
      <c r="U4467" t="n">
        <v>1256.93</v>
      </c>
      <c r="X4467" t="inlineStr">
        <is>
          <t>acoa-apeca</t>
        </is>
      </c>
      <c r="Y4467" t="inlineStr">
        <is>
          <t>Atlantic Canada Opportunities Agency | Agence de promotion économique du Canada atlantique</t>
        </is>
      </c>
      <c r="Z4467" t="n">
        <v>2</v>
      </c>
      <c r="AA4467" t="n">
        <v>1256.93</v>
      </c>
      <c r="AB4467">
        <f>ROUND(U4467-AA4467,2)</f>
        <v/>
      </c>
      <c r="AC4467" t="b">
        <v>0</v>
      </c>
      <c r="AD4467">
        <f>IF(U4467="","MISSING_TOTAL",IF(ABS(AB4467)&lt;=0.01,"OK","CHECK"))</f>
        <v/>
      </c>
      <c r="AE4467">
        <f>IF(U4467="","MISSING",IF(AND(AA4467&gt;0,U4467/AA4467&gt;50),"POSSIBLE_SCALE_ERROR","OK"))</f>
        <v/>
      </c>
    </row>
    <row r="4468">
      <c r="A4468" t="inlineStr">
        <is>
          <t>T-2018-Q4-00015</t>
        </is>
      </c>
      <c r="B4468" t="inlineStr">
        <is>
          <t>SLE</t>
        </is>
      </c>
      <c r="C4468" t="inlineStr">
        <is>
          <t>Senior Advisor (Energy)</t>
        </is>
      </c>
      <c r="D4468" t="inlineStr">
        <is>
          <t>Conseiller spécial (energie)</t>
        </is>
      </c>
      <c r="E4468" t="inlineStr">
        <is>
          <t>Andrew F. Noseworthy</t>
        </is>
      </c>
      <c r="F4468" t="inlineStr">
        <is>
          <t>Meetings with Agency and provincial government officials, and key stakeholders</t>
        </is>
      </c>
      <c r="G4468" t="inlineStr">
        <is>
          <t>Réunions avec des fonctionnaires de l'Agence et du gouvernement provincial, ainsi que des intervenants clés</t>
        </is>
      </c>
      <c r="H4468" s="1" t="n">
        <v>43088</v>
      </c>
      <c r="I4468" s="1" t="n">
        <v>43088</v>
      </c>
      <c r="J4468" t="inlineStr">
        <is>
          <t>Fredericton, New Brunswick</t>
        </is>
      </c>
      <c r="K4468" t="inlineStr">
        <is>
          <t>Fredericton (Nouveau-Brunswick)</t>
        </is>
      </c>
      <c r="P4468" t="n">
        <v>1368.01</v>
      </c>
      <c r="Q4468" t="n">
        <v>298.67</v>
      </c>
      <c r="R4468" t="n">
        <v>0</v>
      </c>
      <c r="S4468" t="n">
        <v>83.75</v>
      </c>
      <c r="T4468" t="n">
        <v>26.25</v>
      </c>
      <c r="U4468" t="n">
        <v>1776.68</v>
      </c>
      <c r="X4468" t="inlineStr">
        <is>
          <t>acoa-apeca</t>
        </is>
      </c>
      <c r="Y4468" t="inlineStr">
        <is>
          <t>Atlantic Canada Opportunities Agency | Agence de promotion économique du Canada atlantique</t>
        </is>
      </c>
      <c r="Z4468" t="n">
        <v>1</v>
      </c>
      <c r="AA4468" t="n">
        <v>1776.68</v>
      </c>
      <c r="AB4468">
        <f>ROUND(U4468-AA4468,2)</f>
        <v/>
      </c>
      <c r="AC4468" t="b">
        <v>0</v>
      </c>
      <c r="AD4468">
        <f>IF(U4468="","MISSING_TOTAL",IF(ABS(AB4468)&lt;=0.01,"OK","CHECK"))</f>
        <v/>
      </c>
      <c r="AE4468">
        <f>IF(U4468="","MISSING",IF(AND(AA4468&gt;0,U4468/AA4468&gt;50),"POSSIBLE_SCALE_ERROR","OK"))</f>
        <v/>
      </c>
    </row>
    <row r="4469">
      <c r="A4469" t="inlineStr">
        <is>
          <t>T-2018-Q4-00014</t>
        </is>
      </c>
      <c r="B4469" t="inlineStr">
        <is>
          <t>SLE</t>
        </is>
      </c>
      <c r="C4469" t="inlineStr">
        <is>
          <t>President</t>
        </is>
      </c>
      <c r="D4469" t="inlineStr">
        <is>
          <t>Président</t>
        </is>
      </c>
      <c r="E4469" t="inlineStr">
        <is>
          <t>Francis McGuire</t>
        </is>
      </c>
      <c r="F4469" t="inlineStr">
        <is>
          <t>Site visit with proponent</t>
        </is>
      </c>
      <c r="G4469" t="inlineStr">
        <is>
          <t>Visite des lieux avec un promoteur</t>
        </is>
      </c>
      <c r="H4469" s="1" t="n">
        <v>43129</v>
      </c>
      <c r="I4469" s="1" t="n">
        <v>43129</v>
      </c>
      <c r="J4469" t="inlineStr">
        <is>
          <t>Woodstock, New Brunswick</t>
        </is>
      </c>
      <c r="K4469" t="inlineStr">
        <is>
          <t>Woodstock (Nouveau-Brunswick)</t>
        </is>
      </c>
      <c r="P4469" t="n">
        <v>0</v>
      </c>
      <c r="Q4469" t="n">
        <v>110.76</v>
      </c>
      <c r="R4469" t="n">
        <v>0</v>
      </c>
      <c r="S4469" t="n">
        <v>18.9</v>
      </c>
      <c r="T4469" t="n">
        <v>0</v>
      </c>
      <c r="U4469" t="n">
        <v>129.66</v>
      </c>
      <c r="X4469" t="inlineStr">
        <is>
          <t>acoa-apeca</t>
        </is>
      </c>
      <c r="Y4469" t="inlineStr">
        <is>
          <t>Atlantic Canada Opportunities Agency | Agence de promotion économique du Canada atlantique</t>
        </is>
      </c>
      <c r="Z4469" t="n">
        <v>1</v>
      </c>
      <c r="AA4469" t="n">
        <v>129.66</v>
      </c>
      <c r="AB4469">
        <f>ROUND(U4469-AA4469,2)</f>
        <v/>
      </c>
      <c r="AC4469" t="b">
        <v>0</v>
      </c>
      <c r="AD4469">
        <f>IF(U4469="","MISSING_TOTAL",IF(ABS(AB4469)&lt;=0.01,"OK","CHECK"))</f>
        <v/>
      </c>
      <c r="AE4469">
        <f>IF(U4469="","MISSING",IF(AND(AA4469&gt;0,U4469/AA4469&gt;50),"POSSIBLE_SCALE_ERROR","OK"))</f>
        <v/>
      </c>
    </row>
    <row r="4470">
      <c r="A4470" t="inlineStr">
        <is>
          <t>T-2018-Q4-00013</t>
        </is>
      </c>
      <c r="B4470" t="inlineStr">
        <is>
          <t>SLE</t>
        </is>
      </c>
      <c r="C4470" t="inlineStr">
        <is>
          <t>President</t>
        </is>
      </c>
      <c r="D4470" t="inlineStr">
        <is>
          <t>Président</t>
        </is>
      </c>
      <c r="E4470" t="inlineStr">
        <is>
          <t>Francis McGuire</t>
        </is>
      </c>
      <c r="F4470" t="inlineStr">
        <is>
          <t>Various meetings with Agency, Government of Canada and provincial government officials, and key stakeholders</t>
        </is>
      </c>
      <c r="G4470" t="inlineStr">
        <is>
          <t>Diverses réunions avec des fonctionnaires de l'Agence, du gouvernement du Canada et du gouvernement provincial, ainsi que des intervenants clés</t>
        </is>
      </c>
      <c r="H4470" s="1" t="n">
        <v>43122</v>
      </c>
      <c r="I4470" s="1" t="n">
        <v>43124</v>
      </c>
      <c r="J4470" t="inlineStr">
        <is>
          <t>Halifax, Nova Scotia and Ottawa, Ontario</t>
        </is>
      </c>
      <c r="K4470" t="inlineStr">
        <is>
          <t>Halifax (Nouvelle-Écosse) et Ottawa (Ontario)</t>
        </is>
      </c>
      <c r="P4470" t="n">
        <v>1131.59</v>
      </c>
      <c r="Q4470" t="n">
        <v>147.12</v>
      </c>
      <c r="R4470" t="n">
        <v>372.36</v>
      </c>
      <c r="S4470" t="n">
        <v>232.15</v>
      </c>
      <c r="T4470" t="n">
        <v>0</v>
      </c>
      <c r="U4470" t="n">
        <v>1883.22</v>
      </c>
      <c r="X4470" t="inlineStr">
        <is>
          <t>acoa-apeca</t>
        </is>
      </c>
      <c r="Y4470" t="inlineStr">
        <is>
          <t>Atlantic Canada Opportunities Agency | Agence de promotion économique du Canada atlantique</t>
        </is>
      </c>
      <c r="Z4470" t="n">
        <v>3</v>
      </c>
      <c r="AA4470" t="n">
        <v>1883.22</v>
      </c>
      <c r="AB4470">
        <f>ROUND(U4470-AA4470,2)</f>
        <v/>
      </c>
      <c r="AC4470" t="b">
        <v>0</v>
      </c>
      <c r="AD4470">
        <f>IF(U4470="","MISSING_TOTAL",IF(ABS(AB4470)&lt;=0.01,"OK","CHECK"))</f>
        <v/>
      </c>
      <c r="AE4470">
        <f>IF(U4470="","MISSING",IF(AND(AA4470&gt;0,U4470/AA4470&gt;50),"POSSIBLE_SCALE_ERROR","OK"))</f>
        <v/>
      </c>
    </row>
    <row r="4471">
      <c r="A4471" t="inlineStr">
        <is>
          <t>T-2018-Q4-00012</t>
        </is>
      </c>
      <c r="B4471" t="inlineStr">
        <is>
          <t>SLE</t>
        </is>
      </c>
      <c r="C4471" t="inlineStr">
        <is>
          <t>Vice-President, Prince Edward Island</t>
        </is>
      </c>
      <c r="D4471" t="inlineStr">
        <is>
          <t>Vice-président, Île-du-Prince-Édouard</t>
        </is>
      </c>
      <c r="E4471" t="inlineStr">
        <is>
          <t>Patrick Dorsey</t>
        </is>
      </c>
      <c r="F4471" t="inlineStr">
        <is>
          <t>Food &amp; Beverage Atlantic conference and annual general meeting, and meeting with Government of Canada officials</t>
        </is>
      </c>
      <c r="G4471" t="inlineStr">
        <is>
          <t>Conférence et assemblée générale annuelle d'Aliments et Boissons Atlantique, et réunion avec des fonctionnaires du gouvernement du Canada</t>
        </is>
      </c>
      <c r="H4471" s="1" t="n">
        <v>43117</v>
      </c>
      <c r="I4471" s="1" t="n">
        <v>43118</v>
      </c>
      <c r="J4471" t="inlineStr">
        <is>
          <t>Moncton, New Brunswick</t>
        </is>
      </c>
      <c r="K4471" t="inlineStr">
        <is>
          <t>Moncton (Nouveau-Brunswick)</t>
        </is>
      </c>
      <c r="P4471" t="n">
        <v>0</v>
      </c>
      <c r="Q4471" t="n">
        <v>0</v>
      </c>
      <c r="R4471" t="n">
        <v>158.7</v>
      </c>
      <c r="S4471" t="n">
        <v>167.3</v>
      </c>
      <c r="T4471" t="n">
        <v>49</v>
      </c>
      <c r="U4471" t="n">
        <v>375</v>
      </c>
      <c r="X4471" t="inlineStr">
        <is>
          <t>acoa-apeca</t>
        </is>
      </c>
      <c r="Y4471" t="inlineStr">
        <is>
          <t>Atlantic Canada Opportunities Agency | Agence de promotion économique du Canada atlantique</t>
        </is>
      </c>
      <c r="Z4471" t="n">
        <v>2</v>
      </c>
      <c r="AA4471" t="n">
        <v>375</v>
      </c>
      <c r="AB4471">
        <f>ROUND(U4471-AA4471,2)</f>
        <v/>
      </c>
      <c r="AC4471" t="b">
        <v>0</v>
      </c>
      <c r="AD4471">
        <f>IF(U4471="","MISSING_TOTAL",IF(ABS(AB4471)&lt;=0.01,"OK","CHECK"))</f>
        <v/>
      </c>
      <c r="AE4471">
        <f>IF(U4471="","MISSING",IF(AND(AA4471&gt;0,U4471/AA4471&gt;50),"POSSIBLE_SCALE_ERROR","OK"))</f>
        <v/>
      </c>
    </row>
    <row r="4472">
      <c r="A4472" t="inlineStr">
        <is>
          <t>T-2018-Q4-00011</t>
        </is>
      </c>
      <c r="B4472" t="inlineStr">
        <is>
          <t>SLE</t>
        </is>
      </c>
      <c r="C4472" t="inlineStr">
        <is>
          <t>Vice-President, Policy and Programs</t>
        </is>
      </c>
      <c r="D4472" t="inlineStr">
        <is>
          <t>Vice-président, Politiques et Programmes</t>
        </is>
      </c>
      <c r="E4472" t="inlineStr">
        <is>
          <t>Daryell Nowlan</t>
        </is>
      </c>
      <c r="F4472" t="inlineStr">
        <is>
          <t>Meetings with Government of Canada officials</t>
        </is>
      </c>
      <c r="G4472" t="inlineStr">
        <is>
          <t>Réunions avec des fonctionnaires du gouvernement du Canada</t>
        </is>
      </c>
      <c r="H4472" s="1" t="n">
        <v>43117</v>
      </c>
      <c r="I4472" s="1" t="n">
        <v>43122</v>
      </c>
      <c r="J4472" t="inlineStr">
        <is>
          <t>Halifax,Nova Scotia and Ottawa,Ontario</t>
        </is>
      </c>
      <c r="K4472" t="inlineStr">
        <is>
          <t>Halifax (Nouvelle-Écosse) et Ottawa (Ontario)</t>
        </is>
      </c>
      <c r="P4472" t="n">
        <v>1384.6</v>
      </c>
      <c r="Q4472" t="n">
        <v>276.5</v>
      </c>
      <c r="R4472" t="n">
        <v>570.46</v>
      </c>
      <c r="S4472" t="n">
        <v>351.7</v>
      </c>
      <c r="T4472" t="n">
        <v>0</v>
      </c>
      <c r="U4472" t="n">
        <v>2583.26</v>
      </c>
      <c r="X4472" t="inlineStr">
        <is>
          <t>acoa-apeca</t>
        </is>
      </c>
      <c r="Y4472" t="inlineStr">
        <is>
          <t>Atlantic Canada Opportunities Agency | Agence de promotion économique du Canada atlantique</t>
        </is>
      </c>
      <c r="Z4472" t="n">
        <v>6</v>
      </c>
      <c r="AA4472" t="n">
        <v>2583.25999999999</v>
      </c>
      <c r="AB4472">
        <f>ROUND(U4472-AA4472,2)</f>
        <v/>
      </c>
      <c r="AC4472" t="b">
        <v>0</v>
      </c>
      <c r="AD4472">
        <f>IF(U4472="","MISSING_TOTAL",IF(ABS(AB4472)&lt;=0.01,"OK","CHECK"))</f>
        <v/>
      </c>
      <c r="AE4472">
        <f>IF(U4472="","MISSING",IF(AND(AA4472&gt;0,U4472/AA4472&gt;50),"POSSIBLE_SCALE_ERROR","OK"))</f>
        <v/>
      </c>
    </row>
    <row r="4473">
      <c r="A4473" t="inlineStr">
        <is>
          <t>T-2018-Q4-00010</t>
        </is>
      </c>
      <c r="B4473" t="inlineStr">
        <is>
          <t>SLE</t>
        </is>
      </c>
      <c r="C4473" t="inlineStr">
        <is>
          <t>President</t>
        </is>
      </c>
      <c r="D4473" t="inlineStr">
        <is>
          <t>Président</t>
        </is>
      </c>
      <c r="E4473" t="inlineStr">
        <is>
          <t>Francis McGuire</t>
        </is>
      </c>
      <c r="F4473" t="inlineStr">
        <is>
          <t>Chair an Atlantic Federal Council meeting</t>
        </is>
      </c>
      <c r="G4473" t="inlineStr">
        <is>
          <t>Présider une réunion du Conseil fédéral de l'Atlantique</t>
        </is>
      </c>
      <c r="H4473" s="1" t="n">
        <v>43117</v>
      </c>
      <c r="I4473" s="1" t="n">
        <v>43118</v>
      </c>
      <c r="J4473" t="inlineStr">
        <is>
          <t>Halifax, Nova Scotia</t>
        </is>
      </c>
      <c r="K4473" t="inlineStr">
        <is>
          <t>Halifax (Nouvelle-Écosse)</t>
        </is>
      </c>
      <c r="P4473" t="n">
        <v>0</v>
      </c>
      <c r="Q4473" t="n">
        <v>268.32</v>
      </c>
      <c r="R4473" t="n">
        <v>146.63</v>
      </c>
      <c r="S4473" t="n">
        <v>167.3</v>
      </c>
      <c r="T4473" t="n">
        <v>0</v>
      </c>
      <c r="U4473" t="n">
        <v>582.25</v>
      </c>
      <c r="X4473" t="inlineStr">
        <is>
          <t>acoa-apeca</t>
        </is>
      </c>
      <c r="Y4473" t="inlineStr">
        <is>
          <t>Atlantic Canada Opportunities Agency | Agence de promotion économique du Canada atlantique</t>
        </is>
      </c>
      <c r="Z4473" t="n">
        <v>2</v>
      </c>
      <c r="AA4473" t="n">
        <v>582.25</v>
      </c>
      <c r="AB4473">
        <f>ROUND(U4473-AA4473,2)</f>
        <v/>
      </c>
      <c r="AC4473" t="b">
        <v>0</v>
      </c>
      <c r="AD4473">
        <f>IF(U4473="","MISSING_TOTAL",IF(ABS(AB4473)&lt;=0.01,"OK","CHECK"))</f>
        <v/>
      </c>
      <c r="AE4473">
        <f>IF(U4473="","MISSING",IF(AND(AA4473&gt;0,U4473/AA4473&gt;50),"POSSIBLE_SCALE_ERROR","OK"))</f>
        <v/>
      </c>
    </row>
    <row r="4474">
      <c r="A4474" t="inlineStr">
        <is>
          <t>T-2018-Q4-00009</t>
        </is>
      </c>
      <c r="B4474" t="inlineStr">
        <is>
          <t>SLE</t>
        </is>
      </c>
      <c r="C4474" t="inlineStr">
        <is>
          <t>President</t>
        </is>
      </c>
      <c r="D4474" t="inlineStr">
        <is>
          <t>Président</t>
        </is>
      </c>
      <c r="E4474" t="inlineStr">
        <is>
          <t>Francis McGuire</t>
        </is>
      </c>
      <c r="F4474" t="inlineStr">
        <is>
          <t>Various meetings with Government officials and key stakeholders</t>
        </is>
      </c>
      <c r="G4474" t="inlineStr">
        <is>
          <t>Diverses réunions avec des fonctionnaires du gouvernement et des intervenants clés</t>
        </is>
      </c>
      <c r="H4474" s="1" t="n">
        <v>43116</v>
      </c>
      <c r="I4474" s="1" t="n">
        <v>43116</v>
      </c>
      <c r="J4474" t="inlineStr">
        <is>
          <t>Miramichi, New Brunswick</t>
        </is>
      </c>
      <c r="K4474" t="inlineStr">
        <is>
          <t>Miramichi (Nouveau-Brunswick)</t>
        </is>
      </c>
      <c r="P4474" t="n">
        <v>0</v>
      </c>
      <c r="Q4474" t="n">
        <v>152.88</v>
      </c>
      <c r="R4474" t="n">
        <v>0</v>
      </c>
      <c r="S4474" t="n">
        <v>0</v>
      </c>
      <c r="T4474" t="n">
        <v>0</v>
      </c>
      <c r="U4474" t="n">
        <v>152.88</v>
      </c>
      <c r="X4474" t="inlineStr">
        <is>
          <t>acoa-apeca</t>
        </is>
      </c>
      <c r="Y4474" t="inlineStr">
        <is>
          <t>Atlantic Canada Opportunities Agency | Agence de promotion économique du Canada atlantique</t>
        </is>
      </c>
      <c r="Z4474" t="n">
        <v>1</v>
      </c>
      <c r="AA4474" t="n">
        <v>152.88</v>
      </c>
      <c r="AB4474">
        <f>ROUND(U4474-AA4474,2)</f>
        <v/>
      </c>
      <c r="AC4474" t="b">
        <v>0</v>
      </c>
      <c r="AD4474">
        <f>IF(U4474="","MISSING_TOTAL",IF(ABS(AB4474)&lt;=0.01,"OK","CHECK"))</f>
        <v/>
      </c>
      <c r="AE4474">
        <f>IF(U4474="","MISSING",IF(AND(AA4474&gt;0,U4474/AA4474&gt;50),"POSSIBLE_SCALE_ERROR","OK"))</f>
        <v/>
      </c>
    </row>
    <row r="4475">
      <c r="A4475" t="inlineStr">
        <is>
          <t>T-2018-Q4-00008</t>
        </is>
      </c>
      <c r="B4475" t="inlineStr">
        <is>
          <t>SLE</t>
        </is>
      </c>
      <c r="C4475" t="inlineStr">
        <is>
          <t>President</t>
        </is>
      </c>
      <c r="D4475" t="inlineStr">
        <is>
          <t>Président</t>
        </is>
      </c>
      <c r="E4475" t="inlineStr">
        <is>
          <t>Francis McGuire</t>
        </is>
      </c>
      <c r="F4475" t="inlineStr">
        <is>
          <t>Meetings with proponents</t>
        </is>
      </c>
      <c r="G4475" t="inlineStr">
        <is>
          <t>Réunions avec des promoteurs</t>
        </is>
      </c>
      <c r="H4475" s="1" t="n">
        <v>43109</v>
      </c>
      <c r="I4475" s="1" t="n">
        <v>43109</v>
      </c>
      <c r="J4475" t="inlineStr">
        <is>
          <t>Saint John, New Brunswick</t>
        </is>
      </c>
      <c r="K4475" t="inlineStr">
        <is>
          <t>Saint John (Nouveau-Brunswick)</t>
        </is>
      </c>
      <c r="P4475" t="n">
        <v>0</v>
      </c>
      <c r="Q4475" t="n">
        <v>114.92</v>
      </c>
      <c r="R4475" t="n">
        <v>0</v>
      </c>
      <c r="S4475" t="n">
        <v>18.9</v>
      </c>
      <c r="T4475" t="n">
        <v>7.5</v>
      </c>
      <c r="U4475" t="n">
        <v>141.32</v>
      </c>
      <c r="X4475" t="inlineStr">
        <is>
          <t>acoa-apeca</t>
        </is>
      </c>
      <c r="Y4475" t="inlineStr">
        <is>
          <t>Atlantic Canada Opportunities Agency | Agence de promotion économique du Canada atlantique</t>
        </is>
      </c>
      <c r="Z4475" t="n">
        <v>1</v>
      </c>
      <c r="AA4475" t="n">
        <v>141.32</v>
      </c>
      <c r="AB4475">
        <f>ROUND(U4475-AA4475,2)</f>
        <v/>
      </c>
      <c r="AC4475" t="b">
        <v>0</v>
      </c>
      <c r="AD4475">
        <f>IF(U4475="","MISSING_TOTAL",IF(ABS(AB4475)&lt;=0.01,"OK","CHECK"))</f>
        <v/>
      </c>
      <c r="AE4475">
        <f>IF(U4475="","MISSING",IF(AND(AA4475&gt;0,U4475/AA4475&gt;50),"POSSIBLE_SCALE_ERROR","OK"))</f>
        <v/>
      </c>
    </row>
    <row r="4476">
      <c r="A4476" t="inlineStr">
        <is>
          <t>T-2018-Q4-00007</t>
        </is>
      </c>
      <c r="B4476" t="inlineStr">
        <is>
          <t>SLE</t>
        </is>
      </c>
      <c r="C4476" t="inlineStr">
        <is>
          <t>Vice-President, Prince Edward Island</t>
        </is>
      </c>
      <c r="D4476" t="inlineStr">
        <is>
          <t>Vice-président, Île-du-Prince-Édouard</t>
        </is>
      </c>
      <c r="E4476" t="inlineStr">
        <is>
          <t>Patrick Dorsey</t>
        </is>
      </c>
      <c r="F4476" t="inlineStr">
        <is>
          <t>Federal/provincial meetings</t>
        </is>
      </c>
      <c r="G4476" t="inlineStr">
        <is>
          <t>Réunions fédérales-provinciales</t>
        </is>
      </c>
      <c r="H4476" s="1" t="n">
        <v>43083</v>
      </c>
      <c r="I4476" s="1" t="n">
        <v>43084</v>
      </c>
      <c r="J4476" t="inlineStr">
        <is>
          <t>Halifax, Nova Scotia</t>
        </is>
      </c>
      <c r="K4476" t="inlineStr">
        <is>
          <t>Halifax (Nouvelle-Écosse)</t>
        </is>
      </c>
      <c r="P4476" t="n">
        <v>0</v>
      </c>
      <c r="Q4476" t="n">
        <v>84.5</v>
      </c>
      <c r="R4476" t="n">
        <v>163.05</v>
      </c>
      <c r="S4476" t="n">
        <v>186.2</v>
      </c>
      <c r="T4476" t="n">
        <v>0</v>
      </c>
      <c r="U4476" t="n">
        <v>433.75</v>
      </c>
      <c r="X4476" t="inlineStr">
        <is>
          <t>acoa-apeca</t>
        </is>
      </c>
      <c r="Y4476" t="inlineStr">
        <is>
          <t>Atlantic Canada Opportunities Agency | Agence de promotion économique du Canada atlantique</t>
        </is>
      </c>
      <c r="Z4476" t="n">
        <v>2</v>
      </c>
      <c r="AA4476" t="n">
        <v>433.75</v>
      </c>
      <c r="AB4476">
        <f>ROUND(U4476-AA4476,2)</f>
        <v/>
      </c>
      <c r="AC4476" t="b">
        <v>0</v>
      </c>
      <c r="AD4476">
        <f>IF(U4476="","MISSING_TOTAL",IF(ABS(AB4476)&lt;=0.01,"OK","CHECK"))</f>
        <v/>
      </c>
      <c r="AE4476">
        <f>IF(U4476="","MISSING",IF(AND(AA4476&gt;0,U4476/AA4476&gt;50),"POSSIBLE_SCALE_ERROR","OK"))</f>
        <v/>
      </c>
    </row>
    <row r="4477">
      <c r="A4477" t="inlineStr">
        <is>
          <t>T-2018-Q4-00006</t>
        </is>
      </c>
      <c r="B4477" t="inlineStr">
        <is>
          <t>SLE</t>
        </is>
      </c>
      <c r="C4477" t="inlineStr">
        <is>
          <t>President</t>
        </is>
      </c>
      <c r="D4477" t="inlineStr">
        <is>
          <t>Président</t>
        </is>
      </c>
      <c r="E4477" t="inlineStr">
        <is>
          <t>Francis McGuire</t>
        </is>
      </c>
      <c r="F4477" t="inlineStr">
        <is>
          <t>Various meetings with Agency and provincial government officials, and key stakeholders</t>
        </is>
      </c>
      <c r="G4477" t="inlineStr">
        <is>
          <t>Diverses réunions avec des fonctionnaires de l'Agence et du gouvernement provincial, ainsi que des intervenants clés</t>
        </is>
      </c>
      <c r="H4477" s="1" t="n">
        <v>43089</v>
      </c>
      <c r="I4477" s="1" t="n">
        <v>43090</v>
      </c>
      <c r="J4477" t="inlineStr">
        <is>
          <t>Charlottetown and Albany, Prince Edward Island</t>
        </is>
      </c>
      <c r="K4477" t="inlineStr">
        <is>
          <t>Charlottetown et Albany (Île-du-Prince-Édouard)</t>
        </is>
      </c>
      <c r="P4477" t="n">
        <v>0</v>
      </c>
      <c r="Q4477" t="n">
        <v>189.14</v>
      </c>
      <c r="R4477" t="n">
        <v>150.43</v>
      </c>
      <c r="S4477" t="n">
        <v>119.95</v>
      </c>
      <c r="T4477" t="n">
        <v>0</v>
      </c>
      <c r="U4477" t="n">
        <v>459.52</v>
      </c>
      <c r="X4477" t="inlineStr">
        <is>
          <t>acoa-apeca</t>
        </is>
      </c>
      <c r="Y4477" t="inlineStr">
        <is>
          <t>Atlantic Canada Opportunities Agency | Agence de promotion économique du Canada atlantique</t>
        </is>
      </c>
      <c r="Z4477" t="n">
        <v>2</v>
      </c>
      <c r="AA4477" t="n">
        <v>459.52</v>
      </c>
      <c r="AB4477">
        <f>ROUND(U4477-AA4477,2)</f>
        <v/>
      </c>
      <c r="AC4477" t="b">
        <v>0</v>
      </c>
      <c r="AD4477">
        <f>IF(U4477="","MISSING_TOTAL",IF(ABS(AB4477)&lt;=0.01,"OK","CHECK"))</f>
        <v/>
      </c>
      <c r="AE4477">
        <f>IF(U4477="","MISSING",IF(AND(AA4477&gt;0,U4477/AA4477&gt;50),"POSSIBLE_SCALE_ERROR","OK"))</f>
        <v/>
      </c>
    </row>
    <row r="4478">
      <c r="A4478" t="inlineStr">
        <is>
          <t>T-2018-Q4-00005</t>
        </is>
      </c>
      <c r="B4478" t="inlineStr">
        <is>
          <t>SLE</t>
        </is>
      </c>
      <c r="C4478" t="inlineStr">
        <is>
          <t>President</t>
        </is>
      </c>
      <c r="D4478" t="inlineStr">
        <is>
          <t>Président</t>
        </is>
      </c>
      <c r="E4478" t="inlineStr">
        <is>
          <t>Francis McGuire</t>
        </is>
      </c>
      <c r="F4478" t="inlineStr">
        <is>
          <t>Meetings and discussions with Agency and provincial government officials, and key stakeholders</t>
        </is>
      </c>
      <c r="G4478" t="inlineStr">
        <is>
          <t>Réunions et discussions avec des fonctionnaires de l'Agence et du gouvernement provincial, ainsi que des intervenants clés</t>
        </is>
      </c>
      <c r="H4478" s="1" t="n">
        <v>43083</v>
      </c>
      <c r="I4478" s="1" t="n">
        <v>43084</v>
      </c>
      <c r="J4478" t="inlineStr">
        <is>
          <t>Halifax, Nova Scotia</t>
        </is>
      </c>
      <c r="K4478" t="inlineStr">
        <is>
          <t>Halifax (Nouvelle-Écosse)</t>
        </is>
      </c>
      <c r="P4478" t="n">
        <v>682.24</v>
      </c>
      <c r="Q4478" t="n">
        <v>98.28</v>
      </c>
      <c r="R4478" t="n">
        <v>163.05</v>
      </c>
      <c r="S4478" t="n">
        <v>101.05</v>
      </c>
      <c r="T4478" t="n">
        <v>0</v>
      </c>
      <c r="U4478" t="n">
        <v>1044.62</v>
      </c>
      <c r="X4478" t="inlineStr">
        <is>
          <t>acoa-apeca</t>
        </is>
      </c>
      <c r="Y4478" t="inlineStr">
        <is>
          <t>Atlantic Canada Opportunities Agency | Agence de promotion économique du Canada atlantique</t>
        </is>
      </c>
      <c r="Z4478" t="n">
        <v>2</v>
      </c>
      <c r="AA4478" t="n">
        <v>1044.62</v>
      </c>
      <c r="AB4478">
        <f>ROUND(U4478-AA4478,2)</f>
        <v/>
      </c>
      <c r="AC4478" t="b">
        <v>0</v>
      </c>
      <c r="AD4478">
        <f>IF(U4478="","MISSING_TOTAL",IF(ABS(AB4478)&lt;=0.01,"OK","CHECK"))</f>
        <v/>
      </c>
      <c r="AE4478">
        <f>IF(U4478="","MISSING",IF(AND(AA4478&gt;0,U4478/AA4478&gt;50),"POSSIBLE_SCALE_ERROR","OK"))</f>
        <v/>
      </c>
    </row>
    <row r="4479">
      <c r="A4479" t="inlineStr">
        <is>
          <t>T-2018-Q4-00004</t>
        </is>
      </c>
      <c r="B4479" t="inlineStr">
        <is>
          <t>SLE</t>
        </is>
      </c>
      <c r="C4479" t="inlineStr">
        <is>
          <t>Vice-President, Policy and Programs</t>
        </is>
      </c>
      <c r="D4479" t="inlineStr">
        <is>
          <t>Vice-président, Politiques et Programmes</t>
        </is>
      </c>
      <c r="E4479" t="inlineStr">
        <is>
          <t>Daryell Nowlan</t>
        </is>
      </c>
      <c r="F4479" t="inlineStr">
        <is>
          <t>Meetings with Government of Canada officials</t>
        </is>
      </c>
      <c r="G4479" t="inlineStr">
        <is>
          <t>Réunions avec des fonctionnaires du gouvernement du Canada</t>
        </is>
      </c>
      <c r="H4479" s="1" t="n">
        <v>43082</v>
      </c>
      <c r="I4479" s="1" t="n">
        <v>43083</v>
      </c>
      <c r="J4479" t="inlineStr">
        <is>
          <t>Ottawa, Ontario</t>
        </is>
      </c>
      <c r="K4479" t="inlineStr">
        <is>
          <t>Ottawa (Ontario)</t>
        </is>
      </c>
      <c r="P4479" t="n">
        <v>692.3</v>
      </c>
      <c r="Q4479" t="n">
        <v>216.56</v>
      </c>
      <c r="R4479" t="n">
        <v>203.68</v>
      </c>
      <c r="S4479" t="n">
        <v>148.2</v>
      </c>
      <c r="T4479" t="n">
        <v>0</v>
      </c>
      <c r="U4479" t="n">
        <v>1260.74</v>
      </c>
      <c r="X4479" t="inlineStr">
        <is>
          <t>acoa-apeca</t>
        </is>
      </c>
      <c r="Y4479" t="inlineStr">
        <is>
          <t>Atlantic Canada Opportunities Agency | Agence de promotion économique du Canada atlantique</t>
        </is>
      </c>
      <c r="Z4479" t="n">
        <v>2</v>
      </c>
      <c r="AA4479" t="n">
        <v>1260.74</v>
      </c>
      <c r="AB4479">
        <f>ROUND(U4479-AA4479,2)</f>
        <v/>
      </c>
      <c r="AC4479" t="b">
        <v>0</v>
      </c>
      <c r="AD4479">
        <f>IF(U4479="","MISSING_TOTAL",IF(ABS(AB4479)&lt;=0.01,"OK","CHECK"))</f>
        <v/>
      </c>
      <c r="AE4479">
        <f>IF(U4479="","MISSING",IF(AND(AA4479&gt;0,U4479/AA4479&gt;50),"POSSIBLE_SCALE_ERROR","OK"))</f>
        <v/>
      </c>
    </row>
    <row r="4480">
      <c r="A4480" t="inlineStr">
        <is>
          <t>T-2018-Q4-00003</t>
        </is>
      </c>
      <c r="B4480" t="inlineStr">
        <is>
          <t>SLE</t>
        </is>
      </c>
      <c r="C4480" t="inlineStr">
        <is>
          <t>Vice-President, Newfoundland and Labrador</t>
        </is>
      </c>
      <c r="D4480" t="inlineStr">
        <is>
          <t>Vice-président, Terre-Neuve-et-Labrador</t>
        </is>
      </c>
      <c r="E4480" t="inlineStr">
        <is>
          <t>Ken Martin</t>
        </is>
      </c>
      <c r="F4480" t="inlineStr">
        <is>
          <t>Meeting with senior ACOA officials</t>
        </is>
      </c>
      <c r="G4480" t="inlineStr">
        <is>
          <t>Réunion avec des hauts fonctionnaires de l'APECA</t>
        </is>
      </c>
      <c r="H4480" s="1" t="n">
        <v>43075</v>
      </c>
      <c r="I4480" s="1" t="n">
        <v>43076</v>
      </c>
      <c r="J4480" t="inlineStr">
        <is>
          <t>Moncton, New Brunswick</t>
        </is>
      </c>
      <c r="K4480" t="inlineStr">
        <is>
          <t>Moncton (Nouveau-Brunswick)</t>
        </is>
      </c>
      <c r="P4480" t="n">
        <v>728.5599999999999</v>
      </c>
      <c r="Q4480" t="n">
        <v>54.56</v>
      </c>
      <c r="R4480" t="n">
        <v>125.35</v>
      </c>
      <c r="S4480" t="n">
        <v>148.4</v>
      </c>
      <c r="T4480" t="n">
        <v>0</v>
      </c>
      <c r="U4480" t="n">
        <v>1056.87</v>
      </c>
      <c r="X4480" t="inlineStr">
        <is>
          <t>acoa-apeca</t>
        </is>
      </c>
      <c r="Y4480" t="inlineStr">
        <is>
          <t>Atlantic Canada Opportunities Agency | Agence de promotion économique du Canada atlantique</t>
        </is>
      </c>
      <c r="Z4480" t="n">
        <v>2</v>
      </c>
      <c r="AA4480" t="n">
        <v>1056.87</v>
      </c>
      <c r="AB4480">
        <f>ROUND(U4480-AA4480,2)</f>
        <v/>
      </c>
      <c r="AC4480" t="b">
        <v>0</v>
      </c>
      <c r="AD4480">
        <f>IF(U4480="","MISSING_TOTAL",IF(ABS(AB4480)&lt;=0.01,"OK","CHECK"))</f>
        <v/>
      </c>
      <c r="AE4480">
        <f>IF(U4480="","MISSING",IF(AND(AA4480&gt;0,U4480/AA4480&gt;50),"POSSIBLE_SCALE_ERROR","OK"))</f>
        <v/>
      </c>
    </row>
    <row r="4481">
      <c r="A4481" t="inlineStr">
        <is>
          <t>T-2018-Q4-00002</t>
        </is>
      </c>
      <c r="B4481" t="inlineStr">
        <is>
          <t>SLE</t>
        </is>
      </c>
      <c r="C4481" t="inlineStr">
        <is>
          <t>Vice-President, Prince Edward Island</t>
        </is>
      </c>
      <c r="D4481" t="inlineStr">
        <is>
          <t>Vice-président, Île-du-Prince-Édouard</t>
        </is>
      </c>
      <c r="E4481" t="inlineStr">
        <is>
          <t>Patrick Dorsey</t>
        </is>
      </c>
      <c r="F4481" t="inlineStr">
        <is>
          <t>Atlantic Canada Agreement on Tourism meeting and meetings with Government of Canada officials</t>
        </is>
      </c>
      <c r="G4481" t="inlineStr">
        <is>
          <t>Réunion concernant l'Entente sur le tourisme dans la région de l'Atlantique et réunions avec des fonctionnaires du gouvernement du Canada</t>
        </is>
      </c>
      <c r="H4481" s="1" t="n">
        <v>43074</v>
      </c>
      <c r="I4481" s="1" t="n">
        <v>43076</v>
      </c>
      <c r="J4481" t="inlineStr">
        <is>
          <t>Halifax, Nova Scotia and Moncton, New Brunswick</t>
        </is>
      </c>
      <c r="K4481" t="inlineStr">
        <is>
          <t>Halifax (Nouvelle-Écosse) et Moncton (Nouveau-Brunswick)</t>
        </is>
      </c>
      <c r="P4481" t="n">
        <v>0</v>
      </c>
      <c r="Q4481" t="n">
        <v>88</v>
      </c>
      <c r="R4481" t="n">
        <v>304.5</v>
      </c>
      <c r="S4481" t="n">
        <v>231.95</v>
      </c>
      <c r="T4481" t="n">
        <v>0</v>
      </c>
      <c r="U4481" t="n">
        <v>624.45</v>
      </c>
      <c r="X4481" t="inlineStr">
        <is>
          <t>acoa-apeca</t>
        </is>
      </c>
      <c r="Y4481" t="inlineStr">
        <is>
          <t>Atlantic Canada Opportunities Agency | Agence de promotion économique du Canada atlantique</t>
        </is>
      </c>
      <c r="Z4481" t="n">
        <v>3</v>
      </c>
      <c r="AA4481" t="n">
        <v>624.45</v>
      </c>
      <c r="AB4481">
        <f>ROUND(U4481-AA4481,2)</f>
        <v/>
      </c>
      <c r="AC4481" t="b">
        <v>0</v>
      </c>
      <c r="AD4481">
        <f>IF(U4481="","MISSING_TOTAL",IF(ABS(AB4481)&lt;=0.01,"OK","CHECK"))</f>
        <v/>
      </c>
      <c r="AE4481">
        <f>IF(U4481="","MISSING",IF(AND(AA4481&gt;0,U4481/AA4481&gt;50),"POSSIBLE_SCALE_ERROR","OK"))</f>
        <v/>
      </c>
    </row>
    <row r="4482">
      <c r="A4482" t="inlineStr">
        <is>
          <t>T-2018-Q4-00001</t>
        </is>
      </c>
      <c r="B4482" t="inlineStr">
        <is>
          <t>SLE</t>
        </is>
      </c>
      <c r="C4482" t="inlineStr">
        <is>
          <t>President</t>
        </is>
      </c>
      <c r="D4482" t="inlineStr">
        <is>
          <t>Président</t>
        </is>
      </c>
      <c r="E4482" t="inlineStr">
        <is>
          <t>Francis McGuire</t>
        </is>
      </c>
      <c r="F4482" t="inlineStr">
        <is>
          <t>Meeting and discussions with provincial government officials</t>
        </is>
      </c>
      <c r="G4482" t="inlineStr">
        <is>
          <t>Réunion et discussions avec des fonctionnaires du gouvernement provincial</t>
        </is>
      </c>
      <c r="H4482" s="1" t="n">
        <v>43079</v>
      </c>
      <c r="I4482" s="1" t="n">
        <v>43080</v>
      </c>
      <c r="J4482" t="inlineStr">
        <is>
          <t>Halifax, Nova Scotia</t>
        </is>
      </c>
      <c r="K4482" t="inlineStr">
        <is>
          <t>Halifax (Nouvelle-Écosse)</t>
        </is>
      </c>
      <c r="P4482" t="n">
        <v>0</v>
      </c>
      <c r="Q4482" t="n">
        <v>264.82</v>
      </c>
      <c r="R4482" t="n">
        <v>192.38</v>
      </c>
      <c r="S4482" t="n">
        <v>101.05</v>
      </c>
      <c r="T4482" t="n">
        <v>0</v>
      </c>
      <c r="U4482" t="n">
        <v>558.25</v>
      </c>
      <c r="X4482" t="inlineStr">
        <is>
          <t>acoa-apeca</t>
        </is>
      </c>
      <c r="Y4482" t="inlineStr">
        <is>
          <t>Atlantic Canada Opportunities Agency | Agence de promotion économique du Canada atlantique</t>
        </is>
      </c>
      <c r="Z4482" t="n">
        <v>2</v>
      </c>
      <c r="AA4482" t="n">
        <v>558.25</v>
      </c>
      <c r="AB4482">
        <f>ROUND(U4482-AA4482,2)</f>
        <v/>
      </c>
      <c r="AC4482" t="b">
        <v>0</v>
      </c>
      <c r="AD4482">
        <f>IF(U4482="","MISSING_TOTAL",IF(ABS(AB4482)&lt;=0.01,"OK","CHECK"))</f>
        <v/>
      </c>
      <c r="AE4482">
        <f>IF(U4482="","MISSING",IF(AND(AA4482&gt;0,U4482/AA4482&gt;50),"POSSIBLE_SCALE_ERROR","OK"))</f>
        <v/>
      </c>
    </row>
    <row r="4483">
      <c r="A4483" t="inlineStr">
        <is>
          <t>T-2018-Q3-00079</t>
        </is>
      </c>
      <c r="B4483" t="inlineStr">
        <is>
          <t>SLE</t>
        </is>
      </c>
      <c r="C4483" t="inlineStr">
        <is>
          <t>President</t>
        </is>
      </c>
      <c r="D4483" t="inlineStr">
        <is>
          <t>Président</t>
        </is>
      </c>
      <c r="E4483" t="inlineStr">
        <is>
          <t>Francis McGuire</t>
        </is>
      </c>
      <c r="F4483" t="inlineStr">
        <is>
          <t>Attend a session with participants of the Wallace McCain Institute ELP10 group</t>
        </is>
      </c>
      <c r="G4483" t="inlineStr">
        <is>
          <t>Assister à une séance avec les participants du groupe ELP10 du Wallace McCain Institute</t>
        </is>
      </c>
      <c r="H4483" s="1" t="n">
        <v>43028</v>
      </c>
      <c r="I4483" s="1" t="n">
        <v>43028</v>
      </c>
      <c r="J4483" t="inlineStr">
        <is>
          <t>Sillikers, New Brunswick</t>
        </is>
      </c>
      <c r="K4483" t="inlineStr">
        <is>
          <t>Sillikers (Nouveau-Brunswick)</t>
        </is>
      </c>
      <c r="P4483" t="n">
        <v>0</v>
      </c>
      <c r="Q4483" t="n">
        <v>156.55</v>
      </c>
      <c r="R4483" t="n">
        <v>0</v>
      </c>
      <c r="S4483" t="n">
        <v>0</v>
      </c>
      <c r="T4483" t="n">
        <v>0</v>
      </c>
      <c r="U4483" t="n">
        <v>156.55</v>
      </c>
      <c r="X4483" t="inlineStr">
        <is>
          <t>acoa-apeca</t>
        </is>
      </c>
      <c r="Y4483" t="inlineStr">
        <is>
          <t>Atlantic Canada Opportunities Agency | Agence de promotion économique du Canada atlantique</t>
        </is>
      </c>
      <c r="Z4483" t="n">
        <v>1</v>
      </c>
      <c r="AA4483" t="n">
        <v>156.55</v>
      </c>
      <c r="AB4483">
        <f>ROUND(U4483-AA4483,2)</f>
        <v/>
      </c>
      <c r="AC4483" t="b">
        <v>0</v>
      </c>
      <c r="AD4483">
        <f>IF(U4483="","MISSING_TOTAL",IF(ABS(AB4483)&lt;=0.01,"OK","CHECK"))</f>
        <v/>
      </c>
      <c r="AE4483">
        <f>IF(U4483="","MISSING",IF(AND(AA4483&gt;0,U4483/AA4483&gt;50),"POSSIBLE_SCALE_ERROR","OK"))</f>
        <v/>
      </c>
    </row>
    <row r="4484">
      <c r="A4484" t="inlineStr">
        <is>
          <t>T-2018-Q3-00078</t>
        </is>
      </c>
      <c r="B4484" t="inlineStr">
        <is>
          <t>SLE</t>
        </is>
      </c>
      <c r="C4484" t="inlineStr">
        <is>
          <t>Vice-President, New Brunswick</t>
        </is>
      </c>
      <c r="D4484" t="inlineStr">
        <is>
          <t>Vice-président, Nouveau-Brunswick</t>
        </is>
      </c>
      <c r="E4484" t="inlineStr">
        <is>
          <t>Kent Estabrooks</t>
        </is>
      </c>
      <c r="F4484" t="inlineStr">
        <is>
          <t>Mentorship initiative meeting</t>
        </is>
      </c>
      <c r="G4484" t="inlineStr">
        <is>
          <t>Réunion dans le cadre d'une initiative de mentorat</t>
        </is>
      </c>
      <c r="H4484" s="1" t="n">
        <v>43055</v>
      </c>
      <c r="I4484" s="1" t="n">
        <v>43055</v>
      </c>
      <c r="J4484" t="inlineStr">
        <is>
          <t>Moncton, New Brunswick</t>
        </is>
      </c>
      <c r="K4484" t="inlineStr">
        <is>
          <t>Moncton (Nouveau-Brunswick)</t>
        </is>
      </c>
      <c r="P4484" t="n">
        <v>0</v>
      </c>
      <c r="Q4484" t="n">
        <v>0</v>
      </c>
      <c r="R4484" t="n">
        <v>0</v>
      </c>
      <c r="S4484" t="n">
        <v>66.25</v>
      </c>
      <c r="T4484" t="n">
        <v>18.5</v>
      </c>
      <c r="U4484" t="n">
        <v>84.75</v>
      </c>
      <c r="X4484" t="inlineStr">
        <is>
          <t>acoa-apeca</t>
        </is>
      </c>
      <c r="Y4484" t="inlineStr">
        <is>
          <t>Atlantic Canada Opportunities Agency | Agence de promotion économique du Canada atlantique</t>
        </is>
      </c>
      <c r="Z4484" t="n">
        <v>1</v>
      </c>
      <c r="AA4484" t="n">
        <v>84.75</v>
      </c>
      <c r="AB4484">
        <f>ROUND(U4484-AA4484,2)</f>
        <v/>
      </c>
      <c r="AC4484" t="b">
        <v>0</v>
      </c>
      <c r="AD4484">
        <f>IF(U4484="","MISSING_TOTAL",IF(ABS(AB4484)&lt;=0.01,"OK","CHECK"))</f>
        <v/>
      </c>
      <c r="AE4484">
        <f>IF(U4484="","MISSING",IF(AND(AA4484&gt;0,U4484/AA4484&gt;50),"POSSIBLE_SCALE_ERROR","OK"))</f>
        <v/>
      </c>
    </row>
    <row r="4485">
      <c r="A4485" t="inlineStr">
        <is>
          <t>T-2018-Q3-00077</t>
        </is>
      </c>
      <c r="B4485" t="inlineStr">
        <is>
          <t>SLE</t>
        </is>
      </c>
      <c r="C4485" t="inlineStr">
        <is>
          <t>Vice-President, New Brunswick</t>
        </is>
      </c>
      <c r="D4485" t="inlineStr">
        <is>
          <t>Vice-président, Nouveau-Brunswick</t>
        </is>
      </c>
      <c r="E4485" t="inlineStr">
        <is>
          <t>Kent Estabrooks</t>
        </is>
      </c>
      <c r="F4485" t="inlineStr">
        <is>
          <t>Meetings with German government officials, private sector representatives and other stakeholders on a champion file</t>
        </is>
      </c>
      <c r="G4485" t="inlineStr">
        <is>
          <t>Réunions avec des fonctionnaires du gouvernement allemand, des représentants du secteur privé et d'autres intervenants sur un dossier de champion</t>
        </is>
      </c>
      <c r="H4485" s="1" t="n">
        <v>43057</v>
      </c>
      <c r="I4485" s="1" t="n">
        <v>43064</v>
      </c>
      <c r="J4485" t="inlineStr">
        <is>
          <t>Stuttgart, Germany</t>
        </is>
      </c>
      <c r="K4485" t="inlineStr">
        <is>
          <t>Stuttgart, Allemagne</t>
        </is>
      </c>
      <c r="P4485" t="n">
        <v>2968.73</v>
      </c>
      <c r="Q4485" t="n">
        <v>118.14</v>
      </c>
      <c r="R4485" t="n">
        <v>986.0700000000001</v>
      </c>
      <c r="S4485" t="n">
        <v>940.65</v>
      </c>
      <c r="T4485" t="n">
        <v>77.27</v>
      </c>
      <c r="U4485" t="n">
        <v>5090.86</v>
      </c>
      <c r="X4485" t="inlineStr">
        <is>
          <t>acoa-apeca</t>
        </is>
      </c>
      <c r="Y4485" t="inlineStr">
        <is>
          <t>Atlantic Canada Opportunities Agency | Agence de promotion économique du Canada atlantique</t>
        </is>
      </c>
      <c r="Z4485" t="n">
        <v>8</v>
      </c>
      <c r="AA4485" t="n">
        <v>5090.86</v>
      </c>
      <c r="AB4485">
        <f>ROUND(U4485-AA4485,2)</f>
        <v/>
      </c>
      <c r="AC4485" t="b">
        <v>0</v>
      </c>
      <c r="AD4485">
        <f>IF(U4485="","MISSING_TOTAL",IF(ABS(AB4485)&lt;=0.01,"OK","CHECK"))</f>
        <v/>
      </c>
      <c r="AE4485">
        <f>IF(U4485="","MISSING",IF(AND(AA4485&gt;0,U4485/AA4485&gt;50),"POSSIBLE_SCALE_ERROR","OK"))</f>
        <v/>
      </c>
    </row>
    <row r="4486">
      <c r="A4486" t="inlineStr">
        <is>
          <t>T-2018-Q3-00076</t>
        </is>
      </c>
      <c r="B4486" t="inlineStr">
        <is>
          <t>SLE</t>
        </is>
      </c>
      <c r="C4486" t="inlineStr">
        <is>
          <t>Vice-President, New Brunswick</t>
        </is>
      </c>
      <c r="D4486" t="inlineStr">
        <is>
          <t>Vice-président, Nouveau-Brunswick</t>
        </is>
      </c>
      <c r="E4486" t="inlineStr">
        <is>
          <t>Kent Estabrooks</t>
        </is>
      </c>
      <c r="F4486" t="inlineStr">
        <is>
          <t>Training and development/interviews</t>
        </is>
      </c>
      <c r="G4486" t="inlineStr">
        <is>
          <t>Formation et perfectionnement/entrevues</t>
        </is>
      </c>
      <c r="H4486" s="1" t="n">
        <v>43067</v>
      </c>
      <c r="I4486" s="1" t="n">
        <v>43069</v>
      </c>
      <c r="J4486" t="inlineStr">
        <is>
          <t>Ottawa, Ontario</t>
        </is>
      </c>
      <c r="K4486" t="inlineStr">
        <is>
          <t>Ottawa (Ontario)</t>
        </is>
      </c>
      <c r="P4486" t="n">
        <v>692.3</v>
      </c>
      <c r="Q4486" t="n">
        <v>132</v>
      </c>
      <c r="R4486" t="n">
        <v>463.24</v>
      </c>
      <c r="S4486" t="n">
        <v>231.75</v>
      </c>
      <c r="T4486" t="n">
        <v>0</v>
      </c>
      <c r="U4486" t="n">
        <v>1519.29</v>
      </c>
      <c r="X4486" t="inlineStr">
        <is>
          <t>acoa-apeca</t>
        </is>
      </c>
      <c r="Y4486" t="inlineStr">
        <is>
          <t>Atlantic Canada Opportunities Agency | Agence de promotion économique du Canada atlantique</t>
        </is>
      </c>
      <c r="Z4486" t="n">
        <v>3</v>
      </c>
      <c r="AA4486" t="n">
        <v>1519.29</v>
      </c>
      <c r="AB4486">
        <f>ROUND(U4486-AA4486,2)</f>
        <v/>
      </c>
      <c r="AC4486" t="b">
        <v>0</v>
      </c>
      <c r="AD4486">
        <f>IF(U4486="","MISSING_TOTAL",IF(ABS(AB4486)&lt;=0.01,"OK","CHECK"))</f>
        <v/>
      </c>
      <c r="AE4486">
        <f>IF(U4486="","MISSING",IF(AND(AA4486&gt;0,U4486/AA4486&gt;50),"POSSIBLE_SCALE_ERROR","OK"))</f>
        <v/>
      </c>
    </row>
    <row r="4487">
      <c r="A4487" t="inlineStr">
        <is>
          <t>T-2018-Q3-00066</t>
        </is>
      </c>
      <c r="B4487" t="inlineStr">
        <is>
          <t>SLE</t>
        </is>
      </c>
      <c r="C4487" t="inlineStr">
        <is>
          <t>President</t>
        </is>
      </c>
      <c r="D4487" t="inlineStr">
        <is>
          <t>Président</t>
        </is>
      </c>
      <c r="E4487" t="inlineStr">
        <is>
          <t>Francis McGuire</t>
        </is>
      </c>
      <c r="F4487" t="inlineStr">
        <is>
          <t>Various meetings and discussions with Agency and Government of Canada officials, and key stakeholders</t>
        </is>
      </c>
      <c r="G4487" t="inlineStr">
        <is>
          <t>Diverses réunions et discussions avec des fonctionnaires de l'Agence et du gouvernement du Canada, ainsi que des intervenants clés</t>
        </is>
      </c>
      <c r="H4487" s="1" t="n">
        <v>43067</v>
      </c>
      <c r="I4487" s="1" t="n">
        <v>43070</v>
      </c>
      <c r="J4487" t="inlineStr">
        <is>
          <t>Ottawa and Toronto, Ontario</t>
        </is>
      </c>
      <c r="K4487" t="inlineStr">
        <is>
          <t>Ottawa et Toronto (Ontario)</t>
        </is>
      </c>
      <c r="P4487" t="n">
        <v>836.34</v>
      </c>
      <c r="Q4487" t="n">
        <v>208.28</v>
      </c>
      <c r="R4487" t="n">
        <v>531.29</v>
      </c>
      <c r="S4487" t="n">
        <v>222.6</v>
      </c>
      <c r="T4487" t="n">
        <v>0</v>
      </c>
      <c r="U4487" t="n">
        <v>1798.51</v>
      </c>
      <c r="X4487" t="inlineStr">
        <is>
          <t>acoa-apeca</t>
        </is>
      </c>
      <c r="Y4487" t="inlineStr">
        <is>
          <t>Atlantic Canada Opportunities Agency | Agence de promotion économique du Canada atlantique</t>
        </is>
      </c>
      <c r="Z4487" t="n">
        <v>4</v>
      </c>
      <c r="AA4487" t="n">
        <v>1798.51</v>
      </c>
      <c r="AB4487">
        <f>ROUND(U4487-AA4487,2)</f>
        <v/>
      </c>
      <c r="AC4487" t="b">
        <v>0</v>
      </c>
      <c r="AD4487">
        <f>IF(U4487="","MISSING_TOTAL",IF(ABS(AB4487)&lt;=0.01,"OK","CHECK"))</f>
        <v/>
      </c>
      <c r="AE4487">
        <f>IF(U4487="","MISSING",IF(AND(AA4487&gt;0,U4487/AA4487&gt;50),"POSSIBLE_SCALE_ERROR","OK"))</f>
        <v/>
      </c>
    </row>
    <row r="4488">
      <c r="A4488" t="inlineStr">
        <is>
          <t>T-2018-Q3-00049</t>
        </is>
      </c>
      <c r="B4488" t="inlineStr">
        <is>
          <t>SLE</t>
        </is>
      </c>
      <c r="C4488" t="inlineStr">
        <is>
          <t>President</t>
        </is>
      </c>
      <c r="D4488" t="inlineStr">
        <is>
          <t>Président</t>
        </is>
      </c>
      <c r="E4488" t="inlineStr">
        <is>
          <t>Francis McGuire</t>
        </is>
      </c>
      <c r="F4488" t="inlineStr">
        <is>
          <t>Various meetings and discussions with Agency officials and key stakeholders</t>
        </is>
      </c>
      <c r="G4488" t="inlineStr">
        <is>
          <t>Diverses réunions et discussions avec des fonctionnaires de l'Agence et des intervenants clés</t>
        </is>
      </c>
      <c r="H4488" s="1" t="n">
        <v>43066</v>
      </c>
      <c r="I4488" s="1" t="n">
        <v>43067</v>
      </c>
      <c r="J4488" t="inlineStr">
        <is>
          <t>Edmundston, New Brunswick</t>
        </is>
      </c>
      <c r="K4488" t="inlineStr">
        <is>
          <t>Edmundston (Nouveau-Brunswick)</t>
        </is>
      </c>
      <c r="P4488" t="n">
        <v>0</v>
      </c>
      <c r="Q4488" t="n">
        <v>275.22</v>
      </c>
      <c r="R4488" t="n">
        <v>129.8</v>
      </c>
      <c r="S4488" t="n">
        <v>119.95</v>
      </c>
      <c r="T4488" t="n">
        <v>0</v>
      </c>
      <c r="U4488" t="n">
        <v>524.97</v>
      </c>
      <c r="X4488" t="inlineStr">
        <is>
          <t>acoa-apeca</t>
        </is>
      </c>
      <c r="Y4488" t="inlineStr">
        <is>
          <t>Atlantic Canada Opportunities Agency | Agence de promotion économique du Canada atlantique</t>
        </is>
      </c>
      <c r="Z4488" t="n">
        <v>2</v>
      </c>
      <c r="AA4488" t="n">
        <v>524.97</v>
      </c>
      <c r="AB4488">
        <f>ROUND(U4488-AA4488,2)</f>
        <v/>
      </c>
      <c r="AC4488" t="b">
        <v>0</v>
      </c>
      <c r="AD4488">
        <f>IF(U4488="","MISSING_TOTAL",IF(ABS(AB4488)&lt;=0.01,"OK","CHECK"))</f>
        <v/>
      </c>
      <c r="AE4488">
        <f>IF(U4488="","MISSING",IF(AND(AA4488&gt;0,U4488/AA4488&gt;50),"POSSIBLE_SCALE_ERROR","OK"))</f>
        <v/>
      </c>
    </row>
    <row r="4489">
      <c r="A4489" t="inlineStr">
        <is>
          <t>T-2018-Q3-00040</t>
        </is>
      </c>
      <c r="B4489" t="inlineStr">
        <is>
          <t>SLE</t>
        </is>
      </c>
      <c r="C4489" t="inlineStr">
        <is>
          <t>President</t>
        </is>
      </c>
      <c r="D4489" t="inlineStr">
        <is>
          <t>Président</t>
        </is>
      </c>
      <c r="E4489" t="inlineStr">
        <is>
          <t>Francis McGuire</t>
        </is>
      </c>
      <c r="F4489" t="inlineStr">
        <is>
          <t>Accompany Minister Bains on his regional tour</t>
        </is>
      </c>
      <c r="G4489" t="inlineStr">
        <is>
          <t>Accompagner le ministre Bains lors de sa tournée régionale</t>
        </is>
      </c>
      <c r="H4489" s="1" t="n">
        <v>43062</v>
      </c>
      <c r="I4489" s="1" t="n">
        <v>43063</v>
      </c>
      <c r="J4489" t="inlineStr">
        <is>
          <t>Truro, Nova Scotia and Sussex, New Brunswick</t>
        </is>
      </c>
      <c r="K4489" t="inlineStr">
        <is>
          <t>Truro (Nouvelle-Écosse) et Sussex (Nouveau-Brunswick)</t>
        </is>
      </c>
      <c r="P4489" t="n">
        <v>0</v>
      </c>
      <c r="Q4489" t="n">
        <v>311.86</v>
      </c>
      <c r="R4489" t="n">
        <v>0</v>
      </c>
      <c r="S4489" t="n">
        <v>37.8</v>
      </c>
      <c r="T4489" t="n">
        <v>0</v>
      </c>
      <c r="U4489" t="n">
        <v>349.66</v>
      </c>
      <c r="X4489" t="inlineStr">
        <is>
          <t>acoa-apeca</t>
        </is>
      </c>
      <c r="Y4489" t="inlineStr">
        <is>
          <t>Atlantic Canada Opportunities Agency | Agence de promotion économique du Canada atlantique</t>
        </is>
      </c>
      <c r="Z4489" t="n">
        <v>2</v>
      </c>
      <c r="AA4489" t="n">
        <v>349.66</v>
      </c>
      <c r="AB4489">
        <f>ROUND(U4489-AA4489,2)</f>
        <v/>
      </c>
      <c r="AC4489" t="b">
        <v>0</v>
      </c>
      <c r="AD4489">
        <f>IF(U4489="","MISSING_TOTAL",IF(ABS(AB4489)&lt;=0.01,"OK","CHECK"))</f>
        <v/>
      </c>
      <c r="AE4489">
        <f>IF(U4489="","MISSING",IF(AND(AA4489&gt;0,U4489/AA4489&gt;50),"POSSIBLE_SCALE_ERROR","OK"))</f>
        <v/>
      </c>
    </row>
    <row r="4490">
      <c r="A4490" t="inlineStr">
        <is>
          <t>T-2017-Q4-00043</t>
        </is>
      </c>
      <c r="B4490" t="inlineStr">
        <is>
          <t>SLE</t>
        </is>
      </c>
      <c r="C4490" t="inlineStr">
        <is>
          <t>Vice-President, Newfoundland and Labrador</t>
        </is>
      </c>
      <c r="D4490" t="inlineStr">
        <is>
          <t>Vice-président, Terre-Neuve-et-Labrador</t>
        </is>
      </c>
      <c r="E4490" t="inlineStr">
        <is>
          <t>Ken Martin</t>
        </is>
      </c>
      <c r="F4490" t="inlineStr">
        <is>
          <t>Meetings with clients and senior officials</t>
        </is>
      </c>
      <c r="G4490" t="inlineStr">
        <is>
          <t>Réunions avec des clients et des hauts fonctionnaires</t>
        </is>
      </c>
      <c r="H4490" s="1" t="n">
        <v>43070</v>
      </c>
      <c r="I4490" s="1" t="n">
        <v>43089</v>
      </c>
      <c r="J4490" t="inlineStr">
        <is>
          <t>St. John's and surrounding area, Newfoundland and Labrador</t>
        </is>
      </c>
      <c r="K4490" t="inlineStr">
        <is>
          <t>St. John's et environs (Terre-Neuve-et-et-Labrador)</t>
        </is>
      </c>
      <c r="P4490" t="n">
        <v>0</v>
      </c>
      <c r="Q4490" t="n">
        <v>137.16</v>
      </c>
      <c r="R4490" t="n">
        <v>0</v>
      </c>
      <c r="S4490" t="n">
        <v>0</v>
      </c>
      <c r="T4490" t="n">
        <v>0</v>
      </c>
      <c r="U4490" t="n">
        <v>137.16</v>
      </c>
      <c r="X4490" t="inlineStr">
        <is>
          <t>acoa-apeca</t>
        </is>
      </c>
      <c r="Y4490" t="inlineStr">
        <is>
          <t>Atlantic Canada Opportunities Agency | Agence de promotion économique du Canada atlantique</t>
        </is>
      </c>
      <c r="Z4490" t="n">
        <v>20</v>
      </c>
      <c r="AA4490" t="n">
        <v>137.16</v>
      </c>
      <c r="AB4490">
        <f>ROUND(U4490-AA4490,2)</f>
        <v/>
      </c>
      <c r="AC4490" t="b">
        <v>0</v>
      </c>
      <c r="AD4490">
        <f>IF(U4490="","MISSING_TOTAL",IF(ABS(AB4490)&lt;=0.01,"OK","CHECK"))</f>
        <v/>
      </c>
      <c r="AE4490">
        <f>IF(U4490="","MISSING",IF(AND(AA4490&gt;0,U4490/AA4490&gt;50),"POSSIBLE_SCALE_ERROR","OK"))</f>
        <v/>
      </c>
    </row>
    <row r="4491">
      <c r="A4491" t="inlineStr">
        <is>
          <t>T-2019-Q1-00026</t>
        </is>
      </c>
      <c r="B4491" t="inlineStr">
        <is>
          <t>SLE</t>
        </is>
      </c>
      <c r="C4491" t="inlineStr">
        <is>
          <t>Senior Advisor (Energy)</t>
        </is>
      </c>
      <c r="D4491" t="inlineStr">
        <is>
          <t>Conseiller spécial (energie)</t>
        </is>
      </c>
      <c r="E4491" t="inlineStr">
        <is>
          <t>Andrew F. Noseworthy</t>
        </is>
      </c>
      <c r="F4491" t="inlineStr">
        <is>
          <t>Attend Offshore Technology Conference 2018</t>
        </is>
      </c>
      <c r="G4491" t="inlineStr">
        <is>
          <t>Assister à l'Offshore Technology Conference 2018</t>
        </is>
      </c>
      <c r="H4491" s="1" t="n">
        <v>43217</v>
      </c>
      <c r="I4491" s="1" t="n">
        <v>43226</v>
      </c>
      <c r="J4491" t="inlineStr">
        <is>
          <t>Houston, Texas</t>
        </is>
      </c>
      <c r="K4491" t="inlineStr">
        <is>
          <t>Houston, Texas</t>
        </is>
      </c>
      <c r="P4491" t="n">
        <v>1585.71</v>
      </c>
      <c r="Q4491" t="n">
        <v>423.3</v>
      </c>
      <c r="R4491" t="n">
        <v>2295.87</v>
      </c>
      <c r="S4491" t="n">
        <v>694.27</v>
      </c>
      <c r="T4491" t="n">
        <v>0</v>
      </c>
      <c r="U4491" t="n">
        <v>4999.15</v>
      </c>
      <c r="X4491" t="inlineStr">
        <is>
          <t>acoa-apeca</t>
        </is>
      </c>
      <c r="Y4491" t="inlineStr">
        <is>
          <t>Atlantic Canada Opportunities Agency | Agence de promotion économique du Canada atlantique</t>
        </is>
      </c>
      <c r="Z4491" t="n">
        <v>10</v>
      </c>
      <c r="AA4491" t="n">
        <v>4999.15</v>
      </c>
      <c r="AB4491">
        <f>ROUND(U4491-AA4491,2)</f>
        <v/>
      </c>
      <c r="AC4491" t="b">
        <v>0</v>
      </c>
      <c r="AD4491">
        <f>IF(U4491="","MISSING_TOTAL",IF(ABS(AB4491)&lt;=0.01,"OK","CHECK"))</f>
        <v/>
      </c>
      <c r="AE4491">
        <f>IF(U4491="","MISSING",IF(AND(AA4491&gt;0,U4491/AA4491&gt;50),"POSSIBLE_SCALE_ERROR","OK"))</f>
        <v/>
      </c>
    </row>
    <row r="4492">
      <c r="A4492" t="inlineStr">
        <is>
          <t>T-2019-Q1-00012</t>
        </is>
      </c>
      <c r="B4492" t="inlineStr">
        <is>
          <t>SLE</t>
        </is>
      </c>
      <c r="C4492" t="inlineStr">
        <is>
          <t>Senior Advisor (Energy)</t>
        </is>
      </c>
      <c r="D4492" t="inlineStr">
        <is>
          <t>Conseiller spécial (energie)</t>
        </is>
      </c>
      <c r="E4492" t="inlineStr">
        <is>
          <t>Andrew F. Noseworthy</t>
        </is>
      </c>
      <c r="F4492" t="inlineStr">
        <is>
          <t>Attend Executive Committee meeting</t>
        </is>
      </c>
      <c r="G4492" t="inlineStr">
        <is>
          <t>Assister à une réunion du Comité de direction</t>
        </is>
      </c>
      <c r="H4492" s="1" t="n">
        <v>43185</v>
      </c>
      <c r="I4492" s="1" t="n">
        <v>43186</v>
      </c>
      <c r="J4492" t="inlineStr">
        <is>
          <t>Ottawa, Ontario</t>
        </is>
      </c>
      <c r="K4492" t="inlineStr">
        <is>
          <t>Ottawa (Ontario)</t>
        </is>
      </c>
      <c r="P4492" t="n">
        <v>1286.84</v>
      </c>
      <c r="Q4492" t="n">
        <v>86</v>
      </c>
      <c r="R4492" t="n">
        <v>233.86</v>
      </c>
      <c r="S4492" t="n">
        <v>148.4</v>
      </c>
      <c r="T4492" t="n">
        <v>84.75</v>
      </c>
      <c r="U4492" t="n">
        <v>1839.85</v>
      </c>
      <c r="X4492" t="inlineStr">
        <is>
          <t>acoa-apeca</t>
        </is>
      </c>
      <c r="Y4492" t="inlineStr">
        <is>
          <t>Atlantic Canada Opportunities Agency | Agence de promotion économique du Canada atlantique</t>
        </is>
      </c>
      <c r="Z4492" t="n">
        <v>2</v>
      </c>
      <c r="AA4492" t="n">
        <v>1839.85</v>
      </c>
      <c r="AB4492">
        <f>ROUND(U4492-AA4492,2)</f>
        <v/>
      </c>
      <c r="AC4492" t="b">
        <v>0</v>
      </c>
      <c r="AD4492">
        <f>IF(U4492="","MISSING_TOTAL",IF(ABS(AB4492)&lt;=0.01,"OK","CHECK"))</f>
        <v/>
      </c>
      <c r="AE4492">
        <f>IF(U4492="","MISSING",IF(AND(AA4492&gt;0,U4492/AA4492&gt;50),"POSSIBLE_SCALE_ERROR","OK"))</f>
        <v/>
      </c>
    </row>
    <row r="4493">
      <c r="A4493" t="inlineStr">
        <is>
          <t>T-2019-Q1-00042</t>
        </is>
      </c>
      <c r="B4493" t="inlineStr">
        <is>
          <t>SLE</t>
        </is>
      </c>
      <c r="C4493" t="inlineStr">
        <is>
          <t>Vice-President, Policy, Programs and Communications</t>
        </is>
      </c>
      <c r="D4493" t="inlineStr">
        <is>
          <t>Vice-président, Politiques et Programmes</t>
        </is>
      </c>
      <c r="E4493" t="inlineStr">
        <is>
          <t>Daryell Nowlan</t>
        </is>
      </c>
      <c r="F4493" t="inlineStr">
        <is>
          <t>Meetings with Government of Canada officials and private sector officials</t>
        </is>
      </c>
      <c r="G4493" t="inlineStr">
        <is>
          <t>Réunions avec des fonctionnaires du gouvernement du Canada et des représentants du secteur privé</t>
        </is>
      </c>
      <c r="H4493" s="1" t="n">
        <v>43248</v>
      </c>
      <c r="I4493" s="1" t="n">
        <v>43251</v>
      </c>
      <c r="J4493" t="inlineStr">
        <is>
          <t>Ottawa, Ontario</t>
        </is>
      </c>
      <c r="K4493" t="inlineStr">
        <is>
          <t>Ottawa (Ontario)</t>
        </is>
      </c>
      <c r="P4493" t="n">
        <v>824.24</v>
      </c>
      <c r="Q4493" t="n">
        <v>273.52</v>
      </c>
      <c r="R4493" t="n">
        <v>701.58</v>
      </c>
      <c r="S4493" t="n">
        <v>319.4</v>
      </c>
      <c r="T4493" t="n">
        <v>0</v>
      </c>
      <c r="U4493" t="n">
        <v>2118.74</v>
      </c>
      <c r="X4493" t="inlineStr">
        <is>
          <t>acoa-apeca</t>
        </is>
      </c>
      <c r="Y4493" t="inlineStr">
        <is>
          <t>Atlantic Canada Opportunities Agency | Agence de promotion économique du Canada atlantique</t>
        </is>
      </c>
      <c r="Z4493" t="n">
        <v>4</v>
      </c>
      <c r="AA4493" t="n">
        <v>2118.74</v>
      </c>
      <c r="AB4493">
        <f>ROUND(U4493-AA4493,2)</f>
        <v/>
      </c>
      <c r="AC4493" t="b">
        <v>0</v>
      </c>
      <c r="AD4493">
        <f>IF(U4493="","MISSING_TOTAL",IF(ABS(AB4493)&lt;=0.01,"OK","CHECK"))</f>
        <v/>
      </c>
      <c r="AE4493">
        <f>IF(U4493="","MISSING",IF(AND(AA4493&gt;0,U4493/AA4493&gt;50),"POSSIBLE_SCALE_ERROR","OK"))</f>
        <v/>
      </c>
    </row>
    <row r="4494">
      <c r="A4494" t="inlineStr">
        <is>
          <t>T-2019-Q1-00030</t>
        </is>
      </c>
      <c r="B4494" t="inlineStr">
        <is>
          <t>SLE</t>
        </is>
      </c>
      <c r="C4494" t="inlineStr">
        <is>
          <t>Vice-President, Policy, Programs and Communications</t>
        </is>
      </c>
      <c r="D4494" t="inlineStr">
        <is>
          <t>Vice-président, Politiques et Programmes</t>
        </is>
      </c>
      <c r="E4494" t="inlineStr">
        <is>
          <t>Daryell Nowlan</t>
        </is>
      </c>
      <c r="F4494" t="inlineStr">
        <is>
          <t>Meetings with Government of Canada officials</t>
        </is>
      </c>
      <c r="G4494" t="inlineStr">
        <is>
          <t>Réunions avec des fonctionnaires du gouvernement du Canada</t>
        </is>
      </c>
      <c r="H4494" s="1" t="n">
        <v>43227</v>
      </c>
      <c r="I4494" s="1" t="n">
        <v>43230</v>
      </c>
      <c r="J4494" t="inlineStr">
        <is>
          <t>Fredericton, New Brunswick and Ottawa, Ontario</t>
        </is>
      </c>
      <c r="K4494" t="inlineStr">
        <is>
          <t>Fredericton (Nouveau-Brunswick) et Ottawa (Ontario)</t>
        </is>
      </c>
      <c r="P4494" t="n">
        <v>726.42</v>
      </c>
      <c r="Q4494" t="n">
        <v>448.33</v>
      </c>
      <c r="R4494" t="n">
        <v>475.22</v>
      </c>
      <c r="S4494" t="n">
        <v>319.4</v>
      </c>
      <c r="T4494" t="n">
        <v>0</v>
      </c>
      <c r="U4494" t="n">
        <v>1969.37</v>
      </c>
      <c r="X4494" t="inlineStr">
        <is>
          <t>acoa-apeca</t>
        </is>
      </c>
      <c r="Y4494" t="inlineStr">
        <is>
          <t>Atlantic Canada Opportunities Agency | Agence de promotion économique du Canada atlantique</t>
        </is>
      </c>
      <c r="Z4494" t="n">
        <v>4</v>
      </c>
      <c r="AA4494" t="n">
        <v>1969.37</v>
      </c>
      <c r="AB4494">
        <f>ROUND(U4494-AA4494,2)</f>
        <v/>
      </c>
      <c r="AC4494" t="b">
        <v>0</v>
      </c>
      <c r="AD4494">
        <f>IF(U4494="","MISSING_TOTAL",IF(ABS(AB4494)&lt;=0.01,"OK","CHECK"))</f>
        <v/>
      </c>
      <c r="AE4494">
        <f>IF(U4494="","MISSING",IF(AND(AA4494&gt;0,U4494/AA4494&gt;50),"POSSIBLE_SCALE_ERROR","OK"))</f>
        <v/>
      </c>
    </row>
    <row r="4495">
      <c r="A4495" t="inlineStr">
        <is>
          <t>T-2019-Q1-00027</t>
        </is>
      </c>
      <c r="B4495" t="inlineStr">
        <is>
          <t>SLE</t>
        </is>
      </c>
      <c r="C4495" t="inlineStr">
        <is>
          <t>Vice-President, Policy, Programs and Communications</t>
        </is>
      </c>
      <c r="D4495" t="inlineStr">
        <is>
          <t>Vice-président, Politiques et Programmes</t>
        </is>
      </c>
      <c r="E4495" t="inlineStr">
        <is>
          <t>Daryell Nowlan</t>
        </is>
      </c>
      <c r="F4495" t="inlineStr">
        <is>
          <t>Meetings with Government of Canada and industry officials</t>
        </is>
      </c>
      <c r="G4495" t="inlineStr">
        <is>
          <t>Réunions avec des fonctionnaires du gouvernement du Canada et des représentants de l'industrie</t>
        </is>
      </c>
      <c r="H4495" s="1" t="n">
        <v>43221</v>
      </c>
      <c r="I4495" s="1" t="n">
        <v>43223</v>
      </c>
      <c r="J4495" t="inlineStr">
        <is>
          <t>Ottawa, Ontario</t>
        </is>
      </c>
      <c r="K4495" t="inlineStr">
        <is>
          <t>Ottawa (Ontario)</t>
        </is>
      </c>
      <c r="P4495" t="n">
        <v>692.3</v>
      </c>
      <c r="Q4495" t="n">
        <v>62.84</v>
      </c>
      <c r="R4495" t="n">
        <v>467.72</v>
      </c>
      <c r="S4495" t="n">
        <v>253.95</v>
      </c>
      <c r="T4495" t="n">
        <v>0</v>
      </c>
      <c r="U4495" t="n">
        <v>1476.81</v>
      </c>
      <c r="X4495" t="inlineStr">
        <is>
          <t>acoa-apeca</t>
        </is>
      </c>
      <c r="Y4495" t="inlineStr">
        <is>
          <t>Atlantic Canada Opportunities Agency | Agence de promotion économique du Canada atlantique</t>
        </is>
      </c>
      <c r="Z4495" t="n">
        <v>3</v>
      </c>
      <c r="AA4495" t="n">
        <v>1476.81</v>
      </c>
      <c r="AB4495">
        <f>ROUND(U4495-AA4495,2)</f>
        <v/>
      </c>
      <c r="AC4495" t="b">
        <v>0</v>
      </c>
      <c r="AD4495">
        <f>IF(U4495="","MISSING_TOTAL",IF(ABS(AB4495)&lt;=0.01,"OK","CHECK"))</f>
        <v/>
      </c>
      <c r="AE4495">
        <f>IF(U4495="","MISSING",IF(AND(AA4495&gt;0,U4495/AA4495&gt;50),"POSSIBLE_SCALE_ERROR","OK"))</f>
        <v/>
      </c>
    </row>
    <row r="4496">
      <c r="A4496" t="inlineStr">
        <is>
          <t>T-2019-Q1-00022</t>
        </is>
      </c>
      <c r="B4496" t="inlineStr">
        <is>
          <t>SLE</t>
        </is>
      </c>
      <c r="C4496" t="inlineStr">
        <is>
          <t>Vice-President, Policy, Programs and Communications</t>
        </is>
      </c>
      <c r="D4496" t="inlineStr">
        <is>
          <t>Vice-président, Politiques et Programmes</t>
        </is>
      </c>
      <c r="E4496" t="inlineStr">
        <is>
          <t>Daryell Nowlan</t>
        </is>
      </c>
      <c r="F4496" t="inlineStr">
        <is>
          <t>Meeting with Government of Canada officials</t>
        </is>
      </c>
      <c r="G4496" t="inlineStr">
        <is>
          <t>Réunion avec des fonctionnaires du gouvernement du Canada</t>
        </is>
      </c>
      <c r="H4496" s="1" t="n">
        <v>43214</v>
      </c>
      <c r="I4496" s="1" t="n">
        <v>43215</v>
      </c>
      <c r="J4496" t="inlineStr">
        <is>
          <t>Fredericton, New Brunswick</t>
        </is>
      </c>
      <c r="K4496" t="inlineStr">
        <is>
          <t>Fredericton (Nouveau-Brunswick)</t>
        </is>
      </c>
      <c r="P4496" t="n">
        <v>0</v>
      </c>
      <c r="Q4496" t="n">
        <v>89.7</v>
      </c>
      <c r="R4496" t="n">
        <v>171.35</v>
      </c>
      <c r="S4496" t="n">
        <v>121.4</v>
      </c>
      <c r="T4496" t="n">
        <v>0</v>
      </c>
      <c r="U4496" t="n">
        <v>382.45</v>
      </c>
      <c r="X4496" t="inlineStr">
        <is>
          <t>acoa-apeca</t>
        </is>
      </c>
      <c r="Y4496" t="inlineStr">
        <is>
          <t>Atlantic Canada Opportunities Agency | Agence de promotion économique du Canada atlantique</t>
        </is>
      </c>
      <c r="Z4496" t="n">
        <v>2</v>
      </c>
      <c r="AA4496" t="n">
        <v>382.45</v>
      </c>
      <c r="AB4496">
        <f>ROUND(U4496-AA4496,2)</f>
        <v/>
      </c>
      <c r="AC4496" t="b">
        <v>0</v>
      </c>
      <c r="AD4496">
        <f>IF(U4496="","MISSING_TOTAL",IF(ABS(AB4496)&lt;=0.01,"OK","CHECK"))</f>
        <v/>
      </c>
      <c r="AE4496">
        <f>IF(U4496="","MISSING",IF(AND(AA4496&gt;0,U4496/AA4496&gt;50),"POSSIBLE_SCALE_ERROR","OK"))</f>
        <v/>
      </c>
    </row>
    <row r="4497">
      <c r="A4497" t="inlineStr">
        <is>
          <t>T-2019-Q1-00017</t>
        </is>
      </c>
      <c r="B4497" t="inlineStr">
        <is>
          <t>SLE</t>
        </is>
      </c>
      <c r="C4497" t="inlineStr">
        <is>
          <t>Vice-President, Policy, Programs and Communications</t>
        </is>
      </c>
      <c r="D4497" t="inlineStr">
        <is>
          <t>Vice-président, Politiques et Programmes</t>
        </is>
      </c>
      <c r="E4497" t="inlineStr">
        <is>
          <t>Daryell Nowlan</t>
        </is>
      </c>
      <c r="F4497" t="inlineStr">
        <is>
          <t>Meetings with Government of Canada officials</t>
        </is>
      </c>
      <c r="G4497" t="inlineStr">
        <is>
          <t>Réunions avec des fonctionnaires du gouvernement du Canada</t>
        </is>
      </c>
      <c r="H4497" s="1" t="n">
        <v>43200</v>
      </c>
      <c r="I4497" s="1" t="n">
        <v>43205</v>
      </c>
      <c r="J4497" t="inlineStr">
        <is>
          <t>Ottawa, Ontario</t>
        </is>
      </c>
      <c r="K4497" t="inlineStr">
        <is>
          <t>Ottawa (Ontario)</t>
        </is>
      </c>
      <c r="P4497" t="n">
        <v>692.3</v>
      </c>
      <c r="Q4497" t="n">
        <v>133.68</v>
      </c>
      <c r="R4497" t="n">
        <v>467.72</v>
      </c>
      <c r="S4497" t="n">
        <v>186.6</v>
      </c>
      <c r="T4497" t="n">
        <v>0</v>
      </c>
      <c r="U4497" t="n">
        <v>1480.3</v>
      </c>
      <c r="X4497" t="inlineStr">
        <is>
          <t>acoa-apeca</t>
        </is>
      </c>
      <c r="Y4497" t="inlineStr">
        <is>
          <t>Atlantic Canada Opportunities Agency | Agence de promotion économique du Canada atlantique</t>
        </is>
      </c>
      <c r="Z4497" t="n">
        <v>6</v>
      </c>
      <c r="AA4497" t="n">
        <v>1480.3</v>
      </c>
      <c r="AB4497">
        <f>ROUND(U4497-AA4497,2)</f>
        <v/>
      </c>
      <c r="AC4497" t="b">
        <v>0</v>
      </c>
      <c r="AD4497">
        <f>IF(U4497="","MISSING_TOTAL",IF(ABS(AB4497)&lt;=0.01,"OK","CHECK"))</f>
        <v/>
      </c>
      <c r="AE4497">
        <f>IF(U4497="","MISSING",IF(AND(AA4497&gt;0,U4497/AA4497&gt;50),"POSSIBLE_SCALE_ERROR","OK"))</f>
        <v/>
      </c>
    </row>
    <row r="4498">
      <c r="A4498" t="inlineStr">
        <is>
          <t>T-2019-Q1-00014</t>
        </is>
      </c>
      <c r="B4498" t="inlineStr">
        <is>
          <t>SLE</t>
        </is>
      </c>
      <c r="C4498" t="inlineStr">
        <is>
          <t>Vice-President, Policy, Programs and Communications</t>
        </is>
      </c>
      <c r="D4498" t="inlineStr">
        <is>
          <t>Vice-président, Politiques et Programmes</t>
        </is>
      </c>
      <c r="E4498" t="inlineStr">
        <is>
          <t>Daryell Nowlan</t>
        </is>
      </c>
      <c r="F4498" t="inlineStr">
        <is>
          <t>Meetings with Government of Canada officials</t>
        </is>
      </c>
      <c r="G4498" t="inlineStr">
        <is>
          <t>Réunions avec des fonctionnaires du gouvernement du Canada</t>
        </is>
      </c>
      <c r="H4498" s="1" t="n">
        <v>43185</v>
      </c>
      <c r="I4498" s="1" t="n">
        <v>43188</v>
      </c>
      <c r="J4498" t="inlineStr">
        <is>
          <t>Ottawa, Ontario</t>
        </is>
      </c>
      <c r="K4498" t="inlineStr">
        <is>
          <t>Ottawa (Ontario)</t>
        </is>
      </c>
      <c r="P4498" t="n">
        <v>692.3</v>
      </c>
      <c r="Q4498" t="n">
        <v>80</v>
      </c>
      <c r="R4498" t="n">
        <v>616.98</v>
      </c>
      <c r="S4498" t="n">
        <v>267.95</v>
      </c>
      <c r="T4498" t="n">
        <v>0</v>
      </c>
      <c r="U4498" t="n">
        <v>1657.23</v>
      </c>
      <c r="X4498" t="inlineStr">
        <is>
          <t>acoa-apeca</t>
        </is>
      </c>
      <c r="Y4498" t="inlineStr">
        <is>
          <t>Atlantic Canada Opportunities Agency | Agence de promotion économique du Canada atlantique</t>
        </is>
      </c>
      <c r="Z4498" t="n">
        <v>4</v>
      </c>
      <c r="AA4498" t="n">
        <v>1657.23</v>
      </c>
      <c r="AB4498">
        <f>ROUND(U4498-AA4498,2)</f>
        <v/>
      </c>
      <c r="AC4498" t="b">
        <v>0</v>
      </c>
      <c r="AD4498">
        <f>IF(U4498="","MISSING_TOTAL",IF(ABS(AB4498)&lt;=0.01,"OK","CHECK"))</f>
        <v/>
      </c>
      <c r="AE4498">
        <f>IF(U4498="","MISSING",IF(AND(AA4498&gt;0,U4498/AA4498&gt;50),"POSSIBLE_SCALE_ERROR","OK"))</f>
        <v/>
      </c>
    </row>
    <row r="4499">
      <c r="A4499" t="inlineStr">
        <is>
          <t>T-2019-Q2-00001</t>
        </is>
      </c>
      <c r="B4499" t="inlineStr">
        <is>
          <t>SLE</t>
        </is>
      </c>
      <c r="C4499" t="inlineStr">
        <is>
          <t>Vice-President, New Brunswick</t>
        </is>
      </c>
      <c r="D4499" t="inlineStr">
        <is>
          <t>Vice-président, Nouveau-Brunswick</t>
        </is>
      </c>
      <c r="E4499" t="inlineStr">
        <is>
          <t>Kent Estabrooks</t>
        </is>
      </c>
      <c r="F4499" t="inlineStr">
        <is>
          <t>Meetings with Agency officials and various Government of Canada officials</t>
        </is>
      </c>
      <c r="G4499" t="inlineStr">
        <is>
          <t>Réunions avec des fonctionnaires de l'Agence et divers fonctionnaires du gouvernement fédéral</t>
        </is>
      </c>
      <c r="H4499" s="1" t="n">
        <v>43199</v>
      </c>
      <c r="I4499" s="1" t="n">
        <v>43202</v>
      </c>
      <c r="J4499" t="inlineStr">
        <is>
          <t>Ottawa, Ontario</t>
        </is>
      </c>
      <c r="K4499" t="inlineStr">
        <is>
          <t>Ottawa (Ontario)</t>
        </is>
      </c>
      <c r="P4499" t="n">
        <v>692.3</v>
      </c>
      <c r="Q4499" t="n">
        <v>126.7</v>
      </c>
      <c r="R4499" t="n">
        <v>439.52</v>
      </c>
      <c r="S4499" t="n">
        <v>271.25</v>
      </c>
      <c r="T4499" t="n">
        <v>128.89</v>
      </c>
      <c r="U4499" t="n">
        <v>1658.66</v>
      </c>
      <c r="X4499" t="inlineStr">
        <is>
          <t>acoa-apeca</t>
        </is>
      </c>
      <c r="Y4499" t="inlineStr">
        <is>
          <t>Atlantic Canada Opportunities Agency | Agence de promotion économique du Canada atlantique</t>
        </is>
      </c>
      <c r="Z4499" t="n">
        <v>4</v>
      </c>
      <c r="AA4499" t="n">
        <v>1658.65999999999</v>
      </c>
      <c r="AB4499">
        <f>ROUND(U4499-AA4499,2)</f>
        <v/>
      </c>
      <c r="AC4499" t="b">
        <v>0</v>
      </c>
      <c r="AD4499">
        <f>IF(U4499="","MISSING_TOTAL",IF(ABS(AB4499)&lt;=0.01,"OK","CHECK"))</f>
        <v/>
      </c>
      <c r="AE4499">
        <f>IF(U4499="","MISSING",IF(AND(AA4499&gt;0,U4499/AA4499&gt;50),"POSSIBLE_SCALE_ERROR","OK"))</f>
        <v/>
      </c>
    </row>
    <row r="4500">
      <c r="A4500" t="inlineStr">
        <is>
          <t>T-2019-Q1-00062</t>
        </is>
      </c>
      <c r="B4500" t="inlineStr">
        <is>
          <t>SLE</t>
        </is>
      </c>
      <c r="C4500" t="inlineStr">
        <is>
          <t>Vice-President, New Brunswick</t>
        </is>
      </c>
      <c r="D4500" t="inlineStr">
        <is>
          <t>Vice-président, Nouveau-Brunswick</t>
        </is>
      </c>
      <c r="E4500" t="inlineStr">
        <is>
          <t>Kent Estabrooks</t>
        </is>
      </c>
      <c r="F4500" t="inlineStr">
        <is>
          <t>Meeting with Agency officials, and training and development</t>
        </is>
      </c>
      <c r="G4500" t="inlineStr">
        <is>
          <t>Réunion avec des fonctionnaires de l'Agence, et formation et perfectionnement</t>
        </is>
      </c>
      <c r="H4500" s="1" t="n">
        <v>43247</v>
      </c>
      <c r="I4500" s="1" t="n">
        <v>43251</v>
      </c>
      <c r="J4500" t="inlineStr">
        <is>
          <t>Ottawa, Ontario</t>
        </is>
      </c>
      <c r="K4500" t="inlineStr">
        <is>
          <t>Ottawa (Ontario)</t>
        </is>
      </c>
      <c r="P4500" t="n">
        <v>1038.45</v>
      </c>
      <c r="Q4500" t="n">
        <v>268.65</v>
      </c>
      <c r="R4500" t="n">
        <v>935.01</v>
      </c>
      <c r="S4500" t="n">
        <v>404.3</v>
      </c>
      <c r="T4500" t="n">
        <v>132.2</v>
      </c>
      <c r="U4500" t="n">
        <v>2778.61</v>
      </c>
      <c r="X4500" t="inlineStr">
        <is>
          <t>acoa-apeca</t>
        </is>
      </c>
      <c r="Y4500" t="inlineStr">
        <is>
          <t>Atlantic Canada Opportunities Agency | Agence de promotion économique du Canada atlantique</t>
        </is>
      </c>
      <c r="Z4500" t="n">
        <v>5</v>
      </c>
      <c r="AA4500" t="n">
        <v>2778.60999999999</v>
      </c>
      <c r="AB4500">
        <f>ROUND(U4500-AA4500,2)</f>
        <v/>
      </c>
      <c r="AC4500" t="b">
        <v>0</v>
      </c>
      <c r="AD4500">
        <f>IF(U4500="","MISSING_TOTAL",IF(ABS(AB4500)&lt;=0.01,"OK","CHECK"))</f>
        <v/>
      </c>
      <c r="AE4500">
        <f>IF(U4500="","MISSING",IF(AND(AA4500&gt;0,U4500/AA4500&gt;50),"POSSIBLE_SCALE_ERROR","OK"))</f>
        <v/>
      </c>
    </row>
    <row r="4501">
      <c r="A4501" t="inlineStr">
        <is>
          <t>T-2019-Q1-00061</t>
        </is>
      </c>
      <c r="B4501" t="inlineStr">
        <is>
          <t>SLE</t>
        </is>
      </c>
      <c r="C4501" t="inlineStr">
        <is>
          <t>Vice-President, New Brunswick</t>
        </is>
      </c>
      <c r="D4501" t="inlineStr">
        <is>
          <t>Vice-président, Nouveau-Brunswick</t>
        </is>
      </c>
      <c r="E4501" t="inlineStr">
        <is>
          <t>Kent Estabrooks</t>
        </is>
      </c>
      <c r="F4501" t="inlineStr">
        <is>
          <t>Various meetings with Agency officials</t>
        </is>
      </c>
      <c r="G4501" t="inlineStr">
        <is>
          <t>Diverses réunions avec des fonctionnaires de l'Agence</t>
        </is>
      </c>
      <c r="H4501" s="1" t="n">
        <v>43242</v>
      </c>
      <c r="I4501" s="1" t="n">
        <v>43243</v>
      </c>
      <c r="J4501" t="inlineStr">
        <is>
          <t>Moncton, New Brunswick</t>
        </is>
      </c>
      <c r="K4501" t="inlineStr">
        <is>
          <t>Moncton (Nouveau-Brunswick)</t>
        </is>
      </c>
      <c r="P4501" t="n">
        <v>0</v>
      </c>
      <c r="Q4501" t="n">
        <v>0</v>
      </c>
      <c r="R4501" t="n">
        <v>167.9</v>
      </c>
      <c r="S4501" t="n">
        <v>130.9</v>
      </c>
      <c r="T4501" t="n">
        <v>0</v>
      </c>
      <c r="U4501" t="n">
        <v>298.8</v>
      </c>
      <c r="X4501" t="inlineStr">
        <is>
          <t>acoa-apeca</t>
        </is>
      </c>
      <c r="Y4501" t="inlineStr">
        <is>
          <t>Atlantic Canada Opportunities Agency | Agence de promotion économique du Canada atlantique</t>
        </is>
      </c>
      <c r="Z4501" t="n">
        <v>2</v>
      </c>
      <c r="AA4501" t="n">
        <v>298.8</v>
      </c>
      <c r="AB4501">
        <f>ROUND(U4501-AA4501,2)</f>
        <v/>
      </c>
      <c r="AC4501" t="b">
        <v>0</v>
      </c>
      <c r="AD4501">
        <f>IF(U4501="","MISSING_TOTAL",IF(ABS(AB4501)&lt;=0.01,"OK","CHECK"))</f>
        <v/>
      </c>
      <c r="AE4501">
        <f>IF(U4501="","MISSING",IF(AND(AA4501&gt;0,U4501/AA4501&gt;50),"POSSIBLE_SCALE_ERROR","OK"))</f>
        <v/>
      </c>
    </row>
    <row r="4502">
      <c r="A4502" t="inlineStr">
        <is>
          <t>T-2019-Q1-00060</t>
        </is>
      </c>
      <c r="B4502" t="inlineStr">
        <is>
          <t>SLE</t>
        </is>
      </c>
      <c r="C4502" t="inlineStr">
        <is>
          <t>Vice-President, New Brunswick</t>
        </is>
      </c>
      <c r="D4502" t="inlineStr">
        <is>
          <t>Vice-président, Nouveau-Brunswick</t>
        </is>
      </c>
      <c r="E4502" t="inlineStr">
        <is>
          <t>Kent Estabrooks</t>
        </is>
      </c>
      <c r="F4502" t="inlineStr">
        <is>
          <t>Various meetings with Agency officials</t>
        </is>
      </c>
      <c r="G4502" t="inlineStr">
        <is>
          <t>Diverses réunions avec des fonctionnaires de l'Agence</t>
        </is>
      </c>
      <c r="H4502" s="1" t="n">
        <v>43237</v>
      </c>
      <c r="I4502" s="1" t="n">
        <v>43238</v>
      </c>
      <c r="J4502" t="inlineStr">
        <is>
          <t>Moncton, New Brunswick</t>
        </is>
      </c>
      <c r="K4502" t="inlineStr">
        <is>
          <t>Moncton (Nouveau-Brunswick)</t>
        </is>
      </c>
      <c r="P4502" t="n">
        <v>0</v>
      </c>
      <c r="Q4502" t="n">
        <v>0</v>
      </c>
      <c r="R4502" t="n">
        <v>167.9</v>
      </c>
      <c r="S4502" t="n">
        <v>101.95</v>
      </c>
      <c r="T4502" t="n">
        <v>0</v>
      </c>
      <c r="U4502" t="n">
        <v>269.85</v>
      </c>
      <c r="X4502" t="inlineStr">
        <is>
          <t>acoa-apeca</t>
        </is>
      </c>
      <c r="Y4502" t="inlineStr">
        <is>
          <t>Atlantic Canada Opportunities Agency | Agence de promotion économique du Canada atlantique</t>
        </is>
      </c>
      <c r="Z4502" t="n">
        <v>2</v>
      </c>
      <c r="AA4502" t="n">
        <v>269.85</v>
      </c>
      <c r="AB4502">
        <f>ROUND(U4502-AA4502,2)</f>
        <v/>
      </c>
      <c r="AC4502" t="b">
        <v>0</v>
      </c>
      <c r="AD4502">
        <f>IF(U4502="","MISSING_TOTAL",IF(ABS(AB4502)&lt;=0.01,"OK","CHECK"))</f>
        <v/>
      </c>
      <c r="AE4502">
        <f>IF(U4502="","MISSING",IF(AND(AA4502&gt;0,U4502/AA4502&gt;50),"POSSIBLE_SCALE_ERROR","OK"))</f>
        <v/>
      </c>
    </row>
    <row r="4503">
      <c r="A4503" t="inlineStr">
        <is>
          <t>T-2019-Q1-00059</t>
        </is>
      </c>
      <c r="B4503" t="inlineStr">
        <is>
          <t>SLE</t>
        </is>
      </c>
      <c r="C4503" t="inlineStr">
        <is>
          <t>Vice-President, New Brunswick</t>
        </is>
      </c>
      <c r="D4503" t="inlineStr">
        <is>
          <t>Vice-président, Nouveau-Brunswick</t>
        </is>
      </c>
      <c r="E4503" t="inlineStr">
        <is>
          <t>Kent Estabrooks</t>
        </is>
      </c>
      <c r="F4503" t="inlineStr">
        <is>
          <t>Meetings with various Government of Canada officials; Food sector working group; Training and Development</t>
        </is>
      </c>
      <c r="G4503" t="inlineStr">
        <is>
          <t>Réunions avec divers fonctionnaires du gouvernement du Canada; Groupe de travail du secteur alimentaire; formation et perfectionnement</t>
        </is>
      </c>
      <c r="H4503" s="1" t="n">
        <v>43220</v>
      </c>
      <c r="I4503" s="1" t="n">
        <v>43223</v>
      </c>
      <c r="J4503" t="inlineStr">
        <is>
          <t>Halifax, Nova Scotia</t>
        </is>
      </c>
      <c r="K4503" t="inlineStr">
        <is>
          <t>Halifax (Nouvelle-Écosse)</t>
        </is>
      </c>
      <c r="P4503" t="n">
        <v>346.15</v>
      </c>
      <c r="Q4503" t="n">
        <v>347.44</v>
      </c>
      <c r="R4503" t="n">
        <v>672.16</v>
      </c>
      <c r="S4503" t="n">
        <v>271.25</v>
      </c>
      <c r="T4503" t="n">
        <v>18.2</v>
      </c>
      <c r="U4503" t="n">
        <v>1655.2</v>
      </c>
      <c r="X4503" t="inlineStr">
        <is>
          <t>acoa-apeca</t>
        </is>
      </c>
      <c r="Y4503" t="inlineStr">
        <is>
          <t>Atlantic Canada Opportunities Agency | Agence de promotion économique du Canada atlantique</t>
        </is>
      </c>
      <c r="Z4503" t="n">
        <v>4</v>
      </c>
      <c r="AA4503" t="n">
        <v>1655.2</v>
      </c>
      <c r="AB4503">
        <f>ROUND(U4503-AA4503,2)</f>
        <v/>
      </c>
      <c r="AC4503" t="b">
        <v>0</v>
      </c>
      <c r="AD4503">
        <f>IF(U4503="","MISSING_TOTAL",IF(ABS(AB4503)&lt;=0.01,"OK","CHECK"))</f>
        <v/>
      </c>
      <c r="AE4503">
        <f>IF(U4503="","MISSING",IF(AND(AA4503&gt;0,U4503/AA4503&gt;50),"POSSIBLE_SCALE_ERROR","OK"))</f>
        <v/>
      </c>
    </row>
    <row r="4504">
      <c r="A4504" t="inlineStr">
        <is>
          <t>T-2019-Q1-00058</t>
        </is>
      </c>
      <c r="B4504" t="inlineStr">
        <is>
          <t>SLE</t>
        </is>
      </c>
      <c r="C4504" t="inlineStr">
        <is>
          <t>Vice-President, New Brunswick</t>
        </is>
      </c>
      <c r="D4504" t="inlineStr">
        <is>
          <t>Vice-président, Nouveau-Brunswick</t>
        </is>
      </c>
      <c r="E4504" t="inlineStr">
        <is>
          <t>Kent Estabrooks</t>
        </is>
      </c>
      <c r="F4504" t="inlineStr">
        <is>
          <t>Meetings with Agency officials, various federal and provincial officials, and other stakeholders</t>
        </is>
      </c>
      <c r="G4504" t="inlineStr">
        <is>
          <t>Réunions avec des fonctionnaires de l'Agence, divers fonctionnaires fédéraux et provinciaux, et d'autres intervenants</t>
        </is>
      </c>
      <c r="H4504" s="1" t="n">
        <v>43213</v>
      </c>
      <c r="I4504" s="1" t="n">
        <v>43217</v>
      </c>
      <c r="J4504" t="inlineStr">
        <is>
          <t>Ottawa, Ontario</t>
        </is>
      </c>
      <c r="K4504" t="inlineStr">
        <is>
          <t>Ottawa (Ontario)</t>
        </is>
      </c>
      <c r="P4504" t="n">
        <v>1038.45</v>
      </c>
      <c r="Q4504" t="n">
        <v>103.5</v>
      </c>
      <c r="R4504" t="n">
        <v>891.41</v>
      </c>
      <c r="S4504" t="n">
        <v>288.55</v>
      </c>
      <c r="T4504" t="n">
        <v>66.2</v>
      </c>
      <c r="U4504" t="n">
        <v>2388.11</v>
      </c>
      <c r="X4504" t="inlineStr">
        <is>
          <t>acoa-apeca</t>
        </is>
      </c>
      <c r="Y4504" t="inlineStr">
        <is>
          <t>Atlantic Canada Opportunities Agency | Agence de promotion économique du Canada atlantique</t>
        </is>
      </c>
      <c r="Z4504" t="n">
        <v>5</v>
      </c>
      <c r="AA4504" t="n">
        <v>2388.11</v>
      </c>
      <c r="AB4504">
        <f>ROUND(U4504-AA4504,2)</f>
        <v/>
      </c>
      <c r="AC4504" t="b">
        <v>0</v>
      </c>
      <c r="AD4504">
        <f>IF(U4504="","MISSING_TOTAL",IF(ABS(AB4504)&lt;=0.01,"OK","CHECK"))</f>
        <v/>
      </c>
      <c r="AE4504">
        <f>IF(U4504="","MISSING",IF(AND(AA4504&gt;0,U4504/AA4504&gt;50),"POSSIBLE_SCALE_ERROR","OK"))</f>
        <v/>
      </c>
    </row>
    <row r="4505">
      <c r="A4505" t="inlineStr">
        <is>
          <t>T-2019-Q1-00055</t>
        </is>
      </c>
      <c r="B4505" t="inlineStr">
        <is>
          <t>SLE</t>
        </is>
      </c>
      <c r="C4505" t="inlineStr">
        <is>
          <t>Vice-President, New Brunswick</t>
        </is>
      </c>
      <c r="D4505" t="inlineStr">
        <is>
          <t>Vice-président, Nouveau-Brunswick</t>
        </is>
      </c>
      <c r="E4505" t="inlineStr">
        <is>
          <t>Kent Estabrooks</t>
        </is>
      </c>
      <c r="F4505" t="inlineStr">
        <is>
          <t>Various meetings with Agency officials, Government of Canada and provincial government officials</t>
        </is>
      </c>
      <c r="G4505" t="inlineStr">
        <is>
          <t>Diverses réunions avec des fonctionnaires de l'Agence et des gouvernements fédéral et provinciaux</t>
        </is>
      </c>
      <c r="H4505" s="1" t="n">
        <v>43192</v>
      </c>
      <c r="I4505" s="1" t="n">
        <v>43196</v>
      </c>
      <c r="J4505" t="inlineStr">
        <is>
          <t>Atlantic regions</t>
        </is>
      </c>
      <c r="K4505" t="inlineStr">
        <is>
          <t>Régions de l'Atlantique</t>
        </is>
      </c>
      <c r="P4505" t="n">
        <v>1275.21</v>
      </c>
      <c r="Q4505" t="n">
        <v>412.64</v>
      </c>
      <c r="R4505" t="n">
        <v>769.78</v>
      </c>
      <c r="S4505" t="n">
        <v>288.55</v>
      </c>
      <c r="T4505" t="n">
        <v>0</v>
      </c>
      <c r="U4505" t="n">
        <v>2746.18</v>
      </c>
      <c r="X4505" t="inlineStr">
        <is>
          <t>acoa-apeca</t>
        </is>
      </c>
      <c r="Y4505" t="inlineStr">
        <is>
          <t>Atlantic Canada Opportunities Agency | Agence de promotion économique du Canada atlantique</t>
        </is>
      </c>
      <c r="Z4505" t="n">
        <v>5</v>
      </c>
      <c r="AA4505" t="n">
        <v>2746.18</v>
      </c>
      <c r="AB4505">
        <f>ROUND(U4505-AA4505,2)</f>
        <v/>
      </c>
      <c r="AC4505" t="b">
        <v>0</v>
      </c>
      <c r="AD4505">
        <f>IF(U4505="","MISSING_TOTAL",IF(ABS(AB4505)&lt;=0.01,"OK","CHECK"))</f>
        <v/>
      </c>
      <c r="AE4505">
        <f>IF(U4505="","MISSING",IF(AND(AA4505&gt;0,U4505/AA4505&gt;50),"POSSIBLE_SCALE_ERROR","OK"))</f>
        <v/>
      </c>
    </row>
    <row r="4506">
      <c r="A4506" t="inlineStr">
        <is>
          <t>T-2019-Q1-00054</t>
        </is>
      </c>
      <c r="B4506" t="inlineStr">
        <is>
          <t>SLE</t>
        </is>
      </c>
      <c r="C4506" t="inlineStr">
        <is>
          <t>Vice-President, New Brunswick</t>
        </is>
      </c>
      <c r="D4506" t="inlineStr">
        <is>
          <t>Vice-président, Nouveau-Brunswick</t>
        </is>
      </c>
      <c r="E4506" t="inlineStr">
        <is>
          <t>Kent Estabrooks</t>
        </is>
      </c>
      <c r="F4506" t="inlineStr">
        <is>
          <t>Meetings with Government of Canada officials</t>
        </is>
      </c>
      <c r="G4506" t="inlineStr">
        <is>
          <t>Réunions avec des fonctionnaires du gouvernement du Canada</t>
        </is>
      </c>
      <c r="H4506" s="1" t="n">
        <v>43188</v>
      </c>
      <c r="I4506" s="1" t="n">
        <v>43189</v>
      </c>
      <c r="J4506" t="inlineStr">
        <is>
          <t>Ottawa, Ontario</t>
        </is>
      </c>
      <c r="K4506" t="inlineStr">
        <is>
          <t>Ottawa (Ontario)</t>
        </is>
      </c>
      <c r="P4506" t="n">
        <v>692.3</v>
      </c>
      <c r="Q4506" t="n">
        <v>113.13</v>
      </c>
      <c r="R4506" t="n">
        <v>0</v>
      </c>
      <c r="S4506" t="n">
        <v>66.25</v>
      </c>
      <c r="T4506" t="n">
        <v>0</v>
      </c>
      <c r="U4506" t="n">
        <v>871.6799999999999</v>
      </c>
      <c r="X4506" t="inlineStr">
        <is>
          <t>acoa-apeca</t>
        </is>
      </c>
      <c r="Y4506" t="inlineStr">
        <is>
          <t>Atlantic Canada Opportunities Agency | Agence de promotion économique du Canada atlantique</t>
        </is>
      </c>
      <c r="Z4506" t="n">
        <v>2</v>
      </c>
      <c r="AA4506" t="n">
        <v>871.6799999999999</v>
      </c>
      <c r="AB4506">
        <f>ROUND(U4506-AA4506,2)</f>
        <v/>
      </c>
      <c r="AC4506" t="b">
        <v>0</v>
      </c>
      <c r="AD4506">
        <f>IF(U4506="","MISSING_TOTAL",IF(ABS(AB4506)&lt;=0.01,"OK","CHECK"))</f>
        <v/>
      </c>
      <c r="AE4506">
        <f>IF(U4506="","MISSING",IF(AND(AA4506&gt;0,U4506/AA4506&gt;50),"POSSIBLE_SCALE_ERROR","OK"))</f>
        <v/>
      </c>
    </row>
    <row r="4507">
      <c r="A4507" t="inlineStr">
        <is>
          <t>T-2019-Q1-00053</t>
        </is>
      </c>
      <c r="B4507" t="inlineStr">
        <is>
          <t>SLE</t>
        </is>
      </c>
      <c r="C4507" t="inlineStr">
        <is>
          <t>Vice-President, New Brunswick</t>
        </is>
      </c>
      <c r="D4507" t="inlineStr">
        <is>
          <t>Vice-président, Nouveau-Brunswick</t>
        </is>
      </c>
      <c r="E4507" t="inlineStr">
        <is>
          <t>Kent Estabrooks</t>
        </is>
      </c>
      <c r="F4507" t="inlineStr">
        <is>
          <t>Agency Executive Committee meeting and meetings with other federal officials</t>
        </is>
      </c>
      <c r="G4507" t="inlineStr">
        <is>
          <t>Réunion du Comité de direction de l'Agence et réunions avec d'autres fonctionnaires fédéraux</t>
        </is>
      </c>
      <c r="H4507" s="1" t="n">
        <v>43184</v>
      </c>
      <c r="I4507" s="1" t="n">
        <v>43186</v>
      </c>
      <c r="J4507" t="inlineStr">
        <is>
          <t>Ottawa, Ontario</t>
        </is>
      </c>
      <c r="K4507" t="inlineStr">
        <is>
          <t>Ottawa (Ontario)</t>
        </is>
      </c>
      <c r="P4507" t="n">
        <v>692.3</v>
      </c>
      <c r="Q4507" t="n">
        <v>111.2</v>
      </c>
      <c r="R4507" t="n">
        <v>411.32</v>
      </c>
      <c r="S4507" t="n">
        <v>212.85</v>
      </c>
      <c r="T4507" t="n">
        <v>0</v>
      </c>
      <c r="U4507" t="n">
        <v>1427.67</v>
      </c>
      <c r="X4507" t="inlineStr">
        <is>
          <t>acoa-apeca</t>
        </is>
      </c>
      <c r="Y4507" t="inlineStr">
        <is>
          <t>Atlantic Canada Opportunities Agency | Agence de promotion économique du Canada atlantique</t>
        </is>
      </c>
      <c r="Z4507" t="n">
        <v>3</v>
      </c>
      <c r="AA4507" t="n">
        <v>1427.66999999999</v>
      </c>
      <c r="AB4507">
        <f>ROUND(U4507-AA4507,2)</f>
        <v/>
      </c>
      <c r="AC4507" t="b">
        <v>0</v>
      </c>
      <c r="AD4507">
        <f>IF(U4507="","MISSING_TOTAL",IF(ABS(AB4507)&lt;=0.01,"OK","CHECK"))</f>
        <v/>
      </c>
      <c r="AE4507">
        <f>IF(U4507="","MISSING",IF(AND(AA4507&gt;0,U4507/AA4507&gt;50),"POSSIBLE_SCALE_ERROR","OK"))</f>
        <v/>
      </c>
    </row>
    <row r="4508">
      <c r="A4508" t="inlineStr">
        <is>
          <t>T-2019-Q1-00052</t>
        </is>
      </c>
      <c r="B4508" t="inlineStr">
        <is>
          <t>SLE</t>
        </is>
      </c>
      <c r="C4508" t="inlineStr">
        <is>
          <t>Vice-President, New Brunswick</t>
        </is>
      </c>
      <c r="D4508" t="inlineStr">
        <is>
          <t>Vice-président, Nouveau-Brunswick</t>
        </is>
      </c>
      <c r="E4508" t="inlineStr">
        <is>
          <t>Kent Estabrooks</t>
        </is>
      </c>
      <c r="F4508" t="inlineStr">
        <is>
          <t>Various meetings with Agency officials and clients on a champion file</t>
        </is>
      </c>
      <c r="G4508" t="inlineStr">
        <is>
          <t>Diverses réunions avec des fonctionnaires de l'Agence et des clients sur un dossier de champion</t>
        </is>
      </c>
      <c r="H4508" s="1" t="n">
        <v>43179</v>
      </c>
      <c r="I4508" s="1" t="n">
        <v>43180</v>
      </c>
      <c r="J4508" t="inlineStr">
        <is>
          <t>Charlottetown, Prince Edward Island</t>
        </is>
      </c>
      <c r="K4508" t="inlineStr">
        <is>
          <t>Charlottetown (Île-du-Prince-Édouard)</t>
        </is>
      </c>
      <c r="P4508" t="n">
        <v>0</v>
      </c>
      <c r="Q4508" t="n">
        <v>47</v>
      </c>
      <c r="R4508" t="n">
        <v>336.69</v>
      </c>
      <c r="S4508" t="n">
        <v>184.4</v>
      </c>
      <c r="T4508" t="n">
        <v>20.7</v>
      </c>
      <c r="U4508" t="n">
        <v>588.79</v>
      </c>
      <c r="X4508" t="inlineStr">
        <is>
          <t>acoa-apeca</t>
        </is>
      </c>
      <c r="Y4508" t="inlineStr">
        <is>
          <t>Atlantic Canada Opportunities Agency | Agence de promotion économique du Canada atlantique</t>
        </is>
      </c>
      <c r="Z4508" t="n">
        <v>2</v>
      </c>
      <c r="AA4508" t="n">
        <v>588.79</v>
      </c>
      <c r="AB4508">
        <f>ROUND(U4508-AA4508,2)</f>
        <v/>
      </c>
      <c r="AC4508" t="b">
        <v>0</v>
      </c>
      <c r="AD4508">
        <f>IF(U4508="","MISSING_TOTAL",IF(ABS(AB4508)&lt;=0.01,"OK","CHECK"))</f>
        <v/>
      </c>
      <c r="AE4508">
        <f>IF(U4508="","MISSING",IF(AND(AA4508&gt;0,U4508/AA4508&gt;50),"POSSIBLE_SCALE_ERROR","OK"))</f>
        <v/>
      </c>
    </row>
    <row r="4509">
      <c r="A4509" t="inlineStr">
        <is>
          <t>T-2019-Q1-00056</t>
        </is>
      </c>
      <c r="B4509" t="inlineStr">
        <is>
          <t>SLE</t>
        </is>
      </c>
      <c r="C4509" t="inlineStr">
        <is>
          <t>Vice-President, Prince Edward Island</t>
        </is>
      </c>
      <c r="D4509" t="inlineStr">
        <is>
          <t>Vice-président, Île-du-Prince-Édouard</t>
        </is>
      </c>
      <c r="E4509" t="inlineStr">
        <is>
          <t>Patrick Dorsey</t>
        </is>
      </c>
      <c r="F4509" t="inlineStr">
        <is>
          <t>Attend meetings</t>
        </is>
      </c>
      <c r="G4509" t="inlineStr">
        <is>
          <t>Assister à des réunions</t>
        </is>
      </c>
      <c r="H4509" s="1" t="n">
        <v>43248</v>
      </c>
      <c r="I4509" s="1" t="n">
        <v>43249</v>
      </c>
      <c r="J4509" t="inlineStr">
        <is>
          <t>Ottawa, Ontario</t>
        </is>
      </c>
      <c r="K4509" t="inlineStr">
        <is>
          <t>Ottawa (Ontario)</t>
        </is>
      </c>
      <c r="P4509" t="n">
        <v>786.01</v>
      </c>
      <c r="Q4509" t="n">
        <v>200</v>
      </c>
      <c r="R4509" t="n">
        <v>201.25</v>
      </c>
      <c r="S4509" t="n">
        <v>208.2</v>
      </c>
      <c r="T4509" t="n">
        <v>0</v>
      </c>
      <c r="U4509" t="n">
        <v>1395.46</v>
      </c>
      <c r="X4509" t="inlineStr">
        <is>
          <t>acoa-apeca</t>
        </is>
      </c>
      <c r="Y4509" t="inlineStr">
        <is>
          <t>Atlantic Canada Opportunities Agency | Agence de promotion économique du Canada atlantique</t>
        </is>
      </c>
      <c r="Z4509" t="n">
        <v>2</v>
      </c>
      <c r="AA4509" t="n">
        <v>1395.46</v>
      </c>
      <c r="AB4509">
        <f>ROUND(U4509-AA4509,2)</f>
        <v/>
      </c>
      <c r="AC4509" t="b">
        <v>0</v>
      </c>
      <c r="AD4509">
        <f>IF(U4509="","MISSING_TOTAL",IF(ABS(AB4509)&lt;=0.01,"OK","CHECK"))</f>
        <v/>
      </c>
      <c r="AE4509">
        <f>IF(U4509="","MISSING",IF(AND(AA4509&gt;0,U4509/AA4509&gt;50),"POSSIBLE_SCALE_ERROR","OK"))</f>
        <v/>
      </c>
    </row>
    <row r="4510">
      <c r="A4510" t="inlineStr">
        <is>
          <t>T-2019-Q1-00041</t>
        </is>
      </c>
      <c r="B4510" t="inlineStr">
        <is>
          <t>SLE</t>
        </is>
      </c>
      <c r="C4510" t="inlineStr">
        <is>
          <t>Vice-President, Prince Edward Island</t>
        </is>
      </c>
      <c r="D4510" t="inlineStr">
        <is>
          <t>Vice-président, Île-du-Prince-Édouard</t>
        </is>
      </c>
      <c r="E4510" t="inlineStr">
        <is>
          <t>Patrick Dorsey</t>
        </is>
      </c>
      <c r="F4510" t="inlineStr">
        <is>
          <t>Meetings with ACOA President</t>
        </is>
      </c>
      <c r="G4510" t="inlineStr">
        <is>
          <t>Réunions avec le président de l'APECA</t>
        </is>
      </c>
      <c r="H4510" s="1" t="n">
        <v>43243</v>
      </c>
      <c r="I4510" s="1" t="n">
        <v>43244</v>
      </c>
      <c r="J4510" t="inlineStr">
        <is>
          <t>Moncton, New Brunswick</t>
        </is>
      </c>
      <c r="K4510" t="inlineStr">
        <is>
          <t>Moncton (Nouveau-Brunswick)</t>
        </is>
      </c>
      <c r="P4510" t="n">
        <v>0</v>
      </c>
      <c r="Q4510" t="n">
        <v>63.1</v>
      </c>
      <c r="R4510" t="n">
        <v>151.8</v>
      </c>
      <c r="S4510" t="n">
        <v>82.75</v>
      </c>
      <c r="T4510" t="n">
        <v>0</v>
      </c>
      <c r="U4510" t="n">
        <v>297.65</v>
      </c>
      <c r="X4510" t="inlineStr">
        <is>
          <t>acoa-apeca</t>
        </is>
      </c>
      <c r="Y4510" t="inlineStr">
        <is>
          <t>Atlantic Canada Opportunities Agency | Agence de promotion économique du Canada atlantique</t>
        </is>
      </c>
      <c r="Z4510" t="n">
        <v>2</v>
      </c>
      <c r="AA4510" t="n">
        <v>297.65</v>
      </c>
      <c r="AB4510">
        <f>ROUND(U4510-AA4510,2)</f>
        <v/>
      </c>
      <c r="AC4510" t="b">
        <v>0</v>
      </c>
      <c r="AD4510">
        <f>IF(U4510="","MISSING_TOTAL",IF(ABS(AB4510)&lt;=0.01,"OK","CHECK"))</f>
        <v/>
      </c>
      <c r="AE4510">
        <f>IF(U4510="","MISSING",IF(AND(AA4510&gt;0,U4510/AA4510&gt;50),"POSSIBLE_SCALE_ERROR","OK"))</f>
        <v/>
      </c>
    </row>
    <row r="4511">
      <c r="A4511" t="inlineStr">
        <is>
          <t>T-2019-Q1-00040</t>
        </is>
      </c>
      <c r="B4511" t="inlineStr">
        <is>
          <t>SLE</t>
        </is>
      </c>
      <c r="C4511" t="inlineStr">
        <is>
          <t>Vice-President, Prince Edward Island</t>
        </is>
      </c>
      <c r="D4511" t="inlineStr">
        <is>
          <t>Vice-président, Île-du-Prince-Édouard</t>
        </is>
      </c>
      <c r="E4511" t="inlineStr">
        <is>
          <t>Patrick Dorsey</t>
        </is>
      </c>
      <c r="F4511" t="inlineStr">
        <is>
          <t>Attend Atlantic Canada Agreement on Tourism meetings</t>
        </is>
      </c>
      <c r="G4511" t="inlineStr">
        <is>
          <t>Assister à des réunions sur l'Entente sur le tourisme dans la région de l’Atlantique</t>
        </is>
      </c>
      <c r="H4511" s="1" t="n">
        <v>43235</v>
      </c>
      <c r="I4511" s="1" t="n">
        <v>43236</v>
      </c>
      <c r="J4511" t="inlineStr">
        <is>
          <t>Halifax, Nova Scotia</t>
        </is>
      </c>
      <c r="K4511" t="inlineStr">
        <is>
          <t>Halifax (Nouvelle-Écosse)</t>
        </is>
      </c>
      <c r="P4511" t="n">
        <v>0</v>
      </c>
      <c r="Q4511" t="n">
        <v>119.1</v>
      </c>
      <c r="R4511" t="n">
        <v>436.36</v>
      </c>
      <c r="S4511" t="n">
        <v>167.4</v>
      </c>
      <c r="T4511" t="n">
        <v>0</v>
      </c>
      <c r="U4511" t="n">
        <v>722.86</v>
      </c>
      <c r="X4511" t="inlineStr">
        <is>
          <t>acoa-apeca</t>
        </is>
      </c>
      <c r="Y4511" t="inlineStr">
        <is>
          <t>Atlantic Canada Opportunities Agency | Agence de promotion économique du Canada atlantique</t>
        </is>
      </c>
      <c r="Z4511" t="n">
        <v>2</v>
      </c>
      <c r="AA4511" t="n">
        <v>722.86</v>
      </c>
      <c r="AB4511">
        <f>ROUND(U4511-AA4511,2)</f>
        <v/>
      </c>
      <c r="AC4511" t="b">
        <v>0</v>
      </c>
      <c r="AD4511">
        <f>IF(U4511="","MISSING_TOTAL",IF(ABS(AB4511)&lt;=0.01,"OK","CHECK"))</f>
        <v/>
      </c>
      <c r="AE4511">
        <f>IF(U4511="","MISSING",IF(AND(AA4511&gt;0,U4511/AA4511&gt;50),"POSSIBLE_SCALE_ERROR","OK"))</f>
        <v/>
      </c>
    </row>
    <row r="4512">
      <c r="A4512" t="inlineStr">
        <is>
          <t>T-2019-Q1-00028</t>
        </is>
      </c>
      <c r="B4512" t="inlineStr">
        <is>
          <t>SLE</t>
        </is>
      </c>
      <c r="C4512" t="inlineStr">
        <is>
          <t>Vice-President, Prince Edward Island</t>
        </is>
      </c>
      <c r="D4512" t="inlineStr">
        <is>
          <t>Vice-président, Île-du-Prince-Édouard</t>
        </is>
      </c>
      <c r="E4512" t="inlineStr">
        <is>
          <t>Patrick Dorsey</t>
        </is>
      </c>
      <c r="F4512" t="inlineStr">
        <is>
          <t>Federal-provincial Atlantic Canada Food Working Group meeting</t>
        </is>
      </c>
      <c r="G4512" t="inlineStr">
        <is>
          <t>Réunion du groupe de travail fédéral-provincial sur les aliments du Canada atlantique</t>
        </is>
      </c>
      <c r="H4512" s="1" t="n">
        <v>43221</v>
      </c>
      <c r="I4512" s="1" t="n">
        <v>43223</v>
      </c>
      <c r="J4512" t="inlineStr">
        <is>
          <t>Halifax, Nova Scotia</t>
        </is>
      </c>
      <c r="K4512" t="inlineStr">
        <is>
          <t>Halifax (Nouvelle-Écosse)</t>
        </is>
      </c>
      <c r="P4512" t="n">
        <v>0</v>
      </c>
      <c r="Q4512" t="n">
        <v>57</v>
      </c>
      <c r="R4512" t="n">
        <v>460.98</v>
      </c>
      <c r="S4512" t="n">
        <v>206.3</v>
      </c>
      <c r="T4512" t="n">
        <v>0</v>
      </c>
      <c r="U4512" t="n">
        <v>724.28</v>
      </c>
      <c r="X4512" t="inlineStr">
        <is>
          <t>acoa-apeca</t>
        </is>
      </c>
      <c r="Y4512" t="inlineStr">
        <is>
          <t>Atlantic Canada Opportunities Agency | Agence de promotion économique du Canada atlantique</t>
        </is>
      </c>
      <c r="Z4512" t="n">
        <v>3</v>
      </c>
      <c r="AA4512" t="n">
        <v>724.28</v>
      </c>
      <c r="AB4512">
        <f>ROUND(U4512-AA4512,2)</f>
        <v/>
      </c>
      <c r="AC4512" t="b">
        <v>0</v>
      </c>
      <c r="AD4512">
        <f>IF(U4512="","MISSING_TOTAL",IF(ABS(AB4512)&lt;=0.01,"OK","CHECK"))</f>
        <v/>
      </c>
      <c r="AE4512">
        <f>IF(U4512="","MISSING",IF(AND(AA4512&gt;0,U4512/AA4512&gt;50),"POSSIBLE_SCALE_ERROR","OK"))</f>
        <v/>
      </c>
    </row>
    <row r="4513">
      <c r="A4513" t="inlineStr">
        <is>
          <t>T-2019-Q1-00025</t>
        </is>
      </c>
      <c r="B4513" t="inlineStr">
        <is>
          <t>SLE</t>
        </is>
      </c>
      <c r="C4513" t="inlineStr">
        <is>
          <t>Vice-President, Prince Edward Island</t>
        </is>
      </c>
      <c r="D4513" t="inlineStr">
        <is>
          <t>Vice-président, Île-du-Prince-Édouard</t>
        </is>
      </c>
      <c r="E4513" t="inlineStr">
        <is>
          <t>Patrick Dorsey</t>
        </is>
      </c>
      <c r="F4513" t="inlineStr">
        <is>
          <t>Face to face meetings with various deputy ministers and other government officials</t>
        </is>
      </c>
      <c r="G4513" t="inlineStr">
        <is>
          <t>Rencontres en personne avec divers sous-ministres et autres fonctionnaires</t>
        </is>
      </c>
      <c r="H4513" s="1" t="n">
        <v>43206</v>
      </c>
      <c r="I4513" s="1" t="n">
        <v>43208</v>
      </c>
      <c r="J4513" t="inlineStr">
        <is>
          <t>Ottawa, Ontario</t>
        </is>
      </c>
      <c r="K4513" t="inlineStr">
        <is>
          <t>Ottawa (Ontario)</t>
        </is>
      </c>
      <c r="P4513" t="n">
        <v>1101.87</v>
      </c>
      <c r="Q4513" t="n">
        <v>184.55</v>
      </c>
      <c r="R4513" t="n">
        <v>561.74</v>
      </c>
      <c r="S4513" t="n">
        <v>253.95</v>
      </c>
      <c r="T4513" t="n">
        <v>0</v>
      </c>
      <c r="U4513" t="n">
        <v>2102.11</v>
      </c>
      <c r="X4513" t="inlineStr">
        <is>
          <t>acoa-apeca</t>
        </is>
      </c>
      <c r="Y4513" t="inlineStr">
        <is>
          <t>Atlantic Canada Opportunities Agency | Agence de promotion économique du Canada atlantique</t>
        </is>
      </c>
      <c r="Z4513" t="n">
        <v>3</v>
      </c>
      <c r="AA4513" t="n">
        <v>2102.10999999999</v>
      </c>
      <c r="AB4513">
        <f>ROUND(U4513-AA4513,2)</f>
        <v/>
      </c>
      <c r="AC4513" t="b">
        <v>0</v>
      </c>
      <c r="AD4513">
        <f>IF(U4513="","MISSING_TOTAL",IF(ABS(AB4513)&lt;=0.01,"OK","CHECK"))</f>
        <v/>
      </c>
      <c r="AE4513">
        <f>IF(U4513="","MISSING",IF(AND(AA4513&gt;0,U4513/AA4513&gt;50),"POSSIBLE_SCALE_ERROR","OK"))</f>
        <v/>
      </c>
    </row>
    <row r="4514">
      <c r="A4514" t="inlineStr">
        <is>
          <t>T-2019-Q1-00011</t>
        </is>
      </c>
      <c r="B4514" t="inlineStr">
        <is>
          <t>SLE</t>
        </is>
      </c>
      <c r="C4514" t="inlineStr">
        <is>
          <t>Vice-President, Prince Edward Island</t>
        </is>
      </c>
      <c r="D4514" t="inlineStr">
        <is>
          <t>Vice-président, Île-du-Prince-Édouard</t>
        </is>
      </c>
      <c r="E4514" t="inlineStr">
        <is>
          <t>Patrick Dorsey</t>
        </is>
      </c>
      <c r="F4514" t="inlineStr">
        <is>
          <t>Two face to face meetings with ACOA president</t>
        </is>
      </c>
      <c r="G4514" t="inlineStr">
        <is>
          <t>Deux rencontres en personne avec le président de l'APECA</t>
        </is>
      </c>
      <c r="H4514" s="1" t="n">
        <v>43172</v>
      </c>
      <c r="I4514" s="1" t="n">
        <v>43174</v>
      </c>
      <c r="J4514" t="inlineStr">
        <is>
          <t>Fredericton, New-Brunswick</t>
        </is>
      </c>
      <c r="K4514" t="inlineStr">
        <is>
          <t>Fredericton (Nouveau-Brunswick)</t>
        </is>
      </c>
      <c r="P4514" t="n">
        <v>0</v>
      </c>
      <c r="Q4514" t="n">
        <v>94.15000000000001</v>
      </c>
      <c r="R4514" t="n">
        <v>342.7</v>
      </c>
      <c r="S4514" t="n">
        <v>222.4</v>
      </c>
      <c r="T4514" t="n">
        <v>0</v>
      </c>
      <c r="U4514" t="n">
        <v>659.25</v>
      </c>
      <c r="X4514" t="inlineStr">
        <is>
          <t>acoa-apeca</t>
        </is>
      </c>
      <c r="Y4514" t="inlineStr">
        <is>
          <t>Atlantic Canada Opportunities Agency | Agence de promotion économique du Canada atlantique</t>
        </is>
      </c>
      <c r="Z4514" t="n">
        <v>3</v>
      </c>
      <c r="AA4514" t="n">
        <v>659.25</v>
      </c>
      <c r="AB4514">
        <f>ROUND(U4514-AA4514,2)</f>
        <v/>
      </c>
      <c r="AC4514" t="b">
        <v>0</v>
      </c>
      <c r="AD4514">
        <f>IF(U4514="","MISSING_TOTAL",IF(ABS(AB4514)&lt;=0.01,"OK","CHECK"))</f>
        <v/>
      </c>
      <c r="AE4514">
        <f>IF(U4514="","MISSING",IF(AND(AA4514&gt;0,U4514/AA4514&gt;50),"POSSIBLE_SCALE_ERROR","OK"))</f>
        <v/>
      </c>
    </row>
    <row r="4515">
      <c r="A4515" t="inlineStr">
        <is>
          <t>T-2019-Q1-00039</t>
        </is>
      </c>
      <c r="B4515" t="inlineStr">
        <is>
          <t>SLE</t>
        </is>
      </c>
      <c r="C4515" t="inlineStr">
        <is>
          <t>Vice-President, Newfoundland and Labrador</t>
        </is>
      </c>
      <c r="D4515" t="inlineStr">
        <is>
          <t>Vice-président, Terre-Neuve-et-Labrador</t>
        </is>
      </c>
      <c r="E4515" t="inlineStr">
        <is>
          <t>Ken Martin</t>
        </is>
      </c>
      <c r="F4515" t="inlineStr">
        <is>
          <t>Meetings in Corner Brook</t>
        </is>
      </c>
      <c r="G4515" t="inlineStr">
        <is>
          <t>Réunions à Corner Brook</t>
        </is>
      </c>
      <c r="H4515" s="1" t="n">
        <v>43249</v>
      </c>
      <c r="I4515" s="1" t="n">
        <v>43249</v>
      </c>
      <c r="J4515" t="inlineStr">
        <is>
          <t>Corner Brook, Newfoundland and Labrador</t>
        </is>
      </c>
      <c r="K4515" t="inlineStr">
        <is>
          <t>Corner Brook (Terre-Neuve-et-Labrador)</t>
        </is>
      </c>
      <c r="P4515" t="n">
        <v>839.4</v>
      </c>
      <c r="Q4515" t="n">
        <v>34</v>
      </c>
      <c r="R4515" t="n">
        <v>0</v>
      </c>
      <c r="S4515" t="n">
        <v>48.15</v>
      </c>
      <c r="T4515" t="n">
        <v>0</v>
      </c>
      <c r="U4515" t="n">
        <v>921.55</v>
      </c>
      <c r="X4515" t="inlineStr">
        <is>
          <t>acoa-apeca</t>
        </is>
      </c>
      <c r="Y4515" t="inlineStr">
        <is>
          <t>Atlantic Canada Opportunities Agency | Agence de promotion économique du Canada atlantique</t>
        </is>
      </c>
      <c r="Z4515" t="n">
        <v>1</v>
      </c>
      <c r="AA4515" t="n">
        <v>921.55</v>
      </c>
      <c r="AB4515">
        <f>ROUND(U4515-AA4515,2)</f>
        <v/>
      </c>
      <c r="AC4515" t="b">
        <v>0</v>
      </c>
      <c r="AD4515">
        <f>IF(U4515="","MISSING_TOTAL",IF(ABS(AB4515)&lt;=0.01,"OK","CHECK"))</f>
        <v/>
      </c>
      <c r="AE4515">
        <f>IF(U4515="","MISSING",IF(AND(AA4515&gt;0,U4515/AA4515&gt;50),"POSSIBLE_SCALE_ERROR","OK"))</f>
        <v/>
      </c>
    </row>
    <row r="4516">
      <c r="A4516" t="inlineStr">
        <is>
          <t>T-2019-Q1-00038</t>
        </is>
      </c>
      <c r="B4516" t="inlineStr">
        <is>
          <t>SLE</t>
        </is>
      </c>
      <c r="C4516" t="inlineStr">
        <is>
          <t>Vice-President, Newfoundland and Labrador</t>
        </is>
      </c>
      <c r="D4516" t="inlineStr">
        <is>
          <t>Vice-président, Terre-Neuve-et-Labrador</t>
        </is>
      </c>
      <c r="E4516" t="inlineStr">
        <is>
          <t>Ken Martin</t>
        </is>
      </c>
      <c r="F4516" t="inlineStr">
        <is>
          <t>Attend Performance Management Review Panel and Executive Committee meetings</t>
        </is>
      </c>
      <c r="G4516" t="inlineStr">
        <is>
          <t>Assister à des réunions du comité d'examen de la gestion du rendement et du Comité de direction</t>
        </is>
      </c>
      <c r="H4516" s="1" t="n">
        <v>43242</v>
      </c>
      <c r="I4516" s="1" t="n">
        <v>43243</v>
      </c>
      <c r="J4516" t="inlineStr">
        <is>
          <t>Moncton, New Brunswick</t>
        </is>
      </c>
      <c r="K4516" t="inlineStr">
        <is>
          <t>Moncton (Nouveau-Brunswick)</t>
        </is>
      </c>
      <c r="P4516" t="n">
        <v>900.98</v>
      </c>
      <c r="Q4516" t="n">
        <v>172.38</v>
      </c>
      <c r="R4516" t="n">
        <v>151.8</v>
      </c>
      <c r="S4516" t="n">
        <v>150.35</v>
      </c>
      <c r="T4516" t="n">
        <v>0</v>
      </c>
      <c r="U4516" t="n">
        <v>1375.51</v>
      </c>
      <c r="X4516" t="inlineStr">
        <is>
          <t>acoa-apeca</t>
        </is>
      </c>
      <c r="Y4516" t="inlineStr">
        <is>
          <t>Atlantic Canada Opportunities Agency | Agence de promotion économique du Canada atlantique</t>
        </is>
      </c>
      <c r="Z4516" t="n">
        <v>2</v>
      </c>
      <c r="AA4516" t="n">
        <v>1375.51</v>
      </c>
      <c r="AB4516">
        <f>ROUND(U4516-AA4516,2)</f>
        <v/>
      </c>
      <c r="AC4516" t="b">
        <v>0</v>
      </c>
      <c r="AD4516">
        <f>IF(U4516="","MISSING_TOTAL",IF(ABS(AB4516)&lt;=0.01,"OK","CHECK"))</f>
        <v/>
      </c>
      <c r="AE4516">
        <f>IF(U4516="","MISSING",IF(AND(AA4516&gt;0,U4516/AA4516&gt;50),"POSSIBLE_SCALE_ERROR","OK"))</f>
        <v/>
      </c>
    </row>
    <row r="4517">
      <c r="A4517" t="inlineStr">
        <is>
          <t>T-2019-Q1-00037</t>
        </is>
      </c>
      <c r="B4517" t="inlineStr">
        <is>
          <t>SLE</t>
        </is>
      </c>
      <c r="C4517" t="inlineStr">
        <is>
          <t>Vice-President, Newfoundland and Labrador</t>
        </is>
      </c>
      <c r="D4517" t="inlineStr">
        <is>
          <t>Vice-président, Terre-Neuve-et-Labrador</t>
        </is>
      </c>
      <c r="E4517" t="inlineStr">
        <is>
          <t>Ken Martin</t>
        </is>
      </c>
      <c r="F4517" t="inlineStr">
        <is>
          <t>Attend meeting with Town of Holyrood</t>
        </is>
      </c>
      <c r="G4517" t="inlineStr">
        <is>
          <t>Assister à une réunion avec la Ville de Holyrood</t>
        </is>
      </c>
      <c r="H4517" s="1" t="n">
        <v>43238</v>
      </c>
      <c r="I4517" s="1" t="n">
        <v>43238</v>
      </c>
      <c r="J4517" t="inlineStr">
        <is>
          <t>Holyrood, Newfoundland and Labrador</t>
        </is>
      </c>
      <c r="K4517" t="inlineStr">
        <is>
          <t>Holyrood (Terre-Neuve-et-Labrador)</t>
        </is>
      </c>
      <c r="P4517" t="n">
        <v>0</v>
      </c>
      <c r="Q4517" t="n">
        <v>52.64</v>
      </c>
      <c r="R4517" t="n">
        <v>0</v>
      </c>
      <c r="S4517" t="n">
        <v>0</v>
      </c>
      <c r="T4517" t="n">
        <v>0</v>
      </c>
      <c r="U4517" t="n">
        <v>52.64</v>
      </c>
      <c r="X4517" t="inlineStr">
        <is>
          <t>acoa-apeca</t>
        </is>
      </c>
      <c r="Y4517" t="inlineStr">
        <is>
          <t>Atlantic Canada Opportunities Agency | Agence de promotion économique du Canada atlantique</t>
        </is>
      </c>
      <c r="Z4517" t="n">
        <v>1</v>
      </c>
      <c r="AA4517" t="n">
        <v>52.64</v>
      </c>
      <c r="AB4517">
        <f>ROUND(U4517-AA4517,2)</f>
        <v/>
      </c>
      <c r="AC4517" t="b">
        <v>0</v>
      </c>
      <c r="AD4517">
        <f>IF(U4517="","MISSING_TOTAL",IF(ABS(AB4517)&lt;=0.01,"OK","CHECK"))</f>
        <v/>
      </c>
      <c r="AE4517">
        <f>IF(U4517="","MISSING",IF(AND(AA4517&gt;0,U4517/AA4517&gt;50),"POSSIBLE_SCALE_ERROR","OK"))</f>
        <v/>
      </c>
    </row>
    <row r="4518">
      <c r="A4518" t="inlineStr">
        <is>
          <t>T-2019-Q1-00036</t>
        </is>
      </c>
      <c r="B4518" t="inlineStr">
        <is>
          <t>SLE</t>
        </is>
      </c>
      <c r="C4518" t="inlineStr">
        <is>
          <t>Vice-President, Newfoundland and Labrador</t>
        </is>
      </c>
      <c r="D4518" t="inlineStr">
        <is>
          <t>Vice-président, Terre-Neuve-et-Labrador</t>
        </is>
      </c>
      <c r="E4518" t="inlineStr">
        <is>
          <t>Ken Martin</t>
        </is>
      </c>
      <c r="F4518" t="inlineStr">
        <is>
          <t>Attend client site visits in Holyrood and Conception Bay South</t>
        </is>
      </c>
      <c r="G4518" t="inlineStr">
        <is>
          <t>Assister à des visites des lieux chez des clients à Holyrood et à Conception Bay South</t>
        </is>
      </c>
      <c r="H4518" s="1" t="n">
        <v>43234</v>
      </c>
      <c r="I4518" s="1" t="n">
        <v>43235</v>
      </c>
      <c r="J4518" t="inlineStr">
        <is>
          <t>Holyrood and Conception Bay South, Newfoundland and Labrador</t>
        </is>
      </c>
      <c r="K4518" t="inlineStr">
        <is>
          <t>Holyrood etConception Bay South (Terre-Neuve-et-Labrador)</t>
        </is>
      </c>
      <c r="P4518" t="n">
        <v>0</v>
      </c>
      <c r="Q4518" t="n">
        <v>0</v>
      </c>
      <c r="R4518" t="n">
        <v>0</v>
      </c>
      <c r="S4518" t="n">
        <v>86.8</v>
      </c>
      <c r="T4518" t="n">
        <v>0</v>
      </c>
      <c r="U4518" t="n">
        <v>86.8</v>
      </c>
      <c r="X4518" t="inlineStr">
        <is>
          <t>acoa-apeca</t>
        </is>
      </c>
      <c r="Y4518" t="inlineStr">
        <is>
          <t>Atlantic Canada Opportunities Agency | Agence de promotion économique du Canada atlantique</t>
        </is>
      </c>
      <c r="Z4518" t="n">
        <v>2</v>
      </c>
      <c r="AA4518" t="n">
        <v>86.8</v>
      </c>
      <c r="AB4518">
        <f>ROUND(U4518-AA4518,2)</f>
        <v/>
      </c>
      <c r="AC4518" t="b">
        <v>0</v>
      </c>
      <c r="AD4518">
        <f>IF(U4518="","MISSING_TOTAL",IF(ABS(AB4518)&lt;=0.01,"OK","CHECK"))</f>
        <v/>
      </c>
      <c r="AE4518">
        <f>IF(U4518="","MISSING",IF(AND(AA4518&gt;0,U4518/AA4518&gt;50),"POSSIBLE_SCALE_ERROR","OK"))</f>
        <v/>
      </c>
    </row>
    <row r="4519">
      <c r="A4519" t="inlineStr">
        <is>
          <t>T-2019-Q1-00035</t>
        </is>
      </c>
      <c r="B4519" t="inlineStr">
        <is>
          <t>SLE</t>
        </is>
      </c>
      <c r="C4519" t="inlineStr">
        <is>
          <t>Vice-President, Newfoundland and Labrador</t>
        </is>
      </c>
      <c r="D4519" t="inlineStr">
        <is>
          <t>Vice-président, Terre-Neuve-et-Labrador</t>
        </is>
      </c>
      <c r="E4519" t="inlineStr">
        <is>
          <t>Ken Martin</t>
        </is>
      </c>
      <c r="F4519" t="inlineStr">
        <is>
          <t>Client site visits in Holyrood</t>
        </is>
      </c>
      <c r="G4519" t="inlineStr">
        <is>
          <t>Visites des lieux chez des clients à Holyrood</t>
        </is>
      </c>
      <c r="H4519" s="1" t="n">
        <v>43238</v>
      </c>
      <c r="I4519" s="1" t="n">
        <v>43238</v>
      </c>
      <c r="J4519" t="inlineStr">
        <is>
          <t>Holyrood, Newfoundland and Labrador</t>
        </is>
      </c>
      <c r="K4519" t="inlineStr">
        <is>
          <t>Holyrood (Terre-Neuve-et-Labrador)</t>
        </is>
      </c>
      <c r="P4519" t="n">
        <v>0</v>
      </c>
      <c r="Q4519" t="n">
        <v>0</v>
      </c>
      <c r="R4519" t="n">
        <v>0</v>
      </c>
      <c r="S4519" t="n">
        <v>86.8</v>
      </c>
      <c r="T4519" t="n">
        <v>0</v>
      </c>
      <c r="U4519" t="n">
        <v>86.8</v>
      </c>
      <c r="X4519" t="inlineStr">
        <is>
          <t>acoa-apeca</t>
        </is>
      </c>
      <c r="Y4519" t="inlineStr">
        <is>
          <t>Atlantic Canada Opportunities Agency | Agence de promotion économique du Canada atlantique</t>
        </is>
      </c>
      <c r="Z4519" t="n">
        <v>1</v>
      </c>
      <c r="AA4519" t="n">
        <v>86.8</v>
      </c>
      <c r="AB4519">
        <f>ROUND(U4519-AA4519,2)</f>
        <v/>
      </c>
      <c r="AC4519" t="b">
        <v>0</v>
      </c>
      <c r="AD4519">
        <f>IF(U4519="","MISSING_TOTAL",IF(ABS(AB4519)&lt;=0.01,"OK","CHECK"))</f>
        <v/>
      </c>
      <c r="AE4519">
        <f>IF(U4519="","MISSING",IF(AND(AA4519&gt;0,U4519/AA4519&gt;50),"POSSIBLE_SCALE_ERROR","OK"))</f>
        <v/>
      </c>
    </row>
    <row r="4520">
      <c r="A4520" t="inlineStr">
        <is>
          <t>T-2019-Q1-00034</t>
        </is>
      </c>
      <c r="B4520" t="inlineStr">
        <is>
          <t>SLE</t>
        </is>
      </c>
      <c r="C4520" t="inlineStr">
        <is>
          <t>Vice-President, Newfoundland and Labrador</t>
        </is>
      </c>
      <c r="D4520" t="inlineStr">
        <is>
          <t>Vice-président, Terre-Neuve-et-Labrador</t>
        </is>
      </c>
      <c r="E4520" t="inlineStr">
        <is>
          <t>Ken Martin</t>
        </is>
      </c>
      <c r="F4520" t="inlineStr">
        <is>
          <t>Client announcement in Holyrood</t>
        </is>
      </c>
      <c r="G4520" t="inlineStr">
        <is>
          <t>Annonce relative à un client à Holyrood</t>
        </is>
      </c>
      <c r="H4520" s="1" t="n">
        <v>43238</v>
      </c>
      <c r="I4520" s="1" t="n">
        <v>43243</v>
      </c>
      <c r="J4520" t="inlineStr">
        <is>
          <t>Holyrood, Newfoundland and Labrador</t>
        </is>
      </c>
      <c r="K4520" t="inlineStr">
        <is>
          <t>Holyrood (Terre-Neuve-et-Labrador)</t>
        </is>
      </c>
      <c r="P4520" t="n">
        <v>0</v>
      </c>
      <c r="Q4520" t="n">
        <v>52.64</v>
      </c>
      <c r="R4520" t="n">
        <v>0</v>
      </c>
      <c r="S4520" t="n">
        <v>0</v>
      </c>
      <c r="T4520" t="n">
        <v>0</v>
      </c>
      <c r="U4520" t="n">
        <v>52.64</v>
      </c>
      <c r="X4520" t="inlineStr">
        <is>
          <t>acoa-apeca</t>
        </is>
      </c>
      <c r="Y4520" t="inlineStr">
        <is>
          <t>Atlantic Canada Opportunities Agency | Agence de promotion économique du Canada atlantique</t>
        </is>
      </c>
      <c r="Z4520" t="n">
        <v>6</v>
      </c>
      <c r="AA4520" t="n">
        <v>52.64</v>
      </c>
      <c r="AB4520">
        <f>ROUND(U4520-AA4520,2)</f>
        <v/>
      </c>
      <c r="AC4520" t="b">
        <v>0</v>
      </c>
      <c r="AD4520">
        <f>IF(U4520="","MISSING_TOTAL",IF(ABS(AB4520)&lt;=0.01,"OK","CHECK"))</f>
        <v/>
      </c>
      <c r="AE4520">
        <f>IF(U4520="","MISSING",IF(AND(AA4520&gt;0,U4520/AA4520&gt;50),"POSSIBLE_SCALE_ERROR","OK"))</f>
        <v/>
      </c>
    </row>
    <row r="4521">
      <c r="A4521" t="inlineStr">
        <is>
          <t>T-2019-Q1-00033</t>
        </is>
      </c>
      <c r="B4521" t="inlineStr">
        <is>
          <t>SLE</t>
        </is>
      </c>
      <c r="C4521" t="inlineStr">
        <is>
          <t>Vice-President, Newfoundland and Labrador</t>
        </is>
      </c>
      <c r="D4521" t="inlineStr">
        <is>
          <t>Vice-président, Terre-Neuve-et-Labrador</t>
        </is>
      </c>
      <c r="E4521" t="inlineStr">
        <is>
          <t>Ken Martin</t>
        </is>
      </c>
      <c r="F4521" t="inlineStr">
        <is>
          <t>Various meetings with senior provincial government and private sector officials</t>
        </is>
      </c>
      <c r="G4521" t="inlineStr">
        <is>
          <t>Diverses réunions avec de hauts fonctionnaires provinciaux et des représentants du secteur privé</t>
        </is>
      </c>
      <c r="H4521" s="1" t="n">
        <v>43101</v>
      </c>
      <c r="I4521" s="1" t="n">
        <v>43189</v>
      </c>
      <c r="J4521" t="inlineStr">
        <is>
          <t>St. John's, Newfoundland and Labrador</t>
        </is>
      </c>
      <c r="K4521" t="inlineStr">
        <is>
          <t>St. John's (Terre-Neuve-et-Labrador)</t>
        </is>
      </c>
      <c r="P4521" t="n">
        <v>0</v>
      </c>
      <c r="Q4521" t="n">
        <v>49.44</v>
      </c>
      <c r="R4521" t="n">
        <v>0</v>
      </c>
      <c r="S4521" t="n">
        <v>0</v>
      </c>
      <c r="T4521" t="n">
        <v>0</v>
      </c>
      <c r="U4521" t="n">
        <v>49.44</v>
      </c>
      <c r="X4521" t="inlineStr">
        <is>
          <t>acoa-apeca</t>
        </is>
      </c>
      <c r="Y4521" t="inlineStr">
        <is>
          <t>Atlantic Canada Opportunities Agency | Agence de promotion économique du Canada atlantique</t>
        </is>
      </c>
      <c r="Z4521" t="n">
        <v>89</v>
      </c>
      <c r="AA4521" t="n">
        <v>49.44</v>
      </c>
      <c r="AB4521">
        <f>ROUND(U4521-AA4521,2)</f>
        <v/>
      </c>
      <c r="AC4521" t="b">
        <v>0</v>
      </c>
      <c r="AD4521">
        <f>IF(U4521="","MISSING_TOTAL",IF(ABS(AB4521)&lt;=0.01,"OK","CHECK"))</f>
        <v/>
      </c>
      <c r="AE4521">
        <f>IF(U4521="","MISSING",IF(AND(AA4521&gt;0,U4521/AA4521&gt;50),"POSSIBLE_SCALE_ERROR","OK"))</f>
        <v/>
      </c>
    </row>
    <row r="4522">
      <c r="A4522" t="inlineStr">
        <is>
          <t>T-2019-Q1-00024</t>
        </is>
      </c>
      <c r="B4522" t="inlineStr">
        <is>
          <t>SLE</t>
        </is>
      </c>
      <c r="C4522" t="inlineStr">
        <is>
          <t>Vice-President, Newfoundland and Labrador</t>
        </is>
      </c>
      <c r="D4522" t="inlineStr">
        <is>
          <t>Vice-président, Terre-Neuve-et-Labrador</t>
        </is>
      </c>
      <c r="E4522" t="inlineStr">
        <is>
          <t>Ken Martin</t>
        </is>
      </c>
      <c r="F4522" t="inlineStr">
        <is>
          <t>Meeting with senior Government of Canada officials</t>
        </is>
      </c>
      <c r="G4522" t="inlineStr">
        <is>
          <t>Réunion avec de hauts fonctionnaires du gouvernement du Canada</t>
        </is>
      </c>
      <c r="H4522" s="1" t="n">
        <v>43213</v>
      </c>
      <c r="I4522" s="1" t="n">
        <v>43214</v>
      </c>
      <c r="J4522" t="inlineStr">
        <is>
          <t>Halifax, Nova Scotia</t>
        </is>
      </c>
      <c r="K4522" t="inlineStr">
        <is>
          <t>Halifax (Nouvelle-Écosse)</t>
        </is>
      </c>
      <c r="P4522" t="n">
        <v>487.89</v>
      </c>
      <c r="Q4522" t="n">
        <v>15.68</v>
      </c>
      <c r="R4522" t="n">
        <v>181.82</v>
      </c>
      <c r="S4522" t="n">
        <v>169.55</v>
      </c>
      <c r="T4522" t="n">
        <v>0</v>
      </c>
      <c r="U4522" t="n">
        <v>854.9400000000001</v>
      </c>
      <c r="X4522" t="inlineStr">
        <is>
          <t>acoa-apeca</t>
        </is>
      </c>
      <c r="Y4522" t="inlineStr">
        <is>
          <t>Atlantic Canada Opportunities Agency | Agence de promotion économique du Canada atlantique</t>
        </is>
      </c>
      <c r="Z4522" t="n">
        <v>2</v>
      </c>
      <c r="AA4522" t="n">
        <v>854.9400000000001</v>
      </c>
      <c r="AB4522">
        <f>ROUND(U4522-AA4522,2)</f>
        <v/>
      </c>
      <c r="AC4522" t="b">
        <v>0</v>
      </c>
      <c r="AD4522">
        <f>IF(U4522="","MISSING_TOTAL",IF(ABS(AB4522)&lt;=0.01,"OK","CHECK"))</f>
        <v/>
      </c>
      <c r="AE4522">
        <f>IF(U4522="","MISSING",IF(AND(AA4522&gt;0,U4522/AA4522&gt;50),"POSSIBLE_SCALE_ERROR","OK"))</f>
        <v/>
      </c>
    </row>
    <row r="4523">
      <c r="A4523" t="inlineStr">
        <is>
          <t>T-2019-Q1-00013</t>
        </is>
      </c>
      <c r="B4523" t="inlineStr">
        <is>
          <t>SLE</t>
        </is>
      </c>
      <c r="C4523" t="inlineStr">
        <is>
          <t>Vice-President, Newfoundland and Labrador</t>
        </is>
      </c>
      <c r="D4523" t="inlineStr">
        <is>
          <t>Vice-président, Terre-Neuve-et-Labrador</t>
        </is>
      </c>
      <c r="E4523" t="inlineStr">
        <is>
          <t>Ken Martin</t>
        </is>
      </c>
      <c r="F4523" t="inlineStr">
        <is>
          <t>Meetings with senior Government of Canada officials</t>
        </is>
      </c>
      <c r="G4523" t="inlineStr">
        <is>
          <t>Réunions avec de hauts fonctionnaires du gouvernement du Canada</t>
        </is>
      </c>
      <c r="H4523" s="1" t="n">
        <v>43185</v>
      </c>
      <c r="I4523" s="1" t="n">
        <v>43186</v>
      </c>
      <c r="J4523" t="inlineStr">
        <is>
          <t>Ottawa, Ontario</t>
        </is>
      </c>
      <c r="K4523" t="inlineStr">
        <is>
          <t>Ottawa (Ontario)</t>
        </is>
      </c>
      <c r="P4523" t="n">
        <v>1428.84</v>
      </c>
      <c r="Q4523" t="n">
        <v>61.91</v>
      </c>
      <c r="R4523" t="n">
        <v>233.86</v>
      </c>
      <c r="S4523" t="n">
        <v>186.4</v>
      </c>
      <c r="T4523" t="n">
        <v>0</v>
      </c>
      <c r="U4523" t="n">
        <v>1911.01</v>
      </c>
      <c r="X4523" t="inlineStr">
        <is>
          <t>acoa-apeca</t>
        </is>
      </c>
      <c r="Y4523" t="inlineStr">
        <is>
          <t>Atlantic Canada Opportunities Agency | Agence de promotion économique du Canada atlantique</t>
        </is>
      </c>
      <c r="Z4523" t="n">
        <v>2</v>
      </c>
      <c r="AA4523" t="n">
        <v>1911.01</v>
      </c>
      <c r="AB4523">
        <f>ROUND(U4523-AA4523,2)</f>
        <v/>
      </c>
      <c r="AC4523" t="b">
        <v>0</v>
      </c>
      <c r="AD4523">
        <f>IF(U4523="","MISSING_TOTAL",IF(ABS(AB4523)&lt;=0.01,"OK","CHECK"))</f>
        <v/>
      </c>
      <c r="AE4523">
        <f>IF(U4523="","MISSING",IF(AND(AA4523&gt;0,U4523/AA4523&gt;50),"POSSIBLE_SCALE_ERROR","OK"))</f>
        <v/>
      </c>
    </row>
    <row r="4524">
      <c r="A4524" t="inlineStr">
        <is>
          <t>T-2019-Q1-00009</t>
        </is>
      </c>
      <c r="B4524" t="inlineStr">
        <is>
          <t>SLE</t>
        </is>
      </c>
      <c r="C4524" t="inlineStr">
        <is>
          <t>Vice-President, Newfoundland and Labrador</t>
        </is>
      </c>
      <c r="D4524" t="inlineStr">
        <is>
          <t>Vice-président, Terre-Neuve-et-Labrador</t>
        </is>
      </c>
      <c r="E4524" t="inlineStr">
        <is>
          <t>Ken Martin</t>
        </is>
      </c>
      <c r="F4524" t="inlineStr">
        <is>
          <t>Seafood Expo North America</t>
        </is>
      </c>
      <c r="G4524" t="inlineStr">
        <is>
          <t>Expo des produits de la mer d'Amérique du Nord</t>
        </is>
      </c>
      <c r="H4524" s="1" t="n">
        <v>43169</v>
      </c>
      <c r="I4524" s="1" t="n">
        <v>43171</v>
      </c>
      <c r="J4524" t="inlineStr">
        <is>
          <t>Boston, Massachusetts</t>
        </is>
      </c>
      <c r="K4524" t="inlineStr">
        <is>
          <t>Boston, Massachusetts</t>
        </is>
      </c>
      <c r="P4524" t="n">
        <v>1190.21</v>
      </c>
      <c r="Q4524" t="n">
        <v>174.75</v>
      </c>
      <c r="R4524" t="n">
        <v>736.98</v>
      </c>
      <c r="S4524" t="n">
        <v>375.97</v>
      </c>
      <c r="T4524" t="n">
        <v>0</v>
      </c>
      <c r="U4524" t="n">
        <v>2477.91</v>
      </c>
      <c r="X4524" t="inlineStr">
        <is>
          <t>acoa-apeca</t>
        </is>
      </c>
      <c r="Y4524" t="inlineStr">
        <is>
          <t>Atlantic Canada Opportunities Agency | Agence de promotion économique du Canada atlantique</t>
        </is>
      </c>
      <c r="Z4524" t="n">
        <v>3</v>
      </c>
      <c r="AA4524" t="n">
        <v>2477.91</v>
      </c>
      <c r="AB4524">
        <f>ROUND(U4524-AA4524,2)</f>
        <v/>
      </c>
      <c r="AC4524" t="b">
        <v>0</v>
      </c>
      <c r="AD4524">
        <f>IF(U4524="","MISSING_TOTAL",IF(ABS(AB4524)&lt;=0.01,"OK","CHECK"))</f>
        <v/>
      </c>
      <c r="AE4524">
        <f>IF(U4524="","MISSING",IF(AND(AA4524&gt;0,U4524/AA4524&gt;50),"POSSIBLE_SCALE_ERROR","OK"))</f>
        <v/>
      </c>
    </row>
    <row r="4525">
      <c r="A4525" t="inlineStr">
        <is>
          <t>T-2019-Q1-00051</t>
        </is>
      </c>
      <c r="B4525" t="inlineStr">
        <is>
          <t>SLE</t>
        </is>
      </c>
      <c r="C4525" t="inlineStr">
        <is>
          <t>Vice-President, Nova Scotia</t>
        </is>
      </c>
      <c r="D4525" t="inlineStr">
        <is>
          <t>Vice-président, Nouvelle-Écosse</t>
        </is>
      </c>
      <c r="E4525" t="inlineStr">
        <is>
          <t>Chuck Maillet</t>
        </is>
      </c>
      <c r="F4525" t="inlineStr">
        <is>
          <t>Various meetings with Agency officials</t>
        </is>
      </c>
      <c r="G4525" t="inlineStr">
        <is>
          <t>Diverses réunions avec des fonctionnaires de l'Agence</t>
        </is>
      </c>
      <c r="H4525" s="1" t="n">
        <v>43244</v>
      </c>
      <c r="I4525" s="1" t="n">
        <v>43245</v>
      </c>
      <c r="J4525" t="inlineStr">
        <is>
          <t>Sydney, Nova Scotia</t>
        </is>
      </c>
      <c r="K4525" t="inlineStr">
        <is>
          <t>Sydney (Nouvelle-Écosse)</t>
        </is>
      </c>
      <c r="P4525" t="n">
        <v>370.59</v>
      </c>
      <c r="Q4525" t="n">
        <v>183.17</v>
      </c>
      <c r="R4525" t="n">
        <v>134.9</v>
      </c>
      <c r="S4525" t="n">
        <v>101.95</v>
      </c>
      <c r="T4525" t="n">
        <v>0</v>
      </c>
      <c r="U4525" t="n">
        <v>790.61</v>
      </c>
      <c r="X4525" t="inlineStr">
        <is>
          <t>acoa-apeca</t>
        </is>
      </c>
      <c r="Y4525" t="inlineStr">
        <is>
          <t>Atlantic Canada Opportunities Agency | Agence de promotion économique du Canada atlantique</t>
        </is>
      </c>
      <c r="Z4525" t="n">
        <v>2</v>
      </c>
      <c r="AA4525" t="n">
        <v>790.61</v>
      </c>
      <c r="AB4525">
        <f>ROUND(U4525-AA4525,2)</f>
        <v/>
      </c>
      <c r="AC4525" t="b">
        <v>0</v>
      </c>
      <c r="AD4525">
        <f>IF(U4525="","MISSING_TOTAL",IF(ABS(AB4525)&lt;=0.01,"OK","CHECK"))</f>
        <v/>
      </c>
      <c r="AE4525">
        <f>IF(U4525="","MISSING",IF(AND(AA4525&gt;0,U4525/AA4525&gt;50),"POSSIBLE_SCALE_ERROR","OK"))</f>
        <v/>
      </c>
    </row>
    <row r="4526">
      <c r="A4526" t="inlineStr">
        <is>
          <t>T-2019-Q1-00050</t>
        </is>
      </c>
      <c r="B4526" t="inlineStr">
        <is>
          <t>SLE</t>
        </is>
      </c>
      <c r="C4526" t="inlineStr">
        <is>
          <t>Vice-President, Nova Scotia</t>
        </is>
      </c>
      <c r="D4526" t="inlineStr">
        <is>
          <t>Vice-président, Nouvelle-Écosse</t>
        </is>
      </c>
      <c r="E4526" t="inlineStr">
        <is>
          <t>Chuck Maillet</t>
        </is>
      </c>
      <c r="F4526" t="inlineStr">
        <is>
          <t>Meeting with senior Agency officials</t>
        </is>
      </c>
      <c r="G4526" t="inlineStr">
        <is>
          <t>Réunion avec de hauts fonctionnaires de l'Agence</t>
        </is>
      </c>
      <c r="H4526" s="1" t="n">
        <v>43242</v>
      </c>
      <c r="I4526" s="1" t="n">
        <v>43243</v>
      </c>
      <c r="J4526" t="inlineStr">
        <is>
          <t>Moncton, New Brunswick</t>
        </is>
      </c>
      <c r="K4526" t="inlineStr">
        <is>
          <t>Moncton (Nouveau-Brunswick)</t>
        </is>
      </c>
      <c r="P4526" t="n">
        <v>0</v>
      </c>
      <c r="Q4526" t="n">
        <v>0</v>
      </c>
      <c r="R4526" t="n">
        <v>167.9</v>
      </c>
      <c r="S4526" t="n">
        <v>150.35</v>
      </c>
      <c r="T4526" t="n">
        <v>0</v>
      </c>
      <c r="U4526" t="n">
        <v>318.25</v>
      </c>
      <c r="X4526" t="inlineStr">
        <is>
          <t>acoa-apeca</t>
        </is>
      </c>
      <c r="Y4526" t="inlineStr">
        <is>
          <t>Atlantic Canada Opportunities Agency | Agence de promotion économique du Canada atlantique</t>
        </is>
      </c>
      <c r="Z4526" t="n">
        <v>2</v>
      </c>
      <c r="AA4526" t="n">
        <v>318.25</v>
      </c>
      <c r="AB4526">
        <f>ROUND(U4526-AA4526,2)</f>
        <v/>
      </c>
      <c r="AC4526" t="b">
        <v>0</v>
      </c>
      <c r="AD4526">
        <f>IF(U4526="","MISSING_TOTAL",IF(ABS(AB4526)&lt;=0.01,"OK","CHECK"))</f>
        <v/>
      </c>
      <c r="AE4526">
        <f>IF(U4526="","MISSING",IF(AND(AA4526&gt;0,U4526/AA4526&gt;50),"POSSIBLE_SCALE_ERROR","OK"))</f>
        <v/>
      </c>
    </row>
    <row r="4527">
      <c r="A4527" t="inlineStr">
        <is>
          <t>T-2019-Q1-00049</t>
        </is>
      </c>
      <c r="B4527" t="inlineStr">
        <is>
          <t>SLE</t>
        </is>
      </c>
      <c r="C4527" t="inlineStr">
        <is>
          <t>Vice-President, Nova Scotia</t>
        </is>
      </c>
      <c r="D4527" t="inlineStr">
        <is>
          <t>Vice-président, Nouvelle-Écosse</t>
        </is>
      </c>
      <c r="E4527" t="inlineStr">
        <is>
          <t>Chuck Maillet</t>
        </is>
      </c>
      <c r="F4527" t="inlineStr">
        <is>
          <t>Various meetings with Agency officials and stakeholder</t>
        </is>
      </c>
      <c r="G4527" t="inlineStr">
        <is>
          <t>Diverses réunions avec des fonctionnaires de l'Agence et un intervenant</t>
        </is>
      </c>
      <c r="H4527" s="1" t="n">
        <v>43238</v>
      </c>
      <c r="I4527" s="1" t="n">
        <v>43238</v>
      </c>
      <c r="J4527" t="inlineStr">
        <is>
          <t>Moncton, New Brunswick</t>
        </is>
      </c>
      <c r="K4527" t="inlineStr">
        <is>
          <t>Moncton (Nouveau-Brunswick)</t>
        </is>
      </c>
      <c r="P4527" t="n">
        <v>0</v>
      </c>
      <c r="Q4527" t="n">
        <v>260.59</v>
      </c>
      <c r="R4527" t="n">
        <v>0</v>
      </c>
      <c r="S4527" t="n">
        <v>67.34999999999999</v>
      </c>
      <c r="T4527" t="n">
        <v>14</v>
      </c>
      <c r="U4527" t="n">
        <v>341.94</v>
      </c>
      <c r="X4527" t="inlineStr">
        <is>
          <t>acoa-apeca</t>
        </is>
      </c>
      <c r="Y4527" t="inlineStr">
        <is>
          <t>Atlantic Canada Opportunities Agency | Agence de promotion économique du Canada atlantique</t>
        </is>
      </c>
      <c r="Z4527" t="n">
        <v>1</v>
      </c>
      <c r="AA4527" t="n">
        <v>341.939999999999</v>
      </c>
      <c r="AB4527">
        <f>ROUND(U4527-AA4527,2)</f>
        <v/>
      </c>
      <c r="AC4527" t="b">
        <v>0</v>
      </c>
      <c r="AD4527">
        <f>IF(U4527="","MISSING_TOTAL",IF(ABS(AB4527)&lt;=0.01,"OK","CHECK"))</f>
        <v/>
      </c>
      <c r="AE4527">
        <f>IF(U4527="","MISSING",IF(AND(AA4527&gt;0,U4527/AA4527&gt;50),"POSSIBLE_SCALE_ERROR","OK"))</f>
        <v/>
      </c>
    </row>
    <row r="4528">
      <c r="A4528" t="inlineStr">
        <is>
          <t>T-2019-Q1-00048</t>
        </is>
      </c>
      <c r="B4528" t="inlineStr">
        <is>
          <t>SLE</t>
        </is>
      </c>
      <c r="C4528" t="inlineStr">
        <is>
          <t>Vice-President, Nova Scotia</t>
        </is>
      </c>
      <c r="D4528" t="inlineStr">
        <is>
          <t>Vice-président, Nouvelle-Écosse</t>
        </is>
      </c>
      <c r="E4528" t="inlineStr">
        <is>
          <t>Chuck Maillet</t>
        </is>
      </c>
      <c r="F4528" t="inlineStr">
        <is>
          <t>Various meetings with Agency and Government of Canada officials</t>
        </is>
      </c>
      <c r="G4528" t="inlineStr">
        <is>
          <t>Diverses réunions avec des fonctionnaires de l'Agence et du gouvernement du Canada</t>
        </is>
      </c>
      <c r="H4528" s="1" t="n">
        <v>43229</v>
      </c>
      <c r="I4528" s="1" t="n">
        <v>43230</v>
      </c>
      <c r="J4528" t="inlineStr">
        <is>
          <t>Ottawa, Ontario</t>
        </is>
      </c>
      <c r="K4528" t="inlineStr">
        <is>
          <t>Ottawa (Ontario)</t>
        </is>
      </c>
      <c r="P4528" t="n">
        <v>679.42</v>
      </c>
      <c r="Q4528" t="n">
        <v>185.81</v>
      </c>
      <c r="R4528" t="n">
        <v>304.38</v>
      </c>
      <c r="S4528" t="n">
        <v>169.55</v>
      </c>
      <c r="T4528" t="n">
        <v>0</v>
      </c>
      <c r="U4528" t="n">
        <v>1339.16</v>
      </c>
      <c r="X4528" t="inlineStr">
        <is>
          <t>acoa-apeca</t>
        </is>
      </c>
      <c r="Y4528" t="inlineStr">
        <is>
          <t>Atlantic Canada Opportunities Agency | Agence de promotion économique du Canada atlantique</t>
        </is>
      </c>
      <c r="Z4528" t="n">
        <v>2</v>
      </c>
      <c r="AA4528" t="n">
        <v>1339.16</v>
      </c>
      <c r="AB4528">
        <f>ROUND(U4528-AA4528,2)</f>
        <v/>
      </c>
      <c r="AC4528" t="b">
        <v>0</v>
      </c>
      <c r="AD4528">
        <f>IF(U4528="","MISSING_TOTAL",IF(ABS(AB4528)&lt;=0.01,"OK","CHECK"))</f>
        <v/>
      </c>
      <c r="AE4528">
        <f>IF(U4528="","MISSING",IF(AND(AA4528&gt;0,U4528/AA4528&gt;50),"POSSIBLE_SCALE_ERROR","OK"))</f>
        <v/>
      </c>
    </row>
    <row r="4529">
      <c r="A4529" t="inlineStr">
        <is>
          <t>T-2019-Q1-00047</t>
        </is>
      </c>
      <c r="B4529" t="inlineStr">
        <is>
          <t>SLE</t>
        </is>
      </c>
      <c r="C4529" t="inlineStr">
        <is>
          <t>Vice-President, Nova Scotia</t>
        </is>
      </c>
      <c r="D4529" t="inlineStr">
        <is>
          <t>Vice-président, Nouvelle-Écosse</t>
        </is>
      </c>
      <c r="E4529" t="inlineStr">
        <is>
          <t>Chuck Maillet</t>
        </is>
      </c>
      <c r="F4529" t="inlineStr">
        <is>
          <t>Attend various meetings with Government of Canada Officials; conduct interviews; and attend an Indigenous Symposium</t>
        </is>
      </c>
      <c r="G4529" t="inlineStr">
        <is>
          <t>Assister à diverses réunions avec des fonctionnaires du gouvernement du Canada; faire passer des entrevues; et assister à un symposium autochtone</t>
        </is>
      </c>
      <c r="H4529" s="1" t="n">
        <v>43213</v>
      </c>
      <c r="I4529" s="1" t="n">
        <v>43215</v>
      </c>
      <c r="J4529" t="inlineStr">
        <is>
          <t>Ottawa, Ontario</t>
        </is>
      </c>
      <c r="K4529" t="inlineStr">
        <is>
          <t>Ottawa (Ontario)</t>
        </is>
      </c>
      <c r="P4529" t="n">
        <v>1392.02</v>
      </c>
      <c r="Q4529" t="n">
        <v>185.26</v>
      </c>
      <c r="R4529" t="n">
        <v>467.72</v>
      </c>
      <c r="S4529" t="n">
        <v>273.65</v>
      </c>
      <c r="T4529" t="n">
        <v>0</v>
      </c>
      <c r="U4529" t="n">
        <v>2318.65</v>
      </c>
      <c r="X4529" t="inlineStr">
        <is>
          <t>acoa-apeca</t>
        </is>
      </c>
      <c r="Y4529" t="inlineStr">
        <is>
          <t>Atlantic Canada Opportunities Agency | Agence de promotion économique du Canada atlantique</t>
        </is>
      </c>
      <c r="Z4529" t="n">
        <v>3</v>
      </c>
      <c r="AA4529" t="n">
        <v>2318.65</v>
      </c>
      <c r="AB4529">
        <f>ROUND(U4529-AA4529,2)</f>
        <v/>
      </c>
      <c r="AC4529" t="b">
        <v>0</v>
      </c>
      <c r="AD4529">
        <f>IF(U4529="","MISSING_TOTAL",IF(ABS(AB4529)&lt;=0.01,"OK","CHECK"))</f>
        <v/>
      </c>
      <c r="AE4529">
        <f>IF(U4529="","MISSING",IF(AND(AA4529&gt;0,U4529/AA4529&gt;50),"POSSIBLE_SCALE_ERROR","OK"))</f>
        <v/>
      </c>
    </row>
    <row r="4530">
      <c r="A4530" t="inlineStr">
        <is>
          <t>T-2019-Q1-00046</t>
        </is>
      </c>
      <c r="B4530" t="inlineStr">
        <is>
          <t>SLE</t>
        </is>
      </c>
      <c r="C4530" t="inlineStr">
        <is>
          <t>Vice-President, Nova Scotia</t>
        </is>
      </c>
      <c r="D4530" t="inlineStr">
        <is>
          <t>Vice-président, Nouvelle-Écosse</t>
        </is>
      </c>
      <c r="E4530" t="inlineStr">
        <is>
          <t>Chuck Maillet</t>
        </is>
      </c>
      <c r="F4530" t="inlineStr">
        <is>
          <t>Various meetings with Agency officials, clients and stakeholders</t>
        </is>
      </c>
      <c r="G4530" t="inlineStr">
        <is>
          <t>Diverses réunions avec des fonctionnaires de l'Agence, des clients et des intervenants</t>
        </is>
      </c>
      <c r="H4530" s="1" t="n">
        <v>43206</v>
      </c>
      <c r="I4530" s="1" t="n">
        <v>43208</v>
      </c>
      <c r="J4530" t="inlineStr">
        <is>
          <t>Southwest Nova Scotia</t>
        </is>
      </c>
      <c r="K4530" t="inlineStr">
        <is>
          <t>Sud-ouest de la Nouvelle-Écosse</t>
        </is>
      </c>
      <c r="P4530" t="n">
        <v>0</v>
      </c>
      <c r="Q4530" t="n">
        <v>0</v>
      </c>
      <c r="R4530" t="n">
        <v>236.9</v>
      </c>
      <c r="S4530" t="n">
        <v>157.9</v>
      </c>
      <c r="T4530" t="n">
        <v>0</v>
      </c>
      <c r="U4530" t="n">
        <v>394.8</v>
      </c>
      <c r="X4530" t="inlineStr">
        <is>
          <t>acoa-apeca</t>
        </is>
      </c>
      <c r="Y4530" t="inlineStr">
        <is>
          <t>Atlantic Canada Opportunities Agency | Agence de promotion économique du Canada atlantique</t>
        </is>
      </c>
      <c r="Z4530" t="n">
        <v>3</v>
      </c>
      <c r="AA4530" t="n">
        <v>394.8</v>
      </c>
      <c r="AB4530">
        <f>ROUND(U4530-AA4530,2)</f>
        <v/>
      </c>
      <c r="AC4530" t="b">
        <v>0</v>
      </c>
      <c r="AD4530">
        <f>IF(U4530="","MISSING_TOTAL",IF(ABS(AB4530)&lt;=0.01,"OK","CHECK"))</f>
        <v/>
      </c>
      <c r="AE4530">
        <f>IF(U4530="","MISSING",IF(AND(AA4530&gt;0,U4530/AA4530&gt;50),"POSSIBLE_SCALE_ERROR","OK"))</f>
        <v/>
      </c>
    </row>
    <row r="4531">
      <c r="A4531" t="inlineStr">
        <is>
          <t>T-2019-Q1-00045</t>
        </is>
      </c>
      <c r="B4531" t="inlineStr">
        <is>
          <t>SLE</t>
        </is>
      </c>
      <c r="C4531" t="inlineStr">
        <is>
          <t>Vice-President, Nova Scotia</t>
        </is>
      </c>
      <c r="D4531" t="inlineStr">
        <is>
          <t>Vice-président, Nouvelle-Écosse</t>
        </is>
      </c>
      <c r="E4531" t="inlineStr">
        <is>
          <t>Chuck Maillet</t>
        </is>
      </c>
      <c r="F4531" t="inlineStr">
        <is>
          <t>Attend various meetings with Government of Canada officials and the Assistant Deputy Minister Forum</t>
        </is>
      </c>
      <c r="G4531" t="inlineStr">
        <is>
          <t>Assister à diverses réunions avec des fonctionnaires du gouvernement du Canada et au forum des sous-ministres adjoints</t>
        </is>
      </c>
      <c r="H4531" s="1" t="n">
        <v>43200</v>
      </c>
      <c r="I4531" s="1" t="n">
        <v>43201</v>
      </c>
      <c r="J4531" t="inlineStr">
        <is>
          <t>Ottawa, Ontario</t>
        </is>
      </c>
      <c r="K4531" t="inlineStr">
        <is>
          <t>Ottawa (Ontario)</t>
        </is>
      </c>
      <c r="P4531" t="n">
        <v>438.55</v>
      </c>
      <c r="Q4531" t="n">
        <v>212.14</v>
      </c>
      <c r="R4531" t="n">
        <v>233.86</v>
      </c>
      <c r="S4531" t="n">
        <v>169.55</v>
      </c>
      <c r="T4531" t="n">
        <v>0</v>
      </c>
      <c r="U4531" t="n">
        <v>1054.1</v>
      </c>
      <c r="X4531" t="inlineStr">
        <is>
          <t>acoa-apeca</t>
        </is>
      </c>
      <c r="Y4531" t="inlineStr">
        <is>
          <t>Atlantic Canada Opportunities Agency | Agence de promotion économique du Canada atlantique</t>
        </is>
      </c>
      <c r="Z4531" t="n">
        <v>2</v>
      </c>
      <c r="AA4531" t="n">
        <v>1054.1</v>
      </c>
      <c r="AB4531">
        <f>ROUND(U4531-AA4531,2)</f>
        <v/>
      </c>
      <c r="AC4531" t="b">
        <v>0</v>
      </c>
      <c r="AD4531">
        <f>IF(U4531="","MISSING_TOTAL",IF(ABS(AB4531)&lt;=0.01,"OK","CHECK"))</f>
        <v/>
      </c>
      <c r="AE4531">
        <f>IF(U4531="","MISSING",IF(AND(AA4531&gt;0,U4531/AA4531&gt;50),"POSSIBLE_SCALE_ERROR","OK"))</f>
        <v/>
      </c>
    </row>
    <row r="4532">
      <c r="A4532" t="inlineStr">
        <is>
          <t>T-2019-Q1-00044</t>
        </is>
      </c>
      <c r="B4532" t="inlineStr">
        <is>
          <t>SLE</t>
        </is>
      </c>
      <c r="C4532" t="inlineStr">
        <is>
          <t>Vice-President, Nova Scotia</t>
        </is>
      </c>
      <c r="D4532" t="inlineStr">
        <is>
          <t>Vice-président, Nouvelle-Écosse</t>
        </is>
      </c>
      <c r="E4532" t="inlineStr">
        <is>
          <t>Chuck Maillet</t>
        </is>
      </c>
      <c r="F4532" t="inlineStr">
        <is>
          <t>Various meetings with senior Agency and Government of Canada officials</t>
        </is>
      </c>
      <c r="G4532" t="inlineStr">
        <is>
          <t>Diverses réunions avec de hauts fonctionnaires de l'Agence et du gouvernement du Canada</t>
        </is>
      </c>
      <c r="H4532" s="1" t="n">
        <v>43185</v>
      </c>
      <c r="I4532" s="1" t="n">
        <v>43186</v>
      </c>
      <c r="J4532" t="inlineStr">
        <is>
          <t>Ottawa, Ontario</t>
        </is>
      </c>
      <c r="K4532" t="inlineStr">
        <is>
          <t>Ottawa (Ontario)</t>
        </is>
      </c>
      <c r="P4532" t="n">
        <v>664.53</v>
      </c>
      <c r="Q4532" t="n">
        <v>125</v>
      </c>
      <c r="R4532" t="n">
        <v>233.86</v>
      </c>
      <c r="S4532" t="n">
        <v>186.4</v>
      </c>
      <c r="T4532" t="n">
        <v>0</v>
      </c>
      <c r="U4532" t="n">
        <v>1209.79</v>
      </c>
      <c r="X4532" t="inlineStr">
        <is>
          <t>acoa-apeca</t>
        </is>
      </c>
      <c r="Y4532" t="inlineStr">
        <is>
          <t>Atlantic Canada Opportunities Agency | Agence de promotion économique du Canada atlantique</t>
        </is>
      </c>
      <c r="Z4532" t="n">
        <v>2</v>
      </c>
      <c r="AA4532" t="n">
        <v>1209.79</v>
      </c>
      <c r="AB4532">
        <f>ROUND(U4532-AA4532,2)</f>
        <v/>
      </c>
      <c r="AC4532" t="b">
        <v>0</v>
      </c>
      <c r="AD4532">
        <f>IF(U4532="","MISSING_TOTAL",IF(ABS(AB4532)&lt;=0.01,"OK","CHECK"))</f>
        <v/>
      </c>
      <c r="AE4532">
        <f>IF(U4532="","MISSING",IF(AND(AA4532&gt;0,U4532/AA4532&gt;50),"POSSIBLE_SCALE_ERROR","OK"))</f>
        <v/>
      </c>
    </row>
    <row r="4533">
      <c r="A4533" t="inlineStr">
        <is>
          <t>T-2019-Q1-00043</t>
        </is>
      </c>
      <c r="B4533" t="inlineStr">
        <is>
          <t>SLE</t>
        </is>
      </c>
      <c r="C4533" t="inlineStr">
        <is>
          <t>Vice-President, Nova Scotia</t>
        </is>
      </c>
      <c r="D4533" t="inlineStr">
        <is>
          <t>Vice-président, Nouvelle-Écosse</t>
        </is>
      </c>
      <c r="E4533" t="inlineStr">
        <is>
          <t>Chuck Maillet</t>
        </is>
      </c>
      <c r="F4533" t="inlineStr">
        <is>
          <t>Attend Strategic Connections Conference</t>
        </is>
      </c>
      <c r="G4533" t="inlineStr">
        <is>
          <t>Assister à la conférence Strategic Connections</t>
        </is>
      </c>
      <c r="H4533" s="1" t="n">
        <v>43164</v>
      </c>
      <c r="I4533" s="1" t="n">
        <v>43164</v>
      </c>
      <c r="J4533" t="inlineStr">
        <is>
          <t>Millbrook, Nova Scotia</t>
        </is>
      </c>
      <c r="K4533" t="inlineStr">
        <is>
          <t>Millbrook (Nouvelle-Écosse)</t>
        </is>
      </c>
      <c r="P4533" t="n">
        <v>0</v>
      </c>
      <c r="Q4533" t="n">
        <v>93.22</v>
      </c>
      <c r="R4533" t="n">
        <v>0</v>
      </c>
      <c r="S4533" t="n">
        <v>0</v>
      </c>
      <c r="T4533" t="n">
        <v>7</v>
      </c>
      <c r="U4533" t="n">
        <v>100.22</v>
      </c>
      <c r="X4533" t="inlineStr">
        <is>
          <t>acoa-apeca</t>
        </is>
      </c>
      <c r="Y4533" t="inlineStr">
        <is>
          <t>Atlantic Canada Opportunities Agency | Agence de promotion économique du Canada atlantique</t>
        </is>
      </c>
      <c r="Z4533" t="n">
        <v>1</v>
      </c>
      <c r="AA4533" t="n">
        <v>100.22</v>
      </c>
      <c r="AB4533">
        <f>ROUND(U4533-AA4533,2)</f>
        <v/>
      </c>
      <c r="AC4533" t="b">
        <v>0</v>
      </c>
      <c r="AD4533">
        <f>IF(U4533="","MISSING_TOTAL",IF(ABS(AB4533)&lt;=0.01,"OK","CHECK"))</f>
        <v/>
      </c>
      <c r="AE4533">
        <f>IF(U4533="","MISSING",IF(AND(AA4533&gt;0,U4533/AA4533&gt;50),"POSSIBLE_SCALE_ERROR","OK"))</f>
        <v/>
      </c>
    </row>
    <row r="4534">
      <c r="A4534" t="inlineStr">
        <is>
          <t>T-2019-Q1-00032</t>
        </is>
      </c>
      <c r="B4534" t="inlineStr">
        <is>
          <t>SLE</t>
        </is>
      </c>
      <c r="C4534" t="inlineStr">
        <is>
          <t>President</t>
        </is>
      </c>
      <c r="D4534" t="inlineStr">
        <is>
          <t>Président</t>
        </is>
      </c>
      <c r="E4534" t="inlineStr">
        <is>
          <t>Francis McGuire</t>
        </is>
      </c>
      <c r="F4534" t="inlineStr">
        <is>
          <t>Meetings with Government of Canada officials and key stakeholders</t>
        </is>
      </c>
      <c r="G4534" t="inlineStr">
        <is>
          <t>Réunions avec des fonctionnaires du gouvernement du Canada et des intervenants clés</t>
        </is>
      </c>
      <c r="H4534" s="1" t="n">
        <v>43234</v>
      </c>
      <c r="I4534" s="1" t="n">
        <v>43236</v>
      </c>
      <c r="J4534" t="inlineStr">
        <is>
          <t>Halifax, Nova Scotia</t>
        </is>
      </c>
      <c r="K4534" t="inlineStr">
        <is>
          <t>Halifax (Nouvelle-Écosse)</t>
        </is>
      </c>
      <c r="P4534" t="n">
        <v>0</v>
      </c>
      <c r="Q4534" t="n">
        <v>270.92</v>
      </c>
      <c r="R4534" t="n">
        <v>466.86</v>
      </c>
      <c r="S4534" t="n">
        <v>177.35</v>
      </c>
      <c r="T4534" t="n">
        <v>0</v>
      </c>
      <c r="U4534" t="n">
        <v>915.13</v>
      </c>
      <c r="X4534" t="inlineStr">
        <is>
          <t>acoa-apeca</t>
        </is>
      </c>
      <c r="Y4534" t="inlineStr">
        <is>
          <t>Atlantic Canada Opportunities Agency | Agence de promotion économique du Canada atlantique</t>
        </is>
      </c>
      <c r="Z4534" t="n">
        <v>3</v>
      </c>
      <c r="AA4534" t="n">
        <v>915.13</v>
      </c>
      <c r="AB4534">
        <f>ROUND(U4534-AA4534,2)</f>
        <v/>
      </c>
      <c r="AC4534" t="b">
        <v>0</v>
      </c>
      <c r="AD4534">
        <f>IF(U4534="","MISSING_TOTAL",IF(ABS(AB4534)&lt;=0.01,"OK","CHECK"))</f>
        <v/>
      </c>
      <c r="AE4534">
        <f>IF(U4534="","MISSING",IF(AND(AA4534&gt;0,U4534/AA4534&gt;50),"POSSIBLE_SCALE_ERROR","OK"))</f>
        <v/>
      </c>
    </row>
    <row r="4535">
      <c r="A4535" t="inlineStr">
        <is>
          <t>T-2019-Q1-00031</t>
        </is>
      </c>
      <c r="B4535" t="inlineStr">
        <is>
          <t>SLE</t>
        </is>
      </c>
      <c r="C4535" t="inlineStr">
        <is>
          <t>President</t>
        </is>
      </c>
      <c r="D4535" t="inlineStr">
        <is>
          <t>Président</t>
        </is>
      </c>
      <c r="E4535" t="inlineStr">
        <is>
          <t>Francis McGuire</t>
        </is>
      </c>
      <c r="F4535" t="inlineStr">
        <is>
          <t>Meetings with Government of Canada officials and key stakeholder</t>
        </is>
      </c>
      <c r="G4535" t="inlineStr">
        <is>
          <t>Réunions avec des fonctionnaires du gouvernement du Canada et un intervenant clé</t>
        </is>
      </c>
      <c r="H4535" s="1" t="n">
        <v>43228</v>
      </c>
      <c r="I4535" s="1" t="n">
        <v>43230</v>
      </c>
      <c r="J4535" t="inlineStr">
        <is>
          <t>Ottawa, Ontario</t>
        </is>
      </c>
      <c r="K4535" t="inlineStr">
        <is>
          <t>Ottawa (Ontario)</t>
        </is>
      </c>
      <c r="P4535" t="n">
        <v>1004.31</v>
      </c>
      <c r="Q4535" t="n">
        <v>63.56</v>
      </c>
      <c r="R4535" t="n">
        <v>561.74</v>
      </c>
      <c r="S4535" t="n">
        <v>273.4</v>
      </c>
      <c r="T4535" t="n">
        <v>36</v>
      </c>
      <c r="U4535" t="n">
        <v>1939.01</v>
      </c>
      <c r="X4535" t="inlineStr">
        <is>
          <t>acoa-apeca</t>
        </is>
      </c>
      <c r="Y4535" t="inlineStr">
        <is>
          <t>Atlantic Canada Opportunities Agency | Agence de promotion économique du Canada atlantique</t>
        </is>
      </c>
      <c r="Z4535" t="n">
        <v>3</v>
      </c>
      <c r="AA4535" t="n">
        <v>1939.00999999999</v>
      </c>
      <c r="AB4535">
        <f>ROUND(U4535-AA4535,2)</f>
        <v/>
      </c>
      <c r="AC4535" t="b">
        <v>0</v>
      </c>
      <c r="AD4535">
        <f>IF(U4535="","MISSING_TOTAL",IF(ABS(AB4535)&lt;=0.01,"OK","CHECK"))</f>
        <v/>
      </c>
      <c r="AE4535">
        <f>IF(U4535="","MISSING",IF(AND(AA4535&gt;0,U4535/AA4535&gt;50),"POSSIBLE_SCALE_ERROR","OK"))</f>
        <v/>
      </c>
    </row>
    <row r="4536">
      <c r="A4536" t="inlineStr">
        <is>
          <t>T-2019-Q1-00023</t>
        </is>
      </c>
      <c r="B4536" t="inlineStr">
        <is>
          <t>SLE</t>
        </is>
      </c>
      <c r="C4536" t="inlineStr">
        <is>
          <t>President</t>
        </is>
      </c>
      <c r="D4536" t="inlineStr">
        <is>
          <t>Président</t>
        </is>
      </c>
      <c r="E4536" t="inlineStr">
        <is>
          <t>Francis McGuire</t>
        </is>
      </c>
      <c r="F4536" t="inlineStr">
        <is>
          <t>Miramichi Chamber of Commerce AGM</t>
        </is>
      </c>
      <c r="G4536" t="inlineStr">
        <is>
          <t>Assemblée générale annuelle de la Chambre de commerce de Miramichi</t>
        </is>
      </c>
      <c r="H4536" s="1" t="n">
        <v>43216</v>
      </c>
      <c r="I4536" s="1" t="n">
        <v>43217</v>
      </c>
      <c r="J4536" t="inlineStr">
        <is>
          <t>Miramichi and Fredericton, New Brunswick</t>
        </is>
      </c>
      <c r="K4536" t="inlineStr">
        <is>
          <t>Miramichi et Fredericton (Nouveau-Brunswick)</t>
        </is>
      </c>
      <c r="P4536" t="n">
        <v>0</v>
      </c>
      <c r="Q4536" t="n">
        <v>162.24</v>
      </c>
      <c r="R4536" t="n">
        <v>140.76</v>
      </c>
      <c r="S4536" t="n">
        <v>54.05</v>
      </c>
      <c r="T4536" t="n">
        <v>0</v>
      </c>
      <c r="U4536" t="n">
        <v>357.05</v>
      </c>
      <c r="X4536" t="inlineStr">
        <is>
          <t>acoa-apeca</t>
        </is>
      </c>
      <c r="Y4536" t="inlineStr">
        <is>
          <t>Atlantic Canada Opportunities Agency | Agence de promotion économique du Canada atlantique</t>
        </is>
      </c>
      <c r="Z4536" t="n">
        <v>2</v>
      </c>
      <c r="AA4536" t="n">
        <v>357.05</v>
      </c>
      <c r="AB4536">
        <f>ROUND(U4536-AA4536,2)</f>
        <v/>
      </c>
      <c r="AC4536" t="b">
        <v>0</v>
      </c>
      <c r="AD4536">
        <f>IF(U4536="","MISSING_TOTAL",IF(ABS(AB4536)&lt;=0.01,"OK","CHECK"))</f>
        <v/>
      </c>
      <c r="AE4536">
        <f>IF(U4536="","MISSING",IF(AND(AA4536&gt;0,U4536/AA4536&gt;50),"POSSIBLE_SCALE_ERROR","OK"))</f>
        <v/>
      </c>
    </row>
    <row r="4537">
      <c r="A4537" t="inlineStr">
        <is>
          <t>T-2019-Q1-00021</t>
        </is>
      </c>
      <c r="B4537" t="inlineStr">
        <is>
          <t>SLE</t>
        </is>
      </c>
      <c r="C4537" t="inlineStr">
        <is>
          <t>President</t>
        </is>
      </c>
      <c r="D4537" t="inlineStr">
        <is>
          <t>Président</t>
        </is>
      </c>
      <c r="E4537" t="inlineStr">
        <is>
          <t>Francis McGuire</t>
        </is>
      </c>
      <c r="F4537" t="inlineStr">
        <is>
          <t>Meetings with Government officials and key stakeholders</t>
        </is>
      </c>
      <c r="G4537" t="inlineStr">
        <is>
          <t>Réunions avec des fonctionnaires et des intervenants clés</t>
        </is>
      </c>
      <c r="H4537" s="1" t="n">
        <v>43208</v>
      </c>
      <c r="I4537" s="1" t="n">
        <v>43211</v>
      </c>
      <c r="J4537" t="inlineStr">
        <is>
          <t>Charlottetown, Prince Edward Island and Fredericton, New Brunswick</t>
        </is>
      </c>
      <c r="K4537" t="inlineStr">
        <is>
          <t>Charlottetown (Île-du-Prince-Édouard) et Fredericton (Nouveau-Brunswick)</t>
        </is>
      </c>
      <c r="P4537" t="n">
        <v>346.15</v>
      </c>
      <c r="Q4537" t="n">
        <v>370.6</v>
      </c>
      <c r="R4537" t="n">
        <v>565.02</v>
      </c>
      <c r="S4537" t="n">
        <v>244.95</v>
      </c>
      <c r="T4537" t="n">
        <v>133.25</v>
      </c>
      <c r="U4537" t="n">
        <v>1659.97</v>
      </c>
      <c r="X4537" t="inlineStr">
        <is>
          <t>acoa-apeca</t>
        </is>
      </c>
      <c r="Y4537" t="inlineStr">
        <is>
          <t>Atlantic Canada Opportunities Agency | Agence de promotion économique du Canada atlantique</t>
        </is>
      </c>
      <c r="Z4537" t="n">
        <v>4</v>
      </c>
      <c r="AA4537" t="n">
        <v>1659.97</v>
      </c>
      <c r="AB4537">
        <f>ROUND(U4537-AA4537,2)</f>
        <v/>
      </c>
      <c r="AC4537" t="b">
        <v>0</v>
      </c>
      <c r="AD4537">
        <f>IF(U4537="","MISSING_TOTAL",IF(ABS(AB4537)&lt;=0.01,"OK","CHECK"))</f>
        <v/>
      </c>
      <c r="AE4537">
        <f>IF(U4537="","MISSING",IF(AND(AA4537&gt;0,U4537/AA4537&gt;50),"POSSIBLE_SCALE_ERROR","OK"))</f>
        <v/>
      </c>
    </row>
    <row r="4538">
      <c r="A4538" t="inlineStr">
        <is>
          <t>T-2019-Q1-00020</t>
        </is>
      </c>
      <c r="B4538" t="inlineStr">
        <is>
          <t>SLE</t>
        </is>
      </c>
      <c r="C4538" t="inlineStr">
        <is>
          <t>President</t>
        </is>
      </c>
      <c r="D4538" t="inlineStr">
        <is>
          <t>Président</t>
        </is>
      </c>
      <c r="E4538" t="inlineStr">
        <is>
          <t>Francis McGuire</t>
        </is>
      </c>
      <c r="F4538" t="inlineStr">
        <is>
          <t>Southwest Nova Scotia tour</t>
        </is>
      </c>
      <c r="G4538" t="inlineStr">
        <is>
          <t>Visite du sud-ouest de la Nouvelle-Écosse</t>
        </is>
      </c>
      <c r="H4538" s="1" t="n">
        <v>43205</v>
      </c>
      <c r="I4538" s="1" t="n">
        <v>43208</v>
      </c>
      <c r="J4538" t="inlineStr">
        <is>
          <t>Halifax, Nova Scotia</t>
        </is>
      </c>
      <c r="K4538" t="inlineStr">
        <is>
          <t>Halifax (Nouvelle-Écosse)</t>
        </is>
      </c>
      <c r="P4538" t="n">
        <v>403.65</v>
      </c>
      <c r="Q4538" t="n">
        <v>84.56</v>
      </c>
      <c r="R4538" t="n">
        <v>398.16</v>
      </c>
      <c r="S4538" t="n">
        <v>242.8</v>
      </c>
      <c r="T4538" t="n">
        <v>0</v>
      </c>
      <c r="U4538" t="n">
        <v>1129.17</v>
      </c>
      <c r="X4538" t="inlineStr">
        <is>
          <t>acoa-apeca</t>
        </is>
      </c>
      <c r="Y4538" t="inlineStr">
        <is>
          <t>Atlantic Canada Opportunities Agency | Agence de promotion économique du Canada atlantique</t>
        </is>
      </c>
      <c r="Z4538" t="n">
        <v>4</v>
      </c>
      <c r="AA4538" t="n">
        <v>1129.17</v>
      </c>
      <c r="AB4538">
        <f>ROUND(U4538-AA4538,2)</f>
        <v/>
      </c>
      <c r="AC4538" t="b">
        <v>0</v>
      </c>
      <c r="AD4538">
        <f>IF(U4538="","MISSING_TOTAL",IF(ABS(AB4538)&lt;=0.01,"OK","CHECK"))</f>
        <v/>
      </c>
      <c r="AE4538">
        <f>IF(U4538="","MISSING",IF(AND(AA4538&gt;0,U4538/AA4538&gt;50),"POSSIBLE_SCALE_ERROR","OK"))</f>
        <v/>
      </c>
    </row>
    <row r="4539">
      <c r="A4539" t="inlineStr">
        <is>
          <t>T-2019-Q1-00019</t>
        </is>
      </c>
      <c r="B4539" t="inlineStr">
        <is>
          <t>SLE</t>
        </is>
      </c>
      <c r="C4539" t="inlineStr">
        <is>
          <t>President</t>
        </is>
      </c>
      <c r="D4539" t="inlineStr">
        <is>
          <t>Président</t>
        </is>
      </c>
      <c r="E4539" t="inlineStr">
        <is>
          <t>Francis McGuire</t>
        </is>
      </c>
      <c r="F4539" t="inlineStr">
        <is>
          <t>Meeting with Agency officials and key stakeholder</t>
        </is>
      </c>
      <c r="G4539" t="inlineStr">
        <is>
          <t>Réunion avec des fonctionnaires de l'Agence et un intervenant clé</t>
        </is>
      </c>
      <c r="H4539" s="1" t="n">
        <v>43203</v>
      </c>
      <c r="I4539" s="1" t="n">
        <v>43203</v>
      </c>
      <c r="J4539" t="inlineStr">
        <is>
          <t>Saint John, New Brunswick</t>
        </is>
      </c>
      <c r="K4539" t="inlineStr">
        <is>
          <t>Saint John (Nouveau-Brunswick)</t>
        </is>
      </c>
      <c r="P4539" t="n">
        <v>0</v>
      </c>
      <c r="Q4539" t="n">
        <v>119.08</v>
      </c>
      <c r="R4539" t="n">
        <v>0</v>
      </c>
      <c r="S4539" t="n">
        <v>19.2</v>
      </c>
      <c r="T4539" t="n">
        <v>0</v>
      </c>
      <c r="U4539" t="n">
        <v>138.28</v>
      </c>
      <c r="X4539" t="inlineStr">
        <is>
          <t>acoa-apeca</t>
        </is>
      </c>
      <c r="Y4539" t="inlineStr">
        <is>
          <t>Atlantic Canada Opportunities Agency | Agence de promotion économique du Canada atlantique</t>
        </is>
      </c>
      <c r="Z4539" t="n">
        <v>1</v>
      </c>
      <c r="AA4539" t="n">
        <v>138.28</v>
      </c>
      <c r="AB4539">
        <f>ROUND(U4539-AA4539,2)</f>
        <v/>
      </c>
      <c r="AC4539" t="b">
        <v>0</v>
      </c>
      <c r="AD4539">
        <f>IF(U4539="","MISSING_TOTAL",IF(ABS(AB4539)&lt;=0.01,"OK","CHECK"))</f>
        <v/>
      </c>
      <c r="AE4539">
        <f>IF(U4539="","MISSING",IF(AND(AA4539&gt;0,U4539/AA4539&gt;50),"POSSIBLE_SCALE_ERROR","OK"))</f>
        <v/>
      </c>
    </row>
    <row r="4540">
      <c r="A4540" t="inlineStr">
        <is>
          <t>T-2019-Q1-00018</t>
        </is>
      </c>
      <c r="B4540" t="inlineStr">
        <is>
          <t>SLE</t>
        </is>
      </c>
      <c r="C4540" t="inlineStr">
        <is>
          <t>President</t>
        </is>
      </c>
      <c r="D4540" t="inlineStr">
        <is>
          <t>Président</t>
        </is>
      </c>
      <c r="E4540" t="inlineStr">
        <is>
          <t>Francis McGuire</t>
        </is>
      </c>
      <c r="F4540" t="inlineStr">
        <is>
          <t>Northeastern tour of New Brunswick</t>
        </is>
      </c>
      <c r="G4540" t="inlineStr">
        <is>
          <t>Visite du nord-est du Nouveau-Brunswick</t>
        </is>
      </c>
      <c r="H4540" s="1" t="n">
        <v>43200</v>
      </c>
      <c r="I4540" s="1" t="n">
        <v>43202</v>
      </c>
      <c r="J4540" t="inlineStr">
        <is>
          <t>Caraquet, New Brunswick</t>
        </is>
      </c>
      <c r="K4540" t="inlineStr">
        <is>
          <t>Caraquet (Nouveau-Brunswick)</t>
        </is>
      </c>
      <c r="P4540" t="n">
        <v>0</v>
      </c>
      <c r="Q4540" t="n">
        <v>306.28</v>
      </c>
      <c r="R4540" t="n">
        <v>113.85</v>
      </c>
      <c r="S4540" t="n">
        <v>244.7</v>
      </c>
      <c r="T4540" t="n">
        <v>0</v>
      </c>
      <c r="U4540" t="n">
        <v>664.83</v>
      </c>
      <c r="X4540" t="inlineStr">
        <is>
          <t>acoa-apeca</t>
        </is>
      </c>
      <c r="Y4540" t="inlineStr">
        <is>
          <t>Atlantic Canada Opportunities Agency | Agence de promotion économique du Canada atlantique</t>
        </is>
      </c>
      <c r="Z4540" t="n">
        <v>3</v>
      </c>
      <c r="AA4540" t="n">
        <v>664.829999999999</v>
      </c>
      <c r="AB4540">
        <f>ROUND(U4540-AA4540,2)</f>
        <v/>
      </c>
      <c r="AC4540" t="b">
        <v>0</v>
      </c>
      <c r="AD4540">
        <f>IF(U4540="","MISSING_TOTAL",IF(ABS(AB4540)&lt;=0.01,"OK","CHECK"))</f>
        <v/>
      </c>
      <c r="AE4540">
        <f>IF(U4540="","MISSING",IF(AND(AA4540&gt;0,U4540/AA4540&gt;50),"POSSIBLE_SCALE_ERROR","OK"))</f>
        <v/>
      </c>
    </row>
    <row r="4541">
      <c r="A4541" t="inlineStr">
        <is>
          <t>T-2019-Q1-00016</t>
        </is>
      </c>
      <c r="B4541" t="inlineStr">
        <is>
          <t>SLE</t>
        </is>
      </c>
      <c r="C4541" t="inlineStr">
        <is>
          <t>President</t>
        </is>
      </c>
      <c r="D4541" t="inlineStr">
        <is>
          <t>Président</t>
        </is>
      </c>
      <c r="E4541" t="inlineStr">
        <is>
          <t>Francis McGuire</t>
        </is>
      </c>
      <c r="F4541" t="inlineStr">
        <is>
          <t>To attend meetings/site visits with Agency and government officials and key stakeholders</t>
        </is>
      </c>
      <c r="G4541" t="inlineStr">
        <is>
          <t>Assister à des réunions et à des visites des lieux avec des fonctionnaires de l'Agence et du gouvernement et des intervenants clés</t>
        </is>
      </c>
      <c r="H4541" s="1" t="n">
        <v>43195</v>
      </c>
      <c r="I4541" s="1" t="n">
        <v>43196</v>
      </c>
      <c r="J4541" t="inlineStr">
        <is>
          <t>Halifax, Nova Scotia</t>
        </is>
      </c>
      <c r="K4541" t="inlineStr">
        <is>
          <t>Halifax (Nouvelle-Écosse)</t>
        </is>
      </c>
      <c r="P4541" t="n">
        <v>0</v>
      </c>
      <c r="Q4541" t="n">
        <v>356.89</v>
      </c>
      <c r="R4541" t="n">
        <v>181.82</v>
      </c>
      <c r="S4541" t="n">
        <v>169.55</v>
      </c>
      <c r="T4541" t="n">
        <v>0</v>
      </c>
      <c r="U4541" t="n">
        <v>708.26</v>
      </c>
      <c r="X4541" t="inlineStr">
        <is>
          <t>acoa-apeca</t>
        </is>
      </c>
      <c r="Y4541" t="inlineStr">
        <is>
          <t>Atlantic Canada Opportunities Agency | Agence de promotion économique du Canada atlantique</t>
        </is>
      </c>
      <c r="Z4541" t="n">
        <v>2</v>
      </c>
      <c r="AA4541" t="n">
        <v>708.26</v>
      </c>
      <c r="AB4541">
        <f>ROUND(U4541-AA4541,2)</f>
        <v/>
      </c>
      <c r="AC4541" t="b">
        <v>0</v>
      </c>
      <c r="AD4541">
        <f>IF(U4541="","MISSING_TOTAL",IF(ABS(AB4541)&lt;=0.01,"OK","CHECK"))</f>
        <v/>
      </c>
      <c r="AE4541">
        <f>IF(U4541="","MISSING",IF(AND(AA4541&gt;0,U4541/AA4541&gt;50),"POSSIBLE_SCALE_ERROR","OK"))</f>
        <v/>
      </c>
    </row>
    <row r="4542">
      <c r="A4542" t="inlineStr">
        <is>
          <t>T-2019-Q1-00015</t>
        </is>
      </c>
      <c r="B4542" t="inlineStr">
        <is>
          <t>SLE</t>
        </is>
      </c>
      <c r="C4542" t="inlineStr">
        <is>
          <t>President</t>
        </is>
      </c>
      <c r="D4542" t="inlineStr">
        <is>
          <t>Président</t>
        </is>
      </c>
      <c r="E4542" t="inlineStr">
        <is>
          <t>Francis McGuire</t>
        </is>
      </c>
      <c r="F4542" t="inlineStr">
        <is>
          <t>Attend meetings with government officials and key stakeholders</t>
        </is>
      </c>
      <c r="G4542" t="inlineStr">
        <is>
          <t>Assister à des réunions avec des fonctionnaires et des intervenants clés</t>
        </is>
      </c>
      <c r="H4542" s="1" t="n">
        <v>43184</v>
      </c>
      <c r="I4542" s="1" t="n">
        <v>43188</v>
      </c>
      <c r="J4542" t="inlineStr">
        <is>
          <t>Ottawa, Ontario</t>
        </is>
      </c>
      <c r="K4542" t="inlineStr">
        <is>
          <t>Ottawa (Ontario)</t>
        </is>
      </c>
      <c r="P4542" t="n">
        <v>624.9</v>
      </c>
      <c r="Q4542" t="n">
        <v>102.12</v>
      </c>
      <c r="R4542" t="n">
        <v>1052.44</v>
      </c>
      <c r="S4542" t="n">
        <v>437.25</v>
      </c>
      <c r="T4542" t="n">
        <v>40</v>
      </c>
      <c r="U4542" t="n">
        <v>2256.71</v>
      </c>
      <c r="X4542" t="inlineStr">
        <is>
          <t>acoa-apeca</t>
        </is>
      </c>
      <c r="Y4542" t="inlineStr">
        <is>
          <t>Atlantic Canada Opportunities Agency | Agence de promotion économique du Canada atlantique</t>
        </is>
      </c>
      <c r="Z4542" t="n">
        <v>5</v>
      </c>
      <c r="AA4542" t="n">
        <v>2256.71</v>
      </c>
      <c r="AB4542">
        <f>ROUND(U4542-AA4542,2)</f>
        <v/>
      </c>
      <c r="AC4542" t="b">
        <v>0</v>
      </c>
      <c r="AD4542">
        <f>IF(U4542="","MISSING_TOTAL",IF(ABS(AB4542)&lt;=0.01,"OK","CHECK"))</f>
        <v/>
      </c>
      <c r="AE4542">
        <f>IF(U4542="","MISSING",IF(AND(AA4542&gt;0,U4542/AA4542&gt;50),"POSSIBLE_SCALE_ERROR","OK"))</f>
        <v/>
      </c>
    </row>
    <row r="4543">
      <c r="A4543" t="inlineStr">
        <is>
          <t>T-2019-Q1-00007</t>
        </is>
      </c>
      <c r="B4543" t="inlineStr">
        <is>
          <t>SLE</t>
        </is>
      </c>
      <c r="C4543" t="inlineStr">
        <is>
          <t>President</t>
        </is>
      </c>
      <c r="D4543" t="inlineStr">
        <is>
          <t>Président</t>
        </is>
      </c>
      <c r="E4543" t="inlineStr">
        <is>
          <t>Francis McGuire</t>
        </is>
      </c>
      <c r="F4543" t="inlineStr">
        <is>
          <t>Attend meetings with Agency, government officials and key stakeholders</t>
        </is>
      </c>
      <c r="G4543" t="inlineStr">
        <is>
          <t>Assister à des réunions avec des fonctionnaires de l'Agence et du gouvernement et des intervenants clés</t>
        </is>
      </c>
      <c r="H4543" s="1" t="n">
        <v>43178</v>
      </c>
      <c r="I4543" s="1" t="n">
        <v>43179</v>
      </c>
      <c r="J4543" t="inlineStr">
        <is>
          <t>Halifax, Nova Scotia</t>
        </is>
      </c>
      <c r="K4543" t="inlineStr">
        <is>
          <t>Halifax (Nouvelle-Écosse)</t>
        </is>
      </c>
      <c r="P4543" t="n">
        <v>0</v>
      </c>
      <c r="Q4543" t="n">
        <v>450.23</v>
      </c>
      <c r="R4543" t="n">
        <v>181.82</v>
      </c>
      <c r="S4543" t="n">
        <v>119.95</v>
      </c>
      <c r="T4543" t="n">
        <v>0</v>
      </c>
      <c r="U4543" t="n">
        <v>752</v>
      </c>
      <c r="X4543" t="inlineStr">
        <is>
          <t>acoa-apeca</t>
        </is>
      </c>
      <c r="Y4543" t="inlineStr">
        <is>
          <t>Atlantic Canada Opportunities Agency | Agence de promotion économique du Canada atlantique</t>
        </is>
      </c>
      <c r="Z4543" t="n">
        <v>2</v>
      </c>
      <c r="AA4543" t="n">
        <v>752</v>
      </c>
      <c r="AB4543">
        <f>ROUND(U4543-AA4543,2)</f>
        <v/>
      </c>
      <c r="AC4543" t="b">
        <v>0</v>
      </c>
      <c r="AD4543">
        <f>IF(U4543="","MISSING_TOTAL",IF(ABS(AB4543)&lt;=0.01,"OK","CHECK"))</f>
        <v/>
      </c>
      <c r="AE4543">
        <f>IF(U4543="","MISSING",IF(AND(AA4543&gt;0,U4543/AA4543&gt;50),"POSSIBLE_SCALE_ERROR","OK"))</f>
        <v/>
      </c>
    </row>
    <row r="4544">
      <c r="A4544" t="inlineStr">
        <is>
          <t>T-2019-Q1-00006</t>
        </is>
      </c>
      <c r="B4544" t="inlineStr">
        <is>
          <t>SLE</t>
        </is>
      </c>
      <c r="C4544" t="inlineStr">
        <is>
          <t>President</t>
        </is>
      </c>
      <c r="D4544" t="inlineStr">
        <is>
          <t>Président</t>
        </is>
      </c>
      <c r="E4544" t="inlineStr">
        <is>
          <t>Francis McGuire</t>
        </is>
      </c>
      <c r="F4544" t="inlineStr">
        <is>
          <t>Attend Seafood Expo North America</t>
        </is>
      </c>
      <c r="G4544" t="inlineStr">
        <is>
          <t>Assister à l'Expo des produits de la mer d'Amérique du Nord</t>
        </is>
      </c>
      <c r="H4544" s="1" t="n">
        <v>43168</v>
      </c>
      <c r="I4544" s="1" t="n">
        <v>43171</v>
      </c>
      <c r="J4544" t="inlineStr">
        <is>
          <t>Boston, Massachusetts</t>
        </is>
      </c>
      <c r="K4544" t="inlineStr">
        <is>
          <t>Boston, Massachusetts</t>
        </is>
      </c>
      <c r="P4544" t="n">
        <v>0</v>
      </c>
      <c r="Q4544" t="n">
        <v>806.15</v>
      </c>
      <c r="R4544" t="n">
        <v>875.86</v>
      </c>
      <c r="S4544" t="n">
        <v>459.28</v>
      </c>
      <c r="T4544" t="n">
        <v>123.17</v>
      </c>
      <c r="U4544" t="n">
        <v>2264.46</v>
      </c>
      <c r="X4544" t="inlineStr">
        <is>
          <t>acoa-apeca</t>
        </is>
      </c>
      <c r="Y4544" t="inlineStr">
        <is>
          <t>Atlantic Canada Opportunities Agency | Agence de promotion économique du Canada atlantique</t>
        </is>
      </c>
      <c r="Z4544" t="n">
        <v>4</v>
      </c>
      <c r="AA4544" t="n">
        <v>2264.46</v>
      </c>
      <c r="AB4544">
        <f>ROUND(U4544-AA4544,2)</f>
        <v/>
      </c>
      <c r="AC4544" t="b">
        <v>0</v>
      </c>
      <c r="AD4544">
        <f>IF(U4544="","MISSING_TOTAL",IF(ABS(AB4544)&lt;=0.01,"OK","CHECK"))</f>
        <v/>
      </c>
      <c r="AE4544">
        <f>IF(U4544="","MISSING",IF(AND(AA4544&gt;0,U4544/AA4544&gt;50),"POSSIBLE_SCALE_ERROR","OK"))</f>
        <v/>
      </c>
    </row>
    <row r="4545">
      <c r="A4545" t="inlineStr">
        <is>
          <t>T-2019-Q1-00005</t>
        </is>
      </c>
      <c r="B4545" t="inlineStr">
        <is>
          <t>SLE</t>
        </is>
      </c>
      <c r="C4545" t="inlineStr">
        <is>
          <t>President</t>
        </is>
      </c>
      <c r="D4545" t="inlineStr">
        <is>
          <t>Président</t>
        </is>
      </c>
      <c r="E4545" t="inlineStr">
        <is>
          <t>Francis McGuire</t>
        </is>
      </c>
      <c r="F4545" t="inlineStr">
        <is>
          <t>Various meetings with Agency officials and Government of Canada officials</t>
        </is>
      </c>
      <c r="G4545" t="inlineStr">
        <is>
          <t>Diverses réunions avec des fonctionnaires de l'Agence et du gouvernement du Canada</t>
        </is>
      </c>
      <c r="H4545" s="1" t="n">
        <v>43164</v>
      </c>
      <c r="I4545" s="1" t="n">
        <v>43166</v>
      </c>
      <c r="J4545" t="inlineStr">
        <is>
          <t>Ottawa, Ontario</t>
        </is>
      </c>
      <c r="K4545" t="inlineStr">
        <is>
          <t>Ottawa (Ontario)</t>
        </is>
      </c>
      <c r="P4545" t="n">
        <v>1095.95</v>
      </c>
      <c r="Q4545" t="n">
        <v>124.56</v>
      </c>
      <c r="R4545" t="n">
        <v>429.9</v>
      </c>
      <c r="S4545" t="n">
        <v>251.05</v>
      </c>
      <c r="T4545" t="n">
        <v>36</v>
      </c>
      <c r="U4545" t="n">
        <v>1937.46</v>
      </c>
      <c r="X4545" t="inlineStr">
        <is>
          <t>acoa-apeca</t>
        </is>
      </c>
      <c r="Y4545" t="inlineStr">
        <is>
          <t>Atlantic Canada Opportunities Agency | Agence de promotion économique du Canada atlantique</t>
        </is>
      </c>
      <c r="Z4545" t="n">
        <v>3</v>
      </c>
      <c r="AA4545" t="n">
        <v>1937.45999999999</v>
      </c>
      <c r="AB4545">
        <f>ROUND(U4545-AA4545,2)</f>
        <v/>
      </c>
      <c r="AC4545" t="b">
        <v>0</v>
      </c>
      <c r="AD4545">
        <f>IF(U4545="","MISSING_TOTAL",IF(ABS(AB4545)&lt;=0.01,"OK","CHECK"))</f>
        <v/>
      </c>
      <c r="AE4545">
        <f>IF(U4545="","MISSING",IF(AND(AA4545&gt;0,U4545/AA4545&gt;50),"POSSIBLE_SCALE_ERROR","OK"))</f>
        <v/>
      </c>
    </row>
    <row r="4546">
      <c r="A4546" t="inlineStr">
        <is>
          <t>T-2019-Q1-00001</t>
        </is>
      </c>
      <c r="B4546" t="inlineStr">
        <is>
          <t>SLE</t>
        </is>
      </c>
      <c r="C4546" t="inlineStr">
        <is>
          <t>President</t>
        </is>
      </c>
      <c r="D4546" t="inlineStr">
        <is>
          <t>Président</t>
        </is>
      </c>
      <c r="E4546" t="inlineStr">
        <is>
          <t>Francis McGuire</t>
        </is>
      </c>
      <c r="F4546" t="inlineStr">
        <is>
          <t>Various meetings with Agency officials and Government of Canada officials</t>
        </is>
      </c>
      <c r="G4546" t="inlineStr">
        <is>
          <t>Diverses réunions avec des fonctionnaires de l'Agence et du gouvernement du Canada</t>
        </is>
      </c>
      <c r="H4546" s="1" t="n">
        <v>43186</v>
      </c>
      <c r="I4546" s="1" t="n">
        <v>43187</v>
      </c>
      <c r="J4546" t="inlineStr">
        <is>
          <t>Ottawa, Ontario</t>
        </is>
      </c>
      <c r="K4546" t="inlineStr">
        <is>
          <t>Ottawa (Ontario)</t>
        </is>
      </c>
      <c r="P4546" t="n">
        <v>692.3</v>
      </c>
      <c r="Q4546" t="n">
        <v>52.56</v>
      </c>
      <c r="R4546" t="n">
        <v>233.86</v>
      </c>
      <c r="S4546" t="n">
        <v>148.2</v>
      </c>
      <c r="T4546" t="n">
        <v>24</v>
      </c>
      <c r="U4546" t="n">
        <v>1150.92</v>
      </c>
      <c r="X4546" t="inlineStr">
        <is>
          <t>acoa-apeca</t>
        </is>
      </c>
      <c r="Y4546" t="inlineStr">
        <is>
          <t>Atlantic Canada Opportunities Agency | Agence de promotion économique du Canada atlantique</t>
        </is>
      </c>
      <c r="Z4546" t="n">
        <v>2</v>
      </c>
      <c r="AA4546" t="n">
        <v>1150.91999999999</v>
      </c>
      <c r="AB4546">
        <f>ROUND(U4546-AA4546,2)</f>
        <v/>
      </c>
      <c r="AC4546" t="b">
        <v>0</v>
      </c>
      <c r="AD4546">
        <f>IF(U4546="","MISSING_TOTAL",IF(ABS(AB4546)&lt;=0.01,"OK","CHECK"))</f>
        <v/>
      </c>
      <c r="AE4546">
        <f>IF(U4546="","MISSING",IF(AND(AA4546&gt;0,U4546/AA4546&gt;50),"POSSIBLE_SCALE_ERROR","OK"))</f>
        <v/>
      </c>
    </row>
    <row r="4547">
      <c r="A4547" t="inlineStr">
        <is>
          <t>T-2018-Q4-00027</t>
        </is>
      </c>
      <c r="B4547" t="inlineStr">
        <is>
          <t>SLE</t>
        </is>
      </c>
      <c r="C4547" t="inlineStr">
        <is>
          <t>President</t>
        </is>
      </c>
      <c r="D4547" t="inlineStr">
        <is>
          <t>Président</t>
        </is>
      </c>
      <c r="E4547" t="inlineStr">
        <is>
          <t>Francis McGuire</t>
        </is>
      </c>
      <c r="F4547" t="inlineStr">
        <is>
          <t>Various meetings with key stakeholders</t>
        </is>
      </c>
      <c r="G4547" t="inlineStr">
        <is>
          <t>Diverses réunions avec des intervenants clés</t>
        </is>
      </c>
      <c r="H4547" s="1" t="n">
        <v>43157</v>
      </c>
      <c r="I4547" s="1" t="n">
        <v>43157</v>
      </c>
      <c r="J4547" t="inlineStr">
        <is>
          <t>Saint John, New Brunswick</t>
        </is>
      </c>
      <c r="K4547" t="inlineStr">
        <is>
          <t>Saint John (Nouveau-Brunswick)</t>
        </is>
      </c>
      <c r="P4547" t="n">
        <v>0</v>
      </c>
      <c r="Q4547" t="n">
        <v>179.92</v>
      </c>
      <c r="R4547" t="n">
        <v>0</v>
      </c>
      <c r="S4547" t="n">
        <v>18.9</v>
      </c>
      <c r="T4547" t="n">
        <v>0</v>
      </c>
      <c r="U4547" t="n">
        <v>198.82</v>
      </c>
      <c r="X4547" t="inlineStr">
        <is>
          <t>acoa-apeca</t>
        </is>
      </c>
      <c r="Y4547" t="inlineStr">
        <is>
          <t>Atlantic Canada Opportunities Agency | Agence de promotion économique du Canada atlantique</t>
        </is>
      </c>
      <c r="Z4547" t="n">
        <v>1</v>
      </c>
      <c r="AA4547" t="n">
        <v>198.82</v>
      </c>
      <c r="AB4547">
        <f>ROUND(U4547-AA4547,2)</f>
        <v/>
      </c>
      <c r="AC4547" t="b">
        <v>0</v>
      </c>
      <c r="AD4547">
        <f>IF(U4547="","MISSING_TOTAL",IF(ABS(AB4547)&lt;=0.01,"OK","CHECK"))</f>
        <v/>
      </c>
      <c r="AE4547">
        <f>IF(U4547="","MISSING",IF(AND(AA4547&gt;0,U4547/AA4547&gt;50),"POSSIBLE_SCALE_ERROR","OK"))</f>
        <v/>
      </c>
    </row>
    <row r="4548">
      <c r="A4548" t="inlineStr">
        <is>
          <t>T-2018-Q4-00026</t>
        </is>
      </c>
      <c r="B4548" t="inlineStr">
        <is>
          <t>SLE</t>
        </is>
      </c>
      <c r="C4548" t="inlineStr">
        <is>
          <t>President</t>
        </is>
      </c>
      <c r="D4548" t="inlineStr">
        <is>
          <t>Président</t>
        </is>
      </c>
      <c r="E4548" t="inlineStr">
        <is>
          <t>Francis McGuire</t>
        </is>
      </c>
      <c r="F4548" t="inlineStr">
        <is>
          <t>Various meetings with Government of Canada officials</t>
        </is>
      </c>
      <c r="G4548" t="inlineStr">
        <is>
          <t>Diverses réunions avec des fonctionnaires du gouvernement du Canada</t>
        </is>
      </c>
      <c r="H4548" s="1" t="n">
        <v>43152</v>
      </c>
      <c r="I4548" s="1" t="n">
        <v>43153</v>
      </c>
      <c r="J4548" t="inlineStr">
        <is>
          <t>Ottawa, Ontario</t>
        </is>
      </c>
      <c r="K4548" t="inlineStr">
        <is>
          <t>Ottawa (Ontario)</t>
        </is>
      </c>
      <c r="P4548" t="n">
        <v>794.02</v>
      </c>
      <c r="Q4548" t="n">
        <v>54.9</v>
      </c>
      <c r="R4548" t="n">
        <v>210.36</v>
      </c>
      <c r="S4548" t="n">
        <v>167.3</v>
      </c>
      <c r="T4548" t="n">
        <v>0</v>
      </c>
      <c r="U4548" t="n">
        <v>1226.58</v>
      </c>
      <c r="X4548" t="inlineStr">
        <is>
          <t>acoa-apeca</t>
        </is>
      </c>
      <c r="Y4548" t="inlineStr">
        <is>
          <t>Atlantic Canada Opportunities Agency | Agence de promotion économique du Canada atlantique</t>
        </is>
      </c>
      <c r="Z4548" t="n">
        <v>2</v>
      </c>
      <c r="AA4548" t="n">
        <v>1226.58</v>
      </c>
      <c r="AB4548">
        <f>ROUND(U4548-AA4548,2)</f>
        <v/>
      </c>
      <c r="AC4548" t="b">
        <v>0</v>
      </c>
      <c r="AD4548">
        <f>IF(U4548="","MISSING_TOTAL",IF(ABS(AB4548)&lt;=0.01,"OK","CHECK"))</f>
        <v/>
      </c>
      <c r="AE4548">
        <f>IF(U4548="","MISSING",IF(AND(AA4548&gt;0,U4548/AA4548&gt;50),"POSSIBLE_SCALE_ERROR","OK"))</f>
        <v/>
      </c>
    </row>
    <row r="4549">
      <c r="A4549" t="inlineStr">
        <is>
          <t>T-2019-Q1-00029</t>
        </is>
      </c>
      <c r="B4549" t="inlineStr">
        <is>
          <t>SLE</t>
        </is>
      </c>
      <c r="C4549" t="inlineStr">
        <is>
          <t>Vice-President, Finance and Corporate Services</t>
        </is>
      </c>
      <c r="D4549" t="inlineStr">
        <is>
          <t>Vice-président, Finance et Services corporatifs</t>
        </is>
      </c>
      <c r="E4549" t="inlineStr">
        <is>
          <t>Stephane Lagace</t>
        </is>
      </c>
      <c r="F4549" t="inlineStr">
        <is>
          <t>Meetings with Government of Canada officials</t>
        </is>
      </c>
      <c r="G4549" t="inlineStr">
        <is>
          <t>Réunions avec des fonctionnaires du gouvernement du Canada</t>
        </is>
      </c>
      <c r="H4549" s="1" t="n">
        <v>43227</v>
      </c>
      <c r="I4549" s="1" t="n">
        <v>43228</v>
      </c>
      <c r="J4549" t="inlineStr">
        <is>
          <t>Ottawa, Ontario</t>
        </is>
      </c>
      <c r="K4549" t="inlineStr">
        <is>
          <t>Ottawa (Ontario)</t>
        </is>
      </c>
      <c r="P4549" t="n">
        <v>698.11</v>
      </c>
      <c r="Q4549" t="n">
        <v>79.64</v>
      </c>
      <c r="R4549" t="n">
        <v>233.86</v>
      </c>
      <c r="S4549" t="n">
        <v>188.75</v>
      </c>
      <c r="T4549" t="n">
        <v>32</v>
      </c>
      <c r="U4549" t="n">
        <v>1232.36</v>
      </c>
      <c r="X4549" t="inlineStr">
        <is>
          <t>acoa-apeca</t>
        </is>
      </c>
      <c r="Y4549" t="inlineStr">
        <is>
          <t>Atlantic Canada Opportunities Agency | Agence de promotion économique du Canada atlantique</t>
        </is>
      </c>
      <c r="Z4549" t="n">
        <v>2</v>
      </c>
      <c r="AA4549" t="n">
        <v>1232.36</v>
      </c>
      <c r="AB4549">
        <f>ROUND(U4549-AA4549,2)</f>
        <v/>
      </c>
      <c r="AC4549" t="b">
        <v>0</v>
      </c>
      <c r="AD4549">
        <f>IF(U4549="","MISSING_TOTAL",IF(ABS(AB4549)&lt;=0.01,"OK","CHECK"))</f>
        <v/>
      </c>
      <c r="AE4549">
        <f>IF(U4549="","MISSING",IF(AND(AA4549&gt;0,U4549/AA4549&gt;50),"POSSIBLE_SCALE_ERROR","OK"))</f>
        <v/>
      </c>
    </row>
    <row r="4550">
      <c r="A4550" t="inlineStr">
        <is>
          <t>T-2019-Q1-00010</t>
        </is>
      </c>
      <c r="B4550" t="inlineStr">
        <is>
          <t>SLE</t>
        </is>
      </c>
      <c r="C4550" t="inlineStr">
        <is>
          <t>Vice-President, Finance and Corporate Services</t>
        </is>
      </c>
      <c r="D4550" t="inlineStr">
        <is>
          <t>Vice-président, Finance et Services corporatifs</t>
        </is>
      </c>
      <c r="E4550" t="inlineStr">
        <is>
          <t>Stephane Lagace</t>
        </is>
      </c>
      <c r="F4550" t="inlineStr">
        <is>
          <t>Various meetings with Agency officials and Government of Canada officials</t>
        </is>
      </c>
      <c r="G4550" t="inlineStr">
        <is>
          <t>Diverses réunions avec des fonctionnaires de l'Agence et du gouvernement du Canada</t>
        </is>
      </c>
      <c r="H4550" s="1" t="n">
        <v>43185</v>
      </c>
      <c r="I4550" s="1" t="n">
        <v>43186</v>
      </c>
      <c r="J4550" t="inlineStr">
        <is>
          <t>Ottawa, Ontario</t>
        </is>
      </c>
      <c r="K4550" t="inlineStr">
        <is>
          <t>Ottawa (Ontario)</t>
        </is>
      </c>
      <c r="P4550" t="n">
        <v>843.47</v>
      </c>
      <c r="Q4550" t="n">
        <v>73.64</v>
      </c>
      <c r="R4550" t="n">
        <v>233.86</v>
      </c>
      <c r="S4550" t="n">
        <v>167.3</v>
      </c>
      <c r="T4550" t="n">
        <v>32</v>
      </c>
      <c r="U4550" t="n">
        <v>1350.27</v>
      </c>
      <c r="X4550" t="inlineStr">
        <is>
          <t>acoa-apeca</t>
        </is>
      </c>
      <c r="Y4550" t="inlineStr">
        <is>
          <t>Atlantic Canada Opportunities Agency | Agence de promotion économique du Canada atlantique</t>
        </is>
      </c>
      <c r="Z4550" t="n">
        <v>2</v>
      </c>
      <c r="AA4550" t="n">
        <v>1350.27</v>
      </c>
      <c r="AB4550">
        <f>ROUND(U4550-AA4550,2)</f>
        <v/>
      </c>
      <c r="AC4550" t="b">
        <v>0</v>
      </c>
      <c r="AD4550">
        <f>IF(U4550="","MISSING_TOTAL",IF(ABS(AB4550)&lt;=0.01,"OK","CHECK"))</f>
        <v/>
      </c>
      <c r="AE4550">
        <f>IF(U4550="","MISSING",IF(AND(AA4550&gt;0,U4550/AA4550&gt;50),"POSSIBLE_SCALE_ERROR","OK"))</f>
        <v/>
      </c>
    </row>
    <row r="4551">
      <c r="A4551" t="inlineStr">
        <is>
          <t>T-2019-Q1-00008</t>
        </is>
      </c>
      <c r="B4551" t="inlineStr">
        <is>
          <t>SLE</t>
        </is>
      </c>
      <c r="C4551" t="inlineStr">
        <is>
          <t>Vice-President, Finance and Corporate Services</t>
        </is>
      </c>
      <c r="D4551" t="inlineStr">
        <is>
          <t>Vice-président, Finance et Services corporatifs</t>
        </is>
      </c>
      <c r="E4551" t="inlineStr">
        <is>
          <t>Stephane Lagace</t>
        </is>
      </c>
      <c r="F4551" t="inlineStr">
        <is>
          <t>Meetings with Agency officials</t>
        </is>
      </c>
      <c r="G4551" t="inlineStr">
        <is>
          <t>Réunions avec des fonctionnaires de l'Agence</t>
        </is>
      </c>
      <c r="H4551" s="1" t="n">
        <v>43178</v>
      </c>
      <c r="I4551" s="1" t="n">
        <v>43178</v>
      </c>
      <c r="J4551" t="inlineStr">
        <is>
          <t>Fredericton, New Brunswick</t>
        </is>
      </c>
      <c r="K4551" t="inlineStr">
        <is>
          <t>Fredericton (Nouveau-Brunswick)</t>
        </is>
      </c>
      <c r="P4551" t="n">
        <v>0</v>
      </c>
      <c r="Q4551" t="n">
        <v>0</v>
      </c>
      <c r="R4551" t="n">
        <v>0</v>
      </c>
      <c r="S4551" t="n">
        <v>18.9</v>
      </c>
      <c r="T4551" t="n">
        <v>3</v>
      </c>
      <c r="U4551" t="n">
        <v>21.9</v>
      </c>
      <c r="X4551" t="inlineStr">
        <is>
          <t>acoa-apeca</t>
        </is>
      </c>
      <c r="Y4551" t="inlineStr">
        <is>
          <t>Atlantic Canada Opportunities Agency | Agence de promotion économique du Canada atlantique</t>
        </is>
      </c>
      <c r="Z4551" t="n">
        <v>1</v>
      </c>
      <c r="AA4551" t="n">
        <v>21.9</v>
      </c>
      <c r="AB4551">
        <f>ROUND(U4551-AA4551,2)</f>
        <v/>
      </c>
      <c r="AC4551" t="b">
        <v>0</v>
      </c>
      <c r="AD4551">
        <f>IF(U4551="","MISSING_TOTAL",IF(ABS(AB4551)&lt;=0.01,"OK","CHECK"))</f>
        <v/>
      </c>
      <c r="AE4551">
        <f>IF(U4551="","MISSING",IF(AND(AA4551&gt;0,U4551/AA4551&gt;50),"POSSIBLE_SCALE_ERROR","OK"))</f>
        <v/>
      </c>
    </row>
    <row r="4552">
      <c r="A4552" t="inlineStr">
        <is>
          <t>T-2019-Q1-00002</t>
        </is>
      </c>
      <c r="B4552" t="inlineStr">
        <is>
          <t>SLE</t>
        </is>
      </c>
      <c r="C4552" t="inlineStr">
        <is>
          <t>Vice-President, Finance and Corporate Services</t>
        </is>
      </c>
      <c r="D4552" t="inlineStr">
        <is>
          <t>Vice-président, Finance et Services corporatifs</t>
        </is>
      </c>
      <c r="E4552" t="inlineStr">
        <is>
          <t>Stephane Lagace</t>
        </is>
      </c>
      <c r="F4552" t="inlineStr">
        <is>
          <t>Meetings with Agency officials</t>
        </is>
      </c>
      <c r="G4552" t="inlineStr">
        <is>
          <t>Réunions avec des fonctionnaires de l'Agence</t>
        </is>
      </c>
      <c r="H4552" s="1" t="n">
        <v>43168</v>
      </c>
      <c r="I4552" s="1" t="n">
        <v>43168</v>
      </c>
      <c r="J4552" t="inlineStr">
        <is>
          <t>Charlottetown, Prince Edward Island</t>
        </is>
      </c>
      <c r="K4552" t="inlineStr">
        <is>
          <t>Charlottetown (Île-du-Prince-Édouard)</t>
        </is>
      </c>
      <c r="P4552" t="n">
        <v>0</v>
      </c>
      <c r="Q4552" t="n">
        <v>47</v>
      </c>
      <c r="R4552" t="n">
        <v>0</v>
      </c>
      <c r="S4552" t="n">
        <v>18.9</v>
      </c>
      <c r="T4552" t="n">
        <v>3.75</v>
      </c>
      <c r="U4552" t="n">
        <v>69.65000000000001</v>
      </c>
      <c r="X4552" t="inlineStr">
        <is>
          <t>acoa-apeca</t>
        </is>
      </c>
      <c r="Y4552" t="inlineStr">
        <is>
          <t>Atlantic Canada Opportunities Agency | Agence de promotion économique du Canada atlantique</t>
        </is>
      </c>
      <c r="Z4552" t="n">
        <v>1</v>
      </c>
      <c r="AA4552" t="n">
        <v>69.65000000000001</v>
      </c>
      <c r="AB4552">
        <f>ROUND(U4552-AA4552,2)</f>
        <v/>
      </c>
      <c r="AC4552" t="b">
        <v>0</v>
      </c>
      <c r="AD4552">
        <f>IF(U4552="","MISSING_TOTAL",IF(ABS(AB4552)&lt;=0.01,"OK","CHECK"))</f>
        <v/>
      </c>
      <c r="AE4552">
        <f>IF(U4552="","MISSING",IF(AND(AA4552&gt;0,U4552/AA4552&gt;50),"POSSIBLE_SCALE_ERROR","OK"))</f>
        <v/>
      </c>
    </row>
    <row r="4553">
      <c r="A4553" t="inlineStr">
        <is>
          <t>T-2018-Q4-00028</t>
        </is>
      </c>
      <c r="B4553" t="inlineStr">
        <is>
          <t>SLE</t>
        </is>
      </c>
      <c r="C4553" t="inlineStr">
        <is>
          <t>Vice-President, Finance and Corporate Services</t>
        </is>
      </c>
      <c r="D4553" t="inlineStr">
        <is>
          <t>Vice-président, Finance et Services corporatifs</t>
        </is>
      </c>
      <c r="E4553" t="inlineStr">
        <is>
          <t>Stephane Lagace</t>
        </is>
      </c>
      <c r="F4553" t="inlineStr">
        <is>
          <t>Meetings with Government of Canada officials</t>
        </is>
      </c>
      <c r="G4553" t="inlineStr">
        <is>
          <t>Réunions avec des fonctionnaires du gouvernement du Canada</t>
        </is>
      </c>
      <c r="H4553" s="1" t="n">
        <v>43157</v>
      </c>
      <c r="I4553" s="1" t="n">
        <v>43158</v>
      </c>
      <c r="J4553" t="inlineStr">
        <is>
          <t>Ottawa, Ontario</t>
        </is>
      </c>
      <c r="K4553" t="inlineStr">
        <is>
          <t>Ottawa (Ontario)</t>
        </is>
      </c>
      <c r="P4553" t="n">
        <v>935.0700000000001</v>
      </c>
      <c r="Q4553" t="n">
        <v>80</v>
      </c>
      <c r="R4553" t="n">
        <v>205.66</v>
      </c>
      <c r="S4553" t="n">
        <v>167.3</v>
      </c>
      <c r="T4553" t="n">
        <v>36.16</v>
      </c>
      <c r="U4553" t="n">
        <v>1424.19</v>
      </c>
      <c r="X4553" t="inlineStr">
        <is>
          <t>acoa-apeca</t>
        </is>
      </c>
      <c r="Y4553" t="inlineStr">
        <is>
          <t>Atlantic Canada Opportunities Agency | Agence de promotion économique du Canada atlantique</t>
        </is>
      </c>
      <c r="Z4553" t="n">
        <v>2</v>
      </c>
      <c r="AA4553" t="n">
        <v>1424.19</v>
      </c>
      <c r="AB4553">
        <f>ROUND(U4553-AA4553,2)</f>
        <v/>
      </c>
      <c r="AC4553" t="b">
        <v>0</v>
      </c>
      <c r="AD4553">
        <f>IF(U4553="","MISSING_TOTAL",IF(ABS(AB4553)&lt;=0.01,"OK","CHECK"))</f>
        <v/>
      </c>
      <c r="AE4553">
        <f>IF(U4553="","MISSING",IF(AND(AA4553&gt;0,U4553/AA4553&gt;50),"POSSIBLE_SCALE_ERROR","OK"))</f>
        <v/>
      </c>
    </row>
    <row r="4554">
      <c r="A4554" t="inlineStr">
        <is>
          <t>T-2019-Q2-00051</t>
        </is>
      </c>
      <c r="B4554" t="inlineStr">
        <is>
          <t>SLE</t>
        </is>
      </c>
      <c r="C4554" t="inlineStr">
        <is>
          <t>Vice-President, New Brunswick</t>
        </is>
      </c>
      <c r="D4554" t="inlineStr">
        <is>
          <t>Vice-président, Nouveau-Brunswick</t>
        </is>
      </c>
      <c r="E4554" t="inlineStr">
        <is>
          <t>Kent Estabrooks</t>
        </is>
      </c>
      <c r="F4554" t="inlineStr">
        <is>
          <t>Various meetings with Agency officials on champion file</t>
        </is>
      </c>
      <c r="G4554" t="inlineStr">
        <is>
          <t>Diverses réunions avec des fonctionnaires de l'Agence sur un dossier de champion</t>
        </is>
      </c>
      <c r="H4554" s="1" t="n">
        <v>43254</v>
      </c>
      <c r="I4554" s="1" t="n">
        <v>43257</v>
      </c>
      <c r="J4554" t="inlineStr">
        <is>
          <t>Charlottetown, Prince Edward Island</t>
        </is>
      </c>
      <c r="K4554" t="inlineStr">
        <is>
          <t>Charlottetown (Île-du-Prince-Édouard)</t>
        </is>
      </c>
      <c r="P4554" t="n">
        <v>346.15</v>
      </c>
      <c r="Q4554" t="n">
        <v>62.15</v>
      </c>
      <c r="R4554" t="n">
        <v>585.72</v>
      </c>
      <c r="S4554" t="n">
        <v>358.3</v>
      </c>
      <c r="T4554" t="n">
        <v>0</v>
      </c>
      <c r="U4554" t="n">
        <v>1352.32</v>
      </c>
      <c r="X4554" t="inlineStr">
        <is>
          <t>acoa-apeca</t>
        </is>
      </c>
      <c r="Y4554" t="inlineStr">
        <is>
          <t>Atlantic Canada Opportunities Agency | Agence de promotion économique du Canada atlantique</t>
        </is>
      </c>
      <c r="Z4554" t="n">
        <v>4</v>
      </c>
      <c r="AA4554" t="n">
        <v>1352.32</v>
      </c>
      <c r="AB4554">
        <f>ROUND(U4554-AA4554,2)</f>
        <v/>
      </c>
      <c r="AC4554" t="b">
        <v>0</v>
      </c>
      <c r="AD4554">
        <f>IF(U4554="","MISSING_TOTAL",IF(ABS(AB4554)&lt;=0.01,"OK","CHECK"))</f>
        <v/>
      </c>
      <c r="AE4554">
        <f>IF(U4554="","MISSING",IF(AND(AA4554&gt;0,U4554/AA4554&gt;50),"POSSIBLE_SCALE_ERROR","OK"))</f>
        <v/>
      </c>
    </row>
    <row r="4555">
      <c r="A4555" t="inlineStr">
        <is>
          <t>T-2019-Q2-00050</t>
        </is>
      </c>
      <c r="B4555" t="inlineStr">
        <is>
          <t>SLE</t>
        </is>
      </c>
      <c r="C4555" t="inlineStr">
        <is>
          <t>Vice-President, New Brunswick</t>
        </is>
      </c>
      <c r="D4555" t="inlineStr">
        <is>
          <t>Vice-président, Nouveau-Brunswick</t>
        </is>
      </c>
      <c r="E4555" t="inlineStr">
        <is>
          <t>Kent Estabrooks</t>
        </is>
      </c>
      <c r="F4555" t="inlineStr">
        <is>
          <t>Agency senior management meeting</t>
        </is>
      </c>
      <c r="G4555" t="inlineStr">
        <is>
          <t>Réunion de la haute direction de l'Agence</t>
        </is>
      </c>
      <c r="H4555" s="1" t="n">
        <v>43261</v>
      </c>
      <c r="I4555" s="1" t="n">
        <v>43264</v>
      </c>
      <c r="J4555" t="inlineStr">
        <is>
          <t>Bonavista, Newfoundland and Labrador</t>
        </is>
      </c>
      <c r="K4555" t="inlineStr">
        <is>
          <t>Bonavista (Terre-Neuve-et-Labrador)</t>
        </is>
      </c>
      <c r="P4555" t="n">
        <v>941.58</v>
      </c>
      <c r="Q4555" t="n">
        <v>30</v>
      </c>
      <c r="R4555" t="n">
        <v>721.55</v>
      </c>
      <c r="S4555" t="n">
        <v>319.9</v>
      </c>
      <c r="T4555" t="n">
        <v>80.31</v>
      </c>
      <c r="U4555" t="n">
        <v>2093.34</v>
      </c>
      <c r="X4555" t="inlineStr">
        <is>
          <t>acoa-apeca</t>
        </is>
      </c>
      <c r="Y4555" t="inlineStr">
        <is>
          <t>Atlantic Canada Opportunities Agency | Agence de promotion économique du Canada atlantique</t>
        </is>
      </c>
      <c r="Z4555" t="n">
        <v>4</v>
      </c>
      <c r="AA4555" t="n">
        <v>2093.34</v>
      </c>
      <c r="AB4555">
        <f>ROUND(U4555-AA4555,2)</f>
        <v/>
      </c>
      <c r="AC4555" t="b">
        <v>0</v>
      </c>
      <c r="AD4555">
        <f>IF(U4555="","MISSING_TOTAL",IF(ABS(AB4555)&lt;=0.01,"OK","CHECK"))</f>
        <v/>
      </c>
      <c r="AE4555">
        <f>IF(U4555="","MISSING",IF(AND(AA4555&gt;0,U4555/AA4555&gt;50),"POSSIBLE_SCALE_ERROR","OK"))</f>
        <v/>
      </c>
    </row>
    <row r="4556">
      <c r="A4556" t="inlineStr">
        <is>
          <t>T-2019-Q2-00049</t>
        </is>
      </c>
      <c r="B4556" t="inlineStr">
        <is>
          <t>SLE</t>
        </is>
      </c>
      <c r="C4556" t="inlineStr">
        <is>
          <t>Vice-President, New Brunswick</t>
        </is>
      </c>
      <c r="D4556" t="inlineStr">
        <is>
          <t>Vice-président, Nouveau-Brunswick</t>
        </is>
      </c>
      <c r="E4556" t="inlineStr">
        <is>
          <t>Kent Estabrooks</t>
        </is>
      </c>
      <c r="F4556" t="inlineStr">
        <is>
          <t>Meetings with various federal officials</t>
        </is>
      </c>
      <c r="G4556" t="inlineStr">
        <is>
          <t>Réunions avec divers fonctionnaires fédéraux</t>
        </is>
      </c>
      <c r="H4556" s="1" t="n">
        <v>43269</v>
      </c>
      <c r="I4556" s="1" t="n">
        <v>43270</v>
      </c>
      <c r="J4556" t="inlineStr">
        <is>
          <t>Ottawa, Ontario</t>
        </is>
      </c>
      <c r="K4556" t="inlineStr">
        <is>
          <t>Ottawa (Ontario)</t>
        </is>
      </c>
      <c r="P4556" t="n">
        <v>692.3</v>
      </c>
      <c r="Q4556" t="n">
        <v>126.01</v>
      </c>
      <c r="R4556" t="n">
        <v>233.86</v>
      </c>
      <c r="S4556" t="n">
        <v>169.3</v>
      </c>
      <c r="T4556" t="n">
        <v>56.5</v>
      </c>
      <c r="U4556" t="n">
        <v>1277.97</v>
      </c>
      <c r="X4556" t="inlineStr">
        <is>
          <t>acoa-apeca</t>
        </is>
      </c>
      <c r="Y4556" t="inlineStr">
        <is>
          <t>Atlantic Canada Opportunities Agency | Agence de promotion économique du Canada atlantique</t>
        </is>
      </c>
      <c r="Z4556" t="n">
        <v>2</v>
      </c>
      <c r="AA4556" t="n">
        <v>1277.97</v>
      </c>
      <c r="AB4556">
        <f>ROUND(U4556-AA4556,2)</f>
        <v/>
      </c>
      <c r="AC4556" t="b">
        <v>0</v>
      </c>
      <c r="AD4556">
        <f>IF(U4556="","MISSING_TOTAL",IF(ABS(AB4556)&lt;=0.01,"OK","CHECK"))</f>
        <v/>
      </c>
      <c r="AE4556">
        <f>IF(U4556="","MISSING",IF(AND(AA4556&gt;0,U4556/AA4556&gt;50),"POSSIBLE_SCALE_ERROR","OK"))</f>
        <v/>
      </c>
    </row>
    <row r="4557">
      <c r="A4557" t="inlineStr">
        <is>
          <t>T-2019-Q2-00048</t>
        </is>
      </c>
      <c r="B4557" t="inlineStr">
        <is>
          <t>SLE</t>
        </is>
      </c>
      <c r="C4557" t="inlineStr">
        <is>
          <t>Vice-President, New Brunswick</t>
        </is>
      </c>
      <c r="D4557" t="inlineStr">
        <is>
          <t>Vice-président, Nouveau-Brunswick</t>
        </is>
      </c>
      <c r="E4557" t="inlineStr">
        <is>
          <t>Kent Estabrooks</t>
        </is>
      </c>
      <c r="F4557" t="inlineStr">
        <is>
          <t>Agency Executive Committee meeting</t>
        </is>
      </c>
      <c r="G4557" t="inlineStr">
        <is>
          <t>Réunion du Comité de direction de l'Agence</t>
        </is>
      </c>
      <c r="H4557" s="1" t="n">
        <v>43271</v>
      </c>
      <c r="I4557" s="1" t="n">
        <v>43272</v>
      </c>
      <c r="J4557" t="inlineStr">
        <is>
          <t>Moncton, New Brunswick</t>
        </is>
      </c>
      <c r="K4557" t="inlineStr">
        <is>
          <t>Moncton (Nouveau-Brunswick)</t>
        </is>
      </c>
      <c r="P4557" t="n">
        <v>0</v>
      </c>
      <c r="Q4557" t="n">
        <v>0</v>
      </c>
      <c r="R4557" t="n">
        <v>163.3</v>
      </c>
      <c r="S4557" t="n">
        <v>130.9</v>
      </c>
      <c r="T4557" t="n">
        <v>16.1</v>
      </c>
      <c r="U4557" t="n">
        <v>310.3</v>
      </c>
      <c r="X4557" t="inlineStr">
        <is>
          <t>acoa-apeca</t>
        </is>
      </c>
      <c r="Y4557" t="inlineStr">
        <is>
          <t>Atlantic Canada Opportunities Agency | Agence de promotion économique du Canada atlantique</t>
        </is>
      </c>
      <c r="Z4557" t="n">
        <v>2</v>
      </c>
      <c r="AA4557" t="n">
        <v>310.3</v>
      </c>
      <c r="AB4557">
        <f>ROUND(U4557-AA4557,2)</f>
        <v/>
      </c>
      <c r="AC4557" t="b">
        <v>0</v>
      </c>
      <c r="AD4557">
        <f>IF(U4557="","MISSING_TOTAL",IF(ABS(AB4557)&lt;=0.01,"OK","CHECK"))</f>
        <v/>
      </c>
      <c r="AE4557">
        <f>IF(U4557="","MISSING",IF(AND(AA4557&gt;0,U4557/AA4557&gt;50),"POSSIBLE_SCALE_ERROR","OK"))</f>
        <v/>
      </c>
    </row>
    <row r="4558">
      <c r="A4558" t="inlineStr">
        <is>
          <t>T-2019-Q2-00047</t>
        </is>
      </c>
      <c r="B4558" t="inlineStr">
        <is>
          <t>SLE</t>
        </is>
      </c>
      <c r="C4558" t="inlineStr">
        <is>
          <t>Vice-President, New Brunswick</t>
        </is>
      </c>
      <c r="D4558" t="inlineStr">
        <is>
          <t>Vice-président, Nouveau-Brunswick</t>
        </is>
      </c>
      <c r="E4558" t="inlineStr">
        <is>
          <t>Kent Estabrooks</t>
        </is>
      </c>
      <c r="F4558" t="inlineStr">
        <is>
          <t>Meeting with various federal officials in Ottawa / Atlantic Regional Seminar in Halifax</t>
        </is>
      </c>
      <c r="G4558" t="inlineStr">
        <is>
          <t>Réunion avec divers fonctionnaires fédéraux à Ottawa / séminaire régional du Canada atlantique à Halifax</t>
        </is>
      </c>
      <c r="H4558" s="1" t="n">
        <v>43276</v>
      </c>
      <c r="I4558" s="1" t="n">
        <v>43278</v>
      </c>
      <c r="J4558" t="inlineStr">
        <is>
          <t>Ottawa, Ontario / Halifax, Nova Scotia</t>
        </is>
      </c>
      <c r="K4558" t="inlineStr">
        <is>
          <t>Ottawa (Ontario) / Halifax (Nouvelle-Écosse)</t>
        </is>
      </c>
      <c r="P4558" t="n">
        <v>1038.45</v>
      </c>
      <c r="Q4558" t="n">
        <v>263.57</v>
      </c>
      <c r="R4558" t="n">
        <v>467.29</v>
      </c>
      <c r="S4558" t="n">
        <v>253.95</v>
      </c>
      <c r="T4558" t="n">
        <v>64.34999999999999</v>
      </c>
      <c r="U4558" t="n">
        <v>2087.61</v>
      </c>
      <c r="X4558" t="inlineStr">
        <is>
          <t>acoa-apeca</t>
        </is>
      </c>
      <c r="Y4558" t="inlineStr">
        <is>
          <t>Atlantic Canada Opportunities Agency | Agence de promotion économique du Canada atlantique</t>
        </is>
      </c>
      <c r="Z4558" t="n">
        <v>3</v>
      </c>
      <c r="AA4558" t="n">
        <v>2087.61</v>
      </c>
      <c r="AB4558">
        <f>ROUND(U4558-AA4558,2)</f>
        <v/>
      </c>
      <c r="AC4558" t="b">
        <v>0</v>
      </c>
      <c r="AD4558">
        <f>IF(U4558="","MISSING_TOTAL",IF(ABS(AB4558)&lt;=0.01,"OK","CHECK"))</f>
        <v/>
      </c>
      <c r="AE4558">
        <f>IF(U4558="","MISSING",IF(AND(AA4558&gt;0,U4558/AA4558&gt;50),"POSSIBLE_SCALE_ERROR","OK"))</f>
        <v/>
      </c>
    </row>
    <row r="4559">
      <c r="A4559" t="inlineStr">
        <is>
          <t>T-2019-Q2-00046</t>
        </is>
      </c>
      <c r="B4559" t="inlineStr">
        <is>
          <t>SLE</t>
        </is>
      </c>
      <c r="C4559" t="inlineStr">
        <is>
          <t>Vice-President, New Brunswick</t>
        </is>
      </c>
      <c r="D4559" t="inlineStr">
        <is>
          <t>Vice-président, Nouveau-Brunswick</t>
        </is>
      </c>
      <c r="E4559" t="inlineStr">
        <is>
          <t>Kent Estabrooks</t>
        </is>
      </c>
      <c r="F4559" t="inlineStr">
        <is>
          <t>APEX interview board / Various meetings with Government of Canada officials and Agency officials</t>
        </is>
      </c>
      <c r="G4559" t="inlineStr">
        <is>
          <t>Comité d'entrevue de l'APEX / diverses réunions avec des fonctionnaires du gouvernement du Canada et de l'Agence</t>
        </is>
      </c>
      <c r="H4559" s="1" t="n">
        <v>43290</v>
      </c>
      <c r="I4559" s="1" t="n">
        <v>43292</v>
      </c>
      <c r="J4559" t="inlineStr">
        <is>
          <t>Ottawa, Ontario</t>
        </is>
      </c>
      <c r="K4559" t="inlineStr">
        <is>
          <t>Ottawa (Ontario)</t>
        </is>
      </c>
      <c r="P4559" t="n">
        <v>692.3</v>
      </c>
      <c r="Q4559" t="n">
        <v>135.86</v>
      </c>
      <c r="R4559" t="n">
        <v>467.72</v>
      </c>
      <c r="S4559" t="n">
        <v>253.95</v>
      </c>
      <c r="T4559" t="n">
        <v>0</v>
      </c>
      <c r="U4559" t="n">
        <v>1549.83</v>
      </c>
      <c r="X4559" t="inlineStr">
        <is>
          <t>acoa-apeca</t>
        </is>
      </c>
      <c r="Y4559" t="inlineStr">
        <is>
          <t>Atlantic Canada Opportunities Agency | Agence de promotion économique du Canada atlantique</t>
        </is>
      </c>
      <c r="Z4559" t="n">
        <v>3</v>
      </c>
      <c r="AA4559" t="n">
        <v>1549.83</v>
      </c>
      <c r="AB4559">
        <f>ROUND(U4559-AA4559,2)</f>
        <v/>
      </c>
      <c r="AC4559" t="b">
        <v>0</v>
      </c>
      <c r="AD4559">
        <f>IF(U4559="","MISSING_TOTAL",IF(ABS(AB4559)&lt;=0.01,"OK","CHECK"))</f>
        <v/>
      </c>
      <c r="AE4559">
        <f>IF(U4559="","MISSING",IF(AND(AA4559&gt;0,U4559/AA4559&gt;50),"POSSIBLE_SCALE_ERROR","OK"))</f>
        <v/>
      </c>
    </row>
    <row r="4560">
      <c r="A4560" t="inlineStr">
        <is>
          <t>T-2019-Q2-00045</t>
        </is>
      </c>
      <c r="B4560" t="inlineStr">
        <is>
          <t>SLE</t>
        </is>
      </c>
      <c r="C4560" t="inlineStr">
        <is>
          <t>Vice-President, New Brunswick</t>
        </is>
      </c>
      <c r="D4560" t="inlineStr">
        <is>
          <t>Vice-président, Nouveau-Brunswick</t>
        </is>
      </c>
      <c r="E4560" t="inlineStr">
        <is>
          <t>Kent Estabrooks</t>
        </is>
      </c>
      <c r="F4560" t="inlineStr">
        <is>
          <t>Various meetings with Agency officials on champion file</t>
        </is>
      </c>
      <c r="G4560" t="inlineStr">
        <is>
          <t>Diverses réunions avec des fonctionnaires de l'Agence sur un dossier de champion</t>
        </is>
      </c>
      <c r="H4560" s="1" t="n">
        <v>43293</v>
      </c>
      <c r="I4560" s="1" t="n">
        <v>43294</v>
      </c>
      <c r="J4560" t="inlineStr">
        <is>
          <t>Moncton, New Brunswick</t>
        </is>
      </c>
      <c r="K4560" t="inlineStr">
        <is>
          <t>Moncton (Nouveau-Brunswick)</t>
        </is>
      </c>
      <c r="P4560" t="n">
        <v>0</v>
      </c>
      <c r="Q4560" t="n">
        <v>0</v>
      </c>
      <c r="R4560" t="n">
        <v>163.3</v>
      </c>
      <c r="S4560" t="n">
        <v>97.79000000000001</v>
      </c>
      <c r="T4560" t="n">
        <v>16.1</v>
      </c>
      <c r="U4560" t="n">
        <v>277.19</v>
      </c>
      <c r="X4560" t="inlineStr">
        <is>
          <t>acoa-apeca</t>
        </is>
      </c>
      <c r="Y4560" t="inlineStr">
        <is>
          <t>Atlantic Canada Opportunities Agency | Agence de promotion économique du Canada atlantique</t>
        </is>
      </c>
      <c r="Z4560" t="n">
        <v>2</v>
      </c>
      <c r="AA4560" t="n">
        <v>277.19</v>
      </c>
      <c r="AB4560">
        <f>ROUND(U4560-AA4560,2)</f>
        <v/>
      </c>
      <c r="AC4560" t="b">
        <v>0</v>
      </c>
      <c r="AD4560">
        <f>IF(U4560="","MISSING_TOTAL",IF(ABS(AB4560)&lt;=0.01,"OK","CHECK"))</f>
        <v/>
      </c>
      <c r="AE4560">
        <f>IF(U4560="","MISSING",IF(AND(AA4560&gt;0,U4560/AA4560&gt;50),"POSSIBLE_SCALE_ERROR","OK"))</f>
        <v/>
      </c>
    </row>
    <row r="4561">
      <c r="A4561" t="inlineStr">
        <is>
          <t>T-2019-Q2-00044</t>
        </is>
      </c>
      <c r="B4561" t="inlineStr">
        <is>
          <t>SLE</t>
        </is>
      </c>
      <c r="C4561" t="inlineStr">
        <is>
          <t>Vice-President, New Brunswick</t>
        </is>
      </c>
      <c r="D4561" t="inlineStr">
        <is>
          <t>Vice-président, Nouveau-Brunswick</t>
        </is>
      </c>
      <c r="E4561" t="inlineStr">
        <is>
          <t>Kent Estabrooks</t>
        </is>
      </c>
      <c r="F4561" t="inlineStr">
        <is>
          <t>Meeting with Agency officials and the Canadian Ambassador to Israel</t>
        </is>
      </c>
      <c r="G4561" t="inlineStr">
        <is>
          <t>Réunion avec des fonctionnaires de l'Agence et l'ambassadeur du Canada à Israël</t>
        </is>
      </c>
      <c r="H4561" s="1" t="n">
        <v>43338</v>
      </c>
      <c r="I4561" s="1" t="n">
        <v>43340</v>
      </c>
      <c r="J4561" t="inlineStr">
        <is>
          <t>Halifax, Nova Scotia</t>
        </is>
      </c>
      <c r="K4561" t="inlineStr">
        <is>
          <t>Halifax (Nouvelle-Écosse)</t>
        </is>
      </c>
      <c r="P4561" t="n">
        <v>0</v>
      </c>
      <c r="Q4561" t="n">
        <v>243.12</v>
      </c>
      <c r="R4561" t="n">
        <v>457.48</v>
      </c>
      <c r="S4561" t="n">
        <v>186.6</v>
      </c>
      <c r="T4561" t="n">
        <v>66.5</v>
      </c>
      <c r="U4561" t="n">
        <v>953.7</v>
      </c>
      <c r="X4561" t="inlineStr">
        <is>
          <t>acoa-apeca</t>
        </is>
      </c>
      <c r="Y4561" t="inlineStr">
        <is>
          <t>Atlantic Canada Opportunities Agency | Agence de promotion économique du Canada atlantique</t>
        </is>
      </c>
      <c r="Z4561" t="n">
        <v>3</v>
      </c>
      <c r="AA4561" t="n">
        <v>953.7</v>
      </c>
      <c r="AB4561">
        <f>ROUND(U4561-AA4561,2)</f>
        <v/>
      </c>
      <c r="AC4561" t="b">
        <v>0</v>
      </c>
      <c r="AD4561">
        <f>IF(U4561="","MISSING_TOTAL",IF(ABS(AB4561)&lt;=0.01,"OK","CHECK"))</f>
        <v/>
      </c>
      <c r="AE4561">
        <f>IF(U4561="","MISSING",IF(AND(AA4561&gt;0,U4561/AA4561&gt;50),"POSSIBLE_SCALE_ERROR","OK"))</f>
        <v/>
      </c>
    </row>
    <row r="4562">
      <c r="A4562" t="inlineStr">
        <is>
          <t>T-2019-Q2-00043</t>
        </is>
      </c>
      <c r="B4562" t="inlineStr">
        <is>
          <t>SLE</t>
        </is>
      </c>
      <c r="C4562" t="inlineStr">
        <is>
          <t>Vice-President, New Brunswick</t>
        </is>
      </c>
      <c r="D4562" t="inlineStr">
        <is>
          <t>Vice-président, Nouveau-Brunswick</t>
        </is>
      </c>
      <c r="E4562" t="inlineStr">
        <is>
          <t>Kent Estabrooks</t>
        </is>
      </c>
      <c r="F4562" t="inlineStr">
        <is>
          <t>Meetings with various federal officials and Agency officials</t>
        </is>
      </c>
      <c r="G4562" t="inlineStr">
        <is>
          <t>Réunions avec divers fonctionnaires fédéraux et de l'Agence</t>
        </is>
      </c>
      <c r="H4562" s="1" t="n">
        <v>43335</v>
      </c>
      <c r="I4562" s="1" t="n">
        <v>43336</v>
      </c>
      <c r="J4562" t="inlineStr">
        <is>
          <t>Ottawa, Ontario</t>
        </is>
      </c>
      <c r="K4562" t="inlineStr">
        <is>
          <t>Ottawa (Ontario)</t>
        </is>
      </c>
      <c r="P4562" t="n">
        <v>692.3</v>
      </c>
      <c r="Q4562" t="n">
        <v>99</v>
      </c>
      <c r="R4562" t="n">
        <v>233.86</v>
      </c>
      <c r="S4562" t="n">
        <v>150.1</v>
      </c>
      <c r="T4562" t="n">
        <v>0</v>
      </c>
      <c r="U4562" t="n">
        <v>1175.26</v>
      </c>
      <c r="X4562" t="inlineStr">
        <is>
          <t>acoa-apeca</t>
        </is>
      </c>
      <c r="Y4562" t="inlineStr">
        <is>
          <t>Atlantic Canada Opportunities Agency | Agence de promotion économique du Canada atlantique</t>
        </is>
      </c>
      <c r="Z4562" t="n">
        <v>2</v>
      </c>
      <c r="AA4562" t="n">
        <v>1175.25999999999</v>
      </c>
      <c r="AB4562">
        <f>ROUND(U4562-AA4562,2)</f>
        <v/>
      </c>
      <c r="AC4562" t="b">
        <v>0</v>
      </c>
      <c r="AD4562">
        <f>IF(U4562="","MISSING_TOTAL",IF(ABS(AB4562)&lt;=0.01,"OK","CHECK"))</f>
        <v/>
      </c>
      <c r="AE4562">
        <f>IF(U4562="","MISSING",IF(AND(AA4562&gt;0,U4562/AA4562&gt;50),"POSSIBLE_SCALE_ERROR","OK"))</f>
        <v/>
      </c>
    </row>
    <row r="4563">
      <c r="A4563" t="inlineStr">
        <is>
          <t>T-2019-Q2-00040</t>
        </is>
      </c>
      <c r="B4563" t="inlineStr">
        <is>
          <t>SLE</t>
        </is>
      </c>
      <c r="C4563" t="inlineStr">
        <is>
          <t>Vice-President, Newfoundland and Labrador</t>
        </is>
      </c>
      <c r="D4563" t="inlineStr">
        <is>
          <t>Vice-président, Terre-Neuve-et-Labrador</t>
        </is>
      </c>
      <c r="E4563" t="inlineStr">
        <is>
          <t>Ken Martin</t>
        </is>
      </c>
      <c r="F4563" t="inlineStr">
        <is>
          <t>Attend Executive Committee meeting</t>
        </is>
      </c>
      <c r="G4563" t="inlineStr">
        <is>
          <t>Assister à une réunion du Comité de direction</t>
        </is>
      </c>
      <c r="H4563" s="1" t="n">
        <v>43271</v>
      </c>
      <c r="I4563" s="1" t="n">
        <v>43272</v>
      </c>
      <c r="J4563" t="inlineStr">
        <is>
          <t>Moncton, New Brunswick</t>
        </is>
      </c>
      <c r="K4563" t="inlineStr">
        <is>
          <t>Moncton (Nouveau-Brunswick)</t>
        </is>
      </c>
      <c r="P4563" t="n">
        <v>1075.88</v>
      </c>
      <c r="Q4563" t="n">
        <v>191.63</v>
      </c>
      <c r="R4563" t="n">
        <v>179.4</v>
      </c>
      <c r="S4563" t="n">
        <v>150.35</v>
      </c>
      <c r="T4563" t="n">
        <v>0</v>
      </c>
      <c r="U4563" t="n">
        <v>1597.26</v>
      </c>
      <c r="X4563" t="inlineStr">
        <is>
          <t>acoa-apeca</t>
        </is>
      </c>
      <c r="Y4563" t="inlineStr">
        <is>
          <t>Atlantic Canada Opportunities Agency | Agence de promotion économique du Canada atlantique</t>
        </is>
      </c>
      <c r="Z4563" t="n">
        <v>2</v>
      </c>
      <c r="AA4563" t="n">
        <v>1597.26</v>
      </c>
      <c r="AB4563">
        <f>ROUND(U4563-AA4563,2)</f>
        <v/>
      </c>
      <c r="AC4563" t="b">
        <v>0</v>
      </c>
      <c r="AD4563">
        <f>IF(U4563="","MISSING_TOTAL",IF(ABS(AB4563)&lt;=0.01,"OK","CHECK"))</f>
        <v/>
      </c>
      <c r="AE4563">
        <f>IF(U4563="","MISSING",IF(AND(AA4563&gt;0,U4563/AA4563&gt;50),"POSSIBLE_SCALE_ERROR","OK"))</f>
        <v/>
      </c>
    </row>
    <row r="4564">
      <c r="A4564" t="inlineStr">
        <is>
          <t>T-2019-Q2-00039</t>
        </is>
      </c>
      <c r="B4564" t="inlineStr">
        <is>
          <t>SLE</t>
        </is>
      </c>
      <c r="C4564" t="inlineStr">
        <is>
          <t>Vice-President, Nova Scotia</t>
        </is>
      </c>
      <c r="D4564" t="inlineStr">
        <is>
          <t>Vice-président, Nouvelle-Écosse</t>
        </is>
      </c>
      <c r="E4564" t="inlineStr">
        <is>
          <t>Chuck Maillet</t>
        </is>
      </c>
      <c r="F4564" t="inlineStr">
        <is>
          <t>Various meetings with Government of Norway officials, Government of Canada officials and stakeholders</t>
        </is>
      </c>
      <c r="G4564" t="inlineStr">
        <is>
          <t>Diverses réunions avec des fonctionnaires des gouvernements norvégien et canadien et des intervenants</t>
        </is>
      </c>
      <c r="H4564" s="1" t="n">
        <v>43275</v>
      </c>
      <c r="I4564" s="1" t="n">
        <v>43281</v>
      </c>
      <c r="J4564" t="inlineStr">
        <is>
          <t>Oslo and Bergen, Norway</t>
        </is>
      </c>
      <c r="K4564" t="inlineStr">
        <is>
          <t>Oslo et Bergen (Norvège)</t>
        </is>
      </c>
      <c r="P4564" t="n">
        <v>3105.03</v>
      </c>
      <c r="Q4564" t="n">
        <v>351.28</v>
      </c>
      <c r="R4564" t="n">
        <v>1624.44</v>
      </c>
      <c r="S4564" t="n">
        <v>987.17</v>
      </c>
      <c r="T4564" t="n">
        <v>0</v>
      </c>
      <c r="U4564" t="n">
        <v>6067.92</v>
      </c>
      <c r="X4564" t="inlineStr">
        <is>
          <t>acoa-apeca</t>
        </is>
      </c>
      <c r="Y4564" t="inlineStr">
        <is>
          <t>Atlantic Canada Opportunities Agency | Agence de promotion économique du Canada atlantique</t>
        </is>
      </c>
      <c r="Z4564" t="n">
        <v>7</v>
      </c>
      <c r="AA4564" t="n">
        <v>6067.92</v>
      </c>
      <c r="AB4564">
        <f>ROUND(U4564-AA4564,2)</f>
        <v/>
      </c>
      <c r="AC4564" t="b">
        <v>0</v>
      </c>
      <c r="AD4564">
        <f>IF(U4564="","MISSING_TOTAL",IF(ABS(AB4564)&lt;=0.01,"OK","CHECK"))</f>
        <v/>
      </c>
      <c r="AE4564">
        <f>IF(U4564="","MISSING",IF(AND(AA4564&gt;0,U4564/AA4564&gt;50),"POSSIBLE_SCALE_ERROR","OK"))</f>
        <v/>
      </c>
    </row>
    <row r="4565">
      <c r="A4565" t="inlineStr">
        <is>
          <t>T-2019-Q2-00038</t>
        </is>
      </c>
      <c r="B4565" t="inlineStr">
        <is>
          <t>SLE</t>
        </is>
      </c>
      <c r="C4565" t="inlineStr">
        <is>
          <t>Vice-President, Nova Scotia</t>
        </is>
      </c>
      <c r="D4565" t="inlineStr">
        <is>
          <t>Vice-président, Nouvelle-Écosse</t>
        </is>
      </c>
      <c r="E4565" t="inlineStr">
        <is>
          <t>Chuck Maillet</t>
        </is>
      </c>
      <c r="F4565" t="inlineStr">
        <is>
          <t>Various meetings with Agency officials and stakeholders</t>
        </is>
      </c>
      <c r="G4565" t="inlineStr">
        <is>
          <t>Diverses réunions avec des fonctionnaires de l'Agence et des intervenants</t>
        </is>
      </c>
      <c r="H4565" s="1" t="n">
        <v>43341</v>
      </c>
      <c r="I4565" s="1" t="n">
        <v>43342</v>
      </c>
      <c r="J4565" t="inlineStr">
        <is>
          <t>Sydney, Nova Scotia</t>
        </is>
      </c>
      <c r="K4565" t="inlineStr">
        <is>
          <t>Sydney (Nouvelle-Écosse)</t>
        </is>
      </c>
      <c r="P4565" t="n">
        <v>560.5700000000001</v>
      </c>
      <c r="Q4565" t="n">
        <v>15</v>
      </c>
      <c r="R4565" t="n">
        <v>164.47</v>
      </c>
      <c r="S4565" t="n">
        <v>140.85</v>
      </c>
      <c r="T4565" t="n">
        <v>0</v>
      </c>
      <c r="U4565" t="n">
        <v>880.89</v>
      </c>
      <c r="X4565" t="inlineStr">
        <is>
          <t>acoa-apeca</t>
        </is>
      </c>
      <c r="Y4565" t="inlineStr">
        <is>
          <t>Atlantic Canada Opportunities Agency | Agence de promotion économique du Canada atlantique</t>
        </is>
      </c>
      <c r="Z4565" t="n">
        <v>2</v>
      </c>
      <c r="AA4565" t="n">
        <v>880.89</v>
      </c>
      <c r="AB4565">
        <f>ROUND(U4565-AA4565,2)</f>
        <v/>
      </c>
      <c r="AC4565" t="b">
        <v>0</v>
      </c>
      <c r="AD4565">
        <f>IF(U4565="","MISSING_TOTAL",IF(ABS(AB4565)&lt;=0.01,"OK","CHECK"))</f>
        <v/>
      </c>
      <c r="AE4565">
        <f>IF(U4565="","MISSING",IF(AND(AA4565&gt;0,U4565/AA4565&gt;50),"POSSIBLE_SCALE_ERROR","OK"))</f>
        <v/>
      </c>
    </row>
    <row r="4566">
      <c r="A4566" t="inlineStr">
        <is>
          <t>T-2019-Q2-00037</t>
        </is>
      </c>
      <c r="B4566" t="inlineStr">
        <is>
          <t>SLE</t>
        </is>
      </c>
      <c r="C4566" t="inlineStr">
        <is>
          <t>Vice-President, Nova Scotia</t>
        </is>
      </c>
      <c r="D4566" t="inlineStr">
        <is>
          <t>Vice-président, Nouvelle-Écosse</t>
        </is>
      </c>
      <c r="E4566" t="inlineStr">
        <is>
          <t>Chuck Maillet</t>
        </is>
      </c>
      <c r="F4566" t="inlineStr">
        <is>
          <t>Various meetings with Agency and Government of Canada officials</t>
        </is>
      </c>
      <c r="G4566" t="inlineStr">
        <is>
          <t>Diverses réunions avec des fonctionnaires de l'Agence et du gouvernement du Canada</t>
        </is>
      </c>
      <c r="H4566" s="1" t="n">
        <v>43271</v>
      </c>
      <c r="I4566" s="1" t="n">
        <v>43273</v>
      </c>
      <c r="J4566" t="inlineStr">
        <is>
          <t>Moncton, New Brunswick</t>
        </is>
      </c>
      <c r="K4566" t="inlineStr">
        <is>
          <t>Moncton (Nouveau-Brunswick)</t>
        </is>
      </c>
      <c r="P4566" t="n">
        <v>0</v>
      </c>
      <c r="Q4566" t="n">
        <v>32.2</v>
      </c>
      <c r="R4566" t="n">
        <v>326.6</v>
      </c>
      <c r="S4566" t="n">
        <v>206.3</v>
      </c>
      <c r="T4566" t="n">
        <v>0</v>
      </c>
      <c r="U4566" t="n">
        <v>565.1</v>
      </c>
      <c r="X4566" t="inlineStr">
        <is>
          <t>acoa-apeca</t>
        </is>
      </c>
      <c r="Y4566" t="inlineStr">
        <is>
          <t>Atlantic Canada Opportunities Agency | Agence de promotion économique du Canada atlantique</t>
        </is>
      </c>
      <c r="Z4566" t="n">
        <v>3</v>
      </c>
      <c r="AA4566" t="n">
        <v>565.1</v>
      </c>
      <c r="AB4566">
        <f>ROUND(U4566-AA4566,2)</f>
        <v/>
      </c>
      <c r="AC4566" t="b">
        <v>0</v>
      </c>
      <c r="AD4566">
        <f>IF(U4566="","MISSING_TOTAL",IF(ABS(AB4566)&lt;=0.01,"OK","CHECK"))</f>
        <v/>
      </c>
      <c r="AE4566">
        <f>IF(U4566="","MISSING",IF(AND(AA4566&gt;0,U4566/AA4566&gt;50),"POSSIBLE_SCALE_ERROR","OK"))</f>
        <v/>
      </c>
    </row>
    <row r="4567">
      <c r="A4567" t="inlineStr">
        <is>
          <t>T-2019-Q2-00036</t>
        </is>
      </c>
      <c r="B4567" t="inlineStr">
        <is>
          <t>SLE</t>
        </is>
      </c>
      <c r="C4567" t="inlineStr">
        <is>
          <t>Vice-President, Nova Scotia</t>
        </is>
      </c>
      <c r="D4567" t="inlineStr">
        <is>
          <t>Vice-président, Nouvelle-Écosse</t>
        </is>
      </c>
      <c r="E4567" t="inlineStr">
        <is>
          <t>Chuck Maillet</t>
        </is>
      </c>
      <c r="F4567" t="inlineStr">
        <is>
          <t>Various meetings and a regional tour with Government of Canada officials and stakeholders</t>
        </is>
      </c>
      <c r="G4567" t="inlineStr">
        <is>
          <t>Diverses réunions et visite régionale avec des fonctionnaires du gouvernement du Canada et des intervenants</t>
        </is>
      </c>
      <c r="H4567" s="1" t="n">
        <v>43261</v>
      </c>
      <c r="I4567" s="1" t="n">
        <v>43264</v>
      </c>
      <c r="J4567" t="inlineStr">
        <is>
          <t>St. John's, Port Rexton and Bonavista, Newfoundland and Labrador</t>
        </is>
      </c>
      <c r="K4567" t="inlineStr">
        <is>
          <t>St. John's, Port Rexton et Bonavista (Terre-Neuve-et-Labrador)</t>
        </is>
      </c>
      <c r="P4567" t="n">
        <v>736.75</v>
      </c>
      <c r="Q4567" t="n">
        <v>155</v>
      </c>
      <c r="R4567" t="n">
        <v>721.55</v>
      </c>
      <c r="S4567" t="n">
        <v>365.1</v>
      </c>
      <c r="T4567" t="n">
        <v>0</v>
      </c>
      <c r="U4567" t="n">
        <v>1978.4</v>
      </c>
      <c r="X4567" t="inlineStr">
        <is>
          <t>acoa-apeca</t>
        </is>
      </c>
      <c r="Y4567" t="inlineStr">
        <is>
          <t>Atlantic Canada Opportunities Agency | Agence de promotion économique du Canada atlantique</t>
        </is>
      </c>
      <c r="Z4567" t="n">
        <v>4</v>
      </c>
      <c r="AA4567" t="n">
        <v>1978.4</v>
      </c>
      <c r="AB4567">
        <f>ROUND(U4567-AA4567,2)</f>
        <v/>
      </c>
      <c r="AC4567" t="b">
        <v>0</v>
      </c>
      <c r="AD4567">
        <f>IF(U4567="","MISSING_TOTAL",IF(ABS(AB4567)&lt;=0.01,"OK","CHECK"))</f>
        <v/>
      </c>
      <c r="AE4567">
        <f>IF(U4567="","MISSING",IF(AND(AA4567&gt;0,U4567/AA4567&gt;50),"POSSIBLE_SCALE_ERROR","OK"))</f>
        <v/>
      </c>
    </row>
    <row r="4568">
      <c r="A4568" t="inlineStr">
        <is>
          <t>T-2019-Q2-00033</t>
        </is>
      </c>
      <c r="B4568" t="inlineStr">
        <is>
          <t>SLE</t>
        </is>
      </c>
      <c r="C4568" t="inlineStr">
        <is>
          <t>Vice-President, Newfoundland and Labrador</t>
        </is>
      </c>
      <c r="D4568" t="inlineStr">
        <is>
          <t>Vice-président, Terre-Neuve-et-Labrador</t>
        </is>
      </c>
      <c r="E4568" t="inlineStr">
        <is>
          <t>Ken Martin</t>
        </is>
      </c>
      <c r="F4568" t="inlineStr">
        <is>
          <t>Attend meetings with senior government and industry officials in Ottawa and Halifax</t>
        </is>
      </c>
      <c r="G4568" t="inlineStr">
        <is>
          <t>Assister à des réunions  avec des cadres supérieurs du gouvernement et de l'industrie à Ottawa et à Halifax</t>
        </is>
      </c>
      <c r="H4568" s="1" t="n">
        <v>43334</v>
      </c>
      <c r="I4568" s="1" t="n">
        <v>43335</v>
      </c>
      <c r="J4568" t="inlineStr">
        <is>
          <t>Ottawa, Ontario / Halifax, Nova Scotia</t>
        </is>
      </c>
      <c r="K4568" t="inlineStr">
        <is>
          <t>Ottawa (Ontario) / Halifax (Nouvelle-Écosse)</t>
        </is>
      </c>
      <c r="P4568" t="n">
        <v>1417.59</v>
      </c>
      <c r="Q4568" t="n">
        <v>229</v>
      </c>
      <c r="R4568" t="n">
        <v>209.43</v>
      </c>
      <c r="S4568" t="n">
        <v>188.75</v>
      </c>
      <c r="T4568" t="n">
        <v>0</v>
      </c>
      <c r="U4568" t="n">
        <v>2044.77</v>
      </c>
      <c r="X4568" t="inlineStr">
        <is>
          <t>acoa-apeca</t>
        </is>
      </c>
      <c r="Y4568" t="inlineStr">
        <is>
          <t>Atlantic Canada Opportunities Agency | Agence de promotion économique du Canada atlantique</t>
        </is>
      </c>
      <c r="Z4568" t="n">
        <v>2</v>
      </c>
      <c r="AA4568" t="n">
        <v>2044.77</v>
      </c>
      <c r="AB4568">
        <f>ROUND(U4568-AA4568,2)</f>
        <v/>
      </c>
      <c r="AC4568" t="b">
        <v>0</v>
      </c>
      <c r="AD4568">
        <f>IF(U4568="","MISSING_TOTAL",IF(ABS(AB4568)&lt;=0.01,"OK","CHECK"))</f>
        <v/>
      </c>
      <c r="AE4568">
        <f>IF(U4568="","MISSING",IF(AND(AA4568&gt;0,U4568/AA4568&gt;50),"POSSIBLE_SCALE_ERROR","OK"))</f>
        <v/>
      </c>
    </row>
    <row r="4569">
      <c r="A4569" t="inlineStr">
        <is>
          <t>T-2019-Q2-00032</t>
        </is>
      </c>
      <c r="B4569" t="inlineStr">
        <is>
          <t>SLE</t>
        </is>
      </c>
      <c r="C4569" t="inlineStr">
        <is>
          <t>Vice-President, Finance and Corporate Services</t>
        </is>
      </c>
      <c r="D4569" t="inlineStr">
        <is>
          <t>Vice-président, Finance et Services corporatifs</t>
        </is>
      </c>
      <c r="E4569" t="inlineStr">
        <is>
          <t>Stephane Lagace</t>
        </is>
      </c>
      <c r="F4569" t="inlineStr">
        <is>
          <t>Meeting with Agency officials and officials from other federal departments</t>
        </is>
      </c>
      <c r="G4569" t="inlineStr">
        <is>
          <t>Réunion avec des fonctionnaires de l'Agence et d'autres ministères fédéraux</t>
        </is>
      </c>
      <c r="H4569" s="1" t="n">
        <v>43342</v>
      </c>
      <c r="I4569" s="1" t="n">
        <v>43342</v>
      </c>
      <c r="J4569" t="inlineStr">
        <is>
          <t>Ottawa, Ontario</t>
        </is>
      </c>
      <c r="K4569" t="inlineStr">
        <is>
          <t>Ottawa (Ontario)</t>
        </is>
      </c>
      <c r="P4569" t="n">
        <v>448.33</v>
      </c>
      <c r="Q4569" t="n">
        <v>0</v>
      </c>
      <c r="R4569" t="n">
        <v>0</v>
      </c>
      <c r="S4569" t="n">
        <v>67.34999999999999</v>
      </c>
      <c r="T4569" t="n">
        <v>16</v>
      </c>
      <c r="U4569" t="n">
        <v>531.6799999999999</v>
      </c>
      <c r="X4569" t="inlineStr">
        <is>
          <t>acoa-apeca</t>
        </is>
      </c>
      <c r="Y4569" t="inlineStr">
        <is>
          <t>Atlantic Canada Opportunities Agency | Agence de promotion économique du Canada atlantique</t>
        </is>
      </c>
      <c r="Z4569" t="n">
        <v>1</v>
      </c>
      <c r="AA4569" t="n">
        <v>531.6799999999999</v>
      </c>
      <c r="AB4569">
        <f>ROUND(U4569-AA4569,2)</f>
        <v/>
      </c>
      <c r="AC4569" t="b">
        <v>0</v>
      </c>
      <c r="AD4569">
        <f>IF(U4569="","MISSING_TOTAL",IF(ABS(AB4569)&lt;=0.01,"OK","CHECK"))</f>
        <v/>
      </c>
      <c r="AE4569">
        <f>IF(U4569="","MISSING",IF(AND(AA4569&gt;0,U4569/AA4569&gt;50),"POSSIBLE_SCALE_ERROR","OK"))</f>
        <v/>
      </c>
    </row>
    <row r="4570">
      <c r="A4570" t="inlineStr">
        <is>
          <t>T-2019-Q2-00031</t>
        </is>
      </c>
      <c r="B4570" t="inlineStr">
        <is>
          <t>SLE</t>
        </is>
      </c>
      <c r="C4570" t="inlineStr">
        <is>
          <t>Vice-President, Prince Edward Island</t>
        </is>
      </c>
      <c r="D4570" t="inlineStr">
        <is>
          <t>Vice-président, Île-du-Prince-Édouard</t>
        </is>
      </c>
      <c r="E4570" t="inlineStr">
        <is>
          <t>Patrick Dorsey</t>
        </is>
      </c>
      <c r="F4570" t="inlineStr">
        <is>
          <t>Meetings with Agency officials and key stakeholders</t>
        </is>
      </c>
      <c r="G4570" t="inlineStr">
        <is>
          <t>Réunions avec des fonctionnaires de l'Agence et des intervenants clés</t>
        </is>
      </c>
      <c r="H4570" s="1" t="n">
        <v>43319</v>
      </c>
      <c r="I4570" s="1" t="n">
        <v>43321</v>
      </c>
      <c r="J4570" t="inlineStr">
        <is>
          <t>Brudenell, Prince Edward Island</t>
        </is>
      </c>
      <c r="K4570" t="inlineStr">
        <is>
          <t>Brudenell (Île-du-Prince-Édouard)</t>
        </is>
      </c>
      <c r="P4570" t="n">
        <v>0</v>
      </c>
      <c r="Q4570" t="n">
        <v>0</v>
      </c>
      <c r="R4570" t="n">
        <v>464.6</v>
      </c>
      <c r="S4570" t="n">
        <v>51.9</v>
      </c>
      <c r="T4570" t="n">
        <v>69.05</v>
      </c>
      <c r="U4570" t="n">
        <v>585.55</v>
      </c>
      <c r="X4570" t="inlineStr">
        <is>
          <t>acoa-apeca</t>
        </is>
      </c>
      <c r="Y4570" t="inlineStr">
        <is>
          <t>Atlantic Canada Opportunities Agency | Agence de promotion économique du Canada atlantique</t>
        </is>
      </c>
      <c r="Z4570" t="n">
        <v>3</v>
      </c>
      <c r="AA4570" t="n">
        <v>585.55</v>
      </c>
      <c r="AB4570">
        <f>ROUND(U4570-AA4570,2)</f>
        <v/>
      </c>
      <c r="AC4570" t="b">
        <v>0</v>
      </c>
      <c r="AD4570">
        <f>IF(U4570="","MISSING_TOTAL",IF(ABS(AB4570)&lt;=0.01,"OK","CHECK"))</f>
        <v/>
      </c>
      <c r="AE4570">
        <f>IF(U4570="","MISSING",IF(AND(AA4570&gt;0,U4570/AA4570&gt;50),"POSSIBLE_SCALE_ERROR","OK"))</f>
        <v/>
      </c>
    </row>
    <row r="4571">
      <c r="A4571" t="inlineStr">
        <is>
          <t>T-2019-Q2-00030</t>
        </is>
      </c>
      <c r="B4571" t="inlineStr">
        <is>
          <t>SLE</t>
        </is>
      </c>
      <c r="C4571" t="inlineStr">
        <is>
          <t>Vice-President, Newfoundland and Labrador</t>
        </is>
      </c>
      <c r="D4571" t="inlineStr">
        <is>
          <t>Vice-président, Terre-Neuve-et-Labrador</t>
        </is>
      </c>
      <c r="E4571" t="inlineStr">
        <is>
          <t>Ken Martin</t>
        </is>
      </c>
      <c r="F4571" t="inlineStr">
        <is>
          <t>Attend client site visit in Holyrood</t>
        </is>
      </c>
      <c r="G4571" t="inlineStr">
        <is>
          <t>Assister à une visite chez un client à Holyrood</t>
        </is>
      </c>
      <c r="H4571" s="1" t="n">
        <v>43301</v>
      </c>
      <c r="I4571" s="1" t="n">
        <v>43301</v>
      </c>
      <c r="J4571" t="inlineStr">
        <is>
          <t>Holyrood, Newfoundland and Labrador</t>
        </is>
      </c>
      <c r="K4571" t="inlineStr">
        <is>
          <t>Holyrood (Terre-Neuve-et-Labrador)</t>
        </is>
      </c>
      <c r="P4571" t="n">
        <v>0</v>
      </c>
      <c r="Q4571" t="n">
        <v>53.58</v>
      </c>
      <c r="R4571" t="n">
        <v>0</v>
      </c>
      <c r="S4571" t="n">
        <v>19.2</v>
      </c>
      <c r="T4571" t="n">
        <v>0</v>
      </c>
      <c r="U4571" t="n">
        <v>72.78</v>
      </c>
      <c r="X4571" t="inlineStr">
        <is>
          <t>acoa-apeca</t>
        </is>
      </c>
      <c r="Y4571" t="inlineStr">
        <is>
          <t>Atlantic Canada Opportunities Agency | Agence de promotion économique du Canada atlantique</t>
        </is>
      </c>
      <c r="Z4571" t="n">
        <v>1</v>
      </c>
      <c r="AA4571" t="n">
        <v>72.78</v>
      </c>
      <c r="AB4571">
        <f>ROUND(U4571-AA4571,2)</f>
        <v/>
      </c>
      <c r="AC4571" t="b">
        <v>0</v>
      </c>
      <c r="AD4571">
        <f>IF(U4571="","MISSING_TOTAL",IF(ABS(AB4571)&lt;=0.01,"OK","CHECK"))</f>
        <v/>
      </c>
      <c r="AE4571">
        <f>IF(U4571="","MISSING",IF(AND(AA4571&gt;0,U4571/AA4571&gt;50),"POSSIBLE_SCALE_ERROR","OK"))</f>
        <v/>
      </c>
    </row>
    <row r="4572">
      <c r="A4572" t="inlineStr">
        <is>
          <t>T-2019-Q2-00029</t>
        </is>
      </c>
      <c r="B4572" t="inlineStr">
        <is>
          <t>SLE</t>
        </is>
      </c>
      <c r="C4572" t="inlineStr">
        <is>
          <t>Vice-President, Newfoundland and Labrador</t>
        </is>
      </c>
      <c r="D4572" t="inlineStr">
        <is>
          <t>Vice-président, Terre-Neuve-et-Labrador</t>
        </is>
      </c>
      <c r="E4572" t="inlineStr">
        <is>
          <t>Ken Martin</t>
        </is>
      </c>
      <c r="F4572" t="inlineStr">
        <is>
          <t>Travel to Norway for various meetings with Government of Norway officials, Government of Canada officials and key stakeholders</t>
        </is>
      </c>
      <c r="G4572" t="inlineStr">
        <is>
          <t>Aller en Norvège pour des réunions avec des fonctionnaires des gouvernements norvégien et canadien et des intervenants clés</t>
        </is>
      </c>
      <c r="H4572" s="1" t="n">
        <v>43275</v>
      </c>
      <c r="I4572" s="1" t="n">
        <v>43282</v>
      </c>
      <c r="J4572" t="inlineStr">
        <is>
          <t>Bergen, Norway and Oslo, Norway</t>
        </is>
      </c>
      <c r="K4572" t="inlineStr">
        <is>
          <t>Bergen (Norvège) et Oslo (Norvège)</t>
        </is>
      </c>
      <c r="P4572" t="n">
        <v>4446.91</v>
      </c>
      <c r="Q4572" t="n">
        <v>242.65</v>
      </c>
      <c r="R4572" t="n">
        <v>2197.88</v>
      </c>
      <c r="S4572" t="n">
        <v>1404.52</v>
      </c>
      <c r="T4572" t="n">
        <v>5</v>
      </c>
      <c r="U4572" t="n">
        <v>8296.959999999999</v>
      </c>
      <c r="X4572" t="inlineStr">
        <is>
          <t>acoa-apeca</t>
        </is>
      </c>
      <c r="Y4572" t="inlineStr">
        <is>
          <t>Atlantic Canada Opportunities Agency | Agence de promotion économique du Canada atlantique</t>
        </is>
      </c>
      <c r="Z4572" t="n">
        <v>8</v>
      </c>
      <c r="AA4572" t="n">
        <v>8296.959999999999</v>
      </c>
      <c r="AB4572">
        <f>ROUND(U4572-AA4572,2)</f>
        <v/>
      </c>
      <c r="AC4572" t="b">
        <v>0</v>
      </c>
      <c r="AD4572">
        <f>IF(U4572="","MISSING_TOTAL",IF(ABS(AB4572)&lt;=0.01,"OK","CHECK"))</f>
        <v/>
      </c>
      <c r="AE4572">
        <f>IF(U4572="","MISSING",IF(AND(AA4572&gt;0,U4572/AA4572&gt;50),"POSSIBLE_SCALE_ERROR","OK"))</f>
        <v/>
      </c>
    </row>
    <row r="4573">
      <c r="A4573" t="inlineStr">
        <is>
          <t>T-2019-Q2-00027</t>
        </is>
      </c>
      <c r="B4573" t="inlineStr">
        <is>
          <t>SLE</t>
        </is>
      </c>
      <c r="C4573" t="inlineStr">
        <is>
          <t>Vice-President, Finance and Corporate Services</t>
        </is>
      </c>
      <c r="D4573" t="inlineStr">
        <is>
          <t>Vice-président, Finance et Services corporatifs</t>
        </is>
      </c>
      <c r="E4573" t="inlineStr">
        <is>
          <t>Stephane Lagace</t>
        </is>
      </c>
      <c r="F4573" t="inlineStr">
        <is>
          <t>Meetings with Government of Canada officials</t>
        </is>
      </c>
      <c r="G4573" t="inlineStr">
        <is>
          <t>Réunions avec des fonctionnaires du gouvernement du Canada</t>
        </is>
      </c>
      <c r="H4573" s="1" t="n">
        <v>43291</v>
      </c>
      <c r="I4573" s="1" t="n">
        <v>43292</v>
      </c>
      <c r="J4573" t="inlineStr">
        <is>
          <t>Ottawa, Ontario</t>
        </is>
      </c>
      <c r="K4573" t="inlineStr">
        <is>
          <t>Ottawa (Ontario)</t>
        </is>
      </c>
      <c r="P4573" t="n">
        <v>415.1</v>
      </c>
      <c r="Q4573" t="n">
        <v>123</v>
      </c>
      <c r="R4573" t="n">
        <v>222.11</v>
      </c>
      <c r="S4573" t="n">
        <v>160.05</v>
      </c>
      <c r="T4573" t="n">
        <v>32</v>
      </c>
      <c r="U4573" t="n">
        <v>952.26</v>
      </c>
      <c r="X4573" t="inlineStr">
        <is>
          <t>acoa-apeca</t>
        </is>
      </c>
      <c r="Y4573" t="inlineStr">
        <is>
          <t>Atlantic Canada Opportunities Agency | Agence de promotion économique du Canada atlantique</t>
        </is>
      </c>
      <c r="Z4573" t="n">
        <v>2</v>
      </c>
      <c r="AA4573" t="n">
        <v>952.26</v>
      </c>
      <c r="AB4573">
        <f>ROUND(U4573-AA4573,2)</f>
        <v/>
      </c>
      <c r="AC4573" t="b">
        <v>0</v>
      </c>
      <c r="AD4573">
        <f>IF(U4573="","MISSING_TOTAL",IF(ABS(AB4573)&lt;=0.01,"OK","CHECK"))</f>
        <v/>
      </c>
      <c r="AE4573">
        <f>IF(U4573="","MISSING",IF(AND(AA4573&gt;0,U4573/AA4573&gt;50),"POSSIBLE_SCALE_ERROR","OK"))</f>
        <v/>
      </c>
    </row>
    <row r="4574">
      <c r="A4574" t="inlineStr">
        <is>
          <t>T-2019-Q2-00026</t>
        </is>
      </c>
      <c r="B4574" t="inlineStr">
        <is>
          <t>SLE</t>
        </is>
      </c>
      <c r="C4574" t="inlineStr">
        <is>
          <t>Vice-President, Finance and Corporate Services</t>
        </is>
      </c>
      <c r="D4574" t="inlineStr">
        <is>
          <t>Vice-président, Finance et Services corporatifs</t>
        </is>
      </c>
      <c r="E4574" t="inlineStr">
        <is>
          <t>Stephane Lagace</t>
        </is>
      </c>
      <c r="F4574" t="inlineStr">
        <is>
          <t>Various meetings with Agency officials</t>
        </is>
      </c>
      <c r="G4574" t="inlineStr">
        <is>
          <t>Diverses réunions avec des fonctionnaires de l'Agence</t>
        </is>
      </c>
      <c r="H4574" s="1" t="n">
        <v>43284</v>
      </c>
      <c r="I4574" s="1" t="n">
        <v>43285</v>
      </c>
      <c r="J4574" t="inlineStr">
        <is>
          <t>St. John's, Newfoundland and Labrador</t>
        </is>
      </c>
      <c r="K4574" t="inlineStr">
        <is>
          <t>St. John's (Terre-Neuve-et-Labrador)</t>
        </is>
      </c>
      <c r="P4574" t="n">
        <v>896.71</v>
      </c>
      <c r="Q4574" t="n">
        <v>37.31</v>
      </c>
      <c r="R4574" t="n">
        <v>220.15</v>
      </c>
      <c r="S4574" t="n">
        <v>160.05</v>
      </c>
      <c r="T4574" t="n">
        <v>32</v>
      </c>
      <c r="U4574" t="n">
        <v>1346.22</v>
      </c>
      <c r="X4574" t="inlineStr">
        <is>
          <t>acoa-apeca</t>
        </is>
      </c>
      <c r="Y4574" t="inlineStr">
        <is>
          <t>Atlantic Canada Opportunities Agency | Agence de promotion économique du Canada atlantique</t>
        </is>
      </c>
      <c r="Z4574" t="n">
        <v>2</v>
      </c>
      <c r="AA4574" t="n">
        <v>1346.22</v>
      </c>
      <c r="AB4574">
        <f>ROUND(U4574-AA4574,2)</f>
        <v/>
      </c>
      <c r="AC4574" t="b">
        <v>0</v>
      </c>
      <c r="AD4574">
        <f>IF(U4574="","MISSING_TOTAL",IF(ABS(AB4574)&lt;=0.01,"OK","CHECK"))</f>
        <v/>
      </c>
      <c r="AE4574">
        <f>IF(U4574="","MISSING",IF(AND(AA4574&gt;0,U4574/AA4574&gt;50),"POSSIBLE_SCALE_ERROR","OK"))</f>
        <v/>
      </c>
    </row>
    <row r="4575">
      <c r="A4575" t="inlineStr">
        <is>
          <t>T-2019-Q2-00024</t>
        </is>
      </c>
      <c r="B4575" t="inlineStr">
        <is>
          <t>SLE</t>
        </is>
      </c>
      <c r="C4575" t="inlineStr">
        <is>
          <t>Vice-President, Prince Edward Island</t>
        </is>
      </c>
      <c r="D4575" t="inlineStr">
        <is>
          <t>Vice-président, Île-du-Prince-Édouard</t>
        </is>
      </c>
      <c r="E4575" t="inlineStr">
        <is>
          <t>Patrick Dorsey</t>
        </is>
      </c>
      <c r="F4575" t="inlineStr">
        <is>
          <t>Meeting with provincial stakeholders</t>
        </is>
      </c>
      <c r="G4575" t="inlineStr">
        <is>
          <t>Réunion avec des intervenants provinciaux</t>
        </is>
      </c>
      <c r="H4575" s="1" t="n">
        <v>43305</v>
      </c>
      <c r="I4575" s="1" t="n">
        <v>43306</v>
      </c>
      <c r="J4575" t="inlineStr">
        <is>
          <t>Mill River, Prince Edward Island</t>
        </is>
      </c>
      <c r="K4575" t="inlineStr">
        <is>
          <t>Mill River (Île-du-Prince-Édouard)</t>
        </is>
      </c>
      <c r="P4575" t="n">
        <v>0</v>
      </c>
      <c r="Q4575" t="n">
        <v>0</v>
      </c>
      <c r="R4575" t="n">
        <v>0</v>
      </c>
      <c r="S4575" t="n">
        <v>101.95</v>
      </c>
      <c r="T4575" t="n">
        <v>0</v>
      </c>
      <c r="U4575" t="n">
        <v>101.95</v>
      </c>
      <c r="X4575" t="inlineStr">
        <is>
          <t>acoa-apeca</t>
        </is>
      </c>
      <c r="Y4575" t="inlineStr">
        <is>
          <t>Atlantic Canada Opportunities Agency | Agence de promotion économique du Canada atlantique</t>
        </is>
      </c>
      <c r="Z4575" t="n">
        <v>2</v>
      </c>
      <c r="AA4575" t="n">
        <v>101.95</v>
      </c>
      <c r="AB4575">
        <f>ROUND(U4575-AA4575,2)</f>
        <v/>
      </c>
      <c r="AC4575" t="b">
        <v>0</v>
      </c>
      <c r="AD4575">
        <f>IF(U4575="","MISSING_TOTAL",IF(ABS(AB4575)&lt;=0.01,"OK","CHECK"))</f>
        <v/>
      </c>
      <c r="AE4575">
        <f>IF(U4575="","MISSING",IF(AND(AA4575&gt;0,U4575/AA4575&gt;50),"POSSIBLE_SCALE_ERROR","OK"))</f>
        <v/>
      </c>
    </row>
    <row r="4576">
      <c r="A4576" t="inlineStr">
        <is>
          <t>T-2019-Q2-00023</t>
        </is>
      </c>
      <c r="B4576" t="inlineStr">
        <is>
          <t>SLE</t>
        </is>
      </c>
      <c r="C4576" t="inlineStr">
        <is>
          <t>Vice-President, Policy, Programs and Communications</t>
        </is>
      </c>
      <c r="D4576" t="inlineStr">
        <is>
          <t>Vice-président, Politiques et Programmes</t>
        </is>
      </c>
      <c r="E4576" t="inlineStr">
        <is>
          <t>Daryell Nowlan</t>
        </is>
      </c>
      <c r="F4576" t="inlineStr">
        <is>
          <t>Meeting with Government of Canada officials</t>
        </is>
      </c>
      <c r="G4576" t="inlineStr">
        <is>
          <t>Réunion avec des fonctionnaires du gouvernement du Canada</t>
        </is>
      </c>
      <c r="H4576" s="1" t="n">
        <v>43308</v>
      </c>
      <c r="I4576" s="1" t="n">
        <v>43308</v>
      </c>
      <c r="J4576" t="inlineStr">
        <is>
          <t>Halifax, Nova Scotia</t>
        </is>
      </c>
      <c r="K4576" t="inlineStr">
        <is>
          <t>Halifax (Nouvelle-Écosse)</t>
        </is>
      </c>
      <c r="P4576" t="n">
        <v>0</v>
      </c>
      <c r="Q4576" t="n">
        <v>94.91</v>
      </c>
      <c r="R4576" t="n">
        <v>0</v>
      </c>
      <c r="S4576" t="n">
        <v>67.34999999999999</v>
      </c>
      <c r="T4576" t="n">
        <v>0</v>
      </c>
      <c r="U4576" t="n">
        <v>162.26</v>
      </c>
      <c r="X4576" t="inlineStr">
        <is>
          <t>acoa-apeca</t>
        </is>
      </c>
      <c r="Y4576" t="inlineStr">
        <is>
          <t>Atlantic Canada Opportunities Agency | Agence de promotion économique du Canada atlantique</t>
        </is>
      </c>
      <c r="Z4576" t="n">
        <v>1</v>
      </c>
      <c r="AA4576" t="n">
        <v>162.26</v>
      </c>
      <c r="AB4576">
        <f>ROUND(U4576-AA4576,2)</f>
        <v/>
      </c>
      <c r="AC4576" t="b">
        <v>0</v>
      </c>
      <c r="AD4576">
        <f>IF(U4576="","MISSING_TOTAL",IF(ABS(AB4576)&lt;=0.01,"OK","CHECK"))</f>
        <v/>
      </c>
      <c r="AE4576">
        <f>IF(U4576="","MISSING",IF(AND(AA4576&gt;0,U4576/AA4576&gt;50),"POSSIBLE_SCALE_ERROR","OK"))</f>
        <v/>
      </c>
    </row>
    <row r="4577">
      <c r="A4577" t="inlineStr">
        <is>
          <t>T-2019-Q2-00022</t>
        </is>
      </c>
      <c r="B4577" t="inlineStr">
        <is>
          <t>SLE</t>
        </is>
      </c>
      <c r="C4577" t="inlineStr">
        <is>
          <t>President</t>
        </is>
      </c>
      <c r="D4577" t="inlineStr">
        <is>
          <t>Président</t>
        </is>
      </c>
      <c r="E4577" t="inlineStr">
        <is>
          <t>Francis McGuire</t>
        </is>
      </c>
      <c r="F4577" t="inlineStr">
        <is>
          <t>Travel to Norway for various meetings with Government of Norway officials, Government of Canada officials and key stakeholders</t>
        </is>
      </c>
      <c r="G4577" t="inlineStr">
        <is>
          <t>Voyage en Norvège pour diverses réunions  avec des fonctionnaires des gouvernements norvégien et canadien et des intervenants clés</t>
        </is>
      </c>
      <c r="H4577" s="1" t="n">
        <v>43275</v>
      </c>
      <c r="I4577" s="1" t="n">
        <v>43281</v>
      </c>
      <c r="J4577" t="inlineStr">
        <is>
          <t>Bergen, Norway and Oslo, Norway</t>
        </is>
      </c>
      <c r="K4577" t="inlineStr">
        <is>
          <t>Bergen (Norvège) et Oslo (Norvège)</t>
        </is>
      </c>
      <c r="P4577" t="n">
        <v>11442.42</v>
      </c>
      <c r="Q4577" t="n">
        <v>331.7</v>
      </c>
      <c r="R4577" t="n">
        <v>1571.13</v>
      </c>
      <c r="S4577" t="n">
        <v>1078.35</v>
      </c>
      <c r="T4577" t="n">
        <v>0</v>
      </c>
      <c r="U4577" t="n">
        <v>14423.6</v>
      </c>
      <c r="X4577" t="inlineStr">
        <is>
          <t>acoa-apeca</t>
        </is>
      </c>
      <c r="Y4577" t="inlineStr">
        <is>
          <t>Atlantic Canada Opportunities Agency | Agence de promotion économique du Canada atlantique</t>
        </is>
      </c>
      <c r="Z4577" t="n">
        <v>7</v>
      </c>
      <c r="AA4577" t="n">
        <v>14423.6</v>
      </c>
      <c r="AB4577">
        <f>ROUND(U4577-AA4577,2)</f>
        <v/>
      </c>
      <c r="AC4577" t="b">
        <v>0</v>
      </c>
      <c r="AD4577">
        <f>IF(U4577="","MISSING_TOTAL",IF(ABS(AB4577)&lt;=0.01,"OK","CHECK"))</f>
        <v/>
      </c>
      <c r="AE4577">
        <f>IF(U4577="","MISSING",IF(AND(AA4577&gt;0,U4577/AA4577&gt;50),"POSSIBLE_SCALE_ERROR","OK"))</f>
        <v/>
      </c>
    </row>
    <row r="4578">
      <c r="A4578" t="inlineStr">
        <is>
          <t>T-2019-Q2-00021</t>
        </is>
      </c>
      <c r="B4578" t="inlineStr">
        <is>
          <t>SLE</t>
        </is>
      </c>
      <c r="C4578" t="inlineStr">
        <is>
          <t>Vice-President, Policy, Programs and Communications</t>
        </is>
      </c>
      <c r="D4578" t="inlineStr">
        <is>
          <t>Vice-président, Politiques et Programmes</t>
        </is>
      </c>
      <c r="E4578" t="inlineStr">
        <is>
          <t>Daryell Nowlan</t>
        </is>
      </c>
      <c r="F4578" t="inlineStr">
        <is>
          <t>Farnborough International Airshow 2018</t>
        </is>
      </c>
      <c r="G4578" t="inlineStr">
        <is>
          <t>Salon international de l'aéronautique de Farnborough 2018</t>
        </is>
      </c>
      <c r="H4578" s="1" t="n">
        <v>43292</v>
      </c>
      <c r="I4578" s="1" t="n">
        <v>43300</v>
      </c>
      <c r="J4578" t="inlineStr">
        <is>
          <t>London, United Kingdom</t>
        </is>
      </c>
      <c r="K4578" t="inlineStr">
        <is>
          <t>Londres (Royaume-Uni)</t>
        </is>
      </c>
      <c r="P4578" t="n">
        <v>1382.76</v>
      </c>
      <c r="Q4578" t="n">
        <v>358.29</v>
      </c>
      <c r="R4578" t="n">
        <v>2472.25</v>
      </c>
      <c r="S4578" t="n">
        <v>1048.41</v>
      </c>
      <c r="T4578" t="n">
        <v>0</v>
      </c>
      <c r="U4578" t="n">
        <v>5261.71</v>
      </c>
      <c r="X4578" t="inlineStr">
        <is>
          <t>acoa-apeca</t>
        </is>
      </c>
      <c r="Y4578" t="inlineStr">
        <is>
          <t>Atlantic Canada Opportunities Agency | Agence de promotion économique du Canada atlantique</t>
        </is>
      </c>
      <c r="Z4578" t="n">
        <v>9</v>
      </c>
      <c r="AA4578" t="n">
        <v>5261.71</v>
      </c>
      <c r="AB4578">
        <f>ROUND(U4578-AA4578,2)</f>
        <v/>
      </c>
      <c r="AC4578" t="b">
        <v>0</v>
      </c>
      <c r="AD4578">
        <f>IF(U4578="","MISSING_TOTAL",IF(ABS(AB4578)&lt;=0.01,"OK","CHECK"))</f>
        <v/>
      </c>
      <c r="AE4578">
        <f>IF(U4578="","MISSING",IF(AND(AA4578&gt;0,U4578/AA4578&gt;50),"POSSIBLE_SCALE_ERROR","OK"))</f>
        <v/>
      </c>
    </row>
    <row r="4579">
      <c r="A4579" t="inlineStr">
        <is>
          <t>T-2019-Q2-00020</t>
        </is>
      </c>
      <c r="B4579" t="inlineStr">
        <is>
          <t>SLE</t>
        </is>
      </c>
      <c r="C4579" t="inlineStr">
        <is>
          <t>President</t>
        </is>
      </c>
      <c r="D4579" t="inlineStr">
        <is>
          <t>Président</t>
        </is>
      </c>
      <c r="E4579" t="inlineStr">
        <is>
          <t>Francis McGuire</t>
        </is>
      </c>
      <c r="F4579" t="inlineStr">
        <is>
          <t>N.B. event with key stakeholders</t>
        </is>
      </c>
      <c r="G4579" t="inlineStr">
        <is>
          <t>Activité du N.-B. avec des intervenants clés</t>
        </is>
      </c>
      <c r="H4579" s="1" t="n">
        <v>43298</v>
      </c>
      <c r="I4579" s="1" t="n">
        <v>43298</v>
      </c>
      <c r="J4579" t="inlineStr">
        <is>
          <t>Saint John, New Brunswick</t>
        </is>
      </c>
      <c r="K4579" t="inlineStr">
        <is>
          <t>Saint John (Nouveau-Brunswick)</t>
        </is>
      </c>
      <c r="P4579" t="n">
        <v>0</v>
      </c>
      <c r="Q4579" t="n">
        <v>118.19</v>
      </c>
      <c r="R4579" t="n">
        <v>0</v>
      </c>
      <c r="S4579" t="n">
        <v>19.2</v>
      </c>
      <c r="T4579" t="n">
        <v>7.5</v>
      </c>
      <c r="U4579" t="n">
        <v>144.89</v>
      </c>
      <c r="X4579" t="inlineStr">
        <is>
          <t>acoa-apeca</t>
        </is>
      </c>
      <c r="Y4579" t="inlineStr">
        <is>
          <t>Atlantic Canada Opportunities Agency | Agence de promotion économique du Canada atlantique</t>
        </is>
      </c>
      <c r="Z4579" t="n">
        <v>1</v>
      </c>
      <c r="AA4579" t="n">
        <v>144.89</v>
      </c>
      <c r="AB4579">
        <f>ROUND(U4579-AA4579,2)</f>
        <v/>
      </c>
      <c r="AC4579" t="b">
        <v>0</v>
      </c>
      <c r="AD4579">
        <f>IF(U4579="","MISSING_TOTAL",IF(ABS(AB4579)&lt;=0.01,"OK","CHECK"))</f>
        <v/>
      </c>
      <c r="AE4579">
        <f>IF(U4579="","MISSING",IF(AND(AA4579&gt;0,U4579/AA4579&gt;50),"POSSIBLE_SCALE_ERROR","OK"))</f>
        <v/>
      </c>
    </row>
    <row r="4580">
      <c r="A4580" t="inlineStr">
        <is>
          <t>T-2019-Q2-00019</t>
        </is>
      </c>
      <c r="B4580" t="inlineStr">
        <is>
          <t>SLE</t>
        </is>
      </c>
      <c r="C4580" t="inlineStr">
        <is>
          <t>President</t>
        </is>
      </c>
      <c r="D4580" t="inlineStr">
        <is>
          <t>Président</t>
        </is>
      </c>
      <c r="E4580" t="inlineStr">
        <is>
          <t>Francis McGuire</t>
        </is>
      </c>
      <c r="F4580" t="inlineStr">
        <is>
          <t>Networking events with Government of Canada officials and key stakeholders</t>
        </is>
      </c>
      <c r="G4580" t="inlineStr">
        <is>
          <t>Activités de réseautage avec des fonctionnaires du gouvernement du Canada et des intervenants clés</t>
        </is>
      </c>
      <c r="H4580" s="1" t="n">
        <v>43289</v>
      </c>
      <c r="I4580" s="1" t="n">
        <v>43291</v>
      </c>
      <c r="J4580" t="inlineStr">
        <is>
          <t>Fox Harbour, Nova Scotia / Summerside, Prince Edward Island</t>
        </is>
      </c>
      <c r="K4580" t="inlineStr">
        <is>
          <t>Fox Harbour (Nouvelle-Écosse) / Summerside (Île-du-Prince-Édouard)</t>
        </is>
      </c>
      <c r="P4580" t="n">
        <v>0</v>
      </c>
      <c r="Q4580" t="n">
        <v>325.42</v>
      </c>
      <c r="R4580" t="n">
        <v>474.75</v>
      </c>
      <c r="S4580" t="n">
        <v>138.7</v>
      </c>
      <c r="T4580" t="n">
        <v>0</v>
      </c>
      <c r="U4580" t="n">
        <v>938.87</v>
      </c>
      <c r="X4580" t="inlineStr">
        <is>
          <t>acoa-apeca</t>
        </is>
      </c>
      <c r="Y4580" t="inlineStr">
        <is>
          <t>Atlantic Canada Opportunities Agency | Agence de promotion économique du Canada atlantique</t>
        </is>
      </c>
      <c r="Z4580" t="n">
        <v>3</v>
      </c>
      <c r="AA4580" t="n">
        <v>938.87</v>
      </c>
      <c r="AB4580">
        <f>ROUND(U4580-AA4580,2)</f>
        <v/>
      </c>
      <c r="AC4580" t="b">
        <v>0</v>
      </c>
      <c r="AD4580">
        <f>IF(U4580="","MISSING_TOTAL",IF(ABS(AB4580)&lt;=0.01,"OK","CHECK"))</f>
        <v/>
      </c>
      <c r="AE4580">
        <f>IF(U4580="","MISSING",IF(AND(AA4580&gt;0,U4580/AA4580&gt;50),"POSSIBLE_SCALE_ERROR","OK"))</f>
        <v/>
      </c>
    </row>
    <row r="4581">
      <c r="A4581" t="inlineStr">
        <is>
          <t>T-2019-Q2-00018</t>
        </is>
      </c>
      <c r="B4581" t="inlineStr">
        <is>
          <t>SLE</t>
        </is>
      </c>
      <c r="C4581" t="inlineStr">
        <is>
          <t>Vice-President, Prince Edward Island</t>
        </is>
      </c>
      <c r="D4581" t="inlineStr">
        <is>
          <t>Vice-président, Île-du-Prince-Édouard</t>
        </is>
      </c>
      <c r="E4581" t="inlineStr">
        <is>
          <t>Patrick Dorsey</t>
        </is>
      </c>
      <c r="F4581" t="inlineStr">
        <is>
          <t>Meetings with provincial and Government of Canada officials</t>
        </is>
      </c>
      <c r="G4581" t="inlineStr">
        <is>
          <t>Réunions avec des fonctionnaires provinciaux et du gouvernement du Canada</t>
        </is>
      </c>
      <c r="H4581" s="1" t="n">
        <v>43290</v>
      </c>
      <c r="I4581" s="1" t="n">
        <v>43291</v>
      </c>
      <c r="J4581" t="inlineStr">
        <is>
          <t>Summerside, Prince Edward Island</t>
        </is>
      </c>
      <c r="K4581" t="inlineStr">
        <is>
          <t>Summerside (Île-du-Prince-Édouard)</t>
        </is>
      </c>
      <c r="P4581" t="n">
        <v>0</v>
      </c>
      <c r="Q4581" t="n">
        <v>0</v>
      </c>
      <c r="R4581" t="n">
        <v>138.59</v>
      </c>
      <c r="S4581" t="n">
        <v>34.6</v>
      </c>
      <c r="T4581" t="n">
        <v>0</v>
      </c>
      <c r="U4581" t="n">
        <v>173.19</v>
      </c>
      <c r="X4581" t="inlineStr">
        <is>
          <t>acoa-apeca</t>
        </is>
      </c>
      <c r="Y4581" t="inlineStr">
        <is>
          <t>Atlantic Canada Opportunities Agency | Agence de promotion économique du Canada atlantique</t>
        </is>
      </c>
      <c r="Z4581" t="n">
        <v>2</v>
      </c>
      <c r="AA4581" t="n">
        <v>173.19</v>
      </c>
      <c r="AB4581">
        <f>ROUND(U4581-AA4581,2)</f>
        <v/>
      </c>
      <c r="AC4581" t="b">
        <v>0</v>
      </c>
      <c r="AD4581">
        <f>IF(U4581="","MISSING_TOTAL",IF(ABS(AB4581)&lt;=0.01,"OK","CHECK"))</f>
        <v/>
      </c>
      <c r="AE4581">
        <f>IF(U4581="","MISSING",IF(AND(AA4581&gt;0,U4581/AA4581&gt;50),"POSSIBLE_SCALE_ERROR","OK"))</f>
        <v/>
      </c>
    </row>
    <row r="4582">
      <c r="A4582" t="inlineStr">
        <is>
          <t>T-2019-Q2-00017</t>
        </is>
      </c>
      <c r="B4582" t="inlineStr">
        <is>
          <t>SLE</t>
        </is>
      </c>
      <c r="C4582" t="inlineStr">
        <is>
          <t>Vice-President, Newfoundland and Labrador</t>
        </is>
      </c>
      <c r="D4582" t="inlineStr">
        <is>
          <t>Vice-président, Terre-Neuve-et-Labrador</t>
        </is>
      </c>
      <c r="E4582" t="inlineStr">
        <is>
          <t>Ken Martin</t>
        </is>
      </c>
      <c r="F4582" t="inlineStr">
        <is>
          <t>Attend client site visit in Arnold's Cove</t>
        </is>
      </c>
      <c r="G4582" t="inlineStr">
        <is>
          <t>Assister à une visite chez un client à Arnold's Cove</t>
        </is>
      </c>
      <c r="H4582" s="1" t="n">
        <v>43287</v>
      </c>
      <c r="I4582" s="1" t="n">
        <v>43287</v>
      </c>
      <c r="J4582" t="inlineStr">
        <is>
          <t>Arnold's Cove, Newfoundland and Labrador</t>
        </is>
      </c>
      <c r="K4582" t="inlineStr">
        <is>
          <t>Arnold's Cove (Terre-Neuve-et-Labrador)</t>
        </is>
      </c>
      <c r="P4582" t="n">
        <v>0</v>
      </c>
      <c r="Q4582" t="n">
        <v>0</v>
      </c>
      <c r="R4582" t="n">
        <v>0</v>
      </c>
      <c r="S4582" t="n">
        <v>19.2</v>
      </c>
      <c r="T4582" t="n">
        <v>0</v>
      </c>
      <c r="U4582" t="n">
        <v>19.2</v>
      </c>
      <c r="X4582" t="inlineStr">
        <is>
          <t>acoa-apeca</t>
        </is>
      </c>
      <c r="Y4582" t="inlineStr">
        <is>
          <t>Atlantic Canada Opportunities Agency | Agence de promotion économique du Canada atlantique</t>
        </is>
      </c>
      <c r="Z4582" t="n">
        <v>1</v>
      </c>
      <c r="AA4582" t="n">
        <v>19.2</v>
      </c>
      <c r="AB4582">
        <f>ROUND(U4582-AA4582,2)</f>
        <v/>
      </c>
      <c r="AC4582" t="b">
        <v>0</v>
      </c>
      <c r="AD4582">
        <f>IF(U4582="","MISSING_TOTAL",IF(ABS(AB4582)&lt;=0.01,"OK","CHECK"))</f>
        <v/>
      </c>
      <c r="AE4582">
        <f>IF(U4582="","MISSING",IF(AND(AA4582&gt;0,U4582/AA4582&gt;50),"POSSIBLE_SCALE_ERROR","OK"))</f>
        <v/>
      </c>
    </row>
    <row r="4583">
      <c r="A4583" t="inlineStr">
        <is>
          <t>T-2019-Q2-00016</t>
        </is>
      </c>
      <c r="B4583" t="inlineStr">
        <is>
          <t>SLE</t>
        </is>
      </c>
      <c r="C4583" t="inlineStr">
        <is>
          <t>Vice-President, Policy, Programs and Communications</t>
        </is>
      </c>
      <c r="D4583" t="inlineStr">
        <is>
          <t>Vice-président, Politiques et Programmes</t>
        </is>
      </c>
      <c r="E4583" t="inlineStr">
        <is>
          <t>Daryell Nowlan</t>
        </is>
      </c>
      <c r="F4583" t="inlineStr">
        <is>
          <t>Meetings with private sector and Government of Canada officials</t>
        </is>
      </c>
      <c r="G4583" t="inlineStr">
        <is>
          <t>Réunions avec des représentants du secteur privé et du gouvernement du Canada</t>
        </is>
      </c>
      <c r="H4583" s="1" t="n">
        <v>43289</v>
      </c>
      <c r="I4583" s="1" t="n">
        <v>43291</v>
      </c>
      <c r="J4583" t="inlineStr">
        <is>
          <t>Summerside, Prince Edward Island</t>
        </is>
      </c>
      <c r="K4583" t="inlineStr">
        <is>
          <t>Summerside (Île-du-Prince-Édouard)</t>
        </is>
      </c>
      <c r="P4583" t="n">
        <v>0</v>
      </c>
      <c r="Q4583" t="n">
        <v>211.3</v>
      </c>
      <c r="R4583" t="n">
        <v>100</v>
      </c>
      <c r="S4583" t="n">
        <v>138.7</v>
      </c>
      <c r="T4583" t="n">
        <v>0</v>
      </c>
      <c r="U4583" t="n">
        <v>450</v>
      </c>
      <c r="X4583" t="inlineStr">
        <is>
          <t>acoa-apeca</t>
        </is>
      </c>
      <c r="Y4583" t="inlineStr">
        <is>
          <t>Atlantic Canada Opportunities Agency | Agence de promotion économique du Canada atlantique</t>
        </is>
      </c>
      <c r="Z4583" t="n">
        <v>3</v>
      </c>
      <c r="AA4583" t="n">
        <v>450</v>
      </c>
      <c r="AB4583">
        <f>ROUND(U4583-AA4583,2)</f>
        <v/>
      </c>
      <c r="AC4583" t="b">
        <v>0</v>
      </c>
      <c r="AD4583">
        <f>IF(U4583="","MISSING_TOTAL",IF(ABS(AB4583)&lt;=0.01,"OK","CHECK"))</f>
        <v/>
      </c>
      <c r="AE4583">
        <f>IF(U4583="","MISSING",IF(AND(AA4583&gt;0,U4583/AA4583&gt;50),"POSSIBLE_SCALE_ERROR","OK"))</f>
        <v/>
      </c>
    </row>
    <row r="4584">
      <c r="A4584" t="inlineStr">
        <is>
          <t>T-2019-Q2-00015</t>
        </is>
      </c>
      <c r="B4584" t="inlineStr">
        <is>
          <t>SLE</t>
        </is>
      </c>
      <c r="C4584" t="inlineStr">
        <is>
          <t>President</t>
        </is>
      </c>
      <c r="D4584" t="inlineStr">
        <is>
          <t>Président</t>
        </is>
      </c>
      <c r="E4584" t="inlineStr">
        <is>
          <t>Francis McGuire</t>
        </is>
      </c>
      <c r="F4584" t="inlineStr">
        <is>
          <t>Meetings with Government of Canada officials and key stakeholders</t>
        </is>
      </c>
      <c r="G4584" t="inlineStr">
        <is>
          <t>Réunions avec des fonctionnaires du gouvernement du Canada et des intervenants clés</t>
        </is>
      </c>
      <c r="H4584" s="1" t="n">
        <v>43284</v>
      </c>
      <c r="I4584" s="1" t="n">
        <v>43285</v>
      </c>
      <c r="J4584" t="inlineStr">
        <is>
          <t>Ottawa, Ontario</t>
        </is>
      </c>
      <c r="K4584" t="inlineStr">
        <is>
          <t>Ottawa (Ontario)</t>
        </is>
      </c>
      <c r="P4584" t="n">
        <v>748.8</v>
      </c>
      <c r="Q4584" t="n">
        <v>47.84</v>
      </c>
      <c r="R4584" t="n">
        <v>233.86</v>
      </c>
      <c r="S4584" t="n">
        <v>188.75</v>
      </c>
      <c r="T4584" t="n">
        <v>24</v>
      </c>
      <c r="U4584" t="n">
        <v>1243.25</v>
      </c>
      <c r="X4584" t="inlineStr">
        <is>
          <t>acoa-apeca</t>
        </is>
      </c>
      <c r="Y4584" t="inlineStr">
        <is>
          <t>Atlantic Canada Opportunities Agency | Agence de promotion économique du Canada atlantique</t>
        </is>
      </c>
      <c r="Z4584" t="n">
        <v>2</v>
      </c>
      <c r="AA4584" t="n">
        <v>1243.25</v>
      </c>
      <c r="AB4584">
        <f>ROUND(U4584-AA4584,2)</f>
        <v/>
      </c>
      <c r="AC4584" t="b">
        <v>0</v>
      </c>
      <c r="AD4584">
        <f>IF(U4584="","MISSING_TOTAL",IF(ABS(AB4584)&lt;=0.01,"OK","CHECK"))</f>
        <v/>
      </c>
      <c r="AE4584">
        <f>IF(U4584="","MISSING",IF(AND(AA4584&gt;0,U4584/AA4584&gt;50),"POSSIBLE_SCALE_ERROR","OK"))</f>
        <v/>
      </c>
    </row>
    <row r="4585">
      <c r="A4585" t="inlineStr">
        <is>
          <t>T-2019-Q2-00014</t>
        </is>
      </c>
      <c r="B4585" t="inlineStr">
        <is>
          <t>SLE</t>
        </is>
      </c>
      <c r="C4585" t="inlineStr">
        <is>
          <t>Senior Advisor (Energy)</t>
        </is>
      </c>
      <c r="D4585" t="inlineStr">
        <is>
          <t>Conseiller spécial (energie)</t>
        </is>
      </c>
      <c r="E4585" t="inlineStr">
        <is>
          <t>Andrew F. Noseworthy</t>
        </is>
      </c>
      <c r="F4585" t="inlineStr">
        <is>
          <t>Meetings with Nova Scotia Energy officials; meeting with Nova Scotia Energy Working Group</t>
        </is>
      </c>
      <c r="G4585" t="inlineStr">
        <is>
          <t>Réunions avec des représentants d'Énergie Nouvelle-Écosse; réunion avec le groupe de travail de la Nouvelle-Écosse sur l'énergie</t>
        </is>
      </c>
      <c r="H4585" s="1" t="n">
        <v>43258</v>
      </c>
      <c r="I4585" s="1" t="n">
        <v>43261</v>
      </c>
      <c r="J4585" t="inlineStr">
        <is>
          <t>Halifax, Nova Scotia</t>
        </is>
      </c>
      <c r="K4585" t="inlineStr">
        <is>
          <t>Halifax (Nouvelle-Écosse)</t>
        </is>
      </c>
      <c r="P4585" t="n">
        <v>1162.76</v>
      </c>
      <c r="Q4585" t="n">
        <v>223</v>
      </c>
      <c r="R4585" t="n">
        <v>229.91</v>
      </c>
      <c r="S4585" t="n">
        <v>227.4</v>
      </c>
      <c r="T4585" t="n">
        <v>0</v>
      </c>
      <c r="U4585" t="n">
        <v>1843.07</v>
      </c>
      <c r="X4585" t="inlineStr">
        <is>
          <t>acoa-apeca</t>
        </is>
      </c>
      <c r="Y4585" t="inlineStr">
        <is>
          <t>Atlantic Canada Opportunities Agency | Agence de promotion économique du Canada atlantique</t>
        </is>
      </c>
      <c r="Z4585" t="n">
        <v>4</v>
      </c>
      <c r="AA4585" t="n">
        <v>1843.07</v>
      </c>
      <c r="AB4585">
        <f>ROUND(U4585-AA4585,2)</f>
        <v/>
      </c>
      <c r="AC4585" t="b">
        <v>0</v>
      </c>
      <c r="AD4585">
        <f>IF(U4585="","MISSING_TOTAL",IF(ABS(AB4585)&lt;=0.01,"OK","CHECK"))</f>
        <v/>
      </c>
      <c r="AE4585">
        <f>IF(U4585="","MISSING",IF(AND(AA4585&gt;0,U4585/AA4585&gt;50),"POSSIBLE_SCALE_ERROR","OK"))</f>
        <v/>
      </c>
    </row>
    <row r="4586">
      <c r="A4586" t="inlineStr">
        <is>
          <t>T-2019-Q2-00013</t>
        </is>
      </c>
      <c r="B4586" t="inlineStr">
        <is>
          <t>SLE</t>
        </is>
      </c>
      <c r="C4586" t="inlineStr">
        <is>
          <t>Senior Advisor (Energy)</t>
        </is>
      </c>
      <c r="D4586" t="inlineStr">
        <is>
          <t>Conseiller spécial (energie)</t>
        </is>
      </c>
      <c r="E4586" t="inlineStr">
        <is>
          <t>Andrew F. Noseworthy</t>
        </is>
      </c>
      <c r="F4586" t="inlineStr">
        <is>
          <t>Meetings with energy and clean technology industry officials</t>
        </is>
      </c>
      <c r="G4586" t="inlineStr">
        <is>
          <t>Réunions avec des représentants de l'industrie de l'énergie et des technologies propres</t>
        </is>
      </c>
      <c r="H4586" s="1" t="n">
        <v>43279</v>
      </c>
      <c r="I4586" s="1" t="n">
        <v>43282</v>
      </c>
      <c r="J4586" t="inlineStr">
        <is>
          <t>Halifax, Nova Scotia</t>
        </is>
      </c>
      <c r="K4586" t="inlineStr">
        <is>
          <t>Halifax (Nouvelle-Écosse)</t>
        </is>
      </c>
      <c r="P4586" t="n">
        <v>562.55</v>
      </c>
      <c r="Q4586" t="n">
        <v>201</v>
      </c>
      <c r="R4586" t="n">
        <v>221.7</v>
      </c>
      <c r="S4586" t="n">
        <v>177.1</v>
      </c>
      <c r="T4586" t="n">
        <v>64</v>
      </c>
      <c r="U4586" t="n">
        <v>1226.35</v>
      </c>
      <c r="X4586" t="inlineStr">
        <is>
          <t>acoa-apeca</t>
        </is>
      </c>
      <c r="Y4586" t="inlineStr">
        <is>
          <t>Atlantic Canada Opportunities Agency | Agence de promotion économique du Canada atlantique</t>
        </is>
      </c>
      <c r="Z4586" t="n">
        <v>4</v>
      </c>
      <c r="AA4586" t="n">
        <v>1226.35</v>
      </c>
      <c r="AB4586">
        <f>ROUND(U4586-AA4586,2)</f>
        <v/>
      </c>
      <c r="AC4586" t="b">
        <v>0</v>
      </c>
      <c r="AD4586">
        <f>IF(U4586="","MISSING_TOTAL",IF(ABS(AB4586)&lt;=0.01,"OK","CHECK"))</f>
        <v/>
      </c>
      <c r="AE4586">
        <f>IF(U4586="","MISSING",IF(AND(AA4586&gt;0,U4586/AA4586&gt;50),"POSSIBLE_SCALE_ERROR","OK"))</f>
        <v/>
      </c>
    </row>
    <row r="4587">
      <c r="A4587" t="inlineStr">
        <is>
          <t>T-2019-Q2-00028</t>
        </is>
      </c>
      <c r="B4587" t="inlineStr">
        <is>
          <t>SLE</t>
        </is>
      </c>
      <c r="C4587" t="inlineStr">
        <is>
          <t>President</t>
        </is>
      </c>
      <c r="D4587" t="inlineStr">
        <is>
          <t>Président</t>
        </is>
      </c>
      <c r="E4587" t="inlineStr">
        <is>
          <t>Francis McGuire</t>
        </is>
      </c>
      <c r="F4587" t="inlineStr">
        <is>
          <t>Meetings with Agency officials and key stakeholders</t>
        </is>
      </c>
      <c r="G4587" t="inlineStr">
        <is>
          <t>Réunions avec des fonctionnaires de l'Agence et des intervenants clés</t>
        </is>
      </c>
      <c r="H4587" s="1" t="n">
        <v>43319</v>
      </c>
      <c r="I4587" s="1" t="n">
        <v>43321</v>
      </c>
      <c r="J4587" t="inlineStr">
        <is>
          <t>Cardigan, Prince Edward Island</t>
        </is>
      </c>
      <c r="K4587" t="inlineStr">
        <is>
          <t>Cardigan (Île-du-Prince-Édouard)</t>
        </is>
      </c>
      <c r="P4587" t="n">
        <v>0</v>
      </c>
      <c r="Q4587" t="n">
        <v>459.34</v>
      </c>
      <c r="R4587" t="n">
        <v>349.6</v>
      </c>
      <c r="S4587" t="n">
        <v>90.55</v>
      </c>
      <c r="T4587" t="n">
        <v>0</v>
      </c>
      <c r="U4587" t="n">
        <v>899.49</v>
      </c>
      <c r="X4587" t="inlineStr">
        <is>
          <t>acoa-apeca</t>
        </is>
      </c>
      <c r="Y4587" t="inlineStr">
        <is>
          <t>Atlantic Canada Opportunities Agency | Agence de promotion économique du Canada atlantique</t>
        </is>
      </c>
      <c r="Z4587" t="n">
        <v>3</v>
      </c>
      <c r="AA4587" t="n">
        <v>899.49</v>
      </c>
      <c r="AB4587">
        <f>ROUND(U4587-AA4587,2)</f>
        <v/>
      </c>
      <c r="AC4587" t="b">
        <v>0</v>
      </c>
      <c r="AD4587">
        <f>IF(U4587="","MISSING_TOTAL",IF(ABS(AB4587)&lt;=0.01,"OK","CHECK"))</f>
        <v/>
      </c>
      <c r="AE4587">
        <f>IF(U4587="","MISSING",IF(AND(AA4587&gt;0,U4587/AA4587&gt;50),"POSSIBLE_SCALE_ERROR","OK"))</f>
        <v/>
      </c>
    </row>
    <row r="4588">
      <c r="A4588" t="inlineStr">
        <is>
          <t>T-2019-Q2-00012</t>
        </is>
      </c>
      <c r="B4588" t="inlineStr">
        <is>
          <t>SLE</t>
        </is>
      </c>
      <c r="C4588" t="inlineStr">
        <is>
          <t>Vice-President, Prince Edward Island</t>
        </is>
      </c>
      <c r="D4588" t="inlineStr">
        <is>
          <t>Vice-président, Île-du-Prince-Édouard</t>
        </is>
      </c>
      <c r="E4588" t="inlineStr">
        <is>
          <t>Patrick Dorsey</t>
        </is>
      </c>
      <c r="F4588" t="inlineStr">
        <is>
          <t>To attend BIO International Convention and meetings with local partners and stakeholders in Boston, Massachusetts</t>
        </is>
      </c>
      <c r="G4588" t="inlineStr">
        <is>
          <t>Assister au congrès BIO International et à des réunions avec des partenaires et intervenants locaux à Boston (Massachusetts)</t>
        </is>
      </c>
      <c r="H4588" s="1" t="n">
        <v>43254</v>
      </c>
      <c r="I4588" s="1" t="n">
        <v>43258</v>
      </c>
      <c r="J4588" t="inlineStr">
        <is>
          <t>Boston, Massachusetts</t>
        </is>
      </c>
      <c r="K4588" t="inlineStr">
        <is>
          <t>Boston (Massachusetts)</t>
        </is>
      </c>
      <c r="P4588" t="n">
        <v>1760.64</v>
      </c>
      <c r="Q4588" t="n">
        <v>188.66</v>
      </c>
      <c r="R4588" t="n">
        <v>1400.03</v>
      </c>
      <c r="S4588" t="n">
        <v>452.09</v>
      </c>
      <c r="T4588" t="n">
        <v>39.1</v>
      </c>
      <c r="U4588" t="n">
        <v>3840.52</v>
      </c>
      <c r="X4588" t="inlineStr">
        <is>
          <t>acoa-apeca</t>
        </is>
      </c>
      <c r="Y4588" t="inlineStr">
        <is>
          <t>Atlantic Canada Opportunities Agency | Agence de promotion économique du Canada atlantique</t>
        </is>
      </c>
      <c r="Z4588" t="n">
        <v>5</v>
      </c>
      <c r="AA4588" t="n">
        <v>3840.52</v>
      </c>
      <c r="AB4588">
        <f>ROUND(U4588-AA4588,2)</f>
        <v/>
      </c>
      <c r="AC4588" t="b">
        <v>0</v>
      </c>
      <c r="AD4588">
        <f>IF(U4588="","MISSING_TOTAL",IF(ABS(AB4588)&lt;=0.01,"OK","CHECK"))</f>
        <v/>
      </c>
      <c r="AE4588">
        <f>IF(U4588="","MISSING",IF(AND(AA4588&gt;0,U4588/AA4588&gt;50),"POSSIBLE_SCALE_ERROR","OK"))</f>
        <v/>
      </c>
    </row>
    <row r="4589">
      <c r="A4589" t="inlineStr">
        <is>
          <t>T-2019-Q2-00011</t>
        </is>
      </c>
      <c r="B4589" t="inlineStr">
        <is>
          <t>SLE</t>
        </is>
      </c>
      <c r="C4589" t="inlineStr">
        <is>
          <t>Vice-President, Prince Edward Island</t>
        </is>
      </c>
      <c r="D4589" t="inlineStr">
        <is>
          <t>Vice-président, Île-du-Prince-Édouard</t>
        </is>
      </c>
      <c r="E4589" t="inlineStr">
        <is>
          <t>Patrick Dorsey</t>
        </is>
      </c>
      <c r="F4589" t="inlineStr">
        <is>
          <t>Meetings with senior ACOA officials in Moncton, New Brunswick</t>
        </is>
      </c>
      <c r="G4589" t="inlineStr">
        <is>
          <t>Réunions avec des cadres supérieurs de l'APECA à Moncton (Nouveau-Brunswick)</t>
        </is>
      </c>
      <c r="H4589" s="1" t="n">
        <v>43271</v>
      </c>
      <c r="I4589" s="1" t="n">
        <v>43273</v>
      </c>
      <c r="J4589" t="inlineStr">
        <is>
          <t>Moncton, New Brunswick</t>
        </is>
      </c>
      <c r="K4589" t="inlineStr">
        <is>
          <t>Moncton (Nouveau-Brunswick)</t>
        </is>
      </c>
      <c r="P4589" t="n">
        <v>0</v>
      </c>
      <c r="Q4589" t="n">
        <v>79.2</v>
      </c>
      <c r="R4589" t="n">
        <v>326.6</v>
      </c>
      <c r="S4589" t="n">
        <v>205.8</v>
      </c>
      <c r="T4589" t="n">
        <v>0</v>
      </c>
      <c r="U4589" t="n">
        <v>611.6</v>
      </c>
      <c r="X4589" t="inlineStr">
        <is>
          <t>acoa-apeca</t>
        </is>
      </c>
      <c r="Y4589" t="inlineStr">
        <is>
          <t>Atlantic Canada Opportunities Agency | Agence de promotion économique du Canada atlantique</t>
        </is>
      </c>
      <c r="Z4589" t="n">
        <v>3</v>
      </c>
      <c r="AA4589" t="n">
        <v>611.6</v>
      </c>
      <c r="AB4589">
        <f>ROUND(U4589-AA4589,2)</f>
        <v/>
      </c>
      <c r="AC4589" t="b">
        <v>0</v>
      </c>
      <c r="AD4589">
        <f>IF(U4589="","MISSING_TOTAL",IF(ABS(AB4589)&lt;=0.01,"OK","CHECK"))</f>
        <v/>
      </c>
      <c r="AE4589">
        <f>IF(U4589="","MISSING",IF(AND(AA4589&gt;0,U4589/AA4589&gt;50),"POSSIBLE_SCALE_ERROR","OK"))</f>
        <v/>
      </c>
    </row>
    <row r="4590">
      <c r="A4590" t="inlineStr">
        <is>
          <t>T-2019-Q2-00010</t>
        </is>
      </c>
      <c r="B4590" t="inlineStr">
        <is>
          <t>SLE</t>
        </is>
      </c>
      <c r="C4590" t="inlineStr">
        <is>
          <t>Vice-President, Newfoundland and Labrador</t>
        </is>
      </c>
      <c r="D4590" t="inlineStr">
        <is>
          <t>Vice-président, Terre-Neuve-et-Labrador</t>
        </is>
      </c>
      <c r="E4590" t="inlineStr">
        <is>
          <t>Ken Martin</t>
        </is>
      </c>
      <c r="F4590" t="inlineStr">
        <is>
          <t>Attend H2O Conference in Halifax</t>
        </is>
      </c>
      <c r="G4590" t="inlineStr">
        <is>
          <t>Assister à la conférence H2O à Halifax</t>
        </is>
      </c>
      <c r="H4590" s="1" t="n">
        <v>43258</v>
      </c>
      <c r="I4590" s="1" t="n">
        <v>43259</v>
      </c>
      <c r="J4590" t="inlineStr">
        <is>
          <t>Halifax, Nova Scotia</t>
        </is>
      </c>
      <c r="K4590" t="inlineStr">
        <is>
          <t>Halifax (Nouvelle-Écosse)</t>
        </is>
      </c>
      <c r="P4590" t="n">
        <v>562.1799999999999</v>
      </c>
      <c r="Q4590" t="n">
        <v>70.66</v>
      </c>
      <c r="R4590" t="n">
        <v>218.18</v>
      </c>
      <c r="S4590" t="n">
        <v>92.45</v>
      </c>
      <c r="T4590" t="n">
        <v>31.05</v>
      </c>
      <c r="U4590" t="n">
        <v>974.52</v>
      </c>
      <c r="X4590" t="inlineStr">
        <is>
          <t>acoa-apeca</t>
        </is>
      </c>
      <c r="Y4590" t="inlineStr">
        <is>
          <t>Atlantic Canada Opportunities Agency | Agence de promotion économique du Canada atlantique</t>
        </is>
      </c>
      <c r="Z4590" t="n">
        <v>2</v>
      </c>
      <c r="AA4590" t="n">
        <v>974.52</v>
      </c>
      <c r="AB4590">
        <f>ROUND(U4590-AA4590,2)</f>
        <v/>
      </c>
      <c r="AC4590" t="b">
        <v>0</v>
      </c>
      <c r="AD4590">
        <f>IF(U4590="","MISSING_TOTAL",IF(ABS(AB4590)&lt;=0.01,"OK","CHECK"))</f>
        <v/>
      </c>
      <c r="AE4590">
        <f>IF(U4590="","MISSING",IF(AND(AA4590&gt;0,U4590/AA4590&gt;50),"POSSIBLE_SCALE_ERROR","OK"))</f>
        <v/>
      </c>
    </row>
    <row r="4591">
      <c r="A4591" t="inlineStr">
        <is>
          <t>T-2019-Q2-00009</t>
        </is>
      </c>
      <c r="B4591" t="inlineStr">
        <is>
          <t>SLE</t>
        </is>
      </c>
      <c r="C4591" t="inlineStr">
        <is>
          <t>Vice-President, Policy, Programs and Communications</t>
        </is>
      </c>
      <c r="D4591" t="inlineStr">
        <is>
          <t>Vice-président, Politiques et Programmes</t>
        </is>
      </c>
      <c r="E4591" t="inlineStr">
        <is>
          <t>Daryell Nowlan</t>
        </is>
      </c>
      <c r="F4591" t="inlineStr">
        <is>
          <t>Meeting with industry sector officials</t>
        </is>
      </c>
      <c r="G4591" t="inlineStr">
        <is>
          <t>Réunion avec des représentants du secteur industriel</t>
        </is>
      </c>
      <c r="H4591" s="1" t="n">
        <v>43278</v>
      </c>
      <c r="I4591" s="1" t="n">
        <v>43279</v>
      </c>
      <c r="J4591" t="inlineStr">
        <is>
          <t>Halifax, Nova Scotia</t>
        </is>
      </c>
      <c r="K4591" t="inlineStr">
        <is>
          <t>Halifax (Nouvelle-Écosse)</t>
        </is>
      </c>
      <c r="P4591" t="n">
        <v>0</v>
      </c>
      <c r="Q4591" t="n">
        <v>205.23</v>
      </c>
      <c r="R4591" t="n">
        <v>204.1</v>
      </c>
      <c r="S4591" t="n">
        <v>169.55</v>
      </c>
      <c r="T4591" t="n">
        <v>0</v>
      </c>
      <c r="U4591" t="n">
        <v>578.88</v>
      </c>
      <c r="X4591" t="inlineStr">
        <is>
          <t>acoa-apeca</t>
        </is>
      </c>
      <c r="Y4591" t="inlineStr">
        <is>
          <t>Atlantic Canada Opportunities Agency | Agence de promotion économique du Canada atlantique</t>
        </is>
      </c>
      <c r="Z4591" t="n">
        <v>2</v>
      </c>
      <c r="AA4591" t="n">
        <v>578.88</v>
      </c>
      <c r="AB4591">
        <f>ROUND(U4591-AA4591,2)</f>
        <v/>
      </c>
      <c r="AC4591" t="b">
        <v>0</v>
      </c>
      <c r="AD4591">
        <f>IF(U4591="","MISSING_TOTAL",IF(ABS(AB4591)&lt;=0.01,"OK","CHECK"))</f>
        <v/>
      </c>
      <c r="AE4591">
        <f>IF(U4591="","MISSING",IF(AND(AA4591&gt;0,U4591/AA4591&gt;50),"POSSIBLE_SCALE_ERROR","OK"))</f>
        <v/>
      </c>
    </row>
    <row r="4592">
      <c r="A4592" t="inlineStr">
        <is>
          <t>T-2019-Q2-00008</t>
        </is>
      </c>
      <c r="B4592" t="inlineStr">
        <is>
          <t>SLE</t>
        </is>
      </c>
      <c r="C4592" t="inlineStr">
        <is>
          <t>Vice-President, Prince Edward Island</t>
        </is>
      </c>
      <c r="D4592" t="inlineStr">
        <is>
          <t>Vice-président, Île-du-Prince-Édouard</t>
        </is>
      </c>
      <c r="E4592" t="inlineStr">
        <is>
          <t>Patrick Dorsey</t>
        </is>
      </c>
      <c r="F4592" t="inlineStr">
        <is>
          <t>Face-to-face meetings with ACOA President and other vice-presidents</t>
        </is>
      </c>
      <c r="G4592" t="inlineStr">
        <is>
          <t>Réunions individuelles avec le président de l'APECA et d'autres vice-présidents</t>
        </is>
      </c>
      <c r="H4592" s="1" t="n">
        <v>43261</v>
      </c>
      <c r="I4592" s="1" t="n">
        <v>43265</v>
      </c>
      <c r="J4592" t="inlineStr">
        <is>
          <t>Rexton, Newfoundland and Labrador</t>
        </is>
      </c>
      <c r="K4592" t="inlineStr">
        <is>
          <t>Rexton (Terre-Neuve-et-Labrador)</t>
        </is>
      </c>
      <c r="P4592" t="n">
        <v>1399.11</v>
      </c>
      <c r="Q4592" t="n">
        <v>327.85</v>
      </c>
      <c r="R4592" t="n">
        <v>814.5599999999999</v>
      </c>
      <c r="S4592" t="n">
        <v>376.1</v>
      </c>
      <c r="T4592" t="n">
        <v>0</v>
      </c>
      <c r="U4592" t="n">
        <v>2917.62</v>
      </c>
      <c r="X4592" t="inlineStr">
        <is>
          <t>acoa-apeca</t>
        </is>
      </c>
      <c r="Y4592" t="inlineStr">
        <is>
          <t>Atlantic Canada Opportunities Agency | Agence de promotion économique du Canada atlantique</t>
        </is>
      </c>
      <c r="Z4592" t="n">
        <v>5</v>
      </c>
      <c r="AA4592" t="n">
        <v>2917.62</v>
      </c>
      <c r="AB4592">
        <f>ROUND(U4592-AA4592,2)</f>
        <v/>
      </c>
      <c r="AC4592" t="b">
        <v>0</v>
      </c>
      <c r="AD4592">
        <f>IF(U4592="","MISSING_TOTAL",IF(ABS(AB4592)&lt;=0.01,"OK","CHECK"))</f>
        <v/>
      </c>
      <c r="AE4592">
        <f>IF(U4592="","MISSING",IF(AND(AA4592&gt;0,U4592/AA4592&gt;50),"POSSIBLE_SCALE_ERROR","OK"))</f>
        <v/>
      </c>
    </row>
    <row r="4593">
      <c r="A4593" t="inlineStr">
        <is>
          <t>T-2019-Q2-00007</t>
        </is>
      </c>
      <c r="B4593" t="inlineStr">
        <is>
          <t>SLE</t>
        </is>
      </c>
      <c r="C4593" t="inlineStr">
        <is>
          <t>Vice-President, Newfoundland and Labrador</t>
        </is>
      </c>
      <c r="D4593" t="inlineStr">
        <is>
          <t>Vice-président, Terre-Neuve-et-Labrador</t>
        </is>
      </c>
      <c r="E4593" t="inlineStr">
        <is>
          <t>Ken Martin</t>
        </is>
      </c>
      <c r="F4593" t="inlineStr">
        <is>
          <t>Attend client site visits with senior government officials</t>
        </is>
      </c>
      <c r="G4593" t="inlineStr">
        <is>
          <t>Assister à des visites des lieux chez des clients avec de hauts fonctionnaires</t>
        </is>
      </c>
      <c r="H4593" s="1" t="n">
        <v>43262</v>
      </c>
      <c r="I4593" s="1" t="n">
        <v>43264</v>
      </c>
      <c r="J4593" t="inlineStr">
        <is>
          <t>Bonavista, Newfoundland and Labrador</t>
        </is>
      </c>
      <c r="K4593" t="inlineStr">
        <is>
          <t>Bonavista (Terre-Neuve-et-Labrador)</t>
        </is>
      </c>
      <c r="P4593" t="n">
        <v>0</v>
      </c>
      <c r="Q4593" t="n">
        <v>4</v>
      </c>
      <c r="R4593" t="n">
        <v>501.4</v>
      </c>
      <c r="S4593" t="n">
        <v>235.25</v>
      </c>
      <c r="T4593" t="n">
        <v>0</v>
      </c>
      <c r="U4593" t="n">
        <v>740.65</v>
      </c>
      <c r="X4593" t="inlineStr">
        <is>
          <t>acoa-apeca</t>
        </is>
      </c>
      <c r="Y4593" t="inlineStr">
        <is>
          <t>Atlantic Canada Opportunities Agency | Agence de promotion économique du Canada atlantique</t>
        </is>
      </c>
      <c r="Z4593" t="n">
        <v>3</v>
      </c>
      <c r="AA4593" t="n">
        <v>740.65</v>
      </c>
      <c r="AB4593">
        <f>ROUND(U4593-AA4593,2)</f>
        <v/>
      </c>
      <c r="AC4593" t="b">
        <v>0</v>
      </c>
      <c r="AD4593">
        <f>IF(U4593="","MISSING_TOTAL",IF(ABS(AB4593)&lt;=0.01,"OK","CHECK"))</f>
        <v/>
      </c>
      <c r="AE4593">
        <f>IF(U4593="","MISSING",IF(AND(AA4593&gt;0,U4593/AA4593&gt;50),"POSSIBLE_SCALE_ERROR","OK"))</f>
        <v/>
      </c>
    </row>
    <row r="4594">
      <c r="A4594" t="inlineStr">
        <is>
          <t>T-2019-Q2-00006</t>
        </is>
      </c>
      <c r="B4594" t="inlineStr">
        <is>
          <t>SLE</t>
        </is>
      </c>
      <c r="C4594" t="inlineStr">
        <is>
          <t>President</t>
        </is>
      </c>
      <c r="D4594" t="inlineStr">
        <is>
          <t>Président</t>
        </is>
      </c>
      <c r="E4594" t="inlineStr">
        <is>
          <t>Francis McGuire</t>
        </is>
      </c>
      <c r="F4594" t="inlineStr">
        <is>
          <t>Meetings/regional tour with Government of Canada officials and key stakeholders</t>
        </is>
      </c>
      <c r="G4594" t="inlineStr">
        <is>
          <t>Réunions/visite régionale avec des fonctionnaires du gouvernement du Canada et des intervenants clés</t>
        </is>
      </c>
      <c r="H4594" s="1" t="n">
        <v>43262</v>
      </c>
      <c r="I4594" s="1" t="n">
        <v>43266</v>
      </c>
      <c r="J4594" t="inlineStr">
        <is>
          <t>Saint John's and Bonavista, Newfoundland and Labrador</t>
        </is>
      </c>
      <c r="K4594" t="inlineStr">
        <is>
          <t>Saint John's et Bonavista (Terre-Neuve-et-Labrador)</t>
        </is>
      </c>
      <c r="P4594" t="n">
        <v>597.14</v>
      </c>
      <c r="Q4594" t="n">
        <v>29.12</v>
      </c>
      <c r="R4594" t="n">
        <v>846.5</v>
      </c>
      <c r="S4594" t="n">
        <v>440.95</v>
      </c>
      <c r="T4594" t="n">
        <v>0</v>
      </c>
      <c r="U4594" t="n">
        <v>1913.71</v>
      </c>
      <c r="X4594" t="inlineStr">
        <is>
          <t>acoa-apeca</t>
        </is>
      </c>
      <c r="Y4594" t="inlineStr">
        <is>
          <t>Atlantic Canada Opportunities Agency | Agence de promotion économique du Canada atlantique</t>
        </is>
      </c>
      <c r="Z4594" t="n">
        <v>5</v>
      </c>
      <c r="AA4594" t="n">
        <v>1913.71</v>
      </c>
      <c r="AB4594">
        <f>ROUND(U4594-AA4594,2)</f>
        <v/>
      </c>
      <c r="AC4594" t="b">
        <v>0</v>
      </c>
      <c r="AD4594">
        <f>IF(U4594="","MISSING_TOTAL",IF(ABS(AB4594)&lt;=0.01,"OK","CHECK"))</f>
        <v/>
      </c>
      <c r="AE4594">
        <f>IF(U4594="","MISSING",IF(AND(AA4594&gt;0,U4594/AA4594&gt;50),"POSSIBLE_SCALE_ERROR","OK"))</f>
        <v/>
      </c>
    </row>
    <row r="4595">
      <c r="A4595" t="inlineStr">
        <is>
          <t>T-2019-Q2-00005</t>
        </is>
      </c>
      <c r="B4595" t="inlineStr">
        <is>
          <t>SLE</t>
        </is>
      </c>
      <c r="C4595" t="inlineStr">
        <is>
          <t>Vice-President, Policy, Programs and Communications</t>
        </is>
      </c>
      <c r="D4595" t="inlineStr">
        <is>
          <t>Vice-président, Politiques et Programmes</t>
        </is>
      </c>
      <c r="E4595" t="inlineStr">
        <is>
          <t>Daryell Nowlan</t>
        </is>
      </c>
      <c r="F4595" t="inlineStr">
        <is>
          <t>Meetings with Government of Canada official and private sector officials</t>
        </is>
      </c>
      <c r="G4595" t="inlineStr">
        <is>
          <t>Réunions avec un fonctionnaire du gouvernement du Canada et des représentants du secteur privé</t>
        </is>
      </c>
      <c r="H4595" s="1" t="n">
        <v>43260</v>
      </c>
      <c r="I4595" s="1" t="n">
        <v>43266</v>
      </c>
      <c r="J4595" t="inlineStr">
        <is>
          <t>St. John's and Bonavista, Newfoundland and Labrador</t>
        </is>
      </c>
      <c r="K4595" t="inlineStr">
        <is>
          <t>St. John's et Bonavista (Terre-Neuve-et-Labrador)</t>
        </is>
      </c>
      <c r="P4595" t="n">
        <v>822.4</v>
      </c>
      <c r="Q4595" t="n">
        <v>116.34</v>
      </c>
      <c r="R4595" t="n">
        <v>1147.57</v>
      </c>
      <c r="S4595" t="n">
        <v>441.55</v>
      </c>
      <c r="T4595" t="n">
        <v>0</v>
      </c>
      <c r="U4595" t="n">
        <v>2527.86</v>
      </c>
      <c r="X4595" t="inlineStr">
        <is>
          <t>acoa-apeca</t>
        </is>
      </c>
      <c r="Y4595" t="inlineStr">
        <is>
          <t>Atlantic Canada Opportunities Agency | Agence de promotion économique du Canada atlantique</t>
        </is>
      </c>
      <c r="Z4595" t="n">
        <v>7</v>
      </c>
      <c r="AA4595" t="n">
        <v>2527.86</v>
      </c>
      <c r="AB4595">
        <f>ROUND(U4595-AA4595,2)</f>
        <v/>
      </c>
      <c r="AC4595" t="b">
        <v>0</v>
      </c>
      <c r="AD4595">
        <f>IF(U4595="","MISSING_TOTAL",IF(ABS(AB4595)&lt;=0.01,"OK","CHECK"))</f>
        <v/>
      </c>
      <c r="AE4595">
        <f>IF(U4595="","MISSING",IF(AND(AA4595&gt;0,U4595/AA4595&gt;50),"POSSIBLE_SCALE_ERROR","OK"))</f>
        <v/>
      </c>
    </row>
    <row r="4596">
      <c r="A4596" t="inlineStr">
        <is>
          <t>T-2019-Q2-00004</t>
        </is>
      </c>
      <c r="B4596" t="inlineStr">
        <is>
          <t>SLE</t>
        </is>
      </c>
      <c r="C4596" t="inlineStr">
        <is>
          <t>Vice-President, Finance and Corporate Services</t>
        </is>
      </c>
      <c r="D4596" t="inlineStr">
        <is>
          <t>Vice-président, Finance et Services corporatifs</t>
        </is>
      </c>
      <c r="E4596" t="inlineStr">
        <is>
          <t>Stephane Lagace</t>
        </is>
      </c>
      <c r="F4596" t="inlineStr">
        <is>
          <t>Various meetings with Agency officials and private sector officials</t>
        </is>
      </c>
      <c r="G4596" t="inlineStr">
        <is>
          <t>Diverses réunions avec des représentants de l'Agence et du secteur privé</t>
        </is>
      </c>
      <c r="H4596" s="1" t="n">
        <v>43262</v>
      </c>
      <c r="I4596" s="1" t="n">
        <v>43264</v>
      </c>
      <c r="J4596" t="inlineStr">
        <is>
          <t>St. John's, Newfoundland and Labrador</t>
        </is>
      </c>
      <c r="K4596" t="inlineStr">
        <is>
          <t>St. John's (Terre-Neuve-et-Labrador)</t>
        </is>
      </c>
      <c r="P4596" t="n">
        <v>781.14</v>
      </c>
      <c r="Q4596" t="n">
        <v>172.89</v>
      </c>
      <c r="R4596" t="n">
        <v>425.5</v>
      </c>
      <c r="S4596" t="n">
        <v>254.7</v>
      </c>
      <c r="T4596" t="n">
        <v>76.5</v>
      </c>
      <c r="U4596" t="n">
        <v>1710.73</v>
      </c>
      <c r="X4596" t="inlineStr">
        <is>
          <t>acoa-apeca</t>
        </is>
      </c>
      <c r="Y4596" t="inlineStr">
        <is>
          <t>Atlantic Canada Opportunities Agency | Agence de promotion économique du Canada atlantique</t>
        </is>
      </c>
      <c r="Z4596" t="n">
        <v>3</v>
      </c>
      <c r="AA4596" t="n">
        <v>1710.73</v>
      </c>
      <c r="AB4596">
        <f>ROUND(U4596-AA4596,2)</f>
        <v/>
      </c>
      <c r="AC4596" t="b">
        <v>0</v>
      </c>
      <c r="AD4596">
        <f>IF(U4596="","MISSING_TOTAL",IF(ABS(AB4596)&lt;=0.01,"OK","CHECK"))</f>
        <v/>
      </c>
      <c r="AE4596">
        <f>IF(U4596="","MISSING",IF(AND(AA4596&gt;0,U4596/AA4596&gt;50),"POSSIBLE_SCALE_ERROR","OK"))</f>
        <v/>
      </c>
    </row>
    <row r="4597">
      <c r="A4597" t="inlineStr">
        <is>
          <t>T-2019-Q2-00003</t>
        </is>
      </c>
      <c r="B4597" t="inlineStr">
        <is>
          <t>SLE</t>
        </is>
      </c>
      <c r="C4597" t="inlineStr">
        <is>
          <t>President</t>
        </is>
      </c>
      <c r="D4597" t="inlineStr">
        <is>
          <t>Président</t>
        </is>
      </c>
      <c r="E4597" t="inlineStr">
        <is>
          <t>Francis McGuire</t>
        </is>
      </c>
      <c r="F4597" t="inlineStr">
        <is>
          <t>Meetings with Government of Canada officials and key stakeholders</t>
        </is>
      </c>
      <c r="G4597" t="inlineStr">
        <is>
          <t>Réunions avec des fonctionnaires du gouvernement du Canada et des intervenants clés</t>
        </is>
      </c>
      <c r="H4597" s="1" t="n">
        <v>43255</v>
      </c>
      <c r="I4597" s="1" t="n">
        <v>43257</v>
      </c>
      <c r="J4597" t="inlineStr">
        <is>
          <t>Charlottetown, Prince Edward Island / Moncton and Chipman, New Brunswick</t>
        </is>
      </c>
      <c r="K4597" t="inlineStr">
        <is>
          <t>Charlottetown (Île-du-Prince-Édouard) / Moncton et Chipman (Nouveau-Brunswick)</t>
        </is>
      </c>
      <c r="P4597" t="n">
        <v>0</v>
      </c>
      <c r="Q4597" t="n">
        <v>373.88</v>
      </c>
      <c r="R4597" t="n">
        <v>176.49</v>
      </c>
      <c r="S4597" t="n">
        <v>101.95</v>
      </c>
      <c r="T4597" t="n">
        <v>47</v>
      </c>
      <c r="U4597" t="n">
        <v>699.3200000000001</v>
      </c>
      <c r="X4597" t="inlineStr">
        <is>
          <t>acoa-apeca</t>
        </is>
      </c>
      <c r="Y4597" t="inlineStr">
        <is>
          <t>Atlantic Canada Opportunities Agency | Agence de promotion économique du Canada atlantique</t>
        </is>
      </c>
      <c r="Z4597" t="n">
        <v>3</v>
      </c>
      <c r="AA4597" t="n">
        <v>699.3200000000001</v>
      </c>
      <c r="AB4597">
        <f>ROUND(U4597-AA4597,2)</f>
        <v/>
      </c>
      <c r="AC4597" t="b">
        <v>0</v>
      </c>
      <c r="AD4597">
        <f>IF(U4597="","MISSING_TOTAL",IF(ABS(AB4597)&lt;=0.01,"OK","CHECK"))</f>
        <v/>
      </c>
      <c r="AE4597">
        <f>IF(U4597="","MISSING",IF(AND(AA4597&gt;0,U4597/AA4597&gt;50),"POSSIBLE_SCALE_ERROR","OK"))</f>
        <v/>
      </c>
    </row>
    <row r="4598">
      <c r="A4598" t="inlineStr">
        <is>
          <t>T-2019-Q2-00002</t>
        </is>
      </c>
      <c r="B4598" t="inlineStr">
        <is>
          <t>SLE</t>
        </is>
      </c>
      <c r="C4598" t="inlineStr">
        <is>
          <t>President</t>
        </is>
      </c>
      <c r="D4598" t="inlineStr">
        <is>
          <t>Président</t>
        </is>
      </c>
      <c r="E4598" t="inlineStr">
        <is>
          <t>Francis McGuire</t>
        </is>
      </c>
      <c r="F4598" t="inlineStr">
        <is>
          <t>Meeting with a key stakeholder</t>
        </is>
      </c>
      <c r="G4598" t="inlineStr">
        <is>
          <t>Réunion avec un intervenant clé</t>
        </is>
      </c>
      <c r="H4598" s="1" t="n">
        <v>43259</v>
      </c>
      <c r="I4598" s="1" t="n">
        <v>43259</v>
      </c>
      <c r="J4598" t="inlineStr">
        <is>
          <t>Sussex, New Brunswick</t>
        </is>
      </c>
      <c r="K4598" t="inlineStr">
        <is>
          <t>Sussex (Nouveau-Brunswick)</t>
        </is>
      </c>
      <c r="P4598" t="n">
        <v>0</v>
      </c>
      <c r="Q4598" t="n">
        <v>157.56</v>
      </c>
      <c r="R4598" t="n">
        <v>0</v>
      </c>
      <c r="S4598" t="n">
        <v>0</v>
      </c>
      <c r="T4598" t="n">
        <v>0</v>
      </c>
      <c r="U4598" t="n">
        <v>157.56</v>
      </c>
      <c r="X4598" t="inlineStr">
        <is>
          <t>acoa-apeca</t>
        </is>
      </c>
      <c r="Y4598" t="inlineStr">
        <is>
          <t>Atlantic Canada Opportunities Agency | Agence de promotion économique du Canada atlantique</t>
        </is>
      </c>
      <c r="Z4598" t="n">
        <v>1</v>
      </c>
      <c r="AA4598" t="n">
        <v>157.56</v>
      </c>
      <c r="AB4598">
        <f>ROUND(U4598-AA4598,2)</f>
        <v/>
      </c>
      <c r="AC4598" t="b">
        <v>0</v>
      </c>
      <c r="AD4598">
        <f>IF(U4598="","MISSING_TOTAL",IF(ABS(AB4598)&lt;=0.01,"OK","CHECK"))</f>
        <v/>
      </c>
      <c r="AE4598">
        <f>IF(U4598="","MISSING",IF(AND(AA4598&gt;0,U4598/AA4598&gt;50),"POSSIBLE_SCALE_ERROR","OK"))</f>
        <v/>
      </c>
    </row>
    <row r="4599">
      <c r="A4599" t="inlineStr">
        <is>
          <t>T-2019-Q1-00063</t>
        </is>
      </c>
      <c r="B4599" t="inlineStr">
        <is>
          <t>SLE</t>
        </is>
      </c>
      <c r="C4599" t="inlineStr">
        <is>
          <t>Vice-President, Newfoundland and Labrador</t>
        </is>
      </c>
      <c r="D4599" t="inlineStr">
        <is>
          <t>Vice-président, Terre-Neuve-et-Labrador</t>
        </is>
      </c>
      <c r="E4599" t="inlineStr">
        <is>
          <t>Ken Martin</t>
        </is>
      </c>
      <c r="F4599" t="inlineStr">
        <is>
          <t>Attend various meetings and discussions with senior government and private sector officials in St. John's and surrounding area</t>
        </is>
      </c>
      <c r="G4599" t="inlineStr">
        <is>
          <t>Assister à des réunions et discussions avec des cadres supérieurs du gouvernement et de l'industrie à St. John's  et aux environs</t>
        </is>
      </c>
      <c r="H4599" s="1" t="n">
        <v>43192</v>
      </c>
      <c r="I4599" s="1" t="n">
        <v>43281</v>
      </c>
      <c r="J4599" t="inlineStr">
        <is>
          <t>St. John's, Newfoundland and Labrador</t>
        </is>
      </c>
      <c r="K4599" t="inlineStr">
        <is>
          <t>St. John's (Terre-Neuve-et-Labrador)</t>
        </is>
      </c>
      <c r="P4599" t="n">
        <v>0</v>
      </c>
      <c r="Q4599" t="n">
        <v>34.77</v>
      </c>
      <c r="R4599" t="n">
        <v>0</v>
      </c>
      <c r="S4599" t="n">
        <v>0</v>
      </c>
      <c r="T4599" t="n">
        <v>0</v>
      </c>
      <c r="U4599" t="n">
        <v>34.77</v>
      </c>
      <c r="X4599" t="inlineStr">
        <is>
          <t>acoa-apeca</t>
        </is>
      </c>
      <c r="Y4599" t="inlineStr">
        <is>
          <t>Atlantic Canada Opportunities Agency | Agence de promotion économique du Canada atlantique</t>
        </is>
      </c>
      <c r="Z4599" t="n">
        <v>90</v>
      </c>
      <c r="AA4599" t="n">
        <v>34.77</v>
      </c>
      <c r="AB4599">
        <f>ROUND(U4599-AA4599,2)</f>
        <v/>
      </c>
      <c r="AC4599" t="b">
        <v>0</v>
      </c>
      <c r="AD4599">
        <f>IF(U4599="","MISSING_TOTAL",IF(ABS(AB4599)&lt;=0.01,"OK","CHECK"))</f>
        <v/>
      </c>
      <c r="AE4599">
        <f>IF(U4599="","MISSING",IF(AND(AA4599&gt;0,U4599/AA4599&gt;50),"POSSIBLE_SCALE_ERROR","OK"))</f>
        <v/>
      </c>
    </row>
    <row r="4600">
      <c r="A4600" t="inlineStr">
        <is>
          <t>T-2019-Q1-00057</t>
        </is>
      </c>
      <c r="B4600" t="inlineStr">
        <is>
          <t>SLE</t>
        </is>
      </c>
      <c r="C4600" t="inlineStr">
        <is>
          <t>President</t>
        </is>
      </c>
      <c r="D4600" t="inlineStr">
        <is>
          <t>Président</t>
        </is>
      </c>
      <c r="E4600" t="inlineStr">
        <is>
          <t>Francis McGuire</t>
        </is>
      </c>
      <c r="F4600" t="inlineStr">
        <is>
          <t>Meetings with Government of Canada officials and key stakeholders</t>
        </is>
      </c>
      <c r="G4600" t="inlineStr">
        <is>
          <t>Réunions avec des fonctionnaires du gouvernement du Canada et des intervenants clés</t>
        </is>
      </c>
      <c r="H4600" s="1" t="n">
        <v>43249</v>
      </c>
      <c r="I4600" s="1" t="n">
        <v>43252</v>
      </c>
      <c r="J4600" t="inlineStr">
        <is>
          <t>Truro/Halifax, Nova Scotia / Ottawa/Toronto/Ottawa, Ontario</t>
        </is>
      </c>
      <c r="K4600" t="inlineStr">
        <is>
          <t>Truro/Halifax (Nouvelle-Écosse) / Ottawa/Toronto/Ottawa (Ontario)</t>
        </is>
      </c>
      <c r="P4600" t="n">
        <v>1807.11</v>
      </c>
      <c r="Q4600" t="n">
        <v>462.9</v>
      </c>
      <c r="R4600" t="n">
        <v>696.58</v>
      </c>
      <c r="S4600" t="n">
        <v>290.95</v>
      </c>
      <c r="T4600" t="n">
        <v>0</v>
      </c>
      <c r="U4600" t="n">
        <v>3257.54</v>
      </c>
      <c r="X4600" t="inlineStr">
        <is>
          <t>acoa-apeca</t>
        </is>
      </c>
      <c r="Y4600" t="inlineStr">
        <is>
          <t>Atlantic Canada Opportunities Agency | Agence de promotion économique du Canada atlantique</t>
        </is>
      </c>
      <c r="Z4600" t="n">
        <v>4</v>
      </c>
      <c r="AA4600" t="n">
        <v>3257.53999999999</v>
      </c>
      <c r="AB4600">
        <f>ROUND(U4600-AA4600,2)</f>
        <v/>
      </c>
      <c r="AC4600" t="b">
        <v>0</v>
      </c>
      <c r="AD4600">
        <f>IF(U4600="","MISSING_TOTAL",IF(ABS(AB4600)&lt;=0.01,"OK","CHECK"))</f>
        <v/>
      </c>
      <c r="AE4600">
        <f>IF(U4600="","MISSING",IF(AND(AA4600&gt;0,U4600/AA4600&gt;50),"POSSIBLE_SCALE_ERROR","OK"))</f>
        <v/>
      </c>
    </row>
    <row r="4601">
      <c r="A4601" t="inlineStr">
        <is>
          <t>T-2019-Q3-00042</t>
        </is>
      </c>
      <c r="B4601" t="inlineStr">
        <is>
          <t>SLE</t>
        </is>
      </c>
      <c r="C4601" t="inlineStr">
        <is>
          <t>Senior Advisor (Energy)</t>
        </is>
      </c>
      <c r="D4601" t="inlineStr">
        <is>
          <t>Conseiller spécial (energie)</t>
        </is>
      </c>
      <c r="E4601" t="inlineStr">
        <is>
          <t>Andrew F. Noseworthy</t>
        </is>
      </c>
      <c r="F4601" t="inlineStr">
        <is>
          <t>To speak at the Canada-United Kingdom Energy Summit</t>
        </is>
      </c>
      <c r="G4601" t="inlineStr">
        <is>
          <t>Prendre la parole au sommet sur l'énergie entre le Canada et le Royaume-Uni</t>
        </is>
      </c>
      <c r="H4601" s="1" t="n">
        <v>43427</v>
      </c>
      <c r="I4601" s="1" t="n">
        <v>43432</v>
      </c>
      <c r="J4601" t="inlineStr">
        <is>
          <t>London, United Kingdom</t>
        </is>
      </c>
      <c r="K4601" t="inlineStr">
        <is>
          <t>Londres (Royaume-Uni)</t>
        </is>
      </c>
      <c r="P4601" t="n">
        <v>1212.58</v>
      </c>
      <c r="Q4601" t="n">
        <v>348.54</v>
      </c>
      <c r="R4601" t="n">
        <v>1124.33</v>
      </c>
      <c r="S4601" t="n">
        <v>761.15</v>
      </c>
      <c r="T4601" t="n">
        <v>0</v>
      </c>
      <c r="U4601" t="n">
        <v>3446.6</v>
      </c>
      <c r="X4601" t="inlineStr">
        <is>
          <t>acoa-apeca</t>
        </is>
      </c>
      <c r="Y4601" t="inlineStr">
        <is>
          <t>Atlantic Canada Opportunities Agency | Agence de promotion économique du Canada atlantique</t>
        </is>
      </c>
      <c r="Z4601" t="n">
        <v>6</v>
      </c>
      <c r="AA4601" t="n">
        <v>3446.6</v>
      </c>
      <c r="AB4601">
        <f>ROUND(U4601-AA4601,2)</f>
        <v/>
      </c>
      <c r="AC4601" t="b">
        <v>0</v>
      </c>
      <c r="AD4601">
        <f>IF(U4601="","MISSING_TOTAL",IF(ABS(AB4601)&lt;=0.01,"OK","CHECK"))</f>
        <v/>
      </c>
      <c r="AE4601">
        <f>IF(U4601="","MISSING",IF(AND(AA4601&gt;0,U4601/AA4601&gt;50),"POSSIBLE_SCALE_ERROR","OK"))</f>
        <v/>
      </c>
    </row>
    <row r="4602">
      <c r="A4602" t="inlineStr">
        <is>
          <t>T-2019-Q3-00041</t>
        </is>
      </c>
      <c r="B4602" t="inlineStr">
        <is>
          <t>SLE</t>
        </is>
      </c>
      <c r="C4602" t="inlineStr">
        <is>
          <t>Senior Advisor (Energy)</t>
        </is>
      </c>
      <c r="D4602" t="inlineStr">
        <is>
          <t>Conseiller spécial (energie)</t>
        </is>
      </c>
      <c r="E4602" t="inlineStr">
        <is>
          <t>Andrew F. Noseworthy</t>
        </is>
      </c>
      <c r="F4602" t="inlineStr">
        <is>
          <t>To attend the United States-Canada Energy, Trade and Technology Conference, and attend other meetings</t>
        </is>
      </c>
      <c r="G4602" t="inlineStr">
        <is>
          <t>Assister à la conférence canado-américaine sur l'énergie, le commerce et la technologie et assister à d'autres réunions</t>
        </is>
      </c>
      <c r="H4602" s="1" t="n">
        <v>43403</v>
      </c>
      <c r="I4602" s="1" t="n">
        <v>43407</v>
      </c>
      <c r="J4602" t="inlineStr">
        <is>
          <t>Boston, Massachusetts, USA</t>
        </is>
      </c>
      <c r="K4602" t="inlineStr">
        <is>
          <t>Boston, au Massachusetts (É.-U.)</t>
        </is>
      </c>
      <c r="P4602" t="n">
        <v>456.92</v>
      </c>
      <c r="Q4602" t="n">
        <v>241.14</v>
      </c>
      <c r="R4602" t="n">
        <v>1584</v>
      </c>
      <c r="S4602" t="n">
        <v>666.48</v>
      </c>
      <c r="T4602" t="n">
        <v>0</v>
      </c>
      <c r="U4602" t="n">
        <v>2948.54</v>
      </c>
      <c r="X4602" t="inlineStr">
        <is>
          <t>acoa-apeca</t>
        </is>
      </c>
      <c r="Y4602" t="inlineStr">
        <is>
          <t>Atlantic Canada Opportunities Agency | Agence de promotion économique du Canada atlantique</t>
        </is>
      </c>
      <c r="Z4602" t="n">
        <v>5</v>
      </c>
      <c r="AA4602" t="n">
        <v>2948.54</v>
      </c>
      <c r="AB4602">
        <f>ROUND(U4602-AA4602,2)</f>
        <v/>
      </c>
      <c r="AC4602" t="b">
        <v>0</v>
      </c>
      <c r="AD4602">
        <f>IF(U4602="","MISSING_TOTAL",IF(ABS(AB4602)&lt;=0.01,"OK","CHECK"))</f>
        <v/>
      </c>
      <c r="AE4602">
        <f>IF(U4602="","MISSING",IF(AND(AA4602&gt;0,U4602/AA4602&gt;50),"POSSIBLE_SCALE_ERROR","OK"))</f>
        <v/>
      </c>
    </row>
    <row r="4603">
      <c r="A4603" t="inlineStr">
        <is>
          <t>T-2019-Q3-00040</t>
        </is>
      </c>
      <c r="B4603" t="inlineStr">
        <is>
          <t>SLE</t>
        </is>
      </c>
      <c r="C4603" t="inlineStr">
        <is>
          <t>Senior Advisor (Energy)</t>
        </is>
      </c>
      <c r="D4603" t="inlineStr">
        <is>
          <t>Conseiller spécial (energie)</t>
        </is>
      </c>
      <c r="E4603" t="inlineStr">
        <is>
          <t>Andrew F. Noseworthy</t>
        </is>
      </c>
      <c r="F4603" t="inlineStr">
        <is>
          <t>To attend Agency Executive Committee meeting</t>
        </is>
      </c>
      <c r="G4603" t="inlineStr">
        <is>
          <t>Assister à une réunion du Comité de direction de l'Agence</t>
        </is>
      </c>
      <c r="H4603" s="1" t="n">
        <v>43390</v>
      </c>
      <c r="I4603" s="1" t="n">
        <v>43391</v>
      </c>
      <c r="J4603" t="inlineStr">
        <is>
          <t>Moncton, New Brunswick</t>
        </is>
      </c>
      <c r="K4603" t="inlineStr">
        <is>
          <t>Moncton (Nouveau-Brunswick)</t>
        </is>
      </c>
      <c r="P4603" t="n">
        <v>730.8099999999999</v>
      </c>
      <c r="Q4603" t="n">
        <v>63.8</v>
      </c>
      <c r="R4603" t="n">
        <v>151.8</v>
      </c>
      <c r="S4603" t="n">
        <v>104.85</v>
      </c>
      <c r="T4603" t="n">
        <v>40.75</v>
      </c>
      <c r="U4603" t="n">
        <v>1092.01</v>
      </c>
      <c r="X4603" t="inlineStr">
        <is>
          <t>acoa-apeca</t>
        </is>
      </c>
      <c r="Y4603" t="inlineStr">
        <is>
          <t>Atlantic Canada Opportunities Agency | Agence de promotion économique du Canada atlantique</t>
        </is>
      </c>
      <c r="Z4603" t="n">
        <v>2</v>
      </c>
      <c r="AA4603" t="n">
        <v>1092.00999999999</v>
      </c>
      <c r="AB4603">
        <f>ROUND(U4603-AA4603,2)</f>
        <v/>
      </c>
      <c r="AC4603" t="b">
        <v>0</v>
      </c>
      <c r="AD4603">
        <f>IF(U4603="","MISSING_TOTAL",IF(ABS(AB4603)&lt;=0.01,"OK","CHECK"))</f>
        <v/>
      </c>
      <c r="AE4603">
        <f>IF(U4603="","MISSING",IF(AND(AA4603&gt;0,U4603/AA4603&gt;50),"POSSIBLE_SCALE_ERROR","OK"))</f>
        <v/>
      </c>
    </row>
    <row r="4604">
      <c r="A4604" t="inlineStr">
        <is>
          <t>T-2019-Q3-00039</t>
        </is>
      </c>
      <c r="B4604" t="inlineStr">
        <is>
          <t>SLE</t>
        </is>
      </c>
      <c r="C4604" t="inlineStr">
        <is>
          <t>Senior Advisor (Energy)</t>
        </is>
      </c>
      <c r="D4604" t="inlineStr">
        <is>
          <t>Conseiller spécial (energie)</t>
        </is>
      </c>
      <c r="E4604" t="inlineStr">
        <is>
          <t>Andrew F. Noseworthy</t>
        </is>
      </c>
      <c r="F4604" t="inlineStr">
        <is>
          <t>To speak at the Energy Innovation Forum</t>
        </is>
      </c>
      <c r="G4604" t="inlineStr">
        <is>
          <t>Prendre la parole au forum sur les innovations énergétiques</t>
        </is>
      </c>
      <c r="H4604" s="1" t="n">
        <v>43374</v>
      </c>
      <c r="I4604" s="1" t="n">
        <v>43374</v>
      </c>
      <c r="J4604" t="inlineStr">
        <is>
          <t>Fredericton, New Brunswick</t>
        </is>
      </c>
      <c r="K4604" t="inlineStr">
        <is>
          <t>Fredericton (Nouveau-Brunswick)</t>
        </is>
      </c>
      <c r="P4604" t="n">
        <v>741.7</v>
      </c>
      <c r="Q4604" t="n">
        <v>66.84</v>
      </c>
      <c r="R4604" t="n">
        <v>0</v>
      </c>
      <c r="S4604" t="n">
        <v>40.1</v>
      </c>
      <c r="T4604" t="n">
        <v>0</v>
      </c>
      <c r="U4604" t="n">
        <v>848.64</v>
      </c>
      <c r="X4604" t="inlineStr">
        <is>
          <t>acoa-apeca</t>
        </is>
      </c>
      <c r="Y4604" t="inlineStr">
        <is>
          <t>Atlantic Canada Opportunities Agency | Agence de promotion économique du Canada atlantique</t>
        </is>
      </c>
      <c r="Z4604" t="n">
        <v>1</v>
      </c>
      <c r="AA4604" t="n">
        <v>848.64</v>
      </c>
      <c r="AB4604">
        <f>ROUND(U4604-AA4604,2)</f>
        <v/>
      </c>
      <c r="AC4604" t="b">
        <v>0</v>
      </c>
      <c r="AD4604">
        <f>IF(U4604="","MISSING_TOTAL",IF(ABS(AB4604)&lt;=0.01,"OK","CHECK"))</f>
        <v/>
      </c>
      <c r="AE4604">
        <f>IF(U4604="","MISSING",IF(AND(AA4604&gt;0,U4604/AA4604&gt;50),"POSSIBLE_SCALE_ERROR","OK"))</f>
        <v/>
      </c>
    </row>
    <row r="4605">
      <c r="A4605" t="inlineStr">
        <is>
          <t>T-2019-Q3-00038</t>
        </is>
      </c>
      <c r="B4605" t="inlineStr">
        <is>
          <t>SLE</t>
        </is>
      </c>
      <c r="C4605" t="inlineStr">
        <is>
          <t>Senior Advisor (Energy)</t>
        </is>
      </c>
      <c r="D4605" t="inlineStr">
        <is>
          <t>Conseiller spécial (energie)</t>
        </is>
      </c>
      <c r="E4605" t="inlineStr">
        <is>
          <t>Andrew F. Noseworthy</t>
        </is>
      </c>
      <c r="F4605" t="inlineStr">
        <is>
          <t>To attend the Canada China Track II Energy Dialogue, and to attend stakeholder engagement meetings</t>
        </is>
      </c>
      <c r="G4605" t="inlineStr">
        <is>
          <t>Assister au dialogue officieux Canada-Chine en matière d’énergie et assister à des réunions d'engagement des parties intéressées</t>
        </is>
      </c>
      <c r="H4605" s="1" t="n">
        <v>43368</v>
      </c>
      <c r="I4605" s="1" t="n">
        <v>43369</v>
      </c>
      <c r="J4605" t="inlineStr">
        <is>
          <t>Halifax, Nova Scotia</t>
        </is>
      </c>
      <c r="K4605" t="inlineStr">
        <is>
          <t>Halifax (Nouvelle-Écosse)</t>
        </is>
      </c>
      <c r="P4605" t="n">
        <v>827.14</v>
      </c>
      <c r="Q4605" t="n">
        <v>154.25</v>
      </c>
      <c r="R4605" t="n">
        <v>228.74</v>
      </c>
      <c r="S4605" t="n">
        <v>140.6</v>
      </c>
      <c r="T4605" t="n">
        <v>32</v>
      </c>
      <c r="U4605" t="n">
        <v>1382.73</v>
      </c>
      <c r="X4605" t="inlineStr">
        <is>
          <t>acoa-apeca</t>
        </is>
      </c>
      <c r="Y4605" t="inlineStr">
        <is>
          <t>Atlantic Canada Opportunities Agency | Agence de promotion économique du Canada atlantique</t>
        </is>
      </c>
      <c r="Z4605" t="n">
        <v>2</v>
      </c>
      <c r="AA4605" t="n">
        <v>1382.73</v>
      </c>
      <c r="AB4605">
        <f>ROUND(U4605-AA4605,2)</f>
        <v/>
      </c>
      <c r="AC4605" t="b">
        <v>0</v>
      </c>
      <c r="AD4605">
        <f>IF(U4605="","MISSING_TOTAL",IF(ABS(AB4605)&lt;=0.01,"OK","CHECK"))</f>
        <v/>
      </c>
      <c r="AE4605">
        <f>IF(U4605="","MISSING",IF(AND(AA4605&gt;0,U4605/AA4605&gt;50),"POSSIBLE_SCALE_ERROR","OK"))</f>
        <v/>
      </c>
    </row>
    <row r="4606">
      <c r="A4606" t="inlineStr">
        <is>
          <t>T-2019-Q2-00053</t>
        </is>
      </c>
      <c r="B4606" t="inlineStr">
        <is>
          <t>SLE</t>
        </is>
      </c>
      <c r="C4606" t="inlineStr">
        <is>
          <t>Senior Advisor (Energy)</t>
        </is>
      </c>
      <c r="D4606" t="inlineStr">
        <is>
          <t>Conseiller spécial (energie)</t>
        </is>
      </c>
      <c r="E4606" t="inlineStr">
        <is>
          <t>Andrew F. Noseworthy</t>
        </is>
      </c>
      <c r="F4606" t="inlineStr">
        <is>
          <t>To attend the Offshore Northern Seas conference; to attend the International Upstream Forum; and to attend the Institute of Corporate Directors training program</t>
        </is>
      </c>
      <c r="G4606" t="inlineStr">
        <is>
          <t>Assister à la conférence Offshore Northern Seas, assister à l'International Upstream Forum et assister au programme de formation de l'Institut des administrateurs de sociétés</t>
        </is>
      </c>
      <c r="H4606" s="1" t="n">
        <v>43336</v>
      </c>
      <c r="I4606" s="1" t="n">
        <v>43353</v>
      </c>
      <c r="J4606" t="inlineStr">
        <is>
          <t>Stavanger, Norway; Dublin, Ireland; Toronto, Ontario</t>
        </is>
      </c>
      <c r="K4606" t="inlineStr">
        <is>
          <t>Stavanger (Norvège); Dublin (Irlande); Toronto (Ontario)</t>
        </is>
      </c>
      <c r="P4606" t="n">
        <v>3107.56</v>
      </c>
      <c r="Q4606" t="n">
        <v>1010.33</v>
      </c>
      <c r="R4606" t="n">
        <v>3387.79</v>
      </c>
      <c r="S4606" t="n">
        <v>1701.73</v>
      </c>
      <c r="T4606" t="n">
        <v>12.5</v>
      </c>
      <c r="U4606" t="n">
        <v>9219.91</v>
      </c>
      <c r="X4606" t="inlineStr">
        <is>
          <t>acoa-apeca</t>
        </is>
      </c>
      <c r="Y4606" t="inlineStr">
        <is>
          <t>Atlantic Canada Opportunities Agency | Agence de promotion économique du Canada atlantique</t>
        </is>
      </c>
      <c r="Z4606" t="n">
        <v>18</v>
      </c>
      <c r="AA4606" t="n">
        <v>9219.91</v>
      </c>
      <c r="AB4606">
        <f>ROUND(U4606-AA4606,2)</f>
        <v/>
      </c>
      <c r="AC4606" t="b">
        <v>0</v>
      </c>
      <c r="AD4606">
        <f>IF(U4606="","MISSING_TOTAL",IF(ABS(AB4606)&lt;=0.01,"OK","CHECK"))</f>
        <v/>
      </c>
      <c r="AE4606">
        <f>IF(U4606="","MISSING",IF(AND(AA4606&gt;0,U4606/AA4606&gt;50),"POSSIBLE_SCALE_ERROR","OK"))</f>
        <v/>
      </c>
    </row>
    <row r="4607">
      <c r="A4607" t="inlineStr">
        <is>
          <t>T-2019-Q3-00037</t>
        </is>
      </c>
      <c r="B4607" t="inlineStr">
        <is>
          <t>SLE</t>
        </is>
      </c>
      <c r="C4607" t="inlineStr">
        <is>
          <t>Senior Advisor (Energy)</t>
        </is>
      </c>
      <c r="D4607" t="inlineStr">
        <is>
          <t>Conseiller spécial (energie)</t>
        </is>
      </c>
      <c r="E4607" t="inlineStr">
        <is>
          <t>Andrew F. Noseworthy</t>
        </is>
      </c>
      <c r="F4607" t="inlineStr">
        <is>
          <t>To attend the Newfoundland and Labrador Oil and Gas Industry Association Seminar in Ottawa</t>
        </is>
      </c>
      <c r="G4607" t="inlineStr">
        <is>
          <t>Assister au séminaire de la Newfoundland and Labrador Oil and Gas Industry Association à Ottawa</t>
        </is>
      </c>
      <c r="H4607" s="1" t="n">
        <v>43355</v>
      </c>
      <c r="I4607" s="1" t="n">
        <v>43356</v>
      </c>
      <c r="J4607" t="inlineStr">
        <is>
          <t>Ottawa, Ontario</t>
        </is>
      </c>
      <c r="K4607" t="inlineStr">
        <is>
          <t>Ottawa (Ontario)</t>
        </is>
      </c>
      <c r="P4607" t="n">
        <v>1002.8</v>
      </c>
      <c r="Q4607" t="n">
        <v>92</v>
      </c>
      <c r="R4607" t="n">
        <v>233.86</v>
      </c>
      <c r="S4607" t="n">
        <v>208.2</v>
      </c>
      <c r="T4607" t="n">
        <v>32</v>
      </c>
      <c r="U4607" t="n">
        <v>1568.86</v>
      </c>
      <c r="X4607" t="inlineStr">
        <is>
          <t>acoa-apeca</t>
        </is>
      </c>
      <c r="Y4607" t="inlineStr">
        <is>
          <t>Atlantic Canada Opportunities Agency | Agence de promotion économique du Canada atlantique</t>
        </is>
      </c>
      <c r="Z4607" t="n">
        <v>2</v>
      </c>
      <c r="AA4607" t="n">
        <v>1568.86</v>
      </c>
      <c r="AB4607">
        <f>ROUND(U4607-AA4607,2)</f>
        <v/>
      </c>
      <c r="AC4607" t="b">
        <v>0</v>
      </c>
      <c r="AD4607">
        <f>IF(U4607="","MISSING_TOTAL",IF(ABS(AB4607)&lt;=0.01,"OK","CHECK"))</f>
        <v/>
      </c>
      <c r="AE4607">
        <f>IF(U4607="","MISSING",IF(AND(AA4607&gt;0,U4607/AA4607&gt;50),"POSSIBLE_SCALE_ERROR","OK"))</f>
        <v/>
      </c>
    </row>
    <row r="4608">
      <c r="A4608" t="inlineStr">
        <is>
          <t>T-2019-Q3-00058</t>
        </is>
      </c>
      <c r="B4608" t="inlineStr">
        <is>
          <t>SLE</t>
        </is>
      </c>
      <c r="C4608" t="inlineStr">
        <is>
          <t>Vice-President, Nova Scotia</t>
        </is>
      </c>
      <c r="D4608" t="inlineStr">
        <is>
          <t>Vice-président, Nouvelle-Écosse</t>
        </is>
      </c>
      <c r="E4608" t="inlineStr">
        <is>
          <t>Chuck Maillet</t>
        </is>
      </c>
      <c r="F4608" t="inlineStr">
        <is>
          <t>Annual committee meeting of the Canada-France Regional Joint Cooperation Commission</t>
        </is>
      </c>
      <c r="G4608" t="inlineStr">
        <is>
          <t>Réunion annuelle du comité de la Commission mixte de coopération régionale Canada-France</t>
        </is>
      </c>
      <c r="H4608" s="1" t="n">
        <v>43409</v>
      </c>
      <c r="I4608" s="1" t="n">
        <v>43411</v>
      </c>
      <c r="J4608" t="inlineStr">
        <is>
          <t>Saint-Pierre et Miquelon, France</t>
        </is>
      </c>
      <c r="K4608" t="inlineStr">
        <is>
          <t>Saint-Pierre et Miquelon (France)</t>
        </is>
      </c>
      <c r="P4608" t="n">
        <v>423.96</v>
      </c>
      <c r="Q4608" t="n">
        <v>60</v>
      </c>
      <c r="R4608" t="n">
        <v>357.31</v>
      </c>
      <c r="S4608" t="n">
        <v>51.9</v>
      </c>
      <c r="T4608" t="n">
        <v>0</v>
      </c>
      <c r="U4608" t="n">
        <v>893.17</v>
      </c>
      <c r="X4608" t="inlineStr">
        <is>
          <t>acoa-apeca</t>
        </is>
      </c>
      <c r="Y4608" t="inlineStr">
        <is>
          <t>Atlantic Canada Opportunities Agency | Agence de promotion économique du Canada atlantique</t>
        </is>
      </c>
      <c r="Z4608" t="n">
        <v>3</v>
      </c>
      <c r="AA4608" t="n">
        <v>893.17</v>
      </c>
      <c r="AB4608">
        <f>ROUND(U4608-AA4608,2)</f>
        <v/>
      </c>
      <c r="AC4608" t="b">
        <v>0</v>
      </c>
      <c r="AD4608">
        <f>IF(U4608="","MISSING_TOTAL",IF(ABS(AB4608)&lt;=0.01,"OK","CHECK"))</f>
        <v/>
      </c>
      <c r="AE4608">
        <f>IF(U4608="","MISSING",IF(AND(AA4608&gt;0,U4608/AA4608&gt;50),"POSSIBLE_SCALE_ERROR","OK"))</f>
        <v/>
      </c>
    </row>
    <row r="4609">
      <c r="A4609" t="inlineStr">
        <is>
          <t>T-2019-Q3-00057</t>
        </is>
      </c>
      <c r="B4609" t="inlineStr">
        <is>
          <t>SLE</t>
        </is>
      </c>
      <c r="C4609" t="inlineStr">
        <is>
          <t>Vice-President, Nova Scotia</t>
        </is>
      </c>
      <c r="D4609" t="inlineStr">
        <is>
          <t>Vice-président, Nouvelle-Écosse</t>
        </is>
      </c>
      <c r="E4609" t="inlineStr">
        <is>
          <t>Chuck Maillet</t>
        </is>
      </c>
      <c r="F4609" t="inlineStr">
        <is>
          <t>Various meetings with Agency officials, Government of Canada officials, clients and stakeholders</t>
        </is>
      </c>
      <c r="G4609" t="inlineStr">
        <is>
          <t>Diverses réunions avec des fonctionnaires de l'Agence et du gouvernement fédéral, des clients et des intervenants</t>
        </is>
      </c>
      <c r="H4609" s="1" t="n">
        <v>43416</v>
      </c>
      <c r="I4609" s="1" t="n">
        <v>43419</v>
      </c>
      <c r="J4609" t="inlineStr">
        <is>
          <t>Moncton, New Brunswick and Sydney, Nova Scotia</t>
        </is>
      </c>
      <c r="K4609" t="inlineStr">
        <is>
          <t>Moncton (Nouveau-Brunswick) et Sydney (Nouvelle-Écosse)</t>
        </is>
      </c>
      <c r="P4609" t="n">
        <v>542.67</v>
      </c>
      <c r="Q4609" t="n">
        <v>133.88</v>
      </c>
      <c r="R4609" t="n">
        <v>438.5</v>
      </c>
      <c r="S4609" t="n">
        <v>349.4</v>
      </c>
      <c r="T4609" t="n">
        <v>0</v>
      </c>
      <c r="U4609" t="n">
        <v>1464.45</v>
      </c>
      <c r="X4609" t="inlineStr">
        <is>
          <t>acoa-apeca</t>
        </is>
      </c>
      <c r="Y4609" t="inlineStr">
        <is>
          <t>Atlantic Canada Opportunities Agency | Agence de promotion économique du Canada atlantique</t>
        </is>
      </c>
      <c r="Z4609" t="n">
        <v>4</v>
      </c>
      <c r="AA4609" t="n">
        <v>1464.44999999999</v>
      </c>
      <c r="AB4609">
        <f>ROUND(U4609-AA4609,2)</f>
        <v/>
      </c>
      <c r="AC4609" t="b">
        <v>0</v>
      </c>
      <c r="AD4609">
        <f>IF(U4609="","MISSING_TOTAL",IF(ABS(AB4609)&lt;=0.01,"OK","CHECK"))</f>
        <v/>
      </c>
      <c r="AE4609">
        <f>IF(U4609="","MISSING",IF(AND(AA4609&gt;0,U4609/AA4609&gt;50),"POSSIBLE_SCALE_ERROR","OK"))</f>
        <v/>
      </c>
    </row>
    <row r="4610">
      <c r="A4610" t="inlineStr">
        <is>
          <t>T-2019-Q3-00056</t>
        </is>
      </c>
      <c r="B4610" t="inlineStr">
        <is>
          <t>SLE</t>
        </is>
      </c>
      <c r="C4610" t="inlineStr">
        <is>
          <t>Vice-President, Nova Scotia</t>
        </is>
      </c>
      <c r="D4610" t="inlineStr">
        <is>
          <t>Vice-président, Nouvelle-Écosse</t>
        </is>
      </c>
      <c r="E4610" t="inlineStr">
        <is>
          <t>Chuck Maillet</t>
        </is>
      </c>
      <c r="F4610" t="inlineStr">
        <is>
          <t>Various meetings with Agency and Government of Canada officials</t>
        </is>
      </c>
      <c r="G4610" t="inlineStr">
        <is>
          <t>Diverses réunions avec des fonctionnaires de l'Agence et du gouvernement fédéral</t>
        </is>
      </c>
      <c r="H4610" s="1" t="n">
        <v>43402</v>
      </c>
      <c r="I4610" s="1" t="n">
        <v>43403</v>
      </c>
      <c r="J4610" t="inlineStr">
        <is>
          <t>Ottawa, Ontario</t>
        </is>
      </c>
      <c r="K4610" t="inlineStr">
        <is>
          <t>Ottawa (Ontario)</t>
        </is>
      </c>
      <c r="P4610" t="n">
        <v>478.75</v>
      </c>
      <c r="Q4610" t="n">
        <v>173.59</v>
      </c>
      <c r="R4610" t="n">
        <v>280.87</v>
      </c>
      <c r="S4610" t="n">
        <v>214.8</v>
      </c>
      <c r="T4610" t="n">
        <v>0</v>
      </c>
      <c r="U4610" t="n">
        <v>1148.01</v>
      </c>
      <c r="X4610" t="inlineStr">
        <is>
          <t>acoa-apeca</t>
        </is>
      </c>
      <c r="Y4610" t="inlineStr">
        <is>
          <t>Atlantic Canada Opportunities Agency | Agence de promotion économique du Canada atlantique</t>
        </is>
      </c>
      <c r="Z4610" t="n">
        <v>2</v>
      </c>
      <c r="AA4610" t="n">
        <v>1148.01</v>
      </c>
      <c r="AB4610">
        <f>ROUND(U4610-AA4610,2)</f>
        <v/>
      </c>
      <c r="AC4610" t="b">
        <v>0</v>
      </c>
      <c r="AD4610">
        <f>IF(U4610="","MISSING_TOTAL",IF(ABS(AB4610)&lt;=0.01,"OK","CHECK"))</f>
        <v/>
      </c>
      <c r="AE4610">
        <f>IF(U4610="","MISSING",IF(AND(AA4610&gt;0,U4610/AA4610&gt;50),"POSSIBLE_SCALE_ERROR","OK"))</f>
        <v/>
      </c>
    </row>
    <row r="4611">
      <c r="A4611" t="inlineStr">
        <is>
          <t>T-2019-Q3-00055</t>
        </is>
      </c>
      <c r="B4611" t="inlineStr">
        <is>
          <t>SLE</t>
        </is>
      </c>
      <c r="C4611" t="inlineStr">
        <is>
          <t>Vice-President, Nova Scotia</t>
        </is>
      </c>
      <c r="D4611" t="inlineStr">
        <is>
          <t>Vice-président, Nouvelle-Écosse</t>
        </is>
      </c>
      <c r="E4611" t="inlineStr">
        <is>
          <t>Chuck Maillet</t>
        </is>
      </c>
      <c r="F4611" t="inlineStr">
        <is>
          <t>Various meetings with Agency officials, clients and stakeholders</t>
        </is>
      </c>
      <c r="G4611" t="inlineStr">
        <is>
          <t>Diverses réunions avec des fonctionnaires de l'Agence, des clients et des intervenants</t>
        </is>
      </c>
      <c r="H4611" s="1" t="n">
        <v>43397</v>
      </c>
      <c r="I4611" s="1" t="n">
        <v>43398</v>
      </c>
      <c r="J4611" t="inlineStr">
        <is>
          <t>St. John's, Newfoundland and Labrador</t>
        </is>
      </c>
      <c r="K4611" t="inlineStr">
        <is>
          <t>St. John's (Terre-Neuve-et-Labrador)</t>
        </is>
      </c>
      <c r="P4611" t="n">
        <v>809.2</v>
      </c>
      <c r="Q4611" t="n">
        <v>392.29</v>
      </c>
      <c r="R4611" t="n">
        <v>184.45</v>
      </c>
      <c r="S4611" t="n">
        <v>134.6</v>
      </c>
      <c r="T4611" t="n">
        <v>62.2</v>
      </c>
      <c r="U4611" t="n">
        <v>1582.74</v>
      </c>
      <c r="X4611" t="inlineStr">
        <is>
          <t>acoa-apeca</t>
        </is>
      </c>
      <c r="Y4611" t="inlineStr">
        <is>
          <t>Atlantic Canada Opportunities Agency | Agence de promotion économique du Canada atlantique</t>
        </is>
      </c>
      <c r="Z4611" t="n">
        <v>2</v>
      </c>
      <c r="AA4611" t="n">
        <v>1582.74</v>
      </c>
      <c r="AB4611">
        <f>ROUND(U4611-AA4611,2)</f>
        <v/>
      </c>
      <c r="AC4611" t="b">
        <v>0</v>
      </c>
      <c r="AD4611">
        <f>IF(U4611="","MISSING_TOTAL",IF(ABS(AB4611)&lt;=0.01,"OK","CHECK"))</f>
        <v/>
      </c>
      <c r="AE4611">
        <f>IF(U4611="","MISSING",IF(AND(AA4611&gt;0,U4611/AA4611&gt;50),"POSSIBLE_SCALE_ERROR","OK"))</f>
        <v/>
      </c>
    </row>
    <row r="4612">
      <c r="A4612" t="inlineStr">
        <is>
          <t>T-2019-Q3-00054</t>
        </is>
      </c>
      <c r="B4612" t="inlineStr">
        <is>
          <t>SLE</t>
        </is>
      </c>
      <c r="C4612" t="inlineStr">
        <is>
          <t>Vice-President, Nova Scotia</t>
        </is>
      </c>
      <c r="D4612" t="inlineStr">
        <is>
          <t>Vice-président, Nouvelle-Écosse</t>
        </is>
      </c>
      <c r="E4612" t="inlineStr">
        <is>
          <t>Chuck Maillet</t>
        </is>
      </c>
      <c r="F4612" t="inlineStr">
        <is>
          <t>Various meetings with clients and stakeholders in Northern Nova Scotia</t>
        </is>
      </c>
      <c r="G4612" t="inlineStr">
        <is>
          <t>Diverses réunions avec des clients et des intervenants dans le nord de la Nouvelle-Écosse</t>
        </is>
      </c>
      <c r="H4612" s="1" t="n">
        <v>43396</v>
      </c>
      <c r="I4612" s="1" t="n">
        <v>43397</v>
      </c>
      <c r="J4612" t="inlineStr">
        <is>
          <t>Pictou, Antigonish, Guysborough and Strait, Nova Scotia</t>
        </is>
      </c>
      <c r="K4612" t="inlineStr">
        <is>
          <t>Pictou, Antigonish, Guysborough et détroit de Canso (Nouvelle-Écosse)</t>
        </is>
      </c>
      <c r="P4612" t="n">
        <v>0</v>
      </c>
      <c r="Q4612" t="n">
        <v>0</v>
      </c>
      <c r="R4612" t="n">
        <v>185.15</v>
      </c>
      <c r="S4612" t="n">
        <v>87.55</v>
      </c>
      <c r="T4612" t="n">
        <v>0</v>
      </c>
      <c r="U4612" t="n">
        <v>272.7</v>
      </c>
      <c r="X4612" t="inlineStr">
        <is>
          <t>acoa-apeca</t>
        </is>
      </c>
      <c r="Y4612" t="inlineStr">
        <is>
          <t>Atlantic Canada Opportunities Agency | Agence de promotion économique du Canada atlantique</t>
        </is>
      </c>
      <c r="Z4612" t="n">
        <v>2</v>
      </c>
      <c r="AA4612" t="n">
        <v>272.7</v>
      </c>
      <c r="AB4612">
        <f>ROUND(U4612-AA4612,2)</f>
        <v/>
      </c>
      <c r="AC4612" t="b">
        <v>0</v>
      </c>
      <c r="AD4612">
        <f>IF(U4612="","MISSING_TOTAL",IF(ABS(AB4612)&lt;=0.01,"OK","CHECK"))</f>
        <v/>
      </c>
      <c r="AE4612">
        <f>IF(U4612="","MISSING",IF(AND(AA4612&gt;0,U4612/AA4612&gt;50),"POSSIBLE_SCALE_ERROR","OK"))</f>
        <v/>
      </c>
    </row>
    <row r="4613">
      <c r="A4613" t="inlineStr">
        <is>
          <t>T-2019-Q3-00052</t>
        </is>
      </c>
      <c r="B4613" t="inlineStr">
        <is>
          <t>SLE</t>
        </is>
      </c>
      <c r="C4613" t="inlineStr">
        <is>
          <t>Vice-President, Nova Scotia</t>
        </is>
      </c>
      <c r="D4613" t="inlineStr">
        <is>
          <t>Vice-président, Nouvelle-Écosse</t>
        </is>
      </c>
      <c r="E4613" t="inlineStr">
        <is>
          <t>Chuck Maillet</t>
        </is>
      </c>
      <c r="F4613" t="inlineStr">
        <is>
          <t>Meetings with Agency officials</t>
        </is>
      </c>
      <c r="G4613" t="inlineStr">
        <is>
          <t>Réunions avec des fonctionnaires de l'Agence</t>
        </is>
      </c>
      <c r="H4613" s="1" t="n">
        <v>43389</v>
      </c>
      <c r="I4613" s="1" t="n">
        <v>43391</v>
      </c>
      <c r="J4613" t="inlineStr">
        <is>
          <t>Moncton, New Brunswick</t>
        </is>
      </c>
      <c r="K4613" t="inlineStr">
        <is>
          <t>Moncton (Nouveau-Brunswick)</t>
        </is>
      </c>
      <c r="P4613" t="n">
        <v>0</v>
      </c>
      <c r="Q4613" t="n">
        <v>34.5</v>
      </c>
      <c r="R4613" t="n">
        <v>303.6</v>
      </c>
      <c r="S4613" t="n">
        <v>172.15</v>
      </c>
      <c r="T4613" t="n">
        <v>0</v>
      </c>
      <c r="U4613" t="n">
        <v>510.25</v>
      </c>
      <c r="X4613" t="inlineStr">
        <is>
          <t>acoa-apeca</t>
        </is>
      </c>
      <c r="Y4613" t="inlineStr">
        <is>
          <t>Atlantic Canada Opportunities Agency | Agence de promotion économique du Canada atlantique</t>
        </is>
      </c>
      <c r="Z4613" t="n">
        <v>3</v>
      </c>
      <c r="AA4613" t="n">
        <v>510.25</v>
      </c>
      <c r="AB4613">
        <f>ROUND(U4613-AA4613,2)</f>
        <v/>
      </c>
      <c r="AC4613" t="b">
        <v>0</v>
      </c>
      <c r="AD4613">
        <f>IF(U4613="","MISSING_TOTAL",IF(ABS(AB4613)&lt;=0.01,"OK","CHECK"))</f>
        <v/>
      </c>
      <c r="AE4613">
        <f>IF(U4613="","MISSING",IF(AND(AA4613&gt;0,U4613/AA4613&gt;50),"POSSIBLE_SCALE_ERROR","OK"))</f>
        <v/>
      </c>
    </row>
    <row r="4614">
      <c r="A4614" t="inlineStr">
        <is>
          <t>T-2019-Q3-00051</t>
        </is>
      </c>
      <c r="B4614" t="inlineStr">
        <is>
          <t>SLE</t>
        </is>
      </c>
      <c r="C4614" t="inlineStr">
        <is>
          <t>Vice-President, Nova Scotia</t>
        </is>
      </c>
      <c r="D4614" t="inlineStr">
        <is>
          <t>Vice-président, Nouvelle-Écosse</t>
        </is>
      </c>
      <c r="E4614" t="inlineStr">
        <is>
          <t>Chuck Maillet</t>
        </is>
      </c>
      <c r="F4614" t="inlineStr">
        <is>
          <t>Various meetings with stakeholders</t>
        </is>
      </c>
      <c r="G4614" t="inlineStr">
        <is>
          <t>Diverses réunions avec des intervenants</t>
        </is>
      </c>
      <c r="H4614" s="1" t="n">
        <v>43363</v>
      </c>
      <c r="I4614" s="1" t="n">
        <v>43364</v>
      </c>
      <c r="J4614" t="inlineStr">
        <is>
          <t>Corner Brook and Deer Lake, Newfoundland and Labrador</t>
        </is>
      </c>
      <c r="K4614" t="inlineStr">
        <is>
          <t>Corner Brook et Deer Lake (Terre-Neuve-et-Labrador)</t>
        </is>
      </c>
      <c r="P4614" t="n">
        <v>448.79</v>
      </c>
      <c r="Q4614" t="n">
        <v>79.13</v>
      </c>
      <c r="R4614" t="n">
        <v>174.9</v>
      </c>
      <c r="S4614" t="n">
        <v>73.25</v>
      </c>
      <c r="T4614" t="n">
        <v>0</v>
      </c>
      <c r="U4614" t="n">
        <v>776.0700000000001</v>
      </c>
      <c r="X4614" t="inlineStr">
        <is>
          <t>acoa-apeca</t>
        </is>
      </c>
      <c r="Y4614" t="inlineStr">
        <is>
          <t>Atlantic Canada Opportunities Agency | Agence de promotion économique du Canada atlantique</t>
        </is>
      </c>
      <c r="Z4614" t="n">
        <v>2</v>
      </c>
      <c r="AA4614" t="n">
        <v>776.0700000000001</v>
      </c>
      <c r="AB4614">
        <f>ROUND(U4614-AA4614,2)</f>
        <v/>
      </c>
      <c r="AC4614" t="b">
        <v>0</v>
      </c>
      <c r="AD4614">
        <f>IF(U4614="","MISSING_TOTAL",IF(ABS(AB4614)&lt;=0.01,"OK","CHECK"))</f>
        <v/>
      </c>
      <c r="AE4614">
        <f>IF(U4614="","MISSING",IF(AND(AA4614&gt;0,U4614/AA4614&gt;50),"POSSIBLE_SCALE_ERROR","OK"))</f>
        <v/>
      </c>
    </row>
    <row r="4615">
      <c r="A4615" t="inlineStr">
        <is>
          <t>T-2019-Q2-00055</t>
        </is>
      </c>
      <c r="B4615" t="inlineStr">
        <is>
          <t>SLE</t>
        </is>
      </c>
      <c r="C4615" t="inlineStr">
        <is>
          <t>Vice-President, Nova Scotia</t>
        </is>
      </c>
      <c r="D4615" t="inlineStr">
        <is>
          <t>Vice-président, Nouvelle-Écosse</t>
        </is>
      </c>
      <c r="E4615" t="inlineStr">
        <is>
          <t>Chuck Maillet</t>
        </is>
      </c>
      <c r="F4615" t="inlineStr">
        <is>
          <t>Various meetings with Agency officials and clients</t>
        </is>
      </c>
      <c r="G4615" t="inlineStr">
        <is>
          <t>Diverses réunions avec des fonctionnaires de l'Agence et des clients</t>
        </is>
      </c>
      <c r="H4615" s="1" t="n">
        <v>43341</v>
      </c>
      <c r="I4615" s="1" t="n">
        <v>43342</v>
      </c>
      <c r="J4615" t="inlineStr">
        <is>
          <t>Sydney, Nova Scotia</t>
        </is>
      </c>
      <c r="K4615" t="inlineStr">
        <is>
          <t>Sydney (Nouvelle-Écosse)</t>
        </is>
      </c>
      <c r="P4615" t="n">
        <v>560.5700000000001</v>
      </c>
      <c r="Q4615" t="n">
        <v>15</v>
      </c>
      <c r="R4615" t="n">
        <v>164.47</v>
      </c>
      <c r="S4615" t="n">
        <v>140.85</v>
      </c>
      <c r="T4615" t="n">
        <v>0</v>
      </c>
      <c r="U4615" t="n">
        <v>880.89</v>
      </c>
      <c r="X4615" t="inlineStr">
        <is>
          <t>acoa-apeca</t>
        </is>
      </c>
      <c r="Y4615" t="inlineStr">
        <is>
          <t>Atlantic Canada Opportunities Agency | Agence de promotion économique du Canada atlantique</t>
        </is>
      </c>
      <c r="Z4615" t="n">
        <v>2</v>
      </c>
      <c r="AA4615" t="n">
        <v>880.89</v>
      </c>
      <c r="AB4615">
        <f>ROUND(U4615-AA4615,2)</f>
        <v/>
      </c>
      <c r="AC4615" t="b">
        <v>0</v>
      </c>
      <c r="AD4615">
        <f>IF(U4615="","MISSING_TOTAL",IF(ABS(AB4615)&lt;=0.01,"OK","CHECK"))</f>
        <v/>
      </c>
      <c r="AE4615">
        <f>IF(U4615="","MISSING",IF(AND(AA4615&gt;0,U4615/AA4615&gt;50),"POSSIBLE_SCALE_ERROR","OK"))</f>
        <v/>
      </c>
    </row>
    <row r="4616">
      <c r="A4616" t="inlineStr">
        <is>
          <t>T-2019-Q3-00049</t>
        </is>
      </c>
      <c r="B4616" t="inlineStr">
        <is>
          <t>SLE</t>
        </is>
      </c>
      <c r="C4616" t="inlineStr">
        <is>
          <t>Vice-President, Nova Scotia</t>
        </is>
      </c>
      <c r="D4616" t="inlineStr">
        <is>
          <t>Vice-président, Nouvelle-Écosse</t>
        </is>
      </c>
      <c r="E4616" t="inlineStr">
        <is>
          <t>Chuck Maillet</t>
        </is>
      </c>
      <c r="F4616" t="inlineStr">
        <is>
          <t>Various meetings with Government of Canada officials and key stakeholders</t>
        </is>
      </c>
      <c r="G4616" t="inlineStr">
        <is>
          <t>Diverses réunions avec des fonctionnaires fédéraux et des intervenants clés</t>
        </is>
      </c>
      <c r="H4616" s="1" t="n">
        <v>43360</v>
      </c>
      <c r="I4616" s="1" t="n">
        <v>43362</v>
      </c>
      <c r="J4616" t="inlineStr">
        <is>
          <t>Montreal, Quebec</t>
        </is>
      </c>
      <c r="K4616" t="inlineStr">
        <is>
          <t>Montréal (Québec)</t>
        </is>
      </c>
      <c r="P4616" t="n">
        <v>1122.63</v>
      </c>
      <c r="Q4616" t="n">
        <v>99.5</v>
      </c>
      <c r="R4616" t="n">
        <v>473.64</v>
      </c>
      <c r="S4616" t="n">
        <v>273.65</v>
      </c>
      <c r="T4616" t="n">
        <v>0</v>
      </c>
      <c r="U4616" t="n">
        <v>1969.42</v>
      </c>
      <c r="X4616" t="inlineStr">
        <is>
          <t>acoa-apeca</t>
        </is>
      </c>
      <c r="Y4616" t="inlineStr">
        <is>
          <t>Atlantic Canada Opportunities Agency | Agence de promotion économique du Canada atlantique</t>
        </is>
      </c>
      <c r="Z4616" t="n">
        <v>3</v>
      </c>
      <c r="AA4616" t="n">
        <v>1969.42</v>
      </c>
      <c r="AB4616">
        <f>ROUND(U4616-AA4616,2)</f>
        <v/>
      </c>
      <c r="AC4616" t="b">
        <v>0</v>
      </c>
      <c r="AD4616">
        <f>IF(U4616="","MISSING_TOTAL",IF(ABS(AB4616)&lt;=0.01,"OK","CHECK"))</f>
        <v/>
      </c>
      <c r="AE4616">
        <f>IF(U4616="","MISSING",IF(AND(AA4616&gt;0,U4616/AA4616&gt;50),"POSSIBLE_SCALE_ERROR","OK"))</f>
        <v/>
      </c>
    </row>
    <row r="4617">
      <c r="A4617" t="inlineStr">
        <is>
          <t>T-2019-Q3-00048</t>
        </is>
      </c>
      <c r="B4617" t="inlineStr">
        <is>
          <t>SLE</t>
        </is>
      </c>
      <c r="C4617" t="inlineStr">
        <is>
          <t>Vice-President, Nova Scotia</t>
        </is>
      </c>
      <c r="D4617" t="inlineStr">
        <is>
          <t>Vice-président, Nouvelle-Écosse</t>
        </is>
      </c>
      <c r="E4617" t="inlineStr">
        <is>
          <t>Chuck Maillet</t>
        </is>
      </c>
      <c r="F4617" t="inlineStr">
        <is>
          <t>Various meetings with bilateral stakeholders</t>
        </is>
      </c>
      <c r="G4617" t="inlineStr">
        <is>
          <t>Diverses réunions avec des intervenants bilatéraux</t>
        </is>
      </c>
      <c r="H4617" s="1" t="n">
        <v>43346</v>
      </c>
      <c r="I4617" s="1" t="n">
        <v>43349</v>
      </c>
      <c r="J4617" t="inlineStr">
        <is>
          <t>St. John's, Newfoundland and Labrador; Saint-Pierre et Miquelon, France</t>
        </is>
      </c>
      <c r="K4617" t="inlineStr">
        <is>
          <t>St. John's (Terre-Neuve-et-Labrador); Saint-Pierre et Miquelon (France)</t>
        </is>
      </c>
      <c r="P4617" t="n">
        <v>881.66</v>
      </c>
      <c r="Q4617" t="n">
        <v>579.3099999999999</v>
      </c>
      <c r="R4617" t="n">
        <v>555.08</v>
      </c>
      <c r="S4617" t="n">
        <v>393.53</v>
      </c>
      <c r="T4617" t="n">
        <v>53.51</v>
      </c>
      <c r="U4617" t="n">
        <v>2463.09</v>
      </c>
      <c r="X4617" t="inlineStr">
        <is>
          <t>acoa-apeca</t>
        </is>
      </c>
      <c r="Y4617" t="inlineStr">
        <is>
          <t>Atlantic Canada Opportunities Agency | Agence de promotion économique du Canada atlantique</t>
        </is>
      </c>
      <c r="Z4617" t="n">
        <v>4</v>
      </c>
      <c r="AA4617" t="n">
        <v>2463.09</v>
      </c>
      <c r="AB4617">
        <f>ROUND(U4617-AA4617,2)</f>
        <v/>
      </c>
      <c r="AC4617" t="b">
        <v>0</v>
      </c>
      <c r="AD4617">
        <f>IF(U4617="","MISSING_TOTAL",IF(ABS(AB4617)&lt;=0.01,"OK","CHECK"))</f>
        <v/>
      </c>
      <c r="AE4617">
        <f>IF(U4617="","MISSING",IF(AND(AA4617&gt;0,U4617/AA4617&gt;50),"POSSIBLE_SCALE_ERROR","OK"))</f>
        <v/>
      </c>
    </row>
    <row r="4618">
      <c r="A4618" t="inlineStr">
        <is>
          <t>T-2019-Q3-00033</t>
        </is>
      </c>
      <c r="B4618" t="inlineStr">
        <is>
          <t>SLE</t>
        </is>
      </c>
      <c r="C4618" t="inlineStr">
        <is>
          <t>Vice-President, Policy, Programs and Communications</t>
        </is>
      </c>
      <c r="D4618" t="inlineStr">
        <is>
          <t>Vice-président, Politiques et Programmes</t>
        </is>
      </c>
      <c r="E4618" t="inlineStr">
        <is>
          <t>Daryell Nowlan</t>
        </is>
      </c>
      <c r="F4618" t="inlineStr">
        <is>
          <t>Trade mission to China</t>
        </is>
      </c>
      <c r="G4618" t="inlineStr">
        <is>
          <t>Mission commerciale en Chine</t>
        </is>
      </c>
      <c r="H4618" s="1" t="n">
        <v>43409</v>
      </c>
      <c r="I4618" s="1" t="n">
        <v>43417</v>
      </c>
      <c r="J4618" t="inlineStr">
        <is>
          <t>Qingdao, Shanghai and Beijing, China</t>
        </is>
      </c>
      <c r="K4618" t="inlineStr">
        <is>
          <t>Qingdao, Shanghai et Beijing (Chine)</t>
        </is>
      </c>
      <c r="P4618" t="n">
        <v>8695.17</v>
      </c>
      <c r="Q4618" t="n">
        <v>45</v>
      </c>
      <c r="R4618" t="n">
        <v>2271.57</v>
      </c>
      <c r="S4618" t="n">
        <v>928.33</v>
      </c>
      <c r="T4618" t="n">
        <v>163.28</v>
      </c>
      <c r="U4618" t="n">
        <v>12103.35</v>
      </c>
      <c r="X4618" t="inlineStr">
        <is>
          <t>acoa-apeca</t>
        </is>
      </c>
      <c r="Y4618" t="inlineStr">
        <is>
          <t>Atlantic Canada Opportunities Agency | Agence de promotion économique du Canada atlantique</t>
        </is>
      </c>
      <c r="Z4618" t="n">
        <v>9</v>
      </c>
      <c r="AA4618" t="n">
        <v>12103.35</v>
      </c>
      <c r="AB4618">
        <f>ROUND(U4618-AA4618,2)</f>
        <v/>
      </c>
      <c r="AC4618" t="b">
        <v>0</v>
      </c>
      <c r="AD4618">
        <f>IF(U4618="","MISSING_TOTAL",IF(ABS(AB4618)&lt;=0.01,"OK","CHECK"))</f>
        <v/>
      </c>
      <c r="AE4618">
        <f>IF(U4618="","MISSING",IF(AND(AA4618&gt;0,U4618/AA4618&gt;50),"POSSIBLE_SCALE_ERROR","OK"))</f>
        <v/>
      </c>
    </row>
    <row r="4619">
      <c r="A4619" t="inlineStr">
        <is>
          <t>T-2019-Q3-00031</t>
        </is>
      </c>
      <c r="B4619" t="inlineStr">
        <is>
          <t>SLE</t>
        </is>
      </c>
      <c r="C4619" t="inlineStr">
        <is>
          <t>Vice-President, Policy, Programs and Communications</t>
        </is>
      </c>
      <c r="D4619" t="inlineStr">
        <is>
          <t>Vice-président, Politiques et Programmes</t>
        </is>
      </c>
      <c r="E4619" t="inlineStr">
        <is>
          <t>Daryell Nowlan</t>
        </is>
      </c>
      <c r="F4619" t="inlineStr">
        <is>
          <t>Meetings with Government of Canada officials</t>
        </is>
      </c>
      <c r="G4619" t="inlineStr">
        <is>
          <t>Réunions avec des fonctionnaires fédéraux</t>
        </is>
      </c>
      <c r="H4619" s="1" t="n">
        <v>43402</v>
      </c>
      <c r="I4619" s="1" t="n">
        <v>43404</v>
      </c>
      <c r="J4619" t="inlineStr">
        <is>
          <t>Ottawa, Ontario</t>
        </is>
      </c>
      <c r="K4619" t="inlineStr">
        <is>
          <t>Ottawa (Ontario)</t>
        </is>
      </c>
      <c r="P4619" t="n">
        <v>726.8</v>
      </c>
      <c r="Q4619" t="n">
        <v>108.49</v>
      </c>
      <c r="R4619" t="n">
        <v>467.72</v>
      </c>
      <c r="S4619" t="n">
        <v>241.6</v>
      </c>
      <c r="T4619" t="n">
        <v>0</v>
      </c>
      <c r="U4619" t="n">
        <v>1544.61</v>
      </c>
      <c r="X4619" t="inlineStr">
        <is>
          <t>acoa-apeca</t>
        </is>
      </c>
      <c r="Y4619" t="inlineStr">
        <is>
          <t>Atlantic Canada Opportunities Agency | Agence de promotion économique du Canada atlantique</t>
        </is>
      </c>
      <c r="Z4619" t="n">
        <v>3</v>
      </c>
      <c r="AA4619" t="n">
        <v>1544.61</v>
      </c>
      <c r="AB4619">
        <f>ROUND(U4619-AA4619,2)</f>
        <v/>
      </c>
      <c r="AC4619" t="b">
        <v>0</v>
      </c>
      <c r="AD4619">
        <f>IF(U4619="","MISSING_TOTAL",IF(ABS(AB4619)&lt;=0.01,"OK","CHECK"))</f>
        <v/>
      </c>
      <c r="AE4619">
        <f>IF(U4619="","MISSING",IF(AND(AA4619&gt;0,U4619/AA4619&gt;50),"POSSIBLE_SCALE_ERROR","OK"))</f>
        <v/>
      </c>
    </row>
    <row r="4620">
      <c r="A4620" t="inlineStr">
        <is>
          <t>T-2019-Q3-00012</t>
        </is>
      </c>
      <c r="B4620" t="inlineStr">
        <is>
          <t>SLE</t>
        </is>
      </c>
      <c r="C4620" t="inlineStr">
        <is>
          <t>Vice-President, Policy, Programs and Communications</t>
        </is>
      </c>
      <c r="D4620" t="inlineStr">
        <is>
          <t>Vice-président, Politiques et Programmes</t>
        </is>
      </c>
      <c r="E4620" t="inlineStr">
        <is>
          <t>Daryell Nowlan</t>
        </is>
      </c>
      <c r="F4620" t="inlineStr">
        <is>
          <t>Meetings with Government of Canada officials and private sector officials</t>
        </is>
      </c>
      <c r="G4620" t="inlineStr">
        <is>
          <t>Réunions avec des fonctionnaires fédéraux et des représentants du secteur privé</t>
        </is>
      </c>
      <c r="H4620" s="1" t="n">
        <v>43367</v>
      </c>
      <c r="I4620" s="1" t="n">
        <v>43371</v>
      </c>
      <c r="J4620" t="inlineStr">
        <is>
          <t>Halifax, Nova Scotia and Ottawa, Ontario</t>
        </is>
      </c>
      <c r="K4620" t="inlineStr">
        <is>
          <t>Halifax (Nouvelle-Écosse) et Ottawa (Ontario)</t>
        </is>
      </c>
      <c r="P4620" t="n">
        <v>1090.2</v>
      </c>
      <c r="Q4620" t="n">
        <v>141.5</v>
      </c>
      <c r="R4620" t="n">
        <v>901.74</v>
      </c>
      <c r="S4620" t="n">
        <v>423.75</v>
      </c>
      <c r="T4620" t="n">
        <v>0</v>
      </c>
      <c r="U4620" t="n">
        <v>2557.19</v>
      </c>
      <c r="X4620" t="inlineStr">
        <is>
          <t>acoa-apeca</t>
        </is>
      </c>
      <c r="Y4620" t="inlineStr">
        <is>
          <t>Atlantic Canada Opportunities Agency | Agence de promotion économique du Canada atlantique</t>
        </is>
      </c>
      <c r="Z4620" t="n">
        <v>5</v>
      </c>
      <c r="AA4620" t="n">
        <v>2557.19</v>
      </c>
      <c r="AB4620">
        <f>ROUND(U4620-AA4620,2)</f>
        <v/>
      </c>
      <c r="AC4620" t="b">
        <v>0</v>
      </c>
      <c r="AD4620">
        <f>IF(U4620="","MISSING_TOTAL",IF(ABS(AB4620)&lt;=0.01,"OK","CHECK"))</f>
        <v/>
      </c>
      <c r="AE4620">
        <f>IF(U4620="","MISSING",IF(AND(AA4620&gt;0,U4620/AA4620&gt;50),"POSSIBLE_SCALE_ERROR","OK"))</f>
        <v/>
      </c>
    </row>
    <row r="4621">
      <c r="A4621" t="inlineStr">
        <is>
          <t>T-2019-Q3-00011</t>
        </is>
      </c>
      <c r="B4621" t="inlineStr">
        <is>
          <t>SLE</t>
        </is>
      </c>
      <c r="C4621" t="inlineStr">
        <is>
          <t>Vice-President, Policy, Programs and Communications</t>
        </is>
      </c>
      <c r="D4621" t="inlineStr">
        <is>
          <t>Vice-président, Politiques et Programmes</t>
        </is>
      </c>
      <c r="E4621" t="inlineStr">
        <is>
          <t>Daryell Nowlan</t>
        </is>
      </c>
      <c r="F4621" t="inlineStr">
        <is>
          <t>Meetings with Government of Canada officials</t>
        </is>
      </c>
      <c r="G4621" t="inlineStr">
        <is>
          <t>Réunions avec des fonctionnaires fédéraux</t>
        </is>
      </c>
      <c r="H4621" s="1" t="n">
        <v>43360</v>
      </c>
      <c r="I4621" s="1" t="n">
        <v>43363</v>
      </c>
      <c r="J4621" t="inlineStr">
        <is>
          <t>Ottawa, Ontario</t>
        </is>
      </c>
      <c r="K4621" t="inlineStr">
        <is>
          <t>Ottawa (Ontario)</t>
        </is>
      </c>
      <c r="P4621" t="n">
        <v>803.17</v>
      </c>
      <c r="Q4621" t="n">
        <v>121.08</v>
      </c>
      <c r="R4621" t="n">
        <v>842.61</v>
      </c>
      <c r="S4621" t="n">
        <v>319.65</v>
      </c>
      <c r="T4621" t="n">
        <v>0</v>
      </c>
      <c r="U4621" t="n">
        <v>2086.51</v>
      </c>
      <c r="X4621" t="inlineStr">
        <is>
          <t>acoa-apeca</t>
        </is>
      </c>
      <c r="Y4621" t="inlineStr">
        <is>
          <t>Atlantic Canada Opportunities Agency | Agence de promotion économique du Canada atlantique</t>
        </is>
      </c>
      <c r="Z4621" t="n">
        <v>4</v>
      </c>
      <c r="AA4621" t="n">
        <v>2086.51</v>
      </c>
      <c r="AB4621">
        <f>ROUND(U4621-AA4621,2)</f>
        <v/>
      </c>
      <c r="AC4621" t="b">
        <v>0</v>
      </c>
      <c r="AD4621">
        <f>IF(U4621="","MISSING_TOTAL",IF(ABS(AB4621)&lt;=0.01,"OK","CHECK"))</f>
        <v/>
      </c>
      <c r="AE4621">
        <f>IF(U4621="","MISSING",IF(AND(AA4621&gt;0,U4621/AA4621&gt;50),"POSSIBLE_SCALE_ERROR","OK"))</f>
        <v/>
      </c>
    </row>
    <row r="4622">
      <c r="A4622" t="inlineStr">
        <is>
          <t>T-2019-Q3-00005</t>
        </is>
      </c>
      <c r="B4622" t="inlineStr">
        <is>
          <t>SLE</t>
        </is>
      </c>
      <c r="C4622" t="inlineStr">
        <is>
          <t>Vice-President, Policy, Programs and Communications</t>
        </is>
      </c>
      <c r="D4622" t="inlineStr">
        <is>
          <t>Vice-président, Politiques et Programmes</t>
        </is>
      </c>
      <c r="E4622" t="inlineStr">
        <is>
          <t>Daryell Nowlan</t>
        </is>
      </c>
      <c r="F4622" t="inlineStr">
        <is>
          <t>Atlantic Federal Council</t>
        </is>
      </c>
      <c r="G4622" t="inlineStr">
        <is>
          <t>Conseil fédéral de l'Atlantique</t>
        </is>
      </c>
      <c r="H4622" s="1" t="n">
        <v>43355</v>
      </c>
      <c r="I4622" s="1" t="n">
        <v>43356</v>
      </c>
      <c r="J4622" t="inlineStr">
        <is>
          <t>Charlottetown, Prince Edward Island</t>
        </is>
      </c>
      <c r="K4622" t="inlineStr">
        <is>
          <t>Charlottetown (Île-du-Prince-Édouard)</t>
        </is>
      </c>
      <c r="P4622" t="n">
        <v>0</v>
      </c>
      <c r="Q4622" t="n">
        <v>202.48</v>
      </c>
      <c r="R4622" t="n">
        <v>330.48</v>
      </c>
      <c r="S4622" t="n">
        <v>102.2</v>
      </c>
      <c r="T4622" t="n">
        <v>0</v>
      </c>
      <c r="U4622" t="n">
        <v>635.16</v>
      </c>
      <c r="X4622" t="inlineStr">
        <is>
          <t>acoa-apeca</t>
        </is>
      </c>
      <c r="Y4622" t="inlineStr">
        <is>
          <t>Atlantic Canada Opportunities Agency | Agence de promotion économique du Canada atlantique</t>
        </is>
      </c>
      <c r="Z4622" t="n">
        <v>2</v>
      </c>
      <c r="AA4622" t="n">
        <v>635.16</v>
      </c>
      <c r="AB4622">
        <f>ROUND(U4622-AA4622,2)</f>
        <v/>
      </c>
      <c r="AC4622" t="b">
        <v>0</v>
      </c>
      <c r="AD4622">
        <f>IF(U4622="","MISSING_TOTAL",IF(ABS(AB4622)&lt;=0.01,"OK","CHECK"))</f>
        <v/>
      </c>
      <c r="AE4622">
        <f>IF(U4622="","MISSING",IF(AND(AA4622&gt;0,U4622/AA4622&gt;50),"POSSIBLE_SCALE_ERROR","OK"))</f>
        <v/>
      </c>
    </row>
    <row r="4623">
      <c r="A4623" t="inlineStr">
        <is>
          <t>T-2019-Q3-00004</t>
        </is>
      </c>
      <c r="B4623" t="inlineStr">
        <is>
          <t>SLE</t>
        </is>
      </c>
      <c r="C4623" t="inlineStr">
        <is>
          <t>Vice-President, Policy, Programs and Communications</t>
        </is>
      </c>
      <c r="D4623" t="inlineStr">
        <is>
          <t>Vice-président, Politiques et Programmes</t>
        </is>
      </c>
      <c r="E4623" t="inlineStr">
        <is>
          <t>Daryell Nowlan</t>
        </is>
      </c>
      <c r="F4623" t="inlineStr">
        <is>
          <t>Meetings with Government of Canada officials</t>
        </is>
      </c>
      <c r="G4623" t="inlineStr">
        <is>
          <t>Réunions avec des fonctionnaires du gouvernement du Canada</t>
        </is>
      </c>
      <c r="H4623" s="1" t="n">
        <v>43349</v>
      </c>
      <c r="I4623" s="1" t="n">
        <v>43350</v>
      </c>
      <c r="J4623" t="inlineStr">
        <is>
          <t>Ottawa, Ontario</t>
        </is>
      </c>
      <c r="K4623" t="inlineStr">
        <is>
          <t>Ottawa (Ontario)</t>
        </is>
      </c>
      <c r="P4623" t="n">
        <v>726.8</v>
      </c>
      <c r="Q4623" t="n">
        <v>99.84999999999999</v>
      </c>
      <c r="R4623" t="n">
        <v>222.11</v>
      </c>
      <c r="S4623" t="n">
        <v>169.3</v>
      </c>
      <c r="T4623" t="n">
        <v>0</v>
      </c>
      <c r="U4623" t="n">
        <v>1218.06</v>
      </c>
      <c r="X4623" t="inlineStr">
        <is>
          <t>acoa-apeca</t>
        </is>
      </c>
      <c r="Y4623" t="inlineStr">
        <is>
          <t>Atlantic Canada Opportunities Agency | Agence de promotion économique du Canada atlantique</t>
        </is>
      </c>
      <c r="Z4623" t="n">
        <v>2</v>
      </c>
      <c r="AA4623" t="n">
        <v>1218.06</v>
      </c>
      <c r="AB4623">
        <f>ROUND(U4623-AA4623,2)</f>
        <v/>
      </c>
      <c r="AC4623" t="b">
        <v>0</v>
      </c>
      <c r="AD4623">
        <f>IF(U4623="","MISSING_TOTAL",IF(ABS(AB4623)&lt;=0.01,"OK","CHECK"))</f>
        <v/>
      </c>
      <c r="AE4623">
        <f>IF(U4623="","MISSING",IF(AND(AA4623&gt;0,U4623/AA4623&gt;50),"POSSIBLE_SCALE_ERROR","OK"))</f>
        <v/>
      </c>
    </row>
    <row r="4624">
      <c r="A4624" t="inlineStr">
        <is>
          <t>T-2019-Q2-00025</t>
        </is>
      </c>
      <c r="B4624" t="inlineStr">
        <is>
          <t>SLE</t>
        </is>
      </c>
      <c r="C4624" t="inlineStr">
        <is>
          <t>President</t>
        </is>
      </c>
      <c r="D4624" t="inlineStr">
        <is>
          <t>Président</t>
        </is>
      </c>
      <c r="E4624" t="inlineStr">
        <is>
          <t>Francis McGuire</t>
        </is>
      </c>
      <c r="F4624" t="inlineStr">
        <is>
          <t>Meetings with Agency officials and key stakeholders</t>
        </is>
      </c>
      <c r="G4624" t="inlineStr">
        <is>
          <t>Réunions avec des fonctionnaires de l'Agence et des intervenants clés</t>
        </is>
      </c>
      <c r="H4624" s="1" t="n">
        <v>43311</v>
      </c>
      <c r="I4624" s="1" t="n">
        <v>43314</v>
      </c>
      <c r="J4624" t="inlineStr">
        <is>
          <t>Nackawic, New Brunswick; Halifax, Nova Scotia</t>
        </is>
      </c>
      <c r="K4624" t="inlineStr">
        <is>
          <t>Nackawic (Nouveau-Brunswick); Halifax (Nouvelle-Écosse)</t>
        </is>
      </c>
      <c r="P4624" t="n">
        <v>0</v>
      </c>
      <c r="Q4624" t="n">
        <v>448.96</v>
      </c>
      <c r="R4624" t="n">
        <v>228.74</v>
      </c>
      <c r="S4624" t="n">
        <v>140.6</v>
      </c>
      <c r="T4624" t="n">
        <v>0</v>
      </c>
      <c r="U4624" t="n">
        <v>818.3</v>
      </c>
      <c r="X4624" t="inlineStr">
        <is>
          <t>acoa-apeca</t>
        </is>
      </c>
      <c r="Y4624" t="inlineStr">
        <is>
          <t>Atlantic Canada Opportunities Agency | Agence de promotion économique du Canada atlantique</t>
        </is>
      </c>
      <c r="Z4624" t="n">
        <v>4</v>
      </c>
      <c r="AA4624" t="n">
        <v>818.3</v>
      </c>
      <c r="AB4624">
        <f>ROUND(U4624-AA4624,2)</f>
        <v/>
      </c>
      <c r="AC4624" t="b">
        <v>0</v>
      </c>
      <c r="AD4624">
        <f>IF(U4624="","MISSING_TOTAL",IF(ABS(AB4624)&lt;=0.01,"OK","CHECK"))</f>
        <v/>
      </c>
      <c r="AE4624">
        <f>IF(U4624="","MISSING",IF(AND(AA4624&gt;0,U4624/AA4624&gt;50),"POSSIBLE_SCALE_ERROR","OK"))</f>
        <v/>
      </c>
    </row>
    <row r="4625">
      <c r="A4625" t="inlineStr">
        <is>
          <t>T-2019-Q2-00035</t>
        </is>
      </c>
      <c r="B4625" t="inlineStr">
        <is>
          <t>SLE</t>
        </is>
      </c>
      <c r="C4625" t="inlineStr">
        <is>
          <t>President</t>
        </is>
      </c>
      <c r="D4625" t="inlineStr">
        <is>
          <t>Président</t>
        </is>
      </c>
      <c r="E4625" t="inlineStr">
        <is>
          <t>Francis McGuire</t>
        </is>
      </c>
      <c r="F4625" t="inlineStr">
        <is>
          <t>For meetings with Agency officials and officials from the education sector</t>
        </is>
      </c>
      <c r="G4625" t="inlineStr">
        <is>
          <t>Réunions avec des fonctionnaires de l'Agence et des représentants du secteur de l'éducation</t>
        </is>
      </c>
      <c r="H4625" s="1" t="n">
        <v>43332</v>
      </c>
      <c r="I4625" s="1" t="n">
        <v>43333</v>
      </c>
      <c r="J4625" t="inlineStr">
        <is>
          <t>Charlottetown, Prince Edward Island</t>
        </is>
      </c>
      <c r="K4625" t="inlineStr">
        <is>
          <t>Charlottetown (Île-du-Prince-Édouard)</t>
        </is>
      </c>
      <c r="P4625" t="n">
        <v>0</v>
      </c>
      <c r="Q4625" t="n">
        <v>299.28</v>
      </c>
      <c r="R4625" t="n">
        <v>354.17</v>
      </c>
      <c r="S4625" t="n">
        <v>73.25</v>
      </c>
      <c r="T4625" t="n">
        <v>0</v>
      </c>
      <c r="U4625" t="n">
        <v>726.7</v>
      </c>
      <c r="X4625" t="inlineStr">
        <is>
          <t>acoa-apeca</t>
        </is>
      </c>
      <c r="Y4625" t="inlineStr">
        <is>
          <t>Atlantic Canada Opportunities Agency | Agence de promotion économique du Canada atlantique</t>
        </is>
      </c>
      <c r="Z4625" t="n">
        <v>2</v>
      </c>
      <c r="AA4625" t="n">
        <v>726.7</v>
      </c>
      <c r="AB4625">
        <f>ROUND(U4625-AA4625,2)</f>
        <v/>
      </c>
      <c r="AC4625" t="b">
        <v>0</v>
      </c>
      <c r="AD4625">
        <f>IF(U4625="","MISSING_TOTAL",IF(ABS(AB4625)&lt;=0.01,"OK","CHECK"))</f>
        <v/>
      </c>
      <c r="AE4625">
        <f>IF(U4625="","MISSING",IF(AND(AA4625&gt;0,U4625/AA4625&gt;50),"POSSIBLE_SCALE_ERROR","OK"))</f>
        <v/>
      </c>
    </row>
    <row r="4626">
      <c r="A4626" t="inlineStr">
        <is>
          <t>T-2019-Q2-00034</t>
        </is>
      </c>
      <c r="B4626" t="inlineStr">
        <is>
          <t>SLE</t>
        </is>
      </c>
      <c r="C4626" t="inlineStr">
        <is>
          <t>President</t>
        </is>
      </c>
      <c r="D4626" t="inlineStr">
        <is>
          <t>Président</t>
        </is>
      </c>
      <c r="E4626" t="inlineStr">
        <is>
          <t>Francis McGuire</t>
        </is>
      </c>
      <c r="F4626" t="inlineStr">
        <is>
          <t>Meetings with Agency officials and key stakeholders</t>
        </is>
      </c>
      <c r="G4626" t="inlineStr">
        <is>
          <t>Réunions avec des fonctionnaires de l'Agence et des intervenants clés</t>
        </is>
      </c>
      <c r="H4626" s="1" t="n">
        <v>43326</v>
      </c>
      <c r="I4626" s="1" t="n">
        <v>43328</v>
      </c>
      <c r="J4626" t="inlineStr">
        <is>
          <t>Halifax, Nova Scotia; Saint John, New Brunswick</t>
        </is>
      </c>
      <c r="K4626" t="inlineStr">
        <is>
          <t>Halifax (Nouvelle-Écosse); Saint John (Nouveau-Brunswick)</t>
        </is>
      </c>
      <c r="P4626" t="n">
        <v>0</v>
      </c>
      <c r="Q4626" t="n">
        <v>580.88</v>
      </c>
      <c r="R4626" t="n">
        <v>205.28</v>
      </c>
      <c r="S4626" t="n">
        <v>121.15</v>
      </c>
      <c r="T4626" t="n">
        <v>5.5</v>
      </c>
      <c r="U4626" t="n">
        <v>912.8099999999999</v>
      </c>
      <c r="X4626" t="inlineStr">
        <is>
          <t>acoa-apeca</t>
        </is>
      </c>
      <c r="Y4626" t="inlineStr">
        <is>
          <t>Atlantic Canada Opportunities Agency | Agence de promotion économique du Canada atlantique</t>
        </is>
      </c>
      <c r="Z4626" t="n">
        <v>3</v>
      </c>
      <c r="AA4626" t="n">
        <v>912.8099999999999</v>
      </c>
      <c r="AB4626">
        <f>ROUND(U4626-AA4626,2)</f>
        <v/>
      </c>
      <c r="AC4626" t="b">
        <v>0</v>
      </c>
      <c r="AD4626">
        <f>IF(U4626="","MISSING_TOTAL",IF(ABS(AB4626)&lt;=0.01,"OK","CHECK"))</f>
        <v/>
      </c>
      <c r="AE4626">
        <f>IF(U4626="","MISSING",IF(AND(AA4626&gt;0,U4626/AA4626&gt;50),"POSSIBLE_SCALE_ERROR","OK"))</f>
        <v/>
      </c>
    </row>
    <row r="4627">
      <c r="A4627" t="inlineStr">
        <is>
          <t>T-2019-Q3-00032</t>
        </is>
      </c>
      <c r="B4627" t="inlineStr">
        <is>
          <t>SLE</t>
        </is>
      </c>
      <c r="C4627" t="inlineStr">
        <is>
          <t>President</t>
        </is>
      </c>
      <c r="D4627" t="inlineStr">
        <is>
          <t>Président</t>
        </is>
      </c>
      <c r="E4627" t="inlineStr">
        <is>
          <t>Francis McGuire</t>
        </is>
      </c>
      <c r="F4627" t="inlineStr">
        <is>
          <t>Various meetings with Government of Canada officials</t>
        </is>
      </c>
      <c r="G4627" t="inlineStr">
        <is>
          <t>Diverses réunions avec des fonctionnaires fédéraux</t>
        </is>
      </c>
      <c r="H4627" s="1" t="n">
        <v>43403</v>
      </c>
      <c r="I4627" s="1" t="n">
        <v>43404</v>
      </c>
      <c r="J4627" t="inlineStr">
        <is>
          <t>Ottawa, Ontario</t>
        </is>
      </c>
      <c r="K4627" t="inlineStr">
        <is>
          <t>Ottawa (Ontario)</t>
        </is>
      </c>
      <c r="P4627" t="n">
        <v>937.49</v>
      </c>
      <c r="Q4627" t="n">
        <v>14.98</v>
      </c>
      <c r="R4627" t="n">
        <v>233.86</v>
      </c>
      <c r="S4627" t="n">
        <v>124.3</v>
      </c>
      <c r="T4627" t="n">
        <v>24</v>
      </c>
      <c r="U4627" t="n">
        <v>1334.63</v>
      </c>
      <c r="X4627" t="inlineStr">
        <is>
          <t>acoa-apeca</t>
        </is>
      </c>
      <c r="Y4627" t="inlineStr">
        <is>
          <t>Atlantic Canada Opportunities Agency | Agence de promotion économique du Canada atlantique</t>
        </is>
      </c>
      <c r="Z4627" t="n">
        <v>2</v>
      </c>
      <c r="AA4627" t="n">
        <v>1334.62999999999</v>
      </c>
      <c r="AB4627">
        <f>ROUND(U4627-AA4627,2)</f>
        <v/>
      </c>
      <c r="AC4627" t="b">
        <v>0</v>
      </c>
      <c r="AD4627">
        <f>IF(U4627="","MISSING_TOTAL",IF(ABS(AB4627)&lt;=0.01,"OK","CHECK"))</f>
        <v/>
      </c>
      <c r="AE4627">
        <f>IF(U4627="","MISSING",IF(AND(AA4627&gt;0,U4627/AA4627&gt;50),"POSSIBLE_SCALE_ERROR","OK"))</f>
        <v/>
      </c>
    </row>
    <row r="4628">
      <c r="A4628" t="inlineStr">
        <is>
          <t>T-2019-Q3-00028</t>
        </is>
      </c>
      <c r="B4628" t="inlineStr">
        <is>
          <t>SLE</t>
        </is>
      </c>
      <c r="C4628" t="inlineStr">
        <is>
          <t>President</t>
        </is>
      </c>
      <c r="D4628" t="inlineStr">
        <is>
          <t>Président</t>
        </is>
      </c>
      <c r="E4628" t="inlineStr">
        <is>
          <t>Francis McGuire</t>
        </is>
      </c>
      <c r="F4628" t="inlineStr">
        <is>
          <t>Northern Nova Scotia tour and site visits in St. John's, Newfoundland and Labrador</t>
        </is>
      </c>
      <c r="G4628" t="inlineStr">
        <is>
          <t>Tournée du nord de la Nouvelle-Écosse et visites des lieux à St. John's (Terre-Neuve-et-Labrador)</t>
        </is>
      </c>
      <c r="H4628" s="1" t="n">
        <v>43395</v>
      </c>
      <c r="I4628" s="1" t="n">
        <v>43399</v>
      </c>
      <c r="J4628" t="inlineStr">
        <is>
          <t>Halifax, Nova Scotia and St. John's, Newfoundland and Labrador</t>
        </is>
      </c>
      <c r="K4628" t="inlineStr">
        <is>
          <t>Halifax (Nouvelle-Écosse) et St. John's (Terre-Neuve-et-Labrador)</t>
        </is>
      </c>
      <c r="P4628" t="n">
        <v>974.51</v>
      </c>
      <c r="Q4628" t="n">
        <v>98.62</v>
      </c>
      <c r="R4628" t="n">
        <v>740.9299999999999</v>
      </c>
      <c r="S4628" t="n">
        <v>386.95</v>
      </c>
      <c r="T4628" t="n">
        <v>0</v>
      </c>
      <c r="U4628" t="n">
        <v>2201.01</v>
      </c>
      <c r="X4628" t="inlineStr">
        <is>
          <t>acoa-apeca</t>
        </is>
      </c>
      <c r="Y4628" t="inlineStr">
        <is>
          <t>Atlantic Canada Opportunities Agency | Agence de promotion économique du Canada atlantique</t>
        </is>
      </c>
      <c r="Z4628" t="n">
        <v>5</v>
      </c>
      <c r="AA4628" t="n">
        <v>2201.00999999999</v>
      </c>
      <c r="AB4628">
        <f>ROUND(U4628-AA4628,2)</f>
        <v/>
      </c>
      <c r="AC4628" t="b">
        <v>0</v>
      </c>
      <c r="AD4628">
        <f>IF(U4628="","MISSING_TOTAL",IF(ABS(AB4628)&lt;=0.01,"OK","CHECK"))</f>
        <v/>
      </c>
      <c r="AE4628">
        <f>IF(U4628="","MISSING",IF(AND(AA4628&gt;0,U4628/AA4628&gt;50),"POSSIBLE_SCALE_ERROR","OK"))</f>
        <v/>
      </c>
    </row>
    <row r="4629">
      <c r="A4629" t="inlineStr">
        <is>
          <t>T-2019-Q2-00042</t>
        </is>
      </c>
      <c r="B4629" t="inlineStr">
        <is>
          <t>SLE</t>
        </is>
      </c>
      <c r="C4629" t="inlineStr">
        <is>
          <t>President</t>
        </is>
      </c>
      <c r="D4629" t="inlineStr">
        <is>
          <t>Président</t>
        </is>
      </c>
      <c r="E4629" t="inlineStr">
        <is>
          <t>Francis McGuire</t>
        </is>
      </c>
      <c r="F4629" t="inlineStr">
        <is>
          <t>Meetings with Government of Canada officials</t>
        </is>
      </c>
      <c r="G4629" t="inlineStr">
        <is>
          <t>Réunions avec des fonctionnaires fédéraux</t>
        </is>
      </c>
      <c r="H4629" s="1" t="n">
        <v>43339</v>
      </c>
      <c r="I4629" s="1" t="n">
        <v>43341</v>
      </c>
      <c r="J4629" t="inlineStr">
        <is>
          <t>Ottawa, Ontario</t>
        </is>
      </c>
      <c r="K4629" t="inlineStr">
        <is>
          <t>Ottawa (Ontario)</t>
        </is>
      </c>
      <c r="P4629" t="n">
        <v>580.72</v>
      </c>
      <c r="Q4629" t="n">
        <v>40.14</v>
      </c>
      <c r="R4629" t="n">
        <v>467.72</v>
      </c>
      <c r="S4629" t="n">
        <v>225.25</v>
      </c>
      <c r="T4629" t="n">
        <v>36</v>
      </c>
      <c r="U4629" t="n">
        <v>1349.83</v>
      </c>
      <c r="X4629" t="inlineStr">
        <is>
          <t>acoa-apeca</t>
        </is>
      </c>
      <c r="Y4629" t="inlineStr">
        <is>
          <t>Atlantic Canada Opportunities Agency | Agence de promotion économique du Canada atlantique</t>
        </is>
      </c>
      <c r="Z4629" t="n">
        <v>3</v>
      </c>
      <c r="AA4629" t="n">
        <v>1349.83</v>
      </c>
      <c r="AB4629">
        <f>ROUND(U4629-AA4629,2)</f>
        <v/>
      </c>
      <c r="AC4629" t="b">
        <v>0</v>
      </c>
      <c r="AD4629">
        <f>IF(U4629="","MISSING_TOTAL",IF(ABS(AB4629)&lt;=0.01,"OK","CHECK"))</f>
        <v/>
      </c>
      <c r="AE4629">
        <f>IF(U4629="","MISSING",IF(AND(AA4629&gt;0,U4629/AA4629&gt;50),"POSSIBLE_SCALE_ERROR","OK"))</f>
        <v/>
      </c>
    </row>
    <row r="4630">
      <c r="A4630" t="inlineStr">
        <is>
          <t>T-2019-Q3-00023</t>
        </is>
      </c>
      <c r="B4630" t="inlineStr">
        <is>
          <t>SLE</t>
        </is>
      </c>
      <c r="C4630" t="inlineStr">
        <is>
          <t>President</t>
        </is>
      </c>
      <c r="D4630" t="inlineStr">
        <is>
          <t>Président</t>
        </is>
      </c>
      <c r="E4630" t="inlineStr">
        <is>
          <t>Francis McGuire</t>
        </is>
      </c>
      <c r="F4630" t="inlineStr">
        <is>
          <t>Various events with key stakeholders</t>
        </is>
      </c>
      <c r="G4630" t="inlineStr">
        <is>
          <t>Diverses activités avec des intervenants clés</t>
        </is>
      </c>
      <c r="H4630" s="1" t="n">
        <v>43391</v>
      </c>
      <c r="I4630" s="1" t="n">
        <v>43393</v>
      </c>
      <c r="J4630" t="inlineStr">
        <is>
          <t>Sillikers, New Brunswick and Halifax, Nova Scotia</t>
        </is>
      </c>
      <c r="K4630" t="inlineStr">
        <is>
          <t>Sillikers (Nouveau-Brunswick) et Halifax (Nouvelle-Écosse)</t>
        </is>
      </c>
      <c r="P4630" t="n">
        <v>0</v>
      </c>
      <c r="Q4630" t="n">
        <v>546.6</v>
      </c>
      <c r="R4630" t="n">
        <v>205.28</v>
      </c>
      <c r="S4630" t="n">
        <v>142</v>
      </c>
      <c r="T4630" t="n">
        <v>31.05</v>
      </c>
      <c r="U4630" t="n">
        <v>924.9299999999999</v>
      </c>
      <c r="X4630" t="inlineStr">
        <is>
          <t>acoa-apeca</t>
        </is>
      </c>
      <c r="Y4630" t="inlineStr">
        <is>
          <t>Atlantic Canada Opportunities Agency | Agence de promotion économique du Canada atlantique</t>
        </is>
      </c>
      <c r="Z4630" t="n">
        <v>3</v>
      </c>
      <c r="AA4630" t="n">
        <v>924.9299999999999</v>
      </c>
      <c r="AB4630">
        <f>ROUND(U4630-AA4630,2)</f>
        <v/>
      </c>
      <c r="AC4630" t="b">
        <v>0</v>
      </c>
      <c r="AD4630">
        <f>IF(U4630="","MISSING_TOTAL",IF(ABS(AB4630)&lt;=0.01,"OK","CHECK"))</f>
        <v/>
      </c>
      <c r="AE4630">
        <f>IF(U4630="","MISSING",IF(AND(AA4630&gt;0,U4630/AA4630&gt;50),"POSSIBLE_SCALE_ERROR","OK"))</f>
        <v/>
      </c>
    </row>
    <row r="4631">
      <c r="A4631" t="inlineStr">
        <is>
          <t>T-2019-Q3-00013</t>
        </is>
      </c>
      <c r="B4631" t="inlineStr">
        <is>
          <t>SLE</t>
        </is>
      </c>
      <c r="C4631" t="inlineStr">
        <is>
          <t>President</t>
        </is>
      </c>
      <c r="D4631" t="inlineStr">
        <is>
          <t>Président</t>
        </is>
      </c>
      <c r="E4631" t="inlineStr">
        <is>
          <t>Francis McGuire</t>
        </is>
      </c>
      <c r="F4631" t="inlineStr">
        <is>
          <t>Various meetings with Government of Canada officials</t>
        </is>
      </c>
      <c r="G4631" t="inlineStr">
        <is>
          <t>Diverses réunions avec des fonctionnaires fédéraux</t>
        </is>
      </c>
      <c r="H4631" s="1" t="n">
        <v>43369</v>
      </c>
      <c r="I4631" s="1" t="n">
        <v>43370</v>
      </c>
      <c r="J4631" t="inlineStr">
        <is>
          <t>Charlottetown, Prince Edward Island</t>
        </is>
      </c>
      <c r="K4631" t="inlineStr">
        <is>
          <t>Charlottetown (Île-du-Prince-Édouard)</t>
        </is>
      </c>
      <c r="P4631" t="n">
        <v>0</v>
      </c>
      <c r="Q4631" t="n">
        <v>313.59</v>
      </c>
      <c r="R4631" t="n">
        <v>354.17</v>
      </c>
      <c r="S4631" t="n">
        <v>121.4</v>
      </c>
      <c r="T4631" t="n">
        <v>28.75</v>
      </c>
      <c r="U4631" t="n">
        <v>817.91</v>
      </c>
      <c r="X4631" t="inlineStr">
        <is>
          <t>acoa-apeca</t>
        </is>
      </c>
      <c r="Y4631" t="inlineStr">
        <is>
          <t>Atlantic Canada Opportunities Agency | Agence de promotion économique du Canada atlantique</t>
        </is>
      </c>
      <c r="Z4631" t="n">
        <v>2</v>
      </c>
      <c r="AA4631" t="n">
        <v>817.91</v>
      </c>
      <c r="AB4631">
        <f>ROUND(U4631-AA4631,2)</f>
        <v/>
      </c>
      <c r="AC4631" t="b">
        <v>0</v>
      </c>
      <c r="AD4631">
        <f>IF(U4631="","MISSING_TOTAL",IF(ABS(AB4631)&lt;=0.01,"OK","CHECK"))</f>
        <v/>
      </c>
      <c r="AE4631">
        <f>IF(U4631="","MISSING",IF(AND(AA4631&gt;0,U4631/AA4631&gt;50),"POSSIBLE_SCALE_ERROR","OK"))</f>
        <v/>
      </c>
    </row>
    <row r="4632">
      <c r="A4632" t="inlineStr">
        <is>
          <t>T-2019-Q2-00041</t>
        </is>
      </c>
      <c r="B4632" t="inlineStr">
        <is>
          <t>SLE</t>
        </is>
      </c>
      <c r="C4632" t="inlineStr">
        <is>
          <t>President</t>
        </is>
      </c>
      <c r="D4632" t="inlineStr">
        <is>
          <t>Président</t>
        </is>
      </c>
      <c r="E4632" t="inlineStr">
        <is>
          <t>Francis McGuire</t>
        </is>
      </c>
      <c r="F4632" t="inlineStr">
        <is>
          <t>Meetings with Government of Canada officials</t>
        </is>
      </c>
      <c r="G4632" t="inlineStr">
        <is>
          <t>Réunions avec des fonctionnaires fédéraux</t>
        </is>
      </c>
      <c r="H4632" s="1" t="n">
        <v>43334</v>
      </c>
      <c r="I4632" s="1" t="n">
        <v>43334</v>
      </c>
      <c r="J4632" t="inlineStr">
        <is>
          <t>Truro, Nova Scotia</t>
        </is>
      </c>
      <c r="K4632" t="inlineStr">
        <is>
          <t>Truro (Nouvelle-Écosse)</t>
        </is>
      </c>
      <c r="P4632" t="n">
        <v>0</v>
      </c>
      <c r="Q4632" t="n">
        <v>304.32</v>
      </c>
      <c r="R4632" t="n">
        <v>0</v>
      </c>
      <c r="S4632" t="n">
        <v>0</v>
      </c>
      <c r="T4632" t="n">
        <v>0</v>
      </c>
      <c r="U4632" t="n">
        <v>304.32</v>
      </c>
      <c r="X4632" t="inlineStr">
        <is>
          <t>acoa-apeca</t>
        </is>
      </c>
      <c r="Y4632" t="inlineStr">
        <is>
          <t>Atlantic Canada Opportunities Agency | Agence de promotion économique du Canada atlantique</t>
        </is>
      </c>
      <c r="Z4632" t="n">
        <v>1</v>
      </c>
      <c r="AA4632" t="n">
        <v>304.32</v>
      </c>
      <c r="AB4632">
        <f>ROUND(U4632-AA4632,2)</f>
        <v/>
      </c>
      <c r="AC4632" t="b">
        <v>0</v>
      </c>
      <c r="AD4632">
        <f>IF(U4632="","MISSING_TOTAL",IF(ABS(AB4632)&lt;=0.01,"OK","CHECK"))</f>
        <v/>
      </c>
      <c r="AE4632">
        <f>IF(U4632="","MISSING",IF(AND(AA4632&gt;0,U4632/AA4632&gt;50),"POSSIBLE_SCALE_ERROR","OK"))</f>
        <v/>
      </c>
    </row>
    <row r="4633">
      <c r="A4633" t="inlineStr">
        <is>
          <t>T-2019-Q3-00006</t>
        </is>
      </c>
      <c r="B4633" t="inlineStr">
        <is>
          <t>SLE</t>
        </is>
      </c>
      <c r="C4633" t="inlineStr">
        <is>
          <t>President</t>
        </is>
      </c>
      <c r="D4633" t="inlineStr">
        <is>
          <t>Président</t>
        </is>
      </c>
      <c r="E4633" t="inlineStr">
        <is>
          <t>Francis McGuire</t>
        </is>
      </c>
      <c r="F4633" t="inlineStr">
        <is>
          <t>Meetings with Government of Canada officials and key stakeholders</t>
        </is>
      </c>
      <c r="G4633" t="inlineStr">
        <is>
          <t>Réunions avec des fonctionnaires fédéraux et des intervenants clés</t>
        </is>
      </c>
      <c r="H4633" s="1" t="n">
        <v>43362</v>
      </c>
      <c r="I4633" s="1" t="n">
        <v>43363</v>
      </c>
      <c r="J4633" t="inlineStr">
        <is>
          <t>Halifax, Nova Scotia</t>
        </is>
      </c>
      <c r="K4633" t="inlineStr">
        <is>
          <t>Halifax (Nouvelle-Écosse)</t>
        </is>
      </c>
      <c r="P4633" t="n">
        <v>0</v>
      </c>
      <c r="Q4633" t="n">
        <v>367.29</v>
      </c>
      <c r="R4633" t="n">
        <v>228.74</v>
      </c>
      <c r="S4633" t="n">
        <v>140.6</v>
      </c>
      <c r="T4633" t="n">
        <v>0</v>
      </c>
      <c r="U4633" t="n">
        <v>736.63</v>
      </c>
      <c r="X4633" t="inlineStr">
        <is>
          <t>acoa-apeca</t>
        </is>
      </c>
      <c r="Y4633" t="inlineStr">
        <is>
          <t>Atlantic Canada Opportunities Agency | Agence de promotion économique du Canada atlantique</t>
        </is>
      </c>
      <c r="Z4633" t="n">
        <v>2</v>
      </c>
      <c r="AA4633" t="n">
        <v>736.63</v>
      </c>
      <c r="AB4633">
        <f>ROUND(U4633-AA4633,2)</f>
        <v/>
      </c>
      <c r="AC4633" t="b">
        <v>0</v>
      </c>
      <c r="AD4633">
        <f>IF(U4633="","MISSING_TOTAL",IF(ABS(AB4633)&lt;=0.01,"OK","CHECK"))</f>
        <v/>
      </c>
      <c r="AE4633">
        <f>IF(U4633="","MISSING",IF(AND(AA4633&gt;0,U4633/AA4633&gt;50),"POSSIBLE_SCALE_ERROR","OK"))</f>
        <v/>
      </c>
    </row>
    <row r="4634">
      <c r="A4634" t="inlineStr">
        <is>
          <t>T-2019-Q3-00003</t>
        </is>
      </c>
      <c r="B4634" t="inlineStr">
        <is>
          <t>SLE</t>
        </is>
      </c>
      <c r="C4634" t="inlineStr">
        <is>
          <t>President</t>
        </is>
      </c>
      <c r="D4634" t="inlineStr">
        <is>
          <t>Président</t>
        </is>
      </c>
      <c r="E4634" t="inlineStr">
        <is>
          <t>Francis McGuire</t>
        </is>
      </c>
      <c r="F4634" t="inlineStr">
        <is>
          <t>Meeting with Government of Canada officials and key stakeholders</t>
        </is>
      </c>
      <c r="G4634" t="inlineStr">
        <is>
          <t>Réunion avec des fonctionnaires fédéraux et des intervenants clés</t>
        </is>
      </c>
      <c r="H4634" s="1" t="n">
        <v>43360</v>
      </c>
      <c r="I4634" s="1" t="n">
        <v>43360</v>
      </c>
      <c r="J4634" t="inlineStr">
        <is>
          <t>Grand Falls, New Brunswick</t>
        </is>
      </c>
      <c r="K4634" t="inlineStr">
        <is>
          <t>Grand-Sault (Nouveau-Brunswick)</t>
        </is>
      </c>
      <c r="P4634" t="n">
        <v>0</v>
      </c>
      <c r="Q4634" t="n">
        <v>226.31</v>
      </c>
      <c r="R4634" t="n">
        <v>0</v>
      </c>
      <c r="S4634" t="n">
        <v>0</v>
      </c>
      <c r="T4634" t="n">
        <v>0</v>
      </c>
      <c r="U4634" t="n">
        <v>226.31</v>
      </c>
      <c r="X4634" t="inlineStr">
        <is>
          <t>acoa-apeca</t>
        </is>
      </c>
      <c r="Y4634" t="inlineStr">
        <is>
          <t>Atlantic Canada Opportunities Agency | Agence de promotion économique du Canada atlantique</t>
        </is>
      </c>
      <c r="Z4634" t="n">
        <v>1</v>
      </c>
      <c r="AA4634" t="n">
        <v>226.31</v>
      </c>
      <c r="AB4634">
        <f>ROUND(U4634-AA4634,2)</f>
        <v/>
      </c>
      <c r="AC4634" t="b">
        <v>0</v>
      </c>
      <c r="AD4634">
        <f>IF(U4634="","MISSING_TOTAL",IF(ABS(AB4634)&lt;=0.01,"OK","CHECK"))</f>
        <v/>
      </c>
      <c r="AE4634">
        <f>IF(U4634="","MISSING",IF(AND(AA4634&gt;0,U4634/AA4634&gt;50),"POSSIBLE_SCALE_ERROR","OK"))</f>
        <v/>
      </c>
    </row>
    <row r="4635">
      <c r="A4635" t="inlineStr">
        <is>
          <t>T-2019-Q3-00002</t>
        </is>
      </c>
      <c r="B4635" t="inlineStr">
        <is>
          <t>SLE</t>
        </is>
      </c>
      <c r="C4635" t="inlineStr">
        <is>
          <t>President</t>
        </is>
      </c>
      <c r="D4635" t="inlineStr">
        <is>
          <t>Président</t>
        </is>
      </c>
      <c r="E4635" t="inlineStr">
        <is>
          <t>Francis McGuire</t>
        </is>
      </c>
      <c r="F4635" t="inlineStr">
        <is>
          <t>Various meetings with Government of Canada officials and key stakeholders</t>
        </is>
      </c>
      <c r="G4635" t="inlineStr">
        <is>
          <t>Diverses réunions avec des fonctionnaires fédéraux et des intervenants clés</t>
        </is>
      </c>
      <c r="H4635" s="1" t="n">
        <v>43354</v>
      </c>
      <c r="I4635" s="1" t="n">
        <v>43357</v>
      </c>
      <c r="J4635" t="inlineStr">
        <is>
          <t>Halifax, Nova Scotia and Charlottetown, Prince Edward Island</t>
        </is>
      </c>
      <c r="K4635" t="inlineStr">
        <is>
          <t>Halifax (Nouvelle-Écosse) et Charlottetown (Île-du-Prince-Édouard)</t>
        </is>
      </c>
      <c r="P4635" t="n">
        <v>0</v>
      </c>
      <c r="Q4635" t="n">
        <v>631.59</v>
      </c>
      <c r="R4635" t="n">
        <v>783.3200000000001</v>
      </c>
      <c r="S4635" t="n">
        <v>262.25</v>
      </c>
      <c r="T4635" t="n">
        <v>0</v>
      </c>
      <c r="U4635" t="n">
        <v>1677.16</v>
      </c>
      <c r="X4635" t="inlineStr">
        <is>
          <t>acoa-apeca</t>
        </is>
      </c>
      <c r="Y4635" t="inlineStr">
        <is>
          <t>Atlantic Canada Opportunities Agency | Agence de promotion économique du Canada atlantique</t>
        </is>
      </c>
      <c r="Z4635" t="n">
        <v>4</v>
      </c>
      <c r="AA4635" t="n">
        <v>1677.16</v>
      </c>
      <c r="AB4635">
        <f>ROUND(U4635-AA4635,2)</f>
        <v/>
      </c>
      <c r="AC4635" t="b">
        <v>0</v>
      </c>
      <c r="AD4635">
        <f>IF(U4635="","MISSING_TOTAL",IF(ABS(AB4635)&lt;=0.01,"OK","CHECK"))</f>
        <v/>
      </c>
      <c r="AE4635">
        <f>IF(U4635="","MISSING",IF(AND(AA4635&gt;0,U4635/AA4635&gt;50),"POSSIBLE_SCALE_ERROR","OK"))</f>
        <v/>
      </c>
    </row>
    <row r="4636">
      <c r="A4636" t="inlineStr">
        <is>
          <t>T-2019-Q3-00001</t>
        </is>
      </c>
      <c r="B4636" t="inlineStr">
        <is>
          <t>SLE</t>
        </is>
      </c>
      <c r="C4636" t="inlineStr">
        <is>
          <t>President</t>
        </is>
      </c>
      <c r="D4636" t="inlineStr">
        <is>
          <t>Président</t>
        </is>
      </c>
      <c r="E4636" t="inlineStr">
        <is>
          <t>Francis McGuire</t>
        </is>
      </c>
      <c r="F4636" t="inlineStr">
        <is>
          <t>Meetings with Government of Canada officials and an official from the education sector</t>
        </is>
      </c>
      <c r="G4636" t="inlineStr">
        <is>
          <t>Réunions avec des fonctionnaires fédéraux et un représentant du secteur de l'éducation</t>
        </is>
      </c>
      <c r="H4636" s="1" t="n">
        <v>43348</v>
      </c>
      <c r="I4636" s="1" t="n">
        <v>43350</v>
      </c>
      <c r="J4636" t="inlineStr">
        <is>
          <t>Sackville, New Brunswick; Ottawa, Ontario</t>
        </is>
      </c>
      <c r="K4636" t="inlineStr">
        <is>
          <t>Sackville (Nouveau-Brunswick); Ottawa (Ontario)</t>
        </is>
      </c>
      <c r="P4636" t="n">
        <v>819.76</v>
      </c>
      <c r="Q4636" t="n">
        <v>110.26</v>
      </c>
      <c r="R4636" t="n">
        <v>356.09</v>
      </c>
      <c r="S4636" t="n">
        <v>101.95</v>
      </c>
      <c r="T4636" t="n">
        <v>0</v>
      </c>
      <c r="U4636" t="n">
        <v>1388.06</v>
      </c>
      <c r="X4636" t="inlineStr">
        <is>
          <t>acoa-apeca</t>
        </is>
      </c>
      <c r="Y4636" t="inlineStr">
        <is>
          <t>Atlantic Canada Opportunities Agency | Agence de promotion économique du Canada atlantique</t>
        </is>
      </c>
      <c r="Z4636" t="n">
        <v>3</v>
      </c>
      <c r="AA4636" t="n">
        <v>1388.06</v>
      </c>
      <c r="AB4636">
        <f>ROUND(U4636-AA4636,2)</f>
        <v/>
      </c>
      <c r="AC4636" t="b">
        <v>0</v>
      </c>
      <c r="AD4636">
        <f>IF(U4636="","MISSING_TOTAL",IF(ABS(AB4636)&lt;=0.01,"OK","CHECK"))</f>
        <v/>
      </c>
      <c r="AE4636">
        <f>IF(U4636="","MISSING",IF(AND(AA4636&gt;0,U4636/AA4636&gt;50),"POSSIBLE_SCALE_ERROR","OK"))</f>
        <v/>
      </c>
    </row>
    <row r="4637">
      <c r="A4637" t="inlineStr">
        <is>
          <t>T-2019-Q3-00067</t>
        </is>
      </c>
      <c r="B4637" t="inlineStr">
        <is>
          <t>SLE</t>
        </is>
      </c>
      <c r="C4637" t="inlineStr">
        <is>
          <t>Vice-President, Newfoundland and Labrador</t>
        </is>
      </c>
      <c r="D4637" t="inlineStr">
        <is>
          <t>Vice-président, Terre-Neuve-et-Labrador</t>
        </is>
      </c>
      <c r="E4637" t="inlineStr">
        <is>
          <t>Ken Martin</t>
        </is>
      </c>
      <c r="F4637" t="inlineStr">
        <is>
          <t>Attend Ocean Supercluster Working Group meeting</t>
        </is>
      </c>
      <c r="G4637" t="inlineStr">
        <is>
          <t>Assister à une réunion du groupe de travail sur la supergrappe de l'économie océanique</t>
        </is>
      </c>
      <c r="H4637" s="1" t="n">
        <v>43410</v>
      </c>
      <c r="I4637" s="1" t="n">
        <v>43412</v>
      </c>
      <c r="J4637" t="inlineStr">
        <is>
          <t>St. Andrews, New Brunswick</t>
        </is>
      </c>
      <c r="K4637" t="inlineStr">
        <is>
          <t>St. Andrews (Nouveau-Brunswick)</t>
        </is>
      </c>
      <c r="P4637" t="n">
        <v>784.91</v>
      </c>
      <c r="Q4637" t="n">
        <v>391.12</v>
      </c>
      <c r="R4637" t="n">
        <v>298.99</v>
      </c>
      <c r="S4637" t="n">
        <v>262.25</v>
      </c>
      <c r="T4637" t="n">
        <v>0</v>
      </c>
      <c r="U4637" t="n">
        <v>1737.27</v>
      </c>
      <c r="X4637" t="inlineStr">
        <is>
          <t>acoa-apeca</t>
        </is>
      </c>
      <c r="Y4637" t="inlineStr">
        <is>
          <t>Atlantic Canada Opportunities Agency | Agence de promotion économique du Canada atlantique</t>
        </is>
      </c>
      <c r="Z4637" t="n">
        <v>3</v>
      </c>
      <c r="AA4637" t="n">
        <v>1737.27</v>
      </c>
      <c r="AB4637">
        <f>ROUND(U4637-AA4637,2)</f>
        <v/>
      </c>
      <c r="AC4637" t="b">
        <v>0</v>
      </c>
      <c r="AD4637">
        <f>IF(U4637="","MISSING_TOTAL",IF(ABS(AB4637)&lt;=0.01,"OK","CHECK"))</f>
        <v/>
      </c>
      <c r="AE4637">
        <f>IF(U4637="","MISSING",IF(AND(AA4637&gt;0,U4637/AA4637&gt;50),"POSSIBLE_SCALE_ERROR","OK"))</f>
        <v/>
      </c>
    </row>
    <row r="4638">
      <c r="A4638" t="inlineStr">
        <is>
          <t>T-2019-Q3-00045</t>
        </is>
      </c>
      <c r="B4638" t="inlineStr">
        <is>
          <t>SLE</t>
        </is>
      </c>
      <c r="C4638" t="inlineStr">
        <is>
          <t>Vice-President, Newfoundland and Labrador</t>
        </is>
      </c>
      <c r="D4638" t="inlineStr">
        <is>
          <t>Vice-président, Terre-Neuve-et-Labrador</t>
        </is>
      </c>
      <c r="E4638" t="inlineStr">
        <is>
          <t>Ken Martin</t>
        </is>
      </c>
      <c r="F4638" t="inlineStr">
        <is>
          <t>Meetings with senior government officials in Ottawa</t>
        </is>
      </c>
      <c r="G4638" t="inlineStr">
        <is>
          <t>Réunions avec des hauts fonctionnaires à Ottawa</t>
        </is>
      </c>
      <c r="H4638" s="1" t="n">
        <v>43424</v>
      </c>
      <c r="I4638" s="1" t="n">
        <v>43426</v>
      </c>
      <c r="J4638" t="inlineStr">
        <is>
          <t>Ottawa, Ontario</t>
        </is>
      </c>
      <c r="K4638" t="inlineStr">
        <is>
          <t>Ottawa (Ontario)</t>
        </is>
      </c>
      <c r="P4638" t="n">
        <v>851.01</v>
      </c>
      <c r="Q4638" t="n">
        <v>49.45</v>
      </c>
      <c r="R4638" t="n">
        <v>322</v>
      </c>
      <c r="S4638" t="n">
        <v>282.1</v>
      </c>
      <c r="T4638" t="n">
        <v>0</v>
      </c>
      <c r="U4638" t="n">
        <v>1504.56</v>
      </c>
      <c r="X4638" t="inlineStr">
        <is>
          <t>acoa-apeca</t>
        </is>
      </c>
      <c r="Y4638" t="inlineStr">
        <is>
          <t>Atlantic Canada Opportunities Agency | Agence de promotion économique du Canada atlantique</t>
        </is>
      </c>
      <c r="Z4638" t="n">
        <v>3</v>
      </c>
      <c r="AA4638" t="n">
        <v>1504.56</v>
      </c>
      <c r="AB4638">
        <f>ROUND(U4638-AA4638,2)</f>
        <v/>
      </c>
      <c r="AC4638" t="b">
        <v>0</v>
      </c>
      <c r="AD4638">
        <f>IF(U4638="","MISSING_TOTAL",IF(ABS(AB4638)&lt;=0.01,"OK","CHECK"))</f>
        <v/>
      </c>
      <c r="AE4638">
        <f>IF(U4638="","MISSING",IF(AND(AA4638&gt;0,U4638/AA4638&gt;50),"POSSIBLE_SCALE_ERROR","OK"))</f>
        <v/>
      </c>
    </row>
    <row r="4639">
      <c r="A4639" t="inlineStr">
        <is>
          <t>T-2019-Q3-00044</t>
        </is>
      </c>
      <c r="B4639" t="inlineStr">
        <is>
          <t>SLE</t>
        </is>
      </c>
      <c r="C4639" t="inlineStr">
        <is>
          <t>Vice-President, Newfoundland and Labrador</t>
        </is>
      </c>
      <c r="D4639" t="inlineStr">
        <is>
          <t>Vice-président, Terre-Neuve-et-Labrador</t>
        </is>
      </c>
      <c r="E4639" t="inlineStr">
        <is>
          <t>Ken Martin</t>
        </is>
      </c>
      <c r="F4639" t="inlineStr">
        <is>
          <t>Attend client meetings in Labrador City</t>
        </is>
      </c>
      <c r="G4639" t="inlineStr">
        <is>
          <t>Assister à des réunions avec des clients à Labrador City</t>
        </is>
      </c>
      <c r="H4639" s="1" t="n">
        <v>43430</v>
      </c>
      <c r="I4639" s="1" t="n">
        <v>43431</v>
      </c>
      <c r="J4639" t="inlineStr">
        <is>
          <t>Labrador City, Newfoundland and Labrador</t>
        </is>
      </c>
      <c r="K4639" t="inlineStr">
        <is>
          <t>Labrador City (Terre-Neuve-et-Labrador)</t>
        </is>
      </c>
      <c r="P4639" t="n">
        <v>1338.52</v>
      </c>
      <c r="Q4639" t="n">
        <v>16.1</v>
      </c>
      <c r="R4639" t="n">
        <v>172.5</v>
      </c>
      <c r="S4639" t="n">
        <v>174.7</v>
      </c>
      <c r="T4639" t="n">
        <v>0</v>
      </c>
      <c r="U4639" t="n">
        <v>1701.82</v>
      </c>
      <c r="X4639" t="inlineStr">
        <is>
          <t>acoa-apeca</t>
        </is>
      </c>
      <c r="Y4639" t="inlineStr">
        <is>
          <t>Atlantic Canada Opportunities Agency | Agence de promotion économique du Canada atlantique</t>
        </is>
      </c>
      <c r="Z4639" t="n">
        <v>2</v>
      </c>
      <c r="AA4639" t="n">
        <v>1701.82</v>
      </c>
      <c r="AB4639">
        <f>ROUND(U4639-AA4639,2)</f>
        <v/>
      </c>
      <c r="AC4639" t="b">
        <v>0</v>
      </c>
      <c r="AD4639">
        <f>IF(U4639="","MISSING_TOTAL",IF(ABS(AB4639)&lt;=0.01,"OK","CHECK"))</f>
        <v/>
      </c>
      <c r="AE4639">
        <f>IF(U4639="","MISSING",IF(AND(AA4639&gt;0,U4639/AA4639&gt;50),"POSSIBLE_SCALE_ERROR","OK"))</f>
        <v/>
      </c>
    </row>
    <row r="4640">
      <c r="A4640" t="inlineStr">
        <is>
          <t>T-2019-Q3-00029</t>
        </is>
      </c>
      <c r="B4640" t="inlineStr">
        <is>
          <t>SLE</t>
        </is>
      </c>
      <c r="C4640" t="inlineStr">
        <is>
          <t>Vice-President, Newfoundland and Labrador</t>
        </is>
      </c>
      <c r="D4640" t="inlineStr">
        <is>
          <t>Vice-président, Terre-Neuve-et-Labrador</t>
        </is>
      </c>
      <c r="E4640" t="inlineStr">
        <is>
          <t>Ken Martin</t>
        </is>
      </c>
      <c r="F4640" t="inlineStr">
        <is>
          <t>Attend Department of Fisheries and Oceans Joint Senior Management meeting in Ottawa</t>
        </is>
      </c>
      <c r="G4640" t="inlineStr">
        <is>
          <t>Assister à une réunion conjointe des cadres du ministère des Pêches et des Océans à Ottawa</t>
        </is>
      </c>
      <c r="H4640" s="1" t="n">
        <v>43402</v>
      </c>
      <c r="I4640" s="1" t="n">
        <v>43403</v>
      </c>
      <c r="J4640" t="inlineStr">
        <is>
          <t>Ottawa, Ontario</t>
        </is>
      </c>
      <c r="K4640" t="inlineStr">
        <is>
          <t>Ottawa (Ontario)</t>
        </is>
      </c>
      <c r="P4640" t="n">
        <v>676.03</v>
      </c>
      <c r="Q4640" t="n">
        <v>61.05</v>
      </c>
      <c r="R4640" t="n">
        <v>233.86</v>
      </c>
      <c r="S4640" t="n">
        <v>174.7</v>
      </c>
      <c r="T4640" t="n">
        <v>0</v>
      </c>
      <c r="U4640" t="n">
        <v>1145.64</v>
      </c>
      <c r="X4640" t="inlineStr">
        <is>
          <t>acoa-apeca</t>
        </is>
      </c>
      <c r="Y4640" t="inlineStr">
        <is>
          <t>Atlantic Canada Opportunities Agency | Agence de promotion économique du Canada atlantique</t>
        </is>
      </c>
      <c r="Z4640" t="n">
        <v>2</v>
      </c>
      <c r="AA4640" t="n">
        <v>1145.63999999999</v>
      </c>
      <c r="AB4640">
        <f>ROUND(U4640-AA4640,2)</f>
        <v/>
      </c>
      <c r="AC4640" t="b">
        <v>0</v>
      </c>
      <c r="AD4640">
        <f>IF(U4640="","MISSING_TOTAL",IF(ABS(AB4640)&lt;=0.01,"OK","CHECK"))</f>
        <v/>
      </c>
      <c r="AE4640">
        <f>IF(U4640="","MISSING",IF(AND(AA4640&gt;0,U4640/AA4640&gt;50),"POSSIBLE_SCALE_ERROR","OK"))</f>
        <v/>
      </c>
    </row>
    <row r="4641">
      <c r="A4641" t="inlineStr">
        <is>
          <t>T-2019-Q3-00026</t>
        </is>
      </c>
      <c r="B4641" t="inlineStr">
        <is>
          <t>SLE</t>
        </is>
      </c>
      <c r="C4641" t="inlineStr">
        <is>
          <t>Vice-President, Newfoundland and Labrador</t>
        </is>
      </c>
      <c r="D4641" t="inlineStr">
        <is>
          <t>Vice-président, Terre-Neuve-et-Labrador</t>
        </is>
      </c>
      <c r="E4641" t="inlineStr">
        <is>
          <t>Ken Martin</t>
        </is>
      </c>
      <c r="F4641" t="inlineStr">
        <is>
          <t>Attend meetings with clients in St. John's and surrounding area</t>
        </is>
      </c>
      <c r="G4641" t="inlineStr">
        <is>
          <t>Assister à des réunions avec des clients à St. John's et aux environs</t>
        </is>
      </c>
      <c r="H4641" s="1" t="n">
        <v>43397</v>
      </c>
      <c r="I4641" s="1" t="n">
        <v>43399</v>
      </c>
      <c r="J4641" t="inlineStr">
        <is>
          <t>St. John's and surrounding area, Newfoundland and Labrador</t>
        </is>
      </c>
      <c r="K4641" t="inlineStr">
        <is>
          <t>St. John's et environs (Terre-Neuve-et-Labrador)</t>
        </is>
      </c>
      <c r="P4641" t="n">
        <v>0</v>
      </c>
      <c r="Q4641" t="n">
        <v>32.1</v>
      </c>
      <c r="R4641" t="n">
        <v>0</v>
      </c>
      <c r="S4641" t="n">
        <v>50</v>
      </c>
      <c r="T4641" t="n">
        <v>0</v>
      </c>
      <c r="U4641" t="n">
        <v>82.09999999999999</v>
      </c>
      <c r="X4641" t="inlineStr">
        <is>
          <t>acoa-apeca</t>
        </is>
      </c>
      <c r="Y4641" t="inlineStr">
        <is>
          <t>Atlantic Canada Opportunities Agency | Agence de promotion économique du Canada atlantique</t>
        </is>
      </c>
      <c r="Z4641" t="n">
        <v>3</v>
      </c>
      <c r="AA4641" t="n">
        <v>82.09999999999999</v>
      </c>
      <c r="AB4641">
        <f>ROUND(U4641-AA4641,2)</f>
        <v/>
      </c>
      <c r="AC4641" t="b">
        <v>0</v>
      </c>
      <c r="AD4641">
        <f>IF(U4641="","MISSING_TOTAL",IF(ABS(AB4641)&lt;=0.01,"OK","CHECK"))</f>
        <v/>
      </c>
      <c r="AE4641">
        <f>IF(U4641="","MISSING",IF(AND(AA4641&gt;0,U4641/AA4641&gt;50),"POSSIBLE_SCALE_ERROR","OK"))</f>
        <v/>
      </c>
    </row>
    <row r="4642">
      <c r="A4642" t="inlineStr">
        <is>
          <t>T-2019-Q3-00025</t>
        </is>
      </c>
      <c r="B4642" t="inlineStr">
        <is>
          <t>SLE</t>
        </is>
      </c>
      <c r="C4642" t="inlineStr">
        <is>
          <t>Vice-President, Newfoundland and Labrador</t>
        </is>
      </c>
      <c r="D4642" t="inlineStr">
        <is>
          <t>Vice-président, Terre-Neuve-et-Labrador</t>
        </is>
      </c>
      <c r="E4642" t="inlineStr">
        <is>
          <t>Ken Martin</t>
        </is>
      </c>
      <c r="F4642" t="inlineStr">
        <is>
          <t>Attend EX engagement and EXCOM meetings in Moncton</t>
        </is>
      </c>
      <c r="G4642" t="inlineStr">
        <is>
          <t>Assister à une séance d'engagement pour cadres supérieurs et à une réunion du Comité de direction à Moncton</t>
        </is>
      </c>
      <c r="H4642" s="1" t="n">
        <v>43389</v>
      </c>
      <c r="I4642" s="1" t="n">
        <v>43391</v>
      </c>
      <c r="J4642" t="inlineStr">
        <is>
          <t>Moncton, New Brunswick</t>
        </is>
      </c>
      <c r="K4642" t="inlineStr">
        <is>
          <t>Moncton (Nouveau-Brunswick)</t>
        </is>
      </c>
      <c r="P4642" t="n">
        <v>755.0599999999999</v>
      </c>
      <c r="Q4642" t="n">
        <v>73.09999999999999</v>
      </c>
      <c r="R4642" t="n">
        <v>303.6</v>
      </c>
      <c r="S4642" t="n">
        <v>122.15</v>
      </c>
      <c r="T4642" t="n">
        <v>0</v>
      </c>
      <c r="U4642" t="n">
        <v>1253.91</v>
      </c>
      <c r="X4642" t="inlineStr">
        <is>
          <t>acoa-apeca</t>
        </is>
      </c>
      <c r="Y4642" t="inlineStr">
        <is>
          <t>Atlantic Canada Opportunities Agency | Agence de promotion économique du Canada atlantique</t>
        </is>
      </c>
      <c r="Z4642" t="n">
        <v>3</v>
      </c>
      <c r="AA4642" t="n">
        <v>1253.91</v>
      </c>
      <c r="AB4642">
        <f>ROUND(U4642-AA4642,2)</f>
        <v/>
      </c>
      <c r="AC4642" t="b">
        <v>0</v>
      </c>
      <c r="AD4642">
        <f>IF(U4642="","MISSING_TOTAL",IF(ABS(AB4642)&lt;=0.01,"OK","CHECK"))</f>
        <v/>
      </c>
      <c r="AE4642">
        <f>IF(U4642="","MISSING",IF(AND(AA4642&gt;0,U4642/AA4642&gt;50),"POSSIBLE_SCALE_ERROR","OK"))</f>
        <v/>
      </c>
    </row>
    <row r="4643">
      <c r="A4643" t="inlineStr">
        <is>
          <t>T-2019-Q3-00024</t>
        </is>
      </c>
      <c r="B4643" t="inlineStr">
        <is>
          <t>SLE</t>
        </is>
      </c>
      <c r="C4643" t="inlineStr">
        <is>
          <t>Vice-President, Newfoundland and Labrador</t>
        </is>
      </c>
      <c r="D4643" t="inlineStr">
        <is>
          <t>Vice-président, Terre-Neuve-et-Labrador</t>
        </is>
      </c>
      <c r="E4643" t="inlineStr">
        <is>
          <t>Ken Martin</t>
        </is>
      </c>
      <c r="F4643" t="inlineStr">
        <is>
          <t>Attend meetings with senior representatives of the Norwegian Embassy in Ottawa</t>
        </is>
      </c>
      <c r="G4643" t="inlineStr">
        <is>
          <t>Assister à des réunions avec des hauts représentants de l'ambassade de la Norvège à Ottawa</t>
        </is>
      </c>
      <c r="H4643" s="1" t="n">
        <v>43349</v>
      </c>
      <c r="I4643" s="1" t="n">
        <v>43350</v>
      </c>
      <c r="J4643" t="inlineStr">
        <is>
          <t>Ottawa, Ontario</t>
        </is>
      </c>
      <c r="K4643" t="inlineStr">
        <is>
          <t>Ottawa (Ontario)</t>
        </is>
      </c>
      <c r="P4643" t="n">
        <v>862.16</v>
      </c>
      <c r="Q4643" t="n">
        <v>90.95999999999999</v>
      </c>
      <c r="R4643" t="n">
        <v>233.86</v>
      </c>
      <c r="S4643" t="n">
        <v>150.1</v>
      </c>
      <c r="T4643" t="n">
        <v>0</v>
      </c>
      <c r="U4643" t="n">
        <v>1337.08</v>
      </c>
      <c r="X4643" t="inlineStr">
        <is>
          <t>acoa-apeca</t>
        </is>
      </c>
      <c r="Y4643" t="inlineStr">
        <is>
          <t>Atlantic Canada Opportunities Agency | Agence de promotion économique du Canada atlantique</t>
        </is>
      </c>
      <c r="Z4643" t="n">
        <v>2</v>
      </c>
      <c r="AA4643" t="n">
        <v>1337.08</v>
      </c>
      <c r="AB4643">
        <f>ROUND(U4643-AA4643,2)</f>
        <v/>
      </c>
      <c r="AC4643" t="b">
        <v>0</v>
      </c>
      <c r="AD4643">
        <f>IF(U4643="","MISSING_TOTAL",IF(ABS(AB4643)&lt;=0.01,"OK","CHECK"))</f>
        <v/>
      </c>
      <c r="AE4643">
        <f>IF(U4643="","MISSING",IF(AND(AA4643&gt;0,U4643/AA4643&gt;50),"POSSIBLE_SCALE_ERROR","OK"))</f>
        <v/>
      </c>
    </row>
    <row r="4644">
      <c r="A4644" t="inlineStr">
        <is>
          <t>T-2019-Q2-00054</t>
        </is>
      </c>
      <c r="B4644" t="inlineStr">
        <is>
          <t>SLE</t>
        </is>
      </c>
      <c r="C4644" t="inlineStr">
        <is>
          <t>Vice-President, Newfoundland and Labrador</t>
        </is>
      </c>
      <c r="D4644" t="inlineStr">
        <is>
          <t>Vice-président, Terre-Neuve-et-Labrador</t>
        </is>
      </c>
      <c r="E4644" t="inlineStr">
        <is>
          <t>Ken Martin</t>
        </is>
      </c>
      <c r="F4644" t="inlineStr">
        <is>
          <t>Attend various meetings and discussions with senior government and private sector officials in St. John's and surrounding area</t>
        </is>
      </c>
      <c r="G4644" t="inlineStr">
        <is>
          <t>Assister à diverses réunions et discussions avec des cadres supérieurs des secteurs privé et public à St. John's et aux environs</t>
        </is>
      </c>
      <c r="H4644" s="1" t="n">
        <v>43283</v>
      </c>
      <c r="I4644" s="1" t="n">
        <v>43371</v>
      </c>
      <c r="J4644" t="inlineStr">
        <is>
          <t>St. John's and surrounding area, Newfoundland and Labrador</t>
        </is>
      </c>
      <c r="K4644" t="inlineStr">
        <is>
          <t>St. John's et environs (Terre-Neuve-et-Labrador)</t>
        </is>
      </c>
      <c r="P4644" t="n">
        <v>0</v>
      </c>
      <c r="Q4644" t="n">
        <v>23.37</v>
      </c>
      <c r="R4644" t="n">
        <v>0</v>
      </c>
      <c r="S4644" t="n">
        <v>0</v>
      </c>
      <c r="T4644" t="n">
        <v>0</v>
      </c>
      <c r="U4644" t="n">
        <v>23.37</v>
      </c>
      <c r="X4644" t="inlineStr">
        <is>
          <t>acoa-apeca</t>
        </is>
      </c>
      <c r="Y4644" t="inlineStr">
        <is>
          <t>Atlantic Canada Opportunities Agency | Agence de promotion économique du Canada atlantique</t>
        </is>
      </c>
      <c r="Z4644" t="n">
        <v>89</v>
      </c>
      <c r="AA4644" t="n">
        <v>23.37</v>
      </c>
      <c r="AB4644">
        <f>ROUND(U4644-AA4644,2)</f>
        <v/>
      </c>
      <c r="AC4644" t="b">
        <v>0</v>
      </c>
      <c r="AD4644">
        <f>IF(U4644="","MISSING_TOTAL",IF(ABS(AB4644)&lt;=0.01,"OK","CHECK"))</f>
        <v/>
      </c>
      <c r="AE4644">
        <f>IF(U4644="","MISSING",IF(AND(AA4644&gt;0,U4644/AA4644&gt;50),"POSSIBLE_SCALE_ERROR","OK"))</f>
        <v/>
      </c>
    </row>
    <row r="4645">
      <c r="A4645" t="inlineStr">
        <is>
          <t>T-2019-Q3-00010</t>
        </is>
      </c>
      <c r="B4645" t="inlineStr">
        <is>
          <t>SLE</t>
        </is>
      </c>
      <c r="C4645" t="inlineStr">
        <is>
          <t>Vice-President, Newfoundland and Labrador</t>
        </is>
      </c>
      <c r="D4645" t="inlineStr">
        <is>
          <t>Vice-président, Terre-Neuve-et-Labrador</t>
        </is>
      </c>
      <c r="E4645" t="inlineStr">
        <is>
          <t>Ken Martin</t>
        </is>
      </c>
      <c r="F4645" t="inlineStr">
        <is>
          <t>Attend forward agenda planning session</t>
        </is>
      </c>
      <c r="G4645" t="inlineStr">
        <is>
          <t>Assister à une séance de planification de l'ordre du jour à long terme</t>
        </is>
      </c>
      <c r="H4645" s="1" t="n">
        <v>43361</v>
      </c>
      <c r="I4645" s="1" t="n">
        <v>43361</v>
      </c>
      <c r="J4645" t="inlineStr">
        <is>
          <t>Chapel's Cove, Newfoundland and Labrador</t>
        </is>
      </c>
      <c r="K4645" t="inlineStr">
        <is>
          <t>Chapel's Cove (Terre-Neuve-et-Labrador)</t>
        </is>
      </c>
      <c r="P4645" t="n">
        <v>0</v>
      </c>
      <c r="Q4645" t="n">
        <v>76.95</v>
      </c>
      <c r="R4645" t="n">
        <v>0</v>
      </c>
      <c r="S4645" t="n">
        <v>19.2</v>
      </c>
      <c r="T4645" t="n">
        <v>0</v>
      </c>
      <c r="U4645" t="n">
        <v>96.15000000000001</v>
      </c>
      <c r="X4645" t="inlineStr">
        <is>
          <t>acoa-apeca</t>
        </is>
      </c>
      <c r="Y4645" t="inlineStr">
        <is>
          <t>Atlantic Canada Opportunities Agency | Agence de promotion économique du Canada atlantique</t>
        </is>
      </c>
      <c r="Z4645" t="n">
        <v>1</v>
      </c>
      <c r="AA4645" t="n">
        <v>96.15000000000001</v>
      </c>
      <c r="AB4645">
        <f>ROUND(U4645-AA4645,2)</f>
        <v/>
      </c>
      <c r="AC4645" t="b">
        <v>0</v>
      </c>
      <c r="AD4645">
        <f>IF(U4645="","MISSING_TOTAL",IF(ABS(AB4645)&lt;=0.01,"OK","CHECK"))</f>
        <v/>
      </c>
      <c r="AE4645">
        <f>IF(U4645="","MISSING",IF(AND(AA4645&gt;0,U4645/AA4645&gt;50),"POSSIBLE_SCALE_ERROR","OK"))</f>
        <v/>
      </c>
    </row>
    <row r="4646">
      <c r="A4646" t="inlineStr">
        <is>
          <t>T-2019-Q3-00009</t>
        </is>
      </c>
      <c r="B4646" t="inlineStr">
        <is>
          <t>SLE</t>
        </is>
      </c>
      <c r="C4646" t="inlineStr">
        <is>
          <t>Vice-President, Newfoundland and Labrador</t>
        </is>
      </c>
      <c r="D4646" t="inlineStr">
        <is>
          <t>Vice-président, Terre-Neuve-et-Labrador</t>
        </is>
      </c>
      <c r="E4646" t="inlineStr">
        <is>
          <t>Ken Martin</t>
        </is>
      </c>
      <c r="F4646" t="inlineStr">
        <is>
          <t>Attend project announcement in Marystown</t>
        </is>
      </c>
      <c r="G4646" t="inlineStr">
        <is>
          <t>Assister à une annonce de projet à Marystown</t>
        </is>
      </c>
      <c r="H4646" s="1" t="n">
        <v>43357</v>
      </c>
      <c r="I4646" s="1" t="n">
        <v>43357</v>
      </c>
      <c r="J4646" t="inlineStr">
        <is>
          <t>Marystown, Newfoundland and Labrador</t>
        </is>
      </c>
      <c r="K4646" t="inlineStr">
        <is>
          <t>Marystown (Terre-Neuve-et-Labrador)</t>
        </is>
      </c>
      <c r="P4646" t="n">
        <v>0</v>
      </c>
      <c r="Q4646" t="n">
        <v>348.27</v>
      </c>
      <c r="R4646" t="n">
        <v>0</v>
      </c>
      <c r="S4646" t="n">
        <v>19.2</v>
      </c>
      <c r="T4646" t="n">
        <v>0</v>
      </c>
      <c r="U4646" t="n">
        <v>367.47</v>
      </c>
      <c r="X4646" t="inlineStr">
        <is>
          <t>acoa-apeca</t>
        </is>
      </c>
      <c r="Y4646" t="inlineStr">
        <is>
          <t>Atlantic Canada Opportunities Agency | Agence de promotion économique du Canada atlantique</t>
        </is>
      </c>
      <c r="Z4646" t="n">
        <v>1</v>
      </c>
      <c r="AA4646" t="n">
        <v>367.469999999999</v>
      </c>
      <c r="AB4646">
        <f>ROUND(U4646-AA4646,2)</f>
        <v/>
      </c>
      <c r="AC4646" t="b">
        <v>0</v>
      </c>
      <c r="AD4646">
        <f>IF(U4646="","MISSING_TOTAL",IF(ABS(AB4646)&lt;=0.01,"OK","CHECK"))</f>
        <v/>
      </c>
      <c r="AE4646">
        <f>IF(U4646="","MISSING",IF(AND(AA4646&gt;0,U4646/AA4646&gt;50),"POSSIBLE_SCALE_ERROR","OK"))</f>
        <v/>
      </c>
    </row>
    <row r="4647">
      <c r="A4647" t="inlineStr">
        <is>
          <t>T-2019-Q3-00008</t>
        </is>
      </c>
      <c r="B4647" t="inlineStr">
        <is>
          <t>SLE</t>
        </is>
      </c>
      <c r="C4647" t="inlineStr">
        <is>
          <t>Vice-President, Newfoundland and Labrador</t>
        </is>
      </c>
      <c r="D4647" t="inlineStr">
        <is>
          <t>Vice-président, Terre-Neuve-et-Labrador</t>
        </is>
      </c>
      <c r="E4647" t="inlineStr">
        <is>
          <t>Ken Martin</t>
        </is>
      </c>
      <c r="F4647" t="inlineStr">
        <is>
          <t>Attend client meetings in Corner Brook</t>
        </is>
      </c>
      <c r="G4647" t="inlineStr">
        <is>
          <t>Assister à des réunions avec des clients à Corner Brook</t>
        </is>
      </c>
      <c r="H4647" s="1" t="n">
        <v>43354</v>
      </c>
      <c r="I4647" s="1" t="n">
        <v>43355</v>
      </c>
      <c r="J4647" t="inlineStr">
        <is>
          <t>Corner Brook, Newfoundland and Labrador</t>
        </is>
      </c>
      <c r="K4647" t="inlineStr">
        <is>
          <t>Corner Brook (Terre-Neuve-et-Labrador)</t>
        </is>
      </c>
      <c r="P4647" t="n">
        <v>1122.75</v>
      </c>
      <c r="Q4647" t="n">
        <v>83.63</v>
      </c>
      <c r="R4647" t="n">
        <v>152.95</v>
      </c>
      <c r="S4647" t="n">
        <v>102.2</v>
      </c>
      <c r="T4647" t="n">
        <v>0</v>
      </c>
      <c r="U4647" t="n">
        <v>1461.53</v>
      </c>
      <c r="X4647" t="inlineStr">
        <is>
          <t>acoa-apeca</t>
        </is>
      </c>
      <c r="Y4647" t="inlineStr">
        <is>
          <t>Atlantic Canada Opportunities Agency | Agence de promotion économique du Canada atlantique</t>
        </is>
      </c>
      <c r="Z4647" t="n">
        <v>2</v>
      </c>
      <c r="AA4647" t="n">
        <v>1461.53</v>
      </c>
      <c r="AB4647">
        <f>ROUND(U4647-AA4647,2)</f>
        <v/>
      </c>
      <c r="AC4647" t="b">
        <v>0</v>
      </c>
      <c r="AD4647">
        <f>IF(U4647="","MISSING_TOTAL",IF(ABS(AB4647)&lt;=0.01,"OK","CHECK"))</f>
        <v/>
      </c>
      <c r="AE4647">
        <f>IF(U4647="","MISSING",IF(AND(AA4647&gt;0,U4647/AA4647&gt;50),"POSSIBLE_SCALE_ERROR","OK"))</f>
        <v/>
      </c>
    </row>
    <row r="4648">
      <c r="A4648" t="inlineStr">
        <is>
          <t>T-2019-Q3-00065</t>
        </is>
      </c>
      <c r="B4648" t="inlineStr">
        <is>
          <t>SLE</t>
        </is>
      </c>
      <c r="C4648" t="inlineStr">
        <is>
          <t>Vice-President, New Brunswick</t>
        </is>
      </c>
      <c r="D4648" t="inlineStr">
        <is>
          <t>Vice-président, Nouveau-Brunswick</t>
        </is>
      </c>
      <c r="E4648" t="inlineStr">
        <is>
          <t>Kent Estabrooks</t>
        </is>
      </c>
      <c r="F4648" t="inlineStr">
        <is>
          <t>Meeting with various officials</t>
        </is>
      </c>
      <c r="G4648" t="inlineStr">
        <is>
          <t>Réunion avec divers fonctionnaires</t>
        </is>
      </c>
      <c r="H4648" s="1" t="n">
        <v>43431</v>
      </c>
      <c r="I4648" s="1" t="n">
        <v>43432</v>
      </c>
      <c r="J4648" t="inlineStr">
        <is>
          <t>Halifax, Nova Scotia</t>
        </is>
      </c>
      <c r="K4648" t="inlineStr">
        <is>
          <t>Halifax (Nouvelle-Écosse)</t>
        </is>
      </c>
      <c r="P4648" t="n">
        <v>363.4</v>
      </c>
      <c r="Q4648" t="n">
        <v>29.9</v>
      </c>
      <c r="R4648" t="n">
        <v>198.24</v>
      </c>
      <c r="S4648" t="n">
        <v>174.7</v>
      </c>
      <c r="T4648" t="n">
        <v>0</v>
      </c>
      <c r="U4648" t="n">
        <v>766.24</v>
      </c>
      <c r="X4648" t="inlineStr">
        <is>
          <t>acoa-apeca</t>
        </is>
      </c>
      <c r="Y4648" t="inlineStr">
        <is>
          <t>Atlantic Canada Opportunities Agency | Agence de promotion économique du Canada atlantique</t>
        </is>
      </c>
      <c r="Z4648" t="n">
        <v>2</v>
      </c>
      <c r="AA4648" t="n">
        <v>766.24</v>
      </c>
      <c r="AB4648">
        <f>ROUND(U4648-AA4648,2)</f>
        <v/>
      </c>
      <c r="AC4648" t="b">
        <v>0</v>
      </c>
      <c r="AD4648">
        <f>IF(U4648="","MISSING_TOTAL",IF(ABS(AB4648)&lt;=0.01,"OK","CHECK"))</f>
        <v/>
      </c>
      <c r="AE4648">
        <f>IF(U4648="","MISSING",IF(AND(AA4648&gt;0,U4648/AA4648&gt;50),"POSSIBLE_SCALE_ERROR","OK"))</f>
        <v/>
      </c>
    </row>
    <row r="4649">
      <c r="A4649" t="inlineStr">
        <is>
          <t>T-2019-Q3-00064</t>
        </is>
      </c>
      <c r="B4649" t="inlineStr">
        <is>
          <t>SLE</t>
        </is>
      </c>
      <c r="C4649" t="inlineStr">
        <is>
          <t>Vice-President, New Brunswick</t>
        </is>
      </c>
      <c r="D4649" t="inlineStr">
        <is>
          <t>Vice-président, Nouveau-Brunswick</t>
        </is>
      </c>
      <c r="E4649" t="inlineStr">
        <is>
          <t>Kent Estabrooks</t>
        </is>
      </c>
      <c r="F4649" t="inlineStr">
        <is>
          <t>Meeting with various officials</t>
        </is>
      </c>
      <c r="G4649" t="inlineStr">
        <is>
          <t>Réunion avec divers fonctionnaires</t>
        </is>
      </c>
      <c r="H4649" s="1" t="n">
        <v>43430</v>
      </c>
      <c r="I4649" s="1" t="n">
        <v>43431</v>
      </c>
      <c r="J4649" t="inlineStr">
        <is>
          <t>Moncton, New Brunswick</t>
        </is>
      </c>
      <c r="K4649" t="inlineStr">
        <is>
          <t>Moncton (Nouveau-Brunswick)</t>
        </is>
      </c>
      <c r="P4649" t="n">
        <v>0</v>
      </c>
      <c r="Q4649" t="n">
        <v>0</v>
      </c>
      <c r="R4649" t="n">
        <v>151.8</v>
      </c>
      <c r="S4649" t="n">
        <v>37.15</v>
      </c>
      <c r="T4649" t="n">
        <v>17.25</v>
      </c>
      <c r="U4649" t="n">
        <v>206.2</v>
      </c>
      <c r="X4649" t="inlineStr">
        <is>
          <t>acoa-apeca</t>
        </is>
      </c>
      <c r="Y4649" t="inlineStr">
        <is>
          <t>Atlantic Canada Opportunities Agency | Agence de promotion économique du Canada atlantique</t>
        </is>
      </c>
      <c r="Z4649" t="n">
        <v>2</v>
      </c>
      <c r="AA4649" t="n">
        <v>206.2</v>
      </c>
      <c r="AB4649">
        <f>ROUND(U4649-AA4649,2)</f>
        <v/>
      </c>
      <c r="AC4649" t="b">
        <v>0</v>
      </c>
      <c r="AD4649">
        <f>IF(U4649="","MISSING_TOTAL",IF(ABS(AB4649)&lt;=0.01,"OK","CHECK"))</f>
        <v/>
      </c>
      <c r="AE4649">
        <f>IF(U4649="","MISSING",IF(AND(AA4649&gt;0,U4649/AA4649&gt;50),"POSSIBLE_SCALE_ERROR","OK"))</f>
        <v/>
      </c>
    </row>
    <row r="4650">
      <c r="A4650" t="inlineStr">
        <is>
          <t>T-2019-Q3-00063</t>
        </is>
      </c>
      <c r="B4650" t="inlineStr">
        <is>
          <t>SLE</t>
        </is>
      </c>
      <c r="C4650" t="inlineStr">
        <is>
          <t>Vice-President, New Brunswick</t>
        </is>
      </c>
      <c r="D4650" t="inlineStr">
        <is>
          <t>Vice-président, Nouveau-Brunswick</t>
        </is>
      </c>
      <c r="E4650" t="inlineStr">
        <is>
          <t>Kent Estabrooks</t>
        </is>
      </c>
      <c r="F4650" t="inlineStr">
        <is>
          <t>Meeting with Agency officials</t>
        </is>
      </c>
      <c r="G4650" t="inlineStr">
        <is>
          <t>Réunion avec des fonctionnaires de l'Agence</t>
        </is>
      </c>
      <c r="H4650" s="1" t="n">
        <v>43425</v>
      </c>
      <c r="I4650" s="1" t="n">
        <v>43426</v>
      </c>
      <c r="J4650" t="inlineStr">
        <is>
          <t>Moncton, New Brunswick</t>
        </is>
      </c>
      <c r="K4650" t="inlineStr">
        <is>
          <t>Moncton (Nouveau-Brunswick)</t>
        </is>
      </c>
      <c r="P4650" t="n">
        <v>0</v>
      </c>
      <c r="Q4650" t="n">
        <v>0</v>
      </c>
      <c r="R4650" t="n">
        <v>151.8</v>
      </c>
      <c r="S4650" t="n">
        <v>37.15</v>
      </c>
      <c r="T4650" t="n">
        <v>0</v>
      </c>
      <c r="U4650" t="n">
        <v>188.95</v>
      </c>
      <c r="X4650" t="inlineStr">
        <is>
          <t>acoa-apeca</t>
        </is>
      </c>
      <c r="Y4650" t="inlineStr">
        <is>
          <t>Atlantic Canada Opportunities Agency | Agence de promotion économique du Canada atlantique</t>
        </is>
      </c>
      <c r="Z4650" t="n">
        <v>2</v>
      </c>
      <c r="AA4650" t="n">
        <v>188.95</v>
      </c>
      <c r="AB4650">
        <f>ROUND(U4650-AA4650,2)</f>
        <v/>
      </c>
      <c r="AC4650" t="b">
        <v>0</v>
      </c>
      <c r="AD4650">
        <f>IF(U4650="","MISSING_TOTAL",IF(ABS(AB4650)&lt;=0.01,"OK","CHECK"))</f>
        <v/>
      </c>
      <c r="AE4650">
        <f>IF(U4650="","MISSING",IF(AND(AA4650&gt;0,U4650/AA4650&gt;50),"POSSIBLE_SCALE_ERROR","OK"))</f>
        <v/>
      </c>
    </row>
    <row r="4651">
      <c r="A4651" t="inlineStr">
        <is>
          <t>T-2019-Q3-00062</t>
        </is>
      </c>
      <c r="B4651" t="inlineStr">
        <is>
          <t>SLE</t>
        </is>
      </c>
      <c r="C4651" t="inlineStr">
        <is>
          <t>Vice-President, New Brunswick</t>
        </is>
      </c>
      <c r="D4651" t="inlineStr">
        <is>
          <t>Vice-président, Nouveau-Brunswick</t>
        </is>
      </c>
      <c r="E4651" t="inlineStr">
        <is>
          <t>Kent Estabrooks</t>
        </is>
      </c>
      <c r="F4651" t="inlineStr">
        <is>
          <t>Meeting/Presentation with various federal officials</t>
        </is>
      </c>
      <c r="G4651" t="inlineStr">
        <is>
          <t>Réunion/exposé avec divers fonctionnaires fédéraux</t>
        </is>
      </c>
      <c r="H4651" s="1" t="n">
        <v>43424</v>
      </c>
      <c r="I4651" s="1" t="n">
        <v>43425</v>
      </c>
      <c r="J4651" t="inlineStr">
        <is>
          <t>Moncton and Saint John, New Brunswick</t>
        </is>
      </c>
      <c r="K4651" t="inlineStr">
        <is>
          <t>Moncton et Saint John (Nouveau-Brunswick)</t>
        </is>
      </c>
      <c r="P4651" t="n">
        <v>0</v>
      </c>
      <c r="Q4651" t="n">
        <v>0</v>
      </c>
      <c r="R4651" t="n">
        <v>148.35</v>
      </c>
      <c r="S4651" t="n">
        <v>87.15000000000001</v>
      </c>
      <c r="T4651" t="n">
        <v>17.25</v>
      </c>
      <c r="U4651" t="n">
        <v>252.75</v>
      </c>
      <c r="X4651" t="inlineStr">
        <is>
          <t>acoa-apeca</t>
        </is>
      </c>
      <c r="Y4651" t="inlineStr">
        <is>
          <t>Atlantic Canada Opportunities Agency | Agence de promotion économique du Canada atlantique</t>
        </is>
      </c>
      <c r="Z4651" t="n">
        <v>2</v>
      </c>
      <c r="AA4651" t="n">
        <v>252.75</v>
      </c>
      <c r="AB4651">
        <f>ROUND(U4651-AA4651,2)</f>
        <v/>
      </c>
      <c r="AC4651" t="b">
        <v>0</v>
      </c>
      <c r="AD4651">
        <f>IF(U4651="","MISSING_TOTAL",IF(ABS(AB4651)&lt;=0.01,"OK","CHECK"))</f>
        <v/>
      </c>
      <c r="AE4651">
        <f>IF(U4651="","MISSING",IF(AND(AA4651&gt;0,U4651/AA4651&gt;50),"POSSIBLE_SCALE_ERROR","OK"))</f>
        <v/>
      </c>
    </row>
    <row r="4652">
      <c r="A4652" t="inlineStr">
        <is>
          <t>T-2019-Q3-00061</t>
        </is>
      </c>
      <c r="B4652" t="inlineStr">
        <is>
          <t>SLE</t>
        </is>
      </c>
      <c r="C4652" t="inlineStr">
        <is>
          <t>Vice-President, New Brunswick</t>
        </is>
      </c>
      <c r="D4652" t="inlineStr">
        <is>
          <t>Vice-président, Nouveau-Brunswick</t>
        </is>
      </c>
      <c r="E4652" t="inlineStr">
        <is>
          <t>Kent Estabrooks</t>
        </is>
      </c>
      <c r="F4652" t="inlineStr">
        <is>
          <t>Meeting/Presentation with various federal officials</t>
        </is>
      </c>
      <c r="G4652" t="inlineStr">
        <is>
          <t>Réunion/exposé avec divers fonctionnaires fédéraux</t>
        </is>
      </c>
      <c r="H4652" s="1" t="n">
        <v>43423</v>
      </c>
      <c r="I4652" s="1" t="n">
        <v>43424</v>
      </c>
      <c r="J4652" t="inlineStr">
        <is>
          <t>Charlottetown, Prince Edward Island</t>
        </is>
      </c>
      <c r="K4652" t="inlineStr">
        <is>
          <t>Charlottetown (Île-du-Prince-Édouard)</t>
        </is>
      </c>
      <c r="P4652" t="n">
        <v>0</v>
      </c>
      <c r="Q4652" t="n">
        <v>0</v>
      </c>
      <c r="R4652" t="n">
        <v>181.23</v>
      </c>
      <c r="S4652" t="n">
        <v>87.15000000000001</v>
      </c>
      <c r="T4652" t="n">
        <v>67.7</v>
      </c>
      <c r="U4652" t="n">
        <v>336.08</v>
      </c>
      <c r="X4652" t="inlineStr">
        <is>
          <t>acoa-apeca</t>
        </is>
      </c>
      <c r="Y4652" t="inlineStr">
        <is>
          <t>Atlantic Canada Opportunities Agency | Agence de promotion économique du Canada atlantique</t>
        </is>
      </c>
      <c r="Z4652" t="n">
        <v>2</v>
      </c>
      <c r="AA4652" t="n">
        <v>336.08</v>
      </c>
      <c r="AB4652">
        <f>ROUND(U4652-AA4652,2)</f>
        <v/>
      </c>
      <c r="AC4652" t="b">
        <v>0</v>
      </c>
      <c r="AD4652">
        <f>IF(U4652="","MISSING_TOTAL",IF(ABS(AB4652)&lt;=0.01,"OK","CHECK"))</f>
        <v/>
      </c>
      <c r="AE4652">
        <f>IF(U4652="","MISSING",IF(AND(AA4652&gt;0,U4652/AA4652&gt;50),"POSSIBLE_SCALE_ERROR","OK"))</f>
        <v/>
      </c>
    </row>
    <row r="4653">
      <c r="A4653" t="inlineStr">
        <is>
          <t>T-2019-Q3-00060</t>
        </is>
      </c>
      <c r="B4653" t="inlineStr">
        <is>
          <t>SLE</t>
        </is>
      </c>
      <c r="C4653" t="inlineStr">
        <is>
          <t>Vice-President, New Brunswick</t>
        </is>
      </c>
      <c r="D4653" t="inlineStr">
        <is>
          <t>Vice-président, Nouveau-Brunswick</t>
        </is>
      </c>
      <c r="E4653" t="inlineStr">
        <is>
          <t>Kent Estabrooks</t>
        </is>
      </c>
      <c r="F4653" t="inlineStr">
        <is>
          <t>Meeting/Presentation with various federal officials</t>
        </is>
      </c>
      <c r="G4653" t="inlineStr">
        <is>
          <t>Réunion/exposé avec divers fonctionnaires fédéraux</t>
        </is>
      </c>
      <c r="H4653" s="1" t="n">
        <v>43422</v>
      </c>
      <c r="I4653" s="1" t="n">
        <v>43423</v>
      </c>
      <c r="J4653" t="inlineStr">
        <is>
          <t>Saint John, New Brunswick</t>
        </is>
      </c>
      <c r="K4653" t="inlineStr">
        <is>
          <t>Saint John (Nouveau-Brunswick)</t>
        </is>
      </c>
      <c r="P4653" t="n">
        <v>0</v>
      </c>
      <c r="Q4653" t="n">
        <v>0</v>
      </c>
      <c r="R4653" t="n">
        <v>125.56</v>
      </c>
      <c r="S4653" t="n">
        <v>134.6</v>
      </c>
      <c r="T4653" t="n">
        <v>18.34</v>
      </c>
      <c r="U4653" t="n">
        <v>278.5</v>
      </c>
      <c r="X4653" t="inlineStr">
        <is>
          <t>acoa-apeca</t>
        </is>
      </c>
      <c r="Y4653" t="inlineStr">
        <is>
          <t>Atlantic Canada Opportunities Agency | Agence de promotion économique du Canada atlantique</t>
        </is>
      </c>
      <c r="Z4653" t="n">
        <v>2</v>
      </c>
      <c r="AA4653" t="n">
        <v>278.499999999999</v>
      </c>
      <c r="AB4653">
        <f>ROUND(U4653-AA4653,2)</f>
        <v/>
      </c>
      <c r="AC4653" t="b">
        <v>0</v>
      </c>
      <c r="AD4653">
        <f>IF(U4653="","MISSING_TOTAL",IF(ABS(AB4653)&lt;=0.01,"OK","CHECK"))</f>
        <v/>
      </c>
      <c r="AE4653">
        <f>IF(U4653="","MISSING",IF(AND(AA4653&gt;0,U4653/AA4653&gt;50),"POSSIBLE_SCALE_ERROR","OK"))</f>
        <v/>
      </c>
    </row>
    <row r="4654">
      <c r="A4654" t="inlineStr">
        <is>
          <t>T-2019-Q3-00053</t>
        </is>
      </c>
      <c r="B4654" t="inlineStr">
        <is>
          <t>SLE</t>
        </is>
      </c>
      <c r="C4654" t="inlineStr">
        <is>
          <t>Vice-President, New Brunswick</t>
        </is>
      </c>
      <c r="D4654" t="inlineStr">
        <is>
          <t>Vice-président, Nouveau-Brunswick</t>
        </is>
      </c>
      <c r="E4654" t="inlineStr">
        <is>
          <t>Kent Estabrooks</t>
        </is>
      </c>
      <c r="F4654" t="inlineStr">
        <is>
          <t>Meeting with Agency officials</t>
        </is>
      </c>
      <c r="G4654" t="inlineStr">
        <is>
          <t>Réunion avec des fonctionnaires de l'Agence</t>
        </is>
      </c>
      <c r="H4654" s="1" t="n">
        <v>43413</v>
      </c>
      <c r="I4654" s="1" t="n">
        <v>43413</v>
      </c>
      <c r="J4654" t="inlineStr">
        <is>
          <t>Saint John, New Brunswick</t>
        </is>
      </c>
      <c r="K4654" t="inlineStr">
        <is>
          <t>Saint John (Nouveau-Brunswick)</t>
        </is>
      </c>
      <c r="P4654" t="n">
        <v>0</v>
      </c>
      <c r="Q4654" t="n">
        <v>34</v>
      </c>
      <c r="R4654" t="n">
        <v>130.3</v>
      </c>
      <c r="S4654" t="n">
        <v>37.15</v>
      </c>
      <c r="T4654" t="n">
        <v>0</v>
      </c>
      <c r="U4654" t="n">
        <v>201.45</v>
      </c>
      <c r="X4654" t="inlineStr">
        <is>
          <t>acoa-apeca</t>
        </is>
      </c>
      <c r="Y4654" t="inlineStr">
        <is>
          <t>Atlantic Canada Opportunities Agency | Agence de promotion économique du Canada atlantique</t>
        </is>
      </c>
      <c r="Z4654" t="n">
        <v>1</v>
      </c>
      <c r="AA4654" t="n">
        <v>201.45</v>
      </c>
      <c r="AB4654">
        <f>ROUND(U4654-AA4654,2)</f>
        <v/>
      </c>
      <c r="AC4654" t="b">
        <v>0</v>
      </c>
      <c r="AD4654">
        <f>IF(U4654="","MISSING_TOTAL",IF(ABS(AB4654)&lt;=0.01,"OK","CHECK"))</f>
        <v/>
      </c>
      <c r="AE4654">
        <f>IF(U4654="","MISSING",IF(AND(AA4654&gt;0,U4654/AA4654&gt;50),"POSSIBLE_SCALE_ERROR","OK"))</f>
        <v/>
      </c>
    </row>
    <row r="4655">
      <c r="A4655" t="inlineStr">
        <is>
          <t>T-2019-Q3-00050</t>
        </is>
      </c>
      <c r="B4655" t="inlineStr">
        <is>
          <t>SLE</t>
        </is>
      </c>
      <c r="C4655" t="inlineStr">
        <is>
          <t>Vice-President, New Brunswick</t>
        </is>
      </c>
      <c r="D4655" t="inlineStr">
        <is>
          <t>Vice-président, Nouveau-Brunswick</t>
        </is>
      </c>
      <c r="E4655" t="inlineStr">
        <is>
          <t>Kent Estabrooks</t>
        </is>
      </c>
      <c r="F4655" t="inlineStr">
        <is>
          <t>Event with provincial/federal officials</t>
        </is>
      </c>
      <c r="G4655" t="inlineStr">
        <is>
          <t>Activité avec des fonctionnaires provinciaux/fédéraux</t>
        </is>
      </c>
      <c r="H4655" s="1" t="n">
        <v>43411</v>
      </c>
      <c r="I4655" s="1" t="n">
        <v>43412</v>
      </c>
      <c r="J4655" t="inlineStr">
        <is>
          <t>Halifax, Nova Scotia</t>
        </is>
      </c>
      <c r="K4655" t="inlineStr">
        <is>
          <t>Halifax (Nouvelle-Écosse)</t>
        </is>
      </c>
      <c r="P4655" t="n">
        <v>784.3</v>
      </c>
      <c r="Q4655" t="n">
        <v>120.7</v>
      </c>
      <c r="R4655" t="n">
        <v>238.72</v>
      </c>
      <c r="S4655" t="n">
        <v>174.3</v>
      </c>
      <c r="T4655" t="n">
        <v>0</v>
      </c>
      <c r="U4655" t="n">
        <v>1318.02</v>
      </c>
      <c r="X4655" t="inlineStr">
        <is>
          <t>acoa-apeca</t>
        </is>
      </c>
      <c r="Y4655" t="inlineStr">
        <is>
          <t>Atlantic Canada Opportunities Agency | Agence de promotion économique du Canada atlantique</t>
        </is>
      </c>
      <c r="Z4655" t="n">
        <v>2</v>
      </c>
      <c r="AA4655" t="n">
        <v>1318.02</v>
      </c>
      <c r="AB4655">
        <f>ROUND(U4655-AA4655,2)</f>
        <v/>
      </c>
      <c r="AC4655" t="b">
        <v>0</v>
      </c>
      <c r="AD4655">
        <f>IF(U4655="","MISSING_TOTAL",IF(ABS(AB4655)&lt;=0.01,"OK","CHECK"))</f>
        <v/>
      </c>
      <c r="AE4655">
        <f>IF(U4655="","MISSING",IF(AND(AA4655&gt;0,U4655/AA4655&gt;50),"POSSIBLE_SCALE_ERROR","OK"))</f>
        <v/>
      </c>
    </row>
    <row r="4656">
      <c r="A4656" t="inlineStr">
        <is>
          <t>T-2019-Q3-00036</t>
        </is>
      </c>
      <c r="B4656" t="inlineStr">
        <is>
          <t>SLE</t>
        </is>
      </c>
      <c r="C4656" t="inlineStr">
        <is>
          <t>Vice-President, Finance and Corporate Services</t>
        </is>
      </c>
      <c r="D4656" t="inlineStr">
        <is>
          <t>Vice-président, Finance et Services corporatifs</t>
        </is>
      </c>
      <c r="E4656" t="inlineStr">
        <is>
          <t>Stephane Lagace</t>
        </is>
      </c>
      <c r="F4656" t="inlineStr">
        <is>
          <t>APEX recognition ceremony</t>
        </is>
      </c>
      <c r="G4656" t="inlineStr">
        <is>
          <t>Cérémonie de reconnaissance de l'APEX</t>
        </is>
      </c>
      <c r="H4656" s="1" t="n">
        <v>43411</v>
      </c>
      <c r="I4656" s="1" t="n">
        <v>43412</v>
      </c>
      <c r="J4656" t="inlineStr">
        <is>
          <t>Ottawa, Ontario</t>
        </is>
      </c>
      <c r="K4656" t="inlineStr">
        <is>
          <t>Ottawa (Ontario)</t>
        </is>
      </c>
      <c r="P4656" t="n">
        <v>626.35</v>
      </c>
      <c r="Q4656" t="n">
        <v>77.44</v>
      </c>
      <c r="R4656" t="n">
        <v>225.64</v>
      </c>
      <c r="S4656" t="n">
        <v>74.7</v>
      </c>
      <c r="T4656" t="n">
        <v>28</v>
      </c>
      <c r="U4656" t="n">
        <v>1032.13</v>
      </c>
      <c r="X4656" t="inlineStr">
        <is>
          <t>acoa-apeca</t>
        </is>
      </c>
      <c r="Y4656" t="inlineStr">
        <is>
          <t>Atlantic Canada Opportunities Agency | Agence de promotion économique du Canada atlantique</t>
        </is>
      </c>
      <c r="Z4656" t="n">
        <v>2</v>
      </c>
      <c r="AA4656" t="n">
        <v>1032.13</v>
      </c>
      <c r="AB4656">
        <f>ROUND(U4656-AA4656,2)</f>
        <v/>
      </c>
      <c r="AC4656" t="b">
        <v>0</v>
      </c>
      <c r="AD4656">
        <f>IF(U4656="","MISSING_TOTAL",IF(ABS(AB4656)&lt;=0.01,"OK","CHECK"))</f>
        <v/>
      </c>
      <c r="AE4656">
        <f>IF(U4656="","MISSING",IF(AND(AA4656&gt;0,U4656/AA4656&gt;50),"POSSIBLE_SCALE_ERROR","OK"))</f>
        <v/>
      </c>
    </row>
    <row r="4657">
      <c r="A4657" t="inlineStr">
        <is>
          <t>T-2019-Q3-00047</t>
        </is>
      </c>
      <c r="B4657" t="inlineStr">
        <is>
          <t>SLE</t>
        </is>
      </c>
      <c r="C4657" t="inlineStr">
        <is>
          <t>Vice-President, New Brunswick</t>
        </is>
      </c>
      <c r="D4657" t="inlineStr">
        <is>
          <t>Vice-président, Nouveau-Brunswick</t>
        </is>
      </c>
      <c r="E4657" t="inlineStr">
        <is>
          <t>Kent Estabrooks</t>
        </is>
      </c>
      <c r="F4657" t="inlineStr">
        <is>
          <t>Meeting with federal official and client meeting</t>
        </is>
      </c>
      <c r="G4657" t="inlineStr">
        <is>
          <t>Réunion avec un fonctionnaire fédéral et réunion avec un client</t>
        </is>
      </c>
      <c r="H4657" s="1" t="n">
        <v>43401</v>
      </c>
      <c r="I4657" s="1" t="n">
        <v>43404</v>
      </c>
      <c r="J4657" t="inlineStr">
        <is>
          <t>Ottawa, Ontario</t>
        </is>
      </c>
      <c r="K4657" t="inlineStr">
        <is>
          <t>Ottawa (Ontario)</t>
        </is>
      </c>
      <c r="P4657" t="n">
        <v>784.3</v>
      </c>
      <c r="Q4657" t="n">
        <v>148.76</v>
      </c>
      <c r="R4657" t="n">
        <v>701.58</v>
      </c>
      <c r="S4657" t="n">
        <v>348.6</v>
      </c>
      <c r="T4657" t="n">
        <v>0</v>
      </c>
      <c r="U4657" t="n">
        <v>1983.24</v>
      </c>
      <c r="X4657" t="inlineStr">
        <is>
          <t>acoa-apeca</t>
        </is>
      </c>
      <c r="Y4657" t="inlineStr">
        <is>
          <t>Atlantic Canada Opportunities Agency | Agence de promotion économique du Canada atlantique</t>
        </is>
      </c>
      <c r="Z4657" t="n">
        <v>4</v>
      </c>
      <c r="AA4657" t="n">
        <v>1983.23999999999</v>
      </c>
      <c r="AB4657">
        <f>ROUND(U4657-AA4657,2)</f>
        <v/>
      </c>
      <c r="AC4657" t="b">
        <v>0</v>
      </c>
      <c r="AD4657">
        <f>IF(U4657="","MISSING_TOTAL",IF(ABS(AB4657)&lt;=0.01,"OK","CHECK"))</f>
        <v/>
      </c>
      <c r="AE4657">
        <f>IF(U4657="","MISSING",IF(AND(AA4657&gt;0,U4657/AA4657&gt;50),"POSSIBLE_SCALE_ERROR","OK"))</f>
        <v/>
      </c>
    </row>
    <row r="4658">
      <c r="A4658" t="inlineStr">
        <is>
          <t>T-2019-Q3-00046</t>
        </is>
      </c>
      <c r="B4658" t="inlineStr">
        <is>
          <t>SLE</t>
        </is>
      </c>
      <c r="C4658" t="inlineStr">
        <is>
          <t>Vice-President, New Brunswick</t>
        </is>
      </c>
      <c r="D4658" t="inlineStr">
        <is>
          <t>Vice-président, Nouveau-Brunswick</t>
        </is>
      </c>
      <c r="E4658" t="inlineStr">
        <is>
          <t>Kent Estabrooks</t>
        </is>
      </c>
      <c r="F4658" t="inlineStr">
        <is>
          <t>Executive development and Agency Executive Committee meeting</t>
        </is>
      </c>
      <c r="G4658" t="inlineStr">
        <is>
          <t>Perfectionnement des cadres supérieurs et réunion du Comité de direction de l'Agence</t>
        </is>
      </c>
      <c r="H4658" s="1" t="n">
        <v>43389</v>
      </c>
      <c r="I4658" s="1" t="n">
        <v>43392</v>
      </c>
      <c r="J4658" t="inlineStr">
        <is>
          <t>Moncton, New Brunswick</t>
        </is>
      </c>
      <c r="K4658" t="inlineStr">
        <is>
          <t>Moncton (Nouveau-Brunswick)</t>
        </is>
      </c>
      <c r="P4658" t="n">
        <v>0</v>
      </c>
      <c r="Q4658" t="n">
        <v>0</v>
      </c>
      <c r="R4658" t="n">
        <v>507.15</v>
      </c>
      <c r="S4658" t="n">
        <v>169.2</v>
      </c>
      <c r="T4658" t="n">
        <v>1.85</v>
      </c>
      <c r="U4658" t="n">
        <v>678.2</v>
      </c>
      <c r="X4658" t="inlineStr">
        <is>
          <t>acoa-apeca</t>
        </is>
      </c>
      <c r="Y4658" t="inlineStr">
        <is>
          <t>Atlantic Canada Opportunities Agency | Agence de promotion économique du Canada atlantique</t>
        </is>
      </c>
      <c r="Z4658" t="n">
        <v>4</v>
      </c>
      <c r="AA4658" t="n">
        <v>678.199999999999</v>
      </c>
      <c r="AB4658">
        <f>ROUND(U4658-AA4658,2)</f>
        <v/>
      </c>
      <c r="AC4658" t="b">
        <v>0</v>
      </c>
      <c r="AD4658">
        <f>IF(U4658="","MISSING_TOTAL",IF(ABS(AB4658)&lt;=0.01,"OK","CHECK"))</f>
        <v/>
      </c>
      <c r="AE4658">
        <f>IF(U4658="","MISSING",IF(AND(AA4658&gt;0,U4658/AA4658&gt;50),"POSSIBLE_SCALE_ERROR","OK"))</f>
        <v/>
      </c>
    </row>
    <row r="4659">
      <c r="A4659" t="inlineStr">
        <is>
          <t>T-2019-Q3-00018</t>
        </is>
      </c>
      <c r="B4659" t="inlineStr">
        <is>
          <t>SLE</t>
        </is>
      </c>
      <c r="C4659" t="inlineStr">
        <is>
          <t>Vice-President, New Brunswick</t>
        </is>
      </c>
      <c r="D4659" t="inlineStr">
        <is>
          <t>Vice-président, Nouveau-Brunswick</t>
        </is>
      </c>
      <c r="E4659" t="inlineStr">
        <is>
          <t>Kent Estabrooks</t>
        </is>
      </c>
      <c r="F4659" t="inlineStr">
        <is>
          <t>Meeting with a client</t>
        </is>
      </c>
      <c r="G4659" t="inlineStr">
        <is>
          <t>Réunion avec un client</t>
        </is>
      </c>
      <c r="H4659" s="1" t="n">
        <v>43370</v>
      </c>
      <c r="I4659" s="1" t="n">
        <v>43370</v>
      </c>
      <c r="J4659" t="inlineStr">
        <is>
          <t>Saint John, New Brunswick</t>
        </is>
      </c>
      <c r="K4659" t="inlineStr">
        <is>
          <t>Saint John (Nouveau-Brunswick)</t>
        </is>
      </c>
      <c r="P4659" t="n">
        <v>0</v>
      </c>
      <c r="Q4659" t="n">
        <v>0</v>
      </c>
      <c r="R4659" t="n">
        <v>19.2</v>
      </c>
      <c r="S4659" t="n">
        <v>0</v>
      </c>
      <c r="T4659" t="n">
        <v>0</v>
      </c>
      <c r="U4659" t="n">
        <v>19.2</v>
      </c>
      <c r="X4659" t="inlineStr">
        <is>
          <t>acoa-apeca</t>
        </is>
      </c>
      <c r="Y4659" t="inlineStr">
        <is>
          <t>Atlantic Canada Opportunities Agency | Agence de promotion économique du Canada atlantique</t>
        </is>
      </c>
      <c r="Z4659" t="n">
        <v>1</v>
      </c>
      <c r="AA4659" t="n">
        <v>19.2</v>
      </c>
      <c r="AB4659">
        <f>ROUND(U4659-AA4659,2)</f>
        <v/>
      </c>
      <c r="AC4659" t="b">
        <v>0</v>
      </c>
      <c r="AD4659">
        <f>IF(U4659="","MISSING_TOTAL",IF(ABS(AB4659)&lt;=0.01,"OK","CHECK"))</f>
        <v/>
      </c>
      <c r="AE4659">
        <f>IF(U4659="","MISSING",IF(AND(AA4659&gt;0,U4659/AA4659&gt;50),"POSSIBLE_SCALE_ERROR","OK"))</f>
        <v/>
      </c>
    </row>
    <row r="4660">
      <c r="A4660" t="inlineStr">
        <is>
          <t>T-2019-Q3-00017</t>
        </is>
      </c>
      <c r="B4660" t="inlineStr">
        <is>
          <t>SLE</t>
        </is>
      </c>
      <c r="C4660" t="inlineStr">
        <is>
          <t>Vice-President, New Brunswick</t>
        </is>
      </c>
      <c r="D4660" t="inlineStr">
        <is>
          <t>Vice-président, Nouveau-Brunswick</t>
        </is>
      </c>
      <c r="E4660" t="inlineStr">
        <is>
          <t>Kent Estabrooks</t>
        </is>
      </c>
      <c r="F4660" t="inlineStr">
        <is>
          <t>Champion file meetings</t>
        </is>
      </c>
      <c r="G4660" t="inlineStr">
        <is>
          <t>Réunions sur les dossiers des champions</t>
        </is>
      </c>
      <c r="H4660" s="1" t="n">
        <v>43384</v>
      </c>
      <c r="I4660" s="1" t="n">
        <v>43385</v>
      </c>
      <c r="J4660" t="inlineStr">
        <is>
          <t>Halifax, Nova Scotia</t>
        </is>
      </c>
      <c r="K4660" t="inlineStr">
        <is>
          <t>Halifax (Nouvelle-Écosse)</t>
        </is>
      </c>
      <c r="P4660" t="n">
        <v>726.8</v>
      </c>
      <c r="Q4660" t="n">
        <v>105.38</v>
      </c>
      <c r="R4660" t="n">
        <v>233.43</v>
      </c>
      <c r="S4660" t="n">
        <v>154.45</v>
      </c>
      <c r="T4660" t="n">
        <v>9.5</v>
      </c>
      <c r="U4660" t="n">
        <v>1229.56</v>
      </c>
      <c r="X4660" t="inlineStr">
        <is>
          <t>acoa-apeca</t>
        </is>
      </c>
      <c r="Y4660" t="inlineStr">
        <is>
          <t>Atlantic Canada Opportunities Agency | Agence de promotion économique du Canada atlantique</t>
        </is>
      </c>
      <c r="Z4660" t="n">
        <v>2</v>
      </c>
      <c r="AA4660" t="n">
        <v>1229.56</v>
      </c>
      <c r="AB4660">
        <f>ROUND(U4660-AA4660,2)</f>
        <v/>
      </c>
      <c r="AC4660" t="b">
        <v>0</v>
      </c>
      <c r="AD4660">
        <f>IF(U4660="","MISSING_TOTAL",IF(ABS(AB4660)&lt;=0.01,"OK","CHECK"))</f>
        <v/>
      </c>
      <c r="AE4660">
        <f>IF(U4660="","MISSING",IF(AND(AA4660&gt;0,U4660/AA4660&gt;50),"POSSIBLE_SCALE_ERROR","OK"))</f>
        <v/>
      </c>
    </row>
    <row r="4661">
      <c r="A4661" t="inlineStr">
        <is>
          <t>T-2019-Q3-00016</t>
        </is>
      </c>
      <c r="B4661" t="inlineStr">
        <is>
          <t>SLE</t>
        </is>
      </c>
      <c r="C4661" t="inlineStr">
        <is>
          <t>Vice-President, New Brunswick</t>
        </is>
      </c>
      <c r="D4661" t="inlineStr">
        <is>
          <t>Vice-président, Nouveau-Brunswick</t>
        </is>
      </c>
      <c r="E4661" t="inlineStr">
        <is>
          <t>Kent Estabrooks</t>
        </is>
      </c>
      <c r="F4661" t="inlineStr">
        <is>
          <t>Champion file meetings</t>
        </is>
      </c>
      <c r="G4661" t="inlineStr">
        <is>
          <t>Réunions sur les dossiers des champions</t>
        </is>
      </c>
      <c r="H4661" s="1" t="n">
        <v>43368</v>
      </c>
      <c r="I4661" s="1" t="n">
        <v>43369</v>
      </c>
      <c r="J4661" t="inlineStr">
        <is>
          <t>Halifax, Nova Scotia</t>
        </is>
      </c>
      <c r="K4661" t="inlineStr">
        <is>
          <t>Halifax (Nouvelle-Écosse)</t>
        </is>
      </c>
      <c r="P4661" t="n">
        <v>726.8</v>
      </c>
      <c r="Q4661" t="n">
        <v>154.5</v>
      </c>
      <c r="R4661" t="n">
        <v>251.76</v>
      </c>
      <c r="S4661" t="n">
        <v>188.75</v>
      </c>
      <c r="T4661" t="n">
        <v>0</v>
      </c>
      <c r="U4661" t="n">
        <v>1321.81</v>
      </c>
      <c r="X4661" t="inlineStr">
        <is>
          <t>acoa-apeca</t>
        </is>
      </c>
      <c r="Y4661" t="inlineStr">
        <is>
          <t>Atlantic Canada Opportunities Agency | Agence de promotion économique du Canada atlantique</t>
        </is>
      </c>
      <c r="Z4661" t="n">
        <v>2</v>
      </c>
      <c r="AA4661" t="n">
        <v>1321.81</v>
      </c>
      <c r="AB4661">
        <f>ROUND(U4661-AA4661,2)</f>
        <v/>
      </c>
      <c r="AC4661" t="b">
        <v>0</v>
      </c>
      <c r="AD4661">
        <f>IF(U4661="","MISSING_TOTAL",IF(ABS(AB4661)&lt;=0.01,"OK","CHECK"))</f>
        <v/>
      </c>
      <c r="AE4661">
        <f>IF(U4661="","MISSING",IF(AND(AA4661&gt;0,U4661/AA4661&gt;50),"POSSIBLE_SCALE_ERROR","OK"))</f>
        <v/>
      </c>
    </row>
    <row r="4662">
      <c r="A4662" t="inlineStr">
        <is>
          <t>T-2019-Q3-00015</t>
        </is>
      </c>
      <c r="B4662" t="inlineStr">
        <is>
          <t>SLE</t>
        </is>
      </c>
      <c r="C4662" t="inlineStr">
        <is>
          <t>Vice-President, New Brunswick</t>
        </is>
      </c>
      <c r="D4662" t="inlineStr">
        <is>
          <t>Vice-président, Nouveau-Brunswick</t>
        </is>
      </c>
      <c r="E4662" t="inlineStr">
        <is>
          <t>Kent Estabrooks</t>
        </is>
      </c>
      <c r="F4662" t="inlineStr">
        <is>
          <t>Various meetings with stakeholders</t>
        </is>
      </c>
      <c r="G4662" t="inlineStr">
        <is>
          <t>Diverses réunions avec des intervenants</t>
        </is>
      </c>
      <c r="H4662" s="1" t="n">
        <v>43360</v>
      </c>
      <c r="I4662" s="1" t="n">
        <v>43362</v>
      </c>
      <c r="J4662" t="inlineStr">
        <is>
          <t>Montreal, Quebec</t>
        </is>
      </c>
      <c r="K4662" t="inlineStr">
        <is>
          <t>Montréal (Québec)</t>
        </is>
      </c>
      <c r="P4662" t="n">
        <v>726.8</v>
      </c>
      <c r="Q4662" t="n">
        <v>144.33</v>
      </c>
      <c r="R4662" t="n">
        <v>473.64</v>
      </c>
      <c r="S4662" t="n">
        <v>215.55</v>
      </c>
      <c r="T4662" t="n">
        <v>57.49</v>
      </c>
      <c r="U4662" t="n">
        <v>1617.81</v>
      </c>
      <c r="X4662" t="inlineStr">
        <is>
          <t>acoa-apeca</t>
        </is>
      </c>
      <c r="Y4662" t="inlineStr">
        <is>
          <t>Atlantic Canada Opportunities Agency | Agence de promotion économique du Canada atlantique</t>
        </is>
      </c>
      <c r="Z4662" t="n">
        <v>3</v>
      </c>
      <c r="AA4662" t="n">
        <v>1617.81</v>
      </c>
      <c r="AB4662">
        <f>ROUND(U4662-AA4662,2)</f>
        <v/>
      </c>
      <c r="AC4662" t="b">
        <v>0</v>
      </c>
      <c r="AD4662">
        <f>IF(U4662="","MISSING_TOTAL",IF(ABS(AB4662)&lt;=0.01,"OK","CHECK"))</f>
        <v/>
      </c>
      <c r="AE4662">
        <f>IF(U4662="","MISSING",IF(AND(AA4662&gt;0,U4662/AA4662&gt;50),"POSSIBLE_SCALE_ERROR","OK"))</f>
        <v/>
      </c>
    </row>
    <row r="4663">
      <c r="A4663" t="inlineStr">
        <is>
          <t>T-2019-Q3-00014</t>
        </is>
      </c>
      <c r="B4663" t="inlineStr">
        <is>
          <t>SLE</t>
        </is>
      </c>
      <c r="C4663" t="inlineStr">
        <is>
          <t>Vice-President, New Brunswick</t>
        </is>
      </c>
      <c r="D4663" t="inlineStr">
        <is>
          <t>Vice-président, Nouveau-Brunswick</t>
        </is>
      </c>
      <c r="E4663" t="inlineStr">
        <is>
          <t>Kent Estabrooks</t>
        </is>
      </c>
      <c r="F4663" t="inlineStr">
        <is>
          <t>Speaking engagement at stakeholder event/various meetings with Agency officials</t>
        </is>
      </c>
      <c r="G4663" t="inlineStr">
        <is>
          <t>Allocution lors d'une activité avec un intervenant/diverses réunions avec des fonctionnaires de l'Agence</t>
        </is>
      </c>
      <c r="H4663" s="1" t="n">
        <v>43354</v>
      </c>
      <c r="I4663" s="1" t="n">
        <v>43355</v>
      </c>
      <c r="J4663" t="inlineStr">
        <is>
          <t>Moncton, New Brunswick</t>
        </is>
      </c>
      <c r="K4663" t="inlineStr">
        <is>
          <t>Moncton (Nouveau-Brunswick)</t>
        </is>
      </c>
      <c r="P4663" t="n">
        <v>0</v>
      </c>
      <c r="Q4663" t="n">
        <v>0</v>
      </c>
      <c r="R4663" t="n">
        <v>152.95</v>
      </c>
      <c r="S4663" t="n">
        <v>150.1</v>
      </c>
      <c r="T4663" t="n">
        <v>3.55</v>
      </c>
      <c r="U4663" t="n">
        <v>306.6</v>
      </c>
      <c r="X4663" t="inlineStr">
        <is>
          <t>acoa-apeca</t>
        </is>
      </c>
      <c r="Y4663" t="inlineStr">
        <is>
          <t>Atlantic Canada Opportunities Agency | Agence de promotion économique du Canada atlantique</t>
        </is>
      </c>
      <c r="Z4663" t="n">
        <v>2</v>
      </c>
      <c r="AA4663" t="n">
        <v>306.599999999999</v>
      </c>
      <c r="AB4663">
        <f>ROUND(U4663-AA4663,2)</f>
        <v/>
      </c>
      <c r="AC4663" t="b">
        <v>0</v>
      </c>
      <c r="AD4663">
        <f>IF(U4663="","MISSING_TOTAL",IF(ABS(AB4663)&lt;=0.01,"OK","CHECK"))</f>
        <v/>
      </c>
      <c r="AE4663">
        <f>IF(U4663="","MISSING",IF(AND(AA4663&gt;0,U4663/AA4663&gt;50),"POSSIBLE_SCALE_ERROR","OK"))</f>
        <v/>
      </c>
    </row>
    <row r="4664">
      <c r="A4664" t="inlineStr">
        <is>
          <t>T-2019-Q3-00071</t>
        </is>
      </c>
      <c r="B4664" t="inlineStr">
        <is>
          <t>SLE</t>
        </is>
      </c>
      <c r="C4664" t="inlineStr">
        <is>
          <t>Vice-President, Prince Edward Island</t>
        </is>
      </c>
      <c r="D4664" t="inlineStr">
        <is>
          <t>Vice-président, Île-du-Prince-Édouard</t>
        </is>
      </c>
      <c r="E4664" t="inlineStr">
        <is>
          <t>Patrick Dorsey</t>
        </is>
      </c>
      <c r="F4664" t="inlineStr">
        <is>
          <t>Trade mission to China</t>
        </is>
      </c>
      <c r="G4664" t="inlineStr">
        <is>
          <t>Mission commerciale en Chine</t>
        </is>
      </c>
      <c r="H4664" s="1" t="n">
        <v>43410</v>
      </c>
      <c r="I4664" s="1" t="n">
        <v>43417</v>
      </c>
      <c r="J4664" t="inlineStr">
        <is>
          <t>Shanghai, China</t>
        </is>
      </c>
      <c r="K4664" t="inlineStr">
        <is>
          <t>Shanghai (Chine)</t>
        </is>
      </c>
      <c r="P4664" t="n">
        <v>5525.63</v>
      </c>
      <c r="Q4664" t="n">
        <v>88.43000000000001</v>
      </c>
      <c r="R4664" t="n">
        <v>1874.57</v>
      </c>
      <c r="S4664" t="n">
        <v>1077</v>
      </c>
      <c r="T4664" t="n">
        <v>209.26</v>
      </c>
      <c r="U4664" t="n">
        <v>8774.889999999999</v>
      </c>
      <c r="X4664" t="inlineStr">
        <is>
          <t>acoa-apeca</t>
        </is>
      </c>
      <c r="Y4664" t="inlineStr">
        <is>
          <t>Atlantic Canada Opportunities Agency | Agence de promotion économique du Canada atlantique</t>
        </is>
      </c>
      <c r="Z4664" t="n">
        <v>8</v>
      </c>
      <c r="AA4664" t="n">
        <v>8774.889999999999</v>
      </c>
      <c r="AB4664">
        <f>ROUND(U4664-AA4664,2)</f>
        <v/>
      </c>
      <c r="AC4664" t="b">
        <v>0</v>
      </c>
      <c r="AD4664">
        <f>IF(U4664="","MISSING_TOTAL",IF(ABS(AB4664)&lt;=0.01,"OK","CHECK"))</f>
        <v/>
      </c>
      <c r="AE4664">
        <f>IF(U4664="","MISSING",IF(AND(AA4664&gt;0,U4664/AA4664&gt;50),"POSSIBLE_SCALE_ERROR","OK"))</f>
        <v/>
      </c>
    </row>
    <row r="4665">
      <c r="A4665" t="inlineStr">
        <is>
          <t>T-2019-Q3-00069</t>
        </is>
      </c>
      <c r="B4665" t="inlineStr">
        <is>
          <t>SLE</t>
        </is>
      </c>
      <c r="C4665" t="inlineStr">
        <is>
          <t>Vice-President, Prince Edward Island</t>
        </is>
      </c>
      <c r="D4665" t="inlineStr">
        <is>
          <t>Vice-président, Île-du-Prince-Édouard</t>
        </is>
      </c>
      <c r="E4665" t="inlineStr">
        <is>
          <t>Patrick Dorsey</t>
        </is>
      </c>
      <c r="F4665" t="inlineStr">
        <is>
          <t>Meetings with government officials</t>
        </is>
      </c>
      <c r="G4665" t="inlineStr">
        <is>
          <t>Réunions avec des fonctionnaires</t>
        </is>
      </c>
      <c r="H4665" s="1" t="n">
        <v>43429</v>
      </c>
      <c r="I4665" s="1" t="n">
        <v>43432</v>
      </c>
      <c r="J4665" t="inlineStr">
        <is>
          <t>Ottawa, Ontario</t>
        </is>
      </c>
      <c r="K4665" t="inlineStr">
        <is>
          <t>Ottawa (Ontario)</t>
        </is>
      </c>
      <c r="P4665" t="n">
        <v>995.86</v>
      </c>
      <c r="Q4665" t="n">
        <v>129.87</v>
      </c>
      <c r="R4665" t="n">
        <v>701.58</v>
      </c>
      <c r="S4665" t="n">
        <v>369.25</v>
      </c>
      <c r="T4665" t="n">
        <v>0</v>
      </c>
      <c r="U4665" t="n">
        <v>2196.56</v>
      </c>
      <c r="X4665" t="inlineStr">
        <is>
          <t>acoa-apeca</t>
        </is>
      </c>
      <c r="Y4665" t="inlineStr">
        <is>
          <t>Atlantic Canada Opportunities Agency | Agence de promotion économique du Canada atlantique</t>
        </is>
      </c>
      <c r="Z4665" t="n">
        <v>4</v>
      </c>
      <c r="AA4665" t="n">
        <v>2196.56</v>
      </c>
      <c r="AB4665">
        <f>ROUND(U4665-AA4665,2)</f>
        <v/>
      </c>
      <c r="AC4665" t="b">
        <v>0</v>
      </c>
      <c r="AD4665">
        <f>IF(U4665="","MISSING_TOTAL",IF(ABS(AB4665)&lt;=0.01,"OK","CHECK"))</f>
        <v/>
      </c>
      <c r="AE4665">
        <f>IF(U4665="","MISSING",IF(AND(AA4665&gt;0,U4665/AA4665&gt;50),"POSSIBLE_SCALE_ERROR","OK"))</f>
        <v/>
      </c>
    </row>
    <row r="4666">
      <c r="A4666" t="inlineStr">
        <is>
          <t>T-2019-Q2-00052</t>
        </is>
      </c>
      <c r="B4666" t="inlineStr">
        <is>
          <t>SLE</t>
        </is>
      </c>
      <c r="C4666" t="inlineStr">
        <is>
          <t>Vice-President, Prince Edward Island</t>
        </is>
      </c>
      <c r="D4666" t="inlineStr">
        <is>
          <t>Vice-président, Île-du-Prince-Édouard</t>
        </is>
      </c>
      <c r="E4666" t="inlineStr">
        <is>
          <t>Patrick Dorsey</t>
        </is>
      </c>
      <c r="F4666" t="inlineStr">
        <is>
          <t>Meetings with various government officials</t>
        </is>
      </c>
      <c r="G4666" t="inlineStr">
        <is>
          <t>Réunions avec divers fonctionnaires</t>
        </is>
      </c>
      <c r="H4666" s="1" t="n">
        <v>43334</v>
      </c>
      <c r="I4666" s="1" t="n">
        <v>43336</v>
      </c>
      <c r="J4666" t="inlineStr">
        <is>
          <t>Ottawa, Ontario</t>
        </is>
      </c>
      <c r="K4666" t="inlineStr">
        <is>
          <t>Ottawa (Ontario)</t>
        </is>
      </c>
      <c r="P4666" t="n">
        <v>0</v>
      </c>
      <c r="Q4666" t="n">
        <v>476.36</v>
      </c>
      <c r="R4666" t="n">
        <v>467.72</v>
      </c>
      <c r="S4666" t="n">
        <v>67.34999999999999</v>
      </c>
      <c r="T4666" t="n">
        <v>0</v>
      </c>
      <c r="U4666" t="n">
        <v>1011.43</v>
      </c>
      <c r="X4666" t="inlineStr">
        <is>
          <t>acoa-apeca</t>
        </is>
      </c>
      <c r="Y4666" t="inlineStr">
        <is>
          <t>Atlantic Canada Opportunities Agency | Agence de promotion économique du Canada atlantique</t>
        </is>
      </c>
      <c r="Z4666" t="n">
        <v>3</v>
      </c>
      <c r="AA4666" t="n">
        <v>1011.43</v>
      </c>
      <c r="AB4666">
        <f>ROUND(U4666-AA4666,2)</f>
        <v/>
      </c>
      <c r="AC4666" t="b">
        <v>0</v>
      </c>
      <c r="AD4666">
        <f>IF(U4666="","MISSING_TOTAL",IF(ABS(AB4666)&lt;=0.01,"OK","CHECK"))</f>
        <v/>
      </c>
      <c r="AE4666">
        <f>IF(U4666="","MISSING",IF(AND(AA4666&gt;0,U4666/AA4666&gt;50),"POSSIBLE_SCALE_ERROR","OK"))</f>
        <v/>
      </c>
    </row>
    <row r="4667">
      <c r="A4667" t="inlineStr">
        <is>
          <t>T-2019-Q3-00043</t>
        </is>
      </c>
      <c r="B4667" t="inlineStr">
        <is>
          <t>SLE</t>
        </is>
      </c>
      <c r="C4667" t="inlineStr">
        <is>
          <t>Vice-President, Prince Edward Island</t>
        </is>
      </c>
      <c r="D4667" t="inlineStr">
        <is>
          <t>Vice-président, Île-du-Prince-Édouard</t>
        </is>
      </c>
      <c r="E4667" t="inlineStr">
        <is>
          <t>Patrick Dorsey</t>
        </is>
      </c>
      <c r="F4667" t="inlineStr">
        <is>
          <t>Meetings with government officials and key stakeholders</t>
        </is>
      </c>
      <c r="G4667" t="inlineStr">
        <is>
          <t>Réunions avec des fonctionnaires et des intervenants clés</t>
        </is>
      </c>
      <c r="H4667" s="1" t="n">
        <v>43424</v>
      </c>
      <c r="I4667" s="1" t="n">
        <v>43426</v>
      </c>
      <c r="J4667" t="inlineStr">
        <is>
          <t>Ottawa, Ontario</t>
        </is>
      </c>
      <c r="K4667" t="inlineStr">
        <is>
          <t>Ottawa (Ontario)</t>
        </is>
      </c>
      <c r="P4667" t="n">
        <v>1364.75</v>
      </c>
      <c r="Q4667" t="n">
        <v>187.2</v>
      </c>
      <c r="R4667" t="n">
        <v>350.2</v>
      </c>
      <c r="S4667" t="n">
        <v>301.95</v>
      </c>
      <c r="T4667" t="n">
        <v>0</v>
      </c>
      <c r="U4667" t="n">
        <v>2204.1</v>
      </c>
      <c r="X4667" t="inlineStr">
        <is>
          <t>acoa-apeca</t>
        </is>
      </c>
      <c r="Y4667" t="inlineStr">
        <is>
          <t>Atlantic Canada Opportunities Agency | Agence de promotion économique du Canada atlantique</t>
        </is>
      </c>
      <c r="Z4667" t="n">
        <v>3</v>
      </c>
      <c r="AA4667" t="n">
        <v>2204.1</v>
      </c>
      <c r="AB4667">
        <f>ROUND(U4667-AA4667,2)</f>
        <v/>
      </c>
      <c r="AC4667" t="b">
        <v>0</v>
      </c>
      <c r="AD4667">
        <f>IF(U4667="","MISSING_TOTAL",IF(ABS(AB4667)&lt;=0.01,"OK","CHECK"))</f>
        <v/>
      </c>
      <c r="AE4667">
        <f>IF(U4667="","MISSING",IF(AND(AA4667&gt;0,U4667/AA4667&gt;50),"POSSIBLE_SCALE_ERROR","OK"))</f>
        <v/>
      </c>
    </row>
    <row r="4668">
      <c r="A4668" t="inlineStr">
        <is>
          <t>T-2019-Q3-00030</t>
        </is>
      </c>
      <c r="B4668" t="inlineStr">
        <is>
          <t>SLE</t>
        </is>
      </c>
      <c r="C4668" t="inlineStr">
        <is>
          <t>Vice-President, Prince Edward Island</t>
        </is>
      </c>
      <c r="D4668" t="inlineStr">
        <is>
          <t>Vice-président, Île-du-Prince-Édouard</t>
        </is>
      </c>
      <c r="E4668" t="inlineStr">
        <is>
          <t>Patrick Dorsey</t>
        </is>
      </c>
      <c r="F4668" t="inlineStr">
        <is>
          <t>Meetings with various government officials in Ottawa October 29-30, 2018</t>
        </is>
      </c>
      <c r="G4668" t="inlineStr">
        <is>
          <t>Réunions avec divers fonctionnaires à Ottawa les 29 et 30 octobre 2018</t>
        </is>
      </c>
      <c r="H4668" s="1" t="n">
        <v>43406</v>
      </c>
      <c r="I4668" s="1" t="n">
        <v>43406</v>
      </c>
      <c r="J4668" t="inlineStr">
        <is>
          <t>Ottawa, Ontario</t>
        </is>
      </c>
      <c r="K4668" t="inlineStr">
        <is>
          <t>Ottawa (Ontario)</t>
        </is>
      </c>
      <c r="P4668" t="n">
        <v>1404.82</v>
      </c>
      <c r="Q4668" t="n">
        <v>89.7</v>
      </c>
      <c r="R4668" t="n">
        <v>467.72</v>
      </c>
      <c r="S4668" t="n">
        <v>301.95</v>
      </c>
      <c r="T4668" t="n">
        <v>0</v>
      </c>
      <c r="U4668" t="n">
        <v>2264.19</v>
      </c>
      <c r="X4668" t="inlineStr">
        <is>
          <t>acoa-apeca</t>
        </is>
      </c>
      <c r="Y4668" t="inlineStr">
        <is>
          <t>Atlantic Canada Opportunities Agency | Agence de promotion économique du Canada atlantique</t>
        </is>
      </c>
      <c r="Z4668" t="n">
        <v>1</v>
      </c>
      <c r="AA4668" t="n">
        <v>2264.19</v>
      </c>
      <c r="AB4668">
        <f>ROUND(U4668-AA4668,2)</f>
        <v/>
      </c>
      <c r="AC4668" t="b">
        <v>0</v>
      </c>
      <c r="AD4668">
        <f>IF(U4668="","MISSING_TOTAL",IF(ABS(AB4668)&lt;=0.01,"OK","CHECK"))</f>
        <v/>
      </c>
      <c r="AE4668">
        <f>IF(U4668="","MISSING",IF(AND(AA4668&gt;0,U4668/AA4668&gt;50),"POSSIBLE_SCALE_ERROR","OK"))</f>
        <v/>
      </c>
    </row>
    <row r="4669">
      <c r="A4669" t="inlineStr">
        <is>
          <t>T-2019-Q3-00022</t>
        </is>
      </c>
      <c r="B4669" t="inlineStr">
        <is>
          <t>SLE</t>
        </is>
      </c>
      <c r="C4669" t="inlineStr">
        <is>
          <t>Vice-President, Prince Edward Island</t>
        </is>
      </c>
      <c r="D4669" t="inlineStr">
        <is>
          <t>Vice-président, Île-du-Prince-Édouard</t>
        </is>
      </c>
      <c r="E4669" t="inlineStr">
        <is>
          <t>Patrick Dorsey</t>
        </is>
      </c>
      <c r="F4669" t="inlineStr">
        <is>
          <t>To attend meetings with senior Atlantic Canada Opportunities Agency officials</t>
        </is>
      </c>
      <c r="G4669" t="inlineStr">
        <is>
          <t>Assister à des réunions avec des hauts fonctionnaires de l'Agende de promotion économique du Canada atlantique</t>
        </is>
      </c>
      <c r="H4669" s="1" t="n">
        <v>43389</v>
      </c>
      <c r="I4669" s="1" t="n">
        <v>43391</v>
      </c>
      <c r="J4669" t="inlineStr">
        <is>
          <t>Moncton, New Brunswick</t>
        </is>
      </c>
      <c r="K4669" t="inlineStr">
        <is>
          <t>Moncton (Nouveau-Brunswick)</t>
        </is>
      </c>
      <c r="P4669" t="n">
        <v>0</v>
      </c>
      <c r="Q4669" t="n">
        <v>47</v>
      </c>
      <c r="R4669" t="n">
        <v>338.1</v>
      </c>
      <c r="S4669" t="n">
        <v>151.9</v>
      </c>
      <c r="T4669" t="n">
        <v>0</v>
      </c>
      <c r="U4669" t="n">
        <v>537</v>
      </c>
      <c r="X4669" t="inlineStr">
        <is>
          <t>acoa-apeca</t>
        </is>
      </c>
      <c r="Y4669" t="inlineStr">
        <is>
          <t>Atlantic Canada Opportunities Agency | Agence de promotion économique du Canada atlantique</t>
        </is>
      </c>
      <c r="Z4669" t="n">
        <v>3</v>
      </c>
      <c r="AA4669" t="n">
        <v>537</v>
      </c>
      <c r="AB4669">
        <f>ROUND(U4669-AA4669,2)</f>
        <v/>
      </c>
      <c r="AC4669" t="b">
        <v>0</v>
      </c>
      <c r="AD4669">
        <f>IF(U4669="","MISSING_TOTAL",IF(ABS(AB4669)&lt;=0.01,"OK","CHECK"))</f>
        <v/>
      </c>
      <c r="AE4669">
        <f>IF(U4669="","MISSING",IF(AND(AA4669&gt;0,U4669/AA4669&gt;50),"POSSIBLE_SCALE_ERROR","OK"))</f>
        <v/>
      </c>
    </row>
    <row r="4670">
      <c r="A4670" t="inlineStr">
        <is>
          <t>T-2019-Q3-00021</t>
        </is>
      </c>
      <c r="B4670" t="inlineStr">
        <is>
          <t>SLE</t>
        </is>
      </c>
      <c r="C4670" t="inlineStr">
        <is>
          <t>Vice-President, Prince Edward Island</t>
        </is>
      </c>
      <c r="D4670" t="inlineStr">
        <is>
          <t>Vice-président, Île-du-Prince-Édouard</t>
        </is>
      </c>
      <c r="E4670" t="inlineStr">
        <is>
          <t>Patrick Dorsey</t>
        </is>
      </c>
      <c r="F4670" t="inlineStr">
        <is>
          <t>To attend meetings with government officials</t>
        </is>
      </c>
      <c r="G4670" t="inlineStr">
        <is>
          <t>Assister à des réunions avec des fonctionnaires</t>
        </is>
      </c>
      <c r="H4670" s="1" t="n">
        <v>43370</v>
      </c>
      <c r="I4670" s="1" t="n">
        <v>43371</v>
      </c>
      <c r="J4670" t="inlineStr">
        <is>
          <t>Halifax, Nova Scotia</t>
        </is>
      </c>
      <c r="K4670" t="inlineStr">
        <is>
          <t>Halifax (Nouvelle-Écosse)</t>
        </is>
      </c>
      <c r="P4670" t="n">
        <v>0</v>
      </c>
      <c r="Q4670" t="n">
        <v>75</v>
      </c>
      <c r="R4670" t="n">
        <v>217.01</v>
      </c>
      <c r="S4670" t="n">
        <v>121.4</v>
      </c>
      <c r="T4670" t="n">
        <v>0</v>
      </c>
      <c r="U4670" t="n">
        <v>413.41</v>
      </c>
      <c r="X4670" t="inlineStr">
        <is>
          <t>acoa-apeca</t>
        </is>
      </c>
      <c r="Y4670" t="inlineStr">
        <is>
          <t>Atlantic Canada Opportunities Agency | Agence de promotion économique du Canada atlantique</t>
        </is>
      </c>
      <c r="Z4670" t="n">
        <v>2</v>
      </c>
      <c r="AA4670" t="n">
        <v>413.409999999999</v>
      </c>
      <c r="AB4670">
        <f>ROUND(U4670-AA4670,2)</f>
        <v/>
      </c>
      <c r="AC4670" t="b">
        <v>0</v>
      </c>
      <c r="AD4670">
        <f>IF(U4670="","MISSING_TOTAL",IF(ABS(AB4670)&lt;=0.01,"OK","CHECK"))</f>
        <v/>
      </c>
      <c r="AE4670">
        <f>IF(U4670="","MISSING",IF(AND(AA4670&gt;0,U4670/AA4670&gt;50),"POSSIBLE_SCALE_ERROR","OK"))</f>
        <v/>
      </c>
    </row>
    <row r="4671">
      <c r="A4671" t="inlineStr">
        <is>
          <t>T-2019-Q3-00019</t>
        </is>
      </c>
      <c r="B4671" t="inlineStr">
        <is>
          <t>SLE</t>
        </is>
      </c>
      <c r="C4671" t="inlineStr">
        <is>
          <t>Vice-President, Prince Edward Island</t>
        </is>
      </c>
      <c r="D4671" t="inlineStr">
        <is>
          <t>Vice-président, Île-du-Prince-Édouard</t>
        </is>
      </c>
      <c r="E4671" t="inlineStr">
        <is>
          <t>Patrick Dorsey</t>
        </is>
      </c>
      <c r="F4671" t="inlineStr">
        <is>
          <t>To attend Food Symposium with government officials</t>
        </is>
      </c>
      <c r="G4671" t="inlineStr">
        <is>
          <t>Assister au symposium sur les produits alimentaires avec des fonctionnaires</t>
        </is>
      </c>
      <c r="H4671" s="1" t="n">
        <v>43375</v>
      </c>
      <c r="I4671" s="1" t="n">
        <v>43376</v>
      </c>
      <c r="J4671" t="inlineStr">
        <is>
          <t>Ottawa, Ontario</t>
        </is>
      </c>
      <c r="K4671" t="inlineStr">
        <is>
          <t>Ottawa (Ontario)</t>
        </is>
      </c>
      <c r="P4671" t="n">
        <v>1343.26</v>
      </c>
      <c r="Q4671" t="n">
        <v>107.31</v>
      </c>
      <c r="R4671" t="n">
        <v>245.62</v>
      </c>
      <c r="S4671" t="n">
        <v>174.7</v>
      </c>
      <c r="T4671" t="n">
        <v>0</v>
      </c>
      <c r="U4671" t="n">
        <v>1870.89</v>
      </c>
      <c r="X4671" t="inlineStr">
        <is>
          <t>acoa-apeca</t>
        </is>
      </c>
      <c r="Y4671" t="inlineStr">
        <is>
          <t>Atlantic Canada Opportunities Agency | Agence de promotion économique du Canada atlantique</t>
        </is>
      </c>
      <c r="Z4671" t="n">
        <v>2</v>
      </c>
      <c r="AA4671" t="n">
        <v>1870.89</v>
      </c>
      <c r="AB4671">
        <f>ROUND(U4671-AA4671,2)</f>
        <v/>
      </c>
      <c r="AC4671" t="b">
        <v>0</v>
      </c>
      <c r="AD4671">
        <f>IF(U4671="","MISSING_TOTAL",IF(ABS(AB4671)&lt;=0.01,"OK","CHECK"))</f>
        <v/>
      </c>
      <c r="AE4671">
        <f>IF(U4671="","MISSING",IF(AND(AA4671&gt;0,U4671/AA4671&gt;50),"POSSIBLE_SCALE_ERROR","OK"))</f>
        <v/>
      </c>
    </row>
    <row r="4672">
      <c r="A4672" t="inlineStr">
        <is>
          <t>T-2019-Q3-00007</t>
        </is>
      </c>
      <c r="B4672" t="inlineStr">
        <is>
          <t>SLE</t>
        </is>
      </c>
      <c r="C4672" t="inlineStr">
        <is>
          <t>Vice-President, Prince Edward Island</t>
        </is>
      </c>
      <c r="D4672" t="inlineStr">
        <is>
          <t>Vice-président, Île-du-Prince-Édouard</t>
        </is>
      </c>
      <c r="E4672" t="inlineStr">
        <is>
          <t>Patrick Dorsey</t>
        </is>
      </c>
      <c r="F4672" t="inlineStr">
        <is>
          <t>Various meetings/events with Government of Canada officials and key stakeholders</t>
        </is>
      </c>
      <c r="G4672" t="inlineStr">
        <is>
          <t>Diverses réunions/activités avec des fonctionnaires du gouvernement du Canada et des intervenants clés</t>
        </is>
      </c>
      <c r="H4672" s="1" t="n">
        <v>43355</v>
      </c>
      <c r="I4672" s="1" t="n">
        <v>43356</v>
      </c>
      <c r="J4672" t="inlineStr">
        <is>
          <t>Halifax, Nova Scotia</t>
        </is>
      </c>
      <c r="K4672" t="inlineStr">
        <is>
          <t>Halifax (Nouvelle-Écosse)</t>
        </is>
      </c>
      <c r="P4672" t="n">
        <v>0</v>
      </c>
      <c r="Q4672" t="n">
        <v>0</v>
      </c>
      <c r="R4672" t="n">
        <v>217.01</v>
      </c>
      <c r="S4672" t="n">
        <v>169.55</v>
      </c>
      <c r="T4672" t="n">
        <v>0</v>
      </c>
      <c r="U4672" t="n">
        <v>386.56</v>
      </c>
      <c r="X4672" t="inlineStr">
        <is>
          <t>acoa-apeca</t>
        </is>
      </c>
      <c r="Y4672" t="inlineStr">
        <is>
          <t>Atlantic Canada Opportunities Agency | Agence de promotion économique du Canada atlantique</t>
        </is>
      </c>
      <c r="Z4672" t="n">
        <v>2</v>
      </c>
      <c r="AA4672" t="n">
        <v>386.56</v>
      </c>
      <c r="AB4672">
        <f>ROUND(U4672-AA4672,2)</f>
        <v/>
      </c>
      <c r="AC4672" t="b">
        <v>0</v>
      </c>
      <c r="AD4672">
        <f>IF(U4672="","MISSING_TOTAL",IF(ABS(AB4672)&lt;=0.01,"OK","CHECK"))</f>
        <v/>
      </c>
      <c r="AE4672">
        <f>IF(U4672="","MISSING",IF(AND(AA4672&gt;0,U4672/AA4672&gt;50),"POSSIBLE_SCALE_ERROR","OK"))</f>
        <v/>
      </c>
    </row>
    <row r="4673">
      <c r="A4673" t="inlineStr">
        <is>
          <t>T-2019-Q3-00027</t>
        </is>
      </c>
      <c r="B4673" t="inlineStr">
        <is>
          <t>SLE</t>
        </is>
      </c>
      <c r="C4673" t="inlineStr">
        <is>
          <t>Vice-President, Finance and Corporate Services</t>
        </is>
      </c>
      <c r="D4673" t="inlineStr">
        <is>
          <t>Vice-président, Finance et Services corporatifs</t>
        </is>
      </c>
      <c r="E4673" t="inlineStr">
        <is>
          <t>Stephane Lagace</t>
        </is>
      </c>
      <c r="F4673" t="inlineStr">
        <is>
          <t>Various meetings with Government of Canada officials</t>
        </is>
      </c>
      <c r="G4673" t="inlineStr">
        <is>
          <t>Diverses réunions avec des fonctionnaires fédéraux</t>
        </is>
      </c>
      <c r="H4673" s="1" t="n">
        <v>43402</v>
      </c>
      <c r="I4673" s="1" t="n">
        <v>43403</v>
      </c>
      <c r="J4673" t="inlineStr">
        <is>
          <t>Ottawa, Ontario</t>
        </is>
      </c>
      <c r="K4673" t="inlineStr">
        <is>
          <t>Ottawa (Ontario)</t>
        </is>
      </c>
      <c r="P4673" t="n">
        <v>580.27</v>
      </c>
      <c r="Q4673" t="n">
        <v>69.23</v>
      </c>
      <c r="R4673" t="n">
        <v>233.86</v>
      </c>
      <c r="S4673" t="n">
        <v>174.7</v>
      </c>
      <c r="T4673" t="n">
        <v>32</v>
      </c>
      <c r="U4673" t="n">
        <v>1090.06</v>
      </c>
      <c r="X4673" t="inlineStr">
        <is>
          <t>acoa-apeca</t>
        </is>
      </c>
      <c r="Y4673" t="inlineStr">
        <is>
          <t>Atlantic Canada Opportunities Agency | Agence de promotion économique du Canada atlantique</t>
        </is>
      </c>
      <c r="Z4673" t="n">
        <v>2</v>
      </c>
      <c r="AA4673" t="n">
        <v>1090.06</v>
      </c>
      <c r="AB4673">
        <f>ROUND(U4673-AA4673,2)</f>
        <v/>
      </c>
      <c r="AC4673" t="b">
        <v>0</v>
      </c>
      <c r="AD4673">
        <f>IF(U4673="","MISSING_TOTAL",IF(ABS(AB4673)&lt;=0.01,"OK","CHECK"))</f>
        <v/>
      </c>
      <c r="AE4673">
        <f>IF(U4673="","MISSING",IF(AND(AA4673&gt;0,U4673/AA4673&gt;50),"POSSIBLE_SCALE_ERROR","OK"))</f>
        <v/>
      </c>
    </row>
    <row r="4674">
      <c r="A4674" t="inlineStr">
        <is>
          <t>T-2019-Q3-00020</t>
        </is>
      </c>
      <c r="B4674" t="inlineStr">
        <is>
          <t>SLE</t>
        </is>
      </c>
      <c r="C4674" t="inlineStr">
        <is>
          <t>Vice-President, Finance and Corporate Services</t>
        </is>
      </c>
      <c r="D4674" t="inlineStr">
        <is>
          <t>Vice-président, Finance et Services corporatifs</t>
        </is>
      </c>
      <c r="E4674" t="inlineStr">
        <is>
          <t>Stephane Lagace</t>
        </is>
      </c>
      <c r="F4674" t="inlineStr">
        <is>
          <t>Various meetings with Government of Canada officials</t>
        </is>
      </c>
      <c r="G4674" t="inlineStr">
        <is>
          <t>Diverses réunions avec des fonctionnaires fédéraux</t>
        </is>
      </c>
      <c r="H4674" s="1" t="n">
        <v>43389</v>
      </c>
      <c r="I4674" s="1" t="n">
        <v>43389</v>
      </c>
      <c r="J4674" t="inlineStr">
        <is>
          <t>Ottawa, Ontario</t>
        </is>
      </c>
      <c r="K4674" t="inlineStr">
        <is>
          <t>Ottawa (Ontario)</t>
        </is>
      </c>
      <c r="P4674" t="n">
        <v>412.9</v>
      </c>
      <c r="Q4674" t="n">
        <v>78.73999999999999</v>
      </c>
      <c r="R4674" t="n">
        <v>0</v>
      </c>
      <c r="S4674" t="n">
        <v>69.84999999999999</v>
      </c>
      <c r="T4674" t="n">
        <v>16</v>
      </c>
      <c r="U4674" t="n">
        <v>577.49</v>
      </c>
      <c r="X4674" t="inlineStr">
        <is>
          <t>acoa-apeca</t>
        </is>
      </c>
      <c r="Y4674" t="inlineStr">
        <is>
          <t>Atlantic Canada Opportunities Agency | Agence de promotion économique du Canada atlantique</t>
        </is>
      </c>
      <c r="Z4674" t="n">
        <v>1</v>
      </c>
      <c r="AA4674" t="n">
        <v>577.49</v>
      </c>
      <c r="AB4674">
        <f>ROUND(U4674-AA4674,2)</f>
        <v/>
      </c>
      <c r="AC4674" t="b">
        <v>0</v>
      </c>
      <c r="AD4674">
        <f>IF(U4674="","MISSING_TOTAL",IF(ABS(AB4674)&lt;=0.01,"OK","CHECK"))</f>
        <v/>
      </c>
      <c r="AE4674">
        <f>IF(U4674="","MISSING",IF(AND(AA4674&gt;0,U4674/AA4674&gt;50),"POSSIBLE_SCALE_ERROR","OK"))</f>
        <v/>
      </c>
    </row>
    <row r="4675">
      <c r="A4675" t="inlineStr">
        <is>
          <t>T-2020-Q1-00001</t>
        </is>
      </c>
      <c r="B4675" t="inlineStr">
        <is>
          <t>SLE</t>
        </is>
      </c>
      <c r="C4675" t="inlineStr">
        <is>
          <t>Vice-President, Finance and Corporate Services</t>
        </is>
      </c>
      <c r="D4675" t="inlineStr">
        <is>
          <t>Vice-président, Finance et Services corporatifs</t>
        </is>
      </c>
      <c r="E4675" t="inlineStr">
        <is>
          <t>Stephane Lagace</t>
        </is>
      </c>
      <c r="F4675" t="inlineStr">
        <is>
          <t>Meeting with Agency officials</t>
        </is>
      </c>
      <c r="G4675" t="inlineStr">
        <is>
          <t>Réunion avec des fonctionnaires de l'Agence</t>
        </is>
      </c>
      <c r="H4675" s="1" t="n">
        <v>43537</v>
      </c>
      <c r="I4675" s="1" t="n">
        <v>43537</v>
      </c>
      <c r="J4675" t="inlineStr">
        <is>
          <t>Halifax, Nova Scotia</t>
        </is>
      </c>
      <c r="K4675" t="inlineStr">
        <is>
          <t>Halifax (Nouvelle-Écosse)</t>
        </is>
      </c>
      <c r="P4675" t="n">
        <v>0</v>
      </c>
      <c r="Q4675" t="n">
        <v>46.44</v>
      </c>
      <c r="R4675" t="n">
        <v>0</v>
      </c>
      <c r="S4675" t="n">
        <v>69.84999999999999</v>
      </c>
      <c r="T4675" t="n">
        <v>71.91</v>
      </c>
      <c r="U4675" t="n">
        <v>188.2</v>
      </c>
      <c r="X4675" t="inlineStr">
        <is>
          <t>acoa-apeca</t>
        </is>
      </c>
      <c r="Y4675" t="inlineStr">
        <is>
          <t>Atlantic Canada Opportunities Agency | Agence de promotion économique du Canada atlantique</t>
        </is>
      </c>
      <c r="Z4675" t="n">
        <v>1</v>
      </c>
      <c r="AA4675" t="n">
        <v>188.2</v>
      </c>
      <c r="AB4675">
        <f>ROUND(U4675-AA4675,2)</f>
        <v/>
      </c>
      <c r="AC4675" t="b">
        <v>0</v>
      </c>
      <c r="AD4675">
        <f>IF(U4675="","MISSING_TOTAL",IF(ABS(AB4675)&lt;=0.01,"OK","CHECK"))</f>
        <v/>
      </c>
      <c r="AE4675">
        <f>IF(U4675="","MISSING",IF(AND(AA4675&gt;0,U4675/AA4675&gt;50),"POSSIBLE_SCALE_ERROR","OK"))</f>
        <v/>
      </c>
    </row>
    <row r="4676">
      <c r="A4676" t="inlineStr">
        <is>
          <t>T-2019-Q4-00039</t>
        </is>
      </c>
      <c r="B4676" t="inlineStr">
        <is>
          <t>SLE</t>
        </is>
      </c>
      <c r="C4676" t="inlineStr">
        <is>
          <t>Vice-President, Policy, Programs and Communications</t>
        </is>
      </c>
      <c r="D4676" t="inlineStr">
        <is>
          <t>Vice-président, Politiques et Programmes</t>
        </is>
      </c>
      <c r="E4676" t="inlineStr">
        <is>
          <t>Daryell Nowlan</t>
        </is>
      </c>
      <c r="F4676" t="inlineStr">
        <is>
          <t>Meetings with Government of Canada officials</t>
        </is>
      </c>
      <c r="G4676" t="inlineStr">
        <is>
          <t>Réunions avec des fonctionnaires du gouvernement du Canada</t>
        </is>
      </c>
      <c r="H4676" s="1" t="n">
        <v>43524</v>
      </c>
      <c r="I4676" s="1" t="n">
        <v>43525</v>
      </c>
      <c r="J4676" t="inlineStr">
        <is>
          <t>Halifax, Nova Scotia</t>
        </is>
      </c>
      <c r="K4676" t="inlineStr">
        <is>
          <t>Halifax (Nouvelle-Écosse)</t>
        </is>
      </c>
      <c r="P4676" t="n">
        <v>0</v>
      </c>
      <c r="Q4676" t="n">
        <v>321.91</v>
      </c>
      <c r="R4676" t="n">
        <v>174.78</v>
      </c>
      <c r="S4676" t="n">
        <v>104.85</v>
      </c>
      <c r="T4676" t="n">
        <v>0</v>
      </c>
      <c r="U4676" t="n">
        <v>601.54</v>
      </c>
      <c r="X4676" t="inlineStr">
        <is>
          <t>acoa-apeca</t>
        </is>
      </c>
      <c r="Y4676" t="inlineStr">
        <is>
          <t>Atlantic Canada Opportunities Agency | Agence de promotion économique du Canada atlantique</t>
        </is>
      </c>
      <c r="Z4676" t="n">
        <v>2</v>
      </c>
      <c r="AA4676" t="n">
        <v>601.54</v>
      </c>
      <c r="AB4676">
        <f>ROUND(U4676-AA4676,2)</f>
        <v/>
      </c>
      <c r="AC4676" t="b">
        <v>0</v>
      </c>
      <c r="AD4676">
        <f>IF(U4676="","MISSING_TOTAL",IF(ABS(AB4676)&lt;=0.01,"OK","CHECK"))</f>
        <v/>
      </c>
      <c r="AE4676">
        <f>IF(U4676="","MISSING",IF(AND(AA4676&gt;0,U4676/AA4676&gt;50),"POSSIBLE_SCALE_ERROR","OK"))</f>
        <v/>
      </c>
    </row>
    <row r="4677">
      <c r="A4677" t="inlineStr">
        <is>
          <t>T-2019-Q4-00036</t>
        </is>
      </c>
      <c r="B4677" t="inlineStr">
        <is>
          <t>SLE</t>
        </is>
      </c>
      <c r="C4677" t="inlineStr">
        <is>
          <t>Vice-President, Nova Scotia</t>
        </is>
      </c>
      <c r="D4677" t="inlineStr">
        <is>
          <t>Vice-président, Nouvelle-Écosse</t>
        </is>
      </c>
      <c r="E4677" t="inlineStr">
        <is>
          <t>Chuck Maillet</t>
        </is>
      </c>
      <c r="F4677" t="inlineStr">
        <is>
          <t>Various meetings with stakeholders in Fredericton and Atlantic Federal Council meeting in Moncton</t>
        </is>
      </c>
      <c r="G4677" t="inlineStr">
        <is>
          <t>Diverses réunions avec des intervenants à Fredericton et réunion du Conseil fédéral de l'Atlantique à Moncton</t>
        </is>
      </c>
      <c r="H4677" s="1" t="n">
        <v>43438</v>
      </c>
      <c r="I4677" s="1" t="n">
        <v>43440</v>
      </c>
      <c r="J4677" t="inlineStr">
        <is>
          <t>Fredericton and Moncton, New Brunswick</t>
        </is>
      </c>
      <c r="K4677" t="inlineStr">
        <is>
          <t>Fredericton et Moncton (Nouveau-Brunswick)</t>
        </is>
      </c>
      <c r="P4677" t="n">
        <v>0</v>
      </c>
      <c r="Q4677" t="n">
        <v>0</v>
      </c>
      <c r="R4677" t="n">
        <v>303.6</v>
      </c>
      <c r="S4677" t="n">
        <v>242.4</v>
      </c>
      <c r="T4677" t="n">
        <v>10</v>
      </c>
      <c r="U4677" t="n">
        <v>556</v>
      </c>
      <c r="X4677" t="inlineStr">
        <is>
          <t>acoa-apeca</t>
        </is>
      </c>
      <c r="Y4677" t="inlineStr">
        <is>
          <t>Atlantic Canada Opportunities Agency | Agence de promotion économique du Canada atlantique</t>
        </is>
      </c>
      <c r="Z4677" t="n">
        <v>3</v>
      </c>
      <c r="AA4677" t="n">
        <v>556</v>
      </c>
      <c r="AB4677">
        <f>ROUND(U4677-AA4677,2)</f>
        <v/>
      </c>
      <c r="AC4677" t="b">
        <v>0</v>
      </c>
      <c r="AD4677">
        <f>IF(U4677="","MISSING_TOTAL",IF(ABS(AB4677)&lt;=0.01,"OK","CHECK"))</f>
        <v/>
      </c>
      <c r="AE4677">
        <f>IF(U4677="","MISSING",IF(AND(AA4677&gt;0,U4677/AA4677&gt;50),"POSSIBLE_SCALE_ERROR","OK"))</f>
        <v/>
      </c>
    </row>
    <row r="4678">
      <c r="A4678" t="inlineStr">
        <is>
          <t>T-2019-Q4-00034</t>
        </is>
      </c>
      <c r="B4678" t="inlineStr">
        <is>
          <t>SLE</t>
        </is>
      </c>
      <c r="C4678" t="inlineStr">
        <is>
          <t>Vice-President, Nova Scotia</t>
        </is>
      </c>
      <c r="D4678" t="inlineStr">
        <is>
          <t>Vice-président, Nouvelle-Écosse</t>
        </is>
      </c>
      <c r="E4678" t="inlineStr">
        <is>
          <t>Chuck Maillet</t>
        </is>
      </c>
      <c r="F4678" t="inlineStr">
        <is>
          <t>Clients visits and meeting with stakeholders</t>
        </is>
      </c>
      <c r="G4678" t="inlineStr">
        <is>
          <t>Visites de clients et réunion avec des intervenants</t>
        </is>
      </c>
      <c r="H4678" s="1" t="n">
        <v>43475</v>
      </c>
      <c r="I4678" s="1" t="n">
        <v>43476</v>
      </c>
      <c r="J4678" t="inlineStr">
        <is>
          <t>Masstown/New Glasgow/Masstown, Nova Scotia and Moncton, New Brunswick</t>
        </is>
      </c>
      <c r="K4678" t="inlineStr">
        <is>
          <t>Masstown/New Glasgow/Masstown (Nouvelle-Écosse) et Moncton (Nouveau-Brunswick)</t>
        </is>
      </c>
      <c r="P4678" t="n">
        <v>0</v>
      </c>
      <c r="Q4678" t="n">
        <v>265.12</v>
      </c>
      <c r="R4678" t="n">
        <v>144.9</v>
      </c>
      <c r="S4678" t="n">
        <v>124.7</v>
      </c>
      <c r="T4678" t="n">
        <v>17.25</v>
      </c>
      <c r="U4678" t="n">
        <v>551.97</v>
      </c>
      <c r="X4678" t="inlineStr">
        <is>
          <t>acoa-apeca</t>
        </is>
      </c>
      <c r="Y4678" t="inlineStr">
        <is>
          <t>Atlantic Canada Opportunities Agency | Agence de promotion économique du Canada atlantique</t>
        </is>
      </c>
      <c r="Z4678" t="n">
        <v>2</v>
      </c>
      <c r="AA4678" t="n">
        <v>551.97</v>
      </c>
      <c r="AB4678">
        <f>ROUND(U4678-AA4678,2)</f>
        <v/>
      </c>
      <c r="AC4678" t="b">
        <v>0</v>
      </c>
      <c r="AD4678">
        <f>IF(U4678="","MISSING_TOTAL",IF(ABS(AB4678)&lt;=0.01,"OK","CHECK"))</f>
        <v/>
      </c>
      <c r="AE4678">
        <f>IF(U4678="","MISSING",IF(AND(AA4678&gt;0,U4678/AA4678&gt;50),"POSSIBLE_SCALE_ERROR","OK"))</f>
        <v/>
      </c>
    </row>
    <row r="4679">
      <c r="A4679" t="inlineStr">
        <is>
          <t>T-2019-Q4-00025</t>
        </is>
      </c>
      <c r="B4679" t="inlineStr">
        <is>
          <t>SLE</t>
        </is>
      </c>
      <c r="C4679" t="inlineStr">
        <is>
          <t>Vice-President, New Brunswick</t>
        </is>
      </c>
      <c r="D4679" t="inlineStr">
        <is>
          <t>Vice-président, Nouveau-Brunswick</t>
        </is>
      </c>
      <c r="E4679" t="inlineStr">
        <is>
          <t>Kent Estabrooks</t>
        </is>
      </c>
      <c r="F4679" t="inlineStr">
        <is>
          <t>Meeting with various federal officials</t>
        </is>
      </c>
      <c r="G4679" t="inlineStr">
        <is>
          <t>Réunion avec divers fonctionnaires fédéraux</t>
        </is>
      </c>
      <c r="H4679" s="1" t="n">
        <v>43444</v>
      </c>
      <c r="I4679" s="1" t="n">
        <v>43445</v>
      </c>
      <c r="J4679" t="inlineStr">
        <is>
          <t>Mississauga, Ontario</t>
        </is>
      </c>
      <c r="K4679" t="inlineStr">
        <is>
          <t>Mississauga (Ontario)</t>
        </is>
      </c>
      <c r="P4679" t="n">
        <v>363.4</v>
      </c>
      <c r="Q4679" t="n">
        <v>14.98</v>
      </c>
      <c r="R4679" t="n">
        <v>175.1</v>
      </c>
      <c r="S4679" t="n">
        <v>154.45</v>
      </c>
      <c r="T4679" t="n">
        <v>0</v>
      </c>
      <c r="U4679" t="n">
        <v>707.9299999999999</v>
      </c>
      <c r="X4679" t="inlineStr">
        <is>
          <t>acoa-apeca</t>
        </is>
      </c>
      <c r="Y4679" t="inlineStr">
        <is>
          <t>Atlantic Canada Opportunities Agency | Agence de promotion économique du Canada atlantique</t>
        </is>
      </c>
      <c r="Z4679" t="n">
        <v>2</v>
      </c>
      <c r="AA4679" t="n">
        <v>707.9299999999999</v>
      </c>
      <c r="AB4679">
        <f>ROUND(U4679-AA4679,2)</f>
        <v/>
      </c>
      <c r="AC4679" t="b">
        <v>0</v>
      </c>
      <c r="AD4679">
        <f>IF(U4679="","MISSING_TOTAL",IF(ABS(AB4679)&lt;=0.01,"OK","CHECK"))</f>
        <v/>
      </c>
      <c r="AE4679">
        <f>IF(U4679="","MISSING",IF(AND(AA4679&gt;0,U4679/AA4679&gt;50),"POSSIBLE_SCALE_ERROR","OK"))</f>
        <v/>
      </c>
    </row>
    <row r="4680">
      <c r="A4680" t="inlineStr">
        <is>
          <t>T-2019-Q4-00033</t>
        </is>
      </c>
      <c r="B4680" t="inlineStr">
        <is>
          <t>SLE</t>
        </is>
      </c>
      <c r="C4680" t="inlineStr">
        <is>
          <t>Vice-President, Nova Scotia</t>
        </is>
      </c>
      <c r="D4680" t="inlineStr">
        <is>
          <t>Vice-président, Nouvelle-Écosse</t>
        </is>
      </c>
      <c r="E4680" t="inlineStr">
        <is>
          <t>Chuck Maillet</t>
        </is>
      </c>
      <c r="F4680" t="inlineStr">
        <is>
          <t>Various meetings with senior Agency officials and stakeholders</t>
        </is>
      </c>
      <c r="G4680" t="inlineStr">
        <is>
          <t>Diverses réunions avec de hauts fonctionnaires de l'Agence et des intervenants clés</t>
        </is>
      </c>
      <c r="H4680" s="1" t="n">
        <v>43481</v>
      </c>
      <c r="I4680" s="1" t="n">
        <v>43484</v>
      </c>
      <c r="J4680" t="inlineStr">
        <is>
          <t>Moncton, New Brunswick and Charlottetown, Prince Edward Island</t>
        </is>
      </c>
      <c r="K4680" t="inlineStr">
        <is>
          <t>Moncton (Nouveau-Brunswick) et Charlottetown (Île-du-Prince-Édouard)</t>
        </is>
      </c>
      <c r="P4680" t="n">
        <v>0</v>
      </c>
      <c r="Q4680" t="n">
        <v>285.65</v>
      </c>
      <c r="R4680" t="n">
        <v>305.99</v>
      </c>
      <c r="S4680" t="n">
        <v>319.65</v>
      </c>
      <c r="T4680" t="n">
        <v>0</v>
      </c>
      <c r="U4680" t="n">
        <v>911.29</v>
      </c>
      <c r="X4680" t="inlineStr">
        <is>
          <t>acoa-apeca</t>
        </is>
      </c>
      <c r="Y4680" t="inlineStr">
        <is>
          <t>Atlantic Canada Opportunities Agency | Agence de promotion économique du Canada atlantique</t>
        </is>
      </c>
      <c r="Z4680" t="n">
        <v>4</v>
      </c>
      <c r="AA4680" t="n">
        <v>911.29</v>
      </c>
      <c r="AB4680">
        <f>ROUND(U4680-AA4680,2)</f>
        <v/>
      </c>
      <c r="AC4680" t="b">
        <v>0</v>
      </c>
      <c r="AD4680">
        <f>IF(U4680="","MISSING_TOTAL",IF(ABS(AB4680)&lt;=0.01,"OK","CHECK"))</f>
        <v/>
      </c>
      <c r="AE4680">
        <f>IF(U4680="","MISSING",IF(AND(AA4680&gt;0,U4680/AA4680&gt;50),"POSSIBLE_SCALE_ERROR","OK"))</f>
        <v/>
      </c>
    </row>
    <row r="4681">
      <c r="A4681" t="inlineStr">
        <is>
          <t>T-2019-Q4-00032</t>
        </is>
      </c>
      <c r="B4681" t="inlineStr">
        <is>
          <t>SLE</t>
        </is>
      </c>
      <c r="C4681" t="inlineStr">
        <is>
          <t>Vice-President, Nova Scotia</t>
        </is>
      </c>
      <c r="D4681" t="inlineStr">
        <is>
          <t>Vice-président, Nouvelle-Écosse</t>
        </is>
      </c>
      <c r="E4681" t="inlineStr">
        <is>
          <t>Chuck Maillet</t>
        </is>
      </c>
      <c r="F4681" t="inlineStr">
        <is>
          <t>Meetings with client and stakeholder</t>
        </is>
      </c>
      <c r="G4681" t="inlineStr">
        <is>
          <t>Réunions avec un client et un intervenant</t>
        </is>
      </c>
      <c r="H4681" s="1" t="n">
        <v>43507</v>
      </c>
      <c r="I4681" s="1" t="n">
        <v>43508</v>
      </c>
      <c r="J4681" t="inlineStr">
        <is>
          <t>Cape Breton, Nova Scotia</t>
        </is>
      </c>
      <c r="K4681" t="inlineStr">
        <is>
          <t>Cap-Breton (Nouvelle-Écosse)</t>
        </is>
      </c>
      <c r="P4681" t="n">
        <v>0</v>
      </c>
      <c r="Q4681" t="n">
        <v>0</v>
      </c>
      <c r="R4681" t="n">
        <v>174.78</v>
      </c>
      <c r="S4681" t="n">
        <v>174.7</v>
      </c>
      <c r="T4681" t="n">
        <v>0</v>
      </c>
      <c r="U4681" t="n">
        <v>349.48</v>
      </c>
      <c r="X4681" t="inlineStr">
        <is>
          <t>acoa-apeca</t>
        </is>
      </c>
      <c r="Y4681" t="inlineStr">
        <is>
          <t>Atlantic Canada Opportunities Agency | Agence de promotion économique du Canada atlantique</t>
        </is>
      </c>
      <c r="Z4681" t="n">
        <v>2</v>
      </c>
      <c r="AA4681" t="n">
        <v>349.48</v>
      </c>
      <c r="AB4681">
        <f>ROUND(U4681-AA4681,2)</f>
        <v/>
      </c>
      <c r="AC4681" t="b">
        <v>0</v>
      </c>
      <c r="AD4681">
        <f>IF(U4681="","MISSING_TOTAL",IF(ABS(AB4681)&lt;=0.01,"OK","CHECK"))</f>
        <v/>
      </c>
      <c r="AE4681">
        <f>IF(U4681="","MISSING",IF(AND(AA4681&gt;0,U4681/AA4681&gt;50),"POSSIBLE_SCALE_ERROR","OK"))</f>
        <v/>
      </c>
    </row>
    <row r="4682">
      <c r="A4682" t="inlineStr">
        <is>
          <t>T-2019-Q4-00031</t>
        </is>
      </c>
      <c r="B4682" t="inlineStr">
        <is>
          <t>SLE</t>
        </is>
      </c>
      <c r="C4682" t="inlineStr">
        <is>
          <t>Vice-President, Nova Scotia</t>
        </is>
      </c>
      <c r="D4682" t="inlineStr">
        <is>
          <t>Vice-président, Nouvelle-Écosse</t>
        </is>
      </c>
      <c r="E4682" t="inlineStr">
        <is>
          <t>Chuck Maillet</t>
        </is>
      </c>
      <c r="F4682" t="inlineStr">
        <is>
          <t>Meetings with Agency officials and to attend the First Nations Renewable Energy Conference</t>
        </is>
      </c>
      <c r="G4682" t="inlineStr">
        <is>
          <t>Assister à des réunions avec des fonctionnaires de l'Agence et à la Conférence sur l’énergie propre des Premières Nations</t>
        </is>
      </c>
      <c r="H4682" s="1" t="n">
        <v>43521</v>
      </c>
      <c r="I4682" s="1" t="n">
        <v>43522</v>
      </c>
      <c r="J4682" t="inlineStr">
        <is>
          <t>Fredericton, New Brunswick</t>
        </is>
      </c>
      <c r="K4682" t="inlineStr">
        <is>
          <t>Fredericton (Nouveau-Brunswick)</t>
        </is>
      </c>
      <c r="P4682" t="n">
        <v>668.38</v>
      </c>
      <c r="Q4682" t="n">
        <v>138</v>
      </c>
      <c r="R4682" t="n">
        <v>326.6</v>
      </c>
      <c r="S4682" t="n">
        <v>122.15</v>
      </c>
      <c r="T4682" t="n">
        <v>0</v>
      </c>
      <c r="U4682" t="n">
        <v>1255.13</v>
      </c>
      <c r="X4682" t="inlineStr">
        <is>
          <t>acoa-apeca</t>
        </is>
      </c>
      <c r="Y4682" t="inlineStr">
        <is>
          <t>Atlantic Canada Opportunities Agency | Agence de promotion économique du Canada atlantique</t>
        </is>
      </c>
      <c r="Z4682" t="n">
        <v>2</v>
      </c>
      <c r="AA4682" t="n">
        <v>1255.13</v>
      </c>
      <c r="AB4682">
        <f>ROUND(U4682-AA4682,2)</f>
        <v/>
      </c>
      <c r="AC4682" t="b">
        <v>0</v>
      </c>
      <c r="AD4682">
        <f>IF(U4682="","MISSING_TOTAL",IF(ABS(AB4682)&lt;=0.01,"OK","CHECK"))</f>
        <v/>
      </c>
      <c r="AE4682">
        <f>IF(U4682="","MISSING",IF(AND(AA4682&gt;0,U4682/AA4682&gt;50),"POSSIBLE_SCALE_ERROR","OK"))</f>
        <v/>
      </c>
    </row>
    <row r="4683">
      <c r="A4683" t="inlineStr">
        <is>
          <t>T-2019-Q4-00030</t>
        </is>
      </c>
      <c r="B4683" t="inlineStr">
        <is>
          <t>SLE</t>
        </is>
      </c>
      <c r="C4683" t="inlineStr">
        <is>
          <t>Vice-President, Prince Edward Island</t>
        </is>
      </c>
      <c r="D4683" t="inlineStr">
        <is>
          <t>Vice-président, Île-du-Prince-Édouard</t>
        </is>
      </c>
      <c r="E4683" t="inlineStr">
        <is>
          <t>Patrick Dorsey</t>
        </is>
      </c>
      <c r="F4683" t="inlineStr">
        <is>
          <t>Meetings with government officials</t>
        </is>
      </c>
      <c r="G4683" t="inlineStr">
        <is>
          <t>Réunions avec des fonctionnaires</t>
        </is>
      </c>
      <c r="H4683" s="1" t="n">
        <v>43524</v>
      </c>
      <c r="I4683" s="1" t="n">
        <v>43525</v>
      </c>
      <c r="J4683" t="inlineStr">
        <is>
          <t>Halifax, Nova Scotia</t>
        </is>
      </c>
      <c r="K4683" t="inlineStr">
        <is>
          <t>Halifax (Nouvelle-Écosse)</t>
        </is>
      </c>
      <c r="P4683" t="n">
        <v>0</v>
      </c>
      <c r="Q4683" t="n">
        <v>176.59</v>
      </c>
      <c r="R4683" t="n">
        <v>157.18</v>
      </c>
      <c r="S4683" t="n">
        <v>174.7</v>
      </c>
      <c r="T4683" t="n">
        <v>0</v>
      </c>
      <c r="U4683" t="n">
        <v>508.47</v>
      </c>
      <c r="X4683" t="inlineStr">
        <is>
          <t>acoa-apeca</t>
        </is>
      </c>
      <c r="Y4683" t="inlineStr">
        <is>
          <t>Atlantic Canada Opportunities Agency | Agence de promotion économique du Canada atlantique</t>
        </is>
      </c>
      <c r="Z4683" t="n">
        <v>2</v>
      </c>
      <c r="AA4683" t="n">
        <v>508.469999999999</v>
      </c>
      <c r="AB4683">
        <f>ROUND(U4683-AA4683,2)</f>
        <v/>
      </c>
      <c r="AC4683" t="b">
        <v>0</v>
      </c>
      <c r="AD4683">
        <f>IF(U4683="","MISSING_TOTAL",IF(ABS(AB4683)&lt;=0.01,"OK","CHECK"))</f>
        <v/>
      </c>
      <c r="AE4683">
        <f>IF(U4683="","MISSING",IF(AND(AA4683&gt;0,U4683/AA4683&gt;50),"POSSIBLE_SCALE_ERROR","OK"))</f>
        <v/>
      </c>
    </row>
    <row r="4684">
      <c r="A4684" t="inlineStr">
        <is>
          <t>T-2019-Q4-00029</t>
        </is>
      </c>
      <c r="B4684" t="inlineStr">
        <is>
          <t>SLE</t>
        </is>
      </c>
      <c r="C4684" t="inlineStr">
        <is>
          <t>Vice-President, New Brunswick</t>
        </is>
      </c>
      <c r="D4684" t="inlineStr">
        <is>
          <t>Vice-président, Nouveau-Brunswick</t>
        </is>
      </c>
      <c r="E4684" t="inlineStr">
        <is>
          <t>Kent Estabrooks</t>
        </is>
      </c>
      <c r="F4684" t="inlineStr">
        <is>
          <t>Agency Executive Committee meeting and meeting with Agency officials</t>
        </is>
      </c>
      <c r="G4684" t="inlineStr">
        <is>
          <t>Réunion du Comité de direction de l'Agence et réunion avec des fonctionnaires de l'Agence</t>
        </is>
      </c>
      <c r="H4684" s="1" t="n">
        <v>43480</v>
      </c>
      <c r="I4684" s="1" t="n">
        <v>43483</v>
      </c>
      <c r="J4684" t="inlineStr">
        <is>
          <t>Moncton, New Brunswick</t>
        </is>
      </c>
      <c r="K4684" t="inlineStr">
        <is>
          <t>Moncton (Nouveau-Brunswick)</t>
        </is>
      </c>
      <c r="P4684" t="n">
        <v>0</v>
      </c>
      <c r="Q4684" t="n">
        <v>237.17</v>
      </c>
      <c r="R4684" t="n">
        <v>434.7</v>
      </c>
      <c r="S4684" t="n">
        <v>191.6</v>
      </c>
      <c r="T4684" t="n">
        <v>0</v>
      </c>
      <c r="U4684" t="n">
        <v>863.47</v>
      </c>
      <c r="X4684" t="inlineStr">
        <is>
          <t>acoa-apeca</t>
        </is>
      </c>
      <c r="Y4684" t="inlineStr">
        <is>
          <t>Atlantic Canada Opportunities Agency | Agence de promotion économique du Canada atlantique</t>
        </is>
      </c>
      <c r="Z4684" t="n">
        <v>4</v>
      </c>
      <c r="AA4684" t="n">
        <v>863.47</v>
      </c>
      <c r="AB4684">
        <f>ROUND(U4684-AA4684,2)</f>
        <v/>
      </c>
      <c r="AC4684" t="b">
        <v>0</v>
      </c>
      <c r="AD4684">
        <f>IF(U4684="","MISSING_TOTAL",IF(ABS(AB4684)&lt;=0.01,"OK","CHECK"))</f>
        <v/>
      </c>
      <c r="AE4684">
        <f>IF(U4684="","MISSING",IF(AND(AA4684&gt;0,U4684/AA4684&gt;50),"POSSIBLE_SCALE_ERROR","OK"))</f>
        <v/>
      </c>
    </row>
    <row r="4685">
      <c r="A4685" t="inlineStr">
        <is>
          <t>T-2019-Q4-00028</t>
        </is>
      </c>
      <c r="B4685" t="inlineStr">
        <is>
          <t>SLE</t>
        </is>
      </c>
      <c r="C4685" t="inlineStr">
        <is>
          <t>Vice-President, New Brunswick</t>
        </is>
      </c>
      <c r="D4685" t="inlineStr">
        <is>
          <t>Vice-président, Nouveau-Brunswick</t>
        </is>
      </c>
      <c r="E4685" t="inlineStr">
        <is>
          <t>Kent Estabrooks</t>
        </is>
      </c>
      <c r="F4685" t="inlineStr">
        <is>
          <t>Interviews with management candidates</t>
        </is>
      </c>
      <c r="G4685" t="inlineStr">
        <is>
          <t>Entrevues avec des candidats à la direction</t>
        </is>
      </c>
      <c r="H4685" s="1" t="n">
        <v>43479</v>
      </c>
      <c r="I4685" s="1" t="n">
        <v>43480</v>
      </c>
      <c r="J4685" t="inlineStr">
        <is>
          <t>Toronto and Ottawa, Ontario</t>
        </is>
      </c>
      <c r="K4685" t="inlineStr">
        <is>
          <t>Toronto et Ottawa (Ontario)</t>
        </is>
      </c>
      <c r="P4685" t="n">
        <v>1090.2</v>
      </c>
      <c r="Q4685" t="n">
        <v>148.35</v>
      </c>
      <c r="R4685" t="n">
        <v>210.36</v>
      </c>
      <c r="S4685" t="n">
        <v>174.3</v>
      </c>
      <c r="T4685" t="n">
        <v>0</v>
      </c>
      <c r="U4685" t="n">
        <v>1623.21</v>
      </c>
      <c r="X4685" t="inlineStr">
        <is>
          <t>acoa-apeca</t>
        </is>
      </c>
      <c r="Y4685" t="inlineStr">
        <is>
          <t>Atlantic Canada Opportunities Agency | Agence de promotion économique du Canada atlantique</t>
        </is>
      </c>
      <c r="Z4685" t="n">
        <v>2</v>
      </c>
      <c r="AA4685" t="n">
        <v>1623.20999999999</v>
      </c>
      <c r="AB4685">
        <f>ROUND(U4685-AA4685,2)</f>
        <v/>
      </c>
      <c r="AC4685" t="b">
        <v>0</v>
      </c>
      <c r="AD4685">
        <f>IF(U4685="","MISSING_TOTAL",IF(ABS(AB4685)&lt;=0.01,"OK","CHECK"))</f>
        <v/>
      </c>
      <c r="AE4685">
        <f>IF(U4685="","MISSING",IF(AND(AA4685&gt;0,U4685/AA4685&gt;50),"POSSIBLE_SCALE_ERROR","OK"))</f>
        <v/>
      </c>
    </row>
    <row r="4686">
      <c r="A4686" t="inlineStr">
        <is>
          <t>T-2019-Q4-00027</t>
        </is>
      </c>
      <c r="B4686" t="inlineStr">
        <is>
          <t>SLE</t>
        </is>
      </c>
      <c r="C4686" t="inlineStr">
        <is>
          <t>Vice-President, New Brunswick</t>
        </is>
      </c>
      <c r="D4686" t="inlineStr">
        <is>
          <t>Vice-président, Nouveau-Brunswick</t>
        </is>
      </c>
      <c r="E4686" t="inlineStr">
        <is>
          <t>Kent Estabrooks</t>
        </is>
      </c>
      <c r="F4686" t="inlineStr">
        <is>
          <t>Meeting with a client</t>
        </is>
      </c>
      <c r="G4686" t="inlineStr">
        <is>
          <t>Réunion avec un client</t>
        </is>
      </c>
      <c r="H4686" s="1" t="n">
        <v>43453</v>
      </c>
      <c r="I4686" s="1" t="n">
        <v>43453</v>
      </c>
      <c r="J4686" t="inlineStr">
        <is>
          <t>Sackville, New Brunswick</t>
        </is>
      </c>
      <c r="K4686" t="inlineStr">
        <is>
          <t>Sackville (Nouveau-Brunswick)</t>
        </is>
      </c>
      <c r="P4686" t="n">
        <v>0</v>
      </c>
      <c r="Q4686" t="n">
        <v>0</v>
      </c>
      <c r="R4686" t="n">
        <v>0</v>
      </c>
      <c r="S4686" t="n">
        <v>69.84999999999999</v>
      </c>
      <c r="T4686" t="n">
        <v>0</v>
      </c>
      <c r="U4686" t="n">
        <v>69.84999999999999</v>
      </c>
      <c r="X4686" t="inlineStr">
        <is>
          <t>acoa-apeca</t>
        </is>
      </c>
      <c r="Y4686" t="inlineStr">
        <is>
          <t>Atlantic Canada Opportunities Agency | Agence de promotion économique du Canada atlantique</t>
        </is>
      </c>
      <c r="Z4686" t="n">
        <v>1</v>
      </c>
      <c r="AA4686" t="n">
        <v>69.84999999999999</v>
      </c>
      <c r="AB4686">
        <f>ROUND(U4686-AA4686,2)</f>
        <v/>
      </c>
      <c r="AC4686" t="b">
        <v>0</v>
      </c>
      <c r="AD4686">
        <f>IF(U4686="","MISSING_TOTAL",IF(ABS(AB4686)&lt;=0.01,"OK","CHECK"))</f>
        <v/>
      </c>
      <c r="AE4686">
        <f>IF(U4686="","MISSING",IF(AND(AA4686&gt;0,U4686/AA4686&gt;50),"POSSIBLE_SCALE_ERROR","OK"))</f>
        <v/>
      </c>
    </row>
    <row r="4687">
      <c r="A4687" t="inlineStr">
        <is>
          <t>T-2019-Q4-00026</t>
        </is>
      </c>
      <c r="B4687" t="inlineStr">
        <is>
          <t>SLE</t>
        </is>
      </c>
      <c r="C4687" t="inlineStr">
        <is>
          <t>Vice-President, New Brunswick</t>
        </is>
      </c>
      <c r="D4687" t="inlineStr">
        <is>
          <t>Vice-président, Nouveau-Brunswick</t>
        </is>
      </c>
      <c r="E4687" t="inlineStr">
        <is>
          <t>Kent Estabrooks</t>
        </is>
      </c>
      <c r="F4687" t="inlineStr">
        <is>
          <t>Meeting with client and mentorship meeting</t>
        </is>
      </c>
      <c r="G4687" t="inlineStr">
        <is>
          <t>Réunion avec un client et rencontre de mentorat</t>
        </is>
      </c>
      <c r="H4687" s="1" t="n">
        <v>43445</v>
      </c>
      <c r="I4687" s="1" t="n">
        <v>43446</v>
      </c>
      <c r="J4687" t="inlineStr">
        <is>
          <t>Fredericton, New Brunswick</t>
        </is>
      </c>
      <c r="K4687" t="inlineStr">
        <is>
          <t>Fredericton (Nouveau-Brunswick)</t>
        </is>
      </c>
      <c r="P4687" t="n">
        <v>726.8</v>
      </c>
      <c r="Q4687" t="n">
        <v>129.45</v>
      </c>
      <c r="R4687" t="n">
        <v>233.86</v>
      </c>
      <c r="S4687" t="n">
        <v>87.15000000000001</v>
      </c>
      <c r="T4687" t="n">
        <v>57.5</v>
      </c>
      <c r="U4687" t="n">
        <v>1234.76</v>
      </c>
      <c r="X4687" t="inlineStr">
        <is>
          <t>acoa-apeca</t>
        </is>
      </c>
      <c r="Y4687" t="inlineStr">
        <is>
          <t>Atlantic Canada Opportunities Agency | Agence de promotion économique du Canada atlantique</t>
        </is>
      </c>
      <c r="Z4687" t="n">
        <v>2</v>
      </c>
      <c r="AA4687" t="n">
        <v>1234.76</v>
      </c>
      <c r="AB4687">
        <f>ROUND(U4687-AA4687,2)</f>
        <v/>
      </c>
      <c r="AC4687" t="b">
        <v>0</v>
      </c>
      <c r="AD4687">
        <f>IF(U4687="","MISSING_TOTAL",IF(ABS(AB4687)&lt;=0.01,"OK","CHECK"))</f>
        <v/>
      </c>
      <c r="AE4687">
        <f>IF(U4687="","MISSING",IF(AND(AA4687&gt;0,U4687/AA4687&gt;50),"POSSIBLE_SCALE_ERROR","OK"))</f>
        <v/>
      </c>
    </row>
    <row r="4688">
      <c r="A4688" t="inlineStr">
        <is>
          <t>T-2019-Q4-00024</t>
        </is>
      </c>
      <c r="B4688" t="inlineStr">
        <is>
          <t>SLE</t>
        </is>
      </c>
      <c r="C4688" t="inlineStr">
        <is>
          <t>Vice-President, New Brunswick</t>
        </is>
      </c>
      <c r="D4688" t="inlineStr">
        <is>
          <t>Vice-président, Nouveau-Brunswick</t>
        </is>
      </c>
      <c r="E4688" t="inlineStr">
        <is>
          <t>Kent Estabrooks</t>
        </is>
      </c>
      <c r="F4688" t="inlineStr">
        <is>
          <t>Mentorship initiative meeting</t>
        </is>
      </c>
      <c r="G4688" t="inlineStr">
        <is>
          <t>Réunion dans le cadre d'une initiative de mentorat</t>
        </is>
      </c>
      <c r="H4688" s="1" t="n">
        <v>43437</v>
      </c>
      <c r="I4688" s="1" t="n">
        <v>43437</v>
      </c>
      <c r="J4688" t="inlineStr">
        <is>
          <t>Moncton, New Brunswick</t>
        </is>
      </c>
      <c r="K4688" t="inlineStr">
        <is>
          <t>Moncton (Nouveau-Brunswick)</t>
        </is>
      </c>
      <c r="P4688" t="n">
        <v>0</v>
      </c>
      <c r="Q4688" t="n">
        <v>0</v>
      </c>
      <c r="R4688" t="n">
        <v>0</v>
      </c>
      <c r="S4688" t="n">
        <v>50</v>
      </c>
      <c r="T4688" t="n">
        <v>74.45</v>
      </c>
      <c r="U4688" t="n">
        <v>124.45</v>
      </c>
      <c r="X4688" t="inlineStr">
        <is>
          <t>acoa-apeca</t>
        </is>
      </c>
      <c r="Y4688" t="inlineStr">
        <is>
          <t>Atlantic Canada Opportunities Agency | Agence de promotion économique du Canada atlantique</t>
        </is>
      </c>
      <c r="Z4688" t="n">
        <v>1</v>
      </c>
      <c r="AA4688" t="n">
        <v>124.45</v>
      </c>
      <c r="AB4688">
        <f>ROUND(U4688-AA4688,2)</f>
        <v/>
      </c>
      <c r="AC4688" t="b">
        <v>0</v>
      </c>
      <c r="AD4688">
        <f>IF(U4688="","MISSING_TOTAL",IF(ABS(AB4688)&lt;=0.01,"OK","CHECK"))</f>
        <v/>
      </c>
      <c r="AE4688">
        <f>IF(U4688="","MISSING",IF(AND(AA4688&gt;0,U4688/AA4688&gt;50),"POSSIBLE_SCALE_ERROR","OK"))</f>
        <v/>
      </c>
    </row>
    <row r="4689">
      <c r="A4689" t="inlineStr">
        <is>
          <t>T-2019-Q4-00023</t>
        </is>
      </c>
      <c r="B4689" t="inlineStr">
        <is>
          <t>SLE</t>
        </is>
      </c>
      <c r="C4689" t="inlineStr">
        <is>
          <t>Vice-President, Prince Edward Island</t>
        </is>
      </c>
      <c r="D4689" t="inlineStr">
        <is>
          <t>Vice-président, Île-du-Prince-Édouard</t>
        </is>
      </c>
      <c r="E4689" t="inlineStr">
        <is>
          <t>Patrick Dorsey</t>
        </is>
      </c>
      <c r="F4689" t="inlineStr">
        <is>
          <t>To attend food automation workshop and meet with Agency officials</t>
        </is>
      </c>
      <c r="G4689" t="inlineStr">
        <is>
          <t>Assister à un atelier sur l'automatisation de la transformation alimentaire et rencontrer des fonctionnaires de l'Agence</t>
        </is>
      </c>
      <c r="H4689" s="1" t="n">
        <v>43521</v>
      </c>
      <c r="I4689" s="1" t="n">
        <v>43522</v>
      </c>
      <c r="J4689" t="inlineStr">
        <is>
          <t>St. John's, Newfoundland</t>
        </is>
      </c>
      <c r="K4689" t="inlineStr">
        <is>
          <t>St. John's (Terre-Neuve-et-Labrador)</t>
        </is>
      </c>
      <c r="P4689" t="n">
        <v>847.45</v>
      </c>
      <c r="Q4689" t="n">
        <v>69.66</v>
      </c>
      <c r="R4689" t="n">
        <v>153.51</v>
      </c>
      <c r="S4689" t="n">
        <v>174.7</v>
      </c>
      <c r="T4689" t="n">
        <v>0</v>
      </c>
      <c r="U4689" t="n">
        <v>1245.32</v>
      </c>
      <c r="X4689" t="inlineStr">
        <is>
          <t>acoa-apeca</t>
        </is>
      </c>
      <c r="Y4689" t="inlineStr">
        <is>
          <t>Atlantic Canada Opportunities Agency | Agence de promotion économique du Canada atlantique</t>
        </is>
      </c>
      <c r="Z4689" t="n">
        <v>2</v>
      </c>
      <c r="AA4689" t="n">
        <v>1245.32</v>
      </c>
      <c r="AB4689">
        <f>ROUND(U4689-AA4689,2)</f>
        <v/>
      </c>
      <c r="AC4689" t="b">
        <v>0</v>
      </c>
      <c r="AD4689">
        <f>IF(U4689="","MISSING_TOTAL",IF(ABS(AB4689)&lt;=0.01,"OK","CHECK"))</f>
        <v/>
      </c>
      <c r="AE4689">
        <f>IF(U4689="","MISSING",IF(AND(AA4689&gt;0,U4689/AA4689&gt;50),"POSSIBLE_SCALE_ERROR","OK"))</f>
        <v/>
      </c>
    </row>
    <row r="4690">
      <c r="A4690" t="inlineStr">
        <is>
          <t>T-2019-Q4-00022</t>
        </is>
      </c>
      <c r="B4690" t="inlineStr">
        <is>
          <t>SLE</t>
        </is>
      </c>
      <c r="C4690" t="inlineStr">
        <is>
          <t>Vice-President, Prince Edward Island</t>
        </is>
      </c>
      <c r="D4690" t="inlineStr">
        <is>
          <t>Vice-président, Île-du-Prince-Édouard</t>
        </is>
      </c>
      <c r="E4690" t="inlineStr">
        <is>
          <t>Patrick Dorsey</t>
        </is>
      </c>
      <c r="F4690" t="inlineStr">
        <is>
          <t>Meetings with Agency officials</t>
        </is>
      </c>
      <c r="G4690" t="inlineStr">
        <is>
          <t>Réunions avec des fonctionnaires de l'Agence</t>
        </is>
      </c>
      <c r="H4690" s="1" t="n">
        <v>43518</v>
      </c>
      <c r="I4690" s="1" t="n">
        <v>43518</v>
      </c>
      <c r="J4690" t="inlineStr">
        <is>
          <t>Moncton, New Brunswick</t>
        </is>
      </c>
      <c r="K4690" t="inlineStr">
        <is>
          <t>Moncton (Nouveau-Brunswick)</t>
        </is>
      </c>
      <c r="P4690" t="n">
        <v>0</v>
      </c>
      <c r="Q4690" t="n">
        <v>56.75</v>
      </c>
      <c r="R4690" t="n">
        <v>0</v>
      </c>
      <c r="S4690" t="n">
        <v>19.85</v>
      </c>
      <c r="T4690" t="n">
        <v>0</v>
      </c>
      <c r="U4690" t="n">
        <v>76.59999999999999</v>
      </c>
      <c r="X4690" t="inlineStr">
        <is>
          <t>acoa-apeca</t>
        </is>
      </c>
      <c r="Y4690" t="inlineStr">
        <is>
          <t>Atlantic Canada Opportunities Agency | Agence de promotion économique du Canada atlantique</t>
        </is>
      </c>
      <c r="Z4690" t="n">
        <v>1</v>
      </c>
      <c r="AA4690" t="n">
        <v>76.59999999999999</v>
      </c>
      <c r="AB4690">
        <f>ROUND(U4690-AA4690,2)</f>
        <v/>
      </c>
      <c r="AC4690" t="b">
        <v>0</v>
      </c>
      <c r="AD4690">
        <f>IF(U4690="","MISSING_TOTAL",IF(ABS(AB4690)&lt;=0.01,"OK","CHECK"))</f>
        <v/>
      </c>
      <c r="AE4690">
        <f>IF(U4690="","MISSING",IF(AND(AA4690&gt;0,U4690/AA4690&gt;50),"POSSIBLE_SCALE_ERROR","OK"))</f>
        <v/>
      </c>
    </row>
    <row r="4691">
      <c r="A4691" t="inlineStr">
        <is>
          <t>T-2019-Q4-00021</t>
        </is>
      </c>
      <c r="B4691" t="inlineStr">
        <is>
          <t>SLE</t>
        </is>
      </c>
      <c r="C4691" t="inlineStr">
        <is>
          <t>Vice-President, Newfoundland and Labrador</t>
        </is>
      </c>
      <c r="D4691" t="inlineStr">
        <is>
          <t>Vice-président, Terre-Neuve-et-Labrador</t>
        </is>
      </c>
      <c r="E4691" t="inlineStr">
        <is>
          <t>Ken Martin</t>
        </is>
      </c>
      <c r="F4691" t="inlineStr">
        <is>
          <t>Attend personal training and development seminar</t>
        </is>
      </c>
      <c r="G4691" t="inlineStr">
        <is>
          <t>Assister à un séminaire de formation personnelle et de perfectionnement</t>
        </is>
      </c>
      <c r="H4691" s="1" t="n">
        <v>43515</v>
      </c>
      <c r="I4691" s="1" t="n">
        <v>43518</v>
      </c>
      <c r="J4691" t="inlineStr">
        <is>
          <t>Halifax, Nova Scotia</t>
        </is>
      </c>
      <c r="K4691" t="inlineStr">
        <is>
          <t>Halifax (Nouvelle-Écosse)</t>
        </is>
      </c>
      <c r="P4691" t="n">
        <v>540.79</v>
      </c>
      <c r="Q4691" t="n">
        <v>139.87</v>
      </c>
      <c r="R4691" t="n">
        <v>524.34</v>
      </c>
      <c r="S4691" t="n">
        <v>389.5</v>
      </c>
      <c r="T4691" t="n">
        <v>75.33</v>
      </c>
      <c r="U4691" t="n">
        <v>1669.83</v>
      </c>
      <c r="X4691" t="inlineStr">
        <is>
          <t>acoa-apeca</t>
        </is>
      </c>
      <c r="Y4691" t="inlineStr">
        <is>
          <t>Atlantic Canada Opportunities Agency | Agence de promotion économique du Canada atlantique</t>
        </is>
      </c>
      <c r="Z4691" t="n">
        <v>4</v>
      </c>
      <c r="AA4691" t="n">
        <v>1669.83</v>
      </c>
      <c r="AB4691">
        <f>ROUND(U4691-AA4691,2)</f>
        <v/>
      </c>
      <c r="AC4691" t="b">
        <v>0</v>
      </c>
      <c r="AD4691">
        <f>IF(U4691="","MISSING_TOTAL",IF(ABS(AB4691)&lt;=0.01,"OK","CHECK"))</f>
        <v/>
      </c>
      <c r="AE4691">
        <f>IF(U4691="","MISSING",IF(AND(AA4691&gt;0,U4691/AA4691&gt;50),"POSSIBLE_SCALE_ERROR","OK"))</f>
        <v/>
      </c>
    </row>
    <row r="4692">
      <c r="A4692" t="inlineStr">
        <is>
          <t>T-2019-Q4-00020</t>
        </is>
      </c>
      <c r="B4692" t="inlineStr">
        <is>
          <t>SLE</t>
        </is>
      </c>
      <c r="C4692" t="inlineStr">
        <is>
          <t>Vice-President, Prince Edward Island</t>
        </is>
      </c>
      <c r="D4692" t="inlineStr">
        <is>
          <t>Vice-président, Île-du-Prince-Édouard</t>
        </is>
      </c>
      <c r="E4692" t="inlineStr">
        <is>
          <t>Patrick Dorsey</t>
        </is>
      </c>
      <c r="F4692" t="inlineStr">
        <is>
          <t>Meetings with Agency officials</t>
        </is>
      </c>
      <c r="G4692" t="inlineStr">
        <is>
          <t>Réunions avec des fonctionnaires de l'Agence</t>
        </is>
      </c>
      <c r="H4692" s="1" t="n">
        <v>43514</v>
      </c>
      <c r="I4692" s="1" t="n">
        <v>43515</v>
      </c>
      <c r="J4692" t="inlineStr">
        <is>
          <t>Fredericton, New Brunswick</t>
        </is>
      </c>
      <c r="K4692" t="inlineStr">
        <is>
          <t>Fredericton (Nouveau-Brunswick)</t>
        </is>
      </c>
      <c r="P4692" t="n">
        <v>0</v>
      </c>
      <c r="Q4692" t="n">
        <v>69.75</v>
      </c>
      <c r="R4692" t="n">
        <v>163.3</v>
      </c>
      <c r="S4692" t="n">
        <v>144.55</v>
      </c>
      <c r="T4692" t="n">
        <v>0</v>
      </c>
      <c r="U4692" t="n">
        <v>377.6</v>
      </c>
      <c r="X4692" t="inlineStr">
        <is>
          <t>acoa-apeca</t>
        </is>
      </c>
      <c r="Y4692" t="inlineStr">
        <is>
          <t>Atlantic Canada Opportunities Agency | Agence de promotion économique du Canada atlantique</t>
        </is>
      </c>
      <c r="Z4692" t="n">
        <v>2</v>
      </c>
      <c r="AA4692" t="n">
        <v>377.6</v>
      </c>
      <c r="AB4692">
        <f>ROUND(U4692-AA4692,2)</f>
        <v/>
      </c>
      <c r="AC4692" t="b">
        <v>0</v>
      </c>
      <c r="AD4692">
        <f>IF(U4692="","MISSING_TOTAL",IF(ABS(AB4692)&lt;=0.01,"OK","CHECK"))</f>
        <v/>
      </c>
      <c r="AE4692">
        <f>IF(U4692="","MISSING",IF(AND(AA4692&gt;0,U4692/AA4692&gt;50),"POSSIBLE_SCALE_ERROR","OK"))</f>
        <v/>
      </c>
    </row>
    <row r="4693">
      <c r="A4693" t="inlineStr">
        <is>
          <t>T-2019-Q4-00019</t>
        </is>
      </c>
      <c r="B4693" t="inlineStr">
        <is>
          <t>SLE</t>
        </is>
      </c>
      <c r="C4693" t="inlineStr">
        <is>
          <t>Senior Advisor (Energy)</t>
        </is>
      </c>
      <c r="D4693" t="inlineStr">
        <is>
          <t>Conseiller spécial (energie)</t>
        </is>
      </c>
      <c r="E4693" t="inlineStr">
        <is>
          <t>Andrew F. Noseworthy</t>
        </is>
      </c>
      <c r="F4693" t="inlineStr">
        <is>
          <t>To attend meeting of Agency officials</t>
        </is>
      </c>
      <c r="G4693" t="inlineStr">
        <is>
          <t>Assister à une réunion avec des fonctionnaires de l'Agence</t>
        </is>
      </c>
      <c r="H4693" s="1" t="n">
        <v>43481</v>
      </c>
      <c r="I4693" s="1" t="n">
        <v>43482</v>
      </c>
      <c r="J4693" t="inlineStr">
        <is>
          <t>Moncton, New Brunswick</t>
        </is>
      </c>
      <c r="K4693" t="inlineStr">
        <is>
          <t>Moncton (Nouveau-Brunswick)</t>
        </is>
      </c>
      <c r="P4693" t="n">
        <v>1155.94</v>
      </c>
      <c r="Q4693" t="n">
        <v>83</v>
      </c>
      <c r="R4693" t="n">
        <v>144.9</v>
      </c>
      <c r="S4693" t="n">
        <v>174.7</v>
      </c>
      <c r="T4693" t="n">
        <v>13.5</v>
      </c>
      <c r="U4693" t="n">
        <v>1572.04</v>
      </c>
      <c r="X4693" t="inlineStr">
        <is>
          <t>acoa-apeca</t>
        </is>
      </c>
      <c r="Y4693" t="inlineStr">
        <is>
          <t>Atlantic Canada Opportunities Agency | Agence de promotion économique du Canada atlantique</t>
        </is>
      </c>
      <c r="Z4693" t="n">
        <v>2</v>
      </c>
      <c r="AA4693" t="n">
        <v>1572.04</v>
      </c>
      <c r="AB4693">
        <f>ROUND(U4693-AA4693,2)</f>
        <v/>
      </c>
      <c r="AC4693" t="b">
        <v>0</v>
      </c>
      <c r="AD4693">
        <f>IF(U4693="","MISSING_TOTAL",IF(ABS(AB4693)&lt;=0.01,"OK","CHECK"))</f>
        <v/>
      </c>
      <c r="AE4693">
        <f>IF(U4693="","MISSING",IF(AND(AA4693&gt;0,U4693/AA4693&gt;50),"POSSIBLE_SCALE_ERROR","OK"))</f>
        <v/>
      </c>
    </row>
    <row r="4694">
      <c r="A4694" t="inlineStr">
        <is>
          <t>T-2019-Q4-00018</t>
        </is>
      </c>
      <c r="B4694" t="inlineStr">
        <is>
          <t>SLE</t>
        </is>
      </c>
      <c r="C4694" t="inlineStr">
        <is>
          <t>Senior Advisor (Energy)</t>
        </is>
      </c>
      <c r="D4694" t="inlineStr">
        <is>
          <t>Conseiller spécial (energie)</t>
        </is>
      </c>
      <c r="E4694" t="inlineStr">
        <is>
          <t>Andrew F. Noseworthy</t>
        </is>
      </c>
      <c r="F4694" t="inlineStr">
        <is>
          <t>Attend Institute of Corporate Directors Program - Module 3</t>
        </is>
      </c>
      <c r="G4694" t="inlineStr">
        <is>
          <t>Participer au programme de l'Institut des administrateurs de sociétés (module 3)</t>
        </is>
      </c>
      <c r="H4694" s="1" t="n">
        <v>43496</v>
      </c>
      <c r="I4694" s="1" t="n">
        <v>43499</v>
      </c>
      <c r="J4694" t="inlineStr">
        <is>
          <t>Toronto, Ontario</t>
        </is>
      </c>
      <c r="K4694" t="inlineStr">
        <is>
          <t>Toronto (Ontario)</t>
        </is>
      </c>
      <c r="P4694" t="n">
        <v>391.11</v>
      </c>
      <c r="Q4694" t="n">
        <v>253</v>
      </c>
      <c r="R4694" t="n">
        <v>666.33</v>
      </c>
      <c r="S4694" t="n">
        <v>269.2</v>
      </c>
      <c r="T4694" t="n">
        <v>77</v>
      </c>
      <c r="U4694" t="n">
        <v>1656.64</v>
      </c>
      <c r="X4694" t="inlineStr">
        <is>
          <t>acoa-apeca</t>
        </is>
      </c>
      <c r="Y4694" t="inlineStr">
        <is>
          <t>Atlantic Canada Opportunities Agency | Agence de promotion économique du Canada atlantique</t>
        </is>
      </c>
      <c r="Z4694" t="n">
        <v>4</v>
      </c>
      <c r="AA4694" t="n">
        <v>1656.64</v>
      </c>
      <c r="AB4694">
        <f>ROUND(U4694-AA4694,2)</f>
        <v/>
      </c>
      <c r="AC4694" t="b">
        <v>0</v>
      </c>
      <c r="AD4694">
        <f>IF(U4694="","MISSING_TOTAL",IF(ABS(AB4694)&lt;=0.01,"OK","CHECK"))</f>
        <v/>
      </c>
      <c r="AE4694">
        <f>IF(U4694="","MISSING",IF(AND(AA4694&gt;0,U4694/AA4694&gt;50),"POSSIBLE_SCALE_ERROR","OK"))</f>
        <v/>
      </c>
    </row>
    <row r="4695">
      <c r="A4695" t="inlineStr">
        <is>
          <t>T-2019-Q4-00017</t>
        </is>
      </c>
      <c r="B4695" t="inlineStr">
        <is>
          <t>SLE</t>
        </is>
      </c>
      <c r="C4695" t="inlineStr">
        <is>
          <t>Vice-President, Policy, Programs and Communications</t>
        </is>
      </c>
      <c r="D4695" t="inlineStr">
        <is>
          <t>Vice-président, Politiques et Programmes</t>
        </is>
      </c>
      <c r="E4695" t="inlineStr">
        <is>
          <t>Daryell Nowlan</t>
        </is>
      </c>
      <c r="F4695" t="inlineStr">
        <is>
          <t>Meeting with Government of Canada officials</t>
        </is>
      </c>
      <c r="G4695" t="inlineStr">
        <is>
          <t>Réunions avec des fonctionnaires du gouvernement du Canada</t>
        </is>
      </c>
      <c r="H4695" s="1" t="n">
        <v>43497</v>
      </c>
      <c r="I4695" s="1" t="n">
        <v>43497</v>
      </c>
      <c r="J4695" t="inlineStr">
        <is>
          <t>Halifax, Nova Scotia</t>
        </is>
      </c>
      <c r="K4695" t="inlineStr">
        <is>
          <t>Halifax (Nouvelle-Écosse)</t>
        </is>
      </c>
      <c r="P4695" t="n">
        <v>363.4</v>
      </c>
      <c r="Q4695" t="n">
        <v>20</v>
      </c>
      <c r="R4695" t="n">
        <v>0</v>
      </c>
      <c r="S4695" t="n">
        <v>57.4</v>
      </c>
      <c r="T4695" t="n">
        <v>0</v>
      </c>
      <c r="U4695" t="n">
        <v>440.8</v>
      </c>
      <c r="X4695" t="inlineStr">
        <is>
          <t>acoa-apeca</t>
        </is>
      </c>
      <c r="Y4695" t="inlineStr">
        <is>
          <t>Atlantic Canada Opportunities Agency | Agence de promotion économique du Canada atlantique</t>
        </is>
      </c>
      <c r="Z4695" t="n">
        <v>1</v>
      </c>
      <c r="AA4695" t="n">
        <v>440.799999999999</v>
      </c>
      <c r="AB4695">
        <f>ROUND(U4695-AA4695,2)</f>
        <v/>
      </c>
      <c r="AC4695" t="b">
        <v>0</v>
      </c>
      <c r="AD4695">
        <f>IF(U4695="","MISSING_TOTAL",IF(ABS(AB4695)&lt;=0.01,"OK","CHECK"))</f>
        <v/>
      </c>
      <c r="AE4695">
        <f>IF(U4695="","MISSING",IF(AND(AA4695&gt;0,U4695/AA4695&gt;50),"POSSIBLE_SCALE_ERROR","OK"))</f>
        <v/>
      </c>
    </row>
    <row r="4696">
      <c r="A4696" t="inlineStr">
        <is>
          <t>T-2019-Q4-00016</t>
        </is>
      </c>
      <c r="B4696" t="inlineStr">
        <is>
          <t>SLE</t>
        </is>
      </c>
      <c r="C4696" t="inlineStr">
        <is>
          <t>Vice-President, Prince Edward Island</t>
        </is>
      </c>
      <c r="D4696" t="inlineStr">
        <is>
          <t>Vice-président, Île-du-Prince-Édouard</t>
        </is>
      </c>
      <c r="E4696" t="inlineStr">
        <is>
          <t>Patrick Dorsey</t>
        </is>
      </c>
      <c r="F4696" t="inlineStr">
        <is>
          <t>Various meetings with government officials</t>
        </is>
      </c>
      <c r="G4696" t="inlineStr">
        <is>
          <t>Diverses réunions avec des fonctionnaires</t>
        </is>
      </c>
      <c r="H4696" s="1" t="n">
        <v>43493</v>
      </c>
      <c r="I4696" s="1" t="n">
        <v>43497</v>
      </c>
      <c r="J4696" t="inlineStr">
        <is>
          <t>Halifax, Nova Scotia</t>
        </is>
      </c>
      <c r="K4696" t="inlineStr">
        <is>
          <t>Halifax (Nouvelle-Écosse)</t>
        </is>
      </c>
      <c r="P4696" t="n">
        <v>0</v>
      </c>
      <c r="Q4696" t="n">
        <v>143.25</v>
      </c>
      <c r="R4696" t="n">
        <v>598.27</v>
      </c>
      <c r="S4696" t="n">
        <v>456.8</v>
      </c>
      <c r="T4696" t="n">
        <v>0</v>
      </c>
      <c r="U4696" t="n">
        <v>1198.32</v>
      </c>
      <c r="X4696" t="inlineStr">
        <is>
          <t>acoa-apeca</t>
        </is>
      </c>
      <c r="Y4696" t="inlineStr">
        <is>
          <t>Atlantic Canada Opportunities Agency | Agence de promotion économique du Canada atlantique</t>
        </is>
      </c>
      <c r="Z4696" t="n">
        <v>5</v>
      </c>
      <c r="AA4696" t="n">
        <v>1198.32</v>
      </c>
      <c r="AB4696">
        <f>ROUND(U4696-AA4696,2)</f>
        <v/>
      </c>
      <c r="AC4696" t="b">
        <v>0</v>
      </c>
      <c r="AD4696">
        <f>IF(U4696="","MISSING_TOTAL",IF(ABS(AB4696)&lt;=0.01,"OK","CHECK"))</f>
        <v/>
      </c>
      <c r="AE4696">
        <f>IF(U4696="","MISSING",IF(AND(AA4696&gt;0,U4696/AA4696&gt;50),"POSSIBLE_SCALE_ERROR","OK"))</f>
        <v/>
      </c>
    </row>
    <row r="4697">
      <c r="A4697" t="inlineStr">
        <is>
          <t>T-2019-Q4-00015</t>
        </is>
      </c>
      <c r="B4697" t="inlineStr">
        <is>
          <t>SLE</t>
        </is>
      </c>
      <c r="C4697" t="inlineStr">
        <is>
          <t>Vice-President, Finance and Corporate Services</t>
        </is>
      </c>
      <c r="D4697" t="inlineStr">
        <is>
          <t>Vice-président, Finance et Services corporatifs</t>
        </is>
      </c>
      <c r="E4697" t="inlineStr">
        <is>
          <t>Stephane Lagace</t>
        </is>
      </c>
      <c r="F4697" t="inlineStr">
        <is>
          <t>Training - Financial Management Institute of Canada</t>
        </is>
      </c>
      <c r="G4697" t="inlineStr">
        <is>
          <t>Formation - Institut de la gestion financière du Canada</t>
        </is>
      </c>
      <c r="H4697" s="1" t="n">
        <v>43488</v>
      </c>
      <c r="I4697" s="1" t="n">
        <v>43490</v>
      </c>
      <c r="J4697" t="inlineStr">
        <is>
          <t>Ottawa, Ontario</t>
        </is>
      </c>
      <c r="K4697" t="inlineStr">
        <is>
          <t>Ottawa (Ontario)</t>
        </is>
      </c>
      <c r="P4697" t="n">
        <v>702.71</v>
      </c>
      <c r="Q4697" t="n">
        <v>38.53</v>
      </c>
      <c r="R4697" t="n">
        <v>451.28</v>
      </c>
      <c r="S4697" t="n">
        <v>211.85</v>
      </c>
      <c r="T4697" t="n">
        <v>44</v>
      </c>
      <c r="U4697" t="n">
        <v>1448.37</v>
      </c>
      <c r="X4697" t="inlineStr">
        <is>
          <t>acoa-apeca</t>
        </is>
      </c>
      <c r="Y4697" t="inlineStr">
        <is>
          <t>Atlantic Canada Opportunities Agency | Agence de promotion économique du Canada atlantique</t>
        </is>
      </c>
      <c r="Z4697" t="n">
        <v>3</v>
      </c>
      <c r="AA4697" t="n">
        <v>1448.37</v>
      </c>
      <c r="AB4697">
        <f>ROUND(U4697-AA4697,2)</f>
        <v/>
      </c>
      <c r="AC4697" t="b">
        <v>0</v>
      </c>
      <c r="AD4697">
        <f>IF(U4697="","MISSING_TOTAL",IF(ABS(AB4697)&lt;=0.01,"OK","CHECK"))</f>
        <v/>
      </c>
      <c r="AE4697">
        <f>IF(U4697="","MISSING",IF(AND(AA4697&gt;0,U4697/AA4697&gt;50),"POSSIBLE_SCALE_ERROR","OK"))</f>
        <v/>
      </c>
    </row>
    <row r="4698">
      <c r="A4698" t="inlineStr">
        <is>
          <t>T-2019-Q4-00014</t>
        </is>
      </c>
      <c r="B4698" t="inlineStr">
        <is>
          <t>SLE</t>
        </is>
      </c>
      <c r="C4698" t="inlineStr">
        <is>
          <t>Vice-President, Policy, Programs and Communications</t>
        </is>
      </c>
      <c r="D4698" t="inlineStr">
        <is>
          <t>Vice-président, Politiques et Programmes</t>
        </is>
      </c>
      <c r="E4698" t="inlineStr">
        <is>
          <t>Daryell Nowlan</t>
        </is>
      </c>
      <c r="F4698" t="inlineStr">
        <is>
          <t>Meetings with Government of Canada officials</t>
        </is>
      </c>
      <c r="G4698" t="inlineStr">
        <is>
          <t>Réunions avec des fonctionnaires du gouvernement du Canada</t>
        </is>
      </c>
      <c r="H4698" s="1" t="n">
        <v>43488</v>
      </c>
      <c r="I4698" s="1" t="n">
        <v>43489</v>
      </c>
      <c r="J4698" t="inlineStr">
        <is>
          <t>Ottawa, Ontario</t>
        </is>
      </c>
      <c r="K4698" t="inlineStr">
        <is>
          <t>Ottawa (Ontario)</t>
        </is>
      </c>
      <c r="P4698" t="n">
        <v>726.8</v>
      </c>
      <c r="Q4698" t="n">
        <v>124.49</v>
      </c>
      <c r="R4698" t="n">
        <v>225.64</v>
      </c>
      <c r="S4698" t="n">
        <v>154.45</v>
      </c>
      <c r="T4698" t="n">
        <v>0</v>
      </c>
      <c r="U4698" t="n">
        <v>1231.38</v>
      </c>
      <c r="X4698" t="inlineStr">
        <is>
          <t>acoa-apeca</t>
        </is>
      </c>
      <c r="Y4698" t="inlineStr">
        <is>
          <t>Atlantic Canada Opportunities Agency | Agence de promotion économique du Canada atlantique</t>
        </is>
      </c>
      <c r="Z4698" t="n">
        <v>2</v>
      </c>
      <c r="AA4698" t="n">
        <v>1231.37999999999</v>
      </c>
      <c r="AB4698">
        <f>ROUND(U4698-AA4698,2)</f>
        <v/>
      </c>
      <c r="AC4698" t="b">
        <v>0</v>
      </c>
      <c r="AD4698">
        <f>IF(U4698="","MISSING_TOTAL",IF(ABS(AB4698)&lt;=0.01,"OK","CHECK"))</f>
        <v/>
      </c>
      <c r="AE4698">
        <f>IF(U4698="","MISSING",IF(AND(AA4698&gt;0,U4698/AA4698&gt;50),"POSSIBLE_SCALE_ERROR","OK"))</f>
        <v/>
      </c>
    </row>
    <row r="4699">
      <c r="A4699" t="inlineStr">
        <is>
          <t>T-2019-Q4-00013</t>
        </is>
      </c>
      <c r="B4699" t="inlineStr">
        <is>
          <t>SLE</t>
        </is>
      </c>
      <c r="C4699" t="inlineStr">
        <is>
          <t>Vice-President, Policy, Programs and Communications</t>
        </is>
      </c>
      <c r="D4699" t="inlineStr">
        <is>
          <t>Vice-président, Politiques et Programmes</t>
        </is>
      </c>
      <c r="E4699" t="inlineStr">
        <is>
          <t>Daryell Nowlan</t>
        </is>
      </c>
      <c r="F4699" t="inlineStr">
        <is>
          <t>Meetings with Government of Canada officials</t>
        </is>
      </c>
      <c r="G4699" t="inlineStr">
        <is>
          <t>Réunions avec des fonctionnaires du gouvernement du Canada</t>
        </is>
      </c>
      <c r="H4699" s="1" t="n">
        <v>43479</v>
      </c>
      <c r="I4699" s="1" t="n">
        <v>43480</v>
      </c>
      <c r="J4699" t="inlineStr">
        <is>
          <t>Montreal, Quebec</t>
        </is>
      </c>
      <c r="K4699" t="inlineStr">
        <is>
          <t>Montréal (Québec)</t>
        </is>
      </c>
      <c r="P4699" t="n">
        <v>726.8</v>
      </c>
      <c r="Q4699" t="n">
        <v>25</v>
      </c>
      <c r="R4699" t="n">
        <v>224.91</v>
      </c>
      <c r="S4699" t="n">
        <v>174.7</v>
      </c>
      <c r="T4699" t="n">
        <v>0</v>
      </c>
      <c r="U4699" t="n">
        <v>1151.41</v>
      </c>
      <c r="X4699" t="inlineStr">
        <is>
          <t>acoa-apeca</t>
        </is>
      </c>
      <c r="Y4699" t="inlineStr">
        <is>
          <t>Atlantic Canada Opportunities Agency | Agence de promotion économique du Canada atlantique</t>
        </is>
      </c>
      <c r="Z4699" t="n">
        <v>2</v>
      </c>
      <c r="AA4699" t="n">
        <v>1151.40999999999</v>
      </c>
      <c r="AB4699">
        <f>ROUND(U4699-AA4699,2)</f>
        <v/>
      </c>
      <c r="AC4699" t="b">
        <v>0</v>
      </c>
      <c r="AD4699">
        <f>IF(U4699="","MISSING_TOTAL",IF(ABS(AB4699)&lt;=0.01,"OK","CHECK"))</f>
        <v/>
      </c>
      <c r="AE4699">
        <f>IF(U4699="","MISSING",IF(AND(AA4699&gt;0,U4699/AA4699&gt;50),"POSSIBLE_SCALE_ERROR","OK"))</f>
        <v/>
      </c>
    </row>
    <row r="4700">
      <c r="A4700" t="inlineStr">
        <is>
          <t>T-2019-Q4-00012</t>
        </is>
      </c>
      <c r="B4700" t="inlineStr">
        <is>
          <t>SLE</t>
        </is>
      </c>
      <c r="C4700" t="inlineStr">
        <is>
          <t>Vice-President, Finance and Corporate Services</t>
        </is>
      </c>
      <c r="D4700" t="inlineStr">
        <is>
          <t>Vice-président, Finance et Services corporatifs</t>
        </is>
      </c>
      <c r="E4700" t="inlineStr">
        <is>
          <t>Stephane Lagace</t>
        </is>
      </c>
      <c r="F4700" t="inlineStr">
        <is>
          <t>Various meetings with Government of Canada officials</t>
        </is>
      </c>
      <c r="G4700" t="inlineStr">
        <is>
          <t>Diverses réunions avec des fonctionnaires du gouvernement du Canada</t>
        </is>
      </c>
      <c r="H4700" s="1" t="n">
        <v>43479</v>
      </c>
      <c r="I4700" s="1" t="n">
        <v>43480</v>
      </c>
      <c r="J4700" t="inlineStr">
        <is>
          <t>Montreal, Quebec</t>
        </is>
      </c>
      <c r="K4700" t="inlineStr">
        <is>
          <t>Montréal (Québec)</t>
        </is>
      </c>
      <c r="P4700" t="n">
        <v>902.48</v>
      </c>
      <c r="Q4700" t="n">
        <v>96.66</v>
      </c>
      <c r="R4700" t="n">
        <v>201.12</v>
      </c>
      <c r="S4700" t="n">
        <v>124.7</v>
      </c>
      <c r="T4700" t="n">
        <v>32</v>
      </c>
      <c r="U4700" t="n">
        <v>1356.96</v>
      </c>
      <c r="X4700" t="inlineStr">
        <is>
          <t>acoa-apeca</t>
        </is>
      </c>
      <c r="Y4700" t="inlineStr">
        <is>
          <t>Atlantic Canada Opportunities Agency | Agence de promotion économique du Canada atlantique</t>
        </is>
      </c>
      <c r="Z4700" t="n">
        <v>2</v>
      </c>
      <c r="AA4700" t="n">
        <v>1356.96</v>
      </c>
      <c r="AB4700">
        <f>ROUND(U4700-AA4700,2)</f>
        <v/>
      </c>
      <c r="AC4700" t="b">
        <v>0</v>
      </c>
      <c r="AD4700">
        <f>IF(U4700="","MISSING_TOTAL",IF(ABS(AB4700)&lt;=0.01,"OK","CHECK"))</f>
        <v/>
      </c>
      <c r="AE4700">
        <f>IF(U4700="","MISSING",IF(AND(AA4700&gt;0,U4700/AA4700&gt;50),"POSSIBLE_SCALE_ERROR","OK"))</f>
        <v/>
      </c>
    </row>
    <row r="4701">
      <c r="A4701" t="inlineStr">
        <is>
          <t>T-2019-Q4-00011</t>
        </is>
      </c>
      <c r="B4701" t="inlineStr">
        <is>
          <t>SLE</t>
        </is>
      </c>
      <c r="C4701" t="inlineStr">
        <is>
          <t>Vice-President, Newfoundland and Labrador</t>
        </is>
      </c>
      <c r="D4701" t="inlineStr">
        <is>
          <t>Vice-président, Terre-Neuve-et-Labrador</t>
        </is>
      </c>
      <c r="E4701" t="inlineStr">
        <is>
          <t>Ken Martin</t>
        </is>
      </c>
      <c r="F4701" t="inlineStr">
        <is>
          <t>Attend meetings with senior government officials</t>
        </is>
      </c>
      <c r="G4701" t="inlineStr">
        <is>
          <t>Assister à des réunions avec de hauts fonctionnaires</t>
        </is>
      </c>
      <c r="H4701" s="1" t="n">
        <v>43473</v>
      </c>
      <c r="I4701" s="1" t="n">
        <v>43474</v>
      </c>
      <c r="J4701" t="inlineStr">
        <is>
          <t>Montreal, Quebec</t>
        </is>
      </c>
      <c r="K4701" t="inlineStr">
        <is>
          <t>Montréal (Québec)</t>
        </is>
      </c>
      <c r="P4701" t="n">
        <v>898.52</v>
      </c>
      <c r="Q4701" t="n">
        <v>75.05</v>
      </c>
      <c r="R4701" t="n">
        <v>196.35</v>
      </c>
      <c r="S4701" t="n">
        <v>174.7</v>
      </c>
      <c r="T4701" t="n">
        <v>0</v>
      </c>
      <c r="U4701" t="n">
        <v>1344.62</v>
      </c>
      <c r="X4701" t="inlineStr">
        <is>
          <t>acoa-apeca</t>
        </is>
      </c>
      <c r="Y4701" t="inlineStr">
        <is>
          <t>Atlantic Canada Opportunities Agency | Agence de promotion économique du Canada atlantique</t>
        </is>
      </c>
      <c r="Z4701" t="n">
        <v>2</v>
      </c>
      <c r="AA4701" t="n">
        <v>1344.62</v>
      </c>
      <c r="AB4701">
        <f>ROUND(U4701-AA4701,2)</f>
        <v/>
      </c>
      <c r="AC4701" t="b">
        <v>0</v>
      </c>
      <c r="AD4701">
        <f>IF(U4701="","MISSING_TOTAL",IF(ABS(AB4701)&lt;=0.01,"OK","CHECK"))</f>
        <v/>
      </c>
      <c r="AE4701">
        <f>IF(U4701="","MISSING",IF(AND(AA4701&gt;0,U4701/AA4701&gt;50),"POSSIBLE_SCALE_ERROR","OK"))</f>
        <v/>
      </c>
    </row>
    <row r="4702">
      <c r="A4702" t="inlineStr">
        <is>
          <t>T-2019-Q4-00010</t>
        </is>
      </c>
      <c r="B4702" t="inlineStr">
        <is>
          <t>SLE</t>
        </is>
      </c>
      <c r="C4702" t="inlineStr">
        <is>
          <t>President</t>
        </is>
      </c>
      <c r="D4702" t="inlineStr">
        <is>
          <t>Président</t>
        </is>
      </c>
      <c r="E4702" t="inlineStr">
        <is>
          <t>Francis McGuire</t>
        </is>
      </c>
      <c r="F4702" t="inlineStr">
        <is>
          <t>Various meetings with Government of Canada officials</t>
        </is>
      </c>
      <c r="G4702" t="inlineStr">
        <is>
          <t>Diverses réunions avec des fonctionnaires du gouvernement du Canada</t>
        </is>
      </c>
      <c r="H4702" s="1" t="n">
        <v>43479</v>
      </c>
      <c r="I4702" s="1" t="n">
        <v>43481</v>
      </c>
      <c r="J4702" t="inlineStr">
        <is>
          <t>Montreal, Quebec</t>
        </is>
      </c>
      <c r="K4702" t="inlineStr">
        <is>
          <t>Montréal (Québec)</t>
        </is>
      </c>
      <c r="P4702" t="n">
        <v>709.55</v>
      </c>
      <c r="Q4702" t="n">
        <v>87.98</v>
      </c>
      <c r="R4702" t="n">
        <v>449.82</v>
      </c>
      <c r="S4702" t="n">
        <v>254.01</v>
      </c>
      <c r="T4702" t="n">
        <v>36</v>
      </c>
      <c r="U4702" t="n">
        <v>1537.36</v>
      </c>
      <c r="X4702" t="inlineStr">
        <is>
          <t>acoa-apeca</t>
        </is>
      </c>
      <c r="Y4702" t="inlineStr">
        <is>
          <t>Atlantic Canada Opportunities Agency | Agence de promotion économique du Canada atlantique</t>
        </is>
      </c>
      <c r="Z4702" t="n">
        <v>3</v>
      </c>
      <c r="AA4702" t="n">
        <v>1537.36</v>
      </c>
      <c r="AB4702">
        <f>ROUND(U4702-AA4702,2)</f>
        <v/>
      </c>
      <c r="AC4702" t="b">
        <v>0</v>
      </c>
      <c r="AD4702">
        <f>IF(U4702="","MISSING_TOTAL",IF(ABS(AB4702)&lt;=0.01,"OK","CHECK"))</f>
        <v/>
      </c>
      <c r="AE4702">
        <f>IF(U4702="","MISSING",IF(AND(AA4702&gt;0,U4702/AA4702&gt;50),"POSSIBLE_SCALE_ERROR","OK"))</f>
        <v/>
      </c>
    </row>
    <row r="4703">
      <c r="A4703" t="inlineStr">
        <is>
          <t>T-2019-Q4-00009</t>
        </is>
      </c>
      <c r="B4703" t="inlineStr">
        <is>
          <t>SLE</t>
        </is>
      </c>
      <c r="C4703" t="inlineStr">
        <is>
          <t>Vice-President, Policy, Programs and Communications</t>
        </is>
      </c>
      <c r="D4703" t="inlineStr">
        <is>
          <t>Vice-président, Politiques et Programmes</t>
        </is>
      </c>
      <c r="E4703" t="inlineStr">
        <is>
          <t>Daryell Nowlan</t>
        </is>
      </c>
      <c r="F4703" t="inlineStr">
        <is>
          <t>Meetings with Government of Canada officials</t>
        </is>
      </c>
      <c r="G4703" t="inlineStr">
        <is>
          <t>Réunions avec des fonctionnaires du gouvernement du Canada</t>
        </is>
      </c>
      <c r="H4703" s="1" t="n">
        <v>43472</v>
      </c>
      <c r="I4703" s="1" t="n">
        <v>43474</v>
      </c>
      <c r="J4703" t="inlineStr">
        <is>
          <t>Ottawa, Ontario</t>
        </is>
      </c>
      <c r="K4703" t="inlineStr">
        <is>
          <t>Ottawa (Ontario)</t>
        </is>
      </c>
      <c r="P4703" t="n">
        <v>726.8</v>
      </c>
      <c r="Q4703" t="n">
        <v>100.45</v>
      </c>
      <c r="R4703" t="n">
        <v>420.72</v>
      </c>
      <c r="S4703" t="n">
        <v>221.75</v>
      </c>
      <c r="T4703" t="n">
        <v>0</v>
      </c>
      <c r="U4703" t="n">
        <v>1469.72</v>
      </c>
      <c r="X4703" t="inlineStr">
        <is>
          <t>acoa-apeca</t>
        </is>
      </c>
      <c r="Y4703" t="inlineStr">
        <is>
          <t>Atlantic Canada Opportunities Agency | Agence de promotion économique du Canada atlantique</t>
        </is>
      </c>
      <c r="Z4703" t="n">
        <v>3</v>
      </c>
      <c r="AA4703" t="n">
        <v>1469.72</v>
      </c>
      <c r="AB4703">
        <f>ROUND(U4703-AA4703,2)</f>
        <v/>
      </c>
      <c r="AC4703" t="b">
        <v>0</v>
      </c>
      <c r="AD4703">
        <f>IF(U4703="","MISSING_TOTAL",IF(ABS(AB4703)&lt;=0.01,"OK","CHECK"))</f>
        <v/>
      </c>
      <c r="AE4703">
        <f>IF(U4703="","MISSING",IF(AND(AA4703&gt;0,U4703/AA4703&gt;50),"POSSIBLE_SCALE_ERROR","OK"))</f>
        <v/>
      </c>
    </row>
    <row r="4704">
      <c r="A4704" t="inlineStr">
        <is>
          <t>T-2019-Q4-00008</t>
        </is>
      </c>
      <c r="B4704" t="inlineStr">
        <is>
          <t>SLE</t>
        </is>
      </c>
      <c r="C4704" t="inlineStr">
        <is>
          <t>Vice-President, Prince Edward Island</t>
        </is>
      </c>
      <c r="D4704" t="inlineStr">
        <is>
          <t>Vice-président, Île-du-Prince-Édouard</t>
        </is>
      </c>
      <c r="E4704" t="inlineStr">
        <is>
          <t>Patrick Dorsey</t>
        </is>
      </c>
      <c r="F4704" t="inlineStr">
        <is>
          <t>To attend meetings with senior Agency officials</t>
        </is>
      </c>
      <c r="G4704" t="inlineStr">
        <is>
          <t>Assister à des réunions avec de hauts fonctionnaires de l'Agence</t>
        </is>
      </c>
      <c r="H4704" s="1" t="n">
        <v>43473</v>
      </c>
      <c r="I4704" s="1" t="n">
        <v>43473</v>
      </c>
      <c r="J4704" t="inlineStr">
        <is>
          <t>Moncton, New Brunswick</t>
        </is>
      </c>
      <c r="K4704" t="inlineStr">
        <is>
          <t>Moncton (Nouveau-Brunswick)</t>
        </is>
      </c>
      <c r="P4704" t="n">
        <v>0</v>
      </c>
      <c r="Q4704" t="n">
        <v>55.75</v>
      </c>
      <c r="R4704" t="n">
        <v>0</v>
      </c>
      <c r="S4704" t="n">
        <v>19.85</v>
      </c>
      <c r="T4704" t="n">
        <v>0</v>
      </c>
      <c r="U4704" t="n">
        <v>75.59999999999999</v>
      </c>
      <c r="X4704" t="inlineStr">
        <is>
          <t>acoa-apeca</t>
        </is>
      </c>
      <c r="Y4704" t="inlineStr">
        <is>
          <t>Atlantic Canada Opportunities Agency | Agence de promotion économique du Canada atlantique</t>
        </is>
      </c>
      <c r="Z4704" t="n">
        <v>1</v>
      </c>
      <c r="AA4704" t="n">
        <v>75.59999999999999</v>
      </c>
      <c r="AB4704">
        <f>ROUND(U4704-AA4704,2)</f>
        <v/>
      </c>
      <c r="AC4704" t="b">
        <v>0</v>
      </c>
      <c r="AD4704">
        <f>IF(U4704="","MISSING_TOTAL",IF(ABS(AB4704)&lt;=0.01,"OK","CHECK"))</f>
        <v/>
      </c>
      <c r="AE4704">
        <f>IF(U4704="","MISSING",IF(AND(AA4704&gt;0,U4704/AA4704&gt;50),"POSSIBLE_SCALE_ERROR","OK"))</f>
        <v/>
      </c>
    </row>
    <row r="4705">
      <c r="A4705" t="inlineStr">
        <is>
          <t>T-2019-Q4-00007</t>
        </is>
      </c>
      <c r="B4705" t="inlineStr">
        <is>
          <t>SLE</t>
        </is>
      </c>
      <c r="C4705" t="inlineStr">
        <is>
          <t>President</t>
        </is>
      </c>
      <c r="D4705" t="inlineStr">
        <is>
          <t>Président</t>
        </is>
      </c>
      <c r="E4705" t="inlineStr">
        <is>
          <t>Francis McGuire</t>
        </is>
      </c>
      <c r="F4705" t="inlineStr">
        <is>
          <t>Tourism roundtable with Government of Canada officials</t>
        </is>
      </c>
      <c r="G4705" t="inlineStr">
        <is>
          <t>Table ronde sur le tourisme avec des fonctionnaires du gouvernement du Canada</t>
        </is>
      </c>
      <c r="H4705" s="1" t="n">
        <v>43474</v>
      </c>
      <c r="I4705" s="1" t="n">
        <v>43474</v>
      </c>
      <c r="J4705" t="inlineStr">
        <is>
          <t>Waterford, New Brunswick</t>
        </is>
      </c>
      <c r="K4705" t="inlineStr">
        <is>
          <t>Waterford (Nouveau-Brunswick)</t>
        </is>
      </c>
      <c r="P4705" t="n">
        <v>0</v>
      </c>
      <c r="Q4705" t="n">
        <v>100.58</v>
      </c>
      <c r="R4705" t="n">
        <v>0</v>
      </c>
      <c r="S4705" t="n">
        <v>50</v>
      </c>
      <c r="T4705" t="n">
        <v>0</v>
      </c>
      <c r="U4705" t="n">
        <v>150.58</v>
      </c>
      <c r="X4705" t="inlineStr">
        <is>
          <t>acoa-apeca</t>
        </is>
      </c>
      <c r="Y4705" t="inlineStr">
        <is>
          <t>Atlantic Canada Opportunities Agency | Agence de promotion économique du Canada atlantique</t>
        </is>
      </c>
      <c r="Z4705" t="n">
        <v>1</v>
      </c>
      <c r="AA4705" t="n">
        <v>150.579999999999</v>
      </c>
      <c r="AB4705">
        <f>ROUND(U4705-AA4705,2)</f>
        <v/>
      </c>
      <c r="AC4705" t="b">
        <v>0</v>
      </c>
      <c r="AD4705">
        <f>IF(U4705="","MISSING_TOTAL",IF(ABS(AB4705)&lt;=0.01,"OK","CHECK"))</f>
        <v/>
      </c>
      <c r="AE4705">
        <f>IF(U4705="","MISSING",IF(AND(AA4705&gt;0,U4705/AA4705&gt;50),"POSSIBLE_SCALE_ERROR","OK"))</f>
        <v/>
      </c>
    </row>
    <row r="4706">
      <c r="A4706" t="inlineStr">
        <is>
          <t>T-2019-Q4-00006</t>
        </is>
      </c>
      <c r="B4706" t="inlineStr">
        <is>
          <t>SLE</t>
        </is>
      </c>
      <c r="C4706" t="inlineStr">
        <is>
          <t>Vice-President, Prince Edward Island</t>
        </is>
      </c>
      <c r="D4706" t="inlineStr">
        <is>
          <t>Vice-président, Île-du-Prince-Édouard</t>
        </is>
      </c>
      <c r="E4706" t="inlineStr">
        <is>
          <t>Patrick Dorsey</t>
        </is>
      </c>
      <c r="F4706" t="inlineStr">
        <is>
          <t>Meetings with various government officials</t>
        </is>
      </c>
      <c r="G4706" t="inlineStr">
        <is>
          <t>Réunions avec divers fonctionnaires</t>
        </is>
      </c>
      <c r="H4706" s="1" t="n">
        <v>43451</v>
      </c>
      <c r="I4706" s="1" t="n">
        <v>43453</v>
      </c>
      <c r="J4706" t="inlineStr">
        <is>
          <t>Ottawa, Ontario</t>
        </is>
      </c>
      <c r="K4706" t="inlineStr">
        <is>
          <t>Ottawa (Ontario)</t>
        </is>
      </c>
      <c r="P4706" t="n">
        <v>1407.95</v>
      </c>
      <c r="Q4706" t="n">
        <v>117.59</v>
      </c>
      <c r="R4706" t="n">
        <v>444.22</v>
      </c>
      <c r="S4706" t="n">
        <v>301.95</v>
      </c>
      <c r="T4706" t="n">
        <v>0</v>
      </c>
      <c r="U4706" t="n">
        <v>2271.71</v>
      </c>
      <c r="X4706" t="inlineStr">
        <is>
          <t>acoa-apeca</t>
        </is>
      </c>
      <c r="Y4706" t="inlineStr">
        <is>
          <t>Atlantic Canada Opportunities Agency | Agence de promotion économique du Canada atlantique</t>
        </is>
      </c>
      <c r="Z4706" t="n">
        <v>3</v>
      </c>
      <c r="AA4706" t="n">
        <v>2271.71</v>
      </c>
      <c r="AB4706">
        <f>ROUND(U4706-AA4706,2)</f>
        <v/>
      </c>
      <c r="AC4706" t="b">
        <v>0</v>
      </c>
      <c r="AD4706">
        <f>IF(U4706="","MISSING_TOTAL",IF(ABS(AB4706)&lt;=0.01,"OK","CHECK"))</f>
        <v/>
      </c>
      <c r="AE4706">
        <f>IF(U4706="","MISSING",IF(AND(AA4706&gt;0,U4706/AA4706&gt;50),"POSSIBLE_SCALE_ERROR","OK"))</f>
        <v/>
      </c>
    </row>
    <row r="4707">
      <c r="A4707" t="inlineStr">
        <is>
          <t>T-2019-Q4-00005</t>
        </is>
      </c>
      <c r="B4707" t="inlineStr">
        <is>
          <t>SLE</t>
        </is>
      </c>
      <c r="C4707" t="inlineStr">
        <is>
          <t>Vice-President, Prince Edward Island</t>
        </is>
      </c>
      <c r="D4707" t="inlineStr">
        <is>
          <t>Vice-président, Île-du-Prince-Édouard</t>
        </is>
      </c>
      <c r="E4707" t="inlineStr">
        <is>
          <t>Patrick Dorsey</t>
        </is>
      </c>
      <c r="F4707" t="inlineStr">
        <is>
          <t>Meetings with government officials</t>
        </is>
      </c>
      <c r="G4707" t="inlineStr">
        <is>
          <t>Réunions avec des fonctionnaires</t>
        </is>
      </c>
      <c r="H4707" s="1" t="n">
        <v>43443</v>
      </c>
      <c r="I4707" s="1" t="n">
        <v>43445</v>
      </c>
      <c r="J4707" t="inlineStr">
        <is>
          <t>Halifax, Nova Scotia</t>
        </is>
      </c>
      <c r="K4707" t="inlineStr">
        <is>
          <t>Halifax (Nouvelle-Écosse)</t>
        </is>
      </c>
      <c r="P4707" t="n">
        <v>0</v>
      </c>
      <c r="Q4707" t="n">
        <v>97</v>
      </c>
      <c r="R4707" t="n">
        <v>286.22</v>
      </c>
      <c r="S4707" t="n">
        <v>301.95</v>
      </c>
      <c r="T4707" t="n">
        <v>0</v>
      </c>
      <c r="U4707" t="n">
        <v>685.17</v>
      </c>
      <c r="X4707" t="inlineStr">
        <is>
          <t>acoa-apeca</t>
        </is>
      </c>
      <c r="Y4707" t="inlineStr">
        <is>
          <t>Atlantic Canada Opportunities Agency | Agence de promotion économique du Canada atlantique</t>
        </is>
      </c>
      <c r="Z4707" t="n">
        <v>3</v>
      </c>
      <c r="AA4707" t="n">
        <v>685.17</v>
      </c>
      <c r="AB4707">
        <f>ROUND(U4707-AA4707,2)</f>
        <v/>
      </c>
      <c r="AC4707" t="b">
        <v>0</v>
      </c>
      <c r="AD4707">
        <f>IF(U4707="","MISSING_TOTAL",IF(ABS(AB4707)&lt;=0.01,"OK","CHECK"))</f>
        <v/>
      </c>
      <c r="AE4707">
        <f>IF(U4707="","MISSING",IF(AND(AA4707&gt;0,U4707/AA4707&gt;50),"POSSIBLE_SCALE_ERROR","OK"))</f>
        <v/>
      </c>
    </row>
    <row r="4708">
      <c r="A4708" t="inlineStr">
        <is>
          <t>T-2019-Q4-00004</t>
        </is>
      </c>
      <c r="B4708" t="inlineStr">
        <is>
          <t>SLE</t>
        </is>
      </c>
      <c r="C4708" t="inlineStr">
        <is>
          <t>President</t>
        </is>
      </c>
      <c r="D4708" t="inlineStr">
        <is>
          <t>Président</t>
        </is>
      </c>
      <c r="E4708" t="inlineStr">
        <is>
          <t>Francis McGuire</t>
        </is>
      </c>
      <c r="F4708" t="inlineStr">
        <is>
          <t>Event/meeting with Government of Canada officials and key stakeholders</t>
        </is>
      </c>
      <c r="G4708" t="inlineStr">
        <is>
          <t>Activité/réunion avec des fonctionnaires du gouvernement du Canada et des intervenants clés</t>
        </is>
      </c>
      <c r="H4708" s="1" t="n">
        <v>43447</v>
      </c>
      <c r="I4708" s="1" t="n">
        <v>43448</v>
      </c>
      <c r="J4708" t="inlineStr">
        <is>
          <t>Halifax, Nova Scotia</t>
        </is>
      </c>
      <c r="K4708" t="inlineStr">
        <is>
          <t>Halifax (Nouvelle-Écosse)</t>
        </is>
      </c>
      <c r="P4708" t="n">
        <v>0</v>
      </c>
      <c r="Q4708" t="n">
        <v>283.01</v>
      </c>
      <c r="R4708" t="n">
        <v>166.57</v>
      </c>
      <c r="S4708" t="n">
        <v>144.55</v>
      </c>
      <c r="T4708" t="n">
        <v>0</v>
      </c>
      <c r="U4708" t="n">
        <v>594.13</v>
      </c>
      <c r="X4708" t="inlineStr">
        <is>
          <t>acoa-apeca</t>
        </is>
      </c>
      <c r="Y4708" t="inlineStr">
        <is>
          <t>Atlantic Canada Opportunities Agency | Agence de promotion économique du Canada atlantique</t>
        </is>
      </c>
      <c r="Z4708" t="n">
        <v>2</v>
      </c>
      <c r="AA4708" t="n">
        <v>594.13</v>
      </c>
      <c r="AB4708">
        <f>ROUND(U4708-AA4708,2)</f>
        <v/>
      </c>
      <c r="AC4708" t="b">
        <v>0</v>
      </c>
      <c r="AD4708">
        <f>IF(U4708="","MISSING_TOTAL",IF(ABS(AB4708)&lt;=0.01,"OK","CHECK"))</f>
        <v/>
      </c>
      <c r="AE4708">
        <f>IF(U4708="","MISSING",IF(AND(AA4708&gt;0,U4708/AA4708&gt;50),"POSSIBLE_SCALE_ERROR","OK"))</f>
        <v/>
      </c>
    </row>
    <row r="4709">
      <c r="A4709" t="inlineStr">
        <is>
          <t>T-2019-Q4-00003</t>
        </is>
      </c>
      <c r="B4709" t="inlineStr">
        <is>
          <t>SLE</t>
        </is>
      </c>
      <c r="C4709" t="inlineStr">
        <is>
          <t>Vice-President, Policy, Programs and Communications</t>
        </is>
      </c>
      <c r="D4709" t="inlineStr">
        <is>
          <t>Vice-président, Politiques et Programmes</t>
        </is>
      </c>
      <c r="E4709" t="inlineStr">
        <is>
          <t>Daryell Nowlan</t>
        </is>
      </c>
      <c r="F4709" t="inlineStr">
        <is>
          <t>Meetings with Government of Canada officials</t>
        </is>
      </c>
      <c r="G4709" t="inlineStr">
        <is>
          <t>Réunions avec des fonctionnaires fédéraux</t>
        </is>
      </c>
      <c r="H4709" s="1" t="n">
        <v>43438</v>
      </c>
      <c r="I4709" s="1" t="n">
        <v>43441</v>
      </c>
      <c r="J4709" t="inlineStr">
        <is>
          <t>Halifax, Nova Scotia and Ottawa, Ontario</t>
        </is>
      </c>
      <c r="K4709" t="inlineStr">
        <is>
          <t>Halifax (Nouvelle-Écosse) et Ottawa (Ontario)</t>
        </is>
      </c>
      <c r="P4709" t="n">
        <v>1044.2</v>
      </c>
      <c r="Q4709" t="n">
        <v>587.09</v>
      </c>
      <c r="R4709" t="n">
        <v>619.04</v>
      </c>
      <c r="S4709" t="n">
        <v>368.85</v>
      </c>
      <c r="T4709" t="n">
        <v>0</v>
      </c>
      <c r="U4709" t="n">
        <v>2619.18</v>
      </c>
      <c r="X4709" t="inlineStr">
        <is>
          <t>acoa-apeca</t>
        </is>
      </c>
      <c r="Y4709" t="inlineStr">
        <is>
          <t>Atlantic Canada Opportunities Agency | Agence de promotion économique du Canada atlantique</t>
        </is>
      </c>
      <c r="Z4709" t="n">
        <v>4</v>
      </c>
      <c r="AA4709" t="n">
        <v>2619.18</v>
      </c>
      <c r="AB4709">
        <f>ROUND(U4709-AA4709,2)</f>
        <v/>
      </c>
      <c r="AC4709" t="b">
        <v>0</v>
      </c>
      <c r="AD4709">
        <f>IF(U4709="","MISSING_TOTAL",IF(ABS(AB4709)&lt;=0.01,"OK","CHECK"))</f>
        <v/>
      </c>
      <c r="AE4709">
        <f>IF(U4709="","MISSING",IF(AND(AA4709&gt;0,U4709/AA4709&gt;50),"POSSIBLE_SCALE_ERROR","OK"))</f>
        <v/>
      </c>
    </row>
    <row r="4710">
      <c r="A4710" t="inlineStr">
        <is>
          <t>T-2019-Q4-00002</t>
        </is>
      </c>
      <c r="B4710" t="inlineStr">
        <is>
          <t>SLE</t>
        </is>
      </c>
      <c r="C4710" t="inlineStr">
        <is>
          <t>President</t>
        </is>
      </c>
      <c r="D4710" t="inlineStr">
        <is>
          <t>Président</t>
        </is>
      </c>
      <c r="E4710" t="inlineStr">
        <is>
          <t>Francis McGuire</t>
        </is>
      </c>
      <c r="F4710" t="inlineStr">
        <is>
          <t>Meetings with Government of Canada officials</t>
        </is>
      </c>
      <c r="G4710" t="inlineStr">
        <is>
          <t>Réunions avec des fonctionnaires du gouvernement du Canada</t>
        </is>
      </c>
      <c r="H4710" s="1" t="n">
        <v>43439</v>
      </c>
      <c r="I4710" s="1" t="n">
        <v>43440</v>
      </c>
      <c r="J4710" t="inlineStr">
        <is>
          <t>Moncton, New Brunswick</t>
        </is>
      </c>
      <c r="K4710" t="inlineStr">
        <is>
          <t>Moncton (Nouveau-Brunswick)</t>
        </is>
      </c>
      <c r="P4710" t="n">
        <v>0</v>
      </c>
      <c r="Q4710" t="n">
        <v>177.09</v>
      </c>
      <c r="R4710" t="n">
        <v>181.23</v>
      </c>
      <c r="S4710" t="n">
        <v>124.7</v>
      </c>
      <c r="T4710" t="n">
        <v>0</v>
      </c>
      <c r="U4710" t="n">
        <v>483.02</v>
      </c>
      <c r="X4710" t="inlineStr">
        <is>
          <t>acoa-apeca</t>
        </is>
      </c>
      <c r="Y4710" t="inlineStr">
        <is>
          <t>Atlantic Canada Opportunities Agency | Agence de promotion économique du Canada atlantique</t>
        </is>
      </c>
      <c r="Z4710" t="n">
        <v>2</v>
      </c>
      <c r="AA4710" t="n">
        <v>483.02</v>
      </c>
      <c r="AB4710">
        <f>ROUND(U4710-AA4710,2)</f>
        <v/>
      </c>
      <c r="AC4710" t="b">
        <v>0</v>
      </c>
      <c r="AD4710">
        <f>IF(U4710="","MISSING_TOTAL",IF(ABS(AB4710)&lt;=0.01,"OK","CHECK"))</f>
        <v/>
      </c>
      <c r="AE4710">
        <f>IF(U4710="","MISSING",IF(AND(AA4710&gt;0,U4710/AA4710&gt;50),"POSSIBLE_SCALE_ERROR","OK"))</f>
        <v/>
      </c>
    </row>
    <row r="4711">
      <c r="A4711" t="inlineStr">
        <is>
          <t>T-2019-Q4-00001</t>
        </is>
      </c>
      <c r="B4711" t="inlineStr">
        <is>
          <t>SLE</t>
        </is>
      </c>
      <c r="C4711" t="inlineStr">
        <is>
          <t>President</t>
        </is>
      </c>
      <c r="D4711" t="inlineStr">
        <is>
          <t>Président</t>
        </is>
      </c>
      <c r="E4711" t="inlineStr">
        <is>
          <t>Francis McGuire</t>
        </is>
      </c>
      <c r="F4711" t="inlineStr">
        <is>
          <t>Meetings with Government of Canada officials</t>
        </is>
      </c>
      <c r="G4711" t="inlineStr">
        <is>
          <t>Réunions avec des fonctionnaires du gouvernement du Canada</t>
        </is>
      </c>
      <c r="H4711" s="1" t="n">
        <v>43437</v>
      </c>
      <c r="I4711" s="1" t="n">
        <v>43438</v>
      </c>
      <c r="J4711" t="inlineStr">
        <is>
          <t>Ottawa, Ontario</t>
        </is>
      </c>
      <c r="K4711" t="inlineStr">
        <is>
          <t>Ottawa (Ontario)</t>
        </is>
      </c>
      <c r="P4711" t="n">
        <v>698.61</v>
      </c>
      <c r="Q4711" t="n">
        <v>14.98</v>
      </c>
      <c r="R4711" t="n">
        <v>536.74</v>
      </c>
      <c r="S4711" t="n">
        <v>144.55</v>
      </c>
      <c r="T4711" t="n">
        <v>18</v>
      </c>
      <c r="U4711" t="n">
        <v>1412.88</v>
      </c>
      <c r="X4711" t="inlineStr">
        <is>
          <t>acoa-apeca</t>
        </is>
      </c>
      <c r="Y4711" t="inlineStr">
        <is>
          <t>Atlantic Canada Opportunities Agency | Agence de promotion économique du Canada atlantique</t>
        </is>
      </c>
      <c r="Z4711" t="n">
        <v>2</v>
      </c>
      <c r="AA4711" t="n">
        <v>1412.87999999999</v>
      </c>
      <c r="AB4711">
        <f>ROUND(U4711-AA4711,2)</f>
        <v/>
      </c>
      <c r="AC4711" t="b">
        <v>0</v>
      </c>
      <c r="AD4711">
        <f>IF(U4711="","MISSING_TOTAL",IF(ABS(AB4711)&lt;=0.01,"OK","CHECK"))</f>
        <v/>
      </c>
      <c r="AE4711">
        <f>IF(U4711="","MISSING",IF(AND(AA4711&gt;0,U4711/AA4711&gt;50),"POSSIBLE_SCALE_ERROR","OK"))</f>
        <v/>
      </c>
    </row>
    <row r="4712">
      <c r="A4712" t="inlineStr">
        <is>
          <t>T-2020-Q1-00039</t>
        </is>
      </c>
      <c r="B4712" t="inlineStr">
        <is>
          <t>SLE</t>
        </is>
      </c>
      <c r="C4712" t="inlineStr">
        <is>
          <t>Vice-President, Finance and Corporate Services</t>
        </is>
      </c>
      <c r="D4712" t="inlineStr">
        <is>
          <t>Vice-président, Finance et Services corporatifs</t>
        </is>
      </c>
      <c r="E4712" t="inlineStr">
        <is>
          <t>Stephane Lagace</t>
        </is>
      </c>
      <c r="F4712" t="inlineStr">
        <is>
          <t>Meeting with Agency officials</t>
        </is>
      </c>
      <c r="G4712" t="inlineStr">
        <is>
          <t>Réunion avec des fonctionnaires de l'Agence</t>
        </is>
      </c>
      <c r="H4712" s="1" t="n">
        <v>43599</v>
      </c>
      <c r="I4712" s="1" t="n">
        <v>43600</v>
      </c>
      <c r="J4712" t="inlineStr">
        <is>
          <t>Halifax, Nova Scotia</t>
        </is>
      </c>
      <c r="K4712" t="inlineStr">
        <is>
          <t>Halifax (Nouvelle-Écosse)</t>
        </is>
      </c>
      <c r="P4712" t="n">
        <v>0</v>
      </c>
      <c r="Q4712" t="n">
        <v>99.91</v>
      </c>
      <c r="R4712" t="n">
        <v>233.43</v>
      </c>
      <c r="S4712" t="n">
        <v>146.35</v>
      </c>
      <c r="T4712" t="n">
        <v>109.25</v>
      </c>
      <c r="U4712" t="n">
        <v>588.9400000000001</v>
      </c>
      <c r="X4712" t="inlineStr">
        <is>
          <t>acoa-apeca</t>
        </is>
      </c>
      <c r="Y4712" t="inlineStr">
        <is>
          <t>Atlantic Canada Opportunities Agency | Agence de promotion économique du Canada atlantique</t>
        </is>
      </c>
      <c r="Z4712" t="n">
        <v>2</v>
      </c>
      <c r="AA4712" t="n">
        <v>588.9400000000001</v>
      </c>
      <c r="AB4712">
        <f>ROUND(U4712-AA4712,2)</f>
        <v/>
      </c>
      <c r="AC4712" t="b">
        <v>0</v>
      </c>
      <c r="AD4712">
        <f>IF(U4712="","MISSING_TOTAL",IF(ABS(AB4712)&lt;=0.01,"OK","CHECK"))</f>
        <v/>
      </c>
      <c r="AE4712">
        <f>IF(U4712="","MISSING",IF(AND(AA4712&gt;0,U4712/AA4712&gt;50),"POSSIBLE_SCALE_ERROR","OK"))</f>
        <v/>
      </c>
    </row>
    <row r="4713">
      <c r="A4713" t="inlineStr">
        <is>
          <t>T-2019-Q3-00072</t>
        </is>
      </c>
      <c r="B4713" t="inlineStr">
        <is>
          <t>SLE</t>
        </is>
      </c>
      <c r="C4713" t="inlineStr">
        <is>
          <t>Vice-President, Newfoundland and Labrador</t>
        </is>
      </c>
      <c r="D4713" t="inlineStr">
        <is>
          <t>Vice-président, Terre-Neuve-et-Labrador</t>
        </is>
      </c>
      <c r="E4713" t="inlineStr">
        <is>
          <t>Ken Martin</t>
        </is>
      </c>
      <c r="F4713" t="inlineStr">
        <is>
          <t>Various meetings and discussions with senior government and private sector officials</t>
        </is>
      </c>
      <c r="G4713" t="inlineStr">
        <is>
          <t>Diverses réunions et discussions avec de hauts fonctionnaires et des représentants du secteur privé</t>
        </is>
      </c>
      <c r="H4713" s="1" t="n">
        <v>43374</v>
      </c>
      <c r="I4713" s="1" t="n">
        <v>43524</v>
      </c>
      <c r="J4713" t="inlineStr">
        <is>
          <t>St. John's and surrounding area on the Avalon Peninsula</t>
        </is>
      </c>
      <c r="K4713" t="inlineStr">
        <is>
          <t>St. John's et région avoisinante de la presqu'île Avalon</t>
        </is>
      </c>
      <c r="P4713" t="n">
        <v>0</v>
      </c>
      <c r="Q4713" t="n">
        <v>107.52</v>
      </c>
      <c r="R4713" t="n">
        <v>0</v>
      </c>
      <c r="S4713" t="n">
        <v>0</v>
      </c>
      <c r="T4713" t="n">
        <v>0</v>
      </c>
      <c r="U4713" t="n">
        <v>107.52</v>
      </c>
      <c r="X4713" t="inlineStr">
        <is>
          <t>acoa-apeca</t>
        </is>
      </c>
      <c r="Y4713" t="inlineStr">
        <is>
          <t>Atlantic Canada Opportunities Agency | Agence de promotion économique du Canada atlantique</t>
        </is>
      </c>
      <c r="Z4713" t="n">
        <v>151</v>
      </c>
      <c r="AA4713" t="n">
        <v>107.52</v>
      </c>
      <c r="AB4713">
        <f>ROUND(U4713-AA4713,2)</f>
        <v/>
      </c>
      <c r="AC4713" t="b">
        <v>0</v>
      </c>
      <c r="AD4713">
        <f>IF(U4713="","MISSING_TOTAL",IF(ABS(AB4713)&lt;=0.01,"OK","CHECK"))</f>
        <v/>
      </c>
      <c r="AE4713">
        <f>IF(U4713="","MISSING",IF(AND(AA4713&gt;0,U4713/AA4713&gt;50),"POSSIBLE_SCALE_ERROR","OK"))</f>
        <v/>
      </c>
    </row>
    <row r="4714">
      <c r="A4714" t="inlineStr">
        <is>
          <t>T-2019-Q3-00068</t>
        </is>
      </c>
      <c r="B4714" t="inlineStr">
        <is>
          <t>SLE</t>
        </is>
      </c>
      <c r="C4714" t="inlineStr">
        <is>
          <t>Senior Advisor (Energy)</t>
        </is>
      </c>
      <c r="D4714" t="inlineStr">
        <is>
          <t>Conseiller spécial (energie)</t>
        </is>
      </c>
      <c r="E4714" t="inlineStr">
        <is>
          <t>Andrew F. Noseworthy</t>
        </is>
      </c>
      <c r="F4714" t="inlineStr">
        <is>
          <t>Attend Institute of Corporate Directors Program - Module 2</t>
        </is>
      </c>
      <c r="G4714" t="inlineStr">
        <is>
          <t>Participer au programme de l'Institut des administrateurs de sociétés (module 2)</t>
        </is>
      </c>
      <c r="H4714" s="1" t="n">
        <v>43433</v>
      </c>
      <c r="I4714" s="1" t="n">
        <v>43436</v>
      </c>
      <c r="J4714" t="inlineStr">
        <is>
          <t>Toronto, Ontario</t>
        </is>
      </c>
      <c r="K4714" t="inlineStr">
        <is>
          <t>Toronto (Ontario)</t>
        </is>
      </c>
      <c r="P4714" t="n">
        <v>794.48</v>
      </c>
      <c r="Q4714" t="n">
        <v>196</v>
      </c>
      <c r="R4714" t="n">
        <v>678.08</v>
      </c>
      <c r="S4714" t="n">
        <v>69.2</v>
      </c>
      <c r="T4714" t="n">
        <v>64</v>
      </c>
      <c r="U4714" t="n">
        <v>1801.76</v>
      </c>
      <c r="X4714" t="inlineStr">
        <is>
          <t>acoa-apeca</t>
        </is>
      </c>
      <c r="Y4714" t="inlineStr">
        <is>
          <t>Atlantic Canada Opportunities Agency | Agence de promotion économique du Canada atlantique</t>
        </is>
      </c>
      <c r="Z4714" t="n">
        <v>4</v>
      </c>
      <c r="AA4714" t="n">
        <v>1801.76</v>
      </c>
      <c r="AB4714">
        <f>ROUND(U4714-AA4714,2)</f>
        <v/>
      </c>
      <c r="AC4714" t="b">
        <v>0</v>
      </c>
      <c r="AD4714">
        <f>IF(U4714="","MISSING_TOTAL",IF(ABS(AB4714)&lt;=0.01,"OK","CHECK"))</f>
        <v/>
      </c>
      <c r="AE4714">
        <f>IF(U4714="","MISSING",IF(AND(AA4714&gt;0,U4714/AA4714&gt;50),"POSSIBLE_SCALE_ERROR","OK"))</f>
        <v/>
      </c>
    </row>
    <row r="4715">
      <c r="A4715" t="inlineStr">
        <is>
          <t>T-2019-Q3-00066</t>
        </is>
      </c>
      <c r="B4715" t="inlineStr">
        <is>
          <t>SLE</t>
        </is>
      </c>
      <c r="C4715" t="inlineStr">
        <is>
          <t>President</t>
        </is>
      </c>
      <c r="D4715" t="inlineStr">
        <is>
          <t>Président</t>
        </is>
      </c>
      <c r="E4715" t="inlineStr">
        <is>
          <t>Francis McGuire</t>
        </is>
      </c>
      <c r="F4715" t="inlineStr">
        <is>
          <t>Meetings with Government of Canada officials and key stakeholder</t>
        </is>
      </c>
      <c r="G4715" t="inlineStr">
        <is>
          <t>Réunions avec des fonctionnaires du gouvernement du Canada et un intervenant clé</t>
        </is>
      </c>
      <c r="H4715" s="1" t="n">
        <v>43430</v>
      </c>
      <c r="I4715" s="1" t="n">
        <v>43430</v>
      </c>
      <c r="J4715" t="inlineStr">
        <is>
          <t>Ottawa, Ontario</t>
        </is>
      </c>
      <c r="K4715" t="inlineStr">
        <is>
          <t>Ottawa (Ontario)</t>
        </is>
      </c>
      <c r="P4715" t="n">
        <v>692.3</v>
      </c>
      <c r="Q4715" t="n">
        <v>14.98</v>
      </c>
      <c r="R4715" t="n">
        <v>0</v>
      </c>
      <c r="S4715" t="n">
        <v>69.84999999999999</v>
      </c>
      <c r="T4715" t="n">
        <v>12</v>
      </c>
      <c r="U4715" t="n">
        <v>789.13</v>
      </c>
      <c r="X4715" t="inlineStr">
        <is>
          <t>acoa-apeca</t>
        </is>
      </c>
      <c r="Y4715" t="inlineStr">
        <is>
          <t>Atlantic Canada Opportunities Agency | Agence de promotion économique du Canada atlantique</t>
        </is>
      </c>
      <c r="Z4715" t="n">
        <v>1</v>
      </c>
      <c r="AA4715" t="n">
        <v>789.13</v>
      </c>
      <c r="AB4715">
        <f>ROUND(U4715-AA4715,2)</f>
        <v/>
      </c>
      <c r="AC4715" t="b">
        <v>0</v>
      </c>
      <c r="AD4715">
        <f>IF(U4715="","MISSING_TOTAL",IF(ABS(AB4715)&lt;=0.01,"OK","CHECK"))</f>
        <v/>
      </c>
      <c r="AE4715">
        <f>IF(U4715="","MISSING",IF(AND(AA4715&gt;0,U4715/AA4715&gt;50),"POSSIBLE_SCALE_ERROR","OK"))</f>
        <v/>
      </c>
    </row>
    <row r="4716">
      <c r="A4716" t="inlineStr">
        <is>
          <t>T-2019-Q3-00059</t>
        </is>
      </c>
      <c r="B4716" t="inlineStr">
        <is>
          <t>SLE</t>
        </is>
      </c>
      <c r="C4716" t="inlineStr">
        <is>
          <t>President</t>
        </is>
      </c>
      <c r="D4716" t="inlineStr">
        <is>
          <t>Président</t>
        </is>
      </c>
      <c r="E4716" t="inlineStr">
        <is>
          <t>Francis McGuire</t>
        </is>
      </c>
      <c r="F4716" t="inlineStr">
        <is>
          <t>Meetings/event with Government of Canada officials and key stakeholders</t>
        </is>
      </c>
      <c r="G4716" t="inlineStr">
        <is>
          <t>Réunions/activité avec des fonctionnaires du gouvernement du Canada et des intervenants clés</t>
        </is>
      </c>
      <c r="H4716" s="1" t="n">
        <v>43424</v>
      </c>
      <c r="I4716" s="1" t="n">
        <v>43425</v>
      </c>
      <c r="J4716" t="inlineStr">
        <is>
          <t>Ottawa, Ontario</t>
        </is>
      </c>
      <c r="K4716" t="inlineStr">
        <is>
          <t>Ottawa (Ontario)</t>
        </is>
      </c>
      <c r="P4716" t="n">
        <v>575.54</v>
      </c>
      <c r="Q4716" t="n">
        <v>14.98</v>
      </c>
      <c r="R4716" t="n">
        <v>233.86</v>
      </c>
      <c r="S4716" t="n">
        <v>144.55</v>
      </c>
      <c r="T4716" t="n">
        <v>24</v>
      </c>
      <c r="U4716" t="n">
        <v>992.9299999999999</v>
      </c>
      <c r="X4716" t="inlineStr">
        <is>
          <t>acoa-apeca</t>
        </is>
      </c>
      <c r="Y4716" t="inlineStr">
        <is>
          <t>Atlantic Canada Opportunities Agency | Agence de promotion économique du Canada atlantique</t>
        </is>
      </c>
      <c r="Z4716" t="n">
        <v>2</v>
      </c>
      <c r="AA4716" t="n">
        <v>992.9299999999999</v>
      </c>
      <c r="AB4716">
        <f>ROUND(U4716-AA4716,2)</f>
        <v/>
      </c>
      <c r="AC4716" t="b">
        <v>0</v>
      </c>
      <c r="AD4716">
        <f>IF(U4716="","MISSING_TOTAL",IF(ABS(AB4716)&lt;=0.01,"OK","CHECK"))</f>
        <v/>
      </c>
      <c r="AE4716">
        <f>IF(U4716="","MISSING",IF(AND(AA4716&gt;0,U4716/AA4716&gt;50),"POSSIBLE_SCALE_ERROR","OK"))</f>
        <v/>
      </c>
    </row>
    <row r="4717">
      <c r="A4717" t="inlineStr">
        <is>
          <t>T-2019-Q3-00034</t>
        </is>
      </c>
      <c r="B4717" t="inlineStr">
        <is>
          <t>SLE</t>
        </is>
      </c>
      <c r="C4717" t="inlineStr">
        <is>
          <t>President</t>
        </is>
      </c>
      <c r="D4717" t="inlineStr">
        <is>
          <t>Président</t>
        </is>
      </c>
      <c r="E4717" t="inlineStr">
        <is>
          <t>Francis McGuire</t>
        </is>
      </c>
      <c r="F4717" t="inlineStr">
        <is>
          <t>Meetings with Government of Canada officials and key stakeholders</t>
        </is>
      </c>
      <c r="G4717" t="inlineStr">
        <is>
          <t>Réunions avec des fonctionnaires du gouvernement du Canada et des intervenants clés</t>
        </is>
      </c>
      <c r="H4717" s="1" t="n">
        <v>43418</v>
      </c>
      <c r="I4717" s="1" t="n">
        <v>43422</v>
      </c>
      <c r="J4717" t="inlineStr">
        <is>
          <t>Sydney and Halifax, Nova Scotia</t>
        </is>
      </c>
      <c r="K4717" t="inlineStr">
        <is>
          <t>Sydney et Halifax (Nouvelle-Écosse)</t>
        </is>
      </c>
      <c r="P4717" t="n">
        <v>0</v>
      </c>
      <c r="Q4717" t="n">
        <v>612.55</v>
      </c>
      <c r="R4717" t="n">
        <v>974.78</v>
      </c>
      <c r="S4717" t="n">
        <v>357.2</v>
      </c>
      <c r="T4717" t="n">
        <v>69</v>
      </c>
      <c r="U4717" t="n">
        <v>2013.53</v>
      </c>
      <c r="X4717" t="inlineStr">
        <is>
          <t>acoa-apeca</t>
        </is>
      </c>
      <c r="Y4717" t="inlineStr">
        <is>
          <t>Atlantic Canada Opportunities Agency | Agence de promotion économique du Canada atlantique</t>
        </is>
      </c>
      <c r="Z4717" t="n">
        <v>5</v>
      </c>
      <c r="AA4717" t="n">
        <v>2013.53</v>
      </c>
      <c r="AB4717">
        <f>ROUND(U4717-AA4717,2)</f>
        <v/>
      </c>
      <c r="AC4717" t="b">
        <v>0</v>
      </c>
      <c r="AD4717">
        <f>IF(U4717="","MISSING_TOTAL",IF(ABS(AB4717)&lt;=0.01,"OK","CHECK"))</f>
        <v/>
      </c>
      <c r="AE4717">
        <f>IF(U4717="","MISSING",IF(AND(AA4717&gt;0,U4717/AA4717&gt;50),"POSSIBLE_SCALE_ERROR","OK"))</f>
        <v/>
      </c>
    </row>
    <row r="4718">
      <c r="A4718" t="inlineStr">
        <is>
          <t>T-2020-Q1-00065</t>
        </is>
      </c>
      <c r="B4718" t="inlineStr">
        <is>
          <t>SLE</t>
        </is>
      </c>
      <c r="C4718" t="inlineStr">
        <is>
          <t>Vice-President, Policy, Programs and Communications</t>
        </is>
      </c>
      <c r="D4718" t="inlineStr">
        <is>
          <t>Vice-président, Politiques et Programmes</t>
        </is>
      </c>
      <c r="E4718" t="inlineStr">
        <is>
          <t>Daryell Nowlan</t>
        </is>
      </c>
      <c r="F4718" t="inlineStr">
        <is>
          <t>Meetings with Government of Canada officials</t>
        </is>
      </c>
      <c r="G4718" t="inlineStr">
        <is>
          <t>Réunions avec des fonctionnaires du gouvernement du Canada</t>
        </is>
      </c>
      <c r="H4718" s="1" t="n">
        <v>43597</v>
      </c>
      <c r="I4718" s="1" t="n">
        <v>43600</v>
      </c>
      <c r="J4718" t="inlineStr">
        <is>
          <t>Ottawa, Ontario and Halifax, Nova Scotia</t>
        </is>
      </c>
      <c r="K4718" t="inlineStr">
        <is>
          <t>Ottawa (Ontario) et Halifax (Nouvelle-Écosse)</t>
        </is>
      </c>
      <c r="P4718" t="n">
        <v>726.8</v>
      </c>
      <c r="Q4718" t="n">
        <v>134.49</v>
      </c>
      <c r="R4718" t="n">
        <v>748.17</v>
      </c>
      <c r="S4718" t="n">
        <v>264.55</v>
      </c>
      <c r="T4718" t="n">
        <v>0</v>
      </c>
      <c r="U4718" t="n">
        <v>1874.01</v>
      </c>
      <c r="X4718" t="inlineStr">
        <is>
          <t>acoa-apeca</t>
        </is>
      </c>
      <c r="Y4718" t="inlineStr">
        <is>
          <t>Atlantic Canada Opportunities Agency | Agence de promotion économique du Canada atlantique</t>
        </is>
      </c>
      <c r="Z4718" t="n">
        <v>4</v>
      </c>
      <c r="AA4718" t="n">
        <v>1874.01</v>
      </c>
      <c r="AB4718">
        <f>ROUND(U4718-AA4718,2)</f>
        <v/>
      </c>
      <c r="AC4718" t="b">
        <v>0</v>
      </c>
      <c r="AD4718">
        <f>IF(U4718="","MISSING_TOTAL",IF(ABS(AB4718)&lt;=0.01,"OK","CHECK"))</f>
        <v/>
      </c>
      <c r="AE4718">
        <f>IF(U4718="","MISSING",IF(AND(AA4718&gt;0,U4718/AA4718&gt;50),"POSSIBLE_SCALE_ERROR","OK"))</f>
        <v/>
      </c>
    </row>
    <row r="4719">
      <c r="A4719" t="inlineStr">
        <is>
          <t>T-2020-Q1-00064</t>
        </is>
      </c>
      <c r="B4719" t="inlineStr">
        <is>
          <t>SLE</t>
        </is>
      </c>
      <c r="C4719" t="inlineStr">
        <is>
          <t>Vice-President, New Brunswick</t>
        </is>
      </c>
      <c r="D4719" t="inlineStr">
        <is>
          <t>Vice-président, Nouveau-Brunswick</t>
        </is>
      </c>
      <c r="E4719" t="inlineStr">
        <is>
          <t>Kent Estabrooks</t>
        </is>
      </c>
      <c r="F4719" t="inlineStr">
        <is>
          <t>Training and development</t>
        </is>
      </c>
      <c r="G4719" t="inlineStr">
        <is>
          <t>Formation et perfectionnement</t>
        </is>
      </c>
      <c r="H4719" s="1" t="n">
        <v>43612</v>
      </c>
      <c r="I4719" s="1" t="n">
        <v>43614</v>
      </c>
      <c r="J4719" t="inlineStr">
        <is>
          <t>Ottawa, Ontario</t>
        </is>
      </c>
      <c r="K4719" t="inlineStr">
        <is>
          <t>Ottawa (Ontario)</t>
        </is>
      </c>
      <c r="P4719" t="n">
        <v>726.8</v>
      </c>
      <c r="Q4719" t="n">
        <v>147</v>
      </c>
      <c r="R4719" t="n">
        <v>470.08</v>
      </c>
      <c r="S4719" t="n">
        <v>264.95</v>
      </c>
      <c r="T4719" t="n">
        <v>0</v>
      </c>
      <c r="U4719" t="n">
        <v>1608.83</v>
      </c>
      <c r="X4719" t="inlineStr">
        <is>
          <t>acoa-apeca</t>
        </is>
      </c>
      <c r="Y4719" t="inlineStr">
        <is>
          <t>Atlantic Canada Opportunities Agency | Agence de promotion économique du Canada atlantique</t>
        </is>
      </c>
      <c r="Z4719" t="n">
        <v>3</v>
      </c>
      <c r="AA4719" t="n">
        <v>1608.83</v>
      </c>
      <c r="AB4719">
        <f>ROUND(U4719-AA4719,2)</f>
        <v/>
      </c>
      <c r="AC4719" t="b">
        <v>0</v>
      </c>
      <c r="AD4719">
        <f>IF(U4719="","MISSING_TOTAL",IF(ABS(AB4719)&lt;=0.01,"OK","CHECK"))</f>
        <v/>
      </c>
      <c r="AE4719">
        <f>IF(U4719="","MISSING",IF(AND(AA4719&gt;0,U4719/AA4719&gt;50),"POSSIBLE_SCALE_ERROR","OK"))</f>
        <v/>
      </c>
    </row>
    <row r="4720">
      <c r="A4720" t="inlineStr">
        <is>
          <t>T-2020-Q1-00063</t>
        </is>
      </c>
      <c r="B4720" t="inlineStr">
        <is>
          <t>SLE</t>
        </is>
      </c>
      <c r="C4720" t="inlineStr">
        <is>
          <t>Vice-President, Nova Scotia</t>
        </is>
      </c>
      <c r="D4720" t="inlineStr">
        <is>
          <t>Vice-président, Nouvelle-Écosse</t>
        </is>
      </c>
      <c r="E4720" t="inlineStr">
        <is>
          <t>Chuck Maillet</t>
        </is>
      </c>
      <c r="F4720" t="inlineStr">
        <is>
          <t>Association of Professional Executives Forum</t>
        </is>
      </c>
      <c r="G4720" t="inlineStr">
        <is>
          <t>Forum de l'Association professionnelle des cadres supérieurs de la fonction publique</t>
        </is>
      </c>
      <c r="H4720" s="1" t="n">
        <v>43612</v>
      </c>
      <c r="I4720" s="1" t="n">
        <v>43614</v>
      </c>
      <c r="J4720" t="inlineStr">
        <is>
          <t>Ottawa, Ontario</t>
        </is>
      </c>
      <c r="K4720" t="inlineStr">
        <is>
          <t>Ottawa (Ontario)</t>
        </is>
      </c>
      <c r="P4720" t="n">
        <v>60.09</v>
      </c>
      <c r="Q4720" t="n">
        <v>25.29</v>
      </c>
      <c r="R4720" t="n">
        <v>470.08</v>
      </c>
      <c r="S4720" t="n">
        <v>244.85</v>
      </c>
      <c r="T4720" t="n">
        <v>0</v>
      </c>
      <c r="U4720" t="n">
        <v>800.3099999999999</v>
      </c>
      <c r="X4720" t="inlineStr">
        <is>
          <t>acoa-apeca</t>
        </is>
      </c>
      <c r="Y4720" t="inlineStr">
        <is>
          <t>Atlantic Canada Opportunities Agency | Agence de promotion économique du Canada atlantique</t>
        </is>
      </c>
      <c r="Z4720" t="n">
        <v>3</v>
      </c>
      <c r="AA4720" t="n">
        <v>800.3099999999999</v>
      </c>
      <c r="AB4720">
        <f>ROUND(U4720-AA4720,2)</f>
        <v/>
      </c>
      <c r="AC4720" t="b">
        <v>0</v>
      </c>
      <c r="AD4720">
        <f>IF(U4720="","MISSING_TOTAL",IF(ABS(AB4720)&lt;=0.01,"OK","CHECK"))</f>
        <v/>
      </c>
      <c r="AE4720">
        <f>IF(U4720="","MISSING",IF(AND(AA4720&gt;0,U4720/AA4720&gt;50),"POSSIBLE_SCALE_ERROR","OK"))</f>
        <v/>
      </c>
    </row>
    <row r="4721">
      <c r="A4721" t="inlineStr">
        <is>
          <t>T-2020-Q1-00062</t>
        </is>
      </c>
      <c r="B4721" t="inlineStr">
        <is>
          <t>SLE</t>
        </is>
      </c>
      <c r="C4721" t="inlineStr">
        <is>
          <t>Vice-President, Nova Scotia</t>
        </is>
      </c>
      <c r="D4721" t="inlineStr">
        <is>
          <t>Vice-président, Nouvelle-Écosse</t>
        </is>
      </c>
      <c r="E4721" t="inlineStr">
        <is>
          <t>Chuck Maillet</t>
        </is>
      </c>
      <c r="F4721" t="inlineStr">
        <is>
          <t>Various meetings with Agency officials and Government of Canada officials</t>
        </is>
      </c>
      <c r="G4721" t="inlineStr">
        <is>
          <t>Diverses réunions avec des fonctionnaires de l'Agence et du gouvernement du Canada</t>
        </is>
      </c>
      <c r="H4721" s="1" t="n">
        <v>43527</v>
      </c>
      <c r="I4721" s="1" t="n">
        <v>43529</v>
      </c>
      <c r="J4721" t="inlineStr">
        <is>
          <t>Ottawa, Ontario</t>
        </is>
      </c>
      <c r="K4721" t="inlineStr">
        <is>
          <t>Ottawa (Ontario)</t>
        </is>
      </c>
      <c r="P4721" t="n">
        <v>638.35</v>
      </c>
      <c r="Q4721" t="n">
        <v>62.29</v>
      </c>
      <c r="R4721" t="n">
        <v>451.28</v>
      </c>
      <c r="S4721" t="n">
        <v>282.1</v>
      </c>
      <c r="T4721" t="n">
        <v>0</v>
      </c>
      <c r="U4721" t="n">
        <v>1434.02</v>
      </c>
      <c r="X4721" t="inlineStr">
        <is>
          <t>acoa-apeca</t>
        </is>
      </c>
      <c r="Y4721" t="inlineStr">
        <is>
          <t>Atlantic Canada Opportunities Agency | Agence de promotion économique du Canada atlantique</t>
        </is>
      </c>
      <c r="Z4721" t="n">
        <v>3</v>
      </c>
      <c r="AA4721" t="n">
        <v>1434.02</v>
      </c>
      <c r="AB4721">
        <f>ROUND(U4721-AA4721,2)</f>
        <v/>
      </c>
      <c r="AC4721" t="b">
        <v>0</v>
      </c>
      <c r="AD4721">
        <f>IF(U4721="","MISSING_TOTAL",IF(ABS(AB4721)&lt;=0.01,"OK","CHECK"))</f>
        <v/>
      </c>
      <c r="AE4721">
        <f>IF(U4721="","MISSING",IF(AND(AA4721&gt;0,U4721/AA4721&gt;50),"POSSIBLE_SCALE_ERROR","OK"))</f>
        <v/>
      </c>
    </row>
    <row r="4722">
      <c r="A4722" t="inlineStr">
        <is>
          <t>T-2020-Q1-00061</t>
        </is>
      </c>
      <c r="B4722" t="inlineStr">
        <is>
          <t>SLE</t>
        </is>
      </c>
      <c r="C4722" t="inlineStr">
        <is>
          <t>Vice-President, Nova Scotia</t>
        </is>
      </c>
      <c r="D4722" t="inlineStr">
        <is>
          <t>Vice-président, Nouvelle-Écosse</t>
        </is>
      </c>
      <c r="E4722" t="inlineStr">
        <is>
          <t>Chuck Maillet</t>
        </is>
      </c>
      <c r="F4722" t="inlineStr">
        <is>
          <t>Executive Committee meeting</t>
        </is>
      </c>
      <c r="G4722" t="inlineStr">
        <is>
          <t>Réunion du Comité de direction</t>
        </is>
      </c>
      <c r="H4722" s="1" t="n">
        <v>43551</v>
      </c>
      <c r="I4722" s="1" t="n">
        <v>43552</v>
      </c>
      <c r="J4722" t="inlineStr">
        <is>
          <t>Moncton, New Brunswick</t>
        </is>
      </c>
      <c r="K4722" t="inlineStr">
        <is>
          <t>Moncton (Nouveau-Brunswick)</t>
        </is>
      </c>
      <c r="P4722" t="n">
        <v>0</v>
      </c>
      <c r="Q4722" t="n">
        <v>0</v>
      </c>
      <c r="R4722" t="n">
        <v>161</v>
      </c>
      <c r="S4722" t="n">
        <v>174.7</v>
      </c>
      <c r="T4722" t="n">
        <v>0</v>
      </c>
      <c r="U4722" t="n">
        <v>335.7</v>
      </c>
      <c r="X4722" t="inlineStr">
        <is>
          <t>acoa-apeca</t>
        </is>
      </c>
      <c r="Y4722" t="inlineStr">
        <is>
          <t>Atlantic Canada Opportunities Agency | Agence de promotion économique du Canada atlantique</t>
        </is>
      </c>
      <c r="Z4722" t="n">
        <v>2</v>
      </c>
      <c r="AA4722" t="n">
        <v>335.7</v>
      </c>
      <c r="AB4722">
        <f>ROUND(U4722-AA4722,2)</f>
        <v/>
      </c>
      <c r="AC4722" t="b">
        <v>0</v>
      </c>
      <c r="AD4722">
        <f>IF(U4722="","MISSING_TOTAL",IF(ABS(AB4722)&lt;=0.01,"OK","CHECK"))</f>
        <v/>
      </c>
      <c r="AE4722">
        <f>IF(U4722="","MISSING",IF(AND(AA4722&gt;0,U4722/AA4722&gt;50),"POSSIBLE_SCALE_ERROR","OK"))</f>
        <v/>
      </c>
    </row>
    <row r="4723">
      <c r="A4723" t="inlineStr">
        <is>
          <t>T-2020-Q1-00060</t>
        </is>
      </c>
      <c r="B4723" t="inlineStr">
        <is>
          <t>SLE</t>
        </is>
      </c>
      <c r="C4723" t="inlineStr">
        <is>
          <t>Vice-President, Nova Scotia</t>
        </is>
      </c>
      <c r="D4723" t="inlineStr">
        <is>
          <t>Vice-président, Nouvelle-Écosse</t>
        </is>
      </c>
      <c r="E4723" t="inlineStr">
        <is>
          <t>Chuck Maillet</t>
        </is>
      </c>
      <c r="F4723" t="inlineStr">
        <is>
          <t>Meetings with clients and stakeholders</t>
        </is>
      </c>
      <c r="G4723" t="inlineStr">
        <is>
          <t>Réunions avec des clients et des intervenants</t>
        </is>
      </c>
      <c r="H4723" s="1" t="n">
        <v>43564</v>
      </c>
      <c r="I4723" s="1" t="n">
        <v>43565</v>
      </c>
      <c r="J4723" t="inlineStr">
        <is>
          <t>Sydney, Nova Scotia</t>
        </is>
      </c>
      <c r="K4723" t="inlineStr">
        <is>
          <t>Sydney (Nouvelle-Écosse)</t>
        </is>
      </c>
      <c r="P4723" t="n">
        <v>407.39</v>
      </c>
      <c r="Q4723" t="n">
        <v>159</v>
      </c>
      <c r="R4723" t="n">
        <v>140.76</v>
      </c>
      <c r="S4723" t="n">
        <v>125.85</v>
      </c>
      <c r="T4723" t="n">
        <v>0</v>
      </c>
      <c r="U4723" t="n">
        <v>833</v>
      </c>
      <c r="X4723" t="inlineStr">
        <is>
          <t>acoa-apeca</t>
        </is>
      </c>
      <c r="Y4723" t="inlineStr">
        <is>
          <t>Atlantic Canada Opportunities Agency | Agence de promotion économique du Canada atlantique</t>
        </is>
      </c>
      <c r="Z4723" t="n">
        <v>2</v>
      </c>
      <c r="AA4723" t="n">
        <v>833</v>
      </c>
      <c r="AB4723">
        <f>ROUND(U4723-AA4723,2)</f>
        <v/>
      </c>
      <c r="AC4723" t="b">
        <v>0</v>
      </c>
      <c r="AD4723">
        <f>IF(U4723="","MISSING_TOTAL",IF(ABS(AB4723)&lt;=0.01,"OK","CHECK"))</f>
        <v/>
      </c>
      <c r="AE4723">
        <f>IF(U4723="","MISSING",IF(AND(AA4723&gt;0,U4723/AA4723&gt;50),"POSSIBLE_SCALE_ERROR","OK"))</f>
        <v/>
      </c>
    </row>
    <row r="4724">
      <c r="A4724" t="inlineStr">
        <is>
          <t>T-2020-Q1-00059</t>
        </is>
      </c>
      <c r="B4724" t="inlineStr">
        <is>
          <t>SLE</t>
        </is>
      </c>
      <c r="C4724" t="inlineStr">
        <is>
          <t>Vice-President, Nova Scotia</t>
        </is>
      </c>
      <c r="D4724" t="inlineStr">
        <is>
          <t>Vice-président, Nouvelle-Écosse</t>
        </is>
      </c>
      <c r="E4724" t="inlineStr">
        <is>
          <t>Chuck Maillet</t>
        </is>
      </c>
      <c r="F4724" t="inlineStr">
        <is>
          <t>Assistant Deputy Ministers Forum and stakeholder meetings</t>
        </is>
      </c>
      <c r="G4724" t="inlineStr">
        <is>
          <t>Forum des sous-ministres adjoints et réunions avec des intervenants</t>
        </is>
      </c>
      <c r="H4724" s="1" t="n">
        <v>43579</v>
      </c>
      <c r="I4724" s="1" t="n">
        <v>43581</v>
      </c>
      <c r="J4724" t="inlineStr">
        <is>
          <t>Ottawa, Ontario</t>
        </is>
      </c>
      <c r="K4724" t="inlineStr">
        <is>
          <t>Ottawa (Ontario)</t>
        </is>
      </c>
      <c r="P4724" t="n">
        <v>1055.07</v>
      </c>
      <c r="Q4724" t="n">
        <v>56.27</v>
      </c>
      <c r="R4724" t="n">
        <v>411.32</v>
      </c>
      <c r="S4724" t="n">
        <v>234.4</v>
      </c>
      <c r="T4724" t="n">
        <v>0</v>
      </c>
      <c r="U4724" t="n">
        <v>1757.06</v>
      </c>
      <c r="X4724" t="inlineStr">
        <is>
          <t>acoa-apeca</t>
        </is>
      </c>
      <c r="Y4724" t="inlineStr">
        <is>
          <t>Atlantic Canada Opportunities Agency | Agence de promotion économique du Canada atlantique</t>
        </is>
      </c>
      <c r="Z4724" t="n">
        <v>3</v>
      </c>
      <c r="AA4724" t="n">
        <v>1757.06</v>
      </c>
      <c r="AB4724">
        <f>ROUND(U4724-AA4724,2)</f>
        <v/>
      </c>
      <c r="AC4724" t="b">
        <v>0</v>
      </c>
      <c r="AD4724">
        <f>IF(U4724="","MISSING_TOTAL",IF(ABS(AB4724)&lt;=0.01,"OK","CHECK"))</f>
        <v/>
      </c>
      <c r="AE4724">
        <f>IF(U4724="","MISSING",IF(AND(AA4724&gt;0,U4724/AA4724&gt;50),"POSSIBLE_SCALE_ERROR","OK"))</f>
        <v/>
      </c>
    </row>
    <row r="4725">
      <c r="A4725" t="inlineStr">
        <is>
          <t>T-2020-Q1-00058</t>
        </is>
      </c>
      <c r="B4725" t="inlineStr">
        <is>
          <t>SLE</t>
        </is>
      </c>
      <c r="C4725" t="inlineStr">
        <is>
          <t>Vice-President, Nova Scotia</t>
        </is>
      </c>
      <c r="D4725" t="inlineStr">
        <is>
          <t>Vice-président, Nouvelle-Écosse</t>
        </is>
      </c>
      <c r="E4725" t="inlineStr">
        <is>
          <t>Chuck Maillet</t>
        </is>
      </c>
      <c r="F4725" t="inlineStr">
        <is>
          <t>Innovation Summit</t>
        </is>
      </c>
      <c r="G4725" t="inlineStr">
        <is>
          <t>Sommet sur l'innovation</t>
        </is>
      </c>
      <c r="H4725" s="1" t="n">
        <v>43592</v>
      </c>
      <c r="I4725" s="1" t="n">
        <v>43592</v>
      </c>
      <c r="J4725" t="inlineStr">
        <is>
          <t>Truro, Nova Scotia</t>
        </is>
      </c>
      <c r="K4725" t="inlineStr">
        <is>
          <t>Truro (Nouvelle-Écosse)</t>
        </is>
      </c>
      <c r="P4725" t="n">
        <v>0</v>
      </c>
      <c r="Q4725" t="n">
        <v>93.84</v>
      </c>
      <c r="R4725" t="n">
        <v>0</v>
      </c>
      <c r="S4725" t="n">
        <v>20.1</v>
      </c>
      <c r="T4725" t="n">
        <v>0</v>
      </c>
      <c r="U4725" t="n">
        <v>113.94</v>
      </c>
      <c r="X4725" t="inlineStr">
        <is>
          <t>acoa-apeca</t>
        </is>
      </c>
      <c r="Y4725" t="inlineStr">
        <is>
          <t>Atlantic Canada Opportunities Agency | Agence de promotion économique du Canada atlantique</t>
        </is>
      </c>
      <c r="Z4725" t="n">
        <v>1</v>
      </c>
      <c r="AA4725" t="n">
        <v>113.94</v>
      </c>
      <c r="AB4725">
        <f>ROUND(U4725-AA4725,2)</f>
        <v/>
      </c>
      <c r="AC4725" t="b">
        <v>0</v>
      </c>
      <c r="AD4725">
        <f>IF(U4725="","MISSING_TOTAL",IF(ABS(AB4725)&lt;=0.01,"OK","CHECK"))</f>
        <v/>
      </c>
      <c r="AE4725">
        <f>IF(U4725="","MISSING",IF(AND(AA4725&gt;0,U4725/AA4725&gt;50),"POSSIBLE_SCALE_ERROR","OK"))</f>
        <v/>
      </c>
    </row>
    <row r="4726">
      <c r="A4726" t="inlineStr">
        <is>
          <t>T-2020-Q1-00057</t>
        </is>
      </c>
      <c r="B4726" t="inlineStr">
        <is>
          <t>SLE</t>
        </is>
      </c>
      <c r="C4726" t="inlineStr">
        <is>
          <t>Vice-President, Nova Scotia</t>
        </is>
      </c>
      <c r="D4726" t="inlineStr">
        <is>
          <t>Vice-président, Nouvelle-Écosse</t>
        </is>
      </c>
      <c r="E4726" t="inlineStr">
        <is>
          <t>Chuck Maillet</t>
        </is>
      </c>
      <c r="F4726" t="inlineStr">
        <is>
          <t>Indigenous economic development champion file meeting</t>
        </is>
      </c>
      <c r="G4726" t="inlineStr">
        <is>
          <t>Réunion sur le dossier de champion du développement économique des Autochtones</t>
        </is>
      </c>
      <c r="H4726" s="1" t="n">
        <v>43600</v>
      </c>
      <c r="I4726" s="1" t="n">
        <v>43602</v>
      </c>
      <c r="J4726" t="inlineStr">
        <is>
          <t>Fredericton, New Brunswick</t>
        </is>
      </c>
      <c r="K4726" t="inlineStr">
        <is>
          <t>Fredericton (Nouveau-Brunswick)</t>
        </is>
      </c>
      <c r="P4726" t="n">
        <v>0</v>
      </c>
      <c r="Q4726" t="n">
        <v>264.71</v>
      </c>
      <c r="R4726" t="n">
        <v>242.05</v>
      </c>
      <c r="S4726" t="n">
        <v>234.4</v>
      </c>
      <c r="T4726" t="n">
        <v>18</v>
      </c>
      <c r="U4726" t="n">
        <v>759.16</v>
      </c>
      <c r="X4726" t="inlineStr">
        <is>
          <t>acoa-apeca</t>
        </is>
      </c>
      <c r="Y4726" t="inlineStr">
        <is>
          <t>Atlantic Canada Opportunities Agency | Agence de promotion économique du Canada atlantique</t>
        </is>
      </c>
      <c r="Z4726" t="n">
        <v>3</v>
      </c>
      <c r="AA4726" t="n">
        <v>759.16</v>
      </c>
      <c r="AB4726">
        <f>ROUND(U4726-AA4726,2)</f>
        <v/>
      </c>
      <c r="AC4726" t="b">
        <v>0</v>
      </c>
      <c r="AD4726">
        <f>IF(U4726="","MISSING_TOTAL",IF(ABS(AB4726)&lt;=0.01,"OK","CHECK"))</f>
        <v/>
      </c>
      <c r="AE4726">
        <f>IF(U4726="","MISSING",IF(AND(AA4726&gt;0,U4726/AA4726&gt;50),"POSSIBLE_SCALE_ERROR","OK"))</f>
        <v/>
      </c>
    </row>
    <row r="4727">
      <c r="A4727" t="inlineStr">
        <is>
          <t>T-2020-Q1-00056</t>
        </is>
      </c>
      <c r="B4727" t="inlineStr">
        <is>
          <t>SLE</t>
        </is>
      </c>
      <c r="C4727" t="inlineStr">
        <is>
          <t>Vice-President, Nova Scotia</t>
        </is>
      </c>
      <c r="D4727" t="inlineStr">
        <is>
          <t>Vice-président, Nouvelle-Écosse</t>
        </is>
      </c>
      <c r="E4727" t="inlineStr">
        <is>
          <t>Chuck Maillet</t>
        </is>
      </c>
      <c r="F4727" t="inlineStr">
        <is>
          <t>Agency Program Managers Forum in Moncton, New Brunswick and Industry Conference in Wolfville, Nova Scotia</t>
        </is>
      </c>
      <c r="G4727" t="inlineStr">
        <is>
          <t>Forum des gestionnaires de programme de l'Agence à Moncton (Nouveau-Brunswick) et conférence de l'industrie à Wolfville (Nouvelle-Écosse)</t>
        </is>
      </c>
      <c r="H4727" s="1" t="n">
        <v>43606</v>
      </c>
      <c r="I4727" s="1" t="n">
        <v>43610</v>
      </c>
      <c r="J4727" t="inlineStr">
        <is>
          <t>Moncton, New Brunswick and Wolfville, Nova Scotia</t>
        </is>
      </c>
      <c r="K4727" t="inlineStr">
        <is>
          <t>Moncton (Nouveau-Brunswick) et Wolfville (Nouvelle-Écosse)</t>
        </is>
      </c>
      <c r="P4727" t="n">
        <v>0</v>
      </c>
      <c r="Q4727" t="n">
        <v>0</v>
      </c>
      <c r="R4727" t="n">
        <v>638.25</v>
      </c>
      <c r="S4727" t="n">
        <v>431.4</v>
      </c>
      <c r="T4727" t="n">
        <v>51.75</v>
      </c>
      <c r="U4727" t="n">
        <v>1121.4</v>
      </c>
      <c r="X4727" t="inlineStr">
        <is>
          <t>acoa-apeca</t>
        </is>
      </c>
      <c r="Y4727" t="inlineStr">
        <is>
          <t>Atlantic Canada Opportunities Agency | Agence de promotion économique du Canada atlantique</t>
        </is>
      </c>
      <c r="Z4727" t="n">
        <v>5</v>
      </c>
      <c r="AA4727" t="n">
        <v>1121.4</v>
      </c>
      <c r="AB4727">
        <f>ROUND(U4727-AA4727,2)</f>
        <v/>
      </c>
      <c r="AC4727" t="b">
        <v>0</v>
      </c>
      <c r="AD4727">
        <f>IF(U4727="","MISSING_TOTAL",IF(ABS(AB4727)&lt;=0.01,"OK","CHECK"))</f>
        <v/>
      </c>
      <c r="AE4727">
        <f>IF(U4727="","MISSING",IF(AND(AA4727&gt;0,U4727/AA4727&gt;50),"POSSIBLE_SCALE_ERROR","OK"))</f>
        <v/>
      </c>
    </row>
    <row r="4728">
      <c r="A4728" t="inlineStr">
        <is>
          <t>T-2020-Q1-00055</t>
        </is>
      </c>
      <c r="B4728" t="inlineStr">
        <is>
          <t>SLE</t>
        </is>
      </c>
      <c r="C4728" t="inlineStr">
        <is>
          <t>Vice-President, Nova Scotia</t>
        </is>
      </c>
      <c r="D4728" t="inlineStr">
        <is>
          <t>Vice-président, Nouvelle-Écosse</t>
        </is>
      </c>
      <c r="E4728" t="inlineStr">
        <is>
          <t>Chuck Maillet</t>
        </is>
      </c>
      <c r="F4728" t="inlineStr">
        <is>
          <t>Stakeholder meetings</t>
        </is>
      </c>
      <c r="G4728" t="inlineStr">
        <is>
          <t>Réunions avec des intervenants</t>
        </is>
      </c>
      <c r="H4728" s="1" t="n">
        <v>43615</v>
      </c>
      <c r="I4728" s="1" t="n">
        <v>43616</v>
      </c>
      <c r="J4728" t="inlineStr">
        <is>
          <t>South West, Nova Scotia</t>
        </is>
      </c>
      <c r="K4728" t="inlineStr">
        <is>
          <t>Sud-Ouest de la Nouvelle-Écosse</t>
        </is>
      </c>
      <c r="P4728" t="n">
        <v>0</v>
      </c>
      <c r="Q4728" t="n">
        <v>0</v>
      </c>
      <c r="R4728" t="n">
        <v>50</v>
      </c>
      <c r="S4728" t="n">
        <v>145.95</v>
      </c>
      <c r="T4728" t="n">
        <v>0</v>
      </c>
      <c r="U4728" t="n">
        <v>195.95</v>
      </c>
      <c r="X4728" t="inlineStr">
        <is>
          <t>acoa-apeca</t>
        </is>
      </c>
      <c r="Y4728" t="inlineStr">
        <is>
          <t>Atlantic Canada Opportunities Agency | Agence de promotion économique du Canada atlantique</t>
        </is>
      </c>
      <c r="Z4728" t="n">
        <v>2</v>
      </c>
      <c r="AA4728" t="n">
        <v>195.95</v>
      </c>
      <c r="AB4728">
        <f>ROUND(U4728-AA4728,2)</f>
        <v/>
      </c>
      <c r="AC4728" t="b">
        <v>0</v>
      </c>
      <c r="AD4728">
        <f>IF(U4728="","MISSING_TOTAL",IF(ABS(AB4728)&lt;=0.01,"OK","CHECK"))</f>
        <v/>
      </c>
      <c r="AE4728">
        <f>IF(U4728="","MISSING",IF(AND(AA4728&gt;0,U4728/AA4728&gt;50),"POSSIBLE_SCALE_ERROR","OK"))</f>
        <v/>
      </c>
    </row>
    <row r="4729">
      <c r="A4729" t="inlineStr">
        <is>
          <t>T-2020-Q1-00054</t>
        </is>
      </c>
      <c r="B4729" t="inlineStr">
        <is>
          <t>SLE</t>
        </is>
      </c>
      <c r="C4729" t="inlineStr">
        <is>
          <t>Vice-President, New Brunswick</t>
        </is>
      </c>
      <c r="D4729" t="inlineStr">
        <is>
          <t>Vice-président, Nouveau-Brunswick</t>
        </is>
      </c>
      <c r="E4729" t="inlineStr">
        <is>
          <t>Kent Estabrooks</t>
        </is>
      </c>
      <c r="F4729" t="inlineStr">
        <is>
          <t>Meetings with Agency and provincial government officials, and meetings with clients</t>
        </is>
      </c>
      <c r="G4729" t="inlineStr">
        <is>
          <t>Réunions avec des fonctionnaires de l'Agence et du gouvernement provincial, et réunions avec des clients</t>
        </is>
      </c>
      <c r="H4729" s="1" t="n">
        <v>43571</v>
      </c>
      <c r="I4729" s="1" t="n">
        <v>43573</v>
      </c>
      <c r="J4729" t="inlineStr">
        <is>
          <t>Halifax, Nova Scotia and St. John's, Newfoundland and Labrador</t>
        </is>
      </c>
      <c r="K4729" t="inlineStr">
        <is>
          <t>Halifax (Nouvelle-Écosse) et St. John's (Terre-Neuve-et-Labrador)</t>
        </is>
      </c>
      <c r="P4729" t="n">
        <v>1045.52</v>
      </c>
      <c r="Q4729" t="n">
        <v>191.5</v>
      </c>
      <c r="R4729" t="n">
        <v>487.62</v>
      </c>
      <c r="S4729" t="n">
        <v>353</v>
      </c>
      <c r="T4729" t="n">
        <v>0</v>
      </c>
      <c r="U4729" t="n">
        <v>2077.64</v>
      </c>
      <c r="X4729" t="inlineStr">
        <is>
          <t>acoa-apeca</t>
        </is>
      </c>
      <c r="Y4729" t="inlineStr">
        <is>
          <t>Atlantic Canada Opportunities Agency | Agence de promotion économique du Canada atlantique</t>
        </is>
      </c>
      <c r="Z4729" t="n">
        <v>3</v>
      </c>
      <c r="AA4729" t="n">
        <v>2077.64</v>
      </c>
      <c r="AB4729">
        <f>ROUND(U4729-AA4729,2)</f>
        <v/>
      </c>
      <c r="AC4729" t="b">
        <v>0</v>
      </c>
      <c r="AD4729">
        <f>IF(U4729="","MISSING_TOTAL",IF(ABS(AB4729)&lt;=0.01,"OK","CHECK"))</f>
        <v/>
      </c>
      <c r="AE4729">
        <f>IF(U4729="","MISSING",IF(AND(AA4729&gt;0,U4729/AA4729&gt;50),"POSSIBLE_SCALE_ERROR","OK"))</f>
        <v/>
      </c>
    </row>
    <row r="4730">
      <c r="A4730" t="inlineStr">
        <is>
          <t>T-2020-Q1-00053</t>
        </is>
      </c>
      <c r="B4730" t="inlineStr">
        <is>
          <t>SLE</t>
        </is>
      </c>
      <c r="C4730" t="inlineStr">
        <is>
          <t>Vice-President, New Brunswick</t>
        </is>
      </c>
      <c r="D4730" t="inlineStr">
        <is>
          <t>Vice-président, Nouveau-Brunswick</t>
        </is>
      </c>
      <c r="E4730" t="inlineStr">
        <is>
          <t>Kent Estabrooks</t>
        </is>
      </c>
      <c r="F4730" t="inlineStr">
        <is>
          <t>Training and development</t>
        </is>
      </c>
      <c r="G4730" t="inlineStr">
        <is>
          <t>Formation et perfectionnement</t>
        </is>
      </c>
      <c r="H4730" s="1" t="n">
        <v>43579</v>
      </c>
      <c r="I4730" s="1" t="n">
        <v>43580</v>
      </c>
      <c r="J4730" t="inlineStr">
        <is>
          <t>Ottawa, Ontario</t>
        </is>
      </c>
      <c r="K4730" t="inlineStr">
        <is>
          <t>Ottawa (Ontario)</t>
        </is>
      </c>
      <c r="P4730" t="n">
        <v>726.8</v>
      </c>
      <c r="Q4730" t="n">
        <v>160.96</v>
      </c>
      <c r="R4730" t="n">
        <v>205.66</v>
      </c>
      <c r="S4730" t="n">
        <v>156</v>
      </c>
      <c r="T4730" t="n">
        <v>0</v>
      </c>
      <c r="U4730" t="n">
        <v>1249.42</v>
      </c>
      <c r="X4730" t="inlineStr">
        <is>
          <t>acoa-apeca</t>
        </is>
      </c>
      <c r="Y4730" t="inlineStr">
        <is>
          <t>Atlantic Canada Opportunities Agency | Agence de promotion économique du Canada atlantique</t>
        </is>
      </c>
      <c r="Z4730" t="n">
        <v>2</v>
      </c>
      <c r="AA4730" t="n">
        <v>1249.42</v>
      </c>
      <c r="AB4730">
        <f>ROUND(U4730-AA4730,2)</f>
        <v/>
      </c>
      <c r="AC4730" t="b">
        <v>0</v>
      </c>
      <c r="AD4730">
        <f>IF(U4730="","MISSING_TOTAL",IF(ABS(AB4730)&lt;=0.01,"OK","CHECK"))</f>
        <v/>
      </c>
      <c r="AE4730">
        <f>IF(U4730="","MISSING",IF(AND(AA4730&gt;0,U4730/AA4730&gt;50),"POSSIBLE_SCALE_ERROR","OK"))</f>
        <v/>
      </c>
    </row>
    <row r="4731">
      <c r="A4731" t="inlineStr">
        <is>
          <t>T-2020-Q1-00052</t>
        </is>
      </c>
      <c r="B4731" t="inlineStr">
        <is>
          <t>SLE</t>
        </is>
      </c>
      <c r="C4731" t="inlineStr">
        <is>
          <t>Vice-President, New Brunswick</t>
        </is>
      </c>
      <c r="D4731" t="inlineStr">
        <is>
          <t>Vice-président, Nouveau-Brunswick</t>
        </is>
      </c>
      <c r="E4731" t="inlineStr">
        <is>
          <t>Kent Estabrooks</t>
        </is>
      </c>
      <c r="F4731" t="inlineStr">
        <is>
          <t>Meetings with Agency officials</t>
        </is>
      </c>
      <c r="G4731" t="inlineStr">
        <is>
          <t>Réunions avec des fonctionnaires de l'Agence</t>
        </is>
      </c>
      <c r="H4731" s="1" t="n">
        <v>43599</v>
      </c>
      <c r="I4731" s="1" t="n">
        <v>43601</v>
      </c>
      <c r="J4731" t="inlineStr">
        <is>
          <t>Halifax, Nova Scotia</t>
        </is>
      </c>
      <c r="K4731" t="inlineStr">
        <is>
          <t>Halifax (Nouvelle-Écosse)</t>
        </is>
      </c>
      <c r="P4731" t="n">
        <v>800.28</v>
      </c>
      <c r="Q4731" t="n">
        <v>123.96</v>
      </c>
      <c r="R4731" t="n">
        <v>390.98</v>
      </c>
      <c r="S4731" t="n">
        <v>193.8</v>
      </c>
      <c r="T4731" t="n">
        <v>0</v>
      </c>
      <c r="U4731" t="n">
        <v>1509.02</v>
      </c>
      <c r="X4731" t="inlineStr">
        <is>
          <t>acoa-apeca</t>
        </is>
      </c>
      <c r="Y4731" t="inlineStr">
        <is>
          <t>Atlantic Canada Opportunities Agency | Agence de promotion économique du Canada atlantique</t>
        </is>
      </c>
      <c r="Z4731" t="n">
        <v>3</v>
      </c>
      <c r="AA4731" t="n">
        <v>1509.02</v>
      </c>
      <c r="AB4731">
        <f>ROUND(U4731-AA4731,2)</f>
        <v/>
      </c>
      <c r="AC4731" t="b">
        <v>0</v>
      </c>
      <c r="AD4731">
        <f>IF(U4731="","MISSING_TOTAL",IF(ABS(AB4731)&lt;=0.01,"OK","CHECK"))</f>
        <v/>
      </c>
      <c r="AE4731">
        <f>IF(U4731="","MISSING",IF(AND(AA4731&gt;0,U4731/AA4731&gt;50),"POSSIBLE_SCALE_ERROR","OK"))</f>
        <v/>
      </c>
    </row>
    <row r="4732">
      <c r="A4732" t="inlineStr">
        <is>
          <t>T-2020-Q1-00051</t>
        </is>
      </c>
      <c r="B4732" t="inlineStr">
        <is>
          <t>SLE</t>
        </is>
      </c>
      <c r="C4732" t="inlineStr">
        <is>
          <t>Vice-President, New Brunswick</t>
        </is>
      </c>
      <c r="D4732" t="inlineStr">
        <is>
          <t>Vice-président, Nouveau-Brunswick</t>
        </is>
      </c>
      <c r="E4732" t="inlineStr">
        <is>
          <t>Kent Estabrooks</t>
        </is>
      </c>
      <c r="F4732" t="inlineStr">
        <is>
          <t>Meeting with government officials and external stakeholders</t>
        </is>
      </c>
      <c r="G4732" t="inlineStr">
        <is>
          <t>Réunion avec des fonctionnaires et des intervenants externes</t>
        </is>
      </c>
      <c r="H4732" s="1" t="n">
        <v>43564</v>
      </c>
      <c r="I4732" s="1" t="n">
        <v>43565</v>
      </c>
      <c r="J4732" t="inlineStr">
        <is>
          <t>Charlottetown, Prince Edward Island</t>
        </is>
      </c>
      <c r="K4732" t="inlineStr">
        <is>
          <t>Charlottetown (Île-du-Prince-Édouard)</t>
        </is>
      </c>
      <c r="P4732" t="n">
        <v>0</v>
      </c>
      <c r="Q4732" t="n">
        <v>27</v>
      </c>
      <c r="R4732" t="n">
        <v>424.05</v>
      </c>
      <c r="S4732" t="n">
        <v>156</v>
      </c>
      <c r="T4732" t="n">
        <v>0</v>
      </c>
      <c r="U4732" t="n">
        <v>607.05</v>
      </c>
      <c r="X4732" t="inlineStr">
        <is>
          <t>acoa-apeca</t>
        </is>
      </c>
      <c r="Y4732" t="inlineStr">
        <is>
          <t>Atlantic Canada Opportunities Agency | Agence de promotion économique du Canada atlantique</t>
        </is>
      </c>
      <c r="Z4732" t="n">
        <v>2</v>
      </c>
      <c r="AA4732" t="n">
        <v>607.05</v>
      </c>
      <c r="AB4732">
        <f>ROUND(U4732-AA4732,2)</f>
        <v/>
      </c>
      <c r="AC4732" t="b">
        <v>0</v>
      </c>
      <c r="AD4732">
        <f>IF(U4732="","MISSING_TOTAL",IF(ABS(AB4732)&lt;=0.01,"OK","CHECK"))</f>
        <v/>
      </c>
      <c r="AE4732">
        <f>IF(U4732="","MISSING",IF(AND(AA4732&gt;0,U4732/AA4732&gt;50),"POSSIBLE_SCALE_ERROR","OK"))</f>
        <v/>
      </c>
    </row>
    <row r="4733">
      <c r="A4733" t="inlineStr">
        <is>
          <t>T-2020-Q1-00050</t>
        </is>
      </c>
      <c r="B4733" t="inlineStr">
        <is>
          <t>SLE</t>
        </is>
      </c>
      <c r="C4733" t="inlineStr">
        <is>
          <t>Vice-President, New Brunswick</t>
        </is>
      </c>
      <c r="D4733" t="inlineStr">
        <is>
          <t>Vice-président, Nouveau-Brunswick</t>
        </is>
      </c>
      <c r="E4733" t="inlineStr">
        <is>
          <t>Kent Estabrooks</t>
        </is>
      </c>
      <c r="F4733" t="inlineStr">
        <is>
          <t>Meeting with external stakeholders</t>
        </is>
      </c>
      <c r="G4733" t="inlineStr">
        <is>
          <t>Réunion avec des intervenants externes</t>
        </is>
      </c>
      <c r="H4733" s="1" t="n">
        <v>43566</v>
      </c>
      <c r="I4733" s="1" t="n">
        <v>43566</v>
      </c>
      <c r="J4733" t="inlineStr">
        <is>
          <t>Ottawa, Ontario</t>
        </is>
      </c>
      <c r="K4733" t="inlineStr">
        <is>
          <t>Ottawa (Ontario)</t>
        </is>
      </c>
      <c r="P4733" t="n">
        <v>0</v>
      </c>
      <c r="Q4733" t="n">
        <v>469.23</v>
      </c>
      <c r="R4733" t="n">
        <v>0</v>
      </c>
      <c r="S4733" t="n">
        <v>57.9</v>
      </c>
      <c r="T4733" t="n">
        <v>0</v>
      </c>
      <c r="U4733" t="n">
        <v>527.13</v>
      </c>
      <c r="X4733" t="inlineStr">
        <is>
          <t>acoa-apeca</t>
        </is>
      </c>
      <c r="Y4733" t="inlineStr">
        <is>
          <t>Atlantic Canada Opportunities Agency | Agence de promotion économique du Canada atlantique</t>
        </is>
      </c>
      <c r="Z4733" t="n">
        <v>1</v>
      </c>
      <c r="AA4733" t="n">
        <v>527.13</v>
      </c>
      <c r="AB4733">
        <f>ROUND(U4733-AA4733,2)</f>
        <v/>
      </c>
      <c r="AC4733" t="b">
        <v>0</v>
      </c>
      <c r="AD4733">
        <f>IF(U4733="","MISSING_TOTAL",IF(ABS(AB4733)&lt;=0.01,"OK","CHECK"))</f>
        <v/>
      </c>
      <c r="AE4733">
        <f>IF(U4733="","MISSING",IF(AND(AA4733&gt;0,U4733/AA4733&gt;50),"POSSIBLE_SCALE_ERROR","OK"))</f>
        <v/>
      </c>
    </row>
    <row r="4734">
      <c r="A4734" t="inlineStr">
        <is>
          <t>T-2020-Q1-00049</t>
        </is>
      </c>
      <c r="B4734" t="inlineStr">
        <is>
          <t>SLE</t>
        </is>
      </c>
      <c r="C4734" t="inlineStr">
        <is>
          <t>Vice-President, New Brunswick</t>
        </is>
      </c>
      <c r="D4734" t="inlineStr">
        <is>
          <t>Vice-président, Nouveau-Brunswick</t>
        </is>
      </c>
      <c r="E4734" t="inlineStr">
        <is>
          <t>Kent Estabrooks</t>
        </is>
      </c>
      <c r="F4734" t="inlineStr">
        <is>
          <t>Meeting with Agency officials and with external stakeholder</t>
        </is>
      </c>
      <c r="G4734" t="inlineStr">
        <is>
          <t>Réunion avec des fonctionnaires de l'Agence et un intervenant externe</t>
        </is>
      </c>
      <c r="H4734" s="1" t="n">
        <v>43585</v>
      </c>
      <c r="I4734" s="1" t="n">
        <v>43586</v>
      </c>
      <c r="J4734" t="inlineStr">
        <is>
          <t>Charlottetown, Prince Edward Island</t>
        </is>
      </c>
      <c r="K4734" t="inlineStr">
        <is>
          <t>Charlottetown (Île-du-Prince-Édouard)</t>
        </is>
      </c>
      <c r="P4734" t="n">
        <v>0</v>
      </c>
      <c r="Q4734" t="n">
        <v>74.53</v>
      </c>
      <c r="R4734" t="n">
        <v>197.81</v>
      </c>
      <c r="S4734" t="n">
        <v>196.6</v>
      </c>
      <c r="T4734" t="n">
        <v>0</v>
      </c>
      <c r="U4734" t="n">
        <v>468.94</v>
      </c>
      <c r="X4734" t="inlineStr">
        <is>
          <t>acoa-apeca</t>
        </is>
      </c>
      <c r="Y4734" t="inlineStr">
        <is>
          <t>Atlantic Canada Opportunities Agency | Agence de promotion économique du Canada atlantique</t>
        </is>
      </c>
      <c r="Z4734" t="n">
        <v>2</v>
      </c>
      <c r="AA4734" t="n">
        <v>468.94</v>
      </c>
      <c r="AB4734">
        <f>ROUND(U4734-AA4734,2)</f>
        <v/>
      </c>
      <c r="AC4734" t="b">
        <v>0</v>
      </c>
      <c r="AD4734">
        <f>IF(U4734="","MISSING_TOTAL",IF(ABS(AB4734)&lt;=0.01,"OK","CHECK"))</f>
        <v/>
      </c>
      <c r="AE4734">
        <f>IF(U4734="","MISSING",IF(AND(AA4734&gt;0,U4734/AA4734&gt;50),"POSSIBLE_SCALE_ERROR","OK"))</f>
        <v/>
      </c>
    </row>
    <row r="4735">
      <c r="A4735" t="inlineStr">
        <is>
          <t>T-2020-Q1-00048</t>
        </is>
      </c>
      <c r="B4735" t="inlineStr">
        <is>
          <t>SLE</t>
        </is>
      </c>
      <c r="C4735" t="inlineStr">
        <is>
          <t>Vice-President, New Brunswick</t>
        </is>
      </c>
      <c r="D4735" t="inlineStr">
        <is>
          <t>Vice-président, Nouveau-Brunswick</t>
        </is>
      </c>
      <c r="E4735" t="inlineStr">
        <is>
          <t>Kent Estabrooks</t>
        </is>
      </c>
      <c r="F4735" t="inlineStr">
        <is>
          <t>Meetings with Agency officials</t>
        </is>
      </c>
      <c r="G4735" t="inlineStr">
        <is>
          <t>Réunions avec des fonctionnaires de l'Agence</t>
        </is>
      </c>
      <c r="H4735" s="1" t="n">
        <v>43606</v>
      </c>
      <c r="I4735" s="1" t="n">
        <v>43609</v>
      </c>
      <c r="J4735" t="inlineStr">
        <is>
          <t>Moncton, New Brunswick</t>
        </is>
      </c>
      <c r="K4735" t="inlineStr">
        <is>
          <t>Moncton (Nouveau-Brunswick)</t>
        </is>
      </c>
      <c r="P4735" t="n">
        <v>0</v>
      </c>
      <c r="Q4735" t="n">
        <v>51.75</v>
      </c>
      <c r="R4735" t="n">
        <v>503.7</v>
      </c>
      <c r="S4735" t="n">
        <v>241.25</v>
      </c>
      <c r="T4735" t="n">
        <v>0</v>
      </c>
      <c r="U4735" t="n">
        <v>796.7</v>
      </c>
      <c r="X4735" t="inlineStr">
        <is>
          <t>acoa-apeca</t>
        </is>
      </c>
      <c r="Y4735" t="inlineStr">
        <is>
          <t>Atlantic Canada Opportunities Agency | Agence de promotion économique du Canada atlantique</t>
        </is>
      </c>
      <c r="Z4735" t="n">
        <v>4</v>
      </c>
      <c r="AA4735" t="n">
        <v>796.7</v>
      </c>
      <c r="AB4735">
        <f>ROUND(U4735-AA4735,2)</f>
        <v/>
      </c>
      <c r="AC4735" t="b">
        <v>0</v>
      </c>
      <c r="AD4735">
        <f>IF(U4735="","MISSING_TOTAL",IF(ABS(AB4735)&lt;=0.01,"OK","CHECK"))</f>
        <v/>
      </c>
      <c r="AE4735">
        <f>IF(U4735="","MISSING",IF(AND(AA4735&gt;0,U4735/AA4735&gt;50),"POSSIBLE_SCALE_ERROR","OK"))</f>
        <v/>
      </c>
    </row>
    <row r="4736">
      <c r="A4736" t="inlineStr">
        <is>
          <t>T-2020-Q1-00038</t>
        </is>
      </c>
      <c r="B4736" t="inlineStr">
        <is>
          <t>SLE</t>
        </is>
      </c>
      <c r="C4736" t="inlineStr">
        <is>
          <t>Vice-President, Prince Edward Island</t>
        </is>
      </c>
      <c r="D4736" t="inlineStr">
        <is>
          <t>Vice-président, Île-du-Prince-Édouard</t>
        </is>
      </c>
      <c r="E4736" t="inlineStr">
        <is>
          <t>Patrick Dorsey</t>
        </is>
      </c>
      <c r="F4736" t="inlineStr">
        <is>
          <t>Meetings with Agency officials</t>
        </is>
      </c>
      <c r="G4736" t="inlineStr">
        <is>
          <t>Réunions avec des fonctionnaires de l'Agence</t>
        </is>
      </c>
      <c r="H4736" s="1" t="n">
        <v>43599</v>
      </c>
      <c r="I4736" s="1" t="n">
        <v>43601</v>
      </c>
      <c r="J4736" t="inlineStr">
        <is>
          <t>Halifax, Nova Scotia</t>
        </is>
      </c>
      <c r="K4736" t="inlineStr">
        <is>
          <t>Halifax (Nouvelle-Écosse)</t>
        </is>
      </c>
      <c r="P4736" t="n">
        <v>0</v>
      </c>
      <c r="Q4736" t="n">
        <v>57.5</v>
      </c>
      <c r="R4736" t="n">
        <v>412.9</v>
      </c>
      <c r="S4736" t="n">
        <v>194.2</v>
      </c>
      <c r="T4736" t="n">
        <v>0</v>
      </c>
      <c r="U4736" t="n">
        <v>664.6</v>
      </c>
      <c r="X4736" t="inlineStr">
        <is>
          <t>acoa-apeca</t>
        </is>
      </c>
      <c r="Y4736" t="inlineStr">
        <is>
          <t>Atlantic Canada Opportunities Agency | Agence de promotion économique du Canada atlantique</t>
        </is>
      </c>
      <c r="Z4736" t="n">
        <v>3</v>
      </c>
      <c r="AA4736" t="n">
        <v>664.599999999999</v>
      </c>
      <c r="AB4736">
        <f>ROUND(U4736-AA4736,2)</f>
        <v/>
      </c>
      <c r="AC4736" t="b">
        <v>0</v>
      </c>
      <c r="AD4736">
        <f>IF(U4736="","MISSING_TOTAL",IF(ABS(AB4736)&lt;=0.01,"OK","CHECK"))</f>
        <v/>
      </c>
      <c r="AE4736">
        <f>IF(U4736="","MISSING",IF(AND(AA4736&gt;0,U4736/AA4736&gt;50),"POSSIBLE_SCALE_ERROR","OK"))</f>
        <v/>
      </c>
    </row>
    <row r="4737">
      <c r="A4737" t="inlineStr">
        <is>
          <t>T-2020-Q1-00047</t>
        </is>
      </c>
      <c r="B4737" t="inlineStr">
        <is>
          <t>SLE</t>
        </is>
      </c>
      <c r="C4737" t="inlineStr">
        <is>
          <t>Vice-President, New Brunswick</t>
        </is>
      </c>
      <c r="D4737" t="inlineStr">
        <is>
          <t>Vice-président, Nouveau-Brunswick</t>
        </is>
      </c>
      <c r="E4737" t="inlineStr">
        <is>
          <t>Kent Estabrooks</t>
        </is>
      </c>
      <c r="F4737" t="inlineStr">
        <is>
          <t>Meetings in Germany with government officials, private sector representatives and other stakeholders related to Advanced Manufacturing Strategy</t>
        </is>
      </c>
      <c r="G4737" t="inlineStr">
        <is>
          <t>Réunions en Allemagne avec des fonctionnaires, des représentants du secteur privé et d'autres intervenants concernant la Stratégie de fabrication de pointe</t>
        </is>
      </c>
      <c r="H4737" s="1" t="n">
        <v>43554</v>
      </c>
      <c r="I4737" s="1" t="n">
        <v>43561</v>
      </c>
      <c r="J4737" t="inlineStr">
        <is>
          <t>Hannover, Germany</t>
        </is>
      </c>
      <c r="K4737" t="inlineStr">
        <is>
          <t>Hanovre, Allemagne</t>
        </is>
      </c>
      <c r="P4737" t="n">
        <v>3084.44</v>
      </c>
      <c r="Q4737" t="n">
        <v>375.89</v>
      </c>
      <c r="R4737" t="n">
        <v>1068.27</v>
      </c>
      <c r="S4737" t="n">
        <v>1124.09</v>
      </c>
      <c r="T4737" t="n">
        <v>0</v>
      </c>
      <c r="U4737" t="n">
        <v>5652.69</v>
      </c>
      <c r="X4737" t="inlineStr">
        <is>
          <t>acoa-apeca</t>
        </is>
      </c>
      <c r="Y4737" t="inlineStr">
        <is>
          <t>Atlantic Canada Opportunities Agency | Agence de promotion économique du Canada atlantique</t>
        </is>
      </c>
      <c r="Z4737" t="n">
        <v>8</v>
      </c>
      <c r="AA4737" t="n">
        <v>5652.69</v>
      </c>
      <c r="AB4737">
        <f>ROUND(U4737-AA4737,2)</f>
        <v/>
      </c>
      <c r="AC4737" t="b">
        <v>0</v>
      </c>
      <c r="AD4737">
        <f>IF(U4737="","MISSING_TOTAL",IF(ABS(AB4737)&lt;=0.01,"OK","CHECK"))</f>
        <v/>
      </c>
      <c r="AE4737">
        <f>IF(U4737="","MISSING",IF(AND(AA4737&gt;0,U4737/AA4737&gt;50),"POSSIBLE_SCALE_ERROR","OK"))</f>
        <v/>
      </c>
    </row>
    <row r="4738">
      <c r="A4738" t="inlineStr">
        <is>
          <t>T-2020-Q1-00046</t>
        </is>
      </c>
      <c r="B4738" t="inlineStr">
        <is>
          <t>SLE</t>
        </is>
      </c>
      <c r="C4738" t="inlineStr">
        <is>
          <t>Senior Advisor (Energy)</t>
        </is>
      </c>
      <c r="D4738" t="inlineStr">
        <is>
          <t>Conseiller spécial (energie)</t>
        </is>
      </c>
      <c r="E4738" t="inlineStr">
        <is>
          <t>Andrew F. Noseworthy</t>
        </is>
      </c>
      <c r="F4738" t="inlineStr">
        <is>
          <t>Attend the President's and Vice-President's meeting in Halifax</t>
        </is>
      </c>
      <c r="G4738" t="inlineStr">
        <is>
          <t>Assister à la réunion du président et du vice-président à Halifax</t>
        </is>
      </c>
      <c r="H4738" s="1" t="n">
        <v>43600</v>
      </c>
      <c r="I4738" s="1" t="n">
        <v>43600</v>
      </c>
      <c r="J4738" t="inlineStr">
        <is>
          <t>Halifax, Nova Scotia</t>
        </is>
      </c>
      <c r="K4738" t="inlineStr">
        <is>
          <t>Halifax (Nouvelle-Écosse)</t>
        </is>
      </c>
      <c r="P4738" t="n">
        <v>890.9299999999999</v>
      </c>
      <c r="Q4738" t="n">
        <v>150</v>
      </c>
      <c r="R4738" t="n">
        <v>0</v>
      </c>
      <c r="S4738" t="n">
        <v>50.65</v>
      </c>
      <c r="T4738" t="n">
        <v>16</v>
      </c>
      <c r="U4738" t="n">
        <v>1107.58</v>
      </c>
      <c r="X4738" t="inlineStr">
        <is>
          <t>acoa-apeca</t>
        </is>
      </c>
      <c r="Y4738" t="inlineStr">
        <is>
          <t>Atlantic Canada Opportunities Agency | Agence de promotion économique du Canada atlantique</t>
        </is>
      </c>
      <c r="Z4738" t="n">
        <v>1</v>
      </c>
      <c r="AA4738" t="n">
        <v>1107.58</v>
      </c>
      <c r="AB4738">
        <f>ROUND(U4738-AA4738,2)</f>
        <v/>
      </c>
      <c r="AC4738" t="b">
        <v>0</v>
      </c>
      <c r="AD4738">
        <f>IF(U4738="","MISSING_TOTAL",IF(ABS(AB4738)&lt;=0.01,"OK","CHECK"))</f>
        <v/>
      </c>
      <c r="AE4738">
        <f>IF(U4738="","MISSING",IF(AND(AA4738&gt;0,U4738/AA4738&gt;50),"POSSIBLE_SCALE_ERROR","OK"))</f>
        <v/>
      </c>
    </row>
    <row r="4739">
      <c r="A4739" t="inlineStr">
        <is>
          <t>T-2020-Q1-00045</t>
        </is>
      </c>
      <c r="B4739" t="inlineStr">
        <is>
          <t>SLE</t>
        </is>
      </c>
      <c r="C4739" t="inlineStr">
        <is>
          <t>Senior Advisor (Energy)</t>
        </is>
      </c>
      <c r="D4739" t="inlineStr">
        <is>
          <t>Conseiller spécial (energie)</t>
        </is>
      </c>
      <c r="E4739" t="inlineStr">
        <is>
          <t>Andrew F. Noseworthy</t>
        </is>
      </c>
      <c r="F4739" t="inlineStr">
        <is>
          <t>Attend program delivery staff forum in Moncton</t>
        </is>
      </c>
      <c r="G4739" t="inlineStr">
        <is>
          <t>Assister au forum du personnel chargé de l'exécution des programmes à Moncton</t>
        </is>
      </c>
      <c r="H4739" s="1" t="n">
        <v>43607</v>
      </c>
      <c r="I4739" s="1" t="n">
        <v>43608</v>
      </c>
      <c r="J4739" t="inlineStr">
        <is>
          <t>Moncton, New Brunswick</t>
        </is>
      </c>
      <c r="K4739" t="inlineStr">
        <is>
          <t>Moncton (Nouveau-Brunswick)</t>
        </is>
      </c>
      <c r="P4739" t="n">
        <v>1235.02</v>
      </c>
      <c r="Q4739" t="n">
        <v>98</v>
      </c>
      <c r="R4739" t="n">
        <v>167.9</v>
      </c>
      <c r="S4739" t="n">
        <v>176.5</v>
      </c>
      <c r="T4739" t="n">
        <v>0</v>
      </c>
      <c r="U4739" t="n">
        <v>1677.42</v>
      </c>
      <c r="X4739" t="inlineStr">
        <is>
          <t>acoa-apeca</t>
        </is>
      </c>
      <c r="Y4739" t="inlineStr">
        <is>
          <t>Atlantic Canada Opportunities Agency | Agence de promotion économique du Canada atlantique</t>
        </is>
      </c>
      <c r="Z4739" t="n">
        <v>2</v>
      </c>
      <c r="AA4739" t="n">
        <v>1677.42</v>
      </c>
      <c r="AB4739">
        <f>ROUND(U4739-AA4739,2)</f>
        <v/>
      </c>
      <c r="AC4739" t="b">
        <v>0</v>
      </c>
      <c r="AD4739">
        <f>IF(U4739="","MISSING_TOTAL",IF(ABS(AB4739)&lt;=0.01,"OK","CHECK"))</f>
        <v/>
      </c>
      <c r="AE4739">
        <f>IF(U4739="","MISSING",IF(AND(AA4739&gt;0,U4739/AA4739&gt;50),"POSSIBLE_SCALE_ERROR","OK"))</f>
        <v/>
      </c>
    </row>
    <row r="4740">
      <c r="A4740" t="inlineStr">
        <is>
          <t>T-2020-Q1-00044</t>
        </is>
      </c>
      <c r="B4740" t="inlineStr">
        <is>
          <t>SLE</t>
        </is>
      </c>
      <c r="C4740" t="inlineStr">
        <is>
          <t>Vice-President, Finance and Corporate Services</t>
        </is>
      </c>
      <c r="D4740" t="inlineStr">
        <is>
          <t>Vice-président, Finance et Services corporatifs</t>
        </is>
      </c>
      <c r="E4740" t="inlineStr">
        <is>
          <t>Stephane Lagace</t>
        </is>
      </c>
      <c r="F4740" t="inlineStr">
        <is>
          <t>APEX Symposium</t>
        </is>
      </c>
      <c r="G4740" t="inlineStr">
        <is>
          <t>Symposium de l'APEX</t>
        </is>
      </c>
      <c r="H4740" s="1" t="n">
        <v>43612</v>
      </c>
      <c r="I4740" s="1" t="n">
        <v>43614</v>
      </c>
      <c r="J4740" t="inlineStr">
        <is>
          <t>Ottawa, Ontario</t>
        </is>
      </c>
      <c r="K4740" t="inlineStr">
        <is>
          <t>Ottawa (Ontario)</t>
        </is>
      </c>
      <c r="P4740" t="n">
        <v>1065.82</v>
      </c>
      <c r="Q4740" t="n">
        <v>148.42</v>
      </c>
      <c r="R4740" t="n">
        <v>319.12</v>
      </c>
      <c r="S4740" t="n">
        <v>264.95</v>
      </c>
      <c r="T4740" t="n">
        <v>51.6</v>
      </c>
      <c r="U4740" t="n">
        <v>1849.91</v>
      </c>
      <c r="X4740" t="inlineStr">
        <is>
          <t>acoa-apeca</t>
        </is>
      </c>
      <c r="Y4740" t="inlineStr">
        <is>
          <t>Atlantic Canada Opportunities Agency | Agence de promotion économique du Canada atlantique</t>
        </is>
      </c>
      <c r="Z4740" t="n">
        <v>3</v>
      </c>
      <c r="AA4740" t="n">
        <v>1849.91</v>
      </c>
      <c r="AB4740">
        <f>ROUND(U4740-AA4740,2)</f>
        <v/>
      </c>
      <c r="AC4740" t="b">
        <v>0</v>
      </c>
      <c r="AD4740">
        <f>IF(U4740="","MISSING_TOTAL",IF(ABS(AB4740)&lt;=0.01,"OK","CHECK"))</f>
        <v/>
      </c>
      <c r="AE4740">
        <f>IF(U4740="","MISSING",IF(AND(AA4740&gt;0,U4740/AA4740&gt;50),"POSSIBLE_SCALE_ERROR","OK"))</f>
        <v/>
      </c>
    </row>
    <row r="4741">
      <c r="A4741" t="inlineStr">
        <is>
          <t>T-2020-Q1-00043</t>
        </is>
      </c>
      <c r="B4741" t="inlineStr">
        <is>
          <t>SLE</t>
        </is>
      </c>
      <c r="C4741" t="inlineStr">
        <is>
          <t>Vice-President, Prince Edward Island</t>
        </is>
      </c>
      <c r="D4741" t="inlineStr">
        <is>
          <t>Vice-président, Île-du-Prince-Édouard</t>
        </is>
      </c>
      <c r="E4741" t="inlineStr">
        <is>
          <t>Patrick Dorsey</t>
        </is>
      </c>
      <c r="F4741" t="inlineStr">
        <is>
          <t>Meetings with Agency officials</t>
        </is>
      </c>
      <c r="G4741" t="inlineStr">
        <is>
          <t>Réunions avec des fonctionnaires de l'Agence</t>
        </is>
      </c>
      <c r="H4741" s="1" t="n">
        <v>43606</v>
      </c>
      <c r="I4741" s="1" t="n">
        <v>43609</v>
      </c>
      <c r="J4741" t="inlineStr">
        <is>
          <t>Moncton, New Brunswick</t>
        </is>
      </c>
      <c r="K4741" t="inlineStr">
        <is>
          <t>Moncton (Nouveau-Brunswick)</t>
        </is>
      </c>
      <c r="P4741" t="n">
        <v>0</v>
      </c>
      <c r="Q4741" t="n">
        <v>0</v>
      </c>
      <c r="R4741" t="n">
        <v>503.7</v>
      </c>
      <c r="S4741" t="n">
        <v>241.25</v>
      </c>
      <c r="T4741" t="n">
        <v>0</v>
      </c>
      <c r="U4741" t="n">
        <v>744.95</v>
      </c>
      <c r="X4741" t="inlineStr">
        <is>
          <t>acoa-apeca</t>
        </is>
      </c>
      <c r="Y4741" t="inlineStr">
        <is>
          <t>Atlantic Canada Opportunities Agency | Agence de promotion économique du Canada atlantique</t>
        </is>
      </c>
      <c r="Z4741" t="n">
        <v>4</v>
      </c>
      <c r="AA4741" t="n">
        <v>744.95</v>
      </c>
      <c r="AB4741">
        <f>ROUND(U4741-AA4741,2)</f>
        <v/>
      </c>
      <c r="AC4741" t="b">
        <v>0</v>
      </c>
      <c r="AD4741">
        <f>IF(U4741="","MISSING_TOTAL",IF(ABS(AB4741)&lt;=0.01,"OK","CHECK"))</f>
        <v/>
      </c>
      <c r="AE4741">
        <f>IF(U4741="","MISSING",IF(AND(AA4741&gt;0,U4741/AA4741&gt;50),"POSSIBLE_SCALE_ERROR","OK"))</f>
        <v/>
      </c>
    </row>
    <row r="4742">
      <c r="A4742" t="inlineStr">
        <is>
          <t>T-2020-Q1-00042</t>
        </is>
      </c>
      <c r="B4742" t="inlineStr">
        <is>
          <t>SLE</t>
        </is>
      </c>
      <c r="C4742" t="inlineStr">
        <is>
          <t>Vice-President, Prince Edward Island</t>
        </is>
      </c>
      <c r="D4742" t="inlineStr">
        <is>
          <t>Vice-président, Île-du-Prince-Édouard</t>
        </is>
      </c>
      <c r="E4742" t="inlineStr">
        <is>
          <t>Patrick Dorsey</t>
        </is>
      </c>
      <c r="F4742" t="inlineStr">
        <is>
          <t>Meetings with stakeholders</t>
        </is>
      </c>
      <c r="G4742" t="inlineStr">
        <is>
          <t>Réunions avec des intervenants</t>
        </is>
      </c>
      <c r="H4742" s="1" t="n">
        <v>43612</v>
      </c>
      <c r="I4742" s="1" t="n">
        <v>43614</v>
      </c>
      <c r="J4742" t="inlineStr">
        <is>
          <t>Toronto, Ontario</t>
        </is>
      </c>
      <c r="K4742" t="inlineStr">
        <is>
          <t>Toronto (Ontario)</t>
        </is>
      </c>
      <c r="P4742" t="n">
        <v>877.51</v>
      </c>
      <c r="Q4742" t="n">
        <v>88.63</v>
      </c>
      <c r="R4742" t="n">
        <v>263.24</v>
      </c>
      <c r="S4742" t="n">
        <v>234</v>
      </c>
      <c r="T4742" t="n">
        <v>0</v>
      </c>
      <c r="U4742" t="n">
        <v>1463.38</v>
      </c>
      <c r="X4742" t="inlineStr">
        <is>
          <t>acoa-apeca</t>
        </is>
      </c>
      <c r="Y4742" t="inlineStr">
        <is>
          <t>Atlantic Canada Opportunities Agency | Agence de promotion économique du Canada atlantique</t>
        </is>
      </c>
      <c r="Z4742" t="n">
        <v>3</v>
      </c>
      <c r="AA4742" t="n">
        <v>1463.38</v>
      </c>
      <c r="AB4742">
        <f>ROUND(U4742-AA4742,2)</f>
        <v/>
      </c>
      <c r="AC4742" t="b">
        <v>0</v>
      </c>
      <c r="AD4742">
        <f>IF(U4742="","MISSING_TOTAL",IF(ABS(AB4742)&lt;=0.01,"OK","CHECK"))</f>
        <v/>
      </c>
      <c r="AE4742">
        <f>IF(U4742="","MISSING",IF(AND(AA4742&gt;0,U4742/AA4742&gt;50),"POSSIBLE_SCALE_ERROR","OK"))</f>
        <v/>
      </c>
    </row>
    <row r="4743">
      <c r="A4743" t="inlineStr">
        <is>
          <t>T-2020-Q1-00041</t>
        </is>
      </c>
      <c r="B4743" t="inlineStr">
        <is>
          <t>SLE</t>
        </is>
      </c>
      <c r="C4743" t="inlineStr">
        <is>
          <t>President</t>
        </is>
      </c>
      <c r="D4743" t="inlineStr">
        <is>
          <t>Président</t>
        </is>
      </c>
      <c r="E4743" t="inlineStr">
        <is>
          <t>Francis McGuire</t>
        </is>
      </c>
      <c r="F4743" t="inlineStr">
        <is>
          <t>Meetings with Government of Canada officials and key stakeholders</t>
        </is>
      </c>
      <c r="G4743" t="inlineStr">
        <is>
          <t>Réunions avec des fonctionnaires du gouvernement du Canada et des intervenants clés</t>
        </is>
      </c>
      <c r="H4743" s="1" t="n">
        <v>43599</v>
      </c>
      <c r="I4743" s="1" t="n">
        <v>43601</v>
      </c>
      <c r="J4743" t="inlineStr">
        <is>
          <t>Halifax, Nova Scotia</t>
        </is>
      </c>
      <c r="K4743" t="inlineStr">
        <is>
          <t>Halifax (Nouvelle-Écosse)</t>
        </is>
      </c>
      <c r="P4743" t="n">
        <v>0</v>
      </c>
      <c r="Q4743" t="n">
        <v>268.32</v>
      </c>
      <c r="R4743" t="n">
        <v>466.86</v>
      </c>
      <c r="S4743" t="n">
        <v>163.65</v>
      </c>
      <c r="T4743" t="n">
        <v>0</v>
      </c>
      <c r="U4743" t="n">
        <v>898.83</v>
      </c>
      <c r="X4743" t="inlineStr">
        <is>
          <t>acoa-apeca</t>
        </is>
      </c>
      <c r="Y4743" t="inlineStr">
        <is>
          <t>Atlantic Canada Opportunities Agency | Agence de promotion économique du Canada atlantique</t>
        </is>
      </c>
      <c r="Z4743" t="n">
        <v>3</v>
      </c>
      <c r="AA4743" t="n">
        <v>898.83</v>
      </c>
      <c r="AB4743">
        <f>ROUND(U4743-AA4743,2)</f>
        <v/>
      </c>
      <c r="AC4743" t="b">
        <v>0</v>
      </c>
      <c r="AD4743">
        <f>IF(U4743="","MISSING_TOTAL",IF(ABS(AB4743)&lt;=0.01,"OK","CHECK"))</f>
        <v/>
      </c>
      <c r="AE4743">
        <f>IF(U4743="","MISSING",IF(AND(AA4743&gt;0,U4743/AA4743&gt;50),"POSSIBLE_SCALE_ERROR","OK"))</f>
        <v/>
      </c>
    </row>
    <row r="4744">
      <c r="A4744" t="inlineStr">
        <is>
          <t>T-2020-Q1-00040</t>
        </is>
      </c>
      <c r="B4744" t="inlineStr">
        <is>
          <t>SLE</t>
        </is>
      </c>
      <c r="C4744" t="inlineStr">
        <is>
          <t>Vice-President, Policy, Programs and Communications</t>
        </is>
      </c>
      <c r="D4744" t="inlineStr">
        <is>
          <t>Vice-président, Politiques et Programmes</t>
        </is>
      </c>
      <c r="E4744" t="inlineStr">
        <is>
          <t>Daryell Nowlan</t>
        </is>
      </c>
      <c r="F4744" t="inlineStr">
        <is>
          <t>Meetings with Government of Canada officials</t>
        </is>
      </c>
      <c r="G4744" t="inlineStr">
        <is>
          <t>Réunions avec des fonctionnaires du gouvernement du Canada</t>
        </is>
      </c>
      <c r="H4744" s="1" t="n">
        <v>43612</v>
      </c>
      <c r="I4744" s="1" t="n">
        <v>43615</v>
      </c>
      <c r="J4744" t="inlineStr">
        <is>
          <t>Ottawa, Ontario</t>
        </is>
      </c>
      <c r="K4744" t="inlineStr">
        <is>
          <t>Ottawa (Ontario)</t>
        </is>
      </c>
      <c r="P4744" t="n">
        <v>726.28</v>
      </c>
      <c r="Q4744" t="n">
        <v>102.97</v>
      </c>
      <c r="R4744" t="n">
        <v>705.12</v>
      </c>
      <c r="S4744" t="n">
        <v>302.75</v>
      </c>
      <c r="T4744" t="n">
        <v>0</v>
      </c>
      <c r="U4744" t="n">
        <v>1837.12</v>
      </c>
      <c r="X4744" t="inlineStr">
        <is>
          <t>acoa-apeca</t>
        </is>
      </c>
      <c r="Y4744" t="inlineStr">
        <is>
          <t>Atlantic Canada Opportunities Agency | Agence de promotion économique du Canada atlantique</t>
        </is>
      </c>
      <c r="Z4744" t="n">
        <v>4</v>
      </c>
      <c r="AA4744" t="n">
        <v>1837.12</v>
      </c>
      <c r="AB4744">
        <f>ROUND(U4744-AA4744,2)</f>
        <v/>
      </c>
      <c r="AC4744" t="b">
        <v>0</v>
      </c>
      <c r="AD4744">
        <f>IF(U4744="","MISSING_TOTAL",IF(ABS(AB4744)&lt;=0.01,"OK","CHECK"))</f>
        <v/>
      </c>
      <c r="AE4744">
        <f>IF(U4744="","MISSING",IF(AND(AA4744&gt;0,U4744/AA4744&gt;50),"POSSIBLE_SCALE_ERROR","OK"))</f>
        <v/>
      </c>
    </row>
    <row r="4745">
      <c r="A4745" t="inlineStr">
        <is>
          <t>T-2020-Q1-00037</t>
        </is>
      </c>
      <c r="B4745" t="inlineStr">
        <is>
          <t>SLE</t>
        </is>
      </c>
      <c r="C4745" t="inlineStr">
        <is>
          <t>President</t>
        </is>
      </c>
      <c r="D4745" t="inlineStr">
        <is>
          <t>Président</t>
        </is>
      </c>
      <c r="E4745" t="inlineStr">
        <is>
          <t>Francis McGuire</t>
        </is>
      </c>
      <c r="F4745" t="inlineStr">
        <is>
          <t>Meetings with Government of Canada officials and key stakeholder</t>
        </is>
      </c>
      <c r="G4745" t="inlineStr">
        <is>
          <t>Réunions avec des fonctionnaires du gouvernement du Canada et un intervenant clé</t>
        </is>
      </c>
      <c r="H4745" s="1" t="n">
        <v>43595</v>
      </c>
      <c r="I4745" s="1" t="n">
        <v>43595</v>
      </c>
      <c r="J4745" t="inlineStr">
        <is>
          <t>Ottawa, Ontario</t>
        </is>
      </c>
      <c r="K4745" t="inlineStr">
        <is>
          <t>Ottawa (Ontario)</t>
        </is>
      </c>
      <c r="P4745" t="n">
        <v>841.8</v>
      </c>
      <c r="Q4745" t="n">
        <v>14.42</v>
      </c>
      <c r="R4745" t="n">
        <v>0</v>
      </c>
      <c r="S4745" t="n">
        <v>70.75</v>
      </c>
      <c r="T4745" t="n">
        <v>12</v>
      </c>
      <c r="U4745" t="n">
        <v>938.97</v>
      </c>
      <c r="X4745" t="inlineStr">
        <is>
          <t>acoa-apeca</t>
        </is>
      </c>
      <c r="Y4745" t="inlineStr">
        <is>
          <t>Atlantic Canada Opportunities Agency | Agence de promotion économique du Canada atlantique</t>
        </is>
      </c>
      <c r="Z4745" t="n">
        <v>1</v>
      </c>
      <c r="AA4745" t="n">
        <v>938.969999999999</v>
      </c>
      <c r="AB4745">
        <f>ROUND(U4745-AA4745,2)</f>
        <v/>
      </c>
      <c r="AC4745" t="b">
        <v>0</v>
      </c>
      <c r="AD4745">
        <f>IF(U4745="","MISSING_TOTAL",IF(ABS(AB4745)&lt;=0.01,"OK","CHECK"))</f>
        <v/>
      </c>
      <c r="AE4745">
        <f>IF(U4745="","MISSING",IF(AND(AA4745&gt;0,U4745/AA4745&gt;50),"POSSIBLE_SCALE_ERROR","OK"))</f>
        <v/>
      </c>
    </row>
    <row r="4746">
      <c r="A4746" t="inlineStr">
        <is>
          <t>T-2020-Q1-00036</t>
        </is>
      </c>
      <c r="B4746" t="inlineStr">
        <is>
          <t>SLE</t>
        </is>
      </c>
      <c r="C4746" t="inlineStr">
        <is>
          <t>President</t>
        </is>
      </c>
      <c r="D4746" t="inlineStr">
        <is>
          <t>Président</t>
        </is>
      </c>
      <c r="E4746" t="inlineStr">
        <is>
          <t>Francis McGuire</t>
        </is>
      </c>
      <c r="F4746" t="inlineStr">
        <is>
          <t>Meetings with Government of Canada officials and key stakeholders</t>
        </is>
      </c>
      <c r="G4746" t="inlineStr">
        <is>
          <t>Réunions avec des fonctionnaires du gouvernement du Canada et des intervenants clés</t>
        </is>
      </c>
      <c r="H4746" s="1" t="n">
        <v>43585</v>
      </c>
      <c r="I4746" s="1" t="n">
        <v>43586</v>
      </c>
      <c r="J4746" t="inlineStr">
        <is>
          <t>Charlottetown, Prince Edouard Island</t>
        </is>
      </c>
      <c r="K4746" t="inlineStr">
        <is>
          <t>Charlottetown (Île-du-Prince-Édouard)</t>
        </is>
      </c>
      <c r="P4746" t="n">
        <v>0</v>
      </c>
      <c r="Q4746" t="n">
        <v>245.66</v>
      </c>
      <c r="R4746" t="n">
        <v>197.81</v>
      </c>
      <c r="S4746" t="n">
        <v>95.3</v>
      </c>
      <c r="T4746" t="n">
        <v>0</v>
      </c>
      <c r="U4746" t="n">
        <v>538.77</v>
      </c>
      <c r="X4746" t="inlineStr">
        <is>
          <t>acoa-apeca</t>
        </is>
      </c>
      <c r="Y4746" t="inlineStr">
        <is>
          <t>Atlantic Canada Opportunities Agency | Agence de promotion économique du Canada atlantique</t>
        </is>
      </c>
      <c r="Z4746" t="n">
        <v>2</v>
      </c>
      <c r="AA4746" t="n">
        <v>538.77</v>
      </c>
      <c r="AB4746">
        <f>ROUND(U4746-AA4746,2)</f>
        <v/>
      </c>
      <c r="AC4746" t="b">
        <v>0</v>
      </c>
      <c r="AD4746">
        <f>IF(U4746="","MISSING_TOTAL",IF(ABS(AB4746)&lt;=0.01,"OK","CHECK"))</f>
        <v/>
      </c>
      <c r="AE4746">
        <f>IF(U4746="","MISSING",IF(AND(AA4746&gt;0,U4746/AA4746&gt;50),"POSSIBLE_SCALE_ERROR","OK"))</f>
        <v/>
      </c>
    </row>
    <row r="4747">
      <c r="A4747" t="inlineStr">
        <is>
          <t>T-2020-Q1-00035</t>
        </is>
      </c>
      <c r="B4747" t="inlineStr">
        <is>
          <t>SLE</t>
        </is>
      </c>
      <c r="C4747" t="inlineStr">
        <is>
          <t>Vice-President, Policy, Programs and Communications</t>
        </is>
      </c>
      <c r="D4747" t="inlineStr">
        <is>
          <t>Vice-président, Politiques et Programmes</t>
        </is>
      </c>
      <c r="E4747" t="inlineStr">
        <is>
          <t>Daryell Nowlan</t>
        </is>
      </c>
      <c r="F4747" t="inlineStr">
        <is>
          <t>Meetings with Government of Canada officials</t>
        </is>
      </c>
      <c r="G4747" t="inlineStr">
        <is>
          <t>Réunions avec des fonctionnaires du gouvernement du Canada</t>
        </is>
      </c>
      <c r="H4747" s="1" t="n">
        <v>43577</v>
      </c>
      <c r="I4747" s="1" t="n">
        <v>43581</v>
      </c>
      <c r="J4747" t="inlineStr">
        <is>
          <t>Ottawa, Ontario</t>
        </is>
      </c>
      <c r="K4747" t="inlineStr">
        <is>
          <t>Ottawa (Ontario)</t>
        </is>
      </c>
      <c r="P4747" t="n">
        <v>1126.76</v>
      </c>
      <c r="Q4747" t="n">
        <v>118.83</v>
      </c>
      <c r="R4747" t="n">
        <v>822.64</v>
      </c>
      <c r="S4747" t="n">
        <v>420.55</v>
      </c>
      <c r="T4747" t="n">
        <v>0</v>
      </c>
      <c r="U4747" t="n">
        <v>2488.78</v>
      </c>
      <c r="X4747" t="inlineStr">
        <is>
          <t>acoa-apeca</t>
        </is>
      </c>
      <c r="Y4747" t="inlineStr">
        <is>
          <t>Atlantic Canada Opportunities Agency | Agence de promotion économique du Canada atlantique</t>
        </is>
      </c>
      <c r="Z4747" t="n">
        <v>5</v>
      </c>
      <c r="AA4747" t="n">
        <v>2488.78</v>
      </c>
      <c r="AB4747">
        <f>ROUND(U4747-AA4747,2)</f>
        <v/>
      </c>
      <c r="AC4747" t="b">
        <v>0</v>
      </c>
      <c r="AD4747">
        <f>IF(U4747="","MISSING_TOTAL",IF(ABS(AB4747)&lt;=0.01,"OK","CHECK"))</f>
        <v/>
      </c>
      <c r="AE4747">
        <f>IF(U4747="","MISSING",IF(AND(AA4747&gt;0,U4747/AA4747&gt;50),"POSSIBLE_SCALE_ERROR","OK"))</f>
        <v/>
      </c>
    </row>
    <row r="4748">
      <c r="A4748" t="inlineStr">
        <is>
          <t>T-2020-Q1-00034</t>
        </is>
      </c>
      <c r="B4748" t="inlineStr">
        <is>
          <t>SLE</t>
        </is>
      </c>
      <c r="C4748" t="inlineStr">
        <is>
          <t>Vice-President, Policy, Programs and Communications</t>
        </is>
      </c>
      <c r="D4748" t="inlineStr">
        <is>
          <t>Vice-président, Politiques et Programmes</t>
        </is>
      </c>
      <c r="E4748" t="inlineStr">
        <is>
          <t>Daryell Nowlan</t>
        </is>
      </c>
      <c r="F4748" t="inlineStr">
        <is>
          <t>Meeting with Government of Canada officials</t>
        </is>
      </c>
      <c r="G4748" t="inlineStr">
        <is>
          <t>Réunion avec des fonctionnaires du gouvernement du Canada</t>
        </is>
      </c>
      <c r="H4748" s="1" t="n">
        <v>43591</v>
      </c>
      <c r="I4748" s="1" t="n">
        <v>43592</v>
      </c>
      <c r="J4748" t="inlineStr">
        <is>
          <t>Oromocto, New Brunswick</t>
        </is>
      </c>
      <c r="K4748" t="inlineStr">
        <is>
          <t>Oromocto (Nouveau-Brunswick)</t>
        </is>
      </c>
      <c r="P4748" t="n">
        <v>0</v>
      </c>
      <c r="Q4748" t="n">
        <v>199.2</v>
      </c>
      <c r="R4748" t="n">
        <v>182.85</v>
      </c>
      <c r="S4748" t="n">
        <v>105.35</v>
      </c>
      <c r="T4748" t="n">
        <v>0</v>
      </c>
      <c r="U4748" t="n">
        <v>487.4</v>
      </c>
      <c r="X4748" t="inlineStr">
        <is>
          <t>acoa-apeca</t>
        </is>
      </c>
      <c r="Y4748" t="inlineStr">
        <is>
          <t>Atlantic Canada Opportunities Agency | Agence de promotion économique du Canada atlantique</t>
        </is>
      </c>
      <c r="Z4748" t="n">
        <v>2</v>
      </c>
      <c r="AA4748" t="n">
        <v>487.4</v>
      </c>
      <c r="AB4748">
        <f>ROUND(U4748-AA4748,2)</f>
        <v/>
      </c>
      <c r="AC4748" t="b">
        <v>0</v>
      </c>
      <c r="AD4748">
        <f>IF(U4748="","MISSING_TOTAL",IF(ABS(AB4748)&lt;=0.01,"OK","CHECK"))</f>
        <v/>
      </c>
      <c r="AE4748">
        <f>IF(U4748="","MISSING",IF(AND(AA4748&gt;0,U4748/AA4748&gt;50),"POSSIBLE_SCALE_ERROR","OK"))</f>
        <v/>
      </c>
    </row>
    <row r="4749">
      <c r="A4749" t="inlineStr">
        <is>
          <t>T-2020-Q1-00033</t>
        </is>
      </c>
      <c r="B4749" t="inlineStr">
        <is>
          <t>SLE</t>
        </is>
      </c>
      <c r="C4749" t="inlineStr">
        <is>
          <t>President</t>
        </is>
      </c>
      <c r="D4749" t="inlineStr">
        <is>
          <t>Président</t>
        </is>
      </c>
      <c r="E4749" t="inlineStr">
        <is>
          <t>Francis McGuire</t>
        </is>
      </c>
      <c r="F4749" t="inlineStr">
        <is>
          <t>Meetings with Government of Canada officials, US Government officials and key stakeholders</t>
        </is>
      </c>
      <c r="G4749" t="inlineStr">
        <is>
          <t>Réunions avec des fonctionnaires des gouvernements du Canada et des États-Unis et avec des intervenants clés</t>
        </is>
      </c>
      <c r="H4749" s="1" t="n">
        <v>43591</v>
      </c>
      <c r="I4749" s="1" t="n">
        <v>43594</v>
      </c>
      <c r="J4749" t="inlineStr">
        <is>
          <t>Halifax, Nova Scotia</t>
        </is>
      </c>
      <c r="K4749" t="inlineStr">
        <is>
          <t>Halifax (Nouvelle-Écosse)</t>
        </is>
      </c>
      <c r="P4749" t="n">
        <v>0</v>
      </c>
      <c r="Q4749" t="n">
        <v>311.06</v>
      </c>
      <c r="R4749" t="n">
        <v>466.86</v>
      </c>
      <c r="S4749" t="n">
        <v>234.4</v>
      </c>
      <c r="T4749" t="n">
        <v>36.8</v>
      </c>
      <c r="U4749" t="n">
        <v>1049.12</v>
      </c>
      <c r="X4749" t="inlineStr">
        <is>
          <t>acoa-apeca</t>
        </is>
      </c>
      <c r="Y4749" t="inlineStr">
        <is>
          <t>Atlantic Canada Opportunities Agency | Agence de promotion économique du Canada atlantique</t>
        </is>
      </c>
      <c r="Z4749" t="n">
        <v>4</v>
      </c>
      <c r="AA4749" t="n">
        <v>1049.12</v>
      </c>
      <c r="AB4749">
        <f>ROUND(U4749-AA4749,2)</f>
        <v/>
      </c>
      <c r="AC4749" t="b">
        <v>0</v>
      </c>
      <c r="AD4749">
        <f>IF(U4749="","MISSING_TOTAL",IF(ABS(AB4749)&lt;=0.01,"OK","CHECK"))</f>
        <v/>
      </c>
      <c r="AE4749">
        <f>IF(U4749="","MISSING",IF(AND(AA4749&gt;0,U4749/AA4749&gt;50),"POSSIBLE_SCALE_ERROR","OK"))</f>
        <v/>
      </c>
    </row>
    <row r="4750">
      <c r="A4750" t="inlineStr">
        <is>
          <t>T-2020-Q1-00032</t>
        </is>
      </c>
      <c r="B4750" t="inlineStr">
        <is>
          <t>SLE</t>
        </is>
      </c>
      <c r="C4750" t="inlineStr">
        <is>
          <t>President</t>
        </is>
      </c>
      <c r="D4750" t="inlineStr">
        <is>
          <t>Président</t>
        </is>
      </c>
      <c r="E4750" t="inlineStr">
        <is>
          <t>Francis McGuire</t>
        </is>
      </c>
      <c r="F4750" t="inlineStr">
        <is>
          <t>Meetings with Government of Canada officials and key stakeholders</t>
        </is>
      </c>
      <c r="G4750" t="inlineStr">
        <is>
          <t>Réunions avec des fonctionnaires du gouvernement du Canada et des intervenants clés</t>
        </is>
      </c>
      <c r="H4750" s="1" t="n">
        <v>43578</v>
      </c>
      <c r="I4750" s="1" t="n">
        <v>43580</v>
      </c>
      <c r="J4750" t="inlineStr">
        <is>
          <t>St. John's, Newfoundland and Labrador</t>
        </is>
      </c>
      <c r="K4750" t="inlineStr">
        <is>
          <t>St. John's (Terre-Neuve-et-Labrador)</t>
        </is>
      </c>
      <c r="P4750" t="n">
        <v>913.62</v>
      </c>
      <c r="Q4750" t="n">
        <v>14.42</v>
      </c>
      <c r="R4750" t="n">
        <v>330.82</v>
      </c>
      <c r="S4750" t="n">
        <v>234</v>
      </c>
      <c r="T4750" t="n">
        <v>36</v>
      </c>
      <c r="U4750" t="n">
        <v>1528.86</v>
      </c>
      <c r="X4750" t="inlineStr">
        <is>
          <t>acoa-apeca</t>
        </is>
      </c>
      <c r="Y4750" t="inlineStr">
        <is>
          <t>Atlantic Canada Opportunities Agency | Agence de promotion économique du Canada atlantique</t>
        </is>
      </c>
      <c r="Z4750" t="n">
        <v>3</v>
      </c>
      <c r="AA4750" t="n">
        <v>1528.86</v>
      </c>
      <c r="AB4750">
        <f>ROUND(U4750-AA4750,2)</f>
        <v/>
      </c>
      <c r="AC4750" t="b">
        <v>0</v>
      </c>
      <c r="AD4750">
        <f>IF(U4750="","MISSING_TOTAL",IF(ABS(AB4750)&lt;=0.01,"OK","CHECK"))</f>
        <v/>
      </c>
      <c r="AE4750">
        <f>IF(U4750="","MISSING",IF(AND(AA4750&gt;0,U4750/AA4750&gt;50),"POSSIBLE_SCALE_ERROR","OK"))</f>
        <v/>
      </c>
    </row>
    <row r="4751">
      <c r="A4751" t="inlineStr">
        <is>
          <t>T-2020-Q1-00031</t>
        </is>
      </c>
      <c r="B4751" t="inlineStr">
        <is>
          <t>SLE</t>
        </is>
      </c>
      <c r="C4751" t="inlineStr">
        <is>
          <t>President</t>
        </is>
      </c>
      <c r="D4751" t="inlineStr">
        <is>
          <t>Président</t>
        </is>
      </c>
      <c r="E4751" t="inlineStr">
        <is>
          <t>Francis McGuire</t>
        </is>
      </c>
      <c r="F4751" t="inlineStr">
        <is>
          <t>Various meetings with Government of Canada officials and key stakeholder</t>
        </is>
      </c>
      <c r="G4751" t="inlineStr">
        <is>
          <t>Diverses réunions avec des fonctionnaires du gouvernement du Canada et un intervenant clé</t>
        </is>
      </c>
      <c r="H4751" s="1" t="n">
        <v>43570</v>
      </c>
      <c r="I4751" s="1" t="n">
        <v>43573</v>
      </c>
      <c r="J4751" t="inlineStr">
        <is>
          <t>Ottawa, Ontario</t>
        </is>
      </c>
      <c r="K4751" t="inlineStr">
        <is>
          <t>Ottawa (Ontario)</t>
        </is>
      </c>
      <c r="P4751" t="n">
        <v>868.99</v>
      </c>
      <c r="Q4751" t="n">
        <v>28.84</v>
      </c>
      <c r="R4751" t="n">
        <v>745.08</v>
      </c>
      <c r="S4751" t="n">
        <v>393.6</v>
      </c>
      <c r="T4751" t="n">
        <v>48</v>
      </c>
      <c r="U4751" t="n">
        <v>2084.51</v>
      </c>
      <c r="X4751" t="inlineStr">
        <is>
          <t>acoa-apeca</t>
        </is>
      </c>
      <c r="Y4751" t="inlineStr">
        <is>
          <t>Atlantic Canada Opportunities Agency | Agence de promotion économique du Canada atlantique</t>
        </is>
      </c>
      <c r="Z4751" t="n">
        <v>4</v>
      </c>
      <c r="AA4751" t="n">
        <v>2084.51</v>
      </c>
      <c r="AB4751">
        <f>ROUND(U4751-AA4751,2)</f>
        <v/>
      </c>
      <c r="AC4751" t="b">
        <v>0</v>
      </c>
      <c r="AD4751">
        <f>IF(U4751="","MISSING_TOTAL",IF(ABS(AB4751)&lt;=0.01,"OK","CHECK"))</f>
        <v/>
      </c>
      <c r="AE4751">
        <f>IF(U4751="","MISSING",IF(AND(AA4751&gt;0,U4751/AA4751&gt;50),"POSSIBLE_SCALE_ERROR","OK"))</f>
        <v/>
      </c>
    </row>
    <row r="4752">
      <c r="A4752" t="inlineStr">
        <is>
          <t>T-2020-Q1-00030</t>
        </is>
      </c>
      <c r="B4752" t="inlineStr">
        <is>
          <t>SLE</t>
        </is>
      </c>
      <c r="C4752" t="inlineStr">
        <is>
          <t>Vice-President, Prince Edward Island</t>
        </is>
      </c>
      <c r="D4752" t="inlineStr">
        <is>
          <t>Vice-président, Île-du-Prince-Édouard</t>
        </is>
      </c>
      <c r="E4752" t="inlineStr">
        <is>
          <t>Patrick Dorsey</t>
        </is>
      </c>
      <c r="F4752" t="inlineStr">
        <is>
          <t>Meetings with government officials</t>
        </is>
      </c>
      <c r="G4752" t="inlineStr">
        <is>
          <t>Réunions avec des fonctionnaires</t>
        </is>
      </c>
      <c r="H4752" s="1" t="n">
        <v>43578</v>
      </c>
      <c r="I4752" s="1" t="n">
        <v>43579</v>
      </c>
      <c r="J4752" t="inlineStr">
        <is>
          <t>Halifax, Nova Scotia</t>
        </is>
      </c>
      <c r="K4752" t="inlineStr">
        <is>
          <t>Halifax (Nouvelle-Écosse)</t>
        </is>
      </c>
      <c r="P4752" t="n">
        <v>0</v>
      </c>
      <c r="Q4752" t="n">
        <v>86.5</v>
      </c>
      <c r="R4752" t="n">
        <v>191.2</v>
      </c>
      <c r="S4752" t="n">
        <v>125.85</v>
      </c>
      <c r="T4752" t="n">
        <v>0</v>
      </c>
      <c r="U4752" t="n">
        <v>403.55</v>
      </c>
      <c r="X4752" t="inlineStr">
        <is>
          <t>acoa-apeca</t>
        </is>
      </c>
      <c r="Y4752" t="inlineStr">
        <is>
          <t>Atlantic Canada Opportunities Agency | Agence de promotion économique du Canada atlantique</t>
        </is>
      </c>
      <c r="Z4752" t="n">
        <v>2</v>
      </c>
      <c r="AA4752" t="n">
        <v>403.549999999999</v>
      </c>
      <c r="AB4752">
        <f>ROUND(U4752-AA4752,2)</f>
        <v/>
      </c>
      <c r="AC4752" t="b">
        <v>0</v>
      </c>
      <c r="AD4752">
        <f>IF(U4752="","MISSING_TOTAL",IF(ABS(AB4752)&lt;=0.01,"OK","CHECK"))</f>
        <v/>
      </c>
      <c r="AE4752">
        <f>IF(U4752="","MISSING",IF(AND(AA4752&gt;0,U4752/AA4752&gt;50),"POSSIBLE_SCALE_ERROR","OK"))</f>
        <v/>
      </c>
    </row>
    <row r="4753">
      <c r="A4753" t="inlineStr">
        <is>
          <t>T-2020-Q1-00029</t>
        </is>
      </c>
      <c r="B4753" t="inlineStr">
        <is>
          <t>SLE</t>
        </is>
      </c>
      <c r="C4753" t="inlineStr">
        <is>
          <t>Vice-President, Finance and Corporate Services</t>
        </is>
      </c>
      <c r="D4753" t="inlineStr">
        <is>
          <t>Vice-président, Finance et Services corporatifs</t>
        </is>
      </c>
      <c r="E4753" t="inlineStr">
        <is>
          <t>Stephane Lagace</t>
        </is>
      </c>
      <c r="F4753" t="inlineStr">
        <is>
          <t>Beyond 2020 Symposium</t>
        </is>
      </c>
      <c r="G4753" t="inlineStr">
        <is>
          <t>Symposium d’Au-delà de 2020</t>
        </is>
      </c>
      <c r="H4753" s="1" t="n">
        <v>43578</v>
      </c>
      <c r="I4753" s="1" t="n">
        <v>43579</v>
      </c>
      <c r="J4753" t="inlineStr">
        <is>
          <t>Ottawa, Ontario</t>
        </is>
      </c>
      <c r="K4753" t="inlineStr">
        <is>
          <t>Ottawa (Ontario)</t>
        </is>
      </c>
      <c r="P4753" t="n">
        <v>587.71</v>
      </c>
      <c r="Q4753" t="n">
        <v>113.13</v>
      </c>
      <c r="R4753" t="n">
        <v>205.66</v>
      </c>
      <c r="S4753" t="n">
        <v>176.5</v>
      </c>
      <c r="T4753" t="n">
        <v>32</v>
      </c>
      <c r="U4753" t="n">
        <v>1115</v>
      </c>
      <c r="X4753" t="inlineStr">
        <is>
          <t>acoa-apeca</t>
        </is>
      </c>
      <c r="Y4753" t="inlineStr">
        <is>
          <t>Atlantic Canada Opportunities Agency | Agence de promotion économique du Canada atlantique</t>
        </is>
      </c>
      <c r="Z4753" t="n">
        <v>2</v>
      </c>
      <c r="AA4753" t="n">
        <v>1115</v>
      </c>
      <c r="AB4753">
        <f>ROUND(U4753-AA4753,2)</f>
        <v/>
      </c>
      <c r="AC4753" t="b">
        <v>0</v>
      </c>
      <c r="AD4753">
        <f>IF(U4753="","MISSING_TOTAL",IF(ABS(AB4753)&lt;=0.01,"OK","CHECK"))</f>
        <v/>
      </c>
      <c r="AE4753">
        <f>IF(U4753="","MISSING",IF(AND(AA4753&gt;0,U4753/AA4753&gt;50),"POSSIBLE_SCALE_ERROR","OK"))</f>
        <v/>
      </c>
    </row>
    <row r="4754">
      <c r="A4754" t="inlineStr">
        <is>
          <t>T-2020-Q1-00028</t>
        </is>
      </c>
      <c r="B4754" t="inlineStr">
        <is>
          <t>SLE</t>
        </is>
      </c>
      <c r="C4754" t="inlineStr">
        <is>
          <t>Vice-President, Newfoundland and Labrador</t>
        </is>
      </c>
      <c r="D4754" t="inlineStr">
        <is>
          <t>Vice-président, Terre-Neuve-et-Labrador</t>
        </is>
      </c>
      <c r="E4754" t="inlineStr">
        <is>
          <t>Ken Martin</t>
        </is>
      </c>
      <c r="F4754" t="inlineStr">
        <is>
          <t>Meeting with senior government officials</t>
        </is>
      </c>
      <c r="G4754" t="inlineStr">
        <is>
          <t>Réunion avec de hauts fonctionnaires du gouvernement</t>
        </is>
      </c>
      <c r="H4754" s="1" t="n">
        <v>43578</v>
      </c>
      <c r="I4754" s="1" t="n">
        <v>43580</v>
      </c>
      <c r="J4754" t="inlineStr">
        <is>
          <t>St. John's, Newfoundland and Labrador</t>
        </is>
      </c>
      <c r="K4754" t="inlineStr">
        <is>
          <t>St. John's (Terre-Neuve-et-Labrador)</t>
        </is>
      </c>
      <c r="P4754" t="n">
        <v>0</v>
      </c>
      <c r="Q4754" t="n">
        <v>0</v>
      </c>
      <c r="R4754" t="n">
        <v>0</v>
      </c>
      <c r="S4754" t="n">
        <v>50.48</v>
      </c>
      <c r="T4754" t="n">
        <v>0</v>
      </c>
      <c r="U4754" t="n">
        <v>50.48</v>
      </c>
      <c r="X4754" t="inlineStr">
        <is>
          <t>acoa-apeca</t>
        </is>
      </c>
      <c r="Y4754" t="inlineStr">
        <is>
          <t>Atlantic Canada Opportunities Agency | Agence de promotion économique du Canada atlantique</t>
        </is>
      </c>
      <c r="Z4754" t="n">
        <v>3</v>
      </c>
      <c r="AA4754" t="n">
        <v>50.48</v>
      </c>
      <c r="AB4754">
        <f>ROUND(U4754-AA4754,2)</f>
        <v/>
      </c>
      <c r="AC4754" t="b">
        <v>0</v>
      </c>
      <c r="AD4754">
        <f>IF(U4754="","MISSING_TOTAL",IF(ABS(AB4754)&lt;=0.01,"OK","CHECK"))</f>
        <v/>
      </c>
      <c r="AE4754">
        <f>IF(U4754="","MISSING",IF(AND(AA4754&gt;0,U4754/AA4754&gt;50),"POSSIBLE_SCALE_ERROR","OK"))</f>
        <v/>
      </c>
    </row>
    <row r="4755">
      <c r="A4755" t="inlineStr">
        <is>
          <t>T-2020-Q1-00027</t>
        </is>
      </c>
      <c r="B4755" t="inlineStr">
        <is>
          <t>SLE</t>
        </is>
      </c>
      <c r="C4755" t="inlineStr">
        <is>
          <t>Vice-President, Prince Edward Island</t>
        </is>
      </c>
      <c r="D4755" t="inlineStr">
        <is>
          <t>Vice-président, Île-du-Prince-Édouard</t>
        </is>
      </c>
      <c r="E4755" t="inlineStr">
        <is>
          <t>Patrick Dorsey</t>
        </is>
      </c>
      <c r="F4755" t="inlineStr">
        <is>
          <t>Meetings with Agency officials</t>
        </is>
      </c>
      <c r="G4755" t="inlineStr">
        <is>
          <t>Réunions avec des fonctionnaires de l'Agence</t>
        </is>
      </c>
      <c r="H4755" s="1" t="n">
        <v>43570</v>
      </c>
      <c r="I4755" s="1" t="n">
        <v>43572</v>
      </c>
      <c r="J4755" t="inlineStr">
        <is>
          <t>St. John's, Newfoundland and Labrador</t>
        </is>
      </c>
      <c r="K4755" t="inlineStr">
        <is>
          <t>St. John's (Terre-Neuve-et-Labrador)</t>
        </is>
      </c>
      <c r="P4755" t="n">
        <v>1207.36</v>
      </c>
      <c r="Q4755" t="n">
        <v>58</v>
      </c>
      <c r="R4755" t="n">
        <v>334.32</v>
      </c>
      <c r="S4755" t="n">
        <v>234.4</v>
      </c>
      <c r="T4755" t="n">
        <v>0</v>
      </c>
      <c r="U4755" t="n">
        <v>1834.08</v>
      </c>
      <c r="X4755" t="inlineStr">
        <is>
          <t>acoa-apeca</t>
        </is>
      </c>
      <c r="Y4755" t="inlineStr">
        <is>
          <t>Atlantic Canada Opportunities Agency | Agence de promotion économique du Canada atlantique</t>
        </is>
      </c>
      <c r="Z4755" t="n">
        <v>3</v>
      </c>
      <c r="AA4755" t="n">
        <v>1834.08</v>
      </c>
      <c r="AB4755">
        <f>ROUND(U4755-AA4755,2)</f>
        <v/>
      </c>
      <c r="AC4755" t="b">
        <v>0</v>
      </c>
      <c r="AD4755">
        <f>IF(U4755="","MISSING_TOTAL",IF(ABS(AB4755)&lt;=0.01,"OK","CHECK"))</f>
        <v/>
      </c>
      <c r="AE4755">
        <f>IF(U4755="","MISSING",IF(AND(AA4755&gt;0,U4755/AA4755&gt;50),"POSSIBLE_SCALE_ERROR","OK"))</f>
        <v/>
      </c>
    </row>
    <row r="4756">
      <c r="A4756" t="inlineStr">
        <is>
          <t>T-2020-Q1-00026</t>
        </is>
      </c>
      <c r="B4756" t="inlineStr">
        <is>
          <t>SLE</t>
        </is>
      </c>
      <c r="C4756" t="inlineStr">
        <is>
          <t>Vice-President, Finance and Corporate Services</t>
        </is>
      </c>
      <c r="D4756" t="inlineStr">
        <is>
          <t>Vice-président, Finance et Services corporatifs</t>
        </is>
      </c>
      <c r="E4756" t="inlineStr">
        <is>
          <t>Stephane Lagace</t>
        </is>
      </c>
      <c r="F4756" t="inlineStr">
        <is>
          <t>Meetings with Agency officials</t>
        </is>
      </c>
      <c r="G4756" t="inlineStr">
        <is>
          <t>Réunions avec des fonctionnaires de l'Agence</t>
        </is>
      </c>
      <c r="H4756" s="1" t="n">
        <v>43571</v>
      </c>
      <c r="I4756" s="1" t="n">
        <v>43573</v>
      </c>
      <c r="J4756" t="inlineStr">
        <is>
          <t>St. John's, Newfoundland and Labrador</t>
        </is>
      </c>
      <c r="K4756" t="inlineStr">
        <is>
          <t>St. John's (Terre-Neuve-et-Labrador)</t>
        </is>
      </c>
      <c r="P4756" t="n">
        <v>1011.18</v>
      </c>
      <c r="Q4756" t="n">
        <v>60</v>
      </c>
      <c r="R4756" t="n">
        <v>165.41</v>
      </c>
      <c r="S4756" t="n">
        <v>214.3</v>
      </c>
      <c r="T4756" t="n">
        <v>0</v>
      </c>
      <c r="U4756" t="n">
        <v>1450.89</v>
      </c>
      <c r="X4756" t="inlineStr">
        <is>
          <t>acoa-apeca</t>
        </is>
      </c>
      <c r="Y4756" t="inlineStr">
        <is>
          <t>Atlantic Canada Opportunities Agency | Agence de promotion économique du Canada atlantique</t>
        </is>
      </c>
      <c r="Z4756" t="n">
        <v>3</v>
      </c>
      <c r="AA4756" t="n">
        <v>1450.88999999999</v>
      </c>
      <c r="AB4756">
        <f>ROUND(U4756-AA4756,2)</f>
        <v/>
      </c>
      <c r="AC4756" t="b">
        <v>0</v>
      </c>
      <c r="AD4756">
        <f>IF(U4756="","MISSING_TOTAL",IF(ABS(AB4756)&lt;=0.01,"OK","CHECK"))</f>
        <v/>
      </c>
      <c r="AE4756">
        <f>IF(U4756="","MISSING",IF(AND(AA4756&gt;0,U4756/AA4756&gt;50),"POSSIBLE_SCALE_ERROR","OK"))</f>
        <v/>
      </c>
    </row>
    <row r="4757">
      <c r="A4757" t="inlineStr">
        <is>
          <t>T-2020-Q1-00025</t>
        </is>
      </c>
      <c r="B4757" t="inlineStr">
        <is>
          <t>SLE</t>
        </is>
      </c>
      <c r="C4757" t="inlineStr">
        <is>
          <t>Vice-President, Newfoundland and Labrador</t>
        </is>
      </c>
      <c r="D4757" t="inlineStr">
        <is>
          <t>Vice-président, Terre-Neuve-et-Labrador</t>
        </is>
      </c>
      <c r="E4757" t="inlineStr">
        <is>
          <t>Ken Martin</t>
        </is>
      </c>
      <c r="F4757" t="inlineStr">
        <is>
          <t>Two Government of Canada project events</t>
        </is>
      </c>
      <c r="G4757" t="inlineStr">
        <is>
          <t>Deux évènements liés à des projets du gouvernement du Canada</t>
        </is>
      </c>
      <c r="H4757" s="1" t="n">
        <v>43566</v>
      </c>
      <c r="I4757" s="1" t="n">
        <v>43566</v>
      </c>
      <c r="J4757" t="inlineStr">
        <is>
          <t>Holyrood and Carbonear, Newfoundland and Labrador</t>
        </is>
      </c>
      <c r="K4757" t="inlineStr">
        <is>
          <t>Holyrood et Carbonear (Terre-Neuve-et-Labrador)</t>
        </is>
      </c>
      <c r="P4757" t="n">
        <v>0</v>
      </c>
      <c r="Q4757" t="n">
        <v>0</v>
      </c>
      <c r="R4757" t="n">
        <v>0</v>
      </c>
      <c r="S4757" t="n">
        <v>20.1</v>
      </c>
      <c r="T4757" t="n">
        <v>0</v>
      </c>
      <c r="U4757" t="n">
        <v>20.1</v>
      </c>
      <c r="X4757" t="inlineStr">
        <is>
          <t>acoa-apeca</t>
        </is>
      </c>
      <c r="Y4757" t="inlineStr">
        <is>
          <t>Atlantic Canada Opportunities Agency | Agence de promotion économique du Canada atlantique</t>
        </is>
      </c>
      <c r="Z4757" t="n">
        <v>1</v>
      </c>
      <c r="AA4757" t="n">
        <v>20.1</v>
      </c>
      <c r="AB4757">
        <f>ROUND(U4757-AA4757,2)</f>
        <v/>
      </c>
      <c r="AC4757" t="b">
        <v>0</v>
      </c>
      <c r="AD4757">
        <f>IF(U4757="","MISSING_TOTAL",IF(ABS(AB4757)&lt;=0.01,"OK","CHECK"))</f>
        <v/>
      </c>
      <c r="AE4757">
        <f>IF(U4757="","MISSING",IF(AND(AA4757&gt;0,U4757/AA4757&gt;50),"POSSIBLE_SCALE_ERROR","OK"))</f>
        <v/>
      </c>
    </row>
    <row r="4758">
      <c r="A4758" t="inlineStr">
        <is>
          <t>T-2020-Q1-00024</t>
        </is>
      </c>
      <c r="B4758" t="inlineStr">
        <is>
          <t>SLE</t>
        </is>
      </c>
      <c r="C4758" t="inlineStr">
        <is>
          <t>Vice-President, Prince Edward Island</t>
        </is>
      </c>
      <c r="D4758" t="inlineStr">
        <is>
          <t>Vice-président, Île-du-Prince-Édouard</t>
        </is>
      </c>
      <c r="E4758" t="inlineStr">
        <is>
          <t>Patrick Dorsey</t>
        </is>
      </c>
      <c r="F4758" t="inlineStr">
        <is>
          <t>Meeting with various government officials</t>
        </is>
      </c>
      <c r="G4758" t="inlineStr">
        <is>
          <t>Réunion avec divers fonctionnaires</t>
        </is>
      </c>
      <c r="H4758" s="1" t="n">
        <v>43564</v>
      </c>
      <c r="I4758" s="1" t="n">
        <v>43565</v>
      </c>
      <c r="J4758" t="inlineStr">
        <is>
          <t>Halifax, Nova Scotia</t>
        </is>
      </c>
      <c r="K4758" t="inlineStr">
        <is>
          <t>Halifax (Nouvelle-Écosse)</t>
        </is>
      </c>
      <c r="P4758" t="n">
        <v>0</v>
      </c>
      <c r="Q4758" t="n">
        <v>86.5</v>
      </c>
      <c r="R4758" t="n">
        <v>167.74</v>
      </c>
      <c r="S4758" t="n">
        <v>176.5</v>
      </c>
      <c r="T4758" t="n">
        <v>0</v>
      </c>
      <c r="U4758" t="n">
        <v>430.74</v>
      </c>
      <c r="X4758" t="inlineStr">
        <is>
          <t>acoa-apeca</t>
        </is>
      </c>
      <c r="Y4758" t="inlineStr">
        <is>
          <t>Atlantic Canada Opportunities Agency | Agence de promotion économique du Canada atlantique</t>
        </is>
      </c>
      <c r="Z4758" t="n">
        <v>2</v>
      </c>
      <c r="AA4758" t="n">
        <v>430.74</v>
      </c>
      <c r="AB4758">
        <f>ROUND(U4758-AA4758,2)</f>
        <v/>
      </c>
      <c r="AC4758" t="b">
        <v>0</v>
      </c>
      <c r="AD4758">
        <f>IF(U4758="","MISSING_TOTAL",IF(ABS(AB4758)&lt;=0.01,"OK","CHECK"))</f>
        <v/>
      </c>
      <c r="AE4758">
        <f>IF(U4758="","MISSING",IF(AND(AA4758&gt;0,U4758/AA4758&gt;50),"POSSIBLE_SCALE_ERROR","OK"))</f>
        <v/>
      </c>
    </row>
    <row r="4759">
      <c r="A4759" t="inlineStr">
        <is>
          <t>T-2020-Q1-00023</t>
        </is>
      </c>
      <c r="B4759" t="inlineStr">
        <is>
          <t>SLE</t>
        </is>
      </c>
      <c r="C4759" t="inlineStr">
        <is>
          <t>Vice-President, Finance and Corporate Services</t>
        </is>
      </c>
      <c r="D4759" t="inlineStr">
        <is>
          <t>Vice-président, Finance et Services corporatifs</t>
        </is>
      </c>
      <c r="E4759" t="inlineStr">
        <is>
          <t>Stephane Lagace</t>
        </is>
      </c>
      <c r="F4759" t="inlineStr">
        <is>
          <t>Meeting with Government of Canada officials</t>
        </is>
      </c>
      <c r="G4759" t="inlineStr">
        <is>
          <t>Réunion avec des fonctionnaires du gouvernement du Canada</t>
        </is>
      </c>
      <c r="H4759" s="1" t="n">
        <v>43563</v>
      </c>
      <c r="I4759" s="1" t="n">
        <v>43563</v>
      </c>
      <c r="J4759" t="inlineStr">
        <is>
          <t>Halifax, Nova Scotia</t>
        </is>
      </c>
      <c r="K4759" t="inlineStr">
        <is>
          <t>Halifax (Nouvelle-Écosse)</t>
        </is>
      </c>
      <c r="P4759" t="n">
        <v>0</v>
      </c>
      <c r="Q4759" t="n">
        <v>0</v>
      </c>
      <c r="R4759" t="n">
        <v>0</v>
      </c>
      <c r="S4759" t="n">
        <v>70.75</v>
      </c>
      <c r="T4759" t="n">
        <v>14.4</v>
      </c>
      <c r="U4759" t="n">
        <v>85.15000000000001</v>
      </c>
      <c r="X4759" t="inlineStr">
        <is>
          <t>acoa-apeca</t>
        </is>
      </c>
      <c r="Y4759" t="inlineStr">
        <is>
          <t>Atlantic Canada Opportunities Agency | Agence de promotion économique du Canada atlantique</t>
        </is>
      </c>
      <c r="Z4759" t="n">
        <v>1</v>
      </c>
      <c r="AA4759" t="n">
        <v>85.15000000000001</v>
      </c>
      <c r="AB4759">
        <f>ROUND(U4759-AA4759,2)</f>
        <v/>
      </c>
      <c r="AC4759" t="b">
        <v>0</v>
      </c>
      <c r="AD4759">
        <f>IF(U4759="","MISSING_TOTAL",IF(ABS(AB4759)&lt;=0.01,"OK","CHECK"))</f>
        <v/>
      </c>
      <c r="AE4759">
        <f>IF(U4759="","MISSING",IF(AND(AA4759&gt;0,U4759/AA4759&gt;50),"POSSIBLE_SCALE_ERROR","OK"))</f>
        <v/>
      </c>
    </row>
    <row r="4760">
      <c r="A4760" t="inlineStr">
        <is>
          <t>T-2020-Q1-00022</t>
        </is>
      </c>
      <c r="B4760" t="inlineStr">
        <is>
          <t>SLE</t>
        </is>
      </c>
      <c r="C4760" t="inlineStr">
        <is>
          <t>President</t>
        </is>
      </c>
      <c r="D4760" t="inlineStr">
        <is>
          <t>Président</t>
        </is>
      </c>
      <c r="E4760" t="inlineStr">
        <is>
          <t>Francis McGuire</t>
        </is>
      </c>
      <c r="F4760" t="inlineStr">
        <is>
          <t>Meeting with a key stakeholder</t>
        </is>
      </c>
      <c r="G4760" t="inlineStr">
        <is>
          <t>Réunion avec un intervenant clé</t>
        </is>
      </c>
      <c r="H4760" s="1" t="n">
        <v>43565</v>
      </c>
      <c r="I4760" s="1" t="n">
        <v>43565</v>
      </c>
      <c r="J4760" t="inlineStr">
        <is>
          <t>Sussex, New Brunswick</t>
        </is>
      </c>
      <c r="K4760" t="inlineStr">
        <is>
          <t>Sussex (Nouveau-Brunswick)</t>
        </is>
      </c>
      <c r="P4760" t="n">
        <v>0</v>
      </c>
      <c r="Q4760" t="n">
        <v>87.55</v>
      </c>
      <c r="R4760" t="n">
        <v>0</v>
      </c>
      <c r="S4760" t="n">
        <v>50.65</v>
      </c>
      <c r="T4760" t="n">
        <v>0</v>
      </c>
      <c r="U4760" t="n">
        <v>138.2</v>
      </c>
      <c r="X4760" t="inlineStr">
        <is>
          <t>acoa-apeca</t>
        </is>
      </c>
      <c r="Y4760" t="inlineStr">
        <is>
          <t>Atlantic Canada Opportunities Agency | Agence de promotion économique du Canada atlantique</t>
        </is>
      </c>
      <c r="Z4760" t="n">
        <v>1</v>
      </c>
      <c r="AA4760" t="n">
        <v>138.2</v>
      </c>
      <c r="AB4760">
        <f>ROUND(U4760-AA4760,2)</f>
        <v/>
      </c>
      <c r="AC4760" t="b">
        <v>0</v>
      </c>
      <c r="AD4760">
        <f>IF(U4760="","MISSING_TOTAL",IF(ABS(AB4760)&lt;=0.01,"OK","CHECK"))</f>
        <v/>
      </c>
      <c r="AE4760">
        <f>IF(U4760="","MISSING",IF(AND(AA4760&gt;0,U4760/AA4760&gt;50),"POSSIBLE_SCALE_ERROR","OK"))</f>
        <v/>
      </c>
    </row>
    <row r="4761">
      <c r="A4761" t="inlineStr">
        <is>
          <t>T-2019-Q4-00041</t>
        </is>
      </c>
      <c r="B4761" t="inlineStr">
        <is>
          <t>SLE</t>
        </is>
      </c>
      <c r="C4761" t="inlineStr">
        <is>
          <t>Vice-President, New Brunswick</t>
        </is>
      </c>
      <c r="D4761" t="inlineStr">
        <is>
          <t>Vice-président, Nouveau-Brunswick</t>
        </is>
      </c>
      <c r="E4761" t="inlineStr">
        <is>
          <t>Kent Estabrooks</t>
        </is>
      </c>
      <c r="F4761" t="inlineStr">
        <is>
          <t>Sit on selection panel</t>
        </is>
      </c>
      <c r="G4761" t="inlineStr">
        <is>
          <t>Participer à un jury de sélection</t>
        </is>
      </c>
      <c r="H4761" s="1" t="n">
        <v>43487</v>
      </c>
      <c r="I4761" s="1" t="n">
        <v>43487</v>
      </c>
      <c r="J4761" t="inlineStr">
        <is>
          <t>Saint John, New Brunswick</t>
        </is>
      </c>
      <c r="K4761" t="inlineStr">
        <is>
          <t>Saint John (Nouveau-Brunswick)</t>
        </is>
      </c>
      <c r="P4761" t="n">
        <v>0</v>
      </c>
      <c r="Q4761" t="n">
        <v>3.5</v>
      </c>
      <c r="R4761" t="n">
        <v>0</v>
      </c>
      <c r="S4761" t="n">
        <v>19.85</v>
      </c>
      <c r="T4761" t="n">
        <v>0</v>
      </c>
      <c r="U4761" t="n">
        <v>23.35</v>
      </c>
      <c r="X4761" t="inlineStr">
        <is>
          <t>acoa-apeca</t>
        </is>
      </c>
      <c r="Y4761" t="inlineStr">
        <is>
          <t>Atlantic Canada Opportunities Agency | Agence de promotion économique du Canada atlantique</t>
        </is>
      </c>
      <c r="Z4761" t="n">
        <v>1</v>
      </c>
      <c r="AA4761" t="n">
        <v>23.35</v>
      </c>
      <c r="AB4761">
        <f>ROUND(U4761-AA4761,2)</f>
        <v/>
      </c>
      <c r="AC4761" t="b">
        <v>0</v>
      </c>
      <c r="AD4761">
        <f>IF(U4761="","MISSING_TOTAL",IF(ABS(AB4761)&lt;=0.01,"OK","CHECK"))</f>
        <v/>
      </c>
      <c r="AE4761">
        <f>IF(U4761="","MISSING",IF(AND(AA4761&gt;0,U4761/AA4761&gt;50),"POSSIBLE_SCALE_ERROR","OK"))</f>
        <v/>
      </c>
    </row>
    <row r="4762">
      <c r="A4762" t="inlineStr">
        <is>
          <t>T-2020-Q1-00021</t>
        </is>
      </c>
      <c r="B4762" t="inlineStr">
        <is>
          <t>SLE</t>
        </is>
      </c>
      <c r="C4762" t="inlineStr">
        <is>
          <t>Vice-President, Prince Edward Island</t>
        </is>
      </c>
      <c r="D4762" t="inlineStr">
        <is>
          <t>Vice-président, Île-du-Prince-Édouard</t>
        </is>
      </c>
      <c r="E4762" t="inlineStr">
        <is>
          <t>Patrick Dorsey</t>
        </is>
      </c>
      <c r="F4762" t="inlineStr">
        <is>
          <t>Meetings with stakeholders</t>
        </is>
      </c>
      <c r="G4762" t="inlineStr">
        <is>
          <t>Réunions avec des intervenants</t>
        </is>
      </c>
      <c r="H4762" s="1" t="n">
        <v>43556</v>
      </c>
      <c r="I4762" s="1" t="n">
        <v>43557</v>
      </c>
      <c r="J4762" t="inlineStr">
        <is>
          <t>Halifax, Nova Scotia</t>
        </is>
      </c>
      <c r="K4762" t="inlineStr">
        <is>
          <t>Halifax (Nouvelle-Écosse)</t>
        </is>
      </c>
      <c r="P4762" t="n">
        <v>0</v>
      </c>
      <c r="Q4762" t="n">
        <v>97.8</v>
      </c>
      <c r="R4762" t="n">
        <v>166.43</v>
      </c>
      <c r="S4762" t="n">
        <v>176.5</v>
      </c>
      <c r="T4762" t="n">
        <v>0</v>
      </c>
      <c r="U4762" t="n">
        <v>440.73</v>
      </c>
      <c r="X4762" t="inlineStr">
        <is>
          <t>acoa-apeca</t>
        </is>
      </c>
      <c r="Y4762" t="inlineStr">
        <is>
          <t>Atlantic Canada Opportunities Agency | Agence de promotion économique du Canada atlantique</t>
        </is>
      </c>
      <c r="Z4762" t="n">
        <v>2</v>
      </c>
      <c r="AA4762" t="n">
        <v>440.73</v>
      </c>
      <c r="AB4762">
        <f>ROUND(U4762-AA4762,2)</f>
        <v/>
      </c>
      <c r="AC4762" t="b">
        <v>0</v>
      </c>
      <c r="AD4762">
        <f>IF(U4762="","MISSING_TOTAL",IF(ABS(AB4762)&lt;=0.01,"OK","CHECK"))</f>
        <v/>
      </c>
      <c r="AE4762">
        <f>IF(U4762="","MISSING",IF(AND(AA4762&gt;0,U4762/AA4762&gt;50),"POSSIBLE_SCALE_ERROR","OK"))</f>
        <v/>
      </c>
    </row>
    <row r="4763">
      <c r="A4763" t="inlineStr">
        <is>
          <t>T-2020-Q1-00020</t>
        </is>
      </c>
      <c r="B4763" t="inlineStr">
        <is>
          <t>SLE</t>
        </is>
      </c>
      <c r="C4763" t="inlineStr">
        <is>
          <t>Vice-President, New Brunswick</t>
        </is>
      </c>
      <c r="D4763" t="inlineStr">
        <is>
          <t>Vice-président, Nouveau-Brunswick</t>
        </is>
      </c>
      <c r="E4763" t="inlineStr">
        <is>
          <t>Kent Estabrooks</t>
        </is>
      </c>
      <c r="F4763" t="inlineStr">
        <is>
          <t>Various meetings with Agency officials</t>
        </is>
      </c>
      <c r="G4763" t="inlineStr">
        <is>
          <t>Diverses réunions avec des fonctionnaires de l'Agence</t>
        </is>
      </c>
      <c r="H4763" s="1" t="n">
        <v>43551</v>
      </c>
      <c r="I4763" s="1" t="n">
        <v>43553</v>
      </c>
      <c r="J4763" t="inlineStr">
        <is>
          <t>Moncton, New Brunswick</t>
        </is>
      </c>
      <c r="K4763" t="inlineStr">
        <is>
          <t>Moncton (Nouveau-Brunswick)</t>
        </is>
      </c>
      <c r="P4763" t="n">
        <v>0</v>
      </c>
      <c r="Q4763" t="n">
        <v>34.5</v>
      </c>
      <c r="R4763" t="n">
        <v>322</v>
      </c>
      <c r="S4763" t="n">
        <v>171.75</v>
      </c>
      <c r="T4763" t="n">
        <v>0</v>
      </c>
      <c r="U4763" t="n">
        <v>528.25</v>
      </c>
      <c r="X4763" t="inlineStr">
        <is>
          <t>acoa-apeca</t>
        </is>
      </c>
      <c r="Y4763" t="inlineStr">
        <is>
          <t>Atlantic Canada Opportunities Agency | Agence de promotion économique du Canada atlantique</t>
        </is>
      </c>
      <c r="Z4763" t="n">
        <v>3</v>
      </c>
      <c r="AA4763" t="n">
        <v>528.25</v>
      </c>
      <c r="AB4763">
        <f>ROUND(U4763-AA4763,2)</f>
        <v/>
      </c>
      <c r="AC4763" t="b">
        <v>0</v>
      </c>
      <c r="AD4763">
        <f>IF(U4763="","MISSING_TOTAL",IF(ABS(AB4763)&lt;=0.01,"OK","CHECK"))</f>
        <v/>
      </c>
      <c r="AE4763">
        <f>IF(U4763="","MISSING",IF(AND(AA4763&gt;0,U4763/AA4763&gt;50),"POSSIBLE_SCALE_ERROR","OK"))</f>
        <v/>
      </c>
    </row>
    <row r="4764">
      <c r="A4764" t="inlineStr">
        <is>
          <t>T-2020-Q1-00019</t>
        </is>
      </c>
      <c r="B4764" t="inlineStr">
        <is>
          <t>SLE</t>
        </is>
      </c>
      <c r="C4764" t="inlineStr">
        <is>
          <t>President</t>
        </is>
      </c>
      <c r="D4764" t="inlineStr">
        <is>
          <t>Président</t>
        </is>
      </c>
      <c r="E4764" t="inlineStr">
        <is>
          <t>Francis McGuire</t>
        </is>
      </c>
      <c r="F4764" t="inlineStr">
        <is>
          <t>Various meetings with Agency officials and key stakeholders</t>
        </is>
      </c>
      <c r="G4764" t="inlineStr">
        <is>
          <t>Diverses réunions avec des fonctionnaires de l'Agence et des intervenants clés</t>
        </is>
      </c>
      <c r="H4764" s="1" t="n">
        <v>43558</v>
      </c>
      <c r="I4764" s="1" t="n">
        <v>43559</v>
      </c>
      <c r="J4764" t="inlineStr">
        <is>
          <t>Saint John, New Brunswick</t>
        </is>
      </c>
      <c r="K4764" t="inlineStr">
        <is>
          <t>Saint John (Nouveau-Brunswick)</t>
        </is>
      </c>
      <c r="P4764" t="n">
        <v>0</v>
      </c>
      <c r="Q4764" t="n">
        <v>160.17</v>
      </c>
      <c r="R4764" t="n">
        <v>136.22</v>
      </c>
      <c r="S4764" t="n">
        <v>105.35</v>
      </c>
      <c r="T4764" t="n">
        <v>15</v>
      </c>
      <c r="U4764" t="n">
        <v>416.74</v>
      </c>
      <c r="X4764" t="inlineStr">
        <is>
          <t>acoa-apeca</t>
        </is>
      </c>
      <c r="Y4764" t="inlineStr">
        <is>
          <t>Atlantic Canada Opportunities Agency | Agence de promotion économique du Canada atlantique</t>
        </is>
      </c>
      <c r="Z4764" t="n">
        <v>2</v>
      </c>
      <c r="AA4764" t="n">
        <v>416.74</v>
      </c>
      <c r="AB4764">
        <f>ROUND(U4764-AA4764,2)</f>
        <v/>
      </c>
      <c r="AC4764" t="b">
        <v>0</v>
      </c>
      <c r="AD4764">
        <f>IF(U4764="","MISSING_TOTAL",IF(ABS(AB4764)&lt;=0.01,"OK","CHECK"))</f>
        <v/>
      </c>
      <c r="AE4764">
        <f>IF(U4764="","MISSING",IF(AND(AA4764&gt;0,U4764/AA4764&gt;50),"POSSIBLE_SCALE_ERROR","OK"))</f>
        <v/>
      </c>
    </row>
    <row r="4765">
      <c r="A4765" t="inlineStr">
        <is>
          <t>T-2020-Q1-00018</t>
        </is>
      </c>
      <c r="B4765" t="inlineStr">
        <is>
          <t>SLE</t>
        </is>
      </c>
      <c r="C4765" t="inlineStr">
        <is>
          <t>President</t>
        </is>
      </c>
      <c r="D4765" t="inlineStr">
        <is>
          <t>Président</t>
        </is>
      </c>
      <c r="E4765" t="inlineStr">
        <is>
          <t>Francis McGuire</t>
        </is>
      </c>
      <c r="F4765" t="inlineStr">
        <is>
          <t>Meetings with Government of Canada officials and key stakeholders</t>
        </is>
      </c>
      <c r="G4765" t="inlineStr">
        <is>
          <t>Réunions avec des fonctionnaires du gouvernement du Canada et des intervenants clés</t>
        </is>
      </c>
      <c r="H4765" s="1" t="n">
        <v>43555</v>
      </c>
      <c r="I4765" s="1" t="n">
        <v>43556</v>
      </c>
      <c r="J4765" t="inlineStr">
        <is>
          <t>Halifax, Nova Scotia</t>
        </is>
      </c>
      <c r="K4765" t="inlineStr">
        <is>
          <t>Halifax (Nouvelle-Écosse)</t>
        </is>
      </c>
      <c r="P4765" t="n">
        <v>0</v>
      </c>
      <c r="Q4765" t="n">
        <v>282.03</v>
      </c>
      <c r="R4765" t="n">
        <v>163.05</v>
      </c>
      <c r="S4765" t="n">
        <v>105.1</v>
      </c>
      <c r="T4765" t="n">
        <v>36.8</v>
      </c>
      <c r="U4765" t="n">
        <v>586.98</v>
      </c>
      <c r="X4765" t="inlineStr">
        <is>
          <t>acoa-apeca</t>
        </is>
      </c>
      <c r="Y4765" t="inlineStr">
        <is>
          <t>Atlantic Canada Opportunities Agency | Agence de promotion économique du Canada atlantique</t>
        </is>
      </c>
      <c r="Z4765" t="n">
        <v>2</v>
      </c>
      <c r="AA4765" t="n">
        <v>586.979999999999</v>
      </c>
      <c r="AB4765">
        <f>ROUND(U4765-AA4765,2)</f>
        <v/>
      </c>
      <c r="AC4765" t="b">
        <v>0</v>
      </c>
      <c r="AD4765">
        <f>IF(U4765="","MISSING_TOTAL",IF(ABS(AB4765)&lt;=0.01,"OK","CHECK"))</f>
        <v/>
      </c>
      <c r="AE4765">
        <f>IF(U4765="","MISSING",IF(AND(AA4765&gt;0,U4765/AA4765&gt;50),"POSSIBLE_SCALE_ERROR","OK"))</f>
        <v/>
      </c>
    </row>
    <row r="4766">
      <c r="A4766" t="inlineStr">
        <is>
          <t>T-2020-Q1-00017</t>
        </is>
      </c>
      <c r="B4766" t="inlineStr">
        <is>
          <t>SLE</t>
        </is>
      </c>
      <c r="C4766" t="inlineStr">
        <is>
          <t>Vice-President, Prince Edward Island</t>
        </is>
      </c>
      <c r="D4766" t="inlineStr">
        <is>
          <t>Vice-président, Île-du-Prince-Édouard</t>
        </is>
      </c>
      <c r="E4766" t="inlineStr">
        <is>
          <t>Patrick Dorsey</t>
        </is>
      </c>
      <c r="F4766" t="inlineStr">
        <is>
          <t>Food and Drink Conference</t>
        </is>
      </c>
      <c r="G4766" t="inlineStr">
        <is>
          <t>Conférence sur les aliments et les boissons</t>
        </is>
      </c>
      <c r="H4766" s="1" t="n">
        <v>43550</v>
      </c>
      <c r="I4766" s="1" t="n">
        <v>43552</v>
      </c>
      <c r="J4766" t="inlineStr">
        <is>
          <t>Toronto, Ontario</t>
        </is>
      </c>
      <c r="K4766" t="inlineStr">
        <is>
          <t>Toronto (Ontario)</t>
        </is>
      </c>
      <c r="P4766" t="n">
        <v>964.6</v>
      </c>
      <c r="Q4766" t="n">
        <v>69.7</v>
      </c>
      <c r="R4766" t="n">
        <v>514.74</v>
      </c>
      <c r="S4766" t="n">
        <v>301.95</v>
      </c>
      <c r="T4766" t="n">
        <v>5.49</v>
      </c>
      <c r="U4766" t="n">
        <v>1856.48</v>
      </c>
      <c r="X4766" t="inlineStr">
        <is>
          <t>acoa-apeca</t>
        </is>
      </c>
      <c r="Y4766" t="inlineStr">
        <is>
          <t>Atlantic Canada Opportunities Agency | Agence de promotion économique du Canada atlantique</t>
        </is>
      </c>
      <c r="Z4766" t="n">
        <v>3</v>
      </c>
      <c r="AA4766" t="n">
        <v>1856.48</v>
      </c>
      <c r="AB4766">
        <f>ROUND(U4766-AA4766,2)</f>
        <v/>
      </c>
      <c r="AC4766" t="b">
        <v>0</v>
      </c>
      <c r="AD4766">
        <f>IF(U4766="","MISSING_TOTAL",IF(ABS(AB4766)&lt;=0.01,"OK","CHECK"))</f>
        <v/>
      </c>
      <c r="AE4766">
        <f>IF(U4766="","MISSING",IF(AND(AA4766&gt;0,U4766/AA4766&gt;50),"POSSIBLE_SCALE_ERROR","OK"))</f>
        <v/>
      </c>
    </row>
    <row r="4767">
      <c r="A4767" t="inlineStr">
        <is>
          <t>T-2020-Q1-00016</t>
        </is>
      </c>
      <c r="B4767" t="inlineStr">
        <is>
          <t>SLE</t>
        </is>
      </c>
      <c r="C4767" t="inlineStr">
        <is>
          <t>Vice-President, New Brunswick</t>
        </is>
      </c>
      <c r="D4767" t="inlineStr">
        <is>
          <t>Vice-président, Nouveau-Brunswick</t>
        </is>
      </c>
      <c r="E4767" t="inlineStr">
        <is>
          <t>Kent Estabrooks</t>
        </is>
      </c>
      <c r="F4767" t="inlineStr">
        <is>
          <t>Meetings with Agency officials</t>
        </is>
      </c>
      <c r="G4767" t="inlineStr">
        <is>
          <t>Réunions avec des fonctionnaires de l'Agence</t>
        </is>
      </c>
      <c r="H4767" s="1" t="n">
        <v>43537</v>
      </c>
      <c r="I4767" s="1" t="n">
        <v>43537</v>
      </c>
      <c r="J4767" t="inlineStr">
        <is>
          <t>Halifax, Nova Scotia</t>
        </is>
      </c>
      <c r="K4767" t="inlineStr">
        <is>
          <t>Halifax (Nouvelle-Écosse)</t>
        </is>
      </c>
      <c r="P4767" t="n">
        <v>726.8</v>
      </c>
      <c r="Q4767" t="n">
        <v>200.6</v>
      </c>
      <c r="R4767" t="n">
        <v>0</v>
      </c>
      <c r="S4767" t="n">
        <v>69.84999999999999</v>
      </c>
      <c r="T4767" t="n">
        <v>0</v>
      </c>
      <c r="U4767" t="n">
        <v>997.25</v>
      </c>
      <c r="X4767" t="inlineStr">
        <is>
          <t>acoa-apeca</t>
        </is>
      </c>
      <c r="Y4767" t="inlineStr">
        <is>
          <t>Atlantic Canada Opportunities Agency | Agence de promotion économique du Canada atlantique</t>
        </is>
      </c>
      <c r="Z4767" t="n">
        <v>1</v>
      </c>
      <c r="AA4767" t="n">
        <v>997.25</v>
      </c>
      <c r="AB4767">
        <f>ROUND(U4767-AA4767,2)</f>
        <v/>
      </c>
      <c r="AC4767" t="b">
        <v>0</v>
      </c>
      <c r="AD4767">
        <f>IF(U4767="","MISSING_TOTAL",IF(ABS(AB4767)&lt;=0.01,"OK","CHECK"))</f>
        <v/>
      </c>
      <c r="AE4767">
        <f>IF(U4767="","MISSING",IF(AND(AA4767&gt;0,U4767/AA4767&gt;50),"POSSIBLE_SCALE_ERROR","OK"))</f>
        <v/>
      </c>
    </row>
    <row r="4768">
      <c r="A4768" t="inlineStr">
        <is>
          <t>T-2020-Q1-00015</t>
        </is>
      </c>
      <c r="B4768" t="inlineStr">
        <is>
          <t>SLE</t>
        </is>
      </c>
      <c r="C4768" t="inlineStr">
        <is>
          <t>Vice-President, New Brunswick</t>
        </is>
      </c>
      <c r="D4768" t="inlineStr">
        <is>
          <t>Vice-président, Nouveau-Brunswick</t>
        </is>
      </c>
      <c r="E4768" t="inlineStr">
        <is>
          <t>Kent Estabrooks</t>
        </is>
      </c>
      <c r="F4768" t="inlineStr">
        <is>
          <t>Meetings with various federal officials</t>
        </is>
      </c>
      <c r="G4768" t="inlineStr">
        <is>
          <t>Réunions avec divers fonctionnaires fédéraux</t>
        </is>
      </c>
      <c r="H4768" s="1" t="n">
        <v>43542</v>
      </c>
      <c r="I4768" s="1" t="n">
        <v>43545</v>
      </c>
      <c r="J4768" t="inlineStr">
        <is>
          <t>Ottawa, Ontario</t>
        </is>
      </c>
      <c r="K4768" t="inlineStr">
        <is>
          <t>Ottawa (Ontario)</t>
        </is>
      </c>
      <c r="P4768" t="n">
        <v>1204.2</v>
      </c>
      <c r="Q4768" t="n">
        <v>175.02</v>
      </c>
      <c r="R4768" t="n">
        <v>488.88</v>
      </c>
      <c r="S4768" t="n">
        <v>191.6</v>
      </c>
      <c r="T4768" t="n">
        <v>0</v>
      </c>
      <c r="U4768" t="n">
        <v>2059.7</v>
      </c>
      <c r="X4768" t="inlineStr">
        <is>
          <t>acoa-apeca</t>
        </is>
      </c>
      <c r="Y4768" t="inlineStr">
        <is>
          <t>Atlantic Canada Opportunities Agency | Agence de promotion économique du Canada atlantique</t>
        </is>
      </c>
      <c r="Z4768" t="n">
        <v>4</v>
      </c>
      <c r="AA4768" t="n">
        <v>2059.7</v>
      </c>
      <c r="AB4768">
        <f>ROUND(U4768-AA4768,2)</f>
        <v/>
      </c>
      <c r="AC4768" t="b">
        <v>0</v>
      </c>
      <c r="AD4768">
        <f>IF(U4768="","MISSING_TOTAL",IF(ABS(AB4768)&lt;=0.01,"OK","CHECK"))</f>
        <v/>
      </c>
      <c r="AE4768">
        <f>IF(U4768="","MISSING",IF(AND(AA4768&gt;0,U4768/AA4768&gt;50),"POSSIBLE_SCALE_ERROR","OK"))</f>
        <v/>
      </c>
    </row>
    <row r="4769">
      <c r="A4769" t="inlineStr">
        <is>
          <t>T-2020-Q1-00014</t>
        </is>
      </c>
      <c r="B4769" t="inlineStr">
        <is>
          <t>SLE</t>
        </is>
      </c>
      <c r="C4769" t="inlineStr">
        <is>
          <t>Vice-President, New Brunswick</t>
        </is>
      </c>
      <c r="D4769" t="inlineStr">
        <is>
          <t>Vice-président, Nouveau-Brunswick</t>
        </is>
      </c>
      <c r="E4769" t="inlineStr">
        <is>
          <t>Kent Estabrooks</t>
        </is>
      </c>
      <c r="F4769" t="inlineStr">
        <is>
          <t>Meetings with various federal officials</t>
        </is>
      </c>
      <c r="G4769" t="inlineStr">
        <is>
          <t>Réunions avec divers fonctionnaires fédéraux</t>
        </is>
      </c>
      <c r="H4769" s="1" t="n">
        <v>43549</v>
      </c>
      <c r="I4769" s="1" t="n">
        <v>43549</v>
      </c>
      <c r="J4769" t="inlineStr">
        <is>
          <t>Ottawa, Ontario</t>
        </is>
      </c>
      <c r="K4769" t="inlineStr">
        <is>
          <t>Ottawa (Ontario)</t>
        </is>
      </c>
      <c r="P4769" t="n">
        <v>726.8</v>
      </c>
      <c r="Q4769" t="n">
        <v>96</v>
      </c>
      <c r="R4769" t="n">
        <v>222.11</v>
      </c>
      <c r="S4769" t="n">
        <v>104.45</v>
      </c>
      <c r="T4769" t="n">
        <v>14.98</v>
      </c>
      <c r="U4769" t="n">
        <v>1164.34</v>
      </c>
      <c r="X4769" t="inlineStr">
        <is>
          <t>acoa-apeca</t>
        </is>
      </c>
      <c r="Y4769" t="inlineStr">
        <is>
          <t>Atlantic Canada Opportunities Agency | Agence de promotion économique du Canada atlantique</t>
        </is>
      </c>
      <c r="Z4769" t="n">
        <v>1</v>
      </c>
      <c r="AA4769" t="n">
        <v>1164.34</v>
      </c>
      <c r="AB4769">
        <f>ROUND(U4769-AA4769,2)</f>
        <v/>
      </c>
      <c r="AC4769" t="b">
        <v>0</v>
      </c>
      <c r="AD4769">
        <f>IF(U4769="","MISSING_TOTAL",IF(ABS(AB4769)&lt;=0.01,"OK","CHECK"))</f>
        <v/>
      </c>
      <c r="AE4769">
        <f>IF(U4769="","MISSING",IF(AND(AA4769&gt;0,U4769/AA4769&gt;50),"POSSIBLE_SCALE_ERROR","OK"))</f>
        <v/>
      </c>
    </row>
    <row r="4770">
      <c r="A4770" t="inlineStr">
        <is>
          <t>T-2020-Q1-00013</t>
        </is>
      </c>
      <c r="B4770" t="inlineStr">
        <is>
          <t>SLE</t>
        </is>
      </c>
      <c r="C4770" t="inlineStr">
        <is>
          <t>Vice-President, Newfoundland and Labrador</t>
        </is>
      </c>
      <c r="D4770" t="inlineStr">
        <is>
          <t>Vice-président, Terre-Neuve-et-Labrador</t>
        </is>
      </c>
      <c r="E4770" t="inlineStr">
        <is>
          <t>Ken Martin</t>
        </is>
      </c>
      <c r="F4770" t="inlineStr">
        <is>
          <t>Forward Agenda Session</t>
        </is>
      </c>
      <c r="G4770" t="inlineStr">
        <is>
          <t>Séance de planification à long terme</t>
        </is>
      </c>
      <c r="H4770" s="1" t="n">
        <v>43558</v>
      </c>
      <c r="I4770" s="1" t="n">
        <v>43558</v>
      </c>
      <c r="J4770" t="inlineStr">
        <is>
          <t>Chapel's Cove, Newfoundland and Labrador</t>
        </is>
      </c>
      <c r="K4770" t="inlineStr">
        <is>
          <t>Chapel's Cove (Terre-Neuve-et-Labrador)</t>
        </is>
      </c>
      <c r="P4770" t="n">
        <v>0</v>
      </c>
      <c r="Q4770" t="n">
        <v>79.52</v>
      </c>
      <c r="R4770" t="n">
        <v>0</v>
      </c>
      <c r="S4770" t="n">
        <v>20.1</v>
      </c>
      <c r="T4770" t="n">
        <v>0</v>
      </c>
      <c r="U4770" t="n">
        <v>99.62</v>
      </c>
      <c r="X4770" t="inlineStr">
        <is>
          <t>acoa-apeca</t>
        </is>
      </c>
      <c r="Y4770" t="inlineStr">
        <is>
          <t>Atlantic Canada Opportunities Agency | Agence de promotion économique du Canada atlantique</t>
        </is>
      </c>
      <c r="Z4770" t="n">
        <v>1</v>
      </c>
      <c r="AA4770" t="n">
        <v>99.62</v>
      </c>
      <c r="AB4770">
        <f>ROUND(U4770-AA4770,2)</f>
        <v/>
      </c>
      <c r="AC4770" t="b">
        <v>0</v>
      </c>
      <c r="AD4770">
        <f>IF(U4770="","MISSING_TOTAL",IF(ABS(AB4770)&lt;=0.01,"OK","CHECK"))</f>
        <v/>
      </c>
      <c r="AE4770">
        <f>IF(U4770="","MISSING",IF(AND(AA4770&gt;0,U4770/AA4770&gt;50),"POSSIBLE_SCALE_ERROR","OK"))</f>
        <v/>
      </c>
    </row>
    <row r="4771">
      <c r="A4771" t="inlineStr">
        <is>
          <t>T-2020-Q1-00012</t>
        </is>
      </c>
      <c r="B4771" t="inlineStr">
        <is>
          <t>SLE</t>
        </is>
      </c>
      <c r="C4771" t="inlineStr">
        <is>
          <t>Vice-President, Newfoundland and Labrador</t>
        </is>
      </c>
      <c r="D4771" t="inlineStr">
        <is>
          <t>Vice-président, Terre-Neuve-et-Labrador</t>
        </is>
      </c>
      <c r="E4771" t="inlineStr">
        <is>
          <t>Ken Martin</t>
        </is>
      </c>
      <c r="F4771" t="inlineStr">
        <is>
          <t>Ocean Supercluster collaboration event in Halifax and Executive Committee meeting in Moncton</t>
        </is>
      </c>
      <c r="G4771" t="inlineStr">
        <is>
          <t>Évènement sur la supergrappe de l’économie océanique à Halifax et réunion du Comité de direction à Moncton</t>
        </is>
      </c>
      <c r="H4771" s="1" t="n">
        <v>43549</v>
      </c>
      <c r="I4771" s="1" t="n">
        <v>43552</v>
      </c>
      <c r="J4771" t="inlineStr">
        <is>
          <t>Halifax, Nova Scotia and Moncton, New Brunswick</t>
        </is>
      </c>
      <c r="K4771" t="inlineStr">
        <is>
          <t>Halifax (Nouvelle-Écosse) et Moncton (Nouveau-Brunswick)</t>
        </is>
      </c>
      <c r="P4771" t="n">
        <v>759.52</v>
      </c>
      <c r="Q4771" t="n">
        <v>135.67</v>
      </c>
      <c r="R4771" t="n">
        <v>552.78</v>
      </c>
      <c r="S4771" t="n">
        <v>299.8</v>
      </c>
      <c r="T4771" t="n">
        <v>109</v>
      </c>
      <c r="U4771" t="n">
        <v>1856.77</v>
      </c>
      <c r="X4771" t="inlineStr">
        <is>
          <t>acoa-apeca</t>
        </is>
      </c>
      <c r="Y4771" t="inlineStr">
        <is>
          <t>Atlantic Canada Opportunities Agency | Agence de promotion économique du Canada atlantique</t>
        </is>
      </c>
      <c r="Z4771" t="n">
        <v>4</v>
      </c>
      <c r="AA4771" t="n">
        <v>1856.76999999999</v>
      </c>
      <c r="AB4771">
        <f>ROUND(U4771-AA4771,2)</f>
        <v/>
      </c>
      <c r="AC4771" t="b">
        <v>0</v>
      </c>
      <c r="AD4771">
        <f>IF(U4771="","MISSING_TOTAL",IF(ABS(AB4771)&lt;=0.01,"OK","CHECK"))</f>
        <v/>
      </c>
      <c r="AE4771">
        <f>IF(U4771="","MISSING",IF(AND(AA4771&gt;0,U4771/AA4771&gt;50),"POSSIBLE_SCALE_ERROR","OK"))</f>
        <v/>
      </c>
    </row>
    <row r="4772">
      <c r="A4772" t="inlineStr">
        <is>
          <t>T-2020-Q1-00011</t>
        </is>
      </c>
      <c r="B4772" t="inlineStr">
        <is>
          <t>SLE</t>
        </is>
      </c>
      <c r="C4772" t="inlineStr">
        <is>
          <t>Senior Advisor (Energy)</t>
        </is>
      </c>
      <c r="D4772" t="inlineStr">
        <is>
          <t>Conseiller spécial (energie)</t>
        </is>
      </c>
      <c r="E4772" t="inlineStr">
        <is>
          <t>Andrew F. Noseworthy</t>
        </is>
      </c>
      <c r="F4772" t="inlineStr">
        <is>
          <t>Attend the Institute of Corporate Directors - Directors Education Program, Module IV</t>
        </is>
      </c>
      <c r="G4772" t="inlineStr">
        <is>
          <t>Suivre le module IV du Programme de perfectionnement des administrateurs de l'Institut des administrateurs de sociétés</t>
        </is>
      </c>
      <c r="H4772" s="1" t="n">
        <v>43552</v>
      </c>
      <c r="I4772" s="1" t="n">
        <v>43555</v>
      </c>
      <c r="J4772" t="inlineStr">
        <is>
          <t>Toronto, Ontario</t>
        </is>
      </c>
      <c r="K4772" t="inlineStr">
        <is>
          <t>Toronto (Ontario)</t>
        </is>
      </c>
      <c r="P4772" t="n">
        <v>704.74</v>
      </c>
      <c r="Q4772" t="n">
        <v>258</v>
      </c>
      <c r="R4772" t="n">
        <v>701.58</v>
      </c>
      <c r="S4772" t="n">
        <v>219.2</v>
      </c>
      <c r="T4772" t="n">
        <v>76.25</v>
      </c>
      <c r="U4772" t="n">
        <v>1959.77</v>
      </c>
      <c r="X4772" t="inlineStr">
        <is>
          <t>acoa-apeca</t>
        </is>
      </c>
      <c r="Y4772" t="inlineStr">
        <is>
          <t>Atlantic Canada Opportunities Agency | Agence de promotion économique du Canada atlantique</t>
        </is>
      </c>
      <c r="Z4772" t="n">
        <v>4</v>
      </c>
      <c r="AA4772" t="n">
        <v>1959.77</v>
      </c>
      <c r="AB4772">
        <f>ROUND(U4772-AA4772,2)</f>
        <v/>
      </c>
      <c r="AC4772" t="b">
        <v>0</v>
      </c>
      <c r="AD4772">
        <f>IF(U4772="","MISSING_TOTAL",IF(ABS(AB4772)&lt;=0.01,"OK","CHECK"))</f>
        <v/>
      </c>
      <c r="AE4772">
        <f>IF(U4772="","MISSING",IF(AND(AA4772&gt;0,U4772/AA4772&gt;50),"POSSIBLE_SCALE_ERROR","OK"))</f>
        <v/>
      </c>
    </row>
    <row r="4773">
      <c r="A4773" t="inlineStr">
        <is>
          <t>T-2020-Q1-00010</t>
        </is>
      </c>
      <c r="B4773" t="inlineStr">
        <is>
          <t>SLE</t>
        </is>
      </c>
      <c r="C4773" t="inlineStr">
        <is>
          <t>Vice-President, Finance and Corporate Services</t>
        </is>
      </c>
      <c r="D4773" t="inlineStr">
        <is>
          <t>Vice-président, Finance et Services corporatifs</t>
        </is>
      </c>
      <c r="E4773" t="inlineStr">
        <is>
          <t>Stephane Lagace</t>
        </is>
      </c>
      <c r="F4773" t="inlineStr">
        <is>
          <t>Various meetings with Government of Canada officials</t>
        </is>
      </c>
      <c r="G4773" t="inlineStr">
        <is>
          <t>Diverses réunions avec des fonctionnaires du gouvernement du Canada</t>
        </is>
      </c>
      <c r="H4773" s="1" t="n">
        <v>43549</v>
      </c>
      <c r="I4773" s="1" t="n">
        <v>43551</v>
      </c>
      <c r="J4773" t="inlineStr">
        <is>
          <t>Ottawa, Ontario</t>
        </is>
      </c>
      <c r="K4773" t="inlineStr">
        <is>
          <t>Ottawa (Ontario)</t>
        </is>
      </c>
      <c r="P4773" t="n">
        <v>906.83</v>
      </c>
      <c r="Q4773" t="n">
        <v>93.73999999999999</v>
      </c>
      <c r="R4773" t="n">
        <v>411.32</v>
      </c>
      <c r="S4773" t="n">
        <v>262.25</v>
      </c>
      <c r="T4773" t="n">
        <v>48</v>
      </c>
      <c r="U4773" t="n">
        <v>1722.14</v>
      </c>
      <c r="X4773" t="inlineStr">
        <is>
          <t>acoa-apeca</t>
        </is>
      </c>
      <c r="Y4773" t="inlineStr">
        <is>
          <t>Atlantic Canada Opportunities Agency | Agence de promotion économique du Canada atlantique</t>
        </is>
      </c>
      <c r="Z4773" t="n">
        <v>3</v>
      </c>
      <c r="AA4773" t="n">
        <v>1722.14</v>
      </c>
      <c r="AB4773">
        <f>ROUND(U4773-AA4773,2)</f>
        <v/>
      </c>
      <c r="AC4773" t="b">
        <v>0</v>
      </c>
      <c r="AD4773">
        <f>IF(U4773="","MISSING_TOTAL",IF(ABS(AB4773)&lt;=0.01,"OK","CHECK"))</f>
        <v/>
      </c>
      <c r="AE4773">
        <f>IF(U4773="","MISSING",IF(AND(AA4773&gt;0,U4773/AA4773&gt;50),"POSSIBLE_SCALE_ERROR","OK"))</f>
        <v/>
      </c>
    </row>
    <row r="4774">
      <c r="A4774" t="inlineStr">
        <is>
          <t>T-2020-Q1-00009</t>
        </is>
      </c>
      <c r="B4774" t="inlineStr">
        <is>
          <t>SLE</t>
        </is>
      </c>
      <c r="C4774" t="inlineStr">
        <is>
          <t>President</t>
        </is>
      </c>
      <c r="D4774" t="inlineStr">
        <is>
          <t>Président</t>
        </is>
      </c>
      <c r="E4774" t="inlineStr">
        <is>
          <t>Francis McGuire</t>
        </is>
      </c>
      <c r="F4774" t="inlineStr">
        <is>
          <t>Various meetings with Agency officials and Government of Canada officials</t>
        </is>
      </c>
      <c r="G4774" t="inlineStr">
        <is>
          <t>Diverses réunions avec des fonctionnaires de l'Agence et du gouvernement du Canada</t>
        </is>
      </c>
      <c r="H4774" s="1" t="n">
        <v>43542</v>
      </c>
      <c r="I4774" s="1" t="n">
        <v>43546</v>
      </c>
      <c r="J4774" t="inlineStr">
        <is>
          <t>Ottawa, Ontario</t>
        </is>
      </c>
      <c r="K4774" t="inlineStr">
        <is>
          <t>Ottawa (Ontario)</t>
        </is>
      </c>
      <c r="P4774" t="n">
        <v>832.63</v>
      </c>
      <c r="Q4774" t="n">
        <v>14.98</v>
      </c>
      <c r="R4774" t="n">
        <v>972.76</v>
      </c>
      <c r="S4774" t="n">
        <v>396.5</v>
      </c>
      <c r="T4774" t="n">
        <v>58</v>
      </c>
      <c r="U4774" t="n">
        <v>2274.87</v>
      </c>
      <c r="X4774" t="inlineStr">
        <is>
          <t>acoa-apeca</t>
        </is>
      </c>
      <c r="Y4774" t="inlineStr">
        <is>
          <t>Atlantic Canada Opportunities Agency | Agence de promotion économique du Canada atlantique</t>
        </is>
      </c>
      <c r="Z4774" t="n">
        <v>5</v>
      </c>
      <c r="AA4774" t="n">
        <v>2274.87</v>
      </c>
      <c r="AB4774">
        <f>ROUND(U4774-AA4774,2)</f>
        <v/>
      </c>
      <c r="AC4774" t="b">
        <v>0</v>
      </c>
      <c r="AD4774">
        <f>IF(U4774="","MISSING_TOTAL",IF(ABS(AB4774)&lt;=0.01,"OK","CHECK"))</f>
        <v/>
      </c>
      <c r="AE4774">
        <f>IF(U4774="","MISSING",IF(AND(AA4774&gt;0,U4774/AA4774&gt;50),"POSSIBLE_SCALE_ERROR","OK"))</f>
        <v/>
      </c>
    </row>
    <row r="4775">
      <c r="A4775" t="inlineStr">
        <is>
          <t>T-2020-Q1-00008</t>
        </is>
      </c>
      <c r="B4775" t="inlineStr">
        <is>
          <t>SLE</t>
        </is>
      </c>
      <c r="C4775" t="inlineStr">
        <is>
          <t>President</t>
        </is>
      </c>
      <c r="D4775" t="inlineStr">
        <is>
          <t>Président</t>
        </is>
      </c>
      <c r="E4775" t="inlineStr">
        <is>
          <t>Francis McGuire</t>
        </is>
      </c>
      <c r="F4775" t="inlineStr">
        <is>
          <t>Meetings with Government of Canada officials and key stakeholders</t>
        </is>
      </c>
      <c r="G4775" t="inlineStr">
        <is>
          <t>Réunions avec des fonctionnaires du gouvernement du Canada et des intervenants clés</t>
        </is>
      </c>
      <c r="H4775" s="1" t="n">
        <v>43535</v>
      </c>
      <c r="I4775" s="1" t="n">
        <v>43538</v>
      </c>
      <c r="J4775" t="inlineStr">
        <is>
          <t>Charlottetown, Prince Edward Island and Halifax, Nova Scotia</t>
        </is>
      </c>
      <c r="K4775" t="inlineStr">
        <is>
          <t>Charlottetown (Île-du-Prince-Édouard) et Halifax (Nouvelle-Écosse)</t>
        </is>
      </c>
      <c r="P4775" t="n">
        <v>0</v>
      </c>
      <c r="Q4775" t="n">
        <v>458.61</v>
      </c>
      <c r="R4775" t="n">
        <v>522.0599999999999</v>
      </c>
      <c r="S4775" t="n">
        <v>409.35</v>
      </c>
      <c r="T4775" t="n">
        <v>89.70999999999999</v>
      </c>
      <c r="U4775" t="n">
        <v>1479.73</v>
      </c>
      <c r="X4775" t="inlineStr">
        <is>
          <t>acoa-apeca</t>
        </is>
      </c>
      <c r="Y4775" t="inlineStr">
        <is>
          <t>Atlantic Canada Opportunities Agency | Agence de promotion économique du Canada atlantique</t>
        </is>
      </c>
      <c r="Z4775" t="n">
        <v>4</v>
      </c>
      <c r="AA4775" t="n">
        <v>1479.73</v>
      </c>
      <c r="AB4775">
        <f>ROUND(U4775-AA4775,2)</f>
        <v/>
      </c>
      <c r="AC4775" t="b">
        <v>0</v>
      </c>
      <c r="AD4775">
        <f>IF(U4775="","MISSING_TOTAL",IF(ABS(AB4775)&lt;=0.01,"OK","CHECK"))</f>
        <v/>
      </c>
      <c r="AE4775">
        <f>IF(U4775="","MISSING",IF(AND(AA4775&gt;0,U4775/AA4775&gt;50),"POSSIBLE_SCALE_ERROR","OK"))</f>
        <v/>
      </c>
    </row>
    <row r="4776">
      <c r="A4776" t="inlineStr">
        <is>
          <t>T-2020-Q1-00007</t>
        </is>
      </c>
      <c r="B4776" t="inlineStr">
        <is>
          <t>SLE</t>
        </is>
      </c>
      <c r="C4776" t="inlineStr">
        <is>
          <t>Vice-President, Policy, Programs and Communications</t>
        </is>
      </c>
      <c r="D4776" t="inlineStr">
        <is>
          <t>Vice-président, Politiques et Programmes</t>
        </is>
      </c>
      <c r="E4776" t="inlineStr">
        <is>
          <t>Daryell Nowlan</t>
        </is>
      </c>
      <c r="F4776" t="inlineStr">
        <is>
          <t>Meetings with Government of Canada officials</t>
        </is>
      </c>
      <c r="G4776" t="inlineStr">
        <is>
          <t>Réunions avec des fonctionnaires du gouvernement du Canada</t>
        </is>
      </c>
      <c r="H4776" s="1" t="n">
        <v>43542</v>
      </c>
      <c r="I4776" s="1" t="n">
        <v>43544</v>
      </c>
      <c r="J4776" t="inlineStr">
        <is>
          <t>Ottawa, Ontario</t>
        </is>
      </c>
      <c r="K4776" t="inlineStr">
        <is>
          <t>Ottawa (Ontario)</t>
        </is>
      </c>
      <c r="P4776" t="n">
        <v>1007.42</v>
      </c>
      <c r="Q4776" t="n">
        <v>101.15</v>
      </c>
      <c r="R4776" t="n">
        <v>592.3</v>
      </c>
      <c r="S4776" t="n">
        <v>241.6</v>
      </c>
      <c r="T4776" t="n">
        <v>0</v>
      </c>
      <c r="U4776" t="n">
        <v>1942.47</v>
      </c>
      <c r="X4776" t="inlineStr">
        <is>
          <t>acoa-apeca</t>
        </is>
      </c>
      <c r="Y4776" t="inlineStr">
        <is>
          <t>Atlantic Canada Opportunities Agency | Agence de promotion économique du Canada atlantique</t>
        </is>
      </c>
      <c r="Z4776" t="n">
        <v>3</v>
      </c>
      <c r="AA4776" t="n">
        <v>1942.46999999999</v>
      </c>
      <c r="AB4776">
        <f>ROUND(U4776-AA4776,2)</f>
        <v/>
      </c>
      <c r="AC4776" t="b">
        <v>0</v>
      </c>
      <c r="AD4776">
        <f>IF(U4776="","MISSING_TOTAL",IF(ABS(AB4776)&lt;=0.01,"OK","CHECK"))</f>
        <v/>
      </c>
      <c r="AE4776">
        <f>IF(U4776="","MISSING",IF(AND(AA4776&gt;0,U4776/AA4776&gt;50),"POSSIBLE_SCALE_ERROR","OK"))</f>
        <v/>
      </c>
    </row>
    <row r="4777">
      <c r="A4777" t="inlineStr">
        <is>
          <t>T-2020-Q1-00006</t>
        </is>
      </c>
      <c r="B4777" t="inlineStr">
        <is>
          <t>SLE</t>
        </is>
      </c>
      <c r="C4777" t="inlineStr">
        <is>
          <t>Vice-President, Prince Edward Island</t>
        </is>
      </c>
      <c r="D4777" t="inlineStr">
        <is>
          <t>Vice-président, Île-du-Prince-Édouard</t>
        </is>
      </c>
      <c r="E4777" t="inlineStr">
        <is>
          <t>Patrick Dorsey</t>
        </is>
      </c>
      <c r="F4777" t="inlineStr">
        <is>
          <t>Meetings with various government officials</t>
        </is>
      </c>
      <c r="G4777" t="inlineStr">
        <is>
          <t>Réunions avec divers fonctionnaires</t>
        </is>
      </c>
      <c r="H4777" s="1" t="n">
        <v>43542</v>
      </c>
      <c r="I4777" s="1" t="n">
        <v>43544</v>
      </c>
      <c r="J4777" t="inlineStr">
        <is>
          <t>Ottawa, Ontario</t>
        </is>
      </c>
      <c r="K4777" t="inlineStr">
        <is>
          <t>Ottawa (Ontario)</t>
        </is>
      </c>
      <c r="P4777" t="n">
        <v>1115.42</v>
      </c>
      <c r="Q4777" t="n">
        <v>114.2</v>
      </c>
      <c r="R4777" t="n">
        <v>451.28</v>
      </c>
      <c r="S4777" t="n">
        <v>301.95</v>
      </c>
      <c r="T4777" t="n">
        <v>0</v>
      </c>
      <c r="U4777" t="n">
        <v>1982.85</v>
      </c>
      <c r="X4777" t="inlineStr">
        <is>
          <t>acoa-apeca</t>
        </is>
      </c>
      <c r="Y4777" t="inlineStr">
        <is>
          <t>Atlantic Canada Opportunities Agency | Agence de promotion économique du Canada atlantique</t>
        </is>
      </c>
      <c r="Z4777" t="n">
        <v>3</v>
      </c>
      <c r="AA4777" t="n">
        <v>1982.85</v>
      </c>
      <c r="AB4777">
        <f>ROUND(U4777-AA4777,2)</f>
        <v/>
      </c>
      <c r="AC4777" t="b">
        <v>0</v>
      </c>
      <c r="AD4777">
        <f>IF(U4777="","MISSING_TOTAL",IF(ABS(AB4777)&lt;=0.01,"OK","CHECK"))</f>
        <v/>
      </c>
      <c r="AE4777">
        <f>IF(U4777="","MISSING",IF(AND(AA4777&gt;0,U4777/AA4777&gt;50),"POSSIBLE_SCALE_ERROR","OK"))</f>
        <v/>
      </c>
    </row>
    <row r="4778">
      <c r="A4778" t="inlineStr">
        <is>
          <t>T-2019-Q4-00042</t>
        </is>
      </c>
      <c r="B4778" t="inlineStr">
        <is>
          <t>SLE</t>
        </is>
      </c>
      <c r="C4778" t="inlineStr">
        <is>
          <t>Vice-President, New Brunswick</t>
        </is>
      </c>
      <c r="D4778" t="inlineStr">
        <is>
          <t>Vice-président, Nouveau-Brunswick</t>
        </is>
      </c>
      <c r="E4778" t="inlineStr">
        <is>
          <t>Kent Estabrooks</t>
        </is>
      </c>
      <c r="F4778" t="inlineStr">
        <is>
          <t>External stakeholders meetings</t>
        </is>
      </c>
      <c r="G4778" t="inlineStr">
        <is>
          <t>Réunions avec des intervenants externes</t>
        </is>
      </c>
      <c r="H4778" s="1" t="n">
        <v>43489</v>
      </c>
      <c r="I4778" s="1" t="n">
        <v>43498</v>
      </c>
      <c r="J4778" t="inlineStr">
        <is>
          <t>Tel Aviv, Israel</t>
        </is>
      </c>
      <c r="K4778" t="inlineStr">
        <is>
          <t>Tel-Aviv, Israël</t>
        </is>
      </c>
      <c r="P4778" t="n">
        <v>3965.15</v>
      </c>
      <c r="Q4778" t="n">
        <v>231.37</v>
      </c>
      <c r="R4778" t="n">
        <v>2275.43</v>
      </c>
      <c r="S4778" t="n">
        <v>1323.84</v>
      </c>
      <c r="T4778" t="n">
        <v>0</v>
      </c>
      <c r="U4778" t="n">
        <v>7795.79</v>
      </c>
      <c r="X4778" t="inlineStr">
        <is>
          <t>acoa-apeca</t>
        </is>
      </c>
      <c r="Y4778" t="inlineStr">
        <is>
          <t>Atlantic Canada Opportunities Agency | Agence de promotion économique du Canada atlantique</t>
        </is>
      </c>
      <c r="Z4778" t="n">
        <v>10</v>
      </c>
      <c r="AA4778" t="n">
        <v>7795.79</v>
      </c>
      <c r="AB4778">
        <f>ROUND(U4778-AA4778,2)</f>
        <v/>
      </c>
      <c r="AC4778" t="b">
        <v>0</v>
      </c>
      <c r="AD4778">
        <f>IF(U4778="","MISSING_TOTAL",IF(ABS(AB4778)&lt;=0.01,"OK","CHECK"))</f>
        <v/>
      </c>
      <c r="AE4778">
        <f>IF(U4778="","MISSING",IF(AND(AA4778&gt;0,U4778/AA4778&gt;50),"POSSIBLE_SCALE_ERROR","OK"))</f>
        <v/>
      </c>
    </row>
    <row r="4779">
      <c r="A4779" t="inlineStr">
        <is>
          <t>T-2019-Q4-00038</t>
        </is>
      </c>
      <c r="B4779" t="inlineStr">
        <is>
          <t>SLE</t>
        </is>
      </c>
      <c r="C4779" t="inlineStr">
        <is>
          <t>President</t>
        </is>
      </c>
      <c r="D4779" t="inlineStr">
        <is>
          <t>Président</t>
        </is>
      </c>
      <c r="E4779" t="inlineStr">
        <is>
          <t>Francis McGuire</t>
        </is>
      </c>
      <c r="F4779" t="inlineStr">
        <is>
          <t>Various meetings with Government of Canada officials and key stakeholders</t>
        </is>
      </c>
      <c r="G4779" t="inlineStr">
        <is>
          <t>Diverses réunions avec des fonctionnaires du gouvernement du Canada et des intervenants clés</t>
        </is>
      </c>
      <c r="H4779" s="1" t="n">
        <v>43515</v>
      </c>
      <c r="I4779" s="1" t="n">
        <v>43518</v>
      </c>
      <c r="J4779" t="inlineStr">
        <is>
          <t>Ottawa, Ontario</t>
        </is>
      </c>
      <c r="K4779" t="inlineStr">
        <is>
          <t>Ottawa (Ontario)</t>
        </is>
      </c>
      <c r="P4779" t="n">
        <v>726.8</v>
      </c>
      <c r="Q4779" t="n">
        <v>29.96</v>
      </c>
      <c r="R4779" t="n">
        <v>764.67</v>
      </c>
      <c r="S4779" t="n">
        <v>389.1</v>
      </c>
      <c r="T4779" t="n">
        <v>0</v>
      </c>
      <c r="U4779" t="n">
        <v>1910.53</v>
      </c>
      <c r="X4779" t="inlineStr">
        <is>
          <t>acoa-apeca</t>
        </is>
      </c>
      <c r="Y4779" t="inlineStr">
        <is>
          <t>Atlantic Canada Opportunities Agency | Agence de promotion économique du Canada atlantique</t>
        </is>
      </c>
      <c r="Z4779" t="n">
        <v>4</v>
      </c>
      <c r="AA4779" t="n">
        <v>1910.52999999999</v>
      </c>
      <c r="AB4779">
        <f>ROUND(U4779-AA4779,2)</f>
        <v/>
      </c>
      <c r="AC4779" t="b">
        <v>0</v>
      </c>
      <c r="AD4779">
        <f>IF(U4779="","MISSING_TOTAL",IF(ABS(AB4779)&lt;=0.01,"OK","CHECK"))</f>
        <v/>
      </c>
      <c r="AE4779">
        <f>IF(U4779="","MISSING",IF(AND(AA4779&gt;0,U4779/AA4779&gt;50),"POSSIBLE_SCALE_ERROR","OK"))</f>
        <v/>
      </c>
    </row>
    <row r="4780">
      <c r="A4780" t="inlineStr">
        <is>
          <t>T-2019-Q4-00037</t>
        </is>
      </c>
      <c r="B4780" t="inlineStr">
        <is>
          <t>SLE</t>
        </is>
      </c>
      <c r="C4780" t="inlineStr">
        <is>
          <t>President</t>
        </is>
      </c>
      <c r="D4780" t="inlineStr">
        <is>
          <t>Président</t>
        </is>
      </c>
      <c r="E4780" t="inlineStr">
        <is>
          <t>Francis McGuire</t>
        </is>
      </c>
      <c r="F4780" t="inlineStr">
        <is>
          <t>Various meetings with Government of Canada officials and key stakeholders</t>
        </is>
      </c>
      <c r="G4780" t="inlineStr">
        <is>
          <t>Diverses réunions avec des fonctionnaires du gouvernement du Canada et des intervenants clés</t>
        </is>
      </c>
      <c r="H4780" s="1" t="n">
        <v>43522</v>
      </c>
      <c r="I4780" s="1" t="n">
        <v>43525</v>
      </c>
      <c r="J4780" t="inlineStr">
        <is>
          <t>Halifax, Nova Scotia</t>
        </is>
      </c>
      <c r="K4780" t="inlineStr">
        <is>
          <t>Halifax (Nouvelle-Écosse)</t>
        </is>
      </c>
      <c r="P4780" t="n">
        <v>230</v>
      </c>
      <c r="Q4780" t="n">
        <v>279.27</v>
      </c>
      <c r="R4780" t="n">
        <v>524.34</v>
      </c>
      <c r="S4780" t="n">
        <v>349.8</v>
      </c>
      <c r="T4780" t="n">
        <v>0</v>
      </c>
      <c r="U4780" t="n">
        <v>1383.41</v>
      </c>
      <c r="X4780" t="inlineStr">
        <is>
          <t>acoa-apeca</t>
        </is>
      </c>
      <c r="Y4780" t="inlineStr">
        <is>
          <t>Atlantic Canada Opportunities Agency | Agence de promotion économique du Canada atlantique</t>
        </is>
      </c>
      <c r="Z4780" t="n">
        <v>4</v>
      </c>
      <c r="AA4780" t="n">
        <v>1383.41</v>
      </c>
      <c r="AB4780">
        <f>ROUND(U4780-AA4780,2)</f>
        <v/>
      </c>
      <c r="AC4780" t="b">
        <v>0</v>
      </c>
      <c r="AD4780">
        <f>IF(U4780="","MISSING_TOTAL",IF(ABS(AB4780)&lt;=0.01,"OK","CHECK"))</f>
        <v/>
      </c>
      <c r="AE4780">
        <f>IF(U4780="","MISSING",IF(AND(AA4780&gt;0,U4780/AA4780&gt;50),"POSSIBLE_SCALE_ERROR","OK"))</f>
        <v/>
      </c>
    </row>
    <row r="4781">
      <c r="A4781" t="inlineStr">
        <is>
          <t>T-2019-Q4-00035</t>
        </is>
      </c>
      <c r="B4781" t="inlineStr">
        <is>
          <t>SLE</t>
        </is>
      </c>
      <c r="C4781" t="inlineStr">
        <is>
          <t>Vice-President, Nova Scotia</t>
        </is>
      </c>
      <c r="D4781" t="inlineStr">
        <is>
          <t>Vice-président, Nouvelle-Écosse</t>
        </is>
      </c>
      <c r="E4781" t="inlineStr">
        <is>
          <t>Chuck Maillet</t>
        </is>
      </c>
      <c r="F4781" t="inlineStr">
        <is>
          <t>Various meetings with Agency officials and clients</t>
        </is>
      </c>
      <c r="G4781" t="inlineStr">
        <is>
          <t>Diverses réunions avec des fonctionnaires de l'Agence et des clients</t>
        </is>
      </c>
      <c r="H4781" s="1" t="n">
        <v>43453</v>
      </c>
      <c r="I4781" s="1" t="n">
        <v>43454</v>
      </c>
      <c r="J4781" t="inlineStr">
        <is>
          <t>Sydney, Nova Scotia</t>
        </is>
      </c>
      <c r="K4781" t="inlineStr">
        <is>
          <t>Sydney (Nouvelle-Écosse)</t>
        </is>
      </c>
      <c r="P4781" t="n">
        <v>359.09</v>
      </c>
      <c r="Q4781" t="n">
        <v>65</v>
      </c>
      <c r="R4781" t="n">
        <v>134.9</v>
      </c>
      <c r="S4781" t="n">
        <v>144.55</v>
      </c>
      <c r="T4781" t="n">
        <v>0</v>
      </c>
      <c r="U4781" t="n">
        <v>703.54</v>
      </c>
      <c r="X4781" t="inlineStr">
        <is>
          <t>acoa-apeca</t>
        </is>
      </c>
      <c r="Y4781" t="inlineStr">
        <is>
          <t>Atlantic Canada Opportunities Agency | Agence de promotion économique du Canada atlantique</t>
        </is>
      </c>
      <c r="Z4781" t="n">
        <v>2</v>
      </c>
      <c r="AA4781" t="n">
        <v>703.54</v>
      </c>
      <c r="AB4781">
        <f>ROUND(U4781-AA4781,2)</f>
        <v/>
      </c>
      <c r="AC4781" t="b">
        <v>0</v>
      </c>
      <c r="AD4781">
        <f>IF(U4781="","MISSING_TOTAL",IF(ABS(AB4781)&lt;=0.01,"OK","CHECK"))</f>
        <v/>
      </c>
      <c r="AE4781">
        <f>IF(U4781="","MISSING",IF(AND(AA4781&gt;0,U4781/AA4781&gt;50),"POSSIBLE_SCALE_ERROR","OK"))</f>
        <v/>
      </c>
    </row>
    <row r="4782">
      <c r="A4782" t="inlineStr">
        <is>
          <t>T-2020-Q2-00001</t>
        </is>
      </c>
      <c r="B4782" t="inlineStr">
        <is>
          <t>SLE</t>
        </is>
      </c>
      <c r="C4782" t="inlineStr">
        <is>
          <t>Senior Advisor (Energy)</t>
        </is>
      </c>
      <c r="D4782" t="inlineStr">
        <is>
          <t>Conseiller spécial (energie)</t>
        </is>
      </c>
      <c r="E4782" t="inlineStr">
        <is>
          <t>Andrew F. Noseworthy</t>
        </is>
      </c>
      <c r="F4782" t="inlineStr">
        <is>
          <t>Attend the Offshore Technology Conference in Houston, Texas</t>
        </is>
      </c>
      <c r="G4782" t="inlineStr">
        <is>
          <t>Assister à l'Offshore Technology Conference à Houston, au Texas</t>
        </is>
      </c>
      <c r="H4782" s="1" t="n">
        <v>43588</v>
      </c>
      <c r="I4782" s="1" t="n">
        <v>43596</v>
      </c>
      <c r="J4782" t="inlineStr">
        <is>
          <t>Houston, Texas</t>
        </is>
      </c>
      <c r="K4782" t="inlineStr">
        <is>
          <t>Houston, Texas</t>
        </is>
      </c>
      <c r="P4782" t="n">
        <v>1287.15</v>
      </c>
      <c r="Q4782" t="n">
        <v>485.85</v>
      </c>
      <c r="R4782" t="n">
        <v>2174.84</v>
      </c>
      <c r="S4782" t="n">
        <v>790.36</v>
      </c>
      <c r="T4782" t="n">
        <v>0</v>
      </c>
      <c r="U4782" t="n">
        <v>4738.2</v>
      </c>
      <c r="X4782" t="inlineStr">
        <is>
          <t>acoa-apeca</t>
        </is>
      </c>
      <c r="Y4782" t="inlineStr">
        <is>
          <t>Atlantic Canada Opportunities Agency | Agence de promotion économique du Canada atlantique</t>
        </is>
      </c>
      <c r="Z4782" t="n">
        <v>9</v>
      </c>
      <c r="AA4782" t="n">
        <v>4738.2</v>
      </c>
      <c r="AB4782">
        <f>ROUND(U4782-AA4782,2)</f>
        <v/>
      </c>
      <c r="AC4782" t="b">
        <v>0</v>
      </c>
      <c r="AD4782">
        <f>IF(U4782="","MISSING_TOTAL",IF(ABS(AB4782)&lt;=0.01,"OK","CHECK"))</f>
        <v/>
      </c>
      <c r="AE4782">
        <f>IF(U4782="","MISSING",IF(AND(AA4782&gt;0,U4782/AA4782&gt;50),"POSSIBLE_SCALE_ERROR","OK"))</f>
        <v/>
      </c>
    </row>
    <row r="4783">
      <c r="A4783" t="inlineStr">
        <is>
          <t>T-2019-Q4-00040</t>
        </is>
      </c>
      <c r="B4783" t="inlineStr">
        <is>
          <t>SLE</t>
        </is>
      </c>
      <c r="C4783" t="inlineStr">
        <is>
          <t>President</t>
        </is>
      </c>
      <c r="D4783" t="inlineStr">
        <is>
          <t>Président</t>
        </is>
      </c>
      <c r="E4783" t="inlineStr">
        <is>
          <t>Francis McGuire</t>
        </is>
      </c>
      <c r="F4783" t="inlineStr">
        <is>
          <t>Various meeting with officials from the government of Israel, Government of Canada officials and key stakeholders</t>
        </is>
      </c>
      <c r="G4783" t="inlineStr">
        <is>
          <t>Diverses réunions avec des fonctionnaires des gouvernements d'Israël et du Canada et avec des intervenants clés</t>
        </is>
      </c>
      <c r="H4783" s="1" t="n">
        <v>43488</v>
      </c>
      <c r="I4783" s="1" t="n">
        <v>43496</v>
      </c>
      <c r="J4783" t="inlineStr">
        <is>
          <t>Tel Aviv, Israel</t>
        </is>
      </c>
      <c r="K4783" t="inlineStr">
        <is>
          <t>Tel-Aviv (Israël)</t>
        </is>
      </c>
      <c r="P4783" t="n">
        <v>4279.2</v>
      </c>
      <c r="Q4783" t="n">
        <v>195.43</v>
      </c>
      <c r="R4783" t="n">
        <v>3664.89</v>
      </c>
      <c r="S4783" t="n">
        <v>1770.54</v>
      </c>
      <c r="T4783" t="n">
        <v>0</v>
      </c>
      <c r="U4783" t="n">
        <v>9910.059999999999</v>
      </c>
      <c r="X4783" t="inlineStr">
        <is>
          <t>acoa-apeca</t>
        </is>
      </c>
      <c r="Y4783" t="inlineStr">
        <is>
          <t>Atlantic Canada Opportunities Agency | Agence de promotion économique du Canada atlantique</t>
        </is>
      </c>
      <c r="Z4783" t="n">
        <v>9</v>
      </c>
      <c r="AA4783" t="n">
        <v>9910.059999999999</v>
      </c>
      <c r="AB4783">
        <f>ROUND(U4783-AA4783,2)</f>
        <v/>
      </c>
      <c r="AC4783" t="b">
        <v>0</v>
      </c>
      <c r="AD4783">
        <f>IF(U4783="","MISSING_TOTAL",IF(ABS(AB4783)&lt;=0.01,"OK","CHECK"))</f>
        <v/>
      </c>
      <c r="AE4783">
        <f>IF(U4783="","MISSING",IF(AND(AA4783&gt;0,U4783/AA4783&gt;50),"POSSIBLE_SCALE_ERROR","OK"))</f>
        <v/>
      </c>
    </row>
    <row r="4784">
      <c r="A4784" t="inlineStr">
        <is>
          <t>T-2020-Q1-00070</t>
        </is>
      </c>
      <c r="B4784" t="inlineStr">
        <is>
          <t>SLE</t>
        </is>
      </c>
      <c r="C4784" t="inlineStr">
        <is>
          <t>Senior Advisor (Energy)</t>
        </is>
      </c>
      <c r="D4784" t="inlineStr">
        <is>
          <t>Conseiller spécial (energie)</t>
        </is>
      </c>
      <c r="E4784" t="inlineStr">
        <is>
          <t>Andrew F. Noseworthy</t>
        </is>
      </c>
      <c r="F4784" t="inlineStr">
        <is>
          <t>Industry trip to the United Kingdom and Norway - cities include London, Aberdeen, Bergen, Stord and Stavanger</t>
        </is>
      </c>
      <c r="G4784" t="inlineStr">
        <is>
          <t>Voyage de l'industrie au Royaume-Uni et en Norvège; villes visitées : Londres, Aberdeen, Bergen, Stord et Stavanger</t>
        </is>
      </c>
      <c r="H4784" s="1" t="n">
        <v>43617</v>
      </c>
      <c r="I4784" s="1" t="n">
        <v>43627</v>
      </c>
      <c r="J4784" t="inlineStr">
        <is>
          <t>Stavanger, Norway</t>
        </is>
      </c>
      <c r="K4784" t="inlineStr">
        <is>
          <t>Stavanger (Norvège)</t>
        </is>
      </c>
      <c r="P4784" t="n">
        <v>5049</v>
      </c>
      <c r="Q4784" t="n">
        <v>432</v>
      </c>
      <c r="R4784" t="n">
        <v>2186</v>
      </c>
      <c r="S4784" t="n">
        <v>883</v>
      </c>
      <c r="T4784" t="n">
        <v>0</v>
      </c>
      <c r="U4784" t="n">
        <v>8550</v>
      </c>
      <c r="X4784" t="inlineStr">
        <is>
          <t>acoa-apeca</t>
        </is>
      </c>
      <c r="Y4784" t="inlineStr">
        <is>
          <t>Atlantic Canada Opportunities Agency | Agence de promotion économique du Canada atlantique</t>
        </is>
      </c>
      <c r="Z4784" t="n">
        <v>11</v>
      </c>
      <c r="AA4784" t="n">
        <v>8550</v>
      </c>
      <c r="AB4784">
        <f>ROUND(U4784-AA4784,2)</f>
        <v/>
      </c>
      <c r="AC4784" t="b">
        <v>0</v>
      </c>
      <c r="AD4784">
        <f>IF(U4784="","MISSING_TOTAL",IF(ABS(AB4784)&lt;=0.01,"OK","CHECK"))</f>
        <v/>
      </c>
      <c r="AE4784">
        <f>IF(U4784="","MISSING",IF(AND(AA4784&gt;0,U4784/AA4784&gt;50),"POSSIBLE_SCALE_ERROR","OK"))</f>
        <v/>
      </c>
    </row>
    <row r="4785">
      <c r="A4785" t="inlineStr">
        <is>
          <t>T-2020-Q2-00004</t>
        </is>
      </c>
      <c r="B4785" t="inlineStr">
        <is>
          <t>SLE</t>
        </is>
      </c>
      <c r="C4785" t="inlineStr">
        <is>
          <t>Vice-President, Policy, Programs and Communications</t>
        </is>
      </c>
      <c r="D4785" t="inlineStr">
        <is>
          <t>Vice-président, Politiques et Programmes</t>
        </is>
      </c>
      <c r="E4785" t="inlineStr">
        <is>
          <t>Daryell Nowlan</t>
        </is>
      </c>
      <c r="F4785" t="inlineStr">
        <is>
          <t>Meetings with Government of Canada officials</t>
        </is>
      </c>
      <c r="G4785" t="inlineStr">
        <is>
          <t>Réunions avec des fonctionnaires du gouvernement du Canada</t>
        </is>
      </c>
      <c r="H4785" s="1" t="n">
        <v>43620</v>
      </c>
      <c r="I4785" s="1" t="n">
        <v>43621</v>
      </c>
      <c r="J4785" t="inlineStr">
        <is>
          <t>Halifax, Nova Scotia</t>
        </is>
      </c>
      <c r="K4785" t="inlineStr">
        <is>
          <t>Halifax (Nouvelle-Écosse)</t>
        </is>
      </c>
      <c r="P4785" t="n">
        <v>0</v>
      </c>
      <c r="Q4785" t="n">
        <v>296.55</v>
      </c>
      <c r="R4785" t="n">
        <v>221.7</v>
      </c>
      <c r="S4785" t="n">
        <v>55.1</v>
      </c>
      <c r="T4785" t="n">
        <v>0</v>
      </c>
      <c r="U4785" t="n">
        <v>573.35</v>
      </c>
      <c r="X4785" t="inlineStr">
        <is>
          <t>acoa-apeca</t>
        </is>
      </c>
      <c r="Y4785" t="inlineStr">
        <is>
          <t>Atlantic Canada Opportunities Agency | Agence de promotion économique du Canada atlantique</t>
        </is>
      </c>
      <c r="Z4785" t="n">
        <v>2</v>
      </c>
      <c r="AA4785" t="n">
        <v>573.35</v>
      </c>
      <c r="AB4785">
        <f>ROUND(U4785-AA4785,2)</f>
        <v/>
      </c>
      <c r="AC4785" t="b">
        <v>0</v>
      </c>
      <c r="AD4785">
        <f>IF(U4785="","MISSING_TOTAL",IF(ABS(AB4785)&lt;=0.01,"OK","CHECK"))</f>
        <v/>
      </c>
      <c r="AE4785">
        <f>IF(U4785="","MISSING",IF(AND(AA4785&gt;0,U4785/AA4785&gt;50),"POSSIBLE_SCALE_ERROR","OK"))</f>
        <v/>
      </c>
    </row>
    <row r="4786">
      <c r="A4786" t="inlineStr">
        <is>
          <t>T-2020-Q2-00032</t>
        </is>
      </c>
      <c r="B4786" t="inlineStr">
        <is>
          <t>SLE</t>
        </is>
      </c>
      <c r="C4786" t="inlineStr">
        <is>
          <t>Vice-President, Policy, Programs and Communications</t>
        </is>
      </c>
      <c r="D4786" t="inlineStr">
        <is>
          <t>Vice-président, Politiques et Programmes</t>
        </is>
      </c>
      <c r="E4786" t="inlineStr">
        <is>
          <t>Daryell Nowlan</t>
        </is>
      </c>
      <c r="F4786" t="inlineStr">
        <is>
          <t>Meetings with Government of Canada officials</t>
        </is>
      </c>
      <c r="G4786" t="inlineStr">
        <is>
          <t>Réunions avec des fonctionnaires du gouvernement du Canada</t>
        </is>
      </c>
      <c r="H4786" s="1" t="n">
        <v>43641</v>
      </c>
      <c r="I4786" s="1" t="n">
        <v>43643</v>
      </c>
      <c r="J4786" t="inlineStr">
        <is>
          <t>Ottawa, Ontario</t>
        </is>
      </c>
      <c r="K4786" t="inlineStr">
        <is>
          <t>Ottawa (Ontario)</t>
        </is>
      </c>
      <c r="P4786" t="n">
        <v>726.8</v>
      </c>
      <c r="Q4786" t="n">
        <v>82.72</v>
      </c>
      <c r="R4786" t="n">
        <v>467.72</v>
      </c>
      <c r="S4786" t="n">
        <v>234</v>
      </c>
      <c r="T4786" t="n">
        <v>0</v>
      </c>
      <c r="U4786" t="n">
        <v>1511.24</v>
      </c>
      <c r="X4786" t="inlineStr">
        <is>
          <t>acoa-apeca</t>
        </is>
      </c>
      <c r="Y4786" t="inlineStr">
        <is>
          <t>Atlantic Canada Opportunities Agency | Agence de promotion économique du Canada atlantique</t>
        </is>
      </c>
      <c r="Z4786" t="n">
        <v>3</v>
      </c>
      <c r="AA4786" t="n">
        <v>1511.24</v>
      </c>
      <c r="AB4786">
        <f>ROUND(U4786-AA4786,2)</f>
        <v/>
      </c>
      <c r="AC4786" t="b">
        <v>0</v>
      </c>
      <c r="AD4786">
        <f>IF(U4786="","MISSING_TOTAL",IF(ABS(AB4786)&lt;=0.01,"OK","CHECK"))</f>
        <v/>
      </c>
      <c r="AE4786">
        <f>IF(U4786="","MISSING",IF(AND(AA4786&gt;0,U4786/AA4786&gt;50),"POSSIBLE_SCALE_ERROR","OK"))</f>
        <v/>
      </c>
    </row>
    <row r="4787">
      <c r="A4787" t="inlineStr">
        <is>
          <t>T-2020-Q2-00003</t>
        </is>
      </c>
      <c r="B4787" t="inlineStr">
        <is>
          <t>SLE</t>
        </is>
      </c>
      <c r="C4787" t="inlineStr">
        <is>
          <t>Vice-President, Policy, Programs and Communications</t>
        </is>
      </c>
      <c r="D4787" t="inlineStr">
        <is>
          <t>Vice-président, Politiques et Programmes</t>
        </is>
      </c>
      <c r="E4787" t="inlineStr">
        <is>
          <t>Daryell Nowlan</t>
        </is>
      </c>
      <c r="F4787" t="inlineStr">
        <is>
          <t>Meeting with Government of Canada officials</t>
        </is>
      </c>
      <c r="G4787" t="inlineStr">
        <is>
          <t>Réunion avec des fonctionnaires du gouvernement du Canada</t>
        </is>
      </c>
      <c r="H4787" s="1" t="n">
        <v>43628</v>
      </c>
      <c r="I4787" s="1" t="n">
        <v>43629</v>
      </c>
      <c r="J4787" t="inlineStr">
        <is>
          <t>Charlottetown, Prince Edward Island</t>
        </is>
      </c>
      <c r="K4787" t="inlineStr">
        <is>
          <t>Charlottetown (Île-du-Prince-Édouard)</t>
        </is>
      </c>
      <c r="P4787" t="n">
        <v>0</v>
      </c>
      <c r="Q4787" t="n">
        <v>0</v>
      </c>
      <c r="R4787" t="n">
        <v>236.9</v>
      </c>
      <c r="S4787" t="n">
        <v>105.75</v>
      </c>
      <c r="T4787" t="n">
        <v>0</v>
      </c>
      <c r="U4787" t="n">
        <v>342.65</v>
      </c>
      <c r="X4787" t="inlineStr">
        <is>
          <t>acoa-apeca</t>
        </is>
      </c>
      <c r="Y4787" t="inlineStr">
        <is>
          <t>Atlantic Canada Opportunities Agency | Agence de promotion économique du Canada atlantique</t>
        </is>
      </c>
      <c r="Z4787" t="n">
        <v>2</v>
      </c>
      <c r="AA4787" t="n">
        <v>342.65</v>
      </c>
      <c r="AB4787">
        <f>ROUND(U4787-AA4787,2)</f>
        <v/>
      </c>
      <c r="AC4787" t="b">
        <v>0</v>
      </c>
      <c r="AD4787">
        <f>IF(U4787="","MISSING_TOTAL",IF(ABS(AB4787)&lt;=0.01,"OK","CHECK"))</f>
        <v/>
      </c>
      <c r="AE4787">
        <f>IF(U4787="","MISSING",IF(AND(AA4787&gt;0,U4787/AA4787&gt;50),"POSSIBLE_SCALE_ERROR","OK"))</f>
        <v/>
      </c>
    </row>
    <row r="4788">
      <c r="A4788" t="inlineStr">
        <is>
          <t>T-2020-Q2-00005</t>
        </is>
      </c>
      <c r="B4788" t="inlineStr">
        <is>
          <t>SLE</t>
        </is>
      </c>
      <c r="C4788" t="inlineStr">
        <is>
          <t>Vice-President, New Brunswick</t>
        </is>
      </c>
      <c r="D4788" t="inlineStr">
        <is>
          <t>Vice-président, Nouveau-Brunswick</t>
        </is>
      </c>
      <c r="E4788" t="inlineStr">
        <is>
          <t>Kent Estabrooks</t>
        </is>
      </c>
      <c r="F4788" t="inlineStr">
        <is>
          <t>Training and development</t>
        </is>
      </c>
      <c r="G4788" t="inlineStr">
        <is>
          <t>Formation et perfectionnement</t>
        </is>
      </c>
      <c r="H4788" s="1" t="n">
        <v>43618</v>
      </c>
      <c r="I4788" s="1" t="n">
        <v>43624</v>
      </c>
      <c r="J4788" t="inlineStr">
        <is>
          <t>Ottawa, Ontario</t>
        </is>
      </c>
      <c r="K4788" t="inlineStr">
        <is>
          <t>Ottawa (Ontario)</t>
        </is>
      </c>
      <c r="P4788" t="n">
        <v>841.8</v>
      </c>
      <c r="Q4788" t="n">
        <v>127.52</v>
      </c>
      <c r="R4788" t="n">
        <v>1403.16</v>
      </c>
      <c r="S4788" t="n">
        <v>565.7</v>
      </c>
      <c r="T4788" t="n">
        <v>0</v>
      </c>
      <c r="U4788" t="n">
        <v>2938.18</v>
      </c>
      <c r="X4788" t="inlineStr">
        <is>
          <t>acoa-apeca</t>
        </is>
      </c>
      <c r="Y4788" t="inlineStr">
        <is>
          <t>Atlantic Canada Opportunities Agency | Agence de promotion économique du Canada atlantique</t>
        </is>
      </c>
      <c r="Z4788" t="n">
        <v>7</v>
      </c>
      <c r="AA4788" t="n">
        <v>2938.18</v>
      </c>
      <c r="AB4788">
        <f>ROUND(U4788-AA4788,2)</f>
        <v/>
      </c>
      <c r="AC4788" t="b">
        <v>0</v>
      </c>
      <c r="AD4788">
        <f>IF(U4788="","MISSING_TOTAL",IF(ABS(AB4788)&lt;=0.01,"OK","CHECK"))</f>
        <v/>
      </c>
      <c r="AE4788">
        <f>IF(U4788="","MISSING",IF(AND(AA4788&gt;0,U4788/AA4788&gt;50),"POSSIBLE_SCALE_ERROR","OK"))</f>
        <v/>
      </c>
    </row>
    <row r="4789">
      <c r="A4789" t="inlineStr">
        <is>
          <t>T-2020-Q2-00010</t>
        </is>
      </c>
      <c r="B4789" t="inlineStr">
        <is>
          <t>SLE</t>
        </is>
      </c>
      <c r="C4789" t="inlineStr">
        <is>
          <t>Vice-President, New Brunswick</t>
        </is>
      </c>
      <c r="D4789" t="inlineStr">
        <is>
          <t>Vice-président, Nouveau-Brunswick</t>
        </is>
      </c>
      <c r="E4789" t="inlineStr">
        <is>
          <t>Kent Estabrooks</t>
        </is>
      </c>
      <c r="F4789" t="inlineStr">
        <is>
          <t>External stakeholders meeting</t>
        </is>
      </c>
      <c r="G4789" t="inlineStr">
        <is>
          <t>Réunion avec des intervenants externes</t>
        </is>
      </c>
      <c r="H4789" s="1" t="n">
        <v>43628</v>
      </c>
      <c r="I4789" s="1" t="n">
        <v>43629</v>
      </c>
      <c r="J4789" t="inlineStr">
        <is>
          <t>Shediac, New Brunswick</t>
        </is>
      </c>
      <c r="K4789" t="inlineStr">
        <is>
          <t>Shediac (Nouveau-Brunswick)</t>
        </is>
      </c>
      <c r="P4789" t="n">
        <v>0</v>
      </c>
      <c r="Q4789" t="n">
        <v>17.25</v>
      </c>
      <c r="R4789" t="n">
        <v>167.9</v>
      </c>
      <c r="S4789" t="n">
        <v>54.7</v>
      </c>
      <c r="T4789" t="n">
        <v>0</v>
      </c>
      <c r="U4789" t="n">
        <v>239.85</v>
      </c>
      <c r="X4789" t="inlineStr">
        <is>
          <t>acoa-apeca</t>
        </is>
      </c>
      <c r="Y4789" t="inlineStr">
        <is>
          <t>Atlantic Canada Opportunities Agency | Agence de promotion économique du Canada atlantique</t>
        </is>
      </c>
      <c r="Z4789" t="n">
        <v>2</v>
      </c>
      <c r="AA4789" t="n">
        <v>239.85</v>
      </c>
      <c r="AB4789">
        <f>ROUND(U4789-AA4789,2)</f>
        <v/>
      </c>
      <c r="AC4789" t="b">
        <v>0</v>
      </c>
      <c r="AD4789">
        <f>IF(U4789="","MISSING_TOTAL",IF(ABS(AB4789)&lt;=0.01,"OK","CHECK"))</f>
        <v/>
      </c>
      <c r="AE4789">
        <f>IF(U4789="","MISSING",IF(AND(AA4789&gt;0,U4789/AA4789&gt;50),"POSSIBLE_SCALE_ERROR","OK"))</f>
        <v/>
      </c>
    </row>
    <row r="4790">
      <c r="A4790" t="inlineStr">
        <is>
          <t>T-2020-Q2-00013</t>
        </is>
      </c>
      <c r="B4790" t="inlineStr">
        <is>
          <t>SLE</t>
        </is>
      </c>
      <c r="C4790" t="inlineStr">
        <is>
          <t>Vice-President, New Brunswick</t>
        </is>
      </c>
      <c r="D4790" t="inlineStr">
        <is>
          <t>Vice-président, Nouveau-Brunswick</t>
        </is>
      </c>
      <c r="E4790" t="inlineStr">
        <is>
          <t>Kent Estabrooks</t>
        </is>
      </c>
      <c r="F4790" t="inlineStr">
        <is>
          <t>External stakeholders meeting</t>
        </is>
      </c>
      <c r="G4790" t="inlineStr">
        <is>
          <t>Réunion avec des intervenants externes</t>
        </is>
      </c>
      <c r="H4790" s="1" t="n">
        <v>43636</v>
      </c>
      <c r="I4790" s="1" t="n">
        <v>43637</v>
      </c>
      <c r="J4790" t="inlineStr">
        <is>
          <t>Halifax, Nova Scotia</t>
        </is>
      </c>
      <c r="K4790" t="inlineStr">
        <is>
          <t>Halifax (Nouvelle-Écosse)</t>
        </is>
      </c>
      <c r="P4790" t="n">
        <v>726.8</v>
      </c>
      <c r="Q4790" t="n">
        <v>107.48</v>
      </c>
      <c r="R4790" t="n">
        <v>233.43</v>
      </c>
      <c r="S4790" t="n">
        <v>125.45</v>
      </c>
      <c r="T4790" t="n">
        <v>0</v>
      </c>
      <c r="U4790" t="n">
        <v>1193.16</v>
      </c>
      <c r="X4790" t="inlineStr">
        <is>
          <t>acoa-apeca</t>
        </is>
      </c>
      <c r="Y4790" t="inlineStr">
        <is>
          <t>Atlantic Canada Opportunities Agency | Agence de promotion économique du Canada atlantique</t>
        </is>
      </c>
      <c r="Z4790" t="n">
        <v>2</v>
      </c>
      <c r="AA4790" t="n">
        <v>1193.16</v>
      </c>
      <c r="AB4790">
        <f>ROUND(U4790-AA4790,2)</f>
        <v/>
      </c>
      <c r="AC4790" t="b">
        <v>0</v>
      </c>
      <c r="AD4790">
        <f>IF(U4790="","MISSING_TOTAL",IF(ABS(AB4790)&lt;=0.01,"OK","CHECK"))</f>
        <v/>
      </c>
      <c r="AE4790">
        <f>IF(U4790="","MISSING",IF(AND(AA4790&gt;0,U4790/AA4790&gt;50),"POSSIBLE_SCALE_ERROR","OK"))</f>
        <v/>
      </c>
    </row>
    <row r="4791">
      <c r="A4791" t="inlineStr">
        <is>
          <t>T-2020-Q2-00016</t>
        </is>
      </c>
      <c r="B4791" t="inlineStr">
        <is>
          <t>SLE</t>
        </is>
      </c>
      <c r="C4791" t="inlineStr">
        <is>
          <t>Vice-President, New Brunswick</t>
        </is>
      </c>
      <c r="D4791" t="inlineStr">
        <is>
          <t>Vice-président, Nouveau-Brunswick</t>
        </is>
      </c>
      <c r="E4791" t="inlineStr">
        <is>
          <t>Kent Estabrooks</t>
        </is>
      </c>
      <c r="F4791" t="inlineStr">
        <is>
          <t>Meeting with Agency officials and meetings with external stakeholders</t>
        </is>
      </c>
      <c r="G4791" t="inlineStr">
        <is>
          <t>Réunion avec des fonctionnaires de l'Agence et réunions avec des intervenants externes</t>
        </is>
      </c>
      <c r="H4791" s="1" t="n">
        <v>43640</v>
      </c>
      <c r="I4791" s="1" t="n">
        <v>43643</v>
      </c>
      <c r="J4791" t="inlineStr">
        <is>
          <t>Shediac, New Brunswick and Toronto, Ontario</t>
        </is>
      </c>
      <c r="K4791" t="inlineStr">
        <is>
          <t>Shediac (Nouveau-Brunswick) et Toronto (Ontario)</t>
        </is>
      </c>
      <c r="P4791" t="n">
        <v>726.8</v>
      </c>
      <c r="Q4791" t="n">
        <v>124.09</v>
      </c>
      <c r="R4791" t="n">
        <v>580.01</v>
      </c>
      <c r="S4791" t="n">
        <v>372.7</v>
      </c>
      <c r="T4791" t="n">
        <v>0</v>
      </c>
      <c r="U4791" t="n">
        <v>1803.6</v>
      </c>
      <c r="X4791" t="inlineStr">
        <is>
          <t>acoa-apeca</t>
        </is>
      </c>
      <c r="Y4791" t="inlineStr">
        <is>
          <t>Atlantic Canada Opportunities Agency | Agence de promotion économique du Canada atlantique</t>
        </is>
      </c>
      <c r="Z4791" t="n">
        <v>4</v>
      </c>
      <c r="AA4791" t="n">
        <v>1803.6</v>
      </c>
      <c r="AB4791">
        <f>ROUND(U4791-AA4791,2)</f>
        <v/>
      </c>
      <c r="AC4791" t="b">
        <v>0</v>
      </c>
      <c r="AD4791">
        <f>IF(U4791="","MISSING_TOTAL",IF(ABS(AB4791)&lt;=0.01,"OK","CHECK"))</f>
        <v/>
      </c>
      <c r="AE4791">
        <f>IF(U4791="","MISSING",IF(AND(AA4791&gt;0,U4791/AA4791&gt;50),"POSSIBLE_SCALE_ERROR","OK"))</f>
        <v/>
      </c>
    </row>
    <row r="4792">
      <c r="A4792" t="inlineStr">
        <is>
          <t>T-2020-Q2-00007</t>
        </is>
      </c>
      <c r="B4792" t="inlineStr">
        <is>
          <t>SLE</t>
        </is>
      </c>
      <c r="C4792" t="inlineStr">
        <is>
          <t>Vice-President, Prince Edward Island</t>
        </is>
      </c>
      <c r="D4792" t="inlineStr">
        <is>
          <t>Vice-président, Île-du-Prince-Édouard</t>
        </is>
      </c>
      <c r="E4792" t="inlineStr">
        <is>
          <t>Patrick Dorsey</t>
        </is>
      </c>
      <c r="F4792" t="inlineStr">
        <is>
          <t>Meetings with Agency officials and provincial government officials</t>
        </is>
      </c>
      <c r="G4792" t="inlineStr">
        <is>
          <t>Réunions avec des fonctionnaires de l'Agence et du gouvernement provincial</t>
        </is>
      </c>
      <c r="H4792" s="1" t="n">
        <v>43627</v>
      </c>
      <c r="I4792" s="1" t="n">
        <v>43628</v>
      </c>
      <c r="J4792" t="inlineStr">
        <is>
          <t>Fredericton, New Brunswick</t>
        </is>
      </c>
      <c r="K4792" t="inlineStr">
        <is>
          <t>Fredericton (Nouveau-Brunswick)</t>
        </is>
      </c>
      <c r="P4792" t="n">
        <v>0</v>
      </c>
      <c r="Q4792" t="n">
        <v>24.3</v>
      </c>
      <c r="R4792" t="n">
        <v>217.35</v>
      </c>
      <c r="S4792" t="n">
        <v>176.5</v>
      </c>
      <c r="T4792" t="n">
        <v>0</v>
      </c>
      <c r="U4792" t="n">
        <v>418.15</v>
      </c>
      <c r="X4792" t="inlineStr">
        <is>
          <t>acoa-apeca</t>
        </is>
      </c>
      <c r="Y4792" t="inlineStr">
        <is>
          <t>Atlantic Canada Opportunities Agency | Agence de promotion économique du Canada atlantique</t>
        </is>
      </c>
      <c r="Z4792" t="n">
        <v>2</v>
      </c>
      <c r="AA4792" t="n">
        <v>418.15</v>
      </c>
      <c r="AB4792">
        <f>ROUND(U4792-AA4792,2)</f>
        <v/>
      </c>
      <c r="AC4792" t="b">
        <v>0</v>
      </c>
      <c r="AD4792">
        <f>IF(U4792="","MISSING_TOTAL",IF(ABS(AB4792)&lt;=0.01,"OK","CHECK"))</f>
        <v/>
      </c>
      <c r="AE4792">
        <f>IF(U4792="","MISSING",IF(AND(AA4792&gt;0,U4792/AA4792&gt;50),"POSSIBLE_SCALE_ERROR","OK"))</f>
        <v/>
      </c>
    </row>
    <row r="4793">
      <c r="A4793" t="inlineStr">
        <is>
          <t>T-2020-Q2-00011</t>
        </is>
      </c>
      <c r="B4793" t="inlineStr">
        <is>
          <t>SLE</t>
        </is>
      </c>
      <c r="C4793" t="inlineStr">
        <is>
          <t>Vice-President, Prince Edward Island</t>
        </is>
      </c>
      <c r="D4793" t="inlineStr">
        <is>
          <t>Vice-président, Île-du-Prince-Édouard</t>
        </is>
      </c>
      <c r="E4793" t="inlineStr">
        <is>
          <t>Patrick Dorsey</t>
        </is>
      </c>
      <c r="F4793" t="inlineStr">
        <is>
          <t>Meetings with key stakeholders on tourism</t>
        </is>
      </c>
      <c r="G4793" t="inlineStr">
        <is>
          <t>Réunions avec des intervenants clés en tourisme</t>
        </is>
      </c>
      <c r="H4793" s="1" t="n">
        <v>43633</v>
      </c>
      <c r="I4793" s="1" t="n">
        <v>43634</v>
      </c>
      <c r="J4793" t="inlineStr">
        <is>
          <t>Halifax, Nova Scotia</t>
        </is>
      </c>
      <c r="K4793" t="inlineStr">
        <is>
          <t>Halifax (Nouvelle-Écosse)</t>
        </is>
      </c>
      <c r="P4793" t="n">
        <v>0</v>
      </c>
      <c r="Q4793" t="n">
        <v>28.75</v>
      </c>
      <c r="R4793" t="n">
        <v>206.45</v>
      </c>
      <c r="S4793" t="n">
        <v>145.95</v>
      </c>
      <c r="T4793" t="n">
        <v>0</v>
      </c>
      <c r="U4793" t="n">
        <v>381.15</v>
      </c>
      <c r="X4793" t="inlineStr">
        <is>
          <t>acoa-apeca</t>
        </is>
      </c>
      <c r="Y4793" t="inlineStr">
        <is>
          <t>Atlantic Canada Opportunities Agency | Agence de promotion économique du Canada atlantique</t>
        </is>
      </c>
      <c r="Z4793" t="n">
        <v>2</v>
      </c>
      <c r="AA4793" t="n">
        <v>381.15</v>
      </c>
      <c r="AB4793">
        <f>ROUND(U4793-AA4793,2)</f>
        <v/>
      </c>
      <c r="AC4793" t="b">
        <v>0</v>
      </c>
      <c r="AD4793">
        <f>IF(U4793="","MISSING_TOTAL",IF(ABS(AB4793)&lt;=0.01,"OK","CHECK"))</f>
        <v/>
      </c>
      <c r="AE4793">
        <f>IF(U4793="","MISSING",IF(AND(AA4793&gt;0,U4793/AA4793&gt;50),"POSSIBLE_SCALE_ERROR","OK"))</f>
        <v/>
      </c>
    </row>
    <row r="4794">
      <c r="A4794" t="inlineStr">
        <is>
          <t>T-2020-Q2-00028</t>
        </is>
      </c>
      <c r="B4794" t="inlineStr">
        <is>
          <t>SLE</t>
        </is>
      </c>
      <c r="C4794" t="inlineStr">
        <is>
          <t>Vice-President, Nova Scotia</t>
        </is>
      </c>
      <c r="D4794" t="inlineStr">
        <is>
          <t>Vice-président, Nouvelle-Écosse</t>
        </is>
      </c>
      <c r="E4794" t="inlineStr">
        <is>
          <t>Chuck Maillet</t>
        </is>
      </c>
      <c r="F4794" t="inlineStr">
        <is>
          <t>Attended the release of the Rural Innovation Strategy</t>
        </is>
      </c>
      <c r="G4794" t="inlineStr">
        <is>
          <t>Assister au lancement de la stratégie d'innovation rurale</t>
        </is>
      </c>
      <c r="H4794" s="1" t="n">
        <v>43643</v>
      </c>
      <c r="I4794" s="1" t="n">
        <v>43643</v>
      </c>
      <c r="J4794" t="inlineStr">
        <is>
          <t>New Ross, Nova Scotia</t>
        </is>
      </c>
      <c r="K4794" t="inlineStr">
        <is>
          <t>New Ross (Nouvelle-Écosse)</t>
        </is>
      </c>
      <c r="P4794" t="n">
        <v>0</v>
      </c>
      <c r="Q4794" t="n">
        <v>95.88</v>
      </c>
      <c r="R4794" t="n">
        <v>0</v>
      </c>
      <c r="S4794" t="n">
        <v>0</v>
      </c>
      <c r="T4794" t="n">
        <v>0</v>
      </c>
      <c r="U4794" t="n">
        <v>95.88</v>
      </c>
      <c r="X4794" t="inlineStr">
        <is>
          <t>acoa-apeca</t>
        </is>
      </c>
      <c r="Y4794" t="inlineStr">
        <is>
          <t>Atlantic Canada Opportunities Agency | Agence de promotion économique du Canada atlantique</t>
        </is>
      </c>
      <c r="Z4794" t="n">
        <v>1</v>
      </c>
      <c r="AA4794" t="n">
        <v>95.88</v>
      </c>
      <c r="AB4794">
        <f>ROUND(U4794-AA4794,2)</f>
        <v/>
      </c>
      <c r="AC4794" t="b">
        <v>0</v>
      </c>
      <c r="AD4794">
        <f>IF(U4794="","MISSING_TOTAL",IF(ABS(AB4794)&lt;=0.01,"OK","CHECK"))</f>
        <v/>
      </c>
      <c r="AE4794">
        <f>IF(U4794="","MISSING",IF(AND(AA4794&gt;0,U4794/AA4794&gt;50),"POSSIBLE_SCALE_ERROR","OK"))</f>
        <v/>
      </c>
    </row>
    <row r="4795">
      <c r="A4795" t="inlineStr">
        <is>
          <t>T-2020-Q2-00029</t>
        </is>
      </c>
      <c r="B4795" t="inlineStr">
        <is>
          <t>SLE</t>
        </is>
      </c>
      <c r="C4795" t="inlineStr">
        <is>
          <t>Vice-President, Nova Scotia</t>
        </is>
      </c>
      <c r="D4795" t="inlineStr">
        <is>
          <t>Vice-président, Nouvelle-Écosse</t>
        </is>
      </c>
      <c r="E4795" t="inlineStr">
        <is>
          <t>Chuck Maillet</t>
        </is>
      </c>
      <c r="F4795" t="inlineStr">
        <is>
          <t>Various meetings with ACOA staff and client/stakeholder visits in Sydney and Inverness, NS; 
Finance Canada representatives - various meetings with clients/stakeholders</t>
        </is>
      </c>
      <c r="G4795" t="inlineStr">
        <is>
          <t>Diverses réunions avec des employés de l'APECA et visites de clients/intervenants à Sydney et Inverness (N.-É.); 
représentants de Finances Canada - réunions avec des clients/intervenants</t>
        </is>
      </c>
      <c r="H4795" s="1" t="n">
        <v>43634</v>
      </c>
      <c r="I4795" s="1" t="n">
        <v>43636</v>
      </c>
      <c r="J4795" t="inlineStr">
        <is>
          <t>Sydney and Lunenburg, Nova Scotia</t>
        </is>
      </c>
      <c r="K4795" t="inlineStr">
        <is>
          <t>Sydney et Lunenburg (Nouvelle-Écosse)</t>
        </is>
      </c>
      <c r="P4795" t="n">
        <v>720.37</v>
      </c>
      <c r="Q4795" t="n">
        <v>0</v>
      </c>
      <c r="R4795" t="n">
        <v>176.5</v>
      </c>
      <c r="S4795" t="n">
        <v>0</v>
      </c>
      <c r="T4795" t="n">
        <v>0</v>
      </c>
      <c r="U4795" t="n">
        <v>896.87</v>
      </c>
      <c r="X4795" t="inlineStr">
        <is>
          <t>acoa-apeca</t>
        </is>
      </c>
      <c r="Y4795" t="inlineStr">
        <is>
          <t>Atlantic Canada Opportunities Agency | Agence de promotion économique du Canada atlantique</t>
        </is>
      </c>
      <c r="Z4795" t="n">
        <v>3</v>
      </c>
      <c r="AA4795" t="n">
        <v>896.87</v>
      </c>
      <c r="AB4795">
        <f>ROUND(U4795-AA4795,2)</f>
        <v/>
      </c>
      <c r="AC4795" t="b">
        <v>0</v>
      </c>
      <c r="AD4795">
        <f>IF(U4795="","MISSING_TOTAL",IF(ABS(AB4795)&lt;=0.01,"OK","CHECK"))</f>
        <v/>
      </c>
      <c r="AE4795">
        <f>IF(U4795="","MISSING",IF(AND(AA4795&gt;0,U4795/AA4795&gt;50),"POSSIBLE_SCALE_ERROR","OK"))</f>
        <v/>
      </c>
    </row>
    <row r="4796">
      <c r="A4796" t="inlineStr">
        <is>
          <t>T-2020-Q2-00009</t>
        </is>
      </c>
      <c r="B4796" t="inlineStr">
        <is>
          <t>SLE</t>
        </is>
      </c>
      <c r="C4796" t="inlineStr">
        <is>
          <t>President</t>
        </is>
      </c>
      <c r="D4796" t="inlineStr">
        <is>
          <t>Président</t>
        </is>
      </c>
      <c r="E4796" t="inlineStr">
        <is>
          <t>Francis McGuire</t>
        </is>
      </c>
      <c r="F4796" t="inlineStr">
        <is>
          <t>Meetings with Government of Canada officials and key stakeholders</t>
        </is>
      </c>
      <c r="G4796" t="inlineStr">
        <is>
          <t>Réunions avec des fonctionnaires du gouvernement du Canada et des intervenants clés</t>
        </is>
      </c>
      <c r="H4796" s="1" t="n">
        <v>43619</v>
      </c>
      <c r="I4796" s="1" t="n">
        <v>43621</v>
      </c>
      <c r="J4796" t="inlineStr">
        <is>
          <t>St. John's, Newfoundland and Labrador and Halifax, Nova Scotia</t>
        </is>
      </c>
      <c r="K4796" t="inlineStr">
        <is>
          <t>St. John's (Terre-Neuve-et-Labrador) et Halifax (Nouvelle-Écosse)</t>
        </is>
      </c>
      <c r="P4796" t="n">
        <v>700.64</v>
      </c>
      <c r="Q4796" t="n">
        <v>286.1</v>
      </c>
      <c r="R4796" t="n">
        <v>620.01</v>
      </c>
      <c r="S4796" t="n">
        <v>244.85</v>
      </c>
      <c r="T4796" t="n">
        <v>72.75</v>
      </c>
      <c r="U4796" t="n">
        <v>1924.35</v>
      </c>
      <c r="X4796" t="inlineStr">
        <is>
          <t>acoa-apeca</t>
        </is>
      </c>
      <c r="Y4796" t="inlineStr">
        <is>
          <t>Atlantic Canada Opportunities Agency | Agence de promotion économique du Canada atlantique</t>
        </is>
      </c>
      <c r="Z4796" t="n">
        <v>3</v>
      </c>
      <c r="AA4796" t="n">
        <v>1924.35</v>
      </c>
      <c r="AB4796">
        <f>ROUND(U4796-AA4796,2)</f>
        <v/>
      </c>
      <c r="AC4796" t="b">
        <v>0</v>
      </c>
      <c r="AD4796">
        <f>IF(U4796="","MISSING_TOTAL",IF(ABS(AB4796)&lt;=0.01,"OK","CHECK"))</f>
        <v/>
      </c>
      <c r="AE4796">
        <f>IF(U4796="","MISSING",IF(AND(AA4796&gt;0,U4796/AA4796&gt;50),"POSSIBLE_SCALE_ERROR","OK"))</f>
        <v/>
      </c>
    </row>
    <row r="4797">
      <c r="A4797" t="inlineStr">
        <is>
          <t>T-2020-Q1-00068</t>
        </is>
      </c>
      <c r="B4797" t="inlineStr">
        <is>
          <t>SLE</t>
        </is>
      </c>
      <c r="C4797" t="inlineStr">
        <is>
          <t>President</t>
        </is>
      </c>
      <c r="D4797" t="inlineStr">
        <is>
          <t>Président</t>
        </is>
      </c>
      <c r="E4797" t="inlineStr">
        <is>
          <t>Francis McGuire</t>
        </is>
      </c>
      <c r="F4797" t="inlineStr">
        <is>
          <t>Meetings with Government of Canada officials and key stakeholders</t>
        </is>
      </c>
      <c r="G4797" t="inlineStr">
        <is>
          <t>Réunions avec des fonctionnaires du gouvernement du Canada et des intervenants clés</t>
        </is>
      </c>
      <c r="H4797" s="1" t="n">
        <v>43614</v>
      </c>
      <c r="I4797" s="1" t="n">
        <v>43615</v>
      </c>
      <c r="J4797" t="inlineStr">
        <is>
          <t>Halifax, Nova Scotia</t>
        </is>
      </c>
      <c r="K4797" t="inlineStr">
        <is>
          <t>Halifax (Nouvelle-Écosse)</t>
        </is>
      </c>
      <c r="P4797" t="n">
        <v>0</v>
      </c>
      <c r="Q4797" t="n">
        <v>264.7</v>
      </c>
      <c r="R4797" t="n">
        <v>328.44</v>
      </c>
      <c r="S4797" t="n">
        <v>75.2</v>
      </c>
      <c r="T4797" t="n">
        <v>0</v>
      </c>
      <c r="U4797" t="n">
        <v>668.34</v>
      </c>
      <c r="X4797" t="inlineStr">
        <is>
          <t>acoa-apeca</t>
        </is>
      </c>
      <c r="Y4797" t="inlineStr">
        <is>
          <t>Atlantic Canada Opportunities Agency | Agence de promotion économique du Canada atlantique</t>
        </is>
      </c>
      <c r="Z4797" t="n">
        <v>2</v>
      </c>
      <c r="AA4797" t="n">
        <v>668.34</v>
      </c>
      <c r="AB4797">
        <f>ROUND(U4797-AA4797,2)</f>
        <v/>
      </c>
      <c r="AC4797" t="b">
        <v>0</v>
      </c>
      <c r="AD4797">
        <f>IF(U4797="","MISSING_TOTAL",IF(ABS(AB4797)&lt;=0.01,"OK","CHECK"))</f>
        <v/>
      </c>
      <c r="AE4797">
        <f>IF(U4797="","MISSING",IF(AND(AA4797&gt;0,U4797/AA4797&gt;50),"POSSIBLE_SCALE_ERROR","OK"))</f>
        <v/>
      </c>
    </row>
    <row r="4798">
      <c r="A4798" t="inlineStr">
        <is>
          <t>T-2020-Q1-00067</t>
        </is>
      </c>
      <c r="B4798" t="inlineStr">
        <is>
          <t>SLE</t>
        </is>
      </c>
      <c r="C4798" t="inlineStr">
        <is>
          <t>President</t>
        </is>
      </c>
      <c r="D4798" t="inlineStr">
        <is>
          <t>Président</t>
        </is>
      </c>
      <c r="E4798" t="inlineStr">
        <is>
          <t>Francis McGuire</t>
        </is>
      </c>
      <c r="F4798" t="inlineStr">
        <is>
          <t>Event with provincial government officials and key stakeholders</t>
        </is>
      </c>
      <c r="G4798" t="inlineStr">
        <is>
          <t>Évènement avec des fonctionnaires du gouvernement provincial et des intervenants clés</t>
        </is>
      </c>
      <c r="H4798" s="1" t="n">
        <v>43609</v>
      </c>
      <c r="I4798" s="1" t="n">
        <v>43610</v>
      </c>
      <c r="J4798" t="inlineStr">
        <is>
          <t>Wolfville, Nova Scotia</t>
        </is>
      </c>
      <c r="K4798" t="inlineStr">
        <is>
          <t>Wolfville (Nouvelle-Écosse)</t>
        </is>
      </c>
      <c r="P4798" t="n">
        <v>0</v>
      </c>
      <c r="Q4798" t="n">
        <v>343.78</v>
      </c>
      <c r="R4798" t="n">
        <v>146.05</v>
      </c>
      <c r="S4798" t="n">
        <v>145.95</v>
      </c>
      <c r="T4798" t="n">
        <v>10</v>
      </c>
      <c r="U4798" t="n">
        <v>645.78</v>
      </c>
      <c r="X4798" t="inlineStr">
        <is>
          <t>acoa-apeca</t>
        </is>
      </c>
      <c r="Y4798" t="inlineStr">
        <is>
          <t>Atlantic Canada Opportunities Agency | Agence de promotion économique du Canada atlantique</t>
        </is>
      </c>
      <c r="Z4798" t="n">
        <v>2</v>
      </c>
      <c r="AA4798" t="n">
        <v>645.78</v>
      </c>
      <c r="AB4798">
        <f>ROUND(U4798-AA4798,2)</f>
        <v/>
      </c>
      <c r="AC4798" t="b">
        <v>0</v>
      </c>
      <c r="AD4798">
        <f>IF(U4798="","MISSING_TOTAL",IF(ABS(AB4798)&lt;=0.01,"OK","CHECK"))</f>
        <v/>
      </c>
      <c r="AE4798">
        <f>IF(U4798="","MISSING",IF(AND(AA4798&gt;0,U4798/AA4798&gt;50),"POSSIBLE_SCALE_ERROR","OK"))</f>
        <v/>
      </c>
    </row>
    <row r="4799">
      <c r="A4799" t="inlineStr">
        <is>
          <t>T-2020-Q1-00069</t>
        </is>
      </c>
      <c r="B4799" t="inlineStr">
        <is>
          <t>SLE</t>
        </is>
      </c>
      <c r="C4799" t="inlineStr">
        <is>
          <t>President</t>
        </is>
      </c>
      <c r="D4799" t="inlineStr">
        <is>
          <t>Président</t>
        </is>
      </c>
      <c r="E4799" t="inlineStr">
        <is>
          <t>Francis McGuire</t>
        </is>
      </c>
      <c r="F4799" t="inlineStr">
        <is>
          <t>Government of USA event and key stakeholder meeting</t>
        </is>
      </c>
      <c r="G4799" t="inlineStr">
        <is>
          <t>Évènement du gouvernement des États-Unis et réunion avec des intervenants clés</t>
        </is>
      </c>
      <c r="H4799" s="1" t="n">
        <v>43616</v>
      </c>
      <c r="I4799" s="1" t="n">
        <v>43617</v>
      </c>
      <c r="J4799" t="inlineStr">
        <is>
          <t>Ottawa, Ontario</t>
        </is>
      </c>
      <c r="K4799" t="inlineStr">
        <is>
          <t>Ottawa (Ontario)</t>
        </is>
      </c>
      <c r="P4799" t="n">
        <v>542.62</v>
      </c>
      <c r="Q4799" t="n">
        <v>68.84</v>
      </c>
      <c r="R4799" t="n">
        <v>225.64</v>
      </c>
      <c r="S4799" t="n">
        <v>125.85</v>
      </c>
      <c r="T4799" t="n">
        <v>0</v>
      </c>
      <c r="U4799" t="n">
        <v>962.95</v>
      </c>
      <c r="X4799" t="inlineStr">
        <is>
          <t>acoa-apeca</t>
        </is>
      </c>
      <c r="Y4799" t="inlineStr">
        <is>
          <t>Atlantic Canada Opportunities Agency | Agence de promotion économique du Canada atlantique</t>
        </is>
      </c>
      <c r="Z4799" t="n">
        <v>2</v>
      </c>
      <c r="AA4799" t="n">
        <v>962.95</v>
      </c>
      <c r="AB4799">
        <f>ROUND(U4799-AA4799,2)</f>
        <v/>
      </c>
      <c r="AC4799" t="b">
        <v>0</v>
      </c>
      <c r="AD4799">
        <f>IF(U4799="","MISSING_TOTAL",IF(ABS(AB4799)&lt;=0.01,"OK","CHECK"))</f>
        <v/>
      </c>
      <c r="AE4799">
        <f>IF(U4799="","MISSING",IF(AND(AA4799&gt;0,U4799/AA4799&gt;50),"POSSIBLE_SCALE_ERROR","OK"))</f>
        <v/>
      </c>
    </row>
    <row r="4800">
      <c r="A4800" t="inlineStr">
        <is>
          <t>T-2020-Q2-00008</t>
        </is>
      </c>
      <c r="B4800" t="inlineStr">
        <is>
          <t>SLE</t>
        </is>
      </c>
      <c r="C4800" t="inlineStr">
        <is>
          <t>Vice-President, Finance and Corporate Services</t>
        </is>
      </c>
      <c r="D4800" t="inlineStr">
        <is>
          <t>Vice-président, Finance et Services corporatifs</t>
        </is>
      </c>
      <c r="E4800" t="inlineStr">
        <is>
          <t>Stephane Lagace</t>
        </is>
      </c>
      <c r="F4800" t="inlineStr">
        <is>
          <t>Meetings with Government of Canada officials</t>
        </is>
      </c>
      <c r="G4800" t="inlineStr">
        <is>
          <t>Réunions avec des fonctionnaires du gouvernement du Canada</t>
        </is>
      </c>
      <c r="H4800" s="1" t="n">
        <v>43633</v>
      </c>
      <c r="I4800" s="1" t="n">
        <v>43634</v>
      </c>
      <c r="J4800" t="inlineStr">
        <is>
          <t>Ottawa, Ontario</t>
        </is>
      </c>
      <c r="K4800" t="inlineStr">
        <is>
          <t>Ottawa (Ontario)</t>
        </is>
      </c>
      <c r="P4800" t="n">
        <v>773.39</v>
      </c>
      <c r="Q4800" t="n">
        <v>62.61</v>
      </c>
      <c r="R4800" t="n">
        <v>269.12</v>
      </c>
      <c r="S4800" t="n">
        <v>166.45</v>
      </c>
      <c r="T4800" t="n">
        <v>32</v>
      </c>
      <c r="U4800" t="n">
        <v>1303.57</v>
      </c>
      <c r="X4800" t="inlineStr">
        <is>
          <t>acoa-apeca</t>
        </is>
      </c>
      <c r="Y4800" t="inlineStr">
        <is>
          <t>Atlantic Canada Opportunities Agency | Agence de promotion économique du Canada atlantique</t>
        </is>
      </c>
      <c r="Z4800" t="n">
        <v>2</v>
      </c>
      <c r="AA4800" t="n">
        <v>1303.57</v>
      </c>
      <c r="AB4800">
        <f>ROUND(U4800-AA4800,2)</f>
        <v/>
      </c>
      <c r="AC4800" t="b">
        <v>0</v>
      </c>
      <c r="AD4800">
        <f>IF(U4800="","MISSING_TOTAL",IF(ABS(AB4800)&lt;=0.01,"OK","CHECK"))</f>
        <v/>
      </c>
      <c r="AE4800">
        <f>IF(U4800="","MISSING",IF(AND(AA4800&gt;0,U4800/AA4800&gt;50),"POSSIBLE_SCALE_ERROR","OK"))</f>
        <v/>
      </c>
    </row>
    <row r="4801">
      <c r="A4801" t="inlineStr">
        <is>
          <t>T-2020-Q2-00012</t>
        </is>
      </c>
      <c r="B4801" t="inlineStr">
        <is>
          <t>SLE</t>
        </is>
      </c>
      <c r="C4801" t="inlineStr">
        <is>
          <t>Vice-President, Finance and Corporate Services</t>
        </is>
      </c>
      <c r="D4801" t="inlineStr">
        <is>
          <t>Vice-président, Finance et Services corporatifs</t>
        </is>
      </c>
      <c r="E4801" t="inlineStr">
        <is>
          <t>Stephane Lagace</t>
        </is>
      </c>
      <c r="F4801" t="inlineStr">
        <is>
          <t>Meeting with Government of Canada officials</t>
        </is>
      </c>
      <c r="G4801" t="inlineStr">
        <is>
          <t>Réunions avec des fonctionnaires du gouvernement du Canada</t>
        </is>
      </c>
      <c r="H4801" s="1" t="n">
        <v>43642</v>
      </c>
      <c r="I4801" s="1" t="n">
        <v>43643</v>
      </c>
      <c r="J4801" t="inlineStr">
        <is>
          <t>Ottawa, Ontario</t>
        </is>
      </c>
      <c r="K4801" t="inlineStr">
        <is>
          <t>Ottawa (Ontario)</t>
        </is>
      </c>
      <c r="P4801" t="n">
        <v>1012.37</v>
      </c>
      <c r="Q4801" t="n">
        <v>72.98</v>
      </c>
      <c r="R4801" t="n">
        <v>235.04</v>
      </c>
      <c r="S4801" t="n">
        <v>196.6</v>
      </c>
      <c r="T4801" t="n">
        <v>32</v>
      </c>
      <c r="U4801" t="n">
        <v>1548.99</v>
      </c>
      <c r="X4801" t="inlineStr">
        <is>
          <t>acoa-apeca</t>
        </is>
      </c>
      <c r="Y4801" t="inlineStr">
        <is>
          <t>Atlantic Canada Opportunities Agency | Agence de promotion économique du Canada atlantique</t>
        </is>
      </c>
      <c r="Z4801" t="n">
        <v>2</v>
      </c>
      <c r="AA4801" t="n">
        <v>1548.98999999999</v>
      </c>
      <c r="AB4801">
        <f>ROUND(U4801-AA4801,2)</f>
        <v/>
      </c>
      <c r="AC4801" t="b">
        <v>0</v>
      </c>
      <c r="AD4801">
        <f>IF(U4801="","MISSING_TOTAL",IF(ABS(AB4801)&lt;=0.01,"OK","CHECK"))</f>
        <v/>
      </c>
      <c r="AE4801">
        <f>IF(U4801="","MISSING",IF(AND(AA4801&gt;0,U4801/AA4801&gt;50),"POSSIBLE_SCALE_ERROR","OK"))</f>
        <v/>
      </c>
    </row>
    <row r="4802">
      <c r="A4802" t="inlineStr">
        <is>
          <t>T-2020-Q2-00017</t>
        </is>
      </c>
      <c r="B4802" t="inlineStr">
        <is>
          <t>SLE</t>
        </is>
      </c>
      <c r="C4802" t="inlineStr">
        <is>
          <t>Acting Vice-President, Newfoundland and Labrador</t>
        </is>
      </c>
      <c r="D4802" t="inlineStr">
        <is>
          <t>Vice-président par intérim, Terre-Neuve et Labrador</t>
        </is>
      </c>
      <c r="E4802" t="inlineStr">
        <is>
          <t>Bill Grandy</t>
        </is>
      </c>
      <c r="F4802" t="inlineStr">
        <is>
          <t>Assignment in NL Regional Office</t>
        </is>
      </c>
      <c r="G4802" t="inlineStr">
        <is>
          <t>Affectation au bureau régional de T.-N.-L.</t>
        </is>
      </c>
      <c r="H4802" s="1" t="n">
        <v>43640</v>
      </c>
      <c r="I4802" s="1" t="n">
        <v>43644</v>
      </c>
      <c r="J4802" t="inlineStr">
        <is>
          <t>St. John's, Newfoundland and Labrador</t>
        </is>
      </c>
      <c r="K4802" t="inlineStr">
        <is>
          <t>St. John's (Terre-Neuve-et-Labrador)</t>
        </is>
      </c>
      <c r="P4802" t="n">
        <v>1148.22</v>
      </c>
      <c r="Q4802" t="n">
        <v>304.11</v>
      </c>
      <c r="R4802" t="n">
        <v>1525.74</v>
      </c>
      <c r="S4802" t="n">
        <v>471.6</v>
      </c>
      <c r="T4802" t="n">
        <v>0</v>
      </c>
      <c r="U4802" t="n">
        <v>3449.67</v>
      </c>
      <c r="X4802" t="inlineStr">
        <is>
          <t>acoa-apeca</t>
        </is>
      </c>
      <c r="Y4802" t="inlineStr">
        <is>
          <t>Atlantic Canada Opportunities Agency | Agence de promotion économique du Canada atlantique</t>
        </is>
      </c>
      <c r="Z4802" t="n">
        <v>5</v>
      </c>
      <c r="AA4802" t="n">
        <v>3449.66999999999</v>
      </c>
      <c r="AB4802">
        <f>ROUND(U4802-AA4802,2)</f>
        <v/>
      </c>
      <c r="AC4802" t="b">
        <v>0</v>
      </c>
      <c r="AD4802">
        <f>IF(U4802="","MISSING_TOTAL",IF(ABS(AB4802)&lt;=0.01,"OK","CHECK"))</f>
        <v/>
      </c>
      <c r="AE4802">
        <f>IF(U4802="","MISSING",IF(AND(AA4802&gt;0,U4802/AA4802&gt;50),"POSSIBLE_SCALE_ERROR","OK"))</f>
        <v/>
      </c>
    </row>
    <row r="4803">
      <c r="A4803" t="inlineStr">
        <is>
          <t>T-2020-Q1-00002</t>
        </is>
      </c>
      <c r="B4803" t="inlineStr">
        <is>
          <t>SLE</t>
        </is>
      </c>
      <c r="C4803" t="inlineStr">
        <is>
          <t>Vice-President, Policy, Programs and Communications</t>
        </is>
      </c>
      <c r="D4803" t="inlineStr">
        <is>
          <t>Vice-président, Politiques et Programmes</t>
        </is>
      </c>
      <c r="E4803" t="inlineStr">
        <is>
          <t>Daryell Nowlan</t>
        </is>
      </c>
      <c r="F4803" t="inlineStr">
        <is>
          <t>Meetings with Government of Canada officials</t>
        </is>
      </c>
      <c r="G4803" t="inlineStr">
        <is>
          <t>Réunions avec des fonctionnaires du gouvernement du Canada</t>
        </is>
      </c>
      <c r="H4803" s="1" t="n">
        <v>43530</v>
      </c>
      <c r="I4803" s="1" t="n">
        <v>43531</v>
      </c>
      <c r="J4803" t="inlineStr">
        <is>
          <t>Ottawa, Ontario</t>
        </is>
      </c>
      <c r="K4803" t="inlineStr">
        <is>
          <t>Ottawa (Ontario)</t>
        </is>
      </c>
      <c r="P4803" t="n">
        <v>998.77</v>
      </c>
      <c r="Q4803" t="n">
        <v>93.65000000000001</v>
      </c>
      <c r="R4803" t="n">
        <v>222.11</v>
      </c>
      <c r="S4803" t="n">
        <v>174.3</v>
      </c>
      <c r="T4803" t="n">
        <v>0</v>
      </c>
      <c r="U4803" t="n">
        <v>1488.83</v>
      </c>
      <c r="X4803" t="inlineStr">
        <is>
          <t>acoa-apeca</t>
        </is>
      </c>
      <c r="Y4803" t="inlineStr">
        <is>
          <t>Atlantic Canada Opportunities Agency | Agence de promotion économique du Canada atlantique</t>
        </is>
      </c>
      <c r="Z4803" t="n">
        <v>2</v>
      </c>
      <c r="AA4803" t="n">
        <v>1488.83</v>
      </c>
      <c r="AB4803">
        <f>ROUND(U4803-AA4803,2)</f>
        <v/>
      </c>
      <c r="AC4803" t="b">
        <v>0</v>
      </c>
      <c r="AD4803">
        <f>IF(U4803="","MISSING_TOTAL",IF(ABS(AB4803)&lt;=0.01,"OK","CHECK"))</f>
        <v/>
      </c>
      <c r="AE4803">
        <f>IF(U4803="","MISSING",IF(AND(AA4803&gt;0,U4803/AA4803&gt;50),"POSSIBLE_SCALE_ERROR","OK"))</f>
        <v/>
      </c>
    </row>
    <row r="4804">
      <c r="A4804" t="inlineStr">
        <is>
          <t>T-2020-Q1-00005</t>
        </is>
      </c>
      <c r="B4804" t="inlineStr">
        <is>
          <t>SLE</t>
        </is>
      </c>
      <c r="C4804" t="inlineStr">
        <is>
          <t>Vice-President, Policy, Programs and Communications</t>
        </is>
      </c>
      <c r="D4804" t="inlineStr">
        <is>
          <t>Vice-président, Politiques et Programmes</t>
        </is>
      </c>
      <c r="E4804" t="inlineStr">
        <is>
          <t>Daryell Nowlan</t>
        </is>
      </c>
      <c r="F4804" t="inlineStr">
        <is>
          <t>Meetings with Government of Canada officials</t>
        </is>
      </c>
      <c r="G4804" t="inlineStr">
        <is>
          <t>Réunions avec des fonctionnaires du gouvernement du Canada</t>
        </is>
      </c>
      <c r="H4804" s="1" t="n">
        <v>43537</v>
      </c>
      <c r="I4804" s="1" t="n">
        <v>43538</v>
      </c>
      <c r="J4804" t="inlineStr">
        <is>
          <t>Halifax, Nova Scotia</t>
        </is>
      </c>
      <c r="K4804" t="inlineStr">
        <is>
          <t>Halifax (Nouvelle-Écosse)</t>
        </is>
      </c>
      <c r="P4804" t="n">
        <v>0</v>
      </c>
      <c r="Q4804" t="n">
        <v>0</v>
      </c>
      <c r="R4804" t="n">
        <v>205.28</v>
      </c>
      <c r="S4804" t="n">
        <v>124.7</v>
      </c>
      <c r="T4804" t="n">
        <v>0</v>
      </c>
      <c r="U4804" t="n">
        <v>329.98</v>
      </c>
      <c r="X4804" t="inlineStr">
        <is>
          <t>acoa-apeca</t>
        </is>
      </c>
      <c r="Y4804" t="inlineStr">
        <is>
          <t>Atlantic Canada Opportunities Agency | Agence de promotion économique du Canada atlantique</t>
        </is>
      </c>
      <c r="Z4804" t="n">
        <v>2</v>
      </c>
      <c r="AA4804" t="n">
        <v>329.98</v>
      </c>
      <c r="AB4804">
        <f>ROUND(U4804-AA4804,2)</f>
        <v/>
      </c>
      <c r="AC4804" t="b">
        <v>0</v>
      </c>
      <c r="AD4804">
        <f>IF(U4804="","MISSING_TOTAL",IF(ABS(AB4804)&lt;=0.01,"OK","CHECK"))</f>
        <v/>
      </c>
      <c r="AE4804">
        <f>IF(U4804="","MISSING",IF(AND(AA4804&gt;0,U4804/AA4804&gt;50),"POSSIBLE_SCALE_ERROR","OK"))</f>
        <v/>
      </c>
    </row>
    <row r="4805">
      <c r="A4805" t="inlineStr">
        <is>
          <t>T-2020-Q1-00004</t>
        </is>
      </c>
      <c r="B4805" t="inlineStr">
        <is>
          <t>SLE</t>
        </is>
      </c>
      <c r="C4805" t="inlineStr">
        <is>
          <t>Vice-President, Prince Edward Island</t>
        </is>
      </c>
      <c r="D4805" t="inlineStr">
        <is>
          <t>Vice-président, Île-du-Prince-Édouard</t>
        </is>
      </c>
      <c r="E4805" t="inlineStr">
        <is>
          <t>Patrick Dorsey</t>
        </is>
      </c>
      <c r="F4805" t="inlineStr">
        <is>
          <t>Meetings with Agency officials</t>
        </is>
      </c>
      <c r="G4805" t="inlineStr">
        <is>
          <t>Réunions avec des fonctionnaires de l'Agence</t>
        </is>
      </c>
      <c r="H4805" s="1" t="n">
        <v>43537</v>
      </c>
      <c r="I4805" s="1" t="n">
        <v>43538</v>
      </c>
      <c r="J4805" t="inlineStr">
        <is>
          <t>Halifax, Nova Scotia</t>
        </is>
      </c>
      <c r="K4805" t="inlineStr">
        <is>
          <t>Halifax (Nouvelle-Écosse)</t>
        </is>
      </c>
      <c r="P4805" t="n">
        <v>0</v>
      </c>
      <c r="Q4805" t="n">
        <v>86.5</v>
      </c>
      <c r="R4805" t="n">
        <v>195.89</v>
      </c>
      <c r="S4805" t="n">
        <v>144.55</v>
      </c>
      <c r="T4805" t="n">
        <v>0</v>
      </c>
      <c r="U4805" t="n">
        <v>426.94</v>
      </c>
      <c r="X4805" t="inlineStr">
        <is>
          <t>acoa-apeca</t>
        </is>
      </c>
      <c r="Y4805" t="inlineStr">
        <is>
          <t>Atlantic Canada Opportunities Agency | Agence de promotion économique du Canada atlantique</t>
        </is>
      </c>
      <c r="Z4805" t="n">
        <v>2</v>
      </c>
      <c r="AA4805" t="n">
        <v>426.94</v>
      </c>
      <c r="AB4805">
        <f>ROUND(U4805-AA4805,2)</f>
        <v/>
      </c>
      <c r="AC4805" t="b">
        <v>0</v>
      </c>
      <c r="AD4805">
        <f>IF(U4805="","MISSING_TOTAL",IF(ABS(AB4805)&lt;=0.01,"OK","CHECK"))</f>
        <v/>
      </c>
      <c r="AE4805">
        <f>IF(U4805="","MISSING",IF(AND(AA4805&gt;0,U4805/AA4805&gt;50),"POSSIBLE_SCALE_ERROR","OK"))</f>
        <v/>
      </c>
    </row>
    <row r="4806">
      <c r="A4806" t="inlineStr">
        <is>
          <t>T-2020-Q2-00014</t>
        </is>
      </c>
      <c r="B4806" t="inlineStr">
        <is>
          <t>SLE</t>
        </is>
      </c>
      <c r="C4806" t="inlineStr">
        <is>
          <t>Vice-President, New Brunswick</t>
        </is>
      </c>
      <c r="D4806" t="inlineStr">
        <is>
          <t>Vice-président, Nouveau-Brunswick</t>
        </is>
      </c>
      <c r="E4806" t="inlineStr">
        <is>
          <t>Kent Estabrooks</t>
        </is>
      </c>
      <c r="F4806" t="inlineStr">
        <is>
          <t>Meeting with federal officials and labour relations meeting</t>
        </is>
      </c>
      <c r="G4806" t="inlineStr">
        <is>
          <t>Réunion avec des fonctionnaires fédéraux et réunion sur les relations de travail</t>
        </is>
      </c>
      <c r="H4806" s="1" t="n">
        <v>43634</v>
      </c>
      <c r="I4806" s="1" t="n">
        <v>43636</v>
      </c>
      <c r="J4806" t="inlineStr">
        <is>
          <t>Moncton, New Brunswick and Ottawa, Ontario</t>
        </is>
      </c>
      <c r="K4806" t="inlineStr">
        <is>
          <t>Moncton (Nouveau-Brunswick) et Ottawa (Ontario)</t>
        </is>
      </c>
      <c r="P4806" t="n">
        <v>726.8</v>
      </c>
      <c r="Q4806" t="n">
        <v>277.71</v>
      </c>
      <c r="R4806" t="n">
        <v>217.9</v>
      </c>
      <c r="S4806" t="n">
        <v>213.9</v>
      </c>
      <c r="T4806" t="n">
        <v>0</v>
      </c>
      <c r="U4806" t="n">
        <v>1436.31</v>
      </c>
      <c r="X4806" t="inlineStr">
        <is>
          <t>acoa-apeca</t>
        </is>
      </c>
      <c r="Y4806" t="inlineStr">
        <is>
          <t>Atlantic Canada Opportunities Agency | Agence de promotion économique du Canada atlantique</t>
        </is>
      </c>
      <c r="Z4806" t="n">
        <v>3</v>
      </c>
      <c r="AA4806" t="n">
        <v>1436.31</v>
      </c>
      <c r="AB4806">
        <f>ROUND(U4806-AA4806,2)</f>
        <v/>
      </c>
      <c r="AC4806" t="b">
        <v>0</v>
      </c>
      <c r="AD4806">
        <f>IF(U4806="","MISSING_TOTAL",IF(ABS(AB4806)&lt;=0.01,"OK","CHECK"))</f>
        <v/>
      </c>
      <c r="AE4806">
        <f>IF(U4806="","MISSING",IF(AND(AA4806&gt;0,U4806/AA4806&gt;50),"POSSIBLE_SCALE_ERROR","OK"))</f>
        <v/>
      </c>
    </row>
    <row r="4807">
      <c r="A4807" t="inlineStr">
        <is>
          <t>T-2020-Q2-00030</t>
        </is>
      </c>
      <c r="B4807" t="inlineStr">
        <is>
          <t>SLE</t>
        </is>
      </c>
      <c r="C4807" t="inlineStr">
        <is>
          <t>Vice-President, Nova Scotia</t>
        </is>
      </c>
      <c r="D4807" t="inlineStr">
        <is>
          <t>Vice-président, Nouvelle-Écosse</t>
        </is>
      </c>
      <c r="E4807" t="inlineStr">
        <is>
          <t>Chuck Maillet</t>
        </is>
      </c>
      <c r="F4807" t="inlineStr">
        <is>
          <t>Attend National Labour-Management Consultation Committee meeting and attend Creative Destruction Lab super sessions</t>
        </is>
      </c>
      <c r="G4807" t="inlineStr">
        <is>
          <t>Assister à une réunion du Comité national de consultation patronale-syndicale et assister aux super séances du Creative Destruction Lab</t>
        </is>
      </c>
      <c r="H4807" s="1" t="n">
        <v>43626</v>
      </c>
      <c r="I4807" s="1" t="n">
        <v>43629</v>
      </c>
      <c r="J4807" t="inlineStr">
        <is>
          <t>Moncton, New Brunswick and Toronto, Ontario</t>
        </is>
      </c>
      <c r="K4807" t="inlineStr">
        <is>
          <t>Moncton (Nouveau-Brunswick) et Toronto (Ontario)</t>
        </is>
      </c>
      <c r="P4807" t="n">
        <v>1070.29</v>
      </c>
      <c r="Q4807" t="n">
        <v>264.39</v>
      </c>
      <c r="R4807" t="n">
        <v>1128.18</v>
      </c>
      <c r="S4807" t="n">
        <v>363.45</v>
      </c>
      <c r="T4807" t="n">
        <v>0</v>
      </c>
      <c r="U4807" t="n">
        <v>2826.31</v>
      </c>
      <c r="X4807" t="inlineStr">
        <is>
          <t>acoa-apeca</t>
        </is>
      </c>
      <c r="Y4807" t="inlineStr">
        <is>
          <t>Atlantic Canada Opportunities Agency | Agence de promotion économique du Canada atlantique</t>
        </is>
      </c>
      <c r="Z4807" t="n">
        <v>4</v>
      </c>
      <c r="AA4807" t="n">
        <v>2826.30999999999</v>
      </c>
      <c r="AB4807">
        <f>ROUND(U4807-AA4807,2)</f>
        <v/>
      </c>
      <c r="AC4807" t="b">
        <v>0</v>
      </c>
      <c r="AD4807">
        <f>IF(U4807="","MISSING_TOTAL",IF(ABS(AB4807)&lt;=0.01,"OK","CHECK"))</f>
        <v/>
      </c>
      <c r="AE4807">
        <f>IF(U4807="","MISSING",IF(AND(AA4807&gt;0,U4807/AA4807&gt;50),"POSSIBLE_SCALE_ERROR","OK"))</f>
        <v/>
      </c>
    </row>
    <row r="4808">
      <c r="A4808" t="inlineStr">
        <is>
          <t>T-2020-Q2-00015</t>
        </is>
      </c>
      <c r="B4808" t="inlineStr">
        <is>
          <t>SLE</t>
        </is>
      </c>
      <c r="C4808" t="inlineStr">
        <is>
          <t>Vice-President, Policy, Programs and Communications</t>
        </is>
      </c>
      <c r="D4808" t="inlineStr">
        <is>
          <t>Vice-président, Politiques et Programmes</t>
        </is>
      </c>
      <c r="E4808" t="inlineStr">
        <is>
          <t>Daryell Nowlan</t>
        </is>
      </c>
      <c r="F4808" t="inlineStr">
        <is>
          <t>Paris Airshow 2019</t>
        </is>
      </c>
      <c r="G4808" t="inlineStr">
        <is>
          <t>Salon de l'aéronautique de Paris 2019</t>
        </is>
      </c>
      <c r="H4808" s="1" t="n">
        <v>43630</v>
      </c>
      <c r="I4808" s="1" t="n">
        <v>43636</v>
      </c>
      <c r="J4808" t="inlineStr">
        <is>
          <t>Paris, France</t>
        </is>
      </c>
      <c r="K4808" t="inlineStr">
        <is>
          <t>Paris (France)</t>
        </is>
      </c>
      <c r="P4808" t="n">
        <v>1687.38</v>
      </c>
      <c r="Q4808" t="n">
        <v>85.25</v>
      </c>
      <c r="R4808" t="n">
        <v>2747.63</v>
      </c>
      <c r="S4808" t="n">
        <v>1619.22</v>
      </c>
      <c r="T4808" t="n">
        <v>0</v>
      </c>
      <c r="U4808" t="n">
        <v>6139.48</v>
      </c>
      <c r="X4808" t="inlineStr">
        <is>
          <t>acoa-apeca</t>
        </is>
      </c>
      <c r="Y4808" t="inlineStr">
        <is>
          <t>Atlantic Canada Opportunities Agency | Agence de promotion économique du Canada atlantique</t>
        </is>
      </c>
      <c r="Z4808" t="n">
        <v>7</v>
      </c>
      <c r="AA4808" t="n">
        <v>6139.48</v>
      </c>
      <c r="AB4808">
        <f>ROUND(U4808-AA4808,2)</f>
        <v/>
      </c>
      <c r="AC4808" t="b">
        <v>0</v>
      </c>
      <c r="AD4808">
        <f>IF(U4808="","MISSING_TOTAL",IF(ABS(AB4808)&lt;=0.01,"OK","CHECK"))</f>
        <v/>
      </c>
      <c r="AE4808">
        <f>IF(U4808="","MISSING",IF(AND(AA4808&gt;0,U4808/AA4808&gt;50),"POSSIBLE_SCALE_ERROR","OK"))</f>
        <v/>
      </c>
    </row>
    <row r="4809">
      <c r="A4809" t="inlineStr">
        <is>
          <t>T-2020-Q2-00026</t>
        </is>
      </c>
      <c r="B4809" t="inlineStr">
        <is>
          <t>SLE</t>
        </is>
      </c>
      <c r="C4809" t="inlineStr">
        <is>
          <t>Senior Advisor (Energy)</t>
        </is>
      </c>
      <c r="D4809" t="inlineStr">
        <is>
          <t>Conseiller spécial (energie)</t>
        </is>
      </c>
      <c r="E4809" t="inlineStr">
        <is>
          <t>Andrew F. Noseworthy</t>
        </is>
      </c>
      <c r="F4809" t="inlineStr">
        <is>
          <t>Attend the Institute of Corporate Directors - Directors Education Program final exam</t>
        </is>
      </c>
      <c r="G4809" t="inlineStr">
        <is>
          <t>Assister à l'examen final du programme de formation en administration de l'Institut des administrateurs de sociétés</t>
        </is>
      </c>
      <c r="H4809" s="1" t="n">
        <v>43634</v>
      </c>
      <c r="I4809" s="1" t="n">
        <v>43635</v>
      </c>
      <c r="J4809" t="inlineStr">
        <is>
          <t>Toronto, Ontario</t>
        </is>
      </c>
      <c r="K4809" t="inlineStr">
        <is>
          <t>Toronto (Ontario)</t>
        </is>
      </c>
      <c r="P4809" t="n">
        <v>0</v>
      </c>
      <c r="Q4809" t="n">
        <v>164</v>
      </c>
      <c r="R4809" t="n">
        <v>234</v>
      </c>
      <c r="S4809" t="n">
        <v>159</v>
      </c>
      <c r="T4809" t="n">
        <v>78</v>
      </c>
      <c r="U4809" t="n">
        <v>635</v>
      </c>
      <c r="X4809" t="inlineStr">
        <is>
          <t>acoa-apeca</t>
        </is>
      </c>
      <c r="Y4809" t="inlineStr">
        <is>
          <t>Atlantic Canada Opportunities Agency | Agence de promotion économique du Canada atlantique</t>
        </is>
      </c>
      <c r="Z4809" t="n">
        <v>2</v>
      </c>
      <c r="AA4809" t="n">
        <v>635</v>
      </c>
      <c r="AB4809">
        <f>ROUND(U4809-AA4809,2)</f>
        <v/>
      </c>
      <c r="AC4809" t="b">
        <v>0</v>
      </c>
      <c r="AD4809">
        <f>IF(U4809="","MISSING_TOTAL",IF(ABS(AB4809)&lt;=0.01,"OK","CHECK"))</f>
        <v/>
      </c>
      <c r="AE4809">
        <f>IF(U4809="","MISSING",IF(AND(AA4809&gt;0,U4809/AA4809&gt;50),"POSSIBLE_SCALE_ERROR","OK"))</f>
        <v/>
      </c>
    </row>
    <row r="4810">
      <c r="A4810" t="inlineStr">
        <is>
          <t>T-2020-Q2-00037</t>
        </is>
      </c>
      <c r="B4810" t="inlineStr">
        <is>
          <t>SLE</t>
        </is>
      </c>
      <c r="C4810" t="inlineStr">
        <is>
          <t>Vice-President, Policy, Programs and Communications</t>
        </is>
      </c>
      <c r="D4810" t="inlineStr">
        <is>
          <t>Vice-président, Politiques et Programmes</t>
        </is>
      </c>
      <c r="E4810" t="inlineStr">
        <is>
          <t>Daryell Nowlan</t>
        </is>
      </c>
      <c r="F4810" t="inlineStr">
        <is>
          <t>Assignment in Newfoundland Regional Office</t>
        </is>
      </c>
      <c r="G4810" t="inlineStr">
        <is>
          <t>Affectation au bureau régional de Terre-Neuve</t>
        </is>
      </c>
      <c r="H4810" s="1" t="n">
        <v>43674</v>
      </c>
      <c r="I4810" s="1" t="n">
        <v>43678</v>
      </c>
      <c r="J4810" t="inlineStr">
        <is>
          <t>St. John's, Newfoundland and Labrador</t>
        </is>
      </c>
      <c r="K4810" t="inlineStr">
        <is>
          <t>St. John's (Terre-Neuve-et-Labrador)</t>
        </is>
      </c>
      <c r="P4810" t="n">
        <v>882.66</v>
      </c>
      <c r="Q4810" t="n">
        <v>78.2</v>
      </c>
      <c r="R4810" t="n">
        <v>685.4400000000001</v>
      </c>
      <c r="S4810" t="n">
        <v>369.5</v>
      </c>
      <c r="T4810" t="n">
        <v>0</v>
      </c>
      <c r="U4810" t="n">
        <v>2015.8</v>
      </c>
      <c r="X4810" t="inlineStr">
        <is>
          <t>acoa-apeca</t>
        </is>
      </c>
      <c r="Y4810" t="inlineStr">
        <is>
          <t>Atlantic Canada Opportunities Agency | Agence de promotion économique du Canada atlantique</t>
        </is>
      </c>
      <c r="Z4810" t="n">
        <v>5</v>
      </c>
      <c r="AA4810" t="n">
        <v>2015.8</v>
      </c>
      <c r="AB4810">
        <f>ROUND(U4810-AA4810,2)</f>
        <v/>
      </c>
      <c r="AC4810" t="b">
        <v>0</v>
      </c>
      <c r="AD4810">
        <f>IF(U4810="","MISSING_TOTAL",IF(ABS(AB4810)&lt;=0.01,"OK","CHECK"))</f>
        <v/>
      </c>
      <c r="AE4810">
        <f>IF(U4810="","MISSING",IF(AND(AA4810&gt;0,U4810/AA4810&gt;50),"POSSIBLE_SCALE_ERROR","OK"))</f>
        <v/>
      </c>
    </row>
    <row r="4811">
      <c r="A4811" t="inlineStr">
        <is>
          <t>T-2020-Q2-00034</t>
        </is>
      </c>
      <c r="B4811" t="inlineStr">
        <is>
          <t>SLE</t>
        </is>
      </c>
      <c r="C4811" t="inlineStr">
        <is>
          <t>Vice-President, Policy, Programs and Communications</t>
        </is>
      </c>
      <c r="D4811" t="inlineStr">
        <is>
          <t>Vice-président, Politiques et Programmes</t>
        </is>
      </c>
      <c r="E4811" t="inlineStr">
        <is>
          <t>Daryell Nowlan</t>
        </is>
      </c>
      <c r="F4811" t="inlineStr">
        <is>
          <t>Assignment in Newfoundland Regional Office including site visits on the Burin Peninsula</t>
        </is>
      </c>
      <c r="G4811" t="inlineStr">
        <is>
          <t>Affectation au bureau régional de Terre-Neuve comprenant des visites des lieux dans la péninsule Burin</t>
        </is>
      </c>
      <c r="H4811" s="1" t="n">
        <v>43667</v>
      </c>
      <c r="I4811" s="1" t="n">
        <v>43672</v>
      </c>
      <c r="J4811" t="inlineStr">
        <is>
          <t>St. John's and Burin Peninsula, Newfoundland and Labrador</t>
        </is>
      </c>
      <c r="K4811" t="inlineStr">
        <is>
          <t>St. John's et péninsule Burin (Terre-Neuve-et-Labrador)</t>
        </is>
      </c>
      <c r="P4811" t="n">
        <v>596.35</v>
      </c>
      <c r="Q4811" t="n">
        <v>28</v>
      </c>
      <c r="R4811" t="n">
        <v>828.63</v>
      </c>
      <c r="S4811" t="n">
        <v>478.45</v>
      </c>
      <c r="T4811" t="n">
        <v>0</v>
      </c>
      <c r="U4811" t="n">
        <v>1931.43</v>
      </c>
      <c r="X4811" t="inlineStr">
        <is>
          <t>acoa-apeca</t>
        </is>
      </c>
      <c r="Y4811" t="inlineStr">
        <is>
          <t>Atlantic Canada Opportunities Agency | Agence de promotion économique du Canada atlantique</t>
        </is>
      </c>
      <c r="Z4811" t="n">
        <v>6</v>
      </c>
      <c r="AA4811" t="n">
        <v>1931.43</v>
      </c>
      <c r="AB4811">
        <f>ROUND(U4811-AA4811,2)</f>
        <v/>
      </c>
      <c r="AC4811" t="b">
        <v>0</v>
      </c>
      <c r="AD4811">
        <f>IF(U4811="","MISSING_TOTAL",IF(ABS(AB4811)&lt;=0.01,"OK","CHECK"))</f>
        <v/>
      </c>
      <c r="AE4811">
        <f>IF(U4811="","MISSING",IF(AND(AA4811&gt;0,U4811/AA4811&gt;50),"POSSIBLE_SCALE_ERROR","OK"))</f>
        <v/>
      </c>
    </row>
    <row r="4812">
      <c r="A4812" t="inlineStr">
        <is>
          <t>T-2020-Q2-00033</t>
        </is>
      </c>
      <c r="B4812" t="inlineStr">
        <is>
          <t>SLE</t>
        </is>
      </c>
      <c r="C4812" t="inlineStr">
        <is>
          <t>Vice-President, Policy, Programs and Communications</t>
        </is>
      </c>
      <c r="D4812" t="inlineStr">
        <is>
          <t>Vice-président, Politiques et Programmes</t>
        </is>
      </c>
      <c r="E4812" t="inlineStr">
        <is>
          <t>Daryell Nowlan</t>
        </is>
      </c>
      <c r="F4812" t="inlineStr">
        <is>
          <t>Assignment in NL Regional Office</t>
        </is>
      </c>
      <c r="G4812" t="inlineStr">
        <is>
          <t>Affectation au bureau régional de T.-N.-L.</t>
        </is>
      </c>
      <c r="H4812" s="1" t="n">
        <v>43660</v>
      </c>
      <c r="I4812" s="1" t="n">
        <v>43665</v>
      </c>
      <c r="J4812" t="inlineStr">
        <is>
          <t>St. John's, Newfoundland and Labrador</t>
        </is>
      </c>
      <c r="K4812" t="inlineStr">
        <is>
          <t>St. John's (Terre-Neuve-et-Labrador)</t>
        </is>
      </c>
      <c r="P4812" t="n">
        <v>504.83</v>
      </c>
      <c r="Q4812" t="n">
        <v>67.7</v>
      </c>
      <c r="R4812" t="n">
        <v>862.75</v>
      </c>
      <c r="S4812" t="n">
        <v>457.55</v>
      </c>
      <c r="T4812" t="n">
        <v>0</v>
      </c>
      <c r="U4812" t="n">
        <v>1892.83</v>
      </c>
      <c r="X4812" t="inlineStr">
        <is>
          <t>acoa-apeca</t>
        </is>
      </c>
      <c r="Y4812" t="inlineStr">
        <is>
          <t>Atlantic Canada Opportunities Agency | Agence de promotion économique du Canada atlantique</t>
        </is>
      </c>
      <c r="Z4812" t="n">
        <v>6</v>
      </c>
      <c r="AA4812" t="n">
        <v>1892.83</v>
      </c>
      <c r="AB4812">
        <f>ROUND(U4812-AA4812,2)</f>
        <v/>
      </c>
      <c r="AC4812" t="b">
        <v>0</v>
      </c>
      <c r="AD4812">
        <f>IF(U4812="","MISSING_TOTAL",IF(ABS(AB4812)&lt;=0.01,"OK","CHECK"))</f>
        <v/>
      </c>
      <c r="AE4812">
        <f>IF(U4812="","MISSING",IF(AND(AA4812&gt;0,U4812/AA4812&gt;50),"POSSIBLE_SCALE_ERROR","OK"))</f>
        <v/>
      </c>
    </row>
    <row r="4813">
      <c r="A4813" t="inlineStr">
        <is>
          <t>T-2020-Q2-00027</t>
        </is>
      </c>
      <c r="B4813" t="inlineStr">
        <is>
          <t>SLE</t>
        </is>
      </c>
      <c r="C4813" t="inlineStr">
        <is>
          <t>Vice-President, Policy, Programs and Communications</t>
        </is>
      </c>
      <c r="D4813" t="inlineStr">
        <is>
          <t>Vice-président, Politiques et Programmes</t>
        </is>
      </c>
      <c r="E4813" t="inlineStr">
        <is>
          <t>Daryell Nowlan</t>
        </is>
      </c>
      <c r="F4813" t="inlineStr">
        <is>
          <t>Meetings with Government of Canada officials</t>
        </is>
      </c>
      <c r="G4813" t="inlineStr">
        <is>
          <t>Réunions avec des fonctionnaires du gouvernement du Canada</t>
        </is>
      </c>
      <c r="H4813" s="1" t="n">
        <v>43654</v>
      </c>
      <c r="I4813" s="1" t="n">
        <v>43656</v>
      </c>
      <c r="J4813" t="inlineStr">
        <is>
          <t>Halifax, Nova Scotia and Ottawa, Ontario</t>
        </is>
      </c>
      <c r="K4813" t="inlineStr">
        <is>
          <t>Halifax (Nouvelle-Écosse) et Ottawa (Ontario)</t>
        </is>
      </c>
      <c r="P4813" t="n">
        <v>672.61</v>
      </c>
      <c r="Q4813" t="n">
        <v>122.66</v>
      </c>
      <c r="R4813" t="n">
        <v>444.22</v>
      </c>
      <c r="S4813" t="n">
        <v>213.5</v>
      </c>
      <c r="T4813" t="n">
        <v>0</v>
      </c>
      <c r="U4813" t="n">
        <v>1452.99</v>
      </c>
      <c r="X4813" t="inlineStr">
        <is>
          <t>acoa-apeca</t>
        </is>
      </c>
      <c r="Y4813" t="inlineStr">
        <is>
          <t>Atlantic Canada Opportunities Agency | Agence de promotion économique du Canada atlantique</t>
        </is>
      </c>
      <c r="Z4813" t="n">
        <v>3</v>
      </c>
      <c r="AA4813" t="n">
        <v>1452.99</v>
      </c>
      <c r="AB4813">
        <f>ROUND(U4813-AA4813,2)</f>
        <v/>
      </c>
      <c r="AC4813" t="b">
        <v>0</v>
      </c>
      <c r="AD4813">
        <f>IF(U4813="","MISSING_TOTAL",IF(ABS(AB4813)&lt;=0.01,"OK","CHECK"))</f>
        <v/>
      </c>
      <c r="AE4813">
        <f>IF(U4813="","MISSING",IF(AND(AA4813&gt;0,U4813/AA4813&gt;50),"POSSIBLE_SCALE_ERROR","OK"))</f>
        <v/>
      </c>
    </row>
    <row r="4814">
      <c r="A4814" t="inlineStr">
        <is>
          <t>T-2020-Q2-00025</t>
        </is>
      </c>
      <c r="B4814" t="inlineStr">
        <is>
          <t>SLE</t>
        </is>
      </c>
      <c r="C4814" t="inlineStr">
        <is>
          <t>Vice-President, New Brunswick</t>
        </is>
      </c>
      <c r="D4814" t="inlineStr">
        <is>
          <t>Vice-président, Nouveau-Brunswick</t>
        </is>
      </c>
      <c r="E4814" t="inlineStr">
        <is>
          <t>Kent Estabrooks</t>
        </is>
      </c>
      <c r="F4814" t="inlineStr">
        <is>
          <t>Meeting with Government of Canada officials, meeting with Agency officials and external stakeholders meeting</t>
        </is>
      </c>
      <c r="G4814" t="inlineStr">
        <is>
          <t>Réunion avec des fonctionnaires fédéraux, réunion avec des fonctionnaires de l'Agence et réunion avec des intervenants externes</t>
        </is>
      </c>
      <c r="H4814" s="1" t="n">
        <v>43660</v>
      </c>
      <c r="I4814" s="1" t="n">
        <v>43662</v>
      </c>
      <c r="J4814" t="inlineStr">
        <is>
          <t>Ottawa, Ontario</t>
        </is>
      </c>
      <c r="K4814" t="inlineStr">
        <is>
          <t>Ottawa (Ontario)</t>
        </is>
      </c>
      <c r="P4814" t="n">
        <v>726.8</v>
      </c>
      <c r="Q4814" t="n">
        <v>114.98</v>
      </c>
      <c r="R4814" t="n">
        <v>444.22</v>
      </c>
      <c r="S4814" t="n">
        <v>244.05</v>
      </c>
      <c r="T4814" t="n">
        <v>0</v>
      </c>
      <c r="U4814" t="n">
        <v>1530.05</v>
      </c>
      <c r="X4814" t="inlineStr">
        <is>
          <t>acoa-apeca</t>
        </is>
      </c>
      <c r="Y4814" t="inlineStr">
        <is>
          <t>Atlantic Canada Opportunities Agency | Agence de promotion économique du Canada atlantique</t>
        </is>
      </c>
      <c r="Z4814" t="n">
        <v>3</v>
      </c>
      <c r="AA4814" t="n">
        <v>1530.05</v>
      </c>
      <c r="AB4814">
        <f>ROUND(U4814-AA4814,2)</f>
        <v/>
      </c>
      <c r="AC4814" t="b">
        <v>0</v>
      </c>
      <c r="AD4814">
        <f>IF(U4814="","MISSING_TOTAL",IF(ABS(AB4814)&lt;=0.01,"OK","CHECK"))</f>
        <v/>
      </c>
      <c r="AE4814">
        <f>IF(U4814="","MISSING",IF(AND(AA4814&gt;0,U4814/AA4814&gt;50),"POSSIBLE_SCALE_ERROR","OK"))</f>
        <v/>
      </c>
    </row>
    <row r="4815">
      <c r="A4815" t="inlineStr">
        <is>
          <t>T-2020-Q2-00024</t>
        </is>
      </c>
      <c r="B4815" t="inlineStr">
        <is>
          <t>SLE</t>
        </is>
      </c>
      <c r="C4815" t="inlineStr">
        <is>
          <t>Vice-President, New Brunswick</t>
        </is>
      </c>
      <c r="D4815" t="inlineStr">
        <is>
          <t>Vice-président, Nouveau-Brunswick</t>
        </is>
      </c>
      <c r="E4815" t="inlineStr">
        <is>
          <t>Kent Estabrooks</t>
        </is>
      </c>
      <c r="F4815" t="inlineStr">
        <is>
          <t>Meetings with various Agency officials and mentorship meetings</t>
        </is>
      </c>
      <c r="G4815" t="inlineStr">
        <is>
          <t>Réunions avec divers fonctionnaires de l'Agence et réunions de mentorat</t>
        </is>
      </c>
      <c r="H4815" s="1" t="n">
        <v>43663</v>
      </c>
      <c r="I4815" s="1" t="n">
        <v>43664</v>
      </c>
      <c r="J4815" t="inlineStr">
        <is>
          <t>Moncton, New Brunswick</t>
        </is>
      </c>
      <c r="K4815" t="inlineStr">
        <is>
          <t>Moncton (Nouveau-Brunswick)</t>
        </is>
      </c>
      <c r="P4815" t="n">
        <v>0</v>
      </c>
      <c r="Q4815" t="n">
        <v>17.25</v>
      </c>
      <c r="R4815" t="n">
        <v>173.65</v>
      </c>
      <c r="S4815" t="n">
        <v>125.45</v>
      </c>
      <c r="T4815" t="n">
        <v>0</v>
      </c>
      <c r="U4815" t="n">
        <v>316.35</v>
      </c>
      <c r="X4815" t="inlineStr">
        <is>
          <t>acoa-apeca</t>
        </is>
      </c>
      <c r="Y4815" t="inlineStr">
        <is>
          <t>Atlantic Canada Opportunities Agency | Agence de promotion économique du Canada atlantique</t>
        </is>
      </c>
      <c r="Z4815" t="n">
        <v>2</v>
      </c>
      <c r="AA4815" t="n">
        <v>316.35</v>
      </c>
      <c r="AB4815">
        <f>ROUND(U4815-AA4815,2)</f>
        <v/>
      </c>
      <c r="AC4815" t="b">
        <v>0</v>
      </c>
      <c r="AD4815">
        <f>IF(U4815="","MISSING_TOTAL",IF(ABS(AB4815)&lt;=0.01,"OK","CHECK"))</f>
        <v/>
      </c>
      <c r="AE4815">
        <f>IF(U4815="","MISSING",IF(AND(AA4815&gt;0,U4815/AA4815&gt;50),"POSSIBLE_SCALE_ERROR","OK"))</f>
        <v/>
      </c>
    </row>
    <row r="4816">
      <c r="A4816" t="inlineStr">
        <is>
          <t>T-2020-Q2-00021</t>
        </is>
      </c>
      <c r="B4816" t="inlineStr">
        <is>
          <t>SLE</t>
        </is>
      </c>
      <c r="C4816" t="inlineStr">
        <is>
          <t>Vice-President, New Brunswick</t>
        </is>
      </c>
      <c r="D4816" t="inlineStr">
        <is>
          <t>Vice-président, Nouveau-Brunswick</t>
        </is>
      </c>
      <c r="E4816" t="inlineStr">
        <is>
          <t>Kent Estabrooks</t>
        </is>
      </c>
      <c r="F4816" t="inlineStr">
        <is>
          <t>Agency Executive Committee meeting and various meetings with Agency officials</t>
        </is>
      </c>
      <c r="G4816" t="inlineStr">
        <is>
          <t>Réunion du Comité de direction de l'Agence et diverses réunions avec des fonctionnaires de l'Agence</t>
        </is>
      </c>
      <c r="H4816" s="1" t="n">
        <v>43656</v>
      </c>
      <c r="I4816" s="1" t="n">
        <v>43658</v>
      </c>
      <c r="J4816" t="inlineStr">
        <is>
          <t>Moncton, New Brunswick</t>
        </is>
      </c>
      <c r="K4816" t="inlineStr">
        <is>
          <t>Moncton (Nouveau-Brunswick)</t>
        </is>
      </c>
      <c r="P4816" t="n">
        <v>0</v>
      </c>
      <c r="Q4816" t="n">
        <v>51.75</v>
      </c>
      <c r="R4816" t="n">
        <v>347.3</v>
      </c>
      <c r="S4816" t="n">
        <v>173.3</v>
      </c>
      <c r="T4816" t="n">
        <v>0</v>
      </c>
      <c r="U4816" t="n">
        <v>572.35</v>
      </c>
      <c r="X4816" t="inlineStr">
        <is>
          <t>acoa-apeca</t>
        </is>
      </c>
      <c r="Y4816" t="inlineStr">
        <is>
          <t>Atlantic Canada Opportunities Agency | Agence de promotion économique du Canada atlantique</t>
        </is>
      </c>
      <c r="Z4816" t="n">
        <v>3</v>
      </c>
      <c r="AA4816" t="n">
        <v>572.35</v>
      </c>
      <c r="AB4816">
        <f>ROUND(U4816-AA4816,2)</f>
        <v/>
      </c>
      <c r="AC4816" t="b">
        <v>0</v>
      </c>
      <c r="AD4816">
        <f>IF(U4816="","MISSING_TOTAL",IF(ABS(AB4816)&lt;=0.01,"OK","CHECK"))</f>
        <v/>
      </c>
      <c r="AE4816">
        <f>IF(U4816="","MISSING",IF(AND(AA4816&gt;0,U4816/AA4816&gt;50),"POSSIBLE_SCALE_ERROR","OK"))</f>
        <v/>
      </c>
    </row>
    <row r="4817">
      <c r="A4817" t="inlineStr">
        <is>
          <t>T-2020-Q2-00020</t>
        </is>
      </c>
      <c r="B4817" t="inlineStr">
        <is>
          <t>SLE</t>
        </is>
      </c>
      <c r="C4817" t="inlineStr">
        <is>
          <t>Vice-President, New Brunswick</t>
        </is>
      </c>
      <c r="D4817" t="inlineStr">
        <is>
          <t>Vice-président, Nouveau-Brunswick</t>
        </is>
      </c>
      <c r="E4817" t="inlineStr">
        <is>
          <t>Kent Estabrooks</t>
        </is>
      </c>
      <c r="F4817" t="inlineStr">
        <is>
          <t>Meetings with stakeholders and with Agency officials</t>
        </is>
      </c>
      <c r="G4817" t="inlineStr">
        <is>
          <t>Réunions avec des intervenants et des fonctionnaires de l'Agence</t>
        </is>
      </c>
      <c r="H4817" s="1" t="n">
        <v>43649</v>
      </c>
      <c r="I4817" s="1" t="n">
        <v>43651</v>
      </c>
      <c r="J4817" t="inlineStr">
        <is>
          <t>Ottawa, Ontario and Moncton, New Brunswick</t>
        </is>
      </c>
      <c r="K4817" t="inlineStr">
        <is>
          <t>Ottawa (Ontario) et Moncton (Nouveau-Brunswick)</t>
        </is>
      </c>
      <c r="P4817" t="n">
        <v>726.8</v>
      </c>
      <c r="Q4817" t="n">
        <v>119</v>
      </c>
      <c r="R4817" t="n">
        <v>395.76</v>
      </c>
      <c r="S4817" t="n">
        <v>264.15</v>
      </c>
      <c r="T4817" t="n">
        <v>0</v>
      </c>
      <c r="U4817" t="n">
        <v>1505.71</v>
      </c>
      <c r="X4817" t="inlineStr">
        <is>
          <t>acoa-apeca</t>
        </is>
      </c>
      <c r="Y4817" t="inlineStr">
        <is>
          <t>Atlantic Canada Opportunities Agency | Agence de promotion économique du Canada atlantique</t>
        </is>
      </c>
      <c r="Z4817" t="n">
        <v>3</v>
      </c>
      <c r="AA4817" t="n">
        <v>1505.71</v>
      </c>
      <c r="AB4817">
        <f>ROUND(U4817-AA4817,2)</f>
        <v/>
      </c>
      <c r="AC4817" t="b">
        <v>0</v>
      </c>
      <c r="AD4817">
        <f>IF(U4817="","MISSING_TOTAL",IF(ABS(AB4817)&lt;=0.01,"OK","CHECK"))</f>
        <v/>
      </c>
      <c r="AE4817">
        <f>IF(U4817="","MISSING",IF(AND(AA4817&gt;0,U4817/AA4817&gt;50),"POSSIBLE_SCALE_ERROR","OK"))</f>
        <v/>
      </c>
    </row>
    <row r="4818">
      <c r="A4818" t="inlineStr">
        <is>
          <t>T-2020-Q2-00022</t>
        </is>
      </c>
      <c r="B4818" t="inlineStr">
        <is>
          <t>SLE</t>
        </is>
      </c>
      <c r="C4818" t="inlineStr">
        <is>
          <t>Vice-President, Prince Edward Island</t>
        </is>
      </c>
      <c r="D4818" t="inlineStr">
        <is>
          <t>Vice-président, Île-du-Prince-Édouard</t>
        </is>
      </c>
      <c r="E4818" t="inlineStr">
        <is>
          <t>Patrick Dorsey</t>
        </is>
      </c>
      <c r="F4818" t="inlineStr">
        <is>
          <t>Meetings with provincial government officials on July 17, 2019</t>
        </is>
      </c>
      <c r="G4818" t="inlineStr">
        <is>
          <t>Réunions avec des fonctionnaires provinciaux le 17 juillet 2019</t>
        </is>
      </c>
      <c r="H4818" s="1" t="n">
        <v>43662</v>
      </c>
      <c r="I4818" s="1" t="n">
        <v>43663</v>
      </c>
      <c r="J4818" t="inlineStr">
        <is>
          <t>Halifax, Nova Scotia</t>
        </is>
      </c>
      <c r="K4818" t="inlineStr">
        <is>
          <t>Halifax (Nouvelle-Écosse)</t>
        </is>
      </c>
      <c r="P4818" t="n">
        <v>0</v>
      </c>
      <c r="Q4818" t="n">
        <v>0</v>
      </c>
      <c r="R4818" t="n">
        <v>206.45</v>
      </c>
      <c r="S4818" t="n">
        <v>125.85</v>
      </c>
      <c r="T4818" t="n">
        <v>28.75</v>
      </c>
      <c r="U4818" t="n">
        <v>361.05</v>
      </c>
      <c r="X4818" t="inlineStr">
        <is>
          <t>acoa-apeca</t>
        </is>
      </c>
      <c r="Y4818" t="inlineStr">
        <is>
          <t>Atlantic Canada Opportunities Agency | Agence de promotion économique du Canada atlantique</t>
        </is>
      </c>
      <c r="Z4818" t="n">
        <v>2</v>
      </c>
      <c r="AA4818" t="n">
        <v>361.049999999999</v>
      </c>
      <c r="AB4818">
        <f>ROUND(U4818-AA4818,2)</f>
        <v/>
      </c>
      <c r="AC4818" t="b">
        <v>0</v>
      </c>
      <c r="AD4818">
        <f>IF(U4818="","MISSING_TOTAL",IF(ABS(AB4818)&lt;=0.01,"OK","CHECK"))</f>
        <v/>
      </c>
      <c r="AE4818">
        <f>IF(U4818="","MISSING",IF(AND(AA4818&gt;0,U4818/AA4818&gt;50),"POSSIBLE_SCALE_ERROR","OK"))</f>
        <v/>
      </c>
    </row>
    <row r="4819">
      <c r="A4819" t="inlineStr">
        <is>
          <t>T-2020-Q2-00036</t>
        </is>
      </c>
      <c r="B4819" t="inlineStr">
        <is>
          <t>SLE</t>
        </is>
      </c>
      <c r="C4819" t="inlineStr">
        <is>
          <t>Vice-President, Nova Scotia</t>
        </is>
      </c>
      <c r="D4819" t="inlineStr">
        <is>
          <t>Vice-président, Nouvelle-Écosse</t>
        </is>
      </c>
      <c r="E4819" t="inlineStr">
        <is>
          <t>Chuck Maillet</t>
        </is>
      </c>
      <c r="F4819" t="inlineStr">
        <is>
          <t>Participate in Startupfest and site visit to MT Lab</t>
        </is>
      </c>
      <c r="G4819" t="inlineStr">
        <is>
          <t>Participation au Startupfest et visite du MT Lab</t>
        </is>
      </c>
      <c r="H4819" s="1" t="n">
        <v>43655</v>
      </c>
      <c r="I4819" s="1" t="n">
        <v>43658</v>
      </c>
      <c r="J4819" t="inlineStr">
        <is>
          <t>Montreal, Quebec</t>
        </is>
      </c>
      <c r="K4819" t="inlineStr">
        <is>
          <t>Montréal (Québec)</t>
        </is>
      </c>
      <c r="P4819" t="n">
        <v>483.28</v>
      </c>
      <c r="Q4819" t="n">
        <v>194</v>
      </c>
      <c r="R4819" t="n">
        <v>928.2</v>
      </c>
      <c r="S4819" t="n">
        <v>431.4</v>
      </c>
      <c r="T4819" t="n">
        <v>0</v>
      </c>
      <c r="U4819" t="n">
        <v>2036.88</v>
      </c>
      <c r="X4819" t="inlineStr">
        <is>
          <t>acoa-apeca</t>
        </is>
      </c>
      <c r="Y4819" t="inlineStr">
        <is>
          <t>Atlantic Canada Opportunities Agency | Agence de promotion économique du Canada atlantique</t>
        </is>
      </c>
      <c r="Z4819" t="n">
        <v>4</v>
      </c>
      <c r="AA4819" t="n">
        <v>2036.88</v>
      </c>
      <c r="AB4819">
        <f>ROUND(U4819-AA4819,2)</f>
        <v/>
      </c>
      <c r="AC4819" t="b">
        <v>0</v>
      </c>
      <c r="AD4819">
        <f>IF(U4819="","MISSING_TOTAL",IF(ABS(AB4819)&lt;=0.01,"OK","CHECK"))</f>
        <v/>
      </c>
      <c r="AE4819">
        <f>IF(U4819="","MISSING",IF(AND(AA4819&gt;0,U4819/AA4819&gt;50),"POSSIBLE_SCALE_ERROR","OK"))</f>
        <v/>
      </c>
    </row>
    <row r="4820">
      <c r="A4820" t="inlineStr">
        <is>
          <t>T-2020-Q2-00035</t>
        </is>
      </c>
      <c r="B4820" t="inlineStr">
        <is>
          <t>SLE</t>
        </is>
      </c>
      <c r="C4820" t="inlineStr">
        <is>
          <t>Vice-President, Nova Scotia</t>
        </is>
      </c>
      <c r="D4820" t="inlineStr">
        <is>
          <t>Vice-président, Nouvelle-Écosse</t>
        </is>
      </c>
      <c r="E4820" t="inlineStr">
        <is>
          <t>Chuck Maillet</t>
        </is>
      </c>
      <c r="F4820" t="inlineStr">
        <is>
          <t>Client and stakeholder visits in Kings and Hants counties</t>
        </is>
      </c>
      <c r="G4820" t="inlineStr">
        <is>
          <t>Visites de clients et d'intervenants dans les comtés de Kings et de Hants</t>
        </is>
      </c>
      <c r="H4820" s="1" t="n">
        <v>43677</v>
      </c>
      <c r="I4820" s="1" t="n">
        <v>43677</v>
      </c>
      <c r="J4820" t="inlineStr">
        <is>
          <t>Kings and Hants counties, Nova Scotia</t>
        </is>
      </c>
      <c r="K4820" t="inlineStr">
        <is>
          <t>Comtés de Kings et de Hants (Nouvelle-Écosse)</t>
        </is>
      </c>
      <c r="P4820" t="n">
        <v>0</v>
      </c>
      <c r="Q4820" t="n">
        <v>103.88</v>
      </c>
      <c r="R4820" t="n">
        <v>0</v>
      </c>
      <c r="S4820" t="n">
        <v>20.1</v>
      </c>
      <c r="T4820" t="n">
        <v>0</v>
      </c>
      <c r="U4820" t="n">
        <v>123.98</v>
      </c>
      <c r="X4820" t="inlineStr">
        <is>
          <t>acoa-apeca</t>
        </is>
      </c>
      <c r="Y4820" t="inlineStr">
        <is>
          <t>Atlantic Canada Opportunities Agency | Agence de promotion économique du Canada atlantique</t>
        </is>
      </c>
      <c r="Z4820" t="n">
        <v>1</v>
      </c>
      <c r="AA4820" t="n">
        <v>123.979999999999</v>
      </c>
      <c r="AB4820">
        <f>ROUND(U4820-AA4820,2)</f>
        <v/>
      </c>
      <c r="AC4820" t="b">
        <v>0</v>
      </c>
      <c r="AD4820">
        <f>IF(U4820="","MISSING_TOTAL",IF(ABS(AB4820)&lt;=0.01,"OK","CHECK"))</f>
        <v/>
      </c>
      <c r="AE4820">
        <f>IF(U4820="","MISSING",IF(AND(AA4820&gt;0,U4820/AA4820&gt;50),"POSSIBLE_SCALE_ERROR","OK"))</f>
        <v/>
      </c>
    </row>
    <row r="4821">
      <c r="A4821" t="inlineStr">
        <is>
          <t>T-2020-Q2-00019</t>
        </is>
      </c>
      <c r="B4821" t="inlineStr">
        <is>
          <t>SLE</t>
        </is>
      </c>
      <c r="C4821" t="inlineStr">
        <is>
          <t>President</t>
        </is>
      </c>
      <c r="D4821" t="inlineStr">
        <is>
          <t>Président</t>
        </is>
      </c>
      <c r="E4821" t="inlineStr">
        <is>
          <t>Francis McGuire</t>
        </is>
      </c>
      <c r="F4821" t="inlineStr">
        <is>
          <t>Meetings with Government of Canada officials and key stakeholders</t>
        </is>
      </c>
      <c r="G4821" t="inlineStr">
        <is>
          <t>Réunions avec des fonctionnaires du gouvernement du Canada et des intervenants clés</t>
        </is>
      </c>
      <c r="H4821" s="1" t="n">
        <v>43649</v>
      </c>
      <c r="I4821" s="1" t="n">
        <v>43651</v>
      </c>
      <c r="J4821" t="inlineStr">
        <is>
          <t>Halifax, Nova Soctia</t>
        </is>
      </c>
      <c r="K4821" t="inlineStr">
        <is>
          <t>Halifax (Nouvelle-Écosse)</t>
        </is>
      </c>
      <c r="P4821" t="n">
        <v>0</v>
      </c>
      <c r="Q4821" t="n">
        <v>278.74</v>
      </c>
      <c r="R4821" t="n">
        <v>466.86</v>
      </c>
      <c r="S4821" t="n">
        <v>214.3</v>
      </c>
      <c r="T4821" t="n">
        <v>5</v>
      </c>
      <c r="U4821" t="n">
        <v>964.9</v>
      </c>
      <c r="X4821" t="inlineStr">
        <is>
          <t>acoa-apeca</t>
        </is>
      </c>
      <c r="Y4821" t="inlineStr">
        <is>
          <t>Atlantic Canada Opportunities Agency | Agence de promotion économique du Canada atlantique</t>
        </is>
      </c>
      <c r="Z4821" t="n">
        <v>3</v>
      </c>
      <c r="AA4821" t="n">
        <v>964.9</v>
      </c>
      <c r="AB4821">
        <f>ROUND(U4821-AA4821,2)</f>
        <v/>
      </c>
      <c r="AC4821" t="b">
        <v>0</v>
      </c>
      <c r="AD4821">
        <f>IF(U4821="","MISSING_TOTAL",IF(ABS(AB4821)&lt;=0.01,"OK","CHECK"))</f>
        <v/>
      </c>
      <c r="AE4821">
        <f>IF(U4821="","MISSING",IF(AND(AA4821&gt;0,U4821/AA4821&gt;50),"POSSIBLE_SCALE_ERROR","OK"))</f>
        <v/>
      </c>
    </row>
    <row r="4822">
      <c r="A4822" t="inlineStr">
        <is>
          <t>T-2020-Q2-00023</t>
        </is>
      </c>
      <c r="B4822" t="inlineStr">
        <is>
          <t>SLE</t>
        </is>
      </c>
      <c r="C4822" t="inlineStr">
        <is>
          <t>Acting Vice-President, Newfoundland and Labrador</t>
        </is>
      </c>
      <c r="D4822" t="inlineStr">
        <is>
          <t>Vice-président par intérim, Terre-Neuve et Labrador</t>
        </is>
      </c>
      <c r="E4822" t="inlineStr">
        <is>
          <t>Bill Grandy</t>
        </is>
      </c>
      <c r="F4822" t="inlineStr">
        <is>
          <t>Assignment in NL Regional Office</t>
        </is>
      </c>
      <c r="G4822" t="inlineStr">
        <is>
          <t>Affectation au bureau régional de T.-N.-L.</t>
        </is>
      </c>
      <c r="H4822" s="1" t="n">
        <v>43654</v>
      </c>
      <c r="I4822" s="1" t="n">
        <v>43656</v>
      </c>
      <c r="J4822" t="inlineStr">
        <is>
          <t>St. John's, Newfoundland and Labrador</t>
        </is>
      </c>
      <c r="K4822" t="inlineStr">
        <is>
          <t>St. John's (Terre-Neuve-et-Labrador)</t>
        </is>
      </c>
      <c r="P4822" t="n">
        <v>813.8</v>
      </c>
      <c r="Q4822" t="n">
        <v>278.75</v>
      </c>
      <c r="R4822" t="n">
        <v>354.62</v>
      </c>
      <c r="S4822" t="n">
        <v>254.5</v>
      </c>
      <c r="T4822" t="n">
        <v>66</v>
      </c>
      <c r="U4822" t="n">
        <v>1767.67</v>
      </c>
      <c r="X4822" t="inlineStr">
        <is>
          <t>acoa-apeca</t>
        </is>
      </c>
      <c r="Y4822" t="inlineStr">
        <is>
          <t>Atlantic Canada Opportunities Agency | Agence de promotion économique du Canada atlantique</t>
        </is>
      </c>
      <c r="Z4822" t="n">
        <v>3</v>
      </c>
      <c r="AA4822" t="n">
        <v>1767.67</v>
      </c>
      <c r="AB4822">
        <f>ROUND(U4822-AA4822,2)</f>
        <v/>
      </c>
      <c r="AC4822" t="b">
        <v>0</v>
      </c>
      <c r="AD4822">
        <f>IF(U4822="","MISSING_TOTAL",IF(ABS(AB4822)&lt;=0.01,"OK","CHECK"))</f>
        <v/>
      </c>
      <c r="AE4822">
        <f>IF(U4822="","MISSING",IF(AND(AA4822&gt;0,U4822/AA4822&gt;50),"POSSIBLE_SCALE_ERROR","OK"))</f>
        <v/>
      </c>
    </row>
    <row r="4823">
      <c r="A4823" t="inlineStr">
        <is>
          <t>T-2020-Q2-00018</t>
        </is>
      </c>
      <c r="B4823" t="inlineStr">
        <is>
          <t>SLE</t>
        </is>
      </c>
      <c r="C4823" t="inlineStr">
        <is>
          <t>Acting Vice-President, Newfoundland and Labrador</t>
        </is>
      </c>
      <c r="D4823" t="inlineStr">
        <is>
          <t>Vice-président par intérim, Terre-Neuve et Labrador</t>
        </is>
      </c>
      <c r="E4823" t="inlineStr">
        <is>
          <t>Bill Grandy</t>
        </is>
      </c>
      <c r="F4823" t="inlineStr">
        <is>
          <t>Assignment in NL Regional Office</t>
        </is>
      </c>
      <c r="G4823" t="inlineStr">
        <is>
          <t>Affectation au bureau régional de T.-N.-L.</t>
        </is>
      </c>
      <c r="H4823" s="1" t="n">
        <v>43648</v>
      </c>
      <c r="I4823" s="1" t="n">
        <v>43650</v>
      </c>
      <c r="J4823" t="inlineStr">
        <is>
          <t>St. John's, Newfoundland and Labrador</t>
        </is>
      </c>
      <c r="K4823" t="inlineStr">
        <is>
          <t>St. John's (Terre-Neuve-et-Labrador)</t>
        </is>
      </c>
      <c r="P4823" t="n">
        <v>1082.32</v>
      </c>
      <c r="Q4823" t="n">
        <v>80</v>
      </c>
      <c r="R4823" t="n">
        <v>354.62</v>
      </c>
      <c r="S4823" t="n">
        <v>234.44</v>
      </c>
      <c r="T4823" t="n">
        <v>0</v>
      </c>
      <c r="U4823" t="n">
        <v>1751.38</v>
      </c>
      <c r="X4823" t="inlineStr">
        <is>
          <t>acoa-apeca</t>
        </is>
      </c>
      <c r="Y4823" t="inlineStr">
        <is>
          <t>Atlantic Canada Opportunities Agency | Agence de promotion économique du Canada atlantique</t>
        </is>
      </c>
      <c r="Z4823" t="n">
        <v>3</v>
      </c>
      <c r="AA4823" t="n">
        <v>1751.38</v>
      </c>
      <c r="AB4823">
        <f>ROUND(U4823-AA4823,2)</f>
        <v/>
      </c>
      <c r="AC4823" t="b">
        <v>0</v>
      </c>
      <c r="AD4823">
        <f>IF(U4823="","MISSING_TOTAL",IF(ABS(AB4823)&lt;=0.01,"OK","CHECK"))</f>
        <v/>
      </c>
      <c r="AE4823">
        <f>IF(U4823="","MISSING",IF(AND(AA4823&gt;0,U4823/AA4823&gt;50),"POSSIBLE_SCALE_ERROR","OK"))</f>
        <v/>
      </c>
    </row>
    <row r="4824">
      <c r="A4824" t="inlineStr">
        <is>
          <t>T-2020-Q2-00059</t>
        </is>
      </c>
      <c r="B4824" t="inlineStr">
        <is>
          <t>SLE</t>
        </is>
      </c>
      <c r="C4824" t="inlineStr">
        <is>
          <t>Vice-President, New Brunswick</t>
        </is>
      </c>
      <c r="D4824" t="inlineStr">
        <is>
          <t>Vice-président, Nouveau-Brunswick</t>
        </is>
      </c>
      <c r="E4824" t="inlineStr">
        <is>
          <t>Kent Estabrooks</t>
        </is>
      </c>
      <c r="F4824" t="inlineStr">
        <is>
          <t>Meetings with various Government of Canada officials</t>
        </is>
      </c>
      <c r="G4824" t="inlineStr">
        <is>
          <t>Réunions avec divers fonctionnaires du gouvernement du Canada</t>
        </is>
      </c>
      <c r="H4824" s="1" t="n">
        <v>43704</v>
      </c>
      <c r="I4824" s="1" t="n">
        <v>43705</v>
      </c>
      <c r="J4824" t="inlineStr">
        <is>
          <t>Ottawa, Ontario</t>
        </is>
      </c>
      <c r="K4824" t="inlineStr">
        <is>
          <t>Ottawa (Ontario)</t>
        </is>
      </c>
      <c r="P4824" t="n">
        <v>726.8</v>
      </c>
      <c r="Q4824" t="n">
        <v>118.98</v>
      </c>
      <c r="R4824" t="n">
        <v>222.11</v>
      </c>
      <c r="S4824" t="n">
        <v>156</v>
      </c>
      <c r="T4824" t="n">
        <v>0</v>
      </c>
      <c r="U4824" t="n">
        <v>1223.89</v>
      </c>
      <c r="X4824" t="inlineStr">
        <is>
          <t>acoa-apeca</t>
        </is>
      </c>
      <c r="Y4824" t="inlineStr">
        <is>
          <t>Atlantic Canada Opportunities Agency | Agence de promotion économique du Canada atlantique</t>
        </is>
      </c>
      <c r="Z4824" t="n">
        <v>2</v>
      </c>
      <c r="AA4824" t="n">
        <v>1223.88999999999</v>
      </c>
      <c r="AB4824">
        <f>ROUND(U4824-AA4824,2)</f>
        <v/>
      </c>
      <c r="AC4824" t="b">
        <v>0</v>
      </c>
      <c r="AD4824">
        <f>IF(U4824="","MISSING_TOTAL",IF(ABS(AB4824)&lt;=0.01,"OK","CHECK"))</f>
        <v/>
      </c>
      <c r="AE4824">
        <f>IF(U4824="","MISSING",IF(AND(AA4824&gt;0,U4824/AA4824&gt;50),"POSSIBLE_SCALE_ERROR","OK"))</f>
        <v/>
      </c>
    </row>
    <row r="4825">
      <c r="A4825" t="inlineStr">
        <is>
          <t>T-2020-Q2-00058</t>
        </is>
      </c>
      <c r="B4825" t="inlineStr">
        <is>
          <t>SLE</t>
        </is>
      </c>
      <c r="C4825" t="inlineStr">
        <is>
          <t>Vice-President, New Brunswick</t>
        </is>
      </c>
      <c r="D4825" t="inlineStr">
        <is>
          <t>Vice-président, Nouveau-Brunswick</t>
        </is>
      </c>
      <c r="E4825" t="inlineStr">
        <is>
          <t>Kent Estabrooks</t>
        </is>
      </c>
      <c r="F4825" t="inlineStr">
        <is>
          <t>Meeting with a client</t>
        </is>
      </c>
      <c r="G4825" t="inlineStr">
        <is>
          <t>Réunion avec un client</t>
        </is>
      </c>
      <c r="H4825" s="1" t="n">
        <v>43699</v>
      </c>
      <c r="I4825" s="1" t="n">
        <v>43699</v>
      </c>
      <c r="J4825" t="inlineStr">
        <is>
          <t>Saint John, New Brunswick</t>
        </is>
      </c>
      <c r="K4825" t="inlineStr">
        <is>
          <t>Saint John (Nouveau-Brunswick)</t>
        </is>
      </c>
      <c r="P4825" t="n">
        <v>0</v>
      </c>
      <c r="Q4825" t="n">
        <v>8.050000000000001</v>
      </c>
      <c r="R4825" t="n">
        <v>0</v>
      </c>
      <c r="S4825" t="n">
        <v>20.1</v>
      </c>
      <c r="T4825" t="n">
        <v>0</v>
      </c>
      <c r="U4825" t="n">
        <v>28.15</v>
      </c>
      <c r="X4825" t="inlineStr">
        <is>
          <t>acoa-apeca</t>
        </is>
      </c>
      <c r="Y4825" t="inlineStr">
        <is>
          <t>Atlantic Canada Opportunities Agency | Agence de promotion économique du Canada atlantique</t>
        </is>
      </c>
      <c r="Z4825" t="n">
        <v>1</v>
      </c>
      <c r="AA4825" t="n">
        <v>28.15</v>
      </c>
      <c r="AB4825">
        <f>ROUND(U4825-AA4825,2)</f>
        <v/>
      </c>
      <c r="AC4825" t="b">
        <v>0</v>
      </c>
      <c r="AD4825">
        <f>IF(U4825="","MISSING_TOTAL",IF(ABS(AB4825)&lt;=0.01,"OK","CHECK"))</f>
        <v/>
      </c>
      <c r="AE4825">
        <f>IF(U4825="","MISSING",IF(AND(AA4825&gt;0,U4825/AA4825&gt;50),"POSSIBLE_SCALE_ERROR","OK"))</f>
        <v/>
      </c>
    </row>
    <row r="4826">
      <c r="A4826" t="inlineStr">
        <is>
          <t>T-2020-Q2-00057</t>
        </is>
      </c>
      <c r="B4826" t="inlineStr">
        <is>
          <t>SLE</t>
        </is>
      </c>
      <c r="C4826" t="inlineStr">
        <is>
          <t>Vice-President, New Brunswick</t>
        </is>
      </c>
      <c r="D4826" t="inlineStr">
        <is>
          <t>Vice-président, Nouveau-Brunswick</t>
        </is>
      </c>
      <c r="E4826" t="inlineStr">
        <is>
          <t>Kent Estabrooks</t>
        </is>
      </c>
      <c r="F4826" t="inlineStr">
        <is>
          <t>External stakeholder meeting, and meetings with various Government of Canada employees</t>
        </is>
      </c>
      <c r="G4826" t="inlineStr">
        <is>
          <t>Réunion avec un intervenant externe et réunions avec divers fonctionnaires du gouvernement du Canada</t>
        </is>
      </c>
      <c r="H4826" s="1" t="n">
        <v>43689</v>
      </c>
      <c r="I4826" s="1" t="n">
        <v>43690</v>
      </c>
      <c r="J4826" t="inlineStr">
        <is>
          <t>Moncton, New Brunswick</t>
        </is>
      </c>
      <c r="K4826" t="inlineStr">
        <is>
          <t>Moncton (Nouveau-Brunswick)</t>
        </is>
      </c>
      <c r="P4826" t="n">
        <v>0</v>
      </c>
      <c r="Q4826" t="n">
        <v>17.25</v>
      </c>
      <c r="R4826" t="n">
        <v>173.65</v>
      </c>
      <c r="S4826" t="n">
        <v>125.45</v>
      </c>
      <c r="T4826" t="n">
        <v>0</v>
      </c>
      <c r="U4826" t="n">
        <v>316.35</v>
      </c>
      <c r="X4826" t="inlineStr">
        <is>
          <t>acoa-apeca</t>
        </is>
      </c>
      <c r="Y4826" t="inlineStr">
        <is>
          <t>Atlantic Canada Opportunities Agency | Agence de promotion économique du Canada atlantique</t>
        </is>
      </c>
      <c r="Z4826" t="n">
        <v>2</v>
      </c>
      <c r="AA4826" t="n">
        <v>316.35</v>
      </c>
      <c r="AB4826">
        <f>ROUND(U4826-AA4826,2)</f>
        <v/>
      </c>
      <c r="AC4826" t="b">
        <v>0</v>
      </c>
      <c r="AD4826">
        <f>IF(U4826="","MISSING_TOTAL",IF(ABS(AB4826)&lt;=0.01,"OK","CHECK"))</f>
        <v/>
      </c>
      <c r="AE4826">
        <f>IF(U4826="","MISSING",IF(AND(AA4826&gt;0,U4826/AA4826&gt;50),"POSSIBLE_SCALE_ERROR","OK"))</f>
        <v/>
      </c>
    </row>
    <row r="4827">
      <c r="A4827" t="inlineStr">
        <is>
          <t>T-2020-Q2-00056</t>
        </is>
      </c>
      <c r="B4827" t="inlineStr">
        <is>
          <t>SLE</t>
        </is>
      </c>
      <c r="C4827" t="inlineStr">
        <is>
          <t>Vice-President, New Brunswick</t>
        </is>
      </c>
      <c r="D4827" t="inlineStr">
        <is>
          <t>Vice-président, Nouveau-Brunswick</t>
        </is>
      </c>
      <c r="E4827" t="inlineStr">
        <is>
          <t>Kent Estabrooks</t>
        </is>
      </c>
      <c r="F4827" t="inlineStr">
        <is>
          <t>Meetings with various Government of Canada officials, and client meeting</t>
        </is>
      </c>
      <c r="G4827" t="inlineStr">
        <is>
          <t>Réunions avec divers fonctionnaires du gouvernement du Canada et réunion avec un client</t>
        </is>
      </c>
      <c r="H4827" s="1" t="n">
        <v>43690</v>
      </c>
      <c r="I4827" s="1" t="n">
        <v>43691</v>
      </c>
      <c r="J4827" t="inlineStr">
        <is>
          <t>Halifax, Nova Scotia</t>
        </is>
      </c>
      <c r="K4827" t="inlineStr">
        <is>
          <t>Halifax (Nouvelle-Écosse)</t>
        </is>
      </c>
      <c r="P4827" t="n">
        <v>726.8</v>
      </c>
      <c r="Q4827" t="n">
        <v>127.4</v>
      </c>
      <c r="R4827" t="n">
        <v>222.11</v>
      </c>
      <c r="S4827" t="n">
        <v>135.9</v>
      </c>
      <c r="T4827" t="n">
        <v>0</v>
      </c>
      <c r="U4827" t="n">
        <v>1212.21</v>
      </c>
      <c r="X4827" t="inlineStr">
        <is>
          <t>acoa-apeca</t>
        </is>
      </c>
      <c r="Y4827" t="inlineStr">
        <is>
          <t>Atlantic Canada Opportunities Agency | Agence de promotion économique du Canada atlantique</t>
        </is>
      </c>
      <c r="Z4827" t="n">
        <v>2</v>
      </c>
      <c r="AA4827" t="n">
        <v>1212.21</v>
      </c>
      <c r="AB4827">
        <f>ROUND(U4827-AA4827,2)</f>
        <v/>
      </c>
      <c r="AC4827" t="b">
        <v>0</v>
      </c>
      <c r="AD4827">
        <f>IF(U4827="","MISSING_TOTAL",IF(ABS(AB4827)&lt;=0.01,"OK","CHECK"))</f>
        <v/>
      </c>
      <c r="AE4827">
        <f>IF(U4827="","MISSING",IF(AND(AA4827&gt;0,U4827/AA4827&gt;50),"POSSIBLE_SCALE_ERROR","OK"))</f>
        <v/>
      </c>
    </row>
    <row r="4828">
      <c r="A4828" t="inlineStr">
        <is>
          <t>T-2020-Q2-00048</t>
        </is>
      </c>
      <c r="B4828" t="inlineStr">
        <is>
          <t>SLE</t>
        </is>
      </c>
      <c r="C4828" t="inlineStr">
        <is>
          <t>Vice-President, Prince Edward Island</t>
        </is>
      </c>
      <c r="D4828" t="inlineStr">
        <is>
          <t>Vice-président, Île-du-Prince-Édouard</t>
        </is>
      </c>
      <c r="E4828" t="inlineStr">
        <is>
          <t>Patrick Dorsey</t>
        </is>
      </c>
      <c r="F4828" t="inlineStr">
        <is>
          <t>Meetings with Federal Government officials</t>
        </is>
      </c>
      <c r="G4828" t="inlineStr">
        <is>
          <t>Réunions avec des fonctionnaires fédéraux</t>
        </is>
      </c>
      <c r="H4828" s="1" t="n">
        <v>43690</v>
      </c>
      <c r="I4828" s="1" t="n">
        <v>43691</v>
      </c>
      <c r="J4828" t="inlineStr">
        <is>
          <t>Halifax, Nova Scotia</t>
        </is>
      </c>
      <c r="K4828" t="inlineStr">
        <is>
          <t>Halifax (Nouvelle-Écosse)</t>
        </is>
      </c>
      <c r="P4828" t="n">
        <v>0</v>
      </c>
      <c r="Q4828" t="n">
        <v>79</v>
      </c>
      <c r="R4828" t="n">
        <v>235.2</v>
      </c>
      <c r="S4828" t="n">
        <v>176.5</v>
      </c>
      <c r="T4828" t="n">
        <v>0</v>
      </c>
      <c r="U4828" t="n">
        <v>490.7</v>
      </c>
      <c r="X4828" t="inlineStr">
        <is>
          <t>acoa-apeca</t>
        </is>
      </c>
      <c r="Y4828" t="inlineStr">
        <is>
          <t>Atlantic Canada Opportunities Agency | Agence de promotion économique du Canada atlantique</t>
        </is>
      </c>
      <c r="Z4828" t="n">
        <v>2</v>
      </c>
      <c r="AA4828" t="n">
        <v>490.7</v>
      </c>
      <c r="AB4828">
        <f>ROUND(U4828-AA4828,2)</f>
        <v/>
      </c>
      <c r="AC4828" t="b">
        <v>0</v>
      </c>
      <c r="AD4828">
        <f>IF(U4828="","MISSING_TOTAL",IF(ABS(AB4828)&lt;=0.01,"OK","CHECK"))</f>
        <v/>
      </c>
      <c r="AE4828">
        <f>IF(U4828="","MISSING",IF(AND(AA4828&gt;0,U4828/AA4828&gt;50),"POSSIBLE_SCALE_ERROR","OK"))</f>
        <v/>
      </c>
    </row>
    <row r="4829">
      <c r="A4829" t="inlineStr">
        <is>
          <t>T-2020-Q2-00041</t>
        </is>
      </c>
      <c r="B4829" t="inlineStr">
        <is>
          <t>SLE</t>
        </is>
      </c>
      <c r="C4829" t="inlineStr">
        <is>
          <t>Vice-President, Prince Edward Island</t>
        </is>
      </c>
      <c r="D4829" t="inlineStr">
        <is>
          <t>Vice-président, Île-du-Prince-Édouard</t>
        </is>
      </c>
      <c r="E4829" t="inlineStr">
        <is>
          <t>Patrick Dorsey</t>
        </is>
      </c>
      <c r="F4829" t="inlineStr">
        <is>
          <t>Conference with Federal Government Officials and Stakeholders</t>
        </is>
      </c>
      <c r="G4829" t="inlineStr">
        <is>
          <t>Conférence avec des fonctionnaires fédéraux et des intervenants</t>
        </is>
      </c>
      <c r="H4829" s="1" t="n">
        <v>43683</v>
      </c>
      <c r="I4829" s="1" t="n">
        <v>43685</v>
      </c>
      <c r="J4829" t="inlineStr">
        <is>
          <t>Brudenell, Prince Edward Island</t>
        </is>
      </c>
      <c r="K4829" t="inlineStr">
        <is>
          <t>Brudenell (Île-du-Prince-Édouard)</t>
        </is>
      </c>
      <c r="P4829" t="n">
        <v>0</v>
      </c>
      <c r="Q4829" t="n">
        <v>0</v>
      </c>
      <c r="R4829" t="n">
        <v>395.6</v>
      </c>
      <c r="S4829" t="n">
        <v>51.9</v>
      </c>
      <c r="T4829" t="n">
        <v>0</v>
      </c>
      <c r="U4829" t="n">
        <v>447.5</v>
      </c>
      <c r="X4829" t="inlineStr">
        <is>
          <t>acoa-apeca</t>
        </is>
      </c>
      <c r="Y4829" t="inlineStr">
        <is>
          <t>Atlantic Canada Opportunities Agency | Agence de promotion économique du Canada atlantique</t>
        </is>
      </c>
      <c r="Z4829" t="n">
        <v>3</v>
      </c>
      <c r="AA4829" t="n">
        <v>447.5</v>
      </c>
      <c r="AB4829">
        <f>ROUND(U4829-AA4829,2)</f>
        <v/>
      </c>
      <c r="AC4829" t="b">
        <v>0</v>
      </c>
      <c r="AD4829">
        <f>IF(U4829="","MISSING_TOTAL",IF(ABS(AB4829)&lt;=0.01,"OK","CHECK"))</f>
        <v/>
      </c>
      <c r="AE4829">
        <f>IF(U4829="","MISSING",IF(AND(AA4829&gt;0,U4829/AA4829&gt;50),"POSSIBLE_SCALE_ERROR","OK"))</f>
        <v/>
      </c>
    </row>
    <row r="4830">
      <c r="A4830" t="inlineStr">
        <is>
          <t>T-2020-Q2-00061</t>
        </is>
      </c>
      <c r="B4830" t="inlineStr">
        <is>
          <t>SLE</t>
        </is>
      </c>
      <c r="C4830" t="inlineStr">
        <is>
          <t>Vice-President, Nova Scotia</t>
        </is>
      </c>
      <c r="D4830" t="inlineStr">
        <is>
          <t>Vice-président, Nouvelle-Écosse</t>
        </is>
      </c>
      <c r="E4830" t="inlineStr">
        <is>
          <t>Chuck Maillet</t>
        </is>
      </c>
      <c r="F4830" t="inlineStr">
        <is>
          <t>Various meetings with Agency officials, partners and stakeholders</t>
        </is>
      </c>
      <c r="G4830" t="inlineStr">
        <is>
          <t>Diverses réunions avec des fonctionnaires de l'Agence, des partenaires et des intervenants</t>
        </is>
      </c>
      <c r="H4830" s="1" t="n">
        <v>43702</v>
      </c>
      <c r="I4830" s="1" t="n">
        <v>43703</v>
      </c>
      <c r="J4830" t="inlineStr">
        <is>
          <t>Sydney, Nova Scotia</t>
        </is>
      </c>
      <c r="K4830" t="inlineStr">
        <is>
          <t>Sydney (Nouvelle-Écosse)</t>
        </is>
      </c>
      <c r="P4830" t="n">
        <v>501.69</v>
      </c>
      <c r="Q4830" t="n">
        <v>74.56</v>
      </c>
      <c r="R4830" t="n">
        <v>174.78</v>
      </c>
      <c r="S4830" t="n">
        <v>176.5</v>
      </c>
      <c r="T4830" t="n">
        <v>0</v>
      </c>
      <c r="U4830" t="n">
        <v>927.53</v>
      </c>
      <c r="X4830" t="inlineStr">
        <is>
          <t>acoa-apeca</t>
        </is>
      </c>
      <c r="Y4830" t="inlineStr">
        <is>
          <t>Atlantic Canada Opportunities Agency | Agence de promotion économique du Canada atlantique</t>
        </is>
      </c>
      <c r="Z4830" t="n">
        <v>2</v>
      </c>
      <c r="AA4830" t="n">
        <v>927.53</v>
      </c>
      <c r="AB4830">
        <f>ROUND(U4830-AA4830,2)</f>
        <v/>
      </c>
      <c r="AC4830" t="b">
        <v>0</v>
      </c>
      <c r="AD4830">
        <f>IF(U4830="","MISSING_TOTAL",IF(ABS(AB4830)&lt;=0.01,"OK","CHECK"))</f>
        <v/>
      </c>
      <c r="AE4830">
        <f>IF(U4830="","MISSING",IF(AND(AA4830&gt;0,U4830/AA4830&gt;50),"POSSIBLE_SCALE_ERROR","OK"))</f>
        <v/>
      </c>
    </row>
    <row r="4831">
      <c r="A4831" t="inlineStr">
        <is>
          <t>T-2020-Q2-00060</t>
        </is>
      </c>
      <c r="B4831" t="inlineStr">
        <is>
          <t>SLE</t>
        </is>
      </c>
      <c r="C4831" t="inlineStr">
        <is>
          <t>Vice-President, Nova Scotia</t>
        </is>
      </c>
      <c r="D4831" t="inlineStr">
        <is>
          <t>Vice-président, Nouvelle-Écosse</t>
        </is>
      </c>
      <c r="E4831" t="inlineStr">
        <is>
          <t>Chuck Maillet</t>
        </is>
      </c>
      <c r="F4831" t="inlineStr">
        <is>
          <t>Various meetings with Agency officials, partners and stakeholders</t>
        </is>
      </c>
      <c r="G4831" t="inlineStr">
        <is>
          <t>Diverses réunions avec des fonctionnaires de l'Agence, des partenaires et des intervenants</t>
        </is>
      </c>
      <c r="H4831" s="1" t="n">
        <v>43699</v>
      </c>
      <c r="I4831" s="1" t="n">
        <v>43700</v>
      </c>
      <c r="J4831" t="inlineStr">
        <is>
          <t>Moncton, New Brunswick</t>
        </is>
      </c>
      <c r="K4831" t="inlineStr">
        <is>
          <t>Moncton (Nouveau-Brunswick)</t>
        </is>
      </c>
      <c r="P4831" t="n">
        <v>0</v>
      </c>
      <c r="Q4831" t="n">
        <v>137.75</v>
      </c>
      <c r="R4831" t="n">
        <v>173.65</v>
      </c>
      <c r="S4831" t="n">
        <v>125.85</v>
      </c>
      <c r="T4831" t="n">
        <v>0</v>
      </c>
      <c r="U4831" t="n">
        <v>437.25</v>
      </c>
      <c r="X4831" t="inlineStr">
        <is>
          <t>acoa-apeca</t>
        </is>
      </c>
      <c r="Y4831" t="inlineStr">
        <is>
          <t>Atlantic Canada Opportunities Agency | Agence de promotion économique du Canada atlantique</t>
        </is>
      </c>
      <c r="Z4831" t="n">
        <v>2</v>
      </c>
      <c r="AA4831" t="n">
        <v>437.25</v>
      </c>
      <c r="AB4831">
        <f>ROUND(U4831-AA4831,2)</f>
        <v/>
      </c>
      <c r="AC4831" t="b">
        <v>0</v>
      </c>
      <c r="AD4831">
        <f>IF(U4831="","MISSING_TOTAL",IF(ABS(AB4831)&lt;=0.01,"OK","CHECK"))</f>
        <v/>
      </c>
      <c r="AE4831">
        <f>IF(U4831="","MISSING",IF(AND(AA4831&gt;0,U4831/AA4831&gt;50),"POSSIBLE_SCALE_ERROR","OK"))</f>
        <v/>
      </c>
    </row>
    <row r="4832">
      <c r="A4832" t="inlineStr">
        <is>
          <t>T-2020-Q2-00063</t>
        </is>
      </c>
      <c r="B4832" t="inlineStr">
        <is>
          <t>SLE</t>
        </is>
      </c>
      <c r="C4832" t="inlineStr">
        <is>
          <t>President</t>
        </is>
      </c>
      <c r="D4832" t="inlineStr">
        <is>
          <t>Président</t>
        </is>
      </c>
      <c r="E4832" t="inlineStr">
        <is>
          <t>Francis McGuire</t>
        </is>
      </c>
      <c r="F4832" t="inlineStr">
        <is>
          <t>Meetings/site visits with Government of Canada officials and key stakeholders</t>
        </is>
      </c>
      <c r="G4832" t="inlineStr">
        <is>
          <t>Réunions et visites d'installations avec des fonctionnaires du gouvernement du Canada et des intervenants clés</t>
        </is>
      </c>
      <c r="H4832" s="1" t="n">
        <v>43696</v>
      </c>
      <c r="I4832" s="1" t="n">
        <v>43698</v>
      </c>
      <c r="J4832" t="inlineStr">
        <is>
          <t>St. John's, Newfoundland and Labrador</t>
        </is>
      </c>
      <c r="K4832" t="inlineStr">
        <is>
          <t>St. John's (Terre-Neuve-et-Labrador)</t>
        </is>
      </c>
      <c r="P4832" t="n">
        <v>1791.44</v>
      </c>
      <c r="Q4832" t="n">
        <v>14.98</v>
      </c>
      <c r="R4832" t="n">
        <v>437.92</v>
      </c>
      <c r="S4832" t="n">
        <v>285.05</v>
      </c>
      <c r="T4832" t="n">
        <v>36</v>
      </c>
      <c r="U4832" t="n">
        <v>2565.39</v>
      </c>
      <c r="X4832" t="inlineStr">
        <is>
          <t>acoa-apeca</t>
        </is>
      </c>
      <c r="Y4832" t="inlineStr">
        <is>
          <t>Atlantic Canada Opportunities Agency | Agence de promotion économique du Canada atlantique</t>
        </is>
      </c>
      <c r="Z4832" t="n">
        <v>3</v>
      </c>
      <c r="AA4832" t="n">
        <v>2565.39</v>
      </c>
      <c r="AB4832">
        <f>ROUND(U4832-AA4832,2)</f>
        <v/>
      </c>
      <c r="AC4832" t="b">
        <v>0</v>
      </c>
      <c r="AD4832">
        <f>IF(U4832="","MISSING_TOTAL",IF(ABS(AB4832)&lt;=0.01,"OK","CHECK"))</f>
        <v/>
      </c>
      <c r="AE4832">
        <f>IF(U4832="","MISSING",IF(AND(AA4832&gt;0,U4832/AA4832&gt;50),"POSSIBLE_SCALE_ERROR","OK"))</f>
        <v/>
      </c>
    </row>
    <row r="4833">
      <c r="A4833" t="inlineStr">
        <is>
          <t>T-2020-Q2-00062</t>
        </is>
      </c>
      <c r="B4833" t="inlineStr">
        <is>
          <t>SLE</t>
        </is>
      </c>
      <c r="C4833" t="inlineStr">
        <is>
          <t>President</t>
        </is>
      </c>
      <c r="D4833" t="inlineStr">
        <is>
          <t>Président</t>
        </is>
      </c>
      <c r="E4833" t="inlineStr">
        <is>
          <t>Francis McGuire</t>
        </is>
      </c>
      <c r="F4833" t="inlineStr">
        <is>
          <t>Meetings with Government of Canada officials</t>
        </is>
      </c>
      <c r="G4833" t="inlineStr">
        <is>
          <t>Réunions avec des fonctionnaires du gouvernement du Canada</t>
        </is>
      </c>
      <c r="H4833" s="1" t="n">
        <v>43699</v>
      </c>
      <c r="I4833" s="1" t="n">
        <v>43700</v>
      </c>
      <c r="J4833" t="inlineStr">
        <is>
          <t>Ottawa, Ontario</t>
        </is>
      </c>
      <c r="K4833" t="inlineStr">
        <is>
          <t>Ottawa (Ontario)</t>
        </is>
      </c>
      <c r="P4833" t="n">
        <v>674.38</v>
      </c>
      <c r="Q4833" t="n">
        <v>16.05</v>
      </c>
      <c r="R4833" t="n">
        <v>222.11</v>
      </c>
      <c r="S4833" t="n">
        <v>145.95</v>
      </c>
      <c r="T4833" t="n">
        <v>24</v>
      </c>
      <c r="U4833" t="n">
        <v>1082.49</v>
      </c>
      <c r="X4833" t="inlineStr">
        <is>
          <t>acoa-apeca</t>
        </is>
      </c>
      <c r="Y4833" t="inlineStr">
        <is>
          <t>Atlantic Canada Opportunities Agency | Agence de promotion économique du Canada atlantique</t>
        </is>
      </c>
      <c r="Z4833" t="n">
        <v>2</v>
      </c>
      <c r="AA4833" t="n">
        <v>1082.49</v>
      </c>
      <c r="AB4833">
        <f>ROUND(U4833-AA4833,2)</f>
        <v/>
      </c>
      <c r="AC4833" t="b">
        <v>0</v>
      </c>
      <c r="AD4833">
        <f>IF(U4833="","MISSING_TOTAL",IF(ABS(AB4833)&lt;=0.01,"OK","CHECK"))</f>
        <v/>
      </c>
      <c r="AE4833">
        <f>IF(U4833="","MISSING",IF(AND(AA4833&gt;0,U4833/AA4833&gt;50),"POSSIBLE_SCALE_ERROR","OK"))</f>
        <v/>
      </c>
    </row>
    <row r="4834">
      <c r="A4834" t="inlineStr">
        <is>
          <t>T-2020-Q2-00051</t>
        </is>
      </c>
      <c r="B4834" t="inlineStr">
        <is>
          <t>SLE</t>
        </is>
      </c>
      <c r="C4834" t="inlineStr">
        <is>
          <t>President</t>
        </is>
      </c>
      <c r="D4834" t="inlineStr">
        <is>
          <t>Président</t>
        </is>
      </c>
      <c r="E4834" t="inlineStr">
        <is>
          <t>Francis McGuire</t>
        </is>
      </c>
      <c r="F4834" t="inlineStr">
        <is>
          <t>Meetings with government officials and key stakeholders</t>
        </is>
      </c>
      <c r="G4834" t="inlineStr">
        <is>
          <t>Réunions avec des fonctionnaires et des intervenants clés</t>
        </is>
      </c>
      <c r="H4834" s="1" t="n">
        <v>43690</v>
      </c>
      <c r="I4834" s="1" t="n">
        <v>43692</v>
      </c>
      <c r="J4834" t="inlineStr">
        <is>
          <t>Dartmouth, Halifax and Truro, Nova Scotia</t>
        </is>
      </c>
      <c r="K4834" t="inlineStr">
        <is>
          <t>Dartmouth, Halifax and Truro (Nouvelle-Écosse)</t>
        </is>
      </c>
      <c r="P4834" t="n">
        <v>0</v>
      </c>
      <c r="Q4834" t="n">
        <v>301.46</v>
      </c>
      <c r="R4834" t="n">
        <v>439.88</v>
      </c>
      <c r="S4834" t="n">
        <v>194.2</v>
      </c>
      <c r="T4834" t="n">
        <v>0</v>
      </c>
      <c r="U4834" t="n">
        <v>935.54</v>
      </c>
      <c r="X4834" t="inlineStr">
        <is>
          <t>acoa-apeca</t>
        </is>
      </c>
      <c r="Y4834" t="inlineStr">
        <is>
          <t>Atlantic Canada Opportunities Agency | Agence de promotion économique du Canada atlantique</t>
        </is>
      </c>
      <c r="Z4834" t="n">
        <v>3</v>
      </c>
      <c r="AA4834" t="n">
        <v>935.54</v>
      </c>
      <c r="AB4834">
        <f>ROUND(U4834-AA4834,2)</f>
        <v/>
      </c>
      <c r="AC4834" t="b">
        <v>0</v>
      </c>
      <c r="AD4834">
        <f>IF(U4834="","MISSING_TOTAL",IF(ABS(AB4834)&lt;=0.01,"OK","CHECK"))</f>
        <v/>
      </c>
      <c r="AE4834">
        <f>IF(U4834="","MISSING",IF(AND(AA4834&gt;0,U4834/AA4834&gt;50),"POSSIBLE_SCALE_ERROR","OK"))</f>
        <v/>
      </c>
    </row>
    <row r="4835">
      <c r="A4835" t="inlineStr">
        <is>
          <t>T-2020-Q2-00047</t>
        </is>
      </c>
      <c r="B4835" t="inlineStr">
        <is>
          <t>SLE</t>
        </is>
      </c>
      <c r="C4835" t="inlineStr">
        <is>
          <t>President</t>
        </is>
      </c>
      <c r="D4835" t="inlineStr">
        <is>
          <t>Président</t>
        </is>
      </c>
      <c r="E4835" t="inlineStr">
        <is>
          <t>Francis McGuire</t>
        </is>
      </c>
      <c r="F4835" t="inlineStr">
        <is>
          <t>Meetings with Government of Canada officials</t>
        </is>
      </c>
      <c r="G4835" t="inlineStr">
        <is>
          <t>Réunions avec des fonctionnaires du gouvernement du Canada</t>
        </is>
      </c>
      <c r="H4835" s="1" t="n">
        <v>43685</v>
      </c>
      <c r="I4835" s="1" t="n">
        <v>43685</v>
      </c>
      <c r="J4835" t="inlineStr">
        <is>
          <t>Ottawa, Ontario</t>
        </is>
      </c>
      <c r="K4835" t="inlineStr">
        <is>
          <t>Ottawa (Ontario)</t>
        </is>
      </c>
      <c r="P4835" t="n">
        <v>708.92</v>
      </c>
      <c r="Q4835" t="n">
        <v>54.05</v>
      </c>
      <c r="R4835" t="n">
        <v>0</v>
      </c>
      <c r="S4835" t="n">
        <v>70.75</v>
      </c>
      <c r="T4835" t="n">
        <v>12</v>
      </c>
      <c r="U4835" t="n">
        <v>845.72</v>
      </c>
      <c r="X4835" t="inlineStr">
        <is>
          <t>acoa-apeca</t>
        </is>
      </c>
      <c r="Y4835" t="inlineStr">
        <is>
          <t>Atlantic Canada Opportunities Agency | Agence de promotion économique du Canada atlantique</t>
        </is>
      </c>
      <c r="Z4835" t="n">
        <v>1</v>
      </c>
      <c r="AA4835" t="n">
        <v>845.719999999999</v>
      </c>
      <c r="AB4835">
        <f>ROUND(U4835-AA4835,2)</f>
        <v/>
      </c>
      <c r="AC4835" t="b">
        <v>0</v>
      </c>
      <c r="AD4835">
        <f>IF(U4835="","MISSING_TOTAL",IF(ABS(AB4835)&lt;=0.01,"OK","CHECK"))</f>
        <v/>
      </c>
      <c r="AE4835">
        <f>IF(U4835="","MISSING",IF(AND(AA4835&gt;0,U4835/AA4835&gt;50),"POSSIBLE_SCALE_ERROR","OK"))</f>
        <v/>
      </c>
    </row>
    <row r="4836">
      <c r="A4836" t="inlineStr">
        <is>
          <t>T-2020-Q2-00046</t>
        </is>
      </c>
      <c r="B4836" t="inlineStr">
        <is>
          <t>SLE</t>
        </is>
      </c>
      <c r="C4836" t="inlineStr">
        <is>
          <t>President</t>
        </is>
      </c>
      <c r="D4836" t="inlineStr">
        <is>
          <t>Président</t>
        </is>
      </c>
      <c r="E4836" t="inlineStr">
        <is>
          <t>Francis McGuire</t>
        </is>
      </c>
      <c r="F4836" t="inlineStr">
        <is>
          <t>Meetings with Government of Canada officials and key stakeholders</t>
        </is>
      </c>
      <c r="G4836" t="inlineStr">
        <is>
          <t>Réunions avec des fonctionnaires du gouvernement du Canada et des intervenants clés</t>
        </is>
      </c>
      <c r="H4836" s="1" t="n">
        <v>43683</v>
      </c>
      <c r="I4836" s="1" t="n">
        <v>43684</v>
      </c>
      <c r="J4836" t="inlineStr">
        <is>
          <t>Cardigan, Prince Edward Island</t>
        </is>
      </c>
      <c r="K4836" t="inlineStr">
        <is>
          <t>Cardigan (Île-du-Prince-Édouard)</t>
        </is>
      </c>
      <c r="P4836" t="n">
        <v>0</v>
      </c>
      <c r="Q4836" t="n">
        <v>278.33</v>
      </c>
      <c r="R4836" t="n">
        <v>174.8</v>
      </c>
      <c r="S4836" t="n">
        <v>125.45</v>
      </c>
      <c r="T4836" t="n">
        <v>0</v>
      </c>
      <c r="U4836" t="n">
        <v>578.58</v>
      </c>
      <c r="X4836" t="inlineStr">
        <is>
          <t>acoa-apeca</t>
        </is>
      </c>
      <c r="Y4836" t="inlineStr">
        <is>
          <t>Atlantic Canada Opportunities Agency | Agence de promotion économique du Canada atlantique</t>
        </is>
      </c>
      <c r="Z4836" t="n">
        <v>2</v>
      </c>
      <c r="AA4836" t="n">
        <v>578.58</v>
      </c>
      <c r="AB4836">
        <f>ROUND(U4836-AA4836,2)</f>
        <v/>
      </c>
      <c r="AC4836" t="b">
        <v>0</v>
      </c>
      <c r="AD4836">
        <f>IF(U4836="","MISSING_TOTAL",IF(ABS(AB4836)&lt;=0.01,"OK","CHECK"))</f>
        <v/>
      </c>
      <c r="AE4836">
        <f>IF(U4836="","MISSING",IF(AND(AA4836&gt;0,U4836/AA4836&gt;50),"POSSIBLE_SCALE_ERROR","OK"))</f>
        <v/>
      </c>
    </row>
    <row r="4837">
      <c r="A4837" t="inlineStr">
        <is>
          <t>T-2020-Q2-00045</t>
        </is>
      </c>
      <c r="B4837" t="inlineStr">
        <is>
          <t>SLE</t>
        </is>
      </c>
      <c r="C4837" t="inlineStr">
        <is>
          <t>President</t>
        </is>
      </c>
      <c r="D4837" t="inlineStr">
        <is>
          <t>Président</t>
        </is>
      </c>
      <c r="E4837" t="inlineStr">
        <is>
          <t>Francis McGuire</t>
        </is>
      </c>
      <c r="F4837" t="inlineStr">
        <is>
          <t>Meeting with Government of Canada and provincial officials and key stakeholders</t>
        </is>
      </c>
      <c r="G4837" t="inlineStr">
        <is>
          <t>Réunion avec des fonctionnaires du gouvernement du Canada, des fonctionnaires provinciaux et des intervenants clés</t>
        </is>
      </c>
      <c r="H4837" s="1" t="n">
        <v>43663</v>
      </c>
      <c r="I4837" s="1" t="n">
        <v>43663</v>
      </c>
      <c r="J4837" t="inlineStr">
        <is>
          <t>Halifax, Nova Scotia</t>
        </is>
      </c>
      <c r="K4837" t="inlineStr">
        <is>
          <t>Halifax (Nouvelle-Écosse)</t>
        </is>
      </c>
      <c r="P4837" t="n">
        <v>400.9</v>
      </c>
      <c r="Q4837" t="n">
        <v>84.98</v>
      </c>
      <c r="R4837" t="n">
        <v>0</v>
      </c>
      <c r="S4837" t="n">
        <v>20.1</v>
      </c>
      <c r="T4837" t="n">
        <v>12</v>
      </c>
      <c r="U4837" t="n">
        <v>517.98</v>
      </c>
      <c r="X4837" t="inlineStr">
        <is>
          <t>acoa-apeca</t>
        </is>
      </c>
      <c r="Y4837" t="inlineStr">
        <is>
          <t>Atlantic Canada Opportunities Agency | Agence de promotion économique du Canada atlantique</t>
        </is>
      </c>
      <c r="Z4837" t="n">
        <v>1</v>
      </c>
      <c r="AA4837" t="n">
        <v>517.98</v>
      </c>
      <c r="AB4837">
        <f>ROUND(U4837-AA4837,2)</f>
        <v/>
      </c>
      <c r="AC4837" t="b">
        <v>0</v>
      </c>
      <c r="AD4837">
        <f>IF(U4837="","MISSING_TOTAL",IF(ABS(AB4837)&lt;=0.01,"OK","CHECK"))</f>
        <v/>
      </c>
      <c r="AE4837">
        <f>IF(U4837="","MISSING",IF(AND(AA4837&gt;0,U4837/AA4837&gt;50),"POSSIBLE_SCALE_ERROR","OK"))</f>
        <v/>
      </c>
    </row>
    <row r="4838">
      <c r="A4838" t="inlineStr">
        <is>
          <t>T-2020-Q2-00044</t>
        </is>
      </c>
      <c r="B4838" t="inlineStr">
        <is>
          <t>SLE</t>
        </is>
      </c>
      <c r="C4838" t="inlineStr">
        <is>
          <t>President</t>
        </is>
      </c>
      <c r="D4838" t="inlineStr">
        <is>
          <t>Président</t>
        </is>
      </c>
      <c r="E4838" t="inlineStr">
        <is>
          <t>Francis McGuire</t>
        </is>
      </c>
      <c r="F4838" t="inlineStr">
        <is>
          <t>Meetings with Government of Canada officials</t>
        </is>
      </c>
      <c r="G4838" t="inlineStr">
        <is>
          <t>Réunions avec des fonctionnaires du gouvernement du Canada</t>
        </is>
      </c>
      <c r="H4838" s="1" t="n">
        <v>43629</v>
      </c>
      <c r="I4838" s="1" t="n">
        <v>43630</v>
      </c>
      <c r="J4838" t="inlineStr">
        <is>
          <t>Ottawa, Ontario</t>
        </is>
      </c>
      <c r="K4838" t="inlineStr">
        <is>
          <t>Ottawa (Ontario)</t>
        </is>
      </c>
      <c r="P4838" t="n">
        <v>1029.39</v>
      </c>
      <c r="Q4838" t="n">
        <v>14.42</v>
      </c>
      <c r="R4838" t="n">
        <v>222.11</v>
      </c>
      <c r="S4838" t="n">
        <v>176.5</v>
      </c>
      <c r="T4838" t="n">
        <v>24</v>
      </c>
      <c r="U4838" t="n">
        <v>1466.42</v>
      </c>
      <c r="X4838" t="inlineStr">
        <is>
          <t>acoa-apeca</t>
        </is>
      </c>
      <c r="Y4838" t="inlineStr">
        <is>
          <t>Atlantic Canada Opportunities Agency | Agence de promotion économique du Canada atlantique</t>
        </is>
      </c>
      <c r="Z4838" t="n">
        <v>2</v>
      </c>
      <c r="AA4838" t="n">
        <v>1466.42</v>
      </c>
      <c r="AB4838">
        <f>ROUND(U4838-AA4838,2)</f>
        <v/>
      </c>
      <c r="AC4838" t="b">
        <v>0</v>
      </c>
      <c r="AD4838">
        <f>IF(U4838="","MISSING_TOTAL",IF(ABS(AB4838)&lt;=0.01,"OK","CHECK"))</f>
        <v/>
      </c>
      <c r="AE4838">
        <f>IF(U4838="","MISSING",IF(AND(AA4838&gt;0,U4838/AA4838&gt;50),"POSSIBLE_SCALE_ERROR","OK"))</f>
        <v/>
      </c>
    </row>
    <row r="4839">
      <c r="A4839" t="inlineStr">
        <is>
          <t>T-2020-Q2-00043</t>
        </is>
      </c>
      <c r="B4839" t="inlineStr">
        <is>
          <t>SLE</t>
        </is>
      </c>
      <c r="C4839" t="inlineStr">
        <is>
          <t>President</t>
        </is>
      </c>
      <c r="D4839" t="inlineStr">
        <is>
          <t>Président</t>
        </is>
      </c>
      <c r="E4839" t="inlineStr">
        <is>
          <t>Francis McGuire</t>
        </is>
      </c>
      <c r="F4839" t="inlineStr">
        <is>
          <t>Meeting with key stakeholders</t>
        </is>
      </c>
      <c r="G4839" t="inlineStr">
        <is>
          <t>Réunion avec des intervenants clés</t>
        </is>
      </c>
      <c r="H4839" s="1" t="n">
        <v>43677</v>
      </c>
      <c r="I4839" s="1" t="n">
        <v>43677</v>
      </c>
      <c r="J4839" t="inlineStr">
        <is>
          <t>St. Martins, New Brunswick</t>
        </is>
      </c>
      <c r="K4839" t="inlineStr">
        <is>
          <t>St. Martins (Nouveau-Brunswick)</t>
        </is>
      </c>
      <c r="P4839" t="n">
        <v>0</v>
      </c>
      <c r="Q4839" t="n">
        <v>144.98</v>
      </c>
      <c r="R4839" t="n">
        <v>0</v>
      </c>
      <c r="S4839" t="n">
        <v>20.1</v>
      </c>
      <c r="T4839" t="n">
        <v>0</v>
      </c>
      <c r="U4839" t="n">
        <v>165.08</v>
      </c>
      <c r="X4839" t="inlineStr">
        <is>
          <t>acoa-apeca</t>
        </is>
      </c>
      <c r="Y4839" t="inlineStr">
        <is>
          <t>Atlantic Canada Opportunities Agency | Agence de promotion économique du Canada atlantique</t>
        </is>
      </c>
      <c r="Z4839" t="n">
        <v>1</v>
      </c>
      <c r="AA4839" t="n">
        <v>165.079999999999</v>
      </c>
      <c r="AB4839">
        <f>ROUND(U4839-AA4839,2)</f>
        <v/>
      </c>
      <c r="AC4839" t="b">
        <v>0</v>
      </c>
      <c r="AD4839">
        <f>IF(U4839="","MISSING_TOTAL",IF(ABS(AB4839)&lt;=0.01,"OK","CHECK"))</f>
        <v/>
      </c>
      <c r="AE4839">
        <f>IF(U4839="","MISSING",IF(AND(AA4839&gt;0,U4839/AA4839&gt;50),"POSSIBLE_SCALE_ERROR","OK"))</f>
        <v/>
      </c>
    </row>
    <row r="4840">
      <c r="A4840" t="inlineStr">
        <is>
          <t>T-2020-Q2-00042</t>
        </is>
      </c>
      <c r="B4840" t="inlineStr">
        <is>
          <t>SLE</t>
        </is>
      </c>
      <c r="C4840" t="inlineStr">
        <is>
          <t>President</t>
        </is>
      </c>
      <c r="D4840" t="inlineStr">
        <is>
          <t>Président</t>
        </is>
      </c>
      <c r="E4840" t="inlineStr">
        <is>
          <t>Francis McGuire</t>
        </is>
      </c>
      <c r="F4840" t="inlineStr">
        <is>
          <t>Meeting with key stakeholders and Government of Canada official</t>
        </is>
      </c>
      <c r="G4840" t="inlineStr">
        <is>
          <t>Réunion avec des intervenants clés et un fonctionnaire du gouvernement du Canada</t>
        </is>
      </c>
      <c r="H4840" s="1" t="n">
        <v>43675</v>
      </c>
      <c r="I4840" s="1" t="n">
        <v>43675</v>
      </c>
      <c r="J4840" t="inlineStr">
        <is>
          <t>Back Bay, New Brunswick</t>
        </is>
      </c>
      <c r="K4840" t="inlineStr">
        <is>
          <t>Back Bay (Nouveau-Brunswick)</t>
        </is>
      </c>
      <c r="P4840" t="n">
        <v>0</v>
      </c>
      <c r="Q4840" t="n">
        <v>142.84</v>
      </c>
      <c r="R4840" t="n">
        <v>0</v>
      </c>
      <c r="S4840" t="n">
        <v>20.1</v>
      </c>
      <c r="T4840" t="n">
        <v>0</v>
      </c>
      <c r="U4840" t="n">
        <v>162.94</v>
      </c>
      <c r="X4840" t="inlineStr">
        <is>
          <t>acoa-apeca</t>
        </is>
      </c>
      <c r="Y4840" t="inlineStr">
        <is>
          <t>Atlantic Canada Opportunities Agency | Agence de promotion économique du Canada atlantique</t>
        </is>
      </c>
      <c r="Z4840" t="n">
        <v>1</v>
      </c>
      <c r="AA4840" t="n">
        <v>162.94</v>
      </c>
      <c r="AB4840">
        <f>ROUND(U4840-AA4840,2)</f>
        <v/>
      </c>
      <c r="AC4840" t="b">
        <v>0</v>
      </c>
      <c r="AD4840">
        <f>IF(U4840="","MISSING_TOTAL",IF(ABS(AB4840)&lt;=0.01,"OK","CHECK"))</f>
        <v/>
      </c>
      <c r="AE4840">
        <f>IF(U4840="","MISSING",IF(AND(AA4840&gt;0,U4840/AA4840&gt;50),"POSSIBLE_SCALE_ERROR","OK"))</f>
        <v/>
      </c>
    </row>
    <row r="4841">
      <c r="A4841" t="inlineStr">
        <is>
          <t>T-2020-Q2-00039</t>
        </is>
      </c>
      <c r="B4841" t="inlineStr">
        <is>
          <t>SLE</t>
        </is>
      </c>
      <c r="C4841" t="inlineStr">
        <is>
          <t>President</t>
        </is>
      </c>
      <c r="D4841" t="inlineStr">
        <is>
          <t>Président</t>
        </is>
      </c>
      <c r="E4841" t="inlineStr">
        <is>
          <t>Francis McGuire</t>
        </is>
      </c>
      <c r="F4841" t="inlineStr">
        <is>
          <t>Meetings with Government of Canada officials</t>
        </is>
      </c>
      <c r="G4841" t="inlineStr">
        <is>
          <t>Réunions avec des fonctionnaires du gouvernement du Canada</t>
        </is>
      </c>
      <c r="H4841" s="1" t="n">
        <v>43661</v>
      </c>
      <c r="I4841" s="1" t="n">
        <v>43661</v>
      </c>
      <c r="J4841" t="inlineStr">
        <is>
          <t>Ottawa, Ontario</t>
        </is>
      </c>
      <c r="K4841" t="inlineStr">
        <is>
          <t>Ottawa (Ontario)</t>
        </is>
      </c>
      <c r="P4841" t="n">
        <v>726.8</v>
      </c>
      <c r="Q4841" t="n">
        <v>16.05</v>
      </c>
      <c r="R4841" t="n">
        <v>0</v>
      </c>
      <c r="S4841" t="n">
        <v>70.75</v>
      </c>
      <c r="T4841" t="n">
        <v>12</v>
      </c>
      <c r="U4841" t="n">
        <v>825.6</v>
      </c>
      <c r="X4841" t="inlineStr">
        <is>
          <t>acoa-apeca</t>
        </is>
      </c>
      <c r="Y4841" t="inlineStr">
        <is>
          <t>Atlantic Canada Opportunities Agency | Agence de promotion économique du Canada atlantique</t>
        </is>
      </c>
      <c r="Z4841" t="n">
        <v>1</v>
      </c>
      <c r="AA4841" t="n">
        <v>825.599999999999</v>
      </c>
      <c r="AB4841">
        <f>ROUND(U4841-AA4841,2)</f>
        <v/>
      </c>
      <c r="AC4841" t="b">
        <v>0</v>
      </c>
      <c r="AD4841">
        <f>IF(U4841="","MISSING_TOTAL",IF(ABS(AB4841)&lt;=0.01,"OK","CHECK"))</f>
        <v/>
      </c>
      <c r="AE4841">
        <f>IF(U4841="","MISSING",IF(AND(AA4841&gt;0,U4841/AA4841&gt;50),"POSSIBLE_SCALE_ERROR","OK"))</f>
        <v/>
      </c>
    </row>
    <row r="4842">
      <c r="A4842" t="inlineStr">
        <is>
          <t>T-2020-Q2-00038</t>
        </is>
      </c>
      <c r="B4842" t="inlineStr">
        <is>
          <t>SLE</t>
        </is>
      </c>
      <c r="C4842" t="inlineStr">
        <is>
          <t>President</t>
        </is>
      </c>
      <c r="D4842" t="inlineStr">
        <is>
          <t>Président</t>
        </is>
      </c>
      <c r="E4842" t="inlineStr">
        <is>
          <t>Francis McGuire</t>
        </is>
      </c>
      <c r="F4842" t="inlineStr">
        <is>
          <t>Meeting with Government of Canada officials</t>
        </is>
      </c>
      <c r="G4842" t="inlineStr">
        <is>
          <t>Réunion avec des fonctionnaires du gouvernement du Canada</t>
        </is>
      </c>
      <c r="H4842" s="1" t="n">
        <v>43655</v>
      </c>
      <c r="I4842" s="1" t="n">
        <v>43656</v>
      </c>
      <c r="J4842" t="inlineStr">
        <is>
          <t>Ottawa, Ontario</t>
        </is>
      </c>
      <c r="K4842" t="inlineStr">
        <is>
          <t>Ottawa (Ontario)</t>
        </is>
      </c>
      <c r="P4842" t="n">
        <v>672.61</v>
      </c>
      <c r="Q4842" t="n">
        <v>0</v>
      </c>
      <c r="R4842" t="n">
        <v>222.11</v>
      </c>
      <c r="S4842" t="n">
        <v>125.85</v>
      </c>
      <c r="T4842" t="n">
        <v>0</v>
      </c>
      <c r="U4842" t="n">
        <v>1020.57</v>
      </c>
      <c r="X4842" t="inlineStr">
        <is>
          <t>acoa-apeca</t>
        </is>
      </c>
      <c r="Y4842" t="inlineStr">
        <is>
          <t>Atlantic Canada Opportunities Agency | Agence de promotion économique du Canada atlantique</t>
        </is>
      </c>
      <c r="Z4842" t="n">
        <v>2</v>
      </c>
      <c r="AA4842" t="n">
        <v>1020.57</v>
      </c>
      <c r="AB4842">
        <f>ROUND(U4842-AA4842,2)</f>
        <v/>
      </c>
      <c r="AC4842" t="b">
        <v>0</v>
      </c>
      <c r="AD4842">
        <f>IF(U4842="","MISSING_TOTAL",IF(ABS(AB4842)&lt;=0.01,"OK","CHECK"))</f>
        <v/>
      </c>
      <c r="AE4842">
        <f>IF(U4842="","MISSING",IF(AND(AA4842&gt;0,U4842/AA4842&gt;50),"POSSIBLE_SCALE_ERROR","OK"))</f>
        <v/>
      </c>
    </row>
    <row r="4843">
      <c r="A4843" t="inlineStr">
        <is>
          <t>T-2020-Q2-00052</t>
        </is>
      </c>
      <c r="B4843" t="inlineStr">
        <is>
          <t>SLE</t>
        </is>
      </c>
      <c r="C4843" t="inlineStr">
        <is>
          <t>Vice-President, Finance and Corporate Services</t>
        </is>
      </c>
      <c r="D4843" t="inlineStr">
        <is>
          <t>Vice-président, Finance et Services corporatifs</t>
        </is>
      </c>
      <c r="E4843" t="inlineStr">
        <is>
          <t>Stephane Lagace</t>
        </is>
      </c>
      <c r="F4843" t="inlineStr">
        <is>
          <t>Various meetings with Government of Canada employees</t>
        </is>
      </c>
      <c r="G4843" t="inlineStr">
        <is>
          <t>Diverses réunions avec des fonctionnaires du gouvernement du Canada</t>
        </is>
      </c>
      <c r="H4843" s="1" t="n">
        <v>43704</v>
      </c>
      <c r="I4843" s="1" t="n">
        <v>43705</v>
      </c>
      <c r="J4843" t="inlineStr">
        <is>
          <t>Ottawa, Ontario</t>
        </is>
      </c>
      <c r="K4843" t="inlineStr">
        <is>
          <t>Ottawa (Ontario)</t>
        </is>
      </c>
      <c r="P4843" t="n">
        <v>1284.76</v>
      </c>
      <c r="Q4843" t="n">
        <v>61.26</v>
      </c>
      <c r="R4843" t="n">
        <v>222.11</v>
      </c>
      <c r="S4843" t="n">
        <v>176.5</v>
      </c>
      <c r="T4843" t="n">
        <v>35.74</v>
      </c>
      <c r="U4843" t="n">
        <v>1780.37</v>
      </c>
      <c r="X4843" t="inlineStr">
        <is>
          <t>acoa-apeca</t>
        </is>
      </c>
      <c r="Y4843" t="inlineStr">
        <is>
          <t>Atlantic Canada Opportunities Agency | Agence de promotion économique du Canada atlantique</t>
        </is>
      </c>
      <c r="Z4843" t="n">
        <v>2</v>
      </c>
      <c r="AA4843" t="n">
        <v>1780.37</v>
      </c>
      <c r="AB4843">
        <f>ROUND(U4843-AA4843,2)</f>
        <v/>
      </c>
      <c r="AC4843" t="b">
        <v>0</v>
      </c>
      <c r="AD4843">
        <f>IF(U4843="","MISSING_TOTAL",IF(ABS(AB4843)&lt;=0.01,"OK","CHECK"))</f>
        <v/>
      </c>
      <c r="AE4843">
        <f>IF(U4843="","MISSING",IF(AND(AA4843&gt;0,U4843/AA4843&gt;50),"POSSIBLE_SCALE_ERROR","OK"))</f>
        <v/>
      </c>
    </row>
    <row r="4844">
      <c r="A4844" t="inlineStr">
        <is>
          <t>T-2020-Q2-00053</t>
        </is>
      </c>
      <c r="B4844" t="inlineStr">
        <is>
          <t>SLE</t>
        </is>
      </c>
      <c r="C4844" t="inlineStr">
        <is>
          <t>Vice-President, Newfoundland and Labrador (Acting)</t>
        </is>
      </c>
      <c r="D4844" t="inlineStr">
        <is>
          <t>Vice-président, Terre-neuve et Labrador (Intérimaire)</t>
        </is>
      </c>
      <c r="E4844" t="inlineStr">
        <is>
          <t>Madonna Kent</t>
        </is>
      </c>
      <c r="F4844" t="inlineStr">
        <is>
          <t>Acting Vice-President of ACOA Newfoundland and Labrador</t>
        </is>
      </c>
      <c r="G4844" t="inlineStr">
        <is>
          <t>Vice-présidente par intérim, bureau de l'APECA à Terre-Neuve-et-Labrador</t>
        </is>
      </c>
      <c r="H4844" s="1" t="n">
        <v>43680</v>
      </c>
      <c r="I4844" s="1" t="n">
        <v>43695</v>
      </c>
      <c r="J4844" t="inlineStr">
        <is>
          <t>St. John's, Newfoundland and Labrador</t>
        </is>
      </c>
      <c r="K4844" t="inlineStr">
        <is>
          <t>St. John's (Terre-Neuve-et-Labrador)</t>
        </is>
      </c>
      <c r="P4844" t="n">
        <v>582.78</v>
      </c>
      <c r="Q4844" t="n">
        <v>72.53</v>
      </c>
      <c r="R4844" t="n">
        <v>600</v>
      </c>
      <c r="S4844" t="n">
        <v>1221.4</v>
      </c>
      <c r="T4844" t="n">
        <v>0</v>
      </c>
      <c r="U4844" t="n">
        <v>2476.71</v>
      </c>
      <c r="X4844" t="inlineStr">
        <is>
          <t>acoa-apeca</t>
        </is>
      </c>
      <c r="Y4844" t="inlineStr">
        <is>
          <t>Atlantic Canada Opportunities Agency | Agence de promotion économique du Canada atlantique</t>
        </is>
      </c>
      <c r="Z4844" t="n">
        <v>16</v>
      </c>
      <c r="AA4844" t="n">
        <v>2476.71</v>
      </c>
      <c r="AB4844">
        <f>ROUND(U4844-AA4844,2)</f>
        <v/>
      </c>
      <c r="AC4844" t="b">
        <v>0</v>
      </c>
      <c r="AD4844">
        <f>IF(U4844="","MISSING_TOTAL",IF(ABS(AB4844)&lt;=0.01,"OK","CHECK"))</f>
        <v/>
      </c>
      <c r="AE4844">
        <f>IF(U4844="","MISSING",IF(AND(AA4844&gt;0,U4844/AA4844&gt;50),"POSSIBLE_SCALE_ERROR","OK"))</f>
        <v/>
      </c>
    </row>
    <row r="4845">
      <c r="A4845" t="inlineStr">
        <is>
          <t>T-2020-Q2-00055</t>
        </is>
      </c>
      <c r="B4845" t="inlineStr">
        <is>
          <t>SLE</t>
        </is>
      </c>
      <c r="C4845" t="inlineStr">
        <is>
          <t>Vice-President, Newfoundland and Labrador (Acting)</t>
        </is>
      </c>
      <c r="D4845" t="inlineStr">
        <is>
          <t>Vice-président, Terre-neuve et Labrador (Intérimaire)</t>
        </is>
      </c>
      <c r="E4845" t="inlineStr">
        <is>
          <t>Wade AuCoin</t>
        </is>
      </c>
      <c r="F4845" t="inlineStr">
        <is>
          <t>Acting Vice-President of ACOA Newfoundland and Labrador</t>
        </is>
      </c>
      <c r="G4845" t="inlineStr">
        <is>
          <t>Vice-président par intérim, bureau de l'APECA à Terre-Neuve-et-Labrador</t>
        </is>
      </c>
      <c r="H4845" s="1" t="n">
        <v>43703</v>
      </c>
      <c r="I4845" s="1" t="n">
        <v>43706</v>
      </c>
      <c r="J4845" t="inlineStr">
        <is>
          <t>St. John's and Happy Valley-Goose Bay, Newfoundland and Labrador</t>
        </is>
      </c>
      <c r="K4845" t="inlineStr">
        <is>
          <t>St. John's et Happy Valley-Goose Bay (Terre-Neuve-et-Labrador)</t>
        </is>
      </c>
      <c r="P4845" t="n">
        <v>1608.03</v>
      </c>
      <c r="Q4845" t="n">
        <v>581.14</v>
      </c>
      <c r="R4845" t="n">
        <v>615.77</v>
      </c>
      <c r="S4845" t="n">
        <v>414.1</v>
      </c>
      <c r="T4845" t="n">
        <v>0</v>
      </c>
      <c r="U4845" t="n">
        <v>3219.04</v>
      </c>
      <c r="X4845" t="inlineStr">
        <is>
          <t>acoa-apeca</t>
        </is>
      </c>
      <c r="Y4845" t="inlineStr">
        <is>
          <t>Atlantic Canada Opportunities Agency | Agence de promotion économique du Canada atlantique</t>
        </is>
      </c>
      <c r="Z4845" t="n">
        <v>4</v>
      </c>
      <c r="AA4845" t="n">
        <v>3219.04</v>
      </c>
      <c r="AB4845">
        <f>ROUND(U4845-AA4845,2)</f>
        <v/>
      </c>
      <c r="AC4845" t="b">
        <v>0</v>
      </c>
      <c r="AD4845">
        <f>IF(U4845="","MISSING_TOTAL",IF(ABS(AB4845)&lt;=0.01,"OK","CHECK"))</f>
        <v/>
      </c>
      <c r="AE4845">
        <f>IF(U4845="","MISSING",IF(AND(AA4845&gt;0,U4845/AA4845&gt;50),"POSSIBLE_SCALE_ERROR","OK"))</f>
        <v/>
      </c>
    </row>
    <row r="4846">
      <c r="A4846" t="inlineStr">
        <is>
          <t>T-2020-Q2-00054</t>
        </is>
      </c>
      <c r="B4846" t="inlineStr">
        <is>
          <t>SLE</t>
        </is>
      </c>
      <c r="C4846" t="inlineStr">
        <is>
          <t>Vice-President, Newfoundland and Labrador (Acting)</t>
        </is>
      </c>
      <c r="D4846" t="inlineStr">
        <is>
          <t>Vice-président, Terre-neuve et Labrador (Intérimaire)</t>
        </is>
      </c>
      <c r="E4846" t="inlineStr">
        <is>
          <t>Wade AuCoin</t>
        </is>
      </c>
      <c r="F4846" t="inlineStr">
        <is>
          <t>Acting Vice-President of ACOA Newfoundland and Labrador</t>
        </is>
      </c>
      <c r="G4846" t="inlineStr">
        <is>
          <t>Vice-président par intérim, bureau de l'APECA à Terre-Neuve-et-Labrador</t>
        </is>
      </c>
      <c r="H4846" s="1" t="n">
        <v>43696</v>
      </c>
      <c r="I4846" s="1" t="n">
        <v>43699</v>
      </c>
      <c r="J4846" t="inlineStr">
        <is>
          <t>St. John's, Newfoundland and Labrador</t>
        </is>
      </c>
      <c r="K4846" t="inlineStr">
        <is>
          <t>St. John's (Terre-Neuve-et-Labrador)</t>
        </is>
      </c>
      <c r="P4846" t="n">
        <v>560.34</v>
      </c>
      <c r="Q4846" t="n">
        <v>362.48</v>
      </c>
      <c r="R4846" t="n">
        <v>644.98</v>
      </c>
      <c r="S4846" t="n">
        <v>434.2</v>
      </c>
      <c r="T4846" t="n">
        <v>0</v>
      </c>
      <c r="U4846" t="n">
        <v>2002</v>
      </c>
      <c r="X4846" t="inlineStr">
        <is>
          <t>acoa-apeca</t>
        </is>
      </c>
      <c r="Y4846" t="inlineStr">
        <is>
          <t>Atlantic Canada Opportunities Agency | Agence de promotion économique du Canada atlantique</t>
        </is>
      </c>
      <c r="Z4846" t="n">
        <v>4</v>
      </c>
      <c r="AA4846" t="n">
        <v>2002</v>
      </c>
      <c r="AB4846">
        <f>ROUND(U4846-AA4846,2)</f>
        <v/>
      </c>
      <c r="AC4846" t="b">
        <v>0</v>
      </c>
      <c r="AD4846">
        <f>IF(U4846="","MISSING_TOTAL",IF(ABS(AB4846)&lt;=0.01,"OK","CHECK"))</f>
        <v/>
      </c>
      <c r="AE4846">
        <f>IF(U4846="","MISSING",IF(AND(AA4846&gt;0,U4846/AA4846&gt;50),"POSSIBLE_SCALE_ERROR","OK"))</f>
        <v/>
      </c>
    </row>
    <row r="4847">
      <c r="A4847" t="inlineStr">
        <is>
          <t>T-2020-Q3-00013</t>
        </is>
      </c>
      <c r="B4847" t="inlineStr">
        <is>
          <t>SLE</t>
        </is>
      </c>
      <c r="C4847" t="inlineStr">
        <is>
          <t>Senior Advisor (Energy)</t>
        </is>
      </c>
      <c r="D4847" t="inlineStr">
        <is>
          <t>Conseiller spécial (energie)</t>
        </is>
      </c>
      <c r="E4847" t="inlineStr">
        <is>
          <t>Andrew F. Noseworthy</t>
        </is>
      </c>
      <c r="F4847" t="inlineStr">
        <is>
          <t>Attend the Ocean Supercluster Board meeting</t>
        </is>
      </c>
      <c r="G4847" t="inlineStr">
        <is>
          <t>Assister à la réunion du conseil de la supergrappe de l'économie océanique</t>
        </is>
      </c>
      <c r="H4847" s="1" t="n">
        <v>43735</v>
      </c>
      <c r="I4847" s="1" t="n">
        <v>43735</v>
      </c>
      <c r="J4847" t="inlineStr">
        <is>
          <t>Halifax, Nova Scotia</t>
        </is>
      </c>
      <c r="K4847" t="inlineStr">
        <is>
          <t>Halifax (Nouvelle-Écosse)</t>
        </is>
      </c>
      <c r="P4847" t="n">
        <v>942.6</v>
      </c>
      <c r="Q4847" t="n">
        <v>91</v>
      </c>
      <c r="R4847" t="n">
        <v>0</v>
      </c>
      <c r="S4847" t="n">
        <v>71.15000000000001</v>
      </c>
      <c r="T4847" t="n">
        <v>0</v>
      </c>
      <c r="U4847" t="n">
        <v>1104.75</v>
      </c>
      <c r="X4847" t="inlineStr">
        <is>
          <t>acoa-apeca</t>
        </is>
      </c>
      <c r="Y4847" t="inlineStr">
        <is>
          <t>Atlantic Canada Opportunities Agency | Agence de promotion économique du Canada atlantique</t>
        </is>
      </c>
      <c r="Z4847" t="n">
        <v>1</v>
      </c>
      <c r="AA4847" t="n">
        <v>1104.75</v>
      </c>
      <c r="AB4847">
        <f>ROUND(U4847-AA4847,2)</f>
        <v/>
      </c>
      <c r="AC4847" t="b">
        <v>0</v>
      </c>
      <c r="AD4847">
        <f>IF(U4847="","MISSING_TOTAL",IF(ABS(AB4847)&lt;=0.01,"OK","CHECK"))</f>
        <v/>
      </c>
      <c r="AE4847">
        <f>IF(U4847="","MISSING",IF(AND(AA4847&gt;0,U4847/AA4847&gt;50),"POSSIBLE_SCALE_ERROR","OK"))</f>
        <v/>
      </c>
    </row>
    <row r="4848">
      <c r="A4848" t="inlineStr">
        <is>
          <t>T-2020-Q3-00014</t>
        </is>
      </c>
      <c r="B4848" t="inlineStr">
        <is>
          <t>SLE</t>
        </is>
      </c>
      <c r="C4848" t="inlineStr">
        <is>
          <t>Senior Advisor (Energy)</t>
        </is>
      </c>
      <c r="D4848" t="inlineStr">
        <is>
          <t>Conseiller spécial (energie)</t>
        </is>
      </c>
      <c r="E4848" t="inlineStr">
        <is>
          <t>Andrew F. Noseworthy</t>
        </is>
      </c>
      <c r="F4848" t="inlineStr">
        <is>
          <t>Attend President and Vice-President's meeting</t>
        </is>
      </c>
      <c r="G4848" t="inlineStr">
        <is>
          <t>Assister à la réunion du président et du vice-président</t>
        </is>
      </c>
      <c r="H4848" s="1" t="n">
        <v>43731</v>
      </c>
      <c r="I4848" s="1" t="n">
        <v>43732</v>
      </c>
      <c r="J4848" t="inlineStr">
        <is>
          <t>Moncton, New Brunswick</t>
        </is>
      </c>
      <c r="K4848" t="inlineStr">
        <is>
          <t>Moncton (Nouveau-Brunswick)</t>
        </is>
      </c>
      <c r="P4848" t="n">
        <v>1507.62</v>
      </c>
      <c r="Q4848" t="n">
        <v>133.25</v>
      </c>
      <c r="R4848" t="n">
        <v>173.78</v>
      </c>
      <c r="S4848" t="n">
        <v>156.4</v>
      </c>
      <c r="T4848" t="n">
        <v>0</v>
      </c>
      <c r="U4848" t="n">
        <v>1971.05</v>
      </c>
      <c r="X4848" t="inlineStr">
        <is>
          <t>acoa-apeca</t>
        </is>
      </c>
      <c r="Y4848" t="inlineStr">
        <is>
          <t>Atlantic Canada Opportunities Agency | Agence de promotion économique du Canada atlantique</t>
        </is>
      </c>
      <c r="Z4848" t="n">
        <v>2</v>
      </c>
      <c r="AA4848" t="n">
        <v>1971.05</v>
      </c>
      <c r="AB4848">
        <f>ROUND(U4848-AA4848,2)</f>
        <v/>
      </c>
      <c r="AC4848" t="b">
        <v>0</v>
      </c>
      <c r="AD4848">
        <f>IF(U4848="","MISSING_TOTAL",IF(ABS(AB4848)&lt;=0.01,"OK","CHECK"))</f>
        <v/>
      </c>
      <c r="AE4848">
        <f>IF(U4848="","MISSING",IF(AND(AA4848&gt;0,U4848/AA4848&gt;50),"POSSIBLE_SCALE_ERROR","OK"))</f>
        <v/>
      </c>
    </row>
    <row r="4849">
      <c r="A4849" t="inlineStr">
        <is>
          <t>T-2020-Q3-00005</t>
        </is>
      </c>
      <c r="B4849" t="inlineStr">
        <is>
          <t>SLE</t>
        </is>
      </c>
      <c r="C4849" t="inlineStr">
        <is>
          <t>Vice-President, Policy, Programs and Communications</t>
        </is>
      </c>
      <c r="D4849" t="inlineStr">
        <is>
          <t>Vice-président, Politiques et Programmes</t>
        </is>
      </c>
      <c r="E4849" t="inlineStr">
        <is>
          <t>Daryell Nowlan</t>
        </is>
      </c>
      <c r="F4849" t="inlineStr">
        <is>
          <t>Attending the 2019 Defence &amp; Security Equipment International (DSEI) exhibition</t>
        </is>
      </c>
      <c r="G4849" t="inlineStr">
        <is>
          <t>Assister à l'exposition Defence &amp; Security Equipment International (DSEI) 2019</t>
        </is>
      </c>
      <c r="H4849" s="1" t="n">
        <v>43715</v>
      </c>
      <c r="I4849" s="1" t="n">
        <v>43720</v>
      </c>
      <c r="J4849" t="inlineStr">
        <is>
          <t>London, United Kingdom</t>
        </is>
      </c>
      <c r="K4849" t="inlineStr">
        <is>
          <t>Londres (Royaume-Uni)</t>
        </is>
      </c>
      <c r="P4849" t="n">
        <v>3115.14</v>
      </c>
      <c r="Q4849" t="n">
        <v>239.75</v>
      </c>
      <c r="R4849" t="n">
        <v>2761.49</v>
      </c>
      <c r="S4849" t="n">
        <v>955.1</v>
      </c>
      <c r="T4849" t="n">
        <v>0</v>
      </c>
      <c r="U4849" t="n">
        <v>7071.48</v>
      </c>
      <c r="X4849" t="inlineStr">
        <is>
          <t>acoa-apeca</t>
        </is>
      </c>
      <c r="Y4849" t="inlineStr">
        <is>
          <t>Atlantic Canada Opportunities Agency | Agence de promotion économique du Canada atlantique</t>
        </is>
      </c>
      <c r="Z4849" t="n">
        <v>6</v>
      </c>
      <c r="AA4849" t="n">
        <v>7071.48</v>
      </c>
      <c r="AB4849">
        <f>ROUND(U4849-AA4849,2)</f>
        <v/>
      </c>
      <c r="AC4849" t="b">
        <v>0</v>
      </c>
      <c r="AD4849">
        <f>IF(U4849="","MISSING_TOTAL",IF(ABS(AB4849)&lt;=0.01,"OK","CHECK"))</f>
        <v/>
      </c>
      <c r="AE4849">
        <f>IF(U4849="","MISSING",IF(AND(AA4849&gt;0,U4849/AA4849&gt;50),"POSSIBLE_SCALE_ERROR","OK"))</f>
        <v/>
      </c>
    </row>
    <row r="4850">
      <c r="A4850" t="inlineStr">
        <is>
          <t>T-2020-Q3-00003</t>
        </is>
      </c>
      <c r="B4850" t="inlineStr">
        <is>
          <t>SLE</t>
        </is>
      </c>
      <c r="C4850" t="inlineStr">
        <is>
          <t>Vice-President, Policy, Programs and Communications</t>
        </is>
      </c>
      <c r="D4850" t="inlineStr">
        <is>
          <t>Vice-président, Politiques et Programmes</t>
        </is>
      </c>
      <c r="E4850" t="inlineStr">
        <is>
          <t>Daryell Nowlan</t>
        </is>
      </c>
      <c r="F4850" t="inlineStr">
        <is>
          <t>Meetings with Government of Canada officials</t>
        </is>
      </c>
      <c r="G4850" t="inlineStr">
        <is>
          <t>Réunions avec des fonctionnaires fédéraux</t>
        </is>
      </c>
      <c r="H4850" s="1" t="n">
        <v>43711</v>
      </c>
      <c r="I4850" s="1" t="n">
        <v>43712</v>
      </c>
      <c r="J4850" t="inlineStr">
        <is>
          <t>Ottawa, Ontario</t>
        </is>
      </c>
      <c r="K4850" t="inlineStr">
        <is>
          <t>Ottawa (Ontario)</t>
        </is>
      </c>
      <c r="P4850" t="n">
        <v>363.4</v>
      </c>
      <c r="Q4850" t="n">
        <v>48.3</v>
      </c>
      <c r="R4850" t="n">
        <v>178.63</v>
      </c>
      <c r="S4850" t="n">
        <v>176.1</v>
      </c>
      <c r="T4850" t="n">
        <v>0</v>
      </c>
      <c r="U4850" t="n">
        <v>766.4299999999999</v>
      </c>
      <c r="X4850" t="inlineStr">
        <is>
          <t>acoa-apeca</t>
        </is>
      </c>
      <c r="Y4850" t="inlineStr">
        <is>
          <t>Atlantic Canada Opportunities Agency | Agence de promotion économique du Canada atlantique</t>
        </is>
      </c>
      <c r="Z4850" t="n">
        <v>2</v>
      </c>
      <c r="AA4850" t="n">
        <v>766.4299999999999</v>
      </c>
      <c r="AB4850">
        <f>ROUND(U4850-AA4850,2)</f>
        <v/>
      </c>
      <c r="AC4850" t="b">
        <v>0</v>
      </c>
      <c r="AD4850">
        <f>IF(U4850="","MISSING_TOTAL",IF(ABS(AB4850)&lt;=0.01,"OK","CHECK"))</f>
        <v/>
      </c>
      <c r="AE4850">
        <f>IF(U4850="","MISSING",IF(AND(AA4850&gt;0,U4850/AA4850&gt;50),"POSSIBLE_SCALE_ERROR","OK"))</f>
        <v/>
      </c>
    </row>
    <row r="4851">
      <c r="A4851" t="inlineStr">
        <is>
          <t>T-2020-Q3-00023</t>
        </is>
      </c>
      <c r="B4851" t="inlineStr">
        <is>
          <t>SLE</t>
        </is>
      </c>
      <c r="C4851" t="inlineStr">
        <is>
          <t>Vice-President, New Brunswick</t>
        </is>
      </c>
      <c r="D4851" t="inlineStr">
        <is>
          <t>Vice-président, Nouveau-Brunswick</t>
        </is>
      </c>
      <c r="E4851" t="inlineStr">
        <is>
          <t>Kent Estabrooks</t>
        </is>
      </c>
      <c r="F4851" t="inlineStr">
        <is>
          <t>External stakeholders meetings and training and development</t>
        </is>
      </c>
      <c r="G4851" t="inlineStr">
        <is>
          <t>Réunions d'intervenants externes, et formation et perfectionnement</t>
        </is>
      </c>
      <c r="H4851" s="1" t="n">
        <v>43738</v>
      </c>
      <c r="I4851" s="1" t="n">
        <v>43741</v>
      </c>
      <c r="J4851" t="inlineStr">
        <is>
          <t>Ottawa, Ontario and Charlottetown, Prince Edward Island</t>
        </is>
      </c>
      <c r="K4851" t="inlineStr">
        <is>
          <t>Ottawa (Ontario) et Charlottetown (Île-du-Prince-Édouard)</t>
        </is>
      </c>
      <c r="P4851" t="n">
        <v>1146.7</v>
      </c>
      <c r="Q4851" t="n">
        <v>231.59</v>
      </c>
      <c r="R4851" t="n">
        <v>668.71</v>
      </c>
      <c r="S4851" t="n">
        <v>291.85</v>
      </c>
      <c r="T4851" t="n">
        <v>0</v>
      </c>
      <c r="U4851" t="n">
        <v>2338.85</v>
      </c>
      <c r="X4851" t="inlineStr">
        <is>
          <t>acoa-apeca</t>
        </is>
      </c>
      <c r="Y4851" t="inlineStr">
        <is>
          <t>Atlantic Canada Opportunities Agency | Agence de promotion économique du Canada atlantique</t>
        </is>
      </c>
      <c r="Z4851" t="n">
        <v>4</v>
      </c>
      <c r="AA4851" t="n">
        <v>2338.85</v>
      </c>
      <c r="AB4851">
        <f>ROUND(U4851-AA4851,2)</f>
        <v/>
      </c>
      <c r="AC4851" t="b">
        <v>0</v>
      </c>
      <c r="AD4851">
        <f>IF(U4851="","MISSING_TOTAL",IF(ABS(AB4851)&lt;=0.01,"OK","CHECK"))</f>
        <v/>
      </c>
      <c r="AE4851">
        <f>IF(U4851="","MISSING",IF(AND(AA4851&gt;0,U4851/AA4851&gt;50),"POSSIBLE_SCALE_ERROR","OK"))</f>
        <v/>
      </c>
    </row>
    <row r="4852">
      <c r="A4852" t="inlineStr">
        <is>
          <t>T-2020-Q3-00012</t>
        </is>
      </c>
      <c r="B4852" t="inlineStr">
        <is>
          <t>SLE</t>
        </is>
      </c>
      <c r="C4852" t="inlineStr">
        <is>
          <t>Vice-President, New Brunswick</t>
        </is>
      </c>
      <c r="D4852" t="inlineStr">
        <is>
          <t>Vice-président, Nouveau-Brunswick</t>
        </is>
      </c>
      <c r="E4852" t="inlineStr">
        <is>
          <t>Kent Estabrooks</t>
        </is>
      </c>
      <c r="F4852" t="inlineStr">
        <is>
          <t>Meeting with officials from various federal and provincial departments</t>
        </is>
      </c>
      <c r="G4852" t="inlineStr">
        <is>
          <t>Réunion avec des fonctionnaires de divers ministères fédéraux et provinciaux</t>
        </is>
      </c>
      <c r="H4852" s="1" t="n">
        <v>43725</v>
      </c>
      <c r="I4852" s="1" t="n">
        <v>43726</v>
      </c>
      <c r="J4852" t="inlineStr">
        <is>
          <t>Halifax, Nova Scotia</t>
        </is>
      </c>
      <c r="K4852" t="inlineStr">
        <is>
          <t>Halifax (Nouvelle-Écosse)</t>
        </is>
      </c>
      <c r="P4852" t="n">
        <v>726.8</v>
      </c>
      <c r="Q4852" t="n">
        <v>157.26</v>
      </c>
      <c r="R4852" t="n">
        <v>221.7</v>
      </c>
      <c r="S4852" t="n">
        <v>176.5</v>
      </c>
      <c r="T4852" t="n">
        <v>0</v>
      </c>
      <c r="U4852" t="n">
        <v>1282.26</v>
      </c>
      <c r="X4852" t="inlineStr">
        <is>
          <t>acoa-apeca</t>
        </is>
      </c>
      <c r="Y4852" t="inlineStr">
        <is>
          <t>Atlantic Canada Opportunities Agency | Agence de promotion économique du Canada atlantique</t>
        </is>
      </c>
      <c r="Z4852" t="n">
        <v>2</v>
      </c>
      <c r="AA4852" t="n">
        <v>1282.26</v>
      </c>
      <c r="AB4852">
        <f>ROUND(U4852-AA4852,2)</f>
        <v/>
      </c>
      <c r="AC4852" t="b">
        <v>0</v>
      </c>
      <c r="AD4852">
        <f>IF(U4852="","MISSING_TOTAL",IF(ABS(AB4852)&lt;=0.01,"OK","CHECK"))</f>
        <v/>
      </c>
      <c r="AE4852">
        <f>IF(U4852="","MISSING",IF(AND(AA4852&gt;0,U4852/AA4852&gt;50),"POSSIBLE_SCALE_ERROR","OK"))</f>
        <v/>
      </c>
    </row>
    <row r="4853">
      <c r="A4853" t="inlineStr">
        <is>
          <t>T-2020-Q3-00011</t>
        </is>
      </c>
      <c r="B4853" t="inlineStr">
        <is>
          <t>SLE</t>
        </is>
      </c>
      <c r="C4853" t="inlineStr">
        <is>
          <t>Vice-President, New Brunswick</t>
        </is>
      </c>
      <c r="D4853" t="inlineStr">
        <is>
          <t>Vice-président, Nouveau-Brunswick</t>
        </is>
      </c>
      <c r="E4853" t="inlineStr">
        <is>
          <t>Kent Estabrooks</t>
        </is>
      </c>
      <c r="F4853" t="inlineStr">
        <is>
          <t>Meetings with potential client, and meetings with various Agency officials</t>
        </is>
      </c>
      <c r="G4853" t="inlineStr">
        <is>
          <t>Réunions avec un client potentiel, et réunions avec divers fonctionnaires de l'Agence</t>
        </is>
      </c>
      <c r="H4853" s="1" t="n">
        <v>43731</v>
      </c>
      <c r="I4853" s="1" t="n">
        <v>43733</v>
      </c>
      <c r="J4853" t="inlineStr">
        <is>
          <t>Moncton, New Brunswick</t>
        </is>
      </c>
      <c r="K4853" t="inlineStr">
        <is>
          <t>Moncton (Nouveau-Brunswick)</t>
        </is>
      </c>
      <c r="P4853" t="n">
        <v>0</v>
      </c>
      <c r="Q4853" t="n">
        <v>2.18</v>
      </c>
      <c r="R4853" t="n">
        <v>347.56</v>
      </c>
      <c r="S4853" t="n">
        <v>173.3</v>
      </c>
      <c r="T4853" t="n">
        <v>0</v>
      </c>
      <c r="U4853" t="n">
        <v>523.04</v>
      </c>
      <c r="X4853" t="inlineStr">
        <is>
          <t>acoa-apeca</t>
        </is>
      </c>
      <c r="Y4853" t="inlineStr">
        <is>
          <t>Atlantic Canada Opportunities Agency | Agence de promotion économique du Canada atlantique</t>
        </is>
      </c>
      <c r="Z4853" t="n">
        <v>3</v>
      </c>
      <c r="AA4853" t="n">
        <v>523.04</v>
      </c>
      <c r="AB4853">
        <f>ROUND(U4853-AA4853,2)</f>
        <v/>
      </c>
      <c r="AC4853" t="b">
        <v>0</v>
      </c>
      <c r="AD4853">
        <f>IF(U4853="","MISSING_TOTAL",IF(ABS(AB4853)&lt;=0.01,"OK","CHECK"))</f>
        <v/>
      </c>
      <c r="AE4853">
        <f>IF(U4853="","MISSING",IF(AND(AA4853&gt;0,U4853/AA4853&gt;50),"POSSIBLE_SCALE_ERROR","OK"))</f>
        <v/>
      </c>
    </row>
    <row r="4854">
      <c r="A4854" t="inlineStr">
        <is>
          <t>T-2020-Q3-00009</t>
        </is>
      </c>
      <c r="B4854" t="inlineStr">
        <is>
          <t>SLE</t>
        </is>
      </c>
      <c r="C4854" t="inlineStr">
        <is>
          <t>Vice-President, New Brunswick</t>
        </is>
      </c>
      <c r="D4854" t="inlineStr">
        <is>
          <t>Vice-président, Nouveau-Brunswick</t>
        </is>
      </c>
      <c r="E4854" t="inlineStr">
        <is>
          <t>Kent Estabrooks</t>
        </is>
      </c>
      <c r="F4854" t="inlineStr">
        <is>
          <t>Meetings with other government officials, and meetings with clients</t>
        </is>
      </c>
      <c r="G4854" t="inlineStr">
        <is>
          <t>Réunions avec d'autres fonctionnaires, et réunions avec des clients</t>
        </is>
      </c>
      <c r="H4854" s="1" t="n">
        <v>43715</v>
      </c>
      <c r="I4854" s="1" t="n">
        <v>43720</v>
      </c>
      <c r="J4854" t="inlineStr">
        <is>
          <t>St. John's, Lewisporte and Point Leamington, Newfoundland and Labrador</t>
        </is>
      </c>
      <c r="K4854" t="inlineStr">
        <is>
          <t>St. John's, Lewisporte et Point Leamington (Terre-Neuve-et-Labrador)</t>
        </is>
      </c>
      <c r="P4854" t="n">
        <v>1233.38</v>
      </c>
      <c r="Q4854" t="n">
        <v>104.98</v>
      </c>
      <c r="R4854" t="n">
        <v>555.73</v>
      </c>
      <c r="S4854" t="n">
        <v>460.75</v>
      </c>
      <c r="T4854" t="n">
        <v>0</v>
      </c>
      <c r="U4854" t="n">
        <v>2354.84</v>
      </c>
      <c r="X4854" t="inlineStr">
        <is>
          <t>acoa-apeca</t>
        </is>
      </c>
      <c r="Y4854" t="inlineStr">
        <is>
          <t>Atlantic Canada Opportunities Agency | Agence de promotion économique du Canada atlantique</t>
        </is>
      </c>
      <c r="Z4854" t="n">
        <v>6</v>
      </c>
      <c r="AA4854" t="n">
        <v>2354.84</v>
      </c>
      <c r="AB4854">
        <f>ROUND(U4854-AA4854,2)</f>
        <v/>
      </c>
      <c r="AC4854" t="b">
        <v>0</v>
      </c>
      <c r="AD4854">
        <f>IF(U4854="","MISSING_TOTAL",IF(ABS(AB4854)&lt;=0.01,"OK","CHECK"))</f>
        <v/>
      </c>
      <c r="AE4854">
        <f>IF(U4854="","MISSING",IF(AND(AA4854&gt;0,U4854/AA4854&gt;50),"POSSIBLE_SCALE_ERROR","OK"))</f>
        <v/>
      </c>
    </row>
    <row r="4855">
      <c r="A4855" t="inlineStr">
        <is>
          <t>T-2020-Q3-00001</t>
        </is>
      </c>
      <c r="B4855" t="inlineStr">
        <is>
          <t>SLE</t>
        </is>
      </c>
      <c r="C4855" t="inlineStr">
        <is>
          <t>Vice-President, New Brunswick</t>
        </is>
      </c>
      <c r="D4855" t="inlineStr">
        <is>
          <t>Vice-président, Nouveau-Brunswick</t>
        </is>
      </c>
      <c r="E4855" t="inlineStr">
        <is>
          <t>Kent Estabrooks</t>
        </is>
      </c>
      <c r="F4855" t="inlineStr">
        <is>
          <t>Meeting with Agency officials, and meetings with various Government of Canada officials</t>
        </is>
      </c>
      <c r="G4855" t="inlineStr">
        <is>
          <t>Réunions avec des fonctionnaires de l'Agence, et réunions avec divers fonctionnaires fédéraux</t>
        </is>
      </c>
      <c r="H4855" s="1" t="n">
        <v>43711</v>
      </c>
      <c r="I4855" s="1" t="n">
        <v>43712</v>
      </c>
      <c r="J4855" t="inlineStr">
        <is>
          <t>Moncton, New Brunswick</t>
        </is>
      </c>
      <c r="K4855" t="inlineStr">
        <is>
          <t>Moncton (Nouveau-Brunswick)</t>
        </is>
      </c>
      <c r="P4855" t="n">
        <v>0</v>
      </c>
      <c r="Q4855" t="n">
        <v>17.25</v>
      </c>
      <c r="R4855" t="n">
        <v>173.78</v>
      </c>
      <c r="S4855" t="n">
        <v>125.45</v>
      </c>
      <c r="T4855" t="n">
        <v>0</v>
      </c>
      <c r="U4855" t="n">
        <v>316.48</v>
      </c>
      <c r="X4855" t="inlineStr">
        <is>
          <t>acoa-apeca</t>
        </is>
      </c>
      <c r="Y4855" t="inlineStr">
        <is>
          <t>Atlantic Canada Opportunities Agency | Agence de promotion économique du Canada atlantique</t>
        </is>
      </c>
      <c r="Z4855" t="n">
        <v>2</v>
      </c>
      <c r="AA4855" t="n">
        <v>316.48</v>
      </c>
      <c r="AB4855">
        <f>ROUND(U4855-AA4855,2)</f>
        <v/>
      </c>
      <c r="AC4855" t="b">
        <v>0</v>
      </c>
      <c r="AD4855">
        <f>IF(U4855="","MISSING_TOTAL",IF(ABS(AB4855)&lt;=0.01,"OK","CHECK"))</f>
        <v/>
      </c>
      <c r="AE4855">
        <f>IF(U4855="","MISSING",IF(AND(AA4855&gt;0,U4855/AA4855&gt;50),"POSSIBLE_SCALE_ERROR","OK"))</f>
        <v/>
      </c>
    </row>
    <row r="4856">
      <c r="A4856" t="inlineStr">
        <is>
          <t>T-2020-Q3-00010</t>
        </is>
      </c>
      <c r="B4856" t="inlineStr">
        <is>
          <t>SLE</t>
        </is>
      </c>
      <c r="C4856" t="inlineStr">
        <is>
          <t>Vice-President, Prince Edward Island</t>
        </is>
      </c>
      <c r="D4856" t="inlineStr">
        <is>
          <t>Vice-président, Île-du-Prince-Édouard</t>
        </is>
      </c>
      <c r="E4856" t="inlineStr">
        <is>
          <t>Patrick Dorsey</t>
        </is>
      </c>
      <c r="F4856" t="inlineStr">
        <is>
          <t>Meetings with federal government officials</t>
        </is>
      </c>
      <c r="G4856" t="inlineStr">
        <is>
          <t>Réunions avec des fonctionnaires fédéraux</t>
        </is>
      </c>
      <c r="H4856" s="1" t="n">
        <v>43731</v>
      </c>
      <c r="I4856" s="1" t="n">
        <v>43733</v>
      </c>
      <c r="J4856" t="inlineStr">
        <is>
          <t>Moncton, New Brunswick and Halifax, Nova Scotia</t>
        </is>
      </c>
      <c r="K4856" t="inlineStr">
        <is>
          <t>Moncton (Nouveau-Brunswick) et Halifax (Nouvelle-Écosse)</t>
        </is>
      </c>
      <c r="P4856" t="n">
        <v>0</v>
      </c>
      <c r="Q4856" t="n">
        <v>0</v>
      </c>
      <c r="R4856" t="n">
        <v>401.34</v>
      </c>
      <c r="S4856" t="n">
        <v>214.3</v>
      </c>
      <c r="T4856" t="n">
        <v>27.6</v>
      </c>
      <c r="U4856" t="n">
        <v>643.24</v>
      </c>
      <c r="X4856" t="inlineStr">
        <is>
          <t>acoa-apeca</t>
        </is>
      </c>
      <c r="Y4856" t="inlineStr">
        <is>
          <t>Atlantic Canada Opportunities Agency | Agence de promotion économique du Canada atlantique</t>
        </is>
      </c>
      <c r="Z4856" t="n">
        <v>3</v>
      </c>
      <c r="AA4856" t="n">
        <v>643.24</v>
      </c>
      <c r="AB4856">
        <f>ROUND(U4856-AA4856,2)</f>
        <v/>
      </c>
      <c r="AC4856" t="b">
        <v>0</v>
      </c>
      <c r="AD4856">
        <f>IF(U4856="","MISSING_TOTAL",IF(ABS(AB4856)&lt;=0.01,"OK","CHECK"))</f>
        <v/>
      </c>
      <c r="AE4856">
        <f>IF(U4856="","MISSING",IF(AND(AA4856&gt;0,U4856/AA4856&gt;50),"POSSIBLE_SCALE_ERROR","OK"))</f>
        <v/>
      </c>
    </row>
    <row r="4857">
      <c r="A4857" t="inlineStr">
        <is>
          <t>T-2020-Q3-00002</t>
        </is>
      </c>
      <c r="B4857" t="inlineStr">
        <is>
          <t>SLE</t>
        </is>
      </c>
      <c r="C4857" t="inlineStr">
        <is>
          <t>Vice-President, Prince Edward Island</t>
        </is>
      </c>
      <c r="D4857" t="inlineStr">
        <is>
          <t>Vice-président, Île-du-Prince-Édouard</t>
        </is>
      </c>
      <c r="E4857" t="inlineStr">
        <is>
          <t>Patrick Dorsey</t>
        </is>
      </c>
      <c r="F4857" t="inlineStr">
        <is>
          <t>Various meetings with federal government officials</t>
        </is>
      </c>
      <c r="G4857" t="inlineStr">
        <is>
          <t>Diverses réunions avec des fonctionnaires fédéraux</t>
        </is>
      </c>
      <c r="H4857" s="1" t="n">
        <v>43717</v>
      </c>
      <c r="I4857" s="1" t="n">
        <v>43718</v>
      </c>
      <c r="J4857" t="inlineStr">
        <is>
          <t>Ottawa, Ontario</t>
        </is>
      </c>
      <c r="K4857" t="inlineStr">
        <is>
          <t>Ottawa (Ontario)</t>
        </is>
      </c>
      <c r="P4857" t="n">
        <v>918.63</v>
      </c>
      <c r="Q4857" t="n">
        <v>96.11</v>
      </c>
      <c r="R4857" t="n">
        <v>235.04</v>
      </c>
      <c r="S4857" t="n">
        <v>196.6</v>
      </c>
      <c r="T4857" t="n">
        <v>25.3</v>
      </c>
      <c r="U4857" t="n">
        <v>1471.68</v>
      </c>
      <c r="X4857" t="inlineStr">
        <is>
          <t>acoa-apeca</t>
        </is>
      </c>
      <c r="Y4857" t="inlineStr">
        <is>
          <t>Atlantic Canada Opportunities Agency | Agence de promotion économique du Canada atlantique</t>
        </is>
      </c>
      <c r="Z4857" t="n">
        <v>2</v>
      </c>
      <c r="AA4857" t="n">
        <v>1471.67999999999</v>
      </c>
      <c r="AB4857">
        <f>ROUND(U4857-AA4857,2)</f>
        <v/>
      </c>
      <c r="AC4857" t="b">
        <v>0</v>
      </c>
      <c r="AD4857">
        <f>IF(U4857="","MISSING_TOTAL",IF(ABS(AB4857)&lt;=0.01,"OK","CHECK"))</f>
        <v/>
      </c>
      <c r="AE4857">
        <f>IF(U4857="","MISSING",IF(AND(AA4857&gt;0,U4857/AA4857&gt;50),"POSSIBLE_SCALE_ERROR","OK"))</f>
        <v/>
      </c>
    </row>
    <row r="4858">
      <c r="A4858" t="inlineStr">
        <is>
          <t>T-2020-Q3-00017</t>
        </is>
      </c>
      <c r="B4858" t="inlineStr">
        <is>
          <t>SLE</t>
        </is>
      </c>
      <c r="C4858" t="inlineStr">
        <is>
          <t>Vice-President, Nova Scotia</t>
        </is>
      </c>
      <c r="D4858" t="inlineStr">
        <is>
          <t>Vice-président, Nouvelle-Écosse</t>
        </is>
      </c>
      <c r="E4858" t="inlineStr">
        <is>
          <t>Chuck Maillet</t>
        </is>
      </c>
      <c r="F4858" t="inlineStr">
        <is>
          <t>Meeting with Agency officials in Moncton and Indigenous Economic Development Conference in Fredericton</t>
        </is>
      </c>
      <c r="G4858" t="inlineStr">
        <is>
          <t>Réunion avec des fonctionnaires de l'Agence à Moncton et conférence sur le développement économique des Autochtones à Fredericton</t>
        </is>
      </c>
      <c r="H4858" s="1" t="n">
        <v>43731</v>
      </c>
      <c r="I4858" s="1" t="n">
        <v>43733</v>
      </c>
      <c r="J4858" t="inlineStr">
        <is>
          <t>Moncton and Fredericton, New Brunswick</t>
        </is>
      </c>
      <c r="K4858" t="inlineStr">
        <is>
          <t>Moncton et Fredericton (Nouveau-Brunswick)</t>
        </is>
      </c>
      <c r="P4858" t="n">
        <v>278.08</v>
      </c>
      <c r="Q4858" t="n">
        <v>44.56</v>
      </c>
      <c r="R4858" t="n">
        <v>414.13</v>
      </c>
      <c r="S4858" t="n">
        <v>194.2</v>
      </c>
      <c r="T4858" t="n">
        <v>0</v>
      </c>
      <c r="U4858" t="n">
        <v>930.97</v>
      </c>
      <c r="X4858" t="inlineStr">
        <is>
          <t>acoa-apeca</t>
        </is>
      </c>
      <c r="Y4858" t="inlineStr">
        <is>
          <t>Atlantic Canada Opportunities Agency | Agence de promotion économique du Canada atlantique</t>
        </is>
      </c>
      <c r="Z4858" t="n">
        <v>3</v>
      </c>
      <c r="AA4858" t="n">
        <v>930.97</v>
      </c>
      <c r="AB4858">
        <f>ROUND(U4858-AA4858,2)</f>
        <v/>
      </c>
      <c r="AC4858" t="b">
        <v>0</v>
      </c>
      <c r="AD4858">
        <f>IF(U4858="","MISSING_TOTAL",IF(ABS(AB4858)&lt;=0.01,"OK","CHECK"))</f>
        <v/>
      </c>
      <c r="AE4858">
        <f>IF(U4858="","MISSING",IF(AND(AA4858&gt;0,U4858/AA4858&gt;50),"POSSIBLE_SCALE_ERROR","OK"))</f>
        <v/>
      </c>
    </row>
    <row r="4859">
      <c r="A4859" t="inlineStr">
        <is>
          <t>T-2020-Q3-00016</t>
        </is>
      </c>
      <c r="B4859" t="inlineStr">
        <is>
          <t>SLE</t>
        </is>
      </c>
      <c r="C4859" t="inlineStr">
        <is>
          <t>Vice-President, Nova Scotia</t>
        </is>
      </c>
      <c r="D4859" t="inlineStr">
        <is>
          <t>Vice-président, Nouvelle-Écosse</t>
        </is>
      </c>
      <c r="E4859" t="inlineStr">
        <is>
          <t>Chuck Maillet</t>
        </is>
      </c>
      <c r="F4859" t="inlineStr">
        <is>
          <t>Inuit Tapiriit Kanatami executive program</t>
        </is>
      </c>
      <c r="G4859" t="inlineStr">
        <is>
          <t>Programme pour cadres de l'Inuit Tapiriit Kanatami</t>
        </is>
      </c>
      <c r="H4859" s="1" t="n">
        <v>43713</v>
      </c>
      <c r="I4859" s="1" t="n">
        <v>43714</v>
      </c>
      <c r="J4859" t="inlineStr">
        <is>
          <t>Ottawa, Ontario</t>
        </is>
      </c>
      <c r="K4859" t="inlineStr">
        <is>
          <t>Ottawa (Ontario)</t>
        </is>
      </c>
      <c r="P4859" t="n">
        <v>774.12</v>
      </c>
      <c r="Q4859" t="n">
        <v>189.76</v>
      </c>
      <c r="R4859" t="n">
        <v>199.78</v>
      </c>
      <c r="S4859" t="n">
        <v>156.4</v>
      </c>
      <c r="T4859" t="n">
        <v>0</v>
      </c>
      <c r="U4859" t="n">
        <v>1320.06</v>
      </c>
      <c r="X4859" t="inlineStr">
        <is>
          <t>acoa-apeca</t>
        </is>
      </c>
      <c r="Y4859" t="inlineStr">
        <is>
          <t>Atlantic Canada Opportunities Agency | Agence de promotion économique du Canada atlantique</t>
        </is>
      </c>
      <c r="Z4859" t="n">
        <v>2</v>
      </c>
      <c r="AA4859" t="n">
        <v>1320.06</v>
      </c>
      <c r="AB4859">
        <f>ROUND(U4859-AA4859,2)</f>
        <v/>
      </c>
      <c r="AC4859" t="b">
        <v>0</v>
      </c>
      <c r="AD4859">
        <f>IF(U4859="","MISSING_TOTAL",IF(ABS(AB4859)&lt;=0.01,"OK","CHECK"))</f>
        <v/>
      </c>
      <c r="AE4859">
        <f>IF(U4859="","MISSING",IF(AND(AA4859&gt;0,U4859/AA4859&gt;50),"POSSIBLE_SCALE_ERROR","OK"))</f>
        <v/>
      </c>
    </row>
    <row r="4860">
      <c r="A4860" t="inlineStr">
        <is>
          <t>T-2020-Q3-00015</t>
        </is>
      </c>
      <c r="B4860" t="inlineStr">
        <is>
          <t>SLE</t>
        </is>
      </c>
      <c r="C4860" t="inlineStr">
        <is>
          <t>Vice-President, Nova Scotia</t>
        </is>
      </c>
      <c r="D4860" t="inlineStr">
        <is>
          <t>Vice-président, Nouvelle-Écosse</t>
        </is>
      </c>
      <c r="E4860" t="inlineStr">
        <is>
          <t>Chuck Maillet</t>
        </is>
      </c>
      <c r="F4860" t="inlineStr">
        <is>
          <t>Various meetings with Agency officials and stakeholders</t>
        </is>
      </c>
      <c r="G4860" t="inlineStr">
        <is>
          <t>Diverses réunions avec des fonctionnaires de l'Agence et des intervenants</t>
        </is>
      </c>
      <c r="H4860" s="1" t="n">
        <v>43710</v>
      </c>
      <c r="I4860" s="1" t="n">
        <v>43711</v>
      </c>
      <c r="J4860" t="inlineStr">
        <is>
          <t>Ottawa, Ontario</t>
        </is>
      </c>
      <c r="K4860" t="inlineStr">
        <is>
          <t>Ottawa (Ontario)</t>
        </is>
      </c>
      <c r="P4860" t="n">
        <v>860.8099999999999</v>
      </c>
      <c r="Q4860" t="n">
        <v>178.22</v>
      </c>
      <c r="R4860" t="n">
        <v>225.64</v>
      </c>
      <c r="S4860" t="n">
        <v>176.5</v>
      </c>
      <c r="T4860" t="n">
        <v>0</v>
      </c>
      <c r="U4860" t="n">
        <v>1441.17</v>
      </c>
      <c r="X4860" t="inlineStr">
        <is>
          <t>acoa-apeca</t>
        </is>
      </c>
      <c r="Y4860" t="inlineStr">
        <is>
          <t>Atlantic Canada Opportunities Agency | Agence de promotion économique du Canada atlantique</t>
        </is>
      </c>
      <c r="Z4860" t="n">
        <v>2</v>
      </c>
      <c r="AA4860" t="n">
        <v>1441.17</v>
      </c>
      <c r="AB4860">
        <f>ROUND(U4860-AA4860,2)</f>
        <v/>
      </c>
      <c r="AC4860" t="b">
        <v>0</v>
      </c>
      <c r="AD4860">
        <f>IF(U4860="","MISSING_TOTAL",IF(ABS(AB4860)&lt;=0.01,"OK","CHECK"))</f>
        <v/>
      </c>
      <c r="AE4860">
        <f>IF(U4860="","MISSING",IF(AND(AA4860&gt;0,U4860/AA4860&gt;50),"POSSIBLE_SCALE_ERROR","OK"))</f>
        <v/>
      </c>
    </row>
    <row r="4861">
      <c r="A4861" t="inlineStr">
        <is>
          <t>T-2020-Q3-00026</t>
        </is>
      </c>
      <c r="B4861" t="inlineStr">
        <is>
          <t>SLE</t>
        </is>
      </c>
      <c r="C4861" t="inlineStr">
        <is>
          <t>President</t>
        </is>
      </c>
      <c r="D4861" t="inlineStr">
        <is>
          <t>Président</t>
        </is>
      </c>
      <c r="E4861" t="inlineStr">
        <is>
          <t>Francis McGuire</t>
        </is>
      </c>
      <c r="F4861" t="inlineStr">
        <is>
          <t>Travelled to Halifax, NS Saint-Pierre et Miquelon, France and St. John's, NL for various meetings with Government of Saint-Pierre et Miquelon officials, Government of Canada officials and key stakeholders</t>
        </is>
      </c>
      <c r="G4861" t="inlineStr">
        <is>
          <t>Voyage à Halifax (N.-É.), Saint-Pierre et Miquelon (France) et St. John's (T.-N.-L.) pour des réunions avec des fonctionnaires de Saint-Pierre, des fonctionnaires fédéraux et des intervenants clés</t>
        </is>
      </c>
      <c r="H4861" s="1" t="n">
        <v>43668</v>
      </c>
      <c r="I4861" s="1" t="n">
        <v>43671</v>
      </c>
      <c r="J4861" t="inlineStr">
        <is>
          <t>Halifax, Nova Scotia; Saint-Pierre et Miquelon, France; St. John's, Newfoundland and Labrador</t>
        </is>
      </c>
      <c r="K4861" t="inlineStr">
        <is>
          <t>Halifax (Nouvelle-Écosse); Saint-Pierre et Miquelon (France); St. John's (Terre-Neuve-et-Labrador)</t>
        </is>
      </c>
      <c r="P4861" t="n">
        <v>1411.46</v>
      </c>
      <c r="Q4861" t="n">
        <v>107.47</v>
      </c>
      <c r="R4861" t="n">
        <v>476</v>
      </c>
      <c r="S4861" t="n">
        <v>200.65</v>
      </c>
      <c r="T4861" t="n">
        <v>0</v>
      </c>
      <c r="U4861" t="n">
        <v>2195.58</v>
      </c>
      <c r="X4861" t="inlineStr">
        <is>
          <t>acoa-apeca</t>
        </is>
      </c>
      <c r="Y4861" t="inlineStr">
        <is>
          <t>Atlantic Canada Opportunities Agency | Agence de promotion économique du Canada atlantique</t>
        </is>
      </c>
      <c r="Z4861" t="n">
        <v>4</v>
      </c>
      <c r="AA4861" t="n">
        <v>2195.58</v>
      </c>
      <c r="AB4861">
        <f>ROUND(U4861-AA4861,2)</f>
        <v/>
      </c>
      <c r="AC4861" t="b">
        <v>0</v>
      </c>
      <c r="AD4861">
        <f>IF(U4861="","MISSING_TOTAL",IF(ABS(AB4861)&lt;=0.01,"OK","CHECK"))</f>
        <v/>
      </c>
      <c r="AE4861">
        <f>IF(U4861="","MISSING",IF(AND(AA4861&gt;0,U4861/AA4861&gt;50),"POSSIBLE_SCALE_ERROR","OK"))</f>
        <v/>
      </c>
    </row>
    <row r="4862">
      <c r="A4862" t="inlineStr">
        <is>
          <t>T-2020-Q3-00025</t>
        </is>
      </c>
      <c r="B4862" t="inlineStr">
        <is>
          <t>SLE</t>
        </is>
      </c>
      <c r="C4862" t="inlineStr">
        <is>
          <t>President</t>
        </is>
      </c>
      <c r="D4862" t="inlineStr">
        <is>
          <t>Président</t>
        </is>
      </c>
      <c r="E4862" t="inlineStr">
        <is>
          <t>Francis McGuire</t>
        </is>
      </c>
      <c r="F4862" t="inlineStr">
        <is>
          <t>Meeting with Government of Canada officials</t>
        </is>
      </c>
      <c r="G4862" t="inlineStr">
        <is>
          <t>Réunion avec des fonctionnaires fédéraux</t>
        </is>
      </c>
      <c r="H4862" s="1" t="n">
        <v>43726</v>
      </c>
      <c r="I4862" s="1" t="n">
        <v>43728</v>
      </c>
      <c r="J4862" t="inlineStr">
        <is>
          <t>Ottawa, Ontario</t>
        </is>
      </c>
      <c r="K4862" t="inlineStr">
        <is>
          <t>Ottawa (Ontario)</t>
        </is>
      </c>
      <c r="P4862" t="n">
        <v>713.65</v>
      </c>
      <c r="Q4862" t="n">
        <v>14.98</v>
      </c>
      <c r="R4862" t="n">
        <v>547.64</v>
      </c>
      <c r="S4862" t="n">
        <v>264.95</v>
      </c>
      <c r="T4862" t="n">
        <v>36</v>
      </c>
      <c r="U4862" t="n">
        <v>1577.22</v>
      </c>
      <c r="X4862" t="inlineStr">
        <is>
          <t>acoa-apeca</t>
        </is>
      </c>
      <c r="Y4862" t="inlineStr">
        <is>
          <t>Atlantic Canada Opportunities Agency | Agence de promotion économique du Canada atlantique</t>
        </is>
      </c>
      <c r="Z4862" t="n">
        <v>3</v>
      </c>
      <c r="AA4862" t="n">
        <v>1577.22</v>
      </c>
      <c r="AB4862">
        <f>ROUND(U4862-AA4862,2)</f>
        <v/>
      </c>
      <c r="AC4862" t="b">
        <v>0</v>
      </c>
      <c r="AD4862">
        <f>IF(U4862="","MISSING_TOTAL",IF(ABS(AB4862)&lt;=0.01,"OK","CHECK"))</f>
        <v/>
      </c>
      <c r="AE4862">
        <f>IF(U4862="","MISSING",IF(AND(AA4862&gt;0,U4862/AA4862&gt;50),"POSSIBLE_SCALE_ERROR","OK"))</f>
        <v/>
      </c>
    </row>
    <row r="4863">
      <c r="A4863" t="inlineStr">
        <is>
          <t>T-2020-Q3-00024</t>
        </is>
      </c>
      <c r="B4863" t="inlineStr">
        <is>
          <t>SLE</t>
        </is>
      </c>
      <c r="C4863" t="inlineStr">
        <is>
          <t>President</t>
        </is>
      </c>
      <c r="D4863" t="inlineStr">
        <is>
          <t>Président</t>
        </is>
      </c>
      <c r="E4863" t="inlineStr">
        <is>
          <t>Francis McGuire</t>
        </is>
      </c>
      <c r="F4863" t="inlineStr">
        <is>
          <t>Meetings with Government of Canada officials</t>
        </is>
      </c>
      <c r="G4863" t="inlineStr">
        <is>
          <t>Réunions avec des fonctionnaires fédéraux</t>
        </is>
      </c>
      <c r="H4863" s="1" t="n">
        <v>43738</v>
      </c>
      <c r="I4863" s="1" t="n">
        <v>43740</v>
      </c>
      <c r="J4863" t="inlineStr">
        <is>
          <t>Ottawa, Ontario</t>
        </is>
      </c>
      <c r="K4863" t="inlineStr">
        <is>
          <t>Ottawa (Ontario)</t>
        </is>
      </c>
      <c r="P4863" t="n">
        <v>502</v>
      </c>
      <c r="Q4863" t="n">
        <v>14.98</v>
      </c>
      <c r="R4863" t="n">
        <v>642.84</v>
      </c>
      <c r="S4863" t="n">
        <v>214.15</v>
      </c>
      <c r="T4863" t="n">
        <v>32</v>
      </c>
      <c r="U4863" t="n">
        <v>1405.97</v>
      </c>
      <c r="X4863" t="inlineStr">
        <is>
          <t>acoa-apeca</t>
        </is>
      </c>
      <c r="Y4863" t="inlineStr">
        <is>
          <t>Atlantic Canada Opportunities Agency | Agence de promotion économique du Canada atlantique</t>
        </is>
      </c>
      <c r="Z4863" t="n">
        <v>3</v>
      </c>
      <c r="AA4863" t="n">
        <v>1405.97</v>
      </c>
      <c r="AB4863">
        <f>ROUND(U4863-AA4863,2)</f>
        <v/>
      </c>
      <c r="AC4863" t="b">
        <v>0</v>
      </c>
      <c r="AD4863">
        <f>IF(U4863="","MISSING_TOTAL",IF(ABS(AB4863)&lt;=0.01,"OK","CHECK"))</f>
        <v/>
      </c>
      <c r="AE4863">
        <f>IF(U4863="","MISSING",IF(AND(AA4863&gt;0,U4863/AA4863&gt;50),"POSSIBLE_SCALE_ERROR","OK"))</f>
        <v/>
      </c>
    </row>
    <row r="4864">
      <c r="A4864" t="inlineStr">
        <is>
          <t>T-2020-Q3-00008</t>
        </is>
      </c>
      <c r="B4864" t="inlineStr">
        <is>
          <t>SLE</t>
        </is>
      </c>
      <c r="C4864" t="inlineStr">
        <is>
          <t>President</t>
        </is>
      </c>
      <c r="D4864" t="inlineStr">
        <is>
          <t>Président</t>
        </is>
      </c>
      <c r="E4864" t="inlineStr">
        <is>
          <t>Francis McGuire</t>
        </is>
      </c>
      <c r="F4864" t="inlineStr">
        <is>
          <t>Meetings with Government of Canada officials and key stakeholders</t>
        </is>
      </c>
      <c r="G4864" t="inlineStr">
        <is>
          <t>Réunions avec des fonctionnaires du gouvernement du Canada et des intervenants clés</t>
        </is>
      </c>
      <c r="H4864" s="1" t="n">
        <v>43719</v>
      </c>
      <c r="I4864" s="1" t="n">
        <v>43721</v>
      </c>
      <c r="J4864" t="inlineStr">
        <is>
          <t>St. John's, Newfoundland and Labrador and Halifax, Nova Scotia</t>
        </is>
      </c>
      <c r="K4864" t="inlineStr">
        <is>
          <t>St. John's (Terre-Neuve-et-Labrador) et Halifax (Nouvelle-Écosse)</t>
        </is>
      </c>
      <c r="P4864" t="n">
        <v>1310.63</v>
      </c>
      <c r="Q4864" t="n">
        <v>14.98</v>
      </c>
      <c r="R4864" t="n">
        <v>437.92</v>
      </c>
      <c r="S4864" t="n">
        <v>234.4</v>
      </c>
      <c r="T4864" t="n">
        <v>36</v>
      </c>
      <c r="U4864" t="n">
        <v>2033.93</v>
      </c>
      <c r="X4864" t="inlineStr">
        <is>
          <t>acoa-apeca</t>
        </is>
      </c>
      <c r="Y4864" t="inlineStr">
        <is>
          <t>Atlantic Canada Opportunities Agency | Agence de promotion économique du Canada atlantique</t>
        </is>
      </c>
      <c r="Z4864" t="n">
        <v>3</v>
      </c>
      <c r="AA4864" t="n">
        <v>2033.93</v>
      </c>
      <c r="AB4864">
        <f>ROUND(U4864-AA4864,2)</f>
        <v/>
      </c>
      <c r="AC4864" t="b">
        <v>0</v>
      </c>
      <c r="AD4864">
        <f>IF(U4864="","MISSING_TOTAL",IF(ABS(AB4864)&lt;=0.01,"OK","CHECK"))</f>
        <v/>
      </c>
      <c r="AE4864">
        <f>IF(U4864="","MISSING",IF(AND(AA4864&gt;0,U4864/AA4864&gt;50),"POSSIBLE_SCALE_ERROR","OK"))</f>
        <v/>
      </c>
    </row>
    <row r="4865">
      <c r="A4865" t="inlineStr">
        <is>
          <t>T-2020-Q3-00007</t>
        </is>
      </c>
      <c r="B4865" t="inlineStr">
        <is>
          <t>SLE</t>
        </is>
      </c>
      <c r="C4865" t="inlineStr">
        <is>
          <t>President</t>
        </is>
      </c>
      <c r="D4865" t="inlineStr">
        <is>
          <t>Président</t>
        </is>
      </c>
      <c r="E4865" t="inlineStr">
        <is>
          <t>Francis McGuire</t>
        </is>
      </c>
      <c r="F4865" t="inlineStr">
        <is>
          <t>Meetings with Government of Canada officials and key stakeholder</t>
        </is>
      </c>
      <c r="G4865" t="inlineStr">
        <is>
          <t>Réunions avec des fonctionnaires du gouvernement du Canada et un intervenant clé</t>
        </is>
      </c>
      <c r="H4865" s="1" t="n">
        <v>43711</v>
      </c>
      <c r="I4865" s="1" t="n">
        <v>43711</v>
      </c>
      <c r="J4865" t="inlineStr">
        <is>
          <t>Ottawa, Ontario</t>
        </is>
      </c>
      <c r="K4865" t="inlineStr">
        <is>
          <t>Ottawa (Ontario)</t>
        </is>
      </c>
      <c r="P4865" t="n">
        <v>686.8</v>
      </c>
      <c r="Q4865" t="n">
        <v>46.98</v>
      </c>
      <c r="R4865" t="n">
        <v>0</v>
      </c>
      <c r="S4865" t="n">
        <v>70.75</v>
      </c>
      <c r="T4865" t="n">
        <v>12</v>
      </c>
      <c r="U4865" t="n">
        <v>816.53</v>
      </c>
      <c r="X4865" t="inlineStr">
        <is>
          <t>acoa-apeca</t>
        </is>
      </c>
      <c r="Y4865" t="inlineStr">
        <is>
          <t>Atlantic Canada Opportunities Agency | Agence de promotion économique du Canada atlantique</t>
        </is>
      </c>
      <c r="Z4865" t="n">
        <v>1</v>
      </c>
      <c r="AA4865" t="n">
        <v>816.53</v>
      </c>
      <c r="AB4865">
        <f>ROUND(U4865-AA4865,2)</f>
        <v/>
      </c>
      <c r="AC4865" t="b">
        <v>0</v>
      </c>
      <c r="AD4865">
        <f>IF(U4865="","MISSING_TOTAL",IF(ABS(AB4865)&lt;=0.01,"OK","CHECK"))</f>
        <v/>
      </c>
      <c r="AE4865">
        <f>IF(U4865="","MISSING",IF(AND(AA4865&gt;0,U4865/AA4865&gt;50),"POSSIBLE_SCALE_ERROR","OK"))</f>
        <v/>
      </c>
    </row>
    <row r="4866">
      <c r="A4866" t="inlineStr">
        <is>
          <t>T-2020-Q3-00004</t>
        </is>
      </c>
      <c r="B4866" t="inlineStr">
        <is>
          <t>SLE</t>
        </is>
      </c>
      <c r="C4866" t="inlineStr">
        <is>
          <t>Vice-President, Finance and Corporate Services</t>
        </is>
      </c>
      <c r="D4866" t="inlineStr">
        <is>
          <t>Vice-président, Finance et Services corporatifs</t>
        </is>
      </c>
      <c r="E4866" t="inlineStr">
        <is>
          <t>Stephane Lagace</t>
        </is>
      </c>
      <c r="F4866" t="inlineStr">
        <is>
          <t>Various meetings with Government of Canada employees</t>
        </is>
      </c>
      <c r="G4866" t="inlineStr">
        <is>
          <t>Diverses réunions avec des employés du gouvernement du Canada</t>
        </is>
      </c>
      <c r="H4866" s="1" t="n">
        <v>43719</v>
      </c>
      <c r="I4866" s="1" t="n">
        <v>43721</v>
      </c>
      <c r="J4866" t="inlineStr">
        <is>
          <t>St. John's, Newfoundland and Labrador</t>
        </is>
      </c>
      <c r="K4866" t="inlineStr">
        <is>
          <t>St. John's (Terre-Neuve-et-Labrador)</t>
        </is>
      </c>
      <c r="P4866" t="n">
        <v>1024.94</v>
      </c>
      <c r="Q4866" t="n">
        <v>65</v>
      </c>
      <c r="R4866" t="n">
        <v>437.92</v>
      </c>
      <c r="S4866" t="n">
        <v>214.3</v>
      </c>
      <c r="T4866" t="n">
        <v>51.74</v>
      </c>
      <c r="U4866" t="n">
        <v>1793.9</v>
      </c>
      <c r="X4866" t="inlineStr">
        <is>
          <t>acoa-apeca</t>
        </is>
      </c>
      <c r="Y4866" t="inlineStr">
        <is>
          <t>Atlantic Canada Opportunities Agency | Agence de promotion économique du Canada atlantique</t>
        </is>
      </c>
      <c r="Z4866" t="n">
        <v>3</v>
      </c>
      <c r="AA4866" t="n">
        <v>1793.9</v>
      </c>
      <c r="AB4866">
        <f>ROUND(U4866-AA4866,2)</f>
        <v/>
      </c>
      <c r="AC4866" t="b">
        <v>0</v>
      </c>
      <c r="AD4866">
        <f>IF(U4866="","MISSING_TOTAL",IF(ABS(AB4866)&lt;=0.01,"OK","CHECK"))</f>
        <v/>
      </c>
      <c r="AE4866">
        <f>IF(U4866="","MISSING",IF(AND(AA4866&gt;0,U4866/AA4866&gt;50),"POSSIBLE_SCALE_ERROR","OK"))</f>
        <v/>
      </c>
    </row>
    <row r="4867">
      <c r="A4867" t="inlineStr">
        <is>
          <t>T-2020-Q3-00020</t>
        </is>
      </c>
      <c r="B4867" t="inlineStr">
        <is>
          <t>SLE</t>
        </is>
      </c>
      <c r="C4867" t="inlineStr">
        <is>
          <t>Acting Vice-President, Newfoundland and Labrador</t>
        </is>
      </c>
      <c r="D4867" t="inlineStr">
        <is>
          <t>Vice-président par intérim, Terre-Neuve et Labrador</t>
        </is>
      </c>
      <c r="E4867" t="inlineStr">
        <is>
          <t>Bill Grandy</t>
        </is>
      </c>
      <c r="F4867" t="inlineStr">
        <is>
          <t>Acting Vice-President of ACOA Newfoundland and Labrador</t>
        </is>
      </c>
      <c r="G4867" t="inlineStr">
        <is>
          <t>Vice-président par intérim du bureau de l'APECA à Terre-Neuve-et-Labrador</t>
        </is>
      </c>
      <c r="H4867" s="1" t="n">
        <v>43737</v>
      </c>
      <c r="I4867" s="1" t="n">
        <v>43741</v>
      </c>
      <c r="J4867" t="inlineStr">
        <is>
          <t>St. John's, Newfoundland and Labrador</t>
        </is>
      </c>
      <c r="K4867" t="inlineStr">
        <is>
          <t>St. John's (Terre-Neuve-et-Labrador)</t>
        </is>
      </c>
      <c r="P4867" t="n">
        <v>1133.15</v>
      </c>
      <c r="Q4867" t="n">
        <v>85</v>
      </c>
      <c r="R4867" t="n">
        <v>852.04</v>
      </c>
      <c r="S4867" t="n">
        <v>431.75</v>
      </c>
      <c r="T4867" t="n">
        <v>0</v>
      </c>
      <c r="U4867" t="n">
        <v>2501.94</v>
      </c>
      <c r="X4867" t="inlineStr">
        <is>
          <t>acoa-apeca</t>
        </is>
      </c>
      <c r="Y4867" t="inlineStr">
        <is>
          <t>Atlantic Canada Opportunities Agency | Agence de promotion économique du Canada atlantique</t>
        </is>
      </c>
      <c r="Z4867" t="n">
        <v>5</v>
      </c>
      <c r="AA4867" t="n">
        <v>2501.94</v>
      </c>
      <c r="AB4867">
        <f>ROUND(U4867-AA4867,2)</f>
        <v/>
      </c>
      <c r="AC4867" t="b">
        <v>0</v>
      </c>
      <c r="AD4867">
        <f>IF(U4867="","MISSING_TOTAL",IF(ABS(AB4867)&lt;=0.01,"OK","CHECK"))</f>
        <v/>
      </c>
      <c r="AE4867">
        <f>IF(U4867="","MISSING",IF(AND(AA4867&gt;0,U4867/AA4867&gt;50),"POSSIBLE_SCALE_ERROR","OK"))</f>
        <v/>
      </c>
    </row>
    <row r="4868">
      <c r="A4868" t="inlineStr">
        <is>
          <t>T-2020-Q3-00006</t>
        </is>
      </c>
      <c r="B4868" t="inlineStr">
        <is>
          <t>SLE</t>
        </is>
      </c>
      <c r="C4868" t="inlineStr">
        <is>
          <t>Acting Vice-President, Newfoundland and Labrador</t>
        </is>
      </c>
      <c r="D4868" t="inlineStr">
        <is>
          <t>Vice-président par intérim, Terre-Neuve et Labrador</t>
        </is>
      </c>
      <c r="E4868" t="inlineStr">
        <is>
          <t>Bill Grandy</t>
        </is>
      </c>
      <c r="F4868" t="inlineStr">
        <is>
          <t>Acting Vice-President of ACOA Newfoundland and Labrador</t>
        </is>
      </c>
      <c r="G4868" t="inlineStr">
        <is>
          <t>Vice-président par intérim, bureau de l'APECA à Terre-Neuve-et-Labrador</t>
        </is>
      </c>
      <c r="H4868" s="1" t="n">
        <v>43717</v>
      </c>
      <c r="I4868" s="1" t="n">
        <v>43727</v>
      </c>
      <c r="J4868" t="inlineStr">
        <is>
          <t>St. John's, Newfoundland and Labrador</t>
        </is>
      </c>
      <c r="K4868" t="inlineStr">
        <is>
          <t>St. John's (Newfoundland and Labrador)</t>
        </is>
      </c>
      <c r="P4868" t="n">
        <v>213.64</v>
      </c>
      <c r="Q4868" t="n">
        <v>150</v>
      </c>
      <c r="R4868" t="n">
        <v>2130.1</v>
      </c>
      <c r="S4868" t="n">
        <v>1173.95</v>
      </c>
      <c r="T4868" t="n">
        <v>69</v>
      </c>
      <c r="U4868" t="n">
        <v>3736.69</v>
      </c>
      <c r="X4868" t="inlineStr">
        <is>
          <t>acoa-apeca</t>
        </is>
      </c>
      <c r="Y4868" t="inlineStr">
        <is>
          <t>Atlantic Canada Opportunities Agency | Agence de promotion économique du Canada atlantique</t>
        </is>
      </c>
      <c r="Z4868" t="n">
        <v>11</v>
      </c>
      <c r="AA4868" t="n">
        <v>3736.68999999999</v>
      </c>
      <c r="AB4868">
        <f>ROUND(U4868-AA4868,2)</f>
        <v/>
      </c>
      <c r="AC4868" t="b">
        <v>0</v>
      </c>
      <c r="AD4868">
        <f>IF(U4868="","MISSING_TOTAL",IF(ABS(AB4868)&lt;=0.01,"OK","CHECK"))</f>
        <v/>
      </c>
      <c r="AE4868">
        <f>IF(U4868="","MISSING",IF(AND(AA4868&gt;0,U4868/AA4868&gt;50),"POSSIBLE_SCALE_ERROR","OK"))</f>
        <v/>
      </c>
    </row>
    <row r="4869">
      <c r="A4869" t="inlineStr">
        <is>
          <t>T-2020-Q3-00038</t>
        </is>
      </c>
      <c r="B4869" t="inlineStr">
        <is>
          <t>SLE</t>
        </is>
      </c>
      <c r="C4869" t="inlineStr">
        <is>
          <t>Vice-President, Policy, Programs and Communications</t>
        </is>
      </c>
      <c r="D4869" t="inlineStr">
        <is>
          <t>Vice-président, Politiques et Programmes</t>
        </is>
      </c>
      <c r="E4869" t="inlineStr">
        <is>
          <t>Daryell Nowlan</t>
        </is>
      </c>
      <c r="F4869" t="inlineStr">
        <is>
          <t>Meetings with Government of Canada officials</t>
        </is>
      </c>
      <c r="G4869" t="inlineStr">
        <is>
          <t>Réunions avec des fonctionnaires du gouvernement du Canada</t>
        </is>
      </c>
      <c r="H4869" s="1" t="n">
        <v>43761</v>
      </c>
      <c r="I4869" s="1" t="n">
        <v>43763</v>
      </c>
      <c r="J4869" t="inlineStr">
        <is>
          <t>Ottawa, Ontario</t>
        </is>
      </c>
      <c r="K4869" t="inlineStr">
        <is>
          <t>Ottawa (Ontario)</t>
        </is>
      </c>
      <c r="P4869" t="n">
        <v>726.8</v>
      </c>
      <c r="Q4869" t="n">
        <v>109.14</v>
      </c>
      <c r="R4869" t="n">
        <v>642.84</v>
      </c>
      <c r="S4869" t="n">
        <v>265.35</v>
      </c>
      <c r="T4869" t="n">
        <v>0</v>
      </c>
      <c r="U4869" t="n">
        <v>1744.13</v>
      </c>
      <c r="X4869" t="inlineStr">
        <is>
          <t>acoa-apeca</t>
        </is>
      </c>
      <c r="Y4869" t="inlineStr">
        <is>
          <t>Atlantic Canada Opportunities Agency | Agence de promotion économique du Canada atlantique</t>
        </is>
      </c>
      <c r="Z4869" t="n">
        <v>3</v>
      </c>
      <c r="AA4869" t="n">
        <v>1744.13</v>
      </c>
      <c r="AB4869">
        <f>ROUND(U4869-AA4869,2)</f>
        <v/>
      </c>
      <c r="AC4869" t="b">
        <v>0</v>
      </c>
      <c r="AD4869">
        <f>IF(U4869="","MISSING_TOTAL",IF(ABS(AB4869)&lt;=0.01,"OK","CHECK"))</f>
        <v/>
      </c>
      <c r="AE4869">
        <f>IF(U4869="","MISSING",IF(AND(AA4869&gt;0,U4869/AA4869&gt;50),"POSSIBLE_SCALE_ERROR","OK"))</f>
        <v/>
      </c>
    </row>
    <row r="4870">
      <c r="A4870" t="inlineStr">
        <is>
          <t>T-2020-Q3-00027</t>
        </is>
      </c>
      <c r="B4870" t="inlineStr">
        <is>
          <t>SLE</t>
        </is>
      </c>
      <c r="C4870" t="inlineStr">
        <is>
          <t>Vice-President, Policy, Programs and Communications</t>
        </is>
      </c>
      <c r="D4870" t="inlineStr">
        <is>
          <t>Vice-président, Politiques et Programmes</t>
        </is>
      </c>
      <c r="E4870" t="inlineStr">
        <is>
          <t>Daryell Nowlan</t>
        </is>
      </c>
      <c r="F4870" t="inlineStr">
        <is>
          <t>Meeting with Government of Canada officials</t>
        </is>
      </c>
      <c r="G4870" t="inlineStr">
        <is>
          <t>Réunion avec des fonctionnaires du gouvernement du Canada</t>
        </is>
      </c>
      <c r="H4870" s="1" t="n">
        <v>43746</v>
      </c>
      <c r="I4870" s="1" t="n">
        <v>43746</v>
      </c>
      <c r="J4870" t="inlineStr">
        <is>
          <t>Fredericton, New Brunswick</t>
        </is>
      </c>
      <c r="K4870" t="inlineStr">
        <is>
          <t>Fredericton (Nouveau-Brunswick)</t>
        </is>
      </c>
      <c r="P4870" t="n">
        <v>0</v>
      </c>
      <c r="Q4870" t="n">
        <v>187.25</v>
      </c>
      <c r="R4870" t="n">
        <v>0</v>
      </c>
      <c r="S4870" t="n">
        <v>20.6</v>
      </c>
      <c r="T4870" t="n">
        <v>0</v>
      </c>
      <c r="U4870" t="n">
        <v>207.85</v>
      </c>
      <c r="X4870" t="inlineStr">
        <is>
          <t>acoa-apeca</t>
        </is>
      </c>
      <c r="Y4870" t="inlineStr">
        <is>
          <t>Atlantic Canada Opportunities Agency | Agence de promotion économique du Canada atlantique</t>
        </is>
      </c>
      <c r="Z4870" t="n">
        <v>1</v>
      </c>
      <c r="AA4870" t="n">
        <v>207.85</v>
      </c>
      <c r="AB4870">
        <f>ROUND(U4870-AA4870,2)</f>
        <v/>
      </c>
      <c r="AC4870" t="b">
        <v>0</v>
      </c>
      <c r="AD4870">
        <f>IF(U4870="","MISSING_TOTAL",IF(ABS(AB4870)&lt;=0.01,"OK","CHECK"))</f>
        <v/>
      </c>
      <c r="AE4870">
        <f>IF(U4870="","MISSING",IF(AND(AA4870&gt;0,U4870/AA4870&gt;50),"POSSIBLE_SCALE_ERROR","OK"))</f>
        <v/>
      </c>
    </row>
    <row r="4871">
      <c r="A4871" t="inlineStr">
        <is>
          <t>T-2020-Q3-00021</t>
        </is>
      </c>
      <c r="B4871" t="inlineStr">
        <is>
          <t>SLE</t>
        </is>
      </c>
      <c r="C4871" t="inlineStr">
        <is>
          <t>Vice-President, Policy, Programs and Communications</t>
        </is>
      </c>
      <c r="D4871" t="inlineStr">
        <is>
          <t>Vice-président, Politiques et Programmes</t>
        </is>
      </c>
      <c r="E4871" t="inlineStr">
        <is>
          <t>Daryell Nowlan</t>
        </is>
      </c>
      <c r="F4871" t="inlineStr">
        <is>
          <t>Meetings with Government of Canada and private sector officials</t>
        </is>
      </c>
      <c r="G4871" t="inlineStr">
        <is>
          <t>Réunions avec des fonctionnaires du gouvernement du Canada et des représentants du secteur privé</t>
        </is>
      </c>
      <c r="H4871" s="1" t="n">
        <v>43739</v>
      </c>
      <c r="I4871" s="1" t="n">
        <v>43741</v>
      </c>
      <c r="J4871" t="inlineStr">
        <is>
          <t>Halifax, Nova Scotia and Ottawa, Ontario</t>
        </is>
      </c>
      <c r="K4871" t="inlineStr">
        <is>
          <t>Halifax (Nouvelle-Écosse) et Ottawa (Ontario)</t>
        </is>
      </c>
      <c r="P4871" t="n">
        <v>726.8</v>
      </c>
      <c r="Q4871" t="n">
        <v>242.14</v>
      </c>
      <c r="R4871" t="n">
        <v>412.9</v>
      </c>
      <c r="S4871" t="n">
        <v>255.5</v>
      </c>
      <c r="T4871" t="n">
        <v>0</v>
      </c>
      <c r="U4871" t="n">
        <v>1637.34</v>
      </c>
      <c r="X4871" t="inlineStr">
        <is>
          <t>acoa-apeca</t>
        </is>
      </c>
      <c r="Y4871" t="inlineStr">
        <is>
          <t>Atlantic Canada Opportunities Agency | Agence de promotion économique du Canada atlantique</t>
        </is>
      </c>
      <c r="Z4871" t="n">
        <v>3</v>
      </c>
      <c r="AA4871" t="n">
        <v>1637.34</v>
      </c>
      <c r="AB4871">
        <f>ROUND(U4871-AA4871,2)</f>
        <v/>
      </c>
      <c r="AC4871" t="b">
        <v>0</v>
      </c>
      <c r="AD4871">
        <f>IF(U4871="","MISSING_TOTAL",IF(ABS(AB4871)&lt;=0.01,"OK","CHECK"))</f>
        <v/>
      </c>
      <c r="AE4871">
        <f>IF(U4871="","MISSING",IF(AND(AA4871&gt;0,U4871/AA4871&gt;50),"POSSIBLE_SCALE_ERROR","OK"))</f>
        <v/>
      </c>
    </row>
    <row r="4872">
      <c r="A4872" t="inlineStr">
        <is>
          <t>T-2020-Q3-00031</t>
        </is>
      </c>
      <c r="B4872" t="inlineStr">
        <is>
          <t>SLE</t>
        </is>
      </c>
      <c r="C4872" t="inlineStr">
        <is>
          <t>Vice-President, New Brunswick</t>
        </is>
      </c>
      <c r="D4872" t="inlineStr">
        <is>
          <t>Vice-président, Nouveau-Brunswick</t>
        </is>
      </c>
      <c r="E4872" t="inlineStr">
        <is>
          <t>Kent Estabrooks</t>
        </is>
      </c>
      <c r="F4872" t="inlineStr">
        <is>
          <t>Meetings with various government officials, and meetings with Agency officials</t>
        </is>
      </c>
      <c r="G4872" t="inlineStr">
        <is>
          <t>Réunions avec divers fonctionnaires, et réunions avec des fonctionnaires de l'Agence</t>
        </is>
      </c>
      <c r="H4872" s="1" t="n">
        <v>43752</v>
      </c>
      <c r="I4872" s="1" t="n">
        <v>43755</v>
      </c>
      <c r="J4872" t="inlineStr">
        <is>
          <t>Moncton, New Brunswick and Halifax, Nova Scotia</t>
        </is>
      </c>
      <c r="K4872" t="inlineStr">
        <is>
          <t>Moncton (Nouveau-Brunswick) et Halifax (Nouvelle-Écosse)</t>
        </is>
      </c>
      <c r="P4872" t="n">
        <v>363.4</v>
      </c>
      <c r="Q4872" t="n">
        <v>81.59999999999999</v>
      </c>
      <c r="R4872" t="n">
        <v>554.01</v>
      </c>
      <c r="S4872" t="n">
        <v>312.6</v>
      </c>
      <c r="T4872" t="n">
        <v>0</v>
      </c>
      <c r="U4872" t="n">
        <v>1311.61</v>
      </c>
      <c r="X4872" t="inlineStr">
        <is>
          <t>acoa-apeca</t>
        </is>
      </c>
      <c r="Y4872" t="inlineStr">
        <is>
          <t>Atlantic Canada Opportunities Agency | Agence de promotion économique du Canada atlantique</t>
        </is>
      </c>
      <c r="Z4872" t="n">
        <v>4</v>
      </c>
      <c r="AA4872" t="n">
        <v>1311.61</v>
      </c>
      <c r="AB4872">
        <f>ROUND(U4872-AA4872,2)</f>
        <v/>
      </c>
      <c r="AC4872" t="b">
        <v>0</v>
      </c>
      <c r="AD4872">
        <f>IF(U4872="","MISSING_TOTAL",IF(ABS(AB4872)&lt;=0.01,"OK","CHECK"))</f>
        <v/>
      </c>
      <c r="AE4872">
        <f>IF(U4872="","MISSING",IF(AND(AA4872&gt;0,U4872/AA4872&gt;50),"POSSIBLE_SCALE_ERROR","OK"))</f>
        <v/>
      </c>
    </row>
    <row r="4873">
      <c r="A4873" t="inlineStr">
        <is>
          <t>T-2020-Q3-00029</t>
        </is>
      </c>
      <c r="B4873" t="inlineStr">
        <is>
          <t>SLE</t>
        </is>
      </c>
      <c r="C4873" t="inlineStr">
        <is>
          <t>Vice-President, New Brunswick</t>
        </is>
      </c>
      <c r="D4873" t="inlineStr">
        <is>
          <t>Vice-président, Nouveau-Brunswick</t>
        </is>
      </c>
      <c r="E4873" t="inlineStr">
        <is>
          <t>Kent Estabrooks</t>
        </is>
      </c>
      <c r="F4873" t="inlineStr">
        <is>
          <t>Advanced manufacturing event and stakeholder engagement</t>
        </is>
      </c>
      <c r="G4873" t="inlineStr">
        <is>
          <t>Activité liée à la fabrication de pointe et engagement des intervenants</t>
        </is>
      </c>
      <c r="H4873" s="1" t="n">
        <v>43746</v>
      </c>
      <c r="I4873" s="1" t="n">
        <v>43748</v>
      </c>
      <c r="J4873" t="inlineStr">
        <is>
          <t>Vaughn, Ontario</t>
        </is>
      </c>
      <c r="K4873" t="inlineStr">
        <is>
          <t>Vaughn (Ontario)</t>
        </is>
      </c>
      <c r="P4873" t="n">
        <v>726.8</v>
      </c>
      <c r="Q4873" t="n">
        <v>81.93000000000001</v>
      </c>
      <c r="R4873" t="n">
        <v>420.72</v>
      </c>
      <c r="S4873" t="n">
        <v>194.2</v>
      </c>
      <c r="T4873" t="n">
        <v>0</v>
      </c>
      <c r="U4873" t="n">
        <v>1423.65</v>
      </c>
      <c r="X4873" t="inlineStr">
        <is>
          <t>acoa-apeca</t>
        </is>
      </c>
      <c r="Y4873" t="inlineStr">
        <is>
          <t>Atlantic Canada Opportunities Agency | Agence de promotion économique du Canada atlantique</t>
        </is>
      </c>
      <c r="Z4873" t="n">
        <v>3</v>
      </c>
      <c r="AA4873" t="n">
        <v>1423.65</v>
      </c>
      <c r="AB4873">
        <f>ROUND(U4873-AA4873,2)</f>
        <v/>
      </c>
      <c r="AC4873" t="b">
        <v>0</v>
      </c>
      <c r="AD4873">
        <f>IF(U4873="","MISSING_TOTAL",IF(ABS(AB4873)&lt;=0.01,"OK","CHECK"))</f>
        <v/>
      </c>
      <c r="AE4873">
        <f>IF(U4873="","MISSING",IF(AND(AA4873&gt;0,U4873/AA4873&gt;50),"POSSIBLE_SCALE_ERROR","OK"))</f>
        <v/>
      </c>
    </row>
    <row r="4874">
      <c r="A4874" t="inlineStr">
        <is>
          <t>T-2020-Q3-00032</t>
        </is>
      </c>
      <c r="B4874" t="inlineStr">
        <is>
          <t>SLE</t>
        </is>
      </c>
      <c r="C4874" t="inlineStr">
        <is>
          <t>Vice-President, Prince Edward Island</t>
        </is>
      </c>
      <c r="D4874" t="inlineStr">
        <is>
          <t>Vice-président, Île-du-Prince-Édouard</t>
        </is>
      </c>
      <c r="E4874" t="inlineStr">
        <is>
          <t>Patrick Dorsey</t>
        </is>
      </c>
      <c r="F4874" t="inlineStr">
        <is>
          <t>Meeting with federal government officials</t>
        </is>
      </c>
      <c r="G4874" t="inlineStr">
        <is>
          <t>Réunion avec des fonctionnaires fédéraux</t>
        </is>
      </c>
      <c r="H4874" s="1" t="n">
        <v>43754</v>
      </c>
      <c r="I4874" s="1" t="n">
        <v>43756</v>
      </c>
      <c r="J4874" t="inlineStr">
        <is>
          <t>Moncton, New Brunswick</t>
        </is>
      </c>
      <c r="K4874" t="inlineStr">
        <is>
          <t>Moncton (Nouveau-Brunswick)</t>
        </is>
      </c>
      <c r="P4874" t="n">
        <v>0</v>
      </c>
      <c r="Q4874" t="n">
        <v>0</v>
      </c>
      <c r="R4874" t="n">
        <v>336.85</v>
      </c>
      <c r="S4874" t="n">
        <v>173.6</v>
      </c>
      <c r="T4874" t="n">
        <v>36.23</v>
      </c>
      <c r="U4874" t="n">
        <v>546.6799999999999</v>
      </c>
      <c r="X4874" t="inlineStr">
        <is>
          <t>acoa-apeca</t>
        </is>
      </c>
      <c r="Y4874" t="inlineStr">
        <is>
          <t>Atlantic Canada Opportunities Agency | Agence de promotion économique du Canada atlantique</t>
        </is>
      </c>
      <c r="Z4874" t="n">
        <v>3</v>
      </c>
      <c r="AA4874" t="n">
        <v>546.6799999999999</v>
      </c>
      <c r="AB4874">
        <f>ROUND(U4874-AA4874,2)</f>
        <v/>
      </c>
      <c r="AC4874" t="b">
        <v>0</v>
      </c>
      <c r="AD4874">
        <f>IF(U4874="","MISSING_TOTAL",IF(ABS(AB4874)&lt;=0.01,"OK","CHECK"))</f>
        <v/>
      </c>
      <c r="AE4874">
        <f>IF(U4874="","MISSING",IF(AND(AA4874&gt;0,U4874/AA4874&gt;50),"POSSIBLE_SCALE_ERROR","OK"))</f>
        <v/>
      </c>
    </row>
    <row r="4875">
      <c r="A4875" t="inlineStr">
        <is>
          <t>T-2020-Q3-00022</t>
        </is>
      </c>
      <c r="B4875" t="inlineStr">
        <is>
          <t>SLE</t>
        </is>
      </c>
      <c r="C4875" t="inlineStr">
        <is>
          <t>Vice-President, Prince Edward Island</t>
        </is>
      </c>
      <c r="D4875" t="inlineStr">
        <is>
          <t>Vice-président, Île-du-Prince-Édouard</t>
        </is>
      </c>
      <c r="E4875" t="inlineStr">
        <is>
          <t>Patrick Dorsey</t>
        </is>
      </c>
      <c r="F4875" t="inlineStr">
        <is>
          <t>To attend The Canadian Defence Security and Aerospace Exhibition (DEFSEC) Atlantic 2019</t>
        </is>
      </c>
      <c r="G4875" t="inlineStr">
        <is>
          <t>Participation à l'exposition Canadian Defence Security and Aerospace Exhibition Atlantic 2019</t>
        </is>
      </c>
      <c r="H4875" s="1" t="n">
        <v>43739</v>
      </c>
      <c r="I4875" s="1" t="n">
        <v>43740</v>
      </c>
      <c r="J4875" t="inlineStr">
        <is>
          <t>Halifax, Nova Scotia</t>
        </is>
      </c>
      <c r="K4875" t="inlineStr">
        <is>
          <t>Halifax (Nouvelle-Écosse)</t>
        </is>
      </c>
      <c r="P4875" t="n">
        <v>0</v>
      </c>
      <c r="Q4875" t="n">
        <v>0</v>
      </c>
      <c r="R4875" t="n">
        <v>206.45</v>
      </c>
      <c r="S4875" t="n">
        <v>146.7</v>
      </c>
      <c r="T4875" t="n">
        <v>91.09</v>
      </c>
      <c r="U4875" t="n">
        <v>444.24</v>
      </c>
      <c r="X4875" t="inlineStr">
        <is>
          <t>acoa-apeca</t>
        </is>
      </c>
      <c r="Y4875" t="inlineStr">
        <is>
          <t>Atlantic Canada Opportunities Agency | Agence de promotion économique du Canada atlantique</t>
        </is>
      </c>
      <c r="Z4875" t="n">
        <v>2</v>
      </c>
      <c r="AA4875" t="n">
        <v>444.24</v>
      </c>
      <c r="AB4875">
        <f>ROUND(U4875-AA4875,2)</f>
        <v/>
      </c>
      <c r="AC4875" t="b">
        <v>0</v>
      </c>
      <c r="AD4875">
        <f>IF(U4875="","MISSING_TOTAL",IF(ABS(AB4875)&lt;=0.01,"OK","CHECK"))</f>
        <v/>
      </c>
      <c r="AE4875">
        <f>IF(U4875="","MISSING",IF(AND(AA4875&gt;0,U4875/AA4875&gt;50),"POSSIBLE_SCALE_ERROR","OK"))</f>
        <v/>
      </c>
    </row>
    <row r="4876">
      <c r="A4876" t="inlineStr">
        <is>
          <t>T-2020-Q3-00043</t>
        </is>
      </c>
      <c r="B4876" t="inlineStr">
        <is>
          <t>SLE</t>
        </is>
      </c>
      <c r="C4876" t="inlineStr">
        <is>
          <t>Vice-President, Nova Scotia</t>
        </is>
      </c>
      <c r="D4876" t="inlineStr">
        <is>
          <t>Vice-président, Nouvelle-Écosse</t>
        </is>
      </c>
      <c r="E4876" t="inlineStr">
        <is>
          <t>Chuck Maillet</t>
        </is>
      </c>
      <c r="F4876" t="inlineStr">
        <is>
          <t>Leadership in Indigenous Relations training and various meetings with Government of Canada officials</t>
        </is>
      </c>
      <c r="G4876" t="inlineStr">
        <is>
          <t>Formation Leadership et relations  autochtones et diverses réunions avec des fonctionnaires du gouvernement du Canada</t>
        </is>
      </c>
      <c r="H4876" s="1" t="n">
        <v>43766</v>
      </c>
      <c r="I4876" s="1" t="n">
        <v>43770</v>
      </c>
      <c r="J4876" t="inlineStr">
        <is>
          <t>Ottawa, Ontario</t>
        </is>
      </c>
      <c r="K4876" t="inlineStr">
        <is>
          <t>Ottawa (Ontario)</t>
        </is>
      </c>
      <c r="P4876" t="n">
        <v>584.28</v>
      </c>
      <c r="Q4876" t="n">
        <v>226.37</v>
      </c>
      <c r="R4876" t="n">
        <v>1136.41</v>
      </c>
      <c r="S4876" t="n">
        <v>461.85</v>
      </c>
      <c r="T4876" t="n">
        <v>0</v>
      </c>
      <c r="U4876" t="n">
        <v>2408.91</v>
      </c>
      <c r="X4876" t="inlineStr">
        <is>
          <t>acoa-apeca</t>
        </is>
      </c>
      <c r="Y4876" t="inlineStr">
        <is>
          <t>Atlantic Canada Opportunities Agency | Agence de promotion économique du Canada atlantique</t>
        </is>
      </c>
      <c r="Z4876" t="n">
        <v>5</v>
      </c>
      <c r="AA4876" t="n">
        <v>2408.91</v>
      </c>
      <c r="AB4876">
        <f>ROUND(U4876-AA4876,2)</f>
        <v/>
      </c>
      <c r="AC4876" t="b">
        <v>0</v>
      </c>
      <c r="AD4876">
        <f>IF(U4876="","MISSING_TOTAL",IF(ABS(AB4876)&lt;=0.01,"OK","CHECK"))</f>
        <v/>
      </c>
      <c r="AE4876">
        <f>IF(U4876="","MISSING",IF(AND(AA4876&gt;0,U4876/AA4876&gt;50),"POSSIBLE_SCALE_ERROR","OK"))</f>
        <v/>
      </c>
    </row>
    <row r="4877">
      <c r="A4877" t="inlineStr">
        <is>
          <t>T-2020-Q3-00042</t>
        </is>
      </c>
      <c r="B4877" t="inlineStr">
        <is>
          <t>SLE</t>
        </is>
      </c>
      <c r="C4877" t="inlineStr">
        <is>
          <t>Vice-President, Nova Scotia</t>
        </is>
      </c>
      <c r="D4877" t="inlineStr">
        <is>
          <t>Vice-président, Nouvelle-Écosse</t>
        </is>
      </c>
      <c r="E4877" t="inlineStr">
        <is>
          <t>Chuck Maillet</t>
        </is>
      </c>
      <c r="F4877" t="inlineStr">
        <is>
          <t>Speaking Engagement and Client Visits</t>
        </is>
      </c>
      <c r="G4877" t="inlineStr">
        <is>
          <t>Présentation d'un discours et visites de clients</t>
        </is>
      </c>
      <c r="H4877" s="1" t="n">
        <v>43762</v>
      </c>
      <c r="I4877" s="1" t="n">
        <v>43762</v>
      </c>
      <c r="J4877" t="inlineStr">
        <is>
          <t>Wolfville, Nova Scotia</t>
        </is>
      </c>
      <c r="K4877" t="inlineStr">
        <is>
          <t>Wolfville (Nouvelle-Écosse)</t>
        </is>
      </c>
      <c r="P4877" t="n">
        <v>0</v>
      </c>
      <c r="Q4877" t="n">
        <v>95.55</v>
      </c>
      <c r="R4877" t="n">
        <v>0</v>
      </c>
      <c r="S4877" t="n">
        <v>20.6</v>
      </c>
      <c r="T4877" t="n">
        <v>0</v>
      </c>
      <c r="U4877" t="n">
        <v>116.15</v>
      </c>
      <c r="X4877" t="inlineStr">
        <is>
          <t>acoa-apeca</t>
        </is>
      </c>
      <c r="Y4877" t="inlineStr">
        <is>
          <t>Atlantic Canada Opportunities Agency | Agence de promotion économique du Canada atlantique</t>
        </is>
      </c>
      <c r="Z4877" t="n">
        <v>1</v>
      </c>
      <c r="AA4877" t="n">
        <v>116.15</v>
      </c>
      <c r="AB4877">
        <f>ROUND(U4877-AA4877,2)</f>
        <v/>
      </c>
      <c r="AC4877" t="b">
        <v>0</v>
      </c>
      <c r="AD4877">
        <f>IF(U4877="","MISSING_TOTAL",IF(ABS(AB4877)&lt;=0.01,"OK","CHECK"))</f>
        <v/>
      </c>
      <c r="AE4877">
        <f>IF(U4877="","MISSING",IF(AND(AA4877&gt;0,U4877/AA4877&gt;50),"POSSIBLE_SCALE_ERROR","OK"))</f>
        <v/>
      </c>
    </row>
    <row r="4878">
      <c r="A4878" t="inlineStr">
        <is>
          <t>T-2020-Q3-00041</t>
        </is>
      </c>
      <c r="B4878" t="inlineStr">
        <is>
          <t>SLE</t>
        </is>
      </c>
      <c r="C4878" t="inlineStr">
        <is>
          <t>Vice-President, Nova Scotia</t>
        </is>
      </c>
      <c r="D4878" t="inlineStr">
        <is>
          <t>Vice-président, Nouvelle-Écosse</t>
        </is>
      </c>
      <c r="E4878" t="inlineStr">
        <is>
          <t>Chuck Maillet</t>
        </is>
      </c>
      <c r="F4878" t="inlineStr">
        <is>
          <t>Client visit and various meetings with Agency officials</t>
        </is>
      </c>
      <c r="G4878" t="inlineStr">
        <is>
          <t>Visite de client et diverses réunions avec des fonctionnaires de l'Agence</t>
        </is>
      </c>
      <c r="H4878" s="1" t="n">
        <v>43754</v>
      </c>
      <c r="I4878" s="1" t="n">
        <v>43755</v>
      </c>
      <c r="J4878" t="inlineStr">
        <is>
          <t>Windsor, Nova Scotia and Moncton, New Brunswick</t>
        </is>
      </c>
      <c r="K4878" t="inlineStr">
        <is>
          <t>Windsor (Nouvelle-Écosse) et Moncton (Nouveau-Brunswick)</t>
        </is>
      </c>
      <c r="P4878" t="n">
        <v>0</v>
      </c>
      <c r="Q4878" t="n">
        <v>0</v>
      </c>
      <c r="R4878" t="n">
        <v>173.78</v>
      </c>
      <c r="S4878" t="n">
        <v>159.35</v>
      </c>
      <c r="T4878" t="n">
        <v>17.83</v>
      </c>
      <c r="U4878" t="n">
        <v>350.96</v>
      </c>
      <c r="X4878" t="inlineStr">
        <is>
          <t>acoa-apeca</t>
        </is>
      </c>
      <c r="Y4878" t="inlineStr">
        <is>
          <t>Atlantic Canada Opportunities Agency | Agence de promotion économique du Canada atlantique</t>
        </is>
      </c>
      <c r="Z4878" t="n">
        <v>2</v>
      </c>
      <c r="AA4878" t="n">
        <v>350.96</v>
      </c>
      <c r="AB4878">
        <f>ROUND(U4878-AA4878,2)</f>
        <v/>
      </c>
      <c r="AC4878" t="b">
        <v>0</v>
      </c>
      <c r="AD4878">
        <f>IF(U4878="","MISSING_TOTAL",IF(ABS(AB4878)&lt;=0.01,"OK","CHECK"))</f>
        <v/>
      </c>
      <c r="AE4878">
        <f>IF(U4878="","MISSING",IF(AND(AA4878&gt;0,U4878/AA4878&gt;50),"POSSIBLE_SCALE_ERROR","OK"))</f>
        <v/>
      </c>
    </row>
    <row r="4879">
      <c r="A4879" t="inlineStr">
        <is>
          <t>T-2020-Q3-00040</t>
        </is>
      </c>
      <c r="B4879" t="inlineStr">
        <is>
          <t>SLE</t>
        </is>
      </c>
      <c r="C4879" t="inlineStr">
        <is>
          <t>Vice-President, Nova Scotia</t>
        </is>
      </c>
      <c r="D4879" t="inlineStr">
        <is>
          <t>Vice-président, Nouvelle-Écosse</t>
        </is>
      </c>
      <c r="E4879" t="inlineStr">
        <is>
          <t>Chuck Maillet</t>
        </is>
      </c>
      <c r="F4879" t="inlineStr">
        <is>
          <t>Client Visits Northern Nova Scotia</t>
        </is>
      </c>
      <c r="G4879" t="inlineStr">
        <is>
          <t>Visites de clients dans le nord de la Nouvelle-Écosse</t>
        </is>
      </c>
      <c r="H4879" s="1" t="n">
        <v>43747</v>
      </c>
      <c r="I4879" s="1" t="n">
        <v>43748</v>
      </c>
      <c r="J4879" t="inlineStr">
        <is>
          <t>New Glasgow, Stellarton and Pictou, Nova Scotia</t>
        </is>
      </c>
      <c r="K4879" t="inlineStr">
        <is>
          <t>New Glasgow, Stellarton et Pictou (Nouvelle-Écosse)</t>
        </is>
      </c>
      <c r="P4879" t="n">
        <v>0</v>
      </c>
      <c r="Q4879" t="n">
        <v>0</v>
      </c>
      <c r="R4879" t="n">
        <v>194.5</v>
      </c>
      <c r="S4879" t="n">
        <v>93.09999999999999</v>
      </c>
      <c r="T4879" t="n">
        <v>0</v>
      </c>
      <c r="U4879" t="n">
        <v>287.6</v>
      </c>
      <c r="X4879" t="inlineStr">
        <is>
          <t>acoa-apeca</t>
        </is>
      </c>
      <c r="Y4879" t="inlineStr">
        <is>
          <t>Atlantic Canada Opportunities Agency | Agence de promotion économique du Canada atlantique</t>
        </is>
      </c>
      <c r="Z4879" t="n">
        <v>2</v>
      </c>
      <c r="AA4879" t="n">
        <v>287.6</v>
      </c>
      <c r="AB4879">
        <f>ROUND(U4879-AA4879,2)</f>
        <v/>
      </c>
      <c r="AC4879" t="b">
        <v>0</v>
      </c>
      <c r="AD4879">
        <f>IF(U4879="","MISSING_TOTAL",IF(ABS(AB4879)&lt;=0.01,"OK","CHECK"))</f>
        <v/>
      </c>
      <c r="AE4879">
        <f>IF(U4879="","MISSING",IF(AND(AA4879&gt;0,U4879/AA4879&gt;50),"POSSIBLE_SCALE_ERROR","OK"))</f>
        <v/>
      </c>
    </row>
    <row r="4880">
      <c r="A4880" t="inlineStr">
        <is>
          <t>T-2020-Q3-00039</t>
        </is>
      </c>
      <c r="B4880" t="inlineStr">
        <is>
          <t>SLE</t>
        </is>
      </c>
      <c r="C4880" t="inlineStr">
        <is>
          <t>President</t>
        </is>
      </c>
      <c r="D4880" t="inlineStr">
        <is>
          <t>Président</t>
        </is>
      </c>
      <c r="E4880" t="inlineStr">
        <is>
          <t>Francis McGuire</t>
        </is>
      </c>
      <c r="F4880" t="inlineStr">
        <is>
          <t>Meeting with Government of Canada officials</t>
        </is>
      </c>
      <c r="G4880" t="inlineStr">
        <is>
          <t>Réunion avec des fonctionnaires du gouvernement du Canada</t>
        </is>
      </c>
      <c r="H4880" s="1" t="n">
        <v>43760</v>
      </c>
      <c r="I4880" s="1" t="n">
        <v>43761</v>
      </c>
      <c r="J4880" t="inlineStr">
        <is>
          <t>Ottawa, Ontario</t>
        </is>
      </c>
      <c r="K4880" t="inlineStr">
        <is>
          <t>Ottawa (Ontario)</t>
        </is>
      </c>
      <c r="P4880" t="n">
        <v>597.26</v>
      </c>
      <c r="Q4880" t="n">
        <v>16.05</v>
      </c>
      <c r="R4880" t="n">
        <v>233.86</v>
      </c>
      <c r="S4880" t="n">
        <v>105.75</v>
      </c>
      <c r="T4880" t="n">
        <v>0</v>
      </c>
      <c r="U4880" t="n">
        <v>952.92</v>
      </c>
      <c r="X4880" t="inlineStr">
        <is>
          <t>acoa-apeca</t>
        </is>
      </c>
      <c r="Y4880" t="inlineStr">
        <is>
          <t>Atlantic Canada Opportunities Agency | Agence de promotion économique du Canada atlantique</t>
        </is>
      </c>
      <c r="Z4880" t="n">
        <v>2</v>
      </c>
      <c r="AA4880" t="n">
        <v>952.92</v>
      </c>
      <c r="AB4880">
        <f>ROUND(U4880-AA4880,2)</f>
        <v/>
      </c>
      <c r="AC4880" t="b">
        <v>0</v>
      </c>
      <c r="AD4880">
        <f>IF(U4880="","MISSING_TOTAL",IF(ABS(AB4880)&lt;=0.01,"OK","CHECK"))</f>
        <v/>
      </c>
      <c r="AE4880">
        <f>IF(U4880="","MISSING",IF(AND(AA4880&gt;0,U4880/AA4880&gt;50),"POSSIBLE_SCALE_ERROR","OK"))</f>
        <v/>
      </c>
    </row>
    <row r="4881">
      <c r="A4881" t="inlineStr">
        <is>
          <t>T-2020-Q3-00037</t>
        </is>
      </c>
      <c r="B4881" t="inlineStr">
        <is>
          <t>SLE</t>
        </is>
      </c>
      <c r="C4881" t="inlineStr">
        <is>
          <t>President</t>
        </is>
      </c>
      <c r="D4881" t="inlineStr">
        <is>
          <t>Président</t>
        </is>
      </c>
      <c r="E4881" t="inlineStr">
        <is>
          <t>Francis McGuire</t>
        </is>
      </c>
      <c r="F4881" t="inlineStr">
        <is>
          <t>Meeting with government officials and various stakeholders</t>
        </is>
      </c>
      <c r="G4881" t="inlineStr">
        <is>
          <t>Réunion avec des fonctionnaires du gouvernement du Canada et divers intervenants</t>
        </is>
      </c>
      <c r="H4881" s="1" t="n">
        <v>43758</v>
      </c>
      <c r="I4881" s="1" t="n">
        <v>43759</v>
      </c>
      <c r="J4881" t="inlineStr">
        <is>
          <t>Charlottetown, Prince Edward Island</t>
        </is>
      </c>
      <c r="K4881" t="inlineStr">
        <is>
          <t>Charlottetown (Île-du-Prince-Édouard)</t>
        </is>
      </c>
      <c r="P4881" t="n">
        <v>0</v>
      </c>
      <c r="Q4881" t="n">
        <v>175.48</v>
      </c>
      <c r="R4881" t="n">
        <v>197.81</v>
      </c>
      <c r="S4881" t="n">
        <v>96.15000000000001</v>
      </c>
      <c r="T4881" t="n">
        <v>47.75</v>
      </c>
      <c r="U4881" t="n">
        <v>517.1900000000001</v>
      </c>
      <c r="X4881" t="inlineStr">
        <is>
          <t>acoa-apeca</t>
        </is>
      </c>
      <c r="Y4881" t="inlineStr">
        <is>
          <t>Atlantic Canada Opportunities Agency | Agence de promotion économique du Canada atlantique</t>
        </is>
      </c>
      <c r="Z4881" t="n">
        <v>2</v>
      </c>
      <c r="AA4881" t="n">
        <v>517.189999999999</v>
      </c>
      <c r="AB4881">
        <f>ROUND(U4881-AA4881,2)</f>
        <v/>
      </c>
      <c r="AC4881" t="b">
        <v>0</v>
      </c>
      <c r="AD4881">
        <f>IF(U4881="","MISSING_TOTAL",IF(ABS(AB4881)&lt;=0.01,"OK","CHECK"))</f>
        <v/>
      </c>
      <c r="AE4881">
        <f>IF(U4881="","MISSING",IF(AND(AA4881&gt;0,U4881/AA4881&gt;50),"POSSIBLE_SCALE_ERROR","OK"))</f>
        <v/>
      </c>
    </row>
    <row r="4882">
      <c r="A4882" t="inlineStr">
        <is>
          <t>T-2020-Q3-00036</t>
        </is>
      </c>
      <c r="B4882" t="inlineStr">
        <is>
          <t>SLE</t>
        </is>
      </c>
      <c r="C4882" t="inlineStr">
        <is>
          <t>President</t>
        </is>
      </c>
      <c r="D4882" t="inlineStr">
        <is>
          <t>Président</t>
        </is>
      </c>
      <c r="E4882" t="inlineStr">
        <is>
          <t>Francis McGuire</t>
        </is>
      </c>
      <c r="F4882" t="inlineStr">
        <is>
          <t>Meeting with various stakeholders</t>
        </is>
      </c>
      <c r="G4882" t="inlineStr">
        <is>
          <t>Réunion avec divers intervenants</t>
        </is>
      </c>
      <c r="H4882" s="1" t="n">
        <v>43755</v>
      </c>
      <c r="I4882" s="1" t="n">
        <v>43756</v>
      </c>
      <c r="J4882" t="inlineStr">
        <is>
          <t>Sillikers, New Brunswick</t>
        </is>
      </c>
      <c r="K4882" t="inlineStr">
        <is>
          <t>Sillikers (Nouveau-Brunswick)</t>
        </is>
      </c>
      <c r="P4882" t="n">
        <v>0</v>
      </c>
      <c r="Q4882" t="n">
        <v>171.2</v>
      </c>
      <c r="R4882" t="n">
        <v>0</v>
      </c>
      <c r="S4882" t="n">
        <v>34.6</v>
      </c>
      <c r="T4882" t="n">
        <v>0</v>
      </c>
      <c r="U4882" t="n">
        <v>205.8</v>
      </c>
      <c r="X4882" t="inlineStr">
        <is>
          <t>acoa-apeca</t>
        </is>
      </c>
      <c r="Y4882" t="inlineStr">
        <is>
          <t>Atlantic Canada Opportunities Agency | Agence de promotion économique du Canada atlantique</t>
        </is>
      </c>
      <c r="Z4882" t="n">
        <v>2</v>
      </c>
      <c r="AA4882" t="n">
        <v>205.799999999999</v>
      </c>
      <c r="AB4882">
        <f>ROUND(U4882-AA4882,2)</f>
        <v/>
      </c>
      <c r="AC4882" t="b">
        <v>0</v>
      </c>
      <c r="AD4882">
        <f>IF(U4882="","MISSING_TOTAL",IF(ABS(AB4882)&lt;=0.01,"OK","CHECK"))</f>
        <v/>
      </c>
      <c r="AE4882">
        <f>IF(U4882="","MISSING",IF(AND(AA4882&gt;0,U4882/AA4882&gt;50),"POSSIBLE_SCALE_ERROR","OK"))</f>
        <v/>
      </c>
    </row>
    <row r="4883">
      <c r="A4883" t="inlineStr">
        <is>
          <t>T-2020-Q3-00033</t>
        </is>
      </c>
      <c r="B4883" t="inlineStr">
        <is>
          <t>SLE</t>
        </is>
      </c>
      <c r="C4883" t="inlineStr">
        <is>
          <t>President</t>
        </is>
      </c>
      <c r="D4883" t="inlineStr">
        <is>
          <t>Président</t>
        </is>
      </c>
      <c r="E4883" t="inlineStr">
        <is>
          <t>Francis McGuire</t>
        </is>
      </c>
      <c r="F4883" t="inlineStr">
        <is>
          <t>Travel to Nova Scotia to attend several meetings with government officials and key stakeholders</t>
        </is>
      </c>
      <c r="G4883" t="inlineStr">
        <is>
          <t>Voyage en Nouvelle-Écosse pour assister à plusieurs réunions avec des fonctionnaires et des intervenants clés</t>
        </is>
      </c>
      <c r="H4883" s="1" t="n">
        <v>43753</v>
      </c>
      <c r="I4883" s="1" t="n">
        <v>43754</v>
      </c>
      <c r="J4883" t="inlineStr">
        <is>
          <t>Halifax, Windsor and Truro, Nova Scotia</t>
        </is>
      </c>
      <c r="K4883" t="inlineStr">
        <is>
          <t>Halifax, Windsor et Truro (Nouvelle-Écosse)</t>
        </is>
      </c>
      <c r="P4883" t="n">
        <v>0</v>
      </c>
      <c r="Q4883" t="n">
        <v>278.74</v>
      </c>
      <c r="R4883" t="n">
        <v>233.43</v>
      </c>
      <c r="S4883" t="n">
        <v>105.75</v>
      </c>
      <c r="T4883" t="n">
        <v>0</v>
      </c>
      <c r="U4883" t="n">
        <v>617.92</v>
      </c>
      <c r="X4883" t="inlineStr">
        <is>
          <t>acoa-apeca</t>
        </is>
      </c>
      <c r="Y4883" t="inlineStr">
        <is>
          <t>Atlantic Canada Opportunities Agency | Agence de promotion économique du Canada atlantique</t>
        </is>
      </c>
      <c r="Z4883" t="n">
        <v>2</v>
      </c>
      <c r="AA4883" t="n">
        <v>617.92</v>
      </c>
      <c r="AB4883">
        <f>ROUND(U4883-AA4883,2)</f>
        <v/>
      </c>
      <c r="AC4883" t="b">
        <v>0</v>
      </c>
      <c r="AD4883">
        <f>IF(U4883="","MISSING_TOTAL",IF(ABS(AB4883)&lt;=0.01,"OK","CHECK"))</f>
        <v/>
      </c>
      <c r="AE4883">
        <f>IF(U4883="","MISSING",IF(AND(AA4883&gt;0,U4883/AA4883&gt;50),"POSSIBLE_SCALE_ERROR","OK"))</f>
        <v/>
      </c>
    </row>
    <row r="4884">
      <c r="A4884" t="inlineStr">
        <is>
          <t>T-2020-Q3-00030</t>
        </is>
      </c>
      <c r="B4884" t="inlineStr">
        <is>
          <t>SLE</t>
        </is>
      </c>
      <c r="C4884" t="inlineStr">
        <is>
          <t>President</t>
        </is>
      </c>
      <c r="D4884" t="inlineStr">
        <is>
          <t>Président</t>
        </is>
      </c>
      <c r="E4884" t="inlineStr">
        <is>
          <t>Francis McGuire</t>
        </is>
      </c>
      <c r="F4884" t="inlineStr">
        <is>
          <t>Meet with various stakeholders in northeastern New Brunswick</t>
        </is>
      </c>
      <c r="G4884" t="inlineStr">
        <is>
          <t>Réunion avec divers intervenants dans le nord-est du Nouveau-Brunswick</t>
        </is>
      </c>
      <c r="H4884" s="1" t="n">
        <v>43746</v>
      </c>
      <c r="I4884" s="1" t="n">
        <v>43748</v>
      </c>
      <c r="J4884" t="inlineStr">
        <is>
          <t>Miramichi and northeastern New Brunswick</t>
        </is>
      </c>
      <c r="K4884" t="inlineStr">
        <is>
          <t>Miramichi et nord-est du Nouveau-Brunswick</t>
        </is>
      </c>
      <c r="P4884" t="n">
        <v>0</v>
      </c>
      <c r="Q4884" t="n">
        <v>242.89</v>
      </c>
      <c r="R4884" t="n">
        <v>291.71</v>
      </c>
      <c r="S4884" t="n">
        <v>285.45</v>
      </c>
      <c r="T4884" t="n">
        <v>0</v>
      </c>
      <c r="U4884" t="n">
        <v>820.05</v>
      </c>
      <c r="X4884" t="inlineStr">
        <is>
          <t>acoa-apeca</t>
        </is>
      </c>
      <c r="Y4884" t="inlineStr">
        <is>
          <t>Atlantic Canada Opportunities Agency | Agence de promotion économique du Canada atlantique</t>
        </is>
      </c>
      <c r="Z4884" t="n">
        <v>3</v>
      </c>
      <c r="AA4884" t="n">
        <v>820.05</v>
      </c>
      <c r="AB4884">
        <f>ROUND(U4884-AA4884,2)</f>
        <v/>
      </c>
      <c r="AC4884" t="b">
        <v>0</v>
      </c>
      <c r="AD4884">
        <f>IF(U4884="","MISSING_TOTAL",IF(ABS(AB4884)&lt;=0.01,"OK","CHECK"))</f>
        <v/>
      </c>
      <c r="AE4884">
        <f>IF(U4884="","MISSING",IF(AND(AA4884&gt;0,U4884/AA4884&gt;50),"POSSIBLE_SCALE_ERROR","OK"))</f>
        <v/>
      </c>
    </row>
    <row r="4885">
      <c r="A4885" t="inlineStr">
        <is>
          <t>T-2020-Q3-00035</t>
        </is>
      </c>
      <c r="B4885" t="inlineStr">
        <is>
          <t>SLE</t>
        </is>
      </c>
      <c r="C4885" t="inlineStr">
        <is>
          <t>Vice-President, Finance and Corporate Services</t>
        </is>
      </c>
      <c r="D4885" t="inlineStr">
        <is>
          <t>Vice-président, Finance et Services corporatifs</t>
        </is>
      </c>
      <c r="E4885" t="inlineStr">
        <is>
          <t>Stephane Lagace</t>
        </is>
      </c>
      <c r="F4885" t="inlineStr">
        <is>
          <t>Meeting with Government of Canada officials</t>
        </is>
      </c>
      <c r="G4885" t="inlineStr">
        <is>
          <t>Réunion avec des fonctionnaires du gouvernement du Canada</t>
        </is>
      </c>
      <c r="H4885" s="1" t="n">
        <v>43766</v>
      </c>
      <c r="I4885" s="1" t="n">
        <v>43766</v>
      </c>
      <c r="J4885" t="inlineStr">
        <is>
          <t>Charlottetown, Prince Edward Island</t>
        </is>
      </c>
      <c r="K4885" t="inlineStr">
        <is>
          <t>Charlottetown (Île-du-Prince-Édouard)</t>
        </is>
      </c>
      <c r="P4885" t="n">
        <v>0</v>
      </c>
      <c r="Q4885" t="n">
        <v>0</v>
      </c>
      <c r="R4885" t="n">
        <v>0</v>
      </c>
      <c r="S4885" t="n">
        <v>71.15000000000001</v>
      </c>
      <c r="T4885" t="n">
        <v>50.25</v>
      </c>
      <c r="U4885" t="n">
        <v>121.4</v>
      </c>
      <c r="X4885" t="inlineStr">
        <is>
          <t>acoa-apeca</t>
        </is>
      </c>
      <c r="Y4885" t="inlineStr">
        <is>
          <t>Atlantic Canada Opportunities Agency | Agence de promotion économique du Canada atlantique</t>
        </is>
      </c>
      <c r="Z4885" t="n">
        <v>1</v>
      </c>
      <c r="AA4885" t="n">
        <v>121.4</v>
      </c>
      <c r="AB4885">
        <f>ROUND(U4885-AA4885,2)</f>
        <v/>
      </c>
      <c r="AC4885" t="b">
        <v>0</v>
      </c>
      <c r="AD4885">
        <f>IF(U4885="","MISSING_TOTAL",IF(ABS(AB4885)&lt;=0.01,"OK","CHECK"))</f>
        <v/>
      </c>
      <c r="AE4885">
        <f>IF(U4885="","MISSING",IF(AND(AA4885&gt;0,U4885/AA4885&gt;50),"POSSIBLE_SCALE_ERROR","OK"))</f>
        <v/>
      </c>
    </row>
    <row r="4886">
      <c r="A4886" t="inlineStr">
        <is>
          <t>T-2020-Q3-00034</t>
        </is>
      </c>
      <c r="B4886" t="inlineStr">
        <is>
          <t>SLE</t>
        </is>
      </c>
      <c r="C4886" t="inlineStr">
        <is>
          <t>Vice-President, Finance and Corporate Services</t>
        </is>
      </c>
      <c r="D4886" t="inlineStr">
        <is>
          <t>Vice-président, Finance et Services corporatifs</t>
        </is>
      </c>
      <c r="E4886" t="inlineStr">
        <is>
          <t>Stephane Lagace</t>
        </is>
      </c>
      <c r="F4886" t="inlineStr">
        <is>
          <t>Meeting with Government of Canada officials</t>
        </is>
      </c>
      <c r="G4886" t="inlineStr">
        <is>
          <t>Réunion avec des fonctionnaires du gouvernement du Canada</t>
        </is>
      </c>
      <c r="H4886" s="1" t="n">
        <v>43761</v>
      </c>
      <c r="I4886" s="1" t="n">
        <v>43761</v>
      </c>
      <c r="J4886" t="inlineStr">
        <is>
          <t>Halifax, Nova Scotia</t>
        </is>
      </c>
      <c r="K4886" t="inlineStr">
        <is>
          <t>Halifax (Nouvelle-Écosse)</t>
        </is>
      </c>
      <c r="P4886" t="n">
        <v>0</v>
      </c>
      <c r="Q4886" t="n">
        <v>49.96</v>
      </c>
      <c r="R4886" t="n">
        <v>0</v>
      </c>
      <c r="S4886" t="n">
        <v>40.95</v>
      </c>
      <c r="T4886" t="n">
        <v>79</v>
      </c>
      <c r="U4886" t="n">
        <v>169.91</v>
      </c>
      <c r="X4886" t="inlineStr">
        <is>
          <t>acoa-apeca</t>
        </is>
      </c>
      <c r="Y4886" t="inlineStr">
        <is>
          <t>Atlantic Canada Opportunities Agency | Agence de promotion économique du Canada atlantique</t>
        </is>
      </c>
      <c r="Z4886" t="n">
        <v>1</v>
      </c>
      <c r="AA4886" t="n">
        <v>169.91</v>
      </c>
      <c r="AB4886">
        <f>ROUND(U4886-AA4886,2)</f>
        <v/>
      </c>
      <c r="AC4886" t="b">
        <v>0</v>
      </c>
      <c r="AD4886">
        <f>IF(U4886="","MISSING_TOTAL",IF(ABS(AB4886)&lt;=0.01,"OK","CHECK"))</f>
        <v/>
      </c>
      <c r="AE4886">
        <f>IF(U4886="","MISSING",IF(AND(AA4886&gt;0,U4886/AA4886&gt;50),"POSSIBLE_SCALE_ERROR","OK"))</f>
        <v/>
      </c>
    </row>
    <row r="4887">
      <c r="A4887" t="inlineStr">
        <is>
          <t>T-2020-Q3-00019</t>
        </is>
      </c>
      <c r="B4887" t="inlineStr">
        <is>
          <t>SLE</t>
        </is>
      </c>
      <c r="C4887" t="inlineStr">
        <is>
          <t>Vice-President, Finance and Corporate Services</t>
        </is>
      </c>
      <c r="D4887" t="inlineStr">
        <is>
          <t>Vice-président, Finance et Services corporatifs</t>
        </is>
      </c>
      <c r="E4887" t="inlineStr">
        <is>
          <t>Stephane Lagace</t>
        </is>
      </c>
      <c r="F4887" t="inlineStr">
        <is>
          <t>Meeting with Government of Canada and private sector officials</t>
        </is>
      </c>
      <c r="G4887" t="inlineStr">
        <is>
          <t>Réunion avec des fonctionnaires du gouvernement du Canada et des représentants du secteur privé</t>
        </is>
      </c>
      <c r="H4887" s="1" t="n">
        <v>43740</v>
      </c>
      <c r="I4887" s="1" t="n">
        <v>43741</v>
      </c>
      <c r="J4887" t="inlineStr">
        <is>
          <t>Halifax, Nova Scotia</t>
        </is>
      </c>
      <c r="K4887" t="inlineStr">
        <is>
          <t>Halifax (Nouvelle-Écosse)</t>
        </is>
      </c>
      <c r="P4887" t="n">
        <v>0</v>
      </c>
      <c r="Q4887" t="n">
        <v>0</v>
      </c>
      <c r="R4887" t="n">
        <v>221.7</v>
      </c>
      <c r="S4887" t="n">
        <v>126.1</v>
      </c>
      <c r="T4887" t="n">
        <v>39.05</v>
      </c>
      <c r="U4887" t="n">
        <v>386.85</v>
      </c>
      <c r="X4887" t="inlineStr">
        <is>
          <t>acoa-apeca</t>
        </is>
      </c>
      <c r="Y4887" t="inlineStr">
        <is>
          <t>Atlantic Canada Opportunities Agency | Agence de promotion économique du Canada atlantique</t>
        </is>
      </c>
      <c r="Z4887" t="n">
        <v>2</v>
      </c>
      <c r="AA4887" t="n">
        <v>386.849999999999</v>
      </c>
      <c r="AB4887">
        <f>ROUND(U4887-AA4887,2)</f>
        <v/>
      </c>
      <c r="AC4887" t="b">
        <v>0</v>
      </c>
      <c r="AD4887">
        <f>IF(U4887="","MISSING_TOTAL",IF(ABS(AB4887)&lt;=0.01,"OK","CHECK"))</f>
        <v/>
      </c>
      <c r="AE4887">
        <f>IF(U4887="","MISSING",IF(AND(AA4887&gt;0,U4887/AA4887&gt;50),"POSSIBLE_SCALE_ERROR","OK"))</f>
        <v/>
      </c>
    </row>
    <row r="4888">
      <c r="A4888" t="inlineStr">
        <is>
          <t>T-2020-Q3-00018</t>
        </is>
      </c>
      <c r="B4888" t="inlineStr">
        <is>
          <t>SLE</t>
        </is>
      </c>
      <c r="C4888" t="inlineStr">
        <is>
          <t>Vice-President, Finance and Corporate Services</t>
        </is>
      </c>
      <c r="D4888" t="inlineStr">
        <is>
          <t>Vice-président, Finance et Services corporatifs</t>
        </is>
      </c>
      <c r="E4888" t="inlineStr">
        <is>
          <t>Stephane Lagace</t>
        </is>
      </c>
      <c r="F4888" t="inlineStr">
        <is>
          <t>Meeting with Government of Canada officials</t>
        </is>
      </c>
      <c r="G4888" t="inlineStr">
        <is>
          <t>Réunion avec des fonctionnaires du gouvernement du Canada</t>
        </is>
      </c>
      <c r="H4888" s="1" t="n">
        <v>43739</v>
      </c>
      <c r="I4888" s="1" t="n">
        <v>43740</v>
      </c>
      <c r="J4888" t="inlineStr">
        <is>
          <t>Ottawa, Ontario</t>
        </is>
      </c>
      <c r="K4888" t="inlineStr">
        <is>
          <t>Ottawa (Ontario)</t>
        </is>
      </c>
      <c r="P4888" t="n">
        <v>575.75</v>
      </c>
      <c r="Q4888" t="n">
        <v>86.65000000000001</v>
      </c>
      <c r="R4888" t="n">
        <v>233.86</v>
      </c>
      <c r="S4888" t="n">
        <v>167.05</v>
      </c>
      <c r="T4888" t="n">
        <v>0</v>
      </c>
      <c r="U4888" t="n">
        <v>1063.31</v>
      </c>
      <c r="X4888" t="inlineStr">
        <is>
          <t>acoa-apeca</t>
        </is>
      </c>
      <c r="Y4888" t="inlineStr">
        <is>
          <t>Atlantic Canada Opportunities Agency | Agence de promotion économique du Canada atlantique</t>
        </is>
      </c>
      <c r="Z4888" t="n">
        <v>2</v>
      </c>
      <c r="AA4888" t="n">
        <v>1063.31</v>
      </c>
      <c r="AB4888">
        <f>ROUND(U4888-AA4888,2)</f>
        <v/>
      </c>
      <c r="AC4888" t="b">
        <v>0</v>
      </c>
      <c r="AD4888">
        <f>IF(U4888="","MISSING_TOTAL",IF(ABS(AB4888)&lt;=0.01,"OK","CHECK"))</f>
        <v/>
      </c>
      <c r="AE4888">
        <f>IF(U4888="","MISSING",IF(AND(AA4888&gt;0,U4888/AA4888&gt;50),"POSSIBLE_SCALE_ERROR","OK"))</f>
        <v/>
      </c>
    </row>
    <row r="4889">
      <c r="A4889" t="inlineStr">
        <is>
          <t>T-2020-Q3-00047</t>
        </is>
      </c>
      <c r="B4889" t="inlineStr">
        <is>
          <t>SLE</t>
        </is>
      </c>
      <c r="C4889" t="inlineStr">
        <is>
          <t>Acting Vice-President, Newfoundland and Labrador</t>
        </is>
      </c>
      <c r="D4889" t="inlineStr">
        <is>
          <t>Vice-président par intérim, Terre-Neuve et Labrador</t>
        </is>
      </c>
      <c r="E4889" t="inlineStr">
        <is>
          <t>Bill Grandy</t>
        </is>
      </c>
      <c r="F4889" t="inlineStr">
        <is>
          <t>Acting Vice-President of ACOA Newfoundland and Labrador</t>
        </is>
      </c>
      <c r="G4889" t="inlineStr">
        <is>
          <t>Vice-président par intérim du bureau de l'APECA à Terre-Neuve-et-Labrador</t>
        </is>
      </c>
      <c r="H4889" s="1" t="n">
        <v>43766</v>
      </c>
      <c r="I4889" s="1" t="n">
        <v>43769</v>
      </c>
      <c r="J4889" t="inlineStr">
        <is>
          <t>St. John's, Newfoundland</t>
        </is>
      </c>
      <c r="K4889" t="inlineStr">
        <is>
          <t>St. John's (Terre-Neuve-et-Labrador)</t>
        </is>
      </c>
      <c r="P4889" t="n">
        <v>558.03</v>
      </c>
      <c r="Q4889" t="n">
        <v>411.44</v>
      </c>
      <c r="R4889" t="n">
        <v>537.88</v>
      </c>
      <c r="S4889" t="n">
        <v>414.85</v>
      </c>
      <c r="T4889" t="n">
        <v>79.36</v>
      </c>
      <c r="U4889" t="n">
        <v>2001.56</v>
      </c>
      <c r="X4889" t="inlineStr">
        <is>
          <t>acoa-apeca</t>
        </is>
      </c>
      <c r="Y4889" t="inlineStr">
        <is>
          <t>Atlantic Canada Opportunities Agency | Agence de promotion économique du Canada atlantique</t>
        </is>
      </c>
      <c r="Z4889" t="n">
        <v>4</v>
      </c>
      <c r="AA4889" t="n">
        <v>2001.55999999999</v>
      </c>
      <c r="AB4889">
        <f>ROUND(U4889-AA4889,2)</f>
        <v/>
      </c>
      <c r="AC4889" t="b">
        <v>0</v>
      </c>
      <c r="AD4889">
        <f>IF(U4889="","MISSING_TOTAL",IF(ABS(AB4889)&lt;=0.01,"OK","CHECK"))</f>
        <v/>
      </c>
      <c r="AE4889">
        <f>IF(U4889="","MISSING",IF(AND(AA4889&gt;0,U4889/AA4889&gt;50),"POSSIBLE_SCALE_ERROR","OK"))</f>
        <v/>
      </c>
    </row>
    <row r="4890">
      <c r="A4890" t="inlineStr">
        <is>
          <t>T-2020-Q3-00028</t>
        </is>
      </c>
      <c r="B4890" t="inlineStr">
        <is>
          <t>SLE</t>
        </is>
      </c>
      <c r="C4890" t="inlineStr">
        <is>
          <t>Acting Vice-President, Newfoundland and Labrador</t>
        </is>
      </c>
      <c r="D4890" t="inlineStr">
        <is>
          <t>Vice-président par intérim, Terre-Neuve et Labrador</t>
        </is>
      </c>
      <c r="E4890" t="inlineStr">
        <is>
          <t>Bill Grandy</t>
        </is>
      </c>
      <c r="F4890" t="inlineStr">
        <is>
          <t>Acting Vice-President of ACOA Newfoundland and Labrador</t>
        </is>
      </c>
      <c r="G4890" t="inlineStr">
        <is>
          <t>Vice-président par intérim du bureau de l'APECA à Terre-Neuve-et-Labrador</t>
        </is>
      </c>
      <c r="H4890" s="1" t="n">
        <v>43744</v>
      </c>
      <c r="I4890" s="1" t="n">
        <v>43748</v>
      </c>
      <c r="J4890" t="inlineStr">
        <is>
          <t>St, John's, Newfoundland and Labrador</t>
        </is>
      </c>
      <c r="K4890" t="inlineStr">
        <is>
          <t>St. John's (Terre-Neuve-et-Labrador)</t>
        </is>
      </c>
      <c r="P4890" t="n">
        <v>1400.88</v>
      </c>
      <c r="Q4890" t="n">
        <v>170</v>
      </c>
      <c r="R4890" t="n">
        <v>738.99</v>
      </c>
      <c r="S4890" t="n">
        <v>452.5</v>
      </c>
      <c r="T4890" t="n">
        <v>0</v>
      </c>
      <c r="U4890" t="n">
        <v>2762.37</v>
      </c>
      <c r="X4890" t="inlineStr">
        <is>
          <t>acoa-apeca</t>
        </is>
      </c>
      <c r="Y4890" t="inlineStr">
        <is>
          <t>Atlantic Canada Opportunities Agency | Agence de promotion économique du Canada atlantique</t>
        </is>
      </c>
      <c r="Z4890" t="n">
        <v>5</v>
      </c>
      <c r="AA4890" t="n">
        <v>2762.37</v>
      </c>
      <c r="AB4890">
        <f>ROUND(U4890-AA4890,2)</f>
        <v/>
      </c>
      <c r="AC4890" t="b">
        <v>0</v>
      </c>
      <c r="AD4890">
        <f>IF(U4890="","MISSING_TOTAL",IF(ABS(AB4890)&lt;=0.01,"OK","CHECK"))</f>
        <v/>
      </c>
      <c r="AE4890">
        <f>IF(U4890="","MISSING",IF(AND(AA4890&gt;0,U4890/AA4890&gt;50),"POSSIBLE_SCALE_ERROR","OK"))</f>
        <v/>
      </c>
    </row>
    <row r="4891">
      <c r="A4891" t="inlineStr">
        <is>
          <t>T-2020-Q3-00052</t>
        </is>
      </c>
      <c r="B4891" t="inlineStr">
        <is>
          <t>SLE</t>
        </is>
      </c>
      <c r="C4891" t="inlineStr">
        <is>
          <t>Vice-President, Policy, Programs and Communications</t>
        </is>
      </c>
      <c r="D4891" t="inlineStr">
        <is>
          <t>Vice-président, Politiques et Programmes</t>
        </is>
      </c>
      <c r="E4891" t="inlineStr">
        <is>
          <t>Daryell Nowlan</t>
        </is>
      </c>
      <c r="F4891" t="inlineStr">
        <is>
          <t>Meetings with Government of Canada officials</t>
        </is>
      </c>
      <c r="G4891" t="inlineStr">
        <is>
          <t>Réunions avec des fonctionnaires du gouvernement du Canada</t>
        </is>
      </c>
      <c r="H4891" s="1" t="n">
        <v>43788</v>
      </c>
      <c r="I4891" s="1" t="n">
        <v>43791</v>
      </c>
      <c r="J4891" t="inlineStr">
        <is>
          <t>Ottawa, Ontario</t>
        </is>
      </c>
      <c r="K4891" t="inlineStr">
        <is>
          <t>Ottawa (Ontario)</t>
        </is>
      </c>
      <c r="P4891" t="n">
        <v>700.1900000000001</v>
      </c>
      <c r="Q4891" t="n">
        <v>56.3</v>
      </c>
      <c r="R4891" t="n">
        <v>937.8200000000001</v>
      </c>
      <c r="S4891" t="n">
        <v>353.8</v>
      </c>
      <c r="T4891" t="n">
        <v>0</v>
      </c>
      <c r="U4891" t="n">
        <v>2048.11</v>
      </c>
      <c r="X4891" t="inlineStr">
        <is>
          <t>acoa-apeca</t>
        </is>
      </c>
      <c r="Y4891" t="inlineStr">
        <is>
          <t>Atlantic Canada Opportunities Agency | Agence de promotion économique du Canada atlantique</t>
        </is>
      </c>
      <c r="Z4891" t="n">
        <v>4</v>
      </c>
      <c r="AA4891" t="n">
        <v>2048.11</v>
      </c>
      <c r="AB4891">
        <f>ROUND(U4891-AA4891,2)</f>
        <v/>
      </c>
      <c r="AC4891" t="b">
        <v>0</v>
      </c>
      <c r="AD4891">
        <f>IF(U4891="","MISSING_TOTAL",IF(ABS(AB4891)&lt;=0.01,"OK","CHECK"))</f>
        <v/>
      </c>
      <c r="AE4891">
        <f>IF(U4891="","MISSING",IF(AND(AA4891&gt;0,U4891/AA4891&gt;50),"POSSIBLE_SCALE_ERROR","OK"))</f>
        <v/>
      </c>
    </row>
    <row r="4892">
      <c r="A4892" t="inlineStr">
        <is>
          <t>T-2020-Q3-00044</t>
        </is>
      </c>
      <c r="B4892" t="inlineStr">
        <is>
          <t>SLE</t>
        </is>
      </c>
      <c r="C4892" t="inlineStr">
        <is>
          <t>Vice-President, Policy, Programs and Communications</t>
        </is>
      </c>
      <c r="D4892" t="inlineStr">
        <is>
          <t>Vice-président, Politiques et Programmes</t>
        </is>
      </c>
      <c r="E4892" t="inlineStr">
        <is>
          <t>Daryell Nowlan</t>
        </is>
      </c>
      <c r="F4892" t="inlineStr">
        <is>
          <t>Meetings with Government of Canada officials</t>
        </is>
      </c>
      <c r="G4892" t="inlineStr">
        <is>
          <t>Réunions avec des fonctionnaires du gouvernement du Canada</t>
        </is>
      </c>
      <c r="H4892" s="1" t="n">
        <v>43774</v>
      </c>
      <c r="I4892" s="1" t="n">
        <v>43776</v>
      </c>
      <c r="J4892" t="inlineStr">
        <is>
          <t>Ottawa, Ontario</t>
        </is>
      </c>
      <c r="K4892" t="inlineStr">
        <is>
          <t>Ottawa (Ontario)</t>
        </is>
      </c>
      <c r="P4892" t="n">
        <v>726.8</v>
      </c>
      <c r="Q4892" t="n">
        <v>123.71</v>
      </c>
      <c r="R4892" t="n">
        <v>695.72</v>
      </c>
      <c r="S4892" t="n">
        <v>214.8</v>
      </c>
      <c r="T4892" t="n">
        <v>0</v>
      </c>
      <c r="U4892" t="n">
        <v>1761.03</v>
      </c>
      <c r="X4892" t="inlineStr">
        <is>
          <t>acoa-apeca</t>
        </is>
      </c>
      <c r="Y4892" t="inlineStr">
        <is>
          <t>Atlantic Canada Opportunities Agency | Agence de promotion économique du Canada atlantique</t>
        </is>
      </c>
      <c r="Z4892" t="n">
        <v>3</v>
      </c>
      <c r="AA4892" t="n">
        <v>1761.03</v>
      </c>
      <c r="AB4892">
        <f>ROUND(U4892-AA4892,2)</f>
        <v/>
      </c>
      <c r="AC4892" t="b">
        <v>0</v>
      </c>
      <c r="AD4892">
        <f>IF(U4892="","MISSING_TOTAL",IF(ABS(AB4892)&lt;=0.01,"OK","CHECK"))</f>
        <v/>
      </c>
      <c r="AE4892">
        <f>IF(U4892="","MISSING",IF(AND(AA4892&gt;0,U4892/AA4892&gt;50),"POSSIBLE_SCALE_ERROR","OK"))</f>
        <v/>
      </c>
    </row>
    <row r="4893">
      <c r="A4893" t="inlineStr">
        <is>
          <t>T-2020-Q3-00065</t>
        </is>
      </c>
      <c r="B4893" t="inlineStr">
        <is>
          <t>SLE</t>
        </is>
      </c>
      <c r="C4893" t="inlineStr">
        <is>
          <t>Vice-President, New Brunswick</t>
        </is>
      </c>
      <c r="D4893" t="inlineStr">
        <is>
          <t>Vice-président, Nouveau-Brunswick</t>
        </is>
      </c>
      <c r="E4893" t="inlineStr">
        <is>
          <t>Kent Estabrooks</t>
        </is>
      </c>
      <c r="F4893" t="inlineStr">
        <is>
          <t>Meeting with Agency official</t>
        </is>
      </c>
      <c r="G4893" t="inlineStr">
        <is>
          <t>Réunion avec un fonctionnaire de l'Agence</t>
        </is>
      </c>
      <c r="H4893" s="1" t="n">
        <v>43767</v>
      </c>
      <c r="I4893" s="1" t="n">
        <v>43768</v>
      </c>
      <c r="J4893" t="inlineStr">
        <is>
          <t>Moncton, New Brunswick</t>
        </is>
      </c>
      <c r="K4893" t="inlineStr">
        <is>
          <t>Moncton (Nouveau-Brunswick)</t>
        </is>
      </c>
      <c r="P4893" t="n">
        <v>0</v>
      </c>
      <c r="Q4893" t="n">
        <v>17.83</v>
      </c>
      <c r="R4893" t="n">
        <v>173.98</v>
      </c>
      <c r="S4893" t="n">
        <v>105.65</v>
      </c>
      <c r="T4893" t="n">
        <v>0</v>
      </c>
      <c r="U4893" t="n">
        <v>297.46</v>
      </c>
      <c r="X4893" t="inlineStr">
        <is>
          <t>acoa-apeca</t>
        </is>
      </c>
      <c r="Y4893" t="inlineStr">
        <is>
          <t>Atlantic Canada Opportunities Agency | Agence de promotion économique du Canada atlantique</t>
        </is>
      </c>
      <c r="Z4893" t="n">
        <v>2</v>
      </c>
      <c r="AA4893" t="n">
        <v>297.46</v>
      </c>
      <c r="AB4893">
        <f>ROUND(U4893-AA4893,2)</f>
        <v/>
      </c>
      <c r="AC4893" t="b">
        <v>0</v>
      </c>
      <c r="AD4893">
        <f>IF(U4893="","MISSING_TOTAL",IF(ABS(AB4893)&lt;=0.01,"OK","CHECK"))</f>
        <v/>
      </c>
      <c r="AE4893">
        <f>IF(U4893="","MISSING",IF(AND(AA4893&gt;0,U4893/AA4893&gt;50),"POSSIBLE_SCALE_ERROR","OK"))</f>
        <v/>
      </c>
    </row>
    <row r="4894">
      <c r="A4894" t="inlineStr">
        <is>
          <t>T-2020-Q3-00064</t>
        </is>
      </c>
      <c r="B4894" t="inlineStr">
        <is>
          <t>SLE</t>
        </is>
      </c>
      <c r="C4894" t="inlineStr">
        <is>
          <t>Vice-President, New Brunswick</t>
        </is>
      </c>
      <c r="D4894" t="inlineStr">
        <is>
          <t>Vice-président, Nouveau-Brunswick</t>
        </is>
      </c>
      <c r="E4894" t="inlineStr">
        <is>
          <t>Kent Estabrooks</t>
        </is>
      </c>
      <c r="F4894" t="inlineStr">
        <is>
          <t>External stakeholders meeting, Agency Executive Committee meeting</t>
        </is>
      </c>
      <c r="G4894" t="inlineStr">
        <is>
          <t>Réunion avec des intervenants externes, réunion du Comité de direction de l'Agence</t>
        </is>
      </c>
      <c r="H4894" s="1" t="n">
        <v>43752</v>
      </c>
      <c r="I4894" s="1" t="n">
        <v>43755</v>
      </c>
      <c r="J4894" t="inlineStr">
        <is>
          <t>Halifax, Nova Scotia and Moncton, New Brunswick</t>
        </is>
      </c>
      <c r="K4894" t="inlineStr">
        <is>
          <t>Halifax (Nouvelle-Écosse) et Moncton (Nouveau-Brunswick)</t>
        </is>
      </c>
      <c r="P4894" t="n">
        <v>363.4</v>
      </c>
      <c r="Q4894" t="n">
        <v>81.59999999999999</v>
      </c>
      <c r="R4894" t="n">
        <v>554.01</v>
      </c>
      <c r="S4894" t="n">
        <v>312.6</v>
      </c>
      <c r="T4894" t="n">
        <v>0</v>
      </c>
      <c r="U4894" t="n">
        <v>1311.61</v>
      </c>
      <c r="X4894" t="inlineStr">
        <is>
          <t>acoa-apeca</t>
        </is>
      </c>
      <c r="Y4894" t="inlineStr">
        <is>
          <t>Atlantic Canada Opportunities Agency | Agence de promotion économique du Canada atlantique</t>
        </is>
      </c>
      <c r="Z4894" t="n">
        <v>4</v>
      </c>
      <c r="AA4894" t="n">
        <v>1311.61</v>
      </c>
      <c r="AB4894">
        <f>ROUND(U4894-AA4894,2)</f>
        <v/>
      </c>
      <c r="AC4894" t="b">
        <v>0</v>
      </c>
      <c r="AD4894">
        <f>IF(U4894="","MISSING_TOTAL",IF(ABS(AB4894)&lt;=0.01,"OK","CHECK"))</f>
        <v/>
      </c>
      <c r="AE4894">
        <f>IF(U4894="","MISSING",IF(AND(AA4894&gt;0,U4894/AA4894&gt;50),"POSSIBLE_SCALE_ERROR","OK"))</f>
        <v/>
      </c>
    </row>
    <row r="4895">
      <c r="A4895" t="inlineStr">
        <is>
          <t>T-2020-Q3-00063</t>
        </is>
      </c>
      <c r="B4895" t="inlineStr">
        <is>
          <t>SLE</t>
        </is>
      </c>
      <c r="C4895" t="inlineStr">
        <is>
          <t>Vice-President, New Brunswick</t>
        </is>
      </c>
      <c r="D4895" t="inlineStr">
        <is>
          <t>Vice-président, Nouveau-Brunswick</t>
        </is>
      </c>
      <c r="E4895" t="inlineStr">
        <is>
          <t>Kent Estabrooks</t>
        </is>
      </c>
      <c r="F4895" t="inlineStr">
        <is>
          <t>External stakeholders meeting</t>
        </is>
      </c>
      <c r="G4895" t="inlineStr">
        <is>
          <t>Réunion avec des intervenants externes</t>
        </is>
      </c>
      <c r="H4895" s="1" t="n">
        <v>43746</v>
      </c>
      <c r="I4895" s="1" t="n">
        <v>43748</v>
      </c>
      <c r="J4895" t="inlineStr">
        <is>
          <t>Toronto, Ontario</t>
        </is>
      </c>
      <c r="K4895" t="inlineStr">
        <is>
          <t>Toronton (Ontario)</t>
        </is>
      </c>
      <c r="P4895" t="n">
        <v>726.8</v>
      </c>
      <c r="Q4895" t="n">
        <v>81.93000000000001</v>
      </c>
      <c r="R4895" t="n">
        <v>420.72</v>
      </c>
      <c r="S4895" t="n">
        <v>194.2</v>
      </c>
      <c r="T4895" t="n">
        <v>0</v>
      </c>
      <c r="U4895" t="n">
        <v>1423.65</v>
      </c>
      <c r="X4895" t="inlineStr">
        <is>
          <t>acoa-apeca</t>
        </is>
      </c>
      <c r="Y4895" t="inlineStr">
        <is>
          <t>Atlantic Canada Opportunities Agency | Agence de promotion économique du Canada atlantique</t>
        </is>
      </c>
      <c r="Z4895" t="n">
        <v>3</v>
      </c>
      <c r="AA4895" t="n">
        <v>1423.65</v>
      </c>
      <c r="AB4895">
        <f>ROUND(U4895-AA4895,2)</f>
        <v/>
      </c>
      <c r="AC4895" t="b">
        <v>0</v>
      </c>
      <c r="AD4895">
        <f>IF(U4895="","MISSING_TOTAL",IF(ABS(AB4895)&lt;=0.01,"OK","CHECK"))</f>
        <v/>
      </c>
      <c r="AE4895">
        <f>IF(U4895="","MISSING",IF(AND(AA4895&gt;0,U4895/AA4895&gt;50),"POSSIBLE_SCALE_ERROR","OK"))</f>
        <v/>
      </c>
    </row>
    <row r="4896">
      <c r="A4896" t="inlineStr">
        <is>
          <t>T-2020-Q3-00062</t>
        </is>
      </c>
      <c r="B4896" t="inlineStr">
        <is>
          <t>SLE</t>
        </is>
      </c>
      <c r="C4896" t="inlineStr">
        <is>
          <t>Vice-President, New Brunswick</t>
        </is>
      </c>
      <c r="D4896" t="inlineStr">
        <is>
          <t>Vice-président, Nouveau-Brunswick</t>
        </is>
      </c>
      <c r="E4896" t="inlineStr">
        <is>
          <t>Kent Estabrooks</t>
        </is>
      </c>
      <c r="F4896" t="inlineStr">
        <is>
          <t>External stakeholders meeting</t>
        </is>
      </c>
      <c r="G4896" t="inlineStr">
        <is>
          <t>Réunion avec des intervenants externes</t>
        </is>
      </c>
      <c r="H4896" s="1" t="n">
        <v>43762</v>
      </c>
      <c r="I4896" s="1" t="n">
        <v>43763</v>
      </c>
      <c r="J4896" t="inlineStr">
        <is>
          <t>Ottawa, Ontatio</t>
        </is>
      </c>
      <c r="K4896" t="inlineStr">
        <is>
          <t>Ottawa (Ontario)</t>
        </is>
      </c>
      <c r="P4896" t="n">
        <v>726.8</v>
      </c>
      <c r="Q4896" t="n">
        <v>102.78</v>
      </c>
      <c r="R4896" t="n">
        <v>233.86</v>
      </c>
      <c r="S4896" t="n">
        <v>156.3</v>
      </c>
      <c r="T4896" t="n">
        <v>0</v>
      </c>
      <c r="U4896" t="n">
        <v>1219.74</v>
      </c>
      <c r="X4896" t="inlineStr">
        <is>
          <t>acoa-apeca</t>
        </is>
      </c>
      <c r="Y4896" t="inlineStr">
        <is>
          <t>Atlantic Canada Opportunities Agency | Agence de promotion économique du Canada atlantique</t>
        </is>
      </c>
      <c r="Z4896" t="n">
        <v>2</v>
      </c>
      <c r="AA4896" t="n">
        <v>1219.74</v>
      </c>
      <c r="AB4896">
        <f>ROUND(U4896-AA4896,2)</f>
        <v/>
      </c>
      <c r="AC4896" t="b">
        <v>0</v>
      </c>
      <c r="AD4896">
        <f>IF(U4896="","MISSING_TOTAL",IF(ABS(AB4896)&lt;=0.01,"OK","CHECK"))</f>
        <v/>
      </c>
      <c r="AE4896">
        <f>IF(U4896="","MISSING",IF(AND(AA4896&gt;0,U4896/AA4896&gt;50),"POSSIBLE_SCALE_ERROR","OK"))</f>
        <v/>
      </c>
    </row>
    <row r="4897">
      <c r="A4897" t="inlineStr">
        <is>
          <t>T-2020-Q3-00061</t>
        </is>
      </c>
      <c r="B4897" t="inlineStr">
        <is>
          <t>SLE</t>
        </is>
      </c>
      <c r="C4897" t="inlineStr">
        <is>
          <t>Vice-President, New Brunswick</t>
        </is>
      </c>
      <c r="D4897" t="inlineStr">
        <is>
          <t>Vice-président, Nouveau-Brunswick</t>
        </is>
      </c>
      <c r="E4897" t="inlineStr">
        <is>
          <t>Kent Estabrooks</t>
        </is>
      </c>
      <c r="F4897" t="inlineStr">
        <is>
          <t>Meeting with clients</t>
        </is>
      </c>
      <c r="G4897" t="inlineStr">
        <is>
          <t>Réunion avec des clients</t>
        </is>
      </c>
      <c r="H4897" s="1" t="n">
        <v>43773</v>
      </c>
      <c r="I4897" s="1" t="n">
        <v>43775</v>
      </c>
      <c r="J4897" t="inlineStr">
        <is>
          <t>Saint John, New Brunswick</t>
        </is>
      </c>
      <c r="K4897" t="inlineStr">
        <is>
          <t>Saint John (Nouveau-Brunswick)</t>
        </is>
      </c>
      <c r="P4897" t="n">
        <v>0</v>
      </c>
      <c r="Q4897" t="n">
        <v>36.68</v>
      </c>
      <c r="R4897" t="n">
        <v>272.44</v>
      </c>
      <c r="S4897" t="n">
        <v>153</v>
      </c>
      <c r="T4897" t="n">
        <v>0</v>
      </c>
      <c r="U4897" t="n">
        <v>462.12</v>
      </c>
      <c r="X4897" t="inlineStr">
        <is>
          <t>acoa-apeca</t>
        </is>
      </c>
      <c r="Y4897" t="inlineStr">
        <is>
          <t>Atlantic Canada Opportunities Agency | Agence de promotion économique du Canada atlantique</t>
        </is>
      </c>
      <c r="Z4897" t="n">
        <v>3</v>
      </c>
      <c r="AA4897" t="n">
        <v>462.12</v>
      </c>
      <c r="AB4897">
        <f>ROUND(U4897-AA4897,2)</f>
        <v/>
      </c>
      <c r="AC4897" t="b">
        <v>0</v>
      </c>
      <c r="AD4897">
        <f>IF(U4897="","MISSING_TOTAL",IF(ABS(AB4897)&lt;=0.01,"OK","CHECK"))</f>
        <v/>
      </c>
      <c r="AE4897">
        <f>IF(U4897="","MISSING",IF(AND(AA4897&gt;0,U4897/AA4897&gt;50),"POSSIBLE_SCALE_ERROR","OK"))</f>
        <v/>
      </c>
    </row>
    <row r="4898">
      <c r="A4898" t="inlineStr">
        <is>
          <t>T-2020-Q3-00060</t>
        </is>
      </c>
      <c r="B4898" t="inlineStr">
        <is>
          <t>SLE</t>
        </is>
      </c>
      <c r="C4898" t="inlineStr">
        <is>
          <t>Vice-President, New Brunswick</t>
        </is>
      </c>
      <c r="D4898" t="inlineStr">
        <is>
          <t>Vice-président, Nouveau-Brunswick</t>
        </is>
      </c>
      <c r="E4898" t="inlineStr">
        <is>
          <t>Kent Estabrooks</t>
        </is>
      </c>
      <c r="F4898" t="inlineStr">
        <is>
          <t>Meeting with Agency officials</t>
        </is>
      </c>
      <c r="G4898" t="inlineStr">
        <is>
          <t>Réunion avec des fonctionnaires de l'Agence</t>
        </is>
      </c>
      <c r="H4898" s="1" t="n">
        <v>43794</v>
      </c>
      <c r="I4898" s="1" t="n">
        <v>43795</v>
      </c>
      <c r="J4898" t="inlineStr">
        <is>
          <t>Moncton, New Brunswick</t>
        </is>
      </c>
      <c r="K4898" t="inlineStr">
        <is>
          <t>Moncton (Nouveau-Brunswick)</t>
        </is>
      </c>
      <c r="P4898" t="n">
        <v>0</v>
      </c>
      <c r="Q4898" t="n">
        <v>17.83</v>
      </c>
      <c r="R4898" t="n">
        <v>173.78</v>
      </c>
      <c r="S4898" t="n">
        <v>105.75</v>
      </c>
      <c r="T4898" t="n">
        <v>0</v>
      </c>
      <c r="U4898" t="n">
        <v>297.36</v>
      </c>
      <c r="X4898" t="inlineStr">
        <is>
          <t>acoa-apeca</t>
        </is>
      </c>
      <c r="Y4898" t="inlineStr">
        <is>
          <t>Atlantic Canada Opportunities Agency | Agence de promotion économique du Canada atlantique</t>
        </is>
      </c>
      <c r="Z4898" t="n">
        <v>2</v>
      </c>
      <c r="AA4898" t="n">
        <v>297.36</v>
      </c>
      <c r="AB4898">
        <f>ROUND(U4898-AA4898,2)</f>
        <v/>
      </c>
      <c r="AC4898" t="b">
        <v>0</v>
      </c>
      <c r="AD4898">
        <f>IF(U4898="","MISSING_TOTAL",IF(ABS(AB4898)&lt;=0.01,"OK","CHECK"))</f>
        <v/>
      </c>
      <c r="AE4898">
        <f>IF(U4898="","MISSING",IF(AND(AA4898&gt;0,U4898/AA4898&gt;50),"POSSIBLE_SCALE_ERROR","OK"))</f>
        <v/>
      </c>
    </row>
    <row r="4899">
      <c r="A4899" t="inlineStr">
        <is>
          <t>T-2020-Q3-00059</t>
        </is>
      </c>
      <c r="B4899" t="inlineStr">
        <is>
          <t>SLE</t>
        </is>
      </c>
      <c r="C4899" t="inlineStr">
        <is>
          <t>Vice-President, New Brunswick</t>
        </is>
      </c>
      <c r="D4899" t="inlineStr">
        <is>
          <t>Vice-président, Nouveau-Brunswick</t>
        </is>
      </c>
      <c r="E4899" t="inlineStr">
        <is>
          <t>Kent Estabrooks</t>
        </is>
      </c>
      <c r="F4899" t="inlineStr">
        <is>
          <t>External stakeholder meeting</t>
        </is>
      </c>
      <c r="G4899" t="inlineStr">
        <is>
          <t>Réunion avec un intervenant externe</t>
        </is>
      </c>
      <c r="H4899" s="1" t="n">
        <v>43789</v>
      </c>
      <c r="I4899" s="1" t="n">
        <v>43790</v>
      </c>
      <c r="J4899" t="inlineStr">
        <is>
          <t>Moncton, New Brunswick</t>
        </is>
      </c>
      <c r="K4899" t="inlineStr">
        <is>
          <t>Moncton (Nouveau-Brunswick)</t>
        </is>
      </c>
      <c r="P4899" t="n">
        <v>0</v>
      </c>
      <c r="Q4899" t="n">
        <v>4.3</v>
      </c>
      <c r="R4899" t="n">
        <v>220.74</v>
      </c>
      <c r="S4899" t="n">
        <v>105.75</v>
      </c>
      <c r="T4899" t="n">
        <v>0</v>
      </c>
      <c r="U4899" t="n">
        <v>330.79</v>
      </c>
      <c r="X4899" t="inlineStr">
        <is>
          <t>acoa-apeca</t>
        </is>
      </c>
      <c r="Y4899" t="inlineStr">
        <is>
          <t>Atlantic Canada Opportunities Agency | Agence de promotion économique du Canada atlantique</t>
        </is>
      </c>
      <c r="Z4899" t="n">
        <v>2</v>
      </c>
      <c r="AA4899" t="n">
        <v>330.79</v>
      </c>
      <c r="AB4899">
        <f>ROUND(U4899-AA4899,2)</f>
        <v/>
      </c>
      <c r="AC4899" t="b">
        <v>0</v>
      </c>
      <c r="AD4899">
        <f>IF(U4899="","MISSING_TOTAL",IF(ABS(AB4899)&lt;=0.01,"OK","CHECK"))</f>
        <v/>
      </c>
      <c r="AE4899">
        <f>IF(U4899="","MISSING",IF(AND(AA4899&gt;0,U4899/AA4899&gt;50),"POSSIBLE_SCALE_ERROR","OK"))</f>
        <v/>
      </c>
    </row>
    <row r="4900">
      <c r="A4900" t="inlineStr">
        <is>
          <t>T-2020-Q3-00058</t>
        </is>
      </c>
      <c r="B4900" t="inlineStr">
        <is>
          <t>SLE</t>
        </is>
      </c>
      <c r="C4900" t="inlineStr">
        <is>
          <t>Vice-President, New Brunswick</t>
        </is>
      </c>
      <c r="D4900" t="inlineStr">
        <is>
          <t>Vice-président, Nouveau-Brunswick</t>
        </is>
      </c>
      <c r="E4900" t="inlineStr">
        <is>
          <t>Kent Estabrooks</t>
        </is>
      </c>
      <c r="F4900" t="inlineStr">
        <is>
          <t>Event with external stakeholders, meetings with Agency officials, and client meetings</t>
        </is>
      </c>
      <c r="G4900" t="inlineStr">
        <is>
          <t>Activité avec des intervenants externes, réunions avec des fonctionnaires de l'Agence et réunions avec des clients</t>
        </is>
      </c>
      <c r="H4900" s="1" t="n">
        <v>43780</v>
      </c>
      <c r="I4900" s="1" t="n">
        <v>43784</v>
      </c>
      <c r="J4900" t="inlineStr">
        <is>
          <t>Moncton, Back Bay and St. Stephen, New Brunswick</t>
        </is>
      </c>
      <c r="K4900" t="inlineStr">
        <is>
          <t>Moncton, Back Bay et St. Stephen (Nouveau-Brunswick)</t>
        </is>
      </c>
      <c r="P4900" t="n">
        <v>0</v>
      </c>
      <c r="Q4900" t="n">
        <v>17.83</v>
      </c>
      <c r="R4900" t="n">
        <v>520.15</v>
      </c>
      <c r="S4900" t="n">
        <v>211.25</v>
      </c>
      <c r="T4900" t="n">
        <v>0</v>
      </c>
      <c r="U4900" t="n">
        <v>749.23</v>
      </c>
      <c r="X4900" t="inlineStr">
        <is>
          <t>acoa-apeca</t>
        </is>
      </c>
      <c r="Y4900" t="inlineStr">
        <is>
          <t>Atlantic Canada Opportunities Agency | Agence de promotion économique du Canada atlantique</t>
        </is>
      </c>
      <c r="Z4900" t="n">
        <v>5</v>
      </c>
      <c r="AA4900" t="n">
        <v>749.23</v>
      </c>
      <c r="AB4900">
        <f>ROUND(U4900-AA4900,2)</f>
        <v/>
      </c>
      <c r="AC4900" t="b">
        <v>0</v>
      </c>
      <c r="AD4900">
        <f>IF(U4900="","MISSING_TOTAL",IF(ABS(AB4900)&lt;=0.01,"OK","CHECK"))</f>
        <v/>
      </c>
      <c r="AE4900">
        <f>IF(U4900="","MISSING",IF(AND(AA4900&gt;0,U4900/AA4900&gt;50),"POSSIBLE_SCALE_ERROR","OK"))</f>
        <v/>
      </c>
    </row>
    <row r="4901">
      <c r="A4901" t="inlineStr">
        <is>
          <t>T-2020-Q3-00057</t>
        </is>
      </c>
      <c r="B4901" t="inlineStr">
        <is>
          <t>SLE</t>
        </is>
      </c>
      <c r="C4901" t="inlineStr">
        <is>
          <t>Vice-President, New Brunswick</t>
        </is>
      </c>
      <c r="D4901" t="inlineStr">
        <is>
          <t>Vice-président, Nouveau-Brunswick</t>
        </is>
      </c>
      <c r="E4901" t="inlineStr">
        <is>
          <t>Kent Estabrooks</t>
        </is>
      </c>
      <c r="F4901" t="inlineStr">
        <is>
          <t>Meeting with Agency officials</t>
        </is>
      </c>
      <c r="G4901" t="inlineStr">
        <is>
          <t>Réunion avec des fonctionnaires de l'Agence</t>
        </is>
      </c>
      <c r="H4901" s="1" t="n">
        <v>43797</v>
      </c>
      <c r="I4901" s="1" t="n">
        <v>43798</v>
      </c>
      <c r="J4901" t="inlineStr">
        <is>
          <t>Doaktown, New Brunswick</t>
        </is>
      </c>
      <c r="K4901" t="inlineStr">
        <is>
          <t>Doaktown (Nouveau-Brunswick)</t>
        </is>
      </c>
      <c r="P4901" t="n">
        <v>0</v>
      </c>
      <c r="Q4901" t="n">
        <v>0</v>
      </c>
      <c r="R4901" t="n">
        <v>126.5</v>
      </c>
      <c r="S4901" t="n">
        <v>177.77</v>
      </c>
      <c r="T4901" t="n">
        <v>0</v>
      </c>
      <c r="U4901" t="n">
        <v>304.27</v>
      </c>
      <c r="X4901" t="inlineStr">
        <is>
          <t>acoa-apeca</t>
        </is>
      </c>
      <c r="Y4901" t="inlineStr">
        <is>
          <t>Atlantic Canada Opportunities Agency | Agence de promotion économique du Canada atlantique</t>
        </is>
      </c>
      <c r="Z4901" t="n">
        <v>2</v>
      </c>
      <c r="AA4901" t="n">
        <v>304.27</v>
      </c>
      <c r="AB4901">
        <f>ROUND(U4901-AA4901,2)</f>
        <v/>
      </c>
      <c r="AC4901" t="b">
        <v>0</v>
      </c>
      <c r="AD4901">
        <f>IF(U4901="","MISSING_TOTAL",IF(ABS(AB4901)&lt;=0.01,"OK","CHECK"))</f>
        <v/>
      </c>
      <c r="AE4901">
        <f>IF(U4901="","MISSING",IF(AND(AA4901&gt;0,U4901/AA4901&gt;50),"POSSIBLE_SCALE_ERROR","OK"))</f>
        <v/>
      </c>
    </row>
    <row r="4902">
      <c r="A4902" t="inlineStr">
        <is>
          <t>T-2020-Q3-00066</t>
        </is>
      </c>
      <c r="B4902" t="inlineStr">
        <is>
          <t>SLE</t>
        </is>
      </c>
      <c r="C4902" t="inlineStr">
        <is>
          <t>Vice-President, Prince Edward Island</t>
        </is>
      </c>
      <c r="D4902" t="inlineStr">
        <is>
          <t>Vice-président, Île-du-Prince-Édouard</t>
        </is>
      </c>
      <c r="E4902" t="inlineStr">
        <is>
          <t>Patrick Dorsey</t>
        </is>
      </c>
      <c r="F4902" t="inlineStr">
        <is>
          <t>Meetings with stakeholders and federal government officials in St. John's Newfoundland. Travel was aborted due to flight cancellation from Halifax Nova Scotia to St. John's Newfoundland</t>
        </is>
      </c>
      <c r="G4902" t="inlineStr">
        <is>
          <t>Réunions avec des intervenants et fonctionnaires fédéraux à St. John's (Terre-Neuve-et-Labrador); voyage annulé à cause de l'annulation du vol d'Halifax (Nouvelle-Écosse) à St. John's (Terre-Neuve-et-Labrador)</t>
        </is>
      </c>
      <c r="H4902" s="1" t="n">
        <v>43797</v>
      </c>
      <c r="I4902" s="1" t="n">
        <v>43798</v>
      </c>
      <c r="J4902" t="inlineStr">
        <is>
          <t>Halifax, Nova Scotia</t>
        </is>
      </c>
      <c r="K4902" t="inlineStr">
        <is>
          <t>Halifax (Nouvelle-Écosse)</t>
        </is>
      </c>
      <c r="P4902" t="n">
        <v>1003.46</v>
      </c>
      <c r="Q4902" t="n">
        <v>331.4</v>
      </c>
      <c r="R4902" t="n">
        <v>171.26</v>
      </c>
      <c r="S4902" t="n">
        <v>146.7</v>
      </c>
      <c r="T4902" t="n">
        <v>34.03</v>
      </c>
      <c r="U4902" t="n">
        <v>1686.85</v>
      </c>
      <c r="X4902" t="inlineStr">
        <is>
          <t>acoa-apeca</t>
        </is>
      </c>
      <c r="Y4902" t="inlineStr">
        <is>
          <t>Atlantic Canada Opportunities Agency | Agence de promotion économique du Canada atlantique</t>
        </is>
      </c>
      <c r="Z4902" t="n">
        <v>2</v>
      </c>
      <c r="AA4902" t="n">
        <v>1686.85</v>
      </c>
      <c r="AB4902">
        <f>ROUND(U4902-AA4902,2)</f>
        <v/>
      </c>
      <c r="AC4902" t="b">
        <v>0</v>
      </c>
      <c r="AD4902">
        <f>IF(U4902="","MISSING_TOTAL",IF(ABS(AB4902)&lt;=0.01,"OK","CHECK"))</f>
        <v/>
      </c>
      <c r="AE4902">
        <f>IF(U4902="","MISSING",IF(AND(AA4902&gt;0,U4902/AA4902&gt;50),"POSSIBLE_SCALE_ERROR","OK"))</f>
        <v/>
      </c>
    </row>
    <row r="4903">
      <c r="A4903" t="inlineStr">
        <is>
          <t>T-2020-Q3-00049</t>
        </is>
      </c>
      <c r="B4903" t="inlineStr">
        <is>
          <t>SLE</t>
        </is>
      </c>
      <c r="C4903" t="inlineStr">
        <is>
          <t>Vice-President, Prince Edward Island</t>
        </is>
      </c>
      <c r="D4903" t="inlineStr">
        <is>
          <t>Vice-président, Île-du-Prince-Édouard</t>
        </is>
      </c>
      <c r="E4903" t="inlineStr">
        <is>
          <t>Patrick Dorsey</t>
        </is>
      </c>
      <c r="F4903" t="inlineStr">
        <is>
          <t>Tourism Industry Association of Canada Conference and Meetings with Federal Government Officials</t>
        </is>
      </c>
      <c r="G4903" t="inlineStr">
        <is>
          <t>Conférence de l'Association de l'industrie touristique du Canada et réunions avec des fonctionnaires fédéraux</t>
        </is>
      </c>
      <c r="H4903" s="1" t="n">
        <v>43787</v>
      </c>
      <c r="I4903" s="1" t="n">
        <v>43790</v>
      </c>
      <c r="J4903" t="inlineStr">
        <is>
          <t>Ottawa Ontario</t>
        </is>
      </c>
      <c r="K4903" t="inlineStr">
        <is>
          <t>Ottawa (Ontario)</t>
        </is>
      </c>
      <c r="P4903" t="n">
        <v>1073.27</v>
      </c>
      <c r="Q4903" t="n">
        <v>0</v>
      </c>
      <c r="R4903" t="n">
        <v>725.1</v>
      </c>
      <c r="S4903" t="n">
        <v>302.75</v>
      </c>
      <c r="T4903" t="n">
        <v>102.73</v>
      </c>
      <c r="U4903" t="n">
        <v>2203.85</v>
      </c>
      <c r="X4903" t="inlineStr">
        <is>
          <t>acoa-apeca</t>
        </is>
      </c>
      <c r="Y4903" t="inlineStr">
        <is>
          <t>Atlantic Canada Opportunities Agency | Agence de promotion économique du Canada atlantique</t>
        </is>
      </c>
      <c r="Z4903" t="n">
        <v>4</v>
      </c>
      <c r="AA4903" t="n">
        <v>2203.85</v>
      </c>
      <c r="AB4903">
        <f>ROUND(U4903-AA4903,2)</f>
        <v/>
      </c>
      <c r="AC4903" t="b">
        <v>0</v>
      </c>
      <c r="AD4903">
        <f>IF(U4903="","MISSING_TOTAL",IF(ABS(AB4903)&lt;=0.01,"OK","CHECK"))</f>
        <v/>
      </c>
      <c r="AE4903">
        <f>IF(U4903="","MISSING",IF(AND(AA4903&gt;0,U4903/AA4903&gt;50),"POSSIBLE_SCALE_ERROR","OK"))</f>
        <v/>
      </c>
    </row>
    <row r="4904">
      <c r="A4904" t="inlineStr">
        <is>
          <t>T-2020-Q3-00046</t>
        </is>
      </c>
      <c r="B4904" t="inlineStr">
        <is>
          <t>SLE</t>
        </is>
      </c>
      <c r="C4904" t="inlineStr">
        <is>
          <t>Vice-President, Prince Edward Island</t>
        </is>
      </c>
      <c r="D4904" t="inlineStr">
        <is>
          <t>Vice-président, Île-du-Prince-Édouard</t>
        </is>
      </c>
      <c r="E4904" t="inlineStr">
        <is>
          <t>Patrick Dorsey</t>
        </is>
      </c>
      <c r="F4904" t="inlineStr">
        <is>
          <t>Meetings with federal and provincial government officials</t>
        </is>
      </c>
      <c r="G4904" t="inlineStr">
        <is>
          <t>Réunions avec des fonctionnaires provinciaux et fédéraux</t>
        </is>
      </c>
      <c r="H4904" s="1" t="n">
        <v>43782</v>
      </c>
      <c r="I4904" s="1" t="n">
        <v>43784</v>
      </c>
      <c r="J4904" t="inlineStr">
        <is>
          <t>Halifax, Nova Scotia</t>
        </is>
      </c>
      <c r="K4904" t="inlineStr">
        <is>
          <t>Halifax (Nouvelle-Écosse)</t>
        </is>
      </c>
      <c r="P4904" t="n">
        <v>0</v>
      </c>
      <c r="Q4904" t="n">
        <v>0</v>
      </c>
      <c r="R4904" t="n">
        <v>344.86</v>
      </c>
      <c r="S4904" t="n">
        <v>255.5</v>
      </c>
      <c r="T4904" t="n">
        <v>57.5</v>
      </c>
      <c r="U4904" t="n">
        <v>657.86</v>
      </c>
      <c r="X4904" t="inlineStr">
        <is>
          <t>acoa-apeca</t>
        </is>
      </c>
      <c r="Y4904" t="inlineStr">
        <is>
          <t>Atlantic Canada Opportunities Agency | Agence de promotion économique du Canada atlantique</t>
        </is>
      </c>
      <c r="Z4904" t="n">
        <v>3</v>
      </c>
      <c r="AA4904" t="n">
        <v>657.86</v>
      </c>
      <c r="AB4904">
        <f>ROUND(U4904-AA4904,2)</f>
        <v/>
      </c>
      <c r="AC4904" t="b">
        <v>0</v>
      </c>
      <c r="AD4904">
        <f>IF(U4904="","MISSING_TOTAL",IF(ABS(AB4904)&lt;=0.01,"OK","CHECK"))</f>
        <v/>
      </c>
      <c r="AE4904">
        <f>IF(U4904="","MISSING",IF(AND(AA4904&gt;0,U4904/AA4904&gt;50),"POSSIBLE_SCALE_ERROR","OK"))</f>
        <v/>
      </c>
    </row>
    <row r="4905">
      <c r="A4905" t="inlineStr">
        <is>
          <t>T-2020-Q3-00054</t>
        </is>
      </c>
      <c r="B4905" t="inlineStr">
        <is>
          <t>SLE</t>
        </is>
      </c>
      <c r="C4905" t="inlineStr">
        <is>
          <t>Vice-President, Nova Scotia</t>
        </is>
      </c>
      <c r="D4905" t="inlineStr">
        <is>
          <t>Vice-président, Nouvelle-Écosse</t>
        </is>
      </c>
      <c r="E4905" t="inlineStr">
        <is>
          <t>Chuck Maillet</t>
        </is>
      </c>
      <c r="F4905" t="inlineStr">
        <is>
          <t>Various meetings with stakeholders in Yarmouth, Nova Scotia, and host the International Joint Commission in Moncton, New Brunswick</t>
        </is>
      </c>
      <c r="G4905" t="inlineStr">
        <is>
          <t>Diverses réunions avec des intervenants à Yarmouth en Nouvelle-Écosse, et accueil de la Commission mixte internationale à Moncton au Nouveau-Brunswick</t>
        </is>
      </c>
      <c r="H4905" s="1" t="n">
        <v>43785</v>
      </c>
      <c r="I4905" s="1" t="n">
        <v>43789</v>
      </c>
      <c r="J4905" t="inlineStr">
        <is>
          <t>Yarmouth, Nova Scotia and Moncton, New Brunswick</t>
        </is>
      </c>
      <c r="K4905" t="inlineStr">
        <is>
          <t>Yarmouth (Nouvelle-Écosse) et Moncton (Nouveau-Brunswick)</t>
        </is>
      </c>
      <c r="P4905" t="n">
        <v>0</v>
      </c>
      <c r="Q4905" t="n">
        <v>174.82</v>
      </c>
      <c r="R4905" t="n">
        <v>320.78</v>
      </c>
      <c r="S4905" t="n">
        <v>297.96</v>
      </c>
      <c r="T4905" t="n">
        <v>22</v>
      </c>
      <c r="U4905" t="n">
        <v>815.5599999999999</v>
      </c>
      <c r="X4905" t="inlineStr">
        <is>
          <t>acoa-apeca</t>
        </is>
      </c>
      <c r="Y4905" t="inlineStr">
        <is>
          <t>Atlantic Canada Opportunities Agency | Agence de promotion économique du Canada atlantique</t>
        </is>
      </c>
      <c r="Z4905" t="n">
        <v>5</v>
      </c>
      <c r="AA4905" t="n">
        <v>815.5599999999999</v>
      </c>
      <c r="AB4905">
        <f>ROUND(U4905-AA4905,2)</f>
        <v/>
      </c>
      <c r="AC4905" t="b">
        <v>0</v>
      </c>
      <c r="AD4905">
        <f>IF(U4905="","MISSING_TOTAL",IF(ABS(AB4905)&lt;=0.01,"OK","CHECK"))</f>
        <v/>
      </c>
      <c r="AE4905">
        <f>IF(U4905="","MISSING",IF(AND(AA4905&gt;0,U4905/AA4905&gt;50),"POSSIBLE_SCALE_ERROR","OK"))</f>
        <v/>
      </c>
    </row>
    <row r="4906">
      <c r="A4906" t="inlineStr">
        <is>
          <t>T-2020-Q3-00053</t>
        </is>
      </c>
      <c r="B4906" t="inlineStr">
        <is>
          <t>SLE</t>
        </is>
      </c>
      <c r="C4906" t="inlineStr">
        <is>
          <t>Vice-President, Nova Scotia</t>
        </is>
      </c>
      <c r="D4906" t="inlineStr">
        <is>
          <t>Vice-président, Nouvelle-Écosse</t>
        </is>
      </c>
      <c r="E4906" t="inlineStr">
        <is>
          <t>Chuck Maillet</t>
        </is>
      </c>
      <c r="F4906" t="inlineStr">
        <is>
          <t>Various meetings with stakeholders in Sydney, Nova Scotia, and Assistant Deputy Minister Executive Development Leadership Program and meetings with Government of Canada officials in Ottawa, Ontario</t>
        </is>
      </c>
      <c r="G4906" t="inlineStr">
        <is>
          <t>Diverses réunions avec des intervenants à Sydney en Nouvelle-Écosse et Programme de développement en leadership pour cadres supérieurs à l'intention des sous-ministres adjoints et réunions avec des représentants du gouvernement du Canada à Ottawa, Ontario</t>
        </is>
      </c>
      <c r="H4906" s="1" t="n">
        <v>43773</v>
      </c>
      <c r="I4906" s="1" t="n">
        <v>43777</v>
      </c>
      <c r="J4906" t="inlineStr">
        <is>
          <t>Sydney, Nova Scotia and Ottawa, Ontario</t>
        </is>
      </c>
      <c r="K4906" t="inlineStr">
        <is>
          <t>Sydney (Nouvelle-Écosse) et Ottawa (Ontario)</t>
        </is>
      </c>
      <c r="P4906" t="n">
        <v>1428.95</v>
      </c>
      <c r="Q4906" t="n">
        <v>252.57</v>
      </c>
      <c r="R4906" t="n">
        <v>934.9</v>
      </c>
      <c r="S4906" t="n">
        <v>431.9</v>
      </c>
      <c r="T4906" t="n">
        <v>0</v>
      </c>
      <c r="U4906" t="n">
        <v>3048.32</v>
      </c>
      <c r="X4906" t="inlineStr">
        <is>
          <t>acoa-apeca</t>
        </is>
      </c>
      <c r="Y4906" t="inlineStr">
        <is>
          <t>Atlantic Canada Opportunities Agency | Agence de promotion économique du Canada atlantique</t>
        </is>
      </c>
      <c r="Z4906" t="n">
        <v>5</v>
      </c>
      <c r="AA4906" t="n">
        <v>3048.32</v>
      </c>
      <c r="AB4906">
        <f>ROUND(U4906-AA4906,2)</f>
        <v/>
      </c>
      <c r="AC4906" t="b">
        <v>0</v>
      </c>
      <c r="AD4906">
        <f>IF(U4906="","MISSING_TOTAL",IF(ABS(AB4906)&lt;=0.01,"OK","CHECK"))</f>
        <v/>
      </c>
      <c r="AE4906">
        <f>IF(U4906="","MISSING",IF(AND(AA4906&gt;0,U4906/AA4906&gt;50),"POSSIBLE_SCALE_ERROR","OK"))</f>
        <v/>
      </c>
    </row>
    <row r="4907">
      <c r="A4907" t="inlineStr">
        <is>
          <t>T-2020-Q3-00056</t>
        </is>
      </c>
      <c r="B4907" t="inlineStr">
        <is>
          <t>SLE</t>
        </is>
      </c>
      <c r="C4907" t="inlineStr">
        <is>
          <t>President</t>
        </is>
      </c>
      <c r="D4907" t="inlineStr">
        <is>
          <t>Président</t>
        </is>
      </c>
      <c r="E4907" t="inlineStr">
        <is>
          <t>Francis McGuire</t>
        </is>
      </c>
      <c r="F4907" t="inlineStr">
        <is>
          <t>Meeting with Minister and various stakeholders</t>
        </is>
      </c>
      <c r="G4907" t="inlineStr">
        <is>
          <t>Réunions avec la ministre et divers intervenants</t>
        </is>
      </c>
      <c r="H4907" s="1" t="n">
        <v>43795</v>
      </c>
      <c r="I4907" s="1" t="n">
        <v>43796</v>
      </c>
      <c r="J4907" t="inlineStr">
        <is>
          <t>Halifax, Nova Scotia</t>
        </is>
      </c>
      <c r="K4907" t="inlineStr">
        <is>
          <t>Halifax (Nouvelle-Écosse)</t>
        </is>
      </c>
      <c r="P4907" t="n">
        <v>0</v>
      </c>
      <c r="Q4907" t="n">
        <v>279.27</v>
      </c>
      <c r="R4907" t="n">
        <v>139.59</v>
      </c>
      <c r="S4907" t="n">
        <v>126.1</v>
      </c>
      <c r="T4907" t="n">
        <v>39.05</v>
      </c>
      <c r="U4907" t="n">
        <v>584.01</v>
      </c>
      <c r="X4907" t="inlineStr">
        <is>
          <t>acoa-apeca</t>
        </is>
      </c>
      <c r="Y4907" t="inlineStr">
        <is>
          <t>Atlantic Canada Opportunities Agency | Agence de promotion économique du Canada atlantique</t>
        </is>
      </c>
      <c r="Z4907" t="n">
        <v>2</v>
      </c>
      <c r="AA4907" t="n">
        <v>584.01</v>
      </c>
      <c r="AB4907">
        <f>ROUND(U4907-AA4907,2)</f>
        <v/>
      </c>
      <c r="AC4907" t="b">
        <v>0</v>
      </c>
      <c r="AD4907">
        <f>IF(U4907="","MISSING_TOTAL",IF(ABS(AB4907)&lt;=0.01,"OK","CHECK"))</f>
        <v/>
      </c>
      <c r="AE4907">
        <f>IF(U4907="","MISSING",IF(AND(AA4907&gt;0,U4907/AA4907&gt;50),"POSSIBLE_SCALE_ERROR","OK"))</f>
        <v/>
      </c>
    </row>
    <row r="4908">
      <c r="A4908" t="inlineStr">
        <is>
          <t>T-2020-Q3-00055</t>
        </is>
      </c>
      <c r="B4908" t="inlineStr">
        <is>
          <t>SLE</t>
        </is>
      </c>
      <c r="C4908" t="inlineStr">
        <is>
          <t>President</t>
        </is>
      </c>
      <c r="D4908" t="inlineStr">
        <is>
          <t>Président</t>
        </is>
      </c>
      <c r="E4908" t="inlineStr">
        <is>
          <t>Francis McGuire</t>
        </is>
      </c>
      <c r="F4908" t="inlineStr">
        <is>
          <t>Meeting with various Government of Canada officials</t>
        </is>
      </c>
      <c r="G4908" t="inlineStr">
        <is>
          <t>Réunions avec divers fonctionnaires fédéraux</t>
        </is>
      </c>
      <c r="H4908" s="1" t="n">
        <v>43770</v>
      </c>
      <c r="I4908" s="1" t="n">
        <v>43770</v>
      </c>
      <c r="J4908" t="inlineStr">
        <is>
          <t>Ottawa, Ontario</t>
        </is>
      </c>
      <c r="K4908" t="inlineStr">
        <is>
          <t>Ottawa (Ontario)</t>
        </is>
      </c>
      <c r="P4908" t="n">
        <v>1084.5</v>
      </c>
      <c r="Q4908" t="n">
        <v>14.98</v>
      </c>
      <c r="R4908" t="n">
        <v>0</v>
      </c>
      <c r="S4908" t="n">
        <v>40.95</v>
      </c>
      <c r="T4908" t="n">
        <v>12</v>
      </c>
      <c r="U4908" t="n">
        <v>1152.43</v>
      </c>
      <c r="X4908" t="inlineStr">
        <is>
          <t>acoa-apeca</t>
        </is>
      </c>
      <c r="Y4908" t="inlineStr">
        <is>
          <t>Atlantic Canada Opportunities Agency | Agence de promotion économique du Canada atlantique</t>
        </is>
      </c>
      <c r="Z4908" t="n">
        <v>1</v>
      </c>
      <c r="AA4908" t="n">
        <v>1152.43</v>
      </c>
      <c r="AB4908">
        <f>ROUND(U4908-AA4908,2)</f>
        <v/>
      </c>
      <c r="AC4908" t="b">
        <v>0</v>
      </c>
      <c r="AD4908">
        <f>IF(U4908="","MISSING_TOTAL",IF(ABS(AB4908)&lt;=0.01,"OK","CHECK"))</f>
        <v/>
      </c>
      <c r="AE4908">
        <f>IF(U4908="","MISSING",IF(AND(AA4908&gt;0,U4908/AA4908&gt;50),"POSSIBLE_SCALE_ERROR","OK"))</f>
        <v/>
      </c>
    </row>
    <row r="4909">
      <c r="A4909" t="inlineStr">
        <is>
          <t>T-2020-Q3-00048</t>
        </is>
      </c>
      <c r="B4909" t="inlineStr">
        <is>
          <t>SLE</t>
        </is>
      </c>
      <c r="C4909" t="inlineStr">
        <is>
          <t>President</t>
        </is>
      </c>
      <c r="D4909" t="inlineStr">
        <is>
          <t>Président</t>
        </is>
      </c>
      <c r="E4909" t="inlineStr">
        <is>
          <t>Francis McGuire</t>
        </is>
      </c>
      <c r="F4909" t="inlineStr">
        <is>
          <t>Meetings with various Government of Canada officials and stakeholders</t>
        </is>
      </c>
      <c r="G4909" t="inlineStr">
        <is>
          <t>Réunions avec divers fonctionnaires du gouvernement du Canada et des intervenants</t>
        </is>
      </c>
      <c r="H4909" s="1" t="n">
        <v>43788</v>
      </c>
      <c r="I4909" s="1" t="n">
        <v>43793</v>
      </c>
      <c r="J4909" t="inlineStr">
        <is>
          <t>Ottawa, Ontario Halifax, Nova Scotia</t>
        </is>
      </c>
      <c r="K4909" t="inlineStr">
        <is>
          <t>Ottawa (Ontario) et Halifax (Nouvelle-Écosse)</t>
        </is>
      </c>
      <c r="P4909" t="n">
        <v>995.09</v>
      </c>
      <c r="Q4909" t="n">
        <v>258.53</v>
      </c>
      <c r="R4909" t="n">
        <v>1282.71</v>
      </c>
      <c r="S4909" t="n">
        <v>490.4</v>
      </c>
      <c r="T4909" t="n">
        <v>4</v>
      </c>
      <c r="U4909" t="n">
        <v>3030.73</v>
      </c>
      <c r="X4909" t="inlineStr">
        <is>
          <t>acoa-apeca</t>
        </is>
      </c>
      <c r="Y4909" t="inlineStr">
        <is>
          <t>Atlantic Canada Opportunities Agency | Agence de promotion économique du Canada atlantique</t>
        </is>
      </c>
      <c r="Z4909" t="n">
        <v>6</v>
      </c>
      <c r="AA4909" t="n">
        <v>3030.73</v>
      </c>
      <c r="AB4909">
        <f>ROUND(U4909-AA4909,2)</f>
        <v/>
      </c>
      <c r="AC4909" t="b">
        <v>0</v>
      </c>
      <c r="AD4909">
        <f>IF(U4909="","MISSING_TOTAL",IF(ABS(AB4909)&lt;=0.01,"OK","CHECK"))</f>
        <v/>
      </c>
      <c r="AE4909">
        <f>IF(U4909="","MISSING",IF(AND(AA4909&gt;0,U4909/AA4909&gt;50),"POSSIBLE_SCALE_ERROR","OK"))</f>
        <v/>
      </c>
    </row>
    <row r="4910">
      <c r="A4910" t="inlineStr">
        <is>
          <t>T-2020-Q3-00045</t>
        </is>
      </c>
      <c r="B4910" t="inlineStr">
        <is>
          <t>SLE</t>
        </is>
      </c>
      <c r="C4910" t="inlineStr">
        <is>
          <t>President</t>
        </is>
      </c>
      <c r="D4910" t="inlineStr">
        <is>
          <t>Président</t>
        </is>
      </c>
      <c r="E4910" t="inlineStr">
        <is>
          <t>Francis McGuire</t>
        </is>
      </c>
      <c r="F4910" t="inlineStr">
        <is>
          <t>Meetings with various Government of Canada officials</t>
        </is>
      </c>
      <c r="G4910" t="inlineStr">
        <is>
          <t>Réunions avec divers fonctionnaires du gouvernement du Canada</t>
        </is>
      </c>
      <c r="H4910" s="1" t="n">
        <v>43774</v>
      </c>
      <c r="I4910" s="1" t="n">
        <v>43776</v>
      </c>
      <c r="J4910" t="inlineStr">
        <is>
          <t>Ottawa, Ontario</t>
        </is>
      </c>
      <c r="K4910" t="inlineStr">
        <is>
          <t>Ottawa (Ontario)</t>
        </is>
      </c>
      <c r="P4910" t="n">
        <v>667.1</v>
      </c>
      <c r="Q4910" t="n">
        <v>14.98</v>
      </c>
      <c r="R4910" t="n">
        <v>695.72</v>
      </c>
      <c r="S4910" t="n">
        <v>184.35</v>
      </c>
      <c r="T4910" t="n">
        <v>24</v>
      </c>
      <c r="U4910" t="n">
        <v>1586.15</v>
      </c>
      <c r="X4910" t="inlineStr">
        <is>
          <t>acoa-apeca</t>
        </is>
      </c>
      <c r="Y4910" t="inlineStr">
        <is>
          <t>Atlantic Canada Opportunities Agency | Agence de promotion économique du Canada atlantique</t>
        </is>
      </c>
      <c r="Z4910" t="n">
        <v>3</v>
      </c>
      <c r="AA4910" t="n">
        <v>1586.15</v>
      </c>
      <c r="AB4910">
        <f>ROUND(U4910-AA4910,2)</f>
        <v/>
      </c>
      <c r="AC4910" t="b">
        <v>0</v>
      </c>
      <c r="AD4910">
        <f>IF(U4910="","MISSING_TOTAL",IF(ABS(AB4910)&lt;=0.01,"OK","CHECK"))</f>
        <v/>
      </c>
      <c r="AE4910">
        <f>IF(U4910="","MISSING",IF(AND(AA4910&gt;0,U4910/AA4910&gt;50),"POSSIBLE_SCALE_ERROR","OK"))</f>
        <v/>
      </c>
    </row>
    <row r="4911">
      <c r="A4911" t="inlineStr">
        <is>
          <t>T-2020-Q3-00051</t>
        </is>
      </c>
      <c r="B4911" t="inlineStr">
        <is>
          <t>SLE</t>
        </is>
      </c>
      <c r="C4911" t="inlineStr">
        <is>
          <t>Vice-President, Finance and Corporate Services</t>
        </is>
      </c>
      <c r="D4911" t="inlineStr">
        <is>
          <t>Vice-président, Finance et Services corporatifs</t>
        </is>
      </c>
      <c r="E4911" t="inlineStr">
        <is>
          <t>Stephane Lagace</t>
        </is>
      </c>
      <c r="F4911" t="inlineStr">
        <is>
          <t>Training and meeting with Government of Canada officials</t>
        </is>
      </c>
      <c r="G4911" t="inlineStr">
        <is>
          <t>Formation et réunion avec des fonctionnaires du gouvernement du Canada</t>
        </is>
      </c>
      <c r="H4911" s="1" t="n">
        <v>43795</v>
      </c>
      <c r="I4911" s="1" t="n">
        <v>43796</v>
      </c>
      <c r="J4911" t="inlineStr">
        <is>
          <t>Ottawa, Ontario</t>
        </is>
      </c>
      <c r="K4911" t="inlineStr">
        <is>
          <t>Ottawa (Ontario)</t>
        </is>
      </c>
      <c r="P4911" t="n">
        <v>1199.57</v>
      </c>
      <c r="Q4911" t="n">
        <v>107.38</v>
      </c>
      <c r="R4911" t="n">
        <v>233.86</v>
      </c>
      <c r="S4911" t="n">
        <v>176.65</v>
      </c>
      <c r="T4911" t="n">
        <v>35.74</v>
      </c>
      <c r="U4911" t="n">
        <v>1753.2</v>
      </c>
      <c r="X4911" t="inlineStr">
        <is>
          <t>acoa-apeca</t>
        </is>
      </c>
      <c r="Y4911" t="inlineStr">
        <is>
          <t>Atlantic Canada Opportunities Agency | Agence de promotion économique du Canada atlantique</t>
        </is>
      </c>
      <c r="Z4911" t="n">
        <v>2</v>
      </c>
      <c r="AA4911" t="n">
        <v>1753.2</v>
      </c>
      <c r="AB4911">
        <f>ROUND(U4911-AA4911,2)</f>
        <v/>
      </c>
      <c r="AC4911" t="b">
        <v>0</v>
      </c>
      <c r="AD4911">
        <f>IF(U4911="","MISSING_TOTAL",IF(ABS(AB4911)&lt;=0.01,"OK","CHECK"))</f>
        <v/>
      </c>
      <c r="AE4911">
        <f>IF(U4911="","MISSING",IF(AND(AA4911&gt;0,U4911/AA4911&gt;50),"POSSIBLE_SCALE_ERROR","OK"))</f>
        <v/>
      </c>
    </row>
    <row r="4912">
      <c r="A4912" t="inlineStr">
        <is>
          <t>T-2020-Q3-00050</t>
        </is>
      </c>
      <c r="B4912" t="inlineStr">
        <is>
          <t>SLE</t>
        </is>
      </c>
      <c r="C4912" t="inlineStr">
        <is>
          <t>Acting Vice-President, Newfoundland and Labrador</t>
        </is>
      </c>
      <c r="D4912" t="inlineStr">
        <is>
          <t>Vice-président par intérim, Terre-Neuve et Labrador</t>
        </is>
      </c>
      <c r="E4912" t="inlineStr">
        <is>
          <t>Bill Grandy</t>
        </is>
      </c>
      <c r="F4912" t="inlineStr">
        <is>
          <t>Acting Vice-President of ACOA Newfoundland and Labrador</t>
        </is>
      </c>
      <c r="G4912" t="inlineStr">
        <is>
          <t>Vice-président par intérim du bureau de l'APECA à Terre-Neuve-et-Labrador</t>
        </is>
      </c>
      <c r="H4912" s="1" t="n">
        <v>43781</v>
      </c>
      <c r="I4912" s="1" t="n">
        <v>43784</v>
      </c>
      <c r="J4912" t="inlineStr">
        <is>
          <t>St. John's, Newfoundland and Labrador</t>
        </is>
      </c>
      <c r="K4912" t="inlineStr">
        <is>
          <t>St. John's (Terre-Neuve-et-Labrador)</t>
        </is>
      </c>
      <c r="P4912" t="n">
        <v>819.34</v>
      </c>
      <c r="Q4912" t="n">
        <v>397.87</v>
      </c>
      <c r="R4912" t="n">
        <v>510.51</v>
      </c>
      <c r="S4912" t="n">
        <v>364.3</v>
      </c>
      <c r="T4912" t="n">
        <v>0</v>
      </c>
      <c r="U4912" t="n">
        <v>2092.02</v>
      </c>
      <c r="X4912" t="inlineStr">
        <is>
          <t>acoa-apeca</t>
        </is>
      </c>
      <c r="Y4912" t="inlineStr">
        <is>
          <t>Atlantic Canada Opportunities Agency | Agence de promotion économique du Canada atlantique</t>
        </is>
      </c>
      <c r="Z4912" t="n">
        <v>4</v>
      </c>
      <c r="AA4912" t="n">
        <v>2092.02</v>
      </c>
      <c r="AB4912">
        <f>ROUND(U4912-AA4912,2)</f>
        <v/>
      </c>
      <c r="AC4912" t="b">
        <v>0</v>
      </c>
      <c r="AD4912">
        <f>IF(U4912="","MISSING_TOTAL",IF(ABS(AB4912)&lt;=0.01,"OK","CHECK"))</f>
        <v/>
      </c>
      <c r="AE4912">
        <f>IF(U4912="","MISSING",IF(AND(AA4912&gt;0,U4912/AA4912&gt;50),"POSSIBLE_SCALE_ERROR","OK"))</f>
        <v/>
      </c>
    </row>
    <row r="4913">
      <c r="A4913" t="inlineStr">
        <is>
          <t>T-2020-Q4-00004</t>
        </is>
      </c>
      <c r="B4913" t="inlineStr">
        <is>
          <t>SLE</t>
        </is>
      </c>
      <c r="C4913" t="inlineStr">
        <is>
          <t>Vice-President, Policy, Programs and Communications</t>
        </is>
      </c>
      <c r="D4913" t="inlineStr">
        <is>
          <t>Vice-président, Politiques et Programmes</t>
        </is>
      </c>
      <c r="E4913" t="inlineStr">
        <is>
          <t>Daryell Nowlan</t>
        </is>
      </c>
      <c r="F4913" t="inlineStr">
        <is>
          <t>Meetings with Government of Canada officials</t>
        </is>
      </c>
      <c r="G4913" t="inlineStr">
        <is>
          <t>Réunions avec des fonctionnaires fédéraux</t>
        </is>
      </c>
      <c r="H4913" s="1" t="n">
        <v>43804</v>
      </c>
      <c r="I4913" s="1" t="n">
        <v>43805</v>
      </c>
      <c r="J4913" t="inlineStr">
        <is>
          <t>Ottawa, Ontario</t>
        </is>
      </c>
      <c r="K4913" t="inlineStr">
        <is>
          <t>Ottawa (Ontario)</t>
        </is>
      </c>
      <c r="P4913" t="n">
        <v>815.54</v>
      </c>
      <c r="Q4913" t="n">
        <v>92</v>
      </c>
      <c r="R4913" t="n">
        <v>198.61</v>
      </c>
      <c r="S4913" t="n">
        <v>176.9</v>
      </c>
      <c r="T4913" t="n">
        <v>0</v>
      </c>
      <c r="U4913" t="n">
        <v>1283.05</v>
      </c>
      <c r="X4913" t="inlineStr">
        <is>
          <t>acoa-apeca</t>
        </is>
      </c>
      <c r="Y4913" t="inlineStr">
        <is>
          <t>Atlantic Canada Opportunities Agency | Agence de promotion économique du Canada atlantique</t>
        </is>
      </c>
      <c r="Z4913" t="n">
        <v>2</v>
      </c>
      <c r="AA4913" t="n">
        <v>1283.05</v>
      </c>
      <c r="AB4913">
        <f>ROUND(U4913-AA4913,2)</f>
        <v/>
      </c>
      <c r="AC4913" t="b">
        <v>0</v>
      </c>
      <c r="AD4913">
        <f>IF(U4913="","MISSING_TOTAL",IF(ABS(AB4913)&lt;=0.01,"OK","CHECK"))</f>
        <v/>
      </c>
      <c r="AE4913">
        <f>IF(U4913="","MISSING",IF(AND(AA4913&gt;0,U4913/AA4913&gt;50),"POSSIBLE_SCALE_ERROR","OK"))</f>
        <v/>
      </c>
    </row>
    <row r="4914">
      <c r="A4914" t="inlineStr">
        <is>
          <t>T-2020-Q4-00006</t>
        </is>
      </c>
      <c r="B4914" t="inlineStr">
        <is>
          <t>SLE</t>
        </is>
      </c>
      <c r="C4914" t="inlineStr">
        <is>
          <t>Vice-President, Prince Edward Island</t>
        </is>
      </c>
      <c r="D4914" t="inlineStr">
        <is>
          <t>Vice-président, Île-du-Prince-Édouard</t>
        </is>
      </c>
      <c r="E4914" t="inlineStr">
        <is>
          <t>Patrick Dorsey</t>
        </is>
      </c>
      <c r="F4914" t="inlineStr">
        <is>
          <t>Meetings with federal government officials</t>
        </is>
      </c>
      <c r="G4914" t="inlineStr">
        <is>
          <t>Réunions avec des fonctionnaires fédéraux</t>
        </is>
      </c>
      <c r="H4914" s="1" t="n">
        <v>43808</v>
      </c>
      <c r="I4914" s="1" t="n">
        <v>43810</v>
      </c>
      <c r="J4914" t="inlineStr">
        <is>
          <t>Ottawa Ontario</t>
        </is>
      </c>
      <c r="K4914" t="inlineStr">
        <is>
          <t>Ottawa (Ontario)</t>
        </is>
      </c>
      <c r="P4914" t="n">
        <v>1294.65</v>
      </c>
      <c r="Q4914" t="n">
        <v>78.86</v>
      </c>
      <c r="R4914" t="n">
        <v>451.28</v>
      </c>
      <c r="S4914" t="n">
        <v>214.3</v>
      </c>
      <c r="T4914" t="n">
        <v>30</v>
      </c>
      <c r="U4914" t="n">
        <v>2069.09</v>
      </c>
      <c r="X4914" t="inlineStr">
        <is>
          <t>acoa-apeca</t>
        </is>
      </c>
      <c r="Y4914" t="inlineStr">
        <is>
          <t>Atlantic Canada Opportunities Agency | Agence de promotion économique du Canada atlantique</t>
        </is>
      </c>
      <c r="Z4914" t="n">
        <v>3</v>
      </c>
      <c r="AA4914" t="n">
        <v>2069.09</v>
      </c>
      <c r="AB4914">
        <f>ROUND(U4914-AA4914,2)</f>
        <v/>
      </c>
      <c r="AC4914" t="b">
        <v>0</v>
      </c>
      <c r="AD4914">
        <f>IF(U4914="","MISSING_TOTAL",IF(ABS(AB4914)&lt;=0.01,"OK","CHECK"))</f>
        <v/>
      </c>
      <c r="AE4914">
        <f>IF(U4914="","MISSING",IF(AND(AA4914&gt;0,U4914/AA4914&gt;50),"POSSIBLE_SCALE_ERROR","OK"))</f>
        <v/>
      </c>
    </row>
    <row r="4915">
      <c r="A4915" t="inlineStr">
        <is>
          <t>T-2020-Q4-00003</t>
        </is>
      </c>
      <c r="B4915" t="inlineStr">
        <is>
          <t>SLE</t>
        </is>
      </c>
      <c r="C4915" t="inlineStr">
        <is>
          <t>Vice-President, Prince Edward Island</t>
        </is>
      </c>
      <c r="D4915" t="inlineStr">
        <is>
          <t>Vice-président, Île-du-Prince-Édouard</t>
        </is>
      </c>
      <c r="E4915" t="inlineStr">
        <is>
          <t>Patrick Dorsey</t>
        </is>
      </c>
      <c r="F4915" t="inlineStr">
        <is>
          <t>Meetings with federal government officials</t>
        </is>
      </c>
      <c r="G4915" t="inlineStr">
        <is>
          <t>Réunions avec des fonctionnaires fédéraux</t>
        </is>
      </c>
      <c r="H4915" s="1" t="n">
        <v>43801</v>
      </c>
      <c r="I4915" s="1" t="n">
        <v>43803</v>
      </c>
      <c r="J4915" t="inlineStr">
        <is>
          <t>Halifax, Nova Scotia</t>
        </is>
      </c>
      <c r="K4915" t="inlineStr">
        <is>
          <t>Halifax (Nouvelle-Écosse)</t>
        </is>
      </c>
      <c r="P4915" t="n">
        <v>0</v>
      </c>
      <c r="Q4915" t="n">
        <v>396.79</v>
      </c>
      <c r="R4915" t="n">
        <v>344.86</v>
      </c>
      <c r="S4915" t="n">
        <v>214.3</v>
      </c>
      <c r="T4915" t="n">
        <v>57.5</v>
      </c>
      <c r="U4915" t="n">
        <v>1013.45</v>
      </c>
      <c r="X4915" t="inlineStr">
        <is>
          <t>acoa-apeca</t>
        </is>
      </c>
      <c r="Y4915" t="inlineStr">
        <is>
          <t>Atlantic Canada Opportunities Agency | Agence de promotion économique du Canada atlantique</t>
        </is>
      </c>
      <c r="Z4915" t="n">
        <v>3</v>
      </c>
      <c r="AA4915" t="n">
        <v>1013.45</v>
      </c>
      <c r="AB4915">
        <f>ROUND(U4915-AA4915,2)</f>
        <v/>
      </c>
      <c r="AC4915" t="b">
        <v>0</v>
      </c>
      <c r="AD4915">
        <f>IF(U4915="","MISSING_TOTAL",IF(ABS(AB4915)&lt;=0.01,"OK","CHECK"))</f>
        <v/>
      </c>
      <c r="AE4915">
        <f>IF(U4915="","MISSING",IF(AND(AA4915&gt;0,U4915/AA4915&gt;50),"POSSIBLE_SCALE_ERROR","OK"))</f>
        <v/>
      </c>
    </row>
    <row r="4916">
      <c r="A4916" t="inlineStr">
        <is>
          <t>T-2020-Q3-00067</t>
        </is>
      </c>
      <c r="B4916" t="inlineStr">
        <is>
          <t>SLE</t>
        </is>
      </c>
      <c r="C4916" t="inlineStr">
        <is>
          <t>Vice-President, Prince Edward Island</t>
        </is>
      </c>
      <c r="D4916" t="inlineStr">
        <is>
          <t>Vice-président, Île-du-Prince-Édouard</t>
        </is>
      </c>
      <c r="E4916" t="inlineStr">
        <is>
          <t>Patrick Dorsey</t>
        </is>
      </c>
      <c r="F4916" t="inlineStr">
        <is>
          <t>Meetings with Agency officials</t>
        </is>
      </c>
      <c r="G4916" t="inlineStr">
        <is>
          <t>Réunions avec des fonctionnaires de l'Agence</t>
        </is>
      </c>
      <c r="H4916" s="1" t="n">
        <v>43797</v>
      </c>
      <c r="I4916" s="1" t="n">
        <v>43798</v>
      </c>
      <c r="J4916" t="inlineStr">
        <is>
          <t>Halifax, Nova Scotia</t>
        </is>
      </c>
      <c r="K4916" t="inlineStr">
        <is>
          <t>Halifax (Nouvelle-Écosse)</t>
        </is>
      </c>
      <c r="P4916" t="n">
        <v>1028.76</v>
      </c>
      <c r="Q4916" t="n">
        <v>233.07</v>
      </c>
      <c r="R4916" t="n">
        <v>171.26</v>
      </c>
      <c r="S4916" t="n">
        <v>146.7</v>
      </c>
      <c r="T4916" t="n">
        <v>132.36</v>
      </c>
      <c r="U4916" t="n">
        <v>1712.15</v>
      </c>
      <c r="X4916" t="inlineStr">
        <is>
          <t>acoa-apeca</t>
        </is>
      </c>
      <c r="Y4916" t="inlineStr">
        <is>
          <t>Atlantic Canada Opportunities Agency | Agence de promotion économique du Canada atlantique</t>
        </is>
      </c>
      <c r="Z4916" t="n">
        <v>2</v>
      </c>
      <c r="AA4916" t="n">
        <v>1712.15</v>
      </c>
      <c r="AB4916">
        <f>ROUND(U4916-AA4916,2)</f>
        <v/>
      </c>
      <c r="AC4916" t="b">
        <v>0</v>
      </c>
      <c r="AD4916">
        <f>IF(U4916="","MISSING_TOTAL",IF(ABS(AB4916)&lt;=0.01,"OK","CHECK"))</f>
        <v/>
      </c>
      <c r="AE4916">
        <f>IF(U4916="","MISSING",IF(AND(AA4916&gt;0,U4916/AA4916&gt;50),"POSSIBLE_SCALE_ERROR","OK"))</f>
        <v/>
      </c>
    </row>
    <row r="4917">
      <c r="A4917" t="inlineStr">
        <is>
          <t>T-2020-Q4-00008</t>
        </is>
      </c>
      <c r="B4917" t="inlineStr">
        <is>
          <t>SLE</t>
        </is>
      </c>
      <c r="C4917" t="inlineStr">
        <is>
          <t>Vice-President, Nova Scotia</t>
        </is>
      </c>
      <c r="D4917" t="inlineStr">
        <is>
          <t>Vice-président, Nouvelle-Écosse</t>
        </is>
      </c>
      <c r="E4917" t="inlineStr">
        <is>
          <t>Chuck Maillet</t>
        </is>
      </c>
      <c r="F4917" t="inlineStr">
        <is>
          <t>Various meetings with Agency officials and stakeholders</t>
        </is>
      </c>
      <c r="G4917" t="inlineStr">
        <is>
          <t>Diverses réunions avec des fonctionnaires de l'Agence et des intervenants</t>
        </is>
      </c>
      <c r="H4917" s="1" t="n">
        <v>43817</v>
      </c>
      <c r="I4917" s="1" t="n">
        <v>43818</v>
      </c>
      <c r="J4917" t="inlineStr">
        <is>
          <t>Sydney, Nova Scotia</t>
        </is>
      </c>
      <c r="K4917" t="inlineStr">
        <is>
          <t>Sydney (Nouvelle-Écosse)</t>
        </is>
      </c>
      <c r="P4917" t="n">
        <v>501.69</v>
      </c>
      <c r="Q4917" t="n">
        <v>0</v>
      </c>
      <c r="R4917" t="n">
        <v>146.63</v>
      </c>
      <c r="S4917" t="n">
        <v>217.6</v>
      </c>
      <c r="T4917" t="n">
        <v>0</v>
      </c>
      <c r="U4917" t="n">
        <v>865.92</v>
      </c>
      <c r="X4917" t="inlineStr">
        <is>
          <t>acoa-apeca</t>
        </is>
      </c>
      <c r="Y4917" t="inlineStr">
        <is>
          <t>Atlantic Canada Opportunities Agency | Agence de promotion économique du Canada atlantique</t>
        </is>
      </c>
      <c r="Z4917" t="n">
        <v>2</v>
      </c>
      <c r="AA4917" t="n">
        <v>865.92</v>
      </c>
      <c r="AB4917">
        <f>ROUND(U4917-AA4917,2)</f>
        <v/>
      </c>
      <c r="AC4917" t="b">
        <v>0</v>
      </c>
      <c r="AD4917">
        <f>IF(U4917="","MISSING_TOTAL",IF(ABS(AB4917)&lt;=0.01,"OK","CHECK"))</f>
        <v/>
      </c>
      <c r="AE4917">
        <f>IF(U4917="","MISSING",IF(AND(AA4917&gt;0,U4917/AA4917&gt;50),"POSSIBLE_SCALE_ERROR","OK"))</f>
        <v/>
      </c>
    </row>
    <row r="4918">
      <c r="A4918" t="inlineStr">
        <is>
          <t>T-2020-Q4-00005</t>
        </is>
      </c>
      <c r="B4918" t="inlineStr">
        <is>
          <t>SLE</t>
        </is>
      </c>
      <c r="C4918" t="inlineStr">
        <is>
          <t>President</t>
        </is>
      </c>
      <c r="D4918" t="inlineStr">
        <is>
          <t>Président</t>
        </is>
      </c>
      <c r="E4918" t="inlineStr">
        <is>
          <t>Francis McGuire</t>
        </is>
      </c>
      <c r="F4918" t="inlineStr">
        <is>
          <t>Meetings with Government of Canada officials</t>
        </is>
      </c>
      <c r="G4918" t="inlineStr">
        <is>
          <t>Réunions avec des fonctionnaires fédéraux</t>
        </is>
      </c>
      <c r="H4918" s="1" t="n">
        <v>43809</v>
      </c>
      <c r="I4918" s="1" t="n">
        <v>43810</v>
      </c>
      <c r="J4918" t="inlineStr">
        <is>
          <t>Ottawa, Ontario</t>
        </is>
      </c>
      <c r="K4918" t="inlineStr">
        <is>
          <t>Ottawa (Ontario)</t>
        </is>
      </c>
      <c r="P4918" t="n">
        <v>720.0700000000001</v>
      </c>
      <c r="Q4918" t="n">
        <v>31.56</v>
      </c>
      <c r="R4918" t="n">
        <v>401.92</v>
      </c>
      <c r="S4918" t="n">
        <v>197.25</v>
      </c>
      <c r="T4918" t="n">
        <v>0</v>
      </c>
      <c r="U4918" t="n">
        <v>1350.8</v>
      </c>
      <c r="X4918" t="inlineStr">
        <is>
          <t>acoa-apeca</t>
        </is>
      </c>
      <c r="Y4918" t="inlineStr">
        <is>
          <t>Atlantic Canada Opportunities Agency | Agence de promotion économique du Canada atlantique</t>
        </is>
      </c>
      <c r="Z4918" t="n">
        <v>2</v>
      </c>
      <c r="AA4918" t="n">
        <v>1350.8</v>
      </c>
      <c r="AB4918">
        <f>ROUND(U4918-AA4918,2)</f>
        <v/>
      </c>
      <c r="AC4918" t="b">
        <v>0</v>
      </c>
      <c r="AD4918">
        <f>IF(U4918="","MISSING_TOTAL",IF(ABS(AB4918)&lt;=0.01,"OK","CHECK"))</f>
        <v/>
      </c>
      <c r="AE4918">
        <f>IF(U4918="","MISSING",IF(AND(AA4918&gt;0,U4918/AA4918&gt;50),"POSSIBLE_SCALE_ERROR","OK"))</f>
        <v/>
      </c>
    </row>
    <row r="4919">
      <c r="A4919" t="inlineStr">
        <is>
          <t>T-2020-Q4-00014</t>
        </is>
      </c>
      <c r="B4919" t="inlineStr">
        <is>
          <t>SLE</t>
        </is>
      </c>
      <c r="C4919" t="inlineStr">
        <is>
          <t>Vice-President, Policy, Programs and Communications</t>
        </is>
      </c>
      <c r="D4919" t="inlineStr">
        <is>
          <t>Vice-président, Politiques et Programmes</t>
        </is>
      </c>
      <c r="E4919" t="inlineStr">
        <is>
          <t>Daryell Nowlan</t>
        </is>
      </c>
      <c r="F4919" t="inlineStr">
        <is>
          <t>Meetings with Government of Canada officials</t>
        </is>
      </c>
      <c r="G4919" t="inlineStr">
        <is>
          <t>Réunions avec des fonctionnaires du gouvernement du Canada</t>
        </is>
      </c>
      <c r="H4919" s="1" t="n">
        <v>43843</v>
      </c>
      <c r="I4919" s="1" t="n">
        <v>43845</v>
      </c>
      <c r="J4919" t="inlineStr">
        <is>
          <t>Ottawa, Ontario</t>
        </is>
      </c>
      <c r="K4919" t="inlineStr">
        <is>
          <t>Ottawa (Ontario)</t>
        </is>
      </c>
      <c r="P4919" t="n">
        <v>726.8</v>
      </c>
      <c r="Q4919" t="n">
        <v>171.28</v>
      </c>
      <c r="R4919" t="n">
        <v>467.72</v>
      </c>
      <c r="S4919" t="n">
        <v>214.8</v>
      </c>
      <c r="T4919" t="n">
        <v>0</v>
      </c>
      <c r="U4919" t="n">
        <v>1580.6</v>
      </c>
      <c r="X4919" t="inlineStr">
        <is>
          <t>acoa-apeca</t>
        </is>
      </c>
      <c r="Y4919" t="inlineStr">
        <is>
          <t>Atlantic Canada Opportunities Agency | Agence de promotion économique du Canada atlantique</t>
        </is>
      </c>
      <c r="Z4919" t="n">
        <v>3</v>
      </c>
      <c r="AA4919" t="n">
        <v>1580.6</v>
      </c>
      <c r="AB4919">
        <f>ROUND(U4919-AA4919,2)</f>
        <v/>
      </c>
      <c r="AC4919" t="b">
        <v>0</v>
      </c>
      <c r="AD4919">
        <f>IF(U4919="","MISSING_TOTAL",IF(ABS(AB4919)&lt;=0.01,"OK","CHECK"))</f>
        <v/>
      </c>
      <c r="AE4919">
        <f>IF(U4919="","MISSING",IF(AND(AA4919&gt;0,U4919/AA4919&gt;50),"POSSIBLE_SCALE_ERROR","OK"))</f>
        <v/>
      </c>
    </row>
    <row r="4920">
      <c r="A4920" t="inlineStr">
        <is>
          <t>T-2020-Q4-00027</t>
        </is>
      </c>
      <c r="B4920" t="inlineStr">
        <is>
          <t>SLE</t>
        </is>
      </c>
      <c r="C4920" t="inlineStr">
        <is>
          <t>Vice-President, New Brunswick</t>
        </is>
      </c>
      <c r="D4920" t="inlineStr">
        <is>
          <t>Vice-président, Nouveau-Brunswick</t>
        </is>
      </c>
      <c r="E4920" t="inlineStr">
        <is>
          <t>Kent Estabrooks</t>
        </is>
      </c>
      <c r="F4920" t="inlineStr">
        <is>
          <t>Interview board member</t>
        </is>
      </c>
      <c r="G4920" t="inlineStr">
        <is>
          <t>Entrevue de sélection</t>
        </is>
      </c>
      <c r="H4920" s="1" t="n">
        <v>43838</v>
      </c>
      <c r="I4920" s="1" t="n">
        <v>43839</v>
      </c>
      <c r="J4920" t="inlineStr">
        <is>
          <t>Moncton, New Brunswick</t>
        </is>
      </c>
      <c r="K4920" t="inlineStr">
        <is>
          <t>Moncton (Nouveau-Brunswick)</t>
        </is>
      </c>
      <c r="P4920" t="n">
        <v>0</v>
      </c>
      <c r="Q4920" t="n">
        <v>0</v>
      </c>
      <c r="R4920" t="n">
        <v>333.28</v>
      </c>
      <c r="S4920" t="n">
        <v>244.75</v>
      </c>
      <c r="T4920" t="n">
        <v>0</v>
      </c>
      <c r="U4920" t="n">
        <v>578.03</v>
      </c>
      <c r="X4920" t="inlineStr">
        <is>
          <t>acoa-apeca</t>
        </is>
      </c>
      <c r="Y4920" t="inlineStr">
        <is>
          <t>Atlantic Canada Opportunities Agency | Agence de promotion économique du Canada atlantique</t>
        </is>
      </c>
      <c r="Z4920" t="n">
        <v>2</v>
      </c>
      <c r="AA4920" t="n">
        <v>578.03</v>
      </c>
      <c r="AB4920">
        <f>ROUND(U4920-AA4920,2)</f>
        <v/>
      </c>
      <c r="AC4920" t="b">
        <v>0</v>
      </c>
      <c r="AD4920">
        <f>IF(U4920="","MISSING_TOTAL",IF(ABS(AB4920)&lt;=0.01,"OK","CHECK"))</f>
        <v/>
      </c>
      <c r="AE4920">
        <f>IF(U4920="","MISSING",IF(AND(AA4920&gt;0,U4920/AA4920&gt;50),"POSSIBLE_SCALE_ERROR","OK"))</f>
        <v/>
      </c>
    </row>
    <row r="4921">
      <c r="A4921" t="inlineStr">
        <is>
          <t>T-2020-Q4-00025</t>
        </is>
      </c>
      <c r="B4921" t="inlineStr">
        <is>
          <t>SLE</t>
        </is>
      </c>
      <c r="C4921" t="inlineStr">
        <is>
          <t>Vice-President, New Brunswick</t>
        </is>
      </c>
      <c r="D4921" t="inlineStr">
        <is>
          <t>Vice-président, Nouveau-Brunswick</t>
        </is>
      </c>
      <c r="E4921" t="inlineStr">
        <is>
          <t>Kent Estabrooks</t>
        </is>
      </c>
      <c r="F4921" t="inlineStr">
        <is>
          <t>Stakeholder engagement, interview board member, and meetings with various federal officials</t>
        </is>
      </c>
      <c r="G4921" t="inlineStr">
        <is>
          <t>Réunion avec un intervenant, entrevue de sélection et réunions avec divers fonctionnaires fédéraux</t>
        </is>
      </c>
      <c r="H4921" s="1" t="n">
        <v>43844</v>
      </c>
      <c r="I4921" s="1" t="n">
        <v>43846</v>
      </c>
      <c r="J4921" t="inlineStr">
        <is>
          <t>Halifax, Nova Scotia and Moncton, New Brunswick</t>
        </is>
      </c>
      <c r="K4921" t="inlineStr">
        <is>
          <t>Halifax (Nouvelle-Écosse) et Moncton (Nouveau-Brunswick)</t>
        </is>
      </c>
      <c r="P4921" t="n">
        <v>0</v>
      </c>
      <c r="Q4921" t="n">
        <v>0</v>
      </c>
      <c r="R4921" t="n">
        <v>303.84</v>
      </c>
      <c r="S4921" t="n">
        <v>265.1</v>
      </c>
      <c r="T4921" t="n">
        <v>36</v>
      </c>
      <c r="U4921" t="n">
        <v>604.9400000000001</v>
      </c>
      <c r="X4921" t="inlineStr">
        <is>
          <t>acoa-apeca</t>
        </is>
      </c>
      <c r="Y4921" t="inlineStr">
        <is>
          <t>Atlantic Canada Opportunities Agency | Agence de promotion économique du Canada atlantique</t>
        </is>
      </c>
      <c r="Z4921" t="n">
        <v>3</v>
      </c>
      <c r="AA4921" t="n">
        <v>604.9400000000001</v>
      </c>
      <c r="AB4921">
        <f>ROUND(U4921-AA4921,2)</f>
        <v/>
      </c>
      <c r="AC4921" t="b">
        <v>0</v>
      </c>
      <c r="AD4921">
        <f>IF(U4921="","MISSING_TOTAL",IF(ABS(AB4921)&lt;=0.01,"OK","CHECK"))</f>
        <v/>
      </c>
      <c r="AE4921">
        <f>IF(U4921="","MISSING",IF(AND(AA4921&gt;0,U4921/AA4921&gt;50),"POSSIBLE_SCALE_ERROR","OK"))</f>
        <v/>
      </c>
    </row>
    <row r="4922">
      <c r="A4922" t="inlineStr">
        <is>
          <t>T-2020-Q4-00024</t>
        </is>
      </c>
      <c r="B4922" t="inlineStr">
        <is>
          <t>SLE</t>
        </is>
      </c>
      <c r="C4922" t="inlineStr">
        <is>
          <t>Vice-President, New Brunswick</t>
        </is>
      </c>
      <c r="D4922" t="inlineStr">
        <is>
          <t>Vice-président, Nouveau-Brunswick</t>
        </is>
      </c>
      <c r="E4922" t="inlineStr">
        <is>
          <t>Kent Estabrooks</t>
        </is>
      </c>
      <c r="F4922" t="inlineStr">
        <is>
          <t>Meeting with various federal officials</t>
        </is>
      </c>
      <c r="G4922" t="inlineStr">
        <is>
          <t>Réunion avec divers fonctionnaires fédéraux</t>
        </is>
      </c>
      <c r="H4922" s="1" t="n">
        <v>43850</v>
      </c>
      <c r="I4922" s="1" t="n">
        <v>43851</v>
      </c>
      <c r="J4922" t="inlineStr">
        <is>
          <t>Ottawa, Ontario</t>
        </is>
      </c>
      <c r="K4922" t="inlineStr">
        <is>
          <t>Ottawa (Ontario)</t>
        </is>
      </c>
      <c r="P4922" t="n">
        <v>726.8</v>
      </c>
      <c r="Q4922" t="n">
        <v>93</v>
      </c>
      <c r="R4922" t="n">
        <v>233.86</v>
      </c>
      <c r="S4922" t="n">
        <v>176.9</v>
      </c>
      <c r="T4922" t="n">
        <v>0</v>
      </c>
      <c r="U4922" t="n">
        <v>1230.56</v>
      </c>
      <c r="X4922" t="inlineStr">
        <is>
          <t>acoa-apeca</t>
        </is>
      </c>
      <c r="Y4922" t="inlineStr">
        <is>
          <t>Atlantic Canada Opportunities Agency | Agence de promotion économique du Canada atlantique</t>
        </is>
      </c>
      <c r="Z4922" t="n">
        <v>2</v>
      </c>
      <c r="AA4922" t="n">
        <v>1230.56</v>
      </c>
      <c r="AB4922">
        <f>ROUND(U4922-AA4922,2)</f>
        <v/>
      </c>
      <c r="AC4922" t="b">
        <v>0</v>
      </c>
      <c r="AD4922">
        <f>IF(U4922="","MISSING_TOTAL",IF(ABS(AB4922)&lt;=0.01,"OK","CHECK"))</f>
        <v/>
      </c>
      <c r="AE4922">
        <f>IF(U4922="","MISSING",IF(AND(AA4922&gt;0,U4922/AA4922&gt;50),"POSSIBLE_SCALE_ERROR","OK"))</f>
        <v/>
      </c>
    </row>
    <row r="4923">
      <c r="A4923" t="inlineStr">
        <is>
          <t>T-2020-Q4-00022</t>
        </is>
      </c>
      <c r="B4923" t="inlineStr">
        <is>
          <t>SLE</t>
        </is>
      </c>
      <c r="C4923" t="inlineStr">
        <is>
          <t>Vice-President, Prince Edward Island</t>
        </is>
      </c>
      <c r="D4923" t="inlineStr">
        <is>
          <t>Vice-président, Île-du-Prince-Édouard</t>
        </is>
      </c>
      <c r="E4923" t="inlineStr">
        <is>
          <t>Patrick Dorsey</t>
        </is>
      </c>
      <c r="F4923" t="inlineStr">
        <is>
          <t>Meeting with federal government officials</t>
        </is>
      </c>
      <c r="G4923" t="inlineStr">
        <is>
          <t>Réunion avec des fonctionnaires fédéraux</t>
        </is>
      </c>
      <c r="H4923" s="1" t="n">
        <v>43845</v>
      </c>
      <c r="I4923" s="1" t="n">
        <v>43846</v>
      </c>
      <c r="J4923" t="inlineStr">
        <is>
          <t>Moncton, New Brunswick</t>
        </is>
      </c>
      <c r="K4923" t="inlineStr">
        <is>
          <t>Moncton (Nouveau-Brunswick)</t>
        </is>
      </c>
      <c r="P4923" t="n">
        <v>0</v>
      </c>
      <c r="Q4923" t="n">
        <v>0</v>
      </c>
      <c r="R4923" t="n">
        <v>165.45</v>
      </c>
      <c r="S4923" t="n">
        <v>156.3</v>
      </c>
      <c r="T4923" t="n">
        <v>18.4</v>
      </c>
      <c r="U4923" t="n">
        <v>340.15</v>
      </c>
      <c r="X4923" t="inlineStr">
        <is>
          <t>acoa-apeca</t>
        </is>
      </c>
      <c r="Y4923" t="inlineStr">
        <is>
          <t>Atlantic Canada Opportunities Agency | Agence de promotion économique du Canada atlantique</t>
        </is>
      </c>
      <c r="Z4923" t="n">
        <v>2</v>
      </c>
      <c r="AA4923" t="n">
        <v>340.15</v>
      </c>
      <c r="AB4923">
        <f>ROUND(U4923-AA4923,2)</f>
        <v/>
      </c>
      <c r="AC4923" t="b">
        <v>0</v>
      </c>
      <c r="AD4923">
        <f>IF(U4923="","MISSING_TOTAL",IF(ABS(AB4923)&lt;=0.01,"OK","CHECK"))</f>
        <v/>
      </c>
      <c r="AE4923">
        <f>IF(U4923="","MISSING",IF(AND(AA4923&gt;0,U4923/AA4923&gt;50),"POSSIBLE_SCALE_ERROR","OK"))</f>
        <v/>
      </c>
    </row>
    <row r="4924">
      <c r="A4924" t="inlineStr">
        <is>
          <t>T-2020-Q4-00012</t>
        </is>
      </c>
      <c r="B4924" t="inlineStr">
        <is>
          <t>SLE</t>
        </is>
      </c>
      <c r="C4924" t="inlineStr">
        <is>
          <t>Vice-President, Prince Edward Island</t>
        </is>
      </c>
      <c r="D4924" t="inlineStr">
        <is>
          <t>Vice-président, Île-du-Prince-Édouard</t>
        </is>
      </c>
      <c r="E4924" t="inlineStr">
        <is>
          <t>Patrick Dorsey</t>
        </is>
      </c>
      <c r="F4924" t="inlineStr">
        <is>
          <t>Meeting with federal government official</t>
        </is>
      </c>
      <c r="G4924" t="inlineStr">
        <is>
          <t>Réunion avec un fonctionnaire du gouvernement fédéral</t>
        </is>
      </c>
      <c r="H4924" s="1" t="n">
        <v>43839</v>
      </c>
      <c r="I4924" s="1" t="n">
        <v>43839</v>
      </c>
      <c r="J4924" t="inlineStr">
        <is>
          <t>Summerside, Prince Edward Island</t>
        </is>
      </c>
      <c r="K4924" t="inlineStr">
        <is>
          <t>Summerside (Île-du-Prince-Édouard)</t>
        </is>
      </c>
      <c r="P4924" t="n">
        <v>0</v>
      </c>
      <c r="Q4924" t="n">
        <v>0</v>
      </c>
      <c r="R4924" t="n">
        <v>0</v>
      </c>
      <c r="S4924" t="n">
        <v>20.6</v>
      </c>
      <c r="T4924" t="n">
        <v>0</v>
      </c>
      <c r="U4924" t="n">
        <v>20.6</v>
      </c>
      <c r="X4924" t="inlineStr">
        <is>
          <t>acoa-apeca</t>
        </is>
      </c>
      <c r="Y4924" t="inlineStr">
        <is>
          <t>Atlantic Canada Opportunities Agency | Agence de promotion économique du Canada atlantique</t>
        </is>
      </c>
      <c r="Z4924" t="n">
        <v>1</v>
      </c>
      <c r="AA4924" t="n">
        <v>20.6</v>
      </c>
      <c r="AB4924">
        <f>ROUND(U4924-AA4924,2)</f>
        <v/>
      </c>
      <c r="AC4924" t="b">
        <v>0</v>
      </c>
      <c r="AD4924">
        <f>IF(U4924="","MISSING_TOTAL",IF(ABS(AB4924)&lt;=0.01,"OK","CHECK"))</f>
        <v/>
      </c>
      <c r="AE4924">
        <f>IF(U4924="","MISSING",IF(AND(AA4924&gt;0,U4924/AA4924&gt;50),"POSSIBLE_SCALE_ERROR","OK"))</f>
        <v/>
      </c>
    </row>
    <row r="4925">
      <c r="A4925" t="inlineStr">
        <is>
          <t>T-2020-Q4-00011</t>
        </is>
      </c>
      <c r="B4925" t="inlineStr">
        <is>
          <t>SLE</t>
        </is>
      </c>
      <c r="C4925" t="inlineStr">
        <is>
          <t>Vice-President, Prince Edward Island</t>
        </is>
      </c>
      <c r="D4925" t="inlineStr">
        <is>
          <t>Vice-président, Île-du-Prince-Édouard</t>
        </is>
      </c>
      <c r="E4925" t="inlineStr">
        <is>
          <t>Patrick Dorsey</t>
        </is>
      </c>
      <c r="F4925" t="inlineStr">
        <is>
          <t>Meeting with Government of Canada officials and key stakeholders</t>
        </is>
      </c>
      <c r="G4925" t="inlineStr">
        <is>
          <t>Réunion avec des fonctionnaires du gouvernement du Canada et des intervenants clés</t>
        </is>
      </c>
      <c r="H4925" s="1" t="n">
        <v>43841</v>
      </c>
      <c r="I4925" s="1" t="n">
        <v>43841</v>
      </c>
      <c r="J4925" t="inlineStr">
        <is>
          <t>Morell, Prince Edward Island</t>
        </is>
      </c>
      <c r="K4925" t="inlineStr">
        <is>
          <t>Morell (Île-du-Prince-Édouard)</t>
        </is>
      </c>
      <c r="P4925" t="n">
        <v>0</v>
      </c>
      <c r="Q4925" t="n">
        <v>0</v>
      </c>
      <c r="R4925" t="n">
        <v>0</v>
      </c>
      <c r="S4925" t="n">
        <v>71.15000000000001</v>
      </c>
      <c r="T4925" t="n">
        <v>0</v>
      </c>
      <c r="U4925" t="n">
        <v>71.15000000000001</v>
      </c>
      <c r="X4925" t="inlineStr">
        <is>
          <t>acoa-apeca</t>
        </is>
      </c>
      <c r="Y4925" t="inlineStr">
        <is>
          <t>Atlantic Canada Opportunities Agency | Agence de promotion économique du Canada atlantique</t>
        </is>
      </c>
      <c r="Z4925" t="n">
        <v>1</v>
      </c>
      <c r="AA4925" t="n">
        <v>71.15000000000001</v>
      </c>
      <c r="AB4925">
        <f>ROUND(U4925-AA4925,2)</f>
        <v/>
      </c>
      <c r="AC4925" t="b">
        <v>0</v>
      </c>
      <c r="AD4925">
        <f>IF(U4925="","MISSING_TOTAL",IF(ABS(AB4925)&lt;=0.01,"OK","CHECK"))</f>
        <v/>
      </c>
      <c r="AE4925">
        <f>IF(U4925="","MISSING",IF(AND(AA4925&gt;0,U4925/AA4925&gt;50),"POSSIBLE_SCALE_ERROR","OK"))</f>
        <v/>
      </c>
    </row>
    <row r="4926">
      <c r="A4926" t="inlineStr">
        <is>
          <t>T-2020-Q4-00015</t>
        </is>
      </c>
      <c r="B4926" t="inlineStr">
        <is>
          <t>SLE</t>
        </is>
      </c>
      <c r="C4926" t="inlineStr">
        <is>
          <t>Vice-President, Newfoundland and Labrador</t>
        </is>
      </c>
      <c r="D4926" t="inlineStr">
        <is>
          <t>Vice-président, Terre-Neuve-et-Labrador</t>
        </is>
      </c>
      <c r="E4926" t="inlineStr">
        <is>
          <t>Karen Skinner</t>
        </is>
      </c>
      <c r="F4926" t="inlineStr">
        <is>
          <t>Attend Executive Committee meeting in Moncton</t>
        </is>
      </c>
      <c r="G4926" t="inlineStr">
        <is>
          <t>Assister à une réunion du Comité de direction à Moncton</t>
        </is>
      </c>
      <c r="H4926" s="1" t="n">
        <v>43845</v>
      </c>
      <c r="I4926" s="1" t="n">
        <v>43846</v>
      </c>
      <c r="J4926" t="inlineStr">
        <is>
          <t>Moncton, New Brunswick</t>
        </is>
      </c>
      <c r="K4926" t="inlineStr">
        <is>
          <t>Moncton (Nouveau-Brunswick)</t>
        </is>
      </c>
      <c r="P4926" t="n">
        <v>1105.72</v>
      </c>
      <c r="Q4926" t="n">
        <v>93.68000000000001</v>
      </c>
      <c r="R4926" t="n">
        <v>165.45</v>
      </c>
      <c r="S4926" t="n">
        <v>105.75</v>
      </c>
      <c r="T4926" t="n">
        <v>0</v>
      </c>
      <c r="U4926" t="n">
        <v>1470.6</v>
      </c>
      <c r="X4926" t="inlineStr">
        <is>
          <t>acoa-apeca</t>
        </is>
      </c>
      <c r="Y4926" t="inlineStr">
        <is>
          <t>Atlantic Canada Opportunities Agency | Agence de promotion économique du Canada atlantique</t>
        </is>
      </c>
      <c r="Z4926" t="n">
        <v>2</v>
      </c>
      <c r="AA4926" t="n">
        <v>1470.6</v>
      </c>
      <c r="AB4926">
        <f>ROUND(U4926-AA4926,2)</f>
        <v/>
      </c>
      <c r="AC4926" t="b">
        <v>0</v>
      </c>
      <c r="AD4926">
        <f>IF(U4926="","MISSING_TOTAL",IF(ABS(AB4926)&lt;=0.01,"OK","CHECK"))</f>
        <v/>
      </c>
      <c r="AE4926">
        <f>IF(U4926="","MISSING",IF(AND(AA4926&gt;0,U4926/AA4926&gt;50),"POSSIBLE_SCALE_ERROR","OK"))</f>
        <v/>
      </c>
    </row>
    <row r="4927">
      <c r="A4927" t="inlineStr">
        <is>
          <t>T-2020-Q4-00018</t>
        </is>
      </c>
      <c r="B4927" t="inlineStr">
        <is>
          <t>SLE</t>
        </is>
      </c>
      <c r="C4927" t="inlineStr">
        <is>
          <t>Vice-President, Nova Scotia</t>
        </is>
      </c>
      <c r="D4927" t="inlineStr">
        <is>
          <t>Vice-président, Nouvelle-Écosse</t>
        </is>
      </c>
      <c r="E4927" t="inlineStr">
        <is>
          <t>Chuck Maillet</t>
        </is>
      </c>
      <c r="F4927" t="inlineStr">
        <is>
          <t>Attend ADM Executive Leadership Development Program</t>
        </is>
      </c>
      <c r="G4927" t="inlineStr">
        <is>
          <t>Participer au Programme de développement en leadership pour les cadres supérieurs SMA</t>
        </is>
      </c>
      <c r="H4927" s="1" t="n">
        <v>43857</v>
      </c>
      <c r="I4927" s="1" t="n">
        <v>43860</v>
      </c>
      <c r="J4927" t="inlineStr">
        <is>
          <t>Ottawa, Ontario</t>
        </is>
      </c>
      <c r="K4927" t="inlineStr">
        <is>
          <t>Ottawa (Ontario)</t>
        </is>
      </c>
      <c r="P4927" t="n">
        <v>444.88</v>
      </c>
      <c r="Q4927" t="n">
        <v>111.73</v>
      </c>
      <c r="R4927" t="n">
        <v>701.58</v>
      </c>
      <c r="S4927" t="n">
        <v>353.05</v>
      </c>
      <c r="T4927" t="n">
        <v>0</v>
      </c>
      <c r="U4927" t="n">
        <v>1611.24</v>
      </c>
      <c r="X4927" t="inlineStr">
        <is>
          <t>acoa-apeca</t>
        </is>
      </c>
      <c r="Y4927" t="inlineStr">
        <is>
          <t>Atlantic Canada Opportunities Agency | Agence de promotion économique du Canada atlantique</t>
        </is>
      </c>
      <c r="Z4927" t="n">
        <v>4</v>
      </c>
      <c r="AA4927" t="n">
        <v>1611.24</v>
      </c>
      <c r="AB4927">
        <f>ROUND(U4927-AA4927,2)</f>
        <v/>
      </c>
      <c r="AC4927" t="b">
        <v>0</v>
      </c>
      <c r="AD4927">
        <f>IF(U4927="","MISSING_TOTAL",IF(ABS(AB4927)&lt;=0.01,"OK","CHECK"))</f>
        <v/>
      </c>
      <c r="AE4927">
        <f>IF(U4927="","MISSING",IF(AND(AA4927&gt;0,U4927/AA4927&gt;50),"POSSIBLE_SCALE_ERROR","OK"))</f>
        <v/>
      </c>
    </row>
    <row r="4928">
      <c r="A4928" t="inlineStr">
        <is>
          <t>T-2020-Q4-00017</t>
        </is>
      </c>
      <c r="B4928" t="inlineStr">
        <is>
          <t>SLE</t>
        </is>
      </c>
      <c r="C4928" t="inlineStr">
        <is>
          <t>Vice-President, Nova Scotia</t>
        </is>
      </c>
      <c r="D4928" t="inlineStr">
        <is>
          <t>Vice-président, Nouvelle-Écosse</t>
        </is>
      </c>
      <c r="E4928" t="inlineStr">
        <is>
          <t>Chuck Maillet</t>
        </is>
      </c>
      <c r="F4928" t="inlineStr">
        <is>
          <t>Meeting with Agency and Government of Canada officials</t>
        </is>
      </c>
      <c r="G4928" t="inlineStr">
        <is>
          <t>Réunion avec des fonctionnaires de l'Agence et du gouvernement du Canada</t>
        </is>
      </c>
      <c r="H4928" s="1" t="n">
        <v>43852</v>
      </c>
      <c r="I4928" s="1" t="n">
        <v>43853</v>
      </c>
      <c r="J4928" t="inlineStr">
        <is>
          <t>Ottawa, Ontario</t>
        </is>
      </c>
      <c r="K4928" t="inlineStr">
        <is>
          <t>Ottawa (Ontario)</t>
        </is>
      </c>
      <c r="P4928" t="n">
        <v>456.38</v>
      </c>
      <c r="Q4928" t="n">
        <v>34.51</v>
      </c>
      <c r="R4928" t="n">
        <v>233.86</v>
      </c>
      <c r="S4928" t="n">
        <v>197.25</v>
      </c>
      <c r="T4928" t="n">
        <v>0</v>
      </c>
      <c r="U4928" t="n">
        <v>922</v>
      </c>
      <c r="X4928" t="inlineStr">
        <is>
          <t>acoa-apeca</t>
        </is>
      </c>
      <c r="Y4928" t="inlineStr">
        <is>
          <t>Atlantic Canada Opportunities Agency | Agence de promotion économique du Canada atlantique</t>
        </is>
      </c>
      <c r="Z4928" t="n">
        <v>2</v>
      </c>
      <c r="AA4928" t="n">
        <v>922</v>
      </c>
      <c r="AB4928">
        <f>ROUND(U4928-AA4928,2)</f>
        <v/>
      </c>
      <c r="AC4928" t="b">
        <v>0</v>
      </c>
      <c r="AD4928">
        <f>IF(U4928="","MISSING_TOTAL",IF(ABS(AB4928)&lt;=0.01,"OK","CHECK"))</f>
        <v/>
      </c>
      <c r="AE4928">
        <f>IF(U4928="","MISSING",IF(AND(AA4928&gt;0,U4928/AA4928&gt;50),"POSSIBLE_SCALE_ERROR","OK"))</f>
        <v/>
      </c>
    </row>
    <row r="4929">
      <c r="A4929" t="inlineStr">
        <is>
          <t>T-2020-Q4-00016</t>
        </is>
      </c>
      <c r="B4929" t="inlineStr">
        <is>
          <t>SLE</t>
        </is>
      </c>
      <c r="C4929" t="inlineStr">
        <is>
          <t>Vice-President, Nova Scotia</t>
        </is>
      </c>
      <c r="D4929" t="inlineStr">
        <is>
          <t>Vice-président, Nouvelle-Écosse</t>
        </is>
      </c>
      <c r="E4929" t="inlineStr">
        <is>
          <t>Chuck Maillet</t>
        </is>
      </c>
      <c r="F4929" t="inlineStr">
        <is>
          <t>Stakeholders meetings in Digby, Nova Scotia and meeting of senior Agency officials in Moncton, New Brunswick</t>
        </is>
      </c>
      <c r="G4929" t="inlineStr">
        <is>
          <t>Réunions avec des intervenants à Digby (Nouvelle-Écosse) et réunion avec de hauts fonctionnaires de l'Agence à Moncton (Nouveau-Brunswick)</t>
        </is>
      </c>
      <c r="H4929" s="1" t="n">
        <v>43844</v>
      </c>
      <c r="I4929" s="1" t="n">
        <v>43846</v>
      </c>
      <c r="J4929" t="inlineStr">
        <is>
          <t>Digby, Nova Scotia and Moncton, New Brunswick</t>
        </is>
      </c>
      <c r="K4929" t="inlineStr">
        <is>
          <t>Digby (Nouvelle-Écosse) et Moncton (Nouveau-Brunswick)</t>
        </is>
      </c>
      <c r="P4929" t="n">
        <v>0</v>
      </c>
      <c r="Q4929" t="n">
        <v>152</v>
      </c>
      <c r="R4929" t="n">
        <v>319.5</v>
      </c>
      <c r="S4929" t="n">
        <v>214.3</v>
      </c>
      <c r="T4929" t="n">
        <v>0</v>
      </c>
      <c r="U4929" t="n">
        <v>685.8</v>
      </c>
      <c r="X4929" t="inlineStr">
        <is>
          <t>acoa-apeca</t>
        </is>
      </c>
      <c r="Y4929" t="inlineStr">
        <is>
          <t>Atlantic Canada Opportunities Agency | Agence de promotion économique du Canada atlantique</t>
        </is>
      </c>
      <c r="Z4929" t="n">
        <v>3</v>
      </c>
      <c r="AA4929" t="n">
        <v>685.8</v>
      </c>
      <c r="AB4929">
        <f>ROUND(U4929-AA4929,2)</f>
        <v/>
      </c>
      <c r="AC4929" t="b">
        <v>0</v>
      </c>
      <c r="AD4929">
        <f>IF(U4929="","MISSING_TOTAL",IF(ABS(AB4929)&lt;=0.01,"OK","CHECK"))</f>
        <v/>
      </c>
      <c r="AE4929">
        <f>IF(U4929="","MISSING",IF(AND(AA4929&gt;0,U4929/AA4929&gt;50),"POSSIBLE_SCALE_ERROR","OK"))</f>
        <v/>
      </c>
    </row>
    <row r="4930">
      <c r="A4930" t="inlineStr">
        <is>
          <t>T-2020-Q4-00013</t>
        </is>
      </c>
      <c r="B4930" t="inlineStr">
        <is>
          <t>SLE</t>
        </is>
      </c>
      <c r="C4930" t="inlineStr">
        <is>
          <t>President</t>
        </is>
      </c>
      <c r="D4930" t="inlineStr">
        <is>
          <t>Président</t>
        </is>
      </c>
      <c r="E4930" t="inlineStr">
        <is>
          <t>Francis McGuire</t>
        </is>
      </c>
      <c r="F4930" t="inlineStr">
        <is>
          <t>Meetings with Government of Canada officials</t>
        </is>
      </c>
      <c r="G4930" t="inlineStr">
        <is>
          <t>Réunions avec des fonctionnaires du gouvernement du Canada</t>
        </is>
      </c>
      <c r="H4930" s="1" t="n">
        <v>43853</v>
      </c>
      <c r="I4930" s="1" t="n">
        <v>43854</v>
      </c>
      <c r="J4930" t="inlineStr">
        <is>
          <t>Ottawa, Ontario</t>
        </is>
      </c>
      <c r="K4930" t="inlineStr">
        <is>
          <t>Ottawa (Ontario)</t>
        </is>
      </c>
      <c r="P4930" t="n">
        <v>726.8</v>
      </c>
      <c r="Q4930" t="n">
        <v>97.7</v>
      </c>
      <c r="R4930" t="n">
        <v>210.36</v>
      </c>
      <c r="S4930" t="n">
        <v>156.05</v>
      </c>
      <c r="T4930" t="n">
        <v>24</v>
      </c>
      <c r="U4930" t="n">
        <v>1214.91</v>
      </c>
      <c r="X4930" t="inlineStr">
        <is>
          <t>acoa-apeca</t>
        </is>
      </c>
      <c r="Y4930" t="inlineStr">
        <is>
          <t>Atlantic Canada Opportunities Agency | Agence de promotion économique du Canada atlantique</t>
        </is>
      </c>
      <c r="Z4930" t="n">
        <v>2</v>
      </c>
      <c r="AA4930" t="n">
        <v>1214.91</v>
      </c>
      <c r="AB4930">
        <f>ROUND(U4930-AA4930,2)</f>
        <v/>
      </c>
      <c r="AC4930" t="b">
        <v>0</v>
      </c>
      <c r="AD4930">
        <f>IF(U4930="","MISSING_TOTAL",IF(ABS(AB4930)&lt;=0.01,"OK","CHECK"))</f>
        <v/>
      </c>
      <c r="AE4930">
        <f>IF(U4930="","MISSING",IF(AND(AA4930&gt;0,U4930/AA4930&gt;50),"POSSIBLE_SCALE_ERROR","OK"))</f>
        <v/>
      </c>
    </row>
    <row r="4931">
      <c r="A4931" t="inlineStr">
        <is>
          <t>T-2020-Q4-00010</t>
        </is>
      </c>
      <c r="B4931" t="inlineStr">
        <is>
          <t>SLE</t>
        </is>
      </c>
      <c r="C4931" t="inlineStr">
        <is>
          <t>President</t>
        </is>
      </c>
      <c r="D4931" t="inlineStr">
        <is>
          <t>Président</t>
        </is>
      </c>
      <c r="E4931" t="inlineStr">
        <is>
          <t>Francis McGuire</t>
        </is>
      </c>
      <c r="F4931" t="inlineStr">
        <is>
          <t>Meeting with Government of Canada officials</t>
        </is>
      </c>
      <c r="G4931" t="inlineStr">
        <is>
          <t>Réunion avec des fonctionnaires du gouvernement du Canada</t>
        </is>
      </c>
      <c r="H4931" s="1" t="n">
        <v>43843</v>
      </c>
      <c r="I4931" s="1" t="n">
        <v>43844</v>
      </c>
      <c r="J4931" t="inlineStr">
        <is>
          <t>Ottawa, Ontario</t>
        </is>
      </c>
      <c r="K4931" t="inlineStr">
        <is>
          <t>Ottawa (Ontario)</t>
        </is>
      </c>
      <c r="P4931" t="n">
        <v>726.8</v>
      </c>
      <c r="Q4931" t="n">
        <v>67.7</v>
      </c>
      <c r="R4931" t="n">
        <v>205.66</v>
      </c>
      <c r="S4931" t="n">
        <v>176.65</v>
      </c>
      <c r="T4931" t="n">
        <v>0</v>
      </c>
      <c r="U4931" t="n">
        <v>1176.81</v>
      </c>
      <c r="X4931" t="inlineStr">
        <is>
          <t>acoa-apeca</t>
        </is>
      </c>
      <c r="Y4931" t="inlineStr">
        <is>
          <t>Atlantic Canada Opportunities Agency | Agence de promotion économique du Canada atlantique</t>
        </is>
      </c>
      <c r="Z4931" t="n">
        <v>2</v>
      </c>
      <c r="AA4931" t="n">
        <v>1176.81</v>
      </c>
      <c r="AB4931">
        <f>ROUND(U4931-AA4931,2)</f>
        <v/>
      </c>
      <c r="AC4931" t="b">
        <v>0</v>
      </c>
      <c r="AD4931">
        <f>IF(U4931="","MISSING_TOTAL",IF(ABS(AB4931)&lt;=0.01,"OK","CHECK"))</f>
        <v/>
      </c>
      <c r="AE4931">
        <f>IF(U4931="","MISSING",IF(AND(AA4931&gt;0,U4931/AA4931&gt;50),"POSSIBLE_SCALE_ERROR","OK"))</f>
        <v/>
      </c>
    </row>
    <row r="4932">
      <c r="A4932" t="inlineStr">
        <is>
          <t>T-2020-Q4-00009</t>
        </is>
      </c>
      <c r="B4932" t="inlineStr">
        <is>
          <t>SLE</t>
        </is>
      </c>
      <c r="C4932" t="inlineStr">
        <is>
          <t>President</t>
        </is>
      </c>
      <c r="D4932" t="inlineStr">
        <is>
          <t>Président</t>
        </is>
      </c>
      <c r="E4932" t="inlineStr">
        <is>
          <t>Francis McGuire</t>
        </is>
      </c>
      <c r="F4932" t="inlineStr">
        <is>
          <t>Meetings with Government of Canada officials and various key stakeholders</t>
        </is>
      </c>
      <c r="G4932" t="inlineStr">
        <is>
          <t>Réunions avec des fonctionnaires du gouvernement du Canada et des intervenants clés</t>
        </is>
      </c>
      <c r="H4932" s="1" t="n">
        <v>43846</v>
      </c>
      <c r="I4932" s="1" t="n">
        <v>43848</v>
      </c>
      <c r="J4932" t="inlineStr">
        <is>
          <t>Halifax, Nova Scotia</t>
        </is>
      </c>
      <c r="K4932" t="inlineStr">
        <is>
          <t>Halifax (Nouvelle-Écosse)</t>
        </is>
      </c>
      <c r="P4932" t="n">
        <v>363.4</v>
      </c>
      <c r="Q4932" t="n">
        <v>167.9</v>
      </c>
      <c r="R4932" t="n">
        <v>431.67</v>
      </c>
      <c r="S4932" t="n">
        <v>214.3</v>
      </c>
      <c r="T4932" t="n">
        <v>0</v>
      </c>
      <c r="U4932" t="n">
        <v>1177.27</v>
      </c>
      <c r="X4932" t="inlineStr">
        <is>
          <t>acoa-apeca</t>
        </is>
      </c>
      <c r="Y4932" t="inlineStr">
        <is>
          <t>Atlantic Canada Opportunities Agency | Agence de promotion économique du Canada atlantique</t>
        </is>
      </c>
      <c r="Z4932" t="n">
        <v>3</v>
      </c>
      <c r="AA4932" t="n">
        <v>1177.27</v>
      </c>
      <c r="AB4932">
        <f>ROUND(U4932-AA4932,2)</f>
        <v/>
      </c>
      <c r="AC4932" t="b">
        <v>0</v>
      </c>
      <c r="AD4932">
        <f>IF(U4932="","MISSING_TOTAL",IF(ABS(AB4932)&lt;=0.01,"OK","CHECK"))</f>
        <v/>
      </c>
      <c r="AE4932">
        <f>IF(U4932="","MISSING",IF(AND(AA4932&gt;0,U4932/AA4932&gt;50),"POSSIBLE_SCALE_ERROR","OK"))</f>
        <v/>
      </c>
    </row>
    <row r="4933">
      <c r="A4933" t="inlineStr">
        <is>
          <t>T-2020-Q4-00020</t>
        </is>
      </c>
      <c r="B4933" t="inlineStr">
        <is>
          <t>SLE</t>
        </is>
      </c>
      <c r="C4933" t="inlineStr">
        <is>
          <t>Senior Advisor (Energy)</t>
        </is>
      </c>
      <c r="D4933" t="inlineStr">
        <is>
          <t>Conseiller spécial (energie)</t>
        </is>
      </c>
      <c r="E4933" t="inlineStr">
        <is>
          <t>Andrew F. Noseworthy</t>
        </is>
      </c>
      <c r="F4933" t="inlineStr">
        <is>
          <t>Attend meeting of the Hull Challenge committee</t>
        </is>
      </c>
      <c r="G4933" t="inlineStr">
        <is>
          <t>Assister à une réunion du comité du Défi de l’efficacité de la conception des coques</t>
        </is>
      </c>
      <c r="H4933" s="1" t="n">
        <v>43858</v>
      </c>
      <c r="I4933" s="1" t="n">
        <v>43858</v>
      </c>
      <c r="J4933" t="inlineStr">
        <is>
          <t>Halifax, Nova Scotia</t>
        </is>
      </c>
      <c r="K4933" t="inlineStr">
        <is>
          <t>Halifax (Nouvelle-Écosse)</t>
        </is>
      </c>
      <c r="P4933" t="n">
        <v>689.13</v>
      </c>
      <c r="Q4933" t="n">
        <v>178</v>
      </c>
      <c r="R4933" t="n">
        <v>0</v>
      </c>
      <c r="S4933" t="n">
        <v>70.90000000000001</v>
      </c>
      <c r="T4933" t="n">
        <v>0</v>
      </c>
      <c r="U4933" t="n">
        <v>938.03</v>
      </c>
      <c r="X4933" t="inlineStr">
        <is>
          <t>acoa-apeca</t>
        </is>
      </c>
      <c r="Y4933" t="inlineStr">
        <is>
          <t>Atlantic Canada Opportunities Agency | Agence de promotion économique du Canada atlantique</t>
        </is>
      </c>
      <c r="Z4933" t="n">
        <v>1</v>
      </c>
      <c r="AA4933" t="n">
        <v>938.03</v>
      </c>
      <c r="AB4933">
        <f>ROUND(U4933-AA4933,2)</f>
        <v/>
      </c>
      <c r="AC4933" t="b">
        <v>0</v>
      </c>
      <c r="AD4933">
        <f>IF(U4933="","MISSING_TOTAL",IF(ABS(AB4933)&lt;=0.01,"OK","CHECK"))</f>
        <v/>
      </c>
      <c r="AE4933">
        <f>IF(U4933="","MISSING",IF(AND(AA4933&gt;0,U4933/AA4933&gt;50),"POSSIBLE_SCALE_ERROR","OK"))</f>
        <v/>
      </c>
    </row>
    <row r="4934">
      <c r="A4934" t="inlineStr">
        <is>
          <t>T-2020-Q4-00019</t>
        </is>
      </c>
      <c r="B4934" t="inlineStr">
        <is>
          <t>SLE</t>
        </is>
      </c>
      <c r="C4934" t="inlineStr">
        <is>
          <t>Senior Advisor (Energy)</t>
        </is>
      </c>
      <c r="D4934" t="inlineStr">
        <is>
          <t>Conseiller spécial (energie)</t>
        </is>
      </c>
      <c r="E4934" t="inlineStr">
        <is>
          <t>Andrew F. Noseworthy</t>
        </is>
      </c>
      <c r="F4934" t="inlineStr">
        <is>
          <t>Attend executive committee meeting</t>
        </is>
      </c>
      <c r="G4934" t="inlineStr">
        <is>
          <t>Assister à une réunion du Comité de direction</t>
        </is>
      </c>
      <c r="H4934" s="1" t="n">
        <v>43846</v>
      </c>
      <c r="I4934" s="1" t="n">
        <v>43846</v>
      </c>
      <c r="J4934" t="inlineStr">
        <is>
          <t>St. John's (Terre-Neuve-et-Labrador)</t>
        </is>
      </c>
      <c r="K4934" t="inlineStr">
        <is>
          <t>Moncton (Nouveau-Brunswick)</t>
        </is>
      </c>
      <c r="P4934" t="n">
        <v>1087.04</v>
      </c>
      <c r="Q4934" t="n">
        <v>401.92</v>
      </c>
      <c r="R4934" t="n">
        <v>0</v>
      </c>
      <c r="S4934" t="n">
        <v>70.90000000000001</v>
      </c>
      <c r="T4934" t="n">
        <v>0</v>
      </c>
      <c r="U4934" t="n">
        <v>1559.86</v>
      </c>
      <c r="X4934" t="inlineStr">
        <is>
          <t>acoa-apeca</t>
        </is>
      </c>
      <c r="Y4934" t="inlineStr">
        <is>
          <t>Atlantic Canada Opportunities Agency | Agence de promotion économique du Canada atlantique</t>
        </is>
      </c>
      <c r="Z4934" t="n">
        <v>1</v>
      </c>
      <c r="AA4934" t="n">
        <v>1559.86</v>
      </c>
      <c r="AB4934">
        <f>ROUND(U4934-AA4934,2)</f>
        <v/>
      </c>
      <c r="AC4934" t="b">
        <v>0</v>
      </c>
      <c r="AD4934">
        <f>IF(U4934="","MISSING_TOTAL",IF(ABS(AB4934)&lt;=0.01,"OK","CHECK"))</f>
        <v/>
      </c>
      <c r="AE4934">
        <f>IF(U4934="","MISSING",IF(AND(AA4934&gt;0,U4934/AA4934&gt;50),"POSSIBLE_SCALE_ERROR","OK"))</f>
        <v/>
      </c>
    </row>
    <row r="4935">
      <c r="A4935" t="inlineStr">
        <is>
          <t>T-2020-Q4-00001</t>
        </is>
      </c>
      <c r="B4935" t="inlineStr">
        <is>
          <t>SLE</t>
        </is>
      </c>
      <c r="C4935" t="inlineStr">
        <is>
          <t>Senior Advisor (Energy)</t>
        </is>
      </c>
      <c r="D4935" t="inlineStr">
        <is>
          <t>Conseiller spécial (energie)</t>
        </is>
      </c>
      <c r="E4935" t="inlineStr">
        <is>
          <t>Andrew F. Noseworthy</t>
        </is>
      </c>
      <c r="F4935" t="inlineStr">
        <is>
          <t>Attend Offshore Europe conference, Aberdeen and meetings with the High Commission in London</t>
        </is>
      </c>
      <c r="G4935" t="inlineStr">
        <is>
          <t>Assister à la conférence Offshore Europe à Aberdeen et à des réunions avec le Haut-commissariat à Londres</t>
        </is>
      </c>
      <c r="H4935" s="1" t="n">
        <v>43707</v>
      </c>
      <c r="I4935" s="1" t="n">
        <v>43722</v>
      </c>
      <c r="J4935" t="inlineStr">
        <is>
          <t>Aberdeen and London, United Kingdom</t>
        </is>
      </c>
      <c r="K4935" t="inlineStr">
        <is>
          <t>Aberdeen et Londres, Royaume-Uni</t>
        </is>
      </c>
      <c r="P4935" t="n">
        <v>4509.67</v>
      </c>
      <c r="Q4935" t="n">
        <v>568.12</v>
      </c>
      <c r="R4935" t="n">
        <v>2260.43</v>
      </c>
      <c r="S4935" t="n">
        <v>0</v>
      </c>
      <c r="T4935" t="n">
        <v>0</v>
      </c>
      <c r="U4935" t="n">
        <v>7338.22</v>
      </c>
      <c r="X4935" t="inlineStr">
        <is>
          <t>acoa-apeca</t>
        </is>
      </c>
      <c r="Y4935" t="inlineStr">
        <is>
          <t>Atlantic Canada Opportunities Agency | Agence de promotion économique du Canada atlantique</t>
        </is>
      </c>
      <c r="Z4935" t="n">
        <v>16</v>
      </c>
      <c r="AA4935" t="n">
        <v>7338.21999999999</v>
      </c>
      <c r="AB4935">
        <f>ROUND(U4935-AA4935,2)</f>
        <v/>
      </c>
      <c r="AC4935" t="b">
        <v>0</v>
      </c>
      <c r="AD4935">
        <f>IF(U4935="","MISSING_TOTAL",IF(ABS(AB4935)&lt;=0.01,"OK","CHECK"))</f>
        <v/>
      </c>
      <c r="AE4935">
        <f>IF(U4935="","MISSING",IF(AND(AA4935&gt;0,U4935/AA4935&gt;50),"POSSIBLE_SCALE_ERROR","OK"))</f>
        <v/>
      </c>
    </row>
    <row r="4936">
      <c r="A4936" t="inlineStr">
        <is>
          <t>T-2020-Q4-00032</t>
        </is>
      </c>
      <c r="B4936" t="inlineStr">
        <is>
          <t>SLE</t>
        </is>
      </c>
      <c r="C4936" t="inlineStr">
        <is>
          <t>Senior Advisor (Energy)</t>
        </is>
      </c>
      <c r="D4936" t="inlineStr">
        <is>
          <t>Conseiller spécial (energie)</t>
        </is>
      </c>
      <c r="E4936" t="inlineStr">
        <is>
          <t>Andrew F. Noseworthy</t>
        </is>
      </c>
      <c r="F4936" t="inlineStr">
        <is>
          <t>Attend cleantech meeting</t>
        </is>
      </c>
      <c r="G4936" t="inlineStr">
        <is>
          <t>Assister à une réunion sur les technologies propres</t>
        </is>
      </c>
      <c r="H4936" s="1" t="n">
        <v>43881</v>
      </c>
      <c r="I4936" s="1" t="n">
        <v>43884</v>
      </c>
      <c r="J4936" t="inlineStr">
        <is>
          <t>Halifax, Nova Scotia</t>
        </is>
      </c>
      <c r="K4936" t="inlineStr">
        <is>
          <t>Halifax (Nouvelle-Écosse)</t>
        </is>
      </c>
      <c r="P4936" t="n">
        <v>820.24</v>
      </c>
      <c r="Q4936" t="n">
        <v>150</v>
      </c>
      <c r="R4936" t="n">
        <v>170.09</v>
      </c>
      <c r="S4936" t="n">
        <v>108.8</v>
      </c>
      <c r="T4936" t="n">
        <v>32</v>
      </c>
      <c r="U4936" t="n">
        <v>1281.13</v>
      </c>
      <c r="X4936" t="inlineStr">
        <is>
          <t>acoa-apeca</t>
        </is>
      </c>
      <c r="Y4936" t="inlineStr">
        <is>
          <t>Atlantic Canada Opportunities Agency | Agence de promotion économique du Canada atlantique</t>
        </is>
      </c>
      <c r="Z4936" t="n">
        <v>4</v>
      </c>
      <c r="AA4936" t="n">
        <v>1281.12999999999</v>
      </c>
      <c r="AB4936">
        <f>ROUND(U4936-AA4936,2)</f>
        <v/>
      </c>
      <c r="AC4936" t="b">
        <v>0</v>
      </c>
      <c r="AD4936">
        <f>IF(U4936="","MISSING_TOTAL",IF(ABS(AB4936)&lt;=0.01,"OK","CHECK"))</f>
        <v/>
      </c>
      <c r="AE4936">
        <f>IF(U4936="","MISSING",IF(AND(AA4936&gt;0,U4936/AA4936&gt;50),"POSSIBLE_SCALE_ERROR","OK"))</f>
        <v/>
      </c>
    </row>
    <row r="4937">
      <c r="A4937" t="inlineStr">
        <is>
          <t>T-2020-Q4-00042</t>
        </is>
      </c>
      <c r="B4937" t="inlineStr">
        <is>
          <t>SLE</t>
        </is>
      </c>
      <c r="C4937" t="inlineStr">
        <is>
          <t>Vice-President, New Brunswick</t>
        </is>
      </c>
      <c r="D4937" t="inlineStr">
        <is>
          <t>Vice-président, Nouveau-Brunswick</t>
        </is>
      </c>
      <c r="E4937" t="inlineStr">
        <is>
          <t>Kent Estabrooks</t>
        </is>
      </c>
      <c r="F4937" t="inlineStr">
        <is>
          <t>Meetings with Government of Canada officials</t>
        </is>
      </c>
      <c r="G4937" t="inlineStr">
        <is>
          <t>Réunions avec des fonctionnaires du gouvernement du Canada</t>
        </is>
      </c>
      <c r="H4937" s="1" t="n">
        <v>43887</v>
      </c>
      <c r="I4937" s="1" t="n">
        <v>43889</v>
      </c>
      <c r="J4937" t="inlineStr">
        <is>
          <t>Ottawa and Toronto, Ontario</t>
        </is>
      </c>
      <c r="K4937" t="inlineStr">
        <is>
          <t>Ottawa et Toronto (Ontario)</t>
        </is>
      </c>
      <c r="P4937" t="n">
        <v>726.8</v>
      </c>
      <c r="Q4937" t="n">
        <v>184.64</v>
      </c>
      <c r="R4937" t="n">
        <v>423.08</v>
      </c>
      <c r="S4937" t="n">
        <v>285.7</v>
      </c>
      <c r="T4937" t="n">
        <v>65.34999999999999</v>
      </c>
      <c r="U4937" t="n">
        <v>1685.57</v>
      </c>
      <c r="X4937" t="inlineStr">
        <is>
          <t>acoa-apeca</t>
        </is>
      </c>
      <c r="Y4937" t="inlineStr">
        <is>
          <t>Atlantic Canada Opportunities Agency | Agence de promotion économique du Canada atlantique</t>
        </is>
      </c>
      <c r="Z4937" t="n">
        <v>3</v>
      </c>
      <c r="AA4937" t="n">
        <v>1685.57</v>
      </c>
      <c r="AB4937">
        <f>ROUND(U4937-AA4937,2)</f>
        <v/>
      </c>
      <c r="AC4937" t="b">
        <v>0</v>
      </c>
      <c r="AD4937">
        <f>IF(U4937="","MISSING_TOTAL",IF(ABS(AB4937)&lt;=0.01,"OK","CHECK"))</f>
        <v/>
      </c>
      <c r="AE4937">
        <f>IF(U4937="","MISSING",IF(AND(AA4937&gt;0,U4937/AA4937&gt;50),"POSSIBLE_SCALE_ERROR","OK"))</f>
        <v/>
      </c>
    </row>
    <row r="4938">
      <c r="A4938" t="inlineStr">
        <is>
          <t>T-2020-Q4-00039</t>
        </is>
      </c>
      <c r="B4938" t="inlineStr">
        <is>
          <t>SLE</t>
        </is>
      </c>
      <c r="C4938" t="inlineStr">
        <is>
          <t>Vice-President, New Brunswick</t>
        </is>
      </c>
      <c r="D4938" t="inlineStr">
        <is>
          <t>Vice-président, Nouveau-Brunswick</t>
        </is>
      </c>
      <c r="E4938" t="inlineStr">
        <is>
          <t>Kent Estabrooks</t>
        </is>
      </c>
      <c r="F4938" t="inlineStr">
        <is>
          <t>Training</t>
        </is>
      </c>
      <c r="G4938" t="inlineStr">
        <is>
          <t>Formation</t>
        </is>
      </c>
      <c r="H4938" s="1" t="n">
        <v>43870</v>
      </c>
      <c r="I4938" s="1" t="n">
        <v>43876</v>
      </c>
      <c r="J4938" t="inlineStr">
        <is>
          <t>Ottawa, Ontario</t>
        </is>
      </c>
      <c r="K4938" t="inlineStr">
        <is>
          <t>Ottawa (Ontario)</t>
        </is>
      </c>
      <c r="P4938" t="n">
        <v>726.8</v>
      </c>
      <c r="Q4938" t="n">
        <v>124.4</v>
      </c>
      <c r="R4938" t="n">
        <v>1403.16</v>
      </c>
      <c r="S4938" t="n">
        <v>548</v>
      </c>
      <c r="T4938" t="n">
        <v>0</v>
      </c>
      <c r="U4938" t="n">
        <v>2802.36</v>
      </c>
      <c r="X4938" t="inlineStr">
        <is>
          <t>acoa-apeca</t>
        </is>
      </c>
      <c r="Y4938" t="inlineStr">
        <is>
          <t>Atlantic Canada Opportunities Agency | Agence de promotion économique du Canada atlantique</t>
        </is>
      </c>
      <c r="Z4938" t="n">
        <v>7</v>
      </c>
      <c r="AA4938" t="n">
        <v>2802.36</v>
      </c>
      <c r="AB4938">
        <f>ROUND(U4938-AA4938,2)</f>
        <v/>
      </c>
      <c r="AC4938" t="b">
        <v>0</v>
      </c>
      <c r="AD4938">
        <f>IF(U4938="","MISSING_TOTAL",IF(ABS(AB4938)&lt;=0.01,"OK","CHECK"))</f>
        <v/>
      </c>
      <c r="AE4938">
        <f>IF(U4938="","MISSING",IF(AND(AA4938&gt;0,U4938/AA4938&gt;50),"POSSIBLE_SCALE_ERROR","OK"))</f>
        <v/>
      </c>
    </row>
    <row r="4939">
      <c r="A4939" t="inlineStr">
        <is>
          <t>T-2020-Q4-00034</t>
        </is>
      </c>
      <c r="B4939" t="inlineStr">
        <is>
          <t>SLE</t>
        </is>
      </c>
      <c r="C4939" t="inlineStr">
        <is>
          <t>Vice-President, New Brunswick</t>
        </is>
      </c>
      <c r="D4939" t="inlineStr">
        <is>
          <t>Vice-président, Nouveau-Brunswick</t>
        </is>
      </c>
      <c r="E4939" t="inlineStr">
        <is>
          <t>Kent Estabrooks</t>
        </is>
      </c>
      <c r="F4939" t="inlineStr">
        <is>
          <t>External stakeholders meeting</t>
        </is>
      </c>
      <c r="G4939" t="inlineStr">
        <is>
          <t>Réunion avec des intervenants externes</t>
        </is>
      </c>
      <c r="H4939" s="1" t="n">
        <v>43884</v>
      </c>
      <c r="I4939" s="1" t="n">
        <v>43885</v>
      </c>
      <c r="J4939" t="inlineStr">
        <is>
          <t>Moncton, New Brunswick</t>
        </is>
      </c>
      <c r="K4939" t="inlineStr">
        <is>
          <t>Moncton (Nouveau-Brunswick)</t>
        </is>
      </c>
      <c r="P4939" t="n">
        <v>0</v>
      </c>
      <c r="Q4939" t="n">
        <v>0</v>
      </c>
      <c r="R4939" t="n">
        <v>185.04</v>
      </c>
      <c r="S4939" t="n">
        <v>156.3</v>
      </c>
      <c r="T4939" t="n">
        <v>0</v>
      </c>
      <c r="U4939" t="n">
        <v>341.34</v>
      </c>
      <c r="X4939" t="inlineStr">
        <is>
          <t>acoa-apeca</t>
        </is>
      </c>
      <c r="Y4939" t="inlineStr">
        <is>
          <t>Atlantic Canada Opportunities Agency | Agence de promotion économique du Canada atlantique</t>
        </is>
      </c>
      <c r="Z4939" t="n">
        <v>2</v>
      </c>
      <c r="AA4939" t="n">
        <v>341.34</v>
      </c>
      <c r="AB4939">
        <f>ROUND(U4939-AA4939,2)</f>
        <v/>
      </c>
      <c r="AC4939" t="b">
        <v>0</v>
      </c>
      <c r="AD4939">
        <f>IF(U4939="","MISSING_TOTAL",IF(ABS(AB4939)&lt;=0.01,"OK","CHECK"))</f>
        <v/>
      </c>
      <c r="AE4939">
        <f>IF(U4939="","MISSING",IF(AND(AA4939&gt;0,U4939/AA4939&gt;50),"POSSIBLE_SCALE_ERROR","OK"))</f>
        <v/>
      </c>
    </row>
    <row r="4940">
      <c r="A4940" t="inlineStr">
        <is>
          <t>T-2020-Q4-00033</t>
        </is>
      </c>
      <c r="B4940" t="inlineStr">
        <is>
          <t>SLE</t>
        </is>
      </c>
      <c r="C4940" t="inlineStr">
        <is>
          <t>Vice-President, New Brunswick</t>
        </is>
      </c>
      <c r="D4940" t="inlineStr">
        <is>
          <t>Vice-président, Nouveau-Brunswick</t>
        </is>
      </c>
      <c r="E4940" t="inlineStr">
        <is>
          <t>Kent Estabrooks</t>
        </is>
      </c>
      <c r="F4940" t="inlineStr">
        <is>
          <t>Meeting with Government of Canada officials</t>
        </is>
      </c>
      <c r="G4940" t="inlineStr">
        <is>
          <t>Réunion avec des fonctionnaires du gouvernement du Canada</t>
        </is>
      </c>
      <c r="H4940" s="1" t="n">
        <v>43878</v>
      </c>
      <c r="I4940" s="1" t="n">
        <v>43880</v>
      </c>
      <c r="J4940" t="inlineStr">
        <is>
          <t>Halifax, Nova Scotia</t>
        </is>
      </c>
      <c r="K4940" t="inlineStr">
        <is>
          <t>Halifax (Nouvelle-Écosse)</t>
        </is>
      </c>
      <c r="P4940" t="n">
        <v>726.8</v>
      </c>
      <c r="Q4940" t="n">
        <v>155.08</v>
      </c>
      <c r="R4940" t="n">
        <v>174.78</v>
      </c>
      <c r="S4940" t="n">
        <v>153</v>
      </c>
      <c r="T4940" t="n">
        <v>0</v>
      </c>
      <c r="U4940" t="n">
        <v>1209.66</v>
      </c>
      <c r="X4940" t="inlineStr">
        <is>
          <t>acoa-apeca</t>
        </is>
      </c>
      <c r="Y4940" t="inlineStr">
        <is>
          <t>Atlantic Canada Opportunities Agency | Agence de promotion économique du Canada atlantique</t>
        </is>
      </c>
      <c r="Z4940" t="n">
        <v>3</v>
      </c>
      <c r="AA4940" t="n">
        <v>1209.66</v>
      </c>
      <c r="AB4940">
        <f>ROUND(U4940-AA4940,2)</f>
        <v/>
      </c>
      <c r="AC4940" t="b">
        <v>0</v>
      </c>
      <c r="AD4940">
        <f>IF(U4940="","MISSING_TOTAL",IF(ABS(AB4940)&lt;=0.01,"OK","CHECK"))</f>
        <v/>
      </c>
      <c r="AE4940">
        <f>IF(U4940="","MISSING",IF(AND(AA4940&gt;0,U4940/AA4940&gt;50),"POSSIBLE_SCALE_ERROR","OK"))</f>
        <v/>
      </c>
    </row>
    <row r="4941">
      <c r="A4941" t="inlineStr">
        <is>
          <t>T-2020-Q4-00026</t>
        </is>
      </c>
      <c r="B4941" t="inlineStr">
        <is>
          <t>SLE</t>
        </is>
      </c>
      <c r="C4941" t="inlineStr">
        <is>
          <t>Vice-President, New Brunswick</t>
        </is>
      </c>
      <c r="D4941" t="inlineStr">
        <is>
          <t>Vice-président, Nouveau-Brunswick</t>
        </is>
      </c>
      <c r="E4941" t="inlineStr">
        <is>
          <t>Kent Estabrooks</t>
        </is>
      </c>
      <c r="F4941" t="inlineStr">
        <is>
          <t>External stakeholders meetings, and meetings with various federal officials</t>
        </is>
      </c>
      <c r="G4941" t="inlineStr">
        <is>
          <t>Réunions avec des intervenants externes et réunions avec divers fonctionnaires fédéraux</t>
        </is>
      </c>
      <c r="H4941" s="1" t="n">
        <v>43865</v>
      </c>
      <c r="I4941" s="1" t="n">
        <v>43866</v>
      </c>
      <c r="J4941" t="inlineStr">
        <is>
          <t>Ottawa, Ontario</t>
        </is>
      </c>
      <c r="K4941" t="inlineStr">
        <is>
          <t>Ottawa (Ontario)</t>
        </is>
      </c>
      <c r="P4941" t="n">
        <v>726.8</v>
      </c>
      <c r="Q4941" t="n">
        <v>146.67</v>
      </c>
      <c r="R4941" t="n">
        <v>189.22</v>
      </c>
      <c r="S4941" t="n">
        <v>176.9</v>
      </c>
      <c r="T4941" t="n">
        <v>0</v>
      </c>
      <c r="U4941" t="n">
        <v>1239.59</v>
      </c>
      <c r="X4941" t="inlineStr">
        <is>
          <t>acoa-apeca</t>
        </is>
      </c>
      <c r="Y4941" t="inlineStr">
        <is>
          <t>Atlantic Canada Opportunities Agency | Agence de promotion économique du Canada atlantique</t>
        </is>
      </c>
      <c r="Z4941" t="n">
        <v>2</v>
      </c>
      <c r="AA4941" t="n">
        <v>1239.59</v>
      </c>
      <c r="AB4941">
        <f>ROUND(U4941-AA4941,2)</f>
        <v/>
      </c>
      <c r="AC4941" t="b">
        <v>0</v>
      </c>
      <c r="AD4941">
        <f>IF(U4941="","MISSING_TOTAL",IF(ABS(AB4941)&lt;=0.01,"OK","CHECK"))</f>
        <v/>
      </c>
      <c r="AE4941">
        <f>IF(U4941="","MISSING",IF(AND(AA4941&gt;0,U4941/AA4941&gt;50),"POSSIBLE_SCALE_ERROR","OK"))</f>
        <v/>
      </c>
    </row>
    <row r="4942">
      <c r="A4942" t="inlineStr">
        <is>
          <t>T-2020-Q4-00031</t>
        </is>
      </c>
      <c r="B4942" t="inlineStr">
        <is>
          <t>SLE</t>
        </is>
      </c>
      <c r="C4942" t="inlineStr">
        <is>
          <t>Vice-President, Prince Edward Island</t>
        </is>
      </c>
      <c r="D4942" t="inlineStr">
        <is>
          <t>Vice-président, Île-du-Prince-Édouard</t>
        </is>
      </c>
      <c r="E4942" t="inlineStr">
        <is>
          <t>Patrick Dorsey</t>
        </is>
      </c>
      <c r="F4942" t="inlineStr">
        <is>
          <t>Meetings with various federal government officials</t>
        </is>
      </c>
      <c r="G4942" t="inlineStr">
        <is>
          <t>Réunions avec divers fonctionnaires fédéraux</t>
        </is>
      </c>
      <c r="H4942" s="1" t="n">
        <v>43878</v>
      </c>
      <c r="I4942" s="1" t="n">
        <v>43880</v>
      </c>
      <c r="J4942" t="inlineStr">
        <is>
          <t>Ottawa, Ontario</t>
        </is>
      </c>
      <c r="K4942" t="inlineStr">
        <is>
          <t>Ottawa (Ontario)</t>
        </is>
      </c>
      <c r="P4942" t="n">
        <v>1215.46</v>
      </c>
      <c r="Q4942" t="n">
        <v>97.95</v>
      </c>
      <c r="R4942" t="n">
        <v>467.72</v>
      </c>
      <c r="S4942" t="n">
        <v>235.15</v>
      </c>
      <c r="T4942" t="n">
        <v>0</v>
      </c>
      <c r="U4942" t="n">
        <v>2016.28</v>
      </c>
      <c r="X4942" t="inlineStr">
        <is>
          <t>acoa-apeca</t>
        </is>
      </c>
      <c r="Y4942" t="inlineStr">
        <is>
          <t>Atlantic Canada Opportunities Agency | Agence de promotion économique du Canada atlantique</t>
        </is>
      </c>
      <c r="Z4942" t="n">
        <v>3</v>
      </c>
      <c r="AA4942" t="n">
        <v>2016.28</v>
      </c>
      <c r="AB4942">
        <f>ROUND(U4942-AA4942,2)</f>
        <v/>
      </c>
      <c r="AC4942" t="b">
        <v>0</v>
      </c>
      <c r="AD4942">
        <f>IF(U4942="","MISSING_TOTAL",IF(ABS(AB4942)&lt;=0.01,"OK","CHECK"))</f>
        <v/>
      </c>
      <c r="AE4942">
        <f>IF(U4942="","MISSING",IF(AND(AA4942&gt;0,U4942/AA4942&gt;50),"POSSIBLE_SCALE_ERROR","OK"))</f>
        <v/>
      </c>
    </row>
    <row r="4943">
      <c r="A4943" t="inlineStr">
        <is>
          <t>T-2020-Q4-00030</t>
        </is>
      </c>
      <c r="B4943" t="inlineStr">
        <is>
          <t>SLE</t>
        </is>
      </c>
      <c r="C4943" t="inlineStr">
        <is>
          <t>Vice-President, Prince Edward Island</t>
        </is>
      </c>
      <c r="D4943" t="inlineStr">
        <is>
          <t>Vice-président, Île-du-Prince-Édouard</t>
        </is>
      </c>
      <c r="E4943" t="inlineStr">
        <is>
          <t>Patrick Dorsey</t>
        </is>
      </c>
      <c r="F4943" t="inlineStr">
        <is>
          <t>Tour potato processing plants and meet equipment manufacturers as lead on Food Champion file</t>
        </is>
      </c>
      <c r="G4943" t="inlineStr">
        <is>
          <t>Visiter des usines de transformation de la pomme de terre et rencontrer des fabricants d'équipement en tant que responsable du dossier de champion de l'alimentation</t>
        </is>
      </c>
      <c r="H4943" s="1" t="n">
        <v>43856</v>
      </c>
      <c r="I4943" s="1" t="n">
        <v>43861</v>
      </c>
      <c r="J4943" t="inlineStr">
        <is>
          <t>Brussels, Belgium and Netherlands</t>
        </is>
      </c>
      <c r="K4943" t="inlineStr">
        <is>
          <t>Bruxelles, Belgique et Pays-Bas</t>
        </is>
      </c>
      <c r="P4943" t="n">
        <v>3167.73</v>
      </c>
      <c r="Q4943" t="n">
        <v>18.4</v>
      </c>
      <c r="R4943" t="n">
        <v>762.3099999999999</v>
      </c>
      <c r="S4943" t="n">
        <v>585.47</v>
      </c>
      <c r="T4943" t="n">
        <v>0</v>
      </c>
      <c r="U4943" t="n">
        <v>4533.91</v>
      </c>
      <c r="X4943" t="inlineStr">
        <is>
          <t>acoa-apeca</t>
        </is>
      </c>
      <c r="Y4943" t="inlineStr">
        <is>
          <t>Atlantic Canada Opportunities Agency | Agence de promotion économique du Canada atlantique</t>
        </is>
      </c>
      <c r="Z4943" t="n">
        <v>6</v>
      </c>
      <c r="AA4943" t="n">
        <v>4533.91</v>
      </c>
      <c r="AB4943">
        <f>ROUND(U4943-AA4943,2)</f>
        <v/>
      </c>
      <c r="AC4943" t="b">
        <v>0</v>
      </c>
      <c r="AD4943">
        <f>IF(U4943="","MISSING_TOTAL",IF(ABS(AB4943)&lt;=0.01,"OK","CHECK"))</f>
        <v/>
      </c>
      <c r="AE4943">
        <f>IF(U4943="","MISSING",IF(AND(AA4943&gt;0,U4943/AA4943&gt;50),"POSSIBLE_SCALE_ERROR","OK"))</f>
        <v/>
      </c>
    </row>
    <row r="4944">
      <c r="A4944" t="inlineStr">
        <is>
          <t>T-2020-Q4-00023</t>
        </is>
      </c>
      <c r="B4944" t="inlineStr">
        <is>
          <t>SLE</t>
        </is>
      </c>
      <c r="C4944" t="inlineStr">
        <is>
          <t>Vice-President, Prince Edward Island</t>
        </is>
      </c>
      <c r="D4944" t="inlineStr">
        <is>
          <t>Vice-président, Île-du-Prince-Édouard</t>
        </is>
      </c>
      <c r="E4944" t="inlineStr">
        <is>
          <t>Patrick Dorsey</t>
        </is>
      </c>
      <c r="F4944" t="inlineStr">
        <is>
          <t>Meetings with federal government officials</t>
        </is>
      </c>
      <c r="G4944" t="inlineStr">
        <is>
          <t>Réunions avec des fonctionnaires fédéraux</t>
        </is>
      </c>
      <c r="H4944" s="1" t="n">
        <v>43864</v>
      </c>
      <c r="I4944" s="1" t="n">
        <v>43866</v>
      </c>
      <c r="J4944" t="inlineStr">
        <is>
          <t>Ottawa, Ontario</t>
        </is>
      </c>
      <c r="K4944" t="inlineStr">
        <is>
          <t>Ottawa (Ontario)</t>
        </is>
      </c>
      <c r="P4944" t="n">
        <v>1172.47</v>
      </c>
      <c r="Q4944" t="n">
        <v>0</v>
      </c>
      <c r="R4944" t="n">
        <v>467.72</v>
      </c>
      <c r="S4944" t="n">
        <v>306.05</v>
      </c>
      <c r="T4944" t="n">
        <v>71.59</v>
      </c>
      <c r="U4944" t="n">
        <v>2017.83</v>
      </c>
      <c r="X4944" t="inlineStr">
        <is>
          <t>acoa-apeca</t>
        </is>
      </c>
      <c r="Y4944" t="inlineStr">
        <is>
          <t>Atlantic Canada Opportunities Agency | Agence de promotion économique du Canada atlantique</t>
        </is>
      </c>
      <c r="Z4944" t="n">
        <v>3</v>
      </c>
      <c r="AA4944" t="n">
        <v>2017.83</v>
      </c>
      <c r="AB4944">
        <f>ROUND(U4944-AA4944,2)</f>
        <v/>
      </c>
      <c r="AC4944" t="b">
        <v>0</v>
      </c>
      <c r="AD4944">
        <f>IF(U4944="","MISSING_TOTAL",IF(ABS(AB4944)&lt;=0.01,"OK","CHECK"))</f>
        <v/>
      </c>
      <c r="AE4944">
        <f>IF(U4944="","MISSING",IF(AND(AA4944&gt;0,U4944/AA4944&gt;50),"POSSIBLE_SCALE_ERROR","OK"))</f>
        <v/>
      </c>
    </row>
    <row r="4945">
      <c r="A4945" t="inlineStr">
        <is>
          <t>T-2020-Q4-00041</t>
        </is>
      </c>
      <c r="B4945" t="inlineStr">
        <is>
          <t>SLE</t>
        </is>
      </c>
      <c r="C4945" t="inlineStr">
        <is>
          <t>Vice-President, Newfoundland and Labrador</t>
        </is>
      </c>
      <c r="D4945" t="inlineStr">
        <is>
          <t>Vice-président, Terre-Neuve-et-Labrador</t>
        </is>
      </c>
      <c r="E4945" t="inlineStr">
        <is>
          <t>Karen Skinner</t>
        </is>
      </c>
      <c r="F4945" t="inlineStr">
        <is>
          <t>Attend various meetings in Ottawa with senior government officials</t>
        </is>
      </c>
      <c r="G4945" t="inlineStr">
        <is>
          <t>Assister à diverses réunions à Ottawa avec de hauts fonctionnaires</t>
        </is>
      </c>
      <c r="H4945" s="1" t="n">
        <v>43864</v>
      </c>
      <c r="I4945" s="1" t="n">
        <v>43868</v>
      </c>
      <c r="J4945" t="inlineStr">
        <is>
          <t>Ottawa, Ontario</t>
        </is>
      </c>
      <c r="K4945" t="inlineStr">
        <is>
          <t>Ottawa (Ontario)</t>
        </is>
      </c>
      <c r="P4945" t="n">
        <v>1227.06</v>
      </c>
      <c r="Q4945" t="n">
        <v>55.68</v>
      </c>
      <c r="R4945" t="n">
        <v>687.48</v>
      </c>
      <c r="S4945" t="n">
        <v>473.1</v>
      </c>
      <c r="T4945" t="n">
        <v>0</v>
      </c>
      <c r="U4945" t="n">
        <v>2443.32</v>
      </c>
      <c r="X4945" t="inlineStr">
        <is>
          <t>acoa-apeca</t>
        </is>
      </c>
      <c r="Y4945" t="inlineStr">
        <is>
          <t>Atlantic Canada Opportunities Agency | Agence de promotion économique du Canada atlantique</t>
        </is>
      </c>
      <c r="Z4945" t="n">
        <v>5</v>
      </c>
      <c r="AA4945" t="n">
        <v>2443.32</v>
      </c>
      <c r="AB4945">
        <f>ROUND(U4945-AA4945,2)</f>
        <v/>
      </c>
      <c r="AC4945" t="b">
        <v>0</v>
      </c>
      <c r="AD4945">
        <f>IF(U4945="","MISSING_TOTAL",IF(ABS(AB4945)&lt;=0.01,"OK","CHECK"))</f>
        <v/>
      </c>
      <c r="AE4945">
        <f>IF(U4945="","MISSING",IF(AND(AA4945&gt;0,U4945/AA4945&gt;50),"POSSIBLE_SCALE_ERROR","OK"))</f>
        <v/>
      </c>
    </row>
    <row r="4946">
      <c r="A4946" t="inlineStr">
        <is>
          <t>T-2020-Q4-00038</t>
        </is>
      </c>
      <c r="B4946" t="inlineStr">
        <is>
          <t>SLE</t>
        </is>
      </c>
      <c r="C4946" t="inlineStr">
        <is>
          <t>Vice-President, Nova Scotia</t>
        </is>
      </c>
      <c r="D4946" t="inlineStr">
        <is>
          <t>Vice-président, Nouvelle-Écosse</t>
        </is>
      </c>
      <c r="E4946" t="inlineStr">
        <is>
          <t>Chuck Maillet</t>
        </is>
      </c>
      <c r="F4946" t="inlineStr">
        <is>
          <t>Various meetings with Government of Canada and Agency officials</t>
        </is>
      </c>
      <c r="G4946" t="inlineStr">
        <is>
          <t>Diverses réunions avec des fonctionnaires du gouvernement du Canada et de l'Agence</t>
        </is>
      </c>
      <c r="H4946" s="1" t="n">
        <v>43885</v>
      </c>
      <c r="I4946" s="1" t="n">
        <v>43887</v>
      </c>
      <c r="J4946" t="inlineStr">
        <is>
          <t>Montreal, Quebec; Ottawa, Ontario and return to Halifax, Nova Scotia</t>
        </is>
      </c>
      <c r="K4946" t="inlineStr">
        <is>
          <t>Montréal (Québec), Ottawa (Ontario) et retour à Halifax (Nouvelle-Écosse)</t>
        </is>
      </c>
      <c r="P4946" t="n">
        <v>626.86</v>
      </c>
      <c r="Q4946" t="n">
        <v>230.61</v>
      </c>
      <c r="R4946" t="n">
        <v>437.34</v>
      </c>
      <c r="S4946" t="n">
        <v>234.9</v>
      </c>
      <c r="T4946" t="n">
        <v>0</v>
      </c>
      <c r="U4946" t="n">
        <v>1529.71</v>
      </c>
      <c r="X4946" t="inlineStr">
        <is>
          <t>acoa-apeca</t>
        </is>
      </c>
      <c r="Y4946" t="inlineStr">
        <is>
          <t>Atlantic Canada Opportunities Agency | Agence de promotion économique du Canada atlantique</t>
        </is>
      </c>
      <c r="Z4946" t="n">
        <v>3</v>
      </c>
      <c r="AA4946" t="n">
        <v>1529.71</v>
      </c>
      <c r="AB4946">
        <f>ROUND(U4946-AA4946,2)</f>
        <v/>
      </c>
      <c r="AC4946" t="b">
        <v>0</v>
      </c>
      <c r="AD4946">
        <f>IF(U4946="","MISSING_TOTAL",IF(ABS(AB4946)&lt;=0.01,"OK","CHECK"))</f>
        <v/>
      </c>
      <c r="AE4946">
        <f>IF(U4946="","MISSING",IF(AND(AA4946&gt;0,U4946/AA4946&gt;50),"POSSIBLE_SCALE_ERROR","OK"))</f>
        <v/>
      </c>
    </row>
    <row r="4947">
      <c r="A4947" t="inlineStr">
        <is>
          <t>T-2020-Q4-00037</t>
        </is>
      </c>
      <c r="B4947" t="inlineStr">
        <is>
          <t>SLE</t>
        </is>
      </c>
      <c r="C4947" t="inlineStr">
        <is>
          <t>Vice-President, Nova Scotia</t>
        </is>
      </c>
      <c r="D4947" t="inlineStr">
        <is>
          <t>Vice-président, Nouvelle-Écosse</t>
        </is>
      </c>
      <c r="E4947" t="inlineStr">
        <is>
          <t>Chuck Maillet</t>
        </is>
      </c>
      <c r="F4947" t="inlineStr">
        <is>
          <t>Executive Leadership Development Program and client visit</t>
        </is>
      </c>
      <c r="G4947" t="inlineStr">
        <is>
          <t>Participer au Programme de développement en leadership pour les cadres supérieurs  et visiter un client</t>
        </is>
      </c>
      <c r="H4947" s="1" t="n">
        <v>43878</v>
      </c>
      <c r="I4947" s="1" t="n">
        <v>43882</v>
      </c>
      <c r="J4947" t="inlineStr">
        <is>
          <t>Washington, DC</t>
        </is>
      </c>
      <c r="K4947" t="inlineStr">
        <is>
          <t>Washington, DC</t>
        </is>
      </c>
      <c r="P4947" t="n">
        <v>699.52</v>
      </c>
      <c r="Q4947" t="n">
        <v>76.27</v>
      </c>
      <c r="R4947" t="n">
        <v>1591.8</v>
      </c>
      <c r="S4947" t="n">
        <v>574.7</v>
      </c>
      <c r="T4947" t="n">
        <v>0</v>
      </c>
      <c r="U4947" t="n">
        <v>2942.29</v>
      </c>
      <c r="X4947" t="inlineStr">
        <is>
          <t>acoa-apeca</t>
        </is>
      </c>
      <c r="Y4947" t="inlineStr">
        <is>
          <t>Atlantic Canada Opportunities Agency | Agence de promotion économique du Canada atlantique</t>
        </is>
      </c>
      <c r="Z4947" t="n">
        <v>5</v>
      </c>
      <c r="AA4947" t="n">
        <v>2942.29</v>
      </c>
      <c r="AB4947">
        <f>ROUND(U4947-AA4947,2)</f>
        <v/>
      </c>
      <c r="AC4947" t="b">
        <v>0</v>
      </c>
      <c r="AD4947">
        <f>IF(U4947="","MISSING_TOTAL",IF(ABS(AB4947)&lt;=0.01,"OK","CHECK"))</f>
        <v/>
      </c>
      <c r="AE4947">
        <f>IF(U4947="","MISSING",IF(AND(AA4947&gt;0,U4947/AA4947&gt;50),"POSSIBLE_SCALE_ERROR","OK"))</f>
        <v/>
      </c>
    </row>
    <row r="4948">
      <c r="A4948" t="inlineStr">
        <is>
          <t>T-2020-Q4-00029</t>
        </is>
      </c>
      <c r="B4948" t="inlineStr">
        <is>
          <t>SLE</t>
        </is>
      </c>
      <c r="C4948" t="inlineStr">
        <is>
          <t>President</t>
        </is>
      </c>
      <c r="D4948" t="inlineStr">
        <is>
          <t>Président</t>
        </is>
      </c>
      <c r="E4948" t="inlineStr">
        <is>
          <t>Francis McGuire</t>
        </is>
      </c>
      <c r="F4948" t="inlineStr">
        <is>
          <t>Meetings with Government of Canada officials and key stakeholders</t>
        </is>
      </c>
      <c r="G4948" t="inlineStr">
        <is>
          <t>Réunions avec des fonctionnaires du gouvernement du Canada et des intervenants clés</t>
        </is>
      </c>
      <c r="H4948" s="1" t="n">
        <v>43881</v>
      </c>
      <c r="I4948" s="1" t="n">
        <v>43882</v>
      </c>
      <c r="J4948" t="inlineStr">
        <is>
          <t>Halifax, Nova Scotia</t>
        </is>
      </c>
      <c r="K4948" t="inlineStr">
        <is>
          <t>Halifax (Nouvelle-Écosse)</t>
        </is>
      </c>
      <c r="P4948" t="n">
        <v>0</v>
      </c>
      <c r="Q4948" t="n">
        <v>273.52</v>
      </c>
      <c r="R4948" t="n">
        <v>158.36</v>
      </c>
      <c r="S4948" t="n">
        <v>75.55</v>
      </c>
      <c r="T4948" t="n">
        <v>0</v>
      </c>
      <c r="U4948" t="n">
        <v>507.43</v>
      </c>
      <c r="X4948" t="inlineStr">
        <is>
          <t>acoa-apeca</t>
        </is>
      </c>
      <c r="Y4948" t="inlineStr">
        <is>
          <t>Atlantic Canada Opportunities Agency | Agence de promotion économique du Canada atlantique</t>
        </is>
      </c>
      <c r="Z4948" t="n">
        <v>2</v>
      </c>
      <c r="AA4948" t="n">
        <v>507.43</v>
      </c>
      <c r="AB4948">
        <f>ROUND(U4948-AA4948,2)</f>
        <v/>
      </c>
      <c r="AC4948" t="b">
        <v>0</v>
      </c>
      <c r="AD4948">
        <f>IF(U4948="","MISSING_TOTAL",IF(ABS(AB4948)&lt;=0.01,"OK","CHECK"))</f>
        <v/>
      </c>
      <c r="AE4948">
        <f>IF(U4948="","MISSING",IF(AND(AA4948&gt;0,U4948/AA4948&gt;50),"POSSIBLE_SCALE_ERROR","OK"))</f>
        <v/>
      </c>
    </row>
    <row r="4949">
      <c r="A4949" t="inlineStr">
        <is>
          <t>T-2020-Q4-00028</t>
        </is>
      </c>
      <c r="B4949" t="inlineStr">
        <is>
          <t>SLE</t>
        </is>
      </c>
      <c r="C4949" t="inlineStr">
        <is>
          <t>President</t>
        </is>
      </c>
      <c r="D4949" t="inlineStr">
        <is>
          <t>Président</t>
        </is>
      </c>
      <c r="E4949" t="inlineStr">
        <is>
          <t>Francis McGuire</t>
        </is>
      </c>
      <c r="F4949" t="inlineStr">
        <is>
          <t>Meetings with Government of Canada officials and key stakeholders</t>
        </is>
      </c>
      <c r="G4949" t="inlineStr">
        <is>
          <t>Réunions avec des fonctionnaires du gouvernement du Canada et des intervenants clés</t>
        </is>
      </c>
      <c r="H4949" s="1" t="n">
        <v>43864</v>
      </c>
      <c r="I4949" s="1" t="n">
        <v>43867</v>
      </c>
      <c r="J4949" t="inlineStr">
        <is>
          <t>Ottawa, Ontario and Halifax, Nova Scotia</t>
        </is>
      </c>
      <c r="K4949" t="inlineStr">
        <is>
          <t>Ottawa (Ontario) et Halifax (Nouvelle-Écosse)</t>
        </is>
      </c>
      <c r="P4949" t="n">
        <v>1125.38</v>
      </c>
      <c r="Q4949" t="n">
        <v>104.4</v>
      </c>
      <c r="R4949" t="n">
        <v>615.5</v>
      </c>
      <c r="S4949" t="n">
        <v>414.85</v>
      </c>
      <c r="T4949" t="n">
        <v>48</v>
      </c>
      <c r="U4949" t="n">
        <v>2308.13</v>
      </c>
      <c r="X4949" t="inlineStr">
        <is>
          <t>acoa-apeca</t>
        </is>
      </c>
      <c r="Y4949" t="inlineStr">
        <is>
          <t>Atlantic Canada Opportunities Agency | Agence de promotion économique du Canada atlantique</t>
        </is>
      </c>
      <c r="Z4949" t="n">
        <v>4</v>
      </c>
      <c r="AA4949" t="n">
        <v>2308.13</v>
      </c>
      <c r="AB4949">
        <f>ROUND(U4949-AA4949,2)</f>
        <v/>
      </c>
      <c r="AC4949" t="b">
        <v>0</v>
      </c>
      <c r="AD4949">
        <f>IF(U4949="","MISSING_TOTAL",IF(ABS(AB4949)&lt;=0.01,"OK","CHECK"))</f>
        <v/>
      </c>
      <c r="AE4949">
        <f>IF(U4949="","MISSING",IF(AND(AA4949&gt;0,U4949/AA4949&gt;50),"POSSIBLE_SCALE_ERROR","OK"))</f>
        <v/>
      </c>
    </row>
    <row r="4950">
      <c r="A4950" t="inlineStr">
        <is>
          <t>T-2020-Q4-00035</t>
        </is>
      </c>
      <c r="B4950" t="inlineStr">
        <is>
          <t>SLE</t>
        </is>
      </c>
      <c r="C4950" t="inlineStr">
        <is>
          <t>Vice-President, Finance and Corporate Services</t>
        </is>
      </c>
      <c r="D4950" t="inlineStr">
        <is>
          <t>Vice-président, Finance et Services corporatifs</t>
        </is>
      </c>
      <c r="E4950" t="inlineStr">
        <is>
          <t>Stephane Lagace</t>
        </is>
      </c>
      <c r="F4950" t="inlineStr">
        <is>
          <t>Meeting with Government of Canada officials</t>
        </is>
      </c>
      <c r="G4950" t="inlineStr">
        <is>
          <t>Réunion avec des fonctionnaires du gouvernement du Canada</t>
        </is>
      </c>
      <c r="H4950" s="1" t="n">
        <v>43887</v>
      </c>
      <c r="I4950" s="1" t="n">
        <v>43889</v>
      </c>
      <c r="J4950" t="inlineStr">
        <is>
          <t>Ottawa, Ontario</t>
        </is>
      </c>
      <c r="K4950" t="inlineStr">
        <is>
          <t>Ottawa (Ontario)</t>
        </is>
      </c>
      <c r="P4950" t="n">
        <v>857.3</v>
      </c>
      <c r="Q4950" t="n">
        <v>67.65000000000001</v>
      </c>
      <c r="R4950" t="n">
        <v>463.26</v>
      </c>
      <c r="S4950" t="n">
        <v>255.5</v>
      </c>
      <c r="T4950" t="n">
        <v>40</v>
      </c>
      <c r="U4950" t="n">
        <v>1683.71</v>
      </c>
      <c r="X4950" t="inlineStr">
        <is>
          <t>acoa-apeca</t>
        </is>
      </c>
      <c r="Y4950" t="inlineStr">
        <is>
          <t>Atlantic Canada Opportunities Agency | Agence de promotion économique du Canada atlantique</t>
        </is>
      </c>
      <c r="Z4950" t="n">
        <v>3</v>
      </c>
      <c r="AA4950" t="n">
        <v>1683.71</v>
      </c>
      <c r="AB4950">
        <f>ROUND(U4950-AA4950,2)</f>
        <v/>
      </c>
      <c r="AC4950" t="b">
        <v>0</v>
      </c>
      <c r="AD4950">
        <f>IF(U4950="","MISSING_TOTAL",IF(ABS(AB4950)&lt;=0.01,"OK","CHECK"))</f>
        <v/>
      </c>
      <c r="AE4950">
        <f>IF(U4950="","MISSING",IF(AND(AA4950&gt;0,U4950/AA4950&gt;50),"POSSIBLE_SCALE_ERROR","OK"))</f>
        <v/>
      </c>
    </row>
    <row r="4951">
      <c r="A4951" t="inlineStr">
        <is>
          <t>T-2020-Q4-00021</t>
        </is>
      </c>
      <c r="B4951" t="inlineStr">
        <is>
          <t>SLE</t>
        </is>
      </c>
      <c r="C4951" t="inlineStr">
        <is>
          <t>Vice-President, Finance and Corporate Services</t>
        </is>
      </c>
      <c r="D4951" t="inlineStr">
        <is>
          <t>Vice-président, Finance et Services corporatifs</t>
        </is>
      </c>
      <c r="E4951" t="inlineStr">
        <is>
          <t>Stephane Lagace</t>
        </is>
      </c>
      <c r="F4951" t="inlineStr">
        <is>
          <t>Meeting with Government of Canada officials</t>
        </is>
      </c>
      <c r="G4951" t="inlineStr">
        <is>
          <t>Réunion avec des fonctionnaires du gouvernement du Canada</t>
        </is>
      </c>
      <c r="H4951" s="1" t="n">
        <v>43872</v>
      </c>
      <c r="I4951" s="1" t="n">
        <v>43872</v>
      </c>
      <c r="J4951" t="inlineStr">
        <is>
          <t>Fredericton, New Brunswick</t>
        </is>
      </c>
      <c r="K4951" t="inlineStr">
        <is>
          <t>Fredericton (Nouveau-Brunswick)</t>
        </is>
      </c>
      <c r="P4951" t="n">
        <v>0</v>
      </c>
      <c r="Q4951" t="n">
        <v>82</v>
      </c>
      <c r="R4951" t="n">
        <v>0</v>
      </c>
      <c r="S4951" t="n">
        <v>20.6</v>
      </c>
      <c r="T4951" t="n">
        <v>65.5</v>
      </c>
      <c r="U4951" t="n">
        <v>168.1</v>
      </c>
      <c r="X4951" t="inlineStr">
        <is>
          <t>acoa-apeca</t>
        </is>
      </c>
      <c r="Y4951" t="inlineStr">
        <is>
          <t>Atlantic Canada Opportunities Agency | Agence de promotion économique du Canada atlantique</t>
        </is>
      </c>
      <c r="Z4951" t="n">
        <v>1</v>
      </c>
      <c r="AA4951" t="n">
        <v>168.1</v>
      </c>
      <c r="AB4951">
        <f>ROUND(U4951-AA4951,2)</f>
        <v/>
      </c>
      <c r="AC4951" t="b">
        <v>0</v>
      </c>
      <c r="AD4951">
        <f>IF(U4951="","MISSING_TOTAL",IF(ABS(AB4951)&lt;=0.01,"OK","CHECK"))</f>
        <v/>
      </c>
      <c r="AE4951">
        <f>IF(U4951="","MISSING",IF(AND(AA4951&gt;0,U4951/AA4951&gt;50),"POSSIBLE_SCALE_ERROR","OK"))</f>
        <v/>
      </c>
    </row>
    <row r="4952">
      <c r="A4952" t="inlineStr">
        <is>
          <t>T-2021-Q1-00004</t>
        </is>
      </c>
      <c r="B4952" t="inlineStr">
        <is>
          <t>SLE</t>
        </is>
      </c>
      <c r="C4952" t="inlineStr">
        <is>
          <t>Vice-President, Policy, Programs and Communications</t>
        </is>
      </c>
      <c r="D4952" t="inlineStr">
        <is>
          <t>Vice-président, Politiques et Programmes</t>
        </is>
      </c>
      <c r="E4952" t="inlineStr">
        <is>
          <t>Daryell Nowlan</t>
        </is>
      </c>
      <c r="F4952" t="inlineStr">
        <is>
          <t>Meetings with Government of Canada officials</t>
        </is>
      </c>
      <c r="G4952" t="inlineStr">
        <is>
          <t>Réunions avec des fonctionnaires du gouvernement du Canada</t>
        </is>
      </c>
      <c r="H4952" s="1" t="n">
        <v>43899</v>
      </c>
      <c r="I4952" s="1" t="n">
        <v>43902</v>
      </c>
      <c r="J4952" t="inlineStr">
        <is>
          <t>Ottawa, Ontario</t>
        </is>
      </c>
      <c r="K4952" t="inlineStr">
        <is>
          <t>Ottawa (Ontario)</t>
        </is>
      </c>
      <c r="P4952" t="n">
        <v>726.8</v>
      </c>
      <c r="Q4952" t="n">
        <v>90.93000000000001</v>
      </c>
      <c r="R4952" t="n">
        <v>691.02</v>
      </c>
      <c r="S4952" t="n">
        <v>303.25</v>
      </c>
      <c r="T4952" t="n">
        <v>0</v>
      </c>
      <c r="U4952" t="n">
        <v>1812</v>
      </c>
      <c r="X4952" t="inlineStr">
        <is>
          <t>acoa-apeca</t>
        </is>
      </c>
      <c r="Y4952" t="inlineStr">
        <is>
          <t>Atlantic Canada Opportunities Agency | Agence de promotion économique du Canada atlantique</t>
        </is>
      </c>
      <c r="Z4952" t="n">
        <v>4</v>
      </c>
      <c r="AA4952" t="n">
        <v>1812</v>
      </c>
      <c r="AB4952">
        <f>ROUND(U4952-AA4952,2)</f>
        <v/>
      </c>
      <c r="AC4952" t="b">
        <v>0</v>
      </c>
      <c r="AD4952">
        <f>IF(U4952="","MISSING_TOTAL",IF(ABS(AB4952)&lt;=0.01,"OK","CHECK"))</f>
        <v/>
      </c>
      <c r="AE4952">
        <f>IF(U4952="","MISSING",IF(AND(AA4952&gt;0,U4952/AA4952&gt;50),"POSSIBLE_SCALE_ERROR","OK"))</f>
        <v/>
      </c>
    </row>
    <row r="4953">
      <c r="A4953" t="inlineStr">
        <is>
          <t>T-2021-Q1-00003</t>
        </is>
      </c>
      <c r="B4953" t="inlineStr">
        <is>
          <t>SLE</t>
        </is>
      </c>
      <c r="C4953" t="inlineStr">
        <is>
          <t>Vice-President, New Brunswick</t>
        </is>
      </c>
      <c r="D4953" t="inlineStr">
        <is>
          <t>Vice-président, Nouveau-Brunswick</t>
        </is>
      </c>
      <c r="E4953" t="inlineStr">
        <is>
          <t>Kent Estabrooks</t>
        </is>
      </c>
      <c r="F4953" t="inlineStr">
        <is>
          <t>Meetings with Government of Canada officials</t>
        </is>
      </c>
      <c r="G4953" t="inlineStr">
        <is>
          <t>Réunions avec des fonctionnaires du gouvernement du Canada</t>
        </is>
      </c>
      <c r="H4953" s="1" t="n">
        <v>43900</v>
      </c>
      <c r="I4953" s="1" t="n">
        <v>43903</v>
      </c>
      <c r="J4953" t="inlineStr">
        <is>
          <t>Moncton, New Brunswick and Ottawa, Ontario</t>
        </is>
      </c>
      <c r="K4953" t="inlineStr">
        <is>
          <t>Moncton (Nouveau-Brunswick) et Ottawa (Ontario)</t>
        </is>
      </c>
      <c r="P4953" t="n">
        <v>726.8</v>
      </c>
      <c r="Q4953" t="n">
        <v>144.4</v>
      </c>
      <c r="R4953" t="n">
        <v>637.9299999999999</v>
      </c>
      <c r="S4953" t="n">
        <v>282.65</v>
      </c>
      <c r="T4953" t="n">
        <v>57.5</v>
      </c>
      <c r="U4953" t="n">
        <v>1849.28</v>
      </c>
      <c r="X4953" t="inlineStr">
        <is>
          <t>acoa-apeca</t>
        </is>
      </c>
      <c r="Y4953" t="inlineStr">
        <is>
          <t>Atlantic Canada Opportunities Agency | Agence de promotion économique du Canada atlantique</t>
        </is>
      </c>
      <c r="Z4953" t="n">
        <v>4</v>
      </c>
      <c r="AA4953" t="n">
        <v>1849.27999999999</v>
      </c>
      <c r="AB4953">
        <f>ROUND(U4953-AA4953,2)</f>
        <v/>
      </c>
      <c r="AC4953" t="b">
        <v>0</v>
      </c>
      <c r="AD4953">
        <f>IF(U4953="","MISSING_TOTAL",IF(ABS(AB4953)&lt;=0.01,"OK","CHECK"))</f>
        <v/>
      </c>
      <c r="AE4953">
        <f>IF(U4953="","MISSING",IF(AND(AA4953&gt;0,U4953/AA4953&gt;50),"POSSIBLE_SCALE_ERROR","OK"))</f>
        <v/>
      </c>
    </row>
    <row r="4954">
      <c r="A4954" t="inlineStr">
        <is>
          <t>T-2020-Q4-00043</t>
        </is>
      </c>
      <c r="B4954" t="inlineStr">
        <is>
          <t>SLE</t>
        </is>
      </c>
      <c r="C4954" t="inlineStr">
        <is>
          <t>Vice-President, New Brunswick</t>
        </is>
      </c>
      <c r="D4954" t="inlineStr">
        <is>
          <t>Vice-président, Nouveau-Brunswick</t>
        </is>
      </c>
      <c r="E4954" t="inlineStr">
        <is>
          <t>Kent Estabrooks</t>
        </is>
      </c>
      <c r="F4954" t="inlineStr">
        <is>
          <t>Attend an external stakeholder event</t>
        </is>
      </c>
      <c r="G4954" t="inlineStr">
        <is>
          <t>Assister à un évènement avec des intervenants externes</t>
        </is>
      </c>
      <c r="H4954" s="1" t="n">
        <v>43891</v>
      </c>
      <c r="I4954" s="1" t="n">
        <v>43892</v>
      </c>
      <c r="J4954" t="inlineStr">
        <is>
          <t>Halifax, Nova Scotia</t>
        </is>
      </c>
      <c r="K4954" t="inlineStr">
        <is>
          <t>Halifax (Nouvelle-Écosse)</t>
        </is>
      </c>
      <c r="P4954" t="n">
        <v>726.8</v>
      </c>
      <c r="Q4954" t="n">
        <v>112.96</v>
      </c>
      <c r="R4954" t="n">
        <v>209.97</v>
      </c>
      <c r="S4954" t="n">
        <v>135.7</v>
      </c>
      <c r="T4954" t="n">
        <v>132.6</v>
      </c>
      <c r="U4954" t="n">
        <v>1318.03</v>
      </c>
      <c r="X4954" t="inlineStr">
        <is>
          <t>acoa-apeca</t>
        </is>
      </c>
      <c r="Y4954" t="inlineStr">
        <is>
          <t>Atlantic Canada Opportunities Agency | Agence de promotion économique du Canada atlantique</t>
        </is>
      </c>
      <c r="Z4954" t="n">
        <v>2</v>
      </c>
      <c r="AA4954" t="n">
        <v>1318.03</v>
      </c>
      <c r="AB4954">
        <f>ROUND(U4954-AA4954,2)</f>
        <v/>
      </c>
      <c r="AC4954" t="b">
        <v>0</v>
      </c>
      <c r="AD4954">
        <f>IF(U4954="","MISSING_TOTAL",IF(ABS(AB4954)&lt;=0.01,"OK","CHECK"))</f>
        <v/>
      </c>
      <c r="AE4954">
        <f>IF(U4954="","MISSING",IF(AND(AA4954&gt;0,U4954/AA4954&gt;50),"POSSIBLE_SCALE_ERROR","OK"))</f>
        <v/>
      </c>
    </row>
    <row r="4955">
      <c r="A4955" t="inlineStr">
        <is>
          <t>T-2021-Q1-00006</t>
        </is>
      </c>
      <c r="B4955" t="inlineStr">
        <is>
          <t>SLE</t>
        </is>
      </c>
      <c r="C4955" t="inlineStr">
        <is>
          <t>Vice-President, Nova Scotia</t>
        </is>
      </c>
      <c r="D4955" t="inlineStr">
        <is>
          <t>Vice-président, Nouvelle-Écosse</t>
        </is>
      </c>
      <c r="E4955" t="inlineStr">
        <is>
          <t>Chuck Maillet</t>
        </is>
      </c>
      <c r="F4955" t="inlineStr">
        <is>
          <t>Interviews</t>
        </is>
      </c>
      <c r="G4955" t="inlineStr">
        <is>
          <t>Entrevues</t>
        </is>
      </c>
      <c r="H4955" s="1" t="n">
        <v>43902</v>
      </c>
      <c r="I4955" s="1" t="n">
        <v>43902</v>
      </c>
      <c r="J4955" t="inlineStr">
        <is>
          <t>St. John's, Newfoundland and Labrador</t>
        </is>
      </c>
      <c r="K4955" t="inlineStr">
        <is>
          <t>St. John's (Terre-Neuve-et-Labrador)</t>
        </is>
      </c>
      <c r="P4955" t="n">
        <v>471.79</v>
      </c>
      <c r="Q4955" t="n">
        <v>127.5</v>
      </c>
      <c r="R4955" t="n">
        <v>0</v>
      </c>
      <c r="S4955" t="n">
        <v>108.8</v>
      </c>
      <c r="T4955" t="n">
        <v>16.8</v>
      </c>
      <c r="U4955" t="n">
        <v>724.89</v>
      </c>
      <c r="X4955" t="inlineStr">
        <is>
          <t>acoa-apeca</t>
        </is>
      </c>
      <c r="Y4955" t="inlineStr">
        <is>
          <t>Atlantic Canada Opportunities Agency | Agence de promotion économique du Canada atlantique</t>
        </is>
      </c>
      <c r="Z4955" t="n">
        <v>1</v>
      </c>
      <c r="AA4955" t="n">
        <v>724.889999999999</v>
      </c>
      <c r="AB4955">
        <f>ROUND(U4955-AA4955,2)</f>
        <v/>
      </c>
      <c r="AC4955" t="b">
        <v>0</v>
      </c>
      <c r="AD4955">
        <f>IF(U4955="","MISSING_TOTAL",IF(ABS(AB4955)&lt;=0.01,"OK","CHECK"))</f>
        <v/>
      </c>
      <c r="AE4955">
        <f>IF(U4955="","MISSING",IF(AND(AA4955&gt;0,U4955/AA4955&gt;50),"POSSIBLE_SCALE_ERROR","OK"))</f>
        <v/>
      </c>
    </row>
    <row r="4956">
      <c r="A4956" t="inlineStr">
        <is>
          <t>T-2021-Q1-00005</t>
        </is>
      </c>
      <c r="B4956" t="inlineStr">
        <is>
          <t>SLE</t>
        </is>
      </c>
      <c r="C4956" t="inlineStr">
        <is>
          <t>Vice-President, Nova Scotia</t>
        </is>
      </c>
      <c r="D4956" t="inlineStr">
        <is>
          <t>Vice-président, Nouvelle-Écosse</t>
        </is>
      </c>
      <c r="E4956" t="inlineStr">
        <is>
          <t>Chuck Maillet</t>
        </is>
      </c>
      <c r="F4956" t="inlineStr">
        <is>
          <t>Parliamentary Secretary NS Visit</t>
        </is>
      </c>
      <c r="G4956" t="inlineStr">
        <is>
          <t>Visite du secrétaire parlementaire en Nouvelle-Écosse</t>
        </is>
      </c>
      <c r="H4956" s="1" t="n">
        <v>43892</v>
      </c>
      <c r="I4956" s="1" t="n">
        <v>43893</v>
      </c>
      <c r="J4956" t="inlineStr">
        <is>
          <t>Halifax, Antigonish and Cape Breton, Nova Scotia</t>
        </is>
      </c>
      <c r="K4956" t="inlineStr">
        <is>
          <t>Halifax, Antigonish et Cap-Breton (Nouvelle-Écosse)</t>
        </is>
      </c>
      <c r="P4956" t="n">
        <v>0</v>
      </c>
      <c r="Q4956" t="n">
        <v>0</v>
      </c>
      <c r="R4956" t="n">
        <v>174.8</v>
      </c>
      <c r="S4956" t="n">
        <v>176.65</v>
      </c>
      <c r="T4956" t="n">
        <v>0</v>
      </c>
      <c r="U4956" t="n">
        <v>351.45</v>
      </c>
      <c r="X4956" t="inlineStr">
        <is>
          <t>acoa-apeca</t>
        </is>
      </c>
      <c r="Y4956" t="inlineStr">
        <is>
          <t>Atlantic Canada Opportunities Agency | Agence de promotion économique du Canada atlantique</t>
        </is>
      </c>
      <c r="Z4956" t="n">
        <v>2</v>
      </c>
      <c r="AA4956" t="n">
        <v>351.45</v>
      </c>
      <c r="AB4956">
        <f>ROUND(U4956-AA4956,2)</f>
        <v/>
      </c>
      <c r="AC4956" t="b">
        <v>0</v>
      </c>
      <c r="AD4956">
        <f>IF(U4956="","MISSING_TOTAL",IF(ABS(AB4956)&lt;=0.01,"OK","CHECK"))</f>
        <v/>
      </c>
      <c r="AE4956">
        <f>IF(U4956="","MISSING",IF(AND(AA4956&gt;0,U4956/AA4956&gt;50),"POSSIBLE_SCALE_ERROR","OK"))</f>
        <v/>
      </c>
    </row>
    <row r="4957">
      <c r="A4957" t="inlineStr">
        <is>
          <t>T-2021-Q1-00002</t>
        </is>
      </c>
      <c r="B4957" t="inlineStr">
        <is>
          <t>SLE</t>
        </is>
      </c>
      <c r="C4957" t="inlineStr">
        <is>
          <t>President</t>
        </is>
      </c>
      <c r="D4957" t="inlineStr">
        <is>
          <t>Président</t>
        </is>
      </c>
      <c r="E4957" t="inlineStr">
        <is>
          <t>Francis McGuire</t>
        </is>
      </c>
      <c r="F4957" t="inlineStr">
        <is>
          <t>Meetings with various Government of Canada officials and stakeholders</t>
        </is>
      </c>
      <c r="G4957" t="inlineStr">
        <is>
          <t>Réunions avec divers fonctionnaires du gouvernement du Canada et des intervenants</t>
        </is>
      </c>
      <c r="H4957" s="1" t="n">
        <v>43900</v>
      </c>
      <c r="I4957" s="1" t="n">
        <v>43902</v>
      </c>
      <c r="J4957" t="inlineStr">
        <is>
          <t>Ottawa, Ontario</t>
        </is>
      </c>
      <c r="K4957" t="inlineStr">
        <is>
          <t>Ottawa (Ontario)</t>
        </is>
      </c>
      <c r="P4957" t="n">
        <v>726.8</v>
      </c>
      <c r="Q4957" t="n">
        <v>14.7</v>
      </c>
      <c r="R4957" t="n">
        <v>467.72</v>
      </c>
      <c r="S4957" t="n">
        <v>306.05</v>
      </c>
      <c r="T4957" t="n">
        <v>36</v>
      </c>
      <c r="U4957" t="n">
        <v>1551.27</v>
      </c>
      <c r="X4957" t="inlineStr">
        <is>
          <t>acoa-apeca</t>
        </is>
      </c>
      <c r="Y4957" t="inlineStr">
        <is>
          <t>Atlantic Canada Opportunities Agency | Agence de promotion économique du Canada atlantique</t>
        </is>
      </c>
      <c r="Z4957" t="n">
        <v>3</v>
      </c>
      <c r="AA4957" t="n">
        <v>1551.27</v>
      </c>
      <c r="AB4957">
        <f>ROUND(U4957-AA4957,2)</f>
        <v/>
      </c>
      <c r="AC4957" t="b">
        <v>0</v>
      </c>
      <c r="AD4957">
        <f>IF(U4957="","MISSING_TOTAL",IF(ABS(AB4957)&lt;=0.01,"OK","CHECK"))</f>
        <v/>
      </c>
      <c r="AE4957">
        <f>IF(U4957="","MISSING",IF(AND(AA4957&gt;0,U4957/AA4957&gt;50),"POSSIBLE_SCALE_ERROR","OK"))</f>
        <v/>
      </c>
    </row>
    <row r="4958">
      <c r="A4958" t="inlineStr">
        <is>
          <t>T-2021-Q1-00001</t>
        </is>
      </c>
      <c r="B4958" t="inlineStr">
        <is>
          <t>SLE</t>
        </is>
      </c>
      <c r="C4958" t="inlineStr">
        <is>
          <t>President</t>
        </is>
      </c>
      <c r="D4958" t="inlineStr">
        <is>
          <t>Président</t>
        </is>
      </c>
      <c r="E4958" t="inlineStr">
        <is>
          <t>Francis McGuire</t>
        </is>
      </c>
      <c r="F4958" t="inlineStr">
        <is>
          <t>Meetings with various key stakeholders</t>
        </is>
      </c>
      <c r="G4958" t="inlineStr">
        <is>
          <t>Réunions avec divers intervenants clés</t>
        </is>
      </c>
      <c r="H4958" s="1" t="n">
        <v>43895</v>
      </c>
      <c r="I4958" s="1" t="n">
        <v>43895</v>
      </c>
      <c r="J4958" t="inlineStr">
        <is>
          <t>Neguac, New Brunswick</t>
        </is>
      </c>
      <c r="K4958" t="inlineStr">
        <is>
          <t>Neguac (Nouveau-Brunswick)</t>
        </is>
      </c>
      <c r="P4958" t="n">
        <v>0</v>
      </c>
      <c r="Q4958" t="n">
        <v>191.62</v>
      </c>
      <c r="R4958" t="n">
        <v>0</v>
      </c>
      <c r="S4958" t="n">
        <v>50.55</v>
      </c>
      <c r="T4958" t="n">
        <v>0</v>
      </c>
      <c r="U4958" t="n">
        <v>242.17</v>
      </c>
      <c r="X4958" t="inlineStr">
        <is>
          <t>acoa-apeca</t>
        </is>
      </c>
      <c r="Y4958" t="inlineStr">
        <is>
          <t>Atlantic Canada Opportunities Agency | Agence de promotion économique du Canada atlantique</t>
        </is>
      </c>
      <c r="Z4958" t="n">
        <v>1</v>
      </c>
      <c r="AA4958" t="n">
        <v>242.17</v>
      </c>
      <c r="AB4958">
        <f>ROUND(U4958-AA4958,2)</f>
        <v/>
      </c>
      <c r="AC4958" t="b">
        <v>0</v>
      </c>
      <c r="AD4958">
        <f>IF(U4958="","MISSING_TOTAL",IF(ABS(AB4958)&lt;=0.01,"OK","CHECK"))</f>
        <v/>
      </c>
      <c r="AE4958">
        <f>IF(U4958="","MISSING",IF(AND(AA4958&gt;0,U4958/AA4958&gt;50),"POSSIBLE_SCALE_ERROR","OK"))</f>
        <v/>
      </c>
    </row>
    <row r="4959">
      <c r="A4959" t="inlineStr">
        <is>
          <t>T-2020-Q4-00045</t>
        </is>
      </c>
      <c r="B4959" t="inlineStr">
        <is>
          <t>SLE</t>
        </is>
      </c>
      <c r="C4959" t="inlineStr">
        <is>
          <t>President</t>
        </is>
      </c>
      <c r="D4959" t="inlineStr">
        <is>
          <t>Président</t>
        </is>
      </c>
      <c r="E4959" t="inlineStr">
        <is>
          <t>Francis McGuire</t>
        </is>
      </c>
      <c r="F4959" t="inlineStr">
        <is>
          <t>Meetings with Government of Canada officials and various stakeholders</t>
        </is>
      </c>
      <c r="G4959" t="inlineStr">
        <is>
          <t>Réunions avec des fonctionnaires du gouvernement du Canada et divers intervenants</t>
        </is>
      </c>
      <c r="H4959" s="1" t="n">
        <v>43839</v>
      </c>
      <c r="I4959" s="1" t="n">
        <v>43841</v>
      </c>
      <c r="J4959" t="inlineStr">
        <is>
          <t>Charlottetown, Prince Edward Island</t>
        </is>
      </c>
      <c r="K4959" t="inlineStr">
        <is>
          <t>Charlottetown (Île-du-Prince-Édouard)</t>
        </is>
      </c>
      <c r="P4959" t="n">
        <v>0</v>
      </c>
      <c r="Q4959" t="n">
        <v>344.4</v>
      </c>
      <c r="R4959" t="n">
        <v>402.74</v>
      </c>
      <c r="S4959" t="n">
        <v>234.9</v>
      </c>
      <c r="T4959" t="n">
        <v>0</v>
      </c>
      <c r="U4959" t="n">
        <v>982.04</v>
      </c>
      <c r="X4959" t="inlineStr">
        <is>
          <t>acoa-apeca</t>
        </is>
      </c>
      <c r="Y4959" t="inlineStr">
        <is>
          <t>Atlantic Canada Opportunities Agency | Agence de promotion économique du Canada atlantique</t>
        </is>
      </c>
      <c r="Z4959" t="n">
        <v>3</v>
      </c>
      <c r="AA4959" t="n">
        <v>982.04</v>
      </c>
      <c r="AB4959">
        <f>ROUND(U4959-AA4959,2)</f>
        <v/>
      </c>
      <c r="AC4959" t="b">
        <v>0</v>
      </c>
      <c r="AD4959">
        <f>IF(U4959="","MISSING_TOTAL",IF(ABS(AB4959)&lt;=0.01,"OK","CHECK"))</f>
        <v/>
      </c>
      <c r="AE4959">
        <f>IF(U4959="","MISSING",IF(AND(AA4959&gt;0,U4959/AA4959&gt;50),"POSSIBLE_SCALE_ERROR","OK"))</f>
        <v/>
      </c>
    </row>
    <row r="4960">
      <c r="A4960" t="inlineStr">
        <is>
          <t>T-2020-Q4-00044</t>
        </is>
      </c>
      <c r="B4960" t="inlineStr">
        <is>
          <t>SLE</t>
        </is>
      </c>
      <c r="C4960" t="inlineStr">
        <is>
          <t>President</t>
        </is>
      </c>
      <c r="D4960" t="inlineStr">
        <is>
          <t>Président</t>
        </is>
      </c>
      <c r="E4960" t="inlineStr">
        <is>
          <t>Francis McGuire</t>
        </is>
      </c>
      <c r="F4960" t="inlineStr">
        <is>
          <t>*Trip cancelled due to inclement weather* Meetings with Government of Canada officials and various stakeholders</t>
        </is>
      </c>
      <c r="G4960" t="inlineStr">
        <is>
          <t>*Voyage annulé en raison du mauvais temps*
Réunions avec des fonctionnaires du gouvernement du Canada et divers intervenants</t>
        </is>
      </c>
      <c r="H4960" s="1" t="n">
        <v>43838</v>
      </c>
      <c r="I4960" s="1" t="n">
        <v>43838</v>
      </c>
      <c r="J4960" t="inlineStr">
        <is>
          <t>St. John's, Newfoundland and Labrador</t>
        </is>
      </c>
      <c r="K4960" t="inlineStr">
        <is>
          <t>St. John's (Terre-Neuve-et-Labrador)</t>
        </is>
      </c>
      <c r="P4960" t="n">
        <v>322</v>
      </c>
      <c r="Q4960" t="n">
        <v>44.7</v>
      </c>
      <c r="R4960" t="n">
        <v>0</v>
      </c>
      <c r="S4960" t="n">
        <v>71.15000000000001</v>
      </c>
      <c r="T4960" t="n">
        <v>0</v>
      </c>
      <c r="U4960" t="n">
        <v>437.85</v>
      </c>
      <c r="X4960" t="inlineStr">
        <is>
          <t>acoa-apeca</t>
        </is>
      </c>
      <c r="Y4960" t="inlineStr">
        <is>
          <t>Atlantic Canada Opportunities Agency | Agence de promotion économique du Canada atlantique</t>
        </is>
      </c>
      <c r="Z4960" t="n">
        <v>1</v>
      </c>
      <c r="AA4960" t="n">
        <v>437.85</v>
      </c>
      <c r="AB4960">
        <f>ROUND(U4960-AA4960,2)</f>
        <v/>
      </c>
      <c r="AC4960" t="b">
        <v>0</v>
      </c>
      <c r="AD4960">
        <f>IF(U4960="","MISSING_TOTAL",IF(ABS(AB4960)&lt;=0.01,"OK","CHECK"))</f>
        <v/>
      </c>
      <c r="AE4960">
        <f>IF(U4960="","MISSING",IF(AND(AA4960&gt;0,U4960/AA4960&gt;50),"POSSIBLE_SCALE_ERROR","OK"))</f>
        <v/>
      </c>
    </row>
    <row r="4961">
      <c r="A4961" t="inlineStr">
        <is>
          <t>T-2021-Q2-00002</t>
        </is>
      </c>
      <c r="B4961" t="inlineStr">
        <is>
          <t>SLE</t>
        </is>
      </c>
      <c r="C4961" t="inlineStr">
        <is>
          <t>Vice-President, New Brunswick</t>
        </is>
      </c>
      <c r="D4961" t="inlineStr">
        <is>
          <t>Vice-président, Nouveau-Brunswick</t>
        </is>
      </c>
      <c r="E4961" t="inlineStr">
        <is>
          <t>Kent Estabrooks</t>
        </is>
      </c>
      <c r="F4961" t="inlineStr">
        <is>
          <t>External stakeholders meeting</t>
        </is>
      </c>
      <c r="G4961" t="inlineStr">
        <is>
          <t>Réunion avec des intervenants externes</t>
        </is>
      </c>
      <c r="H4961" s="1" t="n">
        <v>44027</v>
      </c>
      <c r="I4961" s="1" t="n">
        <v>44028</v>
      </c>
      <c r="J4961" t="inlineStr">
        <is>
          <t>Saint John, New Brunswick</t>
        </is>
      </c>
      <c r="K4961" t="inlineStr">
        <is>
          <t>Saint John (Nouveau-Brunswick)</t>
        </is>
      </c>
      <c r="P4961" t="n">
        <v>0</v>
      </c>
      <c r="Q4961" t="n">
        <v>18.34</v>
      </c>
      <c r="R4961" t="n">
        <v>141.64</v>
      </c>
      <c r="S4961" t="n">
        <v>106.5</v>
      </c>
      <c r="T4961" t="n">
        <v>0</v>
      </c>
      <c r="U4961" t="n">
        <v>266.48</v>
      </c>
      <c r="X4961" t="inlineStr">
        <is>
          <t>acoa-apeca</t>
        </is>
      </c>
      <c r="Y4961" t="inlineStr">
        <is>
          <t>Atlantic Canada Opportunities Agency | Agence de promotion économique du Canada atlantique</t>
        </is>
      </c>
      <c r="Z4961" t="n">
        <v>2</v>
      </c>
      <c r="AA4961" t="n">
        <v>266.48</v>
      </c>
      <c r="AB4961">
        <f>ROUND(U4961-AA4961,2)</f>
        <v/>
      </c>
      <c r="AC4961" t="b">
        <v>0</v>
      </c>
      <c r="AD4961">
        <f>IF(U4961="","MISSING_TOTAL",IF(ABS(AB4961)&lt;=0.01,"OK","CHECK"))</f>
        <v/>
      </c>
      <c r="AE4961">
        <f>IF(U4961="","MISSING",IF(AND(AA4961&gt;0,U4961/AA4961&gt;50),"POSSIBLE_SCALE_ERROR","OK"))</f>
        <v/>
      </c>
    </row>
    <row r="4962">
      <c r="A4962" t="inlineStr">
        <is>
          <t>T-2021-Q2-00003</t>
        </is>
      </c>
      <c r="B4962" t="inlineStr">
        <is>
          <t>SLE</t>
        </is>
      </c>
      <c r="C4962" t="inlineStr">
        <is>
          <t>President</t>
        </is>
      </c>
      <c r="D4962" t="inlineStr">
        <is>
          <t>Président</t>
        </is>
      </c>
      <c r="E4962" t="inlineStr">
        <is>
          <t>Francis McGuire</t>
        </is>
      </c>
      <c r="F4962" t="inlineStr">
        <is>
          <t>Meetings with Government Officials and various key stakeholders</t>
        </is>
      </c>
      <c r="G4962" t="inlineStr">
        <is>
          <t>Réunions avec des fonctionnaires et divers intervenants clés</t>
        </is>
      </c>
      <c r="H4962" s="1" t="n">
        <v>44025</v>
      </c>
      <c r="I4962" s="1" t="n">
        <v>44027</v>
      </c>
      <c r="J4962" t="inlineStr">
        <is>
          <t>Coleman, Summerside, Morell, Charlottetown, Prince Edward Island</t>
        </is>
      </c>
      <c r="K4962" t="inlineStr">
        <is>
          <t>Coleman, Summerside, Morell et Charlottetown (Île-du-Prince-Édouard)</t>
        </is>
      </c>
      <c r="P4962" t="n">
        <v>0</v>
      </c>
      <c r="Q4962" t="n">
        <v>360</v>
      </c>
      <c r="R4962" t="n">
        <v>349.57</v>
      </c>
      <c r="S4962" t="n">
        <v>330.3</v>
      </c>
      <c r="T4962" t="n">
        <v>21.28</v>
      </c>
      <c r="U4962" t="n">
        <v>1061.15</v>
      </c>
      <c r="X4962" t="inlineStr">
        <is>
          <t>acoa-apeca</t>
        </is>
      </c>
      <c r="Y4962" t="inlineStr">
        <is>
          <t>Atlantic Canada Opportunities Agency | Agence de promotion économique du Canada atlantique</t>
        </is>
      </c>
      <c r="Z4962" t="n">
        <v>3</v>
      </c>
      <c r="AA4962" t="n">
        <v>1061.14999999999</v>
      </c>
      <c r="AB4962">
        <f>ROUND(U4962-AA4962,2)</f>
        <v/>
      </c>
      <c r="AC4962" t="b">
        <v>0</v>
      </c>
      <c r="AD4962">
        <f>IF(U4962="","MISSING_TOTAL",IF(ABS(AB4962)&lt;=0.01,"OK","CHECK"))</f>
        <v/>
      </c>
      <c r="AE4962">
        <f>IF(U4962="","MISSING",IF(AND(AA4962&gt;0,U4962/AA4962&gt;50),"POSSIBLE_SCALE_ERROR","OK"))</f>
        <v/>
      </c>
    </row>
    <row r="4963">
      <c r="A4963" t="inlineStr">
        <is>
          <t>T-2021-Q2-00001</t>
        </is>
      </c>
      <c r="B4963" t="inlineStr">
        <is>
          <t>SLE</t>
        </is>
      </c>
      <c r="C4963" t="inlineStr">
        <is>
          <t>President</t>
        </is>
      </c>
      <c r="D4963" t="inlineStr">
        <is>
          <t>Président</t>
        </is>
      </c>
      <c r="E4963" t="inlineStr">
        <is>
          <t>Francis McGuire</t>
        </is>
      </c>
      <c r="F4963" t="inlineStr">
        <is>
          <t>Meetings with various government officials and stakeholders</t>
        </is>
      </c>
      <c r="G4963" t="inlineStr">
        <is>
          <t>Réunions avec divers fonctionnaires et intervenants</t>
        </is>
      </c>
      <c r="H4963" s="1" t="n">
        <v>44019</v>
      </c>
      <c r="I4963" s="1" t="n">
        <v>44019</v>
      </c>
      <c r="J4963" t="inlineStr">
        <is>
          <t>Fundy Trail Parkway and Sussex, New Brunswick</t>
        </is>
      </c>
      <c r="K4963" t="inlineStr">
        <is>
          <t>Route d'accès au sentier Fundy et Sussex (Nouveau-Brunswick)</t>
        </is>
      </c>
      <c r="P4963" t="n">
        <v>0</v>
      </c>
      <c r="Q4963" t="n">
        <v>134.5</v>
      </c>
      <c r="R4963" t="n">
        <v>0</v>
      </c>
      <c r="S4963" t="n">
        <v>20.9</v>
      </c>
      <c r="T4963" t="n">
        <v>0</v>
      </c>
      <c r="U4963" t="n">
        <v>155.4</v>
      </c>
      <c r="X4963" t="inlineStr">
        <is>
          <t>acoa-apeca</t>
        </is>
      </c>
      <c r="Y4963" t="inlineStr">
        <is>
          <t>Atlantic Canada Opportunities Agency | Agence de promotion économique du Canada atlantique</t>
        </is>
      </c>
      <c r="Z4963" t="n">
        <v>1</v>
      </c>
      <c r="AA4963" t="n">
        <v>155.4</v>
      </c>
      <c r="AB4963">
        <f>ROUND(U4963-AA4963,2)</f>
        <v/>
      </c>
      <c r="AC4963" t="b">
        <v>0</v>
      </c>
      <c r="AD4963">
        <f>IF(U4963="","MISSING_TOTAL",IF(ABS(AB4963)&lt;=0.01,"OK","CHECK"))</f>
        <v/>
      </c>
      <c r="AE4963">
        <f>IF(U4963="","MISSING",IF(AND(AA4963&gt;0,U4963/AA4963&gt;50),"POSSIBLE_SCALE_ERROR","OK"))</f>
        <v/>
      </c>
    </row>
    <row r="4964">
      <c r="A4964" t="inlineStr">
        <is>
          <t>T-2021-Q2-00010</t>
        </is>
      </c>
      <c r="B4964" t="inlineStr">
        <is>
          <t>SLE</t>
        </is>
      </c>
      <c r="C4964" t="inlineStr">
        <is>
          <t>Vice-President, Prince Edward Island</t>
        </is>
      </c>
      <c r="D4964" t="inlineStr">
        <is>
          <t>Vice-président, Île-du-Prince-Édouard</t>
        </is>
      </c>
      <c r="E4964" t="inlineStr">
        <is>
          <t>Patrick Dorsey</t>
        </is>
      </c>
      <c r="F4964" t="inlineStr">
        <is>
          <t>Meeting with federal government official</t>
        </is>
      </c>
      <c r="G4964" t="inlineStr">
        <is>
          <t>Réunion avec un fonctionnaire du gouvernement fédéral</t>
        </is>
      </c>
      <c r="H4964" s="1" t="n">
        <v>44061</v>
      </c>
      <c r="I4964" s="1" t="n">
        <v>44061</v>
      </c>
      <c r="J4964" t="inlineStr">
        <is>
          <t>Summerside, Prince Edward Island</t>
        </is>
      </c>
      <c r="K4964" t="inlineStr">
        <is>
          <t>Summerside (Île-du-Prince-Édouard)</t>
        </is>
      </c>
      <c r="P4964" t="n">
        <v>0</v>
      </c>
      <c r="Q4964" t="n">
        <v>58.2</v>
      </c>
      <c r="R4964" t="n">
        <v>0</v>
      </c>
      <c r="S4964" t="n">
        <v>20.9</v>
      </c>
      <c r="T4964" t="n">
        <v>0</v>
      </c>
      <c r="U4964" t="n">
        <v>79.09999999999999</v>
      </c>
      <c r="X4964" t="inlineStr">
        <is>
          <t>acoa-apeca</t>
        </is>
      </c>
      <c r="Y4964" t="inlineStr">
        <is>
          <t>Atlantic Canada Opportunities Agency | Agence de promotion économique du Canada atlantique</t>
        </is>
      </c>
      <c r="Z4964" t="n">
        <v>1</v>
      </c>
      <c r="AA4964" t="n">
        <v>79.09999999999999</v>
      </c>
      <c r="AB4964">
        <f>ROUND(U4964-AA4964,2)</f>
        <v/>
      </c>
      <c r="AC4964" t="b">
        <v>0</v>
      </c>
      <c r="AD4964">
        <f>IF(U4964="","MISSING_TOTAL",IF(ABS(AB4964)&lt;=0.01,"OK","CHECK"))</f>
        <v/>
      </c>
      <c r="AE4964">
        <f>IF(U4964="","MISSING",IF(AND(AA4964&gt;0,U4964/AA4964&gt;50),"POSSIBLE_SCALE_ERROR","OK"))</f>
        <v/>
      </c>
    </row>
    <row r="4965">
      <c r="A4965" t="inlineStr">
        <is>
          <t>T-2021-Q2-00006</t>
        </is>
      </c>
      <c r="B4965" t="inlineStr">
        <is>
          <t>SLE</t>
        </is>
      </c>
      <c r="C4965" t="inlineStr">
        <is>
          <t>Vice-President, Prince Edward Island</t>
        </is>
      </c>
      <c r="D4965" t="inlineStr">
        <is>
          <t>Vice-président, Île-du-Prince-Édouard</t>
        </is>
      </c>
      <c r="E4965" t="inlineStr">
        <is>
          <t>Patrick Dorsey</t>
        </is>
      </c>
      <c r="F4965" t="inlineStr">
        <is>
          <t>Meetings with provincial and federal government officials</t>
        </is>
      </c>
      <c r="G4965" t="inlineStr">
        <is>
          <t>Réunions avec des fonctionnaires fédéraux et provinciaux</t>
        </is>
      </c>
      <c r="H4965" s="1" t="n">
        <v>44039</v>
      </c>
      <c r="I4965" s="1" t="n">
        <v>44040</v>
      </c>
      <c r="J4965" t="inlineStr">
        <is>
          <t>Fredericton, New Brunswick</t>
        </is>
      </c>
      <c r="K4965" t="inlineStr">
        <is>
          <t>Fredericton (Nouveau-Brunswick)</t>
        </is>
      </c>
      <c r="P4965" t="n">
        <v>0</v>
      </c>
      <c r="Q4965" t="n">
        <v>330.28</v>
      </c>
      <c r="R4965" t="n">
        <v>159.61</v>
      </c>
      <c r="S4965" t="n">
        <v>148.3</v>
      </c>
      <c r="T4965" t="n">
        <v>62.3</v>
      </c>
      <c r="U4965" t="n">
        <v>700.49</v>
      </c>
      <c r="X4965" t="inlineStr">
        <is>
          <t>acoa-apeca</t>
        </is>
      </c>
      <c r="Y4965" t="inlineStr">
        <is>
          <t>Atlantic Canada Opportunities Agency | Agence de promotion économique du Canada atlantique</t>
        </is>
      </c>
      <c r="Z4965" t="n">
        <v>2</v>
      </c>
      <c r="AA4965" t="n">
        <v>700.49</v>
      </c>
      <c r="AB4965">
        <f>ROUND(U4965-AA4965,2)</f>
        <v/>
      </c>
      <c r="AC4965" t="b">
        <v>0</v>
      </c>
      <c r="AD4965">
        <f>IF(U4965="","MISSING_TOTAL",IF(ABS(AB4965)&lt;=0.01,"OK","CHECK"))</f>
        <v/>
      </c>
      <c r="AE4965">
        <f>IF(U4965="","MISSING",IF(AND(AA4965&gt;0,U4965/AA4965&gt;50),"POSSIBLE_SCALE_ERROR","OK"))</f>
        <v/>
      </c>
    </row>
    <row r="4966">
      <c r="A4966" t="inlineStr">
        <is>
          <t>T-2021-Q2-00005</t>
        </is>
      </c>
      <c r="B4966" t="inlineStr">
        <is>
          <t>SLE</t>
        </is>
      </c>
      <c r="C4966" t="inlineStr">
        <is>
          <t>Vice-President, Prince Edward Island</t>
        </is>
      </c>
      <c r="D4966" t="inlineStr">
        <is>
          <t>Vice-président, Île-du-Prince-Édouard</t>
        </is>
      </c>
      <c r="E4966" t="inlineStr">
        <is>
          <t>Patrick Dorsey</t>
        </is>
      </c>
      <c r="F4966" t="inlineStr">
        <is>
          <t>Meetings with provincial government officials and various stakeholders</t>
        </is>
      </c>
      <c r="G4966" t="inlineStr">
        <is>
          <t>Réunions avec des fonctionnaires provinciaux et divers intervenants</t>
        </is>
      </c>
      <c r="H4966" s="1" t="n">
        <v>44025</v>
      </c>
      <c r="I4966" s="1" t="n">
        <v>44027</v>
      </c>
      <c r="J4966" t="inlineStr">
        <is>
          <t>Summerside; Trout River; Mill River; Morell; New Annan, Prince Edward Island</t>
        </is>
      </c>
      <c r="K4966" t="inlineStr">
        <is>
          <t>Summerside, Trout River, Mill River, Morell et New Annan (Île-du-Prince-Édouard)</t>
        </is>
      </c>
      <c r="P4966" t="n">
        <v>0</v>
      </c>
      <c r="Q4966" t="n">
        <v>153.26</v>
      </c>
      <c r="R4966" t="n">
        <v>0</v>
      </c>
      <c r="S4966" t="n">
        <v>41.8</v>
      </c>
      <c r="T4966" t="n">
        <v>0</v>
      </c>
      <c r="U4966" t="n">
        <v>195.06</v>
      </c>
      <c r="X4966" t="inlineStr">
        <is>
          <t>acoa-apeca</t>
        </is>
      </c>
      <c r="Y4966" t="inlineStr">
        <is>
          <t>Atlantic Canada Opportunities Agency | Agence de promotion économique du Canada atlantique</t>
        </is>
      </c>
      <c r="Z4966" t="n">
        <v>3</v>
      </c>
      <c r="AA4966" t="n">
        <v>195.06</v>
      </c>
      <c r="AB4966">
        <f>ROUND(U4966-AA4966,2)</f>
        <v/>
      </c>
      <c r="AC4966" t="b">
        <v>0</v>
      </c>
      <c r="AD4966">
        <f>IF(U4966="","MISSING_TOTAL",IF(ABS(AB4966)&lt;=0.01,"OK","CHECK"))</f>
        <v/>
      </c>
      <c r="AE4966">
        <f>IF(U4966="","MISSING",IF(AND(AA4966&gt;0,U4966/AA4966&gt;50),"POSSIBLE_SCALE_ERROR","OK"))</f>
        <v/>
      </c>
    </row>
    <row r="4967">
      <c r="A4967" t="inlineStr">
        <is>
          <t>T-2021-Q2-00008</t>
        </is>
      </c>
      <c r="B4967" t="inlineStr">
        <is>
          <t>SLE</t>
        </is>
      </c>
      <c r="C4967" t="inlineStr">
        <is>
          <t>Vice-President, Nova Scotia</t>
        </is>
      </c>
      <c r="D4967" t="inlineStr">
        <is>
          <t>Vice-président, Nouvelle-Écosse</t>
        </is>
      </c>
      <c r="E4967" t="inlineStr">
        <is>
          <t>Chuck Maillet</t>
        </is>
      </c>
      <c r="F4967" t="inlineStr">
        <is>
          <t>Meetings with stakeholders</t>
        </is>
      </c>
      <c r="G4967" t="inlineStr">
        <is>
          <t>Réunions avec des intervenants</t>
        </is>
      </c>
      <c r="H4967" s="1" t="n">
        <v>44070</v>
      </c>
      <c r="I4967" s="1" t="n">
        <v>44070</v>
      </c>
      <c r="J4967" t="inlineStr">
        <is>
          <t>Northern Nova Scotia</t>
        </is>
      </c>
      <c r="K4967" t="inlineStr">
        <is>
          <t>Nord de la Nouvelle-Écosse</t>
        </is>
      </c>
      <c r="P4967" t="n">
        <v>0</v>
      </c>
      <c r="Q4967" t="n">
        <v>206</v>
      </c>
      <c r="R4967" t="n">
        <v>0</v>
      </c>
      <c r="S4967" t="n">
        <v>20.9</v>
      </c>
      <c r="T4967" t="n">
        <v>0</v>
      </c>
      <c r="U4967" t="n">
        <v>226.9</v>
      </c>
      <c r="X4967" t="inlineStr">
        <is>
          <t>acoa-apeca</t>
        </is>
      </c>
      <c r="Y4967" t="inlineStr">
        <is>
          <t>Atlantic Canada Opportunities Agency | Agence de promotion économique du Canada atlantique</t>
        </is>
      </c>
      <c r="Z4967" t="n">
        <v>1</v>
      </c>
      <c r="AA4967" t="n">
        <v>226.9</v>
      </c>
      <c r="AB4967">
        <f>ROUND(U4967-AA4967,2)</f>
        <v/>
      </c>
      <c r="AC4967" t="b">
        <v>0</v>
      </c>
      <c r="AD4967">
        <f>IF(U4967="","MISSING_TOTAL",IF(ABS(AB4967)&lt;=0.01,"OK","CHECK"))</f>
        <v/>
      </c>
      <c r="AE4967">
        <f>IF(U4967="","MISSING",IF(AND(AA4967&gt;0,U4967/AA4967&gt;50),"POSSIBLE_SCALE_ERROR","OK"))</f>
        <v/>
      </c>
    </row>
    <row r="4968">
      <c r="A4968" t="inlineStr">
        <is>
          <t>T-2021-Q2-00007</t>
        </is>
      </c>
      <c r="B4968" t="inlineStr">
        <is>
          <t>SLE</t>
        </is>
      </c>
      <c r="C4968" t="inlineStr">
        <is>
          <t>Vice-President, Nova Scotia</t>
        </is>
      </c>
      <c r="D4968" t="inlineStr">
        <is>
          <t>Vice-président, Nouvelle-Écosse</t>
        </is>
      </c>
      <c r="E4968" t="inlineStr">
        <is>
          <t>Chuck Maillet</t>
        </is>
      </c>
      <c r="F4968" t="inlineStr">
        <is>
          <t>Meetings with clients</t>
        </is>
      </c>
      <c r="G4968" t="inlineStr">
        <is>
          <t>Réunions avec des clients</t>
        </is>
      </c>
      <c r="H4968" s="1" t="n">
        <v>44053</v>
      </c>
      <c r="I4968" s="1" t="n">
        <v>44054</v>
      </c>
      <c r="J4968" t="inlineStr">
        <is>
          <t>South Shore, Nova Scotia</t>
        </is>
      </c>
      <c r="K4968" t="inlineStr">
        <is>
          <t>Côte sud de la Nouvelle-Écosse</t>
        </is>
      </c>
      <c r="P4968" t="n">
        <v>0</v>
      </c>
      <c r="Q4968" t="n">
        <v>0</v>
      </c>
      <c r="R4968" t="n">
        <v>161</v>
      </c>
      <c r="S4968" t="n">
        <v>55.5</v>
      </c>
      <c r="T4968" t="n">
        <v>0</v>
      </c>
      <c r="U4968" t="n">
        <v>216.5</v>
      </c>
      <c r="X4968" t="inlineStr">
        <is>
          <t>acoa-apeca</t>
        </is>
      </c>
      <c r="Y4968" t="inlineStr">
        <is>
          <t>Atlantic Canada Opportunities Agency | Agence de promotion économique du Canada atlantique</t>
        </is>
      </c>
      <c r="Z4968" t="n">
        <v>2</v>
      </c>
      <c r="AA4968" t="n">
        <v>216.5</v>
      </c>
      <c r="AB4968">
        <f>ROUND(U4968-AA4968,2)</f>
        <v/>
      </c>
      <c r="AC4968" t="b">
        <v>0</v>
      </c>
      <c r="AD4968">
        <f>IF(U4968="","MISSING_TOTAL",IF(ABS(AB4968)&lt;=0.01,"OK","CHECK"))</f>
        <v/>
      </c>
      <c r="AE4968">
        <f>IF(U4968="","MISSING",IF(AND(AA4968&gt;0,U4968/AA4968&gt;50),"POSSIBLE_SCALE_ERROR","OK"))</f>
        <v/>
      </c>
    </row>
    <row r="4969">
      <c r="A4969" t="inlineStr">
        <is>
          <t>T-2021-Q2-00004</t>
        </is>
      </c>
      <c r="B4969" t="inlineStr">
        <is>
          <t>SLE</t>
        </is>
      </c>
      <c r="C4969" t="inlineStr">
        <is>
          <t>President</t>
        </is>
      </c>
      <c r="D4969" t="inlineStr">
        <is>
          <t>Président</t>
        </is>
      </c>
      <c r="E4969" t="inlineStr">
        <is>
          <t>Francis McGuire</t>
        </is>
      </c>
      <c r="F4969" t="inlineStr">
        <is>
          <t>Meetings with government officials and various stakeholders</t>
        </is>
      </c>
      <c r="G4969" t="inlineStr">
        <is>
          <t>Réunions avec des fonctionnaires et divers intervenants</t>
        </is>
      </c>
      <c r="H4969" s="1" t="n">
        <v>44053</v>
      </c>
      <c r="I4969" s="1" t="n">
        <v>44054</v>
      </c>
      <c r="J4969" t="inlineStr">
        <is>
          <t>Halifax, Lunenberg and Bridgewater, Nova Scotia</t>
        </is>
      </c>
      <c r="K4969" t="inlineStr">
        <is>
          <t>Halifax, Lunenburg et Bridgewater (Nouvelle-Écosse)</t>
        </is>
      </c>
      <c r="P4969" t="n">
        <v>0</v>
      </c>
      <c r="Q4969" t="n">
        <v>386.5</v>
      </c>
      <c r="R4969" t="n">
        <v>149.5</v>
      </c>
      <c r="S4969" t="n">
        <v>55.5</v>
      </c>
      <c r="T4969" t="n">
        <v>17</v>
      </c>
      <c r="U4969" t="n">
        <v>608.5</v>
      </c>
      <c r="X4969" t="inlineStr">
        <is>
          <t>acoa-apeca</t>
        </is>
      </c>
      <c r="Y4969" t="inlineStr">
        <is>
          <t>Atlantic Canada Opportunities Agency | Agence de promotion économique du Canada atlantique</t>
        </is>
      </c>
      <c r="Z4969" t="n">
        <v>2</v>
      </c>
      <c r="AA4969" t="n">
        <v>608.5</v>
      </c>
      <c r="AB4969">
        <f>ROUND(U4969-AA4969,2)</f>
        <v/>
      </c>
      <c r="AC4969" t="b">
        <v>0</v>
      </c>
      <c r="AD4969">
        <f>IF(U4969="","MISSING_TOTAL",IF(ABS(AB4969)&lt;=0.01,"OK","CHECK"))</f>
        <v/>
      </c>
      <c r="AE4969">
        <f>IF(U4969="","MISSING",IF(AND(AA4969&gt;0,U4969/AA4969&gt;50),"POSSIBLE_SCALE_ERROR","OK"))</f>
        <v/>
      </c>
    </row>
    <row r="4970">
      <c r="A4970" t="inlineStr">
        <is>
          <t>T-2021-Q3-00006</t>
        </is>
      </c>
      <c r="B4970" t="inlineStr">
        <is>
          <t>SLE</t>
        </is>
      </c>
      <c r="C4970" t="inlineStr">
        <is>
          <t>Vice-President, Policy, Programs and Communications</t>
        </is>
      </c>
      <c r="D4970" t="inlineStr">
        <is>
          <t>Vice-président, Politiques et Programmes</t>
        </is>
      </c>
      <c r="E4970" t="inlineStr">
        <is>
          <t>Daryell Nowlan</t>
        </is>
      </c>
      <c r="F4970" t="inlineStr">
        <is>
          <t>Meetings with Government of Canada officials</t>
        </is>
      </c>
      <c r="G4970" t="inlineStr">
        <is>
          <t>Réunions avec des fonctionnaires fédéraux</t>
        </is>
      </c>
      <c r="H4970" s="1" t="n">
        <v>44087</v>
      </c>
      <c r="I4970" s="1" t="n">
        <v>44090</v>
      </c>
      <c r="J4970" t="inlineStr">
        <is>
          <t>Halifax, Nova Scotia</t>
        </is>
      </c>
      <c r="K4970" t="inlineStr">
        <is>
          <t>Halifax (Nouvelle-Écosse)</t>
        </is>
      </c>
      <c r="P4970" t="n">
        <v>0</v>
      </c>
      <c r="Q4970" t="n">
        <v>268</v>
      </c>
      <c r="R4970" t="n">
        <v>587.42</v>
      </c>
      <c r="S4970" t="n">
        <v>243.85</v>
      </c>
      <c r="T4970" t="n">
        <v>0</v>
      </c>
      <c r="U4970" t="n">
        <v>1099.27</v>
      </c>
      <c r="X4970" t="inlineStr">
        <is>
          <t>acoa-apeca</t>
        </is>
      </c>
      <c r="Y4970" t="inlineStr">
        <is>
          <t>Atlantic Canada Opportunities Agency | Agence de promotion économique du Canada atlantique</t>
        </is>
      </c>
      <c r="Z4970" t="n">
        <v>4</v>
      </c>
      <c r="AA4970" t="n">
        <v>1099.27</v>
      </c>
      <c r="AB4970">
        <f>ROUND(U4970-AA4970,2)</f>
        <v/>
      </c>
      <c r="AC4970" t="b">
        <v>0</v>
      </c>
      <c r="AD4970">
        <f>IF(U4970="","MISSING_TOTAL",IF(ABS(AB4970)&lt;=0.01,"OK","CHECK"))</f>
        <v/>
      </c>
      <c r="AE4970">
        <f>IF(U4970="","MISSING",IF(AND(AA4970&gt;0,U4970/AA4970&gt;50),"POSSIBLE_SCALE_ERROR","OK"))</f>
        <v/>
      </c>
    </row>
    <row r="4971">
      <c r="A4971" t="inlineStr">
        <is>
          <t>T-2021-Q3-00001</t>
        </is>
      </c>
      <c r="B4971" t="inlineStr">
        <is>
          <t>SLE</t>
        </is>
      </c>
      <c r="C4971" t="inlineStr">
        <is>
          <t>Vice-President, New Brunswick</t>
        </is>
      </c>
      <c r="D4971" t="inlineStr">
        <is>
          <t>Vice-président, Nouveau-Brunswick</t>
        </is>
      </c>
      <c r="E4971" t="inlineStr">
        <is>
          <t>Kent Estabrooks</t>
        </is>
      </c>
      <c r="F4971" t="inlineStr">
        <is>
          <t>Meeting with Agency officials</t>
        </is>
      </c>
      <c r="G4971" t="inlineStr">
        <is>
          <t>Réunion avec des fonctionnaires de l'Agence</t>
        </is>
      </c>
      <c r="H4971" s="1" t="n">
        <v>44087</v>
      </c>
      <c r="I4971" s="1" t="n">
        <v>44090</v>
      </c>
      <c r="J4971" t="inlineStr">
        <is>
          <t>Halifax, Nova Scotia</t>
        </is>
      </c>
      <c r="K4971" t="inlineStr">
        <is>
          <t>Halifax (Nouvelle-Écosse)</t>
        </is>
      </c>
      <c r="P4971" t="n">
        <v>0</v>
      </c>
      <c r="Q4971" t="n">
        <v>532.25</v>
      </c>
      <c r="R4971" t="n">
        <v>653.48</v>
      </c>
      <c r="S4971" t="n">
        <v>264.75</v>
      </c>
      <c r="T4971" t="n">
        <v>0</v>
      </c>
      <c r="U4971" t="n">
        <v>1450.48</v>
      </c>
      <c r="X4971" t="inlineStr">
        <is>
          <t>acoa-apeca</t>
        </is>
      </c>
      <c r="Y4971" t="inlineStr">
        <is>
          <t>Atlantic Canada Opportunities Agency | Agence de promotion économique du Canada atlantique</t>
        </is>
      </c>
      <c r="Z4971" t="n">
        <v>4</v>
      </c>
      <c r="AA4971" t="n">
        <v>1450.48</v>
      </c>
      <c r="AB4971">
        <f>ROUND(U4971-AA4971,2)</f>
        <v/>
      </c>
      <c r="AC4971" t="b">
        <v>0</v>
      </c>
      <c r="AD4971">
        <f>IF(U4971="","MISSING_TOTAL",IF(ABS(AB4971)&lt;=0.01,"OK","CHECK"))</f>
        <v/>
      </c>
      <c r="AE4971">
        <f>IF(U4971="","MISSING",IF(AND(AA4971&gt;0,U4971/AA4971&gt;50),"POSSIBLE_SCALE_ERROR","OK"))</f>
        <v/>
      </c>
    </row>
    <row r="4972">
      <c r="A4972" t="inlineStr">
        <is>
          <t>T-2021-Q3-00005</t>
        </is>
      </c>
      <c r="B4972" t="inlineStr">
        <is>
          <t>SLE</t>
        </is>
      </c>
      <c r="C4972" t="inlineStr">
        <is>
          <t>Vice-President, Prince Edward Island</t>
        </is>
      </c>
      <c r="D4972" t="inlineStr">
        <is>
          <t>Vice-président, Île-du-Prince-Édouard</t>
        </is>
      </c>
      <c r="E4972" t="inlineStr">
        <is>
          <t>Patrick Dorsey</t>
        </is>
      </c>
      <c r="F4972" t="inlineStr">
        <is>
          <t>Meeting with stakeholders and government officials</t>
        </is>
      </c>
      <c r="G4972" t="inlineStr">
        <is>
          <t>Réunion avec des intervenants et fonctionnaires</t>
        </is>
      </c>
      <c r="H4972" s="1" t="n">
        <v>44095</v>
      </c>
      <c r="I4972" s="1" t="n">
        <v>44095</v>
      </c>
      <c r="J4972" t="inlineStr">
        <is>
          <t>Moncton, New Brunswick</t>
        </is>
      </c>
      <c r="K4972" t="inlineStr">
        <is>
          <t>Moncton (Nouveau-Brunswick)</t>
        </is>
      </c>
      <c r="P4972" t="n">
        <v>0</v>
      </c>
      <c r="Q4972" t="n">
        <v>0</v>
      </c>
      <c r="R4972" t="n">
        <v>0</v>
      </c>
      <c r="S4972" t="n">
        <v>0</v>
      </c>
      <c r="T4972" t="n">
        <v>215.58</v>
      </c>
      <c r="U4972" t="n">
        <v>215.58</v>
      </c>
      <c r="X4972" t="inlineStr">
        <is>
          <t>acoa-apeca</t>
        </is>
      </c>
      <c r="Y4972" t="inlineStr">
        <is>
          <t>Atlantic Canada Opportunities Agency | Agence de promotion économique du Canada atlantique</t>
        </is>
      </c>
      <c r="Z4972" t="n">
        <v>1</v>
      </c>
      <c r="AA4972" t="n">
        <v>215.58</v>
      </c>
      <c r="AB4972">
        <f>ROUND(U4972-AA4972,2)</f>
        <v/>
      </c>
      <c r="AC4972" t="b">
        <v>0</v>
      </c>
      <c r="AD4972">
        <f>IF(U4972="","MISSING_TOTAL",IF(ABS(AB4972)&lt;=0.01,"OK","CHECK"))</f>
        <v/>
      </c>
      <c r="AE4972">
        <f>IF(U4972="","MISSING",IF(AND(AA4972&gt;0,U4972/AA4972&gt;50),"POSSIBLE_SCALE_ERROR","OK"))</f>
        <v/>
      </c>
    </row>
    <row r="4973">
      <c r="A4973" t="inlineStr">
        <is>
          <t>T-2021-Q3-00004</t>
        </is>
      </c>
      <c r="B4973" t="inlineStr">
        <is>
          <t>SLE</t>
        </is>
      </c>
      <c r="C4973" t="inlineStr">
        <is>
          <t>Vice-President, Prince Edward Island</t>
        </is>
      </c>
      <c r="D4973" t="inlineStr">
        <is>
          <t>Vice-président, Île-du-Prince-Édouard</t>
        </is>
      </c>
      <c r="E4973" t="inlineStr">
        <is>
          <t>Patrick Dorsey</t>
        </is>
      </c>
      <c r="F4973" t="inlineStr">
        <is>
          <t>Meetings with stakeholders and federal government officials</t>
        </is>
      </c>
      <c r="G4973" t="inlineStr">
        <is>
          <t>Réunions avec des intervenants et des fonctionnaires fédéraux</t>
        </is>
      </c>
      <c r="H4973" s="1" t="n">
        <v>44087</v>
      </c>
      <c r="I4973" s="1" t="n">
        <v>44090</v>
      </c>
      <c r="J4973" t="inlineStr">
        <is>
          <t>Halifax, Nova Scotia</t>
        </is>
      </c>
      <c r="K4973" t="inlineStr">
        <is>
          <t>Halifax (Nouvelle-Écosse)</t>
        </is>
      </c>
      <c r="P4973" t="n">
        <v>0</v>
      </c>
      <c r="Q4973" t="n">
        <v>0</v>
      </c>
      <c r="R4973" t="n">
        <v>497.36</v>
      </c>
      <c r="S4973" t="n">
        <v>234.15</v>
      </c>
      <c r="T4973" t="n">
        <v>28.69</v>
      </c>
      <c r="U4973" t="n">
        <v>760.2</v>
      </c>
      <c r="X4973" t="inlineStr">
        <is>
          <t>acoa-apeca</t>
        </is>
      </c>
      <c r="Y4973" t="inlineStr">
        <is>
          <t>Atlantic Canada Opportunities Agency | Agence de promotion économique du Canada atlantique</t>
        </is>
      </c>
      <c r="Z4973" t="n">
        <v>4</v>
      </c>
      <c r="AA4973" t="n">
        <v>760.2</v>
      </c>
      <c r="AB4973">
        <f>ROUND(U4973-AA4973,2)</f>
        <v/>
      </c>
      <c r="AC4973" t="b">
        <v>0</v>
      </c>
      <c r="AD4973">
        <f>IF(U4973="","MISSING_TOTAL",IF(ABS(AB4973)&lt;=0.01,"OK","CHECK"))</f>
        <v/>
      </c>
      <c r="AE4973">
        <f>IF(U4973="","MISSING",IF(AND(AA4973&gt;0,U4973/AA4973&gt;50),"POSSIBLE_SCALE_ERROR","OK"))</f>
        <v/>
      </c>
    </row>
    <row r="4974">
      <c r="A4974" t="inlineStr">
        <is>
          <t>T-2021-Q3-00003</t>
        </is>
      </c>
      <c r="B4974" t="inlineStr">
        <is>
          <t>SLE</t>
        </is>
      </c>
      <c r="C4974" t="inlineStr">
        <is>
          <t>Vice-President, Prince Edward Island</t>
        </is>
      </c>
      <c r="D4974" t="inlineStr">
        <is>
          <t>Vice-président, Île-du-Prince-Édouard</t>
        </is>
      </c>
      <c r="E4974" t="inlineStr">
        <is>
          <t>Patrick Dorsey</t>
        </is>
      </c>
      <c r="F4974" t="inlineStr">
        <is>
          <t>Meeting with federal government official and stakeholders</t>
        </is>
      </c>
      <c r="G4974" t="inlineStr">
        <is>
          <t>Réunion avec un fonctionnaire fédéral et des intervenants</t>
        </is>
      </c>
      <c r="H4974" s="1" t="n">
        <v>44083</v>
      </c>
      <c r="I4974" s="1" t="n">
        <v>44083</v>
      </c>
      <c r="J4974" t="inlineStr">
        <is>
          <t>Summerside, Prince Edward Island</t>
        </is>
      </c>
      <c r="K4974" t="inlineStr">
        <is>
          <t>Summerside (Île-du-Prince-Édouard)</t>
        </is>
      </c>
      <c r="P4974" t="n">
        <v>0</v>
      </c>
      <c r="Q4974" t="n">
        <v>0</v>
      </c>
      <c r="R4974" t="n">
        <v>0</v>
      </c>
      <c r="S4974" t="n">
        <v>20.9</v>
      </c>
      <c r="T4974" t="n">
        <v>58.2</v>
      </c>
      <c r="U4974" t="n">
        <v>79.09999999999999</v>
      </c>
      <c r="X4974" t="inlineStr">
        <is>
          <t>acoa-apeca</t>
        </is>
      </c>
      <c r="Y4974" t="inlineStr">
        <is>
          <t>Atlantic Canada Opportunities Agency | Agence de promotion économique du Canada atlantique</t>
        </is>
      </c>
      <c r="Z4974" t="n">
        <v>1</v>
      </c>
      <c r="AA4974" t="n">
        <v>79.09999999999999</v>
      </c>
      <c r="AB4974">
        <f>ROUND(U4974-AA4974,2)</f>
        <v/>
      </c>
      <c r="AC4974" t="b">
        <v>0</v>
      </c>
      <c r="AD4974">
        <f>IF(U4974="","MISSING_TOTAL",IF(ABS(AB4974)&lt;=0.01,"OK","CHECK"))</f>
        <v/>
      </c>
      <c r="AE4974">
        <f>IF(U4974="","MISSING",IF(AND(AA4974&gt;0,U4974/AA4974&gt;50),"POSSIBLE_SCALE_ERROR","OK"))</f>
        <v/>
      </c>
    </row>
    <row r="4975">
      <c r="A4975" t="inlineStr">
        <is>
          <t>T-2021-Q3-00007</t>
        </is>
      </c>
      <c r="B4975" t="inlineStr">
        <is>
          <t>SLE</t>
        </is>
      </c>
      <c r="C4975" t="inlineStr">
        <is>
          <t>Vice-President, Newfoundland and Labrador</t>
        </is>
      </c>
      <c r="D4975" t="inlineStr">
        <is>
          <t>Vice-président, Terre-Neuve-et-Labrador</t>
        </is>
      </c>
      <c r="E4975" t="inlineStr">
        <is>
          <t>Karen Skinner</t>
        </is>
      </c>
      <c r="F4975" t="inlineStr">
        <is>
          <t>Attend meeting with senior government officials in Halifax, Nova Scotia</t>
        </is>
      </c>
      <c r="G4975" t="inlineStr">
        <is>
          <t>Assister à une réunion avec des hauts fonctionnaires à Halifax (Nouvelle-Écosse)</t>
        </is>
      </c>
      <c r="H4975" s="1" t="n">
        <v>44088</v>
      </c>
      <c r="I4975" s="1" t="n">
        <v>44090</v>
      </c>
      <c r="J4975" t="inlineStr">
        <is>
          <t>Halifax, Nova Scotia</t>
        </is>
      </c>
      <c r="K4975" t="inlineStr">
        <is>
          <t>Halifax (Nouvelle-Écosse)</t>
        </is>
      </c>
      <c r="P4975" t="n">
        <v>516.41</v>
      </c>
      <c r="Q4975" t="n">
        <v>114.42</v>
      </c>
      <c r="R4975" t="n">
        <v>443.4</v>
      </c>
      <c r="S4975" t="n">
        <v>175.3</v>
      </c>
      <c r="T4975" t="n">
        <v>0</v>
      </c>
      <c r="U4975" t="n">
        <v>1249.53</v>
      </c>
      <c r="X4975" t="inlineStr">
        <is>
          <t>acoa-apeca</t>
        </is>
      </c>
      <c r="Y4975" t="inlineStr">
        <is>
          <t>Atlantic Canada Opportunities Agency | Agence de promotion économique du Canada atlantique</t>
        </is>
      </c>
      <c r="Z4975" t="n">
        <v>3</v>
      </c>
      <c r="AA4975" t="n">
        <v>1249.53</v>
      </c>
      <c r="AB4975">
        <f>ROUND(U4975-AA4975,2)</f>
        <v/>
      </c>
      <c r="AC4975" t="b">
        <v>0</v>
      </c>
      <c r="AD4975">
        <f>IF(U4975="","MISSING_TOTAL",IF(ABS(AB4975)&lt;=0.01,"OK","CHECK"))</f>
        <v/>
      </c>
      <c r="AE4975">
        <f>IF(U4975="","MISSING",IF(AND(AA4975&gt;0,U4975/AA4975&gt;50),"POSSIBLE_SCALE_ERROR","OK"))</f>
        <v/>
      </c>
    </row>
    <row r="4976">
      <c r="A4976" t="inlineStr">
        <is>
          <t>T-2021-Q3-00008</t>
        </is>
      </c>
      <c r="B4976" t="inlineStr">
        <is>
          <t>SLE</t>
        </is>
      </c>
      <c r="C4976" t="inlineStr">
        <is>
          <t>Vice-President, Nova Scotia</t>
        </is>
      </c>
      <c r="D4976" t="inlineStr">
        <is>
          <t>Vice-président, Nouvelle-Écosse</t>
        </is>
      </c>
      <c r="E4976" t="inlineStr">
        <is>
          <t>Chuck Maillet</t>
        </is>
      </c>
      <c r="F4976" t="inlineStr">
        <is>
          <t>Stakeholder visits</t>
        </is>
      </c>
      <c r="G4976" t="inlineStr">
        <is>
          <t>Visites chez des intervenants</t>
        </is>
      </c>
      <c r="H4976" s="1" t="n">
        <v>44084</v>
      </c>
      <c r="I4976" s="1" t="n">
        <v>44085</v>
      </c>
      <c r="J4976" t="inlineStr">
        <is>
          <t>South West, Nova Scotia</t>
        </is>
      </c>
      <c r="K4976" t="inlineStr">
        <is>
          <t>Sud-ouest de la Nouvelle-Écosse</t>
        </is>
      </c>
      <c r="P4976" t="n">
        <v>0</v>
      </c>
      <c r="Q4976" t="n">
        <v>0</v>
      </c>
      <c r="R4976" t="n">
        <v>156.69</v>
      </c>
      <c r="S4976" t="n">
        <v>127.4</v>
      </c>
      <c r="T4976" t="n">
        <v>0</v>
      </c>
      <c r="U4976" t="n">
        <v>284.09</v>
      </c>
      <c r="X4976" t="inlineStr">
        <is>
          <t>acoa-apeca</t>
        </is>
      </c>
      <c r="Y4976" t="inlineStr">
        <is>
          <t>Atlantic Canada Opportunities Agency | Agence de promotion économique du Canada atlantique</t>
        </is>
      </c>
      <c r="Z4976" t="n">
        <v>2</v>
      </c>
      <c r="AA4976" t="n">
        <v>284.09</v>
      </c>
      <c r="AB4976">
        <f>ROUND(U4976-AA4976,2)</f>
        <v/>
      </c>
      <c r="AC4976" t="b">
        <v>0</v>
      </c>
      <c r="AD4976">
        <f>IF(U4976="","MISSING_TOTAL",IF(ABS(AB4976)&lt;=0.01,"OK","CHECK"))</f>
        <v/>
      </c>
      <c r="AE4976">
        <f>IF(U4976="","MISSING",IF(AND(AA4976&gt;0,U4976/AA4976&gt;50),"POSSIBLE_SCALE_ERROR","OK"))</f>
        <v/>
      </c>
    </row>
    <row r="4977">
      <c r="A4977" t="inlineStr">
        <is>
          <t>T-2021-Q3-00002</t>
        </is>
      </c>
      <c r="B4977" t="inlineStr">
        <is>
          <t>SLE</t>
        </is>
      </c>
      <c r="C4977" t="inlineStr">
        <is>
          <t>President</t>
        </is>
      </c>
      <c r="D4977" t="inlineStr">
        <is>
          <t>Président</t>
        </is>
      </c>
      <c r="E4977" t="inlineStr">
        <is>
          <t>Francis McGuire</t>
        </is>
      </c>
      <c r="F4977" t="inlineStr">
        <is>
          <t>Meetings with government officials and various stakeholders</t>
        </is>
      </c>
      <c r="G4977" t="inlineStr">
        <is>
          <t>Réunions avec des fonctionnaires et divers intervenants</t>
        </is>
      </c>
      <c r="H4977" s="1" t="n">
        <v>44088</v>
      </c>
      <c r="I4977" s="1" t="n">
        <v>44090</v>
      </c>
      <c r="J4977" t="inlineStr">
        <is>
          <t>Halifax, Nova Scotia</t>
        </is>
      </c>
      <c r="K4977" t="inlineStr">
        <is>
          <t>Halifax (Nouvelle-Écosse)</t>
        </is>
      </c>
      <c r="P4977" t="n">
        <v>0</v>
      </c>
      <c r="Q4977" t="n">
        <v>265</v>
      </c>
      <c r="R4977" t="n">
        <v>443.4</v>
      </c>
      <c r="S4977" t="n">
        <v>175.3</v>
      </c>
      <c r="T4977" t="n">
        <v>57.5</v>
      </c>
      <c r="U4977" t="n">
        <v>941.2</v>
      </c>
      <c r="X4977" t="inlineStr">
        <is>
          <t>acoa-apeca</t>
        </is>
      </c>
      <c r="Y4977" t="inlineStr">
        <is>
          <t>Atlantic Canada Opportunities Agency | Agence de promotion économique du Canada atlantique</t>
        </is>
      </c>
      <c r="Z4977" t="n">
        <v>3</v>
      </c>
      <c r="AA4977" t="n">
        <v>941.2</v>
      </c>
      <c r="AB4977">
        <f>ROUND(U4977-AA4977,2)</f>
        <v/>
      </c>
      <c r="AC4977" t="b">
        <v>0</v>
      </c>
      <c r="AD4977">
        <f>IF(U4977="","MISSING_TOTAL",IF(ABS(AB4977)&lt;=0.01,"OK","CHECK"))</f>
        <v/>
      </c>
      <c r="AE4977">
        <f>IF(U4977="","MISSING",IF(AND(AA4977&gt;0,U4977/AA4977&gt;50),"POSSIBLE_SCALE_ERROR","OK"))</f>
        <v/>
      </c>
    </row>
    <row r="4978">
      <c r="A4978" t="inlineStr">
        <is>
          <t>T-2021-Q3-00013</t>
        </is>
      </c>
      <c r="B4978" t="inlineStr">
        <is>
          <t>SLE</t>
        </is>
      </c>
      <c r="C4978" t="inlineStr">
        <is>
          <t>Vice-President, Nova Scotia</t>
        </is>
      </c>
      <c r="D4978" t="inlineStr">
        <is>
          <t>Vice-président, Nouvelle-Écosse</t>
        </is>
      </c>
      <c r="E4978" t="inlineStr">
        <is>
          <t>Chuck Maillet</t>
        </is>
      </c>
      <c r="F4978" t="inlineStr">
        <is>
          <t>Meetings with ACOA NS senior management and stakeholders</t>
        </is>
      </c>
      <c r="G4978" t="inlineStr">
        <is>
          <t>Réunions avec la haute direction du bureau de l'APECA en Nouvelle-Écosse et des intervenants</t>
        </is>
      </c>
      <c r="H4978" s="1" t="n">
        <v>44119</v>
      </c>
      <c r="I4978" s="1" t="n">
        <v>44120</v>
      </c>
      <c r="J4978" t="inlineStr">
        <is>
          <t>Stellarton, Pictou and New Glasgow, Nova Scotia</t>
        </is>
      </c>
      <c r="K4978" t="inlineStr">
        <is>
          <t>Stellarton, Pictou et New Glasgow (Nouvelle-Écosse)</t>
        </is>
      </c>
      <c r="P4978" t="n">
        <v>0</v>
      </c>
      <c r="Q4978" t="n">
        <v>0</v>
      </c>
      <c r="R4978" t="n">
        <v>120.23</v>
      </c>
      <c r="S4978" t="n">
        <v>149.15</v>
      </c>
      <c r="T4978" t="n">
        <v>0</v>
      </c>
      <c r="U4978" t="n">
        <v>269.38</v>
      </c>
      <c r="X4978" t="inlineStr">
        <is>
          <t>acoa-apeca</t>
        </is>
      </c>
      <c r="Y4978" t="inlineStr">
        <is>
          <t>Atlantic Canada Opportunities Agency | Agence de promotion économique du Canada atlantique</t>
        </is>
      </c>
      <c r="Z4978" t="n">
        <v>2</v>
      </c>
      <c r="AA4978" t="n">
        <v>269.38</v>
      </c>
      <c r="AB4978">
        <f>ROUND(U4978-AA4978,2)</f>
        <v/>
      </c>
      <c r="AC4978" t="b">
        <v>0</v>
      </c>
      <c r="AD4978">
        <f>IF(U4978="","MISSING_TOTAL",IF(ABS(AB4978)&lt;=0.01,"OK","CHECK"))</f>
        <v/>
      </c>
      <c r="AE4978">
        <f>IF(U4978="","MISSING",IF(AND(AA4978&gt;0,U4978/AA4978&gt;50),"POSSIBLE_SCALE_ERROR","OK"))</f>
        <v/>
      </c>
    </row>
    <row r="4979">
      <c r="A4979" t="inlineStr">
        <is>
          <t>T-2021-Q3-00012</t>
        </is>
      </c>
      <c r="B4979" t="inlineStr">
        <is>
          <t>SLE</t>
        </is>
      </c>
      <c r="C4979" t="inlineStr">
        <is>
          <t>Vice-President, Nova Scotia</t>
        </is>
      </c>
      <c r="D4979" t="inlineStr">
        <is>
          <t>Vice-président, Nouvelle-Écosse</t>
        </is>
      </c>
      <c r="E4979" t="inlineStr">
        <is>
          <t>Chuck Maillet</t>
        </is>
      </c>
      <c r="F4979" t="inlineStr">
        <is>
          <t>Meetings with stakeholders and ACOA staff</t>
        </is>
      </c>
      <c r="G4979" t="inlineStr">
        <is>
          <t>Réunions avec des intervenants et des employés de l'APECA</t>
        </is>
      </c>
      <c r="H4979" s="1" t="n">
        <v>44109</v>
      </c>
      <c r="I4979" s="1" t="n">
        <v>44110</v>
      </c>
      <c r="J4979" t="inlineStr">
        <is>
          <t>Sydney and Baddeck, Nova Scotia</t>
        </is>
      </c>
      <c r="K4979" t="inlineStr">
        <is>
          <t>Sydney et Baddeck (Nouvelle-Écosse)</t>
        </is>
      </c>
      <c r="P4979" t="n">
        <v>0</v>
      </c>
      <c r="Q4979" t="n">
        <v>0</v>
      </c>
      <c r="R4979" t="n">
        <v>181.82</v>
      </c>
      <c r="S4979" t="n">
        <v>199.55</v>
      </c>
      <c r="T4979" t="n">
        <v>0</v>
      </c>
      <c r="U4979" t="n">
        <v>381.37</v>
      </c>
      <c r="X4979" t="inlineStr">
        <is>
          <t>acoa-apeca</t>
        </is>
      </c>
      <c r="Y4979" t="inlineStr">
        <is>
          <t>Atlantic Canada Opportunities Agency | Agence de promotion économique du Canada atlantique</t>
        </is>
      </c>
      <c r="Z4979" t="n">
        <v>2</v>
      </c>
      <c r="AA4979" t="n">
        <v>381.37</v>
      </c>
      <c r="AB4979">
        <f>ROUND(U4979-AA4979,2)</f>
        <v/>
      </c>
      <c r="AC4979" t="b">
        <v>0</v>
      </c>
      <c r="AD4979">
        <f>IF(U4979="","MISSING_TOTAL",IF(ABS(AB4979)&lt;=0.01,"OK","CHECK"))</f>
        <v/>
      </c>
      <c r="AE4979">
        <f>IF(U4979="","MISSING",IF(AND(AA4979&gt;0,U4979/AA4979&gt;50),"POSSIBLE_SCALE_ERROR","OK"))</f>
        <v/>
      </c>
    </row>
    <row r="4980">
      <c r="A4980" t="inlineStr">
        <is>
          <t>T-2021-Q3-00010</t>
        </is>
      </c>
      <c r="B4980" t="inlineStr">
        <is>
          <t>SLE</t>
        </is>
      </c>
      <c r="C4980" t="inlineStr">
        <is>
          <t>President</t>
        </is>
      </c>
      <c r="D4980" t="inlineStr">
        <is>
          <t>Président</t>
        </is>
      </c>
      <c r="E4980" t="inlineStr">
        <is>
          <t>Francis McGuire</t>
        </is>
      </c>
      <c r="F4980" t="inlineStr">
        <is>
          <t>Meetings with Government of Canada officials and various stakeholders</t>
        </is>
      </c>
      <c r="G4980" t="inlineStr">
        <is>
          <t>Réunions avec des fonctionnaires du gouvernement du Canada et divers intervenants</t>
        </is>
      </c>
      <c r="H4980" s="1" t="n">
        <v>44120</v>
      </c>
      <c r="I4980" s="1" t="n">
        <v>44120</v>
      </c>
      <c r="J4980" t="inlineStr">
        <is>
          <t>Saint John, New Brunswick</t>
        </is>
      </c>
      <c r="K4980" t="inlineStr">
        <is>
          <t>Saint John (Nouveau-Brunswick)</t>
        </is>
      </c>
      <c r="P4980" t="n">
        <v>0</v>
      </c>
      <c r="Q4980" t="n">
        <v>0</v>
      </c>
      <c r="R4980" t="n">
        <v>0</v>
      </c>
      <c r="S4980" t="n">
        <v>51.65</v>
      </c>
      <c r="T4980" t="n">
        <v>0</v>
      </c>
      <c r="U4980" t="n">
        <v>51.65</v>
      </c>
      <c r="X4980" t="inlineStr">
        <is>
          <t>acoa-apeca</t>
        </is>
      </c>
      <c r="Y4980" t="inlineStr">
        <is>
          <t>Atlantic Canada Opportunities Agency | Agence de promotion économique du Canada atlantique</t>
        </is>
      </c>
      <c r="Z4980" t="n">
        <v>1</v>
      </c>
      <c r="AA4980" t="n">
        <v>51.65</v>
      </c>
      <c r="AB4980">
        <f>ROUND(U4980-AA4980,2)</f>
        <v/>
      </c>
      <c r="AC4980" t="b">
        <v>0</v>
      </c>
      <c r="AD4980">
        <f>IF(U4980="","MISSING_TOTAL",IF(ABS(AB4980)&lt;=0.01,"OK","CHECK"))</f>
        <v/>
      </c>
      <c r="AE4980">
        <f>IF(U4980="","MISSING",IF(AND(AA4980&gt;0,U4980/AA4980&gt;50),"POSSIBLE_SCALE_ERROR","OK"))</f>
        <v/>
      </c>
    </row>
    <row r="4981">
      <c r="A4981" t="inlineStr">
        <is>
          <t>T-2021-Q3-00009</t>
        </is>
      </c>
      <c r="B4981" t="inlineStr">
        <is>
          <t>SLE</t>
        </is>
      </c>
      <c r="C4981" t="inlineStr">
        <is>
          <t>President</t>
        </is>
      </c>
      <c r="D4981" t="inlineStr">
        <is>
          <t>Président</t>
        </is>
      </c>
      <c r="E4981" t="inlineStr">
        <is>
          <t>Francis McGuire</t>
        </is>
      </c>
      <c r="F4981" t="inlineStr">
        <is>
          <t>Meetings with Government of Canada officials and various stakeholders</t>
        </is>
      </c>
      <c r="G4981" t="inlineStr">
        <is>
          <t>Réunions avec des fonctionnaires du gouvernement du Canada et divers intervenants</t>
        </is>
      </c>
      <c r="H4981" s="1" t="n">
        <v>44126</v>
      </c>
      <c r="I4981" s="1" t="n">
        <v>44127</v>
      </c>
      <c r="J4981" t="inlineStr">
        <is>
          <t>Halifax, Nova Scotia</t>
        </is>
      </c>
      <c r="K4981" t="inlineStr">
        <is>
          <t>Halifax (Nouvelle-Écosse)</t>
        </is>
      </c>
      <c r="P4981" t="n">
        <v>0</v>
      </c>
      <c r="Q4981" t="n">
        <v>263.61</v>
      </c>
      <c r="R4981" t="n">
        <v>210.08</v>
      </c>
      <c r="S4981" t="n">
        <v>179.75</v>
      </c>
      <c r="T4981" t="n">
        <v>65.5</v>
      </c>
      <c r="U4981" t="n">
        <v>718.9400000000001</v>
      </c>
      <c r="X4981" t="inlineStr">
        <is>
          <t>acoa-apeca</t>
        </is>
      </c>
      <c r="Y4981" t="inlineStr">
        <is>
          <t>Atlantic Canada Opportunities Agency | Agence de promotion économique du Canada atlantique</t>
        </is>
      </c>
      <c r="Z4981" t="n">
        <v>2</v>
      </c>
      <c r="AA4981" t="n">
        <v>718.9400000000001</v>
      </c>
      <c r="AB4981">
        <f>ROUND(U4981-AA4981,2)</f>
        <v/>
      </c>
      <c r="AC4981" t="b">
        <v>0</v>
      </c>
      <c r="AD4981">
        <f>IF(U4981="","MISSING_TOTAL",IF(ABS(AB4981)&lt;=0.01,"OK","CHECK"))</f>
        <v/>
      </c>
      <c r="AE4981">
        <f>IF(U4981="","MISSING",IF(AND(AA4981&gt;0,U4981/AA4981&gt;50),"POSSIBLE_SCALE_ERROR","OK"))</f>
        <v/>
      </c>
    </row>
    <row r="4982">
      <c r="A4982" t="inlineStr">
        <is>
          <t>T-2021-Q3-00011</t>
        </is>
      </c>
      <c r="B4982" t="inlineStr">
        <is>
          <t>SLE</t>
        </is>
      </c>
      <c r="C4982" t="inlineStr">
        <is>
          <t>Vice-President, Finance and Corporate Services</t>
        </is>
      </c>
      <c r="D4982" t="inlineStr">
        <is>
          <t>Vice-président, Finance et Services corporatifs</t>
        </is>
      </c>
      <c r="E4982" t="inlineStr">
        <is>
          <t>Stephane Lagace</t>
        </is>
      </c>
      <c r="F4982" t="inlineStr">
        <is>
          <t>Meeting with ACOA officials</t>
        </is>
      </c>
      <c r="G4982" t="inlineStr">
        <is>
          <t>Réunion avec des fonctionnaires de l'APECA</t>
        </is>
      </c>
      <c r="H4982" s="1" t="n">
        <v>44088</v>
      </c>
      <c r="I4982" s="1" t="n">
        <v>44090</v>
      </c>
      <c r="J4982" t="inlineStr">
        <is>
          <t>Halifax, Nova Scotia</t>
        </is>
      </c>
      <c r="K4982" t="inlineStr">
        <is>
          <t>Halifax (Nouvelle-Écosse)</t>
        </is>
      </c>
      <c r="P4982" t="n">
        <v>0</v>
      </c>
      <c r="Q4982" t="n">
        <v>253</v>
      </c>
      <c r="R4982" t="n">
        <v>443</v>
      </c>
      <c r="S4982" t="n">
        <v>124.05</v>
      </c>
      <c r="T4982" t="n">
        <v>67.5</v>
      </c>
      <c r="U4982" t="n">
        <v>887.55</v>
      </c>
      <c r="X4982" t="inlineStr">
        <is>
          <t>acoa-apeca</t>
        </is>
      </c>
      <c r="Y4982" t="inlineStr">
        <is>
          <t>Atlantic Canada Opportunities Agency | Agence de promotion économique du Canada atlantique</t>
        </is>
      </c>
      <c r="Z4982" t="n">
        <v>3</v>
      </c>
      <c r="AA4982" t="n">
        <v>887.55</v>
      </c>
      <c r="AB4982">
        <f>ROUND(U4982-AA4982,2)</f>
        <v/>
      </c>
      <c r="AC4982" t="b">
        <v>0</v>
      </c>
      <c r="AD4982">
        <f>IF(U4982="","MISSING_TOTAL",IF(ABS(AB4982)&lt;=0.01,"OK","CHECK"))</f>
        <v/>
      </c>
      <c r="AE4982">
        <f>IF(U4982="","MISSING",IF(AND(AA4982&gt;0,U4982/AA4982&gt;50),"POSSIBLE_SCALE_ERROR","OK"))</f>
        <v/>
      </c>
    </row>
    <row r="4983">
      <c r="A4983" t="inlineStr">
        <is>
          <t>T-2021-Q3-00018</t>
        </is>
      </c>
      <c r="B4983" t="inlineStr">
        <is>
          <t>SLE</t>
        </is>
      </c>
      <c r="C4983" t="inlineStr">
        <is>
          <t>Vice-President, New Brunswick</t>
        </is>
      </c>
      <c r="D4983" t="inlineStr">
        <is>
          <t>Vice-président, Nouveau-Brunswick</t>
        </is>
      </c>
      <c r="E4983" t="inlineStr">
        <is>
          <t>Kent Estabrooks</t>
        </is>
      </c>
      <c r="F4983" t="inlineStr">
        <is>
          <t>Meeting with Provincial and Federal officials</t>
        </is>
      </c>
      <c r="G4983" t="inlineStr">
        <is>
          <t>Réunion avec des fonctionnaires provinciaux et fédéraux</t>
        </is>
      </c>
      <c r="H4983" s="1" t="n">
        <v>44140</v>
      </c>
      <c r="I4983" s="1" t="n">
        <v>44141</v>
      </c>
      <c r="J4983" t="inlineStr">
        <is>
          <t>St. Andrews, New Brunswick</t>
        </is>
      </c>
      <c r="K4983" t="inlineStr">
        <is>
          <t>St. Andrews (Nouveau-Brunswick)</t>
        </is>
      </c>
      <c r="P4983" t="n">
        <v>0</v>
      </c>
      <c r="Q4983" t="n">
        <v>132.82</v>
      </c>
      <c r="R4983" t="n">
        <v>164.65</v>
      </c>
      <c r="S4983" t="n">
        <v>128.35</v>
      </c>
      <c r="T4983" t="n">
        <v>0</v>
      </c>
      <c r="U4983" t="n">
        <v>425.82</v>
      </c>
      <c r="X4983" t="inlineStr">
        <is>
          <t>acoa-apeca</t>
        </is>
      </c>
      <c r="Y4983" t="inlineStr">
        <is>
          <t>Atlantic Canada Opportunities Agency | Agence de promotion économique du Canada atlantique</t>
        </is>
      </c>
      <c r="Z4983" t="n">
        <v>2</v>
      </c>
      <c r="AA4983" t="n">
        <v>425.82</v>
      </c>
      <c r="AB4983">
        <f>ROUND(U4983-AA4983,2)</f>
        <v/>
      </c>
      <c r="AC4983" t="b">
        <v>0</v>
      </c>
      <c r="AD4983">
        <f>IF(U4983="","MISSING_TOTAL",IF(ABS(AB4983)&lt;=0.01,"OK","CHECK"))</f>
        <v/>
      </c>
      <c r="AE4983">
        <f>IF(U4983="","MISSING",IF(AND(AA4983&gt;0,U4983/AA4983&gt;50),"POSSIBLE_SCALE_ERROR","OK"))</f>
        <v/>
      </c>
    </row>
    <row r="4984">
      <c r="A4984" t="inlineStr">
        <is>
          <t>T-2021-Q3-00017</t>
        </is>
      </c>
      <c r="B4984" t="inlineStr">
        <is>
          <t>SLE</t>
        </is>
      </c>
      <c r="C4984" t="inlineStr">
        <is>
          <t>Vice-President, New Brunswick</t>
        </is>
      </c>
      <c r="D4984" t="inlineStr">
        <is>
          <t>Vice-président, Nouveau-Brunswick</t>
        </is>
      </c>
      <c r="E4984" t="inlineStr">
        <is>
          <t>Kent Estabrooks</t>
        </is>
      </c>
      <c r="F4984" t="inlineStr">
        <is>
          <t>Meeting with Agency officials</t>
        </is>
      </c>
      <c r="G4984" t="inlineStr">
        <is>
          <t>Réunion avec des fonctionnaires de l'Agence</t>
        </is>
      </c>
      <c r="H4984" s="1" t="n">
        <v>44153</v>
      </c>
      <c r="I4984" s="1" t="n">
        <v>44154</v>
      </c>
      <c r="J4984" t="inlineStr">
        <is>
          <t>Moncton, New Brunswick</t>
        </is>
      </c>
      <c r="K4984" t="inlineStr">
        <is>
          <t>Moncton (Nouveau-Brunswick)</t>
        </is>
      </c>
      <c r="P4984" t="n">
        <v>0</v>
      </c>
      <c r="Q4984" t="n">
        <v>18.4</v>
      </c>
      <c r="R4984" t="n">
        <v>173.78</v>
      </c>
      <c r="S4984" t="n">
        <v>128.35</v>
      </c>
      <c r="T4984" t="n">
        <v>0</v>
      </c>
      <c r="U4984" t="n">
        <v>320.53</v>
      </c>
      <c r="X4984" t="inlineStr">
        <is>
          <t>acoa-apeca</t>
        </is>
      </c>
      <c r="Y4984" t="inlineStr">
        <is>
          <t>Atlantic Canada Opportunities Agency | Agence de promotion économique du Canada atlantique</t>
        </is>
      </c>
      <c r="Z4984" t="n">
        <v>2</v>
      </c>
      <c r="AA4984" t="n">
        <v>320.53</v>
      </c>
      <c r="AB4984">
        <f>ROUND(U4984-AA4984,2)</f>
        <v/>
      </c>
      <c r="AC4984" t="b">
        <v>0</v>
      </c>
      <c r="AD4984">
        <f>IF(U4984="","MISSING_TOTAL",IF(ABS(AB4984)&lt;=0.01,"OK","CHECK"))</f>
        <v/>
      </c>
      <c r="AE4984">
        <f>IF(U4984="","MISSING",IF(AND(AA4984&gt;0,U4984/AA4984&gt;50),"POSSIBLE_SCALE_ERROR","OK"))</f>
        <v/>
      </c>
    </row>
    <row r="4985">
      <c r="A4985" t="inlineStr">
        <is>
          <t>T-2021-Q3-00016</t>
        </is>
      </c>
      <c r="B4985" t="inlineStr">
        <is>
          <t>SLE</t>
        </is>
      </c>
      <c r="C4985" t="inlineStr">
        <is>
          <t>Vice-President, Prince Edward Island</t>
        </is>
      </c>
      <c r="D4985" t="inlineStr">
        <is>
          <t>Vice-président, Île-du-Prince-Édouard</t>
        </is>
      </c>
      <c r="E4985" t="inlineStr">
        <is>
          <t>Patrick Dorsey</t>
        </is>
      </c>
      <c r="F4985" t="inlineStr">
        <is>
          <t>Meeting with federal government official</t>
        </is>
      </c>
      <c r="G4985" t="inlineStr">
        <is>
          <t>Réunion avec un fonctionnaire du gouvernement fédéral</t>
        </is>
      </c>
      <c r="H4985" s="1" t="n">
        <v>44138</v>
      </c>
      <c r="I4985" s="1" t="n">
        <v>44138</v>
      </c>
      <c r="J4985" t="inlineStr">
        <is>
          <t>Miminegash, Prince Edward Island</t>
        </is>
      </c>
      <c r="K4985" t="inlineStr">
        <is>
          <t>Miminegash (Île-du-Prince-Édouard)</t>
        </is>
      </c>
      <c r="P4985" t="n">
        <v>0</v>
      </c>
      <c r="Q4985" t="n">
        <v>0</v>
      </c>
      <c r="R4985" t="n">
        <v>0</v>
      </c>
      <c r="S4985" t="n">
        <v>21.05</v>
      </c>
      <c r="T4985" t="n">
        <v>0</v>
      </c>
      <c r="U4985" t="n">
        <v>21.05</v>
      </c>
      <c r="X4985" t="inlineStr">
        <is>
          <t>acoa-apeca</t>
        </is>
      </c>
      <c r="Y4985" t="inlineStr">
        <is>
          <t>Atlantic Canada Opportunities Agency | Agence de promotion économique du Canada atlantique</t>
        </is>
      </c>
      <c r="Z4985" t="n">
        <v>1</v>
      </c>
      <c r="AA4985" t="n">
        <v>21.05</v>
      </c>
      <c r="AB4985">
        <f>ROUND(U4985-AA4985,2)</f>
        <v/>
      </c>
      <c r="AC4985" t="b">
        <v>0</v>
      </c>
      <c r="AD4985">
        <f>IF(U4985="","MISSING_TOTAL",IF(ABS(AB4985)&lt;=0.01,"OK","CHECK"))</f>
        <v/>
      </c>
      <c r="AE4985">
        <f>IF(U4985="","MISSING",IF(AND(AA4985&gt;0,U4985/AA4985&gt;50),"POSSIBLE_SCALE_ERROR","OK"))</f>
        <v/>
      </c>
    </row>
    <row r="4986">
      <c r="A4986" t="inlineStr">
        <is>
          <t>T-2021-Q3-00015</t>
        </is>
      </c>
      <c r="B4986" t="inlineStr">
        <is>
          <t>SLE</t>
        </is>
      </c>
      <c r="C4986" t="inlineStr">
        <is>
          <t>President</t>
        </is>
      </c>
      <c r="D4986" t="inlineStr">
        <is>
          <t>Président</t>
        </is>
      </c>
      <c r="E4986" t="inlineStr">
        <is>
          <t>Francis McGuire</t>
        </is>
      </c>
      <c r="F4986" t="inlineStr">
        <is>
          <t>Meetings with Government of Canada and Government of NB officials</t>
        </is>
      </c>
      <c r="G4986" t="inlineStr">
        <is>
          <t>Réunions avec des fonctionnaires du gouvernement du Canada et du gouvernement du Nouveau-Brunswick</t>
        </is>
      </c>
      <c r="H4986" s="1" t="n">
        <v>44140</v>
      </c>
      <c r="I4986" s="1" t="n">
        <v>44141</v>
      </c>
      <c r="J4986" t="inlineStr">
        <is>
          <t>St. Andrews, New Brunswick</t>
        </is>
      </c>
      <c r="K4986" t="inlineStr">
        <is>
          <t>St. Andrews (Nouveau-Brunswick)</t>
        </is>
      </c>
      <c r="P4986" t="n">
        <v>0</v>
      </c>
      <c r="Q4986" t="n">
        <v>0</v>
      </c>
      <c r="R4986" t="n">
        <v>148.06</v>
      </c>
      <c r="S4986" t="n">
        <v>128.1</v>
      </c>
      <c r="T4986" t="n">
        <v>0</v>
      </c>
      <c r="U4986" t="n">
        <v>276.16</v>
      </c>
      <c r="X4986" t="inlineStr">
        <is>
          <t>acoa-apeca</t>
        </is>
      </c>
      <c r="Y4986" t="inlineStr">
        <is>
          <t>Atlantic Canada Opportunities Agency | Agence de promotion économique du Canada atlantique</t>
        </is>
      </c>
      <c r="Z4986" t="n">
        <v>2</v>
      </c>
      <c r="AA4986" t="n">
        <v>276.159999999999</v>
      </c>
      <c r="AB4986">
        <f>ROUND(U4986-AA4986,2)</f>
        <v/>
      </c>
      <c r="AC4986" t="b">
        <v>0</v>
      </c>
      <c r="AD4986">
        <f>IF(U4986="","MISSING_TOTAL",IF(ABS(AB4986)&lt;=0.01,"OK","CHECK"))</f>
        <v/>
      </c>
      <c r="AE4986">
        <f>IF(U4986="","MISSING",IF(AND(AA4986&gt;0,U4986/AA4986&gt;50),"POSSIBLE_SCALE_ERROR","OK"))</f>
        <v/>
      </c>
    </row>
    <row r="4987">
      <c r="A4987" t="inlineStr">
        <is>
          <t>T-2021-Q3-00014</t>
        </is>
      </c>
      <c r="B4987" t="inlineStr">
        <is>
          <t>SLE</t>
        </is>
      </c>
      <c r="C4987" t="inlineStr">
        <is>
          <t>President</t>
        </is>
      </c>
      <c r="D4987" t="inlineStr">
        <is>
          <t>Président</t>
        </is>
      </c>
      <c r="E4987" t="inlineStr">
        <is>
          <t>Francis McGuire</t>
        </is>
      </c>
      <c r="F4987" t="inlineStr">
        <is>
          <t>Meetings with Government of Canada officials and various stakeholders</t>
        </is>
      </c>
      <c r="G4987" t="inlineStr">
        <is>
          <t>Réunions avec des fonctionnaires du gouvernement du Canada et divers intervenants</t>
        </is>
      </c>
      <c r="H4987" s="1" t="n">
        <v>44144</v>
      </c>
      <c r="I4987" s="1" t="n">
        <v>44145</v>
      </c>
      <c r="J4987" t="inlineStr">
        <is>
          <t>Edmundston, New Brunswick</t>
        </is>
      </c>
      <c r="K4987" t="inlineStr">
        <is>
          <t>Edmundston (Nouveau-Brunswick)</t>
        </is>
      </c>
      <c r="P4987" t="n">
        <v>0</v>
      </c>
      <c r="Q4987" t="n">
        <v>0</v>
      </c>
      <c r="R4987" t="n">
        <v>139.15</v>
      </c>
      <c r="S4987" t="n">
        <v>107.05</v>
      </c>
      <c r="T4987" t="n">
        <v>5.25</v>
      </c>
      <c r="U4987" t="n">
        <v>251.45</v>
      </c>
      <c r="X4987" t="inlineStr">
        <is>
          <t>acoa-apeca</t>
        </is>
      </c>
      <c r="Y4987" t="inlineStr">
        <is>
          <t>Atlantic Canada Opportunities Agency | Agence de promotion économique du Canada atlantique</t>
        </is>
      </c>
      <c r="Z4987" t="n">
        <v>2</v>
      </c>
      <c r="AA4987" t="n">
        <v>251.45</v>
      </c>
      <c r="AB4987">
        <f>ROUND(U4987-AA4987,2)</f>
        <v/>
      </c>
      <c r="AC4987" t="b">
        <v>0</v>
      </c>
      <c r="AD4987">
        <f>IF(U4987="","MISSING_TOTAL",IF(ABS(AB4987)&lt;=0.01,"OK","CHECK"))</f>
        <v/>
      </c>
      <c r="AE4987">
        <f>IF(U4987="","MISSING",IF(AND(AA4987&gt;0,U4987/AA4987&gt;50),"POSSIBLE_SCALE_ERROR","OK"))</f>
        <v/>
      </c>
    </row>
    <row r="4988">
      <c r="A4988" t="inlineStr">
        <is>
          <t>T-2021-Q4-00001</t>
        </is>
      </c>
      <c r="B4988" t="inlineStr">
        <is>
          <t>SLE</t>
        </is>
      </c>
      <c r="C4988" t="inlineStr">
        <is>
          <t>Vice-President, New Brunswick</t>
        </is>
      </c>
      <c r="D4988" t="inlineStr">
        <is>
          <t>Vice-président, Nouveau-Brunswick</t>
        </is>
      </c>
      <c r="E4988" t="inlineStr">
        <is>
          <t>Kent Estabrooks</t>
        </is>
      </c>
      <c r="F4988" t="inlineStr">
        <is>
          <t>External stakeholders meeting</t>
        </is>
      </c>
      <c r="G4988" t="inlineStr">
        <is>
          <t>Réunion avec des intervenants externes</t>
        </is>
      </c>
      <c r="H4988" s="1" t="n">
        <v>44182</v>
      </c>
      <c r="I4988" s="1" t="n">
        <v>44182</v>
      </c>
      <c r="J4988" t="inlineStr">
        <is>
          <t>Saint John, New Brunswick</t>
        </is>
      </c>
      <c r="K4988" t="inlineStr">
        <is>
          <t>Saint John (Nouveau-Brunswick)</t>
        </is>
      </c>
      <c r="P4988" t="n">
        <v>0</v>
      </c>
      <c r="Q4988" t="n">
        <v>0</v>
      </c>
      <c r="R4988" t="n">
        <v>0</v>
      </c>
      <c r="S4988" t="n">
        <v>51.65</v>
      </c>
      <c r="T4988" t="n">
        <v>0</v>
      </c>
      <c r="U4988" t="n">
        <v>51.65</v>
      </c>
      <c r="X4988" t="inlineStr">
        <is>
          <t>acoa-apeca</t>
        </is>
      </c>
      <c r="Y4988" t="inlineStr">
        <is>
          <t>Atlantic Canada Opportunities Agency | Agence de promotion économique du Canada atlantique</t>
        </is>
      </c>
      <c r="Z4988" t="n">
        <v>1</v>
      </c>
      <c r="AA4988" t="n">
        <v>51.65</v>
      </c>
      <c r="AB4988">
        <f>ROUND(U4988-AA4988,2)</f>
        <v/>
      </c>
      <c r="AC4988" t="b">
        <v>0</v>
      </c>
      <c r="AD4988">
        <f>IF(U4988="","MISSING_TOTAL",IF(ABS(AB4988)&lt;=0.01,"OK","CHECK"))</f>
        <v/>
      </c>
      <c r="AE4988">
        <f>IF(U4988="","MISSING",IF(AND(AA4988&gt;0,U4988/AA4988&gt;50),"POSSIBLE_SCALE_ERROR","OK"))</f>
        <v/>
      </c>
    </row>
    <row r="4989">
      <c r="A4989" t="inlineStr">
        <is>
          <t>T-2021-Q4-00002</t>
        </is>
      </c>
      <c r="B4989" t="inlineStr">
        <is>
          <t>SLE</t>
        </is>
      </c>
      <c r="C4989" t="inlineStr">
        <is>
          <t>Vice-President, Nova Scotia</t>
        </is>
      </c>
      <c r="D4989" t="inlineStr">
        <is>
          <t>Vice-président, Nouvelle-Écosse</t>
        </is>
      </c>
      <c r="E4989" t="inlineStr">
        <is>
          <t>Chuck Maillet</t>
        </is>
      </c>
      <c r="F4989" t="inlineStr">
        <is>
          <t>Meetings with ACOA staff and stakeholders</t>
        </is>
      </c>
      <c r="G4989" t="inlineStr">
        <is>
          <t>Réunions avec des employés de l'APECA et des intervenants</t>
        </is>
      </c>
      <c r="H4989" s="1" t="n">
        <v>44231</v>
      </c>
      <c r="I4989" s="1" t="n">
        <v>44232</v>
      </c>
      <c r="J4989" t="inlineStr">
        <is>
          <t>Various South West Nova Scotia locations</t>
        </is>
      </c>
      <c r="K4989" t="inlineStr">
        <is>
          <t>Divers endroits du sud-ouest de la Nouvelle-Écosse</t>
        </is>
      </c>
      <c r="P4989" t="n">
        <v>0</v>
      </c>
      <c r="Q4989" t="n">
        <v>277.68</v>
      </c>
      <c r="R4989" t="n">
        <v>0</v>
      </c>
      <c r="S4989" t="n">
        <v>93.5</v>
      </c>
      <c r="T4989" t="n">
        <v>0</v>
      </c>
      <c r="U4989" t="n">
        <v>371.18</v>
      </c>
      <c r="X4989" t="inlineStr">
        <is>
          <t>acoa-apeca</t>
        </is>
      </c>
      <c r="Y4989" t="inlineStr">
        <is>
          <t>Atlantic Canada Opportunities Agency | Agence de promotion économique du Canada atlantique</t>
        </is>
      </c>
      <c r="Z4989" t="n">
        <v>2</v>
      </c>
      <c r="AA4989" t="n">
        <v>371.18</v>
      </c>
      <c r="AB4989">
        <f>ROUND(U4989-AA4989,2)</f>
        <v/>
      </c>
      <c r="AC4989" t="b">
        <v>0</v>
      </c>
      <c r="AD4989">
        <f>IF(U4989="","MISSING_TOTAL",IF(ABS(AB4989)&lt;=0.01,"OK","CHECK"))</f>
        <v/>
      </c>
      <c r="AE4989">
        <f>IF(U4989="","MISSING",IF(AND(AA4989&gt;0,U4989/AA4989&gt;50),"POSSIBLE_SCALE_ERROR","OK"))</f>
        <v/>
      </c>
    </row>
    <row r="4990">
      <c r="A4990" t="inlineStr">
        <is>
          <t>T-2022-Q1-00001</t>
        </is>
      </c>
      <c r="B4990" t="inlineStr">
        <is>
          <t>SLE</t>
        </is>
      </c>
      <c r="C4990" t="inlineStr">
        <is>
          <t>President</t>
        </is>
      </c>
      <c r="D4990" t="inlineStr">
        <is>
          <t>Président</t>
        </is>
      </c>
      <c r="E4990" t="inlineStr">
        <is>
          <t>Francis McGuire</t>
        </is>
      </c>
      <c r="F4990" t="inlineStr">
        <is>
          <t>Meetings with government and private sector officials</t>
        </is>
      </c>
      <c r="G4990" t="inlineStr">
        <is>
          <t>Réunions avec des fonctionnaires et des représentants du secteur privé</t>
        </is>
      </c>
      <c r="H4990" s="1" t="n">
        <v>44273</v>
      </c>
      <c r="I4990" s="1" t="n">
        <v>44273</v>
      </c>
      <c r="J4990" t="inlineStr">
        <is>
          <t>Saint John, New Brunswick</t>
        </is>
      </c>
      <c r="K4990" t="inlineStr">
        <is>
          <t>Saint John (Nouveau-Brunswick)</t>
        </is>
      </c>
      <c r="P4990" t="n">
        <v>0</v>
      </c>
      <c r="Q4990" t="n">
        <v>124.63</v>
      </c>
      <c r="R4990" t="n">
        <v>0</v>
      </c>
      <c r="S4990" t="n">
        <v>21.05</v>
      </c>
      <c r="T4990" t="n">
        <v>0</v>
      </c>
      <c r="U4990" t="n">
        <v>145.68</v>
      </c>
      <c r="X4990" t="inlineStr">
        <is>
          <t>acoa-apeca</t>
        </is>
      </c>
      <c r="Y4990" t="inlineStr">
        <is>
          <t>Atlantic Canada Opportunities Agency | Agence de promotion économique du Canada atlantique</t>
        </is>
      </c>
      <c r="Z4990" t="n">
        <v>1</v>
      </c>
      <c r="AA4990" t="n">
        <v>145.68</v>
      </c>
      <c r="AB4990">
        <f>ROUND(U4990-AA4990,2)</f>
        <v/>
      </c>
      <c r="AC4990" t="b">
        <v>0</v>
      </c>
      <c r="AD4990">
        <f>IF(U4990="","MISSING_TOTAL",IF(ABS(AB4990)&lt;=0.01,"OK","CHECK"))</f>
        <v/>
      </c>
      <c r="AE4990">
        <f>IF(U4990="","MISSING",IF(AND(AA4990&gt;0,U4990/AA4990&gt;50),"POSSIBLE_SCALE_ERROR","OK"))</f>
        <v/>
      </c>
    </row>
    <row r="4991">
      <c r="A4991" t="inlineStr">
        <is>
          <t>T-2022-Q1-00003</t>
        </is>
      </c>
      <c r="B4991" t="inlineStr">
        <is>
          <t>SLE</t>
        </is>
      </c>
      <c r="C4991" t="inlineStr">
        <is>
          <t>Vice-President, Prince Edward Island</t>
        </is>
      </c>
      <c r="D4991" t="inlineStr">
        <is>
          <t>Vice-président, Île-du-Prince-Édouard</t>
        </is>
      </c>
      <c r="E4991" t="inlineStr">
        <is>
          <t>Patrick Dorsey</t>
        </is>
      </c>
      <c r="F4991" t="inlineStr">
        <is>
          <t>Meeting with federal government official</t>
        </is>
      </c>
      <c r="G4991" t="inlineStr">
        <is>
          <t>Rencontre avec un fonctionnaire fédéral</t>
        </is>
      </c>
      <c r="H4991" s="1" t="n">
        <v>44286</v>
      </c>
      <c r="I4991" s="1" t="n">
        <v>44286</v>
      </c>
      <c r="J4991" t="inlineStr">
        <is>
          <t>Summerside, Prince Edward Island</t>
        </is>
      </c>
      <c r="K4991" t="inlineStr">
        <is>
          <t>Summerside (Île-du-Prince-Édouard)</t>
        </is>
      </c>
      <c r="P4991" t="n">
        <v>0</v>
      </c>
      <c r="Q4991" t="n">
        <v>61</v>
      </c>
      <c r="R4991" t="n">
        <v>0</v>
      </c>
      <c r="S4991" t="n">
        <v>0</v>
      </c>
      <c r="T4991" t="n">
        <v>0</v>
      </c>
      <c r="U4991" t="n">
        <v>61</v>
      </c>
      <c r="X4991" t="inlineStr">
        <is>
          <t>acoa-apeca</t>
        </is>
      </c>
      <c r="Y4991" t="inlineStr">
        <is>
          <t>Atlantic Canada Opportunities Agency | Agence de promotion économique du Canada atlantique</t>
        </is>
      </c>
      <c r="Z4991" t="n">
        <v>1</v>
      </c>
      <c r="AA4991" t="n">
        <v>61</v>
      </c>
      <c r="AB4991">
        <f>ROUND(U4991-AA4991,2)</f>
        <v/>
      </c>
      <c r="AC4991" t="b">
        <v>0</v>
      </c>
      <c r="AD4991">
        <f>IF(U4991="","MISSING_TOTAL",IF(ABS(AB4991)&lt;=0.01,"OK","CHECK"))</f>
        <v/>
      </c>
      <c r="AE4991">
        <f>IF(U4991="","MISSING",IF(AND(AA4991&gt;0,U4991/AA4991&gt;50),"POSSIBLE_SCALE_ERROR","OK"))</f>
        <v/>
      </c>
    </row>
    <row r="4992">
      <c r="A4992" t="inlineStr">
        <is>
          <t>T-2022-Q1-00002</t>
        </is>
      </c>
      <c r="B4992" t="inlineStr">
        <is>
          <t>SLE</t>
        </is>
      </c>
      <c r="C4992" t="inlineStr">
        <is>
          <t>Vice-President, Prince Edward Island</t>
        </is>
      </c>
      <c r="D4992" t="inlineStr">
        <is>
          <t>Vice-président, Île-du-Prince-Édouard</t>
        </is>
      </c>
      <c r="E4992" t="inlineStr">
        <is>
          <t>Patrick Dorsey</t>
        </is>
      </c>
      <c r="F4992" t="inlineStr">
        <is>
          <t>To attend a meeting with stakeholders</t>
        </is>
      </c>
      <c r="G4992" t="inlineStr">
        <is>
          <t>Participer à une rencontre avec des intervenants</t>
        </is>
      </c>
      <c r="H4992" s="1" t="n">
        <v>44277</v>
      </c>
      <c r="I4992" s="1" t="n">
        <v>44277</v>
      </c>
      <c r="J4992" t="inlineStr">
        <is>
          <t>Georgetown, Prince Edward Island</t>
        </is>
      </c>
      <c r="K4992" t="inlineStr">
        <is>
          <t>Georgetown (Île-du-Prince-Édouard)</t>
        </is>
      </c>
      <c r="P4992" t="n">
        <v>0</v>
      </c>
      <c r="Q4992" t="n">
        <v>52.5</v>
      </c>
      <c r="R4992" t="n">
        <v>0</v>
      </c>
      <c r="S4992" t="n">
        <v>0</v>
      </c>
      <c r="T4992" t="n">
        <v>0</v>
      </c>
      <c r="U4992" t="n">
        <v>52.5</v>
      </c>
      <c r="X4992" t="inlineStr">
        <is>
          <t>acoa-apeca</t>
        </is>
      </c>
      <c r="Y4992" t="inlineStr">
        <is>
          <t>Atlantic Canada Opportunities Agency | Agence de promotion économique du Canada atlantique</t>
        </is>
      </c>
      <c r="Z4992" t="n">
        <v>1</v>
      </c>
      <c r="AA4992" t="n">
        <v>52.5</v>
      </c>
      <c r="AB4992">
        <f>ROUND(U4992-AA4992,2)</f>
        <v/>
      </c>
      <c r="AC4992" t="b">
        <v>0</v>
      </c>
      <c r="AD4992">
        <f>IF(U4992="","MISSING_TOTAL",IF(ABS(AB4992)&lt;=0.01,"OK","CHECK"))</f>
        <v/>
      </c>
      <c r="AE4992">
        <f>IF(U4992="","MISSING",IF(AND(AA4992&gt;0,U4992/AA4992&gt;50),"POSSIBLE_SCALE_ERROR","OK"))</f>
        <v/>
      </c>
    </row>
    <row r="4993">
      <c r="A4993" t="inlineStr">
        <is>
          <t>T-2022-Q1-00004</t>
        </is>
      </c>
      <c r="B4993" t="inlineStr">
        <is>
          <t>SLE</t>
        </is>
      </c>
      <c r="C4993" t="inlineStr">
        <is>
          <t>Vice-President, Prince Edward Island</t>
        </is>
      </c>
      <c r="D4993" t="inlineStr">
        <is>
          <t>Vice-président, Île-du-Prince-Édouard</t>
        </is>
      </c>
      <c r="E4993" t="inlineStr">
        <is>
          <t>Patrick Dorsey</t>
        </is>
      </c>
      <c r="F4993" t="inlineStr">
        <is>
          <t>Stakeholder meeting</t>
        </is>
      </c>
      <c r="G4993" t="inlineStr">
        <is>
          <t>Réunion avec un intervenant</t>
        </is>
      </c>
      <c r="H4993" s="1" t="n">
        <v>44294</v>
      </c>
      <c r="I4993" s="1" t="n">
        <v>44294</v>
      </c>
      <c r="J4993" t="inlineStr">
        <is>
          <t>Souris, Prince Edward Island</t>
        </is>
      </c>
      <c r="K4993" t="inlineStr">
        <is>
          <t>Souris (Île-du-Prince-Édouard)</t>
        </is>
      </c>
      <c r="P4993" t="n">
        <v>0</v>
      </c>
      <c r="Q4993" t="n">
        <v>0</v>
      </c>
      <c r="R4993" t="n">
        <v>0</v>
      </c>
      <c r="S4993" t="n">
        <v>21.35</v>
      </c>
      <c r="T4993" t="n">
        <v>0</v>
      </c>
      <c r="U4993" t="n">
        <v>21.35</v>
      </c>
      <c r="X4993" t="inlineStr">
        <is>
          <t>acoa-apeca</t>
        </is>
      </c>
      <c r="Y4993" t="inlineStr">
        <is>
          <t>Atlantic Canada Opportunities Agency | Agence de promotion économique du Canada atlantique</t>
        </is>
      </c>
      <c r="Z4993" t="n">
        <v>1</v>
      </c>
      <c r="AA4993" t="n">
        <v>21.35</v>
      </c>
      <c r="AB4993">
        <f>ROUND(U4993-AA4993,2)</f>
        <v/>
      </c>
      <c r="AC4993" t="b">
        <v>0</v>
      </c>
      <c r="AD4993">
        <f>IF(U4993="","MISSING_TOTAL",IF(ABS(AB4993)&lt;=0.01,"OK","CHECK"))</f>
        <v/>
      </c>
      <c r="AE4993">
        <f>IF(U4993="","MISSING",IF(AND(AA4993&gt;0,U4993/AA4993&gt;50),"POSSIBLE_SCALE_ERROR","OK"))</f>
        <v/>
      </c>
    </row>
    <row r="4994">
      <c r="A4994" t="inlineStr">
        <is>
          <t>T-2022-Q1-00006</t>
        </is>
      </c>
      <c r="B4994" t="inlineStr">
        <is>
          <t>SLE</t>
        </is>
      </c>
      <c r="C4994" t="inlineStr">
        <is>
          <t>Vice-President, Prince Edward Island</t>
        </is>
      </c>
      <c r="D4994" t="inlineStr">
        <is>
          <t>Vice-président, Île-du-Prince-Édouard</t>
        </is>
      </c>
      <c r="E4994" t="inlineStr">
        <is>
          <t>Patrick Dorsey</t>
        </is>
      </c>
      <c r="F4994" t="inlineStr">
        <is>
          <t>Stakeholder meeting</t>
        </is>
      </c>
      <c r="G4994" t="inlineStr">
        <is>
          <t>Réunion d'intervenants</t>
        </is>
      </c>
      <c r="H4994" s="1" t="n">
        <v>44344</v>
      </c>
      <c r="I4994" s="1" t="n">
        <v>44344</v>
      </c>
      <c r="J4994" t="inlineStr">
        <is>
          <t>Morell, Prince Edward Island</t>
        </is>
      </c>
      <c r="K4994" t="inlineStr">
        <is>
          <t>Morell (Île-du-Prince-Édouard)</t>
        </is>
      </c>
      <c r="P4994" t="n">
        <v>0</v>
      </c>
      <c r="Q4994" t="n">
        <v>0</v>
      </c>
      <c r="R4994" t="n">
        <v>0</v>
      </c>
      <c r="S4994" t="n">
        <v>0</v>
      </c>
      <c r="T4994" t="n">
        <v>45.39</v>
      </c>
      <c r="U4994" t="n">
        <v>45.39</v>
      </c>
      <c r="X4994" t="inlineStr">
        <is>
          <t>acoa-apeca</t>
        </is>
      </c>
      <c r="Y4994" t="inlineStr">
        <is>
          <t>Atlantic Canada Opportunities Agency | Agence de promotion économique du Canada atlantique</t>
        </is>
      </c>
      <c r="Z4994" t="n">
        <v>1</v>
      </c>
      <c r="AA4994" t="n">
        <v>45.39</v>
      </c>
      <c r="AB4994">
        <f>ROUND(U4994-AA4994,2)</f>
        <v/>
      </c>
      <c r="AC4994" t="b">
        <v>0</v>
      </c>
      <c r="AD4994">
        <f>IF(U4994="","MISSING_TOTAL",IF(ABS(AB4994)&lt;=0.01,"OK","CHECK"))</f>
        <v/>
      </c>
      <c r="AE4994">
        <f>IF(U4994="","MISSING",IF(AND(AA4994&gt;0,U4994/AA4994&gt;50),"POSSIBLE_SCALE_ERROR","OK"))</f>
        <v/>
      </c>
    </row>
    <row r="4995">
      <c r="A4995" t="inlineStr">
        <is>
          <t>T-2022-Q1-00005</t>
        </is>
      </c>
      <c r="B4995" t="inlineStr">
        <is>
          <t>SLE</t>
        </is>
      </c>
      <c r="C4995" t="inlineStr">
        <is>
          <t>Vice-President, Prince Edward Island</t>
        </is>
      </c>
      <c r="D4995" t="inlineStr">
        <is>
          <t>Vice-président, Île-du-Prince-Édouard</t>
        </is>
      </c>
      <c r="E4995" t="inlineStr">
        <is>
          <t>Patrick Dorsey</t>
        </is>
      </c>
      <c r="F4995" t="inlineStr">
        <is>
          <t>Operational requirements (meetings)</t>
        </is>
      </c>
      <c r="G4995" t="inlineStr">
        <is>
          <t>Exigences opérationnelles (réunions)</t>
        </is>
      </c>
      <c r="H4995" s="1" t="n">
        <v>44320</v>
      </c>
      <c r="I4995" s="1" t="n">
        <v>44320</v>
      </c>
      <c r="J4995" t="inlineStr">
        <is>
          <t>Kensington, Prince Edward Island</t>
        </is>
      </c>
      <c r="K4995" t="inlineStr">
        <is>
          <t>Kensington (Île-du-Prince-Édouard)</t>
        </is>
      </c>
      <c r="P4995" t="n">
        <v>0</v>
      </c>
      <c r="Q4995" t="n">
        <v>0</v>
      </c>
      <c r="R4995" t="n">
        <v>0</v>
      </c>
      <c r="S4995" t="n">
        <v>0</v>
      </c>
      <c r="T4995" t="n">
        <v>54.06</v>
      </c>
      <c r="U4995" t="n">
        <v>54.06</v>
      </c>
      <c r="X4995" t="inlineStr">
        <is>
          <t>acoa-apeca</t>
        </is>
      </c>
      <c r="Y4995" t="inlineStr">
        <is>
          <t>Atlantic Canada Opportunities Agency | Agence de promotion économique du Canada atlantique</t>
        </is>
      </c>
      <c r="Z4995" t="n">
        <v>1</v>
      </c>
      <c r="AA4995" t="n">
        <v>54.06</v>
      </c>
      <c r="AB4995">
        <f>ROUND(U4995-AA4995,2)</f>
        <v/>
      </c>
      <c r="AC4995" t="b">
        <v>0</v>
      </c>
      <c r="AD4995">
        <f>IF(U4995="","MISSING_TOTAL",IF(ABS(AB4995)&lt;=0.01,"OK","CHECK"))</f>
        <v/>
      </c>
      <c r="AE4995">
        <f>IF(U4995="","MISSING",IF(AND(AA4995&gt;0,U4995/AA4995&gt;50),"POSSIBLE_SCALE_ERROR","OK"))</f>
        <v/>
      </c>
    </row>
    <row r="4996">
      <c r="A4996" t="inlineStr">
        <is>
          <t>T-2022-Q2-00002</t>
        </is>
      </c>
      <c r="B4996" t="inlineStr">
        <is>
          <t>SLE</t>
        </is>
      </c>
      <c r="C4996" t="inlineStr">
        <is>
          <t>Vice-President, Nova Scotia</t>
        </is>
      </c>
      <c r="D4996" t="inlineStr">
        <is>
          <t>Vice-président, Nouvelle-Écosse</t>
        </is>
      </c>
      <c r="E4996" t="inlineStr">
        <is>
          <t>Chuck Maillet</t>
        </is>
      </c>
      <c r="F4996" t="inlineStr">
        <is>
          <t>Meetings with ACOA officials, clients and stakeholders</t>
        </is>
      </c>
      <c r="G4996" t="inlineStr">
        <is>
          <t>Réunions avec des fonctionnaires de l'APECA ainsi que des clients et des intervenants</t>
        </is>
      </c>
      <c r="H4996" s="1" t="n">
        <v>44363</v>
      </c>
      <c r="I4996" s="1" t="n">
        <v>44365</v>
      </c>
      <c r="J4996" t="inlineStr">
        <is>
          <t>Sydney, Nova Scotia</t>
        </is>
      </c>
      <c r="K4996" t="inlineStr">
        <is>
          <t>Sydney (Nouvelle-Écosse)</t>
        </is>
      </c>
      <c r="P4996" t="n">
        <v>0</v>
      </c>
      <c r="Q4996" t="n">
        <v>0</v>
      </c>
      <c r="R4996" t="n">
        <v>288.56</v>
      </c>
      <c r="S4996" t="n">
        <v>262.95</v>
      </c>
      <c r="T4996" t="n">
        <v>0</v>
      </c>
      <c r="U4996" t="n">
        <v>551.51</v>
      </c>
      <c r="X4996" t="inlineStr">
        <is>
          <t>acoa-apeca</t>
        </is>
      </c>
      <c r="Y4996" t="inlineStr">
        <is>
          <t>Atlantic Canada Opportunities Agency | Agence de promotion économique du Canada atlantique</t>
        </is>
      </c>
      <c r="Z4996" t="n">
        <v>3</v>
      </c>
      <c r="AA4996" t="n">
        <v>551.51</v>
      </c>
      <c r="AB4996">
        <f>ROUND(U4996-AA4996,2)</f>
        <v/>
      </c>
      <c r="AC4996" t="b">
        <v>0</v>
      </c>
      <c r="AD4996">
        <f>IF(U4996="","MISSING_TOTAL",IF(ABS(AB4996)&lt;=0.01,"OK","CHECK"))</f>
        <v/>
      </c>
      <c r="AE4996">
        <f>IF(U4996="","MISSING",IF(AND(AA4996&gt;0,U4996/AA4996&gt;50),"POSSIBLE_SCALE_ERROR","OK"))</f>
        <v/>
      </c>
    </row>
    <row r="4997">
      <c r="A4997" t="inlineStr">
        <is>
          <t>T-2022-Q2-00001</t>
        </is>
      </c>
      <c r="B4997" t="inlineStr">
        <is>
          <t>SLE</t>
        </is>
      </c>
      <c r="C4997" t="inlineStr">
        <is>
          <t>President</t>
        </is>
      </c>
      <c r="D4997" t="inlineStr">
        <is>
          <t>Président</t>
        </is>
      </c>
      <c r="E4997" t="inlineStr">
        <is>
          <t>Francis McGuire</t>
        </is>
      </c>
      <c r="F4997" t="inlineStr">
        <is>
          <t>Meetings with government officials and stakeholders</t>
        </is>
      </c>
      <c r="G4997" t="inlineStr">
        <is>
          <t>Réunions avec des représentants gouvernementaux et des intervenants</t>
        </is>
      </c>
      <c r="H4997" s="1" t="n">
        <v>44357</v>
      </c>
      <c r="I4997" s="1" t="n">
        <v>44358</v>
      </c>
      <c r="J4997" t="inlineStr">
        <is>
          <t>Miramichi, New Brunswick</t>
        </is>
      </c>
      <c r="K4997" t="inlineStr">
        <is>
          <t>Miramichi (Nouveau-Brunswick)</t>
        </is>
      </c>
      <c r="P4997" t="n">
        <v>0</v>
      </c>
      <c r="Q4997" t="n">
        <v>149.76</v>
      </c>
      <c r="R4997" t="n">
        <v>148.79</v>
      </c>
      <c r="S4997" t="n">
        <v>108.1</v>
      </c>
      <c r="T4997" t="n">
        <v>0</v>
      </c>
      <c r="U4997" t="n">
        <v>406.65</v>
      </c>
      <c r="X4997" t="inlineStr">
        <is>
          <t>acoa-apeca</t>
        </is>
      </c>
      <c r="Y4997" t="inlineStr">
        <is>
          <t>Atlantic Canada Opportunities Agency | Agence de promotion économique du Canada atlantique</t>
        </is>
      </c>
      <c r="Z4997" t="n">
        <v>2</v>
      </c>
      <c r="AA4997" t="n">
        <v>406.65</v>
      </c>
      <c r="AB4997">
        <f>ROUND(U4997-AA4997,2)</f>
        <v/>
      </c>
      <c r="AC4997" t="b">
        <v>0</v>
      </c>
      <c r="AD4997">
        <f>IF(U4997="","MISSING_TOTAL",IF(ABS(AB4997)&lt;=0.01,"OK","CHECK"))</f>
        <v/>
      </c>
      <c r="AE4997">
        <f>IF(U4997="","MISSING",IF(AND(AA4997&gt;0,U4997/AA4997&gt;50),"POSSIBLE_SCALE_ERROR","OK"))</f>
        <v/>
      </c>
    </row>
    <row r="4998">
      <c r="A4998" t="inlineStr">
        <is>
          <t>T-2022-Q1-00007</t>
        </is>
      </c>
      <c r="B4998" t="inlineStr">
        <is>
          <t>SLE</t>
        </is>
      </c>
      <c r="C4998" t="inlineStr">
        <is>
          <t>Vice-President, Prince Edward Island</t>
        </is>
      </c>
      <c r="D4998" t="inlineStr">
        <is>
          <t>Vice-président, Île-du-Prince-Édouard</t>
        </is>
      </c>
      <c r="E4998" t="inlineStr">
        <is>
          <t>Patrick Dorsey</t>
        </is>
      </c>
      <c r="F4998" t="inlineStr">
        <is>
          <t>Stakeholder meeting</t>
        </is>
      </c>
      <c r="G4998" t="inlineStr">
        <is>
          <t>Réunion avec des intervenants</t>
        </is>
      </c>
      <c r="H4998" s="1" t="n">
        <v>44326</v>
      </c>
      <c r="I4998" s="1" t="n">
        <v>44326</v>
      </c>
      <c r="J4998" t="inlineStr">
        <is>
          <t>Morell, Prince Edward Island</t>
        </is>
      </c>
      <c r="K4998" t="inlineStr">
        <is>
          <t>Morell (Île-du-Prince-Édouard)</t>
        </is>
      </c>
      <c r="P4998" t="n">
        <v>0</v>
      </c>
      <c r="Q4998" t="n">
        <v>0</v>
      </c>
      <c r="R4998" t="n">
        <v>0</v>
      </c>
      <c r="S4998" t="n">
        <v>0</v>
      </c>
      <c r="T4998" t="n">
        <v>45.39</v>
      </c>
      <c r="U4998" t="n">
        <v>45.39</v>
      </c>
      <c r="X4998" t="inlineStr">
        <is>
          <t>acoa-apeca</t>
        </is>
      </c>
      <c r="Y4998" t="inlineStr">
        <is>
          <t>Atlantic Canada Opportunities Agency | Agence de promotion économique du Canada atlantique</t>
        </is>
      </c>
      <c r="Z4998" t="n">
        <v>1</v>
      </c>
      <c r="AA4998" t="n">
        <v>45.39</v>
      </c>
      <c r="AB4998">
        <f>ROUND(U4998-AA4998,2)</f>
        <v/>
      </c>
      <c r="AC4998" t="b">
        <v>0</v>
      </c>
      <c r="AD4998">
        <f>IF(U4998="","MISSING_TOTAL",IF(ABS(AB4998)&lt;=0.01,"OK","CHECK"))</f>
        <v/>
      </c>
      <c r="AE4998">
        <f>IF(U4998="","MISSING",IF(AND(AA4998&gt;0,U4998/AA4998&gt;50),"POSSIBLE_SCALE_ERROR","OK"))</f>
        <v/>
      </c>
    </row>
    <row r="4999">
      <c r="A4999" t="inlineStr">
        <is>
          <t>T-2022-Q2-00009</t>
        </is>
      </c>
      <c r="B4999" t="inlineStr">
        <is>
          <t>SLE</t>
        </is>
      </c>
      <c r="C4999" t="inlineStr">
        <is>
          <t>Vice-President, Prince Edward Island</t>
        </is>
      </c>
      <c r="D4999" t="inlineStr">
        <is>
          <t>Vice-président, Île-du-Prince-Édouard</t>
        </is>
      </c>
      <c r="E4999" t="inlineStr">
        <is>
          <t>Patrick Dorsey</t>
        </is>
      </c>
      <c r="F4999" t="inlineStr">
        <is>
          <t>Stakeholder meeting</t>
        </is>
      </c>
      <c r="G4999" t="inlineStr">
        <is>
          <t>Réunion avec des intervenants</t>
        </is>
      </c>
      <c r="H4999" s="1" t="n">
        <v>44407</v>
      </c>
      <c r="I4999" s="1" t="n">
        <v>44407</v>
      </c>
      <c r="J4999" t="inlineStr">
        <is>
          <t>Morell, Prince Edward Island</t>
        </is>
      </c>
      <c r="K4999" t="inlineStr">
        <is>
          <t>Morell (Île-du-Prince-Édouard)</t>
        </is>
      </c>
      <c r="P4999" t="n">
        <v>0</v>
      </c>
      <c r="Q4999" t="n">
        <v>0</v>
      </c>
      <c r="R4999" t="n">
        <v>0</v>
      </c>
      <c r="S4999" t="n">
        <v>21.35</v>
      </c>
      <c r="T4999" t="n">
        <v>86.22</v>
      </c>
      <c r="U4999" t="n">
        <v>107.57</v>
      </c>
      <c r="X4999" t="inlineStr">
        <is>
          <t>acoa-apeca</t>
        </is>
      </c>
      <c r="Y4999" t="inlineStr">
        <is>
          <t>Atlantic Canada Opportunities Agency | Agence de promotion économique du Canada atlantique</t>
        </is>
      </c>
      <c r="Z4999" t="n">
        <v>1</v>
      </c>
      <c r="AA4999" t="n">
        <v>107.57</v>
      </c>
      <c r="AB4999">
        <f>ROUND(U4999-AA4999,2)</f>
        <v/>
      </c>
      <c r="AC4999" t="b">
        <v>0</v>
      </c>
      <c r="AD4999">
        <f>IF(U4999="","MISSING_TOTAL",IF(ABS(AB4999)&lt;=0.01,"OK","CHECK"))</f>
        <v/>
      </c>
      <c r="AE4999">
        <f>IF(U4999="","MISSING",IF(AND(AA4999&gt;0,U4999/AA4999&gt;50),"POSSIBLE_SCALE_ERROR","OK"))</f>
        <v/>
      </c>
    </row>
    <row r="5000">
      <c r="A5000" t="inlineStr">
        <is>
          <t>T-2022-Q2-00008</t>
        </is>
      </c>
      <c r="B5000" t="inlineStr">
        <is>
          <t>SLE</t>
        </is>
      </c>
      <c r="C5000" t="inlineStr">
        <is>
          <t>Vice-President, Newfoundland and Labrador</t>
        </is>
      </c>
      <c r="D5000" t="inlineStr">
        <is>
          <t>Vice-président, Terre-Neuve-et-Labrador</t>
        </is>
      </c>
      <c r="E5000" t="inlineStr">
        <is>
          <t>Karen Skinner</t>
        </is>
      </c>
      <c r="F5000" t="inlineStr">
        <is>
          <t>Attend meetings with government officials and clients</t>
        </is>
      </c>
      <c r="G5000" t="inlineStr">
        <is>
          <t>Assister à des réunions avec des fonctionnaires et des clients</t>
        </is>
      </c>
      <c r="H5000" s="1" t="n">
        <v>44403</v>
      </c>
      <c r="I5000" s="1" t="n">
        <v>44405</v>
      </c>
      <c r="J5000" t="inlineStr">
        <is>
          <t>Fredericton, New Brunswick</t>
        </is>
      </c>
      <c r="K5000" t="inlineStr">
        <is>
          <t>Fredericton (Nouveau-Brunswick)</t>
        </is>
      </c>
      <c r="P5000" t="n">
        <v>662.11</v>
      </c>
      <c r="Q5000" t="n">
        <v>28.18</v>
      </c>
      <c r="R5000" t="n">
        <v>342.8</v>
      </c>
      <c r="S5000" t="n">
        <v>262.7</v>
      </c>
      <c r="T5000" t="n">
        <v>0</v>
      </c>
      <c r="U5000" t="n">
        <v>1295.79</v>
      </c>
      <c r="X5000" t="inlineStr">
        <is>
          <t>acoa-apeca</t>
        </is>
      </c>
      <c r="Y5000" t="inlineStr">
        <is>
          <t>Atlantic Canada Opportunities Agency | Agence de promotion économique du Canada atlantique</t>
        </is>
      </c>
      <c r="Z5000" t="n">
        <v>3</v>
      </c>
      <c r="AA5000" t="n">
        <v>1295.79</v>
      </c>
      <c r="AB5000">
        <f>ROUND(U5000-AA5000,2)</f>
        <v/>
      </c>
      <c r="AC5000" t="b">
        <v>0</v>
      </c>
      <c r="AD5000">
        <f>IF(U5000="","MISSING_TOTAL",IF(ABS(AB5000)&lt;=0.01,"OK","CHECK"))</f>
        <v/>
      </c>
      <c r="AE5000">
        <f>IF(U5000="","MISSING",IF(AND(AA5000&gt;0,U5000/AA5000&gt;50),"POSSIBLE_SCALE_ERROR","OK"))</f>
        <v/>
      </c>
    </row>
    <row r="5001">
      <c r="A5001" t="inlineStr">
        <is>
          <t>T-2022-Q2-00003</t>
        </is>
      </c>
      <c r="B5001" t="inlineStr">
        <is>
          <t>SLE</t>
        </is>
      </c>
      <c r="C5001" t="inlineStr">
        <is>
          <t>Vice-President, Newfoundland and Labrador</t>
        </is>
      </c>
      <c r="D5001" t="inlineStr">
        <is>
          <t>Vice-président, Terre-Neuve-et-Labrador</t>
        </is>
      </c>
      <c r="E5001" t="inlineStr">
        <is>
          <t>Karen Skinner</t>
        </is>
      </c>
      <c r="F5001" t="inlineStr">
        <is>
          <t>Attend meetings with government officials and clients</t>
        </is>
      </c>
      <c r="G5001" t="inlineStr">
        <is>
          <t>Assister à des réunions avec des fonctionnaires et des clients</t>
        </is>
      </c>
      <c r="H5001" s="1" t="n">
        <v>44389</v>
      </c>
      <c r="I5001" s="1" t="n">
        <v>44390</v>
      </c>
      <c r="J5001" t="inlineStr">
        <is>
          <t>Halifax, Nova Scotia</t>
        </is>
      </c>
      <c r="K5001" t="inlineStr">
        <is>
          <t>Halifax (Nouvelle-Écosse)</t>
        </is>
      </c>
      <c r="P5001" t="n">
        <v>603.12</v>
      </c>
      <c r="Q5001" t="n">
        <v>101.6</v>
      </c>
      <c r="R5001" t="n">
        <v>127.86</v>
      </c>
      <c r="S5001" t="n">
        <v>77.05</v>
      </c>
      <c r="T5001" t="n">
        <v>0</v>
      </c>
      <c r="U5001" t="n">
        <v>909.63</v>
      </c>
      <c r="X5001" t="inlineStr">
        <is>
          <t>acoa-apeca</t>
        </is>
      </c>
      <c r="Y5001" t="inlineStr">
        <is>
          <t>Atlantic Canada Opportunities Agency | Agence de promotion économique du Canada atlantique</t>
        </is>
      </c>
      <c r="Z5001" t="n">
        <v>2</v>
      </c>
      <c r="AA5001" t="n">
        <v>909.63</v>
      </c>
      <c r="AB5001">
        <f>ROUND(U5001-AA5001,2)</f>
        <v/>
      </c>
      <c r="AC5001" t="b">
        <v>0</v>
      </c>
      <c r="AD5001">
        <f>IF(U5001="","MISSING_TOTAL",IF(ABS(AB5001)&lt;=0.01,"OK","CHECK"))</f>
        <v/>
      </c>
      <c r="AE5001">
        <f>IF(U5001="","MISSING",IF(AND(AA5001&gt;0,U5001/AA5001&gt;50),"POSSIBLE_SCALE_ERROR","OK"))</f>
        <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Data Quality Metric</t>
        </is>
      </c>
      <c r="B1" t="inlineStr">
        <is>
          <t>COUNT</t>
        </is>
      </c>
    </row>
    <row r="2">
      <c r="A2" t="inlineStr">
        <is>
          <t>Total Records</t>
        </is>
      </c>
      <c r="B2">
        <f>COUNTA(Cleaned_Data!A2:A152901)</f>
        <v/>
      </c>
    </row>
    <row r="3">
      <c r="A3" t="inlineStr">
        <is>
          <t>Missing Airfare</t>
        </is>
      </c>
      <c r="B3">
        <f>COUNTBLANK(Cleaned_Data!P2:P152901)</f>
        <v/>
      </c>
    </row>
    <row r="4">
      <c r="A4" t="inlineStr">
        <is>
          <t>Missing Other Transport</t>
        </is>
      </c>
      <c r="B4">
        <f>COUNTBLANK(Cleaned_Data!Q2:Q152901)</f>
        <v/>
      </c>
    </row>
    <row r="5">
      <c r="A5" t="inlineStr">
        <is>
          <t>Missing Lodging</t>
        </is>
      </c>
      <c r="B5">
        <f>COUNTBLANK(Cleaned_Data!R2:R152901)</f>
        <v/>
      </c>
    </row>
    <row r="6">
      <c r="A6" t="inlineStr">
        <is>
          <t>Missing Meals</t>
        </is>
      </c>
      <c r="B6">
        <f>COUNTBLANK(Cleaned_Data!S2:S152901)</f>
        <v/>
      </c>
    </row>
    <row r="7">
      <c r="A7" t="inlineStr">
        <is>
          <t>Missing Other Expenses</t>
        </is>
      </c>
      <c r="B7">
        <f>COUNTBLANK(Cleaned_Data!T2:T152901)</f>
        <v/>
      </c>
    </row>
    <row r="8">
      <c r="A8" t="inlineStr">
        <is>
          <t>Missing Total</t>
        </is>
      </c>
      <c r="B8">
        <f>COUNTBLANK(Cleaned_Data!U2:U152901)</f>
        <v/>
      </c>
    </row>
    <row r="9">
      <c r="A9" t="inlineStr">
        <is>
          <t>Duplicate Records</t>
        </is>
      </c>
      <c r="B9">
        <f>COUNTIF(Cleaned_Data!AC2:AC152901,TRUE)</f>
        <v/>
      </c>
    </row>
    <row r="10">
      <c r="A10" t="inlineStr">
        <is>
          <t>Possible Scale Errors</t>
        </is>
      </c>
      <c r="B10">
        <f>COUNTIF(Cleaned_Data!AE2:AE152901,"POSSIBLE_SCALE_ERROR")</f>
        <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N22199"/>
  <sheetViews>
    <sheetView workbookViewId="0">
      <selection activeCell="A1" sqref="A1"/>
    </sheetView>
  </sheetViews>
  <sheetFormatPr baseColWidth="8" defaultRowHeight="15"/>
  <sheetData>
    <row r="1">
      <c r="A1" t="inlineStr">
        <is>
          <t>KPI</t>
        </is>
      </c>
      <c r="B1" t="inlineStr">
        <is>
          <t>Value</t>
        </is>
      </c>
      <c r="D1" t="inlineStr">
        <is>
          <t>Year</t>
        </is>
      </c>
      <c r="E1" t="inlineStr">
        <is>
          <t>Total Expense</t>
        </is>
      </c>
      <c r="G1" t="inlineStr">
        <is>
          <t>Department</t>
        </is>
      </c>
      <c r="H1" t="inlineStr">
        <is>
          <t>Total Expense</t>
        </is>
      </c>
      <c r="J1" t="inlineStr">
        <is>
          <t>Destination</t>
        </is>
      </c>
      <c r="K1" t="inlineStr">
        <is>
          <t>Total Expense</t>
        </is>
      </c>
      <c r="M1" t="inlineStr">
        <is>
          <t>Expense Category</t>
        </is>
      </c>
      <c r="N1" t="inlineStr">
        <is>
          <t>Total Expense</t>
        </is>
      </c>
    </row>
    <row r="2">
      <c r="A2" t="inlineStr">
        <is>
          <t>Total Travel Records</t>
        </is>
      </c>
      <c r="B2">
        <f>COUNTA(Cleaned_Data!A2:A152901)</f>
        <v/>
      </c>
      <c r="D2">
        <f>IFERROR(__xludf.DUMMYFUNCTION("QUERY({ARRAYFORMULA(YEAR(Cleaned_Data!H2:H22699)),Cleaned_Data!U2:U22699},""select Col1, sum(Col2) where Col1 is not null and Col2 is not null group by Col1 order by Col1"",0)"),"")</f>
        <v/>
      </c>
      <c r="E2">
        <f>IFERROR(__xludf.DUMMYFUNCTION("""COMPUTED_VALUE"""),"sum ")</f>
        <v/>
      </c>
      <c r="G2">
        <f>IFERROR(__xludf.DUMMYFUNCTION("QUERY({Cleaned_Data!Y2:Y22699,Cleaned_Data!U2:U22699},""select Col1, sum(Col2) where Col1 is not null and Col2 is not null group by Col1 order by sum(Col2) desc label Col1 'Department', sum(Col2) 'Total Expense'"",0)"),"Department")</f>
        <v/>
      </c>
      <c r="H2">
        <f>IFERROR(__xludf.DUMMYFUNCTION("""COMPUTED_VALUE"""),"Total Expense")</f>
        <v/>
      </c>
      <c r="J2">
        <f>IFERROR(__xludf.DUMMYFUNCTION("QUERY({Cleaned_Data!J2:J22699,Cleaned_Data!U2:U22699},""select Col1, sum(Col2) where Col1 is not null and Col2 is not null group by Col1 order by sum(Col2) desc label Col1 'Destination', sum(Col2) 'Total Expense'"",0)"),"Destination")</f>
        <v/>
      </c>
      <c r="K2">
        <f>IFERROR(__xludf.DUMMYFUNCTION("""COMPUTED_VALUE"""),"Total Expense")</f>
        <v/>
      </c>
      <c r="M2">
        <f t="array" ref="M2:N6">"Airfare"</f>
        <v/>
      </c>
      <c r="N2" t="inlineStr">
        <is>
          <t>Airfare</t>
        </is>
      </c>
    </row>
    <row r="3">
      <c r="A3" t="inlineStr">
        <is>
          <t>Total Travel Expense</t>
        </is>
      </c>
      <c r="B3">
        <f>SUM(Cleaned_Data!U2:U152901)</f>
        <v/>
      </c>
      <c r="D3">
        <f>IFERROR(__xludf.DUMMYFUNCTION("""COMPUTED_VALUE"""),1999)</f>
        <v/>
      </c>
      <c r="E3">
        <f>IFERROR(__xludf.DUMMYFUNCTION("""COMPUTED_VALUE"""),0)</f>
        <v/>
      </c>
      <c r="G3">
        <f>IFERROR(__xludf.DUMMYFUNCTION("""COMPUTED_VALUE"""),"Global Affairs Canada | Affaires mondiales Canada")</f>
        <v/>
      </c>
      <c r="H3">
        <f>IFERROR(__xludf.DUMMYFUNCTION("""COMPUTED_VALUE"""),63848705.3699997)</f>
        <v/>
      </c>
      <c r="J3">
        <f>IFERROR(__xludf.DUMMYFUNCTION("""COMPUTED_VALUE"""),"Toronto, Ontario, Canada")</f>
        <v/>
      </c>
      <c r="K3">
        <f>IFERROR(__xludf.DUMMYFUNCTION("""COMPUTED_VALUE"""),13178794.05)</f>
        <v/>
      </c>
      <c r="M3" t="inlineStr">
        <is>
          <t>Airfare</t>
        </is>
      </c>
      <c r="N3" t="inlineStr">
        <is>
          <t>Airfare</t>
        </is>
      </c>
    </row>
    <row r="4">
      <c r="A4" t="inlineStr">
        <is>
          <t>Average Travel Expense</t>
        </is>
      </c>
      <c r="B4">
        <f>AVERAGE(Cleaned_Data!U2:U22699)</f>
        <v/>
      </c>
      <c r="D4">
        <f>IFERROR(__xludf.DUMMYFUNCTION("""COMPUTED_VALUE"""),2003)</f>
        <v/>
      </c>
      <c r="E4">
        <f>IFERROR(__xludf.DUMMYFUNCTION("""COMPUTED_VALUE"""),67137.58)</f>
        <v/>
      </c>
      <c r="G4">
        <f>IFERROR(__xludf.DUMMYFUNCTION("""COMPUTED_VALUE"""),"Employment and Social Development Canada | Emploi et Développement social Canada")</f>
        <v/>
      </c>
      <c r="H4">
        <f>IFERROR(__xludf.DUMMYFUNCTION("""COMPUTED_VALUE"""),23424267.77)</f>
        <v/>
      </c>
      <c r="J4">
        <f>IFERROR(__xludf.DUMMYFUNCTION("""COMPUTED_VALUE"""),"Ottawa, Ontario, Canada")</f>
        <v/>
      </c>
      <c r="K4">
        <f>IFERROR(__xludf.DUMMYFUNCTION("""COMPUTED_VALUE"""),13173293.9)</f>
        <v/>
      </c>
      <c r="M4" t="inlineStr">
        <is>
          <t>Airfare</t>
        </is>
      </c>
      <c r="N4" t="inlineStr">
        <is>
          <t>Airfare</t>
        </is>
      </c>
    </row>
    <row r="5">
      <c r="A5" t="inlineStr">
        <is>
          <t>Maximum Travel Expense</t>
        </is>
      </c>
      <c r="B5">
        <f>MAX(Cleaned_Data!U2:U22699)</f>
        <v/>
      </c>
      <c r="D5">
        <f>IFERROR(__xludf.DUMMYFUNCTION("""COMPUTED_VALUE"""),2004)</f>
        <v/>
      </c>
      <c r="E5">
        <f>IFERROR(__xludf.DUMMYFUNCTION("""COMPUTED_VALUE"""),4540905.82)</f>
        <v/>
      </c>
      <c r="G5">
        <f>IFERROR(__xludf.DUMMYFUNCTION("""COMPUTED_VALUE"""),"National Defence | Défense nationale")</f>
        <v/>
      </c>
      <c r="H5">
        <f>IFERROR(__xludf.DUMMYFUNCTION("""COMPUTED_VALUE"""),22382126.4799999)</f>
        <v/>
      </c>
      <c r="J5">
        <f>IFERROR(__xludf.DUMMYFUNCTION("""COMPUTED_VALUE"""),"Vancouver, British Columbia, Canada")</f>
        <v/>
      </c>
      <c r="K5">
        <f>IFERROR(__xludf.DUMMYFUNCTION("""COMPUTED_VALUE"""),6812316.72)</f>
        <v/>
      </c>
      <c r="M5" t="inlineStr">
        <is>
          <t>Airfare</t>
        </is>
      </c>
      <c r="N5" t="inlineStr">
        <is>
          <t>Airfare</t>
        </is>
      </c>
    </row>
    <row r="6">
      <c r="A6" t="inlineStr">
        <is>
          <t>Minimum Travel Expense</t>
        </is>
      </c>
      <c r="B6">
        <f>MIN(Cleaned_Data!U2:U22699)</f>
        <v/>
      </c>
      <c r="D6">
        <f>IFERROR(__xludf.DUMMYFUNCTION("""COMPUTED_VALUE"""),2005)</f>
        <v/>
      </c>
      <c r="E6">
        <f>IFERROR(__xludf.DUMMYFUNCTION("""COMPUTED_VALUE"""),5272765.43)</f>
        <v/>
      </c>
      <c r="G6">
        <f>IFERROR(__xludf.DUMMYFUNCTION("""COMPUTED_VALUE"""),"Department of Finance Canada | Ministère des Finances Canada")</f>
        <v/>
      </c>
      <c r="H6">
        <f>IFERROR(__xludf.DUMMYFUNCTION("""COMPUTED_VALUE"""),18165295.0799999)</f>
        <v/>
      </c>
      <c r="J6">
        <f>IFERROR(__xludf.DUMMYFUNCTION("""COMPUTED_VALUE"""),"Paris, France")</f>
        <v/>
      </c>
      <c r="K6">
        <f>IFERROR(__xludf.DUMMYFUNCTION("""COMPUTED_VALUE"""),6136294.43)</f>
        <v/>
      </c>
      <c r="M6" t="inlineStr">
        <is>
          <t>Airfare</t>
        </is>
      </c>
      <c r="N6" t="inlineStr">
        <is>
          <t>Airfare</t>
        </is>
      </c>
    </row>
    <row r="7">
      <c r="A7" t="inlineStr">
        <is>
          <t>Total Airfare</t>
        </is>
      </c>
      <c r="B7">
        <f>SUM(Cleaned_Data!P2:P22699)</f>
        <v/>
      </c>
      <c r="D7">
        <f>IFERROR(__xludf.DUMMYFUNCTION("""COMPUTED_VALUE"""),2006)</f>
        <v/>
      </c>
      <c r="E7">
        <f>IFERROR(__xludf.DUMMYFUNCTION("""COMPUTED_VALUE"""),4938243.25000001)</f>
        <v/>
      </c>
      <c r="G7">
        <f>IFERROR(__xludf.DUMMYFUNCTION("""COMPUTED_VALUE"""),"Innovation, Science and Economic Development Canada | Innovation, Sciences et Développement économique Canada")</f>
        <v/>
      </c>
      <c r="H7">
        <f>IFERROR(__xludf.DUMMYFUNCTION("""COMPUTED_VALUE"""),12558238.84)</f>
        <v/>
      </c>
      <c r="J7">
        <f>IFERROR(__xludf.DUMMYFUNCTION("""COMPUTED_VALUE"""),"Montreal, Quebec, Canada")</f>
        <v/>
      </c>
      <c r="K7">
        <f>IFERROR(__xludf.DUMMYFUNCTION("""COMPUTED_VALUE"""),5001970.51000001)</f>
        <v/>
      </c>
    </row>
    <row r="8">
      <c r="A8" t="inlineStr">
        <is>
          <t>Total Other Transport</t>
        </is>
      </c>
      <c r="B8">
        <f>SUM(Cleaned_Data!Q2:Q22699)</f>
        <v/>
      </c>
      <c r="D8">
        <f>IFERROR(__xludf.DUMMYFUNCTION("""COMPUTED_VALUE"""),2007)</f>
        <v/>
      </c>
      <c r="E8">
        <f>IFERROR(__xludf.DUMMYFUNCTION("""COMPUTED_VALUE"""),6196268.95)</f>
        <v/>
      </c>
      <c r="G8">
        <f>IFERROR(__xludf.DUMMYFUNCTION("""COMPUTED_VALUE"""),"Privy Council Office | Bureau du Conseil privé")</f>
        <v/>
      </c>
      <c r="H8">
        <f>IFERROR(__xludf.DUMMYFUNCTION("""COMPUTED_VALUE"""),10296318.65)</f>
        <v/>
      </c>
      <c r="J8">
        <f>IFERROR(__xludf.DUMMYFUNCTION("""COMPUTED_VALUE"""),"Ottawa, Ontario")</f>
        <v/>
      </c>
      <c r="K8">
        <f>IFERROR(__xludf.DUMMYFUNCTION("""COMPUTED_VALUE"""),4531891.71)</f>
        <v/>
      </c>
    </row>
    <row r="9">
      <c r="A9" t="inlineStr">
        <is>
          <t>Total Lodging</t>
        </is>
      </c>
      <c r="B9">
        <f>SUM(Cleaned_Data!R2:R22699)</f>
        <v/>
      </c>
      <c r="D9">
        <f>IFERROR(__xludf.DUMMYFUNCTION("""COMPUTED_VALUE"""),2008)</f>
        <v/>
      </c>
      <c r="E9">
        <f>IFERROR(__xludf.DUMMYFUNCTION("""COMPUTED_VALUE"""),6073208.93)</f>
        <v/>
      </c>
      <c r="G9">
        <f>IFERROR(__xludf.DUMMYFUNCTION("""COMPUTED_VALUE"""),"Natural Resources Canada | Ressources naturelles Canada")</f>
        <v/>
      </c>
      <c r="H9">
        <f>IFERROR(__xludf.DUMMYFUNCTION("""COMPUTED_VALUE"""),8618916.91)</f>
        <v/>
      </c>
      <c r="J9">
        <f>IFERROR(__xludf.DUMMYFUNCTION("""COMPUTED_VALUE"""),"Ottawa, ON")</f>
        <v/>
      </c>
      <c r="K9">
        <f>IFERROR(__xludf.DUMMYFUNCTION("""COMPUTED_VALUE"""),4267074.72999999)</f>
        <v/>
      </c>
    </row>
    <row r="10">
      <c r="A10" t="inlineStr">
        <is>
          <t>Total Meals</t>
        </is>
      </c>
      <c r="B10">
        <f>SUM(Cleaned_Data!S2:S22699)</f>
        <v/>
      </c>
      <c r="D10">
        <f>IFERROR(__xludf.DUMMYFUNCTION("""COMPUTED_VALUE"""),2009)</f>
        <v/>
      </c>
      <c r="E10">
        <f>IFERROR(__xludf.DUMMYFUNCTION("""COMPUTED_VALUE"""),7694189.17)</f>
        <v/>
      </c>
      <c r="G10">
        <f>IFERROR(__xludf.DUMMYFUNCTION("""COMPUTED_VALUE"""),"Canada Revenue Agency | Agence du revenu du Canada")</f>
        <v/>
      </c>
      <c r="H10">
        <f>IFERROR(__xludf.DUMMYFUNCTION("""COMPUTED_VALUE"""),7277975.67)</f>
        <v/>
      </c>
      <c r="J10">
        <f>IFERROR(__xludf.DUMMYFUNCTION("""COMPUTED_VALUE"""),"Toronto, ON")</f>
        <v/>
      </c>
      <c r="K10">
        <f>IFERROR(__xludf.DUMMYFUNCTION("""COMPUTED_VALUE"""),3927901.39999999)</f>
        <v/>
      </c>
    </row>
    <row r="11">
      <c r="A11" t="inlineStr">
        <is>
          <t>Total Other Expenses</t>
        </is>
      </c>
      <c r="B11">
        <f>SUM(Cleaned_Data!T2:T22699)</f>
        <v/>
      </c>
      <c r="D11">
        <f>IFERROR(__xludf.DUMMYFUNCTION("""COMPUTED_VALUE"""),2010)</f>
        <v/>
      </c>
      <c r="E11">
        <f>IFERROR(__xludf.DUMMYFUNCTION("""COMPUTED_VALUE"""),7828816.55)</f>
        <v/>
      </c>
      <c r="G11">
        <f>IFERROR(__xludf.DUMMYFUNCTION("""COMPUTED_VALUE"""),"Canadian Heritage | Patrimoine canadien")</f>
        <v/>
      </c>
      <c r="H11">
        <f>IFERROR(__xludf.DUMMYFUNCTION("""COMPUTED_VALUE"""),7084876.46)</f>
        <v/>
      </c>
      <c r="J11">
        <f>IFERROR(__xludf.DUMMYFUNCTION("""COMPUTED_VALUE"""),"Calgary, Alberta, Canada")</f>
        <v/>
      </c>
      <c r="K11">
        <f>IFERROR(__xludf.DUMMYFUNCTION("""COMPUTED_VALUE"""),3506254.52999999)</f>
        <v/>
      </c>
    </row>
    <row r="12">
      <c r="A12" t="inlineStr">
        <is>
          <t>Total Travel Days</t>
        </is>
      </c>
      <c r="B12">
        <f>SUM(Cleaned_Data!Z2:Z22699)</f>
        <v/>
      </c>
      <c r="D12">
        <f>IFERROR(__xludf.DUMMYFUNCTION("""COMPUTED_VALUE"""),2011)</f>
        <v/>
      </c>
      <c r="E12">
        <f>IFERROR(__xludf.DUMMYFUNCTION("""COMPUTED_VALUE"""),8151691.18)</f>
        <v/>
      </c>
      <c r="G12">
        <f>IFERROR(__xludf.DUMMYFUNCTION("""COMPUTED_VALUE"""),"Transport Canada | Transports Canada")</f>
        <v/>
      </c>
      <c r="H12">
        <f>IFERROR(__xludf.DUMMYFUNCTION("""COMPUTED_VALUE"""),6703932.18)</f>
        <v/>
      </c>
      <c r="J12">
        <f>IFERROR(__xludf.DUMMYFUNCTION("""COMPUTED_VALUE"""),"Halifax, Nova Scotia, Canada")</f>
        <v/>
      </c>
      <c r="K12">
        <f>IFERROR(__xludf.DUMMYFUNCTION("""COMPUTED_VALUE"""),3328456.59)</f>
        <v/>
      </c>
    </row>
    <row r="13">
      <c r="A13" t="inlineStr">
        <is>
          <t>Average Travel Days</t>
        </is>
      </c>
      <c r="B13">
        <f>AVERAGE(Cleaned_Data!Z2:Z22699)</f>
        <v/>
      </c>
      <c r="D13">
        <f>IFERROR(__xludf.DUMMYFUNCTION("""COMPUTED_VALUE"""),2012)</f>
        <v/>
      </c>
      <c r="E13">
        <f>IFERROR(__xludf.DUMMYFUNCTION("""COMPUTED_VALUE"""),8875390.37000001)</f>
        <v/>
      </c>
      <c r="G13">
        <f>IFERROR(__xludf.DUMMYFUNCTION("""COMPUTED_VALUE"""),"Veterans Affairs Canada | Anciens Combattants Canada")</f>
        <v/>
      </c>
      <c r="H13">
        <f>IFERROR(__xludf.DUMMYFUNCTION("""COMPUTED_VALUE"""),6294153.4)</f>
        <v/>
      </c>
      <c r="J13">
        <f>IFERROR(__xludf.DUMMYFUNCTION("""COMPUTED_VALUE"""),"London, United Kingdom")</f>
        <v/>
      </c>
      <c r="K13">
        <f>IFERROR(__xludf.DUMMYFUNCTION("""COMPUTED_VALUE"""),3265268.56)</f>
        <v/>
      </c>
    </row>
    <row r="14">
      <c r="A14" t="inlineStr">
        <is>
          <t>Maximum Travel Days</t>
        </is>
      </c>
      <c r="B14">
        <f>MAX(Cleaned_Data!Z2:Z22699)</f>
        <v/>
      </c>
      <c r="D14">
        <f>IFERROR(__xludf.DUMMYFUNCTION("""COMPUTED_VALUE"""),2013)</f>
        <v/>
      </c>
      <c r="E14">
        <f>IFERROR(__xludf.DUMMYFUNCTION("""COMPUTED_VALUE"""),8552043.13999999)</f>
        <v/>
      </c>
      <c r="G14">
        <f>IFERROR(__xludf.DUMMYFUNCTION("""COMPUTED_VALUE"""),"Environment and Climate Change Canada | Environnement et Changement climatique Canada")</f>
        <v/>
      </c>
      <c r="H14">
        <f>IFERROR(__xludf.DUMMYFUNCTION("""COMPUTED_VALUE"""),5863791.55000001)</f>
        <v/>
      </c>
      <c r="J14">
        <f>IFERROR(__xludf.DUMMYFUNCTION("""COMPUTED_VALUE"""),"Geneva, Switzerland")</f>
        <v/>
      </c>
      <c r="K14">
        <f>IFERROR(__xludf.DUMMYFUNCTION("""COMPUTED_VALUE"""),3115396.61)</f>
        <v/>
      </c>
    </row>
    <row r="15">
      <c r="A15" t="inlineStr">
        <is>
          <t>Records with Missing Total</t>
        </is>
      </c>
      <c r="B15">
        <f>COUNTIFS(Cleaned_Data!A2:A22699,"&lt;&gt;",Cleaned_Data!U2:U22699,"")</f>
        <v/>
      </c>
      <c r="D15">
        <f>IFERROR(__xludf.DUMMYFUNCTION("""COMPUTED_VALUE"""),2014)</f>
        <v/>
      </c>
      <c r="E15">
        <f>IFERROR(__xludf.DUMMYFUNCTION("""COMPUTED_VALUE"""),9872197.84999997)</f>
        <v/>
      </c>
      <c r="G15">
        <f>IFERROR(__xludf.DUMMYFUNCTION("""COMPUTED_VALUE"""),"Immigration, Refugees and Citizenship Canada | Immigration, Réfugiés et Citoyenneté Canada")</f>
        <v/>
      </c>
      <c r="H15">
        <f>IFERROR(__xludf.DUMMYFUNCTION("""COMPUTED_VALUE"""),5643369.53999999)</f>
        <v/>
      </c>
      <c r="J15">
        <f>IFERROR(__xludf.DUMMYFUNCTION("""COMPUTED_VALUE"""),"Tokyo, Japan")</f>
        <v/>
      </c>
      <c r="K15">
        <f>IFERROR(__xludf.DUMMYFUNCTION("""COMPUTED_VALUE"""),2898174.22999999)</f>
        <v/>
      </c>
    </row>
    <row r="16">
      <c r="A16" t="inlineStr">
        <is>
          <t>Records with Missing Airfare</t>
        </is>
      </c>
      <c r="B16">
        <f>COUNTIFS(Cleaned_Data!A2:A22699,"&lt;&gt;",Cleaned_Data!P2:P22699,"")</f>
        <v/>
      </c>
      <c r="D16">
        <f>IFERROR(__xludf.DUMMYFUNCTION("""COMPUTED_VALUE"""),2015)</f>
        <v/>
      </c>
      <c r="E16">
        <f>IFERROR(__xludf.DUMMYFUNCTION("""COMPUTED_VALUE"""),9543954.88999999)</f>
        <v/>
      </c>
      <c r="G16">
        <f>IFERROR(__xludf.DUMMYFUNCTION("""COMPUTED_VALUE"""),"National Research Council Canada | Conseil national de recherches Canada")</f>
        <v/>
      </c>
      <c r="H16">
        <f>IFERROR(__xludf.DUMMYFUNCTION("""COMPUTED_VALUE"""),5333036.58)</f>
        <v/>
      </c>
      <c r="J16">
        <f>IFERROR(__xludf.DUMMYFUNCTION("""COMPUTED_VALUE"""),"Toronto, Ontario")</f>
        <v/>
      </c>
      <c r="K16">
        <f>IFERROR(__xludf.DUMMYFUNCTION("""COMPUTED_VALUE"""),2777159.74)</f>
        <v/>
      </c>
    </row>
    <row r="17">
      <c r="A17" t="inlineStr">
        <is>
          <t>Records with Missing Lodging</t>
        </is>
      </c>
      <c r="B17">
        <f>COUNTIFS(Cleaned_Data!A2:A22699,"&lt;&gt;",Cleaned_Data!R2:R22699,"")</f>
        <v/>
      </c>
      <c r="D17">
        <f>IFERROR(__xludf.DUMMYFUNCTION("""COMPUTED_VALUE"""),2016)</f>
        <v/>
      </c>
      <c r="E17">
        <f>IFERROR(__xludf.DUMMYFUNCTION("""COMPUTED_VALUE"""),13455707.96)</f>
        <v/>
      </c>
      <c r="G17">
        <f>IFERROR(__xludf.DUMMYFUNCTION("""COMPUTED_VALUE"""),"Parks Canada | Parcs Canada")</f>
        <v/>
      </c>
      <c r="H17">
        <f>IFERROR(__xludf.DUMMYFUNCTION("""COMPUTED_VALUE"""),5234603.90999999)</f>
        <v/>
      </c>
      <c r="J17">
        <f>IFERROR(__xludf.DUMMYFUNCTION("""COMPUTED_VALUE"""),"Winnipeg, Manitoba, Canada")</f>
        <v/>
      </c>
      <c r="K17">
        <f>IFERROR(__xludf.DUMMYFUNCTION("""COMPUTED_VALUE"""),2652310.01)</f>
        <v/>
      </c>
    </row>
    <row r="18">
      <c r="A18" t="inlineStr">
        <is>
          <t>Records with Missing Meals</t>
        </is>
      </c>
      <c r="B18">
        <f>COUNTIFS(Cleaned_Data!A2:A22699,"&lt;&gt;",Cleaned_Data!S2:S22699,"")</f>
        <v/>
      </c>
      <c r="D18">
        <f>IFERROR(__xludf.DUMMYFUNCTION("""COMPUTED_VALUE"""),2017)</f>
        <v/>
      </c>
      <c r="E18">
        <f>IFERROR(__xludf.DUMMYFUNCTION("""COMPUTED_VALUE"""),20512941.39)</f>
        <v/>
      </c>
      <c r="G18">
        <f>IFERROR(__xludf.DUMMYFUNCTION("""COMPUTED_VALUE"""),"Fisheries and Oceans Canada | Pêches et Océans Canada")</f>
        <v/>
      </c>
      <c r="H18">
        <f>IFERROR(__xludf.DUMMYFUNCTION("""COMPUTED_VALUE"""),5036499.06999999)</f>
        <v/>
      </c>
      <c r="J18">
        <f>IFERROR(__xludf.DUMMYFUNCTION("""COMPUTED_VALUE"""),"Brussels, Belgium")</f>
        <v/>
      </c>
      <c r="K18">
        <f>IFERROR(__xludf.DUMMYFUNCTION("""COMPUTED_VALUE"""),2632637.81999999)</f>
        <v/>
      </c>
    </row>
    <row r="19">
      <c r="A19" t="inlineStr">
        <is>
          <t>Records with Missing Other Expenses</t>
        </is>
      </c>
      <c r="B19">
        <f>COUNTIFS(Cleaned_Data!A2:A22699,"&lt;&gt;",Cleaned_Data!T2:T22699,"")</f>
        <v/>
      </c>
      <c r="D19">
        <f>IFERROR(__xludf.DUMMYFUNCTION("""COMPUTED_VALUE"""),2018)</f>
        <v/>
      </c>
      <c r="E19">
        <f>IFERROR(__xludf.DUMMYFUNCTION("""COMPUTED_VALUE"""),24835584.7699999)</f>
        <v/>
      </c>
      <c r="G19">
        <f>IFERROR(__xludf.DUMMYFUNCTION("""COMPUTED_VALUE"""),"Farm Credit Canada | Financement agricole Canada")</f>
        <v/>
      </c>
      <c r="H19">
        <f>IFERROR(__xludf.DUMMYFUNCTION("""COMPUTED_VALUE"""),5005716.26999999)</f>
        <v/>
      </c>
      <c r="J19">
        <f>IFERROR(__xludf.DUMMYFUNCTION("""COMPUTED_VALUE"""),"Regina, Saskatchewan, Canada")</f>
        <v/>
      </c>
      <c r="K19">
        <f>IFERROR(__xludf.DUMMYFUNCTION("""COMPUTED_VALUE"""),2285521.33)</f>
        <v/>
      </c>
    </row>
    <row r="20">
      <c r="A20" t="inlineStr">
        <is>
          <t>Duplicate Records</t>
        </is>
      </c>
      <c r="B20">
        <f>COUNTIF(Cleaned_Data!AC2:AC22699,TRUE)</f>
        <v/>
      </c>
      <c r="D20">
        <f>IFERROR(__xludf.DUMMYFUNCTION("""COMPUTED_VALUE"""),2019)</f>
        <v/>
      </c>
      <c r="E20">
        <f>IFERROR(__xludf.DUMMYFUNCTION("""COMPUTED_VALUE"""),23693199.4099999)</f>
        <v/>
      </c>
      <c r="G20">
        <f>IFERROR(__xludf.DUMMYFUNCTION("""COMPUTED_VALUE"""),"Agriculture and Agri-Food Canada | Agriculture et Agroalimentaire Canada")</f>
        <v/>
      </c>
      <c r="H20">
        <f>IFERROR(__xludf.DUMMYFUNCTION("""COMPUTED_VALUE"""),4470756.54)</f>
        <v/>
      </c>
      <c r="J20">
        <f>IFERROR(__xludf.DUMMYFUNCTION("""COMPUTED_VALUE"""),"Vancouver, BC")</f>
        <v/>
      </c>
      <c r="K20">
        <f>IFERROR(__xludf.DUMMYFUNCTION("""COMPUTED_VALUE"""),2179139.43)</f>
        <v/>
      </c>
    </row>
    <row r="21">
      <c r="A21" t="inlineStr">
        <is>
          <t>Records Needing Check</t>
        </is>
      </c>
      <c r="B21">
        <f>COUNTIF(Cleaned_Data!AD2:AD22699,"CHECK")</f>
        <v/>
      </c>
      <c r="D21">
        <f>IFERROR(__xludf.DUMMYFUNCTION("""COMPUTED_VALUE"""),2020)</f>
        <v/>
      </c>
      <c r="E21">
        <f>IFERROR(__xludf.DUMMYFUNCTION("""COMPUTED_VALUE"""),5310597.3)</f>
        <v/>
      </c>
      <c r="G21">
        <f>IFERROR(__xludf.DUMMYFUNCTION("""COMPUTED_VALUE"""),"Atlantic Canada Opportunities Agency | Agence de promotion économique du Canada atlantique")</f>
        <v/>
      </c>
      <c r="H21">
        <f>IFERROR(__xludf.DUMMYFUNCTION("""COMPUTED_VALUE"""),4339524.80999999)</f>
        <v/>
      </c>
      <c r="J21">
        <f>IFERROR(__xludf.DUMMYFUNCTION("""COMPUTED_VALUE"""),"Ottawa")</f>
        <v/>
      </c>
      <c r="K21">
        <f>IFERROR(__xludf.DUMMYFUNCTION("""COMPUTED_VALUE"""),2076596.09999999)</f>
        <v/>
      </c>
    </row>
    <row r="22">
      <c r="A22" t="inlineStr">
        <is>
          <t>Possible Scale Issues</t>
        </is>
      </c>
      <c r="B22">
        <f>COUNTIF(Cleaned_Data!AE2:AE22699,"POSSIBLE_SCALE*")</f>
        <v/>
      </c>
      <c r="D22">
        <f>IFERROR(__xludf.DUMMYFUNCTION("""COMPUTED_VALUE"""),2021)</f>
        <v/>
      </c>
      <c r="E22">
        <f>IFERROR(__xludf.DUMMYFUNCTION("""COMPUTED_VALUE"""),4064375.22)</f>
        <v/>
      </c>
      <c r="G22">
        <f>IFERROR(__xludf.DUMMYFUNCTION("""COMPUTED_VALUE"""),"Crown-Indigenous Relations and Northern Affairs Canada | Relations Couronne-Autochtones et Affaires du Nord Canada")</f>
        <v/>
      </c>
      <c r="H22">
        <f>IFERROR(__xludf.DUMMYFUNCTION("""COMPUTED_VALUE"""),4031363.35000001)</f>
        <v/>
      </c>
      <c r="J22">
        <f>IFERROR(__xludf.DUMMYFUNCTION("""COMPUTED_VALUE"""),"Vancouver, British Columbia")</f>
        <v/>
      </c>
      <c r="K22">
        <f>IFERROR(__xludf.DUMMYFUNCTION("""COMPUTED_VALUE"""),1986704.38)</f>
        <v/>
      </c>
    </row>
    <row r="23">
      <c r="D23">
        <f>IFERROR(__xludf.DUMMYFUNCTION("""COMPUTED_VALUE"""),2022)</f>
        <v/>
      </c>
      <c r="E23">
        <f>IFERROR(__xludf.DUMMYFUNCTION("""COMPUTED_VALUE"""),23148885.6199999)</f>
        <v/>
      </c>
      <c r="G23">
        <f>IFERROR(__xludf.DUMMYFUNCTION("""COMPUTED_VALUE"""),"Royal Canadian Mounted Police | Gendarmerie royale du Canada")</f>
        <v/>
      </c>
      <c r="H23">
        <f>IFERROR(__xludf.DUMMYFUNCTION("""COMPUTED_VALUE"""),3936661.7)</f>
        <v/>
      </c>
      <c r="J23">
        <f>IFERROR(__xludf.DUMMYFUNCTION("""COMPUTED_VALUE"""),"Edmonton, Alberta, Canada")</f>
        <v/>
      </c>
      <c r="K23">
        <f>IFERROR(__xludf.DUMMYFUNCTION("""COMPUTED_VALUE"""),1962846.41)</f>
        <v/>
      </c>
    </row>
    <row r="24">
      <c r="D24">
        <f>IFERROR(__xludf.DUMMYFUNCTION("""COMPUTED_VALUE"""),2023)</f>
        <v/>
      </c>
      <c r="E24">
        <f>IFERROR(__xludf.DUMMYFUNCTION("""COMPUTED_VALUE"""),33126165.5)</f>
        <v/>
      </c>
      <c r="G24">
        <f>IFERROR(__xludf.DUMMYFUNCTION("""COMPUTED_VALUE"""),"Public Sector Pension Investment Board | Office d’investissement des régimes de pensions du secteur public")</f>
        <v/>
      </c>
      <c r="H24">
        <f>IFERROR(__xludf.DUMMYFUNCTION("""COMPUTED_VALUE"""),3594913.30999999)</f>
        <v/>
      </c>
      <c r="J24">
        <f>IFERROR(__xludf.DUMMYFUNCTION("""COMPUTED_VALUE"""),"Toronto")</f>
        <v/>
      </c>
      <c r="K24">
        <f>IFERROR(__xludf.DUMMYFUNCTION("""COMPUTED_VALUE"""),1938869.84999999)</f>
        <v/>
      </c>
    </row>
    <row r="25">
      <c r="D25">
        <f>IFERROR(__xludf.DUMMYFUNCTION("""COMPUTED_VALUE"""),2024)</f>
        <v/>
      </c>
      <c r="E25">
        <f>IFERROR(__xludf.DUMMYFUNCTION("""COMPUTED_VALUE"""),36490649.42)</f>
        <v/>
      </c>
      <c r="G25">
        <f>IFERROR(__xludf.DUMMYFUNCTION("""COMPUTED_VALUE"""),"Public Safety Canada | Sécurité publique Canada")</f>
        <v/>
      </c>
      <c r="H25">
        <f>IFERROR(__xludf.DUMMYFUNCTION("""COMPUTED_VALUE"""),3297990.98999999)</f>
        <v/>
      </c>
      <c r="J25">
        <f>IFERROR(__xludf.DUMMYFUNCTION("""COMPUTED_VALUE"""),"Beijing, China")</f>
        <v/>
      </c>
      <c r="K25">
        <f>IFERROR(__xludf.DUMMYFUNCTION("""COMPUTED_VALUE"""),1691936.02)</f>
        <v/>
      </c>
    </row>
    <row r="26">
      <c r="D26">
        <f>IFERROR(__xludf.DUMMYFUNCTION("""COMPUTED_VALUE"""),2025)</f>
        <v/>
      </c>
      <c r="E26">
        <f>IFERROR(__xludf.DUMMYFUNCTION("""COMPUTED_VALUE"""),35321861.4399998)</f>
        <v/>
      </c>
      <c r="G26">
        <f>IFERROR(__xludf.DUMMYFUNCTION("""COMPUTED_VALUE"""),"Health Canada | Santé Canada")</f>
        <v/>
      </c>
      <c r="H26">
        <f>IFERROR(__xludf.DUMMYFUNCTION("""COMPUTED_VALUE"""),3262570.93999999)</f>
        <v/>
      </c>
      <c r="J26">
        <f>IFERROR(__xludf.DUMMYFUNCTION("""COMPUTED_VALUE"""),"Berlin, Germany")</f>
        <v/>
      </c>
      <c r="K26">
        <f>IFERROR(__xludf.DUMMYFUNCTION("""COMPUTED_VALUE"""),1658434.39)</f>
        <v/>
      </c>
    </row>
    <row r="27">
      <c r="D27">
        <f>IFERROR(__xludf.DUMMYFUNCTION("""COMPUTED_VALUE"""),2026)</f>
        <v/>
      </c>
      <c r="E27">
        <f>IFERROR(__xludf.DUMMYFUNCTION("""COMPUTED_VALUE"""),20337323.36)</f>
        <v/>
      </c>
      <c r="G27">
        <f>IFERROR(__xludf.DUMMYFUNCTION("""COMPUTED_VALUE"""),"Correctional Service of Canada | Service correctionnel du Canada")</f>
        <v/>
      </c>
      <c r="H27">
        <f>IFERROR(__xludf.DUMMYFUNCTION("""COMPUTED_VALUE"""),3078291.75000001)</f>
        <v/>
      </c>
      <c r="J27">
        <f>IFERROR(__xludf.DUMMYFUNCTION("""COMPUTED_VALUE"""),"Washington, DC")</f>
        <v/>
      </c>
      <c r="K27">
        <f>IFERROR(__xludf.DUMMYFUNCTION("""COMPUTED_VALUE"""),1488494.22)</f>
        <v/>
      </c>
    </row>
    <row r="28">
      <c r="G28">
        <f>IFERROR(__xludf.DUMMYFUNCTION("""COMPUTED_VALUE"""),"Department of Housing, Infrastructure and Communities | Ministère du Logement, de l’Infrastructure et des Collectivités")</f>
        <v/>
      </c>
      <c r="H28">
        <f>IFERROR(__xludf.DUMMYFUNCTION("""COMPUTED_VALUE"""),2943821.02)</f>
        <v/>
      </c>
      <c r="J28">
        <f>IFERROR(__xludf.DUMMYFUNCTION("""COMPUTED_VALUE"""),"London, England")</f>
        <v/>
      </c>
      <c r="K28">
        <f>IFERROR(__xludf.DUMMYFUNCTION("""COMPUTED_VALUE"""),1379832.99)</f>
        <v/>
      </c>
    </row>
    <row r="29">
      <c r="G29">
        <f>IFERROR(__xludf.DUMMYFUNCTION("""COMPUTED_VALUE"""),"Department of Justice Canada | Ministère de la Justice Canada")</f>
        <v/>
      </c>
      <c r="H29">
        <f>IFERROR(__xludf.DUMMYFUNCTION("""COMPUTED_VALUE"""),2434894.58999999)</f>
        <v/>
      </c>
      <c r="J29">
        <f>IFERROR(__xludf.DUMMYFUNCTION("""COMPUTED_VALUE"""),"London, UK")</f>
        <v/>
      </c>
      <c r="K29">
        <f>IFERROR(__xludf.DUMMYFUNCTION("""COMPUTED_VALUE"""),1354410.12)</f>
        <v/>
      </c>
    </row>
    <row r="30">
      <c r="G30">
        <f>IFERROR(__xludf.DUMMYFUNCTION("""COMPUTED_VALUE"""),"Indigenous Services Canada | Services aux Autochtones Canada")</f>
        <v/>
      </c>
      <c r="H30">
        <f>IFERROR(__xludf.DUMMYFUNCTION("""COMPUTED_VALUE"""),2428640.96)</f>
        <v/>
      </c>
      <c r="J30">
        <f>IFERROR(__xludf.DUMMYFUNCTION("""COMPUTED_VALUE"""),"Halifax, Nova Scotia")</f>
        <v/>
      </c>
      <c r="K30">
        <f>IFERROR(__xludf.DUMMYFUNCTION("""COMPUTED_VALUE"""),1317554.2)</f>
        <v/>
      </c>
    </row>
    <row r="31">
      <c r="G31">
        <f>IFERROR(__xludf.DUMMYFUNCTION("""COMPUTED_VALUE"""),"Public Services and Procurement Canada | Services publics et Approvisionnement Canada")</f>
        <v/>
      </c>
      <c r="H31">
        <f>IFERROR(__xludf.DUMMYFUNCTION("""COMPUTED_VALUE"""),2289529.21)</f>
        <v/>
      </c>
      <c r="J31">
        <f>IFERROR(__xludf.DUMMYFUNCTION("""COMPUTED_VALUE"""),"Iqaluit, Nunavut, Canada")</f>
        <v/>
      </c>
      <c r="K31">
        <f>IFERROR(__xludf.DUMMYFUNCTION("""COMPUTED_VALUE"""),1311936.63999999)</f>
        <v/>
      </c>
    </row>
    <row r="32">
      <c r="G32">
        <f>IFERROR(__xludf.DUMMYFUNCTION("""COMPUTED_VALUE"""),"Atomic Energy of Canada Limited | Énergie atomique du Canada, Limitée")</f>
        <v/>
      </c>
      <c r="H32">
        <f>IFERROR(__xludf.DUMMYFUNCTION("""COMPUTED_VALUE"""),2203663.44999999)</f>
        <v/>
      </c>
      <c r="J32">
        <f>IFERROR(__xludf.DUMMYFUNCTION("""COMPUTED_VALUE"""),"Washington, District of Columbia, United States")</f>
        <v/>
      </c>
      <c r="K32">
        <f>IFERROR(__xludf.DUMMYFUNCTION("""COMPUTED_VALUE"""),1186346.98)</f>
        <v/>
      </c>
    </row>
    <row r="33">
      <c r="G33">
        <f>IFERROR(__xludf.DUMMYFUNCTION("""COMPUTED_VALUE"""),"Western Economic Diversification Canada | Diversification de l'économie de l'Ouest Canada")</f>
        <v/>
      </c>
      <c r="H33">
        <f>IFERROR(__xludf.DUMMYFUNCTION("""COMPUTED_VALUE"""),2096963.64)</f>
        <v/>
      </c>
      <c r="J33">
        <f>IFERROR(__xludf.DUMMYFUNCTION("""COMPUTED_VALUE"""),"Vienna, Austria")</f>
        <v/>
      </c>
      <c r="K33">
        <f>IFERROR(__xludf.DUMMYFUNCTION("""COMPUTED_VALUE"""),1161377.72999999)</f>
        <v/>
      </c>
    </row>
    <row r="34">
      <c r="G34">
        <f>IFERROR(__xludf.DUMMYFUNCTION("""COMPUTED_VALUE"""),"Canadian Air Transport Security Authority | Administration canadienne de la sûreté du transport aérien")</f>
        <v/>
      </c>
      <c r="H34">
        <f>IFERROR(__xludf.DUMMYFUNCTION("""COMPUTED_VALUE"""),2077643.63)</f>
        <v/>
      </c>
      <c r="J34">
        <f>IFERROR(__xludf.DUMMYFUNCTION("""COMPUTED_VALUE"""),"Sydney, Australia")</f>
        <v/>
      </c>
      <c r="K34">
        <f>IFERROR(__xludf.DUMMYFUNCTION("""COMPUTED_VALUE"""),1136684.57)</f>
        <v/>
      </c>
    </row>
    <row r="35">
      <c r="G35">
        <f>IFERROR(__xludf.DUMMYFUNCTION("""COMPUTED_VALUE"""),"Export Development Canada | Exportation et développement Canada")</f>
        <v/>
      </c>
      <c r="H35">
        <f>IFERROR(__xludf.DUMMYFUNCTION("""COMPUTED_VALUE"""),2004276.67999999)</f>
        <v/>
      </c>
      <c r="J35">
        <f>IFERROR(__xludf.DUMMYFUNCTION("""COMPUTED_VALUE"""),"New York, New York, United States")</f>
        <v/>
      </c>
      <c r="K35">
        <f>IFERROR(__xludf.DUMMYFUNCTION("""COMPUTED_VALUE"""),1131588.94)</f>
        <v/>
      </c>
    </row>
    <row r="36">
      <c r="G36">
        <f>IFERROR(__xludf.DUMMYFUNCTION("""COMPUTED_VALUE"""),"Canadian Nuclear Safety Commission | Commission canadienne de sûreté nucléaire")</f>
        <v/>
      </c>
      <c r="H36">
        <f>IFERROR(__xludf.DUMMYFUNCTION("""COMPUTED_VALUE"""),1973460.65)</f>
        <v/>
      </c>
      <c r="J36">
        <f>IFERROR(__xludf.DUMMYFUNCTION("""COMPUTED_VALUE"""),"Gatineau, Quebec, Canada")</f>
        <v/>
      </c>
      <c r="K36">
        <f>IFERROR(__xludf.DUMMYFUNCTION("""COMPUTED_VALUE"""),1127996.53999999)</f>
        <v/>
      </c>
    </row>
    <row r="37">
      <c r="G37">
        <f>IFERROR(__xludf.DUMMYFUNCTION("""COMPUTED_VALUE"""),"Treasury Board of Canada Secretariat | Secrétariat du Conseil du Trésor du Canada")</f>
        <v/>
      </c>
      <c r="H37">
        <f>IFERROR(__xludf.DUMMYFUNCTION("""COMPUTED_VALUE"""),1918420.58999999)</f>
        <v/>
      </c>
      <c r="J37">
        <f>IFERROR(__xludf.DUMMYFUNCTION("""COMPUTED_VALUE"""),"Vancouver")</f>
        <v/>
      </c>
      <c r="K37">
        <f>IFERROR(__xludf.DUMMYFUNCTION("""COMPUTED_VALUE"""),1119550.02999999)</f>
        <v/>
      </c>
    </row>
    <row r="38">
      <c r="G38">
        <f>IFERROR(__xludf.DUMMYFUNCTION("""COMPUTED_VALUE"""),"Federal Economic Development Agency for Southern Ontario | Agence fédérale de développement économique pour le Sud de l'Ontario")</f>
        <v/>
      </c>
      <c r="H38">
        <f>IFERROR(__xludf.DUMMYFUNCTION("""COMPUTED_VALUE"""),1895793.45)</f>
        <v/>
      </c>
      <c r="J38">
        <f>IFERROR(__xludf.DUMMYFUNCTION("""COMPUTED_VALUE"""),"Charlottetown, Prince Edward Island, Canada")</f>
        <v/>
      </c>
      <c r="K38">
        <f>IFERROR(__xludf.DUMMYFUNCTION("""COMPUTED_VALUE"""),1115488.27)</f>
        <v/>
      </c>
    </row>
    <row r="39">
      <c r="G39">
        <f>IFERROR(__xludf.DUMMYFUNCTION("""COMPUTED_VALUE"""),"Canada Economic Development for Quebec Regions | Développement économique Canada pour les régions du Québec")</f>
        <v/>
      </c>
      <c r="H39">
        <f>IFERROR(__xludf.DUMMYFUNCTION("""COMPUTED_VALUE"""),1886311.4)</f>
        <v/>
      </c>
      <c r="J39">
        <f>IFERROR(__xludf.DUMMYFUNCTION("""COMPUTED_VALUE"""),"Rome, Italy")</f>
        <v/>
      </c>
      <c r="K39">
        <f>IFERROR(__xludf.DUMMYFUNCTION("""COMPUTED_VALUE"""),1111691.52)</f>
        <v/>
      </c>
    </row>
    <row r="40">
      <c r="G40">
        <f>IFERROR(__xludf.DUMMYFUNCTION("""COMPUTED_VALUE"""),"Canada Border Services Agency | Agence des services frontaliers du Canada")</f>
        <v/>
      </c>
      <c r="H40">
        <f>IFERROR(__xludf.DUMMYFUNCTION("""COMPUTED_VALUE"""),1884681.02999999)</f>
        <v/>
      </c>
      <c r="J40">
        <f>IFERROR(__xludf.DUMMYFUNCTION("""COMPUTED_VALUE"""),"St. John's, Newfoundland and Labrador, Canada")</f>
        <v/>
      </c>
      <c r="K40">
        <f>IFERROR(__xludf.DUMMYFUNCTION("""COMPUTED_VALUE"""),1100126.92)</f>
        <v/>
      </c>
    </row>
    <row r="41">
      <c r="G41">
        <f>IFERROR(__xludf.DUMMYFUNCTION("""COMPUTED_VALUE"""),"Financial Transactions and Reports Analysis Centre of Canada | Centre d'analyse des opérations et déclarations financières du Canada")</f>
        <v/>
      </c>
      <c r="H41">
        <f>IFERROR(__xludf.DUMMYFUNCTION("""COMPUTED_VALUE"""),1856871.52)</f>
        <v/>
      </c>
      <c r="J41">
        <f>IFERROR(__xludf.DUMMYFUNCTION("""COMPUTED_VALUE"""),"Saskatoon, Saskatchewan, Canada")</f>
        <v/>
      </c>
      <c r="K41">
        <f>IFERROR(__xludf.DUMMYFUNCTION("""COMPUTED_VALUE"""),1077465.32999999)</f>
        <v/>
      </c>
    </row>
    <row r="42">
      <c r="G42">
        <f>IFERROR(__xludf.DUMMYFUNCTION("""COMPUTED_VALUE"""),"Public Health Agency of Canada | Agence de la santé publique du Canada")</f>
        <v/>
      </c>
      <c r="H42">
        <f>IFERROR(__xludf.DUMMYFUNCTION("""COMPUTED_VALUE"""),1777279.49999999)</f>
        <v/>
      </c>
      <c r="J42">
        <f>IFERROR(__xludf.DUMMYFUNCTION("""COMPUTED_VALUE"""),"OTTAWA, ON")</f>
        <v/>
      </c>
      <c r="K42">
        <f>IFERROR(__xludf.DUMMYFUNCTION("""COMPUTED_VALUE"""),1047319.82999999)</f>
        <v/>
      </c>
    </row>
    <row r="43">
      <c r="G43">
        <f>IFERROR(__xludf.DUMMYFUNCTION("""COMPUTED_VALUE"""),"Canadian Institutes of Health Research | Instituts de recherche en santé du Canada")</f>
        <v/>
      </c>
      <c r="H43">
        <f>IFERROR(__xludf.DUMMYFUNCTION("""COMPUTED_VALUE"""),1736796.2)</f>
        <v/>
      </c>
      <c r="J43">
        <f>IFERROR(__xludf.DUMMYFUNCTION("""COMPUTED_VALUE"""),"Montréal, Quebec, Canada")</f>
        <v/>
      </c>
      <c r="K43">
        <f>IFERROR(__xludf.DUMMYFUNCTION("""COMPUTED_VALUE"""),1028895.57)</f>
        <v/>
      </c>
    </row>
    <row r="44">
      <c r="G44">
        <f>IFERROR(__xludf.DUMMYFUNCTION("""COMPUTED_VALUE"""),"Canada Energy Regulator | La Régie de l’énergie du Canada")</f>
        <v/>
      </c>
      <c r="H44">
        <f>IFERROR(__xludf.DUMMYFUNCTION("""COMPUTED_VALUE"""),1386472.06)</f>
        <v/>
      </c>
      <c r="J44">
        <f>IFERROR(__xludf.DUMMYFUNCTION("""COMPUTED_VALUE"""),"Ottawa (Ontario) Canada")</f>
        <v/>
      </c>
      <c r="K44">
        <f>IFERROR(__xludf.DUMMYFUNCTION("""COMPUTED_VALUE"""),1004723.33)</f>
        <v/>
      </c>
    </row>
    <row r="45">
      <c r="G45">
        <f>IFERROR(__xludf.DUMMYFUNCTION("""COMPUTED_VALUE"""),"Office of the Superintendent of Financial Institutions Canada | Bureau du surintendant des institutions financières Canada")</f>
        <v/>
      </c>
      <c r="H45">
        <f>IFERROR(__xludf.DUMMYFUNCTION("""COMPUTED_VALUE"""),1276013.75999999)</f>
        <v/>
      </c>
      <c r="J45">
        <f>IFERROR(__xludf.DUMMYFUNCTION("""COMPUTED_VALUE"""),"Calgary, AB")</f>
        <v/>
      </c>
      <c r="K45">
        <f>IFERROR(__xludf.DUMMYFUNCTION("""COMPUTED_VALUE"""),983173.26)</f>
        <v/>
      </c>
    </row>
    <row r="46">
      <c r="G46">
        <f>IFERROR(__xludf.DUMMYFUNCTION("""COMPUTED_VALUE"""),"Canada Mortgage and Housing Corporation | Société canadienne d'hypothèques et de logement")</f>
        <v/>
      </c>
      <c r="H46">
        <f>IFERROR(__xludf.DUMMYFUNCTION("""COMPUTED_VALUE"""),1267319.70999999)</f>
        <v/>
      </c>
      <c r="J46">
        <f>IFERROR(__xludf.DUMMYFUNCTION("""COMPUTED_VALUE"""),"Victoria, British Columbia, Canada")</f>
        <v/>
      </c>
      <c r="K46">
        <f>IFERROR(__xludf.DUMMYFUNCTION("""COMPUTED_VALUE"""),917540.16)</f>
        <v/>
      </c>
    </row>
    <row r="47">
      <c r="G47">
        <f>IFERROR(__xludf.DUMMYFUNCTION("""COMPUTED_VALUE"""),"Canadian Food Inspection Agency | Agence canadienne d'inspection des aliments")</f>
        <v/>
      </c>
      <c r="H47">
        <f>IFERROR(__xludf.DUMMYFUNCTION("""COMPUTED_VALUE"""),1252491.83999999)</f>
        <v/>
      </c>
      <c r="J47">
        <f>IFERROR(__xludf.DUMMYFUNCTION("""COMPUTED_VALUE"""),"Washington")</f>
        <v/>
      </c>
      <c r="K47">
        <f>IFERROR(__xludf.DUMMYFUNCTION("""COMPUTED_VALUE"""),906736.84)</f>
        <v/>
      </c>
    </row>
    <row r="48">
      <c r="G48">
        <f>IFERROR(__xludf.DUMMYFUNCTION("""COMPUTED_VALUE"""),"Financial Consumer Agency of Canada | Agence de la consommation en matière financière du Canada")</f>
        <v/>
      </c>
      <c r="H48">
        <f>IFERROR(__xludf.DUMMYFUNCTION("""COMPUTED_VALUE"""),1158257.19999999)</f>
        <v/>
      </c>
      <c r="J48">
        <f>IFERROR(__xludf.DUMMYFUNCTION("""COMPUTED_VALUE"""),"Montreal, Quebec")</f>
        <v/>
      </c>
      <c r="K48">
        <f>IFERROR(__xludf.DUMMYFUNCTION("""COMPUTED_VALUE"""),858373.899999997)</f>
        <v/>
      </c>
    </row>
    <row r="49">
      <c r="G49">
        <f>IFERROR(__xludf.DUMMYFUNCTION("""COMPUTED_VALUE"""),"Women and Gender Equality Canada | Femmes et Égalité des genres Canada")</f>
        <v/>
      </c>
      <c r="H49">
        <f>IFERROR(__xludf.DUMMYFUNCTION("""COMPUTED_VALUE"""),1136775.22999999)</f>
        <v/>
      </c>
      <c r="J49">
        <f>IFERROR(__xludf.DUMMYFUNCTION("""COMPUTED_VALUE"""),"New York")</f>
        <v/>
      </c>
      <c r="K49">
        <f>IFERROR(__xludf.DUMMYFUNCTION("""COMPUTED_VALUE"""),823546.03)</f>
        <v/>
      </c>
    </row>
    <row r="50">
      <c r="G50">
        <f>IFERROR(__xludf.DUMMYFUNCTION("""COMPUTED_VALUE"""),"Public Service Commission of Canada | Commission de la fonction publique du Canada")</f>
        <v/>
      </c>
      <c r="H50">
        <f>IFERROR(__xludf.DUMMYFUNCTION("""COMPUTED_VALUE"""),1131901.96)</f>
        <v/>
      </c>
      <c r="J50">
        <f>IFERROR(__xludf.DUMMYFUNCTION("""COMPUTED_VALUE"""),"Seoul, South Korea")</f>
        <v/>
      </c>
      <c r="K50">
        <f>IFERROR(__xludf.DUMMYFUNCTION("""COMPUTED_VALUE"""),786436.26)</f>
        <v/>
      </c>
    </row>
    <row r="51">
      <c r="G51">
        <f>IFERROR(__xludf.DUMMYFUNCTION("""COMPUTED_VALUE"""),"Canadian Space Agency | Agence spatiale canadienne")</f>
        <v/>
      </c>
      <c r="H51">
        <f>IFERROR(__xludf.DUMMYFUNCTION("""COMPUTED_VALUE"""),1121690.68999999)</f>
        <v/>
      </c>
      <c r="J51">
        <f>IFERROR(__xludf.DUMMYFUNCTION("""COMPUTED_VALUE"""),"Mexico City, Mexico")</f>
        <v/>
      </c>
      <c r="K51">
        <f>IFERROR(__xludf.DUMMYFUNCTION("""COMPUTED_VALUE"""),774623.2)</f>
        <v/>
      </c>
    </row>
    <row r="52">
      <c r="G52">
        <f>IFERROR(__xludf.DUMMYFUNCTION("""COMPUTED_VALUE"""),"Canadian Radio-television and Telecommunications Commission | Conseil de la radiodiffusion et des télécommunications canadiennes")</f>
        <v/>
      </c>
      <c r="H52">
        <f>IFERROR(__xludf.DUMMYFUNCTION("""COMPUTED_VALUE"""),1120436.00999999)</f>
        <v/>
      </c>
      <c r="J52">
        <f>IFERROR(__xludf.DUMMYFUNCTION("""COMPUTED_VALUE"""),"Quebec, Quebec, Canada")</f>
        <v/>
      </c>
      <c r="K52">
        <f>IFERROR(__xludf.DUMMYFUNCTION("""COMPUTED_VALUE"""),761059.739999999)</f>
        <v/>
      </c>
    </row>
    <row r="53">
      <c r="G53">
        <f>IFERROR(__xludf.DUMMYFUNCTION("""COMPUTED_VALUE"""),"Statistics Canada | Statistique Canada")</f>
        <v/>
      </c>
      <c r="H53">
        <f>IFERROR(__xludf.DUMMYFUNCTION("""COMPUTED_VALUE"""),1098604.81999999)</f>
        <v/>
      </c>
      <c r="J53">
        <f>IFERROR(__xludf.DUMMYFUNCTION("""COMPUTED_VALUE"""),"Yellowknife, Northwest Territories, Canada")</f>
        <v/>
      </c>
      <c r="K53">
        <f>IFERROR(__xludf.DUMMYFUNCTION("""COMPUTED_VALUE"""),750619.43)</f>
        <v/>
      </c>
    </row>
    <row r="54">
      <c r="G54">
        <f>IFERROR(__xludf.DUMMYFUNCTION("""COMPUTED_VALUE"""),"Invest in Canada | Investir Au Canada")</f>
        <v/>
      </c>
      <c r="H54">
        <f>IFERROR(__xludf.DUMMYFUNCTION("""COMPUTED_VALUE"""),1095905.52999999)</f>
        <v/>
      </c>
      <c r="J54">
        <f>IFERROR(__xludf.DUMMYFUNCTION("""COMPUTED_VALUE"""),"Whitehorse, Yukon, Canada")</f>
        <v/>
      </c>
      <c r="K54">
        <f>IFERROR(__xludf.DUMMYFUNCTION("""COMPUTED_VALUE"""),747084.74)</f>
        <v/>
      </c>
    </row>
    <row r="55">
      <c r="G55">
        <f>IFERROR(__xludf.DUMMYFUNCTION("""COMPUTED_VALUE"""),"Farm Products Council of Canada | Conseil des produits agricoles du Canada")</f>
        <v/>
      </c>
      <c r="H55">
        <f>IFERROR(__xludf.DUMMYFUNCTION("""COMPUTED_VALUE"""),1026602.34)</f>
        <v/>
      </c>
      <c r="J55">
        <f>IFERROR(__xludf.DUMMYFUNCTION("""COMPUTED_VALUE"""),"Edmonton, Alberta")</f>
        <v/>
      </c>
      <c r="K55">
        <f>IFERROR(__xludf.DUMMYFUNCTION("""COMPUTED_VALUE"""),741439.74)</f>
        <v/>
      </c>
    </row>
    <row r="56">
      <c r="G56">
        <f>IFERROR(__xludf.DUMMYFUNCTION("""COMPUTED_VALUE"""),"VIA HFR - VIA TGF Inc. | VIA HFR - VIA TGF Inc.")</f>
        <v/>
      </c>
      <c r="H56">
        <f>IFERROR(__xludf.DUMMYFUNCTION("""COMPUTED_VALUE"""),1015203.92)</f>
        <v/>
      </c>
      <c r="J56">
        <f>IFERROR(__xludf.DUMMYFUNCTION("""COMPUTED_VALUE"""),"Canberra, Australia")</f>
        <v/>
      </c>
      <c r="K56">
        <f>IFERROR(__xludf.DUMMYFUNCTION("""COMPUTED_VALUE"""),733715.909999999)</f>
        <v/>
      </c>
    </row>
    <row r="57">
      <c r="G57">
        <f>IFERROR(__xludf.DUMMYFUNCTION("""COMPUTED_VALUE"""),"Canada Deposit Insurance Corporation | Société d'assurance-dépôts du Canada")</f>
        <v/>
      </c>
      <c r="H57">
        <f>IFERROR(__xludf.DUMMYFUNCTION("""COMPUTED_VALUE"""),960913.82)</f>
        <v/>
      </c>
      <c r="J57">
        <f>IFERROR(__xludf.DUMMYFUNCTION("""COMPUTED_VALUE"""),"Halifax, NS")</f>
        <v/>
      </c>
      <c r="K57">
        <f>IFERROR(__xludf.DUMMYFUNCTION("""COMPUTED_VALUE"""),722683.89)</f>
        <v/>
      </c>
    </row>
    <row r="58">
      <c r="G58">
        <f>IFERROR(__xludf.DUMMYFUNCTION("""COMPUTED_VALUE"""),"Veterans Review and Appeal Board | Tribunal des anciens combattants (révision et appel)")</f>
        <v/>
      </c>
      <c r="H58">
        <f>IFERROR(__xludf.DUMMYFUNCTION("""COMPUTED_VALUE"""),844987.11)</f>
        <v/>
      </c>
      <c r="J58">
        <f>IFERROR(__xludf.DUMMYFUNCTION("""COMPUTED_VALUE"""),"Moncton, New Brunswick, Canada")</f>
        <v/>
      </c>
      <c r="K58">
        <f>IFERROR(__xludf.DUMMYFUNCTION("""COMPUTED_VALUE"""),715744.139999999)</f>
        <v/>
      </c>
    </row>
    <row r="59">
      <c r="G59">
        <f>IFERROR(__xludf.DUMMYFUNCTION("""COMPUTED_VALUE"""),"Defence Construction Canada | Construction de Défense Canada")</f>
        <v/>
      </c>
      <c r="H59">
        <f>IFERROR(__xludf.DUMMYFUNCTION("""COMPUTED_VALUE"""),831971.849999999)</f>
        <v/>
      </c>
      <c r="J59">
        <f>IFERROR(__xludf.DUMMYFUNCTION("""COMPUTED_VALUE"""),"Calgary, Alberta")</f>
        <v/>
      </c>
      <c r="K59">
        <f>IFERROR(__xludf.DUMMYFUNCTION("""COMPUTED_VALUE"""),698834.750000001)</f>
        <v/>
      </c>
    </row>
    <row r="60">
      <c r="G60">
        <f>IFERROR(__xludf.DUMMYFUNCTION("""COMPUTED_VALUE"""),"Canadian Human Rights Commission | Commission canadienne des droits de la personne")</f>
        <v/>
      </c>
      <c r="H60">
        <f>IFERROR(__xludf.DUMMYFUNCTION("""COMPUTED_VALUE"""),813698.54)</f>
        <v/>
      </c>
      <c r="J60">
        <f>IFERROR(__xludf.DUMMYFUNCTION("""COMPUTED_VALUE"""),"Singapore, Singapore")</f>
        <v/>
      </c>
      <c r="K60">
        <f>IFERROR(__xludf.DUMMYFUNCTION("""COMPUTED_VALUE"""),691302.48)</f>
        <v/>
      </c>
    </row>
    <row r="61">
      <c r="G61">
        <f>IFERROR(__xludf.DUMMYFUNCTION("""COMPUTED_VALUE"""),"Social Sciences and Humanities Research Council of Canada | Conseil de recherches en sciences humaines du Canada")</f>
        <v/>
      </c>
      <c r="H61">
        <f>IFERROR(__xludf.DUMMYFUNCTION("""COMPUTED_VALUE"""),813573.57)</f>
        <v/>
      </c>
      <c r="J61">
        <f>IFERROR(__xludf.DUMMYFUNCTION("""COMPUTED_VALUE"""),"Paris")</f>
        <v/>
      </c>
      <c r="K61">
        <f>IFERROR(__xludf.DUMMYFUNCTION("""COMPUTED_VALUE"""),675150.38)</f>
        <v/>
      </c>
    </row>
    <row r="62">
      <c r="G62">
        <f>IFERROR(__xludf.DUMMYFUNCTION("""COMPUTED_VALUE"""),"Standards Council of Canada | Conseil canadien des normes")</f>
        <v/>
      </c>
      <c r="H62">
        <f>IFERROR(__xludf.DUMMYFUNCTION("""COMPUTED_VALUE"""),807731.009999999)</f>
        <v/>
      </c>
      <c r="J62">
        <f>IFERROR(__xludf.DUMMYFUNCTION("""COMPUTED_VALUE"""),"Moncton, New Brunswick")</f>
        <v/>
      </c>
      <c r="K62">
        <f>IFERROR(__xludf.DUMMYFUNCTION("""COMPUTED_VALUE"""),666057.62)</f>
        <v/>
      </c>
    </row>
    <row r="63">
      <c r="G63">
        <f>IFERROR(__xludf.DUMMYFUNCTION("""COMPUTED_VALUE"""),"Office of the Auditor General of Canada | Bureau du vérificateur général du Canada")</f>
        <v/>
      </c>
      <c r="H63">
        <f>IFERROR(__xludf.DUMMYFUNCTION("""COMPUTED_VALUE"""),783631.44)</f>
        <v/>
      </c>
      <c r="J63">
        <f>IFERROR(__xludf.DUMMYFUNCTION("""COMPUTED_VALUE"""),"Dubai, United Arab Emirates")</f>
        <v/>
      </c>
      <c r="K63">
        <f>IFERROR(__xludf.DUMMYFUNCTION("""COMPUTED_VALUE"""),665320.04)</f>
        <v/>
      </c>
    </row>
    <row r="64">
      <c r="G64">
        <f>IFERROR(__xludf.DUMMYFUNCTION("""COMPUTED_VALUE"""),"Canadian Grain Commission | Commission canadienne des grains")</f>
        <v/>
      </c>
      <c r="H64">
        <f>IFERROR(__xludf.DUMMYFUNCTION("""COMPUTED_VALUE"""),765899.83)</f>
        <v/>
      </c>
      <c r="J64">
        <f>IFERROR(__xludf.DUMMYFUNCTION("""COMPUTED_VALUE"""),"Edmonton, AB")</f>
        <v/>
      </c>
      <c r="K64">
        <f>IFERROR(__xludf.DUMMYFUNCTION("""COMPUTED_VALUE"""),663024.41)</f>
        <v/>
      </c>
    </row>
    <row r="65">
      <c r="G65">
        <f>IFERROR(__xludf.DUMMYFUNCTION("""COMPUTED_VALUE"""),"Administrative Tribunals Support Service of Canada | Service canadien d'appui aux tribunaux administratifs")</f>
        <v/>
      </c>
      <c r="H65">
        <f>IFERROR(__xludf.DUMMYFUNCTION("""COMPUTED_VALUE"""),764636.999999999)</f>
        <v/>
      </c>
      <c r="J65">
        <f>IFERROR(__xludf.DUMMYFUNCTION("""COMPUTED_VALUE"""),"Singapore")</f>
        <v/>
      </c>
      <c r="K65">
        <f>IFERROR(__xludf.DUMMYFUNCTION("""COMPUTED_VALUE"""),625231.559999999)</f>
        <v/>
      </c>
    </row>
    <row r="66">
      <c r="G66">
        <f>IFERROR(__xludf.DUMMYFUNCTION("""COMPUTED_VALUE"""),"Prairies Economic Development Canada | Développement économique Canada pour les Prairies")</f>
        <v/>
      </c>
      <c r="H66">
        <f>IFERROR(__xludf.DUMMYFUNCTION("""COMPUTED_VALUE"""),744459.16)</f>
        <v/>
      </c>
      <c r="J66">
        <f>IFERROR(__xludf.DUMMYFUNCTION("""COMPUTED_VALUE"""),"Ottawa, Canada")</f>
        <v/>
      </c>
      <c r="K66">
        <f>IFERROR(__xludf.DUMMYFUNCTION("""COMPUTED_VALUE"""),622261.979999999)</f>
        <v/>
      </c>
    </row>
    <row r="67">
      <c r="G67">
        <f>IFERROR(__xludf.DUMMYFUNCTION("""COMPUTED_VALUE"""),"Canada Foundation for Innovation | Fondation canadienne pour l’innovation")</f>
        <v/>
      </c>
      <c r="H67">
        <f>IFERROR(__xludf.DUMMYFUNCTION("""COMPUTED_VALUE"""),739258.709999999)</f>
        <v/>
      </c>
      <c r="J67">
        <f>IFERROR(__xludf.DUMMYFUNCTION("""COMPUTED_VALUE"""),"Winnipeg, Manitoba")</f>
        <v/>
      </c>
      <c r="K67">
        <f>IFERROR(__xludf.DUMMYFUNCTION("""COMPUTED_VALUE"""),602993.07)</f>
        <v/>
      </c>
    </row>
    <row r="68">
      <c r="G68">
        <f>IFERROR(__xludf.DUMMYFUNCTION("""COMPUTED_VALUE"""),"Parole Board of Canada | Commission des libérations conditionnelles du Canada")</f>
        <v/>
      </c>
      <c r="H68">
        <f>IFERROR(__xludf.DUMMYFUNCTION("""COMPUTED_VALUE"""),727288.96)</f>
        <v/>
      </c>
      <c r="J68">
        <f>IFERROR(__xludf.DUMMYFUNCTION("""COMPUTED_VALUE"""),"London, England, United Kingdom")</f>
        <v/>
      </c>
      <c r="K68">
        <f>IFERROR(__xludf.DUMMYFUNCTION("""COMPUTED_VALUE"""),576690.679999999)</f>
        <v/>
      </c>
    </row>
    <row r="69">
      <c r="G69">
        <f>IFERROR(__xludf.DUMMYFUNCTION("""COMPUTED_VALUE"""),"Shared Services Canada | Services partagés Canada")</f>
        <v/>
      </c>
      <c r="H69">
        <f>IFERROR(__xludf.DUMMYFUNCTION("""COMPUTED_VALUE"""),709825.94)</f>
        <v/>
      </c>
      <c r="J69">
        <f>IFERROR(__xludf.DUMMYFUNCTION("""COMPUTED_VALUE"""),"New York, United States")</f>
        <v/>
      </c>
      <c r="K69">
        <f>IFERROR(__xludf.DUMMYFUNCTION("""COMPUTED_VALUE"""),561383.899999999)</f>
        <v/>
      </c>
    </row>
    <row r="70">
      <c r="G70">
        <f>IFERROR(__xludf.DUMMYFUNCTION("""COMPUTED_VALUE"""),"National Film Board | Office national du film")</f>
        <v/>
      </c>
      <c r="H70">
        <f>IFERROR(__xludf.DUMMYFUNCTION("""COMPUTED_VALUE"""),697668.21)</f>
        <v/>
      </c>
      <c r="J70">
        <f>IFERROR(__xludf.DUMMYFUNCTION("""COMPUTED_VALUE"""),"Ottawa, ON, Canada")</f>
        <v/>
      </c>
      <c r="K70">
        <f>IFERROR(__xludf.DUMMYFUNCTION("""COMPUTED_VALUE"""),543382.45)</f>
        <v/>
      </c>
    </row>
    <row r="71">
      <c r="G71">
        <f>IFERROR(__xludf.DUMMYFUNCTION("""COMPUTED_VALUE"""),"National Capital Commission | Commission de la capitale nationale")</f>
        <v/>
      </c>
      <c r="H71">
        <f>IFERROR(__xludf.DUMMYFUNCTION("""COMPUTED_VALUE"""),684832.65)</f>
        <v/>
      </c>
      <c r="J71">
        <f>IFERROR(__xludf.DUMMYFUNCTION("""COMPUTED_VALUE"""),"Winnipeg, MB")</f>
        <v/>
      </c>
      <c r="K71">
        <f>IFERROR(__xludf.DUMMYFUNCTION("""COMPUTED_VALUE"""),543227.61)</f>
        <v/>
      </c>
    </row>
    <row r="72">
      <c r="G72">
        <f>IFERROR(__xludf.DUMMYFUNCTION("""COMPUTED_VALUE"""),"Natural Sciences and Engineering Research Council of Canada | Conseil de recherches en sciences naturelles et en génie du Canada")</f>
        <v/>
      </c>
      <c r="H72">
        <f>IFERROR(__xludf.DUMMYFUNCTION("""COMPUTED_VALUE"""),681679.08)</f>
        <v/>
      </c>
      <c r="J72">
        <f>IFERROR(__xludf.DUMMYFUNCTION("""COMPUTED_VALUE"""),"Stockholm, Sweden")</f>
        <v/>
      </c>
      <c r="K72">
        <f>IFERROR(__xludf.DUMMYFUNCTION("""COMPUTED_VALUE"""),541216.919999999)</f>
        <v/>
      </c>
    </row>
    <row r="73">
      <c r="G73">
        <f>IFERROR(__xludf.DUMMYFUNCTION("""COMPUTED_VALUE"""),"International Joint Commission | Commission mixte internationale")</f>
        <v/>
      </c>
      <c r="H73">
        <f>IFERROR(__xludf.DUMMYFUNCTION("""COMPUTED_VALUE"""),639541.98)</f>
        <v/>
      </c>
      <c r="J73">
        <f>IFERROR(__xludf.DUMMYFUNCTION("""COMPUTED_VALUE"""),"Quebec City, Quebec, Canada")</f>
        <v/>
      </c>
      <c r="K73">
        <f>IFERROR(__xludf.DUMMYFUNCTION("""COMPUTED_VALUE"""),534647.3)</f>
        <v/>
      </c>
    </row>
    <row r="74">
      <c r="G74">
        <f>IFERROR(__xludf.DUMMYFUNCTION("""COMPUTED_VALUE"""),"Polar Knowledge Canada | Savoir polaire Canada")</f>
        <v/>
      </c>
      <c r="H74">
        <f>IFERROR(__xludf.DUMMYFUNCTION("""COMPUTED_VALUE"""),635907.79)</f>
        <v/>
      </c>
      <c r="J74">
        <f>IFERROR(__xludf.DUMMYFUNCTION("""COMPUTED_VALUE"""),"Ontario")</f>
        <v/>
      </c>
      <c r="K74">
        <f>IFERROR(__xludf.DUMMYFUNCTION("""COMPUTED_VALUE"""),532163.35)</f>
        <v/>
      </c>
    </row>
    <row r="75">
      <c r="G75">
        <f>IFERROR(__xludf.DUMMYFUNCTION("""COMPUTED_VALUE"""),"College of Immigration and Citizenship Consultants | Collège des Consultants en Immigration et en Citoyenneté")</f>
        <v/>
      </c>
      <c r="H75">
        <f>IFERROR(__xludf.DUMMYFUNCTION("""COMPUTED_VALUE"""),628241.14)</f>
        <v/>
      </c>
      <c r="J75">
        <f>IFERROR(__xludf.DUMMYFUNCTION("""COMPUTED_VALUE"""),"Washington, United States")</f>
        <v/>
      </c>
      <c r="K75">
        <f>IFERROR(__xludf.DUMMYFUNCTION("""COMPUTED_VALUE"""),529910.25)</f>
        <v/>
      </c>
    </row>
    <row r="76">
      <c r="G76">
        <f>IFERROR(__xludf.DUMMYFUNCTION("""COMPUTED_VALUE"""),"Telefilm Canada | Téléfilm Canada")</f>
        <v/>
      </c>
      <c r="H76">
        <f>IFERROR(__xludf.DUMMYFUNCTION("""COMPUTED_VALUE"""),615046.41)</f>
        <v/>
      </c>
      <c r="J76">
        <f>IFERROR(__xludf.DUMMYFUNCTION("""COMPUTED_VALUE"""),"Banff, Alberta, Canada")</f>
        <v/>
      </c>
      <c r="K76">
        <f>IFERROR(__xludf.DUMMYFUNCTION("""COMPUTED_VALUE"""),509022.36)</f>
        <v/>
      </c>
    </row>
    <row r="77">
      <c r="G77">
        <f>IFERROR(__xludf.DUMMYFUNCTION("""COMPUTED_VALUE"""),"Office of the Privacy Commissioner of Canada | Commissariat à la protection de la vie privée du Canada")</f>
        <v/>
      </c>
      <c r="H77">
        <f>IFERROR(__xludf.DUMMYFUNCTION("""COMPUTED_VALUE"""),587677.45)</f>
        <v/>
      </c>
      <c r="J77">
        <f>IFERROR(__xludf.DUMMYFUNCTION("""COMPUTED_VALUE"""),"Montreal")</f>
        <v/>
      </c>
      <c r="K77">
        <f>IFERROR(__xludf.DUMMYFUNCTION("""COMPUTED_VALUE"""),502576.569999999)</f>
        <v/>
      </c>
    </row>
    <row r="78">
      <c r="G78">
        <f>IFERROR(__xludf.DUMMYFUNCTION("""COMPUTED_VALUE"""),"Prince Rupert Port Authority | L’Administration portuaire de Prince Rupert")</f>
        <v/>
      </c>
      <c r="H78">
        <f>IFERROR(__xludf.DUMMYFUNCTION("""COMPUTED_VALUE"""),585769.219999999)</f>
        <v/>
      </c>
      <c r="J78">
        <f>IFERROR(__xludf.DUMMYFUNCTION("""COMPUTED_VALUE"""),"Riga, Latvia")</f>
        <v/>
      </c>
      <c r="K78">
        <f>IFERROR(__xludf.DUMMYFUNCTION("""COMPUTED_VALUE"""),496457.969999999)</f>
        <v/>
      </c>
    </row>
    <row r="79">
      <c r="G79">
        <f>IFERROR(__xludf.DUMMYFUNCTION("""COMPUTED_VALUE"""),"Impact Assessment Agency of Canada | Agence d'évaluation d'impact du Canada")</f>
        <v/>
      </c>
      <c r="H79">
        <f>IFERROR(__xludf.DUMMYFUNCTION("""COMPUTED_VALUE"""),523225.73)</f>
        <v/>
      </c>
      <c r="J79">
        <f>IFERROR(__xludf.DUMMYFUNCTION("""COMPUTED_VALUE"""),"Montreal, QC")</f>
        <v/>
      </c>
      <c r="K79">
        <f>IFERROR(__xludf.DUMMYFUNCTION("""COMPUTED_VALUE"""),493802.25)</f>
        <v/>
      </c>
    </row>
    <row r="80">
      <c r="G80">
        <f>IFERROR(__xludf.DUMMYFUNCTION("""COMPUTED_VALUE"""),"Public Prosecution Service of Canada | Service des poursuites pénales du Canada")</f>
        <v/>
      </c>
      <c r="H80">
        <f>IFERROR(__xludf.DUMMYFUNCTION("""COMPUTED_VALUE"""),486743.279999999)</f>
        <v/>
      </c>
      <c r="J80">
        <f>IFERROR(__xludf.DUMMYFUNCTION("""COMPUTED_VALUE"""),"Fredericton, New Brunswick, Canada")</f>
        <v/>
      </c>
      <c r="K80">
        <f>IFERROR(__xludf.DUMMYFUNCTION("""COMPUTED_VALUE"""),478483.2)</f>
        <v/>
      </c>
    </row>
    <row r="81">
      <c r="G81">
        <f>IFERROR(__xludf.DUMMYFUNCTION("""COMPUTED_VALUE"""),"Canada Infrastructure Bank | La Banque de l’infrastructure du Canada")</f>
        <v/>
      </c>
      <c r="H81">
        <f>IFERROR(__xludf.DUMMYFUNCTION("""COMPUTED_VALUE"""),483054)</f>
        <v/>
      </c>
      <c r="J81">
        <f>IFERROR(__xludf.DUMMYFUNCTION("""COMPUTED_VALUE"""),"Québec, Quebec, Canada")</f>
        <v/>
      </c>
      <c r="K81">
        <f>IFERROR(__xludf.DUMMYFUNCTION("""COMPUTED_VALUE"""),477799.78)</f>
        <v/>
      </c>
    </row>
    <row r="82">
      <c r="G82">
        <f>IFERROR(__xludf.DUMMYFUNCTION("""COMPUTED_VALUE"""),"Courts Administration Service | Service administratif des tribunaux judiciaires")</f>
        <v/>
      </c>
      <c r="H82">
        <f>IFERROR(__xludf.DUMMYFUNCTION("""COMPUTED_VALUE"""),478299.67)</f>
        <v/>
      </c>
      <c r="J82">
        <f>IFERROR(__xludf.DUMMYFUNCTION("""COMPUTED_VALUE"""),"Brussels")</f>
        <v/>
      </c>
      <c r="K82">
        <f>IFERROR(__xludf.DUMMYFUNCTION("""COMPUTED_VALUE"""),468217.81)</f>
        <v/>
      </c>
    </row>
    <row r="83">
      <c r="G83">
        <f>IFERROR(__xludf.DUMMYFUNCTION("""COMPUTED_VALUE"""),"Pacific Economic Development Canada | Développement économique Canada pour le Pacifique")</f>
        <v/>
      </c>
      <c r="H83">
        <f>IFERROR(__xludf.DUMMYFUNCTION("""COMPUTED_VALUE"""),476062.94)</f>
        <v/>
      </c>
      <c r="J83">
        <f>IFERROR(__xludf.DUMMYFUNCTION("""COMPUTED_VALUE"""),"London")</f>
        <v/>
      </c>
      <c r="K83">
        <f>IFERROR(__xludf.DUMMYFUNCTION("""COMPUTED_VALUE"""),464609.11)</f>
        <v/>
      </c>
    </row>
    <row r="84">
      <c r="G84">
        <f>IFERROR(__xludf.DUMMYFUNCTION("""COMPUTED_VALUE"""),"Royal Canadian Mint | Monnaie royale canadienne")</f>
        <v/>
      </c>
      <c r="H84">
        <f>IFERROR(__xludf.DUMMYFUNCTION("""COMPUTED_VALUE"""),475621.99)</f>
        <v/>
      </c>
      <c r="J84">
        <f>IFERROR(__xludf.DUMMYFUNCTION("""COMPUTED_VALUE"""),"Buenos Aires, Argentina")</f>
        <v/>
      </c>
      <c r="K84">
        <f>IFERROR(__xludf.DUMMYFUNCTION("""COMPUTED_VALUE"""),460590.43)</f>
        <v/>
      </c>
    </row>
    <row r="85">
      <c r="G85">
        <f>IFERROR(__xludf.DUMMYFUNCTION("""COMPUTED_VALUE"""),"VIA Rail Canada Inc. | VIA Rail Canada Inc.")</f>
        <v/>
      </c>
      <c r="H85">
        <f>IFERROR(__xludf.DUMMYFUNCTION("""COMPUTED_VALUE"""),469287.05)</f>
        <v/>
      </c>
      <c r="J85">
        <f>IFERROR(__xludf.DUMMYFUNCTION("""COMPUTED_VALUE"""),"Davos, Switzerland")</f>
        <v/>
      </c>
      <c r="K85">
        <f>IFERROR(__xludf.DUMMYFUNCTION("""COMPUTED_VALUE"""),459172.949999999)</f>
        <v/>
      </c>
    </row>
    <row r="86">
      <c r="G86">
        <f>IFERROR(__xludf.DUMMYFUNCTION("""COMPUTED_VALUE"""),"Canada School of Public Service | École de la fonction publique du Canada")</f>
        <v/>
      </c>
      <c r="H86">
        <f>IFERROR(__xludf.DUMMYFUNCTION("""COMPUTED_VALUE"""),463606.48)</f>
        <v/>
      </c>
      <c r="J86">
        <f>IFERROR(__xludf.DUMMYFUNCTION("""COMPUTED_VALUE"""),"Santiago, Chile")</f>
        <v/>
      </c>
      <c r="K86">
        <f>IFERROR(__xludf.DUMMYFUNCTION("""COMPUTED_VALUE"""),456116.25)</f>
        <v/>
      </c>
    </row>
    <row r="87">
      <c r="G87">
        <f>IFERROR(__xludf.DUMMYFUNCTION("""COMPUTED_VALUE"""),"National Gallery of Canada | Musée des beaux-arts du Canada")</f>
        <v/>
      </c>
      <c r="H87">
        <f>IFERROR(__xludf.DUMMYFUNCTION("""COMPUTED_VALUE"""),461638.43)</f>
        <v/>
      </c>
      <c r="J87">
        <f>IFERROR(__xludf.DUMMYFUNCTION("""COMPUTED_VALUE"""),"Regina, Saskatchewan")</f>
        <v/>
      </c>
      <c r="K87">
        <f>IFERROR(__xludf.DUMMYFUNCTION("""COMPUTED_VALUE"""),454700.92)</f>
        <v/>
      </c>
    </row>
    <row r="88">
      <c r="G88">
        <f>IFERROR(__xludf.DUMMYFUNCTION("""COMPUTED_VALUE"""),"Office of the Administrator of the Ship-source Oil Pollution Fund; (operating under the name) Ship and Rail Compensation Canada | Bureau de l’administrateur de la Caisse d’indemnisation des dommages dus à la pollution par les hydrocarbures causée par les "&amp;"navires; (qui mène ses activités sous le nom de) Indemnisation Navire et Rail Canada")</f>
        <v/>
      </c>
      <c r="H88">
        <f>IFERROR(__xludf.DUMMYFUNCTION("""COMPUTED_VALUE"""),458595.099999999)</f>
        <v/>
      </c>
      <c r="J88">
        <f>IFERROR(__xludf.DUMMYFUNCTION("""COMPUTED_VALUE"""),"London, Ontario, Canada")</f>
        <v/>
      </c>
      <c r="K88">
        <f>IFERROR(__xludf.DUMMYFUNCTION("""COMPUTED_VALUE"""),445162.69)</f>
        <v/>
      </c>
    </row>
    <row r="89">
      <c r="G89">
        <f>IFERROR(__xludf.DUMMYFUNCTION("""COMPUTED_VALUE"""),"Quebec Port Authority | Administration portuaire de Québec")</f>
        <v/>
      </c>
      <c r="H89">
        <f>IFERROR(__xludf.DUMMYFUNCTION("""COMPUTED_VALUE"""),440291.31)</f>
        <v/>
      </c>
      <c r="J89">
        <f>IFERROR(__xludf.DUMMYFUNCTION("""COMPUTED_VALUE"""),"Cape Town, South Africa")</f>
        <v/>
      </c>
      <c r="K89">
        <f>IFERROR(__xludf.DUMMYFUNCTION("""COMPUTED_VALUE"""),441271.25)</f>
        <v/>
      </c>
    </row>
    <row r="90">
      <c r="G90">
        <f>IFERROR(__xludf.DUMMYFUNCTION("""COMPUTED_VALUE"""),"Canadian Museum of History | Musée canadien de l'histoire")</f>
        <v/>
      </c>
      <c r="H90">
        <f>IFERROR(__xludf.DUMMYFUNCTION("""COMPUTED_VALUE"""),393754.169999999)</f>
        <v/>
      </c>
      <c r="J90">
        <f>IFERROR(__xludf.DUMMYFUNCTION("""COMPUTED_VALUE"""),"Manila, Philippines")</f>
        <v/>
      </c>
      <c r="K90">
        <f>IFERROR(__xludf.DUMMYFUNCTION("""COMPUTED_VALUE"""),437348.389999999)</f>
        <v/>
      </c>
    </row>
    <row r="91">
      <c r="G91">
        <f>IFERROR(__xludf.DUMMYFUNCTION("""COMPUTED_VALUE"""),"Canada Council for the Arts | Conseil des arts du Canada")</f>
        <v/>
      </c>
      <c r="H91">
        <f>IFERROR(__xludf.DUMMYFUNCTION("""COMPUTED_VALUE"""),391736.099999999)</f>
        <v/>
      </c>
      <c r="J91">
        <f>IFERROR(__xludf.DUMMYFUNCTION("""COMPUTED_VALUE"""),"Bali, Indonesia")</f>
        <v/>
      </c>
      <c r="K91">
        <f>IFERROR(__xludf.DUMMYFUNCTION("""COMPUTED_VALUE"""),428019.65)</f>
        <v/>
      </c>
    </row>
    <row r="92">
      <c r="G92">
        <f>IFERROR(__xludf.DUMMYFUNCTION("""COMPUTED_VALUE"""),"Accessibility Standards Canada | Normes d’accessibilité Canada")</f>
        <v/>
      </c>
      <c r="H92">
        <f>IFERROR(__xludf.DUMMYFUNCTION("""COMPUTED_VALUE"""),386061.14)</f>
        <v/>
      </c>
      <c r="J92">
        <f>IFERROR(__xludf.DUMMYFUNCTION("""COMPUTED_VALUE"""),"Warsaw, Poland")</f>
        <v/>
      </c>
      <c r="K92">
        <f>IFERROR(__xludf.DUMMYFUNCTION("""COMPUTED_VALUE"""),422924.59)</f>
        <v/>
      </c>
    </row>
    <row r="93">
      <c r="G93">
        <f>IFERROR(__xludf.DUMMYFUNCTION("""COMPUTED_VALUE"""),"Library and Archives Canada | Bibliothèque et Archives Canada")</f>
        <v/>
      </c>
      <c r="H93">
        <f>IFERROR(__xludf.DUMMYFUNCTION("""COMPUTED_VALUE"""),378182.3)</f>
        <v/>
      </c>
      <c r="J93">
        <f>IFERROR(__xludf.DUMMYFUNCTION("""COMPUTED_VALUE"""),"Saskatoon, Saskatchewan")</f>
        <v/>
      </c>
      <c r="K93">
        <f>IFERROR(__xludf.DUMMYFUNCTION("""COMPUTED_VALUE"""),421505.389999999)</f>
        <v/>
      </c>
    </row>
    <row r="94">
      <c r="G94">
        <f>IFERROR(__xludf.DUMMYFUNCTION("""COMPUTED_VALUE"""),"Immigration and Refugee Board of Canada | Commission de l'immigration et du statut de réfugié du Canada")</f>
        <v/>
      </c>
      <c r="H94">
        <f>IFERROR(__xludf.DUMMYFUNCTION("""COMPUTED_VALUE"""),373356.299999999)</f>
        <v/>
      </c>
      <c r="J94">
        <f>IFERROR(__xludf.DUMMYFUNCTION("""COMPUTED_VALUE"""),"Washington, DC, USA")</f>
        <v/>
      </c>
      <c r="K94">
        <f>IFERROR(__xludf.DUMMYFUNCTION("""COMPUTED_VALUE"""),416665.589999999)</f>
        <v/>
      </c>
    </row>
    <row r="95">
      <c r="G95">
        <f>IFERROR(__xludf.DUMMYFUNCTION("""COMPUTED_VALUE"""),"Canadian Northern Economic Development Agency | Agence canadienne de développement économique du Nord")</f>
        <v/>
      </c>
      <c r="H95">
        <f>IFERROR(__xludf.DUMMYFUNCTION("""COMPUTED_VALUE"""),364686.74)</f>
        <v/>
      </c>
      <c r="J95">
        <f>IFERROR(__xludf.DUMMYFUNCTION("""COMPUTED_VALUE"""),"Gatineau, Quebec")</f>
        <v/>
      </c>
      <c r="K95">
        <f>IFERROR(__xludf.DUMMYFUNCTION("""COMPUTED_VALUE"""),411149.889999999)</f>
        <v/>
      </c>
    </row>
    <row r="96">
      <c r="G96">
        <f>IFERROR(__xludf.DUMMYFUNCTION("""COMPUTED_VALUE"""),"Status of Women Canada | Condition féminine Canada")</f>
        <v/>
      </c>
      <c r="H96">
        <f>IFERROR(__xludf.DUMMYFUNCTION("""COMPUTED_VALUE"""),346948.599999999)</f>
        <v/>
      </c>
      <c r="J96">
        <f>IFERROR(__xludf.DUMMYFUNCTION("""COMPUTED_VALUE"""),"Washington, D.C., United States")</f>
        <v/>
      </c>
      <c r="K96">
        <f>IFERROR(__xludf.DUMMYFUNCTION("""COMPUTED_VALUE"""),395160.039999999)</f>
        <v/>
      </c>
    </row>
    <row r="97">
      <c r="G97">
        <f>IFERROR(__xludf.DUMMYFUNCTION("""COMPUTED_VALUE"""),"Transportation Safety Board of Canada | Bureau de la sécurité des transports du Canada")</f>
        <v/>
      </c>
      <c r="H97">
        <f>IFERROR(__xludf.DUMMYFUNCTION("""COMPUTED_VALUE"""),333468.32)</f>
        <v/>
      </c>
      <c r="J97">
        <f>IFERROR(__xludf.DUMMYFUNCTION("""COMPUTED_VALUE"""),"Oslo, Norway")</f>
        <v/>
      </c>
      <c r="K97">
        <f>IFERROR(__xludf.DUMMYFUNCTION("""COMPUTED_VALUE"""),388842.37)</f>
        <v/>
      </c>
    </row>
    <row r="98">
      <c r="G98">
        <f>IFERROR(__xludf.DUMMYFUNCTION("""COMPUTED_VALUE"""),"Office of the Veterans Ombudsman | Bureau de l'ombudsman des vétérans")</f>
        <v/>
      </c>
      <c r="H98">
        <f>IFERROR(__xludf.DUMMYFUNCTION("""COMPUTED_VALUE"""),328986.83)</f>
        <v/>
      </c>
      <c r="J98">
        <f>IFERROR(__xludf.DUMMYFUNCTION("""COMPUTED_VALUE"""),"Munich, Germany")</f>
        <v/>
      </c>
      <c r="K98">
        <f>IFERROR(__xludf.DUMMYFUNCTION("""COMPUTED_VALUE"""),382711.54)</f>
        <v/>
      </c>
    </row>
    <row r="99">
      <c r="G99">
        <f>IFERROR(__xludf.DUMMYFUNCTION("""COMPUTED_VALUE"""),"Secretariat of the National Security and Intelligence Committee of Parliamentarians | Secrétariat du Comité des parlementaires sur la sécurité nationale et le renseignement")</f>
        <v/>
      </c>
      <c r="H99">
        <f>IFERROR(__xludf.DUMMYFUNCTION("""COMPUTED_VALUE"""),323444.809999999)</f>
        <v/>
      </c>
      <c r="J99">
        <f>IFERROR(__xludf.DUMMYFUNCTION("""COMPUTED_VALUE"""),"Frankfurt, Germany")</f>
        <v/>
      </c>
      <c r="K99">
        <f>IFERROR(__xludf.DUMMYFUNCTION("""COMPUTED_VALUE"""),380548.679999999)</f>
        <v/>
      </c>
    </row>
    <row r="100">
      <c r="G100">
        <f>IFERROR(__xludf.DUMMYFUNCTION("""COMPUTED_VALUE"""),"Development Finance Institution - FinDev Canada | Institution de financement du développement - FinDev Canada")</f>
        <v/>
      </c>
      <c r="H100">
        <f>IFERROR(__xludf.DUMMYFUNCTION("""COMPUTED_VALUE"""),302207.589999999)</f>
        <v/>
      </c>
      <c r="J100">
        <f>IFERROR(__xludf.DUMMYFUNCTION("""COMPUTED_VALUE"""),"Delhi, India")</f>
        <v/>
      </c>
      <c r="K100">
        <f>IFERROR(__xludf.DUMMYFUNCTION("""COMPUTED_VALUE"""),367602.86)</f>
        <v/>
      </c>
    </row>
    <row r="101">
      <c r="G101">
        <f>IFERROR(__xludf.DUMMYFUNCTION("""COMPUTED_VALUE"""),"Halifax Port Authority | Administration portuaire de Halifax")</f>
        <v/>
      </c>
      <c r="H101">
        <f>IFERROR(__xludf.DUMMYFUNCTION("""COMPUTED_VALUE"""),288459.189999999)</f>
        <v/>
      </c>
      <c r="J101">
        <f>IFERROR(__xludf.DUMMYFUNCTION("""COMPUTED_VALUE"""),"Madrid, Spain")</f>
        <v/>
      </c>
      <c r="K101">
        <f>IFERROR(__xludf.DUMMYFUNCTION("""COMPUTED_VALUE"""),360735.069999999)</f>
        <v/>
      </c>
    </row>
    <row r="102">
      <c r="G102">
        <f>IFERROR(__xludf.DUMMYFUNCTION("""COMPUTED_VALUE"""),"Business Development Bank of Canada | Banque de développement du Canada")</f>
        <v/>
      </c>
      <c r="H102">
        <f>IFERROR(__xludf.DUMMYFUNCTION("""COMPUTED_VALUE"""),259457.089999999)</f>
        <v/>
      </c>
      <c r="J102">
        <f>IFERROR(__xludf.DUMMYFUNCTION("""COMPUTED_VALUE"""),"Hamilton, Ontario, Canada")</f>
        <v/>
      </c>
      <c r="K102">
        <f>IFERROR(__xludf.DUMMYFUNCTION("""COMPUTED_VALUE"""),356053.549999999)</f>
        <v/>
      </c>
    </row>
    <row r="103">
      <c r="G103">
        <f>IFERROR(__xludf.DUMMYFUNCTION("""COMPUTED_VALUE"""),"The Correctional Investigator Canada | L'Enquêteur correctionnel Canada")</f>
        <v/>
      </c>
      <c r="H103">
        <f>IFERROR(__xludf.DUMMYFUNCTION("""COMPUTED_VALUE"""),246648.259999999)</f>
        <v/>
      </c>
      <c r="J103">
        <f>IFERROR(__xludf.DUMMYFUNCTION("""COMPUTED_VALUE"""),"Tel Aviv, Israel")</f>
        <v/>
      </c>
      <c r="K103">
        <f>IFERROR(__xludf.DUMMYFUNCTION("""COMPUTED_VALUE"""),353985.019999999)</f>
        <v/>
      </c>
    </row>
    <row r="104">
      <c r="G104">
        <f>IFERROR(__xludf.DUMMYFUNCTION("""COMPUTED_VALUE"""),"Canadian Transportation Agency | Office des transports du Canada")</f>
        <v/>
      </c>
      <c r="H104">
        <f>IFERROR(__xludf.DUMMYFUNCTION("""COMPUTED_VALUE"""),230602.689999999)</f>
        <v/>
      </c>
      <c r="J104">
        <f>IFERROR(__xludf.DUMMYFUNCTION("""COMPUTED_VALUE"""),"Washington, D.C.")</f>
        <v/>
      </c>
      <c r="K104">
        <f>IFERROR(__xludf.DUMMYFUNCTION("""COMPUTED_VALUE"""),352232.75)</f>
        <v/>
      </c>
    </row>
    <row r="105">
      <c r="G105">
        <f>IFERROR(__xludf.DUMMYFUNCTION("""COMPUTED_VALUE"""),"Patented Medicine Prices Review Board Canada | Conseil d'examen du prix des médicaments brevetés Canada")</f>
        <v/>
      </c>
      <c r="H105">
        <f>IFERROR(__xludf.DUMMYFUNCTION("""COMPUTED_VALUE"""),225623.529999999)</f>
        <v/>
      </c>
      <c r="J105">
        <f>IFERROR(__xludf.DUMMYFUNCTION("""COMPUTED_VALUE"""),"Windsor, Ontario, Canada")</f>
        <v/>
      </c>
      <c r="K105">
        <f>IFERROR(__xludf.DUMMYFUNCTION("""COMPUTED_VALUE"""),348669.739999999)</f>
        <v/>
      </c>
    </row>
    <row r="106">
      <c r="G106">
        <f>IFERROR(__xludf.DUMMYFUNCTION("""COMPUTED_VALUE"""),"Federal Bridge Corporation | Société des ponts fédéraux")</f>
        <v/>
      </c>
      <c r="H106">
        <f>IFERROR(__xludf.DUMMYFUNCTION("""COMPUTED_VALUE"""),223306.569999999)</f>
        <v/>
      </c>
      <c r="J106">
        <f>IFERROR(__xludf.DUMMYFUNCTION("""COMPUTED_VALUE"""),"Nairobi, Kenya")</f>
        <v/>
      </c>
      <c r="K106">
        <f>IFERROR(__xludf.DUMMYFUNCTION("""COMPUTED_VALUE"""),348132.809999999)</f>
        <v/>
      </c>
    </row>
    <row r="107">
      <c r="G107">
        <f>IFERROR(__xludf.DUMMYFUNCTION("""COMPUTED_VALUE"""),"Canadian Museum of Immigration at Pier 21 | Musée canadien de l'immigration du Quai 21")</f>
        <v/>
      </c>
      <c r="H107">
        <f>IFERROR(__xludf.DUMMYFUNCTION("""COMPUTED_VALUE"""),213507.669999999)</f>
        <v/>
      </c>
      <c r="J107">
        <f>IFERROR(__xludf.DUMMYFUNCTION("""COMPUTED_VALUE"""),"Istanbul, Turkey")</f>
        <v/>
      </c>
      <c r="K107">
        <f>IFERROR(__xludf.DUMMYFUNCTION("""COMPUTED_VALUE"""),345227.83)</f>
        <v/>
      </c>
    </row>
    <row r="108">
      <c r="G108">
        <f>IFERROR(__xludf.DUMMYFUNCTION("""COMPUTED_VALUE"""),"Civilian Review and Complaints Commission for the RCMP | Commission civile d'examen et de traitement des plaintes relatives à la Gendarmerie royale du Canada")</f>
        <v/>
      </c>
      <c r="H108">
        <f>IFERROR(__xludf.DUMMYFUNCTION("""COMPUTED_VALUE"""),203031.43)</f>
        <v/>
      </c>
      <c r="J108">
        <f>IFERROR(__xludf.DUMMYFUNCTION("""COMPUTED_VALUE"""),"Bangkok, Thailand")</f>
        <v/>
      </c>
      <c r="K108">
        <f>IFERROR(__xludf.DUMMYFUNCTION("""COMPUTED_VALUE"""),343458.97)</f>
        <v/>
      </c>
    </row>
    <row r="109">
      <c r="G109">
        <f>IFERROR(__xludf.DUMMYFUNCTION("""COMPUTED_VALUE"""),"Military Grievances External Review Committee | Comité externe d’examen des griefs militaires")</f>
        <v/>
      </c>
      <c r="H109">
        <f>IFERROR(__xludf.DUMMYFUNCTION("""COMPUTED_VALUE"""),200941.599999999)</f>
        <v/>
      </c>
      <c r="J109">
        <f>IFERROR(__xludf.DUMMYFUNCTION("""COMPUTED_VALUE"""),"Washington, DC, United States")</f>
        <v/>
      </c>
      <c r="K109">
        <f>IFERROR(__xludf.DUMMYFUNCTION("""COMPUTED_VALUE"""),338481.29)</f>
        <v/>
      </c>
    </row>
    <row r="110">
      <c r="G110">
        <f>IFERROR(__xludf.DUMMYFUNCTION("""COMPUTED_VALUE"""),"Elections Canada | Élections Canada")</f>
        <v/>
      </c>
      <c r="H110">
        <f>IFERROR(__xludf.DUMMYFUNCTION("""COMPUTED_VALUE"""),199757.24)</f>
        <v/>
      </c>
      <c r="J110">
        <f>IFERROR(__xludf.DUMMYFUNCTION("""COMPUTED_VALUE"""),"Halifax")</f>
        <v/>
      </c>
      <c r="K110">
        <f>IFERROR(__xludf.DUMMYFUNCTION("""COMPUTED_VALUE"""),337829.63)</f>
        <v/>
      </c>
    </row>
    <row r="111">
      <c r="G111">
        <f>IFERROR(__xludf.DUMMYFUNCTION("""COMPUTED_VALUE"""),"Windsor-Detroit Bridge Authority | Autorité du pont Windsor-Détroit")</f>
        <v/>
      </c>
      <c r="H111">
        <f>IFERROR(__xludf.DUMMYFUNCTION("""COMPUTED_VALUE"""),196632.15)</f>
        <v/>
      </c>
      <c r="J111">
        <f>IFERROR(__xludf.DUMMYFUNCTION("""COMPUTED_VALUE"""),"Basel, Switzerland")</f>
        <v/>
      </c>
      <c r="K111">
        <f>IFERROR(__xludf.DUMMYFUNCTION("""COMPUTED_VALUE"""),337571.879999999)</f>
        <v/>
      </c>
    </row>
    <row r="112">
      <c r="G112">
        <f>IFERROR(__xludf.DUMMYFUNCTION("""COMPUTED_VALUE"""),"Canadian Museum for Human Rights | Musée canadien pour les droits de la personne")</f>
        <v/>
      </c>
      <c r="H112">
        <f>IFERROR(__xludf.DUMMYFUNCTION("""COMPUTED_VALUE"""),194911.81)</f>
        <v/>
      </c>
      <c r="J112">
        <f>IFERROR(__xludf.DUMMYFUNCTION("""COMPUTED_VALUE"""),"India")</f>
        <v/>
      </c>
      <c r="K112">
        <f>IFERROR(__xludf.DUMMYFUNCTION("""COMPUTED_VALUE"""),336935.099999999)</f>
        <v/>
      </c>
    </row>
    <row r="113">
      <c r="G113">
        <f>IFERROR(__xludf.DUMMYFUNCTION("""COMPUTED_VALUE"""),"Canadian Centre for Occupational Health and Safety | Centre canadien d'hygiène et de sécurité au travail")</f>
        <v/>
      </c>
      <c r="H113">
        <f>IFERROR(__xludf.DUMMYFUNCTION("""COMPUTED_VALUE"""),190752.57)</f>
        <v/>
      </c>
      <c r="J113">
        <f>IFERROR(__xludf.DUMMYFUNCTION("""COMPUTED_VALUE"""),"Doha, Qatar")</f>
        <v/>
      </c>
      <c r="K113">
        <f>IFERROR(__xludf.DUMMYFUNCTION("""COMPUTED_VALUE"""),335537.1)</f>
        <v/>
      </c>
    </row>
    <row r="114">
      <c r="G114">
        <f>IFERROR(__xludf.DUMMYFUNCTION("""COMPUTED_VALUE"""),"Office of the Taxpayers' Ombudsperson | Bureau de l'ombudsman des contribuables")</f>
        <v/>
      </c>
      <c r="H114">
        <f>IFERROR(__xludf.DUMMYFUNCTION("""COMPUTED_VALUE"""),185437.109999999)</f>
        <v/>
      </c>
      <c r="J114">
        <f>IFERROR(__xludf.DUMMYFUNCTION("""COMPUTED_VALUE"""),"Calgary")</f>
        <v/>
      </c>
      <c r="K114">
        <f>IFERROR(__xludf.DUMMYFUNCTION("""COMPUTED_VALUE"""),333134.67)</f>
        <v/>
      </c>
    </row>
    <row r="115">
      <c r="G115">
        <f>IFERROR(__xludf.DUMMYFUNCTION("""COMPUTED_VALUE"""),"The Joint Federal/Provincial Commission into the April 2020 Nova Scotia Mass Casualty | Commission fédérale-provinciale sur les événements d’avril 2020 en Nouvelle Écosse")</f>
        <v/>
      </c>
      <c r="H115">
        <f>IFERROR(__xludf.DUMMYFUNCTION("""COMPUTED_VALUE"""),176029.43)</f>
        <v/>
      </c>
      <c r="J115">
        <f>IFERROR(__xludf.DUMMYFUNCTION("""COMPUTED_VALUE"""),"Victoria, British Columbia")</f>
        <v/>
      </c>
      <c r="K115">
        <f>IFERROR(__xludf.DUMMYFUNCTION("""COMPUTED_VALUE"""),332980.59)</f>
        <v/>
      </c>
    </row>
    <row r="116">
      <c r="G116">
        <f>IFERROR(__xludf.DUMMYFUNCTION("""COMPUTED_VALUE"""),"Security Intelligence Review Committee | Comité de surveillance des activités de renseignement de sécurité")</f>
        <v/>
      </c>
      <c r="H116">
        <f>IFERROR(__xludf.DUMMYFUNCTION("""COMPUTED_VALUE"""),160215.94)</f>
        <v/>
      </c>
      <c r="J116">
        <f>IFERROR(__xludf.DUMMYFUNCTION("""COMPUTED_VALUE"""),"Lima, Peru")</f>
        <v/>
      </c>
      <c r="K116">
        <f>IFERROR(__xludf.DUMMYFUNCTION("""COMPUTED_VALUE"""),328498.64)</f>
        <v/>
      </c>
    </row>
    <row r="117">
      <c r="G117">
        <f>IFERROR(__xludf.DUMMYFUNCTION("""COMPUTED_VALUE"""),"Office of the Secretary to the Governor General | Bureau du secrétaire du gouverneur général")</f>
        <v/>
      </c>
      <c r="H117">
        <f>IFERROR(__xludf.DUMMYFUNCTION("""COMPUTED_VALUE"""),157817.06)</f>
        <v/>
      </c>
      <c r="J117">
        <f>IFERROR(__xludf.DUMMYFUNCTION("""COMPUTED_VALUE"""),"Washington, USA")</f>
        <v/>
      </c>
      <c r="K117">
        <f>IFERROR(__xludf.DUMMYFUNCTION("""COMPUTED_VALUE"""),327212.089999999)</f>
        <v/>
      </c>
    </row>
    <row r="118">
      <c r="G118">
        <f>IFERROR(__xludf.DUMMYFUNCTION("""COMPUTED_VALUE"""),"Office of the Commissioner of Official Languages | Commissariat aux langues officielles")</f>
        <v/>
      </c>
      <c r="H118">
        <f>IFERROR(__xludf.DUMMYFUNCTION("""COMPUTED_VALUE"""),140326.529999999)</f>
        <v/>
      </c>
      <c r="J118">
        <f>IFERROR(__xludf.DUMMYFUNCTION("""COMPUTED_VALUE"""),"Victoria, BC")</f>
        <v/>
      </c>
      <c r="K118">
        <f>IFERROR(__xludf.DUMMYFUNCTION("""COMPUTED_VALUE"""),323818.419999999)</f>
        <v/>
      </c>
    </row>
    <row r="119">
      <c r="G119">
        <f>IFERROR(__xludf.DUMMYFUNCTION("""COMPUTED_VALUE"""),"National Security and Intelligence Review Agency | Office de surveillance des activités en matière de sécurité nationale et de renseignement")</f>
        <v/>
      </c>
      <c r="H119">
        <f>IFERROR(__xludf.DUMMYFUNCTION("""COMPUTED_VALUE"""),136563.209999999)</f>
        <v/>
      </c>
      <c r="J119">
        <f>IFERROR(__xludf.DUMMYFUNCTION("""COMPUTED_VALUE"""),"St. John's, Newfoundland and Labrador")</f>
        <v/>
      </c>
      <c r="K119">
        <f>IFERROR(__xludf.DUMMYFUNCTION("""COMPUTED_VALUE"""),315440.639999999)</f>
        <v/>
      </c>
    </row>
    <row r="120">
      <c r="G120">
        <f>IFERROR(__xludf.DUMMYFUNCTION("""COMPUTED_VALUE"""),"Office of the Commissioner for Federal Judicial Affairs Canada | Commissariat à la magistrature fédérale Canada")</f>
        <v/>
      </c>
      <c r="H120">
        <f>IFERROR(__xludf.DUMMYFUNCTION("""COMPUTED_VALUE"""),116759.85)</f>
        <v/>
      </c>
      <c r="J120">
        <f>IFERROR(__xludf.DUMMYFUNCTION("""COMPUTED_VALUE"""),"Copenhagen, Denmark")</f>
        <v/>
      </c>
      <c r="K120">
        <f>IFERROR(__xludf.DUMMYFUNCTION("""COMPUTED_VALUE"""),305492.55)</f>
        <v/>
      </c>
    </row>
    <row r="121">
      <c r="G121">
        <f>IFERROR(__xludf.DUMMYFUNCTION("""COMPUTED_VALUE"""),"Federal Economic Development Agency for Northern Ontario | Agence fédérale de développement économique pour le Nord de l’Ontario")</f>
        <v/>
      </c>
      <c r="H121">
        <f>IFERROR(__xludf.DUMMYFUNCTION("""COMPUTED_VALUE"""),115408.68)</f>
        <v/>
      </c>
      <c r="J121">
        <f>IFERROR(__xludf.DUMMYFUNCTION("""COMPUTED_VALUE"""),"Helsinki, Finland")</f>
        <v/>
      </c>
      <c r="K121">
        <f>IFERROR(__xludf.DUMMYFUNCTION("""COMPUTED_VALUE"""),304800.39)</f>
        <v/>
      </c>
    </row>
    <row r="122">
      <c r="G122">
        <f>IFERROR(__xludf.DUMMYFUNCTION("""COMPUTED_VALUE"""),"Port Alberni Port Authority | Administration portuaire de Port Alberni")</f>
        <v/>
      </c>
      <c r="H122">
        <f>IFERROR(__xludf.DUMMYFUNCTION("""COMPUTED_VALUE"""),109515.799999999)</f>
        <v/>
      </c>
      <c r="J122">
        <f>IFERROR(__xludf.DUMMYFUNCTION("""COMPUTED_VALUE"""),"Dublin, Ireland")</f>
        <v/>
      </c>
      <c r="K122">
        <f>IFERROR(__xludf.DUMMYFUNCTION("""COMPUTED_VALUE"""),300570.109999999)</f>
        <v/>
      </c>
    </row>
    <row r="123">
      <c r="G123">
        <f>IFERROR(__xludf.DUMMYFUNCTION("""COMPUTED_VALUE"""),"Canadian Dairy Commission | Commission canadienne du lait")</f>
        <v/>
      </c>
      <c r="H123">
        <f>IFERROR(__xludf.DUMMYFUNCTION("""COMPUTED_VALUE"""),108959.109999999)</f>
        <v/>
      </c>
      <c r="J123">
        <f>IFERROR(__xludf.DUMMYFUNCTION("""COMPUTED_VALUE"""),"New Delhi, India")</f>
        <v/>
      </c>
      <c r="K123">
        <f>IFERROR(__xludf.DUMMYFUNCTION("""COMPUTED_VALUE"""),298499.729999999)</f>
        <v/>
      </c>
    </row>
    <row r="124">
      <c r="G124">
        <f>IFERROR(__xludf.DUMMYFUNCTION("""COMPUTED_VALUE"""),"RCMP External Review Committee | Comité externe d'examen de la GRC")</f>
        <v/>
      </c>
      <c r="H124">
        <f>IFERROR(__xludf.DUMMYFUNCTION("""COMPUTED_VALUE"""),102415.39)</f>
        <v/>
      </c>
      <c r="J124">
        <f>IFERROR(__xludf.DUMMYFUNCTION("""COMPUTED_VALUE"""),"Osaka, Japan")</f>
        <v/>
      </c>
      <c r="K124">
        <f>IFERROR(__xludf.DUMMYFUNCTION("""COMPUTED_VALUE"""),298139.05)</f>
        <v/>
      </c>
    </row>
    <row r="125">
      <c r="G125">
        <f>IFERROR(__xludf.DUMMYFUNCTION("""COMPUTED_VALUE"""),"Canadian Museum of Nature | Musée canadien de la nature")</f>
        <v/>
      </c>
      <c r="H125">
        <f>IFERROR(__xludf.DUMMYFUNCTION("""COMPUTED_VALUE"""),94857.12)</f>
        <v/>
      </c>
      <c r="J125">
        <f>IFERROR(__xludf.DUMMYFUNCTION("""COMPUTED_VALUE"""),"Vancouver, Canada")</f>
        <v/>
      </c>
      <c r="K125">
        <f>IFERROR(__xludf.DUMMYFUNCTION("""COMPUTED_VALUE"""),294430.88)</f>
        <v/>
      </c>
    </row>
    <row r="126">
      <c r="G126">
        <f>IFERROR(__xludf.DUMMYFUNCTION("""COMPUTED_VALUE"""),"Office of the Administrator of the Fund for Railway Accidents Involving Designated Goods; (operating under the name) Ship and Rail Compensation Canada | Bureau de l’administrateur de la Caisse d’indemnisation pour les accidents ferroviaires impliquant des"&amp;" marchandises désignées; (qui mène ses activités sous le nom de) Indemnisation Navire et Rail Canada")</f>
        <v/>
      </c>
      <c r="H126">
        <f>IFERROR(__xludf.DUMMYFUNCTION("""COMPUTED_VALUE"""),93272.03)</f>
        <v/>
      </c>
      <c r="J126">
        <f>IFERROR(__xludf.DUMMYFUNCTION("""COMPUTED_VALUE"""),"Abu Dhabi, United Arab Emirates")</f>
        <v/>
      </c>
      <c r="K126">
        <f>IFERROR(__xludf.DUMMYFUNCTION("""COMPUTED_VALUE"""),292447.15)</f>
        <v/>
      </c>
    </row>
    <row r="127">
      <c r="G127">
        <f>IFERROR(__xludf.DUMMYFUNCTION("""COMPUTED_VALUE"""),"Yukon Environmental and Socio-economic Assessment Board | Office d’évaluation environnementale et socio-économique du Yukon")</f>
        <v/>
      </c>
      <c r="H127">
        <f>IFERROR(__xludf.DUMMYFUNCTION("""COMPUTED_VALUE"""),84537.6099999999)</f>
        <v/>
      </c>
      <c r="J127">
        <f>IFERROR(__xludf.DUMMYFUNCTION("""COMPUTED_VALUE"""),"Charlottetown, PE")</f>
        <v/>
      </c>
      <c r="K127">
        <f>IFERROR(__xludf.DUMMYFUNCTION("""COMPUTED_VALUE"""),288362.58)</f>
        <v/>
      </c>
    </row>
    <row r="128">
      <c r="G128">
        <f>IFERROR(__xludf.DUMMYFUNCTION("""COMPUTED_VALUE"""),"Office of the Information Commissioner of Canada | Commissariat à l'information du Canada")</f>
        <v/>
      </c>
      <c r="H128">
        <f>IFERROR(__xludf.DUMMYFUNCTION("""COMPUTED_VALUE"""),78075.2099999999)</f>
        <v/>
      </c>
      <c r="J128">
        <f>IFERROR(__xludf.DUMMYFUNCTION("""COMPUTED_VALUE"""),"Seoul, Korea")</f>
        <v/>
      </c>
      <c r="K128">
        <f>IFERROR(__xludf.DUMMYFUNCTION("""COMPUTED_VALUE"""),278005.73)</f>
        <v/>
      </c>
    </row>
    <row r="129">
      <c r="G129">
        <f>IFERROR(__xludf.DUMMYFUNCTION("""COMPUTED_VALUE"""),"National Defence and Canadian Forces Ombudsman | Ombudsman de la Défense nationale et des Forces canadiennes")</f>
        <v/>
      </c>
      <c r="H129">
        <f>IFERROR(__xludf.DUMMYFUNCTION("""COMPUTED_VALUE"""),77216.38)</f>
        <v/>
      </c>
      <c r="J129">
        <f>IFERROR(__xludf.DUMMYFUNCTION("""COMPUTED_VALUE"""),"Washington DC")</f>
        <v/>
      </c>
      <c r="K129">
        <f>IFERROR(__xludf.DUMMYFUNCTION("""COMPUTED_VALUE"""),276152.029999999)</f>
        <v/>
      </c>
    </row>
    <row r="130">
      <c r="G130">
        <f>IFERROR(__xludf.DUMMYFUNCTION("""COMPUTED_VALUE"""),"Downsview Metro Devco Inc. | Gestion Downsview Métro Devco")</f>
        <v/>
      </c>
      <c r="H130">
        <f>IFERROR(__xludf.DUMMYFUNCTION("""COMPUTED_VALUE"""),75262.0499999999)</f>
        <v/>
      </c>
      <c r="J130">
        <f>IFERROR(__xludf.DUMMYFUNCTION("""COMPUTED_VALUE"""),"Moscow, Russia")</f>
        <v/>
      </c>
      <c r="K130">
        <f>IFERROR(__xludf.DUMMYFUNCTION("""COMPUTED_VALUE"""),273355.04)</f>
        <v/>
      </c>
    </row>
    <row r="131">
      <c r="G131">
        <f>IFERROR(__xludf.DUMMYFUNCTION("""COMPUTED_VALUE"""),"Canada Water Agency | Agence de l’eau du Canada")</f>
        <v/>
      </c>
      <c r="H131">
        <f>IFERROR(__xludf.DUMMYFUNCTION("""COMPUTED_VALUE"""),71431.13)</f>
        <v/>
      </c>
      <c r="J131">
        <f>IFERROR(__xludf.DUMMYFUNCTION("""COMPUTED_VALUE"""),"Barcelona, Spain")</f>
        <v/>
      </c>
      <c r="K131">
        <f>IFERROR(__xludf.DUMMYFUNCTION("""COMPUTED_VALUE"""),272804.11)</f>
        <v/>
      </c>
    </row>
    <row r="132">
      <c r="G132">
        <f>IFERROR(__xludf.DUMMYFUNCTION("""COMPUTED_VALUE"""),"College of Patent Agents and Trademark Agents | Collège des agents de brevets et des agents de marques de commerce")</f>
        <v/>
      </c>
      <c r="H132">
        <f>IFERROR(__xludf.DUMMYFUNCTION("""COMPUTED_VALUE"""),69260.3199999999)</f>
        <v/>
      </c>
      <c r="J132">
        <f>IFERROR(__xludf.DUMMYFUNCTION("""COMPUTED_VALUE"""),"Riyadh, Saudi Arabia")</f>
        <v/>
      </c>
      <c r="K132">
        <f>IFERROR(__xludf.DUMMYFUNCTION("""COMPUTED_VALUE"""),272341.97)</f>
        <v/>
      </c>
    </row>
    <row r="133">
      <c r="G133">
        <f>IFERROR(__xludf.DUMMYFUNCTION("""COMPUTED_VALUE"""),"Office of the Intelligence Commissioner | Bureau du commissaire au renseignement")</f>
        <v/>
      </c>
      <c r="H133">
        <f>IFERROR(__xludf.DUMMYFUNCTION("""COMPUTED_VALUE"""),53178.34)</f>
        <v/>
      </c>
      <c r="J133">
        <f>IFERROR(__xludf.DUMMYFUNCTION("""COMPUTED_VALUE"""),"Ottawa, Ontario, Canada; Gatineau, Quebec, Canada")</f>
        <v/>
      </c>
      <c r="K133">
        <f>IFERROR(__xludf.DUMMYFUNCTION("""COMPUTED_VALUE"""),267987.579999999)</f>
        <v/>
      </c>
    </row>
    <row r="134">
      <c r="G134">
        <f>IFERROR(__xludf.DUMMYFUNCTION("""COMPUTED_VALUE"""),"Law Commission of Canada | Commission du droit du Canada")</f>
        <v/>
      </c>
      <c r="H134">
        <f>IFERROR(__xludf.DUMMYFUNCTION("""COMPUTED_VALUE"""),52363.54)</f>
        <v/>
      </c>
      <c r="J134">
        <f>IFERROR(__xludf.DUMMYFUNCTION("""COMPUTED_VALUE"""),"Auckland, New Zealand")</f>
        <v/>
      </c>
      <c r="K134">
        <f>IFERROR(__xludf.DUMMYFUNCTION("""COMPUTED_VALUE"""),267449.48)</f>
        <v/>
      </c>
    </row>
    <row r="135">
      <c r="G135">
        <f>IFERROR(__xludf.DUMMYFUNCTION("""COMPUTED_VALUE"""),"President of the King’s Privy Council for Canada | Président du Conseil privé du Roi pour le Canada")</f>
        <v/>
      </c>
      <c r="H135">
        <f>IFERROR(__xludf.DUMMYFUNCTION("""COMPUTED_VALUE"""),47602.3699999999)</f>
        <v/>
      </c>
      <c r="J135">
        <f>IFERROR(__xludf.DUMMYFUNCTION("""COMPUTED_VALUE"""),"Toronto, Canada")</f>
        <v/>
      </c>
      <c r="K135">
        <f>IFERROR(__xludf.DUMMYFUNCTION("""COMPUTED_VALUE"""),267319.5)</f>
        <v/>
      </c>
    </row>
    <row r="136">
      <c r="G136">
        <f>IFERROR(__xludf.DUMMYFUNCTION("""COMPUTED_VALUE"""),"Military Police Complaints Commission of Canada | Commission d'examen des plaintes concernant la police militaire du Canada")</f>
        <v/>
      </c>
      <c r="H136">
        <f>IFERROR(__xludf.DUMMYFUNCTION("""COMPUTED_VALUE"""),39457.65)</f>
        <v/>
      </c>
      <c r="J136">
        <f>IFERROR(__xludf.DUMMYFUNCTION("""COMPUTED_VALUE"""),"Iqaluit, Nunavut")</f>
        <v/>
      </c>
      <c r="K136">
        <f>IFERROR(__xludf.DUMMYFUNCTION("""COMPUTED_VALUE"""),265013.39)</f>
        <v/>
      </c>
    </row>
    <row r="137">
      <c r="G137">
        <f>IFERROR(__xludf.DUMMYFUNCTION("""COMPUTED_VALUE"""),"Canadian Intergovernmental Conference Secretariat | Secrétariat des conférences intergouvernementales canadiennes")</f>
        <v/>
      </c>
      <c r="H137">
        <f>IFERROR(__xludf.DUMMYFUNCTION("""COMPUTED_VALUE"""),38271.33)</f>
        <v/>
      </c>
      <c r="J137">
        <f>IFERROR(__xludf.DUMMYFUNCTION("""COMPUTED_VALUE"""),"CHARLOTTETOWN, PE")</f>
        <v/>
      </c>
      <c r="K137">
        <f>IFERROR(__xludf.DUMMYFUNCTION("""COMPUTED_VALUE"""),264473.67)</f>
        <v/>
      </c>
    </row>
    <row r="138">
      <c r="G138">
        <f>IFERROR(__xludf.DUMMYFUNCTION("""COMPUTED_VALUE"""),"The National Battlefields Commission | Commission des champs de bataille nationaux")</f>
        <v/>
      </c>
      <c r="H138">
        <f>IFERROR(__xludf.DUMMYFUNCTION("""COMPUTED_VALUE"""),38097.7)</f>
        <v/>
      </c>
      <c r="J138">
        <f>IFERROR(__xludf.DUMMYFUNCTION("""COMPUTED_VALUE"""),"Bonn, Germany")</f>
        <v/>
      </c>
      <c r="K138">
        <f>IFERROR(__xludf.DUMMYFUNCTION("""COMPUTED_VALUE"""),259573.04)</f>
        <v/>
      </c>
    </row>
    <row r="139">
      <c r="G139">
        <f>IFERROR(__xludf.DUMMYFUNCTION("""COMPUTED_VALUE"""),"Laurentian Pilotage Authority  | Administration de pilotage des Laurentides")</f>
        <v/>
      </c>
      <c r="H139">
        <f>IFERROR(__xludf.DUMMYFUNCTION("""COMPUTED_VALUE"""),35059.77)</f>
        <v/>
      </c>
      <c r="J139">
        <f>IFERROR(__xludf.DUMMYFUNCTION("""COMPUTED_VALUE"""),"Africa")</f>
        <v/>
      </c>
      <c r="K139">
        <f>IFERROR(__xludf.DUMMYFUNCTION("""COMPUTED_VALUE"""),255932.8)</f>
        <v/>
      </c>
    </row>
    <row r="140">
      <c r="G140">
        <f>IFERROR(__xludf.DUMMYFUNCTION("""COMPUTED_VALUE"""),"Office of the Commissioner of Lobbying of Canada | Commissariat au lobbying du Canada")</f>
        <v/>
      </c>
      <c r="H140">
        <f>IFERROR(__xludf.DUMMYFUNCTION("""COMPUTED_VALUE"""),29160.03)</f>
        <v/>
      </c>
      <c r="J140">
        <f>IFERROR(__xludf.DUMMYFUNCTION("""COMPUTED_VALUE"""),"Amsterdam, Netherlands")</f>
        <v/>
      </c>
      <c r="K140">
        <f>IFERROR(__xludf.DUMMYFUNCTION("""COMPUTED_VALUE"""),254526.509999999)</f>
        <v/>
      </c>
    </row>
    <row r="141">
      <c r="G141">
        <f>IFERROR(__xludf.DUMMYFUNCTION("""COMPUTED_VALUE"""),"Office of the Public Sector Integrity Commissioner of Canada | Commissariat à l'intégrité du secteur public du Canada")</f>
        <v/>
      </c>
      <c r="H141">
        <f>IFERROR(__xludf.DUMMYFUNCTION("""COMPUTED_VALUE"""),27753.02)</f>
        <v/>
      </c>
      <c r="J141">
        <f>IFERROR(__xludf.DUMMYFUNCTION("""COMPUTED_VALUE"""),"Washington, District of Columbia")</f>
        <v/>
      </c>
      <c r="K141">
        <f>IFERROR(__xludf.DUMMYFUNCTION("""COMPUTED_VALUE"""),252985.37)</f>
        <v/>
      </c>
    </row>
    <row r="142">
      <c r="G142">
        <f>IFERROR(__xludf.DUMMYFUNCTION("""COMPUTED_VALUE"""),"Marine Atlantic Inc. | Marine Atlantique S.C.C.")</f>
        <v/>
      </c>
      <c r="H142">
        <f>IFERROR(__xludf.DUMMYFUNCTION("""COMPUTED_VALUE"""),22756.06)</f>
        <v/>
      </c>
      <c r="J142">
        <f>IFERROR(__xludf.DUMMYFUNCTION("""COMPUTED_VALUE"""),"Saskatoon, SK")</f>
        <v/>
      </c>
      <c r="K142">
        <f>IFERROR(__xludf.DUMMYFUNCTION("""COMPUTED_VALUE"""),250257.64)</f>
        <v/>
      </c>
    </row>
    <row r="143">
      <c r="G143">
        <f>IFERROR(__xludf.DUMMYFUNCTION("""COMPUTED_VALUE"""),"The Seaway International Bridge Corporation | Corporation du pont international de la voie maritime, Ltée")</f>
        <v/>
      </c>
      <c r="H143">
        <f>IFERROR(__xludf.DUMMYFUNCTION("""COMPUTED_VALUE"""),9293.47)</f>
        <v/>
      </c>
      <c r="J143">
        <f>IFERROR(__xludf.DUMMYFUNCTION("""COMPUTED_VALUE"""),"The Hague, Netherlands")</f>
        <v/>
      </c>
      <c r="K143">
        <f>IFERROR(__xludf.DUMMYFUNCTION("""COMPUTED_VALUE"""),249946.94)</f>
        <v/>
      </c>
    </row>
    <row r="144">
      <c r="J144">
        <f>IFERROR(__xludf.DUMMYFUNCTION("""COMPUTED_VALUE"""),"Thunder Bay, Ontario, Canada")</f>
        <v/>
      </c>
      <c r="K144">
        <f>IFERROR(__xludf.DUMMYFUNCTION("""COMPUTED_VALUE"""),245387.979999999)</f>
        <v/>
      </c>
    </row>
    <row r="145">
      <c r="J145">
        <f>IFERROR(__xludf.DUMMYFUNCTION("""COMPUTED_VALUE"""),"Berlin")</f>
        <v/>
      </c>
      <c r="K145">
        <f>IFERROR(__xludf.DUMMYFUNCTION("""COMPUTED_VALUE"""),245049.91)</f>
        <v/>
      </c>
    </row>
    <row r="146">
      <c r="J146">
        <f>IFERROR(__xludf.DUMMYFUNCTION("""COMPUTED_VALUE"""),"Charlottetown, Prince Edward Island")</f>
        <v/>
      </c>
      <c r="K146">
        <f>IFERROR(__xludf.DUMMYFUNCTION("""COMPUTED_VALUE"""),243407.829999999)</f>
        <v/>
      </c>
    </row>
    <row r="147">
      <c r="J147">
        <f>IFERROR(__xludf.DUMMYFUNCTION("""COMPUTED_VALUE"""),"Brisbane, Australia")</f>
        <v/>
      </c>
      <c r="K147">
        <f>IFERROR(__xludf.DUMMYFUNCTION("""COMPUTED_VALUE"""),238413.56)</f>
        <v/>
      </c>
    </row>
    <row r="148">
      <c r="J148">
        <f>IFERROR(__xludf.DUMMYFUNCTION("""COMPUTED_VALUE"""),"Toronto (Ontario) Canada")</f>
        <v/>
      </c>
      <c r="K148">
        <f>IFERROR(__xludf.DUMMYFUNCTION("""COMPUTED_VALUE"""),236929.04)</f>
        <v/>
      </c>
    </row>
    <row r="149">
      <c r="J149">
        <f>IFERROR(__xludf.DUMMYFUNCTION("""COMPUTED_VALUE"""),"Boston, Massachusetts, United States")</f>
        <v/>
      </c>
      <c r="K149">
        <f>IFERROR(__xludf.DUMMYFUNCTION("""COMPUTED_VALUE"""),233827.44)</f>
        <v/>
      </c>
    </row>
    <row r="150">
      <c r="J150">
        <f>IFERROR(__xludf.DUMMYFUNCTION("""COMPUTED_VALUE"""),"Yellowknife, NWT")</f>
        <v/>
      </c>
      <c r="K150">
        <f>IFERROR(__xludf.DUMMYFUNCTION("""COMPUTED_VALUE"""),229722.56)</f>
        <v/>
      </c>
    </row>
    <row r="151">
      <c r="J151">
        <f>IFERROR(__xludf.DUMMYFUNCTION("""COMPUTED_VALUE"""),"Ottawa, ON - Charlottetown, PE / Charlottetown, PE - Ottawa, ON")</f>
        <v/>
      </c>
      <c r="K151">
        <f>IFERROR(__xludf.DUMMYFUNCTION("""COMPUTED_VALUE"""),229429.279999999)</f>
        <v/>
      </c>
    </row>
    <row r="152">
      <c r="J152">
        <f>IFERROR(__xludf.DUMMYFUNCTION("""COMPUTED_VALUE"""),"Kelowna, British Columbia, Canada")</f>
        <v/>
      </c>
      <c r="K152">
        <f>IFERROR(__xludf.DUMMYFUNCTION("""COMPUTED_VALUE"""),228913.19)</f>
        <v/>
      </c>
    </row>
    <row r="153">
      <c r="J153">
        <f>IFERROR(__xludf.DUMMYFUNCTION("""COMPUTED_VALUE"""),"Reykjavik, Iceland")</f>
        <v/>
      </c>
      <c r="K153">
        <f>IFERROR(__xludf.DUMMYFUNCTION("""COMPUTED_VALUE"""),224741.27)</f>
        <v/>
      </c>
    </row>
    <row r="154">
      <c r="J154">
        <f>IFERROR(__xludf.DUMMYFUNCTION("""COMPUTED_VALUE"""),"Regina, SK")</f>
        <v/>
      </c>
      <c r="K154">
        <f>IFERROR(__xludf.DUMMYFUNCTION("""COMPUTED_VALUE"""),224647.999999999)</f>
        <v/>
      </c>
    </row>
    <row r="155">
      <c r="J155">
        <f>IFERROR(__xludf.DUMMYFUNCTION("""COMPUTED_VALUE"""),"Sudbury, Ontario, Canada")</f>
        <v/>
      </c>
      <c r="K155">
        <f>IFERROR(__xludf.DUMMYFUNCTION("""COMPUTED_VALUE"""),223892.9)</f>
        <v/>
      </c>
    </row>
    <row r="156">
      <c r="J156">
        <f>IFERROR(__xludf.DUMMYFUNCTION("""COMPUTED_VALUE"""),"Lisbon, Portugal")</f>
        <v/>
      </c>
      <c r="K156">
        <f>IFERROR(__xludf.DUMMYFUNCTION("""COMPUTED_VALUE"""),222867.14)</f>
        <v/>
      </c>
    </row>
    <row r="157">
      <c r="J157">
        <f>IFERROR(__xludf.DUMMYFUNCTION("""COMPUTED_VALUE"""),"Athens, Greece")</f>
        <v/>
      </c>
      <c r="K157">
        <f>IFERROR(__xludf.DUMMYFUNCTION("""COMPUTED_VALUE"""),220864.54)</f>
        <v/>
      </c>
    </row>
    <row r="158">
      <c r="J158">
        <f>IFERROR(__xludf.DUMMYFUNCTION("""COMPUTED_VALUE"""),"Kyoto, Japan")</f>
        <v/>
      </c>
      <c r="K158">
        <f>IFERROR(__xludf.DUMMYFUNCTION("""COMPUTED_VALUE"""),220728.61)</f>
        <v/>
      </c>
    </row>
    <row r="159">
      <c r="J159">
        <f>IFERROR(__xludf.DUMMYFUNCTION("""COMPUTED_VALUE"""),"Shanghai, China")</f>
        <v/>
      </c>
      <c r="K159">
        <f>IFERROR(__xludf.DUMMYFUNCTION("""COMPUTED_VALUE"""),218101.19)</f>
        <v/>
      </c>
    </row>
    <row r="160">
      <c r="J160">
        <f>IFERROR(__xludf.DUMMYFUNCTION("""COMPUTED_VALUE"""),"Washington D.C, United States")</f>
        <v/>
      </c>
      <c r="K160">
        <f>IFERROR(__xludf.DUMMYFUNCTION("""COMPUTED_VALUE"""),218058.84)</f>
        <v/>
      </c>
    </row>
    <row r="161">
      <c r="J161">
        <f>IFERROR(__xludf.DUMMYFUNCTION("""COMPUTED_VALUE"""),"Zurich, Switzerland")</f>
        <v/>
      </c>
      <c r="K161">
        <f>IFERROR(__xludf.DUMMYFUNCTION("""COMPUTED_VALUE"""),216281.99)</f>
        <v/>
      </c>
    </row>
    <row r="162">
      <c r="J162">
        <f>IFERROR(__xludf.DUMMYFUNCTION("""COMPUTED_VALUE"""),"Melbourne, Australia")</f>
        <v/>
      </c>
      <c r="K162">
        <f>IFERROR(__xludf.DUMMYFUNCTION("""COMPUTED_VALUE"""),216202.99)</f>
        <v/>
      </c>
    </row>
    <row r="163">
      <c r="J163">
        <f>IFERROR(__xludf.DUMMYFUNCTION("""COMPUTED_VALUE"""),"Rio de Janeiro, Brazil")</f>
        <v/>
      </c>
      <c r="K163">
        <f>IFERROR(__xludf.DUMMYFUNCTION("""COMPUTED_VALUE"""),215375.089999999)</f>
        <v/>
      </c>
    </row>
    <row r="164">
      <c r="J164">
        <f>IFERROR(__xludf.DUMMYFUNCTION("""COMPUTED_VALUE"""),"Vancouver, British-Columbia, Canada")</f>
        <v/>
      </c>
      <c r="K164">
        <f>IFERROR(__xludf.DUMMYFUNCTION("""COMPUTED_VALUE"""),215106.64)</f>
        <v/>
      </c>
    </row>
    <row r="165">
      <c r="J165">
        <f>IFERROR(__xludf.DUMMYFUNCTION("""COMPUTED_VALUE"""),"Winnipeg")</f>
        <v/>
      </c>
      <c r="K165">
        <f>IFERROR(__xludf.DUMMYFUNCTION("""COMPUTED_VALUE"""),215007.48)</f>
        <v/>
      </c>
    </row>
    <row r="166">
      <c r="J166">
        <f>IFERROR(__xludf.DUMMYFUNCTION("""COMPUTED_VALUE"""),"Toronto, ON, Canada")</f>
        <v/>
      </c>
      <c r="K166">
        <f>IFERROR(__xludf.DUMMYFUNCTION("""COMPUTED_VALUE"""),214786.089999999)</f>
        <v/>
      </c>
    </row>
    <row r="167">
      <c r="J167">
        <f>IFERROR(__xludf.DUMMYFUNCTION("""COMPUTED_VALUE"""),"Mumbai, India")</f>
        <v/>
      </c>
      <c r="K167">
        <f>IFERROR(__xludf.DUMMYFUNCTION("""COMPUTED_VALUE"""),211543.61)</f>
        <v/>
      </c>
    </row>
    <row r="168">
      <c r="J168">
        <f>IFERROR(__xludf.DUMMYFUNCTION("""COMPUTED_VALUE"""),"Kuala Lumpur, Malaysia")</f>
        <v/>
      </c>
      <c r="K168">
        <f>IFERROR(__xludf.DUMMYFUNCTION("""COMPUTED_VALUE"""),207925.35)</f>
        <v/>
      </c>
    </row>
    <row r="169">
      <c r="J169">
        <f>IFERROR(__xludf.DUMMYFUNCTION("""COMPUTED_VALUE"""),"Brazil")</f>
        <v/>
      </c>
      <c r="K169">
        <f>IFERROR(__xludf.DUMMYFUNCTION("""COMPUTED_VALUE"""),206520.389999999)</f>
        <v/>
      </c>
    </row>
    <row r="170">
      <c r="J170">
        <f>IFERROR(__xludf.DUMMYFUNCTION("""COMPUTED_VALUE"""),"Vancouver, BC, Canada")</f>
        <v/>
      </c>
      <c r="K170">
        <f>IFERROR(__xludf.DUMMYFUNCTION("""COMPUTED_VALUE"""),205843.37)</f>
        <v/>
      </c>
    </row>
    <row r="171">
      <c r="J171">
        <f>IFERROR(__xludf.DUMMYFUNCTION("""COMPUTED_VALUE"""),"Wellington, New Zealand")</f>
        <v/>
      </c>
      <c r="K171">
        <f>IFERROR(__xludf.DUMMYFUNCTION("""COMPUTED_VALUE"""),204368.98)</f>
        <v/>
      </c>
    </row>
    <row r="172">
      <c r="J172">
        <f>IFERROR(__xludf.DUMMYFUNCTION("""COMPUTED_VALUE"""),"China")</f>
        <v/>
      </c>
      <c r="K172">
        <f>IFERROR(__xludf.DUMMYFUNCTION("""COMPUTED_VALUE"""),204320.68)</f>
        <v/>
      </c>
    </row>
    <row r="173">
      <c r="J173">
        <f>IFERROR(__xludf.DUMMYFUNCTION("""COMPUTED_VALUE"""),"Whitehorse, Yukon")</f>
        <v/>
      </c>
      <c r="K173">
        <f>IFERROR(__xludf.DUMMYFUNCTION("""COMPUTED_VALUE"""),201204.039999999)</f>
        <v/>
      </c>
    </row>
    <row r="174">
      <c r="J174">
        <f>IFERROR(__xludf.DUMMYFUNCTION("""COMPUTED_VALUE"""),"Moncton, NB")</f>
        <v/>
      </c>
      <c r="K174">
        <f>IFERROR(__xludf.DUMMYFUNCTION("""COMPUTED_VALUE"""),200877.23)</f>
        <v/>
      </c>
    </row>
    <row r="175">
      <c r="J175">
        <f>IFERROR(__xludf.DUMMYFUNCTION("""COMPUTED_VALUE"""),"Taipei, Taiwan")</f>
        <v/>
      </c>
      <c r="K175">
        <f>IFERROR(__xludf.DUMMYFUNCTION("""COMPUTED_VALUE"""),200724.309999999)</f>
        <v/>
      </c>
    </row>
    <row r="176">
      <c r="J176">
        <f>IFERROR(__xludf.DUMMYFUNCTION("""COMPUTED_VALUE"""),"Montréal, QC")</f>
        <v/>
      </c>
      <c r="K176">
        <f>IFERROR(__xludf.DUMMYFUNCTION("""COMPUTED_VALUE"""),198111.33)</f>
        <v/>
      </c>
    </row>
    <row r="177">
      <c r="J177">
        <f>IFERROR(__xludf.DUMMYFUNCTION("""COMPUTED_VALUE"""),"New York, NY")</f>
        <v/>
      </c>
      <c r="K177">
        <f>IFERROR(__xludf.DUMMYFUNCTION("""COMPUTED_VALUE"""),194191.319999999)</f>
        <v/>
      </c>
    </row>
    <row r="178">
      <c r="J178">
        <f>IFERROR(__xludf.DUMMYFUNCTION("""COMPUTED_VALUE"""),"Quebec")</f>
        <v/>
      </c>
      <c r="K178">
        <f>IFERROR(__xludf.DUMMYFUNCTION("""COMPUTED_VALUE"""),193080.31)</f>
        <v/>
      </c>
    </row>
    <row r="179">
      <c r="J179">
        <f>IFERROR(__xludf.DUMMYFUNCTION("""COMPUTED_VALUE"""),"Milan, Italy")</f>
        <v/>
      </c>
      <c r="K179">
        <f>IFERROR(__xludf.DUMMYFUNCTION("""COMPUTED_VALUE"""),193027.62)</f>
        <v/>
      </c>
    </row>
    <row r="180">
      <c r="J180">
        <f>IFERROR(__xludf.DUMMYFUNCTION("""COMPUTED_VALUE"""),"St. John's, NL")</f>
        <v/>
      </c>
      <c r="K180">
        <f>IFERROR(__xludf.DUMMYFUNCTION("""COMPUTED_VALUE"""),191009.72)</f>
        <v/>
      </c>
    </row>
    <row r="181">
      <c r="J181">
        <f>IFERROR(__xludf.DUMMYFUNCTION("""COMPUTED_VALUE"""),"Venice, Italy")</f>
        <v/>
      </c>
      <c r="K181">
        <f>IFERROR(__xludf.DUMMYFUNCTION("""COMPUTED_VALUE"""),190744.77)</f>
        <v/>
      </c>
    </row>
    <row r="182">
      <c r="J182">
        <f>IFERROR(__xludf.DUMMYFUNCTION("""COMPUTED_VALUE"""),"New York, New York")</f>
        <v/>
      </c>
      <c r="K182">
        <f>IFERROR(__xludf.DUMMYFUNCTION("""COMPUTED_VALUE"""),190074.67)</f>
        <v/>
      </c>
    </row>
    <row r="183">
      <c r="J183">
        <f>IFERROR(__xludf.DUMMYFUNCTION("""COMPUTED_VALUE"""),"Paris, FR")</f>
        <v/>
      </c>
      <c r="K183">
        <f>IFERROR(__xludf.DUMMYFUNCTION("""COMPUTED_VALUE"""),188985.44)</f>
        <v/>
      </c>
    </row>
    <row r="184">
      <c r="J184">
        <f>IFERROR(__xludf.DUMMYFUNCTION("""COMPUTED_VALUE"""),"Geneva")</f>
        <v/>
      </c>
      <c r="K184">
        <f>IFERROR(__xludf.DUMMYFUNCTION("""COMPUTED_VALUE"""),187188.399999999)</f>
        <v/>
      </c>
    </row>
    <row r="185">
      <c r="J185">
        <f>IFERROR(__xludf.DUMMYFUNCTION("""COMPUTED_VALUE"""),"San Francisco, California, United States")</f>
        <v/>
      </c>
      <c r="K185">
        <f>IFERROR(__xludf.DUMMYFUNCTION("""COMPUTED_VALUE"""),187151.41)</f>
        <v/>
      </c>
    </row>
    <row r="186">
      <c r="J186">
        <f>IFERROR(__xludf.DUMMYFUNCTION("""COMPUTED_VALUE"""),"Baku, Azerbaijan")</f>
        <v/>
      </c>
      <c r="K186">
        <f>IFERROR(__xludf.DUMMYFUNCTION("""COMPUTED_VALUE"""),186732.539999999)</f>
        <v/>
      </c>
    </row>
    <row r="187">
      <c r="J187">
        <f>IFERROR(__xludf.DUMMYFUNCTION("""COMPUTED_VALUE"""),"Brasilia, Brazil")</f>
        <v/>
      </c>
      <c r="K187">
        <f>IFERROR(__xludf.DUMMYFUNCTION("""COMPUTED_VALUE"""),185966.79)</f>
        <v/>
      </c>
    </row>
    <row r="188">
      <c r="J188">
        <f>IFERROR(__xludf.DUMMYFUNCTION("""COMPUTED_VALUE"""),"Lyon, France")</f>
        <v/>
      </c>
      <c r="K188">
        <f>IFERROR(__xludf.DUMMYFUNCTION("""COMPUTED_VALUE"""),185912.17)</f>
        <v/>
      </c>
    </row>
    <row r="189">
      <c r="J189">
        <f>IFERROR(__xludf.DUMMYFUNCTION("""COMPUTED_VALUE"""),"Dubai")</f>
        <v/>
      </c>
      <c r="K189">
        <f>IFERROR(__xludf.DUMMYFUNCTION("""COMPUTED_VALUE"""),183805.289999999)</f>
        <v/>
      </c>
    </row>
    <row r="190">
      <c r="J190">
        <f>IFERROR(__xludf.DUMMYFUNCTION("""COMPUTED_VALUE"""),"Kiev, Ukraine")</f>
        <v/>
      </c>
      <c r="K190">
        <f>IFERROR(__xludf.DUMMYFUNCTION("""COMPUTED_VALUE"""),183227.43)</f>
        <v/>
      </c>
    </row>
    <row r="191">
      <c r="J191">
        <f>IFERROR(__xludf.DUMMYFUNCTION("""COMPUTED_VALUE"""),"Dubai, UAE")</f>
        <v/>
      </c>
      <c r="K191">
        <f>IFERROR(__xludf.DUMMYFUNCTION("""COMPUTED_VALUE"""),183099.06)</f>
        <v/>
      </c>
    </row>
    <row r="192">
      <c r="J192">
        <f>IFERROR(__xludf.DUMMYFUNCTION("""COMPUTED_VALUE"""),"New Zealand")</f>
        <v/>
      </c>
      <c r="K192">
        <f>IFERROR(__xludf.DUMMYFUNCTION("""COMPUTED_VALUE"""),177553.72)</f>
        <v/>
      </c>
    </row>
    <row r="193">
      <c r="J193">
        <f>IFERROR(__xludf.DUMMYFUNCTION("""COMPUTED_VALUE"""),"Bucharest, Romania")</f>
        <v/>
      </c>
      <c r="K193">
        <f>IFERROR(__xludf.DUMMYFUNCTION("""COMPUTED_VALUE"""),173570.789999999)</f>
        <v/>
      </c>
    </row>
    <row r="194">
      <c r="J194">
        <f>IFERROR(__xludf.DUMMYFUNCTION("""COMPUTED_VALUE"""),"Australia")</f>
        <v/>
      </c>
      <c r="K194">
        <f>IFERROR(__xludf.DUMMYFUNCTION("""COMPUTED_VALUE"""),173257.469999999)</f>
        <v/>
      </c>
    </row>
    <row r="195">
      <c r="J195">
        <f>IFERROR(__xludf.DUMMYFUNCTION("""COMPUTED_VALUE"""),"Fredericton, NB")</f>
        <v/>
      </c>
      <c r="K195">
        <f>IFERROR(__xludf.DUMMYFUNCTION("""COMPUTED_VALUE"""),172603.9)</f>
        <v/>
      </c>
    </row>
    <row r="196">
      <c r="J196">
        <f>IFERROR(__xludf.DUMMYFUNCTION("""COMPUTED_VALUE"""),"London, ON")</f>
        <v/>
      </c>
      <c r="K196">
        <f>IFERROR(__xludf.DUMMYFUNCTION("""COMPUTED_VALUE"""),171146.089999999)</f>
        <v/>
      </c>
    </row>
    <row r="197">
      <c r="J197">
        <f>IFERROR(__xludf.DUMMYFUNCTION("""COMPUTED_VALUE"""),"Kingston, Ontario, Canada")</f>
        <v/>
      </c>
      <c r="K197">
        <f>IFERROR(__xludf.DUMMYFUNCTION("""COMPUTED_VALUE"""),170069.039999999)</f>
        <v/>
      </c>
    </row>
    <row r="198">
      <c r="J198">
        <f>IFERROR(__xludf.DUMMYFUNCTION("""COMPUTED_VALUE"""),"Cairo, Egypt")</f>
        <v/>
      </c>
      <c r="K198">
        <f>IFERROR(__xludf.DUMMYFUNCTION("""COMPUTED_VALUE"""),168375.389999999)</f>
        <v/>
      </c>
    </row>
    <row r="199">
      <c r="J199">
        <f>IFERROR(__xludf.DUMMYFUNCTION("""COMPUTED_VALUE"""),"Tallinn, Estonia")</f>
        <v/>
      </c>
      <c r="K199">
        <f>IFERROR(__xludf.DUMMYFUNCTION("""COMPUTED_VALUE"""),165235.48)</f>
        <v/>
      </c>
    </row>
    <row r="200">
      <c r="J200">
        <f>IFERROR(__xludf.DUMMYFUNCTION("""COMPUTED_VALUE"""),"New York City, New York, United States")</f>
        <v/>
      </c>
      <c r="K200">
        <f>IFERROR(__xludf.DUMMYFUNCTION("""COMPUTED_VALUE"""),165135.75)</f>
        <v/>
      </c>
    </row>
    <row r="201">
      <c r="J201">
        <f>IFERROR(__xludf.DUMMYFUNCTION("""COMPUTED_VALUE"""),"Naples, Italy")</f>
        <v/>
      </c>
      <c r="K201">
        <f>IFERROR(__xludf.DUMMYFUNCTION("""COMPUTED_VALUE"""),164340.199999999)</f>
        <v/>
      </c>
    </row>
    <row r="202">
      <c r="J202">
        <f>IFERROR(__xludf.DUMMYFUNCTION("""COMPUTED_VALUE"""),"Hanoi, Vietnam")</f>
        <v/>
      </c>
      <c r="K202">
        <f>IFERROR(__xludf.DUMMYFUNCTION("""COMPUTED_VALUE"""),162555.1)</f>
        <v/>
      </c>
    </row>
    <row r="203">
      <c r="J203">
        <f>IFERROR(__xludf.DUMMYFUNCTION("""COMPUTED_VALUE"""),"Iqaluit, NU")</f>
        <v/>
      </c>
      <c r="K203">
        <f>IFERROR(__xludf.DUMMYFUNCTION("""COMPUTED_VALUE"""),162545.61)</f>
        <v/>
      </c>
    </row>
    <row r="204">
      <c r="J204">
        <f>IFERROR(__xludf.DUMMYFUNCTION("""COMPUTED_VALUE"""),"Marrakech, Morocco")</f>
        <v/>
      </c>
      <c r="K204">
        <f>IFERROR(__xludf.DUMMYFUNCTION("""COMPUTED_VALUE"""),161145.009999999)</f>
        <v/>
      </c>
    </row>
    <row r="205">
      <c r="J205">
        <f>IFERROR(__xludf.DUMMYFUNCTION("""COMPUTED_VALUE"""),"Honolulu, Hawaii")</f>
        <v/>
      </c>
      <c r="K205">
        <f>IFERROR(__xludf.DUMMYFUNCTION("""COMPUTED_VALUE"""),160337.91)</f>
        <v/>
      </c>
    </row>
    <row r="206">
      <c r="J206">
        <f>IFERROR(__xludf.DUMMYFUNCTION("""COMPUTED_VALUE"""),"Quebec, QC")</f>
        <v/>
      </c>
      <c r="K206">
        <f>IFERROR(__xludf.DUMMYFUNCTION("""COMPUTED_VALUE"""),159830.38)</f>
        <v/>
      </c>
    </row>
    <row r="207">
      <c r="J207">
        <f>IFERROR(__xludf.DUMMYFUNCTION("""COMPUTED_VALUE"""),"Quebec, Quebec")</f>
        <v/>
      </c>
      <c r="K207">
        <f>IFERROR(__xludf.DUMMYFUNCTION("""COMPUTED_VALUE"""),159454.859999999)</f>
        <v/>
      </c>
    </row>
    <row r="208">
      <c r="J208">
        <f>IFERROR(__xludf.DUMMYFUNCTION("""COMPUTED_VALUE"""),"Sao Paulo, Brazil")</f>
        <v/>
      </c>
      <c r="K208">
        <f>IFERROR(__xludf.DUMMYFUNCTION("""COMPUTED_VALUE"""),159343.63)</f>
        <v/>
      </c>
    </row>
    <row r="209">
      <c r="J209">
        <f>IFERROR(__xludf.DUMMYFUNCTION("""COMPUTED_VALUE"""),"Quebec City, Quebec")</f>
        <v/>
      </c>
      <c r="K209">
        <f>IFERROR(__xludf.DUMMYFUNCTION("""COMPUTED_VALUE"""),159278.29)</f>
        <v/>
      </c>
    </row>
    <row r="210">
      <c r="J210">
        <f>IFERROR(__xludf.DUMMYFUNCTION("""COMPUTED_VALUE"""),"Toronto, (Ontario)")</f>
        <v/>
      </c>
      <c r="K210">
        <f>IFERROR(__xludf.DUMMYFUNCTION("""COMPUTED_VALUE"""),158738.279999999)</f>
        <v/>
      </c>
    </row>
    <row r="211">
      <c r="J211">
        <f>IFERROR(__xludf.DUMMYFUNCTION("""COMPUTED_VALUE"""),"Boston, Massachusetts")</f>
        <v/>
      </c>
      <c r="K211">
        <f>IFERROR(__xludf.DUMMYFUNCTION("""COMPUTED_VALUE"""),158021.789999999)</f>
        <v/>
      </c>
    </row>
    <row r="212">
      <c r="J212">
        <f>IFERROR(__xludf.DUMMYFUNCTION("""COMPUTED_VALUE"""),"Europe")</f>
        <v/>
      </c>
      <c r="K212">
        <f>IFERROR(__xludf.DUMMYFUNCTION("""COMPUTED_VALUE"""),157298.979999999)</f>
        <v/>
      </c>
    </row>
    <row r="213">
      <c r="J213">
        <f>IFERROR(__xludf.DUMMYFUNCTION("""COMPUTED_VALUE"""),"Amman, Jordan")</f>
        <v/>
      </c>
      <c r="K213">
        <f>IFERROR(__xludf.DUMMYFUNCTION("""COMPUTED_VALUE"""),156968.3)</f>
        <v/>
      </c>
    </row>
    <row r="214">
      <c r="J214">
        <f>IFERROR(__xludf.DUMMYFUNCTION("""COMPUTED_VALUE"""),"Japan")</f>
        <v/>
      </c>
      <c r="K214">
        <f>IFERROR(__xludf.DUMMYFUNCTION("""COMPUTED_VALUE"""),156384.17)</f>
        <v/>
      </c>
    </row>
    <row r="215">
      <c r="J215">
        <f>IFERROR(__xludf.DUMMYFUNCTION("""COMPUTED_VALUE"""),"Prince Rupert, BC, Canada")</f>
        <v/>
      </c>
      <c r="K215">
        <f>IFERROR(__xludf.DUMMYFUNCTION("""COMPUTED_VALUE"""),154330.47)</f>
        <v/>
      </c>
    </row>
    <row r="216">
      <c r="J216">
        <f>IFERROR(__xludf.DUMMYFUNCTION("""COMPUTED_VALUE"""),"Germany")</f>
        <v/>
      </c>
      <c r="K216">
        <f>IFERROR(__xludf.DUMMYFUNCTION("""COMPUTED_VALUE"""),154323.309999999)</f>
        <v/>
      </c>
    </row>
    <row r="217">
      <c r="J217">
        <f>IFERROR(__xludf.DUMMYFUNCTION("""COMPUTED_VALUE"""),"Halifax, Canada")</f>
        <v/>
      </c>
      <c r="K217">
        <f>IFERROR(__xludf.DUMMYFUNCTION("""COMPUTED_VALUE"""),153055.62)</f>
        <v/>
      </c>
    </row>
    <row r="218">
      <c r="J218">
        <f>IFERROR(__xludf.DUMMYFUNCTION("""COMPUTED_VALUE"""),"New York, USA")</f>
        <v/>
      </c>
      <c r="K218">
        <f>IFERROR(__xludf.DUMMYFUNCTION("""COMPUTED_VALUE"""),152801.32)</f>
        <v/>
      </c>
    </row>
    <row r="219">
      <c r="J219">
        <f>IFERROR(__xludf.DUMMYFUNCTION("""COMPUTED_VALUE"""),"Fredericton, New Brunswick")</f>
        <v/>
      </c>
      <c r="K219">
        <f>IFERROR(__xludf.DUMMYFUNCTION("""COMPUTED_VALUE"""),151767.42)</f>
        <v/>
      </c>
    </row>
    <row r="220">
      <c r="J220">
        <f>IFERROR(__xludf.DUMMYFUNCTION("""COMPUTED_VALUE"""),"Sharm el-Sheikh, Egypt")</f>
        <v/>
      </c>
      <c r="K220">
        <f>IFERROR(__xludf.DUMMYFUNCTION("""COMPUTED_VALUE"""),151287.87)</f>
        <v/>
      </c>
    </row>
    <row r="221">
      <c r="J221">
        <f>IFERROR(__xludf.DUMMYFUNCTION("""COMPUTED_VALUE"""),"Vancouver, British Colombia, Canada")</f>
        <v/>
      </c>
      <c r="K221">
        <f>IFERROR(__xludf.DUMMYFUNCTION("""COMPUTED_VALUE"""),151102.239999999)</f>
        <v/>
      </c>
    </row>
    <row r="222">
      <c r="J222">
        <f>IFERROR(__xludf.DUMMYFUNCTION("""COMPUTED_VALUE"""),"United Kingdom")</f>
        <v/>
      </c>
      <c r="K222">
        <f>IFERROR(__xludf.DUMMYFUNCTION("""COMPUTED_VALUE"""),150854.06)</f>
        <v/>
      </c>
    </row>
    <row r="223">
      <c r="J223">
        <f>IFERROR(__xludf.DUMMYFUNCTION("""COMPUTED_VALUE"""),"Sydney, Nova Scotia, Canada")</f>
        <v/>
      </c>
      <c r="K223">
        <f>IFERROR(__xludf.DUMMYFUNCTION("""COMPUTED_VALUE"""),150183.25)</f>
        <v/>
      </c>
    </row>
    <row r="224">
      <c r="J224">
        <f>IFERROR(__xludf.DUMMYFUNCTION("""COMPUTED_VALUE"""),"Italy")</f>
        <v/>
      </c>
      <c r="K224">
        <f>IFERROR(__xludf.DUMMYFUNCTION("""COMPUTED_VALUE"""),149266.33)</f>
        <v/>
      </c>
    </row>
    <row r="225">
      <c r="J225">
        <f>IFERROR(__xludf.DUMMYFUNCTION("""COMPUTED_VALUE"""),"Vancouver, British Columbia, Canada; Victoria, British Columbia, Canada")</f>
        <v/>
      </c>
      <c r="K225">
        <f>IFERROR(__xludf.DUMMYFUNCTION("""COMPUTED_VALUE"""),149099.599999999)</f>
        <v/>
      </c>
    </row>
    <row r="226">
      <c r="J226">
        <f>IFERROR(__xludf.DUMMYFUNCTION("""COMPUTED_VALUE"""),"Singapore, Asia")</f>
        <v/>
      </c>
      <c r="K226">
        <f>IFERROR(__xludf.DUMMYFUNCTION("""COMPUTED_VALUE"""),147296.75)</f>
        <v/>
      </c>
    </row>
    <row r="227">
      <c r="J227">
        <f>IFERROR(__xludf.DUMMYFUNCTION("""COMPUTED_VALUE"""),"Chalk River, Ontario")</f>
        <v/>
      </c>
      <c r="K227">
        <f>IFERROR(__xludf.DUMMYFUNCTION("""COMPUTED_VALUE"""),145955.07)</f>
        <v/>
      </c>
    </row>
    <row r="228">
      <c r="J228">
        <f>IFERROR(__xludf.DUMMYFUNCTION("""COMPUTED_VALUE"""),"Saint John, New Brunswick, Canada")</f>
        <v/>
      </c>
      <c r="K228">
        <f>IFERROR(__xludf.DUMMYFUNCTION("""COMPUTED_VALUE"""),145612.95)</f>
        <v/>
      </c>
    </row>
    <row r="229">
      <c r="J229">
        <f>IFERROR(__xludf.DUMMYFUNCTION("""COMPUTED_VALUE"""),"Cambridge Bay, Nunavut, Canada")</f>
        <v/>
      </c>
      <c r="K229">
        <f>IFERROR(__xludf.DUMMYFUNCTION("""COMPUTED_VALUE"""),142601.9)</f>
        <v/>
      </c>
    </row>
    <row r="230">
      <c r="J230">
        <f>IFERROR(__xludf.DUMMYFUNCTION("""COMPUTED_VALUE"""),"Edmonton")</f>
        <v/>
      </c>
      <c r="K230">
        <f>IFERROR(__xludf.DUMMYFUNCTION("""COMPUTED_VALUE"""),140970.229999999)</f>
        <v/>
      </c>
    </row>
    <row r="231">
      <c r="J231">
        <f>IFERROR(__xludf.DUMMYFUNCTION("""COMPUTED_VALUE"""),"Mexico")</f>
        <v/>
      </c>
      <c r="K231">
        <f>IFERROR(__xludf.DUMMYFUNCTION("""COMPUTED_VALUE"""),140922.27)</f>
        <v/>
      </c>
    </row>
    <row r="232">
      <c r="J232">
        <f>IFERROR(__xludf.DUMMYFUNCTION("""COMPUTED_VALUE"""),"Los Angeles, California, United States")</f>
        <v/>
      </c>
      <c r="K232">
        <f>IFERROR(__xludf.DUMMYFUNCTION("""COMPUTED_VALUE"""),140089.97)</f>
        <v/>
      </c>
    </row>
    <row r="233">
      <c r="J233">
        <f>IFERROR(__xludf.DUMMYFUNCTION("""COMPUTED_VALUE"""),"Sapporo, Japan")</f>
        <v/>
      </c>
      <c r="K233">
        <f>IFERROR(__xludf.DUMMYFUNCTION("""COMPUTED_VALUE"""),139105.089999999)</f>
        <v/>
      </c>
    </row>
    <row r="234">
      <c r="J234">
        <f>IFERROR(__xludf.DUMMYFUNCTION("""COMPUTED_VALUE"""),"Montreal, QC, Canada")</f>
        <v/>
      </c>
      <c r="K234">
        <f>IFERROR(__xludf.DUMMYFUNCTION("""COMPUTED_VALUE"""),138261.85)</f>
        <v/>
      </c>
    </row>
    <row r="235">
      <c r="J235">
        <f>IFERROR(__xludf.DUMMYFUNCTION("""COMPUTED_VALUE"""),"Yellowknife, Northwest Territories")</f>
        <v/>
      </c>
      <c r="K235">
        <f>IFERROR(__xludf.DUMMYFUNCTION("""COMPUTED_VALUE"""),136916.6)</f>
        <v/>
      </c>
    </row>
    <row r="236">
      <c r="J236">
        <f>IFERROR(__xludf.DUMMYFUNCTION("""COMPUTED_VALUE"""),"Vancouver (British Columbia) Canada")</f>
        <v/>
      </c>
      <c r="K236">
        <f>IFERROR(__xludf.DUMMYFUNCTION("""COMPUTED_VALUE"""),136787.8)</f>
        <v/>
      </c>
    </row>
    <row r="237">
      <c r="J237">
        <f>IFERROR(__xludf.DUMMYFUNCTION("""COMPUTED_VALUE"""),"Mexico City")</f>
        <v/>
      </c>
      <c r="K237">
        <f>IFERROR(__xludf.DUMMYFUNCTION("""COMPUTED_VALUE"""),136391.07)</f>
        <v/>
      </c>
    </row>
    <row r="238">
      <c r="J238">
        <f>IFERROR(__xludf.DUMMYFUNCTION("""COMPUTED_VALUE"""),"Leipzig, Germany")</f>
        <v/>
      </c>
      <c r="K238">
        <f>IFERROR(__xludf.DUMMYFUNCTION("""COMPUTED_VALUE"""),135932.069999999)</f>
        <v/>
      </c>
    </row>
    <row r="239">
      <c r="J239">
        <f>IFERROR(__xludf.DUMMYFUNCTION("""COMPUTED_VALUE"""),"Montréal")</f>
        <v/>
      </c>
      <c r="K239">
        <f>IFERROR(__xludf.DUMMYFUNCTION("""COMPUTED_VALUE"""),135343.72)</f>
        <v/>
      </c>
    </row>
    <row r="240">
      <c r="J240">
        <f>IFERROR(__xludf.DUMMYFUNCTION("""COMPUTED_VALUE"""),"Banff, Alberta")</f>
        <v/>
      </c>
      <c r="K240">
        <f>IFERROR(__xludf.DUMMYFUNCTION("""COMPUTED_VALUE"""),134118.309999999)</f>
        <v/>
      </c>
    </row>
    <row r="241">
      <c r="J241">
        <f>IFERROR(__xludf.DUMMYFUNCTION("""COMPUTED_VALUE"""),"Waterloo, ON")</f>
        <v/>
      </c>
      <c r="K241">
        <f>IFERROR(__xludf.DUMMYFUNCTION("""COMPUTED_VALUE"""),133601.84)</f>
        <v/>
      </c>
    </row>
    <row r="242">
      <c r="J242">
        <f>IFERROR(__xludf.DUMMYFUNCTION("""COMPUTED_VALUE"""),"Vancouver, British-Columbia")</f>
        <v/>
      </c>
      <c r="K242">
        <f>IFERROR(__xludf.DUMMYFUNCTION("""COMPUTED_VALUE"""),132836.18)</f>
        <v/>
      </c>
    </row>
    <row r="243">
      <c r="J243">
        <f>IFERROR(__xludf.DUMMYFUNCTION("""COMPUTED_VALUE"""),"Cambridge Bay, Nunavut")</f>
        <v/>
      </c>
      <c r="K243">
        <f>IFERROR(__xludf.DUMMYFUNCTION("""COMPUTED_VALUE"""),132423.64)</f>
        <v/>
      </c>
    </row>
    <row r="244">
      <c r="J244">
        <f>IFERROR(__xludf.DUMMYFUNCTION("""COMPUTED_VALUE"""),"Prague, Czech Republic")</f>
        <v/>
      </c>
      <c r="K244">
        <f>IFERROR(__xludf.DUMMYFUNCTION("""COMPUTED_VALUE"""),130671.55)</f>
        <v/>
      </c>
    </row>
    <row r="245">
      <c r="J245">
        <f>IFERROR(__xludf.DUMMYFUNCTION("""COMPUTED_VALUE"""),"Mississauga, Ontario, Canada")</f>
        <v/>
      </c>
      <c r="K245">
        <f>IFERROR(__xludf.DUMMYFUNCTION("""COMPUTED_VALUE"""),127671.249999999)</f>
        <v/>
      </c>
    </row>
    <row r="246">
      <c r="J246">
        <f>IFERROR(__xludf.DUMMYFUNCTION("""COMPUTED_VALUE"""),"Waterloo, Ontario, Canada")</f>
        <v/>
      </c>
      <c r="K246">
        <f>IFERROR(__xludf.DUMMYFUNCTION("""COMPUTED_VALUE"""),127089.699999999)</f>
        <v/>
      </c>
    </row>
    <row r="247">
      <c r="J247">
        <f>IFERROR(__xludf.DUMMYFUNCTION("""COMPUTED_VALUE"""),"Glasgow, United Kingdom")</f>
        <v/>
      </c>
      <c r="K247">
        <f>IFERROR(__xludf.DUMMYFUNCTION("""COMPUTED_VALUE"""),126067.98)</f>
        <v/>
      </c>
    </row>
    <row r="248">
      <c r="J248">
        <f>IFERROR(__xludf.DUMMYFUNCTION("""COMPUTED_VALUE"""),"Charlottetown, PEI")</f>
        <v/>
      </c>
      <c r="K248">
        <f>IFERROR(__xludf.DUMMYFUNCTION("""COMPUTED_VALUE"""),125426.58)</f>
        <v/>
      </c>
    </row>
    <row r="249">
      <c r="J249">
        <f>IFERROR(__xludf.DUMMYFUNCTION("""COMPUTED_VALUE"""),"Munich")</f>
        <v/>
      </c>
      <c r="K249">
        <f>IFERROR(__xludf.DUMMYFUNCTION("""COMPUTED_VALUE"""),125364)</f>
        <v/>
      </c>
    </row>
    <row r="250">
      <c r="J250">
        <f>IFERROR(__xludf.DUMMYFUNCTION("""COMPUTED_VALUE"""),"Charlottetown, PE - Ottawa, ON / Ottawa, ON - Charlottetown, PE")</f>
        <v/>
      </c>
      <c r="K250">
        <f>IFERROR(__xludf.DUMMYFUNCTION("""COMPUTED_VALUE"""),125163.39)</f>
        <v/>
      </c>
    </row>
    <row r="251">
      <c r="J251">
        <f>IFERROR(__xludf.DUMMYFUNCTION("""COMPUTED_VALUE"""),"Kampala, Uganda")</f>
        <v/>
      </c>
      <c r="K251">
        <f>IFERROR(__xludf.DUMMYFUNCTION("""COMPUTED_VALUE"""),124508.87)</f>
        <v/>
      </c>
    </row>
    <row r="252">
      <c r="J252">
        <f>IFERROR(__xludf.DUMMYFUNCTION("""COMPUTED_VALUE"""),"Vancouver, British Colombia")</f>
        <v/>
      </c>
      <c r="K252">
        <f>IFERROR(__xludf.DUMMYFUNCTION("""COMPUTED_VALUE"""),124012.439999999)</f>
        <v/>
      </c>
    </row>
    <row r="253">
      <c r="J253">
        <f>IFERROR(__xludf.DUMMYFUNCTION("""COMPUTED_VALUE"""),"Pakistan")</f>
        <v/>
      </c>
      <c r="K253">
        <f>IFERROR(__xludf.DUMMYFUNCTION("""COMPUTED_VALUE"""),122866.68)</f>
        <v/>
      </c>
    </row>
    <row r="254">
      <c r="J254">
        <f>IFERROR(__xludf.DUMMYFUNCTION("""COMPUTED_VALUE"""),"British Columbia")</f>
        <v/>
      </c>
      <c r="K254">
        <f>IFERROR(__xludf.DUMMYFUNCTION("""COMPUTED_VALUE"""),122828.15)</f>
        <v/>
      </c>
    </row>
    <row r="255">
      <c r="J255">
        <f>IFERROR(__xludf.DUMMYFUNCTION("""COMPUTED_VALUE"""),"Rome")</f>
        <v/>
      </c>
      <c r="K255">
        <f>IFERROR(__xludf.DUMMYFUNCTION("""COMPUTED_VALUE"""),122611.62)</f>
        <v/>
      </c>
    </row>
    <row r="256">
      <c r="J256">
        <f>IFERROR(__xludf.DUMMYFUNCTION("""COMPUTED_VALUE"""),"Indonesia")</f>
        <v/>
      </c>
      <c r="K256">
        <f>IFERROR(__xludf.DUMMYFUNCTION("""COMPUTED_VALUE"""),121055.93)</f>
        <v/>
      </c>
    </row>
    <row r="257">
      <c r="J257">
        <f>IFERROR(__xludf.DUMMYFUNCTION("""COMPUTED_VALUE"""),"Montréal, Québec")</f>
        <v/>
      </c>
      <c r="K257">
        <f>IFERROR(__xludf.DUMMYFUNCTION("""COMPUTED_VALUE"""),120356.699999999)</f>
        <v/>
      </c>
    </row>
    <row r="258">
      <c r="J258">
        <f>IFERROR(__xludf.DUMMYFUNCTION("""COMPUTED_VALUE"""),"Chalk River, Ontario, Canada")</f>
        <v/>
      </c>
      <c r="K258">
        <f>IFERROR(__xludf.DUMMYFUNCTION("""COMPUTED_VALUE"""),119005.529999999)</f>
        <v/>
      </c>
    </row>
    <row r="259">
      <c r="J259">
        <f>IFERROR(__xludf.DUMMYFUNCTION("""COMPUTED_VALUE"""),"Jakarta, Indonesia")</f>
        <v/>
      </c>
      <c r="K259">
        <f>IFERROR(__xludf.DUMMYFUNCTION("""COMPUTED_VALUE"""),118789.65)</f>
        <v/>
      </c>
    </row>
    <row r="260">
      <c r="J260">
        <f>IFERROR(__xludf.DUMMYFUNCTION("""COMPUTED_VALUE"""),"OTTAWA, ON, CANADA")</f>
        <v/>
      </c>
      <c r="K260">
        <f>IFERROR(__xludf.DUMMYFUNCTION("""COMPUTED_VALUE"""),117150.739999999)</f>
        <v/>
      </c>
    </row>
    <row r="261">
      <c r="J261">
        <f>IFERROR(__xludf.DUMMYFUNCTION("""COMPUTED_VALUE"""),"Orlando, Florida, United States")</f>
        <v/>
      </c>
      <c r="K261">
        <f>IFERROR(__xludf.DUMMYFUNCTION("""COMPUTED_VALUE"""),117097.85)</f>
        <v/>
      </c>
    </row>
    <row r="262">
      <c r="J262">
        <f>IFERROR(__xludf.DUMMYFUNCTION("""COMPUTED_VALUE"""),"Kigali, Rwanda")</f>
        <v/>
      </c>
      <c r="K262">
        <f>IFERROR(__xludf.DUMMYFUNCTION("""COMPUTED_VALUE"""),116830.51)</f>
        <v/>
      </c>
    </row>
    <row r="263">
      <c r="J263">
        <f>IFERROR(__xludf.DUMMYFUNCTION("""COMPUTED_VALUE"""),"Mexico, Mexico")</f>
        <v/>
      </c>
      <c r="K263">
        <f>IFERROR(__xludf.DUMMYFUNCTION("""COMPUTED_VALUE"""),116119.659999999)</f>
        <v/>
      </c>
    </row>
    <row r="264">
      <c r="J264">
        <f>IFERROR(__xludf.DUMMYFUNCTION("""COMPUTED_VALUE"""),"Strasbourg, France")</f>
        <v/>
      </c>
      <c r="K264">
        <f>IFERROR(__xludf.DUMMYFUNCTION("""COMPUTED_VALUE"""),114846.8)</f>
        <v/>
      </c>
    </row>
    <row r="265">
      <c r="J265">
        <f>IFERROR(__xludf.DUMMYFUNCTION("""COMPUTED_VALUE"""),"Kelowna, BC")</f>
        <v/>
      </c>
      <c r="K265">
        <f>IFERROR(__xludf.DUMMYFUNCTION("""COMPUTED_VALUE"""),114393.94)</f>
        <v/>
      </c>
    </row>
    <row r="266">
      <c r="J266">
        <f>IFERROR(__xludf.DUMMYFUNCTION("""COMPUTED_VALUE"""),"Windsor, Ontario")</f>
        <v/>
      </c>
      <c r="K266">
        <f>IFERROR(__xludf.DUMMYFUNCTION("""COMPUTED_VALUE"""),113031.999999999)</f>
        <v/>
      </c>
    </row>
    <row r="267">
      <c r="J267">
        <f>IFERROR(__xludf.DUMMYFUNCTION("""COMPUTED_VALUE"""),"Port-au-Prince, Haiti")</f>
        <v/>
      </c>
      <c r="K267">
        <f>IFERROR(__xludf.DUMMYFUNCTION("""COMPUTED_VALUE"""),112042.9)</f>
        <v/>
      </c>
    </row>
    <row r="268">
      <c r="J268">
        <f>IFERROR(__xludf.DUMMYFUNCTION("""COMPUTED_VALUE"""),"Ankara, Turkey")</f>
        <v/>
      </c>
      <c r="K268">
        <f>IFERROR(__xludf.DUMMYFUNCTION("""COMPUTED_VALUE"""),111688.73)</f>
        <v/>
      </c>
    </row>
    <row r="269">
      <c r="J269">
        <f>IFERROR(__xludf.DUMMYFUNCTION("""COMPUTED_VALUE"""),"Abu Dhabi, UAE")</f>
        <v/>
      </c>
      <c r="K269">
        <f>IFERROR(__xludf.DUMMYFUNCTION("""COMPUTED_VALUE"""),111110.05)</f>
        <v/>
      </c>
    </row>
    <row r="270">
      <c r="J270">
        <f>IFERROR(__xludf.DUMMYFUNCTION("""COMPUTED_VALUE"""),"Johannesburg, South Africa")</f>
        <v/>
      </c>
      <c r="K270">
        <f>IFERROR(__xludf.DUMMYFUNCTION("""COMPUTED_VALUE"""),110633.09)</f>
        <v/>
      </c>
    </row>
    <row r="271">
      <c r="J271">
        <f>IFERROR(__xludf.DUMMYFUNCTION("""COMPUTED_VALUE"""),"Moscow")</f>
        <v/>
      </c>
      <c r="K271">
        <f>IFERROR(__xludf.DUMMYFUNCTION("""COMPUTED_VALUE"""),110462.64)</f>
        <v/>
      </c>
    </row>
    <row r="272">
      <c r="J272">
        <f>IFERROR(__xludf.DUMMYFUNCTION("""COMPUTED_VALUE"""),"Manama, Bahrain")</f>
        <v/>
      </c>
      <c r="K272">
        <f>IFERROR(__xludf.DUMMYFUNCTION("""COMPUTED_VALUE"""),109608.07)</f>
        <v/>
      </c>
    </row>
    <row r="273">
      <c r="J273">
        <f>IFERROR(__xludf.DUMMYFUNCTION("""COMPUTED_VALUE"""),"San Diego, California, United States")</f>
        <v/>
      </c>
      <c r="K273">
        <f>IFERROR(__xludf.DUMMYFUNCTION("""COMPUTED_VALUE"""),108686.9)</f>
        <v/>
      </c>
    </row>
    <row r="274">
      <c r="J274">
        <f>IFERROR(__xludf.DUMMYFUNCTION("""COMPUTED_VALUE"""),"Canada")</f>
        <v/>
      </c>
      <c r="K274">
        <f>IFERROR(__xludf.DUMMYFUNCTION("""COMPUTED_VALUE"""),108077.5)</f>
        <v/>
      </c>
    </row>
    <row r="275">
      <c r="J275">
        <f>IFERROR(__xludf.DUMMYFUNCTION("""COMPUTED_VALUE"""),"Vancouver, British Columbia, Canada to Ottawa, Ontario, Canada")</f>
        <v/>
      </c>
      <c r="K275">
        <f>IFERROR(__xludf.DUMMYFUNCTION("""COMPUTED_VALUE"""),107895.69)</f>
        <v/>
      </c>
    </row>
    <row r="276">
      <c r="J276">
        <f>IFERROR(__xludf.DUMMYFUNCTION("""COMPUTED_VALUE"""),"Montréal, QC, Canada")</f>
        <v/>
      </c>
      <c r="K276">
        <f>IFERROR(__xludf.DUMMYFUNCTION("""COMPUTED_VALUE"""),107037.53)</f>
        <v/>
      </c>
    </row>
    <row r="277">
      <c r="J277">
        <f>IFERROR(__xludf.DUMMYFUNCTION("""COMPUTED_VALUE"""),"Gatineau, Québec")</f>
        <v/>
      </c>
      <c r="K277">
        <f>IFERROR(__xludf.DUMMYFUNCTION("""COMPUTED_VALUE"""),106571.989999999)</f>
        <v/>
      </c>
    </row>
    <row r="278">
      <c r="J278">
        <f>IFERROR(__xludf.DUMMYFUNCTION("""COMPUTED_VALUE"""),"Marrakesh, Morocco")</f>
        <v/>
      </c>
      <c r="K278">
        <f>IFERROR(__xludf.DUMMYFUNCTION("""COMPUTED_VALUE"""),106126.9)</f>
        <v/>
      </c>
    </row>
    <row r="279">
      <c r="J279">
        <f>IFERROR(__xludf.DUMMYFUNCTION("""COMPUTED_VALUE"""),"Tokyo")</f>
        <v/>
      </c>
      <c r="K279">
        <f>IFERROR(__xludf.DUMMYFUNCTION("""COMPUTED_VALUE"""),105918.49)</f>
        <v/>
      </c>
    </row>
    <row r="280">
      <c r="J280">
        <f>IFERROR(__xludf.DUMMYFUNCTION("""COMPUTED_VALUE"""),"Kananaskis, Alberta, Canada")</f>
        <v/>
      </c>
      <c r="K280">
        <f>IFERROR(__xludf.DUMMYFUNCTION("""COMPUTED_VALUE"""),105812.14)</f>
        <v/>
      </c>
    </row>
    <row r="281">
      <c r="J281">
        <f>IFERROR(__xludf.DUMMYFUNCTION("""COMPUTED_VALUE"""),"Washington D.C., United States")</f>
        <v/>
      </c>
      <c r="K281">
        <f>IFERROR(__xludf.DUMMYFUNCTION("""COMPUTED_VALUE"""),105606.13)</f>
        <v/>
      </c>
    </row>
    <row r="282">
      <c r="J282">
        <f>IFERROR(__xludf.DUMMYFUNCTION("""COMPUTED_VALUE"""),"London, Ontario")</f>
        <v/>
      </c>
      <c r="K282">
        <f>IFERROR(__xludf.DUMMYFUNCTION("""COMPUTED_VALUE"""),105032.67)</f>
        <v/>
      </c>
    </row>
    <row r="283">
      <c r="J283">
        <f>IFERROR(__xludf.DUMMYFUNCTION("""COMPUTED_VALUE"""),"Hannover, Germany")</f>
        <v/>
      </c>
      <c r="K283">
        <f>IFERROR(__xludf.DUMMYFUNCTION("""COMPUTED_VALUE"""),103847.819999999)</f>
        <v/>
      </c>
    </row>
    <row r="284">
      <c r="J284">
        <f>IFERROR(__xludf.DUMMYFUNCTION("""COMPUTED_VALUE"""),"Sault Ste. Marie, Ontario, Canada")</f>
        <v/>
      </c>
      <c r="K284">
        <f>IFERROR(__xludf.DUMMYFUNCTION("""COMPUTED_VALUE"""),103716.249999999)</f>
        <v/>
      </c>
    </row>
    <row r="285">
      <c r="J285">
        <f>IFERROR(__xludf.DUMMYFUNCTION("""COMPUTED_VALUE"""),"St. John's, Newfoundland, Canada")</f>
        <v/>
      </c>
      <c r="K285">
        <f>IFERROR(__xludf.DUMMYFUNCTION("""COMPUTED_VALUE"""),102917.549999999)</f>
        <v/>
      </c>
    </row>
    <row r="286">
      <c r="J286">
        <f>IFERROR(__xludf.DUMMYFUNCTION("""COMPUTED_VALUE"""),"Nanaimo, British Columbia, Canada")</f>
        <v/>
      </c>
      <c r="K286">
        <f>IFERROR(__xludf.DUMMYFUNCTION("""COMPUTED_VALUE"""),102771.879999999)</f>
        <v/>
      </c>
    </row>
    <row r="287">
      <c r="J287">
        <f>IFERROR(__xludf.DUMMYFUNCTION("""COMPUTED_VALUE"""),"Jasper, Alberta, Canada")</f>
        <v/>
      </c>
      <c r="K287">
        <f>IFERROR(__xludf.DUMMYFUNCTION("""COMPUTED_VALUE"""),102381.52)</f>
        <v/>
      </c>
    </row>
    <row r="288">
      <c r="J288">
        <f>IFERROR(__xludf.DUMMYFUNCTION("""COMPUTED_VALUE"""),"New York, NY, USA")</f>
        <v/>
      </c>
      <c r="K288">
        <f>IFERROR(__xludf.DUMMYFUNCTION("""COMPUTED_VALUE"""),101808.939999999)</f>
        <v/>
      </c>
    </row>
    <row r="289">
      <c r="J289">
        <f>IFERROR(__xludf.DUMMYFUNCTION("""COMPUTED_VALUE"""),"Abbotsford, British Columbia")</f>
        <v/>
      </c>
      <c r="K289">
        <f>IFERROR(__xludf.DUMMYFUNCTION("""COMPUTED_VALUE"""),101090.65)</f>
        <v/>
      </c>
    </row>
    <row r="290">
      <c r="J290">
        <f>IFERROR(__xludf.DUMMYFUNCTION("""COMPUTED_VALUE"""),"Whitehorse, YT")</f>
        <v/>
      </c>
      <c r="K290">
        <f>IFERROR(__xludf.DUMMYFUNCTION("""COMPUTED_VALUE"""),100820.94)</f>
        <v/>
      </c>
    </row>
    <row r="291">
      <c r="J291">
        <f>IFERROR(__xludf.DUMMYFUNCTION("""COMPUTED_VALUE"""),"Toronto ON")</f>
        <v/>
      </c>
      <c r="K291">
        <f>IFERROR(__xludf.DUMMYFUNCTION("""COMPUTED_VALUE"""),100544.69)</f>
        <v/>
      </c>
    </row>
    <row r="292">
      <c r="J292">
        <f>IFERROR(__xludf.DUMMYFUNCTION("""COMPUTED_VALUE"""),"Vilnius and Jakarta")</f>
        <v/>
      </c>
      <c r="K292">
        <f>IFERROR(__xludf.DUMMYFUNCTION("""COMPUTED_VALUE"""),100032.12)</f>
        <v/>
      </c>
    </row>
    <row r="293">
      <c r="J293">
        <f>IFERROR(__xludf.DUMMYFUNCTION("""COMPUTED_VALUE"""),"Ukraine")</f>
        <v/>
      </c>
      <c r="K293">
        <f>IFERROR(__xludf.DUMMYFUNCTION("""COMPUTED_VALUE"""),99952.2099999999)</f>
        <v/>
      </c>
    </row>
    <row r="294">
      <c r="J294">
        <f>IFERROR(__xludf.DUMMYFUNCTION("""COMPUTED_VALUE"""),"Lethbridge, Alberta, Canada")</f>
        <v/>
      </c>
      <c r="K294">
        <f>IFERROR(__xludf.DUMMYFUNCTION("""COMPUTED_VALUE"""),99926.8299999999)</f>
        <v/>
      </c>
    </row>
    <row r="295">
      <c r="J295">
        <f>IFERROR(__xludf.DUMMYFUNCTION("""COMPUTED_VALUE"""),"Accra, Ghana")</f>
        <v/>
      </c>
      <c r="K295">
        <f>IFERROR(__xludf.DUMMYFUNCTION("""COMPUTED_VALUE"""),98642.94)</f>
        <v/>
      </c>
    </row>
    <row r="296">
      <c r="J296">
        <f>IFERROR(__xludf.DUMMYFUNCTION("""COMPUTED_VALUE"""),"Winnipeg (Manitoba) Canada")</f>
        <v/>
      </c>
      <c r="K296">
        <f>IFERROR(__xludf.DUMMYFUNCTION("""COMPUTED_VALUE"""),98442.2699999999)</f>
        <v/>
      </c>
    </row>
    <row r="297">
      <c r="J297">
        <f>IFERROR(__xludf.DUMMYFUNCTION("""COMPUTED_VALUE"""),"Hamburg, Germany")</f>
        <v/>
      </c>
      <c r="K297">
        <f>IFERROR(__xludf.DUMMYFUNCTION("""COMPUTED_VALUE"""),96695.31)</f>
        <v/>
      </c>
    </row>
    <row r="298">
      <c r="J298">
        <f>IFERROR(__xludf.DUMMYFUNCTION("""COMPUTED_VALUE"""),"Hanover, Germany")</f>
        <v/>
      </c>
      <c r="K298">
        <f>IFERROR(__xludf.DUMMYFUNCTION("""COMPUTED_VALUE"""),96382.98)</f>
        <v/>
      </c>
    </row>
    <row r="299">
      <c r="J299">
        <f>IFERROR(__xludf.DUMMYFUNCTION("""COMPUTED_VALUE"""),"Sudbury, ON")</f>
        <v/>
      </c>
      <c r="K299">
        <f>IFERROR(__xludf.DUMMYFUNCTION("""COMPUTED_VALUE"""),94540.63)</f>
        <v/>
      </c>
    </row>
    <row r="300">
      <c r="J300">
        <f>IFERROR(__xludf.DUMMYFUNCTION("""COMPUTED_VALUE"""),"Belem, Brazil")</f>
        <v/>
      </c>
      <c r="K300">
        <f>IFERROR(__xludf.DUMMYFUNCTION("""COMPUTED_VALUE"""),94000.55)</f>
        <v/>
      </c>
    </row>
    <row r="301">
      <c r="J301">
        <f>IFERROR(__xludf.DUMMYFUNCTION("""COMPUTED_VALUE"""),"OTTAWA, ONTARIO, CANADA")</f>
        <v/>
      </c>
      <c r="K301">
        <f>IFERROR(__xludf.DUMMYFUNCTION("""COMPUTED_VALUE"""),93383.99)</f>
        <v/>
      </c>
    </row>
    <row r="302">
      <c r="J302">
        <f>IFERROR(__xludf.DUMMYFUNCTION("""COMPUTED_VALUE"""),"Burlington, Ontario, Canada")</f>
        <v/>
      </c>
      <c r="K302">
        <f>IFERROR(__xludf.DUMMYFUNCTION("""COMPUTED_VALUE"""),93374.14)</f>
        <v/>
      </c>
    </row>
    <row r="303">
      <c r="J303">
        <f>IFERROR(__xludf.DUMMYFUNCTION("""COMPUTED_VALUE"""),"Vancouver and Victoria, British Columbia")</f>
        <v/>
      </c>
      <c r="K303">
        <f>IFERROR(__xludf.DUMMYFUNCTION("""COMPUTED_VALUE"""),93304.0599999999)</f>
        <v/>
      </c>
    </row>
    <row r="304">
      <c r="J304">
        <f>IFERROR(__xludf.DUMMYFUNCTION("""COMPUTED_VALUE"""),"Niagara Falls, Ontario, Canada")</f>
        <v/>
      </c>
      <c r="K304">
        <f>IFERROR(__xludf.DUMMYFUNCTION("""COMPUTED_VALUE"""),92984.41)</f>
        <v/>
      </c>
    </row>
    <row r="305">
      <c r="J305">
        <f>IFERROR(__xludf.DUMMYFUNCTION("""COMPUTED_VALUE"""),"Sydney, Nova Scotia")</f>
        <v/>
      </c>
      <c r="K305">
        <f>IFERROR(__xludf.DUMMYFUNCTION("""COMPUTED_VALUE"""),92878.07)</f>
        <v/>
      </c>
    </row>
    <row r="306">
      <c r="J306">
        <f>IFERROR(__xludf.DUMMYFUNCTION("""COMPUTED_VALUE"""),"Sydney, New South Wales, Australia")</f>
        <v/>
      </c>
      <c r="K306">
        <f>IFERROR(__xludf.DUMMYFUNCTION("""COMPUTED_VALUE"""),92785.12)</f>
        <v/>
      </c>
    </row>
    <row r="307">
      <c r="J307">
        <f>IFERROR(__xludf.DUMMYFUNCTION("""COMPUTED_VALUE"""),"Katowice, Poland")</f>
        <v/>
      </c>
      <c r="K307">
        <f>IFERROR(__xludf.DUMMYFUNCTION("""COMPUTED_VALUE"""),92370.95)</f>
        <v/>
      </c>
    </row>
    <row r="308">
      <c r="J308">
        <f>IFERROR(__xludf.DUMMYFUNCTION("""COMPUTED_VALUE"""),"Washington DC, USA")</f>
        <v/>
      </c>
      <c r="K308">
        <f>IFERROR(__xludf.DUMMYFUNCTION("""COMPUTED_VALUE"""),92304.42)</f>
        <v/>
      </c>
    </row>
    <row r="309">
      <c r="J309">
        <f>IFERROR(__xludf.DUMMYFUNCTION("""COMPUTED_VALUE"""),"San Francisco, United States")</f>
        <v/>
      </c>
      <c r="K309">
        <f>IFERROR(__xludf.DUMMYFUNCTION("""COMPUTED_VALUE"""),92253.26)</f>
        <v/>
      </c>
    </row>
    <row r="310">
      <c r="J310">
        <f>IFERROR(__xludf.DUMMYFUNCTION("""COMPUTED_VALUE"""),"Sherbrooke, Quebec, Canada")</f>
        <v/>
      </c>
      <c r="K310">
        <f>IFERROR(__xludf.DUMMYFUNCTION("""COMPUTED_VALUE"""),91824.77)</f>
        <v/>
      </c>
    </row>
    <row r="311">
      <c r="J311">
        <f>IFERROR(__xludf.DUMMYFUNCTION("""COMPUTED_VALUE"""),"Kingston, Ontario")</f>
        <v/>
      </c>
      <c r="K311">
        <f>IFERROR(__xludf.DUMMYFUNCTION("""COMPUTED_VALUE"""),91054.31)</f>
        <v/>
      </c>
    </row>
    <row r="312">
      <c r="J312">
        <f>IFERROR(__xludf.DUMMYFUNCTION("""COMPUTED_VALUE"""),"Montréal, Québec, Canada")</f>
        <v/>
      </c>
      <c r="K312">
        <f>IFERROR(__xludf.DUMMYFUNCTION("""COMPUTED_VALUE"""),91017.02)</f>
        <v/>
      </c>
    </row>
    <row r="313">
      <c r="J313">
        <f>IFERROR(__xludf.DUMMYFUNCTION("""COMPUTED_VALUE"""),"Québec")</f>
        <v/>
      </c>
      <c r="K313">
        <f>IFERROR(__xludf.DUMMYFUNCTION("""COMPUTED_VALUE"""),90973.93)</f>
        <v/>
      </c>
    </row>
    <row r="314">
      <c r="J314">
        <f>IFERROR(__xludf.DUMMYFUNCTION("""COMPUTED_VALUE"""),"Montreal, (Quebec)")</f>
        <v/>
      </c>
      <c r="K314">
        <f>IFERROR(__xludf.DUMMYFUNCTION("""COMPUTED_VALUE"""),90945.04)</f>
        <v/>
      </c>
    </row>
    <row r="315">
      <c r="J315">
        <f>IFERROR(__xludf.DUMMYFUNCTION("""COMPUTED_VALUE"""),"Chile")</f>
        <v/>
      </c>
      <c r="K315">
        <f>IFERROR(__xludf.DUMMYFUNCTION("""COMPUTED_VALUE"""),90902.5999999999)</f>
        <v/>
      </c>
    </row>
    <row r="316">
      <c r="J316">
        <f>IFERROR(__xludf.DUMMYFUNCTION("""COMPUTED_VALUE"""),"Peru")</f>
        <v/>
      </c>
      <c r="K316">
        <f>IFERROR(__xludf.DUMMYFUNCTION("""COMPUTED_VALUE"""),90612.69)</f>
        <v/>
      </c>
    </row>
    <row r="317">
      <c r="J317">
        <f>IFERROR(__xludf.DUMMYFUNCTION("""COMPUTED_VALUE"""),"Ottawa and Toronto")</f>
        <v/>
      </c>
      <c r="K317">
        <f>IFERROR(__xludf.DUMMYFUNCTION("""COMPUTED_VALUE"""),90125.66)</f>
        <v/>
      </c>
    </row>
    <row r="318">
      <c r="J318">
        <f>IFERROR(__xludf.DUMMYFUNCTION("""COMPUTED_VALUE"""),"Charlottetown (Prince Edward Island) Canada")</f>
        <v/>
      </c>
      <c r="K318">
        <f>IFERROR(__xludf.DUMMYFUNCTION("""COMPUTED_VALUE"""),89856.05)</f>
        <v/>
      </c>
    </row>
    <row r="319">
      <c r="J319">
        <f>IFERROR(__xludf.DUMMYFUNCTION("""COMPUTED_VALUE"""),"Hong Kong")</f>
        <v/>
      </c>
      <c r="K319">
        <f>IFERROR(__xludf.DUMMYFUNCTION("""COMPUTED_VALUE"""),89427.14)</f>
        <v/>
      </c>
    </row>
    <row r="320">
      <c r="J320">
        <f>IFERROR(__xludf.DUMMYFUNCTION("""COMPUTED_VALUE"""),"Saguenay, Quebec, Canada")</f>
        <v/>
      </c>
      <c r="K320">
        <f>IFERROR(__xludf.DUMMYFUNCTION("""COMPUTED_VALUE"""),89222.71)</f>
        <v/>
      </c>
    </row>
    <row r="321">
      <c r="J321">
        <f>IFERROR(__xludf.DUMMYFUNCTION("""COMPUTED_VALUE"""),"Vancouver BC")</f>
        <v/>
      </c>
      <c r="K321">
        <f>IFERROR(__xludf.DUMMYFUNCTION("""COMPUTED_VALUE"""),89133.1399999999)</f>
        <v/>
      </c>
    </row>
    <row r="322">
      <c r="J322">
        <f>IFERROR(__xludf.DUMMYFUNCTION("""COMPUTED_VALUE"""),"Whistler, British Columbia, Canada")</f>
        <v/>
      </c>
      <c r="K322">
        <f>IFERROR(__xludf.DUMMYFUNCTION("""COMPUTED_VALUE"""),88772.47)</f>
        <v/>
      </c>
    </row>
    <row r="323">
      <c r="J323">
        <f>IFERROR(__xludf.DUMMYFUNCTION("""COMPUTED_VALUE"""),"Surrey, British Columbia, Canada")</f>
        <v/>
      </c>
      <c r="K323">
        <f>IFERROR(__xludf.DUMMYFUNCTION("""COMPUTED_VALUE"""),88275.3499999999)</f>
        <v/>
      </c>
    </row>
    <row r="324">
      <c r="J324">
        <f>IFERROR(__xludf.DUMMYFUNCTION("""COMPUTED_VALUE"""),"Calgary, Alberta, Canada; Edmonton, Alberta, Canada")</f>
        <v/>
      </c>
      <c r="K324">
        <f>IFERROR(__xludf.DUMMYFUNCTION("""COMPUTED_VALUE"""),88053.79)</f>
        <v/>
      </c>
    </row>
    <row r="325">
      <c r="J325">
        <f>IFERROR(__xludf.DUMMYFUNCTION("""COMPUTED_VALUE"""),"Vancouver and Victoria, British Columbia, Canada")</f>
        <v/>
      </c>
      <c r="K325">
        <f>IFERROR(__xludf.DUMMYFUNCTION("""COMPUTED_VALUE"""),88045.9199999999)</f>
        <v/>
      </c>
    </row>
    <row r="326">
      <c r="J326">
        <f>IFERROR(__xludf.DUMMYFUNCTION("""COMPUTED_VALUE"""),"Québec, QC")</f>
        <v/>
      </c>
      <c r="K326">
        <f>IFERROR(__xludf.DUMMYFUNCTION("""COMPUTED_VALUE"""),88008.4799999999)</f>
        <v/>
      </c>
    </row>
    <row r="327">
      <c r="J327">
        <f>IFERROR(__xludf.DUMMYFUNCTION("""COMPUTED_VALUE"""),"Boston, United States")</f>
        <v/>
      </c>
      <c r="K327">
        <f>IFERROR(__xludf.DUMMYFUNCTION("""COMPUTED_VALUE"""),87522.4799999999)</f>
        <v/>
      </c>
    </row>
    <row r="328">
      <c r="J328">
        <f>IFERROR(__xludf.DUMMYFUNCTION("""COMPUTED_VALUE"""),"Vancouver, B.C.")</f>
        <v/>
      </c>
      <c r="K328">
        <f>IFERROR(__xludf.DUMMYFUNCTION("""COMPUTED_VALUE"""),86956)</f>
        <v/>
      </c>
    </row>
    <row r="329">
      <c r="J329">
        <f>IFERROR(__xludf.DUMMYFUNCTION("""COMPUTED_VALUE"""),"Turin, Italy")</f>
        <v/>
      </c>
      <c r="K329">
        <f>IFERROR(__xludf.DUMMYFUNCTION("""COMPUTED_VALUE"""),86415.6)</f>
        <v/>
      </c>
    </row>
    <row r="330">
      <c r="J330">
        <f>IFERROR(__xludf.DUMMYFUNCTION("""COMPUTED_VALUE"""),"London, Rwanda &amp; Tanzania")</f>
        <v/>
      </c>
      <c r="K330">
        <f>IFERROR(__xludf.DUMMYFUNCTION("""COMPUTED_VALUE"""),86115.76)</f>
        <v/>
      </c>
    </row>
    <row r="331">
      <c r="J331">
        <f>IFERROR(__xludf.DUMMYFUNCTION("""COMPUTED_VALUE"""),"Quebec City")</f>
        <v/>
      </c>
      <c r="K331">
        <f>IFERROR(__xludf.DUMMYFUNCTION("""COMPUTED_VALUE"""),86050.62)</f>
        <v/>
      </c>
    </row>
    <row r="332">
      <c r="J332">
        <f>IFERROR(__xludf.DUMMYFUNCTION("""COMPUTED_VALUE"""),"London, Greater London, United Kingdom")</f>
        <v/>
      </c>
      <c r="K332">
        <f>IFERROR(__xludf.DUMMYFUNCTION("""COMPUTED_VALUE"""),85159.71)</f>
        <v/>
      </c>
    </row>
    <row r="333">
      <c r="J333">
        <f>IFERROR(__xludf.DUMMYFUNCTION("""COMPUTED_VALUE"""),"Vancouver, (British Columbia)")</f>
        <v/>
      </c>
      <c r="K333">
        <f>IFERROR(__xludf.DUMMYFUNCTION("""COMPUTED_VALUE"""),85041.6499999999)</f>
        <v/>
      </c>
    </row>
    <row r="334">
      <c r="J334">
        <f>IFERROR(__xludf.DUMMYFUNCTION("""COMPUTED_VALUE"""),"Inuvik, Northwest Territories, Canada")</f>
        <v/>
      </c>
      <c r="K334">
        <f>IFERROR(__xludf.DUMMYFUNCTION("""COMPUTED_VALUE"""),84829.3)</f>
        <v/>
      </c>
    </row>
    <row r="335">
      <c r="J335">
        <f>IFERROR(__xludf.DUMMYFUNCTION("""COMPUTED_VALUE"""),"Saskatoon")</f>
        <v/>
      </c>
      <c r="K335">
        <f>IFERROR(__xludf.DUMMYFUNCTION("""COMPUTED_VALUE"""),84801.0299999999)</f>
        <v/>
      </c>
    </row>
    <row r="336">
      <c r="J336">
        <f>IFERROR(__xludf.DUMMYFUNCTION("""COMPUTED_VALUE"""),"London, United-Kingdom")</f>
        <v/>
      </c>
      <c r="K336">
        <f>IFERROR(__xludf.DUMMYFUNCTION("""COMPUTED_VALUE"""),84471.88)</f>
        <v/>
      </c>
    </row>
    <row r="337">
      <c r="J337">
        <f>IFERROR(__xludf.DUMMYFUNCTION("""COMPUTED_VALUE"""),"St. John's, Newfoundland")</f>
        <v/>
      </c>
      <c r="K337">
        <f>IFERROR(__xludf.DUMMYFUNCTION("""COMPUTED_VALUE"""),84376.3899999999)</f>
        <v/>
      </c>
    </row>
    <row r="338">
      <c r="J338">
        <f>IFERROR(__xludf.DUMMYFUNCTION("""COMPUTED_VALUE"""),"Switzerland")</f>
        <v/>
      </c>
      <c r="K338">
        <f>IFERROR(__xludf.DUMMYFUNCTION("""COMPUTED_VALUE"""),84113.64)</f>
        <v/>
      </c>
    </row>
    <row r="339">
      <c r="J339">
        <f>IFERROR(__xludf.DUMMYFUNCTION("""COMPUTED_VALUE"""),"Quebec City, QC")</f>
        <v/>
      </c>
      <c r="K339">
        <f>IFERROR(__xludf.DUMMYFUNCTION("""COMPUTED_VALUE"""),84049.9799999999)</f>
        <v/>
      </c>
    </row>
    <row r="340">
      <c r="J340">
        <f>IFERROR(__xludf.DUMMYFUNCTION("""COMPUTED_VALUE"""),"Washington D.C.")</f>
        <v/>
      </c>
      <c r="K340">
        <f>IFERROR(__xludf.DUMMYFUNCTION("""COMPUTED_VALUE"""),84049.41)</f>
        <v/>
      </c>
    </row>
    <row r="341">
      <c r="J341">
        <f>IFERROR(__xludf.DUMMYFUNCTION("""COMPUTED_VALUE"""),"Chicago, Illinois, United States")</f>
        <v/>
      </c>
      <c r="K341">
        <f>IFERROR(__xludf.DUMMYFUNCTION("""COMPUTED_VALUE"""),83996.03)</f>
        <v/>
      </c>
    </row>
    <row r="342">
      <c r="J342">
        <f>IFERROR(__xludf.DUMMYFUNCTION("""COMPUTED_VALUE"""),"Toronto and Ottawa")</f>
        <v/>
      </c>
      <c r="K342">
        <f>IFERROR(__xludf.DUMMYFUNCTION("""COMPUTED_VALUE"""),83994.12)</f>
        <v/>
      </c>
    </row>
    <row r="343">
      <c r="J343">
        <f>IFERROR(__xludf.DUMMYFUNCTION("""COMPUTED_VALUE"""),"Abbotsford, British Columbia, Canada")</f>
        <v/>
      </c>
      <c r="K343">
        <f>IFERROR(__xludf.DUMMYFUNCTION("""COMPUTED_VALUE"""),83831.28)</f>
        <v/>
      </c>
    </row>
    <row r="344">
      <c r="J344">
        <f>IFERROR(__xludf.DUMMYFUNCTION("""COMPUTED_VALUE"""),"Phoenix, Arizona")</f>
        <v/>
      </c>
      <c r="K344">
        <f>IFERROR(__xludf.DUMMYFUNCTION("""COMPUTED_VALUE"""),83817.1999999999)</f>
        <v/>
      </c>
    </row>
    <row r="345">
      <c r="J345">
        <f>IFERROR(__xludf.DUMMYFUNCTION("""COMPUTED_VALUE"""),"Montebello, Quebec, Canada")</f>
        <v/>
      </c>
      <c r="K345">
        <f>IFERROR(__xludf.DUMMYFUNCTION("""COMPUTED_VALUE"""),83491.9399999999)</f>
        <v/>
      </c>
    </row>
    <row r="346">
      <c r="J346">
        <f>IFERROR(__xludf.DUMMYFUNCTION("""COMPUTED_VALUE"""),"Prince George, British Columbia, Canada")</f>
        <v/>
      </c>
      <c r="K346">
        <f>IFERROR(__xludf.DUMMYFUNCTION("""COMPUTED_VALUE"""),82881.37)</f>
        <v/>
      </c>
    </row>
    <row r="347">
      <c r="J347">
        <f>IFERROR(__xludf.DUMMYFUNCTION("""COMPUTED_VALUE"""),"Marseille, France")</f>
        <v/>
      </c>
      <c r="K347">
        <f>IFERROR(__xludf.DUMMYFUNCTION("""COMPUTED_VALUE"""),82641.5199999999)</f>
        <v/>
      </c>
    </row>
    <row r="348">
      <c r="J348">
        <f>IFERROR(__xludf.DUMMYFUNCTION("""COMPUTED_VALUE"""),"Abuja, Nigeria")</f>
        <v/>
      </c>
      <c r="K348">
        <f>IFERROR(__xludf.DUMMYFUNCTION("""COMPUTED_VALUE"""),82598.8199999999)</f>
        <v/>
      </c>
    </row>
    <row r="349">
      <c r="J349">
        <f>IFERROR(__xludf.DUMMYFUNCTION("""COMPUTED_VALUE"""),"Libya, Israel, Oman and Saudi Arabia")</f>
        <v/>
      </c>
      <c r="K349">
        <f>IFERROR(__xludf.DUMMYFUNCTION("""COMPUTED_VALUE"""),82358.0099999999)</f>
        <v/>
      </c>
    </row>
    <row r="350">
      <c r="J350">
        <f>IFERROR(__xludf.DUMMYFUNCTION("""COMPUTED_VALUE"""),"Kitchener, Ontario, Canada")</f>
        <v/>
      </c>
      <c r="K350">
        <f>IFERROR(__xludf.DUMMYFUNCTION("""COMPUTED_VALUE"""),81969.45)</f>
        <v/>
      </c>
    </row>
    <row r="351">
      <c r="J351">
        <f>IFERROR(__xludf.DUMMYFUNCTION("""COMPUTED_VALUE"""),"Kitchener, ON")</f>
        <v/>
      </c>
      <c r="K351">
        <f>IFERROR(__xludf.DUMMYFUNCTION("""COMPUTED_VALUE"""),81690.1399999999)</f>
        <v/>
      </c>
    </row>
    <row r="352">
      <c r="J352">
        <f>IFERROR(__xludf.DUMMYFUNCTION("""COMPUTED_VALUE"""),"San Francisco, CA")</f>
        <v/>
      </c>
      <c r="K352">
        <f>IFERROR(__xludf.DUMMYFUNCTION("""COMPUTED_VALUE"""),81440.13)</f>
        <v/>
      </c>
    </row>
    <row r="353">
      <c r="J353">
        <f>IFERROR(__xludf.DUMMYFUNCTION("""COMPUTED_VALUE"""),"Vancouver, British Columbia, Canada; Calgary, Alberta, Canada")</f>
        <v/>
      </c>
      <c r="K353">
        <f>IFERROR(__xludf.DUMMYFUNCTION("""COMPUTED_VALUE"""),81385.89)</f>
        <v/>
      </c>
    </row>
    <row r="354">
      <c r="J354">
        <f>IFERROR(__xludf.DUMMYFUNCTION("""COMPUTED_VALUE"""),"Yellowknife, NT")</f>
        <v/>
      </c>
      <c r="K354">
        <f>IFERROR(__xludf.DUMMYFUNCTION("""COMPUTED_VALUE"""),80991.4199999999)</f>
        <v/>
      </c>
    </row>
    <row r="355">
      <c r="J355">
        <f>IFERROR(__xludf.DUMMYFUNCTION("""COMPUTED_VALUE"""),"Baden-Baden, Germany")</f>
        <v/>
      </c>
      <c r="K355">
        <f>IFERROR(__xludf.DUMMYFUNCTION("""COMPUTED_VALUE"""),80880.3)</f>
        <v/>
      </c>
    </row>
    <row r="356">
      <c r="J356">
        <f>IFERROR(__xludf.DUMMYFUNCTION("""COMPUTED_VALUE"""),"Washington D.C., USA")</f>
        <v/>
      </c>
      <c r="K356">
        <f>IFERROR(__xludf.DUMMYFUNCTION("""COMPUTED_VALUE"""),80434.9899999999)</f>
        <v/>
      </c>
    </row>
    <row r="357">
      <c r="J357">
        <f>IFERROR(__xludf.DUMMYFUNCTION("""COMPUTED_VALUE"""),"Beijing, China - Tokyo, Japan")</f>
        <v/>
      </c>
      <c r="K357">
        <f>IFERROR(__xludf.DUMMYFUNCTION("""COMPUTED_VALUE"""),79433.4)</f>
        <v/>
      </c>
    </row>
    <row r="358">
      <c r="J358">
        <f>IFERROR(__xludf.DUMMYFUNCTION("""COMPUTED_VALUE"""),"Cancun, Mexico")</f>
        <v/>
      </c>
      <c r="K358">
        <f>IFERROR(__xludf.DUMMYFUNCTION("""COMPUTED_VALUE"""),79191.48)</f>
        <v/>
      </c>
    </row>
    <row r="359">
      <c r="J359">
        <f>IFERROR(__xludf.DUMMYFUNCTION("""COMPUTED_VALUE"""),"Regina")</f>
        <v/>
      </c>
      <c r="K359">
        <f>IFERROR(__xludf.DUMMYFUNCTION("""COMPUTED_VALUE"""),77801.45)</f>
        <v/>
      </c>
    </row>
    <row r="360">
      <c r="J360">
        <f>IFERROR(__xludf.DUMMYFUNCTION("""COMPUTED_VALUE"""),"Seoul, Republic of Korea")</f>
        <v/>
      </c>
      <c r="K360">
        <f>IFERROR(__xludf.DUMMYFUNCTION("""COMPUTED_VALUE"""),77434.97)</f>
        <v/>
      </c>
    </row>
    <row r="361">
      <c r="J361">
        <f>IFERROR(__xludf.DUMMYFUNCTION("""COMPUTED_VALUE"""),"Bangalore, India")</f>
        <v/>
      </c>
      <c r="K361">
        <f>IFERROR(__xludf.DUMMYFUNCTION("""COMPUTED_VALUE"""),77293.52)</f>
        <v/>
      </c>
    </row>
    <row r="362">
      <c r="J362">
        <f>IFERROR(__xludf.DUMMYFUNCTION("""COMPUTED_VALUE"""),"Israel")</f>
        <v/>
      </c>
      <c r="K362">
        <f>IFERROR(__xludf.DUMMYFUNCTION("""COMPUTED_VALUE"""),76919.3)</f>
        <v/>
      </c>
    </row>
    <row r="363">
      <c r="J363">
        <f>IFERROR(__xludf.DUMMYFUNCTION("""COMPUTED_VALUE"""),"San Francisco")</f>
        <v/>
      </c>
      <c r="K363">
        <f>IFERROR(__xludf.DUMMYFUNCTION("""COMPUTED_VALUE"""),76510.27)</f>
        <v/>
      </c>
    </row>
    <row r="364">
      <c r="J364">
        <f>IFERROR(__xludf.DUMMYFUNCTION("""COMPUTED_VALUE"""),"Montreal, Quebec, Canada to Ottawa, Ontario, Canada")</f>
        <v/>
      </c>
      <c r="K364">
        <f>IFERROR(__xludf.DUMMYFUNCTION("""COMPUTED_VALUE"""),76163.77)</f>
        <v/>
      </c>
    </row>
    <row r="365">
      <c r="J365">
        <f>IFERROR(__xludf.DUMMYFUNCTION("""COMPUTED_VALUE"""),"France")</f>
        <v/>
      </c>
      <c r="K365">
        <f>IFERROR(__xludf.DUMMYFUNCTION("""COMPUTED_VALUE"""),76143.5999999999)</f>
        <v/>
      </c>
    </row>
    <row r="366">
      <c r="J366">
        <f>IFERROR(__xludf.DUMMYFUNCTION("""COMPUTED_VALUE"""),"Nassau, Bahamas")</f>
        <v/>
      </c>
      <c r="K366">
        <f>IFERROR(__xludf.DUMMYFUNCTION("""COMPUTED_VALUE"""),75587.4299999999)</f>
        <v/>
      </c>
    </row>
    <row r="367">
      <c r="J367">
        <f>IFERROR(__xludf.DUMMYFUNCTION("""COMPUTED_VALUE"""),"Washington DC, United States")</f>
        <v/>
      </c>
      <c r="K367">
        <f>IFERROR(__xludf.DUMMYFUNCTION("""COMPUTED_VALUE"""),75509)</f>
        <v/>
      </c>
    </row>
    <row r="368">
      <c r="J368">
        <f>IFERROR(__xludf.DUMMYFUNCTION("""COMPUTED_VALUE"""),"Krakow, Poland")</f>
        <v/>
      </c>
      <c r="K368">
        <f>IFERROR(__xludf.DUMMYFUNCTION("""COMPUTED_VALUE"""),75435.11)</f>
        <v/>
      </c>
    </row>
    <row r="369">
      <c r="J369">
        <f>IFERROR(__xludf.DUMMYFUNCTION("""COMPUTED_VALUE"""),"Busan, South Korea")</f>
        <v/>
      </c>
      <c r="K369">
        <f>IFERROR(__xludf.DUMMYFUNCTION("""COMPUTED_VALUE"""),74939.3899999999)</f>
        <v/>
      </c>
    </row>
    <row r="370">
      <c r="J370">
        <f>IFERROR(__xludf.DUMMYFUNCTION("""COMPUTED_VALUE"""),"Kazakhstan, UAE, Afghanistan, Vietnam and Hong Kong")</f>
        <v/>
      </c>
      <c r="K370">
        <f>IFERROR(__xludf.DUMMYFUNCTION("""COMPUTED_VALUE"""),74902.66)</f>
        <v/>
      </c>
    </row>
    <row r="371">
      <c r="J371">
        <f>IFERROR(__xludf.DUMMYFUNCTION("""COMPUTED_VALUE"""),"South Africa")</f>
        <v/>
      </c>
      <c r="K371">
        <f>IFERROR(__xludf.DUMMYFUNCTION("""COMPUTED_VALUE"""),74840.79)</f>
        <v/>
      </c>
    </row>
    <row r="372">
      <c r="J372">
        <f>IFERROR(__xludf.DUMMYFUNCTION("""COMPUTED_VALUE"""),"Houston, Texas, United States of America")</f>
        <v/>
      </c>
      <c r="K372">
        <f>IFERROR(__xludf.DUMMYFUNCTION("""COMPUTED_VALUE"""),74727.32)</f>
        <v/>
      </c>
    </row>
    <row r="373">
      <c r="J373">
        <f>IFERROR(__xludf.DUMMYFUNCTION("""COMPUTED_VALUE"""),"Bergen, Norway")</f>
        <v/>
      </c>
      <c r="K373">
        <f>IFERROR(__xludf.DUMMYFUNCTION("""COMPUTED_VALUE"""),74519.8799999999)</f>
        <v/>
      </c>
    </row>
    <row r="374">
      <c r="J374">
        <f>IFERROR(__xludf.DUMMYFUNCTION("""COMPUTED_VALUE"""),"Kingston, ON")</f>
        <v/>
      </c>
      <c r="K374">
        <f>IFERROR(__xludf.DUMMYFUNCTION("""COMPUTED_VALUE"""),74183.92)</f>
        <v/>
      </c>
    </row>
    <row r="375">
      <c r="J375">
        <f>IFERROR(__xludf.DUMMYFUNCTION("""COMPUTED_VALUE"""),"Paris, France, Europe")</f>
        <v/>
      </c>
      <c r="K375">
        <f>IFERROR(__xludf.DUMMYFUNCTION("""COMPUTED_VALUE"""),73964.26)</f>
        <v/>
      </c>
    </row>
    <row r="376">
      <c r="J376">
        <f>IFERROR(__xludf.DUMMYFUNCTION("""COMPUTED_VALUE"""),"Iraq")</f>
        <v/>
      </c>
      <c r="K376">
        <f>IFERROR(__xludf.DUMMYFUNCTION("""COMPUTED_VALUE"""),73926.8199999999)</f>
        <v/>
      </c>
    </row>
    <row r="377">
      <c r="J377">
        <f>IFERROR(__xludf.DUMMYFUNCTION("""COMPUTED_VALUE"""),"Seattle, Washington, United States")</f>
        <v/>
      </c>
      <c r="K377">
        <f>IFERROR(__xludf.DUMMYFUNCTION("""COMPUTED_VALUE"""),73900.35)</f>
        <v/>
      </c>
    </row>
    <row r="378">
      <c r="J378">
        <f>IFERROR(__xludf.DUMMYFUNCTION("""COMPUTED_VALUE"""),"Brampton, Ontario, Canada")</f>
        <v/>
      </c>
      <c r="K378">
        <f>IFERROR(__xludf.DUMMYFUNCTION("""COMPUTED_VALUE"""),73856.48)</f>
        <v/>
      </c>
    </row>
    <row r="379">
      <c r="J379">
        <f>IFERROR(__xludf.DUMMYFUNCTION("""COMPUTED_VALUE"""),"Kuala Lumpur, Malaysia
Manila, Philippines")</f>
        <v/>
      </c>
      <c r="K379">
        <f>IFERROR(__xludf.DUMMYFUNCTION("""COMPUTED_VALUE"""),73673.1)</f>
        <v/>
      </c>
    </row>
    <row r="380">
      <c r="J380">
        <f>IFERROR(__xludf.DUMMYFUNCTION("""COMPUTED_VALUE"""),"Singapore, Republic of Singapore")</f>
        <v/>
      </c>
      <c r="K380">
        <f>IFERROR(__xludf.DUMMYFUNCTION("""COMPUTED_VALUE"""),73321.86)</f>
        <v/>
      </c>
    </row>
    <row r="381">
      <c r="J381">
        <f>IFERROR(__xludf.DUMMYFUNCTION("""COMPUTED_VALUE"""),"St. Petersburg, Russia")</f>
        <v/>
      </c>
      <c r="K381">
        <f>IFERROR(__xludf.DUMMYFUNCTION("""COMPUTED_VALUE"""),72923.73)</f>
        <v/>
      </c>
    </row>
    <row r="382">
      <c r="J382">
        <f>IFERROR(__xludf.DUMMYFUNCTION("""COMPUTED_VALUE"""),"Toronto (Ontario)")</f>
        <v/>
      </c>
      <c r="K382">
        <f>IFERROR(__xludf.DUMMYFUNCTION("""COMPUTED_VALUE"""),72838.8299999999)</f>
        <v/>
      </c>
    </row>
    <row r="383">
      <c r="J383">
        <f>IFERROR(__xludf.DUMMYFUNCTION("""COMPUTED_VALUE"""),"Cornwall, Ontario, Canada")</f>
        <v/>
      </c>
      <c r="K383">
        <f>IFERROR(__xludf.DUMMYFUNCTION("""COMPUTED_VALUE"""),72763.14)</f>
        <v/>
      </c>
    </row>
    <row r="384">
      <c r="J384">
        <f>IFERROR(__xludf.DUMMYFUNCTION("""COMPUTED_VALUE"""),"Charlottetown")</f>
        <v/>
      </c>
      <c r="K384">
        <f>IFERROR(__xludf.DUMMYFUNCTION("""COMPUTED_VALUE"""),72756.1099999999)</f>
        <v/>
      </c>
    </row>
    <row r="385">
      <c r="J385">
        <f>IFERROR(__xludf.DUMMYFUNCTION("""COMPUTED_VALUE"""),"TORONTO, ON")</f>
        <v/>
      </c>
      <c r="K385">
        <f>IFERROR(__xludf.DUMMYFUNCTION("""COMPUTED_VALUE"""),71963.9099999999)</f>
        <v/>
      </c>
    </row>
    <row r="386">
      <c r="J386">
        <f>IFERROR(__xludf.DUMMYFUNCTION("""COMPUTED_VALUE"""),"Niagara-on-the-Lake, Ontario, Canada")</f>
        <v/>
      </c>
      <c r="K386">
        <f>IFERROR(__xludf.DUMMYFUNCTION("""COMPUTED_VALUE"""),71675.6599999999)</f>
        <v/>
      </c>
    </row>
    <row r="387">
      <c r="J387">
        <f>IFERROR(__xludf.DUMMYFUNCTION("""COMPUTED_VALUE"""),"Calgary, AB, Canada")</f>
        <v/>
      </c>
      <c r="K387">
        <f>IFERROR(__xludf.DUMMYFUNCTION("""COMPUTED_VALUE"""),71658.7499999999)</f>
        <v/>
      </c>
    </row>
    <row r="388">
      <c r="J388">
        <f>IFERROR(__xludf.DUMMYFUNCTION("""COMPUTED_VALUE"""),"Budapest, Hungary")</f>
        <v/>
      </c>
      <c r="K388">
        <f>IFERROR(__xludf.DUMMYFUNCTION("""COMPUTED_VALUE"""),71431.2399999999)</f>
        <v/>
      </c>
    </row>
    <row r="389">
      <c r="J389">
        <f>IFERROR(__xludf.DUMMYFUNCTION("""COMPUTED_VALUE"""),"Sarnia, Ontario, Canada")</f>
        <v/>
      </c>
      <c r="K389">
        <f>IFERROR(__xludf.DUMMYFUNCTION("""COMPUTED_VALUE"""),71259.0799999999)</f>
        <v/>
      </c>
    </row>
    <row r="390">
      <c r="J390">
        <f>IFERROR(__xludf.DUMMYFUNCTION("""COMPUTED_VALUE"""),"Windsor, ON")</f>
        <v/>
      </c>
      <c r="K390">
        <f>IFERROR(__xludf.DUMMYFUNCTION("""COMPUTED_VALUE"""),70905.27)</f>
        <v/>
      </c>
    </row>
    <row r="391">
      <c r="J391">
        <f>IFERROR(__xludf.DUMMYFUNCTION("""COMPUTED_VALUE"""),"Halifax, NS, Canada")</f>
        <v/>
      </c>
      <c r="K391">
        <f>IFERROR(__xludf.DUMMYFUNCTION("""COMPUTED_VALUE"""),70850.49)</f>
        <v/>
      </c>
    </row>
    <row r="392">
      <c r="J392">
        <f>IFERROR(__xludf.DUMMYFUNCTION("""COMPUTED_VALUE"""),"Phoenix, Arizona, USA")</f>
        <v/>
      </c>
      <c r="K392">
        <f>IFERROR(__xludf.DUMMYFUNCTION("""COMPUTED_VALUE"""),70285.02)</f>
        <v/>
      </c>
    </row>
    <row r="393">
      <c r="J393">
        <f>IFERROR(__xludf.DUMMYFUNCTION("""COMPUTED_VALUE"""),"Houston, Texas, United States")</f>
        <v/>
      </c>
      <c r="K393">
        <f>IFERROR(__xludf.DUMMYFUNCTION("""COMPUTED_VALUE"""),69851.93)</f>
        <v/>
      </c>
    </row>
    <row r="394">
      <c r="J394">
        <f>IFERROR(__xludf.DUMMYFUNCTION("""COMPUTED_VALUE"""),"Tbilisi, Georgia")</f>
        <v/>
      </c>
      <c r="K394">
        <f>IFERROR(__xludf.DUMMYFUNCTION("""COMPUTED_VALUE"""),69205.56)</f>
        <v/>
      </c>
    </row>
    <row r="395">
      <c r="J395">
        <f>IFERROR(__xludf.DUMMYFUNCTION("""COMPUTED_VALUE"""),"Paris and Brussels")</f>
        <v/>
      </c>
      <c r="K395">
        <f>IFERROR(__xludf.DUMMYFUNCTION("""COMPUTED_VALUE"""),69107.45)</f>
        <v/>
      </c>
    </row>
    <row r="396">
      <c r="J396">
        <f>IFERROR(__xludf.DUMMYFUNCTION("""COMPUTED_VALUE"""),"Accra, Ghana; Berlin, Germany; and, Stockholm, Sweden")</f>
        <v/>
      </c>
      <c r="K396">
        <f>IFERROR(__xludf.DUMMYFUNCTION("""COMPUTED_VALUE"""),68259.48)</f>
        <v/>
      </c>
    </row>
    <row r="397">
      <c r="J397">
        <f>IFERROR(__xludf.DUMMYFUNCTION("""COMPUTED_VALUE"""),"Quito, Ecuador")</f>
        <v/>
      </c>
      <c r="K397">
        <f>IFERROR(__xludf.DUMMYFUNCTION("""COMPUTED_VALUE"""),67760.66)</f>
        <v/>
      </c>
    </row>
    <row r="398">
      <c r="J398">
        <f>IFERROR(__xludf.DUMMYFUNCTION("""COMPUTED_VALUE"""),"New Delhi, Dehli, India")</f>
        <v/>
      </c>
      <c r="K398">
        <f>IFERROR(__xludf.DUMMYFUNCTION("""COMPUTED_VALUE"""),67488.9599999999)</f>
        <v/>
      </c>
    </row>
    <row r="399">
      <c r="J399">
        <f>IFERROR(__xludf.DUMMYFUNCTION("""COMPUTED_VALUE"""),"Calgary (Alberta) Canada")</f>
        <v/>
      </c>
      <c r="K399">
        <f>IFERROR(__xludf.DUMMYFUNCTION("""COMPUTED_VALUE"""),67075.0199999999)</f>
        <v/>
      </c>
    </row>
    <row r="400">
      <c r="J400">
        <f>IFERROR(__xludf.DUMMYFUNCTION("""COMPUTED_VALUE"""),"Gothenburg, Sweden")</f>
        <v/>
      </c>
      <c r="K400">
        <f>IFERROR(__xludf.DUMMYFUNCTION("""COMPUTED_VALUE"""),67024.5499999999)</f>
        <v/>
      </c>
    </row>
    <row r="401">
      <c r="J401">
        <f>IFERROR(__xludf.DUMMYFUNCTION("""COMPUTED_VALUE"""),"Abu Dhabi")</f>
        <v/>
      </c>
      <c r="K401">
        <f>IFERROR(__xludf.DUMMYFUNCTION("""COMPUTED_VALUE"""),66830.5799999999)</f>
        <v/>
      </c>
    </row>
    <row r="402">
      <c r="J402">
        <f>IFERROR(__xludf.DUMMYFUNCTION("""COMPUTED_VALUE"""),"Toronto, Ontario, Canada; Ottawa, Ontario, Canada")</f>
        <v/>
      </c>
      <c r="K402">
        <f>IFERROR(__xludf.DUMMYFUNCTION("""COMPUTED_VALUE"""),66815.97)</f>
        <v/>
      </c>
    </row>
    <row r="403">
      <c r="J403">
        <f>IFERROR(__xludf.DUMMYFUNCTION("""COMPUTED_VALUE"""),"Dakar, Senegal")</f>
        <v/>
      </c>
      <c r="K403">
        <f>IFERROR(__xludf.DUMMYFUNCTION("""COMPUTED_VALUE"""),66672.62)</f>
        <v/>
      </c>
    </row>
    <row r="404">
      <c r="J404">
        <f>IFERROR(__xludf.DUMMYFUNCTION("""COMPUTED_VALUE"""),"New York City")</f>
        <v/>
      </c>
      <c r="K404">
        <f>IFERROR(__xludf.DUMMYFUNCTION("""COMPUTED_VALUE"""),66567.7099999999)</f>
        <v/>
      </c>
    </row>
    <row r="405">
      <c r="J405">
        <f>IFERROR(__xludf.DUMMYFUNCTION("""COMPUTED_VALUE"""),"Vancouver, British Columbia, Canada; Edmonton, Alberta, Canada")</f>
        <v/>
      </c>
      <c r="K405">
        <f>IFERROR(__xludf.DUMMYFUNCTION("""COMPUTED_VALUE"""),66526.6299999999)</f>
        <v/>
      </c>
    </row>
    <row r="406">
      <c r="J406">
        <f>IFERROR(__xludf.DUMMYFUNCTION("""COMPUTED_VALUE"""),"Waterloo, Ontario")</f>
        <v/>
      </c>
      <c r="K406">
        <f>IFERROR(__xludf.DUMMYFUNCTION("""COMPUTED_VALUE"""),66296.61)</f>
        <v/>
      </c>
    </row>
    <row r="407">
      <c r="J407">
        <f>IFERROR(__xludf.DUMMYFUNCTION("""COMPUTED_VALUE"""),"Boston, MA")</f>
        <v/>
      </c>
      <c r="K407">
        <f>IFERROR(__xludf.DUMMYFUNCTION("""COMPUTED_VALUE"""),65979.36)</f>
        <v/>
      </c>
    </row>
    <row r="408">
      <c r="J408">
        <f>IFERROR(__xludf.DUMMYFUNCTION("""COMPUTED_VALUE"""),"France, Belgium, Netherlands")</f>
        <v/>
      </c>
      <c r="K408">
        <f>IFERROR(__xludf.DUMMYFUNCTION("""COMPUTED_VALUE"""),65953.01)</f>
        <v/>
      </c>
    </row>
    <row r="409">
      <c r="J409">
        <f>IFERROR(__xludf.DUMMYFUNCTION("""COMPUTED_VALUE"""),"New Delhi")</f>
        <v/>
      </c>
      <c r="K409">
        <f>IFERROR(__xludf.DUMMYFUNCTION("""COMPUTED_VALUE"""),65503.24)</f>
        <v/>
      </c>
    </row>
    <row r="410">
      <c r="J410">
        <f>IFERROR(__xludf.DUMMYFUNCTION("""COMPUTED_VALUE"""),"Houston, Texas")</f>
        <v/>
      </c>
      <c r="K410">
        <f>IFERROR(__xludf.DUMMYFUNCTION("""COMPUTED_VALUE"""),65395.38)</f>
        <v/>
      </c>
    </row>
    <row r="411">
      <c r="J411">
        <f>IFERROR(__xludf.DUMMYFUNCTION("""COMPUTED_VALUE"""),"Washington (District of Columbia) United States")</f>
        <v/>
      </c>
      <c r="K411">
        <f>IFERROR(__xludf.DUMMYFUNCTION("""COMPUTED_VALUE"""),65264.98)</f>
        <v/>
      </c>
    </row>
    <row r="412">
      <c r="J412">
        <f>IFERROR(__xludf.DUMMYFUNCTION("""COMPUTED_VALUE"""),"Gatineau, QC")</f>
        <v/>
      </c>
      <c r="K412">
        <f>IFERROR(__xludf.DUMMYFUNCTION("""COMPUTED_VALUE"""),64826.2699999999)</f>
        <v/>
      </c>
    </row>
    <row r="413">
      <c r="J413">
        <f>IFERROR(__xludf.DUMMYFUNCTION("""COMPUTED_VALUE"""),"Laval, Quebec")</f>
        <v/>
      </c>
      <c r="K413">
        <f>IFERROR(__xludf.DUMMYFUNCTION("""COMPUTED_VALUE"""),64789.8799999999)</f>
        <v/>
      </c>
    </row>
    <row r="414">
      <c r="J414">
        <f>IFERROR(__xludf.DUMMYFUNCTION("""COMPUTED_VALUE"""),"Panama City, Panama")</f>
        <v/>
      </c>
      <c r="K414">
        <f>IFERROR(__xludf.DUMMYFUNCTION("""COMPUTED_VALUE"""),64732.93)</f>
        <v/>
      </c>
    </row>
    <row r="415">
      <c r="J415">
        <f>IFERROR(__xludf.DUMMYFUNCTION("""COMPUTED_VALUE"""),"Ottawa - Charlottetown - Ottawa")</f>
        <v/>
      </c>
      <c r="K415">
        <f>IFERROR(__xludf.DUMMYFUNCTION("""COMPUTED_VALUE"""),64729.18)</f>
        <v/>
      </c>
    </row>
    <row r="416">
      <c r="J416">
        <f>IFERROR(__xludf.DUMMYFUNCTION("""COMPUTED_VALUE"""),"Delhi Singapore Beijing, India Singapore China")</f>
        <v/>
      </c>
      <c r="K416">
        <f>IFERROR(__xludf.DUMMYFUNCTION("""COMPUTED_VALUE"""),64551.1899999999)</f>
        <v/>
      </c>
    </row>
    <row r="417">
      <c r="J417">
        <f>IFERROR(__xludf.DUMMYFUNCTION("""COMPUTED_VALUE"""),"Alberta")</f>
        <v/>
      </c>
      <c r="K417">
        <f>IFERROR(__xludf.DUMMYFUNCTION("""COMPUTED_VALUE"""),64499.4599999999)</f>
        <v/>
      </c>
    </row>
    <row r="418">
      <c r="J418">
        <f>IFERROR(__xludf.DUMMYFUNCTION("""COMPUTED_VALUE"""),"Varanasi, India")</f>
        <v/>
      </c>
      <c r="K418">
        <f>IFERROR(__xludf.DUMMYFUNCTION("""COMPUTED_VALUE"""),64389.74)</f>
        <v/>
      </c>
    </row>
    <row r="419">
      <c r="J419">
        <f>IFERROR(__xludf.DUMMYFUNCTION("""COMPUTED_VALUE"""),"Buenos Aires, Argentina - Bariloche, Argentina")</f>
        <v/>
      </c>
      <c r="K419">
        <f>IFERROR(__xludf.DUMMYFUNCTION("""COMPUTED_VALUE"""),64211.6799999999)</f>
        <v/>
      </c>
    </row>
    <row r="420">
      <c r="J420">
        <f>IFERROR(__xludf.DUMMYFUNCTION("""COMPUTED_VALUE"""),"Paris and London")</f>
        <v/>
      </c>
      <c r="K420">
        <f>IFERROR(__xludf.DUMMYFUNCTION("""COMPUTED_VALUE"""),64175.07)</f>
        <v/>
      </c>
    </row>
    <row r="421">
      <c r="J421">
        <f>IFERROR(__xludf.DUMMYFUNCTION("""COMPUTED_VALUE"""),"Beijing, China / Tianjin, China / Shenzhen, China / Hong Kong, Hong Kong")</f>
        <v/>
      </c>
      <c r="K421">
        <f>IFERROR(__xludf.DUMMYFUNCTION("""COMPUTED_VALUE"""),63654.15)</f>
        <v/>
      </c>
    </row>
    <row r="422">
      <c r="J422">
        <f>IFERROR(__xludf.DUMMYFUNCTION("""COMPUTED_VALUE"""),"Istanbul")</f>
        <v/>
      </c>
      <c r="K422">
        <f>IFERROR(__xludf.DUMMYFUNCTION("""COMPUTED_VALUE"""),63508.49)</f>
        <v/>
      </c>
    </row>
    <row r="423">
      <c r="J423">
        <f>IFERROR(__xludf.DUMMYFUNCTION("""COMPUTED_VALUE"""),"Paris, Paris, France")</f>
        <v/>
      </c>
      <c r="K423">
        <f>IFERROR(__xludf.DUMMYFUNCTION("""COMPUTED_VALUE"""),63453.27)</f>
        <v/>
      </c>
    </row>
    <row r="424">
      <c r="J424">
        <f>IFERROR(__xludf.DUMMYFUNCTION("""COMPUTED_VALUE"""),"Ottawa, ON; Toronto, ON; Montreal, QC")</f>
        <v/>
      </c>
      <c r="K424">
        <f>IFERROR(__xludf.DUMMYFUNCTION("""COMPUTED_VALUE"""),63361.4999999999)</f>
        <v/>
      </c>
    </row>
    <row r="425">
      <c r="J425">
        <f>IFERROR(__xludf.DUMMYFUNCTION("""COMPUTED_VALUE"""),"New York, New York, USA")</f>
        <v/>
      </c>
      <c r="K425">
        <f>IFERROR(__xludf.DUMMYFUNCTION("""COMPUTED_VALUE"""),63238.14)</f>
        <v/>
      </c>
    </row>
    <row r="426">
      <c r="J426">
        <f>IFERROR(__xludf.DUMMYFUNCTION("""COMPUTED_VALUE"""),"Rome, Italy; Brussels, Belgium")</f>
        <v/>
      </c>
      <c r="K426">
        <f>IFERROR(__xludf.DUMMYFUNCTION("""COMPUTED_VALUE"""),62893.99)</f>
        <v/>
      </c>
    </row>
    <row r="427">
      <c r="J427">
        <f>IFERROR(__xludf.DUMMYFUNCTION("""COMPUTED_VALUE"""),"Guelph, Ontario, Canada")</f>
        <v/>
      </c>
      <c r="K427">
        <f>IFERROR(__xludf.DUMMYFUNCTION("""COMPUTED_VALUE"""),62657.34)</f>
        <v/>
      </c>
    </row>
    <row r="428">
      <c r="J428">
        <f>IFERROR(__xludf.DUMMYFUNCTION("""COMPUTED_VALUE"""),"Orlando, Florida")</f>
        <v/>
      </c>
      <c r="K428">
        <f>IFERROR(__xludf.DUMMYFUNCTION("""COMPUTED_VALUE"""),62502.48)</f>
        <v/>
      </c>
    </row>
    <row r="429">
      <c r="J429">
        <f>IFERROR(__xludf.DUMMYFUNCTION("""COMPUTED_VALUE"""),"Rio")</f>
        <v/>
      </c>
      <c r="K429">
        <f>IFERROR(__xludf.DUMMYFUNCTION("""COMPUTED_VALUE"""),62039.66)</f>
        <v/>
      </c>
    </row>
    <row r="430">
      <c r="J430">
        <f>IFERROR(__xludf.DUMMYFUNCTION("""COMPUTED_VALUE"""),"VANCOUVER, BC")</f>
        <v/>
      </c>
      <c r="K430">
        <f>IFERROR(__xludf.DUMMYFUNCTION("""COMPUTED_VALUE"""),61992.2899999999)</f>
        <v/>
      </c>
    </row>
    <row r="431">
      <c r="J431">
        <f>IFERROR(__xludf.DUMMYFUNCTION("""COMPUTED_VALUE"""),"Sendai, Japan")</f>
        <v/>
      </c>
      <c r="K431">
        <f>IFERROR(__xludf.DUMMYFUNCTION("""COMPUTED_VALUE"""),61886.82)</f>
        <v/>
      </c>
    </row>
    <row r="432">
      <c r="J432">
        <f>IFERROR(__xludf.DUMMYFUNCTION("""COMPUTED_VALUE"""),"Addis Ababa, Ethiopia")</f>
        <v/>
      </c>
      <c r="K432">
        <f>IFERROR(__xludf.DUMMYFUNCTION("""COMPUTED_VALUE"""),61758.54)</f>
        <v/>
      </c>
    </row>
    <row r="433">
      <c r="J433">
        <f>IFERROR(__xludf.DUMMYFUNCTION("""COMPUTED_VALUE"""),"Yerevan, Armenia")</f>
        <v/>
      </c>
      <c r="K433">
        <f>IFERROR(__xludf.DUMMYFUNCTION("""COMPUTED_VALUE"""),61693.2899999999)</f>
        <v/>
      </c>
    </row>
    <row r="434">
      <c r="J434">
        <f>IFERROR(__xludf.DUMMYFUNCTION("""COMPUTED_VALUE"""),"KSA, Kuwait, UAE, Israel and West Bank")</f>
        <v/>
      </c>
      <c r="K434">
        <f>IFERROR(__xludf.DUMMYFUNCTION("""COMPUTED_VALUE"""),61641.92)</f>
        <v/>
      </c>
    </row>
    <row r="435">
      <c r="J435">
        <f>IFERROR(__xludf.DUMMYFUNCTION("""COMPUTED_VALUE"""),"Kamloops, British Columbia, Canada")</f>
        <v/>
      </c>
      <c r="K435">
        <f>IFERROR(__xludf.DUMMYFUNCTION("""COMPUTED_VALUE"""),61629.2)</f>
        <v/>
      </c>
    </row>
    <row r="436">
      <c r="J436">
        <f>IFERROR(__xludf.DUMMYFUNCTION("""COMPUTED_VALUE"""),"Not applicable")</f>
        <v/>
      </c>
      <c r="K436">
        <f>IFERROR(__xludf.DUMMYFUNCTION("""COMPUTED_VALUE"""),61476.98)</f>
        <v/>
      </c>
    </row>
    <row r="437">
      <c r="J437">
        <f>IFERROR(__xludf.DUMMYFUNCTION("""COMPUTED_VALUE"""),"London UK")</f>
        <v/>
      </c>
      <c r="K437">
        <f>IFERROR(__xludf.DUMMYFUNCTION("""COMPUTED_VALUE"""),61233.39)</f>
        <v/>
      </c>
    </row>
    <row r="438">
      <c r="J438">
        <f>IFERROR(__xludf.DUMMYFUNCTION("""COMPUTED_VALUE"""),"Mumbai, India - New Delhi, India")</f>
        <v/>
      </c>
      <c r="K438">
        <f>IFERROR(__xludf.DUMMYFUNCTION("""COMPUTED_VALUE"""),61231.68)</f>
        <v/>
      </c>
    </row>
    <row r="439">
      <c r="J439">
        <f>IFERROR(__xludf.DUMMYFUNCTION("""COMPUTED_VALUE"""),"Laval, Quebec, Canada")</f>
        <v/>
      </c>
      <c r="K439">
        <f>IFERROR(__xludf.DUMMYFUNCTION("""COMPUTED_VALUE"""),61135.18)</f>
        <v/>
      </c>
    </row>
    <row r="440">
      <c r="J440">
        <f>IFERROR(__xludf.DUMMYFUNCTION("""COMPUTED_VALUE"""),"Incheon, South Korea")</f>
        <v/>
      </c>
      <c r="K440">
        <f>IFERROR(__xludf.DUMMYFUNCTION("""COMPUTED_VALUE"""),61085.73)</f>
        <v/>
      </c>
    </row>
    <row r="441">
      <c r="J441">
        <f>IFERROR(__xludf.DUMMYFUNCTION("""COMPUTED_VALUE"""),"Québec, Québec")</f>
        <v/>
      </c>
      <c r="K441">
        <f>IFERROR(__xludf.DUMMYFUNCTION("""COMPUTED_VALUE"""),61012.1099999999)</f>
        <v/>
      </c>
    </row>
    <row r="442">
      <c r="J442">
        <f>IFERROR(__xludf.DUMMYFUNCTION("""COMPUTED_VALUE"""),"Toulouse, France")</f>
        <v/>
      </c>
      <c r="K442">
        <f>IFERROR(__xludf.DUMMYFUNCTION("""COMPUTED_VALUE"""),60611.67)</f>
        <v/>
      </c>
    </row>
    <row r="443">
      <c r="J443">
        <f>IFERROR(__xludf.DUMMYFUNCTION("""COMPUTED_VALUE"""),"Kingston, Jamaica")</f>
        <v/>
      </c>
      <c r="K443">
        <f>IFERROR(__xludf.DUMMYFUNCTION("""COMPUTED_VALUE"""),60550.75)</f>
        <v/>
      </c>
    </row>
    <row r="444">
      <c r="J444">
        <f>IFERROR(__xludf.DUMMYFUNCTION("""COMPUTED_VALUE"""),"Vancouver, British Columbia (Canada)")</f>
        <v/>
      </c>
      <c r="K444">
        <f>IFERROR(__xludf.DUMMYFUNCTION("""COMPUTED_VALUE"""),60510.91)</f>
        <v/>
      </c>
    </row>
    <row r="445">
      <c r="J445">
        <f>IFERROR(__xludf.DUMMYFUNCTION("""COMPUTED_VALUE"""),"Sydney, Australia; Canberra, Australia")</f>
        <v/>
      </c>
      <c r="K445">
        <f>IFERROR(__xludf.DUMMYFUNCTION("""COMPUTED_VALUE"""),60157.78)</f>
        <v/>
      </c>
    </row>
    <row r="446">
      <c r="J446">
        <f>IFERROR(__xludf.DUMMYFUNCTION("""COMPUTED_VALUE"""),"Port Moresby, Papua New Guinea")</f>
        <v/>
      </c>
      <c r="K446">
        <f>IFERROR(__xludf.DUMMYFUNCTION("""COMPUTED_VALUE"""),60150.88)</f>
        <v/>
      </c>
    </row>
    <row r="447">
      <c r="J447">
        <f>IFERROR(__xludf.DUMMYFUNCTION("""COMPUTED_VALUE"""),"Moncton, New-Brunswick")</f>
        <v/>
      </c>
      <c r="K447">
        <f>IFERROR(__xludf.DUMMYFUNCTION("""COMPUTED_VALUE"""),59844.88)</f>
        <v/>
      </c>
    </row>
    <row r="448">
      <c r="J448">
        <f>IFERROR(__xludf.DUMMYFUNCTION("""COMPUTED_VALUE"""),"Cambridge, Ontario, Canada")</f>
        <v/>
      </c>
      <c r="K448">
        <f>IFERROR(__xludf.DUMMYFUNCTION("""COMPUTED_VALUE"""),59555.4199999999)</f>
        <v/>
      </c>
    </row>
    <row r="449">
      <c r="J449">
        <f>IFERROR(__xludf.DUMMYFUNCTION("""COMPUTED_VALUE"""),"Ottawa - Toronto - Ottawa")</f>
        <v/>
      </c>
      <c r="K449">
        <f>IFERROR(__xludf.DUMMYFUNCTION("""COMPUTED_VALUE"""),59236.81)</f>
        <v/>
      </c>
    </row>
    <row r="450">
      <c r="J450">
        <f>IFERROR(__xludf.DUMMYFUNCTION("""COMPUTED_VALUE"""),"Deer Lake, Newfoundland and Labrador, Canada")</f>
        <v/>
      </c>
      <c r="K450">
        <f>IFERROR(__xludf.DUMMYFUNCTION("""COMPUTED_VALUE"""),59145.8399999999)</f>
        <v/>
      </c>
    </row>
    <row r="451">
      <c r="J451">
        <f>IFERROR(__xludf.DUMMYFUNCTION("""COMPUTED_VALUE"""),"Oxford, United Kingdom")</f>
        <v/>
      </c>
      <c r="K451">
        <f>IFERROR(__xludf.DUMMYFUNCTION("""COMPUTED_VALUE"""),58885.67)</f>
        <v/>
      </c>
    </row>
    <row r="452">
      <c r="J452">
        <f>IFERROR(__xludf.DUMMYFUNCTION("""COMPUTED_VALUE"""),"Fukuoka, Japan")</f>
        <v/>
      </c>
      <c r="K452">
        <f>IFERROR(__xludf.DUMMYFUNCTION("""COMPUTED_VALUE"""),58550.39)</f>
        <v/>
      </c>
    </row>
    <row r="453">
      <c r="J453">
        <f>IFERROR(__xludf.DUMMYFUNCTION("""COMPUTED_VALUE"""),"Ottawa (ON), Canada")</f>
        <v/>
      </c>
      <c r="K453">
        <f>IFERROR(__xludf.DUMMYFUNCTION("""COMPUTED_VALUE"""),58157.42)</f>
        <v/>
      </c>
    </row>
    <row r="454">
      <c r="J454">
        <f>IFERROR(__xludf.DUMMYFUNCTION("""COMPUTED_VALUE"""),"Penticton, British Columbia, Canada")</f>
        <v/>
      </c>
      <c r="K454">
        <f>IFERROR(__xludf.DUMMYFUNCTION("""COMPUTED_VALUE"""),58132.4499999999)</f>
        <v/>
      </c>
    </row>
    <row r="455">
      <c r="J455">
        <f>IFERROR(__xludf.DUMMYFUNCTION("""COMPUTED_VALUE"""),"London and Paris")</f>
        <v/>
      </c>
      <c r="K455">
        <f>IFERROR(__xludf.DUMMYFUNCTION("""COMPUTED_VALUE"""),58082.24)</f>
        <v/>
      </c>
    </row>
    <row r="456">
      <c r="J456">
        <f>IFERROR(__xludf.DUMMYFUNCTION("""COMPUTED_VALUE"""),"Montréal, Quebec")</f>
        <v/>
      </c>
      <c r="K456">
        <f>IFERROR(__xludf.DUMMYFUNCTION("""COMPUTED_VALUE"""),58044.93)</f>
        <v/>
      </c>
    </row>
    <row r="457">
      <c r="J457">
        <f>IFERROR(__xludf.DUMMYFUNCTION("""COMPUTED_VALUE"""),"Hong Kong, China")</f>
        <v/>
      </c>
      <c r="K457">
        <f>IFERROR(__xludf.DUMMYFUNCTION("""COMPUTED_VALUE"""),58020.37)</f>
        <v/>
      </c>
    </row>
    <row r="458">
      <c r="J458">
        <f>IFERROR(__xludf.DUMMYFUNCTION("""COMPUTED_VALUE"""),"Paris, Cairo, Bahrain &amp; Amman")</f>
        <v/>
      </c>
      <c r="K458">
        <f>IFERROR(__xludf.DUMMYFUNCTION("""COMPUTED_VALUE"""),57819.52)</f>
        <v/>
      </c>
    </row>
    <row r="459">
      <c r="J459">
        <f>IFERROR(__xludf.DUMMYFUNCTION("""COMPUTED_VALUE"""),"Vancouver, British Columbia, Canada; Winnipeg, Manitoba, Canada")</f>
        <v/>
      </c>
      <c r="K459">
        <f>IFERROR(__xludf.DUMMYFUNCTION("""COMPUTED_VALUE"""),57737.25)</f>
        <v/>
      </c>
    </row>
    <row r="460">
      <c r="J460">
        <f>IFERROR(__xludf.DUMMYFUNCTION("""COMPUTED_VALUE"""),"Changi, Singapore
Tokyo, Japan")</f>
        <v/>
      </c>
      <c r="K460">
        <f>IFERROR(__xludf.DUMMYFUNCTION("""COMPUTED_VALUE"""),57684.03)</f>
        <v/>
      </c>
    </row>
    <row r="461">
      <c r="J461">
        <f>IFERROR(__xludf.DUMMYFUNCTION("""COMPUTED_VALUE"""),"Kyiv, Ukraine")</f>
        <v/>
      </c>
      <c r="K461">
        <f>IFERROR(__xludf.DUMMYFUNCTION("""COMPUTED_VALUE"""),57657.09)</f>
        <v/>
      </c>
    </row>
    <row r="462">
      <c r="J462">
        <f>IFERROR(__xludf.DUMMYFUNCTION("""COMPUTED_VALUE"""),"Gaspé, Quebec, Canada")</f>
        <v/>
      </c>
      <c r="K462">
        <f>IFERROR(__xludf.DUMMYFUNCTION("""COMPUTED_VALUE"""),57577.91)</f>
        <v/>
      </c>
    </row>
    <row r="463">
      <c r="J463">
        <f>IFERROR(__xludf.DUMMYFUNCTION("""COMPUTED_VALUE"""),"Fort McMurray, Alberta")</f>
        <v/>
      </c>
      <c r="K463">
        <f>IFERROR(__xludf.DUMMYFUNCTION("""COMPUTED_VALUE"""),57498.02)</f>
        <v/>
      </c>
    </row>
    <row r="464">
      <c r="J464">
        <f>IFERROR(__xludf.DUMMYFUNCTION("""COMPUTED_VALUE"""),"Nice, France")</f>
        <v/>
      </c>
      <c r="K464">
        <f>IFERROR(__xludf.DUMMYFUNCTION("""COMPUTED_VALUE"""),57450.11)</f>
        <v/>
      </c>
    </row>
    <row r="465">
      <c r="J465">
        <f>IFERROR(__xludf.DUMMYFUNCTION("""COMPUTED_VALUE"""),"Hangzhou, China")</f>
        <v/>
      </c>
      <c r="K465">
        <f>IFERROR(__xludf.DUMMYFUNCTION("""COMPUTED_VALUE"""),57336.33)</f>
        <v/>
      </c>
    </row>
    <row r="466">
      <c r="J466">
        <f>IFERROR(__xludf.DUMMYFUNCTION("""COMPUTED_VALUE"""),"Darwin, Australia")</f>
        <v/>
      </c>
      <c r="K466">
        <f>IFERROR(__xludf.DUMMYFUNCTION("""COMPUTED_VALUE"""),57299)</f>
        <v/>
      </c>
    </row>
    <row r="467">
      <c r="J467">
        <f>IFERROR(__xludf.DUMMYFUNCTION("""COMPUTED_VALUE"""),"Hiroshima, Japan")</f>
        <v/>
      </c>
      <c r="K467">
        <f>IFERROR(__xludf.DUMMYFUNCTION("""COMPUTED_VALUE"""),57294.59)</f>
        <v/>
      </c>
    </row>
    <row r="468">
      <c r="J468">
        <f>IFERROR(__xludf.DUMMYFUNCTION("""COMPUTED_VALUE"""),"Tokyo, Japan; Singapore, Singapore")</f>
        <v/>
      </c>
      <c r="K468">
        <f>IFERROR(__xludf.DUMMYFUNCTION("""COMPUTED_VALUE"""),57160.61)</f>
        <v/>
      </c>
    </row>
    <row r="469">
      <c r="J469">
        <f>IFERROR(__xludf.DUMMYFUNCTION("""COMPUTED_VALUE"""),"Honolulu, HI / Beijing, China / Tokyo, Japan")</f>
        <v/>
      </c>
      <c r="K469">
        <f>IFERROR(__xludf.DUMMYFUNCTION("""COMPUTED_VALUE"""),56742.1799999999)</f>
        <v/>
      </c>
    </row>
    <row r="470">
      <c r="J470">
        <f>IFERROR(__xludf.DUMMYFUNCTION("""COMPUTED_VALUE"""),"Bogota, Colombia")</f>
        <v/>
      </c>
      <c r="K470">
        <f>IFERROR(__xludf.DUMMYFUNCTION("""COMPUTED_VALUE"""),56363.8699999999)</f>
        <v/>
      </c>
    </row>
    <row r="471">
      <c r="J471">
        <f>IFERROR(__xludf.DUMMYFUNCTION("""COMPUTED_VALUE"""),"Iqaluit")</f>
        <v/>
      </c>
      <c r="K471">
        <f>IFERROR(__xludf.DUMMYFUNCTION("""COMPUTED_VALUE"""),56292.1)</f>
        <v/>
      </c>
    </row>
    <row r="472">
      <c r="J472">
        <f>IFERROR(__xludf.DUMMYFUNCTION("""COMPUTED_VALUE"""),"Ethiopia, Egypt &amp; Chad")</f>
        <v/>
      </c>
      <c r="K472">
        <f>IFERROR(__xludf.DUMMYFUNCTION("""COMPUTED_VALUE"""),56281.03)</f>
        <v/>
      </c>
    </row>
    <row r="473">
      <c r="J473">
        <f>IFERROR(__xludf.DUMMYFUNCTION("""COMPUTED_VALUE"""),"Tokyo, Japan
Miyazaki, Japan
Singapore")</f>
        <v/>
      </c>
      <c r="K473">
        <f>IFERROR(__xludf.DUMMYFUNCTION("""COMPUTED_VALUE"""),56182.34)</f>
        <v/>
      </c>
    </row>
    <row r="474">
      <c r="J474">
        <f>IFERROR(__xludf.DUMMYFUNCTION("""COMPUTED_VALUE"""),"Brisbane, Queensland, Australia")</f>
        <v/>
      </c>
      <c r="K474">
        <f>IFERROR(__xludf.DUMMYFUNCTION("""COMPUTED_VALUE"""),56086.05)</f>
        <v/>
      </c>
    </row>
    <row r="475">
      <c r="J475">
        <f>IFERROR(__xludf.DUMMYFUNCTION("""COMPUTED_VALUE"""),"South Korea")</f>
        <v/>
      </c>
      <c r="K475">
        <f>IFERROR(__xludf.DUMMYFUNCTION("""COMPUTED_VALUE"""),56010.32)</f>
        <v/>
      </c>
    </row>
    <row r="476">
      <c r="J476">
        <f>IFERROR(__xludf.DUMMYFUNCTION("""COMPUTED_VALUE"""),"Philippines")</f>
        <v/>
      </c>
      <c r="K476">
        <f>IFERROR(__xludf.DUMMYFUNCTION("""COMPUTED_VALUE"""),55940.4799999999)</f>
        <v/>
      </c>
    </row>
    <row r="477">
      <c r="J477">
        <f>IFERROR(__xludf.DUMMYFUNCTION("""COMPUTED_VALUE"""),"London, United Kingdom &amp; Republic of Malta")</f>
        <v/>
      </c>
      <c r="K477">
        <f>IFERROR(__xludf.DUMMYFUNCTION("""COMPUTED_VALUE"""),55851.63)</f>
        <v/>
      </c>
    </row>
    <row r="478">
      <c r="J478">
        <f>IFERROR(__xludf.DUMMYFUNCTION("""COMPUTED_VALUE"""),"Sharm El Sheikh, Egypt")</f>
        <v/>
      </c>
      <c r="K478">
        <f>IFERROR(__xludf.DUMMYFUNCTION("""COMPUTED_VALUE"""),55627.3199999999)</f>
        <v/>
      </c>
    </row>
    <row r="479">
      <c r="J479">
        <f>IFERROR(__xludf.DUMMYFUNCTION("""COMPUTED_VALUE"""),"Niagara-on-the-Lake, Ontario")</f>
        <v/>
      </c>
      <c r="K479">
        <f>IFERROR(__xludf.DUMMYFUNCTION("""COMPUTED_VALUE"""),55607.5599999999)</f>
        <v/>
      </c>
    </row>
    <row r="480">
      <c r="J480">
        <f>IFERROR(__xludf.DUMMYFUNCTION("""COMPUTED_VALUE"""),"Moncton, NB - Ottawa, ON / Ottawa, ON - Moncton, NB")</f>
        <v/>
      </c>
      <c r="K480">
        <f>IFERROR(__xludf.DUMMYFUNCTION("""COMPUTED_VALUE"""),55601.9199999999)</f>
        <v/>
      </c>
    </row>
    <row r="481">
      <c r="J481">
        <f>IFERROR(__xludf.DUMMYFUNCTION("""COMPUTED_VALUE"""),"Yaoundé, Cameroon")</f>
        <v/>
      </c>
      <c r="K481">
        <f>IFERROR(__xludf.DUMMYFUNCTION("""COMPUTED_VALUE"""),55489.2)</f>
        <v/>
      </c>
    </row>
    <row r="482">
      <c r="J482">
        <f>IFERROR(__xludf.DUMMYFUNCTION("""COMPUTED_VALUE"""),"New York City, New York")</f>
        <v/>
      </c>
      <c r="K482">
        <f>IFERROR(__xludf.DUMMYFUNCTION("""COMPUTED_VALUE"""),55367.35)</f>
        <v/>
      </c>
    </row>
    <row r="483">
      <c r="J483">
        <f>IFERROR(__xludf.DUMMYFUNCTION("""COMPUTED_VALUE"""),"Ottawa, Ontario, Canada; Toronto, Ontario, Canada")</f>
        <v/>
      </c>
      <c r="K483">
        <f>IFERROR(__xludf.DUMMYFUNCTION("""COMPUTED_VALUE"""),54545.55)</f>
        <v/>
      </c>
    </row>
    <row r="484">
      <c r="J484">
        <f>IFERROR(__xludf.DUMMYFUNCTION("""COMPUTED_VALUE"""),"Cannes, France")</f>
        <v/>
      </c>
      <c r="K484">
        <f>IFERROR(__xludf.DUMMYFUNCTION("""COMPUTED_VALUE"""),54529.2799999999)</f>
        <v/>
      </c>
    </row>
    <row r="485">
      <c r="J485">
        <f>IFERROR(__xludf.DUMMYFUNCTION("""COMPUTED_VALUE"""),"Bogota, Columbia")</f>
        <v/>
      </c>
      <c r="K485">
        <f>IFERROR(__xludf.DUMMYFUNCTION("""COMPUTED_VALUE"""),54388.9)</f>
        <v/>
      </c>
    </row>
    <row r="486">
      <c r="J486">
        <f>IFERROR(__xludf.DUMMYFUNCTION("""COMPUTED_VALUE"""),"Hanoi, VN &amp; New Delhi, IN")</f>
        <v/>
      </c>
      <c r="K486">
        <f>IFERROR(__xludf.DUMMYFUNCTION("""COMPUTED_VALUE"""),54371.09)</f>
        <v/>
      </c>
    </row>
    <row r="487">
      <c r="J487">
        <f>IFERROR(__xludf.DUMMYFUNCTION("""COMPUTED_VALUE"""),"Tokyo, Japan / Osaka, Japan / Nagoya, Japan")</f>
        <v/>
      </c>
      <c r="K487">
        <f>IFERROR(__xludf.DUMMYFUNCTION("""COMPUTED_VALUE"""),54317.65)</f>
        <v/>
      </c>
    </row>
    <row r="488">
      <c r="J488">
        <f>IFERROR(__xludf.DUMMYFUNCTION("""COMPUTED_VALUE"""),"Ramstein, Germany")</f>
        <v/>
      </c>
      <c r="K488">
        <f>IFERROR(__xludf.DUMMYFUNCTION("""COMPUTED_VALUE"""),54157.11)</f>
        <v/>
      </c>
    </row>
    <row r="489">
      <c r="J489">
        <f>IFERROR(__xludf.DUMMYFUNCTION("""COMPUTED_VALUE"""),"Kelowna, British Columbia")</f>
        <v/>
      </c>
      <c r="K489">
        <f>IFERROR(__xludf.DUMMYFUNCTION("""COMPUTED_VALUE"""),53818.77)</f>
        <v/>
      </c>
    </row>
    <row r="490">
      <c r="J490">
        <f>IFERROR(__xludf.DUMMYFUNCTION("""COMPUTED_VALUE"""),"Kandahar and Kabul, Afghanistan")</f>
        <v/>
      </c>
      <c r="K490">
        <f>IFERROR(__xludf.DUMMYFUNCTION("""COMPUTED_VALUE"""),53748.3)</f>
        <v/>
      </c>
    </row>
    <row r="491">
      <c r="J491">
        <f>IFERROR(__xludf.DUMMYFUNCTION("""COMPUTED_VALUE"""),"Beijing, Shanghai and Hong Kong")</f>
        <v/>
      </c>
      <c r="K491">
        <f>IFERROR(__xludf.DUMMYFUNCTION("""COMPUTED_VALUE"""),53689.6599999999)</f>
        <v/>
      </c>
    </row>
    <row r="492">
      <c r="J492">
        <f>IFERROR(__xludf.DUMMYFUNCTION("""COMPUTED_VALUE"""),"Calgary, AB, Vancouver, BC")</f>
        <v/>
      </c>
      <c r="K492">
        <f>IFERROR(__xludf.DUMMYFUNCTION("""COMPUTED_VALUE"""),53667.63)</f>
        <v/>
      </c>
    </row>
    <row r="493">
      <c r="J493">
        <f>IFERROR(__xludf.DUMMYFUNCTION("""COMPUTED_VALUE"""),"(Manila) Philippines
(Bali) Indonesia")</f>
        <v/>
      </c>
      <c r="K493">
        <f>IFERROR(__xludf.DUMMYFUNCTION("""COMPUTED_VALUE"""),53635.89)</f>
        <v/>
      </c>
    </row>
    <row r="494">
      <c r="J494">
        <f>IFERROR(__xludf.DUMMYFUNCTION("""COMPUTED_VALUE"""),"Saskatoon (Saskatchewan) Canada")</f>
        <v/>
      </c>
      <c r="K494">
        <f>IFERROR(__xludf.DUMMYFUNCTION("""COMPUTED_VALUE"""),53560.71)</f>
        <v/>
      </c>
    </row>
    <row r="495">
      <c r="J495">
        <f>IFERROR(__xludf.DUMMYFUNCTION("""COMPUTED_VALUE"""),"Bremen, Germany")</f>
        <v/>
      </c>
      <c r="K495">
        <f>IFERROR(__xludf.DUMMYFUNCTION("""COMPUTED_VALUE"""),53536.2899999999)</f>
        <v/>
      </c>
    </row>
    <row r="496">
      <c r="J496">
        <f>IFERROR(__xludf.DUMMYFUNCTION("""COMPUTED_VALUE"""),"Miami, Florida, United States")</f>
        <v/>
      </c>
      <c r="K496">
        <f>IFERROR(__xludf.DUMMYFUNCTION("""COMPUTED_VALUE"""),53514.76)</f>
        <v/>
      </c>
    </row>
    <row r="497">
      <c r="J497">
        <f>IFERROR(__xludf.DUMMYFUNCTION("""COMPUTED_VALUE"""),"Korea, Singapore, India and Afghanistan")</f>
        <v/>
      </c>
      <c r="K497">
        <f>IFERROR(__xludf.DUMMYFUNCTION("""COMPUTED_VALUE"""),53187.42)</f>
        <v/>
      </c>
    </row>
    <row r="498">
      <c r="J498">
        <f>IFERROR(__xludf.DUMMYFUNCTION("""COMPUTED_VALUE"""),"São Paulo, Brazil")</f>
        <v/>
      </c>
      <c r="K498">
        <f>IFERROR(__xludf.DUMMYFUNCTION("""COMPUTED_VALUE"""),53172.08)</f>
        <v/>
      </c>
    </row>
    <row r="499">
      <c r="J499">
        <f>IFERROR(__xludf.DUMMYFUNCTION("""COMPUTED_VALUE"""),"Haikou Canton, China")</f>
        <v/>
      </c>
      <c r="K499">
        <f>IFERROR(__xludf.DUMMYFUNCTION("""COMPUTED_VALUE"""),53110.84)</f>
        <v/>
      </c>
    </row>
    <row r="500">
      <c r="J500">
        <f>IFERROR(__xludf.DUMMYFUNCTION("""COMPUTED_VALUE"""),"Shawinigan, Quebec, Canada")</f>
        <v/>
      </c>
      <c r="K500">
        <f>IFERROR(__xludf.DUMMYFUNCTION("""COMPUTED_VALUE"""),53015.85)</f>
        <v/>
      </c>
    </row>
    <row r="501">
      <c r="J501">
        <f>IFERROR(__xludf.DUMMYFUNCTION("""COMPUTED_VALUE"""),"Vienna")</f>
        <v/>
      </c>
      <c r="K501">
        <f>IFERROR(__xludf.DUMMYFUNCTION("""COMPUTED_VALUE"""),52962.6)</f>
        <v/>
      </c>
    </row>
    <row r="502">
      <c r="J502">
        <f>IFERROR(__xludf.DUMMYFUNCTION("""COMPUTED_VALUE"""),"Brasilia")</f>
        <v/>
      </c>
      <c r="K502">
        <f>IFERROR(__xludf.DUMMYFUNCTION("""COMPUTED_VALUE"""),52903.83)</f>
        <v/>
      </c>
    </row>
    <row r="503">
      <c r="J503">
        <f>IFERROR(__xludf.DUMMYFUNCTION("""COMPUTED_VALUE"""),"Prince Rupert, British Columbia")</f>
        <v/>
      </c>
      <c r="K503">
        <f>IFERROR(__xludf.DUMMYFUNCTION("""COMPUTED_VALUE"""),52862.67)</f>
        <v/>
      </c>
    </row>
    <row r="504">
      <c r="J504">
        <f>IFERROR(__xludf.DUMMYFUNCTION("""COMPUTED_VALUE"""),"Edmonton, Alberta, Canada; Calgary, Alberta, Canada")</f>
        <v/>
      </c>
      <c r="K504">
        <f>IFERROR(__xludf.DUMMYFUNCTION("""COMPUTED_VALUE"""),52823.15)</f>
        <v/>
      </c>
    </row>
    <row r="505">
      <c r="J505">
        <f>IFERROR(__xludf.DUMMYFUNCTION("""COMPUTED_VALUE"""),"Paris, France; London, United Kingdom")</f>
        <v/>
      </c>
      <c r="K505">
        <f>IFERROR(__xludf.DUMMYFUNCTION("""COMPUTED_VALUE"""),52767.3699999999)</f>
        <v/>
      </c>
    </row>
    <row r="506">
      <c r="J506">
        <f>IFERROR(__xludf.DUMMYFUNCTION("""COMPUTED_VALUE"""),"Sydney and Canberra, Australia")</f>
        <v/>
      </c>
      <c r="K506">
        <f>IFERROR(__xludf.DUMMYFUNCTION("""COMPUTED_VALUE"""),52736.33)</f>
        <v/>
      </c>
    </row>
    <row r="507">
      <c r="J507">
        <f>IFERROR(__xludf.DUMMYFUNCTION("""COMPUTED_VALUE"""),"Boston, USA")</f>
        <v/>
      </c>
      <c r="K507">
        <f>IFERROR(__xludf.DUMMYFUNCTION("""COMPUTED_VALUE"""),52633.38)</f>
        <v/>
      </c>
    </row>
    <row r="508">
      <c r="J508">
        <f>IFERROR(__xludf.DUMMYFUNCTION("""COMPUTED_VALUE"""),"Ancona, Italy")</f>
        <v/>
      </c>
      <c r="K508">
        <f>IFERROR(__xludf.DUMMYFUNCTION("""COMPUTED_VALUE"""),52277.94)</f>
        <v/>
      </c>
    </row>
    <row r="509">
      <c r="J509">
        <f>IFERROR(__xludf.DUMMYFUNCTION("""COMPUTED_VALUE"""),"Fortaleza, Brazil")</f>
        <v/>
      </c>
      <c r="K509">
        <f>IFERROR(__xludf.DUMMYFUNCTION("""COMPUTED_VALUE"""),52262.93)</f>
        <v/>
      </c>
    </row>
    <row r="510">
      <c r="J510">
        <f>IFERROR(__xludf.DUMMYFUNCTION("""COMPUTED_VALUE"""),"St-John's, NL")</f>
        <v/>
      </c>
      <c r="K510">
        <f>IFERROR(__xludf.DUMMYFUNCTION("""COMPUTED_VALUE"""),52251.0499999999)</f>
        <v/>
      </c>
    </row>
    <row r="511">
      <c r="J511">
        <f>IFERROR(__xludf.DUMMYFUNCTION("""COMPUTED_VALUE"""),"Toronto, On")</f>
        <v/>
      </c>
      <c r="K511">
        <f>IFERROR(__xludf.DUMMYFUNCTION("""COMPUTED_VALUE"""),52195.28)</f>
        <v/>
      </c>
    </row>
    <row r="512">
      <c r="J512">
        <f>IFERROR(__xludf.DUMMYFUNCTION("""COMPUTED_VALUE"""),"Glasgow, Scotland")</f>
        <v/>
      </c>
      <c r="K512">
        <f>IFERROR(__xludf.DUMMYFUNCTION("""COMPUTED_VALUE"""),52139.34)</f>
        <v/>
      </c>
    </row>
    <row r="513">
      <c r="J513">
        <f>IFERROR(__xludf.DUMMYFUNCTION("""COMPUTED_VALUE"""),"London, Great Britain")</f>
        <v/>
      </c>
      <c r="K513">
        <f>IFERROR(__xludf.DUMMYFUNCTION("""COMPUTED_VALUE"""),52057.36)</f>
        <v/>
      </c>
    </row>
    <row r="514">
      <c r="J514">
        <f>IFERROR(__xludf.DUMMYFUNCTION("""COMPUTED_VALUE"""),"Tirana, Albania")</f>
        <v/>
      </c>
      <c r="K514">
        <f>IFERROR(__xludf.DUMMYFUNCTION("""COMPUTED_VALUE"""),51984.61)</f>
        <v/>
      </c>
    </row>
    <row r="515">
      <c r="J515">
        <f>IFERROR(__xludf.DUMMYFUNCTION("""COMPUTED_VALUE"""),"New York, New York, United States &amp; Montreal, Quebec, Canada")</f>
        <v/>
      </c>
      <c r="K515">
        <f>IFERROR(__xludf.DUMMYFUNCTION("""COMPUTED_VALUE"""),51953.08)</f>
        <v/>
      </c>
    </row>
    <row r="516">
      <c r="J516">
        <f>IFERROR(__xludf.DUMMYFUNCTION("""COMPUTED_VALUE"""),"Hong Kong, Hong Kong &amp; Shanghai, China")</f>
        <v/>
      </c>
      <c r="K516">
        <f>IFERROR(__xludf.DUMMYFUNCTION("""COMPUTED_VALUE"""),51899.36)</f>
        <v/>
      </c>
    </row>
    <row r="517">
      <c r="J517">
        <f>IFERROR(__xludf.DUMMYFUNCTION("""COMPUTED_VALUE"""),"Goose Bay, Newfoundland and Labrador, Canada")</f>
        <v/>
      </c>
      <c r="K517">
        <f>IFERROR(__xludf.DUMMYFUNCTION("""COMPUTED_VALUE"""),51807.28)</f>
        <v/>
      </c>
    </row>
    <row r="518">
      <c r="J518">
        <f>IFERROR(__xludf.DUMMYFUNCTION("""COMPUTED_VALUE"""),"Whistler, BC")</f>
        <v/>
      </c>
      <c r="K518">
        <f>IFERROR(__xludf.DUMMYFUNCTION("""COMPUTED_VALUE"""),51762.96)</f>
        <v/>
      </c>
    </row>
    <row r="519">
      <c r="J519">
        <f>IFERROR(__xludf.DUMMYFUNCTION("""COMPUTED_VALUE"""),"Casablanca, Morocco")</f>
        <v/>
      </c>
      <c r="K519">
        <f>IFERROR(__xludf.DUMMYFUNCTION("""COMPUTED_VALUE"""),51725.92)</f>
        <v/>
      </c>
    </row>
    <row r="520">
      <c r="J520">
        <f>IFERROR(__xludf.DUMMYFUNCTION("""COMPUTED_VALUE"""),"Montreal (Quebec) Canada")</f>
        <v/>
      </c>
      <c r="K520">
        <f>IFERROR(__xludf.DUMMYFUNCTION("""COMPUTED_VALUE"""),51709.74)</f>
        <v/>
      </c>
    </row>
    <row r="521">
      <c r="J521">
        <f>IFERROR(__xludf.DUMMYFUNCTION("""COMPUTED_VALUE"""),"New Delhi, IN / Bangalore, IN / Mumbai, IN")</f>
        <v/>
      </c>
      <c r="K521">
        <f>IFERROR(__xludf.DUMMYFUNCTION("""COMPUTED_VALUE"""),51703.24)</f>
        <v/>
      </c>
    </row>
    <row r="522">
      <c r="J522">
        <f>IFERROR(__xludf.DUMMYFUNCTION("""COMPUTED_VALUE"""),"Port of Spain, Trinidad and Tobago")</f>
        <v/>
      </c>
      <c r="K522">
        <f>IFERROR(__xludf.DUMMYFUNCTION("""COMPUTED_VALUE"""),51493.91)</f>
        <v/>
      </c>
    </row>
    <row r="523">
      <c r="J523">
        <f>IFERROR(__xludf.DUMMYFUNCTION("""COMPUTED_VALUE"""),"Stuttgart, Germany")</f>
        <v/>
      </c>
      <c r="K523">
        <f>IFERROR(__xludf.DUMMYFUNCTION("""COMPUTED_VALUE"""),51203.1)</f>
        <v/>
      </c>
    </row>
    <row r="524">
      <c r="J524">
        <f>IFERROR(__xludf.DUMMYFUNCTION("""COMPUTED_VALUE"""),"Saint John, NB")</f>
        <v/>
      </c>
      <c r="K524">
        <f>IFERROR(__xludf.DUMMYFUNCTION("""COMPUTED_VALUE"""),51187.77)</f>
        <v/>
      </c>
    </row>
    <row r="525">
      <c r="J525">
        <f>IFERROR(__xludf.DUMMYFUNCTION("""COMPUTED_VALUE"""),"Hamilton, ON")</f>
        <v/>
      </c>
      <c r="K525">
        <f>IFERROR(__xludf.DUMMYFUNCTION("""COMPUTED_VALUE"""),51120.1)</f>
        <v/>
      </c>
    </row>
    <row r="526">
      <c r="J526">
        <f>IFERROR(__xludf.DUMMYFUNCTION("""COMPUTED_VALUE"""),"San Francisco, CA, USA")</f>
        <v/>
      </c>
      <c r="K526">
        <f>IFERROR(__xludf.DUMMYFUNCTION("""COMPUTED_VALUE"""),51037.62)</f>
        <v/>
      </c>
    </row>
    <row r="527">
      <c r="J527">
        <f>IFERROR(__xludf.DUMMYFUNCTION("""COMPUTED_VALUE"""),"Montreal, London (U.K.) and Ethiopia")</f>
        <v/>
      </c>
      <c r="K527">
        <f>IFERROR(__xludf.DUMMYFUNCTION("""COMPUTED_VALUE"""),51004.8999999999)</f>
        <v/>
      </c>
    </row>
    <row r="528">
      <c r="J528">
        <f>IFERROR(__xludf.DUMMYFUNCTION("""COMPUTED_VALUE"""),"Farnborough, United Kingdom")</f>
        <v/>
      </c>
      <c r="K528">
        <f>IFERROR(__xludf.DUMMYFUNCTION("""COMPUTED_VALUE"""),50848.17)</f>
        <v/>
      </c>
    </row>
    <row r="529">
      <c r="J529">
        <f>IFERROR(__xludf.DUMMYFUNCTION("""COMPUTED_VALUE"""),"Montebello, QC")</f>
        <v/>
      </c>
      <c r="K529">
        <f>IFERROR(__xludf.DUMMYFUNCTION("""COMPUTED_VALUE"""),50743.56)</f>
        <v/>
      </c>
    </row>
    <row r="530">
      <c r="J530">
        <f>IFERROR(__xludf.DUMMYFUNCTION("""COMPUTED_VALUE"""),"Colorado Springs, Colorado, United States")</f>
        <v/>
      </c>
      <c r="K530">
        <f>IFERROR(__xludf.DUMMYFUNCTION("""COMPUTED_VALUE"""),50625.82)</f>
        <v/>
      </c>
    </row>
    <row r="531">
      <c r="J531">
        <f>IFERROR(__xludf.DUMMYFUNCTION("""COMPUTED_VALUE"""),"Melbourne")</f>
        <v/>
      </c>
      <c r="K531">
        <f>IFERROR(__xludf.DUMMYFUNCTION("""COMPUTED_VALUE"""),50381.65)</f>
        <v/>
      </c>
    </row>
    <row r="532">
      <c r="J532">
        <f>IFERROR(__xludf.DUMMYFUNCTION("""COMPUTED_VALUE"""),"New Delhi, IN / Pune, IN")</f>
        <v/>
      </c>
      <c r="K532">
        <f>IFERROR(__xludf.DUMMYFUNCTION("""COMPUTED_VALUE"""),50340.13)</f>
        <v/>
      </c>
    </row>
    <row r="533">
      <c r="J533">
        <f>IFERROR(__xludf.DUMMYFUNCTION("""COMPUTED_VALUE"""),"Abou Dabi, UAE")</f>
        <v/>
      </c>
      <c r="K533">
        <f>IFERROR(__xludf.DUMMYFUNCTION("""COMPUTED_VALUE"""),50338.87)</f>
        <v/>
      </c>
    </row>
    <row r="534">
      <c r="J534">
        <f>IFERROR(__xludf.DUMMYFUNCTION("""COMPUTED_VALUE"""),"Liverpool")</f>
        <v/>
      </c>
      <c r="K534">
        <f>IFERROR(__xludf.DUMMYFUNCTION("""COMPUTED_VALUE"""),50256.89)</f>
        <v/>
      </c>
    </row>
    <row r="535">
      <c r="J535">
        <f>IFERROR(__xludf.DUMMYFUNCTION("""COMPUTED_VALUE"""),"Ankara and London, Turkey and United Kingdom")</f>
        <v/>
      </c>
      <c r="K535">
        <f>IFERROR(__xludf.DUMMYFUNCTION("""COMPUTED_VALUE"""),50239.71)</f>
        <v/>
      </c>
    </row>
    <row r="536">
      <c r="J536">
        <f>IFERROR(__xludf.DUMMYFUNCTION("""COMPUTED_VALUE"""),"Coolum, Australia")</f>
        <v/>
      </c>
      <c r="K536">
        <f>IFERROR(__xludf.DUMMYFUNCTION("""COMPUTED_VALUE"""),50002.67)</f>
        <v/>
      </c>
    </row>
    <row r="537">
      <c r="J537">
        <f>IFERROR(__xludf.DUMMYFUNCTION("""COMPUTED_VALUE"""),"London, United Kingdom; Dublin, Ireland")</f>
        <v/>
      </c>
      <c r="K537">
        <f>IFERROR(__xludf.DUMMYFUNCTION("""COMPUTED_VALUE"""),49867.23)</f>
        <v/>
      </c>
    </row>
    <row r="538">
      <c r="J538">
        <f>IFERROR(__xludf.DUMMYFUNCTION("""COMPUTED_VALUE"""),"Singapore, Seoul, Tokyo")</f>
        <v/>
      </c>
      <c r="K538">
        <f>IFERROR(__xludf.DUMMYFUNCTION("""COMPUTED_VALUE"""),49850)</f>
        <v/>
      </c>
    </row>
    <row r="539">
      <c r="J539">
        <f>IFERROR(__xludf.DUMMYFUNCTION("""COMPUTED_VALUE"""),"Kenya")</f>
        <v/>
      </c>
      <c r="K539">
        <f>IFERROR(__xludf.DUMMYFUNCTION("""COMPUTED_VALUE"""),49782.61)</f>
        <v/>
      </c>
    </row>
    <row r="540">
      <c r="J540">
        <f>IFERROR(__xludf.DUMMYFUNCTION("""COMPUTED_VALUE"""),"Tromso, Norway")</f>
        <v/>
      </c>
      <c r="K540">
        <f>IFERROR(__xludf.DUMMYFUNCTION("""COMPUTED_VALUE"""),49734.47)</f>
        <v/>
      </c>
    </row>
    <row r="541">
      <c r="J541">
        <f>IFERROR(__xludf.DUMMYFUNCTION("""COMPUTED_VALUE"""),"Belém, Brazil")</f>
        <v/>
      </c>
      <c r="K541">
        <f>IFERROR(__xludf.DUMMYFUNCTION("""COMPUTED_VALUE"""),49627.57)</f>
        <v/>
      </c>
    </row>
    <row r="542">
      <c r="J542">
        <f>IFERROR(__xludf.DUMMYFUNCTION("""COMPUTED_VALUE"""),"Rzeszow, Poland")</f>
        <v/>
      </c>
      <c r="K542">
        <f>IFERROR(__xludf.DUMMYFUNCTION("""COMPUTED_VALUE"""),49580.6199999999)</f>
        <v/>
      </c>
    </row>
    <row r="543">
      <c r="J543">
        <f>IFERROR(__xludf.DUMMYFUNCTION("""COMPUTED_VALUE"""),"Edinburgh, Scotland")</f>
        <v/>
      </c>
      <c r="K543">
        <f>IFERROR(__xludf.DUMMYFUNCTION("""COMPUTED_VALUE"""),49573.54)</f>
        <v/>
      </c>
    </row>
    <row r="544">
      <c r="J544">
        <f>IFERROR(__xludf.DUMMYFUNCTION("""COMPUTED_VALUE"""),"Mozambique and Mali")</f>
        <v/>
      </c>
      <c r="K544">
        <f>IFERROR(__xludf.DUMMYFUNCTION("""COMPUTED_VALUE"""),49563.75)</f>
        <v/>
      </c>
    </row>
    <row r="545">
      <c r="J545">
        <f>IFERROR(__xludf.DUMMYFUNCTION("""COMPUTED_VALUE"""),"Ottawa-Charlottetown-Ottawa")</f>
        <v/>
      </c>
      <c r="K545">
        <f>IFERROR(__xludf.DUMMYFUNCTION("""COMPUTED_VALUE"""),49525.8)</f>
        <v/>
      </c>
    </row>
    <row r="546">
      <c r="J546">
        <f>IFERROR(__xludf.DUMMYFUNCTION("""COMPUTED_VALUE"""),"Vancouver, British Columbia, Canada; Whitehorse, Yukon, Canada")</f>
        <v/>
      </c>
      <c r="K546">
        <f>IFERROR(__xludf.DUMMYFUNCTION("""COMPUTED_VALUE"""),49074.0099999999)</f>
        <v/>
      </c>
    </row>
    <row r="547">
      <c r="J547">
        <f>IFERROR(__xludf.DUMMYFUNCTION("""COMPUTED_VALUE"""),"Cali, Colombia")</f>
        <v/>
      </c>
      <c r="K547">
        <f>IFERROR(__xludf.DUMMYFUNCTION("""COMPUTED_VALUE"""),49070.88)</f>
        <v/>
      </c>
    </row>
    <row r="548">
      <c r="J548">
        <f>IFERROR(__xludf.DUMMYFUNCTION("""COMPUTED_VALUE"""),"Philadelphia, Pennsylvania, United States")</f>
        <v/>
      </c>
      <c r="K548">
        <f>IFERROR(__xludf.DUMMYFUNCTION("""COMPUTED_VALUE"""),49044.13)</f>
        <v/>
      </c>
    </row>
    <row r="549">
      <c r="J549">
        <f>IFERROR(__xludf.DUMMYFUNCTION("""COMPUTED_VALUE"""),"Colorado Springs")</f>
        <v/>
      </c>
      <c r="K549">
        <f>IFERROR(__xludf.DUMMYFUNCTION("""COMPUTED_VALUE"""),49027.99)</f>
        <v/>
      </c>
    </row>
    <row r="550">
      <c r="J550">
        <f>IFERROR(__xludf.DUMMYFUNCTION("""COMPUTED_VALUE"""),"London, United Kingdom; Vienna, Austria")</f>
        <v/>
      </c>
      <c r="K550">
        <f>IFERROR(__xludf.DUMMYFUNCTION("""COMPUTED_VALUE"""),48999.13)</f>
        <v/>
      </c>
    </row>
    <row r="551">
      <c r="J551">
        <f>IFERROR(__xludf.DUMMYFUNCTION("""COMPUTED_VALUE"""),"South Africa and Tanzania")</f>
        <v/>
      </c>
      <c r="K551">
        <f>IFERROR(__xludf.DUMMYFUNCTION("""COMPUTED_VALUE"""),48872.97)</f>
        <v/>
      </c>
    </row>
    <row r="552">
      <c r="J552">
        <f>IFERROR(__xludf.DUMMYFUNCTION("""COMPUTED_VALUE"""),"PyeongChang, (South Korea)")</f>
        <v/>
      </c>
      <c r="K552">
        <f>IFERROR(__xludf.DUMMYFUNCTION("""COMPUTED_VALUE"""),48860.28)</f>
        <v/>
      </c>
    </row>
    <row r="553">
      <c r="J553">
        <f>IFERROR(__xludf.DUMMYFUNCTION("""COMPUTED_VALUE"""),"St.John's, Newfoundland and Labrador, Canada")</f>
        <v/>
      </c>
      <c r="K553">
        <f>IFERROR(__xludf.DUMMYFUNCTION("""COMPUTED_VALUE"""),48845.52)</f>
        <v/>
      </c>
    </row>
    <row r="554">
      <c r="J554">
        <f>IFERROR(__xludf.DUMMYFUNCTION("""COMPUTED_VALUE"""),"Bordeaux, France")</f>
        <v/>
      </c>
      <c r="K554">
        <f>IFERROR(__xludf.DUMMYFUNCTION("""COMPUTED_VALUE"""),48793.95)</f>
        <v/>
      </c>
    </row>
    <row r="555">
      <c r="J555">
        <f>IFERROR(__xludf.DUMMYFUNCTION("""COMPUTED_VALUE"""),"Winnipeg, Canada")</f>
        <v/>
      </c>
      <c r="K555">
        <f>IFERROR(__xludf.DUMMYFUNCTION("""COMPUTED_VALUE"""),48657.99)</f>
        <v/>
      </c>
    </row>
    <row r="556">
      <c r="J556">
        <f>IFERROR(__xludf.DUMMYFUNCTION("""COMPUTED_VALUE"""),"SYDNEY, AUSTRALIA")</f>
        <v/>
      </c>
      <c r="K556">
        <f>IFERROR(__xludf.DUMMYFUNCTION("""COMPUTED_VALUE"""),48544.51)</f>
        <v/>
      </c>
    </row>
    <row r="557">
      <c r="J557">
        <f>IFERROR(__xludf.DUMMYFUNCTION("""COMPUTED_VALUE"""),"Hanoi Jakarta Suva, Vietnam Indonesia Fiji")</f>
        <v/>
      </c>
      <c r="K557">
        <f>IFERROR(__xludf.DUMMYFUNCTION("""COMPUTED_VALUE"""),48513.53)</f>
        <v/>
      </c>
    </row>
    <row r="558">
      <c r="J558">
        <f>IFERROR(__xludf.DUMMYFUNCTION("""COMPUTED_VALUE"""),"Sofia, Bulgaria; Riga Latvia")</f>
        <v/>
      </c>
      <c r="K558">
        <f>IFERROR(__xludf.DUMMYFUNCTION("""COMPUTED_VALUE"""),48416.48)</f>
        <v/>
      </c>
    </row>
    <row r="559">
      <c r="J559">
        <f>IFERROR(__xludf.DUMMYFUNCTION("""COMPUTED_VALUE"""),"Beijing, China; Shanghai, China")</f>
        <v/>
      </c>
      <c r="K559">
        <f>IFERROR(__xludf.DUMMYFUNCTION("""COMPUTED_VALUE"""),48405.27)</f>
        <v/>
      </c>
    </row>
    <row r="560">
      <c r="J560">
        <f>IFERROR(__xludf.DUMMYFUNCTION("""COMPUTED_VALUE"""),"Miramichi, New Brunswick, Canada")</f>
        <v/>
      </c>
      <c r="K560">
        <f>IFERROR(__xludf.DUMMYFUNCTION("""COMPUTED_VALUE"""),48364.41)</f>
        <v/>
      </c>
    </row>
    <row r="561">
      <c r="J561">
        <f>IFERROR(__xludf.DUMMYFUNCTION("""COMPUTED_VALUE"""),"Dartmouth, Nova Scotia, Canada")</f>
        <v/>
      </c>
      <c r="K561">
        <f>IFERROR(__xludf.DUMMYFUNCTION("""COMPUTED_VALUE"""),48332.3599999999)</f>
        <v/>
      </c>
    </row>
    <row r="562">
      <c r="J562">
        <f>IFERROR(__xludf.DUMMYFUNCTION("""COMPUTED_VALUE"""),"Ghana")</f>
        <v/>
      </c>
      <c r="K562">
        <f>IFERROR(__xludf.DUMMYFUNCTION("""COMPUTED_VALUE"""),48326.33)</f>
        <v/>
      </c>
    </row>
    <row r="563">
      <c r="J563">
        <f>IFERROR(__xludf.DUMMYFUNCTION("""COMPUTED_VALUE"""),"Vientiane")</f>
        <v/>
      </c>
      <c r="K563">
        <f>IFERROR(__xludf.DUMMYFUNCTION("""COMPUTED_VALUE"""),48245.21)</f>
        <v/>
      </c>
    </row>
    <row r="564">
      <c r="J564">
        <f>IFERROR(__xludf.DUMMYFUNCTION("""COMPUTED_VALUE"""),"Banff, AB")</f>
        <v/>
      </c>
      <c r="K564">
        <f>IFERROR(__xludf.DUMMYFUNCTION("""COMPUTED_VALUE"""),48185.17)</f>
        <v/>
      </c>
    </row>
    <row r="565">
      <c r="J565">
        <f>IFERROR(__xludf.DUMMYFUNCTION("""COMPUTED_VALUE"""),"Lebanon, Belgium, Germany")</f>
        <v/>
      </c>
      <c r="K565">
        <f>IFERROR(__xludf.DUMMYFUNCTION("""COMPUTED_VALUE"""),48080.56)</f>
        <v/>
      </c>
    </row>
    <row r="566">
      <c r="J566">
        <f>IFERROR(__xludf.DUMMYFUNCTION("""COMPUTED_VALUE"""),"Hanoi, Vietnam
Tokyo, Japan
Seoul, South Korea")</f>
        <v/>
      </c>
      <c r="K566">
        <f>IFERROR(__xludf.DUMMYFUNCTION("""COMPUTED_VALUE"""),47958.14)</f>
        <v/>
      </c>
    </row>
    <row r="567">
      <c r="J567">
        <f>IFERROR(__xludf.DUMMYFUNCTION("""COMPUTED_VALUE"""),"Beijing")</f>
        <v/>
      </c>
      <c r="K567">
        <f>IFERROR(__xludf.DUMMYFUNCTION("""COMPUTED_VALUE"""),47942.36)</f>
        <v/>
      </c>
    </row>
    <row r="568">
      <c r="J568">
        <f>IFERROR(__xludf.DUMMYFUNCTION("""COMPUTED_VALUE"""),"Madrid, Spain; Brussels, Belgium; Rome, Italy")</f>
        <v/>
      </c>
      <c r="K568">
        <f>IFERROR(__xludf.DUMMYFUNCTION("""COMPUTED_VALUE"""),47905.78)</f>
        <v/>
      </c>
    </row>
    <row r="569">
      <c r="J569">
        <f>IFERROR(__xludf.DUMMYFUNCTION("""COMPUTED_VALUE"""),"New Delhi, India and Dubai, United Arab Emirates")</f>
        <v/>
      </c>
      <c r="K569">
        <f>IFERROR(__xludf.DUMMYFUNCTION("""COMPUTED_VALUE"""),47839.1)</f>
        <v/>
      </c>
    </row>
    <row r="570">
      <c r="J570">
        <f>IFERROR(__xludf.DUMMYFUNCTION("""COMPUTED_VALUE"""),"Yokohama, Japan")</f>
        <v/>
      </c>
      <c r="K570">
        <f>IFERROR(__xludf.DUMMYFUNCTION("""COMPUTED_VALUE"""),47803.33)</f>
        <v/>
      </c>
    </row>
    <row r="571">
      <c r="J571">
        <f>IFERROR(__xludf.DUMMYFUNCTION("""COMPUTED_VALUE"""),"Florence, Italy")</f>
        <v/>
      </c>
      <c r="K571">
        <f>IFERROR(__xludf.DUMMYFUNCTION("""COMPUTED_VALUE"""),47744.7599999999)</f>
        <v/>
      </c>
    </row>
    <row r="572">
      <c r="J572">
        <f>IFERROR(__xludf.DUMMYFUNCTION("""COMPUTED_VALUE"""),"Russia and Ukraine")</f>
        <v/>
      </c>
      <c r="K572">
        <f>IFERROR(__xludf.DUMMYFUNCTION("""COMPUTED_VALUE"""),47736.22)</f>
        <v/>
      </c>
    </row>
    <row r="573">
      <c r="J573">
        <f>IFERROR(__xludf.DUMMYFUNCTION("""COMPUTED_VALUE"""),"Kyoto, Jakarta")</f>
        <v/>
      </c>
      <c r="K573">
        <f>IFERROR(__xludf.DUMMYFUNCTION("""COMPUTED_VALUE"""),47720.65)</f>
        <v/>
      </c>
    </row>
    <row r="574">
      <c r="J574">
        <f>IFERROR(__xludf.DUMMYFUNCTION("""COMPUTED_VALUE"""),"Royalmount, Quebec, Canada")</f>
        <v/>
      </c>
      <c r="K574">
        <f>IFERROR(__xludf.DUMMYFUNCTION("""COMPUTED_VALUE"""),47644.7399999999)</f>
        <v/>
      </c>
    </row>
    <row r="575">
      <c r="J575">
        <f>IFERROR(__xludf.DUMMYFUNCTION("""COMPUTED_VALUE"""),"Tokyo, Japan; Auckland, New Zealand")</f>
        <v/>
      </c>
      <c r="K575">
        <f>IFERROR(__xludf.DUMMYFUNCTION("""COMPUTED_VALUE"""),47605.08)</f>
        <v/>
      </c>
    </row>
    <row r="576">
      <c r="J576">
        <f>IFERROR(__xludf.DUMMYFUNCTION("""COMPUTED_VALUE"""),"Australia and New Zealand")</f>
        <v/>
      </c>
      <c r="K576">
        <f>IFERROR(__xludf.DUMMYFUNCTION("""COMPUTED_VALUE"""),47321.55)</f>
        <v/>
      </c>
    </row>
    <row r="577">
      <c r="J577">
        <f>IFERROR(__xludf.DUMMYFUNCTION("""COMPUTED_VALUE"""),"Kuwait City, Kuwait")</f>
        <v/>
      </c>
      <c r="K577">
        <f>IFERROR(__xludf.DUMMYFUNCTION("""COMPUTED_VALUE"""),47157.17)</f>
        <v/>
      </c>
    </row>
    <row r="578">
      <c r="J578">
        <f>IFERROR(__xludf.DUMMYFUNCTION("""COMPUTED_VALUE"""),"Mendoza, Argentina")</f>
        <v/>
      </c>
      <c r="K578">
        <f>IFERROR(__xludf.DUMMYFUNCTION("""COMPUTED_VALUE"""),47139.77)</f>
        <v/>
      </c>
    </row>
    <row r="579">
      <c r="J579">
        <f>IFERROR(__xludf.DUMMYFUNCTION("""COMPUTED_VALUE"""),"Trois-Rivières, Quebec, Canada")</f>
        <v/>
      </c>
      <c r="K579">
        <f>IFERROR(__xludf.DUMMYFUNCTION("""COMPUTED_VALUE"""),46936.01)</f>
        <v/>
      </c>
    </row>
    <row r="580">
      <c r="J580">
        <f>IFERROR(__xludf.DUMMYFUNCTION("""COMPUTED_VALUE"""),"Halifax (Nova Scotia) Canada")</f>
        <v/>
      </c>
      <c r="K580">
        <f>IFERROR(__xludf.DUMMYFUNCTION("""COMPUTED_VALUE"""),46885.4)</f>
        <v/>
      </c>
    </row>
    <row r="581">
      <c r="J581">
        <f>IFERROR(__xludf.DUMMYFUNCTION("""COMPUTED_VALUE"""),"Qatar, Saudi Arabia &amp; Turkey")</f>
        <v/>
      </c>
      <c r="K581">
        <f>IFERROR(__xludf.DUMMYFUNCTION("""COMPUTED_VALUE"""),46765.25)</f>
        <v/>
      </c>
    </row>
    <row r="582">
      <c r="J582">
        <f>IFERROR(__xludf.DUMMYFUNCTION("""COMPUTED_VALUE"""),"Asuncion, Paraguay")</f>
        <v/>
      </c>
      <c r="K582">
        <f>IFERROR(__xludf.DUMMYFUNCTION("""COMPUTED_VALUE"""),46750.62)</f>
        <v/>
      </c>
    </row>
    <row r="583">
      <c r="J583">
        <f>IFERROR(__xludf.DUMMYFUNCTION("""COMPUTED_VALUE"""),"San Francisco, USA")</f>
        <v/>
      </c>
      <c r="K583">
        <f>IFERROR(__xludf.DUMMYFUNCTION("""COMPUTED_VALUE"""),46730.67)</f>
        <v/>
      </c>
    </row>
    <row r="584">
      <c r="J584">
        <f>IFERROR(__xludf.DUMMYFUNCTION("""COMPUTED_VALUE"""),"Beijing, Shanghai and Tokyo")</f>
        <v/>
      </c>
      <c r="K584">
        <f>IFERROR(__xludf.DUMMYFUNCTION("""COMPUTED_VALUE"""),46561.9599999999)</f>
        <v/>
      </c>
    </row>
    <row r="585">
      <c r="J585">
        <f>IFERROR(__xludf.DUMMYFUNCTION("""COMPUTED_VALUE"""),"Frankfurt, Washington D.C.")</f>
        <v/>
      </c>
      <c r="K585">
        <f>IFERROR(__xludf.DUMMYFUNCTION("""COMPUTED_VALUE"""),46532.96)</f>
        <v/>
      </c>
    </row>
    <row r="586">
      <c r="J586">
        <f>IFERROR(__xludf.DUMMYFUNCTION("""COMPUTED_VALUE"""),"Calgary, Canada")</f>
        <v/>
      </c>
      <c r="K586">
        <f>IFERROR(__xludf.DUMMYFUNCTION("""COMPUTED_VALUE"""),46273.44)</f>
        <v/>
      </c>
    </row>
    <row r="587">
      <c r="J587">
        <f>IFERROR(__xludf.DUMMYFUNCTION("""COMPUTED_VALUE"""),"Melbourne, Australia; Sydney, Australia")</f>
        <v/>
      </c>
      <c r="K587">
        <f>IFERROR(__xludf.DUMMYFUNCTION("""COMPUTED_VALUE"""),46249.23)</f>
        <v/>
      </c>
    </row>
    <row r="588">
      <c r="J588">
        <f>IFERROR(__xludf.DUMMYFUNCTION("""COMPUTED_VALUE"""),"Montreal, Canada")</f>
        <v/>
      </c>
      <c r="K588">
        <f>IFERROR(__xludf.DUMMYFUNCTION("""COMPUTED_VALUE"""),46109.68)</f>
        <v/>
      </c>
    </row>
    <row r="589">
      <c r="J589">
        <f>IFERROR(__xludf.DUMMYFUNCTION("""COMPUTED_VALUE"""),"Vancouver, British Columbia and Ottawa, Ontario")</f>
        <v/>
      </c>
      <c r="K589">
        <f>IFERROR(__xludf.DUMMYFUNCTION("""COMPUTED_VALUE"""),46063.66)</f>
        <v/>
      </c>
    </row>
    <row r="590">
      <c r="J590">
        <f>IFERROR(__xludf.DUMMYFUNCTION("""COMPUTED_VALUE"""),"San Francisco, California")</f>
        <v/>
      </c>
      <c r="K590">
        <f>IFERROR(__xludf.DUMMYFUNCTION("""COMPUTED_VALUE"""),46027.86)</f>
        <v/>
      </c>
    </row>
    <row r="591">
      <c r="J591">
        <f>IFERROR(__xludf.DUMMYFUNCTION("""COMPUTED_VALUE"""),"Shanghai &amp; Hangzhou, China")</f>
        <v/>
      </c>
      <c r="K591">
        <f>IFERROR(__xludf.DUMMYFUNCTION("""COMPUTED_VALUE"""),45960.42)</f>
        <v/>
      </c>
    </row>
    <row r="592">
      <c r="J592">
        <f>IFERROR(__xludf.DUMMYFUNCTION("""COMPUTED_VALUE"""),"Atlanta, Georgia, United States")</f>
        <v/>
      </c>
      <c r="K592">
        <f>IFERROR(__xludf.DUMMYFUNCTION("""COMPUTED_VALUE"""),45888.04)</f>
        <v/>
      </c>
    </row>
    <row r="593">
      <c r="J593">
        <f>IFERROR(__xludf.DUMMYFUNCTION("""COMPUTED_VALUE"""),"Timmins, Ontario, Canada")</f>
        <v/>
      </c>
      <c r="K593">
        <f>IFERROR(__xludf.DUMMYFUNCTION("""COMPUTED_VALUE"""),45874.87)</f>
        <v/>
      </c>
    </row>
    <row r="594">
      <c r="J594">
        <f>IFERROR(__xludf.DUMMYFUNCTION("""COMPUTED_VALUE"""),"Denver, Colorado, United States")</f>
        <v/>
      </c>
      <c r="K594">
        <f>IFERROR(__xludf.DUMMYFUNCTION("""COMPUTED_VALUE"""),45863)</f>
        <v/>
      </c>
    </row>
    <row r="595">
      <c r="J595">
        <f>IFERROR(__xludf.DUMMYFUNCTION("""COMPUTED_VALUE"""),"Washington, D.C")</f>
        <v/>
      </c>
      <c r="K595">
        <f>IFERROR(__xludf.DUMMYFUNCTION("""COMPUTED_VALUE"""),45783.56)</f>
        <v/>
      </c>
    </row>
    <row r="596">
      <c r="J596">
        <f>IFERROR(__xludf.DUMMYFUNCTION("""COMPUTED_VALUE"""),"Perth, Australia")</f>
        <v/>
      </c>
      <c r="K596">
        <f>IFERROR(__xludf.DUMMYFUNCTION("""COMPUTED_VALUE"""),45748.64)</f>
        <v/>
      </c>
    </row>
    <row r="597">
      <c r="J597">
        <f>IFERROR(__xludf.DUMMYFUNCTION("""COMPUTED_VALUE"""),"Bangladesh, France")</f>
        <v/>
      </c>
      <c r="K597">
        <f>IFERROR(__xludf.DUMMYFUNCTION("""COMPUTED_VALUE"""),45742.21)</f>
        <v/>
      </c>
    </row>
    <row r="598">
      <c r="J598">
        <f>IFERROR(__xludf.DUMMYFUNCTION("""COMPUTED_VALUE"""),"Santiago, Lima")</f>
        <v/>
      </c>
      <c r="K598">
        <f>IFERROR(__xludf.DUMMYFUNCTION("""COMPUTED_VALUE"""),45726.85)</f>
        <v/>
      </c>
    </row>
    <row r="599">
      <c r="J599">
        <f>IFERROR(__xludf.DUMMYFUNCTION("""COMPUTED_VALUE"""),"Honolulu, USA")</f>
        <v/>
      </c>
      <c r="K599">
        <f>IFERROR(__xludf.DUMMYFUNCTION("""COMPUTED_VALUE"""),45706.94)</f>
        <v/>
      </c>
    </row>
    <row r="600">
      <c r="J600">
        <f>IFERROR(__xludf.DUMMYFUNCTION("""COMPUTED_VALUE"""),"Amsterdam, The Netherlands")</f>
        <v/>
      </c>
      <c r="K600">
        <f>IFERROR(__xludf.DUMMYFUNCTION("""COMPUTED_VALUE"""),45704.25)</f>
        <v/>
      </c>
    </row>
    <row r="601">
      <c r="J601">
        <f>IFERROR(__xludf.DUMMYFUNCTION("""COMPUTED_VALUE"""),"Long Beach, California")</f>
        <v/>
      </c>
      <c r="K601">
        <f>IFERROR(__xludf.DUMMYFUNCTION("""COMPUTED_VALUE"""),45685.95)</f>
        <v/>
      </c>
    </row>
    <row r="602">
      <c r="J602">
        <f>IFERROR(__xludf.DUMMYFUNCTION("""COMPUTED_VALUE"""),"Toronto,Ontario, Canada")</f>
        <v/>
      </c>
      <c r="K602">
        <f>IFERROR(__xludf.DUMMYFUNCTION("""COMPUTED_VALUE"""),45606.33)</f>
        <v/>
      </c>
    </row>
    <row r="603">
      <c r="J603">
        <f>IFERROR(__xludf.DUMMYFUNCTION("""COMPUTED_VALUE"""),"Auckland, New Zealand; Wellington, New Zealand; Canberra, Australia; Sydney, Australia")</f>
        <v/>
      </c>
      <c r="K603">
        <f>IFERROR(__xludf.DUMMYFUNCTION("""COMPUTED_VALUE"""),45590.82)</f>
        <v/>
      </c>
    </row>
    <row r="604">
      <c r="J604">
        <f>IFERROR(__xludf.DUMMYFUNCTION("""COMPUTED_VALUE"""),"Vancouver, British Columbia, Canada; Toronto, Ontario, Canada")</f>
        <v/>
      </c>
      <c r="K604">
        <f>IFERROR(__xludf.DUMMYFUNCTION("""COMPUTED_VALUE"""),45571.61)</f>
        <v/>
      </c>
    </row>
    <row r="605">
      <c r="J605">
        <f>IFERROR(__xludf.DUMMYFUNCTION("""COMPUTED_VALUE"""),"Seoul")</f>
        <v/>
      </c>
      <c r="K605">
        <f>IFERROR(__xludf.DUMMYFUNCTION("""COMPUTED_VALUE"""),45523.93)</f>
        <v/>
      </c>
    </row>
    <row r="606">
      <c r="J606">
        <f>IFERROR(__xludf.DUMMYFUNCTION("""COMPUTED_VALUE"""),"Amsterdam, Netherlands; Rome, Italy;  Glasgow, United Kingdom")</f>
        <v/>
      </c>
      <c r="K606">
        <f>IFERROR(__xludf.DUMMYFUNCTION("""COMPUTED_VALUE"""),45385.4699999999)</f>
        <v/>
      </c>
    </row>
    <row r="607">
      <c r="J607">
        <f>IFERROR(__xludf.DUMMYFUNCTION("""COMPUTED_VALUE"""),"Manilla, Philippines")</f>
        <v/>
      </c>
      <c r="K607">
        <f>IFERROR(__xludf.DUMMYFUNCTION("""COMPUTED_VALUE"""),45339.6)</f>
        <v/>
      </c>
    </row>
    <row r="608">
      <c r="J608">
        <f>IFERROR(__xludf.DUMMYFUNCTION("""COMPUTED_VALUE"""),"Pristina, Kosovo")</f>
        <v/>
      </c>
      <c r="K608">
        <f>IFERROR(__xludf.DUMMYFUNCTION("""COMPUTED_VALUE"""),45208.92)</f>
        <v/>
      </c>
    </row>
    <row r="609">
      <c r="J609">
        <f>IFERROR(__xludf.DUMMYFUNCTION("""COMPUTED_VALUE"""),"Indonesia (Jakarta) &amp; Bangladesh (Dhaka)")</f>
        <v/>
      </c>
      <c r="K609">
        <f>IFERROR(__xludf.DUMMYFUNCTION("""COMPUTED_VALUE"""),45095.64)</f>
        <v/>
      </c>
    </row>
    <row r="610">
      <c r="J610">
        <f>IFERROR(__xludf.DUMMYFUNCTION("""COMPUTED_VALUE"""),"Tokyo, Japan / Nagasaki, Japan")</f>
        <v/>
      </c>
      <c r="K610">
        <f>IFERROR(__xludf.DUMMYFUNCTION("""COMPUTED_VALUE"""),45085.81)</f>
        <v/>
      </c>
    </row>
    <row r="611">
      <c r="J611">
        <f>IFERROR(__xludf.DUMMYFUNCTION("""COMPUTED_VALUE"""),"London, U.K.")</f>
        <v/>
      </c>
      <c r="K611">
        <f>IFERROR(__xludf.DUMMYFUNCTION("""COMPUTED_VALUE"""),45040.41)</f>
        <v/>
      </c>
    </row>
    <row r="612">
      <c r="J612">
        <f>IFERROR(__xludf.DUMMYFUNCTION("""COMPUTED_VALUE"""),"China and Mongolia")</f>
        <v/>
      </c>
      <c r="K612">
        <f>IFERROR(__xludf.DUMMYFUNCTION("""COMPUTED_VALUE"""),45019.79)</f>
        <v/>
      </c>
    </row>
    <row r="613">
      <c r="J613">
        <f>IFERROR(__xludf.DUMMYFUNCTION("""COMPUTED_VALUE"""),"Paris (France)")</f>
        <v/>
      </c>
      <c r="K613">
        <f>IFERROR(__xludf.DUMMYFUNCTION("""COMPUTED_VALUE"""),44989.19)</f>
        <v/>
      </c>
    </row>
    <row r="614">
      <c r="J614">
        <f>IFERROR(__xludf.DUMMYFUNCTION("""COMPUTED_VALUE"""),"Kuwait")</f>
        <v/>
      </c>
      <c r="K614">
        <f>IFERROR(__xludf.DUMMYFUNCTION("""COMPUTED_VALUE"""),44968.14)</f>
        <v/>
      </c>
    </row>
    <row r="615">
      <c r="J615">
        <f>IFERROR(__xludf.DUMMYFUNCTION("""COMPUTED_VALUE"""),"St. Andrews, New Brunswick, Canada")</f>
        <v/>
      </c>
      <c r="K615">
        <f>IFERROR(__xludf.DUMMYFUNCTION("""COMPUTED_VALUE"""),44934.23)</f>
        <v/>
      </c>
    </row>
    <row r="616">
      <c r="J616">
        <f>IFERROR(__xludf.DUMMYFUNCTION("""COMPUTED_VALUE"""),"Beirut, Lebanon; Yerevan, Armenia")</f>
        <v/>
      </c>
      <c r="K616">
        <f>IFERROR(__xludf.DUMMYFUNCTION("""COMPUTED_VALUE"""),44787.2899999999)</f>
        <v/>
      </c>
    </row>
    <row r="617">
      <c r="J617">
        <f>IFERROR(__xludf.DUMMYFUNCTION("""COMPUTED_VALUE"""),"Dalian, China")</f>
        <v/>
      </c>
      <c r="K617">
        <f>IFERROR(__xludf.DUMMYFUNCTION("""COMPUTED_VALUE"""),44643.02)</f>
        <v/>
      </c>
    </row>
    <row r="618">
      <c r="J618">
        <f>IFERROR(__xludf.DUMMYFUNCTION("""COMPUTED_VALUE"""),"Vancouver, Bristish Columbia")</f>
        <v/>
      </c>
      <c r="K618">
        <f>IFERROR(__xludf.DUMMYFUNCTION("""COMPUTED_VALUE"""),44555.9)</f>
        <v/>
      </c>
    </row>
    <row r="619">
      <c r="J619">
        <f>IFERROR(__xludf.DUMMYFUNCTION("""COMPUTED_VALUE"""),"Ho Chi Minh City, Vietnam")</f>
        <v/>
      </c>
      <c r="K619">
        <f>IFERROR(__xludf.DUMMYFUNCTION("""COMPUTED_VALUE"""),44443.2199999999)</f>
        <v/>
      </c>
    </row>
    <row r="620">
      <c r="J620">
        <f>IFERROR(__xludf.DUMMYFUNCTION("""COMPUTED_VALUE"""),"Sherbrooke")</f>
        <v/>
      </c>
      <c r="K620">
        <f>IFERROR(__xludf.DUMMYFUNCTION("""COMPUTED_VALUE"""),44422.4999999999)</f>
        <v/>
      </c>
    </row>
    <row r="621">
      <c r="J621">
        <f>IFERROR(__xludf.DUMMYFUNCTION("""COMPUTED_VALUE"""),"Turin, IT")</f>
        <v/>
      </c>
      <c r="K621">
        <f>IFERROR(__xludf.DUMMYFUNCTION("""COMPUTED_VALUE"""),44342.14)</f>
        <v/>
      </c>
    </row>
    <row r="622">
      <c r="J622">
        <f>IFERROR(__xludf.DUMMYFUNCTION("""COMPUTED_VALUE"""),"Hong Kong, Hong Kong")</f>
        <v/>
      </c>
      <c r="K622">
        <f>IFERROR(__xludf.DUMMYFUNCTION("""COMPUTED_VALUE"""),44270.25)</f>
        <v/>
      </c>
    </row>
    <row r="623">
      <c r="J623">
        <f>IFERROR(__xludf.DUMMYFUNCTION("""COMPUTED_VALUE"""),"St-Hubert, Quebec, Canada")</f>
        <v/>
      </c>
      <c r="K623">
        <f>IFERROR(__xludf.DUMMYFUNCTION("""COMPUTED_VALUE"""),44245.8699999999)</f>
        <v/>
      </c>
    </row>
    <row r="624">
      <c r="J624">
        <f>IFERROR(__xludf.DUMMYFUNCTION("""COMPUTED_VALUE"""),"Victoria")</f>
        <v/>
      </c>
      <c r="K624">
        <f>IFERROR(__xludf.DUMMYFUNCTION("""COMPUTED_VALUE"""),44231.14)</f>
        <v/>
      </c>
    </row>
    <row r="625">
      <c r="J625">
        <f>IFERROR(__xludf.DUMMYFUNCTION("""COMPUTED_VALUE"""),"Several")</f>
        <v/>
      </c>
      <c r="K625">
        <f>IFERROR(__xludf.DUMMYFUNCTION("""COMPUTED_VALUE"""),44190)</f>
        <v/>
      </c>
    </row>
    <row r="626">
      <c r="J626">
        <f>IFERROR(__xludf.DUMMYFUNCTION("""COMPUTED_VALUE"""),"Alliston, Ontario, Canada")</f>
        <v/>
      </c>
      <c r="K626">
        <f>IFERROR(__xludf.DUMMYFUNCTION("""COMPUTED_VALUE"""),44150.49)</f>
        <v/>
      </c>
    </row>
    <row r="627">
      <c r="J627">
        <f>IFERROR(__xludf.DUMMYFUNCTION("""COMPUTED_VALUE"""),"Banff")</f>
        <v/>
      </c>
      <c r="K627">
        <f>IFERROR(__xludf.DUMMYFUNCTION("""COMPUTED_VALUE"""),44077.73)</f>
        <v/>
      </c>
    </row>
    <row r="628">
      <c r="J628">
        <f>IFERROR(__xludf.DUMMYFUNCTION("""COMPUTED_VALUE"""),"Manama,Bahrain
Doha,Qatar
Tokyo,Japan
Yokosuka,Japan,
Vancouver,British-Colombia, Canada")</f>
        <v/>
      </c>
      <c r="K628">
        <f>IFERROR(__xludf.DUMMYFUNCTION("""COMPUTED_VALUE"""),43981.02)</f>
        <v/>
      </c>
    </row>
    <row r="629">
      <c r="J629">
        <f>IFERROR(__xludf.DUMMYFUNCTION("""COMPUTED_VALUE"""),"Edmonton, Alberta, Canada; Winnipeg, Manitoba, Canada")</f>
        <v/>
      </c>
      <c r="K629">
        <f>IFERROR(__xludf.DUMMYFUNCTION("""COMPUTED_VALUE"""),43955.68)</f>
        <v/>
      </c>
    </row>
    <row r="630">
      <c r="J630">
        <f>IFERROR(__xludf.DUMMYFUNCTION("""COMPUTED_VALUE"""),"London, United Kingdom, Paris, France")</f>
        <v/>
      </c>
      <c r="K630">
        <f>IFERROR(__xludf.DUMMYFUNCTION("""COMPUTED_VALUE"""),43920.27)</f>
        <v/>
      </c>
    </row>
    <row r="631">
      <c r="J631">
        <f>IFERROR(__xludf.DUMMYFUNCTION("""COMPUTED_VALUE"""),"Beijing, China; Jakarta, Indonesia")</f>
        <v/>
      </c>
      <c r="K631">
        <f>IFERROR(__xludf.DUMMYFUNCTION("""COMPUTED_VALUE"""),43917.48)</f>
        <v/>
      </c>
    </row>
    <row r="632">
      <c r="J632">
        <f>IFERROR(__xludf.DUMMYFUNCTION("""COMPUTED_VALUE"""),"Dhaka, Bangladesh; Geneva, Switzerland")</f>
        <v/>
      </c>
      <c r="K632">
        <f>IFERROR(__xludf.DUMMYFUNCTION("""COMPUTED_VALUE"""),43851.5)</f>
        <v/>
      </c>
    </row>
    <row r="633">
      <c r="J633">
        <f>IFERROR(__xludf.DUMMYFUNCTION("""COMPUTED_VALUE"""),"Shanghai, China; Qingdao, China; Beijing, China")</f>
        <v/>
      </c>
      <c r="K633">
        <f>IFERROR(__xludf.DUMMYFUNCTION("""COMPUTED_VALUE"""),43843.89)</f>
        <v/>
      </c>
    </row>
    <row r="634">
      <c r="J634">
        <f>IFERROR(__xludf.DUMMYFUNCTION("""COMPUTED_VALUE"""),"Annecy, France")</f>
        <v/>
      </c>
      <c r="K634">
        <f>IFERROR(__xludf.DUMMYFUNCTION("""COMPUTED_VALUE"""),43837.8999999999)</f>
        <v/>
      </c>
    </row>
    <row r="635">
      <c r="J635">
        <f>IFERROR(__xludf.DUMMYFUNCTION("""COMPUTED_VALUE"""),"Bali")</f>
        <v/>
      </c>
      <c r="K635">
        <f>IFERROR(__xludf.DUMMYFUNCTION("""COMPUTED_VALUE"""),43796.16)</f>
        <v/>
      </c>
    </row>
    <row r="636">
      <c r="J636">
        <f>IFERROR(__xludf.DUMMYFUNCTION("""COMPUTED_VALUE"""),"Niigata, Japan; Tokyo, Japan")</f>
        <v/>
      </c>
      <c r="K636">
        <f>IFERROR(__xludf.DUMMYFUNCTION("""COMPUTED_VALUE"""),43773.8299999999)</f>
        <v/>
      </c>
    </row>
    <row r="637">
      <c r="J637">
        <f>IFERROR(__xludf.DUMMYFUNCTION("""COMPUTED_VALUE"""),"Vietnam, Singapore, South Korea, Japan")</f>
        <v/>
      </c>
      <c r="K637">
        <f>IFERROR(__xludf.DUMMYFUNCTION("""COMPUTED_VALUE"""),43748.2599999999)</f>
        <v/>
      </c>
    </row>
    <row r="638">
      <c r="J638">
        <f>IFERROR(__xludf.DUMMYFUNCTION("""COMPUTED_VALUE"""),"Geneva, Switzerland; Paris, France")</f>
        <v/>
      </c>
      <c r="K638">
        <f>IFERROR(__xludf.DUMMYFUNCTION("""COMPUTED_VALUE"""),43709.63)</f>
        <v/>
      </c>
    </row>
    <row r="639">
      <c r="J639">
        <f>IFERROR(__xludf.DUMMYFUNCTION("""COMPUTED_VALUE"""),"Sofia, Bulgaria")</f>
        <v/>
      </c>
      <c r="K639">
        <f>IFERROR(__xludf.DUMMYFUNCTION("""COMPUTED_VALUE"""),43660.0099999999)</f>
        <v/>
      </c>
    </row>
    <row r="640">
      <c r="J640">
        <f>IFERROR(__xludf.DUMMYFUNCTION("""COMPUTED_VALUE"""),"France, Germany, Belgium and South Africa")</f>
        <v/>
      </c>
      <c r="K640">
        <f>IFERROR(__xludf.DUMMYFUNCTION("""COMPUTED_VALUE"""),43626.4799999999)</f>
        <v/>
      </c>
    </row>
    <row r="641">
      <c r="J641">
        <f>IFERROR(__xludf.DUMMYFUNCTION("""COMPUTED_VALUE"""),"Washington, District of Columbia, United-States")</f>
        <v/>
      </c>
      <c r="K641">
        <f>IFERROR(__xludf.DUMMYFUNCTION("""COMPUTED_VALUE"""),43595.6899999999)</f>
        <v/>
      </c>
    </row>
    <row r="642">
      <c r="J642">
        <f>IFERROR(__xludf.DUMMYFUNCTION("""COMPUTED_VALUE"""),"Georgia, Ukraine and Poland")</f>
        <v/>
      </c>
      <c r="K642">
        <f>IFERROR(__xludf.DUMMYFUNCTION("""COMPUTED_VALUE"""),43586.63)</f>
        <v/>
      </c>
    </row>
    <row r="643">
      <c r="J643">
        <f>IFERROR(__xludf.DUMMYFUNCTION("""COMPUTED_VALUE"""),"Nadi, Fiji")</f>
        <v/>
      </c>
      <c r="K643">
        <f>IFERROR(__xludf.DUMMYFUNCTION("""COMPUTED_VALUE"""),43559.51)</f>
        <v/>
      </c>
    </row>
    <row r="644">
      <c r="J644">
        <f>IFERROR(__xludf.DUMMYFUNCTION("""COMPUTED_VALUE"""),"Brussels, Belgium, Europe")</f>
        <v/>
      </c>
      <c r="K644">
        <f>IFERROR(__xludf.DUMMYFUNCTION("""COMPUTED_VALUE"""),43554.5999999999)</f>
        <v/>
      </c>
    </row>
    <row r="645">
      <c r="J645">
        <f>IFERROR(__xludf.DUMMYFUNCTION("""COMPUTED_VALUE"""),"Paris, Brussels")</f>
        <v/>
      </c>
      <c r="K645">
        <f>IFERROR(__xludf.DUMMYFUNCTION("""COMPUTED_VALUE"""),43465.78)</f>
        <v/>
      </c>
    </row>
    <row r="646">
      <c r="J646">
        <f>IFERROR(__xludf.DUMMYFUNCTION("""COMPUTED_VALUE"""),"Cologne, Germany")</f>
        <v/>
      </c>
      <c r="K646">
        <f>IFERROR(__xludf.DUMMYFUNCTION("""COMPUTED_VALUE"""),43451.0399999999)</f>
        <v/>
      </c>
    </row>
    <row r="647">
      <c r="J647">
        <f>IFERROR(__xludf.DUMMYFUNCTION("""COMPUTED_VALUE"""),"Las Vegas, Nevada, United States")</f>
        <v/>
      </c>
      <c r="K647">
        <f>IFERROR(__xludf.DUMMYFUNCTION("""COMPUTED_VALUE"""),43387.06)</f>
        <v/>
      </c>
    </row>
    <row r="648">
      <c r="J648">
        <f>IFERROR(__xludf.DUMMYFUNCTION("""COMPUTED_VALUE"""),"Wellington NZ")</f>
        <v/>
      </c>
      <c r="K648">
        <f>IFERROR(__xludf.DUMMYFUNCTION("""COMPUTED_VALUE"""),43346.08)</f>
        <v/>
      </c>
    </row>
    <row r="649">
      <c r="J649">
        <f>IFERROR(__xludf.DUMMYFUNCTION("""COMPUTED_VALUE"""),"Prince George, BC")</f>
        <v/>
      </c>
      <c r="K649">
        <f>IFERROR(__xludf.DUMMYFUNCTION("""COMPUTED_VALUE"""),43308.0099999999)</f>
        <v/>
      </c>
    </row>
    <row r="650">
      <c r="J650">
        <f>IFERROR(__xludf.DUMMYFUNCTION("""COMPUTED_VALUE"""),"Saint John, New Brunswick")</f>
        <v/>
      </c>
      <c r="K650">
        <f>IFERROR(__xludf.DUMMYFUNCTION("""COMPUTED_VALUE"""),43267.38)</f>
        <v/>
      </c>
    </row>
    <row r="651">
      <c r="J651">
        <f>IFERROR(__xludf.DUMMYFUNCTION("""COMPUTED_VALUE"""),"Washington, D.C., USA")</f>
        <v/>
      </c>
      <c r="K651">
        <f>IFERROR(__xludf.DUMMYFUNCTION("""COMPUTED_VALUE"""),43169.33)</f>
        <v/>
      </c>
    </row>
    <row r="652">
      <c r="J652">
        <f>IFERROR(__xludf.DUMMYFUNCTION("""COMPUTED_VALUE"""),"Québec City, QC")</f>
        <v/>
      </c>
      <c r="K652">
        <f>IFERROR(__xludf.DUMMYFUNCTION("""COMPUTED_VALUE"""),43030.17)</f>
        <v/>
      </c>
    </row>
    <row r="653">
      <c r="J653">
        <f>IFERROR(__xludf.DUMMYFUNCTION("""COMPUTED_VALUE"""),"FRANCE, BELGIUM AND NETHERLANDS")</f>
        <v/>
      </c>
      <c r="K653">
        <f>IFERROR(__xludf.DUMMYFUNCTION("""COMPUTED_VALUE"""),43004.11)</f>
        <v/>
      </c>
    </row>
    <row r="654">
      <c r="J654">
        <f>IFERROR(__xludf.DUMMYFUNCTION("""COMPUTED_VALUE"""),"Islamabad, Pakistan")</f>
        <v/>
      </c>
      <c r="K654">
        <f>IFERROR(__xludf.DUMMYFUNCTION("""COMPUTED_VALUE"""),42956.6199999999)</f>
        <v/>
      </c>
    </row>
    <row r="655">
      <c r="J655">
        <f>IFERROR(__xludf.DUMMYFUNCTION("""COMPUTED_VALUE"""),"Orlando, Florida, United-States")</f>
        <v/>
      </c>
      <c r="K655">
        <f>IFERROR(__xludf.DUMMYFUNCTION("""COMPUTED_VALUE"""),42955.12)</f>
        <v/>
      </c>
    </row>
    <row r="656">
      <c r="J656">
        <f>IFERROR(__xludf.DUMMYFUNCTION("""COMPUTED_VALUE"""),"Red Deer, Alberta, Canada")</f>
        <v/>
      </c>
      <c r="K656">
        <f>IFERROR(__xludf.DUMMYFUNCTION("""COMPUTED_VALUE"""),42790.49)</f>
        <v/>
      </c>
    </row>
    <row r="657">
      <c r="J657">
        <f>IFERROR(__xludf.DUMMYFUNCTION("""COMPUTED_VALUE"""),"Paris and Riyadh, France and Saudi Arabia")</f>
        <v/>
      </c>
      <c r="K657">
        <f>IFERROR(__xludf.DUMMYFUNCTION("""COMPUTED_VALUE"""),42665.24)</f>
        <v/>
      </c>
    </row>
    <row r="658">
      <c r="J658">
        <f>IFERROR(__xludf.DUMMYFUNCTION("""COMPUTED_VALUE"""),"Rome Italy, Kuwait, Frankfurt Germany")</f>
        <v/>
      </c>
      <c r="K658">
        <f>IFERROR(__xludf.DUMMYFUNCTION("""COMPUTED_VALUE"""),42591.6899999999)</f>
        <v/>
      </c>
    </row>
    <row r="659">
      <c r="J659">
        <f>IFERROR(__xludf.DUMMYFUNCTION("""COMPUTED_VALUE"""),"Moncton")</f>
        <v/>
      </c>
      <c r="K659">
        <f>IFERROR(__xludf.DUMMYFUNCTION("""COMPUTED_VALUE"""),42579.6999999999)</f>
        <v/>
      </c>
    </row>
    <row r="660">
      <c r="J660">
        <f>IFERROR(__xludf.DUMMYFUNCTION("""COMPUTED_VALUE"""),"Vientiane, Laos")</f>
        <v/>
      </c>
      <c r="K660">
        <f>IFERROR(__xludf.DUMMYFUNCTION("""COMPUTED_VALUE"""),42561.6199999999)</f>
        <v/>
      </c>
    </row>
    <row r="661">
      <c r="J661">
        <f>IFERROR(__xludf.DUMMYFUNCTION("""COMPUTED_VALUE"""),"Winnipeg, (Manitoba)")</f>
        <v/>
      </c>
      <c r="K661">
        <f>IFERROR(__xludf.DUMMYFUNCTION("""COMPUTED_VALUE"""),42510.8299999999)</f>
        <v/>
      </c>
    </row>
    <row r="662">
      <c r="J662">
        <f>IFERROR(__xludf.DUMMYFUNCTION("""COMPUTED_VALUE"""),"Cairns, Australia")</f>
        <v/>
      </c>
      <c r="K662">
        <f>IFERROR(__xludf.DUMMYFUNCTION("""COMPUTED_VALUE"""),42506.77)</f>
        <v/>
      </c>
    </row>
    <row r="663">
      <c r="J663">
        <f>IFERROR(__xludf.DUMMYFUNCTION("""COMPUTED_VALUE"""),"Vancouver, British Columbia, Canada; Kelowna, British Columbia, Canada")</f>
        <v/>
      </c>
      <c r="K663">
        <f>IFERROR(__xludf.DUMMYFUNCTION("""COMPUTED_VALUE"""),42477.2)</f>
        <v/>
      </c>
    </row>
    <row r="664">
      <c r="J664">
        <f>IFERROR(__xludf.DUMMYFUNCTION("""COMPUTED_VALUE"""),"Washington, District of Columbia, United States of America")</f>
        <v/>
      </c>
      <c r="K664">
        <f>IFERROR(__xludf.DUMMYFUNCTION("""COMPUTED_VALUE"""),42419.49)</f>
        <v/>
      </c>
    </row>
    <row r="665">
      <c r="J665">
        <f>IFERROR(__xludf.DUMMYFUNCTION("""COMPUTED_VALUE"""),"Brussels, Belgium; Oslo, Norway; Munich, Germany; Mumbai, India; Delhi, India")</f>
        <v/>
      </c>
      <c r="K665">
        <f>IFERROR(__xludf.DUMMYFUNCTION("""COMPUTED_VALUE"""),42417.78)</f>
        <v/>
      </c>
    </row>
    <row r="666">
      <c r="J666">
        <f>IFERROR(__xludf.DUMMYFUNCTION("""COMPUTED_VALUE"""),"Halifax, Nova Scotia, Canada; St. John's, Newfoundland and Labrador, Canada")</f>
        <v/>
      </c>
      <c r="K666">
        <f>IFERROR(__xludf.DUMMYFUNCTION("""COMPUTED_VALUE"""),42339.08)</f>
        <v/>
      </c>
    </row>
    <row r="667">
      <c r="J667">
        <f>IFERROR(__xludf.DUMMYFUNCTION("""COMPUTED_VALUE"""),"Chile, Paraguay")</f>
        <v/>
      </c>
      <c r="K667">
        <f>IFERROR(__xludf.DUMMYFUNCTION("""COMPUTED_VALUE"""),42244.8)</f>
        <v/>
      </c>
    </row>
    <row r="668">
      <c r="J668">
        <f>IFERROR(__xludf.DUMMYFUNCTION("""COMPUTED_VALUE"""),"Whistler, British Columbia")</f>
        <v/>
      </c>
      <c r="K668">
        <f>IFERROR(__xludf.DUMMYFUNCTION("""COMPUTED_VALUE"""),42219.22)</f>
        <v/>
      </c>
    </row>
    <row r="669">
      <c r="J669">
        <f>IFERROR(__xludf.DUMMYFUNCTION("""COMPUTED_VALUE"""),"Dubrovnik, Croatia")</f>
        <v/>
      </c>
      <c r="K669">
        <f>IFERROR(__xludf.DUMMYFUNCTION("""COMPUTED_VALUE"""),42154.65)</f>
        <v/>
      </c>
    </row>
    <row r="670">
      <c r="J670">
        <f>IFERROR(__xludf.DUMMYFUNCTION("""COMPUTED_VALUE"""),"Windhoek, Namibia")</f>
        <v/>
      </c>
      <c r="K670">
        <f>IFERROR(__xludf.DUMMYFUNCTION("""COMPUTED_VALUE"""),42142)</f>
        <v/>
      </c>
    </row>
    <row r="671">
      <c r="J671">
        <f>IFERROR(__xludf.DUMMYFUNCTION("""COMPUTED_VALUE"""),"Stockholm")</f>
        <v/>
      </c>
      <c r="K671">
        <f>IFERROR(__xludf.DUMMYFUNCTION("""COMPUTED_VALUE"""),42102.42)</f>
        <v/>
      </c>
    </row>
    <row r="672">
      <c r="J672">
        <f>IFERROR(__xludf.DUMMYFUNCTION("""COMPUTED_VALUE"""),"Warsaw, Poland; Kyiv, Ukraine")</f>
        <v/>
      </c>
      <c r="K672">
        <f>IFERROR(__xludf.DUMMYFUNCTION("""COMPUTED_VALUE"""),42070.26)</f>
        <v/>
      </c>
    </row>
    <row r="673">
      <c r="J673">
        <f>IFERROR(__xludf.DUMMYFUNCTION("""COMPUTED_VALUE"""),"London and Addis")</f>
        <v/>
      </c>
      <c r="K673">
        <f>IFERROR(__xludf.DUMMYFUNCTION("""COMPUTED_VALUE"""),42069.94)</f>
        <v/>
      </c>
    </row>
    <row r="674">
      <c r="J674">
        <f>IFERROR(__xludf.DUMMYFUNCTION("""COMPUTED_VALUE"""),"Calgary, AB - Edmonton, AB")</f>
        <v/>
      </c>
      <c r="K674">
        <f>IFERROR(__xludf.DUMMYFUNCTION("""COMPUTED_VALUE"""),42062.05)</f>
        <v/>
      </c>
    </row>
    <row r="675">
      <c r="J675">
        <f>IFERROR(__xludf.DUMMYFUNCTION("""COMPUTED_VALUE"""),"Lake Louise, Alberta, Canada")</f>
        <v/>
      </c>
      <c r="K675">
        <f>IFERROR(__xludf.DUMMYFUNCTION("""COMPUTED_VALUE"""),41955.06)</f>
        <v/>
      </c>
    </row>
    <row r="676">
      <c r="J676">
        <f>IFERROR(__xludf.DUMMYFUNCTION("""COMPUTED_VALUE"""),"Waterloo, On")</f>
        <v/>
      </c>
      <c r="K676">
        <f>IFERROR(__xludf.DUMMYFUNCTION("""COMPUTED_VALUE"""),41627.58)</f>
        <v/>
      </c>
    </row>
    <row r="677">
      <c r="J677">
        <f>IFERROR(__xludf.DUMMYFUNCTION("""COMPUTED_VALUE"""),"Wakefield, Quebec, Canada")</f>
        <v/>
      </c>
      <c r="K677">
        <f>IFERROR(__xludf.DUMMYFUNCTION("""COMPUTED_VALUE"""),41540.2399999999)</f>
        <v/>
      </c>
    </row>
    <row r="678">
      <c r="J678">
        <f>IFERROR(__xludf.DUMMYFUNCTION("""COMPUTED_VALUE"""),"Toronto, Ontario, Canada; Vancouver, British Columbia, Canada")</f>
        <v/>
      </c>
      <c r="K678">
        <f>IFERROR(__xludf.DUMMYFUNCTION("""COMPUTED_VALUE"""),41490.06)</f>
        <v/>
      </c>
    </row>
    <row r="679">
      <c r="J679">
        <f>IFERROR(__xludf.DUMMYFUNCTION("""COMPUTED_VALUE"""),"Bathurst, New Brunswick, Canada")</f>
        <v/>
      </c>
      <c r="K679">
        <f>IFERROR(__xludf.DUMMYFUNCTION("""COMPUTED_VALUE"""),41484.13)</f>
        <v/>
      </c>
    </row>
    <row r="680">
      <c r="J680">
        <f>IFERROR(__xludf.DUMMYFUNCTION("""COMPUTED_VALUE"""),"Jakarta, Indonesia; Singapore; Delhi, India")</f>
        <v/>
      </c>
      <c r="K680">
        <f>IFERROR(__xludf.DUMMYFUNCTION("""COMPUTED_VALUE"""),41428.7599999999)</f>
        <v/>
      </c>
    </row>
    <row r="681">
      <c r="J681">
        <f>IFERROR(__xludf.DUMMYFUNCTION("""COMPUTED_VALUE"""),"Vancouver, British Columbia, Canada/ Tokyo, Japan/ Nagoya, Japan/ Seoul, South Korea")</f>
        <v/>
      </c>
      <c r="K681">
        <f>IFERROR(__xludf.DUMMYFUNCTION("""COMPUTED_VALUE"""),41393.44)</f>
        <v/>
      </c>
    </row>
    <row r="682">
      <c r="J682">
        <f>IFERROR(__xludf.DUMMYFUNCTION("""COMPUTED_VALUE"""),"Thunder Bay, Ontario")</f>
        <v/>
      </c>
      <c r="K682">
        <f>IFERROR(__xludf.DUMMYFUNCTION("""COMPUTED_VALUE"""),41320.89)</f>
        <v/>
      </c>
    </row>
    <row r="683">
      <c r="J683">
        <f>IFERROR(__xludf.DUMMYFUNCTION("""COMPUTED_VALUE"""),"Haiti")</f>
        <v/>
      </c>
      <c r="K683">
        <f>IFERROR(__xludf.DUMMYFUNCTION("""COMPUTED_VALUE"""),41299.01)</f>
        <v/>
      </c>
    </row>
    <row r="684">
      <c r="J684">
        <f>IFERROR(__xludf.DUMMYFUNCTION("""COMPUTED_VALUE"""),"Québec City, Québec")</f>
        <v/>
      </c>
      <c r="K684">
        <f>IFERROR(__xludf.DUMMYFUNCTION("""COMPUTED_VALUE"""),41249.39)</f>
        <v/>
      </c>
    </row>
    <row r="685">
      <c r="J685">
        <f>IFERROR(__xludf.DUMMYFUNCTION("""COMPUTED_VALUE"""),"Miami")</f>
        <v/>
      </c>
      <c r="K685">
        <f>IFERROR(__xludf.DUMMYFUNCTION("""COMPUTED_VALUE"""),41233.97)</f>
        <v/>
      </c>
    </row>
    <row r="686">
      <c r="J686">
        <f>IFERROR(__xludf.DUMMYFUNCTION("""COMPUTED_VALUE"""),"Dubai, United Arab Emirates; Kandahar and Kabul, Afghanistan")</f>
        <v/>
      </c>
      <c r="K686">
        <f>IFERROR(__xludf.DUMMYFUNCTION("""COMPUTED_VALUE"""),41172.95)</f>
        <v/>
      </c>
    </row>
    <row r="687">
      <c r="J687">
        <f>IFERROR(__xludf.DUMMYFUNCTION("""COMPUTED_VALUE"""),"Rome and Milan, Italy")</f>
        <v/>
      </c>
      <c r="K687">
        <f>IFERROR(__xludf.DUMMYFUNCTION("""COMPUTED_VALUE"""),41161.47)</f>
        <v/>
      </c>
    </row>
    <row r="688">
      <c r="J688">
        <f>IFERROR(__xludf.DUMMYFUNCTION("""COMPUTED_VALUE"""),"Bridgetown, Barbados")</f>
        <v/>
      </c>
      <c r="K688">
        <f>IFERROR(__xludf.DUMMYFUNCTION("""COMPUTED_VALUE"""),41139.54)</f>
        <v/>
      </c>
    </row>
    <row r="689">
      <c r="J689">
        <f>IFERROR(__xludf.DUMMYFUNCTION("""COMPUTED_VALUE"""),"Chicago, United States")</f>
        <v/>
      </c>
      <c r="K689">
        <f>IFERROR(__xludf.DUMMYFUNCTION("""COMPUTED_VALUE"""),41135.5399999999)</f>
        <v/>
      </c>
    </row>
    <row r="690">
      <c r="J690">
        <f>IFERROR(__xludf.DUMMYFUNCTION("""COMPUTED_VALUE"""),"Colombo, Sri Lanka; Islamabad, Pakistan")</f>
        <v/>
      </c>
      <c r="K690">
        <f>IFERROR(__xludf.DUMMYFUNCTION("""COMPUTED_VALUE"""),41107.27)</f>
        <v/>
      </c>
    </row>
    <row r="691">
      <c r="J691">
        <f>IFERROR(__xludf.DUMMYFUNCTION("""COMPUTED_VALUE"""),"Mumbai and Delhi, India")</f>
        <v/>
      </c>
      <c r="K691">
        <f>IFERROR(__xludf.DUMMYFUNCTION("""COMPUTED_VALUE"""),41094.88)</f>
        <v/>
      </c>
    </row>
    <row r="692">
      <c r="J692">
        <f>IFERROR(__xludf.DUMMYFUNCTION("""COMPUTED_VALUE"""),"Cambridge, United Kingdom")</f>
        <v/>
      </c>
      <c r="K692">
        <f>IFERROR(__xludf.DUMMYFUNCTION("""COMPUTED_VALUE"""),41054.73)</f>
        <v/>
      </c>
    </row>
    <row r="693">
      <c r="J693">
        <f>IFERROR(__xludf.DUMMYFUNCTION("""COMPUTED_VALUE"""),"Canberra, Australia
Wellington, New Zealand")</f>
        <v/>
      </c>
      <c r="K693">
        <f>IFERROR(__xludf.DUMMYFUNCTION("""COMPUTED_VALUE"""),40978.7)</f>
        <v/>
      </c>
    </row>
    <row r="694">
      <c r="J694">
        <f>IFERROR(__xludf.DUMMYFUNCTION("""COMPUTED_VALUE"""),"Nigeria, Kenya, Ethiopia")</f>
        <v/>
      </c>
      <c r="K694">
        <f>IFERROR(__xludf.DUMMYFUNCTION("""COMPUTED_VALUE"""),40673.76)</f>
        <v/>
      </c>
    </row>
    <row r="695">
      <c r="J695">
        <f>IFERROR(__xludf.DUMMYFUNCTION("""COMPUTED_VALUE"""),"Edmonton, Alberta, Canada; Vancouver, British Columbia, Canada")</f>
        <v/>
      </c>
      <c r="K695">
        <f>IFERROR(__xludf.DUMMYFUNCTION("""COMPUTED_VALUE"""),40634.9999999999)</f>
        <v/>
      </c>
    </row>
    <row r="696">
      <c r="J696">
        <f>IFERROR(__xludf.DUMMYFUNCTION("""COMPUTED_VALUE"""),"Dakar, Senegal/  Accra, Ghana/  Nairobi, Kenya")</f>
        <v/>
      </c>
      <c r="K696">
        <f>IFERROR(__xludf.DUMMYFUNCTION("""COMPUTED_VALUE"""),40614.3)</f>
        <v/>
      </c>
    </row>
    <row r="697">
      <c r="J697">
        <f>IFERROR(__xludf.DUMMYFUNCTION("""COMPUTED_VALUE"""),"Inuvik, Nunavut, Canada")</f>
        <v/>
      </c>
      <c r="K697">
        <f>IFERROR(__xludf.DUMMYFUNCTION("""COMPUTED_VALUE"""),40614.3)</f>
        <v/>
      </c>
    </row>
    <row r="698">
      <c r="J698">
        <f>IFERROR(__xludf.DUMMYFUNCTION("""COMPUTED_VALUE"""),"Brussel, Belgium")</f>
        <v/>
      </c>
      <c r="K698">
        <f>IFERROR(__xludf.DUMMYFUNCTION("""COMPUTED_VALUE"""),40607.95)</f>
        <v/>
      </c>
    </row>
    <row r="699">
      <c r="J699">
        <f>IFERROR(__xludf.DUMMYFUNCTION("""COMPUTED_VALUE"""),"Ottawa ON")</f>
        <v/>
      </c>
      <c r="K699">
        <f>IFERROR(__xludf.DUMMYFUNCTION("""COMPUTED_VALUE"""),40540.71)</f>
        <v/>
      </c>
    </row>
    <row r="700">
      <c r="J700">
        <f>IFERROR(__xludf.DUMMYFUNCTION("""COMPUTED_VALUE"""),"Houston, TX, USA")</f>
        <v/>
      </c>
      <c r="K700">
        <f>IFERROR(__xludf.DUMMYFUNCTION("""COMPUTED_VALUE"""),40539.89)</f>
        <v/>
      </c>
    </row>
    <row r="701">
      <c r="J701">
        <f>IFERROR(__xludf.DUMMYFUNCTION("""COMPUTED_VALUE"""),"Huntsville, Ontario, Canada")</f>
        <v/>
      </c>
      <c r="K701">
        <f>IFERROR(__xludf.DUMMYFUNCTION("""COMPUTED_VALUE"""),40342.44)</f>
        <v/>
      </c>
    </row>
    <row r="702">
      <c r="J702">
        <f>IFERROR(__xludf.DUMMYFUNCTION("""COMPUTED_VALUE"""),"London (United Kingdom )and Tokyo (Japan)")</f>
        <v/>
      </c>
      <c r="K702">
        <f>IFERROR(__xludf.DUMMYFUNCTION("""COMPUTED_VALUE"""),40317.94)</f>
        <v/>
      </c>
    </row>
    <row r="703">
      <c r="J703">
        <f>IFERROR(__xludf.DUMMYFUNCTION("""COMPUTED_VALUE"""),"Belgium")</f>
        <v/>
      </c>
      <c r="K703">
        <f>IFERROR(__xludf.DUMMYFUNCTION("""COMPUTED_VALUE"""),40114.12)</f>
        <v/>
      </c>
    </row>
    <row r="704">
      <c r="J704">
        <f>IFERROR(__xludf.DUMMYFUNCTION("""COMPUTED_VALUE"""),"Davos")</f>
        <v/>
      </c>
      <c r="K704">
        <f>IFERROR(__xludf.DUMMYFUNCTION("""COMPUTED_VALUE"""),40067.52)</f>
        <v/>
      </c>
    </row>
    <row r="705">
      <c r="J705">
        <f>IFERROR(__xludf.DUMMYFUNCTION("""COMPUTED_VALUE"""),"Tokyo, Japan - Seoul, Korea")</f>
        <v/>
      </c>
      <c r="K705">
        <f>IFERROR(__xludf.DUMMYFUNCTION("""COMPUTED_VALUE"""),40058.37)</f>
        <v/>
      </c>
    </row>
    <row r="706">
      <c r="J706">
        <f>IFERROR(__xludf.DUMMYFUNCTION("""COMPUTED_VALUE"""),"Portsmouth, United Kingdom")</f>
        <v/>
      </c>
      <c r="K706">
        <f>IFERROR(__xludf.DUMMYFUNCTION("""COMPUTED_VALUE"""),39964.5)</f>
        <v/>
      </c>
    </row>
    <row r="707">
      <c r="J707">
        <f>IFERROR(__xludf.DUMMYFUNCTION("""COMPUTED_VALUE"""),"Sydney,Australia")</f>
        <v/>
      </c>
      <c r="K707">
        <f>IFERROR(__xludf.DUMMYFUNCTION("""COMPUTED_VALUE"""),39825.15)</f>
        <v/>
      </c>
    </row>
    <row r="708">
      <c r="J708">
        <f>IFERROR(__xludf.DUMMYFUNCTION("""COMPUTED_VALUE"""),"Shanghai, China; Tokyo, Japan; Hong Kong, China; Beijing, China")</f>
        <v/>
      </c>
      <c r="K708">
        <f>IFERROR(__xludf.DUMMYFUNCTION("""COMPUTED_VALUE"""),39808.9099999999)</f>
        <v/>
      </c>
    </row>
    <row r="709">
      <c r="J709">
        <f>IFERROR(__xludf.DUMMYFUNCTION("""COMPUTED_VALUE"""),"Paris, France / Dublin, Ireland")</f>
        <v/>
      </c>
      <c r="K709">
        <f>IFERROR(__xludf.DUMMYFUNCTION("""COMPUTED_VALUE"""),39795.15)</f>
        <v/>
      </c>
    </row>
    <row r="710">
      <c r="J710">
        <f>IFERROR(__xludf.DUMMYFUNCTION("""COMPUTED_VALUE"""),"Dallas, Texas")</f>
        <v/>
      </c>
      <c r="K710">
        <f>IFERROR(__xludf.DUMMYFUNCTION("""COMPUTED_VALUE"""),39649.14)</f>
        <v/>
      </c>
    </row>
    <row r="711">
      <c r="J711">
        <f>IFERROR(__xludf.DUMMYFUNCTION("""COMPUTED_VALUE"""),"Rotterdam, Netherlands")</f>
        <v/>
      </c>
      <c r="K711">
        <f>IFERROR(__xludf.DUMMYFUNCTION("""COMPUTED_VALUE"""),39646.6199999999)</f>
        <v/>
      </c>
    </row>
    <row r="712">
      <c r="J712">
        <f>IFERROR(__xludf.DUMMYFUNCTION("""COMPUTED_VALUE"""),"Charlottetown, PEI, Canada")</f>
        <v/>
      </c>
      <c r="K712">
        <f>IFERROR(__xludf.DUMMYFUNCTION("""COMPUTED_VALUE"""),39552.16)</f>
        <v/>
      </c>
    </row>
    <row r="713">
      <c r="J713">
        <f>IFERROR(__xludf.DUMMYFUNCTION("""COMPUTED_VALUE"""),"Fort McMurray, AB")</f>
        <v/>
      </c>
      <c r="K713">
        <f>IFERROR(__xludf.DUMMYFUNCTION("""COMPUTED_VALUE"""),39406.2599999999)</f>
        <v/>
      </c>
    </row>
    <row r="714">
      <c r="J714">
        <f>IFERROR(__xludf.DUMMYFUNCTION("""COMPUTED_VALUE"""),"Atlanta, Georgia")</f>
        <v/>
      </c>
      <c r="K714">
        <f>IFERROR(__xludf.DUMMYFUNCTION("""COMPUTED_VALUE"""),39376.1899999999)</f>
        <v/>
      </c>
    </row>
    <row r="715">
      <c r="J715">
        <f>IFERROR(__xludf.DUMMYFUNCTION("""COMPUTED_VALUE"""),"Houston, Texas, USA")</f>
        <v/>
      </c>
      <c r="K715">
        <f>IFERROR(__xludf.DUMMYFUNCTION("""COMPUTED_VALUE"""),39350.25)</f>
        <v/>
      </c>
    </row>
    <row r="716">
      <c r="J716">
        <f>IFERROR(__xludf.DUMMYFUNCTION("""COMPUTED_VALUE"""),"Turkey, Egypt, Tunisia and Mali")</f>
        <v/>
      </c>
      <c r="K716">
        <f>IFERROR(__xludf.DUMMYFUNCTION("""COMPUTED_VALUE"""),39284.4)</f>
        <v/>
      </c>
    </row>
    <row r="717">
      <c r="J717">
        <f>IFERROR(__xludf.DUMMYFUNCTION("""COMPUTED_VALUE"""),"St. John’s, Newfoundland and Labrador, Canada")</f>
        <v/>
      </c>
      <c r="K717">
        <f>IFERROR(__xludf.DUMMYFUNCTION("""COMPUTED_VALUE"""),39283.81)</f>
        <v/>
      </c>
    </row>
    <row r="718">
      <c r="J718">
        <f>IFERROR(__xludf.DUMMYFUNCTION("""COMPUTED_VALUE"""),"Chantilly, France")</f>
        <v/>
      </c>
      <c r="K718">
        <f>IFERROR(__xludf.DUMMYFUNCTION("""COMPUTED_VALUE"""),39166)</f>
        <v/>
      </c>
    </row>
    <row r="719">
      <c r="J719">
        <f>IFERROR(__xludf.DUMMYFUNCTION("""COMPUTED_VALUE"""),"Singapore Hanoi, Singapore Vietnam")</f>
        <v/>
      </c>
      <c r="K719">
        <f>IFERROR(__xludf.DUMMYFUNCTION("""COMPUTED_VALUE"""),39103.59)</f>
        <v/>
      </c>
    </row>
    <row r="720">
      <c r="J720">
        <f>IFERROR(__xludf.DUMMYFUNCTION("""COMPUTED_VALUE"""),"Tokyo and Kuala Lumpur, Japan and Malaysia")</f>
        <v/>
      </c>
      <c r="K720">
        <f>IFERROR(__xludf.DUMMYFUNCTION("""COMPUTED_VALUE"""),39091.58)</f>
        <v/>
      </c>
    </row>
    <row r="721">
      <c r="J721">
        <f>IFERROR(__xludf.DUMMYFUNCTION("""COMPUTED_VALUE"""),"Paris, France; Warsaw, Poland; Guangzhou, China; Shenzhen, China; Beijing, China")</f>
        <v/>
      </c>
      <c r="K721">
        <f>IFERROR(__xludf.DUMMYFUNCTION("""COMPUTED_VALUE"""),39077.32)</f>
        <v/>
      </c>
    </row>
    <row r="722">
      <c r="J722">
        <f>IFERROR(__xludf.DUMMYFUNCTION("""COMPUTED_VALUE"""),"Frankfurt, Germany / Seoul, Korea / Tokyo, Japan")</f>
        <v/>
      </c>
      <c r="K722">
        <f>IFERROR(__xludf.DUMMYFUNCTION("""COMPUTED_VALUE"""),39037.77)</f>
        <v/>
      </c>
    </row>
    <row r="723">
      <c r="J723">
        <f>IFERROR(__xludf.DUMMYFUNCTION("""COMPUTED_VALUE"""),"Iqualuit, Nunavut, Canada")</f>
        <v/>
      </c>
      <c r="K723">
        <f>IFERROR(__xludf.DUMMYFUNCTION("""COMPUTED_VALUE"""),38948.44)</f>
        <v/>
      </c>
    </row>
    <row r="724">
      <c r="J724">
        <f>IFERROR(__xludf.DUMMYFUNCTION("""COMPUTED_VALUE"""),"Beijing and Shanghai, China")</f>
        <v/>
      </c>
      <c r="K724">
        <f>IFERROR(__xludf.DUMMYFUNCTION("""COMPUTED_VALUE"""),38898.85)</f>
        <v/>
      </c>
    </row>
    <row r="725">
      <c r="J725">
        <f>IFERROR(__xludf.DUMMYFUNCTION("""COMPUTED_VALUE"""),"Tokyo Japan")</f>
        <v/>
      </c>
      <c r="K725">
        <f>IFERROR(__xludf.DUMMYFUNCTION("""COMPUTED_VALUE"""),38853.65)</f>
        <v/>
      </c>
    </row>
    <row r="726">
      <c r="J726">
        <f>IFERROR(__xludf.DUMMYFUNCTION("""COMPUTED_VALUE"""),"Tanzania, Africa")</f>
        <v/>
      </c>
      <c r="K726">
        <f>IFERROR(__xludf.DUMMYFUNCTION("""COMPUTED_VALUE"""),38850.24)</f>
        <v/>
      </c>
    </row>
    <row r="727">
      <c r="J727">
        <f>IFERROR(__xludf.DUMMYFUNCTION("""COMPUTED_VALUE"""),"Penticton, BC")</f>
        <v/>
      </c>
      <c r="K727">
        <f>IFERROR(__xludf.DUMMYFUNCTION("""COMPUTED_VALUE"""),38842.27)</f>
        <v/>
      </c>
    </row>
    <row r="728">
      <c r="J728">
        <f>IFERROR(__xludf.DUMMYFUNCTION("""COMPUTED_VALUE"""),"Colombia")</f>
        <v/>
      </c>
      <c r="K728">
        <f>IFERROR(__xludf.DUMMYFUNCTION("""COMPUTED_VALUE"""),38830.52)</f>
        <v/>
      </c>
    </row>
    <row r="729">
      <c r="J729">
        <f>IFERROR(__xludf.DUMMYFUNCTION("""COMPUTED_VALUE"""),"London, England - Paris, France")</f>
        <v/>
      </c>
      <c r="K729">
        <f>IFERROR(__xludf.DUMMYFUNCTION("""COMPUTED_VALUE"""),38814.71)</f>
        <v/>
      </c>
    </row>
    <row r="730">
      <c r="J730">
        <f>IFERROR(__xludf.DUMMYFUNCTION("""COMPUTED_VALUE"""),"Churchill, Manitoba, Canada")</f>
        <v/>
      </c>
      <c r="K730">
        <f>IFERROR(__xludf.DUMMYFUNCTION("""COMPUTED_VALUE"""),38812.5499999999)</f>
        <v/>
      </c>
    </row>
    <row r="731">
      <c r="J731">
        <f>IFERROR(__xludf.DUMMYFUNCTION("""COMPUTED_VALUE"""),"Bangalore, Kolkate, New Delhi, Hyderabad and Mumbai")</f>
        <v/>
      </c>
      <c r="K731">
        <f>IFERROR(__xludf.DUMMYFUNCTION("""COMPUTED_VALUE"""),38775.2599999999)</f>
        <v/>
      </c>
    </row>
    <row r="732">
      <c r="J732">
        <f>IFERROR(__xludf.DUMMYFUNCTION("""COMPUTED_VALUE"""),"Orlando, Florida, USA")</f>
        <v/>
      </c>
      <c r="K732">
        <f>IFERROR(__xludf.DUMMYFUNCTION("""COMPUTED_VALUE"""),38764.4799999999)</f>
        <v/>
      </c>
    </row>
    <row r="733">
      <c r="J733">
        <f>IFERROR(__xludf.DUMMYFUNCTION("""COMPUTED_VALUE"""),"Halifax, Nova-Scotia, Canada")</f>
        <v/>
      </c>
      <c r="K733">
        <f>IFERROR(__xludf.DUMMYFUNCTION("""COMPUTED_VALUE"""),38701.62)</f>
        <v/>
      </c>
    </row>
    <row r="734">
      <c r="J734">
        <f>IFERROR(__xludf.DUMMYFUNCTION("""COMPUTED_VALUE"""),"Europe / Iraq")</f>
        <v/>
      </c>
      <c r="K734">
        <f>IFERROR(__xludf.DUMMYFUNCTION("""COMPUTED_VALUE"""),38465.84)</f>
        <v/>
      </c>
    </row>
    <row r="735">
      <c r="J735">
        <f>IFERROR(__xludf.DUMMYFUNCTION("""COMPUTED_VALUE"""),"Japan / South Korea")</f>
        <v/>
      </c>
      <c r="K735">
        <f>IFERROR(__xludf.DUMMYFUNCTION("""COMPUTED_VALUE"""),38442.08)</f>
        <v/>
      </c>
    </row>
    <row r="736">
      <c r="J736">
        <f>IFERROR(__xludf.DUMMYFUNCTION("""COMPUTED_VALUE"""),"Toronto, Ontario, Canada; Halifax, Nova Scotia, Canada")</f>
        <v/>
      </c>
      <c r="K736">
        <f>IFERROR(__xludf.DUMMYFUNCTION("""COMPUTED_VALUE"""),38436.8899999999)</f>
        <v/>
      </c>
    </row>
    <row r="737">
      <c r="J737">
        <f>IFERROR(__xludf.DUMMYFUNCTION("""COMPUTED_VALUE"""),"Colombo, Sri Lanka")</f>
        <v/>
      </c>
      <c r="K737">
        <f>IFERROR(__xludf.DUMMYFUNCTION("""COMPUTED_VALUE"""),38289.9)</f>
        <v/>
      </c>
    </row>
    <row r="738">
      <c r="J738">
        <f>IFERROR(__xludf.DUMMYFUNCTION("""COMPUTED_VALUE"""),"Shanghai and Beijing, China")</f>
        <v/>
      </c>
      <c r="K738">
        <f>IFERROR(__xludf.DUMMYFUNCTION("""COMPUTED_VALUE"""),38282.18)</f>
        <v/>
      </c>
    </row>
    <row r="739">
      <c r="J739">
        <f>IFERROR(__xludf.DUMMYFUNCTION("""COMPUTED_VALUE"""),"Brussels Muscat Doha, Belgium Oman Qatar")</f>
        <v/>
      </c>
      <c r="K739">
        <f>IFERROR(__xludf.DUMMYFUNCTION("""COMPUTED_VALUE"""),38245.98)</f>
        <v/>
      </c>
    </row>
    <row r="740">
      <c r="J740">
        <f>IFERROR(__xludf.DUMMYFUNCTION("""COMPUTED_VALUE"""),"Boston")</f>
        <v/>
      </c>
      <c r="K740">
        <f>IFERROR(__xludf.DUMMYFUNCTION("""COMPUTED_VALUE"""),38181.15)</f>
        <v/>
      </c>
    </row>
    <row r="741">
      <c r="J741">
        <f>IFERROR(__xludf.DUMMYFUNCTION("""COMPUTED_VALUE"""),"Hong Kong, Hong Kong &amp; Tokyo, Japan")</f>
        <v/>
      </c>
      <c r="K741">
        <f>IFERROR(__xludf.DUMMYFUNCTION("""COMPUTED_VALUE"""),38170.17)</f>
        <v/>
      </c>
    </row>
    <row r="742">
      <c r="J742">
        <f>IFERROR(__xludf.DUMMYFUNCTION("""COMPUTED_VALUE"""),"Washington, US")</f>
        <v/>
      </c>
      <c r="K742">
        <f>IFERROR(__xludf.DUMMYFUNCTION("""COMPUTED_VALUE"""),38082.5699999999)</f>
        <v/>
      </c>
    </row>
    <row r="743">
      <c r="J743">
        <f>IFERROR(__xludf.DUMMYFUNCTION("""COMPUTED_VALUE"""),"Brisbane Australia")</f>
        <v/>
      </c>
      <c r="K743">
        <f>IFERROR(__xludf.DUMMYFUNCTION("""COMPUTED_VALUE"""),38023.9799999999)</f>
        <v/>
      </c>
    </row>
    <row r="744">
      <c r="J744">
        <f>IFERROR(__xludf.DUMMYFUNCTION("""COMPUTED_VALUE"""),"CHARLOTTETOWN, PE, CANADA")</f>
        <v/>
      </c>
      <c r="K744">
        <f>IFERROR(__xludf.DUMMYFUNCTION("""COMPUTED_VALUE"""),37854.21)</f>
        <v/>
      </c>
    </row>
    <row r="745">
      <c r="J745">
        <f>IFERROR(__xludf.DUMMYFUNCTION("""COMPUTED_VALUE"""),"United Arab Emirates, Qatar, India")</f>
        <v/>
      </c>
      <c r="K745">
        <f>IFERROR(__xludf.DUMMYFUNCTION("""COMPUTED_VALUE"""),37760.6)</f>
        <v/>
      </c>
    </row>
    <row r="746">
      <c r="J746">
        <f>IFERROR(__xludf.DUMMYFUNCTION("""COMPUTED_VALUE"""),"Antananarivo, Madagascar")</f>
        <v/>
      </c>
      <c r="K746">
        <f>IFERROR(__xludf.DUMMYFUNCTION("""COMPUTED_VALUE"""),37756.2)</f>
        <v/>
      </c>
    </row>
    <row r="747">
      <c r="J747">
        <f>IFERROR(__xludf.DUMMYFUNCTION("""COMPUTED_VALUE"""),"Brussels Belgiam and Naples Italy")</f>
        <v/>
      </c>
      <c r="K747">
        <f>IFERROR(__xludf.DUMMYFUNCTION("""COMPUTED_VALUE"""),37670.24)</f>
        <v/>
      </c>
    </row>
    <row r="748">
      <c r="J748">
        <f>IFERROR(__xludf.DUMMYFUNCTION("""COMPUTED_VALUE"""),"Peterborough, Ontario, Canada")</f>
        <v/>
      </c>
      <c r="K748">
        <f>IFERROR(__xludf.DUMMYFUNCTION("""COMPUTED_VALUE"""),37396.35)</f>
        <v/>
      </c>
    </row>
    <row r="749">
      <c r="J749">
        <f>IFERROR(__xludf.DUMMYFUNCTION("""COMPUTED_VALUE"""),"Ottawa and Washington")</f>
        <v/>
      </c>
      <c r="K749">
        <f>IFERROR(__xludf.DUMMYFUNCTION("""COMPUTED_VALUE"""),37327.94)</f>
        <v/>
      </c>
    </row>
    <row r="750">
      <c r="J750">
        <f>IFERROR(__xludf.DUMMYFUNCTION("""COMPUTED_VALUE"""),"London and Brussels")</f>
        <v/>
      </c>
      <c r="K750">
        <f>IFERROR(__xludf.DUMMYFUNCTION("""COMPUTED_VALUE"""),37322.6)</f>
        <v/>
      </c>
    </row>
    <row r="751">
      <c r="J751">
        <f>IFERROR(__xludf.DUMMYFUNCTION("""COMPUTED_VALUE"""),"Halifax,Nova Scotia,Canada")</f>
        <v/>
      </c>
      <c r="K751">
        <f>IFERROR(__xludf.DUMMYFUNCTION("""COMPUTED_VALUE"""),37270.45)</f>
        <v/>
      </c>
    </row>
    <row r="752">
      <c r="J752">
        <f>IFERROR(__xludf.DUMMYFUNCTION("""COMPUTED_VALUE"""),"Canberra, AUS")</f>
        <v/>
      </c>
      <c r="K752">
        <f>IFERROR(__xludf.DUMMYFUNCTION("""COMPUTED_VALUE"""),37214.9)</f>
        <v/>
      </c>
    </row>
    <row r="753">
      <c r="J753">
        <f>IFERROR(__xludf.DUMMYFUNCTION("""COMPUTED_VALUE"""),"Kazakhstan, UAE, Afghanistan, Vietman and Hong Kong")</f>
        <v/>
      </c>
      <c r="K753">
        <f>IFERROR(__xludf.DUMMYFUNCTION("""COMPUTED_VALUE"""),37213.84)</f>
        <v/>
      </c>
    </row>
    <row r="754">
      <c r="J754">
        <f>IFERROR(__xludf.DUMMYFUNCTION("""COMPUTED_VALUE"""),"Hong Kong, China; Singapore, Singapore;
Sydney, Australia; Brussels, Belgium;
London, United Kingdom")</f>
        <v/>
      </c>
      <c r="K754">
        <f>IFERROR(__xludf.DUMMYFUNCTION("""COMPUTED_VALUE"""),37186.7)</f>
        <v/>
      </c>
    </row>
    <row r="755">
      <c r="J755">
        <f>IFERROR(__xludf.DUMMYFUNCTION("""COMPUTED_VALUE"""),"Québec, Québec, Canada")</f>
        <v/>
      </c>
      <c r="K755">
        <f>IFERROR(__xludf.DUMMYFUNCTION("""COMPUTED_VALUE"""),37111.26)</f>
        <v/>
      </c>
    </row>
    <row r="756">
      <c r="J756">
        <f>IFERROR(__xludf.DUMMYFUNCTION("""COMPUTED_VALUE"""),"Norway, Russia and Finland")</f>
        <v/>
      </c>
      <c r="K756">
        <f>IFERROR(__xludf.DUMMYFUNCTION("""COMPUTED_VALUE"""),37079.2)</f>
        <v/>
      </c>
    </row>
    <row r="757">
      <c r="J757">
        <f>IFERROR(__xludf.DUMMYFUNCTION("""COMPUTED_VALUE"""),"Whitehorse, Yukon Territory, Canada")</f>
        <v/>
      </c>
      <c r="K757">
        <f>IFERROR(__xludf.DUMMYFUNCTION("""COMPUTED_VALUE"""),36871.4799999999)</f>
        <v/>
      </c>
    </row>
    <row r="758">
      <c r="J758">
        <f>IFERROR(__xludf.DUMMYFUNCTION("""COMPUTED_VALUE"""),"Nanaimo, British Columbia")</f>
        <v/>
      </c>
      <c r="K758">
        <f>IFERROR(__xludf.DUMMYFUNCTION("""COMPUTED_VALUE"""),36859.76)</f>
        <v/>
      </c>
    </row>
    <row r="759">
      <c r="J759">
        <f>IFERROR(__xludf.DUMMYFUNCTION("""COMPUTED_VALUE"""),"Beijing,China/Nanjing, China/Shanghai,China/Manila, Philippines/Hong Kong,China")</f>
        <v/>
      </c>
      <c r="K759">
        <f>IFERROR(__xludf.DUMMYFUNCTION("""COMPUTED_VALUE"""),36856.3)</f>
        <v/>
      </c>
    </row>
    <row r="760">
      <c r="J760">
        <f>IFERROR(__xludf.DUMMYFUNCTION("""COMPUTED_VALUE"""),"Nanaimo, BC")</f>
        <v/>
      </c>
      <c r="K760">
        <f>IFERROR(__xludf.DUMMYFUNCTION("""COMPUTED_VALUE"""),36853.95)</f>
        <v/>
      </c>
    </row>
    <row r="761">
      <c r="J761">
        <f>IFERROR(__xludf.DUMMYFUNCTION("""COMPUTED_VALUE"""),"Vancouver, British Columbia, Canada / Nanaimo, British Columbia, Canada")</f>
        <v/>
      </c>
      <c r="K761">
        <f>IFERROR(__xludf.DUMMYFUNCTION("""COMPUTED_VALUE"""),36849.2599999999)</f>
        <v/>
      </c>
    </row>
    <row r="762">
      <c r="J762">
        <f>IFERROR(__xludf.DUMMYFUNCTION("""COMPUTED_VALUE"""),"Kuwait, Dubai &amp; Abu Dhabi (UAE)")</f>
        <v/>
      </c>
      <c r="K762">
        <f>IFERROR(__xludf.DUMMYFUNCTION("""COMPUTED_VALUE"""),36838.93)</f>
        <v/>
      </c>
    </row>
    <row r="763">
      <c r="J763">
        <f>IFERROR(__xludf.DUMMYFUNCTION("""COMPUTED_VALUE"""),"OTTAWA, ON - CHARLOTTETOWN, PE")</f>
        <v/>
      </c>
      <c r="K763">
        <f>IFERROR(__xludf.DUMMYFUNCTION("""COMPUTED_VALUE"""),36709.47)</f>
        <v/>
      </c>
    </row>
    <row r="764">
      <c r="J764">
        <f>IFERROR(__xludf.DUMMYFUNCTION("""COMPUTED_VALUE"""),"Whitehorse")</f>
        <v/>
      </c>
      <c r="K764">
        <f>IFERROR(__xludf.DUMMYFUNCTION("""COMPUTED_VALUE"""),36697.56)</f>
        <v/>
      </c>
    </row>
    <row r="765">
      <c r="J765">
        <f>IFERROR(__xludf.DUMMYFUNCTION("""COMPUTED_VALUE"""),"Hong Kong, Shanghai, China")</f>
        <v/>
      </c>
      <c r="K765">
        <f>IFERROR(__xludf.DUMMYFUNCTION("""COMPUTED_VALUE"""),36641.06)</f>
        <v/>
      </c>
    </row>
    <row r="766">
      <c r="J766">
        <f>IFERROR(__xludf.DUMMYFUNCTION("""COMPUTED_VALUE"""),"Middle East (Jordan, Egypt and Lebanon)")</f>
        <v/>
      </c>
      <c r="K766">
        <f>IFERROR(__xludf.DUMMYFUNCTION("""COMPUTED_VALUE"""),36638.61)</f>
        <v/>
      </c>
    </row>
    <row r="767">
      <c r="J767">
        <f>IFERROR(__xludf.DUMMYFUNCTION("""COMPUTED_VALUE"""),"Thunder Bay, ON")</f>
        <v/>
      </c>
      <c r="K767">
        <f>IFERROR(__xludf.DUMMYFUNCTION("""COMPUTED_VALUE"""),36595.7899999999)</f>
        <v/>
      </c>
    </row>
    <row r="768">
      <c r="J768">
        <f>IFERROR(__xludf.DUMMYFUNCTION("""COMPUTED_VALUE"""),"Toronto and Vancouver")</f>
        <v/>
      </c>
      <c r="K768">
        <f>IFERROR(__xludf.DUMMYFUNCTION("""COMPUTED_VALUE"""),36484)</f>
        <v/>
      </c>
    </row>
    <row r="769">
      <c r="J769">
        <f>IFERROR(__xludf.DUMMYFUNCTION("""COMPUTED_VALUE"""),"MONTREAL, QC")</f>
        <v/>
      </c>
      <c r="K769">
        <f>IFERROR(__xludf.DUMMYFUNCTION("""COMPUTED_VALUE"""),36269.76)</f>
        <v/>
      </c>
    </row>
    <row r="770">
      <c r="J770">
        <f>IFERROR(__xludf.DUMMYFUNCTION("""COMPUTED_VALUE"""),"Africa (Cotonou, Kinshasa &amp; Kigali)")</f>
        <v/>
      </c>
      <c r="K770">
        <f>IFERROR(__xludf.DUMMYFUNCTION("""COMPUTED_VALUE"""),36261.53)</f>
        <v/>
      </c>
    </row>
    <row r="771">
      <c r="J771">
        <f>IFERROR(__xludf.DUMMYFUNCTION("""COMPUTED_VALUE"""),"Laos")</f>
        <v/>
      </c>
      <c r="K771">
        <f>IFERROR(__xludf.DUMMYFUNCTION("""COMPUTED_VALUE"""),36255.18)</f>
        <v/>
      </c>
    </row>
    <row r="772">
      <c r="J772">
        <f>IFERROR(__xludf.DUMMYFUNCTION("""COMPUTED_VALUE"""),"Egypt")</f>
        <v/>
      </c>
      <c r="K772">
        <f>IFERROR(__xludf.DUMMYFUNCTION("""COMPUTED_VALUE"""),36250.94)</f>
        <v/>
      </c>
    </row>
    <row r="773">
      <c r="J773">
        <f>IFERROR(__xludf.DUMMYFUNCTION("""COMPUTED_VALUE"""),"New York, Brussels, Rome and Shanghai")</f>
        <v/>
      </c>
      <c r="K773">
        <f>IFERROR(__xludf.DUMMYFUNCTION("""COMPUTED_VALUE"""),36219.49)</f>
        <v/>
      </c>
    </row>
    <row r="774">
      <c r="J774">
        <f>IFERROR(__xludf.DUMMYFUNCTION("""COMPUTED_VALUE"""),"London, United Kingdom; Toronto, Ontario, Canada")</f>
        <v/>
      </c>
      <c r="K774">
        <f>IFERROR(__xludf.DUMMYFUNCTION("""COMPUTED_VALUE"""),36100.25)</f>
        <v/>
      </c>
    </row>
    <row r="775">
      <c r="J775">
        <f>IFERROR(__xludf.DUMMYFUNCTION("""COMPUTED_VALUE"""),"Vancouver and Victoria, BC")</f>
        <v/>
      </c>
      <c r="K775">
        <f>IFERROR(__xludf.DUMMYFUNCTION("""COMPUTED_VALUE"""),36048.55)</f>
        <v/>
      </c>
    </row>
    <row r="776">
      <c r="J776">
        <f>IFERROR(__xludf.DUMMYFUNCTION("""COMPUTED_VALUE"""),"Poland, Ukraine")</f>
        <v/>
      </c>
      <c r="K776">
        <f>IFERROR(__xludf.DUMMYFUNCTION("""COMPUTED_VALUE"""),35983.95)</f>
        <v/>
      </c>
    </row>
    <row r="777">
      <c r="J777">
        <f>IFERROR(__xludf.DUMMYFUNCTION("""COMPUTED_VALUE"""),"Qatar, Middle East")</f>
        <v/>
      </c>
      <c r="K777">
        <f>IFERROR(__xludf.DUMMYFUNCTION("""COMPUTED_VALUE"""),35966.01)</f>
        <v/>
      </c>
    </row>
    <row r="778">
      <c r="J778">
        <f>IFERROR(__xludf.DUMMYFUNCTION("""COMPUTED_VALUE"""),"China, Hong Kong, United Kingdom, Thailand and East Timor.")</f>
        <v/>
      </c>
      <c r="K778">
        <f>IFERROR(__xludf.DUMMYFUNCTION("""COMPUTED_VALUE"""),35894.6499999999)</f>
        <v/>
      </c>
    </row>
    <row r="779">
      <c r="J779">
        <f>IFERROR(__xludf.DUMMYFUNCTION("""COMPUTED_VALUE"""),"Jasper, Alberta")</f>
        <v/>
      </c>
      <c r="K779">
        <f>IFERROR(__xludf.DUMMYFUNCTION("""COMPUTED_VALUE"""),35860.77)</f>
        <v/>
      </c>
    </row>
    <row r="780">
      <c r="J780">
        <f>IFERROR(__xludf.DUMMYFUNCTION("""COMPUTED_VALUE"""),"The Hague")</f>
        <v/>
      </c>
      <c r="K780">
        <f>IFERROR(__xludf.DUMMYFUNCTION("""COMPUTED_VALUE"""),35796.21)</f>
        <v/>
      </c>
    </row>
    <row r="781">
      <c r="J781">
        <f>IFERROR(__xludf.DUMMYFUNCTION("""COMPUTED_VALUE"""),"Abidjan, Ivory Coast")</f>
        <v/>
      </c>
      <c r="K781">
        <f>IFERROR(__xludf.DUMMYFUNCTION("""COMPUTED_VALUE"""),35681.1499999999)</f>
        <v/>
      </c>
    </row>
    <row r="782">
      <c r="J782">
        <f>IFERROR(__xludf.DUMMYFUNCTION("""COMPUTED_VALUE"""),"Doha Riyadh Abu Dhabi Dubai, Qatar Saudi Arabia United Arab Emirates")</f>
        <v/>
      </c>
      <c r="K782">
        <f>IFERROR(__xludf.DUMMYFUNCTION("""COMPUTED_VALUE"""),35666.01)</f>
        <v/>
      </c>
    </row>
    <row r="783">
      <c r="J783">
        <f>IFERROR(__xludf.DUMMYFUNCTION("""COMPUTED_VALUE"""),"Québec, Quebec")</f>
        <v/>
      </c>
      <c r="K783">
        <f>IFERROR(__xludf.DUMMYFUNCTION("""COMPUTED_VALUE"""),35634.2999999999)</f>
        <v/>
      </c>
    </row>
    <row r="784">
      <c r="J784">
        <f>IFERROR(__xludf.DUMMYFUNCTION("""COMPUTED_VALUE"""),"New York, Madagascar, and Mozambique.")</f>
        <v/>
      </c>
      <c r="K784">
        <f>IFERROR(__xludf.DUMMYFUNCTION("""COMPUTED_VALUE"""),35610.07)</f>
        <v/>
      </c>
    </row>
    <row r="785">
      <c r="J785">
        <f>IFERROR(__xludf.DUMMYFUNCTION("""COMPUTED_VALUE"""),"Russia, Moscow")</f>
        <v/>
      </c>
      <c r="K785">
        <f>IFERROR(__xludf.DUMMYFUNCTION("""COMPUTED_VALUE"""),35564.78)</f>
        <v/>
      </c>
    </row>
    <row r="786">
      <c r="J786">
        <f>IFERROR(__xludf.DUMMYFUNCTION("""COMPUTED_VALUE"""),"Montréal (Quebec) Canada")</f>
        <v/>
      </c>
      <c r="K786">
        <f>IFERROR(__xludf.DUMMYFUNCTION("""COMPUTED_VALUE"""),35538.38)</f>
        <v/>
      </c>
    </row>
    <row r="787">
      <c r="J787">
        <f>IFERROR(__xludf.DUMMYFUNCTION("""COMPUTED_VALUE"""),"(Ontario)")</f>
        <v/>
      </c>
      <c r="K787">
        <f>IFERROR(__xludf.DUMMYFUNCTION("""COMPUTED_VALUE"""),35462.79)</f>
        <v/>
      </c>
    </row>
    <row r="788">
      <c r="J788">
        <f>IFERROR(__xludf.DUMMYFUNCTION("""COMPUTED_VALUE"""),"Geneva, Switzerland / Lisbon, Portugal / Berlin, Germany")</f>
        <v/>
      </c>
      <c r="K788">
        <f>IFERROR(__xludf.DUMMYFUNCTION("""COMPUTED_VALUE"""),35455.47)</f>
        <v/>
      </c>
    </row>
    <row r="789">
      <c r="J789">
        <f>IFERROR(__xludf.DUMMYFUNCTION("""COMPUTED_VALUE"""),"Adelaide, Australia")</f>
        <v/>
      </c>
      <c r="K789">
        <f>IFERROR(__xludf.DUMMYFUNCTION("""COMPUTED_VALUE"""),35446.85)</f>
        <v/>
      </c>
    </row>
    <row r="790">
      <c r="J790">
        <f>IFERROR(__xludf.DUMMYFUNCTION("""COMPUTED_VALUE"""),"Miami, Florida")</f>
        <v/>
      </c>
      <c r="K790">
        <f>IFERROR(__xludf.DUMMYFUNCTION("""COMPUTED_VALUE"""),35416.36)</f>
        <v/>
      </c>
    </row>
    <row r="791">
      <c r="J791">
        <f>IFERROR(__xludf.DUMMYFUNCTION("""COMPUTED_VALUE"""),"BANGKOK, THAILAND, PHUKET, JAKARTA AND INDONESIA")</f>
        <v/>
      </c>
      <c r="K791">
        <f>IFERROR(__xludf.DUMMYFUNCTION("""COMPUTED_VALUE"""),35402.7299999999)</f>
        <v/>
      </c>
    </row>
    <row r="792">
      <c r="J792">
        <f>IFERROR(__xludf.DUMMYFUNCTION("""COMPUTED_VALUE"""),"HALIFAX, NS")</f>
        <v/>
      </c>
      <c r="K792">
        <f>IFERROR(__xludf.DUMMYFUNCTION("""COMPUTED_VALUE"""),35399.2)</f>
        <v/>
      </c>
    </row>
    <row r="793">
      <c r="J793">
        <f>IFERROR(__xludf.DUMMYFUNCTION("""COMPUTED_VALUE"""),"France, Germany, Australia")</f>
        <v/>
      </c>
      <c r="K793">
        <f>IFERROR(__xludf.DUMMYFUNCTION("""COMPUTED_VALUE"""),35386.08)</f>
        <v/>
      </c>
    </row>
    <row r="794">
      <c r="J794">
        <f>IFERROR(__xludf.DUMMYFUNCTION("""COMPUTED_VALUE"""),"Abu Dhabi, United Arab Emirates / Abuja, Nigeria / Doha, Qatar")</f>
        <v/>
      </c>
      <c r="K794">
        <f>IFERROR(__xludf.DUMMYFUNCTION("""COMPUTED_VALUE"""),35330.76)</f>
        <v/>
      </c>
    </row>
    <row r="795">
      <c r="J795">
        <f>IFERROR(__xludf.DUMMYFUNCTION("""COMPUTED_VALUE"""),"Astana, Kazakhstan")</f>
        <v/>
      </c>
      <c r="K795">
        <f>IFERROR(__xludf.DUMMYFUNCTION("""COMPUTED_VALUE"""),35307.03)</f>
        <v/>
      </c>
    </row>
    <row r="796">
      <c r="J796">
        <f>IFERROR(__xludf.DUMMYFUNCTION("""COMPUTED_VALUE"""),"Ottawa, Toronto")</f>
        <v/>
      </c>
      <c r="K796">
        <f>IFERROR(__xludf.DUMMYFUNCTION("""COMPUTED_VALUE"""),35222.67)</f>
        <v/>
      </c>
    </row>
    <row r="797">
      <c r="J797">
        <f>IFERROR(__xludf.DUMMYFUNCTION("""COMPUTED_VALUE"""),"Gatineau")</f>
        <v/>
      </c>
      <c r="K797">
        <f>IFERROR(__xludf.DUMMYFUNCTION("""COMPUTED_VALUE"""),35222.4499999999)</f>
        <v/>
      </c>
    </row>
    <row r="798">
      <c r="J798">
        <f>IFERROR(__xludf.DUMMYFUNCTION("""COMPUTED_VALUE"""),"Chicago")</f>
        <v/>
      </c>
      <c r="K798">
        <f>IFERROR(__xludf.DUMMYFUNCTION("""COMPUTED_VALUE"""),35186.0499999999)</f>
        <v/>
      </c>
    </row>
    <row r="799">
      <c r="J799">
        <f>IFERROR(__xludf.DUMMYFUNCTION("""COMPUTED_VALUE"""),"Nusa Dua, Bali, Indonesia")</f>
        <v/>
      </c>
      <c r="K799">
        <f>IFERROR(__xludf.DUMMYFUNCTION("""COMPUTED_VALUE"""),35155.67)</f>
        <v/>
      </c>
    </row>
    <row r="800">
      <c r="J800">
        <f>IFERROR(__xludf.DUMMYFUNCTION("""COMPUTED_VALUE"""),"Washington, DC, United States of America")</f>
        <v/>
      </c>
      <c r="K800">
        <f>IFERROR(__xludf.DUMMYFUNCTION("""COMPUTED_VALUE"""),35141.31)</f>
        <v/>
      </c>
    </row>
    <row r="801">
      <c r="J801">
        <f>IFERROR(__xludf.DUMMYFUNCTION("""COMPUTED_VALUE"""),"Gaborone, Botswana")</f>
        <v/>
      </c>
      <c r="K801">
        <f>IFERROR(__xludf.DUMMYFUNCTION("""COMPUTED_VALUE"""),35057.17)</f>
        <v/>
      </c>
    </row>
    <row r="802">
      <c r="J802">
        <f>IFERROR(__xludf.DUMMYFUNCTION("""COMPUTED_VALUE"""),"Singapore, Malaysia")</f>
        <v/>
      </c>
      <c r="K802">
        <f>IFERROR(__xludf.DUMMYFUNCTION("""COMPUTED_VALUE"""),35042.83)</f>
        <v/>
      </c>
    </row>
    <row r="803">
      <c r="J803">
        <f>IFERROR(__xludf.DUMMYFUNCTION("""COMPUTED_VALUE"""),"Delhi, India and Seoul, South Korea")</f>
        <v/>
      </c>
      <c r="K803">
        <f>IFERROR(__xludf.DUMMYFUNCTION("""COMPUTED_VALUE"""),34999.22)</f>
        <v/>
      </c>
    </row>
    <row r="804">
      <c r="J804">
        <f>IFERROR(__xludf.DUMMYFUNCTION("""COMPUTED_VALUE"""),"Canberra, Australia; Wellington, New Zealand")</f>
        <v/>
      </c>
      <c r="K804">
        <f>IFERROR(__xludf.DUMMYFUNCTION("""COMPUTED_VALUE"""),34991.36)</f>
        <v/>
      </c>
    </row>
    <row r="805">
      <c r="J805">
        <f>IFERROR(__xludf.DUMMYFUNCTION("""COMPUTED_VALUE"""),"Bonn, Germany (Europe)")</f>
        <v/>
      </c>
      <c r="K805">
        <f>IFERROR(__xludf.DUMMYFUNCTION("""COMPUTED_VALUE"""),34986.9799999999)</f>
        <v/>
      </c>
    </row>
    <row r="806">
      <c r="J806">
        <f>IFERROR(__xludf.DUMMYFUNCTION("""COMPUTED_VALUE"""),"Paris, Dubai, Baghdad, Erbil and Amman")</f>
        <v/>
      </c>
      <c r="K806">
        <f>IFERROR(__xludf.DUMMYFUNCTION("""COMPUTED_VALUE"""),34946.76)</f>
        <v/>
      </c>
    </row>
    <row r="807">
      <c r="J807">
        <f>IFERROR(__xludf.DUMMYFUNCTION("""COMPUTED_VALUE"""),"Johannesburg")</f>
        <v/>
      </c>
      <c r="K807">
        <f>IFERROR(__xludf.DUMMYFUNCTION("""COMPUTED_VALUE"""),34940.72)</f>
        <v/>
      </c>
    </row>
    <row r="808">
      <c r="J808">
        <f>IFERROR(__xludf.DUMMYFUNCTION("""COMPUTED_VALUE"""),"Algiers and Doha")</f>
        <v/>
      </c>
      <c r="K808">
        <f>IFERROR(__xludf.DUMMYFUNCTION("""COMPUTED_VALUE"""),34876.62)</f>
        <v/>
      </c>
    </row>
    <row r="809">
      <c r="J809">
        <f>IFERROR(__xludf.DUMMYFUNCTION("""COMPUTED_VALUE"""),"Punta del Este, Uruguay")</f>
        <v/>
      </c>
      <c r="K809">
        <f>IFERROR(__xludf.DUMMYFUNCTION("""COMPUTED_VALUE"""),34870.09)</f>
        <v/>
      </c>
    </row>
    <row r="810">
      <c r="J810">
        <f>IFERROR(__xludf.DUMMYFUNCTION("""COMPUTED_VALUE"""),"Pinawa, Manitoba")</f>
        <v/>
      </c>
      <c r="K810">
        <f>IFERROR(__xludf.DUMMYFUNCTION("""COMPUTED_VALUE"""),34798.55)</f>
        <v/>
      </c>
    </row>
    <row r="811">
      <c r="J811">
        <f>IFERROR(__xludf.DUMMYFUNCTION("""COMPUTED_VALUE"""),"Paris, Île-de-France, France; Berlin, Germany")</f>
        <v/>
      </c>
      <c r="K811">
        <f>IFERROR(__xludf.DUMMYFUNCTION("""COMPUTED_VALUE"""),34797.75)</f>
        <v/>
      </c>
    </row>
    <row r="812">
      <c r="J812">
        <f>IFERROR(__xludf.DUMMYFUNCTION("""COMPUTED_VALUE"""),"Manitoba")</f>
        <v/>
      </c>
      <c r="K812">
        <f>IFERROR(__xludf.DUMMYFUNCTION("""COMPUTED_VALUE"""),34794.58)</f>
        <v/>
      </c>
    </row>
    <row r="813">
      <c r="J813">
        <f>IFERROR(__xludf.DUMMYFUNCTION("""COMPUTED_VALUE"""),"Seoul, South Korea
Singapore, Singapore")</f>
        <v/>
      </c>
      <c r="K813">
        <f>IFERROR(__xludf.DUMMYFUNCTION("""COMPUTED_VALUE"""),34735.36)</f>
        <v/>
      </c>
    </row>
    <row r="814">
      <c r="J814">
        <f>IFERROR(__xludf.DUMMYFUNCTION("""COMPUTED_VALUE"""),"Kazakhstan")</f>
        <v/>
      </c>
      <c r="K814">
        <f>IFERROR(__xludf.DUMMYFUNCTION("""COMPUTED_VALUE"""),34728.42)</f>
        <v/>
      </c>
    </row>
    <row r="815">
      <c r="J815">
        <f>IFERROR(__xludf.DUMMYFUNCTION("""COMPUTED_VALUE"""),"Montreal, Quebec, Canada &amp; New York, New York, United States")</f>
        <v/>
      </c>
      <c r="K815">
        <f>IFERROR(__xludf.DUMMYFUNCTION("""COMPUTED_VALUE"""),34680.85)</f>
        <v/>
      </c>
    </row>
    <row r="816">
      <c r="J816">
        <f>IFERROR(__xludf.DUMMYFUNCTION("""COMPUTED_VALUE"""),"Jordan")</f>
        <v/>
      </c>
      <c r="K816">
        <f>IFERROR(__xludf.DUMMYFUNCTION("""COMPUTED_VALUE"""),34669.2899999999)</f>
        <v/>
      </c>
    </row>
    <row r="817">
      <c r="J817">
        <f>IFERROR(__xludf.DUMMYFUNCTION("""COMPUTED_VALUE"""),"Cambodia")</f>
        <v/>
      </c>
      <c r="K817">
        <f>IFERROR(__xludf.DUMMYFUNCTION("""COMPUTED_VALUE"""),34649.41)</f>
        <v/>
      </c>
    </row>
    <row r="818">
      <c r="J818">
        <f>IFERROR(__xludf.DUMMYFUNCTION("""COMPUTED_VALUE"""),"Bangladesh, Philippines, Doha")</f>
        <v/>
      </c>
      <c r="K818">
        <f>IFERROR(__xludf.DUMMYFUNCTION("""COMPUTED_VALUE"""),34626.63)</f>
        <v/>
      </c>
    </row>
    <row r="819">
      <c r="J819">
        <f>IFERROR(__xludf.DUMMYFUNCTION("""COMPUTED_VALUE"""),"India/Malaysia")</f>
        <v/>
      </c>
      <c r="K819">
        <f>IFERROR(__xludf.DUMMYFUNCTION("""COMPUTED_VALUE"""),34562.24)</f>
        <v/>
      </c>
    </row>
    <row r="820">
      <c r="J820">
        <f>IFERROR(__xludf.DUMMYFUNCTION("""COMPUTED_VALUE"""),"China, Singapore")</f>
        <v/>
      </c>
      <c r="K820">
        <f>IFERROR(__xludf.DUMMYFUNCTION("""COMPUTED_VALUE"""),34549.8)</f>
        <v/>
      </c>
    </row>
    <row r="821">
      <c r="J821">
        <f>IFERROR(__xludf.DUMMYFUNCTION("""COMPUTED_VALUE"""),"Dallas, Texas, United States")</f>
        <v/>
      </c>
      <c r="K821">
        <f>IFERROR(__xludf.DUMMYFUNCTION("""COMPUTED_VALUE"""),34549.35)</f>
        <v/>
      </c>
    </row>
    <row r="822">
      <c r="J822">
        <f>IFERROR(__xludf.DUMMYFUNCTION("""COMPUTED_VALUE"""),"Laos, Sri Lanka")</f>
        <v/>
      </c>
      <c r="K822">
        <f>IFERROR(__xludf.DUMMYFUNCTION("""COMPUTED_VALUE"""),34545.65)</f>
        <v/>
      </c>
    </row>
    <row r="823">
      <c r="J823">
        <f>IFERROR(__xludf.DUMMYFUNCTION("""COMPUTED_VALUE"""),"Kuujjuaq, Quebec, Canada")</f>
        <v/>
      </c>
      <c r="K823">
        <f>IFERROR(__xludf.DUMMYFUNCTION("""COMPUTED_VALUE"""),34456.89)</f>
        <v/>
      </c>
    </row>
    <row r="824">
      <c r="J824">
        <f>IFERROR(__xludf.DUMMYFUNCTION("""COMPUTED_VALUE"""),"Buenos Aires, Argentina; Santiego, Chili")</f>
        <v/>
      </c>
      <c r="K824">
        <f>IFERROR(__xludf.DUMMYFUNCTION("""COMPUTED_VALUE"""),34427.71)</f>
        <v/>
      </c>
    </row>
    <row r="825">
      <c r="J825">
        <f>IFERROR(__xludf.DUMMYFUNCTION("""COMPUTED_VALUE"""),"London, UK and Brussels, Belgium")</f>
        <v/>
      </c>
      <c r="K825">
        <f>IFERROR(__xludf.DUMMYFUNCTION("""COMPUTED_VALUE"""),34347.07)</f>
        <v/>
      </c>
    </row>
    <row r="826">
      <c r="J826">
        <f>IFERROR(__xludf.DUMMYFUNCTION("""COMPUTED_VALUE"""),"Seoul, (South Korea), Shanghai, Beijing (China)")</f>
        <v/>
      </c>
      <c r="K826">
        <f>IFERROR(__xludf.DUMMYFUNCTION("""COMPUTED_VALUE"""),34299.93)</f>
        <v/>
      </c>
    </row>
    <row r="827">
      <c r="J827">
        <f>IFERROR(__xludf.DUMMYFUNCTION("""COMPUTED_VALUE"""),"Nova Scotia")</f>
        <v/>
      </c>
      <c r="K827">
        <f>IFERROR(__xludf.DUMMYFUNCTION("""COMPUTED_VALUE"""),34290.71)</f>
        <v/>
      </c>
    </row>
    <row r="828">
      <c r="J828">
        <f>IFERROR(__xludf.DUMMYFUNCTION("""COMPUTED_VALUE"""),"Edmonton, Canada")</f>
        <v/>
      </c>
      <c r="K828">
        <f>IFERROR(__xludf.DUMMYFUNCTION("""COMPUTED_VALUE"""),34267.86)</f>
        <v/>
      </c>
    </row>
    <row r="829">
      <c r="J829">
        <f>IFERROR(__xludf.DUMMYFUNCTION("""COMPUTED_VALUE"""),"Singapore, SG")</f>
        <v/>
      </c>
      <c r="K829">
        <f>IFERROR(__xludf.DUMMYFUNCTION("""COMPUTED_VALUE"""),34250.5099999999)</f>
        <v/>
      </c>
    </row>
    <row r="830">
      <c r="J830">
        <f>IFERROR(__xludf.DUMMYFUNCTION("""COMPUTED_VALUE"""),"Jerusalem, Israel")</f>
        <v/>
      </c>
      <c r="K830">
        <f>IFERROR(__xludf.DUMMYFUNCTION("""COMPUTED_VALUE"""),34247.38)</f>
        <v/>
      </c>
    </row>
    <row r="831">
      <c r="J831">
        <f>IFERROR(__xludf.DUMMYFUNCTION("""COMPUTED_VALUE"""),"Kananaskis, AB")</f>
        <v/>
      </c>
      <c r="K831">
        <f>IFERROR(__xludf.DUMMYFUNCTION("""COMPUTED_VALUE"""),34224.24)</f>
        <v/>
      </c>
    </row>
    <row r="832">
      <c r="J832">
        <f>IFERROR(__xludf.DUMMYFUNCTION("""COMPUTED_VALUE"""),"Riga, Brussels")</f>
        <v/>
      </c>
      <c r="K832">
        <f>IFERROR(__xludf.DUMMYFUNCTION("""COMPUTED_VALUE"""),34169.17)</f>
        <v/>
      </c>
    </row>
    <row r="833">
      <c r="J833">
        <f>IFERROR(__xludf.DUMMYFUNCTION("""COMPUTED_VALUE"""),"Ottawa, Ontario (Canada)")</f>
        <v/>
      </c>
      <c r="K833">
        <f>IFERROR(__xludf.DUMMYFUNCTION("""COMPUTED_VALUE"""),34167.7099999999)</f>
        <v/>
      </c>
    </row>
    <row r="834">
      <c r="J834">
        <f>IFERROR(__xludf.DUMMYFUNCTION("""COMPUTED_VALUE"""),"Singapore/Japan/ France")</f>
        <v/>
      </c>
      <c r="K834">
        <f>IFERROR(__xludf.DUMMYFUNCTION("""COMPUTED_VALUE"""),34160.48)</f>
        <v/>
      </c>
    </row>
    <row r="835">
      <c r="J835">
        <f>IFERROR(__xludf.DUMMYFUNCTION("""COMPUTED_VALUE"""),"The Hague, Netherlands and Berlin, Germany")</f>
        <v/>
      </c>
      <c r="K835">
        <f>IFERROR(__xludf.DUMMYFUNCTION("""COMPUTED_VALUE"""),34107.79)</f>
        <v/>
      </c>
    </row>
    <row r="836">
      <c r="J836">
        <f>IFERROR(__xludf.DUMMYFUNCTION("""COMPUTED_VALUE"""),"Canberra, Australian Capital Territory, Australia")</f>
        <v/>
      </c>
      <c r="K836">
        <f>IFERROR(__xludf.DUMMYFUNCTION("""COMPUTED_VALUE"""),34093.92)</f>
        <v/>
      </c>
    </row>
    <row r="837">
      <c r="J837">
        <f>IFERROR(__xludf.DUMMYFUNCTION("""COMPUTED_VALUE"""),"St. John's, Newfoundland and Labrador, Canada; Halifax, Nova Scotia, Canada")</f>
        <v/>
      </c>
      <c r="K837">
        <f>IFERROR(__xludf.DUMMYFUNCTION("""COMPUTED_VALUE"""),34088.56)</f>
        <v/>
      </c>
    </row>
    <row r="838">
      <c r="J838">
        <f>IFERROR(__xludf.DUMMYFUNCTION("""COMPUTED_VALUE"""),"Bologna, Italy")</f>
        <v/>
      </c>
      <c r="K838">
        <f>IFERROR(__xludf.DUMMYFUNCTION("""COMPUTED_VALUE"""),34084.12)</f>
        <v/>
      </c>
    </row>
    <row r="839">
      <c r="J839">
        <f>IFERROR(__xludf.DUMMYFUNCTION("""COMPUTED_VALUE"""),"OTTAWA ON")</f>
        <v/>
      </c>
      <c r="K839">
        <f>IFERROR(__xludf.DUMMYFUNCTION("""COMPUTED_VALUE"""),34038.36)</f>
        <v/>
      </c>
    </row>
    <row r="840">
      <c r="J840">
        <f>IFERROR(__xludf.DUMMYFUNCTION("""COMPUTED_VALUE"""),"New York,  NY")</f>
        <v/>
      </c>
      <c r="K840">
        <f>IFERROR(__xludf.DUMMYFUNCTION("""COMPUTED_VALUE"""),34027.61)</f>
        <v/>
      </c>
    </row>
    <row r="841">
      <c r="J841">
        <f>IFERROR(__xludf.DUMMYFUNCTION("""COMPUTED_VALUE"""),"Sweden")</f>
        <v/>
      </c>
      <c r="K841">
        <f>IFERROR(__xludf.DUMMYFUNCTION("""COMPUTED_VALUE"""),33959.79)</f>
        <v/>
      </c>
    </row>
    <row r="842">
      <c r="J842">
        <f>IFERROR(__xludf.DUMMYFUNCTION("""COMPUTED_VALUE"""),"Kandahar, Afghanistan")</f>
        <v/>
      </c>
      <c r="K842">
        <f>IFERROR(__xludf.DUMMYFUNCTION("""COMPUTED_VALUE"""),33934.3)</f>
        <v/>
      </c>
    </row>
    <row r="843">
      <c r="J843">
        <f>IFERROR(__xludf.DUMMYFUNCTION("""COMPUTED_VALUE"""),"Wakefield, QC")</f>
        <v/>
      </c>
      <c r="K843">
        <f>IFERROR(__xludf.DUMMYFUNCTION("""COMPUTED_VALUE"""),33846.34)</f>
        <v/>
      </c>
    </row>
    <row r="844">
      <c r="J844">
        <f>IFERROR(__xludf.DUMMYFUNCTION("""COMPUTED_VALUE"""),"Kabul and Kandahar, Afghanistan")</f>
        <v/>
      </c>
      <c r="K844">
        <f>IFERROR(__xludf.DUMMYFUNCTION("""COMPUTED_VALUE"""),33844.3699999999)</f>
        <v/>
      </c>
    </row>
    <row r="845">
      <c r="J845">
        <f>IFERROR(__xludf.DUMMYFUNCTION("""COMPUTED_VALUE"""),"New York, New York; Washington DC")</f>
        <v/>
      </c>
      <c r="K845">
        <f>IFERROR(__xludf.DUMMYFUNCTION("""COMPUTED_VALUE"""),33718.72)</f>
        <v/>
      </c>
    </row>
    <row r="846">
      <c r="J846">
        <f>IFERROR(__xludf.DUMMYFUNCTION("""COMPUTED_VALUE"""),"Saint-Hubert, Quebec, Canada")</f>
        <v/>
      </c>
      <c r="K846">
        <f>IFERROR(__xludf.DUMMYFUNCTION("""COMPUTED_VALUE"""),33718.4199999999)</f>
        <v/>
      </c>
    </row>
    <row r="847">
      <c r="J847">
        <f>IFERROR(__xludf.DUMMYFUNCTION("""COMPUTED_VALUE"""),"Kenora, Ontario")</f>
        <v/>
      </c>
      <c r="K847">
        <f>IFERROR(__xludf.DUMMYFUNCTION("""COMPUTED_VALUE"""),33684.86)</f>
        <v/>
      </c>
    </row>
    <row r="848">
      <c r="J848">
        <f>IFERROR(__xludf.DUMMYFUNCTION("""COMPUTED_VALUE"""),"Singapore, Indonesia")</f>
        <v/>
      </c>
      <c r="K848">
        <f>IFERROR(__xludf.DUMMYFUNCTION("""COMPUTED_VALUE"""),33609.43)</f>
        <v/>
      </c>
    </row>
    <row r="849">
      <c r="J849">
        <f>IFERROR(__xludf.DUMMYFUNCTION("""COMPUTED_VALUE"""),"Stockholm, SE")</f>
        <v/>
      </c>
      <c r="K849">
        <f>IFERROR(__xludf.DUMMYFUNCTION("""COMPUTED_VALUE"""),33566.61)</f>
        <v/>
      </c>
    </row>
    <row r="850">
      <c r="J850">
        <f>IFERROR(__xludf.DUMMYFUNCTION("""COMPUTED_VALUE"""),"Nain, Newfoundland and Labrador, Canada")</f>
        <v/>
      </c>
      <c r="K850">
        <f>IFERROR(__xludf.DUMMYFUNCTION("""COMPUTED_VALUE"""),33561.35)</f>
        <v/>
      </c>
    </row>
    <row r="851">
      <c r="J851">
        <f>IFERROR(__xludf.DUMMYFUNCTION("""COMPUTED_VALUE"""),"Gatineau, Quebec, Canada; Ottawa, Ontario, Canada")</f>
        <v/>
      </c>
      <c r="K851">
        <f>IFERROR(__xludf.DUMMYFUNCTION("""COMPUTED_VALUE"""),33551.37)</f>
        <v/>
      </c>
    </row>
    <row r="852">
      <c r="J852">
        <f>IFERROR(__xludf.DUMMYFUNCTION("""COMPUTED_VALUE"""),"Quebec (Quebec) Canada")</f>
        <v/>
      </c>
      <c r="K852">
        <f>IFERROR(__xludf.DUMMYFUNCTION("""COMPUTED_VALUE"""),33543.67)</f>
        <v/>
      </c>
    </row>
    <row r="853">
      <c r="J853">
        <f>IFERROR(__xludf.DUMMYFUNCTION("""COMPUTED_VALUE"""),"Brussels London Accra and Seville, Belgium UK Ghana and Spain")</f>
        <v/>
      </c>
      <c r="K853">
        <f>IFERROR(__xludf.DUMMYFUNCTION("""COMPUTED_VALUE"""),33531.31)</f>
        <v/>
      </c>
    </row>
    <row r="854">
      <c r="J854">
        <f>IFERROR(__xludf.DUMMYFUNCTION("""COMPUTED_VALUE"""),"Vancouver and Ottawa")</f>
        <v/>
      </c>
      <c r="K854">
        <f>IFERROR(__xludf.DUMMYFUNCTION("""COMPUTED_VALUE"""),33527.3699999999)</f>
        <v/>
      </c>
    </row>
    <row r="855">
      <c r="J855">
        <f>IFERROR(__xludf.DUMMYFUNCTION("""COMPUTED_VALUE"""),"Hong Kong, Hong Kong &amp; Shanghai, China &amp; Ottawa, Ontario, Canada")</f>
        <v/>
      </c>
      <c r="K855">
        <f>IFERROR(__xludf.DUMMYFUNCTION("""COMPUTED_VALUE"""),33510.01)</f>
        <v/>
      </c>
    </row>
    <row r="856">
      <c r="J856">
        <f>IFERROR(__xludf.DUMMYFUNCTION("""COMPUTED_VALUE"""),"Sao Paulo and Brasilia, Brazil")</f>
        <v/>
      </c>
      <c r="K856">
        <f>IFERROR(__xludf.DUMMYFUNCTION("""COMPUTED_VALUE"""),33380.16)</f>
        <v/>
      </c>
    </row>
    <row r="857">
      <c r="J857">
        <f>IFERROR(__xludf.DUMMYFUNCTION("""COMPUTED_VALUE"""),"China, Mongolia, Japan")</f>
        <v/>
      </c>
      <c r="K857">
        <f>IFERROR(__xludf.DUMMYFUNCTION("""COMPUTED_VALUE"""),33374.85)</f>
        <v/>
      </c>
    </row>
    <row r="858">
      <c r="J858">
        <f>IFERROR(__xludf.DUMMYFUNCTION("""COMPUTED_VALUE"""),"Singapore and Sydney, Australia")</f>
        <v/>
      </c>
      <c r="K858">
        <f>IFERROR(__xludf.DUMMYFUNCTION("""COMPUTED_VALUE"""),33351.54)</f>
        <v/>
      </c>
    </row>
    <row r="859">
      <c r="J859">
        <f>IFERROR(__xludf.DUMMYFUNCTION("""COMPUTED_VALUE"""),"Argentina, Uruguay")</f>
        <v/>
      </c>
      <c r="K859">
        <f>IFERROR(__xludf.DUMMYFUNCTION("""COMPUTED_VALUE"""),33318.68)</f>
        <v/>
      </c>
    </row>
    <row r="860">
      <c r="J860">
        <f>IFERROR(__xludf.DUMMYFUNCTION("""COMPUTED_VALUE"""),"Madrid, Spain, Europe")</f>
        <v/>
      </c>
      <c r="K860">
        <f>IFERROR(__xludf.DUMMYFUNCTION("""COMPUTED_VALUE"""),33317.75)</f>
        <v/>
      </c>
    </row>
    <row r="861">
      <c r="J861">
        <f>IFERROR(__xludf.DUMMYFUNCTION("""COMPUTED_VALUE"""),"Paris (French Republic), Baghdad and Erbil (Iraq Republic), Amman (Jordan) and Brussels (Belgium)")</f>
        <v/>
      </c>
      <c r="K861">
        <f>IFERROR(__xludf.DUMMYFUNCTION("""COMPUTED_VALUE"""),33291.34)</f>
        <v/>
      </c>
    </row>
    <row r="862">
      <c r="J862">
        <f>IFERROR(__xludf.DUMMYFUNCTION("""COMPUTED_VALUE"""),"Philippines &amp; Vietnam (Hanoi, Ho Chi Minh &amp; Manila)")</f>
        <v/>
      </c>
      <c r="K862">
        <f>IFERROR(__xludf.DUMMYFUNCTION("""COMPUTED_VALUE"""),33280.39)</f>
        <v/>
      </c>
    </row>
    <row r="863">
      <c r="J863">
        <f>IFERROR(__xludf.DUMMYFUNCTION("""COMPUTED_VALUE"""),"Whitehorse and United Arab Emirates")</f>
        <v/>
      </c>
      <c r="K863">
        <f>IFERROR(__xludf.DUMMYFUNCTION("""COMPUTED_VALUE"""),33244.16)</f>
        <v/>
      </c>
    </row>
    <row r="864">
      <c r="J864">
        <f>IFERROR(__xludf.DUMMYFUNCTION("""COMPUTED_VALUE"""),"St. Andrews, UK and Singapore")</f>
        <v/>
      </c>
      <c r="K864">
        <f>IFERROR(__xludf.DUMMYFUNCTION("""COMPUTED_VALUE"""),33228.2599999999)</f>
        <v/>
      </c>
    </row>
    <row r="865">
      <c r="J865">
        <f>IFERROR(__xludf.DUMMYFUNCTION("""COMPUTED_VALUE"""),"Italy, Greece and New York")</f>
        <v/>
      </c>
      <c r="K865">
        <f>IFERROR(__xludf.DUMMYFUNCTION("""COMPUTED_VALUE"""),33208.99)</f>
        <v/>
      </c>
    </row>
    <row r="866">
      <c r="J866">
        <f>IFERROR(__xludf.DUMMYFUNCTION("""COMPUTED_VALUE"""),"Honolulu, U.S")</f>
        <v/>
      </c>
      <c r="K866">
        <f>IFERROR(__xludf.DUMMYFUNCTION("""COMPUTED_VALUE"""),33178.05)</f>
        <v/>
      </c>
    </row>
    <row r="867">
      <c r="J867">
        <f>IFERROR(__xludf.DUMMYFUNCTION("""COMPUTED_VALUE"""),"Berlin, Germany; Geneva, Switzerland")</f>
        <v/>
      </c>
      <c r="K867">
        <f>IFERROR(__xludf.DUMMYFUNCTION("""COMPUTED_VALUE"""),33167.13)</f>
        <v/>
      </c>
    </row>
    <row r="868">
      <c r="J868">
        <f>IFERROR(__xludf.DUMMYFUNCTION("""COMPUTED_VALUE"""),"Vietnam")</f>
        <v/>
      </c>
      <c r="K868">
        <f>IFERROR(__xludf.DUMMYFUNCTION("""COMPUTED_VALUE"""),33074.11)</f>
        <v/>
      </c>
    </row>
    <row r="869">
      <c r="J869">
        <f>IFERROR(__xludf.DUMMYFUNCTION("""COMPUTED_VALUE"""),"Tel Aviv, Israel;#25")</f>
        <v/>
      </c>
      <c r="K869">
        <f>IFERROR(__xludf.DUMMYFUNCTION("""COMPUTED_VALUE"""),33073.79)</f>
        <v/>
      </c>
    </row>
    <row r="870">
      <c r="J870">
        <f>IFERROR(__xludf.DUMMYFUNCTION("""COMPUTED_VALUE"""),"Colorado Springs, CO")</f>
        <v/>
      </c>
      <c r="K870">
        <f>IFERROR(__xludf.DUMMYFUNCTION("""COMPUTED_VALUE"""),33053.6899999999)</f>
        <v/>
      </c>
    </row>
    <row r="871">
      <c r="J871">
        <f>IFERROR(__xludf.DUMMYFUNCTION("""COMPUTED_VALUE"""),"Hamilton, Ontario")</f>
        <v/>
      </c>
      <c r="K871">
        <f>IFERROR(__xludf.DUMMYFUNCTION("""COMPUTED_VALUE"""),32993.12)</f>
        <v/>
      </c>
    </row>
    <row r="872">
      <c r="J872">
        <f>IFERROR(__xludf.DUMMYFUNCTION("""COMPUTED_VALUE"""),"Anchorage, Alaska")</f>
        <v/>
      </c>
      <c r="K872">
        <f>IFERROR(__xludf.DUMMYFUNCTION("""COMPUTED_VALUE"""),32938.68)</f>
        <v/>
      </c>
    </row>
    <row r="873">
      <c r="J873">
        <f>IFERROR(__xludf.DUMMYFUNCTION("""COMPUTED_VALUE"""),"New York, New York, United States  &amp; Montreal, Quebec, Canada")</f>
        <v/>
      </c>
      <c r="K873">
        <f>IFERROR(__xludf.DUMMYFUNCTION("""COMPUTED_VALUE"""),32930.2)</f>
        <v/>
      </c>
    </row>
    <row r="874">
      <c r="J874">
        <f>IFERROR(__xludf.DUMMYFUNCTION("""COMPUTED_VALUE"""),"Singapore, Brussels")</f>
        <v/>
      </c>
      <c r="K874">
        <f>IFERROR(__xludf.DUMMYFUNCTION("""COMPUTED_VALUE"""),32923.5)</f>
        <v/>
      </c>
    </row>
    <row r="875">
      <c r="J875">
        <f>IFERROR(__xludf.DUMMYFUNCTION("""COMPUTED_VALUE"""),"Seoul and Tokyo")</f>
        <v/>
      </c>
      <c r="K875">
        <f>IFERROR(__xludf.DUMMYFUNCTION("""COMPUTED_VALUE"""),32921.42)</f>
        <v/>
      </c>
    </row>
    <row r="876">
      <c r="J876">
        <f>IFERROR(__xludf.DUMMYFUNCTION("""COMPUTED_VALUE"""),"Vancouver, British Columbia; China")</f>
        <v/>
      </c>
      <c r="K876">
        <f>IFERROR(__xludf.DUMMYFUNCTION("""COMPUTED_VALUE"""),32881.8999999999)</f>
        <v/>
      </c>
    </row>
    <row r="877">
      <c r="J877">
        <f>IFERROR(__xludf.DUMMYFUNCTION("""COMPUTED_VALUE"""),"London, Uinited Kingdom")</f>
        <v/>
      </c>
      <c r="K877">
        <f>IFERROR(__xludf.DUMMYFUNCTION("""COMPUTED_VALUE"""),32866.61)</f>
        <v/>
      </c>
    </row>
    <row r="878">
      <c r="J878">
        <f>IFERROR(__xludf.DUMMYFUNCTION("""COMPUTED_VALUE"""),"Churchill, MB")</f>
        <v/>
      </c>
      <c r="K878">
        <f>IFERROR(__xludf.DUMMYFUNCTION("""COMPUTED_VALUE"""),32861.8999999999)</f>
        <v/>
      </c>
    </row>
    <row r="879">
      <c r="J879">
        <f>IFERROR(__xludf.DUMMYFUNCTION("""COMPUTED_VALUE"""),"Chengdu, China")</f>
        <v/>
      </c>
      <c r="K879">
        <f>IFERROR(__xludf.DUMMYFUNCTION("""COMPUTED_VALUE"""),32830.39)</f>
        <v/>
      </c>
    </row>
    <row r="880">
      <c r="J880">
        <f>IFERROR(__xludf.DUMMYFUNCTION("""COMPUTED_VALUE"""),"Mississauga, ON")</f>
        <v/>
      </c>
      <c r="K880">
        <f>IFERROR(__xludf.DUMMYFUNCTION("""COMPUTED_VALUE"""),32757.47)</f>
        <v/>
      </c>
    </row>
    <row r="881">
      <c r="J881">
        <f>IFERROR(__xludf.DUMMYFUNCTION("""COMPUTED_VALUE"""),"New York City, United States")</f>
        <v/>
      </c>
      <c r="K881">
        <f>IFERROR(__xludf.DUMMYFUNCTION("""COMPUTED_VALUE"""),32712.74)</f>
        <v/>
      </c>
    </row>
    <row r="882">
      <c r="J882">
        <f>IFERROR(__xludf.DUMMYFUNCTION("""COMPUTED_VALUE"""),"Edmonton and Calgary, AB")</f>
        <v/>
      </c>
      <c r="K882">
        <f>IFERROR(__xludf.DUMMYFUNCTION("""COMPUTED_VALUE"""),32622.76)</f>
        <v/>
      </c>
    </row>
    <row r="883">
      <c r="J883">
        <f>IFERROR(__xludf.DUMMYFUNCTION("""COMPUTED_VALUE"""),"Calgary, Alberta, Canada; Winnipeg, Manitoba, Canada")</f>
        <v/>
      </c>
      <c r="K883">
        <f>IFERROR(__xludf.DUMMYFUNCTION("""COMPUTED_VALUE"""),32620.69)</f>
        <v/>
      </c>
    </row>
    <row r="884">
      <c r="J884">
        <f>IFERROR(__xludf.DUMMYFUNCTION("""COMPUTED_VALUE"""),"Mumbai, New Delhi and Chennai")</f>
        <v/>
      </c>
      <c r="K884">
        <f>IFERROR(__xludf.DUMMYFUNCTION("""COMPUTED_VALUE"""),32568.6299999999)</f>
        <v/>
      </c>
    </row>
    <row r="885">
      <c r="J885">
        <f>IFERROR(__xludf.DUMMYFUNCTION("""COMPUTED_VALUE"""),"Canberra &amp; Sydney, Australia / Honolulu, Hawaii")</f>
        <v/>
      </c>
      <c r="K885">
        <f>IFERROR(__xludf.DUMMYFUNCTION("""COMPUTED_VALUE"""),32539.97)</f>
        <v/>
      </c>
    </row>
    <row r="886">
      <c r="J886">
        <f>IFERROR(__xludf.DUMMYFUNCTION("""COMPUTED_VALUE"""),"Antalya, Turkey")</f>
        <v/>
      </c>
      <c r="K886">
        <f>IFERROR(__xludf.DUMMYFUNCTION("""COMPUTED_VALUE"""),32485.4)</f>
        <v/>
      </c>
    </row>
    <row r="887">
      <c r="J887">
        <f>IFERROR(__xludf.DUMMYFUNCTION("""COMPUTED_VALUE"""),"Fredericton, Nova Scotia, Canada")</f>
        <v/>
      </c>
      <c r="K887">
        <f>IFERROR(__xludf.DUMMYFUNCTION("""COMPUTED_VALUE"""),32372.7899999999)</f>
        <v/>
      </c>
    </row>
    <row r="888">
      <c r="J888">
        <f>IFERROR(__xludf.DUMMYFUNCTION("""COMPUTED_VALUE"""),"East Africa (Rwanda, Kenya, South Sudan, Abu Dhabi, Berlin)")</f>
        <v/>
      </c>
      <c r="K888">
        <f>IFERROR(__xludf.DUMMYFUNCTION("""COMPUTED_VALUE"""),32285.99)</f>
        <v/>
      </c>
    </row>
    <row r="889">
      <c r="J889">
        <f>IFERROR(__xludf.DUMMYFUNCTION("""COMPUTED_VALUE"""),"Bogotá, Colombia/ Santiago, Chile/ Buenos Aires, Argentina")</f>
        <v/>
      </c>
      <c r="K889">
        <f>IFERROR(__xludf.DUMMYFUNCTION("""COMPUTED_VALUE"""),32285.19)</f>
        <v/>
      </c>
    </row>
    <row r="890">
      <c r="J890">
        <f>IFERROR(__xludf.DUMMYFUNCTION("""COMPUTED_VALUE"""),"Nairobi, Kenya; Daddab, Kenya; Juba, Sudan")</f>
        <v/>
      </c>
      <c r="K890">
        <f>IFERROR(__xludf.DUMMYFUNCTION("""COMPUTED_VALUE"""),32275.38)</f>
        <v/>
      </c>
    </row>
    <row r="891">
      <c r="J891">
        <f>IFERROR(__xludf.DUMMYFUNCTION("""COMPUTED_VALUE"""),"Halifax, Nova Scotia, Canada; Charlottetown, Prince Edward Island, Canada")</f>
        <v/>
      </c>
      <c r="K891">
        <f>IFERROR(__xludf.DUMMYFUNCTION("""COMPUTED_VALUE"""),32274.4399999999)</f>
        <v/>
      </c>
    </row>
    <row r="892">
      <c r="J892">
        <f>IFERROR(__xludf.DUMMYFUNCTION("""COMPUTED_VALUE"""),"Nicaragua, Costa Rica, Colombia, Chile, Paraguay, Uruguay and Brazil")</f>
        <v/>
      </c>
      <c r="K892">
        <f>IFERROR(__xludf.DUMMYFUNCTION("""COMPUTED_VALUE"""),32270.4899999999)</f>
        <v/>
      </c>
    </row>
    <row r="893">
      <c r="J893">
        <f>IFERROR(__xludf.DUMMYFUNCTION("""COMPUTED_VALUE"""),"Tsukuba, JP / Tokyo, JP")</f>
        <v/>
      </c>
      <c r="K893">
        <f>IFERROR(__xludf.DUMMYFUNCTION("""COMPUTED_VALUE"""),32260.37)</f>
        <v/>
      </c>
    </row>
    <row r="894">
      <c r="J894">
        <f>IFERROR(__xludf.DUMMYFUNCTION("""COMPUTED_VALUE"""),"Seoul and Busan, South Korea")</f>
        <v/>
      </c>
      <c r="K894">
        <f>IFERROR(__xludf.DUMMYFUNCTION("""COMPUTED_VALUE"""),32167.71)</f>
        <v/>
      </c>
    </row>
    <row r="895">
      <c r="J895">
        <f>IFERROR(__xludf.DUMMYFUNCTION("""COMPUTED_VALUE"""),"Kenya &amp; Zambia")</f>
        <v/>
      </c>
      <c r="K895">
        <f>IFERROR(__xludf.DUMMYFUNCTION("""COMPUTED_VALUE"""),32139.12)</f>
        <v/>
      </c>
    </row>
    <row r="896">
      <c r="J896">
        <f>IFERROR(__xludf.DUMMYFUNCTION("""COMPUTED_VALUE"""),"Sault Ste Marie, Ontario, Canada")</f>
        <v/>
      </c>
      <c r="K896">
        <f>IFERROR(__xludf.DUMMYFUNCTION("""COMPUTED_VALUE"""),32125.8799999999)</f>
        <v/>
      </c>
    </row>
    <row r="897">
      <c r="J897">
        <f>IFERROR(__xludf.DUMMYFUNCTION("""COMPUTED_VALUE"""),"Seoul, South Korea, Tokyo, Japan")</f>
        <v/>
      </c>
      <c r="K897">
        <f>IFERROR(__xludf.DUMMYFUNCTION("""COMPUTED_VALUE"""),32116.01)</f>
        <v/>
      </c>
    </row>
    <row r="898">
      <c r="J898">
        <f>IFERROR(__xludf.DUMMYFUNCTION("""COMPUTED_VALUE"""),"Duesseldorf, Germany")</f>
        <v/>
      </c>
      <c r="K898">
        <f>IFERROR(__xludf.DUMMYFUNCTION("""COMPUTED_VALUE"""),32068.14)</f>
        <v/>
      </c>
    </row>
    <row r="899">
      <c r="J899">
        <f>IFERROR(__xludf.DUMMYFUNCTION("""COMPUTED_VALUE"""),"Lima and Bogota, Peru and Colombia")</f>
        <v/>
      </c>
      <c r="K899">
        <f>IFERROR(__xludf.DUMMYFUNCTION("""COMPUTED_VALUE"""),32028.69)</f>
        <v/>
      </c>
    </row>
    <row r="900">
      <c r="J900">
        <f>IFERROR(__xludf.DUMMYFUNCTION("""COMPUTED_VALUE"""),"Toronto, Ontario, Canada; Calgary, Alberta, Canada")</f>
        <v/>
      </c>
      <c r="K900">
        <f>IFERROR(__xludf.DUMMYFUNCTION("""COMPUTED_VALUE"""),32023.4899999999)</f>
        <v/>
      </c>
    </row>
    <row r="901">
      <c r="J901">
        <f>IFERROR(__xludf.DUMMYFUNCTION("""COMPUTED_VALUE"""),"Regina, Saskatchewan, Canada; Winnipeg, Manitoba, Canada")</f>
        <v/>
      </c>
      <c r="K901">
        <f>IFERROR(__xludf.DUMMYFUNCTION("""COMPUTED_VALUE"""),31991.18)</f>
        <v/>
      </c>
    </row>
    <row r="902">
      <c r="J902">
        <f>IFERROR(__xludf.DUMMYFUNCTION("""COMPUTED_VALUE"""),"Amman, Baghdad, Abu Dhabi, Kuwait, London, UK")</f>
        <v/>
      </c>
      <c r="K902">
        <f>IFERROR(__xludf.DUMMYFUNCTION("""COMPUTED_VALUE"""),31967.08)</f>
        <v/>
      </c>
    </row>
    <row r="903">
      <c r="J903">
        <f>IFERROR(__xludf.DUMMYFUNCTION("""COMPUTED_VALUE"""),"Tokyo and Nagano, Japan")</f>
        <v/>
      </c>
      <c r="K903">
        <f>IFERROR(__xludf.DUMMYFUNCTION("""COMPUTED_VALUE"""),31926.7299999999)</f>
        <v/>
      </c>
    </row>
    <row r="904">
      <c r="J904">
        <f>IFERROR(__xludf.DUMMYFUNCTION("""COMPUTED_VALUE"""),"Bandung, Indonesia")</f>
        <v/>
      </c>
      <c r="K904">
        <f>IFERROR(__xludf.DUMMYFUNCTION("""COMPUTED_VALUE"""),31872.34)</f>
        <v/>
      </c>
    </row>
    <row r="905">
      <c r="J905">
        <f>IFERROR(__xludf.DUMMYFUNCTION("""COMPUTED_VALUE"""),"Brussells, Belgium")</f>
        <v/>
      </c>
      <c r="K905">
        <f>IFERROR(__xludf.DUMMYFUNCTION("""COMPUTED_VALUE"""),31867.4899999999)</f>
        <v/>
      </c>
    </row>
    <row r="906">
      <c r="J906">
        <f>IFERROR(__xludf.DUMMYFUNCTION("""COMPUTED_VALUE"""),"Barbados, Kingston &amp; Jamaica")</f>
        <v/>
      </c>
      <c r="K906">
        <f>IFERROR(__xludf.DUMMYFUNCTION("""COMPUTED_VALUE"""),31843.2)</f>
        <v/>
      </c>
    </row>
    <row r="907">
      <c r="J907">
        <f>IFERROR(__xludf.DUMMYFUNCTION("""COMPUTED_VALUE"""),"Nain, Newfoundland and Labrador")</f>
        <v/>
      </c>
      <c r="K907">
        <f>IFERROR(__xludf.DUMMYFUNCTION("""COMPUTED_VALUE"""),31814.71)</f>
        <v/>
      </c>
    </row>
    <row r="908">
      <c r="J908">
        <f>IFERROR(__xludf.DUMMYFUNCTION("""COMPUTED_VALUE"""),"Israel, West Bank")</f>
        <v/>
      </c>
      <c r="K908">
        <f>IFERROR(__xludf.DUMMYFUNCTION("""COMPUTED_VALUE"""),31777.29)</f>
        <v/>
      </c>
    </row>
    <row r="909">
      <c r="J909">
        <f>IFERROR(__xludf.DUMMYFUNCTION("""COMPUTED_VALUE"""),"Santa Clara, California, United States")</f>
        <v/>
      </c>
      <c r="K909">
        <f>IFERROR(__xludf.DUMMYFUNCTION("""COMPUTED_VALUE"""),31755.28)</f>
        <v/>
      </c>
    </row>
    <row r="910">
      <c r="J910">
        <f>IFERROR(__xludf.DUMMYFUNCTION("""COMPUTED_VALUE"""),"Turkey (Istanbul) &amp; United Arab Emirates (Dubai)")</f>
        <v/>
      </c>
      <c r="K910">
        <f>IFERROR(__xludf.DUMMYFUNCTION("""COMPUTED_VALUE"""),31716.11)</f>
        <v/>
      </c>
    </row>
    <row r="911">
      <c r="J911">
        <f>IFERROR(__xludf.DUMMYFUNCTION("""COMPUTED_VALUE"""),"Montreal (QC)")</f>
        <v/>
      </c>
      <c r="K911">
        <f>IFERROR(__xludf.DUMMYFUNCTION("""COMPUTED_VALUE"""),31690.9299999999)</f>
        <v/>
      </c>
    </row>
    <row r="912">
      <c r="J912">
        <f>IFERROR(__xludf.DUMMYFUNCTION("""COMPUTED_VALUE"""),"Laos, China, Japan, Korea")</f>
        <v/>
      </c>
      <c r="K912">
        <f>IFERROR(__xludf.DUMMYFUNCTION("""COMPUTED_VALUE"""),31683.28)</f>
        <v/>
      </c>
    </row>
    <row r="913">
      <c r="J913">
        <f>IFERROR(__xludf.DUMMYFUNCTION("""COMPUTED_VALUE"""),"Cyprus, Lebanon,Turkey,Greece")</f>
        <v/>
      </c>
      <c r="K913">
        <f>IFERROR(__xludf.DUMMYFUNCTION("""COMPUTED_VALUE"""),31679.87)</f>
        <v/>
      </c>
    </row>
    <row r="914">
      <c r="J914">
        <f>IFERROR(__xludf.DUMMYFUNCTION("""COMPUTED_VALUE"""),"Marshall Islands")</f>
        <v/>
      </c>
      <c r="K914">
        <f>IFERROR(__xludf.DUMMYFUNCTION("""COMPUTED_VALUE"""),31607.89)</f>
        <v/>
      </c>
    </row>
    <row r="915">
      <c r="J915">
        <f>IFERROR(__xludf.DUMMYFUNCTION("""COMPUTED_VALUE"""),"Ottawa,ON")</f>
        <v/>
      </c>
      <c r="K915">
        <f>IFERROR(__xludf.DUMMYFUNCTION("""COMPUTED_VALUE"""),31593.92)</f>
        <v/>
      </c>
    </row>
    <row r="916">
      <c r="J916">
        <f>IFERROR(__xludf.DUMMYFUNCTION("""COMPUTED_VALUE"""),"Montery, California")</f>
        <v/>
      </c>
      <c r="K916">
        <f>IFERROR(__xludf.DUMMYFUNCTION("""COMPUTED_VALUE"""),31535.12)</f>
        <v/>
      </c>
    </row>
    <row r="917">
      <c r="J917">
        <f>IFERROR(__xludf.DUMMYFUNCTION("""COMPUTED_VALUE"""),"Ottawa, ON Toronto, ON")</f>
        <v/>
      </c>
      <c r="K917">
        <f>IFERROR(__xludf.DUMMYFUNCTION("""COMPUTED_VALUE"""),31511.2399999999)</f>
        <v/>
      </c>
    </row>
    <row r="918">
      <c r="J918">
        <f>IFERROR(__xludf.DUMMYFUNCTION("""COMPUTED_VALUE"""),"Brussels London Accra Seville, Belgium UK Ghana Spain")</f>
        <v/>
      </c>
      <c r="K918">
        <f>IFERROR(__xludf.DUMMYFUNCTION("""COMPUTED_VALUE"""),31493.62)</f>
        <v/>
      </c>
    </row>
    <row r="919">
      <c r="J919">
        <f>IFERROR(__xludf.DUMMYFUNCTION("""COMPUTED_VALUE"""),"Fiji")</f>
        <v/>
      </c>
      <c r="K919">
        <f>IFERROR(__xludf.DUMMYFUNCTION("""COMPUTED_VALUE"""),31485.51)</f>
        <v/>
      </c>
    </row>
    <row r="920">
      <c r="J920">
        <f>IFERROR(__xludf.DUMMYFUNCTION("""COMPUTED_VALUE"""),"Paris, France /  London, United Kingdom")</f>
        <v/>
      </c>
      <c r="K920">
        <f>IFERROR(__xludf.DUMMYFUNCTION("""COMPUTED_VALUE"""),31480.15)</f>
        <v/>
      </c>
    </row>
    <row r="921">
      <c r="J921">
        <f>IFERROR(__xludf.DUMMYFUNCTION("""COMPUTED_VALUE"""),"Havana, Cuba")</f>
        <v/>
      </c>
      <c r="K921">
        <f>IFERROR(__xludf.DUMMYFUNCTION("""COMPUTED_VALUE"""),31437.7399999999)</f>
        <v/>
      </c>
    </row>
    <row r="922">
      <c r="J922">
        <f>IFERROR(__xludf.DUMMYFUNCTION("""COMPUTED_VALUE"""),"Brussels The Hague and Berlin, Belgium Netherlands and Germany")</f>
        <v/>
      </c>
      <c r="K922">
        <f>IFERROR(__xludf.DUMMYFUNCTION("""COMPUTED_VALUE"""),31322.93)</f>
        <v/>
      </c>
    </row>
    <row r="923">
      <c r="J923">
        <f>IFERROR(__xludf.DUMMYFUNCTION("""COMPUTED_VALUE"""),"Postdam(Germany) Bucharest/Constanta (Romania)")</f>
        <v/>
      </c>
      <c r="K923">
        <f>IFERROR(__xludf.DUMMYFUNCTION("""COMPUTED_VALUE"""),31249.82)</f>
        <v/>
      </c>
    </row>
    <row r="924">
      <c r="J924">
        <f>IFERROR(__xludf.DUMMYFUNCTION("""COMPUTED_VALUE"""),"Singapore, Indonesia, India")</f>
        <v/>
      </c>
      <c r="K924">
        <f>IFERROR(__xludf.DUMMYFUNCTION("""COMPUTED_VALUE"""),31235.51)</f>
        <v/>
      </c>
    </row>
    <row r="925">
      <c r="J925">
        <f>IFERROR(__xludf.DUMMYFUNCTION("""COMPUTED_VALUE"""),"Bari, Italy")</f>
        <v/>
      </c>
      <c r="K925">
        <f>IFERROR(__xludf.DUMMYFUNCTION("""COMPUTED_VALUE"""),31228.57)</f>
        <v/>
      </c>
    </row>
    <row r="926">
      <c r="J926">
        <f>IFERROR(__xludf.DUMMYFUNCTION("""COMPUTED_VALUE"""),"London, UK, Berlin, Germany, Brussels, Belgium and Paris, France")</f>
        <v/>
      </c>
      <c r="K926">
        <f>IFERROR(__xludf.DUMMYFUNCTION("""COMPUTED_VALUE"""),31223.14)</f>
        <v/>
      </c>
    </row>
    <row r="927">
      <c r="J927">
        <f>IFERROR(__xludf.DUMMYFUNCTION("""COMPUTED_VALUE"""),"Paris, France and Cagliari, Italy")</f>
        <v/>
      </c>
      <c r="K927">
        <f>IFERROR(__xludf.DUMMYFUNCTION("""COMPUTED_VALUE"""),31191.8099999999)</f>
        <v/>
      </c>
    </row>
    <row r="928">
      <c r="J928">
        <f>IFERROR(__xludf.DUMMYFUNCTION("""COMPUTED_VALUE"""),"Toronto, Ontario, Canada; Edmonton, Alberta, Canada")</f>
        <v/>
      </c>
      <c r="K928">
        <f>IFERROR(__xludf.DUMMYFUNCTION("""COMPUTED_VALUE"""),31165.42)</f>
        <v/>
      </c>
    </row>
    <row r="929">
      <c r="J929">
        <f>IFERROR(__xludf.DUMMYFUNCTION("""COMPUTED_VALUE"""),"Queenstown, New Zealand")</f>
        <v/>
      </c>
      <c r="K929">
        <f>IFERROR(__xludf.DUMMYFUNCTION("""COMPUTED_VALUE"""),31144.56)</f>
        <v/>
      </c>
    </row>
    <row r="930">
      <c r="J930">
        <f>IFERROR(__xludf.DUMMYFUNCTION("""COMPUTED_VALUE"""),"Edinburgh, United Kingdom")</f>
        <v/>
      </c>
      <c r="K930">
        <f>IFERROR(__xludf.DUMMYFUNCTION("""COMPUTED_VALUE"""),31143.15)</f>
        <v/>
      </c>
    </row>
    <row r="931">
      <c r="J931">
        <f>IFERROR(__xludf.DUMMYFUNCTION("""COMPUTED_VALUE"""),"Greece, Italy")</f>
        <v/>
      </c>
      <c r="K931">
        <f>IFERROR(__xludf.DUMMYFUNCTION("""COMPUTED_VALUE"""),31140.52)</f>
        <v/>
      </c>
    </row>
    <row r="932">
      <c r="J932">
        <f>IFERROR(__xludf.DUMMYFUNCTION("""COMPUTED_VALUE"""),"Berlin, Germany (Europe)")</f>
        <v/>
      </c>
      <c r="K932">
        <f>IFERROR(__xludf.DUMMYFUNCTION("""COMPUTED_VALUE"""),31135.2399999999)</f>
        <v/>
      </c>
    </row>
    <row r="933">
      <c r="J933">
        <f>IFERROR(__xludf.DUMMYFUNCTION("""COMPUTED_VALUE"""),"Detroit, Michigan, United States")</f>
        <v/>
      </c>
      <c r="K933">
        <f>IFERROR(__xludf.DUMMYFUNCTION("""COMPUTED_VALUE"""),31083.33)</f>
        <v/>
      </c>
    </row>
    <row r="934">
      <c r="J934">
        <f>IFERROR(__xludf.DUMMYFUNCTION("""COMPUTED_VALUE"""),"Goa, India")</f>
        <v/>
      </c>
      <c r="K934">
        <f>IFERROR(__xludf.DUMMYFUNCTION("""COMPUTED_VALUE"""),31071.26)</f>
        <v/>
      </c>
    </row>
    <row r="935">
      <c r="J935">
        <f>IFERROR(__xludf.DUMMYFUNCTION("""COMPUTED_VALUE"""),"Los Angeles, California, USA")</f>
        <v/>
      </c>
      <c r="K935">
        <f>IFERROR(__xludf.DUMMYFUNCTION("""COMPUTED_VALUE"""),31029.77)</f>
        <v/>
      </c>
    </row>
    <row r="936">
      <c r="J936">
        <f>IFERROR(__xludf.DUMMYFUNCTION("""COMPUTED_VALUE"""),"Phoenix, Arizona, United States")</f>
        <v/>
      </c>
      <c r="K936">
        <f>IFERROR(__xludf.DUMMYFUNCTION("""COMPUTED_VALUE"""),30956.31)</f>
        <v/>
      </c>
    </row>
    <row r="937">
      <c r="J937">
        <f>IFERROR(__xludf.DUMMYFUNCTION("""COMPUTED_VALUE"""),"Stresa, Italy")</f>
        <v/>
      </c>
      <c r="K937">
        <f>IFERROR(__xludf.DUMMYFUNCTION("""COMPUTED_VALUE"""),30952.8999999999)</f>
        <v/>
      </c>
    </row>
    <row r="938">
      <c r="J938">
        <f>IFERROR(__xludf.DUMMYFUNCTION("""COMPUTED_VALUE"""),"Canberra | Sydney, AustraliaGeneva, Switzerland")</f>
        <v/>
      </c>
      <c r="K938">
        <f>IFERROR(__xludf.DUMMYFUNCTION("""COMPUTED_VALUE"""),30889.47)</f>
        <v/>
      </c>
    </row>
    <row r="939">
      <c r="J939">
        <f>IFERROR(__xludf.DUMMYFUNCTION("""COMPUTED_VALUE"""),"Calgary, Alberta / Edmonton, Alberta, Canada")</f>
        <v/>
      </c>
      <c r="K939">
        <f>IFERROR(__xludf.DUMMYFUNCTION("""COMPUTED_VALUE"""),30881.95)</f>
        <v/>
      </c>
    </row>
    <row r="940">
      <c r="J940">
        <f>IFERROR(__xludf.DUMMYFUNCTION("""COMPUTED_VALUE"""),"Vienna, Austria / Zurich, Switzerland / Geneva, Switzerland")</f>
        <v/>
      </c>
      <c r="K940">
        <f>IFERROR(__xludf.DUMMYFUNCTION("""COMPUTED_VALUE"""),30866.05)</f>
        <v/>
      </c>
    </row>
    <row r="941">
      <c r="J941">
        <f>IFERROR(__xludf.DUMMYFUNCTION("""COMPUTED_VALUE"""),"Sao Paulo")</f>
        <v/>
      </c>
      <c r="K941">
        <f>IFERROR(__xludf.DUMMYFUNCTION("""COMPUTED_VALUE"""),30792.82)</f>
        <v/>
      </c>
    </row>
    <row r="942">
      <c r="J942">
        <f>IFERROR(__xludf.DUMMYFUNCTION("""COMPUTED_VALUE"""),"Toronto and Ottawa, Canada")</f>
        <v/>
      </c>
      <c r="K942">
        <f>IFERROR(__xludf.DUMMYFUNCTION("""COMPUTED_VALUE"""),30748.97)</f>
        <v/>
      </c>
    </row>
    <row r="943">
      <c r="J943">
        <f>IFERROR(__xludf.DUMMYFUNCTION("""COMPUTED_VALUE"""),"Okinawa, Japan")</f>
        <v/>
      </c>
      <c r="K943">
        <f>IFERROR(__xludf.DUMMYFUNCTION("""COMPUTED_VALUE"""),30723.84)</f>
        <v/>
      </c>
    </row>
    <row r="944">
      <c r="J944">
        <f>IFERROR(__xludf.DUMMYFUNCTION("""COMPUTED_VALUE"""),"Victoria, British-Columbia, Canada")</f>
        <v/>
      </c>
      <c r="K944">
        <f>IFERROR(__xludf.DUMMYFUNCTION("""COMPUTED_VALUE"""),30668.13)</f>
        <v/>
      </c>
    </row>
    <row r="945">
      <c r="J945">
        <f>IFERROR(__xludf.DUMMYFUNCTION("""COMPUTED_VALUE"""),"Vanvouver, BC, Canada")</f>
        <v/>
      </c>
      <c r="K945">
        <f>IFERROR(__xludf.DUMMYFUNCTION("""COMPUTED_VALUE"""),30624.65)</f>
        <v/>
      </c>
    </row>
    <row r="946">
      <c r="J946">
        <f>IFERROR(__xludf.DUMMYFUNCTION("""COMPUTED_VALUE"""),"Berlin, Germany / Geneva, Switzerland")</f>
        <v/>
      </c>
      <c r="K946">
        <f>IFERROR(__xludf.DUMMYFUNCTION("""COMPUTED_VALUE"""),30597.73)</f>
        <v/>
      </c>
    </row>
    <row r="947">
      <c r="J947">
        <f>IFERROR(__xludf.DUMMYFUNCTION("""COMPUTED_VALUE"""),"Valletta, Malta; Paris, France; Belgrade, Serbia; and Brussels, Belgium")</f>
        <v/>
      </c>
      <c r="K947">
        <f>IFERROR(__xludf.DUMMYFUNCTION("""COMPUTED_VALUE"""),30581.43)</f>
        <v/>
      </c>
    </row>
    <row r="948">
      <c r="J948">
        <f>IFERROR(__xludf.DUMMYFUNCTION("""COMPUTED_VALUE"""),"Hong Kong, Guangzhou and Beijing")</f>
        <v/>
      </c>
      <c r="K948">
        <f>IFERROR(__xludf.DUMMYFUNCTION("""COMPUTED_VALUE"""),30571.46)</f>
        <v/>
      </c>
    </row>
    <row r="949">
      <c r="J949">
        <f>IFERROR(__xludf.DUMMYFUNCTION("""COMPUTED_VALUE"""),"Chennai, India/ New Delhi, India")</f>
        <v/>
      </c>
      <c r="K949">
        <f>IFERROR(__xludf.DUMMYFUNCTION("""COMPUTED_VALUE"""),30519.08)</f>
        <v/>
      </c>
    </row>
    <row r="950">
      <c r="J950">
        <f>IFERROR(__xludf.DUMMYFUNCTION("""COMPUTED_VALUE"""),"Brisbane, (Australia)")</f>
        <v/>
      </c>
      <c r="K950">
        <f>IFERROR(__xludf.DUMMYFUNCTION("""COMPUTED_VALUE"""),30518.61)</f>
        <v/>
      </c>
    </row>
    <row r="951">
      <c r="J951">
        <f>IFERROR(__xludf.DUMMYFUNCTION("""COMPUTED_VALUE"""),"Tokyo, Japan and Beijing, China")</f>
        <v/>
      </c>
      <c r="K951">
        <f>IFERROR(__xludf.DUMMYFUNCTION("""COMPUTED_VALUE"""),30514.68)</f>
        <v/>
      </c>
    </row>
    <row r="952">
      <c r="J952">
        <f>IFERROR(__xludf.DUMMYFUNCTION("""COMPUTED_VALUE"""),"Toronto, Ottawa and Vancouver")</f>
        <v/>
      </c>
      <c r="K952">
        <f>IFERROR(__xludf.DUMMYFUNCTION("""COMPUTED_VALUE"""),30501.53)</f>
        <v/>
      </c>
    </row>
    <row r="953">
      <c r="J953">
        <f>IFERROR(__xludf.DUMMYFUNCTION("""COMPUTED_VALUE"""),"Kigali, Nairobi &amp; Addis Ababa")</f>
        <v/>
      </c>
      <c r="K953">
        <f>IFERROR(__xludf.DUMMYFUNCTION("""COMPUTED_VALUE"""),30450.07)</f>
        <v/>
      </c>
    </row>
    <row r="954">
      <c r="J954">
        <f>IFERROR(__xludf.DUMMYFUNCTION("""COMPUTED_VALUE"""),"Paraguay")</f>
        <v/>
      </c>
      <c r="K954">
        <f>IFERROR(__xludf.DUMMYFUNCTION("""COMPUTED_VALUE"""),30434.79)</f>
        <v/>
      </c>
    </row>
    <row r="955">
      <c r="J955">
        <f>IFERROR(__xludf.DUMMYFUNCTION("""COMPUTED_VALUE"""),"London Abuja Lagos, United Kingdom and Nigeria")</f>
        <v/>
      </c>
      <c r="K955">
        <f>IFERROR(__xludf.DUMMYFUNCTION("""COMPUTED_VALUE"""),30423.26)</f>
        <v/>
      </c>
    </row>
    <row r="956">
      <c r="J956">
        <f>IFERROR(__xludf.DUMMYFUNCTION("""COMPUTED_VALUE"""),"Tokyo, Japan; Niigata Japan")</f>
        <v/>
      </c>
      <c r="K956">
        <f>IFERROR(__xludf.DUMMYFUNCTION("""COMPUTED_VALUE"""),30406.53)</f>
        <v/>
      </c>
    </row>
    <row r="957">
      <c r="J957">
        <f>IFERROR(__xludf.DUMMYFUNCTION("""COMPUTED_VALUE"""),"Orlando, USA")</f>
        <v/>
      </c>
      <c r="K957">
        <f>IFERROR(__xludf.DUMMYFUNCTION("""COMPUTED_VALUE"""),30378.8099999999)</f>
        <v/>
      </c>
    </row>
    <row r="958">
      <c r="J958">
        <f>IFERROR(__xludf.DUMMYFUNCTION("""COMPUTED_VALUE"""),"Geneva, CH")</f>
        <v/>
      </c>
      <c r="K958">
        <f>IFERROR(__xludf.DUMMYFUNCTION("""COMPUTED_VALUE"""),30365.96)</f>
        <v/>
      </c>
    </row>
    <row r="959">
      <c r="J959">
        <f>IFERROR(__xludf.DUMMYFUNCTION("""COMPUTED_VALUE"""),"Belitung, Indonesia &amp; Berlin, Germany")</f>
        <v/>
      </c>
      <c r="K959">
        <f>IFERROR(__xludf.DUMMYFUNCTION("""COMPUTED_VALUE"""),30255.53)</f>
        <v/>
      </c>
    </row>
    <row r="960">
      <c r="J960">
        <f>IFERROR(__xludf.DUMMYFUNCTION("""COMPUTED_VALUE"""),"Ukraine, Poland and United Kingdom (London)")</f>
        <v/>
      </c>
      <c r="K960">
        <f>IFERROR(__xludf.DUMMYFUNCTION("""COMPUTED_VALUE"""),30248.3299999999)</f>
        <v/>
      </c>
    </row>
    <row r="961">
      <c r="J961">
        <f>IFERROR(__xludf.DUMMYFUNCTION("""COMPUTED_VALUE"""),"London (UK)")</f>
        <v/>
      </c>
      <c r="K961">
        <f>IFERROR(__xludf.DUMMYFUNCTION("""COMPUTED_VALUE"""),30244.0599999999)</f>
        <v/>
      </c>
    </row>
    <row r="962">
      <c r="J962">
        <f>IFERROR(__xludf.DUMMYFUNCTION("""COMPUTED_VALUE"""),"Bermuda")</f>
        <v/>
      </c>
      <c r="K962">
        <f>IFERROR(__xludf.DUMMYFUNCTION("""COMPUTED_VALUE"""),30126.77)</f>
        <v/>
      </c>
    </row>
    <row r="963">
      <c r="J963">
        <f>IFERROR(__xludf.DUMMYFUNCTION("""COMPUTED_VALUE"""),"Russia and France")</f>
        <v/>
      </c>
      <c r="K963">
        <f>IFERROR(__xludf.DUMMYFUNCTION("""COMPUTED_VALUE"""),30126.6999999999)</f>
        <v/>
      </c>
    </row>
    <row r="964">
      <c r="J964">
        <f>IFERROR(__xludf.DUMMYFUNCTION("""COMPUTED_VALUE"""),"Canmore, Alberta, Canada")</f>
        <v/>
      </c>
      <c r="K964">
        <f>IFERROR(__xludf.DUMMYFUNCTION("""COMPUTED_VALUE"""),30116.15)</f>
        <v/>
      </c>
    </row>
    <row r="965">
      <c r="J965">
        <f>IFERROR(__xludf.DUMMYFUNCTION("""COMPUTED_VALUE"""),"Saskatoon, Saskatchewan, Canada; Regina, Saskatchewan, Canada")</f>
        <v/>
      </c>
      <c r="K965">
        <f>IFERROR(__xludf.DUMMYFUNCTION("""COMPUTED_VALUE"""),30093.32)</f>
        <v/>
      </c>
    </row>
    <row r="966">
      <c r="J966">
        <f>IFERROR(__xludf.DUMMYFUNCTION("""COMPUTED_VALUE"""),"Dar es Salaam, Tanzania")</f>
        <v/>
      </c>
      <c r="K966">
        <f>IFERROR(__xludf.DUMMYFUNCTION("""COMPUTED_VALUE"""),30089.83)</f>
        <v/>
      </c>
    </row>
    <row r="967">
      <c r="J967">
        <f>IFERROR(__xludf.DUMMYFUNCTION("""COMPUTED_VALUE"""),"St. John's, NF")</f>
        <v/>
      </c>
      <c r="K967">
        <f>IFERROR(__xludf.DUMMYFUNCTION("""COMPUTED_VALUE"""),30084.6499999999)</f>
        <v/>
      </c>
    </row>
    <row r="968">
      <c r="J968">
        <f>IFERROR(__xludf.DUMMYFUNCTION("""COMPUTED_VALUE"""),"Sharm El-Sheikh, Egypt")</f>
        <v/>
      </c>
      <c r="K968">
        <f>IFERROR(__xludf.DUMMYFUNCTION("""COMPUTED_VALUE"""),30079.5299999999)</f>
        <v/>
      </c>
    </row>
    <row r="969">
      <c r="J969">
        <f>IFERROR(__xludf.DUMMYFUNCTION("""COMPUTED_VALUE"""),"London, England / Brussels, Belgium / Berlin, Germany")</f>
        <v/>
      </c>
      <c r="K969">
        <f>IFERROR(__xludf.DUMMYFUNCTION("""COMPUTED_VALUE"""),30077.47)</f>
        <v/>
      </c>
    </row>
    <row r="970">
      <c r="J970">
        <f>IFERROR(__xludf.DUMMYFUNCTION("""COMPUTED_VALUE"""),"New Orleans, Louisiana, United States")</f>
        <v/>
      </c>
      <c r="K970">
        <f>IFERROR(__xludf.DUMMYFUNCTION("""COMPUTED_VALUE"""),30074.48)</f>
        <v/>
      </c>
    </row>
    <row r="971">
      <c r="J971">
        <f>IFERROR(__xludf.DUMMYFUNCTION("""COMPUTED_VALUE"""),"Madrid")</f>
        <v/>
      </c>
      <c r="K971">
        <f>IFERROR(__xludf.DUMMYFUNCTION("""COMPUTED_VALUE"""),30045.19)</f>
        <v/>
      </c>
    </row>
    <row r="972">
      <c r="J972">
        <f>IFERROR(__xludf.DUMMYFUNCTION("""COMPUTED_VALUE"""),"Vaughan, Ontario, Canada")</f>
        <v/>
      </c>
      <c r="K972">
        <f>IFERROR(__xludf.DUMMYFUNCTION("""COMPUTED_VALUE"""),30033.32)</f>
        <v/>
      </c>
    </row>
    <row r="973">
      <c r="J973">
        <f>IFERROR(__xludf.DUMMYFUNCTION("""COMPUTED_VALUE"""),"Paris and Cairo")</f>
        <v/>
      </c>
      <c r="K973">
        <f>IFERROR(__xludf.DUMMYFUNCTION("""COMPUTED_VALUE"""),30006.1599999999)</f>
        <v/>
      </c>
    </row>
    <row r="974">
      <c r="J974">
        <f>IFERROR(__xludf.DUMMYFUNCTION("""COMPUTED_VALUE"""),"Capetown, South Africa")</f>
        <v/>
      </c>
      <c r="K974">
        <f>IFERROR(__xludf.DUMMYFUNCTION("""COMPUTED_VALUE"""),29939.96)</f>
        <v/>
      </c>
    </row>
    <row r="975">
      <c r="J975">
        <f>IFERROR(__xludf.DUMMYFUNCTION("""COMPUTED_VALUE"""),"Calgary, (Alberta)")</f>
        <v/>
      </c>
      <c r="K975">
        <f>IFERROR(__xludf.DUMMYFUNCTION("""COMPUTED_VALUE"""),29892.95)</f>
        <v/>
      </c>
    </row>
    <row r="976">
      <c r="J976">
        <f>IFERROR(__xludf.DUMMYFUNCTION("""COMPUTED_VALUE"""),"Paris, France
Dubai, UAE")</f>
        <v/>
      </c>
      <c r="K976">
        <f>IFERROR(__xludf.DUMMYFUNCTION("""COMPUTED_VALUE"""),29884.42)</f>
        <v/>
      </c>
    </row>
    <row r="977">
      <c r="J977">
        <f>IFERROR(__xludf.DUMMYFUNCTION("""COMPUTED_VALUE"""),"Zagreb")</f>
        <v/>
      </c>
      <c r="K977">
        <f>IFERROR(__xludf.DUMMYFUNCTION("""COMPUTED_VALUE"""),29849.0899999999)</f>
        <v/>
      </c>
    </row>
    <row r="978">
      <c r="J978">
        <f>IFERROR(__xludf.DUMMYFUNCTION("""COMPUTED_VALUE"""),"Borgo, Italy; Zurich, Switzerland")</f>
        <v/>
      </c>
      <c r="K978">
        <f>IFERROR(__xludf.DUMMYFUNCTION("""COMPUTED_VALUE"""),29823.0999999999)</f>
        <v/>
      </c>
    </row>
    <row r="979">
      <c r="J979">
        <f>IFERROR(__xludf.DUMMYFUNCTION("""COMPUTED_VALUE"""),"Hamilton, Bermuda")</f>
        <v/>
      </c>
      <c r="K979">
        <f>IFERROR(__xludf.DUMMYFUNCTION("""COMPUTED_VALUE"""),29809.67)</f>
        <v/>
      </c>
    </row>
    <row r="980">
      <c r="J980">
        <f>IFERROR(__xludf.DUMMYFUNCTION("""COMPUTED_VALUE"""),"Nashville, Tennessee")</f>
        <v/>
      </c>
      <c r="K980">
        <f>IFERROR(__xludf.DUMMYFUNCTION("""COMPUTED_VALUE"""),29794.23)</f>
        <v/>
      </c>
    </row>
    <row r="981">
      <c r="J981">
        <f>IFERROR(__xludf.DUMMYFUNCTION("""COMPUTED_VALUE"""),"Atlanta, Georgia, USA")</f>
        <v/>
      </c>
      <c r="K981">
        <f>IFERROR(__xludf.DUMMYFUNCTION("""COMPUTED_VALUE"""),29773.64)</f>
        <v/>
      </c>
    </row>
    <row r="982">
      <c r="J982">
        <f>IFERROR(__xludf.DUMMYFUNCTION("""COMPUTED_VALUE"""),"Nigeria")</f>
        <v/>
      </c>
      <c r="K982">
        <f>IFERROR(__xludf.DUMMYFUNCTION("""COMPUTED_VALUE"""),29756.7699999999)</f>
        <v/>
      </c>
    </row>
    <row r="983">
      <c r="J983">
        <f>IFERROR(__xludf.DUMMYFUNCTION("""COMPUTED_VALUE"""),"Niagara Falls, ON")</f>
        <v/>
      </c>
      <c r="K983">
        <f>IFERROR(__xludf.DUMMYFUNCTION("""COMPUTED_VALUE"""),29745.9899999999)</f>
        <v/>
      </c>
    </row>
    <row r="984">
      <c r="J984">
        <f>IFERROR(__xludf.DUMMYFUNCTION("""COMPUTED_VALUE"""),"Tokyo, Japan; Hong Kong, Beijing, Republic of China; Surabaya, Indonesia")</f>
        <v/>
      </c>
      <c r="K984">
        <f>IFERROR(__xludf.DUMMYFUNCTION("""COMPUTED_VALUE"""),29629.5)</f>
        <v/>
      </c>
    </row>
    <row r="985">
      <c r="J985">
        <f>IFERROR(__xludf.DUMMYFUNCTION("""COMPUTED_VALUE"""),"Iceland")</f>
        <v/>
      </c>
      <c r="K985">
        <f>IFERROR(__xludf.DUMMYFUNCTION("""COMPUTED_VALUE"""),29595.17)</f>
        <v/>
      </c>
    </row>
    <row r="986">
      <c r="J986">
        <f>IFERROR(__xludf.DUMMYFUNCTION("""COMPUTED_VALUE"""),"Washington, District of Columbia, USA")</f>
        <v/>
      </c>
      <c r="K986">
        <f>IFERROR(__xludf.DUMMYFUNCTION("""COMPUTED_VALUE"""),29585.21)</f>
        <v/>
      </c>
    </row>
    <row r="987">
      <c r="J987">
        <f>IFERROR(__xludf.DUMMYFUNCTION("""COMPUTED_VALUE"""),"Doha &amp; Riyadh")</f>
        <v/>
      </c>
      <c r="K987">
        <f>IFERROR(__xludf.DUMMYFUNCTION("""COMPUTED_VALUE"""),29506.34)</f>
        <v/>
      </c>
    </row>
    <row r="988">
      <c r="J988">
        <f>IFERROR(__xludf.DUMMYFUNCTION("""COMPUTED_VALUE"""),"Israel and Jordon")</f>
        <v/>
      </c>
      <c r="K988">
        <f>IFERROR(__xludf.DUMMYFUNCTION("""COMPUTED_VALUE"""),29490.18)</f>
        <v/>
      </c>
    </row>
    <row r="989">
      <c r="J989">
        <f>IFERROR(__xludf.DUMMYFUNCTION("""COMPUTED_VALUE"""),"Toronto, Ontario Canada")</f>
        <v/>
      </c>
      <c r="K989">
        <f>IFERROR(__xludf.DUMMYFUNCTION("""COMPUTED_VALUE"""),29488.8199999999)</f>
        <v/>
      </c>
    </row>
    <row r="990">
      <c r="J990">
        <f>IFERROR(__xludf.DUMMYFUNCTION("""COMPUTED_VALUE"""),"Afghanistan")</f>
        <v/>
      </c>
      <c r="K990">
        <f>IFERROR(__xludf.DUMMYFUNCTION("""COMPUTED_VALUE"""),29462.93)</f>
        <v/>
      </c>
    </row>
    <row r="991">
      <c r="J991">
        <f>IFERROR(__xludf.DUMMYFUNCTION("""COMPUTED_VALUE"""),"Washington D.C., United States; Lima, Peru; Bogota, Colombia; Buenos Aires, Argentina")</f>
        <v/>
      </c>
      <c r="K991">
        <f>IFERROR(__xludf.DUMMYFUNCTION("""COMPUTED_VALUE"""),29460.21)</f>
        <v/>
      </c>
    </row>
    <row r="992">
      <c r="J992">
        <f>IFERROR(__xludf.DUMMYFUNCTION("""COMPUTED_VALUE"""),"Sherbrooke, QC")</f>
        <v/>
      </c>
      <c r="K992">
        <f>IFERROR(__xludf.DUMMYFUNCTION("""COMPUTED_VALUE"""),29428.33)</f>
        <v/>
      </c>
    </row>
    <row r="993">
      <c r="J993">
        <f>IFERROR(__xludf.DUMMYFUNCTION("""COMPUTED_VALUE"""),"Tumbler Ridge, British Columbia, Canada")</f>
        <v/>
      </c>
      <c r="K993">
        <f>IFERROR(__xludf.DUMMYFUNCTION("""COMPUTED_VALUE"""),29411.09)</f>
        <v/>
      </c>
    </row>
    <row r="994">
      <c r="J994">
        <f>IFERROR(__xludf.DUMMYFUNCTION("""COMPUTED_VALUE"""),"Calgary, Alberta, Canada; Vancouver, British Columbia, Canada")</f>
        <v/>
      </c>
      <c r="K994">
        <f>IFERROR(__xludf.DUMMYFUNCTION("""COMPUTED_VALUE"""),29393.93)</f>
        <v/>
      </c>
    </row>
    <row r="995">
      <c r="J995">
        <f>IFERROR(__xludf.DUMMYFUNCTION("""COMPUTED_VALUE"""),"Ethiopia, Sudan, Mozambique, Mali, Morocco")</f>
        <v/>
      </c>
      <c r="K995">
        <f>IFERROR(__xludf.DUMMYFUNCTION("""COMPUTED_VALUE"""),29375.75)</f>
        <v/>
      </c>
    </row>
    <row r="996">
      <c r="J996">
        <f>IFERROR(__xludf.DUMMYFUNCTION("""COMPUTED_VALUE"""),"Munich Brussels and Johannesburg, Germany Belgium and South Africa")</f>
        <v/>
      </c>
      <c r="K996">
        <f>IFERROR(__xludf.DUMMYFUNCTION("""COMPUTED_VALUE"""),29331.73)</f>
        <v/>
      </c>
    </row>
    <row r="997">
      <c r="J997">
        <f>IFERROR(__xludf.DUMMYFUNCTION("""COMPUTED_VALUE"""),"Vilnius, Lithuania, Riga, Latvia, Prague, Czech Republic &amp; Busharest, Romania")</f>
        <v/>
      </c>
      <c r="K997">
        <f>IFERROR(__xludf.DUMMYFUNCTION("""COMPUTED_VALUE"""),29322.05)</f>
        <v/>
      </c>
    </row>
    <row r="998">
      <c r="J998">
        <f>IFERROR(__xludf.DUMMYFUNCTION("""COMPUTED_VALUE"""),"Brasilia São Paulo and Bogotá, Brazil and Colombia")</f>
        <v/>
      </c>
      <c r="K998">
        <f>IFERROR(__xludf.DUMMYFUNCTION("""COMPUTED_VALUE"""),29203.2)</f>
        <v/>
      </c>
    </row>
    <row r="999">
      <c r="J999">
        <f>IFERROR(__xludf.DUMMYFUNCTION("""COMPUTED_VALUE"""),"Gandhinagar, India")</f>
        <v/>
      </c>
      <c r="K999">
        <f>IFERROR(__xludf.DUMMYFUNCTION("""COMPUTED_VALUE"""),29164.02)</f>
        <v/>
      </c>
    </row>
    <row r="1000">
      <c r="J1000">
        <f>IFERROR(__xludf.DUMMYFUNCTION("""COMPUTED_VALUE"""),"Montreal and Ottawa")</f>
        <v/>
      </c>
      <c r="K1000">
        <f>IFERROR(__xludf.DUMMYFUNCTION("""COMPUTED_VALUE"""),29155.07)</f>
        <v/>
      </c>
    </row>
    <row r="1001">
      <c r="J1001">
        <f>IFERROR(__xludf.DUMMYFUNCTION("""COMPUTED_VALUE"""),"Brussels, Belgium/ Paris, France/ Warsaw, Poland")</f>
        <v/>
      </c>
      <c r="K1001">
        <f>IFERROR(__xludf.DUMMYFUNCTION("""COMPUTED_VALUE"""),29136.63)</f>
        <v/>
      </c>
    </row>
    <row r="1002">
      <c r="J1002">
        <f>IFERROR(__xludf.DUMMYFUNCTION("""COMPUTED_VALUE"""),"Japan, Indonesia, Korea")</f>
        <v/>
      </c>
      <c r="K1002">
        <f>IFERROR(__xludf.DUMMYFUNCTION("""COMPUTED_VALUE"""),29105.52)</f>
        <v/>
      </c>
    </row>
    <row r="1003">
      <c r="J1003">
        <f>IFERROR(__xludf.DUMMYFUNCTION("""COMPUTED_VALUE"""),"Dusseldorf, Germany; Cologne, Germany; Brussels, Belgium; Bologna, Italy")</f>
        <v/>
      </c>
      <c r="K1003">
        <f>IFERROR(__xludf.DUMMYFUNCTION("""COMPUTED_VALUE"""),29039.28)</f>
        <v/>
      </c>
    </row>
    <row r="1004">
      <c r="J1004">
        <f>IFERROR(__xludf.DUMMYFUNCTION("""COMPUTED_VALUE"""),"London, UK, Paris, France")</f>
        <v/>
      </c>
      <c r="K1004">
        <f>IFERROR(__xludf.DUMMYFUNCTION("""COMPUTED_VALUE"""),28995.89)</f>
        <v/>
      </c>
    </row>
    <row r="1005">
      <c r="J1005">
        <f>IFERROR(__xludf.DUMMYFUNCTION("""COMPUTED_VALUE"""),"Damascus, Dubai, Doha, Sana'a, Cairo")</f>
        <v/>
      </c>
      <c r="K1005">
        <f>IFERROR(__xludf.DUMMYFUNCTION("""COMPUTED_VALUE"""),28988.45)</f>
        <v/>
      </c>
    </row>
    <row r="1006">
      <c r="J1006">
        <f>IFERROR(__xludf.DUMMYFUNCTION("""COMPUTED_VALUE"""),"Gdansk, Poland")</f>
        <v/>
      </c>
      <c r="K1006">
        <f>IFERROR(__xludf.DUMMYFUNCTION("""COMPUTED_VALUE"""),28923.5799999999)</f>
        <v/>
      </c>
    </row>
    <row r="1007">
      <c r="J1007">
        <f>IFERROR(__xludf.DUMMYFUNCTION("""COMPUTED_VALUE"""),"Winnipeg, Manitoba, Canada; Vancouver, British Columbia, Canada")</f>
        <v/>
      </c>
      <c r="K1007">
        <f>IFERROR(__xludf.DUMMYFUNCTION("""COMPUTED_VALUE"""),28918.0599999999)</f>
        <v/>
      </c>
    </row>
    <row r="1008">
      <c r="J1008">
        <f>IFERROR(__xludf.DUMMYFUNCTION("""COMPUTED_VALUE"""),"St John's, Newfoundland and Labrador, Canada")</f>
        <v/>
      </c>
      <c r="K1008">
        <f>IFERROR(__xludf.DUMMYFUNCTION("""COMPUTED_VALUE"""),28909.2299999999)</f>
        <v/>
      </c>
    </row>
    <row r="1009">
      <c r="J1009">
        <f>IFERROR(__xludf.DUMMYFUNCTION("""COMPUTED_VALUE"""),"Brazzaville, Republic of Congo")</f>
        <v/>
      </c>
      <c r="K1009">
        <f>IFERROR(__xludf.DUMMYFUNCTION("""COMPUTED_VALUE"""),28831.12)</f>
        <v/>
      </c>
    </row>
    <row r="1010">
      <c r="J1010">
        <f>IFERROR(__xludf.DUMMYFUNCTION("""COMPUTED_VALUE"""),"Brussels, Belgium
Berlin, Germany")</f>
        <v/>
      </c>
      <c r="K1010">
        <f>IFERROR(__xludf.DUMMYFUNCTION("""COMPUTED_VALUE"""),28732.72)</f>
        <v/>
      </c>
    </row>
    <row r="1011">
      <c r="J1011">
        <f>IFERROR(__xludf.DUMMYFUNCTION("""COMPUTED_VALUE"""),"Chicago, Illinois, USA")</f>
        <v/>
      </c>
      <c r="K1011">
        <f>IFERROR(__xludf.DUMMYFUNCTION("""COMPUTED_VALUE"""),28710.31)</f>
        <v/>
      </c>
    </row>
    <row r="1012">
      <c r="J1012">
        <f>IFERROR(__xludf.DUMMYFUNCTION("""COMPUTED_VALUE"""),"Antigua, Guatemala")</f>
        <v/>
      </c>
      <c r="K1012">
        <f>IFERROR(__xludf.DUMMYFUNCTION("""COMPUTED_VALUE"""),28697.92)</f>
        <v/>
      </c>
    </row>
    <row r="1013">
      <c r="J1013">
        <f>IFERROR(__xludf.DUMMYFUNCTION("""COMPUTED_VALUE"""),"Johannesburg, South Africa
Nairobi, Kenya
London, England")</f>
        <v/>
      </c>
      <c r="K1013">
        <f>IFERROR(__xludf.DUMMYFUNCTION("""COMPUTED_VALUE"""),28610.28)</f>
        <v/>
      </c>
    </row>
    <row r="1014">
      <c r="J1014">
        <f>IFERROR(__xludf.DUMMYFUNCTION("""COMPUTED_VALUE"""),"Zurich Switzerland")</f>
        <v/>
      </c>
      <c r="K1014">
        <f>IFERROR(__xludf.DUMMYFUNCTION("""COMPUTED_VALUE"""),28606.7399999999)</f>
        <v/>
      </c>
    </row>
    <row r="1015">
      <c r="J1015">
        <f>IFERROR(__xludf.DUMMYFUNCTION("""COMPUTED_VALUE"""),"Egypt and Morocco")</f>
        <v/>
      </c>
      <c r="K1015">
        <f>IFERROR(__xludf.DUMMYFUNCTION("""COMPUTED_VALUE"""),28598.5)</f>
        <v/>
      </c>
    </row>
    <row r="1016">
      <c r="J1016">
        <f>IFERROR(__xludf.DUMMYFUNCTION("""COMPUTED_VALUE"""),"Paris, France / Geneva, Switzerland")</f>
        <v/>
      </c>
      <c r="K1016">
        <f>IFERROR(__xludf.DUMMYFUNCTION("""COMPUTED_VALUE"""),28579.57)</f>
        <v/>
      </c>
    </row>
    <row r="1017">
      <c r="J1017">
        <f>IFERROR(__xludf.DUMMYFUNCTION("""COMPUTED_VALUE"""),"Frankfurt, Germany; Aman, Jordan; Beirut, Lebanon; London, United Kingdom")</f>
        <v/>
      </c>
      <c r="K1017">
        <f>IFERROR(__xludf.DUMMYFUNCTION("""COMPUTED_VALUE"""),28572.7699999999)</f>
        <v/>
      </c>
    </row>
    <row r="1018">
      <c r="J1018">
        <f>IFERROR(__xludf.DUMMYFUNCTION("""COMPUTED_VALUE"""),"WINNIPEG, MB")</f>
        <v/>
      </c>
      <c r="K1018">
        <f>IFERROR(__xludf.DUMMYFUNCTION("""COMPUTED_VALUE"""),28512.0199999999)</f>
        <v/>
      </c>
    </row>
    <row r="1019">
      <c r="J1019">
        <f>IFERROR(__xludf.DUMMYFUNCTION("""COMPUTED_VALUE"""),"Victoria, Canada")</f>
        <v/>
      </c>
      <c r="K1019">
        <f>IFERROR(__xludf.DUMMYFUNCTION("""COMPUTED_VALUE"""),28503.0499999999)</f>
        <v/>
      </c>
    </row>
    <row r="1020">
      <c r="J1020">
        <f>IFERROR(__xludf.DUMMYFUNCTION("""COMPUTED_VALUE"""),"Kinshasa, Democratic Republic of the Congo")</f>
        <v/>
      </c>
      <c r="K1020">
        <f>IFERROR(__xludf.DUMMYFUNCTION("""COMPUTED_VALUE"""),28395.92)</f>
        <v/>
      </c>
    </row>
    <row r="1021">
      <c r="J1021">
        <f>IFERROR(__xludf.DUMMYFUNCTION("""COMPUTED_VALUE"""),"New Delhi, IN / Mumbai, IN")</f>
        <v/>
      </c>
      <c r="K1021">
        <f>IFERROR(__xludf.DUMMYFUNCTION("""COMPUTED_VALUE"""),28385.28)</f>
        <v/>
      </c>
    </row>
    <row r="1022">
      <c r="J1022">
        <f>IFERROR(__xludf.DUMMYFUNCTION("""COMPUTED_VALUE"""),"Tokyo, Japan; Jakarta, Indonesia; Manila, Philippines")</f>
        <v/>
      </c>
      <c r="K1022">
        <f>IFERROR(__xludf.DUMMYFUNCTION("""COMPUTED_VALUE"""),28376.47)</f>
        <v/>
      </c>
    </row>
    <row r="1023">
      <c r="J1023">
        <f>IFERROR(__xludf.DUMMYFUNCTION("""COMPUTED_VALUE"""),"Riga/Kuwait")</f>
        <v/>
      </c>
      <c r="K1023">
        <f>IFERROR(__xludf.DUMMYFUNCTION("""COMPUTED_VALUE"""),28327.78)</f>
        <v/>
      </c>
    </row>
    <row r="1024">
      <c r="J1024">
        <f>IFERROR(__xludf.DUMMYFUNCTION("""COMPUTED_VALUE"""),"Toronto, ON, CA")</f>
        <v/>
      </c>
      <c r="K1024">
        <f>IFERROR(__xludf.DUMMYFUNCTION("""COMPUTED_VALUE"""),28313.9)</f>
        <v/>
      </c>
    </row>
    <row r="1025">
      <c r="J1025">
        <f>IFERROR(__xludf.DUMMYFUNCTION("""COMPUTED_VALUE"""),"Denpasar, Indonesia")</f>
        <v/>
      </c>
      <c r="K1025">
        <f>IFERROR(__xludf.DUMMYFUNCTION("""COMPUTED_VALUE"""),28248.95)</f>
        <v/>
      </c>
    </row>
    <row r="1026">
      <c r="J1026">
        <f>IFERROR(__xludf.DUMMYFUNCTION("""COMPUTED_VALUE"""),"London, United Kingdom; Paris, France")</f>
        <v/>
      </c>
      <c r="K1026">
        <f>IFERROR(__xludf.DUMMYFUNCTION("""COMPUTED_VALUE"""),28231.75)</f>
        <v/>
      </c>
    </row>
    <row r="1027">
      <c r="J1027">
        <f>IFERROR(__xludf.DUMMYFUNCTION("""COMPUTED_VALUE"""),"Ouagadougou, Burkina Faso")</f>
        <v/>
      </c>
      <c r="K1027">
        <f>IFERROR(__xludf.DUMMYFUNCTION("""COMPUTED_VALUE"""),28222.43)</f>
        <v/>
      </c>
    </row>
    <row r="1028">
      <c r="J1028">
        <f>IFERROR(__xludf.DUMMYFUNCTION("""COMPUTED_VALUE"""),"Rio de Janeiro")</f>
        <v/>
      </c>
      <c r="K1028">
        <f>IFERROR(__xludf.DUMMYFUNCTION("""COMPUTED_VALUE"""),28222.15)</f>
        <v/>
      </c>
    </row>
    <row r="1029">
      <c r="J1029">
        <f>IFERROR(__xludf.DUMMYFUNCTION("""COMPUTED_VALUE"""),"Sydney, NS")</f>
        <v/>
      </c>
      <c r="K1029">
        <f>IFERROR(__xludf.DUMMYFUNCTION("""COMPUTED_VALUE"""),28217.1199999999)</f>
        <v/>
      </c>
    </row>
    <row r="1030">
      <c r="J1030">
        <f>IFERROR(__xludf.DUMMYFUNCTION("""COMPUTED_VALUE"""),"Edmonton (Alberta) Canada")</f>
        <v/>
      </c>
      <c r="K1030">
        <f>IFERROR(__xludf.DUMMYFUNCTION("""COMPUTED_VALUE"""),28186.55)</f>
        <v/>
      </c>
    </row>
    <row r="1031">
      <c r="J1031">
        <f>IFERROR(__xludf.DUMMYFUNCTION("""COMPUTED_VALUE"""),"Detroit, Michigan")</f>
        <v/>
      </c>
      <c r="K1031">
        <f>IFERROR(__xludf.DUMMYFUNCTION("""COMPUTED_VALUE"""),28179.23)</f>
        <v/>
      </c>
    </row>
    <row r="1032">
      <c r="J1032">
        <f>IFERROR(__xludf.DUMMYFUNCTION("""COMPUTED_VALUE"""),"WASHINGTON(DC), SYDNEY, Canberra, ADELAIDE(Australia) AUCKLAND, QUEENSTOWN(New Zealand)")</f>
        <v/>
      </c>
      <c r="K1032">
        <f>IFERROR(__xludf.DUMMYFUNCTION("""COMPUTED_VALUE"""),28175.9)</f>
        <v/>
      </c>
    </row>
    <row r="1033">
      <c r="J1033">
        <f>IFERROR(__xludf.DUMMYFUNCTION("""COMPUTED_VALUE"""),"Winnipeg, Manitoba, Canada; Regina, Saskatchewan, Canada")</f>
        <v/>
      </c>
      <c r="K1033">
        <f>IFERROR(__xludf.DUMMYFUNCTION("""COMPUTED_VALUE"""),28169.68)</f>
        <v/>
      </c>
    </row>
    <row r="1034">
      <c r="J1034">
        <f>IFERROR(__xludf.DUMMYFUNCTION("""COMPUTED_VALUE"""),"Yellowknife, Canada")</f>
        <v/>
      </c>
      <c r="K1034">
        <f>IFERROR(__xludf.DUMMYFUNCTION("""COMPUTED_VALUE"""),28163.57)</f>
        <v/>
      </c>
    </row>
    <row r="1035">
      <c r="J1035">
        <f>IFERROR(__xludf.DUMMYFUNCTION("""COMPUTED_VALUE"""),"Paris, Marseille ( France)/       London (UK)")</f>
        <v/>
      </c>
      <c r="K1035">
        <f>IFERROR(__xludf.DUMMYFUNCTION("""COMPUTED_VALUE"""),28122.62)</f>
        <v/>
      </c>
    </row>
    <row r="1036">
      <c r="J1036">
        <f>IFERROR(__xludf.DUMMYFUNCTION("""COMPUTED_VALUE"""),"Tel Aviv Israel, Athens Greece, Cairo Egypt and Doha Qatar.")</f>
        <v/>
      </c>
      <c r="K1036">
        <f>IFERROR(__xludf.DUMMYFUNCTION("""COMPUTED_VALUE"""),28112.46)</f>
        <v/>
      </c>
    </row>
    <row r="1037">
      <c r="J1037">
        <f>IFERROR(__xludf.DUMMYFUNCTION("""COMPUTED_VALUE"""),"Whitehorse, Canada")</f>
        <v/>
      </c>
      <c r="K1037">
        <f>IFERROR(__xludf.DUMMYFUNCTION("""COMPUTED_VALUE"""),28112.28)</f>
        <v/>
      </c>
    </row>
    <row r="1038">
      <c r="J1038">
        <f>IFERROR(__xludf.DUMMYFUNCTION("""COMPUTED_VALUE"""),"Toronto, Ontario, Canada / Montreal, Quebec, Canada")</f>
        <v/>
      </c>
      <c r="K1038">
        <f>IFERROR(__xludf.DUMMYFUNCTION("""COMPUTED_VALUE"""),28097.51)</f>
        <v/>
      </c>
    </row>
    <row r="1039">
      <c r="J1039">
        <f>IFERROR(__xludf.DUMMYFUNCTION("""COMPUTED_VALUE"""),"Israel, West Bank and Kingdom of
Saudi Arabia")</f>
        <v/>
      </c>
      <c r="K1039">
        <f>IFERROR(__xludf.DUMMYFUNCTION("""COMPUTED_VALUE"""),28091)</f>
        <v/>
      </c>
    </row>
    <row r="1040">
      <c r="J1040">
        <f>IFERROR(__xludf.DUMMYFUNCTION("""COMPUTED_VALUE"""),"Montreal, Quebec (Canada)")</f>
        <v/>
      </c>
      <c r="K1040">
        <f>IFERROR(__xludf.DUMMYFUNCTION("""COMPUTED_VALUE"""),28086.1999999999)</f>
        <v/>
      </c>
    </row>
    <row r="1041">
      <c r="J1041">
        <f>IFERROR(__xludf.DUMMYFUNCTION("""COMPUTED_VALUE"""),"Leipzig &amp; Berlin, Germany; Washington, USA; Saint-John, NB")</f>
        <v/>
      </c>
      <c r="K1041">
        <f>IFERROR(__xludf.DUMMYFUNCTION("""COMPUTED_VALUE"""),28073.45)</f>
        <v/>
      </c>
    </row>
    <row r="1042">
      <c r="J1042">
        <f>IFERROR(__xludf.DUMMYFUNCTION("""COMPUTED_VALUE"""),"New York, Rome, Kuwait and Geneva")</f>
        <v/>
      </c>
      <c r="K1042">
        <f>IFERROR(__xludf.DUMMYFUNCTION("""COMPUTED_VALUE"""),28073.18)</f>
        <v/>
      </c>
    </row>
    <row r="1043">
      <c r="J1043">
        <f>IFERROR(__xludf.DUMMYFUNCTION("""COMPUTED_VALUE"""),"Johannesburg, South Africa; Maputo, Vilankulos, Mozambique")</f>
        <v/>
      </c>
      <c r="K1043">
        <f>IFERROR(__xludf.DUMMYFUNCTION("""COMPUTED_VALUE"""),28048.66)</f>
        <v/>
      </c>
    </row>
    <row r="1044">
      <c r="J1044">
        <f>IFERROR(__xludf.DUMMYFUNCTION("""COMPUTED_VALUE"""),"Toronto, Ontario (Canada)")</f>
        <v/>
      </c>
      <c r="K1044">
        <f>IFERROR(__xludf.DUMMYFUNCTION("""COMPUTED_VALUE"""),28036.0899999999)</f>
        <v/>
      </c>
    </row>
    <row r="1045">
      <c r="J1045">
        <f>IFERROR(__xludf.DUMMYFUNCTION("""COMPUTED_VALUE"""),"Cambridge, ON")</f>
        <v/>
      </c>
      <c r="K1045">
        <f>IFERROR(__xludf.DUMMYFUNCTION("""COMPUTED_VALUE"""),28013.72)</f>
        <v/>
      </c>
    </row>
    <row r="1046">
      <c r="J1046">
        <f>IFERROR(__xludf.DUMMYFUNCTION("""COMPUTED_VALUE"""),"Dresden, Germany")</f>
        <v/>
      </c>
      <c r="K1046">
        <f>IFERROR(__xludf.DUMMYFUNCTION("""COMPUTED_VALUE"""),27985.04)</f>
        <v/>
      </c>
    </row>
    <row r="1047">
      <c r="J1047">
        <f>IFERROR(__xludf.DUMMYFUNCTION("""COMPUTED_VALUE"""),"Mumbai, New Delhi, Dubai and Vienna")</f>
        <v/>
      </c>
      <c r="K1047">
        <f>IFERROR(__xludf.DUMMYFUNCTION("""COMPUTED_VALUE"""),27958.64)</f>
        <v/>
      </c>
    </row>
    <row r="1048">
      <c r="J1048">
        <f>IFERROR(__xludf.DUMMYFUNCTION("""COMPUTED_VALUE"""),"Medellin, Colombia")</f>
        <v/>
      </c>
      <c r="K1048">
        <f>IFERROR(__xludf.DUMMYFUNCTION("""COMPUTED_VALUE"""),27927.75)</f>
        <v/>
      </c>
    </row>
    <row r="1049">
      <c r="J1049">
        <f>IFERROR(__xludf.DUMMYFUNCTION("""COMPUTED_VALUE"""),"London, Paris and Krakow")</f>
        <v/>
      </c>
      <c r="K1049">
        <f>IFERROR(__xludf.DUMMYFUNCTION("""COMPUTED_VALUE"""),27920.27)</f>
        <v/>
      </c>
    </row>
    <row r="1050">
      <c r="J1050">
        <f>IFERROR(__xludf.DUMMYFUNCTION("""COMPUTED_VALUE"""),"Congo")</f>
        <v/>
      </c>
      <c r="K1050">
        <f>IFERROR(__xludf.DUMMYFUNCTION("""COMPUTED_VALUE"""),27908.94)</f>
        <v/>
      </c>
    </row>
    <row r="1051">
      <c r="J1051">
        <f>IFERROR(__xludf.DUMMYFUNCTION("""COMPUTED_VALUE"""),"Las Vegas, USA")</f>
        <v/>
      </c>
      <c r="K1051">
        <f>IFERROR(__xludf.DUMMYFUNCTION("""COMPUTED_VALUE"""),27886.08)</f>
        <v/>
      </c>
    </row>
    <row r="1052">
      <c r="J1052">
        <f>IFERROR(__xludf.DUMMYFUNCTION("""COMPUTED_VALUE"""),"Calgary / Vancouver")</f>
        <v/>
      </c>
      <c r="K1052">
        <f>IFERROR(__xludf.DUMMYFUNCTION("""COMPUTED_VALUE"""),27873.21)</f>
        <v/>
      </c>
    </row>
    <row r="1053">
      <c r="J1053">
        <f>IFERROR(__xludf.DUMMYFUNCTION("""COMPUTED_VALUE"""),"Brussels (Belgium)")</f>
        <v/>
      </c>
      <c r="K1053">
        <f>IFERROR(__xludf.DUMMYFUNCTION("""COMPUTED_VALUE"""),27860.17)</f>
        <v/>
      </c>
    </row>
    <row r="1054">
      <c r="J1054">
        <f>IFERROR(__xludf.DUMMYFUNCTION("""COMPUTED_VALUE"""),"Richmond, British Columbia, Canada")</f>
        <v/>
      </c>
      <c r="K1054">
        <f>IFERROR(__xludf.DUMMYFUNCTION("""COMPUTED_VALUE"""),27846.92)</f>
        <v/>
      </c>
    </row>
    <row r="1055">
      <c r="J1055">
        <f>IFERROR(__xludf.DUMMYFUNCTION("""COMPUTED_VALUE"""),"Kigali, Kigali, Rwanda")</f>
        <v/>
      </c>
      <c r="K1055">
        <f>IFERROR(__xludf.DUMMYFUNCTION("""COMPUTED_VALUE"""),27830.95)</f>
        <v/>
      </c>
    </row>
    <row r="1056">
      <c r="J1056">
        <f>IFERROR(__xludf.DUMMYFUNCTION("""COMPUTED_VALUE"""),"Paris, France; Brussels, Belgium")</f>
        <v/>
      </c>
      <c r="K1056">
        <f>IFERROR(__xludf.DUMMYFUNCTION("""COMPUTED_VALUE"""),27790.26)</f>
        <v/>
      </c>
    </row>
    <row r="1057">
      <c r="J1057">
        <f>IFERROR(__xludf.DUMMYFUNCTION("""COMPUTED_VALUE"""),"MONTREAL, QC - OTTAWA, ON")</f>
        <v/>
      </c>
      <c r="K1057">
        <f>IFERROR(__xludf.DUMMYFUNCTION("""COMPUTED_VALUE"""),27787.44)</f>
        <v/>
      </c>
    </row>
    <row r="1058">
      <c r="J1058">
        <f>IFERROR(__xludf.DUMMYFUNCTION("""COMPUTED_VALUE"""),"London,UK")</f>
        <v/>
      </c>
      <c r="K1058">
        <f>IFERROR(__xludf.DUMMYFUNCTION("""COMPUTED_VALUE"""),27761.9)</f>
        <v/>
      </c>
    </row>
    <row r="1059">
      <c r="J1059">
        <f>IFERROR(__xludf.DUMMYFUNCTION("""COMPUTED_VALUE"""),"Amsterdam, Netherlands
Copenhagen, Denmark")</f>
        <v/>
      </c>
      <c r="K1059">
        <f>IFERROR(__xludf.DUMMYFUNCTION("""COMPUTED_VALUE"""),27753.3799999999)</f>
        <v/>
      </c>
    </row>
    <row r="1060">
      <c r="J1060">
        <f>IFERROR(__xludf.DUMMYFUNCTION("""COMPUTED_VALUE"""),"Tokyo-Japan")</f>
        <v/>
      </c>
      <c r="K1060">
        <f>IFERROR(__xludf.DUMMYFUNCTION("""COMPUTED_VALUE"""),27733.43)</f>
        <v/>
      </c>
    </row>
    <row r="1061">
      <c r="J1061">
        <f>IFERROR(__xludf.DUMMYFUNCTION("""COMPUTED_VALUE"""),"Barbados")</f>
        <v/>
      </c>
      <c r="K1061">
        <f>IFERROR(__xludf.DUMMYFUNCTION("""COMPUTED_VALUE"""),27708.5499999999)</f>
        <v/>
      </c>
    </row>
    <row r="1062">
      <c r="J1062">
        <f>IFERROR(__xludf.DUMMYFUNCTION("""COMPUTED_VALUE"""),"Toronto, Ottawa")</f>
        <v/>
      </c>
      <c r="K1062">
        <f>IFERROR(__xludf.DUMMYFUNCTION("""COMPUTED_VALUE"""),27701.37)</f>
        <v/>
      </c>
    </row>
    <row r="1063">
      <c r="J1063">
        <f>IFERROR(__xludf.DUMMYFUNCTION("""COMPUTED_VALUE"""),"Kuwait, Jordan and the United Arab Emirates")</f>
        <v/>
      </c>
      <c r="K1063">
        <f>IFERROR(__xludf.DUMMYFUNCTION("""COMPUTED_VALUE"""),27698.4)</f>
        <v/>
      </c>
    </row>
    <row r="1064">
      <c r="J1064">
        <f>IFERROR(__xludf.DUMMYFUNCTION("""COMPUTED_VALUE"""),"Edmonton, AB - Calgary, AB")</f>
        <v/>
      </c>
      <c r="K1064">
        <f>IFERROR(__xludf.DUMMYFUNCTION("""COMPUTED_VALUE"""),27670.46)</f>
        <v/>
      </c>
    </row>
    <row r="1065">
      <c r="J1065">
        <f>IFERROR(__xludf.DUMMYFUNCTION("""COMPUTED_VALUE"""),"Canberra (Sydney), AUS")</f>
        <v/>
      </c>
      <c r="K1065">
        <f>IFERROR(__xludf.DUMMYFUNCTION("""COMPUTED_VALUE"""),27627.22)</f>
        <v/>
      </c>
    </row>
    <row r="1066">
      <c r="J1066">
        <f>IFERROR(__xludf.DUMMYFUNCTION("""COMPUTED_VALUE"""),"SingaporeBrussels, Belgium")</f>
        <v/>
      </c>
      <c r="K1066">
        <f>IFERROR(__xludf.DUMMYFUNCTION("""COMPUTED_VALUE"""),27608)</f>
        <v/>
      </c>
    </row>
    <row r="1067">
      <c r="J1067">
        <f>IFERROR(__xludf.DUMMYFUNCTION("""COMPUTED_VALUE"""),"Seattle, WA")</f>
        <v/>
      </c>
      <c r="K1067">
        <f>IFERROR(__xludf.DUMMYFUNCTION("""COMPUTED_VALUE"""),27594.17)</f>
        <v/>
      </c>
    </row>
    <row r="1068">
      <c r="J1068">
        <f>IFERROR(__xludf.DUMMYFUNCTION("""COMPUTED_VALUE"""),"Oshawa, Ontario, Canada")</f>
        <v/>
      </c>
      <c r="K1068">
        <f>IFERROR(__xludf.DUMMYFUNCTION("""COMPUTED_VALUE"""),27585.64)</f>
        <v/>
      </c>
    </row>
    <row r="1069">
      <c r="J1069">
        <f>IFERROR(__xludf.DUMMYFUNCTION("""COMPUTED_VALUE"""),"Indonesia and Vietnam")</f>
        <v/>
      </c>
      <c r="K1069">
        <f>IFERROR(__xludf.DUMMYFUNCTION("""COMPUTED_VALUE"""),27557.96)</f>
        <v/>
      </c>
    </row>
    <row r="1070">
      <c r="J1070">
        <f>IFERROR(__xludf.DUMMYFUNCTION("""COMPUTED_VALUE"""),"Ottawa, Ontario and Halifax, Nova Scotia")</f>
        <v/>
      </c>
      <c r="K1070">
        <f>IFERROR(__xludf.DUMMYFUNCTION("""COMPUTED_VALUE"""),27514.1799999999)</f>
        <v/>
      </c>
    </row>
    <row r="1071">
      <c r="J1071">
        <f>IFERROR(__xludf.DUMMYFUNCTION("""COMPUTED_VALUE"""),"Da Nang, Vietnam")</f>
        <v/>
      </c>
      <c r="K1071">
        <f>IFERROR(__xludf.DUMMYFUNCTION("""COMPUTED_VALUE"""),27491.31)</f>
        <v/>
      </c>
    </row>
    <row r="1072">
      <c r="J1072">
        <f>IFERROR(__xludf.DUMMYFUNCTION("""COMPUTED_VALUE"""),"Dubai, United Arab Emerates")</f>
        <v/>
      </c>
      <c r="K1072">
        <f>IFERROR(__xludf.DUMMYFUNCTION("""COMPUTED_VALUE"""),27464.1)</f>
        <v/>
      </c>
    </row>
    <row r="1073">
      <c r="J1073">
        <f>IFERROR(__xludf.DUMMYFUNCTION("""COMPUTED_VALUE"""),"San Jose, Costa Rica")</f>
        <v/>
      </c>
      <c r="K1073">
        <f>IFERROR(__xludf.DUMMYFUNCTION("""COMPUTED_VALUE"""),27407.0999999999)</f>
        <v/>
      </c>
    </row>
    <row r="1074">
      <c r="J1074">
        <f>IFERROR(__xludf.DUMMYFUNCTION("""COMPUTED_VALUE"""),"Lebanon")</f>
        <v/>
      </c>
      <c r="K1074">
        <f>IFERROR(__xludf.DUMMYFUNCTION("""COMPUTED_VALUE"""),27358.35)</f>
        <v/>
      </c>
    </row>
    <row r="1075">
      <c r="J1075">
        <f>IFERROR(__xludf.DUMMYFUNCTION("""COMPUTED_VALUE"""),"Baltimore, MD, USA")</f>
        <v/>
      </c>
      <c r="K1075">
        <f>IFERROR(__xludf.DUMMYFUNCTION("""COMPUTED_VALUE"""),27343.01)</f>
        <v/>
      </c>
    </row>
    <row r="1076">
      <c r="J1076">
        <f>IFERROR(__xludf.DUMMYFUNCTION("""COMPUTED_VALUE"""),"Sudbury")</f>
        <v/>
      </c>
      <c r="K1076">
        <f>IFERROR(__xludf.DUMMYFUNCTION("""COMPUTED_VALUE"""),27341.28)</f>
        <v/>
      </c>
    </row>
    <row r="1077">
      <c r="J1077">
        <f>IFERROR(__xludf.DUMMYFUNCTION("""COMPUTED_VALUE"""),"Ouagadougou, Burkina Faso; Nairobi, Kenya; Antananarivo, Madagascar; Johannesburg and Cape Town, South Africa; Dar es Salaam, Tanzania")</f>
        <v/>
      </c>
      <c r="K1077">
        <f>IFERROR(__xludf.DUMMYFUNCTION("""COMPUTED_VALUE"""),27257.98)</f>
        <v/>
      </c>
    </row>
    <row r="1078">
      <c r="J1078">
        <f>IFERROR(__xludf.DUMMYFUNCTION("""COMPUTED_VALUE"""),"Brazil and New York")</f>
        <v/>
      </c>
      <c r="K1078">
        <f>IFERROR(__xludf.DUMMYFUNCTION("""COMPUTED_VALUE"""),27241.8099999999)</f>
        <v/>
      </c>
    </row>
    <row r="1079">
      <c r="J1079">
        <f>IFERROR(__xludf.DUMMYFUNCTION("""COMPUTED_VALUE"""),"Hawaii, US")</f>
        <v/>
      </c>
      <c r="K1079">
        <f>IFERROR(__xludf.DUMMYFUNCTION("""COMPUTED_VALUE"""),27200)</f>
        <v/>
      </c>
    </row>
    <row r="1080">
      <c r="J1080">
        <f>IFERROR(__xludf.DUMMYFUNCTION("""COMPUTED_VALUE"""),"Jonquière, QC")</f>
        <v/>
      </c>
      <c r="K1080">
        <f>IFERROR(__xludf.DUMMYFUNCTION("""COMPUTED_VALUE"""),27178.23)</f>
        <v/>
      </c>
    </row>
    <row r="1081">
      <c r="J1081">
        <f>IFERROR(__xludf.DUMMYFUNCTION("""COMPUTED_VALUE"""),"Glasgow")</f>
        <v/>
      </c>
      <c r="K1081">
        <f>IFERROR(__xludf.DUMMYFUNCTION("""COMPUTED_VALUE"""),27143.54)</f>
        <v/>
      </c>
    </row>
    <row r="1082">
      <c r="J1082">
        <f>IFERROR(__xludf.DUMMYFUNCTION("""COMPUTED_VALUE"""),"Marrakesh")</f>
        <v/>
      </c>
      <c r="K1082">
        <f>IFERROR(__xludf.DUMMYFUNCTION("""COMPUTED_VALUE"""),27139.75)</f>
        <v/>
      </c>
    </row>
    <row r="1083">
      <c r="J1083">
        <f>IFERROR(__xludf.DUMMYFUNCTION("""COMPUTED_VALUE"""),"Amsterdam (The Hague), Netherlands")</f>
        <v/>
      </c>
      <c r="K1083">
        <f>IFERROR(__xludf.DUMMYFUNCTION("""COMPUTED_VALUE"""),27124.34)</f>
        <v/>
      </c>
    </row>
    <row r="1084">
      <c r="J1084">
        <f>IFERROR(__xludf.DUMMYFUNCTION("""COMPUTED_VALUE"""),"Montreal, Quebec, Canada; Toronto, Ontario, Canada")</f>
        <v/>
      </c>
      <c r="K1084">
        <f>IFERROR(__xludf.DUMMYFUNCTION("""COMPUTED_VALUE"""),27115.04)</f>
        <v/>
      </c>
    </row>
    <row r="1085">
      <c r="J1085">
        <f>IFERROR(__xludf.DUMMYFUNCTION("""COMPUTED_VALUE"""),"Edinburg, Scotland")</f>
        <v/>
      </c>
      <c r="K1085">
        <f>IFERROR(__xludf.DUMMYFUNCTION("""COMPUTED_VALUE"""),27093.36)</f>
        <v/>
      </c>
    </row>
    <row r="1086">
      <c r="J1086">
        <f>IFERROR(__xludf.DUMMYFUNCTION("""COMPUTED_VALUE"""),"Addis Ababa Dar Es Salaam and Skukuza, Ethiopia Tanzania and South Africa")</f>
        <v/>
      </c>
      <c r="K1086">
        <f>IFERROR(__xludf.DUMMYFUNCTION("""COMPUTED_VALUE"""),27092.69)</f>
        <v/>
      </c>
    </row>
    <row r="1087">
      <c r="J1087">
        <f>IFERROR(__xludf.DUMMYFUNCTION("""COMPUTED_VALUE"""),"Ukraine, Munich, Paris, New York")</f>
        <v/>
      </c>
      <c r="K1087">
        <f>IFERROR(__xludf.DUMMYFUNCTION("""COMPUTED_VALUE"""),27084.05)</f>
        <v/>
      </c>
    </row>
    <row r="1088">
      <c r="J1088">
        <f>IFERROR(__xludf.DUMMYFUNCTION("""COMPUTED_VALUE"""),"Cranbrook, British Columbia, Canada")</f>
        <v/>
      </c>
      <c r="K1088">
        <f>IFERROR(__xludf.DUMMYFUNCTION("""COMPUTED_VALUE"""),27077.9799999999)</f>
        <v/>
      </c>
    </row>
    <row r="1089">
      <c r="J1089">
        <f>IFERROR(__xludf.DUMMYFUNCTION("""COMPUTED_VALUE"""),"WASHINGTON (DC) USA ANNAPOLIS (Maryland) USA SINGAPORE, BANDAR SERI , BEGAWAN (Brunei) Borneo, HANOI Vietnam, Qingdao, BEIJING China")</f>
        <v/>
      </c>
      <c r="K1089">
        <f>IFERROR(__xludf.DUMMYFUNCTION("""COMPUTED_VALUE"""),27055.86)</f>
        <v/>
      </c>
    </row>
    <row r="1090">
      <c r="J1090">
        <f>IFERROR(__xludf.DUMMYFUNCTION("""COMPUTED_VALUE"""),"Hong-Kong and China")</f>
        <v/>
      </c>
      <c r="K1090">
        <f>IFERROR(__xludf.DUMMYFUNCTION("""COMPUTED_VALUE"""),27024.59)</f>
        <v/>
      </c>
    </row>
    <row r="1091">
      <c r="J1091">
        <f>IFERROR(__xludf.DUMMYFUNCTION("""COMPUTED_VALUE"""),"Pune, India")</f>
        <v/>
      </c>
      <c r="K1091">
        <f>IFERROR(__xludf.DUMMYFUNCTION("""COMPUTED_VALUE"""),27023.1)</f>
        <v/>
      </c>
    </row>
    <row r="1092">
      <c r="J1092">
        <f>IFERROR(__xludf.DUMMYFUNCTION("""COMPUTED_VALUE"""),"Paris, France - London, England")</f>
        <v/>
      </c>
      <c r="K1092">
        <f>IFERROR(__xludf.DUMMYFUNCTION("""COMPUTED_VALUE"""),27016.68)</f>
        <v/>
      </c>
    </row>
    <row r="1093">
      <c r="J1093">
        <f>IFERROR(__xludf.DUMMYFUNCTION("""COMPUTED_VALUE"""),"Ottawa, Ontario Canada")</f>
        <v/>
      </c>
      <c r="K1093">
        <f>IFERROR(__xludf.DUMMYFUNCTION("""COMPUTED_VALUE"""),26954.21)</f>
        <v/>
      </c>
    </row>
    <row r="1094">
      <c r="J1094">
        <f>IFERROR(__xludf.DUMMYFUNCTION("""COMPUTED_VALUE"""),"Brussels and Munich")</f>
        <v/>
      </c>
      <c r="K1094">
        <f>IFERROR(__xludf.DUMMYFUNCTION("""COMPUTED_VALUE"""),26931.41)</f>
        <v/>
      </c>
    </row>
    <row r="1095">
      <c r="J1095">
        <f>IFERROR(__xludf.DUMMYFUNCTION("""COMPUTED_VALUE"""),"Toronto, Ontario, Canada / Rome, Italy / Beirut, Lebanon / Amman, Jordan / Frankfurt, Germany")</f>
        <v/>
      </c>
      <c r="K1095">
        <f>IFERROR(__xludf.DUMMYFUNCTION("""COMPUTED_VALUE"""),26917.58)</f>
        <v/>
      </c>
    </row>
    <row r="1096">
      <c r="J1096">
        <f>IFERROR(__xludf.DUMMYFUNCTION("""COMPUTED_VALUE"""),"Malaysia, Vietnam")</f>
        <v/>
      </c>
      <c r="K1096">
        <f>IFERROR(__xludf.DUMMYFUNCTION("""COMPUTED_VALUE"""),26915.87)</f>
        <v/>
      </c>
    </row>
    <row r="1097">
      <c r="J1097">
        <f>IFERROR(__xludf.DUMMYFUNCTION("""COMPUTED_VALUE"""),"Cape Town, Africa")</f>
        <v/>
      </c>
      <c r="K1097">
        <f>IFERROR(__xludf.DUMMYFUNCTION("""COMPUTED_VALUE"""),26904.92)</f>
        <v/>
      </c>
    </row>
    <row r="1098">
      <c r="J1098">
        <f>IFERROR(__xludf.DUMMYFUNCTION("""COMPUTED_VALUE"""),"Tsukuba, Japan")</f>
        <v/>
      </c>
      <c r="K1098">
        <f>IFERROR(__xludf.DUMMYFUNCTION("""COMPUTED_VALUE"""),26894.41)</f>
        <v/>
      </c>
    </row>
    <row r="1099">
      <c r="J1099">
        <f>IFERROR(__xludf.DUMMYFUNCTION("""COMPUTED_VALUE"""),"Uganda and Vanuta")</f>
        <v/>
      </c>
      <c r="K1099">
        <f>IFERROR(__xludf.DUMMYFUNCTION("""COMPUTED_VALUE"""),26891.05)</f>
        <v/>
      </c>
    </row>
    <row r="1100">
      <c r="J1100">
        <f>IFERROR(__xludf.DUMMYFUNCTION("""COMPUTED_VALUE"""),"Toronto, Washington")</f>
        <v/>
      </c>
      <c r="K1100">
        <f>IFERROR(__xludf.DUMMYFUNCTION("""COMPUTED_VALUE"""),26890.86)</f>
        <v/>
      </c>
    </row>
    <row r="1101">
      <c r="J1101">
        <f>IFERROR(__xludf.DUMMYFUNCTION("""COMPUTED_VALUE"""),"Lima, Peru &amp; Sao Paulo, Brazil")</f>
        <v/>
      </c>
      <c r="K1101">
        <f>IFERROR(__xludf.DUMMYFUNCTION("""COMPUTED_VALUE"""),26867.93)</f>
        <v/>
      </c>
    </row>
    <row r="1102">
      <c r="J1102">
        <f>IFERROR(__xludf.DUMMYFUNCTION("""COMPUTED_VALUE"""),"Edmonton and Calgary, Alberta")</f>
        <v/>
      </c>
      <c r="K1102">
        <f>IFERROR(__xludf.DUMMYFUNCTION("""COMPUTED_VALUE"""),26860.99)</f>
        <v/>
      </c>
    </row>
    <row r="1103">
      <c r="J1103">
        <f>IFERROR(__xludf.DUMMYFUNCTION("""COMPUTED_VALUE"""),"Florida, USA")</f>
        <v/>
      </c>
      <c r="K1103">
        <f>IFERROR(__xludf.DUMMYFUNCTION("""COMPUTED_VALUE"""),26786.21)</f>
        <v/>
      </c>
    </row>
    <row r="1104">
      <c r="J1104">
        <f>IFERROR(__xludf.DUMMYFUNCTION("""COMPUTED_VALUE"""),"Cambridge, UK")</f>
        <v/>
      </c>
      <c r="K1104">
        <f>IFERROR(__xludf.DUMMYFUNCTION("""COMPUTED_VALUE"""),26756.49)</f>
        <v/>
      </c>
    </row>
    <row r="1105">
      <c r="J1105">
        <f>IFERROR(__xludf.DUMMYFUNCTION("""COMPUTED_VALUE"""),"Toronto &amp; Ottawa")</f>
        <v/>
      </c>
      <c r="K1105">
        <f>IFERROR(__xludf.DUMMYFUNCTION("""COMPUTED_VALUE"""),26748.86)</f>
        <v/>
      </c>
    </row>
    <row r="1106">
      <c r="J1106">
        <f>IFERROR(__xludf.DUMMYFUNCTION("""COMPUTED_VALUE"""),"Japan; Indonesia")</f>
        <v/>
      </c>
      <c r="K1106">
        <f>IFERROR(__xludf.DUMMYFUNCTION("""COMPUTED_VALUE"""),26731.84)</f>
        <v/>
      </c>
    </row>
    <row r="1107">
      <c r="J1107">
        <f>IFERROR(__xludf.DUMMYFUNCTION("""COMPUTED_VALUE"""),"Geneva, Switzerland &amp; Paris, France")</f>
        <v/>
      </c>
      <c r="K1107">
        <f>IFERROR(__xludf.DUMMYFUNCTION("""COMPUTED_VALUE"""),26725.76)</f>
        <v/>
      </c>
    </row>
    <row r="1108">
      <c r="J1108">
        <f>IFERROR(__xludf.DUMMYFUNCTION("""COMPUTED_VALUE"""),"Geneva, Switzerland / Berlin, Germany")</f>
        <v/>
      </c>
      <c r="K1108">
        <f>IFERROR(__xludf.DUMMYFUNCTION("""COMPUTED_VALUE"""),26710.02)</f>
        <v/>
      </c>
    </row>
    <row r="1109">
      <c r="J1109">
        <f>IFERROR(__xludf.DUMMYFUNCTION("""COMPUTED_VALUE"""),"Vancouver, Calgary, Toronto, St. Johns, Ottawa, Montreal, St. Petersburg")</f>
        <v/>
      </c>
      <c r="K1109">
        <f>IFERROR(__xludf.DUMMYFUNCTION("""COMPUTED_VALUE"""),26693.95)</f>
        <v/>
      </c>
    </row>
    <row r="1110">
      <c r="J1110">
        <f>IFERROR(__xludf.DUMMYFUNCTION("""COMPUTED_VALUE"""),"Buenos Aires, Argentina and Santiago, Chile")</f>
        <v/>
      </c>
      <c r="K1110">
        <f>IFERROR(__xludf.DUMMYFUNCTION("""COMPUTED_VALUE"""),26668.92)</f>
        <v/>
      </c>
    </row>
    <row r="1111">
      <c r="J1111">
        <f>IFERROR(__xludf.DUMMYFUNCTION("""COMPUTED_VALUE"""),"Chile, Mexico")</f>
        <v/>
      </c>
      <c r="K1111">
        <f>IFERROR(__xludf.DUMMYFUNCTION("""COMPUTED_VALUE"""),26668.89)</f>
        <v/>
      </c>
    </row>
    <row r="1112">
      <c r="J1112">
        <f>IFERROR(__xludf.DUMMYFUNCTION("""COMPUTED_VALUE"""),"Trenton, Ontario")</f>
        <v/>
      </c>
      <c r="K1112">
        <f>IFERROR(__xludf.DUMMYFUNCTION("""COMPUTED_VALUE"""),26666.3299999999)</f>
        <v/>
      </c>
    </row>
    <row r="1113">
      <c r="J1113">
        <f>IFERROR(__xludf.DUMMYFUNCTION("""COMPUTED_VALUE"""),"Denpassar, Bali")</f>
        <v/>
      </c>
      <c r="K1113">
        <f>IFERROR(__xludf.DUMMYFUNCTION("""COMPUTED_VALUE"""),26641.77)</f>
        <v/>
      </c>
    </row>
    <row r="1114">
      <c r="J1114">
        <f>IFERROR(__xludf.DUMMYFUNCTION("""COMPUTED_VALUE"""),"Whitehorse (Yukon) Canada")</f>
        <v/>
      </c>
      <c r="K1114">
        <f>IFERROR(__xludf.DUMMYFUNCTION("""COMPUTED_VALUE"""),26635.25)</f>
        <v/>
      </c>
    </row>
    <row r="1115">
      <c r="J1115">
        <f>IFERROR(__xludf.DUMMYFUNCTION("""COMPUTED_VALUE"""),"Moscow, Millerovo, Rostov-on-Don, Russia")</f>
        <v/>
      </c>
      <c r="K1115">
        <f>IFERROR(__xludf.DUMMYFUNCTION("""COMPUTED_VALUE"""),26613.87)</f>
        <v/>
      </c>
    </row>
    <row r="1116">
      <c r="J1116">
        <f>IFERROR(__xludf.DUMMYFUNCTION("""COMPUTED_VALUE"""),"Rome, Brussels, Munich, India, Malaysia")</f>
        <v/>
      </c>
      <c r="K1116">
        <f>IFERROR(__xludf.DUMMYFUNCTION("""COMPUTED_VALUE"""),26613)</f>
        <v/>
      </c>
    </row>
    <row r="1117">
      <c r="J1117">
        <f>IFERROR(__xludf.DUMMYFUNCTION("""COMPUTED_VALUE"""),"London and Paris, United Kingdom and France")</f>
        <v/>
      </c>
      <c r="K1117">
        <f>IFERROR(__xludf.DUMMYFUNCTION("""COMPUTED_VALUE"""),26583.05)</f>
        <v/>
      </c>
    </row>
    <row r="1118">
      <c r="J1118">
        <f>IFERROR(__xludf.DUMMYFUNCTION("""COMPUTED_VALUE"""),"Paris, France, Vienna, Austria and Riga, Latvia")</f>
        <v/>
      </c>
      <c r="K1118">
        <f>IFERROR(__xludf.DUMMYFUNCTION("""COMPUTED_VALUE"""),26576.76)</f>
        <v/>
      </c>
    </row>
    <row r="1119">
      <c r="J1119">
        <f>IFERROR(__xludf.DUMMYFUNCTION("""COMPUTED_VALUE"""),"Brussels, Geneva")</f>
        <v/>
      </c>
      <c r="K1119">
        <f>IFERROR(__xludf.DUMMYFUNCTION("""COMPUTED_VALUE"""),26508.08)</f>
        <v/>
      </c>
    </row>
    <row r="1120">
      <c r="J1120">
        <f>IFERROR(__xludf.DUMMYFUNCTION("""COMPUTED_VALUE"""),"London, Ulaanbaatar, Tokyo, Beijing, Singapore, Dili, Jakarta, Guangzhou, Hong Kong, Yangon and Nay Pyi Taw")</f>
        <v/>
      </c>
      <c r="K1120">
        <f>IFERROR(__xludf.DUMMYFUNCTION("""COMPUTED_VALUE"""),26505.89)</f>
        <v/>
      </c>
    </row>
    <row r="1121">
      <c r="J1121">
        <f>IFERROR(__xludf.DUMMYFUNCTION("""COMPUTED_VALUE"""),"Durban, South Africa")</f>
        <v/>
      </c>
      <c r="K1121">
        <f>IFERROR(__xludf.DUMMYFUNCTION("""COMPUTED_VALUE"""),26500.15)</f>
        <v/>
      </c>
    </row>
    <row r="1122">
      <c r="J1122">
        <f>IFERROR(__xludf.DUMMYFUNCTION("""COMPUTED_VALUE"""),"Victoria, B.C.")</f>
        <v/>
      </c>
      <c r="K1122">
        <f>IFERROR(__xludf.DUMMYFUNCTION("""COMPUTED_VALUE"""),26476.88)</f>
        <v/>
      </c>
    </row>
    <row r="1123">
      <c r="J1123">
        <f>IFERROR(__xludf.DUMMYFUNCTION("""COMPUTED_VALUE"""),"Montevideo, Uruguay")</f>
        <v/>
      </c>
      <c r="K1123">
        <f>IFERROR(__xludf.DUMMYFUNCTION("""COMPUTED_VALUE"""),26463.68)</f>
        <v/>
      </c>
    </row>
    <row r="1124">
      <c r="J1124">
        <f>IFERROR(__xludf.DUMMYFUNCTION("""COMPUTED_VALUE"""),"Busan, Korea")</f>
        <v/>
      </c>
      <c r="K1124">
        <f>IFERROR(__xludf.DUMMYFUNCTION("""COMPUTED_VALUE"""),26443.57)</f>
        <v/>
      </c>
    </row>
    <row r="1125">
      <c r="J1125">
        <f>IFERROR(__xludf.DUMMYFUNCTION("""COMPUTED_VALUE"""),"Bucharest")</f>
        <v/>
      </c>
      <c r="K1125">
        <f>IFERROR(__xludf.DUMMYFUNCTION("""COMPUTED_VALUE"""),26427.51)</f>
        <v/>
      </c>
    </row>
    <row r="1126">
      <c r="J1126">
        <f>IFERROR(__xludf.DUMMYFUNCTION("""COMPUTED_VALUE"""),"The Hague, Copenhagen, Paris and Strasbourg")</f>
        <v/>
      </c>
      <c r="K1126">
        <f>IFERROR(__xludf.DUMMYFUNCTION("""COMPUTED_VALUE"""),26401.96)</f>
        <v/>
      </c>
    </row>
    <row r="1127">
      <c r="J1127">
        <f>IFERROR(__xludf.DUMMYFUNCTION("""COMPUTED_VALUE"""),"Chiang Mai, Thailand and Chiang Rai, Thailand and Bangkok, Thailand")</f>
        <v/>
      </c>
      <c r="K1127">
        <f>IFERROR(__xludf.DUMMYFUNCTION("""COMPUTED_VALUE"""),26384.41)</f>
        <v/>
      </c>
    </row>
    <row r="1128">
      <c r="J1128">
        <f>IFERROR(__xludf.DUMMYFUNCTION("""COMPUTED_VALUE"""),"SYDNY-SPORE")</f>
        <v/>
      </c>
      <c r="K1128">
        <f>IFERROR(__xludf.DUMMYFUNCTION("""COMPUTED_VALUE"""),26308.64)</f>
        <v/>
      </c>
    </row>
    <row r="1129">
      <c r="J1129">
        <f>IFERROR(__xludf.DUMMYFUNCTION("""COMPUTED_VALUE"""),"Halifax, Nova Scotia and Ottawa, Ontario")</f>
        <v/>
      </c>
      <c r="K1129">
        <f>IFERROR(__xludf.DUMMYFUNCTION("""COMPUTED_VALUE"""),26289.02)</f>
        <v/>
      </c>
    </row>
    <row r="1130">
      <c r="J1130">
        <f>IFERROR(__xludf.DUMMYFUNCTION("""COMPUTED_VALUE"""),"Paris, Geneva")</f>
        <v/>
      </c>
      <c r="K1130">
        <f>IFERROR(__xludf.DUMMYFUNCTION("""COMPUTED_VALUE"""),26276.76)</f>
        <v/>
      </c>
    </row>
    <row r="1131">
      <c r="J1131">
        <f>IFERROR(__xludf.DUMMYFUNCTION("""COMPUTED_VALUE"""),"Vimy, France")</f>
        <v/>
      </c>
      <c r="K1131">
        <f>IFERROR(__xludf.DUMMYFUNCTION("""COMPUTED_VALUE"""),26252.18)</f>
        <v/>
      </c>
    </row>
    <row r="1132">
      <c r="J1132">
        <f>IFERROR(__xludf.DUMMYFUNCTION("""COMPUTED_VALUE"""),"London UK, Glasgow UK, Victoria BC, Vancouver BC, Toronto ON")</f>
        <v/>
      </c>
      <c r="K1132">
        <f>IFERROR(__xludf.DUMMYFUNCTION("""COMPUTED_VALUE"""),26246.73)</f>
        <v/>
      </c>
    </row>
    <row r="1133">
      <c r="J1133">
        <f>IFERROR(__xludf.DUMMYFUNCTION("""COMPUTED_VALUE"""),"Auckland,  New-Zealand")</f>
        <v/>
      </c>
      <c r="K1133">
        <f>IFERROR(__xludf.DUMMYFUNCTION("""COMPUTED_VALUE"""),26242.42)</f>
        <v/>
      </c>
    </row>
    <row r="1134">
      <c r="J1134">
        <f>IFERROR(__xludf.DUMMYFUNCTION("""COMPUTED_VALUE"""),"Singapore, Shangri-la")</f>
        <v/>
      </c>
      <c r="K1134">
        <f>IFERROR(__xludf.DUMMYFUNCTION("""COMPUTED_VALUE"""),26233.62)</f>
        <v/>
      </c>
    </row>
    <row r="1135">
      <c r="J1135">
        <f>IFERROR(__xludf.DUMMYFUNCTION("""COMPUTED_VALUE"""),"Copenhagen, Denmark; Paris, France; Istanbul, Turkey; Geneva, Switzerland")</f>
        <v/>
      </c>
      <c r="K1135">
        <f>IFERROR(__xludf.DUMMYFUNCTION("""COMPUTED_VALUE"""),26217.83)</f>
        <v/>
      </c>
    </row>
    <row r="1136">
      <c r="J1136">
        <f>IFERROR(__xludf.DUMMYFUNCTION("""COMPUTED_VALUE"""),"Sudan")</f>
        <v/>
      </c>
      <c r="K1136">
        <f>IFERROR(__xludf.DUMMYFUNCTION("""COMPUTED_VALUE"""),26204.7)</f>
        <v/>
      </c>
    </row>
    <row r="1137">
      <c r="J1137">
        <f>IFERROR(__xludf.DUMMYFUNCTION("""COMPUTED_VALUE"""),"Berlin - Germany")</f>
        <v/>
      </c>
      <c r="K1137">
        <f>IFERROR(__xludf.DUMMYFUNCTION("""COMPUTED_VALUE"""),26184.21)</f>
        <v/>
      </c>
    </row>
    <row r="1138">
      <c r="J1138">
        <f>IFERROR(__xludf.DUMMYFUNCTION("""COMPUTED_VALUE"""),"Ottawa, Toronto, Vancouver")</f>
        <v/>
      </c>
      <c r="K1138">
        <f>IFERROR(__xludf.DUMMYFUNCTION("""COMPUTED_VALUE"""),26134.11)</f>
        <v/>
      </c>
    </row>
    <row r="1139">
      <c r="J1139">
        <f>IFERROR(__xludf.DUMMYFUNCTION("""COMPUTED_VALUE"""),"Beijing, CN")</f>
        <v/>
      </c>
      <c r="K1139">
        <f>IFERROR(__xludf.DUMMYFUNCTION("""COMPUTED_VALUE"""),26129.9899999999)</f>
        <v/>
      </c>
    </row>
    <row r="1140">
      <c r="J1140">
        <f>IFERROR(__xludf.DUMMYFUNCTION("""COMPUTED_VALUE"""),"Berlin, Germany &amp; Brussels Belgium")</f>
        <v/>
      </c>
      <c r="K1140">
        <f>IFERROR(__xludf.DUMMYFUNCTION("""COMPUTED_VALUE"""),26125.3299999999)</f>
        <v/>
      </c>
    </row>
    <row r="1141">
      <c r="J1141">
        <f>IFERROR(__xludf.DUMMYFUNCTION("""COMPUTED_VALUE"""),"Colorado Springs, USA")</f>
        <v/>
      </c>
      <c r="K1141">
        <f>IFERROR(__xludf.DUMMYFUNCTION("""COMPUTED_VALUE"""),26110.94)</f>
        <v/>
      </c>
    </row>
    <row r="1142">
      <c r="J1142">
        <f>IFERROR(__xludf.DUMMYFUNCTION("""COMPUTED_VALUE"""),"Rome, Capri and Vatican")</f>
        <v/>
      </c>
      <c r="K1142">
        <f>IFERROR(__xludf.DUMMYFUNCTION("""COMPUTED_VALUE"""),26107.11)</f>
        <v/>
      </c>
    </row>
    <row r="1143">
      <c r="J1143">
        <f>IFERROR(__xludf.DUMMYFUNCTION("""COMPUTED_VALUE"""),"Calgary, Alberta / Winnipeg, Manitoba, Canada")</f>
        <v/>
      </c>
      <c r="K1143">
        <f>IFERROR(__xludf.DUMMYFUNCTION("""COMPUTED_VALUE"""),26090.4599999999)</f>
        <v/>
      </c>
    </row>
    <row r="1144">
      <c r="J1144">
        <f>IFERROR(__xludf.DUMMYFUNCTION("""COMPUTED_VALUE"""),"Vilnius, Lithuania")</f>
        <v/>
      </c>
      <c r="K1144">
        <f>IFERROR(__xludf.DUMMYFUNCTION("""COMPUTED_VALUE"""),26042.1599999999)</f>
        <v/>
      </c>
    </row>
    <row r="1145">
      <c r="J1145">
        <f>IFERROR(__xludf.DUMMYFUNCTION("""COMPUTED_VALUE"""),"Kigali, Rwanda, Goma and Kinshasa, Democratic Republic of the Congo, Accra, Ghana, and London, United Kingdom")</f>
        <v/>
      </c>
      <c r="K1145">
        <f>IFERROR(__xludf.DUMMYFUNCTION("""COMPUTED_VALUE"""),26032.32)</f>
        <v/>
      </c>
    </row>
    <row r="1146">
      <c r="J1146">
        <f>IFERROR(__xludf.DUMMYFUNCTION("""COMPUTED_VALUE"""),"Norway")</f>
        <v/>
      </c>
      <c r="K1146">
        <f>IFERROR(__xludf.DUMMYFUNCTION("""COMPUTED_VALUE"""),26018.95)</f>
        <v/>
      </c>
    </row>
    <row r="1147">
      <c r="J1147">
        <f>IFERROR(__xludf.DUMMYFUNCTION("""COMPUTED_VALUE"""),"Guelph, ON")</f>
        <v/>
      </c>
      <c r="K1147">
        <f>IFERROR(__xludf.DUMMYFUNCTION("""COMPUTED_VALUE"""),25995.87)</f>
        <v/>
      </c>
    </row>
    <row r="1148">
      <c r="J1148">
        <f>IFERROR(__xludf.DUMMYFUNCTION("""COMPUTED_VALUE"""),"Halifax, (Nova Scotia)")</f>
        <v/>
      </c>
      <c r="K1148">
        <f>IFERROR(__xludf.DUMMYFUNCTION("""COMPUTED_VALUE"""),25979.99)</f>
        <v/>
      </c>
    </row>
    <row r="1149">
      <c r="J1149">
        <f>IFERROR(__xludf.DUMMYFUNCTION("""COMPUTED_VALUE"""),"Tel Aviv, Israel / Vienna, Austria")</f>
        <v/>
      </c>
      <c r="K1149">
        <f>IFERROR(__xludf.DUMMYFUNCTION("""COMPUTED_VALUE"""),25943.47)</f>
        <v/>
      </c>
    </row>
    <row r="1150">
      <c r="J1150">
        <f>IFERROR(__xludf.DUMMYFUNCTION("""COMPUTED_VALUE"""),"Seoul, South Korea
Tokyo, Japan
Canberra, Australia")</f>
        <v/>
      </c>
      <c r="K1150">
        <f>IFERROR(__xludf.DUMMYFUNCTION("""COMPUTED_VALUE"""),25921.65)</f>
        <v/>
      </c>
    </row>
    <row r="1151">
      <c r="J1151">
        <f>IFERROR(__xludf.DUMMYFUNCTION("""COMPUTED_VALUE"""),"Dubai and London")</f>
        <v/>
      </c>
      <c r="K1151">
        <f>IFERROR(__xludf.DUMMYFUNCTION("""COMPUTED_VALUE"""),25915.83)</f>
        <v/>
      </c>
    </row>
    <row r="1152">
      <c r="J1152">
        <f>IFERROR(__xludf.DUMMYFUNCTION("""COMPUTED_VALUE"""),"Singapore, Singapore &amp; Hong Kong, Hong Kong")</f>
        <v/>
      </c>
      <c r="K1152">
        <f>IFERROR(__xludf.DUMMYFUNCTION("""COMPUTED_VALUE"""),25911.72)</f>
        <v/>
      </c>
    </row>
    <row r="1153">
      <c r="J1153">
        <f>IFERROR(__xludf.DUMMYFUNCTION("""COMPUTED_VALUE"""),"Tokyo, Japan and Seoul, Korea")</f>
        <v/>
      </c>
      <c r="K1153">
        <f>IFERROR(__xludf.DUMMYFUNCTION("""COMPUTED_VALUE"""),25897.07)</f>
        <v/>
      </c>
    </row>
    <row r="1154">
      <c r="J1154">
        <f>IFERROR(__xludf.DUMMYFUNCTION("""COMPUTED_VALUE"""),"Mumbai New Delhi, India")</f>
        <v/>
      </c>
      <c r="K1154">
        <f>IFERROR(__xludf.DUMMYFUNCTION("""COMPUTED_VALUE"""),25874.61)</f>
        <v/>
      </c>
    </row>
    <row r="1155">
      <c r="J1155">
        <f>IFERROR(__xludf.DUMMYFUNCTION("""COMPUTED_VALUE"""),"East Africa &amp; Egypt")</f>
        <v/>
      </c>
      <c r="K1155">
        <f>IFERROR(__xludf.DUMMYFUNCTION("""COMPUTED_VALUE"""),25827.8099999999)</f>
        <v/>
      </c>
    </row>
    <row r="1156">
      <c r="J1156">
        <f>IFERROR(__xludf.DUMMYFUNCTION("""COMPUTED_VALUE"""),"ITALY")</f>
        <v/>
      </c>
      <c r="K1156">
        <f>IFERROR(__xludf.DUMMYFUNCTION("""COMPUTED_VALUE"""),25812.76)</f>
        <v/>
      </c>
    </row>
    <row r="1157">
      <c r="J1157">
        <f>IFERROR(__xludf.DUMMYFUNCTION("""COMPUTED_VALUE"""),"Halifax, Nova Scotia, Canada; Toronto, Ontario, Canada")</f>
        <v/>
      </c>
      <c r="K1157">
        <f>IFERROR(__xludf.DUMMYFUNCTION("""COMPUTED_VALUE"""),25798.36)</f>
        <v/>
      </c>
    </row>
    <row r="1158">
      <c r="J1158">
        <f>IFERROR(__xludf.DUMMYFUNCTION("""COMPUTED_VALUE"""),"Auckland, NZ")</f>
        <v/>
      </c>
      <c r="K1158">
        <f>IFERROR(__xludf.DUMMYFUNCTION("""COMPUTED_VALUE"""),25767.07)</f>
        <v/>
      </c>
    </row>
    <row r="1159">
      <c r="J1159">
        <f>IFERROR(__xludf.DUMMYFUNCTION("""COMPUTED_VALUE"""),"East Africa (Abu Dhabi, Rwanda, Kenya, South Sudan, Berlin)")</f>
        <v/>
      </c>
      <c r="K1159">
        <f>IFERROR(__xludf.DUMMYFUNCTION("""COMPUTED_VALUE"""),25738.88)</f>
        <v/>
      </c>
    </row>
    <row r="1160">
      <c r="J1160">
        <f>IFERROR(__xludf.DUMMYFUNCTION("""COMPUTED_VALUE"""),"Republic of Senegal Republic of Mali Burkina Faso")</f>
        <v/>
      </c>
      <c r="K1160">
        <f>IFERROR(__xludf.DUMMYFUNCTION("""COMPUTED_VALUE"""),25738.84)</f>
        <v/>
      </c>
    </row>
    <row r="1161">
      <c r="J1161">
        <f>IFERROR(__xludf.DUMMYFUNCTION("""COMPUTED_VALUE"""),"Ise-Shima, Japan")</f>
        <v/>
      </c>
      <c r="K1161">
        <f>IFERROR(__xludf.DUMMYFUNCTION("""COMPUTED_VALUE"""),25728.87)</f>
        <v/>
      </c>
    </row>
    <row r="1162">
      <c r="J1162">
        <f>IFERROR(__xludf.DUMMYFUNCTION("""COMPUTED_VALUE"""),"Manila, Philippines and Hong Kong")</f>
        <v/>
      </c>
      <c r="K1162">
        <f>IFERROR(__xludf.DUMMYFUNCTION("""COMPUTED_VALUE"""),25727.82)</f>
        <v/>
      </c>
    </row>
    <row r="1163">
      <c r="J1163">
        <f>IFERROR(__xludf.DUMMYFUNCTION("""COMPUTED_VALUE"""),"London, United Kingdom; Dubai, United Arab Emirates")</f>
        <v/>
      </c>
      <c r="K1163">
        <f>IFERROR(__xludf.DUMMYFUNCTION("""COMPUTED_VALUE"""),25673.67)</f>
        <v/>
      </c>
    </row>
    <row r="1164">
      <c r="J1164">
        <f>IFERROR(__xludf.DUMMYFUNCTION("""COMPUTED_VALUE"""),"Bangkok,Thailand; Manilla, Philippines; Delhi, India")</f>
        <v/>
      </c>
      <c r="K1164">
        <f>IFERROR(__xludf.DUMMYFUNCTION("""COMPUTED_VALUE"""),25658.87)</f>
        <v/>
      </c>
    </row>
    <row r="1165">
      <c r="J1165">
        <f>IFERROR(__xludf.DUMMYFUNCTION("""COMPUTED_VALUE"""),"Surabaya, Indonesia")</f>
        <v/>
      </c>
      <c r="K1165">
        <f>IFERROR(__xludf.DUMMYFUNCTION("""COMPUTED_VALUE"""),25658.54)</f>
        <v/>
      </c>
    </row>
    <row r="1166">
      <c r="J1166">
        <f>IFERROR(__xludf.DUMMYFUNCTION("""COMPUTED_VALUE"""),"New Delhi / Chandigarh, India")</f>
        <v/>
      </c>
      <c r="K1166">
        <f>IFERROR(__xludf.DUMMYFUNCTION("""COMPUTED_VALUE"""),25656.4)</f>
        <v/>
      </c>
    </row>
    <row r="1167">
      <c r="J1167">
        <f>IFERROR(__xludf.DUMMYFUNCTION("""COMPUTED_VALUE"""),"Rwanda, Africa")</f>
        <v/>
      </c>
      <c r="K1167">
        <f>IFERROR(__xludf.DUMMYFUNCTION("""COMPUTED_VALUE"""),25630.2)</f>
        <v/>
      </c>
    </row>
    <row r="1168">
      <c r="J1168">
        <f>IFERROR(__xludf.DUMMYFUNCTION("""COMPUTED_VALUE"""),"Sydney, AU / Wellington, NZ")</f>
        <v/>
      </c>
      <c r="K1168">
        <f>IFERROR(__xludf.DUMMYFUNCTION("""COMPUTED_VALUE"""),25615.35)</f>
        <v/>
      </c>
    </row>
    <row r="1169">
      <c r="J1169">
        <f>IFERROR(__xludf.DUMMYFUNCTION("""COMPUTED_VALUE"""),"Amsterdam")</f>
        <v/>
      </c>
      <c r="K1169">
        <f>IFERROR(__xludf.DUMMYFUNCTION("""COMPUTED_VALUE"""),25595.69)</f>
        <v/>
      </c>
    </row>
    <row r="1170">
      <c r="J1170">
        <f>IFERROR(__xludf.DUMMYFUNCTION("""COMPUTED_VALUE"""),"Boracay and Manila, Philippines")</f>
        <v/>
      </c>
      <c r="K1170">
        <f>IFERROR(__xludf.DUMMYFUNCTION("""COMPUTED_VALUE"""),25587.51)</f>
        <v/>
      </c>
    </row>
    <row r="1171">
      <c r="J1171">
        <f>IFERROR(__xludf.DUMMYFUNCTION("""COMPUTED_VALUE"""),"Fort St. John, British Columbia, Canada")</f>
        <v/>
      </c>
      <c r="K1171">
        <f>IFERROR(__xludf.DUMMYFUNCTION("""COMPUTED_VALUE"""),25556.68)</f>
        <v/>
      </c>
    </row>
    <row r="1172">
      <c r="J1172">
        <f>IFERROR(__xludf.DUMMYFUNCTION("""COMPUTED_VALUE"""),"London, England Paris, France Berlin, Germany")</f>
        <v/>
      </c>
      <c r="K1172">
        <f>IFERROR(__xludf.DUMMYFUNCTION("""COMPUTED_VALUE"""),25536.67)</f>
        <v/>
      </c>
    </row>
    <row r="1173">
      <c r="J1173">
        <f>IFERROR(__xludf.DUMMYFUNCTION("""COMPUTED_VALUE"""),"Sydney, Australia, Vienna, Austria")</f>
        <v/>
      </c>
      <c r="K1173">
        <f>IFERROR(__xludf.DUMMYFUNCTION("""COMPUTED_VALUE"""),25513.35)</f>
        <v/>
      </c>
    </row>
    <row r="1174">
      <c r="J1174">
        <f>IFERROR(__xludf.DUMMYFUNCTION("""COMPUTED_VALUE"""),"Johannesburg/Cape Town, ZA")</f>
        <v/>
      </c>
      <c r="K1174">
        <f>IFERROR(__xludf.DUMMYFUNCTION("""COMPUTED_VALUE"""),25501.36)</f>
        <v/>
      </c>
    </row>
    <row r="1175">
      <c r="J1175">
        <f>IFERROR(__xludf.DUMMYFUNCTION("""COMPUTED_VALUE"""),"Vancouver,British Columbia,Canada")</f>
        <v/>
      </c>
      <c r="K1175">
        <f>IFERROR(__xludf.DUMMYFUNCTION("""COMPUTED_VALUE"""),25404.4299999999)</f>
        <v/>
      </c>
    </row>
    <row r="1176">
      <c r="J1176">
        <f>IFERROR(__xludf.DUMMYFUNCTION("""COMPUTED_VALUE"""),"Québec (Quebec) Canada")</f>
        <v/>
      </c>
      <c r="K1176">
        <f>IFERROR(__xludf.DUMMYFUNCTION("""COMPUTED_VALUE"""),25403.7999999999)</f>
        <v/>
      </c>
    </row>
    <row r="1177">
      <c r="J1177">
        <f>IFERROR(__xludf.DUMMYFUNCTION("""COMPUTED_VALUE"""),"Christchurch, New Zealand")</f>
        <v/>
      </c>
      <c r="K1177">
        <f>IFERROR(__xludf.DUMMYFUNCTION("""COMPUTED_VALUE"""),25349.4499999999)</f>
        <v/>
      </c>
    </row>
    <row r="1178">
      <c r="J1178">
        <f>IFERROR(__xludf.DUMMYFUNCTION("""COMPUTED_VALUE"""),"Buenos Aires")</f>
        <v/>
      </c>
      <c r="K1178">
        <f>IFERROR(__xludf.DUMMYFUNCTION("""COMPUTED_VALUE"""),25343.28)</f>
        <v/>
      </c>
    </row>
    <row r="1179">
      <c r="J1179">
        <f>IFERROR(__xludf.DUMMYFUNCTION("""COMPUTED_VALUE"""),"Narita, Toyko and Jakarta, Indonesia and Singapore , and P.R. China and Bejiing China")</f>
        <v/>
      </c>
      <c r="K1179">
        <f>IFERROR(__xludf.DUMMYFUNCTION("""COMPUTED_VALUE"""),25333.95)</f>
        <v/>
      </c>
    </row>
    <row r="1180">
      <c r="J1180">
        <f>IFERROR(__xludf.DUMMYFUNCTION("""COMPUTED_VALUE"""),"Markham, Ontario, Canada")</f>
        <v/>
      </c>
      <c r="K1180">
        <f>IFERROR(__xludf.DUMMYFUNCTION("""COMPUTED_VALUE"""),25332.31)</f>
        <v/>
      </c>
    </row>
    <row r="1181">
      <c r="J1181">
        <f>IFERROR(__xludf.DUMMYFUNCTION("""COMPUTED_VALUE"""),"Orlando, FL, USA")</f>
        <v/>
      </c>
      <c r="K1181">
        <f>IFERROR(__xludf.DUMMYFUNCTION("""COMPUTED_VALUE"""),25330.28)</f>
        <v/>
      </c>
    </row>
    <row r="1182">
      <c r="J1182">
        <f>IFERROR(__xludf.DUMMYFUNCTION("""COMPUTED_VALUE"""),"Paris, France and Dubai, United Arab Emirates")</f>
        <v/>
      </c>
      <c r="K1182">
        <f>IFERROR(__xludf.DUMMYFUNCTION("""COMPUTED_VALUE"""),25328.08)</f>
        <v/>
      </c>
    </row>
    <row r="1183">
      <c r="J1183">
        <f>IFERROR(__xludf.DUMMYFUNCTION("""COMPUTED_VALUE"""),"Montreal, Quebec, Canada/ Frankfurt, Germany/ Munich, Germany/ Zurich, Switzerland/ Stuttgart, Germany/ Milan, Italy")</f>
        <v/>
      </c>
      <c r="K1183">
        <f>IFERROR(__xludf.DUMMYFUNCTION("""COMPUTED_VALUE"""),25323.13)</f>
        <v/>
      </c>
    </row>
    <row r="1184">
      <c r="J1184">
        <f>IFERROR(__xludf.DUMMYFUNCTION("""COMPUTED_VALUE"""),"Toronto, Ontario, Canada; London, Ontario, Canada")</f>
        <v/>
      </c>
      <c r="K1184">
        <f>IFERROR(__xludf.DUMMYFUNCTION("""COMPUTED_VALUE"""),25317.92)</f>
        <v/>
      </c>
    </row>
    <row r="1185">
      <c r="J1185">
        <f>IFERROR(__xludf.DUMMYFUNCTION("""COMPUTED_VALUE"""),"Manama / London / Paris, Bahrain / United Kingdom / France")</f>
        <v/>
      </c>
      <c r="K1185">
        <f>IFERROR(__xludf.DUMMYFUNCTION("""COMPUTED_VALUE"""),25316.06)</f>
        <v/>
      </c>
    </row>
    <row r="1186">
      <c r="J1186">
        <f>IFERROR(__xludf.DUMMYFUNCTION("""COMPUTED_VALUE"""),"Victoria, British Columbia, Canada; Vancouver, British Columbia, Canada")</f>
        <v/>
      </c>
      <c r="K1186">
        <f>IFERROR(__xludf.DUMMYFUNCTION("""COMPUTED_VALUE"""),25315.73)</f>
        <v/>
      </c>
    </row>
    <row r="1187">
      <c r="J1187">
        <f>IFERROR(__xludf.DUMMYFUNCTION("""COMPUTED_VALUE"""),"Toronto, Ontario, Canada; Windsor, Ontario, Canada")</f>
        <v/>
      </c>
      <c r="K1187">
        <f>IFERROR(__xludf.DUMMYFUNCTION("""COMPUTED_VALUE"""),25315.48)</f>
        <v/>
      </c>
    </row>
    <row r="1188">
      <c r="J1188">
        <f>IFERROR(__xludf.DUMMYFUNCTION("""COMPUTED_VALUE"""),"Paris FR")</f>
        <v/>
      </c>
      <c r="K1188">
        <f>IFERROR(__xludf.DUMMYFUNCTION("""COMPUTED_VALUE"""),25296.83)</f>
        <v/>
      </c>
    </row>
    <row r="1189">
      <c r="J1189">
        <f>IFERROR(__xludf.DUMMYFUNCTION("""COMPUTED_VALUE"""),"St. Petersburg")</f>
        <v/>
      </c>
      <c r="K1189">
        <f>IFERROR(__xludf.DUMMYFUNCTION("""COMPUTED_VALUE"""),25294.19)</f>
        <v/>
      </c>
    </row>
    <row r="1190">
      <c r="J1190">
        <f>IFERROR(__xludf.DUMMYFUNCTION("""COMPUTED_VALUE"""),"Beijing, China; Paris, France")</f>
        <v/>
      </c>
      <c r="K1190">
        <f>IFERROR(__xludf.DUMMYFUNCTION("""COMPUTED_VALUE"""),25278.9999999999)</f>
        <v/>
      </c>
    </row>
    <row r="1191">
      <c r="J1191">
        <f>IFERROR(__xludf.DUMMYFUNCTION("""COMPUTED_VALUE"""),"Sherbrooke, Quebec")</f>
        <v/>
      </c>
      <c r="K1191">
        <f>IFERROR(__xludf.DUMMYFUNCTION("""COMPUTED_VALUE"""),25246.4299999999)</f>
        <v/>
      </c>
    </row>
    <row r="1192">
      <c r="J1192">
        <f>IFERROR(__xludf.DUMMYFUNCTION("""COMPUTED_VALUE"""),"Kiribati, Tuvalu, Samoa, Solomon Island and New Zealand")</f>
        <v/>
      </c>
      <c r="K1192">
        <f>IFERROR(__xludf.DUMMYFUNCTION("""COMPUTED_VALUE"""),25239.48)</f>
        <v/>
      </c>
    </row>
    <row r="1193">
      <c r="J1193">
        <f>IFERROR(__xludf.DUMMYFUNCTION("""COMPUTED_VALUE"""),"Monterrey, Mexico")</f>
        <v/>
      </c>
      <c r="K1193">
        <f>IFERROR(__xludf.DUMMYFUNCTION("""COMPUTED_VALUE"""),25191.23)</f>
        <v/>
      </c>
    </row>
    <row r="1194">
      <c r="J1194">
        <f>IFERROR(__xludf.DUMMYFUNCTION("""COMPUTED_VALUE"""),"Magdalen Islands, Quebec, Canada")</f>
        <v/>
      </c>
      <c r="K1194">
        <f>IFERROR(__xludf.DUMMYFUNCTION("""COMPUTED_VALUE"""),25191.0899999999)</f>
        <v/>
      </c>
    </row>
    <row r="1195">
      <c r="J1195">
        <f>IFERROR(__xludf.DUMMYFUNCTION("""COMPUTED_VALUE"""),"London/Chania/Tel Aviv and Souda")</f>
        <v/>
      </c>
      <c r="K1195">
        <f>IFERROR(__xludf.DUMMYFUNCTION("""COMPUTED_VALUE"""),25176.54)</f>
        <v/>
      </c>
    </row>
    <row r="1196">
      <c r="J1196">
        <f>IFERROR(__xludf.DUMMYFUNCTION("""COMPUTED_VALUE"""),"Ottawa, ON
Wakefield, QC")</f>
        <v/>
      </c>
      <c r="K1196">
        <f>IFERROR(__xludf.DUMMYFUNCTION("""COMPUTED_VALUE"""),25158.79)</f>
        <v/>
      </c>
    </row>
    <row r="1197">
      <c r="J1197">
        <f>IFERROR(__xludf.DUMMYFUNCTION("""COMPUTED_VALUE"""),"Turkey")</f>
        <v/>
      </c>
      <c r="K1197">
        <f>IFERROR(__xludf.DUMMYFUNCTION("""COMPUTED_VALUE"""),25119.71)</f>
        <v/>
      </c>
    </row>
    <row r="1198">
      <c r="J1198">
        <f>IFERROR(__xludf.DUMMYFUNCTION("""COMPUTED_VALUE"""),"Tokyo, Japan; Takamatsu, Japan")</f>
        <v/>
      </c>
      <c r="K1198">
        <f>IFERROR(__xludf.DUMMYFUNCTION("""COMPUTED_VALUE"""),25113.93)</f>
        <v/>
      </c>
    </row>
    <row r="1199">
      <c r="J1199">
        <f>IFERROR(__xludf.DUMMYFUNCTION("""COMPUTED_VALUE"""),"Uruguay")</f>
        <v/>
      </c>
      <c r="K1199">
        <f>IFERROR(__xludf.DUMMYFUNCTION("""COMPUTED_VALUE"""),25111.3299999999)</f>
        <v/>
      </c>
    </row>
    <row r="1200">
      <c r="J1200">
        <f>IFERROR(__xludf.DUMMYFUNCTION("""COMPUTED_VALUE"""),"Singapore, Australia, New Zealand")</f>
        <v/>
      </c>
      <c r="K1200">
        <f>IFERROR(__xludf.DUMMYFUNCTION("""COMPUTED_VALUE"""),25111.04)</f>
        <v/>
      </c>
    </row>
    <row r="1201">
      <c r="J1201">
        <f>IFERROR(__xludf.DUMMYFUNCTION("""COMPUTED_VALUE"""),"Ottawa, On")</f>
        <v/>
      </c>
      <c r="K1201">
        <f>IFERROR(__xludf.DUMMYFUNCTION("""COMPUTED_VALUE"""),25111.03)</f>
        <v/>
      </c>
    </row>
    <row r="1202">
      <c r="J1202">
        <f>IFERROR(__xludf.DUMMYFUNCTION("""COMPUTED_VALUE"""),"Switzerland (Geneva), Belgium (Brussels)")</f>
        <v/>
      </c>
      <c r="K1202">
        <f>IFERROR(__xludf.DUMMYFUNCTION("""COMPUTED_VALUE"""),25095.66)</f>
        <v/>
      </c>
    </row>
    <row r="1203">
      <c r="J1203">
        <f>IFERROR(__xludf.DUMMYFUNCTION("""COMPUTED_VALUE"""),"Windsor")</f>
        <v/>
      </c>
      <c r="K1203">
        <f>IFERROR(__xludf.DUMMYFUNCTION("""COMPUTED_VALUE"""),25057.24)</f>
        <v/>
      </c>
    </row>
    <row r="1204">
      <c r="J1204">
        <f>IFERROR(__xludf.DUMMYFUNCTION("""COMPUTED_VALUE"""),"Jakarta, Indonesia London, England Paris, France Moscow, Russia")</f>
        <v/>
      </c>
      <c r="K1204">
        <f>IFERROR(__xludf.DUMMYFUNCTION("""COMPUTED_VALUE"""),25056.96)</f>
        <v/>
      </c>
    </row>
    <row r="1205">
      <c r="J1205">
        <f>IFERROR(__xludf.DUMMYFUNCTION("""COMPUTED_VALUE"""),"Las Vegas, Nevada, USA")</f>
        <v/>
      </c>
      <c r="K1205">
        <f>IFERROR(__xludf.DUMMYFUNCTION("""COMPUTED_VALUE"""),25033.47)</f>
        <v/>
      </c>
    </row>
    <row r="1206">
      <c r="J1206">
        <f>IFERROR(__xludf.DUMMYFUNCTION("""COMPUTED_VALUE"""),"Brussels, BE")</f>
        <v/>
      </c>
      <c r="K1206">
        <f>IFERROR(__xludf.DUMMYFUNCTION("""COMPUTED_VALUE"""),25027.44)</f>
        <v/>
      </c>
    </row>
    <row r="1207">
      <c r="J1207">
        <f>IFERROR(__xludf.DUMMYFUNCTION("""COMPUTED_VALUE"""),"Portsmouth, UK")</f>
        <v/>
      </c>
      <c r="K1207">
        <f>IFERROR(__xludf.DUMMYFUNCTION("""COMPUTED_VALUE"""),24985.03)</f>
        <v/>
      </c>
    </row>
    <row r="1208">
      <c r="J1208">
        <f>IFERROR(__xludf.DUMMYFUNCTION("""COMPUTED_VALUE"""),"St. Julian, Malta")</f>
        <v/>
      </c>
      <c r="K1208">
        <f>IFERROR(__xludf.DUMMYFUNCTION("""COMPUTED_VALUE"""),24952.23)</f>
        <v/>
      </c>
    </row>
    <row r="1209">
      <c r="J1209">
        <f>IFERROR(__xludf.DUMMYFUNCTION("""COMPUTED_VALUE"""),"Ottawa, Montreal, Toronto")</f>
        <v/>
      </c>
      <c r="K1209">
        <f>IFERROR(__xludf.DUMMYFUNCTION("""COMPUTED_VALUE"""),24947.52)</f>
        <v/>
      </c>
    </row>
    <row r="1210">
      <c r="J1210">
        <f>IFERROR(__xludf.DUMMYFUNCTION("""COMPUTED_VALUE"""),"Sherbrooke (Quebec) Canada")</f>
        <v/>
      </c>
      <c r="K1210">
        <f>IFERROR(__xludf.DUMMYFUNCTION("""COMPUTED_VALUE"""),24937.3699999999)</f>
        <v/>
      </c>
    </row>
    <row r="1211">
      <c r="J1211">
        <f>IFERROR(__xludf.DUMMYFUNCTION("""COMPUTED_VALUE"""),"Ottawa - France - Ottawa")</f>
        <v/>
      </c>
      <c r="K1211">
        <f>IFERROR(__xludf.DUMMYFUNCTION("""COMPUTED_VALUE"""),24893.39)</f>
        <v/>
      </c>
    </row>
    <row r="1212">
      <c r="J1212">
        <f>IFERROR(__xludf.DUMMYFUNCTION("""COMPUTED_VALUE"""),"Auckland, New Zealand / Gold Coast, Australia / Sydney, Australia / Melbourne, Australia")</f>
        <v/>
      </c>
      <c r="K1212">
        <f>IFERROR(__xludf.DUMMYFUNCTION("""COMPUTED_VALUE"""),24864.56)</f>
        <v/>
      </c>
    </row>
    <row r="1213">
      <c r="J1213">
        <f>IFERROR(__xludf.DUMMYFUNCTION("""COMPUTED_VALUE"""),"Mexico City, Mexico; Lima, Peru; Bogota, Colombia; Sao Paulo, Brazil")</f>
        <v/>
      </c>
      <c r="K1213">
        <f>IFERROR(__xludf.DUMMYFUNCTION("""COMPUTED_VALUE"""),24861.66)</f>
        <v/>
      </c>
    </row>
    <row r="1214">
      <c r="J1214">
        <f>IFERROR(__xludf.DUMMYFUNCTION("""COMPUTED_VALUE"""),"Lima")</f>
        <v/>
      </c>
      <c r="K1214">
        <f>IFERROR(__xludf.DUMMYFUNCTION("""COMPUTED_VALUE"""),24859.97)</f>
        <v/>
      </c>
    </row>
    <row r="1215">
      <c r="J1215">
        <f>IFERROR(__xludf.DUMMYFUNCTION("""COMPUTED_VALUE"""),"Rzeszow, Warsaw, Lublin (Poland)")</f>
        <v/>
      </c>
      <c r="K1215">
        <f>IFERROR(__xludf.DUMMYFUNCTION("""COMPUTED_VALUE"""),24857.96)</f>
        <v/>
      </c>
    </row>
    <row r="1216">
      <c r="J1216">
        <f>IFERROR(__xludf.DUMMYFUNCTION("""COMPUTED_VALUE"""),"Japon, Tokyo")</f>
        <v/>
      </c>
      <c r="K1216">
        <f>IFERROR(__xludf.DUMMYFUNCTION("""COMPUTED_VALUE"""),24848.1)</f>
        <v/>
      </c>
    </row>
    <row r="1217">
      <c r="J1217">
        <f>IFERROR(__xludf.DUMMYFUNCTION("""COMPUTED_VALUE"""),"Brazil and Paraguay, South America")</f>
        <v/>
      </c>
      <c r="K1217">
        <f>IFERROR(__xludf.DUMMYFUNCTION("""COMPUTED_VALUE"""),24830.2699999999)</f>
        <v/>
      </c>
    </row>
    <row r="1218">
      <c r="J1218">
        <f>IFERROR(__xludf.DUMMYFUNCTION("""COMPUTED_VALUE"""),"Hanoi, Vietnam; Tokyo, Japan")</f>
        <v/>
      </c>
      <c r="K1218">
        <f>IFERROR(__xludf.DUMMYFUNCTION("""COMPUTED_VALUE"""),24812.71)</f>
        <v/>
      </c>
    </row>
    <row r="1219">
      <c r="J1219">
        <f>IFERROR(__xludf.DUMMYFUNCTION("""COMPUTED_VALUE"""),"Boston, Massachusetts, United States of America")</f>
        <v/>
      </c>
      <c r="K1219">
        <f>IFERROR(__xludf.DUMMYFUNCTION("""COMPUTED_VALUE"""),24809.88)</f>
        <v/>
      </c>
    </row>
    <row r="1220">
      <c r="J1220">
        <f>IFERROR(__xludf.DUMMYFUNCTION("""COMPUTED_VALUE"""),"Borden, Ontario")</f>
        <v/>
      </c>
      <c r="K1220">
        <f>IFERROR(__xludf.DUMMYFUNCTION("""COMPUTED_VALUE"""),24805.84)</f>
        <v/>
      </c>
    </row>
    <row r="1221">
      <c r="J1221">
        <f>IFERROR(__xludf.DUMMYFUNCTION("""COMPUTED_VALUE"""),"Guadalajara")</f>
        <v/>
      </c>
      <c r="K1221">
        <f>IFERROR(__xludf.DUMMYFUNCTION("""COMPUTED_VALUE"""),24770)</f>
        <v/>
      </c>
    </row>
    <row r="1222">
      <c r="J1222">
        <f>IFERROR(__xludf.DUMMYFUNCTION("""COMPUTED_VALUE"""),"Canberra, Adelaide &amp; Brisbane, Australia")</f>
        <v/>
      </c>
      <c r="K1222">
        <f>IFERROR(__xludf.DUMMYFUNCTION("""COMPUTED_VALUE"""),24704.55)</f>
        <v/>
      </c>
    </row>
    <row r="1223">
      <c r="J1223">
        <f>IFERROR(__xludf.DUMMYFUNCTION("""COMPUTED_VALUE"""),"Nairobi")</f>
        <v/>
      </c>
      <c r="K1223">
        <f>IFERROR(__xludf.DUMMYFUNCTION("""COMPUTED_VALUE"""),24659.1299999999)</f>
        <v/>
      </c>
    </row>
    <row r="1224">
      <c r="J1224">
        <f>IFERROR(__xludf.DUMMYFUNCTION("""COMPUTED_VALUE"""),"Vancouver, Shanghai, Hong Kong, Beijing, Uzbekistan and London")</f>
        <v/>
      </c>
      <c r="K1224">
        <f>IFERROR(__xludf.DUMMYFUNCTION("""COMPUTED_VALUE"""),24630.9)</f>
        <v/>
      </c>
    </row>
    <row r="1225">
      <c r="J1225">
        <f>IFERROR(__xludf.DUMMYFUNCTION("""COMPUTED_VALUE"""),"Olso, Norway, Europe")</f>
        <v/>
      </c>
      <c r="K1225">
        <f>IFERROR(__xludf.DUMMYFUNCTION("""COMPUTED_VALUE"""),24624.6299999999)</f>
        <v/>
      </c>
    </row>
    <row r="1226">
      <c r="J1226">
        <f>IFERROR(__xludf.DUMMYFUNCTION("""COMPUTED_VALUE"""),"Prince Edward Island")</f>
        <v/>
      </c>
      <c r="K1226">
        <f>IFERROR(__xludf.DUMMYFUNCTION("""COMPUTED_VALUE"""),24610.6)</f>
        <v/>
      </c>
    </row>
    <row r="1227">
      <c r="J1227">
        <f>IFERROR(__xludf.DUMMYFUNCTION("""COMPUTED_VALUE"""),"Los Angeles")</f>
        <v/>
      </c>
      <c r="K1227">
        <f>IFERROR(__xludf.DUMMYFUNCTION("""COMPUTED_VALUE"""),24601.04)</f>
        <v/>
      </c>
    </row>
    <row r="1228">
      <c r="J1228">
        <f>IFERROR(__xludf.DUMMYFUNCTION("""COMPUTED_VALUE"""),"Africa and Germany")</f>
        <v/>
      </c>
      <c r="K1228">
        <f>IFERROR(__xludf.DUMMYFUNCTION("""COMPUTED_VALUE"""),24588.04)</f>
        <v/>
      </c>
    </row>
    <row r="1229">
      <c r="J1229">
        <f>IFERROR(__xludf.DUMMYFUNCTION("""COMPUTED_VALUE"""),"Victoria/Vancouver, BC")</f>
        <v/>
      </c>
      <c r="K1229">
        <f>IFERROR(__xludf.DUMMYFUNCTION("""COMPUTED_VALUE"""),24581.2)</f>
        <v/>
      </c>
    </row>
    <row r="1230">
      <c r="J1230">
        <f>IFERROR(__xludf.DUMMYFUNCTION("""COMPUTED_VALUE"""),"Kiev, Ukraine; Dnipropetrovsk, Ukraine; Washington DC")</f>
        <v/>
      </c>
      <c r="K1230">
        <f>IFERROR(__xludf.DUMMYFUNCTION("""COMPUTED_VALUE"""),24563.95)</f>
        <v/>
      </c>
    </row>
    <row r="1231">
      <c r="J1231">
        <f>IFERROR(__xludf.DUMMYFUNCTION("""COMPUTED_VALUE"""),"Brussels, Belgium
Munich, Germany")</f>
        <v/>
      </c>
      <c r="K1231">
        <f>IFERROR(__xludf.DUMMYFUNCTION("""COMPUTED_VALUE"""),24562.86)</f>
        <v/>
      </c>
    </row>
    <row r="1232">
      <c r="J1232">
        <f>IFERROR(__xludf.DUMMYFUNCTION("""COMPUTED_VALUE"""),"Rankin Inlet, Nunavut, Canada")</f>
        <v/>
      </c>
      <c r="K1232">
        <f>IFERROR(__xludf.DUMMYFUNCTION("""COMPUTED_VALUE"""),24507.31)</f>
        <v/>
      </c>
    </row>
    <row r="1233">
      <c r="J1233">
        <f>IFERROR(__xludf.DUMMYFUNCTION("""COMPUTED_VALUE"""),"Seoul and Manila")</f>
        <v/>
      </c>
      <c r="K1233">
        <f>IFERROR(__xludf.DUMMYFUNCTION("""COMPUTED_VALUE"""),24487.37)</f>
        <v/>
      </c>
    </row>
    <row r="1234">
      <c r="J1234">
        <f>IFERROR(__xludf.DUMMYFUNCTION("""COMPUTED_VALUE"""),"Luxembourg, Luxembourg")</f>
        <v/>
      </c>
      <c r="K1234">
        <f>IFERROR(__xludf.DUMMYFUNCTION("""COMPUTED_VALUE"""),24473.36)</f>
        <v/>
      </c>
    </row>
    <row r="1235">
      <c r="J1235">
        <f>IFERROR(__xludf.DUMMYFUNCTION("""COMPUTED_VALUE"""),"Tel Aviv")</f>
        <v/>
      </c>
      <c r="K1235">
        <f>IFERROR(__xludf.DUMMYFUNCTION("""COMPUTED_VALUE"""),24468.3)</f>
        <v/>
      </c>
    </row>
    <row r="1236">
      <c r="J1236">
        <f>IFERROR(__xludf.DUMMYFUNCTION("""COMPUTED_VALUE"""),"Winnipeg, Manitoba, Canada; Toronto, Ontario, Canada")</f>
        <v/>
      </c>
      <c r="K1236">
        <f>IFERROR(__xludf.DUMMYFUNCTION("""COMPUTED_VALUE"""),24465.5)</f>
        <v/>
      </c>
    </row>
    <row r="1237">
      <c r="J1237">
        <f>IFERROR(__xludf.DUMMYFUNCTION("""COMPUTED_VALUE"""),"Tanzania, South Africa, Namibia")</f>
        <v/>
      </c>
      <c r="K1237">
        <f>IFERROR(__xludf.DUMMYFUNCTION("""COMPUTED_VALUE"""),24463.97)</f>
        <v/>
      </c>
    </row>
    <row r="1238">
      <c r="J1238">
        <f>IFERROR(__xludf.DUMMYFUNCTION("""COMPUTED_VALUE"""),"Kuwait, Jordan and United Arab Emirates")</f>
        <v/>
      </c>
      <c r="K1238">
        <f>IFERROR(__xludf.DUMMYFUNCTION("""COMPUTED_VALUE"""),24461.16)</f>
        <v/>
      </c>
    </row>
    <row r="1239">
      <c r="J1239">
        <f>IFERROR(__xludf.DUMMYFUNCTION("""COMPUTED_VALUE"""),"Slovenia, Albania, North Macedonia")</f>
        <v/>
      </c>
      <c r="K1239">
        <f>IFERROR(__xludf.DUMMYFUNCTION("""COMPUTED_VALUE"""),24461.11)</f>
        <v/>
      </c>
    </row>
    <row r="1240">
      <c r="J1240">
        <f>IFERROR(__xludf.DUMMYFUNCTION("""COMPUTED_VALUE"""),"Jakarta")</f>
        <v/>
      </c>
      <c r="K1240">
        <f>IFERROR(__xludf.DUMMYFUNCTION("""COMPUTED_VALUE"""),24452.83)</f>
        <v/>
      </c>
    </row>
    <row r="1241">
      <c r="J1241">
        <f>IFERROR(__xludf.DUMMYFUNCTION("""COMPUTED_VALUE"""),"Toronto, Ontario, Canada; Winnipeg, Manitoba, Canada")</f>
        <v/>
      </c>
      <c r="K1241">
        <f>IFERROR(__xludf.DUMMYFUNCTION("""COMPUTED_VALUE"""),24447.9299999999)</f>
        <v/>
      </c>
    </row>
    <row r="1242">
      <c r="J1242">
        <f>IFERROR(__xludf.DUMMYFUNCTION("""COMPUTED_VALUE"""),"Washington, Paris")</f>
        <v/>
      </c>
      <c r="K1242">
        <f>IFERROR(__xludf.DUMMYFUNCTION("""COMPUTED_VALUE"""),24445.21)</f>
        <v/>
      </c>
    </row>
    <row r="1243">
      <c r="J1243">
        <f>IFERROR(__xludf.DUMMYFUNCTION("""COMPUTED_VALUE"""),"London and Washington")</f>
        <v/>
      </c>
      <c r="K1243">
        <f>IFERROR(__xludf.DUMMYFUNCTION("""COMPUTED_VALUE"""),24436.44)</f>
        <v/>
      </c>
    </row>
    <row r="1244">
      <c r="J1244">
        <f>IFERROR(__xludf.DUMMYFUNCTION("""COMPUTED_VALUE"""),"Ottawa; Toronto")</f>
        <v/>
      </c>
      <c r="K1244">
        <f>IFERROR(__xludf.DUMMYFUNCTION("""COMPUTED_VALUE"""),24431.23)</f>
        <v/>
      </c>
    </row>
    <row r="1245">
      <c r="J1245">
        <f>IFERROR(__xludf.DUMMYFUNCTION("""COMPUTED_VALUE"""),"Washington, D.C, United States")</f>
        <v/>
      </c>
      <c r="K1245">
        <f>IFERROR(__xludf.DUMMYFUNCTION("""COMPUTED_VALUE"""),24419.9899999999)</f>
        <v/>
      </c>
    </row>
    <row r="1246">
      <c r="J1246">
        <f>IFERROR(__xludf.DUMMYFUNCTION("""COMPUTED_VALUE"""),"Rome, Italy, London, United Kingdom")</f>
        <v/>
      </c>
      <c r="K1246">
        <f>IFERROR(__xludf.DUMMYFUNCTION("""COMPUTED_VALUE"""),24415.29)</f>
        <v/>
      </c>
    </row>
    <row r="1247">
      <c r="J1247">
        <f>IFERROR(__xludf.DUMMYFUNCTION("""COMPUTED_VALUE"""),"Los Cabos, Mexico")</f>
        <v/>
      </c>
      <c r="K1247">
        <f>IFERROR(__xludf.DUMMYFUNCTION("""COMPUTED_VALUE"""),24393.75)</f>
        <v/>
      </c>
    </row>
    <row r="1248">
      <c r="J1248">
        <f>IFERROR(__xludf.DUMMYFUNCTION("""COMPUTED_VALUE"""),"Addis Ababa")</f>
        <v/>
      </c>
      <c r="K1248">
        <f>IFERROR(__xludf.DUMMYFUNCTION("""COMPUTED_VALUE"""),24375.86)</f>
        <v/>
      </c>
    </row>
    <row r="1249">
      <c r="J1249">
        <f>IFERROR(__xludf.DUMMYFUNCTION("""COMPUTED_VALUE"""),"Paris, France; London, England; Dublin, Ireland")</f>
        <v/>
      </c>
      <c r="K1249">
        <f>IFERROR(__xludf.DUMMYFUNCTION("""COMPUTED_VALUE"""),24375.66)</f>
        <v/>
      </c>
    </row>
    <row r="1250">
      <c r="J1250">
        <f>IFERROR(__xludf.DUMMYFUNCTION("""COMPUTED_VALUE"""),"Brazil and Argentina")</f>
        <v/>
      </c>
      <c r="K1250">
        <f>IFERROR(__xludf.DUMMYFUNCTION("""COMPUTED_VALUE"""),24360.1)</f>
        <v/>
      </c>
    </row>
    <row r="1251">
      <c r="J1251">
        <f>IFERROR(__xludf.DUMMYFUNCTION("""COMPUTED_VALUE"""),"Kitchener, Ontario")</f>
        <v/>
      </c>
      <c r="K1251">
        <f>IFERROR(__xludf.DUMMYFUNCTION("""COMPUTED_VALUE"""),24344.07)</f>
        <v/>
      </c>
    </row>
    <row r="1252">
      <c r="J1252">
        <f>IFERROR(__xludf.DUMMYFUNCTION("""COMPUTED_VALUE"""),"Sydney, Singapore")</f>
        <v/>
      </c>
      <c r="K1252">
        <f>IFERROR(__xludf.DUMMYFUNCTION("""COMPUTED_VALUE"""),24337.04)</f>
        <v/>
      </c>
    </row>
    <row r="1253">
      <c r="J1253">
        <f>IFERROR(__xludf.DUMMYFUNCTION("""COMPUTED_VALUE"""),"Beijing, China / Dalian, China")</f>
        <v/>
      </c>
      <c r="K1253">
        <f>IFERROR(__xludf.DUMMYFUNCTION("""COMPUTED_VALUE"""),24318.6999999999)</f>
        <v/>
      </c>
    </row>
    <row r="1254">
      <c r="J1254">
        <f>IFERROR(__xludf.DUMMYFUNCTION("""COMPUTED_VALUE"""),"Santo Domingo, Dominican Republic")</f>
        <v/>
      </c>
      <c r="K1254">
        <f>IFERROR(__xludf.DUMMYFUNCTION("""COMPUTED_VALUE"""),24303.1399999999)</f>
        <v/>
      </c>
    </row>
    <row r="1255">
      <c r="J1255">
        <f>IFERROR(__xludf.DUMMYFUNCTION("""COMPUTED_VALUE"""),"San Diego, California")</f>
        <v/>
      </c>
      <c r="K1255">
        <f>IFERROR(__xludf.DUMMYFUNCTION("""COMPUTED_VALUE"""),24302.5499999999)</f>
        <v/>
      </c>
    </row>
    <row r="1256">
      <c r="J1256">
        <f>IFERROR(__xludf.DUMMYFUNCTION("""COMPUTED_VALUE"""),"Ottawa, ON; Toronto, ON")</f>
        <v/>
      </c>
      <c r="K1256">
        <f>IFERROR(__xludf.DUMMYFUNCTION("""COMPUTED_VALUE"""),24292.52)</f>
        <v/>
      </c>
    </row>
    <row r="1257">
      <c r="J1257">
        <f>IFERROR(__xludf.DUMMYFUNCTION("""COMPUTED_VALUE"""),"Cambodia, Vietnam, Micronesia")</f>
        <v/>
      </c>
      <c r="K1257">
        <f>IFERROR(__xludf.DUMMYFUNCTION("""COMPUTED_VALUE"""),24285.16)</f>
        <v/>
      </c>
    </row>
    <row r="1258">
      <c r="J1258">
        <f>IFERROR(__xludf.DUMMYFUNCTION("""COMPUTED_VALUE"""),"Finland, Ukraine")</f>
        <v/>
      </c>
      <c r="K1258">
        <f>IFERROR(__xludf.DUMMYFUNCTION("""COMPUTED_VALUE"""),24266.1)</f>
        <v/>
      </c>
    </row>
    <row r="1259">
      <c r="J1259">
        <f>IFERROR(__xludf.DUMMYFUNCTION("""COMPUTED_VALUE"""),"Seals meetings: Ottawa and Ireland. NAFO convention, Spain. Seals meetings Lithuania, Latvia, Cyprus, Malta, Slovenia Luxembourg Belgium")</f>
        <v/>
      </c>
      <c r="K1259">
        <f>IFERROR(__xludf.DUMMYFUNCTION("""COMPUTED_VALUE"""),24230.88)</f>
        <v/>
      </c>
    </row>
    <row r="1260">
      <c r="J1260">
        <f>IFERROR(__xludf.DUMMYFUNCTION("""COMPUTED_VALUE"""),"Kananaskis, Alberta")</f>
        <v/>
      </c>
      <c r="K1260">
        <f>IFERROR(__xludf.DUMMYFUNCTION("""COMPUTED_VALUE"""),24220.22)</f>
        <v/>
      </c>
    </row>
    <row r="1261">
      <c r="J1261">
        <f>IFERROR(__xludf.DUMMYFUNCTION("""COMPUTED_VALUE"""),"Osaka and Tokyo, Japan")</f>
        <v/>
      </c>
      <c r="K1261">
        <f>IFERROR(__xludf.DUMMYFUNCTION("""COMPUTED_VALUE"""),24219.27)</f>
        <v/>
      </c>
    </row>
    <row r="1262">
      <c r="J1262">
        <f>IFERROR(__xludf.DUMMYFUNCTION("""COMPUTED_VALUE"""),"New York, United States of America")</f>
        <v/>
      </c>
      <c r="K1262">
        <f>IFERROR(__xludf.DUMMYFUNCTION("""COMPUTED_VALUE"""),24219.16)</f>
        <v/>
      </c>
    </row>
    <row r="1263">
      <c r="J1263">
        <f>IFERROR(__xludf.DUMMYFUNCTION("""COMPUTED_VALUE"""),"Jamaica &amp; Guyana")</f>
        <v/>
      </c>
      <c r="K1263">
        <f>IFERROR(__xludf.DUMMYFUNCTION("""COMPUTED_VALUE"""),24216.61)</f>
        <v/>
      </c>
    </row>
    <row r="1264">
      <c r="J1264">
        <f>IFERROR(__xludf.DUMMYFUNCTION("""COMPUTED_VALUE"""),"Middle East")</f>
        <v/>
      </c>
      <c r="K1264">
        <f>IFERROR(__xludf.DUMMYFUNCTION("""COMPUTED_VALUE"""),24212.77)</f>
        <v/>
      </c>
    </row>
    <row r="1265">
      <c r="J1265">
        <f>IFERROR(__xludf.DUMMYFUNCTION("""COMPUTED_VALUE"""),"Chennai, India; New Delhi, India")</f>
        <v/>
      </c>
      <c r="K1265">
        <f>IFERROR(__xludf.DUMMYFUNCTION("""COMPUTED_VALUE"""),24205.5599999999)</f>
        <v/>
      </c>
    </row>
    <row r="1266">
      <c r="J1266">
        <f>IFERROR(__xludf.DUMMYFUNCTION("""COMPUTED_VALUE"""),"Tel Aviv, Israel / Amman, Jordan / Cairo, Egypt")</f>
        <v/>
      </c>
      <c r="K1266">
        <f>IFERROR(__xludf.DUMMYFUNCTION("""COMPUTED_VALUE"""),24200.21)</f>
        <v/>
      </c>
    </row>
    <row r="1267">
      <c r="J1267">
        <f>IFERROR(__xludf.DUMMYFUNCTION("""COMPUTED_VALUE"""),"Guadalajara, Mexico")</f>
        <v/>
      </c>
      <c r="K1267">
        <f>IFERROR(__xludf.DUMMYFUNCTION("""COMPUTED_VALUE"""),24187.9099999999)</f>
        <v/>
      </c>
    </row>
    <row r="1268">
      <c r="J1268">
        <f>IFERROR(__xludf.DUMMYFUNCTION("""COMPUTED_VALUE"""),"Toronto (ON), Canada")</f>
        <v/>
      </c>
      <c r="K1268">
        <f>IFERROR(__xludf.DUMMYFUNCTION("""COMPUTED_VALUE"""),24183.61)</f>
        <v/>
      </c>
    </row>
    <row r="1269">
      <c r="J1269">
        <f>IFERROR(__xludf.DUMMYFUNCTION("""COMPUTED_VALUE"""),"Sydney, Australia/Wellington, New Zealand/Canberra, Australia/Auckland, New Zealand")</f>
        <v/>
      </c>
      <c r="K1269">
        <f>IFERROR(__xludf.DUMMYFUNCTION("""COMPUTED_VALUE"""),24173.65)</f>
        <v/>
      </c>
    </row>
    <row r="1270">
      <c r="J1270">
        <f>IFERROR(__xludf.DUMMYFUNCTION("""COMPUTED_VALUE"""),"South Africa, Malawi, Tanzania")</f>
        <v/>
      </c>
      <c r="K1270">
        <f>IFERROR(__xludf.DUMMYFUNCTION("""COMPUTED_VALUE"""),24172.72)</f>
        <v/>
      </c>
    </row>
    <row r="1271">
      <c r="J1271">
        <f>IFERROR(__xludf.DUMMYFUNCTION("""COMPUTED_VALUE"""),"Brasilia, Brazil and Paris, France")</f>
        <v/>
      </c>
      <c r="K1271">
        <f>IFERROR(__xludf.DUMMYFUNCTION("""COMPUTED_VALUE"""),24123.31)</f>
        <v/>
      </c>
    </row>
    <row r="1272">
      <c r="J1272">
        <f>IFERROR(__xludf.DUMMYFUNCTION("""COMPUTED_VALUE"""),"Europe, Norway and Turkey")</f>
        <v/>
      </c>
      <c r="K1272">
        <f>IFERROR(__xludf.DUMMYFUNCTION("""COMPUTED_VALUE"""),24101.92)</f>
        <v/>
      </c>
    </row>
    <row r="1273">
      <c r="J1273">
        <f>IFERROR(__xludf.DUMMYFUNCTION("""COMPUTED_VALUE"""),"Pakistan, Thailand, Philippines")</f>
        <v/>
      </c>
      <c r="K1273">
        <f>IFERROR(__xludf.DUMMYFUNCTION("""COMPUTED_VALUE"""),24095)</f>
        <v/>
      </c>
    </row>
    <row r="1274">
      <c r="J1274">
        <f>IFERROR(__xludf.DUMMYFUNCTION("""COMPUTED_VALUE"""),"Bromont, Quebec, Canada")</f>
        <v/>
      </c>
      <c r="K1274">
        <f>IFERROR(__xludf.DUMMYFUNCTION("""COMPUTED_VALUE"""),24087.98)</f>
        <v/>
      </c>
    </row>
    <row r="1275">
      <c r="J1275">
        <f>IFERROR(__xludf.DUMMYFUNCTION("""COMPUTED_VALUE"""),"Warsaw, Poland/Kiev, Ukraine")</f>
        <v/>
      </c>
      <c r="K1275">
        <f>IFERROR(__xludf.DUMMYFUNCTION("""COMPUTED_VALUE"""),24032.72)</f>
        <v/>
      </c>
    </row>
    <row r="1276">
      <c r="J1276">
        <f>IFERROR(__xludf.DUMMYFUNCTION("""COMPUTED_VALUE"""),"Regina (Saskatchewan) Canada")</f>
        <v/>
      </c>
      <c r="K1276">
        <f>IFERROR(__xludf.DUMMYFUNCTION("""COMPUTED_VALUE"""),24006.95)</f>
        <v/>
      </c>
    </row>
    <row r="1277">
      <c r="J1277">
        <f>IFERROR(__xludf.DUMMYFUNCTION("""COMPUTED_VALUE"""),"Wiesbaden, Germany")</f>
        <v/>
      </c>
      <c r="K1277">
        <f>IFERROR(__xludf.DUMMYFUNCTION("""COMPUTED_VALUE"""),23991.94)</f>
        <v/>
      </c>
    </row>
    <row r="1278">
      <c r="J1278">
        <f>IFERROR(__xludf.DUMMYFUNCTION("""COMPUTED_VALUE"""),"VICTORIA, BC")</f>
        <v/>
      </c>
      <c r="K1278">
        <f>IFERROR(__xludf.DUMMYFUNCTION("""COMPUTED_VALUE"""),23990.2699999999)</f>
        <v/>
      </c>
    </row>
    <row r="1279">
      <c r="J1279">
        <f>IFERROR(__xludf.DUMMYFUNCTION("""COMPUTED_VALUE"""),"GERMANY &amp; NETHERLANDS")</f>
        <v/>
      </c>
      <c r="K1279">
        <f>IFERROR(__xludf.DUMMYFUNCTION("""COMPUTED_VALUE"""),23972.15)</f>
        <v/>
      </c>
    </row>
    <row r="1280">
      <c r="J1280">
        <f>IFERROR(__xludf.DUMMYFUNCTION("""COMPUTED_VALUE"""),"Kabul, Afghanistan")</f>
        <v/>
      </c>
      <c r="K1280">
        <f>IFERROR(__xludf.DUMMYFUNCTION("""COMPUTED_VALUE"""),23949.52)</f>
        <v/>
      </c>
    </row>
    <row r="1281">
      <c r="J1281">
        <f>IFERROR(__xludf.DUMMYFUNCTION("""COMPUTED_VALUE"""),"Europe/ Africa")</f>
        <v/>
      </c>
      <c r="K1281">
        <f>IFERROR(__xludf.DUMMYFUNCTION("""COMPUTED_VALUE"""),23937.01)</f>
        <v/>
      </c>
    </row>
    <row r="1282">
      <c r="J1282">
        <f>IFERROR(__xludf.DUMMYFUNCTION("""COMPUTED_VALUE"""),"Vancouver, British Columbia and Toronto, Ontario")</f>
        <v/>
      </c>
      <c r="K1282">
        <f>IFERROR(__xludf.DUMMYFUNCTION("""COMPUTED_VALUE"""),23935.27)</f>
        <v/>
      </c>
    </row>
    <row r="1283">
      <c r="J1283">
        <f>IFERROR(__xludf.DUMMYFUNCTION("""COMPUTED_VALUE"""),"Detroit")</f>
        <v/>
      </c>
      <c r="K1283">
        <f>IFERROR(__xludf.DUMMYFUNCTION("""COMPUTED_VALUE"""),23932.16)</f>
        <v/>
      </c>
    </row>
    <row r="1284">
      <c r="J1284">
        <f>IFERROR(__xludf.DUMMYFUNCTION("""COMPUTED_VALUE"""),"Prague/Bucharest")</f>
        <v/>
      </c>
      <c r="K1284">
        <f>IFERROR(__xludf.DUMMYFUNCTION("""COMPUTED_VALUE"""),23903.38)</f>
        <v/>
      </c>
    </row>
    <row r="1285">
      <c r="J1285">
        <f>IFERROR(__xludf.DUMMYFUNCTION("""COMPUTED_VALUE"""),"Edmonton, AB; Ottawa, ON")</f>
        <v/>
      </c>
      <c r="K1285">
        <f>IFERROR(__xludf.DUMMYFUNCTION("""COMPUTED_VALUE"""),23902.32)</f>
        <v/>
      </c>
    </row>
    <row r="1286">
      <c r="J1286">
        <f>IFERROR(__xludf.DUMMYFUNCTION("""COMPUTED_VALUE"""),"Tokyo, Japan Manila, Phillipines")</f>
        <v/>
      </c>
      <c r="K1286">
        <f>IFERROR(__xludf.DUMMYFUNCTION("""COMPUTED_VALUE"""),23885.9)</f>
        <v/>
      </c>
    </row>
    <row r="1287">
      <c r="J1287">
        <f>IFERROR(__xludf.DUMMYFUNCTION("""COMPUTED_VALUE"""),"New-York, United-States")</f>
        <v/>
      </c>
      <c r="K1287">
        <f>IFERROR(__xludf.DUMMYFUNCTION("""COMPUTED_VALUE"""),23881.47)</f>
        <v/>
      </c>
    </row>
    <row r="1288">
      <c r="J1288">
        <f>IFERROR(__xludf.DUMMYFUNCTION("""COMPUTED_VALUE"""),"Saint-Hyacinthe, Quebec, Canada")</f>
        <v/>
      </c>
      <c r="K1288">
        <f>IFERROR(__xludf.DUMMYFUNCTION("""COMPUTED_VALUE"""),23819.42)</f>
        <v/>
      </c>
    </row>
    <row r="1289">
      <c r="J1289">
        <f>IFERROR(__xludf.DUMMYFUNCTION("""COMPUTED_VALUE"""),"Washington Australia")</f>
        <v/>
      </c>
      <c r="K1289">
        <f>IFERROR(__xludf.DUMMYFUNCTION("""COMPUTED_VALUE"""),23805)</f>
        <v/>
      </c>
    </row>
    <row r="1290">
      <c r="J1290">
        <f>IFERROR(__xludf.DUMMYFUNCTION("""COMPUTED_VALUE"""),"Egypt, UAE, Armenia")</f>
        <v/>
      </c>
      <c r="K1290">
        <f>IFERROR(__xludf.DUMMYFUNCTION("""COMPUTED_VALUE"""),23802.6)</f>
        <v/>
      </c>
    </row>
    <row r="1291">
      <c r="J1291">
        <f>IFERROR(__xludf.DUMMYFUNCTION("""COMPUTED_VALUE"""),"Bolivia &amp; Peru (Lima, Cuzco &amp; La Paz)")</f>
        <v/>
      </c>
      <c r="K1291">
        <f>IFERROR(__xludf.DUMMYFUNCTION("""COMPUTED_VALUE"""),23760.03)</f>
        <v/>
      </c>
    </row>
    <row r="1292">
      <c r="J1292">
        <f>IFERROR(__xludf.DUMMYFUNCTION("""COMPUTED_VALUE"""),"London Abuja Lagos, United Kingdom and` Nigeria")</f>
        <v/>
      </c>
      <c r="K1292">
        <f>IFERROR(__xludf.DUMMYFUNCTION("""COMPUTED_VALUE"""),23737.62)</f>
        <v/>
      </c>
    </row>
    <row r="1293">
      <c r="J1293">
        <f>IFERROR(__xludf.DUMMYFUNCTION("""COMPUTED_VALUE"""),"Sydney, Nova Scotia, Canada; Halifax, Nova Scotia, Canada")</f>
        <v/>
      </c>
      <c r="K1293">
        <f>IFERROR(__xludf.DUMMYFUNCTION("""COMPUTED_VALUE"""),23708.98)</f>
        <v/>
      </c>
    </row>
    <row r="1294">
      <c r="J1294">
        <f>IFERROR(__xludf.DUMMYFUNCTION("""COMPUTED_VALUE"""),"Amman, Tel Aviv, Cairo, Sharm E Sheik and Brussels")</f>
        <v/>
      </c>
      <c r="K1294">
        <f>IFERROR(__xludf.DUMMYFUNCTION("""COMPUTED_VALUE"""),23696.72)</f>
        <v/>
      </c>
    </row>
    <row r="1295">
      <c r="J1295">
        <f>IFERROR(__xludf.DUMMYFUNCTION("""COMPUTED_VALUE"""),"Brisbane, Wellington, Auckland, Nauru")</f>
        <v/>
      </c>
      <c r="K1295">
        <f>IFERROR(__xludf.DUMMYFUNCTION("""COMPUTED_VALUE"""),23681.24)</f>
        <v/>
      </c>
    </row>
    <row r="1296">
      <c r="J1296">
        <f>IFERROR(__xludf.DUMMYFUNCTION("""COMPUTED_VALUE"""),"Toronto, ON / Vancouver, BC")</f>
        <v/>
      </c>
      <c r="K1296">
        <f>IFERROR(__xludf.DUMMYFUNCTION("""COMPUTED_VALUE"""),23678.44)</f>
        <v/>
      </c>
    </row>
    <row r="1297">
      <c r="J1297">
        <f>IFERROR(__xludf.DUMMYFUNCTION("""COMPUTED_VALUE"""),"Oakville, Ontario, Canada")</f>
        <v/>
      </c>
      <c r="K1297">
        <f>IFERROR(__xludf.DUMMYFUNCTION("""COMPUTED_VALUE"""),23666.4099999999)</f>
        <v/>
      </c>
    </row>
    <row r="1298">
      <c r="J1298">
        <f>IFERROR(__xludf.DUMMYFUNCTION("""COMPUTED_VALUE"""),"Îles-de-la-Madeleine, Quebec, Canada")</f>
        <v/>
      </c>
      <c r="K1298">
        <f>IFERROR(__xludf.DUMMYFUNCTION("""COMPUTED_VALUE"""),23666.2)</f>
        <v/>
      </c>
    </row>
    <row r="1299">
      <c r="J1299">
        <f>IFERROR(__xludf.DUMMYFUNCTION("""COMPUTED_VALUE"""),"Stakeholder engagement")</f>
        <v/>
      </c>
      <c r="K1299">
        <f>IFERROR(__xludf.DUMMYFUNCTION("""COMPUTED_VALUE"""),23662.84)</f>
        <v/>
      </c>
    </row>
    <row r="1300">
      <c r="J1300">
        <f>IFERROR(__xludf.DUMMYFUNCTION("""COMPUTED_VALUE"""),"Lisbon, Portugal; London, United Kingdom; Rome, Italy")</f>
        <v/>
      </c>
      <c r="K1300">
        <f>IFERROR(__xludf.DUMMYFUNCTION("""COMPUTED_VALUE"""),23655.82)</f>
        <v/>
      </c>
    </row>
    <row r="1301">
      <c r="J1301">
        <f>IFERROR(__xludf.DUMMYFUNCTION("""COMPUTED_VALUE"""),"London, Brussels")</f>
        <v/>
      </c>
      <c r="K1301">
        <f>IFERROR(__xludf.DUMMYFUNCTION("""COMPUTED_VALUE"""),23643.2199999999)</f>
        <v/>
      </c>
    </row>
    <row r="1302">
      <c r="J1302">
        <f>IFERROR(__xludf.DUMMYFUNCTION("""COMPUTED_VALUE"""),"Kelowna")</f>
        <v/>
      </c>
      <c r="K1302">
        <f>IFERROR(__xludf.DUMMYFUNCTION("""COMPUTED_VALUE"""),23637.17)</f>
        <v/>
      </c>
    </row>
    <row r="1303">
      <c r="J1303">
        <f>IFERROR(__xludf.DUMMYFUNCTION("""COMPUTED_VALUE"""),"Canada: Montreal, Toronto, Ottawa, Victoria
Hong Kong")</f>
        <v/>
      </c>
      <c r="K1303">
        <f>IFERROR(__xludf.DUMMYFUNCTION("""COMPUTED_VALUE"""),23633.75)</f>
        <v/>
      </c>
    </row>
    <row r="1304">
      <c r="J1304">
        <f>IFERROR(__xludf.DUMMYFUNCTION("""COMPUTED_VALUE"""),"Goose Bay, Newfoundland and Labrador")</f>
        <v/>
      </c>
      <c r="K1304">
        <f>IFERROR(__xludf.DUMMYFUNCTION("""COMPUTED_VALUE"""),23628.55)</f>
        <v/>
      </c>
    </row>
    <row r="1305">
      <c r="J1305">
        <f>IFERROR(__xludf.DUMMYFUNCTION("""COMPUTED_VALUE"""),"Ottawa and Toronto, Ontario")</f>
        <v/>
      </c>
      <c r="K1305">
        <f>IFERROR(__xludf.DUMMYFUNCTION("""COMPUTED_VALUE"""),23613.65)</f>
        <v/>
      </c>
    </row>
    <row r="1306">
      <c r="J1306">
        <f>IFERROR(__xludf.DUMMYFUNCTION("""COMPUTED_VALUE"""),"Berlin, Dusseldorf, Paris, Geneva")</f>
        <v/>
      </c>
      <c r="K1306">
        <f>IFERROR(__xludf.DUMMYFUNCTION("""COMPUTED_VALUE"""),23607.79)</f>
        <v/>
      </c>
    </row>
    <row r="1307">
      <c r="J1307">
        <f>IFERROR(__xludf.DUMMYFUNCTION("""COMPUTED_VALUE"""),"Muscat, Oman")</f>
        <v/>
      </c>
      <c r="K1307">
        <f>IFERROR(__xludf.DUMMYFUNCTION("""COMPUTED_VALUE"""),23604.72)</f>
        <v/>
      </c>
    </row>
    <row r="1308">
      <c r="J1308">
        <f>IFERROR(__xludf.DUMMYFUNCTION("""COMPUTED_VALUE"""),"Russia, Mumbai, New Delhi and Montreal")</f>
        <v/>
      </c>
      <c r="K1308">
        <f>IFERROR(__xludf.DUMMYFUNCTION("""COMPUTED_VALUE"""),23582.04)</f>
        <v/>
      </c>
    </row>
    <row r="1309">
      <c r="J1309">
        <f>IFERROR(__xludf.DUMMYFUNCTION("""COMPUTED_VALUE"""),"Bamako")</f>
        <v/>
      </c>
      <c r="K1309">
        <f>IFERROR(__xludf.DUMMYFUNCTION("""COMPUTED_VALUE"""),23576.79)</f>
        <v/>
      </c>
    </row>
    <row r="1310">
      <c r="J1310">
        <f>IFERROR(__xludf.DUMMYFUNCTION("""COMPUTED_VALUE"""),"Helsinkin, Finland")</f>
        <v/>
      </c>
      <c r="K1310">
        <f>IFERROR(__xludf.DUMMYFUNCTION("""COMPUTED_VALUE"""),23550.86)</f>
        <v/>
      </c>
    </row>
    <row r="1311">
      <c r="J1311">
        <f>IFERROR(__xludf.DUMMYFUNCTION("""COMPUTED_VALUE"""),"Mumbai, India     Paris, France  Vienna, Austria")</f>
        <v/>
      </c>
      <c r="K1311">
        <f>IFERROR(__xludf.DUMMYFUNCTION("""COMPUTED_VALUE"""),23544.64)</f>
        <v/>
      </c>
    </row>
    <row r="1312">
      <c r="J1312">
        <f>IFERROR(__xludf.DUMMYFUNCTION("""COMPUTED_VALUE"""),"Nicaragua, Ecuador, Colombia, Chile and Haiti")</f>
        <v/>
      </c>
      <c r="K1312">
        <f>IFERROR(__xludf.DUMMYFUNCTION("""COMPUTED_VALUE"""),23532.67)</f>
        <v/>
      </c>
    </row>
    <row r="1313">
      <c r="J1313">
        <f>IFERROR(__xludf.DUMMYFUNCTION("""COMPUTED_VALUE"""),"Montebello, Québec")</f>
        <v/>
      </c>
      <c r="K1313">
        <f>IFERROR(__xludf.DUMMYFUNCTION("""COMPUTED_VALUE"""),23530.8799999999)</f>
        <v/>
      </c>
    </row>
    <row r="1314">
      <c r="J1314">
        <f>IFERROR(__xludf.DUMMYFUNCTION("""COMPUTED_VALUE"""),"Yellowknife, North West Territories, Canada")</f>
        <v/>
      </c>
      <c r="K1314">
        <f>IFERROR(__xludf.DUMMYFUNCTION("""COMPUTED_VALUE"""),23491.16)</f>
        <v/>
      </c>
    </row>
    <row r="1315">
      <c r="J1315">
        <f>IFERROR(__xludf.DUMMYFUNCTION("""COMPUTED_VALUE"""),"Melbourne, Victoria, Australia")</f>
        <v/>
      </c>
      <c r="K1315">
        <f>IFERROR(__xludf.DUMMYFUNCTION("""COMPUTED_VALUE"""),23489.77)</f>
        <v/>
      </c>
    </row>
    <row r="1316">
      <c r="J1316">
        <f>IFERROR(__xludf.DUMMYFUNCTION("""COMPUTED_VALUE"""),"Washington/New York/Brussels")</f>
        <v/>
      </c>
      <c r="K1316">
        <f>IFERROR(__xludf.DUMMYFUNCTION("""COMPUTED_VALUE"""),23452.91)</f>
        <v/>
      </c>
    </row>
    <row r="1317">
      <c r="J1317">
        <f>IFERROR(__xludf.DUMMYFUNCTION("""COMPUTED_VALUE"""),"Panama")</f>
        <v/>
      </c>
      <c r="K1317">
        <f>IFERROR(__xludf.DUMMYFUNCTION("""COMPUTED_VALUE"""),23447.47)</f>
        <v/>
      </c>
    </row>
    <row r="1318">
      <c r="J1318">
        <f>IFERROR(__xludf.DUMMYFUNCTION("""COMPUTED_VALUE"""),"Victoria and Vancouver, British Columbia")</f>
        <v/>
      </c>
      <c r="K1318">
        <f>IFERROR(__xludf.DUMMYFUNCTION("""COMPUTED_VALUE"""),23427.26)</f>
        <v/>
      </c>
    </row>
    <row r="1319">
      <c r="J1319">
        <f>IFERROR(__xludf.DUMMYFUNCTION("""COMPUTED_VALUE"""),"Johannesburg and Port Elizabeth, South Africa")</f>
        <v/>
      </c>
      <c r="K1319">
        <f>IFERROR(__xludf.DUMMYFUNCTION("""COMPUTED_VALUE"""),23413.71)</f>
        <v/>
      </c>
    </row>
    <row r="1320">
      <c r="J1320">
        <f>IFERROR(__xludf.DUMMYFUNCTION("""COMPUTED_VALUE"""),"Matera, Italy")</f>
        <v/>
      </c>
      <c r="K1320">
        <f>IFERROR(__xludf.DUMMYFUNCTION("""COMPUTED_VALUE"""),23412.67)</f>
        <v/>
      </c>
    </row>
    <row r="1321">
      <c r="J1321">
        <f>IFERROR(__xludf.DUMMYFUNCTION("""COMPUTED_VALUE"""),"Vilnius Lithuania")</f>
        <v/>
      </c>
      <c r="K1321">
        <f>IFERROR(__xludf.DUMMYFUNCTION("""COMPUTED_VALUE"""),23407.62)</f>
        <v/>
      </c>
    </row>
    <row r="1322">
      <c r="J1322">
        <f>IFERROR(__xludf.DUMMYFUNCTION("""COMPUTED_VALUE"""),"Tokyo, Beijing, Jakarta, Delhi, Johannesburg and Addis Ababa")</f>
        <v/>
      </c>
      <c r="K1322">
        <f>IFERROR(__xludf.DUMMYFUNCTION("""COMPUTED_VALUE"""),23406.47)</f>
        <v/>
      </c>
    </row>
    <row r="1323">
      <c r="J1323">
        <f>IFERROR(__xludf.DUMMYFUNCTION("""COMPUTED_VALUE"""),"Naypyidaw and Yangon, Myanmar; Singapore, Malaysia and Hiroshima, Japan")</f>
        <v/>
      </c>
      <c r="K1323">
        <f>IFERROR(__xludf.DUMMYFUNCTION("""COMPUTED_VALUE"""),23396.77)</f>
        <v/>
      </c>
    </row>
    <row r="1324">
      <c r="J1324">
        <f>IFERROR(__xludf.DUMMYFUNCTION("""COMPUTED_VALUE"""),"Sharm El Sheik, Egypt
Cairo, Egypt
Amman, Jordan
Madrid, Spain")</f>
        <v/>
      </c>
      <c r="K1324">
        <f>IFERROR(__xludf.DUMMYFUNCTION("""COMPUTED_VALUE"""),23375.66)</f>
        <v/>
      </c>
    </row>
    <row r="1325">
      <c r="J1325">
        <f>IFERROR(__xludf.DUMMYFUNCTION("""COMPUTED_VALUE"""),"Brussels, Belgium and Paris, France")</f>
        <v/>
      </c>
      <c r="K1325">
        <f>IFERROR(__xludf.DUMMYFUNCTION("""COMPUTED_VALUE"""),23374.36)</f>
        <v/>
      </c>
    </row>
    <row r="1326">
      <c r="J1326">
        <f>IFERROR(__xludf.DUMMYFUNCTION("""COMPUTED_VALUE"""),"Lille, France")</f>
        <v/>
      </c>
      <c r="K1326">
        <f>IFERROR(__xludf.DUMMYFUNCTION("""COMPUTED_VALUE"""),23338.12)</f>
        <v/>
      </c>
    </row>
    <row r="1327">
      <c r="J1327">
        <f>IFERROR(__xludf.DUMMYFUNCTION("""COMPUTED_VALUE"""),"Bariloche, Buenos Aires, Argentina")</f>
        <v/>
      </c>
      <c r="K1327">
        <f>IFERROR(__xludf.DUMMYFUNCTION("""COMPUTED_VALUE"""),23319.69)</f>
        <v/>
      </c>
    </row>
    <row r="1328">
      <c r="J1328">
        <f>IFERROR(__xludf.DUMMYFUNCTION("""COMPUTED_VALUE"""),"Kiev")</f>
        <v/>
      </c>
      <c r="K1328">
        <f>IFERROR(__xludf.DUMMYFUNCTION("""COMPUTED_VALUE"""),23308.3099999999)</f>
        <v/>
      </c>
    </row>
    <row r="1329">
      <c r="J1329">
        <f>IFERROR(__xludf.DUMMYFUNCTION("""COMPUTED_VALUE"""),"Cambodia, Indonesia, Thailand")</f>
        <v/>
      </c>
      <c r="K1329">
        <f>IFERROR(__xludf.DUMMYFUNCTION("""COMPUTED_VALUE"""),23307.7699999999)</f>
        <v/>
      </c>
    </row>
    <row r="1330">
      <c r="J1330">
        <f>IFERROR(__xludf.DUMMYFUNCTION("""COMPUTED_VALUE"""),"Postdam, Germany")</f>
        <v/>
      </c>
      <c r="K1330">
        <f>IFERROR(__xludf.DUMMYFUNCTION("""COMPUTED_VALUE"""),23283.19)</f>
        <v/>
      </c>
    </row>
    <row r="1331">
      <c r="J1331">
        <f>IFERROR(__xludf.DUMMYFUNCTION("""COMPUTED_VALUE"""),"Montréal, Quebec, Canada; Ottawa, Ontario, Canada")</f>
        <v/>
      </c>
      <c r="K1331">
        <f>IFERROR(__xludf.DUMMYFUNCTION("""COMPUTED_VALUE"""),23275.2)</f>
        <v/>
      </c>
    </row>
    <row r="1332">
      <c r="J1332">
        <f>IFERROR(__xludf.DUMMYFUNCTION("""COMPUTED_VALUE"""),"Finland, Germany, Belgium, Indonisia and Vietnam")</f>
        <v/>
      </c>
      <c r="K1332">
        <f>IFERROR(__xludf.DUMMYFUNCTION("""COMPUTED_VALUE"""),23271.76)</f>
        <v/>
      </c>
    </row>
    <row r="1333">
      <c r="J1333">
        <f>IFERROR(__xludf.DUMMYFUNCTION("""COMPUTED_VALUE"""),"Nikko, Japan")</f>
        <v/>
      </c>
      <c r="K1333">
        <f>IFERROR(__xludf.DUMMYFUNCTION("""COMPUTED_VALUE"""),23230.96)</f>
        <v/>
      </c>
    </row>
    <row r="1334">
      <c r="J1334">
        <f>IFERROR(__xludf.DUMMYFUNCTION("""COMPUTED_VALUE"""),"Abuja, Nigeria
New York, United States")</f>
        <v/>
      </c>
      <c r="K1334">
        <f>IFERROR(__xludf.DUMMYFUNCTION("""COMPUTED_VALUE"""),23226.05)</f>
        <v/>
      </c>
    </row>
    <row r="1335">
      <c r="J1335">
        <f>IFERROR(__xludf.DUMMYFUNCTION("""COMPUTED_VALUE"""),"Latvia, Brussels")</f>
        <v/>
      </c>
      <c r="K1335">
        <f>IFERROR(__xludf.DUMMYFUNCTION("""COMPUTED_VALUE"""),23218.17)</f>
        <v/>
      </c>
    </row>
    <row r="1336">
      <c r="J1336">
        <f>IFERROR(__xludf.DUMMYFUNCTION("""COMPUTED_VALUE"""),"Bergen, Norway 
Oslo, Norway
Faroe Island, Denmark
Copenhagen, Denmark")</f>
        <v/>
      </c>
      <c r="K1336">
        <f>IFERROR(__xludf.DUMMYFUNCTION("""COMPUTED_VALUE"""),23217.78)</f>
        <v/>
      </c>
    </row>
    <row r="1337">
      <c r="J1337">
        <f>IFERROR(__xludf.DUMMYFUNCTION("""COMPUTED_VALUE"""),"Montreal, Quebec, Canada &amp; Toronto, Ontario, Canada")</f>
        <v/>
      </c>
      <c r="K1337">
        <f>IFERROR(__xludf.DUMMYFUNCTION("""COMPUTED_VALUE"""),23211.24)</f>
        <v/>
      </c>
    </row>
    <row r="1338">
      <c r="J1338">
        <f>IFERROR(__xludf.DUMMYFUNCTION("""COMPUTED_VALUE"""),"Riga Tallinn Helsingborg, Latvia Estonia Sweden")</f>
        <v/>
      </c>
      <c r="K1338">
        <f>IFERROR(__xludf.DUMMYFUNCTION("""COMPUTED_VALUE"""),23206.9899999999)</f>
        <v/>
      </c>
    </row>
    <row r="1339">
      <c r="J1339">
        <f>IFERROR(__xludf.DUMMYFUNCTION("""COMPUTED_VALUE"""),"Kuwait/Iraq")</f>
        <v/>
      </c>
      <c r="K1339">
        <f>IFERROR(__xludf.DUMMYFUNCTION("""COMPUTED_VALUE"""),23198.5)</f>
        <v/>
      </c>
    </row>
    <row r="1340">
      <c r="J1340">
        <f>IFERROR(__xludf.DUMMYFUNCTION("""COMPUTED_VALUE"""),"Abu Dhabi, Berlin, Kigali, Nairobi, Juba, Brussels")</f>
        <v/>
      </c>
      <c r="K1340">
        <f>IFERROR(__xludf.DUMMYFUNCTION("""COMPUTED_VALUE"""),23184.15)</f>
        <v/>
      </c>
    </row>
    <row r="1341">
      <c r="J1341">
        <f>IFERROR(__xludf.DUMMYFUNCTION("""COMPUTED_VALUE"""),"Vienna (Austria), Paris (France) Brussels (Germany)")</f>
        <v/>
      </c>
      <c r="K1341">
        <f>IFERROR(__xludf.DUMMYFUNCTION("""COMPUTED_VALUE"""),23164.12)</f>
        <v/>
      </c>
    </row>
    <row r="1342">
      <c r="J1342">
        <f>IFERROR(__xludf.DUMMYFUNCTION("""COMPUTED_VALUE"""),"Singapore, Malaysia and Brunei")</f>
        <v/>
      </c>
      <c r="K1342">
        <f>IFERROR(__xludf.DUMMYFUNCTION("""COMPUTED_VALUE"""),23134.05)</f>
        <v/>
      </c>
    </row>
    <row r="1343">
      <c r="J1343">
        <f>IFERROR(__xludf.DUMMYFUNCTION("""COMPUTED_VALUE"""),"Indonesia &amp; Singapore")</f>
        <v/>
      </c>
      <c r="K1343">
        <f>IFERROR(__xludf.DUMMYFUNCTION("""COMPUTED_VALUE"""),23125.35)</f>
        <v/>
      </c>
    </row>
    <row r="1344">
      <c r="J1344">
        <f>IFERROR(__xludf.DUMMYFUNCTION("""COMPUTED_VALUE"""),"Korea, seoul")</f>
        <v/>
      </c>
      <c r="K1344">
        <f>IFERROR(__xludf.DUMMYFUNCTION("""COMPUTED_VALUE"""),23112.9)</f>
        <v/>
      </c>
    </row>
    <row r="1345">
      <c r="J1345">
        <f>IFERROR(__xludf.DUMMYFUNCTION("""COMPUTED_VALUE"""),"Port Hope, Ontario")</f>
        <v/>
      </c>
      <c r="K1345">
        <f>IFERROR(__xludf.DUMMYFUNCTION("""COMPUTED_VALUE"""),23093.4699999999)</f>
        <v/>
      </c>
    </row>
    <row r="1346">
      <c r="J1346">
        <f>IFERROR(__xludf.DUMMYFUNCTION("""COMPUTED_VALUE"""),"BRUNEI DARUSSALAM")</f>
        <v/>
      </c>
      <c r="K1346">
        <f>IFERROR(__xludf.DUMMYFUNCTION("""COMPUTED_VALUE"""),23081.42)</f>
        <v/>
      </c>
    </row>
    <row r="1347">
      <c r="J1347">
        <f>IFERROR(__xludf.DUMMYFUNCTION("""COMPUTED_VALUE"""),"Riga, Latvia and Brussels Belgium")</f>
        <v/>
      </c>
      <c r="K1347">
        <f>IFERROR(__xludf.DUMMYFUNCTION("""COMPUTED_VALUE"""),23070.4499999999)</f>
        <v/>
      </c>
    </row>
    <row r="1348">
      <c r="J1348">
        <f>IFERROR(__xludf.DUMMYFUNCTION("""COMPUTED_VALUE"""),"Wellington, NZ; Sydney, Canberra, Melbourne, AU; Hong Kong, HK")</f>
        <v/>
      </c>
      <c r="K1348">
        <f>IFERROR(__xludf.DUMMYFUNCTION("""COMPUTED_VALUE"""),23059.89)</f>
        <v/>
      </c>
    </row>
    <row r="1349">
      <c r="J1349">
        <f>IFERROR(__xludf.DUMMYFUNCTION("""COMPUTED_VALUE"""),"Calgary and Vancouver")</f>
        <v/>
      </c>
      <c r="K1349">
        <f>IFERROR(__xludf.DUMMYFUNCTION("""COMPUTED_VALUE"""),23049.02)</f>
        <v/>
      </c>
    </row>
    <row r="1350">
      <c r="J1350">
        <f>IFERROR(__xludf.DUMMYFUNCTION("""COMPUTED_VALUE"""),"Calgary, Alberta, Canada / Edmonton, Alberta, Canada")</f>
        <v/>
      </c>
      <c r="K1350">
        <f>IFERROR(__xludf.DUMMYFUNCTION("""COMPUTED_VALUE"""),23046.26)</f>
        <v/>
      </c>
    </row>
    <row r="1351">
      <c r="J1351">
        <f>IFERROR(__xludf.DUMMYFUNCTION("""COMPUTED_VALUE"""),"Geneva, Swizerland")</f>
        <v/>
      </c>
      <c r="K1351">
        <f>IFERROR(__xludf.DUMMYFUNCTION("""COMPUTED_VALUE"""),23044.91)</f>
        <v/>
      </c>
    </row>
    <row r="1352">
      <c r="J1352">
        <f>IFERROR(__xludf.DUMMYFUNCTION("""COMPUTED_VALUE"""),"Newfoundland")</f>
        <v/>
      </c>
      <c r="K1352">
        <f>IFERROR(__xludf.DUMMYFUNCTION("""COMPUTED_VALUE"""),23039.1899999999)</f>
        <v/>
      </c>
    </row>
    <row r="1353">
      <c r="J1353">
        <f>IFERROR(__xludf.DUMMYFUNCTION("""COMPUTED_VALUE"""),"Vancouver, British Columbia, Canada; Winnipeg, Manitoba, Canada; Toronto, Ontario, Canada")</f>
        <v/>
      </c>
      <c r="K1353">
        <f>IFERROR(__xludf.DUMMYFUNCTION("""COMPUTED_VALUE"""),23037.29)</f>
        <v/>
      </c>
    </row>
    <row r="1354">
      <c r="J1354">
        <f>IFERROR(__xludf.DUMMYFUNCTION("""COMPUTED_VALUE"""),"Qingdao, Shanghai, Beijing, China")</f>
        <v/>
      </c>
      <c r="K1354">
        <f>IFERROR(__xludf.DUMMYFUNCTION("""COMPUTED_VALUE"""),23035.09)</f>
        <v/>
      </c>
    </row>
    <row r="1355">
      <c r="J1355">
        <f>IFERROR(__xludf.DUMMYFUNCTION("""COMPUTED_VALUE"""),"Australia                                         Hawaii, United States")</f>
        <v/>
      </c>
      <c r="K1355">
        <f>IFERROR(__xludf.DUMMYFUNCTION("""COMPUTED_VALUE"""),23033.29)</f>
        <v/>
      </c>
    </row>
    <row r="1356">
      <c r="J1356">
        <f>IFERROR(__xludf.DUMMYFUNCTION("""COMPUTED_VALUE"""),"Australia and Hawaii")</f>
        <v/>
      </c>
      <c r="K1356">
        <f>IFERROR(__xludf.DUMMYFUNCTION("""COMPUTED_VALUE"""),23033.29)</f>
        <v/>
      </c>
    </row>
    <row r="1357">
      <c r="J1357">
        <f>IFERROR(__xludf.DUMMYFUNCTION("""COMPUTED_VALUE"""),"St. John's, Newfoundland and Labrador and Halifax, Nova Scotia")</f>
        <v/>
      </c>
      <c r="K1357">
        <f>IFERROR(__xludf.DUMMYFUNCTION("""COMPUTED_VALUE"""),23020.35)</f>
        <v/>
      </c>
    </row>
    <row r="1358">
      <c r="J1358">
        <f>IFERROR(__xludf.DUMMYFUNCTION("""COMPUTED_VALUE"""),"Manila, Philippines/ Canberra, Australia/ Sydney, Australia")</f>
        <v/>
      </c>
      <c r="K1358">
        <f>IFERROR(__xludf.DUMMYFUNCTION("""COMPUTED_VALUE"""),23019.48)</f>
        <v/>
      </c>
    </row>
    <row r="1359">
      <c r="J1359">
        <f>IFERROR(__xludf.DUMMYFUNCTION("""COMPUTED_VALUE"""),"Courtenay, British Columbia")</f>
        <v/>
      </c>
      <c r="K1359">
        <f>IFERROR(__xludf.DUMMYFUNCTION("""COMPUTED_VALUE"""),23016.52)</f>
        <v/>
      </c>
    </row>
    <row r="1360">
      <c r="J1360">
        <f>IFERROR(__xludf.DUMMYFUNCTION("""COMPUTED_VALUE"""),"Egypt, Jordan and Lebanon")</f>
        <v/>
      </c>
      <c r="K1360">
        <f>IFERROR(__xludf.DUMMYFUNCTION("""COMPUTED_VALUE"""),22976.54)</f>
        <v/>
      </c>
    </row>
    <row r="1361">
      <c r="J1361">
        <f>IFERROR(__xludf.DUMMYFUNCTION("""COMPUTED_VALUE"""),"Guatemala City, Guatemala")</f>
        <v/>
      </c>
      <c r="K1361">
        <f>IFERROR(__xludf.DUMMYFUNCTION("""COMPUTED_VALUE"""),22958.1)</f>
        <v/>
      </c>
    </row>
    <row r="1362">
      <c r="J1362">
        <f>IFERROR(__xludf.DUMMYFUNCTION("""COMPUTED_VALUE"""),"Montebello, Quebec")</f>
        <v/>
      </c>
      <c r="K1362">
        <f>IFERROR(__xludf.DUMMYFUNCTION("""COMPUTED_VALUE"""),22946.53)</f>
        <v/>
      </c>
    </row>
    <row r="1363">
      <c r="J1363">
        <f>IFERROR(__xludf.DUMMYFUNCTION("""COMPUTED_VALUE"""),"RIGA, STOCKHOLM, PARIS, BUDAPEST &amp; LIVERPOOL")</f>
        <v/>
      </c>
      <c r="K1363">
        <f>IFERROR(__xludf.DUMMYFUNCTION("""COMPUTED_VALUE"""),22926.75)</f>
        <v/>
      </c>
    </row>
    <row r="1364">
      <c r="J1364">
        <f>IFERROR(__xludf.DUMMYFUNCTION("""COMPUTED_VALUE"""),"Netherlands")</f>
        <v/>
      </c>
      <c r="K1364">
        <f>IFERROR(__xludf.DUMMYFUNCTION("""COMPUTED_VALUE"""),22912.28)</f>
        <v/>
      </c>
    </row>
    <row r="1365">
      <c r="J1365">
        <f>IFERROR(__xludf.DUMMYFUNCTION("""COMPUTED_VALUE"""),"Pretoria (South Africa), Nairobi (Kenya), Juba (South Sudan), Addis Ababa (Ethiopia), Harare (Zimbabwe), Lagos &amp; Abuja (Nigeria)")</f>
        <v/>
      </c>
      <c r="K1365">
        <f>IFERROR(__xludf.DUMMYFUNCTION("""COMPUTED_VALUE"""),22896.84)</f>
        <v/>
      </c>
    </row>
    <row r="1366">
      <c r="J1366">
        <f>IFERROR(__xludf.DUMMYFUNCTION("""COMPUTED_VALUE"""),"Toronto, ON - Houston, TX, USA")</f>
        <v/>
      </c>
      <c r="K1366">
        <f>IFERROR(__xludf.DUMMYFUNCTION("""COMPUTED_VALUE"""),22888.34)</f>
        <v/>
      </c>
    </row>
    <row r="1367">
      <c r="J1367">
        <f>IFERROR(__xludf.DUMMYFUNCTION("""COMPUTED_VALUE"""),"Brussels, Belgium; Oslo, Norway; Frankfurt, Germany; Chennai &amp; Delhi, India")</f>
        <v/>
      </c>
      <c r="K1367">
        <f>IFERROR(__xludf.DUMMYFUNCTION("""COMPUTED_VALUE"""),22877.55)</f>
        <v/>
      </c>
    </row>
    <row r="1368">
      <c r="J1368">
        <f>IFERROR(__xludf.DUMMYFUNCTION("""COMPUTED_VALUE"""),"Costa Rica")</f>
        <v/>
      </c>
      <c r="K1368">
        <f>IFERROR(__xludf.DUMMYFUNCTION("""COMPUTED_VALUE"""),22873.61)</f>
        <v/>
      </c>
    </row>
    <row r="1369">
      <c r="J1369">
        <f>IFERROR(__xludf.DUMMYFUNCTION("""COMPUTED_VALUE"""),"Fort McMurray, Alberta, Canada")</f>
        <v/>
      </c>
      <c r="K1369">
        <f>IFERROR(__xludf.DUMMYFUNCTION("""COMPUTED_VALUE"""),22873.37)</f>
        <v/>
      </c>
    </row>
    <row r="1370">
      <c r="J1370">
        <f>IFERROR(__xludf.DUMMYFUNCTION("""COMPUTED_VALUE"""),"New York City, NY")</f>
        <v/>
      </c>
      <c r="K1370">
        <f>IFERROR(__xludf.DUMMYFUNCTION("""COMPUTED_VALUE"""),22870.07)</f>
        <v/>
      </c>
    </row>
    <row r="1371">
      <c r="J1371">
        <f>IFERROR(__xludf.DUMMYFUNCTION("""COMPUTED_VALUE"""),"India, United Arab Emirates")</f>
        <v/>
      </c>
      <c r="K1371">
        <f>IFERROR(__xludf.DUMMYFUNCTION("""COMPUTED_VALUE"""),22860.6299999999)</f>
        <v/>
      </c>
    </row>
    <row r="1372">
      <c r="J1372">
        <f>IFERROR(__xludf.DUMMYFUNCTION("""COMPUTED_VALUE"""),"Phoenix")</f>
        <v/>
      </c>
      <c r="K1372">
        <f>IFERROR(__xludf.DUMMYFUNCTION("""COMPUTED_VALUE"""),22852.4499999999)</f>
        <v/>
      </c>
    </row>
    <row r="1373">
      <c r="J1373">
        <f>IFERROR(__xludf.DUMMYFUNCTION("""COMPUTED_VALUE"""),"Bled, Slovenia and Bali, Indonesia")</f>
        <v/>
      </c>
      <c r="K1373">
        <f>IFERROR(__xludf.DUMMYFUNCTION("""COMPUTED_VALUE"""),22849.68)</f>
        <v/>
      </c>
    </row>
    <row r="1374">
      <c r="J1374">
        <f>IFERROR(__xludf.DUMMYFUNCTION("""COMPUTED_VALUE"""),"Brussels, London, Moscow and Tokyo.")</f>
        <v/>
      </c>
      <c r="K1374">
        <f>IFERROR(__xludf.DUMMYFUNCTION("""COMPUTED_VALUE"""),22835.41)</f>
        <v/>
      </c>
    </row>
    <row r="1375">
      <c r="J1375">
        <f>IFERROR(__xludf.DUMMYFUNCTION("""COMPUTED_VALUE"""),"Switzerland (Davos)")</f>
        <v/>
      </c>
      <c r="K1375">
        <f>IFERROR(__xludf.DUMMYFUNCTION("""COMPUTED_VALUE"""),22833.72)</f>
        <v/>
      </c>
    </row>
    <row r="1376">
      <c r="J1376">
        <f>IFERROR(__xludf.DUMMYFUNCTION("""COMPUTED_VALUE"""),"Stockholm and Prague")</f>
        <v/>
      </c>
      <c r="K1376">
        <f>IFERROR(__xludf.DUMMYFUNCTION("""COMPUTED_VALUE"""),22829.31)</f>
        <v/>
      </c>
    </row>
    <row r="1377">
      <c r="J1377">
        <f>IFERROR(__xludf.DUMMYFUNCTION("""COMPUTED_VALUE"""),"Korea")</f>
        <v/>
      </c>
      <c r="K1377">
        <f>IFERROR(__xludf.DUMMYFUNCTION("""COMPUTED_VALUE"""),22824.97)</f>
        <v/>
      </c>
    </row>
    <row r="1378">
      <c r="J1378">
        <f>IFERROR(__xludf.DUMMYFUNCTION("""COMPUTED_VALUE"""),"Halifax, Nova Scotia, Canada; Ottawa, Ontario, Canada")</f>
        <v/>
      </c>
      <c r="K1378">
        <f>IFERROR(__xludf.DUMMYFUNCTION("""COMPUTED_VALUE"""),22800.53)</f>
        <v/>
      </c>
    </row>
    <row r="1379">
      <c r="J1379">
        <f>IFERROR(__xludf.DUMMYFUNCTION("""COMPUTED_VALUE"""),"Iqaluit, Canada")</f>
        <v/>
      </c>
      <c r="K1379">
        <f>IFERROR(__xludf.DUMMYFUNCTION("""COMPUTED_VALUE"""),22798.68)</f>
        <v/>
      </c>
    </row>
    <row r="1380">
      <c r="J1380">
        <f>IFERROR(__xludf.DUMMYFUNCTION("""COMPUTED_VALUE"""),"Beijing, China - Shanghai, China")</f>
        <v/>
      </c>
      <c r="K1380">
        <f>IFERROR(__xludf.DUMMYFUNCTION("""COMPUTED_VALUE"""),22784.17)</f>
        <v/>
      </c>
    </row>
    <row r="1381">
      <c r="J1381">
        <f>IFERROR(__xludf.DUMMYFUNCTION("""COMPUTED_VALUE"""),"Iceland, Denmark, Finland, Norway")</f>
        <v/>
      </c>
      <c r="K1381">
        <f>IFERROR(__xludf.DUMMYFUNCTION("""COMPUTED_VALUE"""),22780.01)</f>
        <v/>
      </c>
    </row>
    <row r="1382">
      <c r="J1382">
        <f>IFERROR(__xludf.DUMMYFUNCTION("""COMPUTED_VALUE"""),"Canberra, Australia; Melbourne, Australia")</f>
        <v/>
      </c>
      <c r="K1382">
        <f>IFERROR(__xludf.DUMMYFUNCTION("""COMPUTED_VALUE"""),22773.2)</f>
        <v/>
      </c>
    </row>
    <row r="1383">
      <c r="J1383">
        <f>IFERROR(__xludf.DUMMYFUNCTION("""COMPUTED_VALUE"""),"Brussels,  Belgium")</f>
        <v/>
      </c>
      <c r="K1383">
        <f>IFERROR(__xludf.DUMMYFUNCTION("""COMPUTED_VALUE"""),22751.78)</f>
        <v/>
      </c>
    </row>
    <row r="1384">
      <c r="J1384">
        <f>IFERROR(__xludf.DUMMYFUNCTION("""COMPUTED_VALUE"""),"Vancouver, BC, Hong Kong, China, Bangkok, Thailand")</f>
        <v/>
      </c>
      <c r="K1384">
        <f>IFERROR(__xludf.DUMMYFUNCTION("""COMPUTED_VALUE"""),22736.1299999999)</f>
        <v/>
      </c>
    </row>
    <row r="1385">
      <c r="J1385">
        <f>IFERROR(__xludf.DUMMYFUNCTION("""COMPUTED_VALUE"""),"Kuala Lumpur, Malaysia
Manila, Philippines
Singapore, Singapore")</f>
        <v/>
      </c>
      <c r="K1385">
        <f>IFERROR(__xludf.DUMMYFUNCTION("""COMPUTED_VALUE"""),22732.35)</f>
        <v/>
      </c>
    </row>
    <row r="1386">
      <c r="J1386">
        <f>IFERROR(__xludf.DUMMYFUNCTION("""COMPUTED_VALUE"""),"Toronto and Hamilton, Ontario, Canada")</f>
        <v/>
      </c>
      <c r="K1386">
        <f>IFERROR(__xludf.DUMMYFUNCTION("""COMPUTED_VALUE"""),22730.2399999999)</f>
        <v/>
      </c>
    </row>
    <row r="1387">
      <c r="J1387">
        <f>IFERROR(__xludf.DUMMYFUNCTION("""COMPUTED_VALUE"""),"Bergen, Norway and Oslo, Norway")</f>
        <v/>
      </c>
      <c r="K1387">
        <f>IFERROR(__xludf.DUMMYFUNCTION("""COMPUTED_VALUE"""),22720.5599999999)</f>
        <v/>
      </c>
    </row>
    <row r="1388">
      <c r="J1388">
        <f>IFERROR(__xludf.DUMMYFUNCTION("""COMPUTED_VALUE"""),"London, England; Sotckholm, Sweden; Helsinki, Finland;           Paris, France")</f>
        <v/>
      </c>
      <c r="K1388">
        <f>IFERROR(__xludf.DUMMYFUNCTION("""COMPUTED_VALUE"""),22706.69)</f>
        <v/>
      </c>
    </row>
    <row r="1389">
      <c r="J1389">
        <f>IFERROR(__xludf.DUMMYFUNCTION("""COMPUTED_VALUE"""),"Paris, France / London, England")</f>
        <v/>
      </c>
      <c r="K1389">
        <f>IFERROR(__xludf.DUMMYFUNCTION("""COMPUTED_VALUE"""),22690.26)</f>
        <v/>
      </c>
    </row>
    <row r="1390">
      <c r="J1390">
        <f>IFERROR(__xludf.DUMMYFUNCTION("""COMPUTED_VALUE"""),"Bamako; Dakar, Mali; Senegal")</f>
        <v/>
      </c>
      <c r="K1390">
        <f>IFERROR(__xludf.DUMMYFUNCTION("""COMPUTED_VALUE"""),22674.25)</f>
        <v/>
      </c>
    </row>
    <row r="1391">
      <c r="J1391">
        <f>IFERROR(__xludf.DUMMYFUNCTION("""COMPUTED_VALUE"""),"London, England (United Kingdom)")</f>
        <v/>
      </c>
      <c r="K1391">
        <f>IFERROR(__xludf.DUMMYFUNCTION("""COMPUTED_VALUE"""),22639.8)</f>
        <v/>
      </c>
    </row>
    <row r="1392">
      <c r="J1392">
        <f>IFERROR(__xludf.DUMMYFUNCTION("""COMPUTED_VALUE"""),"Paris, France / London, England / Manila, Philippines")</f>
        <v/>
      </c>
      <c r="K1392">
        <f>IFERROR(__xludf.DUMMYFUNCTION("""COMPUTED_VALUE"""),22637.91)</f>
        <v/>
      </c>
    </row>
    <row r="1393">
      <c r="J1393">
        <f>IFERROR(__xludf.DUMMYFUNCTION("""COMPUTED_VALUE"""),"Olso, Norway")</f>
        <v/>
      </c>
      <c r="K1393">
        <f>IFERROR(__xludf.DUMMYFUNCTION("""COMPUTED_VALUE"""),22630.5199999999)</f>
        <v/>
      </c>
    </row>
    <row r="1394">
      <c r="J1394">
        <f>IFERROR(__xludf.DUMMYFUNCTION("""COMPUTED_VALUE"""),"Berlin, Germany and London, United Kingdom")</f>
        <v/>
      </c>
      <c r="K1394">
        <f>IFERROR(__xludf.DUMMYFUNCTION("""COMPUTED_VALUE"""),22623.76)</f>
        <v/>
      </c>
    </row>
    <row r="1395">
      <c r="J1395">
        <f>IFERROR(__xludf.DUMMYFUNCTION("""COMPUTED_VALUE"""),"Beijing &amp; Shanghai, China")</f>
        <v/>
      </c>
      <c r="K1395">
        <f>IFERROR(__xludf.DUMMYFUNCTION("""COMPUTED_VALUE"""),22576.87)</f>
        <v/>
      </c>
    </row>
    <row r="1396">
      <c r="J1396">
        <f>IFERROR(__xludf.DUMMYFUNCTION("""COMPUTED_VALUE"""),"Beijing, China; Dakar, Senegal; Cape Town, South Africa")</f>
        <v/>
      </c>
      <c r="K1396">
        <f>IFERROR(__xludf.DUMMYFUNCTION("""COMPUTED_VALUE"""),22567.2)</f>
        <v/>
      </c>
    </row>
    <row r="1397">
      <c r="J1397">
        <f>IFERROR(__xludf.DUMMYFUNCTION("""COMPUTED_VALUE"""),"Chicago, IL")</f>
        <v/>
      </c>
      <c r="K1397">
        <f>IFERROR(__xludf.DUMMYFUNCTION("""COMPUTED_VALUE"""),22558.2699999999)</f>
        <v/>
      </c>
    </row>
    <row r="1398">
      <c r="J1398">
        <f>IFERROR(__xludf.DUMMYFUNCTION("""COMPUTED_VALUE"""),"London UK, Hague Netherland, Brussels BE, Wiesbaden, GE")</f>
        <v/>
      </c>
      <c r="K1398">
        <f>IFERROR(__xludf.DUMMYFUNCTION("""COMPUTED_VALUE"""),22557.41)</f>
        <v/>
      </c>
    </row>
    <row r="1399">
      <c r="J1399">
        <f>IFERROR(__xludf.DUMMYFUNCTION("""COMPUTED_VALUE"""),"Ottawa - Hong Kong - Ho Chi Minh -Guangzhou - Hanoi - Bangkok Myanmar -Seoul")</f>
        <v/>
      </c>
      <c r="K1399">
        <f>IFERROR(__xludf.DUMMYFUNCTION("""COMPUTED_VALUE"""),22547.16)</f>
        <v/>
      </c>
    </row>
    <row r="1400">
      <c r="J1400">
        <f>IFERROR(__xludf.DUMMYFUNCTION("""COMPUTED_VALUE"""),"Singapore, SG &amp; Seoul, KR")</f>
        <v/>
      </c>
      <c r="K1400">
        <f>IFERROR(__xludf.DUMMYFUNCTION("""COMPUTED_VALUE"""),22544.36)</f>
        <v/>
      </c>
    </row>
    <row r="1401">
      <c r="J1401">
        <f>IFERROR(__xludf.DUMMYFUNCTION("""COMPUTED_VALUE"""),"Valletta, Malta")</f>
        <v/>
      </c>
      <c r="K1401">
        <f>IFERROR(__xludf.DUMMYFUNCTION("""COMPUTED_VALUE"""),22543.7)</f>
        <v/>
      </c>
    </row>
    <row r="1402">
      <c r="J1402">
        <f>IFERROR(__xludf.DUMMYFUNCTION("""COMPUTED_VALUE"""),"Petawawa, Ontario")</f>
        <v/>
      </c>
      <c r="K1402">
        <f>IFERROR(__xludf.DUMMYFUNCTION("""COMPUTED_VALUE"""),22528.69)</f>
        <v/>
      </c>
    </row>
    <row r="1403">
      <c r="J1403">
        <f>IFERROR(__xludf.DUMMYFUNCTION("""COMPUTED_VALUE"""),"Republic of Fiji, Melanesia, Oceania")</f>
        <v/>
      </c>
      <c r="K1403">
        <f>IFERROR(__xludf.DUMMYFUNCTION("""COMPUTED_VALUE"""),22504.8)</f>
        <v/>
      </c>
    </row>
    <row r="1404">
      <c r="J1404">
        <f>IFERROR(__xludf.DUMMYFUNCTION("""COMPUTED_VALUE"""),"South Korea, Japan")</f>
        <v/>
      </c>
      <c r="K1404">
        <f>IFERROR(__xludf.DUMMYFUNCTION("""COMPUTED_VALUE"""),22486.57)</f>
        <v/>
      </c>
    </row>
    <row r="1405">
      <c r="J1405">
        <f>IFERROR(__xludf.DUMMYFUNCTION("""COMPUTED_VALUE"""),"Beijing Davos Doha, China Qatar Switzerland")</f>
        <v/>
      </c>
      <c r="K1405">
        <f>IFERROR(__xludf.DUMMYFUNCTION("""COMPUTED_VALUE"""),22445.27)</f>
        <v/>
      </c>
    </row>
    <row r="1406">
      <c r="J1406">
        <f>IFERROR(__xludf.DUMMYFUNCTION("""COMPUTED_VALUE"""),"Kingdom of Saudi Arabia, Kuwait, United Arab Emirates and Israel.")</f>
        <v/>
      </c>
      <c r="K1406">
        <f>IFERROR(__xludf.DUMMYFUNCTION("""COMPUTED_VALUE"""),22435.35)</f>
        <v/>
      </c>
    </row>
    <row r="1407">
      <c r="J1407">
        <f>IFERROR(__xludf.DUMMYFUNCTION("""COMPUTED_VALUE"""),"Horsham, UK")</f>
        <v/>
      </c>
      <c r="K1407">
        <f>IFERROR(__xludf.DUMMYFUNCTION("""COMPUTED_VALUE"""),22433.4)</f>
        <v/>
      </c>
    </row>
    <row r="1408">
      <c r="J1408">
        <f>IFERROR(__xludf.DUMMYFUNCTION("""COMPUTED_VALUE"""),"Japan, Asia")</f>
        <v/>
      </c>
      <c r="K1408">
        <f>IFERROR(__xludf.DUMMYFUNCTION("""COMPUTED_VALUE"""),22432.16)</f>
        <v/>
      </c>
    </row>
    <row r="1409">
      <c r="J1409">
        <f>IFERROR(__xludf.DUMMYFUNCTION("""COMPUTED_VALUE"""),"Miami, FL")</f>
        <v/>
      </c>
      <c r="K1409">
        <f>IFERROR(__xludf.DUMMYFUNCTION("""COMPUTED_VALUE"""),22423.2)</f>
        <v/>
      </c>
    </row>
    <row r="1410">
      <c r="J1410">
        <f>IFERROR(__xludf.DUMMYFUNCTION("""COMPUTED_VALUE"""),"Toronto ON/Brussels Belgium")</f>
        <v/>
      </c>
      <c r="K1410">
        <f>IFERROR(__xludf.DUMMYFUNCTION("""COMPUTED_VALUE"""),22400.01)</f>
        <v/>
      </c>
    </row>
    <row r="1411">
      <c r="J1411">
        <f>IFERROR(__xludf.DUMMYFUNCTION("""COMPUTED_VALUE"""),"Australia / Perth, Sydney, Canberra")</f>
        <v/>
      </c>
      <c r="K1411">
        <f>IFERROR(__xludf.DUMMYFUNCTION("""COMPUTED_VALUE"""),22384.62)</f>
        <v/>
      </c>
    </row>
    <row r="1412">
      <c r="J1412">
        <f>IFERROR(__xludf.DUMMYFUNCTION("""COMPUTED_VALUE"""),"Happy Valley-Goose Bay, Newfoundland and Labrador, Canada")</f>
        <v/>
      </c>
      <c r="K1412">
        <f>IFERROR(__xludf.DUMMYFUNCTION("""COMPUTED_VALUE"""),22372.03)</f>
        <v/>
      </c>
    </row>
    <row r="1413">
      <c r="J1413">
        <f>IFERROR(__xludf.DUMMYFUNCTION("""COMPUTED_VALUE"""),"London / Glasgow")</f>
        <v/>
      </c>
      <c r="K1413">
        <f>IFERROR(__xludf.DUMMYFUNCTION("""COMPUTED_VALUE"""),22334)</f>
        <v/>
      </c>
    </row>
    <row r="1414">
      <c r="J1414">
        <f>IFERROR(__xludf.DUMMYFUNCTION("""COMPUTED_VALUE"""),"Kazakhstan, Turkey(Ankara, Instabul) Tajikistan (Dushanbe), Singapore")</f>
        <v/>
      </c>
      <c r="K1414">
        <f>IFERROR(__xludf.DUMMYFUNCTION("""COMPUTED_VALUE"""),22333.05)</f>
        <v/>
      </c>
    </row>
    <row r="1415">
      <c r="J1415">
        <f>IFERROR(__xludf.DUMMYFUNCTION("""COMPUTED_VALUE"""),"Doha, Qatar and Tel Aviv, Israel")</f>
        <v/>
      </c>
      <c r="K1415">
        <f>IFERROR(__xludf.DUMMYFUNCTION("""COMPUTED_VALUE"""),22319.93)</f>
        <v/>
      </c>
    </row>
    <row r="1416">
      <c r="J1416">
        <f>IFERROR(__xludf.DUMMYFUNCTION("""COMPUTED_VALUE"""),"Japan, Canada, Hong Kong")</f>
        <v/>
      </c>
      <c r="K1416">
        <f>IFERROR(__xludf.DUMMYFUNCTION("""COMPUTED_VALUE"""),22313.15)</f>
        <v/>
      </c>
    </row>
    <row r="1417">
      <c r="J1417">
        <f>IFERROR(__xludf.DUMMYFUNCTION("""COMPUTED_VALUE"""),"Vancouver, British Columbia, Canada; Seattle, United States; San Francisco, United States")</f>
        <v/>
      </c>
      <c r="K1417">
        <f>IFERROR(__xludf.DUMMYFUNCTION("""COMPUTED_VALUE"""),22301.2)</f>
        <v/>
      </c>
    </row>
    <row r="1418">
      <c r="J1418">
        <f>IFERROR(__xludf.DUMMYFUNCTION("""COMPUTED_VALUE"""),"Montreal - Ireland - Russia - United Arab Emirates - India")</f>
        <v/>
      </c>
      <c r="K1418">
        <f>IFERROR(__xludf.DUMMYFUNCTION("""COMPUTED_VALUE"""),22218.33)</f>
        <v/>
      </c>
    </row>
    <row r="1419">
      <c r="J1419">
        <f>IFERROR(__xludf.DUMMYFUNCTION("""COMPUTED_VALUE"""),"Riyadh, Delhi, Tel Aviv")</f>
        <v/>
      </c>
      <c r="K1419">
        <f>IFERROR(__xludf.DUMMYFUNCTION("""COMPUTED_VALUE"""),22215.8799999999)</f>
        <v/>
      </c>
    </row>
    <row r="1420">
      <c r="J1420">
        <f>IFERROR(__xludf.DUMMYFUNCTION("""COMPUTED_VALUE"""),"Bagotville, Quebec")</f>
        <v/>
      </c>
      <c r="K1420">
        <f>IFERROR(__xludf.DUMMYFUNCTION("""COMPUTED_VALUE"""),22205.52)</f>
        <v/>
      </c>
    </row>
    <row r="1421">
      <c r="J1421">
        <f>IFERROR(__xludf.DUMMYFUNCTION("""COMPUTED_VALUE"""),"Aukland, New Zealand")</f>
        <v/>
      </c>
      <c r="K1421">
        <f>IFERROR(__xludf.DUMMYFUNCTION("""COMPUTED_VALUE"""),22163.84)</f>
        <v/>
      </c>
    </row>
    <row r="1422">
      <c r="J1422">
        <f>IFERROR(__xludf.DUMMYFUNCTION("""COMPUTED_VALUE"""),"Brussels, Belgium and Geilenkirchen, Germany")</f>
        <v/>
      </c>
      <c r="K1422">
        <f>IFERROR(__xludf.DUMMYFUNCTION("""COMPUTED_VALUE"""),22160.18)</f>
        <v/>
      </c>
    </row>
    <row r="1423">
      <c r="J1423">
        <f>IFERROR(__xludf.DUMMYFUNCTION("""COMPUTED_VALUE"""),"Ottawa, Ontario, Canada; Halifax, Nova Scotia, Canada")</f>
        <v/>
      </c>
      <c r="K1423">
        <f>IFERROR(__xludf.DUMMYFUNCTION("""COMPUTED_VALUE"""),22111.19)</f>
        <v/>
      </c>
    </row>
    <row r="1424">
      <c r="J1424">
        <f>IFERROR(__xludf.DUMMYFUNCTION("""COMPUTED_VALUE"""),"London, United Kingdom to Apia, Samoa")</f>
        <v/>
      </c>
      <c r="K1424">
        <f>IFERROR(__xludf.DUMMYFUNCTION("""COMPUTED_VALUE"""),22102.61)</f>
        <v/>
      </c>
    </row>
    <row r="1425">
      <c r="J1425">
        <f>IFERROR(__xludf.DUMMYFUNCTION("""COMPUTED_VALUE"""),"California")</f>
        <v/>
      </c>
      <c r="K1425">
        <f>IFERROR(__xludf.DUMMYFUNCTION("""COMPUTED_VALUE"""),22099.38)</f>
        <v/>
      </c>
    </row>
    <row r="1426">
      <c r="J1426">
        <f>IFERROR(__xludf.DUMMYFUNCTION("""COMPUTED_VALUE"""),"Geneva, Ethiopia and Kenya")</f>
        <v/>
      </c>
      <c r="K1426">
        <f>IFERROR(__xludf.DUMMYFUNCTION("""COMPUTED_VALUE"""),22097.73)</f>
        <v/>
      </c>
    </row>
    <row r="1427">
      <c r="J1427">
        <f>IFERROR(__xludf.DUMMYFUNCTION("""COMPUTED_VALUE"""),"Montreal, Québec")</f>
        <v/>
      </c>
      <c r="K1427">
        <f>IFERROR(__xludf.DUMMYFUNCTION("""COMPUTED_VALUE"""),22092.24)</f>
        <v/>
      </c>
    </row>
    <row r="1428">
      <c r="J1428">
        <f>IFERROR(__xludf.DUMMYFUNCTION("""COMPUTED_VALUE"""),"Calgary, Alberta, Canada; Regina, Saskatchewan, Canada")</f>
        <v/>
      </c>
      <c r="K1428">
        <f>IFERROR(__xludf.DUMMYFUNCTION("""COMPUTED_VALUE"""),22063.76)</f>
        <v/>
      </c>
    </row>
    <row r="1429">
      <c r="J1429">
        <f>IFERROR(__xludf.DUMMYFUNCTION("""COMPUTED_VALUE"""),"Jakarta, Indonesia, Dubai, UAE, Lagos, Nigeria and Accra, Ghana")</f>
        <v/>
      </c>
      <c r="K1429">
        <f>IFERROR(__xludf.DUMMYFUNCTION("""COMPUTED_VALUE"""),22048.86)</f>
        <v/>
      </c>
    </row>
    <row r="1430">
      <c r="J1430">
        <f>IFERROR(__xludf.DUMMYFUNCTION("""COMPUTED_VALUE"""),"Jakarta, India
Paris, France
Brussels, Belgium")</f>
        <v/>
      </c>
      <c r="K1430">
        <f>IFERROR(__xludf.DUMMYFUNCTION("""COMPUTED_VALUE"""),22037)</f>
        <v/>
      </c>
    </row>
    <row r="1431">
      <c r="J1431">
        <f>IFERROR(__xludf.DUMMYFUNCTION("""COMPUTED_VALUE"""),"New York City, USA")</f>
        <v/>
      </c>
      <c r="K1431">
        <f>IFERROR(__xludf.DUMMYFUNCTION("""COMPUTED_VALUE"""),22036.2199999999)</f>
        <v/>
      </c>
    </row>
    <row r="1432">
      <c r="J1432">
        <f>IFERROR(__xludf.DUMMYFUNCTION("""COMPUTED_VALUE"""),"Wellington New Zealand, Canberra Australia")</f>
        <v/>
      </c>
      <c r="K1432">
        <f>IFERROR(__xludf.DUMMYFUNCTION("""COMPUTED_VALUE"""),22023.93)</f>
        <v/>
      </c>
    </row>
    <row r="1433">
      <c r="J1433">
        <f>IFERROR(__xludf.DUMMYFUNCTION("""COMPUTED_VALUE"""),"Norfolk, VA")</f>
        <v/>
      </c>
      <c r="K1433">
        <f>IFERROR(__xludf.DUMMYFUNCTION("""COMPUTED_VALUE"""),22018.85)</f>
        <v/>
      </c>
    </row>
    <row r="1434">
      <c r="J1434">
        <f>IFERROR(__xludf.DUMMYFUNCTION("""COMPUTED_VALUE"""),"Shanghai, Beijing, Busan")</f>
        <v/>
      </c>
      <c r="K1434">
        <f>IFERROR(__xludf.DUMMYFUNCTION("""COMPUTED_VALUE"""),22017.3799999999)</f>
        <v/>
      </c>
    </row>
    <row r="1435">
      <c r="J1435">
        <f>IFERROR(__xludf.DUMMYFUNCTION("""COMPUTED_VALUE"""),"Verona, Italy")</f>
        <v/>
      </c>
      <c r="K1435">
        <f>IFERROR(__xludf.DUMMYFUNCTION("""COMPUTED_VALUE"""),22005.04)</f>
        <v/>
      </c>
    </row>
    <row r="1436">
      <c r="J1436">
        <f>IFERROR(__xludf.DUMMYFUNCTION("""COMPUTED_VALUE"""),"Vancouver, BC and Edmonton, AB")</f>
        <v/>
      </c>
      <c r="K1436">
        <f>IFERROR(__xludf.DUMMYFUNCTION("""COMPUTED_VALUE"""),21977.69)</f>
        <v/>
      </c>
    </row>
    <row r="1437">
      <c r="J1437">
        <f>IFERROR(__xludf.DUMMYFUNCTION("""COMPUTED_VALUE"""),"Pretoria")</f>
        <v/>
      </c>
      <c r="K1437">
        <f>IFERROR(__xludf.DUMMYFUNCTION("""COMPUTED_VALUE"""),21964.42)</f>
        <v/>
      </c>
    </row>
    <row r="1438">
      <c r="J1438">
        <f>IFERROR(__xludf.DUMMYFUNCTION("""COMPUTED_VALUE"""),"Sydney, Newcastle and Canberra, Australia; and, Wellington, New Zealand")</f>
        <v/>
      </c>
      <c r="K1438">
        <f>IFERROR(__xludf.DUMMYFUNCTION("""COMPUTED_VALUE"""),21931.67)</f>
        <v/>
      </c>
    </row>
    <row r="1439">
      <c r="J1439">
        <f>IFERROR(__xludf.DUMMYFUNCTION("""COMPUTED_VALUE"""),"Kandahar and Dubai")</f>
        <v/>
      </c>
      <c r="K1439">
        <f>IFERROR(__xludf.DUMMYFUNCTION("""COMPUTED_VALUE"""),21927.83)</f>
        <v/>
      </c>
    </row>
    <row r="1440">
      <c r="J1440">
        <f>IFERROR(__xludf.DUMMYFUNCTION("""COMPUTED_VALUE"""),"Siem Reap, Cambodia and Vancouver")</f>
        <v/>
      </c>
      <c r="K1440">
        <f>IFERROR(__xludf.DUMMYFUNCTION("""COMPUTED_VALUE"""),21914.93)</f>
        <v/>
      </c>
    </row>
    <row r="1441">
      <c r="J1441">
        <f>IFERROR(__xludf.DUMMYFUNCTION("""COMPUTED_VALUE"""),"Colorado Springs, Colorado")</f>
        <v/>
      </c>
      <c r="K1441">
        <f>IFERROR(__xludf.DUMMYFUNCTION("""COMPUTED_VALUE"""),21905.27)</f>
        <v/>
      </c>
    </row>
    <row r="1442">
      <c r="J1442">
        <f>IFERROR(__xludf.DUMMYFUNCTION("""COMPUTED_VALUE"""),"Victoria,British Columbia,Canada")</f>
        <v/>
      </c>
      <c r="K1442">
        <f>IFERROR(__xludf.DUMMYFUNCTION("""COMPUTED_VALUE"""),21899.34)</f>
        <v/>
      </c>
    </row>
    <row r="1443">
      <c r="J1443">
        <f>IFERROR(__xludf.DUMMYFUNCTION("""COMPUTED_VALUE"""),"Brunei")</f>
        <v/>
      </c>
      <c r="K1443">
        <f>IFERROR(__xludf.DUMMYFUNCTION("""COMPUTED_VALUE"""),21880.76)</f>
        <v/>
      </c>
    </row>
    <row r="1444">
      <c r="J1444">
        <f>IFERROR(__xludf.DUMMYFUNCTION("""COMPUTED_VALUE"""),"Toronto, Ontario, Canada; Vancouver, British Columbia, Canada; Calgary, Alberta, Canada")</f>
        <v/>
      </c>
      <c r="K1444">
        <f>IFERROR(__xludf.DUMMYFUNCTION("""COMPUTED_VALUE"""),21878.32)</f>
        <v/>
      </c>
    </row>
    <row r="1445">
      <c r="J1445">
        <f>IFERROR(__xludf.DUMMYFUNCTION("""COMPUTED_VALUE"""),"Kigali, Rwanda; Munich, Germany; Madrid, Spain")</f>
        <v/>
      </c>
      <c r="K1445">
        <f>IFERROR(__xludf.DUMMYFUNCTION("""COMPUTED_VALUE"""),21868.98)</f>
        <v/>
      </c>
    </row>
    <row r="1446">
      <c r="J1446">
        <f>IFERROR(__xludf.DUMMYFUNCTION("""COMPUTED_VALUE"""),"Sudbury, Ontario")</f>
        <v/>
      </c>
      <c r="K1446">
        <f>IFERROR(__xludf.DUMMYFUNCTION("""COMPUTED_VALUE"""),21867.41)</f>
        <v/>
      </c>
    </row>
    <row r="1447">
      <c r="J1447">
        <f>IFERROR(__xludf.DUMMYFUNCTION("""COMPUTED_VALUE"""),"Philadelphia, United States")</f>
        <v/>
      </c>
      <c r="K1447">
        <f>IFERROR(__xludf.DUMMYFUNCTION("""COMPUTED_VALUE"""),21829.44)</f>
        <v/>
      </c>
    </row>
    <row r="1448">
      <c r="J1448">
        <f>IFERROR(__xludf.DUMMYFUNCTION("""COMPUTED_VALUE"""),"Iqualuit")</f>
        <v/>
      </c>
      <c r="K1448">
        <f>IFERROR(__xludf.DUMMYFUNCTION("""COMPUTED_VALUE"""),21824.9899999999)</f>
        <v/>
      </c>
    </row>
    <row r="1449">
      <c r="J1449">
        <f>IFERROR(__xludf.DUMMYFUNCTION("""COMPUTED_VALUE"""),"United Arab Emirates, Qatar, Ethiopia, United Kingdom")</f>
        <v/>
      </c>
      <c r="K1449">
        <f>IFERROR(__xludf.DUMMYFUNCTION("""COMPUTED_VALUE"""),21819.42)</f>
        <v/>
      </c>
    </row>
    <row r="1450">
      <c r="J1450">
        <f>IFERROR(__xludf.DUMMYFUNCTION("""COMPUTED_VALUE"""),"Yellowknife, NWT, Canada")</f>
        <v/>
      </c>
      <c r="K1450">
        <f>IFERROR(__xludf.DUMMYFUNCTION("""COMPUTED_VALUE"""),21815.46)</f>
        <v/>
      </c>
    </row>
    <row r="1451">
      <c r="J1451">
        <f>IFERROR(__xludf.DUMMYFUNCTION("""COMPUTED_VALUE"""),"Tokyo, Davos")</f>
        <v/>
      </c>
      <c r="K1451">
        <f>IFERROR(__xludf.DUMMYFUNCTION("""COMPUTED_VALUE"""),21814.85)</f>
        <v/>
      </c>
    </row>
    <row r="1452">
      <c r="J1452">
        <f>IFERROR(__xludf.DUMMYFUNCTION("""COMPUTED_VALUE"""),"London, United Kingdom; Okinawa, Japan")</f>
        <v/>
      </c>
      <c r="K1452">
        <f>IFERROR(__xludf.DUMMYFUNCTION("""COMPUTED_VALUE"""),21810.71)</f>
        <v/>
      </c>
    </row>
    <row r="1453">
      <c r="J1453">
        <f>IFERROR(__xludf.DUMMYFUNCTION("""COMPUTED_VALUE"""),"Belleville, Ontario, Canada")</f>
        <v/>
      </c>
      <c r="K1453">
        <f>IFERROR(__xludf.DUMMYFUNCTION("""COMPUTED_VALUE"""),21805.29)</f>
        <v/>
      </c>
    </row>
    <row r="1454">
      <c r="J1454">
        <f>IFERROR(__xludf.DUMMYFUNCTION("""COMPUTED_VALUE"""),"Montréal, Quebec, Canada; Québec, Quebec, Canada")</f>
        <v/>
      </c>
      <c r="K1454">
        <f>IFERROR(__xludf.DUMMYFUNCTION("""COMPUTED_VALUE"""),21801.75)</f>
        <v/>
      </c>
    </row>
    <row r="1455">
      <c r="J1455">
        <f>IFERROR(__xludf.DUMMYFUNCTION("""COMPUTED_VALUE"""),"Manaus, Brazil")</f>
        <v/>
      </c>
      <c r="K1455">
        <f>IFERROR(__xludf.DUMMYFUNCTION("""COMPUTED_VALUE"""),21782.94)</f>
        <v/>
      </c>
    </row>
    <row r="1456">
      <c r="J1456">
        <f>IFERROR(__xludf.DUMMYFUNCTION("""COMPUTED_VALUE"""),"Edmonton, Alberta, Canada; Toronto, Ontario, Canada")</f>
        <v/>
      </c>
      <c r="K1456">
        <f>IFERROR(__xludf.DUMMYFUNCTION("""COMPUTED_VALUE"""),21779.3)</f>
        <v/>
      </c>
    </row>
    <row r="1457">
      <c r="J1457">
        <f>IFERROR(__xludf.DUMMYFUNCTION("""COMPUTED_VALUE"""),"St-John's, Newfoundland, Canada")</f>
        <v/>
      </c>
      <c r="K1457">
        <f>IFERROR(__xludf.DUMMYFUNCTION("""COMPUTED_VALUE"""),21775.61)</f>
        <v/>
      </c>
    </row>
    <row r="1458">
      <c r="J1458">
        <f>IFERROR(__xludf.DUMMYFUNCTION("""COMPUTED_VALUE"""),"Chile &amp; France")</f>
        <v/>
      </c>
      <c r="K1458">
        <f>IFERROR(__xludf.DUMMYFUNCTION("""COMPUTED_VALUE"""),21735.04)</f>
        <v/>
      </c>
    </row>
    <row r="1459">
      <c r="J1459">
        <f>IFERROR(__xludf.DUMMYFUNCTION("""COMPUTED_VALUE"""),"Vancouver (British Columbia) Canada; Victoria (British Columbia) Canada; Whitehorse (Yukon) Canada; Calgary (Alberta) Canada; Edmonton (Alberta) Canada; Saskatoon (Saskatchewan) Canada")</f>
        <v/>
      </c>
      <c r="K1459">
        <f>IFERROR(__xludf.DUMMYFUNCTION("""COMPUTED_VALUE"""),21728.68)</f>
        <v/>
      </c>
    </row>
    <row r="1460">
      <c r="J1460">
        <f>IFERROR(__xludf.DUMMYFUNCTION("""COMPUTED_VALUE"""),"Seattle, Washington")</f>
        <v/>
      </c>
      <c r="K1460">
        <f>IFERROR(__xludf.DUMMYFUNCTION("""COMPUTED_VALUE"""),21705.72)</f>
        <v/>
      </c>
    </row>
    <row r="1461">
      <c r="J1461">
        <f>IFERROR(__xludf.DUMMYFUNCTION("""COMPUTED_VALUE"""),"Jordan, Israel, West Bank")</f>
        <v/>
      </c>
      <c r="K1461">
        <f>IFERROR(__xludf.DUMMYFUNCTION("""COMPUTED_VALUE"""),21685.84)</f>
        <v/>
      </c>
    </row>
    <row r="1462">
      <c r="J1462">
        <f>IFERROR(__xludf.DUMMYFUNCTION("""COMPUTED_VALUE"""),"Manama and London and Paris, Bahrain and United Kingdom and France")</f>
        <v/>
      </c>
      <c r="K1462">
        <f>IFERROR(__xludf.DUMMYFUNCTION("""COMPUTED_VALUE"""),21672.26)</f>
        <v/>
      </c>
    </row>
    <row r="1463">
      <c r="J1463">
        <f>IFERROR(__xludf.DUMMYFUNCTION("""COMPUTED_VALUE"""),"Juba, South Soudan
Addis Ababa, Ethiopia
Nairobi, Kenya
Berlin, Germany")</f>
        <v/>
      </c>
      <c r="K1463">
        <f>IFERROR(__xludf.DUMMYFUNCTION("""COMPUTED_VALUE"""),21669.74)</f>
        <v/>
      </c>
    </row>
    <row r="1464">
      <c r="J1464">
        <f>IFERROR(__xludf.DUMMYFUNCTION("""COMPUTED_VALUE"""),"Reykjavik, London, Brussels, Basel and Manama")</f>
        <v/>
      </c>
      <c r="K1464">
        <f>IFERROR(__xludf.DUMMYFUNCTION("""COMPUTED_VALUE"""),21659.23)</f>
        <v/>
      </c>
    </row>
    <row r="1465">
      <c r="J1465">
        <f>IFERROR(__xludf.DUMMYFUNCTION("""COMPUTED_VALUE"""),"Amman, Jordan; Tel Aviv, Israel; Ramallah, Palestine; Cairo, Egypt; Nairobi, Kenya")</f>
        <v/>
      </c>
      <c r="K1465">
        <f>IFERROR(__xludf.DUMMYFUNCTION("""COMPUTED_VALUE"""),21623.08)</f>
        <v/>
      </c>
    </row>
    <row r="1466">
      <c r="J1466">
        <f>IFERROR(__xludf.DUMMYFUNCTION("""COMPUTED_VALUE"""),"Malmo, Sweden")</f>
        <v/>
      </c>
      <c r="K1466">
        <f>IFERROR(__xludf.DUMMYFUNCTION("""COMPUTED_VALUE"""),21620.18)</f>
        <v/>
      </c>
    </row>
    <row r="1467">
      <c r="J1467">
        <f>IFERROR(__xludf.DUMMYFUNCTION("""COMPUTED_VALUE"""),"Vancouver, British Columbia / Toronto, Ontario, Canada")</f>
        <v/>
      </c>
      <c r="K1467">
        <f>IFERROR(__xludf.DUMMYFUNCTION("""COMPUTED_VALUE"""),21617.79)</f>
        <v/>
      </c>
    </row>
    <row r="1468">
      <c r="J1468">
        <f>IFERROR(__xludf.DUMMYFUNCTION("""COMPUTED_VALUE"""),"Potsdam, Germany")</f>
        <v/>
      </c>
      <c r="K1468">
        <f>IFERROR(__xludf.DUMMYFUNCTION("""COMPUTED_VALUE"""),21610.83)</f>
        <v/>
      </c>
    </row>
    <row r="1469">
      <c r="J1469">
        <f>IFERROR(__xludf.DUMMYFUNCTION("""COMPUTED_VALUE"""),"Fiji, Vanuatu, Samoa.")</f>
        <v/>
      </c>
      <c r="K1469">
        <f>IFERROR(__xludf.DUMMYFUNCTION("""COMPUTED_VALUE"""),21598.33)</f>
        <v/>
      </c>
    </row>
    <row r="1470">
      <c r="J1470">
        <f>IFERROR(__xludf.DUMMYFUNCTION("""COMPUTED_VALUE"""),"Lucerne, Switzerland")</f>
        <v/>
      </c>
      <c r="K1470">
        <f>IFERROR(__xludf.DUMMYFUNCTION("""COMPUTED_VALUE"""),21591.89)</f>
        <v/>
      </c>
    </row>
    <row r="1471">
      <c r="J1471">
        <f>IFERROR(__xludf.DUMMYFUNCTION("""COMPUTED_VALUE"""),"Latvia, Ukraine and Poland")</f>
        <v/>
      </c>
      <c r="K1471">
        <f>IFERROR(__xludf.DUMMYFUNCTION("""COMPUTED_VALUE"""),21580.46)</f>
        <v/>
      </c>
    </row>
    <row r="1472">
      <c r="J1472">
        <f>IFERROR(__xludf.DUMMYFUNCTION("""COMPUTED_VALUE"""),"Halifax (Nova Scotia) Canada ; Brussels, Belgium")</f>
        <v/>
      </c>
      <c r="K1472">
        <f>IFERROR(__xludf.DUMMYFUNCTION("""COMPUTED_VALUE"""),21573.29)</f>
        <v/>
      </c>
    </row>
    <row r="1473">
      <c r="J1473">
        <f>IFERROR(__xludf.DUMMYFUNCTION("""COMPUTED_VALUE"""),"London, United Kingdom / Geneva, Switzerland / Singapore, Singapore / Beijing, China")</f>
        <v/>
      </c>
      <c r="K1473">
        <f>IFERROR(__xludf.DUMMYFUNCTION("""COMPUTED_VALUE"""),21572.84)</f>
        <v/>
      </c>
    </row>
    <row r="1474">
      <c r="J1474">
        <f>IFERROR(__xludf.DUMMYFUNCTION("""COMPUTED_VALUE"""),"Toronto, Ottawa, Vancouver and Calgary")</f>
        <v/>
      </c>
      <c r="K1474">
        <f>IFERROR(__xludf.DUMMYFUNCTION("""COMPUTED_VALUE"""),21534.45)</f>
        <v/>
      </c>
    </row>
    <row r="1475">
      <c r="J1475">
        <f>IFERROR(__xludf.DUMMYFUNCTION("""COMPUTED_VALUE"""),"Sochi")</f>
        <v/>
      </c>
      <c r="K1475">
        <f>IFERROR(__xludf.DUMMYFUNCTION("""COMPUTED_VALUE"""),21522.79)</f>
        <v/>
      </c>
    </row>
    <row r="1476">
      <c r="J1476">
        <f>IFERROR(__xludf.DUMMYFUNCTION("""COMPUTED_VALUE"""),"Switzerland, Geneva
UAE, Dubai")</f>
        <v/>
      </c>
      <c r="K1476">
        <f>IFERROR(__xludf.DUMMYFUNCTION("""COMPUTED_VALUE"""),21477.86)</f>
        <v/>
      </c>
    </row>
    <row r="1477">
      <c r="J1477">
        <f>IFERROR(__xludf.DUMMYFUNCTION("""COMPUTED_VALUE"""),"Lecce, Italy")</f>
        <v/>
      </c>
      <c r="K1477">
        <f>IFERROR(__xludf.DUMMYFUNCTION("""COMPUTED_VALUE"""),21456.2699999999)</f>
        <v/>
      </c>
    </row>
    <row r="1478">
      <c r="J1478">
        <f>IFERROR(__xludf.DUMMYFUNCTION("""COMPUTED_VALUE"""),"Toronto, Ontario, Canada / Vancouver, British Columbia, Canada")</f>
        <v/>
      </c>
      <c r="K1478">
        <f>IFERROR(__xludf.DUMMYFUNCTION("""COMPUTED_VALUE"""),21455.14)</f>
        <v/>
      </c>
    </row>
    <row r="1479">
      <c r="J1479">
        <f>IFERROR(__xludf.DUMMYFUNCTION("""COMPUTED_VALUE"""),"Mumbai (Ex Bombay), India - Delhi, India")</f>
        <v/>
      </c>
      <c r="K1479">
        <f>IFERROR(__xludf.DUMMYFUNCTION("""COMPUTED_VALUE"""),21453.51)</f>
        <v/>
      </c>
    </row>
    <row r="1480">
      <c r="J1480">
        <f>IFERROR(__xludf.DUMMYFUNCTION("""COMPUTED_VALUE"""),"Brazil and Ecuador")</f>
        <v/>
      </c>
      <c r="K1480">
        <f>IFERROR(__xludf.DUMMYFUNCTION("""COMPUTED_VALUE"""),21452.77)</f>
        <v/>
      </c>
    </row>
    <row r="1481">
      <c r="J1481">
        <f>IFERROR(__xludf.DUMMYFUNCTION("""COMPUTED_VALUE"""),"Vancouver, Ottawa")</f>
        <v/>
      </c>
      <c r="K1481">
        <f>IFERROR(__xludf.DUMMYFUNCTION("""COMPUTED_VALUE"""),21436.46)</f>
        <v/>
      </c>
    </row>
    <row r="1482">
      <c r="J1482">
        <f>IFERROR(__xludf.DUMMYFUNCTION("""COMPUTED_VALUE"""),"Manila, Philippines
Kuala Lumpur, Malaysia
Hanoi, Vietnam")</f>
        <v/>
      </c>
      <c r="K1482">
        <f>IFERROR(__xludf.DUMMYFUNCTION("""COMPUTED_VALUE"""),21423.63)</f>
        <v/>
      </c>
    </row>
    <row r="1483">
      <c r="J1483">
        <f>IFERROR(__xludf.DUMMYFUNCTION("""COMPUTED_VALUE"""),"Calgary and Edmonton, Alberta")</f>
        <v/>
      </c>
      <c r="K1483">
        <f>IFERROR(__xludf.DUMMYFUNCTION("""COMPUTED_VALUE"""),21416.82)</f>
        <v/>
      </c>
    </row>
    <row r="1484">
      <c r="J1484">
        <f>IFERROR(__xludf.DUMMYFUNCTION("""COMPUTED_VALUE"""),"Montebello")</f>
        <v/>
      </c>
      <c r="K1484">
        <f>IFERROR(__xludf.DUMMYFUNCTION("""COMPUTED_VALUE"""),21413.1399999999)</f>
        <v/>
      </c>
    </row>
    <row r="1485">
      <c r="J1485">
        <f>IFERROR(__xludf.DUMMYFUNCTION("""COMPUTED_VALUE"""),"UAE/Jordan/Iraq/Vancouver BC")</f>
        <v/>
      </c>
      <c r="K1485">
        <f>IFERROR(__xludf.DUMMYFUNCTION("""COMPUTED_VALUE"""),21405.32)</f>
        <v/>
      </c>
    </row>
    <row r="1486">
      <c r="J1486">
        <f>IFERROR(__xludf.DUMMYFUNCTION("""COMPUTED_VALUE"""),"Edmonton, Alberta / Calgary, Alberta, Canada")</f>
        <v/>
      </c>
      <c r="K1486">
        <f>IFERROR(__xludf.DUMMYFUNCTION("""COMPUTED_VALUE"""),21401.6)</f>
        <v/>
      </c>
    </row>
    <row r="1487">
      <c r="J1487">
        <f>IFERROR(__xludf.DUMMYFUNCTION("""COMPUTED_VALUE"""),"Washington, United States of America")</f>
        <v/>
      </c>
      <c r="K1487">
        <f>IFERROR(__xludf.DUMMYFUNCTION("""COMPUTED_VALUE"""),21372.8799999999)</f>
        <v/>
      </c>
    </row>
    <row r="1488">
      <c r="J1488">
        <f>IFERROR(__xludf.DUMMYFUNCTION("""COMPUTED_VALUE"""),"Thailand, Singapore and the Philippines")</f>
        <v/>
      </c>
      <c r="K1488">
        <f>IFERROR(__xludf.DUMMYFUNCTION("""COMPUTED_VALUE"""),21357.65)</f>
        <v/>
      </c>
    </row>
    <row r="1489">
      <c r="J1489">
        <f>IFERROR(__xludf.DUMMYFUNCTION("""COMPUTED_VALUE"""),"New York City, Brussels, Barcelona, Ankara ,Rabat")</f>
        <v/>
      </c>
      <c r="K1489">
        <f>IFERROR(__xludf.DUMMYFUNCTION("""COMPUTED_VALUE"""),21337.09)</f>
        <v/>
      </c>
    </row>
    <row r="1490">
      <c r="J1490">
        <f>IFERROR(__xludf.DUMMYFUNCTION("""COMPUTED_VALUE"""),"New York, New York, United States of America")</f>
        <v/>
      </c>
      <c r="K1490">
        <f>IFERROR(__xludf.DUMMYFUNCTION("""COMPUTED_VALUE"""),21328.71)</f>
        <v/>
      </c>
    </row>
    <row r="1491">
      <c r="J1491">
        <f>IFERROR(__xludf.DUMMYFUNCTION("""COMPUTED_VALUE"""),"Paris, Chad, Burkina Faso")</f>
        <v/>
      </c>
      <c r="K1491">
        <f>IFERROR(__xludf.DUMMYFUNCTION("""COMPUTED_VALUE"""),21327.42)</f>
        <v/>
      </c>
    </row>
    <row r="1492">
      <c r="J1492">
        <f>IFERROR(__xludf.DUMMYFUNCTION("""COMPUTED_VALUE"""),"Niger, Senegal, Estonia, Latvia, Montreal")</f>
        <v/>
      </c>
      <c r="K1492">
        <f>IFERROR(__xludf.DUMMYFUNCTION("""COMPUTED_VALUE"""),21313.11)</f>
        <v/>
      </c>
    </row>
    <row r="1493">
      <c r="J1493">
        <f>IFERROR(__xludf.DUMMYFUNCTION("""COMPUTED_VALUE"""),"Winnipeg, Manitoba; Regina, Saskatchewan")</f>
        <v/>
      </c>
      <c r="K1493">
        <f>IFERROR(__xludf.DUMMYFUNCTION("""COMPUTED_VALUE"""),21305.96)</f>
        <v/>
      </c>
    </row>
    <row r="1494">
      <c r="J1494">
        <f>IFERROR(__xludf.DUMMYFUNCTION("""COMPUTED_VALUE"""),"Honolulu, HI")</f>
        <v/>
      </c>
      <c r="K1494">
        <f>IFERROR(__xludf.DUMMYFUNCTION("""COMPUTED_VALUE"""),21304.1299999999)</f>
        <v/>
      </c>
    </row>
    <row r="1495">
      <c r="J1495">
        <f>IFERROR(__xludf.DUMMYFUNCTION("""COMPUTED_VALUE"""),"Senegal and Nigeria")</f>
        <v/>
      </c>
      <c r="K1495">
        <f>IFERROR(__xludf.DUMMYFUNCTION("""COMPUTED_VALUE"""),21281.11)</f>
        <v/>
      </c>
    </row>
    <row r="1496">
      <c r="J1496">
        <f>IFERROR(__xludf.DUMMYFUNCTION("""COMPUTED_VALUE"""),"Delhi and Mumbai, India")</f>
        <v/>
      </c>
      <c r="K1496">
        <f>IFERROR(__xludf.DUMMYFUNCTION("""COMPUTED_VALUE"""),21268.9)</f>
        <v/>
      </c>
    </row>
    <row r="1497">
      <c r="J1497">
        <f>IFERROR(__xludf.DUMMYFUNCTION("""COMPUTED_VALUE"""),"Pittsburgh, Pennsylvania, United States")</f>
        <v/>
      </c>
      <c r="K1497">
        <f>IFERROR(__xludf.DUMMYFUNCTION("""COMPUTED_VALUE"""),21268.42)</f>
        <v/>
      </c>
    </row>
    <row r="1498">
      <c r="J1498">
        <f>IFERROR(__xludf.DUMMYFUNCTION("""COMPUTED_VALUE"""),"Tunis, Tunisia; Jeddah, Saudi Arabia; and Cairo, Egypt")</f>
        <v/>
      </c>
      <c r="K1498">
        <f>IFERROR(__xludf.DUMMYFUNCTION("""COMPUTED_VALUE"""),21259.17)</f>
        <v/>
      </c>
    </row>
    <row r="1499">
      <c r="J1499">
        <f>IFERROR(__xludf.DUMMYFUNCTION("""COMPUTED_VALUE"""),"Jersey, United Kingdom")</f>
        <v/>
      </c>
      <c r="K1499">
        <f>IFERROR(__xludf.DUMMYFUNCTION("""COMPUTED_VALUE"""),21254.34)</f>
        <v/>
      </c>
    </row>
    <row r="1500">
      <c r="J1500">
        <f>IFERROR(__xludf.DUMMYFUNCTION("""COMPUTED_VALUE"""),"Abidjan (Côte d'Ivoire)")</f>
        <v/>
      </c>
      <c r="K1500">
        <f>IFERROR(__xludf.DUMMYFUNCTION("""COMPUTED_VALUE"""),21242.21)</f>
        <v/>
      </c>
    </row>
    <row r="1501">
      <c r="J1501">
        <f>IFERROR(__xludf.DUMMYFUNCTION("""COMPUTED_VALUE"""),"London (England) United Kingdom;
Berlin, Germany")</f>
        <v/>
      </c>
      <c r="K1501">
        <f>IFERROR(__xludf.DUMMYFUNCTION("""COMPUTED_VALUE"""),21239.4)</f>
        <v/>
      </c>
    </row>
    <row r="1502">
      <c r="J1502">
        <f>IFERROR(__xludf.DUMMYFUNCTION("""COMPUTED_VALUE"""),"Vancouver, British Columbia and Sydney, Australia")</f>
        <v/>
      </c>
      <c r="K1502">
        <f>IFERROR(__xludf.DUMMYFUNCTION("""COMPUTED_VALUE"""),21238.58)</f>
        <v/>
      </c>
    </row>
    <row r="1503">
      <c r="J1503">
        <f>IFERROR(__xludf.DUMMYFUNCTION("""COMPUTED_VALUE"""),"Macao, China")</f>
        <v/>
      </c>
      <c r="K1503">
        <f>IFERROR(__xludf.DUMMYFUNCTION("""COMPUTED_VALUE"""),21230.86)</f>
        <v/>
      </c>
    </row>
    <row r="1504">
      <c r="J1504">
        <f>IFERROR(__xludf.DUMMYFUNCTION("""COMPUTED_VALUE"""),"Da Nang, Manila, Vancouver")</f>
        <v/>
      </c>
      <c r="K1504">
        <f>IFERROR(__xludf.DUMMYFUNCTION("""COMPUTED_VALUE"""),21223.9899999999)</f>
        <v/>
      </c>
    </row>
    <row r="1505">
      <c r="J1505">
        <f>IFERROR(__xludf.DUMMYFUNCTION("""COMPUTED_VALUE"""),"Kenya, Africa")</f>
        <v/>
      </c>
      <c r="K1505">
        <f>IFERROR(__xludf.DUMMYFUNCTION("""COMPUTED_VALUE"""),21208.25)</f>
        <v/>
      </c>
    </row>
    <row r="1506">
      <c r="J1506">
        <f>IFERROR(__xludf.DUMMYFUNCTION("""COMPUTED_VALUE"""),"Serbia, Montana")</f>
        <v/>
      </c>
      <c r="K1506">
        <f>IFERROR(__xludf.DUMMYFUNCTION("""COMPUTED_VALUE"""),21207.47)</f>
        <v/>
      </c>
    </row>
    <row r="1507">
      <c r="J1507">
        <f>IFERROR(__xludf.DUMMYFUNCTION("""COMPUTED_VALUE"""),"London, Geneva")</f>
        <v/>
      </c>
      <c r="K1507">
        <f>IFERROR(__xludf.DUMMYFUNCTION("""COMPUTED_VALUE"""),21193.85)</f>
        <v/>
      </c>
    </row>
    <row r="1508">
      <c r="J1508">
        <f>IFERROR(__xludf.DUMMYFUNCTION("""COMPUTED_VALUE"""),"Abroad")</f>
        <v/>
      </c>
      <c r="K1508">
        <f>IFERROR(__xludf.DUMMYFUNCTION("""COMPUTED_VALUE"""),21191.58)</f>
        <v/>
      </c>
    </row>
    <row r="1509">
      <c r="J1509">
        <f>IFERROR(__xludf.DUMMYFUNCTION("""COMPUTED_VALUE"""),"Vancouver, BC - Victoria, BC")</f>
        <v/>
      </c>
      <c r="K1509">
        <f>IFERROR(__xludf.DUMMYFUNCTION("""COMPUTED_VALUE"""),21183.24)</f>
        <v/>
      </c>
    </row>
    <row r="1510">
      <c r="J1510">
        <f>IFERROR(__xludf.DUMMYFUNCTION("""COMPUTED_VALUE"""),"Brussels, Belgium
Dakar, Senegal
Bamako, Mali
Paris, France")</f>
        <v/>
      </c>
      <c r="K1510">
        <f>IFERROR(__xludf.DUMMYFUNCTION("""COMPUTED_VALUE"""),21172.49)</f>
        <v/>
      </c>
    </row>
    <row r="1511">
      <c r="J1511">
        <f>IFERROR(__xludf.DUMMYFUNCTION("""COMPUTED_VALUE"""),"Brussels, Bel")</f>
        <v/>
      </c>
      <c r="K1511">
        <f>IFERROR(__xludf.DUMMYFUNCTION("""COMPUTED_VALUE"""),21164.1)</f>
        <v/>
      </c>
    </row>
    <row r="1512">
      <c r="J1512">
        <f>IFERROR(__xludf.DUMMYFUNCTION("""COMPUTED_VALUE"""),"Saguenay, QC")</f>
        <v/>
      </c>
      <c r="K1512">
        <f>IFERROR(__xludf.DUMMYFUNCTION("""COMPUTED_VALUE"""),21161.5299999999)</f>
        <v/>
      </c>
    </row>
    <row r="1513">
      <c r="J1513">
        <f>IFERROR(__xludf.DUMMYFUNCTION("""COMPUTED_VALUE"""),"Chicago, Illinois")</f>
        <v/>
      </c>
      <c r="K1513">
        <f>IFERROR(__xludf.DUMMYFUNCTION("""COMPUTED_VALUE"""),21140.1)</f>
        <v/>
      </c>
    </row>
    <row r="1514">
      <c r="J1514">
        <f>IFERROR(__xludf.DUMMYFUNCTION("""COMPUTED_VALUE"""),"Tel-Aviv, Israel")</f>
        <v/>
      </c>
      <c r="K1514">
        <f>IFERROR(__xludf.DUMMYFUNCTION("""COMPUTED_VALUE"""),21113.51)</f>
        <v/>
      </c>
    </row>
    <row r="1515">
      <c r="J1515">
        <f>IFERROR(__xludf.DUMMYFUNCTION("""COMPUTED_VALUE"""),"Vancouver, Kuala Lumpur")</f>
        <v/>
      </c>
      <c r="K1515">
        <f>IFERROR(__xludf.DUMMYFUNCTION("""COMPUTED_VALUE"""),21100.83)</f>
        <v/>
      </c>
    </row>
    <row r="1516">
      <c r="J1516">
        <f>IFERROR(__xludf.DUMMYFUNCTION("""COMPUTED_VALUE"""),"Cebu, Philippines")</f>
        <v/>
      </c>
      <c r="K1516">
        <f>IFERROR(__xludf.DUMMYFUNCTION("""COMPUTED_VALUE"""),21096.14)</f>
        <v/>
      </c>
    </row>
    <row r="1517">
      <c r="J1517">
        <f>IFERROR(__xludf.DUMMYFUNCTION("""COMPUTED_VALUE"""),"New South Wales, AU /  Auckland, NZ")</f>
        <v/>
      </c>
      <c r="K1517">
        <f>IFERROR(__xludf.DUMMYFUNCTION("""COMPUTED_VALUE"""),21087.71)</f>
        <v/>
      </c>
    </row>
    <row r="1518">
      <c r="J1518">
        <f>IFERROR(__xludf.DUMMYFUNCTION("""COMPUTED_VALUE"""),"Wellington, New Zealand; Seoul, South Korea")</f>
        <v/>
      </c>
      <c r="K1518">
        <f>IFERROR(__xludf.DUMMYFUNCTION("""COMPUTED_VALUE"""),21083.42)</f>
        <v/>
      </c>
    </row>
    <row r="1519">
      <c r="J1519">
        <f>IFERROR(__xludf.DUMMYFUNCTION("""COMPUTED_VALUE"""),"Williams Lake, British Columbia, Canada")</f>
        <v/>
      </c>
      <c r="K1519">
        <f>IFERROR(__xludf.DUMMYFUNCTION("""COMPUTED_VALUE"""),21070.53)</f>
        <v/>
      </c>
    </row>
    <row r="1520">
      <c r="J1520">
        <f>IFERROR(__xludf.DUMMYFUNCTION("""COMPUTED_VALUE"""),"Kangiqtiniq, Nunavut, Canada")</f>
        <v/>
      </c>
      <c r="K1520">
        <f>IFERROR(__xludf.DUMMYFUNCTION("""COMPUTED_VALUE"""),21054.01)</f>
        <v/>
      </c>
    </row>
    <row r="1521">
      <c r="J1521">
        <f>IFERROR(__xludf.DUMMYFUNCTION("""COMPUTED_VALUE"""),"Abidjan")</f>
        <v/>
      </c>
      <c r="K1521">
        <f>IFERROR(__xludf.DUMMYFUNCTION("""COMPUTED_VALUE"""),21049.1)</f>
        <v/>
      </c>
    </row>
    <row r="1522">
      <c r="J1522">
        <f>IFERROR(__xludf.DUMMYFUNCTION("""COMPUTED_VALUE"""),"Dallas, TX")</f>
        <v/>
      </c>
      <c r="K1522">
        <f>IFERROR(__xludf.DUMMYFUNCTION("""COMPUTED_VALUE"""),21036.69)</f>
        <v/>
      </c>
    </row>
    <row r="1523">
      <c r="J1523">
        <f>IFERROR(__xludf.DUMMYFUNCTION("""COMPUTED_VALUE"""),"Vancouver Kitimat and Kelowna, British Columbia, Canada")</f>
        <v/>
      </c>
      <c r="K1523">
        <f>IFERROR(__xludf.DUMMYFUNCTION("""COMPUTED_VALUE"""),21026.87)</f>
        <v/>
      </c>
    </row>
    <row r="1524">
      <c r="J1524">
        <f>IFERROR(__xludf.DUMMYFUNCTION("""COMPUTED_VALUE"""),"Vancouver/Victoria")</f>
        <v/>
      </c>
      <c r="K1524">
        <f>IFERROR(__xludf.DUMMYFUNCTION("""COMPUTED_VALUE"""),21024.07)</f>
        <v/>
      </c>
    </row>
    <row r="1525">
      <c r="J1525">
        <f>IFERROR(__xludf.DUMMYFUNCTION("""COMPUTED_VALUE"""),"Glasgow, United Kingdom; Edinburgh, United Kingdom")</f>
        <v/>
      </c>
      <c r="K1525">
        <f>IFERROR(__xludf.DUMMYFUNCTION("""COMPUTED_VALUE"""),21009.25)</f>
        <v/>
      </c>
    </row>
    <row r="1526">
      <c r="J1526">
        <f>IFERROR(__xludf.DUMMYFUNCTION("""COMPUTED_VALUE"""),"MMBAI-DELHI-TOKYO-FUOKA-OSAKA")</f>
        <v/>
      </c>
      <c r="K1526">
        <f>IFERROR(__xludf.DUMMYFUNCTION("""COMPUTED_VALUE"""),21006.31)</f>
        <v/>
      </c>
    </row>
    <row r="1527">
      <c r="J1527">
        <f>IFERROR(__xludf.DUMMYFUNCTION("""COMPUTED_VALUE"""),"Victoria, British Colombia, Canada")</f>
        <v/>
      </c>
      <c r="K1527">
        <f>IFERROR(__xludf.DUMMYFUNCTION("""COMPUTED_VALUE"""),20986.21)</f>
        <v/>
      </c>
    </row>
    <row r="1528">
      <c r="J1528">
        <f>IFERROR(__xludf.DUMMYFUNCTION("""COMPUTED_VALUE"""),"Rome, Italy; Trapani, Italy; Benghazi, Libya")</f>
        <v/>
      </c>
      <c r="K1528">
        <f>IFERROR(__xludf.DUMMYFUNCTION("""COMPUTED_VALUE"""),20982.49)</f>
        <v/>
      </c>
    </row>
    <row r="1529">
      <c r="J1529">
        <f>IFERROR(__xludf.DUMMYFUNCTION("""COMPUTED_VALUE"""),"Bali, Indonesia &amp; Toronto, Ontario, Canada")</f>
        <v/>
      </c>
      <c r="K1529">
        <f>IFERROR(__xludf.DUMMYFUNCTION("""COMPUTED_VALUE"""),20970.72)</f>
        <v/>
      </c>
    </row>
    <row r="1530">
      <c r="J1530">
        <f>IFERROR(__xludf.DUMMYFUNCTION("""COMPUTED_VALUE"""),"Amman, Johannesburg, Capetown and Beijing")</f>
        <v/>
      </c>
      <c r="K1530">
        <f>IFERROR(__xludf.DUMMYFUNCTION("""COMPUTED_VALUE"""),20966.69)</f>
        <v/>
      </c>
    </row>
    <row r="1531">
      <c r="J1531">
        <f>IFERROR(__xludf.DUMMYFUNCTION("""COMPUTED_VALUE"""),"Munich, Brazil and New York")</f>
        <v/>
      </c>
      <c r="K1531">
        <f>IFERROR(__xludf.DUMMYFUNCTION("""COMPUTED_VALUE"""),20930.6)</f>
        <v/>
      </c>
    </row>
    <row r="1532">
      <c r="J1532">
        <f>IFERROR(__xludf.DUMMYFUNCTION("""COMPUTED_VALUE"""),"Monreal (3-7Nov), Dakar (7-11), Nairobi (11-15), Dubai (15-17), Bangalore (18-19), New Delhi (19-21)")</f>
        <v/>
      </c>
      <c r="K1532">
        <f>IFERROR(__xludf.DUMMYFUNCTION("""COMPUTED_VALUE"""),20924.42)</f>
        <v/>
      </c>
    </row>
    <row r="1533">
      <c r="J1533">
        <f>IFERROR(__xludf.DUMMYFUNCTION("""COMPUTED_VALUE"""),"Shanghai, Poland, Ukraine and London, UK")</f>
        <v/>
      </c>
      <c r="K1533">
        <f>IFERROR(__xludf.DUMMYFUNCTION("""COMPUTED_VALUE"""),20917.5599999999)</f>
        <v/>
      </c>
    </row>
    <row r="1534">
      <c r="J1534">
        <f>IFERROR(__xludf.DUMMYFUNCTION("""COMPUTED_VALUE"""),"Vancouver (British-Columbia) Canada
Hanoi, Vietnam
Tokyo, Japan
Seoul, South Korea")</f>
        <v/>
      </c>
      <c r="K1534">
        <f>IFERROR(__xludf.DUMMYFUNCTION("""COMPUTED_VALUE"""),20912.76)</f>
        <v/>
      </c>
    </row>
    <row r="1535">
      <c r="J1535">
        <f>IFERROR(__xludf.DUMMYFUNCTION("""COMPUTED_VALUE"""),"Zurich, Switzerland; London, United Kingdom")</f>
        <v/>
      </c>
      <c r="K1535">
        <f>IFERROR(__xludf.DUMMYFUNCTION("""COMPUTED_VALUE"""),20910.63)</f>
        <v/>
      </c>
    </row>
    <row r="1536">
      <c r="J1536">
        <f>IFERROR(__xludf.DUMMYFUNCTION("""COMPUTED_VALUE"""),"Tromsø, Norway")</f>
        <v/>
      </c>
      <c r="K1536">
        <f>IFERROR(__xludf.DUMMYFUNCTION("""COMPUTED_VALUE"""),20903.5599999999)</f>
        <v/>
      </c>
    </row>
    <row r="1537">
      <c r="J1537">
        <f>IFERROR(__xludf.DUMMYFUNCTION("""COMPUTED_VALUE"""),"Sydney, Australia &amp; Brisbane, Australia")</f>
        <v/>
      </c>
      <c r="K1537">
        <f>IFERROR(__xludf.DUMMYFUNCTION("""COMPUTED_VALUE"""),20902.31)</f>
        <v/>
      </c>
    </row>
    <row r="1538">
      <c r="J1538">
        <f>IFERROR(__xludf.DUMMYFUNCTION("""COMPUTED_VALUE"""),"Ottawa, Montreal and Toronto")</f>
        <v/>
      </c>
      <c r="K1538">
        <f>IFERROR(__xludf.DUMMYFUNCTION("""COMPUTED_VALUE"""),20900.15)</f>
        <v/>
      </c>
    </row>
    <row r="1539">
      <c r="J1539">
        <f>IFERROR(__xludf.DUMMYFUNCTION("""COMPUTED_VALUE"""),"Abuja, Nigeria; Nairobi, Kenya; Entebbe, Uganda; Gulu, Uganda; Africa via London, England &amp; Frankfurt,Germany")</f>
        <v/>
      </c>
      <c r="K1539">
        <f>IFERROR(__xludf.DUMMYFUNCTION("""COMPUTED_VALUE"""),20891.7)</f>
        <v/>
      </c>
    </row>
    <row r="1540">
      <c r="J1540">
        <f>IFERROR(__xludf.DUMMYFUNCTION("""COMPUTED_VALUE"""),"Vienna, Austria &amp; Paris, France")</f>
        <v/>
      </c>
      <c r="K1540">
        <f>IFERROR(__xludf.DUMMYFUNCTION("""COMPUTED_VALUE"""),20879.82)</f>
        <v/>
      </c>
    </row>
    <row r="1541">
      <c r="J1541">
        <f>IFERROR(__xludf.DUMMYFUNCTION("""COMPUTED_VALUE"""),"Gyeongju, Korea")</f>
        <v/>
      </c>
      <c r="K1541">
        <f>IFERROR(__xludf.DUMMYFUNCTION("""COMPUTED_VALUE"""),20877.2399999999)</f>
        <v/>
      </c>
    </row>
    <row r="1542">
      <c r="J1542">
        <f>IFERROR(__xludf.DUMMYFUNCTION("""COMPUTED_VALUE"""),"Sri Lanka and India")</f>
        <v/>
      </c>
      <c r="K1542">
        <f>IFERROR(__xludf.DUMMYFUNCTION("""COMPUTED_VALUE"""),20871.36)</f>
        <v/>
      </c>
    </row>
    <row r="1543">
      <c r="J1543">
        <f>IFERROR(__xludf.DUMMYFUNCTION("""COMPUTED_VALUE"""),"Côte d'Ivoire and South Africa")</f>
        <v/>
      </c>
      <c r="K1543">
        <f>IFERROR(__xludf.DUMMYFUNCTION("""COMPUTED_VALUE"""),20869.89)</f>
        <v/>
      </c>
    </row>
    <row r="1544">
      <c r="J1544">
        <f>IFERROR(__xludf.DUMMYFUNCTION("""COMPUTED_VALUE"""),"Germany: Frankfurt/Wiesbaden . Japan: Tokyo/Hiroshima/Naha")</f>
        <v/>
      </c>
      <c r="K1544">
        <f>IFERROR(__xludf.DUMMYFUNCTION("""COMPUTED_VALUE"""),20864.74)</f>
        <v/>
      </c>
    </row>
    <row r="1545">
      <c r="J1545">
        <f>IFERROR(__xludf.DUMMYFUNCTION("""COMPUTED_VALUE"""),"Orlando, United States")</f>
        <v/>
      </c>
      <c r="K1545">
        <f>IFERROR(__xludf.DUMMYFUNCTION("""COMPUTED_VALUE"""),20838.53)</f>
        <v/>
      </c>
    </row>
    <row r="1546">
      <c r="J1546">
        <f>IFERROR(__xludf.DUMMYFUNCTION("""COMPUTED_VALUE"""),"Niagara-on-the-Lake, ON")</f>
        <v/>
      </c>
      <c r="K1546">
        <f>IFERROR(__xludf.DUMMYFUNCTION("""COMPUTED_VALUE"""),20834.1499999999)</f>
        <v/>
      </c>
    </row>
    <row r="1547">
      <c r="J1547">
        <f>IFERROR(__xludf.DUMMYFUNCTION("""COMPUTED_VALUE"""),"Hanoi, Vietnam
Tokyo, Japan
Seoul, Korea")</f>
        <v/>
      </c>
      <c r="K1547">
        <f>IFERROR(__xludf.DUMMYFUNCTION("""COMPUTED_VALUE"""),20828.18)</f>
        <v/>
      </c>
    </row>
    <row r="1548">
      <c r="J1548">
        <f>IFERROR(__xludf.DUMMYFUNCTION("""COMPUTED_VALUE"""),"Dresden, Germany; London, United Kingdom")</f>
        <v/>
      </c>
      <c r="K1548">
        <f>IFERROR(__xludf.DUMMYFUNCTION("""COMPUTED_VALUE"""),20821.21)</f>
        <v/>
      </c>
    </row>
    <row r="1549">
      <c r="J1549">
        <f>IFERROR(__xludf.DUMMYFUNCTION("""COMPUTED_VALUE"""),"Belgium &amp; Christchurch New Zealand")</f>
        <v/>
      </c>
      <c r="K1549">
        <f>IFERROR(__xludf.DUMMYFUNCTION("""COMPUTED_VALUE"""),20807.05)</f>
        <v/>
      </c>
    </row>
    <row r="1550">
      <c r="J1550">
        <f>IFERROR(__xludf.DUMMYFUNCTION("""COMPUTED_VALUE"""),"Thailand, Singapore")</f>
        <v/>
      </c>
      <c r="K1550">
        <f>IFERROR(__xludf.DUMMYFUNCTION("""COMPUTED_VALUE"""),20802.4)</f>
        <v/>
      </c>
    </row>
    <row r="1551">
      <c r="J1551">
        <f>IFERROR(__xludf.DUMMYFUNCTION("""COMPUTED_VALUE"""),"Churchill, Manitoba")</f>
        <v/>
      </c>
      <c r="K1551">
        <f>IFERROR(__xludf.DUMMYFUNCTION("""COMPUTED_VALUE"""),20799.2)</f>
        <v/>
      </c>
    </row>
    <row r="1552">
      <c r="J1552">
        <f>IFERROR(__xludf.DUMMYFUNCTION("""COMPUTED_VALUE"""),"Vancouver and Nanaimo, British Columbia")</f>
        <v/>
      </c>
      <c r="K1552">
        <f>IFERROR(__xludf.DUMMYFUNCTION("""COMPUTED_VALUE"""),20795.6499999999)</f>
        <v/>
      </c>
    </row>
    <row r="1553">
      <c r="J1553">
        <f>IFERROR(__xludf.DUMMYFUNCTION("""COMPUTED_VALUE"""),"Singapore &amp; Malaysia")</f>
        <v/>
      </c>
      <c r="K1553">
        <f>IFERROR(__xludf.DUMMYFUNCTION("""COMPUTED_VALUE"""),20794.18)</f>
        <v/>
      </c>
    </row>
    <row r="1554">
      <c r="J1554">
        <f>IFERROR(__xludf.DUMMYFUNCTION("""COMPUTED_VALUE"""),"Copenhagen, Denmark; Istanbul, Turkey; Geneva, Switzerland")</f>
        <v/>
      </c>
      <c r="K1554">
        <f>IFERROR(__xludf.DUMMYFUNCTION("""COMPUTED_VALUE"""),20791.07)</f>
        <v/>
      </c>
    </row>
    <row r="1555">
      <c r="J1555">
        <f>IFERROR(__xludf.DUMMYFUNCTION("""COMPUTED_VALUE"""),"Winnipeg and Pinawa, Manitoba")</f>
        <v/>
      </c>
      <c r="K1555">
        <f>IFERROR(__xludf.DUMMYFUNCTION("""COMPUTED_VALUE"""),20783.42)</f>
        <v/>
      </c>
    </row>
    <row r="1556">
      <c r="J1556">
        <f>IFERROR(__xludf.DUMMYFUNCTION("""COMPUTED_VALUE"""),"Manama London and Paris, Bahrain United Kingdom France")</f>
        <v/>
      </c>
      <c r="K1556">
        <f>IFERROR(__xludf.DUMMYFUNCTION("""COMPUTED_VALUE"""),20773.01)</f>
        <v/>
      </c>
    </row>
    <row r="1557">
      <c r="J1557">
        <f>IFERROR(__xludf.DUMMYFUNCTION("""COMPUTED_VALUE"""),"Mainz, Germany and Riga, Latvia")</f>
        <v/>
      </c>
      <c r="K1557">
        <f>IFERROR(__xludf.DUMMYFUNCTION("""COMPUTED_VALUE"""),20759.8)</f>
        <v/>
      </c>
    </row>
    <row r="1558">
      <c r="J1558">
        <f>IFERROR(__xludf.DUMMYFUNCTION("""COMPUTED_VALUE"""),"Sydney, NSW, Australia")</f>
        <v/>
      </c>
      <c r="K1558">
        <f>IFERROR(__xludf.DUMMYFUNCTION("""COMPUTED_VALUE"""),20747.94)</f>
        <v/>
      </c>
    </row>
    <row r="1559">
      <c r="J1559">
        <f>IFERROR(__xludf.DUMMYFUNCTION("""COMPUTED_VALUE"""),"Beijing, Shanghai")</f>
        <v/>
      </c>
      <c r="K1559">
        <f>IFERROR(__xludf.DUMMYFUNCTION("""COMPUTED_VALUE"""),20738.69)</f>
        <v/>
      </c>
    </row>
    <row r="1560">
      <c r="J1560">
        <f>IFERROR(__xludf.DUMMYFUNCTION("""COMPUTED_VALUE"""),"Orlando, FL")</f>
        <v/>
      </c>
      <c r="K1560">
        <f>IFERROR(__xludf.DUMMYFUNCTION("""COMPUTED_VALUE"""),20732.83)</f>
        <v/>
      </c>
    </row>
    <row r="1561">
      <c r="J1561">
        <f>IFERROR(__xludf.DUMMYFUNCTION("""COMPUTED_VALUE"""),"Anchorage, Alaska, United States")</f>
        <v/>
      </c>
      <c r="K1561">
        <f>IFERROR(__xludf.DUMMYFUNCTION("""COMPUTED_VALUE"""),20730.48)</f>
        <v/>
      </c>
    </row>
    <row r="1562">
      <c r="J1562">
        <f>IFERROR(__xludf.DUMMYFUNCTION("""COMPUTED_VALUE"""),"Deauville, France")</f>
        <v/>
      </c>
      <c r="K1562">
        <f>IFERROR(__xludf.DUMMYFUNCTION("""COMPUTED_VALUE"""),20714.48)</f>
        <v/>
      </c>
    </row>
    <row r="1563">
      <c r="J1563">
        <f>IFERROR(__xludf.DUMMYFUNCTION("""COMPUTED_VALUE"""),"The Hague, South Holland, The Netherlands")</f>
        <v/>
      </c>
      <c r="K1563">
        <f>IFERROR(__xludf.DUMMYFUNCTION("""COMPUTED_VALUE"""),20710.86)</f>
        <v/>
      </c>
    </row>
    <row r="1564">
      <c r="J1564">
        <f>IFERROR(__xludf.DUMMYFUNCTION("""COMPUTED_VALUE"""),"London, Uzbekistan and Kazakhstan")</f>
        <v/>
      </c>
      <c r="K1564">
        <f>IFERROR(__xludf.DUMMYFUNCTION("""COMPUTED_VALUE"""),20702.28)</f>
        <v/>
      </c>
    </row>
    <row r="1565">
      <c r="J1565">
        <f>IFERROR(__xludf.DUMMYFUNCTION("""COMPUTED_VALUE"""),"Houston, TX")</f>
        <v/>
      </c>
      <c r="K1565">
        <f>IFERROR(__xludf.DUMMYFUNCTION("""COMPUTED_VALUE"""),20694.03)</f>
        <v/>
      </c>
    </row>
    <row r="1566">
      <c r="J1566">
        <f>IFERROR(__xludf.DUMMYFUNCTION("""COMPUTED_VALUE"""),"Vancouver, British Columbia, Canada
Tofino, British Columbia, Canada
Courtenay, British Columbia, Canada")</f>
        <v/>
      </c>
      <c r="K1566">
        <f>IFERROR(__xludf.DUMMYFUNCTION("""COMPUTED_VALUE"""),20676.3999999999)</f>
        <v/>
      </c>
    </row>
    <row r="1567">
      <c r="J1567">
        <f>IFERROR(__xludf.DUMMYFUNCTION("""COMPUTED_VALUE"""),"Moldova Bosnia and Herzegovina, Moldova Bosnia and Herzegovina")</f>
        <v/>
      </c>
      <c r="K1567">
        <f>IFERROR(__xludf.DUMMYFUNCTION("""COMPUTED_VALUE"""),20667.46)</f>
        <v/>
      </c>
    </row>
    <row r="1568">
      <c r="J1568">
        <f>IFERROR(__xludf.DUMMYFUNCTION("""COMPUTED_VALUE"""),"St. John's, NFLD")</f>
        <v/>
      </c>
      <c r="K1568">
        <f>IFERROR(__xludf.DUMMYFUNCTION("""COMPUTED_VALUE"""),20667.39)</f>
        <v/>
      </c>
    </row>
    <row r="1569">
      <c r="J1569">
        <f>IFERROR(__xludf.DUMMYFUNCTION("""COMPUTED_VALUE"""),"Viet Nam, Sri Lanka, Mumbai, &amp; Pakistan")</f>
        <v/>
      </c>
      <c r="K1569">
        <f>IFERROR(__xludf.DUMMYFUNCTION("""COMPUTED_VALUE"""),20651.35)</f>
        <v/>
      </c>
    </row>
    <row r="1570">
      <c r="J1570">
        <f>IFERROR(__xludf.DUMMYFUNCTION("""COMPUTED_VALUE"""),"Singapore 
New Delhi (Delhi) India")</f>
        <v/>
      </c>
      <c r="K1570">
        <f>IFERROR(__xludf.DUMMYFUNCTION("""COMPUTED_VALUE"""),20640.85)</f>
        <v/>
      </c>
    </row>
    <row r="1571">
      <c r="J1571">
        <f>IFERROR(__xludf.DUMMYFUNCTION("""COMPUTED_VALUE"""),"London, England  Geneva, Switzerland / Rome, Italy")</f>
        <v/>
      </c>
      <c r="K1571">
        <f>IFERROR(__xludf.DUMMYFUNCTION("""COMPUTED_VALUE"""),20630.2)</f>
        <v/>
      </c>
    </row>
    <row r="1572">
      <c r="J1572">
        <f>IFERROR(__xludf.DUMMYFUNCTION("""COMPUTED_VALUE"""),"Beijing, China Washington, D.C., United-States")</f>
        <v/>
      </c>
      <c r="K1572">
        <f>IFERROR(__xludf.DUMMYFUNCTION("""COMPUTED_VALUE"""),20626.49)</f>
        <v/>
      </c>
    </row>
    <row r="1573">
      <c r="J1573">
        <f>IFERROR(__xludf.DUMMYFUNCTION("""COMPUTED_VALUE"""),"Kanata, Ontario, Canada")</f>
        <v/>
      </c>
      <c r="K1573">
        <f>IFERROR(__xludf.DUMMYFUNCTION("""COMPUTED_VALUE"""),20622.05)</f>
        <v/>
      </c>
    </row>
    <row r="1574">
      <c r="J1574">
        <f>IFERROR(__xludf.DUMMYFUNCTION("""COMPUTED_VALUE"""),"Toronto, Ontario, Canada; Montreal, Québec, Canada")</f>
        <v/>
      </c>
      <c r="K1574">
        <f>IFERROR(__xludf.DUMMYFUNCTION("""COMPUTED_VALUE"""),20620.62)</f>
        <v/>
      </c>
    </row>
    <row r="1575">
      <c r="J1575">
        <f>IFERROR(__xludf.DUMMYFUNCTION("""COMPUTED_VALUE"""),"Ulaanbaatar, Mongolia")</f>
        <v/>
      </c>
      <c r="K1575">
        <f>IFERROR(__xludf.DUMMYFUNCTION("""COMPUTED_VALUE"""),20616.21)</f>
        <v/>
      </c>
    </row>
    <row r="1576">
      <c r="J1576">
        <f>IFERROR(__xludf.DUMMYFUNCTION("""COMPUTED_VALUE"""),"Tokyo (Japan), Manila/Makati (Philippines)")</f>
        <v/>
      </c>
      <c r="K1576">
        <f>IFERROR(__xludf.DUMMYFUNCTION("""COMPUTED_VALUE"""),20599.78)</f>
        <v/>
      </c>
    </row>
    <row r="1577">
      <c r="J1577">
        <f>IFERROR(__xludf.DUMMYFUNCTION("""COMPUTED_VALUE"""),"Doha and Berlin")</f>
        <v/>
      </c>
      <c r="K1577">
        <f>IFERROR(__xludf.DUMMYFUNCTION("""COMPUTED_VALUE"""),20595.53)</f>
        <v/>
      </c>
    </row>
    <row r="1578">
      <c r="J1578">
        <f>IFERROR(__xludf.DUMMYFUNCTION("""COMPUTED_VALUE"""),"Bagotville")</f>
        <v/>
      </c>
      <c r="K1578">
        <f>IFERROR(__xludf.DUMMYFUNCTION("""COMPUTED_VALUE"""),20584.3399999999)</f>
        <v/>
      </c>
    </row>
    <row r="1579">
      <c r="J1579">
        <f>IFERROR(__xludf.DUMMYFUNCTION("""COMPUTED_VALUE"""),"Canberra and Sydney, Australia")</f>
        <v/>
      </c>
      <c r="K1579">
        <f>IFERROR(__xludf.DUMMYFUNCTION("""COMPUTED_VALUE"""),20572.79)</f>
        <v/>
      </c>
    </row>
    <row r="1580">
      <c r="J1580">
        <f>IFERROR(__xludf.DUMMYFUNCTION("""COMPUTED_VALUE"""),"Calgary, AB/Honolulu, HI / Beijing, China / Tokyo, Japan")</f>
        <v/>
      </c>
      <c r="K1580">
        <f>IFERROR(__xludf.DUMMYFUNCTION("""COMPUTED_VALUE"""),20559.59)</f>
        <v/>
      </c>
    </row>
    <row r="1581">
      <c r="J1581">
        <f>IFERROR(__xludf.DUMMYFUNCTION("""COMPUTED_VALUE"""),"Santiago, Chile; Vina del mar, Chile; Mexico City, Mexico")</f>
        <v/>
      </c>
      <c r="K1581">
        <f>IFERROR(__xludf.DUMMYFUNCTION("""COMPUTED_VALUE"""),20557.42)</f>
        <v/>
      </c>
    </row>
    <row r="1582">
      <c r="J1582">
        <f>IFERROR(__xludf.DUMMYFUNCTION("""COMPUTED_VALUE"""),"Tokyo (Japan)")</f>
        <v/>
      </c>
      <c r="K1582">
        <f>IFERROR(__xludf.DUMMYFUNCTION("""COMPUTED_VALUE"""),20552.04)</f>
        <v/>
      </c>
    </row>
    <row r="1583">
      <c r="J1583">
        <f>IFERROR(__xludf.DUMMYFUNCTION("""COMPUTED_VALUE"""),"Brussels, Belgium / Paris, France")</f>
        <v/>
      </c>
      <c r="K1583">
        <f>IFERROR(__xludf.DUMMYFUNCTION("""COMPUTED_VALUE"""),20547.87)</f>
        <v/>
      </c>
    </row>
    <row r="1584">
      <c r="J1584">
        <f>IFERROR(__xludf.DUMMYFUNCTION("""COMPUTED_VALUE"""),"Quebec, Canada")</f>
        <v/>
      </c>
      <c r="K1584">
        <f>IFERROR(__xludf.DUMMYFUNCTION("""COMPUTED_VALUE"""),20525.41)</f>
        <v/>
      </c>
    </row>
    <row r="1585">
      <c r="J1585">
        <f>IFERROR(__xludf.DUMMYFUNCTION("""COMPUTED_VALUE"""),"Toronto,
Ontario, 
Canada")</f>
        <v/>
      </c>
      <c r="K1585">
        <f>IFERROR(__xludf.DUMMYFUNCTION("""COMPUTED_VALUE"""),20510.49)</f>
        <v/>
      </c>
    </row>
    <row r="1586">
      <c r="J1586">
        <f>IFERROR(__xludf.DUMMYFUNCTION("""COMPUTED_VALUE"""),"Tokyo, Japan, Hong Kong, Hong Kong &amp; Taipei, Taïwan")</f>
        <v/>
      </c>
      <c r="K1586">
        <f>IFERROR(__xludf.DUMMYFUNCTION("""COMPUTED_VALUE"""),20503.26)</f>
        <v/>
      </c>
    </row>
    <row r="1587">
      <c r="J1587">
        <f>IFERROR(__xludf.DUMMYFUNCTION("""COMPUTED_VALUE"""),"Beijing, China
Port Moresby, Papua New Guinea")</f>
        <v/>
      </c>
      <c r="K1587">
        <f>IFERROR(__xludf.DUMMYFUNCTION("""COMPUTED_VALUE"""),20489.21)</f>
        <v/>
      </c>
    </row>
    <row r="1588">
      <c r="J1588">
        <f>IFERROR(__xludf.DUMMYFUNCTION("""COMPUTED_VALUE"""),"South Africa, Tanzania, Nigeria, Mali")</f>
        <v/>
      </c>
      <c r="K1588">
        <f>IFERROR(__xludf.DUMMYFUNCTION("""COMPUTED_VALUE"""),20487.02)</f>
        <v/>
      </c>
    </row>
    <row r="1589">
      <c r="J1589">
        <f>IFERROR(__xludf.DUMMYFUNCTION("""COMPUTED_VALUE"""),"Republic of Nigeria, Austria and Paris")</f>
        <v/>
      </c>
      <c r="K1589">
        <f>IFERROR(__xludf.DUMMYFUNCTION("""COMPUTED_VALUE"""),20478.32)</f>
        <v/>
      </c>
    </row>
    <row r="1590">
      <c r="J1590">
        <f>IFERROR(__xludf.DUMMYFUNCTION("""COMPUTED_VALUE"""),"Canberra, Aus")</f>
        <v/>
      </c>
      <c r="K1590">
        <f>IFERROR(__xludf.DUMMYFUNCTION("""COMPUTED_VALUE"""),20468.11)</f>
        <v/>
      </c>
    </row>
    <row r="1591">
      <c r="J1591">
        <f>IFERROR(__xludf.DUMMYFUNCTION("""COMPUTED_VALUE"""),"Canberra, Australia
Wellingtion, New Zealand")</f>
        <v/>
      </c>
      <c r="K1591">
        <f>IFERROR(__xludf.DUMMYFUNCTION("""COMPUTED_VALUE"""),20457.75)</f>
        <v/>
      </c>
    </row>
    <row r="1592">
      <c r="J1592">
        <f>IFERROR(__xludf.DUMMYFUNCTION("""COMPUTED_VALUE"""),"Edmonton. Alberta, Canada")</f>
        <v/>
      </c>
      <c r="K1592">
        <f>IFERROR(__xludf.DUMMYFUNCTION("""COMPUTED_VALUE"""),20448.97)</f>
        <v/>
      </c>
    </row>
    <row r="1593">
      <c r="J1593">
        <f>IFERROR(__xludf.DUMMYFUNCTION("""COMPUTED_VALUE"""),"Sydney, Canberra (Australie), Wellington and Auckland (New Zealand)")</f>
        <v/>
      </c>
      <c r="K1593">
        <f>IFERROR(__xludf.DUMMYFUNCTION("""COMPUTED_VALUE"""),20448.94)</f>
        <v/>
      </c>
    </row>
    <row r="1594">
      <c r="J1594">
        <f>IFERROR(__xludf.DUMMYFUNCTION("""COMPUTED_VALUE"""),"Eureka, Nunavut, Canada")</f>
        <v/>
      </c>
      <c r="K1594">
        <f>IFERROR(__xludf.DUMMYFUNCTION("""COMPUTED_VALUE"""),20444.1)</f>
        <v/>
      </c>
    </row>
    <row r="1595">
      <c r="J1595">
        <f>IFERROR(__xludf.DUMMYFUNCTION("""COMPUTED_VALUE"""),"Canberra, AUS &amp; Wellington, NZ")</f>
        <v/>
      </c>
      <c r="K1595">
        <f>IFERROR(__xludf.DUMMYFUNCTION("""COMPUTED_VALUE"""),20439.61)</f>
        <v/>
      </c>
    </row>
    <row r="1596">
      <c r="J1596">
        <f>IFERROR(__xludf.DUMMYFUNCTION("""COMPUTED_VALUE"""),"Davos, Switzerland; Tokyo, Japan")</f>
        <v/>
      </c>
      <c r="K1596">
        <f>IFERROR(__xludf.DUMMYFUNCTION("""COMPUTED_VALUE"""),20437.76)</f>
        <v/>
      </c>
    </row>
    <row r="1597">
      <c r="J1597">
        <f>IFERROR(__xludf.DUMMYFUNCTION("""COMPUTED_VALUE"""),"Istanbul, Türkiye")</f>
        <v/>
      </c>
      <c r="K1597">
        <f>IFERROR(__xludf.DUMMYFUNCTION("""COMPUTED_VALUE"""),20436.67)</f>
        <v/>
      </c>
    </row>
    <row r="1598">
      <c r="J1598">
        <f>IFERROR(__xludf.DUMMYFUNCTION("""COMPUTED_VALUE"""),"Canberra, AustraliaWellingtion, New Zealand")</f>
        <v/>
      </c>
      <c r="K1598">
        <f>IFERROR(__xludf.DUMMYFUNCTION("""COMPUTED_VALUE"""),20388.76)</f>
        <v/>
      </c>
    </row>
    <row r="1599">
      <c r="J1599">
        <f>IFERROR(__xludf.DUMMYFUNCTION("""COMPUTED_VALUE"""),"Beijing, China / Hong Kong, China / Manila, Philippines")</f>
        <v/>
      </c>
      <c r="K1599">
        <f>IFERROR(__xludf.DUMMYFUNCTION("""COMPUTED_VALUE"""),20385.51)</f>
        <v/>
      </c>
    </row>
    <row r="1600">
      <c r="J1600">
        <f>IFERROR(__xludf.DUMMYFUNCTION("""COMPUTED_VALUE"""),"Waterton, Alberta")</f>
        <v/>
      </c>
      <c r="K1600">
        <f>IFERROR(__xludf.DUMMYFUNCTION("""COMPUTED_VALUE"""),20362.8599999999)</f>
        <v/>
      </c>
    </row>
    <row r="1601">
      <c r="J1601">
        <f>IFERROR(__xludf.DUMMYFUNCTION("""COMPUTED_VALUE"""),"Paris, France and Brussels, Belgium")</f>
        <v/>
      </c>
      <c r="K1601">
        <f>IFERROR(__xludf.DUMMYFUNCTION("""COMPUTED_VALUE"""),20347.52)</f>
        <v/>
      </c>
    </row>
    <row r="1602">
      <c r="J1602">
        <f>IFERROR(__xludf.DUMMYFUNCTION("""COMPUTED_VALUE"""),"Rarotonga, Seoul, Mumbai and New Delhi")</f>
        <v/>
      </c>
      <c r="K1602">
        <f>IFERROR(__xludf.DUMMYFUNCTION("""COMPUTED_VALUE"""),20338.64)</f>
        <v/>
      </c>
    </row>
    <row r="1603">
      <c r="J1603">
        <f>IFERROR(__xludf.DUMMYFUNCTION("""COMPUTED_VALUE"""),"Berlin, Germany / Singapore, Malaysia / Brisbane, Melbourne, Canberra and Sydney, Australia")</f>
        <v/>
      </c>
      <c r="K1603">
        <f>IFERROR(__xludf.DUMMYFUNCTION("""COMPUTED_VALUE"""),20327.9)</f>
        <v/>
      </c>
    </row>
    <row r="1604">
      <c r="J1604">
        <f>IFERROR(__xludf.DUMMYFUNCTION("""COMPUTED_VALUE"""),"Saskatoon, Saskatchewan, Canada; Edmonton, Alberta, Canada")</f>
        <v/>
      </c>
      <c r="K1604">
        <f>IFERROR(__xludf.DUMMYFUNCTION("""COMPUTED_VALUE"""),20326.87)</f>
        <v/>
      </c>
    </row>
    <row r="1605">
      <c r="J1605">
        <f>IFERROR(__xludf.DUMMYFUNCTION("""COMPUTED_VALUE"""),"Abuja, Nigeria, Lagos, Nigeria, Accra, Ghana")</f>
        <v/>
      </c>
      <c r="K1605">
        <f>IFERROR(__xludf.DUMMYFUNCTION("""COMPUTED_VALUE"""),20312.84)</f>
        <v/>
      </c>
    </row>
    <row r="1606">
      <c r="J1606">
        <f>IFERROR(__xludf.DUMMYFUNCTION("""COMPUTED_VALUE"""),"Melbourne, AUS &amp; Auckland-Wellington, New Zealand")</f>
        <v/>
      </c>
      <c r="K1606">
        <f>IFERROR(__xludf.DUMMYFUNCTION("""COMPUTED_VALUE"""),20304.21)</f>
        <v/>
      </c>
    </row>
    <row r="1607">
      <c r="J1607">
        <f>IFERROR(__xludf.DUMMYFUNCTION("""COMPUTED_VALUE"""),"Berlin &amp; Brussels")</f>
        <v/>
      </c>
      <c r="K1607">
        <f>IFERROR(__xludf.DUMMYFUNCTION("""COMPUTED_VALUE"""),20295.01)</f>
        <v/>
      </c>
    </row>
    <row r="1608">
      <c r="J1608">
        <f>IFERROR(__xludf.DUMMYFUNCTION("""COMPUTED_VALUE"""),"Tokyo, Japan; Singapore, Singapore; Jakarta, Indonesia; Manila, Philippines")</f>
        <v/>
      </c>
      <c r="K1608">
        <f>IFERROR(__xludf.DUMMYFUNCTION("""COMPUTED_VALUE"""),20288.56)</f>
        <v/>
      </c>
    </row>
    <row r="1609">
      <c r="J1609">
        <f>IFERROR(__xludf.DUMMYFUNCTION("""COMPUTED_VALUE"""),"Toronto; Ottawa")</f>
        <v/>
      </c>
      <c r="K1609">
        <f>IFERROR(__xludf.DUMMYFUNCTION("""COMPUTED_VALUE"""),20279.26)</f>
        <v/>
      </c>
    </row>
    <row r="1610">
      <c r="J1610">
        <f>IFERROR(__xludf.DUMMYFUNCTION("""COMPUTED_VALUE"""),"Deer Lake, NL, Thunder Bay, ON, Whitehorse, YT")</f>
        <v/>
      </c>
      <c r="K1610">
        <f>IFERROR(__xludf.DUMMYFUNCTION("""COMPUTED_VALUE"""),20278.18)</f>
        <v/>
      </c>
    </row>
    <row r="1611">
      <c r="J1611">
        <f>IFERROR(__xludf.DUMMYFUNCTION("""COMPUTED_VALUE"""),"Canberra, Austraila / Auckland, New Zealand")</f>
        <v/>
      </c>
      <c r="K1611">
        <f>IFERROR(__xludf.DUMMYFUNCTION("""COMPUTED_VALUE"""),20277.7)</f>
        <v/>
      </c>
    </row>
    <row r="1612">
      <c r="J1612">
        <f>IFERROR(__xludf.DUMMYFUNCTION("""COMPUTED_VALUE"""),"Ottawa, ON; Edmonton, AB")</f>
        <v/>
      </c>
      <c r="K1612">
        <f>IFERROR(__xludf.DUMMYFUNCTION("""COMPUTED_VALUE"""),20275.3899999999)</f>
        <v/>
      </c>
    </row>
    <row r="1613">
      <c r="J1613">
        <f>IFERROR(__xludf.DUMMYFUNCTION("""COMPUTED_VALUE"""),"London, England; Paris, France; Brussels, Belgium; Berlin, Germany")</f>
        <v/>
      </c>
      <c r="K1613">
        <f>IFERROR(__xludf.DUMMYFUNCTION("""COMPUTED_VALUE"""),20272.68)</f>
        <v/>
      </c>
    </row>
    <row r="1614">
      <c r="J1614">
        <f>IFERROR(__xludf.DUMMYFUNCTION("""COMPUTED_VALUE"""),"Guatemala")</f>
        <v/>
      </c>
      <c r="K1614">
        <f>IFERROR(__xludf.DUMMYFUNCTION("""COMPUTED_VALUE"""),20254.74)</f>
        <v/>
      </c>
    </row>
    <row r="1615">
      <c r="J1615">
        <f>IFERROR(__xludf.DUMMYFUNCTION("""COMPUTED_VALUE"""),"Taipei, Taiwan, Tokyo, Japan")</f>
        <v/>
      </c>
      <c r="K1615">
        <f>IFERROR(__xludf.DUMMYFUNCTION("""COMPUTED_VALUE"""),20230.87)</f>
        <v/>
      </c>
    </row>
    <row r="1616">
      <c r="J1616">
        <f>IFERROR(__xludf.DUMMYFUNCTION("""COMPUTED_VALUE"""),"Canberra &amp; Sydney, Australia")</f>
        <v/>
      </c>
      <c r="K1616">
        <f>IFERROR(__xludf.DUMMYFUNCTION("""COMPUTED_VALUE"""),20228.77)</f>
        <v/>
      </c>
    </row>
    <row r="1617">
      <c r="J1617">
        <f>IFERROR(__xludf.DUMMYFUNCTION("""COMPUTED_VALUE"""),"Guelph, Ontario")</f>
        <v/>
      </c>
      <c r="K1617">
        <f>IFERROR(__xludf.DUMMYFUNCTION("""COMPUTED_VALUE"""),20221.9)</f>
        <v/>
      </c>
    </row>
    <row r="1618">
      <c r="J1618">
        <f>IFERROR(__xludf.DUMMYFUNCTION("""COMPUTED_VALUE"""),"La Hague, Netherlands; Brussels, Belgium; Luxemburg, Luxembourg; Madrid, Spain; Lisbon, Portugal; Vienna, Austria; Copenhagen, Denmark; Stockholm, Sweden; Helsinki, Finland")</f>
        <v/>
      </c>
      <c r="K1618">
        <f>IFERROR(__xludf.DUMMYFUNCTION("""COMPUTED_VALUE"""),20219.4)</f>
        <v/>
      </c>
    </row>
    <row r="1619">
      <c r="J1619">
        <f>IFERROR(__xludf.DUMMYFUNCTION("""COMPUTED_VALUE"""),"Austria, Vienna")</f>
        <v/>
      </c>
      <c r="K1619">
        <f>IFERROR(__xludf.DUMMYFUNCTION("""COMPUTED_VALUE"""),20218.65)</f>
        <v/>
      </c>
    </row>
    <row r="1620">
      <c r="J1620">
        <f>IFERROR(__xludf.DUMMYFUNCTION("""COMPUTED_VALUE"""),"Guam")</f>
        <v/>
      </c>
      <c r="K1620">
        <f>IFERROR(__xludf.DUMMYFUNCTION("""COMPUTED_VALUE"""),20213.22)</f>
        <v/>
      </c>
    </row>
    <row r="1621">
      <c r="J1621">
        <f>IFERROR(__xludf.DUMMYFUNCTION("""COMPUTED_VALUE"""),"Bali, Indonesia, Port Moresby, Papua New Guinea")</f>
        <v/>
      </c>
      <c r="K1621">
        <f>IFERROR(__xludf.DUMMYFUNCTION("""COMPUTED_VALUE"""),20212.32)</f>
        <v/>
      </c>
    </row>
    <row r="1622">
      <c r="J1622">
        <f>IFERROR(__xludf.DUMMYFUNCTION("""COMPUTED_VALUE"""),"Guelph (Ontario) Canada")</f>
        <v/>
      </c>
      <c r="K1622">
        <f>IFERROR(__xludf.DUMMYFUNCTION("""COMPUTED_VALUE"""),20205.42)</f>
        <v/>
      </c>
    </row>
    <row r="1623">
      <c r="J1623">
        <f>IFERROR(__xludf.DUMMYFUNCTION("""COMPUTED_VALUE"""),"Sept-Îles, Quebec, Canada")</f>
        <v/>
      </c>
      <c r="K1623">
        <f>IFERROR(__xludf.DUMMYFUNCTION("""COMPUTED_VALUE"""),20193.19)</f>
        <v/>
      </c>
    </row>
    <row r="1624">
      <c r="J1624">
        <f>IFERROR(__xludf.DUMMYFUNCTION("""COMPUTED_VALUE"""),"Ottawa, Washington D.C. and Addis Ababa, Ethiopia")</f>
        <v/>
      </c>
      <c r="K1624">
        <f>IFERROR(__xludf.DUMMYFUNCTION("""COMPUTED_VALUE"""),20182.39)</f>
        <v/>
      </c>
    </row>
    <row r="1625">
      <c r="J1625">
        <f>IFERROR(__xludf.DUMMYFUNCTION("""COMPUTED_VALUE"""),"Keflavik, Iceland")</f>
        <v/>
      </c>
      <c r="K1625">
        <f>IFERROR(__xludf.DUMMYFUNCTION("""COMPUTED_VALUE"""),20181.5)</f>
        <v/>
      </c>
    </row>
    <row r="1626">
      <c r="J1626">
        <f>IFERROR(__xludf.DUMMYFUNCTION("""COMPUTED_VALUE"""),"Esquimalt, British Columbia, Canada")</f>
        <v/>
      </c>
      <c r="K1626">
        <f>IFERROR(__xludf.DUMMYFUNCTION("""COMPUTED_VALUE"""),20177.8999999999)</f>
        <v/>
      </c>
    </row>
    <row r="1627">
      <c r="J1627">
        <f>IFERROR(__xludf.DUMMYFUNCTION("""COMPUTED_VALUE"""),"Yokohama, Japan and Delhi, India")</f>
        <v/>
      </c>
      <c r="K1627">
        <f>IFERROR(__xludf.DUMMYFUNCTION("""COMPUTED_VALUE"""),20171.33)</f>
        <v/>
      </c>
    </row>
    <row r="1628">
      <c r="J1628">
        <f>IFERROR(__xludf.DUMMYFUNCTION("""COMPUTED_VALUE"""),"Manila, Philippines
Singapore")</f>
        <v/>
      </c>
      <c r="K1628">
        <f>IFERROR(__xludf.DUMMYFUNCTION("""COMPUTED_VALUE"""),20160)</f>
        <v/>
      </c>
    </row>
    <row r="1629">
      <c r="J1629">
        <f>IFERROR(__xludf.DUMMYFUNCTION("""COMPUTED_VALUE"""),"Ghent, BE / Munich, DE / Berlin, DE")</f>
        <v/>
      </c>
      <c r="K1629">
        <f>IFERROR(__xludf.DUMMYFUNCTION("""COMPUTED_VALUE"""),20150.9499999999)</f>
        <v/>
      </c>
    </row>
    <row r="1630">
      <c r="J1630">
        <f>IFERROR(__xludf.DUMMYFUNCTION("""COMPUTED_VALUE"""),"Bali, Indonesia, Singapore, Singapore")</f>
        <v/>
      </c>
      <c r="K1630">
        <f>IFERROR(__xludf.DUMMYFUNCTION("""COMPUTED_VALUE"""),20150.42)</f>
        <v/>
      </c>
    </row>
    <row r="1631">
      <c r="J1631">
        <f>IFERROR(__xludf.DUMMYFUNCTION("""COMPUTED_VALUE"""),"Laval-Ottawa-Laval")</f>
        <v/>
      </c>
      <c r="K1631">
        <f>IFERROR(__xludf.DUMMYFUNCTION("""COMPUTED_VALUE"""),20147.44)</f>
        <v/>
      </c>
    </row>
    <row r="1632">
      <c r="J1632">
        <f>IFERROR(__xludf.DUMMYFUNCTION("""COMPUTED_VALUE"""),"Bangkok, Hongkong; and Jakarta, Indonesia")</f>
        <v/>
      </c>
      <c r="K1632">
        <f>IFERROR(__xludf.DUMMYFUNCTION("""COMPUTED_VALUE"""),20135.17)</f>
        <v/>
      </c>
    </row>
    <row r="1633">
      <c r="J1633">
        <f>IFERROR(__xludf.DUMMYFUNCTION("""COMPUTED_VALUE"""),"Davos, Switzerland; Berlin, Germany")</f>
        <v/>
      </c>
      <c r="K1633">
        <f>IFERROR(__xludf.DUMMYFUNCTION("""COMPUTED_VALUE"""),20125.62)</f>
        <v/>
      </c>
    </row>
    <row r="1634">
      <c r="J1634">
        <f>IFERROR(__xludf.DUMMYFUNCTION("""COMPUTED_VALUE"""),"Sydney, Melbourne, Australia")</f>
        <v/>
      </c>
      <c r="K1634">
        <f>IFERROR(__xludf.DUMMYFUNCTION("""COMPUTED_VALUE"""),20121.31)</f>
        <v/>
      </c>
    </row>
    <row r="1635">
      <c r="J1635">
        <f>IFERROR(__xludf.DUMMYFUNCTION("""COMPUTED_VALUE"""),"Geneva, Switzerland and Vienna, Austria")</f>
        <v/>
      </c>
      <c r="K1635">
        <f>IFERROR(__xludf.DUMMYFUNCTION("""COMPUTED_VALUE"""),20110.17)</f>
        <v/>
      </c>
    </row>
    <row r="1636">
      <c r="J1636">
        <f>IFERROR(__xludf.DUMMYFUNCTION("""COMPUTED_VALUE"""),"Naples, Rome Catania, Italy                       Dallas, Texas, USA                      Pristina, Serbia")</f>
        <v/>
      </c>
      <c r="K1636">
        <f>IFERROR(__xludf.DUMMYFUNCTION("""COMPUTED_VALUE"""),20108.41)</f>
        <v/>
      </c>
    </row>
    <row r="1637">
      <c r="J1637">
        <f>IFERROR(__xludf.DUMMYFUNCTION("""COMPUTED_VALUE"""),"Winnipeg, Manitoba / Vancouver, British Columbia, Canada")</f>
        <v/>
      </c>
      <c r="K1637">
        <f>IFERROR(__xludf.DUMMYFUNCTION("""COMPUTED_VALUE"""),20105.53)</f>
        <v/>
      </c>
    </row>
    <row r="1638">
      <c r="J1638">
        <f>IFERROR(__xludf.DUMMYFUNCTION("""COMPUTED_VALUE"""),"Capetown and Johannesburg, Republic of South Africa")</f>
        <v/>
      </c>
      <c r="K1638">
        <f>IFERROR(__xludf.DUMMYFUNCTION("""COMPUTED_VALUE"""),20103.26)</f>
        <v/>
      </c>
    </row>
    <row r="1639">
      <c r="J1639">
        <f>IFERROR(__xludf.DUMMYFUNCTION("""COMPUTED_VALUE"""),"Wasilla, Alaska, United States")</f>
        <v/>
      </c>
      <c r="K1639">
        <f>IFERROR(__xludf.DUMMYFUNCTION("""COMPUTED_VALUE"""),20099.35)</f>
        <v/>
      </c>
    </row>
    <row r="1640">
      <c r="J1640">
        <f>IFERROR(__xludf.DUMMYFUNCTION("""COMPUTED_VALUE"""),"Berlin, Paris, Brussels")</f>
        <v/>
      </c>
      <c r="K1640">
        <f>IFERROR(__xludf.DUMMYFUNCTION("""COMPUTED_VALUE"""),20095.5399999999)</f>
        <v/>
      </c>
    </row>
    <row r="1641">
      <c r="J1641">
        <f>IFERROR(__xludf.DUMMYFUNCTION("""COMPUTED_VALUE"""),"Suzhou, Mainland China")</f>
        <v/>
      </c>
      <c r="K1641">
        <f>IFERROR(__xludf.DUMMYFUNCTION("""COMPUTED_VALUE"""),20085.37)</f>
        <v/>
      </c>
    </row>
    <row r="1642">
      <c r="J1642">
        <f>IFERROR(__xludf.DUMMYFUNCTION("""COMPUTED_VALUE"""),"Regina, Saskatchewan, Canada; Edmonton, Alberta, Canada")</f>
        <v/>
      </c>
      <c r="K1642">
        <f>IFERROR(__xludf.DUMMYFUNCTION("""COMPUTED_VALUE"""),20058.97)</f>
        <v/>
      </c>
    </row>
    <row r="1643">
      <c r="J1643">
        <f>IFERROR(__xludf.DUMMYFUNCTION("""COMPUTED_VALUE"""),"Boston, Washington, Ottawa, Toronto and Vancouver")</f>
        <v/>
      </c>
      <c r="K1643">
        <f>IFERROR(__xludf.DUMMYFUNCTION("""COMPUTED_VALUE"""),20053.81)</f>
        <v/>
      </c>
    </row>
    <row r="1644">
      <c r="J1644">
        <f>IFERROR(__xludf.DUMMYFUNCTION("""COMPUTED_VALUE"""),"Ottawa and Vancouver, ON and BC, Canada")</f>
        <v/>
      </c>
      <c r="K1644">
        <f>IFERROR(__xludf.DUMMYFUNCTION("""COMPUTED_VALUE"""),20053.34)</f>
        <v/>
      </c>
    </row>
    <row r="1645">
      <c r="J1645">
        <f>IFERROR(__xludf.DUMMYFUNCTION("""COMPUTED_VALUE"""),"Paris France")</f>
        <v/>
      </c>
      <c r="K1645">
        <f>IFERROR(__xludf.DUMMYFUNCTION("""COMPUTED_VALUE"""),20048.51)</f>
        <v/>
      </c>
    </row>
    <row r="1646">
      <c r="J1646">
        <f>IFERROR(__xludf.DUMMYFUNCTION("""COMPUTED_VALUE"""),"Turin, IT / Milan, IT")</f>
        <v/>
      </c>
      <c r="K1646">
        <f>IFERROR(__xludf.DUMMYFUNCTION("""COMPUTED_VALUE"""),20044.18)</f>
        <v/>
      </c>
    </row>
    <row r="1647">
      <c r="J1647">
        <f>IFERROR(__xludf.DUMMYFUNCTION("""COMPUTED_VALUE"""),"MANIL-SPORE")</f>
        <v/>
      </c>
      <c r="K1647">
        <f>IFERROR(__xludf.DUMMYFUNCTION("""COMPUTED_VALUE"""),20037.26)</f>
        <v/>
      </c>
    </row>
    <row r="1648">
      <c r="J1648">
        <f>IFERROR(__xludf.DUMMYFUNCTION("""COMPUTED_VALUE"""),"New Orleans, Louisiana")</f>
        <v/>
      </c>
      <c r="K1648">
        <f>IFERROR(__xludf.DUMMYFUNCTION("""COMPUTED_VALUE"""),20036.75)</f>
        <v/>
      </c>
    </row>
    <row r="1649">
      <c r="J1649">
        <f>IFERROR(__xludf.DUMMYFUNCTION("""COMPUTED_VALUE"""),"Nigeria, West Afirca")</f>
        <v/>
      </c>
      <c r="K1649">
        <f>IFERROR(__xludf.DUMMYFUNCTION("""COMPUTED_VALUE"""),20034.74)</f>
        <v/>
      </c>
    </row>
    <row r="1650">
      <c r="J1650">
        <f>IFERROR(__xludf.DUMMYFUNCTION("""COMPUTED_VALUE"""),"Calgary, AB/ Honolulu, HI / Beijing, China / Tokyo, Japan")</f>
        <v/>
      </c>
      <c r="K1650">
        <f>IFERROR(__xludf.DUMMYFUNCTION("""COMPUTED_VALUE"""),20026.67)</f>
        <v/>
      </c>
    </row>
    <row r="1651">
      <c r="J1651">
        <f>IFERROR(__xludf.DUMMYFUNCTION("""COMPUTED_VALUE"""),"Hague, Netherlands")</f>
        <v/>
      </c>
      <c r="K1651">
        <f>IFERROR(__xludf.DUMMYFUNCTION("""COMPUTED_VALUE"""),20023.44)</f>
        <v/>
      </c>
    </row>
    <row r="1652">
      <c r="J1652">
        <f>IFERROR(__xludf.DUMMYFUNCTION("""COMPUTED_VALUE"""),"Chad, Egypt, Ethiopia")</f>
        <v/>
      </c>
      <c r="K1652">
        <f>IFERROR(__xludf.DUMMYFUNCTION("""COMPUTED_VALUE"""),20023)</f>
        <v/>
      </c>
    </row>
    <row r="1653">
      <c r="J1653">
        <f>IFERROR(__xludf.DUMMYFUNCTION("""COMPUTED_VALUE"""),"Slovenia")</f>
        <v/>
      </c>
      <c r="K1653">
        <f>IFERROR(__xludf.DUMMYFUNCTION("""COMPUTED_VALUE"""),20015.24)</f>
        <v/>
      </c>
    </row>
    <row r="1654">
      <c r="J1654">
        <f>IFERROR(__xludf.DUMMYFUNCTION("""COMPUTED_VALUE"""),"Toronto, ON, Tokyo, Japan, Bali, Indonesia")</f>
        <v/>
      </c>
      <c r="K1654">
        <f>IFERROR(__xludf.DUMMYFUNCTION("""COMPUTED_VALUE"""),20008.69)</f>
        <v/>
      </c>
    </row>
    <row r="1655">
      <c r="J1655">
        <f>IFERROR(__xludf.DUMMYFUNCTION("""COMPUTED_VALUE"""),"Edinburgh, United Kingdom; Glasgow, United Kingdom")</f>
        <v/>
      </c>
      <c r="K1655">
        <f>IFERROR(__xludf.DUMMYFUNCTION("""COMPUTED_VALUE"""),20005.8999999999)</f>
        <v/>
      </c>
    </row>
    <row r="1656">
      <c r="J1656">
        <f>IFERROR(__xludf.DUMMYFUNCTION("""COMPUTED_VALUE"""),"Japan, South Korea")</f>
        <v/>
      </c>
      <c r="K1656">
        <f>IFERROR(__xludf.DUMMYFUNCTION("""COMPUTED_VALUE"""),19995.5)</f>
        <v/>
      </c>
    </row>
    <row r="1657">
      <c r="J1657">
        <f>IFERROR(__xludf.DUMMYFUNCTION("""COMPUTED_VALUE"""),"London, United Kingdom
Paris, France
Rome, Italy")</f>
        <v/>
      </c>
      <c r="K1657">
        <f>IFERROR(__xludf.DUMMYFUNCTION("""COMPUTED_VALUE"""),19981.71)</f>
        <v/>
      </c>
    </row>
    <row r="1658">
      <c r="J1658">
        <f>IFERROR(__xludf.DUMMYFUNCTION("""COMPUTED_VALUE"""),"Sydney, New South Wales, Australia and Melbourne, Victoria, Australia and Canberra, Australian Capital Territory, Australia")</f>
        <v/>
      </c>
      <c r="K1658">
        <f>IFERROR(__xludf.DUMMYFUNCTION("""COMPUTED_VALUE"""),19980.78)</f>
        <v/>
      </c>
    </row>
    <row r="1659">
      <c r="J1659">
        <f>IFERROR(__xludf.DUMMYFUNCTION("""COMPUTED_VALUE"""),"Seoul, ROK")</f>
        <v/>
      </c>
      <c r="K1659">
        <f>IFERROR(__xludf.DUMMYFUNCTION("""COMPUTED_VALUE"""),19978.04)</f>
        <v/>
      </c>
    </row>
    <row r="1660">
      <c r="J1660">
        <f>IFERROR(__xludf.DUMMYFUNCTION("""COMPUTED_VALUE"""),"Bydgoszcz, Poland")</f>
        <v/>
      </c>
      <c r="K1660">
        <f>IFERROR(__xludf.DUMMYFUNCTION("""COMPUTED_VALUE"""),19970.79)</f>
        <v/>
      </c>
    </row>
    <row r="1661">
      <c r="J1661">
        <f>IFERROR(__xludf.DUMMYFUNCTION("""COMPUTED_VALUE"""),"Mumbai, New Delhi and Chandigarh India")</f>
        <v/>
      </c>
      <c r="K1661">
        <f>IFERROR(__xludf.DUMMYFUNCTION("""COMPUTED_VALUE"""),19969.0599999999)</f>
        <v/>
      </c>
    </row>
    <row r="1662">
      <c r="J1662">
        <f>IFERROR(__xludf.DUMMYFUNCTION("""COMPUTED_VALUE"""),"Stockholm, Sweden; London, United Kingdom")</f>
        <v/>
      </c>
      <c r="K1662">
        <f>IFERROR(__xludf.DUMMYFUNCTION("""COMPUTED_VALUE"""),19960.06)</f>
        <v/>
      </c>
    </row>
    <row r="1663">
      <c r="J1663">
        <f>IFERROR(__xludf.DUMMYFUNCTION("""COMPUTED_VALUE"""),"Roberval, Quebec")</f>
        <v/>
      </c>
      <c r="K1663">
        <f>IFERROR(__xludf.DUMMYFUNCTION("""COMPUTED_VALUE"""),19944.37)</f>
        <v/>
      </c>
    </row>
    <row r="1664">
      <c r="J1664">
        <f>IFERROR(__xludf.DUMMYFUNCTION("""COMPUTED_VALUE"""),"India, Israel, Dubai")</f>
        <v/>
      </c>
      <c r="K1664">
        <f>IFERROR(__xludf.DUMMYFUNCTION("""COMPUTED_VALUE"""),19938.78)</f>
        <v/>
      </c>
    </row>
    <row r="1665">
      <c r="J1665">
        <f>IFERROR(__xludf.DUMMYFUNCTION("""COMPUTED_VALUE"""),"London (United Kingdom)")</f>
        <v/>
      </c>
      <c r="K1665">
        <f>IFERROR(__xludf.DUMMYFUNCTION("""COMPUTED_VALUE"""),19936.02)</f>
        <v/>
      </c>
    </row>
    <row r="1666">
      <c r="J1666">
        <f>IFERROR(__xludf.DUMMYFUNCTION("""COMPUTED_VALUE"""),"Bandar Seri Begawan, Brunei Darussalam, Kuwait city, state of Kuwait, Istanbul, Ankara, Republic of Turkey,  Jeddah, Kingdom of Saudi Arabia")</f>
        <v/>
      </c>
      <c r="K1666">
        <f>IFERROR(__xludf.DUMMYFUNCTION("""COMPUTED_VALUE"""),19924.73)</f>
        <v/>
      </c>
    </row>
    <row r="1667">
      <c r="J1667">
        <f>IFERROR(__xludf.DUMMYFUNCTION("""COMPUTED_VALUE"""),"Rome (Italy)")</f>
        <v/>
      </c>
      <c r="K1667">
        <f>IFERROR(__xludf.DUMMYFUNCTION("""COMPUTED_VALUE"""),19903.57)</f>
        <v/>
      </c>
    </row>
    <row r="1668">
      <c r="J1668">
        <f>IFERROR(__xludf.DUMMYFUNCTION("""COMPUTED_VALUE"""),"Sydney/Hong Kong")</f>
        <v/>
      </c>
      <c r="K1668">
        <f>IFERROR(__xludf.DUMMYFUNCTION("""COMPUTED_VALUE"""),19898.61)</f>
        <v/>
      </c>
    </row>
    <row r="1669">
      <c r="J1669">
        <f>IFERROR(__xludf.DUMMYFUNCTION("""COMPUTED_VALUE"""),"Calgary, Alberta and Vancouver, British Columbia")</f>
        <v/>
      </c>
      <c r="K1669">
        <f>IFERROR(__xludf.DUMMYFUNCTION("""COMPUTED_VALUE"""),19888.03)</f>
        <v/>
      </c>
    </row>
    <row r="1670">
      <c r="J1670">
        <f>IFERROR(__xludf.DUMMYFUNCTION("""COMPUTED_VALUE"""),"Kabul, Khandahar, Strasbourg, Paris, Taormina")</f>
        <v/>
      </c>
      <c r="K1670">
        <f>IFERROR(__xludf.DUMMYFUNCTION("""COMPUTED_VALUE"""),19882.98)</f>
        <v/>
      </c>
    </row>
    <row r="1671">
      <c r="J1671">
        <f>IFERROR(__xludf.DUMMYFUNCTION("""COMPUTED_VALUE"""),"Kuwait City, Kuwait; Erbil and Qayyarah West, Iraq.")</f>
        <v/>
      </c>
      <c r="K1671">
        <f>IFERROR(__xludf.DUMMYFUNCTION("""COMPUTED_VALUE"""),19880.35)</f>
        <v/>
      </c>
    </row>
    <row r="1672">
      <c r="J1672">
        <f>IFERROR(__xludf.DUMMYFUNCTION("""COMPUTED_VALUE"""),"Belfast, Ireland")</f>
        <v/>
      </c>
      <c r="K1672">
        <f>IFERROR(__xludf.DUMMYFUNCTION("""COMPUTED_VALUE"""),19861.04)</f>
        <v/>
      </c>
    </row>
    <row r="1673">
      <c r="J1673">
        <f>IFERROR(__xludf.DUMMYFUNCTION("""COMPUTED_VALUE"""),"Waraw, Poland and Kyiv, Ukraine")</f>
        <v/>
      </c>
      <c r="K1673">
        <f>IFERROR(__xludf.DUMMYFUNCTION("""COMPUTED_VALUE"""),19855.18)</f>
        <v/>
      </c>
    </row>
    <row r="1674">
      <c r="J1674">
        <f>IFERROR(__xludf.DUMMYFUNCTION("""COMPUTED_VALUE"""),"Bangkok, Thailand
Singapore
Seoul, South Korea
Port Moresby, Papua New Guinea")</f>
        <v/>
      </c>
      <c r="K1674">
        <f>IFERROR(__xludf.DUMMYFUNCTION("""COMPUTED_VALUE"""),19852.62)</f>
        <v/>
      </c>
    </row>
    <row r="1675">
      <c r="J1675">
        <f>IFERROR(__xludf.DUMMYFUNCTION("""COMPUTED_VALUE"""),"San José, Costa Rica")</f>
        <v/>
      </c>
      <c r="K1675">
        <f>IFERROR(__xludf.DUMMYFUNCTION("""COMPUTED_VALUE"""),19846.05)</f>
        <v/>
      </c>
    </row>
    <row r="1676">
      <c r="J1676">
        <f>IFERROR(__xludf.DUMMYFUNCTION("""COMPUTED_VALUE"""),"Bishkek and Astana")</f>
        <v/>
      </c>
      <c r="K1676">
        <f>IFERROR(__xludf.DUMMYFUNCTION("""COMPUTED_VALUE"""),19834.94)</f>
        <v/>
      </c>
    </row>
    <row r="1677">
      <c r="J1677">
        <f>IFERROR(__xludf.DUMMYFUNCTION("""COMPUTED_VALUE"""),"Juba, South Sudan")</f>
        <v/>
      </c>
      <c r="K1677">
        <f>IFERROR(__xludf.DUMMYFUNCTION("""COMPUTED_VALUE"""),19832.69)</f>
        <v/>
      </c>
    </row>
    <row r="1678">
      <c r="J1678">
        <f>IFERROR(__xludf.DUMMYFUNCTION("""COMPUTED_VALUE"""),"Juba, Republic of South Sudan")</f>
        <v/>
      </c>
      <c r="K1678">
        <f>IFERROR(__xludf.DUMMYFUNCTION("""COMPUTED_VALUE"""),19829.79)</f>
        <v/>
      </c>
    </row>
    <row r="1679">
      <c r="J1679">
        <f>IFERROR(__xludf.DUMMYFUNCTION("""COMPUTED_VALUE"""),"Copenhagen, Denmark / Berlin, Germany")</f>
        <v/>
      </c>
      <c r="K1679">
        <f>IFERROR(__xludf.DUMMYFUNCTION("""COMPUTED_VALUE"""),19789.71)</f>
        <v/>
      </c>
    </row>
    <row r="1680">
      <c r="J1680">
        <f>IFERROR(__xludf.DUMMYFUNCTION("""COMPUTED_VALUE"""),"Washington (DC) United States")</f>
        <v/>
      </c>
      <c r="K1680">
        <f>IFERROR(__xludf.DUMMYFUNCTION("""COMPUTED_VALUE"""),19788.72)</f>
        <v/>
      </c>
    </row>
    <row r="1681">
      <c r="J1681">
        <f>IFERROR(__xludf.DUMMYFUNCTION("""COMPUTED_VALUE"""),"Makati, Manila, Philippines")</f>
        <v/>
      </c>
      <c r="K1681">
        <f>IFERROR(__xludf.DUMMYFUNCTION("""COMPUTED_VALUE"""),19776.03)</f>
        <v/>
      </c>
    </row>
    <row r="1682">
      <c r="J1682">
        <f>IFERROR(__xludf.DUMMYFUNCTION("""COMPUTED_VALUE"""),"Frankfort (Germany) Kiev, Ukraine")</f>
        <v/>
      </c>
      <c r="K1682">
        <f>IFERROR(__xludf.DUMMYFUNCTION("""COMPUTED_VALUE"""),19763.36)</f>
        <v/>
      </c>
    </row>
    <row r="1683">
      <c r="J1683">
        <f>IFERROR(__xludf.DUMMYFUNCTION("""COMPUTED_VALUE"""),"Brussels and The Hague")</f>
        <v/>
      </c>
      <c r="K1683">
        <f>IFERROR(__xludf.DUMMYFUNCTION("""COMPUTED_VALUE"""),19760.63)</f>
        <v/>
      </c>
    </row>
    <row r="1684">
      <c r="J1684">
        <f>IFERROR(__xludf.DUMMYFUNCTION("""COMPUTED_VALUE"""),"Balaclava, Mauritius, Berlin, Germany")</f>
        <v/>
      </c>
      <c r="K1684">
        <f>IFERROR(__xludf.DUMMYFUNCTION("""COMPUTED_VALUE"""),19757.65)</f>
        <v/>
      </c>
    </row>
    <row r="1685">
      <c r="J1685">
        <f>IFERROR(__xludf.DUMMYFUNCTION("""COMPUTED_VALUE"""),"Cameroon")</f>
        <v/>
      </c>
      <c r="K1685">
        <f>IFERROR(__xludf.DUMMYFUNCTION("""COMPUTED_VALUE"""),19756.22)</f>
        <v/>
      </c>
    </row>
    <row r="1686">
      <c r="J1686">
        <f>IFERROR(__xludf.DUMMYFUNCTION("""COMPUTED_VALUE"""),"Berlin, Germany and Istanbul, Turkey")</f>
        <v/>
      </c>
      <c r="K1686">
        <f>IFERROR(__xludf.DUMMYFUNCTION("""COMPUTED_VALUE"""),19749.54)</f>
        <v/>
      </c>
    </row>
    <row r="1687">
      <c r="J1687">
        <f>IFERROR(__xludf.DUMMYFUNCTION("""COMPUTED_VALUE"""),"Edmonton, AB/Hay River &amp; Yellowknife, NT/Chemainus, BC/Calgary, AB/Churchill &amp; Winnipeg, MB")</f>
        <v/>
      </c>
      <c r="K1687">
        <f>IFERROR(__xludf.DUMMYFUNCTION("""COMPUTED_VALUE"""),19743.95)</f>
        <v/>
      </c>
    </row>
    <row r="1688">
      <c r="J1688">
        <f>IFERROR(__xludf.DUMMYFUNCTION("""COMPUTED_VALUE"""),"Calgary, Edmonton, Alberta, Canada")</f>
        <v/>
      </c>
      <c r="K1688">
        <f>IFERROR(__xludf.DUMMYFUNCTION("""COMPUTED_VALUE"""),19723.7399999999)</f>
        <v/>
      </c>
    </row>
    <row r="1689">
      <c r="J1689">
        <f>IFERROR(__xludf.DUMMYFUNCTION("""COMPUTED_VALUE"""),"Addis Ababa Dar es Salaam and Skukuza, Ethiopia Tanzania South Africa")</f>
        <v/>
      </c>
      <c r="K1689">
        <f>IFERROR(__xludf.DUMMYFUNCTION("""COMPUTED_VALUE"""),19708.3)</f>
        <v/>
      </c>
    </row>
    <row r="1690">
      <c r="J1690">
        <f>IFERROR(__xludf.DUMMYFUNCTION("""COMPUTED_VALUE"""),"San Francisco, Singapore")</f>
        <v/>
      </c>
      <c r="K1690">
        <f>IFERROR(__xludf.DUMMYFUNCTION("""COMPUTED_VALUE"""),19706.57)</f>
        <v/>
      </c>
    </row>
    <row r="1691">
      <c r="J1691">
        <f>IFERROR(__xludf.DUMMYFUNCTION("""COMPUTED_VALUE"""),"North Bay, Ontario, Canada; Sudbury, Ontario, Canada; Sault Ste. Marie, Ontario, Canada; Winnipeg, Manitoba, Canada; Red Lake, Ontario, Canada; Sioux Lookout, Ontario, Canada")</f>
        <v/>
      </c>
      <c r="K1691">
        <f>IFERROR(__xludf.DUMMYFUNCTION("""COMPUTED_VALUE"""),19699.01)</f>
        <v/>
      </c>
    </row>
    <row r="1692">
      <c r="J1692">
        <f>IFERROR(__xludf.DUMMYFUNCTION("""COMPUTED_VALUE"""),"Rabat, Morocco")</f>
        <v/>
      </c>
      <c r="K1692">
        <f>IFERROR(__xludf.DUMMYFUNCTION("""COMPUTED_VALUE"""),19687.8)</f>
        <v/>
      </c>
    </row>
    <row r="1693">
      <c r="J1693">
        <f>IFERROR(__xludf.DUMMYFUNCTION("""COMPUTED_VALUE"""),"Toronto, Ontario, Canada / Windsor, Ontario, Canada / Cleveland, Ohio, United States / Calgary, Alberta, Canada / Atlanta, Georgia, United States / Verona, Italy")</f>
        <v/>
      </c>
      <c r="K1693">
        <f>IFERROR(__xludf.DUMMYFUNCTION("""COMPUTED_VALUE"""),19680.6)</f>
        <v/>
      </c>
    </row>
    <row r="1694">
      <c r="J1694">
        <f>IFERROR(__xludf.DUMMYFUNCTION("""COMPUTED_VALUE"""),"Cairo (EGYPT)
Islamabad (PAKISTAN)
Abu Dhabi (UNITED ARAB EMIRATES)")</f>
        <v/>
      </c>
      <c r="K1694">
        <f>IFERROR(__xludf.DUMMYFUNCTION("""COMPUTED_VALUE"""),19666)</f>
        <v/>
      </c>
    </row>
    <row r="1695">
      <c r="J1695">
        <f>IFERROR(__xludf.DUMMYFUNCTION("""COMPUTED_VALUE"""),"Thunder Bay, Canada")</f>
        <v/>
      </c>
      <c r="K1695">
        <f>IFERROR(__xludf.DUMMYFUNCTION("""COMPUTED_VALUE"""),19664)</f>
        <v/>
      </c>
    </row>
    <row r="1696">
      <c r="J1696">
        <f>IFERROR(__xludf.DUMMYFUNCTION("""COMPUTED_VALUE"""),"San Salvador, El Salvador")</f>
        <v/>
      </c>
      <c r="K1696">
        <f>IFERROR(__xludf.DUMMYFUNCTION("""COMPUTED_VALUE"""),19654.03)</f>
        <v/>
      </c>
    </row>
    <row r="1697">
      <c r="J1697">
        <f>IFERROR(__xludf.DUMMYFUNCTION("""COMPUTED_VALUE"""),"Los Angeles, California")</f>
        <v/>
      </c>
      <c r="K1697">
        <f>IFERROR(__xludf.DUMMYFUNCTION("""COMPUTED_VALUE"""),19650.8199999999)</f>
        <v/>
      </c>
    </row>
    <row r="1698">
      <c r="J1698">
        <f>IFERROR(__xludf.DUMMYFUNCTION("""COMPUTED_VALUE"""),"Toronto, Ontario, Canada; Hamilton, Ontario, Canada")</f>
        <v/>
      </c>
      <c r="K1698">
        <f>IFERROR(__xludf.DUMMYFUNCTION("""COMPUTED_VALUE"""),19647.77)</f>
        <v/>
      </c>
    </row>
    <row r="1699">
      <c r="J1699">
        <f>IFERROR(__xludf.DUMMYFUNCTION("""COMPUTED_VALUE"""),"Lisbon, Portugal
Algiers, Algeria
Rome, Italy
Casablanca, Morocco
London, United Kingdom")</f>
        <v/>
      </c>
      <c r="K1699">
        <f>IFERROR(__xludf.DUMMYFUNCTION("""COMPUTED_VALUE"""),19631.45)</f>
        <v/>
      </c>
    </row>
    <row r="1700">
      <c r="J1700">
        <f>IFERROR(__xludf.DUMMYFUNCTION("""COMPUTED_VALUE"""),"Sri Lanka, Asia")</f>
        <v/>
      </c>
      <c r="K1700">
        <f>IFERROR(__xludf.DUMMYFUNCTION("""COMPUTED_VALUE"""),19616.43)</f>
        <v/>
      </c>
    </row>
    <row r="1701">
      <c r="J1701">
        <f>IFERROR(__xludf.DUMMYFUNCTION("""COMPUTED_VALUE"""),"Paris, France; Poland and China")</f>
        <v/>
      </c>
      <c r="K1701">
        <f>IFERROR(__xludf.DUMMYFUNCTION("""COMPUTED_VALUE"""),19604.16)</f>
        <v/>
      </c>
    </row>
    <row r="1702">
      <c r="J1702">
        <f>IFERROR(__xludf.DUMMYFUNCTION("""COMPUTED_VALUE"""),"Melbourne / Canberra, Australia")</f>
        <v/>
      </c>
      <c r="K1702">
        <f>IFERROR(__xludf.DUMMYFUNCTION("""COMPUTED_VALUE"""),19584.44)</f>
        <v/>
      </c>
    </row>
    <row r="1703">
      <c r="J1703">
        <f>IFERROR(__xludf.DUMMYFUNCTION("""COMPUTED_VALUE"""),"Ottawa, Montreal")</f>
        <v/>
      </c>
      <c r="K1703">
        <f>IFERROR(__xludf.DUMMYFUNCTION("""COMPUTED_VALUE"""),19581.4)</f>
        <v/>
      </c>
    </row>
    <row r="1704">
      <c r="J1704">
        <f>IFERROR(__xludf.DUMMYFUNCTION("""COMPUTED_VALUE"""),"Los Angeles, CA")</f>
        <v/>
      </c>
      <c r="K1704">
        <f>IFERROR(__xludf.DUMMYFUNCTION("""COMPUTED_VALUE"""),19579.79)</f>
        <v/>
      </c>
    </row>
    <row r="1705">
      <c r="J1705">
        <f>IFERROR(__xludf.DUMMYFUNCTION("""COMPUTED_VALUE"""),"Kahului, Hawaii")</f>
        <v/>
      </c>
      <c r="K1705">
        <f>IFERROR(__xludf.DUMMYFUNCTION("""COMPUTED_VALUE"""),19578.72)</f>
        <v/>
      </c>
    </row>
    <row r="1706">
      <c r="J1706">
        <f>IFERROR(__xludf.DUMMYFUNCTION("""COMPUTED_VALUE"""),"Shediac, New Brunswick, Canada")</f>
        <v/>
      </c>
      <c r="K1706">
        <f>IFERROR(__xludf.DUMMYFUNCTION("""COMPUTED_VALUE"""),19570.29)</f>
        <v/>
      </c>
    </row>
    <row r="1707">
      <c r="J1707">
        <f>IFERROR(__xludf.DUMMYFUNCTION("""COMPUTED_VALUE"""),"Vancouver, Bristish Columbia, Canada")</f>
        <v/>
      </c>
      <c r="K1707">
        <f>IFERROR(__xludf.DUMMYFUNCTION("""COMPUTED_VALUE"""),19559.28)</f>
        <v/>
      </c>
    </row>
    <row r="1708">
      <c r="J1708">
        <f>IFERROR(__xludf.DUMMYFUNCTION("""COMPUTED_VALUE"""),"Ottawa and Toronto, ON")</f>
        <v/>
      </c>
      <c r="K1708">
        <f>IFERROR(__xludf.DUMMYFUNCTION("""COMPUTED_VALUE"""),19556.93)</f>
        <v/>
      </c>
    </row>
    <row r="1709">
      <c r="J1709">
        <f>IFERROR(__xludf.DUMMYFUNCTION("""COMPUTED_VALUE"""),"Israel and the West Bank")</f>
        <v/>
      </c>
      <c r="K1709">
        <f>IFERROR(__xludf.DUMMYFUNCTION("""COMPUTED_VALUE"""),19541.53)</f>
        <v/>
      </c>
    </row>
    <row r="1710">
      <c r="J1710">
        <f>IFERROR(__xludf.DUMMYFUNCTION("""COMPUTED_VALUE"""),"Berlin, Potsdam and Lübeck (Germany)")</f>
        <v/>
      </c>
      <c r="K1710">
        <f>IFERROR(__xludf.DUMMYFUNCTION("""COMPUTED_VALUE"""),19528.02)</f>
        <v/>
      </c>
    </row>
    <row r="1711">
      <c r="J1711">
        <f>IFERROR(__xludf.DUMMYFUNCTION("""COMPUTED_VALUE"""),"Vietnam, China, Singapore")</f>
        <v/>
      </c>
      <c r="K1711">
        <f>IFERROR(__xludf.DUMMYFUNCTION("""COMPUTED_VALUE"""),19523.47)</f>
        <v/>
      </c>
    </row>
    <row r="1712">
      <c r="J1712">
        <f>IFERROR(__xludf.DUMMYFUNCTION("""COMPUTED_VALUE"""),"Trondheim, Norway")</f>
        <v/>
      </c>
      <c r="K1712">
        <f>IFERROR(__xludf.DUMMYFUNCTION("""COMPUTED_VALUE"""),19519.6)</f>
        <v/>
      </c>
    </row>
    <row r="1713">
      <c r="J1713">
        <f>IFERROR(__xludf.DUMMYFUNCTION("""COMPUTED_VALUE"""),"France / United Kingdom")</f>
        <v/>
      </c>
      <c r="K1713">
        <f>IFERROR(__xludf.DUMMYFUNCTION("""COMPUTED_VALUE"""),19513.1)</f>
        <v/>
      </c>
    </row>
    <row r="1714">
      <c r="J1714">
        <f>IFERROR(__xludf.DUMMYFUNCTION("""COMPUTED_VALUE"""),"London and Oslo")</f>
        <v/>
      </c>
      <c r="K1714">
        <f>IFERROR(__xludf.DUMMYFUNCTION("""COMPUTED_VALUE"""),19490.57)</f>
        <v/>
      </c>
    </row>
    <row r="1715">
      <c r="J1715">
        <f>IFERROR(__xludf.DUMMYFUNCTION("""COMPUTED_VALUE"""),"Sydney, Australia; Manila, Philippines")</f>
        <v/>
      </c>
      <c r="K1715">
        <f>IFERROR(__xludf.DUMMYFUNCTION("""COMPUTED_VALUE"""),19474.26)</f>
        <v/>
      </c>
    </row>
    <row r="1716">
      <c r="J1716">
        <f>IFERROR(__xludf.DUMMYFUNCTION("""COMPUTED_VALUE"""),"India, Germany, China, Korea")</f>
        <v/>
      </c>
      <c r="K1716">
        <f>IFERROR(__xludf.DUMMYFUNCTION("""COMPUTED_VALUE"""),19464.89)</f>
        <v/>
      </c>
    </row>
    <row r="1717">
      <c r="J1717">
        <f>IFERROR(__xludf.DUMMYFUNCTION("""COMPUTED_VALUE"""),"Toronto, Ontario / Vancouver, British Columbia, Canada")</f>
        <v/>
      </c>
      <c r="K1717">
        <f>IFERROR(__xludf.DUMMYFUNCTION("""COMPUTED_VALUE"""),19450.3)</f>
        <v/>
      </c>
    </row>
    <row r="1718">
      <c r="J1718">
        <f>IFERROR(__xludf.DUMMYFUNCTION("""COMPUTED_VALUE"""),"Ottawa, Toronto, Victoria and Vancouver (via Bangkok/Prague/London)")</f>
        <v/>
      </c>
      <c r="K1718">
        <f>IFERROR(__xludf.DUMMYFUNCTION("""COMPUTED_VALUE"""),19449.19)</f>
        <v/>
      </c>
    </row>
    <row r="1719">
      <c r="J1719">
        <f>IFERROR(__xludf.DUMMYFUNCTION("""COMPUTED_VALUE"""),"Dawson City, Yukon")</f>
        <v/>
      </c>
      <c r="K1719">
        <f>IFERROR(__xludf.DUMMYFUNCTION("""COMPUTED_VALUE"""),19445.12)</f>
        <v/>
      </c>
    </row>
    <row r="1720">
      <c r="J1720">
        <f>IFERROR(__xludf.DUMMYFUNCTION("""COMPUTED_VALUE"""),"Kenora, ON")</f>
        <v/>
      </c>
      <c r="K1720">
        <f>IFERROR(__xludf.DUMMYFUNCTION("""COMPUTED_VALUE"""),19445.05)</f>
        <v/>
      </c>
    </row>
    <row r="1721">
      <c r="J1721">
        <f>IFERROR(__xludf.DUMMYFUNCTION("""COMPUTED_VALUE"""),"Kinshasa")</f>
        <v/>
      </c>
      <c r="K1721">
        <f>IFERROR(__xludf.DUMMYFUNCTION("""COMPUTED_VALUE"""),19436.31)</f>
        <v/>
      </c>
    </row>
    <row r="1722">
      <c r="J1722">
        <f>IFERROR(__xludf.DUMMYFUNCTION("""COMPUTED_VALUE"""),"Abbotsford, BC")</f>
        <v/>
      </c>
      <c r="K1722">
        <f>IFERROR(__xludf.DUMMYFUNCTION("""COMPUTED_VALUE"""),19431.91)</f>
        <v/>
      </c>
    </row>
    <row r="1723">
      <c r="J1723">
        <f>IFERROR(__xludf.DUMMYFUNCTION("""COMPUTED_VALUE"""),"Vancouver / Sydney / Melbourne / Canberra / Hong Kong")</f>
        <v/>
      </c>
      <c r="K1723">
        <f>IFERROR(__xludf.DUMMYFUNCTION("""COMPUTED_VALUE"""),19425.3)</f>
        <v/>
      </c>
    </row>
    <row r="1724">
      <c r="J1724">
        <f>IFERROR(__xludf.DUMMYFUNCTION("""COMPUTED_VALUE"""),"Ottawa, ON Gatineau, QC")</f>
        <v/>
      </c>
      <c r="K1724">
        <f>IFERROR(__xludf.DUMMYFUNCTION("""COMPUTED_VALUE"""),19424.72)</f>
        <v/>
      </c>
    </row>
    <row r="1725">
      <c r="J1725">
        <f>IFERROR(__xludf.DUMMYFUNCTION("""COMPUTED_VALUE"""),"Chile, Peru, Ecuador, Columbia, Mexico")</f>
        <v/>
      </c>
      <c r="K1725">
        <f>IFERROR(__xludf.DUMMYFUNCTION("""COMPUTED_VALUE"""),19424.6)</f>
        <v/>
      </c>
    </row>
    <row r="1726">
      <c r="J1726">
        <f>IFERROR(__xludf.DUMMYFUNCTION("""COMPUTED_VALUE"""),"Calgary, Alberta, Canada; Toronto, Ontario, Canada")</f>
        <v/>
      </c>
      <c r="K1726">
        <f>IFERROR(__xludf.DUMMYFUNCTION("""COMPUTED_VALUE"""),19424.0899999999)</f>
        <v/>
      </c>
    </row>
    <row r="1727">
      <c r="J1727">
        <f>IFERROR(__xludf.DUMMYFUNCTION("""COMPUTED_VALUE"""),"Paris &amp; Geneva")</f>
        <v/>
      </c>
      <c r="K1727">
        <f>IFERROR(__xludf.DUMMYFUNCTION("""COMPUTED_VALUE"""),19414.01)</f>
        <v/>
      </c>
    </row>
    <row r="1728">
      <c r="J1728">
        <f>IFERROR(__xludf.DUMMYFUNCTION("""COMPUTED_VALUE"""),"Brandon, Manitoba, Canada")</f>
        <v/>
      </c>
      <c r="K1728">
        <f>IFERROR(__xludf.DUMMYFUNCTION("""COMPUTED_VALUE"""),19412.04)</f>
        <v/>
      </c>
    </row>
    <row r="1729">
      <c r="J1729">
        <f>IFERROR(__xludf.DUMMYFUNCTION("""COMPUTED_VALUE"""),"Riga, LatviaPreswick, United KingdomBrussels, Belguim,London, United Kingdom")</f>
        <v/>
      </c>
      <c r="K1729">
        <f>IFERROR(__xludf.DUMMYFUNCTION("""COMPUTED_VALUE"""),19410.64)</f>
        <v/>
      </c>
    </row>
    <row r="1730">
      <c r="J1730">
        <f>IFERROR(__xludf.DUMMYFUNCTION("""COMPUTED_VALUE"""),"Brussels, Belguim")</f>
        <v/>
      </c>
      <c r="K1730">
        <f>IFERROR(__xludf.DUMMYFUNCTION("""COMPUTED_VALUE"""),19402.05)</f>
        <v/>
      </c>
    </row>
    <row r="1731">
      <c r="J1731">
        <f>IFERROR(__xludf.DUMMYFUNCTION("""COMPUTED_VALUE"""),"Brussels, Belgium, London, England, Paris, France")</f>
        <v/>
      </c>
      <c r="K1731">
        <f>IFERROR(__xludf.DUMMYFUNCTION("""COMPUTED_VALUE"""),19395.41)</f>
        <v/>
      </c>
    </row>
    <row r="1732">
      <c r="J1732">
        <f>IFERROR(__xludf.DUMMYFUNCTION("""COMPUTED_VALUE"""),"Jakarta, Indonesia
Manila, Philippines
Hanoi, Vietnam")</f>
        <v/>
      </c>
      <c r="K1732">
        <f>IFERROR(__xludf.DUMMYFUNCTION("""COMPUTED_VALUE"""),19359.33)</f>
        <v/>
      </c>
    </row>
    <row r="1733">
      <c r="J1733">
        <f>IFERROR(__xludf.DUMMYFUNCTION("""COMPUTED_VALUE"""),"Calgary,Alberta,Canada")</f>
        <v/>
      </c>
      <c r="K1733">
        <f>IFERROR(__xludf.DUMMYFUNCTION("""COMPUTED_VALUE"""),19355.77)</f>
        <v/>
      </c>
    </row>
    <row r="1734">
      <c r="J1734">
        <f>IFERROR(__xludf.DUMMYFUNCTION("""COMPUTED_VALUE"""),"Norway, Denmark, Austria, Serbia, Albania and Iraq")</f>
        <v/>
      </c>
      <c r="K1734">
        <f>IFERROR(__xludf.DUMMYFUNCTION("""COMPUTED_VALUE"""),19351.09)</f>
        <v/>
      </c>
    </row>
    <row r="1735">
      <c r="J1735">
        <f>IFERROR(__xludf.DUMMYFUNCTION("""COMPUTED_VALUE"""),"France, Germany")</f>
        <v/>
      </c>
      <c r="K1735">
        <f>IFERROR(__xludf.DUMMYFUNCTION("""COMPUTED_VALUE"""),19350.6499999999)</f>
        <v/>
      </c>
    </row>
    <row r="1736">
      <c r="J1736">
        <f>IFERROR(__xludf.DUMMYFUNCTION("""COMPUTED_VALUE"""),"Baltimore, Maryland, USA")</f>
        <v/>
      </c>
      <c r="K1736">
        <f>IFERROR(__xludf.DUMMYFUNCTION("""COMPUTED_VALUE"""),19349.2)</f>
        <v/>
      </c>
    </row>
    <row r="1737">
      <c r="J1737">
        <f>IFERROR(__xludf.DUMMYFUNCTION("""COMPUTED_VALUE"""),"Basel, Switzerland, Europe")</f>
        <v/>
      </c>
      <c r="K1737">
        <f>IFERROR(__xludf.DUMMYFUNCTION("""COMPUTED_VALUE"""),19339.09)</f>
        <v/>
      </c>
    </row>
    <row r="1738">
      <c r="J1738">
        <f>IFERROR(__xludf.DUMMYFUNCTION("""COMPUTED_VALUE"""),"Toronto, Ontario, Canada; Queenstown, New Zealand; Canberra, Australia; Sydney, Australia")</f>
        <v/>
      </c>
      <c r="K1738">
        <f>IFERROR(__xludf.DUMMYFUNCTION("""COMPUTED_VALUE"""),19335.49)</f>
        <v/>
      </c>
    </row>
    <row r="1739">
      <c r="J1739">
        <f>IFERROR(__xludf.DUMMYFUNCTION("""COMPUTED_VALUE"""),"Tokyo, Japan, Bali, Indonesia")</f>
        <v/>
      </c>
      <c r="K1739">
        <f>IFERROR(__xludf.DUMMYFUNCTION("""COMPUTED_VALUE"""),19332.33)</f>
        <v/>
      </c>
    </row>
    <row r="1740">
      <c r="J1740">
        <f>IFERROR(__xludf.DUMMYFUNCTION("""COMPUTED_VALUE"""),"Addis Ababa, Ethiopia
Nairobi, Kenya
Kigali, Rwanda")</f>
        <v/>
      </c>
      <c r="K1740">
        <f>IFERROR(__xludf.DUMMYFUNCTION("""COMPUTED_VALUE"""),19317.83)</f>
        <v/>
      </c>
    </row>
    <row r="1741">
      <c r="J1741">
        <f>IFERROR(__xludf.DUMMYFUNCTION("""COMPUTED_VALUE"""),"Israel and Switzerland")</f>
        <v/>
      </c>
      <c r="K1741">
        <f>IFERROR(__xludf.DUMMYFUNCTION("""COMPUTED_VALUE"""),19313.8799999999)</f>
        <v/>
      </c>
    </row>
    <row r="1742">
      <c r="J1742">
        <f>IFERROR(__xludf.DUMMYFUNCTION("""COMPUTED_VALUE"""),"Ischia, Italy")</f>
        <v/>
      </c>
      <c r="K1742">
        <f>IFERROR(__xludf.DUMMYFUNCTION("""COMPUTED_VALUE"""),19306.51)</f>
        <v/>
      </c>
    </row>
    <row r="1743">
      <c r="J1743">
        <f>IFERROR(__xludf.DUMMYFUNCTION("""COMPUTED_VALUE"""),"Lviv, Ukraine; Da Nang, Vietnam; Okinawa, Japan; Tokyo, Japan")</f>
        <v/>
      </c>
      <c r="K1743">
        <f>IFERROR(__xludf.DUMMYFUNCTION("""COMPUTED_VALUE"""),19293)</f>
        <v/>
      </c>
    </row>
    <row r="1744">
      <c r="J1744">
        <f>IFERROR(__xludf.DUMMYFUNCTION("""COMPUTED_VALUE"""),"Ottawa, ON; Winnipeg, MB")</f>
        <v/>
      </c>
      <c r="K1744">
        <f>IFERROR(__xludf.DUMMYFUNCTION("""COMPUTED_VALUE"""),19275.37)</f>
        <v/>
      </c>
    </row>
    <row r="1745">
      <c r="J1745">
        <f>IFERROR(__xludf.DUMMYFUNCTION("""COMPUTED_VALUE"""),"Winnipeg and Toronto")</f>
        <v/>
      </c>
      <c r="K1745">
        <f>IFERROR(__xludf.DUMMYFUNCTION("""COMPUTED_VALUE"""),19259.55)</f>
        <v/>
      </c>
    </row>
    <row r="1746">
      <c r="J1746">
        <f>IFERROR(__xludf.DUMMYFUNCTION("""COMPUTED_VALUE"""),"Australia, New Zealand, Tonga, Seoul")</f>
        <v/>
      </c>
      <c r="K1746">
        <f>IFERROR(__xludf.DUMMYFUNCTION("""COMPUTED_VALUE"""),19256.31)</f>
        <v/>
      </c>
    </row>
    <row r="1747">
      <c r="J1747">
        <f>IFERROR(__xludf.DUMMYFUNCTION("""COMPUTED_VALUE"""),"Amsterdam, NL / Stockholm, SE / Oslo, NO / Frankfurt, DE")</f>
        <v/>
      </c>
      <c r="K1747">
        <f>IFERROR(__xludf.DUMMYFUNCTION("""COMPUTED_VALUE"""),19243.36)</f>
        <v/>
      </c>
    </row>
    <row r="1748">
      <c r="J1748">
        <f>IFERROR(__xludf.DUMMYFUNCTION("""COMPUTED_VALUE"""),"Riyadh, Delhi, Tel Aviv, Madrid and Lebanon")</f>
        <v/>
      </c>
      <c r="K1748">
        <f>IFERROR(__xludf.DUMMYFUNCTION("""COMPUTED_VALUE"""),19235.91)</f>
        <v/>
      </c>
    </row>
    <row r="1749">
      <c r="J1749">
        <f>IFERROR(__xludf.DUMMYFUNCTION("""COMPUTED_VALUE"""),"Montréal, Quebec, Canada; Toronto, Ontario, Canada")</f>
        <v/>
      </c>
      <c r="K1749">
        <f>IFERROR(__xludf.DUMMYFUNCTION("""COMPUTED_VALUE"""),19235.74)</f>
        <v/>
      </c>
    </row>
    <row r="1750">
      <c r="J1750">
        <f>IFERROR(__xludf.DUMMYFUNCTION("""COMPUTED_VALUE"""),"Paris/Brussels/Riga")</f>
        <v/>
      </c>
      <c r="K1750">
        <f>IFERROR(__xludf.DUMMYFUNCTION("""COMPUTED_VALUE"""),19234.51)</f>
        <v/>
      </c>
    </row>
    <row r="1751">
      <c r="J1751">
        <f>IFERROR(__xludf.DUMMYFUNCTION("""COMPUTED_VALUE"""),"Trondheim, Norway
New York City, USA")</f>
        <v/>
      </c>
      <c r="K1751">
        <f>IFERROR(__xludf.DUMMYFUNCTION("""COMPUTED_VALUE"""),19218.64)</f>
        <v/>
      </c>
    </row>
    <row r="1752">
      <c r="J1752">
        <f>IFERROR(__xludf.DUMMYFUNCTION("""COMPUTED_VALUE"""),"Frankfurt (Germany), Kiev (Ukraine)")</f>
        <v/>
      </c>
      <c r="K1752">
        <f>IFERROR(__xludf.DUMMYFUNCTION("""COMPUTED_VALUE"""),19217.59)</f>
        <v/>
      </c>
    </row>
    <row r="1753">
      <c r="J1753">
        <f>IFERROR(__xludf.DUMMYFUNCTION("""COMPUTED_VALUE"""),"Netherlands, Italy, Poland and Latvia")</f>
        <v/>
      </c>
      <c r="K1753">
        <f>IFERROR(__xludf.DUMMYFUNCTION("""COMPUTED_VALUE"""),19215.09)</f>
        <v/>
      </c>
    </row>
    <row r="1754">
      <c r="J1754">
        <f>IFERROR(__xludf.DUMMYFUNCTION("""COMPUTED_VALUE"""),"Moldova, Poland, Ukraine")</f>
        <v/>
      </c>
      <c r="K1754">
        <f>IFERROR(__xludf.DUMMYFUNCTION("""COMPUTED_VALUE"""),19212.86)</f>
        <v/>
      </c>
    </row>
    <row r="1755">
      <c r="J1755">
        <f>IFERROR(__xludf.DUMMYFUNCTION("""COMPUTED_VALUE"""),"Sydney, Australia and Wellington, New zealand")</f>
        <v/>
      </c>
      <c r="K1755">
        <f>IFERROR(__xludf.DUMMYFUNCTION("""COMPUTED_VALUE"""),19212.16)</f>
        <v/>
      </c>
    </row>
    <row r="1756">
      <c r="J1756">
        <f>IFERROR(__xludf.DUMMYFUNCTION("""COMPUTED_VALUE"""),"Iqaluit NU")</f>
        <v/>
      </c>
      <c r="K1756">
        <f>IFERROR(__xludf.DUMMYFUNCTION("""COMPUTED_VALUE"""),19207.2399999999)</f>
        <v/>
      </c>
    </row>
    <row r="1757">
      <c r="J1757">
        <f>IFERROR(__xludf.DUMMYFUNCTION("""COMPUTED_VALUE"""),"Ottawa-Seoul Korea-Ottawa")</f>
        <v/>
      </c>
      <c r="K1757">
        <f>IFERROR(__xludf.DUMMYFUNCTION("""COMPUTED_VALUE"""),19206.1)</f>
        <v/>
      </c>
    </row>
    <row r="1758">
      <c r="J1758">
        <f>IFERROR(__xludf.DUMMYFUNCTION("""COMPUTED_VALUE"""),"Bucharest, Romania, Constanta, Romanina,Vienna, Erbil, Iraq, Kuwait City, Kuwait")</f>
        <v/>
      </c>
      <c r="K1758">
        <f>IFERROR(__xludf.DUMMYFUNCTION("""COMPUTED_VALUE"""),19203.04)</f>
        <v/>
      </c>
    </row>
    <row r="1759">
      <c r="J1759">
        <f>IFERROR(__xludf.DUMMYFUNCTION("""COMPUTED_VALUE"""),"Yellowknife")</f>
        <v/>
      </c>
      <c r="K1759">
        <f>IFERROR(__xludf.DUMMYFUNCTION("""COMPUTED_VALUE"""),19202.39)</f>
        <v/>
      </c>
    </row>
    <row r="1760">
      <c r="J1760">
        <f>IFERROR(__xludf.DUMMYFUNCTION("""COMPUTED_VALUE"""),"Zurich, Switzerland, Beijing, China, Tokyo, Japan")</f>
        <v/>
      </c>
      <c r="K1760">
        <f>IFERROR(__xludf.DUMMYFUNCTION("""COMPUTED_VALUE"""),19193.26)</f>
        <v/>
      </c>
    </row>
    <row r="1761">
      <c r="J1761">
        <f>IFERROR(__xludf.DUMMYFUNCTION("""COMPUTED_VALUE"""),"Beijing, China - Hanoï, Vietnam")</f>
        <v/>
      </c>
      <c r="K1761">
        <f>IFERROR(__xludf.DUMMYFUNCTION("""COMPUTED_VALUE"""),19189.29)</f>
        <v/>
      </c>
    </row>
    <row r="1762">
      <c r="J1762">
        <f>IFERROR(__xludf.DUMMYFUNCTION("""COMPUTED_VALUE"""),"Lima, Busan, Tokyo &amp; Seoul")</f>
        <v/>
      </c>
      <c r="K1762">
        <f>IFERROR(__xludf.DUMMYFUNCTION("""COMPUTED_VALUE"""),19171.29)</f>
        <v/>
      </c>
    </row>
    <row r="1763">
      <c r="J1763">
        <f>IFERROR(__xludf.DUMMYFUNCTION("""COMPUTED_VALUE"""),"Denver, USA")</f>
        <v/>
      </c>
      <c r="K1763">
        <f>IFERROR(__xludf.DUMMYFUNCTION("""COMPUTED_VALUE"""),19163.34)</f>
        <v/>
      </c>
    </row>
    <row r="1764">
      <c r="J1764">
        <f>IFERROR(__xludf.DUMMYFUNCTION("""COMPUTED_VALUE"""),"UK &amp; Belguim")</f>
        <v/>
      </c>
      <c r="K1764">
        <f>IFERROR(__xludf.DUMMYFUNCTION("""COMPUTED_VALUE"""),19162.06)</f>
        <v/>
      </c>
    </row>
    <row r="1765">
      <c r="J1765">
        <f>IFERROR(__xludf.DUMMYFUNCTION("""COMPUTED_VALUE"""),"Winnipeg, MB; Halifax, NS;Regina, SK;London;Singap")</f>
        <v/>
      </c>
      <c r="K1765">
        <f>IFERROR(__xludf.DUMMYFUNCTION("""COMPUTED_VALUE"""),19149.21)</f>
        <v/>
      </c>
    </row>
    <row r="1766">
      <c r="J1766">
        <f>IFERROR(__xludf.DUMMYFUNCTION("""COMPUTED_VALUE"""),"Asia &amp; Africa")</f>
        <v/>
      </c>
      <c r="K1766">
        <f>IFERROR(__xludf.DUMMYFUNCTION("""COMPUTED_VALUE"""),19147.31)</f>
        <v/>
      </c>
    </row>
    <row r="1767">
      <c r="J1767">
        <f>IFERROR(__xludf.DUMMYFUNCTION("""COMPUTED_VALUE"""),"Kandahar, Kabul (Afghanistan)")</f>
        <v/>
      </c>
      <c r="K1767">
        <f>IFERROR(__xludf.DUMMYFUNCTION("""COMPUTED_VALUE"""),19145.91)</f>
        <v/>
      </c>
    </row>
    <row r="1768">
      <c r="J1768">
        <f>IFERROR(__xludf.DUMMYFUNCTION("""COMPUTED_VALUE"""),"Whitehorse, YU")</f>
        <v/>
      </c>
      <c r="K1768">
        <f>IFERROR(__xludf.DUMMYFUNCTION("""COMPUTED_VALUE"""),19132.17)</f>
        <v/>
      </c>
    </row>
    <row r="1769">
      <c r="J1769">
        <f>IFERROR(__xludf.DUMMYFUNCTION("""COMPUTED_VALUE"""),"London, England,  Paris (France), Bari, Italy")</f>
        <v/>
      </c>
      <c r="K1769">
        <f>IFERROR(__xludf.DUMMYFUNCTION("""COMPUTED_VALUE"""),19129.82)</f>
        <v/>
      </c>
    </row>
    <row r="1770">
      <c r="J1770">
        <f>IFERROR(__xludf.DUMMYFUNCTION("""COMPUTED_VALUE"""),"Wellington and Auckland, New Zealand; and Canberra and Sydney, Australia")</f>
        <v/>
      </c>
      <c r="K1770">
        <f>IFERROR(__xludf.DUMMYFUNCTION("""COMPUTED_VALUE"""),19124.46)</f>
        <v/>
      </c>
    </row>
    <row r="1771">
      <c r="J1771">
        <f>IFERROR(__xludf.DUMMYFUNCTION("""COMPUTED_VALUE"""),"Riga, Latvia; Warsaw, Poland; Toronto, Ontario, Canada")</f>
        <v/>
      </c>
      <c r="K1771">
        <f>IFERROR(__xludf.DUMMYFUNCTION("""COMPUTED_VALUE"""),19123.21)</f>
        <v/>
      </c>
    </row>
    <row r="1772">
      <c r="J1772">
        <f>IFERROR(__xludf.DUMMYFUNCTION("""COMPUTED_VALUE"""),"Indonesia and Philippines")</f>
        <v/>
      </c>
      <c r="K1772">
        <f>IFERROR(__xludf.DUMMYFUNCTION("""COMPUTED_VALUE"""),19119.4)</f>
        <v/>
      </c>
    </row>
    <row r="1773">
      <c r="J1773">
        <f>IFERROR(__xludf.DUMMYFUNCTION("""COMPUTED_VALUE"""),"Lugano, Switzerland")</f>
        <v/>
      </c>
      <c r="K1773">
        <f>IFERROR(__xludf.DUMMYFUNCTION("""COMPUTED_VALUE"""),19112.75)</f>
        <v/>
      </c>
    </row>
    <row r="1774">
      <c r="J1774">
        <f>IFERROR(__xludf.DUMMYFUNCTION("""COMPUTED_VALUE"""),"Japan and Indonesia")</f>
        <v/>
      </c>
      <c r="K1774">
        <f>IFERROR(__xludf.DUMMYFUNCTION("""COMPUTED_VALUE"""),19109.15)</f>
        <v/>
      </c>
    </row>
    <row r="1775">
      <c r="J1775">
        <f>IFERROR(__xludf.DUMMYFUNCTION("""COMPUTED_VALUE"""),"Powell River, Prince George, Burns Lake, Terrace, and Prince Rupert, British Columbia, Canada")</f>
        <v/>
      </c>
      <c r="K1775">
        <f>IFERROR(__xludf.DUMMYFUNCTION("""COMPUTED_VALUE"""),19096.48)</f>
        <v/>
      </c>
    </row>
    <row r="1776">
      <c r="J1776">
        <f>IFERROR(__xludf.DUMMYFUNCTION("""COMPUTED_VALUE"""),"Senegal, Mali, Rwanda, Ethiopia")</f>
        <v/>
      </c>
      <c r="K1776">
        <f>IFERROR(__xludf.DUMMYFUNCTION("""COMPUTED_VALUE"""),19090.03)</f>
        <v/>
      </c>
    </row>
    <row r="1777">
      <c r="J1777">
        <f>IFERROR(__xludf.DUMMYFUNCTION("""COMPUTED_VALUE"""),"Marina Bay, Singapore")</f>
        <v/>
      </c>
      <c r="K1777">
        <f>IFERROR(__xludf.DUMMYFUNCTION("""COMPUTED_VALUE"""),19088.9)</f>
        <v/>
      </c>
    </row>
    <row r="1778">
      <c r="J1778">
        <f>IFERROR(__xludf.DUMMYFUNCTION("""COMPUTED_VALUE"""),"Calgary, Alberta, Canada; Detroit, United States; Washington, United States; Lima, Peru")</f>
        <v/>
      </c>
      <c r="K1778">
        <f>IFERROR(__xludf.DUMMYFUNCTION("""COMPUTED_VALUE"""),19088.25)</f>
        <v/>
      </c>
    </row>
    <row r="1779">
      <c r="J1779">
        <f>IFERROR(__xludf.DUMMYFUNCTION("""COMPUTED_VALUE"""),"Ontario, Canada")</f>
        <v/>
      </c>
      <c r="K1779">
        <f>IFERROR(__xludf.DUMMYFUNCTION("""COMPUTED_VALUE"""),19084.89)</f>
        <v/>
      </c>
    </row>
    <row r="1780">
      <c r="J1780">
        <f>IFERROR(__xludf.DUMMYFUNCTION("""COMPUTED_VALUE"""),"Estonia and France")</f>
        <v/>
      </c>
      <c r="K1780">
        <f>IFERROR(__xludf.DUMMYFUNCTION("""COMPUTED_VALUE"""),19066.11)</f>
        <v/>
      </c>
    </row>
    <row r="1781">
      <c r="J1781">
        <f>IFERROR(__xludf.DUMMYFUNCTION("""COMPUTED_VALUE"""),"Ukraine and Turkey")</f>
        <v/>
      </c>
      <c r="K1781">
        <f>IFERROR(__xludf.DUMMYFUNCTION("""COMPUTED_VALUE"""),19053.18)</f>
        <v/>
      </c>
    </row>
    <row r="1782">
      <c r="J1782">
        <f>IFERROR(__xludf.DUMMYFUNCTION("""COMPUTED_VALUE"""),"BNGKK-SPORE")</f>
        <v/>
      </c>
      <c r="K1782">
        <f>IFERROR(__xludf.DUMMYFUNCTION("""COMPUTED_VALUE"""),19051.38)</f>
        <v/>
      </c>
    </row>
    <row r="1783">
      <c r="J1783">
        <f>IFERROR(__xludf.DUMMYFUNCTION("""COMPUTED_VALUE"""),"Montreal, Quebec, Canada &amp; Ayer's Cliff, Quebec, Canada")</f>
        <v/>
      </c>
      <c r="K1783">
        <f>IFERROR(__xludf.DUMMYFUNCTION("""COMPUTED_VALUE"""),19050.13)</f>
        <v/>
      </c>
    </row>
    <row r="1784">
      <c r="J1784">
        <f>IFERROR(__xludf.DUMMYFUNCTION("""COMPUTED_VALUE"""),"Johannesburg Rome Milan Brussels, South Africa Italy Belgium")</f>
        <v/>
      </c>
      <c r="K1784">
        <f>IFERROR(__xludf.DUMMYFUNCTION("""COMPUTED_VALUE"""),19038.68)</f>
        <v/>
      </c>
    </row>
    <row r="1785">
      <c r="J1785">
        <f>IFERROR(__xludf.DUMMYFUNCTION("""COMPUTED_VALUE"""),"Tashkent (Uzbekistan), Astana (Kazakhstan), Moscow, Ashgabat (Turkmenistan)")</f>
        <v/>
      </c>
      <c r="K1785">
        <f>IFERROR(__xludf.DUMMYFUNCTION("""COMPUTED_VALUE"""),19034.31)</f>
        <v/>
      </c>
    </row>
    <row r="1786">
      <c r="J1786">
        <f>IFERROR(__xludf.DUMMYFUNCTION("""COMPUTED_VALUE"""),"New Delhi. Kabul. Ulaanbaatar. Beijing. Chongqing.")</f>
        <v/>
      </c>
      <c r="K1786">
        <f>IFERROR(__xludf.DUMMYFUNCTION("""COMPUTED_VALUE"""),19031.79)</f>
        <v/>
      </c>
    </row>
    <row r="1787">
      <c r="J1787">
        <f>IFERROR(__xludf.DUMMYFUNCTION("""COMPUTED_VALUE"""),"Toyko, Japan
Miyazaki, Japan
Singapore, Singapore")</f>
        <v/>
      </c>
      <c r="K1787">
        <f>IFERROR(__xludf.DUMMYFUNCTION("""COMPUTED_VALUE"""),19023.41)</f>
        <v/>
      </c>
    </row>
    <row r="1788">
      <c r="J1788">
        <f>IFERROR(__xludf.DUMMYFUNCTION("""COMPUTED_VALUE"""),"Ottawa - London - Ottawa")</f>
        <v/>
      </c>
      <c r="K1788">
        <f>IFERROR(__xludf.DUMMYFUNCTION("""COMPUTED_VALUE"""),19017.8099999999)</f>
        <v/>
      </c>
    </row>
    <row r="1789">
      <c r="J1789">
        <f>IFERROR(__xludf.DUMMYFUNCTION("""COMPUTED_VALUE"""),"Casablanca, Morocco
Rome, Italy
Altamura, Italy
Bari, Italy
Algiers, Algeria
London, UK")</f>
        <v/>
      </c>
      <c r="K1789">
        <f>IFERROR(__xludf.DUMMYFUNCTION("""COMPUTED_VALUE"""),19003.27)</f>
        <v/>
      </c>
    </row>
    <row r="1790">
      <c r="J1790">
        <f>IFERROR(__xludf.DUMMYFUNCTION("""COMPUTED_VALUE"""),"Nagoya, Japan / Italy, Rome")</f>
        <v/>
      </c>
      <c r="K1790">
        <f>IFERROR(__xludf.DUMMYFUNCTION("""COMPUTED_VALUE"""),19003.25)</f>
        <v/>
      </c>
    </row>
    <row r="1791">
      <c r="J1791">
        <f>IFERROR(__xludf.DUMMYFUNCTION("""COMPUTED_VALUE"""),"New Orleans, LA")</f>
        <v/>
      </c>
      <c r="K1791">
        <f>IFERROR(__xludf.DUMMYFUNCTION("""COMPUTED_VALUE"""),18989.01)</f>
        <v/>
      </c>
    </row>
    <row r="1792">
      <c r="J1792">
        <f>IFERROR(__xludf.DUMMYFUNCTION("""COMPUTED_VALUE"""),"Okinawa and Tokyo, Japan")</f>
        <v/>
      </c>
      <c r="K1792">
        <f>IFERROR(__xludf.DUMMYFUNCTION("""COMPUTED_VALUE"""),18986.98)</f>
        <v/>
      </c>
    </row>
    <row r="1793">
      <c r="J1793">
        <f>IFERROR(__xludf.DUMMYFUNCTION("""COMPUTED_VALUE"""),"Calgary, AB Washington, DC - USA Buenos Aires, Argentina")</f>
        <v/>
      </c>
      <c r="K1793">
        <f>IFERROR(__xludf.DUMMYFUNCTION("""COMPUTED_VALUE"""),18974.68)</f>
        <v/>
      </c>
    </row>
    <row r="1794">
      <c r="J1794">
        <f>IFERROR(__xludf.DUMMYFUNCTION("""COMPUTED_VALUE"""),"Banff, Alberta, Canada; Calgary, Alberta, Canada; Denver, United States; Washington, United States; Buenos Aires, Argentina")</f>
        <v/>
      </c>
      <c r="K1794">
        <f>IFERROR(__xludf.DUMMYFUNCTION("""COMPUTED_VALUE"""),18958.42)</f>
        <v/>
      </c>
    </row>
    <row r="1795">
      <c r="J1795">
        <f>IFERROR(__xludf.DUMMYFUNCTION("""COMPUTED_VALUE"""),"Hong Kong, China / Tokyo, Japan / Bangkok, Thailand / Singapore, Republic of Singapore")</f>
        <v/>
      </c>
      <c r="K1795">
        <f>IFERROR(__xludf.DUMMYFUNCTION("""COMPUTED_VALUE"""),18958.21)</f>
        <v/>
      </c>
    </row>
    <row r="1796">
      <c r="J1796">
        <f>IFERROR(__xludf.DUMMYFUNCTION("""COMPUTED_VALUE"""),"Doha, Qatar, Jordan")</f>
        <v/>
      </c>
      <c r="K1796">
        <f>IFERROR(__xludf.DUMMYFUNCTION("""COMPUTED_VALUE"""),18956.14)</f>
        <v/>
      </c>
    </row>
    <row r="1797">
      <c r="J1797">
        <f>IFERROR(__xludf.DUMMYFUNCTION("""COMPUTED_VALUE"""),"Vancouver British Columbia")</f>
        <v/>
      </c>
      <c r="K1797">
        <f>IFERROR(__xludf.DUMMYFUNCTION("""COMPUTED_VALUE"""),18938.6)</f>
        <v/>
      </c>
    </row>
    <row r="1798">
      <c r="J1798">
        <f>IFERROR(__xludf.DUMMYFUNCTION("""COMPUTED_VALUE"""),"Vancouver, BC; Ottawa, ON")</f>
        <v/>
      </c>
      <c r="K1798">
        <f>IFERROR(__xludf.DUMMYFUNCTION("""COMPUTED_VALUE"""),18925.87)</f>
        <v/>
      </c>
    </row>
    <row r="1799">
      <c r="J1799">
        <f>IFERROR(__xludf.DUMMYFUNCTION("""COMPUTED_VALUE"""),"Singapore, Thailand")</f>
        <v/>
      </c>
      <c r="K1799">
        <f>IFERROR(__xludf.DUMMYFUNCTION("""COMPUTED_VALUE"""),18922.2)</f>
        <v/>
      </c>
    </row>
    <row r="1800">
      <c r="J1800">
        <f>IFERROR(__xludf.DUMMYFUNCTION("""COMPUTED_VALUE"""),"Long Beach, CA, USA")</f>
        <v/>
      </c>
      <c r="K1800">
        <f>IFERROR(__xludf.DUMMYFUNCTION("""COMPUTED_VALUE"""),18899.76)</f>
        <v/>
      </c>
    </row>
    <row r="1801">
      <c r="J1801">
        <f>IFERROR(__xludf.DUMMYFUNCTION("""COMPUTED_VALUE"""),"Gjoa Haven, Nunavut")</f>
        <v/>
      </c>
      <c r="K1801">
        <f>IFERROR(__xludf.DUMMYFUNCTION("""COMPUTED_VALUE"""),18898.77)</f>
        <v/>
      </c>
    </row>
    <row r="1802">
      <c r="J1802">
        <f>IFERROR(__xludf.DUMMYFUNCTION("""COMPUTED_VALUE"""),"Brussels, Belgium, Moscow, Russia and Berlin")</f>
        <v/>
      </c>
      <c r="K1802">
        <f>IFERROR(__xludf.DUMMYFUNCTION("""COMPUTED_VALUE"""),18897.7399999999)</f>
        <v/>
      </c>
    </row>
    <row r="1803">
      <c r="J1803">
        <f>IFERROR(__xludf.DUMMYFUNCTION("""COMPUTED_VALUE"""),"Addis Ababa and Phnom Penh")</f>
        <v/>
      </c>
      <c r="K1803">
        <f>IFERROR(__xludf.DUMMYFUNCTION("""COMPUTED_VALUE"""),18887.12)</f>
        <v/>
      </c>
    </row>
    <row r="1804">
      <c r="J1804">
        <f>IFERROR(__xludf.DUMMYFUNCTION("""COMPUTED_VALUE"""),"New York, Rome and China")</f>
        <v/>
      </c>
      <c r="K1804">
        <f>IFERROR(__xludf.DUMMYFUNCTION("""COMPUTED_VALUE"""),18864.84)</f>
        <v/>
      </c>
    </row>
    <row r="1805">
      <c r="J1805">
        <f>IFERROR(__xludf.DUMMYFUNCTION("""COMPUTED_VALUE"""),"London, England; Harare, Zimbabwe; Johannesburg, South Africa and Maputo, Mozambique")</f>
        <v/>
      </c>
      <c r="K1805">
        <f>IFERROR(__xludf.DUMMYFUNCTION("""COMPUTED_VALUE"""),18860.68)</f>
        <v/>
      </c>
    </row>
    <row r="1806">
      <c r="J1806">
        <f>IFERROR(__xludf.DUMMYFUNCTION("""COMPUTED_VALUE"""),"Japan &amp; Hawaii")</f>
        <v/>
      </c>
      <c r="K1806">
        <f>IFERROR(__xludf.DUMMYFUNCTION("""COMPUTED_VALUE"""),18858.11)</f>
        <v/>
      </c>
    </row>
    <row r="1807">
      <c r="J1807">
        <f>IFERROR(__xludf.DUMMYFUNCTION("""COMPUTED_VALUE"""),"Vancouver, British Columbia and Calgary, Alberta")</f>
        <v/>
      </c>
      <c r="K1807">
        <f>IFERROR(__xludf.DUMMYFUNCTION("""COMPUTED_VALUE"""),18850.5999999999)</f>
        <v/>
      </c>
    </row>
    <row r="1808">
      <c r="J1808">
        <f>IFERROR(__xludf.DUMMYFUNCTION("""COMPUTED_VALUE"""),"Vancouver (British-Columbia) Canada")</f>
        <v/>
      </c>
      <c r="K1808">
        <f>IFERROR(__xludf.DUMMYFUNCTION("""COMPUTED_VALUE"""),18850.54)</f>
        <v/>
      </c>
    </row>
    <row r="1809">
      <c r="J1809">
        <f>IFERROR(__xludf.DUMMYFUNCTION("""COMPUTED_VALUE"""),"Chile, Argentina &amp; Brazil")</f>
        <v/>
      </c>
      <c r="K1809">
        <f>IFERROR(__xludf.DUMMYFUNCTION("""COMPUTED_VALUE"""),18835.91)</f>
        <v/>
      </c>
    </row>
    <row r="1810">
      <c r="J1810">
        <f>IFERROR(__xludf.DUMMYFUNCTION("""COMPUTED_VALUE"""),"Bogota, Colombia; Panama City, Panama")</f>
        <v/>
      </c>
      <c r="K1810">
        <f>IFERROR(__xludf.DUMMYFUNCTION("""COMPUTED_VALUE"""),18835.19)</f>
        <v/>
      </c>
    </row>
    <row r="1811">
      <c r="J1811">
        <f>IFERROR(__xludf.DUMMYFUNCTION("""COMPUTED_VALUE"""),"Copenhagen, Denmark - Helsinki, Finland")</f>
        <v/>
      </c>
      <c r="K1811">
        <f>IFERROR(__xludf.DUMMYFUNCTION("""COMPUTED_VALUE"""),18827.17)</f>
        <v/>
      </c>
    </row>
    <row r="1812">
      <c r="J1812">
        <f>IFERROR(__xludf.DUMMYFUNCTION("""COMPUTED_VALUE"""),"Tokyo, Japon")</f>
        <v/>
      </c>
      <c r="K1812">
        <f>IFERROR(__xludf.DUMMYFUNCTION("""COMPUTED_VALUE"""),18825.4499999999)</f>
        <v/>
      </c>
    </row>
    <row r="1813">
      <c r="J1813">
        <f>IFERROR(__xludf.DUMMYFUNCTION("""COMPUTED_VALUE"""),"Singapore, Brunei, Hong Kong")</f>
        <v/>
      </c>
      <c r="K1813">
        <f>IFERROR(__xludf.DUMMYFUNCTION("""COMPUTED_VALUE"""),18818.96)</f>
        <v/>
      </c>
    </row>
    <row r="1814">
      <c r="J1814">
        <f>IFERROR(__xludf.DUMMYFUNCTION("""COMPUTED_VALUE"""),"Germany, Thailand, Cambodia, Philippines, Indonesia")</f>
        <v/>
      </c>
      <c r="K1814">
        <f>IFERROR(__xludf.DUMMYFUNCTION("""COMPUTED_VALUE"""),18813.27)</f>
        <v/>
      </c>
    </row>
    <row r="1815">
      <c r="J1815">
        <f>IFERROR(__xludf.DUMMYFUNCTION("""COMPUTED_VALUE"""),"Zagreb, Croatia")</f>
        <v/>
      </c>
      <c r="K1815">
        <f>IFERROR(__xludf.DUMMYFUNCTION("""COMPUTED_VALUE"""),18810.37)</f>
        <v/>
      </c>
    </row>
    <row r="1816">
      <c r="J1816">
        <f>IFERROR(__xludf.DUMMYFUNCTION("""COMPUTED_VALUE"""),"Paris and Beirut")</f>
        <v/>
      </c>
      <c r="K1816">
        <f>IFERROR(__xludf.DUMMYFUNCTION("""COMPUTED_VALUE"""),18806.95)</f>
        <v/>
      </c>
    </row>
    <row r="1817">
      <c r="J1817">
        <f>IFERROR(__xludf.DUMMYFUNCTION("""COMPUTED_VALUE"""),"Kuwait, Qatar and Bahrain")</f>
        <v/>
      </c>
      <c r="K1817">
        <f>IFERROR(__xludf.DUMMYFUNCTION("""COMPUTED_VALUE"""),18806.67)</f>
        <v/>
      </c>
    </row>
    <row r="1818">
      <c r="J1818">
        <f>IFERROR(__xludf.DUMMYFUNCTION("""COMPUTED_VALUE"""),"Washington, District of Columbia; China")</f>
        <v/>
      </c>
      <c r="K1818">
        <f>IFERROR(__xludf.DUMMYFUNCTION("""COMPUTED_VALUE"""),18803.3)</f>
        <v/>
      </c>
    </row>
    <row r="1819">
      <c r="J1819">
        <f>IFERROR(__xludf.DUMMYFUNCTION("""COMPUTED_VALUE"""),"Singapore; Malaysia")</f>
        <v/>
      </c>
      <c r="K1819">
        <f>IFERROR(__xludf.DUMMYFUNCTION("""COMPUTED_VALUE"""),18802.21)</f>
        <v/>
      </c>
    </row>
    <row r="1820">
      <c r="J1820">
        <f>IFERROR(__xludf.DUMMYFUNCTION("""COMPUTED_VALUE"""),"Moscow, London")</f>
        <v/>
      </c>
      <c r="K1820">
        <f>IFERROR(__xludf.DUMMYFUNCTION("""COMPUTED_VALUE"""),18798.07)</f>
        <v/>
      </c>
    </row>
    <row r="1821">
      <c r="J1821">
        <f>IFERROR(__xludf.DUMMYFUNCTION("""COMPUTED_VALUE"""),"Berlin, Germany AND Stockholm, Sweden")</f>
        <v/>
      </c>
      <c r="K1821">
        <f>IFERROR(__xludf.DUMMYFUNCTION("""COMPUTED_VALUE"""),18796.76)</f>
        <v/>
      </c>
    </row>
    <row r="1822">
      <c r="J1822">
        <f>IFERROR(__xludf.DUMMYFUNCTION("""COMPUTED_VALUE"""),"Fredericton (New Brunswick) Canada")</f>
        <v/>
      </c>
      <c r="K1822">
        <f>IFERROR(__xludf.DUMMYFUNCTION("""COMPUTED_VALUE"""),18796.4)</f>
        <v/>
      </c>
    </row>
    <row r="1823">
      <c r="J1823">
        <f>IFERROR(__xludf.DUMMYFUNCTION("""COMPUTED_VALUE"""),"Finland, France, United Kingdom")</f>
        <v/>
      </c>
      <c r="K1823">
        <f>IFERROR(__xludf.DUMMYFUNCTION("""COMPUTED_VALUE"""),18796.11)</f>
        <v/>
      </c>
    </row>
    <row r="1824">
      <c r="J1824">
        <f>IFERROR(__xludf.DUMMYFUNCTION("""COMPUTED_VALUE"""),"Oxford, England")</f>
        <v/>
      </c>
      <c r="K1824">
        <f>IFERROR(__xludf.DUMMYFUNCTION("""COMPUTED_VALUE"""),18794.97)</f>
        <v/>
      </c>
    </row>
    <row r="1825">
      <c r="J1825">
        <f>IFERROR(__xludf.DUMMYFUNCTION("""COMPUTED_VALUE"""),"Colorado Springs (Colorado) United States")</f>
        <v/>
      </c>
      <c r="K1825">
        <f>IFERROR(__xludf.DUMMYFUNCTION("""COMPUTED_VALUE"""),18771.47)</f>
        <v/>
      </c>
    </row>
    <row r="1826">
      <c r="J1826">
        <f>IFERROR(__xludf.DUMMYFUNCTION("""COMPUTED_VALUE"""),"Brussels, Istanbul, Accra and Reykjavik")</f>
        <v/>
      </c>
      <c r="K1826">
        <f>IFERROR(__xludf.DUMMYFUNCTION("""COMPUTED_VALUE"""),18761.95)</f>
        <v/>
      </c>
    </row>
    <row r="1827">
      <c r="J1827">
        <f>IFERROR(__xludf.DUMMYFUNCTION("""COMPUTED_VALUE"""),"Iqaluit (Nunavut) Canada")</f>
        <v/>
      </c>
      <c r="K1827">
        <f>IFERROR(__xludf.DUMMYFUNCTION("""COMPUTED_VALUE"""),18753.12)</f>
        <v/>
      </c>
    </row>
    <row r="1828">
      <c r="J1828">
        <f>IFERROR(__xludf.DUMMYFUNCTION("""COMPUTED_VALUE"""),"Gander, Newfoundland and Labrador, Canada")</f>
        <v/>
      </c>
      <c r="K1828">
        <f>IFERROR(__xludf.DUMMYFUNCTION("""COMPUTED_VALUE"""),18749.03)</f>
        <v/>
      </c>
    </row>
    <row r="1829">
      <c r="J1829">
        <f>IFERROR(__xludf.DUMMYFUNCTION("""COMPUTED_VALUE"""),"Geneva, Switzerland / Singapore, Singapore / Beijing, China")</f>
        <v/>
      </c>
      <c r="K1829">
        <f>IFERROR(__xludf.DUMMYFUNCTION("""COMPUTED_VALUE"""),18747.1)</f>
        <v/>
      </c>
    </row>
    <row r="1830">
      <c r="J1830">
        <f>IFERROR(__xludf.DUMMYFUNCTION("""COMPUTED_VALUE"""),"St. Andrews, New Brunswick")</f>
        <v/>
      </c>
      <c r="K1830">
        <f>IFERROR(__xludf.DUMMYFUNCTION("""COMPUTED_VALUE"""),18741.89)</f>
        <v/>
      </c>
    </row>
    <row r="1831">
      <c r="J1831">
        <f>IFERROR(__xludf.DUMMYFUNCTION("""COMPUTED_VALUE"""),"Tokyo, Japan / Seoul, South Korea")</f>
        <v/>
      </c>
      <c r="K1831">
        <f>IFERROR(__xludf.DUMMYFUNCTION("""COMPUTED_VALUE"""),18736.9)</f>
        <v/>
      </c>
    </row>
    <row r="1832">
      <c r="J1832">
        <f>IFERROR(__xludf.DUMMYFUNCTION("""COMPUTED_VALUE"""),"International engagement meetings")</f>
        <v/>
      </c>
      <c r="K1832">
        <f>IFERROR(__xludf.DUMMYFUNCTION("""COMPUTED_VALUE"""),18729.08)</f>
        <v/>
      </c>
    </row>
    <row r="1833">
      <c r="J1833">
        <f>IFERROR(__xludf.DUMMYFUNCTION("""COMPUTED_VALUE"""),"Québec City, Québec, Canada")</f>
        <v/>
      </c>
      <c r="K1833">
        <f>IFERROR(__xludf.DUMMYFUNCTION("""COMPUTED_VALUE"""),18690.05)</f>
        <v/>
      </c>
    </row>
    <row r="1834">
      <c r="J1834">
        <f>IFERROR(__xludf.DUMMYFUNCTION("""COMPUTED_VALUE"""),"Canberra, Australia, Seoul, Korea")</f>
        <v/>
      </c>
      <c r="K1834">
        <f>IFERROR(__xludf.DUMMYFUNCTION("""COMPUTED_VALUE"""),18689.96)</f>
        <v/>
      </c>
    </row>
    <row r="1835">
      <c r="J1835">
        <f>IFERROR(__xludf.DUMMYFUNCTION("""COMPUTED_VALUE"""),"Vienna, Austria and Lyon, France")</f>
        <v/>
      </c>
      <c r="K1835">
        <f>IFERROR(__xludf.DUMMYFUNCTION("""COMPUTED_VALUE"""),18687.91)</f>
        <v/>
      </c>
    </row>
    <row r="1836">
      <c r="J1836">
        <f>IFERROR(__xludf.DUMMYFUNCTION("""COMPUTED_VALUE"""),"Sydney - Australia")</f>
        <v/>
      </c>
      <c r="K1836">
        <f>IFERROR(__xludf.DUMMYFUNCTION("""COMPUTED_VALUE"""),18687.82)</f>
        <v/>
      </c>
    </row>
    <row r="1837">
      <c r="J1837">
        <f>IFERROR(__xludf.DUMMYFUNCTION("""COMPUTED_VALUE"""),"United States")</f>
        <v/>
      </c>
      <c r="K1837">
        <f>IFERROR(__xludf.DUMMYFUNCTION("""COMPUTED_VALUE"""),18659.03)</f>
        <v/>
      </c>
    </row>
    <row r="1838">
      <c r="J1838">
        <f>IFERROR(__xludf.DUMMYFUNCTION("""COMPUTED_VALUE"""),"Brussels/Munich")</f>
        <v/>
      </c>
      <c r="K1838">
        <f>IFERROR(__xludf.DUMMYFUNCTION("""COMPUTED_VALUE"""),18649.91)</f>
        <v/>
      </c>
    </row>
    <row r="1839">
      <c r="J1839">
        <f>IFERROR(__xludf.DUMMYFUNCTION("""COMPUTED_VALUE"""),"Washington, USA. Dhaka, Bangladesh. Mumbai, India. Thimphu, Bhutan.")</f>
        <v/>
      </c>
      <c r="K1839">
        <f>IFERROR(__xludf.DUMMYFUNCTION("""COMPUTED_VALUE"""),18647.89)</f>
        <v/>
      </c>
    </row>
    <row r="1840">
      <c r="J1840">
        <f>IFERROR(__xludf.DUMMYFUNCTION("""COMPUTED_VALUE"""),"Rome, Italy and Sydney, Australia")</f>
        <v/>
      </c>
      <c r="K1840">
        <f>IFERROR(__xludf.DUMMYFUNCTION("""COMPUTED_VALUE"""),18642.94)</f>
        <v/>
      </c>
    </row>
    <row r="1841">
      <c r="J1841">
        <f>IFERROR(__xludf.DUMMYFUNCTION("""COMPUTED_VALUE"""),"San Diego, CA")</f>
        <v/>
      </c>
      <c r="K1841">
        <f>IFERROR(__xludf.DUMMYFUNCTION("""COMPUTED_VALUE"""),18641.71)</f>
        <v/>
      </c>
    </row>
    <row r="1842">
      <c r="J1842">
        <f>IFERROR(__xludf.DUMMYFUNCTION("""COMPUTED_VALUE"""),"Ottawa-London-Istanbul-Dubai")</f>
        <v/>
      </c>
      <c r="K1842">
        <f>IFERROR(__xludf.DUMMYFUNCTION("""COMPUTED_VALUE"""),18630.63)</f>
        <v/>
      </c>
    </row>
    <row r="1843">
      <c r="J1843">
        <f>IFERROR(__xludf.DUMMYFUNCTION("""COMPUTED_VALUE"""),"Ho Chi Minh, Vietnam - Mumbai, India - New Delhi, India")</f>
        <v/>
      </c>
      <c r="K1843">
        <f>IFERROR(__xludf.DUMMYFUNCTION("""COMPUTED_VALUE"""),18628.26)</f>
        <v/>
      </c>
    </row>
    <row r="1844">
      <c r="J1844">
        <f>IFERROR(__xludf.DUMMYFUNCTION("""COMPUTED_VALUE"""),"Denmark, Sweden, Finland")</f>
        <v/>
      </c>
      <c r="K1844">
        <f>IFERROR(__xludf.DUMMYFUNCTION("""COMPUTED_VALUE"""),18627.14)</f>
        <v/>
      </c>
    </row>
    <row r="1845">
      <c r="J1845">
        <f>IFERROR(__xludf.DUMMYFUNCTION("""COMPUTED_VALUE"""),"Kiev - Ukraine")</f>
        <v/>
      </c>
      <c r="K1845">
        <f>IFERROR(__xludf.DUMMYFUNCTION("""COMPUTED_VALUE"""),18606.12)</f>
        <v/>
      </c>
    </row>
    <row r="1846">
      <c r="J1846">
        <f>IFERROR(__xludf.DUMMYFUNCTION("""COMPUTED_VALUE"""),"London, Greater London, United Kin")</f>
        <v/>
      </c>
      <c r="K1846">
        <f>IFERROR(__xludf.DUMMYFUNCTION("""COMPUTED_VALUE"""),18600.96)</f>
        <v/>
      </c>
    </row>
    <row r="1847">
      <c r="J1847">
        <f>IFERROR(__xludf.DUMMYFUNCTION("""COMPUTED_VALUE"""),"Istanbul, Turkey; Beijing, China; Shanghai, China")</f>
        <v/>
      </c>
      <c r="K1847">
        <f>IFERROR(__xludf.DUMMYFUNCTION("""COMPUTED_VALUE"""),18600.1299999999)</f>
        <v/>
      </c>
    </row>
    <row r="1848">
      <c r="J1848">
        <f>IFERROR(__xludf.DUMMYFUNCTION("""COMPUTED_VALUE"""),"Beijing, China, Seoul")</f>
        <v/>
      </c>
      <c r="K1848">
        <f>IFERROR(__xludf.DUMMYFUNCTION("""COMPUTED_VALUE"""),18589.47)</f>
        <v/>
      </c>
    </row>
    <row r="1849">
      <c r="J1849">
        <f>IFERROR(__xludf.DUMMYFUNCTION("""COMPUTED_VALUE"""),"Tokyo Singapore")</f>
        <v/>
      </c>
      <c r="K1849">
        <f>IFERROR(__xludf.DUMMYFUNCTION("""COMPUTED_VALUE"""),18584.68)</f>
        <v/>
      </c>
    </row>
    <row r="1850">
      <c r="J1850">
        <f>IFERROR(__xludf.DUMMYFUNCTION("""COMPUTED_VALUE"""),"Sydney- Cranberra- Melbourne")</f>
        <v/>
      </c>
      <c r="K1850">
        <f>IFERROR(__xludf.DUMMYFUNCTION("""COMPUTED_VALUE"""),18579.23)</f>
        <v/>
      </c>
    </row>
    <row r="1851">
      <c r="J1851">
        <f>IFERROR(__xludf.DUMMYFUNCTION("""COMPUTED_VALUE"""),"Paris, France, London, England, Astana, Kazakhstan")</f>
        <v/>
      </c>
      <c r="K1851">
        <f>IFERROR(__xludf.DUMMYFUNCTION("""COMPUTED_VALUE"""),18577.89)</f>
        <v/>
      </c>
    </row>
    <row r="1852">
      <c r="J1852">
        <f>IFERROR(__xludf.DUMMYFUNCTION("""COMPUTED_VALUE"""),"Sanya, China")</f>
        <v/>
      </c>
      <c r="K1852">
        <f>IFERROR(__xludf.DUMMYFUNCTION("""COMPUTED_VALUE"""),18573.77)</f>
        <v/>
      </c>
    </row>
    <row r="1853">
      <c r="J1853">
        <f>IFERROR(__xludf.DUMMYFUNCTION("""COMPUTED_VALUE"""),"Val-d'Or, Quebec, Canada")</f>
        <v/>
      </c>
      <c r="K1853">
        <f>IFERROR(__xludf.DUMMYFUNCTION("""COMPUTED_VALUE"""),18572.24)</f>
        <v/>
      </c>
    </row>
    <row r="1854">
      <c r="J1854">
        <f>IFERROR(__xludf.DUMMYFUNCTION("""COMPUTED_VALUE"""),"Europe and Asia")</f>
        <v/>
      </c>
      <c r="K1854">
        <f>IFERROR(__xludf.DUMMYFUNCTION("""COMPUTED_VALUE"""),18555.5)</f>
        <v/>
      </c>
    </row>
    <row r="1855">
      <c r="J1855">
        <f>IFERROR(__xludf.DUMMYFUNCTION("""COMPUTED_VALUE"""),"Kazakhstan and UAE")</f>
        <v/>
      </c>
      <c r="K1855">
        <f>IFERROR(__xludf.DUMMYFUNCTION("""COMPUTED_VALUE"""),18550.06)</f>
        <v/>
      </c>
    </row>
    <row r="1856">
      <c r="J1856">
        <f>IFERROR(__xludf.DUMMYFUNCTION("""COMPUTED_VALUE"""),"Newark, New Jersey, United States")</f>
        <v/>
      </c>
      <c r="K1856">
        <f>IFERROR(__xludf.DUMMYFUNCTION("""COMPUTED_VALUE"""),18548.81)</f>
        <v/>
      </c>
    </row>
    <row r="1857">
      <c r="J1857">
        <f>IFERROR(__xludf.DUMMYFUNCTION("""COMPUTED_VALUE"""),"Honolulu, United States")</f>
        <v/>
      </c>
      <c r="K1857">
        <f>IFERROR(__xludf.DUMMYFUNCTION("""COMPUTED_VALUE"""),18544.98)</f>
        <v/>
      </c>
    </row>
    <row r="1858">
      <c r="J1858">
        <f>IFERROR(__xludf.DUMMYFUNCTION("""COMPUTED_VALUE"""),"Vietnam, Singapore, Brunei")</f>
        <v/>
      </c>
      <c r="K1858">
        <f>IFERROR(__xludf.DUMMYFUNCTION("""COMPUTED_VALUE"""),18535.37)</f>
        <v/>
      </c>
    </row>
    <row r="1859">
      <c r="J1859">
        <f>IFERROR(__xludf.DUMMYFUNCTION("""COMPUTED_VALUE"""),"Traverse City, Michigan")</f>
        <v/>
      </c>
      <c r="K1859">
        <f>IFERROR(__xludf.DUMMYFUNCTION("""COMPUTED_VALUE"""),18520.8299999999)</f>
        <v/>
      </c>
    </row>
    <row r="1860">
      <c r="J1860">
        <f>IFERROR(__xludf.DUMMYFUNCTION("""COMPUTED_VALUE"""),"Okinawa, Japan; Tokyo, Japan; Busan, Republic of Korea; Seoul, Republic of Korea; Honolulu, Hawaii")</f>
        <v/>
      </c>
      <c r="K1860">
        <f>IFERROR(__xludf.DUMMYFUNCTION("""COMPUTED_VALUE"""),18519.5)</f>
        <v/>
      </c>
    </row>
    <row r="1861">
      <c r="J1861">
        <f>IFERROR(__xludf.DUMMYFUNCTION("""COMPUTED_VALUE"""),"Vancouver, British Columbia and Victoria, British Columbia")</f>
        <v/>
      </c>
      <c r="K1861">
        <f>IFERROR(__xludf.DUMMYFUNCTION("""COMPUTED_VALUE"""),18514.29)</f>
        <v/>
      </c>
    </row>
    <row r="1862">
      <c r="J1862">
        <f>IFERROR(__xludf.DUMMYFUNCTION("""COMPUTED_VALUE"""),"Wellington, NEW ZEALAND Canberra, AUSTRALIA")</f>
        <v/>
      </c>
      <c r="K1862">
        <f>IFERROR(__xludf.DUMMYFUNCTION("""COMPUTED_VALUE"""),18502.25)</f>
        <v/>
      </c>
    </row>
    <row r="1863">
      <c r="J1863">
        <f>IFERROR(__xludf.DUMMYFUNCTION("""COMPUTED_VALUE"""),"Mumbai, Maharashtra, India;  Singapore, Singapore &amp; Hong Kong, Hong Kong")</f>
        <v/>
      </c>
      <c r="K1863">
        <f>IFERROR(__xludf.DUMMYFUNCTION("""COMPUTED_VALUE"""),18496.68)</f>
        <v/>
      </c>
    </row>
    <row r="1864">
      <c r="J1864">
        <f>IFERROR(__xludf.DUMMYFUNCTION("""COMPUTED_VALUE"""),"Poland, Germany and Japan")</f>
        <v/>
      </c>
      <c r="K1864">
        <f>IFERROR(__xludf.DUMMYFUNCTION("""COMPUTED_VALUE"""),18493.28)</f>
        <v/>
      </c>
    </row>
    <row r="1865">
      <c r="J1865">
        <f>IFERROR(__xludf.DUMMYFUNCTION("""COMPUTED_VALUE"""),"Lebanon, Jordan and Egypt")</f>
        <v/>
      </c>
      <c r="K1865">
        <f>IFERROR(__xludf.DUMMYFUNCTION("""COMPUTED_VALUE"""),18486.97)</f>
        <v/>
      </c>
    </row>
    <row r="1866">
      <c r="J1866">
        <f>IFERROR(__xludf.DUMMYFUNCTION("""COMPUTED_VALUE"""),"Berlin, DE")</f>
        <v/>
      </c>
      <c r="K1866">
        <f>IFERROR(__xludf.DUMMYFUNCTION("""COMPUTED_VALUE"""),18478.59)</f>
        <v/>
      </c>
    </row>
    <row r="1867">
      <c r="J1867">
        <f>IFERROR(__xludf.DUMMYFUNCTION("""COMPUTED_VALUE"""),"Vancouver Toronto Ottawa, BC and ON, Canada")</f>
        <v/>
      </c>
      <c r="K1867">
        <f>IFERROR(__xludf.DUMMYFUNCTION("""COMPUTED_VALUE"""),18470.41)</f>
        <v/>
      </c>
    </row>
    <row r="1868">
      <c r="J1868">
        <f>IFERROR(__xludf.DUMMYFUNCTION("""COMPUTED_VALUE"""),"Hong Kong and Beijing, China")</f>
        <v/>
      </c>
      <c r="K1868">
        <f>IFERROR(__xludf.DUMMYFUNCTION("""COMPUTED_VALUE"""),18460.54)</f>
        <v/>
      </c>
    </row>
    <row r="1869">
      <c r="J1869">
        <f>IFERROR(__xludf.DUMMYFUNCTION("""COMPUTED_VALUE"""),"Vancouver, British Columbia, Canada / Victoria, British Columbia, Canada")</f>
        <v/>
      </c>
      <c r="K1869">
        <f>IFERROR(__xludf.DUMMYFUNCTION("""COMPUTED_VALUE"""),18439.01)</f>
        <v/>
      </c>
    </row>
    <row r="1870">
      <c r="J1870">
        <f>IFERROR(__xludf.DUMMYFUNCTION("""COMPUTED_VALUE"""),"Hong Kong, Hong Kong / Singapore, Singapore")</f>
        <v/>
      </c>
      <c r="K1870">
        <f>IFERROR(__xludf.DUMMYFUNCTION("""COMPUTED_VALUE"""),18433.4)</f>
        <v/>
      </c>
    </row>
    <row r="1871">
      <c r="J1871">
        <f>IFERROR(__xludf.DUMMYFUNCTION("""COMPUTED_VALUE"""),"Split, Croatia and
Colorado Springs, CO")</f>
        <v/>
      </c>
      <c r="K1871">
        <f>IFERROR(__xludf.DUMMYFUNCTION("""COMPUTED_VALUE"""),18432.27)</f>
        <v/>
      </c>
    </row>
    <row r="1872">
      <c r="J1872">
        <f>IFERROR(__xludf.DUMMYFUNCTION("""COMPUTED_VALUE"""),"Doha, Qatar; Kabul, Afghanistan")</f>
        <v/>
      </c>
      <c r="K1872">
        <f>IFERROR(__xludf.DUMMYFUNCTION("""COMPUTED_VALUE"""),18419.69)</f>
        <v/>
      </c>
    </row>
    <row r="1873">
      <c r="J1873">
        <f>IFERROR(__xludf.DUMMYFUNCTION("""COMPUTED_VALUE"""),"Rome, IT")</f>
        <v/>
      </c>
      <c r="K1873">
        <f>IFERROR(__xludf.DUMMYFUNCTION("""COMPUTED_VALUE"""),18411.7499999999)</f>
        <v/>
      </c>
    </row>
    <row r="1874">
      <c r="J1874">
        <f>IFERROR(__xludf.DUMMYFUNCTION("""COMPUTED_VALUE"""),"Aix-en-Provence, France")</f>
        <v/>
      </c>
      <c r="K1874">
        <f>IFERROR(__xludf.DUMMYFUNCTION("""COMPUTED_VALUE"""),18410.27)</f>
        <v/>
      </c>
    </row>
    <row r="1875">
      <c r="J1875">
        <f>IFERROR(__xludf.DUMMYFUNCTION("""COMPUTED_VALUE"""),"Hanoi, Vietnam
Brussels, Belgium")</f>
        <v/>
      </c>
      <c r="K1875">
        <f>IFERROR(__xludf.DUMMYFUNCTION("""COMPUTED_VALUE"""),18407.02)</f>
        <v/>
      </c>
    </row>
    <row r="1876">
      <c r="J1876">
        <f>IFERROR(__xludf.DUMMYFUNCTION("""COMPUTED_VALUE"""),"Dakar")</f>
        <v/>
      </c>
      <c r="K1876">
        <f>IFERROR(__xludf.DUMMYFUNCTION("""COMPUTED_VALUE"""),18376.59)</f>
        <v/>
      </c>
    </row>
    <row r="1877">
      <c r="J1877">
        <f>IFERROR(__xludf.DUMMYFUNCTION("""COMPUTED_VALUE"""),"Vancouver (British Columbia)")</f>
        <v/>
      </c>
      <c r="K1877">
        <f>IFERROR(__xludf.DUMMYFUNCTION("""COMPUTED_VALUE"""),18373.9699999999)</f>
        <v/>
      </c>
    </row>
    <row r="1878">
      <c r="J1878">
        <f>IFERROR(__xludf.DUMMYFUNCTION("""COMPUTED_VALUE"""),"St.John's, NL")</f>
        <v/>
      </c>
      <c r="K1878">
        <f>IFERROR(__xludf.DUMMYFUNCTION("""COMPUTED_VALUE"""),18361.66)</f>
        <v/>
      </c>
    </row>
    <row r="1879">
      <c r="J1879">
        <f>IFERROR(__xludf.DUMMYFUNCTION("""COMPUTED_VALUE"""),"Queenstown, New Zealand and Tokyo, Japan")</f>
        <v/>
      </c>
      <c r="K1879">
        <f>IFERROR(__xludf.DUMMYFUNCTION("""COMPUTED_VALUE"""),18359.97)</f>
        <v/>
      </c>
    </row>
    <row r="1880">
      <c r="J1880">
        <f>IFERROR(__xludf.DUMMYFUNCTION("""COMPUTED_VALUE"""),"Astana, Kazakhstan, Paris, France, Warsaw, Poland")</f>
        <v/>
      </c>
      <c r="K1880">
        <f>IFERROR(__xludf.DUMMYFUNCTION("""COMPUTED_VALUE"""),18353.16)</f>
        <v/>
      </c>
    </row>
    <row r="1881">
      <c r="J1881">
        <f>IFERROR(__xludf.DUMMYFUNCTION("""COMPUTED_VALUE"""),"Halifax, Toronto, Calgary and Vancouver")</f>
        <v/>
      </c>
      <c r="K1881">
        <f>IFERROR(__xludf.DUMMYFUNCTION("""COMPUTED_VALUE"""),18348.47)</f>
        <v/>
      </c>
    </row>
    <row r="1882">
      <c r="J1882">
        <f>IFERROR(__xludf.DUMMYFUNCTION("""COMPUTED_VALUE"""),"London, England / Berlin, Germany / Geneva, Switzerland / Montreal, Quebec, Canada")</f>
        <v/>
      </c>
      <c r="K1882">
        <f>IFERROR(__xludf.DUMMYFUNCTION("""COMPUTED_VALUE"""),18347.8099999999)</f>
        <v/>
      </c>
    </row>
    <row r="1883">
      <c r="J1883">
        <f>IFERROR(__xludf.DUMMYFUNCTION("""COMPUTED_VALUE"""),"Moscow and Canberra")</f>
        <v/>
      </c>
      <c r="K1883">
        <f>IFERROR(__xludf.DUMMYFUNCTION("""COMPUTED_VALUE"""),18343.98)</f>
        <v/>
      </c>
    </row>
    <row r="1884">
      <c r="J1884">
        <f>IFERROR(__xludf.DUMMYFUNCTION("""COMPUTED_VALUE"""),"Peru and Colombia")</f>
        <v/>
      </c>
      <c r="K1884">
        <f>IFERROR(__xludf.DUMMYFUNCTION("""COMPUTED_VALUE"""),18321.51)</f>
        <v/>
      </c>
    </row>
    <row r="1885">
      <c r="J1885">
        <f>IFERROR(__xludf.DUMMYFUNCTION("""COMPUTED_VALUE"""),"Copenhagen and Nuuk, Denmark and Greenland")</f>
        <v/>
      </c>
      <c r="K1885">
        <f>IFERROR(__xludf.DUMMYFUNCTION("""COMPUTED_VALUE"""),18320.82)</f>
        <v/>
      </c>
    </row>
    <row r="1886">
      <c r="J1886">
        <f>IFERROR(__xludf.DUMMYFUNCTION("""COMPUTED_VALUE"""),"Ottawa - Calgary - Ottawa")</f>
        <v/>
      </c>
      <c r="K1886">
        <f>IFERROR(__xludf.DUMMYFUNCTION("""COMPUTED_VALUE"""),18317.7)</f>
        <v/>
      </c>
    </row>
    <row r="1887">
      <c r="J1887">
        <f>IFERROR(__xludf.DUMMYFUNCTION("""COMPUTED_VALUE"""),"Dubai, Emirate of Dubai
Hyderabad (Telangana) India
Delhi, India")</f>
        <v/>
      </c>
      <c r="K1887">
        <f>IFERROR(__xludf.DUMMYFUNCTION("""COMPUTED_VALUE"""),18315.98)</f>
        <v/>
      </c>
    </row>
    <row r="1888">
      <c r="J1888">
        <f>IFERROR(__xludf.DUMMYFUNCTION("""COMPUTED_VALUE"""),"London, England;Paris;Singapore")</f>
        <v/>
      </c>
      <c r="K1888">
        <f>IFERROR(__xludf.DUMMYFUNCTION("""COMPUTED_VALUE"""),18313.64)</f>
        <v/>
      </c>
    </row>
    <row r="1889">
      <c r="J1889">
        <f>IFERROR(__xludf.DUMMYFUNCTION("""COMPUTED_VALUE"""),"New York, Kiev, Ukraine, Londres, UK, Israel &amp; West Bank.")</f>
        <v/>
      </c>
      <c r="K1889">
        <f>IFERROR(__xludf.DUMMYFUNCTION("""COMPUTED_VALUE"""),18302.18)</f>
        <v/>
      </c>
    </row>
    <row r="1890">
      <c r="J1890">
        <f>IFERROR(__xludf.DUMMYFUNCTION("""COMPUTED_VALUE"""),"Ramstein, Germany
Seoul, South Korea
Beijing, China")</f>
        <v/>
      </c>
      <c r="K1890">
        <f>IFERROR(__xludf.DUMMYFUNCTION("""COMPUTED_VALUE"""),18289)</f>
        <v/>
      </c>
    </row>
    <row r="1891">
      <c r="J1891">
        <f>IFERROR(__xludf.DUMMYFUNCTION("""COMPUTED_VALUE"""),"Ho Chi Minh City, Vietnam, Bangkok, Thailand, Phnom Penh and Siem Riep, Cambodia, Yangon and Nay Pyi Daw, Burma, Moscow, Russia")</f>
        <v/>
      </c>
      <c r="K1891">
        <f>IFERROR(__xludf.DUMMYFUNCTION("""COMPUTED_VALUE"""),18284.52)</f>
        <v/>
      </c>
    </row>
    <row r="1892">
      <c r="J1892">
        <f>IFERROR(__xludf.DUMMYFUNCTION("""COMPUTED_VALUE"""),"Riyadh, Riyadh Region, Saudi Arabia")</f>
        <v/>
      </c>
      <c r="K1892">
        <f>IFERROR(__xludf.DUMMYFUNCTION("""COMPUTED_VALUE"""),18278.13)</f>
        <v/>
      </c>
    </row>
    <row r="1893">
      <c r="J1893">
        <f>IFERROR(__xludf.DUMMYFUNCTION("""COMPUTED_VALUE"""),"New-York")</f>
        <v/>
      </c>
      <c r="K1893">
        <f>IFERROR(__xludf.DUMMYFUNCTION("""COMPUTED_VALUE"""),18271.96)</f>
        <v/>
      </c>
    </row>
    <row r="1894">
      <c r="J1894">
        <f>IFERROR(__xludf.DUMMYFUNCTION("""COMPUTED_VALUE"""),"London, England and Brussels, Belgium")</f>
        <v/>
      </c>
      <c r="K1894">
        <f>IFERROR(__xludf.DUMMYFUNCTION("""COMPUTED_VALUE"""),18271.46)</f>
        <v/>
      </c>
    </row>
    <row r="1895">
      <c r="J1895">
        <f>IFERROR(__xludf.DUMMYFUNCTION("""COMPUTED_VALUE"""),"Szczecin, Poland; Berlin, Germany; Kyiv, Ukraine; Bridgetown, Barbados; Port of Spain, Trinadad &amp; Tobago")</f>
        <v/>
      </c>
      <c r="K1895">
        <f>IFERROR(__xludf.DUMMYFUNCTION("""COMPUTED_VALUE"""),18265)</f>
        <v/>
      </c>
    </row>
    <row r="1896">
      <c r="J1896">
        <f>IFERROR(__xludf.DUMMYFUNCTION("""COMPUTED_VALUE"""),"Paris, Hong Kong, Bangkok and Phnom Penh")</f>
        <v/>
      </c>
      <c r="K1896">
        <f>IFERROR(__xludf.DUMMYFUNCTION("""COMPUTED_VALUE"""),18246.25)</f>
        <v/>
      </c>
    </row>
    <row r="1897">
      <c r="J1897">
        <f>IFERROR(__xludf.DUMMYFUNCTION("""COMPUTED_VALUE"""),"Canberra, Australian Capital Territory, Australia; Sydney, Australia")</f>
        <v/>
      </c>
      <c r="K1897">
        <f>IFERROR(__xludf.DUMMYFUNCTION("""COMPUTED_VALUE"""),18243.03)</f>
        <v/>
      </c>
    </row>
    <row r="1898">
      <c r="J1898">
        <f>IFERROR(__xludf.DUMMYFUNCTION("""COMPUTED_VALUE"""),"Paris and Israel")</f>
        <v/>
      </c>
      <c r="K1898">
        <f>IFERROR(__xludf.DUMMYFUNCTION("""COMPUTED_VALUE"""),18239.32)</f>
        <v/>
      </c>
    </row>
    <row r="1899">
      <c r="J1899">
        <f>IFERROR(__xludf.DUMMYFUNCTION("""COMPUTED_VALUE"""),"Boston, Massachusetts, USA")</f>
        <v/>
      </c>
      <c r="K1899">
        <f>IFERROR(__xludf.DUMMYFUNCTION("""COMPUTED_VALUE"""),18234.04)</f>
        <v/>
      </c>
    </row>
    <row r="1900">
      <c r="J1900">
        <f>IFERROR(__xludf.DUMMYFUNCTION("""COMPUTED_VALUE"""),"Ushuaia, Argentina")</f>
        <v/>
      </c>
      <c r="K1900">
        <f>IFERROR(__xludf.DUMMYFUNCTION("""COMPUTED_VALUE"""),18218.79)</f>
        <v/>
      </c>
    </row>
    <row r="1901">
      <c r="J1901">
        <f>IFERROR(__xludf.DUMMYFUNCTION("""COMPUTED_VALUE"""),"Tokyo, Japan
Jakarta, Indonesia
Dhaka, Bangladesh")</f>
        <v/>
      </c>
      <c r="K1901">
        <f>IFERROR(__xludf.DUMMYFUNCTION("""COMPUTED_VALUE"""),18214.45)</f>
        <v/>
      </c>
    </row>
    <row r="1902">
      <c r="J1902">
        <f>IFERROR(__xludf.DUMMYFUNCTION("""COMPUTED_VALUE"""),"Singapore, Singapore, Hong Kong, Hong Kong &amp; Tokyo, Japan")</f>
        <v/>
      </c>
      <c r="K1902">
        <f>IFERROR(__xludf.DUMMYFUNCTION("""COMPUTED_VALUE"""),18207.76)</f>
        <v/>
      </c>
    </row>
    <row r="1903">
      <c r="J1903">
        <f>IFERROR(__xludf.DUMMYFUNCTION("""COMPUTED_VALUE"""),"Paris, France &amp; London, England")</f>
        <v/>
      </c>
      <c r="K1903">
        <f>IFERROR(__xludf.DUMMYFUNCTION("""COMPUTED_VALUE"""),18207.1)</f>
        <v/>
      </c>
    </row>
    <row r="1904">
      <c r="J1904">
        <f>IFERROR(__xludf.DUMMYFUNCTION("""COMPUTED_VALUE"""),"Davos, CH")</f>
        <v/>
      </c>
      <c r="K1904">
        <f>IFERROR(__xludf.DUMMYFUNCTION("""COMPUTED_VALUE"""),18202.23)</f>
        <v/>
      </c>
    </row>
    <row r="1905">
      <c r="J1905">
        <f>IFERROR(__xludf.DUMMYFUNCTION("""COMPUTED_VALUE"""),"Vancouver, British Columbia, Canada / Beijing, China")</f>
        <v/>
      </c>
      <c r="K1905">
        <f>IFERROR(__xludf.DUMMYFUNCTION("""COMPUTED_VALUE"""),18192.04)</f>
        <v/>
      </c>
    </row>
    <row r="1906">
      <c r="J1906">
        <f>IFERROR(__xludf.DUMMYFUNCTION("""COMPUTED_VALUE"""),"Trieste, Italy")</f>
        <v/>
      </c>
      <c r="K1906">
        <f>IFERROR(__xludf.DUMMYFUNCTION("""COMPUTED_VALUE"""),18172.53)</f>
        <v/>
      </c>
    </row>
    <row r="1907">
      <c r="J1907">
        <f>IFERROR(__xludf.DUMMYFUNCTION("""COMPUTED_VALUE"""),"Frankfurt")</f>
        <v/>
      </c>
      <c r="K1907">
        <f>IFERROR(__xludf.DUMMYFUNCTION("""COMPUTED_VALUE"""),18168.11)</f>
        <v/>
      </c>
    </row>
    <row r="1908">
      <c r="J1908">
        <f>IFERROR(__xludf.DUMMYFUNCTION("""COMPUTED_VALUE"""),"Rome, Italy; Toronto, Ontario")</f>
        <v/>
      </c>
      <c r="K1908">
        <f>IFERROR(__xludf.DUMMYFUNCTION("""COMPUTED_VALUE"""),18160.44)</f>
        <v/>
      </c>
    </row>
    <row r="1909">
      <c r="J1909">
        <f>IFERROR(__xludf.DUMMYFUNCTION("""COMPUTED_VALUE"""),"Wuhan, China")</f>
        <v/>
      </c>
      <c r="K1909">
        <f>IFERROR(__xludf.DUMMYFUNCTION("""COMPUTED_VALUE"""),18157.2)</f>
        <v/>
      </c>
    </row>
    <row r="1910">
      <c r="J1910">
        <f>IFERROR(__xludf.DUMMYFUNCTION("""COMPUTED_VALUE"""),"Hanoi, VN &amp;  Mumbai, IN")</f>
        <v/>
      </c>
      <c r="K1910">
        <f>IFERROR(__xludf.DUMMYFUNCTION("""COMPUTED_VALUE"""),18152.07)</f>
        <v/>
      </c>
    </row>
    <row r="1911">
      <c r="J1911">
        <f>IFERROR(__xludf.DUMMYFUNCTION("""COMPUTED_VALUE"""),"Ottawa, ON / Toronto, ON")</f>
        <v/>
      </c>
      <c r="K1911">
        <f>IFERROR(__xludf.DUMMYFUNCTION("""COMPUTED_VALUE"""),18152.05)</f>
        <v/>
      </c>
    </row>
    <row r="1912">
      <c r="J1912">
        <f>IFERROR(__xludf.DUMMYFUNCTION("""COMPUTED_VALUE"""),"Santiago, Davos")</f>
        <v/>
      </c>
      <c r="K1912">
        <f>IFERROR(__xludf.DUMMYFUNCTION("""COMPUTED_VALUE"""),18134.35)</f>
        <v/>
      </c>
    </row>
    <row r="1913">
      <c r="J1913">
        <f>IFERROR(__xludf.DUMMYFUNCTION("""COMPUTED_VALUE"""),"London (UK); Entebbe,Kampala, Gulu,Lira,(Uganda);Nairobi (Kenya); Bujumbura (Burundi); Bukavu, Goma, Bunia, Kanya-bayonga, Kessenyi, Chomia, Kian-gani, Kinshana (DRC); Nairobi (Kenya); Yaounde; Ottawa")</f>
        <v/>
      </c>
      <c r="K1913">
        <f>IFERROR(__xludf.DUMMYFUNCTION("""COMPUTED_VALUE"""),18128.18)</f>
        <v/>
      </c>
    </row>
    <row r="1914">
      <c r="J1914">
        <f>IFERROR(__xludf.DUMMYFUNCTION("""COMPUTED_VALUE"""),"Ankara, Turkey, Yulara, Australia")</f>
        <v/>
      </c>
      <c r="K1914">
        <f>IFERROR(__xludf.DUMMYFUNCTION("""COMPUTED_VALUE"""),18125)</f>
        <v/>
      </c>
    </row>
    <row r="1915">
      <c r="J1915">
        <f>IFERROR(__xludf.DUMMYFUNCTION("""COMPUTED_VALUE"""),"Jordan, Isreal, United Arab Emirates")</f>
        <v/>
      </c>
      <c r="K1915">
        <f>IFERROR(__xludf.DUMMYFUNCTION("""COMPUTED_VALUE"""),18117.84)</f>
        <v/>
      </c>
    </row>
    <row r="1916">
      <c r="J1916">
        <f>IFERROR(__xludf.DUMMYFUNCTION("""COMPUTED_VALUE"""),"Toronto, Ontario, Canada; Waterloo, Ontario, Canada; Hamilton, Ontario, Canada; Vancouver, British Columbia, Canada; Whitehorse, Yukon, Canada; Charlottetown, Prince Edward Island, Canada; St. John's, Newfoundland and Labrador, Canada; London, Ontario, Ca"&amp;"nada; Windsor, Ontario, Canada")</f>
        <v/>
      </c>
      <c r="K1916">
        <f>IFERROR(__xludf.DUMMYFUNCTION("""COMPUTED_VALUE"""),18116.2)</f>
        <v/>
      </c>
    </row>
    <row r="1917">
      <c r="J1917">
        <f>IFERROR(__xludf.DUMMYFUNCTION("""COMPUTED_VALUE"""),"Cape Town, Lisbon, Paris")</f>
        <v/>
      </c>
      <c r="K1917">
        <f>IFERROR(__xludf.DUMMYFUNCTION("""COMPUTED_VALUE"""),18113.79)</f>
        <v/>
      </c>
    </row>
    <row r="1918">
      <c r="J1918">
        <f>IFERROR(__xludf.DUMMYFUNCTION("""COMPUTED_VALUE"""),"Brussels, Rome, Amsterdam")</f>
        <v/>
      </c>
      <c r="K1918">
        <f>IFERROR(__xludf.DUMMYFUNCTION("""COMPUTED_VALUE"""),18111)</f>
        <v/>
      </c>
    </row>
    <row r="1919">
      <c r="J1919">
        <f>IFERROR(__xludf.DUMMYFUNCTION("""COMPUTED_VALUE"""),"Suva, Fiji")</f>
        <v/>
      </c>
      <c r="K1919">
        <f>IFERROR(__xludf.DUMMYFUNCTION("""COMPUTED_VALUE"""),18109.31)</f>
        <v/>
      </c>
    </row>
    <row r="1920">
      <c r="J1920">
        <f>IFERROR(__xludf.DUMMYFUNCTION("""COMPUTED_VALUE"""),"Belgium, Europe")</f>
        <v/>
      </c>
      <c r="K1920">
        <f>IFERROR(__xludf.DUMMYFUNCTION("""COMPUTED_VALUE"""),18109.11)</f>
        <v/>
      </c>
    </row>
    <row r="1921">
      <c r="J1921">
        <f>IFERROR(__xludf.DUMMYFUNCTION("""COMPUTED_VALUE"""),"Bali, Indonesia; Brisbane, Queensland, Australia")</f>
        <v/>
      </c>
      <c r="K1921">
        <f>IFERROR(__xludf.DUMMYFUNCTION("""COMPUTED_VALUE"""),18093.96)</f>
        <v/>
      </c>
    </row>
    <row r="1922">
      <c r="J1922">
        <f>IFERROR(__xludf.DUMMYFUNCTION("""COMPUTED_VALUE"""),"Ottawa and Winnipeg")</f>
        <v/>
      </c>
      <c r="K1922">
        <f>IFERROR(__xludf.DUMMYFUNCTION("""COMPUTED_VALUE"""),18086.6799999999)</f>
        <v/>
      </c>
    </row>
    <row r="1923">
      <c r="J1923">
        <f>IFERROR(__xludf.DUMMYFUNCTION("""COMPUTED_VALUE"""),"Las Vegas, NV")</f>
        <v/>
      </c>
      <c r="K1923">
        <f>IFERROR(__xludf.DUMMYFUNCTION("""COMPUTED_VALUE"""),18064.3399999999)</f>
        <v/>
      </c>
    </row>
    <row r="1924">
      <c r="J1924">
        <f>IFERROR(__xludf.DUMMYFUNCTION("""COMPUTED_VALUE"""),"Rome and London")</f>
        <v/>
      </c>
      <c r="K1924">
        <f>IFERROR(__xludf.DUMMYFUNCTION("""COMPUTED_VALUE"""),18062.69)</f>
        <v/>
      </c>
    </row>
    <row r="1925">
      <c r="J1925">
        <f>IFERROR(__xludf.DUMMYFUNCTION("""COMPUTED_VALUE"""),"United Kingdom, Europe")</f>
        <v/>
      </c>
      <c r="K1925">
        <f>IFERROR(__xludf.DUMMYFUNCTION("""COMPUTED_VALUE"""),18053.67)</f>
        <v/>
      </c>
    </row>
    <row r="1926">
      <c r="J1926">
        <f>IFERROR(__xludf.DUMMYFUNCTION("""COMPUTED_VALUE"""),"Halifax (Nova Scotia), Canada                                            Calgary (Alberta), Canada")</f>
        <v/>
      </c>
      <c r="K1926">
        <f>IFERROR(__xludf.DUMMYFUNCTION("""COMPUTED_VALUE"""),18052.88)</f>
        <v/>
      </c>
    </row>
    <row r="1927">
      <c r="J1927">
        <f>IFERROR(__xludf.DUMMYFUNCTION("""COMPUTED_VALUE"""),"Ottawa, New Delhi,
Singapour, Hong Kong, Shangaï
et Beijing")</f>
        <v/>
      </c>
      <c r="K1927">
        <f>IFERROR(__xludf.DUMMYFUNCTION("""COMPUTED_VALUE"""),18051.47)</f>
        <v/>
      </c>
    </row>
    <row r="1928">
      <c r="J1928">
        <f>IFERROR(__xludf.DUMMYFUNCTION("""COMPUTED_VALUE"""),"Prestwick, Scotland")</f>
        <v/>
      </c>
      <c r="K1928">
        <f>IFERROR(__xludf.DUMMYFUNCTION("""COMPUTED_VALUE"""),18029.06)</f>
        <v/>
      </c>
    </row>
    <row r="1929">
      <c r="J1929">
        <f>IFERROR(__xludf.DUMMYFUNCTION("""COMPUTED_VALUE"""),"Sydney, Canberra, Brisbane, Australia; Wellington, New Zealand")</f>
        <v/>
      </c>
      <c r="K1929">
        <f>IFERROR(__xludf.DUMMYFUNCTION("""COMPUTED_VALUE"""),18020.75)</f>
        <v/>
      </c>
    </row>
    <row r="1930">
      <c r="J1930">
        <f>IFERROR(__xludf.DUMMYFUNCTION("""COMPUTED_VALUE"""),"Seville; Geneva; Vienna; London, Spain; Switzerland; Austria; UK")</f>
        <v/>
      </c>
      <c r="K1930">
        <f>IFERROR(__xludf.DUMMYFUNCTION("""COMPUTED_VALUE"""),17988.03)</f>
        <v/>
      </c>
    </row>
    <row r="1931">
      <c r="J1931">
        <f>IFERROR(__xludf.DUMMYFUNCTION("""COMPUTED_VALUE"""),"Saskatchewan")</f>
        <v/>
      </c>
      <c r="K1931">
        <f>IFERROR(__xludf.DUMMYFUNCTION("""COMPUTED_VALUE"""),17987.46)</f>
        <v/>
      </c>
    </row>
    <row r="1932">
      <c r="J1932">
        <f>IFERROR(__xludf.DUMMYFUNCTION("""COMPUTED_VALUE"""),"Manila, PHI / Enstone, UK")</f>
        <v/>
      </c>
      <c r="K1932">
        <f>IFERROR(__xludf.DUMMYFUNCTION("""COMPUTED_VALUE"""),17987)</f>
        <v/>
      </c>
    </row>
    <row r="1933">
      <c r="J1933">
        <f>IFERROR(__xludf.DUMMYFUNCTION("""COMPUTED_VALUE"""),"Montreal, Quebec, Canada; London, United Kingdom")</f>
        <v/>
      </c>
      <c r="K1933">
        <f>IFERROR(__xludf.DUMMYFUNCTION("""COMPUTED_VALUE"""),17977.44)</f>
        <v/>
      </c>
    </row>
    <row r="1934">
      <c r="J1934">
        <f>IFERROR(__xludf.DUMMYFUNCTION("""COMPUTED_VALUE"""),"Moose Jaw")</f>
        <v/>
      </c>
      <c r="K1934">
        <f>IFERROR(__xludf.DUMMYFUNCTION("""COMPUTED_VALUE"""),17974.75)</f>
        <v/>
      </c>
    </row>
    <row r="1935">
      <c r="J1935">
        <f>IFERROR(__xludf.DUMMYFUNCTION("""COMPUTED_VALUE"""),"London, United Kingdon; Riga, Latvia; Berlin, Germany; Warsaw, Poland")</f>
        <v/>
      </c>
      <c r="K1935">
        <f>IFERROR(__xludf.DUMMYFUNCTION("""COMPUTED_VALUE"""),17971.96)</f>
        <v/>
      </c>
    </row>
    <row r="1936">
      <c r="J1936">
        <f>IFERROR(__xludf.DUMMYFUNCTION("""COMPUTED_VALUE"""),"San Jose, Costa Rica; Paris, France; Regina, Saskatchewan, Canada")</f>
        <v/>
      </c>
      <c r="K1936">
        <f>IFERROR(__xludf.DUMMYFUNCTION("""COMPUTED_VALUE"""),17965.08)</f>
        <v/>
      </c>
    </row>
    <row r="1937">
      <c r="J1937">
        <f>IFERROR(__xludf.DUMMYFUNCTION("""COMPUTED_VALUE"""),"London - UK")</f>
        <v/>
      </c>
      <c r="K1937">
        <f>IFERROR(__xludf.DUMMYFUNCTION("""COMPUTED_VALUE"""),17962)</f>
        <v/>
      </c>
    </row>
    <row r="1938">
      <c r="J1938">
        <f>IFERROR(__xludf.DUMMYFUNCTION("""COMPUTED_VALUE"""),"St. John's, Antigua and Barbuda")</f>
        <v/>
      </c>
      <c r="K1938">
        <f>IFERROR(__xludf.DUMMYFUNCTION("""COMPUTED_VALUE"""),17947.2)</f>
        <v/>
      </c>
    </row>
    <row r="1939">
      <c r="J1939">
        <f>IFERROR(__xludf.DUMMYFUNCTION("""COMPUTED_VALUE"""),"Tokyo, Japan
Manila, Philippines")</f>
        <v/>
      </c>
      <c r="K1939">
        <f>IFERROR(__xludf.DUMMYFUNCTION("""COMPUTED_VALUE"""),17941)</f>
        <v/>
      </c>
    </row>
    <row r="1940">
      <c r="J1940">
        <f>IFERROR(__xludf.DUMMYFUNCTION("""COMPUTED_VALUE"""),"Calgary (Alberta)")</f>
        <v/>
      </c>
      <c r="K1940">
        <f>IFERROR(__xludf.DUMMYFUNCTION("""COMPUTED_VALUE"""),17933.31)</f>
        <v/>
      </c>
    </row>
    <row r="1941">
      <c r="J1941">
        <f>IFERROR(__xludf.DUMMYFUNCTION("""COMPUTED_VALUE"""),"New Delhi (India); Khabul (Afghanistan), Beijing, Chongqing and Shanghai(China),")</f>
        <v/>
      </c>
      <c r="K1941">
        <f>IFERROR(__xludf.DUMMYFUNCTION("""COMPUTED_VALUE"""),17932.55)</f>
        <v/>
      </c>
    </row>
    <row r="1942">
      <c r="J1942">
        <f>IFERROR(__xludf.DUMMYFUNCTION("""COMPUTED_VALUE"""),"Washington, Washington, United States")</f>
        <v/>
      </c>
      <c r="K1942">
        <f>IFERROR(__xludf.DUMMYFUNCTION("""COMPUTED_VALUE"""),17927.6999999999)</f>
        <v/>
      </c>
    </row>
    <row r="1943">
      <c r="J1943">
        <f>IFERROR(__xludf.DUMMYFUNCTION("""COMPUTED_VALUE"""),"Beijing, Shanghai, Dubai and Liwa")</f>
        <v/>
      </c>
      <c r="K1943">
        <f>IFERROR(__xludf.DUMMYFUNCTION("""COMPUTED_VALUE"""),17924.89)</f>
        <v/>
      </c>
    </row>
    <row r="1944">
      <c r="J1944">
        <f>IFERROR(__xludf.DUMMYFUNCTION("""COMPUTED_VALUE"""),"Durban, Paris")</f>
        <v/>
      </c>
      <c r="K1944">
        <f>IFERROR(__xludf.DUMMYFUNCTION("""COMPUTED_VALUE"""),17918.67)</f>
        <v/>
      </c>
    </row>
    <row r="1945">
      <c r="J1945">
        <f>IFERROR(__xludf.DUMMYFUNCTION("""COMPUTED_VALUE"""),"Edmonton and Calgary, Alberta, Canada")</f>
        <v/>
      </c>
      <c r="K1945">
        <f>IFERROR(__xludf.DUMMYFUNCTION("""COMPUTED_VALUE"""),17915.49)</f>
        <v/>
      </c>
    </row>
    <row r="1946">
      <c r="J1946">
        <f>IFERROR(__xludf.DUMMYFUNCTION("""COMPUTED_VALUE"""),"Copenhagen")</f>
        <v/>
      </c>
      <c r="K1946">
        <f>IFERROR(__xludf.DUMMYFUNCTION("""COMPUTED_VALUE"""),17909.28)</f>
        <v/>
      </c>
    </row>
    <row r="1947">
      <c r="J1947">
        <f>IFERROR(__xludf.DUMMYFUNCTION("""COMPUTED_VALUE"""),"London (Ontario) Canada")</f>
        <v/>
      </c>
      <c r="K1947">
        <f>IFERROR(__xludf.DUMMYFUNCTION("""COMPUTED_VALUE"""),17907.26)</f>
        <v/>
      </c>
    </row>
    <row r="1948">
      <c r="J1948">
        <f>IFERROR(__xludf.DUMMYFUNCTION("""COMPUTED_VALUE"""),"Amsterdam, Netherlands, Europe")</f>
        <v/>
      </c>
      <c r="K1948">
        <f>IFERROR(__xludf.DUMMYFUNCTION("""COMPUTED_VALUE"""),17907.19)</f>
        <v/>
      </c>
    </row>
    <row r="1949">
      <c r="J1949">
        <f>IFERROR(__xludf.DUMMYFUNCTION("""COMPUTED_VALUE"""),"Barrie, Ontario, Canada")</f>
        <v/>
      </c>
      <c r="K1949">
        <f>IFERROR(__xludf.DUMMYFUNCTION("""COMPUTED_VALUE"""),17900.8499999999)</f>
        <v/>
      </c>
    </row>
    <row r="1950">
      <c r="J1950">
        <f>IFERROR(__xludf.DUMMYFUNCTION("""COMPUTED_VALUE"""),"Tel Aviv, Jerusalem, Israel")</f>
        <v/>
      </c>
      <c r="K1950">
        <f>IFERROR(__xludf.DUMMYFUNCTION("""COMPUTED_VALUE"""),17895.94)</f>
        <v/>
      </c>
    </row>
    <row r="1951">
      <c r="J1951">
        <f>IFERROR(__xludf.DUMMYFUNCTION("""COMPUTED_VALUE"""),"Calgary, Alberta, Canada and Sydney, New South Wales, Australia and Canberra, Australian Capital Territory, Australia")</f>
        <v/>
      </c>
      <c r="K1951">
        <f>IFERROR(__xludf.DUMMYFUNCTION("""COMPUTED_VALUE"""),17894.72)</f>
        <v/>
      </c>
    </row>
    <row r="1952">
      <c r="J1952">
        <f>IFERROR(__xludf.DUMMYFUNCTION("""COMPUTED_VALUE"""),"Melbourne, Australia;Saskatoon,")</f>
        <v/>
      </c>
      <c r="K1952">
        <f>IFERROR(__xludf.DUMMYFUNCTION("""COMPUTED_VALUE"""),17893.89)</f>
        <v/>
      </c>
    </row>
    <row r="1953">
      <c r="J1953">
        <f>IFERROR(__xludf.DUMMYFUNCTION("""COMPUTED_VALUE"""),"Vancouver &amp;Victoria, British Columbia")</f>
        <v/>
      </c>
      <c r="K1953">
        <f>IFERROR(__xludf.DUMMYFUNCTION("""COMPUTED_VALUE"""),17892.18)</f>
        <v/>
      </c>
    </row>
    <row r="1954">
      <c r="J1954">
        <f>IFERROR(__xludf.DUMMYFUNCTION("""COMPUTED_VALUE"""),"Kyiv")</f>
        <v/>
      </c>
      <c r="K1954">
        <f>IFERROR(__xludf.DUMMYFUNCTION("""COMPUTED_VALUE"""),17886.07)</f>
        <v/>
      </c>
    </row>
    <row r="1955">
      <c r="J1955">
        <f>IFERROR(__xludf.DUMMYFUNCTION("""COMPUTED_VALUE"""),"London, United Kingdom, Rome, Italy")</f>
        <v/>
      </c>
      <c r="K1955">
        <f>IFERROR(__xludf.DUMMYFUNCTION("""COMPUTED_VALUE"""),17881.78)</f>
        <v/>
      </c>
    </row>
    <row r="1956">
      <c r="J1956">
        <f>IFERROR(__xludf.DUMMYFUNCTION("""COMPUTED_VALUE"""),"New Zealand and Australia")</f>
        <v/>
      </c>
      <c r="K1956">
        <f>IFERROR(__xludf.DUMMYFUNCTION("""COMPUTED_VALUE"""),17856.72)</f>
        <v/>
      </c>
    </row>
    <row r="1957">
      <c r="J1957">
        <f>IFERROR(__xludf.DUMMYFUNCTION("""COMPUTED_VALUE"""),"Buenos Aires, Argentina; Monte Video, Uruguay; Asuncion, Paraguay")</f>
        <v/>
      </c>
      <c r="K1957">
        <f>IFERROR(__xludf.DUMMYFUNCTION("""COMPUTED_VALUE"""),17847.66)</f>
        <v/>
      </c>
    </row>
    <row r="1958">
      <c r="J1958">
        <f>IFERROR(__xludf.DUMMYFUNCTION("""COMPUTED_VALUE"""),"Honolulu, Hawaii, USA")</f>
        <v/>
      </c>
      <c r="K1958">
        <f>IFERROR(__xludf.DUMMYFUNCTION("""COMPUTED_VALUE"""),17842.53)</f>
        <v/>
      </c>
    </row>
    <row r="1959">
      <c r="J1959">
        <f>IFERROR(__xludf.DUMMYFUNCTION("""COMPUTED_VALUE"""),"Portland, Oregon")</f>
        <v/>
      </c>
      <c r="K1959">
        <f>IFERROR(__xludf.DUMMYFUNCTION("""COMPUTED_VALUE"""),17827.48)</f>
        <v/>
      </c>
    </row>
    <row r="1960">
      <c r="J1960">
        <f>IFERROR(__xludf.DUMMYFUNCTION("""COMPUTED_VALUE"""),"Hong Kong; Colombo; Singapore")</f>
        <v/>
      </c>
      <c r="K1960">
        <f>IFERROR(__xludf.DUMMYFUNCTION("""COMPUTED_VALUE"""),17816.03)</f>
        <v/>
      </c>
    </row>
    <row r="1961">
      <c r="J1961">
        <f>IFERROR(__xludf.DUMMYFUNCTION("""COMPUTED_VALUE"""),"Labuan Bajo")</f>
        <v/>
      </c>
      <c r="K1961">
        <f>IFERROR(__xludf.DUMMYFUNCTION("""COMPUTED_VALUE"""),17791.72)</f>
        <v/>
      </c>
    </row>
    <row r="1962">
      <c r="J1962">
        <f>IFERROR(__xludf.DUMMYFUNCTION("""COMPUTED_VALUE"""),"Cambridge, England")</f>
        <v/>
      </c>
      <c r="K1962">
        <f>IFERROR(__xludf.DUMMYFUNCTION("""COMPUTED_VALUE"""),17774.79)</f>
        <v/>
      </c>
    </row>
    <row r="1963">
      <c r="J1963">
        <f>IFERROR(__xludf.DUMMYFUNCTION("""COMPUTED_VALUE"""),"Vancouver, British-Colombia, Canada")</f>
        <v/>
      </c>
      <c r="K1963">
        <f>IFERROR(__xludf.DUMMYFUNCTION("""COMPUTED_VALUE"""),17767.91)</f>
        <v/>
      </c>
    </row>
    <row r="1964">
      <c r="J1964">
        <f>IFERROR(__xludf.DUMMYFUNCTION("""COMPUTED_VALUE"""),"Calgary, AB; Edmonton, AB")</f>
        <v/>
      </c>
      <c r="K1964">
        <f>IFERROR(__xludf.DUMMYFUNCTION("""COMPUTED_VALUE"""),17759.26)</f>
        <v/>
      </c>
    </row>
    <row r="1965">
      <c r="J1965">
        <f>IFERROR(__xludf.DUMMYFUNCTION("""COMPUTED_VALUE"""),"Ottawa (Ontario)")</f>
        <v/>
      </c>
      <c r="K1965">
        <f>IFERROR(__xludf.DUMMYFUNCTION("""COMPUTED_VALUE"""),17759.21)</f>
        <v/>
      </c>
    </row>
    <row r="1966">
      <c r="J1966">
        <f>IFERROR(__xludf.DUMMYFUNCTION("""COMPUTED_VALUE"""),"Croatia and Italy")</f>
        <v/>
      </c>
      <c r="K1966">
        <f>IFERROR(__xludf.DUMMYFUNCTION("""COMPUTED_VALUE"""),17757.36)</f>
        <v/>
      </c>
    </row>
    <row r="1967">
      <c r="J1967">
        <f>IFERROR(__xludf.DUMMYFUNCTION("""COMPUTED_VALUE"""),"Chile and Brazil")</f>
        <v/>
      </c>
      <c r="K1967">
        <f>IFERROR(__xludf.DUMMYFUNCTION("""COMPUTED_VALUE"""),17756.75)</f>
        <v/>
      </c>
    </row>
    <row r="1968">
      <c r="J1968">
        <f>IFERROR(__xludf.DUMMYFUNCTION("""COMPUTED_VALUE"""),"Kenora, Ontario, Canada")</f>
        <v/>
      </c>
      <c r="K1968">
        <f>IFERROR(__xludf.DUMMYFUNCTION("""COMPUTED_VALUE"""),17754)</f>
        <v/>
      </c>
    </row>
    <row r="1969">
      <c r="J1969">
        <f>IFERROR(__xludf.DUMMYFUNCTION("""COMPUTED_VALUE"""),"Bhusan, South Korea")</f>
        <v/>
      </c>
      <c r="K1969">
        <f>IFERROR(__xludf.DUMMYFUNCTION("""COMPUTED_VALUE"""),17752.04)</f>
        <v/>
      </c>
    </row>
    <row r="1970">
      <c r="J1970">
        <f>IFERROR(__xludf.DUMMYFUNCTION("""COMPUTED_VALUE"""),"Aspen, Colorado, United States")</f>
        <v/>
      </c>
      <c r="K1970">
        <f>IFERROR(__xludf.DUMMYFUNCTION("""COMPUTED_VALUE"""),17746.75)</f>
        <v/>
      </c>
    </row>
    <row r="1971">
      <c r="J1971">
        <f>IFERROR(__xludf.DUMMYFUNCTION("""COMPUTED_VALUE"""),"Glasgow, Scotland / Paris, France")</f>
        <v/>
      </c>
      <c r="K1971">
        <f>IFERROR(__xludf.DUMMYFUNCTION("""COMPUTED_VALUE"""),17727.51)</f>
        <v/>
      </c>
    </row>
    <row r="1972">
      <c r="J1972">
        <f>IFERROR(__xludf.DUMMYFUNCTION("""COMPUTED_VALUE"""),"Sydney &amp; Canberra (Australia)")</f>
        <v/>
      </c>
      <c r="K1972">
        <f>IFERROR(__xludf.DUMMYFUNCTION("""COMPUTED_VALUE"""),17724.47)</f>
        <v/>
      </c>
    </row>
    <row r="1973">
      <c r="J1973">
        <f>IFERROR(__xludf.DUMMYFUNCTION("""COMPUTED_VALUE"""),"Montpellier, France")</f>
        <v/>
      </c>
      <c r="K1973">
        <f>IFERROR(__xludf.DUMMYFUNCTION("""COMPUTED_VALUE"""),17721.25)</f>
        <v/>
      </c>
    </row>
    <row r="1974">
      <c r="J1974">
        <f>IFERROR(__xludf.DUMMYFUNCTION("""COMPUTED_VALUE"""),"Budapest, Hungary and Prague, Czech Republic")</f>
        <v/>
      </c>
      <c r="K1974">
        <f>IFERROR(__xludf.DUMMYFUNCTION("""COMPUTED_VALUE"""),17717.88)</f>
        <v/>
      </c>
    </row>
    <row r="1975">
      <c r="J1975">
        <f>IFERROR(__xludf.DUMMYFUNCTION("""COMPUTED_VALUE"""),"Beijing Melbourne Sydney Canberra, China  Australia")</f>
        <v/>
      </c>
      <c r="K1975">
        <f>IFERROR(__xludf.DUMMYFUNCTION("""COMPUTED_VALUE"""),17714.51)</f>
        <v/>
      </c>
    </row>
    <row r="1976">
      <c r="J1976">
        <f>IFERROR(__xludf.DUMMYFUNCTION("""COMPUTED_VALUE"""),"Tokyo, Japan/ Dresden, Germany/ Paris, France")</f>
        <v/>
      </c>
      <c r="K1976">
        <f>IFERROR(__xludf.DUMMYFUNCTION("""COMPUTED_VALUE"""),17709.88)</f>
        <v/>
      </c>
    </row>
    <row r="1977">
      <c r="J1977">
        <f>IFERROR(__xludf.DUMMYFUNCTION("""COMPUTED_VALUE"""),"CFB Esquimalt (BC), Bangkok (Thailand)")</f>
        <v/>
      </c>
      <c r="K1977">
        <f>IFERROR(__xludf.DUMMYFUNCTION("""COMPUTED_VALUE"""),17707.81)</f>
        <v/>
      </c>
    </row>
    <row r="1978">
      <c r="J1978">
        <f>IFERROR(__xludf.DUMMYFUNCTION("""COMPUTED_VALUE"""),"Saskatoon, SK, Canada")</f>
        <v/>
      </c>
      <c r="K1978">
        <f>IFERROR(__xludf.DUMMYFUNCTION("""COMPUTED_VALUE"""),17701.44)</f>
        <v/>
      </c>
    </row>
    <row r="1979">
      <c r="J1979">
        <f>IFERROR(__xludf.DUMMYFUNCTION("""COMPUTED_VALUE"""),"Toronto, Ontario; Vancouver, British Columbia")</f>
        <v/>
      </c>
      <c r="K1979">
        <f>IFERROR(__xludf.DUMMYFUNCTION("""COMPUTED_VALUE"""),17692.8)</f>
        <v/>
      </c>
    </row>
    <row r="1980">
      <c r="J1980">
        <f>IFERROR(__xludf.DUMMYFUNCTION("""COMPUTED_VALUE"""),"Victoria, BC Vancouver, BC Edmonton, AB Saskatoon, SK Montreal, QC")</f>
        <v/>
      </c>
      <c r="K1980">
        <f>IFERROR(__xludf.DUMMYFUNCTION("""COMPUTED_VALUE"""),17692.29)</f>
        <v/>
      </c>
    </row>
    <row r="1981">
      <c r="J1981">
        <f>IFERROR(__xludf.DUMMYFUNCTION("""COMPUTED_VALUE"""),"London, UK / Paris, FR")</f>
        <v/>
      </c>
      <c r="K1981">
        <f>IFERROR(__xludf.DUMMYFUNCTION("""COMPUTED_VALUE"""),17690.7399999999)</f>
        <v/>
      </c>
    </row>
    <row r="1982">
      <c r="J1982">
        <f>IFERROR(__xludf.DUMMYFUNCTION("""COMPUTED_VALUE"""),"Brussels, London, Europe")</f>
        <v/>
      </c>
      <c r="K1982">
        <f>IFERROR(__xludf.DUMMYFUNCTION("""COMPUTED_VALUE"""),17686.98)</f>
        <v/>
      </c>
    </row>
    <row r="1983">
      <c r="J1983">
        <f>IFERROR(__xludf.DUMMYFUNCTION("""COMPUTED_VALUE"""),"Calgary, Alberta, Canada; Houston, United States; Washington, United States; Sao Paulo, Brazil; Rio de Janeiro, Brazil")</f>
        <v/>
      </c>
      <c r="K1983">
        <f>IFERROR(__xludf.DUMMYFUNCTION("""COMPUTED_VALUE"""),17674.46)</f>
        <v/>
      </c>
    </row>
    <row r="1984">
      <c r="J1984">
        <f>IFERROR(__xludf.DUMMYFUNCTION("""COMPUTED_VALUE"""),"Ottawa, Toronto, Vancouver, Calgary &amp; Victoria, CANADA
Shanghai, China")</f>
        <v/>
      </c>
      <c r="K1984">
        <f>IFERROR(__xludf.DUMMYFUNCTION("""COMPUTED_VALUE"""),17672.99)</f>
        <v/>
      </c>
    </row>
    <row r="1985">
      <c r="J1985">
        <f>IFERROR(__xludf.DUMMYFUNCTION("""COMPUTED_VALUE"""),"Singapore/Vietnam/  Brussels")</f>
        <v/>
      </c>
      <c r="K1985">
        <f>IFERROR(__xludf.DUMMYFUNCTION("""COMPUTED_VALUE"""),17657.89)</f>
        <v/>
      </c>
    </row>
    <row r="1986">
      <c r="J1986">
        <f>IFERROR(__xludf.DUMMYFUNCTION("""COMPUTED_VALUE"""),"Canberra and Sydney Australia")</f>
        <v/>
      </c>
      <c r="K1986">
        <f>IFERROR(__xludf.DUMMYFUNCTION("""COMPUTED_VALUE"""),17653.89)</f>
        <v/>
      </c>
    </row>
    <row r="1987">
      <c r="J1987">
        <f>IFERROR(__xludf.DUMMYFUNCTION("""COMPUTED_VALUE"""),"Pakistan, Qatar, Kuwait")</f>
        <v/>
      </c>
      <c r="K1987">
        <f>IFERROR(__xludf.DUMMYFUNCTION("""COMPUTED_VALUE"""),17649.47)</f>
        <v/>
      </c>
    </row>
    <row r="1988">
      <c r="J1988">
        <f>IFERROR(__xludf.DUMMYFUNCTION("""COMPUTED_VALUE"""),"Tunis, Tunisia")</f>
        <v/>
      </c>
      <c r="K1988">
        <f>IFERROR(__xludf.DUMMYFUNCTION("""COMPUTED_VALUE"""),17644.77)</f>
        <v/>
      </c>
    </row>
    <row r="1989">
      <c r="J1989">
        <f>IFERROR(__xludf.DUMMYFUNCTION("""COMPUTED_VALUE"""),"Ottawa - Toronto")</f>
        <v/>
      </c>
      <c r="K1989">
        <f>IFERROR(__xludf.DUMMYFUNCTION("""COMPUTED_VALUE"""),17628.86)</f>
        <v/>
      </c>
    </row>
    <row r="1990">
      <c r="J1990">
        <f>IFERROR(__xludf.DUMMYFUNCTION("""COMPUTED_VALUE"""),"Vancouver, BC - Terrace, BC")</f>
        <v/>
      </c>
      <c r="K1990">
        <f>IFERROR(__xludf.DUMMYFUNCTION("""COMPUTED_VALUE"""),17624.2)</f>
        <v/>
      </c>
    </row>
    <row r="1991">
      <c r="J1991">
        <f>IFERROR(__xludf.DUMMYFUNCTION("""COMPUTED_VALUE"""),"Switzerland, Singapour and Indonesia")</f>
        <v/>
      </c>
      <c r="K1991">
        <f>IFERROR(__xludf.DUMMYFUNCTION("""COMPUTED_VALUE"""),17620.14)</f>
        <v/>
      </c>
    </row>
    <row r="1992">
      <c r="J1992">
        <f>IFERROR(__xludf.DUMMYFUNCTION("""COMPUTED_VALUE"""),"Athens")</f>
        <v/>
      </c>
      <c r="K1992">
        <f>IFERROR(__xludf.DUMMYFUNCTION("""COMPUTED_VALUE"""),17612.09)</f>
        <v/>
      </c>
    </row>
    <row r="1993">
      <c r="J1993">
        <f>IFERROR(__xludf.DUMMYFUNCTION("""COMPUTED_VALUE"""),"Grande Prairie, Alberta, Canada")</f>
        <v/>
      </c>
      <c r="K1993">
        <f>IFERROR(__xludf.DUMMYFUNCTION("""COMPUTED_VALUE"""),17611.57)</f>
        <v/>
      </c>
    </row>
    <row r="1994">
      <c r="J1994">
        <f>IFERROR(__xludf.DUMMYFUNCTION("""COMPUTED_VALUE"""),"Norway, Norway")</f>
        <v/>
      </c>
      <c r="K1994">
        <f>IFERROR(__xludf.DUMMYFUNCTION("""COMPUTED_VALUE"""),17610.52)</f>
        <v/>
      </c>
    </row>
    <row r="1995">
      <c r="J1995">
        <f>IFERROR(__xludf.DUMMYFUNCTION("""COMPUTED_VALUE"""),"Ouagadougou, Burkina Faso / Lagos, Nigeria / Abuja, Nigeria")</f>
        <v/>
      </c>
      <c r="K1995">
        <f>IFERROR(__xludf.DUMMYFUNCTION("""COMPUTED_VALUE"""),17610.4899999999)</f>
        <v/>
      </c>
    </row>
    <row r="1996">
      <c r="J1996">
        <f>IFERROR(__xludf.DUMMYFUNCTION("""COMPUTED_VALUE"""),"Dubai, Manila, Nigeria, Ghana")</f>
        <v/>
      </c>
      <c r="K1996">
        <f>IFERROR(__xludf.DUMMYFUNCTION("""COMPUTED_VALUE"""),17597.6)</f>
        <v/>
      </c>
    </row>
    <row r="1997">
      <c r="J1997">
        <f>IFERROR(__xludf.DUMMYFUNCTION("""COMPUTED_VALUE"""),"Ulan Bator, Mongolia; Tokyo, Japan &amp; Manila, Philippines")</f>
        <v/>
      </c>
      <c r="K1997">
        <f>IFERROR(__xludf.DUMMYFUNCTION("""COMPUTED_VALUE"""),17585.99)</f>
        <v/>
      </c>
    </row>
    <row r="1998">
      <c r="J1998">
        <f>IFERROR(__xludf.DUMMYFUNCTION("""COMPUTED_VALUE"""),"Vancouver, British Columbia, Canada; Ottawa, Ontario, Canada")</f>
        <v/>
      </c>
      <c r="K1998">
        <f>IFERROR(__xludf.DUMMYFUNCTION("""COMPUTED_VALUE"""),17577.93)</f>
        <v/>
      </c>
    </row>
    <row r="1999">
      <c r="J1999">
        <f>IFERROR(__xludf.DUMMYFUNCTION("""COMPUTED_VALUE"""),"Reykjavik, Iceland Berlin, Germany")</f>
        <v/>
      </c>
      <c r="K1999">
        <f>IFERROR(__xludf.DUMMYFUNCTION("""COMPUTED_VALUE"""),17559.74)</f>
        <v/>
      </c>
    </row>
    <row r="2000">
      <c r="J2000">
        <f>IFERROR(__xludf.DUMMYFUNCTION("""COMPUTED_VALUE"""),"St. John's (Newfoundland) Canada")</f>
        <v/>
      </c>
      <c r="K2000">
        <f>IFERROR(__xludf.DUMMYFUNCTION("""COMPUTED_VALUE"""),17557.5)</f>
        <v/>
      </c>
    </row>
    <row r="2001">
      <c r="J2001">
        <f>IFERROR(__xludf.DUMMYFUNCTION("""COMPUTED_VALUE"""),"Vancouver, British-Colombia")</f>
        <v/>
      </c>
      <c r="K2001">
        <f>IFERROR(__xludf.DUMMYFUNCTION("""COMPUTED_VALUE"""),17556.44)</f>
        <v/>
      </c>
    </row>
    <row r="2002">
      <c r="J2002">
        <f>IFERROR(__xludf.DUMMYFUNCTION("""COMPUTED_VALUE"""),"Dartmouth, Nova Scotia")</f>
        <v/>
      </c>
      <c r="K2002">
        <f>IFERROR(__xludf.DUMMYFUNCTION("""COMPUTED_VALUE"""),17551.92)</f>
        <v/>
      </c>
    </row>
    <row r="2003">
      <c r="J2003">
        <f>IFERROR(__xludf.DUMMYFUNCTION("""COMPUTED_VALUE"""),"Abbotsford Vancouver Victoria, British Columbia –Hamilton Ottawa Toronto, Ontario – Montréal, Quebec – Calgary Edmonton, Alberta")</f>
        <v/>
      </c>
      <c r="K2003">
        <f>IFERROR(__xludf.DUMMYFUNCTION("""COMPUTED_VALUE"""),17551.25)</f>
        <v/>
      </c>
    </row>
    <row r="2004">
      <c r="J2004">
        <f>IFERROR(__xludf.DUMMYFUNCTION("""COMPUTED_VALUE"""),"Fiji, Samoa")</f>
        <v/>
      </c>
      <c r="K2004">
        <f>IFERROR(__xludf.DUMMYFUNCTION("""COMPUTED_VALUE"""),17539.0599999999)</f>
        <v/>
      </c>
    </row>
    <row r="2005">
      <c r="J2005">
        <f>IFERROR(__xludf.DUMMYFUNCTION("""COMPUTED_VALUE"""),"Beijing, China; Ulaanbaatar, Mongolia")</f>
        <v/>
      </c>
      <c r="K2005">
        <f>IFERROR(__xludf.DUMMYFUNCTION("""COMPUTED_VALUE"""),17538.34)</f>
        <v/>
      </c>
    </row>
    <row r="2006">
      <c r="J2006">
        <f>IFERROR(__xludf.DUMMYFUNCTION("""COMPUTED_VALUE"""),"Uzbekistan, Turkmenistan, Tajikistan")</f>
        <v/>
      </c>
      <c r="K2006">
        <f>IFERROR(__xludf.DUMMYFUNCTION("""COMPUTED_VALUE"""),17536.68)</f>
        <v/>
      </c>
    </row>
    <row r="2007">
      <c r="J2007">
        <f>IFERROR(__xludf.DUMMYFUNCTION("""COMPUTED_VALUE"""),"UAE/Jordan/Iraq")</f>
        <v/>
      </c>
      <c r="K2007">
        <f>IFERROR(__xludf.DUMMYFUNCTION("""COMPUTED_VALUE"""),17536.41)</f>
        <v/>
      </c>
    </row>
    <row r="2008">
      <c r="J2008">
        <f>IFERROR(__xludf.DUMMYFUNCTION("""COMPUTED_VALUE"""),"Buenos Aires, Argentina/Bangkok, Thailand/Tokyo and Sendai, Japan/ Seoul, Korea")</f>
        <v/>
      </c>
      <c r="K2008">
        <f>IFERROR(__xludf.DUMMYFUNCTION("""COMPUTED_VALUE"""),17529.89)</f>
        <v/>
      </c>
    </row>
    <row r="2009">
      <c r="J2009">
        <f>IFERROR(__xludf.DUMMYFUNCTION("""COMPUTED_VALUE"""),"Kelowna, Calgary, Charlottetown")</f>
        <v/>
      </c>
      <c r="K2009">
        <f>IFERROR(__xludf.DUMMYFUNCTION("""COMPUTED_VALUE"""),17521.86)</f>
        <v/>
      </c>
    </row>
    <row r="2010">
      <c r="J2010">
        <f>IFERROR(__xludf.DUMMYFUNCTION("""COMPUTED_VALUE"""),"Europe and Middle East")</f>
        <v/>
      </c>
      <c r="K2010">
        <f>IFERROR(__xludf.DUMMYFUNCTION("""COMPUTED_VALUE"""),17514.97)</f>
        <v/>
      </c>
    </row>
    <row r="2011">
      <c r="J2011">
        <f>IFERROR(__xludf.DUMMYFUNCTION("""COMPUTED_VALUE"""),"St-John's")</f>
        <v/>
      </c>
      <c r="K2011">
        <f>IFERROR(__xludf.DUMMYFUNCTION("""COMPUTED_VALUE"""),17512.5)</f>
        <v/>
      </c>
    </row>
    <row r="2012">
      <c r="J2012">
        <f>IFERROR(__xludf.DUMMYFUNCTION("""COMPUTED_VALUE"""),"Seoul, KR")</f>
        <v/>
      </c>
      <c r="K2012">
        <f>IFERROR(__xludf.DUMMYFUNCTION("""COMPUTED_VALUE"""),17511.08)</f>
        <v/>
      </c>
    </row>
    <row r="2013">
      <c r="J2013">
        <f>IFERROR(__xludf.DUMMYFUNCTION("""COMPUTED_VALUE"""),"Salvador, Brazil")</f>
        <v/>
      </c>
      <c r="K2013">
        <f>IFERROR(__xludf.DUMMYFUNCTION("""COMPUTED_VALUE"""),17508.1)</f>
        <v/>
      </c>
    </row>
    <row r="2014">
      <c r="J2014">
        <f>IFERROR(__xludf.DUMMYFUNCTION("""COMPUTED_VALUE"""),"Aspen, CO")</f>
        <v/>
      </c>
      <c r="K2014">
        <f>IFERROR(__xludf.DUMMYFUNCTION("""COMPUTED_VALUE"""),17495.8)</f>
        <v/>
      </c>
    </row>
    <row r="2015">
      <c r="J2015">
        <f>IFERROR(__xludf.DUMMYFUNCTION("""COMPUTED_VALUE"""),"Deer Lake, Newfoundland and Labrador")</f>
        <v/>
      </c>
      <c r="K2015">
        <f>IFERROR(__xludf.DUMMYFUNCTION("""COMPUTED_VALUE"""),17486.84)</f>
        <v/>
      </c>
    </row>
    <row r="2016">
      <c r="J2016">
        <f>IFERROR(__xludf.DUMMYFUNCTION("""COMPUTED_VALUE"""),"Dakar Senegal, Gao Mali")</f>
        <v/>
      </c>
      <c r="K2016">
        <f>IFERROR(__xludf.DUMMYFUNCTION("""COMPUTED_VALUE"""),17465.85)</f>
        <v/>
      </c>
    </row>
    <row r="2017">
      <c r="J2017">
        <f>IFERROR(__xludf.DUMMYFUNCTION("""COMPUTED_VALUE"""),"Brasilia and Manaus, Brazil")</f>
        <v/>
      </c>
      <c r="K2017">
        <f>IFERROR(__xludf.DUMMYFUNCTION("""COMPUTED_VALUE"""),17462.51)</f>
        <v/>
      </c>
    </row>
    <row r="2018">
      <c r="J2018">
        <f>IFERROR(__xludf.DUMMYFUNCTION("""COMPUTED_VALUE"""),"Victoria, BC - Vancouver, BC")</f>
        <v/>
      </c>
      <c r="K2018">
        <f>IFERROR(__xludf.DUMMYFUNCTION("""COMPUTED_VALUE"""),17458.69)</f>
        <v/>
      </c>
    </row>
    <row r="2019">
      <c r="J2019">
        <f>IFERROR(__xludf.DUMMYFUNCTION("""COMPUTED_VALUE"""),"Adelaide, South Australia, Australia")</f>
        <v/>
      </c>
      <c r="K2019">
        <f>IFERROR(__xludf.DUMMYFUNCTION("""COMPUTED_VALUE"""),17458.63)</f>
        <v/>
      </c>
    </row>
    <row r="2020">
      <c r="J2020">
        <f>IFERROR(__xludf.DUMMYFUNCTION("""COMPUTED_VALUE"""),"Kourou, French Guiana")</f>
        <v/>
      </c>
      <c r="K2020">
        <f>IFERROR(__xludf.DUMMYFUNCTION("""COMPUTED_VALUE"""),17450.86)</f>
        <v/>
      </c>
    </row>
    <row r="2021">
      <c r="J2021">
        <f>IFERROR(__xludf.DUMMYFUNCTION("""COMPUTED_VALUE"""),"Shanghai")</f>
        <v/>
      </c>
      <c r="K2021">
        <f>IFERROR(__xludf.DUMMYFUNCTION("""COMPUTED_VALUE"""),17447.75)</f>
        <v/>
      </c>
    </row>
    <row r="2022">
      <c r="J2022">
        <f>IFERROR(__xludf.DUMMYFUNCTION("""COMPUTED_VALUE"""),"Hamilton, Ontario, Canada; Toronto, Ontario, Canada")</f>
        <v/>
      </c>
      <c r="K2022">
        <f>IFERROR(__xludf.DUMMYFUNCTION("""COMPUTED_VALUE"""),17444.3799999999)</f>
        <v/>
      </c>
    </row>
    <row r="2023">
      <c r="J2023">
        <f>IFERROR(__xludf.DUMMYFUNCTION("""COMPUTED_VALUE"""),"Farnborough, United Kingdom and London, United Kingdom")</f>
        <v/>
      </c>
      <c r="K2023">
        <f>IFERROR(__xludf.DUMMYFUNCTION("""COMPUTED_VALUE"""),17437.91)</f>
        <v/>
      </c>
    </row>
    <row r="2024">
      <c r="J2024">
        <f>IFERROR(__xludf.DUMMYFUNCTION("""COMPUTED_VALUE"""),"Vancouver, British-Colombia,Canada
Frankfurt,Germany
Riyadh, Saudia Arabia
Manama,Bahrain")</f>
        <v/>
      </c>
      <c r="K2024">
        <f>IFERROR(__xludf.DUMMYFUNCTION("""COMPUTED_VALUE"""),17436.66)</f>
        <v/>
      </c>
    </row>
    <row r="2025">
      <c r="J2025">
        <f>IFERROR(__xludf.DUMMYFUNCTION("""COMPUTED_VALUE"""),"Toronto, Ontario, Canada and Ottawa, Ontario, Canada")</f>
        <v/>
      </c>
      <c r="K2025">
        <f>IFERROR(__xludf.DUMMYFUNCTION("""COMPUTED_VALUE"""),17425.59)</f>
        <v/>
      </c>
    </row>
    <row r="2026">
      <c r="J2026">
        <f>IFERROR(__xludf.DUMMYFUNCTION("""COMPUTED_VALUE"""),"Brussels, Vienna")</f>
        <v/>
      </c>
      <c r="K2026">
        <f>IFERROR(__xludf.DUMMYFUNCTION("""COMPUTED_VALUE"""),17415.03)</f>
        <v/>
      </c>
    </row>
    <row r="2027">
      <c r="J2027">
        <f>IFERROR(__xludf.DUMMYFUNCTION("""COMPUTED_VALUE"""),"United Arab Emirates")</f>
        <v/>
      </c>
      <c r="K2027">
        <f>IFERROR(__xludf.DUMMYFUNCTION("""COMPUTED_VALUE"""),17410.93)</f>
        <v/>
      </c>
    </row>
    <row r="2028">
      <c r="J2028">
        <f>IFERROR(__xludf.DUMMYFUNCTION("""COMPUTED_VALUE"""),"Riga/Tallinn, Latvia/Estonia")</f>
        <v/>
      </c>
      <c r="K2028">
        <f>IFERROR(__xludf.DUMMYFUNCTION("""COMPUTED_VALUE"""),17408.85)</f>
        <v/>
      </c>
    </row>
    <row r="2029">
      <c r="J2029">
        <f>IFERROR(__xludf.DUMMYFUNCTION("""COMPUTED_VALUE"""),"Edmonton, AB; Calgary, AB")</f>
        <v/>
      </c>
      <c r="K2029">
        <f>IFERROR(__xludf.DUMMYFUNCTION("""COMPUTED_VALUE"""),17403)</f>
        <v/>
      </c>
    </row>
    <row r="2030">
      <c r="J2030">
        <f>IFERROR(__xludf.DUMMYFUNCTION("""COMPUTED_VALUE"""),"Cartagena, Columbia")</f>
        <v/>
      </c>
      <c r="K2030">
        <f>IFERROR(__xludf.DUMMYFUNCTION("""COMPUTED_VALUE"""),17401.97)</f>
        <v/>
      </c>
    </row>
    <row r="2031">
      <c r="J2031">
        <f>IFERROR(__xludf.DUMMYFUNCTION("""COMPUTED_VALUE"""),"Addis Ababa, Rome")</f>
        <v/>
      </c>
      <c r="K2031">
        <f>IFERROR(__xludf.DUMMYFUNCTION("""COMPUTED_VALUE"""),17393.4)</f>
        <v/>
      </c>
    </row>
    <row r="2032">
      <c r="J2032">
        <f>IFERROR(__xludf.DUMMYFUNCTION("""COMPUTED_VALUE"""),"Sydney, Australia - Brisbane Australia")</f>
        <v/>
      </c>
      <c r="K2032">
        <f>IFERROR(__xludf.DUMMYFUNCTION("""COMPUTED_VALUE"""),17391.7)</f>
        <v/>
      </c>
    </row>
    <row r="2033">
      <c r="J2033">
        <f>IFERROR(__xludf.DUMMYFUNCTION("""COMPUTED_VALUE"""),"South Africa and Zambia")</f>
        <v/>
      </c>
      <c r="K2033">
        <f>IFERROR(__xludf.DUMMYFUNCTION("""COMPUTED_VALUE"""),17378.75)</f>
        <v/>
      </c>
    </row>
    <row r="2034">
      <c r="J2034">
        <f>IFERROR(__xludf.DUMMYFUNCTION("""COMPUTED_VALUE"""),"Montreal/Toronto")</f>
        <v/>
      </c>
      <c r="K2034">
        <f>IFERROR(__xludf.DUMMYFUNCTION("""COMPUTED_VALUE"""),17376.24)</f>
        <v/>
      </c>
    </row>
    <row r="2035">
      <c r="J2035">
        <f>IFERROR(__xludf.DUMMYFUNCTION("""COMPUTED_VALUE"""),"Ischia, Italy; Rome, Italy")</f>
        <v/>
      </c>
      <c r="K2035">
        <f>IFERROR(__xludf.DUMMYFUNCTION("""COMPUTED_VALUE"""),17364.71)</f>
        <v/>
      </c>
    </row>
    <row r="2036">
      <c r="J2036">
        <f>IFERROR(__xludf.DUMMYFUNCTION("""COMPUTED_VALUE"""),"Kunming, China")</f>
        <v/>
      </c>
      <c r="K2036">
        <f>IFERROR(__xludf.DUMMYFUNCTION("""COMPUTED_VALUE"""),17363.16)</f>
        <v/>
      </c>
    </row>
    <row r="2037">
      <c r="J2037">
        <f>IFERROR(__xludf.DUMMYFUNCTION("""COMPUTED_VALUE"""),"Brussels and Muscat and Doha, Belgium and Oman and Qatar")</f>
        <v/>
      </c>
      <c r="K2037">
        <f>IFERROR(__xludf.DUMMYFUNCTION("""COMPUTED_VALUE"""),17362.54)</f>
        <v/>
      </c>
    </row>
    <row r="2038">
      <c r="J2038">
        <f>IFERROR(__xludf.DUMMYFUNCTION("""COMPUTED_VALUE"""),"Winnipeg, MB, Canada")</f>
        <v/>
      </c>
      <c r="K2038">
        <f>IFERROR(__xludf.DUMMYFUNCTION("""COMPUTED_VALUE"""),17360.79)</f>
        <v/>
      </c>
    </row>
    <row r="2039">
      <c r="J2039">
        <f>IFERROR(__xludf.DUMMYFUNCTION("""COMPUTED_VALUE"""),"Matane, Quebec, Canada")</f>
        <v/>
      </c>
      <c r="K2039">
        <f>IFERROR(__xludf.DUMMYFUNCTION("""COMPUTED_VALUE"""),17354.5)</f>
        <v/>
      </c>
    </row>
    <row r="2040">
      <c r="J2040">
        <f>IFERROR(__xludf.DUMMYFUNCTION("""COMPUTED_VALUE"""),"Delhi, Amritsar, Chandigarh, Mumbai, Kuala Lumpur, New York")</f>
        <v/>
      </c>
      <c r="K2040">
        <f>IFERROR(__xludf.DUMMYFUNCTION("""COMPUTED_VALUE"""),17346.89)</f>
        <v/>
      </c>
    </row>
    <row r="2041">
      <c r="J2041">
        <f>IFERROR(__xludf.DUMMYFUNCTION("""COMPUTED_VALUE"""),"Tokyo/Seoul/Taipei, Japan/South Korea/Taiwan")</f>
        <v/>
      </c>
      <c r="K2041">
        <f>IFERROR(__xludf.DUMMYFUNCTION("""COMPUTED_VALUE"""),17342.68)</f>
        <v/>
      </c>
    </row>
    <row r="2042">
      <c r="J2042">
        <f>IFERROR(__xludf.DUMMYFUNCTION("""COMPUTED_VALUE"""),"Brussels, Belgium/ Paris, France/ Warsaw, Poland/ Rome, Italy/ London, United Kingdom")</f>
        <v/>
      </c>
      <c r="K2042">
        <f>IFERROR(__xludf.DUMMYFUNCTION("""COMPUTED_VALUE"""),17334.34)</f>
        <v/>
      </c>
    </row>
    <row r="2043">
      <c r="J2043">
        <f>IFERROR(__xludf.DUMMYFUNCTION("""COMPUTED_VALUE"""),"Hay River and Yellowknife, Northwest Territories, Canada")</f>
        <v/>
      </c>
      <c r="K2043">
        <f>IFERROR(__xludf.DUMMYFUNCTION("""COMPUTED_VALUE"""),17334.26)</f>
        <v/>
      </c>
    </row>
    <row r="2044">
      <c r="J2044">
        <f>IFERROR(__xludf.DUMMYFUNCTION("""COMPUTED_VALUE"""),"Paris, France
Geneva, Switzerland")</f>
        <v/>
      </c>
      <c r="K2044">
        <f>IFERROR(__xludf.DUMMYFUNCTION("""COMPUTED_VALUE"""),17328.72)</f>
        <v/>
      </c>
    </row>
    <row r="2045">
      <c r="J2045">
        <f>IFERROR(__xludf.DUMMYFUNCTION("""COMPUTED_VALUE"""),"Switzerland(Geneva)")</f>
        <v/>
      </c>
      <c r="K2045">
        <f>IFERROR(__xludf.DUMMYFUNCTION("""COMPUTED_VALUE"""),17323.6)</f>
        <v/>
      </c>
    </row>
    <row r="2046">
      <c r="J2046">
        <f>IFERROR(__xludf.DUMMYFUNCTION("""COMPUTED_VALUE"""),"Saint-John, NB")</f>
        <v/>
      </c>
      <c r="K2046">
        <f>IFERROR(__xludf.DUMMYFUNCTION("""COMPUTED_VALUE"""),17320.78)</f>
        <v/>
      </c>
    </row>
    <row r="2047">
      <c r="J2047">
        <f>IFERROR(__xludf.DUMMYFUNCTION("""COMPUTED_VALUE"""),"Paris, France and Vienna, Austria and Lyon, France")</f>
        <v/>
      </c>
      <c r="K2047">
        <f>IFERROR(__xludf.DUMMYFUNCTION("""COMPUTED_VALUE"""),17315.7)</f>
        <v/>
      </c>
    </row>
    <row r="2048">
      <c r="J2048">
        <f>IFERROR(__xludf.DUMMYFUNCTION("""COMPUTED_VALUE"""),"Las Vegas, United States / Manila, Philippines / New Delhi, India")</f>
        <v/>
      </c>
      <c r="K2048">
        <f>IFERROR(__xludf.DUMMYFUNCTION("""COMPUTED_VALUE"""),17311.77)</f>
        <v/>
      </c>
    </row>
    <row r="2049">
      <c r="J2049">
        <f>IFERROR(__xludf.DUMMYFUNCTION("""COMPUTED_VALUE"""),"Addis Ababa, Ethiopia /  Nairobi, Kenya")</f>
        <v/>
      </c>
      <c r="K2049">
        <f>IFERROR(__xludf.DUMMYFUNCTION("""COMPUTED_VALUE"""),17309.05)</f>
        <v/>
      </c>
    </row>
    <row r="2050">
      <c r="J2050">
        <f>IFERROR(__xludf.DUMMYFUNCTION("""COMPUTED_VALUE"""),"Australia; United Kingdom")</f>
        <v/>
      </c>
      <c r="K2050">
        <f>IFERROR(__xludf.DUMMYFUNCTION("""COMPUTED_VALUE"""),17273.05)</f>
        <v/>
      </c>
    </row>
    <row r="2051">
      <c r="J2051">
        <f>IFERROR(__xludf.DUMMYFUNCTION("""COMPUTED_VALUE"""),"Antananarivo, Republic of Madagascar and Nairobi, Republic of Kenya.")</f>
        <v/>
      </c>
      <c r="K2051">
        <f>IFERROR(__xludf.DUMMYFUNCTION("""COMPUTED_VALUE"""),17272.62)</f>
        <v/>
      </c>
    </row>
    <row r="2052">
      <c r="J2052">
        <f>IFERROR(__xludf.DUMMYFUNCTION("""COMPUTED_VALUE"""),"New Delhi, Ahmedabad, Mumbai, Pune, Chennai, Kolkota")</f>
        <v/>
      </c>
      <c r="K2052">
        <f>IFERROR(__xludf.DUMMYFUNCTION("""COMPUTED_VALUE"""),17271.08)</f>
        <v/>
      </c>
    </row>
    <row r="2053">
      <c r="J2053">
        <f>IFERROR(__xludf.DUMMYFUNCTION("""COMPUTED_VALUE"""),"Ottawa, ON - Toronto, ON / Toronto, ON - Ottawa, ON")</f>
        <v/>
      </c>
      <c r="K2053">
        <f>IFERROR(__xludf.DUMMYFUNCTION("""COMPUTED_VALUE"""),17266.07)</f>
        <v/>
      </c>
    </row>
    <row r="2054">
      <c r="J2054">
        <f>IFERROR(__xludf.DUMMYFUNCTION("""COMPUTED_VALUE"""),"Brossard, Quebec, Canada")</f>
        <v/>
      </c>
      <c r="K2054">
        <f>IFERROR(__xludf.DUMMYFUNCTION("""COMPUTED_VALUE"""),17246.8899999999)</f>
        <v/>
      </c>
    </row>
    <row r="2055">
      <c r="J2055">
        <f>IFERROR(__xludf.DUMMYFUNCTION("""COMPUTED_VALUE"""),"Kinshasa, Democratic Republic of the Congo and Dublin, Ireland")</f>
        <v/>
      </c>
      <c r="K2055">
        <f>IFERROR(__xludf.DUMMYFUNCTION("""COMPUTED_VALUE"""),17220.45)</f>
        <v/>
      </c>
    </row>
    <row r="2056">
      <c r="J2056">
        <f>IFERROR(__xludf.DUMMYFUNCTION("""COMPUTED_VALUE"""),"Edmonton, AB and Vancouver, BC")</f>
        <v/>
      </c>
      <c r="K2056">
        <f>IFERROR(__xludf.DUMMYFUNCTION("""COMPUTED_VALUE"""),17210.77)</f>
        <v/>
      </c>
    </row>
    <row r="2057">
      <c r="J2057">
        <f>IFERROR(__xludf.DUMMYFUNCTION("""COMPUTED_VALUE"""),"Frankfurt/Berlin")</f>
        <v/>
      </c>
      <c r="K2057">
        <f>IFERROR(__xludf.DUMMYFUNCTION("""COMPUTED_VALUE"""),17205.97)</f>
        <v/>
      </c>
    </row>
    <row r="2058">
      <c r="J2058">
        <f>IFERROR(__xludf.DUMMYFUNCTION("""COMPUTED_VALUE"""),"Istanbul, Gallipoli")</f>
        <v/>
      </c>
      <c r="K2058">
        <f>IFERROR(__xludf.DUMMYFUNCTION("""COMPUTED_VALUE"""),17202.59)</f>
        <v/>
      </c>
    </row>
    <row r="2059">
      <c r="J2059">
        <f>IFERROR(__xludf.DUMMYFUNCTION("""COMPUTED_VALUE"""),"Rwanda")</f>
        <v/>
      </c>
      <c r="K2059">
        <f>IFERROR(__xludf.DUMMYFUNCTION("""COMPUTED_VALUE"""),17202.11)</f>
        <v/>
      </c>
    </row>
    <row r="2060">
      <c r="J2060">
        <f>IFERROR(__xludf.DUMMYFUNCTION("""COMPUTED_VALUE"""),"Kyoto,Tokyo and Osaka, Japan and Seoul, South Korea")</f>
        <v/>
      </c>
      <c r="K2060">
        <f>IFERROR(__xludf.DUMMYFUNCTION("""COMPUTED_VALUE"""),17195.15)</f>
        <v/>
      </c>
    </row>
    <row r="2061">
      <c r="J2061">
        <f>IFERROR(__xludf.DUMMYFUNCTION("""COMPUTED_VALUE"""),"Thunder Bay, Ontario, Canada - Sudbury, Ontario, Canada - Toronto, Ontario, Canada")</f>
        <v/>
      </c>
      <c r="K2061">
        <f>IFERROR(__xludf.DUMMYFUNCTION("""COMPUTED_VALUE"""),17183.3999999999)</f>
        <v/>
      </c>
    </row>
    <row r="2062">
      <c r="J2062">
        <f>IFERROR(__xludf.DUMMYFUNCTION("""COMPUTED_VALUE"""),"Cumbria, England, UK")</f>
        <v/>
      </c>
      <c r="K2062">
        <f>IFERROR(__xludf.DUMMYFUNCTION("""COMPUTED_VALUE"""),17169.66)</f>
        <v/>
      </c>
    </row>
    <row r="2063">
      <c r="J2063">
        <f>IFERROR(__xludf.DUMMYFUNCTION("""COMPUTED_VALUE"""),"Vancouver/Victoria and Ottawa")</f>
        <v/>
      </c>
      <c r="K2063">
        <f>IFERROR(__xludf.DUMMYFUNCTION("""COMPUTED_VALUE"""),17166.47)</f>
        <v/>
      </c>
    </row>
    <row r="2064">
      <c r="J2064">
        <f>IFERROR(__xludf.DUMMYFUNCTION("""COMPUTED_VALUE"""),"Terrace, British Columbia, Canada")</f>
        <v/>
      </c>
      <c r="K2064">
        <f>IFERROR(__xludf.DUMMYFUNCTION("""COMPUTED_VALUE"""),17164.27)</f>
        <v/>
      </c>
    </row>
    <row r="2065">
      <c r="J2065">
        <f>IFERROR(__xludf.DUMMYFUNCTION("""COMPUTED_VALUE"""),"Quito,Ecuador; Los Angeles, California; Bonn, Germany")</f>
        <v/>
      </c>
      <c r="K2065">
        <f>IFERROR(__xludf.DUMMYFUNCTION("""COMPUTED_VALUE"""),17156.41)</f>
        <v/>
      </c>
    </row>
    <row r="2066">
      <c r="J2066">
        <f>IFERROR(__xludf.DUMMYFUNCTION("""COMPUTED_VALUE"""),"Pakistan and Bangladesh")</f>
        <v/>
      </c>
      <c r="K2066">
        <f>IFERROR(__xludf.DUMMYFUNCTION("""COMPUTED_VALUE"""),17152.96)</f>
        <v/>
      </c>
    </row>
    <row r="2067">
      <c r="J2067">
        <f>IFERROR(__xludf.DUMMYFUNCTION("""COMPUTED_VALUE"""),"Toronto (ON)")</f>
        <v/>
      </c>
      <c r="K2067">
        <f>IFERROR(__xludf.DUMMYFUNCTION("""COMPUTED_VALUE"""),17152.78)</f>
        <v/>
      </c>
    </row>
    <row r="2068">
      <c r="J2068">
        <f>IFERROR(__xludf.DUMMYFUNCTION("""COMPUTED_VALUE"""),"Brussels and Muscat, Belgium and Oman")</f>
        <v/>
      </c>
      <c r="K2068">
        <f>IFERROR(__xludf.DUMMYFUNCTION("""COMPUTED_VALUE"""),17147.63)</f>
        <v/>
      </c>
    </row>
    <row r="2069">
      <c r="J2069">
        <f>IFERROR(__xludf.DUMMYFUNCTION("""COMPUTED_VALUE"""),"Shropshire | London, United Kingdom; Riga, Latvia;Berlin, Germany")</f>
        <v/>
      </c>
      <c r="K2069">
        <f>IFERROR(__xludf.DUMMYFUNCTION("""COMPUTED_VALUE"""),17145.67)</f>
        <v/>
      </c>
    </row>
    <row r="2070">
      <c r="J2070">
        <f>IFERROR(__xludf.DUMMYFUNCTION("""COMPUTED_VALUE"""),"Ottawa - Quebec - Montréal - Vancouver")</f>
        <v/>
      </c>
      <c r="K2070">
        <f>IFERROR(__xludf.DUMMYFUNCTION("""COMPUTED_VALUE"""),17137.83)</f>
        <v/>
      </c>
    </row>
    <row r="2071">
      <c r="J2071">
        <f>IFERROR(__xludf.DUMMYFUNCTION("""COMPUTED_VALUE"""),"Mar Del Plata, Argentina")</f>
        <v/>
      </c>
      <c r="K2071">
        <f>IFERROR(__xludf.DUMMYFUNCTION("""COMPUTED_VALUE"""),17112.82)</f>
        <v/>
      </c>
    </row>
    <row r="2072">
      <c r="J2072">
        <f>IFERROR(__xludf.DUMMYFUNCTION("""COMPUTED_VALUE"""),"London, United Kingdom - Delhi, India - Mumbai, India - Hong Kong, Hong Kong - Manila, Philippines")</f>
        <v/>
      </c>
      <c r="K2072">
        <f>IFERROR(__xludf.DUMMYFUNCTION("""COMPUTED_VALUE"""),17106.31)</f>
        <v/>
      </c>
    </row>
    <row r="2073">
      <c r="J2073">
        <f>IFERROR(__xludf.DUMMYFUNCTION("""COMPUTED_VALUE"""),"Roberval")</f>
        <v/>
      </c>
      <c r="K2073">
        <f>IFERROR(__xludf.DUMMYFUNCTION("""COMPUTED_VALUE"""),17104.69)</f>
        <v/>
      </c>
    </row>
    <row r="2074">
      <c r="J2074">
        <f>IFERROR(__xludf.DUMMYFUNCTION("""COMPUTED_VALUE"""),"Washington DC, Washington DC, USA")</f>
        <v/>
      </c>
      <c r="K2074">
        <f>IFERROR(__xludf.DUMMYFUNCTION("""COMPUTED_VALUE"""),17103.49)</f>
        <v/>
      </c>
    </row>
    <row r="2075">
      <c r="J2075">
        <f>IFERROR(__xludf.DUMMYFUNCTION("""COMPUTED_VALUE"""),"Brussels and Geneva")</f>
        <v/>
      </c>
      <c r="K2075">
        <f>IFERROR(__xludf.DUMMYFUNCTION("""COMPUTED_VALUE"""),17098.34)</f>
        <v/>
      </c>
    </row>
    <row r="2076">
      <c r="J2076">
        <f>IFERROR(__xludf.DUMMYFUNCTION("""COMPUTED_VALUE"""),"Toronto (Ontario), Mexico City (Mexico), Guayaquil (Ecuador), Bogota (Columbia), Lima (Peru)")</f>
        <v/>
      </c>
      <c r="K2076">
        <f>IFERROR(__xludf.DUMMYFUNCTION("""COMPUTED_VALUE"""),17082.15)</f>
        <v/>
      </c>
    </row>
    <row r="2077">
      <c r="J2077">
        <f>IFERROR(__xludf.DUMMYFUNCTION("""COMPUTED_VALUE"""),"The Federal Republic of Nigeria,
the Republic of Kenya, the Federal Democratic Republic of Ethiopia")</f>
        <v/>
      </c>
      <c r="K2077">
        <f>IFERROR(__xludf.DUMMYFUNCTION("""COMPUTED_VALUE"""),17076.6)</f>
        <v/>
      </c>
    </row>
    <row r="2078">
      <c r="J2078">
        <f>IFERROR(__xludf.DUMMYFUNCTION("""COMPUTED_VALUE"""),"Manille, Philippines.
Koror, Palau.")</f>
        <v/>
      </c>
      <c r="K2078">
        <f>IFERROR(__xludf.DUMMYFUNCTION("""COMPUTED_VALUE"""),17074.06)</f>
        <v/>
      </c>
    </row>
    <row r="2079">
      <c r="J2079">
        <f>IFERROR(__xludf.DUMMYFUNCTION("""COMPUTED_VALUE"""),"Saskatoon, Saskatchewan, Canada; Winnipeg, Manitoba, Canada")</f>
        <v/>
      </c>
      <c r="K2079">
        <f>IFERROR(__xludf.DUMMYFUNCTION("""COMPUTED_VALUE"""),17063.73)</f>
        <v/>
      </c>
    </row>
    <row r="2080">
      <c r="J2080">
        <f>IFERROR(__xludf.DUMMYFUNCTION("""COMPUTED_VALUE"""),"Ottawa, Ontario and Montreal, Quebec")</f>
        <v/>
      </c>
      <c r="K2080">
        <f>IFERROR(__xludf.DUMMYFUNCTION("""COMPUTED_VALUE"""),17063.2399999999)</f>
        <v/>
      </c>
    </row>
    <row r="2081">
      <c r="J2081">
        <f>IFERROR(__xludf.DUMMYFUNCTION("""COMPUTED_VALUE"""),"Nairobi, Kenya / Dar Es Salaam, Tanzania / Entebbe, Uganda")</f>
        <v/>
      </c>
      <c r="K2081">
        <f>IFERROR(__xludf.DUMMYFUNCTION("""COMPUTED_VALUE"""),17045.87)</f>
        <v/>
      </c>
    </row>
    <row r="2082">
      <c r="J2082">
        <f>IFERROR(__xludf.DUMMYFUNCTION("""COMPUTED_VALUE"""),"New Delhi, India and Bangladesh")</f>
        <v/>
      </c>
      <c r="K2082">
        <f>IFERROR(__xludf.DUMMYFUNCTION("""COMPUTED_VALUE"""),17041)</f>
        <v/>
      </c>
    </row>
    <row r="2083">
      <c r="J2083">
        <f>IFERROR(__xludf.DUMMYFUNCTION("""COMPUTED_VALUE"""),"Vancouver / Edmonton")</f>
        <v/>
      </c>
      <c r="K2083">
        <f>IFERROR(__xludf.DUMMYFUNCTION("""COMPUTED_VALUE"""),17038.73)</f>
        <v/>
      </c>
    </row>
    <row r="2084">
      <c r="J2084">
        <f>IFERROR(__xludf.DUMMYFUNCTION("""COMPUTED_VALUE"""),"Jakarta, Indonesisa; Kuala Lumpur, Malaysia; Vancouver (British Columbia) Canada")</f>
        <v/>
      </c>
      <c r="K2084">
        <f>IFERROR(__xludf.DUMMYFUNCTION("""COMPUTED_VALUE"""),17034.73)</f>
        <v/>
      </c>
    </row>
    <row r="2085">
      <c r="J2085">
        <f>IFERROR(__xludf.DUMMYFUNCTION("""COMPUTED_VALUE"""),"Charlottetown, P.E.I.")</f>
        <v/>
      </c>
      <c r="K2085">
        <f>IFERROR(__xludf.DUMMYFUNCTION("""COMPUTED_VALUE"""),17032.6499999999)</f>
        <v/>
      </c>
    </row>
    <row r="2086">
      <c r="J2086">
        <f>IFERROR(__xludf.DUMMYFUNCTION("""COMPUTED_VALUE"""),"¨[¨¨Redacted]")</f>
        <v/>
      </c>
      <c r="K2086">
        <f>IFERROR(__xludf.DUMMYFUNCTION("""COMPUTED_VALUE"""),17003.6)</f>
        <v/>
      </c>
    </row>
    <row r="2087">
      <c r="J2087">
        <f>IFERROR(__xludf.DUMMYFUNCTION("""COMPUTED_VALUE"""),"Foz do Iguaçu, Brazil")</f>
        <v/>
      </c>
      <c r="K2087">
        <f>IFERROR(__xludf.DUMMYFUNCTION("""COMPUTED_VALUE"""),16993.48)</f>
        <v/>
      </c>
    </row>
    <row r="2088">
      <c r="J2088">
        <f>IFERROR(__xludf.DUMMYFUNCTION("""COMPUTED_VALUE"""),"Malaysia and Singapore")</f>
        <v/>
      </c>
      <c r="K2088">
        <f>IFERROR(__xludf.DUMMYFUNCTION("""COMPUTED_VALUE"""),16975.02)</f>
        <v/>
      </c>
    </row>
    <row r="2089">
      <c r="J2089">
        <f>IFERROR(__xludf.DUMMYFUNCTION("""COMPUTED_VALUE"""),"Berlin, Germany &amp; Paris, France")</f>
        <v/>
      </c>
      <c r="K2089">
        <f>IFERROR(__xludf.DUMMYFUNCTION("""COMPUTED_VALUE"""),16969.31)</f>
        <v/>
      </c>
    </row>
    <row r="2090">
      <c r="J2090">
        <f>IFERROR(__xludf.DUMMYFUNCTION("""COMPUTED_VALUE"""),"Colombia and Haiti")</f>
        <v/>
      </c>
      <c r="K2090">
        <f>IFERROR(__xludf.DUMMYFUNCTION("""COMPUTED_VALUE"""),16969.18)</f>
        <v/>
      </c>
    </row>
    <row r="2091">
      <c r="J2091">
        <f>IFERROR(__xludf.DUMMYFUNCTION("""COMPUTED_VALUE"""),"Muskoka, Ontario, Canada")</f>
        <v/>
      </c>
      <c r="K2091">
        <f>IFERROR(__xludf.DUMMYFUNCTION("""COMPUTED_VALUE"""),16954.0399999999)</f>
        <v/>
      </c>
    </row>
    <row r="2092">
      <c r="J2092">
        <f>IFERROR(__xludf.DUMMYFUNCTION("""COMPUTED_VALUE"""),"Brussels, Belgium; London, United Kingdom")</f>
        <v/>
      </c>
      <c r="K2092">
        <f>IFERROR(__xludf.DUMMYFUNCTION("""COMPUTED_VALUE"""),16952.77)</f>
        <v/>
      </c>
    </row>
    <row r="2093">
      <c r="J2093">
        <f>IFERROR(__xludf.DUMMYFUNCTION("""COMPUTED_VALUE"""),"Ottawa, Ontario and St. John's, Newfoundland and Labrador")</f>
        <v/>
      </c>
      <c r="K2093">
        <f>IFERROR(__xludf.DUMMYFUNCTION("""COMPUTED_VALUE"""),16944.62)</f>
        <v/>
      </c>
    </row>
    <row r="2094">
      <c r="J2094">
        <f>IFERROR(__xludf.DUMMYFUNCTION("""COMPUTED_VALUE"""),"London, United Kingdom, Paris, France, Mexico, Mexico")</f>
        <v/>
      </c>
      <c r="K2094">
        <f>IFERROR(__xludf.DUMMYFUNCTION("""COMPUTED_VALUE"""),16942.45)</f>
        <v/>
      </c>
    </row>
    <row r="2095">
      <c r="J2095">
        <f>IFERROR(__xludf.DUMMYFUNCTION("""COMPUTED_VALUE"""),"Bangkok &amp; Seoul")</f>
        <v/>
      </c>
      <c r="K2095">
        <f>IFERROR(__xludf.DUMMYFUNCTION("""COMPUTED_VALUE"""),16940.21)</f>
        <v/>
      </c>
    </row>
    <row r="2096">
      <c r="J2096">
        <f>IFERROR(__xludf.DUMMYFUNCTION("""COMPUTED_VALUE"""),"Senegal and Cote d'Ivoire")</f>
        <v/>
      </c>
      <c r="K2096">
        <f>IFERROR(__xludf.DUMMYFUNCTION("""COMPUTED_VALUE"""),16938.89)</f>
        <v/>
      </c>
    </row>
    <row r="2097">
      <c r="J2097">
        <f>IFERROR(__xludf.DUMMYFUNCTION("""COMPUTED_VALUE"""),"San Antonio, USA")</f>
        <v/>
      </c>
      <c r="K2097">
        <f>IFERROR(__xludf.DUMMYFUNCTION("""COMPUTED_VALUE"""),16924.96)</f>
        <v/>
      </c>
    </row>
    <row r="2098">
      <c r="J2098">
        <f>IFERROR(__xludf.DUMMYFUNCTION("""COMPUTED_VALUE"""),"Geneva,  Switzerland")</f>
        <v/>
      </c>
      <c r="K2098">
        <f>IFERROR(__xludf.DUMMYFUNCTION("""COMPUTED_VALUE"""),16924.09)</f>
        <v/>
      </c>
    </row>
    <row r="2099">
      <c r="J2099">
        <f>IFERROR(__xludf.DUMMYFUNCTION("""COMPUTED_VALUE"""),"Yangon, Burma and Kuala Lumpur, Malaysia")</f>
        <v/>
      </c>
      <c r="K2099">
        <f>IFERROR(__xludf.DUMMYFUNCTION("""COMPUTED_VALUE"""),16915.81)</f>
        <v/>
      </c>
    </row>
    <row r="2100">
      <c r="J2100">
        <f>IFERROR(__xludf.DUMMYFUNCTION("""COMPUTED_VALUE"""),"Charlottetown, Prince Edward Island and Halifax, Nova Scotia")</f>
        <v/>
      </c>
      <c r="K2100">
        <f>IFERROR(__xludf.DUMMYFUNCTION("""COMPUTED_VALUE"""),16909.43)</f>
        <v/>
      </c>
    </row>
    <row r="2101">
      <c r="J2101">
        <f>IFERROR(__xludf.DUMMYFUNCTION("""COMPUTED_VALUE"""),"Abuja and Lagos (Nigeria); Accra (Ghana).")</f>
        <v/>
      </c>
      <c r="K2101">
        <f>IFERROR(__xludf.DUMMYFUNCTION("""COMPUTED_VALUE"""),16908.96)</f>
        <v/>
      </c>
    </row>
    <row r="2102">
      <c r="J2102">
        <f>IFERROR(__xludf.DUMMYFUNCTION("""COMPUTED_VALUE"""),"Edmonton, Alberta, Canada - Calgary, Alberta, Canada")</f>
        <v/>
      </c>
      <c r="K2102">
        <f>IFERROR(__xludf.DUMMYFUNCTION("""COMPUTED_VALUE"""),16906.36)</f>
        <v/>
      </c>
    </row>
    <row r="2103">
      <c r="J2103">
        <f>IFERROR(__xludf.DUMMYFUNCTION("""COMPUTED_VALUE"""),"Washington, DC USA")</f>
        <v/>
      </c>
      <c r="K2103">
        <f>IFERROR(__xludf.DUMMYFUNCTION("""COMPUTED_VALUE"""),16902.71)</f>
        <v/>
      </c>
    </row>
    <row r="2104">
      <c r="J2104">
        <f>IFERROR(__xludf.DUMMYFUNCTION("""COMPUTED_VALUE"""),"Port au Prince, Haiti")</f>
        <v/>
      </c>
      <c r="K2104">
        <f>IFERROR(__xludf.DUMMYFUNCTION("""COMPUTED_VALUE"""),16902.6)</f>
        <v/>
      </c>
    </row>
    <row r="2105">
      <c r="J2105">
        <f>IFERROR(__xludf.DUMMYFUNCTION("""COMPUTED_VALUE"""),"Ottawa
Washington, DC")</f>
        <v/>
      </c>
      <c r="K2105">
        <f>IFERROR(__xludf.DUMMYFUNCTION("""COMPUTED_VALUE"""),16901.26)</f>
        <v/>
      </c>
    </row>
    <row r="2106">
      <c r="J2106">
        <f>IFERROR(__xludf.DUMMYFUNCTION("""COMPUTED_VALUE"""),"OSAKA-TOKYO")</f>
        <v/>
      </c>
      <c r="K2106">
        <f>IFERROR(__xludf.DUMMYFUNCTION("""COMPUTED_VALUE"""),16899.14)</f>
        <v/>
      </c>
    </row>
    <row r="2107">
      <c r="J2107">
        <f>IFERROR(__xludf.DUMMYFUNCTION("""COMPUTED_VALUE"""),"Hatfield, United Kingdom")</f>
        <v/>
      </c>
      <c r="K2107">
        <f>IFERROR(__xludf.DUMMYFUNCTION("""COMPUTED_VALUE"""),16893.21)</f>
        <v/>
      </c>
    </row>
    <row r="2108">
      <c r="J2108">
        <f>IFERROR(__xludf.DUMMYFUNCTION("""COMPUTED_VALUE"""),"Seattle, Washington, USA")</f>
        <v/>
      </c>
      <c r="K2108">
        <f>IFERROR(__xludf.DUMMYFUNCTION("""COMPUTED_VALUE"""),16888.86)</f>
        <v/>
      </c>
    </row>
    <row r="2109">
      <c r="J2109">
        <f>IFERROR(__xludf.DUMMYFUNCTION("""COMPUTED_VALUE"""),"Halifax NS")</f>
        <v/>
      </c>
      <c r="K2109">
        <f>IFERROR(__xludf.DUMMYFUNCTION("""COMPUTED_VALUE"""),16886.3999999999)</f>
        <v/>
      </c>
    </row>
    <row r="2110">
      <c r="J2110">
        <f>IFERROR(__xludf.DUMMYFUNCTION("""COMPUTED_VALUE"""),"Texas, The Netherlands, India, Kuwait, Saudi Arabia and Ireland")</f>
        <v/>
      </c>
      <c r="K2110">
        <f>IFERROR(__xludf.DUMMYFUNCTION("""COMPUTED_VALUE"""),16882.6)</f>
        <v/>
      </c>
    </row>
    <row r="2111">
      <c r="J2111">
        <f>IFERROR(__xludf.DUMMYFUNCTION("""COMPUTED_VALUE"""),"Shanghai/Beijing,China &amp; Tokyo, Japan &amp; Leipzig, Germany")</f>
        <v/>
      </c>
      <c r="K2111">
        <f>IFERROR(__xludf.DUMMYFUNCTION("""COMPUTED_VALUE"""),16881.42)</f>
        <v/>
      </c>
    </row>
    <row r="2112">
      <c r="J2112">
        <f>IFERROR(__xludf.DUMMYFUNCTION("""COMPUTED_VALUE"""),"Reykjavik, Copenhagen, Oslo, Stockholm, Helsinki, London")</f>
        <v/>
      </c>
      <c r="K2112">
        <f>IFERROR(__xludf.DUMMYFUNCTION("""COMPUTED_VALUE"""),16876.93)</f>
        <v/>
      </c>
    </row>
    <row r="2113">
      <c r="J2113">
        <f>IFERROR(__xludf.DUMMYFUNCTION("""COMPUTED_VALUE"""),"Copenhagen, Denmark
Washington, USA")</f>
        <v/>
      </c>
      <c r="K2113">
        <f>IFERROR(__xludf.DUMMYFUNCTION("""COMPUTED_VALUE"""),16876.44)</f>
        <v/>
      </c>
    </row>
    <row r="2114">
      <c r="J2114">
        <f>IFERROR(__xludf.DUMMYFUNCTION("""COMPUTED_VALUE"""),"Bangalore, Kolkata, New Delhi, Hyderabad and Mumbai")</f>
        <v/>
      </c>
      <c r="K2114">
        <f>IFERROR(__xludf.DUMMYFUNCTION("""COMPUTED_VALUE"""),16869.18)</f>
        <v/>
      </c>
    </row>
    <row r="2115">
      <c r="J2115">
        <f>IFERROR(__xludf.DUMMYFUNCTION("""COMPUTED_VALUE"""),"Hong Kong, China and Australia")</f>
        <v/>
      </c>
      <c r="K2115">
        <f>IFERROR(__xludf.DUMMYFUNCTION("""COMPUTED_VALUE"""),16868.52)</f>
        <v/>
      </c>
    </row>
    <row r="2116">
      <c r="J2116">
        <f>IFERROR(__xludf.DUMMYFUNCTION("""COMPUTED_VALUE"""),"Rome, Brussels, Munich")</f>
        <v/>
      </c>
      <c r="K2116">
        <f>IFERROR(__xludf.DUMMYFUNCTION("""COMPUTED_VALUE"""),16866.01)</f>
        <v/>
      </c>
    </row>
    <row r="2117">
      <c r="J2117">
        <f>IFERROR(__xludf.DUMMYFUNCTION("""COMPUTED_VALUE"""),"Brussels, Paris, London, Nairobi, Kilimanjaro, Arusha")</f>
        <v/>
      </c>
      <c r="K2117">
        <f>IFERROR(__xludf.DUMMYFUNCTION("""COMPUTED_VALUE"""),16850.02)</f>
        <v/>
      </c>
    </row>
    <row r="2118">
      <c r="J2118">
        <f>IFERROR(__xludf.DUMMYFUNCTION("""COMPUTED_VALUE"""),"Berlin, Paris, Brussels, Rome, London")</f>
        <v/>
      </c>
      <c r="K2118">
        <f>IFERROR(__xludf.DUMMYFUNCTION("""COMPUTED_VALUE"""),16841.83)</f>
        <v/>
      </c>
    </row>
    <row r="2119">
      <c r="J2119">
        <f>IFERROR(__xludf.DUMMYFUNCTION("""COMPUTED_VALUE"""),"St. Andrews, NB")</f>
        <v/>
      </c>
      <c r="K2119">
        <f>IFERROR(__xludf.DUMMYFUNCTION("""COMPUTED_VALUE"""),16837.8799999999)</f>
        <v/>
      </c>
    </row>
    <row r="2120">
      <c r="J2120">
        <f>IFERROR(__xludf.DUMMYFUNCTION("""COMPUTED_VALUE"""),"Krakow, Poland / Postojna, Slovenia")</f>
        <v/>
      </c>
      <c r="K2120">
        <f>IFERROR(__xludf.DUMMYFUNCTION("""COMPUTED_VALUE"""),16831.49)</f>
        <v/>
      </c>
    </row>
    <row r="2121">
      <c r="J2121">
        <f>IFERROR(__xludf.DUMMYFUNCTION("""COMPUTED_VALUE"""),"Saguenay")</f>
        <v/>
      </c>
      <c r="K2121">
        <f>IFERROR(__xludf.DUMMYFUNCTION("""COMPUTED_VALUE"""),16826.44)</f>
        <v/>
      </c>
    </row>
    <row r="2122">
      <c r="J2122">
        <f>IFERROR(__xludf.DUMMYFUNCTION("""COMPUTED_VALUE"""),"Ottawa, Vancouver, Calgary, Toronto, Montreal and Regina")</f>
        <v/>
      </c>
      <c r="K2122">
        <f>IFERROR(__xludf.DUMMYFUNCTION("""COMPUTED_VALUE"""),16818.74)</f>
        <v/>
      </c>
    </row>
    <row r="2123">
      <c r="J2123">
        <f>IFERROR(__xludf.DUMMYFUNCTION("""COMPUTED_VALUE"""),"Riyadh, Saudi Arabia and Doha, Qatar")</f>
        <v/>
      </c>
      <c r="K2123">
        <f>IFERROR(__xludf.DUMMYFUNCTION("""COMPUTED_VALUE"""),16813.98)</f>
        <v/>
      </c>
    </row>
    <row r="2124">
      <c r="J2124">
        <f>IFERROR(__xludf.DUMMYFUNCTION("""COMPUTED_VALUE"""),"Regina, (Saskatchewan)")</f>
        <v/>
      </c>
      <c r="K2124">
        <f>IFERROR(__xludf.DUMMYFUNCTION("""COMPUTED_VALUE"""),16813.3399999999)</f>
        <v/>
      </c>
    </row>
    <row r="2125">
      <c r="J2125">
        <f>IFERROR(__xludf.DUMMYFUNCTION("""COMPUTED_VALUE"""),"London ON")</f>
        <v/>
      </c>
      <c r="K2125">
        <f>IFERROR(__xludf.DUMMYFUNCTION("""COMPUTED_VALUE"""),16812.0199999999)</f>
        <v/>
      </c>
    </row>
    <row r="2126">
      <c r="J2126">
        <f>IFERROR(__xludf.DUMMYFUNCTION("""COMPUTED_VALUE"""),"Jeju, South Korea")</f>
        <v/>
      </c>
      <c r="K2126">
        <f>IFERROR(__xludf.DUMMYFUNCTION("""COMPUTED_VALUE"""),16809.08)</f>
        <v/>
      </c>
    </row>
    <row r="2127">
      <c r="J2127">
        <f>IFERROR(__xludf.DUMMYFUNCTION("""COMPUTED_VALUE"""),"Winninpeg, Manitoba")</f>
        <v/>
      </c>
      <c r="K2127">
        <f>IFERROR(__xludf.DUMMYFUNCTION("""COMPUTED_VALUE"""),16803.98)</f>
        <v/>
      </c>
    </row>
    <row r="2128">
      <c r="J2128">
        <f>IFERROR(__xludf.DUMMYFUNCTION("""COMPUTED_VALUE"""),"Whitehorse, YT, Hong Kong, Hong Kong, Beijing and Shanghai, China and Taipei, Taiwan")</f>
        <v/>
      </c>
      <c r="K2128">
        <f>IFERROR(__xludf.DUMMYFUNCTION("""COMPUTED_VALUE"""),16793.22)</f>
        <v/>
      </c>
    </row>
    <row r="2129">
      <c r="J2129">
        <f>IFERROR(__xludf.DUMMYFUNCTION("""COMPUTED_VALUE"""),"Quebec city, Quebec, Canada")</f>
        <v/>
      </c>
      <c r="K2129">
        <f>IFERROR(__xludf.DUMMYFUNCTION("""COMPUTED_VALUE"""),16788.92)</f>
        <v/>
      </c>
    </row>
    <row r="2130">
      <c r="J2130">
        <f>IFERROR(__xludf.DUMMYFUNCTION("""COMPUTED_VALUE"""),"Phu Quoc, Vietnam and Tapei, Tawan")</f>
        <v/>
      </c>
      <c r="K2130">
        <f>IFERROR(__xludf.DUMMYFUNCTION("""COMPUTED_VALUE"""),16781.12)</f>
        <v/>
      </c>
    </row>
    <row r="2131">
      <c r="J2131">
        <f>IFERROR(__xludf.DUMMYFUNCTION("""COMPUTED_VALUE"""),"Johannesburg, South Africa and London, United Kingdom")</f>
        <v/>
      </c>
      <c r="K2131">
        <f>IFERROR(__xludf.DUMMYFUNCTION("""COMPUTED_VALUE"""),16777.22)</f>
        <v/>
      </c>
    </row>
    <row r="2132">
      <c r="J2132">
        <f>IFERROR(__xludf.DUMMYFUNCTION("""COMPUTED_VALUE"""),"Brussels, Belgium, EU")</f>
        <v/>
      </c>
      <c r="K2132">
        <f>IFERROR(__xludf.DUMMYFUNCTION("""COMPUTED_VALUE"""),16765.42)</f>
        <v/>
      </c>
    </row>
    <row r="2133">
      <c r="J2133">
        <f>IFERROR(__xludf.DUMMYFUNCTION("""COMPUTED_VALUE"""),"Rome, Italy;
London, England;
Brussels, Belgium")</f>
        <v/>
      </c>
      <c r="K2133">
        <f>IFERROR(__xludf.DUMMYFUNCTION("""COMPUTED_VALUE"""),16759.59)</f>
        <v/>
      </c>
    </row>
    <row r="2134">
      <c r="J2134">
        <f>IFERROR(__xludf.DUMMYFUNCTION("""COMPUTED_VALUE"""),"Mali, Burkina Faso, Paris")</f>
        <v/>
      </c>
      <c r="K2134">
        <f>IFERROR(__xludf.DUMMYFUNCTION("""COMPUTED_VALUE"""),16759.48)</f>
        <v/>
      </c>
    </row>
    <row r="2135">
      <c r="J2135">
        <f>IFERROR(__xludf.DUMMYFUNCTION("""COMPUTED_VALUE"""),"Canberra, Australia; Sydney, Australia; Auckland, New Zealand")</f>
        <v/>
      </c>
      <c r="K2135">
        <f>IFERROR(__xludf.DUMMYFUNCTION("""COMPUTED_VALUE"""),16750.2)</f>
        <v/>
      </c>
    </row>
    <row r="2136">
      <c r="J2136">
        <f>IFERROR(__xludf.DUMMYFUNCTION("""COMPUTED_VALUE"""),"Tokyo &amp; Osaka, Japan")</f>
        <v/>
      </c>
      <c r="K2136">
        <f>IFERROR(__xludf.DUMMYFUNCTION("""COMPUTED_VALUE"""),16748.77)</f>
        <v/>
      </c>
    </row>
    <row r="2137">
      <c r="J2137">
        <f>IFERROR(__xludf.DUMMYFUNCTION("""COMPUTED_VALUE"""),"Cape Breton, Nova Scotia, Canada")</f>
        <v/>
      </c>
      <c r="K2137">
        <f>IFERROR(__xludf.DUMMYFUNCTION("""COMPUTED_VALUE"""),16741.76)</f>
        <v/>
      </c>
    </row>
    <row r="2138">
      <c r="J2138">
        <f>IFERROR(__xludf.DUMMYFUNCTION("""COMPUTED_VALUE"""),"Manila, Philippines / Kuala Lumpur, Malaysia / Singapoore, Singapore / Beijing, China")</f>
        <v/>
      </c>
      <c r="K2138">
        <f>IFERROR(__xludf.DUMMYFUNCTION("""COMPUTED_VALUE"""),16738.63)</f>
        <v/>
      </c>
    </row>
    <row r="2139">
      <c r="J2139">
        <f>IFERROR(__xludf.DUMMYFUNCTION("""COMPUTED_VALUE"""),"Sydney; Calgary, AB; Beijing")</f>
        <v/>
      </c>
      <c r="K2139">
        <f>IFERROR(__xludf.DUMMYFUNCTION("""COMPUTED_VALUE"""),16738.5)</f>
        <v/>
      </c>
    </row>
    <row r="2140">
      <c r="J2140">
        <f>IFERROR(__xludf.DUMMYFUNCTION("""COMPUTED_VALUE"""),"Ottawa, Ontario, Canada; Montreal, Quebec, Canada")</f>
        <v/>
      </c>
      <c r="K2140">
        <f>IFERROR(__xludf.DUMMYFUNCTION("""COMPUTED_VALUE"""),16736.09)</f>
        <v/>
      </c>
    </row>
    <row r="2141">
      <c r="J2141">
        <f>IFERROR(__xludf.DUMMYFUNCTION("""COMPUTED_VALUE"""),"Canberra")</f>
        <v/>
      </c>
      <c r="K2141">
        <f>IFERROR(__xludf.DUMMYFUNCTION("""COMPUTED_VALUE"""),16734.57)</f>
        <v/>
      </c>
    </row>
    <row r="2142">
      <c r="J2142">
        <f>IFERROR(__xludf.DUMMYFUNCTION("""COMPUTED_VALUE"""),"Ottawa, Toronto, Washington, DC")</f>
        <v/>
      </c>
      <c r="K2142">
        <f>IFERROR(__xludf.DUMMYFUNCTION("""COMPUTED_VALUE"""),16733.08)</f>
        <v/>
      </c>
    </row>
    <row r="2143">
      <c r="J2143">
        <f>IFERROR(__xludf.DUMMYFUNCTION("""COMPUTED_VALUE"""),"Hollywood, Florida, United States")</f>
        <v/>
      </c>
      <c r="K2143">
        <f>IFERROR(__xludf.DUMMYFUNCTION("""COMPUTED_VALUE"""),16732.5)</f>
        <v/>
      </c>
    </row>
    <row r="2144">
      <c r="J2144">
        <f>IFERROR(__xludf.DUMMYFUNCTION("""COMPUTED_VALUE"""),"Corner Brook, Newfoundland and Labrador")</f>
        <v/>
      </c>
      <c r="K2144">
        <f>IFERROR(__xludf.DUMMYFUNCTION("""COMPUTED_VALUE"""),16727.71)</f>
        <v/>
      </c>
    </row>
    <row r="2145">
      <c r="J2145">
        <f>IFERROR(__xludf.DUMMYFUNCTION("""COMPUTED_VALUE"""),"Kuwait, Jordan and Poland")</f>
        <v/>
      </c>
      <c r="K2145">
        <f>IFERROR(__xludf.DUMMYFUNCTION("""COMPUTED_VALUE"""),16717.62)</f>
        <v/>
      </c>
    </row>
    <row r="2146">
      <c r="J2146">
        <f>IFERROR(__xludf.DUMMYFUNCTION("""COMPUTED_VALUE"""),"Ottawa, Toronto, Montreal")</f>
        <v/>
      </c>
      <c r="K2146">
        <f>IFERROR(__xludf.DUMMYFUNCTION("""COMPUTED_VALUE"""),16714.16)</f>
        <v/>
      </c>
    </row>
    <row r="2147">
      <c r="J2147">
        <f>IFERROR(__xludf.DUMMYFUNCTION("""COMPUTED_VALUE"""),"Abu Dhabi, Dubai, Kuwait City, Cairo, Muscat")</f>
        <v/>
      </c>
      <c r="K2147">
        <f>IFERROR(__xludf.DUMMYFUNCTION("""COMPUTED_VALUE"""),16706.29)</f>
        <v/>
      </c>
    </row>
    <row r="2148">
      <c r="J2148">
        <f>IFERROR(__xludf.DUMMYFUNCTION("""COMPUTED_VALUE"""),"Cambridge, Massachusetts, United States")</f>
        <v/>
      </c>
      <c r="K2148">
        <f>IFERROR(__xludf.DUMMYFUNCTION("""COMPUTED_VALUE"""),16704.57)</f>
        <v/>
      </c>
    </row>
    <row r="2149">
      <c r="J2149">
        <f>IFERROR(__xludf.DUMMYFUNCTION("""COMPUTED_VALUE"""),"London, United Kingdom; Dublin, Ireland;")</f>
        <v/>
      </c>
      <c r="K2149">
        <f>IFERROR(__xludf.DUMMYFUNCTION("""COMPUTED_VALUE"""),16700.66)</f>
        <v/>
      </c>
    </row>
    <row r="2150">
      <c r="J2150">
        <f>IFERROR(__xludf.DUMMYFUNCTION("""COMPUTED_VALUE"""),"Whitehorse, Yukon, Canada / Vancouver, British Columbia, Canada")</f>
        <v/>
      </c>
      <c r="K2150">
        <f>IFERROR(__xludf.DUMMYFUNCTION("""COMPUTED_VALUE"""),16698.03)</f>
        <v/>
      </c>
    </row>
    <row r="2151">
      <c r="J2151">
        <f>IFERROR(__xludf.DUMMYFUNCTION("""COMPUTED_VALUE"""),"Valparaiso, Chile")</f>
        <v/>
      </c>
      <c r="K2151">
        <f>IFERROR(__xludf.DUMMYFUNCTION("""COMPUTED_VALUE"""),16685.9899999999)</f>
        <v/>
      </c>
    </row>
    <row r="2152">
      <c r="J2152">
        <f>IFERROR(__xludf.DUMMYFUNCTION("""COMPUTED_VALUE"""),"Doha, Qatar, Abu Dhabi &amp; Dubai, United Arab Emirates, Cairo, Egypt")</f>
        <v/>
      </c>
      <c r="K2152">
        <f>IFERROR(__xludf.DUMMYFUNCTION("""COMPUTED_VALUE"""),16677.54)</f>
        <v/>
      </c>
    </row>
    <row r="2153">
      <c r="J2153">
        <f>IFERROR(__xludf.DUMMYFUNCTION("""COMPUTED_VALUE"""),"Paris (France) Europe")</f>
        <v/>
      </c>
      <c r="K2153">
        <f>IFERROR(__xludf.DUMMYFUNCTION("""COMPUTED_VALUE"""),16673.62)</f>
        <v/>
      </c>
    </row>
    <row r="2154">
      <c r="J2154">
        <f>IFERROR(__xludf.DUMMYFUNCTION("""COMPUTED_VALUE"""),"Zurich LSZH, London UK")</f>
        <v/>
      </c>
      <c r="K2154">
        <f>IFERROR(__xludf.DUMMYFUNCTION("""COMPUTED_VALUE"""),16657.14)</f>
        <v/>
      </c>
    </row>
    <row r="2155">
      <c r="J2155">
        <f>IFERROR(__xludf.DUMMYFUNCTION("""COMPUTED_VALUE"""),"Paris, Île-de-France, France; Brussels, Belgium; Berlin, Germany")</f>
        <v/>
      </c>
      <c r="K2155">
        <f>IFERROR(__xludf.DUMMYFUNCTION("""COMPUTED_VALUE"""),16651.39)</f>
        <v/>
      </c>
    </row>
    <row r="2156">
      <c r="J2156">
        <f>IFERROR(__xludf.DUMMYFUNCTION("""COMPUTED_VALUE"""),"Brussels, Belgium; Paris, France")</f>
        <v/>
      </c>
      <c r="K2156">
        <f>IFERROR(__xludf.DUMMYFUNCTION("""COMPUTED_VALUE"""),16649.38)</f>
        <v/>
      </c>
    </row>
    <row r="2157">
      <c r="J2157">
        <f>IFERROR(__xludf.DUMMYFUNCTION("""COMPUTED_VALUE"""),"Vancouver, Penticton, Kitimat, Victoria, Toronto, Ottawa, Halifax")</f>
        <v/>
      </c>
      <c r="K2157">
        <f>IFERROR(__xludf.DUMMYFUNCTION("""COMPUTED_VALUE"""),16648.86)</f>
        <v/>
      </c>
    </row>
    <row r="2158">
      <c r="J2158">
        <f>IFERROR(__xludf.DUMMYFUNCTION("""COMPUTED_VALUE"""),"St. Louis MO, Washington DC")</f>
        <v/>
      </c>
      <c r="K2158">
        <f>IFERROR(__xludf.DUMMYFUNCTION("""COMPUTED_VALUE"""),16646.32)</f>
        <v/>
      </c>
    </row>
    <row r="2159">
      <c r="J2159">
        <f>IFERROR(__xludf.DUMMYFUNCTION("""COMPUTED_VALUE"""),"Saskatoon, Saskatchewan, Williams Lake, British Columbia")</f>
        <v/>
      </c>
      <c r="K2159">
        <f>IFERROR(__xludf.DUMMYFUNCTION("""COMPUTED_VALUE"""),16638.63)</f>
        <v/>
      </c>
    </row>
    <row r="2160">
      <c r="J2160">
        <f>IFERROR(__xludf.DUMMYFUNCTION("""COMPUTED_VALUE"""),"Winnipeg, Manitoba, Canada; Saskatoon, Saskatchewan, Canada")</f>
        <v/>
      </c>
      <c r="K2160">
        <f>IFERROR(__xludf.DUMMYFUNCTION("""COMPUTED_VALUE"""),16627.66)</f>
        <v/>
      </c>
    </row>
    <row r="2161">
      <c r="J2161">
        <f>IFERROR(__xludf.DUMMYFUNCTION("""COMPUTED_VALUE"""),"Winnipeg, MB; Churchill, MB")</f>
        <v/>
      </c>
      <c r="K2161">
        <f>IFERROR(__xludf.DUMMYFUNCTION("""COMPUTED_VALUE"""),16623.34)</f>
        <v/>
      </c>
    </row>
    <row r="2162">
      <c r="J2162">
        <f>IFERROR(__xludf.DUMMYFUNCTION("""COMPUTED_VALUE"""),"Panama City, Panama / Amman, Jordan")</f>
        <v/>
      </c>
      <c r="K2162">
        <f>IFERROR(__xludf.DUMMYFUNCTION("""COMPUTED_VALUE"""),16616.62)</f>
        <v/>
      </c>
    </row>
    <row r="2163">
      <c r="J2163">
        <f>IFERROR(__xludf.DUMMYFUNCTION("""COMPUTED_VALUE"""),"Québec City")</f>
        <v/>
      </c>
      <c r="K2163">
        <f>IFERROR(__xludf.DUMMYFUNCTION("""COMPUTED_VALUE"""),16612.62)</f>
        <v/>
      </c>
    </row>
    <row r="2164">
      <c r="J2164">
        <f>IFERROR(__xludf.DUMMYFUNCTION("""COMPUTED_VALUE"""),"Nairobi, Republic of Kenya")</f>
        <v/>
      </c>
      <c r="K2164">
        <f>IFERROR(__xludf.DUMMYFUNCTION("""COMPUTED_VALUE"""),16609.14)</f>
        <v/>
      </c>
    </row>
    <row r="2165">
      <c r="J2165">
        <f>IFERROR(__xludf.DUMMYFUNCTION("""COMPUTED_VALUE"""),"Indonesia &amp; Philippines")</f>
        <v/>
      </c>
      <c r="K2165">
        <f>IFERROR(__xludf.DUMMYFUNCTION("""COMPUTED_VALUE"""),16604.37)</f>
        <v/>
      </c>
    </row>
    <row r="2166">
      <c r="J2166">
        <f>IFERROR(__xludf.DUMMYFUNCTION("""COMPUTED_VALUE"""),"Davos, Switzerland, Abuja, Nigeria, Lagos, Nigeria, Accra, Ghana")</f>
        <v/>
      </c>
      <c r="K2166">
        <f>IFERROR(__xludf.DUMMYFUNCTION("""COMPUTED_VALUE"""),16590.81)</f>
        <v/>
      </c>
    </row>
    <row r="2167">
      <c r="J2167">
        <f>IFERROR(__xludf.DUMMYFUNCTION("""COMPUTED_VALUE"""),"New York, New York, United States &amp; Las Vegas, Nevada, United States")</f>
        <v/>
      </c>
      <c r="K2167">
        <f>IFERROR(__xludf.DUMMYFUNCTION("""COMPUTED_VALUE"""),16590.34)</f>
        <v/>
      </c>
    </row>
    <row r="2168">
      <c r="J2168">
        <f>IFERROR(__xludf.DUMMYFUNCTION("""COMPUTED_VALUE"""),"Saint John, New Brunswick, Canada; Winnipeg, Manitoba, Canada; Vancouver, British Columbia, Canada; Halifax, Nova Scotia, Canada; Toronto, Ontario, Canada")</f>
        <v/>
      </c>
      <c r="K2168">
        <f>IFERROR(__xludf.DUMMYFUNCTION("""COMPUTED_VALUE"""),16581.44)</f>
        <v/>
      </c>
    </row>
    <row r="2169">
      <c r="J2169">
        <f>IFERROR(__xludf.DUMMYFUNCTION("""COMPUTED_VALUE"""),"Washington DC, United States of America")</f>
        <v/>
      </c>
      <c r="K2169">
        <f>IFERROR(__xludf.DUMMYFUNCTION("""COMPUTED_VALUE"""),16578.9)</f>
        <v/>
      </c>
    </row>
    <row r="2170">
      <c r="J2170">
        <f>IFERROR(__xludf.DUMMYFUNCTION("""COMPUTED_VALUE"""),"Germany - Panama City")</f>
        <v/>
      </c>
      <c r="K2170">
        <f>IFERROR(__xludf.DUMMYFUNCTION("""COMPUTED_VALUE"""),16575.41)</f>
        <v/>
      </c>
    </row>
    <row r="2171">
      <c r="J2171">
        <f>IFERROR(__xludf.DUMMYFUNCTION("""COMPUTED_VALUE"""),"London, England / Lagos, Nigeria")</f>
        <v/>
      </c>
      <c r="K2171">
        <f>IFERROR(__xludf.DUMMYFUNCTION("""COMPUTED_VALUE"""),16572.96)</f>
        <v/>
      </c>
    </row>
    <row r="2172">
      <c r="J2172">
        <f>IFERROR(__xludf.DUMMYFUNCTION("""COMPUTED_VALUE"""),"Libreville, Gabon")</f>
        <v/>
      </c>
      <c r="K2172">
        <f>IFERROR(__xludf.DUMMYFUNCTION("""COMPUTED_VALUE"""),16565.5)</f>
        <v/>
      </c>
    </row>
    <row r="2173">
      <c r="J2173">
        <f>IFERROR(__xludf.DUMMYFUNCTION("""COMPUTED_VALUE"""),"Melbourne, Australia, Auckland and Wellington, New Zealand")</f>
        <v/>
      </c>
      <c r="K2173">
        <f>IFERROR(__xludf.DUMMYFUNCTION("""COMPUTED_VALUE"""),16564.49)</f>
        <v/>
      </c>
    </row>
    <row r="2174">
      <c r="J2174">
        <f>IFERROR(__xludf.DUMMYFUNCTION("""COMPUTED_VALUE"""),"Sydney, New South Wales, Australia and Canberra, Australian Capital Territory, Australia")</f>
        <v/>
      </c>
      <c r="K2174">
        <f>IFERROR(__xludf.DUMMYFUNCTION("""COMPUTED_VALUE"""),16560.53)</f>
        <v/>
      </c>
    </row>
    <row r="2175">
      <c r="J2175">
        <f>IFERROR(__xludf.DUMMYFUNCTION("""COMPUTED_VALUE"""),"Australia &amp; New Zealand")</f>
        <v/>
      </c>
      <c r="K2175">
        <f>IFERROR(__xludf.DUMMYFUNCTION("""COMPUTED_VALUE"""),16559.8)</f>
        <v/>
      </c>
    </row>
    <row r="2176">
      <c r="J2176">
        <f>IFERROR(__xludf.DUMMYFUNCTION("""COMPUTED_VALUE"""),"Sydney/Canberra/Melbourne Australia and Wellington/Auckland New Zealand")</f>
        <v/>
      </c>
      <c r="K2176">
        <f>IFERROR(__xludf.DUMMYFUNCTION("""COMPUTED_VALUE"""),16558.87)</f>
        <v/>
      </c>
    </row>
    <row r="2177">
      <c r="J2177">
        <f>IFERROR(__xludf.DUMMYFUNCTION("""COMPUTED_VALUE"""),"Beijing, Dubai, Abu Dhabi")</f>
        <v/>
      </c>
      <c r="K2177">
        <f>IFERROR(__xludf.DUMMYFUNCTION("""COMPUTED_VALUE"""),16553.52)</f>
        <v/>
      </c>
    </row>
    <row r="2178">
      <c r="J2178">
        <f>IFERROR(__xludf.DUMMYFUNCTION("""COMPUTED_VALUE"""),"Shanghai, China and London, England")</f>
        <v/>
      </c>
      <c r="K2178">
        <f>IFERROR(__xludf.DUMMYFUNCTION("""COMPUTED_VALUE"""),16552.43)</f>
        <v/>
      </c>
    </row>
    <row r="2179">
      <c r="J2179">
        <f>IFERROR(__xludf.DUMMYFUNCTION("""COMPUTED_VALUE"""),"Edmonton, Alberta and Vancouver, British-Columbia")</f>
        <v/>
      </c>
      <c r="K2179">
        <f>IFERROR(__xludf.DUMMYFUNCTION("""COMPUTED_VALUE"""),16546.62)</f>
        <v/>
      </c>
    </row>
    <row r="2180">
      <c r="J2180">
        <f>IFERROR(__xludf.DUMMYFUNCTION("""COMPUTED_VALUE"""),"Phnom Phen, Cambodia
Singapore")</f>
        <v/>
      </c>
      <c r="K2180">
        <f>IFERROR(__xludf.DUMMYFUNCTION("""COMPUTED_VALUE"""),16542)</f>
        <v/>
      </c>
    </row>
    <row r="2181">
      <c r="J2181">
        <f>IFERROR(__xludf.DUMMYFUNCTION("""COMPUTED_VALUE"""),"Sydney Australia")</f>
        <v/>
      </c>
      <c r="K2181">
        <f>IFERROR(__xludf.DUMMYFUNCTION("""COMPUTED_VALUE"""),16537.82)</f>
        <v/>
      </c>
    </row>
    <row r="2182">
      <c r="J2182">
        <f>IFERROR(__xludf.DUMMYFUNCTION("""COMPUTED_VALUE"""),"Sydney and Canberra, Australia; and Wellington and Auckland, New Zealand")</f>
        <v/>
      </c>
      <c r="K2182">
        <f>IFERROR(__xludf.DUMMYFUNCTION("""COMPUTED_VALUE"""),16518.06)</f>
        <v/>
      </c>
    </row>
    <row r="2183">
      <c r="J2183">
        <f>IFERROR(__xludf.DUMMYFUNCTION("""COMPUTED_VALUE"""),"San Diego, California, USA")</f>
        <v/>
      </c>
      <c r="K2183">
        <f>IFERROR(__xludf.DUMMYFUNCTION("""COMPUTED_VALUE"""),16512.29)</f>
        <v/>
      </c>
    </row>
    <row r="2184">
      <c r="J2184">
        <f>IFERROR(__xludf.DUMMYFUNCTION("""COMPUTED_VALUE"""),"China, Korea, Japan and Laos")</f>
        <v/>
      </c>
      <c r="K2184">
        <f>IFERROR(__xludf.DUMMYFUNCTION("""COMPUTED_VALUE"""),16503.34)</f>
        <v/>
      </c>
    </row>
    <row r="2185">
      <c r="J2185">
        <f>IFERROR(__xludf.DUMMYFUNCTION("""COMPUTED_VALUE"""),"Geneva; Cork; London, Switzerland; Ireland; United Kingdom")</f>
        <v/>
      </c>
      <c r="K2185">
        <f>IFERROR(__xludf.DUMMYFUNCTION("""COMPUTED_VALUE"""),16498.26)</f>
        <v/>
      </c>
    </row>
    <row r="2186">
      <c r="J2186">
        <f>IFERROR(__xludf.DUMMYFUNCTION("""COMPUTED_VALUE"""),"Victoria, BC, Canada")</f>
        <v/>
      </c>
      <c r="K2186">
        <f>IFERROR(__xludf.DUMMYFUNCTION("""COMPUTED_VALUE"""),16495.57)</f>
        <v/>
      </c>
    </row>
    <row r="2187">
      <c r="J2187">
        <f>IFERROR(__xludf.DUMMYFUNCTION("""COMPUTED_VALUE"""),"Rouyn-Noranda, QC")</f>
        <v/>
      </c>
      <c r="K2187">
        <f>IFERROR(__xludf.DUMMYFUNCTION("""COMPUTED_VALUE"""),16474.7699999999)</f>
        <v/>
      </c>
    </row>
    <row r="2188">
      <c r="J2188">
        <f>IFERROR(__xludf.DUMMYFUNCTION("""COMPUTED_VALUE"""),"Japan &amp; Mongolia")</f>
        <v/>
      </c>
      <c r="K2188">
        <f>IFERROR(__xludf.DUMMYFUNCTION("""COMPUTED_VALUE"""),16472.68)</f>
        <v/>
      </c>
    </row>
    <row r="2189">
      <c r="J2189">
        <f>IFERROR(__xludf.DUMMYFUNCTION("""COMPUTED_VALUE"""),"Cap Town, South Africa")</f>
        <v/>
      </c>
      <c r="K2189">
        <f>IFERROR(__xludf.DUMMYFUNCTION("""COMPUTED_VALUE"""),16466.36)</f>
        <v/>
      </c>
    </row>
    <row r="2190">
      <c r="J2190">
        <f>IFERROR(__xludf.DUMMYFUNCTION("""COMPUTED_VALUE"""),"Beijing, Shenyang, Mianyang, Beichuan, Chengdu, Guanzhou, Hong Kong, China")</f>
        <v/>
      </c>
      <c r="K2190">
        <f>IFERROR(__xludf.DUMMYFUNCTION("""COMPUTED_VALUE"""),16458.69)</f>
        <v/>
      </c>
    </row>
    <row r="2191">
      <c r="J2191">
        <f>IFERROR(__xludf.DUMMYFUNCTION("""COMPUTED_VALUE"""),"Seattle, Washington / Portland, Oregon / Denver, Colorado, United States")</f>
        <v/>
      </c>
      <c r="K2191">
        <f>IFERROR(__xludf.DUMMYFUNCTION("""COMPUTED_VALUE"""),16454.16)</f>
        <v/>
      </c>
    </row>
    <row r="2192">
      <c r="J2192">
        <f>IFERROR(__xludf.DUMMYFUNCTION("""COMPUTED_VALUE"""),"Georgetown, Guyana and Santo Domingo, Dominican Republic")</f>
        <v/>
      </c>
      <c r="K2192">
        <f>IFERROR(__xludf.DUMMYFUNCTION("""COMPUTED_VALUE"""),16447.43)</f>
        <v/>
      </c>
    </row>
    <row r="2193">
      <c r="J2193">
        <f>IFERROR(__xludf.DUMMYFUNCTION("""COMPUTED_VALUE"""),"Paris, France
Berlin, Germany
Geneva, Switzerland")</f>
        <v/>
      </c>
      <c r="K2193">
        <f>IFERROR(__xludf.DUMMYFUNCTION("""COMPUTED_VALUE"""),16447.42)</f>
        <v/>
      </c>
    </row>
    <row r="2194">
      <c r="J2194">
        <f>IFERROR(__xludf.DUMMYFUNCTION("""COMPUTED_VALUE"""),"Bangladesh")</f>
        <v/>
      </c>
      <c r="K2194">
        <f>IFERROR(__xludf.DUMMYFUNCTION("""COMPUTED_VALUE"""),16442.87)</f>
        <v/>
      </c>
    </row>
    <row r="2195">
      <c r="J2195">
        <f>IFERROR(__xludf.DUMMYFUNCTION("""COMPUTED_VALUE"""),"Vancouver/Calgary")</f>
        <v/>
      </c>
      <c r="K2195">
        <f>IFERROR(__xludf.DUMMYFUNCTION("""COMPUTED_VALUE"""),16441.48)</f>
        <v/>
      </c>
    </row>
    <row r="2196">
      <c r="J2196">
        <f>IFERROR(__xludf.DUMMYFUNCTION("""COMPUTED_VALUE"""),"Edmonton, AB; Calgary AB; Ottawa, ON; Toronto, ON; Montreal, QC")</f>
        <v/>
      </c>
      <c r="K2196">
        <f>IFERROR(__xludf.DUMMYFUNCTION("""COMPUTED_VALUE"""),16440.73)</f>
        <v/>
      </c>
    </row>
    <row r="2197">
      <c r="J2197">
        <f>IFERROR(__xludf.DUMMYFUNCTION("""COMPUTED_VALUE"""),"Auckland, Sydney, Canberra")</f>
        <v/>
      </c>
      <c r="K2197">
        <f>IFERROR(__xludf.DUMMYFUNCTION("""COMPUTED_VALUE"""),16437.89)</f>
        <v/>
      </c>
    </row>
    <row r="2198">
      <c r="J2198">
        <f>IFERROR(__xludf.DUMMYFUNCTION("""COMPUTED_VALUE"""),"Nagoya, Tokyo and Japan")</f>
        <v/>
      </c>
      <c r="K2198">
        <f>IFERROR(__xludf.DUMMYFUNCTION("""COMPUTED_VALUE"""),16428.66)</f>
        <v/>
      </c>
    </row>
    <row r="2199">
      <c r="J2199">
        <f>IFERROR(__xludf.DUMMYFUNCTION("""COMPUTED_VALUE"""),"Whitehorse and Dubai")</f>
        <v/>
      </c>
      <c r="K2199">
        <f>IFERROR(__xludf.DUMMYFUNCTION("""COMPUTED_VALUE"""),16427.28)</f>
        <v/>
      </c>
    </row>
    <row r="2200">
      <c r="J2200">
        <f>IFERROR(__xludf.DUMMYFUNCTION("""COMPUTED_VALUE"""),"Niagara Falls, Ontario")</f>
        <v/>
      </c>
      <c r="K2200">
        <f>IFERROR(__xludf.DUMMYFUNCTION("""COMPUTED_VALUE"""),16426.9)</f>
        <v/>
      </c>
    </row>
    <row r="2201">
      <c r="J2201">
        <f>IFERROR(__xludf.DUMMYFUNCTION("""COMPUTED_VALUE"""),"London, England / Paris, France")</f>
        <v/>
      </c>
      <c r="K2201">
        <f>IFERROR(__xludf.DUMMYFUNCTION("""COMPUTED_VALUE"""),16423.6999999999)</f>
        <v/>
      </c>
    </row>
    <row r="2202">
      <c r="J2202">
        <f>IFERROR(__xludf.DUMMYFUNCTION("""COMPUTED_VALUE"""),"Burnaby, British Columbia, Canada")</f>
        <v/>
      </c>
      <c r="K2202">
        <f>IFERROR(__xludf.DUMMYFUNCTION("""COMPUTED_VALUE"""),16422.1)</f>
        <v/>
      </c>
    </row>
    <row r="2203">
      <c r="J2203">
        <f>IFERROR(__xludf.DUMMYFUNCTION("""COMPUTED_VALUE"""),"Beijing, Shanghai, Davos")</f>
        <v/>
      </c>
      <c r="K2203">
        <f>IFERROR(__xludf.DUMMYFUNCTION("""COMPUTED_VALUE"""),16421.39)</f>
        <v/>
      </c>
    </row>
    <row r="2204">
      <c r="J2204">
        <f>IFERROR(__xludf.DUMMYFUNCTION("""COMPUTED_VALUE"""),"Jakarta, Banda Aceh and Cairns")</f>
        <v/>
      </c>
      <c r="K2204">
        <f>IFERROR(__xludf.DUMMYFUNCTION("""COMPUTED_VALUE"""),16417.02)</f>
        <v/>
      </c>
    </row>
    <row r="2205">
      <c r="J2205">
        <f>IFERROR(__xludf.DUMMYFUNCTION("""COMPUTED_VALUE"""),"Ghana, Africa; Tanzania, Africa; Uganda, Africa")</f>
        <v/>
      </c>
      <c r="K2205">
        <f>IFERROR(__xludf.DUMMYFUNCTION("""COMPUTED_VALUE"""),16413.83)</f>
        <v/>
      </c>
    </row>
    <row r="2206">
      <c r="J2206">
        <f>IFERROR(__xludf.DUMMYFUNCTION("""COMPUTED_VALUE"""),"Comox, British Columbia")</f>
        <v/>
      </c>
      <c r="K2206">
        <f>IFERROR(__xludf.DUMMYFUNCTION("""COMPUTED_VALUE"""),16413.65)</f>
        <v/>
      </c>
    </row>
    <row r="2207">
      <c r="J2207">
        <f>IFERROR(__xludf.DUMMYFUNCTION("""COMPUTED_VALUE"""),"Egypt
United Arab Emirates
Armenia")</f>
        <v/>
      </c>
      <c r="K2207">
        <f>IFERROR(__xludf.DUMMYFUNCTION("""COMPUTED_VALUE"""),16412.59)</f>
        <v/>
      </c>
    </row>
    <row r="2208">
      <c r="J2208">
        <f>IFERROR(__xludf.DUMMYFUNCTION("""COMPUTED_VALUE"""),"Riyadh, Saudi Arabia, Amman, Jordan")</f>
        <v/>
      </c>
      <c r="K2208">
        <f>IFERROR(__xludf.DUMMYFUNCTION("""COMPUTED_VALUE"""),16411.66)</f>
        <v/>
      </c>
    </row>
    <row r="2209">
      <c r="J2209">
        <f>IFERROR(__xludf.DUMMYFUNCTION("""COMPUTED_VALUE"""),"Vancouver, Prince George, B.C.; Singapore, Brunei, Manila")</f>
        <v/>
      </c>
      <c r="K2209">
        <f>IFERROR(__xludf.DUMMYFUNCTION("""COMPUTED_VALUE"""),16411.55)</f>
        <v/>
      </c>
    </row>
    <row r="2210">
      <c r="J2210">
        <f>IFERROR(__xludf.DUMMYFUNCTION("""COMPUTED_VALUE"""),"Canberra, ACR, Australia")</f>
        <v/>
      </c>
      <c r="K2210">
        <f>IFERROR(__xludf.DUMMYFUNCTION("""COMPUTED_VALUE"""),16411.06)</f>
        <v/>
      </c>
    </row>
    <row r="2211">
      <c r="J2211">
        <f>IFERROR(__xludf.DUMMYFUNCTION("""COMPUTED_VALUE"""),"Ottawa, Montreal, Toronto, Calgary, Victoria and Vancouver.")</f>
        <v/>
      </c>
      <c r="K2211">
        <f>IFERROR(__xludf.DUMMYFUNCTION("""COMPUTED_VALUE"""),16410.88)</f>
        <v/>
      </c>
    </row>
    <row r="2212">
      <c r="J2212">
        <f>IFERROR(__xludf.DUMMYFUNCTION("""COMPUTED_VALUE"""),"Botswana, Angola, Namibia and Mozambique")</f>
        <v/>
      </c>
      <c r="K2212">
        <f>IFERROR(__xludf.DUMMYFUNCTION("""COMPUTED_VALUE"""),16410.52)</f>
        <v/>
      </c>
    </row>
    <row r="2213">
      <c r="J2213">
        <f>IFERROR(__xludf.DUMMYFUNCTION("""COMPUTED_VALUE"""),"Honduras and Guatemala")</f>
        <v/>
      </c>
      <c r="K2213">
        <f>IFERROR(__xludf.DUMMYFUNCTION("""COMPUTED_VALUE"""),16409.89)</f>
        <v/>
      </c>
    </row>
    <row r="2214">
      <c r="J2214">
        <f>IFERROR(__xludf.DUMMYFUNCTION("""COMPUTED_VALUE"""),"Washington, D.C., United States of America")</f>
        <v/>
      </c>
      <c r="K2214">
        <f>IFERROR(__xludf.DUMMYFUNCTION("""COMPUTED_VALUE"""),16396.61)</f>
        <v/>
      </c>
    </row>
    <row r="2215">
      <c r="J2215">
        <f>IFERROR(__xludf.DUMMYFUNCTION("""COMPUTED_VALUE"""),"Cairns, Sydney, Australia")</f>
        <v/>
      </c>
      <c r="K2215">
        <f>IFERROR(__xludf.DUMMYFUNCTION("""COMPUTED_VALUE"""),16386.44)</f>
        <v/>
      </c>
    </row>
    <row r="2216">
      <c r="J2216">
        <f>IFERROR(__xludf.DUMMYFUNCTION("""COMPUTED_VALUE"""),"Europe and Africa")</f>
        <v/>
      </c>
      <c r="K2216">
        <f>IFERROR(__xludf.DUMMYFUNCTION("""COMPUTED_VALUE"""),16385.02)</f>
        <v/>
      </c>
    </row>
    <row r="2217">
      <c r="J2217">
        <f>IFERROR(__xludf.DUMMYFUNCTION("""COMPUTED_VALUE"""),"New Delhi, India / Cairo, Egypt")</f>
        <v/>
      </c>
      <c r="K2217">
        <f>IFERROR(__xludf.DUMMYFUNCTION("""COMPUTED_VALUE"""),16382.07)</f>
        <v/>
      </c>
    </row>
    <row r="2218">
      <c r="J2218">
        <f>IFERROR(__xludf.DUMMYFUNCTION("""COMPUTED_VALUE"""),"Hong Kong, Brunei and China")</f>
        <v/>
      </c>
      <c r="K2218">
        <f>IFERROR(__xludf.DUMMYFUNCTION("""COMPUTED_VALUE"""),16369.22)</f>
        <v/>
      </c>
    </row>
    <row r="2219">
      <c r="J2219">
        <f>IFERROR(__xludf.DUMMYFUNCTION("""COMPUTED_VALUE"""),"Vienna, Austria ;
Berlin, Germany")</f>
        <v/>
      </c>
      <c r="K2219">
        <f>IFERROR(__xludf.DUMMYFUNCTION("""COMPUTED_VALUE"""),16355.96)</f>
        <v/>
      </c>
    </row>
    <row r="2220">
      <c r="J2220">
        <f>IFERROR(__xludf.DUMMYFUNCTION("""COMPUTED_VALUE"""),"Paris - Cape Town - Pretoria, France - South Africa")</f>
        <v/>
      </c>
      <c r="K2220">
        <f>IFERROR(__xludf.DUMMYFUNCTION("""COMPUTED_VALUE"""),16354.58)</f>
        <v/>
      </c>
    </row>
    <row r="2221">
      <c r="J2221">
        <f>IFERROR(__xludf.DUMMYFUNCTION("""COMPUTED_VALUE"""),"Saskatoon/Paris")</f>
        <v/>
      </c>
      <c r="K2221">
        <f>IFERROR(__xludf.DUMMYFUNCTION("""COMPUTED_VALUE"""),16352.37)</f>
        <v/>
      </c>
    </row>
    <row r="2222">
      <c r="J2222">
        <f>IFERROR(__xludf.DUMMYFUNCTION("""COMPUTED_VALUE"""),"Vienna, Austria and Paris, France")</f>
        <v/>
      </c>
      <c r="K2222">
        <f>IFERROR(__xludf.DUMMYFUNCTION("""COMPUTED_VALUE"""),16352.22)</f>
        <v/>
      </c>
    </row>
    <row r="2223">
      <c r="J2223">
        <f>IFERROR(__xludf.DUMMYFUNCTION("""COMPUTED_VALUE"""),"Saskatoon, SK; Regina, SK; Edmonton, AB; Vancouver, BC; Penticton BC; Whitehorse, YT")</f>
        <v/>
      </c>
      <c r="K2223">
        <f>IFERROR(__xludf.DUMMYFUNCTION("""COMPUTED_VALUE"""),16347.38)</f>
        <v/>
      </c>
    </row>
    <row r="2224">
      <c r="J2224">
        <f>IFERROR(__xludf.DUMMYFUNCTION("""COMPUTED_VALUE"""),"France/Brussels")</f>
        <v/>
      </c>
      <c r="K2224">
        <f>IFERROR(__xludf.DUMMYFUNCTION("""COMPUTED_VALUE"""),16345.75)</f>
        <v/>
      </c>
    </row>
    <row r="2225">
      <c r="J2225">
        <f>IFERROR(__xludf.DUMMYFUNCTION("""COMPUTED_VALUE"""),"St. Petersburg, Russia, London, United Kingdom, Paris, France, New York, NY, USA")</f>
        <v/>
      </c>
      <c r="K2225">
        <f>IFERROR(__xludf.DUMMYFUNCTION("""COMPUTED_VALUE"""),16343.38)</f>
        <v/>
      </c>
    </row>
    <row r="2226">
      <c r="J2226">
        <f>IFERROR(__xludf.DUMMYFUNCTION("""COMPUTED_VALUE"""),"Farnborough, England")</f>
        <v/>
      </c>
      <c r="K2226">
        <f>IFERROR(__xludf.DUMMYFUNCTION("""COMPUTED_VALUE"""),16340.36)</f>
        <v/>
      </c>
    </row>
    <row r="2227">
      <c r="J2227">
        <f>IFERROR(__xludf.DUMMYFUNCTION("""COMPUTED_VALUE"""),"Canberra, Aus                                          Sydney, Aus                                                      Wellington, NZ")</f>
        <v/>
      </c>
      <c r="K2227">
        <f>IFERROR(__xludf.DUMMYFUNCTION("""COMPUTED_VALUE"""),16338.6)</f>
        <v/>
      </c>
    </row>
    <row r="2228">
      <c r="J2228">
        <f>IFERROR(__xludf.DUMMYFUNCTION("""COMPUTED_VALUE"""),"Singapore, Laos, Vietnam")</f>
        <v/>
      </c>
      <c r="K2228">
        <f>IFERROR(__xludf.DUMMYFUNCTION("""COMPUTED_VALUE"""),16331.87)</f>
        <v/>
      </c>
    </row>
    <row r="2229">
      <c r="J2229">
        <f>IFERROR(__xludf.DUMMYFUNCTION("""COMPUTED_VALUE"""),"Port Vila, Vanuatu and Brisbane, Australia")</f>
        <v/>
      </c>
      <c r="K2229">
        <f>IFERROR(__xludf.DUMMYFUNCTION("""COMPUTED_VALUE"""),16329.11)</f>
        <v/>
      </c>
    </row>
    <row r="2230">
      <c r="J2230">
        <f>IFERROR(__xludf.DUMMYFUNCTION("""COMPUTED_VALUE"""),"Vancouver, BC - Prince Rupert, BC")</f>
        <v/>
      </c>
      <c r="K2230">
        <f>IFERROR(__xludf.DUMMYFUNCTION("""COMPUTED_VALUE"""),16327.07)</f>
        <v/>
      </c>
    </row>
    <row r="2231">
      <c r="J2231">
        <f>IFERROR(__xludf.DUMMYFUNCTION("""COMPUTED_VALUE"""),"Lima, Paris, Berlin, London, Washington")</f>
        <v/>
      </c>
      <c r="K2231">
        <f>IFERROR(__xludf.DUMMYFUNCTION("""COMPUTED_VALUE"""),16325.01)</f>
        <v/>
      </c>
    </row>
    <row r="2232">
      <c r="J2232">
        <f>IFERROR(__xludf.DUMMYFUNCTION("""COMPUTED_VALUE"""),"Vancouver and Australia (Canberra, Sydney, Hobart)")</f>
        <v/>
      </c>
      <c r="K2232">
        <f>IFERROR(__xludf.DUMMYFUNCTION("""COMPUTED_VALUE"""),16323)</f>
        <v/>
      </c>
    </row>
    <row r="2233">
      <c r="J2233">
        <f>IFERROR(__xludf.DUMMYFUNCTION("""COMPUTED_VALUE"""),"Brussels / Berlin")</f>
        <v/>
      </c>
      <c r="K2233">
        <f>IFERROR(__xludf.DUMMYFUNCTION("""COMPUTED_VALUE"""),16321.55)</f>
        <v/>
      </c>
    </row>
    <row r="2234">
      <c r="J2234">
        <f>IFERROR(__xludf.DUMMYFUNCTION("""COMPUTED_VALUE"""),"HALIFAX, NOVA SCOTIA, CANADA")</f>
        <v/>
      </c>
      <c r="K2234">
        <f>IFERROR(__xludf.DUMMYFUNCTION("""COMPUTED_VALUE"""),16305.4499999999)</f>
        <v/>
      </c>
    </row>
    <row r="2235">
      <c r="J2235">
        <f>IFERROR(__xludf.DUMMYFUNCTION("""COMPUTED_VALUE"""),"Slovenia
Albania
North Macedonia")</f>
        <v/>
      </c>
      <c r="K2235">
        <f>IFERROR(__xludf.DUMMYFUNCTION("""COMPUTED_VALUE"""),16304.53)</f>
        <v/>
      </c>
    </row>
    <row r="2236">
      <c r="J2236">
        <f>IFERROR(__xludf.DUMMYFUNCTION("""COMPUTED_VALUE"""),"France, Germany and Belgium")</f>
        <v/>
      </c>
      <c r="K2236">
        <f>IFERROR(__xludf.DUMMYFUNCTION("""COMPUTED_VALUE"""),16303.69)</f>
        <v/>
      </c>
    </row>
    <row r="2237">
      <c r="J2237">
        <f>IFERROR(__xludf.DUMMYFUNCTION("""COMPUTED_VALUE"""),"Rimouski, Quebec, Canada")</f>
        <v/>
      </c>
      <c r="K2237">
        <f>IFERROR(__xludf.DUMMYFUNCTION("""COMPUTED_VALUE"""),16286.48)</f>
        <v/>
      </c>
    </row>
    <row r="2238">
      <c r="J2238">
        <f>IFERROR(__xludf.DUMMYFUNCTION("""COMPUTED_VALUE"""),"Jakarta - Singapore, Indonesia - Singapore")</f>
        <v/>
      </c>
      <c r="K2238">
        <f>IFERROR(__xludf.DUMMYFUNCTION("""COMPUTED_VALUE"""),16282.49)</f>
        <v/>
      </c>
    </row>
    <row r="2239">
      <c r="J2239">
        <f>IFERROR(__xludf.DUMMYFUNCTION("""COMPUTED_VALUE"""),"London UK, Rome and Naples Italy")</f>
        <v/>
      </c>
      <c r="K2239">
        <f>IFERROR(__xludf.DUMMYFUNCTION("""COMPUTED_VALUE"""),16281.55)</f>
        <v/>
      </c>
    </row>
    <row r="2240">
      <c r="J2240">
        <f>IFERROR(__xludf.DUMMYFUNCTION("""COMPUTED_VALUE"""),"Colorado Springs, Colorado, United-States")</f>
        <v/>
      </c>
      <c r="K2240">
        <f>IFERROR(__xludf.DUMMYFUNCTION("""COMPUTED_VALUE"""),16281.08)</f>
        <v/>
      </c>
    </row>
    <row r="2241">
      <c r="J2241">
        <f>IFERROR(__xludf.DUMMYFUNCTION("""COMPUTED_VALUE"""),"Wolfburg, Germany")</f>
        <v/>
      </c>
      <c r="K2241">
        <f>IFERROR(__xludf.DUMMYFUNCTION("""COMPUTED_VALUE"""),16276.16)</f>
        <v/>
      </c>
    </row>
    <row r="2242">
      <c r="J2242">
        <f>IFERROR(__xludf.DUMMYFUNCTION("""COMPUTED_VALUE"""),"Halifax, Nova Scotia and Moncton, New Brunswick")</f>
        <v/>
      </c>
      <c r="K2242">
        <f>IFERROR(__xludf.DUMMYFUNCTION("""COMPUTED_VALUE"""),16262.26)</f>
        <v/>
      </c>
    </row>
    <row r="2243">
      <c r="J2243">
        <f>IFERROR(__xludf.DUMMYFUNCTION("""COMPUTED_VALUE"""),"The Hague, The Netherlands")</f>
        <v/>
      </c>
      <c r="K2243">
        <f>IFERROR(__xludf.DUMMYFUNCTION("""COMPUTED_VALUE"""),16261.95)</f>
        <v/>
      </c>
    </row>
    <row r="2244">
      <c r="J2244">
        <f>IFERROR(__xludf.DUMMYFUNCTION("""COMPUTED_VALUE"""),"Paris, Prague, Istanbul and Algiers")</f>
        <v/>
      </c>
      <c r="K2244">
        <f>IFERROR(__xludf.DUMMYFUNCTION("""COMPUTED_VALUE"""),16252.08)</f>
        <v/>
      </c>
    </row>
    <row r="2245">
      <c r="J2245">
        <f>IFERROR(__xludf.DUMMYFUNCTION("""COMPUTED_VALUE"""),"Vietnam, India, United Arab Emirates")</f>
        <v/>
      </c>
      <c r="K2245">
        <f>IFERROR(__xludf.DUMMYFUNCTION("""COMPUTED_VALUE"""),16251.85)</f>
        <v/>
      </c>
    </row>
    <row r="2246">
      <c r="J2246">
        <f>IFERROR(__xludf.DUMMYFUNCTION("""COMPUTED_VALUE"""),"Calgary, Alberta / Dawson City, Yukon / Whitehorse, Yellowknife, Canada")</f>
        <v/>
      </c>
      <c r="K2246">
        <f>IFERROR(__xludf.DUMMYFUNCTION("""COMPUTED_VALUE"""),16243.34)</f>
        <v/>
      </c>
    </row>
    <row r="2247">
      <c r="J2247">
        <f>IFERROR(__xludf.DUMMYFUNCTION("""COMPUTED_VALUE"""),"Phnom Penh, Cambodia, Colombo, Sri Lanka, Vienna Austria")</f>
        <v/>
      </c>
      <c r="K2247">
        <f>IFERROR(__xludf.DUMMYFUNCTION("""COMPUTED_VALUE"""),16240.2)</f>
        <v/>
      </c>
    </row>
    <row r="2248">
      <c r="J2248">
        <f>IFERROR(__xludf.DUMMYFUNCTION("""COMPUTED_VALUE"""),"Summerside, Prince Edward Island")</f>
        <v/>
      </c>
      <c r="K2248">
        <f>IFERROR(__xludf.DUMMYFUNCTION("""COMPUTED_VALUE"""),16222.65)</f>
        <v/>
      </c>
    </row>
    <row r="2249">
      <c r="J2249">
        <f>IFERROR(__xludf.DUMMYFUNCTION("""COMPUTED_VALUE"""),"France / Slovenia")</f>
        <v/>
      </c>
      <c r="K2249">
        <f>IFERROR(__xludf.DUMMYFUNCTION("""COMPUTED_VALUE"""),16221.13)</f>
        <v/>
      </c>
    </row>
    <row r="2250">
      <c r="J2250">
        <f>IFERROR(__xludf.DUMMYFUNCTION("""COMPUTED_VALUE"""),"Manila, Philippines. New Delhi, India. Larnaca, Cyprus. Zagreb, Croatia. Paris, France")</f>
        <v/>
      </c>
      <c r="K2250">
        <f>IFERROR(__xludf.DUMMYFUNCTION("""COMPUTED_VALUE"""),16219.58)</f>
        <v/>
      </c>
    </row>
    <row r="2251">
      <c r="J2251">
        <f>IFERROR(__xludf.DUMMYFUNCTION("""COMPUTED_VALUE"""),"Toronto, ON / Ottawa, ON")</f>
        <v/>
      </c>
      <c r="K2251">
        <f>IFERROR(__xludf.DUMMYFUNCTION("""COMPUTED_VALUE"""),16205.99)</f>
        <v/>
      </c>
    </row>
    <row r="2252">
      <c r="J2252">
        <f>IFERROR(__xludf.DUMMYFUNCTION("""COMPUTED_VALUE"""),"Toronto, Ontario, Canada / Paris, France / Rabat, Maroc / London, United Kingdom / Abu Dhabi, United Arab Emirates / Doha, Qatar")</f>
        <v/>
      </c>
      <c r="K2252">
        <f>IFERROR(__xludf.DUMMYFUNCTION("""COMPUTED_VALUE"""),16198.4)</f>
        <v/>
      </c>
    </row>
    <row r="2253">
      <c r="J2253">
        <f>IFERROR(__xludf.DUMMYFUNCTION("""COMPUTED_VALUE"""),"South Africa and Kenya")</f>
        <v/>
      </c>
      <c r="K2253">
        <f>IFERROR(__xludf.DUMMYFUNCTION("""COMPUTED_VALUE"""),16197.04)</f>
        <v/>
      </c>
    </row>
    <row r="2254">
      <c r="J2254">
        <f>IFERROR(__xludf.DUMMYFUNCTION("""COMPUTED_VALUE"""),"Sao Paolo, Brazil")</f>
        <v/>
      </c>
      <c r="K2254">
        <f>IFERROR(__xludf.DUMMYFUNCTION("""COMPUTED_VALUE"""),16194.78)</f>
        <v/>
      </c>
    </row>
    <row r="2255">
      <c r="J2255">
        <f>IFERROR(__xludf.DUMMYFUNCTION("""COMPUTED_VALUE"""),"Victoria, Vancouver, British Columbia, Canada")</f>
        <v/>
      </c>
      <c r="K2255">
        <f>IFERROR(__xludf.DUMMYFUNCTION("""COMPUTED_VALUE"""),16193.02)</f>
        <v/>
      </c>
    </row>
    <row r="2256">
      <c r="J2256">
        <f>IFERROR(__xludf.DUMMYFUNCTION("""COMPUTED_VALUE"""),"Taipei (Taiwan), Guangzhou (Chine); Hong Kong; Hanoi (Vietnam)")</f>
        <v/>
      </c>
      <c r="K2256">
        <f>IFERROR(__xludf.DUMMYFUNCTION("""COMPUTED_VALUE"""),16191.53)</f>
        <v/>
      </c>
    </row>
    <row r="2257">
      <c r="J2257">
        <f>IFERROR(__xludf.DUMMYFUNCTION("""COMPUTED_VALUE"""),"Vancouver, British Columbia, Canada; Regina, Saskatchewan, Canada")</f>
        <v/>
      </c>
      <c r="K2257">
        <f>IFERROR(__xludf.DUMMYFUNCTION("""COMPUTED_VALUE"""),16188.11)</f>
        <v/>
      </c>
    </row>
    <row r="2258">
      <c r="J2258">
        <f>IFERROR(__xludf.DUMMYFUNCTION("""COMPUTED_VALUE"""),"Cairns, Australia; Sydney, Australia; Canberra, Australia")</f>
        <v/>
      </c>
      <c r="K2258">
        <f>IFERROR(__xludf.DUMMYFUNCTION("""COMPUTED_VALUE"""),16183.24)</f>
        <v/>
      </c>
    </row>
    <row r="2259">
      <c r="J2259">
        <f>IFERROR(__xludf.DUMMYFUNCTION("""COMPUTED_VALUE"""),"Dubrovnik and Zagreb")</f>
        <v/>
      </c>
      <c r="K2259">
        <f>IFERROR(__xludf.DUMMYFUNCTION("""COMPUTED_VALUE"""),16180.47)</f>
        <v/>
      </c>
    </row>
    <row r="2260">
      <c r="J2260">
        <f>IFERROR(__xludf.DUMMYFUNCTION("""COMPUTED_VALUE"""),"Ethiopia")</f>
        <v/>
      </c>
      <c r="K2260">
        <f>IFERROR(__xludf.DUMMYFUNCTION("""COMPUTED_VALUE"""),16179.51)</f>
        <v/>
      </c>
    </row>
    <row r="2261">
      <c r="J2261">
        <f>IFERROR(__xludf.DUMMYFUNCTION("""COMPUTED_VALUE"""),"Vancouver, Victoria, British Columbia, Canada")</f>
        <v/>
      </c>
      <c r="K2261">
        <f>IFERROR(__xludf.DUMMYFUNCTION("""COMPUTED_VALUE"""),16177.76)</f>
        <v/>
      </c>
    </row>
    <row r="2262">
      <c r="J2262">
        <f>IFERROR(__xludf.DUMMYFUNCTION("""COMPUTED_VALUE"""),"Tokyo, Japan / Nagasaki, Nagasaki, Japan")</f>
        <v/>
      </c>
      <c r="K2262">
        <f>IFERROR(__xludf.DUMMYFUNCTION("""COMPUTED_VALUE"""),16176.93)</f>
        <v/>
      </c>
    </row>
    <row r="2263">
      <c r="J2263">
        <f>IFERROR(__xludf.DUMMYFUNCTION("""COMPUTED_VALUE"""),"Islamabad - Manila, Pakistan - Philippines")</f>
        <v/>
      </c>
      <c r="K2263">
        <f>IFERROR(__xludf.DUMMYFUNCTION("""COMPUTED_VALUE"""),16176.46)</f>
        <v/>
      </c>
    </row>
    <row r="2264">
      <c r="J2264">
        <f>IFERROR(__xludf.DUMMYFUNCTION("""COMPUTED_VALUE"""),"Tonga")</f>
        <v/>
      </c>
      <c r="K2264">
        <f>IFERROR(__xludf.DUMMYFUNCTION("""COMPUTED_VALUE"""),16171.65)</f>
        <v/>
      </c>
    </row>
    <row r="2265">
      <c r="J2265">
        <f>IFERROR(__xludf.DUMMYFUNCTION("""COMPUTED_VALUE"""),"Singapore, Hong Kong")</f>
        <v/>
      </c>
      <c r="K2265">
        <f>IFERROR(__xludf.DUMMYFUNCTION("""COMPUTED_VALUE"""),16168.8499999999)</f>
        <v/>
      </c>
    </row>
    <row r="2266">
      <c r="J2266">
        <f>IFERROR(__xludf.DUMMYFUNCTION("""COMPUTED_VALUE"""),"Cambodia, Indonesia, Thailand and Tunisia")</f>
        <v/>
      </c>
      <c r="K2266">
        <f>IFERROR(__xludf.DUMMYFUNCTION("""COMPUTED_VALUE"""),16165.7)</f>
        <v/>
      </c>
    </row>
    <row r="2267">
      <c r="J2267">
        <f>IFERROR(__xludf.DUMMYFUNCTION("""COMPUTED_VALUE"""),"Ottawa &amp; Toronto, Ontario, Canada")</f>
        <v/>
      </c>
      <c r="K2267">
        <f>IFERROR(__xludf.DUMMYFUNCTION("""COMPUTED_VALUE"""),16160.3299999999)</f>
        <v/>
      </c>
    </row>
    <row r="2268">
      <c r="J2268">
        <f>IFERROR(__xludf.DUMMYFUNCTION("""COMPUTED_VALUE"""),"Regina, Saskatchewan, Canada
Calgary, Alberta, Canada")</f>
        <v/>
      </c>
      <c r="K2268">
        <f>IFERROR(__xludf.DUMMYFUNCTION("""COMPUTED_VALUE"""),16154.46)</f>
        <v/>
      </c>
    </row>
    <row r="2269">
      <c r="J2269">
        <f>IFERROR(__xludf.DUMMYFUNCTION("""COMPUTED_VALUE"""),"Prestwick, UK; Kuwait City, Kuwait; Amman, Jordan")</f>
        <v/>
      </c>
      <c r="K2269">
        <f>IFERROR(__xludf.DUMMYFUNCTION("""COMPUTED_VALUE"""),16153.25)</f>
        <v/>
      </c>
    </row>
    <row r="2270">
      <c r="J2270">
        <f>IFERROR(__xludf.DUMMYFUNCTION("""COMPUTED_VALUE"""),"France and United Kingdom")</f>
        <v/>
      </c>
      <c r="K2270">
        <f>IFERROR(__xludf.DUMMYFUNCTION("""COMPUTED_VALUE"""),16151.78)</f>
        <v/>
      </c>
    </row>
    <row r="2271">
      <c r="J2271">
        <f>IFERROR(__xludf.DUMMYFUNCTION("""COMPUTED_VALUE"""),"New York, United States; Washington, United States")</f>
        <v/>
      </c>
      <c r="K2271">
        <f>IFERROR(__xludf.DUMMYFUNCTION("""COMPUTED_VALUE"""),16146.93)</f>
        <v/>
      </c>
    </row>
    <row r="2272">
      <c r="J2272">
        <f>IFERROR(__xludf.DUMMYFUNCTION("""COMPUTED_VALUE"""),"Brasilia, Brazil &amp; Istanbul, Turkey")</f>
        <v/>
      </c>
      <c r="K2272">
        <f>IFERROR(__xludf.DUMMYFUNCTION("""COMPUTED_VALUE"""),16141.18)</f>
        <v/>
      </c>
    </row>
    <row r="2273">
      <c r="J2273">
        <f>IFERROR(__xludf.DUMMYFUNCTION("""COMPUTED_VALUE"""),"Frankfurt, Germany; Moscow, Russia")</f>
        <v/>
      </c>
      <c r="K2273">
        <f>IFERROR(__xludf.DUMMYFUNCTION("""COMPUTED_VALUE"""),16133.64)</f>
        <v/>
      </c>
    </row>
    <row r="2274">
      <c r="J2274">
        <f>IFERROR(__xludf.DUMMYFUNCTION("""COMPUTED_VALUE"""),"Toronto, ON, London, UK")</f>
        <v/>
      </c>
      <c r="K2274">
        <f>IFERROR(__xludf.DUMMYFUNCTION("""COMPUTED_VALUE"""),16131.3299999999)</f>
        <v/>
      </c>
    </row>
    <row r="2275">
      <c r="J2275">
        <f>IFERROR(__xludf.DUMMYFUNCTION("""COMPUTED_VALUE"""),"Seattle, United States")</f>
        <v/>
      </c>
      <c r="K2275">
        <f>IFERROR(__xludf.DUMMYFUNCTION("""COMPUTED_VALUE"""),16129.79)</f>
        <v/>
      </c>
    </row>
    <row r="2276">
      <c r="J2276">
        <f>IFERROR(__xludf.DUMMYFUNCTION("""COMPUTED_VALUE"""),"Riga, Latvia; Tel Aviv, Israel; East Jerusalem, Israel")</f>
        <v/>
      </c>
      <c r="K2276">
        <f>IFERROR(__xludf.DUMMYFUNCTION("""COMPUTED_VALUE"""),16122.99)</f>
        <v/>
      </c>
    </row>
    <row r="2277">
      <c r="J2277">
        <f>IFERROR(__xludf.DUMMYFUNCTION("""COMPUTED_VALUE"""),"Boston, Massachusetts, United-States")</f>
        <v/>
      </c>
      <c r="K2277">
        <f>IFERROR(__xludf.DUMMYFUNCTION("""COMPUTED_VALUE"""),16119.14)</f>
        <v/>
      </c>
    </row>
    <row r="2278">
      <c r="J2278">
        <f>IFERROR(__xludf.DUMMYFUNCTION("""COMPUTED_VALUE"""),"Oslo, Stavanger and Bergen, Norway
Reykjavik, Iceland")</f>
        <v/>
      </c>
      <c r="K2278">
        <f>IFERROR(__xludf.DUMMYFUNCTION("""COMPUTED_VALUE"""),16118.54)</f>
        <v/>
      </c>
    </row>
    <row r="2279">
      <c r="J2279">
        <f>IFERROR(__xludf.DUMMYFUNCTION("""COMPUTED_VALUE"""),"Beijing, China, Vancouver, British Columbia, and Edmonton, Alberta, Canada")</f>
        <v/>
      </c>
      <c r="K2279">
        <f>IFERROR(__xludf.DUMMYFUNCTION("""COMPUTED_VALUE"""),16113.66)</f>
        <v/>
      </c>
    </row>
    <row r="2280">
      <c r="J2280">
        <f>IFERROR(__xludf.DUMMYFUNCTION("""COMPUTED_VALUE"""),"Ottawa and Petawawa, Ontario; and Bucharest, Romania")</f>
        <v/>
      </c>
      <c r="K2280">
        <f>IFERROR(__xludf.DUMMYFUNCTION("""COMPUTED_VALUE"""),16112.66)</f>
        <v/>
      </c>
    </row>
    <row r="2281">
      <c r="J2281">
        <f>IFERROR(__xludf.DUMMYFUNCTION("""COMPUTED_VALUE"""),"Marseille, FR")</f>
        <v/>
      </c>
      <c r="K2281">
        <f>IFERROR(__xludf.DUMMYFUNCTION("""COMPUTED_VALUE"""),16110.88)</f>
        <v/>
      </c>
    </row>
    <row r="2282">
      <c r="J2282">
        <f>IFERROR(__xludf.DUMMYFUNCTION("""COMPUTED_VALUE"""),"Manchester, UK")</f>
        <v/>
      </c>
      <c r="K2282">
        <f>IFERROR(__xludf.DUMMYFUNCTION("""COMPUTED_VALUE"""),16108.7599999999)</f>
        <v/>
      </c>
    </row>
    <row r="2283">
      <c r="J2283">
        <f>IFERROR(__xludf.DUMMYFUNCTION("""COMPUTED_VALUE"""),"Sweden, Switzerland, Germany &amp; France")</f>
        <v/>
      </c>
      <c r="K2283">
        <f>IFERROR(__xludf.DUMMYFUNCTION("""COMPUTED_VALUE"""),16099.81)</f>
        <v/>
      </c>
    </row>
    <row r="2284">
      <c r="J2284">
        <f>IFERROR(__xludf.DUMMYFUNCTION("""COMPUTED_VALUE"""),"Ethiopia, Egypt and Chad")</f>
        <v/>
      </c>
      <c r="K2284">
        <f>IFERROR(__xludf.DUMMYFUNCTION("""COMPUTED_VALUE"""),16088.85)</f>
        <v/>
      </c>
    </row>
    <row r="2285">
      <c r="J2285">
        <f>IFERROR(__xludf.DUMMYFUNCTION("""COMPUTED_VALUE"""),"Washington &amp; Mexico")</f>
        <v/>
      </c>
      <c r="K2285">
        <f>IFERROR(__xludf.DUMMYFUNCTION("""COMPUTED_VALUE"""),16084.35)</f>
        <v/>
      </c>
    </row>
    <row r="2286">
      <c r="J2286">
        <f>IFERROR(__xludf.DUMMYFUNCTION("""COMPUTED_VALUE"""),"Tokyo, Japan and Dan Hang, Vietnam.")</f>
        <v/>
      </c>
      <c r="K2286">
        <f>IFERROR(__xludf.DUMMYFUNCTION("""COMPUTED_VALUE"""),16080.5)</f>
        <v/>
      </c>
    </row>
    <row r="2287">
      <c r="J2287">
        <f>IFERROR(__xludf.DUMMYFUNCTION("""COMPUTED_VALUE"""),"Lake Louise, Alberta")</f>
        <v/>
      </c>
      <c r="K2287">
        <f>IFERROR(__xludf.DUMMYFUNCTION("""COMPUTED_VALUE"""),16079.8599999999)</f>
        <v/>
      </c>
    </row>
    <row r="2288">
      <c r="J2288">
        <f>IFERROR(__xludf.DUMMYFUNCTION("""COMPUTED_VALUE"""),"Germany, Kuwait, Singapore")</f>
        <v/>
      </c>
      <c r="K2288">
        <f>IFERROR(__xludf.DUMMYFUNCTION("""COMPUTED_VALUE"""),16074.93)</f>
        <v/>
      </c>
    </row>
    <row r="2289">
      <c r="J2289">
        <f>IFERROR(__xludf.DUMMYFUNCTION("""COMPUTED_VALUE"""),"Hong Kong, Guangzhou, Beijing and Switzerland")</f>
        <v/>
      </c>
      <c r="K2289">
        <f>IFERROR(__xludf.DUMMYFUNCTION("""COMPUTED_VALUE"""),16054.41)</f>
        <v/>
      </c>
    </row>
    <row r="2290">
      <c r="J2290">
        <f>IFERROR(__xludf.DUMMYFUNCTION("""COMPUTED_VALUE"""),"Wellington, New Zealand. Canberra, Australia.")</f>
        <v/>
      </c>
      <c r="K2290">
        <f>IFERROR(__xludf.DUMMYFUNCTION("""COMPUTED_VALUE"""),16044)</f>
        <v/>
      </c>
    </row>
    <row r="2291">
      <c r="J2291">
        <f>IFERROR(__xludf.DUMMYFUNCTION("""COMPUTED_VALUE"""),"Ottawa-Toronto-Ottawa")</f>
        <v/>
      </c>
      <c r="K2291">
        <f>IFERROR(__xludf.DUMMYFUNCTION("""COMPUTED_VALUE"""),16041.3499999999)</f>
        <v/>
      </c>
    </row>
    <row r="2292">
      <c r="J2292">
        <f>IFERROR(__xludf.DUMMYFUNCTION("""COMPUTED_VALUE"""),"St John's, NL")</f>
        <v/>
      </c>
      <c r="K2292">
        <f>IFERROR(__xludf.DUMMYFUNCTION("""COMPUTED_VALUE"""),16038.43)</f>
        <v/>
      </c>
    </row>
    <row r="2293">
      <c r="J2293">
        <f>IFERROR(__xludf.DUMMYFUNCTION("""COMPUTED_VALUE"""),"Bariloche, Argentina")</f>
        <v/>
      </c>
      <c r="K2293">
        <f>IFERROR(__xludf.DUMMYFUNCTION("""COMPUTED_VALUE"""),16031.9499999999)</f>
        <v/>
      </c>
    </row>
    <row r="2294">
      <c r="J2294">
        <f>IFERROR(__xludf.DUMMYFUNCTION("""COMPUTED_VALUE"""),"Tanzania, South Africa, Ghana and United Kingdom")</f>
        <v/>
      </c>
      <c r="K2294">
        <f>IFERROR(__xludf.DUMMYFUNCTION("""COMPUTED_VALUE"""),16019.46)</f>
        <v/>
      </c>
    </row>
    <row r="2295">
      <c r="J2295">
        <f>IFERROR(__xludf.DUMMYFUNCTION("""COMPUTED_VALUE"""),"Regina, Saskatchewan; Saskatoon, Saskatchewan")</f>
        <v/>
      </c>
      <c r="K2295">
        <f>IFERROR(__xludf.DUMMYFUNCTION("""COMPUTED_VALUE"""),16018.0899999999)</f>
        <v/>
      </c>
    </row>
    <row r="2296">
      <c r="J2296">
        <f>IFERROR(__xludf.DUMMYFUNCTION("""COMPUTED_VALUE"""),"Dubai, United Arab Emirates and Abu Dhabi, United Arab Emirates")</f>
        <v/>
      </c>
      <c r="K2296">
        <f>IFERROR(__xludf.DUMMYFUNCTION("""COMPUTED_VALUE"""),16017.32)</f>
        <v/>
      </c>
    </row>
    <row r="2297">
      <c r="J2297">
        <f>IFERROR(__xludf.DUMMYFUNCTION("""COMPUTED_VALUE"""),"Haida Gwaii, British Columbia, Canada")</f>
        <v/>
      </c>
      <c r="K2297">
        <f>IFERROR(__xludf.DUMMYFUNCTION("""COMPUTED_VALUE"""),16017.17)</f>
        <v/>
      </c>
    </row>
    <row r="2298">
      <c r="J2298">
        <f>IFERROR(__xludf.DUMMYFUNCTION("""COMPUTED_VALUE"""),"LONDON, UK")</f>
        <v/>
      </c>
      <c r="K2298">
        <f>IFERROR(__xludf.DUMMYFUNCTION("""COMPUTED_VALUE"""),16017.0999999999)</f>
        <v/>
      </c>
    </row>
    <row r="2299">
      <c r="J2299">
        <f>IFERROR(__xludf.DUMMYFUNCTION("""COMPUTED_VALUE"""),"Capetown, Johannesburg / South Africa and Kenya")</f>
        <v/>
      </c>
      <c r="K2299">
        <f>IFERROR(__xludf.DUMMYFUNCTION("""COMPUTED_VALUE"""),16017.08)</f>
        <v/>
      </c>
    </row>
    <row r="2300">
      <c r="J2300">
        <f>IFERROR(__xludf.DUMMYFUNCTION("""COMPUTED_VALUE"""),"Egypt, Israel, West Bank, Switzerland and Saudi Arabia")</f>
        <v/>
      </c>
      <c r="K2300">
        <f>IFERROR(__xludf.DUMMYFUNCTION("""COMPUTED_VALUE"""),16015.84)</f>
        <v/>
      </c>
    </row>
    <row r="2301">
      <c r="J2301">
        <f>IFERROR(__xludf.DUMMYFUNCTION("""COMPUTED_VALUE"""),"Paris, France / Mumbai, India")</f>
        <v/>
      </c>
      <c r="K2301">
        <f>IFERROR(__xludf.DUMMYFUNCTION("""COMPUTED_VALUE"""),16014.86)</f>
        <v/>
      </c>
    </row>
    <row r="2302">
      <c r="J2302">
        <f>IFERROR(__xludf.DUMMYFUNCTION("""COMPUTED_VALUE"""),"Paris, Île-de-France, France")</f>
        <v/>
      </c>
      <c r="K2302">
        <f>IFERROR(__xludf.DUMMYFUNCTION("""COMPUTED_VALUE"""),16014.11)</f>
        <v/>
      </c>
    </row>
    <row r="2303">
      <c r="J2303">
        <f>IFERROR(__xludf.DUMMYFUNCTION("""COMPUTED_VALUE"""),"London / Paris")</f>
        <v/>
      </c>
      <c r="K2303">
        <f>IFERROR(__xludf.DUMMYFUNCTION("""COMPUTED_VALUE"""),16012.36)</f>
        <v/>
      </c>
    </row>
    <row r="2304">
      <c r="J2304">
        <f>IFERROR(__xludf.DUMMYFUNCTION("""COMPUTED_VALUE"""),"Tokyo, Japan &amp; Seoul, South Korea")</f>
        <v/>
      </c>
      <c r="K2304">
        <f>IFERROR(__xludf.DUMMYFUNCTION("""COMPUTED_VALUE"""),16006.43)</f>
        <v/>
      </c>
    </row>
    <row r="2305">
      <c r="J2305">
        <f>IFERROR(__xludf.DUMMYFUNCTION("""COMPUTED_VALUE"""),"Warsaw, London")</f>
        <v/>
      </c>
      <c r="K2305">
        <f>IFERROR(__xludf.DUMMYFUNCTION("""COMPUTED_VALUE"""),16004.59)</f>
        <v/>
      </c>
    </row>
    <row r="2306">
      <c r="J2306">
        <f>IFERROR(__xludf.DUMMYFUNCTION("""COMPUTED_VALUE"""),"Quebec, (Quebec)")</f>
        <v/>
      </c>
      <c r="K2306">
        <f>IFERROR(__xludf.DUMMYFUNCTION("""COMPUTED_VALUE"""),16003.4699999999)</f>
        <v/>
      </c>
    </row>
    <row r="2307">
      <c r="J2307">
        <f>IFERROR(__xludf.DUMMYFUNCTION("""COMPUTED_VALUE"""),"St. Hyacinthe, Quebec, Canada")</f>
        <v/>
      </c>
      <c r="K2307">
        <f>IFERROR(__xludf.DUMMYFUNCTION("""COMPUTED_VALUE"""),16003.2799999999)</f>
        <v/>
      </c>
    </row>
    <row r="2308">
      <c r="J2308">
        <f>IFERROR(__xludf.DUMMYFUNCTION("""COMPUTED_VALUE"""),"Corner Brook, Newfoundland and Labrador, Canada")</f>
        <v/>
      </c>
      <c r="K2308">
        <f>IFERROR(__xludf.DUMMYFUNCTION("""COMPUTED_VALUE"""),16000.1999999999)</f>
        <v/>
      </c>
    </row>
    <row r="2309">
      <c r="J2309">
        <f>IFERROR(__xludf.DUMMYFUNCTION("""COMPUTED_VALUE"""),"Montreal, Quebec, Rouyn-Noranda, QC, Iqaluit, NU, Toronto, London, ON, Winnipeg, MB")</f>
        <v/>
      </c>
      <c r="K2309">
        <f>IFERROR(__xludf.DUMMYFUNCTION("""COMPUTED_VALUE"""),15992.6)</f>
        <v/>
      </c>
    </row>
    <row r="2310">
      <c r="J2310">
        <f>IFERROR(__xludf.DUMMYFUNCTION("""COMPUTED_VALUE"""),"Vancouver, Victoria, British Columbia, Canada; Whitehorse, Yukon, Canada; Edmonton, Alberta, Canada; Toronto, Ontario, Canada")</f>
        <v/>
      </c>
      <c r="K2310">
        <f>IFERROR(__xludf.DUMMYFUNCTION("""COMPUTED_VALUE"""),15989.6899999999)</f>
        <v/>
      </c>
    </row>
    <row r="2311">
      <c r="J2311">
        <f>IFERROR(__xludf.DUMMYFUNCTION("""COMPUTED_VALUE"""),"Honduras, Costa Rica and El Salvador")</f>
        <v/>
      </c>
      <c r="K2311">
        <f>IFERROR(__xludf.DUMMYFUNCTION("""COMPUTED_VALUE"""),15986.66)</f>
        <v/>
      </c>
    </row>
    <row r="2312">
      <c r="J2312">
        <f>IFERROR(__xludf.DUMMYFUNCTION("""COMPUTED_VALUE"""),"Baku, Baku, Azerbaijan")</f>
        <v/>
      </c>
      <c r="K2312">
        <f>IFERROR(__xludf.DUMMYFUNCTION("""COMPUTED_VALUE"""),15980.52)</f>
        <v/>
      </c>
    </row>
    <row r="2313">
      <c r="J2313">
        <f>IFERROR(__xludf.DUMMYFUNCTION("""COMPUTED_VALUE"""),"London, England, United Kingdom &amp; Madrid, Spain")</f>
        <v/>
      </c>
      <c r="K2313">
        <f>IFERROR(__xludf.DUMMYFUNCTION("""COMPUTED_VALUE"""),15976.87)</f>
        <v/>
      </c>
    </row>
    <row r="2314">
      <c r="J2314">
        <f>IFERROR(__xludf.DUMMYFUNCTION("""COMPUTED_VALUE"""),"Dubai and Rome")</f>
        <v/>
      </c>
      <c r="K2314">
        <f>IFERROR(__xludf.DUMMYFUNCTION("""COMPUTED_VALUE"""),15974.19)</f>
        <v/>
      </c>
    </row>
    <row r="2315">
      <c r="J2315">
        <f>IFERROR(__xludf.DUMMYFUNCTION("""COMPUTED_VALUE"""),"Auckland, New Zealand; Queenstown, New Zealand; Canberra, Australia; Sydney, Australia")</f>
        <v/>
      </c>
      <c r="K2315">
        <f>IFERROR(__xludf.DUMMYFUNCTION("""COMPUTED_VALUE"""),15972.28)</f>
        <v/>
      </c>
    </row>
    <row r="2316">
      <c r="J2316">
        <f>IFERROR(__xludf.DUMMYFUNCTION("""COMPUTED_VALUE"""),"India, Delhi. 
Colombo, Sri Lanka, Kabul, Afghanistan and Toronto, Ontario.")</f>
        <v/>
      </c>
      <c r="K2316">
        <f>IFERROR(__xludf.DUMMYFUNCTION("""COMPUTED_VALUE"""),15967.57)</f>
        <v/>
      </c>
    </row>
    <row r="2317">
      <c r="J2317">
        <f>IFERROR(__xludf.DUMMYFUNCTION("""COMPUTED_VALUE"""),"Christchurch and Kerikeri, New Zealand")</f>
        <v/>
      </c>
      <c r="K2317">
        <f>IFERROR(__xludf.DUMMYFUNCTION("""COMPUTED_VALUE"""),15959.95)</f>
        <v/>
      </c>
    </row>
    <row r="2318">
      <c r="J2318">
        <f>IFERROR(__xludf.DUMMYFUNCTION("""COMPUTED_VALUE"""),"Beijing, China - Bangkok, Thailand")</f>
        <v/>
      </c>
      <c r="K2318">
        <f>IFERROR(__xludf.DUMMYFUNCTION("""COMPUTED_VALUE"""),15956.51)</f>
        <v/>
      </c>
    </row>
    <row r="2319">
      <c r="J2319">
        <f>IFERROR(__xludf.DUMMYFUNCTION("""COMPUTED_VALUE"""),"Munich, Berlin, London, Belfast &amp; Panama City")</f>
        <v/>
      </c>
      <c r="K2319">
        <f>IFERROR(__xludf.DUMMYFUNCTION("""COMPUTED_VALUE"""),15942.01)</f>
        <v/>
      </c>
    </row>
    <row r="2320">
      <c r="J2320">
        <f>IFERROR(__xludf.DUMMYFUNCTION("""COMPUTED_VALUE"""),"Vancouver-Edmonton-Calgary-Toronto-Waterloo-Ottawa")</f>
        <v/>
      </c>
      <c r="K2320">
        <f>IFERROR(__xludf.DUMMYFUNCTION("""COMPUTED_VALUE"""),15941.86)</f>
        <v/>
      </c>
    </row>
    <row r="2321">
      <c r="J2321">
        <f>IFERROR(__xludf.DUMMYFUNCTION("""COMPUTED_VALUE"""),"London and Hong Kong")</f>
        <v/>
      </c>
      <c r="K2321">
        <f>IFERROR(__xludf.DUMMYFUNCTION("""COMPUTED_VALUE"""),15939.39)</f>
        <v/>
      </c>
    </row>
    <row r="2322">
      <c r="J2322">
        <f>IFERROR(__xludf.DUMMYFUNCTION("""COMPUTED_VALUE"""),"Naypyidaw et Yangon, Myanmar; Singapour, Maylaysia and Hiroshima, Japan")</f>
        <v/>
      </c>
      <c r="K2322">
        <f>IFERROR(__xludf.DUMMYFUNCTION("""COMPUTED_VALUE"""),15937.91)</f>
        <v/>
      </c>
    </row>
    <row r="2323">
      <c r="J2323">
        <f>IFERROR(__xludf.DUMMYFUNCTION("""COMPUTED_VALUE"""),"Naypyidaw et Yangon, Myanmar; Singapour, Malaysia and Hiroshima, Japon")</f>
        <v/>
      </c>
      <c r="K2323">
        <f>IFERROR(__xludf.DUMMYFUNCTION("""COMPUTED_VALUE"""),15922.42)</f>
        <v/>
      </c>
    </row>
    <row r="2324">
      <c r="J2324">
        <f>IFERROR(__xludf.DUMMYFUNCTION("""COMPUTED_VALUE"""),"Melbourne, Australia;Saskatoon")</f>
        <v/>
      </c>
      <c r="K2324">
        <f>IFERROR(__xludf.DUMMYFUNCTION("""COMPUTED_VALUE"""),15920.84)</f>
        <v/>
      </c>
    </row>
    <row r="2325">
      <c r="J2325">
        <f>IFERROR(__xludf.DUMMYFUNCTION("""COMPUTED_VALUE"""),"Beijing China and London England")</f>
        <v/>
      </c>
      <c r="K2325">
        <f>IFERROR(__xludf.DUMMYFUNCTION("""COMPUTED_VALUE"""),15904.47)</f>
        <v/>
      </c>
    </row>
    <row r="2326">
      <c r="J2326">
        <f>IFERROR(__xludf.DUMMYFUNCTION("""COMPUTED_VALUE"""),"Manila, Philippines
Singapore
Hanoi, Vietnam")</f>
        <v/>
      </c>
      <c r="K2326">
        <f>IFERROR(__xludf.DUMMYFUNCTION("""COMPUTED_VALUE"""),15904)</f>
        <v/>
      </c>
    </row>
    <row r="2327">
      <c r="J2327">
        <f>IFERROR(__xludf.DUMMYFUNCTION("""COMPUTED_VALUE"""),"Winnipeg, Manitoba, Canada; Calgary, Alberta, Canada")</f>
        <v/>
      </c>
      <c r="K2327">
        <f>IFERROR(__xludf.DUMMYFUNCTION("""COMPUTED_VALUE"""),15890.8)</f>
        <v/>
      </c>
    </row>
    <row r="2328">
      <c r="J2328">
        <f>IFERROR(__xludf.DUMMYFUNCTION("""COMPUTED_VALUE"""),"Japan and Korea")</f>
        <v/>
      </c>
      <c r="K2328">
        <f>IFERROR(__xludf.DUMMYFUNCTION("""COMPUTED_VALUE"""),15882.96)</f>
        <v/>
      </c>
    </row>
    <row r="2329">
      <c r="J2329">
        <f>IFERROR(__xludf.DUMMYFUNCTION("""COMPUTED_VALUE"""),"Frankfurt, Germany; Washington, USA")</f>
        <v/>
      </c>
      <c r="K2329">
        <f>IFERROR(__xludf.DUMMYFUNCTION("""COMPUTED_VALUE"""),15882.93)</f>
        <v/>
      </c>
    </row>
    <row r="2330">
      <c r="J2330">
        <f>IFERROR(__xludf.DUMMYFUNCTION("""COMPUTED_VALUE"""),"Bandar Seri Begawan, Brunei; Changi, Singapore; Regina, SK")</f>
        <v/>
      </c>
      <c r="K2330">
        <f>IFERROR(__xludf.DUMMYFUNCTION("""COMPUTED_VALUE"""),15882.69)</f>
        <v/>
      </c>
    </row>
    <row r="2331">
      <c r="J2331">
        <f>IFERROR(__xludf.DUMMYFUNCTION("""COMPUTED_VALUE"""),"Rwanda, Kenya, South Sudan")</f>
        <v/>
      </c>
      <c r="K2331">
        <f>IFERROR(__xludf.DUMMYFUNCTION("""COMPUTED_VALUE"""),15881.65)</f>
        <v/>
      </c>
    </row>
    <row r="2332">
      <c r="J2332">
        <f>IFERROR(__xludf.DUMMYFUNCTION("""COMPUTED_VALUE"""),"France, Spain and Andorra")</f>
        <v/>
      </c>
      <c r="K2332">
        <f>IFERROR(__xludf.DUMMYFUNCTION("""COMPUTED_VALUE"""),15875.52)</f>
        <v/>
      </c>
    </row>
    <row r="2333">
      <c r="J2333">
        <f>IFERROR(__xludf.DUMMYFUNCTION("""COMPUTED_VALUE"""),"Vancouver (BC)")</f>
        <v/>
      </c>
      <c r="K2333">
        <f>IFERROR(__xludf.DUMMYFUNCTION("""COMPUTED_VALUE"""),15869.13)</f>
        <v/>
      </c>
    </row>
    <row r="2334">
      <c r="J2334">
        <f>IFERROR(__xludf.DUMMYFUNCTION("""COMPUTED_VALUE"""),"Kuwait, Iraq, Qatar")</f>
        <v/>
      </c>
      <c r="K2334">
        <f>IFERROR(__xludf.DUMMYFUNCTION("""COMPUTED_VALUE"""),15868.82)</f>
        <v/>
      </c>
    </row>
    <row r="2335">
      <c r="J2335">
        <f>IFERROR(__xludf.DUMMYFUNCTION("""COMPUTED_VALUE"""),"New Delhi, India, Manila, Philippines, Hong Kong, China")</f>
        <v/>
      </c>
      <c r="K2335">
        <f>IFERROR(__xludf.DUMMYFUNCTION("""COMPUTED_VALUE"""),15867.33)</f>
        <v/>
      </c>
    </row>
    <row r="2336">
      <c r="J2336">
        <f>IFERROR(__xludf.DUMMYFUNCTION("""COMPUTED_VALUE"""),"Berlin, Germany, London, England and Madrid, Spain")</f>
        <v/>
      </c>
      <c r="K2336">
        <f>IFERROR(__xludf.DUMMYFUNCTION("""COMPUTED_VALUE"""),15854.01)</f>
        <v/>
      </c>
    </row>
    <row r="2337">
      <c r="J2337">
        <f>IFERROR(__xludf.DUMMYFUNCTION("""COMPUTED_VALUE"""),"Drummondville, Quebec, Canada")</f>
        <v/>
      </c>
      <c r="K2337">
        <f>IFERROR(__xludf.DUMMYFUNCTION("""COMPUTED_VALUE"""),15847.6799999999)</f>
        <v/>
      </c>
    </row>
    <row r="2338">
      <c r="J2338">
        <f>IFERROR(__xludf.DUMMYFUNCTION("""COMPUTED_VALUE"""),"Boston, MA, USA")</f>
        <v/>
      </c>
      <c r="K2338">
        <f>IFERROR(__xludf.DUMMYFUNCTION("""COMPUTED_VALUE"""),15845.88)</f>
        <v/>
      </c>
    </row>
    <row r="2339">
      <c r="J2339">
        <f>IFERROR(__xludf.DUMMYFUNCTION("""COMPUTED_VALUE"""),"Tel Aviv, Isreal")</f>
        <v/>
      </c>
      <c r="K2339">
        <f>IFERROR(__xludf.DUMMYFUNCTION("""COMPUTED_VALUE"""),15844.86)</f>
        <v/>
      </c>
    </row>
    <row r="2340">
      <c r="J2340">
        <f>IFERROR(__xludf.DUMMYFUNCTION("""COMPUTED_VALUE"""),"Kuujuaq, Quebec, Canada")</f>
        <v/>
      </c>
      <c r="K2340">
        <f>IFERROR(__xludf.DUMMYFUNCTION("""COMPUTED_VALUE"""),15843.99)</f>
        <v/>
      </c>
    </row>
    <row r="2341">
      <c r="J2341">
        <f>IFERROR(__xludf.DUMMYFUNCTION("""COMPUTED_VALUE"""),"Middle East (Cairo &amp; Amman) &amp; Guyana (Georgetown)")</f>
        <v/>
      </c>
      <c r="K2341">
        <f>IFERROR(__xludf.DUMMYFUNCTION("""COMPUTED_VALUE"""),15841.93)</f>
        <v/>
      </c>
    </row>
    <row r="2342">
      <c r="J2342">
        <f>IFERROR(__xludf.DUMMYFUNCTION("""COMPUTED_VALUE"""),"Paris, France &amp; Brussels, Belgium")</f>
        <v/>
      </c>
      <c r="K2342">
        <f>IFERROR(__xludf.DUMMYFUNCTION("""COMPUTED_VALUE"""),15839.41)</f>
        <v/>
      </c>
    </row>
    <row r="2343">
      <c r="J2343">
        <f>IFERROR(__xludf.DUMMYFUNCTION("""COMPUTED_VALUE"""),"Vancouver and Ottawa, BC and ON, Canada")</f>
        <v/>
      </c>
      <c r="K2343">
        <f>IFERROR(__xludf.DUMMYFUNCTION("""COMPUTED_VALUE"""),15836.34)</f>
        <v/>
      </c>
    </row>
    <row r="2344">
      <c r="J2344">
        <f>IFERROR(__xludf.DUMMYFUNCTION("""COMPUTED_VALUE"""),"Tokyo, Japan 
Seoul (Republic of Korea, South)")</f>
        <v/>
      </c>
      <c r="K2344">
        <f>IFERROR(__xludf.DUMMYFUNCTION("""COMPUTED_VALUE"""),15833.7)</f>
        <v/>
      </c>
    </row>
    <row r="2345">
      <c r="J2345">
        <f>IFERROR(__xludf.DUMMYFUNCTION("""COMPUTED_VALUE"""),"Pinawa, Manitoba, Canada")</f>
        <v/>
      </c>
      <c r="K2345">
        <f>IFERROR(__xludf.DUMMYFUNCTION("""COMPUTED_VALUE"""),15832.3199999999)</f>
        <v/>
      </c>
    </row>
    <row r="2346">
      <c r="J2346">
        <f>IFERROR(__xludf.DUMMYFUNCTION("""COMPUTED_VALUE"""),"Winnipeg, Manitoba, Canada ; 
Scarborough, Ontario, Canada; 
Edmonton, Alberta, Canada;
Toronto, Ontario, Canada; 
and Moncton, New Brunswick, Canada")</f>
        <v/>
      </c>
      <c r="K2346">
        <f>IFERROR(__xludf.DUMMYFUNCTION("""COMPUTED_VALUE"""),15831.58)</f>
        <v/>
      </c>
    </row>
    <row r="2347">
      <c r="J2347">
        <f>IFERROR(__xludf.DUMMYFUNCTION("""COMPUTED_VALUE"""),"Indonesia, Kuala Lumpur, Saskatoon")</f>
        <v/>
      </c>
      <c r="K2347">
        <f>IFERROR(__xludf.DUMMYFUNCTION("""COMPUTED_VALUE"""),15829.87)</f>
        <v/>
      </c>
    </row>
    <row r="2348">
      <c r="J2348">
        <f>IFERROR(__xludf.DUMMYFUNCTION("""COMPUTED_VALUE"""),"South Africa and Algiers")</f>
        <v/>
      </c>
      <c r="K2348">
        <f>IFERROR(__xludf.DUMMYFUNCTION("""COMPUTED_VALUE"""),15817.12)</f>
        <v/>
      </c>
    </row>
    <row r="2349">
      <c r="J2349">
        <f>IFERROR(__xludf.DUMMYFUNCTION("""COMPUTED_VALUE"""),"Saskatoon and Regina, Saskatchewan, Canada")</f>
        <v/>
      </c>
      <c r="K2349">
        <f>IFERROR(__xludf.DUMMYFUNCTION("""COMPUTED_VALUE"""),15816.26)</f>
        <v/>
      </c>
    </row>
    <row r="2350">
      <c r="J2350">
        <f>IFERROR(__xludf.DUMMYFUNCTION("""COMPUTED_VALUE"""),"Paris, France Dubai, UAE")</f>
        <v/>
      </c>
      <c r="K2350">
        <f>IFERROR(__xludf.DUMMYFUNCTION("""COMPUTED_VALUE"""),15813.63)</f>
        <v/>
      </c>
    </row>
    <row r="2351">
      <c r="J2351">
        <f>IFERROR(__xludf.DUMMYFUNCTION("""COMPUTED_VALUE"""),"London, UK, Berlin, Germany, Warsaw, Poland")</f>
        <v/>
      </c>
      <c r="K2351">
        <f>IFERROR(__xludf.DUMMYFUNCTION("""COMPUTED_VALUE"""),15813.16)</f>
        <v/>
      </c>
    </row>
    <row r="2352">
      <c r="J2352">
        <f>IFERROR(__xludf.DUMMYFUNCTION("""COMPUTED_VALUE"""),"Bodrum, Turkey")</f>
        <v/>
      </c>
      <c r="K2352">
        <f>IFERROR(__xludf.DUMMYFUNCTION("""COMPUTED_VALUE"""),15805.53)</f>
        <v/>
      </c>
    </row>
    <row r="2353">
      <c r="J2353">
        <f>IFERROR(__xludf.DUMMYFUNCTION("""COMPUTED_VALUE"""),"Rome, Italy; Davos Switzerland and Kiev, Ukraine")</f>
        <v/>
      </c>
      <c r="K2353">
        <f>IFERROR(__xludf.DUMMYFUNCTION("""COMPUTED_VALUE"""),15797.5)</f>
        <v/>
      </c>
    </row>
    <row r="2354">
      <c r="J2354">
        <f>IFERROR(__xludf.DUMMYFUNCTION("""COMPUTED_VALUE"""),"United Kingdom / London, Ireland/ Dublin and  Belgium/Brussels.")</f>
        <v/>
      </c>
      <c r="K2354">
        <f>IFERROR(__xludf.DUMMYFUNCTION("""COMPUTED_VALUE"""),15790.12)</f>
        <v/>
      </c>
    </row>
    <row r="2355">
      <c r="J2355">
        <f>IFERROR(__xludf.DUMMYFUNCTION("""COMPUTED_VALUE"""),"Calgary, Alberta; Vancouver, British Columbia, Canada")</f>
        <v/>
      </c>
      <c r="K2355">
        <f>IFERROR(__xludf.DUMMYFUNCTION("""COMPUTED_VALUE"""),15787.73)</f>
        <v/>
      </c>
    </row>
    <row r="2356">
      <c r="J2356">
        <f>IFERROR(__xludf.DUMMYFUNCTION("""COMPUTED_VALUE"""),"Moncton, New Brunswick, Canada; Halifax, Nova Scotia, Canada")</f>
        <v/>
      </c>
      <c r="K2356">
        <f>IFERROR(__xludf.DUMMYFUNCTION("""COMPUTED_VALUE"""),15783.98)</f>
        <v/>
      </c>
    </row>
    <row r="2357">
      <c r="J2357">
        <f>IFERROR(__xludf.DUMMYFUNCTION("""COMPUTED_VALUE"""),"Halifax, Nova Scotia, Canada; Moncton, New Brunswick, Canada")</f>
        <v/>
      </c>
      <c r="K2357">
        <f>IFERROR(__xludf.DUMMYFUNCTION("""COMPUTED_VALUE"""),15780.4799999999)</f>
        <v/>
      </c>
    </row>
    <row r="2358">
      <c r="J2358">
        <f>IFERROR(__xludf.DUMMYFUNCTION("""COMPUTED_VALUE"""),"Seoul, South Korea and Taipei, Taiwan")</f>
        <v/>
      </c>
      <c r="K2358">
        <f>IFERROR(__xludf.DUMMYFUNCTION("""COMPUTED_VALUE"""),15780.19)</f>
        <v/>
      </c>
    </row>
    <row r="2359">
      <c r="J2359">
        <f>IFERROR(__xludf.DUMMYFUNCTION("""COMPUTED_VALUE"""),"Kuujjuaq, Quebec")</f>
        <v/>
      </c>
      <c r="K2359">
        <f>IFERROR(__xludf.DUMMYFUNCTION("""COMPUTED_VALUE"""),15773.1899999999)</f>
        <v/>
      </c>
    </row>
    <row r="2360">
      <c r="J2360">
        <f>IFERROR(__xludf.DUMMYFUNCTION("""COMPUTED_VALUE"""),"London, Milan and Rome")</f>
        <v/>
      </c>
      <c r="K2360">
        <f>IFERROR(__xludf.DUMMYFUNCTION("""COMPUTED_VALUE"""),15766.12)</f>
        <v/>
      </c>
    </row>
    <row r="2361">
      <c r="J2361">
        <f>IFERROR(__xludf.DUMMYFUNCTION("""COMPUTED_VALUE"""),"UK, France, Germany, Spain")</f>
        <v/>
      </c>
      <c r="K2361">
        <f>IFERROR(__xludf.DUMMYFUNCTION("""COMPUTED_VALUE"""),15765.26)</f>
        <v/>
      </c>
    </row>
    <row r="2362">
      <c r="J2362">
        <f>IFERROR(__xludf.DUMMYFUNCTION("""COMPUTED_VALUE"""),"Ghana and Benin")</f>
        <v/>
      </c>
      <c r="K2362">
        <f>IFERROR(__xludf.DUMMYFUNCTION("""COMPUTED_VALUE"""),15747.74)</f>
        <v/>
      </c>
    </row>
    <row r="2363">
      <c r="J2363">
        <f>IFERROR(__xludf.DUMMYFUNCTION("""COMPUTED_VALUE"""),"Lebanon, UAE, and Oman")</f>
        <v/>
      </c>
      <c r="K2363">
        <f>IFERROR(__xludf.DUMMYFUNCTION("""COMPUTED_VALUE"""),15739.85)</f>
        <v/>
      </c>
    </row>
    <row r="2364">
      <c r="J2364">
        <f>IFERROR(__xludf.DUMMYFUNCTION("""COMPUTED_VALUE"""),"Mexico City and Jamaica")</f>
        <v/>
      </c>
      <c r="K2364">
        <f>IFERROR(__xludf.DUMMYFUNCTION("""COMPUTED_VALUE"""),15729.06)</f>
        <v/>
      </c>
    </row>
    <row r="2365">
      <c r="J2365">
        <f>IFERROR(__xludf.DUMMYFUNCTION("""COMPUTED_VALUE"""),"Bahrain")</f>
        <v/>
      </c>
      <c r="K2365">
        <f>IFERROR(__xludf.DUMMYFUNCTION("""COMPUTED_VALUE"""),15714.63)</f>
        <v/>
      </c>
    </row>
    <row r="2366">
      <c r="J2366">
        <f>IFERROR(__xludf.DUMMYFUNCTION("""COMPUTED_VALUE"""),"Erbil, Iraq")</f>
        <v/>
      </c>
      <c r="K2366">
        <f>IFERROR(__xludf.DUMMYFUNCTION("""COMPUTED_VALUE"""),15711.54)</f>
        <v/>
      </c>
    </row>
    <row r="2367">
      <c r="J2367">
        <f>IFERROR(__xludf.DUMMYFUNCTION("""COMPUTED_VALUE"""),"Rome,
Italy and
Vancouver,
British Columbia,
Canada")</f>
        <v/>
      </c>
      <c r="K2367">
        <f>IFERROR(__xludf.DUMMYFUNCTION("""COMPUTED_VALUE"""),15710.74)</f>
        <v/>
      </c>
    </row>
    <row r="2368">
      <c r="J2368">
        <f>IFERROR(__xludf.DUMMYFUNCTION("""COMPUTED_VALUE"""),"Jakarta, Indonesia
Singapore, Singapore
Bangkok, Thailand")</f>
        <v/>
      </c>
      <c r="K2368">
        <f>IFERROR(__xludf.DUMMYFUNCTION("""COMPUTED_VALUE"""),15699.45)</f>
        <v/>
      </c>
    </row>
    <row r="2369">
      <c r="J2369">
        <f>IFERROR(__xludf.DUMMYFUNCTION("""COMPUTED_VALUE"""),"Halifax, Nova-Scotia")</f>
        <v/>
      </c>
      <c r="K2369">
        <f>IFERROR(__xludf.DUMMYFUNCTION("""COMPUTED_VALUE"""),15698.99)</f>
        <v/>
      </c>
    </row>
    <row r="2370">
      <c r="J2370">
        <f>IFERROR(__xludf.DUMMYFUNCTION("""COMPUTED_VALUE"""),"Philippines and Ethiopia")</f>
        <v/>
      </c>
      <c r="K2370">
        <f>IFERROR(__xludf.DUMMYFUNCTION("""COMPUTED_VALUE"""),15698.41)</f>
        <v/>
      </c>
    </row>
    <row r="2371">
      <c r="J2371">
        <f>IFERROR(__xludf.DUMMYFUNCTION("""COMPUTED_VALUE"""),"Africa - Maputo")</f>
        <v/>
      </c>
      <c r="K2371">
        <f>IFERROR(__xludf.DUMMYFUNCTION("""COMPUTED_VALUE"""),15698.05)</f>
        <v/>
      </c>
    </row>
    <row r="2372">
      <c r="J2372">
        <f>IFERROR(__xludf.DUMMYFUNCTION("""COMPUTED_VALUE"""),"Creswell Bay, NU")</f>
        <v/>
      </c>
      <c r="K2372">
        <f>IFERROR(__xludf.DUMMYFUNCTION("""COMPUTED_VALUE"""),15691.41)</f>
        <v/>
      </c>
    </row>
    <row r="2373">
      <c r="J2373">
        <f>IFERROR(__xludf.DUMMYFUNCTION("""COMPUTED_VALUE"""),"Belgium- Brussels/Austria-Vienna/Poland -Warsaw")</f>
        <v/>
      </c>
      <c r="K2373">
        <f>IFERROR(__xludf.DUMMYFUNCTION("""COMPUTED_VALUE"""),15690.33)</f>
        <v/>
      </c>
    </row>
    <row r="2374">
      <c r="J2374">
        <f>IFERROR(__xludf.DUMMYFUNCTION("""COMPUTED_VALUE"""),"Edmonton / Inuvik")</f>
        <v/>
      </c>
      <c r="K2374">
        <f>IFERROR(__xludf.DUMMYFUNCTION("""COMPUTED_VALUE"""),15687.0099999999)</f>
        <v/>
      </c>
    </row>
    <row r="2375">
      <c r="J2375">
        <f>IFERROR(__xludf.DUMMYFUNCTION("""COMPUTED_VALUE"""),"London, England; Paris, France")</f>
        <v/>
      </c>
      <c r="K2375">
        <f>IFERROR(__xludf.DUMMYFUNCTION("""COMPUTED_VALUE"""),15685.64)</f>
        <v/>
      </c>
    </row>
    <row r="2376">
      <c r="J2376">
        <f>IFERROR(__xludf.DUMMYFUNCTION("""COMPUTED_VALUE"""),"Tokyo, Japan; Indonesia")</f>
        <v/>
      </c>
      <c r="K2376">
        <f>IFERROR(__xludf.DUMMYFUNCTION("""COMPUTED_VALUE"""),15678.38)</f>
        <v/>
      </c>
    </row>
    <row r="2377">
      <c r="J2377">
        <f>IFERROR(__xludf.DUMMYFUNCTION("""COMPUTED_VALUE"""),"Vancouver, BC - Toronto, ON")</f>
        <v/>
      </c>
      <c r="K2377">
        <f>IFERROR(__xludf.DUMMYFUNCTION("""COMPUTED_VALUE"""),15674.65)</f>
        <v/>
      </c>
    </row>
    <row r="2378">
      <c r="J2378">
        <f>IFERROR(__xludf.DUMMYFUNCTION("""COMPUTED_VALUE"""),"Kamloops, British Columbia")</f>
        <v/>
      </c>
      <c r="K2378">
        <f>IFERROR(__xludf.DUMMYFUNCTION("""COMPUTED_VALUE"""),15674.02)</f>
        <v/>
      </c>
    </row>
    <row r="2379">
      <c r="J2379">
        <f>IFERROR(__xludf.DUMMYFUNCTION("""COMPUTED_VALUE"""),"Bern, Switzerland")</f>
        <v/>
      </c>
      <c r="K2379">
        <f>IFERROR(__xludf.DUMMYFUNCTION("""COMPUTED_VALUE"""),15669.1399999999)</f>
        <v/>
      </c>
    </row>
    <row r="2380">
      <c r="J2380">
        <f>IFERROR(__xludf.DUMMYFUNCTION("""COMPUTED_VALUE"""),"Rzeszow, Poland; Kiev, Ukraine")</f>
        <v/>
      </c>
      <c r="K2380">
        <f>IFERROR(__xludf.DUMMYFUNCTION("""COMPUTED_VALUE"""),15668.48)</f>
        <v/>
      </c>
    </row>
    <row r="2381">
      <c r="J2381">
        <f>IFERROR(__xludf.DUMMYFUNCTION("""COMPUTED_VALUE"""),"Berlin, Germany; Warsaw, Poland")</f>
        <v/>
      </c>
      <c r="K2381">
        <f>IFERROR(__xludf.DUMMYFUNCTION("""COMPUTED_VALUE"""),15667.81)</f>
        <v/>
      </c>
    </row>
    <row r="2382">
      <c r="J2382">
        <f>IFERROR(__xludf.DUMMYFUNCTION("""COMPUTED_VALUE"""),"Heidelberg, Germany")</f>
        <v/>
      </c>
      <c r="K2382">
        <f>IFERROR(__xludf.DUMMYFUNCTION("""COMPUTED_VALUE"""),15661.74)</f>
        <v/>
      </c>
    </row>
    <row r="2383">
      <c r="J2383">
        <f>IFERROR(__xludf.DUMMYFUNCTION("""COMPUTED_VALUE"""),"Toronto, Ontario, Canada; Winnipeg, Manitoba, Canada; Saskatoon, Saskatchewan, Canada; Edmonton, Alberta, Canada")</f>
        <v/>
      </c>
      <c r="K2383">
        <f>IFERROR(__xludf.DUMMYFUNCTION("""COMPUTED_VALUE"""),15661.44)</f>
        <v/>
      </c>
    </row>
    <row r="2384">
      <c r="J2384">
        <f>IFERROR(__xludf.DUMMYFUNCTION("""COMPUTED_VALUE"""),"Kuala Lumpur Malaysia")</f>
        <v/>
      </c>
      <c r="K2384">
        <f>IFERROR(__xludf.DUMMYFUNCTION("""COMPUTED_VALUE"""),15654.08)</f>
        <v/>
      </c>
    </row>
    <row r="2385">
      <c r="J2385">
        <f>IFERROR(__xludf.DUMMYFUNCTION("""COMPUTED_VALUE"""),"Paris, France and Stockholm, Sweden")</f>
        <v/>
      </c>
      <c r="K2385">
        <f>IFERROR(__xludf.DUMMYFUNCTION("""COMPUTED_VALUE"""),15650.67)</f>
        <v/>
      </c>
    </row>
    <row r="2386">
      <c r="J2386">
        <f>IFERROR(__xludf.DUMMYFUNCTION("""COMPUTED_VALUE"""),"North Bay, Ontario, Canada")</f>
        <v/>
      </c>
      <c r="K2386">
        <f>IFERROR(__xludf.DUMMYFUNCTION("""COMPUTED_VALUE"""),15646.55)</f>
        <v/>
      </c>
    </row>
    <row r="2387">
      <c r="J2387">
        <f>IFERROR(__xludf.DUMMYFUNCTION("""COMPUTED_VALUE"""),"Toronto, Ontario, Canada; Tokyo, Japan; Takamatsu, Japan")</f>
        <v/>
      </c>
      <c r="K2387">
        <f>IFERROR(__xludf.DUMMYFUNCTION("""COMPUTED_VALUE"""),15645.92)</f>
        <v/>
      </c>
    </row>
    <row r="2388">
      <c r="J2388">
        <f>IFERROR(__xludf.DUMMYFUNCTION("""COMPUTED_VALUE"""),"London, United Kingdom, and The Hague, Netherlands")</f>
        <v/>
      </c>
      <c r="K2388">
        <f>IFERROR(__xludf.DUMMYFUNCTION("""COMPUTED_VALUE"""),15645.31)</f>
        <v/>
      </c>
    </row>
    <row r="2389">
      <c r="J2389">
        <f>IFERROR(__xludf.DUMMYFUNCTION("""COMPUTED_VALUE"""),"Morocco-Senegal")</f>
        <v/>
      </c>
      <c r="K2389">
        <f>IFERROR(__xludf.DUMMYFUNCTION("""COMPUTED_VALUE"""),15644.16)</f>
        <v/>
      </c>
    </row>
    <row r="2390">
      <c r="J2390">
        <f>IFERROR(__xludf.DUMMYFUNCTION("""COMPUTED_VALUE"""),"Kyiv,Ukraine / Paris,French
Republic/ Brussels,Kingdom of
Belgium.")</f>
        <v/>
      </c>
      <c r="K2390">
        <f>IFERROR(__xludf.DUMMYFUNCTION("""COMPUTED_VALUE"""),15643.54)</f>
        <v/>
      </c>
    </row>
    <row r="2391">
      <c r="J2391">
        <f>IFERROR(__xludf.DUMMYFUNCTION("""COMPUTED_VALUE"""),"Bali, Indonesia; Kuala Lumpur, Malaysia; China and Laos")</f>
        <v/>
      </c>
      <c r="K2391">
        <f>IFERROR(__xludf.DUMMYFUNCTION("""COMPUTED_VALUE"""),15643.15)</f>
        <v/>
      </c>
    </row>
    <row r="2392">
      <c r="J2392">
        <f>IFERROR(__xludf.DUMMYFUNCTION("""COMPUTED_VALUE"""),"Brussels, Belgium; Warsaw, Poland; Berlin, Germany")</f>
        <v/>
      </c>
      <c r="K2392">
        <f>IFERROR(__xludf.DUMMYFUNCTION("""COMPUTED_VALUE"""),15636.27)</f>
        <v/>
      </c>
    </row>
    <row r="2393">
      <c r="J2393">
        <f>IFERROR(__xludf.DUMMYFUNCTION("""COMPUTED_VALUE"""),"Sydney, Canberra, Australia")</f>
        <v/>
      </c>
      <c r="K2393">
        <f>IFERROR(__xludf.DUMMYFUNCTION("""COMPUTED_VALUE"""),15635.44)</f>
        <v/>
      </c>
    </row>
    <row r="2394">
      <c r="J2394">
        <f>IFERROR(__xludf.DUMMYFUNCTION("""COMPUTED_VALUE"""),"Singapore, Singapore; Sydney, Australia")</f>
        <v/>
      </c>
      <c r="K2394">
        <f>IFERROR(__xludf.DUMMYFUNCTION("""COMPUTED_VALUE"""),15633.59)</f>
        <v/>
      </c>
    </row>
    <row r="2395">
      <c r="J2395">
        <f>IFERROR(__xludf.DUMMYFUNCTION("""COMPUTED_VALUE"""),"Hong Kong, Hong Kong &amp; Singapore, Singapore")</f>
        <v/>
      </c>
      <c r="K2395">
        <f>IFERROR(__xludf.DUMMYFUNCTION("""COMPUTED_VALUE"""),15621.13)</f>
        <v/>
      </c>
    </row>
    <row r="2396">
      <c r="J2396">
        <f>IFERROR(__xludf.DUMMYFUNCTION("""COMPUTED_VALUE"""),"Ottawa, ON - Sydney Australia / Sydney Australia - Ottawa, ON")</f>
        <v/>
      </c>
      <c r="K2396">
        <f>IFERROR(__xludf.DUMMYFUNCTION("""COMPUTED_VALUE"""),15618.25)</f>
        <v/>
      </c>
    </row>
    <row r="2397">
      <c r="J2397">
        <f>IFERROR(__xludf.DUMMYFUNCTION("""COMPUTED_VALUE"""),"Edmonton, Alberta, Canada / Calgary, Alberta, Canada")</f>
        <v/>
      </c>
      <c r="K2397">
        <f>IFERROR(__xludf.DUMMYFUNCTION("""COMPUTED_VALUE"""),15615.48)</f>
        <v/>
      </c>
    </row>
    <row r="2398">
      <c r="J2398">
        <f>IFERROR(__xludf.DUMMYFUNCTION("""COMPUTED_VALUE"""),"Quebec City, Canada")</f>
        <v/>
      </c>
      <c r="K2398">
        <f>IFERROR(__xludf.DUMMYFUNCTION("""COMPUTED_VALUE"""),15614.71)</f>
        <v/>
      </c>
    </row>
    <row r="2399">
      <c r="J2399">
        <f>IFERROR(__xludf.DUMMYFUNCTION("""COMPUTED_VALUE"""),"Seoul (South Korea), Hanoi (Vietnam), Kuala Lumpur (Malaysia)")</f>
        <v/>
      </c>
      <c r="K2399">
        <f>IFERROR(__xludf.DUMMYFUNCTION("""COMPUTED_VALUE"""),15612.7)</f>
        <v/>
      </c>
    </row>
    <row r="2400">
      <c r="J2400">
        <f>IFERROR(__xludf.DUMMYFUNCTION("""COMPUTED_VALUE"""),"Toronto, Ontario, Canada; Ottawa, Ontario, Canada; Gatineau, Quebec, Canada")</f>
        <v/>
      </c>
      <c r="K2400">
        <f>IFERROR(__xludf.DUMMYFUNCTION("""COMPUTED_VALUE"""),15607.47)</f>
        <v/>
      </c>
    </row>
    <row r="2401">
      <c r="J2401">
        <f>IFERROR(__xludf.DUMMYFUNCTION("""COMPUTED_VALUE"""),"Hamburg, Berlin and Stuttgart, Germany")</f>
        <v/>
      </c>
      <c r="K2401">
        <f>IFERROR(__xludf.DUMMYFUNCTION("""COMPUTED_VALUE"""),15600.84)</f>
        <v/>
      </c>
    </row>
    <row r="2402">
      <c r="J2402">
        <f>IFERROR(__xludf.DUMMYFUNCTION("""COMPUTED_VALUE"""),"Ethiopia, Zambia and Pretoria")</f>
        <v/>
      </c>
      <c r="K2402">
        <f>IFERROR(__xludf.DUMMYFUNCTION("""COMPUTED_VALUE"""),15595.58)</f>
        <v/>
      </c>
    </row>
    <row r="2403">
      <c r="J2403">
        <f>IFERROR(__xludf.DUMMYFUNCTION("""COMPUTED_VALUE"""),"Sun City, South Africa")</f>
        <v/>
      </c>
      <c r="K2403">
        <f>IFERROR(__xludf.DUMMYFUNCTION("""COMPUTED_VALUE"""),15593.13)</f>
        <v/>
      </c>
    </row>
    <row r="2404">
      <c r="J2404">
        <f>IFERROR(__xludf.DUMMYFUNCTION("""COMPUTED_VALUE"""),"Victoria, BC / Vancouver, BC")</f>
        <v/>
      </c>
      <c r="K2404">
        <f>IFERROR(__xludf.DUMMYFUNCTION("""COMPUTED_VALUE"""),15592.46)</f>
        <v/>
      </c>
    </row>
    <row r="2405">
      <c r="J2405">
        <f>IFERROR(__xludf.DUMMYFUNCTION("""COMPUTED_VALUE"""),"Istanbul and Ankara, Turkey / Beirut, Lebanon / Hong Kong, China")</f>
        <v/>
      </c>
      <c r="K2405">
        <f>IFERROR(__xludf.DUMMYFUNCTION("""COMPUTED_VALUE"""),15592.14)</f>
        <v/>
      </c>
    </row>
    <row r="2406">
      <c r="J2406">
        <f>IFERROR(__xludf.DUMMYFUNCTION("""COMPUTED_VALUE"""),"Ottawa, ON; Vancouver, BC")</f>
        <v/>
      </c>
      <c r="K2406">
        <f>IFERROR(__xludf.DUMMYFUNCTION("""COMPUTED_VALUE"""),15578.68)</f>
        <v/>
      </c>
    </row>
    <row r="2407">
      <c r="J2407">
        <f>IFERROR(__xludf.DUMMYFUNCTION("""COMPUTED_VALUE"""),"Riyadh (Saudi Arabia), Kuwait (Kuwait) and Doha (Qatar)")</f>
        <v/>
      </c>
      <c r="K2407">
        <f>IFERROR(__xludf.DUMMYFUNCTION("""COMPUTED_VALUE"""),15578.25)</f>
        <v/>
      </c>
    </row>
    <row r="2408">
      <c r="J2408">
        <f>IFERROR(__xludf.DUMMYFUNCTION("""COMPUTED_VALUE"""),"Guernsey, U.K.")</f>
        <v/>
      </c>
      <c r="K2408">
        <f>IFERROR(__xludf.DUMMYFUNCTION("""COMPUTED_VALUE"""),15577.81)</f>
        <v/>
      </c>
    </row>
    <row r="2409">
      <c r="J2409">
        <f>IFERROR(__xludf.DUMMYFUNCTION("""COMPUTED_VALUE"""),"Ise-shima, Japan; Tokyo, Japan")</f>
        <v/>
      </c>
      <c r="K2409">
        <f>IFERROR(__xludf.DUMMYFUNCTION("""COMPUTED_VALUE"""),15575.34)</f>
        <v/>
      </c>
    </row>
    <row r="2410">
      <c r="J2410">
        <f>IFERROR(__xludf.DUMMYFUNCTION("""COMPUTED_VALUE"""),"Auckland, New Zealand
Sydney, Australia")</f>
        <v/>
      </c>
      <c r="K2410">
        <f>IFERROR(__xludf.DUMMYFUNCTION("""COMPUTED_VALUE"""),15575.04)</f>
        <v/>
      </c>
    </row>
    <row r="2411">
      <c r="J2411">
        <f>IFERROR(__xludf.DUMMYFUNCTION("""COMPUTED_VALUE"""),"Paris, France and Vancouver, British Columbia")</f>
        <v/>
      </c>
      <c r="K2411">
        <f>IFERROR(__xludf.DUMMYFUNCTION("""COMPUTED_VALUE"""),15573.29)</f>
        <v/>
      </c>
    </row>
    <row r="2412">
      <c r="J2412">
        <f>IFERROR(__xludf.DUMMYFUNCTION("""COMPUTED_VALUE"""),"1. Vimy (France) and 2. Durban (South Africa)")</f>
        <v/>
      </c>
      <c r="K2412">
        <f>IFERROR(__xludf.DUMMYFUNCTION("""COMPUTED_VALUE"""),15567.46)</f>
        <v/>
      </c>
    </row>
    <row r="2413">
      <c r="J2413">
        <f>IFERROR(__xludf.DUMMYFUNCTION("""COMPUTED_VALUE"""),"Lviv, Ukraine")</f>
        <v/>
      </c>
      <c r="K2413">
        <f>IFERROR(__xludf.DUMMYFUNCTION("""COMPUTED_VALUE"""),15564.22)</f>
        <v/>
      </c>
    </row>
    <row r="2414">
      <c r="J2414">
        <f>IFERROR(__xludf.DUMMYFUNCTION("""COMPUTED_VALUE"""),"Newark-Dakar")</f>
        <v/>
      </c>
      <c r="K2414">
        <f>IFERROR(__xludf.DUMMYFUNCTION("""COMPUTED_VALUE"""),15562.45)</f>
        <v/>
      </c>
    </row>
    <row r="2415">
      <c r="J2415">
        <f>IFERROR(__xludf.DUMMYFUNCTION("""COMPUTED_VALUE"""),"Brussels/Crete, Greece")</f>
        <v/>
      </c>
      <c r="K2415">
        <f>IFERROR(__xludf.DUMMYFUNCTION("""COMPUTED_VALUE"""),15553.76)</f>
        <v/>
      </c>
    </row>
    <row r="2416">
      <c r="J2416">
        <f>IFERROR(__xludf.DUMMYFUNCTION("""COMPUTED_VALUE"""),"Rome Italy, Kuwait, Frankfurt Germany, Winnipeg MB")</f>
        <v/>
      </c>
      <c r="K2416">
        <f>IFERROR(__xludf.DUMMYFUNCTION("""COMPUTED_VALUE"""),15546.59)</f>
        <v/>
      </c>
    </row>
    <row r="2417">
      <c r="J2417">
        <f>IFERROR(__xludf.DUMMYFUNCTION("""COMPUTED_VALUE"""),"Moncton, New Brunswick and Halifax, Nova Scotia")</f>
        <v/>
      </c>
      <c r="K2417">
        <f>IFERROR(__xludf.DUMMYFUNCTION("""COMPUTED_VALUE"""),15545.9)</f>
        <v/>
      </c>
    </row>
    <row r="2418">
      <c r="J2418">
        <f>IFERROR(__xludf.DUMMYFUNCTION("""COMPUTED_VALUE"""),"Paris, France / London, England / Cambridge, England")</f>
        <v/>
      </c>
      <c r="K2418">
        <f>IFERROR(__xludf.DUMMYFUNCTION("""COMPUTED_VALUE"""),15534)</f>
        <v/>
      </c>
    </row>
    <row r="2419">
      <c r="J2419">
        <f>IFERROR(__xludf.DUMMYFUNCTION("""COMPUTED_VALUE"""),"Pakistan, Islamabad")</f>
        <v/>
      </c>
      <c r="K2419">
        <f>IFERROR(__xludf.DUMMYFUNCTION("""COMPUTED_VALUE"""),15529.77)</f>
        <v/>
      </c>
    </row>
    <row r="2420">
      <c r="J2420">
        <f>IFERROR(__xludf.DUMMYFUNCTION("""COMPUTED_VALUE"""),"Vancouver, British Columbia, Canada; Kamloops, British Columbia, Canada")</f>
        <v/>
      </c>
      <c r="K2420">
        <f>IFERROR(__xludf.DUMMYFUNCTION("""COMPUTED_VALUE"""),15518.53)</f>
        <v/>
      </c>
    </row>
    <row r="2421">
      <c r="J2421">
        <f>IFERROR(__xludf.DUMMYFUNCTION("""COMPUTED_VALUE"""),"Netherlands, Peru")</f>
        <v/>
      </c>
      <c r="K2421">
        <f>IFERROR(__xludf.DUMMYFUNCTION("""COMPUTED_VALUE"""),15516.27)</f>
        <v/>
      </c>
    </row>
    <row r="2422">
      <c r="J2422">
        <f>IFERROR(__xludf.DUMMYFUNCTION("""COMPUTED_VALUE"""),"Bandar Seri Begawan, Brunei")</f>
        <v/>
      </c>
      <c r="K2422">
        <f>IFERROR(__xludf.DUMMYFUNCTION("""COMPUTED_VALUE"""),15515.64)</f>
        <v/>
      </c>
    </row>
    <row r="2423">
      <c r="J2423">
        <f>IFERROR(__xludf.DUMMYFUNCTION("""COMPUTED_VALUE"""),"Ottawa, Ontorio")</f>
        <v/>
      </c>
      <c r="K2423">
        <f>IFERROR(__xludf.DUMMYFUNCTION("""COMPUTED_VALUE"""),15514.31)</f>
        <v/>
      </c>
    </row>
    <row r="2424">
      <c r="J2424">
        <f>IFERROR(__xludf.DUMMYFUNCTION("""COMPUTED_VALUE"""),"Schloss Elmau, Germany")</f>
        <v/>
      </c>
      <c r="K2424">
        <f>IFERROR(__xludf.DUMMYFUNCTION("""COMPUTED_VALUE"""),15509.5)</f>
        <v/>
      </c>
    </row>
    <row r="2425">
      <c r="J2425">
        <f>IFERROR(__xludf.DUMMYFUNCTION("""COMPUTED_VALUE"""),"Dublin, Ireland – 
London, United Kingdom")</f>
        <v/>
      </c>
      <c r="K2425">
        <f>IFERROR(__xludf.DUMMYFUNCTION("""COMPUTED_VALUE"""),15507.32)</f>
        <v/>
      </c>
    </row>
    <row r="2426">
      <c r="J2426">
        <f>IFERROR(__xludf.DUMMYFUNCTION("""COMPUTED_VALUE"""),"Lausanne")</f>
        <v/>
      </c>
      <c r="K2426">
        <f>IFERROR(__xludf.DUMMYFUNCTION("""COMPUTED_VALUE"""),15503.6899999999)</f>
        <v/>
      </c>
    </row>
    <row r="2427">
      <c r="J2427">
        <f>IFERROR(__xludf.DUMMYFUNCTION("""COMPUTED_VALUE"""),"Regina, Saskatchewan, Canada; Vancouver, British Columbia, Canada")</f>
        <v/>
      </c>
      <c r="K2427">
        <f>IFERROR(__xludf.DUMMYFUNCTION("""COMPUTED_VALUE"""),15496.96)</f>
        <v/>
      </c>
    </row>
    <row r="2428">
      <c r="J2428">
        <f>IFERROR(__xludf.DUMMYFUNCTION("""COMPUTED_VALUE"""),"Auckland, New Zealand and Doha, Qatar")</f>
        <v/>
      </c>
      <c r="K2428">
        <f>IFERROR(__xludf.DUMMYFUNCTION("""COMPUTED_VALUE"""),15490.57)</f>
        <v/>
      </c>
    </row>
    <row r="2429">
      <c r="J2429">
        <f>IFERROR(__xludf.DUMMYFUNCTION("""COMPUTED_VALUE"""),"Montreal, Quebec; Ottawa, Ontario")</f>
        <v/>
      </c>
      <c r="K2429">
        <f>IFERROR(__xludf.DUMMYFUNCTION("""COMPUTED_VALUE"""),15486.06)</f>
        <v/>
      </c>
    </row>
    <row r="2430">
      <c r="J2430">
        <f>IFERROR(__xludf.DUMMYFUNCTION("""COMPUTED_VALUE"""),"Davos, Zurich, Milan, Tripoli, Rome")</f>
        <v/>
      </c>
      <c r="K2430">
        <f>IFERROR(__xludf.DUMMYFUNCTION("""COMPUTED_VALUE"""),15476.8)</f>
        <v/>
      </c>
    </row>
    <row r="2431">
      <c r="J2431">
        <f>IFERROR(__xludf.DUMMYFUNCTION("""COMPUTED_VALUE"""),"Rotterdam, The Netherlands")</f>
        <v/>
      </c>
      <c r="K2431">
        <f>IFERROR(__xludf.DUMMYFUNCTION("""COMPUTED_VALUE"""),15475.3)</f>
        <v/>
      </c>
    </row>
    <row r="2432">
      <c r="J2432">
        <f>IFERROR(__xludf.DUMMYFUNCTION("""COMPUTED_VALUE"""),"Cairo, Egypt / Abu Dhabi, United Arab Emirates / Dubai, United Arab Emirates")</f>
        <v/>
      </c>
      <c r="K2432">
        <f>IFERROR(__xludf.DUMMYFUNCTION("""COMPUTED_VALUE"""),15469.04)</f>
        <v/>
      </c>
    </row>
    <row r="2433">
      <c r="J2433">
        <f>IFERROR(__xludf.DUMMYFUNCTION("""COMPUTED_VALUE"""),"Senegal, Ghana")</f>
        <v/>
      </c>
      <c r="K2433">
        <f>IFERROR(__xludf.DUMMYFUNCTION("""COMPUTED_VALUE"""),15459.37)</f>
        <v/>
      </c>
    </row>
    <row r="2434">
      <c r="J2434">
        <f>IFERROR(__xludf.DUMMYFUNCTION("""COMPUTED_VALUE"""),"Brazil and Chile")</f>
        <v/>
      </c>
      <c r="K2434">
        <f>IFERROR(__xludf.DUMMYFUNCTION("""COMPUTED_VALUE"""),15457.96)</f>
        <v/>
      </c>
    </row>
    <row r="2435">
      <c r="J2435">
        <f>IFERROR(__xludf.DUMMYFUNCTION("""COMPUTED_VALUE"""),"Changi, SG")</f>
        <v/>
      </c>
      <c r="K2435">
        <f>IFERROR(__xludf.DUMMYFUNCTION("""COMPUTED_VALUE"""),15456.39)</f>
        <v/>
      </c>
    </row>
    <row r="2436">
      <c r="J2436">
        <f>IFERROR(__xludf.DUMMYFUNCTION("""COMPUTED_VALUE"""),"Montreal, Ottawa, Toronto, Calgary, Edmonton")</f>
        <v/>
      </c>
      <c r="K2436">
        <f>IFERROR(__xludf.DUMMYFUNCTION("""COMPUTED_VALUE"""),15450.1)</f>
        <v/>
      </c>
    </row>
    <row r="2437">
      <c r="J2437">
        <f>IFERROR(__xludf.DUMMYFUNCTION("""COMPUTED_VALUE"""),"Istanbul, Turkey and Madrid, Spain")</f>
        <v/>
      </c>
      <c r="K2437">
        <f>IFERROR(__xludf.DUMMYFUNCTION("""COMPUTED_VALUE"""),15429.08)</f>
        <v/>
      </c>
    </row>
    <row r="2438">
      <c r="J2438">
        <f>IFERROR(__xludf.DUMMYFUNCTION("""COMPUTED_VALUE"""),"India, Israel &amp; West Bank")</f>
        <v/>
      </c>
      <c r="K2438">
        <f>IFERROR(__xludf.DUMMYFUNCTION("""COMPUTED_VALUE"""),15425.52)</f>
        <v/>
      </c>
    </row>
    <row r="2439">
      <c r="J2439">
        <f>IFERROR(__xludf.DUMMYFUNCTION("""COMPUTED_VALUE"""),"Manila, Beijing")</f>
        <v/>
      </c>
      <c r="K2439">
        <f>IFERROR(__xludf.DUMMYFUNCTION("""COMPUTED_VALUE"""),15423.97)</f>
        <v/>
      </c>
    </row>
    <row r="2440">
      <c r="J2440">
        <f>IFERROR(__xludf.DUMMYFUNCTION("""COMPUTED_VALUE"""),"Indonesia and Singapore")</f>
        <v/>
      </c>
      <c r="K2440">
        <f>IFERROR(__xludf.DUMMYFUNCTION("""COMPUTED_VALUE"""),15419.75)</f>
        <v/>
      </c>
    </row>
    <row r="2441">
      <c r="J2441">
        <f>IFERROR(__xludf.DUMMYFUNCTION("""COMPUTED_VALUE"""),"Montreal, Quebec, Canada/ Paris, France")</f>
        <v/>
      </c>
      <c r="K2441">
        <f>IFERROR(__xludf.DUMMYFUNCTION("""COMPUTED_VALUE"""),15411.87)</f>
        <v/>
      </c>
    </row>
    <row r="2442">
      <c r="J2442">
        <f>IFERROR(__xludf.DUMMYFUNCTION("""COMPUTED_VALUE"""),"Washington (DC), United States")</f>
        <v/>
      </c>
      <c r="K2442">
        <f>IFERROR(__xludf.DUMMYFUNCTION("""COMPUTED_VALUE"""),15406.58)</f>
        <v/>
      </c>
    </row>
    <row r="2443">
      <c r="J2443">
        <f>IFERROR(__xludf.DUMMYFUNCTION("""COMPUTED_VALUE"""),"Kuwait, Jordan and the United Arab Emirates.")</f>
        <v/>
      </c>
      <c r="K2443">
        <f>IFERROR(__xludf.DUMMYFUNCTION("""COMPUTED_VALUE"""),15406.36)</f>
        <v/>
      </c>
    </row>
    <row r="2444">
      <c r="J2444">
        <f>IFERROR(__xludf.DUMMYFUNCTION("""COMPUTED_VALUE"""),"Korea, Hawaii USA")</f>
        <v/>
      </c>
      <c r="K2444">
        <f>IFERROR(__xludf.DUMMYFUNCTION("""COMPUTED_VALUE"""),15404.27)</f>
        <v/>
      </c>
    </row>
    <row r="2445">
      <c r="J2445">
        <f>IFERROR(__xludf.DUMMYFUNCTION("""COMPUTED_VALUE"""),"Sevilla, Spain")</f>
        <v/>
      </c>
      <c r="K2445">
        <f>IFERROR(__xludf.DUMMYFUNCTION("""COMPUTED_VALUE"""),15392.95)</f>
        <v/>
      </c>
    </row>
    <row r="2446">
      <c r="J2446">
        <f>IFERROR(__xludf.DUMMYFUNCTION("""COMPUTED_VALUE"""),"TAPEI-HOCHI")</f>
        <v/>
      </c>
      <c r="K2446">
        <f>IFERROR(__xludf.DUMMYFUNCTION("""COMPUTED_VALUE"""),15377.5)</f>
        <v/>
      </c>
    </row>
    <row r="2447">
      <c r="J2447">
        <f>IFERROR(__xludf.DUMMYFUNCTION("""COMPUTED_VALUE"""),"Hong Kong, Jakarta, Singapore")</f>
        <v/>
      </c>
      <c r="K2447">
        <f>IFERROR(__xludf.DUMMYFUNCTION("""COMPUTED_VALUE"""),15370.19)</f>
        <v/>
      </c>
    </row>
    <row r="2448">
      <c r="J2448">
        <f>IFERROR(__xludf.DUMMYFUNCTION("""COMPUTED_VALUE"""),"Ottawa (Canada) - Montréal (Canada) - Doha (Qatar) - Kuwait (Kuwait) - Istanbul (Turkey) - Toronto (Canada) - Frankfurt (Germany) - Ottawa (Canada)")</f>
        <v/>
      </c>
      <c r="K2448">
        <f>IFERROR(__xludf.DUMMYFUNCTION("""COMPUTED_VALUE"""),15365.86)</f>
        <v/>
      </c>
    </row>
    <row r="2449">
      <c r="J2449">
        <f>IFERROR(__xludf.DUMMYFUNCTION("""COMPUTED_VALUE"""),"Hamilton, New Zealand")</f>
        <v/>
      </c>
      <c r="K2449">
        <f>IFERROR(__xludf.DUMMYFUNCTION("""COMPUTED_VALUE"""),15359.58)</f>
        <v/>
      </c>
    </row>
    <row r="2450">
      <c r="J2450">
        <f>IFERROR(__xludf.DUMMYFUNCTION("""COMPUTED_VALUE"""),"British-Columbia, Canada")</f>
        <v/>
      </c>
      <c r="K2450">
        <f>IFERROR(__xludf.DUMMYFUNCTION("""COMPUTED_VALUE"""),15357.54)</f>
        <v/>
      </c>
    </row>
    <row r="2451">
      <c r="J2451">
        <f>IFERROR(__xludf.DUMMYFUNCTION("""COMPUTED_VALUE"""),"Netherlands, Italy, and France")</f>
        <v/>
      </c>
      <c r="K2451">
        <f>IFERROR(__xludf.DUMMYFUNCTION("""COMPUTED_VALUE"""),15345.19)</f>
        <v/>
      </c>
    </row>
    <row r="2452">
      <c r="J2452">
        <f>IFERROR(__xludf.DUMMYFUNCTION("""COMPUTED_VALUE"""),"Mexico City (Mexico), London (United Kingdom), and Brussels (Belgium).")</f>
        <v/>
      </c>
      <c r="K2452">
        <f>IFERROR(__xludf.DUMMYFUNCTION("""COMPUTED_VALUE"""),15342.88)</f>
        <v/>
      </c>
    </row>
    <row r="2453">
      <c r="J2453">
        <f>IFERROR(__xludf.DUMMYFUNCTION("""COMPUTED_VALUE"""),"Seoul, South Korea - Bali, Indonesia")</f>
        <v/>
      </c>
      <c r="K2453">
        <f>IFERROR(__xludf.DUMMYFUNCTION("""COMPUTED_VALUE"""),15340.65)</f>
        <v/>
      </c>
    </row>
    <row r="2454">
      <c r="J2454">
        <f>IFERROR(__xludf.DUMMYFUNCTION("""COMPUTED_VALUE"""),"OTTAWA, ON - MONTREAL, QC")</f>
        <v/>
      </c>
      <c r="K2454">
        <f>IFERROR(__xludf.DUMMYFUNCTION("""COMPUTED_VALUE"""),15337.32)</f>
        <v/>
      </c>
    </row>
    <row r="2455">
      <c r="J2455">
        <f>IFERROR(__xludf.DUMMYFUNCTION("""COMPUTED_VALUE"""),"London/Tel Aviv")</f>
        <v/>
      </c>
      <c r="K2455">
        <f>IFERROR(__xludf.DUMMYFUNCTION("""COMPUTED_VALUE"""),15335.31)</f>
        <v/>
      </c>
    </row>
    <row r="2456">
      <c r="J2456">
        <f>IFERROR(__xludf.DUMMYFUNCTION("""COMPUTED_VALUE"""),"Thailand, Singapore, Israel and the West Bank")</f>
        <v/>
      </c>
      <c r="K2456">
        <f>IFERROR(__xludf.DUMMYFUNCTION("""COMPUTED_VALUE"""),15331.55)</f>
        <v/>
      </c>
    </row>
    <row r="2457">
      <c r="J2457">
        <f>IFERROR(__xludf.DUMMYFUNCTION("""COMPUTED_VALUE"""),"Victoria, British Columbia / Port Alberni, British Columbia / Squamish, British Columbia / Vancouver, British Columbia, Canada")</f>
        <v/>
      </c>
      <c r="K2457">
        <f>IFERROR(__xludf.DUMMYFUNCTION("""COMPUTED_VALUE"""),15330.04)</f>
        <v/>
      </c>
    </row>
    <row r="2458">
      <c r="J2458">
        <f>IFERROR(__xludf.DUMMYFUNCTION("""COMPUTED_VALUE"""),"Bangladesh and Sri Lanka")</f>
        <v/>
      </c>
      <c r="K2458">
        <f>IFERROR(__xludf.DUMMYFUNCTION("""COMPUTED_VALUE"""),15326)</f>
        <v/>
      </c>
    </row>
    <row r="2459">
      <c r="J2459">
        <f>IFERROR(__xludf.DUMMYFUNCTION("""COMPUTED_VALUE"""),"Brussels, Belgium; Mons, Belgium")</f>
        <v/>
      </c>
      <c r="K2459">
        <f>IFERROR(__xludf.DUMMYFUNCTION("""COMPUTED_VALUE"""),15324.62)</f>
        <v/>
      </c>
    </row>
    <row r="2460">
      <c r="J2460">
        <f>IFERROR(__xludf.DUMMYFUNCTION("""COMPUTED_VALUE"""),"Taormina, Italy")</f>
        <v/>
      </c>
      <c r="K2460">
        <f>IFERROR(__xludf.DUMMYFUNCTION("""COMPUTED_VALUE"""),15317.86)</f>
        <v/>
      </c>
    </row>
    <row r="2461">
      <c r="J2461">
        <f>IFERROR(__xludf.DUMMYFUNCTION("""COMPUTED_VALUE"""),"Addis Ababa, Kigali")</f>
        <v/>
      </c>
      <c r="K2461">
        <f>IFERROR(__xludf.DUMMYFUNCTION("""COMPUTED_VALUE"""),15314.24)</f>
        <v/>
      </c>
    </row>
    <row r="2462">
      <c r="J2462">
        <f>IFERROR(__xludf.DUMMYFUNCTION("""COMPUTED_VALUE"""),"Palm Springs, California, United States")</f>
        <v/>
      </c>
      <c r="K2462">
        <f>IFERROR(__xludf.DUMMYFUNCTION("""COMPUTED_VALUE"""),15312.11)</f>
        <v/>
      </c>
    </row>
    <row r="2463">
      <c r="J2463">
        <f>IFERROR(__xludf.DUMMYFUNCTION("""COMPUTED_VALUE"""),"Hanoi and Ho Chi Min City, Vietman")</f>
        <v/>
      </c>
      <c r="K2463">
        <f>IFERROR(__xludf.DUMMYFUNCTION("""COMPUTED_VALUE"""),15310.1)</f>
        <v/>
      </c>
    </row>
    <row r="2464">
      <c r="J2464">
        <f>IFERROR(__xludf.DUMMYFUNCTION("""COMPUTED_VALUE"""),"Auckland, Wellington, New Zealand")</f>
        <v/>
      </c>
      <c r="K2464">
        <f>IFERROR(__xludf.DUMMYFUNCTION("""COMPUTED_VALUE"""),15304.64)</f>
        <v/>
      </c>
    </row>
    <row r="2465">
      <c r="J2465">
        <f>IFERROR(__xludf.DUMMYFUNCTION("""COMPUTED_VALUE"""),"Normandy, France")</f>
        <v/>
      </c>
      <c r="K2465">
        <f>IFERROR(__xludf.DUMMYFUNCTION("""COMPUTED_VALUE"""),15304.15)</f>
        <v/>
      </c>
    </row>
    <row r="2466">
      <c r="J2466">
        <f>IFERROR(__xludf.DUMMYFUNCTION("""COMPUTED_VALUE"""),"Manama, Bahrain and Riyadh, Kingdom of Saudi Arabia")</f>
        <v/>
      </c>
      <c r="K2466">
        <f>IFERROR(__xludf.DUMMYFUNCTION("""COMPUTED_VALUE"""),15299.4)</f>
        <v/>
      </c>
    </row>
    <row r="2467">
      <c r="J2467">
        <f>IFERROR(__xludf.DUMMYFUNCTION("""COMPUTED_VALUE"""),"Mexico City, Mexico, Mexico")</f>
        <v/>
      </c>
      <c r="K2467">
        <f>IFERROR(__xludf.DUMMYFUNCTION("""COMPUTED_VALUE"""),15295.7)</f>
        <v/>
      </c>
    </row>
    <row r="2468">
      <c r="J2468">
        <f>IFERROR(__xludf.DUMMYFUNCTION("""COMPUTED_VALUE"""),"Stockholm, Riga, Tirana Valletta")</f>
        <v/>
      </c>
      <c r="K2468">
        <f>IFERROR(__xludf.DUMMYFUNCTION("""COMPUTED_VALUE"""),15283.26)</f>
        <v/>
      </c>
    </row>
    <row r="2469">
      <c r="J2469">
        <f>IFERROR(__xludf.DUMMYFUNCTION("""COMPUTED_VALUE"""),"Berlin Germany and Geneva Switzerland")</f>
        <v/>
      </c>
      <c r="K2469">
        <f>IFERROR(__xludf.DUMMYFUNCTION("""COMPUTED_VALUE"""),15281.18)</f>
        <v/>
      </c>
    </row>
    <row r="2470">
      <c r="J2470">
        <f>IFERROR(__xludf.DUMMYFUNCTION("""COMPUTED_VALUE"""),"Brussels, Berlin and Uganda")</f>
        <v/>
      </c>
      <c r="K2470">
        <f>IFERROR(__xludf.DUMMYFUNCTION("""COMPUTED_VALUE"""),15278.17)</f>
        <v/>
      </c>
    </row>
    <row r="2471">
      <c r="J2471">
        <f>IFERROR(__xludf.DUMMYFUNCTION("""COMPUTED_VALUE"""),"1-Sydney, Australia 2-Hong Kong, China 3-Singapore, Singapore")</f>
        <v/>
      </c>
      <c r="K2471">
        <f>IFERROR(__xludf.DUMMYFUNCTION("""COMPUTED_VALUE"""),15276.07)</f>
        <v/>
      </c>
    </row>
    <row r="2472">
      <c r="J2472">
        <f>IFERROR(__xludf.DUMMYFUNCTION("""COMPUTED_VALUE"""),"Vancouver, BC, Calgary, AB")</f>
        <v/>
      </c>
      <c r="K2472">
        <f>IFERROR(__xludf.DUMMYFUNCTION("""COMPUTED_VALUE"""),15270.7899999999)</f>
        <v/>
      </c>
    </row>
    <row r="2473">
      <c r="J2473">
        <f>IFERROR(__xludf.DUMMYFUNCTION("""COMPUTED_VALUE"""),"Petawawa, Ontario, Canada")</f>
        <v/>
      </c>
      <c r="K2473">
        <f>IFERROR(__xludf.DUMMYFUNCTION("""COMPUTED_VALUE"""),15269.03)</f>
        <v/>
      </c>
    </row>
    <row r="2474">
      <c r="J2474">
        <f>IFERROR(__xludf.DUMMYFUNCTION("""COMPUTED_VALUE"""),"Kugluktuk, Nunavut, Canada")</f>
        <v/>
      </c>
      <c r="K2474">
        <f>IFERROR(__xludf.DUMMYFUNCTION("""COMPUTED_VALUE"""),15261.19)</f>
        <v/>
      </c>
    </row>
    <row r="2475">
      <c r="J2475">
        <f>IFERROR(__xludf.DUMMYFUNCTION("""COMPUTED_VALUE"""),"Montreal,Frankfurt, Brussels, Oslo, Riga, Openhagen, Heathrow, Toronto")</f>
        <v/>
      </c>
      <c r="K2475">
        <f>IFERROR(__xludf.DUMMYFUNCTION("""COMPUTED_VALUE"""),15258.65)</f>
        <v/>
      </c>
    </row>
    <row r="2476">
      <c r="J2476">
        <f>IFERROR(__xludf.DUMMYFUNCTION("""COMPUTED_VALUE"""),"Dubrovnik, Warsaw, Krakow and Kiev")</f>
        <v/>
      </c>
      <c r="K2476">
        <f>IFERROR(__xludf.DUMMYFUNCTION("""COMPUTED_VALUE"""),15254.65)</f>
        <v/>
      </c>
    </row>
    <row r="2477">
      <c r="J2477">
        <f>IFERROR(__xludf.DUMMYFUNCTION("""COMPUTED_VALUE"""),"Europe including:  Zurich, Geneva, Rome, Beirut, Paris and London.")</f>
        <v/>
      </c>
      <c r="K2477">
        <f>IFERROR(__xludf.DUMMYFUNCTION("""COMPUTED_VALUE"""),15252.68)</f>
        <v/>
      </c>
    </row>
    <row r="2478">
      <c r="J2478">
        <f>IFERROR(__xludf.DUMMYFUNCTION("""COMPUTED_VALUE"""),"Europe including: Zurich, Geneva, Rome, Paris, Beirut and London")</f>
        <v/>
      </c>
      <c r="K2478">
        <f>IFERROR(__xludf.DUMMYFUNCTION("""COMPUTED_VALUE"""),15252.68)</f>
        <v/>
      </c>
    </row>
    <row r="2479">
      <c r="J2479">
        <f>IFERROR(__xludf.DUMMYFUNCTION("""COMPUTED_VALUE"""),"Cork, Ireland")</f>
        <v/>
      </c>
      <c r="K2479">
        <f>IFERROR(__xludf.DUMMYFUNCTION("""COMPUTED_VALUE"""),15243)</f>
        <v/>
      </c>
    </row>
    <row r="2480">
      <c r="J2480">
        <f>IFERROR(__xludf.DUMMYFUNCTION("""COMPUTED_VALUE"""),"St. Andrews and Singapore")</f>
        <v/>
      </c>
      <c r="K2480">
        <f>IFERROR(__xludf.DUMMYFUNCTION("""COMPUTED_VALUE"""),15242.36)</f>
        <v/>
      </c>
    </row>
    <row r="2481">
      <c r="J2481">
        <f>IFERROR(__xludf.DUMMYFUNCTION("""COMPUTED_VALUE"""),"Brussesl, Belgium")</f>
        <v/>
      </c>
      <c r="K2481">
        <f>IFERROR(__xludf.DUMMYFUNCTION("""COMPUTED_VALUE"""),15221.46)</f>
        <v/>
      </c>
    </row>
    <row r="2482">
      <c r="J2482">
        <f>IFERROR(__xludf.DUMMYFUNCTION("""COMPUTED_VALUE"""),"Fredericton, New Brunswick, Canada; Charlottetown, Prince Edward Island, Canada")</f>
        <v/>
      </c>
      <c r="K2482">
        <f>IFERROR(__xludf.DUMMYFUNCTION("""COMPUTED_VALUE"""),15214.46)</f>
        <v/>
      </c>
    </row>
    <row r="2483">
      <c r="J2483">
        <f>IFERROR(__xludf.DUMMYFUNCTION("""COMPUTED_VALUE"""),"Santiago, Chile
Brasilia, Brazil
Sao Paolo, Brazil")</f>
        <v/>
      </c>
      <c r="K2483">
        <f>IFERROR(__xludf.DUMMYFUNCTION("""COMPUTED_VALUE"""),15212.3)</f>
        <v/>
      </c>
    </row>
    <row r="2484">
      <c r="J2484">
        <f>IFERROR(__xludf.DUMMYFUNCTION("""COMPUTED_VALUE"""),"Sardinia, Italy")</f>
        <v/>
      </c>
      <c r="K2484">
        <f>IFERROR(__xludf.DUMMYFUNCTION("""COMPUTED_VALUE"""),15200.09)</f>
        <v/>
      </c>
    </row>
    <row r="2485">
      <c r="J2485">
        <f>IFERROR(__xludf.DUMMYFUNCTION("""COMPUTED_VALUE"""),"EDMONTON, AB")</f>
        <v/>
      </c>
      <c r="K2485">
        <f>IFERROR(__xludf.DUMMYFUNCTION("""COMPUTED_VALUE"""),15199.17)</f>
        <v/>
      </c>
    </row>
    <row r="2486">
      <c r="J2486">
        <f>IFERROR(__xludf.DUMMYFUNCTION("""COMPUTED_VALUE"""),"Ottawa, Ontario and Moncton, New Brunswick")</f>
        <v/>
      </c>
      <c r="K2486">
        <f>IFERROR(__xludf.DUMMYFUNCTION("""COMPUTED_VALUE"""),15198.7299999999)</f>
        <v/>
      </c>
    </row>
    <row r="2487">
      <c r="J2487">
        <f>IFERROR(__xludf.DUMMYFUNCTION("""COMPUTED_VALUE"""),"Edmonton, Ottawa and Montréal")</f>
        <v/>
      </c>
      <c r="K2487">
        <f>IFERROR(__xludf.DUMMYFUNCTION("""COMPUTED_VALUE"""),15195.7)</f>
        <v/>
      </c>
    </row>
    <row r="2488">
      <c r="J2488">
        <f>IFERROR(__xludf.DUMMYFUNCTION("""COMPUTED_VALUE"""),"Sydney, Australia / Auckland, New Zealand")</f>
        <v/>
      </c>
      <c r="K2488">
        <f>IFERROR(__xludf.DUMMYFUNCTION("""COMPUTED_VALUE"""),15189.98)</f>
        <v/>
      </c>
    </row>
    <row r="2489">
      <c r="J2489">
        <f>IFERROR(__xludf.DUMMYFUNCTION("""COMPUTED_VALUE"""),"San Francisco, California, USA")</f>
        <v/>
      </c>
      <c r="K2489">
        <f>IFERROR(__xludf.DUMMYFUNCTION("""COMPUTED_VALUE"""),15189.36)</f>
        <v/>
      </c>
    </row>
    <row r="2490">
      <c r="J2490">
        <f>IFERROR(__xludf.DUMMYFUNCTION("""COMPUTED_VALUE"""),"Baku - Azerbaijan")</f>
        <v/>
      </c>
      <c r="K2490">
        <f>IFERROR(__xludf.DUMMYFUNCTION("""COMPUTED_VALUE"""),15187.33)</f>
        <v/>
      </c>
    </row>
    <row r="2491">
      <c r="J2491">
        <f>IFERROR(__xludf.DUMMYFUNCTION("""COMPUTED_VALUE"""),"Miami, USA / Hong Kong, Hong Kong / Tokyo, Japan / Dubai, United Arab Emirates")</f>
        <v/>
      </c>
      <c r="K2491">
        <f>IFERROR(__xludf.DUMMYFUNCTION("""COMPUTED_VALUE"""),15181.76)</f>
        <v/>
      </c>
    </row>
    <row r="2492">
      <c r="J2492">
        <f>IFERROR(__xludf.DUMMYFUNCTION("""COMPUTED_VALUE"""),"Aachen, and Nuremburg, Germany, Milan, Italy and Rotterdam, Netherlands")</f>
        <v/>
      </c>
      <c r="K2492">
        <f>IFERROR(__xludf.DUMMYFUNCTION("""COMPUTED_VALUE"""),15179.35)</f>
        <v/>
      </c>
    </row>
    <row r="2493">
      <c r="J2493">
        <f>IFERROR(__xludf.DUMMYFUNCTION("""COMPUTED_VALUE"""),"Mexico, Cuba, Peru, Panama, Dominican Republic and Haiti")</f>
        <v/>
      </c>
      <c r="K2493">
        <f>IFERROR(__xludf.DUMMYFUNCTION("""COMPUTED_VALUE"""),15176.73)</f>
        <v/>
      </c>
    </row>
    <row r="2494">
      <c r="J2494">
        <f>IFERROR(__xludf.DUMMYFUNCTION("""COMPUTED_VALUE"""),"Victoria, British-Columbia, Canada; Vancouver, British-Columbia, Canada")</f>
        <v/>
      </c>
      <c r="K2494">
        <f>IFERROR(__xludf.DUMMYFUNCTION("""COMPUTED_VALUE"""),15175.16)</f>
        <v/>
      </c>
    </row>
    <row r="2495">
      <c r="J2495">
        <f>IFERROR(__xludf.DUMMYFUNCTION("""COMPUTED_VALUE"""),"Amsterdam, Madrid and Barcelona, Vienna, Bratislave and Washington")</f>
        <v/>
      </c>
      <c r="K2495">
        <f>IFERROR(__xludf.DUMMYFUNCTION("""COMPUTED_VALUE"""),15173.96)</f>
        <v/>
      </c>
    </row>
    <row r="2496">
      <c r="J2496">
        <f>IFERROR(__xludf.DUMMYFUNCTION("""COMPUTED_VALUE"""),"Rzescow, Poland / Catania, Italy /  Naples Italy")</f>
        <v/>
      </c>
      <c r="K2496">
        <f>IFERROR(__xludf.DUMMYFUNCTION("""COMPUTED_VALUE"""),15167.06)</f>
        <v/>
      </c>
    </row>
    <row r="2497">
      <c r="J2497">
        <f>IFERROR(__xludf.DUMMYFUNCTION("""COMPUTED_VALUE"""),"ROME, Italy")</f>
        <v/>
      </c>
      <c r="K2497">
        <f>IFERROR(__xludf.DUMMYFUNCTION("""COMPUTED_VALUE"""),15163.31)</f>
        <v/>
      </c>
    </row>
    <row r="2498">
      <c r="J2498">
        <f>IFERROR(__xludf.DUMMYFUNCTION("""COMPUTED_VALUE"""),"Graz, Schladming")</f>
        <v/>
      </c>
      <c r="K2498">
        <f>IFERROR(__xludf.DUMMYFUNCTION("""COMPUTED_VALUE"""),15163.1099999999)</f>
        <v/>
      </c>
    </row>
    <row r="2499">
      <c r="J2499">
        <f>IFERROR(__xludf.DUMMYFUNCTION("""COMPUTED_VALUE"""),"Heiligendamm, Germany.")</f>
        <v/>
      </c>
      <c r="K2499">
        <f>IFERROR(__xludf.DUMMYFUNCTION("""COMPUTED_VALUE"""),15155.66)</f>
        <v/>
      </c>
    </row>
    <row r="2500">
      <c r="J2500">
        <f>IFERROR(__xludf.DUMMYFUNCTION("""COMPUTED_VALUE"""),"Paris (France), Kazan (Russia)")</f>
        <v/>
      </c>
      <c r="K2500">
        <f>IFERROR(__xludf.DUMMYFUNCTION("""COMPUTED_VALUE"""),15141.55)</f>
        <v/>
      </c>
    </row>
    <row r="2501">
      <c r="J2501">
        <f>IFERROR(__xludf.DUMMYFUNCTION("""COMPUTED_VALUE"""),"Riyadh, Kingdom of Saudi Arabia")</f>
        <v/>
      </c>
      <c r="K2501">
        <f>IFERROR(__xludf.DUMMYFUNCTION("""COMPUTED_VALUE"""),15140.6)</f>
        <v/>
      </c>
    </row>
    <row r="2502">
      <c r="J2502">
        <f>IFERROR(__xludf.DUMMYFUNCTION("""COMPUTED_VALUE"""),"Kenya and South Africa")</f>
        <v/>
      </c>
      <c r="K2502">
        <f>IFERROR(__xludf.DUMMYFUNCTION("""COMPUTED_VALUE"""),15136.56)</f>
        <v/>
      </c>
    </row>
    <row r="2503">
      <c r="J2503">
        <f>IFERROR(__xludf.DUMMYFUNCTION("""COMPUTED_VALUE"""),"Belfast, Northern Ireland, United Kingdom")</f>
        <v/>
      </c>
      <c r="K2503">
        <f>IFERROR(__xludf.DUMMYFUNCTION("""COMPUTED_VALUE"""),15131.7899999999)</f>
        <v/>
      </c>
    </row>
    <row r="2504">
      <c r="J2504">
        <f>IFERROR(__xludf.DUMMYFUNCTION("""COMPUTED_VALUE"""),"Niagara Falls")</f>
        <v/>
      </c>
      <c r="K2504">
        <f>IFERROR(__xludf.DUMMYFUNCTION("""COMPUTED_VALUE"""),15120.86)</f>
        <v/>
      </c>
    </row>
    <row r="2505">
      <c r="J2505">
        <f>IFERROR(__xludf.DUMMYFUNCTION("""COMPUTED_VALUE"""),"Dar Es Salam, Tanzania / Nairobi, Kenya / Entebbe, Uganda")</f>
        <v/>
      </c>
      <c r="K2505">
        <f>IFERROR(__xludf.DUMMYFUNCTION("""COMPUTED_VALUE"""),15120.55)</f>
        <v/>
      </c>
    </row>
    <row r="2506">
      <c r="J2506">
        <f>IFERROR(__xludf.DUMMYFUNCTION("""COMPUTED_VALUE"""),"Kigali, Rwanda, Goma et Kinshasa, République démocratique du Congo, Accra, Ghana, et Londres, Royaume Uni")</f>
        <v/>
      </c>
      <c r="K2506">
        <f>IFERROR(__xludf.DUMMYFUNCTION("""COMPUTED_VALUE"""),15113.18)</f>
        <v/>
      </c>
    </row>
    <row r="2507">
      <c r="J2507">
        <f>IFERROR(__xludf.DUMMYFUNCTION("""COMPUTED_VALUE"""),"Chilliwack, British Columbia, Canada")</f>
        <v/>
      </c>
      <c r="K2507">
        <f>IFERROR(__xludf.DUMMYFUNCTION("""COMPUTED_VALUE"""),15105.0599999999)</f>
        <v/>
      </c>
    </row>
    <row r="2508">
      <c r="J2508">
        <f>IFERROR(__xludf.DUMMYFUNCTION("""COMPUTED_VALUE"""),"Paris, Vientiane")</f>
        <v/>
      </c>
      <c r="K2508">
        <f>IFERROR(__xludf.DUMMYFUNCTION("""COMPUTED_VALUE"""),15101.46)</f>
        <v/>
      </c>
    </row>
    <row r="2509">
      <c r="J2509">
        <f>IFERROR(__xludf.DUMMYFUNCTION("""COMPUTED_VALUE"""),"Geneva, Switzerland; Cairo, Egypt")</f>
        <v/>
      </c>
      <c r="K2509">
        <f>IFERROR(__xludf.DUMMYFUNCTION("""COMPUTED_VALUE"""),15100.43)</f>
        <v/>
      </c>
    </row>
    <row r="2510">
      <c r="J2510">
        <f>IFERROR(__xludf.DUMMYFUNCTION("""COMPUTED_VALUE"""),"Ghana, Seattle")</f>
        <v/>
      </c>
      <c r="K2510">
        <f>IFERROR(__xludf.DUMMYFUNCTION("""COMPUTED_VALUE"""),15098.65)</f>
        <v/>
      </c>
    </row>
    <row r="2511">
      <c r="J2511">
        <f>IFERROR(__xludf.DUMMYFUNCTION("""COMPUTED_VALUE"""),"Vancouver, BC and Ottawa, ON")</f>
        <v/>
      </c>
      <c r="K2511">
        <f>IFERROR(__xludf.DUMMYFUNCTION("""COMPUTED_VALUE"""),15090.6299999999)</f>
        <v/>
      </c>
    </row>
    <row r="2512">
      <c r="J2512">
        <f>IFERROR(__xludf.DUMMYFUNCTION("""COMPUTED_VALUE"""),"Vancouver, British Columbia / Calgary, Alberta / Toronto, Ontario / Montreal, Quebec / Halifax, Nova Scotia,  Canada")</f>
        <v/>
      </c>
      <c r="K2512">
        <f>IFERROR(__xludf.DUMMYFUNCTION("""COMPUTED_VALUE"""),15090.57)</f>
        <v/>
      </c>
    </row>
    <row r="2513">
      <c r="J2513">
        <f>IFERROR(__xludf.DUMMYFUNCTION("""COMPUTED_VALUE"""),"Prince Rupert, BC")</f>
        <v/>
      </c>
      <c r="K2513">
        <f>IFERROR(__xludf.DUMMYFUNCTION("""COMPUTED_VALUE"""),15089.19)</f>
        <v/>
      </c>
    </row>
    <row r="2514">
      <c r="J2514">
        <f>IFERROR(__xludf.DUMMYFUNCTION("""COMPUTED_VALUE"""),"Tapei, Taiwan")</f>
        <v/>
      </c>
      <c r="K2514">
        <f>IFERROR(__xludf.DUMMYFUNCTION("""COMPUTED_VALUE"""),15087.21)</f>
        <v/>
      </c>
    </row>
    <row r="2515">
      <c r="J2515">
        <f>IFERROR(__xludf.DUMMYFUNCTION("""COMPUTED_VALUE"""),"Beijing, China and Bangkok, Thailand")</f>
        <v/>
      </c>
      <c r="K2515">
        <f>IFERROR(__xludf.DUMMYFUNCTION("""COMPUTED_VALUE"""),15076.37)</f>
        <v/>
      </c>
    </row>
    <row r="2516">
      <c r="J2516">
        <f>IFERROR(__xludf.DUMMYFUNCTION("""COMPUTED_VALUE"""),"Kuujjuaq")</f>
        <v/>
      </c>
      <c r="K2516">
        <f>IFERROR(__xludf.DUMMYFUNCTION("""COMPUTED_VALUE"""),15075.68)</f>
        <v/>
      </c>
    </row>
    <row r="2517">
      <c r="J2517">
        <f>IFERROR(__xludf.DUMMYFUNCTION("""COMPUTED_VALUE"""),"Bangkok, Kuala Lumpur and Tokyo")</f>
        <v/>
      </c>
      <c r="K2517">
        <f>IFERROR(__xludf.DUMMYFUNCTION("""COMPUTED_VALUE"""),15067.68)</f>
        <v/>
      </c>
    </row>
    <row r="2518">
      <c r="J2518">
        <f>IFERROR(__xludf.DUMMYFUNCTION("""COMPUTED_VALUE"""),"East West Flight Passes")</f>
        <v/>
      </c>
      <c r="K2518">
        <f>IFERROR(__xludf.DUMMYFUNCTION("""COMPUTED_VALUE"""),15060)</f>
        <v/>
      </c>
    </row>
    <row r="2519">
      <c r="J2519">
        <f>IFERROR(__xludf.DUMMYFUNCTION("""COMPUTED_VALUE"""),"London-Vancouver-Calgary-Edmonton-Victoria-Toronto-Ottawa-Montreal")</f>
        <v/>
      </c>
      <c r="K2519">
        <f>IFERROR(__xludf.DUMMYFUNCTION("""COMPUTED_VALUE"""),15059.14)</f>
        <v/>
      </c>
    </row>
    <row r="2520">
      <c r="J2520">
        <f>IFERROR(__xludf.DUMMYFUNCTION("""COMPUTED_VALUE"""),"Rome &amp; Brussels, Europe")</f>
        <v/>
      </c>
      <c r="K2520">
        <f>IFERROR(__xludf.DUMMYFUNCTION("""COMPUTED_VALUE"""),15058.87)</f>
        <v/>
      </c>
    </row>
    <row r="2521">
      <c r="J2521">
        <f>IFERROR(__xludf.DUMMYFUNCTION("""COMPUTED_VALUE"""),"Seoul, S Korea
Tokyo, Japan
Hanoi, Vietnam
Malaysia")</f>
        <v/>
      </c>
      <c r="K2521">
        <f>IFERROR(__xludf.DUMMYFUNCTION("""COMPUTED_VALUE"""),15058)</f>
        <v/>
      </c>
    </row>
    <row r="2522">
      <c r="J2522">
        <f>IFERROR(__xludf.DUMMYFUNCTION("""COMPUTED_VALUE"""),"New York, NY, London, United Kingdom")</f>
        <v/>
      </c>
      <c r="K2522">
        <f>IFERROR(__xludf.DUMMYFUNCTION("""COMPUTED_VALUE"""),15053.0299999999)</f>
        <v/>
      </c>
    </row>
    <row r="2523">
      <c r="J2523">
        <f>IFERROR(__xludf.DUMMYFUNCTION("""COMPUTED_VALUE"""),"Paris, France; Geneva, Switzerland")</f>
        <v/>
      </c>
      <c r="K2523">
        <f>IFERROR(__xludf.DUMMYFUNCTION("""COMPUTED_VALUE"""),15052.76)</f>
        <v/>
      </c>
    </row>
    <row r="2524">
      <c r="J2524">
        <f>IFERROR(__xludf.DUMMYFUNCTION("""COMPUTED_VALUE"""),"Windsor, ON, Canada")</f>
        <v/>
      </c>
      <c r="K2524">
        <f>IFERROR(__xludf.DUMMYFUNCTION("""COMPUTED_VALUE"""),15047.97)</f>
        <v/>
      </c>
    </row>
    <row r="2525">
      <c r="J2525">
        <f>IFERROR(__xludf.DUMMYFUNCTION("""COMPUTED_VALUE"""),"Detroit, USA")</f>
        <v/>
      </c>
      <c r="K2525">
        <f>IFERROR(__xludf.DUMMYFUNCTION("""COMPUTED_VALUE"""),15045.68)</f>
        <v/>
      </c>
    </row>
    <row r="2526">
      <c r="J2526">
        <f>IFERROR(__xludf.DUMMYFUNCTION("""COMPUTED_VALUE"""),"Toronto, Ontario, Canada / Dubai, United Arab Emirates / Islamabad, Pakistan / Istanbul, Ankara, Turkey / London, United Kingdom")</f>
        <v/>
      </c>
      <c r="K2526">
        <f>IFERROR(__xludf.DUMMYFUNCTION("""COMPUTED_VALUE"""),15043.24)</f>
        <v/>
      </c>
    </row>
    <row r="2527">
      <c r="J2527">
        <f>IFERROR(__xludf.DUMMYFUNCTION("""COMPUTED_VALUE"""),"Nairobi, Kenya, Afriqua")</f>
        <v/>
      </c>
      <c r="K2527">
        <f>IFERROR(__xludf.DUMMYFUNCTION("""COMPUTED_VALUE"""),15041.98)</f>
        <v/>
      </c>
    </row>
    <row r="2528">
      <c r="J2528">
        <f>IFERROR(__xludf.DUMMYFUNCTION("""COMPUTED_VALUE"""),"Sydney and Melbourne, Australia")</f>
        <v/>
      </c>
      <c r="K2528">
        <f>IFERROR(__xludf.DUMMYFUNCTION("""COMPUTED_VALUE"""),15041.34)</f>
        <v/>
      </c>
    </row>
    <row r="2529">
      <c r="J2529">
        <f>IFERROR(__xludf.DUMMYFUNCTION("""COMPUTED_VALUE"""),"Sydney (Australia), Melbourne (Australia)")</f>
        <v/>
      </c>
      <c r="K2529">
        <f>IFERROR(__xludf.DUMMYFUNCTION("""COMPUTED_VALUE"""),15038.83)</f>
        <v/>
      </c>
    </row>
    <row r="2530">
      <c r="J2530">
        <f>IFERROR(__xludf.DUMMYFUNCTION("""COMPUTED_VALUE"""),"Paris and Brussels, Belgium and France")</f>
        <v/>
      </c>
      <c r="K2530">
        <f>IFERROR(__xludf.DUMMYFUNCTION("""COMPUTED_VALUE"""),15036.83)</f>
        <v/>
      </c>
    </row>
    <row r="2531">
      <c r="J2531">
        <f>IFERROR(__xludf.DUMMYFUNCTION("""COMPUTED_VALUE"""),"Whitehorse YT")</f>
        <v/>
      </c>
      <c r="K2531">
        <f>IFERROR(__xludf.DUMMYFUNCTION("""COMPUTED_VALUE"""),15034.51)</f>
        <v/>
      </c>
    </row>
    <row r="2532">
      <c r="J2532">
        <f>IFERROR(__xludf.DUMMYFUNCTION("""COMPUTED_VALUE"""),"Guatemala City and Antigua, Guatemala")</f>
        <v/>
      </c>
      <c r="K2532">
        <f>IFERROR(__xludf.DUMMYFUNCTION("""COMPUTED_VALUE"""),15025.41)</f>
        <v/>
      </c>
    </row>
    <row r="2533">
      <c r="J2533">
        <f>IFERROR(__xludf.DUMMYFUNCTION("""COMPUTED_VALUE"""),"Switzerland, Italy, Lebanon and UK")</f>
        <v/>
      </c>
      <c r="K2533">
        <f>IFERROR(__xludf.DUMMYFUNCTION("""COMPUTED_VALUE"""),15023.56)</f>
        <v/>
      </c>
    </row>
    <row r="2534">
      <c r="J2534">
        <f>IFERROR(__xludf.DUMMYFUNCTION("""COMPUTED_VALUE"""),"Lebanon &amp; UAE")</f>
        <v/>
      </c>
      <c r="K2534">
        <f>IFERROR(__xludf.DUMMYFUNCTION("""COMPUTED_VALUE"""),15018.55)</f>
        <v/>
      </c>
    </row>
    <row r="2535">
      <c r="J2535">
        <f>IFERROR(__xludf.DUMMYFUNCTION("""COMPUTED_VALUE"""),"Bali  Indonesia")</f>
        <v/>
      </c>
      <c r="K2535">
        <f>IFERROR(__xludf.DUMMYFUNCTION("""COMPUTED_VALUE"""),15016.64)</f>
        <v/>
      </c>
    </row>
    <row r="2536">
      <c r="J2536">
        <f>IFERROR(__xludf.DUMMYFUNCTION("""COMPUTED_VALUE"""),"Karuizawa, Japan")</f>
        <v/>
      </c>
      <c r="K2536">
        <f>IFERROR(__xludf.DUMMYFUNCTION("""COMPUTED_VALUE"""),15009.36)</f>
        <v/>
      </c>
    </row>
    <row r="2537">
      <c r="J2537">
        <f>IFERROR(__xludf.DUMMYFUNCTION("""COMPUTED_VALUE"""),"Jordan, Israel, UAE and Tokyo")</f>
        <v/>
      </c>
      <c r="K2537">
        <f>IFERROR(__xludf.DUMMYFUNCTION("""COMPUTED_VALUE"""),15007.76)</f>
        <v/>
      </c>
    </row>
    <row r="2538">
      <c r="J2538">
        <f>IFERROR(__xludf.DUMMYFUNCTION("""COMPUTED_VALUE"""),"Fontainebleau, France")</f>
        <v/>
      </c>
      <c r="K2538">
        <f>IFERROR(__xludf.DUMMYFUNCTION("""COMPUTED_VALUE"""),15004.57)</f>
        <v/>
      </c>
    </row>
    <row r="2539">
      <c r="J2539">
        <f>IFERROR(__xludf.DUMMYFUNCTION("""COMPUTED_VALUE"""),"Toronto, Ontario, Canada / Winnipeg, Manitoba, Canada / Edmonton, Alberta, Canada / Mississauga, Ontario, Canada")</f>
        <v/>
      </c>
      <c r="K2539">
        <f>IFERROR(__xludf.DUMMYFUNCTION("""COMPUTED_VALUE"""),15004.48)</f>
        <v/>
      </c>
    </row>
    <row r="2540">
      <c r="J2540">
        <f>IFERROR(__xludf.DUMMYFUNCTION("""COMPUTED_VALUE"""),"Vancouver, British Columbia, Canada - Calgary, Alberta, Canada")</f>
        <v/>
      </c>
      <c r="K2540">
        <f>IFERROR(__xludf.DUMMYFUNCTION("""COMPUTED_VALUE"""),14998.7)</f>
        <v/>
      </c>
    </row>
    <row r="2541">
      <c r="J2541">
        <f>IFERROR(__xludf.DUMMYFUNCTION("""COMPUTED_VALUE"""),"Italy Rome and Switzerland - Bern")</f>
        <v/>
      </c>
      <c r="K2541">
        <f>IFERROR(__xludf.DUMMYFUNCTION("""COMPUTED_VALUE"""),14998.5)</f>
        <v/>
      </c>
    </row>
    <row r="2542">
      <c r="J2542">
        <f>IFERROR(__xludf.DUMMYFUNCTION("""COMPUTED_VALUE"""),"Edmonton, Singapore, Vietnam, Hong Kong, Kamloops, Calgary,  Banff and Toronto")</f>
        <v/>
      </c>
      <c r="K2542">
        <f>IFERROR(__xludf.DUMMYFUNCTION("""COMPUTED_VALUE"""),14996.43)</f>
        <v/>
      </c>
    </row>
    <row r="2543">
      <c r="J2543">
        <f>IFERROR(__xludf.DUMMYFUNCTION("""COMPUTED_VALUE"""),"St. John's-Corner Brook-Deer Lake, Newfoundland and Labrador, Canada")</f>
        <v/>
      </c>
      <c r="K2543">
        <f>IFERROR(__xludf.DUMMYFUNCTION("""COMPUTED_VALUE"""),14996.25)</f>
        <v/>
      </c>
    </row>
    <row r="2544">
      <c r="J2544">
        <f>IFERROR(__xludf.DUMMYFUNCTION("""COMPUTED_VALUE"""),"Alexandria Bay, NY, USA")</f>
        <v/>
      </c>
      <c r="K2544">
        <f>IFERROR(__xludf.DUMMYFUNCTION("""COMPUTED_VALUE"""),14993.6999999999)</f>
        <v/>
      </c>
    </row>
    <row r="2545">
      <c r="J2545">
        <f>IFERROR(__xludf.DUMMYFUNCTION("""COMPUTED_VALUE"""),"China and Vietnam")</f>
        <v/>
      </c>
      <c r="K2545">
        <f>IFERROR(__xludf.DUMMYFUNCTION("""COMPUTED_VALUE"""),14988.97)</f>
        <v/>
      </c>
    </row>
    <row r="2546">
      <c r="J2546">
        <f>IFERROR(__xludf.DUMMYFUNCTION("""COMPUTED_VALUE"""),"Netherlands, Romania &amp; Poland")</f>
        <v/>
      </c>
      <c r="K2546">
        <f>IFERROR(__xludf.DUMMYFUNCTION("""COMPUTED_VALUE"""),14975.3499999999)</f>
        <v/>
      </c>
    </row>
    <row r="2547">
      <c r="J2547">
        <f>IFERROR(__xludf.DUMMYFUNCTION("""COMPUTED_VALUE"""),"Seoul, Korea Republic / Geneva, Switzerland")</f>
        <v/>
      </c>
      <c r="K2547">
        <f>IFERROR(__xludf.DUMMYFUNCTION("""COMPUTED_VALUE"""),14975.33)</f>
        <v/>
      </c>
    </row>
    <row r="2548">
      <c r="J2548">
        <f>IFERROR(__xludf.DUMMYFUNCTION("""COMPUTED_VALUE"""),"Taipei, Taiwan / Jakarta, Indonesia")</f>
        <v/>
      </c>
      <c r="K2548">
        <f>IFERROR(__xludf.DUMMYFUNCTION("""COMPUTED_VALUE"""),14970.4)</f>
        <v/>
      </c>
    </row>
    <row r="2549">
      <c r="J2549">
        <f>IFERROR(__xludf.DUMMYFUNCTION("""COMPUTED_VALUE"""),"Calgary AB")</f>
        <v/>
      </c>
      <c r="K2549">
        <f>IFERROR(__xludf.DUMMYFUNCTION("""COMPUTED_VALUE"""),14960.09)</f>
        <v/>
      </c>
    </row>
    <row r="2550">
      <c r="J2550">
        <f>IFERROR(__xludf.DUMMYFUNCTION("""COMPUTED_VALUE"""),"Brussels, Belgium; Cornwall, United Kingdom")</f>
        <v/>
      </c>
      <c r="K2550">
        <f>IFERROR(__xludf.DUMMYFUNCTION("""COMPUTED_VALUE"""),14959.2199999999)</f>
        <v/>
      </c>
    </row>
    <row r="2551">
      <c r="J2551">
        <f>IFERROR(__xludf.DUMMYFUNCTION("""COMPUTED_VALUE"""),"Mumbai and New Delhi")</f>
        <v/>
      </c>
      <c r="K2551">
        <f>IFERROR(__xludf.DUMMYFUNCTION("""COMPUTED_VALUE"""),14948.72)</f>
        <v/>
      </c>
    </row>
    <row r="2552">
      <c r="J2552">
        <f>IFERROR(__xludf.DUMMYFUNCTION("""COMPUTED_VALUE"""),"Birmingham, United Kingdom")</f>
        <v/>
      </c>
      <c r="K2552">
        <f>IFERROR(__xludf.DUMMYFUNCTION("""COMPUTED_VALUE"""),14939.7799999999)</f>
        <v/>
      </c>
    </row>
    <row r="2553">
      <c r="J2553">
        <f>IFERROR(__xludf.DUMMYFUNCTION("""COMPUTED_VALUE"""),"New York, NY, United States")</f>
        <v/>
      </c>
      <c r="K2553">
        <f>IFERROR(__xludf.DUMMYFUNCTION("""COMPUTED_VALUE"""),14938.37)</f>
        <v/>
      </c>
    </row>
    <row r="2554">
      <c r="J2554">
        <f>IFERROR(__xludf.DUMMYFUNCTION("""COMPUTED_VALUE"""),"Jakarta (Indonesia); Mumbai, Bangalore and New Delhi (India)")</f>
        <v/>
      </c>
      <c r="K2554">
        <f>IFERROR(__xludf.DUMMYFUNCTION("""COMPUTED_VALUE"""),14936.59)</f>
        <v/>
      </c>
    </row>
    <row r="2555">
      <c r="J2555">
        <f>IFERROR(__xludf.DUMMYFUNCTION("""COMPUTED_VALUE"""),"Kingston (Ontario) Canada")</f>
        <v/>
      </c>
      <c r="K2555">
        <f>IFERROR(__xludf.DUMMYFUNCTION("""COMPUTED_VALUE"""),14935.41)</f>
        <v/>
      </c>
    </row>
    <row r="2556">
      <c r="J2556">
        <f>IFERROR(__xludf.DUMMYFUNCTION("""COMPUTED_VALUE"""),"Malaysia &amp; Vietnam")</f>
        <v/>
      </c>
      <c r="K2556">
        <f>IFERROR(__xludf.DUMMYFUNCTION("""COMPUTED_VALUE"""),14932.62)</f>
        <v/>
      </c>
    </row>
    <row r="2557">
      <c r="J2557">
        <f>IFERROR(__xludf.DUMMYFUNCTION("""COMPUTED_VALUE"""),"Glasgow / London -- United Kingdom")</f>
        <v/>
      </c>
      <c r="K2557">
        <f>IFERROR(__xludf.DUMMYFUNCTION("""COMPUTED_VALUE"""),14930.25)</f>
        <v/>
      </c>
    </row>
    <row r="2558">
      <c r="J2558">
        <f>IFERROR(__xludf.DUMMYFUNCTION("""COMPUTED_VALUE"""),"Jordan, Israel and Egypt")</f>
        <v/>
      </c>
      <c r="K2558">
        <f>IFERROR(__xludf.DUMMYFUNCTION("""COMPUTED_VALUE"""),14928.31)</f>
        <v/>
      </c>
    </row>
    <row r="2559">
      <c r="J2559">
        <f>IFERROR(__xludf.DUMMYFUNCTION("""COMPUTED_VALUE"""),"San Francisco (California), Vancouver (British Columbia), London (United Kingdom)")</f>
        <v/>
      </c>
      <c r="K2559">
        <f>IFERROR(__xludf.DUMMYFUNCTION("""COMPUTED_VALUE"""),14927.27)</f>
        <v/>
      </c>
    </row>
    <row r="2560">
      <c r="J2560">
        <f>IFERROR(__xludf.DUMMYFUNCTION("""COMPUTED_VALUE"""),"Kuwait City, Dubai, Abu Dhabi, Amman")</f>
        <v/>
      </c>
      <c r="K2560">
        <f>IFERROR(__xludf.DUMMYFUNCTION("""COMPUTED_VALUE"""),14924.91)</f>
        <v/>
      </c>
    </row>
    <row r="2561">
      <c r="J2561">
        <f>IFERROR(__xludf.DUMMYFUNCTION("""COMPUTED_VALUE"""),"KLMPR-HANOI-HOCHI")</f>
        <v/>
      </c>
      <c r="K2561">
        <f>IFERROR(__xludf.DUMMYFUNCTION("""COMPUTED_VALUE"""),14921.3)</f>
        <v/>
      </c>
    </row>
    <row r="2562">
      <c r="J2562">
        <f>IFERROR(__xludf.DUMMYFUNCTION("""COMPUTED_VALUE"""),"PARIS, FRANCE")</f>
        <v/>
      </c>
      <c r="K2562">
        <f>IFERROR(__xludf.DUMMYFUNCTION("""COMPUTED_VALUE"""),14915.58)</f>
        <v/>
      </c>
    </row>
    <row r="2563">
      <c r="J2563">
        <f>IFERROR(__xludf.DUMMYFUNCTION("""COMPUTED_VALUE"""),"Calgary and Edmonton, Alberta, Canada")</f>
        <v/>
      </c>
      <c r="K2563">
        <f>IFERROR(__xludf.DUMMYFUNCTION("""COMPUTED_VALUE"""),14915.08)</f>
        <v/>
      </c>
    </row>
    <row r="2564">
      <c r="J2564">
        <f>IFERROR(__xludf.DUMMYFUNCTION("""COMPUTED_VALUE"""),"Prince George, BC - Vancouver, BC")</f>
        <v/>
      </c>
      <c r="K2564">
        <f>IFERROR(__xludf.DUMMYFUNCTION("""COMPUTED_VALUE"""),14915.06)</f>
        <v/>
      </c>
    </row>
    <row r="2565">
      <c r="J2565">
        <f>IFERROR(__xludf.DUMMYFUNCTION("""COMPUTED_VALUE"""),"Paris, France / Yerevan, Armenia / Beirut, Lebanon / Istanbul, Turkey / Dnepropetrovsk and Kiev, Ukraine / Frankfurt, Germany")</f>
        <v/>
      </c>
      <c r="K2565">
        <f>IFERROR(__xludf.DUMMYFUNCTION("""COMPUTED_VALUE"""),14901.34)</f>
        <v/>
      </c>
    </row>
    <row r="2566">
      <c r="J2566">
        <f>IFERROR(__xludf.DUMMYFUNCTION("""COMPUTED_VALUE"""),"Mozambique, Malawi, Zimbabwe")</f>
        <v/>
      </c>
      <c r="K2566">
        <f>IFERROR(__xludf.DUMMYFUNCTION("""COMPUTED_VALUE"""),14900.55)</f>
        <v/>
      </c>
    </row>
    <row r="2567">
      <c r="J2567">
        <f>IFERROR(__xludf.DUMMYFUNCTION("""COMPUTED_VALUE"""),"Edmonton, AB / Calgary, AB")</f>
        <v/>
      </c>
      <c r="K2567">
        <f>IFERROR(__xludf.DUMMYFUNCTION("""COMPUTED_VALUE"""),14899.89)</f>
        <v/>
      </c>
    </row>
    <row r="2568">
      <c r="J2568">
        <f>IFERROR(__xludf.DUMMYFUNCTION("""COMPUTED_VALUE"""),"Baghdad and Erbil (Iraq Republic), Amman (Jordan) and Brussels (Belgium)")</f>
        <v/>
      </c>
      <c r="K2568">
        <f>IFERROR(__xludf.DUMMYFUNCTION("""COMPUTED_VALUE"""),14893.03)</f>
        <v/>
      </c>
    </row>
    <row r="2569">
      <c r="J2569">
        <f>IFERROR(__xludf.DUMMYFUNCTION("""COMPUTED_VALUE"""),"Ottawa-Vancouver-Ottawa")</f>
        <v/>
      </c>
      <c r="K2569">
        <f>IFERROR(__xludf.DUMMYFUNCTION("""COMPUTED_VALUE"""),14889.8)</f>
        <v/>
      </c>
    </row>
    <row r="2570">
      <c r="J2570">
        <f>IFERROR(__xludf.DUMMYFUNCTION("""COMPUTED_VALUE"""),"Vancouver, B.C. and Tel Aviv, Israel")</f>
        <v/>
      </c>
      <c r="K2570">
        <f>IFERROR(__xludf.DUMMYFUNCTION("""COMPUTED_VALUE"""),14888.21)</f>
        <v/>
      </c>
    </row>
    <row r="2571">
      <c r="J2571">
        <f>IFERROR(__xludf.DUMMYFUNCTION("""COMPUTED_VALUE"""),"Caraquet, New Brunswick,Canada")</f>
        <v/>
      </c>
      <c r="K2571">
        <f>IFERROR(__xludf.DUMMYFUNCTION("""COMPUTED_VALUE"""),14884.59)</f>
        <v/>
      </c>
    </row>
    <row r="2572">
      <c r="J2572">
        <f>IFERROR(__xludf.DUMMYFUNCTION("""COMPUTED_VALUE"""),"Tonga, Nuku'alofa and Wellington, New Zealand")</f>
        <v/>
      </c>
      <c r="K2572">
        <f>IFERROR(__xludf.DUMMYFUNCTION("""COMPUTED_VALUE"""),14883.05)</f>
        <v/>
      </c>
    </row>
    <row r="2573">
      <c r="J2573">
        <f>IFERROR(__xludf.DUMMYFUNCTION("""COMPUTED_VALUE"""),"Beijing and Nanjing, China")</f>
        <v/>
      </c>
      <c r="K2573">
        <f>IFERROR(__xludf.DUMMYFUNCTION("""COMPUTED_VALUE"""),14877.38)</f>
        <v/>
      </c>
    </row>
    <row r="2574">
      <c r="J2574">
        <f>IFERROR(__xludf.DUMMYFUNCTION("""COMPUTED_VALUE"""),"Victoria, BC and Vancouver, BC")</f>
        <v/>
      </c>
      <c r="K2574">
        <f>IFERROR(__xludf.DUMMYFUNCTION("""COMPUTED_VALUE"""),14877.3499999999)</f>
        <v/>
      </c>
    </row>
    <row r="2575">
      <c r="J2575">
        <f>IFERROR(__xludf.DUMMYFUNCTION("""COMPUTED_VALUE"""),"Paris, France / Rabat, Morocco/  Tunis, Tunisia")</f>
        <v/>
      </c>
      <c r="K2575">
        <f>IFERROR(__xludf.DUMMYFUNCTION("""COMPUTED_VALUE"""),14874.43)</f>
        <v/>
      </c>
    </row>
    <row r="2576">
      <c r="J2576">
        <f>IFERROR(__xludf.DUMMYFUNCTION("""COMPUTED_VALUE"""),"Munich, Berlin")</f>
        <v/>
      </c>
      <c r="K2576">
        <f>IFERROR(__xludf.DUMMYFUNCTION("""COMPUTED_VALUE"""),14871.6)</f>
        <v/>
      </c>
    </row>
    <row r="2577">
      <c r="J2577">
        <f>IFERROR(__xludf.DUMMYFUNCTION("""COMPUTED_VALUE"""),"Tokyo - Manila - Seoul")</f>
        <v/>
      </c>
      <c r="K2577">
        <f>IFERROR(__xludf.DUMMYFUNCTION("""COMPUTED_VALUE"""),14870.16)</f>
        <v/>
      </c>
    </row>
    <row r="2578">
      <c r="J2578">
        <f>IFERROR(__xludf.DUMMYFUNCTION("""COMPUTED_VALUE"""),"Seville, Spain")</f>
        <v/>
      </c>
      <c r="K2578">
        <f>IFERROR(__xludf.DUMMYFUNCTION("""COMPUTED_VALUE"""),14865.15)</f>
        <v/>
      </c>
    </row>
    <row r="2579">
      <c r="J2579">
        <f>IFERROR(__xludf.DUMMYFUNCTION("""COMPUTED_VALUE"""),"Switzerland, Italy, Lebanon and United Kingdom")</f>
        <v/>
      </c>
      <c r="K2579">
        <f>IFERROR(__xludf.DUMMYFUNCTION("""COMPUTED_VALUE"""),14859.14)</f>
        <v/>
      </c>
    </row>
    <row r="2580">
      <c r="J2580">
        <f>IFERROR(__xludf.DUMMYFUNCTION("""COMPUTED_VALUE"""),"Abijan")</f>
        <v/>
      </c>
      <c r="K2580">
        <f>IFERROR(__xludf.DUMMYFUNCTION("""COMPUTED_VALUE"""),14842.91)</f>
        <v/>
      </c>
    </row>
    <row r="2581">
      <c r="J2581">
        <f>IFERROR(__xludf.DUMMYFUNCTION("""COMPUTED_VALUE"""),"Marrakech, Morocco / Geneva, Switzerland")</f>
        <v/>
      </c>
      <c r="K2581">
        <f>IFERROR(__xludf.DUMMYFUNCTION("""COMPUTED_VALUE"""),14838.22)</f>
        <v/>
      </c>
    </row>
    <row r="2582">
      <c r="J2582">
        <f>IFERROR(__xludf.DUMMYFUNCTION("""COMPUTED_VALUE"""),"Jakarta &amp; Semarang, Indonesia
Kuala Lumpur, Malaysia
Delhi &amp; Jaipur, India")</f>
        <v/>
      </c>
      <c r="K2582">
        <f>IFERROR(__xludf.DUMMYFUNCTION("""COMPUTED_VALUE"""),14832.6)</f>
        <v/>
      </c>
    </row>
    <row r="2583">
      <c r="J2583">
        <f>IFERROR(__xludf.DUMMYFUNCTION("""COMPUTED_VALUE"""),"Whitehorse, YK")</f>
        <v/>
      </c>
      <c r="K2583">
        <f>IFERROR(__xludf.DUMMYFUNCTION("""COMPUTED_VALUE"""),14831.64)</f>
        <v/>
      </c>
    </row>
    <row r="2584">
      <c r="J2584">
        <f>IFERROR(__xludf.DUMMYFUNCTION("""COMPUTED_VALUE"""),"Poland")</f>
        <v/>
      </c>
      <c r="K2584">
        <f>IFERROR(__xludf.DUMMYFUNCTION("""COMPUTED_VALUE"""),14831.22)</f>
        <v/>
      </c>
    </row>
    <row r="2585">
      <c r="J2585">
        <f>IFERROR(__xludf.DUMMYFUNCTION("""COMPUTED_VALUE"""),"Montreal, Quebec, Canada
Iqaluit, Nunavut, Canada")</f>
        <v/>
      </c>
      <c r="K2585">
        <f>IFERROR(__xludf.DUMMYFUNCTION("""COMPUTED_VALUE"""),14824.58)</f>
        <v/>
      </c>
    </row>
    <row r="2586">
      <c r="J2586">
        <f>IFERROR(__xludf.DUMMYFUNCTION("""COMPUTED_VALUE"""),"Gwaii Haanas, British Columbia")</f>
        <v/>
      </c>
      <c r="K2586">
        <f>IFERROR(__xludf.DUMMYFUNCTION("""COMPUTED_VALUE"""),14820.57)</f>
        <v/>
      </c>
    </row>
    <row r="2587">
      <c r="J2587">
        <f>IFERROR(__xludf.DUMMYFUNCTION("""COMPUTED_VALUE"""),"Erivan, Armenia")</f>
        <v/>
      </c>
      <c r="K2587">
        <f>IFERROR(__xludf.DUMMYFUNCTION("""COMPUTED_VALUE"""),14819.3)</f>
        <v/>
      </c>
    </row>
    <row r="2588">
      <c r="J2588">
        <f>IFERROR(__xludf.DUMMYFUNCTION("""COMPUTED_VALUE"""),"Dakar, Sénégal")</f>
        <v/>
      </c>
      <c r="K2588">
        <f>IFERROR(__xludf.DUMMYFUNCTION("""COMPUTED_VALUE"""),14819.21)</f>
        <v/>
      </c>
    </row>
    <row r="2589">
      <c r="J2589">
        <f>IFERROR(__xludf.DUMMYFUNCTION("""COMPUTED_VALUE"""),"(1) London, United Kingdom, and (2) Stockholm, Sweden")</f>
        <v/>
      </c>
      <c r="K2589">
        <f>IFERROR(__xludf.DUMMYFUNCTION("""COMPUTED_VALUE"""),14814.3)</f>
        <v/>
      </c>
    </row>
    <row r="2590">
      <c r="J2590">
        <f>IFERROR(__xludf.DUMMYFUNCTION("""COMPUTED_VALUE"""),"Halifax, NS Yarmouth, NS St.John, NL")</f>
        <v/>
      </c>
      <c r="K2590">
        <f>IFERROR(__xludf.DUMMYFUNCTION("""COMPUTED_VALUE"""),14810.34)</f>
        <v/>
      </c>
    </row>
    <row r="2591">
      <c r="J2591">
        <f>IFERROR(__xludf.DUMMYFUNCTION("""COMPUTED_VALUE"""),"Jerusalem &amp; Tel Aviv, Israel; Amman, Jordan; Cairo &amp; Sharm Al Shiek, Egypt")</f>
        <v/>
      </c>
      <c r="K2591">
        <f>IFERROR(__xludf.DUMMYFUNCTION("""COMPUTED_VALUE"""),14798.98)</f>
        <v/>
      </c>
    </row>
    <row r="2592">
      <c r="J2592">
        <f>IFERROR(__xludf.DUMMYFUNCTION("""COMPUTED_VALUE"""),"Czech Republic, Hungary, Romania, Bulgaria, Slovak Republic and Italy.")</f>
        <v/>
      </c>
      <c r="K2592">
        <f>IFERROR(__xludf.DUMMYFUNCTION("""COMPUTED_VALUE"""),14797.6)</f>
        <v/>
      </c>
    </row>
    <row r="2593">
      <c r="J2593">
        <f>IFERROR(__xludf.DUMMYFUNCTION("""COMPUTED_VALUE"""),"Finland, Belgium and Germany")</f>
        <v/>
      </c>
      <c r="K2593">
        <f>IFERROR(__xludf.DUMMYFUNCTION("""COMPUTED_VALUE"""),14790.84)</f>
        <v/>
      </c>
    </row>
    <row r="2594">
      <c r="J2594">
        <f>IFERROR(__xludf.DUMMYFUNCTION("""COMPUTED_VALUE"""),"Fox Harbour, Nova Scotia, Canada")</f>
        <v/>
      </c>
      <c r="K2594">
        <f>IFERROR(__xludf.DUMMYFUNCTION("""COMPUTED_VALUE"""),14788.81)</f>
        <v/>
      </c>
    </row>
    <row r="2595">
      <c r="J2595">
        <f>IFERROR(__xludf.DUMMYFUNCTION("""COMPUTED_VALUE"""),"Toronto, Ontario (Canada)
Los Angeles, California (USA)")</f>
        <v/>
      </c>
      <c r="K2595">
        <f>IFERROR(__xludf.DUMMYFUNCTION("""COMPUTED_VALUE"""),14788.34)</f>
        <v/>
      </c>
    </row>
    <row r="2596">
      <c r="J2596">
        <f>IFERROR(__xludf.DUMMYFUNCTION("""COMPUTED_VALUE"""),"Canada - Toronto Ontario, Banff Alberta, and Halifax Nova Scotia.")</f>
        <v/>
      </c>
      <c r="K2596">
        <f>IFERROR(__xludf.DUMMYFUNCTION("""COMPUTED_VALUE"""),14783.18)</f>
        <v/>
      </c>
    </row>
    <row r="2597">
      <c r="J2597">
        <f>IFERROR(__xludf.DUMMYFUNCTION("""COMPUTED_VALUE"""),"Calgary, Toronto, Ottawa, Montreal, Washington")</f>
        <v/>
      </c>
      <c r="K2597">
        <f>IFERROR(__xludf.DUMMYFUNCTION("""COMPUTED_VALUE"""),14771.49)</f>
        <v/>
      </c>
    </row>
    <row r="2598">
      <c r="J2598">
        <f>IFERROR(__xludf.DUMMYFUNCTION("""COMPUTED_VALUE"""),"Abu Dhabi, Dubai, Riyadh, Islamabad, Kabul")</f>
        <v/>
      </c>
      <c r="K2598">
        <f>IFERROR(__xludf.DUMMYFUNCTION("""COMPUTED_VALUE"""),14771.15)</f>
        <v/>
      </c>
    </row>
    <row r="2599">
      <c r="J2599">
        <f>IFERROR(__xludf.DUMMYFUNCTION("""COMPUTED_VALUE"""),"France -Paris, Turkey-Ankara")</f>
        <v/>
      </c>
      <c r="K2599">
        <f>IFERROR(__xludf.DUMMYFUNCTION("""COMPUTED_VALUE"""),14766.86)</f>
        <v/>
      </c>
    </row>
    <row r="2600">
      <c r="J2600">
        <f>IFERROR(__xludf.DUMMYFUNCTION("""COMPUTED_VALUE"""),"Nairobi and Mombasa, Kenya")</f>
        <v/>
      </c>
      <c r="K2600">
        <f>IFERROR(__xludf.DUMMYFUNCTION("""COMPUTED_VALUE"""),14766.41)</f>
        <v/>
      </c>
    </row>
    <row r="2601">
      <c r="J2601">
        <f>IFERROR(__xludf.DUMMYFUNCTION("""COMPUTED_VALUE"""),"Levis, Quebec, Canada")</f>
        <v/>
      </c>
      <c r="K2601">
        <f>IFERROR(__xludf.DUMMYFUNCTION("""COMPUTED_VALUE"""),14758.0699999999)</f>
        <v/>
      </c>
    </row>
    <row r="2602">
      <c r="J2602">
        <f>IFERROR(__xludf.DUMMYFUNCTION("""COMPUTED_VALUE"""),"Gold Coast, (Australia)")</f>
        <v/>
      </c>
      <c r="K2602">
        <f>IFERROR(__xludf.DUMMYFUNCTION("""COMPUTED_VALUE"""),14758)</f>
        <v/>
      </c>
    </row>
    <row r="2603">
      <c r="J2603">
        <f>IFERROR(__xludf.DUMMYFUNCTION("""COMPUTED_VALUE"""),"Ho Chi Minh City, Vietnam; Beijing, China; Shanghai, China")</f>
        <v/>
      </c>
      <c r="K2603">
        <f>IFERROR(__xludf.DUMMYFUNCTION("""COMPUTED_VALUE"""),14754.6)</f>
        <v/>
      </c>
    </row>
    <row r="2604">
      <c r="J2604">
        <f>IFERROR(__xludf.DUMMYFUNCTION("""COMPUTED_VALUE"""),"Mysore, India")</f>
        <v/>
      </c>
      <c r="K2604">
        <f>IFERROR(__xludf.DUMMYFUNCTION("""COMPUTED_VALUE"""),14753.44)</f>
        <v/>
      </c>
    </row>
    <row r="2605">
      <c r="J2605">
        <f>IFERROR(__xludf.DUMMYFUNCTION("""COMPUTED_VALUE"""),"Tokyo, Japan                                             Brussels, Belgium")</f>
        <v/>
      </c>
      <c r="K2605">
        <f>IFERROR(__xludf.DUMMYFUNCTION("""COMPUTED_VALUE"""),14752.76)</f>
        <v/>
      </c>
    </row>
    <row r="2606">
      <c r="J2606">
        <f>IFERROR(__xludf.DUMMYFUNCTION("""COMPUTED_VALUE"""),"Ottawa, Ontario, Canada; Kanata, Ontario, Canada")</f>
        <v/>
      </c>
      <c r="K2606">
        <f>IFERROR(__xludf.DUMMYFUNCTION("""COMPUTED_VALUE"""),14750.91)</f>
        <v/>
      </c>
    </row>
    <row r="2607">
      <c r="J2607">
        <f>IFERROR(__xludf.DUMMYFUNCTION("""COMPUTED_VALUE"""),"Varanasi (Uttar Pradesh) India")</f>
        <v/>
      </c>
      <c r="K2607">
        <f>IFERROR(__xludf.DUMMYFUNCTION("""COMPUTED_VALUE"""),14747.73)</f>
        <v/>
      </c>
    </row>
    <row r="2608">
      <c r="J2608">
        <f>IFERROR(__xludf.DUMMYFUNCTION("""COMPUTED_VALUE"""),"Washington, DC.")</f>
        <v/>
      </c>
      <c r="K2608">
        <f>IFERROR(__xludf.DUMMYFUNCTION("""COMPUTED_VALUE"""),14740.9099999999)</f>
        <v/>
      </c>
    </row>
    <row r="2609">
      <c r="J2609">
        <f>IFERROR(__xludf.DUMMYFUNCTION("""COMPUTED_VALUE"""),"Geneva, Switzerland / Paris, France")</f>
        <v/>
      </c>
      <c r="K2609">
        <f>IFERROR(__xludf.DUMMYFUNCTION("""COMPUTED_VALUE"""),14739.15)</f>
        <v/>
      </c>
    </row>
    <row r="2610">
      <c r="J2610">
        <f>IFERROR(__xludf.DUMMYFUNCTION("""COMPUTED_VALUE"""),"South Korea, Laos, Vietnam")</f>
        <v/>
      </c>
      <c r="K2610">
        <f>IFERROR(__xludf.DUMMYFUNCTION("""COMPUTED_VALUE"""),14733.75)</f>
        <v/>
      </c>
    </row>
    <row r="2611">
      <c r="J2611">
        <f>IFERROR(__xludf.DUMMYFUNCTION("""COMPUTED_VALUE"""),"Halifax and Digby, Nova Scotia, Canada")</f>
        <v/>
      </c>
      <c r="K2611">
        <f>IFERROR(__xludf.DUMMYFUNCTION("""COMPUTED_VALUE"""),14726.08)</f>
        <v/>
      </c>
    </row>
    <row r="2612">
      <c r="J2612">
        <f>IFERROR(__xludf.DUMMYFUNCTION("""COMPUTED_VALUE"""),"Middle East, Cyprus, West Bank, Israel and London")</f>
        <v/>
      </c>
      <c r="K2612">
        <f>IFERROR(__xludf.DUMMYFUNCTION("""COMPUTED_VALUE"""),14725.2)</f>
        <v/>
      </c>
    </row>
    <row r="2613">
      <c r="J2613">
        <f>IFERROR(__xludf.DUMMYFUNCTION("""COMPUTED_VALUE"""),"India/Malaysia/Vancouver")</f>
        <v/>
      </c>
      <c r="K2613">
        <f>IFERROR(__xludf.DUMMYFUNCTION("""COMPUTED_VALUE"""),14722.26)</f>
        <v/>
      </c>
    </row>
    <row r="2614">
      <c r="J2614">
        <f>IFERROR(__xludf.DUMMYFUNCTION("""COMPUTED_VALUE"""),"Hamilton")</f>
        <v/>
      </c>
      <c r="K2614">
        <f>IFERROR(__xludf.DUMMYFUNCTION("""COMPUTED_VALUE"""),14721.81)</f>
        <v/>
      </c>
    </row>
    <row r="2615">
      <c r="J2615">
        <f>IFERROR(__xludf.DUMMYFUNCTION("""COMPUTED_VALUE"""),"Maple Creek, Saskatchewan")</f>
        <v/>
      </c>
      <c r="K2615">
        <f>IFERROR(__xludf.DUMMYFUNCTION("""COMPUTED_VALUE"""),14721.18)</f>
        <v/>
      </c>
    </row>
    <row r="2616">
      <c r="J2616">
        <f>IFERROR(__xludf.DUMMYFUNCTION("""COMPUTED_VALUE"""),"Frankfurt - Davos - Brussels")</f>
        <v/>
      </c>
      <c r="K2616">
        <f>IFERROR(__xludf.DUMMYFUNCTION("""COMPUTED_VALUE"""),14718.59)</f>
        <v/>
      </c>
    </row>
    <row r="2617">
      <c r="J2617">
        <f>IFERROR(__xludf.DUMMYFUNCTION("""COMPUTED_VALUE"""),"La Paz, Bolivia")</f>
        <v/>
      </c>
      <c r="K2617">
        <f>IFERROR(__xludf.DUMMYFUNCTION("""COMPUTED_VALUE"""),14717.57)</f>
        <v/>
      </c>
    </row>
    <row r="2618">
      <c r="J2618">
        <f>IFERROR(__xludf.DUMMYFUNCTION("""COMPUTED_VALUE"""),"St-Johns, Newfoundland and Labrador")</f>
        <v/>
      </c>
      <c r="K2618">
        <f>IFERROR(__xludf.DUMMYFUNCTION("""COMPUTED_VALUE"""),14717.55)</f>
        <v/>
      </c>
    </row>
    <row r="2619">
      <c r="J2619">
        <f>IFERROR(__xludf.DUMMYFUNCTION("""COMPUTED_VALUE"""),"Toronto, ON and Vancouver, BC")</f>
        <v/>
      </c>
      <c r="K2619">
        <f>IFERROR(__xludf.DUMMYFUNCTION("""COMPUTED_VALUE"""),14716.71)</f>
        <v/>
      </c>
    </row>
    <row r="2620">
      <c r="J2620">
        <f>IFERROR(__xludf.DUMMYFUNCTION("""COMPUTED_VALUE"""),"Frankfurt (Germany)")</f>
        <v/>
      </c>
      <c r="K2620">
        <f>IFERROR(__xludf.DUMMYFUNCTION("""COMPUTED_VALUE"""),14714.3699999999)</f>
        <v/>
      </c>
    </row>
    <row r="2621">
      <c r="J2621">
        <f>IFERROR(__xludf.DUMMYFUNCTION("""COMPUTED_VALUE"""),"Accra; London, Ghana; United Kingdom")</f>
        <v/>
      </c>
      <c r="K2621">
        <f>IFERROR(__xludf.DUMMYFUNCTION("""COMPUTED_VALUE"""),14698.52)</f>
        <v/>
      </c>
    </row>
    <row r="2622">
      <c r="J2622">
        <f>IFERROR(__xludf.DUMMYFUNCTION("""COMPUTED_VALUE"""),"Kinshasa, Democratic Republic of Congo")</f>
        <v/>
      </c>
      <c r="K2622">
        <f>IFERROR(__xludf.DUMMYFUNCTION("""COMPUTED_VALUE"""),14688.47)</f>
        <v/>
      </c>
    </row>
    <row r="2623">
      <c r="J2623">
        <f>IFERROR(__xludf.DUMMYFUNCTION("""COMPUTED_VALUE"""),"Washington, District of Columbia, United States / Seoul, South Korea")</f>
        <v/>
      </c>
      <c r="K2623">
        <f>IFERROR(__xludf.DUMMYFUNCTION("""COMPUTED_VALUE"""),14685.73)</f>
        <v/>
      </c>
    </row>
    <row r="2624">
      <c r="J2624">
        <f>IFERROR(__xludf.DUMMYFUNCTION("""COMPUTED_VALUE"""),"Vancouver, British Columbia, Canada / Edmonton, Alberta, Canada")</f>
        <v/>
      </c>
      <c r="K2624">
        <f>IFERROR(__xludf.DUMMYFUNCTION("""COMPUTED_VALUE"""),14684.33)</f>
        <v/>
      </c>
    </row>
    <row r="2625">
      <c r="J2625">
        <f>IFERROR(__xludf.DUMMYFUNCTION("""COMPUTED_VALUE"""),"Brunei, Darussalam")</f>
        <v/>
      </c>
      <c r="K2625">
        <f>IFERROR(__xludf.DUMMYFUNCTION("""COMPUTED_VALUE"""),14672.9)</f>
        <v/>
      </c>
    </row>
    <row r="2626">
      <c r="J2626">
        <f>IFERROR(__xludf.DUMMYFUNCTION("""COMPUTED_VALUE"""),"Kenya and Rwanda")</f>
        <v/>
      </c>
      <c r="K2626">
        <f>IFERROR(__xludf.DUMMYFUNCTION("""COMPUTED_VALUE"""),14672.82)</f>
        <v/>
      </c>
    </row>
    <row r="2627">
      <c r="J2627">
        <f>IFERROR(__xludf.DUMMYFUNCTION("""COMPUTED_VALUE"""),"Doha, Abu Dhabi &amp; Dubai")</f>
        <v/>
      </c>
      <c r="K2627">
        <f>IFERROR(__xludf.DUMMYFUNCTION("""COMPUTED_VALUE"""),14670.86)</f>
        <v/>
      </c>
    </row>
    <row r="2628">
      <c r="J2628">
        <f>IFERROR(__xludf.DUMMYFUNCTION("""COMPUTED_VALUE"""),"Abu Dhabi, United Arab Emirates &amp; Muscat, Oman")</f>
        <v/>
      </c>
      <c r="K2628">
        <f>IFERROR(__xludf.DUMMYFUNCTION("""COMPUTED_VALUE"""),14665.23)</f>
        <v/>
      </c>
    </row>
    <row r="2629">
      <c r="J2629">
        <f>IFERROR(__xludf.DUMMYFUNCTION("""COMPUTED_VALUE"""),"Alberni, British Colombia, Canada")</f>
        <v/>
      </c>
      <c r="K2629">
        <f>IFERROR(__xludf.DUMMYFUNCTION("""COMPUTED_VALUE"""),14664.66)</f>
        <v/>
      </c>
    </row>
    <row r="2630">
      <c r="J2630">
        <f>IFERROR(__xludf.DUMMYFUNCTION("""COMPUTED_VALUE"""),"GENEVA, Switcheland
PARIS, France")</f>
        <v/>
      </c>
      <c r="K2630">
        <f>IFERROR(__xludf.DUMMYFUNCTION("""COMPUTED_VALUE"""),14661.31)</f>
        <v/>
      </c>
    </row>
    <row r="2631">
      <c r="J2631">
        <f>IFERROR(__xludf.DUMMYFUNCTION("""COMPUTED_VALUE"""),"New Delhi, Chandigarh and Bangalore, India / Colombo, Sri Lanka")</f>
        <v/>
      </c>
      <c r="K2631">
        <f>IFERROR(__xludf.DUMMYFUNCTION("""COMPUTED_VALUE"""),14660.88)</f>
        <v/>
      </c>
    </row>
    <row r="2632">
      <c r="J2632">
        <f>IFERROR(__xludf.DUMMYFUNCTION("""COMPUTED_VALUE"""),"Jonquière, Quebec, Canada")</f>
        <v/>
      </c>
      <c r="K2632">
        <f>IFERROR(__xludf.DUMMYFUNCTION("""COMPUTED_VALUE"""),14656.07)</f>
        <v/>
      </c>
    </row>
    <row r="2633">
      <c r="J2633">
        <f>IFERROR(__xludf.DUMMYFUNCTION("""COMPUTED_VALUE"""),"St-John's, Newfoundland")</f>
        <v/>
      </c>
      <c r="K2633">
        <f>IFERROR(__xludf.DUMMYFUNCTION("""COMPUTED_VALUE"""),14655.63)</f>
        <v/>
      </c>
    </row>
    <row r="2634">
      <c r="J2634">
        <f>IFERROR(__xludf.DUMMYFUNCTION("""COMPUTED_VALUE"""),"Munich, Germany
Kyiv, Ukraine")</f>
        <v/>
      </c>
      <c r="K2634">
        <f>IFERROR(__xludf.DUMMYFUNCTION("""COMPUTED_VALUE"""),14651.89)</f>
        <v/>
      </c>
    </row>
    <row r="2635">
      <c r="J2635">
        <f>IFERROR(__xludf.DUMMYFUNCTION("""COMPUTED_VALUE"""),"Mauritius")</f>
        <v/>
      </c>
      <c r="K2635">
        <f>IFERROR(__xludf.DUMMYFUNCTION("""COMPUTED_VALUE"""),14648.04)</f>
        <v/>
      </c>
    </row>
    <row r="2636">
      <c r="J2636">
        <f>IFERROR(__xludf.DUMMYFUNCTION("""COMPUTED_VALUE"""),"Toronto, Ontario, Canada; Montréal, Quebec, Canada")</f>
        <v/>
      </c>
      <c r="K2636">
        <f>IFERROR(__xludf.DUMMYFUNCTION("""COMPUTED_VALUE"""),14646.4499999999)</f>
        <v/>
      </c>
    </row>
    <row r="2637">
      <c r="J2637">
        <f>IFERROR(__xludf.DUMMYFUNCTION("""COMPUTED_VALUE"""),"Beijing - Toronto - Beijing")</f>
        <v/>
      </c>
      <c r="K2637">
        <f>IFERROR(__xludf.DUMMYFUNCTION("""COMPUTED_VALUE"""),14643.15)</f>
        <v/>
      </c>
    </row>
    <row r="2638">
      <c r="J2638">
        <f>IFERROR(__xludf.DUMMYFUNCTION("""COMPUTED_VALUE"""),"Wendake, Quebec, Canada")</f>
        <v/>
      </c>
      <c r="K2638">
        <f>IFERROR(__xludf.DUMMYFUNCTION("""COMPUTED_VALUE"""),14639.87)</f>
        <v/>
      </c>
    </row>
    <row r="2639">
      <c r="J2639">
        <f>IFERROR(__xludf.DUMMYFUNCTION("""COMPUTED_VALUE"""),"Vancouver, British Columbia, Canada; Ottawa, Ontario, Canada; Gatineau, Quebec, Canada")</f>
        <v/>
      </c>
      <c r="K2639">
        <f>IFERROR(__xludf.DUMMYFUNCTION("""COMPUTED_VALUE"""),14637.99)</f>
        <v/>
      </c>
    </row>
    <row r="2640">
      <c r="J2640">
        <f>IFERROR(__xludf.DUMMYFUNCTION("""COMPUTED_VALUE"""),"Los Angeles,San Francisco")</f>
        <v/>
      </c>
      <c r="K2640">
        <f>IFERROR(__xludf.DUMMYFUNCTION("""COMPUTED_VALUE"""),14629.38)</f>
        <v/>
      </c>
    </row>
    <row r="2641">
      <c r="J2641">
        <f>IFERROR(__xludf.DUMMYFUNCTION("""COMPUTED_VALUE"""),"Johannesburg, South Africa; Maputo and Vilankulos, Mozambique")</f>
        <v/>
      </c>
      <c r="K2641">
        <f>IFERROR(__xludf.DUMMYFUNCTION("""COMPUTED_VALUE"""),14626.56)</f>
        <v/>
      </c>
    </row>
    <row r="2642">
      <c r="J2642">
        <f>IFERROR(__xludf.DUMMYFUNCTION("""COMPUTED_VALUE"""),"Berlin, Paris, Rome, Copenhagen and Brussels")</f>
        <v/>
      </c>
      <c r="K2642">
        <f>IFERROR(__xludf.DUMMYFUNCTION("""COMPUTED_VALUE"""),14625.59)</f>
        <v/>
      </c>
    </row>
    <row r="2643">
      <c r="J2643">
        <f>IFERROR(__xludf.DUMMYFUNCTION("""COMPUTED_VALUE"""),"Vancouver and Prince George, British Columbia")</f>
        <v/>
      </c>
      <c r="K2643">
        <f>IFERROR(__xludf.DUMMYFUNCTION("""COMPUTED_VALUE"""),14625.2299999999)</f>
        <v/>
      </c>
    </row>
    <row r="2644">
      <c r="J2644">
        <f>IFERROR(__xludf.DUMMYFUNCTION("""COMPUTED_VALUE"""),"London, United Kingdom; Paris, France; Brussels, Belgium; Berlin, Germany")</f>
        <v/>
      </c>
      <c r="K2644">
        <f>IFERROR(__xludf.DUMMYFUNCTION("""COMPUTED_VALUE"""),14618.23)</f>
        <v/>
      </c>
    </row>
    <row r="2645">
      <c r="J2645">
        <f>IFERROR(__xludf.DUMMYFUNCTION("""COMPUTED_VALUE"""),"Cartagena, Colombia")</f>
        <v/>
      </c>
      <c r="K2645">
        <f>IFERROR(__xludf.DUMMYFUNCTION("""COMPUTED_VALUE"""),14616.9)</f>
        <v/>
      </c>
    </row>
    <row r="2646">
      <c r="J2646">
        <f>IFERROR(__xludf.DUMMYFUNCTION("""COMPUTED_VALUE"""),"London, UK.")</f>
        <v/>
      </c>
      <c r="K2646">
        <f>IFERROR(__xludf.DUMMYFUNCTION("""COMPUTED_VALUE"""),14615.71)</f>
        <v/>
      </c>
    </row>
    <row r="2647">
      <c r="J2647">
        <f>IFERROR(__xludf.DUMMYFUNCTION("""COMPUTED_VALUE"""),"Winnipeg, Manitoba, Canada; London, United Kingdom")</f>
        <v/>
      </c>
      <c r="K2647">
        <f>IFERROR(__xludf.DUMMYFUNCTION("""COMPUTED_VALUE"""),14610.51)</f>
        <v/>
      </c>
    </row>
    <row r="2648">
      <c r="J2648">
        <f>IFERROR(__xludf.DUMMYFUNCTION("""COMPUTED_VALUE"""),"London, United Kingdom and Paris, France")</f>
        <v/>
      </c>
      <c r="K2648">
        <f>IFERROR(__xludf.DUMMYFUNCTION("""COMPUTED_VALUE"""),14606.44)</f>
        <v/>
      </c>
    </row>
    <row r="2649">
      <c r="J2649">
        <f>IFERROR(__xludf.DUMMYFUNCTION("""COMPUTED_VALUE"""),"Vancouver, Victoria")</f>
        <v/>
      </c>
      <c r="K2649">
        <f>IFERROR(__xludf.DUMMYFUNCTION("""COMPUTED_VALUE"""),14605.7)</f>
        <v/>
      </c>
    </row>
    <row r="2650">
      <c r="J2650">
        <f>IFERROR(__xludf.DUMMYFUNCTION("""COMPUTED_VALUE"""),"ATHENS (GREECE), BERLIN (GERMANY)AND PARIS (FRANCE)")</f>
        <v/>
      </c>
      <c r="K2650">
        <f>IFERROR(__xludf.DUMMYFUNCTION("""COMPUTED_VALUE"""),14603.93)</f>
        <v/>
      </c>
    </row>
    <row r="2651">
      <c r="J2651">
        <f>IFERROR(__xludf.DUMMYFUNCTION("""COMPUTED_VALUE"""),"Toronto, Ontario &amp; Leipzig, Germany")</f>
        <v/>
      </c>
      <c r="K2651">
        <f>IFERROR(__xludf.DUMMYFUNCTION("""COMPUTED_VALUE"""),14603.64)</f>
        <v/>
      </c>
    </row>
    <row r="2652">
      <c r="J2652">
        <f>IFERROR(__xludf.DUMMYFUNCTION("""COMPUTED_VALUE"""),"Frankfurt, Germany and Brussels, Belgium")</f>
        <v/>
      </c>
      <c r="K2652">
        <f>IFERROR(__xludf.DUMMYFUNCTION("""COMPUTED_VALUE"""),14601.73)</f>
        <v/>
      </c>
    </row>
    <row r="2653">
      <c r="J2653">
        <f>IFERROR(__xludf.DUMMYFUNCTION("""COMPUTED_VALUE"""),"Santiago")</f>
        <v/>
      </c>
      <c r="K2653">
        <f>IFERROR(__xludf.DUMMYFUNCTION("""COMPUTED_VALUE"""),14589.3699999999)</f>
        <v/>
      </c>
    </row>
    <row r="2654">
      <c r="J2654">
        <f>IFERROR(__xludf.DUMMYFUNCTION("""COMPUTED_VALUE"""),"London, United Kingdom / Istanbul and Ankara, Turkey / Accra, Ghana")</f>
        <v/>
      </c>
      <c r="K2654">
        <f>IFERROR(__xludf.DUMMYFUNCTION("""COMPUTED_VALUE"""),14585.04)</f>
        <v/>
      </c>
    </row>
    <row r="2655">
      <c r="J2655">
        <f>IFERROR(__xludf.DUMMYFUNCTION("""COMPUTED_VALUE"""),"Korea, Mongolia, Vietnam")</f>
        <v/>
      </c>
      <c r="K2655">
        <f>IFERROR(__xludf.DUMMYFUNCTION("""COMPUTED_VALUE"""),14583.76)</f>
        <v/>
      </c>
    </row>
    <row r="2656">
      <c r="J2656">
        <f>IFERROR(__xludf.DUMMYFUNCTION("""COMPUTED_VALUE"""),"Felix Meritis, Amsterdam, The Netherlands")</f>
        <v/>
      </c>
      <c r="K2656">
        <f>IFERROR(__xludf.DUMMYFUNCTION("""COMPUTED_VALUE"""),14573.74)</f>
        <v/>
      </c>
    </row>
    <row r="2657">
      <c r="J2657">
        <f>IFERROR(__xludf.DUMMYFUNCTION("""COMPUTED_VALUE"""),"Tel Aviv, Israel; Cairo, Egypt; Kowloon, Hong Kong; Tayiuan, China; Beijing, China")</f>
        <v/>
      </c>
      <c r="K2657">
        <f>IFERROR(__xludf.DUMMYFUNCTION("""COMPUTED_VALUE"""),14567.52)</f>
        <v/>
      </c>
    </row>
    <row r="2658">
      <c r="J2658">
        <f>IFERROR(__xludf.DUMMYFUNCTION("""COMPUTED_VALUE"""),"Shanghai, China / Beijing, China / Qingdao, China")</f>
        <v/>
      </c>
      <c r="K2658">
        <f>IFERROR(__xludf.DUMMYFUNCTION("""COMPUTED_VALUE"""),14566.16)</f>
        <v/>
      </c>
    </row>
    <row r="2659">
      <c r="J2659">
        <f>IFERROR(__xludf.DUMMYFUNCTION("""COMPUTED_VALUE"""),"Windhoek, Namibia, and Addis Ababa, Ethiopia")</f>
        <v/>
      </c>
      <c r="K2659">
        <f>IFERROR(__xludf.DUMMYFUNCTION("""COMPUTED_VALUE"""),14565.75)</f>
        <v/>
      </c>
    </row>
    <row r="2660">
      <c r="J2660">
        <f>IFERROR(__xludf.DUMMYFUNCTION("""COMPUTED_VALUE"""),"Mumbai, India and Seoul, Korea")</f>
        <v/>
      </c>
      <c r="K2660">
        <f>IFERROR(__xludf.DUMMYFUNCTION("""COMPUTED_VALUE"""),14564.04)</f>
        <v/>
      </c>
    </row>
    <row r="2661">
      <c r="J2661">
        <f>IFERROR(__xludf.DUMMYFUNCTION("""COMPUTED_VALUE"""),"Montréal, Quebec, Canada; Winnipeg, Manitoba, Canada")</f>
        <v/>
      </c>
      <c r="K2661">
        <f>IFERROR(__xludf.DUMMYFUNCTION("""COMPUTED_VALUE"""),14561.7899999999)</f>
        <v/>
      </c>
    </row>
    <row r="2662">
      <c r="J2662">
        <f>IFERROR(__xludf.DUMMYFUNCTION("""COMPUTED_VALUE"""),"Ottawa and Calgary")</f>
        <v/>
      </c>
      <c r="K2662">
        <f>IFERROR(__xludf.DUMMYFUNCTION("""COMPUTED_VALUE"""),14555.36)</f>
        <v/>
      </c>
    </row>
    <row r="2663">
      <c r="J2663">
        <f>IFERROR(__xludf.DUMMYFUNCTION("""COMPUTED_VALUE"""),"Mexico City, Mexico
Bogota, Colombia
Cali, Colombia
Quito, Ecuador
Lima, Peru
Santiago, Chile")</f>
        <v/>
      </c>
      <c r="K2663">
        <f>IFERROR(__xludf.DUMMYFUNCTION("""COMPUTED_VALUE"""),14554.9)</f>
        <v/>
      </c>
    </row>
    <row r="2664">
      <c r="J2664">
        <f>IFERROR(__xludf.DUMMYFUNCTION("""COMPUTED_VALUE"""),"ARRAS, FRANCE")</f>
        <v/>
      </c>
      <c r="K2664">
        <f>IFERROR(__xludf.DUMMYFUNCTION("""COMPUTED_VALUE"""),14547.98)</f>
        <v/>
      </c>
    </row>
    <row r="2665">
      <c r="J2665">
        <f>IFERROR(__xludf.DUMMYFUNCTION("""COMPUTED_VALUE"""),"Paris Madrid, n/a, France Spain")</f>
        <v/>
      </c>
      <c r="K2665">
        <f>IFERROR(__xludf.DUMMYFUNCTION("""COMPUTED_VALUE"""),14546.66)</f>
        <v/>
      </c>
    </row>
    <row r="2666">
      <c r="J2666">
        <f>IFERROR(__xludf.DUMMYFUNCTION("""COMPUTED_VALUE"""),"Ukraine/Israel")</f>
        <v/>
      </c>
      <c r="K2666">
        <f>IFERROR(__xludf.DUMMYFUNCTION("""COMPUTED_VALUE"""),14544.97)</f>
        <v/>
      </c>
    </row>
    <row r="2667">
      <c r="J2667">
        <f>IFERROR(__xludf.DUMMYFUNCTION("""COMPUTED_VALUE"""),"Tokyo, JapanMiyazaki, JapanSingapore")</f>
        <v/>
      </c>
      <c r="K2667">
        <f>IFERROR(__xludf.DUMMYFUNCTION("""COMPUTED_VALUE"""),14542.27)</f>
        <v/>
      </c>
    </row>
    <row r="2668">
      <c r="J2668">
        <f>IFERROR(__xludf.DUMMYFUNCTION("""COMPUTED_VALUE"""),"Washington Copenhagen Nuuk, USA Denmark Greenland")</f>
        <v/>
      </c>
      <c r="K2668">
        <f>IFERROR(__xludf.DUMMYFUNCTION("""COMPUTED_VALUE"""),14539.2)</f>
        <v/>
      </c>
    </row>
    <row r="2669">
      <c r="J2669">
        <f>IFERROR(__xludf.DUMMYFUNCTION("""COMPUTED_VALUE"""),"Calgary, Alberta, Canada and Venice, Italy, Europe")</f>
        <v/>
      </c>
      <c r="K2669">
        <f>IFERROR(__xludf.DUMMYFUNCTION("""COMPUTED_VALUE"""),14537.36)</f>
        <v/>
      </c>
    </row>
    <row r="2670">
      <c r="J2670">
        <f>IFERROR(__xludf.DUMMYFUNCTION("""COMPUTED_VALUE"""),"Kuwait city, Ramallah and New York")</f>
        <v/>
      </c>
      <c r="K2670">
        <f>IFERROR(__xludf.DUMMYFUNCTION("""COMPUTED_VALUE"""),14534.07)</f>
        <v/>
      </c>
    </row>
    <row r="2671">
      <c r="J2671">
        <f>IFERROR(__xludf.DUMMYFUNCTION("""COMPUTED_VALUE"""),"Pickle Lake, Ontario, Canada; Summer Beaver, Ontario, Canada; Sudbury, Ontario, Canada; Sault Ste. Marie, Ontario, Canada")</f>
        <v/>
      </c>
      <c r="K2671">
        <f>IFERROR(__xludf.DUMMYFUNCTION("""COMPUTED_VALUE"""),14532.3699999999)</f>
        <v/>
      </c>
    </row>
    <row r="2672">
      <c r="J2672">
        <f>IFERROR(__xludf.DUMMYFUNCTION("""COMPUTED_VALUE"""),"United Kingdom, France, Belgium")</f>
        <v/>
      </c>
      <c r="K2672">
        <f>IFERROR(__xludf.DUMMYFUNCTION("""COMPUTED_VALUE"""),14527.56)</f>
        <v/>
      </c>
    </row>
    <row r="2673">
      <c r="J2673">
        <f>IFERROR(__xludf.DUMMYFUNCTION("""COMPUTED_VALUE"""),"Bombay, India; Ahmedabad, India; New Delhi, India")</f>
        <v/>
      </c>
      <c r="K2673">
        <f>IFERROR(__xludf.DUMMYFUNCTION("""COMPUTED_VALUE"""),14526.25)</f>
        <v/>
      </c>
    </row>
    <row r="2674">
      <c r="J2674">
        <f>IFERROR(__xludf.DUMMYFUNCTION("""COMPUTED_VALUE"""),"Norway / Europe")</f>
        <v/>
      </c>
      <c r="K2674">
        <f>IFERROR(__xludf.DUMMYFUNCTION("""COMPUTED_VALUE"""),14525.31)</f>
        <v/>
      </c>
    </row>
    <row r="2675">
      <c r="J2675">
        <f>IFERROR(__xludf.DUMMYFUNCTION("""COMPUTED_VALUE"""),"Managua, Nicaragua")</f>
        <v/>
      </c>
      <c r="K2675">
        <f>IFERROR(__xludf.DUMMYFUNCTION("""COMPUTED_VALUE"""),14525.0799999999)</f>
        <v/>
      </c>
    </row>
    <row r="2676">
      <c r="J2676">
        <f>IFERROR(__xludf.DUMMYFUNCTION("""COMPUTED_VALUE"""),"Moncton, New-Brunswick, Canada")</f>
        <v/>
      </c>
      <c r="K2676">
        <f>IFERROR(__xludf.DUMMYFUNCTION("""COMPUTED_VALUE"""),14522.37)</f>
        <v/>
      </c>
    </row>
    <row r="2677">
      <c r="J2677">
        <f>IFERROR(__xludf.DUMMYFUNCTION("""COMPUTED_VALUE"""),"Washington, District of Columbia, United States
Chicago, Illinois, United States")</f>
        <v/>
      </c>
      <c r="K2677">
        <f>IFERROR(__xludf.DUMMYFUNCTION("""COMPUTED_VALUE"""),14519.99)</f>
        <v/>
      </c>
    </row>
    <row r="2678">
      <c r="J2678">
        <f>IFERROR(__xludf.DUMMYFUNCTION("""COMPUTED_VALUE"""),"(1) Ireland, Dublin, (2) Paris, France, and (3) Antwerp, Belgium")</f>
        <v/>
      </c>
      <c r="K2678">
        <f>IFERROR(__xludf.DUMMYFUNCTION("""COMPUTED_VALUE"""),14517.35)</f>
        <v/>
      </c>
    </row>
    <row r="2679">
      <c r="J2679">
        <f>IFERROR(__xludf.DUMMYFUNCTION("""COMPUTED_VALUE"""),"Lagos, Nigeria, Dubai, United Arab Emirates")</f>
        <v/>
      </c>
      <c r="K2679">
        <f>IFERROR(__xludf.DUMMYFUNCTION("""COMPUTED_VALUE"""),14516.63)</f>
        <v/>
      </c>
    </row>
    <row r="2680">
      <c r="J2680">
        <f>IFERROR(__xludf.DUMMYFUNCTION("""COMPUTED_VALUE"""),"Ottawa Canada")</f>
        <v/>
      </c>
      <c r="K2680">
        <f>IFERROR(__xludf.DUMMYFUNCTION("""COMPUTED_VALUE"""),14512.25)</f>
        <v/>
      </c>
    </row>
    <row r="2681">
      <c r="J2681">
        <f>IFERROR(__xludf.DUMMYFUNCTION("""COMPUTED_VALUE"""),"Shanghai, Hangzhou, Beijing, China")</f>
        <v/>
      </c>
      <c r="K2681">
        <f>IFERROR(__xludf.DUMMYFUNCTION("""COMPUTED_VALUE"""),14509.87)</f>
        <v/>
      </c>
    </row>
    <row r="2682">
      <c r="J2682">
        <f>IFERROR(__xludf.DUMMYFUNCTION("""COMPUTED_VALUE"""),"Paris, FR / Toulouse, FR")</f>
        <v/>
      </c>
      <c r="K2682">
        <f>IFERROR(__xludf.DUMMYFUNCTION("""COMPUTED_VALUE"""),14509.15)</f>
        <v/>
      </c>
    </row>
    <row r="2683">
      <c r="J2683">
        <f>IFERROR(__xludf.DUMMYFUNCTION("""COMPUTED_VALUE"""),"Paris and The Hague, France and The Netherlands")</f>
        <v/>
      </c>
      <c r="K2683">
        <f>IFERROR(__xludf.DUMMYFUNCTION("""COMPUTED_VALUE"""),14508.72)</f>
        <v/>
      </c>
    </row>
    <row r="2684">
      <c r="J2684">
        <f>IFERROR(__xludf.DUMMYFUNCTION("""COMPUTED_VALUE"""),"London, England ; Edinburgh, United Kingdom")</f>
        <v/>
      </c>
      <c r="K2684">
        <f>IFERROR(__xludf.DUMMYFUNCTION("""COMPUTED_VALUE"""),14503.2)</f>
        <v/>
      </c>
    </row>
    <row r="2685">
      <c r="J2685">
        <f>IFERROR(__xludf.DUMMYFUNCTION("""COMPUTED_VALUE"""),"New York, US")</f>
        <v/>
      </c>
      <c r="K2685">
        <f>IFERROR(__xludf.DUMMYFUNCTION("""COMPUTED_VALUE"""),14501.68)</f>
        <v/>
      </c>
    </row>
    <row r="2686">
      <c r="J2686">
        <f>IFERROR(__xludf.DUMMYFUNCTION("""COMPUTED_VALUE"""),"London, Turkey")</f>
        <v/>
      </c>
      <c r="K2686">
        <f>IFERROR(__xludf.DUMMYFUNCTION("""COMPUTED_VALUE"""),14492.38)</f>
        <v/>
      </c>
    </row>
    <row r="2687">
      <c r="J2687">
        <f>IFERROR(__xludf.DUMMYFUNCTION("""COMPUTED_VALUE"""),"Toko, Japan")</f>
        <v/>
      </c>
      <c r="K2687">
        <f>IFERROR(__xludf.DUMMYFUNCTION("""COMPUTED_VALUE"""),14490.15)</f>
        <v/>
      </c>
    </row>
    <row r="2688">
      <c r="J2688">
        <f>IFERROR(__xludf.DUMMYFUNCTION("""COMPUTED_VALUE"""),"Bonn, Germany.")</f>
        <v/>
      </c>
      <c r="K2688">
        <f>IFERROR(__xludf.DUMMYFUNCTION("""COMPUTED_VALUE"""),14484.42)</f>
        <v/>
      </c>
    </row>
    <row r="2689">
      <c r="J2689">
        <f>IFERROR(__xludf.DUMMYFUNCTION("""COMPUTED_VALUE"""),"Dakar &amp; Addis, Africa")</f>
        <v/>
      </c>
      <c r="K2689">
        <f>IFERROR(__xludf.DUMMYFUNCTION("""COMPUTED_VALUE"""),14483.8)</f>
        <v/>
      </c>
    </row>
    <row r="2690">
      <c r="J2690">
        <f>IFERROR(__xludf.DUMMYFUNCTION("""COMPUTED_VALUE"""),"Geneva, Switzerland / London, England")</f>
        <v/>
      </c>
      <c r="K2690">
        <f>IFERROR(__xludf.DUMMYFUNCTION("""COMPUTED_VALUE"""),14479.55)</f>
        <v/>
      </c>
    </row>
    <row r="2691">
      <c r="J2691">
        <f>IFERROR(__xludf.DUMMYFUNCTION("""COMPUTED_VALUE"""),"Kuwait City")</f>
        <v/>
      </c>
      <c r="K2691">
        <f>IFERROR(__xludf.DUMMYFUNCTION("""COMPUTED_VALUE"""),14478.41)</f>
        <v/>
      </c>
    </row>
    <row r="2692">
      <c r="J2692">
        <f>IFERROR(__xludf.DUMMYFUNCTION("""COMPUTED_VALUE"""),"Montreal - New York City - Victoria - Vancouver - Edmonton - Toronto")</f>
        <v/>
      </c>
      <c r="K2692">
        <f>IFERROR(__xludf.DUMMYFUNCTION("""COMPUTED_VALUE"""),14475.34)</f>
        <v/>
      </c>
    </row>
    <row r="2693">
      <c r="J2693">
        <f>IFERROR(__xludf.DUMMYFUNCTION("""COMPUTED_VALUE"""),"Denpasar-Bali (Indonesia)")</f>
        <v/>
      </c>
      <c r="K2693">
        <f>IFERROR(__xludf.DUMMYFUNCTION("""COMPUTED_VALUE"""),14469)</f>
        <v/>
      </c>
    </row>
    <row r="2694">
      <c r="J2694">
        <f>IFERROR(__xludf.DUMMYFUNCTION("""COMPUTED_VALUE"""),"Hyderdad, Mumbai and Delhi")</f>
        <v/>
      </c>
      <c r="K2694">
        <f>IFERROR(__xludf.DUMMYFUNCTION("""COMPUTED_VALUE"""),14466.58)</f>
        <v/>
      </c>
    </row>
    <row r="2695">
      <c r="J2695">
        <f>IFERROR(__xludf.DUMMYFUNCTION("""COMPUTED_VALUE"""),"St.John's, Newfoundland, Canada")</f>
        <v/>
      </c>
      <c r="K2695">
        <f>IFERROR(__xludf.DUMMYFUNCTION("""COMPUTED_VALUE"""),14461.3699999999)</f>
        <v/>
      </c>
    </row>
    <row r="2696">
      <c r="J2696">
        <f>IFERROR(__xludf.DUMMYFUNCTION("""COMPUTED_VALUE"""),"Milton, Ontario, Canada")</f>
        <v/>
      </c>
      <c r="K2696">
        <f>IFERROR(__xludf.DUMMYFUNCTION("""COMPUTED_VALUE"""),14459.42)</f>
        <v/>
      </c>
    </row>
    <row r="2697">
      <c r="J2697">
        <f>IFERROR(__xludf.DUMMYFUNCTION("""COMPUTED_VALUE"""),"Wellington, NZ")</f>
        <v/>
      </c>
      <c r="K2697">
        <f>IFERROR(__xludf.DUMMYFUNCTION("""COMPUTED_VALUE"""),14457.46)</f>
        <v/>
      </c>
    </row>
    <row r="2698">
      <c r="J2698">
        <f>IFERROR(__xludf.DUMMYFUNCTION("""COMPUTED_VALUE"""),"Sault Ste. Marie, ON")</f>
        <v/>
      </c>
      <c r="K2698">
        <f>IFERROR(__xludf.DUMMYFUNCTION("""COMPUTED_VALUE"""),14454.41)</f>
        <v/>
      </c>
    </row>
    <row r="2699">
      <c r="J2699">
        <f>IFERROR(__xludf.DUMMYFUNCTION("""COMPUTED_VALUE"""),"Washington,DC")</f>
        <v/>
      </c>
      <c r="K2699">
        <f>IFERROR(__xludf.DUMMYFUNCTION("""COMPUTED_VALUE"""),14453.01)</f>
        <v/>
      </c>
    </row>
    <row r="2700">
      <c r="J2700">
        <f>IFERROR(__xludf.DUMMYFUNCTION("""COMPUTED_VALUE"""),"Pittsburgh, USA")</f>
        <v/>
      </c>
      <c r="K2700">
        <f>IFERROR(__xludf.DUMMYFUNCTION("""COMPUTED_VALUE"""),14452.13)</f>
        <v/>
      </c>
    </row>
    <row r="2701">
      <c r="J2701">
        <f>IFERROR(__xludf.DUMMYFUNCTION("""COMPUTED_VALUE"""),"Vancouver, Toronto")</f>
        <v/>
      </c>
      <c r="K2701">
        <f>IFERROR(__xludf.DUMMYFUNCTION("""COMPUTED_VALUE"""),14448.0199999999)</f>
        <v/>
      </c>
    </row>
    <row r="2702">
      <c r="J2702">
        <f>IFERROR(__xludf.DUMMYFUNCTION("""COMPUTED_VALUE"""),"Geveva, Switzerland")</f>
        <v/>
      </c>
      <c r="K2702">
        <f>IFERROR(__xludf.DUMMYFUNCTION("""COMPUTED_VALUE"""),14439.22)</f>
        <v/>
      </c>
    </row>
    <row r="2703">
      <c r="J2703">
        <f>IFERROR(__xludf.DUMMYFUNCTION("""COMPUTED_VALUE"""),"Stockholm, Copenhagen, Paris, Prague and Dubrovnik")</f>
        <v/>
      </c>
      <c r="K2703">
        <f>IFERROR(__xludf.DUMMYFUNCTION("""COMPUTED_VALUE"""),14439.01)</f>
        <v/>
      </c>
    </row>
    <row r="2704">
      <c r="J2704">
        <f>IFERROR(__xludf.DUMMYFUNCTION("""COMPUTED_VALUE"""),"Honolulu, Hawaii &amp; Miami Florida (USA)")</f>
        <v/>
      </c>
      <c r="K2704">
        <f>IFERROR(__xludf.DUMMYFUNCTION("""COMPUTED_VALUE"""),14436.06)</f>
        <v/>
      </c>
    </row>
    <row r="2705">
      <c r="J2705">
        <f>IFERROR(__xludf.DUMMYFUNCTION("""COMPUTED_VALUE"""),"To,Be,Defined")</f>
        <v/>
      </c>
      <c r="K2705">
        <f>IFERROR(__xludf.DUMMYFUNCTION("""COMPUTED_VALUE"""),14431.0399999999)</f>
        <v/>
      </c>
    </row>
    <row r="2706">
      <c r="J2706">
        <f>IFERROR(__xludf.DUMMYFUNCTION("""COMPUTED_VALUE"""),"Abu Dhabi and Kuwait")</f>
        <v/>
      </c>
      <c r="K2706">
        <f>IFERROR(__xludf.DUMMYFUNCTION("""COMPUTED_VALUE"""),14422.43)</f>
        <v/>
      </c>
    </row>
    <row r="2707">
      <c r="J2707">
        <f>IFERROR(__xludf.DUMMYFUNCTION("""COMPUTED_VALUE"""),"London, United Kingdom and Cartagena, Spain")</f>
        <v/>
      </c>
      <c r="K2707">
        <f>IFERROR(__xludf.DUMMYFUNCTION("""COMPUTED_VALUE"""),14420.94)</f>
        <v/>
      </c>
    </row>
    <row r="2708">
      <c r="J2708">
        <f>IFERROR(__xludf.DUMMYFUNCTION("""COMPUTED_VALUE"""),"Abbotsford, British Columbia;
Saskatoon, Saskatchewan")</f>
        <v/>
      </c>
      <c r="K2708">
        <f>IFERROR(__xludf.DUMMYFUNCTION("""COMPUTED_VALUE"""),14419.26)</f>
        <v/>
      </c>
    </row>
    <row r="2709">
      <c r="J2709">
        <f>IFERROR(__xludf.DUMMYFUNCTION("""COMPUTED_VALUE"""),"Kenya and Sudan")</f>
        <v/>
      </c>
      <c r="K2709">
        <f>IFERROR(__xludf.DUMMYFUNCTION("""COMPUTED_VALUE"""),14414.39)</f>
        <v/>
      </c>
    </row>
    <row r="2710">
      <c r="J2710">
        <f>IFERROR(__xludf.DUMMYFUNCTION("""COMPUTED_VALUE"""),"Tokyo, Japan/ Hanoi, Vietnam")</f>
        <v/>
      </c>
      <c r="K2710">
        <f>IFERROR(__xludf.DUMMYFUNCTION("""COMPUTED_VALUE"""),14412.58)</f>
        <v/>
      </c>
    </row>
    <row r="2711">
      <c r="J2711">
        <f>IFERROR(__xludf.DUMMYFUNCTION("""COMPUTED_VALUE"""),"London, England and Strasbourg, France")</f>
        <v/>
      </c>
      <c r="K2711">
        <f>IFERROR(__xludf.DUMMYFUNCTION("""COMPUTED_VALUE"""),14412.25)</f>
        <v/>
      </c>
    </row>
    <row r="2712">
      <c r="J2712">
        <f>IFERROR(__xludf.DUMMYFUNCTION("""COMPUTED_VALUE"""),"St-John's, Newfoundland and Labrador, Canada")</f>
        <v/>
      </c>
      <c r="K2712">
        <f>IFERROR(__xludf.DUMMYFUNCTION("""COMPUTED_VALUE"""),14411.49)</f>
        <v/>
      </c>
    </row>
    <row r="2713">
      <c r="J2713">
        <f>IFERROR(__xludf.DUMMYFUNCTION("""COMPUTED_VALUE"""),"London, United Kingdom
Edinburgh, Scotland")</f>
        <v/>
      </c>
      <c r="K2713">
        <f>IFERROR(__xludf.DUMMYFUNCTION("""COMPUTED_VALUE"""),14404)</f>
        <v/>
      </c>
    </row>
    <row r="2714">
      <c r="J2714">
        <f>IFERROR(__xludf.DUMMYFUNCTION("""COMPUTED_VALUE"""),"Middle-East")</f>
        <v/>
      </c>
      <c r="K2714">
        <f>IFERROR(__xludf.DUMMYFUNCTION("""COMPUTED_VALUE"""),14402.02)</f>
        <v/>
      </c>
    </row>
    <row r="2715">
      <c r="J2715">
        <f>IFERROR(__xludf.DUMMYFUNCTION("""COMPUTED_VALUE"""),"Vancouver and Kelowna, British Columbia")</f>
        <v/>
      </c>
      <c r="K2715">
        <f>IFERROR(__xludf.DUMMYFUNCTION("""COMPUTED_VALUE"""),14399.17)</f>
        <v/>
      </c>
    </row>
    <row r="2716">
      <c r="J2716">
        <f>IFERROR(__xludf.DUMMYFUNCTION("""COMPUTED_VALUE"""),"San Salvador")</f>
        <v/>
      </c>
      <c r="K2716">
        <f>IFERROR(__xludf.DUMMYFUNCTION("""COMPUTED_VALUE"""),14398.88)</f>
        <v/>
      </c>
    </row>
    <row r="2717">
      <c r="J2717">
        <f>IFERROR(__xludf.DUMMYFUNCTION("""COMPUTED_VALUE"""),"Albuquerque, New Mexico")</f>
        <v/>
      </c>
      <c r="K2717">
        <f>IFERROR(__xludf.DUMMYFUNCTION("""COMPUTED_VALUE"""),14397.81)</f>
        <v/>
      </c>
    </row>
    <row r="2718">
      <c r="J2718">
        <f>IFERROR(__xludf.DUMMYFUNCTION("""COMPUTED_VALUE"""),"Sydney, AU / Canberra, AU")</f>
        <v/>
      </c>
      <c r="K2718">
        <f>IFERROR(__xludf.DUMMYFUNCTION("""COMPUTED_VALUE"""),14392.32)</f>
        <v/>
      </c>
    </row>
    <row r="2719">
      <c r="J2719">
        <f>IFERROR(__xludf.DUMMYFUNCTION("""COMPUTED_VALUE"""),"Copenhagen and Tallinn, Denmark and Estonia")</f>
        <v/>
      </c>
      <c r="K2719">
        <f>IFERROR(__xludf.DUMMYFUNCTION("""COMPUTED_VALUE"""),14391.77)</f>
        <v/>
      </c>
    </row>
    <row r="2720">
      <c r="J2720">
        <f>IFERROR(__xludf.DUMMYFUNCTION("""COMPUTED_VALUE"""),"Peru, Panama and Colombia")</f>
        <v/>
      </c>
      <c r="K2720">
        <f>IFERROR(__xludf.DUMMYFUNCTION("""COMPUTED_VALUE"""),14387)</f>
        <v/>
      </c>
    </row>
    <row r="2721">
      <c r="J2721">
        <f>IFERROR(__xludf.DUMMYFUNCTION("""COMPUTED_VALUE"""),"Rome, ITALY
Berlin, GERMANY")</f>
        <v/>
      </c>
      <c r="K2721">
        <f>IFERROR(__xludf.DUMMYFUNCTION("""COMPUTED_VALUE"""),14384.46)</f>
        <v/>
      </c>
    </row>
    <row r="2722">
      <c r="J2722">
        <f>IFERROR(__xludf.DUMMYFUNCTION("""COMPUTED_VALUE"""),"Seoul Incheon")</f>
        <v/>
      </c>
      <c r="K2722">
        <f>IFERROR(__xludf.DUMMYFUNCTION("""COMPUTED_VALUE"""),14383.24)</f>
        <v/>
      </c>
    </row>
    <row r="2723">
      <c r="J2723">
        <f>IFERROR(__xludf.DUMMYFUNCTION("""COMPUTED_VALUE"""),"Calgary, Banff, Vancouver, Victoria, London (England)")</f>
        <v/>
      </c>
      <c r="K2723">
        <f>IFERROR(__xludf.DUMMYFUNCTION("""COMPUTED_VALUE"""),14381.2)</f>
        <v/>
      </c>
    </row>
    <row r="2724">
      <c r="J2724">
        <f>IFERROR(__xludf.DUMMYFUNCTION("""COMPUTED_VALUE"""),"Wellington (NZ) 
Vancouver (BC)")</f>
        <v/>
      </c>
      <c r="K2724">
        <f>IFERROR(__xludf.DUMMYFUNCTION("""COMPUTED_VALUE"""),14379.59)</f>
        <v/>
      </c>
    </row>
    <row r="2725">
      <c r="J2725">
        <f>IFERROR(__xludf.DUMMYFUNCTION("""COMPUTED_VALUE"""),"Seoul, South Korea &amp; Tokyo, Japan")</f>
        <v/>
      </c>
      <c r="K2725">
        <f>IFERROR(__xludf.DUMMYFUNCTION("""COMPUTED_VALUE"""),14379.18)</f>
        <v/>
      </c>
    </row>
    <row r="2726">
      <c r="J2726">
        <f>IFERROR(__xludf.DUMMYFUNCTION("""COMPUTED_VALUE"""),"Tokyo, Japan; Seoul, South Korea")</f>
        <v/>
      </c>
      <c r="K2726">
        <f>IFERROR(__xludf.DUMMYFUNCTION("""COMPUTED_VALUE"""),14375.91)</f>
        <v/>
      </c>
    </row>
    <row r="2727">
      <c r="J2727">
        <f>IFERROR(__xludf.DUMMYFUNCTION("""COMPUTED_VALUE"""),"Banff &amp; Calgary, Alberta; Miami, Florida; Washington, District of Columbia; Guatemala, Republic of Guatemala; Jamaica")</f>
        <v/>
      </c>
      <c r="K2727">
        <f>IFERROR(__xludf.DUMMYFUNCTION("""COMPUTED_VALUE"""),14369.82)</f>
        <v/>
      </c>
    </row>
    <row r="2728">
      <c r="J2728">
        <f>IFERROR(__xludf.DUMMYFUNCTION("""COMPUTED_VALUE"""),"Ningbo (China) and Moscow (Russia)")</f>
        <v/>
      </c>
      <c r="K2728">
        <f>IFERROR(__xludf.DUMMYFUNCTION("""COMPUTED_VALUE"""),14367)</f>
        <v/>
      </c>
    </row>
    <row r="2729">
      <c r="J2729">
        <f>IFERROR(__xludf.DUMMYFUNCTION("""COMPUTED_VALUE"""),"Tokyo, Koriyama, Japan")</f>
        <v/>
      </c>
      <c r="K2729">
        <f>IFERROR(__xludf.DUMMYFUNCTION("""COMPUTED_VALUE"""),14366.48)</f>
        <v/>
      </c>
    </row>
    <row r="2730">
      <c r="J2730">
        <f>IFERROR(__xludf.DUMMYFUNCTION("""COMPUTED_VALUE"""),"Mali/ Morocco")</f>
        <v/>
      </c>
      <c r="K2730">
        <f>IFERROR(__xludf.DUMMYFUNCTION("""COMPUTED_VALUE"""),14362.36)</f>
        <v/>
      </c>
    </row>
    <row r="2731">
      <c r="J2731">
        <f>IFERROR(__xludf.DUMMYFUNCTION("""COMPUTED_VALUE"""),"Frankfurt, Germany
Vienna, Austria")</f>
        <v/>
      </c>
      <c r="K2731">
        <f>IFERROR(__xludf.DUMMYFUNCTION("""COMPUTED_VALUE"""),14357.32)</f>
        <v/>
      </c>
    </row>
    <row r="2732">
      <c r="J2732">
        <f>IFERROR(__xludf.DUMMYFUNCTION("""COMPUTED_VALUE"""),"London, United Kingdom and Moscow, Russia")</f>
        <v/>
      </c>
      <c r="K2732">
        <f>IFERROR(__xludf.DUMMYFUNCTION("""COMPUTED_VALUE"""),14353.45)</f>
        <v/>
      </c>
    </row>
    <row r="2733">
      <c r="J2733">
        <f>IFERROR(__xludf.DUMMYFUNCTION("""COMPUTED_VALUE"""),"Ottawa, Frankfurt, Montreal")</f>
        <v/>
      </c>
      <c r="K2733">
        <f>IFERROR(__xludf.DUMMYFUNCTION("""COMPUTED_VALUE"""),14349.62)</f>
        <v/>
      </c>
    </row>
    <row r="2734">
      <c r="J2734">
        <f>IFERROR(__xludf.DUMMYFUNCTION("""COMPUTED_VALUE"""),"Tel Aviv, Israel - Jerusalem, Israel")</f>
        <v/>
      </c>
      <c r="K2734">
        <f>IFERROR(__xludf.DUMMYFUNCTION("""COMPUTED_VALUE"""),14345.08)</f>
        <v/>
      </c>
    </row>
    <row r="2735">
      <c r="J2735">
        <f>IFERROR(__xludf.DUMMYFUNCTION("""COMPUTED_VALUE"""),"Mongolia")</f>
        <v/>
      </c>
      <c r="K2735">
        <f>IFERROR(__xludf.DUMMYFUNCTION("""COMPUTED_VALUE"""),14344)</f>
        <v/>
      </c>
    </row>
    <row r="2736">
      <c r="J2736">
        <f>IFERROR(__xludf.DUMMYFUNCTION("""COMPUTED_VALUE"""),"Suzhou, China")</f>
        <v/>
      </c>
      <c r="K2736">
        <f>IFERROR(__xludf.DUMMYFUNCTION("""COMPUTED_VALUE"""),14338.48)</f>
        <v/>
      </c>
    </row>
    <row r="2737">
      <c r="J2737">
        <f>IFERROR(__xludf.DUMMYFUNCTION("""COMPUTED_VALUE"""),"Capetown and Amsterdam")</f>
        <v/>
      </c>
      <c r="K2737">
        <f>IFERROR(__xludf.DUMMYFUNCTION("""COMPUTED_VALUE"""),14338.07)</f>
        <v/>
      </c>
    </row>
    <row r="2738">
      <c r="J2738">
        <f>IFERROR(__xludf.DUMMYFUNCTION("""COMPUTED_VALUE"""),"Mexico City, Mexico Panama City, Panama Quito, Ecuador")</f>
        <v/>
      </c>
      <c r="K2738">
        <f>IFERROR(__xludf.DUMMYFUNCTION("""COMPUTED_VALUE"""),14330.08)</f>
        <v/>
      </c>
    </row>
    <row r="2739">
      <c r="J2739">
        <f>IFERROR(__xludf.DUMMYFUNCTION("""COMPUTED_VALUE"""),"Portland, Oregon and Sun Valley, Boise, Idaho")</f>
        <v/>
      </c>
      <c r="K2739">
        <f>IFERROR(__xludf.DUMMYFUNCTION("""COMPUTED_VALUE"""),14327.66)</f>
        <v/>
      </c>
    </row>
    <row r="2740">
      <c r="J2740">
        <f>IFERROR(__xludf.DUMMYFUNCTION("""COMPUTED_VALUE"""),"Paris, Berlin, London")</f>
        <v/>
      </c>
      <c r="K2740">
        <f>IFERROR(__xludf.DUMMYFUNCTION("""COMPUTED_VALUE"""),14327.57)</f>
        <v/>
      </c>
    </row>
    <row r="2741">
      <c r="J2741">
        <f>IFERROR(__xludf.DUMMYFUNCTION("""COMPUTED_VALUE"""),"Berlin and Poland")</f>
        <v/>
      </c>
      <c r="K2741">
        <f>IFERROR(__xludf.DUMMYFUNCTION("""COMPUTED_VALUE"""),14326.28)</f>
        <v/>
      </c>
    </row>
    <row r="2742">
      <c r="J2742">
        <f>IFERROR(__xludf.DUMMYFUNCTION("""COMPUTED_VALUE"""),"Vienna, Austria; Brussels, Belgium; Tunis, Tunisia; Jeddah, Saudi Arabia; and Cairo, Egypt")</f>
        <v/>
      </c>
      <c r="K2742">
        <f>IFERROR(__xludf.DUMMYFUNCTION("""COMPUTED_VALUE"""),14326.01)</f>
        <v/>
      </c>
    </row>
    <row r="2743">
      <c r="J2743">
        <f>IFERROR(__xludf.DUMMYFUNCTION("""COMPUTED_VALUE"""),"Kyiev, Paris and Brussels")</f>
        <v/>
      </c>
      <c r="K2743">
        <f>IFERROR(__xludf.DUMMYFUNCTION("""COMPUTED_VALUE"""),14320.64)</f>
        <v/>
      </c>
    </row>
    <row r="2744">
      <c r="J2744">
        <f>IFERROR(__xludf.DUMMYFUNCTION("""COMPUTED_VALUE"""),"Krakow (Poland) and Riga (Latvia)")</f>
        <v/>
      </c>
      <c r="K2744">
        <f>IFERROR(__xludf.DUMMYFUNCTION("""COMPUTED_VALUE"""),14317.7)</f>
        <v/>
      </c>
    </row>
    <row r="2745">
      <c r="J2745">
        <f>IFERROR(__xludf.DUMMYFUNCTION("""COMPUTED_VALUE"""),"Roma, Italy")</f>
        <v/>
      </c>
      <c r="K2745">
        <f>IFERROR(__xludf.DUMMYFUNCTION("""COMPUTED_VALUE"""),14316.72)</f>
        <v/>
      </c>
    </row>
    <row r="2746">
      <c r="J2746">
        <f>IFERROR(__xludf.DUMMYFUNCTION("""COMPUTED_VALUE"""),"Belgium and Norway")</f>
        <v/>
      </c>
      <c r="K2746">
        <f>IFERROR(__xludf.DUMMYFUNCTION("""COMPUTED_VALUE"""),14316.44)</f>
        <v/>
      </c>
    </row>
    <row r="2747">
      <c r="J2747">
        <f>IFERROR(__xludf.DUMMYFUNCTION("""COMPUTED_VALUE"""),"Lisbon, Madrid, Warsaw, Tallinn, Brussels, Dublin")</f>
        <v/>
      </c>
      <c r="K2747">
        <f>IFERROR(__xludf.DUMMYFUNCTION("""COMPUTED_VALUE"""),14310.35)</f>
        <v/>
      </c>
    </row>
    <row r="2748">
      <c r="J2748">
        <f>IFERROR(__xludf.DUMMYFUNCTION("""COMPUTED_VALUE"""),"Manchester, United Kingdom")</f>
        <v/>
      </c>
      <c r="K2748">
        <f>IFERROR(__xludf.DUMMYFUNCTION("""COMPUTED_VALUE"""),14309.2)</f>
        <v/>
      </c>
    </row>
    <row r="2749">
      <c r="J2749">
        <f>IFERROR(__xludf.DUMMYFUNCTION("""COMPUTED_VALUE"""),"Germany,Latvia,Norway,Denmark,Belgium")</f>
        <v/>
      </c>
      <c r="K2749">
        <f>IFERROR(__xludf.DUMMYFUNCTION("""COMPUTED_VALUE"""),14308.08)</f>
        <v/>
      </c>
    </row>
    <row r="2750">
      <c r="J2750">
        <f>IFERROR(__xludf.DUMMYFUNCTION("""COMPUTED_VALUE"""),"Paris, France and London, United Kingdom")</f>
        <v/>
      </c>
      <c r="K2750">
        <f>IFERROR(__xludf.DUMMYFUNCTION("""COMPUTED_VALUE"""),14294.22)</f>
        <v/>
      </c>
    </row>
    <row r="2751">
      <c r="J2751">
        <f>IFERROR(__xludf.DUMMYFUNCTION("""COMPUTED_VALUE"""),"Bangkok, Thailand  and Frankfurt, Germany")</f>
        <v/>
      </c>
      <c r="K2751">
        <f>IFERROR(__xludf.DUMMYFUNCTION("""COMPUTED_VALUE"""),14292.97)</f>
        <v/>
      </c>
    </row>
    <row r="2752">
      <c r="J2752">
        <f>IFERROR(__xludf.DUMMYFUNCTION("""COMPUTED_VALUE"""),"Washington, DC
Rio de Janeiro, BZ")</f>
        <v/>
      </c>
      <c r="K2752">
        <f>IFERROR(__xludf.DUMMYFUNCTION("""COMPUTED_VALUE"""),14290.46)</f>
        <v/>
      </c>
    </row>
    <row r="2753">
      <c r="J2753">
        <f>IFERROR(__xludf.DUMMYFUNCTION("""COMPUTED_VALUE"""),"Washington, DC, USA
Rio de Janeiro, BZ")</f>
        <v/>
      </c>
      <c r="K2753">
        <f>IFERROR(__xludf.DUMMYFUNCTION("""COMPUTED_VALUE"""),14290.46)</f>
        <v/>
      </c>
    </row>
    <row r="2754">
      <c r="J2754">
        <f>IFERROR(__xludf.DUMMYFUNCTION("""COMPUTED_VALUE"""),"Kota Kinabalu, Malaysia")</f>
        <v/>
      </c>
      <c r="K2754">
        <f>IFERROR(__xludf.DUMMYFUNCTION("""COMPUTED_VALUE"""),14287.06)</f>
        <v/>
      </c>
    </row>
    <row r="2755">
      <c r="J2755">
        <f>IFERROR(__xludf.DUMMYFUNCTION("""COMPUTED_VALUE"""),"Regina, Saskatchewan, Canada; Saskatoon, Saskatchewan, Canada")</f>
        <v/>
      </c>
      <c r="K2755">
        <f>IFERROR(__xludf.DUMMYFUNCTION("""COMPUTED_VALUE"""),14287.0399999999)</f>
        <v/>
      </c>
    </row>
    <row r="2756">
      <c r="J2756">
        <f>IFERROR(__xludf.DUMMYFUNCTION("""COMPUTED_VALUE"""),"Toyama, Japan")</f>
        <v/>
      </c>
      <c r="K2756">
        <f>IFERROR(__xludf.DUMMYFUNCTION("""COMPUTED_VALUE"""),14286.95)</f>
        <v/>
      </c>
    </row>
    <row r="2757">
      <c r="J2757">
        <f>IFERROR(__xludf.DUMMYFUNCTION("""COMPUTED_VALUE"""),"Swindom, United Kingdom")</f>
        <v/>
      </c>
      <c r="K2757">
        <f>IFERROR(__xludf.DUMMYFUNCTION("""COMPUTED_VALUE"""),14280.71)</f>
        <v/>
      </c>
    </row>
    <row r="2758">
      <c r="J2758">
        <f>IFERROR(__xludf.DUMMYFUNCTION("""COMPUTED_VALUE"""),"Saskatoon, Saskatchewan, Canada / Regina, Saskatchewan, Canada / Toronto, Ontario, Canada")</f>
        <v/>
      </c>
      <c r="K2758">
        <f>IFERROR(__xludf.DUMMYFUNCTION("""COMPUTED_VALUE"""),14273.98)</f>
        <v/>
      </c>
    </row>
    <row r="2759">
      <c r="J2759">
        <f>IFERROR(__xludf.DUMMYFUNCTION("""COMPUTED_VALUE"""),"Truro, Nova Scotia, Canada")</f>
        <v/>
      </c>
      <c r="K2759">
        <f>IFERROR(__xludf.DUMMYFUNCTION("""COMPUTED_VALUE"""),14272.7499999999)</f>
        <v/>
      </c>
    </row>
    <row r="2760">
      <c r="J2760">
        <f>IFERROR(__xludf.DUMMYFUNCTION("""COMPUTED_VALUE"""),"Inuvik, North West Territories")</f>
        <v/>
      </c>
      <c r="K2760">
        <f>IFERROR(__xludf.DUMMYFUNCTION("""COMPUTED_VALUE"""),14269.92)</f>
        <v/>
      </c>
    </row>
    <row r="2761">
      <c r="J2761">
        <f>IFERROR(__xludf.DUMMYFUNCTION("""COMPUTED_VALUE"""),"San Salvador, Berlin, Brussels, Madrid, Panama City")</f>
        <v/>
      </c>
      <c r="K2761">
        <f>IFERROR(__xludf.DUMMYFUNCTION("""COMPUTED_VALUE"""),14268.91)</f>
        <v/>
      </c>
    </row>
    <row r="2762">
      <c r="J2762">
        <f>IFERROR(__xludf.DUMMYFUNCTION("""COMPUTED_VALUE"""),"Washington and New York")</f>
        <v/>
      </c>
      <c r="K2762">
        <f>IFERROR(__xludf.DUMMYFUNCTION("""COMPUTED_VALUE"""),14267.72)</f>
        <v/>
      </c>
    </row>
    <row r="2763">
      <c r="J2763">
        <f>IFERROR(__xludf.DUMMYFUNCTION("""COMPUTED_VALUE"""),"Berlin (Germany), Vienna (Austria)")</f>
        <v/>
      </c>
      <c r="K2763">
        <f>IFERROR(__xludf.DUMMYFUNCTION("""COMPUTED_VALUE"""),14267.41)</f>
        <v/>
      </c>
    </row>
    <row r="2764">
      <c r="J2764">
        <f>IFERROR(__xludf.DUMMYFUNCTION("""COMPUTED_VALUE"""),"Sydney, New South Wales, Australia &amp; Melbourne, Victoria, Australia")</f>
        <v/>
      </c>
      <c r="K2764">
        <f>IFERROR(__xludf.DUMMYFUNCTION("""COMPUTED_VALUE"""),14258.63)</f>
        <v/>
      </c>
    </row>
    <row r="2765">
      <c r="J2765">
        <f>IFERROR(__xludf.DUMMYFUNCTION("""COMPUTED_VALUE"""),"Washington, D.C.
Paris, France
Geneva, Switzerland")</f>
        <v/>
      </c>
      <c r="K2765">
        <f>IFERROR(__xludf.DUMMYFUNCTION("""COMPUTED_VALUE"""),14257.51)</f>
        <v/>
      </c>
    </row>
    <row r="2766">
      <c r="J2766">
        <f>IFERROR(__xludf.DUMMYFUNCTION("""COMPUTED_VALUE"""),"Garmisch GE / Stockholme SW / Paris FR")</f>
        <v/>
      </c>
      <c r="K2766">
        <f>IFERROR(__xludf.DUMMYFUNCTION("""COMPUTED_VALUE"""),14237.13)</f>
        <v/>
      </c>
    </row>
    <row r="2767">
      <c r="J2767">
        <f>IFERROR(__xludf.DUMMYFUNCTION("""COMPUTED_VALUE"""),"Bengalaru, India")</f>
        <v/>
      </c>
      <c r="K2767">
        <f>IFERROR(__xludf.DUMMYFUNCTION("""COMPUTED_VALUE"""),14226.12)</f>
        <v/>
      </c>
    </row>
    <row r="2768">
      <c r="J2768">
        <f>IFERROR(__xludf.DUMMYFUNCTION("""COMPUTED_VALUE"""),"London, United Kingdom; Brussels, Belgium")</f>
        <v/>
      </c>
      <c r="K2768">
        <f>IFERROR(__xludf.DUMMYFUNCTION("""COMPUTED_VALUE"""),14225.18)</f>
        <v/>
      </c>
    </row>
    <row r="2769">
      <c r="J2769">
        <f>IFERROR(__xludf.DUMMYFUNCTION("""COMPUTED_VALUE"""),"Kiyv, Ukraine")</f>
        <v/>
      </c>
      <c r="K2769">
        <f>IFERROR(__xludf.DUMMYFUNCTION("""COMPUTED_VALUE"""),14212.24)</f>
        <v/>
      </c>
    </row>
    <row r="2770">
      <c r="J2770">
        <f>IFERROR(__xludf.DUMMYFUNCTION("""COMPUTED_VALUE"""),"CALGARY, AB")</f>
        <v/>
      </c>
      <c r="K2770">
        <f>IFERROR(__xludf.DUMMYFUNCTION("""COMPUTED_VALUE"""),14212.1899999999)</f>
        <v/>
      </c>
    </row>
    <row r="2771">
      <c r="J2771">
        <f>IFERROR(__xludf.DUMMYFUNCTION("""COMPUTED_VALUE"""),"Senegal, North Macedonia, Bulgaria")</f>
        <v/>
      </c>
      <c r="K2771">
        <f>IFERROR(__xludf.DUMMYFUNCTION("""COMPUTED_VALUE"""),14211.58)</f>
        <v/>
      </c>
    </row>
    <row r="2772">
      <c r="J2772">
        <f>IFERROR(__xludf.DUMMYFUNCTION("""COMPUTED_VALUE"""),"Delhi, India / Gandhinagar, India")</f>
        <v/>
      </c>
      <c r="K2772">
        <f>IFERROR(__xludf.DUMMYFUNCTION("""COMPUTED_VALUE"""),14204.84)</f>
        <v/>
      </c>
    </row>
    <row r="2773">
      <c r="J2773">
        <f>IFERROR(__xludf.DUMMYFUNCTION("""COMPUTED_VALUE"""),"Vladivostok, Russia")</f>
        <v/>
      </c>
      <c r="K2773">
        <f>IFERROR(__xludf.DUMMYFUNCTION("""COMPUTED_VALUE"""),14198.83)</f>
        <v/>
      </c>
    </row>
    <row r="2774">
      <c r="J2774">
        <f>IFERROR(__xludf.DUMMYFUNCTION("""COMPUTED_VALUE"""),"Waikeke Island, New Zealand")</f>
        <v/>
      </c>
      <c r="K2774">
        <f>IFERROR(__xludf.DUMMYFUNCTION("""COMPUTED_VALUE"""),14192.37)</f>
        <v/>
      </c>
    </row>
    <row r="2775">
      <c r="J2775">
        <f>IFERROR(__xludf.DUMMYFUNCTION("""COMPUTED_VALUE"""),"Lima, Peru
La Paz, Bolivia")</f>
        <v/>
      </c>
      <c r="K2775">
        <f>IFERROR(__xludf.DUMMYFUNCTION("""COMPUTED_VALUE"""),14183.56)</f>
        <v/>
      </c>
    </row>
    <row r="2776">
      <c r="J2776">
        <f>IFERROR(__xludf.DUMMYFUNCTION("""COMPUTED_VALUE"""),"Saudi Arabia and Jordan")</f>
        <v/>
      </c>
      <c r="K2776">
        <f>IFERROR(__xludf.DUMMYFUNCTION("""COMPUTED_VALUE"""),14178)</f>
        <v/>
      </c>
    </row>
    <row r="2777">
      <c r="J2777">
        <f>IFERROR(__xludf.DUMMYFUNCTION("""COMPUTED_VALUE"""),"REGINA, SK")</f>
        <v/>
      </c>
      <c r="K2777">
        <f>IFERROR(__xludf.DUMMYFUNCTION("""COMPUTED_VALUE"""),14174.01)</f>
        <v/>
      </c>
    </row>
    <row r="2778">
      <c r="J2778">
        <f>IFERROR(__xludf.DUMMYFUNCTION("""COMPUTED_VALUE"""),"Cagliari, Italy")</f>
        <v/>
      </c>
      <c r="K2778">
        <f>IFERROR(__xludf.DUMMYFUNCTION("""COMPUTED_VALUE"""),14172.49)</f>
        <v/>
      </c>
    </row>
    <row r="2779">
      <c r="J2779">
        <f>IFERROR(__xludf.DUMMYFUNCTION("""COMPUTED_VALUE"""),"Ottawa - Halifax - Ottawa")</f>
        <v/>
      </c>
      <c r="K2779">
        <f>IFERROR(__xludf.DUMMYFUNCTION("""COMPUTED_VALUE"""),14170.8499999999)</f>
        <v/>
      </c>
    </row>
    <row r="2780">
      <c r="J2780">
        <f>IFERROR(__xludf.DUMMYFUNCTION("""COMPUTED_VALUE"""),"Istanbul, Turkey, Amman, Jordan")</f>
        <v/>
      </c>
      <c r="K2780">
        <f>IFERROR(__xludf.DUMMYFUNCTION("""COMPUTED_VALUE"""),14170.11)</f>
        <v/>
      </c>
    </row>
    <row r="2781">
      <c r="J2781">
        <f>IFERROR(__xludf.DUMMYFUNCTION("""COMPUTED_VALUE"""),"Vancouver, British Columbia / Whitehorse, Yukon, Canada")</f>
        <v/>
      </c>
      <c r="K2781">
        <f>IFERROR(__xludf.DUMMYFUNCTION("""COMPUTED_VALUE"""),14165.74)</f>
        <v/>
      </c>
    </row>
    <row r="2782">
      <c r="J2782">
        <f>IFERROR(__xludf.DUMMYFUNCTION("""COMPUTED_VALUE"""),"Nairobi, Republic of Kenya Addis Ababa and Mekelle, Federal Democratic Republic of Ethiopia")</f>
        <v/>
      </c>
      <c r="K2782">
        <f>IFERROR(__xludf.DUMMYFUNCTION("""COMPUTED_VALUE"""),14165.72)</f>
        <v/>
      </c>
    </row>
    <row r="2783">
      <c r="J2783">
        <f>IFERROR(__xludf.DUMMYFUNCTION("""COMPUTED_VALUE"""),"Saudi Arabia")</f>
        <v/>
      </c>
      <c r="K2783">
        <f>IFERROR(__xludf.DUMMYFUNCTION("""COMPUTED_VALUE"""),14163.2)</f>
        <v/>
      </c>
    </row>
    <row r="2784">
      <c r="J2784">
        <f>IFERROR(__xludf.DUMMYFUNCTION("""COMPUTED_VALUE"""),"New York/Ukraine/Israel")</f>
        <v/>
      </c>
      <c r="K2784">
        <f>IFERROR(__xludf.DUMMYFUNCTION("""COMPUTED_VALUE"""),14151.49)</f>
        <v/>
      </c>
    </row>
    <row r="2785">
      <c r="J2785">
        <f>IFERROR(__xludf.DUMMYFUNCTION("""COMPUTED_VALUE"""),"Amman, Jordan, Baghdad and Erbil, Iraq and on to Paris, France")</f>
        <v/>
      </c>
      <c r="K2785">
        <f>IFERROR(__xludf.DUMMYFUNCTION("""COMPUTED_VALUE"""),14139.14)</f>
        <v/>
      </c>
    </row>
    <row r="2786">
      <c r="J2786">
        <f>IFERROR(__xludf.DUMMYFUNCTION("""COMPUTED_VALUE"""),"Kinshasa, Congo - Africa")</f>
        <v/>
      </c>
      <c r="K2786">
        <f>IFERROR(__xludf.DUMMYFUNCTION("""COMPUTED_VALUE"""),14138.71)</f>
        <v/>
      </c>
    </row>
    <row r="2787">
      <c r="J2787">
        <f>IFERROR(__xludf.DUMMYFUNCTION("""COMPUTED_VALUE"""),"Frankfurt, Germany and Washington, USA")</f>
        <v/>
      </c>
      <c r="K2787">
        <f>IFERROR(__xludf.DUMMYFUNCTION("""COMPUTED_VALUE"""),14130.96)</f>
        <v/>
      </c>
    </row>
    <row r="2788">
      <c r="J2788">
        <f>IFERROR(__xludf.DUMMYFUNCTION("""COMPUTED_VALUE"""),"Manila, Philippines/Ho Chi Minh, Vietnam")</f>
        <v/>
      </c>
      <c r="K2788">
        <f>IFERROR(__xludf.DUMMYFUNCTION("""COMPUTED_VALUE"""),14124.22)</f>
        <v/>
      </c>
    </row>
    <row r="2789">
      <c r="J2789">
        <f>IFERROR(__xludf.DUMMYFUNCTION("""COMPUTED_VALUE"""),"Taiwan, Taipei. Afghanistan, Kabul.")</f>
        <v/>
      </c>
      <c r="K2789">
        <f>IFERROR(__xludf.DUMMYFUNCTION("""COMPUTED_VALUE"""),14122.62)</f>
        <v/>
      </c>
    </row>
    <row r="2790">
      <c r="J2790">
        <f>IFERROR(__xludf.DUMMYFUNCTION("""COMPUTED_VALUE"""),"Paris, France; Copenhagen, Denmark; London, United Kingdom")</f>
        <v/>
      </c>
      <c r="K2790">
        <f>IFERROR(__xludf.DUMMYFUNCTION("""COMPUTED_VALUE"""),14120.35)</f>
        <v/>
      </c>
    </row>
    <row r="2791">
      <c r="J2791">
        <f>IFERROR(__xludf.DUMMYFUNCTION("""COMPUTED_VALUE"""),"Birmingham, England, United-Kingdom")</f>
        <v/>
      </c>
      <c r="K2791">
        <f>IFERROR(__xludf.DUMMYFUNCTION("""COMPUTED_VALUE"""),14119.32)</f>
        <v/>
      </c>
    </row>
    <row r="2792">
      <c r="J2792">
        <f>IFERROR(__xludf.DUMMYFUNCTION("""COMPUTED_VALUE"""),"Taiwan and China")</f>
        <v/>
      </c>
      <c r="K2792">
        <f>IFERROR(__xludf.DUMMYFUNCTION("""COMPUTED_VALUE"""),14116.73)</f>
        <v/>
      </c>
    </row>
    <row r="2793">
      <c r="J2793">
        <f>IFERROR(__xludf.DUMMYFUNCTION("""COMPUTED_VALUE"""),"Philippines &amp; Vietnam (Hanoi, Ho Chu Minh &amp; Manila)")</f>
        <v/>
      </c>
      <c r="K2793">
        <f>IFERROR(__xludf.DUMMYFUNCTION("""COMPUTED_VALUE"""),14115.88)</f>
        <v/>
      </c>
    </row>
    <row r="2794">
      <c r="J2794">
        <f>IFERROR(__xludf.DUMMYFUNCTION("""COMPUTED_VALUE"""),"Calgary, Edmonton, Toronto, Waterloo and Ottawa")</f>
        <v/>
      </c>
      <c r="K2794">
        <f>IFERROR(__xludf.DUMMYFUNCTION("""COMPUTED_VALUE"""),14115.53)</f>
        <v/>
      </c>
    </row>
    <row r="2795">
      <c r="J2795">
        <f>IFERROR(__xludf.DUMMYFUNCTION("""COMPUTED_VALUE"""),"Londre, RU")</f>
        <v/>
      </c>
      <c r="K2795">
        <f>IFERROR(__xludf.DUMMYFUNCTION("""COMPUTED_VALUE"""),14108.73)</f>
        <v/>
      </c>
    </row>
    <row r="2796">
      <c r="J2796">
        <f>IFERROR(__xludf.DUMMYFUNCTION("""COMPUTED_VALUE"""),"Shanghai and Beijing, People's Republic of China")</f>
        <v/>
      </c>
      <c r="K2796">
        <f>IFERROR(__xludf.DUMMYFUNCTION("""COMPUTED_VALUE"""),14105.5999999999)</f>
        <v/>
      </c>
    </row>
    <row r="2797">
      <c r="J2797">
        <f>IFERROR(__xludf.DUMMYFUNCTION("""COMPUTED_VALUE"""),"Victoria and Vancouver, BC")</f>
        <v/>
      </c>
      <c r="K2797">
        <f>IFERROR(__xludf.DUMMYFUNCTION("""COMPUTED_VALUE"""),14104.36)</f>
        <v/>
      </c>
    </row>
    <row r="2798">
      <c r="J2798">
        <f>IFERROR(__xludf.DUMMYFUNCTION("""COMPUTED_VALUE"""),"Belgium/Germany/Poland/Latvia")</f>
        <v/>
      </c>
      <c r="K2798">
        <f>IFERROR(__xludf.DUMMYFUNCTION("""COMPUTED_VALUE"""),14103.58)</f>
        <v/>
      </c>
    </row>
    <row r="2799">
      <c r="J2799">
        <f>IFERROR(__xludf.DUMMYFUNCTION("""COMPUTED_VALUE"""),"Stockholm et Prague")</f>
        <v/>
      </c>
      <c r="K2799">
        <f>IFERROR(__xludf.DUMMYFUNCTION("""COMPUTED_VALUE"""),14103.4)</f>
        <v/>
      </c>
    </row>
    <row r="2800">
      <c r="J2800">
        <f>IFERROR(__xludf.DUMMYFUNCTION("""COMPUTED_VALUE"""),"Toronto, Ontario, Canada; Dryden, Ontario, Canada; Thunder Bay, Ontario, Canada; North Bay, Ontario, Canada; New Liskeard, Ontario, Canada; Buttonville, Ontario, Canada")</f>
        <v/>
      </c>
      <c r="K2800">
        <f>IFERROR(__xludf.DUMMYFUNCTION("""COMPUTED_VALUE"""),14103.36)</f>
        <v/>
      </c>
    </row>
    <row r="2801">
      <c r="J2801">
        <f>IFERROR(__xludf.DUMMYFUNCTION("""COMPUTED_VALUE"""),"Yellowknife and Inuvik, Northwest Territories, Canada")</f>
        <v/>
      </c>
      <c r="K2801">
        <f>IFERROR(__xludf.DUMMYFUNCTION("""COMPUTED_VALUE"""),14098.11)</f>
        <v/>
      </c>
    </row>
    <row r="2802">
      <c r="J2802">
        <f>IFERROR(__xludf.DUMMYFUNCTION("""COMPUTED_VALUE"""),"Calgary, AB - India, Mumbai - India, New Delhi")</f>
        <v/>
      </c>
      <c r="K2802">
        <f>IFERROR(__xludf.DUMMYFUNCTION("""COMPUTED_VALUE"""),14096.4)</f>
        <v/>
      </c>
    </row>
    <row r="2803">
      <c r="J2803">
        <f>IFERROR(__xludf.DUMMYFUNCTION("""COMPUTED_VALUE"""),"Ukraine and Kazakhstan")</f>
        <v/>
      </c>
      <c r="K2803">
        <f>IFERROR(__xludf.DUMMYFUNCTION("""COMPUTED_VALUE"""),14092.97)</f>
        <v/>
      </c>
    </row>
    <row r="2804">
      <c r="J2804">
        <f>IFERROR(__xludf.DUMMYFUNCTION("""COMPUTED_VALUE"""),"Winnipeg, Manitoba, Canada / Rankin Inlet, Nunavut, Canada / Arviat, Nunavut, Canada / Iqualuit, Nunavut, Canada / Pond Inlet, Nunavut, Canada")</f>
        <v/>
      </c>
      <c r="K2804">
        <f>IFERROR(__xludf.DUMMYFUNCTION("""COMPUTED_VALUE"""),14092.39)</f>
        <v/>
      </c>
    </row>
    <row r="2805">
      <c r="J2805">
        <f>IFERROR(__xludf.DUMMYFUNCTION("""COMPUTED_VALUE"""),"Rocky Harbour, Newfoundland and Labrador, Canada")</f>
        <v/>
      </c>
      <c r="K2805">
        <f>IFERROR(__xludf.DUMMYFUNCTION("""COMPUTED_VALUE"""),14092.19)</f>
        <v/>
      </c>
    </row>
    <row r="2806">
      <c r="J2806">
        <f>IFERROR(__xludf.DUMMYFUNCTION("""COMPUTED_VALUE"""),"Stockholm, Sweden Amsterdam, Netherlands")</f>
        <v/>
      </c>
      <c r="K2806">
        <f>IFERROR(__xludf.DUMMYFUNCTION("""COMPUTED_VALUE"""),14091.49)</f>
        <v/>
      </c>
    </row>
    <row r="2807">
      <c r="J2807">
        <f>IFERROR(__xludf.DUMMYFUNCTION("""COMPUTED_VALUE"""),"Vancouver/Halifax")</f>
        <v/>
      </c>
      <c r="K2807">
        <f>IFERROR(__xludf.DUMMYFUNCTION("""COMPUTED_VALUE"""),14088.1899999999)</f>
        <v/>
      </c>
    </row>
    <row r="2808">
      <c r="J2808">
        <f>IFERROR(__xludf.DUMMYFUNCTION("""COMPUTED_VALUE"""),"Brussels, Copenhagen")</f>
        <v/>
      </c>
      <c r="K2808">
        <f>IFERROR(__xludf.DUMMYFUNCTION("""COMPUTED_VALUE"""),14086.95)</f>
        <v/>
      </c>
    </row>
    <row r="2809">
      <c r="J2809">
        <f>IFERROR(__xludf.DUMMYFUNCTION("""COMPUTED_VALUE"""),"Edmonton; Calgary")</f>
        <v/>
      </c>
      <c r="K2809">
        <f>IFERROR(__xludf.DUMMYFUNCTION("""COMPUTED_VALUE"""),14083.94)</f>
        <v/>
      </c>
    </row>
    <row r="2810">
      <c r="J2810">
        <f>IFERROR(__xludf.DUMMYFUNCTION("""COMPUTED_VALUE"""),"London, U.K. and Madrid, Spain")</f>
        <v/>
      </c>
      <c r="K2810">
        <f>IFERROR(__xludf.DUMMYFUNCTION("""COMPUTED_VALUE"""),14071.52)</f>
        <v/>
      </c>
    </row>
    <row r="2811">
      <c r="J2811">
        <f>IFERROR(__xludf.DUMMYFUNCTION("""COMPUTED_VALUE"""),"Vancouver,Ottawa,Singapore,Tokyo")</f>
        <v/>
      </c>
      <c r="K2811">
        <f>IFERROR(__xludf.DUMMYFUNCTION("""COMPUTED_VALUE"""),14061.86)</f>
        <v/>
      </c>
    </row>
    <row r="2812">
      <c r="J2812">
        <f>IFERROR(__xludf.DUMMYFUNCTION("""COMPUTED_VALUE"""),"Brussels, Belgium
Skopje, Macedonia")</f>
        <v/>
      </c>
      <c r="K2812">
        <f>IFERROR(__xludf.DUMMYFUNCTION("""COMPUTED_VALUE"""),14057.06)</f>
        <v/>
      </c>
    </row>
    <row r="2813">
      <c r="J2813">
        <f>IFERROR(__xludf.DUMMYFUNCTION("""COMPUTED_VALUE"""),"Kuwait/Amman")</f>
        <v/>
      </c>
      <c r="K2813">
        <f>IFERROR(__xludf.DUMMYFUNCTION("""COMPUTED_VALUE"""),14042.44)</f>
        <v/>
      </c>
    </row>
    <row r="2814">
      <c r="J2814">
        <f>IFERROR(__xludf.DUMMYFUNCTION("""COMPUTED_VALUE"""),"Stockholm, Sweden
The Hague, The Netherlands")</f>
        <v/>
      </c>
      <c r="K2814">
        <f>IFERROR(__xludf.DUMMYFUNCTION("""COMPUTED_VALUE"""),14041.86)</f>
        <v/>
      </c>
    </row>
    <row r="2815">
      <c r="J2815">
        <f>IFERROR(__xludf.DUMMYFUNCTION("""COMPUTED_VALUE"""),"Beijing, China / Hong Kong, Hong Kong / Manila, Philippines / Bangkok, Thailand / Chandigarh, India")</f>
        <v/>
      </c>
      <c r="K2815">
        <f>IFERROR(__xludf.DUMMYFUNCTION("""COMPUTED_VALUE"""),14036.59)</f>
        <v/>
      </c>
    </row>
    <row r="2816">
      <c r="J2816">
        <f>IFERROR(__xludf.DUMMYFUNCTION("""COMPUTED_VALUE"""),"China, Shanghai, Hong Kong and South Korea")</f>
        <v/>
      </c>
      <c r="K2816">
        <f>IFERROR(__xludf.DUMMYFUNCTION("""COMPUTED_VALUE"""),14036.27)</f>
        <v/>
      </c>
    </row>
    <row r="2817">
      <c r="J2817">
        <f>IFERROR(__xludf.DUMMYFUNCTION("""COMPUTED_VALUE"""),"Scotland and Afghanistan")</f>
        <v/>
      </c>
      <c r="K2817">
        <f>IFERROR(__xludf.DUMMYFUNCTION("""COMPUTED_VALUE"""),14031.84)</f>
        <v/>
      </c>
    </row>
    <row r="2818">
      <c r="J2818">
        <f>IFERROR(__xludf.DUMMYFUNCTION("""COMPUTED_VALUE"""),"Seoul, Korea 
Hanoi, Vietnam")</f>
        <v/>
      </c>
      <c r="K2818">
        <f>IFERROR(__xludf.DUMMYFUNCTION("""COMPUTED_VALUE"""),14026.82)</f>
        <v/>
      </c>
    </row>
    <row r="2819">
      <c r="J2819">
        <f>IFERROR(__xludf.DUMMYFUNCTION("""COMPUTED_VALUE"""),"Ottawa, Ontario &amp; Washington, D.C.")</f>
        <v/>
      </c>
      <c r="K2819">
        <f>IFERROR(__xludf.DUMMYFUNCTION("""COMPUTED_VALUE"""),14024.59)</f>
        <v/>
      </c>
    </row>
    <row r="2820">
      <c r="J2820">
        <f>IFERROR(__xludf.DUMMYFUNCTION("""COMPUTED_VALUE"""),"Ottawa and Toronto, ON and Beijing, Taipei, Shanghai, Chendu, China")</f>
        <v/>
      </c>
      <c r="K2820">
        <f>IFERROR(__xludf.DUMMYFUNCTION("""COMPUTED_VALUE"""),14021.13)</f>
        <v/>
      </c>
    </row>
    <row r="2821">
      <c r="J2821">
        <f>IFERROR(__xludf.DUMMYFUNCTION("""COMPUTED_VALUE"""),"Moscow, Russia / New Delhi, India / Chandigarh, India and London, United Kingdom")</f>
        <v/>
      </c>
      <c r="K2821">
        <f>IFERROR(__xludf.DUMMYFUNCTION("""COMPUTED_VALUE"""),14015.47)</f>
        <v/>
      </c>
    </row>
    <row r="2822">
      <c r="J2822">
        <f>IFERROR(__xludf.DUMMYFUNCTION("""COMPUTED_VALUE"""),"Atlantic, Canada")</f>
        <v/>
      </c>
      <c r="K2822">
        <f>IFERROR(__xludf.DUMMYFUNCTION("""COMPUTED_VALUE"""),14008.76)</f>
        <v/>
      </c>
    </row>
    <row r="2823">
      <c r="J2823">
        <f>IFERROR(__xludf.DUMMYFUNCTION("""COMPUTED_VALUE"""),"Yellowknife, Northwest Territories, Canada; Inuvik, Northwest Territories, Canada")</f>
        <v/>
      </c>
      <c r="K2823">
        <f>IFERROR(__xludf.DUMMYFUNCTION("""COMPUTED_VALUE"""),14007.2)</f>
        <v/>
      </c>
    </row>
    <row r="2824">
      <c r="J2824">
        <f>IFERROR(__xludf.DUMMYFUNCTION("""COMPUTED_VALUE"""),"Riga (Latvia) , Stuttgart ( Germany)")</f>
        <v/>
      </c>
      <c r="K2824">
        <f>IFERROR(__xludf.DUMMYFUNCTION("""COMPUTED_VALUE"""),14006.64)</f>
        <v/>
      </c>
    </row>
    <row r="2825">
      <c r="J2825">
        <f>IFERROR(__xludf.DUMMYFUNCTION("""COMPUTED_VALUE"""),"Colombia (Bogota &amp; Riohacha)")</f>
        <v/>
      </c>
      <c r="K2825">
        <f>IFERROR(__xludf.DUMMYFUNCTION("""COMPUTED_VALUE"""),14005.13)</f>
        <v/>
      </c>
    </row>
    <row r="2826">
      <c r="J2826">
        <f>IFERROR(__xludf.DUMMYFUNCTION("""COMPUTED_VALUE"""),"Toronto, Ontario, Canada / Madrid, Spain")</f>
        <v/>
      </c>
      <c r="K2826">
        <f>IFERROR(__xludf.DUMMYFUNCTION("""COMPUTED_VALUE"""),14004.35)</f>
        <v/>
      </c>
    </row>
    <row r="2827">
      <c r="J2827">
        <f>IFERROR(__xludf.DUMMYFUNCTION("""COMPUTED_VALUE"""),"Ottawa, ON and Montreal, QC")</f>
        <v/>
      </c>
      <c r="K2827">
        <f>IFERROR(__xludf.DUMMYFUNCTION("""COMPUTED_VALUE"""),14002.28)</f>
        <v/>
      </c>
    </row>
    <row r="2828">
      <c r="J2828">
        <f>IFERROR(__xludf.DUMMYFUNCTION("""COMPUTED_VALUE"""),"Avellino, Campania, Italy; Naples, Italy")</f>
        <v/>
      </c>
      <c r="K2828">
        <f>IFERROR(__xludf.DUMMYFUNCTION("""COMPUTED_VALUE"""),13996.16)</f>
        <v/>
      </c>
    </row>
    <row r="2829">
      <c r="J2829">
        <f>IFERROR(__xludf.DUMMYFUNCTION("""COMPUTED_VALUE"""),"Heiligendamm, Germany")</f>
        <v/>
      </c>
      <c r="K2829">
        <f>IFERROR(__xludf.DUMMYFUNCTION("""COMPUTED_VALUE"""),13992.3499999999)</f>
        <v/>
      </c>
    </row>
    <row r="2830">
      <c r="J2830">
        <f>IFERROR(__xludf.DUMMYFUNCTION("""COMPUTED_VALUE"""),"Charlottetown, Price Edward Island, Canada")</f>
        <v/>
      </c>
      <c r="K2830">
        <f>IFERROR(__xludf.DUMMYFUNCTION("""COMPUTED_VALUE"""),13989.17)</f>
        <v/>
      </c>
    </row>
    <row r="2831">
      <c r="J2831">
        <f>IFERROR(__xludf.DUMMYFUNCTION("""COMPUTED_VALUE"""),"Toronto, ON &amp; London, UK")</f>
        <v/>
      </c>
      <c r="K2831">
        <f>IFERROR(__xludf.DUMMYFUNCTION("""COMPUTED_VALUE"""),13986.58)</f>
        <v/>
      </c>
    </row>
    <row r="2832">
      <c r="J2832">
        <f>IFERROR(__xludf.DUMMYFUNCTION("""COMPUTED_VALUE"""),"Springfield, Virginia, USA                           London, Lydd,  England          Marseille, France")</f>
        <v/>
      </c>
      <c r="K2832">
        <f>IFERROR(__xludf.DUMMYFUNCTION("""COMPUTED_VALUE"""),13984)</f>
        <v/>
      </c>
    </row>
    <row r="2833">
      <c r="J2833">
        <f>IFERROR(__xludf.DUMMYFUNCTION("""COMPUTED_VALUE"""),"Moscow (Russia)")</f>
        <v/>
      </c>
      <c r="K2833">
        <f>IFERROR(__xludf.DUMMYFUNCTION("""COMPUTED_VALUE"""),13973)</f>
        <v/>
      </c>
    </row>
    <row r="2834">
      <c r="J2834">
        <f>IFERROR(__xludf.DUMMYFUNCTION("""COMPUTED_VALUE"""),"Brussels and Naples")</f>
        <v/>
      </c>
      <c r="K2834">
        <f>IFERROR(__xludf.DUMMYFUNCTION("""COMPUTED_VALUE"""),13972.64)</f>
        <v/>
      </c>
    </row>
    <row r="2835">
      <c r="J2835">
        <f>IFERROR(__xludf.DUMMYFUNCTION("""COMPUTED_VALUE"""),"London, Netherlands")</f>
        <v/>
      </c>
      <c r="K2835">
        <f>IFERROR(__xludf.DUMMYFUNCTION("""COMPUTED_VALUE"""),13970.01)</f>
        <v/>
      </c>
    </row>
    <row r="2836">
      <c r="J2836">
        <f>IFERROR(__xludf.DUMMYFUNCTION("""COMPUTED_VALUE"""),"Destination	Strasbourg, France")</f>
        <v/>
      </c>
      <c r="K2836">
        <f>IFERROR(__xludf.DUMMYFUNCTION("""COMPUTED_VALUE"""),13961.23)</f>
        <v/>
      </c>
    </row>
    <row r="2837">
      <c r="J2837">
        <f>IFERROR(__xludf.DUMMYFUNCTION("""COMPUTED_VALUE"""),"New York, Rome, Kuwait and Geveva")</f>
        <v/>
      </c>
      <c r="K2837">
        <f>IFERROR(__xludf.DUMMYFUNCTION("""COMPUTED_VALUE"""),13959.13)</f>
        <v/>
      </c>
    </row>
    <row r="2838">
      <c r="J2838">
        <f>IFERROR(__xludf.DUMMYFUNCTION("""COMPUTED_VALUE"""),"Nanjing, China and Frankfurt, Germany")</f>
        <v/>
      </c>
      <c r="K2838">
        <f>IFERROR(__xludf.DUMMYFUNCTION("""COMPUTED_VALUE"""),13948.63)</f>
        <v/>
      </c>
    </row>
    <row r="2839">
      <c r="J2839">
        <f>IFERROR(__xludf.DUMMYFUNCTION("""COMPUTED_VALUE"""),"Lahore, Pakistan et New Delhi, India")</f>
        <v/>
      </c>
      <c r="K2839">
        <f>IFERROR(__xludf.DUMMYFUNCTION("""COMPUTED_VALUE"""),13948.29)</f>
        <v/>
      </c>
    </row>
    <row r="2840">
      <c r="J2840">
        <f>IFERROR(__xludf.DUMMYFUNCTION("""COMPUTED_VALUE"""),"Vancouver, Edmonton, Calgary")</f>
        <v/>
      </c>
      <c r="K2840">
        <f>IFERROR(__xludf.DUMMYFUNCTION("""COMPUTED_VALUE"""),13948.21)</f>
        <v/>
      </c>
    </row>
    <row r="2841">
      <c r="J2841">
        <f>IFERROR(__xludf.DUMMYFUNCTION("""COMPUTED_VALUE"""),"Nairobi, Republic of Kenya Addis Ababa and Mekelle, Federal Democratic Republic of Ethiopia""")</f>
        <v/>
      </c>
      <c r="K2841">
        <f>IFERROR(__xludf.DUMMYFUNCTION("""COMPUTED_VALUE"""),13946.39)</f>
        <v/>
      </c>
    </row>
    <row r="2842">
      <c r="J2842">
        <f>IFERROR(__xludf.DUMMYFUNCTION("""COMPUTED_VALUE"""),"Ottawa, Ontario, Canada; Chelsea, Quebec, Canada")</f>
        <v/>
      </c>
      <c r="K2842">
        <f>IFERROR(__xludf.DUMMYFUNCTION("""COMPUTED_VALUE"""),13940.63)</f>
        <v/>
      </c>
    </row>
    <row r="2843">
      <c r="J2843">
        <f>IFERROR(__xludf.DUMMYFUNCTION("""COMPUTED_VALUE"""),"California, USA")</f>
        <v/>
      </c>
      <c r="K2843">
        <f>IFERROR(__xludf.DUMMYFUNCTION("""COMPUTED_VALUE"""),13935.8)</f>
        <v/>
      </c>
    </row>
    <row r="2844">
      <c r="J2844">
        <f>IFERROR(__xludf.DUMMYFUNCTION("""COMPUTED_VALUE"""),"Toyko, Japan, Japan")</f>
        <v/>
      </c>
      <c r="K2844">
        <f>IFERROR(__xludf.DUMMYFUNCTION("""COMPUTED_VALUE"""),13933.59)</f>
        <v/>
      </c>
    </row>
    <row r="2845">
      <c r="J2845">
        <f>IFERROR(__xludf.DUMMYFUNCTION("""COMPUTED_VALUE"""),"Beijing, Hong Kong, Taipei")</f>
        <v/>
      </c>
      <c r="K2845">
        <f>IFERROR(__xludf.DUMMYFUNCTION("""COMPUTED_VALUE"""),13920)</f>
        <v/>
      </c>
    </row>
    <row r="2846">
      <c r="J2846">
        <f>IFERROR(__xludf.DUMMYFUNCTION("""COMPUTED_VALUE"""),"Singapore,  Okinawa and Tokyo JP, Seoul KO")</f>
        <v/>
      </c>
      <c r="K2846">
        <f>IFERROR(__xludf.DUMMYFUNCTION("""COMPUTED_VALUE"""),13913.09)</f>
        <v/>
      </c>
    </row>
    <row r="2847">
      <c r="J2847">
        <f>IFERROR(__xludf.DUMMYFUNCTION("""COMPUTED_VALUE"""),"Victoria, British Columbia, Canada
Vancouver, British Columbia, Canada")</f>
        <v/>
      </c>
      <c r="K2847">
        <f>IFERROR(__xludf.DUMMYFUNCTION("""COMPUTED_VALUE"""),13911.87)</f>
        <v/>
      </c>
    </row>
    <row r="2848">
      <c r="J2848">
        <f>IFERROR(__xludf.DUMMYFUNCTION("""COMPUTED_VALUE"""),"Base Presidente Eduardo Frei Montalva, Antartica")</f>
        <v/>
      </c>
      <c r="K2848">
        <f>IFERROR(__xludf.DUMMYFUNCTION("""COMPUTED_VALUE"""),13909.54)</f>
        <v/>
      </c>
    </row>
    <row r="2849">
      <c r="J2849">
        <f>IFERROR(__xludf.DUMMYFUNCTION("""COMPUTED_VALUE"""),"Cote d'Ivoire and South Africa")</f>
        <v/>
      </c>
      <c r="K2849">
        <f>IFERROR(__xludf.DUMMYFUNCTION("""COMPUTED_VALUE"""),13899.85)</f>
        <v/>
      </c>
    </row>
    <row r="2850">
      <c r="J2850">
        <f>IFERROR(__xludf.DUMMYFUNCTION("""COMPUTED_VALUE"""),"Moncton, New Brunswick and Ottawa, Ontario")</f>
        <v/>
      </c>
      <c r="K2850">
        <f>IFERROR(__xludf.DUMMYFUNCTION("""COMPUTED_VALUE"""),13891.93)</f>
        <v/>
      </c>
    </row>
    <row r="2851">
      <c r="J2851">
        <f>IFERROR(__xludf.DUMMYFUNCTION("""COMPUTED_VALUE"""),"Rome, Seoul and Beijing")</f>
        <v/>
      </c>
      <c r="K2851">
        <f>IFERROR(__xludf.DUMMYFUNCTION("""COMPUTED_VALUE"""),13890.43)</f>
        <v/>
      </c>
    </row>
    <row r="2852">
      <c r="J2852">
        <f>IFERROR(__xludf.DUMMYFUNCTION("""COMPUTED_VALUE"""),"Quebec, Ottawa,Quebec, Toronto, Waterloo, Vancouver")</f>
        <v/>
      </c>
      <c r="K2852">
        <f>IFERROR(__xludf.DUMMYFUNCTION("""COMPUTED_VALUE"""),13889.78)</f>
        <v/>
      </c>
    </row>
    <row r="2853">
      <c r="J2853">
        <f>IFERROR(__xludf.DUMMYFUNCTION("""COMPUTED_VALUE"""),"London, UK, Munich and Berlin, Germany")</f>
        <v/>
      </c>
      <c r="K2853">
        <f>IFERROR(__xludf.DUMMYFUNCTION("""COMPUTED_VALUE"""),13883.45)</f>
        <v/>
      </c>
    </row>
    <row r="2854">
      <c r="J2854">
        <f>IFERROR(__xludf.DUMMYFUNCTION("""COMPUTED_VALUE"""),"Sydney, Australia  *Accommodation paid by Protocol Office")</f>
        <v/>
      </c>
      <c r="K2854">
        <f>IFERROR(__xludf.DUMMYFUNCTION("""COMPUTED_VALUE"""),13880.25)</f>
        <v/>
      </c>
    </row>
    <row r="2855">
      <c r="J2855">
        <f>IFERROR(__xludf.DUMMYFUNCTION("""COMPUTED_VALUE"""),"Hong Kong and Shanghai, Kuala Lumpur and Bangkok")</f>
        <v/>
      </c>
      <c r="K2855">
        <f>IFERROR(__xludf.DUMMYFUNCTION("""COMPUTED_VALUE"""),13877.74)</f>
        <v/>
      </c>
    </row>
    <row r="2856">
      <c r="J2856">
        <f>IFERROR(__xludf.DUMMYFUNCTION("""COMPUTED_VALUE"""),"Semarag-Indonesia")</f>
        <v/>
      </c>
      <c r="K2856">
        <f>IFERROR(__xludf.DUMMYFUNCTION("""COMPUTED_VALUE"""),13877.6)</f>
        <v/>
      </c>
    </row>
    <row r="2857">
      <c r="J2857">
        <f>IFERROR(__xludf.DUMMYFUNCTION("""COMPUTED_VALUE"""),"Summerside, PE")</f>
        <v/>
      </c>
      <c r="K2857">
        <f>IFERROR(__xludf.DUMMYFUNCTION("""COMPUTED_VALUE"""),13876.55)</f>
        <v/>
      </c>
    </row>
    <row r="2858">
      <c r="J2858">
        <f>IFERROR(__xludf.DUMMYFUNCTION("""COMPUTED_VALUE"""),"Cannes, France / Berlin, Germany")</f>
        <v/>
      </c>
      <c r="K2858">
        <f>IFERROR(__xludf.DUMMYFUNCTION("""COMPUTED_VALUE"""),13876.22)</f>
        <v/>
      </c>
    </row>
    <row r="2859">
      <c r="J2859">
        <f>IFERROR(__xludf.DUMMYFUNCTION("""COMPUTED_VALUE"""),"Warsaw, Poland &amp; Kyiv, Ukraine")</f>
        <v/>
      </c>
      <c r="K2859">
        <f>IFERROR(__xludf.DUMMYFUNCTION("""COMPUTED_VALUE"""),13875.71)</f>
        <v/>
      </c>
    </row>
    <row r="2860">
      <c r="J2860">
        <f>IFERROR(__xludf.DUMMYFUNCTION("""COMPUTED_VALUE"""),"Cairo &amp; Sharm El Sheikh, Egypt Khartoum, Sudan and Paris, France")</f>
        <v/>
      </c>
      <c r="K2860">
        <f>IFERROR(__xludf.DUMMYFUNCTION("""COMPUTED_VALUE"""),13875.17)</f>
        <v/>
      </c>
    </row>
    <row r="2861">
      <c r="J2861">
        <f>IFERROR(__xludf.DUMMYFUNCTION("""COMPUTED_VALUE"""),"Seoul, Korea and Tokyo, Japan")</f>
        <v/>
      </c>
      <c r="K2861">
        <f>IFERROR(__xludf.DUMMYFUNCTION("""COMPUTED_VALUE"""),13874.67)</f>
        <v/>
      </c>
    </row>
    <row r="2862">
      <c r="J2862">
        <f>IFERROR(__xludf.DUMMYFUNCTION("""COMPUTED_VALUE"""),"Paris, France and Madrid, Spain")</f>
        <v/>
      </c>
      <c r="K2862">
        <f>IFERROR(__xludf.DUMMYFUNCTION("""COMPUTED_VALUE"""),13873.31)</f>
        <v/>
      </c>
    </row>
    <row r="2863">
      <c r="J2863">
        <f>IFERROR(__xludf.DUMMYFUNCTION("""COMPUTED_VALUE"""),"Bagotville, Quebec, Canada")</f>
        <v/>
      </c>
      <c r="K2863">
        <f>IFERROR(__xludf.DUMMYFUNCTION("""COMPUTED_VALUE"""),13871.54)</f>
        <v/>
      </c>
    </row>
    <row r="2864">
      <c r="J2864">
        <f>IFERROR(__xludf.DUMMYFUNCTION("""COMPUTED_VALUE"""),"Cardiff, Wales
Geneva, Switzerland")</f>
        <v/>
      </c>
      <c r="K2864">
        <f>IFERROR(__xludf.DUMMYFUNCTION("""COMPUTED_VALUE"""),13870.02)</f>
        <v/>
      </c>
    </row>
    <row r="2865">
      <c r="J2865">
        <f>IFERROR(__xludf.DUMMYFUNCTION("""COMPUTED_VALUE"""),"TORONTO, ON CANADA")</f>
        <v/>
      </c>
      <c r="K2865">
        <f>IFERROR(__xludf.DUMMYFUNCTION("""COMPUTED_VALUE"""),13857.13)</f>
        <v/>
      </c>
    </row>
    <row r="2866">
      <c r="J2866">
        <f>IFERROR(__xludf.DUMMYFUNCTION("""COMPUTED_VALUE"""),"Honolulu")</f>
        <v/>
      </c>
      <c r="K2866">
        <f>IFERROR(__xludf.DUMMYFUNCTION("""COMPUTED_VALUE"""),13854.8699999999)</f>
        <v/>
      </c>
    </row>
    <row r="2867">
      <c r="J2867">
        <f>IFERROR(__xludf.DUMMYFUNCTION("""COMPUTED_VALUE"""),"Halifax, NS
Amendola, IT
Preswick, UK
Bucharest, RO")</f>
        <v/>
      </c>
      <c r="K2867">
        <f>IFERROR(__xludf.DUMMYFUNCTION("""COMPUTED_VALUE"""),13853.67)</f>
        <v/>
      </c>
    </row>
    <row r="2868">
      <c r="J2868">
        <f>IFERROR(__xludf.DUMMYFUNCTION("""COMPUTED_VALUE"""),"Paris, France, London, United Kingdom")</f>
        <v/>
      </c>
      <c r="K2868">
        <f>IFERROR(__xludf.DUMMYFUNCTION("""COMPUTED_VALUE"""),13851.07)</f>
        <v/>
      </c>
    </row>
    <row r="2869">
      <c r="J2869">
        <f>IFERROR(__xludf.DUMMYFUNCTION("""COMPUTED_VALUE"""),"Reykjavik, Venice, Warsaw")</f>
        <v/>
      </c>
      <c r="K2869">
        <f>IFERROR(__xludf.DUMMYFUNCTION("""COMPUTED_VALUE"""),13845.82)</f>
        <v/>
      </c>
    </row>
    <row r="2870">
      <c r="J2870">
        <f>IFERROR(__xludf.DUMMYFUNCTION("""COMPUTED_VALUE"""),"Abu Dhabi, Dubai, Istanbul and Ankara")</f>
        <v/>
      </c>
      <c r="K2870">
        <f>IFERROR(__xludf.DUMMYFUNCTION("""COMPUTED_VALUE"""),13841.49)</f>
        <v/>
      </c>
    </row>
    <row r="2871">
      <c r="J2871">
        <f>IFERROR(__xludf.DUMMYFUNCTION("""COMPUTED_VALUE"""),"London, Oman")</f>
        <v/>
      </c>
      <c r="K2871">
        <f>IFERROR(__xludf.DUMMYFUNCTION("""COMPUTED_VALUE"""),13840.49)</f>
        <v/>
      </c>
    </row>
    <row r="2872">
      <c r="J2872">
        <f>IFERROR(__xludf.DUMMYFUNCTION("""COMPUTED_VALUE"""),"Dortmund-Berlin-Frankfurt,  Germany; Paris, France; London, United Kingdom")</f>
        <v/>
      </c>
      <c r="K2872">
        <f>IFERROR(__xludf.DUMMYFUNCTION("""COMPUTED_VALUE"""),13838.57)</f>
        <v/>
      </c>
    </row>
    <row r="2873">
      <c r="J2873">
        <f>IFERROR(__xludf.DUMMYFUNCTION("""COMPUTED_VALUE"""),"Bonn, Germany
Copenhagen, Denmark
The Hague, Netherlands")</f>
        <v/>
      </c>
      <c r="K2873">
        <f>IFERROR(__xludf.DUMMYFUNCTION("""COMPUTED_VALUE"""),13837.86)</f>
        <v/>
      </c>
    </row>
    <row r="2874">
      <c r="J2874">
        <f>IFERROR(__xludf.DUMMYFUNCTION("""COMPUTED_VALUE"""),"London, Hamburg")</f>
        <v/>
      </c>
      <c r="K2874">
        <f>IFERROR(__xludf.DUMMYFUNCTION("""COMPUTED_VALUE"""),13836.39)</f>
        <v/>
      </c>
    </row>
    <row r="2875">
      <c r="J2875">
        <f>IFERROR(__xludf.DUMMYFUNCTION("""COMPUTED_VALUE"""),"Buenos Aires and San Juan, Argentina")</f>
        <v/>
      </c>
      <c r="K2875">
        <f>IFERROR(__xludf.DUMMYFUNCTION("""COMPUTED_VALUE"""),13835)</f>
        <v/>
      </c>
    </row>
    <row r="2876">
      <c r="J2876">
        <f>IFERROR(__xludf.DUMMYFUNCTION("""COMPUTED_VALUE"""),"Abu Dhabi and Dubai")</f>
        <v/>
      </c>
      <c r="K2876">
        <f>IFERROR(__xludf.DUMMYFUNCTION("""COMPUTED_VALUE"""),13831.26)</f>
        <v/>
      </c>
    </row>
    <row r="2877">
      <c r="J2877">
        <f>IFERROR(__xludf.DUMMYFUNCTION("""COMPUTED_VALUE"""),"Halifax, Nova Soctia / Croatia / Poland")</f>
        <v/>
      </c>
      <c r="K2877">
        <f>IFERROR(__xludf.DUMMYFUNCTION("""COMPUTED_VALUE"""),13830.49)</f>
        <v/>
      </c>
    </row>
    <row r="2878">
      <c r="J2878">
        <f>IFERROR(__xludf.DUMMYFUNCTION("""COMPUTED_VALUE"""),"Manila Philippines and Los Angeles, California")</f>
        <v/>
      </c>
      <c r="K2878">
        <f>IFERROR(__xludf.DUMMYFUNCTION("""COMPUTED_VALUE"""),13826.07)</f>
        <v/>
      </c>
    </row>
    <row r="2879">
      <c r="J2879">
        <f>IFERROR(__xludf.DUMMYFUNCTION("""COMPUTED_VALUE"""),"Montreal, Québec, Canada")</f>
        <v/>
      </c>
      <c r="K2879">
        <f>IFERROR(__xludf.DUMMYFUNCTION("""COMPUTED_VALUE"""),13820.38)</f>
        <v/>
      </c>
    </row>
    <row r="2880">
      <c r="J2880">
        <f>IFERROR(__xludf.DUMMYFUNCTION("""COMPUTED_VALUE"""),"London, UK;Tokyo, Japan")</f>
        <v/>
      </c>
      <c r="K2880">
        <f>IFERROR(__xludf.DUMMYFUNCTION("""COMPUTED_VALUE"""),13820.35)</f>
        <v/>
      </c>
    </row>
    <row r="2881">
      <c r="J2881">
        <f>IFERROR(__xludf.DUMMYFUNCTION("""COMPUTED_VALUE"""),"Montreal QC")</f>
        <v/>
      </c>
      <c r="K2881">
        <f>IFERROR(__xludf.DUMMYFUNCTION("""COMPUTED_VALUE"""),13811.06)</f>
        <v/>
      </c>
    </row>
    <row r="2882">
      <c r="J2882">
        <f>IFERROR(__xludf.DUMMYFUNCTION("""COMPUTED_VALUE"""),"Noumea, New Caledonia")</f>
        <v/>
      </c>
      <c r="K2882">
        <f>IFERROR(__xludf.DUMMYFUNCTION("""COMPUTED_VALUE"""),13808.78)</f>
        <v/>
      </c>
    </row>
    <row r="2883">
      <c r="J2883">
        <f>IFERROR(__xludf.DUMMYFUNCTION("""COMPUTED_VALUE"""),"Cairo, Egypt
Amman, Jordan
Tel Aviv, Israel")</f>
        <v/>
      </c>
      <c r="K2883">
        <f>IFERROR(__xludf.DUMMYFUNCTION("""COMPUTED_VALUE"""),13808.3)</f>
        <v/>
      </c>
    </row>
    <row r="2884">
      <c r="J2884">
        <f>IFERROR(__xludf.DUMMYFUNCTION("""COMPUTED_VALUE"""),"Paris, FR / Philadelphia, PA")</f>
        <v/>
      </c>
      <c r="K2884">
        <f>IFERROR(__xludf.DUMMYFUNCTION("""COMPUTED_VALUE"""),13806.16)</f>
        <v/>
      </c>
    </row>
    <row r="2885">
      <c r="J2885">
        <f>IFERROR(__xludf.DUMMYFUNCTION("""COMPUTED_VALUE"""),"Detroit, MI")</f>
        <v/>
      </c>
      <c r="K2885">
        <f>IFERROR(__xludf.DUMMYFUNCTION("""COMPUTED_VALUE"""),13803.51)</f>
        <v/>
      </c>
    </row>
    <row r="2886">
      <c r="J2886">
        <f>IFERROR(__xludf.DUMMYFUNCTION("""COMPUTED_VALUE"""),"Brussels, Belgium
Luxembourg city, Luxembourg
Paris, France
London, United Kingdom")</f>
        <v/>
      </c>
      <c r="K2886">
        <f>IFERROR(__xludf.DUMMYFUNCTION("""COMPUTED_VALUE"""),13800.3699999999)</f>
        <v/>
      </c>
    </row>
    <row r="2887">
      <c r="J2887">
        <f>IFERROR(__xludf.DUMMYFUNCTION("""COMPUTED_VALUE"""),"Ottawa - Australia - Ottawa")</f>
        <v/>
      </c>
      <c r="K2887">
        <f>IFERROR(__xludf.DUMMYFUNCTION("""COMPUTED_VALUE"""),13798.29)</f>
        <v/>
      </c>
    </row>
    <row r="2888">
      <c r="J2888">
        <f>IFERROR(__xludf.DUMMYFUNCTION("""COMPUTED_VALUE"""),"Berlin to Ottawa")</f>
        <v/>
      </c>
      <c r="K2888">
        <f>IFERROR(__xludf.DUMMYFUNCTION("""COMPUTED_VALUE"""),13794.82)</f>
        <v/>
      </c>
    </row>
    <row r="2889">
      <c r="J2889">
        <f>IFERROR(__xludf.DUMMYFUNCTION("""COMPUTED_VALUE"""),"Xiamen, Fujian, China")</f>
        <v/>
      </c>
      <c r="K2889">
        <f>IFERROR(__xludf.DUMMYFUNCTION("""COMPUTED_VALUE"""),13784.23)</f>
        <v/>
      </c>
    </row>
    <row r="2890">
      <c r="J2890">
        <f>IFERROR(__xludf.DUMMYFUNCTION("""COMPUTED_VALUE"""),"Leipzeg, Germany")</f>
        <v/>
      </c>
      <c r="K2890">
        <f>IFERROR(__xludf.DUMMYFUNCTION("""COMPUTED_VALUE"""),13784.14)</f>
        <v/>
      </c>
    </row>
    <row r="2891">
      <c r="J2891">
        <f>IFERROR(__xludf.DUMMYFUNCTION("""COMPUTED_VALUE"""),"Luxor, EG
Paris, FR
Brussels, BE
Rotterdam, NL")</f>
        <v/>
      </c>
      <c r="K2891">
        <f>IFERROR(__xludf.DUMMYFUNCTION("""COMPUTED_VALUE"""),13775.75)</f>
        <v/>
      </c>
    </row>
    <row r="2892">
      <c r="J2892">
        <f>IFERROR(__xludf.DUMMYFUNCTION("""COMPUTED_VALUE"""),"Ottawa and Toronto, Canada")</f>
        <v/>
      </c>
      <c r="K2892">
        <f>IFERROR(__xludf.DUMMYFUNCTION("""COMPUTED_VALUE"""),13767.21)</f>
        <v/>
      </c>
    </row>
    <row r="2893">
      <c r="J2893">
        <f>IFERROR(__xludf.DUMMYFUNCTION("""COMPUTED_VALUE"""),"New Delhi / Abu Dhabi, India")</f>
        <v/>
      </c>
      <c r="K2893">
        <f>IFERROR(__xludf.DUMMYFUNCTION("""COMPUTED_VALUE"""),13765.69)</f>
        <v/>
      </c>
    </row>
    <row r="2894">
      <c r="J2894">
        <f>IFERROR(__xludf.DUMMYFUNCTION("""COMPUTED_VALUE"""),"Norfolk, VA, USA")</f>
        <v/>
      </c>
      <c r="K2894">
        <f>IFERROR(__xludf.DUMMYFUNCTION("""COMPUTED_VALUE"""),13764.34)</f>
        <v/>
      </c>
    </row>
    <row r="2895">
      <c r="J2895">
        <f>IFERROR(__xludf.DUMMYFUNCTION("""COMPUTED_VALUE"""),"Hong Kong, China, Singapore, Singapore")</f>
        <v/>
      </c>
      <c r="K2895">
        <f>IFERROR(__xludf.DUMMYFUNCTION("""COMPUTED_VALUE"""),13763.54)</f>
        <v/>
      </c>
    </row>
    <row r="2896">
      <c r="J2896">
        <f>IFERROR(__xludf.DUMMYFUNCTION("""COMPUTED_VALUE"""),"Ottawa (Ontario) Canada &amp; Washington, United States")</f>
        <v/>
      </c>
      <c r="K2896">
        <f>IFERROR(__xludf.DUMMYFUNCTION("""COMPUTED_VALUE"""),13758.96)</f>
        <v/>
      </c>
    </row>
    <row r="2897">
      <c r="J2897">
        <f>IFERROR(__xludf.DUMMYFUNCTION("""COMPUTED_VALUE"""),"Malaysia")</f>
        <v/>
      </c>
      <c r="K2897">
        <f>IFERROR(__xludf.DUMMYFUNCTION("""COMPUTED_VALUE"""),13758.2)</f>
        <v/>
      </c>
    </row>
    <row r="2898">
      <c r="J2898">
        <f>IFERROR(__xludf.DUMMYFUNCTION("""COMPUTED_VALUE"""),"London, Ontario, Canada; Toronto, Ontario, Canada")</f>
        <v/>
      </c>
      <c r="K2898">
        <f>IFERROR(__xludf.DUMMYFUNCTION("""COMPUTED_VALUE"""),13757.5399999999)</f>
        <v/>
      </c>
    </row>
    <row r="2899">
      <c r="J2899">
        <f>IFERROR(__xludf.DUMMYFUNCTION("""COMPUTED_VALUE"""),"Charlottetown, Prince Edward Island.Canada")</f>
        <v/>
      </c>
      <c r="K2899">
        <f>IFERROR(__xludf.DUMMYFUNCTION("""COMPUTED_VALUE"""),13739.57)</f>
        <v/>
      </c>
    </row>
    <row r="2900">
      <c r="J2900">
        <f>IFERROR(__xludf.DUMMYFUNCTION("""COMPUTED_VALUE"""),"Calgary, AB, London, England, Istanbul, Turkey")</f>
        <v/>
      </c>
      <c r="K2900">
        <f>IFERROR(__xludf.DUMMYFUNCTION("""COMPUTED_VALUE"""),13739.31)</f>
        <v/>
      </c>
    </row>
    <row r="2901">
      <c r="J2901">
        <f>IFERROR(__xludf.DUMMYFUNCTION("""COMPUTED_VALUE"""),"Rio de Janeiro, Brazil
Sao Paulo, Brazil")</f>
        <v/>
      </c>
      <c r="K2901">
        <f>IFERROR(__xludf.DUMMYFUNCTION("""COMPUTED_VALUE"""),13738)</f>
        <v/>
      </c>
    </row>
    <row r="2902">
      <c r="J2902">
        <f>IFERROR(__xludf.DUMMYFUNCTION("""COMPUTED_VALUE"""),"Victoria, Vancouver, Toronto, Ottawa, Montreal, Halifax")</f>
        <v/>
      </c>
      <c r="K2902">
        <f>IFERROR(__xludf.DUMMYFUNCTION("""COMPUTED_VALUE"""),13735.65)</f>
        <v/>
      </c>
    </row>
    <row r="2903">
      <c r="J2903">
        <f>IFERROR(__xludf.DUMMYFUNCTION("""COMPUTED_VALUE"""),"Toronto, ON, Shanghai, China, Tokyo, Japan")</f>
        <v/>
      </c>
      <c r="K2903">
        <f>IFERROR(__xludf.DUMMYFUNCTION("""COMPUTED_VALUE"""),13733.93)</f>
        <v/>
      </c>
    </row>
    <row r="2904">
      <c r="J2904">
        <f>IFERROR(__xludf.DUMMYFUNCTION("""COMPUTED_VALUE"""),"Canaberra, Australia")</f>
        <v/>
      </c>
      <c r="K2904">
        <f>IFERROR(__xludf.DUMMYFUNCTION("""COMPUTED_VALUE"""),13732.66)</f>
        <v/>
      </c>
    </row>
    <row r="2905">
      <c r="J2905">
        <f>IFERROR(__xludf.DUMMYFUNCTION("""COMPUTED_VALUE"""),"Egypt, Oman, Czech Republic, Slovakia, Poland, Latvia and Estonia")</f>
        <v/>
      </c>
      <c r="K2905">
        <f>IFERROR(__xludf.DUMMYFUNCTION("""COMPUTED_VALUE"""),13732.46)</f>
        <v/>
      </c>
    </row>
    <row r="2906">
      <c r="J2906">
        <f>IFERROR(__xludf.DUMMYFUNCTION("""COMPUTED_VALUE"""),"Vancouver, British Columbia, Canada; Comox, British Columbia, Canada; Whitehorse, Yukon, Canada")</f>
        <v/>
      </c>
      <c r="K2906">
        <f>IFERROR(__xludf.DUMMYFUNCTION("""COMPUTED_VALUE"""),13722.48)</f>
        <v/>
      </c>
    </row>
    <row r="2907">
      <c r="J2907">
        <f>IFERROR(__xludf.DUMMYFUNCTION("""COMPUTED_VALUE"""),"Austria")</f>
        <v/>
      </c>
      <c r="K2907">
        <f>IFERROR(__xludf.DUMMYFUNCTION("""COMPUTED_VALUE"""),13717.79)</f>
        <v/>
      </c>
    </row>
    <row r="2908">
      <c r="J2908">
        <f>IFERROR(__xludf.DUMMYFUNCTION("""COMPUTED_VALUE"""),"London, UK, Portsmouth, UK and Halifax, Nova Scotia, Canada")</f>
        <v/>
      </c>
      <c r="K2908">
        <f>IFERROR(__xludf.DUMMYFUNCTION("""COMPUTED_VALUE"""),13715.32)</f>
        <v/>
      </c>
    </row>
    <row r="2909">
      <c r="J2909">
        <f>IFERROR(__xludf.DUMMYFUNCTION("""COMPUTED_VALUE"""),"Accra Ghana Africa")</f>
        <v/>
      </c>
      <c r="K2909">
        <f>IFERROR(__xludf.DUMMYFUNCTION("""COMPUTED_VALUE"""),13714.53)</f>
        <v/>
      </c>
    </row>
    <row r="2910">
      <c r="J2910">
        <f>IFERROR(__xludf.DUMMYFUNCTION("""COMPUTED_VALUE"""),"Montreal, QC, Moncton, NB, Sault Ste. Marie, ON, Saskatoon, SK, Calgary, AB, Edmonton, AB, Yellowknife, NT, Trois-Rivières, QC")</f>
        <v/>
      </c>
      <c r="K2910">
        <f>IFERROR(__xludf.DUMMYFUNCTION("""COMPUTED_VALUE"""),13709.51)</f>
        <v/>
      </c>
    </row>
    <row r="2911">
      <c r="J2911">
        <f>IFERROR(__xludf.DUMMYFUNCTION("""COMPUTED_VALUE"""),"Toronto, ON; Berlin, Germany")</f>
        <v/>
      </c>
      <c r="K2911">
        <f>IFERROR(__xludf.DUMMYFUNCTION("""COMPUTED_VALUE"""),13703.71)</f>
        <v/>
      </c>
    </row>
    <row r="2912">
      <c r="J2912">
        <f>IFERROR(__xludf.DUMMYFUNCTION("""COMPUTED_VALUE"""),"London United Kingdom, Brussels Belgium, The Hague Netherlands, Amsterdam Netherlands.")</f>
        <v/>
      </c>
      <c r="K2912">
        <f>IFERROR(__xludf.DUMMYFUNCTION("""COMPUTED_VALUE"""),13702.47)</f>
        <v/>
      </c>
    </row>
    <row r="2913">
      <c r="J2913">
        <f>IFERROR(__xludf.DUMMYFUNCTION("""COMPUTED_VALUE"""),"Tokyo, Japan and Esquimalt")</f>
        <v/>
      </c>
      <c r="K2913">
        <f>IFERROR(__xludf.DUMMYFUNCTION("""COMPUTED_VALUE"""),13701.58)</f>
        <v/>
      </c>
    </row>
    <row r="2914">
      <c r="J2914">
        <f>IFERROR(__xludf.DUMMYFUNCTION("""COMPUTED_VALUE"""),"Tokyo, JAPAN
Manila, PHILIPPINES")</f>
        <v/>
      </c>
      <c r="K2914">
        <f>IFERROR(__xludf.DUMMYFUNCTION("""COMPUTED_VALUE"""),13696.14)</f>
        <v/>
      </c>
    </row>
    <row r="2915">
      <c r="J2915">
        <f>IFERROR(__xludf.DUMMYFUNCTION("""COMPUTED_VALUE"""),"Tel Aviv Israel - Jerusalem, Israel - Paris, France - Brussels Belgium - London, UK")</f>
        <v/>
      </c>
      <c r="K2915">
        <f>IFERROR(__xludf.DUMMYFUNCTION("""COMPUTED_VALUE"""),13694.13)</f>
        <v/>
      </c>
    </row>
    <row r="2916">
      <c r="J2916">
        <f>IFERROR(__xludf.DUMMYFUNCTION("""COMPUTED_VALUE"""),"Vancouver, British Columbia, Canada; Nanaimo, British Columbia, Canada")</f>
        <v/>
      </c>
      <c r="K2916">
        <f>IFERROR(__xludf.DUMMYFUNCTION("""COMPUTED_VALUE"""),13692.26)</f>
        <v/>
      </c>
    </row>
    <row r="2917">
      <c r="J2917">
        <f>IFERROR(__xludf.DUMMYFUNCTION("""COMPUTED_VALUE"""),"Halifax, Nova Scotia and St. John's, Newfoundland and Labrador")</f>
        <v/>
      </c>
      <c r="K2917">
        <f>IFERROR(__xludf.DUMMYFUNCTION("""COMPUTED_VALUE"""),13689.19)</f>
        <v/>
      </c>
    </row>
    <row r="2918">
      <c r="J2918">
        <f>IFERROR(__xludf.DUMMYFUNCTION("""COMPUTED_VALUE"""),"Tokyo, JP / Kyoto, JP")</f>
        <v/>
      </c>
      <c r="K2918">
        <f>IFERROR(__xludf.DUMMYFUNCTION("""COMPUTED_VALUE"""),13684.43)</f>
        <v/>
      </c>
    </row>
    <row r="2919">
      <c r="J2919">
        <f>IFERROR(__xludf.DUMMYFUNCTION("""COMPUTED_VALUE"""),"Gatineau, Quebec, Canada and Ottawa, Ontario, Canada")</f>
        <v/>
      </c>
      <c r="K2919">
        <f>IFERROR(__xludf.DUMMYFUNCTION("""COMPUTED_VALUE"""),13683.9)</f>
        <v/>
      </c>
    </row>
    <row r="2920">
      <c r="J2920">
        <f>IFERROR(__xludf.DUMMYFUNCTION("""COMPUTED_VALUE"""),"Madrid, Santiago de Compostella, Porto and Lisbon.")</f>
        <v/>
      </c>
      <c r="K2920">
        <f>IFERROR(__xludf.DUMMYFUNCTION("""COMPUTED_VALUE"""),13681.21)</f>
        <v/>
      </c>
    </row>
    <row r="2921">
      <c r="J2921">
        <f>IFERROR(__xludf.DUMMYFUNCTION("""COMPUTED_VALUE"""),"Male, Maldives")</f>
        <v/>
      </c>
      <c r="K2921">
        <f>IFERROR(__xludf.DUMMYFUNCTION("""COMPUTED_VALUE"""),13669.98)</f>
        <v/>
      </c>
    </row>
    <row r="2922">
      <c r="J2922">
        <f>IFERROR(__xludf.DUMMYFUNCTION("""COMPUTED_VALUE"""),"Budapest and Warsaw")</f>
        <v/>
      </c>
      <c r="K2922">
        <f>IFERROR(__xludf.DUMMYFUNCTION("""COMPUTED_VALUE"""),13667.77)</f>
        <v/>
      </c>
    </row>
    <row r="2923">
      <c r="J2923">
        <f>IFERROR(__xludf.DUMMYFUNCTION("""COMPUTED_VALUE"""),"Toronto, Malaysia, Indonesia &amp; Japan")</f>
        <v/>
      </c>
      <c r="K2923">
        <f>IFERROR(__xludf.DUMMYFUNCTION("""COMPUTED_VALUE"""),13661.91)</f>
        <v/>
      </c>
    </row>
    <row r="2924">
      <c r="J2924">
        <f>IFERROR(__xludf.DUMMYFUNCTION("""COMPUTED_VALUE"""),"India and Nepal")</f>
        <v/>
      </c>
      <c r="K2924">
        <f>IFERROR(__xludf.DUMMYFUNCTION("""COMPUTED_VALUE"""),13661.59)</f>
        <v/>
      </c>
    </row>
    <row r="2925">
      <c r="J2925">
        <f>IFERROR(__xludf.DUMMYFUNCTION("""COMPUTED_VALUE"""),"Toronto, Ontario, Canada - London, England")</f>
        <v/>
      </c>
      <c r="K2925">
        <f>IFERROR(__xludf.DUMMYFUNCTION("""COMPUTED_VALUE"""),13656.81)</f>
        <v/>
      </c>
    </row>
    <row r="2926">
      <c r="J2926">
        <f>IFERROR(__xludf.DUMMYFUNCTION("""COMPUTED_VALUE"""),"Anchorage &amp; Abbotsford, Alaska &amp; British Columbia, USA &amp; Canada")</f>
        <v/>
      </c>
      <c r="K2926">
        <f>IFERROR(__xludf.DUMMYFUNCTION("""COMPUTED_VALUE"""),13655.59)</f>
        <v/>
      </c>
    </row>
    <row r="2927">
      <c r="J2927">
        <f>IFERROR(__xludf.DUMMYFUNCTION("""COMPUTED_VALUE"""),"Dubai ( United Arab Emirates)")</f>
        <v/>
      </c>
      <c r="K2927">
        <f>IFERROR(__xludf.DUMMYFUNCTION("""COMPUTED_VALUE"""),13651.22)</f>
        <v/>
      </c>
    </row>
    <row r="2928">
      <c r="J2928">
        <f>IFERROR(__xludf.DUMMYFUNCTION("""COMPUTED_VALUE"""),"Detroit, United States")</f>
        <v/>
      </c>
      <c r="K2928">
        <f>IFERROR(__xludf.DUMMYFUNCTION("""COMPUTED_VALUE"""),13638.53)</f>
        <v/>
      </c>
    </row>
    <row r="2929">
      <c r="J2929">
        <f>IFERROR(__xludf.DUMMYFUNCTION("""COMPUTED_VALUE"""),"London, United Kingdom &amp; Republic of Malta &amp; Vancouver, British-Colombia")</f>
        <v/>
      </c>
      <c r="K2929">
        <f>IFERROR(__xludf.DUMMYFUNCTION("""COMPUTED_VALUE"""),13627.81)</f>
        <v/>
      </c>
    </row>
    <row r="2930">
      <c r="J2930">
        <f>IFERROR(__xludf.DUMMYFUNCTION("""COMPUTED_VALUE"""),"Khartoum, Sudan; Juba, Sudan; Nairobi, Kenya; Dar es Salaam, Tanzania")</f>
        <v/>
      </c>
      <c r="K2930">
        <f>IFERROR(__xludf.DUMMYFUNCTION("""COMPUTED_VALUE"""),13626.69)</f>
        <v/>
      </c>
    </row>
    <row r="2931">
      <c r="J2931">
        <f>IFERROR(__xludf.DUMMYFUNCTION("""COMPUTED_VALUE"""),"Vancouver, British Columbia, Canada/ Bella Coola, British Columbia, Canada/ Victoria, Bristish Columbia, Canada")</f>
        <v/>
      </c>
      <c r="K2931">
        <f>IFERROR(__xludf.DUMMYFUNCTION("""COMPUTED_VALUE"""),13623.21)</f>
        <v/>
      </c>
    </row>
    <row r="2932">
      <c r="J2932">
        <f>IFERROR(__xludf.DUMMYFUNCTION("""COMPUTED_VALUE"""),"Zurich, Switzerland;St.Petersburg, Russia;London,")</f>
        <v/>
      </c>
      <c r="K2932">
        <f>IFERROR(__xludf.DUMMYFUNCTION("""COMPUTED_VALUE"""),13620.14)</f>
        <v/>
      </c>
    </row>
    <row r="2933">
      <c r="J2933">
        <f>IFERROR(__xludf.DUMMYFUNCTION("""COMPUTED_VALUE"""),"Borgo, Italy")</f>
        <v/>
      </c>
      <c r="K2933">
        <f>IFERROR(__xludf.DUMMYFUNCTION("""COMPUTED_VALUE"""),13603)</f>
        <v/>
      </c>
    </row>
    <row r="2934">
      <c r="J2934">
        <f>IFERROR(__xludf.DUMMYFUNCTION("""COMPUTED_VALUE"""),"United Kingdom, Iceland, Denmark, Finland and Norway")</f>
        <v/>
      </c>
      <c r="K2934">
        <f>IFERROR(__xludf.DUMMYFUNCTION("""COMPUTED_VALUE"""),13602.09)</f>
        <v/>
      </c>
    </row>
    <row r="2935">
      <c r="J2935">
        <f>IFERROR(__xludf.DUMMYFUNCTION("""COMPUTED_VALUE"""),"Paris, France
Brussels, Belgium")</f>
        <v/>
      </c>
      <c r="K2935">
        <f>IFERROR(__xludf.DUMMYFUNCTION("""COMPUTED_VALUE"""),13598.85)</f>
        <v/>
      </c>
    </row>
    <row r="2936">
      <c r="J2936">
        <f>IFERROR(__xludf.DUMMYFUNCTION("""COMPUTED_VALUE"""),"Helsinki, Finland / Zurich, Switzerland / Stockholm, Sweden / Munich, Germany / Davos, Switzerland")</f>
        <v/>
      </c>
      <c r="K2936">
        <f>IFERROR(__xludf.DUMMYFUNCTION("""COMPUTED_VALUE"""),13591.56)</f>
        <v/>
      </c>
    </row>
    <row r="2937">
      <c r="J2937">
        <f>IFERROR(__xludf.DUMMYFUNCTION("""COMPUTED_VALUE"""),"Benin and Nigeria")</f>
        <v/>
      </c>
      <c r="K2937">
        <f>IFERROR(__xludf.DUMMYFUNCTION("""COMPUTED_VALUE"""),13591.38)</f>
        <v/>
      </c>
    </row>
    <row r="2938">
      <c r="J2938">
        <f>IFERROR(__xludf.DUMMYFUNCTION("""COMPUTED_VALUE"""),"Grande Cache, Alberta")</f>
        <v/>
      </c>
      <c r="K2938">
        <f>IFERROR(__xludf.DUMMYFUNCTION("""COMPUTED_VALUE"""),13585.91)</f>
        <v/>
      </c>
    </row>
    <row r="2939">
      <c r="J2939">
        <f>IFERROR(__xludf.DUMMYFUNCTION("""COMPUTED_VALUE"""),"Delhi")</f>
        <v/>
      </c>
      <c r="K2939">
        <f>IFERROR(__xludf.DUMMYFUNCTION("""COMPUTED_VALUE"""),13583.86)</f>
        <v/>
      </c>
    </row>
    <row r="2940">
      <c r="J2940">
        <f>IFERROR(__xludf.DUMMYFUNCTION("""COMPUTED_VALUE"""),"Toronto, Kuwait")</f>
        <v/>
      </c>
      <c r="K2940">
        <f>IFERROR(__xludf.DUMMYFUNCTION("""COMPUTED_VALUE"""),13583.3)</f>
        <v/>
      </c>
    </row>
    <row r="2941">
      <c r="J2941">
        <f>IFERROR(__xludf.DUMMYFUNCTION("""COMPUTED_VALUE"""),"Santiago, Chili")</f>
        <v/>
      </c>
      <c r="K2941">
        <f>IFERROR(__xludf.DUMMYFUNCTION("""COMPUTED_VALUE"""),13573.82)</f>
        <v/>
      </c>
    </row>
    <row r="2942">
      <c r="J2942">
        <f>IFERROR(__xludf.DUMMYFUNCTION("""COMPUTED_VALUE"""),"New York,  NY; Trujillo, Peru &amp; Sao Paulo, Brazil")</f>
        <v/>
      </c>
      <c r="K2942">
        <f>IFERROR(__xludf.DUMMYFUNCTION("""COMPUTED_VALUE"""),13568.01)</f>
        <v/>
      </c>
    </row>
    <row r="2943">
      <c r="J2943">
        <f>IFERROR(__xludf.DUMMYFUNCTION("""COMPUTED_VALUE"""),"Niagara, Ontario, Canada")</f>
        <v/>
      </c>
      <c r="K2943">
        <f>IFERROR(__xludf.DUMMYFUNCTION("""COMPUTED_VALUE"""),13563.9)</f>
        <v/>
      </c>
    </row>
    <row r="2944">
      <c r="J2944">
        <f>IFERROR(__xludf.DUMMYFUNCTION("""COMPUTED_VALUE"""),"LONDON, ENGLAND, UK")</f>
        <v/>
      </c>
      <c r="K2944">
        <f>IFERROR(__xludf.DUMMYFUNCTION("""COMPUTED_VALUE"""),13558.76)</f>
        <v/>
      </c>
    </row>
    <row r="2945">
      <c r="J2945">
        <f>IFERROR(__xludf.DUMMYFUNCTION("""COMPUTED_VALUE"""),"Abu Dhabi UAE")</f>
        <v/>
      </c>
      <c r="K2945">
        <f>IFERROR(__xludf.DUMMYFUNCTION("""COMPUTED_VALUE"""),13556.18)</f>
        <v/>
      </c>
    </row>
    <row r="2946">
      <c r="J2946">
        <f>IFERROR(__xludf.DUMMYFUNCTION("""COMPUTED_VALUE"""),"Algeria, Mali, Senegal")</f>
        <v/>
      </c>
      <c r="K2946">
        <f>IFERROR(__xludf.DUMMYFUNCTION("""COMPUTED_VALUE"""),13555.87)</f>
        <v/>
      </c>
    </row>
    <row r="2947">
      <c r="J2947">
        <f>IFERROR(__xludf.DUMMYFUNCTION("""COMPUTED_VALUE"""),"Vancouver, British Columbia, Canada / Smithers, British Columbia, Canada")</f>
        <v/>
      </c>
      <c r="K2947">
        <f>IFERROR(__xludf.DUMMYFUNCTION("""COMPUTED_VALUE"""),13554.69)</f>
        <v/>
      </c>
    </row>
    <row r="2948">
      <c r="J2948">
        <f>IFERROR(__xludf.DUMMYFUNCTION("""COMPUTED_VALUE"""),"Amman, JordanTel Avive, Israel")</f>
        <v/>
      </c>
      <c r="K2948">
        <f>IFERROR(__xludf.DUMMYFUNCTION("""COMPUTED_VALUE"""),13553)</f>
        <v/>
      </c>
    </row>
    <row r="2949">
      <c r="J2949">
        <f>IFERROR(__xludf.DUMMYFUNCTION("""COMPUTED_VALUE"""),"Ottawa, ON - Calgary, AB / Calgary, AB - Ottawa, ON")</f>
        <v/>
      </c>
      <c r="K2949">
        <f>IFERROR(__xludf.DUMMYFUNCTION("""COMPUTED_VALUE"""),13552.4)</f>
        <v/>
      </c>
    </row>
    <row r="2950">
      <c r="J2950">
        <f>IFERROR(__xludf.DUMMYFUNCTION("""COMPUTED_VALUE"""),"London, Brussels, Paris, Berlin, Vienna, Athens")</f>
        <v/>
      </c>
      <c r="K2950">
        <f>IFERROR(__xludf.DUMMYFUNCTION("""COMPUTED_VALUE"""),13549.47)</f>
        <v/>
      </c>
    </row>
    <row r="2951">
      <c r="J2951">
        <f>IFERROR(__xludf.DUMMYFUNCTION("""COMPUTED_VALUE"""),"Wellington, Napier, Auckland (New Zealand)")</f>
        <v/>
      </c>
      <c r="K2951">
        <f>IFERROR(__xludf.DUMMYFUNCTION("""COMPUTED_VALUE"""),13547.59)</f>
        <v/>
      </c>
    </row>
    <row r="2952">
      <c r="J2952">
        <f>IFERROR(__xludf.DUMMYFUNCTION("""COMPUTED_VALUE"""),"Auckland, New Zealand.")</f>
        <v/>
      </c>
      <c r="K2952">
        <f>IFERROR(__xludf.DUMMYFUNCTION("""COMPUTED_VALUE"""),13543.38)</f>
        <v/>
      </c>
    </row>
    <row r="2953">
      <c r="J2953">
        <f>IFERROR(__xludf.DUMMYFUNCTION("""COMPUTED_VALUE"""),"Kabul (Afghanistan); Islamabad (Pakistan)")</f>
        <v/>
      </c>
      <c r="K2953">
        <f>IFERROR(__xludf.DUMMYFUNCTION("""COMPUTED_VALUE"""),13533.87)</f>
        <v/>
      </c>
    </row>
    <row r="2954">
      <c r="J2954">
        <f>IFERROR(__xludf.DUMMYFUNCTION("""COMPUTED_VALUE"""),"Ottawa and Montreal")</f>
        <v/>
      </c>
      <c r="K2954">
        <f>IFERROR(__xludf.DUMMYFUNCTION("""COMPUTED_VALUE"""),13533.62)</f>
        <v/>
      </c>
    </row>
    <row r="2955">
      <c r="J2955">
        <f>IFERROR(__xludf.DUMMYFUNCTION("""COMPUTED_VALUE"""),"Vancouver, British Columbia, Canada; Montreal, Quebec, Canada")</f>
        <v/>
      </c>
      <c r="K2955">
        <f>IFERROR(__xludf.DUMMYFUNCTION("""COMPUTED_VALUE"""),13531.5)</f>
        <v/>
      </c>
    </row>
    <row r="2956">
      <c r="J2956">
        <f>IFERROR(__xludf.DUMMYFUNCTION("""COMPUTED_VALUE"""),"Brisbane and Canberra, Australia")</f>
        <v/>
      </c>
      <c r="K2956">
        <f>IFERROR(__xludf.DUMMYFUNCTION("""COMPUTED_VALUE"""),13530.83)</f>
        <v/>
      </c>
    </row>
    <row r="2957">
      <c r="J2957">
        <f>IFERROR(__xludf.DUMMYFUNCTION("""COMPUTED_VALUE"""),"Nairobi, Kenya
Buenos Aires, Argentina")</f>
        <v/>
      </c>
      <c r="K2957">
        <f>IFERROR(__xludf.DUMMYFUNCTION("""COMPUTED_VALUE"""),13527.75)</f>
        <v/>
      </c>
    </row>
    <row r="2958">
      <c r="J2958">
        <f>IFERROR(__xludf.DUMMYFUNCTION("""COMPUTED_VALUE"""),"Brussels and Bucharest")</f>
        <v/>
      </c>
      <c r="K2958">
        <f>IFERROR(__xludf.DUMMYFUNCTION("""COMPUTED_VALUE"""),13526.03)</f>
        <v/>
      </c>
    </row>
    <row r="2959">
      <c r="J2959">
        <f>IFERROR(__xludf.DUMMYFUNCTION("""COMPUTED_VALUE"""),"Puerto Vallarta, Mexico")</f>
        <v/>
      </c>
      <c r="K2959">
        <f>IFERROR(__xludf.DUMMYFUNCTION("""COMPUTED_VALUE"""),13525.95)</f>
        <v/>
      </c>
    </row>
    <row r="2960">
      <c r="J2960">
        <f>IFERROR(__xludf.DUMMYFUNCTION("""COMPUTED_VALUE"""),"Paris, France and Berlin, Germany")</f>
        <v/>
      </c>
      <c r="K2960">
        <f>IFERROR(__xludf.DUMMYFUNCTION("""COMPUTED_VALUE"""),13524.32)</f>
        <v/>
      </c>
    </row>
    <row r="2961">
      <c r="J2961">
        <f>IFERROR(__xludf.DUMMYFUNCTION("""COMPUTED_VALUE"""),"Toronto, Ontari")</f>
        <v/>
      </c>
      <c r="K2961">
        <f>IFERROR(__xludf.DUMMYFUNCTION("""COMPUTED_VALUE"""),13521.23)</f>
        <v/>
      </c>
    </row>
    <row r="2962">
      <c r="J2962">
        <f>IFERROR(__xludf.DUMMYFUNCTION("""COMPUTED_VALUE"""),"Brussels (Belgium) Europe")</f>
        <v/>
      </c>
      <c r="K2962">
        <f>IFERROR(__xludf.DUMMYFUNCTION("""COMPUTED_VALUE"""),13518.66)</f>
        <v/>
      </c>
    </row>
    <row r="2963">
      <c r="J2963">
        <f>IFERROR(__xludf.DUMMYFUNCTION("""COMPUTED_VALUE"""),"Riga, LatviaTallinn, Estonia")</f>
        <v/>
      </c>
      <c r="K2963">
        <f>IFERROR(__xludf.DUMMYFUNCTION("""COMPUTED_VALUE"""),13518.21)</f>
        <v/>
      </c>
    </row>
    <row r="2964">
      <c r="J2964">
        <f>IFERROR(__xludf.DUMMYFUNCTION("""COMPUTED_VALUE"""),"Longueuil, Quebec, Canada")</f>
        <v/>
      </c>
      <c r="K2964">
        <f>IFERROR(__xludf.DUMMYFUNCTION("""COMPUTED_VALUE"""),13510.8699999999)</f>
        <v/>
      </c>
    </row>
    <row r="2965">
      <c r="J2965">
        <f>IFERROR(__xludf.DUMMYFUNCTION("""COMPUTED_VALUE"""),"Brussels, Belgium
Zurich, Switzerland")</f>
        <v/>
      </c>
      <c r="K2965">
        <f>IFERROR(__xludf.DUMMYFUNCTION("""COMPUTED_VALUE"""),13501.66)</f>
        <v/>
      </c>
    </row>
    <row r="2966">
      <c r="J2966">
        <f>IFERROR(__xludf.DUMMYFUNCTION("""COMPUTED_VALUE"""),"Munich and Aachen, Germany")</f>
        <v/>
      </c>
      <c r="K2966">
        <f>IFERROR(__xludf.DUMMYFUNCTION("""COMPUTED_VALUE"""),13499.24)</f>
        <v/>
      </c>
    </row>
    <row r="2967">
      <c r="J2967">
        <f>IFERROR(__xludf.DUMMYFUNCTION("""COMPUTED_VALUE"""),"Toronto, Ontario, Canada and Amsterdam, Netherlands")</f>
        <v/>
      </c>
      <c r="K2967">
        <f>IFERROR(__xludf.DUMMYFUNCTION("""COMPUTED_VALUE"""),13497.86)</f>
        <v/>
      </c>
    </row>
    <row r="2968">
      <c r="J2968">
        <f>IFERROR(__xludf.DUMMYFUNCTION("""COMPUTED_VALUE"""),"Whitesand, Ontario, Canada")</f>
        <v/>
      </c>
      <c r="K2968">
        <f>IFERROR(__xludf.DUMMYFUNCTION("""COMPUTED_VALUE"""),13497.67)</f>
        <v/>
      </c>
    </row>
    <row r="2969">
      <c r="J2969">
        <f>IFERROR(__xludf.DUMMYFUNCTION("""COMPUTED_VALUE"""),"Dubai
United Arab Emirates")</f>
        <v/>
      </c>
      <c r="K2969">
        <f>IFERROR(__xludf.DUMMYFUNCTION("""COMPUTED_VALUE"""),13493.4)</f>
        <v/>
      </c>
    </row>
    <row r="2970">
      <c r="J2970">
        <f>IFERROR(__xludf.DUMMYFUNCTION("""COMPUTED_VALUE"""),"Paris,Toronto, Ottawa")</f>
        <v/>
      </c>
      <c r="K2970">
        <f>IFERROR(__xludf.DUMMYFUNCTION("""COMPUTED_VALUE"""),13489.71)</f>
        <v/>
      </c>
    </row>
    <row r="2971">
      <c r="J2971">
        <f>IFERROR(__xludf.DUMMYFUNCTION("""COMPUTED_VALUE"""),"Hyderabad (Telangana) India
Delhi, India")</f>
        <v/>
      </c>
      <c r="K2971">
        <f>IFERROR(__xludf.DUMMYFUNCTION("""COMPUTED_VALUE"""),13478.22)</f>
        <v/>
      </c>
    </row>
    <row r="2972">
      <c r="J2972">
        <f>IFERROR(__xludf.DUMMYFUNCTION("""COMPUTED_VALUE"""),"Argentina and Uruguay")</f>
        <v/>
      </c>
      <c r="K2972">
        <f>IFERROR(__xludf.DUMMYFUNCTION("""COMPUTED_VALUE"""),13473.32)</f>
        <v/>
      </c>
    </row>
    <row r="2973">
      <c r="J2973">
        <f>IFERROR(__xludf.DUMMYFUNCTION("""COMPUTED_VALUE"""),"London, UK and Amsterdan, Netherlands")</f>
        <v/>
      </c>
      <c r="K2973">
        <f>IFERROR(__xludf.DUMMYFUNCTION("""COMPUTED_VALUE"""),13472.17)</f>
        <v/>
      </c>
    </row>
    <row r="2974">
      <c r="J2974">
        <f>IFERROR(__xludf.DUMMYFUNCTION("""COMPUTED_VALUE"""),"Tampa, Florida")</f>
        <v/>
      </c>
      <c r="K2974">
        <f>IFERROR(__xludf.DUMMYFUNCTION("""COMPUTED_VALUE"""),13468.29)</f>
        <v/>
      </c>
    </row>
    <row r="2975">
      <c r="J2975">
        <f>IFERROR(__xludf.DUMMYFUNCTION("""COMPUTED_VALUE"""),"Monterey, California, United States")</f>
        <v/>
      </c>
      <c r="K2975">
        <f>IFERROR(__xludf.DUMMYFUNCTION("""COMPUTED_VALUE"""),13465.99)</f>
        <v/>
      </c>
    </row>
    <row r="2976">
      <c r="J2976">
        <f>IFERROR(__xludf.DUMMYFUNCTION("""COMPUTED_VALUE"""),"Nagoya and Tokyo, Japan")</f>
        <v/>
      </c>
      <c r="K2976">
        <f>IFERROR(__xludf.DUMMYFUNCTION("""COMPUTED_VALUE"""),13463.72)</f>
        <v/>
      </c>
    </row>
    <row r="2977">
      <c r="J2977">
        <f>IFERROR(__xludf.DUMMYFUNCTION("""COMPUTED_VALUE"""),"Cowessess, Saskatchewan; Calgary, Alberta; Vancouver, British Columbia, Canada")</f>
        <v/>
      </c>
      <c r="K2977">
        <f>IFERROR(__xludf.DUMMYFUNCTION("""COMPUTED_VALUE"""),13462.71)</f>
        <v/>
      </c>
    </row>
    <row r="2978">
      <c r="J2978">
        <f>IFERROR(__xludf.DUMMYFUNCTION("""COMPUTED_VALUE"""),"Beijing, CN / Shanghai, CN / Zhejiang, CN")</f>
        <v/>
      </c>
      <c r="K2978">
        <f>IFERROR(__xludf.DUMMYFUNCTION("""COMPUTED_VALUE"""),13457.67)</f>
        <v/>
      </c>
    </row>
    <row r="2979">
      <c r="J2979">
        <f>IFERROR(__xludf.DUMMYFUNCTION("""COMPUTED_VALUE"""),"Prestwick, GB")</f>
        <v/>
      </c>
      <c r="K2979">
        <f>IFERROR(__xludf.DUMMYFUNCTION("""COMPUTED_VALUE"""),13455.43)</f>
        <v/>
      </c>
    </row>
    <row r="2980">
      <c r="J2980">
        <f>IFERROR(__xludf.DUMMYFUNCTION("""COMPUTED_VALUE"""),"Australia, New Zealand")</f>
        <v/>
      </c>
      <c r="K2980">
        <f>IFERROR(__xludf.DUMMYFUNCTION("""COMPUTED_VALUE"""),13451.54)</f>
        <v/>
      </c>
    </row>
    <row r="2981">
      <c r="J2981">
        <f>IFERROR(__xludf.DUMMYFUNCTION("""COMPUTED_VALUE"""),"United Kingdom, Norway")</f>
        <v/>
      </c>
      <c r="K2981">
        <f>IFERROR(__xludf.DUMMYFUNCTION("""COMPUTED_VALUE"""),13447.08)</f>
        <v/>
      </c>
    </row>
    <row r="2982">
      <c r="J2982">
        <f>IFERROR(__xludf.DUMMYFUNCTION("""COMPUTED_VALUE"""),"N.A")</f>
        <v/>
      </c>
      <c r="K2982">
        <f>IFERROR(__xludf.DUMMYFUNCTION("""COMPUTED_VALUE"""),13443.99)</f>
        <v/>
      </c>
    </row>
    <row r="2983">
      <c r="J2983">
        <f>IFERROR(__xludf.DUMMYFUNCTION("""COMPUTED_VALUE"""),"Charlottetown, Prince Edward Island / Fredericton, New Brunswick / Halifax, Nova Scotia / St. John's, Newfoundland and Labrador, Canada")</f>
        <v/>
      </c>
      <c r="K2983">
        <f>IFERROR(__xludf.DUMMYFUNCTION("""COMPUTED_VALUE"""),13441.6)</f>
        <v/>
      </c>
    </row>
    <row r="2984">
      <c r="J2984">
        <f>IFERROR(__xludf.DUMMYFUNCTION("""COMPUTED_VALUE"""),"Paris, France / Ankara, Turkey")</f>
        <v/>
      </c>
      <c r="K2984">
        <f>IFERROR(__xludf.DUMMYFUNCTION("""COMPUTED_VALUE"""),13436.78)</f>
        <v/>
      </c>
    </row>
    <row r="2985">
      <c r="J2985">
        <f>IFERROR(__xludf.DUMMYFUNCTION("""COMPUTED_VALUE"""),"London England and Africa- Addis Ababa, Bahir Dar, Johannesburg, Pretoria")</f>
        <v/>
      </c>
      <c r="K2985">
        <f>IFERROR(__xludf.DUMMYFUNCTION("""COMPUTED_VALUE"""),13435.46)</f>
        <v/>
      </c>
    </row>
    <row r="2986">
      <c r="J2986">
        <f>IFERROR(__xludf.DUMMYFUNCTION("""COMPUTED_VALUE"""),"Oxfordshire, United Kingdom")</f>
        <v/>
      </c>
      <c r="K2986">
        <f>IFERROR(__xludf.DUMMYFUNCTION("""COMPUTED_VALUE"""),13431.89)</f>
        <v/>
      </c>
    </row>
    <row r="2987">
      <c r="J2987">
        <f>IFERROR(__xludf.DUMMYFUNCTION("""COMPUTED_VALUE"""),"New York, Paraguay, Uraguay and Buenos Aires")</f>
        <v/>
      </c>
      <c r="K2987">
        <f>IFERROR(__xludf.DUMMYFUNCTION("""COMPUTED_VALUE"""),13429.16)</f>
        <v/>
      </c>
    </row>
    <row r="2988">
      <c r="J2988">
        <f>IFERROR(__xludf.DUMMYFUNCTION("""COMPUTED_VALUE"""),"Beijing/Nanjing/Italy")</f>
        <v/>
      </c>
      <c r="K2988">
        <f>IFERROR(__xludf.DUMMYFUNCTION("""COMPUTED_VALUE"""),13429.01)</f>
        <v/>
      </c>
    </row>
    <row r="2989">
      <c r="J2989">
        <f>IFERROR(__xludf.DUMMYFUNCTION("""COMPUTED_VALUE"""),"Guangzhou and Beijing")</f>
        <v/>
      </c>
      <c r="K2989">
        <f>IFERROR(__xludf.DUMMYFUNCTION("""COMPUTED_VALUE"""),13426.51)</f>
        <v/>
      </c>
    </row>
    <row r="2990">
      <c r="J2990">
        <f>IFERROR(__xludf.DUMMYFUNCTION("""COMPUTED_VALUE"""),"New York, Paraguay, Uraguay and Argentina")</f>
        <v/>
      </c>
      <c r="K2990">
        <f>IFERROR(__xludf.DUMMYFUNCTION("""COMPUTED_VALUE"""),13424.62)</f>
        <v/>
      </c>
    </row>
    <row r="2991">
      <c r="J2991">
        <f>IFERROR(__xludf.DUMMYFUNCTION("""COMPUTED_VALUE"""),"Victoria and Vancouver, British Columbia, Canada")</f>
        <v/>
      </c>
      <c r="K2991">
        <f>IFERROR(__xludf.DUMMYFUNCTION("""COMPUTED_VALUE"""),13421.21)</f>
        <v/>
      </c>
    </row>
    <row r="2992">
      <c r="J2992">
        <f>IFERROR(__xludf.DUMMYFUNCTION("""COMPUTED_VALUE"""),"Kabul &amp; Kandahar, Afghanistan.")</f>
        <v/>
      </c>
      <c r="K2992">
        <f>IFERROR(__xludf.DUMMYFUNCTION("""COMPUTED_VALUE"""),13419.2899999999)</f>
        <v/>
      </c>
    </row>
    <row r="2993">
      <c r="J2993">
        <f>IFERROR(__xludf.DUMMYFUNCTION("""COMPUTED_VALUE"""),"Montreal, Qc")</f>
        <v/>
      </c>
      <c r="K2993">
        <f>IFERROR(__xludf.DUMMYFUNCTION("""COMPUTED_VALUE"""),13419.17)</f>
        <v/>
      </c>
    </row>
    <row r="2994">
      <c r="J2994">
        <f>IFERROR(__xludf.DUMMYFUNCTION("""COMPUTED_VALUE"""),"Seoul, Delhi and Istanbul")</f>
        <v/>
      </c>
      <c r="K2994">
        <f>IFERROR(__xludf.DUMMYFUNCTION("""COMPUTED_VALUE"""),13408.34)</f>
        <v/>
      </c>
    </row>
    <row r="2995">
      <c r="J2995">
        <f>IFERROR(__xludf.DUMMYFUNCTION("""COMPUTED_VALUE"""),"Ottawa/Vanc/Sydney/Canberra/Sydney/Singapore/HK/Toronto/Ottawa")</f>
        <v/>
      </c>
      <c r="K2995">
        <f>IFERROR(__xludf.DUMMYFUNCTION("""COMPUTED_VALUE"""),13404.26)</f>
        <v/>
      </c>
    </row>
    <row r="2996">
      <c r="J2996">
        <f>IFERROR(__xludf.DUMMYFUNCTION("""COMPUTED_VALUE"""),"Jakarta, Indonesia Ho Chi Minh city, Vietnam")</f>
        <v/>
      </c>
      <c r="K2996">
        <f>IFERROR(__xludf.DUMMYFUNCTION("""COMPUTED_VALUE"""),13402.52)</f>
        <v/>
      </c>
    </row>
    <row r="2997">
      <c r="J2997">
        <f>IFERROR(__xludf.DUMMYFUNCTION("""COMPUTED_VALUE"""),"Vancouver, British Columbia, Canada; Victoria, British Columbia, Canada; Canberra, Australia")</f>
        <v/>
      </c>
      <c r="K2997">
        <f>IFERROR(__xludf.DUMMYFUNCTION("""COMPUTED_VALUE"""),13399.82)</f>
        <v/>
      </c>
    </row>
    <row r="2998">
      <c r="J2998">
        <f>IFERROR(__xludf.DUMMYFUNCTION("""COMPUTED_VALUE"""),"Croatia and Zagreb")</f>
        <v/>
      </c>
      <c r="K2998">
        <f>IFERROR(__xludf.DUMMYFUNCTION("""COMPUTED_VALUE"""),13393.33)</f>
        <v/>
      </c>
    </row>
    <row r="2999">
      <c r="J2999">
        <f>IFERROR(__xludf.DUMMYFUNCTION("""COMPUTED_VALUE"""),"Samoa")</f>
        <v/>
      </c>
      <c r="K2999">
        <f>IFERROR(__xludf.DUMMYFUNCTION("""COMPUTED_VALUE"""),13388.99)</f>
        <v/>
      </c>
    </row>
    <row r="3000">
      <c r="J3000">
        <f>IFERROR(__xludf.DUMMYFUNCTION("""COMPUTED_VALUE"""),"Milan, Italy and Paris, France")</f>
        <v/>
      </c>
      <c r="K3000">
        <f>IFERROR(__xludf.DUMMYFUNCTION("""COMPUTED_VALUE"""),13385.98)</f>
        <v/>
      </c>
    </row>
    <row r="3001">
      <c r="J3001">
        <f>IFERROR(__xludf.DUMMYFUNCTION("""COMPUTED_VALUE"""),"Beijing, China - Ulaanbaatar, Mongolia,  Tokyo, Japan")</f>
        <v/>
      </c>
      <c r="K3001">
        <f>IFERROR(__xludf.DUMMYFUNCTION("""COMPUTED_VALUE"""),13384.83)</f>
        <v/>
      </c>
    </row>
    <row r="3002">
      <c r="J3002">
        <f>IFERROR(__xludf.DUMMYFUNCTION("""COMPUTED_VALUE"""),"Catania, Sicily (Italy) and Malta")</f>
        <v/>
      </c>
      <c r="K3002">
        <f>IFERROR(__xludf.DUMMYFUNCTION("""COMPUTED_VALUE"""),13384.43)</f>
        <v/>
      </c>
    </row>
    <row r="3003">
      <c r="J3003">
        <f>IFERROR(__xludf.DUMMYFUNCTION("""COMPUTED_VALUE"""),"Stuttgart, Germany; Düsseldorf, Germany; Munich, Germany; London, United Kingdom; Toronto, Ontario, Canada")</f>
        <v/>
      </c>
      <c r="K3003">
        <f>IFERROR(__xludf.DUMMYFUNCTION("""COMPUTED_VALUE"""),13383.97)</f>
        <v/>
      </c>
    </row>
    <row r="3004">
      <c r="J3004">
        <f>IFERROR(__xludf.DUMMYFUNCTION("""COMPUTED_VALUE"""),"Sault Ste. Marie, Ontario")</f>
        <v/>
      </c>
      <c r="K3004">
        <f>IFERROR(__xludf.DUMMYFUNCTION("""COMPUTED_VALUE"""),13380.86)</f>
        <v/>
      </c>
    </row>
    <row r="3005">
      <c r="J3005">
        <f>IFERROR(__xludf.DUMMYFUNCTION("""COMPUTED_VALUE"""),"St. Andrews, London, Singapore")</f>
        <v/>
      </c>
      <c r="K3005">
        <f>IFERROR(__xludf.DUMMYFUNCTION("""COMPUTED_VALUE"""),13373.4)</f>
        <v/>
      </c>
    </row>
    <row r="3006">
      <c r="J3006">
        <f>IFERROR(__xludf.DUMMYFUNCTION("""COMPUTED_VALUE"""),"Yellowknife, Northwest Territories, Canada and Iqaluit, Nunavut, Canada")</f>
        <v/>
      </c>
      <c r="K3006">
        <f>IFERROR(__xludf.DUMMYFUNCTION("""COMPUTED_VALUE"""),13371.83)</f>
        <v/>
      </c>
    </row>
    <row r="3007">
      <c r="J3007">
        <f>IFERROR(__xludf.DUMMYFUNCTION("""COMPUTED_VALUE"""),"London, Utrecht, Marseille, Bellagio, Milan")</f>
        <v/>
      </c>
      <c r="K3007">
        <f>IFERROR(__xludf.DUMMYFUNCTION("""COMPUTED_VALUE"""),13371.22)</f>
        <v/>
      </c>
    </row>
    <row r="3008">
      <c r="J3008">
        <f>IFERROR(__xludf.DUMMYFUNCTION("""COMPUTED_VALUE"""),"Paris, France, Tokyo, Japan")</f>
        <v/>
      </c>
      <c r="K3008">
        <f>IFERROR(__xludf.DUMMYFUNCTION("""COMPUTED_VALUE"""),13371.19)</f>
        <v/>
      </c>
    </row>
    <row r="3009">
      <c r="J3009">
        <f>IFERROR(__xludf.DUMMYFUNCTION("""COMPUTED_VALUE"""),"New Delhi &amp; Mumbai, India")</f>
        <v/>
      </c>
      <c r="K3009">
        <f>IFERROR(__xludf.DUMMYFUNCTION("""COMPUTED_VALUE"""),13369.68)</f>
        <v/>
      </c>
    </row>
    <row r="3010">
      <c r="J3010">
        <f>IFERROR(__xludf.DUMMYFUNCTION("""COMPUTED_VALUE"""),"Rome
Washington")</f>
        <v/>
      </c>
      <c r="K3010">
        <f>IFERROR(__xludf.DUMMYFUNCTION("""COMPUTED_VALUE"""),13368.17)</f>
        <v/>
      </c>
    </row>
    <row r="3011">
      <c r="J3011">
        <f>IFERROR(__xludf.DUMMYFUNCTION("""COMPUTED_VALUE"""),"Vancouver/India/Malaysia")</f>
        <v/>
      </c>
      <c r="K3011">
        <f>IFERROR(__xludf.DUMMYFUNCTION("""COMPUTED_VALUE"""),13364.76)</f>
        <v/>
      </c>
    </row>
    <row r="3012">
      <c r="J3012">
        <f>IFERROR(__xludf.DUMMYFUNCTION("""COMPUTED_VALUE"""),"Brussels, Belgium / London, United Kingdom")</f>
        <v/>
      </c>
      <c r="K3012">
        <f>IFERROR(__xludf.DUMMYFUNCTION("""COMPUTED_VALUE"""),13358.93)</f>
        <v/>
      </c>
    </row>
    <row r="3013">
      <c r="J3013">
        <f>IFERROR(__xludf.DUMMYFUNCTION("""COMPUTED_VALUE"""),"Paris, France; and Bamako, Mali.")</f>
        <v/>
      </c>
      <c r="K3013">
        <f>IFERROR(__xludf.DUMMYFUNCTION("""COMPUTED_VALUE"""),13357.77)</f>
        <v/>
      </c>
    </row>
    <row r="3014">
      <c r="J3014">
        <f>IFERROR(__xludf.DUMMYFUNCTION("""COMPUTED_VALUE"""),"Prince Rupert, British Columbia, Canada")</f>
        <v/>
      </c>
      <c r="K3014">
        <f>IFERROR(__xludf.DUMMYFUNCTION("""COMPUTED_VALUE"""),13353.5099999999)</f>
        <v/>
      </c>
    </row>
    <row r="3015">
      <c r="J3015">
        <f>IFERROR(__xludf.DUMMYFUNCTION("""COMPUTED_VALUE"""),"OTTAWA, ON - PARIS, FRANCE")</f>
        <v/>
      </c>
      <c r="K3015">
        <f>IFERROR(__xludf.DUMMYFUNCTION("""COMPUTED_VALUE"""),13349.49)</f>
        <v/>
      </c>
    </row>
    <row r="3016">
      <c r="J3016">
        <f>IFERROR(__xludf.DUMMYFUNCTION("""COMPUTED_VALUE"""),"London/United Kingdom")</f>
        <v/>
      </c>
      <c r="K3016">
        <f>IFERROR(__xludf.DUMMYFUNCTION("""COMPUTED_VALUE"""),13344.04)</f>
        <v/>
      </c>
    </row>
    <row r="3017">
      <c r="J3017">
        <f>IFERROR(__xludf.DUMMYFUNCTION("""COMPUTED_VALUE"""),"Cape Breton, Nova Scotia")</f>
        <v/>
      </c>
      <c r="K3017">
        <f>IFERROR(__xludf.DUMMYFUNCTION("""COMPUTED_VALUE"""),13341.1099999999)</f>
        <v/>
      </c>
    </row>
    <row r="3018">
      <c r="J3018">
        <f>IFERROR(__xludf.DUMMYFUNCTION("""COMPUTED_VALUE"""),"Legazpi City and Kuala Lumpur")</f>
        <v/>
      </c>
      <c r="K3018">
        <f>IFERROR(__xludf.DUMMYFUNCTION("""COMPUTED_VALUE"""),13341.01)</f>
        <v/>
      </c>
    </row>
    <row r="3019">
      <c r="J3019">
        <f>IFERROR(__xludf.DUMMYFUNCTION("""COMPUTED_VALUE"""),"Vancouver, British Columbia / Victoria, British Columbia")</f>
        <v/>
      </c>
      <c r="K3019">
        <f>IFERROR(__xludf.DUMMYFUNCTION("""COMPUTED_VALUE"""),13336.97)</f>
        <v/>
      </c>
    </row>
    <row r="3020">
      <c r="J3020">
        <f>IFERROR(__xludf.DUMMYFUNCTION("""COMPUTED_VALUE"""),"London, England; Edinburgh, UK")</f>
        <v/>
      </c>
      <c r="K3020">
        <f>IFERROR(__xludf.DUMMYFUNCTION("""COMPUTED_VALUE"""),13335.22)</f>
        <v/>
      </c>
    </row>
    <row r="3021">
      <c r="J3021">
        <f>IFERROR(__xludf.DUMMYFUNCTION("""COMPUTED_VALUE"""),"Algiers, Algeria and Riyadh, Saudi Arabia")</f>
        <v/>
      </c>
      <c r="K3021">
        <f>IFERROR(__xludf.DUMMYFUNCTION("""COMPUTED_VALUE"""),13333.78)</f>
        <v/>
      </c>
    </row>
    <row r="3022">
      <c r="J3022">
        <f>IFERROR(__xludf.DUMMYFUNCTION("""COMPUTED_VALUE"""),"Rome, Italy; London, England; Washington DC")</f>
        <v/>
      </c>
      <c r="K3022">
        <f>IFERROR(__xludf.DUMMYFUNCTION("""COMPUTED_VALUE"""),13333.74)</f>
        <v/>
      </c>
    </row>
    <row r="3023">
      <c r="J3023">
        <f>IFERROR(__xludf.DUMMYFUNCTION("""COMPUTED_VALUE"""),"Rome, Italy and Berlin, Germany")</f>
        <v/>
      </c>
      <c r="K3023">
        <f>IFERROR(__xludf.DUMMYFUNCTION("""COMPUTED_VALUE"""),13330.11)</f>
        <v/>
      </c>
    </row>
    <row r="3024">
      <c r="J3024">
        <f>IFERROR(__xludf.DUMMYFUNCTION("""COMPUTED_VALUE"""),"Amman, Jerusalem, Sharm E Sheik and Brussels")</f>
        <v/>
      </c>
      <c r="K3024">
        <f>IFERROR(__xludf.DUMMYFUNCTION("""COMPUTED_VALUE"""),13327.91)</f>
        <v/>
      </c>
    </row>
    <row r="3025">
      <c r="J3025">
        <f>IFERROR(__xludf.DUMMYFUNCTION("""COMPUTED_VALUE"""),"The Hague Geneva Vienna, The Hague Geneva Vienna, Netherlands Switzerland Austria")</f>
        <v/>
      </c>
      <c r="K3025">
        <f>IFERROR(__xludf.DUMMYFUNCTION("""COMPUTED_VALUE"""),13316.76)</f>
        <v/>
      </c>
    </row>
    <row r="3026">
      <c r="J3026">
        <f>IFERROR(__xludf.DUMMYFUNCTION("""COMPUTED_VALUE"""),"Inuvik (Northwest Territoires) Canada ; Toronto (Ontario) Canada")</f>
        <v/>
      </c>
      <c r="K3026">
        <f>IFERROR(__xludf.DUMMYFUNCTION("""COMPUTED_VALUE"""),13314.5799999999)</f>
        <v/>
      </c>
    </row>
    <row r="3027">
      <c r="J3027">
        <f>IFERROR(__xludf.DUMMYFUNCTION("""COMPUTED_VALUE"""),"Osaka, Japan 
Tokyo, Japan")</f>
        <v/>
      </c>
      <c r="K3027">
        <f>IFERROR(__xludf.DUMMYFUNCTION("""COMPUTED_VALUE"""),13313.93)</f>
        <v/>
      </c>
    </row>
    <row r="3028">
      <c r="J3028">
        <f>IFERROR(__xludf.DUMMYFUNCTION("""COMPUTED_VALUE"""),"Jerusalem, Israel; Lisbon, Portugal")</f>
        <v/>
      </c>
      <c r="K3028">
        <f>IFERROR(__xludf.DUMMYFUNCTION("""COMPUTED_VALUE"""),13312.95)</f>
        <v/>
      </c>
    </row>
    <row r="3029">
      <c r="J3029">
        <f>IFERROR(__xludf.DUMMYFUNCTION("""COMPUTED_VALUE"""),"Berlin, Germany, Aswan and Sharm El-Sheikh, Egypt")</f>
        <v/>
      </c>
      <c r="K3029">
        <f>IFERROR(__xludf.DUMMYFUNCTION("""COMPUTED_VALUE"""),13308.35)</f>
        <v/>
      </c>
    </row>
    <row r="3030">
      <c r="J3030">
        <f>IFERROR(__xludf.DUMMYFUNCTION("""COMPUTED_VALUE"""),"Charlottetown, Prince Edward Island, Canada; Moncton, New Brunswick, Canada")</f>
        <v/>
      </c>
      <c r="K3030">
        <f>IFERROR(__xludf.DUMMYFUNCTION("""COMPUTED_VALUE"""),13306.36)</f>
        <v/>
      </c>
    </row>
    <row r="3031">
      <c r="J3031">
        <f>IFERROR(__xludf.DUMMYFUNCTION("""COMPUTED_VALUE"""),"London, England and Davos, Switzerland")</f>
        <v/>
      </c>
      <c r="K3031">
        <f>IFERROR(__xludf.DUMMYFUNCTION("""COMPUTED_VALUE"""),13300.3)</f>
        <v/>
      </c>
    </row>
    <row r="3032">
      <c r="J3032">
        <f>IFERROR(__xludf.DUMMYFUNCTION("""COMPUTED_VALUE"""),"Fredericton, New Brunswick, Canada; Vancouver, British Columbia, Canada; Toronto, Ontario, Canada; Tel Aviv, Israel; Ramallah, Palestine")</f>
        <v/>
      </c>
      <c r="K3032">
        <f>IFERROR(__xludf.DUMMYFUNCTION("""COMPUTED_VALUE"""),13296.65)</f>
        <v/>
      </c>
    </row>
    <row r="3033">
      <c r="J3033">
        <f>IFERROR(__xludf.DUMMYFUNCTION("""COMPUTED_VALUE"""),"Moncton and Fredericton, New Brunswick, Canada")</f>
        <v/>
      </c>
      <c r="K3033">
        <f>IFERROR(__xludf.DUMMYFUNCTION("""COMPUTED_VALUE"""),13294.6999999999)</f>
        <v/>
      </c>
    </row>
    <row r="3034">
      <c r="J3034">
        <f>IFERROR(__xludf.DUMMYFUNCTION("""COMPUTED_VALUE"""),"Ankara and Istanbul, Turkey / Amman, Jordan / Beirut, Lebanon")</f>
        <v/>
      </c>
      <c r="K3034">
        <f>IFERROR(__xludf.DUMMYFUNCTION("""COMPUTED_VALUE"""),13290.65)</f>
        <v/>
      </c>
    </row>
    <row r="3035">
      <c r="J3035">
        <f>IFERROR(__xludf.DUMMYFUNCTION("""COMPUTED_VALUE"""),"Singapore and Jakarta")</f>
        <v/>
      </c>
      <c r="K3035">
        <f>IFERROR(__xludf.DUMMYFUNCTION("""COMPUTED_VALUE"""),13289.73)</f>
        <v/>
      </c>
    </row>
    <row r="3036">
      <c r="J3036">
        <f>IFERROR(__xludf.DUMMYFUNCTION("""COMPUTED_VALUE"""),"West Bank, Israel, Jordan")</f>
        <v/>
      </c>
      <c r="K3036">
        <f>IFERROR(__xludf.DUMMYFUNCTION("""COMPUTED_VALUE"""),13288.42)</f>
        <v/>
      </c>
    </row>
    <row r="3037">
      <c r="J3037">
        <f>IFERROR(__xludf.DUMMYFUNCTION("""COMPUTED_VALUE"""),"Hawaii, HI")</f>
        <v/>
      </c>
      <c r="K3037">
        <f>IFERROR(__xludf.DUMMYFUNCTION("""COMPUTED_VALUE"""),13287.66)</f>
        <v/>
      </c>
    </row>
    <row r="3038">
      <c r="J3038">
        <f>IFERROR(__xludf.DUMMYFUNCTION("""COMPUTED_VALUE"""),"Papua, New Guinea")</f>
        <v/>
      </c>
      <c r="K3038">
        <f>IFERROR(__xludf.DUMMYFUNCTION("""COMPUTED_VALUE"""),13285.96)</f>
        <v/>
      </c>
    </row>
    <row r="3039">
      <c r="J3039">
        <f>IFERROR(__xludf.DUMMYFUNCTION("""COMPUTED_VALUE"""),"Geneva, Switzerland Washington DC")</f>
        <v/>
      </c>
      <c r="K3039">
        <f>IFERROR(__xludf.DUMMYFUNCTION("""COMPUTED_VALUE"""),13285.83)</f>
        <v/>
      </c>
    </row>
    <row r="3040">
      <c r="J3040">
        <f>IFERROR(__xludf.DUMMYFUNCTION("""COMPUTED_VALUE"""),"Montreal, Quebec, Canada / London, United Kingdom")</f>
        <v/>
      </c>
      <c r="K3040">
        <f>IFERROR(__xludf.DUMMYFUNCTION("""COMPUTED_VALUE"""),13283.54)</f>
        <v/>
      </c>
    </row>
    <row r="3041">
      <c r="J3041">
        <f>IFERROR(__xludf.DUMMYFUNCTION("""COMPUTED_VALUE"""),"Gatineau, Quebec, Canada; Montréal, Quebec, Canada")</f>
        <v/>
      </c>
      <c r="K3041">
        <f>IFERROR(__xludf.DUMMYFUNCTION("""COMPUTED_VALUE"""),13280.65)</f>
        <v/>
      </c>
    </row>
    <row r="3042">
      <c r="J3042">
        <f>IFERROR(__xludf.DUMMYFUNCTION("""COMPUTED_VALUE"""),"Paris, France - London, United Kingdom - Edinburgh, United Kingdom")</f>
        <v/>
      </c>
      <c r="K3042">
        <f>IFERROR(__xludf.DUMMYFUNCTION("""COMPUTED_VALUE"""),13279.37)</f>
        <v/>
      </c>
    </row>
    <row r="3043">
      <c r="J3043">
        <f>IFERROR(__xludf.DUMMYFUNCTION("""COMPUTED_VALUE"""),"Istanbul and Ankara, Turkey")</f>
        <v/>
      </c>
      <c r="K3043">
        <f>IFERROR(__xludf.DUMMYFUNCTION("""COMPUTED_VALUE"""),13278.88)</f>
        <v/>
      </c>
    </row>
    <row r="3044">
      <c r="J3044">
        <f>IFERROR(__xludf.DUMMYFUNCTION("""COMPUTED_VALUE"""),"Hong Kong, China - Beijing, China")</f>
        <v/>
      </c>
      <c r="K3044">
        <f>IFERROR(__xludf.DUMMYFUNCTION("""COMPUTED_VALUE"""),13274.4399999999)</f>
        <v/>
      </c>
    </row>
    <row r="3045">
      <c r="J3045">
        <f>IFERROR(__xludf.DUMMYFUNCTION("""COMPUTED_VALUE"""),"Sydney and Uluru")</f>
        <v/>
      </c>
      <c r="K3045">
        <f>IFERROR(__xludf.DUMMYFUNCTION("""COMPUTED_VALUE"""),13274.04)</f>
        <v/>
      </c>
    </row>
    <row r="3046">
      <c r="J3046">
        <f>IFERROR(__xludf.DUMMYFUNCTION("""COMPUTED_VALUE"""),"Trinidad and Tobago")</f>
        <v/>
      </c>
      <c r="K3046">
        <f>IFERROR(__xludf.DUMMYFUNCTION("""COMPUTED_VALUE"""),13273.52)</f>
        <v/>
      </c>
    </row>
    <row r="3047">
      <c r="J3047">
        <f>IFERROR(__xludf.DUMMYFUNCTION("""COMPUTED_VALUE"""),"Brussels, Belgium
Frankfurt, Wolfsburg and Berlin, Germany")</f>
        <v/>
      </c>
      <c r="K3047">
        <f>IFERROR(__xludf.DUMMYFUNCTION("""COMPUTED_VALUE"""),13271.05)</f>
        <v/>
      </c>
    </row>
    <row r="3048">
      <c r="J3048">
        <f>IFERROR(__xludf.DUMMYFUNCTION("""COMPUTED_VALUE"""),"London, UK and Lydd, UK")</f>
        <v/>
      </c>
      <c r="K3048">
        <f>IFERROR(__xludf.DUMMYFUNCTION("""COMPUTED_VALUE"""),13269.16)</f>
        <v/>
      </c>
    </row>
    <row r="3049">
      <c r="J3049">
        <f>IFERROR(__xludf.DUMMYFUNCTION("""COMPUTED_VALUE"""),"Calgary, Alberta; Vancouver, British Columbia")</f>
        <v/>
      </c>
      <c r="K3049">
        <f>IFERROR(__xludf.DUMMYFUNCTION("""COMPUTED_VALUE"""),13262.27)</f>
        <v/>
      </c>
    </row>
    <row r="3050">
      <c r="J3050">
        <f>IFERROR(__xludf.DUMMYFUNCTION("""COMPUTED_VALUE"""),"Sydney, Australia and Victoria (British Colombia), Canada")</f>
        <v/>
      </c>
      <c r="K3050">
        <f>IFERROR(__xludf.DUMMYFUNCTION("""COMPUTED_VALUE"""),13259.63)</f>
        <v/>
      </c>
    </row>
    <row r="3051">
      <c r="J3051">
        <f>IFERROR(__xludf.DUMMYFUNCTION("""COMPUTED_VALUE"""),"Esquimalt (BC) Canada                                                                                                                                                             Ottawa (Ontario) Canada                                                      "&amp;"               Halifax (Nova Scotia) Canada")</f>
        <v/>
      </c>
      <c r="K3051">
        <f>IFERROR(__xludf.DUMMYFUNCTION("""COMPUTED_VALUE"""),13258.17)</f>
        <v/>
      </c>
    </row>
    <row r="3052">
      <c r="J3052">
        <f>IFERROR(__xludf.DUMMYFUNCTION("""COMPUTED_VALUE"""),"Ottawa (Ontario) Canada                                                                            Halifax (Nova Scotia) Canada                                                     Truo (Nova Scotia), Canada")</f>
        <v/>
      </c>
      <c r="K3052">
        <f>IFERROR(__xludf.DUMMYFUNCTION("""COMPUTED_VALUE"""),13258.17)</f>
        <v/>
      </c>
    </row>
    <row r="3053">
      <c r="J3053">
        <f>IFERROR(__xludf.DUMMYFUNCTION("""COMPUTED_VALUE"""),"Colorado Springs, United States")</f>
        <v/>
      </c>
      <c r="K3053">
        <f>IFERROR(__xludf.DUMMYFUNCTION("""COMPUTED_VALUE"""),13245.63)</f>
        <v/>
      </c>
    </row>
    <row r="3054">
      <c r="J3054">
        <f>IFERROR(__xludf.DUMMYFUNCTION("""COMPUTED_VALUE"""),"Jerusalem, Israel; Cairo, Egypt; Bangkok, Thailand; Beijing, China")</f>
        <v/>
      </c>
      <c r="K3054">
        <f>IFERROR(__xludf.DUMMYFUNCTION("""COMPUTED_VALUE"""),13240.63)</f>
        <v/>
      </c>
    </row>
    <row r="3055">
      <c r="J3055">
        <f>IFERROR(__xludf.DUMMYFUNCTION("""COMPUTED_VALUE"""),"Ottawa, London, RAF Conningsby")</f>
        <v/>
      </c>
      <c r="K3055">
        <f>IFERROR(__xludf.DUMMYFUNCTION("""COMPUTED_VALUE"""),13234.86)</f>
        <v/>
      </c>
    </row>
    <row r="3056">
      <c r="J3056">
        <f>IFERROR(__xludf.DUMMYFUNCTION("""COMPUTED_VALUE"""),"Riyadh - Saudia Arabia &amp; Dubai and Abu Dhabi - United Arab Emirates")</f>
        <v/>
      </c>
      <c r="K3056">
        <f>IFERROR(__xludf.DUMMYFUNCTION("""COMPUTED_VALUE"""),13234.49)</f>
        <v/>
      </c>
    </row>
    <row r="3057">
      <c r="J3057">
        <f>IFERROR(__xludf.DUMMYFUNCTION("""COMPUTED_VALUE"""),"Kyoto, Tokyo and Osaka, Japan")</f>
        <v/>
      </c>
      <c r="K3057">
        <f>IFERROR(__xludf.DUMMYFUNCTION("""COMPUTED_VALUE"""),13229.34)</f>
        <v/>
      </c>
    </row>
    <row r="3058">
      <c r="J3058">
        <f>IFERROR(__xludf.DUMMYFUNCTION("""COMPUTED_VALUE"""),"London, UK, Berlin, Germany, Warsaw, Poland, Krakow, Poland")</f>
        <v/>
      </c>
      <c r="K3058">
        <f>IFERROR(__xludf.DUMMYFUNCTION("""COMPUTED_VALUE"""),13217.23)</f>
        <v/>
      </c>
    </row>
    <row r="3059">
      <c r="J3059">
        <f>IFERROR(__xludf.DUMMYFUNCTION("""COMPUTED_VALUE"""),"New Delhi, Bengaluru, Pune, Mumbai en l'Inde.
Tokyo, Japan (Cancelled)")</f>
        <v/>
      </c>
      <c r="K3059">
        <f>IFERROR(__xludf.DUMMYFUNCTION("""COMPUTED_VALUE"""),13206.55)</f>
        <v/>
      </c>
    </row>
    <row r="3060">
      <c r="J3060">
        <f>IFERROR(__xludf.DUMMYFUNCTION("""COMPUTED_VALUE"""),"Grand Cayman, Cayman Islands")</f>
        <v/>
      </c>
      <c r="K3060">
        <f>IFERROR(__xludf.DUMMYFUNCTION("""COMPUTED_VALUE"""),13205.63)</f>
        <v/>
      </c>
    </row>
    <row r="3061">
      <c r="J3061">
        <f>IFERROR(__xludf.DUMMYFUNCTION("""COMPUTED_VALUE"""),"Ise-shima, Japan ; Tokyo, Japan")</f>
        <v/>
      </c>
      <c r="K3061">
        <f>IFERROR(__xludf.DUMMYFUNCTION("""COMPUTED_VALUE"""),13203.76)</f>
        <v/>
      </c>
    </row>
    <row r="3062">
      <c r="J3062">
        <f>IFERROR(__xludf.DUMMYFUNCTION("""COMPUTED_VALUE"""),"Doha, Aatar, Abu Dhabi &amp; Dubai, UAE ; Cairo,Egypt")</f>
        <v/>
      </c>
      <c r="K3062">
        <f>IFERROR(__xludf.DUMMYFUNCTION("""COMPUTED_VALUE"""),13201.66)</f>
        <v/>
      </c>
    </row>
    <row r="3063">
      <c r="J3063">
        <f>IFERROR(__xludf.DUMMYFUNCTION("""COMPUTED_VALUE"""),"Winnipeg, Manitoba, Canada; Regina, Saskatchewan, Canada; Toronto, Ontario, Canada; Dryden, Ontario, Canada")</f>
        <v/>
      </c>
      <c r="K3063">
        <f>IFERROR(__xludf.DUMMYFUNCTION("""COMPUTED_VALUE"""),13201.31)</f>
        <v/>
      </c>
    </row>
    <row r="3064">
      <c r="J3064">
        <f>IFERROR(__xludf.DUMMYFUNCTION("""COMPUTED_VALUE"""),"Brussels, Munich, Paris")</f>
        <v/>
      </c>
      <c r="K3064">
        <f>IFERROR(__xludf.DUMMYFUNCTION("""COMPUTED_VALUE"""),13198.98)</f>
        <v/>
      </c>
    </row>
    <row r="3065">
      <c r="J3065">
        <f>IFERROR(__xludf.DUMMYFUNCTION("""COMPUTED_VALUE"""),"Nova Scotia, Canada")</f>
        <v/>
      </c>
      <c r="K3065">
        <f>IFERROR(__xludf.DUMMYFUNCTION("""COMPUTED_VALUE"""),13198.29)</f>
        <v/>
      </c>
    </row>
    <row r="3066">
      <c r="J3066">
        <f>IFERROR(__xludf.DUMMYFUNCTION("""COMPUTED_VALUE"""),"Montreal, Ottawa and Vancouver")</f>
        <v/>
      </c>
      <c r="K3066">
        <f>IFERROR(__xludf.DUMMYFUNCTION("""COMPUTED_VALUE"""),13195.7)</f>
        <v/>
      </c>
    </row>
    <row r="3067">
      <c r="J3067">
        <f>IFERROR(__xludf.DUMMYFUNCTION("""COMPUTED_VALUE"""),"London, England; Brussels, Belgium; Moscow, Russia; New Delhi and Mumbai, India.")</f>
        <v/>
      </c>
      <c r="K3067">
        <f>IFERROR(__xludf.DUMMYFUNCTION("""COMPUTED_VALUE"""),13182.63)</f>
        <v/>
      </c>
    </row>
    <row r="3068">
      <c r="J3068">
        <f>IFERROR(__xludf.DUMMYFUNCTION("""COMPUTED_VALUE"""),"Paris, France and Vienna, Austria")</f>
        <v/>
      </c>
      <c r="K3068">
        <f>IFERROR(__xludf.DUMMYFUNCTION("""COMPUTED_VALUE"""),13177.15)</f>
        <v/>
      </c>
    </row>
    <row r="3069">
      <c r="J3069">
        <f>IFERROR(__xludf.DUMMYFUNCTION("""COMPUTED_VALUE"""),"Sydney and Canberra, Australia; Wellington, New Zealand")</f>
        <v/>
      </c>
      <c r="K3069">
        <f>IFERROR(__xludf.DUMMYFUNCTION("""COMPUTED_VALUE"""),13170.64)</f>
        <v/>
      </c>
    </row>
    <row r="3070">
      <c r="J3070">
        <f>IFERROR(__xludf.DUMMYFUNCTION("""COMPUTED_VALUE"""),"Whistler, BC, Calgary, AB")</f>
        <v/>
      </c>
      <c r="K3070">
        <f>IFERROR(__xludf.DUMMYFUNCTION("""COMPUTED_VALUE"""),13169.03)</f>
        <v/>
      </c>
    </row>
    <row r="3071">
      <c r="J3071">
        <f>IFERROR(__xludf.DUMMYFUNCTION("""COMPUTED_VALUE"""),"Uruguay, Lima and Tegucigalpa")</f>
        <v/>
      </c>
      <c r="K3071">
        <f>IFERROR(__xludf.DUMMYFUNCTION("""COMPUTED_VALUE"""),13167.78)</f>
        <v/>
      </c>
    </row>
    <row r="3072">
      <c r="J3072">
        <f>IFERROR(__xludf.DUMMYFUNCTION("""COMPUTED_VALUE"""),"Dubai and Kabul")</f>
        <v/>
      </c>
      <c r="K3072">
        <f>IFERROR(__xludf.DUMMYFUNCTION("""COMPUTED_VALUE"""),13165.31)</f>
        <v/>
      </c>
    </row>
    <row r="3073">
      <c r="J3073">
        <f>IFERROR(__xludf.DUMMYFUNCTION("""COMPUTED_VALUE"""),"Edmonton, Alberta, Canada; Whitecap, Saskatchewan, Canada; Yellowknife, Northwest Territories, Canada")</f>
        <v/>
      </c>
      <c r="K3073">
        <f>IFERROR(__xludf.DUMMYFUNCTION("""COMPUTED_VALUE"""),13160.41)</f>
        <v/>
      </c>
    </row>
    <row r="3074">
      <c r="J3074">
        <f>IFERROR(__xludf.DUMMYFUNCTION("""COMPUTED_VALUE"""),"Trujillo, Peru &amp; Sao Paulo, Brazil")</f>
        <v/>
      </c>
      <c r="K3074">
        <f>IFERROR(__xludf.DUMMYFUNCTION("""COMPUTED_VALUE"""),13156.5)</f>
        <v/>
      </c>
    </row>
    <row r="3075">
      <c r="J3075">
        <f>IFERROR(__xludf.DUMMYFUNCTION("""COMPUTED_VALUE"""),"Bogotá and Medellín, Columbia and Lima, Peru and Bueons Aires, Argentina and Punta Del Este, Uruguay and Santiago, Chile")</f>
        <v/>
      </c>
      <c r="K3075">
        <f>IFERROR(__xludf.DUMMYFUNCTION("""COMPUTED_VALUE"""),13152.26)</f>
        <v/>
      </c>
    </row>
    <row r="3076">
      <c r="J3076">
        <f>IFERROR(__xludf.DUMMYFUNCTION("""COMPUTED_VALUE"""),"Aspen, Colorado, United States of America")</f>
        <v/>
      </c>
      <c r="K3076">
        <f>IFERROR(__xludf.DUMMYFUNCTION("""COMPUTED_VALUE"""),13147.75)</f>
        <v/>
      </c>
    </row>
    <row r="3077">
      <c r="J3077">
        <f>IFERROR(__xludf.DUMMYFUNCTION("""COMPUTED_VALUE"""),"El Salvador, Nicaragua and Guatemala")</f>
        <v/>
      </c>
      <c r="K3077">
        <f>IFERROR(__xludf.DUMMYFUNCTION("""COMPUTED_VALUE"""),13140.0099999999)</f>
        <v/>
      </c>
    </row>
    <row r="3078">
      <c r="J3078">
        <f>IFERROR(__xludf.DUMMYFUNCTION("""COMPUTED_VALUE"""),"PARIS, FRANCE &amp; LONDON, ENGLAND")</f>
        <v/>
      </c>
      <c r="K3078">
        <f>IFERROR(__xludf.DUMMYFUNCTION("""COMPUTED_VALUE"""),13138.2)</f>
        <v/>
      </c>
    </row>
    <row r="3079">
      <c r="J3079">
        <f>IFERROR(__xludf.DUMMYFUNCTION("""COMPUTED_VALUE"""),"Wellington, NZ Melbourne AU")</f>
        <v/>
      </c>
      <c r="K3079">
        <f>IFERROR(__xludf.DUMMYFUNCTION("""COMPUTED_VALUE"""),13136.49)</f>
        <v/>
      </c>
    </row>
    <row r="3080">
      <c r="J3080">
        <f>IFERROR(__xludf.DUMMYFUNCTION("""COMPUTED_VALUE"""),"Ottawa, Ontario, Canada
Cambridge, Massachusetts,United States of America")</f>
        <v/>
      </c>
      <c r="K3080">
        <f>IFERROR(__xludf.DUMMYFUNCTION("""COMPUTED_VALUE"""),13130.71)</f>
        <v/>
      </c>
    </row>
    <row r="3081">
      <c r="J3081">
        <f>IFERROR(__xludf.DUMMYFUNCTION("""COMPUTED_VALUE"""),"Shanghai, China - Guangzhou, China - Beijing, China")</f>
        <v/>
      </c>
      <c r="K3081">
        <f>IFERROR(__xludf.DUMMYFUNCTION("""COMPUTED_VALUE"""),13124.49)</f>
        <v/>
      </c>
    </row>
    <row r="3082">
      <c r="J3082">
        <f>IFERROR(__xludf.DUMMYFUNCTION("""COMPUTED_VALUE"""),"Geneva and Italy")</f>
        <v/>
      </c>
      <c r="K3082">
        <f>IFERROR(__xludf.DUMMYFUNCTION("""COMPUTED_VALUE"""),13122.83)</f>
        <v/>
      </c>
    </row>
    <row r="3083">
      <c r="J3083">
        <f>IFERROR(__xludf.DUMMYFUNCTION("""COMPUTED_VALUE"""),"Accra, Ghana / Nairobi, Kenya / Capetown, South Africa / Johannesburg, South of Africa / Dakar, Senegal")</f>
        <v/>
      </c>
      <c r="K3083">
        <f>IFERROR(__xludf.DUMMYFUNCTION("""COMPUTED_VALUE"""),13122.77)</f>
        <v/>
      </c>
    </row>
    <row r="3084">
      <c r="J3084">
        <f>IFERROR(__xludf.DUMMYFUNCTION("""COMPUTED_VALUE"""),"Montreal - Ottawa")</f>
        <v/>
      </c>
      <c r="K3084">
        <f>IFERROR(__xludf.DUMMYFUNCTION("""COMPUTED_VALUE"""),13116.9199999999)</f>
        <v/>
      </c>
    </row>
    <row r="3085">
      <c r="J3085">
        <f>IFERROR(__xludf.DUMMYFUNCTION("""COMPUTED_VALUE"""),"Moscow, Russia / New Delhi, India, Chandigarh, India and London, United Kingdom")</f>
        <v/>
      </c>
      <c r="K3085">
        <f>IFERROR(__xludf.DUMMYFUNCTION("""COMPUTED_VALUE"""),13115.85)</f>
        <v/>
      </c>
    </row>
    <row r="3086">
      <c r="J3086">
        <f>IFERROR(__xludf.DUMMYFUNCTION("""COMPUTED_VALUE"""),"Latvia")</f>
        <v/>
      </c>
      <c r="K3086">
        <f>IFERROR(__xludf.DUMMYFUNCTION("""COMPUTED_VALUE"""),13115.81)</f>
        <v/>
      </c>
    </row>
    <row r="3087">
      <c r="J3087">
        <f>IFERROR(__xludf.DUMMYFUNCTION("""COMPUTED_VALUE"""),"London UK, Paris France, Brussels BE, Wiesbaden Germany, Berlin Germany")</f>
        <v/>
      </c>
      <c r="K3087">
        <f>IFERROR(__xludf.DUMMYFUNCTION("""COMPUTED_VALUE"""),13113.68)</f>
        <v/>
      </c>
    </row>
    <row r="3088">
      <c r="J3088">
        <f>IFERROR(__xludf.DUMMYFUNCTION("""COMPUTED_VALUE"""),"Lima and Arequipa, Peru")</f>
        <v/>
      </c>
      <c r="K3088">
        <f>IFERROR(__xludf.DUMMYFUNCTION("""COMPUTED_VALUE"""),13110.87)</f>
        <v/>
      </c>
    </row>
    <row r="3089">
      <c r="J3089">
        <f>IFERROR(__xludf.DUMMYFUNCTION("""COMPUTED_VALUE"""),"Copenhagen, DK, Lossiemouth and Prestwick, GB, and Abbotsford, BC, CA")</f>
        <v/>
      </c>
      <c r="K3089">
        <f>IFERROR(__xludf.DUMMYFUNCTION("""COMPUTED_VALUE"""),13109.23)</f>
        <v/>
      </c>
    </row>
    <row r="3090">
      <c r="J3090">
        <f>IFERROR(__xludf.DUMMYFUNCTION("""COMPUTED_VALUE"""),"Nairobi (Kenya), Cape Town and Johannesburg (South Africa)")</f>
        <v/>
      </c>
      <c r="K3090">
        <f>IFERROR(__xludf.DUMMYFUNCTION("""COMPUTED_VALUE"""),13108.71)</f>
        <v/>
      </c>
    </row>
    <row r="3091">
      <c r="J3091">
        <f>IFERROR(__xludf.DUMMYFUNCTION("""COMPUTED_VALUE"""),"Jerusalem &amp; Tel Aviv")</f>
        <v/>
      </c>
      <c r="K3091">
        <f>IFERROR(__xludf.DUMMYFUNCTION("""COMPUTED_VALUE"""),13108.31)</f>
        <v/>
      </c>
    </row>
    <row r="3092">
      <c r="J3092">
        <f>IFERROR(__xludf.DUMMYFUNCTION("""COMPUTED_VALUE"""),"London, United Kingdom; Paris, France; Luxembourg, Luxembourg; Brussels, Belgium")</f>
        <v/>
      </c>
      <c r="K3092">
        <f>IFERROR(__xludf.DUMMYFUNCTION("""COMPUTED_VALUE"""),13108.1)</f>
        <v/>
      </c>
    </row>
    <row r="3093">
      <c r="J3093">
        <f>IFERROR(__xludf.DUMMYFUNCTION("""COMPUTED_VALUE"""),"Copenhagen &amp; Strasbourg")</f>
        <v/>
      </c>
      <c r="K3093">
        <f>IFERROR(__xludf.DUMMYFUNCTION("""COMPUTED_VALUE"""),13103.51)</f>
        <v/>
      </c>
    </row>
    <row r="3094">
      <c r="J3094">
        <f>IFERROR(__xludf.DUMMYFUNCTION("""COMPUTED_VALUE"""),"Frankfurt,Germany, Europe and Washington DC, United States of America")</f>
        <v/>
      </c>
      <c r="K3094">
        <f>IFERROR(__xludf.DUMMYFUNCTION("""COMPUTED_VALUE"""),13101.28)</f>
        <v/>
      </c>
    </row>
    <row r="3095">
      <c r="J3095">
        <f>IFERROR(__xludf.DUMMYFUNCTION("""COMPUTED_VALUE"""),"Kiev, Ukraine
Riga, Latvia")</f>
        <v/>
      </c>
      <c r="K3095">
        <f>IFERROR(__xludf.DUMMYFUNCTION("""COMPUTED_VALUE"""),13099.65)</f>
        <v/>
      </c>
    </row>
    <row r="3096">
      <c r="J3096">
        <f>IFERROR(__xludf.DUMMYFUNCTION("""COMPUTED_VALUE"""),"Edmonton, AB,Vancouver BC, Taipei, Taiwan and Pasadena USA")</f>
        <v/>
      </c>
      <c r="K3096">
        <f>IFERROR(__xludf.DUMMYFUNCTION("""COMPUTED_VALUE"""),13097.96)</f>
        <v/>
      </c>
    </row>
    <row r="3097">
      <c r="J3097">
        <f>IFERROR(__xludf.DUMMYFUNCTION("""COMPUTED_VALUE"""),"Tel Aviv, Jerusalem, Israel; Amman, Jordan; Davos, Switzerland")</f>
        <v/>
      </c>
      <c r="K3097">
        <f>IFERROR(__xludf.DUMMYFUNCTION("""COMPUTED_VALUE"""),13096.83)</f>
        <v/>
      </c>
    </row>
    <row r="3098">
      <c r="J3098">
        <f>IFERROR(__xludf.DUMMYFUNCTION("""COMPUTED_VALUE"""),"Vancouver, British Columbia / Calgary, Alberta, Canada")</f>
        <v/>
      </c>
      <c r="K3098">
        <f>IFERROR(__xludf.DUMMYFUNCTION("""COMPUTED_VALUE"""),13093.88)</f>
        <v/>
      </c>
    </row>
    <row r="3099">
      <c r="J3099">
        <f>IFERROR(__xludf.DUMMYFUNCTION("""COMPUTED_VALUE"""),"Marrachek, Morocco and Tunis, Tunisia")</f>
        <v/>
      </c>
      <c r="K3099">
        <f>IFERROR(__xludf.DUMMYFUNCTION("""COMPUTED_VALUE"""),13092.73)</f>
        <v/>
      </c>
    </row>
    <row r="3100">
      <c r="J3100">
        <f>IFERROR(__xludf.DUMMYFUNCTION("""COMPUTED_VALUE"""),"Geneva, Switzerland; Rome, Italy")</f>
        <v/>
      </c>
      <c r="K3100">
        <f>IFERROR(__xludf.DUMMYFUNCTION("""COMPUTED_VALUE"""),13088.55)</f>
        <v/>
      </c>
    </row>
    <row r="3101">
      <c r="J3101">
        <f>IFERROR(__xludf.DUMMYFUNCTION("""COMPUTED_VALUE"""),"Doha, Qatar, Abu Dhabi &amp; Dubai,  Arab Emirates, Cairo, Egypt")</f>
        <v/>
      </c>
      <c r="K3101">
        <f>IFERROR(__xludf.DUMMYFUNCTION("""COMPUTED_VALUE"""),13084.9)</f>
        <v/>
      </c>
    </row>
    <row r="3102">
      <c r="J3102">
        <f>IFERROR(__xludf.DUMMYFUNCTION("""COMPUTED_VALUE"""),"Krakow, Poland / Samorin, Slovakia / Naples, Italy")</f>
        <v/>
      </c>
      <c r="K3102">
        <f>IFERROR(__xludf.DUMMYFUNCTION("""COMPUTED_VALUE"""),13081.62)</f>
        <v/>
      </c>
    </row>
    <row r="3103">
      <c r="J3103">
        <f>IFERROR(__xludf.DUMMYFUNCTION("""COMPUTED_VALUE"""),"Italy and Germany")</f>
        <v/>
      </c>
      <c r="K3103">
        <f>IFERROR(__xludf.DUMMYFUNCTION("""COMPUTED_VALUE"""),13081.03)</f>
        <v/>
      </c>
    </row>
    <row r="3104">
      <c r="J3104">
        <f>IFERROR(__xludf.DUMMYFUNCTION("""COMPUTED_VALUE"""),"Phoenix &amp; Austin")</f>
        <v/>
      </c>
      <c r="K3104">
        <f>IFERROR(__xludf.DUMMYFUNCTION("""COMPUTED_VALUE"""),13079.87)</f>
        <v/>
      </c>
    </row>
    <row r="3105">
      <c r="J3105">
        <f>IFERROR(__xludf.DUMMYFUNCTION("""COMPUTED_VALUE"""),"Canberra, Victoria, Australia")</f>
        <v/>
      </c>
      <c r="K3105">
        <f>IFERROR(__xludf.DUMMYFUNCTION("""COMPUTED_VALUE"""),13077.42)</f>
        <v/>
      </c>
    </row>
    <row r="3106">
      <c r="J3106">
        <f>IFERROR(__xludf.DUMMYFUNCTION("""COMPUTED_VALUE"""),"London, United Kingdom; Stockholm, Sweden")</f>
        <v/>
      </c>
      <c r="K3106">
        <f>IFERROR(__xludf.DUMMYFUNCTION("""COMPUTED_VALUE"""),13074.29)</f>
        <v/>
      </c>
    </row>
    <row r="3107">
      <c r="J3107">
        <f>IFERROR(__xludf.DUMMYFUNCTION("""COMPUTED_VALUE"""),"Asuncion, Paraguay and Buenos Aires, Argentina")</f>
        <v/>
      </c>
      <c r="K3107">
        <f>IFERROR(__xludf.DUMMYFUNCTION("""COMPUTED_VALUE"""),13073.87)</f>
        <v/>
      </c>
    </row>
    <row r="3108">
      <c r="J3108">
        <f>IFERROR(__xludf.DUMMYFUNCTION("""COMPUTED_VALUE"""),"London,  United Kingdom")</f>
        <v/>
      </c>
      <c r="K3108">
        <f>IFERROR(__xludf.DUMMYFUNCTION("""COMPUTED_VALUE"""),13069.89)</f>
        <v/>
      </c>
    </row>
    <row r="3109">
      <c r="J3109">
        <f>IFERROR(__xludf.DUMMYFUNCTION("""COMPUTED_VALUE"""),"Atyrau &amp; Astana - Kazakhstan Oslo - Norway")</f>
        <v/>
      </c>
      <c r="K3109">
        <f>IFERROR(__xludf.DUMMYFUNCTION("""COMPUTED_VALUE"""),13066.08)</f>
        <v/>
      </c>
    </row>
    <row r="3110">
      <c r="J3110">
        <f>IFERROR(__xludf.DUMMYFUNCTION("""COMPUTED_VALUE"""),"Sydney, Australia;
Canberra, Australia")</f>
        <v/>
      </c>
      <c r="K3110">
        <f>IFERROR(__xludf.DUMMYFUNCTION("""COMPUTED_VALUE"""),13062.58)</f>
        <v/>
      </c>
    </row>
    <row r="3111">
      <c r="J3111">
        <f>IFERROR(__xludf.DUMMYFUNCTION("""COMPUTED_VALUE"""),"Fort McMurray, Alberta, Canada; Vancouver, British Columbia, Canada")</f>
        <v/>
      </c>
      <c r="K3111">
        <f>IFERROR(__xludf.DUMMYFUNCTION("""COMPUTED_VALUE"""),13060.99)</f>
        <v/>
      </c>
    </row>
    <row r="3112">
      <c r="J3112">
        <f>IFERROR(__xludf.DUMMYFUNCTION("""COMPUTED_VALUE"""),"Philippines, Bangladesh and Doha")</f>
        <v/>
      </c>
      <c r="K3112">
        <f>IFERROR(__xludf.DUMMYFUNCTION("""COMPUTED_VALUE"""),13057.39)</f>
        <v/>
      </c>
    </row>
    <row r="3113">
      <c r="J3113">
        <f>IFERROR(__xludf.DUMMYFUNCTION("""COMPUTED_VALUE"""),"Kuujjuaq, Quebec, Canada and Iqaluit, Nunavut, Canada and Yellowknife, Northwest Territories, Canada")</f>
        <v/>
      </c>
      <c r="K3113">
        <f>IFERROR(__xludf.DUMMYFUNCTION("""COMPUTED_VALUE"""),13053.17)</f>
        <v/>
      </c>
    </row>
    <row r="3114">
      <c r="J3114">
        <f>IFERROR(__xludf.DUMMYFUNCTION("""COMPUTED_VALUE"""),"Paris, France / Bruxelles, Belgium")</f>
        <v/>
      </c>
      <c r="K3114">
        <f>IFERROR(__xludf.DUMMYFUNCTION("""COMPUTED_VALUE"""),13045.9)</f>
        <v/>
      </c>
    </row>
    <row r="3115">
      <c r="J3115">
        <f>IFERROR(__xludf.DUMMYFUNCTION("""COMPUTED_VALUE"""),"London, UK and Kabul &amp; Kandahar, Afghanistan.")</f>
        <v/>
      </c>
      <c r="K3115">
        <f>IFERROR(__xludf.DUMMYFUNCTION("""COMPUTED_VALUE"""),13044.92)</f>
        <v/>
      </c>
    </row>
    <row r="3116">
      <c r="J3116">
        <f>IFERROR(__xludf.DUMMYFUNCTION("""COMPUTED_VALUE"""),"London/Italy")</f>
        <v/>
      </c>
      <c r="K3116">
        <f>IFERROR(__xludf.DUMMYFUNCTION("""COMPUTED_VALUE"""),13039.69)</f>
        <v/>
      </c>
    </row>
    <row r="3117">
      <c r="J3117">
        <f>IFERROR(__xludf.DUMMYFUNCTION("""COMPUTED_VALUE"""),"Calgary, Vancouver and Toronto")</f>
        <v/>
      </c>
      <c r="K3117">
        <f>IFERROR(__xludf.DUMMYFUNCTION("""COMPUTED_VALUE"""),13039.04)</f>
        <v/>
      </c>
    </row>
    <row r="3118">
      <c r="J3118">
        <f>IFERROR(__xludf.DUMMYFUNCTION("""COMPUTED_VALUE"""),"Playa del Carmen, Mexique")</f>
        <v/>
      </c>
      <c r="K3118">
        <f>IFERROR(__xludf.DUMMYFUNCTION("""COMPUTED_VALUE"""),13031.75)</f>
        <v/>
      </c>
    </row>
    <row r="3119">
      <c r="J3119">
        <f>IFERROR(__xludf.DUMMYFUNCTION("""COMPUTED_VALUE"""),"London, United Kingdom and Paris, France.")</f>
        <v/>
      </c>
      <c r="K3119">
        <f>IFERROR(__xludf.DUMMYFUNCTION("""COMPUTED_VALUE"""),13021.43)</f>
        <v/>
      </c>
    </row>
    <row r="3120">
      <c r="J3120">
        <f>IFERROR(__xludf.DUMMYFUNCTION("""COMPUTED_VALUE"""),"Medelin, Colombia; Bogota, Colombia; Mexico City, Mexico")</f>
        <v/>
      </c>
      <c r="K3120">
        <f>IFERROR(__xludf.DUMMYFUNCTION("""COMPUTED_VALUE"""),13019.04)</f>
        <v/>
      </c>
    </row>
    <row r="3121">
      <c r="J3121">
        <f>IFERROR(__xludf.DUMMYFUNCTION("""COMPUTED_VALUE"""),"Ukraine, London, Paris")</f>
        <v/>
      </c>
      <c r="K3121">
        <f>IFERROR(__xludf.DUMMYFUNCTION("""COMPUTED_VALUE"""),13019.04)</f>
        <v/>
      </c>
    </row>
    <row r="3122">
      <c r="J3122">
        <f>IFERROR(__xludf.DUMMYFUNCTION("""COMPUTED_VALUE"""),"Hong Kong, China;
Abbotsford, British Columbia")</f>
        <v/>
      </c>
      <c r="K3122">
        <f>IFERROR(__xludf.DUMMYFUNCTION("""COMPUTED_VALUE"""),13014.8)</f>
        <v/>
      </c>
    </row>
    <row r="3123">
      <c r="J3123">
        <f>IFERROR(__xludf.DUMMYFUNCTION("""COMPUTED_VALUE"""),"Kyoto and Tokyo, Japan and Seoul, South Korea")</f>
        <v/>
      </c>
      <c r="K3123">
        <f>IFERROR(__xludf.DUMMYFUNCTION("""COMPUTED_VALUE"""),13014.13)</f>
        <v/>
      </c>
    </row>
    <row r="3124">
      <c r="J3124">
        <f>IFERROR(__xludf.DUMMYFUNCTION("""COMPUTED_VALUE"""),"Toyko, Japan")</f>
        <v/>
      </c>
      <c r="K3124">
        <f>IFERROR(__xludf.DUMMYFUNCTION("""COMPUTED_VALUE"""),13013.93)</f>
        <v/>
      </c>
    </row>
    <row r="3125">
      <c r="J3125">
        <f>IFERROR(__xludf.DUMMYFUNCTION("""COMPUTED_VALUE"""),"Washington, D.C, USA")</f>
        <v/>
      </c>
      <c r="K3125">
        <f>IFERROR(__xludf.DUMMYFUNCTION("""COMPUTED_VALUE"""),13003.24)</f>
        <v/>
      </c>
    </row>
    <row r="3126">
      <c r="J3126">
        <f>IFERROR(__xludf.DUMMYFUNCTION("""COMPUTED_VALUE"""),"Lubeck and The Hague")</f>
        <v/>
      </c>
      <c r="K3126">
        <f>IFERROR(__xludf.DUMMYFUNCTION("""COMPUTED_VALUE"""),13000.13)</f>
        <v/>
      </c>
    </row>
    <row r="3127">
      <c r="J3127">
        <f>IFERROR(__xludf.DUMMYFUNCTION("""COMPUTED_VALUE"""),"Summerside, Prince Edward Island, Canada")</f>
        <v/>
      </c>
      <c r="K3127">
        <f>IFERROR(__xludf.DUMMYFUNCTION("""COMPUTED_VALUE"""),12997.9)</f>
        <v/>
      </c>
    </row>
    <row r="3128">
      <c r="J3128">
        <f>IFERROR(__xludf.DUMMYFUNCTION("""COMPUTED_VALUE"""),"Windsor, ON / Detroit, MI")</f>
        <v/>
      </c>
      <c r="K3128">
        <f>IFERROR(__xludf.DUMMYFUNCTION("""COMPUTED_VALUE"""),12995.22)</f>
        <v/>
      </c>
    </row>
    <row r="3129">
      <c r="J3129">
        <f>IFERROR(__xludf.DUMMYFUNCTION("""COMPUTED_VALUE"""),"Kobe, Japan")</f>
        <v/>
      </c>
      <c r="K3129">
        <f>IFERROR(__xludf.DUMMYFUNCTION("""COMPUTED_VALUE"""),12991.15)</f>
        <v/>
      </c>
    </row>
    <row r="3130">
      <c r="J3130">
        <f>IFERROR(__xludf.DUMMYFUNCTION("""COMPUTED_VALUE"""),"Goose Bay and Nain, Newfoundland and Labrador, Canada")</f>
        <v/>
      </c>
      <c r="K3130">
        <f>IFERROR(__xludf.DUMMYFUNCTION("""COMPUTED_VALUE"""),12986.7)</f>
        <v/>
      </c>
    </row>
    <row r="3131">
      <c r="J3131">
        <f>IFERROR(__xludf.DUMMYFUNCTION("""COMPUTED_VALUE"""),"Dubai, United Arab Emirates
Singapore, Malaysia")</f>
        <v/>
      </c>
      <c r="K3131">
        <f>IFERROR(__xludf.DUMMYFUNCTION("""COMPUTED_VALUE"""),12986.38)</f>
        <v/>
      </c>
    </row>
    <row r="3132">
      <c r="J3132">
        <f>IFERROR(__xludf.DUMMYFUNCTION("""COMPUTED_VALUE"""),"Paris, Chad, Moldavia and Bucharest.")</f>
        <v/>
      </c>
      <c r="K3132">
        <f>IFERROR(__xludf.DUMMYFUNCTION("""COMPUTED_VALUE"""),12986.25)</f>
        <v/>
      </c>
    </row>
    <row r="3133">
      <c r="J3133">
        <f>IFERROR(__xludf.DUMMYFUNCTION("""COMPUTED_VALUE"""),"Shenzhen, China")</f>
        <v/>
      </c>
      <c r="K3133">
        <f>IFERROR(__xludf.DUMMYFUNCTION("""COMPUTED_VALUE"""),12980.67)</f>
        <v/>
      </c>
    </row>
    <row r="3134">
      <c r="J3134">
        <f>IFERROR(__xludf.DUMMYFUNCTION("""COMPUTED_VALUE"""),"Houston, United States")</f>
        <v/>
      </c>
      <c r="K3134">
        <f>IFERROR(__xludf.DUMMYFUNCTION("""COMPUTED_VALUE"""),12974.62)</f>
        <v/>
      </c>
    </row>
    <row r="3135">
      <c r="J3135">
        <f>IFERROR(__xludf.DUMMYFUNCTION("""COMPUTED_VALUE"""),"Berlin, Germany &amp; London, England, United Kingdom")</f>
        <v/>
      </c>
      <c r="K3135">
        <f>IFERROR(__xludf.DUMMYFUNCTION("""COMPUTED_VALUE"""),12970)</f>
        <v/>
      </c>
    </row>
    <row r="3136">
      <c r="J3136">
        <f>IFERROR(__xludf.DUMMYFUNCTION("""COMPUTED_VALUE"""),"Boucherville, Quebec, Canada")</f>
        <v/>
      </c>
      <c r="K3136">
        <f>IFERROR(__xludf.DUMMYFUNCTION("""COMPUTED_VALUE"""),12969.3)</f>
        <v/>
      </c>
    </row>
    <row r="3137">
      <c r="J3137">
        <f>IFERROR(__xludf.DUMMYFUNCTION("""COMPUTED_VALUE"""),"Washington D.C. - Houston, TX, USA")</f>
        <v/>
      </c>
      <c r="K3137">
        <f>IFERROR(__xludf.DUMMYFUNCTION("""COMPUTED_VALUE"""),12965.34)</f>
        <v/>
      </c>
    </row>
    <row r="3138">
      <c r="J3138">
        <f>IFERROR(__xludf.DUMMYFUNCTION("""COMPUTED_VALUE"""),"Jordan and Israel")</f>
        <v/>
      </c>
      <c r="K3138">
        <f>IFERROR(__xludf.DUMMYFUNCTION("""COMPUTED_VALUE"""),12962.99)</f>
        <v/>
      </c>
    </row>
    <row r="3139">
      <c r="J3139">
        <f>IFERROR(__xludf.DUMMYFUNCTION("""COMPUTED_VALUE"""),"France and Spain")</f>
        <v/>
      </c>
      <c r="K3139">
        <f>IFERROR(__xludf.DUMMYFUNCTION("""COMPUTED_VALUE"""),12954.4)</f>
        <v/>
      </c>
    </row>
    <row r="3140">
      <c r="J3140">
        <f>IFERROR(__xludf.DUMMYFUNCTION("""COMPUTED_VALUE"""),"Vancouver, British Columbia, Canada; Whistler, British Columbia, Canada;")</f>
        <v/>
      </c>
      <c r="K3140">
        <f>IFERROR(__xludf.DUMMYFUNCTION("""COMPUTED_VALUE"""),12954.22)</f>
        <v/>
      </c>
    </row>
    <row r="3141">
      <c r="J3141">
        <f>IFERROR(__xludf.DUMMYFUNCTION("""COMPUTED_VALUE"""),"Hanover, Germany, Brussels, Belgium, Geneva, Switzerland, and Paris, France")</f>
        <v/>
      </c>
      <c r="K3141">
        <f>IFERROR(__xludf.DUMMYFUNCTION("""COMPUTED_VALUE"""),12952.84)</f>
        <v/>
      </c>
    </row>
    <row r="3142">
      <c r="J3142">
        <f>IFERROR(__xludf.DUMMYFUNCTION("""COMPUTED_VALUE"""),"Brussels/Halifax")</f>
        <v/>
      </c>
      <c r="K3142">
        <f>IFERROR(__xludf.DUMMYFUNCTION("""COMPUTED_VALUE"""),12950.42)</f>
        <v/>
      </c>
    </row>
    <row r="3143">
      <c r="J3143">
        <f>IFERROR(__xludf.DUMMYFUNCTION("""COMPUTED_VALUE"""),"Toronto, ON - Washington, D.C., USA")</f>
        <v/>
      </c>
      <c r="K3143">
        <f>IFERROR(__xludf.DUMMYFUNCTION("""COMPUTED_VALUE"""),12947.25)</f>
        <v/>
      </c>
    </row>
    <row r="3144">
      <c r="J3144">
        <f>IFERROR(__xludf.DUMMYFUNCTION("""COMPUTED_VALUE"""),"Vancouver, Ottawa, New York")</f>
        <v/>
      </c>
      <c r="K3144">
        <f>IFERROR(__xludf.DUMMYFUNCTION("""COMPUTED_VALUE"""),12938.58)</f>
        <v/>
      </c>
    </row>
    <row r="3145">
      <c r="J3145">
        <f>IFERROR(__xludf.DUMMYFUNCTION("""COMPUTED_VALUE"""),"New York, NY, Washington, DC")</f>
        <v/>
      </c>
      <c r="K3145">
        <f>IFERROR(__xludf.DUMMYFUNCTION("""COMPUTED_VALUE"""),12938.57)</f>
        <v/>
      </c>
    </row>
    <row r="3146">
      <c r="J3146">
        <f>IFERROR(__xludf.DUMMYFUNCTION("""COMPUTED_VALUE"""),"Inuvik, Canada")</f>
        <v/>
      </c>
      <c r="K3146">
        <f>IFERROR(__xludf.DUMMYFUNCTION("""COMPUTED_VALUE"""),12938.48)</f>
        <v/>
      </c>
    </row>
    <row r="3147">
      <c r="J3147">
        <f>IFERROR(__xludf.DUMMYFUNCTION("""COMPUTED_VALUE"""),"SEOUL, SOUTH KOREA")</f>
        <v/>
      </c>
      <c r="K3147">
        <f>IFERROR(__xludf.DUMMYFUNCTION("""COMPUTED_VALUE"""),12930.52)</f>
        <v/>
      </c>
    </row>
    <row r="3148">
      <c r="J3148">
        <f>IFERROR(__xludf.DUMMYFUNCTION("""COMPUTED_VALUE"""),"Delhi, Mumbai-India")</f>
        <v/>
      </c>
      <c r="K3148">
        <f>IFERROR(__xludf.DUMMYFUNCTION("""COMPUTED_VALUE"""),12924.85)</f>
        <v/>
      </c>
    </row>
    <row r="3149">
      <c r="J3149">
        <f>IFERROR(__xludf.DUMMYFUNCTION("""COMPUTED_VALUE"""),"Korea and Singapore")</f>
        <v/>
      </c>
      <c r="K3149">
        <f>IFERROR(__xludf.DUMMYFUNCTION("""COMPUTED_VALUE"""),12918.16)</f>
        <v/>
      </c>
    </row>
    <row r="3150">
      <c r="J3150">
        <f>IFERROR(__xludf.DUMMYFUNCTION("""COMPUTED_VALUE"""),"Mexico City, (Mexico)")</f>
        <v/>
      </c>
      <c r="K3150">
        <f>IFERROR(__xludf.DUMMYFUNCTION("""COMPUTED_VALUE"""),12918.15)</f>
        <v/>
      </c>
    </row>
    <row r="3151">
      <c r="J3151">
        <f>IFERROR(__xludf.DUMMYFUNCTION("""COMPUTED_VALUE"""),"Geneva , Switzerland")</f>
        <v/>
      </c>
      <c r="K3151">
        <f>IFERROR(__xludf.DUMMYFUNCTION("""COMPUTED_VALUE"""),12918.06)</f>
        <v/>
      </c>
    </row>
    <row r="3152">
      <c r="J3152">
        <f>IFERROR(__xludf.DUMMYFUNCTION("""COMPUTED_VALUE"""),"Various cities in China")</f>
        <v/>
      </c>
      <c r="K3152">
        <f>IFERROR(__xludf.DUMMYFUNCTION("""COMPUTED_VALUE"""),12915)</f>
        <v/>
      </c>
    </row>
    <row r="3153">
      <c r="J3153">
        <f>IFERROR(__xludf.DUMMYFUNCTION("""COMPUTED_VALUE"""),"Trenton, Ontario, Canada")</f>
        <v/>
      </c>
      <c r="K3153">
        <f>IFERROR(__xludf.DUMMYFUNCTION("""COMPUTED_VALUE"""),12908.05)</f>
        <v/>
      </c>
    </row>
    <row r="3154">
      <c r="J3154">
        <f>IFERROR(__xludf.DUMMYFUNCTION("""COMPUTED_VALUE"""),"Santiago, Chile; Lima, Peru; Guayaquil, Ecuador; Bogota, Columbia; Mexico City, Mexico")</f>
        <v/>
      </c>
      <c r="K3154">
        <f>IFERROR(__xludf.DUMMYFUNCTION("""COMPUTED_VALUE"""),12907.71)</f>
        <v/>
      </c>
    </row>
    <row r="3155">
      <c r="J3155">
        <f>IFERROR(__xludf.DUMMYFUNCTION("""COMPUTED_VALUE"""),"London, UK; New Delhi, India")</f>
        <v/>
      </c>
      <c r="K3155">
        <f>IFERROR(__xludf.DUMMYFUNCTION("""COMPUTED_VALUE"""),12907.31)</f>
        <v/>
      </c>
    </row>
    <row r="3156">
      <c r="J3156">
        <f>IFERROR(__xludf.DUMMYFUNCTION("""COMPUTED_VALUE"""),"Ottawa, Ontario, Canada; Washington, DC, United States")</f>
        <v/>
      </c>
      <c r="K3156">
        <f>IFERROR(__xludf.DUMMYFUNCTION("""COMPUTED_VALUE"""),12905.8)</f>
        <v/>
      </c>
    </row>
    <row r="3157">
      <c r="J3157">
        <f>IFERROR(__xludf.DUMMYFUNCTION("""COMPUTED_VALUE"""),"Bahrain and Israel")</f>
        <v/>
      </c>
      <c r="K3157">
        <f>IFERROR(__xludf.DUMMYFUNCTION("""COMPUTED_VALUE"""),12895.75)</f>
        <v/>
      </c>
    </row>
    <row r="3158">
      <c r="J3158">
        <f>IFERROR(__xludf.DUMMYFUNCTION("""COMPUTED_VALUE"""),"Quito and Guayaquil Ecuador Santiago, Chile")</f>
        <v/>
      </c>
      <c r="K3158">
        <f>IFERROR(__xludf.DUMMYFUNCTION("""COMPUTED_VALUE"""),12894.75)</f>
        <v/>
      </c>
    </row>
    <row r="3159">
      <c r="J3159">
        <f>IFERROR(__xludf.DUMMYFUNCTION("""COMPUTED_VALUE"""),"London, England/Brussels, Belgium/Berlin, Germany")</f>
        <v/>
      </c>
      <c r="K3159">
        <f>IFERROR(__xludf.DUMMYFUNCTION("""COMPUTED_VALUE"""),12893.08)</f>
        <v/>
      </c>
    </row>
    <row r="3160">
      <c r="J3160">
        <f>IFERROR(__xludf.DUMMYFUNCTION("""COMPUTED_VALUE"""),"New Delhi, Bangkok, Guangzhou and Hong Kong")</f>
        <v/>
      </c>
      <c r="K3160">
        <f>IFERROR(__xludf.DUMMYFUNCTION("""COMPUTED_VALUE"""),12892.34)</f>
        <v/>
      </c>
    </row>
    <row r="3161">
      <c r="J3161">
        <f>IFERROR(__xludf.DUMMYFUNCTION("""COMPUTED_VALUE"""),"Ottawa and London")</f>
        <v/>
      </c>
      <c r="K3161">
        <f>IFERROR(__xludf.DUMMYFUNCTION("""COMPUTED_VALUE"""),12892.08)</f>
        <v/>
      </c>
    </row>
    <row r="3162">
      <c r="J3162">
        <f>IFERROR(__xludf.DUMMYFUNCTION("""COMPUTED_VALUE"""),"Paris-Montreal-Ottawa")</f>
        <v/>
      </c>
      <c r="K3162">
        <f>IFERROR(__xludf.DUMMYFUNCTION("""COMPUTED_VALUE"""),12891.29)</f>
        <v/>
      </c>
    </row>
    <row r="3163">
      <c r="J3163">
        <f>IFERROR(__xludf.DUMMYFUNCTION("""COMPUTED_VALUE"""),"Buenos Aires, Argentina
Sao Paulo and Brasilia, Brazil")</f>
        <v/>
      </c>
      <c r="K3163">
        <f>IFERROR(__xludf.DUMMYFUNCTION("""COMPUTED_VALUE"""),12886.66)</f>
        <v/>
      </c>
    </row>
    <row r="3164">
      <c r="J3164">
        <f>IFERROR(__xludf.DUMMYFUNCTION("""COMPUTED_VALUE"""),"Calgary, Alberta / Vancouver, British Columbia, Canada")</f>
        <v/>
      </c>
      <c r="K3164">
        <f>IFERROR(__xludf.DUMMYFUNCTION("""COMPUTED_VALUE"""),12883.74)</f>
        <v/>
      </c>
    </row>
    <row r="3165">
      <c r="J3165">
        <f>IFERROR(__xludf.DUMMYFUNCTION("""COMPUTED_VALUE"""),"Saint John, New Brunswick, Canada; Vancouver, British Columbia, Canada; Prince Rupert, British Columbia, Canada; Terrace, British Columbia, Canada; Kitimat, British Columbia, Canada; Prince George, British Columbia, Canada; Whitehorse, Yukon, Canada; Yell"&amp;"owknife, Northwest Territories, Canada; Iqaluit, Nunavut, Canada")</f>
        <v/>
      </c>
      <c r="K3165">
        <f>IFERROR(__xludf.DUMMYFUNCTION("""COMPUTED_VALUE"""),12878.66)</f>
        <v/>
      </c>
    </row>
    <row r="3166">
      <c r="J3166">
        <f>IFERROR(__xludf.DUMMYFUNCTION("""COMPUTED_VALUE"""),"Kyoto and Tokyo, Japan")</f>
        <v/>
      </c>
      <c r="K3166">
        <f>IFERROR(__xludf.DUMMYFUNCTION("""COMPUTED_VALUE"""),12872.84)</f>
        <v/>
      </c>
    </row>
    <row r="3167">
      <c r="J3167">
        <f>IFERROR(__xludf.DUMMYFUNCTION("""COMPUTED_VALUE"""),"Rome, Italy / Accra, Ghana / London, United Kingdom")</f>
        <v/>
      </c>
      <c r="K3167">
        <f>IFERROR(__xludf.DUMMYFUNCTION("""COMPUTED_VALUE"""),12871.67)</f>
        <v/>
      </c>
    </row>
    <row r="3168">
      <c r="J3168">
        <f>IFERROR(__xludf.DUMMYFUNCTION("""COMPUTED_VALUE"""),"Vancouver (BC) Canada")</f>
        <v/>
      </c>
      <c r="K3168">
        <f>IFERROR(__xludf.DUMMYFUNCTION("""COMPUTED_VALUE"""),12871.15)</f>
        <v/>
      </c>
    </row>
    <row r="3169">
      <c r="J3169">
        <f>IFERROR(__xludf.DUMMYFUNCTION("""COMPUTED_VALUE"""),"Paris,France
Munich, Germany")</f>
        <v/>
      </c>
      <c r="K3169">
        <f>IFERROR(__xludf.DUMMYFUNCTION("""COMPUTED_VALUE"""),12867.65)</f>
        <v/>
      </c>
    </row>
    <row r="3170">
      <c r="J3170">
        <f>IFERROR(__xludf.DUMMYFUNCTION("""COMPUTED_VALUE"""),"Rome,
Italy")</f>
        <v/>
      </c>
      <c r="K3170">
        <f>IFERROR(__xludf.DUMMYFUNCTION("""COMPUTED_VALUE"""),12863.86)</f>
        <v/>
      </c>
    </row>
    <row r="3171">
      <c r="J3171">
        <f>IFERROR(__xludf.DUMMYFUNCTION("""COMPUTED_VALUE"""),"Abbotsford, British Columbia; Edmonton, Alberta")</f>
        <v/>
      </c>
      <c r="K3171">
        <f>IFERROR(__xludf.DUMMYFUNCTION("""COMPUTED_VALUE"""),12861.98)</f>
        <v/>
      </c>
    </row>
    <row r="3172">
      <c r="J3172">
        <f>IFERROR(__xludf.DUMMYFUNCTION("""COMPUTED_VALUE"""),"Vienna, London, New Delhi")</f>
        <v/>
      </c>
      <c r="K3172">
        <f>IFERROR(__xludf.DUMMYFUNCTION("""COMPUTED_VALUE"""),12855.75)</f>
        <v/>
      </c>
    </row>
    <row r="3173">
      <c r="J3173">
        <f>IFERROR(__xludf.DUMMYFUNCTION("""COMPUTED_VALUE"""),"Vienna, Austria
Zagreb, Croatia
Sarajevo, Bosnia Herzegovina")</f>
        <v/>
      </c>
      <c r="K3173">
        <f>IFERROR(__xludf.DUMMYFUNCTION("""COMPUTED_VALUE"""),12852.01)</f>
        <v/>
      </c>
    </row>
    <row r="3174">
      <c r="J3174">
        <f>IFERROR(__xludf.DUMMYFUNCTION("""COMPUTED_VALUE"""),"Paris, France; Washington DC")</f>
        <v/>
      </c>
      <c r="K3174">
        <f>IFERROR(__xludf.DUMMYFUNCTION("""COMPUTED_VALUE"""),12851.51)</f>
        <v/>
      </c>
    </row>
    <row r="3175">
      <c r="J3175">
        <f>IFERROR(__xludf.DUMMYFUNCTION("""COMPUTED_VALUE"""),"Berlin, Germany / Ankara, Turkey")</f>
        <v/>
      </c>
      <c r="K3175">
        <f>IFERROR(__xludf.DUMMYFUNCTION("""COMPUTED_VALUE"""),12851.17)</f>
        <v/>
      </c>
    </row>
    <row r="3176">
      <c r="J3176">
        <f>IFERROR(__xludf.DUMMYFUNCTION("""COMPUTED_VALUE"""),"Charlottetown, Prince Edward Island, Canada; Halifax, Nova Scotia, Canada")</f>
        <v/>
      </c>
      <c r="K3176">
        <f>IFERROR(__xludf.DUMMYFUNCTION("""COMPUTED_VALUE"""),12846.6199999999)</f>
        <v/>
      </c>
    </row>
    <row r="3177">
      <c r="J3177">
        <f>IFERROR(__xludf.DUMMYFUNCTION("""COMPUTED_VALUE"""),"Quebec City and Montreal, Quebec")</f>
        <v/>
      </c>
      <c r="K3177">
        <f>IFERROR(__xludf.DUMMYFUNCTION("""COMPUTED_VALUE"""),12845.8499999999)</f>
        <v/>
      </c>
    </row>
    <row r="3178">
      <c r="J3178">
        <f>IFERROR(__xludf.DUMMYFUNCTION("""COMPUTED_VALUE"""),"Berlin, Germany / Brussels, Belgium")</f>
        <v/>
      </c>
      <c r="K3178">
        <f>IFERROR(__xludf.DUMMYFUNCTION("""COMPUTED_VALUE"""),12840.93)</f>
        <v/>
      </c>
    </row>
    <row r="3179">
      <c r="J3179">
        <f>IFERROR(__xludf.DUMMYFUNCTION("""COMPUTED_VALUE"""),"Hokkaido, Japan")</f>
        <v/>
      </c>
      <c r="K3179">
        <f>IFERROR(__xludf.DUMMYFUNCTION("""COMPUTED_VALUE"""),12839.72)</f>
        <v/>
      </c>
    </row>
    <row r="3180">
      <c r="J3180">
        <f>IFERROR(__xludf.DUMMYFUNCTION("""COMPUTED_VALUE"""),"New Dehli, IN")</f>
        <v/>
      </c>
      <c r="K3180">
        <f>IFERROR(__xludf.DUMMYFUNCTION("""COMPUTED_VALUE"""),12839.2)</f>
        <v/>
      </c>
    </row>
    <row r="3181">
      <c r="J3181">
        <f>IFERROR(__xludf.DUMMYFUNCTION("""COMPUTED_VALUE"""),"Vancouver, British Columbia / Victoria, British Columbia, Canada")</f>
        <v/>
      </c>
      <c r="K3181">
        <f>IFERROR(__xludf.DUMMYFUNCTION("""COMPUTED_VALUE"""),12836.16)</f>
        <v/>
      </c>
    </row>
    <row r="3182">
      <c r="J3182">
        <f>IFERROR(__xludf.DUMMYFUNCTION("""COMPUTED_VALUE"""),"Calgary, Alberta, Canada; Saskatoon, Saskatchewan, Canada; Victoria, British Columbia, Canada")</f>
        <v/>
      </c>
      <c r="K3182">
        <f>IFERROR(__xludf.DUMMYFUNCTION("""COMPUTED_VALUE"""),12834.0099999999)</f>
        <v/>
      </c>
    </row>
    <row r="3183">
      <c r="J3183">
        <f>IFERROR(__xludf.DUMMYFUNCTION("""COMPUTED_VALUE"""),"St. John's, Newfoundland and Labrador, Canada - Toronto, Ontario, Canada")</f>
        <v/>
      </c>
      <c r="K3183">
        <f>IFERROR(__xludf.DUMMYFUNCTION("""COMPUTED_VALUE"""),12823.84)</f>
        <v/>
      </c>
    </row>
    <row r="3184">
      <c r="J3184">
        <f>IFERROR(__xludf.DUMMYFUNCTION("""COMPUTED_VALUE"""),"Dubai, Abu Dhabi, Ryadh, Kuwait")</f>
        <v/>
      </c>
      <c r="K3184">
        <f>IFERROR(__xludf.DUMMYFUNCTION("""COMPUTED_VALUE"""),12822.67)</f>
        <v/>
      </c>
    </row>
    <row r="3185">
      <c r="J3185">
        <f>IFERROR(__xludf.DUMMYFUNCTION("""COMPUTED_VALUE"""),"Hyderabad (Telangana) India")</f>
        <v/>
      </c>
      <c r="K3185">
        <f>IFERROR(__xludf.DUMMYFUNCTION("""COMPUTED_VALUE"""),12821.65)</f>
        <v/>
      </c>
    </row>
    <row r="3186">
      <c r="J3186">
        <f>IFERROR(__xludf.DUMMYFUNCTION("""COMPUTED_VALUE"""),"Geneva, Switzerland; Berlin, Germany")</f>
        <v/>
      </c>
      <c r="K3186">
        <f>IFERROR(__xludf.DUMMYFUNCTION("""COMPUTED_VALUE"""),12817.74)</f>
        <v/>
      </c>
    </row>
    <row r="3187">
      <c r="J3187">
        <f>IFERROR(__xludf.DUMMYFUNCTION("""COMPUTED_VALUE"""),"Oslo, Norway / London, UK / Copenhagen, Denmark")</f>
        <v/>
      </c>
      <c r="K3187">
        <f>IFERROR(__xludf.DUMMYFUNCTION("""COMPUTED_VALUE"""),12816.12)</f>
        <v/>
      </c>
    </row>
    <row r="3188">
      <c r="J3188">
        <f>IFERROR(__xludf.DUMMYFUNCTION("""COMPUTED_VALUE"""),"Edmonton, Alberta / Milan, Italy")</f>
        <v/>
      </c>
      <c r="K3188">
        <f>IFERROR(__xludf.DUMMYFUNCTION("""COMPUTED_VALUE"""),12811.88)</f>
        <v/>
      </c>
    </row>
    <row r="3189">
      <c r="J3189">
        <f>IFERROR(__xludf.DUMMYFUNCTION("""COMPUTED_VALUE"""),"Norway, Finland, Russia")</f>
        <v/>
      </c>
      <c r="K3189">
        <f>IFERROR(__xludf.DUMMYFUNCTION("""COMPUTED_VALUE"""),12806)</f>
        <v/>
      </c>
    </row>
    <row r="3190">
      <c r="J3190">
        <f>IFERROR(__xludf.DUMMYFUNCTION("""COMPUTED_VALUE"""),"Tokyo and Nagoya, Japan")</f>
        <v/>
      </c>
      <c r="K3190">
        <f>IFERROR(__xludf.DUMMYFUNCTION("""COMPUTED_VALUE"""),12804.22)</f>
        <v/>
      </c>
    </row>
    <row r="3191">
      <c r="J3191">
        <f>IFERROR(__xludf.DUMMYFUNCTION("""COMPUTED_VALUE"""),"BRUSSELS, BELGIUM")</f>
        <v/>
      </c>
      <c r="K3191">
        <f>IFERROR(__xludf.DUMMYFUNCTION("""COMPUTED_VALUE"""),12799.25)</f>
        <v/>
      </c>
    </row>
    <row r="3192">
      <c r="J3192">
        <f>IFERROR(__xludf.DUMMYFUNCTION("""COMPUTED_VALUE"""),"Vietnam, Indonesia, Philippines")</f>
        <v/>
      </c>
      <c r="K3192">
        <f>IFERROR(__xludf.DUMMYFUNCTION("""COMPUTED_VALUE"""),12794.26)</f>
        <v/>
      </c>
    </row>
    <row r="3193">
      <c r="J3193">
        <f>IFERROR(__xludf.DUMMYFUNCTION("""COMPUTED_VALUE"""),"Valimoura, Portugal")</f>
        <v/>
      </c>
      <c r="K3193">
        <f>IFERROR(__xludf.DUMMYFUNCTION("""COMPUTED_VALUE"""),12789.37)</f>
        <v/>
      </c>
    </row>
    <row r="3194">
      <c r="J3194">
        <f>IFERROR(__xludf.DUMMYFUNCTION("""COMPUTED_VALUE"""),"Brussels &amp; Riga")</f>
        <v/>
      </c>
      <c r="K3194">
        <f>IFERROR(__xludf.DUMMYFUNCTION("""COMPUTED_VALUE"""),12789.13)</f>
        <v/>
      </c>
    </row>
    <row r="3195">
      <c r="J3195">
        <f>IFERROR(__xludf.DUMMYFUNCTION("""COMPUTED_VALUE"""),"Beijing,China/Nanjing, China/Shanghai,China")</f>
        <v/>
      </c>
      <c r="K3195">
        <f>IFERROR(__xludf.DUMMYFUNCTION("""COMPUTED_VALUE"""),12785.76)</f>
        <v/>
      </c>
    </row>
    <row r="3196">
      <c r="J3196">
        <f>IFERROR(__xludf.DUMMYFUNCTION("""COMPUTED_VALUE"""),"Tokyo, Japan, Changi, Singapore")</f>
        <v/>
      </c>
      <c r="K3196">
        <f>IFERROR(__xludf.DUMMYFUNCTION("""COMPUTED_VALUE"""),12785.66)</f>
        <v/>
      </c>
    </row>
    <row r="3197">
      <c r="J3197">
        <f>IFERROR(__xludf.DUMMYFUNCTION("""COMPUTED_VALUE"""),"Washington, London, Brussels and Paris")</f>
        <v/>
      </c>
      <c r="K3197">
        <f>IFERROR(__xludf.DUMMYFUNCTION("""COMPUTED_VALUE"""),12784.19)</f>
        <v/>
      </c>
    </row>
    <row r="3198">
      <c r="J3198">
        <f>IFERROR(__xludf.DUMMYFUNCTION("""COMPUTED_VALUE"""),"Brussels, Belgium / Accra, Ghana / Nairobi, Kenya / Capetown, South Africa / Johannesburg, South of Africa / Dakar, Senegal")</f>
        <v/>
      </c>
      <c r="K3198">
        <f>IFERROR(__xludf.DUMMYFUNCTION("""COMPUTED_VALUE"""),12783.46)</f>
        <v/>
      </c>
    </row>
    <row r="3199">
      <c r="J3199">
        <f>IFERROR(__xludf.DUMMYFUNCTION("""COMPUTED_VALUE"""),"London, United Kingdom
Paris, France
Luxembourg, Luxembourg
Brussels, Belgium")</f>
        <v/>
      </c>
      <c r="K3199">
        <f>IFERROR(__xludf.DUMMYFUNCTION("""COMPUTED_VALUE"""),12782.98)</f>
        <v/>
      </c>
    </row>
    <row r="3200">
      <c r="J3200">
        <f>IFERROR(__xludf.DUMMYFUNCTION("""COMPUTED_VALUE"""),"Florence, Rome")</f>
        <v/>
      </c>
      <c r="K3200">
        <f>IFERROR(__xludf.DUMMYFUNCTION("""COMPUTED_VALUE"""),12779.91)</f>
        <v/>
      </c>
    </row>
    <row r="3201">
      <c r="J3201">
        <f>IFERROR(__xludf.DUMMYFUNCTION("""COMPUTED_VALUE"""),"North York, Ontario, Canada")</f>
        <v/>
      </c>
      <c r="K3201">
        <f>IFERROR(__xludf.DUMMYFUNCTION("""COMPUTED_VALUE"""),12775.99)</f>
        <v/>
      </c>
    </row>
    <row r="3202">
      <c r="J3202">
        <f>IFERROR(__xludf.DUMMYFUNCTION("""COMPUTED_VALUE"""),"Interlaken, Switzerland")</f>
        <v/>
      </c>
      <c r="K3202">
        <f>IFERROR(__xludf.DUMMYFUNCTION("""COMPUTED_VALUE"""),12769.84)</f>
        <v/>
      </c>
    </row>
    <row r="3203">
      <c r="J3203">
        <f>IFERROR(__xludf.DUMMYFUNCTION("""COMPUTED_VALUE"""),"Whitehorse, Yukon / Vancouver, British Columbia, Canada")</f>
        <v/>
      </c>
      <c r="K3203">
        <f>IFERROR(__xludf.DUMMYFUNCTION("""COMPUTED_VALUE"""),12768.76)</f>
        <v/>
      </c>
    </row>
    <row r="3204">
      <c r="J3204">
        <f>IFERROR(__xludf.DUMMYFUNCTION("""COMPUTED_VALUE"""),"Brampton, ON")</f>
        <v/>
      </c>
      <c r="K3204">
        <f>IFERROR(__xludf.DUMMYFUNCTION("""COMPUTED_VALUE"""),12768.7)</f>
        <v/>
      </c>
    </row>
    <row r="3205">
      <c r="J3205">
        <f>IFERROR(__xludf.DUMMYFUNCTION("""COMPUTED_VALUE"""),"Vantaa / Helsinki, Finland and Saint-Petersburg, Russia")</f>
        <v/>
      </c>
      <c r="K3205">
        <f>IFERROR(__xludf.DUMMYFUNCTION("""COMPUTED_VALUE"""),12765.61)</f>
        <v/>
      </c>
    </row>
    <row r="3206">
      <c r="J3206">
        <f>IFERROR(__xludf.DUMMYFUNCTION("""COMPUTED_VALUE"""),"Stockholm, Copenhagen, Moscow")</f>
        <v/>
      </c>
      <c r="K3206">
        <f>IFERROR(__xludf.DUMMYFUNCTION("""COMPUTED_VALUE"""),12764.71)</f>
        <v/>
      </c>
    </row>
    <row r="3207">
      <c r="J3207">
        <f>IFERROR(__xludf.DUMMYFUNCTION("""COMPUTED_VALUE"""),"Damascus, Riyadh, Amman, Cairo, Jerusalem and Beirut")</f>
        <v/>
      </c>
      <c r="K3207">
        <f>IFERROR(__xludf.DUMMYFUNCTION("""COMPUTED_VALUE"""),12764.3)</f>
        <v/>
      </c>
    </row>
    <row r="3208">
      <c r="J3208">
        <f>IFERROR(__xludf.DUMMYFUNCTION("""COMPUTED_VALUE"""),"Gander, Newfoundland and Labrador, Canada; St. John's, Newfoundland and Labrador, Canada")</f>
        <v/>
      </c>
      <c r="K3208">
        <f>IFERROR(__xludf.DUMMYFUNCTION("""COMPUTED_VALUE"""),12759.76)</f>
        <v/>
      </c>
    </row>
    <row r="3209">
      <c r="J3209">
        <f>IFERROR(__xludf.DUMMYFUNCTION("""COMPUTED_VALUE"""),"London, England, United Kingdom.")</f>
        <v/>
      </c>
      <c r="K3209">
        <f>IFERROR(__xludf.DUMMYFUNCTION("""COMPUTED_VALUE"""),12757.56)</f>
        <v/>
      </c>
    </row>
    <row r="3210">
      <c r="J3210">
        <f>IFERROR(__xludf.DUMMYFUNCTION("""COMPUTED_VALUE"""),"Hong Kong, China &amp; Hanoi, Vietnam")</f>
        <v/>
      </c>
      <c r="K3210">
        <f>IFERROR(__xludf.DUMMYFUNCTION("""COMPUTED_VALUE"""),12757.47)</f>
        <v/>
      </c>
    </row>
    <row r="3211">
      <c r="J3211">
        <f>IFERROR(__xludf.DUMMYFUNCTION("""COMPUTED_VALUE"""),"Bogota")</f>
        <v/>
      </c>
      <c r="K3211">
        <f>IFERROR(__xludf.DUMMYFUNCTION("""COMPUTED_VALUE"""),12755.8699999999)</f>
        <v/>
      </c>
    </row>
    <row r="3212">
      <c r="J3212">
        <f>IFERROR(__xludf.DUMMYFUNCTION("""COMPUTED_VALUE"""),"Vancouver, BC, Sydney, Australia, Melbourne, Australia")</f>
        <v/>
      </c>
      <c r="K3212">
        <f>IFERROR(__xludf.DUMMYFUNCTION("""COMPUTED_VALUE"""),12755.73)</f>
        <v/>
      </c>
    </row>
    <row r="3213">
      <c r="J3213">
        <f>IFERROR(__xludf.DUMMYFUNCTION("""COMPUTED_VALUE"""),"Auckland, Christchurch and Akaroa, New Zealand")</f>
        <v/>
      </c>
      <c r="K3213">
        <f>IFERROR(__xludf.DUMMYFUNCTION("""COMPUTED_VALUE"""),12754.28)</f>
        <v/>
      </c>
    </row>
    <row r="3214">
      <c r="J3214">
        <f>IFERROR(__xludf.DUMMYFUNCTION("""COMPUTED_VALUE"""),"Kuujjuaq, Quebec, Nain, Newfoundland and Labrador")</f>
        <v/>
      </c>
      <c r="K3214">
        <f>IFERROR(__xludf.DUMMYFUNCTION("""COMPUTED_VALUE"""),12753.63)</f>
        <v/>
      </c>
    </row>
    <row r="3215">
      <c r="J3215">
        <f>IFERROR(__xludf.DUMMYFUNCTION("""COMPUTED_VALUE"""),"Switzerland, U.K.")</f>
        <v/>
      </c>
      <c r="K3215">
        <f>IFERROR(__xludf.DUMMYFUNCTION("""COMPUTED_VALUE"""),12747.61)</f>
        <v/>
      </c>
    </row>
    <row r="3216">
      <c r="J3216">
        <f>IFERROR(__xludf.DUMMYFUNCTION("""COMPUTED_VALUE"""),"Geneva, Berlin and Munich")</f>
        <v/>
      </c>
      <c r="K3216">
        <f>IFERROR(__xludf.DUMMYFUNCTION("""COMPUTED_VALUE"""),12745.31)</f>
        <v/>
      </c>
    </row>
    <row r="3217">
      <c r="J3217">
        <f>IFERROR(__xludf.DUMMYFUNCTION("""COMPUTED_VALUE"""),"London, Kabul")</f>
        <v/>
      </c>
      <c r="K3217">
        <f>IFERROR(__xludf.DUMMYFUNCTION("""COMPUTED_VALUE"""),12742.82)</f>
        <v/>
      </c>
    </row>
    <row r="3218">
      <c r="J3218">
        <f>IFERROR(__xludf.DUMMYFUNCTION("""COMPUTED_VALUE"""),"China, Cambodia, Vietnam, Micronesia")</f>
        <v/>
      </c>
      <c r="K3218">
        <f>IFERROR(__xludf.DUMMYFUNCTION("""COMPUTED_VALUE"""),12740.31)</f>
        <v/>
      </c>
    </row>
    <row r="3219">
      <c r="J3219">
        <f>IFERROR(__xludf.DUMMYFUNCTION("""COMPUTED_VALUE"""),"Seoul Korea")</f>
        <v/>
      </c>
      <c r="K3219">
        <f>IFERROR(__xludf.DUMMYFUNCTION("""COMPUTED_VALUE"""),12739.65)</f>
        <v/>
      </c>
    </row>
    <row r="3220">
      <c r="J3220">
        <f>IFERROR(__xludf.DUMMYFUNCTION("""COMPUTED_VALUE"""),"Denver, Colorado")</f>
        <v/>
      </c>
      <c r="K3220">
        <f>IFERROR(__xludf.DUMMYFUNCTION("""COMPUTED_VALUE"""),12738.31)</f>
        <v/>
      </c>
    </row>
    <row r="3221">
      <c r="J3221">
        <f>IFERROR(__xludf.DUMMYFUNCTION("""COMPUTED_VALUE"""),"Montreal, Quebec
Toronto, Ontario")</f>
        <v/>
      </c>
      <c r="K3221">
        <f>IFERROR(__xludf.DUMMYFUNCTION("""COMPUTED_VALUE"""),12735.66)</f>
        <v/>
      </c>
    </row>
    <row r="3222">
      <c r="J3222">
        <f>IFERROR(__xludf.DUMMYFUNCTION("""COMPUTED_VALUE"""),"Bremen, Gerrmany / Hanover, Germany / Hamburg, Germany / Copenhagen, Denmark")</f>
        <v/>
      </c>
      <c r="K3222">
        <f>IFERROR(__xludf.DUMMYFUNCTION("""COMPUTED_VALUE"""),12732.96)</f>
        <v/>
      </c>
    </row>
    <row r="3223">
      <c r="J3223">
        <f>IFERROR(__xludf.DUMMYFUNCTION("""COMPUTED_VALUE"""),"Uganda")</f>
        <v/>
      </c>
      <c r="K3223">
        <f>IFERROR(__xludf.DUMMYFUNCTION("""COMPUTED_VALUE"""),12732.54)</f>
        <v/>
      </c>
    </row>
    <row r="3224">
      <c r="J3224">
        <f>IFERROR(__xludf.DUMMYFUNCTION("""COMPUTED_VALUE"""),"Montreal, Quebec, Canada; Copenhagen, Denmark")</f>
        <v/>
      </c>
      <c r="K3224">
        <f>IFERROR(__xludf.DUMMYFUNCTION("""COMPUTED_VALUE"""),12728.58)</f>
        <v/>
      </c>
    </row>
    <row r="3225">
      <c r="J3225">
        <f>IFERROR(__xludf.DUMMYFUNCTION("""COMPUTED_VALUE"""),"Luxembourg City, Luxembourg")</f>
        <v/>
      </c>
      <c r="K3225">
        <f>IFERROR(__xludf.DUMMYFUNCTION("""COMPUTED_VALUE"""),12726.59)</f>
        <v/>
      </c>
    </row>
    <row r="3226">
      <c r="J3226">
        <f>IFERROR(__xludf.DUMMYFUNCTION("""COMPUTED_VALUE"""),"Toronto ON, Beijing, Tianjin and Nanjing, China")</f>
        <v/>
      </c>
      <c r="K3226">
        <f>IFERROR(__xludf.DUMMYFUNCTION("""COMPUTED_VALUE"""),12715.06)</f>
        <v/>
      </c>
    </row>
    <row r="3227">
      <c r="J3227">
        <f>IFERROR(__xludf.DUMMYFUNCTION("""COMPUTED_VALUE"""),"Calgary, Yellowknife,
Fort McMurray,
St. Johns, Halifax and
Ottawa")</f>
        <v/>
      </c>
      <c r="K3227">
        <f>IFERROR(__xludf.DUMMYFUNCTION("""COMPUTED_VALUE"""),12705.92)</f>
        <v/>
      </c>
    </row>
    <row r="3228">
      <c r="J3228">
        <f>IFERROR(__xludf.DUMMYFUNCTION("""COMPUTED_VALUE"""),"Ha Noi, Vietnam")</f>
        <v/>
      </c>
      <c r="K3228">
        <f>IFERROR(__xludf.DUMMYFUNCTION("""COMPUTED_VALUE"""),12703.29)</f>
        <v/>
      </c>
    </row>
    <row r="3229">
      <c r="J3229">
        <f>IFERROR(__xludf.DUMMYFUNCTION("""COMPUTED_VALUE"""),"Vancouver / Whitehorse / Victoria")</f>
        <v/>
      </c>
      <c r="K3229">
        <f>IFERROR(__xludf.DUMMYFUNCTION("""COMPUTED_VALUE"""),12701.05)</f>
        <v/>
      </c>
    </row>
    <row r="3230">
      <c r="J3230">
        <f>IFERROR(__xludf.DUMMYFUNCTION("""COMPUTED_VALUE"""),"Western Canada")</f>
        <v/>
      </c>
      <c r="K3230">
        <f>IFERROR(__xludf.DUMMYFUNCTION("""COMPUTED_VALUE"""),12697.17)</f>
        <v/>
      </c>
    </row>
    <row r="3231">
      <c r="J3231">
        <f>IFERROR(__xludf.DUMMYFUNCTION("""COMPUTED_VALUE"""),"Burlington, ON")</f>
        <v/>
      </c>
      <c r="K3231">
        <f>IFERROR(__xludf.DUMMYFUNCTION("""COMPUTED_VALUE"""),12696.67)</f>
        <v/>
      </c>
    </row>
    <row r="3232">
      <c r="J3232">
        <f>IFERROR(__xludf.DUMMYFUNCTION("""COMPUTED_VALUE"""),"Tokyo, Singapore, Manila")</f>
        <v/>
      </c>
      <c r="K3232">
        <f>IFERROR(__xludf.DUMMYFUNCTION("""COMPUTED_VALUE"""),12691)</f>
        <v/>
      </c>
    </row>
    <row r="3233">
      <c r="J3233">
        <f>IFERROR(__xludf.DUMMYFUNCTION("""COMPUTED_VALUE"""),"St.John's")</f>
        <v/>
      </c>
      <c r="K3233">
        <f>IFERROR(__xludf.DUMMYFUNCTION("""COMPUTED_VALUE"""),12689.25)</f>
        <v/>
      </c>
    </row>
    <row r="3234">
      <c r="J3234">
        <f>IFERROR(__xludf.DUMMYFUNCTION("""COMPUTED_VALUE"""),"Delhi, India - Israel - Jordan")</f>
        <v/>
      </c>
      <c r="K3234">
        <f>IFERROR(__xludf.DUMMYFUNCTION("""COMPUTED_VALUE"""),12686.99)</f>
        <v/>
      </c>
    </row>
    <row r="3235">
      <c r="J3235">
        <f>IFERROR(__xludf.DUMMYFUNCTION("""COMPUTED_VALUE"""),"Osaka, Japan; Seoul, South, Korea and Taipei, Taiwan")</f>
        <v/>
      </c>
      <c r="K3235">
        <f>IFERROR(__xludf.DUMMYFUNCTION("""COMPUTED_VALUE"""),12685.2)</f>
        <v/>
      </c>
    </row>
    <row r="3236">
      <c r="J3236">
        <f>IFERROR(__xludf.DUMMYFUNCTION("""COMPUTED_VALUE"""),"Valetta, London, New York")</f>
        <v/>
      </c>
      <c r="K3236">
        <f>IFERROR(__xludf.DUMMYFUNCTION("""COMPUTED_VALUE"""),12684.77)</f>
        <v/>
      </c>
    </row>
    <row r="3237">
      <c r="J3237">
        <f>IFERROR(__xludf.DUMMYFUNCTION("""COMPUTED_VALUE"""),"Antwerp, Antwerp, Belgium")</f>
        <v/>
      </c>
      <c r="K3237">
        <f>IFERROR(__xludf.DUMMYFUNCTION("""COMPUTED_VALUE"""),12683.17)</f>
        <v/>
      </c>
    </row>
    <row r="3238">
      <c r="J3238">
        <f>IFERROR(__xludf.DUMMYFUNCTION("""COMPUTED_VALUE"""),"Vienna, Austria; Prague, Czech Republic; Madrid, Spain.")</f>
        <v/>
      </c>
      <c r="K3238">
        <f>IFERROR(__xludf.DUMMYFUNCTION("""COMPUTED_VALUE"""),12681.7)</f>
        <v/>
      </c>
    </row>
    <row r="3239">
      <c r="J3239">
        <f>IFERROR(__xludf.DUMMYFUNCTION("""COMPUTED_VALUE"""),"BNGKK, THAILAND")</f>
        <v/>
      </c>
      <c r="K3239">
        <f>IFERROR(__xludf.DUMMYFUNCTION("""COMPUTED_VALUE"""),12679.61)</f>
        <v/>
      </c>
    </row>
    <row r="3240">
      <c r="J3240">
        <f>IFERROR(__xludf.DUMMYFUNCTION("""COMPUTED_VALUE"""),"Brussels, Helsinki, Oslo, Stockholm.")</f>
        <v/>
      </c>
      <c r="K3240">
        <f>IFERROR(__xludf.DUMMYFUNCTION("""COMPUTED_VALUE"""),12669.38)</f>
        <v/>
      </c>
    </row>
    <row r="3241">
      <c r="J3241">
        <f>IFERROR(__xludf.DUMMYFUNCTION("""COMPUTED_VALUE"""),"Regina and Winnipeg")</f>
        <v/>
      </c>
      <c r="K3241">
        <f>IFERROR(__xludf.DUMMYFUNCTION("""COMPUTED_VALUE"""),12667.6)</f>
        <v/>
      </c>
    </row>
    <row r="3242">
      <c r="J3242">
        <f>IFERROR(__xludf.DUMMYFUNCTION("""COMPUTED_VALUE"""),"Iqualuit, Nunavut")</f>
        <v/>
      </c>
      <c r="K3242">
        <f>IFERROR(__xludf.DUMMYFUNCTION("""COMPUTED_VALUE"""),12666.59)</f>
        <v/>
      </c>
    </row>
    <row r="3243">
      <c r="J3243">
        <f>IFERROR(__xludf.DUMMYFUNCTION("""COMPUTED_VALUE"""),"Bucharest, Romania &amp; Prague, Czechia")</f>
        <v/>
      </c>
      <c r="K3243">
        <f>IFERROR(__xludf.DUMMYFUNCTION("""COMPUTED_VALUE"""),12663.76)</f>
        <v/>
      </c>
    </row>
    <row r="3244">
      <c r="J3244">
        <f>IFERROR(__xludf.DUMMYFUNCTION("""COMPUTED_VALUE"""),"Vienna and Geneva")</f>
        <v/>
      </c>
      <c r="K3244">
        <f>IFERROR(__xludf.DUMMYFUNCTION("""COMPUTED_VALUE"""),12663.59)</f>
        <v/>
      </c>
    </row>
    <row r="3245">
      <c r="J3245">
        <f>IFERROR(__xludf.DUMMYFUNCTION("""COMPUTED_VALUE"""),"Ottawa, Ontario, Canada        Toronto, Ontario, Canada Pyeongtaek, Seoul")</f>
        <v/>
      </c>
      <c r="K3245">
        <f>IFERROR(__xludf.DUMMYFUNCTION("""COMPUTED_VALUE"""),12661.72)</f>
        <v/>
      </c>
    </row>
    <row r="3246">
      <c r="J3246">
        <f>IFERROR(__xludf.DUMMYFUNCTION("""COMPUTED_VALUE"""),"Ottawa, Toronto, Pyeongtaek, Seoul")</f>
        <v/>
      </c>
      <c r="K3246">
        <f>IFERROR(__xludf.DUMMYFUNCTION("""COMPUTED_VALUE"""),12661.72)</f>
        <v/>
      </c>
    </row>
    <row r="3247">
      <c r="J3247">
        <f>IFERROR(__xludf.DUMMYFUNCTION("""COMPUTED_VALUE"""),"Victoria (British Columbia) Canada")</f>
        <v/>
      </c>
      <c r="K3247">
        <f>IFERROR(__xludf.DUMMYFUNCTION("""COMPUTED_VALUE"""),12658.63)</f>
        <v/>
      </c>
    </row>
    <row r="3248">
      <c r="J3248">
        <f>IFERROR(__xludf.DUMMYFUNCTION("""COMPUTED_VALUE"""),"Edmonton, Alberta; Calgary, Alberta")</f>
        <v/>
      </c>
      <c r="K3248">
        <f>IFERROR(__xludf.DUMMYFUNCTION("""COMPUTED_VALUE"""),12656.81)</f>
        <v/>
      </c>
    </row>
    <row r="3249">
      <c r="J3249">
        <f>IFERROR(__xludf.DUMMYFUNCTION("""COMPUTED_VALUE"""),"Quatar, U.A.E.")</f>
        <v/>
      </c>
      <c r="K3249">
        <f>IFERROR(__xludf.DUMMYFUNCTION("""COMPUTED_VALUE"""),12652.16)</f>
        <v/>
      </c>
    </row>
    <row r="3250">
      <c r="J3250">
        <f>IFERROR(__xludf.DUMMYFUNCTION("""COMPUTED_VALUE"""),"St. John's, Newfounland, Canada")</f>
        <v/>
      </c>
      <c r="K3250">
        <f>IFERROR(__xludf.DUMMYFUNCTION("""COMPUTED_VALUE"""),12649.7899999999)</f>
        <v/>
      </c>
    </row>
    <row r="3251">
      <c r="J3251">
        <f>IFERROR(__xludf.DUMMYFUNCTION("""COMPUTED_VALUE"""),"Vancouver, BC - Calgary, AB")</f>
        <v/>
      </c>
      <c r="K3251">
        <f>IFERROR(__xludf.DUMMYFUNCTION("""COMPUTED_VALUE"""),12646.4)</f>
        <v/>
      </c>
    </row>
    <row r="3252">
      <c r="J3252">
        <f>IFERROR(__xludf.DUMMYFUNCTION("""COMPUTED_VALUE"""),"Bilbao, Spain")</f>
        <v/>
      </c>
      <c r="K3252">
        <f>IFERROR(__xludf.DUMMYFUNCTION("""COMPUTED_VALUE"""),12644.9299999999)</f>
        <v/>
      </c>
    </row>
    <row r="3253">
      <c r="J3253">
        <f>IFERROR(__xludf.DUMMYFUNCTION("""COMPUTED_VALUE"""),"Paris, Madrid, London, Brussels, Bonn")</f>
        <v/>
      </c>
      <c r="K3253">
        <f>IFERROR(__xludf.DUMMYFUNCTION("""COMPUTED_VALUE"""),12638.34)</f>
        <v/>
      </c>
    </row>
    <row r="3254">
      <c r="J3254">
        <f>IFERROR(__xludf.DUMMYFUNCTION("""COMPUTED_VALUE"""),"Brussels, Milano, Berlin")</f>
        <v/>
      </c>
      <c r="K3254">
        <f>IFERROR(__xludf.DUMMYFUNCTION("""COMPUTED_VALUE"""),12638.1)</f>
        <v/>
      </c>
    </row>
    <row r="3255">
      <c r="J3255">
        <f>IFERROR(__xludf.DUMMYFUNCTION("""COMPUTED_VALUE"""),"Merida, Mexico")</f>
        <v/>
      </c>
      <c r="K3255">
        <f>IFERROR(__xludf.DUMMYFUNCTION("""COMPUTED_VALUE"""),12637.66)</f>
        <v/>
      </c>
    </row>
    <row r="3256">
      <c r="J3256">
        <f>IFERROR(__xludf.DUMMYFUNCTION("""COMPUTED_VALUE"""),"London England")</f>
        <v/>
      </c>
      <c r="K3256">
        <f>IFERROR(__xludf.DUMMYFUNCTION("""COMPUTED_VALUE"""),12636.72)</f>
        <v/>
      </c>
    </row>
    <row r="3257">
      <c r="J3257">
        <f>IFERROR(__xludf.DUMMYFUNCTION("""COMPUTED_VALUE"""),"Singapore, Singapore / Phuket, Thailand / Bangkok, Thailand")</f>
        <v/>
      </c>
      <c r="K3257">
        <f>IFERROR(__xludf.DUMMYFUNCTION("""COMPUTED_VALUE"""),12632.7)</f>
        <v/>
      </c>
    </row>
    <row r="3258">
      <c r="J3258">
        <f>IFERROR(__xludf.DUMMYFUNCTION("""COMPUTED_VALUE"""),"Istanbul, Seoul")</f>
        <v/>
      </c>
      <c r="K3258">
        <f>IFERROR(__xludf.DUMMYFUNCTION("""COMPUTED_VALUE"""),12630.33)</f>
        <v/>
      </c>
    </row>
    <row r="3259">
      <c r="J3259">
        <f>IFERROR(__xludf.DUMMYFUNCTION("""COMPUTED_VALUE"""),"New York, Paraguay, Uruguay and Argentina")</f>
        <v/>
      </c>
      <c r="K3259">
        <f>IFERROR(__xludf.DUMMYFUNCTION("""COMPUTED_VALUE"""),12625.84)</f>
        <v/>
      </c>
    </row>
    <row r="3260">
      <c r="J3260">
        <f>IFERROR(__xludf.DUMMYFUNCTION("""COMPUTED_VALUE"""),"Winnipeg (Manitoba)")</f>
        <v/>
      </c>
      <c r="K3260">
        <f>IFERROR(__xludf.DUMMYFUNCTION("""COMPUTED_VALUE"""),12624.8699999999)</f>
        <v/>
      </c>
    </row>
    <row r="3261">
      <c r="J3261">
        <f>IFERROR(__xludf.DUMMYFUNCTION("""COMPUTED_VALUE"""),"Marrakech, Marrakech, Morocco")</f>
        <v/>
      </c>
      <c r="K3261">
        <f>IFERROR(__xludf.DUMMYFUNCTION("""COMPUTED_VALUE"""),12623.45)</f>
        <v/>
      </c>
    </row>
    <row r="3262">
      <c r="J3262">
        <f>IFERROR(__xludf.DUMMYFUNCTION("""COMPUTED_VALUE"""),"London, Delhi, Islamabad and London")</f>
        <v/>
      </c>
      <c r="K3262">
        <f>IFERROR(__xludf.DUMMYFUNCTION("""COMPUTED_VALUE"""),12622.25)</f>
        <v/>
      </c>
    </row>
    <row r="3263">
      <c r="J3263">
        <f>IFERROR(__xludf.DUMMYFUNCTION("""COMPUTED_VALUE"""),"Auckland New Zealand")</f>
        <v/>
      </c>
      <c r="K3263">
        <f>IFERROR(__xludf.DUMMYFUNCTION("""COMPUTED_VALUE"""),12620.7)</f>
        <v/>
      </c>
    </row>
    <row r="3264">
      <c r="J3264">
        <f>IFERROR(__xludf.DUMMYFUNCTION("""COMPUTED_VALUE"""),"Ottawa, ON, CAN")</f>
        <v/>
      </c>
      <c r="K3264">
        <f>IFERROR(__xludf.DUMMYFUNCTION("""COMPUTED_VALUE"""),12615.54)</f>
        <v/>
      </c>
    </row>
    <row r="3265">
      <c r="J3265">
        <f>IFERROR(__xludf.DUMMYFUNCTION("""COMPUTED_VALUE"""),"Marrakech, Morocco and Tunis, Tunisia")</f>
        <v/>
      </c>
      <c r="K3265">
        <f>IFERROR(__xludf.DUMMYFUNCTION("""COMPUTED_VALUE"""),12614.37)</f>
        <v/>
      </c>
    </row>
    <row r="3266">
      <c r="J3266">
        <f>IFERROR(__xludf.DUMMYFUNCTION("""COMPUTED_VALUE"""),"Mumbai and New Delhi, India.
Geneva, Switzerland")</f>
        <v/>
      </c>
      <c r="K3266">
        <f>IFERROR(__xludf.DUMMYFUNCTION("""COMPUTED_VALUE"""),12614.14)</f>
        <v/>
      </c>
    </row>
    <row r="3267">
      <c r="J3267">
        <f>IFERROR(__xludf.DUMMYFUNCTION("""COMPUTED_VALUE"""),"London, England
Steyning, England")</f>
        <v/>
      </c>
      <c r="K3267">
        <f>IFERROR(__xludf.DUMMYFUNCTION("""COMPUTED_VALUE"""),12611.79)</f>
        <v/>
      </c>
    </row>
    <row r="3268">
      <c r="J3268">
        <f>IFERROR(__xludf.DUMMYFUNCTION("""COMPUTED_VALUE"""),"Washington, Egypt, Saudi Arabia, Afghanistan, and Israel")</f>
        <v/>
      </c>
      <c r="K3268">
        <f>IFERROR(__xludf.DUMMYFUNCTION("""COMPUTED_VALUE"""),12599.26)</f>
        <v/>
      </c>
    </row>
    <row r="3269">
      <c r="J3269">
        <f>IFERROR(__xludf.DUMMYFUNCTION("""COMPUTED_VALUE"""),"Amsterdam/Ottawa/Amsterdam")</f>
        <v/>
      </c>
      <c r="K3269">
        <f>IFERROR(__xludf.DUMMYFUNCTION("""COMPUTED_VALUE"""),12598.78)</f>
        <v/>
      </c>
    </row>
    <row r="3270">
      <c r="J3270">
        <f>IFERROR(__xludf.DUMMYFUNCTION("""COMPUTED_VALUE"""),"The Hague, Netherland")</f>
        <v/>
      </c>
      <c r="K3270">
        <f>IFERROR(__xludf.DUMMYFUNCTION("""COMPUTED_VALUE"""),12596.56)</f>
        <v/>
      </c>
    </row>
    <row r="3271">
      <c r="J3271">
        <f>IFERROR(__xludf.DUMMYFUNCTION("""COMPUTED_VALUE"""),"Kigali, Rwanda; Maputo, Mozambique; Bunia, DRC; Northern Uganda, and Swaziland.")</f>
        <v/>
      </c>
      <c r="K3271">
        <f>IFERROR(__xludf.DUMMYFUNCTION("""COMPUTED_VALUE"""),12593.1)</f>
        <v/>
      </c>
    </row>
    <row r="3272">
      <c r="J3272">
        <f>IFERROR(__xludf.DUMMYFUNCTION("""COMPUTED_VALUE"""),"Hague and Poland")</f>
        <v/>
      </c>
      <c r="K3272">
        <f>IFERROR(__xludf.DUMMYFUNCTION("""COMPUTED_VALUE"""),12593.09)</f>
        <v/>
      </c>
    </row>
    <row r="3273">
      <c r="J3273">
        <f>IFERROR(__xludf.DUMMYFUNCTION("""COMPUTED_VALUE"""),"ATF-R (MK) Romania,Riga, Latvia and London,UK")</f>
        <v/>
      </c>
      <c r="K3273">
        <f>IFERROR(__xludf.DUMMYFUNCTION("""COMPUTED_VALUE"""),12591.78)</f>
        <v/>
      </c>
    </row>
    <row r="3274">
      <c r="J3274">
        <f>IFERROR(__xludf.DUMMYFUNCTION("""COMPUTED_VALUE"""),"London Sep 29 - Oct 30
Berlin Oct 30 - Oct 2")</f>
        <v/>
      </c>
      <c r="K3274">
        <f>IFERROR(__xludf.DUMMYFUNCTION("""COMPUTED_VALUE"""),12580.84)</f>
        <v/>
      </c>
    </row>
    <row r="3275">
      <c r="J3275">
        <f>IFERROR(__xludf.DUMMYFUNCTION("""COMPUTED_VALUE"""),"Hong Kong, Brunei, Singapore and Beijing")</f>
        <v/>
      </c>
      <c r="K3275">
        <f>IFERROR(__xludf.DUMMYFUNCTION("""COMPUTED_VALUE"""),12580.27)</f>
        <v/>
      </c>
    </row>
    <row r="3276">
      <c r="J3276">
        <f>IFERROR(__xludf.DUMMYFUNCTION("""COMPUTED_VALUE"""),"Sierra Leone, Senegal and Guinee")</f>
        <v/>
      </c>
      <c r="K3276">
        <f>IFERROR(__xludf.DUMMYFUNCTION("""COMPUTED_VALUE"""),12576.38)</f>
        <v/>
      </c>
    </row>
    <row r="3277">
      <c r="J3277">
        <f>IFERROR(__xludf.DUMMYFUNCTION("""COMPUTED_VALUE"""),"Taipei, Taïwan &amp; Hong Kong, Hong Kong")</f>
        <v/>
      </c>
      <c r="K3277">
        <f>IFERROR(__xludf.DUMMYFUNCTION("""COMPUTED_VALUE"""),12568.38)</f>
        <v/>
      </c>
    </row>
    <row r="3278">
      <c r="J3278">
        <f>IFERROR(__xludf.DUMMYFUNCTION("""COMPUTED_VALUE"""),"Teipei, Taiwan")</f>
        <v/>
      </c>
      <c r="K3278">
        <f>IFERROR(__xludf.DUMMYFUNCTION("""COMPUTED_VALUE"""),12564.33)</f>
        <v/>
      </c>
    </row>
    <row r="3279">
      <c r="J3279">
        <f>IFERROR(__xludf.DUMMYFUNCTION("""COMPUTED_VALUE"""),"Middle East (Cairo &amp; Amman)")</f>
        <v/>
      </c>
      <c r="K3279">
        <f>IFERROR(__xludf.DUMMYFUNCTION("""COMPUTED_VALUE"""),12563.0299999999)</f>
        <v/>
      </c>
    </row>
    <row r="3280">
      <c r="J3280">
        <f>IFERROR(__xludf.DUMMYFUNCTION("""COMPUTED_VALUE"""),"VANCOUVER, BC - OTTAWA, ON")</f>
        <v/>
      </c>
      <c r="K3280">
        <f>IFERROR(__xludf.DUMMYFUNCTION("""COMPUTED_VALUE"""),12559.4)</f>
        <v/>
      </c>
    </row>
    <row r="3281">
      <c r="J3281">
        <f>IFERROR(__xludf.DUMMYFUNCTION("""COMPUTED_VALUE"""),"Ottawa, Toronto, Montreal, Edmonton and Vancouver")</f>
        <v/>
      </c>
      <c r="K3281">
        <f>IFERROR(__xludf.DUMMYFUNCTION("""COMPUTED_VALUE"""),12557.69)</f>
        <v/>
      </c>
    </row>
    <row r="3282">
      <c r="J3282">
        <f>IFERROR(__xludf.DUMMYFUNCTION("""COMPUTED_VALUE"""),"South Sudan")</f>
        <v/>
      </c>
      <c r="K3282">
        <f>IFERROR(__xludf.DUMMYFUNCTION("""COMPUTED_VALUE"""),12553.76)</f>
        <v/>
      </c>
    </row>
    <row r="3283">
      <c r="J3283">
        <f>IFERROR(__xludf.DUMMYFUNCTION("""COMPUTED_VALUE"""),"Brussels, Belgium &amp; Berlin, Germany &amp; London, England")</f>
        <v/>
      </c>
      <c r="K3283">
        <f>IFERROR(__xludf.DUMMYFUNCTION("""COMPUTED_VALUE"""),12544.78)</f>
        <v/>
      </c>
    </row>
    <row r="3284">
      <c r="J3284">
        <f>IFERROR(__xludf.DUMMYFUNCTION("""COMPUTED_VALUE"""),"Seattle,Washington, United States; San Jose, California, United States; San Francisco, California, United States")</f>
        <v/>
      </c>
      <c r="K3284">
        <f>IFERROR(__xludf.DUMMYFUNCTION("""COMPUTED_VALUE"""),12541.0999999999)</f>
        <v/>
      </c>
    </row>
    <row r="3285">
      <c r="J3285">
        <f>IFERROR(__xludf.DUMMYFUNCTION("""COMPUTED_VALUE"""),"London, United Kingdom and Abu Dhabi, United Arab Emirates")</f>
        <v/>
      </c>
      <c r="K3285">
        <f>IFERROR(__xludf.DUMMYFUNCTION("""COMPUTED_VALUE"""),12533.08)</f>
        <v/>
      </c>
    </row>
    <row r="3286">
      <c r="J3286">
        <f>IFERROR(__xludf.DUMMYFUNCTION("""COMPUTED_VALUE"""),"(1) Berlin, Germany; (2) London, UK; (3) Strasbourg, France")</f>
        <v/>
      </c>
      <c r="K3286">
        <f>IFERROR(__xludf.DUMMYFUNCTION("""COMPUTED_VALUE"""),12532.12)</f>
        <v/>
      </c>
    </row>
    <row r="3287">
      <c r="J3287">
        <f>IFERROR(__xludf.DUMMYFUNCTION("""COMPUTED_VALUE"""),"Brussels, Belgium &amp; Berlin, Germany")</f>
        <v/>
      </c>
      <c r="K3287">
        <f>IFERROR(__xludf.DUMMYFUNCTION("""COMPUTED_VALUE"""),12531.24)</f>
        <v/>
      </c>
    </row>
    <row r="3288">
      <c r="J3288">
        <f>IFERROR(__xludf.DUMMYFUNCTION("""COMPUTED_VALUE"""),"Vancouver / Whistler")</f>
        <v/>
      </c>
      <c r="K3288">
        <f>IFERROR(__xludf.DUMMYFUNCTION("""COMPUTED_VALUE"""),12530.18)</f>
        <v/>
      </c>
    </row>
    <row r="3289">
      <c r="J3289">
        <f>IFERROR(__xludf.DUMMYFUNCTION("""COMPUTED_VALUE"""),"Toronto, ON,           Saint John, NB, Halifax, NS")</f>
        <v/>
      </c>
      <c r="K3289">
        <f>IFERROR(__xludf.DUMMYFUNCTION("""COMPUTED_VALUE"""),12524.16)</f>
        <v/>
      </c>
    </row>
    <row r="3290">
      <c r="J3290">
        <f>IFERROR(__xludf.DUMMYFUNCTION("""COMPUTED_VALUE"""),"Frankfurt, Hesse, Germany &amp; Paris, Île-de-France, France &amp; London, England, United Kingdom")</f>
        <v/>
      </c>
      <c r="K3290">
        <f>IFERROR(__xludf.DUMMYFUNCTION("""COMPUTED_VALUE"""),12522.46)</f>
        <v/>
      </c>
    </row>
    <row r="3291">
      <c r="J3291">
        <f>IFERROR(__xludf.DUMMYFUNCTION("""COMPUTED_VALUE"""),"Nanaimo, BC, Canada")</f>
        <v/>
      </c>
      <c r="K3291">
        <f>IFERROR(__xludf.DUMMYFUNCTION("""COMPUTED_VALUE"""),12517.8999999999)</f>
        <v/>
      </c>
    </row>
    <row r="3292">
      <c r="J3292">
        <f>IFERROR(__xludf.DUMMYFUNCTION("""COMPUTED_VALUE"""),"Stuttgart, Germany / Dusseldorf, Germany / Berlin, Germany / Brussels, Belgium")</f>
        <v/>
      </c>
      <c r="K3292">
        <f>IFERROR(__xludf.DUMMYFUNCTION("""COMPUTED_VALUE"""),12517.5299999999)</f>
        <v/>
      </c>
    </row>
    <row r="3293">
      <c r="J3293">
        <f>IFERROR(__xludf.DUMMYFUNCTION("""COMPUTED_VALUE"""),"Brussels, Belgium; Stockholm, Sweden; Rome, Italy; Warsaw, Poland; Quebec City, Canada")</f>
        <v/>
      </c>
      <c r="K3293">
        <f>IFERROR(__xludf.DUMMYFUNCTION("""COMPUTED_VALUE"""),12517.52)</f>
        <v/>
      </c>
    </row>
    <row r="3294">
      <c r="J3294">
        <f>IFERROR(__xludf.DUMMYFUNCTION("""COMPUTED_VALUE"""),"Uruguay and Argentina")</f>
        <v/>
      </c>
      <c r="K3294">
        <f>IFERROR(__xludf.DUMMYFUNCTION("""COMPUTED_VALUE"""),12514.99)</f>
        <v/>
      </c>
    </row>
    <row r="3295">
      <c r="J3295">
        <f>IFERROR(__xludf.DUMMYFUNCTION("""COMPUTED_VALUE"""),"Los Angeles, United States of America")</f>
        <v/>
      </c>
      <c r="K3295">
        <f>IFERROR(__xludf.DUMMYFUNCTION("""COMPUTED_VALUE"""),12509.1099999999)</f>
        <v/>
      </c>
    </row>
    <row r="3296">
      <c r="J3296">
        <f>IFERROR(__xludf.DUMMYFUNCTION("""COMPUTED_VALUE"""),"Moncton and Fredericton, New Brunswick")</f>
        <v/>
      </c>
      <c r="K3296">
        <f>IFERROR(__xludf.DUMMYFUNCTION("""COMPUTED_VALUE"""),12505.58)</f>
        <v/>
      </c>
    </row>
    <row r="3297">
      <c r="J3297">
        <f>IFERROR(__xludf.DUMMYFUNCTION("""COMPUTED_VALUE"""),"Glasgow, Scotland, United Kingdom")</f>
        <v/>
      </c>
      <c r="K3297">
        <f>IFERROR(__xludf.DUMMYFUNCTION("""COMPUTED_VALUE"""),12501.62)</f>
        <v/>
      </c>
    </row>
    <row r="3298">
      <c r="J3298">
        <f>IFERROR(__xludf.DUMMYFUNCTION("""COMPUTED_VALUE"""),"SINGAPORE")</f>
        <v/>
      </c>
      <c r="K3298">
        <f>IFERROR(__xludf.DUMMYFUNCTION("""COMPUTED_VALUE"""),12499.99)</f>
        <v/>
      </c>
    </row>
    <row r="3299">
      <c r="J3299">
        <f>IFERROR(__xludf.DUMMYFUNCTION("""COMPUTED_VALUE"""),"Brussels, Belguim and Brunssum, Netherlands")</f>
        <v/>
      </c>
      <c r="K3299">
        <f>IFERROR(__xludf.DUMMYFUNCTION("""COMPUTED_VALUE"""),12498.91)</f>
        <v/>
      </c>
    </row>
    <row r="3300">
      <c r="J3300">
        <f>IFERROR(__xludf.DUMMYFUNCTION("""COMPUTED_VALUE"""),"Iqaluit and Pangnirtung (Nunavut)")</f>
        <v/>
      </c>
      <c r="K3300">
        <f>IFERROR(__xludf.DUMMYFUNCTION("""COMPUTED_VALUE"""),12498.08)</f>
        <v/>
      </c>
    </row>
    <row r="3301">
      <c r="J3301">
        <f>IFERROR(__xludf.DUMMYFUNCTION("""COMPUTED_VALUE"""),"Taipei, Taiwan and Hong Kong")</f>
        <v/>
      </c>
      <c r="K3301">
        <f>IFERROR(__xludf.DUMMYFUNCTION("""COMPUTED_VALUE"""),12495.72)</f>
        <v/>
      </c>
    </row>
    <row r="3302">
      <c r="J3302">
        <f>IFERROR(__xludf.DUMMYFUNCTION("""COMPUTED_VALUE"""),"Addis Ababa; Johannesburg; Luanda; Paris; Toronto, South Africa; Angola; France; Canada")</f>
        <v/>
      </c>
      <c r="K3302">
        <f>IFERROR(__xludf.DUMMYFUNCTION("""COMPUTED_VALUE"""),12491.3)</f>
        <v/>
      </c>
    </row>
    <row r="3303">
      <c r="J3303">
        <f>IFERROR(__xludf.DUMMYFUNCTION("""COMPUTED_VALUE"""),"Hamburg and Berlin")</f>
        <v/>
      </c>
      <c r="K3303">
        <f>IFERROR(__xludf.DUMMYFUNCTION("""COMPUTED_VALUE"""),12487.43)</f>
        <v/>
      </c>
    </row>
    <row r="3304">
      <c r="J3304">
        <f>IFERROR(__xludf.DUMMYFUNCTION("""COMPUTED_VALUE"""),"Rome, Italy and Copenhagen, Denmark")</f>
        <v/>
      </c>
      <c r="K3304">
        <f>IFERROR(__xludf.DUMMYFUNCTION("""COMPUTED_VALUE"""),12483.38)</f>
        <v/>
      </c>
    </row>
    <row r="3305">
      <c r="J3305">
        <f>IFERROR(__xludf.DUMMYFUNCTION("""COMPUTED_VALUE"""),"Paris, France; Dakar, Senegal; and Bamako, Mali.")</f>
        <v/>
      </c>
      <c r="K3305">
        <f>IFERROR(__xludf.DUMMYFUNCTION("""COMPUTED_VALUE"""),12482.94)</f>
        <v/>
      </c>
    </row>
    <row r="3306">
      <c r="J3306">
        <f>IFERROR(__xludf.DUMMYFUNCTION("""COMPUTED_VALUE"""),"Beijing, Ulaanbaatar and Hong Kong")</f>
        <v/>
      </c>
      <c r="K3306">
        <f>IFERROR(__xludf.DUMMYFUNCTION("""COMPUTED_VALUE"""),12472.09)</f>
        <v/>
      </c>
    </row>
    <row r="3307">
      <c r="J3307">
        <f>IFERROR(__xludf.DUMMYFUNCTION("""COMPUTED_VALUE"""),"Singapore, Singapore, Singapore")</f>
        <v/>
      </c>
      <c r="K3307">
        <f>IFERROR(__xludf.DUMMYFUNCTION("""COMPUTED_VALUE"""),12465.34)</f>
        <v/>
      </c>
    </row>
    <row r="3308">
      <c r="J3308">
        <f>IFERROR(__xludf.DUMMYFUNCTION("""COMPUTED_VALUE"""),"Vancouver, British Columbia, Canada / Calgary, Alberta, Canada")</f>
        <v/>
      </c>
      <c r="K3308">
        <f>IFERROR(__xludf.DUMMYFUNCTION("""COMPUTED_VALUE"""),12465.05)</f>
        <v/>
      </c>
    </row>
    <row r="3309">
      <c r="J3309">
        <f>IFERROR(__xludf.DUMMYFUNCTION("""COMPUTED_VALUE"""),"kuujjuaq, QC, Canada")</f>
        <v/>
      </c>
      <c r="K3309">
        <f>IFERROR(__xludf.DUMMYFUNCTION("""COMPUTED_VALUE"""),12464.88)</f>
        <v/>
      </c>
    </row>
    <row r="3310">
      <c r="J3310">
        <f>IFERROR(__xludf.DUMMYFUNCTION("""COMPUTED_VALUE"""),"London and Paris, UK and France")</f>
        <v/>
      </c>
      <c r="K3310">
        <f>IFERROR(__xludf.DUMMYFUNCTION("""COMPUTED_VALUE"""),12458.83)</f>
        <v/>
      </c>
    </row>
    <row r="3311">
      <c r="J3311">
        <f>IFERROR(__xludf.DUMMYFUNCTION("""COMPUTED_VALUE"""),"Amsterdam, North Holland, Netherlands and The Hague, South Holland, Netherlands")</f>
        <v/>
      </c>
      <c r="K3311">
        <f>IFERROR(__xludf.DUMMYFUNCTION("""COMPUTED_VALUE"""),12456.25)</f>
        <v/>
      </c>
    </row>
    <row r="3312">
      <c r="J3312">
        <f>IFERROR(__xludf.DUMMYFUNCTION("""COMPUTED_VALUE"""),"Accra, Ghana (Africa) / Nairobi, Kenya (Africa)")</f>
        <v/>
      </c>
      <c r="K3312">
        <f>IFERROR(__xludf.DUMMYFUNCTION("""COMPUTED_VALUE"""),12456.08)</f>
        <v/>
      </c>
    </row>
    <row r="3313">
      <c r="J3313">
        <f>IFERROR(__xludf.DUMMYFUNCTION("""COMPUTED_VALUE"""),"Brisbane, Sydney &amp; Canberra (Australia)")</f>
        <v/>
      </c>
      <c r="K3313">
        <f>IFERROR(__xludf.DUMMYFUNCTION("""COMPUTED_VALUE"""),12456)</f>
        <v/>
      </c>
    </row>
    <row r="3314">
      <c r="J3314">
        <f>IFERROR(__xludf.DUMMYFUNCTION("""COMPUTED_VALUE"""),"Paris (France), Brussels (Belgium)")</f>
        <v/>
      </c>
      <c r="K3314">
        <f>IFERROR(__xludf.DUMMYFUNCTION("""COMPUTED_VALUE"""),12450.65)</f>
        <v/>
      </c>
    </row>
    <row r="3315">
      <c r="J3315">
        <f>IFERROR(__xludf.DUMMYFUNCTION("""COMPUTED_VALUE"""),"Havana, Cuba
Santiago, Chile
Guatemala, Guatemala")</f>
        <v/>
      </c>
      <c r="K3315">
        <f>IFERROR(__xludf.DUMMYFUNCTION("""COMPUTED_VALUE"""),12448.39)</f>
        <v/>
      </c>
    </row>
    <row r="3316">
      <c r="J3316">
        <f>IFERROR(__xludf.DUMMYFUNCTION("""COMPUTED_VALUE"""),"Switzerland,Belguim &amp; Ukraine")</f>
        <v/>
      </c>
      <c r="K3316">
        <f>IFERROR(__xludf.DUMMYFUNCTION("""COMPUTED_VALUE"""),12446.38)</f>
        <v/>
      </c>
    </row>
    <row r="3317">
      <c r="J3317">
        <f>IFERROR(__xludf.DUMMYFUNCTION("""COMPUTED_VALUE"""),"United States of America and Canada")</f>
        <v/>
      </c>
      <c r="K3317">
        <f>IFERROR(__xludf.DUMMYFUNCTION("""COMPUTED_VALUE"""),12445.07)</f>
        <v/>
      </c>
    </row>
    <row r="3318">
      <c r="J3318">
        <f>IFERROR(__xludf.DUMMYFUNCTION("""COMPUTED_VALUE"""),"Nassau")</f>
        <v/>
      </c>
      <c r="K3318">
        <f>IFERROR(__xludf.DUMMYFUNCTION("""COMPUTED_VALUE"""),12441.1)</f>
        <v/>
      </c>
    </row>
    <row r="3319">
      <c r="J3319">
        <f>IFERROR(__xludf.DUMMYFUNCTION("""COMPUTED_VALUE"""),"Stuttgart, Germany / Dusseldorf, Germany / Wolfsburg, Germany / Berlin, Germany")</f>
        <v/>
      </c>
      <c r="K3319">
        <f>IFERROR(__xludf.DUMMYFUNCTION("""COMPUTED_VALUE"""),12434.63)</f>
        <v/>
      </c>
    </row>
    <row r="3320">
      <c r="J3320">
        <f>IFERROR(__xludf.DUMMYFUNCTION("""COMPUTED_VALUE"""),"Cario, Egypt")</f>
        <v/>
      </c>
      <c r="K3320">
        <f>IFERROR(__xludf.DUMMYFUNCTION("""COMPUTED_VALUE"""),12428.59)</f>
        <v/>
      </c>
    </row>
    <row r="3321">
      <c r="J3321">
        <f>IFERROR(__xludf.DUMMYFUNCTION("""COMPUTED_VALUE"""),"San Francisco, United States; Tokyo, Japan")</f>
        <v/>
      </c>
      <c r="K3321">
        <f>IFERROR(__xludf.DUMMYFUNCTION("""COMPUTED_VALUE"""),12423.15)</f>
        <v/>
      </c>
    </row>
    <row r="3322">
      <c r="J3322">
        <f>IFERROR(__xludf.DUMMYFUNCTION("""COMPUTED_VALUE"""),"India, Pakistan and United Kingdom")</f>
        <v/>
      </c>
      <c r="K3322">
        <f>IFERROR(__xludf.DUMMYFUNCTION("""COMPUTED_VALUE"""),12422.58)</f>
        <v/>
      </c>
    </row>
    <row r="3323">
      <c r="J3323">
        <f>IFERROR(__xludf.DUMMYFUNCTION("""COMPUTED_VALUE"""),"Montréal, Sacramento, Los Angeles, Washington,
Port-au-Prince and Mexico")</f>
        <v/>
      </c>
      <c r="K3323">
        <f>IFERROR(__xludf.DUMMYFUNCTION("""COMPUTED_VALUE"""),12420.2)</f>
        <v/>
      </c>
    </row>
    <row r="3324">
      <c r="J3324">
        <f>IFERROR(__xludf.DUMMYFUNCTION("""COMPUTED_VALUE"""),"Brussels/Tel Aviv/Ramallah")</f>
        <v/>
      </c>
      <c r="K3324">
        <f>IFERROR(__xludf.DUMMYFUNCTION("""COMPUTED_VALUE"""),12418.15)</f>
        <v/>
      </c>
    </row>
    <row r="3325">
      <c r="J3325">
        <f>IFERROR(__xludf.DUMMYFUNCTION("""COMPUTED_VALUE"""),"Brussels, Belgium and Geneva, Switzerland")</f>
        <v/>
      </c>
      <c r="K3325">
        <f>IFERROR(__xludf.DUMMYFUNCTION("""COMPUTED_VALUE"""),12410)</f>
        <v/>
      </c>
    </row>
    <row r="3326">
      <c r="J3326">
        <f>IFERROR(__xludf.DUMMYFUNCTION("""COMPUTED_VALUE"""),"Zurich, Switzerland
Brussels, Belgium")</f>
        <v/>
      </c>
      <c r="K3326">
        <f>IFERROR(__xludf.DUMMYFUNCTION("""COMPUTED_VALUE"""),12409.2)</f>
        <v/>
      </c>
    </row>
    <row r="3327">
      <c r="J3327">
        <f>IFERROR(__xludf.DUMMYFUNCTION("""COMPUTED_VALUE"""),"LONDON, ENGLAND UK")</f>
        <v/>
      </c>
      <c r="K3327">
        <f>IFERROR(__xludf.DUMMYFUNCTION("""COMPUTED_VALUE"""),12409.04)</f>
        <v/>
      </c>
    </row>
    <row r="3328">
      <c r="J3328">
        <f>IFERROR(__xludf.DUMMYFUNCTION("""COMPUTED_VALUE"""),"Paraguay, Brazil and Chile")</f>
        <v/>
      </c>
      <c r="K3328">
        <f>IFERROR(__xludf.DUMMYFUNCTION("""COMPUTED_VALUE"""),12403.23)</f>
        <v/>
      </c>
    </row>
    <row r="3329">
      <c r="J3329">
        <f>IFERROR(__xludf.DUMMYFUNCTION("""COMPUTED_VALUE"""),"United States of America, Canada")</f>
        <v/>
      </c>
      <c r="K3329">
        <f>IFERROR(__xludf.DUMMYFUNCTION("""COMPUTED_VALUE"""),12399.43)</f>
        <v/>
      </c>
    </row>
    <row r="3330">
      <c r="J3330">
        <f>IFERROR(__xludf.DUMMYFUNCTION("""COMPUTED_VALUE"""),"Winnipeg MB")</f>
        <v/>
      </c>
      <c r="K3330">
        <f>IFERROR(__xludf.DUMMYFUNCTION("""COMPUTED_VALUE"""),12395.2699999999)</f>
        <v/>
      </c>
    </row>
    <row r="3331">
      <c r="J3331">
        <f>IFERROR(__xludf.DUMMYFUNCTION("""COMPUTED_VALUE"""),"Cairo, Egypt; Tel Aviv, Israel; West Bank and Gaza; London, England")</f>
        <v/>
      </c>
      <c r="K3331">
        <f>IFERROR(__xludf.DUMMYFUNCTION("""COMPUTED_VALUE"""),12393.16)</f>
        <v/>
      </c>
    </row>
    <row r="3332">
      <c r="J3332">
        <f>IFERROR(__xludf.DUMMYFUNCTION("""COMPUTED_VALUE"""),"Warsaw/Munich")</f>
        <v/>
      </c>
      <c r="K3332">
        <f>IFERROR(__xludf.DUMMYFUNCTION("""COMPUTED_VALUE"""),12389.35)</f>
        <v/>
      </c>
    </row>
    <row r="3333">
      <c r="J3333">
        <f>IFERROR(__xludf.DUMMYFUNCTION("""COMPUTED_VALUE"""),"Port Hope, Ontario, Canada")</f>
        <v/>
      </c>
      <c r="K3333">
        <f>IFERROR(__xludf.DUMMYFUNCTION("""COMPUTED_VALUE"""),12387.76)</f>
        <v/>
      </c>
    </row>
    <row r="3334">
      <c r="J3334">
        <f>IFERROR(__xludf.DUMMYFUNCTION("""COMPUTED_VALUE"""),"Las Vegas, Nevada")</f>
        <v/>
      </c>
      <c r="K3334">
        <f>IFERROR(__xludf.DUMMYFUNCTION("""COMPUTED_VALUE"""),12386.6199999999)</f>
        <v/>
      </c>
    </row>
    <row r="3335">
      <c r="J3335">
        <f>IFERROR(__xludf.DUMMYFUNCTION("""COMPUTED_VALUE"""),"Jordan, UAE, Qatar, Bahrain, Cyprus, Tel Aviv, Jerusalem, Ramalah, The West Bank and London")</f>
        <v/>
      </c>
      <c r="K3335">
        <f>IFERROR(__xludf.DUMMYFUNCTION("""COMPUTED_VALUE"""),12380.13)</f>
        <v/>
      </c>
    </row>
    <row r="3336">
      <c r="J3336">
        <f>IFERROR(__xludf.DUMMYFUNCTION("""COMPUTED_VALUE"""),"Montreal,London,canada")</f>
        <v/>
      </c>
      <c r="K3336">
        <f>IFERROR(__xludf.DUMMYFUNCTION("""COMPUTED_VALUE"""),12379.83)</f>
        <v/>
      </c>
    </row>
    <row r="3337">
      <c r="J3337">
        <f>IFERROR(__xludf.DUMMYFUNCTION("""COMPUTED_VALUE"""),"Williams Lake, British Columbia Vancouver, British Columbia")</f>
        <v/>
      </c>
      <c r="K3337">
        <f>IFERROR(__xludf.DUMMYFUNCTION("""COMPUTED_VALUE"""),12373.51)</f>
        <v/>
      </c>
    </row>
    <row r="3338">
      <c r="J3338">
        <f>IFERROR(__xludf.DUMMYFUNCTION("""COMPUTED_VALUE"""),"London, England;  Dublin, Ireland")</f>
        <v/>
      </c>
      <c r="K3338">
        <f>IFERROR(__xludf.DUMMYFUNCTION("""COMPUTED_VALUE"""),12365.69)</f>
        <v/>
      </c>
    </row>
    <row r="3339">
      <c r="J3339">
        <f>IFERROR(__xludf.DUMMYFUNCTION("""COMPUTED_VALUE"""),"Vancouver, Sri Lanka, Bangkok")</f>
        <v/>
      </c>
      <c r="K3339">
        <f>IFERROR(__xludf.DUMMYFUNCTION("""COMPUTED_VALUE"""),12362.52)</f>
        <v/>
      </c>
    </row>
    <row r="3340">
      <c r="J3340">
        <f>IFERROR(__xludf.DUMMYFUNCTION("""COMPUTED_VALUE"""),"Toronto, Ontario and Vancouver, British Columbia")</f>
        <v/>
      </c>
      <c r="K3340">
        <f>IFERROR(__xludf.DUMMYFUNCTION("""COMPUTED_VALUE"""),12362.28)</f>
        <v/>
      </c>
    </row>
    <row r="3341">
      <c r="J3341">
        <f>IFERROR(__xludf.DUMMYFUNCTION("""COMPUTED_VALUE"""),"Iraq/Kuwait/Qatar")</f>
        <v/>
      </c>
      <c r="K3341">
        <f>IFERROR(__xludf.DUMMYFUNCTION("""COMPUTED_VALUE"""),12358.77)</f>
        <v/>
      </c>
    </row>
    <row r="3342">
      <c r="J3342">
        <f>IFERROR(__xludf.DUMMYFUNCTION("""COMPUTED_VALUE"""),"Ottawa, Ontario, Canada/ New York, New York, United States")</f>
        <v/>
      </c>
      <c r="K3342">
        <f>IFERROR(__xludf.DUMMYFUNCTION("""COMPUTED_VALUE"""),12358.76)</f>
        <v/>
      </c>
    </row>
    <row r="3343">
      <c r="J3343">
        <f>IFERROR(__xludf.DUMMYFUNCTION("""COMPUTED_VALUE"""),"Brussels, Beijing, Seoul")</f>
        <v/>
      </c>
      <c r="K3343">
        <f>IFERROR(__xludf.DUMMYFUNCTION("""COMPUTED_VALUE"""),12358.64)</f>
        <v/>
      </c>
    </row>
    <row r="3344">
      <c r="J3344">
        <f>IFERROR(__xludf.DUMMYFUNCTION("""COMPUTED_VALUE"""),"Sao Paulo, Brazil
Brasilia, Brazil")</f>
        <v/>
      </c>
      <c r="K3344">
        <f>IFERROR(__xludf.DUMMYFUNCTION("""COMPUTED_VALUE"""),12356.81)</f>
        <v/>
      </c>
    </row>
    <row r="3345">
      <c r="J3345">
        <f>IFERROR(__xludf.DUMMYFUNCTION("""COMPUTED_VALUE"""),"Pasadena, CA, USA, Vancouver, BC and London, UK")</f>
        <v/>
      </c>
      <c r="K3345">
        <f>IFERROR(__xludf.DUMMYFUNCTION("""COMPUTED_VALUE"""),12352.67)</f>
        <v/>
      </c>
    </row>
    <row r="3346">
      <c r="J3346">
        <f>IFERROR(__xludf.DUMMYFUNCTION("""COMPUTED_VALUE"""),"Riga, Latvia
Warsaw, Poland")</f>
        <v/>
      </c>
      <c r="K3346">
        <f>IFERROR(__xludf.DUMMYFUNCTION("""COMPUTED_VALUE"""),12352.51)</f>
        <v/>
      </c>
    </row>
    <row r="3347">
      <c r="J3347">
        <f>IFERROR(__xludf.DUMMYFUNCTION("""COMPUTED_VALUE"""),"Toronto, Ontario,Canada")</f>
        <v/>
      </c>
      <c r="K3347">
        <f>IFERROR(__xludf.DUMMYFUNCTION("""COMPUTED_VALUE"""),12348.2199999999)</f>
        <v/>
      </c>
    </row>
    <row r="3348">
      <c r="J3348">
        <f>IFERROR(__xludf.DUMMYFUNCTION("""COMPUTED_VALUE"""),"Vancouver, BC &amp; Edmonton, AB")</f>
        <v/>
      </c>
      <c r="K3348">
        <f>IFERROR(__xludf.DUMMYFUNCTION("""COMPUTED_VALUE"""),12347.32)</f>
        <v/>
      </c>
    </row>
    <row r="3349">
      <c r="J3349">
        <f>IFERROR(__xludf.DUMMYFUNCTION("""COMPUTED_VALUE"""),"Toronto, Ont.")</f>
        <v/>
      </c>
      <c r="K3349">
        <f>IFERROR(__xludf.DUMMYFUNCTION("""COMPUTED_VALUE"""),12345.13)</f>
        <v/>
      </c>
    </row>
    <row r="3350">
      <c r="J3350">
        <f>IFERROR(__xludf.DUMMYFUNCTION("""COMPUTED_VALUE"""),"Latvia/Ukraine")</f>
        <v/>
      </c>
      <c r="K3350">
        <f>IFERROR(__xludf.DUMMYFUNCTION("""COMPUTED_VALUE"""),12344.04)</f>
        <v/>
      </c>
    </row>
    <row r="3351">
      <c r="J3351">
        <f>IFERROR(__xludf.DUMMYFUNCTION("""COMPUTED_VALUE"""),"Toronto, Ontario, Canada &amp; Montreal, Quebec, Canada")</f>
        <v/>
      </c>
      <c r="K3351">
        <f>IFERROR(__xludf.DUMMYFUNCTION("""COMPUTED_VALUE"""),12343.32)</f>
        <v/>
      </c>
    </row>
    <row r="3352">
      <c r="J3352">
        <f>IFERROR(__xludf.DUMMYFUNCTION("""COMPUTED_VALUE"""),"Bali, Indonesia; Bangkok, Thailand")</f>
        <v/>
      </c>
      <c r="K3352">
        <f>IFERROR(__xludf.DUMMYFUNCTION("""COMPUTED_VALUE"""),12337.87)</f>
        <v/>
      </c>
    </row>
    <row r="3353">
      <c r="J3353">
        <f>IFERROR(__xludf.DUMMYFUNCTION("""COMPUTED_VALUE"""),"Belgrade, Serbia")</f>
        <v/>
      </c>
      <c r="K3353">
        <f>IFERROR(__xludf.DUMMYFUNCTION("""COMPUTED_VALUE"""),12337.1199999999)</f>
        <v/>
      </c>
    </row>
    <row r="3354">
      <c r="J3354">
        <f>IFERROR(__xludf.DUMMYFUNCTION("""COMPUTED_VALUE"""),"Delhi, India; Indore, India")</f>
        <v/>
      </c>
      <c r="K3354">
        <f>IFERROR(__xludf.DUMMYFUNCTION("""COMPUTED_VALUE"""),12330.08)</f>
        <v/>
      </c>
    </row>
    <row r="3355">
      <c r="J3355">
        <f>IFERROR(__xludf.DUMMYFUNCTION("""COMPUTED_VALUE"""),"Jerusalem, Israel; West Bank; Herzliya, Israel. Davos, Switzerland")</f>
        <v/>
      </c>
      <c r="K3355">
        <f>IFERROR(__xludf.DUMMYFUNCTION("""COMPUTED_VALUE"""),12329.35)</f>
        <v/>
      </c>
    </row>
    <row r="3356">
      <c r="J3356">
        <f>IFERROR(__xludf.DUMMYFUNCTION("""COMPUTED_VALUE"""),"Marrakesh / Casablanca, Morocco")</f>
        <v/>
      </c>
      <c r="K3356">
        <f>IFERROR(__xludf.DUMMYFUNCTION("""COMPUTED_VALUE"""),12327.51)</f>
        <v/>
      </c>
    </row>
    <row r="3357">
      <c r="J3357">
        <f>IFERROR(__xludf.DUMMYFUNCTION("""COMPUTED_VALUE"""),"Toronto, Ottawa, Montreal, Washington, Boston, Calgary, Edmonton, Tokyo (via Paris, London)")</f>
        <v/>
      </c>
      <c r="K3357">
        <f>IFERROR(__xludf.DUMMYFUNCTION("""COMPUTED_VALUE"""),12326.4)</f>
        <v/>
      </c>
    </row>
    <row r="3358">
      <c r="J3358">
        <f>IFERROR(__xludf.DUMMYFUNCTION("""COMPUTED_VALUE"""),"Brussels and Riga")</f>
        <v/>
      </c>
      <c r="K3358">
        <f>IFERROR(__xludf.DUMMYFUNCTION("""COMPUTED_VALUE"""),12323)</f>
        <v/>
      </c>
    </row>
    <row r="3359">
      <c r="J3359">
        <f>IFERROR(__xludf.DUMMYFUNCTION("""COMPUTED_VALUE"""),"Ukraine and Bahrain")</f>
        <v/>
      </c>
      <c r="K3359">
        <f>IFERROR(__xludf.DUMMYFUNCTION("""COMPUTED_VALUE"""),12322.7899999999)</f>
        <v/>
      </c>
    </row>
    <row r="3360">
      <c r="J3360">
        <f>IFERROR(__xludf.DUMMYFUNCTION("""COMPUTED_VALUE"""),"Kuujjuaq, Canada")</f>
        <v/>
      </c>
      <c r="K3360">
        <f>IFERROR(__xludf.DUMMYFUNCTION("""COMPUTED_VALUE"""),12322.71)</f>
        <v/>
      </c>
    </row>
    <row r="3361">
      <c r="J3361">
        <f>IFERROR(__xludf.DUMMYFUNCTION("""COMPUTED_VALUE"""),"Republic of Kenya, Africa")</f>
        <v/>
      </c>
      <c r="K3361">
        <f>IFERROR(__xludf.DUMMYFUNCTION("""COMPUTED_VALUE"""),12319.63)</f>
        <v/>
      </c>
    </row>
    <row r="3362">
      <c r="J3362">
        <f>IFERROR(__xludf.DUMMYFUNCTION("""COMPUTED_VALUE"""),"United Nations, New York")</f>
        <v/>
      </c>
      <c r="K3362">
        <f>IFERROR(__xludf.DUMMYFUNCTION("""COMPUTED_VALUE"""),12319.02)</f>
        <v/>
      </c>
    </row>
    <row r="3363">
      <c r="J3363">
        <f>IFERROR(__xludf.DUMMYFUNCTION("""COMPUTED_VALUE"""),"Vancouver and Tokyo")</f>
        <v/>
      </c>
      <c r="K3363">
        <f>IFERROR(__xludf.DUMMYFUNCTION("""COMPUTED_VALUE"""),12316.1)</f>
        <v/>
      </c>
    </row>
    <row r="3364">
      <c r="J3364">
        <f>IFERROR(__xludf.DUMMYFUNCTION("""COMPUTED_VALUE"""),"Thimphu, Bhutan")</f>
        <v/>
      </c>
      <c r="K3364">
        <f>IFERROR(__xludf.DUMMYFUNCTION("""COMPUTED_VALUE"""),12315.19)</f>
        <v/>
      </c>
    </row>
    <row r="3365">
      <c r="J3365">
        <f>IFERROR(__xludf.DUMMYFUNCTION("""COMPUTED_VALUE"""),"Northwood, UK/Victoria, BC")</f>
        <v/>
      </c>
      <c r="K3365">
        <f>IFERROR(__xludf.DUMMYFUNCTION("""COMPUTED_VALUE"""),12315.15)</f>
        <v/>
      </c>
    </row>
    <row r="3366">
      <c r="J3366">
        <f>IFERROR(__xludf.DUMMYFUNCTION("""COMPUTED_VALUE"""),"Halifax, Nova Scotia, Canada; Montréal, Quebec, Canada")</f>
        <v/>
      </c>
      <c r="K3366">
        <f>IFERROR(__xludf.DUMMYFUNCTION("""COMPUTED_VALUE"""),12313.7299999999)</f>
        <v/>
      </c>
    </row>
    <row r="3367">
      <c r="J3367">
        <f>IFERROR(__xludf.DUMMYFUNCTION("""COMPUTED_VALUE"""),"Shanghai, China; Vancouver, British Columbia, Canada")</f>
        <v/>
      </c>
      <c r="K3367">
        <f>IFERROR(__xludf.DUMMYFUNCTION("""COMPUTED_VALUE"""),12313.38)</f>
        <v/>
      </c>
    </row>
    <row r="3368">
      <c r="J3368">
        <f>IFERROR(__xludf.DUMMYFUNCTION("""COMPUTED_VALUE"""),"Abbotsford Vancouver Victoria, British Columbia – Ottawa Toronto, Ontario – Montréal, Quebec – Calgary Edmonton, Alberta")</f>
        <v/>
      </c>
      <c r="K3368">
        <f>IFERROR(__xludf.DUMMYFUNCTION("""COMPUTED_VALUE"""),12313.1199999999)</f>
        <v/>
      </c>
    </row>
    <row r="3369">
      <c r="J3369">
        <f>IFERROR(__xludf.DUMMYFUNCTION("""COMPUTED_VALUE"""),"Prince George, British Columbia / Vancouver, British Columbia / Whitehorse, Yukon, Canada")</f>
        <v/>
      </c>
      <c r="K3369">
        <f>IFERROR(__xludf.DUMMYFUNCTION("""COMPUTED_VALUE"""),12312.25)</f>
        <v/>
      </c>
    </row>
    <row r="3370">
      <c r="J3370">
        <f>IFERROR(__xludf.DUMMYFUNCTION("""COMPUTED_VALUE"""),"South America and South Korea")</f>
        <v/>
      </c>
      <c r="K3370">
        <f>IFERROR(__xludf.DUMMYFUNCTION("""COMPUTED_VALUE"""),12307.03)</f>
        <v/>
      </c>
    </row>
    <row r="3371">
      <c r="J3371">
        <f>IFERROR(__xludf.DUMMYFUNCTION("""COMPUTED_VALUE"""),"Venice and Rome (Italy)")</f>
        <v/>
      </c>
      <c r="K3371">
        <f>IFERROR(__xludf.DUMMYFUNCTION("""COMPUTED_VALUE"""),12305.01)</f>
        <v/>
      </c>
    </row>
    <row r="3372">
      <c r="J3372">
        <f>IFERROR(__xludf.DUMMYFUNCTION("""COMPUTED_VALUE"""),"Geneva, Brussels and Rome")</f>
        <v/>
      </c>
      <c r="K3372">
        <f>IFERROR(__xludf.DUMMYFUNCTION("""COMPUTED_VALUE"""),12304)</f>
        <v/>
      </c>
    </row>
    <row r="3373">
      <c r="J3373">
        <f>IFERROR(__xludf.DUMMYFUNCTION("""COMPUTED_VALUE"""),"Montréal, Québec; Sacramento, CA, USA; San Francisco, CA, USA; Washington, DC, USA; Haiti; Mexico City")</f>
        <v/>
      </c>
      <c r="K3373">
        <f>IFERROR(__xludf.DUMMYFUNCTION("""COMPUTED_VALUE"""),12303.45)</f>
        <v/>
      </c>
    </row>
    <row r="3374">
      <c r="J3374">
        <f>IFERROR(__xludf.DUMMYFUNCTION("""COMPUTED_VALUE"""),"Salta, Argentina / Buenos Aires, Argentina")</f>
        <v/>
      </c>
      <c r="K3374">
        <f>IFERROR(__xludf.DUMMYFUNCTION("""COMPUTED_VALUE"""),12303.4)</f>
        <v/>
      </c>
    </row>
    <row r="3375">
      <c r="J3375">
        <f>IFERROR(__xludf.DUMMYFUNCTION("""COMPUTED_VALUE"""),"Trenton, Ontario / Belleville, Ontario / Cornwall, Ontario, Canada")</f>
        <v/>
      </c>
      <c r="K3375">
        <f>IFERROR(__xludf.DUMMYFUNCTION("""COMPUTED_VALUE"""),12302.92)</f>
        <v/>
      </c>
    </row>
    <row r="3376">
      <c r="J3376">
        <f>IFERROR(__xludf.DUMMYFUNCTION("""COMPUTED_VALUE"""),"Comox, BC")</f>
        <v/>
      </c>
      <c r="K3376">
        <f>IFERROR(__xludf.DUMMYFUNCTION("""COMPUTED_VALUE"""),12302.18)</f>
        <v/>
      </c>
    </row>
    <row r="3377">
      <c r="J3377">
        <f>IFERROR(__xludf.DUMMYFUNCTION("""COMPUTED_VALUE"""),"Victoria and Sandspit, British Columbia, Canada")</f>
        <v/>
      </c>
      <c r="K3377">
        <f>IFERROR(__xludf.DUMMYFUNCTION("""COMPUTED_VALUE"""),12301.97)</f>
        <v/>
      </c>
    </row>
    <row r="3378">
      <c r="J3378">
        <f>IFERROR(__xludf.DUMMYFUNCTION("""COMPUTED_VALUE"""),"Singapore, London, United Kingdom")</f>
        <v/>
      </c>
      <c r="K3378">
        <f>IFERROR(__xludf.DUMMYFUNCTION("""COMPUTED_VALUE"""),12297.99)</f>
        <v/>
      </c>
    </row>
    <row r="3379">
      <c r="J3379">
        <f>IFERROR(__xludf.DUMMYFUNCTION("""COMPUTED_VALUE"""),"East Africa (Rwanda)")</f>
        <v/>
      </c>
      <c r="K3379">
        <f>IFERROR(__xludf.DUMMYFUNCTION("""COMPUTED_VALUE"""),12297.61)</f>
        <v/>
      </c>
    </row>
    <row r="3380">
      <c r="J3380">
        <f>IFERROR(__xludf.DUMMYFUNCTION("""COMPUTED_VALUE"""),"Los Angeles, United States")</f>
        <v/>
      </c>
      <c r="K3380">
        <f>IFERROR(__xludf.DUMMYFUNCTION("""COMPUTED_VALUE"""),12293.56)</f>
        <v/>
      </c>
    </row>
    <row r="3381">
      <c r="J3381">
        <f>IFERROR(__xludf.DUMMYFUNCTION("""COMPUTED_VALUE"""),"Kiruna, Sweden")</f>
        <v/>
      </c>
      <c r="K3381">
        <f>IFERROR(__xludf.DUMMYFUNCTION("""COMPUTED_VALUE"""),12286.42)</f>
        <v/>
      </c>
    </row>
    <row r="3382">
      <c r="J3382">
        <f>IFERROR(__xludf.DUMMYFUNCTION("""COMPUTED_VALUE"""),"Montreal, Quebec, Canada &amp; Ottawa, Ontario, Canada")</f>
        <v/>
      </c>
      <c r="K3382">
        <f>IFERROR(__xludf.DUMMYFUNCTION("""COMPUTED_VALUE"""),12283.03)</f>
        <v/>
      </c>
    </row>
    <row r="3383">
      <c r="J3383">
        <f>IFERROR(__xludf.DUMMYFUNCTION("""COMPUTED_VALUE"""),"Brussels, Belgium &amp; Rome, Italy")</f>
        <v/>
      </c>
      <c r="K3383">
        <f>IFERROR(__xludf.DUMMYFUNCTION("""COMPUTED_VALUE"""),12278.81)</f>
        <v/>
      </c>
    </row>
    <row r="3384">
      <c r="J3384">
        <f>IFERROR(__xludf.DUMMYFUNCTION("""COMPUTED_VALUE"""),"Kiruna, Sweden/Oulu, Finland/Helsinki, Finland.")</f>
        <v/>
      </c>
      <c r="K3384">
        <f>IFERROR(__xludf.DUMMYFUNCTION("""COMPUTED_VALUE"""),12275.33)</f>
        <v/>
      </c>
    </row>
    <row r="3385">
      <c r="J3385">
        <f>IFERROR(__xludf.DUMMYFUNCTION("""COMPUTED_VALUE"""),"Senegal, Mali, Burkina Faso")</f>
        <v/>
      </c>
      <c r="K3385">
        <f>IFERROR(__xludf.DUMMYFUNCTION("""COMPUTED_VALUE"""),12272.54)</f>
        <v/>
      </c>
    </row>
    <row r="3386">
      <c r="J3386">
        <f>IFERROR(__xludf.DUMMYFUNCTION("""COMPUTED_VALUE"""),"Delhi, Mumbai India")</f>
        <v/>
      </c>
      <c r="K3386">
        <f>IFERROR(__xludf.DUMMYFUNCTION("""COMPUTED_VALUE"""),12271.78)</f>
        <v/>
      </c>
    </row>
    <row r="3387">
      <c r="J3387">
        <f>IFERROR(__xludf.DUMMYFUNCTION("""COMPUTED_VALUE"""),"Delhi India")</f>
        <v/>
      </c>
      <c r="K3387">
        <f>IFERROR(__xludf.DUMMYFUNCTION("""COMPUTED_VALUE"""),12266.07)</f>
        <v/>
      </c>
    </row>
    <row r="3388">
      <c r="J3388">
        <f>IFERROR(__xludf.DUMMYFUNCTION("""COMPUTED_VALUE"""),"Montreal, Ottawa")</f>
        <v/>
      </c>
      <c r="K3388">
        <f>IFERROR(__xludf.DUMMYFUNCTION("""COMPUTED_VALUE"""),12262.71)</f>
        <v/>
      </c>
    </row>
    <row r="3389">
      <c r="J3389">
        <f>IFERROR(__xludf.DUMMYFUNCTION("""COMPUTED_VALUE"""),"London (UK), Naples (Italy)")</f>
        <v/>
      </c>
      <c r="K3389">
        <f>IFERROR(__xludf.DUMMYFUNCTION("""COMPUTED_VALUE"""),12262.08)</f>
        <v/>
      </c>
    </row>
    <row r="3390">
      <c r="J3390">
        <f>IFERROR(__xludf.DUMMYFUNCTION("""COMPUTED_VALUE"""),"Mumbai, India,Delhi, India,Chandigarh, India")</f>
        <v/>
      </c>
      <c r="K3390">
        <f>IFERROR(__xludf.DUMMYFUNCTION("""COMPUTED_VALUE"""),12260.4)</f>
        <v/>
      </c>
    </row>
    <row r="3391">
      <c r="J3391">
        <f>IFERROR(__xludf.DUMMYFUNCTION("""COMPUTED_VALUE"""),"Seoul and New Delhi")</f>
        <v/>
      </c>
      <c r="K3391">
        <f>IFERROR(__xludf.DUMMYFUNCTION("""COMPUTED_VALUE"""),12257.55)</f>
        <v/>
      </c>
    </row>
    <row r="3392">
      <c r="J3392">
        <f>IFERROR(__xludf.DUMMYFUNCTION("""COMPUTED_VALUE"""),"Paris, Fance")</f>
        <v/>
      </c>
      <c r="K3392">
        <f>IFERROR(__xludf.DUMMYFUNCTION("""COMPUTED_VALUE"""),12257.3499999999)</f>
        <v/>
      </c>
    </row>
    <row r="3393">
      <c r="J3393">
        <f>IFERROR(__xludf.DUMMYFUNCTION("""COMPUTED_VALUE"""),"Ottawa - Vancouver")</f>
        <v/>
      </c>
      <c r="K3393">
        <f>IFERROR(__xludf.DUMMYFUNCTION("""COMPUTED_VALUE"""),12252.68)</f>
        <v/>
      </c>
    </row>
    <row r="3394">
      <c r="J3394">
        <f>IFERROR(__xludf.DUMMYFUNCTION("""COMPUTED_VALUE"""),"Kelowna, British Columbia, Canada; Kamloops, British Columbia, Canada; Richmond, British Columbia, Canada")</f>
        <v/>
      </c>
      <c r="K3394">
        <f>IFERROR(__xludf.DUMMYFUNCTION("""COMPUTED_VALUE"""),12248.63)</f>
        <v/>
      </c>
    </row>
    <row r="3395">
      <c r="J3395">
        <f>IFERROR(__xludf.DUMMYFUNCTION("""COMPUTED_VALUE"""),"Abu Dhabi, Dubai")</f>
        <v/>
      </c>
      <c r="K3395">
        <f>IFERROR(__xludf.DUMMYFUNCTION("""COMPUTED_VALUE"""),12248.44)</f>
        <v/>
      </c>
    </row>
    <row r="3396">
      <c r="J3396">
        <f>IFERROR(__xludf.DUMMYFUNCTION("""COMPUTED_VALUE"""),"Toronto/Ottawa")</f>
        <v/>
      </c>
      <c r="K3396">
        <f>IFERROR(__xludf.DUMMYFUNCTION("""COMPUTED_VALUE"""),12248.3999999999)</f>
        <v/>
      </c>
    </row>
    <row r="3397">
      <c r="J3397">
        <f>IFERROR(__xludf.DUMMYFUNCTION("""COMPUTED_VALUE"""),"St. John's, NL, Canada")</f>
        <v/>
      </c>
      <c r="K3397">
        <f>IFERROR(__xludf.DUMMYFUNCTION("""COMPUTED_VALUE"""),12248)</f>
        <v/>
      </c>
    </row>
    <row r="3398">
      <c r="J3398">
        <f>IFERROR(__xludf.DUMMYFUNCTION("""COMPUTED_VALUE"""),"Vancouver, Prince Rupert, Victoria, Regina, Toronto &amp; Waterloo")</f>
        <v/>
      </c>
      <c r="K3398">
        <f>IFERROR(__xludf.DUMMYFUNCTION("""COMPUTED_VALUE"""),12246.31)</f>
        <v/>
      </c>
    </row>
    <row r="3399">
      <c r="J3399">
        <f>IFERROR(__xludf.DUMMYFUNCTION("""COMPUTED_VALUE"""),"Edmonton, AB, Canada")</f>
        <v/>
      </c>
      <c r="K3399">
        <f>IFERROR(__xludf.DUMMYFUNCTION("""COMPUTED_VALUE"""),12242.3)</f>
        <v/>
      </c>
    </row>
    <row r="3400">
      <c r="J3400">
        <f>IFERROR(__xludf.DUMMYFUNCTION("""COMPUTED_VALUE"""),"Rigaud, QC")</f>
        <v/>
      </c>
      <c r="K3400">
        <f>IFERROR(__xludf.DUMMYFUNCTION("""COMPUTED_VALUE"""),12242.23)</f>
        <v/>
      </c>
    </row>
    <row r="3401">
      <c r="J3401">
        <f>IFERROR(__xludf.DUMMYFUNCTION("""COMPUTED_VALUE"""),"Lisbon, PT")</f>
        <v/>
      </c>
      <c r="K3401">
        <f>IFERROR(__xludf.DUMMYFUNCTION("""COMPUTED_VALUE"""),12239.88)</f>
        <v/>
      </c>
    </row>
    <row r="3402">
      <c r="J3402">
        <f>IFERROR(__xludf.DUMMYFUNCTION("""COMPUTED_VALUE"""),"St John's, Newfoundland and Labrador")</f>
        <v/>
      </c>
      <c r="K3402">
        <f>IFERROR(__xludf.DUMMYFUNCTION("""COMPUTED_VALUE"""),12237.6199999999)</f>
        <v/>
      </c>
    </row>
    <row r="3403">
      <c r="J3403">
        <f>IFERROR(__xludf.DUMMYFUNCTION("""COMPUTED_VALUE"""),"New Delhi /                           Chandigarh / Bengaluru")</f>
        <v/>
      </c>
      <c r="K3403">
        <f>IFERROR(__xludf.DUMMYFUNCTION("""COMPUTED_VALUE"""),12234.21)</f>
        <v/>
      </c>
    </row>
    <row r="3404">
      <c r="J3404">
        <f>IFERROR(__xludf.DUMMYFUNCTION("""COMPUTED_VALUE"""),"Thompson, Manitoba")</f>
        <v/>
      </c>
      <c r="K3404">
        <f>IFERROR(__xludf.DUMMYFUNCTION("""COMPUTED_VALUE"""),12230.98)</f>
        <v/>
      </c>
    </row>
    <row r="3405">
      <c r="J3405">
        <f>IFERROR(__xludf.DUMMYFUNCTION("""COMPUTED_VALUE"""),"St. John's and Avalon area, Newfoundland and Labrador")</f>
        <v/>
      </c>
      <c r="K3405">
        <f>IFERROR(__xludf.DUMMYFUNCTION("""COMPUTED_VALUE"""),12229.4199999999)</f>
        <v/>
      </c>
    </row>
    <row r="3406">
      <c r="J3406">
        <f>IFERROR(__xludf.DUMMYFUNCTION("""COMPUTED_VALUE"""),"China &amp; Korea")</f>
        <v/>
      </c>
      <c r="K3406">
        <f>IFERROR(__xludf.DUMMYFUNCTION("""COMPUTED_VALUE"""),12227.74)</f>
        <v/>
      </c>
    </row>
    <row r="3407">
      <c r="J3407">
        <f>IFERROR(__xludf.DUMMYFUNCTION("""COMPUTED_VALUE"""),"Paris, France, London, England")</f>
        <v/>
      </c>
      <c r="K3407">
        <f>IFERROR(__xludf.DUMMYFUNCTION("""COMPUTED_VALUE"""),12224.01)</f>
        <v/>
      </c>
    </row>
    <row r="3408">
      <c r="J3408">
        <f>IFERROR(__xludf.DUMMYFUNCTION("""COMPUTED_VALUE"""),"Brussels, Faroe Islands")</f>
        <v/>
      </c>
      <c r="K3408">
        <f>IFERROR(__xludf.DUMMYFUNCTION("""COMPUTED_VALUE"""),12222.88)</f>
        <v/>
      </c>
    </row>
    <row r="3409">
      <c r="J3409">
        <f>IFERROR(__xludf.DUMMYFUNCTION("""COMPUTED_VALUE"""),"Port Hardy, British Columbia, Canada
Campbell River, British Columbia, Canada")</f>
        <v/>
      </c>
      <c r="K3409">
        <f>IFERROR(__xludf.DUMMYFUNCTION("""COMPUTED_VALUE"""),12219.89)</f>
        <v/>
      </c>
    </row>
    <row r="3410">
      <c r="J3410">
        <f>IFERROR(__xludf.DUMMYFUNCTION("""COMPUTED_VALUE"""),"RYADH-ABDBI-DUBAI, KSA-UAE")</f>
        <v/>
      </c>
      <c r="K3410">
        <f>IFERROR(__xludf.DUMMYFUNCTION("""COMPUTED_VALUE"""),12219.37)</f>
        <v/>
      </c>
    </row>
    <row r="3411">
      <c r="J3411">
        <f>IFERROR(__xludf.DUMMYFUNCTION("""COMPUTED_VALUE"""),"Oslo, Norway, Beijing, Seoul")</f>
        <v/>
      </c>
      <c r="K3411">
        <f>IFERROR(__xludf.DUMMYFUNCTION("""COMPUTED_VALUE"""),12219.25)</f>
        <v/>
      </c>
    </row>
    <row r="3412">
      <c r="J3412">
        <f>IFERROR(__xludf.DUMMYFUNCTION("""COMPUTED_VALUE"""),"Chicago, IL, USA")</f>
        <v/>
      </c>
      <c r="K3412">
        <f>IFERROR(__xludf.DUMMYFUNCTION("""COMPUTED_VALUE"""),12216.71)</f>
        <v/>
      </c>
    </row>
    <row r="3413">
      <c r="J3413">
        <f>IFERROR(__xludf.DUMMYFUNCTION("""COMPUTED_VALUE"""),"China, Korea")</f>
        <v/>
      </c>
      <c r="K3413">
        <f>IFERROR(__xludf.DUMMYFUNCTION("""COMPUTED_VALUE"""),12213.51)</f>
        <v/>
      </c>
    </row>
    <row r="3414">
      <c r="J3414">
        <f>IFERROR(__xludf.DUMMYFUNCTION("""COMPUTED_VALUE"""),"RIO-SPALO &amp; Niagara")</f>
        <v/>
      </c>
      <c r="K3414">
        <f>IFERROR(__xludf.DUMMYFUNCTION("""COMPUTED_VALUE"""),12209.86)</f>
        <v/>
      </c>
    </row>
    <row r="3415">
      <c r="J3415">
        <f>IFERROR(__xludf.DUMMYFUNCTION("""COMPUTED_VALUE"""),"Montego Bay, Jamaica")</f>
        <v/>
      </c>
      <c r="K3415">
        <f>IFERROR(__xludf.DUMMYFUNCTION("""COMPUTED_VALUE"""),12209.01)</f>
        <v/>
      </c>
    </row>
    <row r="3416">
      <c r="J3416">
        <f>IFERROR(__xludf.DUMMYFUNCTION("""COMPUTED_VALUE"""),"Vancouver,British Columbia, Canada")</f>
        <v/>
      </c>
      <c r="K3416">
        <f>IFERROR(__xludf.DUMMYFUNCTION("""COMPUTED_VALUE"""),12208.62)</f>
        <v/>
      </c>
    </row>
    <row r="3417">
      <c r="J3417">
        <f>IFERROR(__xludf.DUMMYFUNCTION("""COMPUTED_VALUE"""),"Gran Canaria, Spain/ Lisbon, Portugal")</f>
        <v/>
      </c>
      <c r="K3417">
        <f>IFERROR(__xludf.DUMMYFUNCTION("""COMPUTED_VALUE"""),12203.73)</f>
        <v/>
      </c>
    </row>
    <row r="3418">
      <c r="J3418">
        <f>IFERROR(__xludf.DUMMYFUNCTION("""COMPUTED_VALUE"""),"Quebec, Qc")</f>
        <v/>
      </c>
      <c r="K3418">
        <f>IFERROR(__xludf.DUMMYFUNCTION("""COMPUTED_VALUE"""),12201.2499999999)</f>
        <v/>
      </c>
    </row>
    <row r="3419">
      <c r="J3419">
        <f>IFERROR(__xludf.DUMMYFUNCTION("""COMPUTED_VALUE"""),"Delhi, India - Mumbai (Ex Bombay), India")</f>
        <v/>
      </c>
      <c r="K3419">
        <f>IFERROR(__xludf.DUMMYFUNCTION("""COMPUTED_VALUE"""),12201.22)</f>
        <v/>
      </c>
    </row>
    <row r="3420">
      <c r="J3420">
        <f>IFERROR(__xludf.DUMMYFUNCTION("""COMPUTED_VALUE"""),"Maputo/Nampula, Mozambique")</f>
        <v/>
      </c>
      <c r="K3420">
        <f>IFERROR(__xludf.DUMMYFUNCTION("""COMPUTED_VALUE"""),12200.04)</f>
        <v/>
      </c>
    </row>
    <row r="3421">
      <c r="J3421">
        <f>IFERROR(__xludf.DUMMYFUNCTION("""COMPUTED_VALUE"""),"Liverpool, UK")</f>
        <v/>
      </c>
      <c r="K3421">
        <f>IFERROR(__xludf.DUMMYFUNCTION("""COMPUTED_VALUE"""),12199.89)</f>
        <v/>
      </c>
    </row>
    <row r="3422">
      <c r="J3422">
        <f>IFERROR(__xludf.DUMMYFUNCTION("""COMPUTED_VALUE"""),"Tokyo, Beijing and Chongqing")</f>
        <v/>
      </c>
      <c r="K3422">
        <f>IFERROR(__xludf.DUMMYFUNCTION("""COMPUTED_VALUE"""),12198.71)</f>
        <v/>
      </c>
    </row>
    <row r="3423">
      <c r="J3423">
        <f>IFERROR(__xludf.DUMMYFUNCTION("""COMPUTED_VALUE"""),"Berlin, Stockholm, Copenhagen and Moscow")</f>
        <v/>
      </c>
      <c r="K3423">
        <f>IFERROR(__xludf.DUMMYFUNCTION("""COMPUTED_VALUE"""),12191.45)</f>
        <v/>
      </c>
    </row>
    <row r="3424">
      <c r="J3424">
        <f>IFERROR(__xludf.DUMMYFUNCTION("""COMPUTED_VALUE"""),"Surrey, British Columbia")</f>
        <v/>
      </c>
      <c r="K3424">
        <f>IFERROR(__xludf.DUMMYFUNCTION("""COMPUTED_VALUE"""),12188.76)</f>
        <v/>
      </c>
    </row>
    <row r="3425">
      <c r="J3425">
        <f>IFERROR(__xludf.DUMMYFUNCTION("""COMPUTED_VALUE"""),"New Delhi, India; London, United Kingdom")</f>
        <v/>
      </c>
      <c r="K3425">
        <f>IFERROR(__xludf.DUMMYFUNCTION("""COMPUTED_VALUE"""),12188.21)</f>
        <v/>
      </c>
    </row>
    <row r="3426">
      <c r="J3426">
        <f>IFERROR(__xludf.DUMMYFUNCTION("""COMPUTED_VALUE"""),"Varanasi, Delhi, India")</f>
        <v/>
      </c>
      <c r="K3426">
        <f>IFERROR(__xludf.DUMMYFUNCTION("""COMPUTED_VALUE"""),12188)</f>
        <v/>
      </c>
    </row>
    <row r="3427">
      <c r="J3427">
        <f>IFERROR(__xludf.DUMMYFUNCTION("""COMPUTED_VALUE"""),"Tel Aviv, IS; 
Seville, France;
Madrid, Spain")</f>
        <v/>
      </c>
      <c r="K3427">
        <f>IFERROR(__xludf.DUMMYFUNCTION("""COMPUTED_VALUE"""),12187.31)</f>
        <v/>
      </c>
    </row>
    <row r="3428">
      <c r="J3428">
        <f>IFERROR(__xludf.DUMMYFUNCTION("""COMPUTED_VALUE"""),"Stockholm, Sweden / Berlin, Germany / Geneva, Switzerland")</f>
        <v/>
      </c>
      <c r="K3428">
        <f>IFERROR(__xludf.DUMMYFUNCTION("""COMPUTED_VALUE"""),12187.12)</f>
        <v/>
      </c>
    </row>
    <row r="3429">
      <c r="J3429">
        <f>IFERROR(__xludf.DUMMYFUNCTION("""COMPUTED_VALUE"""),"Germany and Belgium")</f>
        <v/>
      </c>
      <c r="K3429">
        <f>IFERROR(__xludf.DUMMYFUNCTION("""COMPUTED_VALUE"""),12184.58)</f>
        <v/>
      </c>
    </row>
    <row r="3430">
      <c r="J3430">
        <f>IFERROR(__xludf.DUMMYFUNCTION("""COMPUTED_VALUE"""),"Vancouver, British Columbia; Sault Ste. Marie, Ontario, Canada")</f>
        <v/>
      </c>
      <c r="K3430">
        <f>IFERROR(__xludf.DUMMYFUNCTION("""COMPUTED_VALUE"""),12171.47)</f>
        <v/>
      </c>
    </row>
    <row r="3431">
      <c r="J3431">
        <f>IFERROR(__xludf.DUMMYFUNCTION("""COMPUTED_VALUE"""),"Jeju Island (Korea)")</f>
        <v/>
      </c>
      <c r="K3431">
        <f>IFERROR(__xludf.DUMMYFUNCTION("""COMPUTED_VALUE"""),12171.22)</f>
        <v/>
      </c>
    </row>
    <row r="3432">
      <c r="J3432">
        <f>IFERROR(__xludf.DUMMYFUNCTION("""COMPUTED_VALUE"""),"Prince George")</f>
        <v/>
      </c>
      <c r="K3432">
        <f>IFERROR(__xludf.DUMMYFUNCTION("""COMPUTED_VALUE"""),12170.73)</f>
        <v/>
      </c>
    </row>
    <row r="3433">
      <c r="J3433">
        <f>IFERROR(__xludf.DUMMYFUNCTION("""COMPUTED_VALUE"""),"Helsinki, Germany")</f>
        <v/>
      </c>
      <c r="K3433">
        <f>IFERROR(__xludf.DUMMYFUNCTION("""COMPUTED_VALUE"""),12170.06)</f>
        <v/>
      </c>
    </row>
    <row r="3434">
      <c r="J3434">
        <f>IFERROR(__xludf.DUMMYFUNCTION("""COMPUTED_VALUE"""),"Busan (Korea)")</f>
        <v/>
      </c>
      <c r="K3434">
        <f>IFERROR(__xludf.DUMMYFUNCTION("""COMPUTED_VALUE"""),12166.36)</f>
        <v/>
      </c>
    </row>
    <row r="3435">
      <c r="J3435">
        <f>IFERROR(__xludf.DUMMYFUNCTION("""COMPUTED_VALUE"""),"Shanghai, China - Beijing, China")</f>
        <v/>
      </c>
      <c r="K3435">
        <f>IFERROR(__xludf.DUMMYFUNCTION("""COMPUTED_VALUE"""),12160.87)</f>
        <v/>
      </c>
    </row>
    <row r="3436">
      <c r="J3436">
        <f>IFERROR(__xludf.DUMMYFUNCTION("""COMPUTED_VALUE"""),"Kochi, Inda")</f>
        <v/>
      </c>
      <c r="K3436">
        <f>IFERROR(__xludf.DUMMYFUNCTION("""COMPUTED_VALUE"""),12159.22)</f>
        <v/>
      </c>
    </row>
    <row r="3437">
      <c r="J3437">
        <f>IFERROR(__xludf.DUMMYFUNCTION("""COMPUTED_VALUE"""),"Vancouver, Prince Rupert, Tokyo")</f>
        <v/>
      </c>
      <c r="K3437">
        <f>IFERROR(__xludf.DUMMYFUNCTION("""COMPUTED_VALUE"""),12156.8)</f>
        <v/>
      </c>
    </row>
    <row r="3438">
      <c r="J3438">
        <f>IFERROR(__xludf.DUMMYFUNCTION("""COMPUTED_VALUE"""),"Shanghai, China - Hangzhou, China")</f>
        <v/>
      </c>
      <c r="K3438">
        <f>IFERROR(__xludf.DUMMYFUNCTION("""COMPUTED_VALUE"""),12145.28)</f>
        <v/>
      </c>
    </row>
    <row r="3439">
      <c r="J3439">
        <f>IFERROR(__xludf.DUMMYFUNCTION("""COMPUTED_VALUE"""),"Curaçao")</f>
        <v/>
      </c>
      <c r="K3439">
        <f>IFERROR(__xludf.DUMMYFUNCTION("""COMPUTED_VALUE"""),12143.83)</f>
        <v/>
      </c>
    </row>
    <row r="3440">
      <c r="J3440">
        <f>IFERROR(__xludf.DUMMYFUNCTION("""COMPUTED_VALUE"""),"Democratic Republic of Congo, Ghana and Mali.")</f>
        <v/>
      </c>
      <c r="K3440">
        <f>IFERROR(__xludf.DUMMYFUNCTION("""COMPUTED_VALUE"""),12142.74)</f>
        <v/>
      </c>
    </row>
    <row r="3441">
      <c r="J3441">
        <f>IFERROR(__xludf.DUMMYFUNCTION("""COMPUTED_VALUE"""),"San Diego, USA")</f>
        <v/>
      </c>
      <c r="K3441">
        <f>IFERROR(__xludf.DUMMYFUNCTION("""COMPUTED_VALUE"""),12139.7699999999)</f>
        <v/>
      </c>
    </row>
    <row r="3442">
      <c r="J3442">
        <f>IFERROR(__xludf.DUMMYFUNCTION("""COMPUTED_VALUE"""),"Kyiv, Paris and Brussels")</f>
        <v/>
      </c>
      <c r="K3442">
        <f>IFERROR(__xludf.DUMMYFUNCTION("""COMPUTED_VALUE"""),12138.22)</f>
        <v/>
      </c>
    </row>
    <row r="3443">
      <c r="J3443">
        <f>IFERROR(__xludf.DUMMYFUNCTION("""COMPUTED_VALUE"""),"Ise City, Tokyo, Japan")</f>
        <v/>
      </c>
      <c r="K3443">
        <f>IFERROR(__xludf.DUMMYFUNCTION("""COMPUTED_VALUE"""),12137.09)</f>
        <v/>
      </c>
    </row>
    <row r="3444">
      <c r="J3444">
        <f>IFERROR(__xludf.DUMMYFUNCTION("""COMPUTED_VALUE"""),"Vancouver, British Columbia and Singapore, Singapore")</f>
        <v/>
      </c>
      <c r="K3444">
        <f>IFERROR(__xludf.DUMMYFUNCTION("""COMPUTED_VALUE"""),12130.25)</f>
        <v/>
      </c>
    </row>
    <row r="3445">
      <c r="J3445">
        <f>IFERROR(__xludf.DUMMYFUNCTION("""COMPUTED_VALUE"""),"Kingston, Ontario, Canada / Port of Spain, Trinidad and Tobago")</f>
        <v/>
      </c>
      <c r="K3445">
        <f>IFERROR(__xludf.DUMMYFUNCTION("""COMPUTED_VALUE"""),12127.44)</f>
        <v/>
      </c>
    </row>
    <row r="3446">
      <c r="J3446">
        <f>IFERROR(__xludf.DUMMYFUNCTION("""COMPUTED_VALUE"""),"Halifax, Nova-Scotia / St. John's, Newfoundland and Labrador, Canada")</f>
        <v/>
      </c>
      <c r="K3446">
        <f>IFERROR(__xludf.DUMMYFUNCTION("""COMPUTED_VALUE"""),12123.4)</f>
        <v/>
      </c>
    </row>
    <row r="3447">
      <c r="J3447">
        <f>IFERROR(__xludf.DUMMYFUNCTION("""COMPUTED_VALUE"""),"Beijing- Toronto - Winnipeg - Toronto - Ch'town - Ottawa - Toronto - Beijing")</f>
        <v/>
      </c>
      <c r="K3447">
        <f>IFERROR(__xludf.DUMMYFUNCTION("""COMPUTED_VALUE"""),12120)</f>
        <v/>
      </c>
    </row>
    <row r="3448">
      <c r="J3448">
        <f>IFERROR(__xludf.DUMMYFUNCTION("""COMPUTED_VALUE"""),"Tokyo, (Japan) &amp; Beijing, (China)")</f>
        <v/>
      </c>
      <c r="K3448">
        <f>IFERROR(__xludf.DUMMYFUNCTION("""COMPUTED_VALUE"""),12118.79)</f>
        <v/>
      </c>
    </row>
    <row r="3449">
      <c r="J3449">
        <f>IFERROR(__xludf.DUMMYFUNCTION("""COMPUTED_VALUE"""),"New York, Berlin")</f>
        <v/>
      </c>
      <c r="K3449">
        <f>IFERROR(__xludf.DUMMYFUNCTION("""COMPUTED_VALUE"""),12114.31)</f>
        <v/>
      </c>
    </row>
    <row r="3450">
      <c r="J3450">
        <f>IFERROR(__xludf.DUMMYFUNCTION("""COMPUTED_VALUE"""),"Bergen, Norway - Oslo, Norway")</f>
        <v/>
      </c>
      <c r="K3450">
        <f>IFERROR(__xludf.DUMMYFUNCTION("""COMPUTED_VALUE"""),12104.26)</f>
        <v/>
      </c>
    </row>
    <row r="3451">
      <c r="J3451">
        <f>IFERROR(__xludf.DUMMYFUNCTION("""COMPUTED_VALUE"""),"Qingdao, Shanghai and Beijing, China")</f>
        <v/>
      </c>
      <c r="K3451">
        <f>IFERROR(__xludf.DUMMYFUNCTION("""COMPUTED_VALUE"""),12103.35)</f>
        <v/>
      </c>
    </row>
    <row r="3452">
      <c r="J3452">
        <f>IFERROR(__xludf.DUMMYFUNCTION("""COMPUTED_VALUE"""),"Rome, Italy / Kampala, Uganda")</f>
        <v/>
      </c>
      <c r="K3452">
        <f>IFERROR(__xludf.DUMMYFUNCTION("""COMPUTED_VALUE"""),12103.1)</f>
        <v/>
      </c>
    </row>
    <row r="3453">
      <c r="J3453">
        <f>IFERROR(__xludf.DUMMYFUNCTION("""COMPUTED_VALUE"""),"Whistler. British Columbia, Canada")</f>
        <v/>
      </c>
      <c r="K3453">
        <f>IFERROR(__xludf.DUMMYFUNCTION("""COMPUTED_VALUE"""),12102.82)</f>
        <v/>
      </c>
    </row>
    <row r="3454">
      <c r="J3454">
        <f>IFERROR(__xludf.DUMMYFUNCTION("""COMPUTED_VALUE"""),"Moose Jaw, Saskatchewan, Canada")</f>
        <v/>
      </c>
      <c r="K3454">
        <f>IFERROR(__xludf.DUMMYFUNCTION("""COMPUTED_VALUE"""),12101.16)</f>
        <v/>
      </c>
    </row>
    <row r="3455">
      <c r="J3455">
        <f>IFERROR(__xludf.DUMMYFUNCTION("""COMPUTED_VALUE"""),"SPORE")</f>
        <v/>
      </c>
      <c r="K3455">
        <f>IFERROR(__xludf.DUMMYFUNCTION("""COMPUTED_VALUE"""),12095.99)</f>
        <v/>
      </c>
    </row>
    <row r="3456">
      <c r="J3456">
        <f>IFERROR(__xludf.DUMMYFUNCTION("""COMPUTED_VALUE"""),"Buckinghamshire, United Kingdom, Arras, France, Caen, France, Brussels, Belgium")</f>
        <v/>
      </c>
      <c r="K3456">
        <f>IFERROR(__xludf.DUMMYFUNCTION("""COMPUTED_VALUE"""),12093.12)</f>
        <v/>
      </c>
    </row>
    <row r="3457">
      <c r="J3457">
        <f>IFERROR(__xludf.DUMMYFUNCTION("""COMPUTED_VALUE"""),"Cochabamba and Santa Cruz, Bolivia")</f>
        <v/>
      </c>
      <c r="K3457">
        <f>IFERROR(__xludf.DUMMYFUNCTION("""COMPUTED_VALUE"""),12091.48)</f>
        <v/>
      </c>
    </row>
    <row r="3458">
      <c r="J3458">
        <f>IFERROR(__xludf.DUMMYFUNCTION("""COMPUTED_VALUE"""),"Thousand Islands, Ontario, Canada")</f>
        <v/>
      </c>
      <c r="K3458">
        <f>IFERROR(__xludf.DUMMYFUNCTION("""COMPUTED_VALUE"""),12089.77)</f>
        <v/>
      </c>
    </row>
    <row r="3459">
      <c r="J3459">
        <f>IFERROR(__xludf.DUMMYFUNCTION("""COMPUTED_VALUE"""),"Vancouver, Prince Rupert, Ottawa, Toronto, Edmonton and Calgary")</f>
        <v/>
      </c>
      <c r="K3459">
        <f>IFERROR(__xludf.DUMMYFUNCTION("""COMPUTED_VALUE"""),12089.13)</f>
        <v/>
      </c>
    </row>
    <row r="3460">
      <c r="J3460">
        <f>IFERROR(__xludf.DUMMYFUNCTION("""COMPUTED_VALUE"""),"ASAAB, Kuwait; Bagdad, Iraq; Tel Aviv, Israel; Jeruslam, Israel")</f>
        <v/>
      </c>
      <c r="K3460">
        <f>IFERROR(__xludf.DUMMYFUNCTION("""COMPUTED_VALUE"""),12087.72)</f>
        <v/>
      </c>
    </row>
    <row r="3461">
      <c r="J3461">
        <f>IFERROR(__xludf.DUMMYFUNCTION("""COMPUTED_VALUE"""),"Sydney, Australia; and Wellington, New Zealand")</f>
        <v/>
      </c>
      <c r="K3461">
        <f>IFERROR(__xludf.DUMMYFUNCTION("""COMPUTED_VALUE"""),12087.43)</f>
        <v/>
      </c>
    </row>
    <row r="3462">
      <c r="J3462">
        <f>IFERROR(__xludf.DUMMYFUNCTION("""COMPUTED_VALUE"""),"Kyoto, Japan, Mumbai, India")</f>
        <v/>
      </c>
      <c r="K3462">
        <f>IFERROR(__xludf.DUMMYFUNCTION("""COMPUTED_VALUE"""),12086.95)</f>
        <v/>
      </c>
    </row>
    <row r="3463">
      <c r="J3463">
        <f>IFERROR(__xludf.DUMMYFUNCTION("""COMPUTED_VALUE"""),"Vancouver, British Columbia, Canada; Kamloops, British Columbia, Canada; Okanagan Falls, British Columbia, Canada")</f>
        <v/>
      </c>
      <c r="K3463">
        <f>IFERROR(__xludf.DUMMYFUNCTION("""COMPUTED_VALUE"""),12081.0299999999)</f>
        <v/>
      </c>
    </row>
    <row r="3464">
      <c r="J3464">
        <f>IFERROR(__xludf.DUMMYFUNCTION("""COMPUTED_VALUE"""),"Montreal, Quebec, Canada; Ottawa, Ontario, Canada")</f>
        <v/>
      </c>
      <c r="K3464">
        <f>IFERROR(__xludf.DUMMYFUNCTION("""COMPUTED_VALUE"""),12077.13)</f>
        <v/>
      </c>
    </row>
    <row r="3465">
      <c r="J3465">
        <f>IFERROR(__xludf.DUMMYFUNCTION("""COMPUTED_VALUE"""),"Montreal, London, UK")</f>
        <v/>
      </c>
      <c r="K3465">
        <f>IFERROR(__xludf.DUMMYFUNCTION("""COMPUTED_VALUE"""),12076.15)</f>
        <v/>
      </c>
    </row>
    <row r="3466">
      <c r="J3466">
        <f>IFERROR(__xludf.DUMMYFUNCTION("""COMPUTED_VALUE"""),"Lyon and Geneva")</f>
        <v/>
      </c>
      <c r="K3466">
        <f>IFERROR(__xludf.DUMMYFUNCTION("""COMPUTED_VALUE"""),12075.53)</f>
        <v/>
      </c>
    </row>
    <row r="3467">
      <c r="J3467">
        <f>IFERROR(__xludf.DUMMYFUNCTION("""COMPUTED_VALUE"""),"Halifax/Moncton/Saint-John/Toronto")</f>
        <v/>
      </c>
      <c r="K3467">
        <f>IFERROR(__xludf.DUMMYFUNCTION("""COMPUTED_VALUE"""),12073.68)</f>
        <v/>
      </c>
    </row>
    <row r="3468">
      <c r="J3468">
        <f>IFERROR(__xludf.DUMMYFUNCTION("""COMPUTED_VALUE"""),"Paris, France; Istanbul, Turkey")</f>
        <v/>
      </c>
      <c r="K3468">
        <f>IFERROR(__xludf.DUMMYFUNCTION("""COMPUTED_VALUE"""),12070.87)</f>
        <v/>
      </c>
    </row>
    <row r="3469">
      <c r="J3469">
        <f>IFERROR(__xludf.DUMMYFUNCTION("""COMPUTED_VALUE"""),"Finland, Europe")</f>
        <v/>
      </c>
      <c r="K3469">
        <f>IFERROR(__xludf.DUMMYFUNCTION("""COMPUTED_VALUE"""),12067.5)</f>
        <v/>
      </c>
    </row>
    <row r="3470">
      <c r="J3470">
        <f>IFERROR(__xludf.DUMMYFUNCTION("""COMPUTED_VALUE"""),"Mirabel, Quebec, Canada")</f>
        <v/>
      </c>
      <c r="K3470">
        <f>IFERROR(__xludf.DUMMYFUNCTION("""COMPUTED_VALUE"""),12067.03)</f>
        <v/>
      </c>
    </row>
    <row r="3471">
      <c r="J3471">
        <f>IFERROR(__xludf.DUMMYFUNCTION("""COMPUTED_VALUE"""),"United Nations, New York; Reykjavik, Iceland; United Nations,Geneva,Switzerland")</f>
        <v/>
      </c>
      <c r="K3471">
        <f>IFERROR(__xludf.DUMMYFUNCTION("""COMPUTED_VALUE"""),12064.51)</f>
        <v/>
      </c>
    </row>
    <row r="3472">
      <c r="J3472">
        <f>IFERROR(__xludf.DUMMYFUNCTION("""COMPUTED_VALUE"""),"Malacca, Malaysia")</f>
        <v/>
      </c>
      <c r="K3472">
        <f>IFERROR(__xludf.DUMMYFUNCTION("""COMPUTED_VALUE"""),12062.74)</f>
        <v/>
      </c>
    </row>
    <row r="3473">
      <c r="J3473">
        <f>IFERROR(__xludf.DUMMYFUNCTION("""COMPUTED_VALUE"""),"Moncton, New Brunswick, Canada;
Charlottetown, Prince Edward Island, Canada; 
Dorval, Quebec, Canada")</f>
        <v/>
      </c>
      <c r="K3473">
        <f>IFERROR(__xludf.DUMMYFUNCTION("""COMPUTED_VALUE"""),12060.97)</f>
        <v/>
      </c>
    </row>
    <row r="3474">
      <c r="J3474">
        <f>IFERROR(__xludf.DUMMYFUNCTION("""COMPUTED_VALUE"""),"Victoria / Tokyo, Japan")</f>
        <v/>
      </c>
      <c r="K3474">
        <f>IFERROR(__xludf.DUMMYFUNCTION("""COMPUTED_VALUE"""),12060.01)</f>
        <v/>
      </c>
    </row>
    <row r="3475">
      <c r="J3475">
        <f>IFERROR(__xludf.DUMMYFUNCTION("""COMPUTED_VALUE"""),"New Delhi, India and Dubai (United Arab Emirats)")</f>
        <v/>
      </c>
      <c r="K3475">
        <f>IFERROR(__xludf.DUMMYFUNCTION("""COMPUTED_VALUE"""),12057.29)</f>
        <v/>
      </c>
    </row>
    <row r="3476">
      <c r="J3476">
        <f>IFERROR(__xludf.DUMMYFUNCTION("""COMPUTED_VALUE"""),"Singapore, Brunei")</f>
        <v/>
      </c>
      <c r="K3476">
        <f>IFERROR(__xludf.DUMMYFUNCTION("""COMPUTED_VALUE"""),12056.57)</f>
        <v/>
      </c>
    </row>
    <row r="3477">
      <c r="J3477">
        <f>IFERROR(__xludf.DUMMYFUNCTION("""COMPUTED_VALUE"""),"Amsterdam ,Netherlands and Paris, France")</f>
        <v/>
      </c>
      <c r="K3477">
        <f>IFERROR(__xludf.DUMMYFUNCTION("""COMPUTED_VALUE"""),12055.87)</f>
        <v/>
      </c>
    </row>
    <row r="3478">
      <c r="J3478">
        <f>IFERROR(__xludf.DUMMYFUNCTION("""COMPUTED_VALUE"""),"Sao Paulo and Rio De Janeiro, Brazil")</f>
        <v/>
      </c>
      <c r="K3478">
        <f>IFERROR(__xludf.DUMMYFUNCTION("""COMPUTED_VALUE"""),12047.86)</f>
        <v/>
      </c>
    </row>
    <row r="3479">
      <c r="J3479">
        <f>IFERROR(__xludf.DUMMYFUNCTION("""COMPUTED_VALUE"""),"China and Taiwan")</f>
        <v/>
      </c>
      <c r="K3479">
        <f>IFERROR(__xludf.DUMMYFUNCTION("""COMPUTED_VALUE"""),12047.23)</f>
        <v/>
      </c>
    </row>
    <row r="3480">
      <c r="J3480">
        <f>IFERROR(__xludf.DUMMYFUNCTION("""COMPUTED_VALUE"""),"Shanghai, China - Hangzhou, China - Beijing, China")</f>
        <v/>
      </c>
      <c r="K3480">
        <f>IFERROR(__xludf.DUMMYFUNCTION("""COMPUTED_VALUE"""),12044.85)</f>
        <v/>
      </c>
    </row>
    <row r="3481">
      <c r="J3481">
        <f>IFERROR(__xludf.DUMMYFUNCTION("""COMPUTED_VALUE"""),"Mumbai, India / Bharuch, India  / Ahmedabad, India / Delhi, India")</f>
        <v/>
      </c>
      <c r="K3481">
        <f>IFERROR(__xludf.DUMMYFUNCTION("""COMPUTED_VALUE"""),12040.62)</f>
        <v/>
      </c>
    </row>
    <row r="3482">
      <c r="J3482">
        <f>IFERROR(__xludf.DUMMYFUNCTION("""COMPUTED_VALUE"""),"Beijing, Shanghai, Nanjing, Guangzhou, China and Hong Kong")</f>
        <v/>
      </c>
      <c r="K3482">
        <f>IFERROR(__xludf.DUMMYFUNCTION("""COMPUTED_VALUE"""),12039.2599999999)</f>
        <v/>
      </c>
    </row>
    <row r="3483">
      <c r="J3483">
        <f>IFERROR(__xludf.DUMMYFUNCTION("""COMPUTED_VALUE"""),"Brussels &amp; Geneva, Belgium &amp; Switzerland")</f>
        <v/>
      </c>
      <c r="K3483">
        <f>IFERROR(__xludf.DUMMYFUNCTION("""COMPUTED_VALUE"""),12034.82)</f>
        <v/>
      </c>
    </row>
    <row r="3484">
      <c r="J3484">
        <f>IFERROR(__xludf.DUMMYFUNCTION("""COMPUTED_VALUE"""),"Colorado, United States; Los Angeles, United States")</f>
        <v/>
      </c>
      <c r="K3484">
        <f>IFERROR(__xludf.DUMMYFUNCTION("""COMPUTED_VALUE"""),12032.89)</f>
        <v/>
      </c>
    </row>
    <row r="3485">
      <c r="J3485">
        <f>IFERROR(__xludf.DUMMYFUNCTION("""COMPUTED_VALUE"""),"Umeå, Sweden")</f>
        <v/>
      </c>
      <c r="K3485">
        <f>IFERROR(__xludf.DUMMYFUNCTION("""COMPUTED_VALUE"""),12032.29)</f>
        <v/>
      </c>
    </row>
    <row r="3486">
      <c r="J3486">
        <f>IFERROR(__xludf.DUMMYFUNCTION("""COMPUTED_VALUE"""),"Hinton, Alberta, Canada")</f>
        <v/>
      </c>
      <c r="K3486">
        <f>IFERROR(__xludf.DUMMYFUNCTION("""COMPUTED_VALUE"""),12028.1699999999)</f>
        <v/>
      </c>
    </row>
    <row r="3487">
      <c r="J3487">
        <f>IFERROR(__xludf.DUMMYFUNCTION("""COMPUTED_VALUE"""),"Ljuljana, Slovenia; Zagreb, Croatia; Riga, Latvia.")</f>
        <v/>
      </c>
      <c r="K3487">
        <f>IFERROR(__xludf.DUMMYFUNCTION("""COMPUTED_VALUE"""),12025.19)</f>
        <v/>
      </c>
    </row>
    <row r="3488">
      <c r="J3488">
        <f>IFERROR(__xludf.DUMMYFUNCTION("""COMPUTED_VALUE"""),"Hanoi")</f>
        <v/>
      </c>
      <c r="K3488">
        <f>IFERROR(__xludf.DUMMYFUNCTION("""COMPUTED_VALUE"""),12022.08)</f>
        <v/>
      </c>
    </row>
    <row r="3489">
      <c r="J3489">
        <f>IFERROR(__xludf.DUMMYFUNCTION("""COMPUTED_VALUE"""),"Geneva, Switzerland
Munich, Germany")</f>
        <v/>
      </c>
      <c r="K3489">
        <f>IFERROR(__xludf.DUMMYFUNCTION("""COMPUTED_VALUE"""),12020.2)</f>
        <v/>
      </c>
    </row>
    <row r="3490">
      <c r="J3490">
        <f>IFERROR(__xludf.DUMMYFUNCTION("""COMPUTED_VALUE"""),"Tokyo and Kyoto, Japan")</f>
        <v/>
      </c>
      <c r="K3490">
        <f>IFERROR(__xludf.DUMMYFUNCTION("""COMPUTED_VALUE"""),12014.02)</f>
        <v/>
      </c>
    </row>
    <row r="3491">
      <c r="J3491">
        <f>IFERROR(__xludf.DUMMYFUNCTION("""COMPUTED_VALUE"""),"Trinidad and Tobago, Guyana")</f>
        <v/>
      </c>
      <c r="K3491">
        <f>IFERROR(__xludf.DUMMYFUNCTION("""COMPUTED_VALUE"""),12012.53)</f>
        <v/>
      </c>
    </row>
    <row r="3492">
      <c r="J3492">
        <f>IFERROR(__xludf.DUMMYFUNCTION("""COMPUTED_VALUE"""),"London, Chevening, Manama")</f>
        <v/>
      </c>
      <c r="K3492">
        <f>IFERROR(__xludf.DUMMYFUNCTION("""COMPUTED_VALUE"""),12012.52)</f>
        <v/>
      </c>
    </row>
    <row r="3493">
      <c r="J3493">
        <f>IFERROR(__xludf.DUMMYFUNCTION("""COMPUTED_VALUE"""),"Edmonton, AB / Vancouver, BC")</f>
        <v/>
      </c>
      <c r="K3493">
        <f>IFERROR(__xludf.DUMMYFUNCTION("""COMPUTED_VALUE"""),12007.26)</f>
        <v/>
      </c>
    </row>
    <row r="3494">
      <c r="J3494">
        <f>IFERROR(__xludf.DUMMYFUNCTION("""COMPUTED_VALUE"""),"Frankfurt, Baden-Baden, Germany")</f>
        <v/>
      </c>
      <c r="K3494">
        <f>IFERROR(__xludf.DUMMYFUNCTION("""COMPUTED_VALUE"""),12005.02)</f>
        <v/>
      </c>
    </row>
    <row r="3495">
      <c r="J3495">
        <f>IFERROR(__xludf.DUMMYFUNCTION("""COMPUTED_VALUE"""),"Shanghai and Hangzhou, China")</f>
        <v/>
      </c>
      <c r="K3495">
        <f>IFERROR(__xludf.DUMMYFUNCTION("""COMPUTED_VALUE"""),12004.66)</f>
        <v/>
      </c>
    </row>
    <row r="3496">
      <c r="J3496">
        <f>IFERROR(__xludf.DUMMYFUNCTION("""COMPUTED_VALUE"""),"Tokyo, Japan / Taipei, Taiwan")</f>
        <v/>
      </c>
      <c r="K3496">
        <f>IFERROR(__xludf.DUMMYFUNCTION("""COMPUTED_VALUE"""),12002.64)</f>
        <v/>
      </c>
    </row>
    <row r="3497">
      <c r="J3497">
        <f>IFERROR(__xludf.DUMMYFUNCTION("""COMPUTED_VALUE"""),"Port Elgin, Ontario, Canada")</f>
        <v/>
      </c>
      <c r="K3497">
        <f>IFERROR(__xludf.DUMMYFUNCTION("""COMPUTED_VALUE"""),12000.1799999999)</f>
        <v/>
      </c>
    </row>
    <row r="3498">
      <c r="J3498">
        <f>IFERROR(__xludf.DUMMYFUNCTION("""COMPUTED_VALUE"""),"Vancouver/Kelowna")</f>
        <v/>
      </c>
      <c r="K3498">
        <f>IFERROR(__xludf.DUMMYFUNCTION("""COMPUTED_VALUE"""),11998.83)</f>
        <v/>
      </c>
    </row>
    <row r="3499">
      <c r="J3499">
        <f>IFERROR(__xludf.DUMMYFUNCTION("""COMPUTED_VALUE"""),"Munich, Germany
London, UK")</f>
        <v/>
      </c>
      <c r="K3499">
        <f>IFERROR(__xludf.DUMMYFUNCTION("""COMPUTED_VALUE"""),11998.3)</f>
        <v/>
      </c>
    </row>
    <row r="3500">
      <c r="J3500">
        <f>IFERROR(__xludf.DUMMYFUNCTION("""COMPUTED_VALUE"""),"Democratic Republic of the Congo (DRC), Rwanda, Burundi and Brussels")</f>
        <v/>
      </c>
      <c r="K3500">
        <f>IFERROR(__xludf.DUMMYFUNCTION("""COMPUTED_VALUE"""),11996.81)</f>
        <v/>
      </c>
    </row>
    <row r="3501">
      <c r="J3501">
        <f>IFERROR(__xludf.DUMMYFUNCTION("""COMPUTED_VALUE"""),"Addis Ababa and London")</f>
        <v/>
      </c>
      <c r="K3501">
        <f>IFERROR(__xludf.DUMMYFUNCTION("""COMPUTED_VALUE"""),11993.14)</f>
        <v/>
      </c>
    </row>
    <row r="3502">
      <c r="J3502">
        <f>IFERROR(__xludf.DUMMYFUNCTION("""COMPUTED_VALUE"""),"Tokyo, Japan and Seoul, South Korea")</f>
        <v/>
      </c>
      <c r="K3502">
        <f>IFERROR(__xludf.DUMMYFUNCTION("""COMPUTED_VALUE"""),11986.3)</f>
        <v/>
      </c>
    </row>
    <row r="3503">
      <c r="J3503">
        <f>IFERROR(__xludf.DUMMYFUNCTION("""COMPUTED_VALUE"""),"Tianjin, China")</f>
        <v/>
      </c>
      <c r="K3503">
        <f>IFERROR(__xludf.DUMMYFUNCTION("""COMPUTED_VALUE"""),11981.75)</f>
        <v/>
      </c>
    </row>
    <row r="3504">
      <c r="J3504">
        <f>IFERROR(__xludf.DUMMYFUNCTION("""COMPUTED_VALUE"""),"Brazilia, Brazil")</f>
        <v/>
      </c>
      <c r="K3504">
        <f>IFERROR(__xludf.DUMMYFUNCTION("""COMPUTED_VALUE"""),11974.72)</f>
        <v/>
      </c>
    </row>
    <row r="3505">
      <c r="J3505">
        <f>IFERROR(__xludf.DUMMYFUNCTION("""COMPUTED_VALUE"""),"Seoul, SK")</f>
        <v/>
      </c>
      <c r="K3505">
        <f>IFERROR(__xludf.DUMMYFUNCTION("""COMPUTED_VALUE"""),11974.49)</f>
        <v/>
      </c>
    </row>
    <row r="3506">
      <c r="J3506">
        <f>IFERROR(__xludf.DUMMYFUNCTION("""COMPUTED_VALUE"""),"Tokyo Shanghai, Beijing and Seoul")</f>
        <v/>
      </c>
      <c r="K3506">
        <f>IFERROR(__xludf.DUMMYFUNCTION("""COMPUTED_VALUE"""),11972.45)</f>
        <v/>
      </c>
    </row>
    <row r="3507">
      <c r="J3507">
        <f>IFERROR(__xludf.DUMMYFUNCTION("""COMPUTED_VALUE"""),"Canberra, Australia and Wellington, New Zealand")</f>
        <v/>
      </c>
      <c r="K3507">
        <f>IFERROR(__xludf.DUMMYFUNCTION("""COMPUTED_VALUE"""),11971.23)</f>
        <v/>
      </c>
    </row>
    <row r="3508">
      <c r="J3508">
        <f>IFERROR(__xludf.DUMMYFUNCTION("""COMPUTED_VALUE"""),"Manchester / London, United Kingdom")</f>
        <v/>
      </c>
      <c r="K3508">
        <f>IFERROR(__xludf.DUMMYFUNCTION("""COMPUTED_VALUE"""),11970.72)</f>
        <v/>
      </c>
    </row>
    <row r="3509">
      <c r="J3509">
        <f>IFERROR(__xludf.DUMMYFUNCTION("""COMPUTED_VALUE"""),"Brussel, Belgium and Paris, France")</f>
        <v/>
      </c>
      <c r="K3509">
        <f>IFERROR(__xludf.DUMMYFUNCTION("""COMPUTED_VALUE"""),11970.38)</f>
        <v/>
      </c>
    </row>
    <row r="3510">
      <c r="J3510">
        <f>IFERROR(__xludf.DUMMYFUNCTION("""COMPUTED_VALUE"""),"Ukraine/Riga")</f>
        <v/>
      </c>
      <c r="K3510">
        <f>IFERROR(__xludf.DUMMYFUNCTION("""COMPUTED_VALUE"""),11968.1199999999)</f>
        <v/>
      </c>
    </row>
    <row r="3511">
      <c r="J3511">
        <f>IFERROR(__xludf.DUMMYFUNCTION("""COMPUTED_VALUE"""),"Kyiv and London, Ukraine and United Kingdom")</f>
        <v/>
      </c>
      <c r="K3511">
        <f>IFERROR(__xludf.DUMMYFUNCTION("""COMPUTED_VALUE"""),11966.62)</f>
        <v/>
      </c>
    </row>
    <row r="3512">
      <c r="J3512">
        <f>IFERROR(__xludf.DUMMYFUNCTION("""COMPUTED_VALUE"""),"Istanbul, Turkey
Basel, Switzerland")</f>
        <v/>
      </c>
      <c r="K3512">
        <f>IFERROR(__xludf.DUMMYFUNCTION("""COMPUTED_VALUE"""),11965.14)</f>
        <v/>
      </c>
    </row>
    <row r="3513">
      <c r="J3513">
        <f>IFERROR(__xludf.DUMMYFUNCTION("""COMPUTED_VALUE"""),"Shanghai, Tokyo &amp; Beijing")</f>
        <v/>
      </c>
      <c r="K3513">
        <f>IFERROR(__xludf.DUMMYFUNCTION("""COMPUTED_VALUE"""),11965.14)</f>
        <v/>
      </c>
    </row>
    <row r="3514">
      <c r="J3514">
        <f>IFERROR(__xludf.DUMMYFUNCTION("""COMPUTED_VALUE"""),"Cambridge, Ontario")</f>
        <v/>
      </c>
      <c r="K3514">
        <f>IFERROR(__xludf.DUMMYFUNCTION("""COMPUTED_VALUE"""),11962.26)</f>
        <v/>
      </c>
    </row>
    <row r="3515">
      <c r="J3515">
        <f>IFERROR(__xludf.DUMMYFUNCTION("""COMPUTED_VALUE"""),"Beijing (China)")</f>
        <v/>
      </c>
      <c r="K3515">
        <f>IFERROR(__xludf.DUMMYFUNCTION("""COMPUTED_VALUE"""),11959.07)</f>
        <v/>
      </c>
    </row>
    <row r="3516">
      <c r="J3516">
        <f>IFERROR(__xludf.DUMMYFUNCTION("""COMPUTED_VALUE"""),"London, England / Abu Dhabi, United Arab Emirates")</f>
        <v/>
      </c>
      <c r="K3516">
        <f>IFERROR(__xludf.DUMMYFUNCTION("""COMPUTED_VALUE"""),11955.06)</f>
        <v/>
      </c>
    </row>
    <row r="3517">
      <c r="J3517">
        <f>IFERROR(__xludf.DUMMYFUNCTION("""COMPUTED_VALUE"""),"Dubai and Japan")</f>
        <v/>
      </c>
      <c r="K3517">
        <f>IFERROR(__xludf.DUMMYFUNCTION("""COMPUTED_VALUE"""),11946.11)</f>
        <v/>
      </c>
    </row>
    <row r="3518">
      <c r="J3518">
        <f>IFERROR(__xludf.DUMMYFUNCTION("""COMPUTED_VALUE"""),"The Hague, Neatherlands; Brussels, Belgium; London, United Kingdom; Washington, USA.")</f>
        <v/>
      </c>
      <c r="K3518">
        <f>IFERROR(__xludf.DUMMYFUNCTION("""COMPUTED_VALUE"""),11941.94)</f>
        <v/>
      </c>
    </row>
    <row r="3519">
      <c r="J3519">
        <f>IFERROR(__xludf.DUMMYFUNCTION("""COMPUTED_VALUE"""),"Seoul, Korea - Daegu, Korea - Beijing, China")</f>
        <v/>
      </c>
      <c r="K3519">
        <f>IFERROR(__xludf.DUMMYFUNCTION("""COMPUTED_VALUE"""),11940.19)</f>
        <v/>
      </c>
    </row>
    <row r="3520">
      <c r="J3520">
        <f>IFERROR(__xludf.DUMMYFUNCTION("""COMPUTED_VALUE"""),"Canberra, Australia
Victoria, British Columbia, Canada")</f>
        <v/>
      </c>
      <c r="K3520">
        <f>IFERROR(__xludf.DUMMYFUNCTION("""COMPUTED_VALUE"""),11939.18)</f>
        <v/>
      </c>
    </row>
    <row r="3521">
      <c r="J3521">
        <f>IFERROR(__xludf.DUMMYFUNCTION("""COMPUTED_VALUE"""),"Seoul, Beijing, Tokyo")</f>
        <v/>
      </c>
      <c r="K3521">
        <f>IFERROR(__xludf.DUMMYFUNCTION("""COMPUTED_VALUE"""),11937.34)</f>
        <v/>
      </c>
    </row>
    <row r="3522">
      <c r="J3522">
        <f>IFERROR(__xludf.DUMMYFUNCTION("""COMPUTED_VALUE"""),"Rankin Inlet, Nunavut, Canada; Iqaluit, Nunavut, Canada")</f>
        <v/>
      </c>
      <c r="K3522">
        <f>IFERROR(__xludf.DUMMYFUNCTION("""COMPUTED_VALUE"""),11932.64)</f>
        <v/>
      </c>
    </row>
    <row r="3523">
      <c r="J3523">
        <f>IFERROR(__xludf.DUMMYFUNCTION("""COMPUTED_VALUE"""),"Kitimat, BC")</f>
        <v/>
      </c>
      <c r="K3523">
        <f>IFERROR(__xludf.DUMMYFUNCTION("""COMPUTED_VALUE"""),11931.84)</f>
        <v/>
      </c>
    </row>
    <row r="3524">
      <c r="J3524">
        <f>IFERROR(__xludf.DUMMYFUNCTION("""COMPUTED_VALUE"""),"Amsterdam, Netherlands
Rome, Italy")</f>
        <v/>
      </c>
      <c r="K3524">
        <f>IFERROR(__xludf.DUMMYFUNCTION("""COMPUTED_VALUE"""),11929.22)</f>
        <v/>
      </c>
    </row>
    <row r="3525">
      <c r="J3525">
        <f>IFERROR(__xludf.DUMMYFUNCTION("""COMPUTED_VALUE"""),"Tokyo &amp; Nagoya, Japan")</f>
        <v/>
      </c>
      <c r="K3525">
        <f>IFERROR(__xludf.DUMMYFUNCTION("""COMPUTED_VALUE"""),11928.54)</f>
        <v/>
      </c>
    </row>
    <row r="3526">
      <c r="J3526">
        <f>IFERROR(__xludf.DUMMYFUNCTION("""COMPUTED_VALUE"""),"London, UK; Brussels, Belgium and Dublin, Ireland")</f>
        <v/>
      </c>
      <c r="K3526">
        <f>IFERROR(__xludf.DUMMYFUNCTION("""COMPUTED_VALUE"""),11927.02)</f>
        <v/>
      </c>
    </row>
    <row r="3527">
      <c r="J3527">
        <f>IFERROR(__xludf.DUMMYFUNCTION("""COMPUTED_VALUE"""),"Toronto, Ontario, Canada; Washington, DC, United States")</f>
        <v/>
      </c>
      <c r="K3527">
        <f>IFERROR(__xludf.DUMMYFUNCTION("""COMPUTED_VALUE"""),11926.2599999999)</f>
        <v/>
      </c>
    </row>
    <row r="3528">
      <c r="J3528">
        <f>IFERROR(__xludf.DUMMYFUNCTION("""COMPUTED_VALUE"""),"Istanbul, Turkey, New Delhi, India")</f>
        <v/>
      </c>
      <c r="K3528">
        <f>IFERROR(__xludf.DUMMYFUNCTION("""COMPUTED_VALUE"""),11926.16)</f>
        <v/>
      </c>
    </row>
    <row r="3529">
      <c r="J3529">
        <f>IFERROR(__xludf.DUMMYFUNCTION("""COMPUTED_VALUE"""),"Melbourne, AU")</f>
        <v/>
      </c>
      <c r="K3529">
        <f>IFERROR(__xludf.DUMMYFUNCTION("""COMPUTED_VALUE"""),11924.32)</f>
        <v/>
      </c>
    </row>
    <row r="3530">
      <c r="J3530">
        <f>IFERROR(__xludf.DUMMYFUNCTION("""COMPUTED_VALUE"""),"Berlin, Vienna and The Hague")</f>
        <v/>
      </c>
      <c r="K3530">
        <f>IFERROR(__xludf.DUMMYFUNCTION("""COMPUTED_VALUE"""),11922.62)</f>
        <v/>
      </c>
    </row>
    <row r="3531">
      <c r="J3531">
        <f>IFERROR(__xludf.DUMMYFUNCTION("""COMPUTED_VALUE"""),"Dubai, Asia")</f>
        <v/>
      </c>
      <c r="K3531">
        <f>IFERROR(__xludf.DUMMYFUNCTION("""COMPUTED_VALUE"""),11913.7)</f>
        <v/>
      </c>
    </row>
    <row r="3532">
      <c r="J3532">
        <f>IFERROR(__xludf.DUMMYFUNCTION("""COMPUTED_VALUE"""),"Hanoi, Vietnam (acc. paid by host govt.)")</f>
        <v/>
      </c>
      <c r="K3532">
        <f>IFERROR(__xludf.DUMMYFUNCTION("""COMPUTED_VALUE"""),11906.94)</f>
        <v/>
      </c>
    </row>
    <row r="3533">
      <c r="J3533">
        <f>IFERROR(__xludf.DUMMYFUNCTION("""COMPUTED_VALUE"""),"Jarkata, Indonesia")</f>
        <v/>
      </c>
      <c r="K3533">
        <f>IFERROR(__xludf.DUMMYFUNCTION("""COMPUTED_VALUE"""),11906.81)</f>
        <v/>
      </c>
    </row>
    <row r="3534">
      <c r="J3534">
        <f>IFERROR(__xludf.DUMMYFUNCTION("""COMPUTED_VALUE"""),"Brunei Darussalam and K Lumpur (Malaysia)")</f>
        <v/>
      </c>
      <c r="K3534">
        <f>IFERROR(__xludf.DUMMYFUNCTION("""COMPUTED_VALUE"""),11899.43)</f>
        <v/>
      </c>
    </row>
    <row r="3535">
      <c r="J3535">
        <f>IFERROR(__xludf.DUMMYFUNCTION("""COMPUTED_VALUE"""),"Vancouver &amp; Victoria, British Columbia")</f>
        <v/>
      </c>
      <c r="K3535">
        <f>IFERROR(__xludf.DUMMYFUNCTION("""COMPUTED_VALUE"""),11896.1899999999)</f>
        <v/>
      </c>
    </row>
    <row r="3536">
      <c r="J3536">
        <f>IFERROR(__xludf.DUMMYFUNCTION("""COMPUTED_VALUE"""),"Cascais, Portugal; Ottawa, ON")</f>
        <v/>
      </c>
      <c r="K3536">
        <f>IFERROR(__xludf.DUMMYFUNCTION("""COMPUTED_VALUE"""),11894.93)</f>
        <v/>
      </c>
    </row>
    <row r="3537">
      <c r="J3537">
        <f>IFERROR(__xludf.DUMMYFUNCTION("""COMPUTED_VALUE"""),"Thailand")</f>
        <v/>
      </c>
      <c r="K3537">
        <f>IFERROR(__xludf.DUMMYFUNCTION("""COMPUTED_VALUE"""),11890.48)</f>
        <v/>
      </c>
    </row>
    <row r="3538">
      <c r="J3538">
        <f>IFERROR(__xludf.DUMMYFUNCTION("""COMPUTED_VALUE"""),"Kyoto and Hokkaido")</f>
        <v/>
      </c>
      <c r="K3538">
        <f>IFERROR(__xludf.DUMMYFUNCTION("""COMPUTED_VALUE"""),11888.94)</f>
        <v/>
      </c>
    </row>
    <row r="3539">
      <c r="J3539">
        <f>IFERROR(__xludf.DUMMYFUNCTION("""COMPUTED_VALUE"""),"Brussels and Nigeria")</f>
        <v/>
      </c>
      <c r="K3539">
        <f>IFERROR(__xludf.DUMMYFUNCTION("""COMPUTED_VALUE"""),11888.77)</f>
        <v/>
      </c>
    </row>
    <row r="3540">
      <c r="J3540">
        <f>IFERROR(__xludf.DUMMYFUNCTION("""COMPUTED_VALUE"""),"Beijing, CN, Shanghai, CN, Zhejiang, CN")</f>
        <v/>
      </c>
      <c r="K3540">
        <f>IFERROR(__xludf.DUMMYFUNCTION("""COMPUTED_VALUE"""),11888.51)</f>
        <v/>
      </c>
    </row>
    <row r="3541">
      <c r="J3541">
        <f>IFERROR(__xludf.DUMMYFUNCTION("""COMPUTED_VALUE"""),"MMBAI-DHAKA-DELHI, India &amp; Bangladesh")</f>
        <v/>
      </c>
      <c r="K3541">
        <f>IFERROR(__xludf.DUMMYFUNCTION("""COMPUTED_VALUE"""),11887.01)</f>
        <v/>
      </c>
    </row>
    <row r="3542">
      <c r="J3542">
        <f>IFERROR(__xludf.DUMMYFUNCTION("""COMPUTED_VALUE"""),"Cork, Ireland; London, United Kingdom")</f>
        <v/>
      </c>
      <c r="K3542">
        <f>IFERROR(__xludf.DUMMYFUNCTION("""COMPUTED_VALUE"""),11886.01)</f>
        <v/>
      </c>
    </row>
    <row r="3543">
      <c r="J3543">
        <f>IFERROR(__xludf.DUMMYFUNCTION("""COMPUTED_VALUE"""),"Frankfurt, Germany/Shlossgarten, Germany/Munich, Germany/Brussels, Belgium")</f>
        <v/>
      </c>
      <c r="K3543">
        <f>IFERROR(__xludf.DUMMYFUNCTION("""COMPUTED_VALUE"""),11882.81)</f>
        <v/>
      </c>
    </row>
    <row r="3544">
      <c r="J3544">
        <f>IFERROR(__xludf.DUMMYFUNCTION("""COMPUTED_VALUE"""),"Paris, Baghdad and Jordan")</f>
        <v/>
      </c>
      <c r="K3544">
        <f>IFERROR(__xludf.DUMMYFUNCTION("""COMPUTED_VALUE"""),11881.55)</f>
        <v/>
      </c>
    </row>
    <row r="3545">
      <c r="J3545">
        <f>IFERROR(__xludf.DUMMYFUNCTION("""COMPUTED_VALUE"""),"Ottawa- Charlottetown- Ottawa")</f>
        <v/>
      </c>
      <c r="K3545">
        <f>IFERROR(__xludf.DUMMYFUNCTION("""COMPUTED_VALUE"""),11881.19)</f>
        <v/>
      </c>
    </row>
    <row r="3546">
      <c r="J3546">
        <f>IFERROR(__xludf.DUMMYFUNCTION("""COMPUTED_VALUE"""),"Toronto, ON; Ottawa, ON")</f>
        <v/>
      </c>
      <c r="K3546">
        <f>IFERROR(__xludf.DUMMYFUNCTION("""COMPUTED_VALUE"""),11877.86)</f>
        <v/>
      </c>
    </row>
    <row r="3547">
      <c r="J3547">
        <f>IFERROR(__xludf.DUMMYFUNCTION("""COMPUTED_VALUE"""),"Berlin and Munich, Germany")</f>
        <v/>
      </c>
      <c r="K3547">
        <f>IFERROR(__xludf.DUMMYFUNCTION("""COMPUTED_VALUE"""),11874.08)</f>
        <v/>
      </c>
    </row>
    <row r="3548">
      <c r="J3548">
        <f>IFERROR(__xludf.DUMMYFUNCTION("""COMPUTED_VALUE"""),"St.Petersburg, London")</f>
        <v/>
      </c>
      <c r="K3548">
        <f>IFERROR(__xludf.DUMMYFUNCTION("""COMPUTED_VALUE"""),11873.87)</f>
        <v/>
      </c>
    </row>
    <row r="3549">
      <c r="J3549">
        <f>IFERROR(__xludf.DUMMYFUNCTION("""COMPUTED_VALUE"""),"Charlottetown, Prince Edward Island, Canada; Summerside, Prince Edward Island, Canada; St. John's, Newfoundland and Labrador, Canada; Goose Bay, Newfoundland and Labrador, Canada; Halifax, Nova Scotia, Canada")</f>
        <v/>
      </c>
      <c r="K3549">
        <f>IFERROR(__xludf.DUMMYFUNCTION("""COMPUTED_VALUE"""),11871.5099999999)</f>
        <v/>
      </c>
    </row>
    <row r="3550">
      <c r="J3550">
        <f>IFERROR(__xludf.DUMMYFUNCTION("""COMPUTED_VALUE"""),"Halifax (Nova Scotia) Canada
Charlottetown (Prince Edward Island) Canada")</f>
        <v/>
      </c>
      <c r="K3550">
        <f>IFERROR(__xludf.DUMMYFUNCTION("""COMPUTED_VALUE"""),11866.07)</f>
        <v/>
      </c>
    </row>
    <row r="3551">
      <c r="J3551">
        <f>IFERROR(__xludf.DUMMYFUNCTION("""COMPUTED_VALUE"""),"Sidney, British Columbia")</f>
        <v/>
      </c>
      <c r="K3551">
        <f>IFERROR(__xludf.DUMMYFUNCTION("""COMPUTED_VALUE"""),11863.58)</f>
        <v/>
      </c>
    </row>
    <row r="3552">
      <c r="J3552">
        <f>IFERROR(__xludf.DUMMYFUNCTION("""COMPUTED_VALUE"""),"Brasila, Brazil")</f>
        <v/>
      </c>
      <c r="K3552">
        <f>IFERROR(__xludf.DUMMYFUNCTION("""COMPUTED_VALUE"""),11861.32)</f>
        <v/>
      </c>
    </row>
    <row r="3553">
      <c r="J3553">
        <f>IFERROR(__xludf.DUMMYFUNCTION("""COMPUTED_VALUE"""),"Ottawa, Vancouver")</f>
        <v/>
      </c>
      <c r="K3553">
        <f>IFERROR(__xludf.DUMMYFUNCTION("""COMPUTED_VALUE"""),11860.95)</f>
        <v/>
      </c>
    </row>
    <row r="3554">
      <c r="J3554">
        <f>IFERROR(__xludf.DUMMYFUNCTION("""COMPUTED_VALUE"""),"Kabul, Kandahar, Islamabad, Stockholm and Copenhagen (ICA Fund))")</f>
        <v/>
      </c>
      <c r="K3554">
        <f>IFERROR(__xludf.DUMMYFUNCTION("""COMPUTED_VALUE"""),11860.85)</f>
        <v/>
      </c>
    </row>
    <row r="3555">
      <c r="J3555">
        <f>IFERROR(__xludf.DUMMYFUNCTION("""COMPUTED_VALUE"""),"London, UK / Brussels, Belgium")</f>
        <v/>
      </c>
      <c r="K3555">
        <f>IFERROR(__xludf.DUMMYFUNCTION("""COMPUTED_VALUE"""),11858.21)</f>
        <v/>
      </c>
    </row>
    <row r="3556">
      <c r="J3556">
        <f>IFERROR(__xludf.DUMMYFUNCTION("""COMPUTED_VALUE"""),"Miami, Bahamas, St. Kitts, Antigua, Dominica, Saint Lucia, Saint Vincent and Bridgetown")</f>
        <v/>
      </c>
      <c r="K3556">
        <f>IFERROR(__xludf.DUMMYFUNCTION("""COMPUTED_VALUE"""),11857.09)</f>
        <v/>
      </c>
    </row>
    <row r="3557">
      <c r="J3557">
        <f>IFERROR(__xludf.DUMMYFUNCTION("""COMPUTED_VALUE"""),"Indianapolis, Indiana, United States")</f>
        <v/>
      </c>
      <c r="K3557">
        <f>IFERROR(__xludf.DUMMYFUNCTION("""COMPUTED_VALUE"""),11854.81)</f>
        <v/>
      </c>
    </row>
    <row r="3558">
      <c r="J3558">
        <f>IFERROR(__xludf.DUMMYFUNCTION("""COMPUTED_VALUE"""),"Zurich, Davos, Switzerland")</f>
        <v/>
      </c>
      <c r="K3558">
        <f>IFERROR(__xludf.DUMMYFUNCTION("""COMPUTED_VALUE"""),11851.11)</f>
        <v/>
      </c>
    </row>
    <row r="3559">
      <c r="J3559">
        <f>IFERROR(__xludf.DUMMYFUNCTION("""COMPUTED_VALUE"""),"Minneapolis, United States; Chicago, United States; Boston, United States; Washington, United States; Santiago, Chile; Mexico City, Mexico")</f>
        <v/>
      </c>
      <c r="K3559">
        <f>IFERROR(__xludf.DUMMYFUNCTION("""COMPUTED_VALUE"""),11847.08)</f>
        <v/>
      </c>
    </row>
    <row r="3560">
      <c r="J3560">
        <f>IFERROR(__xludf.DUMMYFUNCTION("""COMPUTED_VALUE"""),"Withehorse, Yukon, Canada")</f>
        <v/>
      </c>
      <c r="K3560">
        <f>IFERROR(__xludf.DUMMYFUNCTION("""COMPUTED_VALUE"""),11843.05)</f>
        <v/>
      </c>
    </row>
    <row r="3561">
      <c r="J3561">
        <f>IFERROR(__xludf.DUMMYFUNCTION("""COMPUTED_VALUE"""),"Fredericton")</f>
        <v/>
      </c>
      <c r="K3561">
        <f>IFERROR(__xludf.DUMMYFUNCTION("""COMPUTED_VALUE"""),11840.95)</f>
        <v/>
      </c>
    </row>
    <row r="3562">
      <c r="J3562">
        <f>IFERROR(__xludf.DUMMYFUNCTION("""COMPUTED_VALUE"""),"Brussels, BE; Paris FR")</f>
        <v/>
      </c>
      <c r="K3562">
        <f>IFERROR(__xludf.DUMMYFUNCTION("""COMPUTED_VALUE"""),11838.33)</f>
        <v/>
      </c>
    </row>
    <row r="3563">
      <c r="J3563">
        <f>IFERROR(__xludf.DUMMYFUNCTION("""COMPUTED_VALUE"""),"Taipei, Taiwan and Tokyo, Japan")</f>
        <v/>
      </c>
      <c r="K3563">
        <f>IFERROR(__xludf.DUMMYFUNCTION("""COMPUTED_VALUE"""),11832.48)</f>
        <v/>
      </c>
    </row>
    <row r="3564">
      <c r="J3564">
        <f>IFERROR(__xludf.DUMMYFUNCTION("""COMPUTED_VALUE"""),"Abbotsford, British Columbia; Saskatoon, Saskatchewan; Winnipeg, Manitoba")</f>
        <v/>
      </c>
      <c r="K3564">
        <f>IFERROR(__xludf.DUMMYFUNCTION("""COMPUTED_VALUE"""),11827.44)</f>
        <v/>
      </c>
    </row>
    <row r="3565">
      <c r="J3565">
        <f>IFERROR(__xludf.DUMMYFUNCTION("""COMPUTED_VALUE"""),"Montreal - Moncton - Sherbrook")</f>
        <v/>
      </c>
      <c r="K3565">
        <f>IFERROR(__xludf.DUMMYFUNCTION("""COMPUTED_VALUE"""),11826.61)</f>
        <v/>
      </c>
    </row>
    <row r="3566">
      <c r="J3566">
        <f>IFERROR(__xludf.DUMMYFUNCTION("""COMPUTED_VALUE"""),"Gaspe, Quebec, Canada")</f>
        <v/>
      </c>
      <c r="K3566">
        <f>IFERROR(__xludf.DUMMYFUNCTION("""COMPUTED_VALUE"""),11822.8299999999)</f>
        <v/>
      </c>
    </row>
    <row r="3567">
      <c r="J3567">
        <f>IFERROR(__xludf.DUMMYFUNCTION("""COMPUTED_VALUE"""),"QUEBEC, QC")</f>
        <v/>
      </c>
      <c r="K3567">
        <f>IFERROR(__xludf.DUMMYFUNCTION("""COMPUTED_VALUE"""),11819.66)</f>
        <v/>
      </c>
    </row>
    <row r="3568">
      <c r="J3568">
        <f>IFERROR(__xludf.DUMMYFUNCTION("""COMPUTED_VALUE"""),"Berlin, Germany; London, England")</f>
        <v/>
      </c>
      <c r="K3568">
        <f>IFERROR(__xludf.DUMMYFUNCTION("""COMPUTED_VALUE"""),11818.4399999999)</f>
        <v/>
      </c>
    </row>
    <row r="3569">
      <c r="J3569">
        <f>IFERROR(__xludf.DUMMYFUNCTION("""COMPUTED_VALUE"""),"Beijing, Tianjin, China")</f>
        <v/>
      </c>
      <c r="K3569">
        <f>IFERROR(__xludf.DUMMYFUNCTION("""COMPUTED_VALUE"""),11818.3)</f>
        <v/>
      </c>
    </row>
    <row r="3570">
      <c r="J3570">
        <f>IFERROR(__xludf.DUMMYFUNCTION("""COMPUTED_VALUE"""),"Ottawa, Ontario, Canada and Toronto, Ontario, Canada")</f>
        <v/>
      </c>
      <c r="K3570">
        <f>IFERROR(__xludf.DUMMYFUNCTION("""COMPUTED_VALUE"""),11817.47)</f>
        <v/>
      </c>
    </row>
    <row r="3571">
      <c r="J3571">
        <f>IFERROR(__xludf.DUMMYFUNCTION("""COMPUTED_VALUE"""),"Cambridge and London, United Kingdom")</f>
        <v/>
      </c>
      <c r="K3571">
        <f>IFERROR(__xludf.DUMMYFUNCTION("""COMPUTED_VALUE"""),11809.48)</f>
        <v/>
      </c>
    </row>
    <row r="3572">
      <c r="J3572">
        <f>IFERROR(__xludf.DUMMYFUNCTION("""COMPUTED_VALUE"""),"Miami, Florida and Kingston, Jamaica")</f>
        <v/>
      </c>
      <c r="K3572">
        <f>IFERROR(__xludf.DUMMYFUNCTION("""COMPUTED_VALUE"""),11809.41)</f>
        <v/>
      </c>
    </row>
    <row r="3573">
      <c r="J3573">
        <f>IFERROR(__xludf.DUMMYFUNCTION("""COMPUTED_VALUE"""),"Thunder Bay,  Ontario")</f>
        <v/>
      </c>
      <c r="K3573">
        <f>IFERROR(__xludf.DUMMYFUNCTION("""COMPUTED_VALUE"""),11804.5899999999)</f>
        <v/>
      </c>
    </row>
    <row r="3574">
      <c r="J3574">
        <f>IFERROR(__xludf.DUMMYFUNCTION("""COMPUTED_VALUE"""),"Ottawa, Vancouver, Whistler, Regina, Edmonton, Calgary")</f>
        <v/>
      </c>
      <c r="K3574">
        <f>IFERROR(__xludf.DUMMYFUNCTION("""COMPUTED_VALUE"""),11798.46)</f>
        <v/>
      </c>
    </row>
    <row r="3575">
      <c r="J3575">
        <f>IFERROR(__xludf.DUMMYFUNCTION("""COMPUTED_VALUE"""),"Iqaluit &amp; Cape Dorset, Nunavut; Charlottetown, Prince Edward Island; St-Andrews By-The Sea &amp; Frederiction, New Brunswick; Halifax &amp; Antigonish, Nova Scotia")</f>
        <v/>
      </c>
      <c r="K3575">
        <f>IFERROR(__xludf.DUMMYFUNCTION("""COMPUTED_VALUE"""),11798.38)</f>
        <v/>
      </c>
    </row>
    <row r="3576">
      <c r="J3576">
        <f>IFERROR(__xludf.DUMMYFUNCTION("""COMPUTED_VALUE"""),"Switzerland; United Kingdom")</f>
        <v/>
      </c>
      <c r="K3576">
        <f>IFERROR(__xludf.DUMMYFUNCTION("""COMPUTED_VALUE"""),11793.08)</f>
        <v/>
      </c>
    </row>
    <row r="3577">
      <c r="J3577">
        <f>IFERROR(__xludf.DUMMYFUNCTION("""COMPUTED_VALUE"""),"Ayr,Lydd, London - UK")</f>
        <v/>
      </c>
      <c r="K3577">
        <f>IFERROR(__xludf.DUMMYFUNCTION("""COMPUTED_VALUE"""),11790.77)</f>
        <v/>
      </c>
    </row>
    <row r="3578">
      <c r="J3578">
        <f>IFERROR(__xludf.DUMMYFUNCTION("""COMPUTED_VALUE"""),"Helsinki, Finland / Stockholm, Sweden")</f>
        <v/>
      </c>
      <c r="K3578">
        <f>IFERROR(__xludf.DUMMYFUNCTION("""COMPUTED_VALUE"""),11790.66)</f>
        <v/>
      </c>
    </row>
    <row r="3579">
      <c r="J3579">
        <f>IFERROR(__xludf.DUMMYFUNCTION("""COMPUTED_VALUE"""),"Vancouver, BC, Sydney, Melbourne, Australia")</f>
        <v/>
      </c>
      <c r="K3579">
        <f>IFERROR(__xludf.DUMMYFUNCTION("""COMPUTED_VALUE"""),11790.56)</f>
        <v/>
      </c>
    </row>
    <row r="3580">
      <c r="J3580">
        <f>IFERROR(__xludf.DUMMYFUNCTION("""COMPUTED_VALUE"""),"Cambodia and Tunisia")</f>
        <v/>
      </c>
      <c r="K3580">
        <f>IFERROR(__xludf.DUMMYFUNCTION("""COMPUTED_VALUE"""),11789.09)</f>
        <v/>
      </c>
    </row>
    <row r="3581">
      <c r="J3581">
        <f>IFERROR(__xludf.DUMMYFUNCTION("""COMPUTED_VALUE"""),"Québec, Quebec, Canada; Montréal, Quebec, Canada")</f>
        <v/>
      </c>
      <c r="K3581">
        <f>IFERROR(__xludf.DUMMYFUNCTION("""COMPUTED_VALUE"""),11786.88)</f>
        <v/>
      </c>
    </row>
    <row r="3582">
      <c r="J3582">
        <f>IFERROR(__xludf.DUMMYFUNCTION("""COMPUTED_VALUE"""),"Sierra Leone and Ottawa")</f>
        <v/>
      </c>
      <c r="K3582">
        <f>IFERROR(__xludf.DUMMYFUNCTION("""COMPUTED_VALUE"""),11786.21)</f>
        <v/>
      </c>
    </row>
    <row r="3583">
      <c r="J3583">
        <f>IFERROR(__xludf.DUMMYFUNCTION("""COMPUTED_VALUE"""),"Québec, Quebec, Canada; Calgary, Alberta, Canada; Toronto, Ontario, Canada; Winnipeg, Manitoba, Canada; Toronto, Ontario, Canada")</f>
        <v/>
      </c>
      <c r="K3583">
        <f>IFERROR(__xludf.DUMMYFUNCTION("""COMPUTED_VALUE"""),11785.92)</f>
        <v/>
      </c>
    </row>
    <row r="3584">
      <c r="J3584">
        <f>IFERROR(__xludf.DUMMYFUNCTION("""COMPUTED_VALUE"""),"Arlington, Virginia, USA")</f>
        <v/>
      </c>
      <c r="K3584">
        <f>IFERROR(__xludf.DUMMYFUNCTION("""COMPUTED_VALUE"""),11783.21)</f>
        <v/>
      </c>
    </row>
    <row r="3585">
      <c r="J3585">
        <f>IFERROR(__xludf.DUMMYFUNCTION("""COMPUTED_VALUE"""),"Puerto Varas, Chile")</f>
        <v/>
      </c>
      <c r="K3585">
        <f>IFERROR(__xludf.DUMMYFUNCTION("""COMPUTED_VALUE"""),11782.5)</f>
        <v/>
      </c>
    </row>
    <row r="3586">
      <c r="J3586">
        <f>IFERROR(__xludf.DUMMYFUNCTION("""COMPUTED_VALUE"""),"Qatar &amp; Bahrain")</f>
        <v/>
      </c>
      <c r="K3586">
        <f>IFERROR(__xludf.DUMMYFUNCTION("""COMPUTED_VALUE"""),11777.48)</f>
        <v/>
      </c>
    </row>
    <row r="3587">
      <c r="J3587">
        <f>IFERROR(__xludf.DUMMYFUNCTION("""COMPUTED_VALUE"""),"New Delhi, Mumbai and Ahmedabad, India")</f>
        <v/>
      </c>
      <c r="K3587">
        <f>IFERROR(__xludf.DUMMYFUNCTION("""COMPUTED_VALUE"""),11774.7)</f>
        <v/>
      </c>
    </row>
    <row r="3588">
      <c r="J3588">
        <f>IFERROR(__xludf.DUMMYFUNCTION("""COMPUTED_VALUE"""),"Tianjin, China - Beijing, China")</f>
        <v/>
      </c>
      <c r="K3588">
        <f>IFERROR(__xludf.DUMMYFUNCTION("""COMPUTED_VALUE"""),11773.35)</f>
        <v/>
      </c>
    </row>
    <row r="3589">
      <c r="J3589">
        <f>IFERROR(__xludf.DUMMYFUNCTION("""COMPUTED_VALUE"""),"Tokyo, Japan, Seoul South, Korea")</f>
        <v/>
      </c>
      <c r="K3589">
        <f>IFERROR(__xludf.DUMMYFUNCTION("""COMPUTED_VALUE"""),11771.9)</f>
        <v/>
      </c>
    </row>
    <row r="3590">
      <c r="J3590">
        <f>IFERROR(__xludf.DUMMYFUNCTION("""COMPUTED_VALUE"""),"Vancouver BC, Yellowknife NWT, Halifax NS")</f>
        <v/>
      </c>
      <c r="K3590">
        <f>IFERROR(__xludf.DUMMYFUNCTION("""COMPUTED_VALUE"""),11771.3)</f>
        <v/>
      </c>
    </row>
    <row r="3591">
      <c r="J3591">
        <f>IFERROR(__xludf.DUMMYFUNCTION("""COMPUTED_VALUE"""),"Bali, Indonesia, Singapore, Singapore, Beijing and Shenyang, China")</f>
        <v/>
      </c>
      <c r="K3591">
        <f>IFERROR(__xludf.DUMMYFUNCTION("""COMPUTED_VALUE"""),11767.72)</f>
        <v/>
      </c>
    </row>
    <row r="3592">
      <c r="J3592">
        <f>IFERROR(__xludf.DUMMYFUNCTION("""COMPUTED_VALUE"""),"Maui, Hawaii")</f>
        <v/>
      </c>
      <c r="K3592">
        <f>IFERROR(__xludf.DUMMYFUNCTION("""COMPUTED_VALUE"""),11765)</f>
        <v/>
      </c>
    </row>
    <row r="3593">
      <c r="J3593">
        <f>IFERROR(__xludf.DUMMYFUNCTION("""COMPUTED_VALUE"""),"Montréal, Halifax, Ottawa, Toronto, Winnipeg and Vancouver")</f>
        <v/>
      </c>
      <c r="K3593">
        <f>IFERROR(__xludf.DUMMYFUNCTION("""COMPUTED_VALUE"""),11761.83)</f>
        <v/>
      </c>
    </row>
    <row r="3594">
      <c r="J3594">
        <f>IFERROR(__xludf.DUMMYFUNCTION("""COMPUTED_VALUE"""),"Delhi, India / Jaipur, Rajastan, India")</f>
        <v/>
      </c>
      <c r="K3594">
        <f>IFERROR(__xludf.DUMMYFUNCTION("""COMPUTED_VALUE"""),11751.64)</f>
        <v/>
      </c>
    </row>
    <row r="3595">
      <c r="J3595">
        <f>IFERROR(__xludf.DUMMYFUNCTION("""COMPUTED_VALUE"""),"Beijing, Wuhan, Xi'An - China")</f>
        <v/>
      </c>
      <c r="K3595">
        <f>IFERROR(__xludf.DUMMYFUNCTION("""COMPUTED_VALUE"""),11748.83)</f>
        <v/>
      </c>
    </row>
    <row r="3596">
      <c r="J3596">
        <f>IFERROR(__xludf.DUMMYFUNCTION("""COMPUTED_VALUE"""),"HongKong, Beijing, China")</f>
        <v/>
      </c>
      <c r="K3596">
        <f>IFERROR(__xludf.DUMMYFUNCTION("""COMPUTED_VALUE"""),11748.48)</f>
        <v/>
      </c>
    </row>
    <row r="3597">
      <c r="J3597">
        <f>IFERROR(__xludf.DUMMYFUNCTION("""COMPUTED_VALUE"""),"Tokyo, Japan, Seoul, South Korea")</f>
        <v/>
      </c>
      <c r="K3597">
        <f>IFERROR(__xludf.DUMMYFUNCTION("""COMPUTED_VALUE"""),11741.53)</f>
        <v/>
      </c>
    </row>
    <row r="3598">
      <c r="J3598">
        <f>IFERROR(__xludf.DUMMYFUNCTION("""COMPUTED_VALUE"""),"Ottawa, Washington, New York")</f>
        <v/>
      </c>
      <c r="K3598">
        <f>IFERROR(__xludf.DUMMYFUNCTION("""COMPUTED_VALUE"""),11740.77)</f>
        <v/>
      </c>
    </row>
    <row r="3599">
      <c r="J3599">
        <f>IFERROR(__xludf.DUMMYFUNCTION("""COMPUTED_VALUE"""),"Québec, Quebec, Canada; London, United Kingdom")</f>
        <v/>
      </c>
      <c r="K3599">
        <f>IFERROR(__xludf.DUMMYFUNCTION("""COMPUTED_VALUE"""),11739.15)</f>
        <v/>
      </c>
    </row>
    <row r="3600">
      <c r="J3600">
        <f>IFERROR(__xludf.DUMMYFUNCTION("""COMPUTED_VALUE"""),"Frankfurt, Germany and Rome, Italy")</f>
        <v/>
      </c>
      <c r="K3600">
        <f>IFERROR(__xludf.DUMMYFUNCTION("""COMPUTED_VALUE"""),11735)</f>
        <v/>
      </c>
    </row>
    <row r="3601">
      <c r="J3601">
        <f>IFERROR(__xludf.DUMMYFUNCTION("""COMPUTED_VALUE"""),"Amman (Jordan) Tel Aviv (Israel)")</f>
        <v/>
      </c>
      <c r="K3601">
        <f>IFERROR(__xludf.DUMMYFUNCTION("""COMPUTED_VALUE"""),11734.59)</f>
        <v/>
      </c>
    </row>
    <row r="3602">
      <c r="J3602">
        <f>IFERROR(__xludf.DUMMYFUNCTION("""COMPUTED_VALUE"""),"Amsterdam, Netherlands / Toronto, Ontario")</f>
        <v/>
      </c>
      <c r="K3602">
        <f>IFERROR(__xludf.DUMMYFUNCTION("""COMPUTED_VALUE"""),11729.84)</f>
        <v/>
      </c>
    </row>
    <row r="3603">
      <c r="J3603">
        <f>IFERROR(__xludf.DUMMYFUNCTION("""COMPUTED_VALUE"""),"Shanghai, Beijing, Busan, Tokyo")</f>
        <v/>
      </c>
      <c r="K3603">
        <f>IFERROR(__xludf.DUMMYFUNCTION("""COMPUTED_VALUE"""),11729.46)</f>
        <v/>
      </c>
    </row>
    <row r="3604">
      <c r="J3604">
        <f>IFERROR(__xludf.DUMMYFUNCTION("""COMPUTED_VALUE"""),"Toronto, Ontario, Canada; Montreal, Quebec, Canada")</f>
        <v/>
      </c>
      <c r="K3604">
        <f>IFERROR(__xludf.DUMMYFUNCTION("""COMPUTED_VALUE"""),11728.05)</f>
        <v/>
      </c>
    </row>
    <row r="3605">
      <c r="J3605">
        <f>IFERROR(__xludf.DUMMYFUNCTION("""COMPUTED_VALUE"""),"Vancouver, British Columbia, Canada; Edmonton, Alberta, Canada; Prince Albert, Saskatchewan, Canada; Regina, Saskatchewan, Canada; Winnipeg, Manitoba, Canada; Thompson, Manitoba, Canada; Kenora, Ontario, Canada; Thunder Bay, Ontario, Canada; Sault Ste. Ma"&amp;"rie, Ontario, Canada; Timmins, Ontario, Canada; Halifax, Nova Scotia, Canada; Moncton, New Brunswick, Canada;")</f>
        <v/>
      </c>
      <c r="K3605">
        <f>IFERROR(__xludf.DUMMYFUNCTION("""COMPUTED_VALUE"""),11726.39)</f>
        <v/>
      </c>
    </row>
    <row r="3606">
      <c r="J3606">
        <f>IFERROR(__xludf.DUMMYFUNCTION("""COMPUTED_VALUE"""),"Hong Kong and Guangzhou, China")</f>
        <v/>
      </c>
      <c r="K3606">
        <f>IFERROR(__xludf.DUMMYFUNCTION("""COMPUTED_VALUE"""),11724.94)</f>
        <v/>
      </c>
    </row>
    <row r="3607">
      <c r="J3607">
        <f>IFERROR(__xludf.DUMMYFUNCTION("""COMPUTED_VALUE"""),"Netherlands, Romania, Poland")</f>
        <v/>
      </c>
      <c r="K3607">
        <f>IFERROR(__xludf.DUMMYFUNCTION("""COMPUTED_VALUE"""),11724.58)</f>
        <v/>
      </c>
    </row>
    <row r="3608">
      <c r="J3608">
        <f>IFERROR(__xludf.DUMMYFUNCTION("""COMPUTED_VALUE"""),"Mons BE, Geilenkirchin DE, Brunssum NL, Brussels BE")</f>
        <v/>
      </c>
      <c r="K3608">
        <f>IFERROR(__xludf.DUMMYFUNCTION("""COMPUTED_VALUE"""),11722.95)</f>
        <v/>
      </c>
    </row>
    <row r="3609">
      <c r="J3609">
        <f>IFERROR(__xludf.DUMMYFUNCTION("""COMPUTED_VALUE"""),"OTTAWA, ON - TORONTO, ON")</f>
        <v/>
      </c>
      <c r="K3609">
        <f>IFERROR(__xludf.DUMMYFUNCTION("""COMPUTED_VALUE"""),11720.48)</f>
        <v/>
      </c>
    </row>
    <row r="3610">
      <c r="J3610">
        <f>IFERROR(__xludf.DUMMYFUNCTION("""COMPUTED_VALUE"""),"London, England Paris, France, Moscow, Russia")</f>
        <v/>
      </c>
      <c r="K3610">
        <f>IFERROR(__xludf.DUMMYFUNCTION("""COMPUTED_VALUE"""),11719.26)</f>
        <v/>
      </c>
    </row>
    <row r="3611">
      <c r="J3611">
        <f>IFERROR(__xludf.DUMMYFUNCTION("""COMPUTED_VALUE"""),"Manila")</f>
        <v/>
      </c>
      <c r="K3611">
        <f>IFERROR(__xludf.DUMMYFUNCTION("""COMPUTED_VALUE"""),11718.69)</f>
        <v/>
      </c>
    </row>
    <row r="3612">
      <c r="J3612">
        <f>IFERROR(__xludf.DUMMYFUNCTION("""COMPUTED_VALUE"""),"Colombia, Haiti and Korea")</f>
        <v/>
      </c>
      <c r="K3612">
        <f>IFERROR(__xludf.DUMMYFUNCTION("""COMPUTED_VALUE"""),11717.24)</f>
        <v/>
      </c>
    </row>
    <row r="3613">
      <c r="J3613">
        <f>IFERROR(__xludf.DUMMYFUNCTION("""COMPUTED_VALUE"""),"Kowloon Shangri-La, Hong Kong, China")</f>
        <v/>
      </c>
      <c r="K3613">
        <f>IFERROR(__xludf.DUMMYFUNCTION("""COMPUTED_VALUE"""),11716.15)</f>
        <v/>
      </c>
    </row>
    <row r="3614">
      <c r="J3614">
        <f>IFERROR(__xludf.DUMMYFUNCTION("""COMPUTED_VALUE"""),"Copenhagen, Denmark; Paris, France; Brussels, Belgium")</f>
        <v/>
      </c>
      <c r="K3614">
        <f>IFERROR(__xludf.DUMMYFUNCTION("""COMPUTED_VALUE"""),11712.53)</f>
        <v/>
      </c>
    </row>
    <row r="3615">
      <c r="J3615">
        <f>IFERROR(__xludf.DUMMYFUNCTION("""COMPUTED_VALUE"""),"Florida")</f>
        <v/>
      </c>
      <c r="K3615">
        <f>IFERROR(__xludf.DUMMYFUNCTION("""COMPUTED_VALUE"""),11709.14)</f>
        <v/>
      </c>
    </row>
    <row r="3616">
      <c r="J3616">
        <f>IFERROR(__xludf.DUMMYFUNCTION("""COMPUTED_VALUE"""),"Tokyo Japan, Seoul South Korea")</f>
        <v/>
      </c>
      <c r="K3616">
        <f>IFERROR(__xludf.DUMMYFUNCTION("""COMPUTED_VALUE"""),11707.32)</f>
        <v/>
      </c>
    </row>
    <row r="3617">
      <c r="J3617">
        <f>IFERROR(__xludf.DUMMYFUNCTION("""COMPUTED_VALUE"""),"Kelowna, British-Columbia, Canada")</f>
        <v/>
      </c>
      <c r="K3617">
        <f>IFERROR(__xludf.DUMMYFUNCTION("""COMPUTED_VALUE"""),11706.59)</f>
        <v/>
      </c>
    </row>
    <row r="3618">
      <c r="J3618">
        <f>IFERROR(__xludf.DUMMYFUNCTION("""COMPUTED_VALUE"""),"Mozambique and Kenya")</f>
        <v/>
      </c>
      <c r="K3618">
        <f>IFERROR(__xludf.DUMMYFUNCTION("""COMPUTED_VALUE"""),11704.8)</f>
        <v/>
      </c>
    </row>
    <row r="3619">
      <c r="J3619">
        <f>IFERROR(__xludf.DUMMYFUNCTION("""COMPUTED_VALUE"""),"Grande Prairie, AB")</f>
        <v/>
      </c>
      <c r="K3619">
        <f>IFERROR(__xludf.DUMMYFUNCTION("""COMPUTED_VALUE"""),11702.21)</f>
        <v/>
      </c>
    </row>
    <row r="3620">
      <c r="J3620">
        <f>IFERROR(__xludf.DUMMYFUNCTION("""COMPUTED_VALUE"""),"Jerusalem, Israel; Geneva, Switzerland; Amsterdam, Netherlands; Brussels, Belgium")</f>
        <v/>
      </c>
      <c r="K3620">
        <f>IFERROR(__xludf.DUMMYFUNCTION("""COMPUTED_VALUE"""),11701.91)</f>
        <v/>
      </c>
    </row>
    <row r="3621">
      <c r="J3621">
        <f>IFERROR(__xludf.DUMMYFUNCTION("""COMPUTED_VALUE"""),"London,ONT
Waterloo
Ottawa
Paris")</f>
        <v/>
      </c>
      <c r="K3621">
        <f>IFERROR(__xludf.DUMMYFUNCTION("""COMPUTED_VALUE"""),11697.74)</f>
        <v/>
      </c>
    </row>
    <row r="3622">
      <c r="J3622">
        <f>IFERROR(__xludf.DUMMYFUNCTION("""COMPUTED_VALUE"""),"Osaka, Japan - Tokyo, Japan")</f>
        <v/>
      </c>
      <c r="K3622">
        <f>IFERROR(__xludf.DUMMYFUNCTION("""COMPUTED_VALUE"""),11697.6)</f>
        <v/>
      </c>
    </row>
    <row r="3623">
      <c r="J3623">
        <f>IFERROR(__xludf.DUMMYFUNCTION("""COMPUTED_VALUE"""),"Delhi, IN / Ho Chi Minh, VN / Hanoi, VN")</f>
        <v/>
      </c>
      <c r="K3623">
        <f>IFERROR(__xludf.DUMMYFUNCTION("""COMPUTED_VALUE"""),11696.23)</f>
        <v/>
      </c>
    </row>
    <row r="3624">
      <c r="J3624">
        <f>IFERROR(__xludf.DUMMYFUNCTION("""COMPUTED_VALUE"""),"Gagetown, NB")</f>
        <v/>
      </c>
      <c r="K3624">
        <f>IFERROR(__xludf.DUMMYFUNCTION("""COMPUTED_VALUE"""),11695.23)</f>
        <v/>
      </c>
    </row>
    <row r="3625">
      <c r="J3625">
        <f>IFERROR(__xludf.DUMMYFUNCTION("""COMPUTED_VALUE"""),"Victoria, British Columbia, Canada; Calgary, Alberta, Canada")</f>
        <v/>
      </c>
      <c r="K3625">
        <f>IFERROR(__xludf.DUMMYFUNCTION("""COMPUTED_VALUE"""),11694.5399999999)</f>
        <v/>
      </c>
    </row>
    <row r="3626">
      <c r="J3626">
        <f>IFERROR(__xludf.DUMMYFUNCTION("""COMPUTED_VALUE"""),"Turku, Finland and Malmö, Sweden")</f>
        <v/>
      </c>
      <c r="K3626">
        <f>IFERROR(__xludf.DUMMYFUNCTION("""COMPUTED_VALUE"""),11693.22)</f>
        <v/>
      </c>
    </row>
    <row r="3627">
      <c r="J3627">
        <f>IFERROR(__xludf.DUMMYFUNCTION("""COMPUTED_VALUE"""),"Beijing,China")</f>
        <v/>
      </c>
      <c r="K3627">
        <f>IFERROR(__xludf.DUMMYFUNCTION("""COMPUTED_VALUE"""),11690.33)</f>
        <v/>
      </c>
    </row>
    <row r="3628">
      <c r="J3628">
        <f>IFERROR(__xludf.DUMMYFUNCTION("""COMPUTED_VALUE"""),"Tripoli, Libya and London, England")</f>
        <v/>
      </c>
      <c r="K3628">
        <f>IFERROR(__xludf.DUMMYFUNCTION("""COMPUTED_VALUE"""),11687.82)</f>
        <v/>
      </c>
    </row>
    <row r="3629">
      <c r="J3629">
        <f>IFERROR(__xludf.DUMMYFUNCTION("""COMPUTED_VALUE"""),"Tokyo, Japan
Kuala Lumpur, Malaysia
Vancouver, Canada")</f>
        <v/>
      </c>
      <c r="K3629">
        <f>IFERROR(__xludf.DUMMYFUNCTION("""COMPUTED_VALUE"""),11687.74)</f>
        <v/>
      </c>
    </row>
    <row r="3630">
      <c r="J3630">
        <f>IFERROR(__xludf.DUMMYFUNCTION("""COMPUTED_VALUE"""),"Hanoi, Vietnam
Singapore")</f>
        <v/>
      </c>
      <c r="K3630">
        <f>IFERROR(__xludf.DUMMYFUNCTION("""COMPUTED_VALUE"""),11687.61)</f>
        <v/>
      </c>
    </row>
    <row r="3631">
      <c r="J3631">
        <f>IFERROR(__xludf.DUMMYFUNCTION("""COMPUTED_VALUE"""),"Seoul and Japan")</f>
        <v/>
      </c>
      <c r="K3631">
        <f>IFERROR(__xludf.DUMMYFUNCTION("""COMPUTED_VALUE"""),11686.89)</f>
        <v/>
      </c>
    </row>
    <row r="3632">
      <c r="J3632">
        <f>IFERROR(__xludf.DUMMYFUNCTION("""COMPUTED_VALUE"""),"Edinburgh, England, United Kingdom &amp; London, England, United Kingdom")</f>
        <v/>
      </c>
      <c r="K3632">
        <f>IFERROR(__xludf.DUMMYFUNCTION("""COMPUTED_VALUE"""),11684.25)</f>
        <v/>
      </c>
    </row>
    <row r="3633">
      <c r="J3633">
        <f>IFERROR(__xludf.DUMMYFUNCTION("""COMPUTED_VALUE"""),"Paris / Geneva")</f>
        <v/>
      </c>
      <c r="K3633">
        <f>IFERROR(__xludf.DUMMYFUNCTION("""COMPUTED_VALUE"""),11679.15)</f>
        <v/>
      </c>
    </row>
    <row r="3634">
      <c r="J3634">
        <f>IFERROR(__xludf.DUMMYFUNCTION("""COMPUTED_VALUE"""),"Boucherville, QC")</f>
        <v/>
      </c>
      <c r="K3634">
        <f>IFERROR(__xludf.DUMMYFUNCTION("""COMPUTED_VALUE"""),11678.98)</f>
        <v/>
      </c>
    </row>
    <row r="3635">
      <c r="J3635">
        <f>IFERROR(__xludf.DUMMYFUNCTION("""COMPUTED_VALUE"""),"Slovenia, North Macedonia, Albania")</f>
        <v/>
      </c>
      <c r="K3635">
        <f>IFERROR(__xludf.DUMMYFUNCTION("""COMPUTED_VALUE"""),11678.03)</f>
        <v/>
      </c>
    </row>
    <row r="3636">
      <c r="J3636">
        <f>IFERROR(__xludf.DUMMYFUNCTION("""COMPUTED_VALUE"""),"Frankfurt, Germany; Kiev, Ukraine; Rome, Italy; and London, United Kingdom")</f>
        <v/>
      </c>
      <c r="K3636">
        <f>IFERROR(__xludf.DUMMYFUNCTION("""COMPUTED_VALUE"""),11673.03)</f>
        <v/>
      </c>
    </row>
    <row r="3637">
      <c r="J3637">
        <f>IFERROR(__xludf.DUMMYFUNCTION("""COMPUTED_VALUE"""),"UAE and Saudi Arabia")</f>
        <v/>
      </c>
      <c r="K3637">
        <f>IFERROR(__xludf.DUMMYFUNCTION("""COMPUTED_VALUE"""),11672.45)</f>
        <v/>
      </c>
    </row>
    <row r="3638">
      <c r="J3638">
        <f>IFERROR(__xludf.DUMMYFUNCTION("""COMPUTED_VALUE"""),"Tbilisi, Georgia and Istanbul and Ankara in Turkey")</f>
        <v/>
      </c>
      <c r="K3638">
        <f>IFERROR(__xludf.DUMMYFUNCTION("""COMPUTED_VALUE"""),11669.36)</f>
        <v/>
      </c>
    </row>
    <row r="3639">
      <c r="J3639">
        <f>IFERROR(__xludf.DUMMYFUNCTION("""COMPUTED_VALUE"""),"Kuwait and Jordan")</f>
        <v/>
      </c>
      <c r="K3639">
        <f>IFERROR(__xludf.DUMMYFUNCTION("""COMPUTED_VALUE"""),11666.58)</f>
        <v/>
      </c>
    </row>
    <row r="3640">
      <c r="J3640">
        <f>IFERROR(__xludf.DUMMYFUNCTION("""COMPUTED_VALUE"""),"Asia")</f>
        <v/>
      </c>
      <c r="K3640">
        <f>IFERROR(__xludf.DUMMYFUNCTION("""COMPUTED_VALUE"""),11661.2599999999)</f>
        <v/>
      </c>
    </row>
    <row r="3641">
      <c r="J3641">
        <f>IFERROR(__xludf.DUMMYFUNCTION("""COMPUTED_VALUE"""),"Edmonton, Alberta, Canada; Cambridge Bay, Nunavut, Canada; Cold Lake, Alberta, Canada")</f>
        <v/>
      </c>
      <c r="K3641">
        <f>IFERROR(__xludf.DUMMYFUNCTION("""COMPUTED_VALUE"""),11659.58)</f>
        <v/>
      </c>
    </row>
    <row r="3642">
      <c r="J3642">
        <f>IFERROR(__xludf.DUMMYFUNCTION("""COMPUTED_VALUE"""),"St. Johns, NFLD")</f>
        <v/>
      </c>
      <c r="K3642">
        <f>IFERROR(__xludf.DUMMYFUNCTION("""COMPUTED_VALUE"""),11658.51)</f>
        <v/>
      </c>
    </row>
    <row r="3643">
      <c r="J3643">
        <f>IFERROR(__xludf.DUMMYFUNCTION("""COMPUTED_VALUE"""),"Helsinki, Finland and Kuwait City, Kuwait")</f>
        <v/>
      </c>
      <c r="K3643">
        <f>IFERROR(__xludf.DUMMYFUNCTION("""COMPUTED_VALUE"""),11655.13)</f>
        <v/>
      </c>
    </row>
    <row r="3644">
      <c r="J3644">
        <f>IFERROR(__xludf.DUMMYFUNCTION("""COMPUTED_VALUE"""),"Egypt, Tunisia")</f>
        <v/>
      </c>
      <c r="K3644">
        <f>IFERROR(__xludf.DUMMYFUNCTION("""COMPUTED_VALUE"""),11652.95)</f>
        <v/>
      </c>
    </row>
    <row r="3645">
      <c r="J3645">
        <f>IFERROR(__xludf.DUMMYFUNCTION("""COMPUTED_VALUE"""),"Mumbai - New Delhi, India")</f>
        <v/>
      </c>
      <c r="K3645">
        <f>IFERROR(__xludf.DUMMYFUNCTION("""COMPUTED_VALUE"""),11648.62)</f>
        <v/>
      </c>
    </row>
    <row r="3646">
      <c r="J3646">
        <f>IFERROR(__xludf.DUMMYFUNCTION("""COMPUTED_VALUE"""),"Yellowknife, North West Territories")</f>
        <v/>
      </c>
      <c r="K3646">
        <f>IFERROR(__xludf.DUMMYFUNCTION("""COMPUTED_VALUE"""),11648.51)</f>
        <v/>
      </c>
    </row>
    <row r="3647">
      <c r="J3647">
        <f>IFERROR(__xludf.DUMMYFUNCTION("""COMPUTED_VALUE"""),"China-Shanghai, Beijing, Hong Kong")</f>
        <v/>
      </c>
      <c r="K3647">
        <f>IFERROR(__xludf.DUMMYFUNCTION("""COMPUTED_VALUE"""),11647.08)</f>
        <v/>
      </c>
    </row>
    <row r="3648">
      <c r="J3648">
        <f>IFERROR(__xludf.DUMMYFUNCTION("""COMPUTED_VALUE"""),"Montreal, Quebec, Canada / Munich and Frankfurt, Germany / Krakow, Poland")</f>
        <v/>
      </c>
      <c r="K3648">
        <f>IFERROR(__xludf.DUMMYFUNCTION("""COMPUTED_VALUE"""),11645.86)</f>
        <v/>
      </c>
    </row>
    <row r="3649">
      <c r="J3649">
        <f>IFERROR(__xludf.DUMMYFUNCTION("""COMPUTED_VALUE"""),"Salzburg, Austria")</f>
        <v/>
      </c>
      <c r="K3649">
        <f>IFERROR(__xludf.DUMMYFUNCTION("""COMPUTED_VALUE"""),11645.63)</f>
        <v/>
      </c>
    </row>
    <row r="3650">
      <c r="J3650">
        <f>IFERROR(__xludf.DUMMYFUNCTION("""COMPUTED_VALUE"""),"Victoria, British-Columbia")</f>
        <v/>
      </c>
      <c r="K3650">
        <f>IFERROR(__xludf.DUMMYFUNCTION("""COMPUTED_VALUE"""),11640.65)</f>
        <v/>
      </c>
    </row>
    <row r="3651">
      <c r="J3651">
        <f>IFERROR(__xludf.DUMMYFUNCTION("""COMPUTED_VALUE"""),"Abu Dhabi-Victoria-Calgary")</f>
        <v/>
      </c>
      <c r="K3651">
        <f>IFERROR(__xludf.DUMMYFUNCTION("""COMPUTED_VALUE"""),11638.68)</f>
        <v/>
      </c>
    </row>
    <row r="3652">
      <c r="J3652">
        <f>IFERROR(__xludf.DUMMYFUNCTION("""COMPUTED_VALUE"""),"Rio de Janeiro, Brazil; Manaus, Brazil; Sao Paulo, Brazil")</f>
        <v/>
      </c>
      <c r="K3652">
        <f>IFERROR(__xludf.DUMMYFUNCTION("""COMPUTED_VALUE"""),11637.86)</f>
        <v/>
      </c>
    </row>
    <row r="3653">
      <c r="J3653">
        <f>IFERROR(__xludf.DUMMYFUNCTION("""COMPUTED_VALUE"""),"Toronto, Peru, Uruguay and Colombia")</f>
        <v/>
      </c>
      <c r="K3653">
        <f>IFERROR(__xludf.DUMMYFUNCTION("""COMPUTED_VALUE"""),11632.85)</f>
        <v/>
      </c>
    </row>
    <row r="3654">
      <c r="J3654">
        <f>IFERROR(__xludf.DUMMYFUNCTION("""COMPUTED_VALUE"""),"Ottawa, Ontario
Toronto, Ontario
CANADA")</f>
        <v/>
      </c>
      <c r="K3654">
        <f>IFERROR(__xludf.DUMMYFUNCTION("""COMPUTED_VALUE"""),11628.37)</f>
        <v/>
      </c>
    </row>
    <row r="3655">
      <c r="J3655">
        <f>IFERROR(__xludf.DUMMYFUNCTION("""COMPUTED_VALUE"""),"Fort Chipewyan, Alberta, Canada")</f>
        <v/>
      </c>
      <c r="K3655">
        <f>IFERROR(__xludf.DUMMYFUNCTION("""COMPUTED_VALUE"""),11626.2599999999)</f>
        <v/>
      </c>
    </row>
    <row r="3656">
      <c r="J3656">
        <f>IFERROR(__xludf.DUMMYFUNCTION("""COMPUTED_VALUE"""),"Halifax, Nova Scotia, Canada / Charlottetown, Prince Edward Island, Canada")</f>
        <v/>
      </c>
      <c r="K3656">
        <f>IFERROR(__xludf.DUMMYFUNCTION("""COMPUTED_VALUE"""),11625.18)</f>
        <v/>
      </c>
    </row>
    <row r="3657">
      <c r="J3657">
        <f>IFERROR(__xludf.DUMMYFUNCTION("""COMPUTED_VALUE"""),"Thunder Bay, ON, Canada")</f>
        <v/>
      </c>
      <c r="K3657">
        <f>IFERROR(__xludf.DUMMYFUNCTION("""COMPUTED_VALUE"""),11623.11)</f>
        <v/>
      </c>
    </row>
    <row r="3658">
      <c r="J3658">
        <f>IFERROR(__xludf.DUMMYFUNCTION("""COMPUTED_VALUE"""),"London, England, Ottawa and Toronto")</f>
        <v/>
      </c>
      <c r="K3658">
        <f>IFERROR(__xludf.DUMMYFUNCTION("""COMPUTED_VALUE"""),11623.07)</f>
        <v/>
      </c>
    </row>
    <row r="3659">
      <c r="J3659">
        <f>IFERROR(__xludf.DUMMYFUNCTION("""COMPUTED_VALUE"""),"Paris, France / Lisbon, Portugal")</f>
        <v/>
      </c>
      <c r="K3659">
        <f>IFERROR(__xludf.DUMMYFUNCTION("""COMPUTED_VALUE"""),11620.47)</f>
        <v/>
      </c>
    </row>
    <row r="3660">
      <c r="J3660">
        <f>IFERROR(__xludf.DUMMYFUNCTION("""COMPUTED_VALUE"""),"Warsaw, Poland / Riga, Latvia")</f>
        <v/>
      </c>
      <c r="K3660">
        <f>IFERROR(__xludf.DUMMYFUNCTION("""COMPUTED_VALUE"""),11620.42)</f>
        <v/>
      </c>
    </row>
    <row r="3661">
      <c r="J3661">
        <f>IFERROR(__xludf.DUMMYFUNCTION("""COMPUTED_VALUE"""),"Beijing China")</f>
        <v/>
      </c>
      <c r="K3661">
        <f>IFERROR(__xludf.DUMMYFUNCTION("""COMPUTED_VALUE"""),11617.7799999999)</f>
        <v/>
      </c>
    </row>
    <row r="3662">
      <c r="J3662">
        <f>IFERROR(__xludf.DUMMYFUNCTION("""COMPUTED_VALUE"""),"The Hague, Netherlands
Geneva, Switzerland")</f>
        <v/>
      </c>
      <c r="K3662">
        <f>IFERROR(__xludf.DUMMYFUNCTION("""COMPUTED_VALUE"""),11616.01)</f>
        <v/>
      </c>
    </row>
    <row r="3663">
      <c r="J3663">
        <f>IFERROR(__xludf.DUMMYFUNCTION("""COMPUTED_VALUE"""),"Whistler, B.C.")</f>
        <v/>
      </c>
      <c r="K3663">
        <f>IFERROR(__xludf.DUMMYFUNCTION("""COMPUTED_VALUE"""),11611.78)</f>
        <v/>
      </c>
    </row>
    <row r="3664">
      <c r="J3664">
        <f>IFERROR(__xludf.DUMMYFUNCTION("""COMPUTED_VALUE"""),"Paris, France and Casablanca, Morocco")</f>
        <v/>
      </c>
      <c r="K3664">
        <f>IFERROR(__xludf.DUMMYFUNCTION("""COMPUTED_VALUE"""),11610.74)</f>
        <v/>
      </c>
    </row>
    <row r="3665">
      <c r="J3665">
        <f>IFERROR(__xludf.DUMMYFUNCTION("""COMPUTED_VALUE"""),"Stuttgart, Germany / Munich, Germany / Frankfurt, Germany")</f>
        <v/>
      </c>
      <c r="K3665">
        <f>IFERROR(__xludf.DUMMYFUNCTION("""COMPUTED_VALUE"""),11610.6)</f>
        <v/>
      </c>
    </row>
    <row r="3666">
      <c r="J3666">
        <f>IFERROR(__xludf.DUMMYFUNCTION("""COMPUTED_VALUE"""),"Vigo Spain.  Bergen Norway")</f>
        <v/>
      </c>
      <c r="K3666">
        <f>IFERROR(__xludf.DUMMYFUNCTION("""COMPUTED_VALUE"""),11604.34)</f>
        <v/>
      </c>
    </row>
    <row r="3667">
      <c r="J3667">
        <f>IFERROR(__xludf.DUMMYFUNCTION("""COMPUTED_VALUE"""),"Neuchatel &amp; Geneva")</f>
        <v/>
      </c>
      <c r="K3667">
        <f>IFERROR(__xludf.DUMMYFUNCTION("""COMPUTED_VALUE"""),11601.18)</f>
        <v/>
      </c>
    </row>
    <row r="3668">
      <c r="J3668">
        <f>IFERROR(__xludf.DUMMYFUNCTION("""COMPUTED_VALUE"""),"Mérida, Mexico")</f>
        <v/>
      </c>
      <c r="K3668">
        <f>IFERROR(__xludf.DUMMYFUNCTION("""COMPUTED_VALUE"""),11597.91)</f>
        <v/>
      </c>
    </row>
    <row r="3669">
      <c r="J3669">
        <f>IFERROR(__xludf.DUMMYFUNCTION("""COMPUTED_VALUE"""),"China &amp; Japan")</f>
        <v/>
      </c>
      <c r="K3669">
        <f>IFERROR(__xludf.DUMMYFUNCTION("""COMPUTED_VALUE"""),11594.96)</f>
        <v/>
      </c>
    </row>
    <row r="3670">
      <c r="J3670">
        <f>IFERROR(__xludf.DUMMYFUNCTION("""COMPUTED_VALUE"""),"Jeddah, Saudi Arabia; Riyadh, Saudi Arabia")</f>
        <v/>
      </c>
      <c r="K3670">
        <f>IFERROR(__xludf.DUMMYFUNCTION("""COMPUTED_VALUE"""),11593.83)</f>
        <v/>
      </c>
    </row>
    <row r="3671">
      <c r="J3671">
        <f>IFERROR(__xludf.DUMMYFUNCTION("""COMPUTED_VALUE"""),"LONDON, UK - BANGKOK, TH - VANCOUVER, BC -")</f>
        <v/>
      </c>
      <c r="K3671">
        <f>IFERROR(__xludf.DUMMYFUNCTION("""COMPUTED_VALUE"""),11593.45)</f>
        <v/>
      </c>
    </row>
    <row r="3672">
      <c r="J3672">
        <f>IFERROR(__xludf.DUMMYFUNCTION("""COMPUTED_VALUE"""),"Lilongwe, Malawi, Africa")</f>
        <v/>
      </c>
      <c r="K3672">
        <f>IFERROR(__xludf.DUMMYFUNCTION("""COMPUTED_VALUE"""),11590.34)</f>
        <v/>
      </c>
    </row>
    <row r="3673">
      <c r="J3673">
        <f>IFERROR(__xludf.DUMMYFUNCTION("""COMPUTED_VALUE"""),"Vancouver, B.C. / Williams Lake, B.C. / Calgary, Alta. / Rocky Mountain House, Alta.")</f>
        <v/>
      </c>
      <c r="K3673">
        <f>IFERROR(__xludf.DUMMYFUNCTION("""COMPUTED_VALUE"""),11589.82)</f>
        <v/>
      </c>
    </row>
    <row r="3674">
      <c r="J3674">
        <f>IFERROR(__xludf.DUMMYFUNCTION("""COMPUTED_VALUE"""),"Calgary, Alberta / Vancouver, British Columbia and Yellowknife")</f>
        <v/>
      </c>
      <c r="K3674">
        <f>IFERROR(__xludf.DUMMYFUNCTION("""COMPUTED_VALUE"""),11582.99)</f>
        <v/>
      </c>
    </row>
    <row r="3675">
      <c r="J3675">
        <f>IFERROR(__xludf.DUMMYFUNCTION("""COMPUTED_VALUE"""),"Winnipeg, Manitoba, Canada and Regina, Saskatchewan, Canada")</f>
        <v/>
      </c>
      <c r="K3675">
        <f>IFERROR(__xludf.DUMMYFUNCTION("""COMPUTED_VALUE"""),11582.09)</f>
        <v/>
      </c>
    </row>
    <row r="3676">
      <c r="J3676">
        <f>IFERROR(__xludf.DUMMYFUNCTION("""COMPUTED_VALUE"""),"Saudia Arabia and Egypt")</f>
        <v/>
      </c>
      <c r="K3676">
        <f>IFERROR(__xludf.DUMMYFUNCTION("""COMPUTED_VALUE"""),11581.52)</f>
        <v/>
      </c>
    </row>
    <row r="3677">
      <c r="J3677">
        <f>IFERROR(__xludf.DUMMYFUNCTION("""COMPUTED_VALUE"""),"Vancouver, British Columbia , Canada")</f>
        <v/>
      </c>
      <c r="K3677">
        <f>IFERROR(__xludf.DUMMYFUNCTION("""COMPUTED_VALUE"""),11581.0399999999)</f>
        <v/>
      </c>
    </row>
    <row r="3678">
      <c r="J3678">
        <f>IFERROR(__xludf.DUMMYFUNCTION("""COMPUTED_VALUE"""),"Mont-Tremblant, Quebec, Canada")</f>
        <v/>
      </c>
      <c r="K3678">
        <f>IFERROR(__xludf.DUMMYFUNCTION("""COMPUTED_VALUE"""),11580.4399999999)</f>
        <v/>
      </c>
    </row>
    <row r="3679">
      <c r="J3679">
        <f>IFERROR(__xludf.DUMMYFUNCTION("""COMPUTED_VALUE"""),"Vancouver and Winnipeg")</f>
        <v/>
      </c>
      <c r="K3679">
        <f>IFERROR(__xludf.DUMMYFUNCTION("""COMPUTED_VALUE"""),11578.88)</f>
        <v/>
      </c>
    </row>
    <row r="3680">
      <c r="J3680">
        <f>IFERROR(__xludf.DUMMYFUNCTION("""COMPUTED_VALUE"""),"CHARLOTTETOWN, Î.-P.-É., CANADA")</f>
        <v/>
      </c>
      <c r="K3680">
        <f>IFERROR(__xludf.DUMMYFUNCTION("""COMPUTED_VALUE"""),11576.76)</f>
        <v/>
      </c>
    </row>
    <row r="3681">
      <c r="J3681">
        <f>IFERROR(__xludf.DUMMYFUNCTION("""COMPUTED_VALUE"""),"Galway, Connacht, Ireland/
Ottawa, Ontario, Canada")</f>
        <v/>
      </c>
      <c r="K3681">
        <f>IFERROR(__xludf.DUMMYFUNCTION("""COMPUTED_VALUE"""),11571.81)</f>
        <v/>
      </c>
    </row>
    <row r="3682">
      <c r="J3682">
        <f>IFERROR(__xludf.DUMMYFUNCTION("""COMPUTED_VALUE"""),"Frankfurt/Main, Germany - Delhi, India - Mumbai (Ex Bombay), India")</f>
        <v/>
      </c>
      <c r="K3682">
        <f>IFERROR(__xludf.DUMMYFUNCTION("""COMPUTED_VALUE"""),11571.15)</f>
        <v/>
      </c>
    </row>
    <row r="3683">
      <c r="J3683">
        <f>IFERROR(__xludf.DUMMYFUNCTION("""COMPUTED_VALUE"""),"Kuwait-France-Paris")</f>
        <v/>
      </c>
      <c r="K3683">
        <f>IFERROR(__xludf.DUMMYFUNCTION("""COMPUTED_VALUE"""),11571.03)</f>
        <v/>
      </c>
    </row>
    <row r="3684">
      <c r="J3684">
        <f>IFERROR(__xludf.DUMMYFUNCTION("""COMPUTED_VALUE"""),"Kiel, Germany and Karlskrona, Sweden")</f>
        <v/>
      </c>
      <c r="K3684">
        <f>IFERROR(__xludf.DUMMYFUNCTION("""COMPUTED_VALUE"""),11568.72)</f>
        <v/>
      </c>
    </row>
    <row r="3685">
      <c r="J3685">
        <f>IFERROR(__xludf.DUMMYFUNCTION("""COMPUTED_VALUE"""),"Norway,Findland,Germany")</f>
        <v/>
      </c>
      <c r="K3685">
        <f>IFERROR(__xludf.DUMMYFUNCTION("""COMPUTED_VALUE"""),11566.38)</f>
        <v/>
      </c>
    </row>
    <row r="3686">
      <c r="J3686">
        <f>IFERROR(__xludf.DUMMYFUNCTION("""COMPUTED_VALUE"""),"Brussels,Belgium")</f>
        <v/>
      </c>
      <c r="K3686">
        <f>IFERROR(__xludf.DUMMYFUNCTION("""COMPUTED_VALUE"""),11565.54)</f>
        <v/>
      </c>
    </row>
    <row r="3687">
      <c r="J3687">
        <f>IFERROR(__xludf.DUMMYFUNCTION("""COMPUTED_VALUE"""),"Hampi")</f>
        <v/>
      </c>
      <c r="K3687">
        <f>IFERROR(__xludf.DUMMYFUNCTION("""COMPUTED_VALUE"""),11561.63)</f>
        <v/>
      </c>
    </row>
    <row r="3688">
      <c r="J3688">
        <f>IFERROR(__xludf.DUMMYFUNCTION("""COMPUTED_VALUE"""),"HALIFAX, NS - CHARLOTTETOWN, PE")</f>
        <v/>
      </c>
      <c r="K3688">
        <f>IFERROR(__xludf.DUMMYFUNCTION("""COMPUTED_VALUE"""),11561.2899999999)</f>
        <v/>
      </c>
    </row>
    <row r="3689">
      <c r="J3689">
        <f>IFERROR(__xludf.DUMMYFUNCTION("""COMPUTED_VALUE"""),"Maputo, Mozambique")</f>
        <v/>
      </c>
      <c r="K3689">
        <f>IFERROR(__xludf.DUMMYFUNCTION("""COMPUTED_VALUE"""),11561.02)</f>
        <v/>
      </c>
    </row>
    <row r="3690">
      <c r="J3690">
        <f>IFERROR(__xludf.DUMMYFUNCTION("""COMPUTED_VALUE"""),"Kinshasa, Democratic Republic of the Congo, Abidjan, Ivory Coast, and Paris, France")</f>
        <v/>
      </c>
      <c r="K3690">
        <f>IFERROR(__xludf.DUMMYFUNCTION("""COMPUTED_VALUE"""),11555.98)</f>
        <v/>
      </c>
    </row>
    <row r="3691">
      <c r="J3691">
        <f>IFERROR(__xludf.DUMMYFUNCTION("""COMPUTED_VALUE"""),"Montreal, Toronto")</f>
        <v/>
      </c>
      <c r="K3691">
        <f>IFERROR(__xludf.DUMMYFUNCTION("""COMPUTED_VALUE"""),11554.06)</f>
        <v/>
      </c>
    </row>
    <row r="3692">
      <c r="J3692">
        <f>IFERROR(__xludf.DUMMYFUNCTION("""COMPUTED_VALUE"""),"Marakesh, Morocco")</f>
        <v/>
      </c>
      <c r="K3692">
        <f>IFERROR(__xludf.DUMMYFUNCTION("""COMPUTED_VALUE"""),11548.69)</f>
        <v/>
      </c>
    </row>
    <row r="3693">
      <c r="J3693">
        <f>IFERROR(__xludf.DUMMYFUNCTION("""COMPUTED_VALUE"""),"St. John's, Newfoundland &amp; Labrador")</f>
        <v/>
      </c>
      <c r="K3693">
        <f>IFERROR(__xludf.DUMMYFUNCTION("""COMPUTED_VALUE"""),11548.64)</f>
        <v/>
      </c>
    </row>
    <row r="3694">
      <c r="J3694">
        <f>IFERROR(__xludf.DUMMYFUNCTION("""COMPUTED_VALUE"""),"Frankfurt;London, UK;Paris")</f>
        <v/>
      </c>
      <c r="K3694">
        <f>IFERROR(__xludf.DUMMYFUNCTION("""COMPUTED_VALUE"""),11541.21)</f>
        <v/>
      </c>
    </row>
    <row r="3695">
      <c r="J3695">
        <f>IFERROR(__xludf.DUMMYFUNCTION("""COMPUTED_VALUE"""),"London, United Kingdom of Great Britian")</f>
        <v/>
      </c>
      <c r="K3695">
        <f>IFERROR(__xludf.DUMMYFUNCTION("""COMPUTED_VALUE"""),11541.17)</f>
        <v/>
      </c>
    </row>
    <row r="3696">
      <c r="J3696">
        <f>IFERROR(__xludf.DUMMYFUNCTION("""COMPUTED_VALUE"""),"Edmonton, Alberta, Canada;
Grande Prairie, Alberta, Canada;
Calgary, Alberta, Canada")</f>
        <v/>
      </c>
      <c r="K3696">
        <f>IFERROR(__xludf.DUMMYFUNCTION("""COMPUTED_VALUE"""),11534.88)</f>
        <v/>
      </c>
    </row>
    <row r="3697">
      <c r="J3697">
        <f>IFERROR(__xludf.DUMMYFUNCTION("""COMPUTED_VALUE"""),"Moscow, Russia.
London, United Kingdom.")</f>
        <v/>
      </c>
      <c r="K3697">
        <f>IFERROR(__xludf.DUMMYFUNCTION("""COMPUTED_VALUE"""),11532.78)</f>
        <v/>
      </c>
    </row>
    <row r="3698">
      <c r="J3698">
        <f>IFERROR(__xludf.DUMMYFUNCTION("""COMPUTED_VALUE"""),"Bogotá, Colombia/ Santiago, Chile")</f>
        <v/>
      </c>
      <c r="K3698">
        <f>IFERROR(__xludf.DUMMYFUNCTION("""COMPUTED_VALUE"""),11531.91)</f>
        <v/>
      </c>
    </row>
    <row r="3699">
      <c r="J3699">
        <f>IFERROR(__xludf.DUMMYFUNCTION("""COMPUTED_VALUE"""),"Calabria, Italy")</f>
        <v/>
      </c>
      <c r="K3699">
        <f>IFERROR(__xludf.DUMMYFUNCTION("""COMPUTED_VALUE"""),11531.34)</f>
        <v/>
      </c>
    </row>
    <row r="3700">
      <c r="J3700">
        <f>IFERROR(__xludf.DUMMYFUNCTION("""COMPUTED_VALUE"""),"Kiev, Ukraine / Warsaw, Krakow Poland")</f>
        <v/>
      </c>
      <c r="K3700">
        <f>IFERROR(__xludf.DUMMYFUNCTION("""COMPUTED_VALUE"""),11530.39)</f>
        <v/>
      </c>
    </row>
    <row r="3701">
      <c r="J3701">
        <f>IFERROR(__xludf.DUMMYFUNCTION("""COMPUTED_VALUE"""),"London, England, Brussels, Belgium, Moscow, Russia, Berlin and Germany")</f>
        <v/>
      </c>
      <c r="K3701">
        <f>IFERROR(__xludf.DUMMYFUNCTION("""COMPUTED_VALUE"""),11530.24)</f>
        <v/>
      </c>
    </row>
    <row r="3702">
      <c r="J3702">
        <f>IFERROR(__xludf.DUMMYFUNCTION("""COMPUTED_VALUE"""),"Armenia")</f>
        <v/>
      </c>
      <c r="K3702">
        <f>IFERROR(__xludf.DUMMYFUNCTION("""COMPUTED_VALUE"""),11527.41)</f>
        <v/>
      </c>
    </row>
    <row r="3703">
      <c r="J3703">
        <f>IFERROR(__xludf.DUMMYFUNCTION("""COMPUTED_VALUE"""),"Toronto, Vancouver")</f>
        <v/>
      </c>
      <c r="K3703">
        <f>IFERROR(__xludf.DUMMYFUNCTION("""COMPUTED_VALUE"""),11526.9)</f>
        <v/>
      </c>
    </row>
    <row r="3704">
      <c r="J3704">
        <f>IFERROR(__xludf.DUMMYFUNCTION("""COMPUTED_VALUE"""),"Ottawa, Ontario, Canada and Iqaluit, Nunavut, Canada")</f>
        <v/>
      </c>
      <c r="K3704">
        <f>IFERROR(__xludf.DUMMYFUNCTION("""COMPUTED_VALUE"""),11525.5)</f>
        <v/>
      </c>
    </row>
    <row r="3705">
      <c r="J3705">
        <f>IFERROR(__xludf.DUMMYFUNCTION("""COMPUTED_VALUE"""),"Seoul, South Korea, East Asia                                     Jeju, South Korea, East Asia")</f>
        <v/>
      </c>
      <c r="K3705">
        <f>IFERROR(__xludf.DUMMYFUNCTION("""COMPUTED_VALUE"""),11525.3)</f>
        <v/>
      </c>
    </row>
    <row r="3706">
      <c r="J3706">
        <f>IFERROR(__xludf.DUMMYFUNCTION("""COMPUTED_VALUE"""),"Granada, Spain")</f>
        <v/>
      </c>
      <c r="K3706">
        <f>IFERROR(__xludf.DUMMYFUNCTION("""COMPUTED_VALUE"""),11523.07)</f>
        <v/>
      </c>
    </row>
    <row r="3707">
      <c r="J3707">
        <f>IFERROR(__xludf.DUMMYFUNCTION("""COMPUTED_VALUE"""),"San Salvador, EL SALVADOR
Tegucigalpa, HONDURAS")</f>
        <v/>
      </c>
      <c r="K3707">
        <f>IFERROR(__xludf.DUMMYFUNCTION("""COMPUTED_VALUE"""),11520.81)</f>
        <v/>
      </c>
    </row>
    <row r="3708">
      <c r="J3708">
        <f>IFERROR(__xludf.DUMMYFUNCTION("""COMPUTED_VALUE"""),"Sweden and Austria")</f>
        <v/>
      </c>
      <c r="K3708">
        <f>IFERROR(__xludf.DUMMYFUNCTION("""COMPUTED_VALUE"""),11517.99)</f>
        <v/>
      </c>
    </row>
    <row r="3709">
      <c r="J3709">
        <f>IFERROR(__xludf.DUMMYFUNCTION("""COMPUTED_VALUE"""),"Stuttgart, Germany and Lviv, Ukraine")</f>
        <v/>
      </c>
      <c r="K3709">
        <f>IFERROR(__xludf.DUMMYFUNCTION("""COMPUTED_VALUE"""),11514.85)</f>
        <v/>
      </c>
    </row>
    <row r="3710">
      <c r="J3710">
        <f>IFERROR(__xludf.DUMMYFUNCTION("""COMPUTED_VALUE"""),"Stuttgart, Germany; Düsseldorf, Germany; Munich, Germany; London, United Kingdom; Calgary, Alberta, Canada; Edmonton, Alberta, Canada")</f>
        <v/>
      </c>
      <c r="K3710">
        <f>IFERROR(__xludf.DUMMYFUNCTION("""COMPUTED_VALUE"""),11513.63)</f>
        <v/>
      </c>
    </row>
    <row r="3711">
      <c r="J3711">
        <f>IFERROR(__xludf.DUMMYFUNCTION("""COMPUTED_VALUE"""),"Israel and Jordan")</f>
        <v/>
      </c>
      <c r="K3711">
        <f>IFERROR(__xludf.DUMMYFUNCTION("""COMPUTED_VALUE"""),11512.18)</f>
        <v/>
      </c>
    </row>
    <row r="3712">
      <c r="J3712">
        <f>IFERROR(__xludf.DUMMYFUNCTION("""COMPUTED_VALUE"""),"Charlevoix, Quebec")</f>
        <v/>
      </c>
      <c r="K3712">
        <f>IFERROR(__xludf.DUMMYFUNCTION("""COMPUTED_VALUE"""),11507.5399999999)</f>
        <v/>
      </c>
    </row>
    <row r="3713">
      <c r="J3713">
        <f>IFERROR(__xludf.DUMMYFUNCTION("""COMPUTED_VALUE"""),"Brussels, Kiev, Lviv")</f>
        <v/>
      </c>
      <c r="K3713">
        <f>IFERROR(__xludf.DUMMYFUNCTION("""COMPUTED_VALUE"""),11507.05)</f>
        <v/>
      </c>
    </row>
    <row r="3714">
      <c r="J3714">
        <f>IFERROR(__xludf.DUMMYFUNCTION("""COMPUTED_VALUE"""),"New Delhi and Dubai")</f>
        <v/>
      </c>
      <c r="K3714">
        <f>IFERROR(__xludf.DUMMYFUNCTION("""COMPUTED_VALUE"""),11501.22)</f>
        <v/>
      </c>
    </row>
    <row r="3715">
      <c r="J3715">
        <f>IFERROR(__xludf.DUMMYFUNCTION("""COMPUTED_VALUE"""),"Soudi Arabia")</f>
        <v/>
      </c>
      <c r="K3715">
        <f>IFERROR(__xludf.DUMMYFUNCTION("""COMPUTED_VALUE"""),11500.53)</f>
        <v/>
      </c>
    </row>
    <row r="3716">
      <c r="J3716">
        <f>IFERROR(__xludf.DUMMYFUNCTION("""COMPUTED_VALUE"""),"Oxfordshire, England, United Kingdom")</f>
        <v/>
      </c>
      <c r="K3716">
        <f>IFERROR(__xludf.DUMMYFUNCTION("""COMPUTED_VALUE"""),11500.4)</f>
        <v/>
      </c>
    </row>
    <row r="3717">
      <c r="J3717">
        <f>IFERROR(__xludf.DUMMYFUNCTION("""COMPUTED_VALUE"""),"Ottawa, Toronto, Ontario, Canada")</f>
        <v/>
      </c>
      <c r="K3717">
        <f>IFERROR(__xludf.DUMMYFUNCTION("""COMPUTED_VALUE"""),11490.85)</f>
        <v/>
      </c>
    </row>
    <row r="3718">
      <c r="J3718">
        <f>IFERROR(__xludf.DUMMYFUNCTION("""COMPUTED_VALUE"""),"Surrey, BC")</f>
        <v/>
      </c>
      <c r="K3718">
        <f>IFERROR(__xludf.DUMMYFUNCTION("""COMPUTED_VALUE"""),11487.4899999999)</f>
        <v/>
      </c>
    </row>
    <row r="3719">
      <c r="J3719">
        <f>IFERROR(__xludf.DUMMYFUNCTION("""COMPUTED_VALUE"""),"South Africa (Pretoria) and Kenya (Nairobi)")</f>
        <v/>
      </c>
      <c r="K3719">
        <f>IFERROR(__xludf.DUMMYFUNCTION("""COMPUTED_VALUE"""),11486.18)</f>
        <v/>
      </c>
    </row>
    <row r="3720">
      <c r="J3720">
        <f>IFERROR(__xludf.DUMMYFUNCTION("""COMPUTED_VALUE"""),"Rio de Janeiro, Brazil; Lima, Peru")</f>
        <v/>
      </c>
      <c r="K3720">
        <f>IFERROR(__xludf.DUMMYFUNCTION("""COMPUTED_VALUE"""),11477.65)</f>
        <v/>
      </c>
    </row>
    <row r="3721">
      <c r="J3721">
        <f>IFERROR(__xludf.DUMMYFUNCTION("""COMPUTED_VALUE"""),"UAE and Armenia")</f>
        <v/>
      </c>
      <c r="K3721">
        <f>IFERROR(__xludf.DUMMYFUNCTION("""COMPUTED_VALUE"""),11476.48)</f>
        <v/>
      </c>
    </row>
    <row r="3722">
      <c r="J3722">
        <f>IFERROR(__xludf.DUMMYFUNCTION("""COMPUTED_VALUE"""),"Punta Cana, Dominican Republic")</f>
        <v/>
      </c>
      <c r="K3722">
        <f>IFERROR(__xludf.DUMMYFUNCTION("""COMPUTED_VALUE"""),11471.84)</f>
        <v/>
      </c>
    </row>
    <row r="3723">
      <c r="J3723">
        <f>IFERROR(__xludf.DUMMYFUNCTION("""COMPUTED_VALUE"""),"Seoul, (South Korea)")</f>
        <v/>
      </c>
      <c r="K3723">
        <f>IFERROR(__xludf.DUMMYFUNCTION("""COMPUTED_VALUE"""),11471.57)</f>
        <v/>
      </c>
    </row>
    <row r="3724">
      <c r="J3724">
        <f>IFERROR(__xludf.DUMMYFUNCTION("""COMPUTED_VALUE"""),"Brussels, Belgium ; Vancouver, British Columbia ; Edmonton, Alberta")</f>
        <v/>
      </c>
      <c r="K3724">
        <f>IFERROR(__xludf.DUMMYFUNCTION("""COMPUTED_VALUE"""),11471.25)</f>
        <v/>
      </c>
    </row>
    <row r="3725">
      <c r="J3725">
        <f>IFERROR(__xludf.DUMMYFUNCTION("""COMPUTED_VALUE"""),"New Delhi and Mumbai India")</f>
        <v/>
      </c>
      <c r="K3725">
        <f>IFERROR(__xludf.DUMMYFUNCTION("""COMPUTED_VALUE"""),11471.13)</f>
        <v/>
      </c>
    </row>
    <row r="3726">
      <c r="J3726">
        <f>IFERROR(__xludf.DUMMYFUNCTION("""COMPUTED_VALUE"""),"Capetown and Johannesburg, South Africa")</f>
        <v/>
      </c>
      <c r="K3726">
        <f>IFERROR(__xludf.DUMMYFUNCTION("""COMPUTED_VALUE"""),11470.26)</f>
        <v/>
      </c>
    </row>
    <row r="3727">
      <c r="J3727">
        <f>IFERROR(__xludf.DUMMYFUNCTION("""COMPUTED_VALUE"""),"Prince-George")</f>
        <v/>
      </c>
      <c r="K3727">
        <f>IFERROR(__xludf.DUMMYFUNCTION("""COMPUTED_VALUE"""),11469.66)</f>
        <v/>
      </c>
    </row>
    <row r="3728">
      <c r="J3728">
        <f>IFERROR(__xludf.DUMMYFUNCTION("""COMPUTED_VALUE"""),"Attawapiskat, Ontario, Canada; Cat Lake, Ontario, Canada")</f>
        <v/>
      </c>
      <c r="K3728">
        <f>IFERROR(__xludf.DUMMYFUNCTION("""COMPUTED_VALUE"""),11465.4399999999)</f>
        <v/>
      </c>
    </row>
    <row r="3729">
      <c r="J3729">
        <f>IFERROR(__xludf.DUMMYFUNCTION("""COMPUTED_VALUE"""),"Vancouver, British Columbia, Canada; Nanaimo, British Columbia, Canada; Whitehorse, Yukon, Canada")</f>
        <v/>
      </c>
      <c r="K3729">
        <f>IFERROR(__xludf.DUMMYFUNCTION("""COMPUTED_VALUE"""),11462.05)</f>
        <v/>
      </c>
    </row>
    <row r="3730">
      <c r="J3730">
        <f>IFERROR(__xludf.DUMMYFUNCTION("""COMPUTED_VALUE"""),"Cyprus and Israel")</f>
        <v/>
      </c>
      <c r="K3730">
        <f>IFERROR(__xludf.DUMMYFUNCTION("""COMPUTED_VALUE"""),11461.89)</f>
        <v/>
      </c>
    </row>
    <row r="3731">
      <c r="J3731">
        <f>IFERROR(__xludf.DUMMYFUNCTION("""COMPUTED_VALUE"""),"Bangkok, Thailand; Yogyakarta, Indonesia; Hanoi &amp; Ho Chi Minh City, Vietnam")</f>
        <v/>
      </c>
      <c r="K3731">
        <f>IFERROR(__xludf.DUMMYFUNCTION("""COMPUTED_VALUE"""),11458.46)</f>
        <v/>
      </c>
    </row>
    <row r="3732">
      <c r="J3732">
        <f>IFERROR(__xludf.DUMMYFUNCTION("""COMPUTED_VALUE"""),"Kingston, Jamaica, Barbados, Saint Lucia, Grenada, New York")</f>
        <v/>
      </c>
      <c r="K3732">
        <f>IFERROR(__xludf.DUMMYFUNCTION("""COMPUTED_VALUE"""),11458.29)</f>
        <v/>
      </c>
    </row>
    <row r="3733">
      <c r="J3733">
        <f>IFERROR(__xludf.DUMMYFUNCTION("""COMPUTED_VALUE"""),"FRANCE AND ENGLAND")</f>
        <v/>
      </c>
      <c r="K3733">
        <f>IFERROR(__xludf.DUMMYFUNCTION("""COMPUTED_VALUE"""),11454.5)</f>
        <v/>
      </c>
    </row>
    <row r="3734">
      <c r="J3734">
        <f>IFERROR(__xludf.DUMMYFUNCTION("""COMPUTED_VALUE"""),"Kenya, Iraq")</f>
        <v/>
      </c>
      <c r="K3734">
        <f>IFERROR(__xludf.DUMMYFUNCTION("""COMPUTED_VALUE"""),11453.98)</f>
        <v/>
      </c>
    </row>
    <row r="3735">
      <c r="J3735">
        <f>IFERROR(__xludf.DUMMYFUNCTION("""COMPUTED_VALUE"""),"Vancouver and Victoria, British Colombia, Canada")</f>
        <v/>
      </c>
      <c r="K3735">
        <f>IFERROR(__xludf.DUMMYFUNCTION("""COMPUTED_VALUE"""),11453.97)</f>
        <v/>
      </c>
    </row>
    <row r="3736">
      <c r="J3736">
        <f>IFERROR(__xludf.DUMMYFUNCTION("""COMPUTED_VALUE"""),"Vancouver, BC, Hong Kong, Hong Kong, Bangkok, Thailand")</f>
        <v/>
      </c>
      <c r="K3736">
        <f>IFERROR(__xludf.DUMMYFUNCTION("""COMPUTED_VALUE"""),11448.9)</f>
        <v/>
      </c>
    </row>
    <row r="3737">
      <c r="J3737">
        <f>IFERROR(__xludf.DUMMYFUNCTION("""COMPUTED_VALUE"""),"Krakow, Poland / London, England")</f>
        <v/>
      </c>
      <c r="K3737">
        <f>IFERROR(__xludf.DUMMYFUNCTION("""COMPUTED_VALUE"""),11445.11)</f>
        <v/>
      </c>
    </row>
    <row r="3738">
      <c r="J3738">
        <f>IFERROR(__xludf.DUMMYFUNCTION("""COMPUTED_VALUE"""),"St John's, Newfoundland")</f>
        <v/>
      </c>
      <c r="K3738">
        <f>IFERROR(__xludf.DUMMYFUNCTION("""COMPUTED_VALUE"""),11444.2799999999)</f>
        <v/>
      </c>
    </row>
    <row r="3739">
      <c r="J3739">
        <f>IFERROR(__xludf.DUMMYFUNCTION("""COMPUTED_VALUE"""),"Bagotville, QC")</f>
        <v/>
      </c>
      <c r="K3739">
        <f>IFERROR(__xludf.DUMMYFUNCTION("""COMPUTED_VALUE"""),11442.25)</f>
        <v/>
      </c>
    </row>
    <row r="3740">
      <c r="J3740">
        <f>IFERROR(__xludf.DUMMYFUNCTION("""COMPUTED_VALUE"""),"Washington, D.C. USA and Germany")</f>
        <v/>
      </c>
      <c r="K3740">
        <f>IFERROR(__xludf.DUMMYFUNCTION("""COMPUTED_VALUE"""),11436.77)</f>
        <v/>
      </c>
    </row>
    <row r="3741">
      <c r="J3741">
        <f>IFERROR(__xludf.DUMMYFUNCTION("""COMPUTED_VALUE"""),"Brussels, Belgium; Stuttgart, Germany.")</f>
        <v/>
      </c>
      <c r="K3741">
        <f>IFERROR(__xludf.DUMMYFUNCTION("""COMPUTED_VALUE"""),11436.67)</f>
        <v/>
      </c>
    </row>
    <row r="3742">
      <c r="J3742">
        <f>IFERROR(__xludf.DUMMYFUNCTION("""COMPUTED_VALUE"""),"Moscow, Brussels")</f>
        <v/>
      </c>
      <c r="K3742">
        <f>IFERROR(__xludf.DUMMYFUNCTION("""COMPUTED_VALUE"""),11434.8)</f>
        <v/>
      </c>
    </row>
    <row r="3743">
      <c r="J3743">
        <f>IFERROR(__xludf.DUMMYFUNCTION("""COMPUTED_VALUE"""),"Halifax, Montreal, Ottawa and Toronto")</f>
        <v/>
      </c>
      <c r="K3743">
        <f>IFERROR(__xludf.DUMMYFUNCTION("""COMPUTED_VALUE"""),11431.96)</f>
        <v/>
      </c>
    </row>
    <row r="3744">
      <c r="J3744">
        <f>IFERROR(__xludf.DUMMYFUNCTION("""COMPUTED_VALUE"""),"Ottawa, Vancouver, Portland, Washington, Sao Paulo, Mexico City")</f>
        <v/>
      </c>
      <c r="K3744">
        <f>IFERROR(__xludf.DUMMYFUNCTION("""COMPUTED_VALUE"""),11422.76)</f>
        <v/>
      </c>
    </row>
    <row r="3745">
      <c r="J3745">
        <f>IFERROR(__xludf.DUMMYFUNCTION("""COMPUTED_VALUE"""),"Montreal, Quebec, Halifax, Ottawa")</f>
        <v/>
      </c>
      <c r="K3745">
        <f>IFERROR(__xludf.DUMMYFUNCTION("""COMPUTED_VALUE"""),11422.47)</f>
        <v/>
      </c>
    </row>
    <row r="3746">
      <c r="J3746">
        <f>IFERROR(__xludf.DUMMYFUNCTION("""COMPUTED_VALUE"""),"Brussels, Moscow, and Berlin")</f>
        <v/>
      </c>
      <c r="K3746">
        <f>IFERROR(__xludf.DUMMYFUNCTION("""COMPUTED_VALUE"""),11419.82)</f>
        <v/>
      </c>
    </row>
    <row r="3747">
      <c r="J3747">
        <f>IFERROR(__xludf.DUMMYFUNCTION("""COMPUTED_VALUE"""),"Caen France and London UK")</f>
        <v/>
      </c>
      <c r="K3747">
        <f>IFERROR(__xludf.DUMMYFUNCTION("""COMPUTED_VALUE"""),11417.5)</f>
        <v/>
      </c>
    </row>
    <row r="3748">
      <c r="J3748">
        <f>IFERROR(__xludf.DUMMYFUNCTION("""COMPUTED_VALUE"""),"Seoul, South Korea; Tokyo, Japan")</f>
        <v/>
      </c>
      <c r="K3748">
        <f>IFERROR(__xludf.DUMMYFUNCTION("""COMPUTED_VALUE"""),11416.36)</f>
        <v/>
      </c>
    </row>
    <row r="3749">
      <c r="J3749">
        <f>IFERROR(__xludf.DUMMYFUNCTION("""COMPUTED_VALUE"""),"Toronto, Ontario, Canada; Regina, Saskatchewan, Canada")</f>
        <v/>
      </c>
      <c r="K3749">
        <f>IFERROR(__xludf.DUMMYFUNCTION("""COMPUTED_VALUE"""),11414.44)</f>
        <v/>
      </c>
    </row>
    <row r="3750">
      <c r="J3750">
        <f>IFERROR(__xludf.DUMMYFUNCTION("""COMPUTED_VALUE"""),"Beijing, Tokyo, Seoul")</f>
        <v/>
      </c>
      <c r="K3750">
        <f>IFERROR(__xludf.DUMMYFUNCTION("""COMPUTED_VALUE"""),11408.76)</f>
        <v/>
      </c>
    </row>
    <row r="3751">
      <c r="J3751">
        <f>IFERROR(__xludf.DUMMYFUNCTION("""COMPUTED_VALUE"""),"Stuttgart and Landstuhl, Germany")</f>
        <v/>
      </c>
      <c r="K3751">
        <f>IFERROR(__xludf.DUMMYFUNCTION("""COMPUTED_VALUE"""),11408.45)</f>
        <v/>
      </c>
    </row>
    <row r="3752">
      <c r="J3752">
        <f>IFERROR(__xludf.DUMMYFUNCTION("""COMPUTED_VALUE"""),"Halifax, Nova Scotia / St. John's, Newfoundland and Labrador, Canada")</f>
        <v/>
      </c>
      <c r="K3752">
        <f>IFERROR(__xludf.DUMMYFUNCTION("""COMPUTED_VALUE"""),11408.33)</f>
        <v/>
      </c>
    </row>
    <row r="3753">
      <c r="J3753">
        <f>IFERROR(__xludf.DUMMYFUNCTION("""COMPUTED_VALUE"""),"Japan, Philipines, ROK")</f>
        <v/>
      </c>
      <c r="K3753">
        <f>IFERROR(__xludf.DUMMYFUNCTION("""COMPUTED_VALUE"""),11407.95)</f>
        <v/>
      </c>
    </row>
    <row r="3754">
      <c r="J3754">
        <f>IFERROR(__xludf.DUMMYFUNCTION("""COMPUTED_VALUE"""),"Amsterdam - Netherlands                The Hague - Netherlands")</f>
        <v/>
      </c>
      <c r="K3754">
        <f>IFERROR(__xludf.DUMMYFUNCTION("""COMPUTED_VALUE"""),11406.63)</f>
        <v/>
      </c>
    </row>
    <row r="3755">
      <c r="J3755">
        <f>IFERROR(__xludf.DUMMYFUNCTION("""COMPUTED_VALUE"""),"Cape Town, South Africa/ Pretoria, South Africa")</f>
        <v/>
      </c>
      <c r="K3755">
        <f>IFERROR(__xludf.DUMMYFUNCTION("""COMPUTED_VALUE"""),11399.75)</f>
        <v/>
      </c>
    </row>
    <row r="3756">
      <c r="J3756">
        <f>IFERROR(__xludf.DUMMYFUNCTION("""COMPUTED_VALUE"""),"Santa Barbara, California, United States")</f>
        <v/>
      </c>
      <c r="K3756">
        <f>IFERROR(__xludf.DUMMYFUNCTION("""COMPUTED_VALUE"""),11395.75)</f>
        <v/>
      </c>
    </row>
    <row r="3757">
      <c r="J3757">
        <f>IFERROR(__xludf.DUMMYFUNCTION("""COMPUTED_VALUE"""),"Nairobi-Pretoria
Kenya, South Africa and Mozambique")</f>
        <v/>
      </c>
      <c r="K3757">
        <f>IFERROR(__xludf.DUMMYFUNCTION("""COMPUTED_VALUE"""),11388.28)</f>
        <v/>
      </c>
    </row>
    <row r="3758">
      <c r="J3758">
        <f>IFERROR(__xludf.DUMMYFUNCTION("""COMPUTED_VALUE"""),"Moscow, Tel Aviv")</f>
        <v/>
      </c>
      <c r="K3758">
        <f>IFERROR(__xludf.DUMMYFUNCTION("""COMPUTED_VALUE"""),11384.26)</f>
        <v/>
      </c>
    </row>
    <row r="3759">
      <c r="J3759">
        <f>IFERROR(__xludf.DUMMYFUNCTION("""COMPUTED_VALUE"""),"Salt Lake City, Utah")</f>
        <v/>
      </c>
      <c r="K3759">
        <f>IFERROR(__xludf.DUMMYFUNCTION("""COMPUTED_VALUE"""),11381.8699999999)</f>
        <v/>
      </c>
    </row>
    <row r="3760">
      <c r="J3760">
        <f>IFERROR(__xludf.DUMMYFUNCTION("""COMPUTED_VALUE"""),"Ottawa, ON and Halifax, NS")</f>
        <v/>
      </c>
      <c r="K3760">
        <f>IFERROR(__xludf.DUMMYFUNCTION("""COMPUTED_VALUE"""),11380.8699999999)</f>
        <v/>
      </c>
    </row>
    <row r="3761">
      <c r="J3761">
        <f>IFERROR(__xludf.DUMMYFUNCTION("""COMPUTED_VALUE"""),"Malta")</f>
        <v/>
      </c>
      <c r="K3761">
        <f>IFERROR(__xludf.DUMMYFUNCTION("""COMPUTED_VALUE"""),11380.49)</f>
        <v/>
      </c>
    </row>
    <row r="3762">
      <c r="J3762">
        <f>IFERROR(__xludf.DUMMYFUNCTION("""COMPUTED_VALUE"""),"Bratislava (Slovakia), Prague (Czechia), Warsaw (Poland), Latvia, Italy, Weisbaden (Germany), Madrid (Spain)")</f>
        <v/>
      </c>
      <c r="K3762">
        <f>IFERROR(__xludf.DUMMYFUNCTION("""COMPUTED_VALUE"""),11378.8)</f>
        <v/>
      </c>
    </row>
    <row r="3763">
      <c r="J3763">
        <f>IFERROR(__xludf.DUMMYFUNCTION("""COMPUTED_VALUE"""),"Barrow, Alaska, United States")</f>
        <v/>
      </c>
      <c r="K3763">
        <f>IFERROR(__xludf.DUMMYFUNCTION("""COMPUTED_VALUE"""),11377.2)</f>
        <v/>
      </c>
    </row>
    <row r="3764">
      <c r="J3764">
        <f>IFERROR(__xludf.DUMMYFUNCTION("""COMPUTED_VALUE"""),"Peterborough, Ontario")</f>
        <v/>
      </c>
      <c r="K3764">
        <f>IFERROR(__xludf.DUMMYFUNCTION("""COMPUTED_VALUE"""),11376.55)</f>
        <v/>
      </c>
    </row>
    <row r="3765">
      <c r="J3765">
        <f>IFERROR(__xludf.DUMMYFUNCTION("""COMPUTED_VALUE"""),"Tokyo Marita, Oaska Itami, Japan")</f>
        <v/>
      </c>
      <c r="K3765">
        <f>IFERROR(__xludf.DUMMYFUNCTION("""COMPUTED_VALUE"""),11376.37)</f>
        <v/>
      </c>
    </row>
    <row r="3766">
      <c r="J3766">
        <f>IFERROR(__xludf.DUMMYFUNCTION("""COMPUTED_VALUE"""),"Belgium, Luxembourg, Spain, Portugal, Washington.")</f>
        <v/>
      </c>
      <c r="K3766">
        <f>IFERROR(__xludf.DUMMYFUNCTION("""COMPUTED_VALUE"""),11373.14)</f>
        <v/>
      </c>
    </row>
    <row r="3767">
      <c r="J3767">
        <f>IFERROR(__xludf.DUMMYFUNCTION("""COMPUTED_VALUE"""),"Stockholm, Sweden;#33")</f>
        <v/>
      </c>
      <c r="K3767">
        <f>IFERROR(__xludf.DUMMYFUNCTION("""COMPUTED_VALUE"""),11370.83)</f>
        <v/>
      </c>
    </row>
    <row r="3768">
      <c r="J3768">
        <f>IFERROR(__xludf.DUMMYFUNCTION("""COMPUTED_VALUE"""),"Yukon, Northwest Territories, Canada")</f>
        <v/>
      </c>
      <c r="K3768">
        <f>IFERROR(__xludf.DUMMYFUNCTION("""COMPUTED_VALUE"""),11367.56)</f>
        <v/>
      </c>
    </row>
    <row r="3769">
      <c r="J3769">
        <f>IFERROR(__xludf.DUMMYFUNCTION("""COMPUTED_VALUE"""),"Canberra (Australie)")</f>
        <v/>
      </c>
      <c r="K3769">
        <f>IFERROR(__xludf.DUMMYFUNCTION("""COMPUTED_VALUE"""),11365.37)</f>
        <v/>
      </c>
    </row>
    <row r="3770">
      <c r="J3770">
        <f>IFERROR(__xludf.DUMMYFUNCTION("""COMPUTED_VALUE"""),"Calgary/Edmonton")</f>
        <v/>
      </c>
      <c r="K3770">
        <f>IFERROR(__xludf.DUMMYFUNCTION("""COMPUTED_VALUE"""),11363.94)</f>
        <v/>
      </c>
    </row>
    <row r="3771">
      <c r="J3771">
        <f>IFERROR(__xludf.DUMMYFUNCTION("""COMPUTED_VALUE"""),"Tel Aviv, Israel; Amman, Jordan; Kuwait City;  Frankfurt, Germany;  London, England")</f>
        <v/>
      </c>
      <c r="K3771">
        <f>IFERROR(__xludf.DUMMYFUNCTION("""COMPUTED_VALUE"""),11363.7)</f>
        <v/>
      </c>
    </row>
    <row r="3772">
      <c r="J3772">
        <f>IFERROR(__xludf.DUMMYFUNCTION("""COMPUTED_VALUE"""),"Brussels, Region of Belgium and London, the United Kingdom")</f>
        <v/>
      </c>
      <c r="K3772">
        <f>IFERROR(__xludf.DUMMYFUNCTION("""COMPUTED_VALUE"""),11361.68)</f>
        <v/>
      </c>
    </row>
    <row r="3773">
      <c r="J3773">
        <f>IFERROR(__xludf.DUMMYFUNCTION("""COMPUTED_VALUE"""),"Tokyo, Japan / Kutchan, Japan")</f>
        <v/>
      </c>
      <c r="K3773">
        <f>IFERROR(__xludf.DUMMYFUNCTION("""COMPUTED_VALUE"""),11361.42)</f>
        <v/>
      </c>
    </row>
    <row r="3774">
      <c r="J3774">
        <f>IFERROR(__xludf.DUMMYFUNCTION("""COMPUTED_VALUE"""),"Lilongwe, Malawi and Maputo, Mozambique")</f>
        <v/>
      </c>
      <c r="K3774">
        <f>IFERROR(__xludf.DUMMYFUNCTION("""COMPUTED_VALUE"""),11356.01)</f>
        <v/>
      </c>
    </row>
    <row r="3775">
      <c r="J3775">
        <f>IFERROR(__xludf.DUMMYFUNCTION("""COMPUTED_VALUE"""),"Sapporo and Tokyo, Japan")</f>
        <v/>
      </c>
      <c r="K3775">
        <f>IFERROR(__xludf.DUMMYFUNCTION("""COMPUTED_VALUE"""),11355.79)</f>
        <v/>
      </c>
    </row>
    <row r="3776">
      <c r="J3776">
        <f>IFERROR(__xludf.DUMMYFUNCTION("""COMPUTED_VALUE"""),"Brampton, Ontario")</f>
        <v/>
      </c>
      <c r="K3776">
        <f>IFERROR(__xludf.DUMMYFUNCTION("""COMPUTED_VALUE"""),11353.71)</f>
        <v/>
      </c>
    </row>
    <row r="3777">
      <c r="J3777">
        <f>IFERROR(__xludf.DUMMYFUNCTION("""COMPUTED_VALUE"""),"Lubeck, Germany")</f>
        <v/>
      </c>
      <c r="K3777">
        <f>IFERROR(__xludf.DUMMYFUNCTION("""COMPUTED_VALUE"""),11350.1)</f>
        <v/>
      </c>
    </row>
    <row r="3778">
      <c r="J3778">
        <f>IFERROR(__xludf.DUMMYFUNCTION("""COMPUTED_VALUE"""),"Québec / Matane / Gaspé / Blanc Sablon / Havre St Pierre")</f>
        <v/>
      </c>
      <c r="K3778">
        <f>IFERROR(__xludf.DUMMYFUNCTION("""COMPUTED_VALUE"""),11342)</f>
        <v/>
      </c>
    </row>
    <row r="3779">
      <c r="J3779">
        <f>IFERROR(__xludf.DUMMYFUNCTION("""COMPUTED_VALUE"""),"Honolulu (Hawaii) USA")</f>
        <v/>
      </c>
      <c r="K3779">
        <f>IFERROR(__xludf.DUMMYFUNCTION("""COMPUTED_VALUE"""),11339.43)</f>
        <v/>
      </c>
    </row>
    <row r="3780">
      <c r="J3780">
        <f>IFERROR(__xludf.DUMMYFUNCTION("""COMPUTED_VALUE"""),"Prince Albert, Saskatchewan")</f>
        <v/>
      </c>
      <c r="K3780">
        <f>IFERROR(__xludf.DUMMYFUNCTION("""COMPUTED_VALUE"""),11338.71)</f>
        <v/>
      </c>
    </row>
    <row r="3781">
      <c r="J3781">
        <f>IFERROR(__xludf.DUMMYFUNCTION("""COMPUTED_VALUE"""),"Beijing, Macau, Shanghai")</f>
        <v/>
      </c>
      <c r="K3781">
        <f>IFERROR(__xludf.DUMMYFUNCTION("""COMPUTED_VALUE"""),11337.25)</f>
        <v/>
      </c>
    </row>
    <row r="3782">
      <c r="J3782">
        <f>IFERROR(__xludf.DUMMYFUNCTION("""COMPUTED_VALUE"""),"Finland")</f>
        <v/>
      </c>
      <c r="K3782">
        <f>IFERROR(__xludf.DUMMYFUNCTION("""COMPUTED_VALUE"""),11336.31)</f>
        <v/>
      </c>
    </row>
    <row r="3783">
      <c r="J3783">
        <f>IFERROR(__xludf.DUMMYFUNCTION("""COMPUTED_VALUE"""),"St. John's, Newfoundland and Labrador, Canada; Moncton, New Brunswick, Canada")</f>
        <v/>
      </c>
      <c r="K3783">
        <f>IFERROR(__xludf.DUMMYFUNCTION("""COMPUTED_VALUE"""),11334.39)</f>
        <v/>
      </c>
    </row>
    <row r="3784">
      <c r="J3784">
        <f>IFERROR(__xludf.DUMMYFUNCTION("""COMPUTED_VALUE"""),"Geneva, Switzerland Vancouver, Canada")</f>
        <v/>
      </c>
      <c r="K3784">
        <f>IFERROR(__xludf.DUMMYFUNCTION("""COMPUTED_VALUE"""),11331.98)</f>
        <v/>
      </c>
    </row>
    <row r="3785">
      <c r="J3785">
        <f>IFERROR(__xludf.DUMMYFUNCTION("""COMPUTED_VALUE"""),"Parma, Italy")</f>
        <v/>
      </c>
      <c r="K3785">
        <f>IFERROR(__xludf.DUMMYFUNCTION("""COMPUTED_VALUE"""),11331.17)</f>
        <v/>
      </c>
    </row>
    <row r="3786">
      <c r="J3786">
        <f>IFERROR(__xludf.DUMMYFUNCTION("""COMPUTED_VALUE"""),"London, UK and Hamburg, Germany")</f>
        <v/>
      </c>
      <c r="K3786">
        <f>IFERROR(__xludf.DUMMYFUNCTION("""COMPUTED_VALUE"""),11330.61)</f>
        <v/>
      </c>
    </row>
    <row r="3787">
      <c r="J3787">
        <f>IFERROR(__xludf.DUMMYFUNCTION("""COMPUTED_VALUE"""),"Athens (Greece), Vienna (Austria), Brussels (Belgium) and Vilnius (Lithuania)")</f>
        <v/>
      </c>
      <c r="K3787">
        <f>IFERROR(__xludf.DUMMYFUNCTION("""COMPUTED_VALUE"""),11330.33)</f>
        <v/>
      </c>
    </row>
    <row r="3788">
      <c r="J3788">
        <f>IFERROR(__xludf.DUMMYFUNCTION("""COMPUTED_VALUE"""),"Washington and Honduras")</f>
        <v/>
      </c>
      <c r="K3788">
        <f>IFERROR(__xludf.DUMMYFUNCTION("""COMPUTED_VALUE"""),11330.01)</f>
        <v/>
      </c>
    </row>
    <row r="3789">
      <c r="J3789">
        <f>IFERROR(__xludf.DUMMYFUNCTION("""COMPUTED_VALUE"""),"Canberra,Australia")</f>
        <v/>
      </c>
      <c r="K3789">
        <f>IFERROR(__xludf.DUMMYFUNCTION("""COMPUTED_VALUE"""),11325.54)</f>
        <v/>
      </c>
    </row>
    <row r="3790">
      <c r="J3790">
        <f>IFERROR(__xludf.DUMMYFUNCTION("""COMPUTED_VALUE"""),"Ghana and Burkina Faso")</f>
        <v/>
      </c>
      <c r="K3790">
        <f>IFERROR(__xludf.DUMMYFUNCTION("""COMPUTED_VALUE"""),11325.11)</f>
        <v/>
      </c>
    </row>
    <row r="3791">
      <c r="J3791">
        <f>IFERROR(__xludf.DUMMYFUNCTION("""COMPUTED_VALUE"""),"Ramstien, Germany")</f>
        <v/>
      </c>
      <c r="K3791">
        <f>IFERROR(__xludf.DUMMYFUNCTION("""COMPUTED_VALUE"""),11323.47)</f>
        <v/>
      </c>
    </row>
    <row r="3792">
      <c r="J3792">
        <f>IFERROR(__xludf.DUMMYFUNCTION("""COMPUTED_VALUE"""),"Edmonton, Alberta, Canada; Fort McMurray, Alberta, Canada; Yellowknife, Northwest Territories, Canada; Fort Simpson, Northwest Territories, Canada; Fort Liard, Northwest Territories, Canada; Norman Wells, Northwest Territories, Canada")</f>
        <v/>
      </c>
      <c r="K3792">
        <f>IFERROR(__xludf.DUMMYFUNCTION("""COMPUTED_VALUE"""),11321.49)</f>
        <v/>
      </c>
    </row>
    <row r="3793">
      <c r="J3793">
        <f>IFERROR(__xludf.DUMMYFUNCTION("""COMPUTED_VALUE"""),"Matsuyama, Japan / Singapore")</f>
        <v/>
      </c>
      <c r="K3793">
        <f>IFERROR(__xludf.DUMMYFUNCTION("""COMPUTED_VALUE"""),11317.93)</f>
        <v/>
      </c>
    </row>
    <row r="3794">
      <c r="J3794">
        <f>IFERROR(__xludf.DUMMYFUNCTION("""COMPUTED_VALUE"""),"Moldova, Poland and Ukraine")</f>
        <v/>
      </c>
      <c r="K3794">
        <f>IFERROR(__xludf.DUMMYFUNCTION("""COMPUTED_VALUE"""),11316.04)</f>
        <v/>
      </c>
    </row>
    <row r="3795">
      <c r="J3795">
        <f>IFERROR(__xludf.DUMMYFUNCTION("""COMPUTED_VALUE"""),"Oslo and London")</f>
        <v/>
      </c>
      <c r="K3795">
        <f>IFERROR(__xludf.DUMMYFUNCTION("""COMPUTED_VALUE"""),11314.86)</f>
        <v/>
      </c>
    </row>
    <row r="3796">
      <c r="J3796">
        <f>IFERROR(__xludf.DUMMYFUNCTION("""COMPUTED_VALUE"""),"Helsinki, Finland and London, UK")</f>
        <v/>
      </c>
      <c r="K3796">
        <f>IFERROR(__xludf.DUMMYFUNCTION("""COMPUTED_VALUE"""),11311.99)</f>
        <v/>
      </c>
    </row>
    <row r="3797">
      <c r="J3797">
        <f>IFERROR(__xludf.DUMMYFUNCTION("""COMPUTED_VALUE"""),"Italy - Rome")</f>
        <v/>
      </c>
      <c r="K3797">
        <f>IFERROR(__xludf.DUMMYFUNCTION("""COMPUTED_VALUE"""),11307.1)</f>
        <v/>
      </c>
    </row>
    <row r="3798">
      <c r="J3798">
        <f>IFERROR(__xludf.DUMMYFUNCTION("""COMPUTED_VALUE"""),"Canberra, AUSTRALIA")</f>
        <v/>
      </c>
      <c r="K3798">
        <f>IFERROR(__xludf.DUMMYFUNCTION("""COMPUTED_VALUE"""),11303.14)</f>
        <v/>
      </c>
    </row>
    <row r="3799">
      <c r="J3799">
        <f>IFERROR(__xludf.DUMMYFUNCTION("""COMPUTED_VALUE"""),"Brussels, Paris")</f>
        <v/>
      </c>
      <c r="K3799">
        <f>IFERROR(__xludf.DUMMYFUNCTION("""COMPUTED_VALUE"""),11300.43)</f>
        <v/>
      </c>
    </row>
    <row r="3800">
      <c r="J3800">
        <f>IFERROR(__xludf.DUMMYFUNCTION("""COMPUTED_VALUE"""),"Alberta and BC, Canada")</f>
        <v/>
      </c>
      <c r="K3800">
        <f>IFERROR(__xludf.DUMMYFUNCTION("""COMPUTED_VALUE"""),11299.47)</f>
        <v/>
      </c>
    </row>
    <row r="3801">
      <c r="J3801">
        <f>IFERROR(__xludf.DUMMYFUNCTION("""COMPUTED_VALUE"""),"Saint John, New Brunswick, Canada; St. John's, Newfoundland and Labrador, Canada")</f>
        <v/>
      </c>
      <c r="K3801">
        <f>IFERROR(__xludf.DUMMYFUNCTION("""COMPUTED_VALUE"""),11298.84)</f>
        <v/>
      </c>
    </row>
    <row r="3802">
      <c r="J3802">
        <f>IFERROR(__xludf.DUMMYFUNCTION("""COMPUTED_VALUE"""),"Ottawa (Ontario) Canada, Toronto (Ontario) Canada, London United Kingdom, Copenhagen Denmark, Frankfurt Germany, Montreal (Quebec) Canada")</f>
        <v/>
      </c>
      <c r="K3802">
        <f>IFERROR(__xludf.DUMMYFUNCTION("""COMPUTED_VALUE"""),11295.96)</f>
        <v/>
      </c>
    </row>
    <row r="3803">
      <c r="J3803">
        <f>IFERROR(__xludf.DUMMYFUNCTION("""COMPUTED_VALUE"""),"Cuba, Argentina and Peru")</f>
        <v/>
      </c>
      <c r="K3803">
        <f>IFERROR(__xludf.DUMMYFUNCTION("""COMPUTED_VALUE"""),11290.52)</f>
        <v/>
      </c>
    </row>
    <row r="3804">
      <c r="J3804">
        <f>IFERROR(__xludf.DUMMYFUNCTION("""COMPUTED_VALUE"""),"Amman Jordan, Tel Aviv Israel")</f>
        <v/>
      </c>
      <c r="K3804">
        <f>IFERROR(__xludf.DUMMYFUNCTION("""COMPUTED_VALUE"""),11286.85)</f>
        <v/>
      </c>
    </row>
    <row r="3805">
      <c r="J3805">
        <f>IFERROR(__xludf.DUMMYFUNCTION("""COMPUTED_VALUE"""),"Sechelt, Richmond, Burnaby, Nanaimo, British Columbia, Canada")</f>
        <v/>
      </c>
      <c r="K3805">
        <f>IFERROR(__xludf.DUMMYFUNCTION("""COMPUTED_VALUE"""),11286.31)</f>
        <v/>
      </c>
    </row>
    <row r="3806">
      <c r="J3806">
        <f>IFERROR(__xludf.DUMMYFUNCTION("""COMPUTED_VALUE"""),"Costa Rica and Panama")</f>
        <v/>
      </c>
      <c r="K3806">
        <f>IFERROR(__xludf.DUMMYFUNCTION("""COMPUTED_VALUE"""),11285.94)</f>
        <v/>
      </c>
    </row>
    <row r="3807">
      <c r="J3807">
        <f>IFERROR(__xludf.DUMMYFUNCTION("""COMPUTED_VALUE"""),"Trois Rivieres, QC, Canada")</f>
        <v/>
      </c>
      <c r="K3807">
        <f>IFERROR(__xludf.DUMMYFUNCTION("""COMPUTED_VALUE"""),11285.6)</f>
        <v/>
      </c>
    </row>
    <row r="3808">
      <c r="J3808">
        <f>IFERROR(__xludf.DUMMYFUNCTION("""COMPUTED_VALUE"""),"Montreal, Quebec, Canada &amp; Stockholm, Arlanda, Sweden")</f>
        <v/>
      </c>
      <c r="K3808">
        <f>IFERROR(__xludf.DUMMYFUNCTION("""COMPUTED_VALUE"""),11283.45)</f>
        <v/>
      </c>
    </row>
    <row r="3809">
      <c r="J3809">
        <f>IFERROR(__xludf.DUMMYFUNCTION("""COMPUTED_VALUE"""),"Goose Bay, Newfoundland and Labrador, Canada; Nain, Newfoundland and Labrador, Canada; Labrador, Newfoundland and Labrador, Canada; Kuujjuaq, Quebec, Canada")</f>
        <v/>
      </c>
      <c r="K3809">
        <f>IFERROR(__xludf.DUMMYFUNCTION("""COMPUTED_VALUE"""),11277.1)</f>
        <v/>
      </c>
    </row>
    <row r="3810">
      <c r="J3810">
        <f>IFERROR(__xludf.DUMMYFUNCTION("""COMPUTED_VALUE"""),"Edinburgh and Glasgow, Scotland, United Kingdom")</f>
        <v/>
      </c>
      <c r="K3810">
        <f>IFERROR(__xludf.DUMMYFUNCTION("""COMPUTED_VALUE"""),11275.84)</f>
        <v/>
      </c>
    </row>
    <row r="3811">
      <c r="J3811">
        <f>IFERROR(__xludf.DUMMYFUNCTION("""COMPUTED_VALUE"""),"Mexico, Guatemala, Honduras")</f>
        <v/>
      </c>
      <c r="K3811">
        <f>IFERROR(__xludf.DUMMYFUNCTION("""COMPUTED_VALUE"""),11275.39)</f>
        <v/>
      </c>
    </row>
    <row r="3812">
      <c r="J3812">
        <f>IFERROR(__xludf.DUMMYFUNCTION("""COMPUTED_VALUE"""),"United Kingdom; Sweden; Switzerland")</f>
        <v/>
      </c>
      <c r="K3812">
        <f>IFERROR(__xludf.DUMMYFUNCTION("""COMPUTED_VALUE"""),11271.66)</f>
        <v/>
      </c>
    </row>
    <row r="3813">
      <c r="J3813">
        <f>IFERROR(__xludf.DUMMYFUNCTION("""COMPUTED_VALUE"""),"Frankfurt, Germany, Rotterdam, Netherlands")</f>
        <v/>
      </c>
      <c r="K3813">
        <f>IFERROR(__xludf.DUMMYFUNCTION("""COMPUTED_VALUE"""),11269.37)</f>
        <v/>
      </c>
    </row>
    <row r="3814">
      <c r="J3814">
        <f>IFERROR(__xludf.DUMMYFUNCTION("""COMPUTED_VALUE"""),"Frankfurt, Germany/Seoul, Korea/Tokyo, Japan")</f>
        <v/>
      </c>
      <c r="K3814">
        <f>IFERROR(__xludf.DUMMYFUNCTION("""COMPUTED_VALUE"""),11267.77)</f>
        <v/>
      </c>
    </row>
    <row r="3815">
      <c r="J3815">
        <f>IFERROR(__xludf.DUMMYFUNCTION("""COMPUTED_VALUE"""),"Edmonton, Alberta (Canada)")</f>
        <v/>
      </c>
      <c r="K3815">
        <f>IFERROR(__xludf.DUMMYFUNCTION("""COMPUTED_VALUE"""),11264.4)</f>
        <v/>
      </c>
    </row>
    <row r="3816">
      <c r="J3816">
        <f>IFERROR(__xludf.DUMMYFUNCTION("""COMPUTED_VALUE"""),"Toronto, Abu Dhabi, Dubai, Jordon, Ramallah and Jerusalem")</f>
        <v/>
      </c>
      <c r="K3816">
        <f>IFERROR(__xludf.DUMMYFUNCTION("""COMPUTED_VALUE"""),11263.49)</f>
        <v/>
      </c>
    </row>
    <row r="3817">
      <c r="J3817">
        <f>IFERROR(__xludf.DUMMYFUNCTION("""COMPUTED_VALUE"""),"Ottawa, Ontario and Iqaluit, Nunavut")</f>
        <v/>
      </c>
      <c r="K3817">
        <f>IFERROR(__xludf.DUMMYFUNCTION("""COMPUTED_VALUE"""),11260.83)</f>
        <v/>
      </c>
    </row>
    <row r="3818">
      <c r="J3818">
        <f>IFERROR(__xludf.DUMMYFUNCTION("""COMPUTED_VALUE"""),"Tokyo and Seoul")</f>
        <v/>
      </c>
      <c r="K3818">
        <f>IFERROR(__xludf.DUMMYFUNCTION("""COMPUTED_VALUE"""),11259.35)</f>
        <v/>
      </c>
    </row>
    <row r="3819">
      <c r="J3819">
        <f>IFERROR(__xludf.DUMMYFUNCTION("""COMPUTED_VALUE"""),"Côte d'Ivoire, Sierra Leone")</f>
        <v/>
      </c>
      <c r="K3819">
        <f>IFERROR(__xludf.DUMMYFUNCTION("""COMPUTED_VALUE"""),11253.57)</f>
        <v/>
      </c>
    </row>
    <row r="3820">
      <c r="J3820">
        <f>IFERROR(__xludf.DUMMYFUNCTION("""COMPUTED_VALUE"""),"Abu Dhabi, United Arab Emirates / Delhi, India")</f>
        <v/>
      </c>
      <c r="K3820">
        <f>IFERROR(__xludf.DUMMYFUNCTION("""COMPUTED_VALUE"""),11252.96)</f>
        <v/>
      </c>
    </row>
    <row r="3821">
      <c r="J3821">
        <f>IFERROR(__xludf.DUMMYFUNCTION("""COMPUTED_VALUE"""),"Antigonish, Nova Scotia, Canada")</f>
        <v/>
      </c>
      <c r="K3821">
        <f>IFERROR(__xludf.DUMMYFUNCTION("""COMPUTED_VALUE"""),11248.6)</f>
        <v/>
      </c>
    </row>
    <row r="3822">
      <c r="J3822">
        <f>IFERROR(__xludf.DUMMYFUNCTION("""COMPUTED_VALUE"""),"Bagotville, QC Montréal, QC")</f>
        <v/>
      </c>
      <c r="K3822">
        <f>IFERROR(__xludf.DUMMYFUNCTION("""COMPUTED_VALUE"""),11242.2899999999)</f>
        <v/>
      </c>
    </row>
    <row r="3823">
      <c r="J3823">
        <f>IFERROR(__xludf.DUMMYFUNCTION("""COMPUTED_VALUE"""),"Santiago, Chile; Brasilia, Brazil")</f>
        <v/>
      </c>
      <c r="K3823">
        <f>IFERROR(__xludf.DUMMYFUNCTION("""COMPUTED_VALUE"""),11241.94)</f>
        <v/>
      </c>
    </row>
    <row r="3824">
      <c r="J3824">
        <f>IFERROR(__xludf.DUMMYFUNCTION("""COMPUTED_VALUE"""),"Copenhagen, Oslo, Amsterdam and Brussels")</f>
        <v/>
      </c>
      <c r="K3824">
        <f>IFERROR(__xludf.DUMMYFUNCTION("""COMPUTED_VALUE"""),11240.53)</f>
        <v/>
      </c>
    </row>
    <row r="3825">
      <c r="J3825">
        <f>IFERROR(__xludf.DUMMYFUNCTION("""COMPUTED_VALUE"""),"Houston, Texas, US")</f>
        <v/>
      </c>
      <c r="K3825">
        <f>IFERROR(__xludf.DUMMYFUNCTION("""COMPUTED_VALUE"""),11238.5099999999)</f>
        <v/>
      </c>
    </row>
    <row r="3826">
      <c r="J3826">
        <f>IFERROR(__xludf.DUMMYFUNCTION("""COMPUTED_VALUE"""),"New York and Washington")</f>
        <v/>
      </c>
      <c r="K3826">
        <f>IFERROR(__xludf.DUMMYFUNCTION("""COMPUTED_VALUE"""),11231.95)</f>
        <v/>
      </c>
    </row>
    <row r="3827">
      <c r="J3827">
        <f>IFERROR(__xludf.DUMMYFUNCTION("""COMPUTED_VALUE"""),"Bergen, Oslo and Alesund, Norway")</f>
        <v/>
      </c>
      <c r="K3827">
        <f>IFERROR(__xludf.DUMMYFUNCTION("""COMPUTED_VALUE"""),11225.19)</f>
        <v/>
      </c>
    </row>
    <row r="3828">
      <c r="J3828">
        <f>IFERROR(__xludf.DUMMYFUNCTION("""COMPUTED_VALUE"""),"North Coast, Quebec, Canada")</f>
        <v/>
      </c>
      <c r="K3828">
        <f>IFERROR(__xludf.DUMMYFUNCTION("""COMPUTED_VALUE"""),11223.15)</f>
        <v/>
      </c>
    </row>
    <row r="3829">
      <c r="J3829">
        <f>IFERROR(__xludf.DUMMYFUNCTION("""COMPUTED_VALUE"""),"Dehli, India")</f>
        <v/>
      </c>
      <c r="K3829">
        <f>IFERROR(__xludf.DUMMYFUNCTION("""COMPUTED_VALUE"""),11222.28)</f>
        <v/>
      </c>
    </row>
    <row r="3830">
      <c r="J3830">
        <f>IFERROR(__xludf.DUMMYFUNCTION("""COMPUTED_VALUE"""),"Rovaniemi, Finland; Helsinki, Finland")</f>
        <v/>
      </c>
      <c r="K3830">
        <f>IFERROR(__xludf.DUMMYFUNCTION("""COMPUTED_VALUE"""),11220.19)</f>
        <v/>
      </c>
    </row>
    <row r="3831">
      <c r="J3831">
        <f>IFERROR(__xludf.DUMMYFUNCTION("""COMPUTED_VALUE"""),"Toronto, Buenos Aires, Asuncion, Santa Cruz, La Paz and Quito")</f>
        <v/>
      </c>
      <c r="K3831">
        <f>IFERROR(__xludf.DUMMYFUNCTION("""COMPUTED_VALUE"""),11218.6899999999)</f>
        <v/>
      </c>
    </row>
    <row r="3832">
      <c r="J3832">
        <f>IFERROR(__xludf.DUMMYFUNCTION("""COMPUTED_VALUE"""),"Winnipeg, Manitoba, Canada; Calgary, Alberta, Canada; Edmonton, Alberta, Canada")</f>
        <v/>
      </c>
      <c r="K3832">
        <f>IFERROR(__xludf.DUMMYFUNCTION("""COMPUTED_VALUE"""),11217.77)</f>
        <v/>
      </c>
    </row>
    <row r="3833">
      <c r="J3833">
        <f>IFERROR(__xludf.DUMMYFUNCTION("""COMPUTED_VALUE"""),"Palma Mallorca, Spain")</f>
        <v/>
      </c>
      <c r="K3833">
        <f>IFERROR(__xludf.DUMMYFUNCTION("""COMPUTED_VALUE"""),11213.29)</f>
        <v/>
      </c>
    </row>
    <row r="3834">
      <c r="J3834">
        <f>IFERROR(__xludf.DUMMYFUNCTION("""COMPUTED_VALUE"""),"Vancouver, BC            Toronto, ON         Montreal, QC Canada")</f>
        <v/>
      </c>
      <c r="K3834">
        <f>IFERROR(__xludf.DUMMYFUNCTION("""COMPUTED_VALUE"""),11211.16)</f>
        <v/>
      </c>
    </row>
    <row r="3835">
      <c r="J3835">
        <f>IFERROR(__xludf.DUMMYFUNCTION("""COMPUTED_VALUE"""),"Ottawa and Iqaluit")</f>
        <v/>
      </c>
      <c r="K3835">
        <f>IFERROR(__xludf.DUMMYFUNCTION("""COMPUTED_VALUE"""),11210.7)</f>
        <v/>
      </c>
    </row>
    <row r="3836">
      <c r="J3836">
        <f>IFERROR(__xludf.DUMMYFUNCTION("""COMPUTED_VALUE"""),"Frankfurt, Germany / Geneva, Switzerland")</f>
        <v/>
      </c>
      <c r="K3836">
        <f>IFERROR(__xludf.DUMMYFUNCTION("""COMPUTED_VALUE"""),11210.04)</f>
        <v/>
      </c>
    </row>
    <row r="3837">
      <c r="J3837">
        <f>IFERROR(__xludf.DUMMYFUNCTION("""COMPUTED_VALUE"""),"Vancouver, Victoria, Calgary, Toronto &amp; Ottawa")</f>
        <v/>
      </c>
      <c r="K3837">
        <f>IFERROR(__xludf.DUMMYFUNCTION("""COMPUTED_VALUE"""),11206.75)</f>
        <v/>
      </c>
    </row>
    <row r="3838">
      <c r="J3838">
        <f>IFERROR(__xludf.DUMMYFUNCTION("""COMPUTED_VALUE"""),"South Korea and Japan")</f>
        <v/>
      </c>
      <c r="K3838">
        <f>IFERROR(__xludf.DUMMYFUNCTION("""COMPUTED_VALUE"""),11203.92)</f>
        <v/>
      </c>
    </row>
    <row r="3839">
      <c r="J3839">
        <f>IFERROR(__xludf.DUMMYFUNCTION("""COMPUTED_VALUE"""),"Ali Al Salem Air Base, Kuwait, Taji, Iraq")</f>
        <v/>
      </c>
      <c r="K3839">
        <f>IFERROR(__xludf.DUMMYFUNCTION("""COMPUTED_VALUE"""),11198.84)</f>
        <v/>
      </c>
    </row>
    <row r="3840">
      <c r="J3840">
        <f>IFERROR(__xludf.DUMMYFUNCTION("""COMPUTED_VALUE"""),"Montreal and Ottawa, QC and ON, Canada")</f>
        <v/>
      </c>
      <c r="K3840">
        <f>IFERROR(__xludf.DUMMYFUNCTION("""COMPUTED_VALUE"""),11197.53)</f>
        <v/>
      </c>
    </row>
    <row r="3841">
      <c r="J3841">
        <f>IFERROR(__xludf.DUMMYFUNCTION("""COMPUTED_VALUE"""),"Toronto, Ontario, Canada; Vancouver, British Columbia, Canada; Winnipeg, Manitoba, Canada")</f>
        <v/>
      </c>
      <c r="K3841">
        <f>IFERROR(__xludf.DUMMYFUNCTION("""COMPUTED_VALUE"""),11197.25)</f>
        <v/>
      </c>
    </row>
    <row r="3842">
      <c r="J3842">
        <f>IFERROR(__xludf.DUMMYFUNCTION("""COMPUTED_VALUE"""),"Kingston, Canada")</f>
        <v/>
      </c>
      <c r="K3842">
        <f>IFERROR(__xludf.DUMMYFUNCTION("""COMPUTED_VALUE"""),11196.9)</f>
        <v/>
      </c>
    </row>
    <row r="3843">
      <c r="J3843">
        <f>IFERROR(__xludf.DUMMYFUNCTION("""COMPUTED_VALUE"""),"Palermo, Italy")</f>
        <v/>
      </c>
      <c r="K3843">
        <f>IFERROR(__xludf.DUMMYFUNCTION("""COMPUTED_VALUE"""),11190.88)</f>
        <v/>
      </c>
    </row>
    <row r="3844">
      <c r="J3844">
        <f>IFERROR(__xludf.DUMMYFUNCTION("""COMPUTED_VALUE"""),"Panama, Panama")</f>
        <v/>
      </c>
      <c r="K3844">
        <f>IFERROR(__xludf.DUMMYFUNCTION("""COMPUTED_VALUE"""),11188.88)</f>
        <v/>
      </c>
    </row>
    <row r="3845">
      <c r="J3845">
        <f>IFERROR(__xludf.DUMMYFUNCTION("""COMPUTED_VALUE"""),"Shanghai and Beijing")</f>
        <v/>
      </c>
      <c r="K3845">
        <f>IFERROR(__xludf.DUMMYFUNCTION("""COMPUTED_VALUE"""),11182.17)</f>
        <v/>
      </c>
    </row>
    <row r="3846">
      <c r="J3846">
        <f>IFERROR(__xludf.DUMMYFUNCTION("""COMPUTED_VALUE"""),"Abuja, Nigeria; Eastern Chad; Darfur, Sudan")</f>
        <v/>
      </c>
      <c r="K3846">
        <f>IFERROR(__xludf.DUMMYFUNCTION("""COMPUTED_VALUE"""),11180.43)</f>
        <v/>
      </c>
    </row>
    <row r="3847">
      <c r="J3847">
        <f>IFERROR(__xludf.DUMMYFUNCTION("""COMPUTED_VALUE"""),"London, UK and Stockholm, SE")</f>
        <v/>
      </c>
      <c r="K3847">
        <f>IFERROR(__xludf.DUMMYFUNCTION("""COMPUTED_VALUE"""),11179.3)</f>
        <v/>
      </c>
    </row>
    <row r="3848">
      <c r="J3848">
        <f>IFERROR(__xludf.DUMMYFUNCTION("""COMPUTED_VALUE"""),"Mont-Joli, Quebec, Canada")</f>
        <v/>
      </c>
      <c r="K3848">
        <f>IFERROR(__xludf.DUMMYFUNCTION("""COMPUTED_VALUE"""),11172.27)</f>
        <v/>
      </c>
    </row>
    <row r="3849">
      <c r="J3849">
        <f>IFERROR(__xludf.DUMMYFUNCTION("""COMPUTED_VALUE"""),"Gandhinagar, Gujarat, India")</f>
        <v/>
      </c>
      <c r="K3849">
        <f>IFERROR(__xludf.DUMMYFUNCTION("""COMPUTED_VALUE"""),11169.88)</f>
        <v/>
      </c>
    </row>
    <row r="3850">
      <c r="J3850">
        <f>IFERROR(__xludf.DUMMYFUNCTION("""COMPUTED_VALUE"""),"Calgary, Alberta; Ottawa, Ontario")</f>
        <v/>
      </c>
      <c r="K3850">
        <f>IFERROR(__xludf.DUMMYFUNCTION("""COMPUTED_VALUE"""),11167.04)</f>
        <v/>
      </c>
    </row>
    <row r="3851">
      <c r="J3851">
        <f>IFERROR(__xludf.DUMMYFUNCTION("""COMPUTED_VALUE"""),"Tallinn, Estonia and Riga, Latvia")</f>
        <v/>
      </c>
      <c r="K3851">
        <f>IFERROR(__xludf.DUMMYFUNCTION("""COMPUTED_VALUE"""),11164.71)</f>
        <v/>
      </c>
    </row>
    <row r="3852">
      <c r="J3852">
        <f>IFERROR(__xludf.DUMMYFUNCTION("""COMPUTED_VALUE"""),"Cornwall, ON")</f>
        <v/>
      </c>
      <c r="K3852">
        <f>IFERROR(__xludf.DUMMYFUNCTION("""COMPUTED_VALUE"""),11161.01)</f>
        <v/>
      </c>
    </row>
    <row r="3853">
      <c r="J3853">
        <f>IFERROR(__xludf.DUMMYFUNCTION("""COMPUTED_VALUE"""),"Vienna, Austria, Sarajevo, Bosnia")</f>
        <v/>
      </c>
      <c r="K3853">
        <f>IFERROR(__xludf.DUMMYFUNCTION("""COMPUTED_VALUE"""),11160.51)</f>
        <v/>
      </c>
    </row>
    <row r="3854">
      <c r="J3854">
        <f>IFERROR(__xludf.DUMMYFUNCTION("""COMPUTED_VALUE"""),"Afghanistan and Dubai, United Arab Emirates")</f>
        <v/>
      </c>
      <c r="K3854">
        <f>IFERROR(__xludf.DUMMYFUNCTION("""COMPUTED_VALUE"""),11158.26)</f>
        <v/>
      </c>
    </row>
    <row r="3855">
      <c r="J3855">
        <f>IFERROR(__xludf.DUMMYFUNCTION("""COMPUTED_VALUE"""),"Londres (United Kingdom), Abidjan, (Côte d'Ivoire)")</f>
        <v/>
      </c>
      <c r="K3855">
        <f>IFERROR(__xludf.DUMMYFUNCTION("""COMPUTED_VALUE"""),11154.18)</f>
        <v/>
      </c>
    </row>
    <row r="3856">
      <c r="J3856">
        <f>IFERROR(__xludf.DUMMYFUNCTION("""COMPUTED_VALUE"""),"Oshawa, Ontario")</f>
        <v/>
      </c>
      <c r="K3856">
        <f>IFERROR(__xludf.DUMMYFUNCTION("""COMPUTED_VALUE"""),11153.32)</f>
        <v/>
      </c>
    </row>
    <row r="3857">
      <c r="J3857">
        <f>IFERROR(__xludf.DUMMYFUNCTION("""COMPUTED_VALUE"""),"Zurich, Switzerland / Nairobi, Kenya / Dar Es Salem, Tanzania / Johannesburg, South Africa")</f>
        <v/>
      </c>
      <c r="K3857">
        <f>IFERROR(__xludf.DUMMYFUNCTION("""COMPUTED_VALUE"""),11152.15)</f>
        <v/>
      </c>
    </row>
    <row r="3858">
      <c r="J3858">
        <f>IFERROR(__xludf.DUMMYFUNCTION("""COMPUTED_VALUE"""),"Panama and Ecuador")</f>
        <v/>
      </c>
      <c r="K3858">
        <f>IFERROR(__xludf.DUMMYFUNCTION("""COMPUTED_VALUE"""),11148.33)</f>
        <v/>
      </c>
    </row>
    <row r="3859">
      <c r="J3859">
        <f>IFERROR(__xludf.DUMMYFUNCTION("""COMPUTED_VALUE"""),"Ukraine/Riga/Copenhagen/Regina")</f>
        <v/>
      </c>
      <c r="K3859">
        <f>IFERROR(__xludf.DUMMYFUNCTION("""COMPUTED_VALUE"""),11147.12)</f>
        <v/>
      </c>
    </row>
    <row r="3860">
      <c r="J3860">
        <f>IFERROR(__xludf.DUMMYFUNCTION("""COMPUTED_VALUE"""),"Whitehorse, Yukon, Canada; Edmonton, Alberta, Canada; Prince George, British Columbia, Canada")</f>
        <v/>
      </c>
      <c r="K3860">
        <f>IFERROR(__xludf.DUMMYFUNCTION("""COMPUTED_VALUE"""),11146.44)</f>
        <v/>
      </c>
    </row>
    <row r="3861">
      <c r="J3861">
        <f>IFERROR(__xludf.DUMMYFUNCTION("""COMPUTED_VALUE"""),"Regina, Saskatchewan;  Winnipeg, Manitoba")</f>
        <v/>
      </c>
      <c r="K3861">
        <f>IFERROR(__xludf.DUMMYFUNCTION("""COMPUTED_VALUE"""),11146.29)</f>
        <v/>
      </c>
    </row>
    <row r="3862">
      <c r="J3862">
        <f>IFERROR(__xludf.DUMMYFUNCTION("""COMPUTED_VALUE"""),"Marrakech, Morocco; Madrid, Spain")</f>
        <v/>
      </c>
      <c r="K3862">
        <f>IFERROR(__xludf.DUMMYFUNCTION("""COMPUTED_VALUE"""),11145.51)</f>
        <v/>
      </c>
    </row>
    <row r="3863">
      <c r="J3863">
        <f>IFERROR(__xludf.DUMMYFUNCTION("""COMPUTED_VALUE"""),"Aspen, Colorado")</f>
        <v/>
      </c>
      <c r="K3863">
        <f>IFERROR(__xludf.DUMMYFUNCTION("""COMPUTED_VALUE"""),11144.38)</f>
        <v/>
      </c>
    </row>
    <row r="3864">
      <c r="J3864">
        <f>IFERROR(__xludf.DUMMYFUNCTION("""COMPUTED_VALUE"""),"Taipei, Taiwan / Hanoi, Vietnam / Tokyo, Japan")</f>
        <v/>
      </c>
      <c r="K3864">
        <f>IFERROR(__xludf.DUMMYFUNCTION("""COMPUTED_VALUE"""),11142.06)</f>
        <v/>
      </c>
    </row>
    <row r="3865">
      <c r="J3865">
        <f>IFERROR(__xludf.DUMMYFUNCTION("""COMPUTED_VALUE"""),"lombo, Sri Lanka")</f>
        <v/>
      </c>
      <c r="K3865">
        <f>IFERROR(__xludf.DUMMYFUNCTION("""COMPUTED_VALUE"""),11136.16)</f>
        <v/>
      </c>
    </row>
    <row r="3866">
      <c r="J3866">
        <f>IFERROR(__xludf.DUMMYFUNCTION("""COMPUTED_VALUE"""),"(1) Copenhagen, Denmark (2) London, UK (3) Geneva, Switzerland")</f>
        <v/>
      </c>
      <c r="K3866">
        <f>IFERROR(__xludf.DUMMYFUNCTION("""COMPUTED_VALUE"""),11120.61)</f>
        <v/>
      </c>
    </row>
    <row r="3867">
      <c r="J3867">
        <f>IFERROR(__xludf.DUMMYFUNCTION("""COMPUTED_VALUE"""),"Edmonton &amp; Vancouver")</f>
        <v/>
      </c>
      <c r="K3867">
        <f>IFERROR(__xludf.DUMMYFUNCTION("""COMPUTED_VALUE"""),11118.23)</f>
        <v/>
      </c>
    </row>
    <row r="3868">
      <c r="J3868">
        <f>IFERROR(__xludf.DUMMYFUNCTION("""COMPUTED_VALUE"""),"Markham, UK")</f>
        <v/>
      </c>
      <c r="K3868">
        <f>IFERROR(__xludf.DUMMYFUNCTION("""COMPUTED_VALUE"""),11118.12)</f>
        <v/>
      </c>
    </row>
    <row r="3869">
      <c r="J3869">
        <f>IFERROR(__xludf.DUMMYFUNCTION("""COMPUTED_VALUE"""),"Sudbury, Ontario / Sault Ste. Marie, Ontario, Canada")</f>
        <v/>
      </c>
      <c r="K3869">
        <f>IFERROR(__xludf.DUMMYFUNCTION("""COMPUTED_VALUE"""),11113.89)</f>
        <v/>
      </c>
    </row>
    <row r="3870">
      <c r="J3870">
        <f>IFERROR(__xludf.DUMMYFUNCTION("""COMPUTED_VALUE"""),"Melbourne, Florida and Montréal, Canada")</f>
        <v/>
      </c>
      <c r="K3870">
        <f>IFERROR(__xludf.DUMMYFUNCTION("""COMPUTED_VALUE"""),11108.05)</f>
        <v/>
      </c>
    </row>
    <row r="3871">
      <c r="J3871">
        <f>IFERROR(__xludf.DUMMYFUNCTION("""COMPUTED_VALUE"""),"Miami, Florida, USA")</f>
        <v/>
      </c>
      <c r="K3871">
        <f>IFERROR(__xludf.DUMMYFUNCTION("""COMPUTED_VALUE"""),11107.2)</f>
        <v/>
      </c>
    </row>
    <row r="3872">
      <c r="J3872">
        <f>IFERROR(__xludf.DUMMYFUNCTION("""COMPUTED_VALUE"""),"Busan Korea")</f>
        <v/>
      </c>
      <c r="K3872">
        <f>IFERROR(__xludf.DUMMYFUNCTION("""COMPUTED_VALUE"""),11103.16)</f>
        <v/>
      </c>
    </row>
    <row r="3873">
      <c r="J3873">
        <f>IFERROR(__xludf.DUMMYFUNCTION("""COMPUTED_VALUE"""),"Karachi and  Islamabad, Pakistan")</f>
        <v/>
      </c>
      <c r="K3873">
        <f>IFERROR(__xludf.DUMMYFUNCTION("""COMPUTED_VALUE"""),11101.8)</f>
        <v/>
      </c>
    </row>
    <row r="3874">
      <c r="J3874">
        <f>IFERROR(__xludf.DUMMYFUNCTION("""COMPUTED_VALUE"""),"Amman, Tel Aviv, Cairo, and Sharm E Sheik")</f>
        <v/>
      </c>
      <c r="K3874">
        <f>IFERROR(__xludf.DUMMYFUNCTION("""COMPUTED_VALUE"""),11099.12)</f>
        <v/>
      </c>
    </row>
    <row r="3875">
      <c r="J3875">
        <f>IFERROR(__xludf.DUMMYFUNCTION("""COMPUTED_VALUE"""),"Argentina, Peru, Uruguay.")</f>
        <v/>
      </c>
      <c r="K3875">
        <f>IFERROR(__xludf.DUMMYFUNCTION("""COMPUTED_VALUE"""),11096.48)</f>
        <v/>
      </c>
    </row>
    <row r="3876">
      <c r="J3876">
        <f>IFERROR(__xludf.DUMMYFUNCTION("""COMPUTED_VALUE"""),"Victoria, British Columbia, Canada; Vancouver, British Columbia, Canada; Edmonton, Alberta, Canada")</f>
        <v/>
      </c>
      <c r="K3876">
        <f>IFERROR(__xludf.DUMMYFUNCTION("""COMPUTED_VALUE"""),11095.45)</f>
        <v/>
      </c>
    </row>
    <row r="3877">
      <c r="J3877">
        <f>IFERROR(__xludf.DUMMYFUNCTION("""COMPUTED_VALUE"""),"Ditchley, United Kingdom")</f>
        <v/>
      </c>
      <c r="K3877">
        <f>IFERROR(__xludf.DUMMYFUNCTION("""COMPUTED_VALUE"""),11092.66)</f>
        <v/>
      </c>
    </row>
    <row r="3878">
      <c r="J3878">
        <f>IFERROR(__xludf.DUMMYFUNCTION("""COMPUTED_VALUE"""),"Bangkok, Kuala Lumpur, Jakarta")</f>
        <v/>
      </c>
      <c r="K3878">
        <f>IFERROR(__xludf.DUMMYFUNCTION("""COMPUTED_VALUE"""),11092.06)</f>
        <v/>
      </c>
    </row>
    <row r="3879">
      <c r="J3879">
        <f>IFERROR(__xludf.DUMMYFUNCTION("""COMPUTED_VALUE"""),"Ghandinagar, Gujarat, India")</f>
        <v/>
      </c>
      <c r="K3879">
        <f>IFERROR(__xludf.DUMMYFUNCTION("""COMPUTED_VALUE"""),11086.55)</f>
        <v/>
      </c>
    </row>
    <row r="3880">
      <c r="J3880">
        <f>IFERROR(__xludf.DUMMYFUNCTION("""COMPUTED_VALUE"""),"Geneva, Switzerland / Lisbon, Portugal")</f>
        <v/>
      </c>
      <c r="K3880">
        <f>IFERROR(__xludf.DUMMYFUNCTION("""COMPUTED_VALUE"""),11082.1)</f>
        <v/>
      </c>
    </row>
    <row r="3881">
      <c r="J3881">
        <f>IFERROR(__xludf.DUMMYFUNCTION("""COMPUTED_VALUE"""),"Hong Kong, Guangzhou and Beijing, China")</f>
        <v/>
      </c>
      <c r="K3881">
        <f>IFERROR(__xludf.DUMMYFUNCTION("""COMPUTED_VALUE"""),11081.78)</f>
        <v/>
      </c>
    </row>
    <row r="3882">
      <c r="J3882">
        <f>IFERROR(__xludf.DUMMYFUNCTION("""COMPUTED_VALUE"""),"Houston, TX, USA - Toronto, ON")</f>
        <v/>
      </c>
      <c r="K3882">
        <f>IFERROR(__xludf.DUMMYFUNCTION("""COMPUTED_VALUE"""),11079.49)</f>
        <v/>
      </c>
    </row>
    <row r="3883">
      <c r="J3883">
        <f>IFERROR(__xludf.DUMMYFUNCTION("""COMPUTED_VALUE"""),"Sydney")</f>
        <v/>
      </c>
      <c r="K3883">
        <f>IFERROR(__xludf.DUMMYFUNCTION("""COMPUTED_VALUE"""),11079.17)</f>
        <v/>
      </c>
    </row>
    <row r="3884">
      <c r="J3884">
        <f>IFERROR(__xludf.DUMMYFUNCTION("""COMPUTED_VALUE"""),"Québec City, Quebec, Canada")</f>
        <v/>
      </c>
      <c r="K3884">
        <f>IFERROR(__xludf.DUMMYFUNCTION("""COMPUTED_VALUE"""),11077.67)</f>
        <v/>
      </c>
    </row>
    <row r="3885">
      <c r="J3885">
        <f>IFERROR(__xludf.DUMMYFUNCTION("""COMPUTED_VALUE"""),"Singapore, Seoul (Korea)")</f>
        <v/>
      </c>
      <c r="K3885">
        <f>IFERROR(__xludf.DUMMYFUNCTION("""COMPUTED_VALUE"""),11077.51)</f>
        <v/>
      </c>
    </row>
    <row r="3886">
      <c r="J3886">
        <f>IFERROR(__xludf.DUMMYFUNCTION("""COMPUTED_VALUE"""),"Toronto, Ontario and Jakarta, Singapore")</f>
        <v/>
      </c>
      <c r="K3886">
        <f>IFERROR(__xludf.DUMMYFUNCTION("""COMPUTED_VALUE"""),11076.31)</f>
        <v/>
      </c>
    </row>
    <row r="3887">
      <c r="J3887">
        <f>IFERROR(__xludf.DUMMYFUNCTION("""COMPUTED_VALUE"""),"Naypyidaw and Yangon, Myanmar and Singapore, Malaysia")</f>
        <v/>
      </c>
      <c r="K3887">
        <f>IFERROR(__xludf.DUMMYFUNCTION("""COMPUTED_VALUE"""),11071.56)</f>
        <v/>
      </c>
    </row>
    <row r="3888">
      <c r="J3888">
        <f>IFERROR(__xludf.DUMMYFUNCTION("""COMPUTED_VALUE"""),"Brasilia, Brazil and Natal, Brazil")</f>
        <v/>
      </c>
      <c r="K3888">
        <f>IFERROR(__xludf.DUMMYFUNCTION("""COMPUTED_VALUE"""),11067.61)</f>
        <v/>
      </c>
    </row>
    <row r="3889">
      <c r="J3889">
        <f>IFERROR(__xludf.DUMMYFUNCTION("""COMPUTED_VALUE"""),"Sheffield, UK")</f>
        <v/>
      </c>
      <c r="K3889">
        <f>IFERROR(__xludf.DUMMYFUNCTION("""COMPUTED_VALUE"""),11065.46)</f>
        <v/>
      </c>
    </row>
    <row r="3890">
      <c r="J3890">
        <f>IFERROR(__xludf.DUMMYFUNCTION("""COMPUTED_VALUE"""),"Waterloo, Belgium, Netherlands, Norway")</f>
        <v/>
      </c>
      <c r="K3890">
        <f>IFERROR(__xludf.DUMMYFUNCTION("""COMPUTED_VALUE"""),11065)</f>
        <v/>
      </c>
    </row>
    <row r="3891">
      <c r="J3891">
        <f>IFERROR(__xludf.DUMMYFUNCTION("""COMPUTED_VALUE"""),"Toronto, Ontario, Canada; Sault Ste. Marie, Ontario, Canada")</f>
        <v/>
      </c>
      <c r="K3891">
        <f>IFERROR(__xludf.DUMMYFUNCTION("""COMPUTED_VALUE"""),11064.59)</f>
        <v/>
      </c>
    </row>
    <row r="3892">
      <c r="J3892">
        <f>IFERROR(__xludf.DUMMYFUNCTION("""COMPUTED_VALUE"""),"REGINA, SK, CANADA")</f>
        <v/>
      </c>
      <c r="K3892">
        <f>IFERROR(__xludf.DUMMYFUNCTION("""COMPUTED_VALUE"""),11064.51)</f>
        <v/>
      </c>
    </row>
    <row r="3893">
      <c r="J3893">
        <f>IFERROR(__xludf.DUMMYFUNCTION("""COMPUTED_VALUE"""),"Victoria, British Columbia, Canada; Toronto, Ontario, Canada")</f>
        <v/>
      </c>
      <c r="K3893">
        <f>IFERROR(__xludf.DUMMYFUNCTION("""COMPUTED_VALUE"""),11063.32)</f>
        <v/>
      </c>
    </row>
    <row r="3894">
      <c r="J3894">
        <f>IFERROR(__xludf.DUMMYFUNCTION("""COMPUTED_VALUE"""),"Tokyo, Bejing, Hong Kong and Seoul")</f>
        <v/>
      </c>
      <c r="K3894">
        <f>IFERROR(__xludf.DUMMYFUNCTION("""COMPUTED_VALUE"""),11061.25)</f>
        <v/>
      </c>
    </row>
    <row r="3895">
      <c r="J3895">
        <f>IFERROR(__xludf.DUMMYFUNCTION("""COMPUTED_VALUE"""),"Delhi- Mumbai, India")</f>
        <v/>
      </c>
      <c r="K3895">
        <f>IFERROR(__xludf.DUMMYFUNCTION("""COMPUTED_VALUE"""),11056.85)</f>
        <v/>
      </c>
    </row>
    <row r="3896">
      <c r="J3896">
        <f>IFERROR(__xludf.DUMMYFUNCTION("""COMPUTED_VALUE"""),"Toronto, Sault Ste-Marie,Sudbury, Ontario, Canada")</f>
        <v/>
      </c>
      <c r="K3896">
        <f>IFERROR(__xludf.DUMMYFUNCTION("""COMPUTED_VALUE"""),11055.22)</f>
        <v/>
      </c>
    </row>
    <row r="3897">
      <c r="J3897">
        <f>IFERROR(__xludf.DUMMYFUNCTION("""COMPUTED_VALUE"""),"Stuttgart, Germany; London, United Kingdom")</f>
        <v/>
      </c>
      <c r="K3897">
        <f>IFERROR(__xludf.DUMMYFUNCTION("""COMPUTED_VALUE"""),11049.93)</f>
        <v/>
      </c>
    </row>
    <row r="3898">
      <c r="J3898">
        <f>IFERROR(__xludf.DUMMYFUNCTION("""COMPUTED_VALUE"""),"Vietnam &amp; Malaysia")</f>
        <v/>
      </c>
      <c r="K3898">
        <f>IFERROR(__xludf.DUMMYFUNCTION("""COMPUTED_VALUE"""),11041.66)</f>
        <v/>
      </c>
    </row>
    <row r="3899">
      <c r="J3899">
        <f>IFERROR(__xludf.DUMMYFUNCTION("""COMPUTED_VALUE"""),"Saskatoon, Canada")</f>
        <v/>
      </c>
      <c r="K3899">
        <f>IFERROR(__xludf.DUMMYFUNCTION("""COMPUTED_VALUE"""),11031.85)</f>
        <v/>
      </c>
    </row>
    <row r="3900">
      <c r="J3900">
        <f>IFERROR(__xludf.DUMMYFUNCTION("""COMPUTED_VALUE"""),"Kinshasa, Congo and Dublin, Ireland")</f>
        <v/>
      </c>
      <c r="K3900">
        <f>IFERROR(__xludf.DUMMYFUNCTION("""COMPUTED_VALUE"""),11031.68)</f>
        <v/>
      </c>
    </row>
    <row r="3901">
      <c r="J3901">
        <f>IFERROR(__xludf.DUMMYFUNCTION("""COMPUTED_VALUE"""),"Basel, Switzerland and Paris, France")</f>
        <v/>
      </c>
      <c r="K3901">
        <f>IFERROR(__xludf.DUMMYFUNCTION("""COMPUTED_VALUE"""),11028.33)</f>
        <v/>
      </c>
    </row>
    <row r="3902">
      <c r="J3902">
        <f>IFERROR(__xludf.DUMMYFUNCTION("""COMPUTED_VALUE"""),"Vancouver, British Columbia / Halifax, Nova Scotia, Canada")</f>
        <v/>
      </c>
      <c r="K3902">
        <f>IFERROR(__xludf.DUMMYFUNCTION("""COMPUTED_VALUE"""),11027.8699999999)</f>
        <v/>
      </c>
    </row>
    <row r="3903">
      <c r="J3903">
        <f>IFERROR(__xludf.DUMMYFUNCTION("""COMPUTED_VALUE"""),"Moscow et Oslo")</f>
        <v/>
      </c>
      <c r="K3903">
        <f>IFERROR(__xludf.DUMMYFUNCTION("""COMPUTED_VALUE"""),11024.08)</f>
        <v/>
      </c>
    </row>
    <row r="3904">
      <c r="J3904">
        <f>IFERROR(__xludf.DUMMYFUNCTION("""COMPUTED_VALUE"""),"Spain")</f>
        <v/>
      </c>
      <c r="K3904">
        <f>IFERROR(__xludf.DUMMYFUNCTION("""COMPUTED_VALUE"""),11023.79)</f>
        <v/>
      </c>
    </row>
    <row r="3905">
      <c r="J3905">
        <f>IFERROR(__xludf.DUMMYFUNCTION("""COMPUTED_VALUE"""),"Funafuti, Tuvalu")</f>
        <v/>
      </c>
      <c r="K3905">
        <f>IFERROR(__xludf.DUMMYFUNCTION("""COMPUTED_VALUE"""),11019.44)</f>
        <v/>
      </c>
    </row>
    <row r="3906">
      <c r="J3906">
        <f>IFERROR(__xludf.DUMMYFUNCTION("""COMPUTED_VALUE"""),"Trenton/Vancouver/Halifax/Toronto/Edmonton")</f>
        <v/>
      </c>
      <c r="K3906">
        <f>IFERROR(__xludf.DUMMYFUNCTION("""COMPUTED_VALUE"""),11012.52)</f>
        <v/>
      </c>
    </row>
    <row r="3907">
      <c r="J3907">
        <f>IFERROR(__xludf.DUMMYFUNCTION("""COMPUTED_VALUE"""),"Washington, DC (USA)")</f>
        <v/>
      </c>
      <c r="K3907">
        <f>IFERROR(__xludf.DUMMYFUNCTION("""COMPUTED_VALUE"""),11005.9)</f>
        <v/>
      </c>
    </row>
    <row r="3908">
      <c r="J3908">
        <f>IFERROR(__xludf.DUMMYFUNCTION("""COMPUTED_VALUE"""),"Washington, Oslo, Oulu, Miami")</f>
        <v/>
      </c>
      <c r="K3908">
        <f>IFERROR(__xludf.DUMMYFUNCTION("""COMPUTED_VALUE"""),11004.8)</f>
        <v/>
      </c>
    </row>
    <row r="3909">
      <c r="J3909">
        <f>IFERROR(__xludf.DUMMYFUNCTION("""COMPUTED_VALUE"""),"Jakarta, Hanoi, Bangkok")</f>
        <v/>
      </c>
      <c r="K3909">
        <f>IFERROR(__xludf.DUMMYFUNCTION("""COMPUTED_VALUE"""),11001.7)</f>
        <v/>
      </c>
    </row>
    <row r="3910">
      <c r="J3910">
        <f>IFERROR(__xludf.DUMMYFUNCTION("""COMPUTED_VALUE"""),"Montreal, Quebec / Quebec, Quebec, Canada")</f>
        <v/>
      </c>
      <c r="K3910">
        <f>IFERROR(__xludf.DUMMYFUNCTION("""COMPUTED_VALUE"""),10999.6199999999)</f>
        <v/>
      </c>
    </row>
    <row r="3911">
      <c r="J3911">
        <f>IFERROR(__xludf.DUMMYFUNCTION("""COMPUTED_VALUE"""),"Toronto, Ontario, Canada - Ottawa, Ontario, Canada")</f>
        <v/>
      </c>
      <c r="K3911">
        <f>IFERROR(__xludf.DUMMYFUNCTION("""COMPUTED_VALUE"""),10996.77)</f>
        <v/>
      </c>
    </row>
    <row r="3912">
      <c r="J3912">
        <f>IFERROR(__xludf.DUMMYFUNCTION("""COMPUTED_VALUE"""),"Ottawa, Ontario, Canada; Iqaluit, Nunavut, Canada")</f>
        <v/>
      </c>
      <c r="K3912">
        <f>IFERROR(__xludf.DUMMYFUNCTION("""COMPUTED_VALUE"""),10995.3)</f>
        <v/>
      </c>
    </row>
    <row r="3913">
      <c r="J3913">
        <f>IFERROR(__xludf.DUMMYFUNCTION("""COMPUTED_VALUE"""),"Paris, (France)")</f>
        <v/>
      </c>
      <c r="K3913">
        <f>IFERROR(__xludf.DUMMYFUNCTION("""COMPUTED_VALUE"""),10993.26)</f>
        <v/>
      </c>
    </row>
    <row r="3914">
      <c r="J3914">
        <f>IFERROR(__xludf.DUMMYFUNCTION("""COMPUTED_VALUE"""),"India- Mumbai and Dehli")</f>
        <v/>
      </c>
      <c r="K3914">
        <f>IFERROR(__xludf.DUMMYFUNCTION("""COMPUTED_VALUE"""),10989.68)</f>
        <v/>
      </c>
    </row>
    <row r="3915">
      <c r="J3915">
        <f>IFERROR(__xludf.DUMMYFUNCTION("""COMPUTED_VALUE"""),"Davos, Switzerland and Munich, Germany")</f>
        <v/>
      </c>
      <c r="K3915">
        <f>IFERROR(__xludf.DUMMYFUNCTION("""COMPUTED_VALUE"""),10985.56)</f>
        <v/>
      </c>
    </row>
    <row r="3916">
      <c r="J3916">
        <f>IFERROR(__xludf.DUMMYFUNCTION("""COMPUTED_VALUE"""),"Trois-Rivieres, Quebec, Canada")</f>
        <v/>
      </c>
      <c r="K3916">
        <f>IFERROR(__xludf.DUMMYFUNCTION("""COMPUTED_VALUE"""),10983.4799999999)</f>
        <v/>
      </c>
    </row>
    <row r="3917">
      <c r="J3917">
        <f>IFERROR(__xludf.DUMMYFUNCTION("""COMPUTED_VALUE"""),"Miami, FL, USA")</f>
        <v/>
      </c>
      <c r="K3917">
        <f>IFERROR(__xludf.DUMMYFUNCTION("""COMPUTED_VALUE"""),10981.72)</f>
        <v/>
      </c>
    </row>
    <row r="3918">
      <c r="J3918">
        <f>IFERROR(__xludf.DUMMYFUNCTION("""COMPUTED_VALUE"""),"Sydney, Australia;
Melbourne, Australia")</f>
        <v/>
      </c>
      <c r="K3918">
        <f>IFERROR(__xludf.DUMMYFUNCTION("""COMPUTED_VALUE"""),10981.25)</f>
        <v/>
      </c>
    </row>
    <row r="3919">
      <c r="J3919">
        <f>IFERROR(__xludf.DUMMYFUNCTION("""COMPUTED_VALUE"""),"Fredericton, New Brunswick, Canada / St. John's, Newfoundland and Labrador, Canada")</f>
        <v/>
      </c>
      <c r="K3919">
        <f>IFERROR(__xludf.DUMMYFUNCTION("""COMPUTED_VALUE"""),10979.11)</f>
        <v/>
      </c>
    </row>
    <row r="3920">
      <c r="J3920">
        <f>IFERROR(__xludf.DUMMYFUNCTION("""COMPUTED_VALUE"""),"Shizuoka, Japan")</f>
        <v/>
      </c>
      <c r="K3920">
        <f>IFERROR(__xludf.DUMMYFUNCTION("""COMPUTED_VALUE"""),10978.29)</f>
        <v/>
      </c>
    </row>
    <row r="3921">
      <c r="J3921">
        <f>IFERROR(__xludf.DUMMYFUNCTION("""COMPUTED_VALUE"""),"Victoria/Vancouver/Kelowna, BC, Canada &amp; Calgary, AB, Canada")</f>
        <v/>
      </c>
      <c r="K3921">
        <f>IFERROR(__xludf.DUMMYFUNCTION("""COMPUTED_VALUE"""),10976.02)</f>
        <v/>
      </c>
    </row>
    <row r="3922">
      <c r="J3922">
        <f>IFERROR(__xludf.DUMMYFUNCTION("""COMPUTED_VALUE"""),"Halifax, St. John's, Ottawa and Toronto")</f>
        <v/>
      </c>
      <c r="K3922">
        <f>IFERROR(__xludf.DUMMYFUNCTION("""COMPUTED_VALUE"""),10975.5)</f>
        <v/>
      </c>
    </row>
    <row r="3923">
      <c r="J3923">
        <f>IFERROR(__xludf.DUMMYFUNCTION("""COMPUTED_VALUE"""),"Berlin and Halifax")</f>
        <v/>
      </c>
      <c r="K3923">
        <f>IFERROR(__xludf.DUMMYFUNCTION("""COMPUTED_VALUE"""),10969.44)</f>
        <v/>
      </c>
    </row>
    <row r="3924">
      <c r="J3924">
        <f>IFERROR(__xludf.DUMMYFUNCTION("""COMPUTED_VALUE"""),"Brussels, Belgium &amp;  Wiesbaden, Germany")</f>
        <v/>
      </c>
      <c r="K3924">
        <f>IFERROR(__xludf.DUMMYFUNCTION("""COMPUTED_VALUE"""),10968.17)</f>
        <v/>
      </c>
    </row>
    <row r="3925">
      <c r="J3925">
        <f>IFERROR(__xludf.DUMMYFUNCTION("""COMPUTED_VALUE"""),"Vienna, Austria - Paris, France")</f>
        <v/>
      </c>
      <c r="K3925">
        <f>IFERROR(__xludf.DUMMYFUNCTION("""COMPUTED_VALUE"""),10967.73)</f>
        <v/>
      </c>
    </row>
    <row r="3926">
      <c r="J3926">
        <f>IFERROR(__xludf.DUMMYFUNCTION("""COMPUTED_VALUE"""),"Lyon, France
Paris, France")</f>
        <v/>
      </c>
      <c r="K3926">
        <f>IFERROR(__xludf.DUMMYFUNCTION("""COMPUTED_VALUE"""),10963.87)</f>
        <v/>
      </c>
    </row>
    <row r="3927">
      <c r="J3927">
        <f>IFERROR(__xludf.DUMMYFUNCTION("""COMPUTED_VALUE"""),"Asuncion, Paraguay Brasilia, Sao Paulo &amp; Rio de Janeiro, Brazil")</f>
        <v/>
      </c>
      <c r="K3927">
        <f>IFERROR(__xludf.DUMMYFUNCTION("""COMPUTED_VALUE"""),10961.79)</f>
        <v/>
      </c>
    </row>
    <row r="3928">
      <c r="J3928">
        <f>IFERROR(__xludf.DUMMYFUNCTION("""COMPUTED_VALUE"""),"Colombo, Sri Lanka and Shanghai, China")</f>
        <v/>
      </c>
      <c r="K3928">
        <f>IFERROR(__xludf.DUMMYFUNCTION("""COMPUTED_VALUE"""),10958.98)</f>
        <v/>
      </c>
    </row>
    <row r="3929">
      <c r="J3929">
        <f>IFERROR(__xludf.DUMMYFUNCTION("""COMPUTED_VALUE"""),"Split, Croatia")</f>
        <v/>
      </c>
      <c r="K3929">
        <f>IFERROR(__xludf.DUMMYFUNCTION("""COMPUTED_VALUE"""),10957.2)</f>
        <v/>
      </c>
    </row>
    <row r="3930">
      <c r="J3930">
        <f>IFERROR(__xludf.DUMMYFUNCTION("""COMPUTED_VALUE"""),"Halifax, Montreal and Ottawa")</f>
        <v/>
      </c>
      <c r="K3930">
        <f>IFERROR(__xludf.DUMMYFUNCTION("""COMPUTED_VALUE"""),10951.7)</f>
        <v/>
      </c>
    </row>
    <row r="3931">
      <c r="J3931">
        <f>IFERROR(__xludf.DUMMYFUNCTION("""COMPUTED_VALUE"""),"Paris, France and Frankfurt, Germany")</f>
        <v/>
      </c>
      <c r="K3931">
        <f>IFERROR(__xludf.DUMMYFUNCTION("""COMPUTED_VALUE"""),10950.61)</f>
        <v/>
      </c>
    </row>
    <row r="3932">
      <c r="J3932">
        <f>IFERROR(__xludf.DUMMYFUNCTION("""COMPUTED_VALUE"""),"Delhi, IN / Ahmedabad, IN")</f>
        <v/>
      </c>
      <c r="K3932">
        <f>IFERROR(__xludf.DUMMYFUNCTION("""COMPUTED_VALUE"""),10950.6)</f>
        <v/>
      </c>
    </row>
    <row r="3933">
      <c r="J3933">
        <f>IFERROR(__xludf.DUMMYFUNCTION("""COMPUTED_VALUE"""),"Ottawa(Ontario) Canada")</f>
        <v/>
      </c>
      <c r="K3933">
        <f>IFERROR(__xludf.DUMMYFUNCTION("""COMPUTED_VALUE"""),10949.74)</f>
        <v/>
      </c>
    </row>
    <row r="3934">
      <c r="J3934">
        <f>IFERROR(__xludf.DUMMYFUNCTION("""COMPUTED_VALUE"""),"Brussels &amp; London")</f>
        <v/>
      </c>
      <c r="K3934">
        <f>IFERROR(__xludf.DUMMYFUNCTION("""COMPUTED_VALUE"""),10942.34)</f>
        <v/>
      </c>
    </row>
    <row r="3935">
      <c r="J3935">
        <f>IFERROR(__xludf.DUMMYFUNCTION("""COMPUTED_VALUE"""),"Edmonton, Alberta, Canada; Inuvialuit, Nunavut, Canada")</f>
        <v/>
      </c>
      <c r="K3935">
        <f>IFERROR(__xludf.DUMMYFUNCTION("""COMPUTED_VALUE"""),10941.6)</f>
        <v/>
      </c>
    </row>
    <row r="3936">
      <c r="J3936">
        <f>IFERROR(__xludf.DUMMYFUNCTION("""COMPUTED_VALUE"""),"Sydney, Australia; Melbourne, Australia")</f>
        <v/>
      </c>
      <c r="K3936">
        <f>IFERROR(__xludf.DUMMYFUNCTION("""COMPUTED_VALUE"""),10941.23)</f>
        <v/>
      </c>
    </row>
    <row r="3937">
      <c r="J3937">
        <f>IFERROR(__xludf.DUMMYFUNCTION("""COMPUTED_VALUE"""),"Toronto, Victoria, Edmonton &amp; Regina")</f>
        <v/>
      </c>
      <c r="K3937">
        <f>IFERROR(__xludf.DUMMYFUNCTION("""COMPUTED_VALUE"""),10940.25)</f>
        <v/>
      </c>
    </row>
    <row r="3938">
      <c r="J3938">
        <f>IFERROR(__xludf.DUMMYFUNCTION("""COMPUTED_VALUE"""),"Dubai, United Arab Emirates Jordan, Amman")</f>
        <v/>
      </c>
      <c r="K3938">
        <f>IFERROR(__xludf.DUMMYFUNCTION("""COMPUTED_VALUE"""),10939.55)</f>
        <v/>
      </c>
    </row>
    <row r="3939">
      <c r="J3939">
        <f>IFERROR(__xludf.DUMMYFUNCTION("""COMPUTED_VALUE"""),"Vancouver, Winnipeg, Regina, Calgary, Banff")</f>
        <v/>
      </c>
      <c r="K3939">
        <f>IFERROR(__xludf.DUMMYFUNCTION("""COMPUTED_VALUE"""),10937.58)</f>
        <v/>
      </c>
    </row>
    <row r="3940">
      <c r="J3940">
        <f>IFERROR(__xludf.DUMMYFUNCTION("""COMPUTED_VALUE"""),"France-Lorraine, Paris")</f>
        <v/>
      </c>
      <c r="K3940">
        <f>IFERROR(__xludf.DUMMYFUNCTION("""COMPUTED_VALUE"""),10936.38)</f>
        <v/>
      </c>
    </row>
    <row r="3941">
      <c r="J3941">
        <f>IFERROR(__xludf.DUMMYFUNCTION("""COMPUTED_VALUE"""),"Beijing, Shanghai, Hong Kong")</f>
        <v/>
      </c>
      <c r="K3941">
        <f>IFERROR(__xludf.DUMMYFUNCTION("""COMPUTED_VALUE"""),10934.86)</f>
        <v/>
      </c>
    </row>
    <row r="3942">
      <c r="J3942">
        <f>IFERROR(__xludf.DUMMYFUNCTION("""COMPUTED_VALUE"""),"Trinidad &amp; Tobago, Guyana and Suriname")</f>
        <v/>
      </c>
      <c r="K3942">
        <f>IFERROR(__xludf.DUMMYFUNCTION("""COMPUTED_VALUE"""),10931.45)</f>
        <v/>
      </c>
    </row>
    <row r="3943">
      <c r="J3943">
        <f>IFERROR(__xludf.DUMMYFUNCTION("""COMPUTED_VALUE"""),"Pasadena, California, United States")</f>
        <v/>
      </c>
      <c r="K3943">
        <f>IFERROR(__xludf.DUMMYFUNCTION("""COMPUTED_VALUE"""),10927.59)</f>
        <v/>
      </c>
    </row>
    <row r="3944">
      <c r="J3944">
        <f>IFERROR(__xludf.DUMMYFUNCTION("""COMPUTED_VALUE"""),"Brasilia, Brazil and Montevideo, Uruguay")</f>
        <v/>
      </c>
      <c r="K3944">
        <f>IFERROR(__xludf.DUMMYFUNCTION("""COMPUTED_VALUE"""),10925.8)</f>
        <v/>
      </c>
    </row>
    <row r="3945">
      <c r="J3945">
        <f>IFERROR(__xludf.DUMMYFUNCTION("""COMPUTED_VALUE"""),"York, England")</f>
        <v/>
      </c>
      <c r="K3945">
        <f>IFERROR(__xludf.DUMMYFUNCTION("""COMPUTED_VALUE"""),10925.13)</f>
        <v/>
      </c>
    </row>
    <row r="3946">
      <c r="J3946">
        <f>IFERROR(__xludf.DUMMYFUNCTION("""COMPUTED_VALUE"""),"Colorado Springs, Colorado, USA")</f>
        <v/>
      </c>
      <c r="K3946">
        <f>IFERROR(__xludf.DUMMYFUNCTION("""COMPUTED_VALUE"""),10922.75)</f>
        <v/>
      </c>
    </row>
    <row r="3947">
      <c r="J3947">
        <f>IFERROR(__xludf.DUMMYFUNCTION("""COMPUTED_VALUE"""),"Kuwait, Jordan, Iraq")</f>
        <v/>
      </c>
      <c r="K3947">
        <f>IFERROR(__xludf.DUMMYFUNCTION("""COMPUTED_VALUE"""),10921.46)</f>
        <v/>
      </c>
    </row>
    <row r="3948">
      <c r="J3948">
        <f>IFERROR(__xludf.DUMMYFUNCTION("""COMPUTED_VALUE"""),"Antigua and Guatemala City, Guatemala")</f>
        <v/>
      </c>
      <c r="K3948">
        <f>IFERROR(__xludf.DUMMYFUNCTION("""COMPUTED_VALUE"""),10917.57)</f>
        <v/>
      </c>
    </row>
    <row r="3949">
      <c r="J3949">
        <f>IFERROR(__xludf.DUMMYFUNCTION("""COMPUTED_VALUE"""),"Edmonton, (Alberta)")</f>
        <v/>
      </c>
      <c r="K3949">
        <f>IFERROR(__xludf.DUMMYFUNCTION("""COMPUTED_VALUE"""),10913.03)</f>
        <v/>
      </c>
    </row>
    <row r="3950">
      <c r="J3950">
        <f>IFERROR(__xludf.DUMMYFUNCTION("""COMPUTED_VALUE"""),"Kaliningrad, Russia")</f>
        <v/>
      </c>
      <c r="K3950">
        <f>IFERROR(__xludf.DUMMYFUNCTION("""COMPUTED_VALUE"""),10908.57)</f>
        <v/>
      </c>
    </row>
    <row r="3951">
      <c r="J3951">
        <f>IFERROR(__xludf.DUMMYFUNCTION("""COMPUTED_VALUE"""),"LONDON/PARIS/BRUSSELS")</f>
        <v/>
      </c>
      <c r="K3951">
        <f>IFERROR(__xludf.DUMMYFUNCTION("""COMPUTED_VALUE"""),10905.32)</f>
        <v/>
      </c>
    </row>
    <row r="3952">
      <c r="J3952">
        <f>IFERROR(__xludf.DUMMYFUNCTION("""COMPUTED_VALUE"""),"Mississauga, Ontario")</f>
        <v/>
      </c>
      <c r="K3952">
        <f>IFERROR(__xludf.DUMMYFUNCTION("""COMPUTED_VALUE"""),10899.12)</f>
        <v/>
      </c>
    </row>
    <row r="3953">
      <c r="J3953">
        <f>IFERROR(__xludf.DUMMYFUNCTION("""COMPUTED_VALUE"""),"New York, NY and London/Ditchley Park, UK")</f>
        <v/>
      </c>
      <c r="K3953">
        <f>IFERROR(__xludf.DUMMYFUNCTION("""COMPUTED_VALUE"""),10897.77)</f>
        <v/>
      </c>
    </row>
    <row r="3954">
      <c r="J3954">
        <f>IFERROR(__xludf.DUMMYFUNCTION("""COMPUTED_VALUE"""),"Algeria/Beirut")</f>
        <v/>
      </c>
      <c r="K3954">
        <f>IFERROR(__xludf.DUMMYFUNCTION("""COMPUTED_VALUE"""),10894.94)</f>
        <v/>
      </c>
    </row>
    <row r="3955">
      <c r="J3955">
        <f>IFERROR(__xludf.DUMMYFUNCTION("""COMPUTED_VALUE"""),"Grainau and Berlin, Germany; Miami")</f>
        <v/>
      </c>
      <c r="K3955">
        <f>IFERROR(__xludf.DUMMYFUNCTION("""COMPUTED_VALUE"""),10894.12)</f>
        <v/>
      </c>
    </row>
    <row r="3956">
      <c r="J3956">
        <f>IFERROR(__xludf.DUMMYFUNCTION("""COMPUTED_VALUE"""),"London/Watford, UK")</f>
        <v/>
      </c>
      <c r="K3956">
        <f>IFERROR(__xludf.DUMMYFUNCTION("""COMPUTED_VALUE"""),10891.83)</f>
        <v/>
      </c>
    </row>
    <row r="3957">
      <c r="J3957">
        <f>IFERROR(__xludf.DUMMYFUNCTION("""COMPUTED_VALUE"""),"Shanghai, Guangzhou, Beijing, China")</f>
        <v/>
      </c>
      <c r="K3957">
        <f>IFERROR(__xludf.DUMMYFUNCTION("""COMPUTED_VALUE"""),10891.13)</f>
        <v/>
      </c>
    </row>
    <row r="3958">
      <c r="J3958">
        <f>IFERROR(__xludf.DUMMYFUNCTION("""COMPUTED_VALUE"""),"Namibia and Zambia")</f>
        <v/>
      </c>
      <c r="K3958">
        <f>IFERROR(__xludf.DUMMYFUNCTION("""COMPUTED_VALUE"""),10886.15)</f>
        <v/>
      </c>
    </row>
    <row r="3959">
      <c r="J3959">
        <f>IFERROR(__xludf.DUMMYFUNCTION("""COMPUTED_VALUE"""),"Singapore. Hong Kong")</f>
        <v/>
      </c>
      <c r="K3959">
        <f>IFERROR(__xludf.DUMMYFUNCTION("""COMPUTED_VALUE"""),10884.52)</f>
        <v/>
      </c>
    </row>
    <row r="3960">
      <c r="J3960">
        <f>IFERROR(__xludf.DUMMYFUNCTION("""COMPUTED_VALUE"""),"Kiruna (Sweden)")</f>
        <v/>
      </c>
      <c r="K3960">
        <f>IFERROR(__xludf.DUMMYFUNCTION("""COMPUTED_VALUE"""),10884.47)</f>
        <v/>
      </c>
    </row>
    <row r="3961">
      <c r="J3961">
        <f>IFERROR(__xludf.DUMMYFUNCTION("""COMPUTED_VALUE"""),"JAPAN, TAIWAN")</f>
        <v/>
      </c>
      <c r="K3961">
        <f>IFERROR(__xludf.DUMMYFUNCTION("""COMPUTED_VALUE"""),10883.54)</f>
        <v/>
      </c>
    </row>
    <row r="3962">
      <c r="J3962">
        <f>IFERROR(__xludf.DUMMYFUNCTION("""COMPUTED_VALUE"""),"Fredericton, NB and Helsinki, Finland")</f>
        <v/>
      </c>
      <c r="K3962">
        <f>IFERROR(__xludf.DUMMYFUNCTION("""COMPUTED_VALUE"""),10880.8)</f>
        <v/>
      </c>
    </row>
    <row r="3963">
      <c r="J3963">
        <f>IFERROR(__xludf.DUMMYFUNCTION("""COMPUTED_VALUE"""),"Dakar, Senegal; 
Gao, Mali")</f>
        <v/>
      </c>
      <c r="K3963">
        <f>IFERROR(__xludf.DUMMYFUNCTION("""COMPUTED_VALUE"""),10877.8)</f>
        <v/>
      </c>
    </row>
    <row r="3964">
      <c r="J3964">
        <f>IFERROR(__xludf.DUMMYFUNCTION("""COMPUTED_VALUE"""),"Alberta and Manitoba, Canada")</f>
        <v/>
      </c>
      <c r="K3964">
        <f>IFERROR(__xludf.DUMMYFUNCTION("""COMPUTED_VALUE"""),10874.3699999999)</f>
        <v/>
      </c>
    </row>
    <row r="3965">
      <c r="J3965">
        <f>IFERROR(__xludf.DUMMYFUNCTION("""COMPUTED_VALUE"""),"London, UK / Edinburgh, UK")</f>
        <v/>
      </c>
      <c r="K3965">
        <f>IFERROR(__xludf.DUMMYFUNCTION("""COMPUTED_VALUE"""),10870.88)</f>
        <v/>
      </c>
    </row>
    <row r="3966">
      <c r="J3966">
        <f>IFERROR(__xludf.DUMMYFUNCTION("""COMPUTED_VALUE"""),"Seoul-Siheung-dong, Korea - Daegu (ex Taegu), Korea - Beiing, China")</f>
        <v/>
      </c>
      <c r="K3966">
        <f>IFERROR(__xludf.DUMMYFUNCTION("""COMPUTED_VALUE"""),10867.92)</f>
        <v/>
      </c>
    </row>
    <row r="3967">
      <c r="J3967">
        <f>IFERROR(__xludf.DUMMYFUNCTION("""COMPUTED_VALUE"""),"Tokyo, Vancouver and Toronto")</f>
        <v/>
      </c>
      <c r="K3967">
        <f>IFERROR(__xludf.DUMMYFUNCTION("""COMPUTED_VALUE"""),10865.87)</f>
        <v/>
      </c>
    </row>
    <row r="3968">
      <c r="J3968">
        <f>IFERROR(__xludf.DUMMYFUNCTION("""COMPUTED_VALUE"""),"Fairbanks")</f>
        <v/>
      </c>
      <c r="K3968">
        <f>IFERROR(__xludf.DUMMYFUNCTION("""COMPUTED_VALUE"""),10864.47)</f>
        <v/>
      </c>
    </row>
    <row r="3969">
      <c r="J3969">
        <f>IFERROR(__xludf.DUMMYFUNCTION("""COMPUTED_VALUE"""),"Santiago, Chili &amp; Sao Paulo, Brazil")</f>
        <v/>
      </c>
      <c r="K3969">
        <f>IFERROR(__xludf.DUMMYFUNCTION("""COMPUTED_VALUE"""),10862.72)</f>
        <v/>
      </c>
    </row>
    <row r="3970">
      <c r="J3970">
        <f>IFERROR(__xludf.DUMMYFUNCTION("""COMPUTED_VALUE"""),"Kyoto, Japan - Tokyo, Japan")</f>
        <v/>
      </c>
      <c r="K3970">
        <f>IFERROR(__xludf.DUMMYFUNCTION("""COMPUTED_VALUE"""),10859.36)</f>
        <v/>
      </c>
    </row>
    <row r="3971">
      <c r="J3971">
        <f>IFERROR(__xludf.DUMMYFUNCTION("""COMPUTED_VALUE"""),"Ottawa (Canada)- Paris (France)- Stockholm (Sweden) - Ottawa (Canada)")</f>
        <v/>
      </c>
      <c r="K3971">
        <f>IFERROR(__xludf.DUMMYFUNCTION("""COMPUTED_VALUE"""),10852.9)</f>
        <v/>
      </c>
    </row>
    <row r="3972">
      <c r="J3972">
        <f>IFERROR(__xludf.DUMMYFUNCTION("""COMPUTED_VALUE"""),"Washington, District of Columbia,  United States")</f>
        <v/>
      </c>
      <c r="K3972">
        <f>IFERROR(__xludf.DUMMYFUNCTION("""COMPUTED_VALUE"""),10852.62)</f>
        <v/>
      </c>
    </row>
    <row r="3973">
      <c r="J3973">
        <f>IFERROR(__xludf.DUMMYFUNCTION("""COMPUTED_VALUE"""),"London, United Kingdon")</f>
        <v/>
      </c>
      <c r="K3973">
        <f>IFERROR(__xludf.DUMMYFUNCTION("""COMPUTED_VALUE"""),10852.43)</f>
        <v/>
      </c>
    </row>
    <row r="3974">
      <c r="J3974">
        <f>IFERROR(__xludf.DUMMYFUNCTION("""COMPUTED_VALUE"""),"Muharraq, Bahrain; Kuwait City, Kuwait")</f>
        <v/>
      </c>
      <c r="K3974">
        <f>IFERROR(__xludf.DUMMYFUNCTION("""COMPUTED_VALUE"""),10848.54)</f>
        <v/>
      </c>
    </row>
    <row r="3975">
      <c r="J3975">
        <f>IFERROR(__xludf.DUMMYFUNCTION("""COMPUTED_VALUE"""),"Kigali, Rwanda, Africa")</f>
        <v/>
      </c>
      <c r="K3975">
        <f>IFERROR(__xludf.DUMMYFUNCTION("""COMPUTED_VALUE"""),10848.46)</f>
        <v/>
      </c>
    </row>
    <row r="3976">
      <c r="J3976">
        <f>IFERROR(__xludf.DUMMYFUNCTION("""COMPUTED_VALUE"""),"London (UK), Vienna (Austria), Brussels (Belgium)")</f>
        <v/>
      </c>
      <c r="K3976">
        <f>IFERROR(__xludf.DUMMYFUNCTION("""COMPUTED_VALUE"""),10848.41)</f>
        <v/>
      </c>
    </row>
    <row r="3977">
      <c r="J3977">
        <f>IFERROR(__xludf.DUMMYFUNCTION("""COMPUTED_VALUE"""),"Washington, DC and Toronto, ON")</f>
        <v/>
      </c>
      <c r="K3977">
        <f>IFERROR(__xludf.DUMMYFUNCTION("""COMPUTED_VALUE"""),10848.27)</f>
        <v/>
      </c>
    </row>
    <row r="3978">
      <c r="J3978">
        <f>IFERROR(__xludf.DUMMYFUNCTION("""COMPUTED_VALUE"""),"Ottawa, ON Rigaud, QC")</f>
        <v/>
      </c>
      <c r="K3978">
        <f>IFERROR(__xludf.DUMMYFUNCTION("""COMPUTED_VALUE"""),10845.24)</f>
        <v/>
      </c>
    </row>
    <row r="3979">
      <c r="J3979">
        <f>IFERROR(__xludf.DUMMYFUNCTION("""COMPUTED_VALUE"""),"Kazan, Russia")</f>
        <v/>
      </c>
      <c r="K3979">
        <f>IFERROR(__xludf.DUMMYFUNCTION("""COMPUTED_VALUE"""),10844.65)</f>
        <v/>
      </c>
    </row>
    <row r="3980">
      <c r="J3980">
        <f>IFERROR(__xludf.DUMMYFUNCTION("""COMPUTED_VALUE"""),"Ottawa - Japan - Ottawa")</f>
        <v/>
      </c>
      <c r="K3980">
        <f>IFERROR(__xludf.DUMMYFUNCTION("""COMPUTED_VALUE"""),10844.62)</f>
        <v/>
      </c>
    </row>
    <row r="3981">
      <c r="J3981">
        <f>IFERROR(__xludf.DUMMYFUNCTION("""COMPUTED_VALUE"""),"Vienna, Austria
Bratislava, Slovakia")</f>
        <v/>
      </c>
      <c r="K3981">
        <f>IFERROR(__xludf.DUMMYFUNCTION("""COMPUTED_VALUE"""),10843.03)</f>
        <v/>
      </c>
    </row>
    <row r="3982">
      <c r="J3982">
        <f>IFERROR(__xludf.DUMMYFUNCTION("""COMPUTED_VALUE"""),"Bonn, Berlin, Germany")</f>
        <v/>
      </c>
      <c r="K3982">
        <f>IFERROR(__xludf.DUMMYFUNCTION("""COMPUTED_VALUE"""),10838.28)</f>
        <v/>
      </c>
    </row>
    <row r="3983">
      <c r="J3983">
        <f>IFERROR(__xludf.DUMMYFUNCTION("""COMPUTED_VALUE"""),"Edmonton, Alberta, Canada; Calgary, Alberta, Canada; Vancouver, British Columbia, Canada")</f>
        <v/>
      </c>
      <c r="K3983">
        <f>IFERROR(__xludf.DUMMYFUNCTION("""COMPUTED_VALUE"""),10834.69)</f>
        <v/>
      </c>
    </row>
    <row r="3984">
      <c r="J3984">
        <f>IFERROR(__xludf.DUMMYFUNCTION("""COMPUTED_VALUE"""),"Boracay Philippines Islamabad Pakistan")</f>
        <v/>
      </c>
      <c r="K3984">
        <f>IFERROR(__xludf.DUMMYFUNCTION("""COMPUTED_VALUE"""),10832.44)</f>
        <v/>
      </c>
    </row>
    <row r="3985">
      <c r="J3985">
        <f>IFERROR(__xludf.DUMMYFUNCTION("""COMPUTED_VALUE"""),"Abu Dhabi, United Arab Emirates / New Delhi and Chandigarh, India")</f>
        <v/>
      </c>
      <c r="K3985">
        <f>IFERROR(__xludf.DUMMYFUNCTION("""COMPUTED_VALUE"""),10832.29)</f>
        <v/>
      </c>
    </row>
    <row r="3986">
      <c r="J3986">
        <f>IFERROR(__xludf.DUMMYFUNCTION("""COMPUTED_VALUE"""),"Québec, Quebec, Canada; Halifax, Nova Scotia, Canada; Toronto, Ontario, Canada")</f>
        <v/>
      </c>
      <c r="K3986">
        <f>IFERROR(__xludf.DUMMYFUNCTION("""COMPUTED_VALUE"""),10830.02)</f>
        <v/>
      </c>
    </row>
    <row r="3987">
      <c r="J3987">
        <f>IFERROR(__xludf.DUMMYFUNCTION("""COMPUTED_VALUE"""),"Mumbai - Bangalore - Chennai, India")</f>
        <v/>
      </c>
      <c r="K3987">
        <f>IFERROR(__xludf.DUMMYFUNCTION("""COMPUTED_VALUE"""),10827.26)</f>
        <v/>
      </c>
    </row>
    <row r="3988">
      <c r="J3988">
        <f>IFERROR(__xludf.DUMMYFUNCTION("""COMPUTED_VALUE"""),"Rome,Florence, (Italy)")</f>
        <v/>
      </c>
      <c r="K3988">
        <f>IFERROR(__xludf.DUMMYFUNCTION("""COMPUTED_VALUE"""),10821.09)</f>
        <v/>
      </c>
    </row>
    <row r="3989">
      <c r="J3989">
        <f>IFERROR(__xludf.DUMMYFUNCTION("""COMPUTED_VALUE"""),"Thunder Bay")</f>
        <v/>
      </c>
      <c r="K3989">
        <f>IFERROR(__xludf.DUMMYFUNCTION("""COMPUTED_VALUE"""),10820.3)</f>
        <v/>
      </c>
    </row>
    <row r="3990">
      <c r="J3990">
        <f>IFERROR(__xludf.DUMMYFUNCTION("""COMPUTED_VALUE"""),"New York, New York, United-States")</f>
        <v/>
      </c>
      <c r="K3990">
        <f>IFERROR(__xludf.DUMMYFUNCTION("""COMPUTED_VALUE"""),10820.19)</f>
        <v/>
      </c>
    </row>
    <row r="3991">
      <c r="J3991">
        <f>IFERROR(__xludf.DUMMYFUNCTION("""COMPUTED_VALUE"""),"TORONTO, ON, CANADA")</f>
        <v/>
      </c>
      <c r="K3991">
        <f>IFERROR(__xludf.DUMMYFUNCTION("""COMPUTED_VALUE"""),10816.16)</f>
        <v/>
      </c>
    </row>
    <row r="3992">
      <c r="J3992">
        <f>IFERROR(__xludf.DUMMYFUNCTION("""COMPUTED_VALUE"""),"Riga (Latvia), Europe")</f>
        <v/>
      </c>
      <c r="K3992">
        <f>IFERROR(__xludf.DUMMYFUNCTION("""COMPUTED_VALUE"""),10814.47)</f>
        <v/>
      </c>
    </row>
    <row r="3993">
      <c r="J3993">
        <f>IFERROR(__xludf.DUMMYFUNCTION("""COMPUTED_VALUE"""),"Baltimore, Maryland, United States")</f>
        <v/>
      </c>
      <c r="K3993">
        <f>IFERROR(__xludf.DUMMYFUNCTION("""COMPUTED_VALUE"""),10812.58)</f>
        <v/>
      </c>
    </row>
    <row r="3994">
      <c r="J3994">
        <f>IFERROR(__xludf.DUMMYFUNCTION("""COMPUTED_VALUE"""),"Bergen, Copenhague, Malmo, Europe")</f>
        <v/>
      </c>
      <c r="K3994">
        <f>IFERROR(__xludf.DUMMYFUNCTION("""COMPUTED_VALUE"""),10807.75)</f>
        <v/>
      </c>
    </row>
    <row r="3995">
      <c r="J3995">
        <f>IFERROR(__xludf.DUMMYFUNCTION("""COMPUTED_VALUE"""),"Toronto, ON - Vancouver, BC")</f>
        <v/>
      </c>
      <c r="K3995">
        <f>IFERROR(__xludf.DUMMYFUNCTION("""COMPUTED_VALUE"""),10807)</f>
        <v/>
      </c>
    </row>
    <row r="3996">
      <c r="J3996">
        <f>IFERROR(__xludf.DUMMYFUNCTION("""COMPUTED_VALUE"""),"Durban, SA")</f>
        <v/>
      </c>
      <c r="K3996">
        <f>IFERROR(__xludf.DUMMYFUNCTION("""COMPUTED_VALUE"""),10804.76)</f>
        <v/>
      </c>
    </row>
    <row r="3997">
      <c r="J3997">
        <f>IFERROR(__xludf.DUMMYFUNCTION("""COMPUTED_VALUE"""),"Philadelphia")</f>
        <v/>
      </c>
      <c r="K3997">
        <f>IFERROR(__xludf.DUMMYFUNCTION("""COMPUTED_VALUE"""),10799.19)</f>
        <v/>
      </c>
    </row>
    <row r="3998">
      <c r="J3998">
        <f>IFERROR(__xludf.DUMMYFUNCTION("""COMPUTED_VALUE"""),"Paris, France  Senegal, Africa")</f>
        <v/>
      </c>
      <c r="K3998">
        <f>IFERROR(__xludf.DUMMYFUNCTION("""COMPUTED_VALUE"""),10796.7)</f>
        <v/>
      </c>
    </row>
    <row r="3999">
      <c r="J3999">
        <f>IFERROR(__xludf.DUMMYFUNCTION("""COMPUTED_VALUE"""),"N/A.")</f>
        <v/>
      </c>
      <c r="K3999">
        <f>IFERROR(__xludf.DUMMYFUNCTION("""COMPUTED_VALUE"""),10796.3099999999)</f>
        <v/>
      </c>
    </row>
    <row r="4000">
      <c r="J4000">
        <f>IFERROR(__xludf.DUMMYFUNCTION("""COMPUTED_VALUE"""),"VANCOUVER, BC &amp; SOUTH KOREA")</f>
        <v/>
      </c>
      <c r="K4000">
        <f>IFERROR(__xludf.DUMMYFUNCTION("""COMPUTED_VALUE"""),10792.97)</f>
        <v/>
      </c>
    </row>
    <row r="4001">
      <c r="J4001">
        <f>IFERROR(__xludf.DUMMYFUNCTION("""COMPUTED_VALUE"""),"Frankfurt, Germany and Toulouse, France")</f>
        <v/>
      </c>
      <c r="K4001">
        <f>IFERROR(__xludf.DUMMYFUNCTION("""COMPUTED_VALUE"""),10792.59)</f>
        <v/>
      </c>
    </row>
    <row r="4002">
      <c r="J4002">
        <f>IFERROR(__xludf.DUMMYFUNCTION("""COMPUTED_VALUE"""),"Seoul, Korea, Cebu, Philippines")</f>
        <v/>
      </c>
      <c r="K4002">
        <f>IFERROR(__xludf.DUMMYFUNCTION("""COMPUTED_VALUE"""),10789.65)</f>
        <v/>
      </c>
    </row>
    <row r="4003">
      <c r="J4003">
        <f>IFERROR(__xludf.DUMMYFUNCTION("""COMPUTED_VALUE"""),"Amman, Jordan Québec (QC)")</f>
        <v/>
      </c>
      <c r="K4003">
        <f>IFERROR(__xludf.DUMMYFUNCTION("""COMPUTED_VALUE"""),10789)</f>
        <v/>
      </c>
    </row>
    <row r="4004">
      <c r="J4004">
        <f>IFERROR(__xludf.DUMMYFUNCTION("""COMPUTED_VALUE"""),"Washington, United-States")</f>
        <v/>
      </c>
      <c r="K4004">
        <f>IFERROR(__xludf.DUMMYFUNCTION("""COMPUTED_VALUE"""),10787.29)</f>
        <v/>
      </c>
    </row>
    <row r="4005">
      <c r="J4005">
        <f>IFERROR(__xludf.DUMMYFUNCTION("""COMPUTED_VALUE"""),"Côte d'Ivoire, Sierra Lione")</f>
        <v/>
      </c>
      <c r="K4005">
        <f>IFERROR(__xludf.DUMMYFUNCTION("""COMPUTED_VALUE"""),10784.86)</f>
        <v/>
      </c>
    </row>
    <row r="4006">
      <c r="J4006">
        <f>IFERROR(__xludf.DUMMYFUNCTION("""COMPUTED_VALUE"""),"Riyadh, Delhi")</f>
        <v/>
      </c>
      <c r="K4006">
        <f>IFERROR(__xludf.DUMMYFUNCTION("""COMPUTED_VALUE"""),10778.18)</f>
        <v/>
      </c>
    </row>
    <row r="4007">
      <c r="J4007">
        <f>IFERROR(__xludf.DUMMYFUNCTION("""COMPUTED_VALUE"""),"Whitehorse, Yukon; Yellowknife, the Northwest Territories")</f>
        <v/>
      </c>
      <c r="K4007">
        <f>IFERROR(__xludf.DUMMYFUNCTION("""COMPUTED_VALUE"""),10777.68)</f>
        <v/>
      </c>
    </row>
    <row r="4008">
      <c r="J4008">
        <f>IFERROR(__xludf.DUMMYFUNCTION("""COMPUTED_VALUE"""),"Ukraine, France, Belgium")</f>
        <v/>
      </c>
      <c r="K4008">
        <f>IFERROR(__xludf.DUMMYFUNCTION("""COMPUTED_VALUE"""),10775.57)</f>
        <v/>
      </c>
    </row>
    <row r="4009">
      <c r="J4009">
        <f>IFERROR(__xludf.DUMMYFUNCTION("""COMPUTED_VALUE"""),"Olso, Norway, Helsinki, Findland, Halifax, Nova Scotia")</f>
        <v/>
      </c>
      <c r="K4009">
        <f>IFERROR(__xludf.DUMMYFUNCTION("""COMPUTED_VALUE"""),10772.81)</f>
        <v/>
      </c>
    </row>
    <row r="4010">
      <c r="J4010">
        <f>IFERROR(__xludf.DUMMYFUNCTION("""COMPUTED_VALUE"""),"New-York, New-York, U.S.A., Paris, France, London, United Kingdom")</f>
        <v/>
      </c>
      <c r="K4010">
        <f>IFERROR(__xludf.DUMMYFUNCTION("""COMPUTED_VALUE"""),10772.26)</f>
        <v/>
      </c>
    </row>
    <row r="4011">
      <c r="J4011">
        <f>IFERROR(__xludf.DUMMYFUNCTION("""COMPUTED_VALUE"""),"Vancouver, Toronto, Niagara-on-the-Lake, Montreal, Ottawa")</f>
        <v/>
      </c>
      <c r="K4011">
        <f>IFERROR(__xludf.DUMMYFUNCTION("""COMPUTED_VALUE"""),10770.93)</f>
        <v/>
      </c>
    </row>
    <row r="4012">
      <c r="J4012">
        <f>IFERROR(__xludf.DUMMYFUNCTION("""COMPUTED_VALUE"""),"Halifax, NS, Canada and Antwerp Belgium")</f>
        <v/>
      </c>
      <c r="K4012">
        <f>IFERROR(__xludf.DUMMYFUNCTION("""COMPUTED_VALUE"""),10768.78)</f>
        <v/>
      </c>
    </row>
    <row r="4013">
      <c r="J4013">
        <f>IFERROR(__xludf.DUMMYFUNCTION("""COMPUTED_VALUE"""),"Paro, Bhutan")</f>
        <v/>
      </c>
      <c r="K4013">
        <f>IFERROR(__xludf.DUMMYFUNCTION("""COMPUTED_VALUE"""),10767.31)</f>
        <v/>
      </c>
    </row>
    <row r="4014">
      <c r="J4014">
        <f>IFERROR(__xludf.DUMMYFUNCTION("""COMPUTED_VALUE"""),"Germany and surrounding areas")</f>
        <v/>
      </c>
      <c r="K4014">
        <f>IFERROR(__xludf.DUMMYFUNCTION("""COMPUTED_VALUE"""),10765.34)</f>
        <v/>
      </c>
    </row>
    <row r="4015">
      <c r="J4015">
        <f>IFERROR(__xludf.DUMMYFUNCTION("""COMPUTED_VALUE"""),"Rome, Italy - London, UK - Paris, France - New York City, NY")</f>
        <v/>
      </c>
      <c r="K4015">
        <f>IFERROR(__xludf.DUMMYFUNCTION("""COMPUTED_VALUE"""),10764.61)</f>
        <v/>
      </c>
    </row>
    <row r="4016">
      <c r="J4016">
        <f>IFERROR(__xludf.DUMMYFUNCTION("""COMPUTED_VALUE"""),"Brussels, Belgium - Ryadh, Saudi Arabia")</f>
        <v/>
      </c>
      <c r="K4016">
        <f>IFERROR(__xludf.DUMMYFUNCTION("""COMPUTED_VALUE"""),10764.2)</f>
        <v/>
      </c>
    </row>
    <row r="4017">
      <c r="J4017">
        <f>IFERROR(__xludf.DUMMYFUNCTION("""COMPUTED_VALUE"""),"Singapore, Singapore -Denpasar, Bali, Indonesia")</f>
        <v/>
      </c>
      <c r="K4017">
        <f>IFERROR(__xludf.DUMMYFUNCTION("""COMPUTED_VALUE"""),10755.67)</f>
        <v/>
      </c>
    </row>
    <row r="4018">
      <c r="J4018">
        <f>IFERROR(__xludf.DUMMYFUNCTION("""COMPUTED_VALUE"""),"Aman, Jordan")</f>
        <v/>
      </c>
      <c r="K4018">
        <f>IFERROR(__xludf.DUMMYFUNCTION("""COMPUTED_VALUE"""),10754.96)</f>
        <v/>
      </c>
    </row>
    <row r="4019">
      <c r="J4019">
        <f>IFERROR(__xludf.DUMMYFUNCTION("""COMPUTED_VALUE"""),"Victoria, British Columbia, Canada; Vancouver, British Columbia, Canada; Calgary, Alberta, Canada")</f>
        <v/>
      </c>
      <c r="K4019">
        <f>IFERROR(__xludf.DUMMYFUNCTION("""COMPUTED_VALUE"""),10753.61)</f>
        <v/>
      </c>
    </row>
    <row r="4020">
      <c r="J4020">
        <f>IFERROR(__xludf.DUMMYFUNCTION("""COMPUTED_VALUE"""),"Palo Alto, CA; Ottawa, ON")</f>
        <v/>
      </c>
      <c r="K4020">
        <f>IFERROR(__xludf.DUMMYFUNCTION("""COMPUTED_VALUE"""),10751.11)</f>
        <v/>
      </c>
    </row>
    <row r="4021">
      <c r="J4021">
        <f>IFERROR(__xludf.DUMMYFUNCTION("""COMPUTED_VALUE"""),"Belize and Guatemala")</f>
        <v/>
      </c>
      <c r="K4021">
        <f>IFERROR(__xludf.DUMMYFUNCTION("""COMPUTED_VALUE"""),10750.82)</f>
        <v/>
      </c>
    </row>
    <row r="4022">
      <c r="J4022">
        <f>IFERROR(__xludf.DUMMYFUNCTION("""COMPUTED_VALUE"""),"Athens-Paris")</f>
        <v/>
      </c>
      <c r="K4022">
        <f>IFERROR(__xludf.DUMMYFUNCTION("""COMPUTED_VALUE"""),10748.61)</f>
        <v/>
      </c>
    </row>
    <row r="4023">
      <c r="J4023">
        <f>IFERROR(__xludf.DUMMYFUNCTION("""COMPUTED_VALUE"""),"Moncton, New Brunswick, Canada; Ottawa, Ontario, Canada")</f>
        <v/>
      </c>
      <c r="K4023">
        <f>IFERROR(__xludf.DUMMYFUNCTION("""COMPUTED_VALUE"""),10740.31)</f>
        <v/>
      </c>
    </row>
    <row r="4024">
      <c r="J4024">
        <f>IFERROR(__xludf.DUMMYFUNCTION("""COMPUTED_VALUE"""),"Taranto, Italy")</f>
        <v/>
      </c>
      <c r="K4024">
        <f>IFERROR(__xludf.DUMMYFUNCTION("""COMPUTED_VALUE"""),10740.26)</f>
        <v/>
      </c>
    </row>
    <row r="4025">
      <c r="J4025">
        <f>IFERROR(__xludf.DUMMYFUNCTION("""COMPUTED_VALUE"""),"Berlin, Germany
Frankfurt, Germany")</f>
        <v/>
      </c>
      <c r="K4025">
        <f>IFERROR(__xludf.DUMMYFUNCTION("""COMPUTED_VALUE"""),10739.12)</f>
        <v/>
      </c>
    </row>
    <row r="4026">
      <c r="J4026">
        <f>IFERROR(__xludf.DUMMYFUNCTION("""COMPUTED_VALUE"""),"Cuba, Panama and Guatemala")</f>
        <v/>
      </c>
      <c r="K4026">
        <f>IFERROR(__xludf.DUMMYFUNCTION("""COMPUTED_VALUE"""),10737.79)</f>
        <v/>
      </c>
    </row>
    <row r="4027">
      <c r="J4027">
        <f>IFERROR(__xludf.DUMMYFUNCTION("""COMPUTED_VALUE"""),"Campbellton, New Brunswick, Canada")</f>
        <v/>
      </c>
      <c r="K4027">
        <f>IFERROR(__xludf.DUMMYFUNCTION("""COMPUTED_VALUE"""),10736.86)</f>
        <v/>
      </c>
    </row>
    <row r="4028">
      <c r="J4028">
        <f>IFERROR(__xludf.DUMMYFUNCTION("""COMPUTED_VALUE"""),"North Bay, ON")</f>
        <v/>
      </c>
      <c r="K4028">
        <f>IFERROR(__xludf.DUMMYFUNCTION("""COMPUTED_VALUE"""),10735.9)</f>
        <v/>
      </c>
    </row>
    <row r="4029">
      <c r="J4029">
        <f>IFERROR(__xludf.DUMMYFUNCTION("""COMPUTED_VALUE"""),"Mexico, Washington, DC")</f>
        <v/>
      </c>
      <c r="K4029">
        <f>IFERROR(__xludf.DUMMYFUNCTION("""COMPUTED_VALUE"""),10733.2)</f>
        <v/>
      </c>
    </row>
    <row r="4030">
      <c r="J4030">
        <f>IFERROR(__xludf.DUMMYFUNCTION("""COMPUTED_VALUE"""),"Windsor, Ontario, Canada; Hamilton, Ontario, Canada; Niagara Falls, Ontario, Canada; Mississauga, Ontario, Canada")</f>
        <v/>
      </c>
      <c r="K4030">
        <f>IFERROR(__xludf.DUMMYFUNCTION("""COMPUTED_VALUE"""),10728.27)</f>
        <v/>
      </c>
    </row>
    <row r="4031">
      <c r="J4031">
        <f>IFERROR(__xludf.DUMMYFUNCTION("""COMPUTED_VALUE"""),"Cardiff, United Kingdom")</f>
        <v/>
      </c>
      <c r="K4031">
        <f>IFERROR(__xludf.DUMMYFUNCTION("""COMPUTED_VALUE"""),10727.8699999999)</f>
        <v/>
      </c>
    </row>
    <row r="4032">
      <c r="J4032">
        <f>IFERROR(__xludf.DUMMYFUNCTION("""COMPUTED_VALUE"""),"Mexico City, MX")</f>
        <v/>
      </c>
      <c r="K4032">
        <f>IFERROR(__xludf.DUMMYFUNCTION("""COMPUTED_VALUE"""),10727.63)</f>
        <v/>
      </c>
    </row>
    <row r="4033">
      <c r="J4033">
        <f>IFERROR(__xludf.DUMMYFUNCTION("""COMPUTED_VALUE"""),"Rome (Italy); Geneva (Switzerland)")</f>
        <v/>
      </c>
      <c r="K4033">
        <f>IFERROR(__xludf.DUMMYFUNCTION("""COMPUTED_VALUE"""),10724.52)</f>
        <v/>
      </c>
    </row>
    <row r="4034">
      <c r="J4034">
        <f>IFERROR(__xludf.DUMMYFUNCTION("""COMPUTED_VALUE"""),"Stavanger, Norway")</f>
        <v/>
      </c>
      <c r="K4034">
        <f>IFERROR(__xludf.DUMMYFUNCTION("""COMPUTED_VALUE"""),10723.53)</f>
        <v/>
      </c>
    </row>
    <row r="4035">
      <c r="J4035">
        <f>IFERROR(__xludf.DUMMYFUNCTION("""COMPUTED_VALUE"""),"Paris, France; Florence, Italy; Milan, Italy")</f>
        <v/>
      </c>
      <c r="K4035">
        <f>IFERROR(__xludf.DUMMYFUNCTION("""COMPUTED_VALUE"""),10718.22)</f>
        <v/>
      </c>
    </row>
    <row r="4036">
      <c r="J4036">
        <f>IFERROR(__xludf.DUMMYFUNCTION("""COMPUTED_VALUE"""),"Brussels, Belgium and Halifax, Nova Scotia")</f>
        <v/>
      </c>
      <c r="K4036">
        <f>IFERROR(__xludf.DUMMYFUNCTION("""COMPUTED_VALUE"""),10717.46)</f>
        <v/>
      </c>
    </row>
    <row r="4037">
      <c r="J4037">
        <f>IFERROR(__xludf.DUMMYFUNCTION("""COMPUTED_VALUE"""),"Abu Dhabi,United Arab Emirates")</f>
        <v/>
      </c>
      <c r="K4037">
        <f>IFERROR(__xludf.DUMMYFUNCTION("""COMPUTED_VALUE"""),10714.62)</f>
        <v/>
      </c>
    </row>
    <row r="4038">
      <c r="J4038">
        <f>IFERROR(__xludf.DUMMYFUNCTION("""COMPUTED_VALUE"""),"Vancouver, Ottawa, Toronto, Banff")</f>
        <v/>
      </c>
      <c r="K4038">
        <f>IFERROR(__xludf.DUMMYFUNCTION("""COMPUTED_VALUE"""),10710.71)</f>
        <v/>
      </c>
    </row>
    <row r="4039">
      <c r="J4039">
        <f>IFERROR(__xludf.DUMMYFUNCTION("""COMPUTED_VALUE"""),"Oakville, ON")</f>
        <v/>
      </c>
      <c r="K4039">
        <f>IFERROR(__xludf.DUMMYFUNCTION("""COMPUTED_VALUE"""),10707.75)</f>
        <v/>
      </c>
    </row>
    <row r="4040">
      <c r="J4040">
        <f>IFERROR(__xludf.DUMMYFUNCTION("""COMPUTED_VALUE"""),"San Jose, Costa Rica and Purdue (Indiana), USA")</f>
        <v/>
      </c>
      <c r="K4040">
        <f>IFERROR(__xludf.DUMMYFUNCTION("""COMPUTED_VALUE"""),10707.15)</f>
        <v/>
      </c>
    </row>
    <row r="4041">
      <c r="J4041">
        <f>IFERROR(__xludf.DUMMYFUNCTION("""COMPUTED_VALUE"""),"San Sebastian, Spain")</f>
        <v/>
      </c>
      <c r="K4041">
        <f>IFERROR(__xludf.DUMMYFUNCTION("""COMPUTED_VALUE"""),10706.93)</f>
        <v/>
      </c>
    </row>
    <row r="4042">
      <c r="J4042">
        <f>IFERROR(__xludf.DUMMYFUNCTION("""COMPUTED_VALUE"""),"Manila, Philippines / Ho Chi Minh, Vietnam / Hong Kong, China")</f>
        <v/>
      </c>
      <c r="K4042">
        <f>IFERROR(__xludf.DUMMYFUNCTION("""COMPUTED_VALUE"""),10705.17)</f>
        <v/>
      </c>
    </row>
    <row r="4043">
      <c r="J4043">
        <f>IFERROR(__xludf.DUMMYFUNCTION("""COMPUTED_VALUE"""),"Vancouver, British Columbia, Victoria, British Columbia and Nanaimo, British Columbia")</f>
        <v/>
      </c>
      <c r="K4043">
        <f>IFERROR(__xludf.DUMMYFUNCTION("""COMPUTED_VALUE"""),10700.45)</f>
        <v/>
      </c>
    </row>
    <row r="4044">
      <c r="J4044">
        <f>IFERROR(__xludf.DUMMYFUNCTION("""COMPUTED_VALUE"""),"Rome, Italy - Brussels, Belgium - Geneva, Switzerland")</f>
        <v/>
      </c>
      <c r="K4044">
        <f>IFERROR(__xludf.DUMMYFUNCTION("""COMPUTED_VALUE"""),10700.22)</f>
        <v/>
      </c>
    </row>
    <row r="4045">
      <c r="J4045">
        <f>IFERROR(__xludf.DUMMYFUNCTION("""COMPUTED_VALUE"""),"Ukraine, Poland, Germany")</f>
        <v/>
      </c>
      <c r="K4045">
        <f>IFERROR(__xludf.DUMMYFUNCTION("""COMPUTED_VALUE"""),10696.15)</f>
        <v/>
      </c>
    </row>
    <row r="4046">
      <c r="J4046">
        <f>IFERROR(__xludf.DUMMYFUNCTION("""COMPUTED_VALUE"""),"Saint-Sauveur, Quebec, Canada")</f>
        <v/>
      </c>
      <c r="K4046">
        <f>IFERROR(__xludf.DUMMYFUNCTION("""COMPUTED_VALUE"""),10695.93)</f>
        <v/>
      </c>
    </row>
    <row r="4047">
      <c r="J4047">
        <f>IFERROR(__xludf.DUMMYFUNCTION("""COMPUTED_VALUE"""),"Halifax, Nova Scotia; Montreal, Quebec; Winnipeg, Alberta; Vancouver, British-Columbia")</f>
        <v/>
      </c>
      <c r="K4047">
        <f>IFERROR(__xludf.DUMMYFUNCTION("""COMPUTED_VALUE"""),10694.09)</f>
        <v/>
      </c>
    </row>
    <row r="4048">
      <c r="J4048">
        <f>IFERROR(__xludf.DUMMYFUNCTION("""COMPUTED_VALUE"""),"Halifax, (Nova Scotia) Canada               Brussels, Belgium                               Paris, France")</f>
        <v/>
      </c>
      <c r="K4048">
        <f>IFERROR(__xludf.DUMMYFUNCTION("""COMPUTED_VALUE"""),10692.98)</f>
        <v/>
      </c>
    </row>
    <row r="4049">
      <c r="J4049">
        <f>IFERROR(__xludf.DUMMYFUNCTION("""COMPUTED_VALUE"""),"Ottawa (ON)")</f>
        <v/>
      </c>
      <c r="K4049">
        <f>IFERROR(__xludf.DUMMYFUNCTION("""COMPUTED_VALUE"""),10691.85)</f>
        <v/>
      </c>
    </row>
    <row r="4050">
      <c r="J4050">
        <f>IFERROR(__xludf.DUMMYFUNCTION("""COMPUTED_VALUE"""),"Vancouver (British Colombia) Canada")</f>
        <v/>
      </c>
      <c r="K4050">
        <f>IFERROR(__xludf.DUMMYFUNCTION("""COMPUTED_VALUE"""),10691.3)</f>
        <v/>
      </c>
    </row>
    <row r="4051">
      <c r="J4051">
        <f>IFERROR(__xludf.DUMMYFUNCTION("""COMPUTED_VALUE"""),"New Delhi, India and Dubai, United Arab Emirates)")</f>
        <v/>
      </c>
      <c r="K4051">
        <f>IFERROR(__xludf.DUMMYFUNCTION("""COMPUTED_VALUE"""),10689.71)</f>
        <v/>
      </c>
    </row>
    <row r="4052">
      <c r="J4052">
        <f>IFERROR(__xludf.DUMMYFUNCTION("""COMPUTED_VALUE"""),"Jakarta, Indonesia
Bangkok, Thailand")</f>
        <v/>
      </c>
      <c r="K4052">
        <f>IFERROR(__xludf.DUMMYFUNCTION("""COMPUTED_VALUE"""),10686.58)</f>
        <v/>
      </c>
    </row>
    <row r="4053">
      <c r="J4053">
        <f>IFERROR(__xludf.DUMMYFUNCTION("""COMPUTED_VALUE"""),"San Salvador &amp; Hondouras")</f>
        <v/>
      </c>
      <c r="K4053">
        <f>IFERROR(__xludf.DUMMYFUNCTION("""COMPUTED_VALUE"""),10686.25)</f>
        <v/>
      </c>
    </row>
    <row r="4054">
      <c r="J4054">
        <f>IFERROR(__xludf.DUMMYFUNCTION("""COMPUTED_VALUE"""),"Bonn, Germany; Vilnius and Washington")</f>
        <v/>
      </c>
      <c r="K4054">
        <f>IFERROR(__xludf.DUMMYFUNCTION("""COMPUTED_VALUE"""),10685.11)</f>
        <v/>
      </c>
    </row>
    <row r="4055">
      <c r="J4055">
        <f>IFERROR(__xludf.DUMMYFUNCTION("""COMPUTED_VALUE"""),"Victoria, BC Richmond, BC Kamloops, BC Prince George, BC")</f>
        <v/>
      </c>
      <c r="K4055">
        <f>IFERROR(__xludf.DUMMYFUNCTION("""COMPUTED_VALUE"""),10683.89)</f>
        <v/>
      </c>
    </row>
    <row r="4056">
      <c r="J4056">
        <f>IFERROR(__xludf.DUMMYFUNCTION("""COMPUTED_VALUE"""),"New-York, NY")</f>
        <v/>
      </c>
      <c r="K4056">
        <f>IFERROR(__xludf.DUMMYFUNCTION("""COMPUTED_VALUE"""),10682.0899999999)</f>
        <v/>
      </c>
    </row>
    <row r="4057">
      <c r="J4057">
        <f>IFERROR(__xludf.DUMMYFUNCTION("""COMPUTED_VALUE"""),"Minneapolis, Minnesota, United States")</f>
        <v/>
      </c>
      <c r="K4057">
        <f>IFERROR(__xludf.DUMMYFUNCTION("""COMPUTED_VALUE"""),10681.2799999999)</f>
        <v/>
      </c>
    </row>
    <row r="4058">
      <c r="J4058">
        <f>IFERROR(__xludf.DUMMYFUNCTION("""COMPUTED_VALUE"""),"Edmonton, Alberta, Canada - Saskatoon, Saskatchewan, Canada")</f>
        <v/>
      </c>
      <c r="K4058">
        <f>IFERROR(__xludf.DUMMYFUNCTION("""COMPUTED_VALUE"""),10678.55)</f>
        <v/>
      </c>
    </row>
    <row r="4059">
      <c r="J4059">
        <f>IFERROR(__xludf.DUMMYFUNCTION("""COMPUTED_VALUE"""),"Edmonton, Alberta, Canada; Quebec, Quebec, Canada")</f>
        <v/>
      </c>
      <c r="K4059">
        <f>IFERROR(__xludf.DUMMYFUNCTION("""COMPUTED_VALUE"""),10676.89)</f>
        <v/>
      </c>
    </row>
    <row r="4060">
      <c r="J4060">
        <f>IFERROR(__xludf.DUMMYFUNCTION("""COMPUTED_VALUE"""),"Jeju Island, Busan, Seoul, Republic of South Korea")</f>
        <v/>
      </c>
      <c r="K4060">
        <f>IFERROR(__xludf.DUMMYFUNCTION("""COMPUTED_VALUE"""),10676.44)</f>
        <v/>
      </c>
    </row>
    <row r="4061">
      <c r="J4061">
        <f>IFERROR(__xludf.DUMMYFUNCTION("""COMPUTED_VALUE"""),"Deer Lake, Newfoundland and Labrador / Gander, Newfoundland and Labrador / St. John's, Newfoundland and Labrador, Canada")</f>
        <v/>
      </c>
      <c r="K4061">
        <f>IFERROR(__xludf.DUMMYFUNCTION("""COMPUTED_VALUE"""),10671.13)</f>
        <v/>
      </c>
    </row>
    <row r="4062">
      <c r="J4062">
        <f>IFERROR(__xludf.DUMMYFUNCTION("""COMPUTED_VALUE"""),"Toronto, Ottawa, Vancouver")</f>
        <v/>
      </c>
      <c r="K4062">
        <f>IFERROR(__xludf.DUMMYFUNCTION("""COMPUTED_VALUE"""),10669.25)</f>
        <v/>
      </c>
    </row>
    <row r="4063">
      <c r="J4063">
        <f>IFERROR(__xludf.DUMMYFUNCTION("""COMPUTED_VALUE"""),"Ottawa, Montreal, Toronto, Calgary")</f>
        <v/>
      </c>
      <c r="K4063">
        <f>IFERROR(__xludf.DUMMYFUNCTION("""COMPUTED_VALUE"""),10665.86)</f>
        <v/>
      </c>
    </row>
    <row r="4064">
      <c r="J4064">
        <f>IFERROR(__xludf.DUMMYFUNCTION("""COMPUTED_VALUE"""),"Tel Aviv, Israel; Amman, Jordan; Beirut, Lebanon;  Frankfurt, Germany")</f>
        <v/>
      </c>
      <c r="K4064">
        <f>IFERROR(__xludf.DUMMYFUNCTION("""COMPUTED_VALUE"""),10665.05)</f>
        <v/>
      </c>
    </row>
    <row r="4065">
      <c r="J4065">
        <f>IFERROR(__xludf.DUMMYFUNCTION("""COMPUTED_VALUE"""),"London, England / Brussels, Belgium")</f>
        <v/>
      </c>
      <c r="K4065">
        <f>IFERROR(__xludf.DUMMYFUNCTION("""COMPUTED_VALUE"""),10661.3)</f>
        <v/>
      </c>
    </row>
    <row r="4066">
      <c r="J4066">
        <f>IFERROR(__xludf.DUMMYFUNCTION("""COMPUTED_VALUE"""),"The Hague, Netherlans")</f>
        <v/>
      </c>
      <c r="K4066">
        <f>IFERROR(__xludf.DUMMYFUNCTION("""COMPUTED_VALUE"""),10657.84)</f>
        <v/>
      </c>
    </row>
    <row r="4067">
      <c r="J4067">
        <f>IFERROR(__xludf.DUMMYFUNCTION("""COMPUTED_VALUE"""),"Victoria, British Columbia, Canada; Kamloops, British Columbia, Canada; Vancouver, British Columbia, Canada")</f>
        <v/>
      </c>
      <c r="K4067">
        <f>IFERROR(__xludf.DUMMYFUNCTION("""COMPUTED_VALUE"""),10655.21)</f>
        <v/>
      </c>
    </row>
    <row r="4068">
      <c r="J4068">
        <f>IFERROR(__xludf.DUMMYFUNCTION("""COMPUTED_VALUE"""),"Edmonton, Alberta, Canada / Vancouver, British-Columbia, Canada / Beijing, China")</f>
        <v/>
      </c>
      <c r="K4068">
        <f>IFERROR(__xludf.DUMMYFUNCTION("""COMPUTED_VALUE"""),10655.11)</f>
        <v/>
      </c>
    </row>
    <row r="4069">
      <c r="J4069">
        <f>IFERROR(__xludf.DUMMYFUNCTION("""COMPUTED_VALUE"""),"Novena, Singapore")</f>
        <v/>
      </c>
      <c r="K4069">
        <f>IFERROR(__xludf.DUMMYFUNCTION("""COMPUTED_VALUE"""),10654.01)</f>
        <v/>
      </c>
    </row>
    <row r="4070">
      <c r="J4070">
        <f>IFERROR(__xludf.DUMMYFUNCTION("""COMPUTED_VALUE"""),"York, UK")</f>
        <v/>
      </c>
      <c r="K4070">
        <f>IFERROR(__xludf.DUMMYFUNCTION("""COMPUTED_VALUE"""),10651.87)</f>
        <v/>
      </c>
    </row>
    <row r="4071">
      <c r="J4071">
        <f>IFERROR(__xludf.DUMMYFUNCTION("""COMPUTED_VALUE"""),"Vancouver, British Columbia, Canada - Tokyo, Japan")</f>
        <v/>
      </c>
      <c r="K4071">
        <f>IFERROR(__xludf.DUMMYFUNCTION("""COMPUTED_VALUE"""),10650.73)</f>
        <v/>
      </c>
    </row>
    <row r="4072">
      <c r="J4072">
        <f>IFERROR(__xludf.DUMMYFUNCTION("""COMPUTED_VALUE"""),"Ottawa, Ontario, Canada; Vancouver, British Columbia, Canada")</f>
        <v/>
      </c>
      <c r="K4072">
        <f>IFERROR(__xludf.DUMMYFUNCTION("""COMPUTED_VALUE"""),10647.44)</f>
        <v/>
      </c>
    </row>
    <row r="4073">
      <c r="J4073">
        <f>IFERROR(__xludf.DUMMYFUNCTION("""COMPUTED_VALUE"""),"St. John, New Brunswick, Canada")</f>
        <v/>
      </c>
      <c r="K4073">
        <f>IFERROR(__xludf.DUMMYFUNCTION("""COMPUTED_VALUE"""),10647.39)</f>
        <v/>
      </c>
    </row>
    <row r="4074">
      <c r="J4074">
        <f>IFERROR(__xludf.DUMMYFUNCTION("""COMPUTED_VALUE"""),"Trenton, Canada")</f>
        <v/>
      </c>
      <c r="K4074">
        <f>IFERROR(__xludf.DUMMYFUNCTION("""COMPUTED_VALUE"""),10646.55)</f>
        <v/>
      </c>
    </row>
    <row r="4075">
      <c r="J4075">
        <f>IFERROR(__xludf.DUMMYFUNCTION("""COMPUTED_VALUE"""),"Kelowna and Vancouver, British Columbia")</f>
        <v/>
      </c>
      <c r="K4075">
        <f>IFERROR(__xludf.DUMMYFUNCTION("""COMPUTED_VALUE"""),10640.73)</f>
        <v/>
      </c>
    </row>
    <row r="4076">
      <c r="J4076">
        <f>IFERROR(__xludf.DUMMYFUNCTION("""COMPUTED_VALUE"""),"Paris-Seoul-Paris")</f>
        <v/>
      </c>
      <c r="K4076">
        <f>IFERROR(__xludf.DUMMYFUNCTION("""COMPUTED_VALUE"""),10639.23)</f>
        <v/>
      </c>
    </row>
    <row r="4077">
      <c r="J4077">
        <f>IFERROR(__xludf.DUMMYFUNCTION("""COMPUTED_VALUE"""),"Vancouver, British Columba, Canada")</f>
        <v/>
      </c>
      <c r="K4077">
        <f>IFERROR(__xludf.DUMMYFUNCTION("""COMPUTED_VALUE"""),10638.39)</f>
        <v/>
      </c>
    </row>
    <row r="4078">
      <c r="J4078">
        <f>IFERROR(__xludf.DUMMYFUNCTION("""COMPUTED_VALUE"""),"Darmstadt, Germany  Paris, France")</f>
        <v/>
      </c>
      <c r="K4078">
        <f>IFERROR(__xludf.DUMMYFUNCTION("""COMPUTED_VALUE"""),10637.76)</f>
        <v/>
      </c>
    </row>
    <row r="4079">
      <c r="J4079">
        <f>IFERROR(__xludf.DUMMYFUNCTION("""COMPUTED_VALUE"""),"La Chapelle-en-Serval, France")</f>
        <v/>
      </c>
      <c r="K4079">
        <f>IFERROR(__xludf.DUMMYFUNCTION("""COMPUTED_VALUE"""),10634.87)</f>
        <v/>
      </c>
    </row>
    <row r="4080">
      <c r="J4080">
        <f>IFERROR(__xludf.DUMMYFUNCTION("""COMPUTED_VALUE"""),"Tokyo, Taipei, Vancouver")</f>
        <v/>
      </c>
      <c r="K4080">
        <f>IFERROR(__xludf.DUMMYFUNCTION("""COMPUTED_VALUE"""),10633.03)</f>
        <v/>
      </c>
    </row>
    <row r="4081">
      <c r="J4081">
        <f>IFERROR(__xludf.DUMMYFUNCTION("""COMPUTED_VALUE"""),"Washington, Davos and London")</f>
        <v/>
      </c>
      <c r="K4081">
        <f>IFERROR(__xludf.DUMMYFUNCTION("""COMPUTED_VALUE"""),10632.87)</f>
        <v/>
      </c>
    </row>
    <row r="4082">
      <c r="J4082">
        <f>IFERROR(__xludf.DUMMYFUNCTION("""COMPUTED_VALUE"""),"Kiev, Ukraine and Rome, Italy")</f>
        <v/>
      </c>
      <c r="K4082">
        <f>IFERROR(__xludf.DUMMYFUNCTION("""COMPUTED_VALUE"""),10632.12)</f>
        <v/>
      </c>
    </row>
    <row r="4083">
      <c r="J4083">
        <f>IFERROR(__xludf.DUMMYFUNCTION("""COMPUTED_VALUE"""),"London (transit), Ankara, Istanbul, Dhaka, Delhi")</f>
        <v/>
      </c>
      <c r="K4083">
        <f>IFERROR(__xludf.DUMMYFUNCTION("""COMPUTED_VALUE"""),10631.75)</f>
        <v/>
      </c>
    </row>
    <row r="4084">
      <c r="J4084">
        <f>IFERROR(__xludf.DUMMYFUNCTION("""COMPUTED_VALUE"""),"Oxford, UK")</f>
        <v/>
      </c>
      <c r="K4084">
        <f>IFERROR(__xludf.DUMMYFUNCTION("""COMPUTED_VALUE"""),10630.35)</f>
        <v/>
      </c>
    </row>
    <row r="4085">
      <c r="J4085">
        <f>IFERROR(__xludf.DUMMYFUNCTION("""COMPUTED_VALUE"""),"Montreal, Quebec / Toronto, Ontario, Canada")</f>
        <v/>
      </c>
      <c r="K4085">
        <f>IFERROR(__xludf.DUMMYFUNCTION("""COMPUTED_VALUE"""),10628.25)</f>
        <v/>
      </c>
    </row>
    <row r="4086">
      <c r="J4086">
        <f>IFERROR(__xludf.DUMMYFUNCTION("""COMPUTED_VALUE"""),"BERLIN, GERMANY")</f>
        <v/>
      </c>
      <c r="K4086">
        <f>IFERROR(__xludf.DUMMYFUNCTION("""COMPUTED_VALUE"""),10627.85)</f>
        <v/>
      </c>
    </row>
    <row r="4087">
      <c r="J4087">
        <f>IFERROR(__xludf.DUMMYFUNCTION("""COMPUTED_VALUE"""),"Vancouver, BC - Edmonton, AB")</f>
        <v/>
      </c>
      <c r="K4087">
        <f>IFERROR(__xludf.DUMMYFUNCTION("""COMPUTED_VALUE"""),10620.24)</f>
        <v/>
      </c>
    </row>
    <row r="4088">
      <c r="J4088">
        <f>IFERROR(__xludf.DUMMYFUNCTION("""COMPUTED_VALUE"""),"Quebec City, Quebec; Valcartier, Quebec")</f>
        <v/>
      </c>
      <c r="K4088">
        <f>IFERROR(__xludf.DUMMYFUNCTION("""COMPUTED_VALUE"""),10618.47)</f>
        <v/>
      </c>
    </row>
    <row r="4089">
      <c r="J4089">
        <f>IFERROR(__xludf.DUMMYFUNCTION("""COMPUTED_VALUE"""),"London, UK , Oman")</f>
        <v/>
      </c>
      <c r="K4089">
        <f>IFERROR(__xludf.DUMMYFUNCTION("""COMPUTED_VALUE"""),10616.37)</f>
        <v/>
      </c>
    </row>
    <row r="4090">
      <c r="J4090">
        <f>IFERROR(__xludf.DUMMYFUNCTION("""COMPUTED_VALUE"""),"Ottawa, ON; Paris, FRA")</f>
        <v/>
      </c>
      <c r="K4090">
        <f>IFERROR(__xludf.DUMMYFUNCTION("""COMPUTED_VALUE"""),10615.88)</f>
        <v/>
      </c>
    </row>
    <row r="4091">
      <c r="J4091">
        <f>IFERROR(__xludf.DUMMYFUNCTION("""COMPUTED_VALUE"""),"Edmonton, Alberta, Canada; Winnipeg, Manitoba, Canada; Regina, Saskatchewan, Canada")</f>
        <v/>
      </c>
      <c r="K4091">
        <f>IFERROR(__xludf.DUMMYFUNCTION("""COMPUTED_VALUE"""),10613.73)</f>
        <v/>
      </c>
    </row>
    <row r="4092">
      <c r="J4092">
        <f>IFERROR(__xludf.DUMMYFUNCTION("""COMPUTED_VALUE"""),"Bamako, Mali; Tunis, Tunisia")</f>
        <v/>
      </c>
      <c r="K4092">
        <f>IFERROR(__xludf.DUMMYFUNCTION("""COMPUTED_VALUE"""),10613.27)</f>
        <v/>
      </c>
    </row>
    <row r="4093">
      <c r="J4093">
        <f>IFERROR(__xludf.DUMMYFUNCTION("""COMPUTED_VALUE"""),"Lusaka, Zambia")</f>
        <v/>
      </c>
      <c r="K4093">
        <f>IFERROR(__xludf.DUMMYFUNCTION("""COMPUTED_VALUE"""),10611.22)</f>
        <v/>
      </c>
    </row>
    <row r="4094">
      <c r="J4094">
        <f>IFERROR(__xludf.DUMMYFUNCTION("""COMPUTED_VALUE"""),"OTTAWA, LONDON, OTAWA")</f>
        <v/>
      </c>
      <c r="K4094">
        <f>IFERROR(__xludf.DUMMYFUNCTION("""COMPUTED_VALUE"""),10610.32)</f>
        <v/>
      </c>
    </row>
    <row r="4095">
      <c r="J4095">
        <f>IFERROR(__xludf.DUMMYFUNCTION("""COMPUTED_VALUE"""),"Toronto, Ontario, Canada/ Detroit, Michigan, United States /New York, New York, United States")</f>
        <v/>
      </c>
      <c r="K4095">
        <f>IFERROR(__xludf.DUMMYFUNCTION("""COMPUTED_VALUE"""),10607.66)</f>
        <v/>
      </c>
    </row>
    <row r="4096">
      <c r="J4096">
        <f>IFERROR(__xludf.DUMMYFUNCTION("""COMPUTED_VALUE"""),"Morocco, Algeria, Italy")</f>
        <v/>
      </c>
      <c r="K4096">
        <f>IFERROR(__xludf.DUMMYFUNCTION("""COMPUTED_VALUE"""),10607.23)</f>
        <v/>
      </c>
    </row>
    <row r="4097">
      <c r="J4097">
        <f>IFERROR(__xludf.DUMMYFUNCTION("""COMPUTED_VALUE"""),"Ottawa, ON; Calgary, AB")</f>
        <v/>
      </c>
      <c r="K4097">
        <f>IFERROR(__xludf.DUMMYFUNCTION("""COMPUTED_VALUE"""),10607.22)</f>
        <v/>
      </c>
    </row>
    <row r="4098">
      <c r="J4098">
        <f>IFERROR(__xludf.DUMMYFUNCTION("""COMPUTED_VALUE"""),"Toronto/Ottawa, Ontario")</f>
        <v/>
      </c>
      <c r="K4098">
        <f>IFERROR(__xludf.DUMMYFUNCTION("""COMPUTED_VALUE"""),10603.05)</f>
        <v/>
      </c>
    </row>
    <row r="4099">
      <c r="J4099">
        <f>IFERROR(__xludf.DUMMYFUNCTION("""COMPUTED_VALUE"""),"Vienna, Australia")</f>
        <v/>
      </c>
      <c r="K4099">
        <f>IFERROR(__xludf.DUMMYFUNCTION("""COMPUTED_VALUE"""),10600.17)</f>
        <v/>
      </c>
    </row>
    <row r="4100">
      <c r="J4100">
        <f>IFERROR(__xludf.DUMMYFUNCTION("""COMPUTED_VALUE"""),"Ghent, BE / Berlin, DE / Munich, DE")</f>
        <v/>
      </c>
      <c r="K4100">
        <f>IFERROR(__xludf.DUMMYFUNCTION("""COMPUTED_VALUE"""),10599.71)</f>
        <v/>
      </c>
    </row>
    <row r="4101">
      <c r="J4101">
        <f>IFERROR(__xludf.DUMMYFUNCTION("""COMPUTED_VALUE"""),"Nevada")</f>
        <v/>
      </c>
      <c r="K4101">
        <f>IFERROR(__xludf.DUMMYFUNCTION("""COMPUTED_VALUE"""),10597.7)</f>
        <v/>
      </c>
    </row>
    <row r="4102">
      <c r="J4102">
        <f>IFERROR(__xludf.DUMMYFUNCTION("""COMPUTED_VALUE"""),"Paris, N/A, France")</f>
        <v/>
      </c>
      <c r="K4102">
        <f>IFERROR(__xludf.DUMMYFUNCTION("""COMPUTED_VALUE"""),10596.25)</f>
        <v/>
      </c>
    </row>
    <row r="4103">
      <c r="J4103">
        <f>IFERROR(__xludf.DUMMYFUNCTION("""COMPUTED_VALUE"""),"Calgary, AB / Edmonton, AB")</f>
        <v/>
      </c>
      <c r="K4103">
        <f>IFERROR(__xludf.DUMMYFUNCTION("""COMPUTED_VALUE"""),10592.1)</f>
        <v/>
      </c>
    </row>
    <row r="4104">
      <c r="J4104">
        <f>IFERROR(__xludf.DUMMYFUNCTION("""COMPUTED_VALUE"""),"Rouyn-Noranda, Quebec, Canada / Montreal, Quebec, Canada")</f>
        <v/>
      </c>
      <c r="K4104">
        <f>IFERROR(__xludf.DUMMYFUNCTION("""COMPUTED_VALUE"""),10590.59)</f>
        <v/>
      </c>
    </row>
    <row r="4105">
      <c r="J4105">
        <f>IFERROR(__xludf.DUMMYFUNCTION("""COMPUTED_VALUE"""),"Brussels, Belgium - Bologna, Italy - Bergamo, Italy - Rome, Italy")</f>
        <v/>
      </c>
      <c r="K4105">
        <f>IFERROR(__xludf.DUMMYFUNCTION("""COMPUTED_VALUE"""),10589.49)</f>
        <v/>
      </c>
    </row>
    <row r="4106">
      <c r="J4106">
        <f>IFERROR(__xludf.DUMMYFUNCTION("""COMPUTED_VALUE"""),"Jakarta (Indonesia) and Delhi (India)")</f>
        <v/>
      </c>
      <c r="K4106">
        <f>IFERROR(__xludf.DUMMYFUNCTION("""COMPUTED_VALUE"""),10588.29)</f>
        <v/>
      </c>
    </row>
    <row r="4107">
      <c r="J4107">
        <f>IFERROR(__xludf.DUMMYFUNCTION("""COMPUTED_VALUE"""),"Jerusalem and Tel Aviv, Israel
London, England")</f>
        <v/>
      </c>
      <c r="K4107">
        <f>IFERROR(__xludf.DUMMYFUNCTION("""COMPUTED_VALUE"""),10586.48)</f>
        <v/>
      </c>
    </row>
    <row r="4108">
      <c r="J4108">
        <f>IFERROR(__xludf.DUMMYFUNCTION("""COMPUTED_VALUE"""),"Winnipeg, Manitoba, Canada / Toronto, Ontario, Canada")</f>
        <v/>
      </c>
      <c r="K4108">
        <f>IFERROR(__xludf.DUMMYFUNCTION("""COMPUTED_VALUE"""),10585.59)</f>
        <v/>
      </c>
    </row>
    <row r="4109">
      <c r="J4109">
        <f>IFERROR(__xludf.DUMMYFUNCTION("""COMPUTED_VALUE"""),"Paris, France;
Brussels, Belgium")</f>
        <v/>
      </c>
      <c r="K4109">
        <f>IFERROR(__xludf.DUMMYFUNCTION("""COMPUTED_VALUE"""),10585.48)</f>
        <v/>
      </c>
    </row>
    <row r="4110">
      <c r="J4110">
        <f>IFERROR(__xludf.DUMMYFUNCTION("""COMPUTED_VALUE"""),"Tegucigalpa, Honduras")</f>
        <v/>
      </c>
      <c r="K4110">
        <f>IFERROR(__xludf.DUMMYFUNCTION("""COMPUTED_VALUE"""),10583.8199999999)</f>
        <v/>
      </c>
    </row>
    <row r="4111">
      <c r="J4111">
        <f>IFERROR(__xludf.DUMMYFUNCTION("""COMPUTED_VALUE"""),"Santiago, Chile; Washington, DC, USA")</f>
        <v/>
      </c>
      <c r="K4111">
        <f>IFERROR(__xludf.DUMMYFUNCTION("""COMPUTED_VALUE"""),10583.75)</f>
        <v/>
      </c>
    </row>
    <row r="4112">
      <c r="J4112">
        <f>IFERROR(__xludf.DUMMYFUNCTION("""COMPUTED_VALUE"""),"Prague, Stockholm and Copenhagen")</f>
        <v/>
      </c>
      <c r="K4112">
        <f>IFERROR(__xludf.DUMMYFUNCTION("""COMPUTED_VALUE"""),10582.97)</f>
        <v/>
      </c>
    </row>
    <row r="4113">
      <c r="J4113">
        <f>IFERROR(__xludf.DUMMYFUNCTION("""COMPUTED_VALUE"""),"Chicoutimi, Quebec; Alouette, Quebec, Quebec City, Quebec")</f>
        <v/>
      </c>
      <c r="K4113">
        <f>IFERROR(__xludf.DUMMYFUNCTION("""COMPUTED_VALUE"""),10580.12)</f>
        <v/>
      </c>
    </row>
    <row r="4114">
      <c r="J4114">
        <f>IFERROR(__xludf.DUMMYFUNCTION("""COMPUTED_VALUE"""),"Vancouver, (British Columbia), Whitehorse, (Yukon)")</f>
        <v/>
      </c>
      <c r="K4114">
        <f>IFERROR(__xludf.DUMMYFUNCTION("""COMPUTED_VALUE"""),10579.16)</f>
        <v/>
      </c>
    </row>
    <row r="4115">
      <c r="J4115">
        <f>IFERROR(__xludf.DUMMYFUNCTION("""COMPUTED_VALUE"""),"Winnipeg; Whitehorse")</f>
        <v/>
      </c>
      <c r="K4115">
        <f>IFERROR(__xludf.DUMMYFUNCTION("""COMPUTED_VALUE"""),10577.78)</f>
        <v/>
      </c>
    </row>
    <row r="4116">
      <c r="J4116">
        <f>IFERROR(__xludf.DUMMYFUNCTION("""COMPUTED_VALUE"""),"Seoul Korea, Manila Philippines and Toronto")</f>
        <v/>
      </c>
      <c r="K4116">
        <f>IFERROR(__xludf.DUMMYFUNCTION("""COMPUTED_VALUE"""),10573.67)</f>
        <v/>
      </c>
    </row>
    <row r="4117">
      <c r="J4117">
        <f>IFERROR(__xludf.DUMMYFUNCTION("""COMPUTED_VALUE"""),"Calgary, AB, Canada &amp; Montrel, QC, Canada &amp; Ottawa, ON, Canada")</f>
        <v/>
      </c>
      <c r="K4117">
        <f>IFERROR(__xludf.DUMMYFUNCTION("""COMPUTED_VALUE"""),10572.07)</f>
        <v/>
      </c>
    </row>
    <row r="4118">
      <c r="J4118">
        <f>IFERROR(__xludf.DUMMYFUNCTION("""COMPUTED_VALUE"""),"India; Honolulu, Hawaii")</f>
        <v/>
      </c>
      <c r="K4118">
        <f>IFERROR(__xludf.DUMMYFUNCTION("""COMPUTED_VALUE"""),10569.29)</f>
        <v/>
      </c>
    </row>
    <row r="4119">
      <c r="J4119">
        <f>IFERROR(__xludf.DUMMYFUNCTION("""COMPUTED_VALUE"""),"Kingdom of the Netherlands")</f>
        <v/>
      </c>
      <c r="K4119">
        <f>IFERROR(__xludf.DUMMYFUNCTION("""COMPUTED_VALUE"""),10568.36)</f>
        <v/>
      </c>
    </row>
    <row r="4120">
      <c r="J4120">
        <f>IFERROR(__xludf.DUMMYFUNCTION("""COMPUTED_VALUE"""),"YPRES, FRANCE")</f>
        <v/>
      </c>
      <c r="K4120">
        <f>IFERROR(__xludf.DUMMYFUNCTION("""COMPUTED_VALUE"""),10567.71)</f>
        <v/>
      </c>
    </row>
    <row r="4121">
      <c r="J4121">
        <f>IFERROR(__xludf.DUMMYFUNCTION("""COMPUTED_VALUE"""),"New York City, New York, United States; Vancouver, British Colombia, Canada")</f>
        <v/>
      </c>
      <c r="K4121">
        <f>IFERROR(__xludf.DUMMYFUNCTION("""COMPUTED_VALUE"""),10565.69)</f>
        <v/>
      </c>
    </row>
    <row r="4122">
      <c r="J4122">
        <f>IFERROR(__xludf.DUMMYFUNCTION("""COMPUTED_VALUE"""),"TOKYO")</f>
        <v/>
      </c>
      <c r="K4122">
        <f>IFERROR(__xludf.DUMMYFUNCTION("""COMPUTED_VALUE"""),10559.95)</f>
        <v/>
      </c>
    </row>
    <row r="4123">
      <c r="J4123">
        <f>IFERROR(__xludf.DUMMYFUNCTION("""COMPUTED_VALUE"""),"Brussels, Belgium and Frankfurt, Germany")</f>
        <v/>
      </c>
      <c r="K4123">
        <f>IFERROR(__xludf.DUMMYFUNCTION("""COMPUTED_VALUE"""),10557.85)</f>
        <v/>
      </c>
    </row>
    <row r="4124">
      <c r="J4124">
        <f>IFERROR(__xludf.DUMMYFUNCTION("""COMPUTED_VALUE"""),"Frankfurt, Gemany")</f>
        <v/>
      </c>
      <c r="K4124">
        <f>IFERROR(__xludf.DUMMYFUNCTION("""COMPUTED_VALUE"""),10557.27)</f>
        <v/>
      </c>
    </row>
    <row r="4125">
      <c r="J4125">
        <f>IFERROR(__xludf.DUMMYFUNCTION("""COMPUTED_VALUE"""),"Taipei and Ottawa")</f>
        <v/>
      </c>
      <c r="K4125">
        <f>IFERROR(__xludf.DUMMYFUNCTION("""COMPUTED_VALUE"""),10555.19)</f>
        <v/>
      </c>
    </row>
    <row r="4126">
      <c r="J4126">
        <f>IFERROR(__xludf.DUMMYFUNCTION("""COMPUTED_VALUE"""),"Brasilia and Rio de Janeiro")</f>
        <v/>
      </c>
      <c r="K4126">
        <f>IFERROR(__xludf.DUMMYFUNCTION("""COMPUTED_VALUE"""),10553.43)</f>
        <v/>
      </c>
    </row>
    <row r="4127">
      <c r="J4127">
        <f>IFERROR(__xludf.DUMMYFUNCTION("""COMPUTED_VALUE"""),"New Delhi, India/ Tokyo, Japan")</f>
        <v/>
      </c>
      <c r="K4127">
        <f>IFERROR(__xludf.DUMMYFUNCTION("""COMPUTED_VALUE"""),10550.26)</f>
        <v/>
      </c>
    </row>
    <row r="4128">
      <c r="J4128">
        <f>IFERROR(__xludf.DUMMYFUNCTION("""COMPUTED_VALUE"""),"Ottawa (Canada) - Frankfurt (Germany) - Berlin (Germany) - Zurich (Switzerland) - Geneva (Switzerland) - London (United Kingdom) - Toronto (Canada) - Ottawa (Canada)")</f>
        <v/>
      </c>
      <c r="K4128">
        <f>IFERROR(__xludf.DUMMYFUNCTION("""COMPUTED_VALUE"""),10550.14)</f>
        <v/>
      </c>
    </row>
    <row r="4129">
      <c r="J4129">
        <f>IFERROR(__xludf.DUMMYFUNCTION("""COMPUTED_VALUE"""),"Toronto, 
Ontario,
Canada")</f>
        <v/>
      </c>
      <c r="K4129">
        <f>IFERROR(__xludf.DUMMYFUNCTION("""COMPUTED_VALUE"""),10548.36)</f>
        <v/>
      </c>
    </row>
    <row r="4130">
      <c r="J4130">
        <f>IFERROR(__xludf.DUMMYFUNCTION("""COMPUTED_VALUE"""),"Cape Breton, Nova Scotia, Canada; Montréal, Quebec, Canada")</f>
        <v/>
      </c>
      <c r="K4130">
        <f>IFERROR(__xludf.DUMMYFUNCTION("""COMPUTED_VALUE"""),10546.59)</f>
        <v/>
      </c>
    </row>
    <row r="4131">
      <c r="J4131">
        <f>IFERROR(__xludf.DUMMYFUNCTION("""COMPUTED_VALUE"""),"Liepzig, Germany")</f>
        <v/>
      </c>
      <c r="K4131">
        <f>IFERROR(__xludf.DUMMYFUNCTION("""COMPUTED_VALUE"""),10545.9)</f>
        <v/>
      </c>
    </row>
    <row r="4132">
      <c r="J4132">
        <f>IFERROR(__xludf.DUMMYFUNCTION("""COMPUTED_VALUE"""),"Nain")</f>
        <v/>
      </c>
      <c r="K4132">
        <f>IFERROR(__xludf.DUMMYFUNCTION("""COMPUTED_VALUE"""),10544.6899999999)</f>
        <v/>
      </c>
    </row>
    <row r="4133">
      <c r="J4133">
        <f>IFERROR(__xludf.DUMMYFUNCTION("""COMPUTED_VALUE"""),"Bosnia and Ukraine")</f>
        <v/>
      </c>
      <c r="K4133">
        <f>IFERROR(__xludf.DUMMYFUNCTION("""COMPUTED_VALUE"""),10544.67)</f>
        <v/>
      </c>
    </row>
    <row r="4134">
      <c r="J4134">
        <f>IFERROR(__xludf.DUMMYFUNCTION("""COMPUTED_VALUE"""),"St. Catharines, Ontario, Canada")</f>
        <v/>
      </c>
      <c r="K4134">
        <f>IFERROR(__xludf.DUMMYFUNCTION("""COMPUTED_VALUE"""),10540.6899999999)</f>
        <v/>
      </c>
    </row>
    <row r="4135">
      <c r="J4135">
        <f>IFERROR(__xludf.DUMMYFUNCTION("""COMPUTED_VALUE"""),"Georgetown, Guyana and New York, New York.")</f>
        <v/>
      </c>
      <c r="K4135">
        <f>IFERROR(__xludf.DUMMYFUNCTION("""COMPUTED_VALUE"""),10539.67)</f>
        <v/>
      </c>
    </row>
    <row r="4136">
      <c r="J4136">
        <f>IFERROR(__xludf.DUMMYFUNCTION("""COMPUTED_VALUE"""),"Washington, D.C. USA London, England")</f>
        <v/>
      </c>
      <c r="K4136">
        <f>IFERROR(__xludf.DUMMYFUNCTION("""COMPUTED_VALUE"""),10539.3)</f>
        <v/>
      </c>
    </row>
    <row r="4137">
      <c r="J4137">
        <f>IFERROR(__xludf.DUMMYFUNCTION("""COMPUTED_VALUE"""),"Santiago, Chile/Buenos Aires/Argentina/Uruguay")</f>
        <v/>
      </c>
      <c r="K4137">
        <f>IFERROR(__xludf.DUMMYFUNCTION("""COMPUTED_VALUE"""),10538.35)</f>
        <v/>
      </c>
    </row>
    <row r="4138">
      <c r="J4138">
        <f>IFERROR(__xludf.DUMMYFUNCTION("""COMPUTED_VALUE"""),"WASHINGTON")</f>
        <v/>
      </c>
      <c r="K4138">
        <f>IFERROR(__xludf.DUMMYFUNCTION("""COMPUTED_VALUE"""),10534.93)</f>
        <v/>
      </c>
    </row>
    <row r="4139">
      <c r="J4139">
        <f>IFERROR(__xludf.DUMMYFUNCTION("""COMPUTED_VALUE"""),"London (UK) and Moscow (Russia)")</f>
        <v/>
      </c>
      <c r="K4139">
        <f>IFERROR(__xludf.DUMMYFUNCTION("""COMPUTED_VALUE"""),10534.44)</f>
        <v/>
      </c>
    </row>
    <row r="4140">
      <c r="J4140">
        <f>IFERROR(__xludf.DUMMYFUNCTION("""COMPUTED_VALUE"""),"Genoa Rome and the Vatican, Italy, Italy")</f>
        <v/>
      </c>
      <c r="K4140">
        <f>IFERROR(__xludf.DUMMYFUNCTION("""COMPUTED_VALUE"""),10533.26)</f>
        <v/>
      </c>
    </row>
    <row r="4141">
      <c r="J4141">
        <f>IFERROR(__xludf.DUMMYFUNCTION("""COMPUTED_VALUE"""),"Brussels, Belgium Guildford, England Norwich, England London, England Manchester, England")</f>
        <v/>
      </c>
      <c r="K4141">
        <f>IFERROR(__xludf.DUMMYFUNCTION("""COMPUTED_VALUE"""),10530.4199999999)</f>
        <v/>
      </c>
    </row>
    <row r="4142">
      <c r="J4142">
        <f>IFERROR(__xludf.DUMMYFUNCTION("""COMPUTED_VALUE"""),"Victoria, British Columbia, Canada; Nanaimo, British Columbia, Canada")</f>
        <v/>
      </c>
      <c r="K4142">
        <f>IFERROR(__xludf.DUMMYFUNCTION("""COMPUTED_VALUE"""),10525.41)</f>
        <v/>
      </c>
    </row>
    <row r="4143">
      <c r="J4143">
        <f>IFERROR(__xludf.DUMMYFUNCTION("""COMPUTED_VALUE"""),"Bangkok")</f>
        <v/>
      </c>
      <c r="K4143">
        <f>IFERROR(__xludf.DUMMYFUNCTION("""COMPUTED_VALUE"""),10522.37)</f>
        <v/>
      </c>
    </row>
    <row r="4144">
      <c r="J4144">
        <f>IFERROR(__xludf.DUMMYFUNCTION("""COMPUTED_VALUE"""),"Gaspésie, Quebec, Canada")</f>
        <v/>
      </c>
      <c r="K4144">
        <f>IFERROR(__xludf.DUMMYFUNCTION("""COMPUTED_VALUE"""),10522.02)</f>
        <v/>
      </c>
    </row>
    <row r="4145">
      <c r="J4145">
        <f>IFERROR(__xludf.DUMMYFUNCTION("""COMPUTED_VALUE"""),"Vancouver, British Columbia, Canada / Beijing, Shenzhen and Hong Kong, China")</f>
        <v/>
      </c>
      <c r="K4145">
        <f>IFERROR(__xludf.DUMMYFUNCTION("""COMPUTED_VALUE"""),10521.25)</f>
        <v/>
      </c>
    </row>
    <row r="4146">
      <c r="J4146">
        <f>IFERROR(__xludf.DUMMYFUNCTION("""COMPUTED_VALUE"""),"Cancun, MX")</f>
        <v/>
      </c>
      <c r="K4146">
        <f>IFERROR(__xludf.DUMMYFUNCTION("""COMPUTED_VALUE"""),10518.46)</f>
        <v/>
      </c>
    </row>
    <row r="4147">
      <c r="J4147">
        <f>IFERROR(__xludf.DUMMYFUNCTION("""COMPUTED_VALUE"""),"Vancouver,Calgary,Winnipeg")</f>
        <v/>
      </c>
      <c r="K4147">
        <f>IFERROR(__xludf.DUMMYFUNCTION("""COMPUTED_VALUE"""),10516.12)</f>
        <v/>
      </c>
    </row>
    <row r="4148">
      <c r="J4148">
        <f>IFERROR(__xludf.DUMMYFUNCTION("""COMPUTED_VALUE"""),"Paris, France and Toronto, ON")</f>
        <v/>
      </c>
      <c r="K4148">
        <f>IFERROR(__xludf.DUMMYFUNCTION("""COMPUTED_VALUE"""),10515.46)</f>
        <v/>
      </c>
    </row>
    <row r="4149">
      <c r="J4149">
        <f>IFERROR(__xludf.DUMMYFUNCTION("""COMPUTED_VALUE"""),"Kuwait City, Kuwait                   Erbil, Iraq and                                Doha, Qatar")</f>
        <v/>
      </c>
      <c r="K4149">
        <f>IFERROR(__xludf.DUMMYFUNCTION("""COMPUTED_VALUE"""),10510.94)</f>
        <v/>
      </c>
    </row>
    <row r="4150">
      <c r="J4150">
        <f>IFERROR(__xludf.DUMMYFUNCTION("""COMPUTED_VALUE"""),"Hong Kong, Bangkok and Phnom Penh")</f>
        <v/>
      </c>
      <c r="K4150">
        <f>IFERROR(__xludf.DUMMYFUNCTION("""COMPUTED_VALUE"""),10505.34)</f>
        <v/>
      </c>
    </row>
    <row r="4151">
      <c r="J4151">
        <f>IFERROR(__xludf.DUMMYFUNCTION("""COMPUTED_VALUE"""),"Riyadh, KSA")</f>
        <v/>
      </c>
      <c r="K4151">
        <f>IFERROR(__xludf.DUMMYFUNCTION("""COMPUTED_VALUE"""),10500.71)</f>
        <v/>
      </c>
    </row>
    <row r="4152">
      <c r="J4152">
        <f>IFERROR(__xludf.DUMMYFUNCTION("""COMPUTED_VALUE"""),"Brussels, Belgium; Tunis, Tunisia; Jeddah, Saudi Arabia; and Cairo, Egypt")</f>
        <v/>
      </c>
      <c r="K4152">
        <f>IFERROR(__xludf.DUMMYFUNCTION("""COMPUTED_VALUE"""),10499.69)</f>
        <v/>
      </c>
    </row>
    <row r="4153">
      <c r="J4153">
        <f>IFERROR(__xludf.DUMMYFUNCTION("""COMPUTED_VALUE"""),"Warsaw, Poland and then Moscow Russia")</f>
        <v/>
      </c>
      <c r="K4153">
        <f>IFERROR(__xludf.DUMMYFUNCTION("""COMPUTED_VALUE"""),10499.5)</f>
        <v/>
      </c>
    </row>
    <row r="4154">
      <c r="J4154">
        <f>IFERROR(__xludf.DUMMYFUNCTION("""COMPUTED_VALUE"""),"Bangkok, Thailand and Singapore")</f>
        <v/>
      </c>
      <c r="K4154">
        <f>IFERROR(__xludf.DUMMYFUNCTION("""COMPUTED_VALUE"""),10497.94)</f>
        <v/>
      </c>
    </row>
    <row r="4155">
      <c r="J4155">
        <f>IFERROR(__xludf.DUMMYFUNCTION("""COMPUTED_VALUE"""),"Tokyo, Vancouver, Victoria")</f>
        <v/>
      </c>
      <c r="K4155">
        <f>IFERROR(__xludf.DUMMYFUNCTION("""COMPUTED_VALUE"""),10490.31)</f>
        <v/>
      </c>
    </row>
    <row r="4156">
      <c r="J4156">
        <f>IFERROR(__xludf.DUMMYFUNCTION("""COMPUTED_VALUE"""),"Singapore, Republic of Signapore")</f>
        <v/>
      </c>
      <c r="K4156">
        <f>IFERROR(__xludf.DUMMYFUNCTION("""COMPUTED_VALUE"""),10487.83)</f>
        <v/>
      </c>
    </row>
    <row r="4157">
      <c r="J4157">
        <f>IFERROR(__xludf.DUMMYFUNCTION("""COMPUTED_VALUE"""),"London, England and Toronto")</f>
        <v/>
      </c>
      <c r="K4157">
        <f>IFERROR(__xludf.DUMMYFUNCTION("""COMPUTED_VALUE"""),10485.35)</f>
        <v/>
      </c>
    </row>
    <row r="4158">
      <c r="J4158">
        <f>IFERROR(__xludf.DUMMYFUNCTION("""COMPUTED_VALUE"""),"Victoria, BC; Vancouver, BC")</f>
        <v/>
      </c>
      <c r="K4158">
        <f>IFERROR(__xludf.DUMMYFUNCTION("""COMPUTED_VALUE"""),10478.27)</f>
        <v/>
      </c>
    </row>
    <row r="4159">
      <c r="J4159">
        <f>IFERROR(__xludf.DUMMYFUNCTION("""COMPUTED_VALUE"""),"London, England / Belgrade, Serbia / Brussels, Belgium")</f>
        <v/>
      </c>
      <c r="K4159">
        <f>IFERROR(__xludf.DUMMYFUNCTION("""COMPUTED_VALUE"""),10475.44)</f>
        <v/>
      </c>
    </row>
    <row r="4160">
      <c r="J4160">
        <f>IFERROR(__xludf.DUMMYFUNCTION("""COMPUTED_VALUE"""),"Kabul")</f>
        <v/>
      </c>
      <c r="K4160">
        <f>IFERROR(__xludf.DUMMYFUNCTION("""COMPUTED_VALUE"""),10472.07)</f>
        <v/>
      </c>
    </row>
    <row r="4161">
      <c r="J4161">
        <f>IFERROR(__xludf.DUMMYFUNCTION("""COMPUTED_VALUE"""),"Cyprus, Greece")</f>
        <v/>
      </c>
      <c r="K4161">
        <f>IFERROR(__xludf.DUMMYFUNCTION("""COMPUTED_VALUE"""),10469.62)</f>
        <v/>
      </c>
    </row>
    <row r="4162">
      <c r="J4162">
        <f>IFERROR(__xludf.DUMMYFUNCTION("""COMPUTED_VALUE"""),"Hong Kong, Taipei, Taiwan, Beijing, China")</f>
        <v/>
      </c>
      <c r="K4162">
        <f>IFERROR(__xludf.DUMMYFUNCTION("""COMPUTED_VALUE"""),10466.19)</f>
        <v/>
      </c>
    </row>
    <row r="4163">
      <c r="J4163">
        <f>IFERROR(__xludf.DUMMYFUNCTION("""COMPUTED_VALUE"""),"Winnipeg, Sudbury")</f>
        <v/>
      </c>
      <c r="K4163">
        <f>IFERROR(__xludf.DUMMYFUNCTION("""COMPUTED_VALUE"""),10465.0299999999)</f>
        <v/>
      </c>
    </row>
    <row r="4164">
      <c r="J4164">
        <f>IFERROR(__xludf.DUMMYFUNCTION("""COMPUTED_VALUE"""),"Montreal and Toronto")</f>
        <v/>
      </c>
      <c r="K4164">
        <f>IFERROR(__xludf.DUMMYFUNCTION("""COMPUTED_VALUE"""),10462.3)</f>
        <v/>
      </c>
    </row>
    <row r="4165">
      <c r="J4165">
        <f>IFERROR(__xludf.DUMMYFUNCTION("""COMPUTED_VALUE"""),"Mexico, MX")</f>
        <v/>
      </c>
      <c r="K4165">
        <f>IFERROR(__xludf.DUMMYFUNCTION("""COMPUTED_VALUE"""),10462.0299999999)</f>
        <v/>
      </c>
    </row>
    <row r="4166">
      <c r="J4166">
        <f>IFERROR(__xludf.DUMMYFUNCTION("""COMPUTED_VALUE"""),"Brussels, Helsinki and Stockholm")</f>
        <v/>
      </c>
      <c r="K4166">
        <f>IFERROR(__xludf.DUMMYFUNCTION("""COMPUTED_VALUE"""),10459.78)</f>
        <v/>
      </c>
    </row>
    <row r="4167">
      <c r="J4167">
        <f>IFERROR(__xludf.DUMMYFUNCTION("""COMPUTED_VALUE"""),"Souda,Chania Greece")</f>
        <v/>
      </c>
      <c r="K4167">
        <f>IFERROR(__xludf.DUMMYFUNCTION("""COMPUTED_VALUE"""),10449.34)</f>
        <v/>
      </c>
    </row>
    <row r="4168">
      <c r="J4168">
        <f>IFERROR(__xludf.DUMMYFUNCTION("""COMPUTED_VALUE"""),"Îles-de-la-Madeleine (Quebec); Quebec (Quebec); Rivière-du-Loup (Quebec), Canada")</f>
        <v/>
      </c>
      <c r="K4168">
        <f>IFERROR(__xludf.DUMMYFUNCTION("""COMPUTED_VALUE"""),10448.15)</f>
        <v/>
      </c>
    </row>
    <row r="4169">
      <c r="J4169">
        <f>IFERROR(__xludf.DUMMYFUNCTION("""COMPUTED_VALUE"""),"Halifax, Nova Scotia; Moncton, New Brunswick")</f>
        <v/>
      </c>
      <c r="K4169">
        <f>IFERROR(__xludf.DUMMYFUNCTION("""COMPUTED_VALUE"""),10442.47)</f>
        <v/>
      </c>
    </row>
    <row r="4170">
      <c r="J4170">
        <f>IFERROR(__xludf.DUMMYFUNCTION("""COMPUTED_VALUE"""),"Singapore, Malaysia, Indonesia")</f>
        <v/>
      </c>
      <c r="K4170">
        <f>IFERROR(__xludf.DUMMYFUNCTION("""COMPUTED_VALUE"""),10441.81)</f>
        <v/>
      </c>
    </row>
    <row r="4171">
      <c r="J4171">
        <f>IFERROR(__xludf.DUMMYFUNCTION("""COMPUTED_VALUE"""),"Nanaimo, British Columbia, Canada / Vancouver, British Columbia, Canada / Williams Lake, British Columbia, Canada")</f>
        <v/>
      </c>
      <c r="K4171">
        <f>IFERROR(__xludf.DUMMYFUNCTION("""COMPUTED_VALUE"""),10433.89)</f>
        <v/>
      </c>
    </row>
    <row r="4172">
      <c r="J4172">
        <f>IFERROR(__xludf.DUMMYFUNCTION("""COMPUTED_VALUE"""),"Toronto, Ottawa, Winnipeg and Calgary")</f>
        <v/>
      </c>
      <c r="K4172">
        <f>IFERROR(__xludf.DUMMYFUNCTION("""COMPUTED_VALUE"""),10433.72)</f>
        <v/>
      </c>
    </row>
    <row r="4173">
      <c r="J4173">
        <f>IFERROR(__xludf.DUMMYFUNCTION("""COMPUTED_VALUE"""),"Edmonton, Vancouver, Canada")</f>
        <v/>
      </c>
      <c r="K4173">
        <f>IFERROR(__xludf.DUMMYFUNCTION("""COMPUTED_VALUE"""),10428.31)</f>
        <v/>
      </c>
    </row>
    <row r="4174">
      <c r="J4174">
        <f>IFERROR(__xludf.DUMMYFUNCTION("""COMPUTED_VALUE"""),"Riga and Camp Adazi, Latvia")</f>
        <v/>
      </c>
      <c r="K4174">
        <f>IFERROR(__xludf.DUMMYFUNCTION("""COMPUTED_VALUE"""),10426.68)</f>
        <v/>
      </c>
    </row>
    <row r="4175">
      <c r="J4175">
        <f>IFERROR(__xludf.DUMMYFUNCTION("""COMPUTED_VALUE"""),"Pristina, Kosovo; and Kiev, Ukraine")</f>
        <v/>
      </c>
      <c r="K4175">
        <f>IFERROR(__xludf.DUMMYFUNCTION("""COMPUTED_VALUE"""),10423.89)</f>
        <v/>
      </c>
    </row>
    <row r="4176">
      <c r="J4176">
        <f>IFERROR(__xludf.DUMMYFUNCTION("""COMPUTED_VALUE"""),"Tokyo, Japan / Sendai, Japan")</f>
        <v/>
      </c>
      <c r="K4176">
        <f>IFERROR(__xludf.DUMMYFUNCTION("""COMPUTED_VALUE"""),10423.87)</f>
        <v/>
      </c>
    </row>
    <row r="4177">
      <c r="J4177">
        <f>IFERROR(__xludf.DUMMYFUNCTION("""COMPUTED_VALUE"""),"Israel and Egypt")</f>
        <v/>
      </c>
      <c r="K4177">
        <f>IFERROR(__xludf.DUMMYFUNCTION("""COMPUTED_VALUE"""),10423.6)</f>
        <v/>
      </c>
    </row>
    <row r="4178">
      <c r="J4178">
        <f>IFERROR(__xludf.DUMMYFUNCTION("""COMPUTED_VALUE"""),"Florance, Italy")</f>
        <v/>
      </c>
      <c r="K4178">
        <f>IFERROR(__xludf.DUMMYFUNCTION("""COMPUTED_VALUE"""),10422.75)</f>
        <v/>
      </c>
    </row>
    <row r="4179">
      <c r="J4179">
        <f>IFERROR(__xludf.DUMMYFUNCTION("""COMPUTED_VALUE"""),"Bogota, Colombia; Lima, Peru")</f>
        <v/>
      </c>
      <c r="K4179">
        <f>IFERROR(__xludf.DUMMYFUNCTION("""COMPUTED_VALUE"""),10421.6)</f>
        <v/>
      </c>
    </row>
    <row r="4180">
      <c r="J4180">
        <f>IFERROR(__xludf.DUMMYFUNCTION("""COMPUTED_VALUE"""),"Bucharest Romania, Constanta Romania")</f>
        <v/>
      </c>
      <c r="K4180">
        <f>IFERROR(__xludf.DUMMYFUNCTION("""COMPUTED_VALUE"""),10418.51)</f>
        <v/>
      </c>
    </row>
    <row r="4181">
      <c r="J4181">
        <f>IFERROR(__xludf.DUMMYFUNCTION("""COMPUTED_VALUE"""),"Ali Salem Air Base, Kuwait")</f>
        <v/>
      </c>
      <c r="K4181">
        <f>IFERROR(__xludf.DUMMYFUNCTION("""COMPUTED_VALUE"""),10418.06)</f>
        <v/>
      </c>
    </row>
    <row r="4182">
      <c r="J4182">
        <f>IFERROR(__xludf.DUMMYFUNCTION("""COMPUTED_VALUE"""),"Beijing and Tokyo")</f>
        <v/>
      </c>
      <c r="K4182">
        <f>IFERROR(__xludf.DUMMYFUNCTION("""COMPUTED_VALUE"""),10417.21)</f>
        <v/>
      </c>
    </row>
    <row r="4183">
      <c r="J4183">
        <f>IFERROR(__xludf.DUMMYFUNCTION("""COMPUTED_VALUE"""),"Montreal and London (U.K.)")</f>
        <v/>
      </c>
      <c r="K4183">
        <f>IFERROR(__xludf.DUMMYFUNCTION("""COMPUTED_VALUE"""),10415.27)</f>
        <v/>
      </c>
    </row>
    <row r="4184">
      <c r="J4184">
        <f>IFERROR(__xludf.DUMMYFUNCTION("""COMPUTED_VALUE"""),"British Columbia, Alberta, Ontario (Ottawa) - Canada")</f>
        <v/>
      </c>
      <c r="K4184">
        <f>IFERROR(__xludf.DUMMYFUNCTION("""COMPUTED_VALUE"""),10409.98)</f>
        <v/>
      </c>
    </row>
    <row r="4185">
      <c r="J4185">
        <f>IFERROR(__xludf.DUMMYFUNCTION("""COMPUTED_VALUE"""),"London, United Kingdom; Mayfair, United Kingdom")</f>
        <v/>
      </c>
      <c r="K4185">
        <f>IFERROR(__xludf.DUMMYFUNCTION("""COMPUTED_VALUE"""),10408.97)</f>
        <v/>
      </c>
    </row>
    <row r="4186">
      <c r="J4186">
        <f>IFERROR(__xludf.DUMMYFUNCTION("""COMPUTED_VALUE"""),"Beijing, China and Taipei, Taiwan")</f>
        <v/>
      </c>
      <c r="K4186">
        <f>IFERROR(__xludf.DUMMYFUNCTION("""COMPUTED_VALUE"""),10408.64)</f>
        <v/>
      </c>
    </row>
    <row r="4187">
      <c r="J4187">
        <f>IFERROR(__xludf.DUMMYFUNCTION("""COMPUTED_VALUE"""),"Verona, Italy / Trento, Italy")</f>
        <v/>
      </c>
      <c r="K4187">
        <f>IFERROR(__xludf.DUMMYFUNCTION("""COMPUTED_VALUE"""),10408.38)</f>
        <v/>
      </c>
    </row>
    <row r="4188">
      <c r="J4188">
        <f>IFERROR(__xludf.DUMMYFUNCTION("""COMPUTED_VALUE"""),"Ireland")</f>
        <v/>
      </c>
      <c r="K4188">
        <f>IFERROR(__xludf.DUMMYFUNCTION("""COMPUTED_VALUE"""),10407.48)</f>
        <v/>
      </c>
    </row>
    <row r="4189">
      <c r="J4189">
        <f>IFERROR(__xludf.DUMMYFUNCTION("""COMPUTED_VALUE"""),"Delhi, India; Mumbai, India")</f>
        <v/>
      </c>
      <c r="K4189">
        <f>IFERROR(__xludf.DUMMYFUNCTION("""COMPUTED_VALUE"""),10402.67)</f>
        <v/>
      </c>
    </row>
    <row r="4190">
      <c r="J4190">
        <f>IFERROR(__xludf.DUMMYFUNCTION("""COMPUTED_VALUE"""),"Nanaimo, British Columbia, Canada; Vancouver, British Columbia, Canada")</f>
        <v/>
      </c>
      <c r="K4190">
        <f>IFERROR(__xludf.DUMMYFUNCTION("""COMPUTED_VALUE"""),10398.01)</f>
        <v/>
      </c>
    </row>
    <row r="4191">
      <c r="J4191">
        <f>IFERROR(__xludf.DUMMYFUNCTION("""COMPUTED_VALUE"""),"Vancouver, BC &amp; Calgary, AB")</f>
        <v/>
      </c>
      <c r="K4191">
        <f>IFERROR(__xludf.DUMMYFUNCTION("""COMPUTED_VALUE"""),10397.6199999999)</f>
        <v/>
      </c>
    </row>
    <row r="4192">
      <c r="J4192">
        <f>IFERROR(__xludf.DUMMYFUNCTION("""COMPUTED_VALUE"""),"Valencia,Spain/Toronto")</f>
        <v/>
      </c>
      <c r="K4192">
        <f>IFERROR(__xludf.DUMMYFUNCTION("""COMPUTED_VALUE"""),10397.58)</f>
        <v/>
      </c>
    </row>
    <row r="4193">
      <c r="J4193">
        <f>IFERROR(__xludf.DUMMYFUNCTION("""COMPUTED_VALUE"""),"Levis, Quebec, Canada; Riviere-du-Loup, Quebec, Canada; Woodstock, New Brunswick, Canada; Moncton, New Brunswick, Canada; Truro, Nova Scotia, Canada; Wolfville, Nova Scotia, Canada; Halifax, Nova Scotia, Canada; Port Hastings, Nova Scotia, Canada; Chetica"&amp;"mp, Nova Scotia, Canada; Sackville, New Brunswick, Canada; Charlottetown, Prince Edward Island, Canada")</f>
        <v/>
      </c>
      <c r="K4193">
        <f>IFERROR(__xludf.DUMMYFUNCTION("""COMPUTED_VALUE"""),10396.56)</f>
        <v/>
      </c>
    </row>
    <row r="4194">
      <c r="J4194">
        <f>IFERROR(__xludf.DUMMYFUNCTION("""COMPUTED_VALUE"""),"Iqaluit, Nunavut,  Canada")</f>
        <v/>
      </c>
      <c r="K4194">
        <f>IFERROR(__xludf.DUMMYFUNCTION("""COMPUTED_VALUE"""),10394.46)</f>
        <v/>
      </c>
    </row>
    <row r="4195">
      <c r="J4195">
        <f>IFERROR(__xludf.DUMMYFUNCTION("""COMPUTED_VALUE"""),"Regina, Saskatchewan, Canada; Edmonton, Alberta, Canada; Vancouver, British Columbia, Canada")</f>
        <v/>
      </c>
      <c r="K4195">
        <f>IFERROR(__xludf.DUMMYFUNCTION("""COMPUTED_VALUE"""),10393.74)</f>
        <v/>
      </c>
    </row>
    <row r="4196">
      <c r="J4196">
        <f>IFERROR(__xludf.DUMMYFUNCTION("""COMPUTED_VALUE"""),"Edmonton, Alberta, Canada and Saskatoon, Saskatchewan, Canada")</f>
        <v/>
      </c>
      <c r="K4196">
        <f>IFERROR(__xludf.DUMMYFUNCTION("""COMPUTED_VALUE"""),10393.41)</f>
        <v/>
      </c>
    </row>
    <row r="4197">
      <c r="J4197">
        <f>IFERROR(__xludf.DUMMYFUNCTION("""COMPUTED_VALUE"""),"Kuwait/Iraq/Doha")</f>
        <v/>
      </c>
      <c r="K4197">
        <f>IFERROR(__xludf.DUMMYFUNCTION("""COMPUTED_VALUE"""),10392.96)</f>
        <v/>
      </c>
    </row>
    <row r="4198">
      <c r="J4198">
        <f>IFERROR(__xludf.DUMMYFUNCTION("""COMPUTED_VALUE"""),"Pristina, Kosovo; Kiev, Ukraine")</f>
        <v/>
      </c>
      <c r="K4198">
        <f>IFERROR(__xludf.DUMMYFUNCTION("""COMPUTED_VALUE"""),10388.77)</f>
        <v/>
      </c>
    </row>
    <row r="4199">
      <c r="J4199">
        <f>IFERROR(__xludf.DUMMYFUNCTION("""COMPUTED_VALUE"""),"Oslo")</f>
        <v/>
      </c>
      <c r="K4199">
        <f>IFERROR(__xludf.DUMMYFUNCTION("""COMPUTED_VALUE"""),10386.56)</f>
        <v/>
      </c>
    </row>
    <row r="4200">
      <c r="J4200">
        <f>IFERROR(__xludf.DUMMYFUNCTION("""COMPUTED_VALUE"""),"Vancouver, Whistler, Canada")</f>
        <v/>
      </c>
      <c r="K4200">
        <f>IFERROR(__xludf.DUMMYFUNCTION("""COMPUTED_VALUE"""),10386.39)</f>
        <v/>
      </c>
    </row>
    <row r="4201">
      <c r="J4201">
        <f>IFERROR(__xludf.DUMMYFUNCTION("""COMPUTED_VALUE"""),"Cambridge Bay")</f>
        <v/>
      </c>
      <c r="K4201">
        <f>IFERROR(__xludf.DUMMYFUNCTION("""COMPUTED_VALUE"""),10382.94)</f>
        <v/>
      </c>
    </row>
    <row r="4202">
      <c r="J4202">
        <f>IFERROR(__xludf.DUMMYFUNCTION("""COMPUTED_VALUE"""),"Canada: Ottawa and Montreal")</f>
        <v/>
      </c>
      <c r="K4202">
        <f>IFERROR(__xludf.DUMMYFUNCTION("""COMPUTED_VALUE"""),10381)</f>
        <v/>
      </c>
    </row>
    <row r="4203">
      <c r="J4203">
        <f>IFERROR(__xludf.DUMMYFUNCTION("""COMPUTED_VALUE"""),"Cold Lake, Alberta, Canada")</f>
        <v/>
      </c>
      <c r="K4203">
        <f>IFERROR(__xludf.DUMMYFUNCTION("""COMPUTED_VALUE"""),10377.22)</f>
        <v/>
      </c>
    </row>
    <row r="4204">
      <c r="J4204">
        <f>IFERROR(__xludf.DUMMYFUNCTION("""COMPUTED_VALUE"""),"Germany and Sweden")</f>
        <v/>
      </c>
      <c r="K4204">
        <f>IFERROR(__xludf.DUMMYFUNCTION("""COMPUTED_VALUE"""),10376.4)</f>
        <v/>
      </c>
    </row>
    <row r="4205">
      <c r="J4205">
        <f>IFERROR(__xludf.DUMMYFUNCTION("""COMPUTED_VALUE"""),"Halifax, Nova Scotia, Canada; Fredericton, New Brunswick, Canada")</f>
        <v/>
      </c>
      <c r="K4205">
        <f>IFERROR(__xludf.DUMMYFUNCTION("""COMPUTED_VALUE"""),10369.52)</f>
        <v/>
      </c>
    </row>
    <row r="4206">
      <c r="J4206">
        <f>IFERROR(__xludf.DUMMYFUNCTION("""COMPUTED_VALUE"""),"Los Angeles, USA")</f>
        <v/>
      </c>
      <c r="K4206">
        <f>IFERROR(__xludf.DUMMYFUNCTION("""COMPUTED_VALUE"""),10363.02)</f>
        <v/>
      </c>
    </row>
    <row r="4207">
      <c r="J4207">
        <f>IFERROR(__xludf.DUMMYFUNCTION("""COMPUTED_VALUE"""),"Tokyo, Osaka and Sendai, Japan")</f>
        <v/>
      </c>
      <c r="K4207">
        <f>IFERROR(__xludf.DUMMYFUNCTION("""COMPUTED_VALUE"""),10361.47)</f>
        <v/>
      </c>
    </row>
    <row r="4208">
      <c r="J4208">
        <f>IFERROR(__xludf.DUMMYFUNCTION("""COMPUTED_VALUE"""),"Geneva and Vevey Switzerland")</f>
        <v/>
      </c>
      <c r="K4208">
        <f>IFERROR(__xludf.DUMMYFUNCTION("""COMPUTED_VALUE"""),10361.09)</f>
        <v/>
      </c>
    </row>
    <row r="4209">
      <c r="J4209">
        <f>IFERROR(__xludf.DUMMYFUNCTION("""COMPUTED_VALUE"""),"Sao Paulo / Brasilia")</f>
        <v/>
      </c>
      <c r="K4209">
        <f>IFERROR(__xludf.DUMMYFUNCTION("""COMPUTED_VALUE"""),10359.18)</f>
        <v/>
      </c>
    </row>
    <row r="4210">
      <c r="J4210">
        <f>IFERROR(__xludf.DUMMYFUNCTION("""COMPUTED_VALUE"""),"Nice, France / Bern, Switzerland")</f>
        <v/>
      </c>
      <c r="K4210">
        <f>IFERROR(__xludf.DUMMYFUNCTION("""COMPUTED_VALUE"""),10357.16)</f>
        <v/>
      </c>
    </row>
    <row r="4211">
      <c r="J4211">
        <f>IFERROR(__xludf.DUMMYFUNCTION("""COMPUTED_VALUE"""),"Fredericton, New-Brunswick, Canada")</f>
        <v/>
      </c>
      <c r="K4211">
        <f>IFERROR(__xludf.DUMMYFUNCTION("""COMPUTED_VALUE"""),10356.24)</f>
        <v/>
      </c>
    </row>
    <row r="4212">
      <c r="J4212">
        <f>IFERROR(__xludf.DUMMYFUNCTION("""COMPUTED_VALUE"""),"Toronto, Ontario, Canada; Sudbury, Ontario, Canada")</f>
        <v/>
      </c>
      <c r="K4212">
        <f>IFERROR(__xludf.DUMMYFUNCTION("""COMPUTED_VALUE"""),10355.07)</f>
        <v/>
      </c>
    </row>
    <row r="4213">
      <c r="J4213">
        <f>IFERROR(__xludf.DUMMYFUNCTION("""COMPUTED_VALUE"""),"Vancouver, British Columbia, Canada; Edmonton, Alberta, Canada; Winnipeg, Manitoba, Canada")</f>
        <v/>
      </c>
      <c r="K4213">
        <f>IFERROR(__xludf.DUMMYFUNCTION("""COMPUTED_VALUE"""),10348.18)</f>
        <v/>
      </c>
    </row>
    <row r="4214">
      <c r="J4214">
        <f>IFERROR(__xludf.DUMMYFUNCTION("""COMPUTED_VALUE"""),"Vancouver (BC), Canada")</f>
        <v/>
      </c>
      <c r="K4214">
        <f>IFERROR(__xludf.DUMMYFUNCTION("""COMPUTED_VALUE"""),10347.91)</f>
        <v/>
      </c>
    </row>
    <row r="4215">
      <c r="J4215">
        <f>IFERROR(__xludf.DUMMYFUNCTION("""COMPUTED_VALUE"""),"Miami, FL USA &amp; Montreal, QC , Canada")</f>
        <v/>
      </c>
      <c r="K4215">
        <f>IFERROR(__xludf.DUMMYFUNCTION("""COMPUTED_VALUE"""),10347.22)</f>
        <v/>
      </c>
    </row>
    <row r="4216">
      <c r="J4216">
        <f>IFERROR(__xludf.DUMMYFUNCTION("""COMPUTED_VALUE"""),"Moscow, Vienna, Rome")</f>
        <v/>
      </c>
      <c r="K4216">
        <f>IFERROR(__xludf.DUMMYFUNCTION("""COMPUTED_VALUE"""),10345.03)</f>
        <v/>
      </c>
    </row>
    <row r="4217">
      <c r="J4217">
        <f>IFERROR(__xludf.DUMMYFUNCTION("""COMPUTED_VALUE"""),"Helsinki &amp; Sirkka, Finland")</f>
        <v/>
      </c>
      <c r="K4217">
        <f>IFERROR(__xludf.DUMMYFUNCTION("""COMPUTED_VALUE"""),10344.63)</f>
        <v/>
      </c>
    </row>
    <row r="4218">
      <c r="J4218">
        <f>IFERROR(__xludf.DUMMYFUNCTION("""COMPUTED_VALUE"""),"Beijing, CN / Shanghai, CN / Hangzhou, CN")</f>
        <v/>
      </c>
      <c r="K4218">
        <f>IFERROR(__xludf.DUMMYFUNCTION("""COMPUTED_VALUE"""),10343.73)</f>
        <v/>
      </c>
    </row>
    <row r="4219">
      <c r="J4219">
        <f>IFERROR(__xludf.DUMMYFUNCTION("""COMPUTED_VALUE"""),"Medellin, Columbia")</f>
        <v/>
      </c>
      <c r="K4219">
        <f>IFERROR(__xludf.DUMMYFUNCTION("""COMPUTED_VALUE"""),10342.57)</f>
        <v/>
      </c>
    </row>
    <row r="4220">
      <c r="J4220">
        <f>IFERROR(__xludf.DUMMYFUNCTION("""COMPUTED_VALUE"""),"Évian-les-Bains, France")</f>
        <v/>
      </c>
      <c r="K4220">
        <f>IFERROR(__xludf.DUMMYFUNCTION("""COMPUTED_VALUE"""),10341.28)</f>
        <v/>
      </c>
    </row>
    <row r="4221">
      <c r="J4221">
        <f>IFERROR(__xludf.DUMMYFUNCTION("""COMPUTED_VALUE"""),"London, Paris and Berlin")</f>
        <v/>
      </c>
      <c r="K4221">
        <f>IFERROR(__xludf.DUMMYFUNCTION("""COMPUTED_VALUE"""),10340.46)</f>
        <v/>
      </c>
    </row>
    <row r="4222">
      <c r="J4222">
        <f>IFERROR(__xludf.DUMMYFUNCTION("""COMPUTED_VALUE"""),"Abbotsford, British Columbia;
Vancouver, British Columbia")</f>
        <v/>
      </c>
      <c r="K4222">
        <f>IFERROR(__xludf.DUMMYFUNCTION("""COMPUTED_VALUE"""),10340.36)</f>
        <v/>
      </c>
    </row>
    <row r="4223">
      <c r="J4223">
        <f>IFERROR(__xludf.DUMMYFUNCTION("""COMPUTED_VALUE"""),"Ottawa - Winnipeg - Ottawa")</f>
        <v/>
      </c>
      <c r="K4223">
        <f>IFERROR(__xludf.DUMMYFUNCTION("""COMPUTED_VALUE"""),10340.13)</f>
        <v/>
      </c>
    </row>
    <row r="4224">
      <c r="J4224">
        <f>IFERROR(__xludf.DUMMYFUNCTION("""COMPUTED_VALUE"""),"Denver, CO")</f>
        <v/>
      </c>
      <c r="K4224">
        <f>IFERROR(__xludf.DUMMYFUNCTION("""COMPUTED_VALUE"""),10339.04)</f>
        <v/>
      </c>
    </row>
    <row r="4225">
      <c r="J4225">
        <f>IFERROR(__xludf.DUMMYFUNCTION("""COMPUTED_VALUE"""),"Edmonton, AB - Vancouver, BC")</f>
        <v/>
      </c>
      <c r="K4225">
        <f>IFERROR(__xludf.DUMMYFUNCTION("""COMPUTED_VALUE"""),10334.04)</f>
        <v/>
      </c>
    </row>
    <row r="4226">
      <c r="J4226">
        <f>IFERROR(__xludf.DUMMYFUNCTION("""COMPUTED_VALUE"""),"Brussels, BEL")</f>
        <v/>
      </c>
      <c r="K4226">
        <f>IFERROR(__xludf.DUMMYFUNCTION("""COMPUTED_VALUE"""),10330.34)</f>
        <v/>
      </c>
    </row>
    <row r="4227">
      <c r="J4227">
        <f>IFERROR(__xludf.DUMMYFUNCTION("""COMPUTED_VALUE"""),"St John's, NF")</f>
        <v/>
      </c>
      <c r="K4227">
        <f>IFERROR(__xludf.DUMMYFUNCTION("""COMPUTED_VALUE"""),10329.09)</f>
        <v/>
      </c>
    </row>
    <row r="4228">
      <c r="J4228">
        <f>IFERROR(__xludf.DUMMYFUNCTION("""COMPUTED_VALUE"""),"Osaka, Hyogo, Kyoto and Tokyo , Japan")</f>
        <v/>
      </c>
      <c r="K4228">
        <f>IFERROR(__xludf.DUMMYFUNCTION("""COMPUTED_VALUE"""),10328.78)</f>
        <v/>
      </c>
    </row>
    <row r="4229">
      <c r="J4229">
        <f>IFERROR(__xludf.DUMMYFUNCTION("""COMPUTED_VALUE"""),"Ottawa, Ontario, Canada; Montréal, Quebec, Canada")</f>
        <v/>
      </c>
      <c r="K4229">
        <f>IFERROR(__xludf.DUMMYFUNCTION("""COMPUTED_VALUE"""),10328.11)</f>
        <v/>
      </c>
    </row>
    <row r="4230">
      <c r="J4230">
        <f>IFERROR(__xludf.DUMMYFUNCTION("""COMPUTED_VALUE"""),"Addis Ababa, Ethiopia Maputo, Mozambique Nairobi, Kenya")</f>
        <v/>
      </c>
      <c r="K4230">
        <f>IFERROR(__xludf.DUMMYFUNCTION("""COMPUTED_VALUE"""),10325.18)</f>
        <v/>
      </c>
    </row>
    <row r="4231">
      <c r="J4231">
        <f>IFERROR(__xludf.DUMMYFUNCTION("""COMPUTED_VALUE"""),"Geneva and Rome")</f>
        <v/>
      </c>
      <c r="K4231">
        <f>IFERROR(__xludf.DUMMYFUNCTION("""COMPUTED_VALUE"""),10324.76)</f>
        <v/>
      </c>
    </row>
    <row r="4232">
      <c r="J4232">
        <f>IFERROR(__xludf.DUMMYFUNCTION("""COMPUTED_VALUE"""),"Tokyo, Japan and Vientiane, Laos")</f>
        <v/>
      </c>
      <c r="K4232">
        <f>IFERROR(__xludf.DUMMYFUNCTION("""COMPUTED_VALUE"""),10324.53)</f>
        <v/>
      </c>
    </row>
    <row r="4233">
      <c r="J4233">
        <f>IFERROR(__xludf.DUMMYFUNCTION("""COMPUTED_VALUE"""),"Rome, Italy; Veroli, Italy; Monteleone di Puglia, Italy; Foggia, Italy; Palazzo San Gervasio, Italy; Potenza, Italy; Milan, Italy; Alba, Italy")</f>
        <v/>
      </c>
      <c r="K4233">
        <f>IFERROR(__xludf.DUMMYFUNCTION("""COMPUTED_VALUE"""),10324.42)</f>
        <v/>
      </c>
    </row>
    <row r="4234">
      <c r="J4234">
        <f>IFERROR(__xludf.DUMMYFUNCTION("""COMPUTED_VALUE"""),"Vancouver, Penticton and Victoria, British Columbia, Canada")</f>
        <v/>
      </c>
      <c r="K4234">
        <f>IFERROR(__xludf.DUMMYFUNCTION("""COMPUTED_VALUE"""),10324.24)</f>
        <v/>
      </c>
    </row>
    <row r="4235">
      <c r="J4235">
        <f>IFERROR(__xludf.DUMMYFUNCTION("""COMPUTED_VALUE"""),"Tokyo, Japan
Jakarta, Indonesia
Beijing, China")</f>
        <v/>
      </c>
      <c r="K4235">
        <f>IFERROR(__xludf.DUMMYFUNCTION("""COMPUTED_VALUE"""),10320.11)</f>
        <v/>
      </c>
    </row>
    <row r="4236">
      <c r="J4236">
        <f>IFERROR(__xludf.DUMMYFUNCTION("""COMPUTED_VALUE"""),"OSLO, NORWAY")</f>
        <v/>
      </c>
      <c r="K4236">
        <f>IFERROR(__xludf.DUMMYFUNCTION("""COMPUTED_VALUE"""),10317.06)</f>
        <v/>
      </c>
    </row>
    <row r="4237">
      <c r="J4237">
        <f>IFERROR(__xludf.DUMMYFUNCTION("""COMPUTED_VALUE"""),"Nairobi, Kenya / Dar Es Salaam, Tanzania")</f>
        <v/>
      </c>
      <c r="K4237">
        <f>IFERROR(__xludf.DUMMYFUNCTION("""COMPUTED_VALUE"""),10312.95)</f>
        <v/>
      </c>
    </row>
    <row r="4238">
      <c r="J4238">
        <f>IFERROR(__xludf.DUMMYFUNCTION("""COMPUTED_VALUE"""),"Mexico, Trinidad and Tobago")</f>
        <v/>
      </c>
      <c r="K4238">
        <f>IFERROR(__xludf.DUMMYFUNCTION("""COMPUTED_VALUE"""),10311.4)</f>
        <v/>
      </c>
    </row>
    <row r="4239">
      <c r="J4239">
        <f>IFERROR(__xludf.DUMMYFUNCTION("""COMPUTED_VALUE"""),"Dubai, Kandahar, Kabul and Islamabad")</f>
        <v/>
      </c>
      <c r="K4239">
        <f>IFERROR(__xludf.DUMMYFUNCTION("""COMPUTED_VALUE"""),10311.18)</f>
        <v/>
      </c>
    </row>
    <row r="4240">
      <c r="J4240">
        <f>IFERROR(__xludf.DUMMYFUNCTION("""COMPUTED_VALUE"""),"Warsaw Poland, Berlin Germany, Copenhagan, Denmark")</f>
        <v/>
      </c>
      <c r="K4240">
        <f>IFERROR(__xludf.DUMMYFUNCTION("""COMPUTED_VALUE"""),10309.39)</f>
        <v/>
      </c>
    </row>
    <row r="4241">
      <c r="J4241">
        <f>IFERROR(__xludf.DUMMYFUNCTION("""COMPUTED_VALUE"""),"Moscow, Russia (ICA Fund))")</f>
        <v/>
      </c>
      <c r="K4241">
        <f>IFERROR(__xludf.DUMMYFUNCTION("""COMPUTED_VALUE"""),10307.68)</f>
        <v/>
      </c>
    </row>
    <row r="4242">
      <c r="J4242">
        <f>IFERROR(__xludf.DUMMYFUNCTION("""COMPUTED_VALUE"""),"Moncton, New Brunwick, Canada")</f>
        <v/>
      </c>
      <c r="K4242">
        <f>IFERROR(__xludf.DUMMYFUNCTION("""COMPUTED_VALUE"""),10297.82)</f>
        <v/>
      </c>
    </row>
    <row r="4243">
      <c r="J4243">
        <f>IFERROR(__xludf.DUMMYFUNCTION("""COMPUTED_VALUE"""),"Regina, Saskatchewan / Winnipeg, Manitoba, Canada")</f>
        <v/>
      </c>
      <c r="K4243">
        <f>IFERROR(__xludf.DUMMYFUNCTION("""COMPUTED_VALUE"""),10294.03)</f>
        <v/>
      </c>
    </row>
    <row r="4244">
      <c r="J4244">
        <f>IFERROR(__xludf.DUMMYFUNCTION("""COMPUTED_VALUE"""),"Ottawa, Halifax")</f>
        <v/>
      </c>
      <c r="K4244">
        <f>IFERROR(__xludf.DUMMYFUNCTION("""COMPUTED_VALUE"""),10292.4)</f>
        <v/>
      </c>
    </row>
    <row r="4245">
      <c r="J4245">
        <f>IFERROR(__xludf.DUMMYFUNCTION("""COMPUTED_VALUE"""),"Vancouver (British Columbia) Canada; Victoria (British Columbia) Canada")</f>
        <v/>
      </c>
      <c r="K4245">
        <f>IFERROR(__xludf.DUMMYFUNCTION("""COMPUTED_VALUE"""),10291.1199999999)</f>
        <v/>
      </c>
    </row>
    <row r="4246">
      <c r="J4246">
        <f>IFERROR(__xludf.DUMMYFUNCTION("""COMPUTED_VALUE"""),"Halifax (Nova-Scotia) Canada")</f>
        <v/>
      </c>
      <c r="K4246">
        <f>IFERROR(__xludf.DUMMYFUNCTION("""COMPUTED_VALUE"""),10290.49)</f>
        <v/>
      </c>
    </row>
    <row r="4247">
      <c r="J4247">
        <f>IFERROR(__xludf.DUMMYFUNCTION("""COMPUTED_VALUE"""),"London, United Kingdom of Great Britain and Northern Ireland")</f>
        <v/>
      </c>
      <c r="K4247">
        <f>IFERROR(__xludf.DUMMYFUNCTION("""COMPUTED_VALUE"""),10290.38)</f>
        <v/>
      </c>
    </row>
    <row r="4248">
      <c r="J4248">
        <f>IFERROR(__xludf.DUMMYFUNCTION("""COMPUTED_VALUE"""),"(Germany)")</f>
        <v/>
      </c>
      <c r="K4248">
        <f>IFERROR(__xludf.DUMMYFUNCTION("""COMPUTED_VALUE"""),10289.56)</f>
        <v/>
      </c>
    </row>
    <row r="4249">
      <c r="J4249">
        <f>IFERROR(__xludf.DUMMYFUNCTION("""COMPUTED_VALUE"""),"Taipei Taiwan, Tokyo Japan; Seoul Korea")</f>
        <v/>
      </c>
      <c r="K4249">
        <f>IFERROR(__xludf.DUMMYFUNCTION("""COMPUTED_VALUE"""),10281.46)</f>
        <v/>
      </c>
    </row>
    <row r="4250">
      <c r="J4250">
        <f>IFERROR(__xludf.DUMMYFUNCTION("""COMPUTED_VALUE"""),"Seoul, South Korea - Tokyo, Japan")</f>
        <v/>
      </c>
      <c r="K4250">
        <f>IFERROR(__xludf.DUMMYFUNCTION("""COMPUTED_VALUE"""),10281.4)</f>
        <v/>
      </c>
    </row>
    <row r="4251">
      <c r="J4251">
        <f>IFERROR(__xludf.DUMMYFUNCTION("""COMPUTED_VALUE"""),"Mexico and Lima Peru")</f>
        <v/>
      </c>
      <c r="K4251">
        <f>IFERROR(__xludf.DUMMYFUNCTION("""COMPUTED_VALUE"""),10281.2)</f>
        <v/>
      </c>
    </row>
    <row r="4252">
      <c r="J4252">
        <f>IFERROR(__xludf.DUMMYFUNCTION("""COMPUTED_VALUE"""),"Sun City, North West Province, South Africa")</f>
        <v/>
      </c>
      <c r="K4252">
        <f>IFERROR(__xludf.DUMMYFUNCTION("""COMPUTED_VALUE"""),10281.15)</f>
        <v/>
      </c>
    </row>
    <row r="4253">
      <c r="J4253">
        <f>IFERROR(__xludf.DUMMYFUNCTION("""COMPUTED_VALUE"""),"Atlanta, USA")</f>
        <v/>
      </c>
      <c r="K4253">
        <f>IFERROR(__xludf.DUMMYFUNCTION("""COMPUTED_VALUE"""),10277.7899999999)</f>
        <v/>
      </c>
    </row>
    <row r="4254">
      <c r="J4254">
        <f>IFERROR(__xludf.DUMMYFUNCTION("""COMPUTED_VALUE"""),"Niagara Falls (Ontario) Canada")</f>
        <v/>
      </c>
      <c r="K4254">
        <f>IFERROR(__xludf.DUMMYFUNCTION("""COMPUTED_VALUE"""),10277.06)</f>
        <v/>
      </c>
    </row>
    <row r="4255">
      <c r="J4255">
        <f>IFERROR(__xludf.DUMMYFUNCTION("""COMPUTED_VALUE"""),"Helsinki, Finland and Amsterdam, Netherlands")</f>
        <v/>
      </c>
      <c r="K4255">
        <f>IFERROR(__xludf.DUMMYFUNCTION("""COMPUTED_VALUE"""),10276.58)</f>
        <v/>
      </c>
    </row>
    <row r="4256">
      <c r="J4256">
        <f>IFERROR(__xludf.DUMMYFUNCTION("""COMPUTED_VALUE"""),"France and Halifax (NS)")</f>
        <v/>
      </c>
      <c r="K4256">
        <f>IFERROR(__xludf.DUMMYFUNCTION("""COMPUTED_VALUE"""),10274.81)</f>
        <v/>
      </c>
    </row>
    <row r="4257">
      <c r="J4257">
        <f>IFERROR(__xludf.DUMMYFUNCTION("""COMPUTED_VALUE"""),"Brussels, Belgium and Rome, Italy")</f>
        <v/>
      </c>
      <c r="K4257">
        <f>IFERROR(__xludf.DUMMYFUNCTION("""COMPUTED_VALUE"""),10273.85)</f>
        <v/>
      </c>
    </row>
    <row r="4258">
      <c r="J4258">
        <f>IFERROR(__xludf.DUMMYFUNCTION("""COMPUTED_VALUE"""),"Calgary, Edmonton, Alberta, Canada; Vancouver, British Columbia, Canada")</f>
        <v/>
      </c>
      <c r="K4258">
        <f>IFERROR(__xludf.DUMMYFUNCTION("""COMPUTED_VALUE"""),10271.35)</f>
        <v/>
      </c>
    </row>
    <row r="4259">
      <c r="J4259">
        <f>IFERROR(__xludf.DUMMYFUNCTION("""COMPUTED_VALUE"""),"Moncton, New Brunswick, Canada; Charlottetown, Prince Edward Island, Canada")</f>
        <v/>
      </c>
      <c r="K4259">
        <f>IFERROR(__xludf.DUMMYFUNCTION("""COMPUTED_VALUE"""),10267.92)</f>
        <v/>
      </c>
    </row>
    <row r="4260">
      <c r="J4260">
        <f>IFERROR(__xludf.DUMMYFUNCTION("""COMPUTED_VALUE"""),"Vancouver, British Columbia; Calgary, Alberta")</f>
        <v/>
      </c>
      <c r="K4260">
        <f>IFERROR(__xludf.DUMMYFUNCTION("""COMPUTED_VALUE"""),10262.67)</f>
        <v/>
      </c>
    </row>
    <row r="4261">
      <c r="J4261">
        <f>IFERROR(__xludf.DUMMYFUNCTION("""COMPUTED_VALUE"""),"Nagoya, Japan")</f>
        <v/>
      </c>
      <c r="K4261">
        <f>IFERROR(__xludf.DUMMYFUNCTION("""COMPUTED_VALUE"""),10262.61)</f>
        <v/>
      </c>
    </row>
    <row r="4262">
      <c r="J4262">
        <f>IFERROR(__xludf.DUMMYFUNCTION("""COMPUTED_VALUE"""),"Pretoria, South Africa")</f>
        <v/>
      </c>
      <c r="K4262">
        <f>IFERROR(__xludf.DUMMYFUNCTION("""COMPUTED_VALUE"""),10262.0099999999)</f>
        <v/>
      </c>
    </row>
    <row r="4263">
      <c r="J4263">
        <f>IFERROR(__xludf.DUMMYFUNCTION("""COMPUTED_VALUE"""),"St. John's, NL / Montreal, QC")</f>
        <v/>
      </c>
      <c r="K4263">
        <f>IFERROR(__xludf.DUMMYFUNCTION("""COMPUTED_VALUE"""),10255.3699999999)</f>
        <v/>
      </c>
    </row>
    <row r="4264">
      <c r="J4264">
        <f>IFERROR(__xludf.DUMMYFUNCTION("""COMPUTED_VALUE"""),"Jordan, Baghdad, Bahrain, Abu Dhabi")</f>
        <v/>
      </c>
      <c r="K4264">
        <f>IFERROR(__xludf.DUMMYFUNCTION("""COMPUTED_VALUE"""),10254.76)</f>
        <v/>
      </c>
    </row>
    <row r="4265">
      <c r="J4265">
        <f>IFERROR(__xludf.DUMMYFUNCTION("""COMPUTED_VALUE"""),"Hamilton, Ontario, Canada
Dieppe, France
Brest, France")</f>
        <v/>
      </c>
      <c r="K4265">
        <f>IFERROR(__xludf.DUMMYFUNCTION("""COMPUTED_VALUE"""),10253.86)</f>
        <v/>
      </c>
    </row>
    <row r="4266">
      <c r="J4266">
        <f>IFERROR(__xludf.DUMMYFUNCTION("""COMPUTED_VALUE"""),"Austin, Texas, United States")</f>
        <v/>
      </c>
      <c r="K4266">
        <f>IFERROR(__xludf.DUMMYFUNCTION("""COMPUTED_VALUE"""),10245.6)</f>
        <v/>
      </c>
    </row>
    <row r="4267">
      <c r="J4267">
        <f>IFERROR(__xludf.DUMMYFUNCTION("""COMPUTED_VALUE"""),"Lima, Peru/Bogota, Colombia/Cartagena, Colombia/Santiago, Chile/Mexico City, Mexico/Puerto Vallarta, Mexico")</f>
        <v/>
      </c>
      <c r="K4267">
        <f>IFERROR(__xludf.DUMMYFUNCTION("""COMPUTED_VALUE"""),10244.82)</f>
        <v/>
      </c>
    </row>
    <row r="4268">
      <c r="J4268">
        <f>IFERROR(__xludf.DUMMYFUNCTION("""COMPUTED_VALUE"""),"Canberra, Australia; Sydney, Australia; Melbourne, Australia; Wellington, New Zealand; Auckland, New Zealand")</f>
        <v/>
      </c>
      <c r="K4268">
        <f>IFERROR(__xludf.DUMMYFUNCTION("""COMPUTED_VALUE"""),10243.9)</f>
        <v/>
      </c>
    </row>
    <row r="4269">
      <c r="J4269">
        <f>IFERROR(__xludf.DUMMYFUNCTION("""COMPUTED_VALUE"""),"London, United Kingdom / Amman, Jordan")</f>
        <v/>
      </c>
      <c r="K4269">
        <f>IFERROR(__xludf.DUMMYFUNCTION("""COMPUTED_VALUE"""),10243.73)</f>
        <v/>
      </c>
    </row>
    <row r="4270">
      <c r="J4270">
        <f>IFERROR(__xludf.DUMMYFUNCTION("""COMPUTED_VALUE"""),"Beijing, China;London, UK")</f>
        <v/>
      </c>
      <c r="K4270">
        <f>IFERROR(__xludf.DUMMYFUNCTION("""COMPUTED_VALUE"""),10243.49)</f>
        <v/>
      </c>
    </row>
    <row r="4271">
      <c r="J4271">
        <f>IFERROR(__xludf.DUMMYFUNCTION("""COMPUTED_VALUE"""),"Biarritz, France, Bern, Switzerland")</f>
        <v/>
      </c>
      <c r="K4271">
        <f>IFERROR(__xludf.DUMMYFUNCTION("""COMPUTED_VALUE"""),10238.63)</f>
        <v/>
      </c>
    </row>
    <row r="4272">
      <c r="J4272">
        <f>IFERROR(__xludf.DUMMYFUNCTION("""COMPUTED_VALUE"""),"-")</f>
        <v/>
      </c>
      <c r="K4272">
        <f>IFERROR(__xludf.DUMMYFUNCTION("""COMPUTED_VALUE"""),10237.84)</f>
        <v/>
      </c>
    </row>
    <row r="4273">
      <c r="J4273">
        <f>IFERROR(__xludf.DUMMYFUNCTION("""COMPUTED_VALUE"""),"Moncton, Ottawa, Toronto, Vancouver, Calgary")</f>
        <v/>
      </c>
      <c r="K4273">
        <f>IFERROR(__xludf.DUMMYFUNCTION("""COMPUTED_VALUE"""),10235.45)</f>
        <v/>
      </c>
    </row>
    <row r="4274">
      <c r="J4274">
        <f>IFERROR(__xludf.DUMMYFUNCTION("""COMPUTED_VALUE"""),"Kyoto, JP / Tokyo, JP / Nagoya, JP")</f>
        <v/>
      </c>
      <c r="K4274">
        <f>IFERROR(__xludf.DUMMYFUNCTION("""COMPUTED_VALUE"""),10235.01)</f>
        <v/>
      </c>
    </row>
    <row r="4275">
      <c r="J4275">
        <f>IFERROR(__xludf.DUMMYFUNCTION("""COMPUTED_VALUE"""),"Prague (Czech Republic) and Brussels (Belgium)")</f>
        <v/>
      </c>
      <c r="K4275">
        <f>IFERROR(__xludf.DUMMYFUNCTION("""COMPUTED_VALUE"""),10234.36)</f>
        <v/>
      </c>
    </row>
    <row r="4276">
      <c r="J4276">
        <f>IFERROR(__xludf.DUMMYFUNCTION("""COMPUTED_VALUE"""),"Frankfurt, Germany; Brunssum, The Netherlands; Brussels, Belgium; and London, Great Britain")</f>
        <v/>
      </c>
      <c r="K4276">
        <f>IFERROR(__xludf.DUMMYFUNCTION("""COMPUTED_VALUE"""),10233.19)</f>
        <v/>
      </c>
    </row>
    <row r="4277">
      <c r="J4277">
        <f>IFERROR(__xludf.DUMMYFUNCTION("""COMPUTED_VALUE"""),"Milan Malpensa, Lombardy, Italie")</f>
        <v/>
      </c>
      <c r="K4277">
        <f>IFERROR(__xludf.DUMMYFUNCTION("""COMPUTED_VALUE"""),10232.88)</f>
        <v/>
      </c>
    </row>
    <row r="4278">
      <c r="J4278">
        <f>IFERROR(__xludf.DUMMYFUNCTION("""COMPUTED_VALUE"""),"Gatineau (Quebec) Canada")</f>
        <v/>
      </c>
      <c r="K4278">
        <f>IFERROR(__xludf.DUMMYFUNCTION("""COMPUTED_VALUE"""),10231.57)</f>
        <v/>
      </c>
    </row>
    <row r="4279">
      <c r="J4279">
        <f>IFERROR(__xludf.DUMMYFUNCTION("""COMPUTED_VALUE"""),"Ottawa, ON - Washington, DC / Washington, DC - Ottawa, ON")</f>
        <v/>
      </c>
      <c r="K4279">
        <f>IFERROR(__xludf.DUMMYFUNCTION("""COMPUTED_VALUE"""),10230.84)</f>
        <v/>
      </c>
    </row>
    <row r="4280">
      <c r="J4280">
        <f>IFERROR(__xludf.DUMMYFUNCTION("""COMPUTED_VALUE"""),"Toronto, ON / Waterloo, ON")</f>
        <v/>
      </c>
      <c r="K4280">
        <f>IFERROR(__xludf.DUMMYFUNCTION("""COMPUTED_VALUE"""),10229.6599999999)</f>
        <v/>
      </c>
    </row>
    <row r="4281">
      <c r="J4281">
        <f>IFERROR(__xludf.DUMMYFUNCTION("""COMPUTED_VALUE"""),"Amsterdam, Netherlands; Vienna, Austria; Berlin, Germany")</f>
        <v/>
      </c>
      <c r="K4281">
        <f>IFERROR(__xludf.DUMMYFUNCTION("""COMPUTED_VALUE"""),10228.66)</f>
        <v/>
      </c>
    </row>
    <row r="4282">
      <c r="J4282">
        <f>IFERROR(__xludf.DUMMYFUNCTION("""COMPUTED_VALUE"""),"Singapore and Cairns (Australia)")</f>
        <v/>
      </c>
      <c r="K4282">
        <f>IFERROR(__xludf.DUMMYFUNCTION("""COMPUTED_VALUE"""),10228.1)</f>
        <v/>
      </c>
    </row>
    <row r="4283">
      <c r="J4283">
        <f>IFERROR(__xludf.DUMMYFUNCTION("""COMPUTED_VALUE"""),"Munster, Germany")</f>
        <v/>
      </c>
      <c r="K4283">
        <f>IFERROR(__xludf.DUMMYFUNCTION("""COMPUTED_VALUE"""),10223.56)</f>
        <v/>
      </c>
    </row>
    <row r="4284">
      <c r="J4284">
        <f>IFERROR(__xludf.DUMMYFUNCTION("""COMPUTED_VALUE"""),"Tokyo &amp; Hong Kong")</f>
        <v/>
      </c>
      <c r="K4284">
        <f>IFERROR(__xludf.DUMMYFUNCTION("""COMPUTED_VALUE"""),10221.75)</f>
        <v/>
      </c>
    </row>
    <row r="4285">
      <c r="J4285">
        <f>IFERROR(__xludf.DUMMYFUNCTION("""COMPUTED_VALUE"""),"Hakone, Japan")</f>
        <v/>
      </c>
      <c r="K4285">
        <f>IFERROR(__xludf.DUMMYFUNCTION("""COMPUTED_VALUE"""),10220.86)</f>
        <v/>
      </c>
    </row>
    <row r="4286">
      <c r="J4286">
        <f>IFERROR(__xludf.DUMMYFUNCTION("""COMPUTED_VALUE"""),"Vancouver, British Columbia, Canada / Nanaimo, British Columbia, Canada / Victoria, British Columbia, Canada / Calgary, Alberta, Canada")</f>
        <v/>
      </c>
      <c r="K4286">
        <f>IFERROR(__xludf.DUMMYFUNCTION("""COMPUTED_VALUE"""),10219.82)</f>
        <v/>
      </c>
    </row>
    <row r="4287">
      <c r="J4287">
        <f>IFERROR(__xludf.DUMMYFUNCTION("""COMPUTED_VALUE"""),"Guatemala, Honduras and Washington.")</f>
        <v/>
      </c>
      <c r="K4287">
        <f>IFERROR(__xludf.DUMMYFUNCTION("""COMPUTED_VALUE"""),10219.5299999999)</f>
        <v/>
      </c>
    </row>
    <row r="4288">
      <c r="J4288">
        <f>IFERROR(__xludf.DUMMYFUNCTION("""COMPUTED_VALUE"""),"Beijing, China - Tokyo, Japan - Seoul, South Korea")</f>
        <v/>
      </c>
      <c r="K4288">
        <f>IFERROR(__xludf.DUMMYFUNCTION("""COMPUTED_VALUE"""),10211.27)</f>
        <v/>
      </c>
    </row>
    <row r="4289">
      <c r="J4289">
        <f>IFERROR(__xludf.DUMMYFUNCTION("""COMPUTED_VALUE"""),"Ethiopia and Tanzania")</f>
        <v/>
      </c>
      <c r="K4289">
        <f>IFERROR(__xludf.DUMMYFUNCTION("""COMPUTED_VALUE"""),10203.75)</f>
        <v/>
      </c>
    </row>
    <row r="4290">
      <c r="J4290">
        <f>IFERROR(__xludf.DUMMYFUNCTION("""COMPUTED_VALUE"""),"Berlin, Germany Wilton Park, United Kingdom")</f>
        <v/>
      </c>
      <c r="K4290">
        <f>IFERROR(__xludf.DUMMYFUNCTION("""COMPUTED_VALUE"""),10202.75)</f>
        <v/>
      </c>
    </row>
    <row r="4291">
      <c r="J4291">
        <f>IFERROR(__xludf.DUMMYFUNCTION("""COMPUTED_VALUE"""),"Horsham, United Kingdom")</f>
        <v/>
      </c>
      <c r="K4291">
        <f>IFERROR(__xludf.DUMMYFUNCTION("""COMPUTED_VALUE"""),10201.81)</f>
        <v/>
      </c>
    </row>
    <row r="4292">
      <c r="J4292">
        <f>IFERROR(__xludf.DUMMYFUNCTION("""COMPUTED_VALUE"""),"Germany &amp; Egypt")</f>
        <v/>
      </c>
      <c r="K4292">
        <f>IFERROR(__xludf.DUMMYFUNCTION("""COMPUTED_VALUE"""),10200.71)</f>
        <v/>
      </c>
    </row>
    <row r="4293">
      <c r="J4293">
        <f>IFERROR(__xludf.DUMMYFUNCTION("""COMPUTED_VALUE"""),"Winnipeg, MB / Vancouver, BC")</f>
        <v/>
      </c>
      <c r="K4293">
        <f>IFERROR(__xludf.DUMMYFUNCTION("""COMPUTED_VALUE"""),10200.06)</f>
        <v/>
      </c>
    </row>
    <row r="4294">
      <c r="J4294">
        <f>IFERROR(__xludf.DUMMYFUNCTION("""COMPUTED_VALUE"""),"Whitehorse, Yukon, Canada / Yellowknife, Northwest Territories, Canada")</f>
        <v/>
      </c>
      <c r="K4294">
        <f>IFERROR(__xludf.DUMMYFUNCTION("""COMPUTED_VALUE"""),10198.9)</f>
        <v/>
      </c>
    </row>
    <row r="4295">
      <c r="J4295">
        <f>IFERROR(__xludf.DUMMYFUNCTION("""COMPUTED_VALUE"""),"Quebec, Quebec, Canada / Vancouver, British Columbia, Canada")</f>
        <v/>
      </c>
      <c r="K4295">
        <f>IFERROR(__xludf.DUMMYFUNCTION("""COMPUTED_VALUE"""),10198.83)</f>
        <v/>
      </c>
    </row>
    <row r="4296">
      <c r="J4296">
        <f>IFERROR(__xludf.DUMMYFUNCTION("""COMPUTED_VALUE"""),"Ethiopia and South Sudan")</f>
        <v/>
      </c>
      <c r="K4296">
        <f>IFERROR(__xludf.DUMMYFUNCTION("""COMPUTED_VALUE"""),10198.06)</f>
        <v/>
      </c>
    </row>
    <row r="4297">
      <c r="J4297">
        <f>IFERROR(__xludf.DUMMYFUNCTION("""COMPUTED_VALUE"""),"Warsaw, Budapest, Bucharest and Sofia")</f>
        <v/>
      </c>
      <c r="K4297">
        <f>IFERROR(__xludf.DUMMYFUNCTION("""COMPUTED_VALUE"""),10195.91)</f>
        <v/>
      </c>
    </row>
    <row r="4298">
      <c r="J4298">
        <f>IFERROR(__xludf.DUMMYFUNCTION("""COMPUTED_VALUE"""),"London, England;  The Hague, Netherlands; Edinburgh, United Kingdom")</f>
        <v/>
      </c>
      <c r="K4298">
        <f>IFERROR(__xludf.DUMMYFUNCTION("""COMPUTED_VALUE"""),10194.18)</f>
        <v/>
      </c>
    </row>
    <row r="4299">
      <c r="J4299">
        <f>IFERROR(__xludf.DUMMYFUNCTION("""COMPUTED_VALUE"""),"Romania, Moldova and Belgium")</f>
        <v/>
      </c>
      <c r="K4299">
        <f>IFERROR(__xludf.DUMMYFUNCTION("""COMPUTED_VALUE"""),10189.07)</f>
        <v/>
      </c>
    </row>
    <row r="4300">
      <c r="J4300">
        <f>IFERROR(__xludf.DUMMYFUNCTION("""COMPUTED_VALUE"""),"Vancouver, Calgary, Winnipeg, Toronto &amp; Montreal.")</f>
        <v/>
      </c>
      <c r="K4300">
        <f>IFERROR(__xludf.DUMMYFUNCTION("""COMPUTED_VALUE"""),10188.64)</f>
        <v/>
      </c>
    </row>
    <row r="4301">
      <c r="J4301">
        <f>IFERROR(__xludf.DUMMYFUNCTION("""COMPUTED_VALUE"""),"Munster")</f>
        <v/>
      </c>
      <c r="K4301">
        <f>IFERROR(__xludf.DUMMYFUNCTION("""COMPUTED_VALUE"""),10185.14)</f>
        <v/>
      </c>
    </row>
    <row r="4302">
      <c r="J4302">
        <f>IFERROR(__xludf.DUMMYFUNCTION("""COMPUTED_VALUE"""),"Harstad, Norway; Stavanger, Norway; Aberdeen, Scotland; London, United Kingdom")</f>
        <v/>
      </c>
      <c r="K4302">
        <f>IFERROR(__xludf.DUMMYFUNCTION("""COMPUTED_VALUE"""),10183)</f>
        <v/>
      </c>
    </row>
    <row r="4303">
      <c r="J4303">
        <f>IFERROR(__xludf.DUMMYFUNCTION("""COMPUTED_VALUE"""),"Winnipeg, Manitoba, Canada; Brandon, Manitoba, Canada")</f>
        <v/>
      </c>
      <c r="K4303">
        <f>IFERROR(__xludf.DUMMYFUNCTION("""COMPUTED_VALUE"""),10178.8699999999)</f>
        <v/>
      </c>
    </row>
    <row r="4304">
      <c r="J4304">
        <f>IFERROR(__xludf.DUMMYFUNCTION("""COMPUTED_VALUE"""),"St. John's, Newfoundland, Canada and
Lisbon,
Portugal")</f>
        <v/>
      </c>
      <c r="K4304">
        <f>IFERROR(__xludf.DUMMYFUNCTION("""COMPUTED_VALUE"""),10174.47)</f>
        <v/>
      </c>
    </row>
    <row r="4305">
      <c r="J4305">
        <f>IFERROR(__xludf.DUMMYFUNCTION("""COMPUTED_VALUE"""),"Nashville, Dallas, Washington DC, Colombia and Mexico")</f>
        <v/>
      </c>
      <c r="K4305">
        <f>IFERROR(__xludf.DUMMYFUNCTION("""COMPUTED_VALUE"""),10172.19)</f>
        <v/>
      </c>
    </row>
    <row r="4306">
      <c r="J4306">
        <f>IFERROR(__xludf.DUMMYFUNCTION("""COMPUTED_VALUE"""),"Ottawa - Vancouver - Ottawa")</f>
        <v/>
      </c>
      <c r="K4306">
        <f>IFERROR(__xludf.DUMMYFUNCTION("""COMPUTED_VALUE"""),10169.2)</f>
        <v/>
      </c>
    </row>
    <row r="4307">
      <c r="J4307">
        <f>IFERROR(__xludf.DUMMYFUNCTION("""COMPUTED_VALUE"""),"Ghana/Accra, Burkina Faso/Africa")</f>
        <v/>
      </c>
      <c r="K4307">
        <f>IFERROR(__xludf.DUMMYFUNCTION("""COMPUTED_VALUE"""),10166)</f>
        <v/>
      </c>
    </row>
    <row r="4308">
      <c r="J4308">
        <f>IFERROR(__xludf.DUMMYFUNCTION("""COMPUTED_VALUE"""),"Paris, France and Cardiff and Newport, Wales, United Kingdom")</f>
        <v/>
      </c>
      <c r="K4308">
        <f>IFERROR(__xludf.DUMMYFUNCTION("""COMPUTED_VALUE"""),10160.57)</f>
        <v/>
      </c>
    </row>
    <row r="4309">
      <c r="J4309">
        <f>IFERROR(__xludf.DUMMYFUNCTION("""COMPUTED_VALUE"""),"Vancouver, BC - Tokyo, Japan")</f>
        <v/>
      </c>
      <c r="K4309">
        <f>IFERROR(__xludf.DUMMYFUNCTION("""COMPUTED_VALUE"""),10160.35)</f>
        <v/>
      </c>
    </row>
    <row r="4310">
      <c r="J4310">
        <f>IFERROR(__xludf.DUMMYFUNCTION("""COMPUTED_VALUE"""),"Cambridge, Massachusetts, USA")</f>
        <v/>
      </c>
      <c r="K4310">
        <f>IFERROR(__xludf.DUMMYFUNCTION("""COMPUTED_VALUE"""),10158.3699999999)</f>
        <v/>
      </c>
    </row>
    <row r="4311">
      <c r="J4311">
        <f>IFERROR(__xludf.DUMMYFUNCTION("""COMPUTED_VALUE"""),"London, Capetown, Pretoria, Johannesburg, 
London")</f>
        <v/>
      </c>
      <c r="K4311">
        <f>IFERROR(__xludf.DUMMYFUNCTION("""COMPUTED_VALUE"""),10155.02)</f>
        <v/>
      </c>
    </row>
    <row r="4312">
      <c r="J4312">
        <f>IFERROR(__xludf.DUMMYFUNCTION("""COMPUTED_VALUE"""),"Maceio, Brazil")</f>
        <v/>
      </c>
      <c r="K4312">
        <f>IFERROR(__xludf.DUMMYFUNCTION("""COMPUTED_VALUE"""),10150.9)</f>
        <v/>
      </c>
    </row>
    <row r="4313">
      <c r="J4313">
        <f>IFERROR(__xludf.DUMMYFUNCTION("""COMPUTED_VALUE"""),"Riga Latvia; Lviv and Kyiv Poland")</f>
        <v/>
      </c>
      <c r="K4313">
        <f>IFERROR(__xludf.DUMMYFUNCTION("""COMPUTED_VALUE"""),10150.17)</f>
        <v/>
      </c>
    </row>
    <row r="4314">
      <c r="J4314">
        <f>IFERROR(__xludf.DUMMYFUNCTION("""COMPUTED_VALUE"""),"Paris, France - Houston, TX, USA")</f>
        <v/>
      </c>
      <c r="K4314">
        <f>IFERROR(__xludf.DUMMYFUNCTION("""COMPUTED_VALUE"""),10149.97)</f>
        <v/>
      </c>
    </row>
    <row r="4315">
      <c r="J4315">
        <f>IFERROR(__xludf.DUMMYFUNCTION("""COMPUTED_VALUE"""),"Paris, Amiens, Lille, France; Antwerp, Leuven, Belgium; Breda, Wageningen, Amsterdam, Netherlands")</f>
        <v/>
      </c>
      <c r="K4315">
        <f>IFERROR(__xludf.DUMMYFUNCTION("""COMPUTED_VALUE"""),10149.49)</f>
        <v/>
      </c>
    </row>
    <row r="4316">
      <c r="J4316">
        <f>IFERROR(__xludf.DUMMYFUNCTION("""COMPUTED_VALUE"""),"Vancouver, BC.")</f>
        <v/>
      </c>
      <c r="K4316">
        <f>IFERROR(__xludf.DUMMYFUNCTION("""COMPUTED_VALUE"""),10145.55)</f>
        <v/>
      </c>
    </row>
    <row r="4317">
      <c r="J4317">
        <f>IFERROR(__xludf.DUMMYFUNCTION("""COMPUTED_VALUE"""),"Winnipeg, Manitoba, Canada; Vancouver, British Columbia, Canada; Regina, Saskatchewan, Canada")</f>
        <v/>
      </c>
      <c r="K4317">
        <f>IFERROR(__xludf.DUMMYFUNCTION("""COMPUTED_VALUE"""),10144.65)</f>
        <v/>
      </c>
    </row>
    <row r="4318">
      <c r="J4318">
        <f>IFERROR(__xludf.DUMMYFUNCTION("""COMPUTED_VALUE"""),"Yellowknife, NW")</f>
        <v/>
      </c>
      <c r="K4318">
        <f>IFERROR(__xludf.DUMMYFUNCTION("""COMPUTED_VALUE"""),10144.51)</f>
        <v/>
      </c>
    </row>
    <row r="4319">
      <c r="J4319">
        <f>IFERROR(__xludf.DUMMYFUNCTION("""COMPUTED_VALUE"""),"Stockholm SW")</f>
        <v/>
      </c>
      <c r="K4319">
        <f>IFERROR(__xludf.DUMMYFUNCTION("""COMPUTED_VALUE"""),10144.49)</f>
        <v/>
      </c>
    </row>
    <row r="4320">
      <c r="J4320">
        <f>IFERROR(__xludf.DUMMYFUNCTION("""COMPUTED_VALUE"""),"Windsor, Ontario, Canada; Edmonton, Alberta, Canada; Montréal, Quebec, Canada")</f>
        <v/>
      </c>
      <c r="K4320">
        <f>IFERROR(__xludf.DUMMYFUNCTION("""COMPUTED_VALUE"""),10142.82)</f>
        <v/>
      </c>
    </row>
    <row r="4321">
      <c r="J4321">
        <f>IFERROR(__xludf.DUMMYFUNCTION("""COMPUTED_VALUE"""),"Toronto, Ontario
Canada")</f>
        <v/>
      </c>
      <c r="K4321">
        <f>IFERROR(__xludf.DUMMYFUNCTION("""COMPUTED_VALUE"""),10140.5)</f>
        <v/>
      </c>
    </row>
    <row r="4322">
      <c r="J4322">
        <f>IFERROR(__xludf.DUMMYFUNCTION("""COMPUTED_VALUE"""),"Brussels, BE / London, GB")</f>
        <v/>
      </c>
      <c r="K4322">
        <f>IFERROR(__xludf.DUMMYFUNCTION("""COMPUTED_VALUE"""),10140.02)</f>
        <v/>
      </c>
    </row>
    <row r="4323">
      <c r="J4323">
        <f>IFERROR(__xludf.DUMMYFUNCTION("""COMPUTED_VALUE"""),"Paris, France; Ottawa, Ontario; Toronto, Ontario")</f>
        <v/>
      </c>
      <c r="K4323">
        <f>IFERROR(__xludf.DUMMYFUNCTION("""COMPUTED_VALUE"""),10139.63)</f>
        <v/>
      </c>
    </row>
    <row r="4324">
      <c r="J4324">
        <f>IFERROR(__xludf.DUMMYFUNCTION("""COMPUTED_VALUE"""),"Bern, Switzerland, Rome, Italy, Copehnagen, Denmark")</f>
        <v/>
      </c>
      <c r="K4324">
        <f>IFERROR(__xludf.DUMMYFUNCTION("""COMPUTED_VALUE"""),10138.62)</f>
        <v/>
      </c>
    </row>
    <row r="4325">
      <c r="J4325">
        <f>IFERROR(__xludf.DUMMYFUNCTION("""COMPUTED_VALUE"""),"Cheltenham, Northwood, Wyton, and London, UK; London UK; Halifax NS")</f>
        <v/>
      </c>
      <c r="K4325">
        <f>IFERROR(__xludf.DUMMYFUNCTION("""COMPUTED_VALUE"""),10132.06)</f>
        <v/>
      </c>
    </row>
    <row r="4326">
      <c r="J4326">
        <f>IFERROR(__xludf.DUMMYFUNCTION("""COMPUTED_VALUE"""),"Bucharest, Romania and Moldova")</f>
        <v/>
      </c>
      <c r="K4326">
        <f>IFERROR(__xludf.DUMMYFUNCTION("""COMPUTED_VALUE"""),10131.79)</f>
        <v/>
      </c>
    </row>
    <row r="4327">
      <c r="J4327">
        <f>IFERROR(__xludf.DUMMYFUNCTION("""COMPUTED_VALUE"""),"Îles-de-la-Madeleine / Gaspé / Baie Comeau / Québec")</f>
        <v/>
      </c>
      <c r="K4327">
        <f>IFERROR(__xludf.DUMMYFUNCTION("""COMPUTED_VALUE"""),10131.42)</f>
        <v/>
      </c>
    </row>
    <row r="4328">
      <c r="J4328">
        <f>IFERROR(__xludf.DUMMYFUNCTION("""COMPUTED_VALUE"""),"Copenhagen and Vienna")</f>
        <v/>
      </c>
      <c r="K4328">
        <f>IFERROR(__xludf.DUMMYFUNCTION("""COMPUTED_VALUE"""),10131.3)</f>
        <v/>
      </c>
    </row>
    <row r="4329">
      <c r="J4329">
        <f>IFERROR(__xludf.DUMMYFUNCTION("""COMPUTED_VALUE"""),"Mackinac Island, Michigan, USA")</f>
        <v/>
      </c>
      <c r="K4329">
        <f>IFERROR(__xludf.DUMMYFUNCTION("""COMPUTED_VALUE"""),10130.99)</f>
        <v/>
      </c>
    </row>
    <row r="4330">
      <c r="J4330">
        <f>IFERROR(__xludf.DUMMYFUNCTION("""COMPUTED_VALUE"""),"Chile &amp; Havana, Cuba")</f>
        <v/>
      </c>
      <c r="K4330">
        <f>IFERROR(__xludf.DUMMYFUNCTION("""COMPUTED_VALUE"""),10130.88)</f>
        <v/>
      </c>
    </row>
    <row r="4331">
      <c r="J4331">
        <f>IFERROR(__xludf.DUMMYFUNCTION("""COMPUTED_VALUE"""),"Moncton, New Brunswick, Canada
Antigonish, Nova Scotia, Canada
Charlottetown, Prince Edward Island, Canada")</f>
        <v/>
      </c>
      <c r="K4331">
        <f>IFERROR(__xludf.DUMMYFUNCTION("""COMPUTED_VALUE"""),10127.9)</f>
        <v/>
      </c>
    </row>
    <row r="4332">
      <c r="J4332">
        <f>IFERROR(__xludf.DUMMYFUNCTION("""COMPUTED_VALUE"""),"Montréal, Canada")</f>
        <v/>
      </c>
      <c r="K4332">
        <f>IFERROR(__xludf.DUMMYFUNCTION("""COMPUTED_VALUE"""),10125.16)</f>
        <v/>
      </c>
    </row>
    <row r="4333">
      <c r="J4333">
        <f>IFERROR(__xludf.DUMMYFUNCTION("""COMPUTED_VALUE"""),"Portugal-Lisbon and  United Kingdom -London")</f>
        <v/>
      </c>
      <c r="K4333">
        <f>IFERROR(__xludf.DUMMYFUNCTION("""COMPUTED_VALUE"""),10120.8)</f>
        <v/>
      </c>
    </row>
    <row r="4334">
      <c r="J4334">
        <f>IFERROR(__xludf.DUMMYFUNCTION("""COMPUTED_VALUE"""),"Santiago, Chile - Viña del Mar, Chile - Mexico City, Mexico")</f>
        <v/>
      </c>
      <c r="K4334">
        <f>IFERROR(__xludf.DUMMYFUNCTION("""COMPUTED_VALUE"""),10120)</f>
        <v/>
      </c>
    </row>
    <row r="4335">
      <c r="J4335">
        <f>IFERROR(__xludf.DUMMYFUNCTION("""COMPUTED_VALUE"""),"Paris, France, London,United Kingdom, Brussels, Belgium")</f>
        <v/>
      </c>
      <c r="K4335">
        <f>IFERROR(__xludf.DUMMYFUNCTION("""COMPUTED_VALUE"""),10113.1)</f>
        <v/>
      </c>
    </row>
    <row r="4336">
      <c r="J4336">
        <f>IFERROR(__xludf.DUMMYFUNCTION("""COMPUTED_VALUE"""),"San Francisco, Minneapolis and Vancouver")</f>
        <v/>
      </c>
      <c r="K4336">
        <f>IFERROR(__xludf.DUMMYFUNCTION("""COMPUTED_VALUE"""),10110.72)</f>
        <v/>
      </c>
    </row>
    <row r="4337">
      <c r="J4337">
        <f>IFERROR(__xludf.DUMMYFUNCTION("""COMPUTED_VALUE"""),"Vancouver, British Columbia Geneva, Switzerland New York City, United States")</f>
        <v/>
      </c>
      <c r="K4337">
        <f>IFERROR(__xludf.DUMMYFUNCTION("""COMPUTED_VALUE"""),10110.49)</f>
        <v/>
      </c>
    </row>
    <row r="4338">
      <c r="J4338">
        <f>IFERROR(__xludf.DUMMYFUNCTION("""COMPUTED_VALUE"""),"Seoul(Republique de Coree)")</f>
        <v/>
      </c>
      <c r="K4338">
        <f>IFERROR(__xludf.DUMMYFUNCTION("""COMPUTED_VALUE"""),10107.94)</f>
        <v/>
      </c>
    </row>
    <row r="4339">
      <c r="J4339">
        <f>IFERROR(__xludf.DUMMYFUNCTION("""COMPUTED_VALUE"""),"Edmonton, Alberta, Canada; Iqaluit, Nunavut, Canada")</f>
        <v/>
      </c>
      <c r="K4339">
        <f>IFERROR(__xludf.DUMMYFUNCTION("""COMPUTED_VALUE"""),10103.69)</f>
        <v/>
      </c>
    </row>
    <row r="4340">
      <c r="J4340">
        <f>IFERROR(__xludf.DUMMYFUNCTION("""COMPUTED_VALUE"""),"Ottawa, Ontario, Canada/ Toronto, Ontario, Canada")</f>
        <v/>
      </c>
      <c r="K4340">
        <f>IFERROR(__xludf.DUMMYFUNCTION("""COMPUTED_VALUE"""),10096.36)</f>
        <v/>
      </c>
    </row>
    <row r="4341">
      <c r="J4341">
        <f>IFERROR(__xludf.DUMMYFUNCTION("""COMPUTED_VALUE"""),"Paris-Ottawa-Paris")</f>
        <v/>
      </c>
      <c r="K4341">
        <f>IFERROR(__xludf.DUMMYFUNCTION("""COMPUTED_VALUE"""),10093.96)</f>
        <v/>
      </c>
    </row>
    <row r="4342">
      <c r="J4342">
        <f>IFERROR(__xludf.DUMMYFUNCTION("""COMPUTED_VALUE"""),"Vienna, Austria; Belrin, Germany; Bratislava, Slovakia")</f>
        <v/>
      </c>
      <c r="K4342">
        <f>IFERROR(__xludf.DUMMYFUNCTION("""COMPUTED_VALUE"""),10092.9)</f>
        <v/>
      </c>
    </row>
    <row r="4343">
      <c r="J4343">
        <f>IFERROR(__xludf.DUMMYFUNCTION("""COMPUTED_VALUE"""),"Brussels, Belgium
Eltville, Germany")</f>
        <v/>
      </c>
      <c r="K4343">
        <f>IFERROR(__xludf.DUMMYFUNCTION("""COMPUTED_VALUE"""),10092.8)</f>
        <v/>
      </c>
    </row>
    <row r="4344">
      <c r="J4344">
        <f>IFERROR(__xludf.DUMMYFUNCTION("""COMPUTED_VALUE"""),"Badhdad, Iraq")</f>
        <v/>
      </c>
      <c r="K4344">
        <f>IFERROR(__xludf.DUMMYFUNCTION("""COMPUTED_VALUE"""),10092.25)</f>
        <v/>
      </c>
    </row>
    <row r="4345">
      <c r="J4345">
        <f>IFERROR(__xludf.DUMMYFUNCTION("""COMPUTED_VALUE"""),"Brussels, Flensburg")</f>
        <v/>
      </c>
      <c r="K4345">
        <f>IFERROR(__xludf.DUMMYFUNCTION("""COMPUTED_VALUE"""),10090.46)</f>
        <v/>
      </c>
    </row>
    <row r="4346">
      <c r="J4346">
        <f>IFERROR(__xludf.DUMMYFUNCTION("""COMPUTED_VALUE"""),"Ottawa, Edmonton, Fort McMurray and Calgary Alberta, Canada")</f>
        <v/>
      </c>
      <c r="K4346">
        <f>IFERROR(__xludf.DUMMYFUNCTION("""COMPUTED_VALUE"""),10087.12)</f>
        <v/>
      </c>
    </row>
    <row r="4347">
      <c r="J4347">
        <f>IFERROR(__xludf.DUMMYFUNCTION("""COMPUTED_VALUE"""),"Costa Do Sauipe, Brazil")</f>
        <v/>
      </c>
      <c r="K4347">
        <f>IFERROR(__xludf.DUMMYFUNCTION("""COMPUTED_VALUE"""),10084.48)</f>
        <v/>
      </c>
    </row>
    <row r="4348">
      <c r="J4348">
        <f>IFERROR(__xludf.DUMMYFUNCTION("""COMPUTED_VALUE"""),"Kiel, Germany")</f>
        <v/>
      </c>
      <c r="K4348">
        <f>IFERROR(__xludf.DUMMYFUNCTION("""COMPUTED_VALUE"""),10082.99)</f>
        <v/>
      </c>
    </row>
    <row r="4349">
      <c r="J4349">
        <f>IFERROR(__xludf.DUMMYFUNCTION("""COMPUTED_VALUE"""),"Québec, Quebec, Canada, Fredericton, New Brunswick, Canada, Halifax and Millbrook, Nova Scotia, Canada")</f>
        <v/>
      </c>
      <c r="K4349">
        <f>IFERROR(__xludf.DUMMYFUNCTION("""COMPUTED_VALUE"""),10081.31)</f>
        <v/>
      </c>
    </row>
    <row r="4350">
      <c r="J4350">
        <f>IFERROR(__xludf.DUMMYFUNCTION("""COMPUTED_VALUE"""),"Bermuda, United Kingdom")</f>
        <v/>
      </c>
      <c r="K4350">
        <f>IFERROR(__xludf.DUMMYFUNCTION("""COMPUTED_VALUE"""),10081.18)</f>
        <v/>
      </c>
    </row>
    <row r="4351">
      <c r="J4351">
        <f>IFERROR(__xludf.DUMMYFUNCTION("""COMPUTED_VALUE"""),"Kyiv and Kharkiv, Ukraine and Chisinau, Moldova")</f>
        <v/>
      </c>
      <c r="K4351">
        <f>IFERROR(__xludf.DUMMYFUNCTION("""COMPUTED_VALUE"""),10079.17)</f>
        <v/>
      </c>
    </row>
    <row r="4352">
      <c r="J4352">
        <f>IFERROR(__xludf.DUMMYFUNCTION("""COMPUTED_VALUE"""),"Atlanta, GA, USA")</f>
        <v/>
      </c>
      <c r="K4352">
        <f>IFERROR(__xludf.DUMMYFUNCTION("""COMPUTED_VALUE"""),10074.93)</f>
        <v/>
      </c>
    </row>
    <row r="4353">
      <c r="J4353">
        <f>IFERROR(__xludf.DUMMYFUNCTION("""COMPUTED_VALUE"""),"Ottawa (Ontario) and Gatineau (Québec) Canada")</f>
        <v/>
      </c>
      <c r="K4353">
        <f>IFERROR(__xludf.DUMMYFUNCTION("""COMPUTED_VALUE"""),10073.01)</f>
        <v/>
      </c>
    </row>
    <row r="4354">
      <c r="J4354">
        <f>IFERROR(__xludf.DUMMYFUNCTION("""COMPUTED_VALUE"""),"Stockholm, Sweden / Madrid, Spain")</f>
        <v/>
      </c>
      <c r="K4354">
        <f>IFERROR(__xludf.DUMMYFUNCTION("""COMPUTED_VALUE"""),10071.43)</f>
        <v/>
      </c>
    </row>
    <row r="4355">
      <c r="J4355">
        <f>IFERROR(__xludf.DUMMYFUNCTION("""COMPUTED_VALUE"""),"Chilliwack, British Columbia")</f>
        <v/>
      </c>
      <c r="K4355">
        <f>IFERROR(__xludf.DUMMYFUNCTION("""COMPUTED_VALUE"""),10069.51)</f>
        <v/>
      </c>
    </row>
    <row r="4356">
      <c r="J4356">
        <f>IFERROR(__xludf.DUMMYFUNCTION("""COMPUTED_VALUE"""),"Reykjavik, Iceland; Vilnius, Lithuania; Toronto, Ontario, Canada")</f>
        <v/>
      </c>
      <c r="K4356">
        <f>IFERROR(__xludf.DUMMYFUNCTION("""COMPUTED_VALUE"""),10068.88)</f>
        <v/>
      </c>
    </row>
    <row r="4357">
      <c r="J4357">
        <f>IFERROR(__xludf.DUMMYFUNCTION("""COMPUTED_VALUE"""),"Delhi, India - Noida - Mumbai - Israel")</f>
        <v/>
      </c>
      <c r="K4357">
        <f>IFERROR(__xludf.DUMMYFUNCTION("""COMPUTED_VALUE"""),10068.73)</f>
        <v/>
      </c>
    </row>
    <row r="4358">
      <c r="J4358">
        <f>IFERROR(__xludf.DUMMYFUNCTION("""COMPUTED_VALUE"""),"Montreal, Fredericton and Halifax")</f>
        <v/>
      </c>
      <c r="K4358">
        <f>IFERROR(__xludf.DUMMYFUNCTION("""COMPUTED_VALUE"""),10065.83)</f>
        <v/>
      </c>
    </row>
    <row r="4359">
      <c r="J4359">
        <f>IFERROR(__xludf.DUMMYFUNCTION("""COMPUTED_VALUE"""),"Beijing, Seoul")</f>
        <v/>
      </c>
      <c r="K4359">
        <f>IFERROR(__xludf.DUMMYFUNCTION("""COMPUTED_VALUE"""),10065.18)</f>
        <v/>
      </c>
    </row>
    <row r="4360">
      <c r="J4360">
        <f>IFERROR(__xludf.DUMMYFUNCTION("""COMPUTED_VALUE"""),"Washington, District of Columbia, United States / New York, New York, United States")</f>
        <v/>
      </c>
      <c r="K4360">
        <f>IFERROR(__xludf.DUMMYFUNCTION("""COMPUTED_VALUE"""),10064.36)</f>
        <v/>
      </c>
    </row>
    <row r="4361">
      <c r="J4361">
        <f>IFERROR(__xludf.DUMMYFUNCTION("""COMPUTED_VALUE"""),"Oshawa, ON")</f>
        <v/>
      </c>
      <c r="K4361">
        <f>IFERROR(__xludf.DUMMYFUNCTION("""COMPUTED_VALUE"""),10064.34)</f>
        <v/>
      </c>
    </row>
    <row r="4362">
      <c r="J4362">
        <f>IFERROR(__xludf.DUMMYFUNCTION("""COMPUTED_VALUE"""),"Kenora; Northern Ontario")</f>
        <v/>
      </c>
      <c r="K4362">
        <f>IFERROR(__xludf.DUMMYFUNCTION("""COMPUTED_VALUE"""),10060.5399999999)</f>
        <v/>
      </c>
    </row>
    <row r="4363">
      <c r="J4363">
        <f>IFERROR(__xludf.DUMMYFUNCTION("""COMPUTED_VALUE"""),"Brussels and Paris, Toronto")</f>
        <v/>
      </c>
      <c r="K4363">
        <f>IFERROR(__xludf.DUMMYFUNCTION("""COMPUTED_VALUE"""),10059.3)</f>
        <v/>
      </c>
    </row>
    <row r="4364">
      <c r="J4364">
        <f>IFERROR(__xludf.DUMMYFUNCTION("""COMPUTED_VALUE"""),"St-Johns, Newfoundland")</f>
        <v/>
      </c>
      <c r="K4364">
        <f>IFERROR(__xludf.DUMMYFUNCTION("""COMPUTED_VALUE"""),10056.29)</f>
        <v/>
      </c>
    </row>
    <row r="4365">
      <c r="J4365">
        <f>IFERROR(__xludf.DUMMYFUNCTION("""COMPUTED_VALUE"""),"Alaska")</f>
        <v/>
      </c>
      <c r="K4365">
        <f>IFERROR(__xludf.DUMMYFUNCTION("""COMPUTED_VALUE"""),10056.24)</f>
        <v/>
      </c>
    </row>
    <row r="4366">
      <c r="J4366">
        <f>IFERROR(__xludf.DUMMYFUNCTION("""COMPUTED_VALUE"""),"London, United Kingdom / Rome, Italy")</f>
        <v/>
      </c>
      <c r="K4366">
        <f>IFERROR(__xludf.DUMMYFUNCTION("""COMPUTED_VALUE"""),10055.69)</f>
        <v/>
      </c>
    </row>
    <row r="4367">
      <c r="J4367">
        <f>IFERROR(__xludf.DUMMYFUNCTION("""COMPUTED_VALUE"""),"Ottawa; London UK, Canada: United Kingdom")</f>
        <v/>
      </c>
      <c r="K4367">
        <f>IFERROR(__xludf.DUMMYFUNCTION("""COMPUTED_VALUE"""),10054.84)</f>
        <v/>
      </c>
    </row>
    <row r="4368">
      <c r="J4368">
        <f>IFERROR(__xludf.DUMMYFUNCTION("""COMPUTED_VALUE"""),"Saskatoon, Saskatchewan, Canada; Vancouver, British Columbia, Canada")</f>
        <v/>
      </c>
      <c r="K4368">
        <f>IFERROR(__xludf.DUMMYFUNCTION("""COMPUTED_VALUE"""),10054.26)</f>
        <v/>
      </c>
    </row>
    <row r="4369">
      <c r="J4369">
        <f>IFERROR(__xludf.DUMMYFUNCTION("""COMPUTED_VALUE"""),"Abu Dhabi, United Arabe Emirates")</f>
        <v/>
      </c>
      <c r="K4369">
        <f>IFERROR(__xludf.DUMMYFUNCTION("""COMPUTED_VALUE"""),10052.66)</f>
        <v/>
      </c>
    </row>
    <row r="4370">
      <c r="J4370">
        <f>IFERROR(__xludf.DUMMYFUNCTION("""COMPUTED_VALUE"""),"China, Malaysia, Brunei, Singapore")</f>
        <v/>
      </c>
      <c r="K4370">
        <f>IFERROR(__xludf.DUMMYFUNCTION("""COMPUTED_VALUE"""),10050.37)</f>
        <v/>
      </c>
    </row>
    <row r="4371">
      <c r="J4371">
        <f>IFERROR(__xludf.DUMMYFUNCTION("""COMPUTED_VALUE"""),"Denver, USA Madrid, Spain, Brussels, Belgium")</f>
        <v/>
      </c>
      <c r="K4371">
        <f>IFERROR(__xludf.DUMMYFUNCTION("""COMPUTED_VALUE"""),10048.19)</f>
        <v/>
      </c>
    </row>
    <row r="4372">
      <c r="J4372">
        <f>IFERROR(__xludf.DUMMYFUNCTION("""COMPUTED_VALUE"""),"Karuizawa, Japan - Tokyo, Japan")</f>
        <v/>
      </c>
      <c r="K4372">
        <f>IFERROR(__xludf.DUMMYFUNCTION("""COMPUTED_VALUE"""),10047.85)</f>
        <v/>
      </c>
    </row>
    <row r="4373">
      <c r="J4373">
        <f>IFERROR(__xludf.DUMMYFUNCTION("""COMPUTED_VALUE"""),"Vancouver, British Columbia / Terrace, British Columbia, Canada")</f>
        <v/>
      </c>
      <c r="K4373">
        <f>IFERROR(__xludf.DUMMYFUNCTION("""COMPUTED_VALUE"""),10046.96)</f>
        <v/>
      </c>
    </row>
    <row r="4374">
      <c r="J4374">
        <f>IFERROR(__xludf.DUMMYFUNCTION("""COMPUTED_VALUE"""),"Newmarket, Ontario, Canada")</f>
        <v/>
      </c>
      <c r="K4374">
        <f>IFERROR(__xludf.DUMMYFUNCTION("""COMPUTED_VALUE"""),10045.66)</f>
        <v/>
      </c>
    </row>
    <row r="4375">
      <c r="J4375">
        <f>IFERROR(__xludf.DUMMYFUNCTION("""COMPUTED_VALUE"""),"Winnipeg, Manitoba, Canada / Saskatoon, Saskatchewan, Canada")</f>
        <v/>
      </c>
      <c r="K4375">
        <f>IFERROR(__xludf.DUMMYFUNCTION("""COMPUTED_VALUE"""),10041.33)</f>
        <v/>
      </c>
    </row>
    <row r="4376">
      <c r="J4376">
        <f>IFERROR(__xludf.DUMMYFUNCTION("""COMPUTED_VALUE"""),"Whitehorse, (Yukon)")</f>
        <v/>
      </c>
      <c r="K4376">
        <f>IFERROR(__xludf.DUMMYFUNCTION("""COMPUTED_VALUE"""),10040.5199999999)</f>
        <v/>
      </c>
    </row>
    <row r="4377">
      <c r="J4377">
        <f>IFERROR(__xludf.DUMMYFUNCTION("""COMPUTED_VALUE"""),"Moncton, New Brunswick, Canada; Charlottetown, Prince Edward Island, Canada; Barrie, Ontario, Canada; Toronto, Ontario, Canada")</f>
        <v/>
      </c>
      <c r="K4377">
        <f>IFERROR(__xludf.DUMMYFUNCTION("""COMPUTED_VALUE"""),10040.0299999999)</f>
        <v/>
      </c>
    </row>
    <row r="4378">
      <c r="J4378">
        <f>IFERROR(__xludf.DUMMYFUNCTION("""COMPUTED_VALUE"""),"Denpasar, Bali")</f>
        <v/>
      </c>
      <c r="K4378">
        <f>IFERROR(__xludf.DUMMYFUNCTION("""COMPUTED_VALUE"""),10039.63)</f>
        <v/>
      </c>
    </row>
    <row r="4379">
      <c r="J4379">
        <f>IFERROR(__xludf.DUMMYFUNCTION("""COMPUTED_VALUE"""),"Washington, DC / Toronto, ON")</f>
        <v/>
      </c>
      <c r="K4379">
        <f>IFERROR(__xludf.DUMMYFUNCTION("""COMPUTED_VALUE"""),10036.02)</f>
        <v/>
      </c>
    </row>
    <row r="4380">
      <c r="J4380">
        <f>IFERROR(__xludf.DUMMYFUNCTION("""COMPUTED_VALUE"""),"Val d'Or")</f>
        <v/>
      </c>
      <c r="K4380">
        <f>IFERROR(__xludf.DUMMYFUNCTION("""COMPUTED_VALUE"""),10035.27)</f>
        <v/>
      </c>
    </row>
    <row r="4381">
      <c r="J4381">
        <f>IFERROR(__xludf.DUMMYFUNCTION("""COMPUTED_VALUE"""),"Passendale, Belgium and London, England")</f>
        <v/>
      </c>
      <c r="K4381">
        <f>IFERROR(__xludf.DUMMYFUNCTION("""COMPUTED_VALUE"""),10033.09)</f>
        <v/>
      </c>
    </row>
    <row r="4382">
      <c r="J4382">
        <f>IFERROR(__xludf.DUMMYFUNCTION("""COMPUTED_VALUE"""),"Riga, Latvia
Brussels, Belgium")</f>
        <v/>
      </c>
      <c r="K4382">
        <f>IFERROR(__xludf.DUMMYFUNCTION("""COMPUTED_VALUE"""),10027.73)</f>
        <v/>
      </c>
    </row>
    <row r="4383">
      <c r="J4383">
        <f>IFERROR(__xludf.DUMMYFUNCTION("""COMPUTED_VALUE"""),"Banff, Calgary, Ottawa, Toronto Canada")</f>
        <v/>
      </c>
      <c r="K4383">
        <f>IFERROR(__xludf.DUMMYFUNCTION("""COMPUTED_VALUE"""),10025.99)</f>
        <v/>
      </c>
    </row>
    <row r="4384">
      <c r="J4384">
        <f>IFERROR(__xludf.DUMMYFUNCTION("""COMPUTED_VALUE"""),"London | High Wycombe, United-Kingdom")</f>
        <v/>
      </c>
      <c r="K4384">
        <f>IFERROR(__xludf.DUMMYFUNCTION("""COMPUTED_VALUE"""),10025.51)</f>
        <v/>
      </c>
    </row>
    <row r="4385">
      <c r="J4385">
        <f>IFERROR(__xludf.DUMMYFUNCTION("""COMPUTED_VALUE"""),"Ottawa, Halifax - Canada")</f>
        <v/>
      </c>
      <c r="K4385">
        <f>IFERROR(__xludf.DUMMYFUNCTION("""COMPUTED_VALUE"""),10021.46)</f>
        <v/>
      </c>
    </row>
    <row r="4386">
      <c r="J4386">
        <f>IFERROR(__xludf.DUMMYFUNCTION("""COMPUTED_VALUE"""),"Waterton, Alberta, Canada")</f>
        <v/>
      </c>
      <c r="K4386">
        <f>IFERROR(__xludf.DUMMYFUNCTION("""COMPUTED_VALUE"""),10010.38)</f>
        <v/>
      </c>
    </row>
    <row r="4387">
      <c r="J4387">
        <f>IFERROR(__xludf.DUMMYFUNCTION("""COMPUTED_VALUE"""),"Berlin, Germany and London, England")</f>
        <v/>
      </c>
      <c r="K4387">
        <f>IFERROR(__xludf.DUMMYFUNCTION("""COMPUTED_VALUE"""),10007.93)</f>
        <v/>
      </c>
    </row>
    <row r="4388">
      <c r="J4388">
        <f>IFERROR(__xludf.DUMMYFUNCTION("""COMPUTED_VALUE"""),"Iqaluit, Nunavut, Canada; Yellowknife, Northwest Territories, Canada")</f>
        <v/>
      </c>
      <c r="K4388">
        <f>IFERROR(__xludf.DUMMYFUNCTION("""COMPUTED_VALUE"""),10002.1)</f>
        <v/>
      </c>
    </row>
    <row r="4389">
      <c r="J4389">
        <f>IFERROR(__xludf.DUMMYFUNCTION("""COMPUTED_VALUE"""),"Leipzig, Sasony, Germany")</f>
        <v/>
      </c>
      <c r="K4389">
        <f>IFERROR(__xludf.DUMMYFUNCTION("""COMPUTED_VALUE"""),10001.32)</f>
        <v/>
      </c>
    </row>
    <row r="4390">
      <c r="J4390">
        <f>IFERROR(__xludf.DUMMYFUNCTION("""COMPUTED_VALUE"""),"Banff, Calgary, Vancouver, Calgary")</f>
        <v/>
      </c>
      <c r="K4390">
        <f>IFERROR(__xludf.DUMMYFUNCTION("""COMPUTED_VALUE"""),9994.41)</f>
        <v/>
      </c>
    </row>
    <row r="4391">
      <c r="J4391">
        <f>IFERROR(__xludf.DUMMYFUNCTION("""COMPUTED_VALUE"""),"Chatham, Ontario, Canada")</f>
        <v/>
      </c>
      <c r="K4391">
        <f>IFERROR(__xludf.DUMMYFUNCTION("""COMPUTED_VALUE"""),9988.41)</f>
        <v/>
      </c>
    </row>
    <row r="4392">
      <c r="J4392">
        <f>IFERROR(__xludf.DUMMYFUNCTION("""COMPUTED_VALUE"""),"Hong Kong, CN / Taipei, TW")</f>
        <v/>
      </c>
      <c r="K4392">
        <f>IFERROR(__xludf.DUMMYFUNCTION("""COMPUTED_VALUE"""),9983.39)</f>
        <v/>
      </c>
    </row>
    <row r="4393">
      <c r="J4393">
        <f>IFERROR(__xludf.DUMMYFUNCTION("""COMPUTED_VALUE"""),"Boao, China")</f>
        <v/>
      </c>
      <c r="K4393">
        <f>IFERROR(__xludf.DUMMYFUNCTION("""COMPUTED_VALUE"""),9983.21)</f>
        <v/>
      </c>
    </row>
    <row r="4394">
      <c r="J4394">
        <f>IFERROR(__xludf.DUMMYFUNCTION("""COMPUTED_VALUE"""),"Tokyo and Hakodate, Japan")</f>
        <v/>
      </c>
      <c r="K4394">
        <f>IFERROR(__xludf.DUMMYFUNCTION("""COMPUTED_VALUE"""),9979.78)</f>
        <v/>
      </c>
    </row>
    <row r="4395">
      <c r="J4395">
        <f>IFERROR(__xludf.DUMMYFUNCTION("""COMPUTED_VALUE"""),"Philipines")</f>
        <v/>
      </c>
      <c r="K4395">
        <f>IFERROR(__xludf.DUMMYFUNCTION("""COMPUTED_VALUE"""),9979.21)</f>
        <v/>
      </c>
    </row>
    <row r="4396">
      <c r="J4396">
        <f>IFERROR(__xludf.DUMMYFUNCTION("""COMPUTED_VALUE"""),"Ottawa, Ontario, Canada - Halifax, Nova Scotia, Canada")</f>
        <v/>
      </c>
      <c r="K4396">
        <f>IFERROR(__xludf.DUMMYFUNCTION("""COMPUTED_VALUE"""),9978.9)</f>
        <v/>
      </c>
    </row>
    <row r="4397">
      <c r="J4397">
        <f>IFERROR(__xludf.DUMMYFUNCTION("""COMPUTED_VALUE"""),"Victoria, British-Columbia, Canada
Vancouver, British-Columbia, Canada
Calgary, Alberta, Canada")</f>
        <v/>
      </c>
      <c r="K4397">
        <f>IFERROR(__xludf.DUMMYFUNCTION("""COMPUTED_VALUE"""),9977.99)</f>
        <v/>
      </c>
    </row>
    <row r="4398">
      <c r="J4398">
        <f>IFERROR(__xludf.DUMMYFUNCTION("""COMPUTED_VALUE"""),"Davos, Switerland")</f>
        <v/>
      </c>
      <c r="K4398">
        <f>IFERROR(__xludf.DUMMYFUNCTION("""COMPUTED_VALUE"""),9977.33)</f>
        <v/>
      </c>
    </row>
    <row r="4399">
      <c r="J4399">
        <f>IFERROR(__xludf.DUMMYFUNCTION("""COMPUTED_VALUE"""),"Garmisch-Partenkirchen, Germany")</f>
        <v/>
      </c>
      <c r="K4399">
        <f>IFERROR(__xludf.DUMMYFUNCTION("""COMPUTED_VALUE"""),9972.32)</f>
        <v/>
      </c>
    </row>
    <row r="4400">
      <c r="J4400">
        <f>IFERROR(__xludf.DUMMYFUNCTION("""COMPUTED_VALUE"""),"Montreal, Ottawa, Brussels Prague")</f>
        <v/>
      </c>
      <c r="K4400">
        <f>IFERROR(__xludf.DUMMYFUNCTION("""COMPUTED_VALUE"""),9972.06)</f>
        <v/>
      </c>
    </row>
    <row r="4401">
      <c r="J4401">
        <f>IFERROR(__xludf.DUMMYFUNCTION("""COMPUTED_VALUE"""),"1) The Hague, Netherlands 2) Lausanne, Switzerland")</f>
        <v/>
      </c>
      <c r="K4401">
        <f>IFERROR(__xludf.DUMMYFUNCTION("""COMPUTED_VALUE"""),9970.21)</f>
        <v/>
      </c>
    </row>
    <row r="4402">
      <c r="J4402">
        <f>IFERROR(__xludf.DUMMYFUNCTION("""COMPUTED_VALUE"""),"Iqaluit, (Nunavut)")</f>
        <v/>
      </c>
      <c r="K4402">
        <f>IFERROR(__xludf.DUMMYFUNCTION("""COMPUTED_VALUE"""),9970.07)</f>
        <v/>
      </c>
    </row>
    <row r="4403">
      <c r="J4403">
        <f>IFERROR(__xludf.DUMMYFUNCTION("""COMPUTED_VALUE"""),"Sidney, British Columbia, Canada")</f>
        <v/>
      </c>
      <c r="K4403">
        <f>IFERROR(__xludf.DUMMYFUNCTION("""COMPUTED_VALUE"""),9963.78)</f>
        <v/>
      </c>
    </row>
    <row r="4404">
      <c r="J4404">
        <f>IFERROR(__xludf.DUMMYFUNCTION("""COMPUTED_VALUE"""),"Kiev, Ukraine; Lviv, Ukraine")</f>
        <v/>
      </c>
      <c r="K4404">
        <f>IFERROR(__xludf.DUMMYFUNCTION("""COMPUTED_VALUE"""),9963.54)</f>
        <v/>
      </c>
    </row>
    <row r="4405">
      <c r="J4405">
        <f>IFERROR(__xludf.DUMMYFUNCTION("""COMPUTED_VALUE"""),"Prince Rupert")</f>
        <v/>
      </c>
      <c r="K4405">
        <f>IFERROR(__xludf.DUMMYFUNCTION("""COMPUTED_VALUE"""),9961.44999999999)</f>
        <v/>
      </c>
    </row>
    <row r="4406">
      <c r="J4406">
        <f>IFERROR(__xludf.DUMMYFUNCTION("""COMPUTED_VALUE"""),"Havana, Cuba
Mexico City, Mexico")</f>
        <v/>
      </c>
      <c r="K4406">
        <f>IFERROR(__xludf.DUMMYFUNCTION("""COMPUTED_VALUE"""),9961.34999999999)</f>
        <v/>
      </c>
    </row>
    <row r="4407">
      <c r="J4407">
        <f>IFERROR(__xludf.DUMMYFUNCTION("""COMPUTED_VALUE"""),"Charlottetown, PEI - Fredericton, NB - Deer Lake, NL")</f>
        <v/>
      </c>
      <c r="K4407">
        <f>IFERROR(__xludf.DUMMYFUNCTION("""COMPUTED_VALUE"""),9960.72)</f>
        <v/>
      </c>
    </row>
    <row r="4408">
      <c r="J4408">
        <f>IFERROR(__xludf.DUMMYFUNCTION("""COMPUTED_VALUE"""),"Brussels &amp; Paris")</f>
        <v/>
      </c>
      <c r="K4408">
        <f>IFERROR(__xludf.DUMMYFUNCTION("""COMPUTED_VALUE"""),9959.58)</f>
        <v/>
      </c>
    </row>
    <row r="4409">
      <c r="J4409">
        <f>IFERROR(__xludf.DUMMYFUNCTION("""COMPUTED_VALUE"""),"Vancouver, British Columbia; Kelowna, British Columbia; Calgary Alberta; Winnipeg, Manitoba")</f>
        <v/>
      </c>
      <c r="K4409">
        <f>IFERROR(__xludf.DUMMYFUNCTION("""COMPUTED_VALUE"""),9958.93)</f>
        <v/>
      </c>
    </row>
    <row r="4410">
      <c r="J4410">
        <f>IFERROR(__xludf.DUMMYFUNCTION("""COMPUTED_VALUE"""),"MK Airbase Romania and Dubia, UAE")</f>
        <v/>
      </c>
      <c r="K4410">
        <f>IFERROR(__xludf.DUMMYFUNCTION("""COMPUTED_VALUE"""),9956.72)</f>
        <v/>
      </c>
    </row>
    <row r="4411">
      <c r="J4411">
        <f>IFERROR(__xludf.DUMMYFUNCTION("""COMPUTED_VALUE"""),"Victoria, BC - Vancouver, BC - Terrace, BC")</f>
        <v/>
      </c>
      <c r="K4411">
        <f>IFERROR(__xludf.DUMMYFUNCTION("""COMPUTED_VALUE"""),9955.82)</f>
        <v/>
      </c>
    </row>
    <row r="4412">
      <c r="J4412">
        <f>IFERROR(__xludf.DUMMYFUNCTION("""COMPUTED_VALUE"""),"Arizona")</f>
        <v/>
      </c>
      <c r="K4412">
        <f>IFERROR(__xludf.DUMMYFUNCTION("""COMPUTED_VALUE"""),9955.43999999999)</f>
        <v/>
      </c>
    </row>
    <row r="4413">
      <c r="J4413">
        <f>IFERROR(__xludf.DUMMYFUNCTION("""COMPUTED_VALUE"""),"Vancouver, British Columbia, Canada; Auckland, New Zealand")</f>
        <v/>
      </c>
      <c r="K4413">
        <f>IFERROR(__xludf.DUMMYFUNCTION("""COMPUTED_VALUE"""),9954.9)</f>
        <v/>
      </c>
    </row>
    <row r="4414">
      <c r="J4414">
        <f>IFERROR(__xludf.DUMMYFUNCTION("""COMPUTED_VALUE"""),"Croatia, Latvia, and Germany")</f>
        <v/>
      </c>
      <c r="K4414">
        <f>IFERROR(__xludf.DUMMYFUNCTION("""COMPUTED_VALUE"""),9952.26)</f>
        <v/>
      </c>
    </row>
    <row r="4415">
      <c r="J4415">
        <f>IFERROR(__xludf.DUMMYFUNCTION("""COMPUTED_VALUE"""),"Chicago Illinois &amp; Amsterdam, Netherlands")</f>
        <v/>
      </c>
      <c r="K4415">
        <f>IFERROR(__xludf.DUMMYFUNCTION("""COMPUTED_VALUE"""),9949.15)</f>
        <v/>
      </c>
    </row>
    <row r="4416">
      <c r="J4416">
        <f>IFERROR(__xludf.DUMMYFUNCTION("""COMPUTED_VALUE"""),"Southampton, United Kingdom and Brussels, Belgium")</f>
        <v/>
      </c>
      <c r="K4416">
        <f>IFERROR(__xludf.DUMMYFUNCTION("""COMPUTED_VALUE"""),9949.13)</f>
        <v/>
      </c>
    </row>
    <row r="4417">
      <c r="J4417">
        <f>IFERROR(__xludf.DUMMYFUNCTION("""COMPUTED_VALUE"""),"Calgary / Edmonton, Alberta, Canada")</f>
        <v/>
      </c>
      <c r="K4417">
        <f>IFERROR(__xludf.DUMMYFUNCTION("""COMPUTED_VALUE"""),9948.78)</f>
        <v/>
      </c>
    </row>
    <row r="4418">
      <c r="J4418">
        <f>IFERROR(__xludf.DUMMYFUNCTION("""COMPUTED_VALUE"""),"Santiago, Chile and Asuncion, Paraguay")</f>
        <v/>
      </c>
      <c r="K4418">
        <f>IFERROR(__xludf.DUMMYFUNCTION("""COMPUTED_VALUE"""),9942.38)</f>
        <v/>
      </c>
    </row>
    <row r="4419">
      <c r="J4419">
        <f>IFERROR(__xludf.DUMMYFUNCTION("""COMPUTED_VALUE"""),"London, England &amp; Dublin, Ireland")</f>
        <v/>
      </c>
      <c r="K4419">
        <f>IFERROR(__xludf.DUMMYFUNCTION("""COMPUTED_VALUE"""),9941.83)</f>
        <v/>
      </c>
    </row>
    <row r="4420">
      <c r="J4420">
        <f>IFERROR(__xludf.DUMMYFUNCTION("""COMPUTED_VALUE"""),"Brussels, Belgium; Berlin, Germany; and Istanbul, Turkey")</f>
        <v/>
      </c>
      <c r="K4420">
        <f>IFERROR(__xludf.DUMMYFUNCTION("""COMPUTED_VALUE"""),9940.65)</f>
        <v/>
      </c>
    </row>
    <row r="4421">
      <c r="J4421">
        <f>IFERROR(__xludf.DUMMYFUNCTION("""COMPUTED_VALUE"""),"Ottawa-Georgia-Tbilisi")</f>
        <v/>
      </c>
      <c r="K4421">
        <f>IFERROR(__xludf.DUMMYFUNCTION("""COMPUTED_VALUE"""),9938.01)</f>
        <v/>
      </c>
    </row>
    <row r="4422">
      <c r="J4422">
        <f>IFERROR(__xludf.DUMMYFUNCTION("""COMPUTED_VALUE"""),"London; The Hague")</f>
        <v/>
      </c>
      <c r="K4422">
        <f>IFERROR(__xludf.DUMMYFUNCTION("""COMPUTED_VALUE"""),9936.83)</f>
        <v/>
      </c>
    </row>
    <row r="4423">
      <c r="J4423">
        <f>IFERROR(__xludf.DUMMYFUNCTION("""COMPUTED_VALUE"""),"Haarlem, Netherlands")</f>
        <v/>
      </c>
      <c r="K4423">
        <f>IFERROR(__xludf.DUMMYFUNCTION("""COMPUTED_VALUE"""),9936.68)</f>
        <v/>
      </c>
    </row>
    <row r="4424">
      <c r="J4424">
        <f>IFERROR(__xludf.DUMMYFUNCTION("""COMPUTED_VALUE"""),"Paris FR, Toronto ON")</f>
        <v/>
      </c>
      <c r="K4424">
        <f>IFERROR(__xludf.DUMMYFUNCTION("""COMPUTED_VALUE"""),9936.04)</f>
        <v/>
      </c>
    </row>
    <row r="4425">
      <c r="J4425">
        <f>IFERROR(__xludf.DUMMYFUNCTION("""COMPUTED_VALUE"""),"Amman (Jordan), Beirut (Lebanon) and Ankara (Turkey)")</f>
        <v/>
      </c>
      <c r="K4425">
        <f>IFERROR(__xludf.DUMMYFUNCTION("""COMPUTED_VALUE"""),9935.65)</f>
        <v/>
      </c>
    </row>
    <row r="4426">
      <c r="J4426">
        <f>IFERROR(__xludf.DUMMYFUNCTION("""COMPUTED_VALUE"""),"Basel, Switzerland; Dublin, Ireland")</f>
        <v/>
      </c>
      <c r="K4426">
        <f>IFERROR(__xludf.DUMMYFUNCTION("""COMPUTED_VALUE"""),9933.91)</f>
        <v/>
      </c>
    </row>
    <row r="4427">
      <c r="J4427">
        <f>IFERROR(__xludf.DUMMYFUNCTION("""COMPUTED_VALUE"""),"Luxembourg, London")</f>
        <v/>
      </c>
      <c r="K4427">
        <f>IFERROR(__xludf.DUMMYFUNCTION("""COMPUTED_VALUE"""),9933)</f>
        <v/>
      </c>
    </row>
    <row r="4428">
      <c r="J4428">
        <f>IFERROR(__xludf.DUMMYFUNCTION("""COMPUTED_VALUE"""),"Mons, Belgium")</f>
        <v/>
      </c>
      <c r="K4428">
        <f>IFERROR(__xludf.DUMMYFUNCTION("""COMPUTED_VALUE"""),9931.34)</f>
        <v/>
      </c>
    </row>
    <row r="4429">
      <c r="J4429">
        <f>IFERROR(__xludf.DUMMYFUNCTION("""COMPUTED_VALUE"""),"Maputo, Republic of Mozambique")</f>
        <v/>
      </c>
      <c r="K4429">
        <f>IFERROR(__xludf.DUMMYFUNCTION("""COMPUTED_VALUE"""),9930.62)</f>
        <v/>
      </c>
    </row>
    <row r="4430">
      <c r="J4430">
        <f>IFERROR(__xludf.DUMMYFUNCTION("""COMPUTED_VALUE"""),"Berlin, Germany London, England")</f>
        <v/>
      </c>
      <c r="K4430">
        <f>IFERROR(__xludf.DUMMYFUNCTION("""COMPUTED_VALUE"""),9930.35)</f>
        <v/>
      </c>
    </row>
    <row r="4431">
      <c r="J4431">
        <f>IFERROR(__xludf.DUMMYFUNCTION("""COMPUTED_VALUE"""),"Iceland, London, Brussels, Basel and Manama")</f>
        <v/>
      </c>
      <c r="K4431">
        <f>IFERROR(__xludf.DUMMYFUNCTION("""COMPUTED_VALUE"""),9929.35)</f>
        <v/>
      </c>
    </row>
    <row r="4432">
      <c r="J4432">
        <f>IFERROR(__xludf.DUMMYFUNCTION("""COMPUTED_VALUE"""),"London , Portsmouth UK")</f>
        <v/>
      </c>
      <c r="K4432">
        <f>IFERROR(__xludf.DUMMYFUNCTION("""COMPUTED_VALUE"""),9927.89)</f>
        <v/>
      </c>
    </row>
    <row r="4433">
      <c r="J4433">
        <f>IFERROR(__xludf.DUMMYFUNCTION("""COMPUTED_VALUE"""),"Houston, Texas, Unites States of America")</f>
        <v/>
      </c>
      <c r="K4433">
        <f>IFERROR(__xludf.DUMMYFUNCTION("""COMPUTED_VALUE"""),9925.97)</f>
        <v/>
      </c>
    </row>
    <row r="4434">
      <c r="J4434">
        <f>IFERROR(__xludf.DUMMYFUNCTION("""COMPUTED_VALUE"""),"London, England / Stockholm, Sweden")</f>
        <v/>
      </c>
      <c r="K4434">
        <f>IFERROR(__xludf.DUMMYFUNCTION("""COMPUTED_VALUE"""),9923.77)</f>
        <v/>
      </c>
    </row>
    <row r="4435">
      <c r="J4435">
        <f>IFERROR(__xludf.DUMMYFUNCTION("""COMPUTED_VALUE"""),"London, UK and Dresden, Germany")</f>
        <v/>
      </c>
      <c r="K4435">
        <f>IFERROR(__xludf.DUMMYFUNCTION("""COMPUTED_VALUE"""),9922.05)</f>
        <v/>
      </c>
    </row>
    <row r="4436">
      <c r="J4436">
        <f>IFERROR(__xludf.DUMMYFUNCTION("""COMPUTED_VALUE"""),"Vancouver, BC and London, UK")</f>
        <v/>
      </c>
      <c r="K4436">
        <f>IFERROR(__xludf.DUMMYFUNCTION("""COMPUTED_VALUE"""),9922.01)</f>
        <v/>
      </c>
    </row>
    <row r="4437">
      <c r="J4437">
        <f>IFERROR(__xludf.DUMMYFUNCTION("""COMPUTED_VALUE"""),"Medicine Hat, Alberta")</f>
        <v/>
      </c>
      <c r="K4437">
        <f>IFERROR(__xludf.DUMMYFUNCTION("""COMPUTED_VALUE"""),9920.08)</f>
        <v/>
      </c>
    </row>
    <row r="4438">
      <c r="J4438">
        <f>IFERROR(__xludf.DUMMYFUNCTION("""COMPUTED_VALUE"""),"Bengaluru, India")</f>
        <v/>
      </c>
      <c r="K4438">
        <f>IFERROR(__xludf.DUMMYFUNCTION("""COMPUTED_VALUE"""),9919.4)</f>
        <v/>
      </c>
    </row>
    <row r="4439">
      <c r="J4439">
        <f>IFERROR(__xludf.DUMMYFUNCTION("""COMPUTED_VALUE"""),"Belgrade,Yusgoslavia")</f>
        <v/>
      </c>
      <c r="K4439">
        <f>IFERROR(__xludf.DUMMYFUNCTION("""COMPUTED_VALUE"""),9917.91)</f>
        <v/>
      </c>
    </row>
    <row r="4440">
      <c r="J4440">
        <f>IFERROR(__xludf.DUMMYFUNCTION("""COMPUTED_VALUE"""),"Beijing, China; Vancouver, British Columbia.")</f>
        <v/>
      </c>
      <c r="K4440">
        <f>IFERROR(__xludf.DUMMYFUNCTION("""COMPUTED_VALUE"""),9912.21)</f>
        <v/>
      </c>
    </row>
    <row r="4441">
      <c r="J4441">
        <f>IFERROR(__xludf.DUMMYFUNCTION("""COMPUTED_VALUE"""),"Vancouver, Tokyo")</f>
        <v/>
      </c>
      <c r="K4441">
        <f>IFERROR(__xludf.DUMMYFUNCTION("""COMPUTED_VALUE"""),9911.3)</f>
        <v/>
      </c>
    </row>
    <row r="4442">
      <c r="J4442">
        <f>IFERROR(__xludf.DUMMYFUNCTION("""COMPUTED_VALUE"""),"Switzerland, Geneva")</f>
        <v/>
      </c>
      <c r="K4442">
        <f>IFERROR(__xludf.DUMMYFUNCTION("""COMPUTED_VALUE"""),9909.99)</f>
        <v/>
      </c>
    </row>
    <row r="4443">
      <c r="J4443">
        <f>IFERROR(__xludf.DUMMYFUNCTION("""COMPUTED_VALUE"""),"Kyiv / Rome")</f>
        <v/>
      </c>
      <c r="K4443">
        <f>IFERROR(__xludf.DUMMYFUNCTION("""COMPUTED_VALUE"""),9906.58)</f>
        <v/>
      </c>
    </row>
    <row r="4444">
      <c r="J4444">
        <f>IFERROR(__xludf.DUMMYFUNCTION("""COMPUTED_VALUE"""),"Vancouver, British Columbia, Canada; Montréal, Quebec, Canada")</f>
        <v/>
      </c>
      <c r="K4444">
        <f>IFERROR(__xludf.DUMMYFUNCTION("""COMPUTED_VALUE"""),9904.76999999999)</f>
        <v/>
      </c>
    </row>
    <row r="4445">
      <c r="J4445">
        <f>IFERROR(__xludf.DUMMYFUNCTION("""COMPUTED_VALUE"""),"Warsaw, Poland and Rzeszow, Poland")</f>
        <v/>
      </c>
      <c r="K4445">
        <f>IFERROR(__xludf.DUMMYFUNCTION("""COMPUTED_VALUE"""),9902.84)</f>
        <v/>
      </c>
    </row>
    <row r="4446">
      <c r="J4446">
        <f>IFERROR(__xludf.DUMMYFUNCTION("""COMPUTED_VALUE"""),"Philippines, Manila and Taipei,Taiwan")</f>
        <v/>
      </c>
      <c r="K4446">
        <f>IFERROR(__xludf.DUMMYFUNCTION("""COMPUTED_VALUE"""),9902.44)</f>
        <v/>
      </c>
    </row>
    <row r="4447">
      <c r="J4447">
        <f>IFERROR(__xludf.DUMMYFUNCTION("""COMPUTED_VALUE"""),"Toronto, Ontario;
Atlanta, USA
Port of Spain,
Trinidad &amp; Tobago;
Georgetown, Guyana;
Bridgetown, Barbados")</f>
        <v/>
      </c>
      <c r="K4447">
        <f>IFERROR(__xludf.DUMMYFUNCTION("""COMPUTED_VALUE"""),9901.92)</f>
        <v/>
      </c>
    </row>
    <row r="4448">
      <c r="J4448">
        <f>IFERROR(__xludf.DUMMYFUNCTION("""COMPUTED_VALUE"""),"Tianjin, CN / Beijing CN")</f>
        <v/>
      </c>
      <c r="K4448">
        <f>IFERROR(__xludf.DUMMYFUNCTION("""COMPUTED_VALUE"""),9900.74)</f>
        <v/>
      </c>
    </row>
    <row r="4449">
      <c r="J4449">
        <f>IFERROR(__xludf.DUMMYFUNCTION("""COMPUTED_VALUE"""),"Ahmedabad, India")</f>
        <v/>
      </c>
      <c r="K4449">
        <f>IFERROR(__xludf.DUMMYFUNCTION("""COMPUTED_VALUE"""),9891.99)</f>
        <v/>
      </c>
    </row>
    <row r="4450">
      <c r="J4450">
        <f>IFERROR(__xludf.DUMMYFUNCTION("""COMPUTED_VALUE"""),"Brussels, Germany")</f>
        <v/>
      </c>
      <c r="K4450">
        <f>IFERROR(__xludf.DUMMYFUNCTION("""COMPUTED_VALUE"""),9891.64)</f>
        <v/>
      </c>
    </row>
    <row r="4451">
      <c r="J4451">
        <f>IFERROR(__xludf.DUMMYFUNCTION("""COMPUTED_VALUE"""),"South Africa, Zambia")</f>
        <v/>
      </c>
      <c r="K4451">
        <f>IFERROR(__xludf.DUMMYFUNCTION("""COMPUTED_VALUE"""),9891.22)</f>
        <v/>
      </c>
    </row>
    <row r="4452">
      <c r="J4452">
        <f>IFERROR(__xludf.DUMMYFUNCTION("""COMPUTED_VALUE"""),"London, United Kingdom and Stavanger, Norway")</f>
        <v/>
      </c>
      <c r="K4452">
        <f>IFERROR(__xludf.DUMMYFUNCTION("""COMPUTED_VALUE"""),9890.16)</f>
        <v/>
      </c>
    </row>
    <row r="4453">
      <c r="J4453">
        <f>IFERROR(__xludf.DUMMYFUNCTION("""COMPUTED_VALUE"""),"Montréal, Quebec, Canada; Edmonton, Alberta, Canada")</f>
        <v/>
      </c>
      <c r="K4453">
        <f>IFERROR(__xludf.DUMMYFUNCTION("""COMPUTED_VALUE"""),9889.4)</f>
        <v/>
      </c>
    </row>
    <row r="4454">
      <c r="J4454">
        <f>IFERROR(__xludf.DUMMYFUNCTION("""COMPUTED_VALUE"""),"Regina, SK; Winnipeg, MB")</f>
        <v/>
      </c>
      <c r="K4454">
        <f>IFERROR(__xludf.DUMMYFUNCTION("""COMPUTED_VALUE"""),9887.74)</f>
        <v/>
      </c>
    </row>
    <row r="4455">
      <c r="J4455">
        <f>IFERROR(__xludf.DUMMYFUNCTION("""COMPUTED_VALUE"""),"Tokyo, Japan; Toronto, Ontario, Canada")</f>
        <v/>
      </c>
      <c r="K4455">
        <f>IFERROR(__xludf.DUMMYFUNCTION("""COMPUTED_VALUE"""),9887.34)</f>
        <v/>
      </c>
    </row>
    <row r="4456">
      <c r="J4456">
        <f>IFERROR(__xludf.DUMMYFUNCTION("""COMPUTED_VALUE"""),"Toronto, Ontario, Canada; Lisbon, Portugal &amp; Porto, Portugal")</f>
        <v/>
      </c>
      <c r="K4456">
        <f>IFERROR(__xludf.DUMMYFUNCTION("""COMPUTED_VALUE"""),9885.89)</f>
        <v/>
      </c>
    </row>
    <row r="4457">
      <c r="J4457">
        <f>IFERROR(__xludf.DUMMYFUNCTION("""COMPUTED_VALUE"""),"New Delhi, Mumbai, Ahmedabad, Bengalore")</f>
        <v/>
      </c>
      <c r="K4457">
        <f>IFERROR(__xludf.DUMMYFUNCTION("""COMPUTED_VALUE"""),9885.53)</f>
        <v/>
      </c>
    </row>
    <row r="4458">
      <c r="J4458">
        <f>IFERROR(__xludf.DUMMYFUNCTION("""COMPUTED_VALUE"""),"Brussels, Belgium and Milan, Italy")</f>
        <v/>
      </c>
      <c r="K4458">
        <f>IFERROR(__xludf.DUMMYFUNCTION("""COMPUTED_VALUE"""),9882.36)</f>
        <v/>
      </c>
    </row>
    <row r="4459">
      <c r="J4459">
        <f>IFERROR(__xludf.DUMMYFUNCTION("""COMPUTED_VALUE"""),"Montreal and El Salvador")</f>
        <v/>
      </c>
      <c r="K4459">
        <f>IFERROR(__xludf.DUMMYFUNCTION("""COMPUTED_VALUE"""),9882.08)</f>
        <v/>
      </c>
    </row>
    <row r="4460">
      <c r="J4460">
        <f>IFERROR(__xludf.DUMMYFUNCTION("""COMPUTED_VALUE"""),"Acapulco, Mexico")</f>
        <v/>
      </c>
      <c r="K4460">
        <f>IFERROR(__xludf.DUMMYFUNCTION("""COMPUTED_VALUE"""),9878.09999999999)</f>
        <v/>
      </c>
    </row>
    <row r="4461">
      <c r="J4461">
        <f>IFERROR(__xludf.DUMMYFUNCTION("""COMPUTED_VALUE"""),"Toulouse, France; Frankfurt, Hamburg and Bonn, Germany")</f>
        <v/>
      </c>
      <c r="K4461">
        <f>IFERROR(__xludf.DUMMYFUNCTION("""COMPUTED_VALUE"""),9875.99)</f>
        <v/>
      </c>
    </row>
    <row r="4462">
      <c r="J4462">
        <f>IFERROR(__xludf.DUMMYFUNCTION("""COMPUTED_VALUE"""),"Regina / Saskatoon, Saskatchewan, Canada")</f>
        <v/>
      </c>
      <c r="K4462">
        <f>IFERROR(__xludf.DUMMYFUNCTION("""COMPUTED_VALUE"""),9875.43)</f>
        <v/>
      </c>
    </row>
    <row r="4463">
      <c r="J4463">
        <f>IFERROR(__xludf.DUMMYFUNCTION("""COMPUTED_VALUE"""),"Tokyo, Japan / Nagoya, Japan / Seoul, South Korea")</f>
        <v/>
      </c>
      <c r="K4463">
        <f>IFERROR(__xludf.DUMMYFUNCTION("""COMPUTED_VALUE"""),9870.94)</f>
        <v/>
      </c>
    </row>
    <row r="4464">
      <c r="J4464">
        <f>IFERROR(__xludf.DUMMYFUNCTION("""COMPUTED_VALUE"""),"Ottawa-Halifax-Ottawa")</f>
        <v/>
      </c>
      <c r="K4464">
        <f>IFERROR(__xludf.DUMMYFUNCTION("""COMPUTED_VALUE"""),9869.83999999999)</f>
        <v/>
      </c>
    </row>
    <row r="4465">
      <c r="J4465">
        <f>IFERROR(__xludf.DUMMYFUNCTION("""COMPUTED_VALUE"""),"Vancouver, British Columbia, Canada / Toronto, Ontario, Canada")</f>
        <v/>
      </c>
      <c r="K4465">
        <f>IFERROR(__xludf.DUMMYFUNCTION("""COMPUTED_VALUE"""),9866.65)</f>
        <v/>
      </c>
    </row>
    <row r="4466">
      <c r="J4466">
        <f>IFERROR(__xludf.DUMMYFUNCTION("""COMPUTED_VALUE"""),"Nanaimo, British Columbia, Canada / Vancouver, British Columbia, Canada")</f>
        <v/>
      </c>
      <c r="K4466">
        <f>IFERROR(__xludf.DUMMYFUNCTION("""COMPUTED_VALUE"""),9865.14)</f>
        <v/>
      </c>
    </row>
    <row r="4467">
      <c r="J4467">
        <f>IFERROR(__xludf.DUMMYFUNCTION("""COMPUTED_VALUE"""),"Mactan, Cebu, Philippines")</f>
        <v/>
      </c>
      <c r="K4467">
        <f>IFERROR(__xludf.DUMMYFUNCTION("""COMPUTED_VALUE"""),9864.58)</f>
        <v/>
      </c>
    </row>
    <row r="4468">
      <c r="J4468">
        <f>IFERROR(__xludf.DUMMYFUNCTION("""COMPUTED_VALUE"""),"Northwest Territories, Yellownife")</f>
        <v/>
      </c>
      <c r="K4468">
        <f>IFERROR(__xludf.DUMMYFUNCTION("""COMPUTED_VALUE"""),9859.61)</f>
        <v/>
      </c>
    </row>
    <row r="4469">
      <c r="J4469">
        <f>IFERROR(__xludf.DUMMYFUNCTION("""COMPUTED_VALUE"""),"Bern, Bern, Switzerland")</f>
        <v/>
      </c>
      <c r="K4469">
        <f>IFERROR(__xludf.DUMMYFUNCTION("""COMPUTED_VALUE"""),9855)</f>
        <v/>
      </c>
    </row>
    <row r="4470">
      <c r="J4470">
        <f>IFERROR(__xludf.DUMMYFUNCTION("""COMPUTED_VALUE"""),"Victoria &amp; Vancouver, British Columbia")</f>
        <v/>
      </c>
      <c r="K4470">
        <f>IFERROR(__xludf.DUMMYFUNCTION("""COMPUTED_VALUE"""),9852.27999999999)</f>
        <v/>
      </c>
    </row>
    <row r="4471">
      <c r="J4471">
        <f>IFERROR(__xludf.DUMMYFUNCTION("""COMPUTED_VALUE"""),"Beijing;Shanghai, China")</f>
        <v/>
      </c>
      <c r="K4471">
        <f>IFERROR(__xludf.DUMMYFUNCTION("""COMPUTED_VALUE"""),9851.84)</f>
        <v/>
      </c>
    </row>
    <row r="4472">
      <c r="J4472">
        <f>IFERROR(__xludf.DUMMYFUNCTION("""COMPUTED_VALUE"""),"Tokyo (Japan) -                         Beijing (China)")</f>
        <v/>
      </c>
      <c r="K4472">
        <f>IFERROR(__xludf.DUMMYFUNCTION("""COMPUTED_VALUE"""),9850.24)</f>
        <v/>
      </c>
    </row>
    <row r="4473">
      <c r="J4473">
        <f>IFERROR(__xludf.DUMMYFUNCTION("""COMPUTED_VALUE"""),"South Korea and the Philippines")</f>
        <v/>
      </c>
      <c r="K4473">
        <f>IFERROR(__xludf.DUMMYFUNCTION("""COMPUTED_VALUE"""),9849.22)</f>
        <v/>
      </c>
    </row>
    <row r="4474">
      <c r="J4474">
        <f>IFERROR(__xludf.DUMMYFUNCTION("""COMPUTED_VALUE"""),"Milan and Rome, Italy")</f>
        <v/>
      </c>
      <c r="K4474">
        <f>IFERROR(__xludf.DUMMYFUNCTION("""COMPUTED_VALUE"""),9839.08)</f>
        <v/>
      </c>
    </row>
    <row r="4475">
      <c r="J4475">
        <f>IFERROR(__xludf.DUMMYFUNCTION("""COMPUTED_VALUE"""),"Leamington, ON")</f>
        <v/>
      </c>
      <c r="K4475">
        <f>IFERROR(__xludf.DUMMYFUNCTION("""COMPUTED_VALUE"""),9837.99)</f>
        <v/>
      </c>
    </row>
    <row r="4476">
      <c r="J4476">
        <f>IFERROR(__xludf.DUMMYFUNCTION("""COMPUTED_VALUE"""),"Moncton, NB - Ottawa, ON / Ottawa, ON  - Moncton, NB")</f>
        <v/>
      </c>
      <c r="K4476">
        <f>IFERROR(__xludf.DUMMYFUNCTION("""COMPUTED_VALUE"""),9837.56)</f>
        <v/>
      </c>
    </row>
    <row r="4477">
      <c r="J4477">
        <f>IFERROR(__xludf.DUMMYFUNCTION("""COMPUTED_VALUE"""),"Qingdao (China)")</f>
        <v/>
      </c>
      <c r="K4477">
        <f>IFERROR(__xludf.DUMMYFUNCTION("""COMPUTED_VALUE"""),9830)</f>
        <v/>
      </c>
    </row>
    <row r="4478">
      <c r="J4478">
        <f>IFERROR(__xludf.DUMMYFUNCTION("""COMPUTED_VALUE"""),"Toronto, ON and London, UK")</f>
        <v/>
      </c>
      <c r="K4478">
        <f>IFERROR(__xludf.DUMMYFUNCTION("""COMPUTED_VALUE"""),9828.32)</f>
        <v/>
      </c>
    </row>
    <row r="4479">
      <c r="J4479">
        <f>IFERROR(__xludf.DUMMYFUNCTION("""COMPUTED_VALUE"""),"Stuttgart, Germany; Brussels, Belgium; Mons, Belgium")</f>
        <v/>
      </c>
      <c r="K4479">
        <f>IFERROR(__xludf.DUMMYFUNCTION("""COMPUTED_VALUE"""),9825.62)</f>
        <v/>
      </c>
    </row>
    <row r="4480">
      <c r="J4480">
        <f>IFERROR(__xludf.DUMMYFUNCTION("""COMPUTED_VALUE"""),"The Hague, Netherlands and Vienna, Austria")</f>
        <v/>
      </c>
      <c r="K4480">
        <f>IFERROR(__xludf.DUMMYFUNCTION("""COMPUTED_VALUE"""),9822.91)</f>
        <v/>
      </c>
    </row>
    <row r="4481">
      <c r="J4481">
        <f>IFERROR(__xludf.DUMMYFUNCTION("""COMPUTED_VALUE"""),"Monterey, CA, USA")</f>
        <v/>
      </c>
      <c r="K4481">
        <f>IFERROR(__xludf.DUMMYFUNCTION("""COMPUTED_VALUE"""),9822.84)</f>
        <v/>
      </c>
    </row>
    <row r="4482">
      <c r="J4482">
        <f>IFERROR(__xludf.DUMMYFUNCTION("""COMPUTED_VALUE"""),"Victoria/Whitehorse")</f>
        <v/>
      </c>
      <c r="K4482">
        <f>IFERROR(__xludf.DUMMYFUNCTION("""COMPUTED_VALUE"""),9821.14)</f>
        <v/>
      </c>
    </row>
    <row r="4483">
      <c r="J4483">
        <f>IFERROR(__xludf.DUMMYFUNCTION("""COMPUTED_VALUE"""),"Hanoi, Vietnam
Mexico City, Mexico")</f>
        <v/>
      </c>
      <c r="K4483">
        <f>IFERROR(__xludf.DUMMYFUNCTION("""COMPUTED_VALUE"""),9818.93)</f>
        <v/>
      </c>
    </row>
    <row r="4484">
      <c r="J4484">
        <f>IFERROR(__xludf.DUMMYFUNCTION("""COMPUTED_VALUE"""),"Haiti
Trinidad
Barbados
Grenada")</f>
        <v/>
      </c>
      <c r="K4484">
        <f>IFERROR(__xludf.DUMMYFUNCTION("""COMPUTED_VALUE"""),9817)</f>
        <v/>
      </c>
    </row>
    <row r="4485">
      <c r="J4485">
        <f>IFERROR(__xludf.DUMMYFUNCTION("""COMPUTED_VALUE"""),"The Hague, Netherlands Geneva, Switzerland Vancouver, British Columbia, Canada")</f>
        <v/>
      </c>
      <c r="K4485">
        <f>IFERROR(__xludf.DUMMYFUNCTION("""COMPUTED_VALUE"""),9815.54)</f>
        <v/>
      </c>
    </row>
    <row r="4486">
      <c r="J4486">
        <f>IFERROR(__xludf.DUMMYFUNCTION("""COMPUTED_VALUE"""),"Whitehorse, Yukon, Canada/ Vancouver, British Columbia, Canada")</f>
        <v/>
      </c>
      <c r="K4486">
        <f>IFERROR(__xludf.DUMMYFUNCTION("""COMPUTED_VALUE"""),9809.65)</f>
        <v/>
      </c>
    </row>
    <row r="4487">
      <c r="J4487">
        <f>IFERROR(__xludf.DUMMYFUNCTION("""COMPUTED_VALUE"""),"Reykjavik, Iceland; Vilnius, Lithuania")</f>
        <v/>
      </c>
      <c r="K4487">
        <f>IFERROR(__xludf.DUMMYFUNCTION("""COMPUTED_VALUE"""),9809.42)</f>
        <v/>
      </c>
    </row>
    <row r="4488">
      <c r="J4488">
        <f>IFERROR(__xludf.DUMMYFUNCTION("""COMPUTED_VALUE"""),"Tokyo-Vancouver-Ottawa-Frankfurt-Tokyo")</f>
        <v/>
      </c>
      <c r="K4488">
        <f>IFERROR(__xludf.DUMMYFUNCTION("""COMPUTED_VALUE"""),9808.5)</f>
        <v/>
      </c>
    </row>
    <row r="4489">
      <c r="J4489">
        <f>IFERROR(__xludf.DUMMYFUNCTION("""COMPUTED_VALUE"""),"Istanbul &amp; Ankara, Turkey")</f>
        <v/>
      </c>
      <c r="K4489">
        <f>IFERROR(__xludf.DUMMYFUNCTION("""COMPUTED_VALUE"""),9807.24)</f>
        <v/>
      </c>
    </row>
    <row r="4490">
      <c r="J4490">
        <f>IFERROR(__xludf.DUMMYFUNCTION("""COMPUTED_VALUE"""),"Paris-Singapore")</f>
        <v/>
      </c>
      <c r="K4490">
        <f>IFERROR(__xludf.DUMMYFUNCTION("""COMPUTED_VALUE"""),9806.72)</f>
        <v/>
      </c>
    </row>
    <row r="4491">
      <c r="J4491">
        <f>IFERROR(__xludf.DUMMYFUNCTION("""COMPUTED_VALUE"""),"Niigata, Japan")</f>
        <v/>
      </c>
      <c r="K4491">
        <f>IFERROR(__xludf.DUMMYFUNCTION("""COMPUTED_VALUE"""),9802.98)</f>
        <v/>
      </c>
    </row>
    <row r="4492">
      <c r="J4492">
        <f>IFERROR(__xludf.DUMMYFUNCTION("""COMPUTED_VALUE"""),"Rome, Essen")</f>
        <v/>
      </c>
      <c r="K4492">
        <f>IFERROR(__xludf.DUMMYFUNCTION("""COMPUTED_VALUE"""),9802.67)</f>
        <v/>
      </c>
    </row>
    <row r="4493">
      <c r="J4493">
        <f>IFERROR(__xludf.DUMMYFUNCTION("""COMPUTED_VALUE"""),"Washington DC, United States America")</f>
        <v/>
      </c>
      <c r="K4493">
        <f>IFERROR(__xludf.DUMMYFUNCTION("""COMPUTED_VALUE"""),9802.13)</f>
        <v/>
      </c>
    </row>
    <row r="4494">
      <c r="J4494">
        <f>IFERROR(__xludf.DUMMYFUNCTION("""COMPUTED_VALUE"""),"Frankfurt, Germany; Rome, Italy; and London, United Kingdom")</f>
        <v/>
      </c>
      <c r="K4494">
        <f>IFERROR(__xludf.DUMMYFUNCTION("""COMPUTED_VALUE"""),9798.69)</f>
        <v/>
      </c>
    </row>
    <row r="4495">
      <c r="J4495">
        <f>IFERROR(__xludf.DUMMYFUNCTION("""COMPUTED_VALUE"""),"International Falls, MN")</f>
        <v/>
      </c>
      <c r="K4495">
        <f>IFERROR(__xludf.DUMMYFUNCTION("""COMPUTED_VALUE"""),9798.18)</f>
        <v/>
      </c>
    </row>
    <row r="4496">
      <c r="J4496">
        <f>IFERROR(__xludf.DUMMYFUNCTION("""COMPUTED_VALUE"""),"Brussels and Mons, Belgium")</f>
        <v/>
      </c>
      <c r="K4496">
        <f>IFERROR(__xludf.DUMMYFUNCTION("""COMPUTED_VALUE"""),9795.41)</f>
        <v/>
      </c>
    </row>
    <row r="4497">
      <c r="J4497">
        <f>IFERROR(__xludf.DUMMYFUNCTION("""COMPUTED_VALUE"""),"Berlin (Germany)")</f>
        <v/>
      </c>
      <c r="K4497">
        <f>IFERROR(__xludf.DUMMYFUNCTION("""COMPUTED_VALUE"""),9794.75)</f>
        <v/>
      </c>
    </row>
    <row r="4498">
      <c r="J4498">
        <f>IFERROR(__xludf.DUMMYFUNCTION("""COMPUTED_VALUE"""),"Ottawa, Edmonton, Canada")</f>
        <v/>
      </c>
      <c r="K4498">
        <f>IFERROR(__xludf.DUMMYFUNCTION("""COMPUTED_VALUE"""),9792.76999999999)</f>
        <v/>
      </c>
    </row>
    <row r="4499">
      <c r="J4499">
        <f>IFERROR(__xludf.DUMMYFUNCTION("""COMPUTED_VALUE"""),"Halifax, Nova Scotia, Canada; Saint John, New Brunswick, Canada; Hamilton, Ontario, Canada; Calgary, Alberta, Canada")</f>
        <v/>
      </c>
      <c r="K4499">
        <f>IFERROR(__xludf.DUMMYFUNCTION("""COMPUTED_VALUE"""),9789.54)</f>
        <v/>
      </c>
    </row>
    <row r="4500">
      <c r="J4500">
        <f>IFERROR(__xludf.DUMMYFUNCTION("""COMPUTED_VALUE"""),"Budapest, Prague, Warsaw")</f>
        <v/>
      </c>
      <c r="K4500">
        <f>IFERROR(__xludf.DUMMYFUNCTION("""COMPUTED_VALUE"""),9782.92)</f>
        <v/>
      </c>
    </row>
    <row r="4501">
      <c r="J4501">
        <f>IFERROR(__xludf.DUMMYFUNCTION("""COMPUTED_VALUE"""),"Waterton, Alberta, Canada -
Banff, Alberta, Canada -
Calgary, Alberta, Canada")</f>
        <v/>
      </c>
      <c r="K4501">
        <f>IFERROR(__xludf.DUMMYFUNCTION("""COMPUTED_VALUE"""),9777.8)</f>
        <v/>
      </c>
    </row>
    <row r="4502">
      <c r="J4502">
        <f>IFERROR(__xludf.DUMMYFUNCTION("""COMPUTED_VALUE"""),"Vancouver, BC, Toronto, ON, Halifax, NS")</f>
        <v/>
      </c>
      <c r="K4502">
        <f>IFERROR(__xludf.DUMMYFUNCTION("""COMPUTED_VALUE"""),9777.37)</f>
        <v/>
      </c>
    </row>
    <row r="4503">
      <c r="J4503">
        <f>IFERROR(__xludf.DUMMYFUNCTION("""COMPUTED_VALUE"""),"New York, NY, USA - Brussels, Belgium")</f>
        <v/>
      </c>
      <c r="K4503">
        <f>IFERROR(__xludf.DUMMYFUNCTION("""COMPUTED_VALUE"""),9777.19)</f>
        <v/>
      </c>
    </row>
    <row r="4504">
      <c r="J4504">
        <f>IFERROR(__xludf.DUMMYFUNCTION("""COMPUTED_VALUE"""),"Fort Smith, Northwest Territories")</f>
        <v/>
      </c>
      <c r="K4504">
        <f>IFERROR(__xludf.DUMMYFUNCTION("""COMPUTED_VALUE"""),9776.64)</f>
        <v/>
      </c>
    </row>
    <row r="4505">
      <c r="J4505">
        <f>IFERROR(__xludf.DUMMYFUNCTION("""COMPUTED_VALUE"""),"Santiago, Chile and Buenos Aires, Argentina")</f>
        <v/>
      </c>
      <c r="K4505">
        <f>IFERROR(__xludf.DUMMYFUNCTION("""COMPUTED_VALUE"""),9776.28)</f>
        <v/>
      </c>
    </row>
    <row r="4506">
      <c r="J4506">
        <f>IFERROR(__xludf.DUMMYFUNCTION("""COMPUTED_VALUE"""),"Seoul, Beijing and Hong Kong")</f>
        <v/>
      </c>
      <c r="K4506">
        <f>IFERROR(__xludf.DUMMYFUNCTION("""COMPUTED_VALUE"""),9770.05)</f>
        <v/>
      </c>
    </row>
    <row r="4507">
      <c r="J4507">
        <f>IFERROR(__xludf.DUMMYFUNCTION("""COMPUTED_VALUE"""),"Ottawa, Ontario; Montreal, Quebec; Halifax, Nova Scotia")</f>
        <v/>
      </c>
      <c r="K4507">
        <f>IFERROR(__xludf.DUMMYFUNCTION("""COMPUTED_VALUE"""),9768.77)</f>
        <v/>
      </c>
    </row>
    <row r="4508">
      <c r="J4508">
        <f>IFERROR(__xludf.DUMMYFUNCTION("""COMPUTED_VALUE"""),"Vancouver/Toronto")</f>
        <v/>
      </c>
      <c r="K4508">
        <f>IFERROR(__xludf.DUMMYFUNCTION("""COMPUTED_VALUE"""),9766.15)</f>
        <v/>
      </c>
    </row>
    <row r="4509">
      <c r="J4509">
        <f>IFERROR(__xludf.DUMMYFUNCTION("""COMPUTED_VALUE"""),"Turkey.")</f>
        <v/>
      </c>
      <c r="K4509">
        <f>IFERROR(__xludf.DUMMYFUNCTION("""COMPUTED_VALUE"""),9758.64)</f>
        <v/>
      </c>
    </row>
    <row r="4510">
      <c r="J4510">
        <f>IFERROR(__xludf.DUMMYFUNCTION("""COMPUTED_VALUE"""),"London - United Kingdom")</f>
        <v/>
      </c>
      <c r="K4510">
        <f>IFERROR(__xludf.DUMMYFUNCTION("""COMPUTED_VALUE"""),9758.6)</f>
        <v/>
      </c>
    </row>
    <row r="4511">
      <c r="J4511">
        <f>IFERROR(__xludf.DUMMYFUNCTION("""COMPUTED_VALUE"""),"Shanghai/Nanjing and Hangzhou/Beijing, China")</f>
        <v/>
      </c>
      <c r="K4511">
        <f>IFERROR(__xludf.DUMMYFUNCTION("""COMPUTED_VALUE"""),9756.9)</f>
        <v/>
      </c>
    </row>
    <row r="4512">
      <c r="J4512">
        <f>IFERROR(__xludf.DUMMYFUNCTION("""COMPUTED_VALUE"""),"Revelstoke, British Columbia -
Banff, Alberta -
Toronto, Ontario")</f>
        <v/>
      </c>
      <c r="K4512">
        <f>IFERROR(__xludf.DUMMYFUNCTION("""COMPUTED_VALUE"""),9752.69)</f>
        <v/>
      </c>
    </row>
    <row r="4513">
      <c r="J4513">
        <f>IFERROR(__xludf.DUMMYFUNCTION("""COMPUTED_VALUE"""),"Calfornia, USA")</f>
        <v/>
      </c>
      <c r="K4513">
        <f>IFERROR(__xludf.DUMMYFUNCTION("""COMPUTED_VALUE"""),9750.52)</f>
        <v/>
      </c>
    </row>
    <row r="4514">
      <c r="J4514">
        <f>IFERROR(__xludf.DUMMYFUNCTION("""COMPUTED_VALUE"""),"Nanaimo")</f>
        <v/>
      </c>
      <c r="K4514">
        <f>IFERROR(__xludf.DUMMYFUNCTION("""COMPUTED_VALUE"""),9747.83)</f>
        <v/>
      </c>
    </row>
    <row r="4515">
      <c r="J4515">
        <f>IFERROR(__xludf.DUMMYFUNCTION("""COMPUTED_VALUE"""),"Abbotsford, British Columbia;
Edmonton, Alberta")</f>
        <v/>
      </c>
      <c r="K4515">
        <f>IFERROR(__xludf.DUMMYFUNCTION("""COMPUTED_VALUE"""),9743.88)</f>
        <v/>
      </c>
    </row>
    <row r="4516">
      <c r="J4516">
        <f>IFERROR(__xludf.DUMMYFUNCTION("""COMPUTED_VALUE"""),"Whitehorse, YT, Victoria, BC and Vancouver, BC")</f>
        <v/>
      </c>
      <c r="K4516">
        <f>IFERROR(__xludf.DUMMYFUNCTION("""COMPUTED_VALUE"""),9743.67)</f>
        <v/>
      </c>
    </row>
    <row r="4517">
      <c r="J4517">
        <f>IFERROR(__xludf.DUMMYFUNCTION("""COMPUTED_VALUE"""),"Edmonton, Alberta, Canada - Fort McMurray, Alberta, Canada")</f>
        <v/>
      </c>
      <c r="K4517">
        <f>IFERROR(__xludf.DUMMYFUNCTION("""COMPUTED_VALUE"""),9743.41)</f>
        <v/>
      </c>
    </row>
    <row r="4518">
      <c r="J4518">
        <f>IFERROR(__xludf.DUMMYFUNCTION("""COMPUTED_VALUE"""),"Ramstein. Germany")</f>
        <v/>
      </c>
      <c r="K4518">
        <f>IFERROR(__xludf.DUMMYFUNCTION("""COMPUTED_VALUE"""),9739.99)</f>
        <v/>
      </c>
    </row>
    <row r="4519">
      <c r="J4519">
        <f>IFERROR(__xludf.DUMMYFUNCTION("""COMPUTED_VALUE"""),"Vancouver, British Columbia and Montreal, Quebec")</f>
        <v/>
      </c>
      <c r="K4519">
        <f>IFERROR(__xludf.DUMMYFUNCTION("""COMPUTED_VALUE"""),9738.42)</f>
        <v/>
      </c>
    </row>
    <row r="4520">
      <c r="J4520">
        <f>IFERROR(__xludf.DUMMYFUNCTION("""COMPUTED_VALUE"""),"Ottawa, Ontario and Toronto, Ontario")</f>
        <v/>
      </c>
      <c r="K4520">
        <f>IFERROR(__xludf.DUMMYFUNCTION("""COMPUTED_VALUE"""),9737.9)</f>
        <v/>
      </c>
    </row>
    <row r="4521">
      <c r="J4521">
        <f>IFERROR(__xludf.DUMMYFUNCTION("""COMPUTED_VALUE"""),"Winnipeg, Alberta, Canada")</f>
        <v/>
      </c>
      <c r="K4521">
        <f>IFERROR(__xludf.DUMMYFUNCTION("""COMPUTED_VALUE"""),9736.35)</f>
        <v/>
      </c>
    </row>
    <row r="4522">
      <c r="J4522">
        <f>IFERROR(__xludf.DUMMYFUNCTION("""COMPUTED_VALUE"""),"North Vancouver, British Columbia, Canada")</f>
        <v/>
      </c>
      <c r="K4522">
        <f>IFERROR(__xludf.DUMMYFUNCTION("""COMPUTED_VALUE"""),9732.28)</f>
        <v/>
      </c>
    </row>
    <row r="4523">
      <c r="J4523">
        <f>IFERROR(__xludf.DUMMYFUNCTION("""COMPUTED_VALUE"""),"Beijing/Shanghai - China Singapore - Singapore")</f>
        <v/>
      </c>
      <c r="K4523">
        <f>IFERROR(__xludf.DUMMYFUNCTION("""COMPUTED_VALUE"""),9731.85)</f>
        <v/>
      </c>
    </row>
    <row r="4524">
      <c r="J4524">
        <f>IFERROR(__xludf.DUMMYFUNCTION("""COMPUTED_VALUE"""),"London, United Kingdom and Portomaso, Malta")</f>
        <v/>
      </c>
      <c r="K4524">
        <f>IFERROR(__xludf.DUMMYFUNCTION("""COMPUTED_VALUE"""),9729.07)</f>
        <v/>
      </c>
    </row>
    <row r="4525">
      <c r="J4525">
        <f>IFERROR(__xludf.DUMMYFUNCTION("""COMPUTED_VALUE"""),"Brussels, Belgium Berlin, Germany London, United Kingdom Paris, France")</f>
        <v/>
      </c>
      <c r="K4525">
        <f>IFERROR(__xludf.DUMMYFUNCTION("""COMPUTED_VALUE"""),9728.88)</f>
        <v/>
      </c>
    </row>
    <row r="4526">
      <c r="J4526">
        <f>IFERROR(__xludf.DUMMYFUNCTION("""COMPUTED_VALUE"""),"Dubai, U.A.E.")</f>
        <v/>
      </c>
      <c r="K4526">
        <f>IFERROR(__xludf.DUMMYFUNCTION("""COMPUTED_VALUE"""),9728.7)</f>
        <v/>
      </c>
    </row>
    <row r="4527">
      <c r="J4527">
        <f>IFERROR(__xludf.DUMMYFUNCTION("""COMPUTED_VALUE"""),"Dallas")</f>
        <v/>
      </c>
      <c r="K4527">
        <f>IFERROR(__xludf.DUMMYFUNCTION("""COMPUTED_VALUE"""),9728.34)</f>
        <v/>
      </c>
    </row>
    <row r="4528">
      <c r="J4528">
        <f>IFERROR(__xludf.DUMMYFUNCTION("""COMPUTED_VALUE"""),"Johannesburg, South Africa and Gaborone, Botswana")</f>
        <v/>
      </c>
      <c r="K4528">
        <f>IFERROR(__xludf.DUMMYFUNCTION("""COMPUTED_VALUE"""),9728.04)</f>
        <v/>
      </c>
    </row>
    <row r="4529">
      <c r="J4529">
        <f>IFERROR(__xludf.DUMMYFUNCTION("""COMPUTED_VALUE"""),"London, United Kingdom; Paris, France; Ottawa, Ontario")</f>
        <v/>
      </c>
      <c r="K4529">
        <f>IFERROR(__xludf.DUMMYFUNCTION("""COMPUTED_VALUE"""),9725.56)</f>
        <v/>
      </c>
    </row>
    <row r="4530">
      <c r="J4530">
        <f>IFERROR(__xludf.DUMMYFUNCTION("""COMPUTED_VALUE"""),"Seoul, Korea, Xiamen, China")</f>
        <v/>
      </c>
      <c r="K4530">
        <f>IFERROR(__xludf.DUMMYFUNCTION("""COMPUTED_VALUE"""),9724.75)</f>
        <v/>
      </c>
    </row>
    <row r="4531">
      <c r="J4531">
        <f>IFERROR(__xludf.DUMMYFUNCTION("""COMPUTED_VALUE"""),"Auckland, New Zealand Wellington, New Zealand")</f>
        <v/>
      </c>
      <c r="K4531">
        <f>IFERROR(__xludf.DUMMYFUNCTION("""COMPUTED_VALUE"""),9719.54)</f>
        <v/>
      </c>
    </row>
    <row r="4532">
      <c r="J4532">
        <f>IFERROR(__xludf.DUMMYFUNCTION("""COMPUTED_VALUE"""),"Istanbul and Canakkale")</f>
        <v/>
      </c>
      <c r="K4532">
        <f>IFERROR(__xludf.DUMMYFUNCTION("""COMPUTED_VALUE"""),9718.12)</f>
        <v/>
      </c>
    </row>
    <row r="4533">
      <c r="J4533">
        <f>IFERROR(__xludf.DUMMYFUNCTION("""COMPUTED_VALUE"""),"Berlin, Germany; Ankara, Turkey")</f>
        <v/>
      </c>
      <c r="K4533">
        <f>IFERROR(__xludf.DUMMYFUNCTION("""COMPUTED_VALUE"""),9716.54)</f>
        <v/>
      </c>
    </row>
    <row r="4534">
      <c r="J4534">
        <f>IFERROR(__xludf.DUMMYFUNCTION("""COMPUTED_VALUE"""),"Beijing, China    Hong Kong, China")</f>
        <v/>
      </c>
      <c r="K4534">
        <f>IFERROR(__xludf.DUMMYFUNCTION("""COMPUTED_VALUE"""),9713.84)</f>
        <v/>
      </c>
    </row>
    <row r="4535">
      <c r="J4535">
        <f>IFERROR(__xludf.DUMMYFUNCTION("""COMPUTED_VALUE"""),"Nuuk, Greenland")</f>
        <v/>
      </c>
      <c r="K4535">
        <f>IFERROR(__xludf.DUMMYFUNCTION("""COMPUTED_VALUE"""),9713.63)</f>
        <v/>
      </c>
    </row>
    <row r="4536">
      <c r="J4536">
        <f>IFERROR(__xludf.DUMMYFUNCTION("""COMPUTED_VALUE"""),"Calgary, AB, Vancouver, Victoria, BC")</f>
        <v/>
      </c>
      <c r="K4536">
        <f>IFERROR(__xludf.DUMMYFUNCTION("""COMPUTED_VALUE"""),9713.03)</f>
        <v/>
      </c>
    </row>
    <row r="4537">
      <c r="J4537">
        <f>IFERROR(__xludf.DUMMYFUNCTION("""COMPUTED_VALUE"""),"Potsdam, Germany and Vancouver, British Columbi")</f>
        <v/>
      </c>
      <c r="K4537">
        <f>IFERROR(__xludf.DUMMYFUNCTION("""COMPUTED_VALUE"""),9712.55)</f>
        <v/>
      </c>
    </row>
    <row r="4538">
      <c r="J4538">
        <f>IFERROR(__xludf.DUMMYFUNCTION("""COMPUTED_VALUE"""),"Bremen and Munich, Germany")</f>
        <v/>
      </c>
      <c r="K4538">
        <f>IFERROR(__xludf.DUMMYFUNCTION("""COMPUTED_VALUE"""),9712.36)</f>
        <v/>
      </c>
    </row>
    <row r="4539">
      <c r="J4539">
        <f>IFERROR(__xludf.DUMMYFUNCTION("""COMPUTED_VALUE"""),"London, England - Brussel, Belgium")</f>
        <v/>
      </c>
      <c r="K4539">
        <f>IFERROR(__xludf.DUMMYFUNCTION("""COMPUTED_VALUE"""),9712.36)</f>
        <v/>
      </c>
    </row>
    <row r="4540">
      <c r="J4540">
        <f>IFERROR(__xludf.DUMMYFUNCTION("""COMPUTED_VALUE"""),"Los Angeles and Toronto")</f>
        <v/>
      </c>
      <c r="K4540">
        <f>IFERROR(__xludf.DUMMYFUNCTION("""COMPUTED_VALUE"""),9711.52)</f>
        <v/>
      </c>
    </row>
    <row r="4541">
      <c r="J4541">
        <f>IFERROR(__xludf.DUMMYFUNCTION("""COMPUTED_VALUE"""),"Mons, BE")</f>
        <v/>
      </c>
      <c r="K4541">
        <f>IFERROR(__xludf.DUMMYFUNCTION("""COMPUTED_VALUE"""),9709.87)</f>
        <v/>
      </c>
    </row>
    <row r="4542">
      <c r="J4542">
        <f>IFERROR(__xludf.DUMMYFUNCTION("""COMPUTED_VALUE"""),"Tokyo, Beijing- China, Busan, Gimpo, Incheon-Korea")</f>
        <v/>
      </c>
      <c r="K4542">
        <f>IFERROR(__xludf.DUMMYFUNCTION("""COMPUTED_VALUE"""),9708.56)</f>
        <v/>
      </c>
    </row>
    <row r="4543">
      <c r="J4543">
        <f>IFERROR(__xludf.DUMMYFUNCTION("""COMPUTED_VALUE"""),"Leipzig, Germany and Amsterdam, Germany")</f>
        <v/>
      </c>
      <c r="K4543">
        <f>IFERROR(__xludf.DUMMYFUNCTION("""COMPUTED_VALUE"""),9704.95)</f>
        <v/>
      </c>
    </row>
    <row r="4544">
      <c r="J4544">
        <f>IFERROR(__xludf.DUMMYFUNCTION("""COMPUTED_VALUE"""),"Ankara, Turkiye")</f>
        <v/>
      </c>
      <c r="K4544">
        <f>IFERROR(__xludf.DUMMYFUNCTION("""COMPUTED_VALUE"""),9703.03)</f>
        <v/>
      </c>
    </row>
    <row r="4545">
      <c r="J4545">
        <f>IFERROR(__xludf.DUMMYFUNCTION("""COMPUTED_VALUE"""),"Sydney, Australia and Tokyo, Japan")</f>
        <v/>
      </c>
      <c r="K4545">
        <f>IFERROR(__xludf.DUMMYFUNCTION("""COMPUTED_VALUE"""),9700.61)</f>
        <v/>
      </c>
    </row>
    <row r="4546">
      <c r="J4546">
        <f>IFERROR(__xludf.DUMMYFUNCTION("""COMPUTED_VALUE"""),"Sydney &amp; Canberra, Australia. Wellington, New Zealand.")</f>
        <v/>
      </c>
      <c r="K4546">
        <f>IFERROR(__xludf.DUMMYFUNCTION("""COMPUTED_VALUE"""),9699.85)</f>
        <v/>
      </c>
    </row>
    <row r="4547">
      <c r="J4547">
        <f>IFERROR(__xludf.DUMMYFUNCTION("""COMPUTED_VALUE"""),"London, Luxemburg and Brussels")</f>
        <v/>
      </c>
      <c r="K4547">
        <f>IFERROR(__xludf.DUMMYFUNCTION("""COMPUTED_VALUE"""),9696.01)</f>
        <v/>
      </c>
    </row>
    <row r="4548">
      <c r="J4548">
        <f>IFERROR(__xludf.DUMMYFUNCTION("""COMPUTED_VALUE"""),"Frankfurt, Riga, LVIV, KIEV")</f>
        <v/>
      </c>
      <c r="K4548">
        <f>IFERROR(__xludf.DUMMYFUNCTION("""COMPUTED_VALUE"""),9696)</f>
        <v/>
      </c>
    </row>
    <row r="4549">
      <c r="J4549">
        <f>IFERROR(__xludf.DUMMYFUNCTION("""COMPUTED_VALUE"""),"Belfast, Northern Ireland")</f>
        <v/>
      </c>
      <c r="K4549">
        <f>IFERROR(__xludf.DUMMYFUNCTION("""COMPUTED_VALUE"""),9691.68)</f>
        <v/>
      </c>
    </row>
    <row r="4550">
      <c r="J4550">
        <f>IFERROR(__xludf.DUMMYFUNCTION("""COMPUTED_VALUE"""),"Havana")</f>
        <v/>
      </c>
      <c r="K4550">
        <f>IFERROR(__xludf.DUMMYFUNCTION("""COMPUTED_VALUE"""),9691.48)</f>
        <v/>
      </c>
    </row>
    <row r="4551">
      <c r="J4551">
        <f>IFERROR(__xludf.DUMMYFUNCTION("""COMPUTED_VALUE"""),"Fredericton, New Brunswick, Canada; Halifax, Nova Scotia, Canada")</f>
        <v/>
      </c>
      <c r="K4551">
        <f>IFERROR(__xludf.DUMMYFUNCTION("""COMPUTED_VALUE"""),9677.45)</f>
        <v/>
      </c>
    </row>
    <row r="4552">
      <c r="J4552">
        <f>IFERROR(__xludf.DUMMYFUNCTION("""COMPUTED_VALUE"""),"Abbotsford, British Columbia, Canada; Vancouver, British Columbia, Canada")</f>
        <v/>
      </c>
      <c r="K4552">
        <f>IFERROR(__xludf.DUMMYFUNCTION("""COMPUTED_VALUE"""),9676.07)</f>
        <v/>
      </c>
    </row>
    <row r="4553">
      <c r="J4553">
        <f>IFERROR(__xludf.DUMMYFUNCTION("""COMPUTED_VALUE"""),"London (UK) and Kiev (Ukraine)")</f>
        <v/>
      </c>
      <c r="K4553">
        <f>IFERROR(__xludf.DUMMYFUNCTION("""COMPUTED_VALUE"""),9675.98)</f>
        <v/>
      </c>
    </row>
    <row r="4554">
      <c r="J4554">
        <f>IFERROR(__xludf.DUMMYFUNCTION("""COMPUTED_VALUE"""),"Tokyo, Japan - Sapporo, Japan")</f>
        <v/>
      </c>
      <c r="K4554">
        <f>IFERROR(__xludf.DUMMYFUNCTION("""COMPUTED_VALUE"""),9673.54)</f>
        <v/>
      </c>
    </row>
    <row r="4555">
      <c r="J4555">
        <f>IFERROR(__xludf.DUMMYFUNCTION("""COMPUTED_VALUE"""),"Vancouver, British-Columbia, Canada; Kamloops, British-Columbia, Canada")</f>
        <v/>
      </c>
      <c r="K4555">
        <f>IFERROR(__xludf.DUMMYFUNCTION("""COMPUTED_VALUE"""),9672.6)</f>
        <v/>
      </c>
    </row>
    <row r="4556">
      <c r="J4556">
        <f>IFERROR(__xludf.DUMMYFUNCTION("""COMPUTED_VALUE"""),"Moncton, NB Halifax, NS")</f>
        <v/>
      </c>
      <c r="K4556">
        <f>IFERROR(__xludf.DUMMYFUNCTION("""COMPUTED_VALUE"""),9671.51)</f>
        <v/>
      </c>
    </row>
    <row r="4557">
      <c r="J4557">
        <f>IFERROR(__xludf.DUMMYFUNCTION("""COMPUTED_VALUE"""),"Mumbai Delhi, India")</f>
        <v/>
      </c>
      <c r="K4557">
        <f>IFERROR(__xludf.DUMMYFUNCTION("""COMPUTED_VALUE"""),9671.08)</f>
        <v/>
      </c>
    </row>
    <row r="4558">
      <c r="J4558">
        <f>IFERROR(__xludf.DUMMYFUNCTION("""COMPUTED_VALUE"""),"Vimy and Paris France; Stuttgart, Germany")</f>
        <v/>
      </c>
      <c r="K4558">
        <f>IFERROR(__xludf.DUMMYFUNCTION("""COMPUTED_VALUE"""),9670.74)</f>
        <v/>
      </c>
    </row>
    <row r="4559">
      <c r="J4559">
        <f>IFERROR(__xludf.DUMMYFUNCTION("""COMPUTED_VALUE"""),"Hyderabad, India")</f>
        <v/>
      </c>
      <c r="K4559">
        <f>IFERROR(__xludf.DUMMYFUNCTION("""COMPUTED_VALUE"""),9670.07)</f>
        <v/>
      </c>
    </row>
    <row r="4560">
      <c r="J4560">
        <f>IFERROR(__xludf.DUMMYFUNCTION("""COMPUTED_VALUE"""),"Halifax and Grand Pré, Nova Scotia")</f>
        <v/>
      </c>
      <c r="K4560">
        <f>IFERROR(__xludf.DUMMYFUNCTION("""COMPUTED_VALUE"""),9667.93)</f>
        <v/>
      </c>
    </row>
    <row r="4561">
      <c r="J4561">
        <f>IFERROR(__xludf.DUMMYFUNCTION("""COMPUTED_VALUE"""),"São Paulo (São Paulo) Brazil")</f>
        <v/>
      </c>
      <c r="K4561">
        <f>IFERROR(__xludf.DUMMYFUNCTION("""COMPUTED_VALUE"""),9667.23)</f>
        <v/>
      </c>
    </row>
    <row r="4562">
      <c r="J4562">
        <f>IFERROR(__xludf.DUMMYFUNCTION("""COMPUTED_VALUE"""),"the Hague, Netherlands and Nuuk, Greenland.")</f>
        <v/>
      </c>
      <c r="K4562">
        <f>IFERROR(__xludf.DUMMYFUNCTION("""COMPUTED_VALUE"""),9662.3)</f>
        <v/>
      </c>
    </row>
    <row r="4563">
      <c r="J4563">
        <f>IFERROR(__xludf.DUMMYFUNCTION("""COMPUTED_VALUE"""),"Dallas, Texas and Luxembourg")</f>
        <v/>
      </c>
      <c r="K4563">
        <f>IFERROR(__xludf.DUMMYFUNCTION("""COMPUTED_VALUE"""),9661.75)</f>
        <v/>
      </c>
    </row>
    <row r="4564">
      <c r="J4564">
        <f>IFERROR(__xludf.DUMMYFUNCTION("""COMPUTED_VALUE"""),"St. John's")</f>
        <v/>
      </c>
      <c r="K4564">
        <f>IFERROR(__xludf.DUMMYFUNCTION("""COMPUTED_VALUE"""),9661.09)</f>
        <v/>
      </c>
    </row>
    <row r="4565">
      <c r="J4565">
        <f>IFERROR(__xludf.DUMMYFUNCTION("""COMPUTED_VALUE"""),"Dakar, Mali")</f>
        <v/>
      </c>
      <c r="K4565">
        <f>IFERROR(__xludf.DUMMYFUNCTION("""COMPUTED_VALUE"""),9657.13)</f>
        <v/>
      </c>
    </row>
    <row r="4566">
      <c r="J4566">
        <f>IFERROR(__xludf.DUMMYFUNCTION("""COMPUTED_VALUE"""),"Reykjavík, Iceland")</f>
        <v/>
      </c>
      <c r="K4566">
        <f>IFERROR(__xludf.DUMMYFUNCTION("""COMPUTED_VALUE"""),9650.72)</f>
        <v/>
      </c>
    </row>
    <row r="4567">
      <c r="J4567">
        <f>IFERROR(__xludf.DUMMYFUNCTION("""COMPUTED_VALUE"""),"Gatineau (Québec) Canada")</f>
        <v/>
      </c>
      <c r="K4567">
        <f>IFERROR(__xludf.DUMMYFUNCTION("""COMPUTED_VALUE"""),9648.27999999999)</f>
        <v/>
      </c>
    </row>
    <row r="4568">
      <c r="J4568">
        <f>IFERROR(__xludf.DUMMYFUNCTION("""COMPUTED_VALUE"""),"Brussels and Belgrade")</f>
        <v/>
      </c>
      <c r="K4568">
        <f>IFERROR(__xludf.DUMMYFUNCTION("""COMPUTED_VALUE"""),9646.88)</f>
        <v/>
      </c>
    </row>
    <row r="4569">
      <c r="J4569">
        <f>IFERROR(__xludf.DUMMYFUNCTION("""COMPUTED_VALUE"""),"Johannesburg/Pretoria,South Africa")</f>
        <v/>
      </c>
      <c r="K4569">
        <f>IFERROR(__xludf.DUMMYFUNCTION("""COMPUTED_VALUE"""),9646.14)</f>
        <v/>
      </c>
    </row>
    <row r="4570">
      <c r="J4570">
        <f>IFERROR(__xludf.DUMMYFUNCTION("""COMPUTED_VALUE"""),"Aspen, Colorado, USA")</f>
        <v/>
      </c>
      <c r="K4570">
        <f>IFERROR(__xludf.DUMMYFUNCTION("""COMPUTED_VALUE"""),9643.17)</f>
        <v/>
      </c>
    </row>
    <row r="4571">
      <c r="J4571">
        <f>IFERROR(__xludf.DUMMYFUNCTION("""COMPUTED_VALUE"""),"Hamilton (Ontario) Canada")</f>
        <v/>
      </c>
      <c r="K4571">
        <f>IFERROR(__xludf.DUMMYFUNCTION("""COMPUTED_VALUE"""),9641.51)</f>
        <v/>
      </c>
    </row>
    <row r="4572">
      <c r="J4572">
        <f>IFERROR(__xludf.DUMMYFUNCTION("""COMPUTED_VALUE"""),"Moncton, N.B.")</f>
        <v/>
      </c>
      <c r="K4572">
        <f>IFERROR(__xludf.DUMMYFUNCTION("""COMPUTED_VALUE"""),9638.51)</f>
        <v/>
      </c>
    </row>
    <row r="4573">
      <c r="J4573">
        <f>IFERROR(__xludf.DUMMYFUNCTION("""COMPUTED_VALUE"""),"Geneva, Switzerland, Eindhoven, Netherlands, Munich, Germany")</f>
        <v/>
      </c>
      <c r="K4573">
        <f>IFERROR(__xludf.DUMMYFUNCTION("""COMPUTED_VALUE"""),9636.86)</f>
        <v/>
      </c>
    </row>
    <row r="4574">
      <c r="J4574">
        <f>IFERROR(__xludf.DUMMYFUNCTION("""COMPUTED_VALUE"""),"London, UL &amp; Rothamsted, UK")</f>
        <v/>
      </c>
      <c r="K4574">
        <f>IFERROR(__xludf.DUMMYFUNCTION("""COMPUTED_VALUE"""),9634.22)</f>
        <v/>
      </c>
    </row>
    <row r="4575">
      <c r="J4575">
        <f>IFERROR(__xludf.DUMMYFUNCTION("""COMPUTED_VALUE"""),"Saskatoon, SK and Paris, France")</f>
        <v/>
      </c>
      <c r="K4575">
        <f>IFERROR(__xludf.DUMMYFUNCTION("""COMPUTED_VALUE"""),9632.27)</f>
        <v/>
      </c>
    </row>
    <row r="4576">
      <c r="J4576">
        <f>IFERROR(__xludf.DUMMYFUNCTION("""COMPUTED_VALUE"""),"Brussels, Belgium and Basel, Switzerland")</f>
        <v/>
      </c>
      <c r="K4576">
        <f>IFERROR(__xludf.DUMMYFUNCTION("""COMPUTED_VALUE"""),9630.06)</f>
        <v/>
      </c>
    </row>
    <row r="4577">
      <c r="J4577">
        <f>IFERROR(__xludf.DUMMYFUNCTION("""COMPUTED_VALUE"""),"Long Beach, California, United States")</f>
        <v/>
      </c>
      <c r="K4577">
        <f>IFERROR(__xludf.DUMMYFUNCTION("""COMPUTED_VALUE"""),9625.63)</f>
        <v/>
      </c>
    </row>
    <row r="4578">
      <c r="J4578">
        <f>IFERROR(__xludf.DUMMYFUNCTION("""COMPUTED_VALUE"""),"Vancouver, Prince Rupert, B.C.")</f>
        <v/>
      </c>
      <c r="K4578">
        <f>IFERROR(__xludf.DUMMYFUNCTION("""COMPUTED_VALUE"""),9625.56)</f>
        <v/>
      </c>
    </row>
    <row r="4579">
      <c r="J4579">
        <f>IFERROR(__xludf.DUMMYFUNCTION("""COMPUTED_VALUE"""),"MONCTON, NB")</f>
        <v/>
      </c>
      <c r="K4579">
        <f>IFERROR(__xludf.DUMMYFUNCTION("""COMPUTED_VALUE"""),9625.54)</f>
        <v/>
      </c>
    </row>
    <row r="4580">
      <c r="J4580">
        <f>IFERROR(__xludf.DUMMYFUNCTION("""COMPUTED_VALUE"""),"Regina, Saskatchewan, Canada; Toronto, Ontario, Canada")</f>
        <v/>
      </c>
      <c r="K4580">
        <f>IFERROR(__xludf.DUMMYFUNCTION("""COMPUTED_VALUE"""),9624.46)</f>
        <v/>
      </c>
    </row>
    <row r="4581">
      <c r="J4581">
        <f>IFERROR(__xludf.DUMMYFUNCTION("""COMPUTED_VALUE"""),"Vancouver, Calgary, Edmonton, Winnipeg and London (UK)")</f>
        <v/>
      </c>
      <c r="K4581">
        <f>IFERROR(__xludf.DUMMYFUNCTION("""COMPUTED_VALUE"""),9623.97)</f>
        <v/>
      </c>
    </row>
    <row r="4582">
      <c r="J4582">
        <f>IFERROR(__xludf.DUMMYFUNCTION("""COMPUTED_VALUE"""),"Vienna, Austria and Bratislava, Slovakia")</f>
        <v/>
      </c>
      <c r="K4582">
        <f>IFERROR(__xludf.DUMMYFUNCTION("""COMPUTED_VALUE"""),9619.29)</f>
        <v/>
      </c>
    </row>
    <row r="4583">
      <c r="J4583">
        <f>IFERROR(__xludf.DUMMYFUNCTION("""COMPUTED_VALUE"""),"FL, MS &amp; LA (USA)")</f>
        <v/>
      </c>
      <c r="K4583">
        <f>IFERROR(__xludf.DUMMYFUNCTION("""COMPUTED_VALUE"""),9618.22)</f>
        <v/>
      </c>
    </row>
    <row r="4584">
      <c r="J4584">
        <f>IFERROR(__xludf.DUMMYFUNCTION("""COMPUTED_VALUE"""),"Boston, MA, USA &amp; Austin, TX, USA")</f>
        <v/>
      </c>
      <c r="K4584">
        <f>IFERROR(__xludf.DUMMYFUNCTION("""COMPUTED_VALUE"""),9615.94)</f>
        <v/>
      </c>
    </row>
    <row r="4585">
      <c r="J4585">
        <f>IFERROR(__xludf.DUMMYFUNCTION("""COMPUTED_VALUE"""),"San Francisco, California and Vancouver, British-Columbia")</f>
        <v/>
      </c>
      <c r="K4585">
        <f>IFERROR(__xludf.DUMMYFUNCTION("""COMPUTED_VALUE"""),9615.15)</f>
        <v/>
      </c>
    </row>
    <row r="4586">
      <c r="J4586">
        <f>IFERROR(__xludf.DUMMYFUNCTION("""COMPUTED_VALUE"""),"Singapore and Hanoi")</f>
        <v/>
      </c>
      <c r="K4586">
        <f>IFERROR(__xludf.DUMMYFUNCTION("""COMPUTED_VALUE"""),9613.95)</f>
        <v/>
      </c>
    </row>
    <row r="4587">
      <c r="J4587">
        <f>IFERROR(__xludf.DUMMYFUNCTION("""COMPUTED_VALUE"""),"Jerusalem (13-16 June) Garderen, Netherlands (17-20 Jun)")</f>
        <v/>
      </c>
      <c r="K4587">
        <f>IFERROR(__xludf.DUMMYFUNCTION("""COMPUTED_VALUE"""),9611.95)</f>
        <v/>
      </c>
    </row>
    <row r="4588">
      <c r="J4588">
        <f>IFERROR(__xludf.DUMMYFUNCTION("""COMPUTED_VALUE"""),"Vancouver, British Columbia, Canada / Victoria, British Columbia, Canada / Whitehorse, Yukon, Canada")</f>
        <v/>
      </c>
      <c r="K4588">
        <f>IFERROR(__xludf.DUMMYFUNCTION("""COMPUTED_VALUE"""),9609.48)</f>
        <v/>
      </c>
    </row>
    <row r="4589">
      <c r="J4589">
        <f>IFERROR(__xludf.DUMMYFUNCTION("""COMPUTED_VALUE"""),"Japan, Tokyo")</f>
        <v/>
      </c>
      <c r="K4589">
        <f>IFERROR(__xludf.DUMMYFUNCTION("""COMPUTED_VALUE"""),9605.61)</f>
        <v/>
      </c>
    </row>
    <row r="4590">
      <c r="J4590">
        <f>IFERROR(__xludf.DUMMYFUNCTION("""COMPUTED_VALUE"""),"Hungary, Czech Republic, Lithuania and Poland")</f>
        <v/>
      </c>
      <c r="K4590">
        <f>IFERROR(__xludf.DUMMYFUNCTION("""COMPUTED_VALUE"""),9604.43)</f>
        <v/>
      </c>
    </row>
    <row r="4591">
      <c r="J4591">
        <f>IFERROR(__xludf.DUMMYFUNCTION("""COMPUTED_VALUE"""),"Vancouver, Edmonton and New York")</f>
        <v/>
      </c>
      <c r="K4591">
        <f>IFERROR(__xludf.DUMMYFUNCTION("""COMPUTED_VALUE"""),9602.54)</f>
        <v/>
      </c>
    </row>
    <row r="4592">
      <c r="J4592">
        <f>IFERROR(__xludf.DUMMYFUNCTION("""COMPUTED_VALUE"""),"St. John's, Newfoundland and Labrador, Canada - Montréal, Quebec, Canada")</f>
        <v/>
      </c>
      <c r="K4592">
        <f>IFERROR(__xludf.DUMMYFUNCTION("""COMPUTED_VALUE"""),9602.35)</f>
        <v/>
      </c>
    </row>
    <row r="4593">
      <c r="J4593">
        <f>IFERROR(__xludf.DUMMYFUNCTION("""COMPUTED_VALUE"""),"Buenos Aires Argentina, and Santiago Chile")</f>
        <v/>
      </c>
      <c r="K4593">
        <f>IFERROR(__xludf.DUMMYFUNCTION("""COMPUTED_VALUE"""),9600.77)</f>
        <v/>
      </c>
    </row>
    <row r="4594">
      <c r="J4594">
        <f>IFERROR(__xludf.DUMMYFUNCTION("""COMPUTED_VALUE"""),"France, Cyprus, Armenia, Djibouti, Seychelles and Chad")</f>
        <v/>
      </c>
      <c r="K4594">
        <f>IFERROR(__xludf.DUMMYFUNCTION("""COMPUTED_VALUE"""),9595.81)</f>
        <v/>
      </c>
    </row>
    <row r="4595">
      <c r="J4595">
        <f>IFERROR(__xludf.DUMMYFUNCTION("""COMPUTED_VALUE"""),"Winnipeg, MB, Toronto, ON, Doha Qatar, Kuwait City Kuwait, Erbil Iraq, Cologne Germany")</f>
        <v/>
      </c>
      <c r="K4595">
        <f>IFERROR(__xludf.DUMMYFUNCTION("""COMPUTED_VALUE"""),9594.29)</f>
        <v/>
      </c>
    </row>
    <row r="4596">
      <c r="J4596">
        <f>IFERROR(__xludf.DUMMYFUNCTION("""COMPUTED_VALUE"""),"Toronto, Regina, Saskatoon and Vancouver")</f>
        <v/>
      </c>
      <c r="K4596">
        <f>IFERROR(__xludf.DUMMYFUNCTION("""COMPUTED_VALUE"""),9591.32)</f>
        <v/>
      </c>
    </row>
    <row r="4597">
      <c r="J4597">
        <f>IFERROR(__xludf.DUMMYFUNCTION("""COMPUTED_VALUE"""),"Yellowknife, Northwest Territories, Canada; Regina, Saskatchewan, Canada")</f>
        <v/>
      </c>
      <c r="K4597">
        <f>IFERROR(__xludf.DUMMYFUNCTION("""COMPUTED_VALUE"""),9591)</f>
        <v/>
      </c>
    </row>
    <row r="4598">
      <c r="J4598">
        <f>IFERROR(__xludf.DUMMYFUNCTION("""COMPUTED_VALUE"""),"London, UK &amp; Oman")</f>
        <v/>
      </c>
      <c r="K4598">
        <f>IFERROR(__xludf.DUMMYFUNCTION("""COMPUTED_VALUE"""),9590.91)</f>
        <v/>
      </c>
    </row>
    <row r="4599">
      <c r="J4599">
        <f>IFERROR(__xludf.DUMMYFUNCTION("""COMPUTED_VALUE"""),"Palo Alto, California")</f>
        <v/>
      </c>
      <c r="K4599">
        <f>IFERROR(__xludf.DUMMYFUNCTION("""COMPUTED_VALUE"""),9590.51)</f>
        <v/>
      </c>
    </row>
    <row r="4600">
      <c r="J4600">
        <f>IFERROR(__xludf.DUMMYFUNCTION("""COMPUTED_VALUE"""),"Bled, Sovenia, Zagreb and Croatia")</f>
        <v/>
      </c>
      <c r="K4600">
        <f>IFERROR(__xludf.DUMMYFUNCTION("""COMPUTED_VALUE"""),9588.32)</f>
        <v/>
      </c>
    </row>
    <row r="4601">
      <c r="J4601">
        <f>IFERROR(__xludf.DUMMYFUNCTION("""COMPUTED_VALUE"""),"Charlotte, North Carolina, USA")</f>
        <v/>
      </c>
      <c r="K4601">
        <f>IFERROR(__xludf.DUMMYFUNCTION("""COMPUTED_VALUE"""),9588.14)</f>
        <v/>
      </c>
    </row>
    <row r="4602">
      <c r="J4602">
        <f>IFERROR(__xludf.DUMMYFUNCTION("""COMPUTED_VALUE"""),"Deer Lake, Newfoundland and Labrador / Moncton, New Brunswick, Canada")</f>
        <v/>
      </c>
      <c r="K4602">
        <f>IFERROR(__xludf.DUMMYFUNCTION("""COMPUTED_VALUE"""),9586.14)</f>
        <v/>
      </c>
    </row>
    <row r="4603">
      <c r="J4603">
        <f>IFERROR(__xludf.DUMMYFUNCTION("""COMPUTED_VALUE"""),"Beijing, China / Tianjin, China")</f>
        <v/>
      </c>
      <c r="K4603">
        <f>IFERROR(__xludf.DUMMYFUNCTION("""COMPUTED_VALUE"""),9582.24)</f>
        <v/>
      </c>
    </row>
    <row r="4604">
      <c r="J4604">
        <f>IFERROR(__xludf.DUMMYFUNCTION("""COMPUTED_VALUE"""),"Whitehorse, Yukon, Canada / Vancouver, British Colombia, Canada")</f>
        <v/>
      </c>
      <c r="K4604">
        <f>IFERROR(__xludf.DUMMYFUNCTION("""COMPUTED_VALUE"""),9579.4)</f>
        <v/>
      </c>
    </row>
    <row r="4605">
      <c r="J4605">
        <f>IFERROR(__xludf.DUMMYFUNCTION("""COMPUTED_VALUE"""),"London, United Kingdom / Mumbai, Ahmedabad, Bangalore, Chennai, India / Dubai, United Arab Emirates / New York, United States")</f>
        <v/>
      </c>
      <c r="K4605">
        <f>IFERROR(__xludf.DUMMYFUNCTION("""COMPUTED_VALUE"""),9577.84)</f>
        <v/>
      </c>
    </row>
    <row r="4606">
      <c r="J4606">
        <f>IFERROR(__xludf.DUMMYFUNCTION("""COMPUTED_VALUE"""),"Montreal, Quebec, Canada and Toronto, Ontario, Canada")</f>
        <v/>
      </c>
      <c r="K4606">
        <f>IFERROR(__xludf.DUMMYFUNCTION("""COMPUTED_VALUE"""),9577.76)</f>
        <v/>
      </c>
    </row>
    <row r="4607">
      <c r="J4607">
        <f>IFERROR(__xludf.DUMMYFUNCTION("""COMPUTED_VALUE"""),"Paris, France
Cape Town, South Africa")</f>
        <v/>
      </c>
      <c r="K4607">
        <f>IFERROR(__xludf.DUMMYFUNCTION("""COMPUTED_VALUE"""),9572.23)</f>
        <v/>
      </c>
    </row>
    <row r="4608">
      <c r="J4608">
        <f>IFERROR(__xludf.DUMMYFUNCTION("""COMPUTED_VALUE"""),"Vancouver, Montreal, Toronto, Hamilton, Ottawa, Edmonton.")</f>
        <v/>
      </c>
      <c r="K4608">
        <f>IFERROR(__xludf.DUMMYFUNCTION("""COMPUTED_VALUE"""),9570.31)</f>
        <v/>
      </c>
    </row>
    <row r="4609">
      <c r="J4609">
        <f>IFERROR(__xludf.DUMMYFUNCTION("""COMPUTED_VALUE"""),"Brussels, Belgium Paris, France")</f>
        <v/>
      </c>
      <c r="K4609">
        <f>IFERROR(__xludf.DUMMYFUNCTION("""COMPUTED_VALUE"""),9570.2)</f>
        <v/>
      </c>
    </row>
    <row r="4610">
      <c r="J4610">
        <f>IFERROR(__xludf.DUMMYFUNCTION("""COMPUTED_VALUE"""),"Whistler, BC, Canada")</f>
        <v/>
      </c>
      <c r="K4610">
        <f>IFERROR(__xludf.DUMMYFUNCTION("""COMPUTED_VALUE"""),9568.86999999999)</f>
        <v/>
      </c>
    </row>
    <row r="4611">
      <c r="J4611">
        <f>IFERROR(__xludf.DUMMYFUNCTION("""COMPUTED_VALUE"""),"Sofia and Brussels")</f>
        <v/>
      </c>
      <c r="K4611">
        <f>IFERROR(__xludf.DUMMYFUNCTION("""COMPUTED_VALUE"""),9566.76)</f>
        <v/>
      </c>
    </row>
    <row r="4612">
      <c r="J4612">
        <f>IFERROR(__xludf.DUMMYFUNCTION("""COMPUTED_VALUE"""),"Ottawa-Calgary-Ottawa")</f>
        <v/>
      </c>
      <c r="K4612">
        <f>IFERROR(__xludf.DUMMYFUNCTION("""COMPUTED_VALUE"""),9566.38)</f>
        <v/>
      </c>
    </row>
    <row r="4613">
      <c r="J4613">
        <f>IFERROR(__xludf.DUMMYFUNCTION("""COMPUTED_VALUE"""),"Seville")</f>
        <v/>
      </c>
      <c r="K4613">
        <f>IFERROR(__xludf.DUMMYFUNCTION("""COMPUTED_VALUE"""),9564.84)</f>
        <v/>
      </c>
    </row>
    <row r="4614">
      <c r="J4614">
        <f>IFERROR(__xludf.DUMMYFUNCTION("""COMPUTED_VALUE"""),"La  Aurora")</f>
        <v/>
      </c>
      <c r="K4614">
        <f>IFERROR(__xludf.DUMMYFUNCTION("""COMPUTED_VALUE"""),9563.22)</f>
        <v/>
      </c>
    </row>
    <row r="4615">
      <c r="J4615">
        <f>IFERROR(__xludf.DUMMYFUNCTION("""COMPUTED_VALUE"""),"Yellowknife, Northwest Territories / Vancouver, British Columbia / Winnipeg, Manitoba, Canada")</f>
        <v/>
      </c>
      <c r="K4615">
        <f>IFERROR(__xludf.DUMMYFUNCTION("""COMPUTED_VALUE"""),9560.27)</f>
        <v/>
      </c>
    </row>
    <row r="4616">
      <c r="J4616">
        <f>IFERROR(__xludf.DUMMYFUNCTION("""COMPUTED_VALUE"""),"Medellin, Bogota")</f>
        <v/>
      </c>
      <c r="K4616">
        <f>IFERROR(__xludf.DUMMYFUNCTION("""COMPUTED_VALUE"""),9558.57)</f>
        <v/>
      </c>
    </row>
    <row r="4617">
      <c r="J4617">
        <f>IFERROR(__xludf.DUMMYFUNCTION("""COMPUTED_VALUE"""),"Vancouver, BC and Winnipeg, MB")</f>
        <v/>
      </c>
      <c r="K4617">
        <f>IFERROR(__xludf.DUMMYFUNCTION("""COMPUTED_VALUE"""),9558.19)</f>
        <v/>
      </c>
    </row>
    <row r="4618">
      <c r="J4618">
        <f>IFERROR(__xludf.DUMMYFUNCTION("""COMPUTED_VALUE"""),"Calgary, Toronto, Ottawa")</f>
        <v/>
      </c>
      <c r="K4618">
        <f>IFERROR(__xludf.DUMMYFUNCTION("""COMPUTED_VALUE"""),9556.21)</f>
        <v/>
      </c>
    </row>
    <row r="4619">
      <c r="J4619">
        <f>IFERROR(__xludf.DUMMYFUNCTION("""COMPUTED_VALUE"""),"New York, N.Y. / Berlin, Germany")</f>
        <v/>
      </c>
      <c r="K4619">
        <f>IFERROR(__xludf.DUMMYFUNCTION("""COMPUTED_VALUE"""),9554.66)</f>
        <v/>
      </c>
    </row>
    <row r="4620">
      <c r="J4620">
        <f>IFERROR(__xludf.DUMMYFUNCTION("""COMPUTED_VALUE"""),"Vimy and Paris, France")</f>
        <v/>
      </c>
      <c r="K4620">
        <f>IFERROR(__xludf.DUMMYFUNCTION("""COMPUTED_VALUE"""),9554.14)</f>
        <v/>
      </c>
    </row>
    <row r="4621">
      <c r="J4621">
        <f>IFERROR(__xludf.DUMMYFUNCTION("""COMPUTED_VALUE"""),"Victoria, British Columbia, Canada; Winnipeg, Manitoba, Canada")</f>
        <v/>
      </c>
      <c r="K4621">
        <f>IFERROR(__xludf.DUMMYFUNCTION("""COMPUTED_VALUE"""),9550.49)</f>
        <v/>
      </c>
    </row>
    <row r="4622">
      <c r="J4622">
        <f>IFERROR(__xludf.DUMMYFUNCTION("""COMPUTED_VALUE"""),"London, Paris, Berlin")</f>
        <v/>
      </c>
      <c r="K4622">
        <f>IFERROR(__xludf.DUMMYFUNCTION("""COMPUTED_VALUE"""),9549.8)</f>
        <v/>
      </c>
    </row>
    <row r="4623">
      <c r="J4623">
        <f>IFERROR(__xludf.DUMMYFUNCTION("""COMPUTED_VALUE"""),"Rotterdam")</f>
        <v/>
      </c>
      <c r="K4623">
        <f>IFERROR(__xludf.DUMMYFUNCTION("""COMPUTED_VALUE"""),9548.44)</f>
        <v/>
      </c>
    </row>
    <row r="4624">
      <c r="J4624">
        <f>IFERROR(__xludf.DUMMYFUNCTION("""COMPUTED_VALUE"""),"Ottawa, Ontario 
St-John's, Newfoundland and Labrador")</f>
        <v/>
      </c>
      <c r="K4624">
        <f>IFERROR(__xludf.DUMMYFUNCTION("""COMPUTED_VALUE"""),9545.44)</f>
        <v/>
      </c>
    </row>
    <row r="4625">
      <c r="J4625">
        <f>IFERROR(__xludf.DUMMYFUNCTION("""COMPUTED_VALUE"""),"CHARLOTTETOWN, PRINCE EDWARD ISLAND, CANADA")</f>
        <v/>
      </c>
      <c r="K4625">
        <f>IFERROR(__xludf.DUMMYFUNCTION("""COMPUTED_VALUE"""),9543.57)</f>
        <v/>
      </c>
    </row>
    <row r="4626">
      <c r="J4626">
        <f>IFERROR(__xludf.DUMMYFUNCTION("""COMPUTED_VALUE"""),"Brussels, Belgium
London, UK")</f>
        <v/>
      </c>
      <c r="K4626">
        <f>IFERROR(__xludf.DUMMYFUNCTION("""COMPUTED_VALUE"""),9541.73)</f>
        <v/>
      </c>
    </row>
    <row r="4627">
      <c r="J4627">
        <f>IFERROR(__xludf.DUMMYFUNCTION("""COMPUTED_VALUE"""),"Tallin, Estonia")</f>
        <v/>
      </c>
      <c r="K4627">
        <f>IFERROR(__xludf.DUMMYFUNCTION("""COMPUTED_VALUE"""),9537.79)</f>
        <v/>
      </c>
    </row>
    <row r="4628">
      <c r="J4628">
        <f>IFERROR(__xludf.DUMMYFUNCTION("""COMPUTED_VALUE"""),"Ottawa, Iqaluit, Oregon, Washington State.")</f>
        <v/>
      </c>
      <c r="K4628">
        <f>IFERROR(__xludf.DUMMYFUNCTION("""COMPUTED_VALUE"""),9534.69)</f>
        <v/>
      </c>
    </row>
    <row r="4629">
      <c r="J4629">
        <f>IFERROR(__xludf.DUMMYFUNCTION("""COMPUTED_VALUE"""),"Yaounde, Cameroon
Accra, Ghana")</f>
        <v/>
      </c>
      <c r="K4629">
        <f>IFERROR(__xludf.DUMMYFUNCTION("""COMPUTED_VALUE"""),9531.04)</f>
        <v/>
      </c>
    </row>
    <row r="4630">
      <c r="J4630">
        <f>IFERROR(__xludf.DUMMYFUNCTION("""COMPUTED_VALUE"""),"Boca Raton, Florida")</f>
        <v/>
      </c>
      <c r="K4630">
        <f>IFERROR(__xludf.DUMMYFUNCTION("""COMPUTED_VALUE"""),9527.68)</f>
        <v/>
      </c>
    </row>
    <row r="4631">
      <c r="J4631">
        <f>IFERROR(__xludf.DUMMYFUNCTION("""COMPUTED_VALUE"""),"London UK and Ottawa.")</f>
        <v/>
      </c>
      <c r="K4631">
        <f>IFERROR(__xludf.DUMMYFUNCTION("""COMPUTED_VALUE"""),9526.01)</f>
        <v/>
      </c>
    </row>
    <row r="4632">
      <c r="J4632">
        <f>IFERROR(__xludf.DUMMYFUNCTION("""COMPUTED_VALUE"""),"Argentina")</f>
        <v/>
      </c>
      <c r="K4632">
        <f>IFERROR(__xludf.DUMMYFUNCTION("""COMPUTED_VALUE"""),9525.52)</f>
        <v/>
      </c>
    </row>
    <row r="4633">
      <c r="J4633">
        <f>IFERROR(__xludf.DUMMYFUNCTION("""COMPUTED_VALUE"""),"Northwood, UK")</f>
        <v/>
      </c>
      <c r="K4633">
        <f>IFERROR(__xludf.DUMMYFUNCTION("""COMPUTED_VALUE"""),9519.97)</f>
        <v/>
      </c>
    </row>
    <row r="4634">
      <c r="J4634">
        <f>IFERROR(__xludf.DUMMYFUNCTION("""COMPUTED_VALUE"""),"Waterloo")</f>
        <v/>
      </c>
      <c r="K4634">
        <f>IFERROR(__xludf.DUMMYFUNCTION("""COMPUTED_VALUE"""),9515.59)</f>
        <v/>
      </c>
    </row>
    <row r="4635">
      <c r="J4635">
        <f>IFERROR(__xludf.DUMMYFUNCTION("""COMPUTED_VALUE"""),"Sydney, Nova Scotia, Canada; Ottawa, Ontario, Canada")</f>
        <v/>
      </c>
      <c r="K4635">
        <f>IFERROR(__xludf.DUMMYFUNCTION("""COMPUTED_VALUE"""),9514.97)</f>
        <v/>
      </c>
    </row>
    <row r="4636">
      <c r="J4636">
        <f>IFERROR(__xludf.DUMMYFUNCTION("""COMPUTED_VALUE"""),"Amsterdam, NL")</f>
        <v/>
      </c>
      <c r="K4636">
        <f>IFERROR(__xludf.DUMMYFUNCTION("""COMPUTED_VALUE"""),9514.16)</f>
        <v/>
      </c>
    </row>
    <row r="4637">
      <c r="J4637">
        <f>IFERROR(__xludf.DUMMYFUNCTION("""COMPUTED_VALUE"""),"Vancouver, British Columbia, Canada; Shanghai, China")</f>
        <v/>
      </c>
      <c r="K4637">
        <f>IFERROR(__xludf.DUMMYFUNCTION("""COMPUTED_VALUE"""),9513.67)</f>
        <v/>
      </c>
    </row>
    <row r="4638">
      <c r="J4638">
        <f>IFERROR(__xludf.DUMMYFUNCTION("""COMPUTED_VALUE"""),"Dakar, Senegal, Bamako, Mali")</f>
        <v/>
      </c>
      <c r="K4638">
        <f>IFERROR(__xludf.DUMMYFUNCTION("""COMPUTED_VALUE"""),9512.84)</f>
        <v/>
      </c>
    </row>
    <row r="4639">
      <c r="J4639">
        <f>IFERROR(__xludf.DUMMYFUNCTION("""COMPUTED_VALUE"""),"Beijing and Hong Kong, China")</f>
        <v/>
      </c>
      <c r="K4639">
        <f>IFERROR(__xludf.DUMMYFUNCTION("""COMPUTED_VALUE"""),9511.83)</f>
        <v/>
      </c>
    </row>
    <row r="4640">
      <c r="J4640">
        <f>IFERROR(__xludf.DUMMYFUNCTION("""COMPUTED_VALUE"""),"Victoria/Vancouver")</f>
        <v/>
      </c>
      <c r="K4640">
        <f>IFERROR(__xludf.DUMMYFUNCTION("""COMPUTED_VALUE"""),9511.47)</f>
        <v/>
      </c>
    </row>
    <row r="4641">
      <c r="J4641">
        <f>IFERROR(__xludf.DUMMYFUNCTION("""COMPUTED_VALUE"""),"Canada (Toronto, Ottawa, Calgary, Edmonton &amp; Vancouver)")</f>
        <v/>
      </c>
      <c r="K4641">
        <f>IFERROR(__xludf.DUMMYFUNCTION("""COMPUTED_VALUE"""),9508.16)</f>
        <v/>
      </c>
    </row>
    <row r="4642">
      <c r="J4642">
        <f>IFERROR(__xludf.DUMMYFUNCTION("""COMPUTED_VALUE"""),"Norway, Denmark, Austrai, Serbia, Albania and Iraq")</f>
        <v/>
      </c>
      <c r="K4642">
        <f>IFERROR(__xludf.DUMMYFUNCTION("""COMPUTED_VALUE"""),9505.9)</f>
        <v/>
      </c>
    </row>
    <row r="4643">
      <c r="J4643">
        <f>IFERROR(__xludf.DUMMYFUNCTION("""COMPUTED_VALUE"""),"Stokholm, Sweden")</f>
        <v/>
      </c>
      <c r="K4643">
        <f>IFERROR(__xludf.DUMMYFUNCTION("""COMPUTED_VALUE"""),9504.9)</f>
        <v/>
      </c>
    </row>
    <row r="4644">
      <c r="J4644">
        <f>IFERROR(__xludf.DUMMYFUNCTION("""COMPUTED_VALUE"""),"Saint-Petersburg")</f>
        <v/>
      </c>
      <c r="K4644">
        <f>IFERROR(__xludf.DUMMYFUNCTION("""COMPUTED_VALUE"""),9499.74)</f>
        <v/>
      </c>
    </row>
    <row r="4645">
      <c r="J4645">
        <f>IFERROR(__xludf.DUMMYFUNCTION("""COMPUTED_VALUE"""),"Edmonton, AB and Oslo &amp; Bergen, Norway")</f>
        <v/>
      </c>
      <c r="K4645">
        <f>IFERROR(__xludf.DUMMYFUNCTION("""COMPUTED_VALUE"""),9496.35)</f>
        <v/>
      </c>
    </row>
    <row r="4646">
      <c r="J4646">
        <f>IFERROR(__xludf.DUMMYFUNCTION("""COMPUTED_VALUE"""),"British Columbia, Canada")</f>
        <v/>
      </c>
      <c r="K4646">
        <f>IFERROR(__xludf.DUMMYFUNCTION("""COMPUTED_VALUE"""),9495.26)</f>
        <v/>
      </c>
    </row>
    <row r="4647">
      <c r="J4647">
        <f>IFERROR(__xludf.DUMMYFUNCTION("""COMPUTED_VALUE"""),"Oakville, Ontario")</f>
        <v/>
      </c>
      <c r="K4647">
        <f>IFERROR(__xludf.DUMMYFUNCTION("""COMPUTED_VALUE"""),9495.09)</f>
        <v/>
      </c>
    </row>
    <row r="4648">
      <c r="J4648">
        <f>IFERROR(__xludf.DUMMYFUNCTION("""COMPUTED_VALUE"""),"Greece, Austria, Belgium and Lithuania")</f>
        <v/>
      </c>
      <c r="K4648">
        <f>IFERROR(__xludf.DUMMYFUNCTION("""COMPUTED_VALUE"""),9493.69)</f>
        <v/>
      </c>
    </row>
    <row r="4649">
      <c r="J4649">
        <f>IFERROR(__xludf.DUMMYFUNCTION("""COMPUTED_VALUE"""),"Tokyo, Japan and Seoul, Republic of Korea")</f>
        <v/>
      </c>
      <c r="K4649">
        <f>IFERROR(__xludf.DUMMYFUNCTION("""COMPUTED_VALUE"""),9489.39)</f>
        <v/>
      </c>
    </row>
    <row r="4650">
      <c r="J4650">
        <f>IFERROR(__xludf.DUMMYFUNCTION("""COMPUTED_VALUE"""),"Hamburg, Germany  New York, USA")</f>
        <v/>
      </c>
      <c r="K4650">
        <f>IFERROR(__xludf.DUMMYFUNCTION("""COMPUTED_VALUE"""),9486.81)</f>
        <v/>
      </c>
    </row>
    <row r="4651">
      <c r="J4651">
        <f>IFERROR(__xludf.DUMMYFUNCTION("""COMPUTED_VALUE"""),"Quttinirpaaq, Nunavut")</f>
        <v/>
      </c>
      <c r="K4651">
        <f>IFERROR(__xludf.DUMMYFUNCTION("""COMPUTED_VALUE"""),9484.93)</f>
        <v/>
      </c>
    </row>
    <row r="4652">
      <c r="J4652">
        <f>IFERROR(__xludf.DUMMYFUNCTION("""COMPUTED_VALUE"""),"Edmonton, Saskatoon, Winnipeg")</f>
        <v/>
      </c>
      <c r="K4652">
        <f>IFERROR(__xludf.DUMMYFUNCTION("""COMPUTED_VALUE"""),9484.74)</f>
        <v/>
      </c>
    </row>
    <row r="4653">
      <c r="J4653">
        <f>IFERROR(__xludf.DUMMYFUNCTION("""COMPUTED_VALUE"""),"Turkey, Egypt, Tunis")</f>
        <v/>
      </c>
      <c r="K4653">
        <f>IFERROR(__xludf.DUMMYFUNCTION("""COMPUTED_VALUE"""),9484.17)</f>
        <v/>
      </c>
    </row>
    <row r="4654">
      <c r="J4654">
        <f>IFERROR(__xludf.DUMMYFUNCTION("""COMPUTED_VALUE"""),"Geneva - Brussels")</f>
        <v/>
      </c>
      <c r="K4654">
        <f>IFERROR(__xludf.DUMMYFUNCTION("""COMPUTED_VALUE"""),9483.1)</f>
        <v/>
      </c>
    </row>
    <row r="4655">
      <c r="J4655">
        <f>IFERROR(__xludf.DUMMYFUNCTION("""COMPUTED_VALUE"""),"New York City, New York, USA")</f>
        <v/>
      </c>
      <c r="K4655">
        <f>IFERROR(__xludf.DUMMYFUNCTION("""COMPUTED_VALUE"""),9481.56)</f>
        <v/>
      </c>
    </row>
    <row r="4656">
      <c r="J4656">
        <f>IFERROR(__xludf.DUMMYFUNCTION("""COMPUTED_VALUE"""),"Edmonton - Calgary, AB")</f>
        <v/>
      </c>
      <c r="K4656">
        <f>IFERROR(__xludf.DUMMYFUNCTION("""COMPUTED_VALUE"""),9481.43)</f>
        <v/>
      </c>
    </row>
    <row r="4657">
      <c r="J4657">
        <f>IFERROR(__xludf.DUMMYFUNCTION("""COMPUTED_VALUE"""),"Copenhagen, Denmark
Brussels, Belgium
Paris, France")</f>
        <v/>
      </c>
      <c r="K4657">
        <f>IFERROR(__xludf.DUMMYFUNCTION("""COMPUTED_VALUE"""),9474.85)</f>
        <v/>
      </c>
    </row>
    <row r="4658">
      <c r="J4658">
        <f>IFERROR(__xludf.DUMMYFUNCTION("""COMPUTED_VALUE"""),"Germany, Russia, Norway and France")</f>
        <v/>
      </c>
      <c r="K4658">
        <f>IFERROR(__xludf.DUMMYFUNCTION("""COMPUTED_VALUE"""),9470.61)</f>
        <v/>
      </c>
    </row>
    <row r="4659">
      <c r="J4659">
        <f>IFERROR(__xludf.DUMMYFUNCTION("""COMPUTED_VALUE"""),"Sophia, Bulgaria, Brussels and Belgium")</f>
        <v/>
      </c>
      <c r="K4659">
        <f>IFERROR(__xludf.DUMMYFUNCTION("""COMPUTED_VALUE"""),9470.32)</f>
        <v/>
      </c>
    </row>
    <row r="4660">
      <c r="J4660">
        <f>IFERROR(__xludf.DUMMYFUNCTION("""COMPUTED_VALUE"""),"Lisbon (Portugal) and Paris (France)")</f>
        <v/>
      </c>
      <c r="K4660">
        <f>IFERROR(__xludf.DUMMYFUNCTION("""COMPUTED_VALUE"""),9468.06)</f>
        <v/>
      </c>
    </row>
    <row r="4661">
      <c r="J4661">
        <f>IFERROR(__xludf.DUMMYFUNCTION("""COMPUTED_VALUE"""),"Calgary, Alberta, Canada; Victoria, British Columbia, Canada")</f>
        <v/>
      </c>
      <c r="K4661">
        <f>IFERROR(__xludf.DUMMYFUNCTION("""COMPUTED_VALUE"""),9467.05)</f>
        <v/>
      </c>
    </row>
    <row r="4662">
      <c r="J4662">
        <f>IFERROR(__xludf.DUMMYFUNCTION("""COMPUTED_VALUE"""),"Santo Domingo, Dominican Republic and Port-au-Prince, Haiti")</f>
        <v/>
      </c>
      <c r="K4662">
        <f>IFERROR(__xludf.DUMMYFUNCTION("""COMPUTED_VALUE"""),9465.14)</f>
        <v/>
      </c>
    </row>
    <row r="4663">
      <c r="J4663">
        <f>IFERROR(__xludf.DUMMYFUNCTION("""COMPUTED_VALUE"""),"Abbotsford, BC and Edmonton, AB")</f>
        <v/>
      </c>
      <c r="K4663">
        <f>IFERROR(__xludf.DUMMYFUNCTION("""COMPUTED_VALUE"""),9463.24)</f>
        <v/>
      </c>
    </row>
    <row r="4664">
      <c r="J4664">
        <f>IFERROR(__xludf.DUMMYFUNCTION("""COMPUTED_VALUE"""),"Jakarta ( Indonesia) and Singapore")</f>
        <v/>
      </c>
      <c r="K4664">
        <f>IFERROR(__xludf.DUMMYFUNCTION("""COMPUTED_VALUE"""),9460.34)</f>
        <v/>
      </c>
    </row>
    <row r="4665">
      <c r="J4665">
        <f>IFERROR(__xludf.DUMMYFUNCTION("""COMPUTED_VALUE"""),"Copenhagen, Denmark / Brussels, Belgium")</f>
        <v/>
      </c>
      <c r="K4665">
        <f>IFERROR(__xludf.DUMMYFUNCTION("""COMPUTED_VALUE"""),9459.63)</f>
        <v/>
      </c>
    </row>
    <row r="4666">
      <c r="J4666">
        <f>IFERROR(__xludf.DUMMYFUNCTION("""COMPUTED_VALUE"""),"Ankara, Turkey / Vienna, Austria")</f>
        <v/>
      </c>
      <c r="K4666">
        <f>IFERROR(__xludf.DUMMYFUNCTION("""COMPUTED_VALUE"""),9457.55)</f>
        <v/>
      </c>
    </row>
    <row r="4667">
      <c r="J4667">
        <f>IFERROR(__xludf.DUMMYFUNCTION("""COMPUTED_VALUE"""),"Sofia, Bulgaria and Brussels, Belgium")</f>
        <v/>
      </c>
      <c r="K4667">
        <f>IFERROR(__xludf.DUMMYFUNCTION("""COMPUTED_VALUE"""),9456.18)</f>
        <v/>
      </c>
    </row>
    <row r="4668">
      <c r="J4668">
        <f>IFERROR(__xludf.DUMMYFUNCTION("""COMPUTED_VALUE"""),"Washington (DC) USA and Calgary (Alberta) Camada")</f>
        <v/>
      </c>
      <c r="K4668">
        <f>IFERROR(__xludf.DUMMYFUNCTION("""COMPUTED_VALUE"""),9455.62)</f>
        <v/>
      </c>
    </row>
    <row r="4669">
      <c r="J4669">
        <f>IFERROR(__xludf.DUMMYFUNCTION("""COMPUTED_VALUE"""),"Buenos Aires, Cordoba - Argentina")</f>
        <v/>
      </c>
      <c r="K4669">
        <f>IFERROR(__xludf.DUMMYFUNCTION("""COMPUTED_VALUE"""),9454.99)</f>
        <v/>
      </c>
    </row>
    <row r="4670">
      <c r="J4670">
        <f>IFERROR(__xludf.DUMMYFUNCTION("""COMPUTED_VALUE"""),"Winnipeg, MB; Buenos Aires, Argentina")</f>
        <v/>
      </c>
      <c r="K4670">
        <f>IFERROR(__xludf.DUMMYFUNCTION("""COMPUTED_VALUE"""),9454.29)</f>
        <v/>
      </c>
    </row>
    <row r="4671">
      <c r="J4671">
        <f>IFERROR(__xludf.DUMMYFUNCTION("""COMPUTED_VALUE"""),"Calgary, AB - Vancouver, BC")</f>
        <v/>
      </c>
      <c r="K4671">
        <f>IFERROR(__xludf.DUMMYFUNCTION("""COMPUTED_VALUE"""),9447.55)</f>
        <v/>
      </c>
    </row>
    <row r="4672">
      <c r="J4672">
        <f>IFERROR(__xludf.DUMMYFUNCTION("""COMPUTED_VALUE"""),"Budapest, Hungary and Vienna, Austria")</f>
        <v/>
      </c>
      <c r="K4672">
        <f>IFERROR(__xludf.DUMMYFUNCTION("""COMPUTED_VALUE"""),9446.27)</f>
        <v/>
      </c>
    </row>
    <row r="4673">
      <c r="J4673">
        <f>IFERROR(__xludf.DUMMYFUNCTION("""COMPUTED_VALUE"""),"Regina, Saskatoon")</f>
        <v/>
      </c>
      <c r="K4673">
        <f>IFERROR(__xludf.DUMMYFUNCTION("""COMPUTED_VALUE"""),9446.18999999999)</f>
        <v/>
      </c>
    </row>
    <row r="4674">
      <c r="J4674">
        <f>IFERROR(__xludf.DUMMYFUNCTION("""COMPUTED_VALUE"""),"New Orleans, USA")</f>
        <v/>
      </c>
      <c r="K4674">
        <f>IFERROR(__xludf.DUMMYFUNCTION("""COMPUTED_VALUE"""),9441.4)</f>
        <v/>
      </c>
    </row>
    <row r="4675">
      <c r="J4675">
        <f>IFERROR(__xludf.DUMMYFUNCTION("""COMPUTED_VALUE"""),"Wiesbaden, Germany and Amman, Jordan")</f>
        <v/>
      </c>
      <c r="K4675">
        <f>IFERROR(__xludf.DUMMYFUNCTION("""COMPUTED_VALUE"""),9436.22)</f>
        <v/>
      </c>
    </row>
    <row r="4676">
      <c r="J4676">
        <f>IFERROR(__xludf.DUMMYFUNCTION("""COMPUTED_VALUE"""),"Chalk River, Ontario, Whiteshell, Manitoba, and Vienna, Austria")</f>
        <v/>
      </c>
      <c r="K4676">
        <f>IFERROR(__xludf.DUMMYFUNCTION("""COMPUTED_VALUE"""),9436.05)</f>
        <v/>
      </c>
    </row>
    <row r="4677">
      <c r="J4677">
        <f>IFERROR(__xludf.DUMMYFUNCTION("""COMPUTED_VALUE"""),"Saskatoon, Saskatchewan, Canada - Northern Saskatchewan, Saskatchewan; Toronto, Ontario, Canada")</f>
        <v/>
      </c>
      <c r="K4677">
        <f>IFERROR(__xludf.DUMMYFUNCTION("""COMPUTED_VALUE"""),9435.24)</f>
        <v/>
      </c>
    </row>
    <row r="4678">
      <c r="J4678">
        <f>IFERROR(__xludf.DUMMYFUNCTION("""COMPUTED_VALUE"""),"London, England / Berlin, Germany / Geneva, Switzerland / Montréal, Quebec, Canada")</f>
        <v/>
      </c>
      <c r="K4678">
        <f>IFERROR(__xludf.DUMMYFUNCTION("""COMPUTED_VALUE"""),9433.23)</f>
        <v/>
      </c>
    </row>
    <row r="4679">
      <c r="J4679">
        <f>IFERROR(__xludf.DUMMYFUNCTION("""COMPUTED_VALUE"""),"Gatineau, Quebec and Winnipeg, Manitoba")</f>
        <v/>
      </c>
      <c r="K4679">
        <f>IFERROR(__xludf.DUMMYFUNCTION("""COMPUTED_VALUE"""),9431)</f>
        <v/>
      </c>
    </row>
    <row r="4680">
      <c r="J4680">
        <f>IFERROR(__xludf.DUMMYFUNCTION("""COMPUTED_VALUE"""),"Berlin, Germany, London, UK")</f>
        <v/>
      </c>
      <c r="K4680">
        <f>IFERROR(__xludf.DUMMYFUNCTION("""COMPUTED_VALUE"""),9430.95)</f>
        <v/>
      </c>
    </row>
    <row r="4681">
      <c r="J4681">
        <f>IFERROR(__xludf.DUMMYFUNCTION("""COMPUTED_VALUE"""),"Ottawa, ON Halifax, NS")</f>
        <v/>
      </c>
      <c r="K4681">
        <f>IFERROR(__xludf.DUMMYFUNCTION("""COMPUTED_VALUE"""),9430.08)</f>
        <v/>
      </c>
    </row>
    <row r="4682">
      <c r="J4682">
        <f>IFERROR(__xludf.DUMMYFUNCTION("""COMPUTED_VALUE"""),"Georgia-Tbilisi, United Arab Emirates-Dubai/Abu Dhabi, Kuwait")</f>
        <v/>
      </c>
      <c r="K4682">
        <f>IFERROR(__xludf.DUMMYFUNCTION("""COMPUTED_VALUE"""),9429.63)</f>
        <v/>
      </c>
    </row>
    <row r="4683">
      <c r="J4683">
        <f>IFERROR(__xludf.DUMMYFUNCTION("""COMPUTED_VALUE"""),"Paris / Tunisia")</f>
        <v/>
      </c>
      <c r="K4683">
        <f>IFERROR(__xludf.DUMMYFUNCTION("""COMPUTED_VALUE"""),9427.92)</f>
        <v/>
      </c>
    </row>
    <row r="4684">
      <c r="J4684">
        <f>IFERROR(__xludf.DUMMYFUNCTION("""COMPUTED_VALUE"""),"""Republic of Senegal Republic of Mali Burkina Faso""")</f>
        <v/>
      </c>
      <c r="K4684">
        <f>IFERROR(__xludf.DUMMYFUNCTION("""COMPUTED_VALUE"""),9427.65)</f>
        <v/>
      </c>
    </row>
    <row r="4685">
      <c r="J4685">
        <f>IFERROR(__xludf.DUMMYFUNCTION("""COMPUTED_VALUE"""),"Brasilia, Brazil, South America")</f>
        <v/>
      </c>
      <c r="K4685">
        <f>IFERROR(__xludf.DUMMYFUNCTION("""COMPUTED_VALUE"""),9424.43)</f>
        <v/>
      </c>
    </row>
    <row r="4686">
      <c r="J4686">
        <f>IFERROR(__xludf.DUMMYFUNCTION("""COMPUTED_VALUE"""),"Gênes, Italy")</f>
        <v/>
      </c>
      <c r="K4686">
        <f>IFERROR(__xludf.DUMMYFUNCTION("""COMPUTED_VALUE"""),9423.98)</f>
        <v/>
      </c>
    </row>
    <row r="4687">
      <c r="J4687">
        <f>IFERROR(__xludf.DUMMYFUNCTION("""COMPUTED_VALUE"""),"Kochi, India")</f>
        <v/>
      </c>
      <c r="K4687">
        <f>IFERROR(__xludf.DUMMYFUNCTION("""COMPUTED_VALUE"""),9423.85)</f>
        <v/>
      </c>
    </row>
    <row r="4688">
      <c r="J4688">
        <f>IFERROR(__xludf.DUMMYFUNCTION("""COMPUTED_VALUE"""),"Victoria, BC and Paris, France")</f>
        <v/>
      </c>
      <c r="K4688">
        <f>IFERROR(__xludf.DUMMYFUNCTION("""COMPUTED_VALUE"""),9411.89)</f>
        <v/>
      </c>
    </row>
    <row r="4689">
      <c r="J4689">
        <f>IFERROR(__xludf.DUMMYFUNCTION("""COMPUTED_VALUE"""),"Geneva, (Switzerland)")</f>
        <v/>
      </c>
      <c r="K4689">
        <f>IFERROR(__xludf.DUMMYFUNCTION("""COMPUTED_VALUE"""),9409.27999999999)</f>
        <v/>
      </c>
    </row>
    <row r="4690">
      <c r="J4690">
        <f>IFERROR(__xludf.DUMMYFUNCTION("""COMPUTED_VALUE"""),"South Africa, Kenya / Maputo, Mozambique")</f>
        <v/>
      </c>
      <c r="K4690">
        <f>IFERROR(__xludf.DUMMYFUNCTION("""COMPUTED_VALUE"""),9408.94)</f>
        <v/>
      </c>
    </row>
    <row r="4691">
      <c r="J4691">
        <f>IFERROR(__xludf.DUMMYFUNCTION("""COMPUTED_VALUE"""),"La Serena, Chili")</f>
        <v/>
      </c>
      <c r="K4691">
        <f>IFERROR(__xludf.DUMMYFUNCTION("""COMPUTED_VALUE"""),9407.61)</f>
        <v/>
      </c>
    </row>
    <row r="4692">
      <c r="J4692">
        <f>IFERROR(__xludf.DUMMYFUNCTION("""COMPUTED_VALUE"""),"La Ronge, Saskatchewan, Canada")</f>
        <v/>
      </c>
      <c r="K4692">
        <f>IFERROR(__xludf.DUMMYFUNCTION("""COMPUTED_VALUE"""),9405.18999999999)</f>
        <v/>
      </c>
    </row>
    <row r="4693">
      <c r="J4693">
        <f>IFERROR(__xludf.DUMMYFUNCTION("""COMPUTED_VALUE"""),"London, Paris, Amman and Tel Aviv")</f>
        <v/>
      </c>
      <c r="K4693">
        <f>IFERROR(__xludf.DUMMYFUNCTION("""COMPUTED_VALUE"""),9402.18)</f>
        <v/>
      </c>
    </row>
    <row r="4694">
      <c r="J4694">
        <f>IFERROR(__xludf.DUMMYFUNCTION("""COMPUTED_VALUE"""),"Dorval, Quebec")</f>
        <v/>
      </c>
      <c r="K4694">
        <f>IFERROR(__xludf.DUMMYFUNCTION("""COMPUTED_VALUE"""),9400.52)</f>
        <v/>
      </c>
    </row>
    <row r="4695">
      <c r="J4695">
        <f>IFERROR(__xludf.DUMMYFUNCTION("""COMPUTED_VALUE"""),"Rome, Italy; Paris, France")</f>
        <v/>
      </c>
      <c r="K4695">
        <f>IFERROR(__xludf.DUMMYFUNCTION("""COMPUTED_VALUE"""),9399.35)</f>
        <v/>
      </c>
    </row>
    <row r="4696">
      <c r="J4696">
        <f>IFERROR(__xludf.DUMMYFUNCTION("""COMPUTED_VALUE"""),"Toronto, ON - Washington D.C., USA")</f>
        <v/>
      </c>
      <c r="K4696">
        <f>IFERROR(__xludf.DUMMYFUNCTION("""COMPUTED_VALUE"""),9398.75999999999)</f>
        <v/>
      </c>
    </row>
    <row r="4697">
      <c r="J4697">
        <f>IFERROR(__xludf.DUMMYFUNCTION("""COMPUTED_VALUE"""),"Floriana, Malta")</f>
        <v/>
      </c>
      <c r="K4697">
        <f>IFERROR(__xludf.DUMMYFUNCTION("""COMPUTED_VALUE"""),9395.91)</f>
        <v/>
      </c>
    </row>
    <row r="4698">
      <c r="J4698">
        <f>IFERROR(__xludf.DUMMYFUNCTION("""COMPUTED_VALUE"""),"Charlevoix, Quebec, Canada")</f>
        <v/>
      </c>
      <c r="K4698">
        <f>IFERROR(__xludf.DUMMYFUNCTION("""COMPUTED_VALUE"""),9388.54)</f>
        <v/>
      </c>
    </row>
    <row r="4699">
      <c r="J4699">
        <f>IFERROR(__xludf.DUMMYFUNCTION("""COMPUTED_VALUE"""),"Toronto, Ontario and Vancouver, British-Columbia")</f>
        <v/>
      </c>
      <c r="K4699">
        <f>IFERROR(__xludf.DUMMYFUNCTION("""COMPUTED_VALUE"""),9385.15)</f>
        <v/>
      </c>
    </row>
    <row r="4700">
      <c r="J4700">
        <f>IFERROR(__xludf.DUMMYFUNCTION("""COMPUTED_VALUE"""),"Beijing and Seoul, China")</f>
        <v/>
      </c>
      <c r="K4700">
        <f>IFERROR(__xludf.DUMMYFUNCTION("""COMPUTED_VALUE"""),9383.79)</f>
        <v/>
      </c>
    </row>
    <row r="4701">
      <c r="J4701">
        <f>IFERROR(__xludf.DUMMYFUNCTION("""COMPUTED_VALUE"""),"Calgary, AB - Tokyo, Japan")</f>
        <v/>
      </c>
      <c r="K4701">
        <f>IFERROR(__xludf.DUMMYFUNCTION("""COMPUTED_VALUE"""),9381.98)</f>
        <v/>
      </c>
    </row>
    <row r="4702">
      <c r="J4702">
        <f>IFERROR(__xludf.DUMMYFUNCTION("""COMPUTED_VALUE"""),"Fredericton and Moncton, New Brunswick")</f>
        <v/>
      </c>
      <c r="K4702">
        <f>IFERROR(__xludf.DUMMYFUNCTION("""COMPUTED_VALUE"""),9377.48)</f>
        <v/>
      </c>
    </row>
    <row r="4703">
      <c r="J4703">
        <f>IFERROR(__xludf.DUMMYFUNCTION("""COMPUTED_VALUE"""),"Tokyo / Vancouver")</f>
        <v/>
      </c>
      <c r="K4703">
        <f>IFERROR(__xludf.DUMMYFUNCTION("""COMPUTED_VALUE"""),9375.11)</f>
        <v/>
      </c>
    </row>
    <row r="4704">
      <c r="J4704">
        <f>IFERROR(__xludf.DUMMYFUNCTION("""COMPUTED_VALUE"""),"San Francisco, US")</f>
        <v/>
      </c>
      <c r="K4704">
        <f>IFERROR(__xludf.DUMMYFUNCTION("""COMPUTED_VALUE"""),9371.9)</f>
        <v/>
      </c>
    </row>
    <row r="4705">
      <c r="J4705">
        <f>IFERROR(__xludf.DUMMYFUNCTION("""COMPUTED_VALUE"""),"Beijing, Qingdao, Shanghai, Nanjing, Guangzhou, China and Hong Kong")</f>
        <v/>
      </c>
      <c r="K4705">
        <f>IFERROR(__xludf.DUMMYFUNCTION("""COMPUTED_VALUE"""),9371.66)</f>
        <v/>
      </c>
    </row>
    <row r="4706">
      <c r="J4706">
        <f>IFERROR(__xludf.DUMMYFUNCTION("""COMPUTED_VALUE"""),"Montréal, Quebec, Canada; London, United Kingdom; Rome, Italy; Calabria, Italy")</f>
        <v/>
      </c>
      <c r="K4706">
        <f>IFERROR(__xludf.DUMMYFUNCTION("""COMPUTED_VALUE"""),9370.06)</f>
        <v/>
      </c>
    </row>
    <row r="4707">
      <c r="J4707">
        <f>IFERROR(__xludf.DUMMYFUNCTION("""COMPUTED_VALUE"""),"Regina, Saskatchewan, Canada; Winnipeg, Manitoba, Canada; Vancouver, British Columbia, Canada")</f>
        <v/>
      </c>
      <c r="K4707">
        <f>IFERROR(__xludf.DUMMYFUNCTION("""COMPUTED_VALUE"""),9369.96)</f>
        <v/>
      </c>
    </row>
    <row r="4708">
      <c r="J4708">
        <f>IFERROR(__xludf.DUMMYFUNCTION("""COMPUTED_VALUE"""),"Montreal, Quebec, Canada / Paris, France / Moscow, Russia / Vienna, Austria / Delhi, India")</f>
        <v/>
      </c>
      <c r="K4708">
        <f>IFERROR(__xludf.DUMMYFUNCTION("""COMPUTED_VALUE"""),9369.86)</f>
        <v/>
      </c>
    </row>
    <row r="4709">
      <c r="J4709">
        <f>IFERROR(__xludf.DUMMYFUNCTION("""COMPUTED_VALUE"""),"UK/Romania")</f>
        <v/>
      </c>
      <c r="K4709">
        <f>IFERROR(__xludf.DUMMYFUNCTION("""COMPUTED_VALUE"""),9366.3)</f>
        <v/>
      </c>
    </row>
    <row r="4710">
      <c r="J4710">
        <f>IFERROR(__xludf.DUMMYFUNCTION("""COMPUTED_VALUE"""),"Oklahoma City, Oklahoma, USA")</f>
        <v/>
      </c>
      <c r="K4710">
        <f>IFERROR(__xludf.DUMMYFUNCTION("""COMPUTED_VALUE"""),9366.12)</f>
        <v/>
      </c>
    </row>
    <row r="4711">
      <c r="J4711">
        <f>IFERROR(__xludf.DUMMYFUNCTION("""COMPUTED_VALUE"""),"Seoul, Republic of Korea (South) and Tokyo, Japan")</f>
        <v/>
      </c>
      <c r="K4711">
        <f>IFERROR(__xludf.DUMMYFUNCTION("""COMPUTED_VALUE"""),9360.91)</f>
        <v/>
      </c>
    </row>
    <row r="4712">
      <c r="J4712">
        <f>IFERROR(__xludf.DUMMYFUNCTION("""COMPUTED_VALUE"""),"Berlin, DE / London-Windsor, GB")</f>
        <v/>
      </c>
      <c r="K4712">
        <f>IFERROR(__xludf.DUMMYFUNCTION("""COMPUTED_VALUE"""),9359.42)</f>
        <v/>
      </c>
    </row>
    <row r="4713">
      <c r="J4713">
        <f>IFERROR(__xludf.DUMMYFUNCTION("""COMPUTED_VALUE"""),"Brussels, Belgium/Via Vittorio Veneto, Rome")</f>
        <v/>
      </c>
      <c r="K4713">
        <f>IFERROR(__xludf.DUMMYFUNCTION("""COMPUTED_VALUE"""),9358.34)</f>
        <v/>
      </c>
    </row>
    <row r="4714">
      <c r="J4714">
        <f>IFERROR(__xludf.DUMMYFUNCTION("""COMPUTED_VALUE"""),"Rabat, Morroco")</f>
        <v/>
      </c>
      <c r="K4714">
        <f>IFERROR(__xludf.DUMMYFUNCTION("""COMPUTED_VALUE"""),9357.92)</f>
        <v/>
      </c>
    </row>
    <row r="4715">
      <c r="J4715">
        <f>IFERROR(__xludf.DUMMYFUNCTION("""COMPUTED_VALUE"""),"Edmonton, AB and Sopron, Hungary")</f>
        <v/>
      </c>
      <c r="K4715">
        <f>IFERROR(__xludf.DUMMYFUNCTION("""COMPUTED_VALUE"""),9357.07)</f>
        <v/>
      </c>
    </row>
    <row r="4716">
      <c r="J4716">
        <f>IFERROR(__xludf.DUMMYFUNCTION("""COMPUTED_VALUE"""),"Paris, France, Geneva, Switzerland")</f>
        <v/>
      </c>
      <c r="K4716">
        <f>IFERROR(__xludf.DUMMYFUNCTION("""COMPUTED_VALUE"""),9356.59)</f>
        <v/>
      </c>
    </row>
    <row r="4717">
      <c r="J4717">
        <f>IFERROR(__xludf.DUMMYFUNCTION("""COMPUTED_VALUE"""),"Philadelphia and New York")</f>
        <v/>
      </c>
      <c r="K4717">
        <f>IFERROR(__xludf.DUMMYFUNCTION("""COMPUTED_VALUE"""),9355.76)</f>
        <v/>
      </c>
    </row>
    <row r="4718">
      <c r="J4718">
        <f>IFERROR(__xludf.DUMMYFUNCTION("""COMPUTED_VALUE"""),"Vancouver, British Columbia; Winnipeg, Manitoba, Canada")</f>
        <v/>
      </c>
      <c r="K4718">
        <f>IFERROR(__xludf.DUMMYFUNCTION("""COMPUTED_VALUE"""),9355.64)</f>
        <v/>
      </c>
    </row>
    <row r="4719">
      <c r="J4719">
        <f>IFERROR(__xludf.DUMMYFUNCTION("""COMPUTED_VALUE"""),"Nur-Sultan &amp; Almaty, KAZAKHSTAN")</f>
        <v/>
      </c>
      <c r="K4719">
        <f>IFERROR(__xludf.DUMMYFUNCTION("""COMPUTED_VALUE"""),9352.74)</f>
        <v/>
      </c>
    </row>
    <row r="4720">
      <c r="J4720">
        <f>IFERROR(__xludf.DUMMYFUNCTION("""COMPUTED_VALUE"""),"Seoul, Shanghai and Beijing")</f>
        <v/>
      </c>
      <c r="K4720">
        <f>IFERROR(__xludf.DUMMYFUNCTION("""COMPUTED_VALUE"""),9351.61)</f>
        <v/>
      </c>
    </row>
    <row r="4721">
      <c r="J4721">
        <f>IFERROR(__xludf.DUMMYFUNCTION("""COMPUTED_VALUE"""),"London, UK and Paris, FR")</f>
        <v/>
      </c>
      <c r="K4721">
        <f>IFERROR(__xludf.DUMMYFUNCTION("""COMPUTED_VALUE"""),9350.18)</f>
        <v/>
      </c>
    </row>
    <row r="4722">
      <c r="J4722">
        <f>IFERROR(__xludf.DUMMYFUNCTION("""COMPUTED_VALUE"""),"Lisbon Portugal")</f>
        <v/>
      </c>
      <c r="K4722">
        <f>IFERROR(__xludf.DUMMYFUNCTION("""COMPUTED_VALUE"""),9350.04)</f>
        <v/>
      </c>
    </row>
    <row r="4723">
      <c r="J4723">
        <f>IFERROR(__xludf.DUMMYFUNCTION("""COMPUTED_VALUE"""),"ds")</f>
        <v/>
      </c>
      <c r="K4723">
        <f>IFERROR(__xludf.DUMMYFUNCTION("""COMPUTED_VALUE"""),9350)</f>
        <v/>
      </c>
    </row>
    <row r="4724">
      <c r="J4724">
        <f>IFERROR(__xludf.DUMMYFUNCTION("""COMPUTED_VALUE"""),"China et Taiwan")</f>
        <v/>
      </c>
      <c r="K4724">
        <f>IFERROR(__xludf.DUMMYFUNCTION("""COMPUTED_VALUE"""),9349.14)</f>
        <v/>
      </c>
    </row>
    <row r="4725">
      <c r="J4725">
        <f>IFERROR(__xludf.DUMMYFUNCTION("""COMPUTED_VALUE"""),"Krakow (Poland) and Washington DC (USA)")</f>
        <v/>
      </c>
      <c r="K4725">
        <f>IFERROR(__xludf.DUMMYFUNCTION("""COMPUTED_VALUE"""),9347.74)</f>
        <v/>
      </c>
    </row>
    <row r="4726">
      <c r="J4726">
        <f>IFERROR(__xludf.DUMMYFUNCTION("""COMPUTED_VALUE"""),"Lisbon")</f>
        <v/>
      </c>
      <c r="K4726">
        <f>IFERROR(__xludf.DUMMYFUNCTION("""COMPUTED_VALUE"""),9347.31)</f>
        <v/>
      </c>
    </row>
    <row r="4727">
      <c r="J4727">
        <f>IFERROR(__xludf.DUMMYFUNCTION("""COMPUTED_VALUE"""),"San Francisco, CA / Vancouver, BC")</f>
        <v/>
      </c>
      <c r="K4727">
        <f>IFERROR(__xludf.DUMMYFUNCTION("""COMPUTED_VALUE"""),9346.61999999999)</f>
        <v/>
      </c>
    </row>
    <row r="4728">
      <c r="J4728">
        <f>IFERROR(__xludf.DUMMYFUNCTION("""COMPUTED_VALUE"""),"CHARLOTTETOWN PE")</f>
        <v/>
      </c>
      <c r="K4728">
        <f>IFERROR(__xludf.DUMMYFUNCTION("""COMPUTED_VALUE"""),9346.36999999999)</f>
        <v/>
      </c>
    </row>
    <row r="4729">
      <c r="J4729">
        <f>IFERROR(__xludf.DUMMYFUNCTION("""COMPUTED_VALUE"""),"Vancouver, Britsh Columbia, Canada")</f>
        <v/>
      </c>
      <c r="K4729">
        <f>IFERROR(__xludf.DUMMYFUNCTION("""COMPUTED_VALUE"""),9345.11999999999)</f>
        <v/>
      </c>
    </row>
    <row r="4730">
      <c r="J4730">
        <f>IFERROR(__xludf.DUMMYFUNCTION("""COMPUTED_VALUE"""),"Brandon, Manitoba")</f>
        <v/>
      </c>
      <c r="K4730">
        <f>IFERROR(__xludf.DUMMYFUNCTION("""COMPUTED_VALUE"""),9341.88)</f>
        <v/>
      </c>
    </row>
    <row r="4731">
      <c r="J4731">
        <f>IFERROR(__xludf.DUMMYFUNCTION("""COMPUTED_VALUE"""),"Brasil")</f>
        <v/>
      </c>
      <c r="K4731">
        <f>IFERROR(__xludf.DUMMYFUNCTION("""COMPUTED_VALUE"""),9339.64)</f>
        <v/>
      </c>
    </row>
    <row r="4732">
      <c r="J4732">
        <f>IFERROR(__xludf.DUMMYFUNCTION("""COMPUTED_VALUE"""),"Qingdao and Beijing, China")</f>
        <v/>
      </c>
      <c r="K4732">
        <f>IFERROR(__xludf.DUMMYFUNCTION("""COMPUTED_VALUE"""),9338.11)</f>
        <v/>
      </c>
    </row>
    <row r="4733">
      <c r="J4733">
        <f>IFERROR(__xludf.DUMMYFUNCTION("""COMPUTED_VALUE"""),"London - Paris")</f>
        <v/>
      </c>
      <c r="K4733">
        <f>IFERROR(__xludf.DUMMYFUNCTION("""COMPUTED_VALUE"""),9336.71)</f>
        <v/>
      </c>
    </row>
    <row r="4734">
      <c r="J4734">
        <f>IFERROR(__xludf.DUMMYFUNCTION("""COMPUTED_VALUE"""),"Fredericton, NB St.John's, NL")</f>
        <v/>
      </c>
      <c r="K4734">
        <f>IFERROR(__xludf.DUMMYFUNCTION("""COMPUTED_VALUE"""),9333.36999999999)</f>
        <v/>
      </c>
    </row>
    <row r="4735">
      <c r="J4735">
        <f>IFERROR(__xludf.DUMMYFUNCTION("""COMPUTED_VALUE"""),"Edmonton, Alberta Saskatoon, Saskatchewan, Canada")</f>
        <v/>
      </c>
      <c r="K4735">
        <f>IFERROR(__xludf.DUMMYFUNCTION("""COMPUTED_VALUE"""),9330)</f>
        <v/>
      </c>
    </row>
    <row r="4736">
      <c r="J4736">
        <f>IFERROR(__xludf.DUMMYFUNCTION("""COMPUTED_VALUE"""),"London, United Kingdom, Paris, France, Toronto, ON")</f>
        <v/>
      </c>
      <c r="K4736">
        <f>IFERROR(__xludf.DUMMYFUNCTION("""COMPUTED_VALUE"""),9327.06)</f>
        <v/>
      </c>
    </row>
    <row r="4737">
      <c r="J4737">
        <f>IFERROR(__xludf.DUMMYFUNCTION("""COMPUTED_VALUE"""),"Vancouver/Brussels/Vancouver")</f>
        <v/>
      </c>
      <c r="K4737">
        <f>IFERROR(__xludf.DUMMYFUNCTION("""COMPUTED_VALUE"""),9325.64)</f>
        <v/>
      </c>
    </row>
    <row r="4738">
      <c r="J4738">
        <f>IFERROR(__xludf.DUMMYFUNCTION("""COMPUTED_VALUE"""),"Hong Kong, Beijing and Tianjin, China")</f>
        <v/>
      </c>
      <c r="K4738">
        <f>IFERROR(__xludf.DUMMYFUNCTION("""COMPUTED_VALUE"""),9321.74)</f>
        <v/>
      </c>
    </row>
    <row r="4739">
      <c r="J4739">
        <f>IFERROR(__xludf.DUMMYFUNCTION("""COMPUTED_VALUE"""),"London, United Kingdom.")</f>
        <v/>
      </c>
      <c r="K4739">
        <f>IFERROR(__xludf.DUMMYFUNCTION("""COMPUTED_VALUE"""),9320.23)</f>
        <v/>
      </c>
    </row>
    <row r="4740">
      <c r="J4740">
        <f>IFERROR(__xludf.DUMMYFUNCTION("""COMPUTED_VALUE"""),"Ottawa - Canada / Washington - USA / Toronto - Canada")</f>
        <v/>
      </c>
      <c r="K4740">
        <f>IFERROR(__xludf.DUMMYFUNCTION("""COMPUTED_VALUE"""),9317.92)</f>
        <v/>
      </c>
    </row>
    <row r="4741">
      <c r="J4741">
        <f>IFERROR(__xludf.DUMMYFUNCTION("""COMPUTED_VALUE"""),"Montreal/New York/Ottawa/Toronto")</f>
        <v/>
      </c>
      <c r="K4741">
        <f>IFERROR(__xludf.DUMMYFUNCTION("""COMPUTED_VALUE"""),9317.67)</f>
        <v/>
      </c>
    </row>
    <row r="4742">
      <c r="J4742">
        <f>IFERROR(__xludf.DUMMYFUNCTION("""COMPUTED_VALUE"""),"Washington, United States; New York, United States")</f>
        <v/>
      </c>
      <c r="K4742">
        <f>IFERROR(__xludf.DUMMYFUNCTION("""COMPUTED_VALUE"""),9316.62)</f>
        <v/>
      </c>
    </row>
    <row r="4743">
      <c r="J4743">
        <f>IFERROR(__xludf.DUMMYFUNCTION("""COMPUTED_VALUE"""),"Saskatoon, Saskatchewan, Canada / Toronto, Ontario, Canada / Washington, District of Columbia, United States / Bromont, Quebec, Canada")</f>
        <v/>
      </c>
      <c r="K4743">
        <f>IFERROR(__xludf.DUMMYFUNCTION("""COMPUTED_VALUE"""),9316.28)</f>
        <v/>
      </c>
    </row>
    <row r="4744">
      <c r="J4744">
        <f>IFERROR(__xludf.DUMMYFUNCTION("""COMPUTED_VALUE"""),"Vitoria-Gasteiz, Spain")</f>
        <v/>
      </c>
      <c r="K4744">
        <f>IFERROR(__xludf.DUMMYFUNCTION("""COMPUTED_VALUE"""),9311.4)</f>
        <v/>
      </c>
    </row>
    <row r="4745">
      <c r="J4745">
        <f>IFERROR(__xludf.DUMMYFUNCTION("""COMPUTED_VALUE"""),"Regina, Saskatchewan, Vancouver, British Columbia")</f>
        <v/>
      </c>
      <c r="K4745">
        <f>IFERROR(__xludf.DUMMYFUNCTION("""COMPUTED_VALUE"""),9310.52)</f>
        <v/>
      </c>
    </row>
    <row r="4746">
      <c r="J4746">
        <f>IFERROR(__xludf.DUMMYFUNCTION("""COMPUTED_VALUE"""),"Hanoi, Vietnam / Tokyo, Japan")</f>
        <v/>
      </c>
      <c r="K4746">
        <f>IFERROR(__xludf.DUMMYFUNCTION("""COMPUTED_VALUE"""),9308.73)</f>
        <v/>
      </c>
    </row>
    <row r="4747">
      <c r="J4747">
        <f>IFERROR(__xludf.DUMMYFUNCTION("""COMPUTED_VALUE"""),"Sao Polo, Brazil")</f>
        <v/>
      </c>
      <c r="K4747">
        <f>IFERROR(__xludf.DUMMYFUNCTION("""COMPUTED_VALUE"""),9307.79)</f>
        <v/>
      </c>
    </row>
    <row r="4748">
      <c r="J4748">
        <f>IFERROR(__xludf.DUMMYFUNCTION("""COMPUTED_VALUE"""),"Hangzhou, CN / Shanghai, CN")</f>
        <v/>
      </c>
      <c r="K4748">
        <f>IFERROR(__xludf.DUMMYFUNCTION("""COMPUTED_VALUE"""),9305.94)</f>
        <v/>
      </c>
    </row>
    <row r="4749">
      <c r="J4749">
        <f>IFERROR(__xludf.DUMMYFUNCTION("""COMPUTED_VALUE"""),"Edmonton,Calgary, Victoria and Vancouver")</f>
        <v/>
      </c>
      <c r="K4749">
        <f>IFERROR(__xludf.DUMMYFUNCTION("""COMPUTED_VALUE"""),9304.39)</f>
        <v/>
      </c>
    </row>
    <row r="4750">
      <c r="J4750">
        <f>IFERROR(__xludf.DUMMYFUNCTION("""COMPUTED_VALUE"""),"New Delhi, India - Singapore, Singapore")</f>
        <v/>
      </c>
      <c r="K4750">
        <f>IFERROR(__xludf.DUMMYFUNCTION("""COMPUTED_VALUE"""),9302.74)</f>
        <v/>
      </c>
    </row>
    <row r="4751">
      <c r="J4751">
        <f>IFERROR(__xludf.DUMMYFUNCTION("""COMPUTED_VALUE"""),"Toronto, Ontario, Canada / Timmins, Ontario, Canada / Sudbury, Ontario, Canada")</f>
        <v/>
      </c>
      <c r="K4751">
        <f>IFERROR(__xludf.DUMMYFUNCTION("""COMPUTED_VALUE"""),9301.99)</f>
        <v/>
      </c>
    </row>
    <row r="4752">
      <c r="J4752">
        <f>IFERROR(__xludf.DUMMYFUNCTION("""COMPUTED_VALUE"""),"Brussels, Belgium
London, United Kingdom")</f>
        <v/>
      </c>
      <c r="K4752">
        <f>IFERROR(__xludf.DUMMYFUNCTION("""COMPUTED_VALUE"""),9301.97)</f>
        <v/>
      </c>
    </row>
    <row r="4753">
      <c r="J4753">
        <f>IFERROR(__xludf.DUMMYFUNCTION("""COMPUTED_VALUE"""),"Seoul and Busan, Korea Tokyo, Japan")</f>
        <v/>
      </c>
      <c r="K4753">
        <f>IFERROR(__xludf.DUMMYFUNCTION("""COMPUTED_VALUE"""),9300.27)</f>
        <v/>
      </c>
    </row>
    <row r="4754">
      <c r="J4754">
        <f>IFERROR(__xludf.DUMMYFUNCTION("""COMPUTED_VALUE"""),"Calgary, AB / Banff, AB / Edmonton, AB / Kelowna, BC")</f>
        <v/>
      </c>
      <c r="K4754">
        <f>IFERROR(__xludf.DUMMYFUNCTION("""COMPUTED_VALUE"""),9299.13)</f>
        <v/>
      </c>
    </row>
    <row r="4755">
      <c r="J4755">
        <f>IFERROR(__xludf.DUMMYFUNCTION("""COMPUTED_VALUE"""),"Brussels, Belgium and 
Vilnius, Lithuania")</f>
        <v/>
      </c>
      <c r="K4755">
        <f>IFERROR(__xludf.DUMMYFUNCTION("""COMPUTED_VALUE"""),9299.08)</f>
        <v/>
      </c>
    </row>
    <row r="4756">
      <c r="J4756">
        <f>IFERROR(__xludf.DUMMYFUNCTION("""COMPUTED_VALUE"""),"Vancouver, BC - Prince George, BC")</f>
        <v/>
      </c>
      <c r="K4756">
        <f>IFERROR(__xludf.DUMMYFUNCTION("""COMPUTED_VALUE"""),9295.86999999999)</f>
        <v/>
      </c>
    </row>
    <row r="4757">
      <c r="J4757">
        <f>IFERROR(__xludf.DUMMYFUNCTION("""COMPUTED_VALUE"""),"Beijing, China; Chongqing, China; Hong Kong, China")</f>
        <v/>
      </c>
      <c r="K4757">
        <f>IFERROR(__xludf.DUMMYFUNCTION("""COMPUTED_VALUE"""),9295.59)</f>
        <v/>
      </c>
    </row>
    <row r="4758">
      <c r="J4758">
        <f>IFERROR(__xludf.DUMMYFUNCTION("""COMPUTED_VALUE"""),"Philadelphia, USA")</f>
        <v/>
      </c>
      <c r="K4758">
        <f>IFERROR(__xludf.DUMMYFUNCTION("""COMPUTED_VALUE"""),9294.57)</f>
        <v/>
      </c>
    </row>
    <row r="4759">
      <c r="J4759">
        <f>IFERROR(__xludf.DUMMYFUNCTION("""COMPUTED_VALUE"""),"Winnipeg, MB and Tokyo, Japan")</f>
        <v/>
      </c>
      <c r="K4759">
        <f>IFERROR(__xludf.DUMMYFUNCTION("""COMPUTED_VALUE"""),9291.94)</f>
        <v/>
      </c>
    </row>
    <row r="4760">
      <c r="J4760">
        <f>IFERROR(__xludf.DUMMYFUNCTION("""COMPUTED_VALUE"""),"Venice, Italy / Washington DC, USA")</f>
        <v/>
      </c>
      <c r="K4760">
        <f>IFERROR(__xludf.DUMMYFUNCTION("""COMPUTED_VALUE"""),9291.81)</f>
        <v/>
      </c>
    </row>
    <row r="4761">
      <c r="J4761">
        <f>IFERROR(__xludf.DUMMYFUNCTION("""COMPUTED_VALUE"""),"Poland (Warsaw), Germany (Berlin) and Ukraine (Kyiv)")</f>
        <v/>
      </c>
      <c r="K4761">
        <f>IFERROR(__xludf.DUMMYFUNCTION("""COMPUTED_VALUE"""),9284.35)</f>
        <v/>
      </c>
    </row>
    <row r="4762">
      <c r="J4762">
        <f>IFERROR(__xludf.DUMMYFUNCTION("""COMPUTED_VALUE"""),"Helsinki, Finland and Geneva, Switzerland")</f>
        <v/>
      </c>
      <c r="K4762">
        <f>IFERROR(__xludf.DUMMYFUNCTION("""COMPUTED_VALUE"""),9283.27)</f>
        <v/>
      </c>
    </row>
    <row r="4763">
      <c r="J4763">
        <f>IFERROR(__xludf.DUMMYFUNCTION("""COMPUTED_VALUE"""),"Berlin, Frankfurt, Germany, London, England")</f>
        <v/>
      </c>
      <c r="K4763">
        <f>IFERROR(__xludf.DUMMYFUNCTION("""COMPUTED_VALUE"""),9281.4)</f>
        <v/>
      </c>
    </row>
    <row r="4764">
      <c r="J4764">
        <f>IFERROR(__xludf.DUMMYFUNCTION("""COMPUTED_VALUE"""),"Brazil, Mexico, Halifax")</f>
        <v/>
      </c>
      <c r="K4764">
        <f>IFERROR(__xludf.DUMMYFUNCTION("""COMPUTED_VALUE"""),9281.3)</f>
        <v/>
      </c>
    </row>
    <row r="4765">
      <c r="J4765">
        <f>IFERROR(__xludf.DUMMYFUNCTION("""COMPUTED_VALUE"""),"Columbia and Brazil")</f>
        <v/>
      </c>
      <c r="K4765">
        <f>IFERROR(__xludf.DUMMYFUNCTION("""COMPUTED_VALUE"""),9279.71)</f>
        <v/>
      </c>
    </row>
    <row r="4766">
      <c r="J4766">
        <f>IFERROR(__xludf.DUMMYFUNCTION("""COMPUTED_VALUE"""),"Ottawa and Brussels")</f>
        <v/>
      </c>
      <c r="K4766">
        <f>IFERROR(__xludf.DUMMYFUNCTION("""COMPUTED_VALUE"""),9274.85)</f>
        <v/>
      </c>
    </row>
    <row r="4767">
      <c r="J4767">
        <f>IFERROR(__xludf.DUMMYFUNCTION("""COMPUTED_VALUE"""),"Whiteshell, Manitoba")</f>
        <v/>
      </c>
      <c r="K4767">
        <f>IFERROR(__xludf.DUMMYFUNCTION("""COMPUTED_VALUE"""),9274.02999999999)</f>
        <v/>
      </c>
    </row>
    <row r="4768">
      <c r="J4768">
        <f>IFERROR(__xludf.DUMMYFUNCTION("""COMPUTED_VALUE"""),"Waikoloa, Hawaii, USA")</f>
        <v/>
      </c>
      <c r="K4768">
        <f>IFERROR(__xludf.DUMMYFUNCTION("""COMPUTED_VALUE"""),9273.28)</f>
        <v/>
      </c>
    </row>
    <row r="4769">
      <c r="J4769">
        <f>IFERROR(__xludf.DUMMYFUNCTION("""COMPUTED_VALUE"""),"Nha Trang, Vietnam")</f>
        <v/>
      </c>
      <c r="K4769">
        <f>IFERROR(__xludf.DUMMYFUNCTION("""COMPUTED_VALUE"""),9273.18)</f>
        <v/>
      </c>
    </row>
    <row r="4770">
      <c r="J4770">
        <f>IFERROR(__xludf.DUMMYFUNCTION("""COMPUTED_VALUE"""),"Ankara, Türkiye")</f>
        <v/>
      </c>
      <c r="K4770">
        <f>IFERROR(__xludf.DUMMYFUNCTION("""COMPUTED_VALUE"""),9269.64)</f>
        <v/>
      </c>
    </row>
    <row r="4771">
      <c r="J4771">
        <f>IFERROR(__xludf.DUMMYFUNCTION("""COMPUTED_VALUE"""),"Ottawa - London, UK - Ottawa")</f>
        <v/>
      </c>
      <c r="K4771">
        <f>IFERROR(__xludf.DUMMYFUNCTION("""COMPUTED_VALUE"""),9268.66)</f>
        <v/>
      </c>
    </row>
    <row r="4772">
      <c r="J4772">
        <f>IFERROR(__xludf.DUMMYFUNCTION("""COMPUTED_VALUE"""),"Dubai/Kuwait")</f>
        <v/>
      </c>
      <c r="K4772">
        <f>IFERROR(__xludf.DUMMYFUNCTION("""COMPUTED_VALUE"""),9265.11)</f>
        <v/>
      </c>
    </row>
    <row r="4773">
      <c r="J4773">
        <f>IFERROR(__xludf.DUMMYFUNCTION("""COMPUTED_VALUE"""),"Central &amp; Midwest US (SD, NE, IL, TN, KY &amp; TX)")</f>
        <v/>
      </c>
      <c r="K4773">
        <f>IFERROR(__xludf.DUMMYFUNCTION("""COMPUTED_VALUE"""),9263.9)</f>
        <v/>
      </c>
    </row>
    <row r="4774">
      <c r="J4774">
        <f>IFERROR(__xludf.DUMMYFUNCTION("""COMPUTED_VALUE"""),"Ottawa, ON Tokyo &amp; Seoul")</f>
        <v/>
      </c>
      <c r="K4774">
        <f>IFERROR(__xludf.DUMMYFUNCTION("""COMPUTED_VALUE"""),9263.21)</f>
        <v/>
      </c>
    </row>
    <row r="4775">
      <c r="J4775">
        <f>IFERROR(__xludf.DUMMYFUNCTION("""COMPUTED_VALUE"""),"Toronto, Regina")</f>
        <v/>
      </c>
      <c r="K4775">
        <f>IFERROR(__xludf.DUMMYFUNCTION("""COMPUTED_VALUE"""),9259.9)</f>
        <v/>
      </c>
    </row>
    <row r="4776">
      <c r="J4776">
        <f>IFERROR(__xludf.DUMMYFUNCTION("""COMPUTED_VALUE"""),"VANCOUVER, BC  - BEIJING, CHINA")</f>
        <v/>
      </c>
      <c r="K4776">
        <f>IFERROR(__xludf.DUMMYFUNCTION("""COMPUTED_VALUE"""),9255.79)</f>
        <v/>
      </c>
    </row>
    <row r="4777">
      <c r="J4777">
        <f>IFERROR(__xludf.DUMMYFUNCTION("""COMPUTED_VALUE"""),"Khanty-Mansiysk, Russia")</f>
        <v/>
      </c>
      <c r="K4777">
        <f>IFERROR(__xludf.DUMMYFUNCTION("""COMPUTED_VALUE"""),9254.21)</f>
        <v/>
      </c>
    </row>
    <row r="4778">
      <c r="J4778">
        <f>IFERROR(__xludf.DUMMYFUNCTION("""COMPUTED_VALUE"""),"San Francisco, (Los Angeles)")</f>
        <v/>
      </c>
      <c r="K4778">
        <f>IFERROR(__xludf.DUMMYFUNCTION("""COMPUTED_VALUE"""),9252.78999999999)</f>
        <v/>
      </c>
    </row>
    <row r="4779">
      <c r="J4779">
        <f>IFERROR(__xludf.DUMMYFUNCTION("""COMPUTED_VALUE"""),"Brussels, Lyon, Paris")</f>
        <v/>
      </c>
      <c r="K4779">
        <f>IFERROR(__xludf.DUMMYFUNCTION("""COMPUTED_VALUE"""),9252.71)</f>
        <v/>
      </c>
    </row>
    <row r="4780">
      <c r="J4780">
        <f>IFERROR(__xludf.DUMMYFUNCTION("""COMPUTED_VALUE"""),"Rome, Florence, (Italy)")</f>
        <v/>
      </c>
      <c r="K4780">
        <f>IFERROR(__xludf.DUMMYFUNCTION("""COMPUTED_VALUE"""),9247.38)</f>
        <v/>
      </c>
    </row>
    <row r="4781">
      <c r="J4781">
        <f>IFERROR(__xludf.DUMMYFUNCTION("""COMPUTED_VALUE"""),"Kamloops, British Columbia, Canada; Saint John, New Brunswick, Canada")</f>
        <v/>
      </c>
      <c r="K4781">
        <f>IFERROR(__xludf.DUMMYFUNCTION("""COMPUTED_VALUE"""),9246.58)</f>
        <v/>
      </c>
    </row>
    <row r="4782">
      <c r="J4782">
        <f>IFERROR(__xludf.DUMMYFUNCTION("""COMPUTED_VALUE"""),"Victoria and Vancouver BC")</f>
        <v/>
      </c>
      <c r="K4782">
        <f>IFERROR(__xludf.DUMMYFUNCTION("""COMPUTED_VALUE"""),9243.74)</f>
        <v/>
      </c>
    </row>
    <row r="4783">
      <c r="J4783">
        <f>IFERROR(__xludf.DUMMYFUNCTION("""COMPUTED_VALUE"""),"Edmonton, Alberta; Quebec, Quebec; Toronto, Ontario; Saskatoon, Saskatchewan")</f>
        <v/>
      </c>
      <c r="K4783">
        <f>IFERROR(__xludf.DUMMYFUNCTION("""COMPUTED_VALUE"""),9236.74)</f>
        <v/>
      </c>
    </row>
    <row r="4784">
      <c r="J4784">
        <f>IFERROR(__xludf.DUMMYFUNCTION("""COMPUTED_VALUE"""),"Ottawa, Saint John, Moncton, Charlottetown, Halifax")</f>
        <v/>
      </c>
      <c r="K4784">
        <f>IFERROR(__xludf.DUMMYFUNCTION("""COMPUTED_VALUE"""),9236.05)</f>
        <v/>
      </c>
    </row>
    <row r="4785">
      <c r="J4785">
        <f>IFERROR(__xludf.DUMMYFUNCTION("""COMPUTED_VALUE"""),"London (United Kingdom) &amp; Brussels (Belgium)")</f>
        <v/>
      </c>
      <c r="K4785">
        <f>IFERROR(__xludf.DUMMYFUNCTION("""COMPUTED_VALUE"""),9235.81)</f>
        <v/>
      </c>
    </row>
    <row r="4786">
      <c r="J4786">
        <f>IFERROR(__xludf.DUMMYFUNCTION("""COMPUTED_VALUE"""),"Rome and Kuala Lumpur (ICA Fund)")</f>
        <v/>
      </c>
      <c r="K4786">
        <f>IFERROR(__xludf.DUMMYFUNCTION("""COMPUTED_VALUE"""),9235.35)</f>
        <v/>
      </c>
    </row>
    <row r="4787">
      <c r="J4787">
        <f>IFERROR(__xludf.DUMMYFUNCTION("""COMPUTED_VALUE"""),"Wolfville, Nova Scotia")</f>
        <v/>
      </c>
      <c r="K4787">
        <f>IFERROR(__xludf.DUMMYFUNCTION("""COMPUTED_VALUE"""),9233.33)</f>
        <v/>
      </c>
    </row>
    <row r="4788">
      <c r="J4788">
        <f>IFERROR(__xludf.DUMMYFUNCTION("""COMPUTED_VALUE"""),"Toronto, Ontario, Canada
Yellowknife, Newfoundland, Canada
Sudbury, Ontario, Canada")</f>
        <v/>
      </c>
      <c r="K4788">
        <f>IFERROR(__xludf.DUMMYFUNCTION("""COMPUTED_VALUE"""),9231.88)</f>
        <v/>
      </c>
    </row>
    <row r="4789">
      <c r="J4789">
        <f>IFERROR(__xludf.DUMMYFUNCTION("""COMPUTED_VALUE"""),"Port-au-Prince")</f>
        <v/>
      </c>
      <c r="K4789">
        <f>IFERROR(__xludf.DUMMYFUNCTION("""COMPUTED_VALUE"""),9231.42)</f>
        <v/>
      </c>
    </row>
    <row r="4790">
      <c r="J4790">
        <f>IFERROR(__xludf.DUMMYFUNCTION("""COMPUTED_VALUE"""),"Gwandgu, Korea")</f>
        <v/>
      </c>
      <c r="K4790">
        <f>IFERROR(__xludf.DUMMYFUNCTION("""COMPUTED_VALUE"""),9229.36)</f>
        <v/>
      </c>
    </row>
    <row r="4791">
      <c r="J4791">
        <f>IFERROR(__xludf.DUMMYFUNCTION("""COMPUTED_VALUE"""),"Prince Rupert, Vancouver, Ottawa")</f>
        <v/>
      </c>
      <c r="K4791">
        <f>IFERROR(__xludf.DUMMYFUNCTION("""COMPUTED_VALUE"""),9227.74)</f>
        <v/>
      </c>
    </row>
    <row r="4792">
      <c r="J4792">
        <f>IFERROR(__xludf.DUMMYFUNCTION("""COMPUTED_VALUE"""),"Borden, Ontario, Canada")</f>
        <v/>
      </c>
      <c r="K4792">
        <f>IFERROR(__xludf.DUMMYFUNCTION("""COMPUTED_VALUE"""),9225.36)</f>
        <v/>
      </c>
    </row>
    <row r="4793">
      <c r="J4793">
        <f>IFERROR(__xludf.DUMMYFUNCTION("""COMPUTED_VALUE"""),"Brussels, Belgium; Geneva, Switzerland")</f>
        <v/>
      </c>
      <c r="K4793">
        <f>IFERROR(__xludf.DUMMYFUNCTION("""COMPUTED_VALUE"""),9224.15)</f>
        <v/>
      </c>
    </row>
    <row r="4794">
      <c r="J4794">
        <f>IFERROR(__xludf.DUMMYFUNCTION("""COMPUTED_VALUE"""),"London/Geneva")</f>
        <v/>
      </c>
      <c r="K4794">
        <f>IFERROR(__xludf.DUMMYFUNCTION("""COMPUTED_VALUE"""),9223.09)</f>
        <v/>
      </c>
    </row>
    <row r="4795">
      <c r="J4795">
        <f>IFERROR(__xludf.DUMMYFUNCTION("""COMPUTED_VALUE"""),"Rome and Florence, Italy, Europe and Paris, France, Europe")</f>
        <v/>
      </c>
      <c r="K4795">
        <f>IFERROR(__xludf.DUMMYFUNCTION("""COMPUTED_VALUE"""),9221.25)</f>
        <v/>
      </c>
    </row>
    <row r="4796">
      <c r="J4796">
        <f>IFERROR(__xludf.DUMMYFUNCTION("""COMPUTED_VALUE"""),"Stavanger, Norway; Dublin, Ireland; Toronto, Ontario")</f>
        <v/>
      </c>
      <c r="K4796">
        <f>IFERROR(__xludf.DUMMYFUNCTION("""COMPUTED_VALUE"""),9219.91)</f>
        <v/>
      </c>
    </row>
    <row r="4797">
      <c r="J4797">
        <f>IFERROR(__xludf.DUMMYFUNCTION("""COMPUTED_VALUE"""),"St-John’s, Halifax &amp; New Brunswick")</f>
        <v/>
      </c>
      <c r="K4797">
        <f>IFERROR(__xludf.DUMMYFUNCTION("""COMPUTED_VALUE"""),9216.8)</f>
        <v/>
      </c>
    </row>
    <row r="4798">
      <c r="J4798">
        <f>IFERROR(__xludf.DUMMYFUNCTION("""COMPUTED_VALUE"""),"UK et Germany")</f>
        <v/>
      </c>
      <c r="K4798">
        <f>IFERROR(__xludf.DUMMYFUNCTION("""COMPUTED_VALUE"""),9216.05)</f>
        <v/>
      </c>
    </row>
    <row r="4799">
      <c r="J4799">
        <f>IFERROR(__xludf.DUMMYFUNCTION("""COMPUTED_VALUE"""),"Brussels, Belgium
London, UK")</f>
        <v/>
      </c>
      <c r="K4799">
        <f>IFERROR(__xludf.DUMMYFUNCTION("""COMPUTED_VALUE"""),9214.74)</f>
        <v/>
      </c>
    </row>
    <row r="4800">
      <c r="J4800">
        <f>IFERROR(__xludf.DUMMYFUNCTION("""COMPUTED_VALUE"""),"Niagara-on-the-Lake")</f>
        <v/>
      </c>
      <c r="K4800">
        <f>IFERROR(__xludf.DUMMYFUNCTION("""COMPUTED_VALUE"""),9214.31)</f>
        <v/>
      </c>
    </row>
    <row r="4801">
      <c r="J4801">
        <f>IFERROR(__xludf.DUMMYFUNCTION("""COMPUTED_VALUE"""),"Victoria, Bristish Columbia, Canada")</f>
        <v/>
      </c>
      <c r="K4801">
        <f>IFERROR(__xludf.DUMMYFUNCTION("""COMPUTED_VALUE"""),9210.81)</f>
        <v/>
      </c>
    </row>
    <row r="4802">
      <c r="J4802">
        <f>IFERROR(__xludf.DUMMYFUNCTION("""COMPUTED_VALUE"""),"Skidegate, British Columbia, Canada")</f>
        <v/>
      </c>
      <c r="K4802">
        <f>IFERROR(__xludf.DUMMYFUNCTION("""COMPUTED_VALUE"""),9208.87)</f>
        <v/>
      </c>
    </row>
    <row r="4803">
      <c r="J4803">
        <f>IFERROR(__xludf.DUMMYFUNCTION("""COMPUTED_VALUE"""),"Nashville, Tennessee, United States")</f>
        <v/>
      </c>
      <c r="K4803">
        <f>IFERROR(__xludf.DUMMYFUNCTION("""COMPUTED_VALUE"""),9208.48)</f>
        <v/>
      </c>
    </row>
    <row r="4804">
      <c r="J4804">
        <f>IFERROR(__xludf.DUMMYFUNCTION("""COMPUTED_VALUE"""),"Kentucky, United States")</f>
        <v/>
      </c>
      <c r="K4804">
        <f>IFERROR(__xludf.DUMMYFUNCTION("""COMPUTED_VALUE"""),9208.28999999999)</f>
        <v/>
      </c>
    </row>
    <row r="4805">
      <c r="J4805">
        <f>IFERROR(__xludf.DUMMYFUNCTION("""COMPUTED_VALUE"""),"Helsinki, Finland; St. Petersburg and Moscow, Russia")</f>
        <v/>
      </c>
      <c r="K4805">
        <f>IFERROR(__xludf.DUMMYFUNCTION("""COMPUTED_VALUE"""),9206.99)</f>
        <v/>
      </c>
    </row>
    <row r="4806">
      <c r="J4806">
        <f>IFERROR(__xludf.DUMMYFUNCTION("""COMPUTED_VALUE"""),"Peterborough, ON")</f>
        <v/>
      </c>
      <c r="K4806">
        <f>IFERROR(__xludf.DUMMYFUNCTION("""COMPUTED_VALUE"""),9206.6)</f>
        <v/>
      </c>
    </row>
    <row r="4807">
      <c r="J4807">
        <f>IFERROR(__xludf.DUMMYFUNCTION("""COMPUTED_VALUE"""),"Kelowna, British-Columbia, Canada
Vancouver, British-Columbia, Canada
Winnipeg, Manitoba, Canada")</f>
        <v/>
      </c>
      <c r="K4807">
        <f>IFERROR(__xludf.DUMMYFUNCTION("""COMPUTED_VALUE"""),9206.19)</f>
        <v/>
      </c>
    </row>
    <row r="4808">
      <c r="J4808">
        <f>IFERROR(__xludf.DUMMYFUNCTION("""COMPUTED_VALUE"""),"Iqaluit, NU - Morden, MB")</f>
        <v/>
      </c>
      <c r="K4808">
        <f>IFERROR(__xludf.DUMMYFUNCTION("""COMPUTED_VALUE"""),9205.43)</f>
        <v/>
      </c>
    </row>
    <row r="4809">
      <c r="J4809">
        <f>IFERROR(__xludf.DUMMYFUNCTION("""COMPUTED_VALUE"""),"Toronto, Ontario, Canada
Calgary, Alberta, Canada
Winnipeg, Manitoba, Canada")</f>
        <v/>
      </c>
      <c r="K4809">
        <f>IFERROR(__xludf.DUMMYFUNCTION("""COMPUTED_VALUE"""),9203.84999999999)</f>
        <v/>
      </c>
    </row>
    <row r="4810">
      <c r="J4810">
        <f>IFERROR(__xludf.DUMMYFUNCTION("""COMPUTED_VALUE"""),"Vienna, Austria / London, United Kingdom")</f>
        <v/>
      </c>
      <c r="K4810">
        <f>IFERROR(__xludf.DUMMYFUNCTION("""COMPUTED_VALUE"""),9203.54)</f>
        <v/>
      </c>
    </row>
    <row r="4811">
      <c r="J4811">
        <f>IFERROR(__xludf.DUMMYFUNCTION("""COMPUTED_VALUE"""),"Halifax &amp; Toronto, Canada")</f>
        <v/>
      </c>
      <c r="K4811">
        <f>IFERROR(__xludf.DUMMYFUNCTION("""COMPUTED_VALUE"""),9203.21)</f>
        <v/>
      </c>
    </row>
    <row r="4812">
      <c r="J4812">
        <f>IFERROR(__xludf.DUMMYFUNCTION("""COMPUTED_VALUE"""),"Yukon, Canadian Territories, Canada")</f>
        <v/>
      </c>
      <c r="K4812">
        <f>IFERROR(__xludf.DUMMYFUNCTION("""COMPUTED_VALUE"""),9200.9)</f>
        <v/>
      </c>
    </row>
    <row r="4813">
      <c r="J4813">
        <f>IFERROR(__xludf.DUMMYFUNCTION("""COMPUTED_VALUE"""),"Vancouver, British Columbia, Canada; Prince George, British Columbia, Canada; Victoria, British Columbia, Canada")</f>
        <v/>
      </c>
      <c r="K4813">
        <f>IFERROR(__xludf.DUMMYFUNCTION("""COMPUTED_VALUE"""),9200.78999999999)</f>
        <v/>
      </c>
    </row>
    <row r="4814">
      <c r="J4814">
        <f>IFERROR(__xludf.DUMMYFUNCTION("""COMPUTED_VALUE"""),"N'Djamena, Chad
Ouagadougou, Burkina Faso")</f>
        <v/>
      </c>
      <c r="K4814">
        <f>IFERROR(__xludf.DUMMYFUNCTION("""COMPUTED_VALUE"""),9197.82)</f>
        <v/>
      </c>
    </row>
    <row r="4815">
      <c r="J4815">
        <f>IFERROR(__xludf.DUMMYFUNCTION("""COMPUTED_VALUE"""),"Winnipeg, Manitoba, Canada
Regina, Saskatchewan, Canada")</f>
        <v/>
      </c>
      <c r="K4815">
        <f>IFERROR(__xludf.DUMMYFUNCTION("""COMPUTED_VALUE"""),9195.5)</f>
        <v/>
      </c>
    </row>
    <row r="4816">
      <c r="J4816">
        <f>IFERROR(__xludf.DUMMYFUNCTION("""COMPUTED_VALUE"""),"Ottawa/Toronto/Vancouver")</f>
        <v/>
      </c>
      <c r="K4816">
        <f>IFERROR(__xludf.DUMMYFUNCTION("""COMPUTED_VALUE"""),9192.04)</f>
        <v/>
      </c>
    </row>
    <row r="4817">
      <c r="J4817">
        <f>IFERROR(__xludf.DUMMYFUNCTION("""COMPUTED_VALUE"""),"Kyiv &amp; Lviv, Ukraine")</f>
        <v/>
      </c>
      <c r="K4817">
        <f>IFERROR(__xludf.DUMMYFUNCTION("""COMPUTED_VALUE"""),9190.28)</f>
        <v/>
      </c>
    </row>
    <row r="4818">
      <c r="J4818">
        <f>IFERROR(__xludf.DUMMYFUNCTION("""COMPUTED_VALUE"""),"Whitehorse YT, Vancouver BC, Edmonton AB")</f>
        <v/>
      </c>
      <c r="K4818">
        <f>IFERROR(__xludf.DUMMYFUNCTION("""COMPUTED_VALUE"""),9188)</f>
        <v/>
      </c>
    </row>
    <row r="4819">
      <c r="J4819">
        <f>IFERROR(__xludf.DUMMYFUNCTION("""COMPUTED_VALUE"""),"Regina, Saskatchewan, Canada; Toronto, Ontario, Canada; Montreal, Quebec, Canada")</f>
        <v/>
      </c>
      <c r="K4819">
        <f>IFERROR(__xludf.DUMMYFUNCTION("""COMPUTED_VALUE"""),9185.93)</f>
        <v/>
      </c>
    </row>
    <row r="4820">
      <c r="J4820">
        <f>IFERROR(__xludf.DUMMYFUNCTION("""COMPUTED_VALUE"""),"Vancouver, BC - Whitehorse, YT")</f>
        <v/>
      </c>
      <c r="K4820">
        <f>IFERROR(__xludf.DUMMYFUNCTION("""COMPUTED_VALUE"""),9176.24)</f>
        <v/>
      </c>
    </row>
    <row r="4821">
      <c r="J4821">
        <f>IFERROR(__xludf.DUMMYFUNCTION("""COMPUTED_VALUE"""),"Brussels, Mechelen,  Belgium")</f>
        <v/>
      </c>
      <c r="K4821">
        <f>IFERROR(__xludf.DUMMYFUNCTION("""COMPUTED_VALUE"""),9174.24)</f>
        <v/>
      </c>
    </row>
    <row r="4822">
      <c r="J4822">
        <f>IFERROR(__xludf.DUMMYFUNCTION("""COMPUTED_VALUE"""),"Istanbul and Algiers")</f>
        <v/>
      </c>
      <c r="K4822">
        <f>IFERROR(__xludf.DUMMYFUNCTION("""COMPUTED_VALUE"""),9173.46)</f>
        <v/>
      </c>
    </row>
    <row r="4823">
      <c r="J4823">
        <f>IFERROR(__xludf.DUMMYFUNCTION("""COMPUTED_VALUE"""),"Washington, United States of America / Monterrey, Mexico")</f>
        <v/>
      </c>
      <c r="K4823">
        <f>IFERROR(__xludf.DUMMYFUNCTION("""COMPUTED_VALUE"""),9171.82)</f>
        <v/>
      </c>
    </row>
    <row r="4824">
      <c r="J4824">
        <f>IFERROR(__xludf.DUMMYFUNCTION("""COMPUTED_VALUE"""),"(1) Stockholm, Sweden and (2) Riga, Latvia")</f>
        <v/>
      </c>
      <c r="K4824">
        <f>IFERROR(__xludf.DUMMYFUNCTION("""COMPUTED_VALUE"""),9169.88)</f>
        <v/>
      </c>
    </row>
    <row r="4825">
      <c r="J4825">
        <f>IFERROR(__xludf.DUMMYFUNCTION("""COMPUTED_VALUE"""),"Trois Rivieres, Quebec, Canada")</f>
        <v/>
      </c>
      <c r="K4825">
        <f>IFERROR(__xludf.DUMMYFUNCTION("""COMPUTED_VALUE"""),9169.66)</f>
        <v/>
      </c>
    </row>
    <row r="4826">
      <c r="J4826">
        <f>IFERROR(__xludf.DUMMYFUNCTION("""COMPUTED_VALUE"""),"Toronto (On)")</f>
        <v/>
      </c>
      <c r="K4826">
        <f>IFERROR(__xludf.DUMMYFUNCTION("""COMPUTED_VALUE"""),9168.98)</f>
        <v/>
      </c>
    </row>
    <row r="4827">
      <c r="J4827">
        <f>IFERROR(__xludf.DUMMYFUNCTION("""COMPUTED_VALUE"""),"Kingston")</f>
        <v/>
      </c>
      <c r="K4827">
        <f>IFERROR(__xludf.DUMMYFUNCTION("""COMPUTED_VALUE"""),9163.42999999999)</f>
        <v/>
      </c>
    </row>
    <row r="4828">
      <c r="J4828">
        <f>IFERROR(__xludf.DUMMYFUNCTION("""COMPUTED_VALUE"""),"Prince George, British Columbia, Canada / Kelowna, British Columbia, Canada / Edmonton, Alberta, Canada")</f>
        <v/>
      </c>
      <c r="K4828">
        <f>IFERROR(__xludf.DUMMYFUNCTION("""COMPUTED_VALUE"""),9162.95)</f>
        <v/>
      </c>
    </row>
    <row r="4829">
      <c r="J4829">
        <f>IFERROR(__xludf.DUMMYFUNCTION("""COMPUTED_VALUE"""),"Paris &amp; Lyon")</f>
        <v/>
      </c>
      <c r="K4829">
        <f>IFERROR(__xludf.DUMMYFUNCTION("""COMPUTED_VALUE"""),9161.94)</f>
        <v/>
      </c>
    </row>
    <row r="4830">
      <c r="J4830">
        <f>IFERROR(__xludf.DUMMYFUNCTION("""COMPUTED_VALUE"""),"Melaka, Malaysia")</f>
        <v/>
      </c>
      <c r="K4830">
        <f>IFERROR(__xludf.DUMMYFUNCTION("""COMPUTED_VALUE"""),9160.94)</f>
        <v/>
      </c>
    </row>
    <row r="4831">
      <c r="J4831">
        <f>IFERROR(__xludf.DUMMYFUNCTION("""COMPUTED_VALUE"""),"Beijing, Guangzhou and Hong Kong")</f>
        <v/>
      </c>
      <c r="K4831">
        <f>IFERROR(__xludf.DUMMYFUNCTION("""COMPUTED_VALUE"""),9160.74)</f>
        <v/>
      </c>
    </row>
    <row r="4832">
      <c r="J4832">
        <f>IFERROR(__xludf.DUMMYFUNCTION("""COMPUTED_VALUE"""),"Calgary, AB - Winnipeg, MB")</f>
        <v/>
      </c>
      <c r="K4832">
        <f>IFERROR(__xludf.DUMMYFUNCTION("""COMPUTED_VALUE"""),9159.26)</f>
        <v/>
      </c>
    </row>
    <row r="4833">
      <c r="J4833">
        <f>IFERROR(__xludf.DUMMYFUNCTION("""COMPUTED_VALUE"""),"Canada (Ottawa, Montréal, Québec, Toronto)")</f>
        <v/>
      </c>
      <c r="K4833">
        <f>IFERROR(__xludf.DUMMYFUNCTION("""COMPUTED_VALUE"""),9158.51)</f>
        <v/>
      </c>
    </row>
    <row r="4834">
      <c r="J4834">
        <f>IFERROR(__xludf.DUMMYFUNCTION("""COMPUTED_VALUE"""),"Sept-Iles, Quebec, Canada")</f>
        <v/>
      </c>
      <c r="K4834">
        <f>IFERROR(__xludf.DUMMYFUNCTION("""COMPUTED_VALUE"""),9155.36999999999)</f>
        <v/>
      </c>
    </row>
    <row r="4835">
      <c r="J4835">
        <f>IFERROR(__xludf.DUMMYFUNCTION("""COMPUTED_VALUE"""),"Mississauga, Ontario, Canada; Toronto, Ontario, Canada")</f>
        <v/>
      </c>
      <c r="K4835">
        <f>IFERROR(__xludf.DUMMYFUNCTION("""COMPUTED_VALUE"""),9153.56)</f>
        <v/>
      </c>
    </row>
    <row r="4836">
      <c r="J4836">
        <f>IFERROR(__xludf.DUMMYFUNCTION("""COMPUTED_VALUE"""),"Canada, USA")</f>
        <v/>
      </c>
      <c r="K4836">
        <f>IFERROR(__xludf.DUMMYFUNCTION("""COMPUTED_VALUE"""),9151.46)</f>
        <v/>
      </c>
    </row>
    <row r="4837">
      <c r="J4837">
        <f>IFERROR(__xludf.DUMMYFUNCTION("""COMPUTED_VALUE"""),"Polokwane, South Africa")</f>
        <v/>
      </c>
      <c r="K4837">
        <f>IFERROR(__xludf.DUMMYFUNCTION("""COMPUTED_VALUE"""),9149.91)</f>
        <v/>
      </c>
    </row>
    <row r="4838">
      <c r="J4838">
        <f>IFERROR(__xludf.DUMMYFUNCTION("""COMPUTED_VALUE"""),"Paris, France, Tel Aviv, Israel")</f>
        <v/>
      </c>
      <c r="K4838">
        <f>IFERROR(__xludf.DUMMYFUNCTION("""COMPUTED_VALUE"""),9148.6)</f>
        <v/>
      </c>
    </row>
    <row r="4839">
      <c r="J4839">
        <f>IFERROR(__xludf.DUMMYFUNCTION("""COMPUTED_VALUE"""),"Vancouver, British Columbia, Canada
Winnipeg, Manitoba, Canada")</f>
        <v/>
      </c>
      <c r="K4839">
        <f>IFERROR(__xludf.DUMMYFUNCTION("""COMPUTED_VALUE"""),9148.23)</f>
        <v/>
      </c>
    </row>
    <row r="4840">
      <c r="J4840">
        <f>IFERROR(__xludf.DUMMYFUNCTION("""COMPUTED_VALUE"""),"Lima (OAS), Tokyo and Seoul")</f>
        <v/>
      </c>
      <c r="K4840">
        <f>IFERROR(__xludf.DUMMYFUNCTION("""COMPUTED_VALUE"""),9146.82)</f>
        <v/>
      </c>
    </row>
    <row r="4841">
      <c r="J4841">
        <f>IFERROR(__xludf.DUMMYFUNCTION("""COMPUTED_VALUE"""),"London, England, Buckinghamshire, England")</f>
        <v/>
      </c>
      <c r="K4841">
        <f>IFERROR(__xludf.DUMMYFUNCTION("""COMPUTED_VALUE"""),9146.82)</f>
        <v/>
      </c>
    </row>
    <row r="4842">
      <c r="J4842">
        <f>IFERROR(__xludf.DUMMYFUNCTION("""COMPUTED_VALUE"""),"Brasilia, Brazil; Bogota, Colombia")</f>
        <v/>
      </c>
      <c r="K4842">
        <f>IFERROR(__xludf.DUMMYFUNCTION("""COMPUTED_VALUE"""),9144.88)</f>
        <v/>
      </c>
    </row>
    <row r="4843">
      <c r="J4843">
        <f>IFERROR(__xludf.DUMMYFUNCTION("""COMPUTED_VALUE"""),"Halifax-Ottawa-Halifax")</f>
        <v/>
      </c>
      <c r="K4843">
        <f>IFERROR(__xludf.DUMMYFUNCTION("""COMPUTED_VALUE"""),9141.18)</f>
        <v/>
      </c>
    </row>
    <row r="4844">
      <c r="J4844">
        <f>IFERROR(__xludf.DUMMYFUNCTION("""COMPUTED_VALUE"""),"Chelsea, Quebec, Canada")</f>
        <v/>
      </c>
      <c r="K4844">
        <f>IFERROR(__xludf.DUMMYFUNCTION("""COMPUTED_VALUE"""),9140.57)</f>
        <v/>
      </c>
    </row>
    <row r="4845">
      <c r="J4845">
        <f>IFERROR(__xludf.DUMMYFUNCTION("""COMPUTED_VALUE"""),"Shanghai, Chine")</f>
        <v/>
      </c>
      <c r="K4845">
        <f>IFERROR(__xludf.DUMMYFUNCTION("""COMPUTED_VALUE"""),9139.01)</f>
        <v/>
      </c>
    </row>
    <row r="4846">
      <c r="J4846">
        <f>IFERROR(__xludf.DUMMYFUNCTION("""COMPUTED_VALUE"""),"Lisbon, Portugal / Porto, Portugal / Vienna, Austria")</f>
        <v/>
      </c>
      <c r="K4846">
        <f>IFERROR(__xludf.DUMMYFUNCTION("""COMPUTED_VALUE"""),9137.43)</f>
        <v/>
      </c>
    </row>
    <row r="4847">
      <c r="J4847">
        <f>IFERROR(__xludf.DUMMYFUNCTION("""COMPUTED_VALUE"""),"Toronto ON/Brussels, Belgium")</f>
        <v/>
      </c>
      <c r="K4847">
        <f>IFERROR(__xludf.DUMMYFUNCTION("""COMPUTED_VALUE"""),9133.66)</f>
        <v/>
      </c>
    </row>
    <row r="4848">
      <c r="J4848">
        <f>IFERROR(__xludf.DUMMYFUNCTION("""COMPUTED_VALUE"""),"London, England; Dublin, Ireland")</f>
        <v/>
      </c>
      <c r="K4848">
        <f>IFERROR(__xludf.DUMMYFUNCTION("""COMPUTED_VALUE"""),9132.46)</f>
        <v/>
      </c>
    </row>
    <row r="4849">
      <c r="J4849">
        <f>IFERROR(__xludf.DUMMYFUNCTION("""COMPUTED_VALUE"""),"Beijing/ Hong Kong")</f>
        <v/>
      </c>
      <c r="K4849">
        <f>IFERROR(__xludf.DUMMYFUNCTION("""COMPUTED_VALUE"""),9132.26)</f>
        <v/>
      </c>
    </row>
    <row r="4850">
      <c r="J4850">
        <f>IFERROR(__xludf.DUMMYFUNCTION("""COMPUTED_VALUE"""),"Kamloops, BC")</f>
        <v/>
      </c>
      <c r="K4850">
        <f>IFERROR(__xludf.DUMMYFUNCTION("""COMPUTED_VALUE"""),9131.6)</f>
        <v/>
      </c>
    </row>
    <row r="4851">
      <c r="J4851">
        <f>IFERROR(__xludf.DUMMYFUNCTION("""COMPUTED_VALUE"""),"Vancouver/London/ Winnipeg")</f>
        <v/>
      </c>
      <c r="K4851">
        <f>IFERROR(__xludf.DUMMYFUNCTION("""COMPUTED_VALUE"""),9131.07)</f>
        <v/>
      </c>
    </row>
    <row r="4852">
      <c r="J4852">
        <f>IFERROR(__xludf.DUMMYFUNCTION("""COMPUTED_VALUE"""),"Ankara, Turkey, Paris, France")</f>
        <v/>
      </c>
      <c r="K4852">
        <f>IFERROR(__xludf.DUMMYFUNCTION("""COMPUTED_VALUE"""),9128.75)</f>
        <v/>
      </c>
    </row>
    <row r="4853">
      <c r="J4853">
        <f>IFERROR(__xludf.DUMMYFUNCTION("""COMPUTED_VALUE"""),"Toronto, Ontario, Canada; Regina, Saskatchewan, Canada; Vancouver, British Columbia, Canada")</f>
        <v/>
      </c>
      <c r="K4853">
        <f>IFERROR(__xludf.DUMMYFUNCTION("""COMPUTED_VALUE"""),9126.52999999999)</f>
        <v/>
      </c>
    </row>
    <row r="4854">
      <c r="J4854">
        <f>IFERROR(__xludf.DUMMYFUNCTION("""COMPUTED_VALUE"""),"Berlin, Germany and Montreal, Quebec")</f>
        <v/>
      </c>
      <c r="K4854">
        <f>IFERROR(__xludf.DUMMYFUNCTION("""COMPUTED_VALUE"""),9125.66)</f>
        <v/>
      </c>
    </row>
    <row r="4855">
      <c r="J4855">
        <f>IFERROR(__xludf.DUMMYFUNCTION("""COMPUTED_VALUE"""),"Frankfurt, Germany / Paris, France")</f>
        <v/>
      </c>
      <c r="K4855">
        <f>IFERROR(__xludf.DUMMYFUNCTION("""COMPUTED_VALUE"""),9125.27)</f>
        <v/>
      </c>
    </row>
    <row r="4856">
      <c r="J4856">
        <f>IFERROR(__xludf.DUMMYFUNCTION("""COMPUTED_VALUE"""),"Yellowknife, Northwest Territories / Edmonton, Alberta")</f>
        <v/>
      </c>
      <c r="K4856">
        <f>IFERROR(__xludf.DUMMYFUNCTION("""COMPUTED_VALUE"""),9121.43999999999)</f>
        <v/>
      </c>
    </row>
    <row r="4857">
      <c r="J4857">
        <f>IFERROR(__xludf.DUMMYFUNCTION("""COMPUTED_VALUE"""),"Vancouver, British Columbia, Canada; Toronto, Ontario, Canada; Montréal, Quebec, Canada")</f>
        <v/>
      </c>
      <c r="K4857">
        <f>IFERROR(__xludf.DUMMYFUNCTION("""COMPUTED_VALUE"""),9120.97)</f>
        <v/>
      </c>
    </row>
    <row r="4858">
      <c r="J4858">
        <f>IFERROR(__xludf.DUMMYFUNCTION("""COMPUTED_VALUE"""),"Berlin, Kiev")</f>
        <v/>
      </c>
      <c r="K4858">
        <f>IFERROR(__xludf.DUMMYFUNCTION("""COMPUTED_VALUE"""),9120.62)</f>
        <v/>
      </c>
    </row>
    <row r="4859">
      <c r="J4859">
        <f>IFERROR(__xludf.DUMMYFUNCTION("""COMPUTED_VALUE"""),"Shanghai, Beijing, CHINA
Hanoi, VIETNAM")</f>
        <v/>
      </c>
      <c r="K4859">
        <f>IFERROR(__xludf.DUMMYFUNCTION("""COMPUTED_VALUE"""),9120.33)</f>
        <v/>
      </c>
    </row>
    <row r="4860">
      <c r="J4860">
        <f>IFERROR(__xludf.DUMMYFUNCTION("""COMPUTED_VALUE"""),"Vancouver-Ottawa-Montreal-Toronto")</f>
        <v/>
      </c>
      <c r="K4860">
        <f>IFERROR(__xludf.DUMMYFUNCTION("""COMPUTED_VALUE"""),9119.78)</f>
        <v/>
      </c>
    </row>
    <row r="4861">
      <c r="J4861">
        <f>IFERROR(__xludf.DUMMYFUNCTION("""COMPUTED_VALUE"""),"Oulu, Finland")</f>
        <v/>
      </c>
      <c r="K4861">
        <f>IFERROR(__xludf.DUMMYFUNCTION("""COMPUTED_VALUE"""),9119.71)</f>
        <v/>
      </c>
    </row>
    <row r="4862">
      <c r="J4862">
        <f>IFERROR(__xludf.DUMMYFUNCTION("""COMPUTED_VALUE"""),"Paris, France; The Hague, Netherlands, Brussels, Belgium")</f>
        <v/>
      </c>
      <c r="K4862">
        <f>IFERROR(__xludf.DUMMYFUNCTION("""COMPUTED_VALUE"""),9119.05)</f>
        <v/>
      </c>
    </row>
    <row r="4863">
      <c r="J4863">
        <f>IFERROR(__xludf.DUMMYFUNCTION("""COMPUTED_VALUE"""),"Toronto; Beijing")</f>
        <v/>
      </c>
      <c r="K4863">
        <f>IFERROR(__xludf.DUMMYFUNCTION("""COMPUTED_VALUE"""),9117.75)</f>
        <v/>
      </c>
    </row>
    <row r="4864">
      <c r="J4864">
        <f>IFERROR(__xludf.DUMMYFUNCTION("""COMPUTED_VALUE"""),"Dar es Salaam, Tanzania; Addis Ababa, Ethiopia")</f>
        <v/>
      </c>
      <c r="K4864">
        <f>IFERROR(__xludf.DUMMYFUNCTION("""COMPUTED_VALUE"""),9115.6)</f>
        <v/>
      </c>
    </row>
    <row r="4865">
      <c r="J4865">
        <f>IFERROR(__xludf.DUMMYFUNCTION("""COMPUTED_VALUE"""),"Brussels/Geneva/London")</f>
        <v/>
      </c>
      <c r="K4865">
        <f>IFERROR(__xludf.DUMMYFUNCTION("""COMPUTED_VALUE"""),9115.45)</f>
        <v/>
      </c>
    </row>
    <row r="4866">
      <c r="J4866">
        <f>IFERROR(__xludf.DUMMYFUNCTION("""COMPUTED_VALUE"""),"Geneva and Paris")</f>
        <v/>
      </c>
      <c r="K4866">
        <f>IFERROR(__xludf.DUMMYFUNCTION("""COMPUTED_VALUE"""),9113.11)</f>
        <v/>
      </c>
    </row>
    <row r="4867">
      <c r="J4867">
        <f>IFERROR(__xludf.DUMMYFUNCTION("""COMPUTED_VALUE"""),"Tokyo, Hong Kong")</f>
        <v/>
      </c>
      <c r="K4867">
        <f>IFERROR(__xludf.DUMMYFUNCTION("""COMPUTED_VALUE"""),9109.23)</f>
        <v/>
      </c>
    </row>
    <row r="4868">
      <c r="J4868">
        <f>IFERROR(__xludf.DUMMYFUNCTION("""COMPUTED_VALUE"""),"Yellownife, Northwest Territories, Canada")</f>
        <v/>
      </c>
      <c r="K4868">
        <f>IFERROR(__xludf.DUMMYFUNCTION("""COMPUTED_VALUE"""),9106.34)</f>
        <v/>
      </c>
    </row>
    <row r="4869">
      <c r="J4869">
        <f>IFERROR(__xludf.DUMMYFUNCTION("""COMPUTED_VALUE"""),"Moscow, RUSSIA")</f>
        <v/>
      </c>
      <c r="K4869">
        <f>IFERROR(__xludf.DUMMYFUNCTION("""COMPUTED_VALUE"""),9103.97)</f>
        <v/>
      </c>
    </row>
    <row r="4870">
      <c r="J4870">
        <f>IFERROR(__xludf.DUMMYFUNCTION("""COMPUTED_VALUE"""),"Vancouver, Calgary &amp; Ottawa")</f>
        <v/>
      </c>
      <c r="K4870">
        <f>IFERROR(__xludf.DUMMYFUNCTION("""COMPUTED_VALUE"""),9102.22)</f>
        <v/>
      </c>
    </row>
    <row r="4871">
      <c r="J4871">
        <f>IFERROR(__xludf.DUMMYFUNCTION("""COMPUTED_VALUE"""),"London, England; Davos, Switzerland; Jerusalem and Tel Aviv")</f>
        <v/>
      </c>
      <c r="K4871">
        <f>IFERROR(__xludf.DUMMYFUNCTION("""COMPUTED_VALUE"""),9101.48)</f>
        <v/>
      </c>
    </row>
    <row r="4872">
      <c r="J4872">
        <f>IFERROR(__xludf.DUMMYFUNCTION("""COMPUTED_VALUE"""),"Venice, Italy; Toronto, Ontario, Canada")</f>
        <v/>
      </c>
      <c r="K4872">
        <f>IFERROR(__xludf.DUMMYFUNCTION("""COMPUTED_VALUE"""),9101.39)</f>
        <v/>
      </c>
    </row>
    <row r="4873">
      <c r="J4873">
        <f>IFERROR(__xludf.DUMMYFUNCTION("""COMPUTED_VALUE"""),"Iceland and Norway")</f>
        <v/>
      </c>
      <c r="K4873">
        <f>IFERROR(__xludf.DUMMYFUNCTION("""COMPUTED_VALUE"""),9099.31)</f>
        <v/>
      </c>
    </row>
    <row r="4874">
      <c r="J4874">
        <f>IFERROR(__xludf.DUMMYFUNCTION("""COMPUTED_VALUE"""),"Lethbridge, Alberta")</f>
        <v/>
      </c>
      <c r="K4874">
        <f>IFERROR(__xludf.DUMMYFUNCTION("""COMPUTED_VALUE"""),9096.78)</f>
        <v/>
      </c>
    </row>
    <row r="4875">
      <c r="J4875">
        <f>IFERROR(__xludf.DUMMYFUNCTION("""COMPUTED_VALUE"""),"Addis Ababa, Oromia, Ethiopia")</f>
        <v/>
      </c>
      <c r="K4875">
        <f>IFERROR(__xludf.DUMMYFUNCTION("""COMPUTED_VALUE"""),9096.17)</f>
        <v/>
      </c>
    </row>
    <row r="4876">
      <c r="J4876">
        <f>IFERROR(__xludf.DUMMYFUNCTION("""COMPUTED_VALUE"""),"Halifax, N.S.")</f>
        <v/>
      </c>
      <c r="K4876">
        <f>IFERROR(__xludf.DUMMYFUNCTION("""COMPUTED_VALUE"""),9091.48)</f>
        <v/>
      </c>
    </row>
    <row r="4877">
      <c r="J4877">
        <f>IFERROR(__xludf.DUMMYFUNCTION("""COMPUTED_VALUE"""),"Vancouver, British Columbia, Canada; Burnaby, British Columbia, Canada")</f>
        <v/>
      </c>
      <c r="K4877">
        <f>IFERROR(__xludf.DUMMYFUNCTION("""COMPUTED_VALUE"""),9089.42)</f>
        <v/>
      </c>
    </row>
    <row r="4878">
      <c r="J4878">
        <f>IFERROR(__xludf.DUMMYFUNCTION("""COMPUTED_VALUE"""),"Vancouver and Nanaimo, British-Columbia")</f>
        <v/>
      </c>
      <c r="K4878">
        <f>IFERROR(__xludf.DUMMYFUNCTION("""COMPUTED_VALUE"""),9089.36999999999)</f>
        <v/>
      </c>
    </row>
    <row r="4879">
      <c r="J4879">
        <f>IFERROR(__xludf.DUMMYFUNCTION("""COMPUTED_VALUE"""),"Newport, Wales, United Kingdom")</f>
        <v/>
      </c>
      <c r="K4879">
        <f>IFERROR(__xludf.DUMMYFUNCTION("""COMPUTED_VALUE"""),9084.56)</f>
        <v/>
      </c>
    </row>
    <row r="4880">
      <c r="J4880">
        <f>IFERROR(__xludf.DUMMYFUNCTION("""COMPUTED_VALUE"""),"Toronto, Ontario and Ottawa, Ontario")</f>
        <v/>
      </c>
      <c r="K4880">
        <f>IFERROR(__xludf.DUMMYFUNCTION("""COMPUTED_VALUE"""),9083.44)</f>
        <v/>
      </c>
    </row>
    <row r="4881">
      <c r="J4881">
        <f>IFERROR(__xludf.DUMMYFUNCTION("""COMPUTED_VALUE"""),"Boston, MA / Toronto, ON")</f>
        <v/>
      </c>
      <c r="K4881">
        <f>IFERROR(__xludf.DUMMYFUNCTION("""COMPUTED_VALUE"""),9082.84)</f>
        <v/>
      </c>
    </row>
    <row r="4882">
      <c r="J4882">
        <f>IFERROR(__xludf.DUMMYFUNCTION("""COMPUTED_VALUE"""),"London, England 
Berlin, Germany")</f>
        <v/>
      </c>
      <c r="K4882">
        <f>IFERROR(__xludf.DUMMYFUNCTION("""COMPUTED_VALUE"""),9081.44)</f>
        <v/>
      </c>
    </row>
    <row r="4883">
      <c r="J4883">
        <f>IFERROR(__xludf.DUMMYFUNCTION("""COMPUTED_VALUE"""),"Halifax, Nova Scotia Canada")</f>
        <v/>
      </c>
      <c r="K4883">
        <f>IFERROR(__xludf.DUMMYFUNCTION("""COMPUTED_VALUE"""),9080.9)</f>
        <v/>
      </c>
    </row>
    <row r="4884">
      <c r="J4884">
        <f>IFERROR(__xludf.DUMMYFUNCTION("""COMPUTED_VALUE"""),"Rome, Italy / Bologna, Italy")</f>
        <v/>
      </c>
      <c r="K4884">
        <f>IFERROR(__xludf.DUMMYFUNCTION("""COMPUTED_VALUE"""),9076.93)</f>
        <v/>
      </c>
    </row>
    <row r="4885">
      <c r="J4885">
        <f>IFERROR(__xludf.DUMMYFUNCTION("""COMPUTED_VALUE"""),"[redacted]")</f>
        <v/>
      </c>
      <c r="K4885">
        <f>IFERROR(__xludf.DUMMYFUNCTION("""COMPUTED_VALUE"""),9076.9)</f>
        <v/>
      </c>
    </row>
    <row r="4886">
      <c r="J4886">
        <f>IFERROR(__xludf.DUMMYFUNCTION("""COMPUTED_VALUE"""),"Santiago, Chile - Antofagasta, Chile - Copiapo, Chile")</f>
        <v/>
      </c>
      <c r="K4886">
        <f>IFERROR(__xludf.DUMMYFUNCTION("""COMPUTED_VALUE"""),9075.05)</f>
        <v/>
      </c>
    </row>
    <row r="4887">
      <c r="J4887">
        <f>IFERROR(__xludf.DUMMYFUNCTION("""COMPUTED_VALUE"""),"London, UK,    Paris, France")</f>
        <v/>
      </c>
      <c r="K4887">
        <f>IFERROR(__xludf.DUMMYFUNCTION("""COMPUTED_VALUE"""),9074.63)</f>
        <v/>
      </c>
    </row>
    <row r="4888">
      <c r="J4888">
        <f>IFERROR(__xludf.DUMMYFUNCTION("""COMPUTED_VALUE"""),"Montreal Ottawa")</f>
        <v/>
      </c>
      <c r="K4888">
        <f>IFERROR(__xludf.DUMMYFUNCTION("""COMPUTED_VALUE"""),9072.73)</f>
        <v/>
      </c>
    </row>
    <row r="4889">
      <c r="J4889">
        <f>IFERROR(__xludf.DUMMYFUNCTION("""COMPUTED_VALUE"""),"Saskatoon (Saskatchewan) Canada
Calgary (Alberta) Canada")</f>
        <v/>
      </c>
      <c r="K4889">
        <f>IFERROR(__xludf.DUMMYFUNCTION("""COMPUTED_VALUE"""),9068.78)</f>
        <v/>
      </c>
    </row>
    <row r="4890">
      <c r="J4890">
        <f>IFERROR(__xludf.DUMMYFUNCTION("""COMPUTED_VALUE"""),"Gatineau, Québec, Canada")</f>
        <v/>
      </c>
      <c r="K4890">
        <f>IFERROR(__xludf.DUMMYFUNCTION("""COMPUTED_VALUE"""),9067.9)</f>
        <v/>
      </c>
    </row>
    <row r="4891">
      <c r="J4891">
        <f>IFERROR(__xludf.DUMMYFUNCTION("""COMPUTED_VALUE"""),"YELLOWKNIFE, NT")</f>
        <v/>
      </c>
      <c r="K4891">
        <f>IFERROR(__xludf.DUMMYFUNCTION("""COMPUTED_VALUE"""),9067.72)</f>
        <v/>
      </c>
    </row>
    <row r="4892">
      <c r="J4892">
        <f>IFERROR(__xludf.DUMMYFUNCTION("""COMPUTED_VALUE"""),"Charlottetown, Prince Edward Island, (Canada)")</f>
        <v/>
      </c>
      <c r="K4892">
        <f>IFERROR(__xludf.DUMMYFUNCTION("""COMPUTED_VALUE"""),9067.61)</f>
        <v/>
      </c>
    </row>
    <row r="4893">
      <c r="J4893">
        <f>IFERROR(__xludf.DUMMYFUNCTION("""COMPUTED_VALUE"""),"Brussels, Berlin and Paris")</f>
        <v/>
      </c>
      <c r="K4893">
        <f>IFERROR(__xludf.DUMMYFUNCTION("""COMPUTED_VALUE"""),9060.7)</f>
        <v/>
      </c>
    </row>
    <row r="4894">
      <c r="J4894">
        <f>IFERROR(__xludf.DUMMYFUNCTION("""COMPUTED_VALUE"""),"Denpasar, Indonisia")</f>
        <v/>
      </c>
      <c r="K4894">
        <f>IFERROR(__xludf.DUMMYFUNCTION("""COMPUTED_VALUE"""),9056.56)</f>
        <v/>
      </c>
    </row>
    <row r="4895">
      <c r="J4895">
        <f>IFERROR(__xludf.DUMMYFUNCTION("""COMPUTED_VALUE"""),"Winnipeg, Manitoba, Canada; Calgary, Alberta, Canada; Vancouver, British Columbia, Canada")</f>
        <v/>
      </c>
      <c r="K4895">
        <f>IFERROR(__xludf.DUMMYFUNCTION("""COMPUTED_VALUE"""),9050.15)</f>
        <v/>
      </c>
    </row>
    <row r="4896">
      <c r="J4896">
        <f>IFERROR(__xludf.DUMMYFUNCTION("""COMPUTED_VALUE"""),"Ottawa;  Paris")</f>
        <v/>
      </c>
      <c r="K4896">
        <f>IFERROR(__xludf.DUMMYFUNCTION("""COMPUTED_VALUE"""),9047.57)</f>
        <v/>
      </c>
    </row>
    <row r="4897">
      <c r="J4897">
        <f>IFERROR(__xludf.DUMMYFUNCTION("""COMPUTED_VALUE"""),"Tel Aviv and London")</f>
        <v/>
      </c>
      <c r="K4897">
        <f>IFERROR(__xludf.DUMMYFUNCTION("""COMPUTED_VALUE"""),9042.74)</f>
        <v/>
      </c>
    </row>
    <row r="4898">
      <c r="J4898">
        <f>IFERROR(__xludf.DUMMYFUNCTION("""COMPUTED_VALUE"""),"Shawinigan, QC")</f>
        <v/>
      </c>
      <c r="K4898">
        <f>IFERROR(__xludf.DUMMYFUNCTION("""COMPUTED_VALUE"""),9042.46999999999)</f>
        <v/>
      </c>
    </row>
    <row r="4899">
      <c r="J4899">
        <f>IFERROR(__xludf.DUMMYFUNCTION("""COMPUTED_VALUE"""),"Kiruna, Sweden / Oulu, Finland / Helsinki, Finland")</f>
        <v/>
      </c>
      <c r="K4899">
        <f>IFERROR(__xludf.DUMMYFUNCTION("""COMPUTED_VALUE"""),9039.68)</f>
        <v/>
      </c>
    </row>
    <row r="4900">
      <c r="J4900">
        <f>IFERROR(__xludf.DUMMYFUNCTION("""COMPUTED_VALUE"""),"GABORONE, BOTSWANA")</f>
        <v/>
      </c>
      <c r="K4900">
        <f>IFERROR(__xludf.DUMMYFUNCTION("""COMPUTED_VALUE"""),9033.06)</f>
        <v/>
      </c>
    </row>
    <row r="4901">
      <c r="J4901">
        <f>IFERROR(__xludf.DUMMYFUNCTION("""COMPUTED_VALUE"""),"Saskatoon, Saskatchewan, Canada; Regina, Saskatchewan, Canada; Winnipeg, Manitoba, Canada")</f>
        <v/>
      </c>
      <c r="K4901">
        <f>IFERROR(__xludf.DUMMYFUNCTION("""COMPUTED_VALUE"""),9031.49)</f>
        <v/>
      </c>
    </row>
    <row r="4902">
      <c r="J4902">
        <f>IFERROR(__xludf.DUMMYFUNCTION("""COMPUTED_VALUE"""),"Montreal, Quebec and Halifax, Nova Scotia")</f>
        <v/>
      </c>
      <c r="K4902">
        <f>IFERROR(__xludf.DUMMYFUNCTION("""COMPUTED_VALUE"""),9024.08)</f>
        <v/>
      </c>
    </row>
    <row r="4903">
      <c r="J4903">
        <f>IFERROR(__xludf.DUMMYFUNCTION("""COMPUTED_VALUE"""),"Havana, CU")</f>
        <v/>
      </c>
      <c r="K4903">
        <f>IFERROR(__xludf.DUMMYFUNCTION("""COMPUTED_VALUE"""),9021.27999999999)</f>
        <v/>
      </c>
    </row>
    <row r="4904">
      <c r="J4904">
        <f>IFERROR(__xludf.DUMMYFUNCTION("""COMPUTED_VALUE"""),"Whitehorse, Yukon
Auckland, New Zealand")</f>
        <v/>
      </c>
      <c r="K4904">
        <f>IFERROR(__xludf.DUMMYFUNCTION("""COMPUTED_VALUE"""),9019.4)</f>
        <v/>
      </c>
    </row>
    <row r="4905">
      <c r="J4905">
        <f>IFERROR(__xludf.DUMMYFUNCTION("""COMPUTED_VALUE"""),"Washington (District of Columbia) United States of America")</f>
        <v/>
      </c>
      <c r="K4905">
        <f>IFERROR(__xludf.DUMMYFUNCTION("""COMPUTED_VALUE"""),9019.28)</f>
        <v/>
      </c>
    </row>
    <row r="4906">
      <c r="J4906">
        <f>IFERROR(__xludf.DUMMYFUNCTION("""COMPUTED_VALUE"""),"Davos, Switzeland")</f>
        <v/>
      </c>
      <c r="K4906">
        <f>IFERROR(__xludf.DUMMYFUNCTION("""COMPUTED_VALUE"""),9019.24)</f>
        <v/>
      </c>
    </row>
    <row r="4907">
      <c r="J4907">
        <f>IFERROR(__xludf.DUMMYFUNCTION("""COMPUTED_VALUE"""),"Saskatoon, Saskatchewan, Canada; Toronto, Ontario, Canada")</f>
        <v/>
      </c>
      <c r="K4907">
        <f>IFERROR(__xludf.DUMMYFUNCTION("""COMPUTED_VALUE"""),9017.88)</f>
        <v/>
      </c>
    </row>
    <row r="4908">
      <c r="J4908">
        <f>IFERROR(__xludf.DUMMYFUNCTION("""COMPUTED_VALUE"""),"Whitehorse &amp; Saskatoon")</f>
        <v/>
      </c>
      <c r="K4908">
        <f>IFERROR(__xludf.DUMMYFUNCTION("""COMPUTED_VALUE"""),9016.61)</f>
        <v/>
      </c>
    </row>
    <row r="4909">
      <c r="J4909">
        <f>IFERROR(__xludf.DUMMYFUNCTION("""COMPUTED_VALUE"""),"Brasilia &amp; Sao Paulo and Mexico")</f>
        <v/>
      </c>
      <c r="K4909">
        <f>IFERROR(__xludf.DUMMYFUNCTION("""COMPUTED_VALUE"""),9016.21)</f>
        <v/>
      </c>
    </row>
    <row r="4910">
      <c r="J4910">
        <f>IFERROR(__xludf.DUMMYFUNCTION("""COMPUTED_VALUE"""),"Kamloops, BC - Vancouver, BC")</f>
        <v/>
      </c>
      <c r="K4910">
        <f>IFERROR(__xludf.DUMMYFUNCTION("""COMPUTED_VALUE"""),9012.47)</f>
        <v/>
      </c>
    </row>
    <row r="4911">
      <c r="J4911">
        <f>IFERROR(__xludf.DUMMYFUNCTION("""COMPUTED_VALUE"""),"Toronto, ON, Berlin, Germay")</f>
        <v/>
      </c>
      <c r="K4911">
        <f>IFERROR(__xludf.DUMMYFUNCTION("""COMPUTED_VALUE"""),9011.61)</f>
        <v/>
      </c>
    </row>
    <row r="4912">
      <c r="J4912">
        <f>IFERROR(__xludf.DUMMYFUNCTION("""COMPUTED_VALUE"""),"Vancouver and Calgary")</f>
        <v/>
      </c>
      <c r="K4912">
        <f>IFERROR(__xludf.DUMMYFUNCTION("""COMPUTED_VALUE"""),9007.86999999999)</f>
        <v/>
      </c>
    </row>
    <row r="4913">
      <c r="J4913">
        <f>IFERROR(__xludf.DUMMYFUNCTION("""COMPUTED_VALUE"""),"Tsukuba, Ibaraki, Japan")</f>
        <v/>
      </c>
      <c r="K4913">
        <f>IFERROR(__xludf.DUMMYFUNCTION("""COMPUTED_VALUE"""),9006.43)</f>
        <v/>
      </c>
    </row>
    <row r="4914">
      <c r="J4914">
        <f>IFERROR(__xludf.DUMMYFUNCTION("""COMPUTED_VALUE"""),"Canada -Toronto Ottawa")</f>
        <v/>
      </c>
      <c r="K4914">
        <f>IFERROR(__xludf.DUMMYFUNCTION("""COMPUTED_VALUE"""),9005.57)</f>
        <v/>
      </c>
    </row>
    <row r="4915">
      <c r="J4915">
        <f>IFERROR(__xludf.DUMMYFUNCTION("""COMPUTED_VALUE"""),"Gyeongju, South Korea")</f>
        <v/>
      </c>
      <c r="K4915">
        <f>IFERROR(__xludf.DUMMYFUNCTION("""COMPUTED_VALUE"""),9002.25)</f>
        <v/>
      </c>
    </row>
    <row r="4916">
      <c r="J4916">
        <f>IFERROR(__xludf.DUMMYFUNCTION("""COMPUTED_VALUE"""),"RUSSIA, MOSCOW")</f>
        <v/>
      </c>
      <c r="K4916">
        <f>IFERROR(__xludf.DUMMYFUNCTION("""COMPUTED_VALUE"""),9000.89)</f>
        <v/>
      </c>
    </row>
    <row r="4917">
      <c r="J4917">
        <f>IFERROR(__xludf.DUMMYFUNCTION("""COMPUTED_VALUE"""),"Rome;Essen")</f>
        <v/>
      </c>
      <c r="K4917">
        <f>IFERROR(__xludf.DUMMYFUNCTION("""COMPUTED_VALUE"""),8999)</f>
        <v/>
      </c>
    </row>
    <row r="4918">
      <c r="J4918">
        <f>IFERROR(__xludf.DUMMYFUNCTION("""COMPUTED_VALUE"""),"Toronto, Ontario / Ottawa, Ontario, Canada")</f>
        <v/>
      </c>
      <c r="K4918">
        <f>IFERROR(__xludf.DUMMYFUNCTION("""COMPUTED_VALUE"""),8994.92)</f>
        <v/>
      </c>
    </row>
    <row r="4919">
      <c r="J4919">
        <f>IFERROR(__xludf.DUMMYFUNCTION("""COMPUTED_VALUE"""),"Edmonton, Alberta, Canada / Saskatoon, Saskatchewan, Canada")</f>
        <v/>
      </c>
      <c r="K4919">
        <f>IFERROR(__xludf.DUMMYFUNCTION("""COMPUTED_VALUE"""),8994.43999999999)</f>
        <v/>
      </c>
    </row>
    <row r="4920">
      <c r="J4920">
        <f>IFERROR(__xludf.DUMMYFUNCTION("""COMPUTED_VALUE"""),"Zurich/Geneva, Switzerland")</f>
        <v/>
      </c>
      <c r="K4920">
        <f>IFERROR(__xludf.DUMMYFUNCTION("""COMPUTED_VALUE"""),8992.36)</f>
        <v/>
      </c>
    </row>
    <row r="4921">
      <c r="J4921">
        <f>IFERROR(__xludf.DUMMYFUNCTION("""COMPUTED_VALUE"""),"Ottawa, Ontario and Montreal, Quebec, Canada")</f>
        <v/>
      </c>
      <c r="K4921">
        <f>IFERROR(__xludf.DUMMYFUNCTION("""COMPUTED_VALUE"""),8989.81)</f>
        <v/>
      </c>
    </row>
    <row r="4922">
      <c r="J4922">
        <f>IFERROR(__xludf.DUMMYFUNCTION("""COMPUTED_VALUE"""),"Halifax, NS, Montreal, QC, Vancouver, BC, Calgary, AB")</f>
        <v/>
      </c>
      <c r="K4922">
        <f>IFERROR(__xludf.DUMMYFUNCTION("""COMPUTED_VALUE"""),8988.78)</f>
        <v/>
      </c>
    </row>
    <row r="4923">
      <c r="J4923">
        <f>IFERROR(__xludf.DUMMYFUNCTION("""COMPUTED_VALUE"""),"Belgium, Brussels")</f>
        <v/>
      </c>
      <c r="K4923">
        <f>IFERROR(__xludf.DUMMYFUNCTION("""COMPUTED_VALUE"""),8977.15)</f>
        <v/>
      </c>
    </row>
    <row r="4924">
      <c r="J4924">
        <f>IFERROR(__xludf.DUMMYFUNCTION("""COMPUTED_VALUE"""),"New York, NY, US")</f>
        <v/>
      </c>
      <c r="K4924">
        <f>IFERROR(__xludf.DUMMYFUNCTION("""COMPUTED_VALUE"""),8971.49)</f>
        <v/>
      </c>
    </row>
    <row r="4925">
      <c r="J4925">
        <f>IFERROR(__xludf.DUMMYFUNCTION("""COMPUTED_VALUE"""),"Athens (Greece), Vienna (Austria), Brussels (Belgium) and Vilnius (Lithuania).")</f>
        <v/>
      </c>
      <c r="K4925">
        <f>IFERROR(__xludf.DUMMYFUNCTION("""COMPUTED_VALUE"""),8970.45)</f>
        <v/>
      </c>
    </row>
    <row r="4926">
      <c r="J4926">
        <f>IFERROR(__xludf.DUMMYFUNCTION("""COMPUTED_VALUE"""),"Kitakyushu, Japan")</f>
        <v/>
      </c>
      <c r="K4926">
        <f>IFERROR(__xludf.DUMMYFUNCTION("""COMPUTED_VALUE"""),8965.95)</f>
        <v/>
      </c>
    </row>
    <row r="4927">
      <c r="J4927">
        <f>IFERROR(__xludf.DUMMYFUNCTION("""COMPUTED_VALUE"""),"Tokyo, Japan
Seoul, South Korea")</f>
        <v/>
      </c>
      <c r="K4927">
        <f>IFERROR(__xludf.DUMMYFUNCTION("""COMPUTED_VALUE"""),8963.3)</f>
        <v/>
      </c>
    </row>
    <row r="4928">
      <c r="J4928">
        <f>IFERROR(__xludf.DUMMYFUNCTION("""COMPUTED_VALUE"""),"Quebec, Quebec, Canada
Gaspé, Quebec, Canada
Cap-aux-Meules, Quebec, Canada
Magdalen Islands, Quebec, Canada")</f>
        <v/>
      </c>
      <c r="K4928">
        <f>IFERROR(__xludf.DUMMYFUNCTION("""COMPUTED_VALUE"""),8961.86)</f>
        <v/>
      </c>
    </row>
    <row r="4929">
      <c r="J4929">
        <f>IFERROR(__xludf.DUMMYFUNCTION("""COMPUTED_VALUE"""),"Guatemala City")</f>
        <v/>
      </c>
      <c r="K4929">
        <f>IFERROR(__xludf.DUMMYFUNCTION("""COMPUTED_VALUE"""),8960)</f>
        <v/>
      </c>
    </row>
    <row r="4930">
      <c r="J4930">
        <f>IFERROR(__xludf.DUMMYFUNCTION("""COMPUTED_VALUE"""),"Brussels, Belgium; Bratislava, Slovakia")</f>
        <v/>
      </c>
      <c r="K4930">
        <f>IFERROR(__xludf.DUMMYFUNCTION("""COMPUTED_VALUE"""),8959.69)</f>
        <v/>
      </c>
    </row>
    <row r="4931">
      <c r="J4931">
        <f>IFERROR(__xludf.DUMMYFUNCTION("""COMPUTED_VALUE"""),"Vancouver, British Columbia, Canada; Victoria, British Colombia, Canada")</f>
        <v/>
      </c>
      <c r="K4931">
        <f>IFERROR(__xludf.DUMMYFUNCTION("""COMPUTED_VALUE"""),8958.76)</f>
        <v/>
      </c>
    </row>
    <row r="4932">
      <c r="J4932">
        <f>IFERROR(__xludf.DUMMYFUNCTION("""COMPUTED_VALUE"""),"London, Cyprus &amp; Austria")</f>
        <v/>
      </c>
      <c r="K4932">
        <f>IFERROR(__xludf.DUMMYFUNCTION("""COMPUTED_VALUE"""),8956.32)</f>
        <v/>
      </c>
    </row>
    <row r="4933">
      <c r="J4933">
        <f>IFERROR(__xludf.DUMMYFUNCTION("""COMPUTED_VALUE"""),"Mongolia and Toronto")</f>
        <v/>
      </c>
      <c r="K4933">
        <f>IFERROR(__xludf.DUMMYFUNCTION("""COMPUTED_VALUE"""),8956.13)</f>
        <v/>
      </c>
    </row>
    <row r="4934">
      <c r="J4934">
        <f>IFERROR(__xludf.DUMMYFUNCTION("""COMPUTED_VALUE"""),"St-John's, NF")</f>
        <v/>
      </c>
      <c r="K4934">
        <f>IFERROR(__xludf.DUMMYFUNCTION("""COMPUTED_VALUE"""),8951.12)</f>
        <v/>
      </c>
    </row>
    <row r="4935">
      <c r="J4935">
        <f>IFERROR(__xludf.DUMMYFUNCTION("""COMPUTED_VALUE"""),"Republic of Croatia")</f>
        <v/>
      </c>
      <c r="K4935">
        <f>IFERROR(__xludf.DUMMYFUNCTION("""COMPUTED_VALUE"""),8949.05)</f>
        <v/>
      </c>
    </row>
    <row r="4936">
      <c r="J4936">
        <f>IFERROR(__xludf.DUMMYFUNCTION("""COMPUTED_VALUE"""),"Washington,DC, Norfolk")</f>
        <v/>
      </c>
      <c r="K4936">
        <f>IFERROR(__xludf.DUMMYFUNCTION("""COMPUTED_VALUE"""),8948.91)</f>
        <v/>
      </c>
    </row>
    <row r="4937">
      <c r="J4937">
        <f>IFERROR(__xludf.DUMMYFUNCTION("""COMPUTED_VALUE"""),"Munich, Germany and Vienna, Austria")</f>
        <v/>
      </c>
      <c r="K4937">
        <f>IFERROR(__xludf.DUMMYFUNCTION("""COMPUTED_VALUE"""),8948.8)</f>
        <v/>
      </c>
    </row>
    <row r="4938">
      <c r="J4938">
        <f>IFERROR(__xludf.DUMMYFUNCTION("""COMPUTED_VALUE"""),"Riga and Tallinn and Helsingborg, Latvia and Estonia and Sweden")</f>
        <v/>
      </c>
      <c r="K4938">
        <f>IFERROR(__xludf.DUMMYFUNCTION("""COMPUTED_VALUE"""),8948.32)</f>
        <v/>
      </c>
    </row>
    <row r="4939">
      <c r="J4939">
        <f>IFERROR(__xludf.DUMMYFUNCTION("""COMPUTED_VALUE"""),"Warsaw &amp; Rzeszow, Poland")</f>
        <v/>
      </c>
      <c r="K4939">
        <f>IFERROR(__xludf.DUMMYFUNCTION("""COMPUTED_VALUE"""),8942.1)</f>
        <v/>
      </c>
    </row>
    <row r="4940">
      <c r="J4940">
        <f>IFERROR(__xludf.DUMMYFUNCTION("""COMPUTED_VALUE"""),"London, England; Paris, France; Berlin, Germany")</f>
        <v/>
      </c>
      <c r="K4940">
        <f>IFERROR(__xludf.DUMMYFUNCTION("""COMPUTED_VALUE"""),8941.58)</f>
        <v/>
      </c>
    </row>
    <row r="4941">
      <c r="J4941">
        <f>IFERROR(__xludf.DUMMYFUNCTION("""COMPUTED_VALUE"""),"Vancouver / Edmonton / Yellowknife")</f>
        <v/>
      </c>
      <c r="K4941">
        <f>IFERROR(__xludf.DUMMYFUNCTION("""COMPUTED_VALUE"""),8940.74)</f>
        <v/>
      </c>
    </row>
    <row r="4942">
      <c r="J4942">
        <f>IFERROR(__xludf.DUMMYFUNCTION("""COMPUTED_VALUE"""),"Brasilia, Brazil Bridgetown, Barbados Port-of-Spain, Trinidad &amp; Tobago New York, USA")</f>
        <v/>
      </c>
      <c r="K4942">
        <f>IFERROR(__xludf.DUMMYFUNCTION("""COMPUTED_VALUE"""),8938.56)</f>
        <v/>
      </c>
    </row>
    <row r="4943">
      <c r="J4943">
        <f>IFERROR(__xludf.DUMMYFUNCTION("""COMPUTED_VALUE"""),"Paris, France; New York, USA")</f>
        <v/>
      </c>
      <c r="K4943">
        <f>IFERROR(__xludf.DUMMYFUNCTION("""COMPUTED_VALUE"""),8937.81)</f>
        <v/>
      </c>
    </row>
    <row r="4944">
      <c r="J4944">
        <f>IFERROR(__xludf.DUMMYFUNCTION("""COMPUTED_VALUE"""),"Ottawa, Ontario and Madrid, Spain")</f>
        <v/>
      </c>
      <c r="K4944">
        <f>IFERROR(__xludf.DUMMYFUNCTION("""COMPUTED_VALUE"""),8937.6)</f>
        <v/>
      </c>
    </row>
    <row r="4945">
      <c r="J4945">
        <f>IFERROR(__xludf.DUMMYFUNCTION("""COMPUTED_VALUE"""),"Geneva and Davos, Switzerland")</f>
        <v/>
      </c>
      <c r="K4945">
        <f>IFERROR(__xludf.DUMMYFUNCTION("""COMPUTED_VALUE"""),8927.55)</f>
        <v/>
      </c>
    </row>
    <row r="4946">
      <c r="J4946">
        <f>IFERROR(__xludf.DUMMYFUNCTION("""COMPUTED_VALUE"""),"Pudong, China")</f>
        <v/>
      </c>
      <c r="K4946">
        <f>IFERROR(__xludf.DUMMYFUNCTION("""COMPUTED_VALUE"""),8926.01)</f>
        <v/>
      </c>
    </row>
    <row r="4947">
      <c r="J4947">
        <f>IFERROR(__xludf.DUMMYFUNCTION("""COMPUTED_VALUE"""),"Paris, France; 
Basel, Switzerland")</f>
        <v/>
      </c>
      <c r="K4947">
        <f>IFERROR(__xludf.DUMMYFUNCTION("""COMPUTED_VALUE"""),8919.14)</f>
        <v/>
      </c>
    </row>
    <row r="4948">
      <c r="J4948">
        <f>IFERROR(__xludf.DUMMYFUNCTION("""COMPUTED_VALUE"""),"Paris, France Lubeck, Germany Brussels, Belgium")</f>
        <v/>
      </c>
      <c r="K4948">
        <f>IFERROR(__xludf.DUMMYFUNCTION("""COMPUTED_VALUE"""),8915.41)</f>
        <v/>
      </c>
    </row>
    <row r="4949">
      <c r="J4949">
        <f>IFERROR(__xludf.DUMMYFUNCTION("""COMPUTED_VALUE"""),"Iqaluit NU, Yellowknife NT, Edmonton AB,Whitehorse YT, Old Crow YT, Inuvik NT, Yellowknife NT")</f>
        <v/>
      </c>
      <c r="K4949">
        <f>IFERROR(__xludf.DUMMYFUNCTION("""COMPUTED_VALUE"""),8913.78)</f>
        <v/>
      </c>
    </row>
    <row r="4950">
      <c r="J4950">
        <f>IFERROR(__xludf.DUMMYFUNCTION("""COMPUTED_VALUE"""),"Iqaluit, Ottawa, Montreal")</f>
        <v/>
      </c>
      <c r="K4950">
        <f>IFERROR(__xludf.DUMMYFUNCTION("""COMPUTED_VALUE"""),8913.35)</f>
        <v/>
      </c>
    </row>
    <row r="4951">
      <c r="J4951">
        <f>IFERROR(__xludf.DUMMYFUNCTION("""COMPUTED_VALUE"""),"Fiuggi, Italy")</f>
        <v/>
      </c>
      <c r="K4951">
        <f>IFERROR(__xludf.DUMMYFUNCTION("""COMPUTED_VALUE"""),8912.83)</f>
        <v/>
      </c>
    </row>
    <row r="4952">
      <c r="J4952">
        <f>IFERROR(__xludf.DUMMYFUNCTION("""COMPUTED_VALUE"""),"Milan")</f>
        <v/>
      </c>
      <c r="K4952">
        <f>IFERROR(__xludf.DUMMYFUNCTION("""COMPUTED_VALUE"""),8906.91)</f>
        <v/>
      </c>
    </row>
    <row r="4953">
      <c r="J4953">
        <f>IFERROR(__xludf.DUMMYFUNCTION("""COMPUTED_VALUE"""),"Ottawa, ON - Halifax, NS / Halifax, NS - Charlottetown, PE / Charlottetown, PE - Ottawa, ON")</f>
        <v/>
      </c>
      <c r="K4953">
        <f>IFERROR(__xludf.DUMMYFUNCTION("""COMPUTED_VALUE"""),8906.71)</f>
        <v/>
      </c>
    </row>
    <row r="4954">
      <c r="J4954">
        <f>IFERROR(__xludf.DUMMYFUNCTION("""COMPUTED_VALUE"""),"Kyoto, Seoul")</f>
        <v/>
      </c>
      <c r="K4954">
        <f>IFERROR(__xludf.DUMMYFUNCTION("""COMPUTED_VALUE"""),8905.86)</f>
        <v/>
      </c>
    </row>
    <row r="4955">
      <c r="J4955">
        <f>IFERROR(__xludf.DUMMYFUNCTION("""COMPUTED_VALUE"""),"Toronto, Montreal")</f>
        <v/>
      </c>
      <c r="K4955">
        <f>IFERROR(__xludf.DUMMYFUNCTION("""COMPUTED_VALUE"""),8905.63)</f>
        <v/>
      </c>
    </row>
    <row r="4956">
      <c r="J4956">
        <f>IFERROR(__xludf.DUMMYFUNCTION("""COMPUTED_VALUE"""),"Potsdam, Germany Berlin, Germany")</f>
        <v/>
      </c>
      <c r="K4956">
        <f>IFERROR(__xludf.DUMMYFUNCTION("""COMPUTED_VALUE"""),8904.94)</f>
        <v/>
      </c>
    </row>
    <row r="4957">
      <c r="J4957">
        <f>IFERROR(__xludf.DUMMYFUNCTION("""COMPUTED_VALUE"""),"Edmonton, Alberta, Canada Helsinki, Finland")</f>
        <v/>
      </c>
      <c r="K4957">
        <f>IFERROR(__xludf.DUMMYFUNCTION("""COMPUTED_VALUE"""),8903.93)</f>
        <v/>
      </c>
    </row>
    <row r="4958">
      <c r="J4958">
        <f>IFERROR(__xludf.DUMMYFUNCTION("""COMPUTED_VALUE"""),"Antalya, Turkey, London, UK")</f>
        <v/>
      </c>
      <c r="K4958">
        <f>IFERROR(__xludf.DUMMYFUNCTION("""COMPUTED_VALUE"""),8898.34)</f>
        <v/>
      </c>
    </row>
    <row r="4959">
      <c r="J4959">
        <f>IFERROR(__xludf.DUMMYFUNCTION("""COMPUTED_VALUE"""),"Zagreb, Croatia and Rome")</f>
        <v/>
      </c>
      <c r="K4959">
        <f>IFERROR(__xludf.DUMMYFUNCTION("""COMPUTED_VALUE"""),8893.85)</f>
        <v/>
      </c>
    </row>
    <row r="4960">
      <c r="J4960">
        <f>IFERROR(__xludf.DUMMYFUNCTION("""COMPUTED_VALUE"""),"Brussels, Moscow and Berlin")</f>
        <v/>
      </c>
      <c r="K4960">
        <f>IFERROR(__xludf.DUMMYFUNCTION("""COMPUTED_VALUE"""),8892.12)</f>
        <v/>
      </c>
    </row>
    <row r="4961">
      <c r="J4961">
        <f>IFERROR(__xludf.DUMMYFUNCTION("""COMPUTED_VALUE"""),"Tel Aviv and Jerusalem, Israel")</f>
        <v/>
      </c>
      <c r="K4961">
        <f>IFERROR(__xludf.DUMMYFUNCTION("""COMPUTED_VALUE"""),8886.23)</f>
        <v/>
      </c>
    </row>
    <row r="4962">
      <c r="J4962">
        <f>IFERROR(__xludf.DUMMYFUNCTION("""COMPUTED_VALUE"""),"Morroco, Mexico")</f>
        <v/>
      </c>
      <c r="K4962">
        <f>IFERROR(__xludf.DUMMYFUNCTION("""COMPUTED_VALUE"""),8884.32)</f>
        <v/>
      </c>
    </row>
    <row r="4963">
      <c r="J4963">
        <f>IFERROR(__xludf.DUMMYFUNCTION("""COMPUTED_VALUE"""),"Ecuador")</f>
        <v/>
      </c>
      <c r="K4963">
        <f>IFERROR(__xludf.DUMMYFUNCTION("""COMPUTED_VALUE"""),8882.76)</f>
        <v/>
      </c>
    </row>
    <row r="4964">
      <c r="J4964">
        <f>IFERROR(__xludf.DUMMYFUNCTION("""COMPUTED_VALUE"""),"Saint John and Fredericton, New Brunswick")</f>
        <v/>
      </c>
      <c r="K4964">
        <f>IFERROR(__xludf.DUMMYFUNCTION("""COMPUTED_VALUE"""),8882.28999999999)</f>
        <v/>
      </c>
    </row>
    <row r="4965">
      <c r="J4965">
        <f>IFERROR(__xludf.DUMMYFUNCTION("""COMPUTED_VALUE"""),"London, United Kingdom; The Hague, Netherlands.")</f>
        <v/>
      </c>
      <c r="K4965">
        <f>IFERROR(__xludf.DUMMYFUNCTION("""COMPUTED_VALUE"""),8873.5)</f>
        <v/>
      </c>
    </row>
    <row r="4966">
      <c r="J4966">
        <f>IFERROR(__xludf.DUMMYFUNCTION("""COMPUTED_VALUE"""),"Charlevoix")</f>
        <v/>
      </c>
      <c r="K4966">
        <f>IFERROR(__xludf.DUMMYFUNCTION("""COMPUTED_VALUE"""),8871.75)</f>
        <v/>
      </c>
    </row>
    <row r="4967">
      <c r="J4967">
        <f>IFERROR(__xludf.DUMMYFUNCTION("""COMPUTED_VALUE"""),"Hamburg, Germany, Germany")</f>
        <v/>
      </c>
      <c r="K4967">
        <f>IFERROR(__xludf.DUMMYFUNCTION("""COMPUTED_VALUE"""),8870.99)</f>
        <v/>
      </c>
    </row>
    <row r="4968">
      <c r="J4968">
        <f>IFERROR(__xludf.DUMMYFUNCTION("""COMPUTED_VALUE"""),"Ottawa-Regina-Ottawa")</f>
        <v/>
      </c>
      <c r="K4968">
        <f>IFERROR(__xludf.DUMMYFUNCTION("""COMPUTED_VALUE"""),8869.64)</f>
        <v/>
      </c>
    </row>
    <row r="4969">
      <c r="J4969">
        <f>IFERROR(__xludf.DUMMYFUNCTION("""COMPUTED_VALUE"""),"Guatemala and Belize")</f>
        <v/>
      </c>
      <c r="K4969">
        <f>IFERROR(__xludf.DUMMYFUNCTION("""COMPUTED_VALUE"""),8868.01)</f>
        <v/>
      </c>
    </row>
    <row r="4970">
      <c r="J4970">
        <f>IFERROR(__xludf.DUMMYFUNCTION("""COMPUTED_VALUE"""),"Monterrey")</f>
        <v/>
      </c>
      <c r="K4970">
        <f>IFERROR(__xludf.DUMMYFUNCTION("""COMPUTED_VALUE"""),8867.69999999999)</f>
        <v/>
      </c>
    </row>
    <row r="4971">
      <c r="J4971">
        <f>IFERROR(__xludf.DUMMYFUNCTION("""COMPUTED_VALUE"""),"Varberg, Sweden")</f>
        <v/>
      </c>
      <c r="K4971">
        <f>IFERROR(__xludf.DUMMYFUNCTION("""COMPUTED_VALUE"""),8867.34)</f>
        <v/>
      </c>
    </row>
    <row r="4972">
      <c r="J4972">
        <f>IFERROR(__xludf.DUMMYFUNCTION("""COMPUTED_VALUE"""),"Bogota, Lima, Buenos Aires, Rio de Janeiro, Brasilia, Sao Paulo, Caracas")</f>
        <v/>
      </c>
      <c r="K4972">
        <f>IFERROR(__xludf.DUMMYFUNCTION("""COMPUTED_VALUE"""),8867.13)</f>
        <v/>
      </c>
    </row>
    <row r="4973">
      <c r="J4973">
        <f>IFERROR(__xludf.DUMMYFUNCTION("""COMPUTED_VALUE"""),"Montreal, Quebec, Canada / Brussels, Belgium / London, United Kingdom")</f>
        <v/>
      </c>
      <c r="K4973">
        <f>IFERROR(__xludf.DUMMYFUNCTION("""COMPUTED_VALUE"""),8866.69)</f>
        <v/>
      </c>
    </row>
    <row r="4974">
      <c r="J4974">
        <f>IFERROR(__xludf.DUMMYFUNCTION("""COMPUTED_VALUE"""),"Nicosia, Cyprus")</f>
        <v/>
      </c>
      <c r="K4974">
        <f>IFERROR(__xludf.DUMMYFUNCTION("""COMPUTED_VALUE"""),8866.67)</f>
        <v/>
      </c>
    </row>
    <row r="4975">
      <c r="J4975">
        <f>IFERROR(__xludf.DUMMYFUNCTION("""COMPUTED_VALUE"""),"Abbotsford Vancouver Victoria, British Columbia – Ottawa Toronto, Ontario- Montréal, Quebec – Calgary Edmonton, Alberta")</f>
        <v/>
      </c>
      <c r="K4975">
        <f>IFERROR(__xludf.DUMMYFUNCTION("""COMPUTED_VALUE"""),8866.12)</f>
        <v/>
      </c>
    </row>
    <row r="4976">
      <c r="J4976">
        <f>IFERROR(__xludf.DUMMYFUNCTION("""COMPUTED_VALUE"""),"Geneve,Switzerland")</f>
        <v/>
      </c>
      <c r="K4976">
        <f>IFERROR(__xludf.DUMMYFUNCTION("""COMPUTED_VALUE"""),8864.98)</f>
        <v/>
      </c>
    </row>
    <row r="4977">
      <c r="J4977">
        <f>IFERROR(__xludf.DUMMYFUNCTION("""COMPUTED_VALUE"""),"Chengdu, China, Seoul, South Korea")</f>
        <v/>
      </c>
      <c r="K4977">
        <f>IFERROR(__xludf.DUMMYFUNCTION("""COMPUTED_VALUE"""),8864.63)</f>
        <v/>
      </c>
    </row>
    <row r="4978">
      <c r="J4978">
        <f>IFERROR(__xludf.DUMMYFUNCTION("""COMPUTED_VALUE"""),"OTTAWA,ON / COMOX, BC")</f>
        <v/>
      </c>
      <c r="K4978">
        <f>IFERROR(__xludf.DUMMYFUNCTION("""COMPUTED_VALUE"""),8862.51)</f>
        <v/>
      </c>
    </row>
    <row r="4979">
      <c r="J4979">
        <f>IFERROR(__xludf.DUMMYFUNCTION("""COMPUTED_VALUE"""),"Rome; Essen")</f>
        <v/>
      </c>
      <c r="K4979">
        <f>IFERROR(__xludf.DUMMYFUNCTION("""COMPUTED_VALUE"""),8861.77)</f>
        <v/>
      </c>
    </row>
    <row r="4980">
      <c r="J4980">
        <f>IFERROR(__xludf.DUMMYFUNCTION("""COMPUTED_VALUE"""),"Monterey, California")</f>
        <v/>
      </c>
      <c r="K4980">
        <f>IFERROR(__xludf.DUMMYFUNCTION("""COMPUTED_VALUE"""),8860.89)</f>
        <v/>
      </c>
    </row>
    <row r="4981">
      <c r="J4981">
        <f>IFERROR(__xludf.DUMMYFUNCTION("""COMPUTED_VALUE"""),"New York and Caribbean")</f>
        <v/>
      </c>
      <c r="K4981">
        <f>IFERROR(__xludf.DUMMYFUNCTION("""COMPUTED_VALUE"""),8860.84)</f>
        <v/>
      </c>
    </row>
    <row r="4982">
      <c r="J4982">
        <f>IFERROR(__xludf.DUMMYFUNCTION("""COMPUTED_VALUE"""),"Miami, Bogota and Cartagena")</f>
        <v/>
      </c>
      <c r="K4982">
        <f>IFERROR(__xludf.DUMMYFUNCTION("""COMPUTED_VALUE"""),8859.71)</f>
        <v/>
      </c>
    </row>
    <row r="4983">
      <c r="J4983">
        <f>IFERROR(__xludf.DUMMYFUNCTION("""COMPUTED_VALUE"""),"New Delhi and Mumbai (India)")</f>
        <v/>
      </c>
      <c r="K4983">
        <f>IFERROR(__xludf.DUMMYFUNCTION("""COMPUTED_VALUE"""),8859.33)</f>
        <v/>
      </c>
    </row>
    <row r="4984">
      <c r="J4984">
        <f>IFERROR(__xludf.DUMMYFUNCTION("""COMPUTED_VALUE"""),"Vancouver, BC, Canada &amp; Montreal, QC, Canada")</f>
        <v/>
      </c>
      <c r="K4984">
        <f>IFERROR(__xludf.DUMMYFUNCTION("""COMPUTED_VALUE"""),8853.65)</f>
        <v/>
      </c>
    </row>
    <row r="4985">
      <c r="J4985">
        <f>IFERROR(__xludf.DUMMYFUNCTION("""COMPUTED_VALUE"""),"Moncton, NB, Canada")</f>
        <v/>
      </c>
      <c r="K4985">
        <f>IFERROR(__xludf.DUMMYFUNCTION("""COMPUTED_VALUE"""),8850.61)</f>
        <v/>
      </c>
    </row>
    <row r="4986">
      <c r="J4986">
        <f>IFERROR(__xludf.DUMMYFUNCTION("""COMPUTED_VALUE"""),"Berlin, Germany; Barcelona, Spain")</f>
        <v/>
      </c>
      <c r="K4986">
        <f>IFERROR(__xludf.DUMMYFUNCTION("""COMPUTED_VALUE"""),8846.24)</f>
        <v/>
      </c>
    </row>
    <row r="4987">
      <c r="J4987">
        <f>IFERROR(__xludf.DUMMYFUNCTION("""COMPUTED_VALUE"""),"Rimouski")</f>
        <v/>
      </c>
      <c r="K4987">
        <f>IFERROR(__xludf.DUMMYFUNCTION("""COMPUTED_VALUE"""),8845.49)</f>
        <v/>
      </c>
    </row>
    <row r="4988">
      <c r="J4988">
        <f>IFERROR(__xludf.DUMMYFUNCTION("""COMPUTED_VALUE"""),"Anchorage, Seattle and Vancouver")</f>
        <v/>
      </c>
      <c r="K4988">
        <f>IFERROR(__xludf.DUMMYFUNCTION("""COMPUTED_VALUE"""),8844.15)</f>
        <v/>
      </c>
    </row>
    <row r="4989">
      <c r="J4989">
        <f>IFERROR(__xludf.DUMMYFUNCTION("""COMPUTED_VALUE"""),"Grand Haven, Michigan, United States")</f>
        <v/>
      </c>
      <c r="K4989">
        <f>IFERROR(__xludf.DUMMYFUNCTION("""COMPUTED_VALUE"""),8843.39)</f>
        <v/>
      </c>
    </row>
    <row r="4990">
      <c r="J4990">
        <f>IFERROR(__xludf.DUMMYFUNCTION("""COMPUTED_VALUE"""),"Stockholm; London,")</f>
        <v/>
      </c>
      <c r="K4990">
        <f>IFERROR(__xludf.DUMMYFUNCTION("""COMPUTED_VALUE"""),8840.67)</f>
        <v/>
      </c>
    </row>
    <row r="4991">
      <c r="J4991">
        <f>IFERROR(__xludf.DUMMYFUNCTION("""COMPUTED_VALUE"""),"Dawson City, Yukon, Canada")</f>
        <v/>
      </c>
      <c r="K4991">
        <f>IFERROR(__xludf.DUMMYFUNCTION("""COMPUTED_VALUE"""),8837.24)</f>
        <v/>
      </c>
    </row>
    <row r="4992">
      <c r="J4992">
        <f>IFERROR(__xludf.DUMMYFUNCTION("""COMPUTED_VALUE"""),"Geneva, Rome and London")</f>
        <v/>
      </c>
      <c r="K4992">
        <f>IFERROR(__xludf.DUMMYFUNCTION("""COMPUTED_VALUE"""),8833.1)</f>
        <v/>
      </c>
    </row>
    <row r="4993">
      <c r="J4993">
        <f>IFERROR(__xludf.DUMMYFUNCTION("""COMPUTED_VALUE"""),"Washington, United States / London, United Kingdom")</f>
        <v/>
      </c>
      <c r="K4993">
        <f>IFERROR(__xludf.DUMMYFUNCTION("""COMPUTED_VALUE"""),8832.74)</f>
        <v/>
      </c>
    </row>
    <row r="4994">
      <c r="J4994">
        <f>IFERROR(__xludf.DUMMYFUNCTION("""COMPUTED_VALUE"""),"St Julian's, Malta")</f>
        <v/>
      </c>
      <c r="K4994">
        <f>IFERROR(__xludf.DUMMYFUNCTION("""COMPUTED_VALUE"""),8832)</f>
        <v/>
      </c>
    </row>
    <row r="4995">
      <c r="J4995">
        <f>IFERROR(__xludf.DUMMYFUNCTION("""COMPUTED_VALUE"""),"Maastricht, Netherlands")</f>
        <v/>
      </c>
      <c r="K4995">
        <f>IFERROR(__xludf.DUMMYFUNCTION("""COMPUTED_VALUE"""),8831.29)</f>
        <v/>
      </c>
    </row>
    <row r="4996">
      <c r="J4996">
        <f>IFERROR(__xludf.DUMMYFUNCTION("""COMPUTED_VALUE"""),"Edingburg, Scotland, United Kingdom")</f>
        <v/>
      </c>
      <c r="K4996">
        <f>IFERROR(__xludf.DUMMYFUNCTION("""COMPUTED_VALUE"""),8831.28)</f>
        <v/>
      </c>
    </row>
    <row r="4997">
      <c r="J4997">
        <f>IFERROR(__xludf.DUMMYFUNCTION("""COMPUTED_VALUE"""),"Vancouver, British Columbia, Canada; Williams Lake, British Columbia, Canada")</f>
        <v/>
      </c>
      <c r="K4997">
        <f>IFERROR(__xludf.DUMMYFUNCTION("""COMPUTED_VALUE"""),8831.22)</f>
        <v/>
      </c>
    </row>
    <row r="4998">
      <c r="J4998">
        <f>IFERROR(__xludf.DUMMYFUNCTION("""COMPUTED_VALUE"""),"Germany and Switzerland")</f>
        <v/>
      </c>
      <c r="K4998">
        <f>IFERROR(__xludf.DUMMYFUNCTION("""COMPUTED_VALUE"""),8830.35)</f>
        <v/>
      </c>
    </row>
    <row r="4999">
      <c r="J4999">
        <f>IFERROR(__xludf.DUMMYFUNCTION("""COMPUTED_VALUE"""),"Riga, Lettonie/ Warsaw, Poland / Catania, Italy /  Naples Italy")</f>
        <v/>
      </c>
      <c r="K4999">
        <f>IFERROR(__xludf.DUMMYFUNCTION("""COMPUTED_VALUE"""),8827.98)</f>
        <v/>
      </c>
    </row>
    <row r="5000">
      <c r="J5000">
        <f>IFERROR(__xludf.DUMMYFUNCTION("""COMPUTED_VALUE"""),"Hanoi, Vietnam; Beijing, China")</f>
        <v/>
      </c>
      <c r="K5000">
        <f>IFERROR(__xludf.DUMMYFUNCTION("""COMPUTED_VALUE"""),8827.93)</f>
        <v/>
      </c>
    </row>
    <row r="5001">
      <c r="J5001">
        <f>IFERROR(__xludf.DUMMYFUNCTION("""COMPUTED_VALUE"""),"Riga (Latvia)")</f>
        <v/>
      </c>
      <c r="K5001">
        <f>IFERROR(__xludf.DUMMYFUNCTION("""COMPUTED_VALUE"""),8818.94)</f>
        <v/>
      </c>
    </row>
    <row r="5002">
      <c r="J5002">
        <f>IFERROR(__xludf.DUMMYFUNCTION("""COMPUTED_VALUE"""),"Winnipeg, Manitoba / Vancouver, British Columbia / Kelowna, British Columbia, Canada")</f>
        <v/>
      </c>
      <c r="K5002">
        <f>IFERROR(__xludf.DUMMYFUNCTION("""COMPUTED_VALUE"""),8818.93999999999)</f>
        <v/>
      </c>
    </row>
    <row r="5003">
      <c r="J5003">
        <f>IFERROR(__xludf.DUMMYFUNCTION("""COMPUTED_VALUE"""),"Gatineau (Québec) and Ottawa (Ontario) Canada")</f>
        <v/>
      </c>
      <c r="K5003">
        <f>IFERROR(__xludf.DUMMYFUNCTION("""COMPUTED_VALUE"""),8818.72)</f>
        <v/>
      </c>
    </row>
    <row r="5004">
      <c r="J5004">
        <f>IFERROR(__xludf.DUMMYFUNCTION("""COMPUTED_VALUE"""),"Geneva, Rome")</f>
        <v/>
      </c>
      <c r="K5004">
        <f>IFERROR(__xludf.DUMMYFUNCTION("""COMPUTED_VALUE"""),8816.73)</f>
        <v/>
      </c>
    </row>
    <row r="5005">
      <c r="J5005">
        <f>IFERROR(__xludf.DUMMYFUNCTION("""COMPUTED_VALUE"""),"Dawson City, Yukon –  Queen Charlotte, British Columbia")</f>
        <v/>
      </c>
      <c r="K5005">
        <f>IFERROR(__xludf.DUMMYFUNCTION("""COMPUTED_VALUE"""),8816.32)</f>
        <v/>
      </c>
    </row>
    <row r="5006">
      <c r="J5006">
        <f>IFERROR(__xludf.DUMMYFUNCTION("""COMPUTED_VALUE"""),"Edmonton, Alberta, Canada; Montreal, Quebec, Canada; Toronto, Ontario, Canada; Regina, Saskatchewan, Canada")</f>
        <v/>
      </c>
      <c r="K5006">
        <f>IFERROR(__xludf.DUMMYFUNCTION("""COMPUTED_VALUE"""),8814.46)</f>
        <v/>
      </c>
    </row>
    <row r="5007">
      <c r="J5007">
        <f>IFERROR(__xludf.DUMMYFUNCTION("""COMPUTED_VALUE"""),"Halifax, Toronto, Canada")</f>
        <v/>
      </c>
      <c r="K5007">
        <f>IFERROR(__xludf.DUMMYFUNCTION("""COMPUTED_VALUE"""),8809)</f>
        <v/>
      </c>
    </row>
    <row r="5008">
      <c r="J5008">
        <f>IFERROR(__xludf.DUMMYFUNCTION("""COMPUTED_VALUE"""),"Brasilia Brazil")</f>
        <v/>
      </c>
      <c r="K5008">
        <f>IFERROR(__xludf.DUMMYFUNCTION("""COMPUTED_VALUE"""),8808.72)</f>
        <v/>
      </c>
    </row>
    <row r="5009">
      <c r="J5009">
        <f>IFERROR(__xludf.DUMMYFUNCTION("""COMPUTED_VALUE"""),"Berlin, Belgium and London")</f>
        <v/>
      </c>
      <c r="K5009">
        <f>IFERROR(__xludf.DUMMYFUNCTION("""COMPUTED_VALUE"""),8808.7)</f>
        <v/>
      </c>
    </row>
    <row r="5010">
      <c r="J5010">
        <f>IFERROR(__xludf.DUMMYFUNCTION("""COMPUTED_VALUE"""),"Churchill, Manitoba and Vancouver and Victoria, British Columbia and Western Arctic, Northwest Territories")</f>
        <v/>
      </c>
      <c r="K5010">
        <f>IFERROR(__xludf.DUMMYFUNCTION("""COMPUTED_VALUE"""),8808.46)</f>
        <v/>
      </c>
    </row>
    <row r="5011">
      <c r="J5011">
        <f>IFERROR(__xludf.DUMMYFUNCTION("""COMPUTED_VALUE"""),"1) Copenhagen, Denmark  2) Oslo, Norway")</f>
        <v/>
      </c>
      <c r="K5011">
        <f>IFERROR(__xludf.DUMMYFUNCTION("""COMPUTED_VALUE"""),8805)</f>
        <v/>
      </c>
    </row>
    <row r="5012">
      <c r="J5012">
        <f>IFERROR(__xludf.DUMMYFUNCTION("""COMPUTED_VALUE"""),"Prague and Rome")</f>
        <v/>
      </c>
      <c r="K5012">
        <f>IFERROR(__xludf.DUMMYFUNCTION("""COMPUTED_VALUE"""),8803.05)</f>
        <v/>
      </c>
    </row>
    <row r="5013">
      <c r="J5013">
        <f>IFERROR(__xludf.DUMMYFUNCTION("""COMPUTED_VALUE"""),"Toronto, Ontario, Canada; Vancouver, British Columbia, Canada; Kelowna, British Columbia, Canada")</f>
        <v/>
      </c>
      <c r="K5013">
        <f>IFERROR(__xludf.DUMMYFUNCTION("""COMPUTED_VALUE"""),8802.95)</f>
        <v/>
      </c>
    </row>
    <row r="5014">
      <c r="J5014">
        <f>IFERROR(__xludf.DUMMYFUNCTION("""COMPUTED_VALUE"""),"Istanbul, Turkyiye")</f>
        <v/>
      </c>
      <c r="K5014">
        <f>IFERROR(__xludf.DUMMYFUNCTION("""COMPUTED_VALUE"""),8801.99)</f>
        <v/>
      </c>
    </row>
    <row r="5015">
      <c r="J5015">
        <f>IFERROR(__xludf.DUMMYFUNCTION("""COMPUTED_VALUE"""),"Québec City and Ottawa")</f>
        <v/>
      </c>
      <c r="K5015">
        <f>IFERROR(__xludf.DUMMYFUNCTION("""COMPUTED_VALUE"""),8801.92)</f>
        <v/>
      </c>
    </row>
    <row r="5016">
      <c r="J5016">
        <f>IFERROR(__xludf.DUMMYFUNCTION("""COMPUTED_VALUE"""),"Québec (Québec) Canada")</f>
        <v/>
      </c>
      <c r="K5016">
        <f>IFERROR(__xludf.DUMMYFUNCTION("""COMPUTED_VALUE"""),8800.35)</f>
        <v/>
      </c>
    </row>
    <row r="5017">
      <c r="J5017">
        <f>IFERROR(__xludf.DUMMYFUNCTION("""COMPUTED_VALUE"""),"Vancouver (British Columbia) Canada; Prince George (British Columbia) Canada")</f>
        <v/>
      </c>
      <c r="K5017">
        <f>IFERROR(__xludf.DUMMYFUNCTION("""COMPUTED_VALUE"""),8799.43)</f>
        <v/>
      </c>
    </row>
    <row r="5018">
      <c r="J5018">
        <f>IFERROR(__xludf.DUMMYFUNCTION("""COMPUTED_VALUE"""),"Cuzco, Peru")</f>
        <v/>
      </c>
      <c r="K5018">
        <f>IFERROR(__xludf.DUMMYFUNCTION("""COMPUTED_VALUE"""),8798.55)</f>
        <v/>
      </c>
    </row>
    <row r="5019">
      <c r="J5019">
        <f>IFERROR(__xludf.DUMMYFUNCTION("""COMPUTED_VALUE"""),"Bedfordshire, United Kingdom")</f>
        <v/>
      </c>
      <c r="K5019">
        <f>IFERROR(__xludf.DUMMYFUNCTION("""COMPUTED_VALUE"""),8791.73)</f>
        <v/>
      </c>
    </row>
    <row r="5020">
      <c r="J5020">
        <f>IFERROR(__xludf.DUMMYFUNCTION("""COMPUTED_VALUE"""),"Delhi, India - Munich, Germany")</f>
        <v/>
      </c>
      <c r="K5020">
        <f>IFERROR(__xludf.DUMMYFUNCTION("""COMPUTED_VALUE"""),8789.24)</f>
        <v/>
      </c>
    </row>
    <row r="5021">
      <c r="J5021">
        <f>IFERROR(__xludf.DUMMYFUNCTION("""COMPUTED_VALUE"""),"Monterrey, Mexico
Buenos Aires, Argentina")</f>
        <v/>
      </c>
      <c r="K5021">
        <f>IFERROR(__xludf.DUMMYFUNCTION("""COMPUTED_VALUE"""),8787.63)</f>
        <v/>
      </c>
    </row>
    <row r="5022">
      <c r="J5022">
        <f>IFERROR(__xludf.DUMMYFUNCTION("""COMPUTED_VALUE"""),"Turkey and Egypt")</f>
        <v/>
      </c>
      <c r="K5022">
        <f>IFERROR(__xludf.DUMMYFUNCTION("""COMPUTED_VALUE"""),8787.28)</f>
        <v/>
      </c>
    </row>
    <row r="5023">
      <c r="J5023">
        <f>IFERROR(__xludf.DUMMYFUNCTION("""COMPUTED_VALUE"""),"Edinburgh - Oxford - London")</f>
        <v/>
      </c>
      <c r="K5023">
        <f>IFERROR(__xludf.DUMMYFUNCTION("""COMPUTED_VALUE"""),8787.21)</f>
        <v/>
      </c>
    </row>
    <row r="5024">
      <c r="J5024">
        <f>IFERROR(__xludf.DUMMYFUNCTION("""COMPUTED_VALUE"""),"Seoul, Gwangju")</f>
        <v/>
      </c>
      <c r="K5024">
        <f>IFERROR(__xludf.DUMMYFUNCTION("""COMPUTED_VALUE"""),8785.16)</f>
        <v/>
      </c>
    </row>
    <row r="5025">
      <c r="J5025">
        <f>IFERROR(__xludf.DUMMYFUNCTION("""COMPUTED_VALUE"""),"Colombia and Peru")</f>
        <v/>
      </c>
      <c r="K5025">
        <f>IFERROR(__xludf.DUMMYFUNCTION("""COMPUTED_VALUE"""),8784.82)</f>
        <v/>
      </c>
    </row>
    <row r="5026">
      <c r="J5026">
        <f>IFERROR(__xludf.DUMMYFUNCTION("""COMPUTED_VALUE"""),"Beijing, Qingdao, Hong Kong")</f>
        <v/>
      </c>
      <c r="K5026">
        <f>IFERROR(__xludf.DUMMYFUNCTION("""COMPUTED_VALUE"""),8781.59)</f>
        <v/>
      </c>
    </row>
    <row r="5027">
      <c r="J5027">
        <f>IFERROR(__xludf.DUMMYFUNCTION("""COMPUTED_VALUE"""),"Abu Dhabi, United Arab Emrites")</f>
        <v/>
      </c>
      <c r="K5027">
        <f>IFERROR(__xludf.DUMMYFUNCTION("""COMPUTED_VALUE"""),8780.98)</f>
        <v/>
      </c>
    </row>
    <row r="5028">
      <c r="J5028">
        <f>IFERROR(__xludf.DUMMYFUNCTION("""COMPUTED_VALUE"""),"Wakefield")</f>
        <v/>
      </c>
      <c r="K5028">
        <f>IFERROR(__xludf.DUMMYFUNCTION("""COMPUTED_VALUE"""),8777.05)</f>
        <v/>
      </c>
    </row>
    <row r="5029">
      <c r="J5029">
        <f>IFERROR(__xludf.DUMMYFUNCTION("""COMPUTED_VALUE"""),"Beijing &amp;Shanghai, China")</f>
        <v/>
      </c>
      <c r="K5029">
        <f>IFERROR(__xludf.DUMMYFUNCTION("""COMPUTED_VALUE"""),8775.64)</f>
        <v/>
      </c>
    </row>
    <row r="5030">
      <c r="J5030">
        <f>IFERROR(__xludf.DUMMYFUNCTION("""COMPUTED_VALUE"""),"GATINEAU, OTTAWA, TORONTO, WARSAW AIRPORT , WARSAW, WARSAW AIRPORT, TORONTO, OTTAWA, GATINEAU")</f>
        <v/>
      </c>
      <c r="K5030">
        <f>IFERROR(__xludf.DUMMYFUNCTION("""COMPUTED_VALUE"""),8773.76)</f>
        <v/>
      </c>
    </row>
    <row r="5031">
      <c r="J5031">
        <f>IFERROR(__xludf.DUMMYFUNCTION("""COMPUTED_VALUE"""),"Vienna, Austria and London, UK")</f>
        <v/>
      </c>
      <c r="K5031">
        <f>IFERROR(__xludf.DUMMYFUNCTION("""COMPUTED_VALUE"""),8771.84)</f>
        <v/>
      </c>
    </row>
    <row r="5032">
      <c r="J5032">
        <f>IFERROR(__xludf.DUMMYFUNCTION("""COMPUTED_VALUE"""),"Monterey, CA")</f>
        <v/>
      </c>
      <c r="K5032">
        <f>IFERROR(__xludf.DUMMYFUNCTION("""COMPUTED_VALUE"""),8771.8)</f>
        <v/>
      </c>
    </row>
    <row r="5033">
      <c r="J5033">
        <f>IFERROR(__xludf.DUMMYFUNCTION("""COMPUTED_VALUE"""),"Vancouver/Whitehorse")</f>
        <v/>
      </c>
      <c r="K5033">
        <f>IFERROR(__xludf.DUMMYFUNCTION("""COMPUTED_VALUE"""),8767.31)</f>
        <v/>
      </c>
    </row>
    <row r="5034">
      <c r="J5034">
        <f>IFERROR(__xludf.DUMMYFUNCTION("""COMPUTED_VALUE"""),"Ottawa, Toronto, Amsterdam, The Hague, Brussels, Luxembourg, Zurich, Montreal, Ottawa")</f>
        <v/>
      </c>
      <c r="K5034">
        <f>IFERROR(__xludf.DUMMYFUNCTION("""COMPUTED_VALUE"""),8766.89)</f>
        <v/>
      </c>
    </row>
    <row r="5035">
      <c r="J5035">
        <f>IFERROR(__xludf.DUMMYFUNCTION("""COMPUTED_VALUE"""),"Vancouver, British Columbia and Whitehorse, Yukon")</f>
        <v/>
      </c>
      <c r="K5035">
        <f>IFERROR(__xludf.DUMMYFUNCTION("""COMPUTED_VALUE"""),8764.19)</f>
        <v/>
      </c>
    </row>
    <row r="5036">
      <c r="J5036">
        <f>IFERROR(__xludf.DUMMYFUNCTION("""COMPUTED_VALUE"""),"St-Hyacinthe, Quebec, Canada")</f>
        <v/>
      </c>
      <c r="K5036">
        <f>IFERROR(__xludf.DUMMYFUNCTION("""COMPUTED_VALUE"""),8763.17)</f>
        <v/>
      </c>
    </row>
    <row r="5037">
      <c r="J5037">
        <f>IFERROR(__xludf.DUMMYFUNCTION("""COMPUTED_VALUE"""),"Edinburgh, Scoland")</f>
        <v/>
      </c>
      <c r="K5037">
        <f>IFERROR(__xludf.DUMMYFUNCTION("""COMPUTED_VALUE"""),8762.85)</f>
        <v/>
      </c>
    </row>
    <row r="5038">
      <c r="J5038">
        <f>IFERROR(__xludf.DUMMYFUNCTION("""COMPUTED_VALUE"""),"London, Berlin")</f>
        <v/>
      </c>
      <c r="K5038">
        <f>IFERROR(__xludf.DUMMYFUNCTION("""COMPUTED_VALUE"""),8762.74)</f>
        <v/>
      </c>
    </row>
    <row r="5039">
      <c r="J5039">
        <f>IFERROR(__xludf.DUMMYFUNCTION("""COMPUTED_VALUE"""),"Ottawa, Petawawa, Toronto")</f>
        <v/>
      </c>
      <c r="K5039">
        <f>IFERROR(__xludf.DUMMYFUNCTION("""COMPUTED_VALUE"""),8758.46)</f>
        <v/>
      </c>
    </row>
    <row r="5040">
      <c r="J5040">
        <f>IFERROR(__xludf.DUMMYFUNCTION("""COMPUTED_VALUE"""),"Kelowna, British Columbia, Calgary, Alberta, Edmonton, Alberta")</f>
        <v/>
      </c>
      <c r="K5040">
        <f>IFERROR(__xludf.DUMMYFUNCTION("""COMPUTED_VALUE"""),8757.36999999999)</f>
        <v/>
      </c>
    </row>
    <row r="5041">
      <c r="J5041">
        <f>IFERROR(__xludf.DUMMYFUNCTION("""COMPUTED_VALUE"""),"Toronto, Ontario, Canada; Kitchener, Ontario, Canada")</f>
        <v/>
      </c>
      <c r="K5041">
        <f>IFERROR(__xludf.DUMMYFUNCTION("""COMPUTED_VALUE"""),8755.86999999999)</f>
        <v/>
      </c>
    </row>
    <row r="5042">
      <c r="J5042">
        <f>IFERROR(__xludf.DUMMYFUNCTION("""COMPUTED_VALUE"""),"Edmonton, Alberta; Vancouver, British Columbia")</f>
        <v/>
      </c>
      <c r="K5042">
        <f>IFERROR(__xludf.DUMMYFUNCTION("""COMPUTED_VALUE"""),8754.35)</f>
        <v/>
      </c>
    </row>
    <row r="5043">
      <c r="J5043">
        <f>IFERROR(__xludf.DUMMYFUNCTION("""COMPUTED_VALUE"""),"London, England - Astana, Kazakhstan")</f>
        <v/>
      </c>
      <c r="K5043">
        <f>IFERROR(__xludf.DUMMYFUNCTION("""COMPUTED_VALUE"""),8753.8)</f>
        <v/>
      </c>
    </row>
    <row r="5044">
      <c r="J5044">
        <f>IFERROR(__xludf.DUMMYFUNCTION("""COMPUTED_VALUE"""),"Venice")</f>
        <v/>
      </c>
      <c r="K5044">
        <f>IFERROR(__xludf.DUMMYFUNCTION("""COMPUTED_VALUE"""),8746.25)</f>
        <v/>
      </c>
    </row>
    <row r="5045">
      <c r="J5045">
        <f>IFERROR(__xludf.DUMMYFUNCTION("""COMPUTED_VALUE"""),"Bejing, Shanghai, China and Seoul Korea")</f>
        <v/>
      </c>
      <c r="K5045">
        <f>IFERROR(__xludf.DUMMYFUNCTION("""COMPUTED_VALUE"""),8746.03)</f>
        <v/>
      </c>
    </row>
    <row r="5046">
      <c r="J5046">
        <f>IFERROR(__xludf.DUMMYFUNCTION("""COMPUTED_VALUE"""),"Petawawa, ON")</f>
        <v/>
      </c>
      <c r="K5046">
        <f>IFERROR(__xludf.DUMMYFUNCTION("""COMPUTED_VALUE"""),8745.91)</f>
        <v/>
      </c>
    </row>
    <row r="5047">
      <c r="J5047">
        <f>IFERROR(__xludf.DUMMYFUNCTION("""COMPUTED_VALUE"""),"Panama, Panama City")</f>
        <v/>
      </c>
      <c r="K5047">
        <f>IFERROR(__xludf.DUMMYFUNCTION("""COMPUTED_VALUE"""),8744.49)</f>
        <v/>
      </c>
    </row>
    <row r="5048">
      <c r="J5048">
        <f>IFERROR(__xludf.DUMMYFUNCTION("""COMPUTED_VALUE"""),"Banff, (Alberta)")</f>
        <v/>
      </c>
      <c r="K5048">
        <f>IFERROR(__xludf.DUMMYFUNCTION("""COMPUTED_VALUE"""),8743.77999999999)</f>
        <v/>
      </c>
    </row>
    <row r="5049">
      <c r="J5049">
        <f>IFERROR(__xludf.DUMMYFUNCTION("""COMPUTED_VALUE"""),"Vorokhta, Kyiv &amp; Bratislava")</f>
        <v/>
      </c>
      <c r="K5049">
        <f>IFERROR(__xludf.DUMMYFUNCTION("""COMPUTED_VALUE"""),8743.5)</f>
        <v/>
      </c>
    </row>
    <row r="5050">
      <c r="J5050">
        <f>IFERROR(__xludf.DUMMYFUNCTION("""COMPUTED_VALUE"""),"Vancouver, British Columbia, Canada/ Toronto, Ontario, Canada/ Montreal, Quebec, Canada")</f>
        <v/>
      </c>
      <c r="K5050">
        <f>IFERROR(__xludf.DUMMYFUNCTION("""COMPUTED_VALUE"""),8743.41)</f>
        <v/>
      </c>
    </row>
    <row r="5051">
      <c r="J5051">
        <f>IFERROR(__xludf.DUMMYFUNCTION("""COMPUTED_VALUE"""),"Madagascar")</f>
        <v/>
      </c>
      <c r="K5051">
        <f>IFERROR(__xludf.DUMMYFUNCTION("""COMPUTED_VALUE"""),8742.19)</f>
        <v/>
      </c>
    </row>
    <row r="5052">
      <c r="J5052">
        <f>IFERROR(__xludf.DUMMYFUNCTION("""COMPUTED_VALUE"""),"Vancouver, British Columbia, Canada; Whistler, British Columbia, Canada; Calgary, Alberta, Canada")</f>
        <v/>
      </c>
      <c r="K5052">
        <f>IFERROR(__xludf.DUMMYFUNCTION("""COMPUTED_VALUE"""),8741.97)</f>
        <v/>
      </c>
    </row>
    <row r="5053">
      <c r="J5053">
        <f>IFERROR(__xludf.DUMMYFUNCTION("""COMPUTED_VALUE"""),"The Hague, Netherlands; Vienna, Austria; Berlin, Germany")</f>
        <v/>
      </c>
      <c r="K5053">
        <f>IFERROR(__xludf.DUMMYFUNCTION("""COMPUTED_VALUE"""),8741.48)</f>
        <v/>
      </c>
    </row>
    <row r="5054">
      <c r="J5054">
        <f>IFERROR(__xludf.DUMMYFUNCTION("""COMPUTED_VALUE"""),"Calgary, AB; Ottawa, ON")</f>
        <v/>
      </c>
      <c r="K5054">
        <f>IFERROR(__xludf.DUMMYFUNCTION("""COMPUTED_VALUE"""),8741.39)</f>
        <v/>
      </c>
    </row>
    <row r="5055">
      <c r="J5055">
        <f>IFERROR(__xludf.DUMMYFUNCTION("""COMPUTED_VALUE"""),"Kamloops")</f>
        <v/>
      </c>
      <c r="K5055">
        <f>IFERROR(__xludf.DUMMYFUNCTION("""COMPUTED_VALUE"""),8740.39)</f>
        <v/>
      </c>
    </row>
    <row r="5056">
      <c r="J5056">
        <f>IFERROR(__xludf.DUMMYFUNCTION("""COMPUTED_VALUE"""),"Brussels, Belgium. Paris, France.")</f>
        <v/>
      </c>
      <c r="K5056">
        <f>IFERROR(__xludf.DUMMYFUNCTION("""COMPUTED_VALUE"""),8739)</f>
        <v/>
      </c>
    </row>
    <row r="5057">
      <c r="J5057">
        <f>IFERROR(__xludf.DUMMYFUNCTION("""COMPUTED_VALUE"""),"Jeju, Korea")</f>
        <v/>
      </c>
      <c r="K5057">
        <f>IFERROR(__xludf.DUMMYFUNCTION("""COMPUTED_VALUE"""),8737.51)</f>
        <v/>
      </c>
    </row>
    <row r="5058">
      <c r="J5058">
        <f>IFERROR(__xludf.DUMMYFUNCTION("""COMPUTED_VALUE"""),"Anaheim, CA, USA")</f>
        <v/>
      </c>
      <c r="K5058">
        <f>IFERROR(__xludf.DUMMYFUNCTION("""COMPUTED_VALUE"""),8735.27)</f>
        <v/>
      </c>
    </row>
    <row r="5059">
      <c r="J5059">
        <f>IFERROR(__xludf.DUMMYFUNCTION("""COMPUTED_VALUE"""),"Vancouver, Regina and Saskatoon")</f>
        <v/>
      </c>
      <c r="K5059">
        <f>IFERROR(__xludf.DUMMYFUNCTION("""COMPUTED_VALUE"""),8734.15)</f>
        <v/>
      </c>
    </row>
    <row r="5060">
      <c r="J5060">
        <f>IFERROR(__xludf.DUMMYFUNCTION("""COMPUTED_VALUE"""),"Washington - Raleigh")</f>
        <v/>
      </c>
      <c r="K5060">
        <f>IFERROR(__xludf.DUMMYFUNCTION("""COMPUTED_VALUE"""),8733.48)</f>
        <v/>
      </c>
    </row>
    <row r="5061">
      <c r="J5061">
        <f>IFERROR(__xludf.DUMMYFUNCTION("""COMPUTED_VALUE"""),"Vevey, Switzerland")</f>
        <v/>
      </c>
      <c r="K5061">
        <f>IFERROR(__xludf.DUMMYFUNCTION("""COMPUTED_VALUE"""),8733.1)</f>
        <v/>
      </c>
    </row>
    <row r="5062">
      <c r="J5062">
        <f>IFERROR(__xludf.DUMMYFUNCTION("""COMPUTED_VALUE"""),"Halifax, Nova Scotioa; Montreal, Quebec; Thunder Bay, Ontario")</f>
        <v/>
      </c>
      <c r="K5062">
        <f>IFERROR(__xludf.DUMMYFUNCTION("""COMPUTED_VALUE"""),8732.71)</f>
        <v/>
      </c>
    </row>
    <row r="5063">
      <c r="J5063">
        <f>IFERROR(__xludf.DUMMYFUNCTION("""COMPUTED_VALUE"""),"Panama, United Kingdon, Toronto")</f>
        <v/>
      </c>
      <c r="K5063">
        <f>IFERROR(__xludf.DUMMYFUNCTION("""COMPUTED_VALUE"""),8727.57)</f>
        <v/>
      </c>
    </row>
    <row r="5064">
      <c r="J5064">
        <f>IFERROR(__xludf.DUMMYFUNCTION("""COMPUTED_VALUE"""),"Ghana and Senegal")</f>
        <v/>
      </c>
      <c r="K5064">
        <f>IFERROR(__xludf.DUMMYFUNCTION("""COMPUTED_VALUE"""),8724.91)</f>
        <v/>
      </c>
    </row>
    <row r="5065">
      <c r="J5065">
        <f>IFERROR(__xludf.DUMMYFUNCTION("""COMPUTED_VALUE"""),"Italy - Isreal")</f>
        <v/>
      </c>
      <c r="K5065">
        <f>IFERROR(__xludf.DUMMYFUNCTION("""COMPUTED_VALUE"""),8724.26)</f>
        <v/>
      </c>
    </row>
    <row r="5066">
      <c r="J5066">
        <f>IFERROR(__xludf.DUMMYFUNCTION("""COMPUTED_VALUE"""),"Brasilia, Sao Paulo and Santiago")</f>
        <v/>
      </c>
      <c r="K5066">
        <f>IFERROR(__xludf.DUMMYFUNCTION("""COMPUTED_VALUE"""),8724.23)</f>
        <v/>
      </c>
    </row>
    <row r="5067">
      <c r="J5067">
        <f>IFERROR(__xludf.DUMMYFUNCTION("""COMPUTED_VALUE"""),"Wiesbaden Germany and Riga Latvia")</f>
        <v/>
      </c>
      <c r="K5067">
        <f>IFERROR(__xludf.DUMMYFUNCTION("""COMPUTED_VALUE"""),8723.15)</f>
        <v/>
      </c>
    </row>
    <row r="5068">
      <c r="J5068">
        <f>IFERROR(__xludf.DUMMYFUNCTION("""COMPUTED_VALUE"""),"Toronto, Ontario, Canada; Fredericton, New Brunswick, Canada; Halifax, Nova Scotia, Canada")</f>
        <v/>
      </c>
      <c r="K5068">
        <f>IFERROR(__xludf.DUMMYFUNCTION("""COMPUTED_VALUE"""),8719.18)</f>
        <v/>
      </c>
    </row>
    <row r="5069">
      <c r="J5069">
        <f>IFERROR(__xludf.DUMMYFUNCTION("""COMPUTED_VALUE"""),"Geneva, Switzerland / Nairobi, Kenya")</f>
        <v/>
      </c>
      <c r="K5069">
        <f>IFERROR(__xludf.DUMMYFUNCTION("""COMPUTED_VALUE"""),8718.79)</f>
        <v/>
      </c>
    </row>
    <row r="5070">
      <c r="J5070">
        <f>IFERROR(__xludf.DUMMYFUNCTION("""COMPUTED_VALUE"""),"Tromso, Norway and London, England")</f>
        <v/>
      </c>
      <c r="K5070">
        <f>IFERROR(__xludf.DUMMYFUNCTION("""COMPUTED_VALUE"""),8716.02)</f>
        <v/>
      </c>
    </row>
    <row r="5071">
      <c r="J5071">
        <f>IFERROR(__xludf.DUMMYFUNCTION("""COMPUTED_VALUE"""),"Philadelphia, United States; Washington D.C, United States")</f>
        <v/>
      </c>
      <c r="K5071">
        <f>IFERROR(__xludf.DUMMYFUNCTION("""COMPUTED_VALUE"""),8715.9)</f>
        <v/>
      </c>
    </row>
    <row r="5072">
      <c r="J5072">
        <f>IFERROR(__xludf.DUMMYFUNCTION("""COMPUTED_VALUE"""),"Calgary, Alberta; Edmonton, Alberta; Yellowknife, Northwest Territories, Canada")</f>
        <v/>
      </c>
      <c r="K5072">
        <f>IFERROR(__xludf.DUMMYFUNCTION("""COMPUTED_VALUE"""),8714.86999999999)</f>
        <v/>
      </c>
    </row>
    <row r="5073">
      <c r="J5073">
        <f>IFERROR(__xludf.DUMMYFUNCTION("""COMPUTED_VALUE"""),"Lac Saint-Jean / Jonquière / Chicoutimi, (Quebec)")</f>
        <v/>
      </c>
      <c r="K5073">
        <f>IFERROR(__xludf.DUMMYFUNCTION("""COMPUTED_VALUE"""),8714.41)</f>
        <v/>
      </c>
    </row>
    <row r="5074">
      <c r="J5074">
        <f>IFERROR(__xludf.DUMMYFUNCTION("""COMPUTED_VALUE"""),"Germany, Thailand, Cambodia, Philippines")</f>
        <v/>
      </c>
      <c r="K5074">
        <f>IFERROR(__xludf.DUMMYFUNCTION("""COMPUTED_VALUE"""),8713.62)</f>
        <v/>
      </c>
    </row>
    <row r="5075">
      <c r="J5075">
        <f>IFERROR(__xludf.DUMMYFUNCTION("""COMPUTED_VALUE"""),"Rome, Italy; Essen, Germany")</f>
        <v/>
      </c>
      <c r="K5075">
        <f>IFERROR(__xludf.DUMMYFUNCTION("""COMPUTED_VALUE"""),8713.46)</f>
        <v/>
      </c>
    </row>
    <row r="5076">
      <c r="J5076">
        <f>IFERROR(__xludf.DUMMYFUNCTION("""COMPUTED_VALUE"""),"Gatineau, Quebec, (Canada)")</f>
        <v/>
      </c>
      <c r="K5076">
        <f>IFERROR(__xludf.DUMMYFUNCTION("""COMPUTED_VALUE"""),8711.87)</f>
        <v/>
      </c>
    </row>
    <row r="5077">
      <c r="J5077">
        <f>IFERROR(__xludf.DUMMYFUNCTION("""COMPUTED_VALUE"""),"Dartmouth, NS / Lunenburg, NS / Hunts Point, NS / Digby, NS")</f>
        <v/>
      </c>
      <c r="K5077">
        <f>IFERROR(__xludf.DUMMYFUNCTION("""COMPUTED_VALUE"""),8709.99)</f>
        <v/>
      </c>
    </row>
    <row r="5078">
      <c r="J5078">
        <f>IFERROR(__xludf.DUMMYFUNCTION("""COMPUTED_VALUE"""),"Regina, Toronto and Montreal")</f>
        <v/>
      </c>
      <c r="K5078">
        <f>IFERROR(__xludf.DUMMYFUNCTION("""COMPUTED_VALUE"""),8708.9)</f>
        <v/>
      </c>
    </row>
    <row r="5079">
      <c r="J5079">
        <f>IFERROR(__xludf.DUMMYFUNCTION("""COMPUTED_VALUE"""),"Charlevoix, QC")</f>
        <v/>
      </c>
      <c r="K5079">
        <f>IFERROR(__xludf.DUMMYFUNCTION("""COMPUTED_VALUE"""),8708.55)</f>
        <v/>
      </c>
    </row>
    <row r="5080">
      <c r="J5080">
        <f>IFERROR(__xludf.DUMMYFUNCTION("""COMPUTED_VALUE"""),"ST. JOHN'S, NL")</f>
        <v/>
      </c>
      <c r="K5080">
        <f>IFERROR(__xludf.DUMMYFUNCTION("""COMPUTED_VALUE"""),8708.41)</f>
        <v/>
      </c>
    </row>
    <row r="5081">
      <c r="J5081">
        <f>IFERROR(__xludf.DUMMYFUNCTION("""COMPUTED_VALUE"""),"Washington, DC; Halifax, N.S.")</f>
        <v/>
      </c>
      <c r="K5081">
        <f>IFERROR(__xludf.DUMMYFUNCTION("""COMPUTED_VALUE"""),8707.66)</f>
        <v/>
      </c>
    </row>
    <row r="5082">
      <c r="J5082">
        <f>IFERROR(__xludf.DUMMYFUNCTION("""COMPUTED_VALUE"""),"Ottawa and Washington, D.C.")</f>
        <v/>
      </c>
      <c r="K5082">
        <f>IFERROR(__xludf.DUMMYFUNCTION("""COMPUTED_VALUE"""),8707.19)</f>
        <v/>
      </c>
    </row>
    <row r="5083">
      <c r="J5083">
        <f>IFERROR(__xludf.DUMMYFUNCTION("""COMPUTED_VALUE"""),"Ottawa - Shanghai")</f>
        <v/>
      </c>
      <c r="K5083">
        <f>IFERROR(__xludf.DUMMYFUNCTION("""COMPUTED_VALUE"""),8704.41)</f>
        <v/>
      </c>
    </row>
    <row r="5084">
      <c r="J5084">
        <f>IFERROR(__xludf.DUMMYFUNCTION("""COMPUTED_VALUE"""),"Nairobi, Juba and London")</f>
        <v/>
      </c>
      <c r="K5084">
        <f>IFERROR(__xludf.DUMMYFUNCTION("""COMPUTED_VALUE"""),8702.32)</f>
        <v/>
      </c>
    </row>
    <row r="5085">
      <c r="J5085">
        <f>IFERROR(__xludf.DUMMYFUNCTION("""COMPUTED_VALUE"""),"Beijing, Seoul, South korea")</f>
        <v/>
      </c>
      <c r="K5085">
        <f>IFERROR(__xludf.DUMMYFUNCTION("""COMPUTED_VALUE"""),8700.61)</f>
        <v/>
      </c>
    </row>
    <row r="5086">
      <c r="J5086">
        <f>IFERROR(__xludf.DUMMYFUNCTION("""COMPUTED_VALUE"""),"Niagara Falls, Ontario, Canada / Winnipeg, Manitoba, Canada / Vancouver/Victoria/Kelowna, British Columbia, Canada / Rankin Inlet, Nunavut, Canada / Yellowknife, Northwest Territories")</f>
        <v/>
      </c>
      <c r="K5086">
        <f>IFERROR(__xludf.DUMMYFUNCTION("""COMPUTED_VALUE"""),8700.46)</f>
        <v/>
      </c>
    </row>
    <row r="5087">
      <c r="J5087">
        <f>IFERROR(__xludf.DUMMYFUNCTION("""COMPUTED_VALUE"""),"Yellowknife, Northwest Territories and Alberta, Saskatchewan and Charlottetown, Prince Edward Island")</f>
        <v/>
      </c>
      <c r="K5087">
        <f>IFERROR(__xludf.DUMMYFUNCTION("""COMPUTED_VALUE"""),8700.27)</f>
        <v/>
      </c>
    </row>
    <row r="5088">
      <c r="J5088">
        <f>IFERROR(__xludf.DUMMYFUNCTION("""COMPUTED_VALUE"""),"London, United Kingdom and Vancouver, British Colombia")</f>
        <v/>
      </c>
      <c r="K5088">
        <f>IFERROR(__xludf.DUMMYFUNCTION("""COMPUTED_VALUE"""),8699.88)</f>
        <v/>
      </c>
    </row>
    <row r="5089">
      <c r="J5089">
        <f>IFERROR(__xludf.DUMMYFUNCTION("""COMPUTED_VALUE"""),"Tucson, Arizona, USA")</f>
        <v/>
      </c>
      <c r="K5089">
        <f>IFERROR(__xludf.DUMMYFUNCTION("""COMPUTED_VALUE"""),8699.68)</f>
        <v/>
      </c>
    </row>
    <row r="5090">
      <c r="J5090">
        <f>IFERROR(__xludf.DUMMYFUNCTION("""COMPUTED_VALUE"""),"Kuala Lumpur Singapore and Busan, Malaysia Singapore and South Korea")</f>
        <v/>
      </c>
      <c r="K5090">
        <f>IFERROR(__xludf.DUMMYFUNCTION("""COMPUTED_VALUE"""),8698.59)</f>
        <v/>
      </c>
    </row>
    <row r="5091">
      <c r="J5091">
        <f>IFERROR(__xludf.DUMMYFUNCTION("""COMPUTED_VALUE"""),"Cancun &amp; Mexico City")</f>
        <v/>
      </c>
      <c r="K5091">
        <f>IFERROR(__xludf.DUMMYFUNCTION("""COMPUTED_VALUE"""),8698.11)</f>
        <v/>
      </c>
    </row>
    <row r="5092">
      <c r="J5092">
        <f>IFERROR(__xludf.DUMMYFUNCTION("""COMPUTED_VALUE"""),"Stuttgart, Germany / Krakow, Poland")</f>
        <v/>
      </c>
      <c r="K5092">
        <f>IFERROR(__xludf.DUMMYFUNCTION("""COMPUTED_VALUE"""),8696.92)</f>
        <v/>
      </c>
    </row>
    <row r="5093">
      <c r="J5093">
        <f>IFERROR(__xludf.DUMMYFUNCTION("""COMPUTED_VALUE"""),"Vancouver; Surrey; Richmond; Coquitlam, British-Columbia, Canada")</f>
        <v/>
      </c>
      <c r="K5093">
        <f>IFERROR(__xludf.DUMMYFUNCTION("""COMPUTED_VALUE"""),8695.78999999999)</f>
        <v/>
      </c>
    </row>
    <row r="5094">
      <c r="J5094">
        <f>IFERROR(__xludf.DUMMYFUNCTION("""COMPUTED_VALUE"""),"Vancouver, Nanaimo, and Victoria, British Columbia, Canada")</f>
        <v/>
      </c>
      <c r="K5094">
        <f>IFERROR(__xludf.DUMMYFUNCTION("""COMPUTED_VALUE"""),8695.47)</f>
        <v/>
      </c>
    </row>
    <row r="5095">
      <c r="J5095">
        <f>IFERROR(__xludf.DUMMYFUNCTION("""COMPUTED_VALUE"""),"Washington, D.C., United-States")</f>
        <v/>
      </c>
      <c r="K5095">
        <f>IFERROR(__xludf.DUMMYFUNCTION("""COMPUTED_VALUE"""),8691.94)</f>
        <v/>
      </c>
    </row>
    <row r="5096">
      <c r="J5096">
        <f>IFERROR(__xludf.DUMMYFUNCTION("""COMPUTED_VALUE"""),"Saskatoon,Saskachewan, Canada")</f>
        <v/>
      </c>
      <c r="K5096">
        <f>IFERROR(__xludf.DUMMYFUNCTION("""COMPUTED_VALUE"""),8688.52)</f>
        <v/>
      </c>
    </row>
    <row r="5097">
      <c r="J5097">
        <f>IFERROR(__xludf.DUMMYFUNCTION("""COMPUTED_VALUE"""),"Vancouver, BC - Calgary AB")</f>
        <v/>
      </c>
      <c r="K5097">
        <f>IFERROR(__xludf.DUMMYFUNCTION("""COMPUTED_VALUE"""),8688.18)</f>
        <v/>
      </c>
    </row>
    <row r="5098">
      <c r="J5098">
        <f>IFERROR(__xludf.DUMMYFUNCTION("""COMPUTED_VALUE"""),"Pakistan and United Arab Emirates")</f>
        <v/>
      </c>
      <c r="K5098">
        <f>IFERROR(__xludf.DUMMYFUNCTION("""COMPUTED_VALUE"""),8685.98)</f>
        <v/>
      </c>
    </row>
    <row r="5099">
      <c r="J5099">
        <f>IFERROR(__xludf.DUMMYFUNCTION("""COMPUTED_VALUE"""),"New York NY")</f>
        <v/>
      </c>
      <c r="K5099">
        <f>IFERROR(__xludf.DUMMYFUNCTION("""COMPUTED_VALUE"""),8684.39)</f>
        <v/>
      </c>
    </row>
    <row r="5100">
      <c r="J5100">
        <f>IFERROR(__xludf.DUMMYFUNCTION("""COMPUTED_VALUE"""),"Ottawa, Ontario, Canada; Edmonton, Alberta, Canada")</f>
        <v/>
      </c>
      <c r="K5100">
        <f>IFERROR(__xludf.DUMMYFUNCTION("""COMPUTED_VALUE"""),8683.56)</f>
        <v/>
      </c>
    </row>
    <row r="5101">
      <c r="J5101">
        <f>IFERROR(__xludf.DUMMYFUNCTION("""COMPUTED_VALUE"""),"Brussels, Belgium - Lviv, Ukraine - Riga, Latvia")</f>
        <v/>
      </c>
      <c r="K5101">
        <f>IFERROR(__xludf.DUMMYFUNCTION("""COMPUTED_VALUE"""),8675.26)</f>
        <v/>
      </c>
    </row>
    <row r="5102">
      <c r="J5102">
        <f>IFERROR(__xludf.DUMMYFUNCTION("""COMPUTED_VALUE"""),"Washington D.C., United Stated")</f>
        <v/>
      </c>
      <c r="K5102">
        <f>IFERROR(__xludf.DUMMYFUNCTION("""COMPUTED_VALUE"""),8672.86)</f>
        <v/>
      </c>
    </row>
    <row r="5103">
      <c r="J5103">
        <f>IFERROR(__xludf.DUMMYFUNCTION("""COMPUTED_VALUE"""),"Rome, Italy; Paris, France; Toronto, Ontario")</f>
        <v/>
      </c>
      <c r="K5103">
        <f>IFERROR(__xludf.DUMMYFUNCTION("""COMPUTED_VALUE"""),8666.66)</f>
        <v/>
      </c>
    </row>
    <row r="5104">
      <c r="J5104">
        <f>IFERROR(__xludf.DUMMYFUNCTION("""COMPUTED_VALUE"""),"Toronto, Ontario, Canada; Charlottetown, Prince Edward Island, Canada")</f>
        <v/>
      </c>
      <c r="K5104">
        <f>IFERROR(__xludf.DUMMYFUNCTION("""COMPUTED_VALUE"""),8663.67)</f>
        <v/>
      </c>
    </row>
    <row r="5105">
      <c r="J5105">
        <f>IFERROR(__xludf.DUMMYFUNCTION("""COMPUTED_VALUE"""),"Tampa &amp; Miami Florida / Quito Ecuador")</f>
        <v/>
      </c>
      <c r="K5105">
        <f>IFERROR(__xludf.DUMMYFUNCTION("""COMPUTED_VALUE"""),8661.33)</f>
        <v/>
      </c>
    </row>
    <row r="5106">
      <c r="J5106">
        <f>IFERROR(__xludf.DUMMYFUNCTION("""COMPUTED_VALUE"""),"Halifax, Nova Scotia, Canada; Truro, Nova Scotia, Canada; Charlottetown, Prince Edward Island, Canada")</f>
        <v/>
      </c>
      <c r="K5106">
        <f>IFERROR(__xludf.DUMMYFUNCTION("""COMPUTED_VALUE"""),8660.25)</f>
        <v/>
      </c>
    </row>
    <row r="5107">
      <c r="J5107">
        <f>IFERROR(__xludf.DUMMYFUNCTION("""COMPUTED_VALUE"""),"Edinburgh, Paris")</f>
        <v/>
      </c>
      <c r="K5107">
        <f>IFERROR(__xludf.DUMMYFUNCTION("""COMPUTED_VALUE"""),8658.98)</f>
        <v/>
      </c>
    </row>
    <row r="5108">
      <c r="J5108">
        <f>IFERROR(__xludf.DUMMYFUNCTION("""COMPUTED_VALUE"""),"London / Lossiemouth")</f>
        <v/>
      </c>
      <c r="K5108">
        <f>IFERROR(__xludf.DUMMYFUNCTION("""COMPUTED_VALUE"""),8654.88)</f>
        <v/>
      </c>
    </row>
    <row r="5109">
      <c r="J5109">
        <f>IFERROR(__xludf.DUMMYFUNCTION("""COMPUTED_VALUE"""),"Vancouver, BC / Whitehorse, YT")</f>
        <v/>
      </c>
      <c r="K5109">
        <f>IFERROR(__xludf.DUMMYFUNCTION("""COMPUTED_VALUE"""),8654.06)</f>
        <v/>
      </c>
    </row>
    <row r="5110">
      <c r="J5110">
        <f>IFERROR(__xludf.DUMMYFUNCTION("""COMPUTED_VALUE"""),"France &amp; Rome")</f>
        <v/>
      </c>
      <c r="K5110">
        <f>IFERROR(__xludf.DUMMYFUNCTION("""COMPUTED_VALUE"""),8652.28)</f>
        <v/>
      </c>
    </row>
    <row r="5111">
      <c r="J5111">
        <f>IFERROR(__xludf.DUMMYFUNCTION("""COMPUTED_VALUE"""),"Toronto Waterloo, Ontario, Canada")</f>
        <v/>
      </c>
      <c r="K5111">
        <f>IFERROR(__xludf.DUMMYFUNCTION("""COMPUTED_VALUE"""),8646.64)</f>
        <v/>
      </c>
    </row>
    <row r="5112">
      <c r="J5112">
        <f>IFERROR(__xludf.DUMMYFUNCTION("""COMPUTED_VALUE"""),"Addis Abeba, Ethiopia")</f>
        <v/>
      </c>
      <c r="K5112">
        <f>IFERROR(__xludf.DUMMYFUNCTION("""COMPUTED_VALUE"""),8646.36)</f>
        <v/>
      </c>
    </row>
    <row r="5113">
      <c r="J5113">
        <f>IFERROR(__xludf.DUMMYFUNCTION("""COMPUTED_VALUE"""),"MONTREAL, QUEBEC, CANADA")</f>
        <v/>
      </c>
      <c r="K5113">
        <f>IFERROR(__xludf.DUMMYFUNCTION("""COMPUTED_VALUE"""),8642.47999999999)</f>
        <v/>
      </c>
    </row>
    <row r="5114">
      <c r="J5114">
        <f>IFERROR(__xludf.DUMMYFUNCTION("""COMPUTED_VALUE"""),"Poland, Lithuana, Latvia and Estonia")</f>
        <v/>
      </c>
      <c r="K5114">
        <f>IFERROR(__xludf.DUMMYFUNCTION("""COMPUTED_VALUE"""),8641.9)</f>
        <v/>
      </c>
    </row>
    <row r="5115">
      <c r="J5115">
        <f>IFERROR(__xludf.DUMMYFUNCTION("""COMPUTED_VALUE"""),"Nunatsiavut, Newfoundland and Labrador, Canada")</f>
        <v/>
      </c>
      <c r="K5115">
        <f>IFERROR(__xludf.DUMMYFUNCTION("""COMPUTED_VALUE"""),8639.56)</f>
        <v/>
      </c>
    </row>
    <row r="5116">
      <c r="J5116">
        <f>IFERROR(__xludf.DUMMYFUNCTION("""COMPUTED_VALUE"""),"Portland, Newport, Astoria, (Oregon) Ilwaco, Westport, Seattle (WA). Ottawa")</f>
        <v/>
      </c>
      <c r="K5116">
        <f>IFERROR(__xludf.DUMMYFUNCTION("""COMPUTED_VALUE"""),8636.35)</f>
        <v/>
      </c>
    </row>
    <row r="5117">
      <c r="J5117">
        <f>IFERROR(__xludf.DUMMYFUNCTION("""COMPUTED_VALUE"""),"Lisbon, Portugal &amp; London, England, United Kingdom")</f>
        <v/>
      </c>
      <c r="K5117">
        <f>IFERROR(__xludf.DUMMYFUNCTION("""COMPUTED_VALUE"""),8634.47)</f>
        <v/>
      </c>
    </row>
    <row r="5118">
      <c r="J5118">
        <f>IFERROR(__xludf.DUMMYFUNCTION("""COMPUTED_VALUE"""),"Toronto, Ottawa, Victoria and Vancouver")</f>
        <v/>
      </c>
      <c r="K5118">
        <f>IFERROR(__xludf.DUMMYFUNCTION("""COMPUTED_VALUE"""),8631.16)</f>
        <v/>
      </c>
    </row>
    <row r="5119">
      <c r="J5119">
        <f>IFERROR(__xludf.DUMMYFUNCTION("""COMPUTED_VALUE"""),"Paris/Brussels, France/Belgium")</f>
        <v/>
      </c>
      <c r="K5119">
        <f>IFERROR(__xludf.DUMMYFUNCTION("""COMPUTED_VALUE"""),8629.24)</f>
        <v/>
      </c>
    </row>
    <row r="5120">
      <c r="J5120">
        <f>IFERROR(__xludf.DUMMYFUNCTION("""COMPUTED_VALUE"""),"Yellowknife, (Northwest Territories)")</f>
        <v/>
      </c>
      <c r="K5120">
        <f>IFERROR(__xludf.DUMMYFUNCTION("""COMPUTED_VALUE"""),8627.97)</f>
        <v/>
      </c>
    </row>
    <row r="5121">
      <c r="J5121">
        <f>IFERROR(__xludf.DUMMYFUNCTION("""COMPUTED_VALUE"""),"Oslo, Norway and Munich, Germany")</f>
        <v/>
      </c>
      <c r="K5121">
        <f>IFERROR(__xludf.DUMMYFUNCTION("""COMPUTED_VALUE"""),8627.02)</f>
        <v/>
      </c>
    </row>
    <row r="5122">
      <c r="J5122">
        <f>IFERROR(__xludf.DUMMYFUNCTION("""COMPUTED_VALUE"""),"London, United Kingdom / Berlin, Germany / Hamburg, Germany")</f>
        <v/>
      </c>
      <c r="K5122">
        <f>IFERROR(__xludf.DUMMYFUNCTION("""COMPUTED_VALUE"""),8625.92)</f>
        <v/>
      </c>
    </row>
    <row r="5123">
      <c r="J5123">
        <f>IFERROR(__xludf.DUMMYFUNCTION("""COMPUTED_VALUE"""),"Victoria, BC Vancouver, BC")</f>
        <v/>
      </c>
      <c r="K5123">
        <f>IFERROR(__xludf.DUMMYFUNCTION("""COMPUTED_VALUE"""),8624.86999999999)</f>
        <v/>
      </c>
    </row>
    <row r="5124">
      <c r="J5124">
        <f>IFERROR(__xludf.DUMMYFUNCTION("""COMPUTED_VALUE"""),"Tel Aviv, Isarel")</f>
        <v/>
      </c>
      <c r="K5124">
        <f>IFERROR(__xludf.DUMMYFUNCTION("""COMPUTED_VALUE"""),8622.37)</f>
        <v/>
      </c>
    </row>
    <row r="5125">
      <c r="J5125">
        <f>IFERROR(__xludf.DUMMYFUNCTION("""COMPUTED_VALUE"""),"Bangkok, Thailand and Nay Pyi Taw and Rangoon, Burma")</f>
        <v/>
      </c>
      <c r="K5125">
        <f>IFERROR(__xludf.DUMMYFUNCTION("""COMPUTED_VALUE"""),8621.47)</f>
        <v/>
      </c>
    </row>
    <row r="5126">
      <c r="J5126">
        <f>IFERROR(__xludf.DUMMYFUNCTION("""COMPUTED_VALUE"""),"Edmonton, Singapore, Vietnam, Hong Kong, Kamloops, Calgary, Banff and Toronto")</f>
        <v/>
      </c>
      <c r="K5126">
        <f>IFERROR(__xludf.DUMMYFUNCTION("""COMPUTED_VALUE"""),8616.68)</f>
        <v/>
      </c>
    </row>
    <row r="5127">
      <c r="J5127">
        <f>IFERROR(__xludf.DUMMYFUNCTION("""COMPUTED_VALUE"""),"Tokyo &amp; Beijing")</f>
        <v/>
      </c>
      <c r="K5127">
        <f>IFERROR(__xludf.DUMMYFUNCTION("""COMPUTED_VALUE"""),8614.84)</f>
        <v/>
      </c>
    </row>
    <row r="5128">
      <c r="J5128">
        <f>IFERROR(__xludf.DUMMYFUNCTION("""COMPUTED_VALUE"""),"Divonne, France")</f>
        <v/>
      </c>
      <c r="K5128">
        <f>IFERROR(__xludf.DUMMYFUNCTION("""COMPUTED_VALUE"""),8611.44)</f>
        <v/>
      </c>
    </row>
    <row r="5129">
      <c r="J5129">
        <f>IFERROR(__xludf.DUMMYFUNCTION("""COMPUTED_VALUE"""),"Charlottetown, St-John")</f>
        <v/>
      </c>
      <c r="K5129">
        <f>IFERROR(__xludf.DUMMYFUNCTION("""COMPUTED_VALUE"""),8609.03)</f>
        <v/>
      </c>
    </row>
    <row r="5130">
      <c r="J5130">
        <f>IFERROR(__xludf.DUMMYFUNCTION("""COMPUTED_VALUE"""),"BC and Fredericton")</f>
        <v/>
      </c>
      <c r="K5130">
        <f>IFERROR(__xludf.DUMMYFUNCTION("""COMPUTED_VALUE"""),8608.6)</f>
        <v/>
      </c>
    </row>
    <row r="5131">
      <c r="J5131">
        <f>IFERROR(__xludf.DUMMYFUNCTION("""COMPUTED_VALUE"""),"Montreal, Quebec, Canada; Halifax, Nova Scotia, Canada; St. John's, Newfoundland and Labrador, Canada; Toronto, Ontario, Canada; Guelph, Ontario, Canada")</f>
        <v/>
      </c>
      <c r="K5131">
        <f>IFERROR(__xludf.DUMMYFUNCTION("""COMPUTED_VALUE"""),8607.94)</f>
        <v/>
      </c>
    </row>
    <row r="5132">
      <c r="J5132">
        <f>IFERROR(__xludf.DUMMYFUNCTION("""COMPUTED_VALUE"""),"Guayaquil, Quito, Ecuador;
Buenos Aires, Argentina")</f>
        <v/>
      </c>
      <c r="K5132">
        <f>IFERROR(__xludf.DUMMYFUNCTION("""COMPUTED_VALUE"""),8606.35)</f>
        <v/>
      </c>
    </row>
    <row r="5133">
      <c r="J5133">
        <f>IFERROR(__xludf.DUMMYFUNCTION("""COMPUTED_VALUE"""),"Calgary, Alberta, Canada/ Vancouver, British Columbia, Canada")</f>
        <v/>
      </c>
      <c r="K5133">
        <f>IFERROR(__xludf.DUMMYFUNCTION("""COMPUTED_VALUE"""),8604.24)</f>
        <v/>
      </c>
    </row>
    <row r="5134">
      <c r="J5134">
        <f>IFERROR(__xludf.DUMMYFUNCTION("""COMPUTED_VALUE"""),"Israel; Jordan")</f>
        <v/>
      </c>
      <c r="K5134">
        <f>IFERROR(__xludf.DUMMYFUNCTION("""COMPUTED_VALUE"""),8602.67)</f>
        <v/>
      </c>
    </row>
    <row r="5135">
      <c r="J5135">
        <f>IFERROR(__xludf.DUMMYFUNCTION("""COMPUTED_VALUE"""),"Frankfurt, Germany/ Berlin, Germany/ Munich, Germany/ Stuttgart, Germany")</f>
        <v/>
      </c>
      <c r="K5135">
        <f>IFERROR(__xludf.DUMMYFUNCTION("""COMPUTED_VALUE"""),8599.26)</f>
        <v/>
      </c>
    </row>
    <row r="5136">
      <c r="J5136">
        <f>IFERROR(__xludf.DUMMYFUNCTION("""COMPUTED_VALUE"""),"Prince Rupert, British Colombia")</f>
        <v/>
      </c>
      <c r="K5136">
        <f>IFERROR(__xludf.DUMMYFUNCTION("""COMPUTED_VALUE"""),8595.42)</f>
        <v/>
      </c>
    </row>
    <row r="5137">
      <c r="J5137">
        <f>IFERROR(__xludf.DUMMYFUNCTION("""COMPUTED_VALUE"""),"Stockholm, Sweden; Brussels, Belgium; London, England")</f>
        <v/>
      </c>
      <c r="K5137">
        <f>IFERROR(__xludf.DUMMYFUNCTION("""COMPUTED_VALUE"""),8593.9)</f>
        <v/>
      </c>
    </row>
    <row r="5138">
      <c r="J5138">
        <f>IFERROR(__xludf.DUMMYFUNCTION("""COMPUTED_VALUE"""),"Riga, Latvia; Vilnius, Lithuania")</f>
        <v/>
      </c>
      <c r="K5138">
        <f>IFERROR(__xludf.DUMMYFUNCTION("""COMPUTED_VALUE"""),8593.39)</f>
        <v/>
      </c>
    </row>
    <row r="5139">
      <c r="J5139">
        <f>IFERROR(__xludf.DUMMYFUNCTION("""COMPUTED_VALUE"""),"Poland, Germany and Belgium")</f>
        <v/>
      </c>
      <c r="K5139">
        <f>IFERROR(__xludf.DUMMYFUNCTION("""COMPUTED_VALUE"""),8591.35)</f>
        <v/>
      </c>
    </row>
    <row r="5140">
      <c r="J5140">
        <f>IFERROR(__xludf.DUMMYFUNCTION("""COMPUTED_VALUE"""),"Vancouver, British Columbia / Moncton, New Brunswick, Canada")</f>
        <v/>
      </c>
      <c r="K5140">
        <f>IFERROR(__xludf.DUMMYFUNCTION("""COMPUTED_VALUE"""),8590.79)</f>
        <v/>
      </c>
    </row>
    <row r="5141">
      <c r="J5141">
        <f>IFERROR(__xludf.DUMMYFUNCTION("""COMPUTED_VALUE"""),"Beijing and Shanghai, China Regina, Saskatchewan")</f>
        <v/>
      </c>
      <c r="K5141">
        <f>IFERROR(__xludf.DUMMYFUNCTION("""COMPUTED_VALUE"""),8590.65)</f>
        <v/>
      </c>
    </row>
    <row r="5142">
      <c r="J5142">
        <f>IFERROR(__xludf.DUMMYFUNCTION("""COMPUTED_VALUE"""),"Bogota and Rioacha, Colombia")</f>
        <v/>
      </c>
      <c r="K5142">
        <f>IFERROR(__xludf.DUMMYFUNCTION("""COMPUTED_VALUE"""),8590.5)</f>
        <v/>
      </c>
    </row>
    <row r="5143">
      <c r="J5143">
        <f>IFERROR(__xludf.DUMMYFUNCTION("""COMPUTED_VALUE"""),"Rome, Lisbon, Madrid")</f>
        <v/>
      </c>
      <c r="K5143">
        <f>IFERROR(__xludf.DUMMYFUNCTION("""COMPUTED_VALUE"""),8590.17)</f>
        <v/>
      </c>
    </row>
    <row r="5144">
      <c r="J5144">
        <f>IFERROR(__xludf.DUMMYFUNCTION("""COMPUTED_VALUE"""),"Haida Gwaii, Bristish Colombia, Canada")</f>
        <v/>
      </c>
      <c r="K5144">
        <f>IFERROR(__xludf.DUMMYFUNCTION("""COMPUTED_VALUE"""),8589.97)</f>
        <v/>
      </c>
    </row>
    <row r="5145">
      <c r="J5145">
        <f>IFERROR(__xludf.DUMMYFUNCTION("""COMPUTED_VALUE"""),"Brussels, Belgium &amp; Oslo, Norway")</f>
        <v/>
      </c>
      <c r="K5145">
        <f>IFERROR(__xludf.DUMMYFUNCTION("""COMPUTED_VALUE"""),8589.19)</f>
        <v/>
      </c>
    </row>
    <row r="5146">
      <c r="J5146">
        <f>IFERROR(__xludf.DUMMYFUNCTION("""COMPUTED_VALUE"""),"Calgary, Alberta, Canada - Karuizawa, Japan - Tokyo, Japan")</f>
        <v/>
      </c>
      <c r="K5146">
        <f>IFERROR(__xludf.DUMMYFUNCTION("""COMPUTED_VALUE"""),8588.38)</f>
        <v/>
      </c>
    </row>
    <row r="5147">
      <c r="J5147">
        <f>IFERROR(__xludf.DUMMYFUNCTION("""COMPUTED_VALUE"""),"Portland, OR")</f>
        <v/>
      </c>
      <c r="K5147">
        <f>IFERROR(__xludf.DUMMYFUNCTION("""COMPUTED_VALUE"""),8587.93)</f>
        <v/>
      </c>
    </row>
    <row r="5148">
      <c r="J5148">
        <f>IFERROR(__xludf.DUMMYFUNCTION("""COMPUTED_VALUE"""),"Panama City Beach, Florida")</f>
        <v/>
      </c>
      <c r="K5148">
        <f>IFERROR(__xludf.DUMMYFUNCTION("""COMPUTED_VALUE"""),8584)</f>
        <v/>
      </c>
    </row>
    <row r="5149">
      <c r="J5149">
        <f>IFERROR(__xludf.DUMMYFUNCTION("""COMPUTED_VALUE"""),"Windsor, ON; Vancouver, BC")</f>
        <v/>
      </c>
      <c r="K5149">
        <f>IFERROR(__xludf.DUMMYFUNCTION("""COMPUTED_VALUE"""),8583.36999999999)</f>
        <v/>
      </c>
    </row>
    <row r="5150">
      <c r="J5150">
        <f>IFERROR(__xludf.DUMMYFUNCTION("""COMPUTED_VALUE"""),"Brighton, London, United Kingdom")</f>
        <v/>
      </c>
      <c r="K5150">
        <f>IFERROR(__xludf.DUMMYFUNCTION("""COMPUTED_VALUE"""),8582.74)</f>
        <v/>
      </c>
    </row>
    <row r="5151">
      <c r="J5151">
        <f>IFERROR(__xludf.DUMMYFUNCTION("""COMPUTED_VALUE"""),"Istanbul, Turkey and Geneva Switzerland")</f>
        <v/>
      </c>
      <c r="K5151">
        <f>IFERROR(__xludf.DUMMYFUNCTION("""COMPUTED_VALUE"""),8581.66)</f>
        <v/>
      </c>
    </row>
    <row r="5152">
      <c r="J5152">
        <f>IFERROR(__xludf.DUMMYFUNCTION("""COMPUTED_VALUE"""),"Irland, Dublin / United Kingdom, London")</f>
        <v/>
      </c>
      <c r="K5152">
        <f>IFERROR(__xludf.DUMMYFUNCTION("""COMPUTED_VALUE"""),8579.63)</f>
        <v/>
      </c>
    </row>
    <row r="5153">
      <c r="J5153">
        <f>IFERROR(__xludf.DUMMYFUNCTION("""COMPUTED_VALUE"""),"Vancouver - Edmonton - Ottawa - Montreal")</f>
        <v/>
      </c>
      <c r="K5153">
        <f>IFERROR(__xludf.DUMMYFUNCTION("""COMPUTED_VALUE"""),8578.58)</f>
        <v/>
      </c>
    </row>
    <row r="5154">
      <c r="J5154">
        <f>IFERROR(__xludf.DUMMYFUNCTION("""COMPUTED_VALUE"""),"Naples and Rome")</f>
        <v/>
      </c>
      <c r="K5154">
        <f>IFERROR(__xludf.DUMMYFUNCTION("""COMPUTED_VALUE"""),8578.26)</f>
        <v/>
      </c>
    </row>
    <row r="5155">
      <c r="J5155">
        <f>IFERROR(__xludf.DUMMYFUNCTION("""COMPUTED_VALUE"""),"Vancouver, British Columbia, Canada; Mississauga, Ontario, Canada")</f>
        <v/>
      </c>
      <c r="K5155">
        <f>IFERROR(__xludf.DUMMYFUNCTION("""COMPUTED_VALUE"""),8575.92)</f>
        <v/>
      </c>
    </row>
    <row r="5156">
      <c r="J5156">
        <f>IFERROR(__xludf.DUMMYFUNCTION("""COMPUTED_VALUE"""),"Montreux")</f>
        <v/>
      </c>
      <c r="K5156">
        <f>IFERROR(__xludf.DUMMYFUNCTION("""COMPUTED_VALUE"""),8575.05)</f>
        <v/>
      </c>
    </row>
    <row r="5157">
      <c r="J5157">
        <f>IFERROR(__xludf.DUMMYFUNCTION("""COMPUTED_VALUE"""),"London, ON &amp; Lviv, Ukraine")</f>
        <v/>
      </c>
      <c r="K5157">
        <f>IFERROR(__xludf.DUMMYFUNCTION("""COMPUTED_VALUE"""),8573.98)</f>
        <v/>
      </c>
    </row>
    <row r="5158">
      <c r="J5158">
        <f>IFERROR(__xludf.DUMMYFUNCTION("""COMPUTED_VALUE"""),"Banff, Alberta, Canada                                              Calgary, Alberta, Canada")</f>
        <v/>
      </c>
      <c r="K5158">
        <f>IFERROR(__xludf.DUMMYFUNCTION("""COMPUTED_VALUE"""),8571.09)</f>
        <v/>
      </c>
    </row>
    <row r="5159">
      <c r="J5159">
        <f>IFERROR(__xludf.DUMMYFUNCTION("""COMPUTED_VALUE"""),"Salt Spring Island, British Columbia, Canada")</f>
        <v/>
      </c>
      <c r="K5159">
        <f>IFERROR(__xludf.DUMMYFUNCTION("""COMPUTED_VALUE"""),8566.57)</f>
        <v/>
      </c>
    </row>
    <row r="5160">
      <c r="J5160">
        <f>IFERROR(__xludf.DUMMYFUNCTION("""COMPUTED_VALUE"""),"Mexico City, Panama City and Quito, Ecuador")</f>
        <v/>
      </c>
      <c r="K5160">
        <f>IFERROR(__xludf.DUMMYFUNCTION("""COMPUTED_VALUE"""),8563.69)</f>
        <v/>
      </c>
    </row>
    <row r="5161">
      <c r="J5161">
        <f>IFERROR(__xludf.DUMMYFUNCTION("""COMPUTED_VALUE"""),"Vancouver, British Columbia, Canada; Saint John, New Brunswick, Canada")</f>
        <v/>
      </c>
      <c r="K5161">
        <f>IFERROR(__xludf.DUMMYFUNCTION("""COMPUTED_VALUE"""),8561)</f>
        <v/>
      </c>
    </row>
    <row r="5162">
      <c r="J5162">
        <f>IFERROR(__xludf.DUMMYFUNCTION("""COMPUTED_VALUE"""),"Toronto, ON, Fredericton, NB, Halifax, NS, Charlottetown, PE, St.John's, NL")</f>
        <v/>
      </c>
      <c r="K5162">
        <f>IFERROR(__xludf.DUMMYFUNCTION("""COMPUTED_VALUE"""),8556.5)</f>
        <v/>
      </c>
    </row>
    <row r="5163">
      <c r="J5163">
        <f>IFERROR(__xludf.DUMMYFUNCTION("""COMPUTED_VALUE"""),"St. Andrews by-the-Sea, New Brunswick")</f>
        <v/>
      </c>
      <c r="K5163">
        <f>IFERROR(__xludf.DUMMYFUNCTION("""COMPUTED_VALUE"""),8556.21)</f>
        <v/>
      </c>
    </row>
    <row r="5164">
      <c r="J5164">
        <f>IFERROR(__xludf.DUMMYFUNCTION("""COMPUTED_VALUE"""),"Leipzig, Germany, Europe")</f>
        <v/>
      </c>
      <c r="K5164">
        <f>IFERROR(__xludf.DUMMYFUNCTION("""COMPUTED_VALUE"""),8554.06)</f>
        <v/>
      </c>
    </row>
    <row r="5165">
      <c r="J5165">
        <f>IFERROR(__xludf.DUMMYFUNCTION("""COMPUTED_VALUE"""),"Toronto, Hamilton and Vancouver")</f>
        <v/>
      </c>
      <c r="K5165">
        <f>IFERROR(__xludf.DUMMYFUNCTION("""COMPUTED_VALUE"""),8553.69)</f>
        <v/>
      </c>
    </row>
    <row r="5166">
      <c r="J5166">
        <f>IFERROR(__xludf.DUMMYFUNCTION("""COMPUTED_VALUE"""),"Vancouver &amp; Ottawa")</f>
        <v/>
      </c>
      <c r="K5166">
        <f>IFERROR(__xludf.DUMMYFUNCTION("""COMPUTED_VALUE"""),8553.54)</f>
        <v/>
      </c>
    </row>
    <row r="5167">
      <c r="J5167">
        <f>IFERROR(__xludf.DUMMYFUNCTION("""COMPUTED_VALUE"""),"Oslo, Norway, and The Hague, Netherlands")</f>
        <v/>
      </c>
      <c r="K5167">
        <f>IFERROR(__xludf.DUMMYFUNCTION("""COMPUTED_VALUE"""),8551.32)</f>
        <v/>
      </c>
    </row>
    <row r="5168">
      <c r="J5168">
        <f>IFERROR(__xludf.DUMMYFUNCTION("""COMPUTED_VALUE"""),"Yellowknife, Northwest Territories, Canada; Winnipeg, Manitoba, Canada; Fredericton, New Brunswick, Canada; Moncton, New Brunswick, Canada; Halifax, Nova Scotia, Canada; St. John's, Newfoundland and Labrador, Canada")</f>
        <v/>
      </c>
      <c r="K5168">
        <f>IFERROR(__xludf.DUMMYFUNCTION("""COMPUTED_VALUE"""),8549.07)</f>
        <v/>
      </c>
    </row>
    <row r="5169">
      <c r="J5169">
        <f>IFERROR(__xludf.DUMMYFUNCTION("""COMPUTED_VALUE"""),"Calgary, Edmonton, Regina and Toronto")</f>
        <v/>
      </c>
      <c r="K5169">
        <f>IFERROR(__xludf.DUMMYFUNCTION("""COMPUTED_VALUE"""),8544.02)</f>
        <v/>
      </c>
    </row>
    <row r="5170">
      <c r="J5170">
        <f>IFERROR(__xludf.DUMMYFUNCTION("""COMPUTED_VALUE"""),"Bogota-Panama-Venezuela")</f>
        <v/>
      </c>
      <c r="K5170">
        <f>IFERROR(__xludf.DUMMYFUNCTION("""COMPUTED_VALUE"""),8542.4)</f>
        <v/>
      </c>
    </row>
    <row r="5171">
      <c r="J5171">
        <f>IFERROR(__xludf.DUMMYFUNCTION("""COMPUTED_VALUE"""),"Vancouver, British Columbia, Canada; Seattle, United States")</f>
        <v/>
      </c>
      <c r="K5171">
        <f>IFERROR(__xludf.DUMMYFUNCTION("""COMPUTED_VALUE"""),8540.96)</f>
        <v/>
      </c>
    </row>
    <row r="5172">
      <c r="J5172">
        <f>IFERROR(__xludf.DUMMYFUNCTION("""COMPUTED_VALUE"""),"Brussels, BE &amp; Toronto, ON")</f>
        <v/>
      </c>
      <c r="K5172">
        <f>IFERROR(__xludf.DUMMYFUNCTION("""COMPUTED_VALUE"""),8538.76)</f>
        <v/>
      </c>
    </row>
    <row r="5173">
      <c r="J5173">
        <f>IFERROR(__xludf.DUMMYFUNCTION("""COMPUTED_VALUE"""),"Afghanistan, Dubai, United Arab Emirates,  &amp; Vancouver, British Columbia")</f>
        <v/>
      </c>
      <c r="K5173">
        <f>IFERROR(__xludf.DUMMYFUNCTION("""COMPUTED_VALUE"""),8537.68)</f>
        <v/>
      </c>
    </row>
    <row r="5174">
      <c r="J5174">
        <f>IFERROR(__xludf.DUMMYFUNCTION("""COMPUTED_VALUE"""),"Brussels, Belgium / Warsaw, Poland")</f>
        <v/>
      </c>
      <c r="K5174">
        <f>IFERROR(__xludf.DUMMYFUNCTION("""COMPUTED_VALUE"""),8537.65)</f>
        <v/>
      </c>
    </row>
    <row r="5175">
      <c r="J5175">
        <f>IFERROR(__xludf.DUMMYFUNCTION("""COMPUTED_VALUE"""),"Amsterdam, Netherlands / Brussels, Belgium / Warsaw, Poland")</f>
        <v/>
      </c>
      <c r="K5175">
        <f>IFERROR(__xludf.DUMMYFUNCTION("""COMPUTED_VALUE"""),8536.43)</f>
        <v/>
      </c>
    </row>
    <row r="5176">
      <c r="J5176">
        <f>IFERROR(__xludf.DUMMYFUNCTION("""COMPUTED_VALUE"""),"Washington, Montreal")</f>
        <v/>
      </c>
      <c r="K5176">
        <f>IFERROR(__xludf.DUMMYFUNCTION("""COMPUTED_VALUE"""),8533.18)</f>
        <v/>
      </c>
    </row>
    <row r="5177">
      <c r="J5177">
        <f>IFERROR(__xludf.DUMMYFUNCTION("""COMPUTED_VALUE"""),"Vienna and Berlin")</f>
        <v/>
      </c>
      <c r="K5177">
        <f>IFERROR(__xludf.DUMMYFUNCTION("""COMPUTED_VALUE"""),8532.89)</f>
        <v/>
      </c>
    </row>
    <row r="5178">
      <c r="J5178">
        <f>IFERROR(__xludf.DUMMYFUNCTION("""COMPUTED_VALUE"""),"Halifax, Montreal, and Ottawa, Canada")</f>
        <v/>
      </c>
      <c r="K5178">
        <f>IFERROR(__xludf.DUMMYFUNCTION("""COMPUTED_VALUE"""),8532.56)</f>
        <v/>
      </c>
    </row>
    <row r="5179">
      <c r="J5179">
        <f>IFERROR(__xludf.DUMMYFUNCTION("""COMPUTED_VALUE"""),"Munich, Germany; Berlin, Germany")</f>
        <v/>
      </c>
      <c r="K5179">
        <f>IFERROR(__xludf.DUMMYFUNCTION("""COMPUTED_VALUE"""),8531.24)</f>
        <v/>
      </c>
    </row>
    <row r="5180">
      <c r="J5180">
        <f>IFERROR(__xludf.DUMMYFUNCTION("""COMPUTED_VALUE"""),"Edmonton, Alberta, Canada; Calgary, Alberta, Canada; Vancouver, British Columbia, Canada; Toronto, Ontario, Canada; Kingston, Ontario, Canada")</f>
        <v/>
      </c>
      <c r="K5180">
        <f>IFERROR(__xludf.DUMMYFUNCTION("""COMPUTED_VALUE"""),8529.94)</f>
        <v/>
      </c>
    </row>
    <row r="5181">
      <c r="J5181">
        <f>IFERROR(__xludf.DUMMYFUNCTION("""COMPUTED_VALUE"""),"Kamloops, British Columbia  Saskatoon , Saskatchewan")</f>
        <v/>
      </c>
      <c r="K5181">
        <f>IFERROR(__xludf.DUMMYFUNCTION("""COMPUTED_VALUE"""),8528.89)</f>
        <v/>
      </c>
    </row>
    <row r="5182">
      <c r="J5182">
        <f>IFERROR(__xludf.DUMMYFUNCTION("""COMPUTED_VALUE"""),"Buenos Aires, Argentina Asunción, Paraguay")</f>
        <v/>
      </c>
      <c r="K5182">
        <f>IFERROR(__xludf.DUMMYFUNCTION("""COMPUTED_VALUE"""),8525.77)</f>
        <v/>
      </c>
    </row>
    <row r="5183">
      <c r="J5183">
        <f>IFERROR(__xludf.DUMMYFUNCTION("""COMPUTED_VALUE"""),"Italy, Ireland")</f>
        <v/>
      </c>
      <c r="K5183">
        <f>IFERROR(__xludf.DUMMYFUNCTION("""COMPUTED_VALUE"""),8525)</f>
        <v/>
      </c>
    </row>
    <row r="5184">
      <c r="J5184">
        <f>IFERROR(__xludf.DUMMYFUNCTION("""COMPUTED_VALUE"""),"Vancouver, British Columbia, Canada
Ottawa, Ontario, Canada")</f>
        <v/>
      </c>
      <c r="K5184">
        <f>IFERROR(__xludf.DUMMYFUNCTION("""COMPUTED_VALUE"""),8524.86)</f>
        <v/>
      </c>
    </row>
    <row r="5185">
      <c r="J5185">
        <f>IFERROR(__xludf.DUMMYFUNCTION("""COMPUTED_VALUE"""),"Ottawa, Ontario; Halifax, Nova Scotia")</f>
        <v/>
      </c>
      <c r="K5185">
        <f>IFERROR(__xludf.DUMMYFUNCTION("""COMPUTED_VALUE"""),8524.6)</f>
        <v/>
      </c>
    </row>
    <row r="5186">
      <c r="J5186">
        <f>IFERROR(__xludf.DUMMYFUNCTION("""COMPUTED_VALUE"""),"Beirut, Lebanon / Ankara and Gaziantep, Turkey")</f>
        <v/>
      </c>
      <c r="K5186">
        <f>IFERROR(__xludf.DUMMYFUNCTION("""COMPUTED_VALUE"""),8524.32)</f>
        <v/>
      </c>
    </row>
    <row r="5187">
      <c r="J5187">
        <f>IFERROR(__xludf.DUMMYFUNCTION("""COMPUTED_VALUE"""),"San Salvador de Jujuy, Argentina")</f>
        <v/>
      </c>
      <c r="K5187">
        <f>IFERROR(__xludf.DUMMYFUNCTION("""COMPUTED_VALUE"""),8522.2)</f>
        <v/>
      </c>
    </row>
    <row r="5188">
      <c r="J5188">
        <f>IFERROR(__xludf.DUMMYFUNCTION("""COMPUTED_VALUE"""),"Washington DC and Mexico City")</f>
        <v/>
      </c>
      <c r="K5188">
        <f>IFERROR(__xludf.DUMMYFUNCTION("""COMPUTED_VALUE"""),8520.78)</f>
        <v/>
      </c>
    </row>
    <row r="5189">
      <c r="J5189">
        <f>IFERROR(__xludf.DUMMYFUNCTION("""COMPUTED_VALUE"""),"Niagara, ON")</f>
        <v/>
      </c>
      <c r="K5189">
        <f>IFERROR(__xludf.DUMMYFUNCTION("""COMPUTED_VALUE"""),8520.57)</f>
        <v/>
      </c>
    </row>
    <row r="5190">
      <c r="J5190">
        <f>IFERROR(__xludf.DUMMYFUNCTION("""COMPUTED_VALUE"""),"Honduras and Florida")</f>
        <v/>
      </c>
      <c r="K5190">
        <f>IFERROR(__xludf.DUMMYFUNCTION("""COMPUTED_VALUE"""),8519.27)</f>
        <v/>
      </c>
    </row>
    <row r="5191">
      <c r="J5191">
        <f>IFERROR(__xludf.DUMMYFUNCTION("""COMPUTED_VALUE"""),"Okayama, Japan")</f>
        <v/>
      </c>
      <c r="K5191">
        <f>IFERROR(__xludf.DUMMYFUNCTION("""COMPUTED_VALUE"""),8518.3)</f>
        <v/>
      </c>
    </row>
    <row r="5192">
      <c r="J5192">
        <f>IFERROR(__xludf.DUMMYFUNCTION("""COMPUTED_VALUE"""),"Athens (Greece) and Brussels (Belgium)")</f>
        <v/>
      </c>
      <c r="K5192">
        <f>IFERROR(__xludf.DUMMYFUNCTION("""COMPUTED_VALUE"""),8518.2)</f>
        <v/>
      </c>
    </row>
    <row r="5193">
      <c r="J5193">
        <f>IFERROR(__xludf.DUMMYFUNCTION("""COMPUTED_VALUE"""),"Esquimalt, British Columbia; Comox, British Columbia")</f>
        <v/>
      </c>
      <c r="K5193">
        <f>IFERROR(__xludf.DUMMYFUNCTION("""COMPUTED_VALUE"""),8516.11999999999)</f>
        <v/>
      </c>
    </row>
    <row r="5194">
      <c r="J5194">
        <f>IFERROR(__xludf.DUMMYFUNCTION("""COMPUTED_VALUE"""),"England")</f>
        <v/>
      </c>
      <c r="K5194">
        <f>IFERROR(__xludf.DUMMYFUNCTION("""COMPUTED_VALUE"""),8516.07)</f>
        <v/>
      </c>
    </row>
    <row r="5195">
      <c r="J5195">
        <f>IFERROR(__xludf.DUMMYFUNCTION("""COMPUTED_VALUE"""),"Oslo, Brussels and Belgium")</f>
        <v/>
      </c>
      <c r="K5195">
        <f>IFERROR(__xludf.DUMMYFUNCTION("""COMPUTED_VALUE"""),8514.42)</f>
        <v/>
      </c>
    </row>
    <row r="5196">
      <c r="J5196">
        <f>IFERROR(__xludf.DUMMYFUNCTION("""COMPUTED_VALUE"""),"Vancouver, Victoria, Ottawa, Toronto")</f>
        <v/>
      </c>
      <c r="K5196">
        <f>IFERROR(__xludf.DUMMYFUNCTION("""COMPUTED_VALUE"""),8513.81)</f>
        <v/>
      </c>
    </row>
    <row r="5197">
      <c r="J5197">
        <f>IFERROR(__xludf.DUMMYFUNCTION("""COMPUTED_VALUE"""),"Paris, Bruxelles")</f>
        <v/>
      </c>
      <c r="K5197">
        <f>IFERROR(__xludf.DUMMYFUNCTION("""COMPUTED_VALUE"""),8513.21)</f>
        <v/>
      </c>
    </row>
    <row r="5198">
      <c r="J5198">
        <f>IFERROR(__xludf.DUMMYFUNCTION("""COMPUTED_VALUE"""),"Sept-Iles, Quebec")</f>
        <v/>
      </c>
      <c r="K5198">
        <f>IFERROR(__xludf.DUMMYFUNCTION("""COMPUTED_VALUE"""),8503.71)</f>
        <v/>
      </c>
    </row>
    <row r="5199">
      <c r="J5199">
        <f>IFERROR(__xludf.DUMMYFUNCTION("""COMPUTED_VALUE"""),"London,England")</f>
        <v/>
      </c>
      <c r="K5199">
        <f>IFERROR(__xludf.DUMMYFUNCTION("""COMPUTED_VALUE"""),8502.5)</f>
        <v/>
      </c>
    </row>
    <row r="5200">
      <c r="J5200">
        <f>IFERROR(__xludf.DUMMYFUNCTION("""COMPUTED_VALUE"""),"Ottawa, (Ontario)")</f>
        <v/>
      </c>
      <c r="K5200">
        <f>IFERROR(__xludf.DUMMYFUNCTION("""COMPUTED_VALUE"""),8501.35)</f>
        <v/>
      </c>
    </row>
    <row r="5201">
      <c r="J5201">
        <f>IFERROR(__xludf.DUMMYFUNCTION("""COMPUTED_VALUE"""),"Pictou, Halifax, Nova Scotia, Canada")</f>
        <v/>
      </c>
      <c r="K5201">
        <f>IFERROR(__xludf.DUMMYFUNCTION("""COMPUTED_VALUE"""),8498.66)</f>
        <v/>
      </c>
    </row>
    <row r="5202">
      <c r="J5202">
        <f>IFERROR(__xludf.DUMMYFUNCTION("""COMPUTED_VALUE"""),"St. Petersurg, Russia")</f>
        <v/>
      </c>
      <c r="K5202">
        <f>IFERROR(__xludf.DUMMYFUNCTION("""COMPUTED_VALUE"""),8497.16)</f>
        <v/>
      </c>
    </row>
    <row r="5203">
      <c r="J5203">
        <f>IFERROR(__xludf.DUMMYFUNCTION("""COMPUTED_VALUE"""),"Congo and Democratic Republic of Congo")</f>
        <v/>
      </c>
      <c r="K5203">
        <f>IFERROR(__xludf.DUMMYFUNCTION("""COMPUTED_VALUE"""),8491.67)</f>
        <v/>
      </c>
    </row>
    <row r="5204">
      <c r="J5204">
        <f>IFERROR(__xludf.DUMMYFUNCTION("""COMPUTED_VALUE"""),"Vigo, Spain")</f>
        <v/>
      </c>
      <c r="K5204">
        <f>IFERROR(__xludf.DUMMYFUNCTION("""COMPUTED_VALUE"""),8490.85)</f>
        <v/>
      </c>
    </row>
    <row r="5205">
      <c r="J5205">
        <f>IFERROR(__xludf.DUMMYFUNCTION("""COMPUTED_VALUE"""),"San Francisco, Californie, United States")</f>
        <v/>
      </c>
      <c r="K5205">
        <f>IFERROR(__xludf.DUMMYFUNCTION("""COMPUTED_VALUE"""),8490.16)</f>
        <v/>
      </c>
    </row>
    <row r="5206">
      <c r="J5206">
        <f>IFERROR(__xludf.DUMMYFUNCTION("""COMPUTED_VALUE"""),"Bali, Indonesia; Kuala Lumpur, Malaysia and Hong Kong, China")</f>
        <v/>
      </c>
      <c r="K5206">
        <f>IFERROR(__xludf.DUMMYFUNCTION("""COMPUTED_VALUE"""),8489.83)</f>
        <v/>
      </c>
    </row>
    <row r="5207">
      <c r="J5207">
        <f>IFERROR(__xludf.DUMMYFUNCTION("""COMPUTED_VALUE"""),"Whitehorse,  Yukon")</f>
        <v/>
      </c>
      <c r="K5207">
        <f>IFERROR(__xludf.DUMMYFUNCTION("""COMPUTED_VALUE"""),8487.53)</f>
        <v/>
      </c>
    </row>
    <row r="5208">
      <c r="J5208">
        <f>IFERROR(__xludf.DUMMYFUNCTION("""COMPUTED_VALUE"""),"Halifax, Ottawa, Winnipeg")</f>
        <v/>
      </c>
      <c r="K5208">
        <f>IFERROR(__xludf.DUMMYFUNCTION("""COMPUTED_VALUE"""),8481.25)</f>
        <v/>
      </c>
    </row>
    <row r="5209">
      <c r="J5209">
        <f>IFERROR(__xludf.DUMMYFUNCTION("""COMPUTED_VALUE"""),"1)Geneva, Switzerland 2)Washington,DC, USA")</f>
        <v/>
      </c>
      <c r="K5209">
        <f>IFERROR(__xludf.DUMMYFUNCTION("""COMPUTED_VALUE"""),8480.5)</f>
        <v/>
      </c>
    </row>
    <row r="5210">
      <c r="J5210">
        <f>IFERROR(__xludf.DUMMYFUNCTION("""COMPUTED_VALUE"""),"London, United Kingdom / Dublin, Ireland")</f>
        <v/>
      </c>
      <c r="K5210">
        <f>IFERROR(__xludf.DUMMYFUNCTION("""COMPUTED_VALUE"""),8475.99)</f>
        <v/>
      </c>
    </row>
    <row r="5211">
      <c r="J5211">
        <f>IFERROR(__xludf.DUMMYFUNCTION("""COMPUTED_VALUE"""),"Edmonton, Alberta;
Agassiz, British Columbia;
Mission, British Columbia")</f>
        <v/>
      </c>
      <c r="K5211">
        <f>IFERROR(__xludf.DUMMYFUNCTION("""COMPUTED_VALUE"""),8474.37)</f>
        <v/>
      </c>
    </row>
    <row r="5212">
      <c r="J5212">
        <f>IFERROR(__xludf.DUMMYFUNCTION("""COMPUTED_VALUE"""),"La Serena, Chile")</f>
        <v/>
      </c>
      <c r="K5212">
        <f>IFERROR(__xludf.DUMMYFUNCTION("""COMPUTED_VALUE"""),8472.94)</f>
        <v/>
      </c>
    </row>
    <row r="5213">
      <c r="J5213">
        <f>IFERROR(__xludf.DUMMYFUNCTION("""COMPUTED_VALUE"""),"Paris, France; Geneva, Switzerland; London, United Kingdom")</f>
        <v/>
      </c>
      <c r="K5213">
        <f>IFERROR(__xludf.DUMMYFUNCTION("""COMPUTED_VALUE"""),8471.49)</f>
        <v/>
      </c>
    </row>
    <row r="5214">
      <c r="J5214">
        <f>IFERROR(__xludf.DUMMYFUNCTION("""COMPUTED_VALUE"""),"Bandar Seri Begawan, Brunei Darussalam")</f>
        <v/>
      </c>
      <c r="K5214">
        <f>IFERROR(__xludf.DUMMYFUNCTION("""COMPUTED_VALUE"""),8471.4)</f>
        <v/>
      </c>
    </row>
    <row r="5215">
      <c r="J5215">
        <f>IFERROR(__xludf.DUMMYFUNCTION("""COMPUTED_VALUE"""),"Québec City - Montréal - Ottawa - Vancouver - Edmonton - Calgary")</f>
        <v/>
      </c>
      <c r="K5215">
        <f>IFERROR(__xludf.DUMMYFUNCTION("""COMPUTED_VALUE"""),8471.13)</f>
        <v/>
      </c>
    </row>
    <row r="5216">
      <c r="J5216">
        <f>IFERROR(__xludf.DUMMYFUNCTION("""COMPUTED_VALUE"""),"Kelowna, British Columbia, Canada; Vancouver, British Columbia, Canada; Dartmouth, Nova Scotia, Canada; Charlottetown, Prince Edward Island, Canada")</f>
        <v/>
      </c>
      <c r="K5216">
        <f>IFERROR(__xludf.DUMMYFUNCTION("""COMPUTED_VALUE"""),8469.65)</f>
        <v/>
      </c>
    </row>
    <row r="5217">
      <c r="J5217">
        <f>IFERROR(__xludf.DUMMYFUNCTION("""COMPUTED_VALUE"""),"Tokyo, JPN")</f>
        <v/>
      </c>
      <c r="K5217">
        <f>IFERROR(__xludf.DUMMYFUNCTION("""COMPUTED_VALUE"""),8464.56)</f>
        <v/>
      </c>
    </row>
    <row r="5218">
      <c r="J5218">
        <f>IFERROR(__xludf.DUMMYFUNCTION("""COMPUTED_VALUE"""),"Monaco")</f>
        <v/>
      </c>
      <c r="K5218">
        <f>IFERROR(__xludf.DUMMYFUNCTION("""COMPUTED_VALUE"""),8460.87)</f>
        <v/>
      </c>
    </row>
    <row r="5219">
      <c r="J5219">
        <f>IFERROR(__xludf.DUMMYFUNCTION("""COMPUTED_VALUE"""),"Toronto (Ontario), Edmonton (Alberta), Vancouver (British Columbia)")</f>
        <v/>
      </c>
      <c r="K5219">
        <f>IFERROR(__xludf.DUMMYFUNCTION("""COMPUTED_VALUE"""),8459)</f>
        <v/>
      </c>
    </row>
    <row r="5220">
      <c r="J5220">
        <f>IFERROR(__xludf.DUMMYFUNCTION("""COMPUTED_VALUE"""),"Ottawa-Toronto-Vancouver-Seoul-Vancouver-Toronto-Ottawa")</f>
        <v/>
      </c>
      <c r="K5220">
        <f>IFERROR(__xludf.DUMMYFUNCTION("""COMPUTED_VALUE"""),8455.46)</f>
        <v/>
      </c>
    </row>
    <row r="5221">
      <c r="J5221">
        <f>IFERROR(__xludf.DUMMYFUNCTION("""COMPUTED_VALUE"""),"Hay River, Northwest Territories, Canada")</f>
        <v/>
      </c>
      <c r="K5221">
        <f>IFERROR(__xludf.DUMMYFUNCTION("""COMPUTED_VALUE"""),8453.66)</f>
        <v/>
      </c>
    </row>
    <row r="5222">
      <c r="J5222">
        <f>IFERROR(__xludf.DUMMYFUNCTION("""COMPUTED_VALUE"""),"Gunma, Japan")</f>
        <v/>
      </c>
      <c r="K5222">
        <f>IFERROR(__xludf.DUMMYFUNCTION("""COMPUTED_VALUE"""),8452.16)</f>
        <v/>
      </c>
    </row>
    <row r="5223">
      <c r="J5223">
        <f>IFERROR(__xludf.DUMMYFUNCTION("""COMPUTED_VALUE"""),"Washington District of Columbia, United States")</f>
        <v/>
      </c>
      <c r="K5223">
        <f>IFERROR(__xludf.DUMMYFUNCTION("""COMPUTED_VALUE"""),8450.71)</f>
        <v/>
      </c>
    </row>
    <row r="5224">
      <c r="J5224">
        <f>IFERROR(__xludf.DUMMYFUNCTION("""COMPUTED_VALUE"""),"Anchorage &amp; Kotzebue, Alaska, USA")</f>
        <v/>
      </c>
      <c r="K5224">
        <f>IFERROR(__xludf.DUMMYFUNCTION("""COMPUTED_VALUE"""),8447.36)</f>
        <v/>
      </c>
    </row>
    <row r="5225">
      <c r="J5225">
        <f>IFERROR(__xludf.DUMMYFUNCTION("""COMPUTED_VALUE"""),"Windsor, United Kingdom")</f>
        <v/>
      </c>
      <c r="K5225">
        <f>IFERROR(__xludf.DUMMYFUNCTION("""COMPUTED_VALUE"""),8443.72)</f>
        <v/>
      </c>
    </row>
    <row r="5226">
      <c r="J5226">
        <f>IFERROR(__xludf.DUMMYFUNCTION("""COMPUTED_VALUE"""),"The Hague (Netherlands) and Rome (Italy)")</f>
        <v/>
      </c>
      <c r="K5226">
        <f>IFERROR(__xludf.DUMMYFUNCTION("""COMPUTED_VALUE"""),8438.39)</f>
        <v/>
      </c>
    </row>
    <row r="5227">
      <c r="J5227">
        <f>IFERROR(__xludf.DUMMYFUNCTION("""COMPUTED_VALUE"""),"Florida, Turks and Caicos and Cuba")</f>
        <v/>
      </c>
      <c r="K5227">
        <f>IFERROR(__xludf.DUMMYFUNCTION("""COMPUTED_VALUE"""),8438.38)</f>
        <v/>
      </c>
    </row>
    <row r="5228">
      <c r="J5228">
        <f>IFERROR(__xludf.DUMMYFUNCTION("""COMPUTED_VALUE"""),"Khanty-Mansyisk, Russia")</f>
        <v/>
      </c>
      <c r="K5228">
        <f>IFERROR(__xludf.DUMMYFUNCTION("""COMPUTED_VALUE"""),8434.46)</f>
        <v/>
      </c>
    </row>
    <row r="5229">
      <c r="J5229">
        <f>IFERROR(__xludf.DUMMYFUNCTION("""COMPUTED_VALUE"""),"Winnipeg, Manitoba; Saskatoon, Saskatchewan, Canada")</f>
        <v/>
      </c>
      <c r="K5229">
        <f>IFERROR(__xludf.DUMMYFUNCTION("""COMPUTED_VALUE"""),8433.77)</f>
        <v/>
      </c>
    </row>
    <row r="5230">
      <c r="J5230">
        <f>IFERROR(__xludf.DUMMYFUNCTION("""COMPUTED_VALUE"""),"Vancouver, Winnipeg, Edmonton, Fort McMurray, Kelowna")</f>
        <v/>
      </c>
      <c r="K5230">
        <f>IFERROR(__xludf.DUMMYFUNCTION("""COMPUTED_VALUE"""),8433.23)</f>
        <v/>
      </c>
    </row>
    <row r="5231">
      <c r="J5231">
        <f>IFERROR(__xludf.DUMMYFUNCTION("""COMPUTED_VALUE"""),"Singapore, Jakarta")</f>
        <v/>
      </c>
      <c r="K5231">
        <f>IFERROR(__xludf.DUMMYFUNCTION("""COMPUTED_VALUE"""),8432.49)</f>
        <v/>
      </c>
    </row>
    <row r="5232">
      <c r="J5232">
        <f>IFERROR(__xludf.DUMMYFUNCTION("""COMPUTED_VALUE"""),"Toronto, Ontario, Canada; Halifax, Nova Scotia, Canada; Montréal, Quebec, Canada; Edmonton, Alberta, Canada; Calgary, Alberta, Canada")</f>
        <v/>
      </c>
      <c r="K5232">
        <f>IFERROR(__xludf.DUMMYFUNCTION("""COMPUTED_VALUE"""),8430.92)</f>
        <v/>
      </c>
    </row>
    <row r="5233">
      <c r="J5233">
        <f>IFERROR(__xludf.DUMMYFUNCTION("""COMPUTED_VALUE"""),"London, UK
Paris, France
Oslo, Norway")</f>
        <v/>
      </c>
      <c r="K5233">
        <f>IFERROR(__xludf.DUMMYFUNCTION("""COMPUTED_VALUE"""),8430.29)</f>
        <v/>
      </c>
    </row>
    <row r="5234">
      <c r="J5234">
        <f>IFERROR(__xludf.DUMMYFUNCTION("""COMPUTED_VALUE"""),"Lima, Peru; Bogota, Colombia")</f>
        <v/>
      </c>
      <c r="K5234">
        <f>IFERROR(__xludf.DUMMYFUNCTION("""COMPUTED_VALUE"""),8429.53)</f>
        <v/>
      </c>
    </row>
    <row r="5235">
      <c r="J5235">
        <f>IFERROR(__xludf.DUMMYFUNCTION("""COMPUTED_VALUE"""),"London and Hailsham, UK")</f>
        <v/>
      </c>
      <c r="K5235">
        <f>IFERROR(__xludf.DUMMYFUNCTION("""COMPUTED_VALUE"""),8427.87)</f>
        <v/>
      </c>
    </row>
    <row r="5236">
      <c r="J5236">
        <f>IFERROR(__xludf.DUMMYFUNCTION("""COMPUTED_VALUE"""),"Kelowna, British Columbia, Canada; Vancouver, British Columbia, Canada")</f>
        <v/>
      </c>
      <c r="K5236">
        <f>IFERROR(__xludf.DUMMYFUNCTION("""COMPUTED_VALUE"""),8427.25)</f>
        <v/>
      </c>
    </row>
    <row r="5237">
      <c r="J5237">
        <f>IFERROR(__xludf.DUMMYFUNCTION("""COMPUTED_VALUE"""),"Toronto; Vancouver")</f>
        <v/>
      </c>
      <c r="K5237">
        <f>IFERROR(__xludf.DUMMYFUNCTION("""COMPUTED_VALUE"""),8426.09)</f>
        <v/>
      </c>
    </row>
    <row r="5238">
      <c r="J5238">
        <f>IFERROR(__xludf.DUMMYFUNCTION("""COMPUTED_VALUE"""),"Moncton, New Brunswick; Ottawa, Ontario")</f>
        <v/>
      </c>
      <c r="K5238">
        <f>IFERROR(__xludf.DUMMYFUNCTION("""COMPUTED_VALUE"""),8425.47)</f>
        <v/>
      </c>
    </row>
    <row r="5239">
      <c r="J5239">
        <f>IFERROR(__xludf.DUMMYFUNCTION("""COMPUTED_VALUE"""),"Los Angeles, United States; Vancouver, British Columbia, Canada")</f>
        <v/>
      </c>
      <c r="K5239">
        <f>IFERROR(__xludf.DUMMYFUNCTION("""COMPUTED_VALUE"""),8422.52)</f>
        <v/>
      </c>
    </row>
    <row r="5240">
      <c r="J5240">
        <f>IFERROR(__xludf.DUMMYFUNCTION("""COMPUTED_VALUE"""),"Winnipeg- Regina")</f>
        <v/>
      </c>
      <c r="K5240">
        <f>IFERROR(__xludf.DUMMYFUNCTION("""COMPUTED_VALUE"""),8422.43)</f>
        <v/>
      </c>
    </row>
    <row r="5241">
      <c r="J5241">
        <f>IFERROR(__xludf.DUMMYFUNCTION("""COMPUTED_VALUE"""),"Egypt, UAE and Armenia")</f>
        <v/>
      </c>
      <c r="K5241">
        <f>IFERROR(__xludf.DUMMYFUNCTION("""COMPUTED_VALUE"""),8422.32)</f>
        <v/>
      </c>
    </row>
    <row r="5242">
      <c r="J5242">
        <f>IFERROR(__xludf.DUMMYFUNCTION("""COMPUTED_VALUE"""),"London, United Kingdom
Brussels, Belgium")</f>
        <v/>
      </c>
      <c r="K5242">
        <f>IFERROR(__xludf.DUMMYFUNCTION("""COMPUTED_VALUE"""),8421.35)</f>
        <v/>
      </c>
    </row>
    <row r="5243">
      <c r="J5243">
        <f>IFERROR(__xludf.DUMMYFUNCTION("""COMPUTED_VALUE"""),"London (England) United KingdomParis, FranceBrussels, Belgium")</f>
        <v/>
      </c>
      <c r="K5243">
        <f>IFERROR(__xludf.DUMMYFUNCTION("""COMPUTED_VALUE"""),8419.71)</f>
        <v/>
      </c>
    </row>
    <row r="5244">
      <c r="J5244">
        <f>IFERROR(__xludf.DUMMYFUNCTION("""COMPUTED_VALUE"""),"Riga, Latvia and Brussels, Belgium")</f>
        <v/>
      </c>
      <c r="K5244">
        <f>IFERROR(__xludf.DUMMYFUNCTION("""COMPUTED_VALUE"""),8414.86)</f>
        <v/>
      </c>
    </row>
    <row r="5245">
      <c r="J5245">
        <f>IFERROR(__xludf.DUMMYFUNCTION("""COMPUTED_VALUE"""),"Washington and Mexico")</f>
        <v/>
      </c>
      <c r="K5245">
        <f>IFERROR(__xludf.DUMMYFUNCTION("""COMPUTED_VALUE"""),8413.45)</f>
        <v/>
      </c>
    </row>
    <row r="5246">
      <c r="J5246">
        <f>IFERROR(__xludf.DUMMYFUNCTION("""COMPUTED_VALUE"""),"Yangon (Burma)")</f>
        <v/>
      </c>
      <c r="K5246">
        <f>IFERROR(__xludf.DUMMYFUNCTION("""COMPUTED_VALUE"""),8413.43)</f>
        <v/>
      </c>
    </row>
    <row r="5247">
      <c r="J5247">
        <f>IFERROR(__xludf.DUMMYFUNCTION("""COMPUTED_VALUE"""),"Saudi Arabia, India, Isreal")</f>
        <v/>
      </c>
      <c r="K5247">
        <f>IFERROR(__xludf.DUMMYFUNCTION("""COMPUTED_VALUE"""),8413.03)</f>
        <v/>
      </c>
    </row>
    <row r="5248">
      <c r="J5248">
        <f>IFERROR(__xludf.DUMMYFUNCTION("""COMPUTED_VALUE"""),"Philippines and Indonesia")</f>
        <v/>
      </c>
      <c r="K5248">
        <f>IFERROR(__xludf.DUMMYFUNCTION("""COMPUTED_VALUE"""),8411.96)</f>
        <v/>
      </c>
    </row>
    <row r="5249">
      <c r="J5249">
        <f>IFERROR(__xludf.DUMMYFUNCTION("""COMPUTED_VALUE"""),"Brussels Belgium, Skopje Macedonia, Toronto (Ontario) Canada")</f>
        <v/>
      </c>
      <c r="K5249">
        <f>IFERROR(__xludf.DUMMYFUNCTION("""COMPUTED_VALUE"""),8411.56)</f>
        <v/>
      </c>
    </row>
    <row r="5250">
      <c r="J5250">
        <f>IFERROR(__xludf.DUMMYFUNCTION("""COMPUTED_VALUE"""),"Ottawa, Ontario, Canada
Toronto, Ontario, Canada")</f>
        <v/>
      </c>
      <c r="K5250">
        <f>IFERROR(__xludf.DUMMYFUNCTION("""COMPUTED_VALUE"""),8411.55)</f>
        <v/>
      </c>
    </row>
    <row r="5251">
      <c r="J5251">
        <f>IFERROR(__xludf.DUMMYFUNCTION("""COMPUTED_VALUE"""),"Tokyo, Japan; Guangzhou, People's Republic of China; Shanghai, People's Republic of China; Yantai, People's Republic of China")</f>
        <v/>
      </c>
      <c r="K5251">
        <f>IFERROR(__xludf.DUMMYFUNCTION("""COMPUTED_VALUE"""),8410.25)</f>
        <v/>
      </c>
    </row>
    <row r="5252">
      <c r="J5252">
        <f>IFERROR(__xludf.DUMMYFUNCTION("""COMPUTED_VALUE"""),"Colorado Springs (Colorado), United States of America
Washington (District of Columbia), United States of America")</f>
        <v/>
      </c>
      <c r="K5252">
        <f>IFERROR(__xludf.DUMMYFUNCTION("""COMPUTED_VALUE"""),8406.01)</f>
        <v/>
      </c>
    </row>
    <row r="5253">
      <c r="J5253">
        <f>IFERROR(__xludf.DUMMYFUNCTION("""COMPUTED_VALUE"""),"Saskatoon, Saskatchewan, Canada / Victoria, British Columbia, Canada")</f>
        <v/>
      </c>
      <c r="K5253">
        <f>IFERROR(__xludf.DUMMYFUNCTION("""COMPUTED_VALUE"""),8405.82)</f>
        <v/>
      </c>
    </row>
    <row r="5254">
      <c r="J5254">
        <f>IFERROR(__xludf.DUMMYFUNCTION("""COMPUTED_VALUE"""),"Paris and Rabat, Morocco")</f>
        <v/>
      </c>
      <c r="K5254">
        <f>IFERROR(__xludf.DUMMYFUNCTION("""COMPUTED_VALUE"""),8403.21)</f>
        <v/>
      </c>
    </row>
    <row r="5255">
      <c r="J5255">
        <f>IFERROR(__xludf.DUMMYFUNCTION("""COMPUTED_VALUE"""),"London/Ditchley (UK) and Dublin (Ireland)")</f>
        <v/>
      </c>
      <c r="K5255">
        <f>IFERROR(__xludf.DUMMYFUNCTION("""COMPUTED_VALUE"""),8403.02)</f>
        <v/>
      </c>
    </row>
    <row r="5256">
      <c r="J5256">
        <f>IFERROR(__xludf.DUMMYFUNCTION("""COMPUTED_VALUE"""),"Latvia; Poland")</f>
        <v/>
      </c>
      <c r="K5256">
        <f>IFERROR(__xludf.DUMMYFUNCTION("""COMPUTED_VALUE"""),8401.58)</f>
        <v/>
      </c>
    </row>
    <row r="5257">
      <c r="J5257">
        <f>IFERROR(__xludf.DUMMYFUNCTION("""COMPUTED_VALUE"""),"Ermatingen, Switzerland")</f>
        <v/>
      </c>
      <c r="K5257">
        <f>IFERROR(__xludf.DUMMYFUNCTION("""COMPUTED_VALUE"""),8401.04)</f>
        <v/>
      </c>
    </row>
    <row r="5258">
      <c r="J5258">
        <f>IFERROR(__xludf.DUMMYFUNCTION("""COMPUTED_VALUE"""),"Warsaw,
Poland")</f>
        <v/>
      </c>
      <c r="K5258">
        <f>IFERROR(__xludf.DUMMYFUNCTION("""COMPUTED_VALUE"""),8399.24)</f>
        <v/>
      </c>
    </row>
    <row r="5259">
      <c r="J5259">
        <f>IFERROR(__xludf.DUMMYFUNCTION("""COMPUTED_VALUE"""),"Halifax, Nove Scotia, Canada")</f>
        <v/>
      </c>
      <c r="K5259">
        <f>IFERROR(__xludf.DUMMYFUNCTION("""COMPUTED_VALUE"""),8396.08)</f>
        <v/>
      </c>
    </row>
    <row r="5260">
      <c r="J5260">
        <f>IFERROR(__xludf.DUMMYFUNCTION("""COMPUTED_VALUE"""),"Republic of Guatemala")</f>
        <v/>
      </c>
      <c r="K5260">
        <f>IFERROR(__xludf.DUMMYFUNCTION("""COMPUTED_VALUE"""),8396.06)</f>
        <v/>
      </c>
    </row>
    <row r="5261">
      <c r="J5261">
        <f>IFERROR(__xludf.DUMMYFUNCTION("""COMPUTED_VALUE"""),"Nunavut")</f>
        <v/>
      </c>
      <c r="K5261">
        <f>IFERROR(__xludf.DUMMYFUNCTION("""COMPUTED_VALUE"""),8395.75)</f>
        <v/>
      </c>
    </row>
    <row r="5262">
      <c r="J5262">
        <f>IFERROR(__xludf.DUMMYFUNCTION("""COMPUTED_VALUE"""),"Madrid, Berlin")</f>
        <v/>
      </c>
      <c r="K5262">
        <f>IFERROR(__xludf.DUMMYFUNCTION("""COMPUTED_VALUE"""),8395.64)</f>
        <v/>
      </c>
    </row>
    <row r="5263">
      <c r="J5263">
        <f>IFERROR(__xludf.DUMMYFUNCTION("""COMPUTED_VALUE"""),"Ottawa, Ontario; Calgary, Alberta")</f>
        <v/>
      </c>
      <c r="K5263">
        <f>IFERROR(__xludf.DUMMYFUNCTION("""COMPUTED_VALUE"""),8395.29)</f>
        <v/>
      </c>
    </row>
    <row r="5264">
      <c r="J5264">
        <f>IFERROR(__xludf.DUMMYFUNCTION("""COMPUTED_VALUE"""),"New York, New York, United Stated")</f>
        <v/>
      </c>
      <c r="K5264">
        <f>IFERROR(__xludf.DUMMYFUNCTION("""COMPUTED_VALUE"""),8392.50999999999)</f>
        <v/>
      </c>
    </row>
    <row r="5265">
      <c r="J5265">
        <f>IFERROR(__xludf.DUMMYFUNCTION("""COMPUTED_VALUE"""),"Washington DC, USA and Ottawa")</f>
        <v/>
      </c>
      <c r="K5265">
        <f>IFERROR(__xludf.DUMMYFUNCTION("""COMPUTED_VALUE"""),8390.82)</f>
        <v/>
      </c>
    </row>
    <row r="5266">
      <c r="J5266">
        <f>IFERROR(__xludf.DUMMYFUNCTION("""COMPUTED_VALUE"""),"Whitehorse, Yukon, Canada; Vancouver, British Columbia, Canada")</f>
        <v/>
      </c>
      <c r="K5266">
        <f>IFERROR(__xludf.DUMMYFUNCTION("""COMPUTED_VALUE"""),8385.66)</f>
        <v/>
      </c>
    </row>
    <row r="5267">
      <c r="J5267">
        <f>IFERROR(__xludf.DUMMYFUNCTION("""COMPUTED_VALUE"""),"Rome, Italy, Berlin")</f>
        <v/>
      </c>
      <c r="K5267">
        <f>IFERROR(__xludf.DUMMYFUNCTION("""COMPUTED_VALUE"""),8381.31)</f>
        <v/>
      </c>
    </row>
    <row r="5268">
      <c r="J5268">
        <f>IFERROR(__xludf.DUMMYFUNCTION("""COMPUTED_VALUE"""),"Calgary, Alberta, Canada / Red Deer, Alberta, Canada")</f>
        <v/>
      </c>
      <c r="K5268">
        <f>IFERROR(__xludf.DUMMYFUNCTION("""COMPUTED_VALUE"""),8380.63)</f>
        <v/>
      </c>
    </row>
    <row r="5269">
      <c r="J5269">
        <f>IFERROR(__xludf.DUMMYFUNCTION("""COMPUTED_VALUE"""),"Vancouver, BC / Regina, SK")</f>
        <v/>
      </c>
      <c r="K5269">
        <f>IFERROR(__xludf.DUMMYFUNCTION("""COMPUTED_VALUE"""),8379.43)</f>
        <v/>
      </c>
    </row>
    <row r="5270">
      <c r="J5270">
        <f>IFERROR(__xludf.DUMMYFUNCTION("""COMPUTED_VALUE"""),"Niagara on the Lake, Ontario")</f>
        <v/>
      </c>
      <c r="K5270">
        <f>IFERROR(__xludf.DUMMYFUNCTION("""COMPUTED_VALUE"""),8376.53)</f>
        <v/>
      </c>
    </row>
    <row r="5271">
      <c r="J5271">
        <f>IFERROR(__xludf.DUMMYFUNCTION("""COMPUTED_VALUE"""),"Ottawa, Vancouver, Charlevoix, Montréal")</f>
        <v/>
      </c>
      <c r="K5271">
        <f>IFERROR(__xludf.DUMMYFUNCTION("""COMPUTED_VALUE"""),8375)</f>
        <v/>
      </c>
    </row>
    <row r="5272">
      <c r="J5272">
        <f>IFERROR(__xludf.DUMMYFUNCTION("""COMPUTED_VALUE"""),"Oslo, Harstad, (Norway)")</f>
        <v/>
      </c>
      <c r="K5272">
        <f>IFERROR(__xludf.DUMMYFUNCTION("""COMPUTED_VALUE"""),8372.87)</f>
        <v/>
      </c>
    </row>
    <row r="5273">
      <c r="J5273">
        <f>IFERROR(__xludf.DUMMYFUNCTION("""COMPUTED_VALUE"""),"Vancouver, Victoria, BC")</f>
        <v/>
      </c>
      <c r="K5273">
        <f>IFERROR(__xludf.DUMMYFUNCTION("""COMPUTED_VALUE"""),8372.51)</f>
        <v/>
      </c>
    </row>
    <row r="5274">
      <c r="J5274">
        <f>IFERROR(__xludf.DUMMYFUNCTION("""COMPUTED_VALUE"""),"Brindisi, Taranto and Rome, Italy")</f>
        <v/>
      </c>
      <c r="K5274">
        <f>IFERROR(__xludf.DUMMYFUNCTION("""COMPUTED_VALUE"""),8371.24)</f>
        <v/>
      </c>
    </row>
    <row r="5275">
      <c r="J5275">
        <f>IFERROR(__xludf.DUMMYFUNCTION("""COMPUTED_VALUE"""),"St Petersburg")</f>
        <v/>
      </c>
      <c r="K5275">
        <f>IFERROR(__xludf.DUMMYFUNCTION("""COMPUTED_VALUE"""),8370.01)</f>
        <v/>
      </c>
    </row>
    <row r="5276">
      <c r="J5276">
        <f>IFERROR(__xludf.DUMMYFUNCTION("""COMPUTED_VALUE"""),"JordanIsrael")</f>
        <v/>
      </c>
      <c r="K5276">
        <f>IFERROR(__xludf.DUMMYFUNCTION("""COMPUTED_VALUE"""),8368)</f>
        <v/>
      </c>
    </row>
    <row r="5277">
      <c r="J5277">
        <f>IFERROR(__xludf.DUMMYFUNCTION("""COMPUTED_VALUE"""),"Expo 2020 Dubai")</f>
        <v/>
      </c>
      <c r="K5277">
        <f>IFERROR(__xludf.DUMMYFUNCTION("""COMPUTED_VALUE"""),8364.13)</f>
        <v/>
      </c>
    </row>
    <row r="5278">
      <c r="J5278">
        <f>IFERROR(__xludf.DUMMYFUNCTION("""COMPUTED_VALUE"""),"Bolton, Ontario, Canada")</f>
        <v/>
      </c>
      <c r="K5278">
        <f>IFERROR(__xludf.DUMMYFUNCTION("""COMPUTED_VALUE"""),8362.72)</f>
        <v/>
      </c>
    </row>
    <row r="5279">
      <c r="J5279">
        <f>IFERROR(__xludf.DUMMYFUNCTION("""COMPUTED_VALUE"""),"Iguazu, Argentina")</f>
        <v/>
      </c>
      <c r="K5279">
        <f>IFERROR(__xludf.DUMMYFUNCTION("""COMPUTED_VALUE"""),8358.12)</f>
        <v/>
      </c>
    </row>
    <row r="5280">
      <c r="J5280">
        <f>IFERROR(__xludf.DUMMYFUNCTION("""COMPUTED_VALUE"""),"Kitchener, Ontario, Canada; Toronto, Ontario, Canada")</f>
        <v/>
      </c>
      <c r="K5280">
        <f>IFERROR(__xludf.DUMMYFUNCTION("""COMPUTED_VALUE"""),8355.4)</f>
        <v/>
      </c>
    </row>
    <row r="5281">
      <c r="J5281">
        <f>IFERROR(__xludf.DUMMYFUNCTION("""COMPUTED_VALUE"""),"Ottawa, ON, Toronto, ON, Frankfurt, Germany, Davos, Switzerland")</f>
        <v/>
      </c>
      <c r="K5281">
        <f>IFERROR(__xludf.DUMMYFUNCTION("""COMPUTED_VALUE"""),8352.96)</f>
        <v/>
      </c>
    </row>
    <row r="5282">
      <c r="J5282">
        <f>IFERROR(__xludf.DUMMYFUNCTION("""COMPUTED_VALUE"""),"Spain and Lebanon")</f>
        <v/>
      </c>
      <c r="K5282">
        <f>IFERROR(__xludf.DUMMYFUNCTION("""COMPUTED_VALUE"""),8351.51)</f>
        <v/>
      </c>
    </row>
    <row r="5283">
      <c r="J5283">
        <f>IFERROR(__xludf.DUMMYFUNCTION("""COMPUTED_VALUE"""),"Cambridge Bay, NU")</f>
        <v/>
      </c>
      <c r="K5283">
        <f>IFERROR(__xludf.DUMMYFUNCTION("""COMPUTED_VALUE"""),8350.72)</f>
        <v/>
      </c>
    </row>
    <row r="5284">
      <c r="J5284">
        <f>IFERROR(__xludf.DUMMYFUNCTION("""COMPUTED_VALUE"""),"Singapore, Republic of Singapor, Southeast Asia")</f>
        <v/>
      </c>
      <c r="K5284">
        <f>IFERROR(__xludf.DUMMYFUNCTION("""COMPUTED_VALUE"""),8347.37)</f>
        <v/>
      </c>
    </row>
    <row r="5285">
      <c r="J5285">
        <f>IFERROR(__xludf.DUMMYFUNCTION("""COMPUTED_VALUE"""),"Bonn, Vilnius and Washington")</f>
        <v/>
      </c>
      <c r="K5285">
        <f>IFERROR(__xludf.DUMMYFUNCTION("""COMPUTED_VALUE"""),8346.63)</f>
        <v/>
      </c>
    </row>
    <row r="5286">
      <c r="J5286">
        <f>IFERROR(__xludf.DUMMYFUNCTION("""COMPUTED_VALUE"""),"Mumbai, New Delhi")</f>
        <v/>
      </c>
      <c r="K5286">
        <f>IFERROR(__xludf.DUMMYFUNCTION("""COMPUTED_VALUE"""),8344.35)</f>
        <v/>
      </c>
    </row>
    <row r="5287">
      <c r="J5287">
        <f>IFERROR(__xludf.DUMMYFUNCTION("""COMPUTED_VALUE"""),"Hague and Munich")</f>
        <v/>
      </c>
      <c r="K5287">
        <f>IFERROR(__xludf.DUMMYFUNCTION("""COMPUTED_VALUE"""),8344.26)</f>
        <v/>
      </c>
    </row>
    <row r="5288">
      <c r="J5288">
        <f>IFERROR(__xludf.DUMMYFUNCTION("""COMPUTED_VALUE"""),"Panama City")</f>
        <v/>
      </c>
      <c r="K5288">
        <f>IFERROR(__xludf.DUMMYFUNCTION("""COMPUTED_VALUE"""),8343.46)</f>
        <v/>
      </c>
    </row>
    <row r="5289">
      <c r="J5289">
        <f>IFERROR(__xludf.DUMMYFUNCTION("""COMPUTED_VALUE"""),"New York, NY, Indianapolis, IN, Chicago, IL")</f>
        <v/>
      </c>
      <c r="K5289">
        <f>IFERROR(__xludf.DUMMYFUNCTION("""COMPUTED_VALUE"""),8338.59999999999)</f>
        <v/>
      </c>
    </row>
    <row r="5290">
      <c r="J5290">
        <f>IFERROR(__xludf.DUMMYFUNCTION("""COMPUTED_VALUE"""),"Moncton, New Brunswick, Canada
Halifax, Nova Scotia, Canada
Charlottetown, Prince Edward Island, Canada")</f>
        <v/>
      </c>
      <c r="K5290">
        <f>IFERROR(__xludf.DUMMYFUNCTION("""COMPUTED_VALUE"""),8336.85)</f>
        <v/>
      </c>
    </row>
    <row r="5291">
      <c r="J5291">
        <f>IFERROR(__xludf.DUMMYFUNCTION("""COMPUTED_VALUE"""),"Yellowknife, Vancouver, Edmonton &amp; Ottawa")</f>
        <v/>
      </c>
      <c r="K5291">
        <f>IFERROR(__xludf.DUMMYFUNCTION("""COMPUTED_VALUE"""),8335.59)</f>
        <v/>
      </c>
    </row>
    <row r="5292">
      <c r="J5292">
        <f>IFERROR(__xludf.DUMMYFUNCTION("""COMPUTED_VALUE"""),"Toronto, London, Brampton, Orillia, ON")</f>
        <v/>
      </c>
      <c r="K5292">
        <f>IFERROR(__xludf.DUMMYFUNCTION("""COMPUTED_VALUE"""),8331.97)</f>
        <v/>
      </c>
    </row>
    <row r="5293">
      <c r="J5293">
        <f>IFERROR(__xludf.DUMMYFUNCTION("""COMPUTED_VALUE"""),"Aspen, Colorado, United States;
Toronto, Ontario, Canada")</f>
        <v/>
      </c>
      <c r="K5293">
        <f>IFERROR(__xludf.DUMMYFUNCTION("""COMPUTED_VALUE"""),8331.75)</f>
        <v/>
      </c>
    </row>
    <row r="5294">
      <c r="J5294">
        <f>IFERROR(__xludf.DUMMYFUNCTION("""COMPUTED_VALUE"""),"Kentville, Nova Scotia, Canada")</f>
        <v/>
      </c>
      <c r="K5294">
        <f>IFERROR(__xludf.DUMMYFUNCTION("""COMPUTED_VALUE"""),8316.08999999999)</f>
        <v/>
      </c>
    </row>
    <row r="5295">
      <c r="J5295">
        <f>IFERROR(__xludf.DUMMYFUNCTION("""COMPUTED_VALUE"""),"Carson, NV, USA")</f>
        <v/>
      </c>
      <c r="K5295">
        <f>IFERROR(__xludf.DUMMYFUNCTION("""COMPUTED_VALUE"""),8315.42)</f>
        <v/>
      </c>
    </row>
    <row r="5296">
      <c r="J5296">
        <f>IFERROR(__xludf.DUMMYFUNCTION("""COMPUTED_VALUE"""),"Washington, Washington, United States and Merida, Mexico")</f>
        <v/>
      </c>
      <c r="K5296">
        <f>IFERROR(__xludf.DUMMYFUNCTION("""COMPUTED_VALUE"""),8314.05)</f>
        <v/>
      </c>
    </row>
    <row r="5297">
      <c r="J5297">
        <f>IFERROR(__xludf.DUMMYFUNCTION("""COMPUTED_VALUE"""),"Vancouver, CB")</f>
        <v/>
      </c>
      <c r="K5297">
        <f>IFERROR(__xludf.DUMMYFUNCTION("""COMPUTED_VALUE"""),8312.65)</f>
        <v/>
      </c>
    </row>
    <row r="5298">
      <c r="J5298">
        <f>IFERROR(__xludf.DUMMYFUNCTION("""COMPUTED_VALUE"""),"Prague, Trieste, Corfu")</f>
        <v/>
      </c>
      <c r="K5298">
        <f>IFERROR(__xludf.DUMMYFUNCTION("""COMPUTED_VALUE"""),8311.72)</f>
        <v/>
      </c>
    </row>
    <row r="5299">
      <c r="J5299">
        <f>IFERROR(__xludf.DUMMYFUNCTION("""COMPUTED_VALUE"""),"Ethiopia, Kenya, Uganda, Tanzania and Democratic Republic of the Congo")</f>
        <v/>
      </c>
      <c r="K5299">
        <f>IFERROR(__xludf.DUMMYFUNCTION("""COMPUTED_VALUE"""),8309.32)</f>
        <v/>
      </c>
    </row>
    <row r="5300">
      <c r="J5300">
        <f>IFERROR(__xludf.DUMMYFUNCTION("""COMPUTED_VALUE"""),"OTTAWA,ON")</f>
        <v/>
      </c>
      <c r="K5300">
        <f>IFERROR(__xludf.DUMMYFUNCTION("""COMPUTED_VALUE"""),8307.13)</f>
        <v/>
      </c>
    </row>
    <row r="5301">
      <c r="J5301">
        <f>IFERROR(__xludf.DUMMYFUNCTION("""COMPUTED_VALUE"""),"The Replublic of Sudan")</f>
        <v/>
      </c>
      <c r="K5301">
        <f>IFERROR(__xludf.DUMMYFUNCTION("""COMPUTED_VALUE"""),8305.7)</f>
        <v/>
      </c>
    </row>
    <row r="5302">
      <c r="J5302">
        <f>IFERROR(__xludf.DUMMYFUNCTION("""COMPUTED_VALUE"""),"Calgary, Alberta, Canada
Vancouver, British Columbia, Canada")</f>
        <v/>
      </c>
      <c r="K5302">
        <f>IFERROR(__xludf.DUMMYFUNCTION("""COMPUTED_VALUE"""),8304.07)</f>
        <v/>
      </c>
    </row>
    <row r="5303">
      <c r="J5303">
        <f>IFERROR(__xludf.DUMMYFUNCTION("""COMPUTED_VALUE"""),"Egypt, Israel and West Bank")</f>
        <v/>
      </c>
      <c r="K5303">
        <f>IFERROR(__xludf.DUMMYFUNCTION("""COMPUTED_VALUE"""),8302.54)</f>
        <v/>
      </c>
    </row>
    <row r="5304">
      <c r="J5304">
        <f>IFERROR(__xludf.DUMMYFUNCTION("""COMPUTED_VALUE"""),"Amman, Jordan / Stockholm, Sweden")</f>
        <v/>
      </c>
      <c r="K5304">
        <f>IFERROR(__xludf.DUMMYFUNCTION("""COMPUTED_VALUE"""),8302.48)</f>
        <v/>
      </c>
    </row>
    <row r="5305">
      <c r="J5305">
        <f>IFERROR(__xludf.DUMMYFUNCTION("""COMPUTED_VALUE"""),"Bathurst, New Brunswick")</f>
        <v/>
      </c>
      <c r="K5305">
        <f>IFERROR(__xludf.DUMMYFUNCTION("""COMPUTED_VALUE"""),8302.06)</f>
        <v/>
      </c>
    </row>
    <row r="5306">
      <c r="J5306">
        <f>IFERROR(__xludf.DUMMYFUNCTION("""COMPUTED_VALUE"""),"St. John's, Newfoundland and Labrador / Ottawa, Ontario")</f>
        <v/>
      </c>
      <c r="K5306">
        <f>IFERROR(__xludf.DUMMYFUNCTION("""COMPUTED_VALUE"""),8301.69)</f>
        <v/>
      </c>
    </row>
    <row r="5307">
      <c r="J5307">
        <f>IFERROR(__xludf.DUMMYFUNCTION("""COMPUTED_VALUE"""),"Toronto, ON; Halifax, NS; Montréal, QC; Saskatoon, SK; Abottsford, BC; Vancouver, BC")</f>
        <v/>
      </c>
      <c r="K5307">
        <f>IFERROR(__xludf.DUMMYFUNCTION("""COMPUTED_VALUE"""),8300.61)</f>
        <v/>
      </c>
    </row>
    <row r="5308">
      <c r="J5308">
        <f>IFERROR(__xludf.DUMMYFUNCTION("""COMPUTED_VALUE"""),"Sept-Îles, Quebec")</f>
        <v/>
      </c>
      <c r="K5308">
        <f>IFERROR(__xludf.DUMMYFUNCTION("""COMPUTED_VALUE"""),8298.44)</f>
        <v/>
      </c>
    </row>
    <row r="5309">
      <c r="J5309">
        <f>IFERROR(__xludf.DUMMYFUNCTION("""COMPUTED_VALUE"""),"Ottawa/Ontario, Canada")</f>
        <v/>
      </c>
      <c r="K5309">
        <f>IFERROR(__xludf.DUMMYFUNCTION("""COMPUTED_VALUE"""),8296.3)</f>
        <v/>
      </c>
    </row>
    <row r="5310">
      <c r="J5310">
        <f>IFERROR(__xludf.DUMMYFUNCTION("""COMPUTED_VALUE"""),"Fort Lauderdale, USA")</f>
        <v/>
      </c>
      <c r="K5310">
        <f>IFERROR(__xludf.DUMMYFUNCTION("""COMPUTED_VALUE"""),8293.11)</f>
        <v/>
      </c>
    </row>
    <row r="5311">
      <c r="J5311">
        <f>IFERROR(__xludf.DUMMYFUNCTION("""COMPUTED_VALUE"""),"Tokyo, Japan/ Nagoya, Japan/ Seoul, South Korea")</f>
        <v/>
      </c>
      <c r="K5311">
        <f>IFERROR(__xludf.DUMMYFUNCTION("""COMPUTED_VALUE"""),8291.57)</f>
        <v/>
      </c>
    </row>
    <row r="5312">
      <c r="J5312">
        <f>IFERROR(__xludf.DUMMYFUNCTION("""COMPUTED_VALUE"""),"Corner Brook, NL")</f>
        <v/>
      </c>
      <c r="K5312">
        <f>IFERROR(__xludf.DUMMYFUNCTION("""COMPUTED_VALUE"""),8290.82)</f>
        <v/>
      </c>
    </row>
    <row r="5313">
      <c r="J5313">
        <f>IFERROR(__xludf.DUMMYFUNCTION("""COMPUTED_VALUE"""),"Scandic Linkoping City, SE / Gothenburg, SE")</f>
        <v/>
      </c>
      <c r="K5313">
        <f>IFERROR(__xludf.DUMMYFUNCTION("""COMPUTED_VALUE"""),8289.87)</f>
        <v/>
      </c>
    </row>
    <row r="5314">
      <c r="J5314">
        <f>IFERROR(__xludf.DUMMYFUNCTION("""COMPUTED_VALUE"""),"Toronto, ON / Kitchener, ON")</f>
        <v/>
      </c>
      <c r="K5314">
        <f>IFERROR(__xludf.DUMMYFUNCTION("""COMPUTED_VALUE"""),8288.77)</f>
        <v/>
      </c>
    </row>
    <row r="5315">
      <c r="J5315">
        <f>IFERROR(__xludf.DUMMYFUNCTION("""COMPUTED_VALUE"""),"Paris, Brussels, London")</f>
        <v/>
      </c>
      <c r="K5315">
        <f>IFERROR(__xludf.DUMMYFUNCTION("""COMPUTED_VALUE"""),8287.82)</f>
        <v/>
      </c>
    </row>
    <row r="5316">
      <c r="J5316">
        <f>IFERROR(__xludf.DUMMYFUNCTION("""COMPUTED_VALUE"""),"Charlottetown (Prince Edward Island) Canada
Vancouver (British Columbia) Canada")</f>
        <v/>
      </c>
      <c r="K5316">
        <f>IFERROR(__xludf.DUMMYFUNCTION("""COMPUTED_VALUE"""),8287.2)</f>
        <v/>
      </c>
    </row>
    <row r="5317">
      <c r="J5317">
        <f>IFERROR(__xludf.DUMMYFUNCTION("""COMPUTED_VALUE"""),"Edmonton, Alberta, Canada - Toronto, Ontario, Canada")</f>
        <v/>
      </c>
      <c r="K5317">
        <f>IFERROR(__xludf.DUMMYFUNCTION("""COMPUTED_VALUE"""),8281.21)</f>
        <v/>
      </c>
    </row>
    <row r="5318">
      <c r="J5318">
        <f>IFERROR(__xludf.DUMMYFUNCTION("""COMPUTED_VALUE"""),"Washington, DC, Boston, MA")</f>
        <v/>
      </c>
      <c r="K5318">
        <f>IFERROR(__xludf.DUMMYFUNCTION("""COMPUTED_VALUE"""),8278.46)</f>
        <v/>
      </c>
    </row>
    <row r="5319">
      <c r="J5319">
        <f>IFERROR(__xludf.DUMMYFUNCTION("""COMPUTED_VALUE"""),"Edmonton, Alberta, Canada and Winnipeg, Manitoba, Canada")</f>
        <v/>
      </c>
      <c r="K5319">
        <f>IFERROR(__xludf.DUMMYFUNCTION("""COMPUTED_VALUE"""),8276.95)</f>
        <v/>
      </c>
    </row>
    <row r="5320">
      <c r="J5320">
        <f>IFERROR(__xludf.DUMMYFUNCTION("""COMPUTED_VALUE"""),"Buenos Aires, AR")</f>
        <v/>
      </c>
      <c r="K5320">
        <f>IFERROR(__xludf.DUMMYFUNCTION("""COMPUTED_VALUE"""),8276.3)</f>
        <v/>
      </c>
    </row>
    <row r="5321">
      <c r="J5321">
        <f>IFERROR(__xludf.DUMMYFUNCTION("""COMPUTED_VALUE"""),"Yellowknife, Inuvik, Regina, Saskatoon, Halifax, Sydney")</f>
        <v/>
      </c>
      <c r="K5321">
        <f>IFERROR(__xludf.DUMMYFUNCTION("""COMPUTED_VALUE"""),8276.1)</f>
        <v/>
      </c>
    </row>
    <row r="5322">
      <c r="J5322">
        <f>IFERROR(__xludf.DUMMYFUNCTION("""COMPUTED_VALUE"""),"Nancy, Paris (France)")</f>
        <v/>
      </c>
      <c r="K5322">
        <f>IFERROR(__xludf.DUMMYFUNCTION("""COMPUTED_VALUE"""),8275.79)</f>
        <v/>
      </c>
    </row>
    <row r="5323">
      <c r="J5323">
        <f>IFERROR(__xludf.DUMMYFUNCTION("""COMPUTED_VALUE"""),"Shanghai, Shenzhen, Hong Kong")</f>
        <v/>
      </c>
      <c r="K5323">
        <f>IFERROR(__xludf.DUMMYFUNCTION("""COMPUTED_VALUE"""),8274.85)</f>
        <v/>
      </c>
    </row>
    <row r="5324">
      <c r="J5324">
        <f>IFERROR(__xludf.DUMMYFUNCTION("""COMPUTED_VALUE"""),"Saskatoon, Sask")</f>
        <v/>
      </c>
      <c r="K5324">
        <f>IFERROR(__xludf.DUMMYFUNCTION("""COMPUTED_VALUE"""),8273.04)</f>
        <v/>
      </c>
    </row>
    <row r="5325">
      <c r="J5325">
        <f>IFERROR(__xludf.DUMMYFUNCTION("""COMPUTED_VALUE"""),"SEOUL, KOREA")</f>
        <v/>
      </c>
      <c r="K5325">
        <f>IFERROR(__xludf.DUMMYFUNCTION("""COMPUTED_VALUE"""),8272.91)</f>
        <v/>
      </c>
    </row>
    <row r="5326">
      <c r="J5326">
        <f>IFERROR(__xludf.DUMMYFUNCTION("""COMPUTED_VALUE"""),"Tokyo, Japan / Vancouver, British Columbia")</f>
        <v/>
      </c>
      <c r="K5326">
        <f>IFERROR(__xludf.DUMMYFUNCTION("""COMPUTED_VALUE"""),8272.86)</f>
        <v/>
      </c>
    </row>
    <row r="5327">
      <c r="J5327">
        <f>IFERROR(__xludf.DUMMYFUNCTION("""COMPUTED_VALUE"""),"Chongqing, China")</f>
        <v/>
      </c>
      <c r="K5327">
        <f>IFERROR(__xludf.DUMMYFUNCTION("""COMPUTED_VALUE"""),8270.41)</f>
        <v/>
      </c>
    </row>
    <row r="5328">
      <c r="J5328">
        <f>IFERROR(__xludf.DUMMYFUNCTION("""COMPUTED_VALUE"""),"Lucca, Italy")</f>
        <v/>
      </c>
      <c r="K5328">
        <f>IFERROR(__xludf.DUMMYFUNCTION("""COMPUTED_VALUE"""),8269.54)</f>
        <v/>
      </c>
    </row>
    <row r="5329">
      <c r="J5329">
        <f>IFERROR(__xludf.DUMMYFUNCTION("""COMPUTED_VALUE"""),"Sudbury, Ontario, Canada; Thunder Bay, Ontario, Canada")</f>
        <v/>
      </c>
      <c r="K5329">
        <f>IFERROR(__xludf.DUMMYFUNCTION("""COMPUTED_VALUE"""),8267.22)</f>
        <v/>
      </c>
    </row>
    <row r="5330">
      <c r="J5330">
        <f>IFERROR(__xludf.DUMMYFUNCTION("""COMPUTED_VALUE"""),"Toronto, Montreal &amp; Ottawa")</f>
        <v/>
      </c>
      <c r="K5330">
        <f>IFERROR(__xludf.DUMMYFUNCTION("""COMPUTED_VALUE"""),8266.73)</f>
        <v/>
      </c>
    </row>
    <row r="5331">
      <c r="J5331">
        <f>IFERROR(__xludf.DUMMYFUNCTION("""COMPUTED_VALUE"""),"Shediac, New Brunswick")</f>
        <v/>
      </c>
      <c r="K5331">
        <f>IFERROR(__xludf.DUMMYFUNCTION("""COMPUTED_VALUE"""),8265.17)</f>
        <v/>
      </c>
    </row>
    <row r="5332">
      <c r="J5332">
        <f>IFERROR(__xludf.DUMMYFUNCTION("""COMPUTED_VALUE"""),"London, Turin, and Brussels")</f>
        <v/>
      </c>
      <c r="K5332">
        <f>IFERROR(__xludf.DUMMYFUNCTION("""COMPUTED_VALUE"""),8265.03)</f>
        <v/>
      </c>
    </row>
    <row r="5333">
      <c r="J5333">
        <f>IFERROR(__xludf.DUMMYFUNCTION("""COMPUTED_VALUE"""),"Halifax, Montreal, Ottawa")</f>
        <v/>
      </c>
      <c r="K5333">
        <f>IFERROR(__xludf.DUMMYFUNCTION("""COMPUTED_VALUE"""),8263.66)</f>
        <v/>
      </c>
    </row>
    <row r="5334">
      <c r="J5334">
        <f>IFERROR(__xludf.DUMMYFUNCTION("""COMPUTED_VALUE"""),"Hyderabad, Kolkata, New Delhi")</f>
        <v/>
      </c>
      <c r="K5334">
        <f>IFERROR(__xludf.DUMMYFUNCTION("""COMPUTED_VALUE"""),8263.44)</f>
        <v/>
      </c>
    </row>
    <row r="5335">
      <c r="J5335">
        <f>IFERROR(__xludf.DUMMYFUNCTION("""COMPUTED_VALUE"""),"Shawinigan, Quebec")</f>
        <v/>
      </c>
      <c r="K5335">
        <f>IFERROR(__xludf.DUMMYFUNCTION("""COMPUTED_VALUE"""),8260.08)</f>
        <v/>
      </c>
    </row>
    <row r="5336">
      <c r="J5336">
        <f>IFERROR(__xludf.DUMMYFUNCTION("""COMPUTED_VALUE"""),"Angers, France")</f>
        <v/>
      </c>
      <c r="K5336">
        <f>IFERROR(__xludf.DUMMYFUNCTION("""COMPUTED_VALUE"""),8254.97)</f>
        <v/>
      </c>
    </row>
    <row r="5337">
      <c r="J5337">
        <f>IFERROR(__xludf.DUMMYFUNCTION("""COMPUTED_VALUE"""),"Manchester")</f>
        <v/>
      </c>
      <c r="K5337">
        <f>IFERROR(__xludf.DUMMYFUNCTION("""COMPUTED_VALUE"""),8252.53)</f>
        <v/>
      </c>
    </row>
    <row r="5338">
      <c r="J5338">
        <f>IFERROR(__xludf.DUMMYFUNCTION("""COMPUTED_VALUE"""),"Salt Lake City, United States")</f>
        <v/>
      </c>
      <c r="K5338">
        <f>IFERROR(__xludf.DUMMYFUNCTION("""COMPUTED_VALUE"""),8249.81)</f>
        <v/>
      </c>
    </row>
    <row r="5339">
      <c r="J5339">
        <f>IFERROR(__xludf.DUMMYFUNCTION("""COMPUTED_VALUE"""),"Moncton and Caraquet, New Brunswick, Canada")</f>
        <v/>
      </c>
      <c r="K5339">
        <f>IFERROR(__xludf.DUMMYFUNCTION("""COMPUTED_VALUE"""),8249.59999999999)</f>
        <v/>
      </c>
    </row>
    <row r="5340">
      <c r="J5340">
        <f>IFERROR(__xludf.DUMMYFUNCTION("""COMPUTED_VALUE"""),"Toronto, Ontario / Edmonton, Alberta / Winnipeg, Manitoba, Canada")</f>
        <v/>
      </c>
      <c r="K5340">
        <f>IFERROR(__xludf.DUMMYFUNCTION("""COMPUTED_VALUE"""),8245.81)</f>
        <v/>
      </c>
    </row>
    <row r="5341">
      <c r="J5341">
        <f>IFERROR(__xludf.DUMMYFUNCTION("""COMPUTED_VALUE"""),"Kelowna, British Columbia, Canada; Vancouver, British Columbia, Canada; Edmonton, Alberta, Canada; Quebec, Quebec, Canada")</f>
        <v/>
      </c>
      <c r="K5341">
        <f>IFERROR(__xludf.DUMMYFUNCTION("""COMPUTED_VALUE"""),8244.77)</f>
        <v/>
      </c>
    </row>
    <row r="5342">
      <c r="J5342">
        <f>IFERROR(__xludf.DUMMYFUNCTION("""COMPUTED_VALUE"""),"Saint-Hubert, Quebec, Canada; Gatineau, Quebec, Canada; Gaspé, Quebec, Canada; Québec, Quebec, Canada")</f>
        <v/>
      </c>
      <c r="K5342">
        <f>IFERROR(__xludf.DUMMYFUNCTION("""COMPUTED_VALUE"""),8243.31)</f>
        <v/>
      </c>
    </row>
    <row r="5343">
      <c r="J5343">
        <f>IFERROR(__xludf.DUMMYFUNCTION("""COMPUTED_VALUE"""),"Stockholm, Sweden - Helsinki, Finland")</f>
        <v/>
      </c>
      <c r="K5343">
        <f>IFERROR(__xludf.DUMMYFUNCTION("""COMPUTED_VALUE"""),8242.95)</f>
        <v/>
      </c>
    </row>
    <row r="5344">
      <c r="J5344">
        <f>IFERROR(__xludf.DUMMYFUNCTION("""COMPUTED_VALUE"""),"Abbotsford, BC; Calgary, AB; Edmonton, AB; Montreal, PQ; Ottawa, ON; Toronto, ON.")</f>
        <v/>
      </c>
      <c r="K5344">
        <f>IFERROR(__xludf.DUMMYFUNCTION("""COMPUTED_VALUE"""),8242.5)</f>
        <v/>
      </c>
    </row>
    <row r="5345">
      <c r="J5345">
        <f>IFERROR(__xludf.DUMMYFUNCTION("""COMPUTED_VALUE"""),"Paris De Gaulle, France")</f>
        <v/>
      </c>
      <c r="K5345">
        <f>IFERROR(__xludf.DUMMYFUNCTION("""COMPUTED_VALUE"""),8242.01)</f>
        <v/>
      </c>
    </row>
    <row r="5346">
      <c r="J5346">
        <f>IFERROR(__xludf.DUMMYFUNCTION("""COMPUTED_VALUE"""),"Bromont, Quebec")</f>
        <v/>
      </c>
      <c r="K5346">
        <f>IFERROR(__xludf.DUMMYFUNCTION("""COMPUTED_VALUE"""),8241.57)</f>
        <v/>
      </c>
    </row>
    <row r="5347">
      <c r="J5347">
        <f>IFERROR(__xludf.DUMMYFUNCTION("""COMPUTED_VALUE"""),"Montreal, Quebec, Canada / Halifax, Nova Scotia, Canada / Toronto, Ontario, Canada")</f>
        <v/>
      </c>
      <c r="K5347">
        <f>IFERROR(__xludf.DUMMYFUNCTION("""COMPUTED_VALUE"""),8240.58)</f>
        <v/>
      </c>
    </row>
    <row r="5348">
      <c r="J5348">
        <f>IFERROR(__xludf.DUMMYFUNCTION("""COMPUTED_VALUE"""),"Denmark, Iceland")</f>
        <v/>
      </c>
      <c r="K5348">
        <f>IFERROR(__xludf.DUMMYFUNCTION("""COMPUTED_VALUE"""),8238)</f>
        <v/>
      </c>
    </row>
    <row r="5349">
      <c r="J5349">
        <f>IFERROR(__xludf.DUMMYFUNCTION("""COMPUTED_VALUE"""),"Edmonton, Alberta / Calgary, Alberta / Medicine Hat, Alberta, Canada")</f>
        <v/>
      </c>
      <c r="K5349">
        <f>IFERROR(__xludf.DUMMYFUNCTION("""COMPUTED_VALUE"""),8236.52999999999)</f>
        <v/>
      </c>
    </row>
    <row r="5350">
      <c r="J5350">
        <f>IFERROR(__xludf.DUMMYFUNCTION("""COMPUTED_VALUE"""),"Oslo, Norway and The Hague, The Netherlands")</f>
        <v/>
      </c>
      <c r="K5350">
        <f>IFERROR(__xludf.DUMMYFUNCTION("""COMPUTED_VALUE"""),8234.96)</f>
        <v/>
      </c>
    </row>
    <row r="5351">
      <c r="J5351">
        <f>IFERROR(__xludf.DUMMYFUNCTION("""COMPUTED_VALUE"""),"Vancouver, British Columbia, Canada and Ottawa, Ontario, Canada")</f>
        <v/>
      </c>
      <c r="K5351">
        <f>IFERROR(__xludf.DUMMYFUNCTION("""COMPUTED_VALUE"""),8232.31)</f>
        <v/>
      </c>
    </row>
    <row r="5352">
      <c r="J5352">
        <f>IFERROR(__xludf.DUMMYFUNCTION("""COMPUTED_VALUE"""),"St. Johns, NF")</f>
        <v/>
      </c>
      <c r="K5352">
        <f>IFERROR(__xludf.DUMMYFUNCTION("""COMPUTED_VALUE"""),8230.54)</f>
        <v/>
      </c>
    </row>
    <row r="5353">
      <c r="J5353">
        <f>IFERROR(__xludf.DUMMYFUNCTION("""COMPUTED_VALUE"""),"Montréal, Quebec, Canada; Sherbrooke, Quebec, Canada")</f>
        <v/>
      </c>
      <c r="K5353">
        <f>IFERROR(__xludf.DUMMYFUNCTION("""COMPUTED_VALUE"""),8230.14)</f>
        <v/>
      </c>
    </row>
    <row r="5354">
      <c r="J5354">
        <f>IFERROR(__xludf.DUMMYFUNCTION("""COMPUTED_VALUE"""),"Jackson, Wyoming")</f>
        <v/>
      </c>
      <c r="K5354">
        <f>IFERROR(__xludf.DUMMYFUNCTION("""COMPUTED_VALUE"""),8228.96)</f>
        <v/>
      </c>
    </row>
    <row r="5355">
      <c r="J5355">
        <f>IFERROR(__xludf.DUMMYFUNCTION("""COMPUTED_VALUE"""),"Seattle, Washington, United States of America and Halifax, Nova Scotia, Canada")</f>
        <v/>
      </c>
      <c r="K5355">
        <f>IFERROR(__xludf.DUMMYFUNCTION("""COMPUTED_VALUE"""),8228.3)</f>
        <v/>
      </c>
    </row>
    <row r="5356">
      <c r="J5356">
        <f>IFERROR(__xludf.DUMMYFUNCTION("""COMPUTED_VALUE"""),"Fredericton, New Brunswick, Canada; Moncton, New Brunswick, Canada")</f>
        <v/>
      </c>
      <c r="K5356">
        <f>IFERROR(__xludf.DUMMYFUNCTION("""COMPUTED_VALUE"""),8228.01)</f>
        <v/>
      </c>
    </row>
    <row r="5357">
      <c r="J5357">
        <f>IFERROR(__xludf.DUMMYFUNCTION("""COMPUTED_VALUE"""),"KAMPALA, Uganda")</f>
        <v/>
      </c>
      <c r="K5357">
        <f>IFERROR(__xludf.DUMMYFUNCTION("""COMPUTED_VALUE"""),8227.23)</f>
        <v/>
      </c>
    </row>
    <row r="5358">
      <c r="J5358">
        <f>IFERROR(__xludf.DUMMYFUNCTION("""COMPUTED_VALUE"""),"Toronto, Ontario, Montreal, Quebec")</f>
        <v/>
      </c>
      <c r="K5358">
        <f>IFERROR(__xludf.DUMMYFUNCTION("""COMPUTED_VALUE"""),8225.57)</f>
        <v/>
      </c>
    </row>
    <row r="5359">
      <c r="J5359">
        <f>IFERROR(__xludf.DUMMYFUNCTION("""COMPUTED_VALUE"""),"St-Jean-Sur-Richelieu (Quebec) Canada &amp; Catania, Italy")</f>
        <v/>
      </c>
      <c r="K5359">
        <f>IFERROR(__xludf.DUMMYFUNCTION("""COMPUTED_VALUE"""),8222.09)</f>
        <v/>
      </c>
    </row>
    <row r="5360">
      <c r="J5360">
        <f>IFERROR(__xludf.DUMMYFUNCTION("""COMPUTED_VALUE"""),"Moncton, New Brunswick, Canada; Saint John, New Brunswick, Canada")</f>
        <v/>
      </c>
      <c r="K5360">
        <f>IFERROR(__xludf.DUMMYFUNCTION("""COMPUTED_VALUE"""),8221.4)</f>
        <v/>
      </c>
    </row>
    <row r="5361">
      <c r="J5361">
        <f>IFERROR(__xludf.DUMMYFUNCTION("""COMPUTED_VALUE"""),"Honduras")</f>
        <v/>
      </c>
      <c r="K5361">
        <f>IFERROR(__xludf.DUMMYFUNCTION("""COMPUTED_VALUE"""),8215.31)</f>
        <v/>
      </c>
    </row>
    <row r="5362">
      <c r="J5362">
        <f>IFERROR(__xludf.DUMMYFUNCTION("""COMPUTED_VALUE"""),"Victoria, British Columbia, Canada; Nanaimo, British Columbia, Canada; Vancouver, British Columbia, Canada; Whitehorse, Yukon, Canada")</f>
        <v/>
      </c>
      <c r="K5362">
        <f>IFERROR(__xludf.DUMMYFUNCTION("""COMPUTED_VALUE"""),8213.73)</f>
        <v/>
      </c>
    </row>
    <row r="5363">
      <c r="J5363">
        <f>IFERROR(__xludf.DUMMYFUNCTION("""COMPUTED_VALUE"""),"Vancouver, BC - Prince George, BC - Seoul, South Korea - Daegu, South Korea - Beijing, China")</f>
        <v/>
      </c>
      <c r="K5363">
        <f>IFERROR(__xludf.DUMMYFUNCTION("""COMPUTED_VALUE"""),8210.56)</f>
        <v/>
      </c>
    </row>
    <row r="5364">
      <c r="J5364">
        <f>IFERROR(__xludf.DUMMYFUNCTION("""COMPUTED_VALUE"""),"Bratislava, Slovak Republic")</f>
        <v/>
      </c>
      <c r="K5364">
        <f>IFERROR(__xludf.DUMMYFUNCTION("""COMPUTED_VALUE"""),8207.3)</f>
        <v/>
      </c>
    </row>
    <row r="5365">
      <c r="J5365">
        <f>IFERROR(__xludf.DUMMYFUNCTION("""COMPUTED_VALUE"""),"Calgary (Alberta)/ Vancouver (British Columbia) Canada")</f>
        <v/>
      </c>
      <c r="K5365">
        <f>IFERROR(__xludf.DUMMYFUNCTION("""COMPUTED_VALUE"""),8204.96)</f>
        <v/>
      </c>
    </row>
    <row r="5366">
      <c r="J5366">
        <f>IFERROR(__xludf.DUMMYFUNCTION("""COMPUTED_VALUE"""),"PARIS AND LONDON")</f>
        <v/>
      </c>
      <c r="K5366">
        <f>IFERROR(__xludf.DUMMYFUNCTION("""COMPUTED_VALUE"""),8204.94)</f>
        <v/>
      </c>
    </row>
    <row r="5367">
      <c r="J5367">
        <f>IFERROR(__xludf.DUMMYFUNCTION("""COMPUTED_VALUE"""),"Tel Aviv, Israel / Jerusalem, Israel")</f>
        <v/>
      </c>
      <c r="K5367">
        <f>IFERROR(__xludf.DUMMYFUNCTION("""COMPUTED_VALUE"""),8203.95)</f>
        <v/>
      </c>
    </row>
    <row r="5368">
      <c r="J5368">
        <f>IFERROR(__xludf.DUMMYFUNCTION("""COMPUTED_VALUE"""),"Caraquet")</f>
        <v/>
      </c>
      <c r="K5368">
        <f>IFERROR(__xludf.DUMMYFUNCTION("""COMPUTED_VALUE"""),8201.19)</f>
        <v/>
      </c>
    </row>
    <row r="5369">
      <c r="J5369">
        <f>IFERROR(__xludf.DUMMYFUNCTION("""COMPUTED_VALUE"""),"Essen")</f>
        <v/>
      </c>
      <c r="K5369">
        <f>IFERROR(__xludf.DUMMYFUNCTION("""COMPUTED_VALUE"""),8199.75)</f>
        <v/>
      </c>
    </row>
    <row r="5370">
      <c r="J5370">
        <f>IFERROR(__xludf.DUMMYFUNCTION("""COMPUTED_VALUE"""),"Mexico &amp; New York")</f>
        <v/>
      </c>
      <c r="K5370">
        <f>IFERROR(__xludf.DUMMYFUNCTION("""COMPUTED_VALUE"""),8198.17)</f>
        <v/>
      </c>
    </row>
    <row r="5371">
      <c r="J5371">
        <f>IFERROR(__xludf.DUMMYFUNCTION("""COMPUTED_VALUE"""),"Paris New Delhi, India")</f>
        <v/>
      </c>
      <c r="K5371">
        <f>IFERROR(__xludf.DUMMYFUNCTION("""COMPUTED_VALUE"""),8197.94)</f>
        <v/>
      </c>
    </row>
    <row r="5372">
      <c r="J5372">
        <f>IFERROR(__xludf.DUMMYFUNCTION("""COMPUTED_VALUE"""),"Toronto, Ontario, Canada; Guelph, Ontario, Canada")</f>
        <v/>
      </c>
      <c r="K5372">
        <f>IFERROR(__xludf.DUMMYFUNCTION("""COMPUTED_VALUE"""),8197.14)</f>
        <v/>
      </c>
    </row>
    <row r="5373">
      <c r="J5373">
        <f>IFERROR(__xludf.DUMMYFUNCTION("""COMPUTED_VALUE"""),"Jerusalem, Tel Aviv, Ramallah")</f>
        <v/>
      </c>
      <c r="K5373">
        <f>IFERROR(__xludf.DUMMYFUNCTION("""COMPUTED_VALUE"""),8196.86)</f>
        <v/>
      </c>
    </row>
    <row r="5374">
      <c r="J5374">
        <f>IFERROR(__xludf.DUMMYFUNCTION("""COMPUTED_VALUE"""),"Winnipeg, MB, Saskatoon, SK, Edmonton, AB")</f>
        <v/>
      </c>
      <c r="K5374">
        <f>IFERROR(__xludf.DUMMYFUNCTION("""COMPUTED_VALUE"""),8196.72)</f>
        <v/>
      </c>
    </row>
    <row r="5375">
      <c r="J5375">
        <f>IFERROR(__xludf.DUMMYFUNCTION("""COMPUTED_VALUE"""),"Edmonton and Williams Lake, Alberta - Vancouver, British Columbia")</f>
        <v/>
      </c>
      <c r="K5375">
        <f>IFERROR(__xludf.DUMMYFUNCTION("""COMPUTED_VALUE"""),8194.95)</f>
        <v/>
      </c>
    </row>
    <row r="5376">
      <c r="J5376">
        <f>IFERROR(__xludf.DUMMYFUNCTION("""COMPUTED_VALUE"""),"Sydney (Australia)")</f>
        <v/>
      </c>
      <c r="K5376">
        <f>IFERROR(__xludf.DUMMYFUNCTION("""COMPUTED_VALUE"""),8190.09)</f>
        <v/>
      </c>
    </row>
    <row r="5377">
      <c r="J5377">
        <f>IFERROR(__xludf.DUMMYFUNCTION("""COMPUTED_VALUE"""),"Toronto, Ontario, Canada / Beijing, Hong Kong and Shanghai, China")</f>
        <v/>
      </c>
      <c r="K5377">
        <f>IFERROR(__xludf.DUMMYFUNCTION("""COMPUTED_VALUE"""),8189.51)</f>
        <v/>
      </c>
    </row>
    <row r="5378">
      <c r="J5378">
        <f>IFERROR(__xludf.DUMMYFUNCTION("""COMPUTED_VALUE"""),"Vancouver, British-Columbia, CanadaRegina,  Saskatchewan, CanadaCalgary, Alberta, Canada")</f>
        <v/>
      </c>
      <c r="K5378">
        <f>IFERROR(__xludf.DUMMYFUNCTION("""COMPUTED_VALUE"""),8185.23)</f>
        <v/>
      </c>
    </row>
    <row r="5379">
      <c r="J5379">
        <f>IFERROR(__xludf.DUMMYFUNCTION("""COMPUTED_VALUE"""),"Costa Rica and Nicaragua")</f>
        <v/>
      </c>
      <c r="K5379">
        <f>IFERROR(__xludf.DUMMYFUNCTION("""COMPUTED_VALUE"""),8184.05999999999)</f>
        <v/>
      </c>
    </row>
    <row r="5380">
      <c r="J5380">
        <f>IFERROR(__xludf.DUMMYFUNCTION("""COMPUTED_VALUE"""),"New York, United States; Toronto, Ontario, Canada")</f>
        <v/>
      </c>
      <c r="K5380">
        <f>IFERROR(__xludf.DUMMYFUNCTION("""COMPUTED_VALUE"""),8183.46999999999)</f>
        <v/>
      </c>
    </row>
    <row r="5381">
      <c r="J5381">
        <f>IFERROR(__xludf.DUMMYFUNCTION("""COMPUTED_VALUE"""),"Saint John's, Newfoundland, Canada")</f>
        <v/>
      </c>
      <c r="K5381">
        <f>IFERROR(__xludf.DUMMYFUNCTION("""COMPUTED_VALUE"""),8183.21999999999)</f>
        <v/>
      </c>
    </row>
    <row r="5382">
      <c r="J5382">
        <f>IFERROR(__xludf.DUMMYFUNCTION("""COMPUTED_VALUE"""),"Tel Aviv, Israel; Jerusalem, Israel")</f>
        <v/>
      </c>
      <c r="K5382">
        <f>IFERROR(__xludf.DUMMYFUNCTION("""COMPUTED_VALUE"""),8182.56)</f>
        <v/>
      </c>
    </row>
    <row r="5383">
      <c r="J5383">
        <f>IFERROR(__xludf.DUMMYFUNCTION("""COMPUTED_VALUE"""),"Vancouver, British Columbia/Edmonton, Alberta")</f>
        <v/>
      </c>
      <c r="K5383">
        <f>IFERROR(__xludf.DUMMYFUNCTION("""COMPUTED_VALUE"""),8180.39)</f>
        <v/>
      </c>
    </row>
    <row r="5384">
      <c r="J5384">
        <f>IFERROR(__xludf.DUMMYFUNCTION("""COMPUTED_VALUE"""),"Leipzig &amp; Berlin, Germany; Washington, USA")</f>
        <v/>
      </c>
      <c r="K5384">
        <f>IFERROR(__xludf.DUMMYFUNCTION("""COMPUTED_VALUE"""),8179.77)</f>
        <v/>
      </c>
    </row>
    <row r="5385">
      <c r="J5385">
        <f>IFERROR(__xludf.DUMMYFUNCTION("""COMPUTED_VALUE"""),"Finland, Belgium, Switzerland and Sweden")</f>
        <v/>
      </c>
      <c r="K5385">
        <f>IFERROR(__xludf.DUMMYFUNCTION("""COMPUTED_VALUE"""),8179.39)</f>
        <v/>
      </c>
    </row>
    <row r="5386">
      <c r="J5386">
        <f>IFERROR(__xludf.DUMMYFUNCTION("""COMPUTED_VALUE"""),"Seoul, Korea/Tokyo, Japan")</f>
        <v/>
      </c>
      <c r="K5386">
        <f>IFERROR(__xludf.DUMMYFUNCTION("""COMPUTED_VALUE"""),8177.98)</f>
        <v/>
      </c>
    </row>
    <row r="5387">
      <c r="J5387">
        <f>IFERROR(__xludf.DUMMYFUNCTION("""COMPUTED_VALUE"""),"Ottawa, Ont.")</f>
        <v/>
      </c>
      <c r="K5387">
        <f>IFERROR(__xludf.DUMMYFUNCTION("""COMPUTED_VALUE"""),8175.45999999999)</f>
        <v/>
      </c>
    </row>
    <row r="5388">
      <c r="J5388">
        <f>IFERROR(__xludf.DUMMYFUNCTION("""COMPUTED_VALUE"""),"Toronto, Ottawa and Montreal")</f>
        <v/>
      </c>
      <c r="K5388">
        <f>IFERROR(__xludf.DUMMYFUNCTION("""COMPUTED_VALUE"""),8174.98)</f>
        <v/>
      </c>
    </row>
    <row r="5389">
      <c r="J5389">
        <f>IFERROR(__xludf.DUMMYFUNCTION("""COMPUTED_VALUE"""),"Winnipeg, Manitoba; Calgary, Alberta; Vancouver, British-Columbia, Canada")</f>
        <v/>
      </c>
      <c r="K5389">
        <f>IFERROR(__xludf.DUMMYFUNCTION("""COMPUTED_VALUE"""),8172.44)</f>
        <v/>
      </c>
    </row>
    <row r="5390">
      <c r="J5390">
        <f>IFERROR(__xludf.DUMMYFUNCTION("""COMPUTED_VALUE"""),"Nanaimo, Canada")</f>
        <v/>
      </c>
      <c r="K5390">
        <f>IFERROR(__xludf.DUMMYFUNCTION("""COMPUTED_VALUE"""),8170.54)</f>
        <v/>
      </c>
    </row>
    <row r="5391">
      <c r="J5391">
        <f>IFERROR(__xludf.DUMMYFUNCTION("""COMPUTED_VALUE"""),"Frankfurt, Hannover, Bonn, and Munich, Germany")</f>
        <v/>
      </c>
      <c r="K5391">
        <f>IFERROR(__xludf.DUMMYFUNCTION("""COMPUTED_VALUE"""),8168.69)</f>
        <v/>
      </c>
    </row>
    <row r="5392">
      <c r="J5392">
        <f>IFERROR(__xludf.DUMMYFUNCTION("""COMPUTED_VALUE"""),"Singapore - Taipei, Taiwan")</f>
        <v/>
      </c>
      <c r="K5392">
        <f>IFERROR(__xludf.DUMMYFUNCTION("""COMPUTED_VALUE"""),8168.45)</f>
        <v/>
      </c>
    </row>
    <row r="5393">
      <c r="J5393">
        <f>IFERROR(__xludf.DUMMYFUNCTION("""COMPUTED_VALUE"""),"Belfast, Northern Ireland; Dublin, Ireland")</f>
        <v/>
      </c>
      <c r="K5393">
        <f>IFERROR(__xludf.DUMMYFUNCTION("""COMPUTED_VALUE"""),8167.58)</f>
        <v/>
      </c>
    </row>
    <row r="5394">
      <c r="J5394">
        <f>IFERROR(__xludf.DUMMYFUNCTION("""COMPUTED_VALUE"""),"Calgary, AB - Vancouver, BC - Toronto, ON - Port Hope, ON")</f>
        <v/>
      </c>
      <c r="K5394">
        <f>IFERROR(__xludf.DUMMYFUNCTION("""COMPUTED_VALUE"""),8165.28)</f>
        <v/>
      </c>
    </row>
    <row r="5395">
      <c r="J5395">
        <f>IFERROR(__xludf.DUMMYFUNCTION("""COMPUTED_VALUE"""),"Liechtenstein")</f>
        <v/>
      </c>
      <c r="K5395">
        <f>IFERROR(__xludf.DUMMYFUNCTION("""COMPUTED_VALUE"""),8160.63)</f>
        <v/>
      </c>
    </row>
    <row r="5396">
      <c r="J5396">
        <f>IFERROR(__xludf.DUMMYFUNCTION("""COMPUTED_VALUE"""),"Hay River, Northwest Territories, Canada; Toronto, Ontario, Canada; Montreal, Québec, Canada")</f>
        <v/>
      </c>
      <c r="K5396">
        <f>IFERROR(__xludf.DUMMYFUNCTION("""COMPUTED_VALUE"""),8160.22)</f>
        <v/>
      </c>
    </row>
    <row r="5397">
      <c r="J5397">
        <f>IFERROR(__xludf.DUMMYFUNCTION("""COMPUTED_VALUE"""),"Rome and Montreux")</f>
        <v/>
      </c>
      <c r="K5397">
        <f>IFERROR(__xludf.DUMMYFUNCTION("""COMPUTED_VALUE"""),8159.37)</f>
        <v/>
      </c>
    </row>
    <row r="5398">
      <c r="J5398">
        <f>IFERROR(__xludf.DUMMYFUNCTION("""COMPUTED_VALUE"""),"Ottawa, Montreal, Frankfurt, Germany")</f>
        <v/>
      </c>
      <c r="K5398">
        <f>IFERROR(__xludf.DUMMYFUNCTION("""COMPUTED_VALUE"""),8156.06)</f>
        <v/>
      </c>
    </row>
    <row r="5399">
      <c r="J5399">
        <f>IFERROR(__xludf.DUMMYFUNCTION("""COMPUTED_VALUE"""),"Paris, London and Oxford")</f>
        <v/>
      </c>
      <c r="K5399">
        <f>IFERROR(__xludf.DUMMYFUNCTION("""COMPUTED_VALUE"""),8155.89)</f>
        <v/>
      </c>
    </row>
    <row r="5400">
      <c r="J5400">
        <f>IFERROR(__xludf.DUMMYFUNCTION("""COMPUTED_VALUE"""),"Tel Aviv Israel")</f>
        <v/>
      </c>
      <c r="K5400">
        <f>IFERROR(__xludf.DUMMYFUNCTION("""COMPUTED_VALUE"""),8154.04)</f>
        <v/>
      </c>
    </row>
    <row r="5401">
      <c r="J5401">
        <f>IFERROR(__xludf.DUMMYFUNCTION("""COMPUTED_VALUE"""),"Windsor, Ontario, Canada / Detroit, Michigan, United States")</f>
        <v/>
      </c>
      <c r="K5401">
        <f>IFERROR(__xludf.DUMMYFUNCTION("""COMPUTED_VALUE"""),8152.53999999999)</f>
        <v/>
      </c>
    </row>
    <row r="5402">
      <c r="J5402">
        <f>IFERROR(__xludf.DUMMYFUNCTION("""COMPUTED_VALUE"""),"Latin America")</f>
        <v/>
      </c>
      <c r="K5402">
        <f>IFERROR(__xludf.DUMMYFUNCTION("""COMPUTED_VALUE"""),8152)</f>
        <v/>
      </c>
    </row>
    <row r="5403">
      <c r="J5403">
        <f>IFERROR(__xludf.DUMMYFUNCTION("""COMPUTED_VALUE"""),"Frankfurt - Germany, Riga - Litvia, Split - Croatia, Berlin - Germany")</f>
        <v/>
      </c>
      <c r="K5403">
        <f>IFERROR(__xludf.DUMMYFUNCTION("""COMPUTED_VALUE"""),8151.57)</f>
        <v/>
      </c>
    </row>
    <row r="5404">
      <c r="J5404">
        <f>IFERROR(__xludf.DUMMYFUNCTION("""COMPUTED_VALUE"""),"Vancouver/Victoria, BC")</f>
        <v/>
      </c>
      <c r="K5404">
        <f>IFERROR(__xludf.DUMMYFUNCTION("""COMPUTED_VALUE"""),8149.29999999999)</f>
        <v/>
      </c>
    </row>
    <row r="5405">
      <c r="J5405">
        <f>IFERROR(__xludf.DUMMYFUNCTION("""COMPUTED_VALUE"""),"Vancouver, BC - Richmond, BC - Istanbul, Turkey - London, United Kingdom")</f>
        <v/>
      </c>
      <c r="K5405">
        <f>IFERROR(__xludf.DUMMYFUNCTION("""COMPUTED_VALUE"""),8148.78)</f>
        <v/>
      </c>
    </row>
    <row r="5406">
      <c r="J5406">
        <f>IFERROR(__xludf.DUMMYFUNCTION("""COMPUTED_VALUE"""),"Abidjan, Côte d'Ivoire")</f>
        <v/>
      </c>
      <c r="K5406">
        <f>IFERROR(__xludf.DUMMYFUNCTION("""COMPUTED_VALUE"""),8147.74)</f>
        <v/>
      </c>
    </row>
    <row r="5407">
      <c r="J5407">
        <f>IFERROR(__xludf.DUMMYFUNCTION("""COMPUTED_VALUE"""),"Port of Spain, Trinidad &amp; Tobago")</f>
        <v/>
      </c>
      <c r="K5407">
        <f>IFERROR(__xludf.DUMMYFUNCTION("""COMPUTED_VALUE"""),8145.04)</f>
        <v/>
      </c>
    </row>
    <row r="5408">
      <c r="J5408">
        <f>IFERROR(__xludf.DUMMYFUNCTION("""COMPUTED_VALUE"""),"Turkey and Indonesia")</f>
        <v/>
      </c>
      <c r="K5408">
        <f>IFERROR(__xludf.DUMMYFUNCTION("""COMPUTED_VALUE"""),8143.12)</f>
        <v/>
      </c>
    </row>
    <row r="5409">
      <c r="J5409">
        <f>IFERROR(__xludf.DUMMYFUNCTION("""COMPUTED_VALUE"""),"Syria")</f>
        <v/>
      </c>
      <c r="K5409">
        <f>IFERROR(__xludf.DUMMYFUNCTION("""COMPUTED_VALUE"""),8142.41)</f>
        <v/>
      </c>
    </row>
    <row r="5410">
      <c r="J5410">
        <f>IFERROR(__xludf.DUMMYFUNCTION("""COMPUTED_VALUE"""),"Vaduz, Liechenstein")</f>
        <v/>
      </c>
      <c r="K5410">
        <f>IFERROR(__xludf.DUMMYFUNCTION("""COMPUTED_VALUE"""),8142.22)</f>
        <v/>
      </c>
    </row>
    <row r="5411">
      <c r="J5411">
        <f>IFERROR(__xludf.DUMMYFUNCTION("""COMPUTED_VALUE"""),"Ulaan Batar, Mongolia")</f>
        <v/>
      </c>
      <c r="K5411">
        <f>IFERROR(__xludf.DUMMYFUNCTION("""COMPUTED_VALUE"""),8142.07)</f>
        <v/>
      </c>
    </row>
    <row r="5412">
      <c r="J5412">
        <f>IFERROR(__xludf.DUMMYFUNCTION("""COMPUTED_VALUE"""),"Domodedovo, Russia")</f>
        <v/>
      </c>
      <c r="K5412">
        <f>IFERROR(__xludf.DUMMYFUNCTION("""COMPUTED_VALUE"""),8141.96)</f>
        <v/>
      </c>
    </row>
    <row r="5413">
      <c r="J5413">
        <f>IFERROR(__xludf.DUMMYFUNCTION("""COMPUTED_VALUE"""),"Calgary, Alberta, Canada / Banff, Alberta, Canada")</f>
        <v/>
      </c>
      <c r="K5413">
        <f>IFERROR(__xludf.DUMMYFUNCTION("""COMPUTED_VALUE"""),8141.57)</f>
        <v/>
      </c>
    </row>
    <row r="5414">
      <c r="J5414">
        <f>IFERROR(__xludf.DUMMYFUNCTION("""COMPUTED_VALUE"""),"Geneva and Bern, Switzerland")</f>
        <v/>
      </c>
      <c r="K5414">
        <f>IFERROR(__xludf.DUMMYFUNCTION("""COMPUTED_VALUE"""),8141.01)</f>
        <v/>
      </c>
    </row>
    <row r="5415">
      <c r="J5415">
        <f>IFERROR(__xludf.DUMMYFUNCTION("""COMPUTED_VALUE"""),"Rzeszow, Warsaw and Lublin (Poland)")</f>
        <v/>
      </c>
      <c r="K5415">
        <f>IFERROR(__xludf.DUMMYFUNCTION("""COMPUTED_VALUE"""),8140.51)</f>
        <v/>
      </c>
    </row>
    <row r="5416">
      <c r="J5416">
        <f>IFERROR(__xludf.DUMMYFUNCTION("""COMPUTED_VALUE"""),"Bathurst; Moncton, New Brunswick; Halifax, Nova Scotia, Canada")</f>
        <v/>
      </c>
      <c r="K5416">
        <f>IFERROR(__xludf.DUMMYFUNCTION("""COMPUTED_VALUE"""),8139.03)</f>
        <v/>
      </c>
    </row>
    <row r="5417">
      <c r="J5417">
        <f>IFERROR(__xludf.DUMMYFUNCTION("""COMPUTED_VALUE"""),"Québec City, Rimouski and Matane, Québec")</f>
        <v/>
      </c>
      <c r="K5417">
        <f>IFERROR(__xludf.DUMMYFUNCTION("""COMPUTED_VALUE"""),8132.5)</f>
        <v/>
      </c>
    </row>
    <row r="5418">
      <c r="J5418">
        <f>IFERROR(__xludf.DUMMYFUNCTION("""COMPUTED_VALUE"""),"Madrid London, U.K.")</f>
        <v/>
      </c>
      <c r="K5418">
        <f>IFERROR(__xludf.DUMMYFUNCTION("""COMPUTED_VALUE"""),8132.26)</f>
        <v/>
      </c>
    </row>
    <row r="5419">
      <c r="J5419">
        <f>IFERROR(__xludf.DUMMYFUNCTION("""COMPUTED_VALUE"""),"Shanghai, China and Davos, Switzerland")</f>
        <v/>
      </c>
      <c r="K5419">
        <f>IFERROR(__xludf.DUMMYFUNCTION("""COMPUTED_VALUE"""),8131.4)</f>
        <v/>
      </c>
    </row>
    <row r="5420">
      <c r="J5420">
        <f>IFERROR(__xludf.DUMMYFUNCTION("""COMPUTED_VALUE"""),"Paris via Quebec and Montreal")</f>
        <v/>
      </c>
      <c r="K5420">
        <f>IFERROR(__xludf.DUMMYFUNCTION("""COMPUTED_VALUE"""),8125.97)</f>
        <v/>
      </c>
    </row>
    <row r="5421">
      <c r="J5421">
        <f>IFERROR(__xludf.DUMMYFUNCTION("""COMPUTED_VALUE"""),"Conakry, Guinea")</f>
        <v/>
      </c>
      <c r="K5421">
        <f>IFERROR(__xludf.DUMMYFUNCTION("""COMPUTED_VALUE"""),8125.84)</f>
        <v/>
      </c>
    </row>
    <row r="5422">
      <c r="J5422">
        <f>IFERROR(__xludf.DUMMYFUNCTION("""COMPUTED_VALUE"""),"Seattle and Japan")</f>
        <v/>
      </c>
      <c r="K5422">
        <f>IFERROR(__xludf.DUMMYFUNCTION("""COMPUTED_VALUE"""),8123.75)</f>
        <v/>
      </c>
    </row>
    <row r="5423">
      <c r="J5423">
        <f>IFERROR(__xludf.DUMMYFUNCTION("""COMPUTED_VALUE"""),"Slovakia, Vienna")</f>
        <v/>
      </c>
      <c r="K5423">
        <f>IFERROR(__xludf.DUMMYFUNCTION("""COMPUTED_VALUE"""),8123.55999999999)</f>
        <v/>
      </c>
    </row>
    <row r="5424">
      <c r="J5424">
        <f>IFERROR(__xludf.DUMMYFUNCTION("""COMPUTED_VALUE"""),"Saint John, New Brusnwick, Canada")</f>
        <v/>
      </c>
      <c r="K5424">
        <f>IFERROR(__xludf.DUMMYFUNCTION("""COMPUTED_VALUE"""),8120.9)</f>
        <v/>
      </c>
    </row>
    <row r="5425">
      <c r="J5425">
        <f>IFERROR(__xludf.DUMMYFUNCTION("""COMPUTED_VALUE"""),"Lima and Cusco, Peru")</f>
        <v/>
      </c>
      <c r="K5425">
        <f>IFERROR(__xludf.DUMMYFUNCTION("""COMPUTED_VALUE"""),8120.63)</f>
        <v/>
      </c>
    </row>
    <row r="5426">
      <c r="J5426">
        <f>IFERROR(__xludf.DUMMYFUNCTION("""COMPUTED_VALUE"""),"Kyoto,Japan")</f>
        <v/>
      </c>
      <c r="K5426">
        <f>IFERROR(__xludf.DUMMYFUNCTION("""COMPUTED_VALUE"""),8115.44)</f>
        <v/>
      </c>
    </row>
    <row r="5427">
      <c r="J5427">
        <f>IFERROR(__xludf.DUMMYFUNCTION("""COMPUTED_VALUE"""),"Dakar, Senegal
Conakry, Guinea")</f>
        <v/>
      </c>
      <c r="K5427">
        <f>IFERROR(__xludf.DUMMYFUNCTION("""COMPUTED_VALUE"""),8114.86)</f>
        <v/>
      </c>
    </row>
    <row r="5428">
      <c r="J5428">
        <f>IFERROR(__xludf.DUMMYFUNCTION("""COMPUTED_VALUE"""),"Beijing, China and Tokyo, Japan")</f>
        <v/>
      </c>
      <c r="K5428">
        <f>IFERROR(__xludf.DUMMYFUNCTION("""COMPUTED_VALUE"""),8113.16)</f>
        <v/>
      </c>
    </row>
    <row r="5429">
      <c r="J5429">
        <f>IFERROR(__xludf.DUMMYFUNCTION("""COMPUTED_VALUE"""),"Victoria &amp; Vancouver, BC")</f>
        <v/>
      </c>
      <c r="K5429">
        <f>IFERROR(__xludf.DUMMYFUNCTION("""COMPUTED_VALUE"""),8107.45)</f>
        <v/>
      </c>
    </row>
    <row r="5430">
      <c r="J5430">
        <f>IFERROR(__xludf.DUMMYFUNCTION("""COMPUTED_VALUE"""),"Ottawa, Montreal, London")</f>
        <v/>
      </c>
      <c r="K5430">
        <f>IFERROR(__xludf.DUMMYFUNCTION("""COMPUTED_VALUE"""),8106.72)</f>
        <v/>
      </c>
    </row>
    <row r="5431">
      <c r="J5431">
        <f>IFERROR(__xludf.DUMMYFUNCTION("""COMPUTED_VALUE"""),"Ottawa, ON, Toronto, ON, Frankfurt, Germany, Basel, Switzerland")</f>
        <v/>
      </c>
      <c r="K5431">
        <f>IFERROR(__xludf.DUMMYFUNCTION("""COMPUTED_VALUE"""),8100.1)</f>
        <v/>
      </c>
    </row>
    <row r="5432">
      <c r="J5432">
        <f>IFERROR(__xludf.DUMMYFUNCTION("""COMPUTED_VALUE"""),"Yogyakarta, Indonesia")</f>
        <v/>
      </c>
      <c r="K5432">
        <f>IFERROR(__xludf.DUMMYFUNCTION("""COMPUTED_VALUE"""),8099.59)</f>
        <v/>
      </c>
    </row>
    <row r="5433">
      <c r="J5433">
        <f>IFERROR(__xludf.DUMMYFUNCTION("""COMPUTED_VALUE"""),"Ottawa, Calgary, Vancouver and Denver, Colorado")</f>
        <v/>
      </c>
      <c r="K5433">
        <f>IFERROR(__xludf.DUMMYFUNCTION("""COMPUTED_VALUE"""),8096.13)</f>
        <v/>
      </c>
    </row>
    <row r="5434">
      <c r="J5434">
        <f>IFERROR(__xludf.DUMMYFUNCTION("""COMPUTED_VALUE"""),"Ottawa, CANADA")</f>
        <v/>
      </c>
      <c r="K5434">
        <f>IFERROR(__xludf.DUMMYFUNCTION("""COMPUTED_VALUE"""),8095.08)</f>
        <v/>
      </c>
    </row>
    <row r="5435">
      <c r="J5435">
        <f>IFERROR(__xludf.DUMMYFUNCTION("""COMPUTED_VALUE"""),"Vancouver and Kelowna, British Columbia - Edmonton, Alberta - Toronto, Ontario")</f>
        <v/>
      </c>
      <c r="K5435">
        <f>IFERROR(__xludf.DUMMYFUNCTION("""COMPUTED_VALUE"""),8094.27)</f>
        <v/>
      </c>
    </row>
    <row r="5436">
      <c r="J5436">
        <f>IFERROR(__xludf.DUMMYFUNCTION("""COMPUTED_VALUE"""),"Charlottetown, PE Vancouver, BC")</f>
        <v/>
      </c>
      <c r="K5436">
        <f>IFERROR(__xludf.DUMMYFUNCTION("""COMPUTED_VALUE"""),8091.34)</f>
        <v/>
      </c>
    </row>
    <row r="5437">
      <c r="J5437">
        <f>IFERROR(__xludf.DUMMYFUNCTION("""COMPUTED_VALUE"""),"Victoria, Prince George, Toronto, Ottawa")</f>
        <v/>
      </c>
      <c r="K5437">
        <f>IFERROR(__xludf.DUMMYFUNCTION("""COMPUTED_VALUE"""),8089.39)</f>
        <v/>
      </c>
    </row>
    <row r="5438">
      <c r="J5438">
        <f>IFERROR(__xludf.DUMMYFUNCTION("""COMPUTED_VALUE"""),"Vancouver, Victoria, Delta")</f>
        <v/>
      </c>
      <c r="K5438">
        <f>IFERROR(__xludf.DUMMYFUNCTION("""COMPUTED_VALUE"""),8088.84)</f>
        <v/>
      </c>
    </row>
    <row r="5439">
      <c r="J5439">
        <f>IFERROR(__xludf.DUMMYFUNCTION("""COMPUTED_VALUE"""),"Halifax and Ottawa")</f>
        <v/>
      </c>
      <c r="K5439">
        <f>IFERROR(__xludf.DUMMYFUNCTION("""COMPUTED_VALUE"""),8087.62)</f>
        <v/>
      </c>
    </row>
    <row r="5440">
      <c r="J5440">
        <f>IFERROR(__xludf.DUMMYFUNCTION("""COMPUTED_VALUE"""),"London, UK &amp; Stockholm, Sweden")</f>
        <v/>
      </c>
      <c r="K5440">
        <f>IFERROR(__xludf.DUMMYFUNCTION("""COMPUTED_VALUE"""),8087.21)</f>
        <v/>
      </c>
    </row>
    <row r="5441">
      <c r="J5441">
        <f>IFERROR(__xludf.DUMMYFUNCTION("""COMPUTED_VALUE"""),"Washington (District of Columbia) United States
Guelph (Ontario) Canada")</f>
        <v/>
      </c>
      <c r="K5441">
        <f>IFERROR(__xludf.DUMMYFUNCTION("""COMPUTED_VALUE"""),8085.4)</f>
        <v/>
      </c>
    </row>
    <row r="5442">
      <c r="J5442">
        <f>IFERROR(__xludf.DUMMYFUNCTION("""COMPUTED_VALUE"""),"Ottawa-Toronto-Vancouver-Icheon-Toronto-St.John's")</f>
        <v/>
      </c>
      <c r="K5442">
        <f>IFERROR(__xludf.DUMMYFUNCTION("""COMPUTED_VALUE"""),8084.71)</f>
        <v/>
      </c>
    </row>
    <row r="5443">
      <c r="J5443">
        <f>IFERROR(__xludf.DUMMYFUNCTION("""COMPUTED_VALUE"""),"Paris, France; Toronto, Ontario")</f>
        <v/>
      </c>
      <c r="K5443">
        <f>IFERROR(__xludf.DUMMYFUNCTION("""COMPUTED_VALUE"""),8084.11)</f>
        <v/>
      </c>
    </row>
    <row r="5444">
      <c r="J5444">
        <f>IFERROR(__xludf.DUMMYFUNCTION("""COMPUTED_VALUE"""),"Paris - Ottawa - Paris")</f>
        <v/>
      </c>
      <c r="K5444">
        <f>IFERROR(__xludf.DUMMYFUNCTION("""COMPUTED_VALUE"""),8080.01)</f>
        <v/>
      </c>
    </row>
    <row r="5445">
      <c r="J5445">
        <f>IFERROR(__xludf.DUMMYFUNCTION("""COMPUTED_VALUE"""),"Venice, Italy, Europe")</f>
        <v/>
      </c>
      <c r="K5445">
        <f>IFERROR(__xludf.DUMMYFUNCTION("""COMPUTED_VALUE"""),8080.01)</f>
        <v/>
      </c>
    </row>
    <row r="5446">
      <c r="J5446">
        <f>IFERROR(__xludf.DUMMYFUNCTION("""COMPUTED_VALUE"""),"Vancouver &amp; Victoria, BC")</f>
        <v/>
      </c>
      <c r="K5446">
        <f>IFERROR(__xludf.DUMMYFUNCTION("""COMPUTED_VALUE"""),8073.95)</f>
        <v/>
      </c>
    </row>
    <row r="5447">
      <c r="J5447">
        <f>IFERROR(__xludf.DUMMYFUNCTION("""COMPUTED_VALUE"""),"Port-au-Prince, Haïti")</f>
        <v/>
      </c>
      <c r="K5447">
        <f>IFERROR(__xludf.DUMMYFUNCTION("""COMPUTED_VALUE"""),8073.3)</f>
        <v/>
      </c>
    </row>
    <row r="5448">
      <c r="J5448">
        <f>IFERROR(__xludf.DUMMYFUNCTION("""COMPUTED_VALUE"""),"Beijing/Shanghai, China; Tokyo, Japan")</f>
        <v/>
      </c>
      <c r="K5448">
        <f>IFERROR(__xludf.DUMMYFUNCTION("""COMPUTED_VALUE"""),8071.89)</f>
        <v/>
      </c>
    </row>
    <row r="5449">
      <c r="J5449">
        <f>IFERROR(__xludf.DUMMYFUNCTION("""COMPUTED_VALUE"""),"Saint Petersburg, Russia")</f>
        <v/>
      </c>
      <c r="K5449">
        <f>IFERROR(__xludf.DUMMYFUNCTION("""COMPUTED_VALUE"""),8068.46)</f>
        <v/>
      </c>
    </row>
    <row r="5450">
      <c r="J5450">
        <f>IFERROR(__xludf.DUMMYFUNCTION("""COMPUTED_VALUE"""),"London, England and Paris, France")</f>
        <v/>
      </c>
      <c r="K5450">
        <f>IFERROR(__xludf.DUMMYFUNCTION("""COMPUTED_VALUE"""),8067.45)</f>
        <v/>
      </c>
    </row>
    <row r="5451">
      <c r="J5451">
        <f>IFERROR(__xludf.DUMMYFUNCTION("""COMPUTED_VALUE"""),"London, Charlbury")</f>
        <v/>
      </c>
      <c r="K5451">
        <f>IFERROR(__xludf.DUMMYFUNCTION("""COMPUTED_VALUE"""),8067.41)</f>
        <v/>
      </c>
    </row>
    <row r="5452">
      <c r="J5452">
        <f>IFERROR(__xludf.DUMMYFUNCTION("""COMPUTED_VALUE"""),"Quito, Ecuador Montevideo, Uruguay")</f>
        <v/>
      </c>
      <c r="K5452">
        <f>IFERROR(__xludf.DUMMYFUNCTION("""COMPUTED_VALUE"""),8066.64)</f>
        <v/>
      </c>
    </row>
    <row r="5453">
      <c r="J5453">
        <f>IFERROR(__xludf.DUMMYFUNCTION("""COMPUTED_VALUE"""),"Uzbekistan and Tajikistan")</f>
        <v/>
      </c>
      <c r="K5453">
        <f>IFERROR(__xludf.DUMMYFUNCTION("""COMPUTED_VALUE"""),8065.16)</f>
        <v/>
      </c>
    </row>
    <row r="5454">
      <c r="J5454">
        <f>IFERROR(__xludf.DUMMYFUNCTION("""COMPUTED_VALUE"""),"Victoria, BC / Masset, BC / Calgary, AB")</f>
        <v/>
      </c>
      <c r="K5454">
        <f>IFERROR(__xludf.DUMMYFUNCTION("""COMPUTED_VALUE"""),8063.73)</f>
        <v/>
      </c>
    </row>
    <row r="5455">
      <c r="J5455">
        <f>IFERROR(__xludf.DUMMYFUNCTION("""COMPUTED_VALUE"""),"Anchorage, Alaska, USA")</f>
        <v/>
      </c>
      <c r="K5455">
        <f>IFERROR(__xludf.DUMMYFUNCTION("""COMPUTED_VALUE"""),8063.46)</f>
        <v/>
      </c>
    </row>
    <row r="5456">
      <c r="J5456">
        <f>IFERROR(__xludf.DUMMYFUNCTION("""COMPUTED_VALUE"""),"Jerusalem, Israel; Ramallah, Palestine; Tel Aviv, Israel")</f>
        <v/>
      </c>
      <c r="K5456">
        <f>IFERROR(__xludf.DUMMYFUNCTION("""COMPUTED_VALUE"""),8061.05)</f>
        <v/>
      </c>
    </row>
    <row r="5457">
      <c r="J5457">
        <f>IFERROR(__xludf.DUMMYFUNCTION("""COMPUTED_VALUE"""),"Toronto, Ontario, Canada / Frankfurt, Germany / New Delhi, Amritsar, Ludhiana, Qadian, Chandigarh, Jalandhar, and Sehaura, India / Lahore and Nankana, Pakistan and Zurich, Switzerland")</f>
        <v/>
      </c>
      <c r="K5457">
        <f>IFERROR(__xludf.DUMMYFUNCTION("""COMPUTED_VALUE"""),8060.19)</f>
        <v/>
      </c>
    </row>
    <row r="5458">
      <c r="J5458">
        <f>IFERROR(__xludf.DUMMYFUNCTION("""COMPUTED_VALUE"""),"Salvador, Brazil / Costa do Sauipe, Brazil")</f>
        <v/>
      </c>
      <c r="K5458">
        <f>IFERROR(__xludf.DUMMYFUNCTION("""COMPUTED_VALUE"""),8059.17)</f>
        <v/>
      </c>
    </row>
    <row r="5459">
      <c r="J5459">
        <f>IFERROR(__xludf.DUMMYFUNCTION("""COMPUTED_VALUE"""),"Vancouver, British Columbia, Canada; Winnipeg, Manitoba, Canada; Toronto, Ontario, Canada; Montréal, Quebec, Canada")</f>
        <v/>
      </c>
      <c r="K5459">
        <f>IFERROR(__xludf.DUMMYFUNCTION("""COMPUTED_VALUE"""),8050.77)</f>
        <v/>
      </c>
    </row>
    <row r="5460">
      <c r="J5460">
        <f>IFERROR(__xludf.DUMMYFUNCTION("""COMPUTED_VALUE"""),"Gander, Newfoundland and Labrador, Canada / Clarenville, Newfoundland and Labrador, Canada / Sydney, Nova Scotia, Canada")</f>
        <v/>
      </c>
      <c r="K5460">
        <f>IFERROR(__xludf.DUMMYFUNCTION("""COMPUTED_VALUE"""),8046.19)</f>
        <v/>
      </c>
    </row>
    <row r="5461">
      <c r="J5461">
        <f>IFERROR(__xludf.DUMMYFUNCTION("""COMPUTED_VALUE"""),"Brussels and Flensburg")</f>
        <v/>
      </c>
      <c r="K5461">
        <f>IFERROR(__xludf.DUMMYFUNCTION("""COMPUTED_VALUE"""),8043.23)</f>
        <v/>
      </c>
    </row>
    <row r="5462">
      <c r="J5462">
        <f>IFERROR(__xludf.DUMMYFUNCTION("""COMPUTED_VALUE"""),"Vancouver, British Columbia, Canada and Toronto, Ontario, Canada")</f>
        <v/>
      </c>
      <c r="K5462">
        <f>IFERROR(__xludf.DUMMYFUNCTION("""COMPUTED_VALUE"""),8038.44)</f>
        <v/>
      </c>
    </row>
    <row r="5463">
      <c r="J5463">
        <f>IFERROR(__xludf.DUMMYFUNCTION("""COMPUTED_VALUE"""),"Gander, Newfoundland and Labrador, Canada/ Halifax, Nova Scotia, Canada")</f>
        <v/>
      </c>
      <c r="K5463">
        <f>IFERROR(__xludf.DUMMYFUNCTION("""COMPUTED_VALUE"""),8038.43)</f>
        <v/>
      </c>
    </row>
    <row r="5464">
      <c r="J5464">
        <f>IFERROR(__xludf.DUMMYFUNCTION("""COMPUTED_VALUE"""),"Vancouver, BC / Victoria, BC")</f>
        <v/>
      </c>
      <c r="K5464">
        <f>IFERROR(__xludf.DUMMYFUNCTION("""COMPUTED_VALUE"""),8036.92999999999)</f>
        <v/>
      </c>
    </row>
    <row r="5465">
      <c r="J5465">
        <f>IFERROR(__xludf.DUMMYFUNCTION("""COMPUTED_VALUE"""),"Ottawa and Toronto, Ontario, Canada")</f>
        <v/>
      </c>
      <c r="K5465">
        <f>IFERROR(__xludf.DUMMYFUNCTION("""COMPUTED_VALUE"""),8036.83)</f>
        <v/>
      </c>
    </row>
    <row r="5466">
      <c r="J5466">
        <f>IFERROR(__xludf.DUMMYFUNCTION("""COMPUTED_VALUE"""),"Sisimiut and Nuuk, Greenland")</f>
        <v/>
      </c>
      <c r="K5466">
        <f>IFERROR(__xludf.DUMMYFUNCTION("""COMPUTED_VALUE"""),8033.1)</f>
        <v/>
      </c>
    </row>
    <row r="5467">
      <c r="J5467">
        <f>IFERROR(__xludf.DUMMYFUNCTION("""COMPUTED_VALUE"""),"Wallace, Nova Scotia")</f>
        <v/>
      </c>
      <c r="K5467">
        <f>IFERROR(__xludf.DUMMYFUNCTION("""COMPUTED_VALUE"""),8030.93)</f>
        <v/>
      </c>
    </row>
    <row r="5468">
      <c r="J5468">
        <f>IFERROR(__xludf.DUMMYFUNCTION("""COMPUTED_VALUE"""),"Farnborough, UK")</f>
        <v/>
      </c>
      <c r="K5468">
        <f>IFERROR(__xludf.DUMMYFUNCTION("""COMPUTED_VALUE"""),8027.85)</f>
        <v/>
      </c>
    </row>
    <row r="5469">
      <c r="J5469">
        <f>IFERROR(__xludf.DUMMYFUNCTION("""COMPUTED_VALUE"""),"Ottawa, Ontario, Canada / Toronto, Ontario, Canada")</f>
        <v/>
      </c>
      <c r="K5469">
        <f>IFERROR(__xludf.DUMMYFUNCTION("""COMPUTED_VALUE"""),8024.37)</f>
        <v/>
      </c>
    </row>
    <row r="5470">
      <c r="J5470">
        <f>IFERROR(__xludf.DUMMYFUNCTION("""COMPUTED_VALUE"""),"Sharm El Sheikh, Larnaca")</f>
        <v/>
      </c>
      <c r="K5470">
        <f>IFERROR(__xludf.DUMMYFUNCTION("""COMPUTED_VALUE"""),8019.93)</f>
        <v/>
      </c>
    </row>
    <row r="5471">
      <c r="J5471">
        <f>IFERROR(__xludf.DUMMYFUNCTION("""COMPUTED_VALUE"""),"Oslo, Norway 
Stavanger, Norway 
Bergen, Norway
Reykjavik, Iceland")</f>
        <v/>
      </c>
      <c r="K5471">
        <f>IFERROR(__xludf.DUMMYFUNCTION("""COMPUTED_VALUE"""),8017.97)</f>
        <v/>
      </c>
    </row>
    <row r="5472">
      <c r="J5472">
        <f>IFERROR(__xludf.DUMMYFUNCTION("""COMPUTED_VALUE"""),"Vancouver, British Columbia, Canada; Surrey, British Columbia, Canada; Abbotsford, British Columbia, Canada")</f>
        <v/>
      </c>
      <c r="K5472">
        <f>IFERROR(__xludf.DUMMYFUNCTION("""COMPUTED_VALUE"""),8015.8)</f>
        <v/>
      </c>
    </row>
    <row r="5473">
      <c r="J5473">
        <f>IFERROR(__xludf.DUMMYFUNCTION("""COMPUTED_VALUE"""),"Victoria, British Columbia / Vancouver, British Columbia / Kamloops, British Columbia / Edmonton, Alberta")</f>
        <v/>
      </c>
      <c r="K5473">
        <f>IFERROR(__xludf.DUMMYFUNCTION("""COMPUTED_VALUE"""),8014.63)</f>
        <v/>
      </c>
    </row>
    <row r="5474">
      <c r="J5474">
        <f>IFERROR(__xludf.DUMMYFUNCTION("""COMPUTED_VALUE"""),"Beijing, CN / Tokyo, JP")</f>
        <v/>
      </c>
      <c r="K5474">
        <f>IFERROR(__xludf.DUMMYFUNCTION("""COMPUTED_VALUE"""),8013.28)</f>
        <v/>
      </c>
    </row>
    <row r="5475">
      <c r="J5475">
        <f>IFERROR(__xludf.DUMMYFUNCTION("""COMPUTED_VALUE"""),"Edmonton, Alberta, Canada
Winnipeg, Manitoba, Canada")</f>
        <v/>
      </c>
      <c r="K5475">
        <f>IFERROR(__xludf.DUMMYFUNCTION("""COMPUTED_VALUE"""),8011.76999999999)</f>
        <v/>
      </c>
    </row>
    <row r="5476">
      <c r="J5476">
        <f>IFERROR(__xludf.DUMMYFUNCTION("""COMPUTED_VALUE"""),"Ottawa;   St. Petersburg Russia")</f>
        <v/>
      </c>
      <c r="K5476">
        <f>IFERROR(__xludf.DUMMYFUNCTION("""COMPUTED_VALUE"""),8011.6)</f>
        <v/>
      </c>
    </row>
    <row r="5477">
      <c r="J5477">
        <f>IFERROR(__xludf.DUMMYFUNCTION("""COMPUTED_VALUE"""),"Colorado Springs, US")</f>
        <v/>
      </c>
      <c r="K5477">
        <f>IFERROR(__xludf.DUMMYFUNCTION("""COMPUTED_VALUE"""),8003.74)</f>
        <v/>
      </c>
    </row>
    <row r="5478">
      <c r="J5478">
        <f>IFERROR(__xludf.DUMMYFUNCTION("""COMPUTED_VALUE"""),"Ottawa, Ontario, Canada;Iqaluit, Nunavut, Canada")</f>
        <v/>
      </c>
      <c r="K5478">
        <f>IFERROR(__xludf.DUMMYFUNCTION("""COMPUTED_VALUE"""),8001.63)</f>
        <v/>
      </c>
    </row>
    <row r="5479">
      <c r="J5479">
        <f>IFERROR(__xludf.DUMMYFUNCTION("""COMPUTED_VALUE"""),"Ottawa-Toronto-Charlottetown-Halifax-Ottawa")</f>
        <v/>
      </c>
      <c r="K5479">
        <f>IFERROR(__xludf.DUMMYFUNCTION("""COMPUTED_VALUE"""),7995.32)</f>
        <v/>
      </c>
    </row>
    <row r="5480">
      <c r="J5480">
        <f>IFERROR(__xludf.DUMMYFUNCTION("""COMPUTED_VALUE"""),"Delhi, India - Noida, India - Mumbai (Ex Bombay), India")</f>
        <v/>
      </c>
      <c r="K5480">
        <f>IFERROR(__xludf.DUMMYFUNCTION("""COMPUTED_VALUE"""),7991.51)</f>
        <v/>
      </c>
    </row>
    <row r="5481">
      <c r="J5481">
        <f>IFERROR(__xludf.DUMMYFUNCTION("""COMPUTED_VALUE"""),"Deer Lake, Newfoundland")</f>
        <v/>
      </c>
      <c r="K5481">
        <f>IFERROR(__xludf.DUMMYFUNCTION("""COMPUTED_VALUE"""),7991.14)</f>
        <v/>
      </c>
    </row>
    <row r="5482">
      <c r="J5482">
        <f>IFERROR(__xludf.DUMMYFUNCTION("""COMPUTED_VALUE"""),"Washington D.C, USA")</f>
        <v/>
      </c>
      <c r="K5482">
        <f>IFERROR(__xludf.DUMMYFUNCTION("""COMPUTED_VALUE"""),7989.02)</f>
        <v/>
      </c>
    </row>
    <row r="5483">
      <c r="J5483">
        <f>IFERROR(__xludf.DUMMYFUNCTION("""COMPUTED_VALUE"""),"Yellowknife (NT), Canada")</f>
        <v/>
      </c>
      <c r="K5483">
        <f>IFERROR(__xludf.DUMMYFUNCTION("""COMPUTED_VALUE"""),7988.93)</f>
        <v/>
      </c>
    </row>
    <row r="5484">
      <c r="J5484">
        <f>IFERROR(__xludf.DUMMYFUNCTION("""COMPUTED_VALUE"""),"Santa Cruz, Bolivia")</f>
        <v/>
      </c>
      <c r="K5484">
        <f>IFERROR(__xludf.DUMMYFUNCTION("""COMPUTED_VALUE"""),7988.74)</f>
        <v/>
      </c>
    </row>
    <row r="5485">
      <c r="J5485">
        <f>IFERROR(__xludf.DUMMYFUNCTION("""COMPUTED_VALUE"""),"Toronto - Ottawa")</f>
        <v/>
      </c>
      <c r="K5485">
        <f>IFERROR(__xludf.DUMMYFUNCTION("""COMPUTED_VALUE"""),7988.7)</f>
        <v/>
      </c>
    </row>
    <row r="5486">
      <c r="J5486">
        <f>IFERROR(__xludf.DUMMYFUNCTION("""COMPUTED_VALUE"""),"Ghana, Kenya and Tanzania")</f>
        <v/>
      </c>
      <c r="K5486">
        <f>IFERROR(__xludf.DUMMYFUNCTION("""COMPUTED_VALUE"""),7987.36)</f>
        <v/>
      </c>
    </row>
    <row r="5487">
      <c r="J5487">
        <f>IFERROR(__xludf.DUMMYFUNCTION("""COMPUTED_VALUE"""),"Ankara and Istanbul; Paris")</f>
        <v/>
      </c>
      <c r="K5487">
        <f>IFERROR(__xludf.DUMMYFUNCTION("""COMPUTED_VALUE"""),7984.93)</f>
        <v/>
      </c>
    </row>
    <row r="5488">
      <c r="J5488">
        <f>IFERROR(__xludf.DUMMYFUNCTION("""COMPUTED_VALUE"""),"Lac Seul First Nation, Ontario, Canada")</f>
        <v/>
      </c>
      <c r="K5488">
        <f>IFERROR(__xludf.DUMMYFUNCTION("""COMPUTED_VALUE"""),7982.96)</f>
        <v/>
      </c>
    </row>
    <row r="5489">
      <c r="J5489">
        <f>IFERROR(__xludf.DUMMYFUNCTION("""COMPUTED_VALUE"""),"San Jose, California, United States")</f>
        <v/>
      </c>
      <c r="K5489">
        <f>IFERROR(__xludf.DUMMYFUNCTION("""COMPUTED_VALUE"""),7981.87)</f>
        <v/>
      </c>
    </row>
    <row r="5490">
      <c r="J5490">
        <f>IFERROR(__xludf.DUMMYFUNCTION("""COMPUTED_VALUE"""),"Denver, Colorado, United States of America")</f>
        <v/>
      </c>
      <c r="K5490">
        <f>IFERROR(__xludf.DUMMYFUNCTION("""COMPUTED_VALUE"""),7979.32)</f>
        <v/>
      </c>
    </row>
    <row r="5491">
      <c r="J5491">
        <f>IFERROR(__xludf.DUMMYFUNCTION("""COMPUTED_VALUE"""),"Seoul, KR / Vancouver, BC")</f>
        <v/>
      </c>
      <c r="K5491">
        <f>IFERROR(__xludf.DUMMYFUNCTION("""COMPUTED_VALUE"""),7978.36)</f>
        <v/>
      </c>
    </row>
    <row r="5492">
      <c r="J5492">
        <f>IFERROR(__xludf.DUMMYFUNCTION("""COMPUTED_VALUE"""),"Moscow; Toronto")</f>
        <v/>
      </c>
      <c r="K5492">
        <f>IFERROR(__xludf.DUMMYFUNCTION("""COMPUTED_VALUE"""),7976.39)</f>
        <v/>
      </c>
    </row>
    <row r="5493">
      <c r="J5493">
        <f>IFERROR(__xludf.DUMMYFUNCTION("""COMPUTED_VALUE"""),"Las Vegas, Nevada, US")</f>
        <v/>
      </c>
      <c r="K5493">
        <f>IFERROR(__xludf.DUMMYFUNCTION("""COMPUTED_VALUE"""),7975.93)</f>
        <v/>
      </c>
    </row>
    <row r="5494">
      <c r="J5494">
        <f>IFERROR(__xludf.DUMMYFUNCTION("""COMPUTED_VALUE"""),"Montreal, Quebec, Canada; Winnipeg, Manitoba, Canada")</f>
        <v/>
      </c>
      <c r="K5494">
        <f>IFERROR(__xludf.DUMMYFUNCTION("""COMPUTED_VALUE"""),7975.79999999999)</f>
        <v/>
      </c>
    </row>
    <row r="5495">
      <c r="J5495">
        <f>IFERROR(__xludf.DUMMYFUNCTION("""COMPUTED_VALUE"""),"Vancouver, BC / Edmonton, AB")</f>
        <v/>
      </c>
      <c r="K5495">
        <f>IFERROR(__xludf.DUMMYFUNCTION("""COMPUTED_VALUE"""),7972)</f>
        <v/>
      </c>
    </row>
    <row r="5496">
      <c r="J5496">
        <f>IFERROR(__xludf.DUMMYFUNCTION("""COMPUTED_VALUE"""),"Brussels Halifax, NS")</f>
        <v/>
      </c>
      <c r="K5496">
        <f>IFERROR(__xludf.DUMMYFUNCTION("""COMPUTED_VALUE"""),7970.26)</f>
        <v/>
      </c>
    </row>
    <row r="5497">
      <c r="J5497">
        <f>IFERROR(__xludf.DUMMYFUNCTION("""COMPUTED_VALUE"""),"Geneva, Swistzerland")</f>
        <v/>
      </c>
      <c r="K5497">
        <f>IFERROR(__xludf.DUMMYFUNCTION("""COMPUTED_VALUE"""),7969.07)</f>
        <v/>
      </c>
    </row>
    <row r="5498">
      <c r="J5498">
        <f>IFERROR(__xludf.DUMMYFUNCTION("""COMPUTED_VALUE"""),"London, England/ Paris, France/ Berlin, Germany")</f>
        <v/>
      </c>
      <c r="K5498">
        <f>IFERROR(__xludf.DUMMYFUNCTION("""COMPUTED_VALUE"""),7964.54)</f>
        <v/>
      </c>
    </row>
    <row r="5499">
      <c r="J5499">
        <f>IFERROR(__xludf.DUMMYFUNCTION("""COMPUTED_VALUE"""),"Windsor, Ontario, Canada; London, Ontario, Canada")</f>
        <v/>
      </c>
      <c r="K5499">
        <f>IFERROR(__xludf.DUMMYFUNCTION("""COMPUTED_VALUE"""),7963.95999999999)</f>
        <v/>
      </c>
    </row>
    <row r="5500">
      <c r="J5500">
        <f>IFERROR(__xludf.DUMMYFUNCTION("""COMPUTED_VALUE"""),"Regina, Saskatchewan, Canada; Calgary, Alberta, Canada; Vancouver, British Columbia, Canada")</f>
        <v/>
      </c>
      <c r="K5500">
        <f>IFERROR(__xludf.DUMMYFUNCTION("""COMPUTED_VALUE"""),7962.99)</f>
        <v/>
      </c>
    </row>
    <row r="5501">
      <c r="J5501">
        <f>IFERROR(__xludf.DUMMYFUNCTION("""COMPUTED_VALUE"""),"Thunder Bay, Ontario, Canada; Yellowknife, Northwest Territories, Canada; Norman Wells, Northwest Territories, Canada; Whitehorse, Yukon, Canada; Edmonton, Alberta, Canada; Vancouver, British Columbia, Canada; Prince George, British Columbia, Canada")</f>
        <v/>
      </c>
      <c r="K5501">
        <f>IFERROR(__xludf.DUMMYFUNCTION("""COMPUTED_VALUE"""),7962.58)</f>
        <v/>
      </c>
    </row>
    <row r="5502">
      <c r="J5502">
        <f>IFERROR(__xludf.DUMMYFUNCTION("""COMPUTED_VALUE"""),"USA (NYC) + Canada Montreal")</f>
        <v/>
      </c>
      <c r="K5502">
        <f>IFERROR(__xludf.DUMMYFUNCTION("""COMPUTED_VALUE"""),7962.41)</f>
        <v/>
      </c>
    </row>
    <row r="5503">
      <c r="J5503">
        <f>IFERROR(__xludf.DUMMYFUNCTION("""COMPUTED_VALUE"""),"Hamilton, Ontario, Canada / Toronto, Ontario, Canada")</f>
        <v/>
      </c>
      <c r="K5503">
        <f>IFERROR(__xludf.DUMMYFUNCTION("""COMPUTED_VALUE"""),7960.53)</f>
        <v/>
      </c>
    </row>
    <row r="5504">
      <c r="J5504">
        <f>IFERROR(__xludf.DUMMYFUNCTION("""COMPUTED_VALUE"""),"Winnipeg, MB Calgary, AB")</f>
        <v/>
      </c>
      <c r="K5504">
        <f>IFERROR(__xludf.DUMMYFUNCTION("""COMPUTED_VALUE"""),7955.97)</f>
        <v/>
      </c>
    </row>
    <row r="5505">
      <c r="J5505">
        <f>IFERROR(__xludf.DUMMYFUNCTION("""COMPUTED_VALUE"""),"Puebla, Mexico")</f>
        <v/>
      </c>
      <c r="K5505">
        <f>IFERROR(__xludf.DUMMYFUNCTION("""COMPUTED_VALUE"""),7952.56)</f>
        <v/>
      </c>
    </row>
    <row r="5506">
      <c r="J5506">
        <f>IFERROR(__xludf.DUMMYFUNCTION("""COMPUTED_VALUE"""),"Vancouver, British-Columbia (Canada) Edmonton, Manitoba (Canada) Moncton, New Brunswick (Canada)")</f>
        <v/>
      </c>
      <c r="K5506">
        <f>IFERROR(__xludf.DUMMYFUNCTION("""COMPUTED_VALUE"""),7952.13999999999)</f>
        <v/>
      </c>
    </row>
    <row r="5507">
      <c r="J5507">
        <f>IFERROR(__xludf.DUMMYFUNCTION("""COMPUTED_VALUE"""),"London and Edinburgh, United Kingdom")</f>
        <v/>
      </c>
      <c r="K5507">
        <f>IFERROR(__xludf.DUMMYFUNCTION("""COMPUTED_VALUE"""),7948.8)</f>
        <v/>
      </c>
    </row>
    <row r="5508">
      <c r="J5508">
        <f>IFERROR(__xludf.DUMMYFUNCTION("""COMPUTED_VALUE"""),"Amman, Jordan
Beirut, Lebanon")</f>
        <v/>
      </c>
      <c r="K5508">
        <f>IFERROR(__xludf.DUMMYFUNCTION("""COMPUTED_VALUE"""),7943.69)</f>
        <v/>
      </c>
    </row>
    <row r="5509">
      <c r="J5509">
        <f>IFERROR(__xludf.DUMMYFUNCTION("""COMPUTED_VALUE"""),"Panama and Dominican Republic")</f>
        <v/>
      </c>
      <c r="K5509">
        <f>IFERROR(__xludf.DUMMYFUNCTION("""COMPUTED_VALUE"""),7943.66)</f>
        <v/>
      </c>
    </row>
    <row r="5510">
      <c r="J5510">
        <f>IFERROR(__xludf.DUMMYFUNCTION("""COMPUTED_VALUE"""),"Victoria, British Columbia / Inuvik, Northwest Territories")</f>
        <v/>
      </c>
      <c r="K5510">
        <f>IFERROR(__xludf.DUMMYFUNCTION("""COMPUTED_VALUE"""),7935.19)</f>
        <v/>
      </c>
    </row>
    <row r="5511">
      <c r="J5511">
        <f>IFERROR(__xludf.DUMMYFUNCTION("""COMPUTED_VALUE"""),"Beijing, China and New York, USA")</f>
        <v/>
      </c>
      <c r="K5511">
        <f>IFERROR(__xludf.DUMMYFUNCTION("""COMPUTED_VALUE"""),7934.36)</f>
        <v/>
      </c>
    </row>
    <row r="5512">
      <c r="J5512">
        <f>IFERROR(__xludf.DUMMYFUNCTION("""COMPUTED_VALUE"""),"Halifax, Nova Scotia / St-Johns, Newfoundland and Labrador / Charlottetown, Prince Edward Island")</f>
        <v/>
      </c>
      <c r="K5512">
        <f>IFERROR(__xludf.DUMMYFUNCTION("""COMPUTED_VALUE"""),7932.51)</f>
        <v/>
      </c>
    </row>
    <row r="5513">
      <c r="J5513">
        <f>IFERROR(__xludf.DUMMYFUNCTION("""COMPUTED_VALUE"""),"Luxembourg
Brussels, Belgium")</f>
        <v/>
      </c>
      <c r="K5513">
        <f>IFERROR(__xludf.DUMMYFUNCTION("""COMPUTED_VALUE"""),7927.76)</f>
        <v/>
      </c>
    </row>
    <row r="5514">
      <c r="J5514">
        <f>IFERROR(__xludf.DUMMYFUNCTION("""COMPUTED_VALUE"""),"London, England; Turin, Italy; and Brussels, Belgium (ICA Fund)")</f>
        <v/>
      </c>
      <c r="K5514">
        <f>IFERROR(__xludf.DUMMYFUNCTION("""COMPUTED_VALUE"""),7926.17)</f>
        <v/>
      </c>
    </row>
    <row r="5515">
      <c r="J5515">
        <f>IFERROR(__xludf.DUMMYFUNCTION("""COMPUTED_VALUE"""),"Cambridge, Ontario, Canada / Burlington, Ontario, Canada")</f>
        <v/>
      </c>
      <c r="K5515">
        <f>IFERROR(__xludf.DUMMYFUNCTION("""COMPUTED_VALUE"""),7923.78)</f>
        <v/>
      </c>
    </row>
    <row r="5516">
      <c r="J5516">
        <f>IFERROR(__xludf.DUMMYFUNCTION("""COMPUTED_VALUE"""),"Whitehorse, Yukon, Canada              Iqaluit, Nunavut, Canada")</f>
        <v/>
      </c>
      <c r="K5516">
        <f>IFERROR(__xludf.DUMMYFUNCTION("""COMPUTED_VALUE"""),7922.16)</f>
        <v/>
      </c>
    </row>
    <row r="5517">
      <c r="J5517">
        <f>IFERROR(__xludf.DUMMYFUNCTION("""COMPUTED_VALUE"""),"Penang, Malaysia")</f>
        <v/>
      </c>
      <c r="K5517">
        <f>IFERROR(__xludf.DUMMYFUNCTION("""COMPUTED_VALUE"""),7921.96)</f>
        <v/>
      </c>
    </row>
    <row r="5518">
      <c r="J5518">
        <f>IFERROR(__xludf.DUMMYFUNCTION("""COMPUTED_VALUE"""),"Beijing-Vancouver-Montreal-Ottawa-London-Toronto-Vancouver-Beijing")</f>
        <v/>
      </c>
      <c r="K5518">
        <f>IFERROR(__xludf.DUMMYFUNCTION("""COMPUTED_VALUE"""),7919.6)</f>
        <v/>
      </c>
    </row>
    <row r="5519">
      <c r="J5519">
        <f>IFERROR(__xludf.DUMMYFUNCTION("""COMPUTED_VALUE"""),"Vancouver/Winnipeg")</f>
        <v/>
      </c>
      <c r="K5519">
        <f>IFERROR(__xludf.DUMMYFUNCTION("""COMPUTED_VALUE"""),7917.79)</f>
        <v/>
      </c>
    </row>
    <row r="5520">
      <c r="J5520">
        <f>IFERROR(__xludf.DUMMYFUNCTION("""COMPUTED_VALUE"""),"Calgary, Alberta, Canada / Vancouver, British Columbia, Canada")</f>
        <v/>
      </c>
      <c r="K5520">
        <f>IFERROR(__xludf.DUMMYFUNCTION("""COMPUTED_VALUE"""),7916.67)</f>
        <v/>
      </c>
    </row>
    <row r="5521">
      <c r="J5521">
        <f>IFERROR(__xludf.DUMMYFUNCTION("""COMPUTED_VALUE"""),"Halifax Nova Scotia")</f>
        <v/>
      </c>
      <c r="K5521">
        <f>IFERROR(__xludf.DUMMYFUNCTION("""COMPUTED_VALUE"""),7914.07)</f>
        <v/>
      </c>
    </row>
    <row r="5522">
      <c r="J5522">
        <f>IFERROR(__xludf.DUMMYFUNCTION("""COMPUTED_VALUE"""),"Kiev, Ukraine &amp; Den Haag, Netherlands")</f>
        <v/>
      </c>
      <c r="K5522">
        <f>IFERROR(__xludf.DUMMYFUNCTION("""COMPUTED_VALUE"""),7913.78)</f>
        <v/>
      </c>
    </row>
    <row r="5523">
      <c r="J5523">
        <f>IFERROR(__xludf.DUMMYFUNCTION("""COMPUTED_VALUE"""),"Rome, Italy and Ankara, Turkey")</f>
        <v/>
      </c>
      <c r="K5523">
        <f>IFERROR(__xludf.DUMMYFUNCTION("""COMPUTED_VALUE"""),7912.69)</f>
        <v/>
      </c>
    </row>
    <row r="5524">
      <c r="J5524">
        <f>IFERROR(__xludf.DUMMYFUNCTION("""COMPUTED_VALUE"""),"Frankfurt, Germany, Vancouver, BC")</f>
        <v/>
      </c>
      <c r="K5524">
        <f>IFERROR(__xludf.DUMMYFUNCTION("""COMPUTED_VALUE"""),7911.93)</f>
        <v/>
      </c>
    </row>
    <row r="5525">
      <c r="J5525">
        <f>IFERROR(__xludf.DUMMYFUNCTION("""COMPUTED_VALUE"""),"Toronto - Edmonton - Vancouver")</f>
        <v/>
      </c>
      <c r="K5525">
        <f>IFERROR(__xludf.DUMMYFUNCTION("""COMPUTED_VALUE"""),7911.27)</f>
        <v/>
      </c>
    </row>
    <row r="5526">
      <c r="J5526">
        <f>IFERROR(__xludf.DUMMYFUNCTION("""COMPUTED_VALUE"""),"Moncton and St. Andrews, New Brunswick, Canada")</f>
        <v/>
      </c>
      <c r="K5526">
        <f>IFERROR(__xludf.DUMMYFUNCTION("""COMPUTED_VALUE"""),7907.87999999999)</f>
        <v/>
      </c>
    </row>
    <row r="5527">
      <c r="J5527">
        <f>IFERROR(__xludf.DUMMYFUNCTION("""COMPUTED_VALUE"""),"Graz Austria")</f>
        <v/>
      </c>
      <c r="K5527">
        <f>IFERROR(__xludf.DUMMYFUNCTION("""COMPUTED_VALUE"""),7907)</f>
        <v/>
      </c>
    </row>
    <row r="5528">
      <c r="J5528">
        <f>IFERROR(__xludf.DUMMYFUNCTION("""COMPUTED_VALUE"""),"VANCOUVER &amp; VICTORIA, BC")</f>
        <v/>
      </c>
      <c r="K5528">
        <f>IFERROR(__xludf.DUMMYFUNCTION("""COMPUTED_VALUE"""),7906.66)</f>
        <v/>
      </c>
    </row>
    <row r="5529">
      <c r="J5529">
        <f>IFERROR(__xludf.DUMMYFUNCTION("""COMPUTED_VALUE"""),"St john's, Newfoundland and Labrador and Moncton and Fredericton, New Brunswick")</f>
        <v/>
      </c>
      <c r="K5529">
        <f>IFERROR(__xludf.DUMMYFUNCTION("""COMPUTED_VALUE"""),7905.78)</f>
        <v/>
      </c>
    </row>
    <row r="5530">
      <c r="J5530">
        <f>IFERROR(__xludf.DUMMYFUNCTION("""COMPUTED_VALUE"""),"St John's, Newfoundland and Labrador, Canada / Calgary, Alberta, Canada / Meadow Lake, Saskatchewan, Canada / Saskatoon, Saskatchewan, Canada / Regina, Saskatchewan, Canada")</f>
        <v/>
      </c>
      <c r="K5530">
        <f>IFERROR(__xludf.DUMMYFUNCTION("""COMPUTED_VALUE"""),7898.96)</f>
        <v/>
      </c>
    </row>
    <row r="5531">
      <c r="J5531">
        <f>IFERROR(__xludf.DUMMYFUNCTION("""COMPUTED_VALUE"""),"Seattle, Vancouver, Victoria re Tuna Iles de la Magdelanes, Seals")</f>
        <v/>
      </c>
      <c r="K5531">
        <f>IFERROR(__xludf.DUMMYFUNCTION("""COMPUTED_VALUE"""),7897.25)</f>
        <v/>
      </c>
    </row>
    <row r="5532">
      <c r="J5532">
        <f>IFERROR(__xludf.DUMMYFUNCTION("""COMPUTED_VALUE"""),"Budapest, Hungary and Warsaw, Poland")</f>
        <v/>
      </c>
      <c r="K5532">
        <f>IFERROR(__xludf.DUMMYFUNCTION("""COMPUTED_VALUE"""),7891.47)</f>
        <v/>
      </c>
    </row>
    <row r="5533">
      <c r="J5533">
        <f>IFERROR(__xludf.DUMMYFUNCTION("""COMPUTED_VALUE"""),"Geneva and Berlin (ICA Fund)")</f>
        <v/>
      </c>
      <c r="K5533">
        <f>IFERROR(__xludf.DUMMYFUNCTION("""COMPUTED_VALUE"""),7890.99)</f>
        <v/>
      </c>
    </row>
    <row r="5534">
      <c r="J5534">
        <f>IFERROR(__xludf.DUMMYFUNCTION("""COMPUTED_VALUE"""),"Buenos Aires ARG")</f>
        <v/>
      </c>
      <c r="K5534">
        <f>IFERROR(__xludf.DUMMYFUNCTION("""COMPUTED_VALUE"""),7890.33)</f>
        <v/>
      </c>
    </row>
    <row r="5535">
      <c r="J5535">
        <f>IFERROR(__xludf.DUMMYFUNCTION("""COMPUTED_VALUE"""),"Montreal, Quebec, Canada / Vancouver, British Columbia, Canada / Edmonton, Alberta, Canada / Chicago, Illinois, United States")</f>
        <v/>
      </c>
      <c r="K5535">
        <f>IFERROR(__xludf.DUMMYFUNCTION("""COMPUTED_VALUE"""),7888.57)</f>
        <v/>
      </c>
    </row>
    <row r="5536">
      <c r="J5536">
        <f>IFERROR(__xludf.DUMMYFUNCTION("""COMPUTED_VALUE"""),"Quebec and Montreal, Quebec")</f>
        <v/>
      </c>
      <c r="K5536">
        <f>IFERROR(__xludf.DUMMYFUNCTION("""COMPUTED_VALUE"""),7888.51)</f>
        <v/>
      </c>
    </row>
    <row r="5537">
      <c r="J5537">
        <f>IFERROR(__xludf.DUMMYFUNCTION("""COMPUTED_VALUE"""),"Seattle, WA, Whitehorse, YT, Vancouver, BC")</f>
        <v/>
      </c>
      <c r="K5537">
        <f>IFERROR(__xludf.DUMMYFUNCTION("""COMPUTED_VALUE"""),7882.97)</f>
        <v/>
      </c>
    </row>
    <row r="5538">
      <c r="J5538">
        <f>IFERROR(__xludf.DUMMYFUNCTION("""COMPUTED_VALUE"""),"Santiago, Brazil and Santiago, Chile")</f>
        <v/>
      </c>
      <c r="K5538">
        <f>IFERROR(__xludf.DUMMYFUNCTION("""COMPUTED_VALUE"""),7882.46)</f>
        <v/>
      </c>
    </row>
    <row r="5539">
      <c r="J5539">
        <f>IFERROR(__xludf.DUMMYFUNCTION("""COMPUTED_VALUE"""),"Amsterdam, Madrid and Barcelona, Vienna and Bratislava")</f>
        <v/>
      </c>
      <c r="K5539">
        <f>IFERROR(__xludf.DUMMYFUNCTION("""COMPUTED_VALUE"""),7881.2)</f>
        <v/>
      </c>
    </row>
    <row r="5540">
      <c r="J5540">
        <f>IFERROR(__xludf.DUMMYFUNCTION("""COMPUTED_VALUE"""),"Trinidad and Tobago/New York")</f>
        <v/>
      </c>
      <c r="K5540">
        <f>IFERROR(__xludf.DUMMYFUNCTION("""COMPUTED_VALUE"""),7880.38999999999)</f>
        <v/>
      </c>
    </row>
    <row r="5541">
      <c r="J5541">
        <f>IFERROR(__xludf.DUMMYFUNCTION("""COMPUTED_VALUE"""),"Novosibirsk, Russia")</f>
        <v/>
      </c>
      <c r="K5541">
        <f>IFERROR(__xludf.DUMMYFUNCTION("""COMPUTED_VALUE"""),7879.6)</f>
        <v/>
      </c>
    </row>
    <row r="5542">
      <c r="J5542">
        <f>IFERROR(__xludf.DUMMYFUNCTION("""COMPUTED_VALUE"""),"Kelowna, British Columbia, Canada; Toronto, Ontario, Canada")</f>
        <v/>
      </c>
      <c r="K5542">
        <f>IFERROR(__xludf.DUMMYFUNCTION("""COMPUTED_VALUE"""),7876.72)</f>
        <v/>
      </c>
    </row>
    <row r="5543">
      <c r="J5543">
        <f>IFERROR(__xludf.DUMMYFUNCTION("""COMPUTED_VALUE"""),"Iqaluit, Nunavut, Canada; Kuujjuaq, Quebec, Canada")</f>
        <v/>
      </c>
      <c r="K5543">
        <f>IFERROR(__xludf.DUMMYFUNCTION("""COMPUTED_VALUE"""),7876.54)</f>
        <v/>
      </c>
    </row>
    <row r="5544">
      <c r="J5544">
        <f>IFERROR(__xludf.DUMMYFUNCTION("""COMPUTED_VALUE"""),"Winnipeg, Calgary, Ottawa, Montréal")</f>
        <v/>
      </c>
      <c r="K5544">
        <f>IFERROR(__xludf.DUMMYFUNCTION("""COMPUTED_VALUE"""),7875.27)</f>
        <v/>
      </c>
    </row>
    <row r="5545">
      <c r="J5545">
        <f>IFERROR(__xludf.DUMMYFUNCTION("""COMPUTED_VALUE"""),"Delhi, IN / Mumbai, IN")</f>
        <v/>
      </c>
      <c r="K5545">
        <f>IFERROR(__xludf.DUMMYFUNCTION("""COMPUTED_VALUE"""),7874.62)</f>
        <v/>
      </c>
    </row>
    <row r="5546">
      <c r="J5546">
        <f>IFERROR(__xludf.DUMMYFUNCTION("""COMPUTED_VALUE"""),"Rio De Janeiro")</f>
        <v/>
      </c>
      <c r="K5546">
        <f>IFERROR(__xludf.DUMMYFUNCTION("""COMPUTED_VALUE"""),7874.59)</f>
        <v/>
      </c>
    </row>
    <row r="5547">
      <c r="J5547">
        <f>IFERROR(__xludf.DUMMYFUNCTION("""COMPUTED_VALUE"""),"Chantily, Virginia")</f>
        <v/>
      </c>
      <c r="K5547">
        <f>IFERROR(__xludf.DUMMYFUNCTION("""COMPUTED_VALUE"""),7874.11)</f>
        <v/>
      </c>
    </row>
    <row r="5548">
      <c r="J5548">
        <f>IFERROR(__xludf.DUMMYFUNCTION("""COMPUTED_VALUE"""),"Victoria / Vancouver, British Columbia / Toronto, Ontario, Canada")</f>
        <v/>
      </c>
      <c r="K5548">
        <f>IFERROR(__xludf.DUMMYFUNCTION("""COMPUTED_VALUE"""),7873.78)</f>
        <v/>
      </c>
    </row>
    <row r="5549">
      <c r="J5549">
        <f>IFERROR(__xludf.DUMMYFUNCTION("""COMPUTED_VALUE"""),"Edmonton, Alberta, Canada
Calgary, Alberta, Canada")</f>
        <v/>
      </c>
      <c r="K5549">
        <f>IFERROR(__xludf.DUMMYFUNCTION("""COMPUTED_VALUE"""),7873.73)</f>
        <v/>
      </c>
    </row>
    <row r="5550">
      <c r="J5550">
        <f>IFERROR(__xludf.DUMMYFUNCTION("""COMPUTED_VALUE"""),"Douala, Cameroon - Buea, Cameroon")</f>
        <v/>
      </c>
      <c r="K5550">
        <f>IFERROR(__xludf.DUMMYFUNCTION("""COMPUTED_VALUE"""),7873.6)</f>
        <v/>
      </c>
    </row>
    <row r="5551">
      <c r="J5551">
        <f>IFERROR(__xludf.DUMMYFUNCTION("""COMPUTED_VALUE"""),"La Ronge, Saskatchewan, Canada / Saskatoon, Saskatchewan, Canada")</f>
        <v/>
      </c>
      <c r="K5551">
        <f>IFERROR(__xludf.DUMMYFUNCTION("""COMPUTED_VALUE"""),7866.69)</f>
        <v/>
      </c>
    </row>
    <row r="5552">
      <c r="J5552">
        <f>IFERROR(__xludf.DUMMYFUNCTION("""COMPUTED_VALUE"""),"London, United Kingdom; Dublin, Ireland; Paris, France")</f>
        <v/>
      </c>
      <c r="K5552">
        <f>IFERROR(__xludf.DUMMYFUNCTION("""COMPUTED_VALUE"""),7865.49)</f>
        <v/>
      </c>
    </row>
    <row r="5553">
      <c r="J5553">
        <f>IFERROR(__xludf.DUMMYFUNCTION("""COMPUTED_VALUE"""),"Harbin / Beijing")</f>
        <v/>
      </c>
      <c r="K5553">
        <f>IFERROR(__xludf.DUMMYFUNCTION("""COMPUTED_VALUE"""),7864.34)</f>
        <v/>
      </c>
    </row>
    <row r="5554">
      <c r="J5554">
        <f>IFERROR(__xludf.DUMMYFUNCTION("""COMPUTED_VALUE"""),"Abbotsford, British Columbia; Burnaby, British Columbia")</f>
        <v/>
      </c>
      <c r="K5554">
        <f>IFERROR(__xludf.DUMMYFUNCTION("""COMPUTED_VALUE"""),7863.78)</f>
        <v/>
      </c>
    </row>
    <row r="5555">
      <c r="J5555">
        <f>IFERROR(__xludf.DUMMYFUNCTION("""COMPUTED_VALUE"""),"Toronto, Ontario, Canada; Edmonton, Alberta, Canada; Saint John, New Brunswick, Canada")</f>
        <v/>
      </c>
      <c r="K5555">
        <f>IFERROR(__xludf.DUMMYFUNCTION("""COMPUTED_VALUE"""),7859.67)</f>
        <v/>
      </c>
    </row>
    <row r="5556">
      <c r="J5556">
        <f>IFERROR(__xludf.DUMMYFUNCTION("""COMPUTED_VALUE"""),"Des Moines (Iowa) United States
Minneapolis (Minnesota) United States")</f>
        <v/>
      </c>
      <c r="K5556">
        <f>IFERROR(__xludf.DUMMYFUNCTION("""COMPUTED_VALUE"""),7859.09)</f>
        <v/>
      </c>
    </row>
    <row r="5557">
      <c r="J5557">
        <f>IFERROR(__xludf.DUMMYFUNCTION("""COMPUTED_VALUE"""),"Victoria, Vancouver")</f>
        <v/>
      </c>
      <c r="K5557">
        <f>IFERROR(__xludf.DUMMYFUNCTION("""COMPUTED_VALUE"""),7858.30999999999)</f>
        <v/>
      </c>
    </row>
    <row r="5558">
      <c r="J5558">
        <f>IFERROR(__xludf.DUMMYFUNCTION("""COMPUTED_VALUE"""),"Istanbul,Turkey")</f>
        <v/>
      </c>
      <c r="K5558">
        <f>IFERROR(__xludf.DUMMYFUNCTION("""COMPUTED_VALUE"""),7857.07)</f>
        <v/>
      </c>
    </row>
    <row r="5559">
      <c r="J5559">
        <f>IFERROR(__xludf.DUMMYFUNCTION("""COMPUTED_VALUE"""),"Cook Islands")</f>
        <v/>
      </c>
      <c r="K5559">
        <f>IFERROR(__xludf.DUMMYFUNCTION("""COMPUTED_VALUE"""),7856.99)</f>
        <v/>
      </c>
    </row>
    <row r="5560">
      <c r="J5560">
        <f>IFERROR(__xludf.DUMMYFUNCTION("""COMPUTED_VALUE"""),"Niagara Falls, Ontario, Canada / Toronto, Ontario, Canada / Winnipeg, Manitoba, Canada / Rankin Inlet, Nunavut, Canada / Vancouver, British Columbia, Canada / Kelowna, British Columbia, Canada")</f>
        <v/>
      </c>
      <c r="K5560">
        <f>IFERROR(__xludf.DUMMYFUNCTION("""COMPUTED_VALUE"""),7853.98)</f>
        <v/>
      </c>
    </row>
    <row r="5561">
      <c r="J5561">
        <f>IFERROR(__xludf.DUMMYFUNCTION("""COMPUTED_VALUE"""),"Nancy, France")</f>
        <v/>
      </c>
      <c r="K5561">
        <f>IFERROR(__xludf.DUMMYFUNCTION("""COMPUTED_VALUE"""),7851.22)</f>
        <v/>
      </c>
    </row>
    <row r="5562">
      <c r="J5562">
        <f>IFERROR(__xludf.DUMMYFUNCTION("""COMPUTED_VALUE"""),"Yellowknife, Northwest Territories, Canada 
Hay River, Northwest Territories, Canada 
Cambridge Bay, Nunavut, Canada
Rankin Inlet, Nunavut, Canada")</f>
        <v/>
      </c>
      <c r="K5562">
        <f>IFERROR(__xludf.DUMMYFUNCTION("""COMPUTED_VALUE"""),7850.85)</f>
        <v/>
      </c>
    </row>
    <row r="5563">
      <c r="J5563">
        <f>IFERROR(__xludf.DUMMYFUNCTION("""COMPUTED_VALUE"""),"London England, Tampere &amp; Helsinki Finland")</f>
        <v/>
      </c>
      <c r="K5563">
        <f>IFERROR(__xludf.DUMMYFUNCTION("""COMPUTED_VALUE"""),7850.66)</f>
        <v/>
      </c>
    </row>
    <row r="5564">
      <c r="J5564">
        <f>IFERROR(__xludf.DUMMYFUNCTION("""COMPUTED_VALUE"""),"Vancouver, British Columbia, Canada
Victoria, British Columbia, Canada")</f>
        <v/>
      </c>
      <c r="K5564">
        <f>IFERROR(__xludf.DUMMYFUNCTION("""COMPUTED_VALUE"""),7849.28)</f>
        <v/>
      </c>
    </row>
    <row r="5565">
      <c r="J5565">
        <f>IFERROR(__xludf.DUMMYFUNCTION("""COMPUTED_VALUE"""),"Calgary &amp; Edmonton, Alberta")</f>
        <v/>
      </c>
      <c r="K5565">
        <f>IFERROR(__xludf.DUMMYFUNCTION("""COMPUTED_VALUE"""),7849.2)</f>
        <v/>
      </c>
    </row>
    <row r="5566">
      <c r="J5566">
        <f>IFERROR(__xludf.DUMMYFUNCTION("""COMPUTED_VALUE"""),"Oxford")</f>
        <v/>
      </c>
      <c r="K5566">
        <f>IFERROR(__xludf.DUMMYFUNCTION("""COMPUTED_VALUE"""),7846.9)</f>
        <v/>
      </c>
    </row>
    <row r="5567">
      <c r="J5567">
        <f>IFERROR(__xludf.DUMMYFUNCTION("""COMPUTED_VALUE"""),"SEOUL, Korea")</f>
        <v/>
      </c>
      <c r="K5567">
        <f>IFERROR(__xludf.DUMMYFUNCTION("""COMPUTED_VALUE"""),7841.51)</f>
        <v/>
      </c>
    </row>
    <row r="5568">
      <c r="J5568">
        <f>IFERROR(__xludf.DUMMYFUNCTION("""COMPUTED_VALUE"""),"London and Amsterdam, UK")</f>
        <v/>
      </c>
      <c r="K5568">
        <f>IFERROR(__xludf.DUMMYFUNCTION("""COMPUTED_VALUE"""),7840.57)</f>
        <v/>
      </c>
    </row>
    <row r="5569">
      <c r="J5569">
        <f>IFERROR(__xludf.DUMMYFUNCTION("""COMPUTED_VALUE"""),"Montreal, Brussels, BE, Toronto")</f>
        <v/>
      </c>
      <c r="K5569">
        <f>IFERROR(__xludf.DUMMYFUNCTION("""COMPUTED_VALUE"""),7840)</f>
        <v/>
      </c>
    </row>
    <row r="5570">
      <c r="J5570">
        <f>IFERROR(__xludf.DUMMYFUNCTION("""COMPUTED_VALUE"""),"Timmins")</f>
        <v/>
      </c>
      <c r="K5570">
        <f>IFERROR(__xludf.DUMMYFUNCTION("""COMPUTED_VALUE"""),7839.21)</f>
        <v/>
      </c>
    </row>
    <row r="5571">
      <c r="J5571">
        <f>IFERROR(__xludf.DUMMYFUNCTION("""COMPUTED_VALUE"""),"Buenos Aires, Argentina and Montevideo, Uruguay")</f>
        <v/>
      </c>
      <c r="K5571">
        <f>IFERROR(__xludf.DUMMYFUNCTION("""COMPUTED_VALUE"""),7837.54)</f>
        <v/>
      </c>
    </row>
    <row r="5572">
      <c r="J5572">
        <f>IFERROR(__xludf.DUMMYFUNCTION("""COMPUTED_VALUE"""),"Aberdeen, Scotland, Stavanger, Norway and London, England")</f>
        <v/>
      </c>
      <c r="K5572">
        <f>IFERROR(__xludf.DUMMYFUNCTION("""COMPUTED_VALUE"""),7835.69)</f>
        <v/>
      </c>
    </row>
    <row r="5573">
      <c r="J5573">
        <f>IFERROR(__xludf.DUMMYFUNCTION("""COMPUTED_VALUE"""),"Port Hardy, British Columbia, Canada")</f>
        <v/>
      </c>
      <c r="K5573">
        <f>IFERROR(__xludf.DUMMYFUNCTION("""COMPUTED_VALUE"""),7835.58)</f>
        <v/>
      </c>
    </row>
    <row r="5574">
      <c r="J5574">
        <f>IFERROR(__xludf.DUMMYFUNCTION("""COMPUTED_VALUE"""),"Edmonton,AB Yellowknife,NWT")</f>
        <v/>
      </c>
      <c r="K5574">
        <f>IFERROR(__xludf.DUMMYFUNCTION("""COMPUTED_VALUE"""),7835.52)</f>
        <v/>
      </c>
    </row>
    <row r="5575">
      <c r="J5575">
        <f>IFERROR(__xludf.DUMMYFUNCTION("""COMPUTED_VALUE"""),"Arequipa, Peru")</f>
        <v/>
      </c>
      <c r="K5575">
        <f>IFERROR(__xludf.DUMMYFUNCTION("""COMPUTED_VALUE"""),7832.17)</f>
        <v/>
      </c>
    </row>
    <row r="5576">
      <c r="J5576">
        <f>IFERROR(__xludf.DUMMYFUNCTION("""COMPUTED_VALUE"""),"New York, United States; Halifax, Nova Scotia, Canada")</f>
        <v/>
      </c>
      <c r="K5576">
        <f>IFERROR(__xludf.DUMMYFUNCTION("""COMPUTED_VALUE"""),7832.04)</f>
        <v/>
      </c>
    </row>
    <row r="5577">
      <c r="J5577">
        <f>IFERROR(__xludf.DUMMYFUNCTION("""COMPUTED_VALUE"""),"Winnipeg, Manitoba, Canada / Churchill, Manitoba, Canada /  Yellowknife, Northwest Territories, Canada / Vancouver, British Columbia, Canada / Kelowna, British Columbia, Canada")</f>
        <v/>
      </c>
      <c r="K5577">
        <f>IFERROR(__xludf.DUMMYFUNCTION("""COMPUTED_VALUE"""),7829.36)</f>
        <v/>
      </c>
    </row>
    <row r="5578">
      <c r="J5578">
        <f>IFERROR(__xludf.DUMMYFUNCTION("""COMPUTED_VALUE"""),"Toronto, ON Edmonton, AB")</f>
        <v/>
      </c>
      <c r="K5578">
        <f>IFERROR(__xludf.DUMMYFUNCTION("""COMPUTED_VALUE"""),7826.9)</f>
        <v/>
      </c>
    </row>
    <row r="5579">
      <c r="J5579">
        <f>IFERROR(__xludf.DUMMYFUNCTION("""COMPUTED_VALUE"""),"Austin, Texas")</f>
        <v/>
      </c>
      <c r="K5579">
        <f>IFERROR(__xludf.DUMMYFUNCTION("""COMPUTED_VALUE"""),7825.62)</f>
        <v/>
      </c>
    </row>
    <row r="5580">
      <c r="J5580">
        <f>IFERROR(__xludf.DUMMYFUNCTION("""COMPUTED_VALUE"""),"National Headquarters")</f>
        <v/>
      </c>
      <c r="K5580">
        <f>IFERROR(__xludf.DUMMYFUNCTION("""COMPUTED_VALUE"""),7824.13)</f>
        <v/>
      </c>
    </row>
    <row r="5581">
      <c r="J5581">
        <f>IFERROR(__xludf.DUMMYFUNCTION("""COMPUTED_VALUE"""),"Fort Irwin Carlifornia
CFB Valcartier
2 CDN DIV")</f>
        <v/>
      </c>
      <c r="K5581">
        <f>IFERROR(__xludf.DUMMYFUNCTION("""COMPUTED_VALUE"""),7823.38)</f>
        <v/>
      </c>
    </row>
    <row r="5582">
      <c r="J5582">
        <f>IFERROR(__xludf.DUMMYFUNCTION("""COMPUTED_VALUE"""),"San Jose del Cabo")</f>
        <v/>
      </c>
      <c r="K5582">
        <f>IFERROR(__xludf.DUMMYFUNCTION("""COMPUTED_VALUE"""),7822.4)</f>
        <v/>
      </c>
    </row>
    <row r="5583">
      <c r="J5583">
        <f>IFERROR(__xludf.DUMMYFUNCTION("""COMPUTED_VALUE"""),"Steyning, United Kingdom")</f>
        <v/>
      </c>
      <c r="K5583">
        <f>IFERROR(__xludf.DUMMYFUNCTION("""COMPUTED_VALUE"""),7820)</f>
        <v/>
      </c>
    </row>
    <row r="5584">
      <c r="J5584">
        <f>IFERROR(__xludf.DUMMYFUNCTION("""COMPUTED_VALUE"""),"Norfolk (Virginia) United States of America")</f>
        <v/>
      </c>
      <c r="K5584">
        <f>IFERROR(__xludf.DUMMYFUNCTION("""COMPUTED_VALUE"""),7819.19999999999)</f>
        <v/>
      </c>
    </row>
    <row r="5585">
      <c r="J5585">
        <f>IFERROR(__xludf.DUMMYFUNCTION("""COMPUTED_VALUE"""),"Ankara and Istanbul, Turkey  and Washington District of Columbia, USA")</f>
        <v/>
      </c>
      <c r="K5585">
        <f>IFERROR(__xludf.DUMMYFUNCTION("""COMPUTED_VALUE"""),7816.65)</f>
        <v/>
      </c>
    </row>
    <row r="5586">
      <c r="J5586">
        <f>IFERROR(__xludf.DUMMYFUNCTION("""COMPUTED_VALUE"""),"Los Angeles, California,
United States")</f>
        <v/>
      </c>
      <c r="K5586">
        <f>IFERROR(__xludf.DUMMYFUNCTION("""COMPUTED_VALUE"""),7815.81)</f>
        <v/>
      </c>
    </row>
    <row r="5587">
      <c r="J5587">
        <f>IFERROR(__xludf.DUMMYFUNCTION("""COMPUTED_VALUE"""),"Whistler")</f>
        <v/>
      </c>
      <c r="K5587">
        <f>IFERROR(__xludf.DUMMYFUNCTION("""COMPUTED_VALUE"""),7815.63)</f>
        <v/>
      </c>
    </row>
    <row r="5588">
      <c r="J5588">
        <f>IFERROR(__xludf.DUMMYFUNCTION("""COMPUTED_VALUE"""),"Vancouver and Calgary, British Columbia and Alberta, Canada")</f>
        <v/>
      </c>
      <c r="K5588">
        <f>IFERROR(__xludf.DUMMYFUNCTION("""COMPUTED_VALUE"""),7813.87999999999)</f>
        <v/>
      </c>
    </row>
    <row r="5589">
      <c r="J5589">
        <f>IFERROR(__xludf.DUMMYFUNCTION("""COMPUTED_VALUE"""),"Edmonton AB (June 16-17), Edmonton AB and Canmore AB (June 23-26)")</f>
        <v/>
      </c>
      <c r="K5589">
        <f>IFERROR(__xludf.DUMMYFUNCTION("""COMPUTED_VALUE"""),7810.94)</f>
        <v/>
      </c>
    </row>
    <row r="5590">
      <c r="J5590">
        <f>IFERROR(__xludf.DUMMYFUNCTION("""COMPUTED_VALUE"""),"Bali, Indonesia (December 3 to 7) and Singapore (December 7 to 10)")</f>
        <v/>
      </c>
      <c r="K5590">
        <f>IFERROR(__xludf.DUMMYFUNCTION("""COMPUTED_VALUE"""),7810.17)</f>
        <v/>
      </c>
    </row>
    <row r="5591">
      <c r="J5591">
        <f>IFERROR(__xludf.DUMMYFUNCTION("""COMPUTED_VALUE"""),"Rocky Harbour, Newfoundland and Labrador")</f>
        <v/>
      </c>
      <c r="K5591">
        <f>IFERROR(__xludf.DUMMYFUNCTION("""COMPUTED_VALUE"""),7809.28)</f>
        <v/>
      </c>
    </row>
    <row r="5592">
      <c r="J5592">
        <f>IFERROR(__xludf.DUMMYFUNCTION("""COMPUTED_VALUE"""),"Vancouver, British Columbia; Victoria, British Columbia")</f>
        <v/>
      </c>
      <c r="K5592">
        <f>IFERROR(__xludf.DUMMYFUNCTION("""COMPUTED_VALUE"""),7809.26)</f>
        <v/>
      </c>
    </row>
    <row r="5593">
      <c r="J5593">
        <f>IFERROR(__xludf.DUMMYFUNCTION("""COMPUTED_VALUE"""),"Haiti; Barbados")</f>
        <v/>
      </c>
      <c r="K5593">
        <f>IFERROR(__xludf.DUMMYFUNCTION("""COMPUTED_VALUE"""),7807.26)</f>
        <v/>
      </c>
    </row>
    <row r="5594">
      <c r="J5594">
        <f>IFERROR(__xludf.DUMMYFUNCTION("""COMPUTED_VALUE"""),"Dinard, France")</f>
        <v/>
      </c>
      <c r="K5594">
        <f>IFERROR(__xludf.DUMMYFUNCTION("""COMPUTED_VALUE"""),7807.19)</f>
        <v/>
      </c>
    </row>
    <row r="5595">
      <c r="J5595">
        <f>IFERROR(__xludf.DUMMYFUNCTION("""COMPUTED_VALUE"""),"Sèvres, France")</f>
        <v/>
      </c>
      <c r="K5595">
        <f>IFERROR(__xludf.DUMMYFUNCTION("""COMPUTED_VALUE"""),7807.18)</f>
        <v/>
      </c>
    </row>
    <row r="5596">
      <c r="J5596">
        <f>IFERROR(__xludf.DUMMYFUNCTION("""COMPUTED_VALUE"""),"Raleigh, NC")</f>
        <v/>
      </c>
      <c r="K5596">
        <f>IFERROR(__xludf.DUMMYFUNCTION("""COMPUTED_VALUE"""),7805.95)</f>
        <v/>
      </c>
    </row>
    <row r="5597">
      <c r="J5597">
        <f>IFERROR(__xludf.DUMMYFUNCTION("""COMPUTED_VALUE"""),"Vancouver, British Columbia, Canada; Regina, Saskatchewan, Canada; Edmonton, Alberta, Canada; Calgary, Alberta, Canada; Toronto, Ontario, Canada; Halifax, Nova Scotia, Canada")</f>
        <v/>
      </c>
      <c r="K5597">
        <f>IFERROR(__xludf.DUMMYFUNCTION("""COMPUTED_VALUE"""),7805.78)</f>
        <v/>
      </c>
    </row>
    <row r="5598">
      <c r="J5598">
        <f>IFERROR(__xludf.DUMMYFUNCTION("""COMPUTED_VALUE"""),"New York San Francisco")</f>
        <v/>
      </c>
      <c r="K5598">
        <f>IFERROR(__xludf.DUMMYFUNCTION("""COMPUTED_VALUE"""),7805.16)</f>
        <v/>
      </c>
    </row>
    <row r="5599">
      <c r="J5599">
        <f>IFERROR(__xludf.DUMMYFUNCTION("""COMPUTED_VALUE"""),"London (UK) and Glasgow (Scotland)")</f>
        <v/>
      </c>
      <c r="K5599">
        <f>IFERROR(__xludf.DUMMYFUNCTION("""COMPUTED_VALUE"""),7804.85)</f>
        <v/>
      </c>
    </row>
    <row r="5600">
      <c r="J5600">
        <f>IFERROR(__xludf.DUMMYFUNCTION("""COMPUTED_VALUE"""),"Halifax and Sydney, Nova Scotia, Canada")</f>
        <v/>
      </c>
      <c r="K5600">
        <f>IFERROR(__xludf.DUMMYFUNCTION("""COMPUTED_VALUE"""),7804.51)</f>
        <v/>
      </c>
    </row>
    <row r="5601">
      <c r="J5601">
        <f>IFERROR(__xludf.DUMMYFUNCTION("""COMPUTED_VALUE"""),"St John's NFLD, Halifax NS")</f>
        <v/>
      </c>
      <c r="K5601">
        <f>IFERROR(__xludf.DUMMYFUNCTION("""COMPUTED_VALUE"""),7804.23)</f>
        <v/>
      </c>
    </row>
    <row r="5602">
      <c r="J5602">
        <f>IFERROR(__xludf.DUMMYFUNCTION("""COMPUTED_VALUE"""),"Anchorage, USA")</f>
        <v/>
      </c>
      <c r="K5602">
        <f>IFERROR(__xludf.DUMMYFUNCTION("""COMPUTED_VALUE"""),7804.07)</f>
        <v/>
      </c>
    </row>
    <row r="5603">
      <c r="J5603">
        <f>IFERROR(__xludf.DUMMYFUNCTION("""COMPUTED_VALUE"""),"Ottawa, Winnipeg, Vancouver - CANADA")</f>
        <v/>
      </c>
      <c r="K5603">
        <f>IFERROR(__xludf.DUMMYFUNCTION("""COMPUTED_VALUE"""),7804)</f>
        <v/>
      </c>
    </row>
    <row r="5604">
      <c r="J5604">
        <f>IFERROR(__xludf.DUMMYFUNCTION("""COMPUTED_VALUE"""),"London, England; Turin, Italy; and Brussels, Belgium")</f>
        <v/>
      </c>
      <c r="K5604">
        <f>IFERROR(__xludf.DUMMYFUNCTION("""COMPUTED_VALUE"""),7802.16)</f>
        <v/>
      </c>
    </row>
    <row r="5605">
      <c r="J5605">
        <f>IFERROR(__xludf.DUMMYFUNCTION("""COMPUTED_VALUE"""),"Moncton, NB, Halifax, NS")</f>
        <v/>
      </c>
      <c r="K5605">
        <f>IFERROR(__xludf.DUMMYFUNCTION("""COMPUTED_VALUE"""),7800.16)</f>
        <v/>
      </c>
    </row>
    <row r="5606">
      <c r="J5606">
        <f>IFERROR(__xludf.DUMMYFUNCTION("""COMPUTED_VALUE"""),"Saint-Pierre et Miquelon, France Montréal, Québec, Ottawa Canada")</f>
        <v/>
      </c>
      <c r="K5606">
        <f>IFERROR(__xludf.DUMMYFUNCTION("""COMPUTED_VALUE"""),7798.67)</f>
        <v/>
      </c>
    </row>
    <row r="5607">
      <c r="J5607">
        <f>IFERROR(__xludf.DUMMYFUNCTION("""COMPUTED_VALUE"""),"Montreal, Quebec, Canada / Quebec, Quebec, Canada")</f>
        <v/>
      </c>
      <c r="K5607">
        <f>IFERROR(__xludf.DUMMYFUNCTION("""COMPUTED_VALUE"""),7797.27)</f>
        <v/>
      </c>
    </row>
    <row r="5608">
      <c r="J5608">
        <f>IFERROR(__xludf.DUMMYFUNCTION("""COMPUTED_VALUE"""),"Switzerland and United Kingdom")</f>
        <v/>
      </c>
      <c r="K5608">
        <f>IFERROR(__xludf.DUMMYFUNCTION("""COMPUTED_VALUE"""),7797.1)</f>
        <v/>
      </c>
    </row>
    <row r="5609">
      <c r="J5609">
        <f>IFERROR(__xludf.DUMMYFUNCTION("""COMPUTED_VALUE"""),"Victoria, British Columbia, Canada / Vancouver, British Columbia, Canada")</f>
        <v/>
      </c>
      <c r="K5609">
        <f>IFERROR(__xludf.DUMMYFUNCTION("""COMPUTED_VALUE"""),7796.77)</f>
        <v/>
      </c>
    </row>
    <row r="5610">
      <c r="J5610">
        <f>IFERROR(__xludf.DUMMYFUNCTION("""COMPUTED_VALUE"""),"Victoria, British Columbia, Canada; Hong Kong, China")</f>
        <v/>
      </c>
      <c r="K5610">
        <f>IFERROR(__xludf.DUMMYFUNCTION("""COMPUTED_VALUE"""),7791.65)</f>
        <v/>
      </c>
    </row>
    <row r="5611">
      <c r="J5611">
        <f>IFERROR(__xludf.DUMMYFUNCTION("""COMPUTED_VALUE"""),"Edmonton, Alberta, Canada / Toronto, Ontario, Canada")</f>
        <v/>
      </c>
      <c r="K5611">
        <f>IFERROR(__xludf.DUMMYFUNCTION("""COMPUTED_VALUE"""),7789.34)</f>
        <v/>
      </c>
    </row>
    <row r="5612">
      <c r="J5612">
        <f>IFERROR(__xludf.DUMMYFUNCTION("""COMPUTED_VALUE"""),"Singapore, Republic of Singapore, Singapore")</f>
        <v/>
      </c>
      <c r="K5612">
        <f>IFERROR(__xludf.DUMMYFUNCTION("""COMPUTED_VALUE"""),7787.33)</f>
        <v/>
      </c>
    </row>
    <row r="5613">
      <c r="J5613">
        <f>IFERROR(__xludf.DUMMYFUNCTION("""COMPUTED_VALUE"""),"Delhi, Hyderabad, Mumbai India")</f>
        <v/>
      </c>
      <c r="K5613">
        <f>IFERROR(__xludf.DUMMYFUNCTION("""COMPUTED_VALUE"""),7782.54)</f>
        <v/>
      </c>
    </row>
    <row r="5614">
      <c r="J5614">
        <f>IFERROR(__xludf.DUMMYFUNCTION("""COMPUTED_VALUE"""),"Berlin, Germany Toronto, Ontario")</f>
        <v/>
      </c>
      <c r="K5614">
        <f>IFERROR(__xludf.DUMMYFUNCTION("""COMPUTED_VALUE"""),7779.37)</f>
        <v/>
      </c>
    </row>
    <row r="5615">
      <c r="J5615">
        <f>IFERROR(__xludf.DUMMYFUNCTION("""COMPUTED_VALUE"""),"London, England &amp; Tunis, Tunisia")</f>
        <v/>
      </c>
      <c r="K5615">
        <f>IFERROR(__xludf.DUMMYFUNCTION("""COMPUTED_VALUE"""),7778.8)</f>
        <v/>
      </c>
    </row>
    <row r="5616">
      <c r="J5616">
        <f>IFERROR(__xludf.DUMMYFUNCTION("""COMPUTED_VALUE"""),"Charlottetown, Prince Edward Island, Canada; Yarmouth, Nova Scotia, Canada; Halifax, Nova Scotia, Canada")</f>
        <v/>
      </c>
      <c r="K5616">
        <f>IFERROR(__xludf.DUMMYFUNCTION("""COMPUTED_VALUE"""),7778.61999999999)</f>
        <v/>
      </c>
    </row>
    <row r="5617">
      <c r="J5617">
        <f>IFERROR(__xludf.DUMMYFUNCTION("""COMPUTED_VALUE"""),"Montreal, QC and Ottawa, ON")</f>
        <v/>
      </c>
      <c r="K5617">
        <f>IFERROR(__xludf.DUMMYFUNCTION("""COMPUTED_VALUE"""),7777.3)</f>
        <v/>
      </c>
    </row>
    <row r="5618">
      <c r="J5618">
        <f>IFERROR(__xludf.DUMMYFUNCTION("""COMPUTED_VALUE"""),"Basel Mulhouse, Switzerland")</f>
        <v/>
      </c>
      <c r="K5618">
        <f>IFERROR(__xludf.DUMMYFUNCTION("""COMPUTED_VALUE"""),7776.49)</f>
        <v/>
      </c>
    </row>
    <row r="5619">
      <c r="J5619">
        <f>IFERROR(__xludf.DUMMYFUNCTION("""COMPUTED_VALUE"""),"Amsterdam, Netherlands and Lisbon, Portugal")</f>
        <v/>
      </c>
      <c r="K5619">
        <f>IFERROR(__xludf.DUMMYFUNCTION("""COMPUTED_VALUE"""),7776.26)</f>
        <v/>
      </c>
    </row>
    <row r="5620">
      <c r="J5620">
        <f>IFERROR(__xludf.DUMMYFUNCTION("""COMPUTED_VALUE"""),"Regina, Saskatchewan; Toronto, Ontario")</f>
        <v/>
      </c>
      <c r="K5620">
        <f>IFERROR(__xludf.DUMMYFUNCTION("""COMPUTED_VALUE"""),7774.68)</f>
        <v/>
      </c>
    </row>
    <row r="5621">
      <c r="J5621">
        <f>IFERROR(__xludf.DUMMYFUNCTION("""COMPUTED_VALUE"""),"Paris, France and The Hague, Netherlands")</f>
        <v/>
      </c>
      <c r="K5621">
        <f>IFERROR(__xludf.DUMMYFUNCTION("""COMPUTED_VALUE"""),7773.53)</f>
        <v/>
      </c>
    </row>
    <row r="5622">
      <c r="J5622">
        <f>IFERROR(__xludf.DUMMYFUNCTION("""COMPUTED_VALUE"""),"Nanaimo, British Columbia, Canada; Vancouver, British Columbia, Canada; Montreal, Quebec, Canada")</f>
        <v/>
      </c>
      <c r="K5622">
        <f>IFERROR(__xludf.DUMMYFUNCTION("""COMPUTED_VALUE"""),7772.91)</f>
        <v/>
      </c>
    </row>
    <row r="5623">
      <c r="J5623">
        <f>IFERROR(__xludf.DUMMYFUNCTION("""COMPUTED_VALUE"""),"Incheon, Korea")</f>
        <v/>
      </c>
      <c r="K5623">
        <f>IFERROR(__xludf.DUMMYFUNCTION("""COMPUTED_VALUE"""),7772.76)</f>
        <v/>
      </c>
    </row>
    <row r="5624">
      <c r="J5624">
        <f>IFERROR(__xludf.DUMMYFUNCTION("""COMPUTED_VALUE"""),"Fort Worth, Texas, United States")</f>
        <v/>
      </c>
      <c r="K5624">
        <f>IFERROR(__xludf.DUMMYFUNCTION("""COMPUTED_VALUE"""),7772.15)</f>
        <v/>
      </c>
    </row>
    <row r="5625">
      <c r="J5625">
        <f>IFERROR(__xludf.DUMMYFUNCTION("""COMPUTED_VALUE"""),"Saint John, New Brunswick, Canada; Moncton, New Brunswick, Canada")</f>
        <v/>
      </c>
      <c r="K5625">
        <f>IFERROR(__xludf.DUMMYFUNCTION("""COMPUTED_VALUE"""),7771.6)</f>
        <v/>
      </c>
    </row>
    <row r="5626">
      <c r="J5626">
        <f>IFERROR(__xludf.DUMMYFUNCTION("""COMPUTED_VALUE"""),"Bogota, Colombia/ Washington, DC, United States")</f>
        <v/>
      </c>
      <c r="K5626">
        <f>IFERROR(__xludf.DUMMYFUNCTION("""COMPUTED_VALUE"""),7770.24)</f>
        <v/>
      </c>
    </row>
    <row r="5627">
      <c r="J5627">
        <f>IFERROR(__xludf.DUMMYFUNCTION("""COMPUTED_VALUE"""),"(Spain)")</f>
        <v/>
      </c>
      <c r="K5627">
        <f>IFERROR(__xludf.DUMMYFUNCTION("""COMPUTED_VALUE"""),7768.71)</f>
        <v/>
      </c>
    </row>
    <row r="5628">
      <c r="J5628">
        <f>IFERROR(__xludf.DUMMYFUNCTION("""COMPUTED_VALUE"""),"Montreal - Ottawa - Toronto")</f>
        <v/>
      </c>
      <c r="K5628">
        <f>IFERROR(__xludf.DUMMYFUNCTION("""COMPUTED_VALUE"""),7768.08)</f>
        <v/>
      </c>
    </row>
    <row r="5629">
      <c r="J5629">
        <f>IFERROR(__xludf.DUMMYFUNCTION("""COMPUTED_VALUE"""),"Frankfurt, Germany, Tel Aviv, Israel and Toronto, ON")</f>
        <v/>
      </c>
      <c r="K5629">
        <f>IFERROR(__xludf.DUMMYFUNCTION("""COMPUTED_VALUE"""),7767.24)</f>
        <v/>
      </c>
    </row>
    <row r="5630">
      <c r="J5630">
        <f>IFERROR(__xludf.DUMMYFUNCTION("""COMPUTED_VALUE"""),"Catalonia, Barcelona, Spain")</f>
        <v/>
      </c>
      <c r="K5630">
        <f>IFERROR(__xludf.DUMMYFUNCTION("""COMPUTED_VALUE"""),7766.28)</f>
        <v/>
      </c>
    </row>
    <row r="5631">
      <c r="J5631">
        <f>IFERROR(__xludf.DUMMYFUNCTION("""COMPUTED_VALUE"""),"Chicoutimi, Quebec, Canada")</f>
        <v/>
      </c>
      <c r="K5631">
        <f>IFERROR(__xludf.DUMMYFUNCTION("""COMPUTED_VALUE"""),7765.39)</f>
        <v/>
      </c>
    </row>
    <row r="5632">
      <c r="J5632">
        <f>IFERROR(__xludf.DUMMYFUNCTION("""COMPUTED_VALUE"""),"St-John's, Newfounland and Labrador (Canada)")</f>
        <v/>
      </c>
      <c r="K5632">
        <f>IFERROR(__xludf.DUMMYFUNCTION("""COMPUTED_VALUE"""),7764.93)</f>
        <v/>
      </c>
    </row>
    <row r="5633">
      <c r="J5633">
        <f>IFERROR(__xludf.DUMMYFUNCTION("""COMPUTED_VALUE"""),"Barrie, ON")</f>
        <v/>
      </c>
      <c r="K5633">
        <f>IFERROR(__xludf.DUMMYFUNCTION("""COMPUTED_VALUE"""),7760.73)</f>
        <v/>
      </c>
    </row>
    <row r="5634">
      <c r="J5634">
        <f>IFERROR(__xludf.DUMMYFUNCTION("""COMPUTED_VALUE"""),"Cairo, Africa")</f>
        <v/>
      </c>
      <c r="K5634">
        <f>IFERROR(__xludf.DUMMYFUNCTION("""COMPUTED_VALUE"""),7760.06)</f>
        <v/>
      </c>
    </row>
    <row r="5635">
      <c r="J5635">
        <f>IFERROR(__xludf.DUMMYFUNCTION("""COMPUTED_VALUE"""),"Addis Ababa, Ethiopia and Kuwait City, Kuwait")</f>
        <v/>
      </c>
      <c r="K5635">
        <f>IFERROR(__xludf.DUMMYFUNCTION("""COMPUTED_VALUE"""),7758.76)</f>
        <v/>
      </c>
    </row>
    <row r="5636">
      <c r="J5636">
        <f>IFERROR(__xludf.DUMMYFUNCTION("""COMPUTED_VALUE"""),"New York, Mexico City")</f>
        <v/>
      </c>
      <c r="K5636">
        <f>IFERROR(__xludf.DUMMYFUNCTION("""COMPUTED_VALUE"""),7758.76)</f>
        <v/>
      </c>
    </row>
    <row r="5637">
      <c r="J5637">
        <f>IFERROR(__xludf.DUMMYFUNCTION("""COMPUTED_VALUE"""),"London, ON and Germany")</f>
        <v/>
      </c>
      <c r="K5637">
        <f>IFERROR(__xludf.DUMMYFUNCTION("""COMPUTED_VALUE"""),7757.22)</f>
        <v/>
      </c>
    </row>
    <row r="5638">
      <c r="J5638">
        <f>IFERROR(__xludf.DUMMYFUNCTION("""COMPUTED_VALUE"""),"Dhaka, Bangladesh")</f>
        <v/>
      </c>
      <c r="K5638">
        <f>IFERROR(__xludf.DUMMYFUNCTION("""COMPUTED_VALUE"""),7755.17)</f>
        <v/>
      </c>
    </row>
    <row r="5639">
      <c r="J5639">
        <f>IFERROR(__xludf.DUMMYFUNCTION("""COMPUTED_VALUE"""),"Whitehorse, Yukon, Canada/ Edmonton, Alberta, Canada")</f>
        <v/>
      </c>
      <c r="K5639">
        <f>IFERROR(__xludf.DUMMYFUNCTION("""COMPUTED_VALUE"""),7755.01)</f>
        <v/>
      </c>
    </row>
    <row r="5640">
      <c r="J5640">
        <f>IFERROR(__xludf.DUMMYFUNCTION("""COMPUTED_VALUE"""),"Lille, Paris, France")</f>
        <v/>
      </c>
      <c r="K5640">
        <f>IFERROR(__xludf.DUMMYFUNCTION("""COMPUTED_VALUE"""),7753.98)</f>
        <v/>
      </c>
    </row>
    <row r="5641">
      <c r="J5641">
        <f>IFERROR(__xludf.DUMMYFUNCTION("""COMPUTED_VALUE"""),"Regina, SK - Vancouver, BC - Winnipeg, MB")</f>
        <v/>
      </c>
      <c r="K5641">
        <f>IFERROR(__xludf.DUMMYFUNCTION("""COMPUTED_VALUE"""),7751.93)</f>
        <v/>
      </c>
    </row>
    <row r="5642">
      <c r="J5642">
        <f>IFERROR(__xludf.DUMMYFUNCTION("""COMPUTED_VALUE"""),"UK, BELGIUM &amp; FRANCE")</f>
        <v/>
      </c>
      <c r="K5642">
        <f>IFERROR(__xludf.DUMMYFUNCTION("""COMPUTED_VALUE"""),7749.04)</f>
        <v/>
      </c>
    </row>
    <row r="5643">
      <c r="J5643">
        <f>IFERROR(__xludf.DUMMYFUNCTION("""COMPUTED_VALUE"""),"St. John's and Edmonton, New Brunswick, Canada")</f>
        <v/>
      </c>
      <c r="K5643">
        <f>IFERROR(__xludf.DUMMYFUNCTION("""COMPUTED_VALUE"""),7748.45)</f>
        <v/>
      </c>
    </row>
    <row r="5644">
      <c r="J5644">
        <f>IFERROR(__xludf.DUMMYFUNCTION("""COMPUTED_VALUE"""),"Montreal, QC; Toronto, ON; Ottawa, ON")</f>
        <v/>
      </c>
      <c r="K5644">
        <f>IFERROR(__xludf.DUMMYFUNCTION("""COMPUTED_VALUE"""),7746.11)</f>
        <v/>
      </c>
    </row>
    <row r="5645">
      <c r="J5645">
        <f>IFERROR(__xludf.DUMMYFUNCTION("""COMPUTED_VALUE"""),"Halifax &amp; Sydney, Nova Scotia; Moncton, New Brunswick; Ottawa, Ontario")</f>
        <v/>
      </c>
      <c r="K5645">
        <f>IFERROR(__xludf.DUMMYFUNCTION("""COMPUTED_VALUE"""),7744.2)</f>
        <v/>
      </c>
    </row>
    <row r="5646">
      <c r="J5646">
        <f>IFERROR(__xludf.DUMMYFUNCTION("""COMPUTED_VALUE"""),"Riga, Warsaw and Prague.")</f>
        <v/>
      </c>
      <c r="K5646">
        <f>IFERROR(__xludf.DUMMYFUNCTION("""COMPUTED_VALUE"""),7743.12)</f>
        <v/>
      </c>
    </row>
    <row r="5647">
      <c r="J5647">
        <f>IFERROR(__xludf.DUMMYFUNCTION("""COMPUTED_VALUE"""),"Boucherville and Montreal, QC")</f>
        <v/>
      </c>
      <c r="K5647">
        <f>IFERROR(__xludf.DUMMYFUNCTION("""COMPUTED_VALUE"""),7740.51999999999)</f>
        <v/>
      </c>
    </row>
    <row r="5648">
      <c r="J5648">
        <f>IFERROR(__xludf.DUMMYFUNCTION("""COMPUTED_VALUE"""),"Berlin, Germany - Paris, France - Brussels, Belgium")</f>
        <v/>
      </c>
      <c r="K5648">
        <f>IFERROR(__xludf.DUMMYFUNCTION("""COMPUTED_VALUE"""),7740.29)</f>
        <v/>
      </c>
    </row>
    <row r="5649">
      <c r="J5649">
        <f>IFERROR(__xludf.DUMMYFUNCTION("""COMPUTED_VALUE"""),"Washington/New York City, N/A/New York, United States")</f>
        <v/>
      </c>
      <c r="K5649">
        <f>IFERROR(__xludf.DUMMYFUNCTION("""COMPUTED_VALUE"""),7739.75)</f>
        <v/>
      </c>
    </row>
    <row r="5650">
      <c r="J5650">
        <f>IFERROR(__xludf.DUMMYFUNCTION("""COMPUTED_VALUE"""),"Brussels-Tervuren, Belgium - Bruxelles (Brussel), Belgium")</f>
        <v/>
      </c>
      <c r="K5650">
        <f>IFERROR(__xludf.DUMMYFUNCTION("""COMPUTED_VALUE"""),7737.01)</f>
        <v/>
      </c>
    </row>
    <row r="5651">
      <c r="J5651">
        <f>IFERROR(__xludf.DUMMYFUNCTION("""COMPUTED_VALUE"""),"Shanghai, China; Beijing, China")</f>
        <v/>
      </c>
      <c r="K5651">
        <f>IFERROR(__xludf.DUMMYFUNCTION("""COMPUTED_VALUE"""),7734.85)</f>
        <v/>
      </c>
    </row>
    <row r="5652">
      <c r="J5652">
        <f>IFERROR(__xludf.DUMMYFUNCTION("""COMPUTED_VALUE"""),"Toronto, ON London, ON Niagara, ON Waterloo, ON Winnipeg, MB Regina, SK")</f>
        <v/>
      </c>
      <c r="K5652">
        <f>IFERROR(__xludf.DUMMYFUNCTION("""COMPUTED_VALUE"""),7729.66)</f>
        <v/>
      </c>
    </row>
    <row r="5653">
      <c r="J5653">
        <f>IFERROR(__xludf.DUMMYFUNCTION("""COMPUTED_VALUE"""),"Toronto, Ontario, Canada and Montreal, Quebec, Canada")</f>
        <v/>
      </c>
      <c r="K5653">
        <f>IFERROR(__xludf.DUMMYFUNCTION("""COMPUTED_VALUE"""),7729.57)</f>
        <v/>
      </c>
    </row>
    <row r="5654">
      <c r="J5654">
        <f>IFERROR(__xludf.DUMMYFUNCTION("""COMPUTED_VALUE"""),"Sault Ste Marie, Ontario")</f>
        <v/>
      </c>
      <c r="K5654">
        <f>IFERROR(__xludf.DUMMYFUNCTION("""COMPUTED_VALUE"""),7721.74)</f>
        <v/>
      </c>
    </row>
    <row r="5655">
      <c r="J5655">
        <f>IFERROR(__xludf.DUMMYFUNCTION("""COMPUTED_VALUE"""),"Houston, Texas, United States/ Toronto, Ontario, Canada/ Edmonton, Alberta, Canada/ Montreal, Quebec, Canada")</f>
        <v/>
      </c>
      <c r="K5655">
        <f>IFERROR(__xludf.DUMMYFUNCTION("""COMPUTED_VALUE"""),7717.81)</f>
        <v/>
      </c>
    </row>
    <row r="5656">
      <c r="J5656">
        <f>IFERROR(__xludf.DUMMYFUNCTION("""COMPUTED_VALUE"""),"Moscos, Russia")</f>
        <v/>
      </c>
      <c r="K5656">
        <f>IFERROR(__xludf.DUMMYFUNCTION("""COMPUTED_VALUE"""),7716.14)</f>
        <v/>
      </c>
    </row>
    <row r="5657">
      <c r="J5657">
        <f>IFERROR(__xludf.DUMMYFUNCTION("""COMPUTED_VALUE"""),"Calgary, Alberta, Canada; Grande Prairie, Alberta, Canada; Edmonton, Alberta, Canada")</f>
        <v/>
      </c>
      <c r="K5657">
        <f>IFERROR(__xludf.DUMMYFUNCTION("""COMPUTED_VALUE"""),7715.77)</f>
        <v/>
      </c>
    </row>
    <row r="5658">
      <c r="J5658">
        <f>IFERROR(__xludf.DUMMYFUNCTION("""COMPUTED_VALUE"""),"The Hague, Amsterdam, Netherlands")</f>
        <v/>
      </c>
      <c r="K5658">
        <f>IFERROR(__xludf.DUMMYFUNCTION("""COMPUTED_VALUE"""),7715.24)</f>
        <v/>
      </c>
    </row>
    <row r="5659">
      <c r="J5659">
        <f>IFERROR(__xludf.DUMMYFUNCTION("""COMPUTED_VALUE"""),"Saskatoon, Saskatchewan / Regina, Saskatchewan, Canada")</f>
        <v/>
      </c>
      <c r="K5659">
        <f>IFERROR(__xludf.DUMMYFUNCTION("""COMPUTED_VALUE"""),7714.05999999999)</f>
        <v/>
      </c>
    </row>
    <row r="5660">
      <c r="J5660">
        <f>IFERROR(__xludf.DUMMYFUNCTION("""COMPUTED_VALUE"""),"Versaille, France")</f>
        <v/>
      </c>
      <c r="K5660">
        <f>IFERROR(__xludf.DUMMYFUNCTION("""COMPUTED_VALUE"""),7712.36)</f>
        <v/>
      </c>
    </row>
    <row r="5661">
      <c r="J5661">
        <f>IFERROR(__xludf.DUMMYFUNCTION("""COMPUTED_VALUE"""),"Kruger National Park, South Africa")</f>
        <v/>
      </c>
      <c r="K5661">
        <f>IFERROR(__xludf.DUMMYFUNCTION("""COMPUTED_VALUE"""),7708.27)</f>
        <v/>
      </c>
    </row>
    <row r="5662">
      <c r="J5662">
        <f>IFERROR(__xludf.DUMMYFUNCTION("""COMPUTED_VALUE"""),"Halifax, Nova Scotia / Charlottetown, Prince Edward Island, Canada")</f>
        <v/>
      </c>
      <c r="K5662">
        <f>IFERROR(__xludf.DUMMYFUNCTION("""COMPUTED_VALUE"""),7708.25)</f>
        <v/>
      </c>
    </row>
    <row r="5663">
      <c r="J5663">
        <f>IFERROR(__xludf.DUMMYFUNCTION("""COMPUTED_VALUE"""),"LONDON, UK - PARIS, FR")</f>
        <v/>
      </c>
      <c r="K5663">
        <f>IFERROR(__xludf.DUMMYFUNCTION("""COMPUTED_VALUE"""),7707.25)</f>
        <v/>
      </c>
    </row>
    <row r="5664">
      <c r="J5664">
        <f>IFERROR(__xludf.DUMMYFUNCTION("""COMPUTED_VALUE"""),"Sydney, Melbourne, Victoria, Australia")</f>
        <v/>
      </c>
      <c r="K5664">
        <f>IFERROR(__xludf.DUMMYFUNCTION("""COMPUTED_VALUE"""),7706.47)</f>
        <v/>
      </c>
    </row>
    <row r="5665">
      <c r="J5665">
        <f>IFERROR(__xludf.DUMMYFUNCTION("""COMPUTED_VALUE"""),"Vancouver, British Columbia and Quebec, Quebec")</f>
        <v/>
      </c>
      <c r="K5665">
        <f>IFERROR(__xludf.DUMMYFUNCTION("""COMPUTED_VALUE"""),7705.99)</f>
        <v/>
      </c>
    </row>
    <row r="5666">
      <c r="J5666">
        <f>IFERROR(__xludf.DUMMYFUNCTION("""COMPUTED_VALUE"""),"Brussels (acc. paid by ICA Fund)")</f>
        <v/>
      </c>
      <c r="K5666">
        <f>IFERROR(__xludf.DUMMYFUNCTION("""COMPUTED_VALUE"""),7704.5)</f>
        <v/>
      </c>
    </row>
    <row r="5667">
      <c r="J5667">
        <f>IFERROR(__xludf.DUMMYFUNCTION("""COMPUTED_VALUE"""),"Canada (Toronto, Calgary and Toronto)")</f>
        <v/>
      </c>
      <c r="K5667">
        <f>IFERROR(__xludf.DUMMYFUNCTION("""COMPUTED_VALUE"""),7702.65)</f>
        <v/>
      </c>
    </row>
    <row r="5668">
      <c r="J5668">
        <f>IFERROR(__xludf.DUMMYFUNCTION("""COMPUTED_VALUE"""),"Perugia, Italy")</f>
        <v/>
      </c>
      <c r="K5668">
        <f>IFERROR(__xludf.DUMMYFUNCTION("""COMPUTED_VALUE"""),7695.9)</f>
        <v/>
      </c>
    </row>
    <row r="5669">
      <c r="J5669">
        <f>IFERROR(__xludf.DUMMYFUNCTION("""COMPUTED_VALUE"""),"Kamloops, British Columbia, Canada; Kelowna, British Columbia, Canada; Winnipeg, Manitoba, Canada")</f>
        <v/>
      </c>
      <c r="K5669">
        <f>IFERROR(__xludf.DUMMYFUNCTION("""COMPUTED_VALUE"""),7693.47)</f>
        <v/>
      </c>
    </row>
    <row r="5670">
      <c r="J5670">
        <f>IFERROR(__xludf.DUMMYFUNCTION("""COMPUTED_VALUE"""),"Wisbaden, Germany &amp; Warsaw, Poland")</f>
        <v/>
      </c>
      <c r="K5670">
        <f>IFERROR(__xludf.DUMMYFUNCTION("""COMPUTED_VALUE"""),7690.33)</f>
        <v/>
      </c>
    </row>
    <row r="5671">
      <c r="J5671">
        <f>IFERROR(__xludf.DUMMYFUNCTION("""COMPUTED_VALUE"""),"London, Manchester, United Kingdom")</f>
        <v/>
      </c>
      <c r="K5671">
        <f>IFERROR(__xludf.DUMMYFUNCTION("""COMPUTED_VALUE"""),7685.09)</f>
        <v/>
      </c>
    </row>
    <row r="5672">
      <c r="J5672">
        <f>IFERROR(__xludf.DUMMYFUNCTION("""COMPUTED_VALUE"""),"Saint-Hyacinthe (Quebec) Canada")</f>
        <v/>
      </c>
      <c r="K5672">
        <f>IFERROR(__xludf.DUMMYFUNCTION("""COMPUTED_VALUE"""),7681.34)</f>
        <v/>
      </c>
    </row>
    <row r="5673">
      <c r="J5673">
        <f>IFERROR(__xludf.DUMMYFUNCTION("""COMPUTED_VALUE"""),"Beijing and Nanjing, China, Taipei, Taiwan")</f>
        <v/>
      </c>
      <c r="K5673">
        <f>IFERROR(__xludf.DUMMYFUNCTION("""COMPUTED_VALUE"""),7680.02)</f>
        <v/>
      </c>
    </row>
    <row r="5674">
      <c r="J5674">
        <f>IFERROR(__xludf.DUMMYFUNCTION("""COMPUTED_VALUE"""),"Brussels Belgium")</f>
        <v/>
      </c>
      <c r="K5674">
        <f>IFERROR(__xludf.DUMMYFUNCTION("""COMPUTED_VALUE"""),7679.58999999999)</f>
        <v/>
      </c>
    </row>
    <row r="5675">
      <c r="J5675">
        <f>IFERROR(__xludf.DUMMYFUNCTION("""COMPUTED_VALUE"""),"Vancouver, British Columbia / Edmonton, Alberta / Toronto, Ontario / Halifax, Nova Scotia, Canada")</f>
        <v/>
      </c>
      <c r="K5675">
        <f>IFERROR(__xludf.DUMMYFUNCTION("""COMPUTED_VALUE"""),7678.75)</f>
        <v/>
      </c>
    </row>
    <row r="5676">
      <c r="J5676">
        <f>IFERROR(__xludf.DUMMYFUNCTION("""COMPUTED_VALUE"""),"Montreal, Toronto, Canada")</f>
        <v/>
      </c>
      <c r="K5676">
        <f>IFERROR(__xludf.DUMMYFUNCTION("""COMPUTED_VALUE"""),7675.84999999999)</f>
        <v/>
      </c>
    </row>
    <row r="5677">
      <c r="J5677">
        <f>IFERROR(__xludf.DUMMYFUNCTION("""COMPUTED_VALUE"""),"Ottawa, Montreal, Quebec, Nova Scotia, Vancouver")</f>
        <v/>
      </c>
      <c r="K5677">
        <f>IFERROR(__xludf.DUMMYFUNCTION("""COMPUTED_VALUE"""),7671.79)</f>
        <v/>
      </c>
    </row>
    <row r="5678">
      <c r="J5678">
        <f>IFERROR(__xludf.DUMMYFUNCTION("""COMPUTED_VALUE"""),"London, Berlin, Brussels")</f>
        <v/>
      </c>
      <c r="K5678">
        <f>IFERROR(__xludf.DUMMYFUNCTION("""COMPUTED_VALUE"""),7670.5)</f>
        <v/>
      </c>
    </row>
    <row r="5679">
      <c r="J5679">
        <f>IFERROR(__xludf.DUMMYFUNCTION("""COMPUTED_VALUE"""),"Victoria British Columbia, Kelowna British Columbia, Winnipeg Manitoba")</f>
        <v/>
      </c>
      <c r="K5679">
        <f>IFERROR(__xludf.DUMMYFUNCTION("""COMPUTED_VALUE"""),7670.13999999999)</f>
        <v/>
      </c>
    </row>
    <row r="5680">
      <c r="J5680">
        <f>IFERROR(__xludf.DUMMYFUNCTION("""COMPUTED_VALUE"""),"Regina, Calgary, Toronto, Montreal &amp; Ottawa")</f>
        <v/>
      </c>
      <c r="K5680">
        <f>IFERROR(__xludf.DUMMYFUNCTION("""COMPUTED_VALUE"""),7669.61)</f>
        <v/>
      </c>
    </row>
    <row r="5681">
      <c r="J5681">
        <f>IFERROR(__xludf.DUMMYFUNCTION("""COMPUTED_VALUE"""),"Boston, New York and Washington D.C., USA")</f>
        <v/>
      </c>
      <c r="K5681">
        <f>IFERROR(__xludf.DUMMYFUNCTION("""COMPUTED_VALUE"""),7667.15)</f>
        <v/>
      </c>
    </row>
    <row r="5682">
      <c r="J5682">
        <f>IFERROR(__xludf.DUMMYFUNCTION("""COMPUTED_VALUE"""),"Saskatoon, Saskatchewan and Yellowknife, North West Territories and Edmonton, Alberta")</f>
        <v/>
      </c>
      <c r="K5682">
        <f>IFERROR(__xludf.DUMMYFUNCTION("""COMPUTED_VALUE"""),7664.97)</f>
        <v/>
      </c>
    </row>
    <row r="5683">
      <c r="J5683">
        <f>IFERROR(__xludf.DUMMYFUNCTION("""COMPUTED_VALUE"""),"Ottawa, ON Winnipeg, MB")</f>
        <v/>
      </c>
      <c r="K5683">
        <f>IFERROR(__xludf.DUMMYFUNCTION("""COMPUTED_VALUE"""),7664.66)</f>
        <v/>
      </c>
    </row>
    <row r="5684">
      <c r="J5684">
        <f>IFERROR(__xludf.DUMMYFUNCTION("""COMPUTED_VALUE"""),"Yaroslavl, Russia")</f>
        <v/>
      </c>
      <c r="K5684">
        <f>IFERROR(__xludf.DUMMYFUNCTION("""COMPUTED_VALUE"""),7664.2)</f>
        <v/>
      </c>
    </row>
    <row r="5685">
      <c r="J5685">
        <f>IFERROR(__xludf.DUMMYFUNCTION("""COMPUTED_VALUE"""),"Oslo, Norway. Helsinki, Finland")</f>
        <v/>
      </c>
      <c r="K5685">
        <f>IFERROR(__xludf.DUMMYFUNCTION("""COMPUTED_VALUE"""),7663.46)</f>
        <v/>
      </c>
    </row>
    <row r="5686">
      <c r="J5686">
        <f>IFERROR(__xludf.DUMMYFUNCTION("""COMPUTED_VALUE"""),"Manama (Bahrain)")</f>
        <v/>
      </c>
      <c r="K5686">
        <f>IFERROR(__xludf.DUMMYFUNCTION("""COMPUTED_VALUE"""),7661.97)</f>
        <v/>
      </c>
    </row>
    <row r="5687">
      <c r="J5687">
        <f>IFERROR(__xludf.DUMMYFUNCTION("""COMPUTED_VALUE"""),"Gaspé")</f>
        <v/>
      </c>
      <c r="K5687">
        <f>IFERROR(__xludf.DUMMYFUNCTION("""COMPUTED_VALUE"""),7658.99999999999)</f>
        <v/>
      </c>
    </row>
    <row r="5688">
      <c r="J5688">
        <f>IFERROR(__xludf.DUMMYFUNCTION("""COMPUTED_VALUE"""),"Winnipeg, Manitoba, Canada / Vancouver, British Columbia, Canada")</f>
        <v/>
      </c>
      <c r="K5688">
        <f>IFERROR(__xludf.DUMMYFUNCTION("""COMPUTED_VALUE"""),7652.13)</f>
        <v/>
      </c>
    </row>
    <row r="5689">
      <c r="J5689">
        <f>IFERROR(__xludf.DUMMYFUNCTION("""COMPUTED_VALUE"""),"Deer Lake, Newfoundland, Canada")</f>
        <v/>
      </c>
      <c r="K5689">
        <f>IFERROR(__xludf.DUMMYFUNCTION("""COMPUTED_VALUE"""),7650.73)</f>
        <v/>
      </c>
    </row>
    <row r="5690">
      <c r="J5690">
        <f>IFERROR(__xludf.DUMMYFUNCTION("""COMPUTED_VALUE"""),"Rome, Italie - London, UK - Paris, France - New York City, NY")</f>
        <v/>
      </c>
      <c r="K5690">
        <f>IFERROR(__xludf.DUMMYFUNCTION("""COMPUTED_VALUE"""),7649.7)</f>
        <v/>
      </c>
    </row>
    <row r="5691">
      <c r="J5691">
        <f>IFERROR(__xludf.DUMMYFUNCTION("""COMPUTED_VALUE"""),"United Kingdom; Israel")</f>
        <v/>
      </c>
      <c r="K5691">
        <f>IFERROR(__xludf.DUMMYFUNCTION("""COMPUTED_VALUE"""),7648.9)</f>
        <v/>
      </c>
    </row>
    <row r="5692">
      <c r="J5692">
        <f>IFERROR(__xludf.DUMMYFUNCTION("""COMPUTED_VALUE"""),"Alberta and Yukon, Canada")</f>
        <v/>
      </c>
      <c r="K5692">
        <f>IFERROR(__xludf.DUMMYFUNCTION("""COMPUTED_VALUE"""),7648.67)</f>
        <v/>
      </c>
    </row>
    <row r="5693">
      <c r="J5693">
        <f>IFERROR(__xludf.DUMMYFUNCTION("""COMPUTED_VALUE"""),"Calgary Alberta, Saskatoon Saskatchewan, Victoria British Columbia, Vancouver British Columbia,")</f>
        <v/>
      </c>
      <c r="K5693">
        <f>IFERROR(__xludf.DUMMYFUNCTION("""COMPUTED_VALUE"""),7647.75)</f>
        <v/>
      </c>
    </row>
    <row r="5694">
      <c r="J5694">
        <f>IFERROR(__xludf.DUMMYFUNCTION("""COMPUTED_VALUE"""),"Rabat")</f>
        <v/>
      </c>
      <c r="K5694">
        <f>IFERROR(__xludf.DUMMYFUNCTION("""COMPUTED_VALUE"""),7646.21)</f>
        <v/>
      </c>
    </row>
    <row r="5695">
      <c r="J5695">
        <f>IFERROR(__xludf.DUMMYFUNCTION("""COMPUTED_VALUE"""),"Toronto, ON, Vancouver, Whistler, BC")</f>
        <v/>
      </c>
      <c r="K5695">
        <f>IFERROR(__xludf.DUMMYFUNCTION("""COMPUTED_VALUE"""),7645.41)</f>
        <v/>
      </c>
    </row>
    <row r="5696">
      <c r="J5696">
        <f>IFERROR(__xludf.DUMMYFUNCTION("""COMPUTED_VALUE"""),"Churchill, MB; Winnipeg, MB; Carman, MB")</f>
        <v/>
      </c>
      <c r="K5696">
        <f>IFERROR(__xludf.DUMMYFUNCTION("""COMPUTED_VALUE"""),7645.2)</f>
        <v/>
      </c>
    </row>
    <row r="5697">
      <c r="J5697">
        <f>IFERROR(__xludf.DUMMYFUNCTION("""COMPUTED_VALUE"""),"Paris, France
Senegal, Africa")</f>
        <v/>
      </c>
      <c r="K5697">
        <f>IFERROR(__xludf.DUMMYFUNCTION("""COMPUTED_VALUE"""),7641.34)</f>
        <v/>
      </c>
    </row>
    <row r="5698">
      <c r="J5698">
        <f>IFERROR(__xludf.DUMMYFUNCTION("""COMPUTED_VALUE"""),"The Pas, Manitoba")</f>
        <v/>
      </c>
      <c r="K5698">
        <f>IFERROR(__xludf.DUMMYFUNCTION("""COMPUTED_VALUE"""),7640.24)</f>
        <v/>
      </c>
    </row>
    <row r="5699">
      <c r="J5699">
        <f>IFERROR(__xludf.DUMMYFUNCTION("""COMPUTED_VALUE"""),"Toronto &amp; Hamilton, Ontario")</f>
        <v/>
      </c>
      <c r="K5699">
        <f>IFERROR(__xludf.DUMMYFUNCTION("""COMPUTED_VALUE"""),7640.18)</f>
        <v/>
      </c>
    </row>
    <row r="5700">
      <c r="J5700">
        <f>IFERROR(__xludf.DUMMYFUNCTION("""COMPUTED_VALUE"""),"Windsor, Ontario, Canada; Hamilton, Ontario, Canada")</f>
        <v/>
      </c>
      <c r="K5700">
        <f>IFERROR(__xludf.DUMMYFUNCTION("""COMPUTED_VALUE"""),7639.62)</f>
        <v/>
      </c>
    </row>
    <row r="5701">
      <c r="J5701">
        <f>IFERROR(__xludf.DUMMYFUNCTION("""COMPUTED_VALUE"""),"MONTREAL, QC, CANADA")</f>
        <v/>
      </c>
      <c r="K5701">
        <f>IFERROR(__xludf.DUMMYFUNCTION("""COMPUTED_VALUE"""),7639.44999999999)</f>
        <v/>
      </c>
    </row>
    <row r="5702">
      <c r="J5702">
        <f>IFERROR(__xludf.DUMMYFUNCTION("""COMPUTED_VALUE"""),"OTTAWA (ONTARIO)")</f>
        <v/>
      </c>
      <c r="K5702">
        <f>IFERROR(__xludf.DUMMYFUNCTION("""COMPUTED_VALUE"""),7638.57)</f>
        <v/>
      </c>
    </row>
    <row r="5703">
      <c r="J5703">
        <f>IFERROR(__xludf.DUMMYFUNCTION("""COMPUTED_VALUE"""),"Lima, Peru; Bogota, Colombia; Buenos Aires, Argentina")</f>
        <v/>
      </c>
      <c r="K5703">
        <f>IFERROR(__xludf.DUMMYFUNCTION("""COMPUTED_VALUE"""),7636.12)</f>
        <v/>
      </c>
    </row>
    <row r="5704">
      <c r="J5704">
        <f>IFERROR(__xludf.DUMMYFUNCTION("""COMPUTED_VALUE"""),"Seattle, USA")</f>
        <v/>
      </c>
      <c r="K5704">
        <f>IFERROR(__xludf.DUMMYFUNCTION("""COMPUTED_VALUE"""),7631.15)</f>
        <v/>
      </c>
    </row>
    <row r="5705">
      <c r="J5705">
        <f>IFERROR(__xludf.DUMMYFUNCTION("""COMPUTED_VALUE"""),"Cambridge, MA")</f>
        <v/>
      </c>
      <c r="K5705">
        <f>IFERROR(__xludf.DUMMYFUNCTION("""COMPUTED_VALUE"""),7629.99)</f>
        <v/>
      </c>
    </row>
    <row r="5706">
      <c r="J5706">
        <f>IFERROR(__xludf.DUMMYFUNCTION("""COMPUTED_VALUE"""),"North Delta and North Shore, British Columbia")</f>
        <v/>
      </c>
      <c r="K5706">
        <f>IFERROR(__xludf.DUMMYFUNCTION("""COMPUTED_VALUE"""),7624.61)</f>
        <v/>
      </c>
    </row>
    <row r="5707">
      <c r="J5707">
        <f>IFERROR(__xludf.DUMMYFUNCTION("""COMPUTED_VALUE"""),"Edmonton, Alberta/Winnipeg, Manitoba")</f>
        <v/>
      </c>
      <c r="K5707">
        <f>IFERROR(__xludf.DUMMYFUNCTION("""COMPUTED_VALUE"""),7624.45999999999)</f>
        <v/>
      </c>
    </row>
    <row r="5708">
      <c r="J5708">
        <f>IFERROR(__xludf.DUMMYFUNCTION("""COMPUTED_VALUE"""),"Medan (Indonesia)")</f>
        <v/>
      </c>
      <c r="K5708">
        <f>IFERROR(__xludf.DUMMYFUNCTION("""COMPUTED_VALUE"""),7622.31)</f>
        <v/>
      </c>
    </row>
    <row r="5709">
      <c r="J5709">
        <f>IFERROR(__xludf.DUMMYFUNCTION("""COMPUTED_VALUE"""),"Toronto, Sudbury and Kenora, Ontario and Winnipeg, Manitoba")</f>
        <v/>
      </c>
      <c r="K5709">
        <f>IFERROR(__xludf.DUMMYFUNCTION("""COMPUTED_VALUE"""),7620.92)</f>
        <v/>
      </c>
    </row>
    <row r="5710">
      <c r="J5710">
        <f>IFERROR(__xludf.DUMMYFUNCTION("""COMPUTED_VALUE"""),"Rome, Toronto")</f>
        <v/>
      </c>
      <c r="K5710">
        <f>IFERROR(__xludf.DUMMYFUNCTION("""COMPUTED_VALUE"""),7619.44)</f>
        <v/>
      </c>
    </row>
    <row r="5711">
      <c r="J5711">
        <f>IFERROR(__xludf.DUMMYFUNCTION("""COMPUTED_VALUE"""),"Saskatoon, Saskatchewan; Ottawa, Ontario")</f>
        <v/>
      </c>
      <c r="K5711">
        <f>IFERROR(__xludf.DUMMYFUNCTION("""COMPUTED_VALUE"""),7618.75)</f>
        <v/>
      </c>
    </row>
    <row r="5712">
      <c r="J5712">
        <f>IFERROR(__xludf.DUMMYFUNCTION("""COMPUTED_VALUE"""),"Halifax, Nova Scotia / Moncton, New Brunswick")</f>
        <v/>
      </c>
      <c r="K5712">
        <f>IFERROR(__xludf.DUMMYFUNCTION("""COMPUTED_VALUE"""),7615.56999999999)</f>
        <v/>
      </c>
    </row>
    <row r="5713">
      <c r="J5713">
        <f>IFERROR(__xludf.DUMMYFUNCTION("""COMPUTED_VALUE"""),"Toronto, Ontario, Canada; Vancouver, British Columbia, Canada; Edmonton, Alberta, Canada")</f>
        <v/>
      </c>
      <c r="K5713">
        <f>IFERROR(__xludf.DUMMYFUNCTION("""COMPUTED_VALUE"""),7615.45)</f>
        <v/>
      </c>
    </row>
    <row r="5714">
      <c r="J5714">
        <f>IFERROR(__xludf.DUMMYFUNCTION("""COMPUTED_VALUE"""),"Vancouver, British Columbia, Canada; Kelowna, British Columbia, Canada; Fort St. John, British Columbia, Canada")</f>
        <v/>
      </c>
      <c r="K5714">
        <f>IFERROR(__xludf.DUMMYFUNCTION("""COMPUTED_VALUE"""),7614.81)</f>
        <v/>
      </c>
    </row>
    <row r="5715">
      <c r="J5715">
        <f>IFERROR(__xludf.DUMMYFUNCTION("""COMPUTED_VALUE"""),"Vancouver, British Columbia, Canada - Kitimat, British Columbia, Canada")</f>
        <v/>
      </c>
      <c r="K5715">
        <f>IFERROR(__xludf.DUMMYFUNCTION("""COMPUTED_VALUE"""),7614.54999999999)</f>
        <v/>
      </c>
    </row>
    <row r="5716">
      <c r="J5716">
        <f>IFERROR(__xludf.DUMMYFUNCTION("""COMPUTED_VALUE"""),"Basseterre, Saint Kitts, Saint Kitts and Nevis")</f>
        <v/>
      </c>
      <c r="K5716">
        <f>IFERROR(__xludf.DUMMYFUNCTION("""COMPUTED_VALUE"""),7614.4)</f>
        <v/>
      </c>
    </row>
    <row r="5717">
      <c r="J5717">
        <f>IFERROR(__xludf.DUMMYFUNCTION("""COMPUTED_VALUE"""),"Montreal; Ottawa")</f>
        <v/>
      </c>
      <c r="K5717">
        <f>IFERROR(__xludf.DUMMYFUNCTION("""COMPUTED_VALUE"""),7613.98)</f>
        <v/>
      </c>
    </row>
    <row r="5718">
      <c r="J5718">
        <f>IFERROR(__xludf.DUMMYFUNCTION("""COMPUTED_VALUE"""),"Tel Aviv, Israël")</f>
        <v/>
      </c>
      <c r="K5718">
        <f>IFERROR(__xludf.DUMMYFUNCTION("""COMPUTED_VALUE"""),7609.97)</f>
        <v/>
      </c>
    </row>
    <row r="5719">
      <c r="J5719">
        <f>IFERROR(__xludf.DUMMYFUNCTION("""COMPUTED_VALUE"""),"Toronto, ON and Montreal, QC")</f>
        <v/>
      </c>
      <c r="K5719">
        <f>IFERROR(__xludf.DUMMYFUNCTION("""COMPUTED_VALUE"""),7606.51999999999)</f>
        <v/>
      </c>
    </row>
    <row r="5720">
      <c r="J5720">
        <f>IFERROR(__xludf.DUMMYFUNCTION("""COMPUTED_VALUE"""),"Saskatoon, Saskatchewan, Canada-Edmonton, Alberta, Canada-Vancouver, British Columbia, Canada")</f>
        <v/>
      </c>
      <c r="K5720">
        <f>IFERROR(__xludf.DUMMYFUNCTION("""COMPUTED_VALUE"""),7606.17)</f>
        <v/>
      </c>
    </row>
    <row r="5721">
      <c r="J5721">
        <f>IFERROR(__xludf.DUMMYFUNCTION("""COMPUTED_VALUE"""),"Saskatoon, Saskatchewan, Canada; Prince Albert, Saskatchewan, Canada")</f>
        <v/>
      </c>
      <c r="K5721">
        <f>IFERROR(__xludf.DUMMYFUNCTION("""COMPUTED_VALUE"""),7605.92)</f>
        <v/>
      </c>
    </row>
    <row r="5722">
      <c r="J5722">
        <f>IFERROR(__xludf.DUMMYFUNCTION("""COMPUTED_VALUE"""),"Bogota, Colombia / São Paulo, Brazil / Brasilia, Brazil")</f>
        <v/>
      </c>
      <c r="K5722">
        <f>IFERROR(__xludf.DUMMYFUNCTION("""COMPUTED_VALUE"""),7600.11)</f>
        <v/>
      </c>
    </row>
    <row r="5723">
      <c r="J5723">
        <f>IFERROR(__xludf.DUMMYFUNCTION("""COMPUTED_VALUE"""),"Moose Jaw, Sakatchewan")</f>
        <v/>
      </c>
      <c r="K5723">
        <f>IFERROR(__xludf.DUMMYFUNCTION("""COMPUTED_VALUE"""),7599.69)</f>
        <v/>
      </c>
    </row>
    <row r="5724">
      <c r="J5724">
        <f>IFERROR(__xludf.DUMMYFUNCTION("""COMPUTED_VALUE"""),"Belfast, United Kingdom Dublin, Ireland")</f>
        <v/>
      </c>
      <c r="K5724">
        <f>IFERROR(__xludf.DUMMYFUNCTION("""COMPUTED_VALUE"""),7599.64)</f>
        <v/>
      </c>
    </row>
    <row r="5725">
      <c r="J5725">
        <f>IFERROR(__xludf.DUMMYFUNCTION("""COMPUTED_VALUE"""),"Montreal, Quebec, Canada / Paris, France")</f>
        <v/>
      </c>
      <c r="K5725">
        <f>IFERROR(__xludf.DUMMYFUNCTION("""COMPUTED_VALUE"""),7597.4)</f>
        <v/>
      </c>
    </row>
    <row r="5726">
      <c r="J5726">
        <f>IFERROR(__xludf.DUMMYFUNCTION("""COMPUTED_VALUE"""),"Incheon, Seoul")</f>
        <v/>
      </c>
      <c r="K5726">
        <f>IFERROR(__xludf.DUMMYFUNCTION("""COMPUTED_VALUE"""),7596.69)</f>
        <v/>
      </c>
    </row>
    <row r="5727">
      <c r="J5727">
        <f>IFERROR(__xludf.DUMMYFUNCTION("""COMPUTED_VALUE"""),"Fort Smith, Northwest Territories, Canada")</f>
        <v/>
      </c>
      <c r="K5727">
        <f>IFERROR(__xludf.DUMMYFUNCTION("""COMPUTED_VALUE"""),7593.26)</f>
        <v/>
      </c>
    </row>
    <row r="5728">
      <c r="J5728">
        <f>IFERROR(__xludf.DUMMYFUNCTION("""COMPUTED_VALUE"""),"Tirana, Albania and Oslo, Norway")</f>
        <v/>
      </c>
      <c r="K5728">
        <f>IFERROR(__xludf.DUMMYFUNCTION("""COMPUTED_VALUE"""),7592.71)</f>
        <v/>
      </c>
    </row>
    <row r="5729">
      <c r="J5729">
        <f>IFERROR(__xludf.DUMMYFUNCTION("""COMPUTED_VALUE"""),"Lyon, FR / Geneva, CH")</f>
        <v/>
      </c>
      <c r="K5729">
        <f>IFERROR(__xludf.DUMMYFUNCTION("""COMPUTED_VALUE"""),7590.9)</f>
        <v/>
      </c>
    </row>
    <row r="5730">
      <c r="J5730">
        <f>IFERROR(__xludf.DUMMYFUNCTION("""COMPUTED_VALUE"""),"Deer Lake and St. John's, Newfoundland and Labrador")</f>
        <v/>
      </c>
      <c r="K5730">
        <f>IFERROR(__xludf.DUMMYFUNCTION("""COMPUTED_VALUE"""),7588.09999999999)</f>
        <v/>
      </c>
    </row>
    <row r="5731">
      <c r="J5731">
        <f>IFERROR(__xludf.DUMMYFUNCTION("""COMPUTED_VALUE"""),"Maseru, Lesotho")</f>
        <v/>
      </c>
      <c r="K5731">
        <f>IFERROR(__xludf.DUMMYFUNCTION("""COMPUTED_VALUE"""),7586.7)</f>
        <v/>
      </c>
    </row>
    <row r="5732">
      <c r="J5732">
        <f>IFERROR(__xludf.DUMMYFUNCTION("""COMPUTED_VALUE"""),"Halifax, Nova Scotia / Fredericton, New Brunswick / Charlottetown, Prince Edward Island, Canada")</f>
        <v/>
      </c>
      <c r="K5732">
        <f>IFERROR(__xludf.DUMMYFUNCTION("""COMPUTED_VALUE"""),7586.11)</f>
        <v/>
      </c>
    </row>
    <row r="5733">
      <c r="J5733">
        <f>IFERROR(__xludf.DUMMYFUNCTION("""COMPUTED_VALUE"""),"Vancouver, BC St-John's, NL")</f>
        <v/>
      </c>
      <c r="K5733">
        <f>IFERROR(__xludf.DUMMYFUNCTION("""COMPUTED_VALUE"""),7586.06)</f>
        <v/>
      </c>
    </row>
    <row r="5734">
      <c r="J5734">
        <f>IFERROR(__xludf.DUMMYFUNCTION("""COMPUTED_VALUE"""),"Berlin and London")</f>
        <v/>
      </c>
      <c r="K5734">
        <f>IFERROR(__xludf.DUMMYFUNCTION("""COMPUTED_VALUE"""),7585.2)</f>
        <v/>
      </c>
    </row>
    <row r="5735">
      <c r="J5735">
        <f>IFERROR(__xludf.DUMMYFUNCTION("""COMPUTED_VALUE"""),"Brussels, Belgium
Paris, France")</f>
        <v/>
      </c>
      <c r="K5735">
        <f>IFERROR(__xludf.DUMMYFUNCTION("""COMPUTED_VALUE"""),7583.66)</f>
        <v/>
      </c>
    </row>
    <row r="5736">
      <c r="J5736">
        <f>IFERROR(__xludf.DUMMYFUNCTION("""COMPUTED_VALUE"""),"St. John's-Montreal-Quebec City-Paris-Montreal-St. John's")</f>
        <v/>
      </c>
      <c r="K5736">
        <f>IFERROR(__xludf.DUMMYFUNCTION("""COMPUTED_VALUE"""),7582.11)</f>
        <v/>
      </c>
    </row>
    <row r="5737">
      <c r="J5737">
        <f>IFERROR(__xludf.DUMMYFUNCTION("""COMPUTED_VALUE"""),"Winnipeg, MB - Toronto, ON")</f>
        <v/>
      </c>
      <c r="K5737">
        <f>IFERROR(__xludf.DUMMYFUNCTION("""COMPUTED_VALUE"""),7581.9)</f>
        <v/>
      </c>
    </row>
    <row r="5738">
      <c r="J5738">
        <f>IFERROR(__xludf.DUMMYFUNCTION("""COMPUTED_VALUE"""),"Abbotsford, British Columbia; Mission, British Columbia")</f>
        <v/>
      </c>
      <c r="K5738">
        <f>IFERROR(__xludf.DUMMYFUNCTION("""COMPUTED_VALUE"""),7581.32)</f>
        <v/>
      </c>
    </row>
    <row r="5739">
      <c r="J5739">
        <f>IFERROR(__xludf.DUMMYFUNCTION("""COMPUTED_VALUE"""),"London, United Kingdom - Berlin, Germany")</f>
        <v/>
      </c>
      <c r="K5739">
        <f>IFERROR(__xludf.DUMMYFUNCTION("""COMPUTED_VALUE"""),7581.16)</f>
        <v/>
      </c>
    </row>
    <row r="5740">
      <c r="J5740">
        <f>IFERROR(__xludf.DUMMYFUNCTION("""COMPUTED_VALUE"""),"Whitehorse, Yukon; Yellowknife, Northwest Territories; Sydney, Nova Scotia")</f>
        <v/>
      </c>
      <c r="K5740">
        <f>IFERROR(__xludf.DUMMYFUNCTION("""COMPUTED_VALUE"""),7580.79)</f>
        <v/>
      </c>
    </row>
    <row r="5741">
      <c r="J5741">
        <f>IFERROR(__xludf.DUMMYFUNCTION("""COMPUTED_VALUE"""),"Dubai and Riyadh")</f>
        <v/>
      </c>
      <c r="K5741">
        <f>IFERROR(__xludf.DUMMYFUNCTION("""COMPUTED_VALUE"""),7580.16)</f>
        <v/>
      </c>
    </row>
    <row r="5742">
      <c r="J5742">
        <f>IFERROR(__xludf.DUMMYFUNCTION("""COMPUTED_VALUE"""),"Salt Lake City, Utah, United States")</f>
        <v/>
      </c>
      <c r="K5742">
        <f>IFERROR(__xludf.DUMMYFUNCTION("""COMPUTED_VALUE"""),7580.14)</f>
        <v/>
      </c>
    </row>
    <row r="5743">
      <c r="J5743">
        <f>IFERROR(__xludf.DUMMYFUNCTION("""COMPUTED_VALUE"""),"Vancouver / Whistler / Saskatoon/ Halifax")</f>
        <v/>
      </c>
      <c r="K5743">
        <f>IFERROR(__xludf.DUMMYFUNCTION("""COMPUTED_VALUE"""),7575.67)</f>
        <v/>
      </c>
    </row>
    <row r="5744">
      <c r="J5744">
        <f>IFERROR(__xludf.DUMMYFUNCTION("""COMPUTED_VALUE"""),"London, England;
Paris, France;
Brussels, Belgium")</f>
        <v/>
      </c>
      <c r="K5744">
        <f>IFERROR(__xludf.DUMMYFUNCTION("""COMPUTED_VALUE"""),7573.96)</f>
        <v/>
      </c>
    </row>
    <row r="5745">
      <c r="J5745">
        <f>IFERROR(__xludf.DUMMYFUNCTION("""COMPUTED_VALUE"""),"Wolfville, Nova Scotia, Canada / Fredericton, New Brunswick, Canada")</f>
        <v/>
      </c>
      <c r="K5745">
        <f>IFERROR(__xludf.DUMMYFUNCTION("""COMPUTED_VALUE"""),7568.55999999999)</f>
        <v/>
      </c>
    </row>
    <row r="5746">
      <c r="J5746">
        <f>IFERROR(__xludf.DUMMYFUNCTION("""COMPUTED_VALUE"""),"Frankfurt, (Germany)")</f>
        <v/>
      </c>
      <c r="K5746">
        <f>IFERROR(__xludf.DUMMYFUNCTION("""COMPUTED_VALUE"""),7568)</f>
        <v/>
      </c>
    </row>
    <row r="5747">
      <c r="J5747">
        <f>IFERROR(__xludf.DUMMYFUNCTION("""COMPUTED_VALUE"""),"Vancouver, BC / Washington, DC")</f>
        <v/>
      </c>
      <c r="K5747">
        <f>IFERROR(__xludf.DUMMYFUNCTION("""COMPUTED_VALUE"""),7567.79)</f>
        <v/>
      </c>
    </row>
    <row r="5748">
      <c r="J5748">
        <f>IFERROR(__xludf.DUMMYFUNCTION("""COMPUTED_VALUE"""),"Washington - DC, Ottawa, Toronto")</f>
        <v/>
      </c>
      <c r="K5748">
        <f>IFERROR(__xludf.DUMMYFUNCTION("""COMPUTED_VALUE"""),7567.67)</f>
        <v/>
      </c>
    </row>
    <row r="5749">
      <c r="J5749">
        <f>IFERROR(__xludf.DUMMYFUNCTION("""COMPUTED_VALUE"""),"Mumbai, Delhi (India)")</f>
        <v/>
      </c>
      <c r="K5749">
        <f>IFERROR(__xludf.DUMMYFUNCTION("""COMPUTED_VALUE"""),7567.44)</f>
        <v/>
      </c>
    </row>
    <row r="5750">
      <c r="J5750">
        <f>IFERROR(__xludf.DUMMYFUNCTION("""COMPUTED_VALUE"""),"New York, United States
Portland, United States
Washington, United States
Boston, United States")</f>
        <v/>
      </c>
      <c r="K5750">
        <f>IFERROR(__xludf.DUMMYFUNCTION("""COMPUTED_VALUE"""),7565.41)</f>
        <v/>
      </c>
    </row>
    <row r="5751">
      <c r="J5751">
        <f>IFERROR(__xludf.DUMMYFUNCTION("""COMPUTED_VALUE"""),"Trenton, ON, Sault Ste. Marie,
ON, Cambridge, ON,
Mississauga, ON, Markham,
ON, Belleville, ON, Ajax, ON,
Vaughan, ON")</f>
        <v/>
      </c>
      <c r="K5751">
        <f>IFERROR(__xludf.DUMMYFUNCTION("""COMPUTED_VALUE"""),7565)</f>
        <v/>
      </c>
    </row>
    <row r="5752">
      <c r="J5752">
        <f>IFERROR(__xludf.DUMMYFUNCTION("""COMPUTED_VALUE"""),"Vancouver, British Columbia, Canada; Campbell River, British Columbia, Canada")</f>
        <v/>
      </c>
      <c r="K5752">
        <f>IFERROR(__xludf.DUMMYFUNCTION("""COMPUTED_VALUE"""),7563.38999999999)</f>
        <v/>
      </c>
    </row>
    <row r="5753">
      <c r="J5753">
        <f>IFERROR(__xludf.DUMMYFUNCTION("""COMPUTED_VALUE"""),"Lima, Peru / Medellin, Colombia")</f>
        <v/>
      </c>
      <c r="K5753">
        <f>IFERROR(__xludf.DUMMYFUNCTION("""COMPUTED_VALUE"""),7562.96)</f>
        <v/>
      </c>
    </row>
    <row r="5754">
      <c r="J5754">
        <f>IFERROR(__xludf.DUMMYFUNCTION("""COMPUTED_VALUE"""),"Victoria, BC; Vancouver, BC; Calgary, AB")</f>
        <v/>
      </c>
      <c r="K5754">
        <f>IFERROR(__xludf.DUMMYFUNCTION("""COMPUTED_VALUE"""),7560.08)</f>
        <v/>
      </c>
    </row>
    <row r="5755">
      <c r="J5755">
        <f>IFERROR(__xludf.DUMMYFUNCTION("""COMPUTED_VALUE"""),"Canada, Ontario-Ottawa &amp; Alberta- Edmonton/Calgary")</f>
        <v/>
      </c>
      <c r="K5755">
        <f>IFERROR(__xludf.DUMMYFUNCTION("""COMPUTED_VALUE"""),7559.19)</f>
        <v/>
      </c>
    </row>
    <row r="5756">
      <c r="J5756">
        <f>IFERROR(__xludf.DUMMYFUNCTION("""COMPUTED_VALUE"""),"Syktyvkar, Russia")</f>
        <v/>
      </c>
      <c r="K5756">
        <f>IFERROR(__xludf.DUMMYFUNCTION("""COMPUTED_VALUE"""),7555.46)</f>
        <v/>
      </c>
    </row>
    <row r="5757">
      <c r="J5757">
        <f>IFERROR(__xludf.DUMMYFUNCTION("""COMPUTED_VALUE"""),"Vancouver, British Columbia and Portland, Oregon")</f>
        <v/>
      </c>
      <c r="K5757">
        <f>IFERROR(__xludf.DUMMYFUNCTION("""COMPUTED_VALUE"""),7554.75)</f>
        <v/>
      </c>
    </row>
    <row r="5758">
      <c r="J5758">
        <f>IFERROR(__xludf.DUMMYFUNCTION("""COMPUTED_VALUE"""),"Chicago, Illinois, États-Unis")</f>
        <v/>
      </c>
      <c r="K5758">
        <f>IFERROR(__xludf.DUMMYFUNCTION("""COMPUTED_VALUE"""),7549.41)</f>
        <v/>
      </c>
    </row>
    <row r="5759">
      <c r="J5759">
        <f>IFERROR(__xludf.DUMMYFUNCTION("""COMPUTED_VALUE"""),"Edmonton and Toronto")</f>
        <v/>
      </c>
      <c r="K5759">
        <f>IFERROR(__xludf.DUMMYFUNCTION("""COMPUTED_VALUE"""),7545.87)</f>
        <v/>
      </c>
    </row>
    <row r="5760">
      <c r="J5760">
        <f>IFERROR(__xludf.DUMMYFUNCTION("""COMPUTED_VALUE"""),"Washington, DC, U.S.A")</f>
        <v/>
      </c>
      <c r="K5760">
        <f>IFERROR(__xludf.DUMMYFUNCTION("""COMPUTED_VALUE"""),7544.78)</f>
        <v/>
      </c>
    </row>
    <row r="5761">
      <c r="J5761">
        <f>IFERROR(__xludf.DUMMYFUNCTION("""COMPUTED_VALUE"""),"Calgary, Alberta, Canada; Windsor, Ontario, Canada; Toronto, Ontario, Canada")</f>
        <v/>
      </c>
      <c r="K5761">
        <f>IFERROR(__xludf.DUMMYFUNCTION("""COMPUTED_VALUE"""),7542.45)</f>
        <v/>
      </c>
    </row>
    <row r="5762">
      <c r="J5762">
        <f>IFERROR(__xludf.DUMMYFUNCTION("""COMPUTED_VALUE"""),"Timmins, ON - Sudbury, ON")</f>
        <v/>
      </c>
      <c r="K5762">
        <f>IFERROR(__xludf.DUMMYFUNCTION("""COMPUTED_VALUE"""),7540.51)</f>
        <v/>
      </c>
    </row>
    <row r="5763">
      <c r="J5763">
        <f>IFERROR(__xludf.DUMMYFUNCTION("""COMPUTED_VALUE"""),"Calgary (Alberta) Canada; Vancouver (British Columbia) Canada; Regina (Saskatchewan) Canada")</f>
        <v/>
      </c>
      <c r="K5763">
        <f>IFERROR(__xludf.DUMMYFUNCTION("""COMPUTED_VALUE"""),7538.5)</f>
        <v/>
      </c>
    </row>
    <row r="5764">
      <c r="J5764">
        <f>IFERROR(__xludf.DUMMYFUNCTION("""COMPUTED_VALUE"""),"Tokyo, Japan Seoul, Korea")</f>
        <v/>
      </c>
      <c r="K5764">
        <f>IFERROR(__xludf.DUMMYFUNCTION("""COMPUTED_VALUE"""),7537.42)</f>
        <v/>
      </c>
    </row>
    <row r="5765">
      <c r="J5765">
        <f>IFERROR(__xludf.DUMMYFUNCTION("""COMPUTED_VALUE"""),"Cyprus")</f>
        <v/>
      </c>
      <c r="K5765">
        <f>IFERROR(__xludf.DUMMYFUNCTION("""COMPUTED_VALUE"""),7535.74)</f>
        <v/>
      </c>
    </row>
    <row r="5766">
      <c r="J5766">
        <f>IFERROR(__xludf.DUMMYFUNCTION("""COMPUTED_VALUE"""),"Edmonton, Alberta, Canada
Banff, Alberta, Canada
Calgary, Alberta, Canada
Toronto, Ontario, Canada")</f>
        <v/>
      </c>
      <c r="K5766">
        <f>IFERROR(__xludf.DUMMYFUNCTION("""COMPUTED_VALUE"""),7535.42)</f>
        <v/>
      </c>
    </row>
    <row r="5767">
      <c r="J5767">
        <f>IFERROR(__xludf.DUMMYFUNCTION("""COMPUTED_VALUE"""),"Delhi and Mumbai")</f>
        <v/>
      </c>
      <c r="K5767">
        <f>IFERROR(__xludf.DUMMYFUNCTION("""COMPUTED_VALUE"""),7534.18)</f>
        <v/>
      </c>
    </row>
    <row r="5768">
      <c r="J5768">
        <f>IFERROR(__xludf.DUMMYFUNCTION("""COMPUTED_VALUE"""),"Vilnius, Lithuania; Brussels, Belgium")</f>
        <v/>
      </c>
      <c r="K5768">
        <f>IFERROR(__xludf.DUMMYFUNCTION("""COMPUTED_VALUE"""),7529.96)</f>
        <v/>
      </c>
    </row>
    <row r="5769">
      <c r="J5769">
        <f>IFERROR(__xludf.DUMMYFUNCTION("""COMPUTED_VALUE"""),"Toronto, Santiago, CL Houston")</f>
        <v/>
      </c>
      <c r="K5769">
        <f>IFERROR(__xludf.DUMMYFUNCTION("""COMPUTED_VALUE"""),7528.79)</f>
        <v/>
      </c>
    </row>
    <row r="5770">
      <c r="J5770">
        <f>IFERROR(__xludf.DUMMYFUNCTION("""COMPUTED_VALUE"""),"Québec, Quebec, Canada; Winnipeg, Manitoba, Canada; Edmonton, Alberta, Canada; Vancouver, British Columbia, Canada")</f>
        <v/>
      </c>
      <c r="K5770">
        <f>IFERROR(__xludf.DUMMYFUNCTION("""COMPUTED_VALUE"""),7524.52)</f>
        <v/>
      </c>
    </row>
    <row r="5771">
      <c r="J5771">
        <f>IFERROR(__xludf.DUMMYFUNCTION("""COMPUTED_VALUE"""),"Tokyo, Tokyo, Japan")</f>
        <v/>
      </c>
      <c r="K5771">
        <f>IFERROR(__xludf.DUMMYFUNCTION("""COMPUTED_VALUE"""),7523.98)</f>
        <v/>
      </c>
    </row>
    <row r="5772">
      <c r="J5772">
        <f>IFERROR(__xludf.DUMMYFUNCTION("""COMPUTED_VALUE"""),"St. Catherine's, Ontario, Canada")</f>
        <v/>
      </c>
      <c r="K5772">
        <f>IFERROR(__xludf.DUMMYFUNCTION("""COMPUTED_VALUE"""),7523.48)</f>
        <v/>
      </c>
    </row>
    <row r="5773">
      <c r="J5773">
        <f>IFERROR(__xludf.DUMMYFUNCTION("""COMPUTED_VALUE"""),"Rome, Berlin")</f>
        <v/>
      </c>
      <c r="K5773">
        <f>IFERROR(__xludf.DUMMYFUNCTION("""COMPUTED_VALUE"""),7523.28)</f>
        <v/>
      </c>
    </row>
    <row r="5774">
      <c r="J5774">
        <f>IFERROR(__xludf.DUMMYFUNCTION("""COMPUTED_VALUE"""),"Sao Paulo, Brasilia, Rio de Janeiro")</f>
        <v/>
      </c>
      <c r="K5774">
        <f>IFERROR(__xludf.DUMMYFUNCTION("""COMPUTED_VALUE"""),7523.07)</f>
        <v/>
      </c>
    </row>
    <row r="5775">
      <c r="J5775">
        <f>IFERROR(__xludf.DUMMYFUNCTION("""COMPUTED_VALUE"""),"Toronto, Ontario; Calgary, Alberta")</f>
        <v/>
      </c>
      <c r="K5775">
        <f>IFERROR(__xludf.DUMMYFUNCTION("""COMPUTED_VALUE"""),7520.65)</f>
        <v/>
      </c>
    </row>
    <row r="5776">
      <c r="J5776">
        <f>IFERROR(__xludf.DUMMYFUNCTION("""COMPUTED_VALUE"""),"Cancun")</f>
        <v/>
      </c>
      <c r="K5776">
        <f>IFERROR(__xludf.DUMMYFUNCTION("""COMPUTED_VALUE"""),7519.23)</f>
        <v/>
      </c>
    </row>
    <row r="5777">
      <c r="J5777">
        <f>IFERROR(__xludf.DUMMYFUNCTION("""COMPUTED_VALUE"""),"St. John's, NL - Halifax, NS")</f>
        <v/>
      </c>
      <c r="K5777">
        <f>IFERROR(__xludf.DUMMYFUNCTION("""COMPUTED_VALUE"""),7518.72)</f>
        <v/>
      </c>
    </row>
    <row r="5778">
      <c r="J5778">
        <f>IFERROR(__xludf.DUMMYFUNCTION("""COMPUTED_VALUE"""),"Moncton, New Brunswick / Deer Lake, Newfoundland and Labrador")</f>
        <v/>
      </c>
      <c r="K5778">
        <f>IFERROR(__xludf.DUMMYFUNCTION("""COMPUTED_VALUE"""),7518.54)</f>
        <v/>
      </c>
    </row>
    <row r="5779">
      <c r="J5779">
        <f>IFERROR(__xludf.DUMMYFUNCTION("""COMPUTED_VALUE"""),"Monte Carlo, Monaco")</f>
        <v/>
      </c>
      <c r="K5779">
        <f>IFERROR(__xludf.DUMMYFUNCTION("""COMPUTED_VALUE"""),7516.45)</f>
        <v/>
      </c>
    </row>
    <row r="5780">
      <c r="J5780">
        <f>IFERROR(__xludf.DUMMYFUNCTION("""COMPUTED_VALUE"""),"Moncton, New Brunswick, Canada; Halifax, Nova Scotia, Canada; Ottawa, Ontario, Canada; Vancouver, British Columbia, Canada")</f>
        <v/>
      </c>
      <c r="K5780">
        <f>IFERROR(__xludf.DUMMYFUNCTION("""COMPUTED_VALUE"""),7515.37)</f>
        <v/>
      </c>
    </row>
    <row r="5781">
      <c r="J5781">
        <f>IFERROR(__xludf.DUMMYFUNCTION("""COMPUTED_VALUE"""),"Vancouver, British Columbia ; Winnipeg, Manitoba")</f>
        <v/>
      </c>
      <c r="K5781">
        <f>IFERROR(__xludf.DUMMYFUNCTION("""COMPUTED_VALUE"""),7512.1)</f>
        <v/>
      </c>
    </row>
    <row r="5782">
      <c r="J5782">
        <f>IFERROR(__xludf.DUMMYFUNCTION("""COMPUTED_VALUE"""),"Yellowknife, Northwest Territories, Canada; Iqaluit, Nunavut, Canada")</f>
        <v/>
      </c>
      <c r="K5782">
        <f>IFERROR(__xludf.DUMMYFUNCTION("""COMPUTED_VALUE"""),7511.55999999999)</f>
        <v/>
      </c>
    </row>
    <row r="5783">
      <c r="J5783">
        <f>IFERROR(__xludf.DUMMYFUNCTION("""COMPUTED_VALUE"""),"Toronto Geneva")</f>
        <v/>
      </c>
      <c r="K5783">
        <f>IFERROR(__xludf.DUMMYFUNCTION("""COMPUTED_VALUE"""),7510.17)</f>
        <v/>
      </c>
    </row>
    <row r="5784">
      <c r="J5784">
        <f>IFERROR(__xludf.DUMMYFUNCTION("""COMPUTED_VALUE"""),"Montréal, QC &amp; Paris, France")</f>
        <v/>
      </c>
      <c r="K5784">
        <f>IFERROR(__xludf.DUMMYFUNCTION("""COMPUTED_VALUE"""),7509.29)</f>
        <v/>
      </c>
    </row>
    <row r="5785">
      <c r="J5785">
        <f>IFERROR(__xludf.DUMMYFUNCTION("""COMPUTED_VALUE"""),"YELLOWKNIFE - NORTH WEST TERRITORIES")</f>
        <v/>
      </c>
      <c r="K5785">
        <f>IFERROR(__xludf.DUMMYFUNCTION("""COMPUTED_VALUE"""),7507)</f>
        <v/>
      </c>
    </row>
    <row r="5786">
      <c r="J5786">
        <f>IFERROR(__xludf.DUMMYFUNCTION("""COMPUTED_VALUE"""),"St. John's, Newfoundland and Labrador, Canada; Halifax, Nova Scotia, Canada; Charlottetown, Prince Edward Island, Canada")</f>
        <v/>
      </c>
      <c r="K5786">
        <f>IFERROR(__xludf.DUMMYFUNCTION("""COMPUTED_VALUE"""),7506.32)</f>
        <v/>
      </c>
    </row>
    <row r="5787">
      <c r="J5787">
        <f>IFERROR(__xludf.DUMMYFUNCTION("""COMPUTED_VALUE"""),"Dallas, Texas, United States of America")</f>
        <v/>
      </c>
      <c r="K5787">
        <f>IFERROR(__xludf.DUMMYFUNCTION("""COMPUTED_VALUE"""),7505.62)</f>
        <v/>
      </c>
    </row>
    <row r="5788">
      <c r="J5788">
        <f>IFERROR(__xludf.DUMMYFUNCTION("""COMPUTED_VALUE"""),"Vancouver, B.C.; Ottawa and Montréal.")</f>
        <v/>
      </c>
      <c r="K5788">
        <f>IFERROR(__xludf.DUMMYFUNCTION("""COMPUTED_VALUE"""),7505.39)</f>
        <v/>
      </c>
    </row>
    <row r="5789">
      <c r="J5789">
        <f>IFERROR(__xludf.DUMMYFUNCTION("""COMPUTED_VALUE"""),"Paris, France
Frankfurt, Germany")</f>
        <v/>
      </c>
      <c r="K5789">
        <f>IFERROR(__xludf.DUMMYFUNCTION("""COMPUTED_VALUE"""),7505.15)</f>
        <v/>
      </c>
    </row>
    <row r="5790">
      <c r="J5790">
        <f>IFERROR(__xludf.DUMMYFUNCTION("""COMPUTED_VALUE"""),"Utrecht, Netherlands")</f>
        <v/>
      </c>
      <c r="K5790">
        <f>IFERROR(__xludf.DUMMYFUNCTION("""COMPUTED_VALUE"""),7504.2)</f>
        <v/>
      </c>
    </row>
    <row r="5791">
      <c r="J5791">
        <f>IFERROR(__xludf.DUMMYFUNCTION("""COMPUTED_VALUE"""),"St. John's, Newfoundland and Labrador, Canada / Halifax, Nova Scotia, Canada / Moncton, New Brunswick, Canada")</f>
        <v/>
      </c>
      <c r="K5791">
        <f>IFERROR(__xludf.DUMMYFUNCTION("""COMPUTED_VALUE"""),7502.05999999999)</f>
        <v/>
      </c>
    </row>
    <row r="5792">
      <c r="J5792">
        <f>IFERROR(__xludf.DUMMYFUNCTION("""COMPUTED_VALUE"""),"Ottawa - Calgary")</f>
        <v/>
      </c>
      <c r="K5792">
        <f>IFERROR(__xludf.DUMMYFUNCTION("""COMPUTED_VALUE"""),7501.73)</f>
        <v/>
      </c>
    </row>
    <row r="5793">
      <c r="J5793">
        <f>IFERROR(__xludf.DUMMYFUNCTION("""COMPUTED_VALUE"""),"Edmonton / Wainwright")</f>
        <v/>
      </c>
      <c r="K5793">
        <f>IFERROR(__xludf.DUMMYFUNCTION("""COMPUTED_VALUE"""),7501.38)</f>
        <v/>
      </c>
    </row>
    <row r="5794">
      <c r="J5794">
        <f>IFERROR(__xludf.DUMMYFUNCTION("""COMPUTED_VALUE"""),"Montréal, QC Paris, France")</f>
        <v/>
      </c>
      <c r="K5794">
        <f>IFERROR(__xludf.DUMMYFUNCTION("""COMPUTED_VALUE"""),7499.55)</f>
        <v/>
      </c>
    </row>
    <row r="5795">
      <c r="J5795">
        <f>IFERROR(__xludf.DUMMYFUNCTION("""COMPUTED_VALUE"""),"Beijing, Shenyang, Shanghai (China)")</f>
        <v/>
      </c>
      <c r="K5795">
        <f>IFERROR(__xludf.DUMMYFUNCTION("""COMPUTED_VALUE"""),7498.96)</f>
        <v/>
      </c>
    </row>
    <row r="5796">
      <c r="J5796">
        <f>IFERROR(__xludf.DUMMYFUNCTION("""COMPUTED_VALUE"""),"Saudi Arabia, Jordan and Paris")</f>
        <v/>
      </c>
      <c r="K5796">
        <f>IFERROR(__xludf.DUMMYFUNCTION("""COMPUTED_VALUE"""),7498.53)</f>
        <v/>
      </c>
    </row>
    <row r="5797">
      <c r="J5797">
        <f>IFERROR(__xludf.DUMMYFUNCTION("""COMPUTED_VALUE"""),"Chicago, Illinois, United-States")</f>
        <v/>
      </c>
      <c r="K5797">
        <f>IFERROR(__xludf.DUMMYFUNCTION("""COMPUTED_VALUE"""),7497.11)</f>
        <v/>
      </c>
    </row>
    <row r="5798">
      <c r="J5798">
        <f>IFERROR(__xludf.DUMMYFUNCTION("""COMPUTED_VALUE"""),"Cornwall, Ontario")</f>
        <v/>
      </c>
      <c r="K5798">
        <f>IFERROR(__xludf.DUMMYFUNCTION("""COMPUTED_VALUE"""),7493.05999999999)</f>
        <v/>
      </c>
    </row>
    <row r="5799">
      <c r="J5799">
        <f>IFERROR(__xludf.DUMMYFUNCTION("""COMPUTED_VALUE"""),"Paris - New York - Toronto - Ottawa - Paris")</f>
        <v/>
      </c>
      <c r="K5799">
        <f>IFERROR(__xludf.DUMMYFUNCTION("""COMPUTED_VALUE"""),7491.75)</f>
        <v/>
      </c>
    </row>
    <row r="5800">
      <c r="J5800">
        <f>IFERROR(__xludf.DUMMYFUNCTION("""COMPUTED_VALUE"""),"Surrey, British Columbia, Canada / Victoria, British Columbia, Canada")</f>
        <v/>
      </c>
      <c r="K5800">
        <f>IFERROR(__xludf.DUMMYFUNCTION("""COMPUTED_VALUE"""),7491.18)</f>
        <v/>
      </c>
    </row>
    <row r="5801">
      <c r="J5801">
        <f>IFERROR(__xludf.DUMMYFUNCTION("""COMPUTED_VALUE"""),"Shawinigan / Regina / Winnipeg")</f>
        <v/>
      </c>
      <c r="K5801">
        <f>IFERROR(__xludf.DUMMYFUNCTION("""COMPUTED_VALUE"""),7489.92)</f>
        <v/>
      </c>
    </row>
    <row r="5802">
      <c r="J5802">
        <f>IFERROR(__xludf.DUMMYFUNCTION("""COMPUTED_VALUE"""),"India, Israel")</f>
        <v/>
      </c>
      <c r="K5802">
        <f>IFERROR(__xludf.DUMMYFUNCTION("""COMPUTED_VALUE"""),7489.44)</f>
        <v/>
      </c>
    </row>
    <row r="5803">
      <c r="J5803">
        <f>IFERROR(__xludf.DUMMYFUNCTION("""COMPUTED_VALUE"""),"Edmunston (New Brunswick) Canada
Fredericton  (New Brunswick) Canada
Moncton (New Brunswick) Canada
Deer Lake (Newfoundland) Canada
St.Johns (Newfoundland) Canada")</f>
        <v/>
      </c>
      <c r="K5803">
        <f>IFERROR(__xludf.DUMMYFUNCTION("""COMPUTED_VALUE"""),7486.95)</f>
        <v/>
      </c>
    </row>
    <row r="5804">
      <c r="J5804">
        <f>IFERROR(__xludf.DUMMYFUNCTION("""COMPUTED_VALUE"""),"Halifax, Nova Scotia, Canada
London, United Kingdom")</f>
        <v/>
      </c>
      <c r="K5804">
        <f>IFERROR(__xludf.DUMMYFUNCTION("""COMPUTED_VALUE"""),7481.19)</f>
        <v/>
      </c>
    </row>
    <row r="5805">
      <c r="J5805">
        <f>IFERROR(__xludf.DUMMYFUNCTION("""COMPUTED_VALUE"""),"Vatican, Rome and Capri")</f>
        <v/>
      </c>
      <c r="K5805">
        <f>IFERROR(__xludf.DUMMYFUNCTION("""COMPUTED_VALUE"""),7480.58)</f>
        <v/>
      </c>
    </row>
    <row r="5806">
      <c r="J5806">
        <f>IFERROR(__xludf.DUMMYFUNCTION("""COMPUTED_VALUE"""),"Netherlands, Italy and Latvia")</f>
        <v/>
      </c>
      <c r="K5806">
        <f>IFERROR(__xludf.DUMMYFUNCTION("""COMPUTED_VALUE"""),7479.86)</f>
        <v/>
      </c>
    </row>
    <row r="5807">
      <c r="J5807">
        <f>IFERROR(__xludf.DUMMYFUNCTION("""COMPUTED_VALUE"""),"Vienna and Budapest")</f>
        <v/>
      </c>
      <c r="K5807">
        <f>IFERROR(__xludf.DUMMYFUNCTION("""COMPUTED_VALUE"""),7479.26)</f>
        <v/>
      </c>
    </row>
    <row r="5808">
      <c r="J5808">
        <f>IFERROR(__xludf.DUMMYFUNCTION("""COMPUTED_VALUE"""),"Ottawa, ON and Munich, Germany")</f>
        <v/>
      </c>
      <c r="K5808">
        <f>IFERROR(__xludf.DUMMYFUNCTION("""COMPUTED_VALUE"""),7474.97)</f>
        <v/>
      </c>
    </row>
    <row r="5809">
      <c r="J5809">
        <f>IFERROR(__xludf.DUMMYFUNCTION("""COMPUTED_VALUE"""),"Beijing.")</f>
        <v/>
      </c>
      <c r="K5809">
        <f>IFERROR(__xludf.DUMMYFUNCTION("""COMPUTED_VALUE"""),7473.03)</f>
        <v/>
      </c>
    </row>
    <row r="5810">
      <c r="J5810">
        <f>IFERROR(__xludf.DUMMYFUNCTION("""COMPUTED_VALUE"""),"Beijing - China")</f>
        <v/>
      </c>
      <c r="K5810">
        <f>IFERROR(__xludf.DUMMYFUNCTION("""COMPUTED_VALUE"""),7471.34)</f>
        <v/>
      </c>
    </row>
    <row r="5811">
      <c r="J5811">
        <f>IFERROR(__xludf.DUMMYFUNCTION("""COMPUTED_VALUE"""),"Berlin and St-Petersburg")</f>
        <v/>
      </c>
      <c r="K5811">
        <f>IFERROR(__xludf.DUMMYFUNCTION("""COMPUTED_VALUE"""),7466.13)</f>
        <v/>
      </c>
    </row>
    <row r="5812">
      <c r="J5812">
        <f>IFERROR(__xludf.DUMMYFUNCTION("""COMPUTED_VALUE"""),"Portsmouth, London, Southhampton, Glasgow")</f>
        <v/>
      </c>
      <c r="K5812">
        <f>IFERROR(__xludf.DUMMYFUNCTION("""COMPUTED_VALUE"""),7465.64)</f>
        <v/>
      </c>
    </row>
    <row r="5813">
      <c r="J5813">
        <f>IFERROR(__xludf.DUMMYFUNCTION("""COMPUTED_VALUE"""),"Kitchener/Waterloo - Toronto - Ottawa")</f>
        <v/>
      </c>
      <c r="K5813">
        <f>IFERROR(__xludf.DUMMYFUNCTION("""COMPUTED_VALUE"""),7465.63)</f>
        <v/>
      </c>
    </row>
    <row r="5814">
      <c r="J5814">
        <f>IFERROR(__xludf.DUMMYFUNCTION("""COMPUTED_VALUE"""),"San Francisco, Los Angeles, Phoenix")</f>
        <v/>
      </c>
      <c r="K5814">
        <f>IFERROR(__xludf.DUMMYFUNCTION("""COMPUTED_VALUE"""),7464.02)</f>
        <v/>
      </c>
    </row>
    <row r="5815">
      <c r="J5815">
        <f>IFERROR(__xludf.DUMMYFUNCTION("""COMPUTED_VALUE"""),"Melbourne, Australia; Canberra, Australia")</f>
        <v/>
      </c>
      <c r="K5815">
        <f>IFERROR(__xludf.DUMMYFUNCTION("""COMPUTED_VALUE"""),7461.78)</f>
        <v/>
      </c>
    </row>
    <row r="5816">
      <c r="J5816">
        <f>IFERROR(__xludf.DUMMYFUNCTION("""COMPUTED_VALUE"""),"Hanover Germany")</f>
        <v/>
      </c>
      <c r="K5816">
        <f>IFERROR(__xludf.DUMMYFUNCTION("""COMPUTED_VALUE"""),7460.55)</f>
        <v/>
      </c>
    </row>
    <row r="5817">
      <c r="J5817">
        <f>IFERROR(__xludf.DUMMYFUNCTION("""COMPUTED_VALUE"""),"Toronto, Ontario / Vancouver, British Columbia / Calgary, Alberta")</f>
        <v/>
      </c>
      <c r="K5817">
        <f>IFERROR(__xludf.DUMMYFUNCTION("""COMPUTED_VALUE"""),7459.5)</f>
        <v/>
      </c>
    </row>
    <row r="5818">
      <c r="J5818">
        <f>IFERROR(__xludf.DUMMYFUNCTION("""COMPUTED_VALUE"""),"Vancouver, BC - Dawson Creek, BC")</f>
        <v/>
      </c>
      <c r="K5818">
        <f>IFERROR(__xludf.DUMMYFUNCTION("""COMPUTED_VALUE"""),7459.05)</f>
        <v/>
      </c>
    </row>
    <row r="5819">
      <c r="J5819">
        <f>IFERROR(__xludf.DUMMYFUNCTION("""COMPUTED_VALUE"""),"London, United Kingdom; Edinburgh, Scotland")</f>
        <v/>
      </c>
      <c r="K5819">
        <f>IFERROR(__xludf.DUMMYFUNCTION("""COMPUTED_VALUE"""),7457.85)</f>
        <v/>
      </c>
    </row>
    <row r="5820">
      <c r="J5820">
        <f>IFERROR(__xludf.DUMMYFUNCTION("""COMPUTED_VALUE"""),"Calgary, AB; Surrey, BC")</f>
        <v/>
      </c>
      <c r="K5820">
        <f>IFERROR(__xludf.DUMMYFUNCTION("""COMPUTED_VALUE"""),7456.83)</f>
        <v/>
      </c>
    </row>
    <row r="5821">
      <c r="J5821">
        <f>IFERROR(__xludf.DUMMYFUNCTION("""COMPUTED_VALUE"""),"Beijing, Shanghai, Nanjing, Guangzhou, China, and Hong Kong")</f>
        <v/>
      </c>
      <c r="K5821">
        <f>IFERROR(__xludf.DUMMYFUNCTION("""COMPUTED_VALUE"""),7454.08)</f>
        <v/>
      </c>
    </row>
    <row r="5822">
      <c r="J5822">
        <f>IFERROR(__xludf.DUMMYFUNCTION("""COMPUTED_VALUE"""),"Prince George, British Columbia")</f>
        <v/>
      </c>
      <c r="K5822">
        <f>IFERROR(__xludf.DUMMYFUNCTION("""COMPUTED_VALUE"""),7453.99)</f>
        <v/>
      </c>
    </row>
    <row r="5823">
      <c r="J5823">
        <f>IFERROR(__xludf.DUMMYFUNCTION("""COMPUTED_VALUE"""),"Whitby, ON")</f>
        <v/>
      </c>
      <c r="K5823">
        <f>IFERROR(__xludf.DUMMYFUNCTION("""COMPUTED_VALUE"""),7453.94999999999)</f>
        <v/>
      </c>
    </row>
    <row r="5824">
      <c r="J5824">
        <f>IFERROR(__xludf.DUMMYFUNCTION("""COMPUTED_VALUE"""),"Halifax, NS; St. John's, NL")</f>
        <v/>
      </c>
      <c r="K5824">
        <f>IFERROR(__xludf.DUMMYFUNCTION("""COMPUTED_VALUE"""),7453.47)</f>
        <v/>
      </c>
    </row>
    <row r="5825">
      <c r="J5825">
        <f>IFERROR(__xludf.DUMMYFUNCTION("""COMPUTED_VALUE"""),"Miami, Florida, United-States")</f>
        <v/>
      </c>
      <c r="K5825">
        <f>IFERROR(__xludf.DUMMYFUNCTION("""COMPUTED_VALUE"""),7453.4)</f>
        <v/>
      </c>
    </row>
    <row r="5826">
      <c r="J5826">
        <f>IFERROR(__xludf.DUMMYFUNCTION("""COMPUTED_VALUE"""),"Orford, Quebec, Canada")</f>
        <v/>
      </c>
      <c r="K5826">
        <f>IFERROR(__xludf.DUMMYFUNCTION("""COMPUTED_VALUE"""),7452.32)</f>
        <v/>
      </c>
    </row>
    <row r="5827">
      <c r="J5827">
        <f>IFERROR(__xludf.DUMMYFUNCTION("""COMPUTED_VALUE"""),"Ottawa, ON, Canada &amp; Vancouver, BC, Canada")</f>
        <v/>
      </c>
      <c r="K5827">
        <f>IFERROR(__xludf.DUMMYFUNCTION("""COMPUTED_VALUE"""),7452.04)</f>
        <v/>
      </c>
    </row>
    <row r="5828">
      <c r="J5828">
        <f>IFERROR(__xludf.DUMMYFUNCTION("""COMPUTED_VALUE"""),"Mombassa, Kenya")</f>
        <v/>
      </c>
      <c r="K5828">
        <f>IFERROR(__xludf.DUMMYFUNCTION("""COMPUTED_VALUE"""),7451.94)</f>
        <v/>
      </c>
    </row>
    <row r="5829">
      <c r="J5829">
        <f>IFERROR(__xludf.DUMMYFUNCTION("""COMPUTED_VALUE"""),"Brussel, Belgium and London, UK")</f>
        <v/>
      </c>
      <c r="K5829">
        <f>IFERROR(__xludf.DUMMYFUNCTION("""COMPUTED_VALUE"""),7449.67)</f>
        <v/>
      </c>
    </row>
    <row r="5830">
      <c r="J5830">
        <f>IFERROR(__xludf.DUMMYFUNCTION("""COMPUTED_VALUE"""),"Washington, DC/Ottawa, ON")</f>
        <v/>
      </c>
      <c r="K5830">
        <f>IFERROR(__xludf.DUMMYFUNCTION("""COMPUTED_VALUE"""),7448.75)</f>
        <v/>
      </c>
    </row>
    <row r="5831">
      <c r="J5831">
        <f>IFERROR(__xludf.DUMMYFUNCTION("""COMPUTED_VALUE"""),"Italy and Czech Republic")</f>
        <v/>
      </c>
      <c r="K5831">
        <f>IFERROR(__xludf.DUMMYFUNCTION("""COMPUTED_VALUE"""),7444.7)</f>
        <v/>
      </c>
    </row>
    <row r="5832">
      <c r="J5832">
        <f>IFERROR(__xludf.DUMMYFUNCTION("""COMPUTED_VALUE"""),"Arlington, United States")</f>
        <v/>
      </c>
      <c r="K5832">
        <f>IFERROR(__xludf.DUMMYFUNCTION("""COMPUTED_VALUE"""),7444.12)</f>
        <v/>
      </c>
    </row>
    <row r="5833">
      <c r="J5833">
        <f>IFERROR(__xludf.DUMMYFUNCTION("""COMPUTED_VALUE"""),"Vancouver, BC; Paris, France")</f>
        <v/>
      </c>
      <c r="K5833">
        <f>IFERROR(__xludf.DUMMYFUNCTION("""COMPUTED_VALUE"""),7441.51)</f>
        <v/>
      </c>
    </row>
    <row r="5834">
      <c r="J5834">
        <f>IFERROR(__xludf.DUMMYFUNCTION("""COMPUTED_VALUE"""),"Oxford, Cambridge, London UK")</f>
        <v/>
      </c>
      <c r="K5834">
        <f>IFERROR(__xludf.DUMMYFUNCTION("""COMPUTED_VALUE"""),7441.5)</f>
        <v/>
      </c>
    </row>
    <row r="5835">
      <c r="J5835">
        <f>IFERROR(__xludf.DUMMYFUNCTION("""COMPUTED_VALUE"""),"Vienna (Austria)")</f>
        <v/>
      </c>
      <c r="K5835">
        <f>IFERROR(__xludf.DUMMYFUNCTION("""COMPUTED_VALUE"""),7438.7)</f>
        <v/>
      </c>
    </row>
    <row r="5836">
      <c r="J5836">
        <f>IFERROR(__xludf.DUMMYFUNCTION("""COMPUTED_VALUE"""),"Copenahgen, Denmark")</f>
        <v/>
      </c>
      <c r="K5836">
        <f>IFERROR(__xludf.DUMMYFUNCTION("""COMPUTED_VALUE"""),7437.38)</f>
        <v/>
      </c>
    </row>
    <row r="5837">
      <c r="J5837">
        <f>IFERROR(__xludf.DUMMYFUNCTION("""COMPUTED_VALUE"""),"Travel Beijing-Ottawa")</f>
        <v/>
      </c>
      <c r="K5837">
        <f>IFERROR(__xludf.DUMMYFUNCTION("""COMPUTED_VALUE"""),7434.91)</f>
        <v/>
      </c>
    </row>
    <row r="5838">
      <c r="J5838">
        <f>IFERROR(__xludf.DUMMYFUNCTION("""COMPUTED_VALUE"""),"New York, New York State, United States")</f>
        <v/>
      </c>
      <c r="K5838">
        <f>IFERROR(__xludf.DUMMYFUNCTION("""COMPUTED_VALUE"""),7433.64)</f>
        <v/>
      </c>
    </row>
    <row r="5839">
      <c r="J5839">
        <f>IFERROR(__xludf.DUMMYFUNCTION("""COMPUTED_VALUE"""),"Vancouver, British Columbia, Canada                                    Calgary, Alberta, Canada")</f>
        <v/>
      </c>
      <c r="K5839">
        <f>IFERROR(__xludf.DUMMYFUNCTION("""COMPUTED_VALUE"""),7432.77)</f>
        <v/>
      </c>
    </row>
    <row r="5840">
      <c r="J5840">
        <f>IFERROR(__xludf.DUMMYFUNCTION("""COMPUTED_VALUE"""),"Whitehorse, Yukon and Vancouver, British Columbia")</f>
        <v/>
      </c>
      <c r="K5840">
        <f>IFERROR(__xludf.DUMMYFUNCTION("""COMPUTED_VALUE"""),7432.03)</f>
        <v/>
      </c>
    </row>
    <row r="5841">
      <c r="J5841">
        <f>IFERROR(__xludf.DUMMYFUNCTION("""COMPUTED_VALUE"""),"South Carolina, USA")</f>
        <v/>
      </c>
      <c r="K5841">
        <f>IFERROR(__xludf.DUMMYFUNCTION("""COMPUTED_VALUE"""),7430.77)</f>
        <v/>
      </c>
    </row>
    <row r="5842">
      <c r="J5842">
        <f>IFERROR(__xludf.DUMMYFUNCTION("""COMPUTED_VALUE"""),"Edinburgh")</f>
        <v/>
      </c>
      <c r="K5842">
        <f>IFERROR(__xludf.DUMMYFUNCTION("""COMPUTED_VALUE"""),7428.84)</f>
        <v/>
      </c>
    </row>
    <row r="5843">
      <c r="J5843">
        <f>IFERROR(__xludf.DUMMYFUNCTION("""COMPUTED_VALUE"""),"Lucerne")</f>
        <v/>
      </c>
      <c r="K5843">
        <f>IFERROR(__xludf.DUMMYFUNCTION("""COMPUTED_VALUE"""),7425.82)</f>
        <v/>
      </c>
    </row>
    <row r="5844">
      <c r="J5844">
        <f>IFERROR(__xludf.DUMMYFUNCTION("""COMPUTED_VALUE"""),"Vancouver Kelowna &amp; Edmonton, British Columbia &amp; Alberta, Canada")</f>
        <v/>
      </c>
      <c r="K5844">
        <f>IFERROR(__xludf.DUMMYFUNCTION("""COMPUTED_VALUE"""),7422.31)</f>
        <v/>
      </c>
    </row>
    <row r="5845">
      <c r="J5845">
        <f>IFERROR(__xludf.DUMMYFUNCTION("""COMPUTED_VALUE"""),"Sault-Ste-Marie, Ontario, Canada")</f>
        <v/>
      </c>
      <c r="K5845">
        <f>IFERROR(__xludf.DUMMYFUNCTION("""COMPUTED_VALUE"""),7419.84)</f>
        <v/>
      </c>
    </row>
    <row r="5846">
      <c r="J5846">
        <f>IFERROR(__xludf.DUMMYFUNCTION("""COMPUTED_VALUE"""),"Pearl Harbour Hawaii")</f>
        <v/>
      </c>
      <c r="K5846">
        <f>IFERROR(__xludf.DUMMYFUNCTION("""COMPUTED_VALUE"""),7415.65)</f>
        <v/>
      </c>
    </row>
    <row r="5847">
      <c r="J5847">
        <f>IFERROR(__xludf.DUMMYFUNCTION("""COMPUTED_VALUE"""),"Dublin, Ireland, London, England")</f>
        <v/>
      </c>
      <c r="K5847">
        <f>IFERROR(__xludf.DUMMYFUNCTION("""COMPUTED_VALUE"""),7415.62)</f>
        <v/>
      </c>
    </row>
    <row r="5848">
      <c r="J5848">
        <f>IFERROR(__xludf.DUMMYFUNCTION("""COMPUTED_VALUE"""),"London, United Kingdom and Brussels, Belgium")</f>
        <v/>
      </c>
      <c r="K5848">
        <f>IFERROR(__xludf.DUMMYFUNCTION("""COMPUTED_VALUE"""),7415.53)</f>
        <v/>
      </c>
    </row>
    <row r="5849">
      <c r="J5849">
        <f>IFERROR(__xludf.DUMMYFUNCTION("""COMPUTED_VALUE"""),"Jakarta in Indonesia and Singapore")</f>
        <v/>
      </c>
      <c r="K5849">
        <f>IFERROR(__xludf.DUMMYFUNCTION("""COMPUTED_VALUE"""),7412.98)</f>
        <v/>
      </c>
    </row>
    <row r="5850">
      <c r="J5850">
        <f>IFERROR(__xludf.DUMMYFUNCTION("""COMPUTED_VALUE"""),"Penticton, British Columbia")</f>
        <v/>
      </c>
      <c r="K5850">
        <f>IFERROR(__xludf.DUMMYFUNCTION("""COMPUTED_VALUE"""),7412.53)</f>
        <v/>
      </c>
    </row>
    <row r="5851">
      <c r="J5851">
        <f>IFERROR(__xludf.DUMMYFUNCTION("""COMPUTED_VALUE"""),"Belgique")</f>
        <v/>
      </c>
      <c r="K5851">
        <f>IFERROR(__xludf.DUMMYFUNCTION("""COMPUTED_VALUE"""),7412.27)</f>
        <v/>
      </c>
    </row>
    <row r="5852">
      <c r="J5852">
        <f>IFERROR(__xludf.DUMMYFUNCTION("""COMPUTED_VALUE"""),"Salt Lake City, UT")</f>
        <v/>
      </c>
      <c r="K5852">
        <f>IFERROR(__xludf.DUMMYFUNCTION("""COMPUTED_VALUE"""),7411.75)</f>
        <v/>
      </c>
    </row>
    <row r="5853">
      <c r="J5853">
        <f>IFERROR(__xludf.DUMMYFUNCTION("""COMPUTED_VALUE"""),"Montreal and Vancouver")</f>
        <v/>
      </c>
      <c r="K5853">
        <f>IFERROR(__xludf.DUMMYFUNCTION("""COMPUTED_VALUE"""),7407.65)</f>
        <v/>
      </c>
    </row>
    <row r="5854">
      <c r="J5854">
        <f>IFERROR(__xludf.DUMMYFUNCTION("""COMPUTED_VALUE"""),"Moncton, New Brunswick;
Truro, Nova Scotia;
Vancouver, British Columbia")</f>
        <v/>
      </c>
      <c r="K5854">
        <f>IFERROR(__xludf.DUMMYFUNCTION("""COMPUTED_VALUE"""),7406.38)</f>
        <v/>
      </c>
    </row>
    <row r="5855">
      <c r="J5855">
        <f>IFERROR(__xludf.DUMMYFUNCTION("""COMPUTED_VALUE"""),"Prague (Czech Republic) and  London (UK)")</f>
        <v/>
      </c>
      <c r="K5855">
        <f>IFERROR(__xludf.DUMMYFUNCTION("""COMPUTED_VALUE"""),7403.5)</f>
        <v/>
      </c>
    </row>
    <row r="5856">
      <c r="J5856">
        <f>IFERROR(__xludf.DUMMYFUNCTION("""COMPUTED_VALUE"""),"Fort McMurray, Alberta, Canada; St. John's, Newfoundland and Labrador, Canada")</f>
        <v/>
      </c>
      <c r="K5856">
        <f>IFERROR(__xludf.DUMMYFUNCTION("""COMPUTED_VALUE"""),7397.94)</f>
        <v/>
      </c>
    </row>
    <row r="5857">
      <c r="J5857">
        <f>IFERROR(__xludf.DUMMYFUNCTION("""COMPUTED_VALUE"""),"Mexico; Texas &amp; Florida, United States")</f>
        <v/>
      </c>
      <c r="K5857">
        <f>IFERROR(__xludf.DUMMYFUNCTION("""COMPUTED_VALUE"""),7397.54)</f>
        <v/>
      </c>
    </row>
    <row r="5858">
      <c r="J5858">
        <f>IFERROR(__xludf.DUMMYFUNCTION("""COMPUTED_VALUE"""),"Calgary, AB, Toronto, ON, Washington, DC, USA")</f>
        <v/>
      </c>
      <c r="K5858">
        <f>IFERROR(__xludf.DUMMYFUNCTION("""COMPUTED_VALUE"""),7396.96)</f>
        <v/>
      </c>
    </row>
    <row r="5859">
      <c r="J5859">
        <f>IFERROR(__xludf.DUMMYFUNCTION("""COMPUTED_VALUE"""),"Esquimalt, Edmonton")</f>
        <v/>
      </c>
      <c r="K5859">
        <f>IFERROR(__xludf.DUMMYFUNCTION("""COMPUTED_VALUE"""),7396.85)</f>
        <v/>
      </c>
    </row>
    <row r="5860">
      <c r="J5860">
        <f>IFERROR(__xludf.DUMMYFUNCTION("""COMPUTED_VALUE"""),"London, UK and Qingdao, China")</f>
        <v/>
      </c>
      <c r="K5860">
        <f>IFERROR(__xludf.DUMMYFUNCTION("""COMPUTED_VALUE"""),7395.41)</f>
        <v/>
      </c>
    </row>
    <row r="5861">
      <c r="J5861">
        <f>IFERROR(__xludf.DUMMYFUNCTION("""COMPUTED_VALUE"""),"Dubrovnik")</f>
        <v/>
      </c>
      <c r="K5861">
        <f>IFERROR(__xludf.DUMMYFUNCTION("""COMPUTED_VALUE"""),7393.93)</f>
        <v/>
      </c>
    </row>
    <row r="5862">
      <c r="J5862">
        <f>IFERROR(__xludf.DUMMYFUNCTION("""COMPUTED_VALUE"""),"Munich, Germany.")</f>
        <v/>
      </c>
      <c r="K5862">
        <f>IFERROR(__xludf.DUMMYFUNCTION("""COMPUTED_VALUE"""),7392.79)</f>
        <v/>
      </c>
    </row>
    <row r="5863">
      <c r="J5863">
        <f>IFERROR(__xludf.DUMMYFUNCTION("""COMPUTED_VALUE"""),"Montreal, Quebec, Canada; Las Vegas, Nevada, United States")</f>
        <v/>
      </c>
      <c r="K5863">
        <f>IFERROR(__xludf.DUMMYFUNCTION("""COMPUTED_VALUE"""),7390.53)</f>
        <v/>
      </c>
    </row>
    <row r="5864">
      <c r="J5864">
        <f>IFERROR(__xludf.DUMMYFUNCTION("""COMPUTED_VALUE"""),"Victoria, British Columbia - Iqaluit, Nunavut")</f>
        <v/>
      </c>
      <c r="K5864">
        <f>IFERROR(__xludf.DUMMYFUNCTION("""COMPUTED_VALUE"""),7390.38999999999)</f>
        <v/>
      </c>
    </row>
    <row r="5865">
      <c r="J5865">
        <f>IFERROR(__xludf.DUMMYFUNCTION("""COMPUTED_VALUE"""),"Chisasibi, Québec, Canada")</f>
        <v/>
      </c>
      <c r="K5865">
        <f>IFERROR(__xludf.DUMMYFUNCTION("""COMPUTED_VALUE"""),7390.21999999999)</f>
        <v/>
      </c>
    </row>
    <row r="5866">
      <c r="J5866">
        <f>IFERROR(__xludf.DUMMYFUNCTION("""COMPUTED_VALUE"""),"Apeldoorn, Netherlands")</f>
        <v/>
      </c>
      <c r="K5866">
        <f>IFERROR(__xludf.DUMMYFUNCTION("""COMPUTED_VALUE"""),7388.1)</f>
        <v/>
      </c>
    </row>
    <row r="5867">
      <c r="J5867">
        <f>IFERROR(__xludf.DUMMYFUNCTION("""COMPUTED_VALUE"""),"Halifax, Nova Scotia, Canada; St. John's, Newfoundland and Labrador, Canada; Charlottetown, Prince Edward Island, Canada; Saint John, New Brunswick, Canada")</f>
        <v/>
      </c>
      <c r="K5867">
        <f>IFERROR(__xludf.DUMMYFUNCTION("""COMPUTED_VALUE"""),7386.75)</f>
        <v/>
      </c>
    </row>
    <row r="5868">
      <c r="J5868">
        <f>IFERROR(__xludf.DUMMYFUNCTION("""COMPUTED_VALUE"""),"Winnipeg, Calgary")</f>
        <v/>
      </c>
      <c r="K5868">
        <f>IFERROR(__xludf.DUMMYFUNCTION("""COMPUTED_VALUE"""),7384.69)</f>
        <v/>
      </c>
    </row>
    <row r="5869">
      <c r="J5869">
        <f>IFERROR(__xludf.DUMMYFUNCTION("""COMPUTED_VALUE"""),"Brussels, Oslo, Helsinki")</f>
        <v/>
      </c>
      <c r="K5869">
        <f>IFERROR(__xludf.DUMMYFUNCTION("""COMPUTED_VALUE"""),7383.2)</f>
        <v/>
      </c>
    </row>
    <row r="5870">
      <c r="J5870">
        <f>IFERROR(__xludf.DUMMYFUNCTION("""COMPUTED_VALUE"""),"Charlottetown, Prince-Edward-Island Moncton, St.john's, Newfoundland, Saint John, New Brunswick, Canada")</f>
        <v/>
      </c>
      <c r="K5870">
        <f>IFERROR(__xludf.DUMMYFUNCTION("""COMPUTED_VALUE"""),7381.88)</f>
        <v/>
      </c>
    </row>
    <row r="5871">
      <c r="J5871">
        <f>IFERROR(__xludf.DUMMYFUNCTION("""COMPUTED_VALUE"""),"Trujillo (La Libertad) Peru")</f>
        <v/>
      </c>
      <c r="K5871">
        <f>IFERROR(__xludf.DUMMYFUNCTION("""COMPUTED_VALUE"""),7380.96)</f>
        <v/>
      </c>
    </row>
    <row r="5872">
      <c r="J5872">
        <f>IFERROR(__xludf.DUMMYFUNCTION("""COMPUTED_VALUE"""),"Montreal, Quebec, Canada / Toronto, Ontario, Canada")</f>
        <v/>
      </c>
      <c r="K5872">
        <f>IFERROR(__xludf.DUMMYFUNCTION("""COMPUTED_VALUE"""),7380.36999999999)</f>
        <v/>
      </c>
    </row>
    <row r="5873">
      <c r="J5873">
        <f>IFERROR(__xludf.DUMMYFUNCTION("""COMPUTED_VALUE"""),"East and West of Canada")</f>
        <v/>
      </c>
      <c r="K5873">
        <f>IFERROR(__xludf.DUMMYFUNCTION("""COMPUTED_VALUE"""),7379.4)</f>
        <v/>
      </c>
    </row>
    <row r="5874">
      <c r="J5874">
        <f>IFERROR(__xludf.DUMMYFUNCTION("""COMPUTED_VALUE"""),"Windsor, Ontario, Canada; Vancouver, British Columbia, Canada; Toronto, Ontario, Canada")</f>
        <v/>
      </c>
      <c r="K5874">
        <f>IFERROR(__xludf.DUMMYFUNCTION("""COMPUTED_VALUE"""),7378.68)</f>
        <v/>
      </c>
    </row>
    <row r="5875">
      <c r="J5875">
        <f>IFERROR(__xludf.DUMMYFUNCTION("""COMPUTED_VALUE"""),"Seoul and Hanoi")</f>
        <v/>
      </c>
      <c r="K5875">
        <f>IFERROR(__xludf.DUMMYFUNCTION("""COMPUTED_VALUE"""),7376.19)</f>
        <v/>
      </c>
    </row>
    <row r="5876">
      <c r="J5876">
        <f>IFERROR(__xludf.DUMMYFUNCTION("""COMPUTED_VALUE"""),"Deer Lake, Newfoundland and Labrador / Victoria, British Columbia / Yellowknife, Northwest Territories / Calgary, Alberta / Winnipeg, Manitoba, Canada")</f>
        <v/>
      </c>
      <c r="K5876">
        <f>IFERROR(__xludf.DUMMYFUNCTION("""COMPUTED_VALUE"""),7376.08)</f>
        <v/>
      </c>
    </row>
    <row r="5877">
      <c r="J5877">
        <f>IFERROR(__xludf.DUMMYFUNCTION("""COMPUTED_VALUE"""),"Cologne, (Germany)")</f>
        <v/>
      </c>
      <c r="K5877">
        <f>IFERROR(__xludf.DUMMYFUNCTION("""COMPUTED_VALUE"""),7375.93)</f>
        <v/>
      </c>
    </row>
    <row r="5878">
      <c r="J5878">
        <f>IFERROR(__xludf.DUMMYFUNCTION("""COMPUTED_VALUE"""),"Grenoble, France")</f>
        <v/>
      </c>
      <c r="K5878">
        <f>IFERROR(__xludf.DUMMYFUNCTION("""COMPUTED_VALUE"""),7374.02)</f>
        <v/>
      </c>
    </row>
    <row r="5879">
      <c r="J5879">
        <f>IFERROR(__xludf.DUMMYFUNCTION("""COMPUTED_VALUE"""),"Frankurt, Germany &amp; Paris, France")</f>
        <v/>
      </c>
      <c r="K5879">
        <f>IFERROR(__xludf.DUMMYFUNCTION("""COMPUTED_VALUE"""),7372.23)</f>
        <v/>
      </c>
    </row>
    <row r="5880">
      <c r="J5880">
        <f>IFERROR(__xludf.DUMMYFUNCTION("""COMPUTED_VALUE"""),"Berlin, Germany; Brussels, Belgium")</f>
        <v/>
      </c>
      <c r="K5880">
        <f>IFERROR(__xludf.DUMMYFUNCTION("""COMPUTED_VALUE"""),7372.09)</f>
        <v/>
      </c>
    </row>
    <row r="5881">
      <c r="J5881">
        <f>IFERROR(__xludf.DUMMYFUNCTION("""COMPUTED_VALUE"""),"Cape-Breton, Nova Scotia, Canada")</f>
        <v/>
      </c>
      <c r="K5881">
        <f>IFERROR(__xludf.DUMMYFUNCTION("""COMPUTED_VALUE"""),7370.86)</f>
        <v/>
      </c>
    </row>
    <row r="5882">
      <c r="J5882">
        <f>IFERROR(__xludf.DUMMYFUNCTION("""COMPUTED_VALUE"""),"Italy, Rome")</f>
        <v/>
      </c>
      <c r="K5882">
        <f>IFERROR(__xludf.DUMMYFUNCTION("""COMPUTED_VALUE"""),7370.75)</f>
        <v/>
      </c>
    </row>
    <row r="5883">
      <c r="J5883">
        <f>IFERROR(__xludf.DUMMYFUNCTION("""COMPUTED_VALUE"""),"Budapest, Hungary; Vienna, Austria;  The Hague, Netherlands; Edinburgh, United Kingdom; London, United Kingdom")</f>
        <v/>
      </c>
      <c r="K5883">
        <f>IFERROR(__xludf.DUMMYFUNCTION("""COMPUTED_VALUE"""),7370.74)</f>
        <v/>
      </c>
    </row>
    <row r="5884">
      <c r="J5884">
        <f>IFERROR(__xludf.DUMMYFUNCTION("""COMPUTED_VALUE"""),"New Jersey and New York")</f>
        <v/>
      </c>
      <c r="K5884">
        <f>IFERROR(__xludf.DUMMYFUNCTION("""COMPUTED_VALUE"""),7370.49)</f>
        <v/>
      </c>
    </row>
    <row r="5885">
      <c r="J5885">
        <f>IFERROR(__xludf.DUMMYFUNCTION("""COMPUTED_VALUE"""),"Moscow, Saint Petersburg, Russian Federation")</f>
        <v/>
      </c>
      <c r="K5885">
        <f>IFERROR(__xludf.DUMMYFUNCTION("""COMPUTED_VALUE"""),7368)</f>
        <v/>
      </c>
    </row>
    <row r="5886">
      <c r="J5886">
        <f>IFERROR(__xludf.DUMMYFUNCTION("""COMPUTED_VALUE"""),"Mumbai, IN / New Delhi, IN / Bangalore, IN")</f>
        <v/>
      </c>
      <c r="K5886">
        <f>IFERROR(__xludf.DUMMYFUNCTION("""COMPUTED_VALUE"""),7365.79)</f>
        <v/>
      </c>
    </row>
    <row r="5887">
      <c r="J5887">
        <f>IFERROR(__xludf.DUMMYFUNCTION("""COMPUTED_VALUE"""),"Montréal, Quebec, Canada; Vancouver, British Columbia, Canada; Calgary, Alberta, Canada; Toronto, Ontario, Canada; Halifax, Nova Scotia, Canada")</f>
        <v/>
      </c>
      <c r="K5887">
        <f>IFERROR(__xludf.DUMMYFUNCTION("""COMPUTED_VALUE"""),7365.26)</f>
        <v/>
      </c>
    </row>
    <row r="5888">
      <c r="J5888">
        <f>IFERROR(__xludf.DUMMYFUNCTION("""COMPUTED_VALUE"""),"Montreux and Berne, Switzerland; Paris, France.")</f>
        <v/>
      </c>
      <c r="K5888">
        <f>IFERROR(__xludf.DUMMYFUNCTION("""COMPUTED_VALUE"""),7364.47)</f>
        <v/>
      </c>
    </row>
    <row r="5889">
      <c r="J5889">
        <f>IFERROR(__xludf.DUMMYFUNCTION("""COMPUTED_VALUE"""),"London, England; Paris")</f>
        <v/>
      </c>
      <c r="K5889">
        <f>IFERROR(__xludf.DUMMYFUNCTION("""COMPUTED_VALUE"""),7363.8)</f>
        <v/>
      </c>
    </row>
    <row r="5890">
      <c r="J5890">
        <f>IFERROR(__xludf.DUMMYFUNCTION("""COMPUTED_VALUE"""),"Sackville, New Brunswick, Canada")</f>
        <v/>
      </c>
      <c r="K5890">
        <f>IFERROR(__xludf.DUMMYFUNCTION("""COMPUTED_VALUE"""),7362.05999999999)</f>
        <v/>
      </c>
    </row>
    <row r="5891">
      <c r="J5891">
        <f>IFERROR(__xludf.DUMMYFUNCTION("""COMPUTED_VALUE"""),"Deer Lake and St. John's, Newfoundland and Labrador / Halifax, Nova Scotia")</f>
        <v/>
      </c>
      <c r="K5891">
        <f>IFERROR(__xludf.DUMMYFUNCTION("""COMPUTED_VALUE"""),7358.37999999999)</f>
        <v/>
      </c>
    </row>
    <row r="5892">
      <c r="J5892">
        <f>IFERROR(__xludf.DUMMYFUNCTION("""COMPUTED_VALUE"""),"Ottawa, ON Wakefield, QC")</f>
        <v/>
      </c>
      <c r="K5892">
        <f>IFERROR(__xludf.DUMMYFUNCTION("""COMPUTED_VALUE"""),7354.55)</f>
        <v/>
      </c>
    </row>
    <row r="5893">
      <c r="J5893">
        <f>IFERROR(__xludf.DUMMYFUNCTION("""COMPUTED_VALUE"""),"Colombia/Mexico")</f>
        <v/>
      </c>
      <c r="K5893">
        <f>IFERROR(__xludf.DUMMYFUNCTION("""COMPUTED_VALUE"""),7354.52)</f>
        <v/>
      </c>
    </row>
    <row r="5894">
      <c r="J5894">
        <f>IFERROR(__xludf.DUMMYFUNCTION("""COMPUTED_VALUE"""),"Genève")</f>
        <v/>
      </c>
      <c r="K5894">
        <f>IFERROR(__xludf.DUMMYFUNCTION("""COMPUTED_VALUE"""),7353.93)</f>
        <v/>
      </c>
    </row>
    <row r="5895">
      <c r="J5895">
        <f>IFERROR(__xludf.DUMMYFUNCTION("""COMPUTED_VALUE"""),"New Glasgow, Nova Scotia, Canada")</f>
        <v/>
      </c>
      <c r="K5895">
        <f>IFERROR(__xludf.DUMMYFUNCTION("""COMPUTED_VALUE"""),7351.68)</f>
        <v/>
      </c>
    </row>
    <row r="5896">
      <c r="J5896">
        <f>IFERROR(__xludf.DUMMYFUNCTION("""COMPUTED_VALUE"""),"Singapore / Japan")</f>
        <v/>
      </c>
      <c r="K5896">
        <f>IFERROR(__xludf.DUMMYFUNCTION("""COMPUTED_VALUE"""),7350.51)</f>
        <v/>
      </c>
    </row>
    <row r="5897">
      <c r="J5897">
        <f>IFERROR(__xludf.DUMMYFUNCTION("""COMPUTED_VALUE"""),"Kuujjuaq/Inukjuak/Montreal, Quebec")</f>
        <v/>
      </c>
      <c r="K5897">
        <f>IFERROR(__xludf.DUMMYFUNCTION("""COMPUTED_VALUE"""),7348.56)</f>
        <v/>
      </c>
    </row>
    <row r="5898">
      <c r="J5898">
        <f>IFERROR(__xludf.DUMMYFUNCTION("""COMPUTED_VALUE"""),"Waskesiu, Saskatchewan
Queen Charlotte, British Columbia")</f>
        <v/>
      </c>
      <c r="K5898">
        <f>IFERROR(__xludf.DUMMYFUNCTION("""COMPUTED_VALUE"""),7348.39)</f>
        <v/>
      </c>
    </row>
    <row r="5899">
      <c r="J5899">
        <f>IFERROR(__xludf.DUMMYFUNCTION("""COMPUTED_VALUE"""),"Geneva and Berlin")</f>
        <v/>
      </c>
      <c r="K5899">
        <f>IFERROR(__xludf.DUMMYFUNCTION("""COMPUTED_VALUE"""),7348.21)</f>
        <v/>
      </c>
    </row>
    <row r="5900">
      <c r="J5900">
        <f>IFERROR(__xludf.DUMMYFUNCTION("""COMPUTED_VALUE"""),"Rome, Italy, Europe")</f>
        <v/>
      </c>
      <c r="K5900">
        <f>IFERROR(__xludf.DUMMYFUNCTION("""COMPUTED_VALUE"""),7347.78)</f>
        <v/>
      </c>
    </row>
    <row r="5901">
      <c r="J5901">
        <f>IFERROR(__xludf.DUMMYFUNCTION("""COMPUTED_VALUE"""),"Fontainebleau (via Paris), France")</f>
        <v/>
      </c>
      <c r="K5901">
        <f>IFERROR(__xludf.DUMMYFUNCTION("""COMPUTED_VALUE"""),7346.08)</f>
        <v/>
      </c>
    </row>
    <row r="5902">
      <c r="J5902">
        <f>IFERROR(__xludf.DUMMYFUNCTION("""COMPUTED_VALUE"""),"Buenos Aires, (Argentina)")</f>
        <v/>
      </c>
      <c r="K5902">
        <f>IFERROR(__xludf.DUMMYFUNCTION("""COMPUTED_VALUE"""),7345.4)</f>
        <v/>
      </c>
    </row>
    <row r="5903">
      <c r="J5903">
        <f>IFERROR(__xludf.DUMMYFUNCTION("""COMPUTED_VALUE"""),"New-York, United States")</f>
        <v/>
      </c>
      <c r="K5903">
        <f>IFERROR(__xludf.DUMMYFUNCTION("""COMPUTED_VALUE"""),7345.03)</f>
        <v/>
      </c>
    </row>
    <row r="5904">
      <c r="J5904">
        <f>IFERROR(__xludf.DUMMYFUNCTION("""COMPUTED_VALUE"""),"Scarborough, Ontario, Canada")</f>
        <v/>
      </c>
      <c r="K5904">
        <f>IFERROR(__xludf.DUMMYFUNCTION("""COMPUTED_VALUE"""),7342.68)</f>
        <v/>
      </c>
    </row>
    <row r="5905">
      <c r="J5905">
        <f>IFERROR(__xludf.DUMMYFUNCTION("""COMPUTED_VALUE"""),"Washington DC and Norfolk VA")</f>
        <v/>
      </c>
      <c r="K5905">
        <f>IFERROR(__xludf.DUMMYFUNCTION("""COMPUTED_VALUE"""),7340.35)</f>
        <v/>
      </c>
    </row>
    <row r="5906">
      <c r="J5906">
        <f>IFERROR(__xludf.DUMMYFUNCTION("""COMPUTED_VALUE"""),"Aberdeen and London, United Kingdom")</f>
        <v/>
      </c>
      <c r="K5906">
        <f>IFERROR(__xludf.DUMMYFUNCTION("""COMPUTED_VALUE"""),7338.22)</f>
        <v/>
      </c>
    </row>
    <row r="5907">
      <c r="J5907">
        <f>IFERROR(__xludf.DUMMYFUNCTION("""COMPUTED_VALUE"""),"Vancouver &amp; Prince Rupert &amp; Kitimat, British Columbia")</f>
        <v/>
      </c>
      <c r="K5907">
        <f>IFERROR(__xludf.DUMMYFUNCTION("""COMPUTED_VALUE"""),7336.33)</f>
        <v/>
      </c>
    </row>
    <row r="5908">
      <c r="J5908">
        <f>IFERROR(__xludf.DUMMYFUNCTION("""COMPUTED_VALUE"""),"Smithers, BC")</f>
        <v/>
      </c>
      <c r="K5908">
        <f>IFERROR(__xludf.DUMMYFUNCTION("""COMPUTED_VALUE"""),7336.14)</f>
        <v/>
      </c>
    </row>
    <row r="5909">
      <c r="J5909">
        <f>IFERROR(__xludf.DUMMYFUNCTION("""COMPUTED_VALUE"""),"Berlin, Germany and Brussels, Belgium")</f>
        <v/>
      </c>
      <c r="K5909">
        <f>IFERROR(__xludf.DUMMYFUNCTION("""COMPUTED_VALUE"""),7333.17)</f>
        <v/>
      </c>
    </row>
    <row r="5910">
      <c r="J5910">
        <f>IFERROR(__xludf.DUMMYFUNCTION("""COMPUTED_VALUE"""),"Vancouver, BC - Regina, SK - Saskatoon, SK")</f>
        <v/>
      </c>
      <c r="K5910">
        <f>IFERROR(__xludf.DUMMYFUNCTION("""COMPUTED_VALUE"""),7332.32)</f>
        <v/>
      </c>
    </row>
    <row r="5911">
      <c r="J5911">
        <f>IFERROR(__xludf.DUMMYFUNCTION("""COMPUTED_VALUE"""),"Victoria (BC) Canada")</f>
        <v/>
      </c>
      <c r="K5911">
        <f>IFERROR(__xludf.DUMMYFUNCTION("""COMPUTED_VALUE"""),7330.04)</f>
        <v/>
      </c>
    </row>
    <row r="5912">
      <c r="J5912">
        <f>IFERROR(__xludf.DUMMYFUNCTION("""COMPUTED_VALUE"""),"Ottawa; Toronto; Atlanta")</f>
        <v/>
      </c>
      <c r="K5912">
        <f>IFERROR(__xludf.DUMMYFUNCTION("""COMPUTED_VALUE"""),7329.44)</f>
        <v/>
      </c>
    </row>
    <row r="5913">
      <c r="J5913">
        <f>IFERROR(__xludf.DUMMYFUNCTION("""COMPUTED_VALUE"""),"Winnipeg, Manitoba and Toronto, Ontario")</f>
        <v/>
      </c>
      <c r="K5913">
        <f>IFERROR(__xludf.DUMMYFUNCTION("""COMPUTED_VALUE"""),7325.08)</f>
        <v/>
      </c>
    </row>
    <row r="5914">
      <c r="J5914">
        <f>IFERROR(__xludf.DUMMYFUNCTION("""COMPUTED_VALUE"""),"London, England; Rome, Italy")</f>
        <v/>
      </c>
      <c r="K5914">
        <f>IFERROR(__xludf.DUMMYFUNCTION("""COMPUTED_VALUE"""),7322.65)</f>
        <v/>
      </c>
    </row>
    <row r="5915">
      <c r="J5915">
        <f>IFERROR(__xludf.DUMMYFUNCTION("""COMPUTED_VALUE"""),"Vancouver, British Columbia / Edmonton, Alberta, Canada")</f>
        <v/>
      </c>
      <c r="K5915">
        <f>IFERROR(__xludf.DUMMYFUNCTION("""COMPUTED_VALUE"""),7322.43)</f>
        <v/>
      </c>
    </row>
    <row r="5916">
      <c r="J5916">
        <f>IFERROR(__xludf.DUMMYFUNCTION("""COMPUTED_VALUE"""),"Calgary - Edmonton, AB")</f>
        <v/>
      </c>
      <c r="K5916">
        <f>IFERROR(__xludf.DUMMYFUNCTION("""COMPUTED_VALUE"""),7320.80999999999)</f>
        <v/>
      </c>
    </row>
    <row r="5917">
      <c r="J5917">
        <f>IFERROR(__xludf.DUMMYFUNCTION("""COMPUTED_VALUE"""),"ijing, China; Ulaanbaatar, Mongolia")</f>
        <v/>
      </c>
      <c r="K5917">
        <f>IFERROR(__xludf.DUMMYFUNCTION("""COMPUTED_VALUE"""),7319.89)</f>
        <v/>
      </c>
    </row>
    <row r="5918">
      <c r="J5918">
        <f>IFERROR(__xludf.DUMMYFUNCTION("""COMPUTED_VALUE"""),"Kinshasa, Congo, Abidjan, Ivory Coast, and Paris, France")</f>
        <v/>
      </c>
      <c r="K5918">
        <f>IFERROR(__xludf.DUMMYFUNCTION("""COMPUTED_VALUE"""),7319.35)</f>
        <v/>
      </c>
    </row>
    <row r="5919">
      <c r="J5919">
        <f>IFERROR(__xludf.DUMMYFUNCTION("""COMPUTED_VALUE"""),"Chengdu, Chongqing, Shanghai and Beijing.  Vietiane, Lao")</f>
        <v/>
      </c>
      <c r="K5919">
        <f>IFERROR(__xludf.DUMMYFUNCTION("""COMPUTED_VALUE"""),7316.32)</f>
        <v/>
      </c>
    </row>
    <row r="5920">
      <c r="J5920">
        <f>IFERROR(__xludf.DUMMYFUNCTION("""COMPUTED_VALUE"""),"St. John's, Newfoundland and Labrador, Canada; Toronto, Ontario, Canada")</f>
        <v/>
      </c>
      <c r="K5920">
        <f>IFERROR(__xludf.DUMMYFUNCTION("""COMPUTED_VALUE"""),7314.8)</f>
        <v/>
      </c>
    </row>
    <row r="5921">
      <c r="J5921">
        <f>IFERROR(__xludf.DUMMYFUNCTION("""COMPUTED_VALUE"""),"Mexico city, Mexico")</f>
        <v/>
      </c>
      <c r="K5921">
        <f>IFERROR(__xludf.DUMMYFUNCTION("""COMPUTED_VALUE"""),7314.62)</f>
        <v/>
      </c>
    </row>
    <row r="5922">
      <c r="J5922">
        <f>IFERROR(__xludf.DUMMYFUNCTION("""COMPUTED_VALUE"""),"Phoenix, Arizona USA")</f>
        <v/>
      </c>
      <c r="K5922">
        <f>IFERROR(__xludf.DUMMYFUNCTION("""COMPUTED_VALUE"""),7313.92)</f>
        <v/>
      </c>
    </row>
    <row r="5923">
      <c r="J5923">
        <f>IFERROR(__xludf.DUMMYFUNCTION("""COMPUTED_VALUE"""),"Fredericton, NB
Halifax, NS")</f>
        <v/>
      </c>
      <c r="K5923">
        <f>IFERROR(__xludf.DUMMYFUNCTION("""COMPUTED_VALUE"""),7312.1)</f>
        <v/>
      </c>
    </row>
    <row r="5924">
      <c r="J5924">
        <f>IFERROR(__xludf.DUMMYFUNCTION("""COMPUTED_VALUE"""),"Vancouver, British Columbia, Canada
Esquimalt, British Columbia, Canada
Surrey, British Columbia, Canada
Toronto, Ontario, Canada")</f>
        <v/>
      </c>
      <c r="K5924">
        <f>IFERROR(__xludf.DUMMYFUNCTION("""COMPUTED_VALUE"""),7309.89)</f>
        <v/>
      </c>
    </row>
    <row r="5925">
      <c r="J5925">
        <f>IFERROR(__xludf.DUMMYFUNCTION("""COMPUTED_VALUE"""),"Iqaluit, Nunavut, Canada                                                     Resolute Bay, Nunavut, Canada")</f>
        <v/>
      </c>
      <c r="K5925">
        <f>IFERROR(__xludf.DUMMYFUNCTION("""COMPUTED_VALUE"""),7308.51)</f>
        <v/>
      </c>
    </row>
    <row r="5926">
      <c r="J5926">
        <f>IFERROR(__xludf.DUMMYFUNCTION("""COMPUTED_VALUE"""),"Ottawa, Ontario, Canada; Cornwall, Ontario, Canada")</f>
        <v/>
      </c>
      <c r="K5926">
        <f>IFERROR(__xludf.DUMMYFUNCTION("""COMPUTED_VALUE"""),7308.04)</f>
        <v/>
      </c>
    </row>
    <row r="5927">
      <c r="J5927">
        <f>IFERROR(__xludf.DUMMYFUNCTION("""COMPUTED_VALUE"""),"Whitehorse/Vancouver")</f>
        <v/>
      </c>
      <c r="K5927">
        <f>IFERROR(__xludf.DUMMYFUNCTION("""COMPUTED_VALUE"""),7303.88999999999)</f>
        <v/>
      </c>
    </row>
    <row r="5928">
      <c r="J5928">
        <f>IFERROR(__xludf.DUMMYFUNCTION("""COMPUTED_VALUE"""),"Montreal, QC / Toronto, ON")</f>
        <v/>
      </c>
      <c r="K5928">
        <f>IFERROR(__xludf.DUMMYFUNCTION("""COMPUTED_VALUE"""),7301.51999999999)</f>
        <v/>
      </c>
    </row>
    <row r="5929">
      <c r="J5929">
        <f>IFERROR(__xludf.DUMMYFUNCTION("""COMPUTED_VALUE"""),"Berlin and Muncih")</f>
        <v/>
      </c>
      <c r="K5929">
        <f>IFERROR(__xludf.DUMMYFUNCTION("""COMPUTED_VALUE"""),7299.32)</f>
        <v/>
      </c>
    </row>
    <row r="5930">
      <c r="J5930">
        <f>IFERROR(__xludf.DUMMYFUNCTION("""COMPUTED_VALUE"""),"Miami, Jamaica, Cuba")</f>
        <v/>
      </c>
      <c r="K5930">
        <f>IFERROR(__xludf.DUMMYFUNCTION("""COMPUTED_VALUE"""),7297.4)</f>
        <v/>
      </c>
    </row>
    <row r="5931">
      <c r="J5931">
        <f>IFERROR(__xludf.DUMMYFUNCTION("""COMPUTED_VALUE"""),"Strasbourg")</f>
        <v/>
      </c>
      <c r="K5931">
        <f>IFERROR(__xludf.DUMMYFUNCTION("""COMPUTED_VALUE"""),7296.45)</f>
        <v/>
      </c>
    </row>
    <row r="5932">
      <c r="J5932">
        <f>IFERROR(__xludf.DUMMYFUNCTION("""COMPUTED_VALUE"""),"Arizona &amp; California, United States of America")</f>
        <v/>
      </c>
      <c r="K5932">
        <f>IFERROR(__xludf.DUMMYFUNCTION("""COMPUTED_VALUE"""),7294.15)</f>
        <v/>
      </c>
    </row>
    <row r="5933">
      <c r="J5933">
        <f>IFERROR(__xludf.DUMMYFUNCTION("""COMPUTED_VALUE"""),"Markham, Ontario")</f>
        <v/>
      </c>
      <c r="K5933">
        <f>IFERROR(__xludf.DUMMYFUNCTION("""COMPUTED_VALUE"""),7294.02)</f>
        <v/>
      </c>
    </row>
    <row r="5934">
      <c r="J5934">
        <f>IFERROR(__xludf.DUMMYFUNCTION("""COMPUTED_VALUE"""),"Alberta, Manitoba")</f>
        <v/>
      </c>
      <c r="K5934">
        <f>IFERROR(__xludf.DUMMYFUNCTION("""COMPUTED_VALUE"""),7293.26)</f>
        <v/>
      </c>
    </row>
    <row r="5935">
      <c r="J5935">
        <f>IFERROR(__xludf.DUMMYFUNCTION("""COMPUTED_VALUE"""),"Prince Edward Island and New Brunswick")</f>
        <v/>
      </c>
      <c r="K5935">
        <f>IFERROR(__xludf.DUMMYFUNCTION("""COMPUTED_VALUE"""),7292.62999999999)</f>
        <v/>
      </c>
    </row>
    <row r="5936">
      <c r="J5936">
        <f>IFERROR(__xludf.DUMMYFUNCTION("""COMPUTED_VALUE"""),"AMSTERDAM, NETHERLANDS, EUROPE")</f>
        <v/>
      </c>
      <c r="K5936">
        <f>IFERROR(__xludf.DUMMYFUNCTION("""COMPUTED_VALUE"""),7290.42)</f>
        <v/>
      </c>
    </row>
    <row r="5937">
      <c r="J5937">
        <f>IFERROR(__xludf.DUMMYFUNCTION("""COMPUTED_VALUE"""),"Los Angeles, CA, USA &amp; Victoria, BC &amp; Vancouver, BC, Canada")</f>
        <v/>
      </c>
      <c r="K5937">
        <f>IFERROR(__xludf.DUMMYFUNCTION("""COMPUTED_VALUE"""),7290.34)</f>
        <v/>
      </c>
    </row>
    <row r="5938">
      <c r="J5938">
        <f>IFERROR(__xludf.DUMMYFUNCTION("""COMPUTED_VALUE"""),"Ditchley, UK")</f>
        <v/>
      </c>
      <c r="K5938">
        <f>IFERROR(__xludf.DUMMYFUNCTION("""COMPUTED_VALUE"""),7290.04)</f>
        <v/>
      </c>
    </row>
    <row r="5939">
      <c r="J5939">
        <f>IFERROR(__xludf.DUMMYFUNCTION("""COMPUTED_VALUE"""),"Yellowknife, Inuvik, Northwest Territories, Canada; Vancouver,  British Columbia, Canada")</f>
        <v/>
      </c>
      <c r="K5939">
        <f>IFERROR(__xludf.DUMMYFUNCTION("""COMPUTED_VALUE"""),7289.68)</f>
        <v/>
      </c>
    </row>
    <row r="5940">
      <c r="J5940">
        <f>IFERROR(__xludf.DUMMYFUNCTION("""COMPUTED_VALUE"""),"Vienna. Austria")</f>
        <v/>
      </c>
      <c r="K5940">
        <f>IFERROR(__xludf.DUMMYFUNCTION("""COMPUTED_VALUE"""),7288.2)</f>
        <v/>
      </c>
    </row>
    <row r="5941">
      <c r="J5941">
        <f>IFERROR(__xludf.DUMMYFUNCTION("""COMPUTED_VALUE"""),"Winnipeg MB, Saskatoon SK, Thunder Bay ON, Windsor ON")</f>
        <v/>
      </c>
      <c r="K5941">
        <f>IFERROR(__xludf.DUMMYFUNCTION("""COMPUTED_VALUE"""),7285.77)</f>
        <v/>
      </c>
    </row>
    <row r="5942">
      <c r="J5942">
        <f>IFERROR(__xludf.DUMMYFUNCTION("""COMPUTED_VALUE"""),"Berlin, Moscow")</f>
        <v/>
      </c>
      <c r="K5942">
        <f>IFERROR(__xludf.DUMMYFUNCTION("""COMPUTED_VALUE"""),7281.58)</f>
        <v/>
      </c>
    </row>
    <row r="5943">
      <c r="J5943">
        <f>IFERROR(__xludf.DUMMYFUNCTION("""COMPUTED_VALUE"""),"Vancouver, British Columbia  and Washington, United States")</f>
        <v/>
      </c>
      <c r="K5943">
        <f>IFERROR(__xludf.DUMMYFUNCTION("""COMPUTED_VALUE"""),7280.66)</f>
        <v/>
      </c>
    </row>
    <row r="5944">
      <c r="J5944">
        <f>IFERROR(__xludf.DUMMYFUNCTION("""COMPUTED_VALUE"""),"Kiev, Ukraine / Vancouver BC")</f>
        <v/>
      </c>
      <c r="K5944">
        <f>IFERROR(__xludf.DUMMYFUNCTION("""COMPUTED_VALUE"""),7278.42)</f>
        <v/>
      </c>
    </row>
    <row r="5945">
      <c r="J5945">
        <f>IFERROR(__xludf.DUMMYFUNCTION("""COMPUTED_VALUE"""),"Jordan, West Bank and Israel")</f>
        <v/>
      </c>
      <c r="K5945">
        <f>IFERROR(__xludf.DUMMYFUNCTION("""COMPUTED_VALUE"""),7273.99)</f>
        <v/>
      </c>
    </row>
    <row r="5946">
      <c r="J5946">
        <f>IFERROR(__xludf.DUMMYFUNCTION("""COMPUTED_VALUE"""),"Ottawa (Ontario) Canada                              Halifax (Nova Scotia) Canada             Montreal (Quebec) Canada")</f>
        <v/>
      </c>
      <c r="K5946">
        <f>IFERROR(__xludf.DUMMYFUNCTION("""COMPUTED_VALUE"""),7271.47)</f>
        <v/>
      </c>
    </row>
    <row r="5947">
      <c r="J5947">
        <f>IFERROR(__xludf.DUMMYFUNCTION("""COMPUTED_VALUE"""),"Incheon Seoul")</f>
        <v/>
      </c>
      <c r="K5947">
        <f>IFERROR(__xludf.DUMMYFUNCTION("""COMPUTED_VALUE"""),7271.05)</f>
        <v/>
      </c>
    </row>
    <row r="5948">
      <c r="J5948">
        <f>IFERROR(__xludf.DUMMYFUNCTION("""COMPUTED_VALUE"""),"Tehran, Iran")</f>
        <v/>
      </c>
      <c r="K5948">
        <f>IFERROR(__xludf.DUMMYFUNCTION("""COMPUTED_VALUE"""),7265.84)</f>
        <v/>
      </c>
    </row>
    <row r="5949">
      <c r="J5949">
        <f>IFERROR(__xludf.DUMMYFUNCTION("""COMPUTED_VALUE"""),"Aruba")</f>
        <v/>
      </c>
      <c r="K5949">
        <f>IFERROR(__xludf.DUMMYFUNCTION("""COMPUTED_VALUE"""),7265.27)</f>
        <v/>
      </c>
    </row>
    <row r="5950">
      <c r="J5950">
        <f>IFERROR(__xludf.DUMMYFUNCTION("""COMPUTED_VALUE"""),"Sudbury, Ontario / Thunder Bay, Ontario, Canada")</f>
        <v/>
      </c>
      <c r="K5950">
        <f>IFERROR(__xludf.DUMMYFUNCTION("""COMPUTED_VALUE"""),7264.93)</f>
        <v/>
      </c>
    </row>
    <row r="5951">
      <c r="J5951">
        <f>IFERROR(__xludf.DUMMYFUNCTION("""COMPUTED_VALUE"""),"Victoria, Vancouver, BC")</f>
        <v/>
      </c>
      <c r="K5951">
        <f>IFERROR(__xludf.DUMMYFUNCTION("""COMPUTED_VALUE"""),7261.72)</f>
        <v/>
      </c>
    </row>
    <row r="5952">
      <c r="J5952">
        <f>IFERROR(__xludf.DUMMYFUNCTION("""COMPUTED_VALUE"""),"Vancouver, British Columbia, Canada and Whitehorse, Yukon, Canada and  Yellowknife, Northwest Territories, Canada")</f>
        <v/>
      </c>
      <c r="K5952">
        <f>IFERROR(__xludf.DUMMYFUNCTION("""COMPUTED_VALUE"""),7258.37)</f>
        <v/>
      </c>
    </row>
    <row r="5953">
      <c r="J5953">
        <f>IFERROR(__xludf.DUMMYFUNCTION("""COMPUTED_VALUE"""),"Calgary, Saskatoon, Vancouver")</f>
        <v/>
      </c>
      <c r="K5953">
        <f>IFERROR(__xludf.DUMMYFUNCTION("""COMPUTED_VALUE"""),7255.69)</f>
        <v/>
      </c>
    </row>
    <row r="5954">
      <c r="J5954">
        <f>IFERROR(__xludf.DUMMYFUNCTION("""COMPUTED_VALUE"""),"Ottawa, Ontario, Vienna, Austria and Alexandria, Virginia")</f>
        <v/>
      </c>
      <c r="K5954">
        <f>IFERROR(__xludf.DUMMYFUNCTION("""COMPUTED_VALUE"""),7255.65)</f>
        <v/>
      </c>
    </row>
    <row r="5955">
      <c r="J5955">
        <f>IFERROR(__xludf.DUMMYFUNCTION("""COMPUTED_VALUE"""),"New Brunswick and Nova Scotia")</f>
        <v/>
      </c>
      <c r="K5955">
        <f>IFERROR(__xludf.DUMMYFUNCTION("""COMPUTED_VALUE"""),7253.09)</f>
        <v/>
      </c>
    </row>
    <row r="5956">
      <c r="J5956">
        <f>IFERROR(__xludf.DUMMYFUNCTION("""COMPUTED_VALUE"""),"Ottawa, Ontario; Iqaluit, Nunavut, Canada")</f>
        <v/>
      </c>
      <c r="K5956">
        <f>IFERROR(__xludf.DUMMYFUNCTION("""COMPUTED_VALUE"""),7245.9)</f>
        <v/>
      </c>
    </row>
    <row r="5957">
      <c r="J5957">
        <f>IFERROR(__xludf.DUMMYFUNCTION("""COMPUTED_VALUE"""),"Ottawa and Nunavut, Canada")</f>
        <v/>
      </c>
      <c r="K5957">
        <f>IFERROR(__xludf.DUMMYFUNCTION("""COMPUTED_VALUE"""),7244.56)</f>
        <v/>
      </c>
    </row>
    <row r="5958">
      <c r="J5958">
        <f>IFERROR(__xludf.DUMMYFUNCTION("""COMPUTED_VALUE"""),"Sacramento, California")</f>
        <v/>
      </c>
      <c r="K5958">
        <f>IFERROR(__xludf.DUMMYFUNCTION("""COMPUTED_VALUE"""),7244.25999999999)</f>
        <v/>
      </c>
    </row>
    <row r="5959">
      <c r="J5959">
        <f>IFERROR(__xludf.DUMMYFUNCTION("""COMPUTED_VALUE"""),"New York, Washington")</f>
        <v/>
      </c>
      <c r="K5959">
        <f>IFERROR(__xludf.DUMMYFUNCTION("""COMPUTED_VALUE"""),7242.17)</f>
        <v/>
      </c>
    </row>
    <row r="5960">
      <c r="J5960">
        <f>IFERROR(__xludf.DUMMYFUNCTION("""COMPUTED_VALUE"""),"Hollywood, FL")</f>
        <v/>
      </c>
      <c r="K5960">
        <f>IFERROR(__xludf.DUMMYFUNCTION("""COMPUTED_VALUE"""),7242.11)</f>
        <v/>
      </c>
    </row>
    <row r="5961">
      <c r="J5961">
        <f>IFERROR(__xludf.DUMMYFUNCTION("""COMPUTED_VALUE"""),"Ottawa Ontario")</f>
        <v/>
      </c>
      <c r="K5961">
        <f>IFERROR(__xludf.DUMMYFUNCTION("""COMPUTED_VALUE"""),7240.76)</f>
        <v/>
      </c>
    </row>
    <row r="5962">
      <c r="J5962">
        <f>IFERROR(__xludf.DUMMYFUNCTION("""COMPUTED_VALUE"""),"Luxembourg and Brussels")</f>
        <v/>
      </c>
      <c r="K5962">
        <f>IFERROR(__xludf.DUMMYFUNCTION("""COMPUTED_VALUE"""),7239.25)</f>
        <v/>
      </c>
    </row>
    <row r="5963">
      <c r="J5963">
        <f>IFERROR(__xludf.DUMMYFUNCTION("""COMPUTED_VALUE"""),"Yellowknife, Northwest Territories, Canada and Vancouver, British Columbia, Canada")</f>
        <v/>
      </c>
      <c r="K5963">
        <f>IFERROR(__xludf.DUMMYFUNCTION("""COMPUTED_VALUE"""),7239.22)</f>
        <v/>
      </c>
    </row>
    <row r="5964">
      <c r="J5964">
        <f>IFERROR(__xludf.DUMMYFUNCTION("""COMPUTED_VALUE"""),"Fredericton, New Brunswick, Canada; Québec, Quebec, Canada")</f>
        <v/>
      </c>
      <c r="K5964">
        <f>IFERROR(__xludf.DUMMYFUNCTION("""COMPUTED_VALUE"""),7238.9)</f>
        <v/>
      </c>
    </row>
    <row r="5965">
      <c r="J5965">
        <f>IFERROR(__xludf.DUMMYFUNCTION("""COMPUTED_VALUE"""),"Halifax, Nova Scotia, Canada / Digby, Nova Scotia, Canada / Yarmouth, Nova Scotia, Canada")</f>
        <v/>
      </c>
      <c r="K5965">
        <f>IFERROR(__xludf.DUMMYFUNCTION("""COMPUTED_VALUE"""),7238.07)</f>
        <v/>
      </c>
    </row>
    <row r="5966">
      <c r="J5966">
        <f>IFERROR(__xludf.DUMMYFUNCTION("""COMPUTED_VALUE"""),"Ottawa, Ontario , Canada")</f>
        <v/>
      </c>
      <c r="K5966">
        <f>IFERROR(__xludf.DUMMYFUNCTION("""COMPUTED_VALUE"""),7236.74)</f>
        <v/>
      </c>
    </row>
    <row r="5967">
      <c r="J5967">
        <f>IFERROR(__xludf.DUMMYFUNCTION("""COMPUTED_VALUE"""),"Paris, France / Rabat, Morocco")</f>
        <v/>
      </c>
      <c r="K5967">
        <f>IFERROR(__xludf.DUMMYFUNCTION("""COMPUTED_VALUE"""),7232.43)</f>
        <v/>
      </c>
    </row>
    <row r="5968">
      <c r="J5968">
        <f>IFERROR(__xludf.DUMMYFUNCTION("""COMPUTED_VALUE"""),"Fort St John, BC")</f>
        <v/>
      </c>
      <c r="K5968">
        <f>IFERROR(__xludf.DUMMYFUNCTION("""COMPUTED_VALUE"""),7229.34)</f>
        <v/>
      </c>
    </row>
    <row r="5969">
      <c r="J5969">
        <f>IFERROR(__xludf.DUMMYFUNCTION("""COMPUTED_VALUE"""),"Calgary, Edmonton (Alberta); Vancouver, Victoria (British Columbia) Canada")</f>
        <v/>
      </c>
      <c r="K5969">
        <f>IFERROR(__xludf.DUMMYFUNCTION("""COMPUTED_VALUE"""),7229.1)</f>
        <v/>
      </c>
    </row>
    <row r="5970">
      <c r="J5970">
        <f>IFERROR(__xludf.DUMMYFUNCTION("""COMPUTED_VALUE"""),"Saskatoon, (Saskatchewan)")</f>
        <v/>
      </c>
      <c r="K5970">
        <f>IFERROR(__xludf.DUMMYFUNCTION("""COMPUTED_VALUE"""),7227.03)</f>
        <v/>
      </c>
    </row>
    <row r="5971">
      <c r="J5971">
        <f>IFERROR(__xludf.DUMMYFUNCTION("""COMPUTED_VALUE"""),"Moncton, Caraquet, Fredericton, New-Brunswick, Canada")</f>
        <v/>
      </c>
      <c r="K5971">
        <f>IFERROR(__xludf.DUMMYFUNCTION("""COMPUTED_VALUE"""),7225.58)</f>
        <v/>
      </c>
    </row>
    <row r="5972">
      <c r="J5972">
        <f>IFERROR(__xludf.DUMMYFUNCTION("""COMPUTED_VALUE"""),"Toronto, Ontario; Edmonton, Alberta; Vancouver, British Colombia and Montreal, Quebec.")</f>
        <v/>
      </c>
      <c r="K5972">
        <f>IFERROR(__xludf.DUMMYFUNCTION("""COMPUTED_VALUE"""),7224.7)</f>
        <v/>
      </c>
    </row>
    <row r="5973">
      <c r="J5973">
        <f>IFERROR(__xludf.DUMMYFUNCTION("""COMPUTED_VALUE"""),"Sao Paulo, Rio de Janeiro and Manaus Brazil")</f>
        <v/>
      </c>
      <c r="K5973">
        <f>IFERROR(__xludf.DUMMYFUNCTION("""COMPUTED_VALUE"""),7221.41)</f>
        <v/>
      </c>
    </row>
    <row r="5974">
      <c r="J5974">
        <f>IFERROR(__xludf.DUMMYFUNCTION("""COMPUTED_VALUE"""),"Lac-Mégantic, Quebec, Canada")</f>
        <v/>
      </c>
      <c r="K5974">
        <f>IFERROR(__xludf.DUMMYFUNCTION("""COMPUTED_VALUE"""),7219.6)</f>
        <v/>
      </c>
    </row>
    <row r="5975">
      <c r="J5975">
        <f>IFERROR(__xludf.DUMMYFUNCTION("""COMPUTED_VALUE"""),"Québec; Wendake; Charlevoix, Quebec, Canada")</f>
        <v/>
      </c>
      <c r="K5975">
        <f>IFERROR(__xludf.DUMMYFUNCTION("""COMPUTED_VALUE"""),7217.15)</f>
        <v/>
      </c>
    </row>
    <row r="5976">
      <c r="J5976">
        <f>IFERROR(__xludf.DUMMYFUNCTION("""COMPUTED_VALUE"""),"Vancouver, British Columbia, Canada - Victoria, British Columbia, Canada")</f>
        <v/>
      </c>
      <c r="K5976">
        <f>IFERROR(__xludf.DUMMYFUNCTION("""COMPUTED_VALUE"""),7215.28)</f>
        <v/>
      </c>
    </row>
    <row r="5977">
      <c r="J5977">
        <f>IFERROR(__xludf.DUMMYFUNCTION("""COMPUTED_VALUE"""),"Calgary, Alberta, Canada
Edmonton, Alberta, Canada")</f>
        <v/>
      </c>
      <c r="K5977">
        <f>IFERROR(__xludf.DUMMYFUNCTION("""COMPUTED_VALUE"""),7215.08)</f>
        <v/>
      </c>
    </row>
    <row r="5978">
      <c r="J5978">
        <f>IFERROR(__xludf.DUMMYFUNCTION("""COMPUTED_VALUE"""),"Brazzaville, Congo")</f>
        <v/>
      </c>
      <c r="K5978">
        <f>IFERROR(__xludf.DUMMYFUNCTION("""COMPUTED_VALUE"""),7214.89)</f>
        <v/>
      </c>
    </row>
    <row r="5979">
      <c r="J5979">
        <f>IFERROR(__xludf.DUMMYFUNCTION("""COMPUTED_VALUE"""),"Boston, Massachusetts, United States
Washington, United States")</f>
        <v/>
      </c>
      <c r="K5979">
        <f>IFERROR(__xludf.DUMMYFUNCTION("""COMPUTED_VALUE"""),7213.72)</f>
        <v/>
      </c>
    </row>
    <row r="5980">
      <c r="J5980">
        <f>IFERROR(__xludf.DUMMYFUNCTION("""COMPUTED_VALUE"""),"Norfolk, Virginia, USA")</f>
        <v/>
      </c>
      <c r="K5980">
        <f>IFERROR(__xludf.DUMMYFUNCTION("""COMPUTED_VALUE"""),7213.14)</f>
        <v/>
      </c>
    </row>
    <row r="5981">
      <c r="J5981">
        <f>IFERROR(__xludf.DUMMYFUNCTION("""COMPUTED_VALUE"""),"Boston, Massachusetts, United States
New York, United States
Washington, United States
Portland, Oregon, United States")</f>
        <v/>
      </c>
      <c r="K5981">
        <f>IFERROR(__xludf.DUMMYFUNCTION("""COMPUTED_VALUE"""),7212.27)</f>
        <v/>
      </c>
    </row>
    <row r="5982">
      <c r="J5982">
        <f>IFERROR(__xludf.DUMMYFUNCTION("""COMPUTED_VALUE"""),"Paris, France; Gleneagles, Scotland")</f>
        <v/>
      </c>
      <c r="K5982">
        <f>IFERROR(__xludf.DUMMYFUNCTION("""COMPUTED_VALUE"""),7210.67)</f>
        <v/>
      </c>
    </row>
    <row r="5983">
      <c r="J5983">
        <f>IFERROR(__xludf.DUMMYFUNCTION("""COMPUTED_VALUE"""),"Toronto, Ontario/ Calgary, Alberta/ Sudbury, Ontario/ Moncton, New Brunswick/ Montreal, Quebec, Canada")</f>
        <v/>
      </c>
      <c r="K5983">
        <f>IFERROR(__xludf.DUMMYFUNCTION("""COMPUTED_VALUE"""),7209.4)</f>
        <v/>
      </c>
    </row>
    <row r="5984">
      <c r="J5984">
        <f>IFERROR(__xludf.DUMMYFUNCTION("""COMPUTED_VALUE"""),"Ottawa, ON and Edmonton, AB")</f>
        <v/>
      </c>
      <c r="K5984">
        <f>IFERROR(__xludf.DUMMYFUNCTION("""COMPUTED_VALUE"""),7209.29999999999)</f>
        <v/>
      </c>
    </row>
    <row r="5985">
      <c r="J5985">
        <f>IFERROR(__xludf.DUMMYFUNCTION("""COMPUTED_VALUE"""),"Singapore, Singapore; Jakarta, Indonesia")</f>
        <v/>
      </c>
      <c r="K5985">
        <f>IFERROR(__xludf.DUMMYFUNCTION("""COMPUTED_VALUE"""),7208.55)</f>
        <v/>
      </c>
    </row>
    <row r="5986">
      <c r="J5986">
        <f>IFERROR(__xludf.DUMMYFUNCTION("""COMPUTED_VALUE"""),"Pheonix, Arizona, USA")</f>
        <v/>
      </c>
      <c r="K5986">
        <f>IFERROR(__xludf.DUMMYFUNCTION("""COMPUTED_VALUE"""),7207.58)</f>
        <v/>
      </c>
    </row>
    <row r="5987">
      <c r="J5987">
        <f>IFERROR(__xludf.DUMMYFUNCTION("""COMPUTED_VALUE"""),"Calgary, Alberta, Canada; Edmonton, Alberta, Canada; Fort McMurray, Alberta, Canada")</f>
        <v/>
      </c>
      <c r="K5987">
        <f>IFERROR(__xludf.DUMMYFUNCTION("""COMPUTED_VALUE"""),7204.69)</f>
        <v/>
      </c>
    </row>
    <row r="5988">
      <c r="J5988">
        <f>IFERROR(__xludf.DUMMYFUNCTION("""COMPUTED_VALUE"""),"Oslo, Norway 
Stavanger, Norway 
Bergen, Norway
Molde, Norway
Sunndalsøra, Norway")</f>
        <v/>
      </c>
      <c r="K5988">
        <f>IFERROR(__xludf.DUMMYFUNCTION("""COMPUTED_VALUE"""),7203.97)</f>
        <v/>
      </c>
    </row>
    <row r="5989">
      <c r="J5989">
        <f>IFERROR(__xludf.DUMMYFUNCTION("""COMPUTED_VALUE"""),"Lethbridge, AB - Calgary, AB - Guelph, ON")</f>
        <v/>
      </c>
      <c r="K5989">
        <f>IFERROR(__xludf.DUMMYFUNCTION("""COMPUTED_VALUE"""),7202.32)</f>
        <v/>
      </c>
    </row>
    <row r="5990">
      <c r="J5990">
        <f>IFERROR(__xludf.DUMMYFUNCTION("""COMPUTED_VALUE"""),"Dehli, Hyderabad, Mumbai, India")</f>
        <v/>
      </c>
      <c r="K5990">
        <f>IFERROR(__xludf.DUMMYFUNCTION("""COMPUTED_VALUE"""),7201.87)</f>
        <v/>
      </c>
    </row>
    <row r="5991">
      <c r="J5991">
        <f>IFERROR(__xludf.DUMMYFUNCTION("""COMPUTED_VALUE"""),"Grev Turegatan 16, Stockholm, Sweden")</f>
        <v/>
      </c>
      <c r="K5991">
        <f>IFERROR(__xludf.DUMMYFUNCTION("""COMPUTED_VALUE"""),7201.47)</f>
        <v/>
      </c>
    </row>
    <row r="5992">
      <c r="J5992">
        <f>IFERROR(__xludf.DUMMYFUNCTION("""COMPUTED_VALUE"""),"CANAKKALE ECEABAT, TURKEY")</f>
        <v/>
      </c>
      <c r="K5992">
        <f>IFERROR(__xludf.DUMMYFUNCTION("""COMPUTED_VALUE"""),7200.02)</f>
        <v/>
      </c>
    </row>
    <row r="5993">
      <c r="J5993">
        <f>IFERROR(__xludf.DUMMYFUNCTION("""COMPUTED_VALUE"""),"Winnipeg, (Manitoba), Edmonton, Calgary, (Alberta)")</f>
        <v/>
      </c>
      <c r="K5993">
        <f>IFERROR(__xludf.DUMMYFUNCTION("""COMPUTED_VALUE"""),7199.69)</f>
        <v/>
      </c>
    </row>
    <row r="5994">
      <c r="J5994">
        <f>IFERROR(__xludf.DUMMYFUNCTION("""COMPUTED_VALUE"""),"Moncton, New Brunswick
(Canada)")</f>
        <v/>
      </c>
      <c r="K5994">
        <f>IFERROR(__xludf.DUMMYFUNCTION("""COMPUTED_VALUE"""),7199.66)</f>
        <v/>
      </c>
    </row>
    <row r="5995">
      <c r="J5995">
        <f>IFERROR(__xludf.DUMMYFUNCTION("""COMPUTED_VALUE"""),"Vancouver and Washington")</f>
        <v/>
      </c>
      <c r="K5995">
        <f>IFERROR(__xludf.DUMMYFUNCTION("""COMPUTED_VALUE"""),7197.07)</f>
        <v/>
      </c>
    </row>
    <row r="5996">
      <c r="J5996">
        <f>IFERROR(__xludf.DUMMYFUNCTION("""COMPUTED_VALUE"""),"Thunder Bay, ON / Sault Ste. Marie, ON")</f>
        <v/>
      </c>
      <c r="K5996">
        <f>IFERROR(__xludf.DUMMYFUNCTION("""COMPUTED_VALUE"""),7194.46)</f>
        <v/>
      </c>
    </row>
    <row r="5997">
      <c r="J5997">
        <f>IFERROR(__xludf.DUMMYFUNCTION("""COMPUTED_VALUE"""),"Lebanon, UAE &amp; Oman")</f>
        <v/>
      </c>
      <c r="K5997">
        <f>IFERROR(__xludf.DUMMYFUNCTION("""COMPUTED_VALUE"""),7194.44)</f>
        <v/>
      </c>
    </row>
    <row r="5998">
      <c r="J5998">
        <f>IFERROR(__xludf.DUMMYFUNCTION("""COMPUTED_VALUE"""),"Brazil, rio de Janeiro, Sao Paulo, Porto Alegre")</f>
        <v/>
      </c>
      <c r="K5998">
        <f>IFERROR(__xludf.DUMMYFUNCTION("""COMPUTED_VALUE"""),7192.4)</f>
        <v/>
      </c>
    </row>
    <row r="5999">
      <c r="J5999">
        <f>IFERROR(__xludf.DUMMYFUNCTION("""COMPUTED_VALUE"""),"Louisville, Kentucky, États-Unis")</f>
        <v/>
      </c>
      <c r="K5999">
        <f>IFERROR(__xludf.DUMMYFUNCTION("""COMPUTED_VALUE"""),7190.02)</f>
        <v/>
      </c>
    </row>
    <row r="6000">
      <c r="J6000">
        <f>IFERROR(__xludf.DUMMYFUNCTION("""COMPUTED_VALUE"""),"Vancouver, British Columbia / Yellowknife, Northwest Territories/ Calgary, Alberta, Canada")</f>
        <v/>
      </c>
      <c r="K6000">
        <f>IFERROR(__xludf.DUMMYFUNCTION("""COMPUTED_VALUE"""),7189.7)</f>
        <v/>
      </c>
    </row>
    <row r="6001">
      <c r="J6001">
        <f>IFERROR(__xludf.DUMMYFUNCTION("""COMPUTED_VALUE"""),"London, England / Oslo, Norway")</f>
        <v/>
      </c>
      <c r="K6001">
        <f>IFERROR(__xludf.DUMMYFUNCTION("""COMPUTED_VALUE"""),7189.68)</f>
        <v/>
      </c>
    </row>
    <row r="6002">
      <c r="J6002">
        <f>IFERROR(__xludf.DUMMYFUNCTION("""COMPUTED_VALUE"""),"Moscow Russia")</f>
        <v/>
      </c>
      <c r="K6002">
        <f>IFERROR(__xludf.DUMMYFUNCTION("""COMPUTED_VALUE"""),7189.55)</f>
        <v/>
      </c>
    </row>
    <row r="6003">
      <c r="J6003">
        <f>IFERROR(__xludf.DUMMYFUNCTION("""COMPUTED_VALUE"""),"Quebec-Ottawa")</f>
        <v/>
      </c>
      <c r="K6003">
        <f>IFERROR(__xludf.DUMMYFUNCTION("""COMPUTED_VALUE"""),7187.67)</f>
        <v/>
      </c>
    </row>
    <row r="6004">
      <c r="J6004">
        <f>IFERROR(__xludf.DUMMYFUNCTION("""COMPUTED_VALUE"""),"Southampton, Bermuda")</f>
        <v/>
      </c>
      <c r="K6004">
        <f>IFERROR(__xludf.DUMMYFUNCTION("""COMPUTED_VALUE"""),7185.93)</f>
        <v/>
      </c>
    </row>
    <row r="6005">
      <c r="J6005">
        <f>IFERROR(__xludf.DUMMYFUNCTION("""COMPUTED_VALUE"""),"Angoulême, France")</f>
        <v/>
      </c>
      <c r="K6005">
        <f>IFERROR(__xludf.DUMMYFUNCTION("""COMPUTED_VALUE"""),7183.68)</f>
        <v/>
      </c>
    </row>
    <row r="6006">
      <c r="J6006">
        <f>IFERROR(__xludf.DUMMYFUNCTION("""COMPUTED_VALUE"""),"Canada: Vancouver - Calgary - Toronto - Ottawa")</f>
        <v/>
      </c>
      <c r="K6006">
        <f>IFERROR(__xludf.DUMMYFUNCTION("""COMPUTED_VALUE"""),7179.7)</f>
        <v/>
      </c>
    </row>
    <row r="6007">
      <c r="J6007">
        <f>IFERROR(__xludf.DUMMYFUNCTION("""COMPUTED_VALUE"""),"Vancouver, British Columbia / Edmonton, Alberta / Calgary, Alberta, Canada")</f>
        <v/>
      </c>
      <c r="K6007">
        <f>IFERROR(__xludf.DUMMYFUNCTION("""COMPUTED_VALUE"""),7179.13)</f>
        <v/>
      </c>
    </row>
    <row r="6008">
      <c r="J6008">
        <f>IFERROR(__xludf.DUMMYFUNCTION("""COMPUTED_VALUE"""),"Quebec, Quebec, Canada and Victoria, British Columbia, Canada")</f>
        <v/>
      </c>
      <c r="K6008">
        <f>IFERROR(__xludf.DUMMYFUNCTION("""COMPUTED_VALUE"""),7178.97)</f>
        <v/>
      </c>
    </row>
    <row r="6009">
      <c r="J6009">
        <f>IFERROR(__xludf.DUMMYFUNCTION("""COMPUTED_VALUE"""),"Halifax, NS &amp; Charlottetown, PEI")</f>
        <v/>
      </c>
      <c r="K6009">
        <f>IFERROR(__xludf.DUMMYFUNCTION("""COMPUTED_VALUE"""),7178.55)</f>
        <v/>
      </c>
    </row>
    <row r="6010">
      <c r="J6010">
        <f>IFERROR(__xludf.DUMMYFUNCTION("""COMPUTED_VALUE"""),"Gander, Newfoundland and Labrador, Canada; Toronto, Ontario, Canada; Hamilton, Ontario, Canada")</f>
        <v/>
      </c>
      <c r="K6010">
        <f>IFERROR(__xludf.DUMMYFUNCTION("""COMPUTED_VALUE"""),7174.68)</f>
        <v/>
      </c>
    </row>
    <row r="6011">
      <c r="J6011">
        <f>IFERROR(__xludf.DUMMYFUNCTION("""COMPUTED_VALUE"""),"Montreal, (Québec)")</f>
        <v/>
      </c>
      <c r="K6011">
        <f>IFERROR(__xludf.DUMMYFUNCTION("""COMPUTED_VALUE"""),7171.77)</f>
        <v/>
      </c>
    </row>
    <row r="6012">
      <c r="J6012">
        <f>IFERROR(__xludf.DUMMYFUNCTION("""COMPUTED_VALUE"""),"GATINEAU, OTTAWA, TORONTO, REYKJAVIK, OSLO, FRANKFURT, TORONTO, OTTAWA, GATINEAU")</f>
        <v/>
      </c>
      <c r="K6012">
        <f>IFERROR(__xludf.DUMMYFUNCTION("""COMPUTED_VALUE"""),7171.72)</f>
        <v/>
      </c>
    </row>
    <row r="6013">
      <c r="J6013">
        <f>IFERROR(__xludf.DUMMYFUNCTION("""COMPUTED_VALUE"""),"Toronto, ON, Montreal, QC")</f>
        <v/>
      </c>
      <c r="K6013">
        <f>IFERROR(__xludf.DUMMYFUNCTION("""COMPUTED_VALUE"""),7170.55999999999)</f>
        <v/>
      </c>
    </row>
    <row r="6014">
      <c r="J6014">
        <f>IFERROR(__xludf.DUMMYFUNCTION("""COMPUTED_VALUE"""),"UK and Netherlands")</f>
        <v/>
      </c>
      <c r="K6014">
        <f>IFERROR(__xludf.DUMMYFUNCTION("""COMPUTED_VALUE"""),7169.79)</f>
        <v/>
      </c>
    </row>
    <row r="6015">
      <c r="J6015">
        <f>IFERROR(__xludf.DUMMYFUNCTION("""COMPUTED_VALUE"""),"Toronto. Ontario, Canada")</f>
        <v/>
      </c>
      <c r="K6015">
        <f>IFERROR(__xludf.DUMMYFUNCTION("""COMPUTED_VALUE"""),7169.17)</f>
        <v/>
      </c>
    </row>
    <row r="6016">
      <c r="J6016">
        <f>IFERROR(__xludf.DUMMYFUNCTION("""COMPUTED_VALUE"""),"Toronto/ThunderBay")</f>
        <v/>
      </c>
      <c r="K6016">
        <f>IFERROR(__xludf.DUMMYFUNCTION("""COMPUTED_VALUE"""),7168.96)</f>
        <v/>
      </c>
    </row>
    <row r="6017">
      <c r="J6017">
        <f>IFERROR(__xludf.DUMMYFUNCTION("""COMPUTED_VALUE"""),"Ottawa, Toronto, Quebec City.")</f>
        <v/>
      </c>
      <c r="K6017">
        <f>IFERROR(__xludf.DUMMYFUNCTION("""COMPUTED_VALUE"""),7168.91)</f>
        <v/>
      </c>
    </row>
    <row r="6018">
      <c r="J6018">
        <f>IFERROR(__xludf.DUMMYFUNCTION("""COMPUTED_VALUE"""),"Lima, Peru, Sao Paolo, Rio de Janeiro, Brazil")</f>
        <v/>
      </c>
      <c r="K6018">
        <f>IFERROR(__xludf.DUMMYFUNCTION("""COMPUTED_VALUE"""),7168.22)</f>
        <v/>
      </c>
    </row>
    <row r="6019">
      <c r="J6019">
        <f>IFERROR(__xludf.DUMMYFUNCTION("""COMPUTED_VALUE"""),"Canberra, Australia                  Adelaide, Australia             Christchurch, New Zealand                                          Wellington, New Zealand                       Auckland, New Zealand")</f>
        <v/>
      </c>
      <c r="K6019">
        <f>IFERROR(__xludf.DUMMYFUNCTION("""COMPUTED_VALUE"""),7167.79)</f>
        <v/>
      </c>
    </row>
    <row r="6020">
      <c r="J6020">
        <f>IFERROR(__xludf.DUMMYFUNCTION("""COMPUTED_VALUE"""),"Quebec, Quebec &amp; Cap aux Meules, ¸Iles de la Madeleine &amp; Matane, Quebec &amp; Winnipeg, Manitoba")</f>
        <v/>
      </c>
      <c r="K6020">
        <f>IFERROR(__xludf.DUMMYFUNCTION("""COMPUTED_VALUE"""),7166.96999999999)</f>
        <v/>
      </c>
    </row>
    <row r="6021">
      <c r="J6021">
        <f>IFERROR(__xludf.DUMMYFUNCTION("""COMPUTED_VALUE"""),"St. Kitts, Carribean; Washington, DC")</f>
        <v/>
      </c>
      <c r="K6021">
        <f>IFERROR(__xludf.DUMMYFUNCTION("""COMPUTED_VALUE"""),7164.59)</f>
        <v/>
      </c>
    </row>
    <row r="6022">
      <c r="J6022">
        <f>IFERROR(__xludf.DUMMYFUNCTION("""COMPUTED_VALUE"""),"Thunder Bay, Ontario, Canada - Sudbury, Ontario, Canada")</f>
        <v/>
      </c>
      <c r="K6022">
        <f>IFERROR(__xludf.DUMMYFUNCTION("""COMPUTED_VALUE"""),7164.48)</f>
        <v/>
      </c>
    </row>
    <row r="6023">
      <c r="J6023">
        <f>IFERROR(__xludf.DUMMYFUNCTION("""COMPUTED_VALUE"""),"Sunnyvale, United States")</f>
        <v/>
      </c>
      <c r="K6023">
        <f>IFERROR(__xludf.DUMMYFUNCTION("""COMPUTED_VALUE"""),7164.18)</f>
        <v/>
      </c>
    </row>
    <row r="6024">
      <c r="J6024">
        <f>IFERROR(__xludf.DUMMYFUNCTION("""COMPUTED_VALUE"""),"Davos, Switzerland / Zurich, Switzerland")</f>
        <v/>
      </c>
      <c r="K6024">
        <f>IFERROR(__xludf.DUMMYFUNCTION("""COMPUTED_VALUE"""),7164.1)</f>
        <v/>
      </c>
    </row>
    <row r="6025">
      <c r="J6025">
        <f>IFERROR(__xludf.DUMMYFUNCTION("""COMPUTED_VALUE"""),"Whitehorse, Yukon / Vancouver, British Columbia / Edmonton, Alberta")</f>
        <v/>
      </c>
      <c r="K6025">
        <f>IFERROR(__xludf.DUMMYFUNCTION("""COMPUTED_VALUE"""),7163.42)</f>
        <v/>
      </c>
    </row>
    <row r="6026">
      <c r="J6026">
        <f>IFERROR(__xludf.DUMMYFUNCTION("""COMPUTED_VALUE"""),"Copenhagen, Denmark
Riga, Latvia")</f>
        <v/>
      </c>
      <c r="K6026">
        <f>IFERROR(__xludf.DUMMYFUNCTION("""COMPUTED_VALUE"""),7162.71)</f>
        <v/>
      </c>
    </row>
    <row r="6027">
      <c r="J6027">
        <f>IFERROR(__xludf.DUMMYFUNCTION("""COMPUTED_VALUE"""),"Ottawa/Gatineau")</f>
        <v/>
      </c>
      <c r="K6027">
        <f>IFERROR(__xludf.DUMMYFUNCTION("""COMPUTED_VALUE"""),7161.96)</f>
        <v/>
      </c>
    </row>
    <row r="6028">
      <c r="J6028">
        <f>IFERROR(__xludf.DUMMYFUNCTION("""COMPUTED_VALUE"""),"Halifax, Nova Scotia; Moncton, New Brunswick, Canada")</f>
        <v/>
      </c>
      <c r="K6028">
        <f>IFERROR(__xludf.DUMMYFUNCTION("""COMPUTED_VALUE"""),7161.9)</f>
        <v/>
      </c>
    </row>
    <row r="6029">
      <c r="J6029">
        <f>IFERROR(__xludf.DUMMYFUNCTION("""COMPUTED_VALUE"""),"Halifax, Nova Scotia, Canada; Fredericton, New Brunswick, Canada; St. John's, Newfoundland and Labrador, Canada")</f>
        <v/>
      </c>
      <c r="K6029">
        <f>IFERROR(__xludf.DUMMYFUNCTION("""COMPUTED_VALUE"""),7160.71)</f>
        <v/>
      </c>
    </row>
    <row r="6030">
      <c r="J6030">
        <f>IFERROR(__xludf.DUMMYFUNCTION("""COMPUTED_VALUE"""),"Ottawa, Montréal, Québec, Calgary, Banff Canada")</f>
        <v/>
      </c>
      <c r="K6030">
        <f>IFERROR(__xludf.DUMMYFUNCTION("""COMPUTED_VALUE"""),7159.63)</f>
        <v/>
      </c>
    </row>
    <row r="6031">
      <c r="J6031">
        <f>IFERROR(__xludf.DUMMYFUNCTION("""COMPUTED_VALUE"""),"Ottawa, ON and Winnipeg, MB")</f>
        <v/>
      </c>
      <c r="K6031">
        <f>IFERROR(__xludf.DUMMYFUNCTION("""COMPUTED_VALUE"""),7158.78)</f>
        <v/>
      </c>
    </row>
    <row r="6032">
      <c r="J6032">
        <f>IFERROR(__xludf.DUMMYFUNCTION("""COMPUTED_VALUE"""),"Lima, Washington")</f>
        <v/>
      </c>
      <c r="K6032">
        <f>IFERROR(__xludf.DUMMYFUNCTION("""COMPUTED_VALUE"""),7157.99)</f>
        <v/>
      </c>
    </row>
    <row r="6033">
      <c r="J6033">
        <f>IFERROR(__xludf.DUMMYFUNCTION("""COMPUTED_VALUE"""),"Boston, MA  USA")</f>
        <v/>
      </c>
      <c r="K6033">
        <f>IFERROR(__xludf.DUMMYFUNCTION("""COMPUTED_VALUE"""),7157.92)</f>
        <v/>
      </c>
    </row>
    <row r="6034">
      <c r="J6034">
        <f>IFERROR(__xludf.DUMMYFUNCTION("""COMPUTED_VALUE"""),"Toronto, Ontario, Canada
Vancouver, British Columbia, Canada")</f>
        <v/>
      </c>
      <c r="K6034">
        <f>IFERROR(__xludf.DUMMYFUNCTION("""COMPUTED_VALUE"""),7156.96)</f>
        <v/>
      </c>
    </row>
    <row r="6035">
      <c r="J6035">
        <f>IFERROR(__xludf.DUMMYFUNCTION("""COMPUTED_VALUE"""),"Seoul,Korea")</f>
        <v/>
      </c>
      <c r="K6035">
        <f>IFERROR(__xludf.DUMMYFUNCTION("""COMPUTED_VALUE"""),7154.64)</f>
        <v/>
      </c>
    </row>
    <row r="6036">
      <c r="J6036">
        <f>IFERROR(__xludf.DUMMYFUNCTION("""COMPUTED_VALUE"""),"Edmonton, Alberta, Canada / Windsor, Ontario, Canada / London, Ontario, Canada")</f>
        <v/>
      </c>
      <c r="K6036">
        <f>IFERROR(__xludf.DUMMYFUNCTION("""COMPUTED_VALUE"""),7149.19)</f>
        <v/>
      </c>
    </row>
    <row r="6037">
      <c r="J6037">
        <f>IFERROR(__xludf.DUMMYFUNCTION("""COMPUTED_VALUE"""),"Kelowna, British Columbia, Canada; Edmonton, Alberta, Canada; Quebec City, Quebec, Canada")</f>
        <v/>
      </c>
      <c r="K6037">
        <f>IFERROR(__xludf.DUMMYFUNCTION("""COMPUTED_VALUE"""),7148.83)</f>
        <v/>
      </c>
    </row>
    <row r="6038">
      <c r="J6038">
        <f>IFERROR(__xludf.DUMMYFUNCTION("""COMPUTED_VALUE"""),"Halifax, Nova Scotia, Ca")</f>
        <v/>
      </c>
      <c r="K6038">
        <f>IFERROR(__xludf.DUMMYFUNCTION("""COMPUTED_VALUE"""),7146.39)</f>
        <v/>
      </c>
    </row>
    <row r="6039">
      <c r="J6039">
        <f>IFERROR(__xludf.DUMMYFUNCTION("""COMPUTED_VALUE"""),"Esquimalt, BC")</f>
        <v/>
      </c>
      <c r="K6039">
        <f>IFERROR(__xludf.DUMMYFUNCTION("""COMPUTED_VALUE"""),7144.67)</f>
        <v/>
      </c>
    </row>
    <row r="6040">
      <c r="J6040">
        <f>IFERROR(__xludf.DUMMYFUNCTION("""COMPUTED_VALUE"""),"Oslo/Ottawa/Iqaluit/Ottawa/Oslo")</f>
        <v/>
      </c>
      <c r="K6040">
        <f>IFERROR(__xludf.DUMMYFUNCTION("""COMPUTED_VALUE"""),7142.81)</f>
        <v/>
      </c>
    </row>
    <row r="6041">
      <c r="J6041">
        <f>IFERROR(__xludf.DUMMYFUNCTION("""COMPUTED_VALUE"""),"Jordan, Ramallah, Tel Aviv (acc. paid by host gov'n)")</f>
        <v/>
      </c>
      <c r="K6041">
        <f>IFERROR(__xludf.DUMMYFUNCTION("""COMPUTED_VALUE"""),7140.37)</f>
        <v/>
      </c>
    </row>
    <row r="6042">
      <c r="J6042">
        <f>IFERROR(__xludf.DUMMYFUNCTION("""COMPUTED_VALUE"""),"Vancouver, British Columbia, Canada -
Sydney, British Columbia, Canada -
Saskatoon, Saskatchewan, Canada")</f>
        <v/>
      </c>
      <c r="K6042">
        <f>IFERROR(__xludf.DUMMYFUNCTION("""COMPUTED_VALUE"""),7140.21)</f>
        <v/>
      </c>
    </row>
    <row r="6043">
      <c r="J6043">
        <f>IFERROR(__xludf.DUMMYFUNCTION("""COMPUTED_VALUE"""),"Ottawa/Kingston, Ontario")</f>
        <v/>
      </c>
      <c r="K6043">
        <f>IFERROR(__xludf.DUMMYFUNCTION("""COMPUTED_VALUE"""),7139.96)</f>
        <v/>
      </c>
    </row>
    <row r="6044">
      <c r="J6044">
        <f>IFERROR(__xludf.DUMMYFUNCTION("""COMPUTED_VALUE"""),"Spain, Italy")</f>
        <v/>
      </c>
      <c r="K6044">
        <f>IFERROR(__xludf.DUMMYFUNCTION("""COMPUTED_VALUE"""),7139.33)</f>
        <v/>
      </c>
    </row>
    <row r="6045">
      <c r="J6045">
        <f>IFERROR(__xludf.DUMMYFUNCTION("""COMPUTED_VALUE"""),"Stuttgart, Germany; Düsseldorf, Germany; Berlin, Germany; London, United Kingdom")</f>
        <v/>
      </c>
      <c r="K6045">
        <f>IFERROR(__xludf.DUMMYFUNCTION("""COMPUTED_VALUE"""),7139.07)</f>
        <v/>
      </c>
    </row>
    <row r="6046">
      <c r="J6046">
        <f>IFERROR(__xludf.DUMMYFUNCTION("""COMPUTED_VALUE"""),"Rome, Itlay")</f>
        <v/>
      </c>
      <c r="K6046">
        <f>IFERROR(__xludf.DUMMYFUNCTION("""COMPUTED_VALUE"""),7138.05)</f>
        <v/>
      </c>
    </row>
    <row r="6047">
      <c r="J6047">
        <f>IFERROR(__xludf.DUMMYFUNCTION("""COMPUTED_VALUE"""),"Vancouver, British Columbia / Victoria, British Columbia , Canada")</f>
        <v/>
      </c>
      <c r="K6047">
        <f>IFERROR(__xludf.DUMMYFUNCTION("""COMPUTED_VALUE"""),7136.19)</f>
        <v/>
      </c>
    </row>
    <row r="6048">
      <c r="J6048">
        <f>IFERROR(__xludf.DUMMYFUNCTION("""COMPUTED_VALUE"""),"Tampa, Florida, United States")</f>
        <v/>
      </c>
      <c r="K6048">
        <f>IFERROR(__xludf.DUMMYFUNCTION("""COMPUTED_VALUE"""),7133.64)</f>
        <v/>
      </c>
    </row>
    <row r="6049">
      <c r="J6049">
        <f>IFERROR(__xludf.DUMMYFUNCTION("""COMPUTED_VALUE"""),"Afghanistan, Pakistan, Sweeden, Denmark")</f>
        <v/>
      </c>
      <c r="K6049">
        <f>IFERROR(__xludf.DUMMYFUNCTION("""COMPUTED_VALUE"""),7130.69)</f>
        <v/>
      </c>
    </row>
    <row r="6050">
      <c r="J6050">
        <f>IFERROR(__xludf.DUMMYFUNCTION("""COMPUTED_VALUE"""),"Ottawa, Toronto, Kitchener, Halifax")</f>
        <v/>
      </c>
      <c r="K6050">
        <f>IFERROR(__xludf.DUMMYFUNCTION("""COMPUTED_VALUE"""),7129)</f>
        <v/>
      </c>
    </row>
    <row r="6051">
      <c r="J6051">
        <f>IFERROR(__xludf.DUMMYFUNCTION("""COMPUTED_VALUE"""),"Berlin and Vienna")</f>
        <v/>
      </c>
      <c r="K6051">
        <f>IFERROR(__xludf.DUMMYFUNCTION("""COMPUTED_VALUE"""),7128)</f>
        <v/>
      </c>
    </row>
    <row r="6052">
      <c r="J6052">
        <f>IFERROR(__xludf.DUMMYFUNCTION("""COMPUTED_VALUE"""),"Kamloops, British Columbia, Canada; Vancouver, British Columbia, Canada; Saskatoon, Saskatchewan, Canada")</f>
        <v/>
      </c>
      <c r="K6052">
        <f>IFERROR(__xludf.DUMMYFUNCTION("""COMPUTED_VALUE"""),7127.2)</f>
        <v/>
      </c>
    </row>
    <row r="6053">
      <c r="J6053">
        <f>IFERROR(__xludf.DUMMYFUNCTION("""COMPUTED_VALUE"""),"Panama City and Santo Domingo")</f>
        <v/>
      </c>
      <c r="K6053">
        <f>IFERROR(__xludf.DUMMYFUNCTION("""COMPUTED_VALUE"""),7124.79)</f>
        <v/>
      </c>
    </row>
    <row r="6054">
      <c r="J6054">
        <f>IFERROR(__xludf.DUMMYFUNCTION("""COMPUTED_VALUE"""),"Toronto, Ontario, Canada; St. John's, Newfoundland and Labrador, Canada")</f>
        <v/>
      </c>
      <c r="K6054">
        <f>IFERROR(__xludf.DUMMYFUNCTION("""COMPUTED_VALUE"""),7123.89)</f>
        <v/>
      </c>
    </row>
    <row r="6055">
      <c r="J6055">
        <f>IFERROR(__xludf.DUMMYFUNCTION("""COMPUTED_VALUE"""),"Seattle")</f>
        <v/>
      </c>
      <c r="K6055">
        <f>IFERROR(__xludf.DUMMYFUNCTION("""COMPUTED_VALUE"""),7123.15)</f>
        <v/>
      </c>
    </row>
    <row r="6056">
      <c r="J6056">
        <f>IFERROR(__xludf.DUMMYFUNCTION("""COMPUTED_VALUE"""),"Paris, France, Rome, Italy")</f>
        <v/>
      </c>
      <c r="K6056">
        <f>IFERROR(__xludf.DUMMYFUNCTION("""COMPUTED_VALUE"""),7123.09)</f>
        <v/>
      </c>
    </row>
    <row r="6057">
      <c r="J6057">
        <f>IFERROR(__xludf.DUMMYFUNCTION("""COMPUTED_VALUE"""),"Maidstone, England")</f>
        <v/>
      </c>
      <c r="K6057">
        <f>IFERROR(__xludf.DUMMYFUNCTION("""COMPUTED_VALUE"""),7120.18)</f>
        <v/>
      </c>
    </row>
    <row r="6058">
      <c r="J6058">
        <f>IFERROR(__xludf.DUMMYFUNCTION("""COMPUTED_VALUE"""),"Medicine Hat, AB")</f>
        <v/>
      </c>
      <c r="K6058">
        <f>IFERROR(__xludf.DUMMYFUNCTION("""COMPUTED_VALUE"""),7117.83)</f>
        <v/>
      </c>
    </row>
    <row r="6059">
      <c r="J6059">
        <f>IFERROR(__xludf.DUMMYFUNCTION("""COMPUTED_VALUE"""),"Dominican Repuplic, Venezuela, Bolivia, Peru and Montreal")</f>
        <v/>
      </c>
      <c r="K6059">
        <f>IFERROR(__xludf.DUMMYFUNCTION("""COMPUTED_VALUE"""),7117.34)</f>
        <v/>
      </c>
    </row>
    <row r="6060">
      <c r="J6060">
        <f>IFERROR(__xludf.DUMMYFUNCTION("""COMPUTED_VALUE"""),"Miami, USA")</f>
        <v/>
      </c>
      <c r="K6060">
        <f>IFERROR(__xludf.DUMMYFUNCTION("""COMPUTED_VALUE"""),7116.96)</f>
        <v/>
      </c>
    </row>
    <row r="6061">
      <c r="J6061">
        <f>IFERROR(__xludf.DUMMYFUNCTION("""COMPUTED_VALUE"""),"Sault Ste. Marie")</f>
        <v/>
      </c>
      <c r="K6061">
        <f>IFERROR(__xludf.DUMMYFUNCTION("""COMPUTED_VALUE"""),7112.87999999999)</f>
        <v/>
      </c>
    </row>
    <row r="6062">
      <c r="J6062">
        <f>IFERROR(__xludf.DUMMYFUNCTION("""COMPUTED_VALUE"""),"Cartegena, Colombia")</f>
        <v/>
      </c>
      <c r="K6062">
        <f>IFERROR(__xludf.DUMMYFUNCTION("""COMPUTED_VALUE"""),7110.4)</f>
        <v/>
      </c>
    </row>
    <row r="6063">
      <c r="J6063">
        <f>IFERROR(__xludf.DUMMYFUNCTION("""COMPUTED_VALUE"""),"Ottawa; Boston; Phoenix")</f>
        <v/>
      </c>
      <c r="K6063">
        <f>IFERROR(__xludf.DUMMYFUNCTION("""COMPUTED_VALUE"""),7109.06)</f>
        <v/>
      </c>
    </row>
    <row r="6064">
      <c r="J6064">
        <f>IFERROR(__xludf.DUMMYFUNCTION("""COMPUTED_VALUE"""),"Siracusa, Italy")</f>
        <v/>
      </c>
      <c r="K6064">
        <f>IFERROR(__xludf.DUMMYFUNCTION("""COMPUTED_VALUE"""),7106.34)</f>
        <v/>
      </c>
    </row>
    <row r="6065">
      <c r="J6065">
        <f>IFERROR(__xludf.DUMMYFUNCTION("""COMPUTED_VALUE"""),"Ottawa &amp; Port Hope, Ontario and Phoenix, Arizona")</f>
        <v/>
      </c>
      <c r="K6065">
        <f>IFERROR(__xludf.DUMMYFUNCTION("""COMPUTED_VALUE"""),7104.7)</f>
        <v/>
      </c>
    </row>
    <row r="6066">
      <c r="J6066">
        <f>IFERROR(__xludf.DUMMYFUNCTION("""COMPUTED_VALUE"""),"Norman Wells, Northwest Territories, Canada")</f>
        <v/>
      </c>
      <c r="K6066">
        <f>IFERROR(__xludf.DUMMYFUNCTION("""COMPUTED_VALUE"""),7102.24)</f>
        <v/>
      </c>
    </row>
    <row r="6067">
      <c r="J6067">
        <f>IFERROR(__xludf.DUMMYFUNCTION("""COMPUTED_VALUE"""),"Surrey, BC; Vancouver, BC")</f>
        <v/>
      </c>
      <c r="K6067">
        <f>IFERROR(__xludf.DUMMYFUNCTION("""COMPUTED_VALUE"""),7101.13)</f>
        <v/>
      </c>
    </row>
    <row r="6068">
      <c r="J6068">
        <f>IFERROR(__xludf.DUMMYFUNCTION("""COMPUTED_VALUE"""),"Montréal and Québec City, Québec")</f>
        <v/>
      </c>
      <c r="K6068">
        <f>IFERROR(__xludf.DUMMYFUNCTION("""COMPUTED_VALUE"""),7099.51)</f>
        <v/>
      </c>
    </row>
    <row r="6069">
      <c r="J6069">
        <f>IFERROR(__xludf.DUMMYFUNCTION("""COMPUTED_VALUE"""),"Eastern Canada")</f>
        <v/>
      </c>
      <c r="K6069">
        <f>IFERROR(__xludf.DUMMYFUNCTION("""COMPUTED_VALUE"""),7098.39)</f>
        <v/>
      </c>
    </row>
    <row r="6070">
      <c r="J6070">
        <f>IFERROR(__xludf.DUMMYFUNCTION("""COMPUTED_VALUE"""),"Afghanistan, Pakistan, Sweden,Denmark")</f>
        <v/>
      </c>
      <c r="K6070">
        <f>IFERROR(__xludf.DUMMYFUNCTION("""COMPUTED_VALUE"""),7093.82)</f>
        <v/>
      </c>
    </row>
    <row r="6071">
      <c r="J6071">
        <f>IFERROR(__xludf.DUMMYFUNCTION("""COMPUTED_VALUE"""),"New Delhi, India - Goa, India-Kathmandu, Nepal")</f>
        <v/>
      </c>
      <c r="K6071">
        <f>IFERROR(__xludf.DUMMYFUNCTION("""COMPUTED_VALUE"""),7093.22)</f>
        <v/>
      </c>
    </row>
    <row r="6072">
      <c r="J6072">
        <f>IFERROR(__xludf.DUMMYFUNCTION("""COMPUTED_VALUE"""),"Vancouver, British Columbia, Canada; Victoria, British Columbia, Canada; Ottawa, Ontario, Canada; Gatineau, Quebec, Canada")</f>
        <v/>
      </c>
      <c r="K6072">
        <f>IFERROR(__xludf.DUMMYFUNCTION("""COMPUTED_VALUE"""),7092.68)</f>
        <v/>
      </c>
    </row>
    <row r="6073">
      <c r="J6073">
        <f>IFERROR(__xludf.DUMMYFUNCTION("""COMPUTED_VALUE"""),"Warsaw, Poland
Minsk, Belarus")</f>
        <v/>
      </c>
      <c r="K6073">
        <f>IFERROR(__xludf.DUMMYFUNCTION("""COMPUTED_VALUE"""),7092.4)</f>
        <v/>
      </c>
    </row>
    <row r="6074">
      <c r="J6074">
        <f>IFERROR(__xludf.DUMMYFUNCTION("""COMPUTED_VALUE"""),"Argentina, Brasil")</f>
        <v/>
      </c>
      <c r="K6074">
        <f>IFERROR(__xludf.DUMMYFUNCTION("""COMPUTED_VALUE"""),7091.12)</f>
        <v/>
      </c>
    </row>
    <row r="6075">
      <c r="J6075">
        <f>IFERROR(__xludf.DUMMYFUNCTION("""COMPUTED_VALUE"""),"Charlottetown, Prince Edward Island; Toronto, Ontario")</f>
        <v/>
      </c>
      <c r="K6075">
        <f>IFERROR(__xludf.DUMMYFUNCTION("""COMPUTED_VALUE"""),7091)</f>
        <v/>
      </c>
    </row>
    <row r="6076">
      <c r="J6076">
        <f>IFERROR(__xludf.DUMMYFUNCTION("""COMPUTED_VALUE"""),"Calgary, Alberta; Saskatoon, Saskatchewan")</f>
        <v/>
      </c>
      <c r="K6076">
        <f>IFERROR(__xludf.DUMMYFUNCTION("""COMPUTED_VALUE"""),7090.61)</f>
        <v/>
      </c>
    </row>
    <row r="6077">
      <c r="J6077">
        <f>IFERROR(__xludf.DUMMYFUNCTION("""COMPUTED_VALUE"""),"Toronto,ON and Paris,France")</f>
        <v/>
      </c>
      <c r="K6077">
        <f>IFERROR(__xludf.DUMMYFUNCTION("""COMPUTED_VALUE"""),7090.19)</f>
        <v/>
      </c>
    </row>
    <row r="6078">
      <c r="J6078">
        <f>IFERROR(__xludf.DUMMYFUNCTION("""COMPUTED_VALUE"""),"Charlottetown, Prince Edward Island, Canada; Toronto, Ontario, Canada; London, Ontario, Canada; Vancouver, British Columbia, Canada")</f>
        <v/>
      </c>
      <c r="K6078">
        <f>IFERROR(__xludf.DUMMYFUNCTION("""COMPUTED_VALUE"""),7089.15)</f>
        <v/>
      </c>
    </row>
    <row r="6079">
      <c r="J6079">
        <f>IFERROR(__xludf.DUMMYFUNCTION("""COMPUTED_VALUE"""),"Mexico city")</f>
        <v/>
      </c>
      <c r="K6079">
        <f>IFERROR(__xludf.DUMMYFUNCTION("""COMPUTED_VALUE"""),7088.51)</f>
        <v/>
      </c>
    </row>
    <row r="6080">
      <c r="J6080">
        <f>IFERROR(__xludf.DUMMYFUNCTION("""COMPUTED_VALUE"""),"Halifax, Nova Scotia; Charlottetown, Prince Edward Island")</f>
        <v/>
      </c>
      <c r="K6080">
        <f>IFERROR(__xludf.DUMMYFUNCTION("""COMPUTED_VALUE"""),7083.55999999999)</f>
        <v/>
      </c>
    </row>
    <row r="6081">
      <c r="J6081">
        <f>IFERROR(__xludf.DUMMYFUNCTION("""COMPUTED_VALUE"""),"Toronto, Ontario, Canada; Québec, Quebec, Canada")</f>
        <v/>
      </c>
      <c r="K6081">
        <f>IFERROR(__xludf.DUMMYFUNCTION("""COMPUTED_VALUE"""),7081.7)</f>
        <v/>
      </c>
    </row>
    <row r="6082">
      <c r="J6082">
        <f>IFERROR(__xludf.DUMMYFUNCTION("""COMPUTED_VALUE"""),"Turkey and Iraq")</f>
        <v/>
      </c>
      <c r="K6082">
        <f>IFERROR(__xludf.DUMMYFUNCTION("""COMPUTED_VALUE"""),7080.5)</f>
        <v/>
      </c>
    </row>
    <row r="6083">
      <c r="J6083">
        <f>IFERROR(__xludf.DUMMYFUNCTION("""COMPUTED_VALUE"""),"London, England; Moscow")</f>
        <v/>
      </c>
      <c r="K6083">
        <f>IFERROR(__xludf.DUMMYFUNCTION("""COMPUTED_VALUE"""),7079.5)</f>
        <v/>
      </c>
    </row>
    <row r="6084">
      <c r="J6084">
        <f>IFERROR(__xludf.DUMMYFUNCTION("""COMPUTED_VALUE"""),"Yellowknife, NT, Whitehorse, YK, Kelowna, BC and Vancouver, BC")</f>
        <v/>
      </c>
      <c r="K6084">
        <f>IFERROR(__xludf.DUMMYFUNCTION("""COMPUTED_VALUE"""),7079.41)</f>
        <v/>
      </c>
    </row>
    <row r="6085">
      <c r="J6085">
        <f>IFERROR(__xludf.DUMMYFUNCTION("""COMPUTED_VALUE"""),"Munich, Germany; Murnau, Germany")</f>
        <v/>
      </c>
      <c r="K6085">
        <f>IFERROR(__xludf.DUMMYFUNCTION("""COMPUTED_VALUE"""),7078.66)</f>
        <v/>
      </c>
    </row>
    <row r="6086">
      <c r="J6086">
        <f>IFERROR(__xludf.DUMMYFUNCTION("""COMPUTED_VALUE"""),"Edmonton, Alberta, Canada
Vancouver, British-Colombia, Canada")</f>
        <v/>
      </c>
      <c r="K6086">
        <f>IFERROR(__xludf.DUMMYFUNCTION("""COMPUTED_VALUE"""),7075.25)</f>
        <v/>
      </c>
    </row>
    <row r="6087">
      <c r="J6087">
        <f>IFERROR(__xludf.DUMMYFUNCTION("""COMPUTED_VALUE"""),"Paris, France; Portoroz, Slovenia")</f>
        <v/>
      </c>
      <c r="K6087">
        <f>IFERROR(__xludf.DUMMYFUNCTION("""COMPUTED_VALUE"""),7073.38)</f>
        <v/>
      </c>
    </row>
    <row r="6088">
      <c r="J6088">
        <f>IFERROR(__xludf.DUMMYFUNCTION("""COMPUTED_VALUE"""),"Edmonton, Alberta, Canada; Yellowknife, Northwest Territories, Canada; Vancouver, British Columbia, Canada; Victoria, British Columbia, Canada")</f>
        <v/>
      </c>
      <c r="K6088">
        <f>IFERROR(__xludf.DUMMYFUNCTION("""COMPUTED_VALUE"""),7073.16)</f>
        <v/>
      </c>
    </row>
    <row r="6089">
      <c r="J6089">
        <f>IFERROR(__xludf.DUMMYFUNCTION("""COMPUTED_VALUE"""),"Toronto, ON, Davos, Switzerland")</f>
        <v/>
      </c>
      <c r="K6089">
        <f>IFERROR(__xludf.DUMMYFUNCTION("""COMPUTED_VALUE"""),7072.53)</f>
        <v/>
      </c>
    </row>
    <row r="6090">
      <c r="J6090">
        <f>IFERROR(__xludf.DUMMYFUNCTION("""COMPUTED_VALUE"""),"Middle East and Cyprus")</f>
        <v/>
      </c>
      <c r="K6090">
        <f>IFERROR(__xludf.DUMMYFUNCTION("""COMPUTED_VALUE"""),7072.17)</f>
        <v/>
      </c>
    </row>
    <row r="6091">
      <c r="J6091">
        <f>IFERROR(__xludf.DUMMYFUNCTION("""COMPUTED_VALUE"""),"Polanco, Mexico")</f>
        <v/>
      </c>
      <c r="K6091">
        <f>IFERROR(__xludf.DUMMYFUNCTION("""COMPUTED_VALUE"""),7072.17)</f>
        <v/>
      </c>
    </row>
    <row r="6092">
      <c r="J6092">
        <f>IFERROR(__xludf.DUMMYFUNCTION("""COMPUTED_VALUE"""),"Halifax, Nova Scotia, Canada, Charlottetown, PEI, Lennox Island, PEI")</f>
        <v/>
      </c>
      <c r="K6092">
        <f>IFERROR(__xludf.DUMMYFUNCTION("""COMPUTED_VALUE"""),7070.14)</f>
        <v/>
      </c>
    </row>
    <row r="6093">
      <c r="J6093">
        <f>IFERROR(__xludf.DUMMYFUNCTION("""COMPUTED_VALUE"""),"Vancouver - Nanaimo")</f>
        <v/>
      </c>
      <c r="K6093">
        <f>IFERROR(__xludf.DUMMYFUNCTION("""COMPUTED_VALUE"""),7069.06)</f>
        <v/>
      </c>
    </row>
    <row r="6094">
      <c r="J6094">
        <f>IFERROR(__xludf.DUMMYFUNCTION("""COMPUTED_VALUE"""),"New Delhi, Delhi, India")</f>
        <v/>
      </c>
      <c r="K6094">
        <f>IFERROR(__xludf.DUMMYFUNCTION("""COMPUTED_VALUE"""),7064.45)</f>
        <v/>
      </c>
    </row>
    <row r="6095">
      <c r="J6095">
        <f>IFERROR(__xludf.DUMMYFUNCTION("""COMPUTED_VALUE"""),"Winnipeg, Manitoba and Vancouver, British Columbia, Canada")</f>
        <v/>
      </c>
      <c r="K6095">
        <f>IFERROR(__xludf.DUMMYFUNCTION("""COMPUTED_VALUE"""),7063.6)</f>
        <v/>
      </c>
    </row>
    <row r="6096">
      <c r="J6096">
        <f>IFERROR(__xludf.DUMMYFUNCTION("""COMPUTED_VALUE"""),"Savannah, Georgia")</f>
        <v/>
      </c>
      <c r="K6096">
        <f>IFERROR(__xludf.DUMMYFUNCTION("""COMPUTED_VALUE"""),7063.32)</f>
        <v/>
      </c>
    </row>
    <row r="6097">
      <c r="J6097">
        <f>IFERROR(__xludf.DUMMYFUNCTION("""COMPUTED_VALUE"""),"Guatemala City, Guatemala San José, Costa Rica Panama City, Panama")</f>
        <v/>
      </c>
      <c r="K6097">
        <f>IFERROR(__xludf.DUMMYFUNCTION("""COMPUTED_VALUE"""),7062.86)</f>
        <v/>
      </c>
    </row>
    <row r="6098">
      <c r="J6098">
        <f>IFERROR(__xludf.DUMMYFUNCTION("""COMPUTED_VALUE"""),"Brussels
Ottawa
Montreal")</f>
        <v/>
      </c>
      <c r="K6098">
        <f>IFERROR(__xludf.DUMMYFUNCTION("""COMPUTED_VALUE"""),7062.31)</f>
        <v/>
      </c>
    </row>
    <row r="6099">
      <c r="J6099">
        <f>IFERROR(__xludf.DUMMYFUNCTION("""COMPUTED_VALUE"""),"Sydney, Canada")</f>
        <v/>
      </c>
      <c r="K6099">
        <f>IFERROR(__xludf.DUMMYFUNCTION("""COMPUTED_VALUE"""),7061.86)</f>
        <v/>
      </c>
    </row>
    <row r="6100">
      <c r="J6100">
        <f>IFERROR(__xludf.DUMMYFUNCTION("""COMPUTED_VALUE"""),"London and Ottawa")</f>
        <v/>
      </c>
      <c r="K6100">
        <f>IFERROR(__xludf.DUMMYFUNCTION("""COMPUTED_VALUE"""),7060.47)</f>
        <v/>
      </c>
    </row>
    <row r="6101">
      <c r="J6101">
        <f>IFERROR(__xludf.DUMMYFUNCTION("""COMPUTED_VALUE"""),"OTTAWA, ON - HALIFAX, NS")</f>
        <v/>
      </c>
      <c r="K6101">
        <f>IFERROR(__xludf.DUMMYFUNCTION("""COMPUTED_VALUE"""),7058.03)</f>
        <v/>
      </c>
    </row>
    <row r="6102">
      <c r="J6102">
        <f>IFERROR(__xludf.DUMMYFUNCTION("""COMPUTED_VALUE"""),"Geneva, London")</f>
        <v/>
      </c>
      <c r="K6102">
        <f>IFERROR(__xludf.DUMMYFUNCTION("""COMPUTED_VALUE"""),7056.05)</f>
        <v/>
      </c>
    </row>
    <row r="6103">
      <c r="J6103">
        <f>IFERROR(__xludf.DUMMYFUNCTION("""COMPUTED_VALUE"""),"Tel Aviv and Jerusalem, Isreal")</f>
        <v/>
      </c>
      <c r="K6103">
        <f>IFERROR(__xludf.DUMMYFUNCTION("""COMPUTED_VALUE"""),7055.53)</f>
        <v/>
      </c>
    </row>
    <row r="6104">
      <c r="J6104">
        <f>IFERROR(__xludf.DUMMYFUNCTION("""COMPUTED_VALUE"""),"Ottawa, Ontario; Montreal, Quebec; Washington DC, USA")</f>
        <v/>
      </c>
      <c r="K6104">
        <f>IFERROR(__xludf.DUMMYFUNCTION("""COMPUTED_VALUE"""),7055.09)</f>
        <v/>
      </c>
    </row>
    <row r="6105">
      <c r="J6105">
        <f>IFERROR(__xludf.DUMMYFUNCTION("""COMPUTED_VALUE"""),"Harrow, Ontario")</f>
        <v/>
      </c>
      <c r="K6105">
        <f>IFERROR(__xludf.DUMMYFUNCTION("""COMPUTED_VALUE"""),7054.62)</f>
        <v/>
      </c>
    </row>
    <row r="6106">
      <c r="J6106">
        <f>IFERROR(__xludf.DUMMYFUNCTION("""COMPUTED_VALUE"""),"Ottawa, Ontario; Montreal, Quebec")</f>
        <v/>
      </c>
      <c r="K6106">
        <f>IFERROR(__xludf.DUMMYFUNCTION("""COMPUTED_VALUE"""),7053.42)</f>
        <v/>
      </c>
    </row>
    <row r="6107">
      <c r="J6107">
        <f>IFERROR(__xludf.DUMMYFUNCTION("""COMPUTED_VALUE"""),"Gatineau, Quebec, CanadaQuebec, Quebec, Canada")</f>
        <v/>
      </c>
      <c r="K6107">
        <f>IFERROR(__xludf.DUMMYFUNCTION("""COMPUTED_VALUE"""),7053.41)</f>
        <v/>
      </c>
    </row>
    <row r="6108">
      <c r="J6108">
        <f>IFERROR(__xludf.DUMMYFUNCTION("""COMPUTED_VALUE"""),"Iqaluit, NU / Yellowknife, NT / Montreal, QC / London, ON")</f>
        <v/>
      </c>
      <c r="K6108">
        <f>IFERROR(__xludf.DUMMYFUNCTION("""COMPUTED_VALUE"""),7050.73)</f>
        <v/>
      </c>
    </row>
    <row r="6109">
      <c r="J6109">
        <f>IFERROR(__xludf.DUMMYFUNCTION("""COMPUTED_VALUE"""),"Yellowknife, Northwest Territories, Canada; Hay River, Northwest Territories, Canada")</f>
        <v/>
      </c>
      <c r="K6109">
        <f>IFERROR(__xludf.DUMMYFUNCTION("""COMPUTED_VALUE"""),7049.78)</f>
        <v/>
      </c>
    </row>
    <row r="6110">
      <c r="J6110">
        <f>IFERROR(__xludf.DUMMYFUNCTION("""COMPUTED_VALUE"""),"St.Petersburg, Russia")</f>
        <v/>
      </c>
      <c r="K6110">
        <f>IFERROR(__xludf.DUMMYFUNCTION("""COMPUTED_VALUE"""),7049.33)</f>
        <v/>
      </c>
    </row>
    <row r="6111">
      <c r="J6111">
        <f>IFERROR(__xludf.DUMMYFUNCTION("""COMPUTED_VALUE"""),"Vancouver, British Columbia, Canada; Victoria, British Columbia, Canada; Edmonton, Alberta, Canada")</f>
        <v/>
      </c>
      <c r="K6111">
        <f>IFERROR(__xludf.DUMMYFUNCTION("""COMPUTED_VALUE"""),7048.85)</f>
        <v/>
      </c>
    </row>
    <row r="6112">
      <c r="J6112">
        <f>IFERROR(__xludf.DUMMYFUNCTION("""COMPUTED_VALUE"""),"Toronto, Ontario, Canada; Calgary, Alberta, Canada; Vancouver, British Columbia, Canada")</f>
        <v/>
      </c>
      <c r="K6112">
        <f>IFERROR(__xludf.DUMMYFUNCTION("""COMPUTED_VALUE"""),7048.63)</f>
        <v/>
      </c>
    </row>
    <row r="6113">
      <c r="J6113">
        <f>IFERROR(__xludf.DUMMYFUNCTION("""COMPUTED_VALUE"""),"Phoenix, Arizona, United-States")</f>
        <v/>
      </c>
      <c r="K6113">
        <f>IFERROR(__xludf.DUMMYFUNCTION("""COMPUTED_VALUE"""),7044.99)</f>
        <v/>
      </c>
    </row>
    <row r="6114">
      <c r="J6114">
        <f>IFERROR(__xludf.DUMMYFUNCTION("""COMPUTED_VALUE"""),"Arusha, Tanzania, Kilimanjaro, Tanzania")</f>
        <v/>
      </c>
      <c r="K6114">
        <f>IFERROR(__xludf.DUMMYFUNCTION("""COMPUTED_VALUE"""),7044.26)</f>
        <v/>
      </c>
    </row>
    <row r="6115">
      <c r="J6115">
        <f>IFERROR(__xludf.DUMMYFUNCTION("""COMPUTED_VALUE"""),"Calgary, Vancouver, Halifax, Montreal and Toronto")</f>
        <v/>
      </c>
      <c r="K6115">
        <f>IFERROR(__xludf.DUMMYFUNCTION("""COMPUTED_VALUE"""),7044.1)</f>
        <v/>
      </c>
    </row>
    <row r="6116">
      <c r="J6116">
        <f>IFERROR(__xludf.DUMMYFUNCTION("""COMPUTED_VALUE"""),"Halifax, Nova Scotia / Moncton, New Brunswick / Saint John, New Brunswick, Canada")</f>
        <v/>
      </c>
      <c r="K6116">
        <f>IFERROR(__xludf.DUMMYFUNCTION("""COMPUTED_VALUE"""),7043.42)</f>
        <v/>
      </c>
    </row>
    <row r="6117">
      <c r="J6117">
        <f>IFERROR(__xludf.DUMMYFUNCTION("""COMPUTED_VALUE"""),"Hamilton, Ontario, Canada; Mendoza, Argentina; Saskatoon, Saskatchewan, Canada")</f>
        <v/>
      </c>
      <c r="K6117">
        <f>IFERROR(__xludf.DUMMYFUNCTION("""COMPUTED_VALUE"""),7042.5)</f>
        <v/>
      </c>
    </row>
    <row r="6118">
      <c r="J6118">
        <f>IFERROR(__xludf.DUMMYFUNCTION("""COMPUTED_VALUE"""),"Washington, District of Columbia, United States/ New York, New York, United States")</f>
        <v/>
      </c>
      <c r="K6118">
        <f>IFERROR(__xludf.DUMMYFUNCTION("""COMPUTED_VALUE"""),7042.13)</f>
        <v/>
      </c>
    </row>
    <row r="6119">
      <c r="J6119">
        <f>IFERROR(__xludf.DUMMYFUNCTION("""COMPUTED_VALUE"""),"Oakville, Ontario, Canada - Hamilton, Ontario, Canada - Toronto, Ontario, Canada")</f>
        <v/>
      </c>
      <c r="K6119">
        <f>IFERROR(__xludf.DUMMYFUNCTION("""COMPUTED_VALUE"""),7038.09)</f>
        <v/>
      </c>
    </row>
    <row r="6120">
      <c r="J6120">
        <f>IFERROR(__xludf.DUMMYFUNCTION("""COMPUTED_VALUE"""),"Washington, D.C., U.S.A.")</f>
        <v/>
      </c>
      <c r="K6120">
        <f>IFERROR(__xludf.DUMMYFUNCTION("""COMPUTED_VALUE"""),7037.73)</f>
        <v/>
      </c>
    </row>
    <row r="6121">
      <c r="J6121">
        <f>IFERROR(__xludf.DUMMYFUNCTION("""COMPUTED_VALUE"""),"Whistler, British Columbia, Canada; Vancouver, British Columbia, Canada")</f>
        <v/>
      </c>
      <c r="K6121">
        <f>IFERROR(__xludf.DUMMYFUNCTION("""COMPUTED_VALUE"""),7037.32)</f>
        <v/>
      </c>
    </row>
    <row r="6122">
      <c r="J6122">
        <f>IFERROR(__xludf.DUMMYFUNCTION("""COMPUTED_VALUE"""),"St-Johns, Newfoundland and Labrador, Canada")</f>
        <v/>
      </c>
      <c r="K6122">
        <f>IFERROR(__xludf.DUMMYFUNCTION("""COMPUTED_VALUE"""),7033.9)</f>
        <v/>
      </c>
    </row>
    <row r="6123">
      <c r="J6123">
        <f>IFERROR(__xludf.DUMMYFUNCTION("""COMPUTED_VALUE"""),"Bamako, Mali")</f>
        <v/>
      </c>
      <c r="K6123">
        <f>IFERROR(__xludf.DUMMYFUNCTION("""COMPUTED_VALUE"""),7033.12)</f>
        <v/>
      </c>
    </row>
    <row r="6124">
      <c r="J6124">
        <f>IFERROR(__xludf.DUMMYFUNCTION("""COMPUTED_VALUE"""),"Apeldoorn (Holland)")</f>
        <v/>
      </c>
      <c r="K6124">
        <f>IFERROR(__xludf.DUMMYFUNCTION("""COMPUTED_VALUE"""),7031.14)</f>
        <v/>
      </c>
    </row>
    <row r="6125">
      <c r="J6125">
        <f>IFERROR(__xludf.DUMMYFUNCTION("""COMPUTED_VALUE"""),"Santa Fe, Argentina")</f>
        <v/>
      </c>
      <c r="K6125">
        <f>IFERROR(__xludf.DUMMYFUNCTION("""COMPUTED_VALUE"""),7029.54)</f>
        <v/>
      </c>
    </row>
    <row r="6126">
      <c r="J6126">
        <f>IFERROR(__xludf.DUMMYFUNCTION("""COMPUTED_VALUE"""),"New York, NY, U.S.A")</f>
        <v/>
      </c>
      <c r="K6126">
        <f>IFERROR(__xludf.DUMMYFUNCTION("""COMPUTED_VALUE"""),7029.42)</f>
        <v/>
      </c>
    </row>
    <row r="6127">
      <c r="J6127">
        <f>IFERROR(__xludf.DUMMYFUNCTION("""COMPUTED_VALUE"""),"Paris (France)et Deauville (France)")</f>
        <v/>
      </c>
      <c r="K6127">
        <f>IFERROR(__xludf.DUMMYFUNCTION("""COMPUTED_VALUE"""),7029.04)</f>
        <v/>
      </c>
    </row>
    <row r="6128">
      <c r="J6128">
        <f>IFERROR(__xludf.DUMMYFUNCTION("""COMPUTED_VALUE"""),"Victoria, British Columbia, Canada; Duncan, British Columbia, Canada; Nanaimo, British Columbia, Canada; Kelowna, British Columbia, Canada; Vancouver, British Columbia, Canada; Saskatoon, Saskatchewan, Canada")</f>
        <v/>
      </c>
      <c r="K6128">
        <f>IFERROR(__xludf.DUMMYFUNCTION("""COMPUTED_VALUE"""),7024.98)</f>
        <v/>
      </c>
    </row>
    <row r="6129">
      <c r="J6129">
        <f>IFERROR(__xludf.DUMMYFUNCTION("""COMPUTED_VALUE"""),"Portland, Oregon, United States")</f>
        <v/>
      </c>
      <c r="K6129">
        <f>IFERROR(__xludf.DUMMYFUNCTION("""COMPUTED_VALUE"""),7024.82)</f>
        <v/>
      </c>
    </row>
    <row r="6130">
      <c r="J6130">
        <f>IFERROR(__xludf.DUMMYFUNCTION("""COMPUTED_VALUE"""),"St Andrews, New Brunswick, Canada/ Fredericton, New Brunswick, Canada/ Detroit, Michigan, United States/ San Francisco, California, United States")</f>
        <v/>
      </c>
      <c r="K6130">
        <f>IFERROR(__xludf.DUMMYFUNCTION("""COMPUTED_VALUE"""),7024.24)</f>
        <v/>
      </c>
    </row>
    <row r="6131">
      <c r="J6131">
        <f>IFERROR(__xludf.DUMMYFUNCTION("""COMPUTED_VALUE"""),"San Diego, CA / Phoenix, AZ")</f>
        <v/>
      </c>
      <c r="K6131">
        <f>IFERROR(__xludf.DUMMYFUNCTION("""COMPUTED_VALUE"""),7023.69)</f>
        <v/>
      </c>
    </row>
    <row r="6132">
      <c r="J6132">
        <f>IFERROR(__xludf.DUMMYFUNCTION("""COMPUTED_VALUE"""),"Tofino, Nanaimo, Campbell River and Port Hardy, British Columbia, Canada")</f>
        <v/>
      </c>
      <c r="K6132">
        <f>IFERROR(__xludf.DUMMYFUNCTION("""COMPUTED_VALUE"""),7023.42)</f>
        <v/>
      </c>
    </row>
    <row r="6133">
      <c r="J6133">
        <f>IFERROR(__xludf.DUMMYFUNCTION("""COMPUTED_VALUE"""),"Edmonton, Calgary, Kamloops, Vancouver")</f>
        <v/>
      </c>
      <c r="K6133">
        <f>IFERROR(__xludf.DUMMYFUNCTION("""COMPUTED_VALUE"""),7022.71)</f>
        <v/>
      </c>
    </row>
    <row r="6134">
      <c r="J6134">
        <f>IFERROR(__xludf.DUMMYFUNCTION("""COMPUTED_VALUE"""),"Washington, U.S.A.
Mexico City, Mexico")</f>
        <v/>
      </c>
      <c r="K6134">
        <f>IFERROR(__xludf.DUMMYFUNCTION("""COMPUTED_VALUE"""),7021.68)</f>
        <v/>
      </c>
    </row>
    <row r="6135">
      <c r="J6135">
        <f>IFERROR(__xludf.DUMMYFUNCTION("""COMPUTED_VALUE"""),"Halifax (Nova Scotia) Canada;
Truro (Nova Scotia)  Canada;
Charlottetown (Prince Edward Island) Canada")</f>
        <v/>
      </c>
      <c r="K6135">
        <f>IFERROR(__xludf.DUMMYFUNCTION("""COMPUTED_VALUE"""),7021.34)</f>
        <v/>
      </c>
    </row>
    <row r="6136">
      <c r="J6136">
        <f>IFERROR(__xludf.DUMMYFUNCTION("""COMPUTED_VALUE"""),"Toronto; Edmonton; Calgary; Ottawa")</f>
        <v/>
      </c>
      <c r="K6136">
        <f>IFERROR(__xludf.DUMMYFUNCTION("""COMPUTED_VALUE"""),7016.35)</f>
        <v/>
      </c>
    </row>
    <row r="6137">
      <c r="J6137">
        <f>IFERROR(__xludf.DUMMYFUNCTION("""COMPUTED_VALUE"""),"Oslo, Stavanger and Bergen, NorwayReykjavik, Iceland")</f>
        <v/>
      </c>
      <c r="K6137">
        <f>IFERROR(__xludf.DUMMYFUNCTION("""COMPUTED_VALUE"""),7016.32)</f>
        <v/>
      </c>
    </row>
    <row r="6138">
      <c r="J6138">
        <f>IFERROR(__xludf.DUMMYFUNCTION("""COMPUTED_VALUE"""),"Edmonton, Alberta; Abbotsford, British Columbia")</f>
        <v/>
      </c>
      <c r="K6138">
        <f>IFERROR(__xludf.DUMMYFUNCTION("""COMPUTED_VALUE"""),7013.74)</f>
        <v/>
      </c>
    </row>
    <row r="6139">
      <c r="J6139">
        <f>IFERROR(__xludf.DUMMYFUNCTION("""COMPUTED_VALUE"""),"Fredericton, New Brunswick; Halifax, Nova Scotia, Canada")</f>
        <v/>
      </c>
      <c r="K6139">
        <f>IFERROR(__xludf.DUMMYFUNCTION("""COMPUTED_VALUE"""),7013.51999999999)</f>
        <v/>
      </c>
    </row>
    <row r="6140">
      <c r="J6140">
        <f>IFERROR(__xludf.DUMMYFUNCTION("""COMPUTED_VALUE"""),"Calgary / Prince-George")</f>
        <v/>
      </c>
      <c r="K6140">
        <f>IFERROR(__xludf.DUMMYFUNCTION("""COMPUTED_VALUE"""),7012.63999999999)</f>
        <v/>
      </c>
    </row>
    <row r="6141">
      <c r="J6141">
        <f>IFERROR(__xludf.DUMMYFUNCTION("""COMPUTED_VALUE"""),"Haneda, Tokyo, Japan")</f>
        <v/>
      </c>
      <c r="K6141">
        <f>IFERROR(__xludf.DUMMYFUNCTION("""COMPUTED_VALUE"""),7011.52)</f>
        <v/>
      </c>
    </row>
    <row r="6142">
      <c r="J6142">
        <f>IFERROR(__xludf.DUMMYFUNCTION("""COMPUTED_VALUE"""),"Kelowna, British Columbia, Canada; Calgary, Alberta, Canada")</f>
        <v/>
      </c>
      <c r="K6142">
        <f>IFERROR(__xludf.DUMMYFUNCTION("""COMPUTED_VALUE"""),7010.99)</f>
        <v/>
      </c>
    </row>
    <row r="6143">
      <c r="J6143">
        <f>IFERROR(__xludf.DUMMYFUNCTION("""COMPUTED_VALUE"""),"Moncton, New Brunswick (Canada)")</f>
        <v/>
      </c>
      <c r="K6143">
        <f>IFERROR(__xludf.DUMMYFUNCTION("""COMPUTED_VALUE"""),7009.68)</f>
        <v/>
      </c>
    </row>
    <row r="6144">
      <c r="J6144">
        <f>IFERROR(__xludf.DUMMYFUNCTION("""COMPUTED_VALUE"""),"Hollywood, United States of America")</f>
        <v/>
      </c>
      <c r="K6144">
        <f>IFERROR(__xludf.DUMMYFUNCTION("""COMPUTED_VALUE"""),7007.78)</f>
        <v/>
      </c>
    </row>
    <row r="6145">
      <c r="J6145">
        <f>IFERROR(__xludf.DUMMYFUNCTION("""COMPUTED_VALUE"""),"Hong Kong; Ho Chi Minh City, Vietnam; Hanoi, Vietnam")</f>
        <v/>
      </c>
      <c r="K6145">
        <f>IFERROR(__xludf.DUMMYFUNCTION("""COMPUTED_VALUE"""),7006.9)</f>
        <v/>
      </c>
    </row>
    <row r="6146">
      <c r="J6146">
        <f>IFERROR(__xludf.DUMMYFUNCTION("""COMPUTED_VALUE"""),"San Francisco (California), Vancouver (British Columbia), London (United Kingdom), Toronto (Ontario)")</f>
        <v/>
      </c>
      <c r="K6146">
        <f>IFERROR(__xludf.DUMMYFUNCTION("""COMPUTED_VALUE"""),7006.29)</f>
        <v/>
      </c>
    </row>
    <row r="6147">
      <c r="J6147">
        <f>IFERROR(__xludf.DUMMYFUNCTION("""COMPUTED_VALUE"""),"Brussels and Zurich")</f>
        <v/>
      </c>
      <c r="K6147">
        <f>IFERROR(__xludf.DUMMYFUNCTION("""COMPUTED_VALUE"""),7006.06)</f>
        <v/>
      </c>
    </row>
    <row r="6148">
      <c r="J6148">
        <f>IFERROR(__xludf.DUMMYFUNCTION("""COMPUTED_VALUE"""),"Edmonton, AB; Yellowknife, NT; Calgary, AB")</f>
        <v/>
      </c>
      <c r="K6148">
        <f>IFERROR(__xludf.DUMMYFUNCTION("""COMPUTED_VALUE"""),7005.81)</f>
        <v/>
      </c>
    </row>
    <row r="6149">
      <c r="J6149">
        <f>IFERROR(__xludf.DUMMYFUNCTION("""COMPUTED_VALUE"""),"Ottawa, Ont")</f>
        <v/>
      </c>
      <c r="K6149">
        <f>IFERROR(__xludf.DUMMYFUNCTION("""COMPUTED_VALUE"""),7005.51999999999)</f>
        <v/>
      </c>
    </row>
    <row r="6150">
      <c r="J6150">
        <f>IFERROR(__xludf.DUMMYFUNCTION("""COMPUTED_VALUE"""),"Moncton, New Brunswick and Winnipeg, Manitoba")</f>
        <v/>
      </c>
      <c r="K6150">
        <f>IFERROR(__xludf.DUMMYFUNCTION("""COMPUTED_VALUE"""),7002.08)</f>
        <v/>
      </c>
    </row>
    <row r="6151">
      <c r="J6151">
        <f>IFERROR(__xludf.DUMMYFUNCTION("""COMPUTED_VALUE"""),"Rouyn-Noranda, Quebec, Canada")</f>
        <v/>
      </c>
      <c r="K6151">
        <f>IFERROR(__xludf.DUMMYFUNCTION("""COMPUTED_VALUE"""),7000.07)</f>
        <v/>
      </c>
    </row>
    <row r="6152">
      <c r="J6152">
        <f>IFERROR(__xludf.DUMMYFUNCTION("""COMPUTED_VALUE"""),"London, Englamd followed by Montreal and Ottawa in Canada")</f>
        <v/>
      </c>
      <c r="K6152">
        <f>IFERROR(__xludf.DUMMYFUNCTION("""COMPUTED_VALUE"""),6999.22)</f>
        <v/>
      </c>
    </row>
    <row r="6153">
      <c r="J6153">
        <f>IFERROR(__xludf.DUMMYFUNCTION("""COMPUTED_VALUE"""),"Paris, France / London, United Kingdom / Toronto, Ontario, Canada")</f>
        <v/>
      </c>
      <c r="K6153">
        <f>IFERROR(__xludf.DUMMYFUNCTION("""COMPUTED_VALUE"""),6997.22)</f>
        <v/>
      </c>
    </row>
    <row r="6154">
      <c r="J6154">
        <f>IFERROR(__xludf.DUMMYFUNCTION("""COMPUTED_VALUE"""),"Ottawa, ON Wakefield QC")</f>
        <v/>
      </c>
      <c r="K6154">
        <f>IFERROR(__xludf.DUMMYFUNCTION("""COMPUTED_VALUE"""),6997.19)</f>
        <v/>
      </c>
    </row>
    <row r="6155">
      <c r="J6155">
        <f>IFERROR(__xludf.DUMMYFUNCTION("""COMPUTED_VALUE"""),"San Diego; Los Angeles; Toronto; Ottawa")</f>
        <v/>
      </c>
      <c r="K6155">
        <f>IFERROR(__xludf.DUMMYFUNCTION("""COMPUTED_VALUE"""),6996.7)</f>
        <v/>
      </c>
    </row>
    <row r="6156">
      <c r="J6156">
        <f>IFERROR(__xludf.DUMMYFUNCTION("""COMPUTED_VALUE"""),"Korea and China")</f>
        <v/>
      </c>
      <c r="K6156">
        <f>IFERROR(__xludf.DUMMYFUNCTION("""COMPUTED_VALUE"""),6995.42)</f>
        <v/>
      </c>
    </row>
    <row r="6157">
      <c r="J6157">
        <f>IFERROR(__xludf.DUMMYFUNCTION("""COMPUTED_VALUE"""),"Paris, France and London, UK")</f>
        <v/>
      </c>
      <c r="K6157">
        <f>IFERROR(__xludf.DUMMYFUNCTION("""COMPUTED_VALUE"""),6994.85)</f>
        <v/>
      </c>
    </row>
    <row r="6158">
      <c r="J6158">
        <f>IFERROR(__xludf.DUMMYFUNCTION("""COMPUTED_VALUE"""),"Saskatoon,SK")</f>
        <v/>
      </c>
      <c r="K6158">
        <f>IFERROR(__xludf.DUMMYFUNCTION("""COMPUTED_VALUE"""),6993.67)</f>
        <v/>
      </c>
    </row>
    <row r="6159">
      <c r="J6159">
        <f>IFERROR(__xludf.DUMMYFUNCTION("""COMPUTED_VALUE"""),"Vancouver, BC - Terrace, BC - Kamloops, BC - Richmond, BC")</f>
        <v/>
      </c>
      <c r="K6159">
        <f>IFERROR(__xludf.DUMMYFUNCTION("""COMPUTED_VALUE"""),6988.26)</f>
        <v/>
      </c>
    </row>
    <row r="6160">
      <c r="J6160">
        <f>IFERROR(__xludf.DUMMYFUNCTION("""COMPUTED_VALUE"""),"Kiev, Kyiv City, Ukraine, Astana, Kazakhaston, Almaly")</f>
        <v/>
      </c>
      <c r="K6160">
        <f>IFERROR(__xludf.DUMMYFUNCTION("""COMPUTED_VALUE"""),6987.56)</f>
        <v/>
      </c>
    </row>
    <row r="6161">
      <c r="J6161">
        <f>IFERROR(__xludf.DUMMYFUNCTION("""COMPUTED_VALUE"""),"Bagdad, Iraq")</f>
        <v/>
      </c>
      <c r="K6161">
        <f>IFERROR(__xludf.DUMMYFUNCTION("""COMPUTED_VALUE"""),6987.15)</f>
        <v/>
      </c>
    </row>
    <row r="6162">
      <c r="J6162">
        <f>IFERROR(__xludf.DUMMYFUNCTION("""COMPUTED_VALUE"""),"From Berlin to Ottawa")</f>
        <v/>
      </c>
      <c r="K6162">
        <f>IFERROR(__xludf.DUMMYFUNCTION("""COMPUTED_VALUE"""),6986.86)</f>
        <v/>
      </c>
    </row>
    <row r="6163">
      <c r="J6163">
        <f>IFERROR(__xludf.DUMMYFUNCTION("""COMPUTED_VALUE"""),"Regina, Canada")</f>
        <v/>
      </c>
      <c r="K6163">
        <f>IFERROR(__xludf.DUMMYFUNCTION("""COMPUTED_VALUE"""),6985.78)</f>
        <v/>
      </c>
    </row>
    <row r="6164">
      <c r="J6164">
        <f>IFERROR(__xludf.DUMMYFUNCTION("""COMPUTED_VALUE"""),"Saskatoon, Toronto")</f>
        <v/>
      </c>
      <c r="K6164">
        <f>IFERROR(__xludf.DUMMYFUNCTION("""COMPUTED_VALUE"""),6982.65)</f>
        <v/>
      </c>
    </row>
    <row r="6165">
      <c r="J6165">
        <f>IFERROR(__xludf.DUMMYFUNCTION("""COMPUTED_VALUE"""),"London, England and Tunis, Tunisia")</f>
        <v/>
      </c>
      <c r="K6165">
        <f>IFERROR(__xludf.DUMMYFUNCTION("""COMPUTED_VALUE"""),6982.35)</f>
        <v/>
      </c>
    </row>
    <row r="6166">
      <c r="J6166">
        <f>IFERROR(__xludf.DUMMYFUNCTION("""COMPUTED_VALUE"""),"Mexico &amp; Costa Rica")</f>
        <v/>
      </c>
      <c r="K6166">
        <f>IFERROR(__xludf.DUMMYFUNCTION("""COMPUTED_VALUE"""),6981.86)</f>
        <v/>
      </c>
    </row>
    <row r="6167">
      <c r="J6167">
        <f>IFERROR(__xludf.DUMMYFUNCTION("""COMPUTED_VALUE"""),"Ottawa and Peterborough, Ontario")</f>
        <v/>
      </c>
      <c r="K6167">
        <f>IFERROR(__xludf.DUMMYFUNCTION("""COMPUTED_VALUE"""),6980.61)</f>
        <v/>
      </c>
    </row>
    <row r="6168">
      <c r="J6168">
        <f>IFERROR(__xludf.DUMMYFUNCTION("""COMPUTED_VALUE"""),"Calgary (Alberta) Canada
Ottawa (Ontario) Canada")</f>
        <v/>
      </c>
      <c r="K6168">
        <f>IFERROR(__xludf.DUMMYFUNCTION("""COMPUTED_VALUE"""),6976.38)</f>
        <v/>
      </c>
    </row>
    <row r="6169">
      <c r="J6169">
        <f>IFERROR(__xludf.DUMMYFUNCTION("""COMPUTED_VALUE"""),"Philadelphia, Pennsylvania")</f>
        <v/>
      </c>
      <c r="K6169">
        <f>IFERROR(__xludf.DUMMYFUNCTION("""COMPUTED_VALUE"""),6975.25)</f>
        <v/>
      </c>
    </row>
    <row r="6170">
      <c r="J6170">
        <f>IFERROR(__xludf.DUMMYFUNCTION("""COMPUTED_VALUE"""),"Saskatoon, Saskatchewan, Canada / Toronto, Ontario, Canada")</f>
        <v/>
      </c>
      <c r="K6170">
        <f>IFERROR(__xludf.DUMMYFUNCTION("""COMPUTED_VALUE"""),6974.39)</f>
        <v/>
      </c>
    </row>
    <row r="6171">
      <c r="J6171">
        <f>IFERROR(__xludf.DUMMYFUNCTION("""COMPUTED_VALUE"""),"Fort Worth, United States")</f>
        <v/>
      </c>
      <c r="K6171">
        <f>IFERROR(__xludf.DUMMYFUNCTION("""COMPUTED_VALUE"""),6972.85)</f>
        <v/>
      </c>
    </row>
    <row r="6172">
      <c r="J6172">
        <f>IFERROR(__xludf.DUMMYFUNCTION("""COMPUTED_VALUE"""),"Calabogie, ON")</f>
        <v/>
      </c>
      <c r="K6172">
        <f>IFERROR(__xludf.DUMMYFUNCTION("""COMPUTED_VALUE"""),6972.79)</f>
        <v/>
      </c>
    </row>
    <row r="6173">
      <c r="J6173">
        <f>IFERROR(__xludf.DUMMYFUNCTION("""COMPUTED_VALUE"""),"Basel Mulhouse- Switzerland")</f>
        <v/>
      </c>
      <c r="K6173">
        <f>IFERROR(__xludf.DUMMYFUNCTION("""COMPUTED_VALUE"""),6971.81)</f>
        <v/>
      </c>
    </row>
    <row r="6174">
      <c r="J6174">
        <f>IFERROR(__xludf.DUMMYFUNCTION("""COMPUTED_VALUE"""),"Dublin, Ireland, Zurich, Switzerland and Basel, Switzerland")</f>
        <v/>
      </c>
      <c r="K6174">
        <f>IFERROR(__xludf.DUMMYFUNCTION("""COMPUTED_VALUE"""),6971.36)</f>
        <v/>
      </c>
    </row>
    <row r="6175">
      <c r="J6175">
        <f>IFERROR(__xludf.DUMMYFUNCTION("""COMPUTED_VALUE"""),"Charlottetown, Prince Edward Island, Canada; Saint John, New Brunswick, Canada")</f>
        <v/>
      </c>
      <c r="K6175">
        <f>IFERROR(__xludf.DUMMYFUNCTION("""COMPUTED_VALUE"""),6971.32)</f>
        <v/>
      </c>
    </row>
    <row r="6176">
      <c r="J6176">
        <f>IFERROR(__xludf.DUMMYFUNCTION("""COMPUTED_VALUE"""),"Victoria, Edmonton, Saskatoon, Canada")</f>
        <v/>
      </c>
      <c r="K6176">
        <f>IFERROR(__xludf.DUMMYFUNCTION("""COMPUTED_VALUE"""),6971.04)</f>
        <v/>
      </c>
    </row>
    <row r="6177">
      <c r="J6177">
        <f>IFERROR(__xludf.DUMMYFUNCTION("""COMPUTED_VALUE"""),"Schiphol")</f>
        <v/>
      </c>
      <c r="K6177">
        <f>IFERROR(__xludf.DUMMYFUNCTION("""COMPUTED_VALUE"""),6970.02)</f>
        <v/>
      </c>
    </row>
    <row r="6178">
      <c r="J6178">
        <f>IFERROR(__xludf.DUMMYFUNCTION("""COMPUTED_VALUE"""),"Jones Falls, Ottawa, Ontario, St. John's, Newfoundland, Montréal, Québec")</f>
        <v/>
      </c>
      <c r="K6178">
        <f>IFERROR(__xludf.DUMMYFUNCTION("""COMPUTED_VALUE"""),6969.34)</f>
        <v/>
      </c>
    </row>
    <row r="6179">
      <c r="J6179">
        <f>IFERROR(__xludf.DUMMYFUNCTION("""COMPUTED_VALUE"""),"London, United Kingdom / Dubai, United Arab Emirates / Kabul, Afghanistan / Washington DC, United States")</f>
        <v/>
      </c>
      <c r="K6179">
        <f>IFERROR(__xludf.DUMMYFUNCTION("""COMPUTED_VALUE"""),6968.83)</f>
        <v/>
      </c>
    </row>
    <row r="6180">
      <c r="J6180">
        <f>IFERROR(__xludf.DUMMYFUNCTION("""COMPUTED_VALUE"""),"Ottawa-Toronto-Ottawa-Vancouver")</f>
        <v/>
      </c>
      <c r="K6180">
        <f>IFERROR(__xludf.DUMMYFUNCTION("""COMPUTED_VALUE"""),6968.73)</f>
        <v/>
      </c>
    </row>
    <row r="6181">
      <c r="J6181">
        <f>IFERROR(__xludf.DUMMYFUNCTION("""COMPUTED_VALUE"""),"Vancouver, British Columbia, Canada / Calgary, Alberta, Canada / Edmonton, Alberta, Canada")</f>
        <v/>
      </c>
      <c r="K6181">
        <f>IFERROR(__xludf.DUMMYFUNCTION("""COMPUTED_VALUE"""),6968.7)</f>
        <v/>
      </c>
    </row>
    <row r="6182">
      <c r="J6182">
        <f>IFERROR(__xludf.DUMMYFUNCTION("""COMPUTED_VALUE"""),"Winnipeg, (Manitoba) - Calgary, (Alberta) - Saskatoon, (Saskatchewan)")</f>
        <v/>
      </c>
      <c r="K6182">
        <f>IFERROR(__xludf.DUMMYFUNCTION("""COMPUTED_VALUE"""),6965.17)</f>
        <v/>
      </c>
    </row>
    <row r="6183">
      <c r="J6183">
        <f>IFERROR(__xludf.DUMMYFUNCTION("""COMPUTED_VALUE"""),"Ottawa, ON, Toronto, ON, Paris, France, Rome, Italy")</f>
        <v/>
      </c>
      <c r="K6183">
        <f>IFERROR(__xludf.DUMMYFUNCTION("""COMPUTED_VALUE"""),6962.95)</f>
        <v/>
      </c>
    </row>
    <row r="6184">
      <c r="J6184">
        <f>IFERROR(__xludf.DUMMYFUNCTION("""COMPUTED_VALUE"""),"Mabitoba/Saskatchewan , Canada")</f>
        <v/>
      </c>
      <c r="K6184">
        <f>IFERROR(__xludf.DUMMYFUNCTION("""COMPUTED_VALUE"""),6962.87)</f>
        <v/>
      </c>
    </row>
    <row r="6185">
      <c r="J6185">
        <f>IFERROR(__xludf.DUMMYFUNCTION("""COMPUTED_VALUE"""),"Ottawa/Toronto")</f>
        <v/>
      </c>
      <c r="K6185">
        <f>IFERROR(__xludf.DUMMYFUNCTION("""COMPUTED_VALUE"""),6960.13)</f>
        <v/>
      </c>
    </row>
    <row r="6186">
      <c r="J6186">
        <f>IFERROR(__xludf.DUMMYFUNCTION("""COMPUTED_VALUE"""),"Beijing and Shanghai")</f>
        <v/>
      </c>
      <c r="K6186">
        <f>IFERROR(__xludf.DUMMYFUNCTION("""COMPUTED_VALUE"""),6959.89)</f>
        <v/>
      </c>
    </row>
    <row r="6187">
      <c r="J6187">
        <f>IFERROR(__xludf.DUMMYFUNCTION("""COMPUTED_VALUE"""),"Cape Canaveral, Florida, United-States")</f>
        <v/>
      </c>
      <c r="K6187">
        <f>IFERROR(__xludf.DUMMYFUNCTION("""COMPUTED_VALUE"""),6958.16)</f>
        <v/>
      </c>
    </row>
    <row r="6188">
      <c r="J6188">
        <f>IFERROR(__xludf.DUMMYFUNCTION("""COMPUTED_VALUE"""),"Campbell River, British Columbia, Canada")</f>
        <v/>
      </c>
      <c r="K6188">
        <f>IFERROR(__xludf.DUMMYFUNCTION("""COMPUTED_VALUE"""),6957.64)</f>
        <v/>
      </c>
    </row>
    <row r="6189">
      <c r="J6189">
        <f>IFERROR(__xludf.DUMMYFUNCTION("""COMPUTED_VALUE"""),"Vancouver, British Columbia, Canada;Calgary, Alberta, Canada;")</f>
        <v/>
      </c>
      <c r="K6189">
        <f>IFERROR(__xludf.DUMMYFUNCTION("""COMPUTED_VALUE"""),6955.31)</f>
        <v/>
      </c>
    </row>
    <row r="6190">
      <c r="J6190">
        <f>IFERROR(__xludf.DUMMYFUNCTION("""COMPUTED_VALUE"""),"Ottawa, ON, Canada - Norfolk, VA, USA - Halifax, NS, Canada")</f>
        <v/>
      </c>
      <c r="K6190">
        <f>IFERROR(__xludf.DUMMYFUNCTION("""COMPUTED_VALUE"""),6953.71)</f>
        <v/>
      </c>
    </row>
    <row r="6191">
      <c r="J6191">
        <f>IFERROR(__xludf.DUMMYFUNCTION("""COMPUTED_VALUE"""),"Brussels (Belgium) and Paris (France)")</f>
        <v/>
      </c>
      <c r="K6191">
        <f>IFERROR(__xludf.DUMMYFUNCTION("""COMPUTED_VALUE"""),6952.96)</f>
        <v/>
      </c>
    </row>
    <row r="6192">
      <c r="J6192">
        <f>IFERROR(__xludf.DUMMYFUNCTION("""COMPUTED_VALUE"""),"Mississauga, Ontario, Canada; Vancouver, British Columbia, Canada")</f>
        <v/>
      </c>
      <c r="K6192">
        <f>IFERROR(__xludf.DUMMYFUNCTION("""COMPUTED_VALUE"""),6952.83)</f>
        <v/>
      </c>
    </row>
    <row r="6193">
      <c r="J6193">
        <f>IFERROR(__xludf.DUMMYFUNCTION("""COMPUTED_VALUE"""),"Halifax, Nova Scotia, Canada; Vancouver, British Columbia, Canada")</f>
        <v/>
      </c>
      <c r="K6193">
        <f>IFERROR(__xludf.DUMMYFUNCTION("""COMPUTED_VALUE"""),6950.96)</f>
        <v/>
      </c>
    </row>
    <row r="6194">
      <c r="J6194">
        <f>IFERROR(__xludf.DUMMYFUNCTION("""COMPUTED_VALUE"""),"Washington, District of Columbia (DC), United States")</f>
        <v/>
      </c>
      <c r="K6194">
        <f>IFERROR(__xludf.DUMMYFUNCTION("""COMPUTED_VALUE"""),6949.54)</f>
        <v/>
      </c>
    </row>
    <row r="6195">
      <c r="J6195">
        <f>IFERROR(__xludf.DUMMYFUNCTION("""COMPUTED_VALUE"""),"Miami, United States")</f>
        <v/>
      </c>
      <c r="K6195">
        <f>IFERROR(__xludf.DUMMYFUNCTION("""COMPUTED_VALUE"""),6948.82)</f>
        <v/>
      </c>
    </row>
    <row r="6196">
      <c r="J6196">
        <f>IFERROR(__xludf.DUMMYFUNCTION("""COMPUTED_VALUE"""),"White Horse, Yukon, Canada")</f>
        <v/>
      </c>
      <c r="K6196">
        <f>IFERROR(__xludf.DUMMYFUNCTION("""COMPUTED_VALUE"""),6947.82)</f>
        <v/>
      </c>
    </row>
    <row r="6197">
      <c r="J6197">
        <f>IFERROR(__xludf.DUMMYFUNCTION("""COMPUTED_VALUE"""),"Toronto, ON Sault Ste.Marie, ON Banff, AB")</f>
        <v/>
      </c>
      <c r="K6197">
        <f>IFERROR(__xludf.DUMMYFUNCTION("""COMPUTED_VALUE"""),6945.43)</f>
        <v/>
      </c>
    </row>
    <row r="6198">
      <c r="J6198">
        <f>IFERROR(__xludf.DUMMYFUNCTION("""COMPUTED_VALUE"""),"London, Dublin")</f>
        <v/>
      </c>
      <c r="K6198">
        <f>IFERROR(__xludf.DUMMYFUNCTION("""COMPUTED_VALUE"""),6945.38)</f>
        <v/>
      </c>
    </row>
    <row r="6199">
      <c r="J6199">
        <f>IFERROR(__xludf.DUMMYFUNCTION("""COMPUTED_VALUE"""),"Los Angeles, California and Vancouver, British Columbia")</f>
        <v/>
      </c>
      <c r="K6199">
        <f>IFERROR(__xludf.DUMMYFUNCTION("""COMPUTED_VALUE"""),6944.6)</f>
        <v/>
      </c>
    </row>
    <row r="6200">
      <c r="J6200">
        <f>IFERROR(__xludf.DUMMYFUNCTION("""COMPUTED_VALUE"""),"Boca Raton,Florida")</f>
        <v/>
      </c>
      <c r="K6200">
        <f>IFERROR(__xludf.DUMMYFUNCTION("""COMPUTED_VALUE"""),6943.41)</f>
        <v/>
      </c>
    </row>
    <row r="6201">
      <c r="J6201">
        <f>IFERROR(__xludf.DUMMYFUNCTION("""COMPUTED_VALUE"""),"Ottawa, Ontario / Vancouver, British Columbia / Whitehorse, Yukon, Canada")</f>
        <v/>
      </c>
      <c r="K6201">
        <f>IFERROR(__xludf.DUMMYFUNCTION("""COMPUTED_VALUE"""),6942.36)</f>
        <v/>
      </c>
    </row>
    <row r="6202">
      <c r="J6202">
        <f>IFERROR(__xludf.DUMMYFUNCTION("""COMPUTED_VALUE"""),"Paris, France &amp; Brussels,Belgium")</f>
        <v/>
      </c>
      <c r="K6202">
        <f>IFERROR(__xludf.DUMMYFUNCTION("""COMPUTED_VALUE"""),6942)</f>
        <v/>
      </c>
    </row>
    <row r="6203">
      <c r="J6203">
        <f>IFERROR(__xludf.DUMMYFUNCTION("""COMPUTED_VALUE"""),"Brussels Belgium, Paris France")</f>
        <v/>
      </c>
      <c r="K6203">
        <f>IFERROR(__xludf.DUMMYFUNCTION("""COMPUTED_VALUE"""),6938.05)</f>
        <v/>
      </c>
    </row>
    <row r="6204">
      <c r="J6204">
        <f>IFERROR(__xludf.DUMMYFUNCTION("""COMPUTED_VALUE"""),"Arlington, Virginia")</f>
        <v/>
      </c>
      <c r="K6204">
        <f>IFERROR(__xludf.DUMMYFUNCTION("""COMPUTED_VALUE"""),6937.5)</f>
        <v/>
      </c>
    </row>
    <row r="6205">
      <c r="J6205">
        <f>IFERROR(__xludf.DUMMYFUNCTION("""COMPUTED_VALUE"""),"Kuwait, and Amman, Jordan")</f>
        <v/>
      </c>
      <c r="K6205">
        <f>IFERROR(__xludf.DUMMYFUNCTION("""COMPUTED_VALUE"""),6937.35)</f>
        <v/>
      </c>
    </row>
    <row r="6206">
      <c r="J6206">
        <f>IFERROR(__xludf.DUMMYFUNCTION("""COMPUTED_VALUE"""),"Ottawa-Toronto (Ontario) Canada")</f>
        <v/>
      </c>
      <c r="K6206">
        <f>IFERROR(__xludf.DUMMYFUNCTION("""COMPUTED_VALUE"""),6937.34)</f>
        <v/>
      </c>
    </row>
    <row r="6207">
      <c r="J6207">
        <f>IFERROR(__xludf.DUMMYFUNCTION("""COMPUTED_VALUE"""),"Montreal, Delhi, Canada")</f>
        <v/>
      </c>
      <c r="K6207">
        <f>IFERROR(__xludf.DUMMYFUNCTION("""COMPUTED_VALUE"""),6935.54)</f>
        <v/>
      </c>
    </row>
    <row r="6208">
      <c r="J6208">
        <f>IFERROR(__xludf.DUMMYFUNCTION("""COMPUTED_VALUE"""),"Calgary, Alberta, Canada; Vancouver, British Columbia, Canada; Burnaby, British Columbia, Canada")</f>
        <v/>
      </c>
      <c r="K6208">
        <f>IFERROR(__xludf.DUMMYFUNCTION("""COMPUTED_VALUE"""),6934.37)</f>
        <v/>
      </c>
    </row>
    <row r="6209">
      <c r="J6209">
        <f>IFERROR(__xludf.DUMMYFUNCTION("""COMPUTED_VALUE"""),"Vancouver, British Columbia, Toronto, Ontario, Canada")</f>
        <v/>
      </c>
      <c r="K6209">
        <f>IFERROR(__xludf.DUMMYFUNCTION("""COMPUTED_VALUE"""),6931.98)</f>
        <v/>
      </c>
    </row>
    <row r="6210">
      <c r="J6210">
        <f>IFERROR(__xludf.DUMMYFUNCTION("""COMPUTED_VALUE"""),"Winnipeg, MB; Calgary, AB; Vancouver, BC")</f>
        <v/>
      </c>
      <c r="K6210">
        <f>IFERROR(__xludf.DUMMYFUNCTION("""COMPUTED_VALUE"""),6931.80999999999)</f>
        <v/>
      </c>
    </row>
    <row r="6211">
      <c r="J6211">
        <f>IFERROR(__xludf.DUMMYFUNCTION("""COMPUTED_VALUE"""),"Le Caire, Egypte")</f>
        <v/>
      </c>
      <c r="K6211">
        <f>IFERROR(__xludf.DUMMYFUNCTION("""COMPUTED_VALUE"""),6931.79)</f>
        <v/>
      </c>
    </row>
    <row r="6212">
      <c r="J6212">
        <f>IFERROR(__xludf.DUMMYFUNCTION("""COMPUTED_VALUE"""),"Amman, Jordan;  Muharraq, Bahrain")</f>
        <v/>
      </c>
      <c r="K6212">
        <f>IFERROR(__xludf.DUMMYFUNCTION("""COMPUTED_VALUE"""),6931.7)</f>
        <v/>
      </c>
    </row>
    <row r="6213">
      <c r="J6213">
        <f>IFERROR(__xludf.DUMMYFUNCTION("""COMPUTED_VALUE"""),"Toronto, Ontario/ Vancouver, British Columbia/Gatineau, Quebec")</f>
        <v/>
      </c>
      <c r="K6213">
        <f>IFERROR(__xludf.DUMMYFUNCTION("""COMPUTED_VALUE"""),6931.59)</f>
        <v/>
      </c>
    </row>
    <row r="6214">
      <c r="J6214">
        <f>IFERROR(__xludf.DUMMYFUNCTION("""COMPUTED_VALUE"""),"Greenland Ireland")</f>
        <v/>
      </c>
      <c r="K6214">
        <f>IFERROR(__xludf.DUMMYFUNCTION("""COMPUTED_VALUE"""),6931.4)</f>
        <v/>
      </c>
    </row>
    <row r="6215">
      <c r="J6215">
        <f>IFERROR(__xludf.DUMMYFUNCTION("""COMPUTED_VALUE"""),"Boston (Massachusetts) United States")</f>
        <v/>
      </c>
      <c r="K6215">
        <f>IFERROR(__xludf.DUMMYFUNCTION("""COMPUTED_VALUE"""),6929.97)</f>
        <v/>
      </c>
    </row>
    <row r="6216">
      <c r="J6216">
        <f>IFERROR(__xludf.DUMMYFUNCTION("""COMPUTED_VALUE"""),"Kinshasa, DRC")</f>
        <v/>
      </c>
      <c r="K6216">
        <f>IFERROR(__xludf.DUMMYFUNCTION("""COMPUTED_VALUE"""),6929.37)</f>
        <v/>
      </c>
    </row>
    <row r="6217">
      <c r="J6217">
        <f>IFERROR(__xludf.DUMMYFUNCTION("""COMPUTED_VALUE"""),"Regina, Saskatchewan / Winnipeg, Manitoba / Thunder Bay, Ontario / Sudbury, Ontario, Canada")</f>
        <v/>
      </c>
      <c r="K6217">
        <f>IFERROR(__xludf.DUMMYFUNCTION("""COMPUTED_VALUE"""),6927.45)</f>
        <v/>
      </c>
    </row>
    <row r="6218">
      <c r="J6218">
        <f>IFERROR(__xludf.DUMMYFUNCTION("""COMPUTED_VALUE"""),"Luxembourg")</f>
        <v/>
      </c>
      <c r="K6218">
        <f>IFERROR(__xludf.DUMMYFUNCTION("""COMPUTED_VALUE"""),6925.47)</f>
        <v/>
      </c>
    </row>
    <row r="6219">
      <c r="J6219">
        <f>IFERROR(__xludf.DUMMYFUNCTION("""COMPUTED_VALUE"""),"Thunder Bay, ON / Toronto, ON")</f>
        <v/>
      </c>
      <c r="K6219">
        <f>IFERROR(__xludf.DUMMYFUNCTION("""COMPUTED_VALUE"""),6924.59)</f>
        <v/>
      </c>
    </row>
    <row r="6220">
      <c r="J6220">
        <f>IFERROR(__xludf.DUMMYFUNCTION("""COMPUTED_VALUE"""),"Winnipeg, Manitoba; Vancouver, British Columbia")</f>
        <v/>
      </c>
      <c r="K6220">
        <f>IFERROR(__xludf.DUMMYFUNCTION("""COMPUTED_VALUE"""),6923.12)</f>
        <v/>
      </c>
    </row>
    <row r="6221">
      <c r="J6221">
        <f>IFERROR(__xludf.DUMMYFUNCTION("""COMPUTED_VALUE"""),"Fredericton, New Brunswick / Moncton, New Brunswick, Canada")</f>
        <v/>
      </c>
      <c r="K6221">
        <f>IFERROR(__xludf.DUMMYFUNCTION("""COMPUTED_VALUE"""),6918.59)</f>
        <v/>
      </c>
    </row>
    <row r="6222">
      <c r="J6222">
        <f>IFERROR(__xludf.DUMMYFUNCTION("""COMPUTED_VALUE"""),"Toronto, Ontario, Canada
Vancouver, British Columbia, Canada
Calgary, Alberta, Canada
Yellowknife, Northwest Territories, Canada
Winnipeg, Manitoba, Canada
Montreal, Quebec, Canada
Halifax, Nova Scotia, Canada")</f>
        <v/>
      </c>
      <c r="K6222">
        <f>IFERROR(__xludf.DUMMYFUNCTION("""COMPUTED_VALUE"""),6917.56)</f>
        <v/>
      </c>
    </row>
    <row r="6223">
      <c r="J6223">
        <f>IFERROR(__xludf.DUMMYFUNCTION("""COMPUTED_VALUE"""),"Manila, Phillippines")</f>
        <v/>
      </c>
      <c r="K6223">
        <f>IFERROR(__xludf.DUMMYFUNCTION("""COMPUTED_VALUE"""),6915.95)</f>
        <v/>
      </c>
    </row>
    <row r="6224">
      <c r="J6224">
        <f>IFERROR(__xludf.DUMMYFUNCTION("""COMPUTED_VALUE"""),"Quebec, Quebec, Canada")</f>
        <v/>
      </c>
      <c r="K6224">
        <f>IFERROR(__xludf.DUMMYFUNCTION("""COMPUTED_VALUE"""),6915.88)</f>
        <v/>
      </c>
    </row>
    <row r="6225">
      <c r="J6225">
        <f>IFERROR(__xludf.DUMMYFUNCTION("""COMPUTED_VALUE"""),"Ottawa, ON; Seattle, WA")</f>
        <v/>
      </c>
      <c r="K6225">
        <f>IFERROR(__xludf.DUMMYFUNCTION("""COMPUTED_VALUE"""),6915.33)</f>
        <v/>
      </c>
    </row>
    <row r="6226">
      <c r="J6226">
        <f>IFERROR(__xludf.DUMMYFUNCTION("""COMPUTED_VALUE"""),"Republic of Honduras and Republic of Guatemala")</f>
        <v/>
      </c>
      <c r="K6226">
        <f>IFERROR(__xludf.DUMMYFUNCTION("""COMPUTED_VALUE"""),6912.99)</f>
        <v/>
      </c>
    </row>
    <row r="6227">
      <c r="J6227">
        <f>IFERROR(__xludf.DUMMYFUNCTION("""COMPUTED_VALUE"""),"Vancouver, British Colombia; Calgary, Alberta; Toronto, Ontario")</f>
        <v/>
      </c>
      <c r="K6227">
        <f>IFERROR(__xludf.DUMMYFUNCTION("""COMPUTED_VALUE"""),6912.49)</f>
        <v/>
      </c>
    </row>
    <row r="6228">
      <c r="J6228">
        <f>IFERROR(__xludf.DUMMYFUNCTION("""COMPUTED_VALUE"""),"Moscow and Salekhard, Russia")</f>
        <v/>
      </c>
      <c r="K6228">
        <f>IFERROR(__xludf.DUMMYFUNCTION("""COMPUTED_VALUE"""),6910.77)</f>
        <v/>
      </c>
    </row>
    <row r="6229">
      <c r="J6229">
        <f>IFERROR(__xludf.DUMMYFUNCTION("""COMPUTED_VALUE"""),"Calgary - Vancouver - Victoria - Toronto - Calgary")</f>
        <v/>
      </c>
      <c r="K6229">
        <f>IFERROR(__xludf.DUMMYFUNCTION("""COMPUTED_VALUE"""),6907.25)</f>
        <v/>
      </c>
    </row>
    <row r="6230">
      <c r="J6230">
        <f>IFERROR(__xludf.DUMMYFUNCTION("""COMPUTED_VALUE"""),"Victoria, British Colombia")</f>
        <v/>
      </c>
      <c r="K6230">
        <f>IFERROR(__xludf.DUMMYFUNCTION("""COMPUTED_VALUE"""),6905.27)</f>
        <v/>
      </c>
    </row>
    <row r="6231">
      <c r="J6231">
        <f>IFERROR(__xludf.DUMMYFUNCTION("""COMPUTED_VALUE"""),"Halifax, Toronto and Ottawa")</f>
        <v/>
      </c>
      <c r="K6231">
        <f>IFERROR(__xludf.DUMMYFUNCTION("""COMPUTED_VALUE"""),6904.61)</f>
        <v/>
      </c>
    </row>
    <row r="6232">
      <c r="J6232">
        <f>IFERROR(__xludf.DUMMYFUNCTION("""COMPUTED_VALUE"""),"Vancouver, BC, Toronto, ON")</f>
        <v/>
      </c>
      <c r="K6232">
        <f>IFERROR(__xludf.DUMMYFUNCTION("""COMPUTED_VALUE"""),6899.70999999999)</f>
        <v/>
      </c>
    </row>
    <row r="6233">
      <c r="J6233">
        <f>IFERROR(__xludf.DUMMYFUNCTION("""COMPUTED_VALUE"""),"Portugal, Southern Europe")</f>
        <v/>
      </c>
      <c r="K6233">
        <f>IFERROR(__xludf.DUMMYFUNCTION("""COMPUTED_VALUE"""),6899.37)</f>
        <v/>
      </c>
    </row>
    <row r="6234">
      <c r="J6234">
        <f>IFERROR(__xludf.DUMMYFUNCTION("""COMPUTED_VALUE"""),"Charlottetown, Prince Edward Island, Canada and  Port Hawkesbury and Membertou, Nova Scotia, Canada")</f>
        <v/>
      </c>
      <c r="K6234">
        <f>IFERROR(__xludf.DUMMYFUNCTION("""COMPUTED_VALUE"""),6898.55)</f>
        <v/>
      </c>
    </row>
    <row r="6235">
      <c r="J6235">
        <f>IFERROR(__xludf.DUMMYFUNCTION("""COMPUTED_VALUE"""),"Vancouver, Victoria, British Columbia, Canada; Whitehorse, Yukon, Canada; Edmonton, Alberta, Canada")</f>
        <v/>
      </c>
      <c r="K6235">
        <f>IFERROR(__xludf.DUMMYFUNCTION("""COMPUTED_VALUE"""),6895.8)</f>
        <v/>
      </c>
    </row>
    <row r="6236">
      <c r="J6236">
        <f>IFERROR(__xludf.DUMMYFUNCTION("""COMPUTED_VALUE"""),"Kayseri, Turkey")</f>
        <v/>
      </c>
      <c r="K6236">
        <f>IFERROR(__xludf.DUMMYFUNCTION("""COMPUTED_VALUE"""),6895.56)</f>
        <v/>
      </c>
    </row>
    <row r="6237">
      <c r="J6237">
        <f>IFERROR(__xludf.DUMMYFUNCTION("""COMPUTED_VALUE"""),"Goose Bay, Newfoundland")</f>
        <v/>
      </c>
      <c r="K6237">
        <f>IFERROR(__xludf.DUMMYFUNCTION("""COMPUTED_VALUE"""),6894.71999999999)</f>
        <v/>
      </c>
    </row>
    <row r="6238">
      <c r="J6238">
        <f>IFERROR(__xludf.DUMMYFUNCTION("""COMPUTED_VALUE"""),"Pasadena, California")</f>
        <v/>
      </c>
      <c r="K6238">
        <f>IFERROR(__xludf.DUMMYFUNCTION("""COMPUTED_VALUE"""),6893.63999999999)</f>
        <v/>
      </c>
    </row>
    <row r="6239">
      <c r="J6239">
        <f>IFERROR(__xludf.DUMMYFUNCTION("""COMPUTED_VALUE"""),"New Delhi, Banagkok, Guangzhou and Hong Kong")</f>
        <v/>
      </c>
      <c r="K6239">
        <f>IFERROR(__xludf.DUMMYFUNCTION("""COMPUTED_VALUE"""),6893.18)</f>
        <v/>
      </c>
    </row>
    <row r="6240">
      <c r="J6240">
        <f>IFERROR(__xludf.DUMMYFUNCTION("""COMPUTED_VALUE"""),"Canada-Ottawa")</f>
        <v/>
      </c>
      <c r="K6240">
        <f>IFERROR(__xludf.DUMMYFUNCTION("""COMPUTED_VALUE"""),6893)</f>
        <v/>
      </c>
    </row>
    <row r="6241">
      <c r="J6241">
        <f>IFERROR(__xludf.DUMMYFUNCTION("""COMPUTED_VALUE"""),"Winnipeg, Toronto, Sudbury")</f>
        <v/>
      </c>
      <c r="K6241">
        <f>IFERROR(__xludf.DUMMYFUNCTION("""COMPUTED_VALUE"""),6890.98)</f>
        <v/>
      </c>
    </row>
    <row r="6242">
      <c r="J6242">
        <f>IFERROR(__xludf.DUMMYFUNCTION("""COMPUTED_VALUE"""),"Vancouver, Seoul")</f>
        <v/>
      </c>
      <c r="K6242">
        <f>IFERROR(__xludf.DUMMYFUNCTION("""COMPUTED_VALUE"""),6890.21)</f>
        <v/>
      </c>
    </row>
    <row r="6243">
      <c r="J6243">
        <f>IFERROR(__xludf.DUMMYFUNCTION("""COMPUTED_VALUE"""),"Paris and Amsterdam")</f>
        <v/>
      </c>
      <c r="K6243">
        <f>IFERROR(__xludf.DUMMYFUNCTION("""COMPUTED_VALUE"""),6888.96)</f>
        <v/>
      </c>
    </row>
    <row r="6244">
      <c r="J6244">
        <f>IFERROR(__xludf.DUMMYFUNCTION("""COMPUTED_VALUE"""),"Îles-de-la-Madeleine et Gatineau")</f>
        <v/>
      </c>
      <c r="K6244">
        <f>IFERROR(__xludf.DUMMYFUNCTION("""COMPUTED_VALUE"""),6888.22)</f>
        <v/>
      </c>
    </row>
    <row r="6245">
      <c r="J6245">
        <f>IFERROR(__xludf.DUMMYFUNCTION("""COMPUTED_VALUE"""),"Toronto and Ottawa, ON, Canada")</f>
        <v/>
      </c>
      <c r="K6245">
        <f>IFERROR(__xludf.DUMMYFUNCTION("""COMPUTED_VALUE"""),6887.58)</f>
        <v/>
      </c>
    </row>
    <row r="6246">
      <c r="J6246">
        <f>IFERROR(__xludf.DUMMYFUNCTION("""COMPUTED_VALUE"""),"Nanaimo, BC / Vancouver, BC")</f>
        <v/>
      </c>
      <c r="K6246">
        <f>IFERROR(__xludf.DUMMYFUNCTION("""COMPUTED_VALUE"""),6887.47)</f>
        <v/>
      </c>
    </row>
    <row r="6247">
      <c r="J6247">
        <f>IFERROR(__xludf.DUMMYFUNCTION("""COMPUTED_VALUE"""),"London &amp; Malta")</f>
        <v/>
      </c>
      <c r="K6247">
        <f>IFERROR(__xludf.DUMMYFUNCTION("""COMPUTED_VALUE"""),6886.11)</f>
        <v/>
      </c>
    </row>
    <row r="6248">
      <c r="J6248">
        <f>IFERROR(__xludf.DUMMYFUNCTION("""COMPUTED_VALUE"""),"Regina, SK - Vancouver - BC - Winnipeg - MB")</f>
        <v/>
      </c>
      <c r="K6248">
        <f>IFERROR(__xludf.DUMMYFUNCTION("""COMPUTED_VALUE"""),6884.02)</f>
        <v/>
      </c>
    </row>
    <row r="6249">
      <c r="J6249">
        <f>IFERROR(__xludf.DUMMYFUNCTION("""COMPUTED_VALUE"""),"Reykjavik, Iceland; Warsaw, Poland; Copenhagen, Denmark; London, United Kingdom")</f>
        <v/>
      </c>
      <c r="K6249">
        <f>IFERROR(__xludf.DUMMYFUNCTION("""COMPUTED_VALUE"""),6881.69)</f>
        <v/>
      </c>
    </row>
    <row r="6250">
      <c r="J6250">
        <f>IFERROR(__xludf.DUMMYFUNCTION("""COMPUTED_VALUE"""),"Soul, SK")</f>
        <v/>
      </c>
      <c r="K6250">
        <f>IFERROR(__xludf.DUMMYFUNCTION("""COMPUTED_VALUE"""),6881.04)</f>
        <v/>
      </c>
    </row>
    <row r="6251">
      <c r="J6251">
        <f>IFERROR(__xludf.DUMMYFUNCTION("""COMPUTED_VALUE"""),"Vancouver &amp; Victoria, BC, Canada &amp; Ottawa, ON, Canada")</f>
        <v/>
      </c>
      <c r="K6251">
        <f>IFERROR(__xludf.DUMMYFUNCTION("""COMPUTED_VALUE"""),6881.01)</f>
        <v/>
      </c>
    </row>
    <row r="6252">
      <c r="J6252">
        <f>IFERROR(__xludf.DUMMYFUNCTION("""COMPUTED_VALUE"""),"Cornwall, Prince Edward Island, Canada")</f>
        <v/>
      </c>
      <c r="K6252">
        <f>IFERROR(__xludf.DUMMYFUNCTION("""COMPUTED_VALUE"""),6877.46999999999)</f>
        <v/>
      </c>
    </row>
    <row r="6253">
      <c r="J6253">
        <f>IFERROR(__xludf.DUMMYFUNCTION("""COMPUTED_VALUE"""),"Riga,
Latvia")</f>
        <v/>
      </c>
      <c r="K6253">
        <f>IFERROR(__xludf.DUMMYFUNCTION("""COMPUTED_VALUE"""),6876.86)</f>
        <v/>
      </c>
    </row>
    <row r="6254">
      <c r="J6254">
        <f>IFERROR(__xludf.DUMMYFUNCTION("""COMPUTED_VALUE"""),"Winnipeg, Regina")</f>
        <v/>
      </c>
      <c r="K6254">
        <f>IFERROR(__xludf.DUMMYFUNCTION("""COMPUTED_VALUE"""),6876.26999999999)</f>
        <v/>
      </c>
    </row>
    <row r="6255">
      <c r="J6255">
        <f>IFERROR(__xludf.DUMMYFUNCTION("""COMPUTED_VALUE"""),"Afghanistan, Pakistan, Sweden and Denmark")</f>
        <v/>
      </c>
      <c r="K6255">
        <f>IFERROR(__xludf.DUMMYFUNCTION("""COMPUTED_VALUE"""),6872.44)</f>
        <v/>
      </c>
    </row>
    <row r="6256">
      <c r="J6256">
        <f>IFERROR(__xludf.DUMMYFUNCTION("""COMPUTED_VALUE"""),"Calgary, Alberta and Saskatoon, Saskatchewan, Canada")</f>
        <v/>
      </c>
      <c r="K6256">
        <f>IFERROR(__xludf.DUMMYFUNCTION("""COMPUTED_VALUE"""),6871.71999999999)</f>
        <v/>
      </c>
    </row>
    <row r="6257">
      <c r="J6257">
        <f>IFERROR(__xludf.DUMMYFUNCTION("""COMPUTED_VALUE"""),"Moose Jaw, Saskatchewan, Queen Charlotte, British Columbia and Lake Louise, Alberta")</f>
        <v/>
      </c>
      <c r="K6257">
        <f>IFERROR(__xludf.DUMMYFUNCTION("""COMPUTED_VALUE"""),6866.22)</f>
        <v/>
      </c>
    </row>
    <row r="6258">
      <c r="J6258">
        <f>IFERROR(__xludf.DUMMYFUNCTION("""COMPUTED_VALUE"""),"Fort Barfoot, United States of America")</f>
        <v/>
      </c>
      <c r="K6258">
        <f>IFERROR(__xludf.DUMMYFUNCTION("""COMPUTED_VALUE"""),6866.12)</f>
        <v/>
      </c>
    </row>
    <row r="6259">
      <c r="J6259">
        <f>IFERROR(__xludf.DUMMYFUNCTION("""COMPUTED_VALUE"""),"Vancouver, Victoria, Ottawa &amp; Toronto")</f>
        <v/>
      </c>
      <c r="K6259">
        <f>IFERROR(__xludf.DUMMYFUNCTION("""COMPUTED_VALUE"""),6865.8)</f>
        <v/>
      </c>
    </row>
    <row r="6260">
      <c r="J6260">
        <f>IFERROR(__xludf.DUMMYFUNCTION("""COMPUTED_VALUE"""),"Washington and Palm Beach")</f>
        <v/>
      </c>
      <c r="K6260">
        <f>IFERROR(__xludf.DUMMYFUNCTION("""COMPUTED_VALUE"""),6863.61)</f>
        <v/>
      </c>
    </row>
    <row r="6261">
      <c r="J6261">
        <f>IFERROR(__xludf.DUMMYFUNCTION("""COMPUTED_VALUE"""),"Iqualuit, Nunavut, Canada
Yellowknife, Northwest Territories, Canada")</f>
        <v/>
      </c>
      <c r="K6261">
        <f>IFERROR(__xludf.DUMMYFUNCTION("""COMPUTED_VALUE"""),6863.31)</f>
        <v/>
      </c>
    </row>
    <row r="6262">
      <c r="J6262">
        <f>IFERROR(__xludf.DUMMYFUNCTION("""COMPUTED_VALUE"""),"Italy, Switzerland.")</f>
        <v/>
      </c>
      <c r="K6262">
        <f>IFERROR(__xludf.DUMMYFUNCTION("""COMPUTED_VALUE"""),6862.97)</f>
        <v/>
      </c>
    </row>
    <row r="6263">
      <c r="J6263">
        <f>IFERROR(__xludf.DUMMYFUNCTION("""COMPUTED_VALUE"""),"Newfoundland, St. John's, Canada")</f>
        <v/>
      </c>
      <c r="K6263">
        <f>IFERROR(__xludf.DUMMYFUNCTION("""COMPUTED_VALUE"""),6861.30999999999)</f>
        <v/>
      </c>
    </row>
    <row r="6264">
      <c r="J6264">
        <f>IFERROR(__xludf.DUMMYFUNCTION("""COMPUTED_VALUE"""),"Vienna, Austria
Mons, Belgium")</f>
        <v/>
      </c>
      <c r="K6264">
        <f>IFERROR(__xludf.DUMMYFUNCTION("""COMPUTED_VALUE"""),6859.91)</f>
        <v/>
      </c>
    </row>
    <row r="6265">
      <c r="J6265">
        <f>IFERROR(__xludf.DUMMYFUNCTION("""COMPUTED_VALUE"""),"Ottawa, Canada (from Ankra)")</f>
        <v/>
      </c>
      <c r="K6265">
        <f>IFERROR(__xludf.DUMMYFUNCTION("""COMPUTED_VALUE"""),6859.54)</f>
        <v/>
      </c>
    </row>
    <row r="6266">
      <c r="J6266">
        <f>IFERROR(__xludf.DUMMYFUNCTION("""COMPUTED_VALUE"""),"Halifax, NS; St-John's, NL; Montreal, QC")</f>
        <v/>
      </c>
      <c r="K6266">
        <f>IFERROR(__xludf.DUMMYFUNCTION("""COMPUTED_VALUE"""),6856.73)</f>
        <v/>
      </c>
    </row>
    <row r="6267">
      <c r="J6267">
        <f>IFERROR(__xludf.DUMMYFUNCTION("""COMPUTED_VALUE"""),"Phnom Penh, Cambodia")</f>
        <v/>
      </c>
      <c r="K6267">
        <f>IFERROR(__xludf.DUMMYFUNCTION("""COMPUTED_VALUE"""),6856.13)</f>
        <v/>
      </c>
    </row>
    <row r="6268">
      <c r="J6268">
        <f>IFERROR(__xludf.DUMMYFUNCTION("""COMPUTED_VALUE"""),"Fredericton, New Brunswick, Canada; Saint Andrews, New Brunswick, Canada; Saint John, New Brunswick, Canada; Charlottetown, Prince Edward Island, Canada; Toronto, Ontario, Canada; Vancouver, British Columbia, Canada")</f>
        <v/>
      </c>
      <c r="K6268">
        <f>IFERROR(__xludf.DUMMYFUNCTION("""COMPUTED_VALUE"""),6855.39)</f>
        <v/>
      </c>
    </row>
    <row r="6269">
      <c r="J6269">
        <f>IFERROR(__xludf.DUMMYFUNCTION("""COMPUTED_VALUE"""),"Grand Falls, St.John's, (Newfoundland)")</f>
        <v/>
      </c>
      <c r="K6269">
        <f>IFERROR(__xludf.DUMMYFUNCTION("""COMPUTED_VALUE"""),6852.29)</f>
        <v/>
      </c>
    </row>
    <row r="6270">
      <c r="J6270">
        <f>IFERROR(__xludf.DUMMYFUNCTION("""COMPUTED_VALUE"""),"Toronto, ON Ottawa, ON")</f>
        <v/>
      </c>
      <c r="K6270">
        <f>IFERROR(__xludf.DUMMYFUNCTION("""COMPUTED_VALUE"""),6846.81)</f>
        <v/>
      </c>
    </row>
    <row r="6271">
      <c r="J6271">
        <f>IFERROR(__xludf.DUMMYFUNCTION("""COMPUTED_VALUE"""),"Edmonton, AB; Medicine Hat, AB; and Lloydminster, AB")</f>
        <v/>
      </c>
      <c r="K6271">
        <f>IFERROR(__xludf.DUMMYFUNCTION("""COMPUTED_VALUE"""),6845.37)</f>
        <v/>
      </c>
    </row>
    <row r="6272">
      <c r="J6272">
        <f>IFERROR(__xludf.DUMMYFUNCTION("""COMPUTED_VALUE"""),"Grapevine, Texas, United States")</f>
        <v/>
      </c>
      <c r="K6272">
        <f>IFERROR(__xludf.DUMMYFUNCTION("""COMPUTED_VALUE"""),6844.82)</f>
        <v/>
      </c>
    </row>
    <row r="6273">
      <c r="J6273">
        <f>IFERROR(__xludf.DUMMYFUNCTION("""COMPUTED_VALUE"""),"Lomé, Togo")</f>
        <v/>
      </c>
      <c r="K6273">
        <f>IFERROR(__xludf.DUMMYFUNCTION("""COMPUTED_VALUE"""),6844.74)</f>
        <v/>
      </c>
    </row>
    <row r="6274">
      <c r="J6274">
        <f>IFERROR(__xludf.DUMMYFUNCTION("""COMPUTED_VALUE"""),"Washington (DC) USA")</f>
        <v/>
      </c>
      <c r="K6274">
        <f>IFERROR(__xludf.DUMMYFUNCTION("""COMPUTED_VALUE"""),6844.66)</f>
        <v/>
      </c>
    </row>
    <row r="6275">
      <c r="J6275">
        <f>IFERROR(__xludf.DUMMYFUNCTION("""COMPUTED_VALUE"""),"Toronto, Ontario, Canada -
Edmonton, Alberta, Canada -
Whitehorse, Yukon, Canada")</f>
        <v/>
      </c>
      <c r="K6275">
        <f>IFERROR(__xludf.DUMMYFUNCTION("""COMPUTED_VALUE"""),6843.34)</f>
        <v/>
      </c>
    </row>
    <row r="6276">
      <c r="J6276">
        <f>IFERROR(__xludf.DUMMYFUNCTION("""COMPUTED_VALUE"""),"South America")</f>
        <v/>
      </c>
      <c r="K6276">
        <f>IFERROR(__xludf.DUMMYFUNCTION("""COMPUTED_VALUE"""),6842.89)</f>
        <v/>
      </c>
    </row>
    <row r="6277">
      <c r="J6277">
        <f>IFERROR(__xludf.DUMMYFUNCTION("""COMPUTED_VALUE"""),"Svalbard, Norway / Oslo, Norway / Tromso, Norway")</f>
        <v/>
      </c>
      <c r="K6277">
        <f>IFERROR(__xludf.DUMMYFUNCTION("""COMPUTED_VALUE"""),6839.29)</f>
        <v/>
      </c>
    </row>
    <row r="6278">
      <c r="J6278">
        <f>IFERROR(__xludf.DUMMYFUNCTION("""COMPUTED_VALUE"""),"Asunción, Paraguay")</f>
        <v/>
      </c>
      <c r="K6278">
        <f>IFERROR(__xludf.DUMMYFUNCTION("""COMPUTED_VALUE"""),6838.67)</f>
        <v/>
      </c>
    </row>
    <row r="6279">
      <c r="J6279">
        <f>IFERROR(__xludf.DUMMYFUNCTION("""COMPUTED_VALUE"""),"HALIFAX, NS, CANADA")</f>
        <v/>
      </c>
      <c r="K6279">
        <f>IFERROR(__xludf.DUMMYFUNCTION("""COMPUTED_VALUE"""),6837.66)</f>
        <v/>
      </c>
    </row>
    <row r="6280">
      <c r="J6280">
        <f>IFERROR(__xludf.DUMMYFUNCTION("""COMPUTED_VALUE"""),"Ukraine, Germany, Belgium")</f>
        <v/>
      </c>
      <c r="K6280">
        <f>IFERROR(__xludf.DUMMYFUNCTION("""COMPUTED_VALUE"""),6837.61)</f>
        <v/>
      </c>
    </row>
    <row r="6281">
      <c r="J6281">
        <f>IFERROR(__xludf.DUMMYFUNCTION("""COMPUTED_VALUE"""),"Vaughan, Ontario, Canada; Thunder Bay, Ontario, Canada; Kenora, Ontario, Canada; Winnipeg, Manitoba, Canada")</f>
        <v/>
      </c>
      <c r="K6281">
        <f>IFERROR(__xludf.DUMMYFUNCTION("""COMPUTED_VALUE"""),6836.83)</f>
        <v/>
      </c>
    </row>
    <row r="6282">
      <c r="J6282">
        <f>IFERROR(__xludf.DUMMYFUNCTION("""COMPUTED_VALUE"""),"Berlin, Germany.")</f>
        <v/>
      </c>
      <c r="K6282">
        <f>IFERROR(__xludf.DUMMYFUNCTION("""COMPUTED_VALUE"""),6835.45)</f>
        <v/>
      </c>
    </row>
    <row r="6283">
      <c r="J6283">
        <f>IFERROR(__xludf.DUMMYFUNCTION("""COMPUTED_VALUE"""),"Tartu, Estonia")</f>
        <v/>
      </c>
      <c r="K6283">
        <f>IFERROR(__xludf.DUMMYFUNCTION("""COMPUTED_VALUE"""),6835.24)</f>
        <v/>
      </c>
    </row>
    <row r="6284">
      <c r="J6284">
        <f>IFERROR(__xludf.DUMMYFUNCTION("""COMPUTED_VALUE"""),"Vancouver and Kamloops, British Columbia")</f>
        <v/>
      </c>
      <c r="K6284">
        <f>IFERROR(__xludf.DUMMYFUNCTION("""COMPUTED_VALUE"""),6834.31)</f>
        <v/>
      </c>
    </row>
    <row r="6285">
      <c r="J6285">
        <f>IFERROR(__xludf.DUMMYFUNCTION("""COMPUTED_VALUE"""),"Saskatoon, Saskatchewan, Canada; Winnipeg, Manitoba, Canada; Whitehorse, Yukon, Canada; Vancouver, British Colombia, Canada; Victoria, British Colombia, Canada")</f>
        <v/>
      </c>
      <c r="K6285">
        <f>IFERROR(__xludf.DUMMYFUNCTION("""COMPUTED_VALUE"""),6833.42)</f>
        <v/>
      </c>
    </row>
    <row r="6286">
      <c r="J6286">
        <f>IFERROR(__xludf.DUMMYFUNCTION("""COMPUTED_VALUE"""),"Ul. B. Prusa 2 Warsaw 00-493 Poland")</f>
        <v/>
      </c>
      <c r="K6286">
        <f>IFERROR(__xludf.DUMMYFUNCTION("""COMPUTED_VALUE"""),6830.96)</f>
        <v/>
      </c>
    </row>
    <row r="6287">
      <c r="J6287">
        <f>IFERROR(__xludf.DUMMYFUNCTION("""COMPUTED_VALUE"""),"Vancouver, British Columbia and Prince Rupert, British Columbia")</f>
        <v/>
      </c>
      <c r="K6287">
        <f>IFERROR(__xludf.DUMMYFUNCTION("""COMPUTED_VALUE"""),6828.79)</f>
        <v/>
      </c>
    </row>
    <row r="6288">
      <c r="J6288">
        <f>IFERROR(__xludf.DUMMYFUNCTION("""COMPUTED_VALUE"""),"La Paz, Mexico")</f>
        <v/>
      </c>
      <c r="K6288">
        <f>IFERROR(__xludf.DUMMYFUNCTION("""COMPUTED_VALUE"""),6828.45)</f>
        <v/>
      </c>
    </row>
    <row r="6289">
      <c r="J6289">
        <f>IFERROR(__xludf.DUMMYFUNCTION("""COMPUTED_VALUE"""),"Delhi, Hyderabad, Mumbai, India")</f>
        <v/>
      </c>
      <c r="K6289">
        <f>IFERROR(__xludf.DUMMYFUNCTION("""COMPUTED_VALUE"""),6828.2)</f>
        <v/>
      </c>
    </row>
    <row r="6290">
      <c r="J6290">
        <f>IFERROR(__xludf.DUMMYFUNCTION("""COMPUTED_VALUE"""),"Montreal, Quebec, Canada; Halifax, Nova Scotia, Canada")</f>
        <v/>
      </c>
      <c r="K6290">
        <f>IFERROR(__xludf.DUMMYFUNCTION("""COMPUTED_VALUE"""),6820.13)</f>
        <v/>
      </c>
    </row>
    <row r="6291">
      <c r="J6291">
        <f>IFERROR(__xludf.DUMMYFUNCTION("""COMPUTED_VALUE"""),"Yellowknife, Northwest Territories, Canada; Whitehorse, Yukon, Canada")</f>
        <v/>
      </c>
      <c r="K6291">
        <f>IFERROR(__xludf.DUMMYFUNCTION("""COMPUTED_VALUE"""),6816.56)</f>
        <v/>
      </c>
    </row>
    <row r="6292">
      <c r="J6292">
        <f>IFERROR(__xludf.DUMMYFUNCTION("""COMPUTED_VALUE"""),"Prestwick, Waddington, London (UK), Riga, Latvia")</f>
        <v/>
      </c>
      <c r="K6292">
        <f>IFERROR(__xludf.DUMMYFUNCTION("""COMPUTED_VALUE"""),6815.72)</f>
        <v/>
      </c>
    </row>
    <row r="6293">
      <c r="J6293">
        <f>IFERROR(__xludf.DUMMYFUNCTION("""COMPUTED_VALUE"""),"China, Hong Kong, Calgary")</f>
        <v/>
      </c>
      <c r="K6293">
        <f>IFERROR(__xludf.DUMMYFUNCTION("""COMPUTED_VALUE"""),6815)</f>
        <v/>
      </c>
    </row>
    <row r="6294">
      <c r="J6294">
        <f>IFERROR(__xludf.DUMMYFUNCTION("""COMPUTED_VALUE"""),"Edmonton, AB, Toronto, ON, Montreal, QC, Iqaluit, NV")</f>
        <v/>
      </c>
      <c r="K6294">
        <f>IFERROR(__xludf.DUMMYFUNCTION("""COMPUTED_VALUE"""),6814.1)</f>
        <v/>
      </c>
    </row>
    <row r="6295">
      <c r="J6295">
        <f>IFERROR(__xludf.DUMMYFUNCTION("""COMPUTED_VALUE"""),"Vancouver, British Columbia Calgary, Alberta")</f>
        <v/>
      </c>
      <c r="K6295">
        <f>IFERROR(__xludf.DUMMYFUNCTION("""COMPUTED_VALUE"""),6813.58)</f>
        <v/>
      </c>
    </row>
    <row r="6296">
      <c r="J6296">
        <f>IFERROR(__xludf.DUMMYFUNCTION("""COMPUTED_VALUE"""),"Calgary &amp; Edmonton AB and 
Basel, Switzerland")</f>
        <v/>
      </c>
      <c r="K6296">
        <f>IFERROR(__xludf.DUMMYFUNCTION("""COMPUTED_VALUE"""),6810.79)</f>
        <v/>
      </c>
    </row>
    <row r="6297">
      <c r="J6297">
        <f>IFERROR(__xludf.DUMMYFUNCTION("""COMPUTED_VALUE"""),"Yellowknife, NWT - Edmonton, AB")</f>
        <v/>
      </c>
      <c r="K6297">
        <f>IFERROR(__xludf.DUMMYFUNCTION("""COMPUTED_VALUE"""),6809.78)</f>
        <v/>
      </c>
    </row>
    <row r="6298">
      <c r="J6298">
        <f>IFERROR(__xludf.DUMMYFUNCTION("""COMPUTED_VALUE"""),"Vancouver, British Columbia; Quebec, Quebec, Canada")</f>
        <v/>
      </c>
      <c r="K6298">
        <f>IFERROR(__xludf.DUMMYFUNCTION("""COMPUTED_VALUE"""),6807.36)</f>
        <v/>
      </c>
    </row>
    <row r="6299">
      <c r="J6299">
        <f>IFERROR(__xludf.DUMMYFUNCTION("""COMPUTED_VALUE"""),"Washington and New York, United States")</f>
        <v/>
      </c>
      <c r="K6299">
        <f>IFERROR(__xludf.DUMMYFUNCTION("""COMPUTED_VALUE"""),6806.75)</f>
        <v/>
      </c>
    </row>
    <row r="6300">
      <c r="J6300">
        <f>IFERROR(__xludf.DUMMYFUNCTION("""COMPUTED_VALUE"""),"Ottawa-Calgary-Toronto-Charlottetown")</f>
        <v/>
      </c>
      <c r="K6300">
        <f>IFERROR(__xludf.DUMMYFUNCTION("""COMPUTED_VALUE"""),6804.66)</f>
        <v/>
      </c>
    </row>
    <row r="6301">
      <c r="J6301">
        <f>IFERROR(__xludf.DUMMYFUNCTION("""COMPUTED_VALUE"""),"Italy / Milan")</f>
        <v/>
      </c>
      <c r="K6301">
        <f>IFERROR(__xludf.DUMMYFUNCTION("""COMPUTED_VALUE"""),6804.17)</f>
        <v/>
      </c>
    </row>
    <row r="6302">
      <c r="J6302">
        <f>IFERROR(__xludf.DUMMYFUNCTION("""COMPUTED_VALUE"""),"Kelowna &amp; Victoria, British Columbia")</f>
        <v/>
      </c>
      <c r="K6302">
        <f>IFERROR(__xludf.DUMMYFUNCTION("""COMPUTED_VALUE"""),6802.98)</f>
        <v/>
      </c>
    </row>
    <row r="6303">
      <c r="J6303">
        <f>IFERROR(__xludf.DUMMYFUNCTION("""COMPUTED_VALUE"""),"Tunis")</f>
        <v/>
      </c>
      <c r="K6303">
        <f>IFERROR(__xludf.DUMMYFUNCTION("""COMPUTED_VALUE"""),6802.89)</f>
        <v/>
      </c>
    </row>
    <row r="6304">
      <c r="J6304">
        <f>IFERROR(__xludf.DUMMYFUNCTION("""COMPUTED_VALUE"""),"Vancouver, British Columbia
Ucluelet &amp; Tofino, British Columbia")</f>
        <v/>
      </c>
      <c r="K6304">
        <f>IFERROR(__xludf.DUMMYFUNCTION("""COMPUTED_VALUE"""),6802.6)</f>
        <v/>
      </c>
    </row>
    <row r="6305">
      <c r="J6305">
        <f>IFERROR(__xludf.DUMMYFUNCTION("""COMPUTED_VALUE"""),"Xiamen, China")</f>
        <v/>
      </c>
      <c r="K6305">
        <f>IFERROR(__xludf.DUMMYFUNCTION("""COMPUTED_VALUE"""),6802.26)</f>
        <v/>
      </c>
    </row>
    <row r="6306">
      <c r="J6306">
        <f>IFERROR(__xludf.DUMMYFUNCTION("""COMPUTED_VALUE"""),"(British Columbia)")</f>
        <v/>
      </c>
      <c r="K6306">
        <f>IFERROR(__xludf.DUMMYFUNCTION("""COMPUTED_VALUE"""),6801.33)</f>
        <v/>
      </c>
    </row>
    <row r="6307">
      <c r="J6307">
        <f>IFERROR(__xludf.DUMMYFUNCTION("""COMPUTED_VALUE"""),"Winnipeg, Ottawa, Canada")</f>
        <v/>
      </c>
      <c r="K6307">
        <f>IFERROR(__xludf.DUMMYFUNCTION("""COMPUTED_VALUE"""),6800.42999999999)</f>
        <v/>
      </c>
    </row>
    <row r="6308">
      <c r="J6308">
        <f>IFERROR(__xludf.DUMMYFUNCTION("""COMPUTED_VALUE"""),"Palo Alto, CA")</f>
        <v/>
      </c>
      <c r="K6308">
        <f>IFERROR(__xludf.DUMMYFUNCTION("""COMPUTED_VALUE"""),6800.42)</f>
        <v/>
      </c>
    </row>
    <row r="6309">
      <c r="J6309">
        <f>IFERROR(__xludf.DUMMYFUNCTION("""COMPUTED_VALUE"""),"Victoria, British Columbia / Whitehorse, Yukon, Canada")</f>
        <v/>
      </c>
      <c r="K6309">
        <f>IFERROR(__xludf.DUMMYFUNCTION("""COMPUTED_VALUE"""),6800.17)</f>
        <v/>
      </c>
    </row>
    <row r="6310">
      <c r="J6310">
        <f>IFERROR(__xludf.DUMMYFUNCTION("""COMPUTED_VALUE"""),"Calgary, Alberta, Canada; Vancouver, British Columbia, Canada; Whistler, British Columbia, Canada")</f>
        <v/>
      </c>
      <c r="K6310">
        <f>IFERROR(__xludf.DUMMYFUNCTION("""COMPUTED_VALUE"""),6800.13999999999)</f>
        <v/>
      </c>
    </row>
    <row r="6311">
      <c r="J6311">
        <f>IFERROR(__xludf.DUMMYFUNCTION("""COMPUTED_VALUE"""),"Kazakhstan
Kyrgyz Republic
Uzbekistan")</f>
        <v/>
      </c>
      <c r="K6311">
        <f>IFERROR(__xludf.DUMMYFUNCTION("""COMPUTED_VALUE"""),6798)</f>
        <v/>
      </c>
    </row>
    <row r="6312">
      <c r="J6312">
        <f>IFERROR(__xludf.DUMMYFUNCTION("""COMPUTED_VALUE"""),"Iqaluit, Nunavut, Canada; Pangnirtung, Nunavut, Canada")</f>
        <v/>
      </c>
      <c r="K6312">
        <f>IFERROR(__xludf.DUMMYFUNCTION("""COMPUTED_VALUE"""),6797.78)</f>
        <v/>
      </c>
    </row>
    <row r="6313">
      <c r="J6313">
        <f>IFERROR(__xludf.DUMMYFUNCTION("""COMPUTED_VALUE"""),"Kuwait, Cologne Germany, Ottawa Ontario")</f>
        <v/>
      </c>
      <c r="K6313">
        <f>IFERROR(__xludf.DUMMYFUNCTION("""COMPUTED_VALUE"""),6797)</f>
        <v/>
      </c>
    </row>
    <row r="6314">
      <c r="J6314">
        <f>IFERROR(__xludf.DUMMYFUNCTION("""COMPUTED_VALUE"""),"St-John's, Newfoundland and Labrador")</f>
        <v/>
      </c>
      <c r="K6314">
        <f>IFERROR(__xludf.DUMMYFUNCTION("""COMPUTED_VALUE"""),6796.43)</f>
        <v/>
      </c>
    </row>
    <row r="6315">
      <c r="J6315">
        <f>IFERROR(__xludf.DUMMYFUNCTION("""COMPUTED_VALUE"""),"British Columbia, British Columbia")</f>
        <v/>
      </c>
      <c r="K6315">
        <f>IFERROR(__xludf.DUMMYFUNCTION("""COMPUTED_VALUE"""),6795.6)</f>
        <v/>
      </c>
    </row>
    <row r="6316">
      <c r="J6316">
        <f>IFERROR(__xludf.DUMMYFUNCTION("""COMPUTED_VALUE"""),"Halifax, Nova Scotia, Canada                                  Toronto, Ontario, Canada")</f>
        <v/>
      </c>
      <c r="K6316">
        <f>IFERROR(__xludf.DUMMYFUNCTION("""COMPUTED_VALUE"""),6795.05999999999)</f>
        <v/>
      </c>
    </row>
    <row r="6317">
      <c r="J6317">
        <f>IFERROR(__xludf.DUMMYFUNCTION("""COMPUTED_VALUE"""),"London; Geneva")</f>
        <v/>
      </c>
      <c r="K6317">
        <f>IFERROR(__xludf.DUMMYFUNCTION("""COMPUTED_VALUE"""),6794.73)</f>
        <v/>
      </c>
    </row>
    <row r="6318">
      <c r="J6318">
        <f>IFERROR(__xludf.DUMMYFUNCTION("""COMPUTED_VALUE"""),"Toronto, Ontario, Canada / Fort McMurray, Alberta, Canada / Calgary, Alberta, Canada / Charlottetown, Prince Edward Island, Canada")</f>
        <v/>
      </c>
      <c r="K6318">
        <f>IFERROR(__xludf.DUMMYFUNCTION("""COMPUTED_VALUE"""),6794.68)</f>
        <v/>
      </c>
    </row>
    <row r="6319">
      <c r="J6319">
        <f>IFERROR(__xludf.DUMMYFUNCTION("""COMPUTED_VALUE"""),"Catania (Sicily) Italy")</f>
        <v/>
      </c>
      <c r="K6319">
        <f>IFERROR(__xludf.DUMMYFUNCTION("""COMPUTED_VALUE"""),6794.02)</f>
        <v/>
      </c>
    </row>
    <row r="6320">
      <c r="J6320">
        <f>IFERROR(__xludf.DUMMYFUNCTION("""COMPUTED_VALUE"""),"San Francisco, California, United States
Washington, District of Columbia, United States")</f>
        <v/>
      </c>
      <c r="K6320">
        <f>IFERROR(__xludf.DUMMYFUNCTION("""COMPUTED_VALUE"""),6792.72)</f>
        <v/>
      </c>
    </row>
    <row r="6321">
      <c r="J6321">
        <f>IFERROR(__xludf.DUMMYFUNCTION("""COMPUTED_VALUE"""),"Frankfurt, Germany, Bellagio, Italy")</f>
        <v/>
      </c>
      <c r="K6321">
        <f>IFERROR(__xludf.DUMMYFUNCTION("""COMPUTED_VALUE"""),6791.1)</f>
        <v/>
      </c>
    </row>
    <row r="6322">
      <c r="J6322">
        <f>IFERROR(__xludf.DUMMYFUNCTION("""COMPUTED_VALUE"""),"San Francisco, California, United States;
Toronto, Ontario, Canada")</f>
        <v/>
      </c>
      <c r="K6322">
        <f>IFERROR(__xludf.DUMMYFUNCTION("""COMPUTED_VALUE"""),6789.54)</f>
        <v/>
      </c>
    </row>
    <row r="6323">
      <c r="J6323">
        <f>IFERROR(__xludf.DUMMYFUNCTION("""COMPUTED_VALUE"""),"Stavanger, Norway; Bergen, Norway; London, United Kingdom")</f>
        <v/>
      </c>
      <c r="K6323">
        <f>IFERROR(__xludf.DUMMYFUNCTION("""COMPUTED_VALUE"""),6788.39)</f>
        <v/>
      </c>
    </row>
    <row r="6324">
      <c r="J6324">
        <f>IFERROR(__xludf.DUMMYFUNCTION("""COMPUTED_VALUE"""),"Wilton Park, London, Paris")</f>
        <v/>
      </c>
      <c r="K6324">
        <f>IFERROR(__xludf.DUMMYFUNCTION("""COMPUTED_VALUE"""),6788.28)</f>
        <v/>
      </c>
    </row>
    <row r="6325">
      <c r="J6325">
        <f>IFERROR(__xludf.DUMMYFUNCTION("""COMPUTED_VALUE"""),"Montreal, QC and Toronto, ON")</f>
        <v/>
      </c>
      <c r="K6325">
        <f>IFERROR(__xludf.DUMMYFUNCTION("""COMPUTED_VALUE"""),6787.49)</f>
        <v/>
      </c>
    </row>
    <row r="6326">
      <c r="J6326">
        <f>IFERROR(__xludf.DUMMYFUNCTION("""COMPUTED_VALUE"""),"Acapulco")</f>
        <v/>
      </c>
      <c r="K6326">
        <f>IFERROR(__xludf.DUMMYFUNCTION("""COMPUTED_VALUE"""),6784.28)</f>
        <v/>
      </c>
    </row>
    <row r="6327">
      <c r="J6327">
        <f>IFERROR(__xludf.DUMMYFUNCTION("""COMPUTED_VALUE"""),"Singapore, Singapore, Shenyang, China")</f>
        <v/>
      </c>
      <c r="K6327">
        <f>IFERROR(__xludf.DUMMYFUNCTION("""COMPUTED_VALUE"""),6783.11)</f>
        <v/>
      </c>
    </row>
    <row r="6328">
      <c r="J6328">
        <f>IFERROR(__xludf.DUMMYFUNCTION("""COMPUTED_VALUE"""),"Ottawa-Toronto-Vancouver-Seoul-Vancouver-Ottawa")</f>
        <v/>
      </c>
      <c r="K6328">
        <f>IFERROR(__xludf.DUMMYFUNCTION("""COMPUTED_VALUE"""),6783.03)</f>
        <v/>
      </c>
    </row>
    <row r="6329">
      <c r="J6329">
        <f>IFERROR(__xludf.DUMMYFUNCTION("""COMPUTED_VALUE"""),"Tanjong Pagar, Singapor")</f>
        <v/>
      </c>
      <c r="K6329">
        <f>IFERROR(__xludf.DUMMYFUNCTION("""COMPUTED_VALUE"""),6782.77)</f>
        <v/>
      </c>
    </row>
    <row r="6330">
      <c r="J6330">
        <f>IFERROR(__xludf.DUMMYFUNCTION("""COMPUTED_VALUE"""),"Saskatoon, Saskatchewan Winnipeg, Manitoba Abbortsford, British Columbia")</f>
        <v/>
      </c>
      <c r="K6330">
        <f>IFERROR(__xludf.DUMMYFUNCTION("""COMPUTED_VALUE"""),6781)</f>
        <v/>
      </c>
    </row>
    <row r="6331">
      <c r="J6331">
        <f>IFERROR(__xludf.DUMMYFUNCTION("""COMPUTED_VALUE"""),"Calgary, Alberta, Canada - Vancouver, British Columbia, Canada")</f>
        <v/>
      </c>
      <c r="K6331">
        <f>IFERROR(__xludf.DUMMYFUNCTION("""COMPUTED_VALUE"""),6780.15)</f>
        <v/>
      </c>
    </row>
    <row r="6332">
      <c r="J6332">
        <f>IFERROR(__xludf.DUMMYFUNCTION("""COMPUTED_VALUE"""),"Yellowknife, Northwest Territories and Calgary, Alberta")</f>
        <v/>
      </c>
      <c r="K6332">
        <f>IFERROR(__xludf.DUMMYFUNCTION("""COMPUTED_VALUE"""),6778.86)</f>
        <v/>
      </c>
    </row>
    <row r="6333">
      <c r="J6333">
        <f>IFERROR(__xludf.DUMMYFUNCTION("""COMPUTED_VALUE"""),"Fredericton / Charlottetown / Moncton")</f>
        <v/>
      </c>
      <c r="K6333">
        <f>IFERROR(__xludf.DUMMYFUNCTION("""COMPUTED_VALUE"""),6778.53)</f>
        <v/>
      </c>
    </row>
    <row r="6334">
      <c r="J6334">
        <f>IFERROR(__xludf.DUMMYFUNCTION("""COMPUTED_VALUE"""),"Astrakan, Russia")</f>
        <v/>
      </c>
      <c r="K6334">
        <f>IFERROR(__xludf.DUMMYFUNCTION("""COMPUTED_VALUE"""),6777.97)</f>
        <v/>
      </c>
    </row>
    <row r="6335">
      <c r="J6335">
        <f>IFERROR(__xludf.DUMMYFUNCTION("""COMPUTED_VALUE"""),"Regina and Vancouver")</f>
        <v/>
      </c>
      <c r="K6335">
        <f>IFERROR(__xludf.DUMMYFUNCTION("""COMPUTED_VALUE"""),6776.57)</f>
        <v/>
      </c>
    </row>
    <row r="6336">
      <c r="J6336">
        <f>IFERROR(__xludf.DUMMYFUNCTION("""COMPUTED_VALUE"""),"Ottawa, Ontario; Trois-Rivières, Quebec")</f>
        <v/>
      </c>
      <c r="K6336">
        <f>IFERROR(__xludf.DUMMYFUNCTION("""COMPUTED_VALUE"""),6776.27)</f>
        <v/>
      </c>
    </row>
    <row r="6337">
      <c r="J6337">
        <f>IFERROR(__xludf.DUMMYFUNCTION("""COMPUTED_VALUE"""),"Ukraine and Khazakstan")</f>
        <v/>
      </c>
      <c r="K6337">
        <f>IFERROR(__xludf.DUMMYFUNCTION("""COMPUTED_VALUE"""),6775.88)</f>
        <v/>
      </c>
    </row>
    <row r="6338">
      <c r="J6338">
        <f>IFERROR(__xludf.DUMMYFUNCTION("""COMPUTED_VALUE"""),"Jamaica/Barbados")</f>
        <v/>
      </c>
      <c r="K6338">
        <f>IFERROR(__xludf.DUMMYFUNCTION("""COMPUTED_VALUE"""),6774.99)</f>
        <v/>
      </c>
    </row>
    <row r="6339">
      <c r="J6339">
        <f>IFERROR(__xludf.DUMMYFUNCTION("""COMPUTED_VALUE"""),"Toronto, Ontario, Canada / London, United Kingdom / Mumbai, Ahmedabad, Bangalore and Chennai, India / Dubai, United Arab Emirates / New York, United States")</f>
        <v/>
      </c>
      <c r="K6339">
        <f>IFERROR(__xludf.DUMMYFUNCTION("""COMPUTED_VALUE"""),6772.86)</f>
        <v/>
      </c>
    </row>
    <row r="6340">
      <c r="J6340">
        <f>IFERROR(__xludf.DUMMYFUNCTION("""COMPUTED_VALUE"""),"Prague, Czech Republic and Brussels, Belgium")</f>
        <v/>
      </c>
      <c r="K6340">
        <f>IFERROR(__xludf.DUMMYFUNCTION("""COMPUTED_VALUE"""),6770.74)</f>
        <v/>
      </c>
    </row>
    <row r="6341">
      <c r="J6341">
        <f>IFERROR(__xludf.DUMMYFUNCTION("""COMPUTED_VALUE"""),"Dawson, Yukon - Kuujjuaq - Quebec")</f>
        <v/>
      </c>
      <c r="K6341">
        <f>IFERROR(__xludf.DUMMYFUNCTION("""COMPUTED_VALUE"""),6770.41)</f>
        <v/>
      </c>
    </row>
    <row r="6342">
      <c r="J6342">
        <f>IFERROR(__xludf.DUMMYFUNCTION("""COMPUTED_VALUE"""),"Winnipeg, Manitoba, Canada
Regina, Saskatchewan, Canada
Calgary, Alberta, Canada")</f>
        <v/>
      </c>
      <c r="K6342">
        <f>IFERROR(__xludf.DUMMYFUNCTION("""COMPUTED_VALUE"""),6768.87)</f>
        <v/>
      </c>
    </row>
    <row r="6343">
      <c r="J6343">
        <f>IFERROR(__xludf.DUMMYFUNCTION("""COMPUTED_VALUE"""),"Dominican Republic, Costa Rica, Uruguay, and Belgium")</f>
        <v/>
      </c>
      <c r="K6343">
        <f>IFERROR(__xludf.DUMMYFUNCTION("""COMPUTED_VALUE"""),6766.93)</f>
        <v/>
      </c>
    </row>
    <row r="6344">
      <c r="J6344">
        <f>IFERROR(__xludf.DUMMYFUNCTION("""COMPUTED_VALUE"""),"Saskatoon, SK Edmonton, AB")</f>
        <v/>
      </c>
      <c r="K6344">
        <f>IFERROR(__xludf.DUMMYFUNCTION("""COMPUTED_VALUE"""),6764.67)</f>
        <v/>
      </c>
    </row>
    <row r="6345">
      <c r="J6345">
        <f>IFERROR(__xludf.DUMMYFUNCTION("""COMPUTED_VALUE"""),"Montreal, Quebec, (Canada)")</f>
        <v/>
      </c>
      <c r="K6345">
        <f>IFERROR(__xludf.DUMMYFUNCTION("""COMPUTED_VALUE"""),6763.91)</f>
        <v/>
      </c>
    </row>
    <row r="6346">
      <c r="J6346">
        <f>IFERROR(__xludf.DUMMYFUNCTION("""COMPUTED_VALUE"""),"Sao Paulo, BR")</f>
        <v/>
      </c>
      <c r="K6346">
        <f>IFERROR(__xludf.DUMMYFUNCTION("""COMPUTED_VALUE"""),6763.59)</f>
        <v/>
      </c>
    </row>
    <row r="6347">
      <c r="J6347">
        <f>IFERROR(__xludf.DUMMYFUNCTION("""COMPUTED_VALUE"""),"Calgary, Alberta / Banff, Alberta / Vancouver, British Colombia, Canada")</f>
        <v/>
      </c>
      <c r="K6347">
        <f>IFERROR(__xludf.DUMMYFUNCTION("""COMPUTED_VALUE"""),6762.75)</f>
        <v/>
      </c>
    </row>
    <row r="6348">
      <c r="J6348">
        <f>IFERROR(__xludf.DUMMYFUNCTION("""COMPUTED_VALUE"""),"Tunisia and France")</f>
        <v/>
      </c>
      <c r="K6348">
        <f>IFERROR(__xludf.DUMMYFUNCTION("""COMPUTED_VALUE"""),6762.72)</f>
        <v/>
      </c>
    </row>
    <row r="6349">
      <c r="J6349">
        <f>IFERROR(__xludf.DUMMYFUNCTION("""COMPUTED_VALUE"""),"Whistler - Vancouver, Saskatoon")</f>
        <v/>
      </c>
      <c r="K6349">
        <f>IFERROR(__xludf.DUMMYFUNCTION("""COMPUTED_VALUE"""),6761.83)</f>
        <v/>
      </c>
    </row>
    <row r="6350">
      <c r="J6350">
        <f>IFERROR(__xludf.DUMMYFUNCTION("""COMPUTED_VALUE"""),"Brampton, Ontario / Guelph, Ontario")</f>
        <v/>
      </c>
      <c r="K6350">
        <f>IFERROR(__xludf.DUMMYFUNCTION("""COMPUTED_VALUE"""),6761.74)</f>
        <v/>
      </c>
    </row>
    <row r="6351">
      <c r="J6351">
        <f>IFERROR(__xludf.DUMMYFUNCTION("""COMPUTED_VALUE"""),"Newark, NY and France")</f>
        <v/>
      </c>
      <c r="K6351">
        <f>IFERROR(__xludf.DUMMYFUNCTION("""COMPUTED_VALUE"""),6760.35)</f>
        <v/>
      </c>
    </row>
    <row r="6352">
      <c r="J6352">
        <f>IFERROR(__xludf.DUMMYFUNCTION("""COMPUTED_VALUE"""),"Vancouver - Ottawa - Toronto")</f>
        <v/>
      </c>
      <c r="K6352">
        <f>IFERROR(__xludf.DUMMYFUNCTION("""COMPUTED_VALUE"""),6759.98)</f>
        <v/>
      </c>
    </row>
    <row r="6353">
      <c r="J6353">
        <f>IFERROR(__xludf.DUMMYFUNCTION("""COMPUTED_VALUE"""),"Czech Republic, Slovakia, Poland, Latvia and Estonia")</f>
        <v/>
      </c>
      <c r="K6353">
        <f>IFERROR(__xludf.DUMMYFUNCTION("""COMPUTED_VALUE"""),6756.31)</f>
        <v/>
      </c>
    </row>
    <row r="6354">
      <c r="J6354">
        <f>IFERROR(__xludf.DUMMYFUNCTION("""COMPUTED_VALUE"""),"London and Moscow")</f>
        <v/>
      </c>
      <c r="K6354">
        <f>IFERROR(__xludf.DUMMYFUNCTION("""COMPUTED_VALUE"""),6755.56)</f>
        <v/>
      </c>
    </row>
    <row r="6355">
      <c r="J6355">
        <f>IFERROR(__xludf.DUMMYFUNCTION("""COMPUTED_VALUE"""),"Bucharest, RO")</f>
        <v/>
      </c>
      <c r="K6355">
        <f>IFERROR(__xludf.DUMMYFUNCTION("""COMPUTED_VALUE"""),6749.78)</f>
        <v/>
      </c>
    </row>
    <row r="6356">
      <c r="J6356">
        <f>IFERROR(__xludf.DUMMYFUNCTION("""COMPUTED_VALUE"""),"Ottawa, ON - Edmonton, AB / Edmonton, AB - Ottawa, ON")</f>
        <v/>
      </c>
      <c r="K6356">
        <f>IFERROR(__xludf.DUMMYFUNCTION("""COMPUTED_VALUE"""),6749.69)</f>
        <v/>
      </c>
    </row>
    <row r="6357">
      <c r="J6357">
        <f>IFERROR(__xludf.DUMMYFUNCTION("""COMPUTED_VALUE"""),"Paris; London, England")</f>
        <v/>
      </c>
      <c r="K6357">
        <f>IFERROR(__xludf.DUMMYFUNCTION("""COMPUTED_VALUE"""),6749.24)</f>
        <v/>
      </c>
    </row>
    <row r="6358">
      <c r="J6358">
        <f>IFERROR(__xludf.DUMMYFUNCTION("""COMPUTED_VALUE"""),"Calgary, Alberta; Winnipeg, Manitoba, Canada")</f>
        <v/>
      </c>
      <c r="K6358">
        <f>IFERROR(__xludf.DUMMYFUNCTION("""COMPUTED_VALUE"""),6745.54)</f>
        <v/>
      </c>
    </row>
    <row r="6359">
      <c r="J6359">
        <f>IFERROR(__xludf.DUMMYFUNCTION("""COMPUTED_VALUE"""),"Washington, New York")</f>
        <v/>
      </c>
      <c r="K6359">
        <f>IFERROR(__xludf.DUMMYFUNCTION("""COMPUTED_VALUE"""),6743.33)</f>
        <v/>
      </c>
    </row>
    <row r="6360">
      <c r="J6360">
        <f>IFERROR(__xludf.DUMMYFUNCTION("""COMPUTED_VALUE"""),"Torngat, Newfoundland and Labrador")</f>
        <v/>
      </c>
      <c r="K6360">
        <f>IFERROR(__xludf.DUMMYFUNCTION("""COMPUTED_VALUE"""),6742.13999999999)</f>
        <v/>
      </c>
    </row>
    <row r="6361">
      <c r="J6361">
        <f>IFERROR(__xludf.DUMMYFUNCTION("""COMPUTED_VALUE"""),"Morocco, Senegal")</f>
        <v/>
      </c>
      <c r="K6361">
        <f>IFERROR(__xludf.DUMMYFUNCTION("""COMPUTED_VALUE"""),6741.53)</f>
        <v/>
      </c>
    </row>
    <row r="6362">
      <c r="J6362">
        <f>IFERROR(__xludf.DUMMYFUNCTION("""COMPUTED_VALUE"""),"Santiago de Compostela, Spain")</f>
        <v/>
      </c>
      <c r="K6362">
        <f>IFERROR(__xludf.DUMMYFUNCTION("""COMPUTED_VALUE"""),6740.73)</f>
        <v/>
      </c>
    </row>
    <row r="6363">
      <c r="J6363">
        <f>IFERROR(__xludf.DUMMYFUNCTION("""COMPUTED_VALUE"""),"The Maritimes Provinces, Canada")</f>
        <v/>
      </c>
      <c r="K6363">
        <f>IFERROR(__xludf.DUMMYFUNCTION("""COMPUTED_VALUE"""),6740.16)</f>
        <v/>
      </c>
    </row>
    <row r="6364">
      <c r="J6364">
        <f>IFERROR(__xludf.DUMMYFUNCTION("""COMPUTED_VALUE"""),"Manila, Metro Manila, Philippines")</f>
        <v/>
      </c>
      <c r="K6364">
        <f>IFERROR(__xludf.DUMMYFUNCTION("""COMPUTED_VALUE"""),6740.06)</f>
        <v/>
      </c>
    </row>
    <row r="6365">
      <c r="J6365">
        <f>IFERROR(__xludf.DUMMYFUNCTION("""COMPUTED_VALUE"""),"Osio, Norway")</f>
        <v/>
      </c>
      <c r="K6365">
        <f>IFERROR(__xludf.DUMMYFUNCTION("""COMPUTED_VALUE"""),6737.28)</f>
        <v/>
      </c>
    </row>
    <row r="6366">
      <c r="J6366">
        <f>IFERROR(__xludf.DUMMYFUNCTION("""COMPUTED_VALUE"""),"Paris-Montreal-Ottawa-Paris")</f>
        <v/>
      </c>
      <c r="K6366">
        <f>IFERROR(__xludf.DUMMYFUNCTION("""COMPUTED_VALUE"""),6737.2)</f>
        <v/>
      </c>
    </row>
    <row r="6367">
      <c r="J6367">
        <f>IFERROR(__xludf.DUMMYFUNCTION("""COMPUTED_VALUE"""),"Quebec City, Quebec; Ottawa, Ontario; Halifax, Nova Scotia; Regina, Saskatchewan and Winnipeg Manitoba.")</f>
        <v/>
      </c>
      <c r="K6367">
        <f>IFERROR(__xludf.DUMMYFUNCTION("""COMPUTED_VALUE"""),6736.64)</f>
        <v/>
      </c>
    </row>
    <row r="6368">
      <c r="J6368">
        <f>IFERROR(__xludf.DUMMYFUNCTION("""COMPUTED_VALUE"""),"Arequipa, Peru
Lima, Peru")</f>
        <v/>
      </c>
      <c r="K6368">
        <f>IFERROR(__xludf.DUMMYFUNCTION("""COMPUTED_VALUE"""),6736.06)</f>
        <v/>
      </c>
    </row>
    <row r="6369">
      <c r="J6369">
        <f>IFERROR(__xludf.DUMMYFUNCTION("""COMPUTED_VALUE"""),"Toronto, Ontario, Canada; Saskatoon, Saskatchewan, Canada; Edmonton, Alberta, Canada; Ottawa, Ontario")</f>
        <v/>
      </c>
      <c r="K6369">
        <f>IFERROR(__xludf.DUMMYFUNCTION("""COMPUTED_VALUE"""),6733.76)</f>
        <v/>
      </c>
    </row>
    <row r="6370">
      <c r="J6370">
        <f>IFERROR(__xludf.DUMMYFUNCTION("""COMPUTED_VALUE"""),"Winnipeg, MB; Ottawa, ON")</f>
        <v/>
      </c>
      <c r="K6370">
        <f>IFERROR(__xludf.DUMMYFUNCTION("""COMPUTED_VALUE"""),6732.79)</f>
        <v/>
      </c>
    </row>
    <row r="6371">
      <c r="J6371">
        <f>IFERROR(__xludf.DUMMYFUNCTION("""COMPUTED_VALUE"""),"San Remo, Italy")</f>
        <v/>
      </c>
      <c r="K6371">
        <f>IFERROR(__xludf.DUMMYFUNCTION("""COMPUTED_VALUE"""),6730.6)</f>
        <v/>
      </c>
    </row>
    <row r="6372">
      <c r="J6372">
        <f>IFERROR(__xludf.DUMMYFUNCTION("""COMPUTED_VALUE"""),"Gatineau, Quebec / Toronto, Ontario")</f>
        <v/>
      </c>
      <c r="K6372">
        <f>IFERROR(__xludf.DUMMYFUNCTION("""COMPUTED_VALUE"""),6728.41)</f>
        <v/>
      </c>
    </row>
    <row r="6373">
      <c r="J6373">
        <f>IFERROR(__xludf.DUMMYFUNCTION("""COMPUTED_VALUE"""),"Sudbury, Sault Ste. Marie, Thunder Bay, ON")</f>
        <v/>
      </c>
      <c r="K6373">
        <f>IFERROR(__xludf.DUMMYFUNCTION("""COMPUTED_VALUE"""),6728.05)</f>
        <v/>
      </c>
    </row>
    <row r="6374">
      <c r="J6374">
        <f>IFERROR(__xludf.DUMMYFUNCTION("""COMPUTED_VALUE"""),"Copenhagen, Denmark; Stockholm, Sweden")</f>
        <v/>
      </c>
      <c r="K6374">
        <f>IFERROR(__xludf.DUMMYFUNCTION("""COMPUTED_VALUE"""),6727.72)</f>
        <v/>
      </c>
    </row>
    <row r="6375">
      <c r="J6375">
        <f>IFERROR(__xludf.DUMMYFUNCTION("""COMPUTED_VALUE"""),"Sao Paulo Congonh, Brasilia")</f>
        <v/>
      </c>
      <c r="K6375">
        <f>IFERROR(__xludf.DUMMYFUNCTION("""COMPUTED_VALUE"""),6727.71)</f>
        <v/>
      </c>
    </row>
    <row r="6376">
      <c r="J6376">
        <f>IFERROR(__xludf.DUMMYFUNCTION("""COMPUTED_VALUE"""),"Ucluelet, British Columbia, Canada
Masset, British Columbia, Canada")</f>
        <v/>
      </c>
      <c r="K6376">
        <f>IFERROR(__xludf.DUMMYFUNCTION("""COMPUTED_VALUE"""),6726.87)</f>
        <v/>
      </c>
    </row>
    <row r="6377">
      <c r="J6377">
        <f>IFERROR(__xludf.DUMMYFUNCTION("""COMPUTED_VALUE"""),"Ankara, Turkey, London, United Kingdom")</f>
        <v/>
      </c>
      <c r="K6377">
        <f>IFERROR(__xludf.DUMMYFUNCTION("""COMPUTED_VALUE"""),6724.7)</f>
        <v/>
      </c>
    </row>
    <row r="6378">
      <c r="J6378">
        <f>IFERROR(__xludf.DUMMYFUNCTION("""COMPUTED_VALUE"""),"Schaffhausen, Switzerland")</f>
        <v/>
      </c>
      <c r="K6378">
        <f>IFERROR(__xludf.DUMMYFUNCTION("""COMPUTED_VALUE"""),6724.69)</f>
        <v/>
      </c>
    </row>
    <row r="6379">
      <c r="J6379">
        <f>IFERROR(__xludf.DUMMYFUNCTION("""COMPUTED_VALUE"""),"Vancouver, BC &amp; Comox, BC")</f>
        <v/>
      </c>
      <c r="K6379">
        <f>IFERROR(__xludf.DUMMYFUNCTION("""COMPUTED_VALUE"""),6724.07)</f>
        <v/>
      </c>
    </row>
    <row r="6380">
      <c r="J6380">
        <f>IFERROR(__xludf.DUMMYFUNCTION("""COMPUTED_VALUE"""),"Toronto, Ontario, Canada; Sudbury, Ontario, Canada; Thunder Bay, Ontario, Canada")</f>
        <v/>
      </c>
      <c r="K6380">
        <f>IFERROR(__xludf.DUMMYFUNCTION("""COMPUTED_VALUE"""),6720.92)</f>
        <v/>
      </c>
    </row>
    <row r="6381">
      <c r="J6381">
        <f>IFERROR(__xludf.DUMMYFUNCTION("""COMPUTED_VALUE"""),"Milton, Kingston, Brampton, Ontario, Canada
Vancouver, British Columbia, Canada")</f>
        <v/>
      </c>
      <c r="K6381">
        <f>IFERROR(__xludf.DUMMYFUNCTION("""COMPUTED_VALUE"""),6720.53)</f>
        <v/>
      </c>
    </row>
    <row r="6382">
      <c r="J6382">
        <f>IFERROR(__xludf.DUMMYFUNCTION("""COMPUTED_VALUE"""),"Santiago, Chile and New York")</f>
        <v/>
      </c>
      <c r="K6382">
        <f>IFERROR(__xludf.DUMMYFUNCTION("""COMPUTED_VALUE"""),6720.5)</f>
        <v/>
      </c>
    </row>
    <row r="6383">
      <c r="J6383">
        <f>IFERROR(__xludf.DUMMYFUNCTION("""COMPUTED_VALUE"""),"St Petersburg, Russia")</f>
        <v/>
      </c>
      <c r="K6383">
        <f>IFERROR(__xludf.DUMMYFUNCTION("""COMPUTED_VALUE"""),6718.69)</f>
        <v/>
      </c>
    </row>
    <row r="6384">
      <c r="J6384">
        <f>IFERROR(__xludf.DUMMYFUNCTION("""COMPUTED_VALUE"""),"Toronto, Toronto (Canada)")</f>
        <v/>
      </c>
      <c r="K6384">
        <f>IFERROR(__xludf.DUMMYFUNCTION("""COMPUTED_VALUE"""),6717.13999999999)</f>
        <v/>
      </c>
    </row>
    <row r="6385">
      <c r="J6385">
        <f>IFERROR(__xludf.DUMMYFUNCTION("""COMPUTED_VALUE"""),"Fredericton, New Brunswick; Saint John, New Brunswick")</f>
        <v/>
      </c>
      <c r="K6385">
        <f>IFERROR(__xludf.DUMMYFUNCTION("""COMPUTED_VALUE"""),6716.1)</f>
        <v/>
      </c>
    </row>
    <row r="6386">
      <c r="J6386">
        <f>IFERROR(__xludf.DUMMYFUNCTION("""COMPUTED_VALUE"""),"Ottawa, Ontario, Canada; Kuujjuaq, Quebec, Canada; Inukjuak, Quebec, Canada; Montréal, Quebec, Canada")</f>
        <v/>
      </c>
      <c r="K6386">
        <f>IFERROR(__xludf.DUMMYFUNCTION("""COMPUTED_VALUE"""),6715)</f>
        <v/>
      </c>
    </row>
    <row r="6387">
      <c r="J6387">
        <f>IFERROR(__xludf.DUMMYFUNCTION("""COMPUTED_VALUE"""),"Washington D.C")</f>
        <v/>
      </c>
      <c r="K6387">
        <f>IFERROR(__xludf.DUMMYFUNCTION("""COMPUTED_VALUE"""),6713.78)</f>
        <v/>
      </c>
    </row>
    <row r="6388">
      <c r="J6388">
        <f>IFERROR(__xludf.DUMMYFUNCTION("""COMPUTED_VALUE"""),"Moncton and Tracadie-Sheila, New Brunswick, Canada")</f>
        <v/>
      </c>
      <c r="K6388">
        <f>IFERROR(__xludf.DUMMYFUNCTION("""COMPUTED_VALUE"""),6713.04)</f>
        <v/>
      </c>
    </row>
    <row r="6389">
      <c r="J6389">
        <f>IFERROR(__xludf.DUMMYFUNCTION("""COMPUTED_VALUE"""),"Omaha, Nebraska, United States")</f>
        <v/>
      </c>
      <c r="K6389">
        <f>IFERROR(__xludf.DUMMYFUNCTION("""COMPUTED_VALUE"""),6711.81)</f>
        <v/>
      </c>
    </row>
    <row r="6390">
      <c r="J6390">
        <f>IFERROR(__xludf.DUMMYFUNCTION("""COMPUTED_VALUE"""),"Montreal, Quebec, Canada, Saskatoon, Saskatchewan, Canada, Edmonton, Alberta, Canada,  Grand Prairie, Alberta, Canada and Calgary, Alberta, Canada")</f>
        <v/>
      </c>
      <c r="K6390">
        <f>IFERROR(__xludf.DUMMYFUNCTION("""COMPUTED_VALUE"""),6711.63)</f>
        <v/>
      </c>
    </row>
    <row r="6391">
      <c r="J6391">
        <f>IFERROR(__xludf.DUMMYFUNCTION("""COMPUTED_VALUE"""),"Toronto and Montreal")</f>
        <v/>
      </c>
      <c r="K6391">
        <f>IFERROR(__xludf.DUMMYFUNCTION("""COMPUTED_VALUE"""),6710.55999999999)</f>
        <v/>
      </c>
    </row>
    <row r="6392">
      <c r="J6392">
        <f>IFERROR(__xludf.DUMMYFUNCTION("""COMPUTED_VALUE"""),"Kelowna - Williams Lake -Vancouver, BC")</f>
        <v/>
      </c>
      <c r="K6392">
        <f>IFERROR(__xludf.DUMMYFUNCTION("""COMPUTED_VALUE"""),6708.51)</f>
        <v/>
      </c>
    </row>
    <row r="6393">
      <c r="J6393">
        <f>IFERROR(__xludf.DUMMYFUNCTION("""COMPUTED_VALUE"""),"Toronto, Ontario / Vancouver, British Columbia / Edmonton, Alberta, Canada")</f>
        <v/>
      </c>
      <c r="K6393">
        <f>IFERROR(__xludf.DUMMYFUNCTION("""COMPUTED_VALUE"""),6705.67)</f>
        <v/>
      </c>
    </row>
    <row r="6394">
      <c r="J6394">
        <f>IFERROR(__xludf.DUMMYFUNCTION("""COMPUTED_VALUE"""),"Saskatoon, Saskatchewan / La Ronge, Saskatchewan")</f>
        <v/>
      </c>
      <c r="K6394">
        <f>IFERROR(__xludf.DUMMYFUNCTION("""COMPUTED_VALUE"""),6705.66)</f>
        <v/>
      </c>
    </row>
    <row r="6395">
      <c r="J6395">
        <f>IFERROR(__xludf.DUMMYFUNCTION("""COMPUTED_VALUE"""),"Vancouver &amp; Port Alberni, BC &amp; Calgary, AB, Canada")</f>
        <v/>
      </c>
      <c r="K6395">
        <f>IFERROR(__xludf.DUMMYFUNCTION("""COMPUTED_VALUE"""),6705.11)</f>
        <v/>
      </c>
    </row>
    <row r="6396">
      <c r="J6396">
        <f>IFERROR(__xludf.DUMMYFUNCTION("""COMPUTED_VALUE"""),"Elmau, Germany")</f>
        <v/>
      </c>
      <c r="K6396">
        <f>IFERROR(__xludf.DUMMYFUNCTION("""COMPUTED_VALUE"""),6702.62)</f>
        <v/>
      </c>
    </row>
    <row r="6397">
      <c r="J6397">
        <f>IFERROR(__xludf.DUMMYFUNCTION("""COMPUTED_VALUE"""),"Ottawa, Montreal, Toronto, Vancouver")</f>
        <v/>
      </c>
      <c r="K6397">
        <f>IFERROR(__xludf.DUMMYFUNCTION("""COMPUTED_VALUE"""),6702.39)</f>
        <v/>
      </c>
    </row>
    <row r="6398">
      <c r="J6398">
        <f>IFERROR(__xludf.DUMMYFUNCTION("""COMPUTED_VALUE"""),"Ottawa, Québec City, Paris, Burkina Faso, Senegal and Guinea Bissau")</f>
        <v/>
      </c>
      <c r="K6398">
        <f>IFERROR(__xludf.DUMMYFUNCTION("""COMPUTED_VALUE"""),6702.14)</f>
        <v/>
      </c>
    </row>
    <row r="6399">
      <c r="J6399">
        <f>IFERROR(__xludf.DUMMYFUNCTION("""COMPUTED_VALUE"""),"Quebec/Charlottetown")</f>
        <v/>
      </c>
      <c r="K6399">
        <f>IFERROR(__xludf.DUMMYFUNCTION("""COMPUTED_VALUE"""),6700.98)</f>
        <v/>
      </c>
    </row>
    <row r="6400">
      <c r="J6400">
        <f>IFERROR(__xludf.DUMMYFUNCTION("""COMPUTED_VALUE"""),"OTTAWA")</f>
        <v/>
      </c>
      <c r="K6400">
        <f>IFERROR(__xludf.DUMMYFUNCTION("""COMPUTED_VALUE"""),6696.66999999999)</f>
        <v/>
      </c>
    </row>
    <row r="6401">
      <c r="J6401">
        <f>IFERROR(__xludf.DUMMYFUNCTION("""COMPUTED_VALUE"""),"Melbourne/ Adelaide, Victoria/ South Australia, Australia")</f>
        <v/>
      </c>
      <c r="K6401">
        <f>IFERROR(__xludf.DUMMYFUNCTION("""COMPUTED_VALUE"""),6695.59)</f>
        <v/>
      </c>
    </row>
    <row r="6402">
      <c r="J6402">
        <f>IFERROR(__xludf.DUMMYFUNCTION("""COMPUTED_VALUE"""),"Iqaluit, Rankin Inlet, Nunavut, Canada")</f>
        <v/>
      </c>
      <c r="K6402">
        <f>IFERROR(__xludf.DUMMYFUNCTION("""COMPUTED_VALUE"""),6694.86)</f>
        <v/>
      </c>
    </row>
    <row r="6403">
      <c r="J6403">
        <f>IFERROR(__xludf.DUMMYFUNCTION("""COMPUTED_VALUE"""),"Calgary; Edmonton, Alberta, Canada")</f>
        <v/>
      </c>
      <c r="K6403">
        <f>IFERROR(__xludf.DUMMYFUNCTION("""COMPUTED_VALUE"""),6694.24)</f>
        <v/>
      </c>
    </row>
    <row r="6404">
      <c r="J6404">
        <f>IFERROR(__xludf.DUMMYFUNCTION("""COMPUTED_VALUE"""),"Country:  France")</f>
        <v/>
      </c>
      <c r="K6404">
        <f>IFERROR(__xludf.DUMMYFUNCTION("""COMPUTED_VALUE"""),6689.39)</f>
        <v/>
      </c>
    </row>
    <row r="6405">
      <c r="J6405">
        <f>IFERROR(__xludf.DUMMYFUNCTION("""COMPUTED_VALUE"""),"Ottawa and Vancouver")</f>
        <v/>
      </c>
      <c r="K6405">
        <f>IFERROR(__xludf.DUMMYFUNCTION("""COMPUTED_VALUE"""),6688.54)</f>
        <v/>
      </c>
    </row>
    <row r="6406">
      <c r="J6406">
        <f>IFERROR(__xludf.DUMMYFUNCTION("""COMPUTED_VALUE"""),"Bridgewater, Nova Scotia, Canada")</f>
        <v/>
      </c>
      <c r="K6406">
        <f>IFERROR(__xludf.DUMMYFUNCTION("""COMPUTED_VALUE"""),6687.26)</f>
        <v/>
      </c>
    </row>
    <row r="6407">
      <c r="J6407">
        <f>IFERROR(__xludf.DUMMYFUNCTION("""COMPUTED_VALUE"""),"FREDERICTON, NB")</f>
        <v/>
      </c>
      <c r="K6407">
        <f>IFERROR(__xludf.DUMMYFUNCTION("""COMPUTED_VALUE"""),6686.79999999999)</f>
        <v/>
      </c>
    </row>
    <row r="6408">
      <c r="J6408">
        <f>IFERROR(__xludf.DUMMYFUNCTION("""COMPUTED_VALUE"""),"Cincinnati, Ohio")</f>
        <v/>
      </c>
      <c r="K6408">
        <f>IFERROR(__xludf.DUMMYFUNCTION("""COMPUTED_VALUE"""),6685.87)</f>
        <v/>
      </c>
    </row>
    <row r="6409">
      <c r="J6409">
        <f>IFERROR(__xludf.DUMMYFUNCTION("""COMPUTED_VALUE"""),"London and Shoreham by Sea")</f>
        <v/>
      </c>
      <c r="K6409">
        <f>IFERROR(__xludf.DUMMYFUNCTION("""COMPUTED_VALUE"""),6685.11)</f>
        <v/>
      </c>
    </row>
    <row r="6410">
      <c r="J6410">
        <f>IFERROR(__xludf.DUMMYFUNCTION("""COMPUTED_VALUE"""),"Reno, Nevada, United States of America")</f>
        <v/>
      </c>
      <c r="K6410">
        <f>IFERROR(__xludf.DUMMYFUNCTION("""COMPUTED_VALUE"""),6684.34)</f>
        <v/>
      </c>
    </row>
    <row r="6411">
      <c r="J6411">
        <f>IFERROR(__xludf.DUMMYFUNCTION("""COMPUTED_VALUE"""),"Belleville, Ontario; Quinte West, Ontario")</f>
        <v/>
      </c>
      <c r="K6411">
        <f>IFERROR(__xludf.DUMMYFUNCTION("""COMPUTED_VALUE"""),6683.6)</f>
        <v/>
      </c>
    </row>
    <row r="6412">
      <c r="J6412">
        <f>IFERROR(__xludf.DUMMYFUNCTION("""COMPUTED_VALUE"""),"Fontainebleau, France, Europe")</f>
        <v/>
      </c>
      <c r="K6412">
        <f>IFERROR(__xludf.DUMMYFUNCTION("""COMPUTED_VALUE"""),6682.67)</f>
        <v/>
      </c>
    </row>
    <row r="6413">
      <c r="J6413">
        <f>IFERROR(__xludf.DUMMYFUNCTION("""COMPUTED_VALUE"""),"Iqaluit, Resolute Bay (Nunavut)")</f>
        <v/>
      </c>
      <c r="K6413">
        <f>IFERROR(__xludf.DUMMYFUNCTION("""COMPUTED_VALUE"""),6681)</f>
        <v/>
      </c>
    </row>
    <row r="6414">
      <c r="J6414">
        <f>IFERROR(__xludf.DUMMYFUNCTION("""COMPUTED_VALUE"""),"Ottawa, ON Vancouver, BC")</f>
        <v/>
      </c>
      <c r="K6414">
        <f>IFERROR(__xludf.DUMMYFUNCTION("""COMPUTED_VALUE"""),6680.03)</f>
        <v/>
      </c>
    </row>
    <row r="6415">
      <c r="J6415">
        <f>IFERROR(__xludf.DUMMYFUNCTION("""COMPUTED_VALUE"""),"Edmonton (Alberta)")</f>
        <v/>
      </c>
      <c r="K6415">
        <f>IFERROR(__xludf.DUMMYFUNCTION("""COMPUTED_VALUE"""),6679.44)</f>
        <v/>
      </c>
    </row>
    <row r="6416">
      <c r="J6416">
        <f>IFERROR(__xludf.DUMMYFUNCTION("""COMPUTED_VALUE"""),"South Carolina, United States")</f>
        <v/>
      </c>
      <c r="K6416">
        <f>IFERROR(__xludf.DUMMYFUNCTION("""COMPUTED_VALUE"""),6677.78)</f>
        <v/>
      </c>
    </row>
    <row r="6417">
      <c r="J6417">
        <f>IFERROR(__xludf.DUMMYFUNCTION("""COMPUTED_VALUE"""),"Hawaii, United States of America, Vancouver, Prince Rupert and Thornhill, British Columbia, Canada")</f>
        <v/>
      </c>
      <c r="K6417">
        <f>IFERROR(__xludf.DUMMYFUNCTION("""COMPUTED_VALUE"""),6675.58)</f>
        <v/>
      </c>
    </row>
    <row r="6418">
      <c r="J6418">
        <f>IFERROR(__xludf.DUMMYFUNCTION("""COMPUTED_VALUE"""),"Fogo Island, Newfoundland and Labrador, Canada")</f>
        <v/>
      </c>
      <c r="K6418">
        <f>IFERROR(__xludf.DUMMYFUNCTION("""COMPUTED_VALUE"""),6673.89)</f>
        <v/>
      </c>
    </row>
    <row r="6419">
      <c r="J6419">
        <f>IFERROR(__xludf.DUMMYFUNCTION("""COMPUTED_VALUE"""),"New Brunswick")</f>
        <v/>
      </c>
      <c r="K6419">
        <f>IFERROR(__xludf.DUMMYFUNCTION("""COMPUTED_VALUE"""),6673.03)</f>
        <v/>
      </c>
    </row>
    <row r="6420">
      <c r="J6420">
        <f>IFERROR(__xludf.DUMMYFUNCTION("""COMPUTED_VALUE"""),"Baghdad, Iraq")</f>
        <v/>
      </c>
      <c r="K6420">
        <f>IFERROR(__xludf.DUMMYFUNCTION("""COMPUTED_VALUE"""),6672)</f>
        <v/>
      </c>
    </row>
    <row r="6421">
      <c r="J6421">
        <f>IFERROR(__xludf.DUMMYFUNCTION("""COMPUTED_VALUE"""),"Calgary and Edmonton, AB")</f>
        <v/>
      </c>
      <c r="K6421">
        <f>IFERROR(__xludf.DUMMYFUNCTION("""COMPUTED_VALUE"""),6670.58)</f>
        <v/>
      </c>
    </row>
    <row r="6422">
      <c r="J6422">
        <f>IFERROR(__xludf.DUMMYFUNCTION("""COMPUTED_VALUE"""),"Toronto, Ontario, Canada / Windsor, Ontario, Canada")</f>
        <v/>
      </c>
      <c r="K6422">
        <f>IFERROR(__xludf.DUMMYFUNCTION("""COMPUTED_VALUE"""),6669.98)</f>
        <v/>
      </c>
    </row>
    <row r="6423">
      <c r="J6423">
        <f>IFERROR(__xludf.DUMMYFUNCTION("""COMPUTED_VALUE"""),"Kelowna and Prince George")</f>
        <v/>
      </c>
      <c r="K6423">
        <f>IFERROR(__xludf.DUMMYFUNCTION("""COMPUTED_VALUE"""),6667.03)</f>
        <v/>
      </c>
    </row>
    <row r="6424">
      <c r="J6424">
        <f>IFERROR(__xludf.DUMMYFUNCTION("""COMPUTED_VALUE"""),"Hong Kong, Beijing")</f>
        <v/>
      </c>
      <c r="K6424">
        <f>IFERROR(__xludf.DUMMYFUNCTION("""COMPUTED_VALUE"""),6666.56)</f>
        <v/>
      </c>
    </row>
    <row r="6425">
      <c r="J6425">
        <f>IFERROR(__xludf.DUMMYFUNCTION("""COMPUTED_VALUE"""),"Tokyo, Japan Seoul, South Korea")</f>
        <v/>
      </c>
      <c r="K6425">
        <f>IFERROR(__xludf.DUMMYFUNCTION("""COMPUTED_VALUE"""),6665.77)</f>
        <v/>
      </c>
    </row>
    <row r="6426">
      <c r="J6426">
        <f>IFERROR(__xludf.DUMMYFUNCTION("""COMPUTED_VALUE"""),"Regina, Calgary, Vancouver, Ottawa and Toronto")</f>
        <v/>
      </c>
      <c r="K6426">
        <f>IFERROR(__xludf.DUMMYFUNCTION("""COMPUTED_VALUE"""),6663.88)</f>
        <v/>
      </c>
    </row>
    <row r="6427">
      <c r="J6427">
        <f>IFERROR(__xludf.DUMMYFUNCTION("""COMPUTED_VALUE"""),"United Kingdom: Penrith, England, London, England, Cockermouth, England, and Thurso, Scotland")</f>
        <v/>
      </c>
      <c r="K6427">
        <f>IFERROR(__xludf.DUMMYFUNCTION("""COMPUTED_VALUE"""),6661.51)</f>
        <v/>
      </c>
    </row>
    <row r="6428">
      <c r="J6428">
        <f>IFERROR(__xludf.DUMMYFUNCTION("""COMPUTED_VALUE"""),"Agassiz, British Columbia, Canada")</f>
        <v/>
      </c>
      <c r="K6428">
        <f>IFERROR(__xludf.DUMMYFUNCTION("""COMPUTED_VALUE"""),6660.17)</f>
        <v/>
      </c>
    </row>
    <row r="6429">
      <c r="J6429">
        <f>IFERROR(__xludf.DUMMYFUNCTION("""COMPUTED_VALUE"""),"Alliston, ON / Windsor, ON / Detroit, MI")</f>
        <v/>
      </c>
      <c r="K6429">
        <f>IFERROR(__xludf.DUMMYFUNCTION("""COMPUTED_VALUE"""),6659.3)</f>
        <v/>
      </c>
    </row>
    <row r="6430">
      <c r="J6430">
        <f>IFERROR(__xludf.DUMMYFUNCTION("""COMPUTED_VALUE"""),"Ottawa / New York City / Ottawa")</f>
        <v/>
      </c>
      <c r="K6430">
        <f>IFERROR(__xludf.DUMMYFUNCTION("""COMPUTED_VALUE"""),6655.96)</f>
        <v/>
      </c>
    </row>
    <row r="6431">
      <c r="J6431">
        <f>IFERROR(__xludf.DUMMYFUNCTION("""COMPUTED_VALUE"""),"Tokyo / Seoul")</f>
        <v/>
      </c>
      <c r="K6431">
        <f>IFERROR(__xludf.DUMMYFUNCTION("""COMPUTED_VALUE"""),6655.54)</f>
        <v/>
      </c>
    </row>
    <row r="6432">
      <c r="J6432">
        <f>IFERROR(__xludf.DUMMYFUNCTION("""COMPUTED_VALUE"""),"Montreal- Berlin,Germany-Montreal")</f>
        <v/>
      </c>
      <c r="K6432">
        <f>IFERROR(__xludf.DUMMYFUNCTION("""COMPUTED_VALUE"""),6652.5)</f>
        <v/>
      </c>
    </row>
    <row r="6433">
      <c r="J6433">
        <f>IFERROR(__xludf.DUMMYFUNCTION("""COMPUTED_VALUE"""),"Vancouver and New Westminster, British Columbia, Canada")</f>
        <v/>
      </c>
      <c r="K6433">
        <f>IFERROR(__xludf.DUMMYFUNCTION("""COMPUTED_VALUE"""),6649.3)</f>
        <v/>
      </c>
    </row>
    <row r="6434">
      <c r="J6434">
        <f>IFERROR(__xludf.DUMMYFUNCTION("""COMPUTED_VALUE"""),"Hamilton and Toronto, Ontario, Canada")</f>
        <v/>
      </c>
      <c r="K6434">
        <f>IFERROR(__xludf.DUMMYFUNCTION("""COMPUTED_VALUE"""),6647.45999999999)</f>
        <v/>
      </c>
    </row>
    <row r="6435">
      <c r="J6435">
        <f>IFERROR(__xludf.DUMMYFUNCTION("""COMPUTED_VALUE"""),"London/Vancouver")</f>
        <v/>
      </c>
      <c r="K6435">
        <f>IFERROR(__xludf.DUMMYFUNCTION("""COMPUTED_VALUE"""),6645.85)</f>
        <v/>
      </c>
    </row>
    <row r="6436">
      <c r="J6436">
        <f>IFERROR(__xludf.DUMMYFUNCTION("""COMPUTED_VALUE"""),"Halifax, Nova Scotia, Canada; Québec, Quebec, Canada; Montréal, Quebec, Canada")</f>
        <v/>
      </c>
      <c r="K6436">
        <f>IFERROR(__xludf.DUMMYFUNCTION("""COMPUTED_VALUE"""),6644.77)</f>
        <v/>
      </c>
    </row>
    <row r="6437">
      <c r="J6437">
        <f>IFERROR(__xludf.DUMMYFUNCTION("""COMPUTED_VALUE"""),"Iqaluit, NU - Resolute Bay, NU")</f>
        <v/>
      </c>
      <c r="K6437">
        <f>IFERROR(__xludf.DUMMYFUNCTION("""COMPUTED_VALUE"""),6640.94)</f>
        <v/>
      </c>
    </row>
    <row r="6438">
      <c r="J6438">
        <f>IFERROR(__xludf.DUMMYFUNCTION("""COMPUTED_VALUE"""),"Montréal, Ottawa")</f>
        <v/>
      </c>
      <c r="K6438">
        <f>IFERROR(__xludf.DUMMYFUNCTION("""COMPUTED_VALUE"""),6640.83999999999)</f>
        <v/>
      </c>
    </row>
    <row r="6439">
      <c r="J6439">
        <f>IFERROR(__xludf.DUMMYFUNCTION("""COMPUTED_VALUE"""),"Belém, Pará, Brazil")</f>
        <v/>
      </c>
      <c r="K6439">
        <f>IFERROR(__xludf.DUMMYFUNCTION("""COMPUTED_VALUE"""),6640.8)</f>
        <v/>
      </c>
    </row>
    <row r="6440">
      <c r="J6440">
        <f>IFERROR(__xludf.DUMMYFUNCTION("""COMPUTED_VALUE"""),"Rzeszoe, Poland; Warsaw, Poland")</f>
        <v/>
      </c>
      <c r="K6440">
        <f>IFERROR(__xludf.DUMMYFUNCTION("""COMPUTED_VALUE"""),6640.71)</f>
        <v/>
      </c>
    </row>
    <row r="6441">
      <c r="J6441">
        <f>IFERROR(__xludf.DUMMYFUNCTION("""COMPUTED_VALUE"""),"Brussles")</f>
        <v/>
      </c>
      <c r="K6441">
        <f>IFERROR(__xludf.DUMMYFUNCTION("""COMPUTED_VALUE"""),6638.35)</f>
        <v/>
      </c>
    </row>
    <row r="6442">
      <c r="J6442">
        <f>IFERROR(__xludf.DUMMYFUNCTION("""COMPUTED_VALUE"""),"Vancouver, Edmonton and Calgary")</f>
        <v/>
      </c>
      <c r="K6442">
        <f>IFERROR(__xludf.DUMMYFUNCTION("""COMPUTED_VALUE"""),6637.89)</f>
        <v/>
      </c>
    </row>
    <row r="6443">
      <c r="J6443">
        <f>IFERROR(__xludf.DUMMYFUNCTION("""COMPUTED_VALUE"""),"Regina, SK - Vancouver, BC - Winnipeg, MB - Ottawa, ON")</f>
        <v/>
      </c>
      <c r="K6443">
        <f>IFERROR(__xludf.DUMMYFUNCTION("""COMPUTED_VALUE"""),6635.97)</f>
        <v/>
      </c>
    </row>
    <row r="6444">
      <c r="J6444">
        <f>IFERROR(__xludf.DUMMYFUNCTION("""COMPUTED_VALUE"""),"Stavanger, Norway and London, United Kingdom")</f>
        <v/>
      </c>
      <c r="K6444">
        <f>IFERROR(__xludf.DUMMYFUNCTION("""COMPUTED_VALUE"""),6634.24)</f>
        <v/>
      </c>
    </row>
    <row r="6445">
      <c r="J6445">
        <f>IFERROR(__xludf.DUMMYFUNCTION("""COMPUTED_VALUE"""),"Charlottetown, PEI / St. Johns, NL")</f>
        <v/>
      </c>
      <c r="K6445">
        <f>IFERROR(__xludf.DUMMYFUNCTION("""COMPUTED_VALUE"""),6632.87)</f>
        <v/>
      </c>
    </row>
    <row r="6446">
      <c r="J6446">
        <f>IFERROR(__xludf.DUMMYFUNCTION("""COMPUTED_VALUE"""),"Malmö, Sweden")</f>
        <v/>
      </c>
      <c r="K6446">
        <f>IFERROR(__xludf.DUMMYFUNCTION("""COMPUTED_VALUE"""),6632.58)</f>
        <v/>
      </c>
    </row>
    <row r="6447">
      <c r="J6447">
        <f>IFERROR(__xludf.DUMMYFUNCTION("""COMPUTED_VALUE"""),"Sao Paolo, Nepal")</f>
        <v/>
      </c>
      <c r="K6447">
        <f>IFERROR(__xludf.DUMMYFUNCTION("""COMPUTED_VALUE"""),6632.48)</f>
        <v/>
      </c>
    </row>
    <row r="6448">
      <c r="J6448">
        <f>IFERROR(__xludf.DUMMYFUNCTION("""COMPUTED_VALUE"""),"Montreal (Quebec)")</f>
        <v/>
      </c>
      <c r="K6448">
        <f>IFERROR(__xludf.DUMMYFUNCTION("""COMPUTED_VALUE"""),6631.29999999999)</f>
        <v/>
      </c>
    </row>
    <row r="6449">
      <c r="J6449">
        <f>IFERROR(__xludf.DUMMYFUNCTION("""COMPUTED_VALUE"""),"Edmundston, New Brunswick")</f>
        <v/>
      </c>
      <c r="K6449">
        <f>IFERROR(__xludf.DUMMYFUNCTION("""COMPUTED_VALUE"""),6630.67)</f>
        <v/>
      </c>
    </row>
    <row r="6450">
      <c r="J6450">
        <f>IFERROR(__xludf.DUMMYFUNCTION("""COMPUTED_VALUE"""),"Brussels, Belgium.")</f>
        <v/>
      </c>
      <c r="K6450">
        <f>IFERROR(__xludf.DUMMYFUNCTION("""COMPUTED_VALUE"""),6630.44)</f>
        <v/>
      </c>
    </row>
    <row r="6451">
      <c r="J6451">
        <f>IFERROR(__xludf.DUMMYFUNCTION("""COMPUTED_VALUE"""),"Sault Ste. Marie, Ontario, Canada
Winnipeg, Manitoba, Canada
Ottawa, Ontario, Canada")</f>
        <v/>
      </c>
      <c r="K6451">
        <f>IFERROR(__xludf.DUMMYFUNCTION("""COMPUTED_VALUE"""),6629.7)</f>
        <v/>
      </c>
    </row>
    <row r="6452">
      <c r="J6452">
        <f>IFERROR(__xludf.DUMMYFUNCTION("""COMPUTED_VALUE"""),"Amsterdam, Netherlands / Paris, France")</f>
        <v/>
      </c>
      <c r="K6452">
        <f>IFERROR(__xludf.DUMMYFUNCTION("""COMPUTED_VALUE"""),6627.67)</f>
        <v/>
      </c>
    </row>
    <row r="6453">
      <c r="J6453">
        <f>IFERROR(__xludf.DUMMYFUNCTION("""COMPUTED_VALUE"""),"Saskatoon, Saskatchewan, Canada; Toronto, Ontario, Canada; Barrie, Ontario, Canada; Bromont, Quebec, Canada")</f>
        <v/>
      </c>
      <c r="K6453">
        <f>IFERROR(__xludf.DUMMYFUNCTION("""COMPUTED_VALUE"""),6626.87999999999)</f>
        <v/>
      </c>
    </row>
    <row r="6454">
      <c r="J6454">
        <f>IFERROR(__xludf.DUMMYFUNCTION("""COMPUTED_VALUE"""),"Montréal, Quebec, Canada; Halifax, Nova Scotia, Canada; Saint John, New Brunswick, Canada")</f>
        <v/>
      </c>
      <c r="K6454">
        <f>IFERROR(__xludf.DUMMYFUNCTION("""COMPUTED_VALUE"""),6625.09)</f>
        <v/>
      </c>
    </row>
    <row r="6455">
      <c r="J6455">
        <f>IFERROR(__xludf.DUMMYFUNCTION("""COMPUTED_VALUE"""),"Peace River, Alberta, Canada; Calgary, Alberta, Canada; Edmonton, Alberta, Canada")</f>
        <v/>
      </c>
      <c r="K6455">
        <f>IFERROR(__xludf.DUMMYFUNCTION("""COMPUTED_VALUE"""),6624.71)</f>
        <v/>
      </c>
    </row>
    <row r="6456">
      <c r="J6456">
        <f>IFERROR(__xludf.DUMMYFUNCTION("""COMPUTED_VALUE"""),"Amsterdam, Netherland, London, United Kingdom")</f>
        <v/>
      </c>
      <c r="K6456">
        <f>IFERROR(__xludf.DUMMYFUNCTION("""COMPUTED_VALUE"""),6624.59)</f>
        <v/>
      </c>
    </row>
    <row r="6457">
      <c r="J6457">
        <f>IFERROR(__xludf.DUMMYFUNCTION("""COMPUTED_VALUE"""),"Haneda, JP / Tokyo, JP")</f>
        <v/>
      </c>
      <c r="K6457">
        <f>IFERROR(__xludf.DUMMYFUNCTION("""COMPUTED_VALUE"""),6624.18)</f>
        <v/>
      </c>
    </row>
    <row r="6458">
      <c r="J6458">
        <f>IFERROR(__xludf.DUMMYFUNCTION("""COMPUTED_VALUE"""),"Paris - Toronto - Ottawa - Paris")</f>
        <v/>
      </c>
      <c r="K6458">
        <f>IFERROR(__xludf.DUMMYFUNCTION("""COMPUTED_VALUE"""),6622.6)</f>
        <v/>
      </c>
    </row>
    <row r="6459">
      <c r="J6459">
        <f>IFERROR(__xludf.DUMMYFUNCTION("""COMPUTED_VALUE"""),"Saskatoon, Saskatchewan, Canada; Mississauga, Ontario, Canada")</f>
        <v/>
      </c>
      <c r="K6459">
        <f>IFERROR(__xludf.DUMMYFUNCTION("""COMPUTED_VALUE"""),6621.78)</f>
        <v/>
      </c>
    </row>
    <row r="6460">
      <c r="J6460">
        <f>IFERROR(__xludf.DUMMYFUNCTION("""COMPUTED_VALUE"""),"Warsaw, Poland and Rome, Italy")</f>
        <v/>
      </c>
      <c r="K6460">
        <f>IFERROR(__xludf.DUMMYFUNCTION("""COMPUTED_VALUE"""),6620.29)</f>
        <v/>
      </c>
    </row>
    <row r="6461">
      <c r="J6461">
        <f>IFERROR(__xludf.DUMMYFUNCTION("""COMPUTED_VALUE"""),"Dubai, United Arad Emirates
Beirut, Lebanon
Hyderabad, India")</f>
        <v/>
      </c>
      <c r="K6461">
        <f>IFERROR(__xludf.DUMMYFUNCTION("""COMPUTED_VALUE"""),6619.6)</f>
        <v/>
      </c>
    </row>
    <row r="6462">
      <c r="J6462">
        <f>IFERROR(__xludf.DUMMYFUNCTION("""COMPUTED_VALUE"""),"Malta, Malta (24-26 March 2009). Tel Aviv &amp; Ramallah, Israel. Amman, Jordan. Beyrout, Lebanon. Rome, Italy (06-08 April 2009).")</f>
        <v/>
      </c>
      <c r="K6462">
        <f>IFERROR(__xludf.DUMMYFUNCTION("""COMPUTED_VALUE"""),6619.23)</f>
        <v/>
      </c>
    </row>
    <row r="6463">
      <c r="J6463">
        <f>IFERROR(__xludf.DUMMYFUNCTION("""COMPUTED_VALUE"""),"Vancouver, British Columbia Monterrey, Mexico")</f>
        <v/>
      </c>
      <c r="K6463">
        <f>IFERROR(__xludf.DUMMYFUNCTION("""COMPUTED_VALUE"""),6619.14)</f>
        <v/>
      </c>
    </row>
    <row r="6464">
      <c r="J6464">
        <f>IFERROR(__xludf.DUMMYFUNCTION("""COMPUTED_VALUE"""),"Dartmouth, Canada")</f>
        <v/>
      </c>
      <c r="K6464">
        <f>IFERROR(__xludf.DUMMYFUNCTION("""COMPUTED_VALUE"""),6617.80999999999)</f>
        <v/>
      </c>
    </row>
    <row r="6465">
      <c r="J6465">
        <f>IFERROR(__xludf.DUMMYFUNCTION("""COMPUTED_VALUE"""),"Vancouver, British Columbia, Canada; Calgary, Alberta, Canada; Toronto, Ontario, Canada; Montréal, Quebec, Canada; Halifax, Nova Scotia, Canada")</f>
        <v/>
      </c>
      <c r="K6465">
        <f>IFERROR(__xludf.DUMMYFUNCTION("""COMPUTED_VALUE"""),6617.67)</f>
        <v/>
      </c>
    </row>
    <row r="6466">
      <c r="J6466">
        <f>IFERROR(__xludf.DUMMYFUNCTION("""COMPUTED_VALUE"""),"Saint-Jean-sur Richelieu")</f>
        <v/>
      </c>
      <c r="K6466">
        <f>IFERROR(__xludf.DUMMYFUNCTION("""COMPUTED_VALUE"""),6614.75)</f>
        <v/>
      </c>
    </row>
    <row r="6467">
      <c r="J6467">
        <f>IFERROR(__xludf.DUMMYFUNCTION("""COMPUTED_VALUE"""),"Vancouver and Los Angeles")</f>
        <v/>
      </c>
      <c r="K6467">
        <f>IFERROR(__xludf.DUMMYFUNCTION("""COMPUTED_VALUE"""),6614.17)</f>
        <v/>
      </c>
    </row>
    <row r="6468">
      <c r="J6468">
        <f>IFERROR(__xludf.DUMMYFUNCTION("""COMPUTED_VALUE"""),"Victoria, BC - Calgary, AB")</f>
        <v/>
      </c>
      <c r="K6468">
        <f>IFERROR(__xludf.DUMMYFUNCTION("""COMPUTED_VALUE"""),6611.97)</f>
        <v/>
      </c>
    </row>
    <row r="6469">
      <c r="J6469">
        <f>IFERROR(__xludf.DUMMYFUNCTION("""COMPUTED_VALUE"""),"Vancouver, British Columbia, Canada; Whitehorse, Yukon, Canada")</f>
        <v/>
      </c>
      <c r="K6469">
        <f>IFERROR(__xludf.DUMMYFUNCTION("""COMPUTED_VALUE"""),6611.21999999999)</f>
        <v/>
      </c>
    </row>
    <row r="6470">
      <c r="J6470">
        <f>IFERROR(__xludf.DUMMYFUNCTION("""COMPUTED_VALUE"""),"Rome, Italy
Bali, Indonesia")</f>
        <v/>
      </c>
      <c r="K6470">
        <f>IFERROR(__xludf.DUMMYFUNCTION("""COMPUTED_VALUE"""),6606.18)</f>
        <v/>
      </c>
    </row>
    <row r="6471">
      <c r="J6471">
        <f>IFERROR(__xludf.DUMMYFUNCTION("""COMPUTED_VALUE"""),"Graz , Schladming")</f>
        <v/>
      </c>
      <c r="K6471">
        <f>IFERROR(__xludf.DUMMYFUNCTION("""COMPUTED_VALUE"""),6605.91)</f>
        <v/>
      </c>
    </row>
    <row r="6472">
      <c r="J6472">
        <f>IFERROR(__xludf.DUMMYFUNCTION("""COMPUTED_VALUE"""),"Saskatchewan, Canada")</f>
        <v/>
      </c>
      <c r="K6472">
        <f>IFERROR(__xludf.DUMMYFUNCTION("""COMPUTED_VALUE"""),6605.79)</f>
        <v/>
      </c>
    </row>
    <row r="6473">
      <c r="J6473">
        <f>IFERROR(__xludf.DUMMYFUNCTION("""COMPUTED_VALUE"""),"Vancouver, British Columbia, Canada; Regina, Saskatchewan, Canada")</f>
        <v/>
      </c>
      <c r="K6473">
        <f>IFERROR(__xludf.DUMMYFUNCTION("""COMPUTED_VALUE"""),6604.04)</f>
        <v/>
      </c>
    </row>
    <row r="6474">
      <c r="J6474">
        <f>IFERROR(__xludf.DUMMYFUNCTION("""COMPUTED_VALUE"""),"Addis-Abeba, Ethipiopia")</f>
        <v/>
      </c>
      <c r="K6474">
        <f>IFERROR(__xludf.DUMMYFUNCTION("""COMPUTED_VALUE"""),6603.47)</f>
        <v/>
      </c>
    </row>
    <row r="6475">
      <c r="J6475">
        <f>IFERROR(__xludf.DUMMYFUNCTION("""COMPUTED_VALUE"""),"Edmonton, Alberta, Canada; Calgary, Alberta, Canada; Vancouver, British Columbia, Canada; Toronto, Ontario, Canada; Ottawa, Ontario, Canada")</f>
        <v/>
      </c>
      <c r="K6475">
        <f>IFERROR(__xludf.DUMMYFUNCTION("""COMPUTED_VALUE"""),6603.45)</f>
        <v/>
      </c>
    </row>
    <row r="6476">
      <c r="J6476">
        <f>IFERROR(__xludf.DUMMYFUNCTION("""COMPUTED_VALUE"""),"Saint John, NB, Toronto, ON")</f>
        <v/>
      </c>
      <c r="K6476">
        <f>IFERROR(__xludf.DUMMYFUNCTION("""COMPUTED_VALUE"""),6601.63999999999)</f>
        <v/>
      </c>
    </row>
    <row r="6477">
      <c r="J6477">
        <f>IFERROR(__xludf.DUMMYFUNCTION("""COMPUTED_VALUE"""),"Beirut, Cairo, Tel Aviv")</f>
        <v/>
      </c>
      <c r="K6477">
        <f>IFERROR(__xludf.DUMMYFUNCTION("""COMPUTED_VALUE"""),6601.61)</f>
        <v/>
      </c>
    </row>
    <row r="6478">
      <c r="J6478">
        <f>IFERROR(__xludf.DUMMYFUNCTION("""COMPUTED_VALUE"""),"Toronto, Ontario, Canada / Waterloo, Ontario, Canada")</f>
        <v/>
      </c>
      <c r="K6478">
        <f>IFERROR(__xludf.DUMMYFUNCTION("""COMPUTED_VALUE"""),6600.87999999999)</f>
        <v/>
      </c>
    </row>
    <row r="6479">
      <c r="J6479">
        <f>IFERROR(__xludf.DUMMYFUNCTION("""COMPUTED_VALUE"""),"Long Beach, CA (USA)")</f>
        <v/>
      </c>
      <c r="K6479">
        <f>IFERROR(__xludf.DUMMYFUNCTION("""COMPUTED_VALUE"""),6599.99)</f>
        <v/>
      </c>
    </row>
    <row r="6480">
      <c r="J6480">
        <f>IFERROR(__xludf.DUMMYFUNCTION("""COMPUTED_VALUE"""),"Anaheim (CA), United States")</f>
        <v/>
      </c>
      <c r="K6480">
        <f>IFERROR(__xludf.DUMMYFUNCTION("""COMPUTED_VALUE"""),6598.38)</f>
        <v/>
      </c>
    </row>
    <row r="6481">
      <c r="J6481">
        <f>IFERROR(__xludf.DUMMYFUNCTION("""COMPUTED_VALUE"""),"Edmonton, Alberta
Regina, Saskatchewan, Canada")</f>
        <v/>
      </c>
      <c r="K6481">
        <f>IFERROR(__xludf.DUMMYFUNCTION("""COMPUTED_VALUE"""),6596)</f>
        <v/>
      </c>
    </row>
    <row r="6482">
      <c r="J6482">
        <f>IFERROR(__xludf.DUMMYFUNCTION("""COMPUTED_VALUE"""),"Calgary, Alberta / Vancouver, British Columbia / Toronto, Ontario, Canada")</f>
        <v/>
      </c>
      <c r="K6482">
        <f>IFERROR(__xludf.DUMMYFUNCTION("""COMPUTED_VALUE"""),6595.27)</f>
        <v/>
      </c>
    </row>
    <row r="6483">
      <c r="J6483">
        <f>IFERROR(__xludf.DUMMYFUNCTION("""COMPUTED_VALUE"""),"Paris and Marseilles, France")</f>
        <v/>
      </c>
      <c r="K6483">
        <f>IFERROR(__xludf.DUMMYFUNCTION("""COMPUTED_VALUE"""),6595.15)</f>
        <v/>
      </c>
    </row>
    <row r="6484">
      <c r="J6484">
        <f>IFERROR(__xludf.DUMMYFUNCTION("""COMPUTED_VALUE"""),"Dar es Salaam")</f>
        <v/>
      </c>
      <c r="K6484">
        <f>IFERROR(__xludf.DUMMYFUNCTION("""COMPUTED_VALUE"""),6593.88)</f>
        <v/>
      </c>
    </row>
    <row r="6485">
      <c r="J6485">
        <f>IFERROR(__xludf.DUMMYFUNCTION("""COMPUTED_VALUE"""),"St. John's, Newfoundland and Labrador; Vancouver, British Colombia")</f>
        <v/>
      </c>
      <c r="K6485">
        <f>IFERROR(__xludf.DUMMYFUNCTION("""COMPUTED_VALUE"""),6591.76)</f>
        <v/>
      </c>
    </row>
    <row r="6486">
      <c r="J6486">
        <f>IFERROR(__xludf.DUMMYFUNCTION("""COMPUTED_VALUE"""),"Windsor, Ontario, Canada / Sudbury, Ontario, Canada")</f>
        <v/>
      </c>
      <c r="K6486">
        <f>IFERROR(__xludf.DUMMYFUNCTION("""COMPUTED_VALUE"""),6590.92)</f>
        <v/>
      </c>
    </row>
    <row r="6487">
      <c r="J6487">
        <f>IFERROR(__xludf.DUMMYFUNCTION("""COMPUTED_VALUE"""),"Mexico City Mexico")</f>
        <v/>
      </c>
      <c r="K6487">
        <f>IFERROR(__xludf.DUMMYFUNCTION("""COMPUTED_VALUE"""),6588.57)</f>
        <v/>
      </c>
    </row>
    <row r="6488">
      <c r="J6488">
        <f>IFERROR(__xludf.DUMMYFUNCTION("""COMPUTED_VALUE"""),"Edmonton, Calgary, Lethbridge")</f>
        <v/>
      </c>
      <c r="K6488">
        <f>IFERROR(__xludf.DUMMYFUNCTION("""COMPUTED_VALUE"""),6587.94)</f>
        <v/>
      </c>
    </row>
    <row r="6489">
      <c r="J6489">
        <f>IFERROR(__xludf.DUMMYFUNCTION("""COMPUTED_VALUE"""),"Miami; Toronto; Ottawa")</f>
        <v/>
      </c>
      <c r="K6489">
        <f>IFERROR(__xludf.DUMMYFUNCTION("""COMPUTED_VALUE"""),6587.14)</f>
        <v/>
      </c>
    </row>
    <row r="6490">
      <c r="J6490">
        <f>IFERROR(__xludf.DUMMYFUNCTION("""COMPUTED_VALUE"""),"Sydney, Australia and Manila, Philippines")</f>
        <v/>
      </c>
      <c r="K6490">
        <f>IFERROR(__xludf.DUMMYFUNCTION("""COMPUTED_VALUE"""),6586.46)</f>
        <v/>
      </c>
    </row>
    <row r="6491">
      <c r="J6491">
        <f>IFERROR(__xludf.DUMMYFUNCTION("""COMPUTED_VALUE"""),"Arusha, Tanzania, Tanzania")</f>
        <v/>
      </c>
      <c r="K6491">
        <f>IFERROR(__xludf.DUMMYFUNCTION("""COMPUTED_VALUE"""),6586.4)</f>
        <v/>
      </c>
    </row>
    <row r="6492">
      <c r="J6492">
        <f>IFERROR(__xludf.DUMMYFUNCTION("""COMPUTED_VALUE"""),"Washington, District of Columbia, United States; New York City, New York, United States")</f>
        <v/>
      </c>
      <c r="K6492">
        <f>IFERROR(__xludf.DUMMYFUNCTION("""COMPUTED_VALUE"""),6578.26)</f>
        <v/>
      </c>
    </row>
    <row r="6493">
      <c r="J6493">
        <f>IFERROR(__xludf.DUMMYFUNCTION("""COMPUTED_VALUE"""),"Victoria, Cowichan Bay and Nanaimo, British-Columbia")</f>
        <v/>
      </c>
      <c r="K6493">
        <f>IFERROR(__xludf.DUMMYFUNCTION("""COMPUTED_VALUE"""),6578.04)</f>
        <v/>
      </c>
    </row>
    <row r="6494">
      <c r="J6494">
        <f>IFERROR(__xludf.DUMMYFUNCTION("""COMPUTED_VALUE"""),"Birmingham, Alabama, United States")</f>
        <v/>
      </c>
      <c r="K6494">
        <f>IFERROR(__xludf.DUMMYFUNCTION("""COMPUTED_VALUE"""),6576.49)</f>
        <v/>
      </c>
    </row>
    <row r="6495">
      <c r="J6495">
        <f>IFERROR(__xludf.DUMMYFUNCTION("""COMPUTED_VALUE"""),"Nairobi , Kenya")</f>
        <v/>
      </c>
      <c r="K6495">
        <f>IFERROR(__xludf.DUMMYFUNCTION("""COMPUTED_VALUE"""),6574.61)</f>
        <v/>
      </c>
    </row>
    <row r="6496">
      <c r="J6496">
        <f>IFERROR(__xludf.DUMMYFUNCTION("""COMPUTED_VALUE"""),"London and Farnborough, UK")</f>
        <v/>
      </c>
      <c r="K6496">
        <f>IFERROR(__xludf.DUMMYFUNCTION("""COMPUTED_VALUE"""),6573.94)</f>
        <v/>
      </c>
    </row>
    <row r="6497">
      <c r="J6497">
        <f>IFERROR(__xludf.DUMMYFUNCTION("""COMPUTED_VALUE"""),"Virginia Beach, United States of America")</f>
        <v/>
      </c>
      <c r="K6497">
        <f>IFERROR(__xludf.DUMMYFUNCTION("""COMPUTED_VALUE"""),6573.55)</f>
        <v/>
      </c>
    </row>
    <row r="6498">
      <c r="J6498">
        <f>IFERROR(__xludf.DUMMYFUNCTION("""COMPUTED_VALUE"""),"Toronto-Quebec")</f>
        <v/>
      </c>
      <c r="K6498">
        <f>IFERROR(__xludf.DUMMYFUNCTION("""COMPUTED_VALUE"""),6572.93)</f>
        <v/>
      </c>
    </row>
    <row r="6499">
      <c r="J6499">
        <f>IFERROR(__xludf.DUMMYFUNCTION("""COMPUTED_VALUE"""),"Edmonton, Alberta, Canada; Yellowknife, Northwest Territories, Canada")</f>
        <v/>
      </c>
      <c r="K6499">
        <f>IFERROR(__xludf.DUMMYFUNCTION("""COMPUTED_VALUE"""),6571.24)</f>
        <v/>
      </c>
    </row>
    <row r="6500">
      <c r="J6500">
        <f>IFERROR(__xludf.DUMMYFUNCTION("""COMPUTED_VALUE"""),"Cleveland, Ohio")</f>
        <v/>
      </c>
      <c r="K6500">
        <f>IFERROR(__xludf.DUMMYFUNCTION("""COMPUTED_VALUE"""),6569.21)</f>
        <v/>
      </c>
    </row>
    <row r="6501">
      <c r="J6501">
        <f>IFERROR(__xludf.DUMMYFUNCTION("""COMPUTED_VALUE"""),"Honolulu (Hawaii) USA,           Vancouver and Victoria (British-Columbia) Canada")</f>
        <v/>
      </c>
      <c r="K6501">
        <f>IFERROR(__xludf.DUMMYFUNCTION("""COMPUTED_VALUE"""),6566.26)</f>
        <v/>
      </c>
    </row>
    <row r="6502">
      <c r="J6502">
        <f>IFERROR(__xludf.DUMMYFUNCTION("""COMPUTED_VALUE"""),"Ottawa &amp; Toronto, ON, Canada")</f>
        <v/>
      </c>
      <c r="K6502">
        <f>IFERROR(__xludf.DUMMYFUNCTION("""COMPUTED_VALUE"""),6565.59)</f>
        <v/>
      </c>
    </row>
    <row r="6503">
      <c r="J6503">
        <f>IFERROR(__xludf.DUMMYFUNCTION("""COMPUTED_VALUE"""),"Oslo, Norway
Riga, Latvia")</f>
        <v/>
      </c>
      <c r="K6503">
        <f>IFERROR(__xludf.DUMMYFUNCTION("""COMPUTED_VALUE"""),6564.5)</f>
        <v/>
      </c>
    </row>
    <row r="6504">
      <c r="J6504">
        <f>IFERROR(__xludf.DUMMYFUNCTION("""COMPUTED_VALUE"""),"New York City and Washington,DC")</f>
        <v/>
      </c>
      <c r="K6504">
        <f>IFERROR(__xludf.DUMMYFUNCTION("""COMPUTED_VALUE"""),6562.71)</f>
        <v/>
      </c>
    </row>
    <row r="6505">
      <c r="J6505">
        <f>IFERROR(__xludf.DUMMYFUNCTION("""COMPUTED_VALUE"""),"Bath, UK")</f>
        <v/>
      </c>
      <c r="K6505">
        <f>IFERROR(__xludf.DUMMYFUNCTION("""COMPUTED_VALUE"""),6562.45)</f>
        <v/>
      </c>
    </row>
    <row r="6506">
      <c r="J6506">
        <f>IFERROR(__xludf.DUMMYFUNCTION("""COMPUTED_VALUE"""),"St. John's, NFLD &amp; Ottawa, ON")</f>
        <v/>
      </c>
      <c r="K6506">
        <f>IFERROR(__xludf.DUMMYFUNCTION("""COMPUTED_VALUE"""),6560.85)</f>
        <v/>
      </c>
    </row>
    <row r="6507">
      <c r="J6507">
        <f>IFERROR(__xludf.DUMMYFUNCTION("""COMPUTED_VALUE"""),"Palo Alto and Los Angeles")</f>
        <v/>
      </c>
      <c r="K6507">
        <f>IFERROR(__xludf.DUMMYFUNCTION("""COMPUTED_VALUE"""),6553.38)</f>
        <v/>
      </c>
    </row>
    <row r="6508">
      <c r="J6508">
        <f>IFERROR(__xludf.DUMMYFUNCTION("""COMPUTED_VALUE"""),"Washington, DC, U.S.A.")</f>
        <v/>
      </c>
      <c r="K6508">
        <f>IFERROR(__xludf.DUMMYFUNCTION("""COMPUTED_VALUE"""),6552.92)</f>
        <v/>
      </c>
    </row>
    <row r="6509">
      <c r="J6509">
        <f>IFERROR(__xludf.DUMMYFUNCTION("""COMPUTED_VALUE"""),"Halifax. NS")</f>
        <v/>
      </c>
      <c r="K6509">
        <f>IFERROR(__xludf.DUMMYFUNCTION("""COMPUTED_VALUE"""),6552.33)</f>
        <v/>
      </c>
    </row>
    <row r="6510">
      <c r="J6510">
        <f>IFERROR(__xludf.DUMMYFUNCTION("""COMPUTED_VALUE"""),"Kuujjuaq, Quebec, Canada, Iqaluit, Nunavut, Canada, and Yellowknife, Northwest Territories, Canada")</f>
        <v/>
      </c>
      <c r="K6510">
        <f>IFERROR(__xludf.DUMMYFUNCTION("""COMPUTED_VALUE"""),6551.28)</f>
        <v/>
      </c>
    </row>
    <row r="6511">
      <c r="J6511">
        <f>IFERROR(__xludf.DUMMYFUNCTION("""COMPUTED_VALUE"""),"Beijing, Chine")</f>
        <v/>
      </c>
      <c r="K6511">
        <f>IFERROR(__xludf.DUMMYFUNCTION("""COMPUTED_VALUE"""),6550.83)</f>
        <v/>
      </c>
    </row>
    <row r="6512">
      <c r="J6512">
        <f>IFERROR(__xludf.DUMMYFUNCTION("""COMPUTED_VALUE"""),"Ottawa ON, Morrisburg, ON")</f>
        <v/>
      </c>
      <c r="K6512">
        <f>IFERROR(__xludf.DUMMYFUNCTION("""COMPUTED_VALUE"""),6550.42)</f>
        <v/>
      </c>
    </row>
    <row r="6513">
      <c r="J6513">
        <f>IFERROR(__xludf.DUMMYFUNCTION("""COMPUTED_VALUE"""),"Edmonton, Vancouver")</f>
        <v/>
      </c>
      <c r="K6513">
        <f>IFERROR(__xludf.DUMMYFUNCTION("""COMPUTED_VALUE"""),6549.7)</f>
        <v/>
      </c>
    </row>
    <row r="6514">
      <c r="J6514">
        <f>IFERROR(__xludf.DUMMYFUNCTION("""COMPUTED_VALUE"""),"Nice, France / Berlin, Germany")</f>
        <v/>
      </c>
      <c r="K6514">
        <f>IFERROR(__xludf.DUMMYFUNCTION("""COMPUTED_VALUE"""),6549.54)</f>
        <v/>
      </c>
    </row>
    <row r="6515">
      <c r="J6515">
        <f>IFERROR(__xludf.DUMMYFUNCTION("""COMPUTED_VALUE"""),"India, Kuwait, Saudi Arabia and Ireland")</f>
        <v/>
      </c>
      <c r="K6515">
        <f>IFERROR(__xludf.DUMMYFUNCTION("""COMPUTED_VALUE"""),6547.7)</f>
        <v/>
      </c>
    </row>
    <row r="6516">
      <c r="J6516">
        <f>IFERROR(__xludf.DUMMYFUNCTION("""COMPUTED_VALUE"""),"Ottawa, Ontario, Canada / Rocky Harbour, Newfoundland and Labrador, Canada / St. John's, Newfoundland and Labrador, Canada")</f>
        <v/>
      </c>
      <c r="K6516">
        <f>IFERROR(__xludf.DUMMYFUNCTION("""COMPUTED_VALUE"""),6546.08)</f>
        <v/>
      </c>
    </row>
    <row r="6517">
      <c r="J6517">
        <f>IFERROR(__xludf.DUMMYFUNCTION("""COMPUTED_VALUE"""),"Beijing and Tianjin, China")</f>
        <v/>
      </c>
      <c r="K6517">
        <f>IFERROR(__xludf.DUMMYFUNCTION("""COMPUTED_VALUE"""),6545.61)</f>
        <v/>
      </c>
    </row>
    <row r="6518">
      <c r="J6518">
        <f>IFERROR(__xludf.DUMMYFUNCTION("""COMPUTED_VALUE"""),"Sandspit, British Columbia, Canada / Vancouver, British Columbia, Canada")</f>
        <v/>
      </c>
      <c r="K6518">
        <f>IFERROR(__xludf.DUMMYFUNCTION("""COMPUTED_VALUE"""),6545.21)</f>
        <v/>
      </c>
    </row>
    <row r="6519">
      <c r="J6519">
        <f>IFERROR(__xludf.DUMMYFUNCTION("""COMPUTED_VALUE"""),"Copenhagen, Denmark; Vienna, Austria; The Hague, Netherlands; Edinburgh, United Kingdom; London, United Kingdom")</f>
        <v/>
      </c>
      <c r="K6519">
        <f>IFERROR(__xludf.DUMMYFUNCTION("""COMPUTED_VALUE"""),6541.73)</f>
        <v/>
      </c>
    </row>
    <row r="6520">
      <c r="J6520">
        <f>IFERROR(__xludf.DUMMYFUNCTION("""COMPUTED_VALUE"""),"Prince George, British Columbia, Canada; Victoria, British Columbia, Canada")</f>
        <v/>
      </c>
      <c r="K6520">
        <f>IFERROR(__xludf.DUMMYFUNCTION("""COMPUTED_VALUE"""),6541.71)</f>
        <v/>
      </c>
    </row>
    <row r="6521">
      <c r="J6521">
        <f>IFERROR(__xludf.DUMMYFUNCTION("""COMPUTED_VALUE"""),"Skelleftea, Sweeden")</f>
        <v/>
      </c>
      <c r="K6521">
        <f>IFERROR(__xludf.DUMMYFUNCTION("""COMPUTED_VALUE"""),6539.6)</f>
        <v/>
      </c>
    </row>
    <row r="6522">
      <c r="J6522">
        <f>IFERROR(__xludf.DUMMYFUNCTION("""COMPUTED_VALUE"""),"Norfolk (Virginia) United States")</f>
        <v/>
      </c>
      <c r="K6522">
        <f>IFERROR(__xludf.DUMMYFUNCTION("""COMPUTED_VALUE"""),6538.67999999999)</f>
        <v/>
      </c>
    </row>
    <row r="6523">
      <c r="J6523">
        <f>IFERROR(__xludf.DUMMYFUNCTION("""COMPUTED_VALUE"""),"Sault Ste. Marie, Ontario / Sudbury, Ontario, Canada")</f>
        <v/>
      </c>
      <c r="K6523">
        <f>IFERROR(__xludf.DUMMYFUNCTION("""COMPUTED_VALUE"""),6538.67)</f>
        <v/>
      </c>
    </row>
    <row r="6524">
      <c r="J6524">
        <f>IFERROR(__xludf.DUMMYFUNCTION("""COMPUTED_VALUE"""),"Israel, West Bank , Jordan")</f>
        <v/>
      </c>
      <c r="K6524">
        <f>IFERROR(__xludf.DUMMYFUNCTION("""COMPUTED_VALUE"""),6537.84)</f>
        <v/>
      </c>
    </row>
    <row r="6525">
      <c r="J6525">
        <f>IFERROR(__xludf.DUMMYFUNCTION("""COMPUTED_VALUE"""),"Calgary, AB Edmonton, AB")</f>
        <v/>
      </c>
      <c r="K6525">
        <f>IFERROR(__xludf.DUMMYFUNCTION("""COMPUTED_VALUE"""),6536.29)</f>
        <v/>
      </c>
    </row>
    <row r="6526">
      <c r="J6526">
        <f>IFERROR(__xludf.DUMMYFUNCTION("""COMPUTED_VALUE"""),"Winnipeg (Manitoba); Calgary (Alberta); Vancouver (British Columbia) Canada")</f>
        <v/>
      </c>
      <c r="K6526">
        <f>IFERROR(__xludf.DUMMYFUNCTION("""COMPUTED_VALUE"""),6535.92)</f>
        <v/>
      </c>
    </row>
    <row r="6527">
      <c r="J6527">
        <f>IFERROR(__xludf.DUMMYFUNCTION("""COMPUTED_VALUE"""),"Winnipeg, Manitoba, Toronto, Ontario")</f>
        <v/>
      </c>
      <c r="K6527">
        <f>IFERROR(__xludf.DUMMYFUNCTION("""COMPUTED_VALUE"""),6534.72)</f>
        <v/>
      </c>
    </row>
    <row r="6528">
      <c r="J6528">
        <f>IFERROR(__xludf.DUMMYFUNCTION("""COMPUTED_VALUE"""),"Edmonton, Alberta and Saskatoon, Saskatchewan")</f>
        <v/>
      </c>
      <c r="K6528">
        <f>IFERROR(__xludf.DUMMYFUNCTION("""COMPUTED_VALUE"""),6534.53999999999)</f>
        <v/>
      </c>
    </row>
    <row r="6529">
      <c r="J6529">
        <f>IFERROR(__xludf.DUMMYFUNCTION("""COMPUTED_VALUE"""),"Vancouver, British Columbia and Montréal, Québec")</f>
        <v/>
      </c>
      <c r="K6529">
        <f>IFERROR(__xludf.DUMMYFUNCTION("""COMPUTED_VALUE"""),6534.16)</f>
        <v/>
      </c>
    </row>
    <row r="6530">
      <c r="J6530">
        <f>IFERROR(__xludf.DUMMYFUNCTION("""COMPUTED_VALUE"""),"Toronto, ON, Fredericton, NB, Halifax, NS")</f>
        <v/>
      </c>
      <c r="K6530">
        <f>IFERROR(__xludf.DUMMYFUNCTION("""COMPUTED_VALUE"""),6533.71)</f>
        <v/>
      </c>
    </row>
    <row r="6531">
      <c r="J6531">
        <f>IFERROR(__xludf.DUMMYFUNCTION("""COMPUTED_VALUE"""),"Berlin, London, Paris, Brussels and Geneva")</f>
        <v/>
      </c>
      <c r="K6531">
        <f>IFERROR(__xludf.DUMMYFUNCTION("""COMPUTED_VALUE"""),6532.78)</f>
        <v/>
      </c>
    </row>
    <row r="6532">
      <c r="J6532">
        <f>IFERROR(__xludf.DUMMYFUNCTION("""COMPUTED_VALUE"""),"Moscow, Russia; Kazakhstan")</f>
        <v/>
      </c>
      <c r="K6532">
        <f>IFERROR(__xludf.DUMMYFUNCTION("""COMPUTED_VALUE"""),6532.49)</f>
        <v/>
      </c>
    </row>
    <row r="6533">
      <c r="J6533">
        <f>IFERROR(__xludf.DUMMYFUNCTION("""COMPUTED_VALUE"""),"Vancouver, Birtish Columbia, Canada")</f>
        <v/>
      </c>
      <c r="K6533">
        <f>IFERROR(__xludf.DUMMYFUNCTION("""COMPUTED_VALUE"""),6531.17)</f>
        <v/>
      </c>
    </row>
    <row r="6534">
      <c r="J6534">
        <f>IFERROR(__xludf.DUMMYFUNCTION("""COMPUTED_VALUE"""),"Tel Aviv and Beijing, China")</f>
        <v/>
      </c>
      <c r="K6534">
        <f>IFERROR(__xludf.DUMMYFUNCTION("""COMPUTED_VALUE"""),6529.76)</f>
        <v/>
      </c>
    </row>
    <row r="6535">
      <c r="J6535">
        <f>IFERROR(__xludf.DUMMYFUNCTION("""COMPUTED_VALUE"""),"1)The Hague, Netherlands 2) Strasbourg, France")</f>
        <v/>
      </c>
      <c r="K6535">
        <f>IFERROR(__xludf.DUMMYFUNCTION("""COMPUTED_VALUE"""),6529.7)</f>
        <v/>
      </c>
    </row>
    <row r="6536">
      <c r="J6536">
        <f>IFERROR(__xludf.DUMMYFUNCTION("""COMPUTED_VALUE"""),"Sault St. Marie, Ontario, Canada")</f>
        <v/>
      </c>
      <c r="K6536">
        <f>IFERROR(__xludf.DUMMYFUNCTION("""COMPUTED_VALUE"""),6527.51)</f>
        <v/>
      </c>
    </row>
    <row r="6537">
      <c r="J6537">
        <f>IFERROR(__xludf.DUMMYFUNCTION("""COMPUTED_VALUE"""),"Paris, France, and Bonn, Germany")</f>
        <v/>
      </c>
      <c r="K6537">
        <f>IFERROR(__xludf.DUMMYFUNCTION("""COMPUTED_VALUE"""),6526.22)</f>
        <v/>
      </c>
    </row>
    <row r="6538">
      <c r="J6538">
        <f>IFERROR(__xludf.DUMMYFUNCTION("""COMPUTED_VALUE"""),"Edmonton, AB, Vancouver, BC and Toronto, ON")</f>
        <v/>
      </c>
      <c r="K6538">
        <f>IFERROR(__xludf.DUMMYFUNCTION("""COMPUTED_VALUE"""),6524.56)</f>
        <v/>
      </c>
    </row>
    <row r="6539">
      <c r="J6539">
        <f>IFERROR(__xludf.DUMMYFUNCTION("""COMPUTED_VALUE"""),"Vancouver, British Columbia, Canada / Winnipeg, Manitoba, Canada")</f>
        <v/>
      </c>
      <c r="K6539">
        <f>IFERROR(__xludf.DUMMYFUNCTION("""COMPUTED_VALUE"""),6523.59)</f>
        <v/>
      </c>
    </row>
    <row r="6540">
      <c r="J6540">
        <f>IFERROR(__xludf.DUMMYFUNCTION("""COMPUTED_VALUE"""),"United Kingdom, London")</f>
        <v/>
      </c>
      <c r="K6540">
        <f>IFERROR(__xludf.DUMMYFUNCTION("""COMPUTED_VALUE"""),6523.32)</f>
        <v/>
      </c>
    </row>
    <row r="6541">
      <c r="J6541">
        <f>IFERROR(__xludf.DUMMYFUNCTION("""COMPUTED_VALUE"""),"Tangier, Morocco")</f>
        <v/>
      </c>
      <c r="K6541">
        <f>IFERROR(__xludf.DUMMYFUNCTION("""COMPUTED_VALUE"""),6523.11)</f>
        <v/>
      </c>
    </row>
    <row r="6542">
      <c r="J6542">
        <f>IFERROR(__xludf.DUMMYFUNCTION("""COMPUTED_VALUE"""),"Markham")</f>
        <v/>
      </c>
      <c r="K6542">
        <f>IFERROR(__xludf.DUMMYFUNCTION("""COMPUTED_VALUE"""),6521.26)</f>
        <v/>
      </c>
    </row>
    <row r="6543">
      <c r="J6543">
        <f>IFERROR(__xludf.DUMMYFUNCTION("""COMPUTED_VALUE"""),"Yellowknife, Iqualuit, Pangnirtung, Nunavut, Ottawa")</f>
        <v/>
      </c>
      <c r="K6543">
        <f>IFERROR(__xludf.DUMMYFUNCTION("""COMPUTED_VALUE"""),6520.88)</f>
        <v/>
      </c>
    </row>
    <row r="6544">
      <c r="J6544">
        <f>IFERROR(__xludf.DUMMYFUNCTION("""COMPUTED_VALUE"""),"Oak Island, Nova Scotia, Canada; Nicolet, Quebec, Canada")</f>
        <v/>
      </c>
      <c r="K6544">
        <f>IFERROR(__xludf.DUMMYFUNCTION("""COMPUTED_VALUE"""),6520.62)</f>
        <v/>
      </c>
    </row>
    <row r="6545">
      <c r="J6545">
        <f>IFERROR(__xludf.DUMMYFUNCTION("""COMPUTED_VALUE"""),"Halifax, NS; Charlottetown, PE")</f>
        <v/>
      </c>
      <c r="K6545">
        <f>IFERROR(__xludf.DUMMYFUNCTION("""COMPUTED_VALUE"""),6517.12999999999)</f>
        <v/>
      </c>
    </row>
    <row r="6546">
      <c r="J6546">
        <f>IFERROR(__xludf.DUMMYFUNCTION("""COMPUTED_VALUE"""),"Montreal, Ottawa and Toronto, Canada")</f>
        <v/>
      </c>
      <c r="K6546">
        <f>IFERROR(__xludf.DUMMYFUNCTION("""COMPUTED_VALUE"""),6516.99)</f>
        <v/>
      </c>
    </row>
    <row r="6547">
      <c r="J6547">
        <f>IFERROR(__xludf.DUMMYFUNCTION("""COMPUTED_VALUE"""),"Halifax (Nova Scotia); Saint John (New Brunswick); Summerside, Charlottetown (Prince Edward Island) Canada")</f>
        <v/>
      </c>
      <c r="K6547">
        <f>IFERROR(__xludf.DUMMYFUNCTION("""COMPUTED_VALUE"""),6516.78)</f>
        <v/>
      </c>
    </row>
    <row r="6548">
      <c r="J6548">
        <f>IFERROR(__xludf.DUMMYFUNCTION("""COMPUTED_VALUE"""),"Washington, Mexico City")</f>
        <v/>
      </c>
      <c r="K6548">
        <f>IFERROR(__xludf.DUMMYFUNCTION("""COMPUTED_VALUE"""),6516.07)</f>
        <v/>
      </c>
    </row>
    <row r="6549">
      <c r="J6549">
        <f>IFERROR(__xludf.DUMMYFUNCTION("""COMPUTED_VALUE"""),"Paris, France, Venice, Italy")</f>
        <v/>
      </c>
      <c r="K6549">
        <f>IFERROR(__xludf.DUMMYFUNCTION("""COMPUTED_VALUE"""),6514.88)</f>
        <v/>
      </c>
    </row>
    <row r="6550">
      <c r="J6550">
        <f>IFERROR(__xludf.DUMMYFUNCTION("""COMPUTED_VALUE"""),"Vancouver, British Columbia; Canada")</f>
        <v/>
      </c>
      <c r="K6550">
        <f>IFERROR(__xludf.DUMMYFUNCTION("""COMPUTED_VALUE"""),6511.43)</f>
        <v/>
      </c>
    </row>
    <row r="6551">
      <c r="J6551">
        <f>IFERROR(__xludf.DUMMYFUNCTION("""COMPUTED_VALUE"""),"Fort-de-France, Martinique")</f>
        <v/>
      </c>
      <c r="K6551">
        <f>IFERROR(__xludf.DUMMYFUNCTION("""COMPUTED_VALUE"""),6511.13999999999)</f>
        <v/>
      </c>
    </row>
    <row r="6552">
      <c r="J6552">
        <f>IFERROR(__xludf.DUMMYFUNCTION("""COMPUTED_VALUE"""),"Potsdam, Berlin, Heiligendamm")</f>
        <v/>
      </c>
      <c r="K6552">
        <f>IFERROR(__xludf.DUMMYFUNCTION("""COMPUTED_VALUE"""),6511.03)</f>
        <v/>
      </c>
    </row>
    <row r="6553">
      <c r="J6553">
        <f>IFERROR(__xludf.DUMMYFUNCTION("""COMPUTED_VALUE"""),"Abingdon, United Kingdom")</f>
        <v/>
      </c>
      <c r="K6553">
        <f>IFERROR(__xludf.DUMMYFUNCTION("""COMPUTED_VALUE"""),6510.99)</f>
        <v/>
      </c>
    </row>
    <row r="6554">
      <c r="J6554">
        <f>IFERROR(__xludf.DUMMYFUNCTION("""COMPUTED_VALUE"""),"Washington DC.")</f>
        <v/>
      </c>
      <c r="K6554">
        <f>IFERROR(__xludf.DUMMYFUNCTION("""COMPUTED_VALUE"""),6510.88)</f>
        <v/>
      </c>
    </row>
    <row r="6555">
      <c r="J6555">
        <f>IFERROR(__xludf.DUMMYFUNCTION("""COMPUTED_VALUE"""),"Grenada")</f>
        <v/>
      </c>
      <c r="K6555">
        <f>IFERROR(__xludf.DUMMYFUNCTION("""COMPUTED_VALUE"""),6509.07)</f>
        <v/>
      </c>
    </row>
    <row r="6556">
      <c r="J6556">
        <f>IFERROR(__xludf.DUMMYFUNCTION("""COMPUTED_VALUE"""),"Qatar")</f>
        <v/>
      </c>
      <c r="K6556">
        <f>IFERROR(__xludf.DUMMYFUNCTION("""COMPUTED_VALUE"""),6506.86)</f>
        <v/>
      </c>
    </row>
    <row r="6557">
      <c r="J6557">
        <f>IFERROR(__xludf.DUMMYFUNCTION("""COMPUTED_VALUE"""),"Toronto Ontario")</f>
        <v/>
      </c>
      <c r="K6557">
        <f>IFERROR(__xludf.DUMMYFUNCTION("""COMPUTED_VALUE"""),6506.39)</f>
        <v/>
      </c>
    </row>
    <row r="6558">
      <c r="J6558">
        <f>IFERROR(__xludf.DUMMYFUNCTION("""COMPUTED_VALUE"""),"Tibet Autonomous Region")</f>
        <v/>
      </c>
      <c r="K6558">
        <f>IFERROR(__xludf.DUMMYFUNCTION("""COMPUTED_VALUE"""),6503.8)</f>
        <v/>
      </c>
    </row>
    <row r="6559">
      <c r="J6559">
        <f>IFERROR(__xludf.DUMMYFUNCTION("""COMPUTED_VALUE"""),"Addis-Abada, Ethiopia")</f>
        <v/>
      </c>
      <c r="K6559">
        <f>IFERROR(__xludf.DUMMYFUNCTION("""COMPUTED_VALUE"""),6502.73)</f>
        <v/>
      </c>
    </row>
    <row r="6560">
      <c r="J6560">
        <f>IFERROR(__xludf.DUMMYFUNCTION("""COMPUTED_VALUE"""),"Vancouver, Winnipeg &amp; London")</f>
        <v/>
      </c>
      <c r="K6560">
        <f>IFERROR(__xludf.DUMMYFUNCTION("""COMPUTED_VALUE"""),6499.52)</f>
        <v/>
      </c>
    </row>
    <row r="6561">
      <c r="J6561">
        <f>IFERROR(__xludf.DUMMYFUNCTION("""COMPUTED_VALUE"""),"Hong Kong Beijing")</f>
        <v/>
      </c>
      <c r="K6561">
        <f>IFERROR(__xludf.DUMMYFUNCTION("""COMPUTED_VALUE"""),6498.39)</f>
        <v/>
      </c>
    </row>
    <row r="6562">
      <c r="J6562">
        <f>IFERROR(__xludf.DUMMYFUNCTION("""COMPUTED_VALUE"""),"Ottawa, ON and Vancouver, BC")</f>
        <v/>
      </c>
      <c r="K6562">
        <f>IFERROR(__xludf.DUMMYFUNCTION("""COMPUTED_VALUE"""),6497.7)</f>
        <v/>
      </c>
    </row>
    <row r="6563">
      <c r="J6563">
        <f>IFERROR(__xludf.DUMMYFUNCTION("""COMPUTED_VALUE"""),"King City, Ontario, Canada")</f>
        <v/>
      </c>
      <c r="K6563">
        <f>IFERROR(__xludf.DUMMYFUNCTION("""COMPUTED_VALUE"""),6495.19)</f>
        <v/>
      </c>
    </row>
    <row r="6564">
      <c r="J6564">
        <f>IFERROR(__xludf.DUMMYFUNCTION("""COMPUTED_VALUE"""),"VANCOUVER, BC - CALGARY, AB -
TORONTO, ON")</f>
        <v/>
      </c>
      <c r="K6564">
        <f>IFERROR(__xludf.DUMMYFUNCTION("""COMPUTED_VALUE"""),6494.35)</f>
        <v/>
      </c>
    </row>
    <row r="6565">
      <c r="J6565">
        <f>IFERROR(__xludf.DUMMYFUNCTION("""COMPUTED_VALUE"""),"Ottawa, Ontario, Canada                         Yellowknife, Northwest Territories, Canada")</f>
        <v/>
      </c>
      <c r="K6565">
        <f>IFERROR(__xludf.DUMMYFUNCTION("""COMPUTED_VALUE"""),6493.67)</f>
        <v/>
      </c>
    </row>
    <row r="6566">
      <c r="J6566">
        <f>IFERROR(__xludf.DUMMYFUNCTION("""COMPUTED_VALUE"""),"London, UK; Hamburg, Germany and Oslo, Norway")</f>
        <v/>
      </c>
      <c r="K6566">
        <f>IFERROR(__xludf.DUMMYFUNCTION("""COMPUTED_VALUE"""),6493.38)</f>
        <v/>
      </c>
    </row>
    <row r="6567">
      <c r="J6567">
        <f>IFERROR(__xludf.DUMMYFUNCTION("""COMPUTED_VALUE"""),"Norfolk, Virginia, United States")</f>
        <v/>
      </c>
      <c r="K6567">
        <f>IFERROR(__xludf.DUMMYFUNCTION("""COMPUTED_VALUE"""),6491.42)</f>
        <v/>
      </c>
    </row>
    <row r="6568">
      <c r="J6568">
        <f>IFERROR(__xludf.DUMMYFUNCTION("""COMPUTED_VALUE"""),"Washington DC; Ottawa ON")</f>
        <v/>
      </c>
      <c r="K6568">
        <f>IFERROR(__xludf.DUMMYFUNCTION("""COMPUTED_VALUE"""),6491.08)</f>
        <v/>
      </c>
    </row>
    <row r="6569">
      <c r="J6569">
        <f>IFERROR(__xludf.DUMMYFUNCTION("""COMPUTED_VALUE"""),"Montreal (Quebec), Canada")</f>
        <v/>
      </c>
      <c r="K6569">
        <f>IFERROR(__xludf.DUMMYFUNCTION("""COMPUTED_VALUE"""),6489.13)</f>
        <v/>
      </c>
    </row>
    <row r="6570">
      <c r="J6570">
        <f>IFERROR(__xludf.DUMMYFUNCTION("""COMPUTED_VALUE"""),"Victoria, British Columbia; Edmonton, Alberta")</f>
        <v/>
      </c>
      <c r="K6570">
        <f>IFERROR(__xludf.DUMMYFUNCTION("""COMPUTED_VALUE"""),6484.55)</f>
        <v/>
      </c>
    </row>
    <row r="6571">
      <c r="J6571">
        <f>IFERROR(__xludf.DUMMYFUNCTION("""COMPUTED_VALUE"""),"Saskatoon, SK; Yellowknife, NT")</f>
        <v/>
      </c>
      <c r="K6571">
        <f>IFERROR(__xludf.DUMMYFUNCTION("""COMPUTED_VALUE"""),6484.47)</f>
        <v/>
      </c>
    </row>
    <row r="6572">
      <c r="J6572">
        <f>IFERROR(__xludf.DUMMYFUNCTION("""COMPUTED_VALUE"""),"Montreal and Halifax")</f>
        <v/>
      </c>
      <c r="K6572">
        <f>IFERROR(__xludf.DUMMYFUNCTION("""COMPUTED_VALUE"""),6479.29)</f>
        <v/>
      </c>
    </row>
    <row r="6573">
      <c r="J6573">
        <f>IFERROR(__xludf.DUMMYFUNCTION("""COMPUTED_VALUE"""),"Ottawa, ON - Vancouver, BC / Vancouver, BC - Seoul, Korea / Seoul, Korea - Toronto, ON / Toronto, ON - Ottawa, ON")</f>
        <v/>
      </c>
      <c r="K6573">
        <f>IFERROR(__xludf.DUMMYFUNCTION("""COMPUTED_VALUE"""),6478.72)</f>
        <v/>
      </c>
    </row>
    <row r="6574">
      <c r="J6574">
        <f>IFERROR(__xludf.DUMMYFUNCTION("""COMPUTED_VALUE"""),"St. John's, Newfoundland and Labrador, Canada; Harbour Grace, Newfoundland and Labrador, Canada; Carbonear, Newfoundland and Labrador, Canada")</f>
        <v/>
      </c>
      <c r="K6574">
        <f>IFERROR(__xludf.DUMMYFUNCTION("""COMPUTED_VALUE"""),6478.25)</f>
        <v/>
      </c>
    </row>
    <row r="6575">
      <c r="J6575">
        <f>IFERROR(__xludf.DUMMYFUNCTION("""COMPUTED_VALUE"""),"Grande Prairie, Alberta")</f>
        <v/>
      </c>
      <c r="K6575">
        <f>IFERROR(__xludf.DUMMYFUNCTION("""COMPUTED_VALUE"""),6475.57)</f>
        <v/>
      </c>
    </row>
    <row r="6576">
      <c r="J6576">
        <f>IFERROR(__xludf.DUMMYFUNCTION("""COMPUTED_VALUE"""),"Calgary, Alberta          Oklahoma City, Oklahoma        St. Louis, Missouri")</f>
        <v/>
      </c>
      <c r="K6576">
        <f>IFERROR(__xludf.DUMMYFUNCTION("""COMPUTED_VALUE"""),6475.29)</f>
        <v/>
      </c>
    </row>
    <row r="6577">
      <c r="J6577">
        <f>IFERROR(__xludf.DUMMYFUNCTION("""COMPUTED_VALUE"""),"Winnipeq, MB Toronto, ON")</f>
        <v/>
      </c>
      <c r="K6577">
        <f>IFERROR(__xludf.DUMMYFUNCTION("""COMPUTED_VALUE"""),6472.8)</f>
        <v/>
      </c>
    </row>
    <row r="6578">
      <c r="J6578">
        <f>IFERROR(__xludf.DUMMYFUNCTION("""COMPUTED_VALUE"""),"Vancouver, Victoria, British Colombia, Canada")</f>
        <v/>
      </c>
      <c r="K6578">
        <f>IFERROR(__xludf.DUMMYFUNCTION("""COMPUTED_VALUE"""),6471.71999999999)</f>
        <v/>
      </c>
    </row>
    <row r="6579">
      <c r="J6579">
        <f>IFERROR(__xludf.DUMMYFUNCTION("""COMPUTED_VALUE"""),"Etobicoke, Ontario, Canada")</f>
        <v/>
      </c>
      <c r="K6579">
        <f>IFERROR(__xludf.DUMMYFUNCTION("""COMPUTED_VALUE"""),6470.55999999999)</f>
        <v/>
      </c>
    </row>
    <row r="6580">
      <c r="J6580">
        <f>IFERROR(__xludf.DUMMYFUNCTION("""COMPUTED_VALUE"""),"New Brusnwick, Nova Scotia, Ontario")</f>
        <v/>
      </c>
      <c r="K6580">
        <f>IFERROR(__xludf.DUMMYFUNCTION("""COMPUTED_VALUE"""),6469.4)</f>
        <v/>
      </c>
    </row>
    <row r="6581">
      <c r="J6581">
        <f>IFERROR(__xludf.DUMMYFUNCTION("""COMPUTED_VALUE"""),"Vancouver, British Columbia;
Calgary, Alberta;
Medicine Hat, Alberta")</f>
        <v/>
      </c>
      <c r="K6581">
        <f>IFERROR(__xludf.DUMMYFUNCTION("""COMPUTED_VALUE"""),6469.4)</f>
        <v/>
      </c>
    </row>
    <row r="6582">
      <c r="J6582">
        <f>IFERROR(__xludf.DUMMYFUNCTION("""COMPUTED_VALUE"""),"Vancouver Edmonton/Victoria    Yellowknife/CFS Alert")</f>
        <v/>
      </c>
      <c r="K6582">
        <f>IFERROR(__xludf.DUMMYFUNCTION("""COMPUTED_VALUE"""),6468.68)</f>
        <v/>
      </c>
    </row>
    <row r="6583">
      <c r="J6583">
        <f>IFERROR(__xludf.DUMMYFUNCTION("""COMPUTED_VALUE"""),"New Delhi, IN")</f>
        <v/>
      </c>
      <c r="K6583">
        <f>IFERROR(__xludf.DUMMYFUNCTION("""COMPUTED_VALUE"""),6467.44)</f>
        <v/>
      </c>
    </row>
    <row r="6584">
      <c r="J6584">
        <f>IFERROR(__xludf.DUMMYFUNCTION("""COMPUTED_VALUE"""),"Washington, Norway, Finland, Miami")</f>
        <v/>
      </c>
      <c r="K6584">
        <f>IFERROR(__xludf.DUMMYFUNCTION("""COMPUTED_VALUE"""),6467.04)</f>
        <v/>
      </c>
    </row>
    <row r="6585">
      <c r="J6585">
        <f>IFERROR(__xludf.DUMMYFUNCTION("""COMPUTED_VALUE"""),"Paris, France and Ankara, Turkey")</f>
        <v/>
      </c>
      <c r="K6585">
        <f>IFERROR(__xludf.DUMMYFUNCTION("""COMPUTED_VALUE"""),6465.71)</f>
        <v/>
      </c>
    </row>
    <row r="6586">
      <c r="J6586">
        <f>IFERROR(__xludf.DUMMYFUNCTION("""COMPUTED_VALUE"""),"Vancouver, British Colombia, Edmonton, Alberta")</f>
        <v/>
      </c>
      <c r="K6586">
        <f>IFERROR(__xludf.DUMMYFUNCTION("""COMPUTED_VALUE"""),6465.67)</f>
        <v/>
      </c>
    </row>
    <row r="6587">
      <c r="J6587">
        <f>IFERROR(__xludf.DUMMYFUNCTION("""COMPUTED_VALUE"""),"The Hague; Paris")</f>
        <v/>
      </c>
      <c r="K6587">
        <f>IFERROR(__xludf.DUMMYFUNCTION("""COMPUTED_VALUE"""),6463.06)</f>
        <v/>
      </c>
    </row>
    <row r="6588">
      <c r="J6588">
        <f>IFERROR(__xludf.DUMMYFUNCTION("""COMPUTED_VALUE"""),"Nashville, United States")</f>
        <v/>
      </c>
      <c r="K6588">
        <f>IFERROR(__xludf.DUMMYFUNCTION("""COMPUTED_VALUE"""),6459.12)</f>
        <v/>
      </c>
    </row>
    <row r="6589">
      <c r="J6589">
        <f>IFERROR(__xludf.DUMMYFUNCTION("""COMPUTED_VALUE"""),"Nassau, BS")</f>
        <v/>
      </c>
      <c r="K6589">
        <f>IFERROR(__xludf.DUMMYFUNCTION("""COMPUTED_VALUE"""),6456.68)</f>
        <v/>
      </c>
    </row>
    <row r="6590">
      <c r="J6590">
        <f>IFERROR(__xludf.DUMMYFUNCTION("""COMPUTED_VALUE"""),"London and Birmingham, UK")</f>
        <v/>
      </c>
      <c r="K6590">
        <f>IFERROR(__xludf.DUMMYFUNCTION("""COMPUTED_VALUE"""),6456.61)</f>
        <v/>
      </c>
    </row>
    <row r="6591">
      <c r="J6591">
        <f>IFERROR(__xludf.DUMMYFUNCTION("""COMPUTED_VALUE"""),"Toronto. Ontario")</f>
        <v/>
      </c>
      <c r="K6591">
        <f>IFERROR(__xludf.DUMMYFUNCTION("""COMPUTED_VALUE"""),6455.44)</f>
        <v/>
      </c>
    </row>
    <row r="6592">
      <c r="J6592">
        <f>IFERROR(__xludf.DUMMYFUNCTION("""COMPUTED_VALUE"""),"United Sattes, Washington and Norfolk")</f>
        <v/>
      </c>
      <c r="K6592">
        <f>IFERROR(__xludf.DUMMYFUNCTION("""COMPUTED_VALUE"""),6455.21)</f>
        <v/>
      </c>
    </row>
    <row r="6593">
      <c r="J6593">
        <f>IFERROR(__xludf.DUMMYFUNCTION("""COMPUTED_VALUE"""),"Richmond BC")</f>
        <v/>
      </c>
      <c r="K6593">
        <f>IFERROR(__xludf.DUMMYFUNCTION("""COMPUTED_VALUE"""),6453.58)</f>
        <v/>
      </c>
    </row>
    <row r="6594">
      <c r="J6594">
        <f>IFERROR(__xludf.DUMMYFUNCTION("""COMPUTED_VALUE"""),"Moncton, New Brunswick / Halifax, Nova Scotia / St-Johns, Newfoundland and Labrador, Canada")</f>
        <v/>
      </c>
      <c r="K6594">
        <f>IFERROR(__xludf.DUMMYFUNCTION("""COMPUTED_VALUE"""),6453.41)</f>
        <v/>
      </c>
    </row>
    <row r="6595">
      <c r="J6595">
        <f>IFERROR(__xludf.DUMMYFUNCTION("""COMPUTED_VALUE"""),"Sydney and Halifax, Nova Scotia and Saint John, New-Brunswick")</f>
        <v/>
      </c>
      <c r="K6595">
        <f>IFERROR(__xludf.DUMMYFUNCTION("""COMPUTED_VALUE"""),6452.33)</f>
        <v/>
      </c>
    </row>
    <row r="6596">
      <c r="J6596">
        <f>IFERROR(__xludf.DUMMYFUNCTION("""COMPUTED_VALUE"""),"Cape Breton, Nova Scotia and Toronto, Ontario")</f>
        <v/>
      </c>
      <c r="K6596">
        <f>IFERROR(__xludf.DUMMYFUNCTION("""COMPUTED_VALUE"""),6452.25)</f>
        <v/>
      </c>
    </row>
    <row r="6597">
      <c r="J6597">
        <f>IFERROR(__xludf.DUMMYFUNCTION("""COMPUTED_VALUE"""),"Burlington, Ontario")</f>
        <v/>
      </c>
      <c r="K6597">
        <f>IFERROR(__xludf.DUMMYFUNCTION("""COMPUTED_VALUE"""),6450.47)</f>
        <v/>
      </c>
    </row>
    <row r="6598">
      <c r="J6598">
        <f>IFERROR(__xludf.DUMMYFUNCTION("""COMPUTED_VALUE"""),"Cozumel, Mexico")</f>
        <v/>
      </c>
      <c r="K6598">
        <f>IFERROR(__xludf.DUMMYFUNCTION("""COMPUTED_VALUE"""),6450.36)</f>
        <v/>
      </c>
    </row>
    <row r="6599">
      <c r="J6599">
        <f>IFERROR(__xludf.DUMMYFUNCTION("""COMPUTED_VALUE"""),"London and Manchester, UK")</f>
        <v/>
      </c>
      <c r="K6599">
        <f>IFERROR(__xludf.DUMMYFUNCTION("""COMPUTED_VALUE"""),6449.09)</f>
        <v/>
      </c>
    </row>
    <row r="6600">
      <c r="J6600">
        <f>IFERROR(__xludf.DUMMYFUNCTION("""COMPUTED_VALUE"""),"Winnipeg, Manitoba, Canada
Edmonton, Alberta, Canada")</f>
        <v/>
      </c>
      <c r="K6600">
        <f>IFERROR(__xludf.DUMMYFUNCTION("""COMPUTED_VALUE"""),6448.71)</f>
        <v/>
      </c>
    </row>
    <row r="6601">
      <c r="J6601">
        <f>IFERROR(__xludf.DUMMYFUNCTION("""COMPUTED_VALUE"""),"Regina, Saskatchewan, Canada; Saskatoon, Saskatchewan, Canada; Toronto, Ontario, Canada")</f>
        <v/>
      </c>
      <c r="K6601">
        <f>IFERROR(__xludf.DUMMYFUNCTION("""COMPUTED_VALUE"""),6448.36)</f>
        <v/>
      </c>
    </row>
    <row r="6602">
      <c r="J6602">
        <f>IFERROR(__xludf.DUMMYFUNCTION("""COMPUTED_VALUE"""),"Ottawa - Calgary - Vancouver- Ottawa")</f>
        <v/>
      </c>
      <c r="K6602">
        <f>IFERROR(__xludf.DUMMYFUNCTION("""COMPUTED_VALUE"""),6445.96)</f>
        <v/>
      </c>
    </row>
    <row r="6603">
      <c r="J6603">
        <f>IFERROR(__xludf.DUMMYFUNCTION("""COMPUTED_VALUE"""),"Honolulu, Hawaii, United States of America")</f>
        <v/>
      </c>
      <c r="K6603">
        <f>IFERROR(__xludf.DUMMYFUNCTION("""COMPUTED_VALUE"""),6445.78)</f>
        <v/>
      </c>
    </row>
    <row r="6604">
      <c r="J6604">
        <f>IFERROR(__xludf.DUMMYFUNCTION("""COMPUTED_VALUE"""),"East Coast")</f>
        <v/>
      </c>
      <c r="K6604">
        <f>IFERROR(__xludf.DUMMYFUNCTION("""COMPUTED_VALUE"""),6445.76)</f>
        <v/>
      </c>
    </row>
    <row r="6605">
      <c r="J6605">
        <f>IFERROR(__xludf.DUMMYFUNCTION("""COMPUTED_VALUE"""),"Vancouver, British-Colombia, Canada
Esquimalt, British-Colombia, Canada
Surrey,British-Colombia, Canada")</f>
        <v/>
      </c>
      <c r="K6605">
        <f>IFERROR(__xludf.DUMMYFUNCTION("""COMPUTED_VALUE"""),6444.89)</f>
        <v/>
      </c>
    </row>
    <row r="6606">
      <c r="J6606">
        <f>IFERROR(__xludf.DUMMYFUNCTION("""COMPUTED_VALUE"""),"Toronto Canada and Cannes France")</f>
        <v/>
      </c>
      <c r="K6606">
        <f>IFERROR(__xludf.DUMMYFUNCTION("""COMPUTED_VALUE"""),6444.47)</f>
        <v/>
      </c>
    </row>
    <row r="6607">
      <c r="J6607">
        <f>IFERROR(__xludf.DUMMYFUNCTION("""COMPUTED_VALUE"""),"Fortaleza, Brasil")</f>
        <v/>
      </c>
      <c r="K6607">
        <f>IFERROR(__xludf.DUMMYFUNCTION("""COMPUTED_VALUE"""),6438.98)</f>
        <v/>
      </c>
    </row>
    <row r="6608">
      <c r="J6608">
        <f>IFERROR(__xludf.DUMMYFUNCTION("""COMPUTED_VALUE"""),"Calgary, Alberta, Canada                                              Jasper, Alberta, Canada                                                    Lake Louise, Alberta, Canada                                            Edmonton, Alberta, Canada")</f>
        <v/>
      </c>
      <c r="K6608">
        <f>IFERROR(__xludf.DUMMYFUNCTION("""COMPUTED_VALUE"""),6438)</f>
        <v/>
      </c>
    </row>
    <row r="6609">
      <c r="J6609">
        <f>IFERROR(__xludf.DUMMYFUNCTION("""COMPUTED_VALUE"""),"Victoria, Edmonton &amp; Regina")</f>
        <v/>
      </c>
      <c r="K6609">
        <f>IFERROR(__xludf.DUMMYFUNCTION("""COMPUTED_VALUE"""),6437.18)</f>
        <v/>
      </c>
    </row>
    <row r="6610">
      <c r="J6610">
        <f>IFERROR(__xludf.DUMMYFUNCTION("""COMPUTED_VALUE"""),"Munich, Berlin, Frankfurt, Germany")</f>
        <v/>
      </c>
      <c r="K6610">
        <f>IFERROR(__xludf.DUMMYFUNCTION("""COMPUTED_VALUE"""),6437.11)</f>
        <v/>
      </c>
    </row>
    <row r="6611">
      <c r="J6611">
        <f>IFERROR(__xludf.DUMMYFUNCTION("""COMPUTED_VALUE"""),"Frankfort, Germany")</f>
        <v/>
      </c>
      <c r="K6611">
        <f>IFERROR(__xludf.DUMMYFUNCTION("""COMPUTED_VALUE"""),6436.36)</f>
        <v/>
      </c>
    </row>
    <row r="6612">
      <c r="J6612">
        <f>IFERROR(__xludf.DUMMYFUNCTION("""COMPUTED_VALUE"""),"Regina, Saskatchewan, Canada
Saskatoon, Saskatchewan, Canada Toronto,  Ontario, Canada
Windsor, Ontario, Canada
London, Ontario, Canada")</f>
        <v/>
      </c>
      <c r="K6612">
        <f>IFERROR(__xludf.DUMMYFUNCTION("""COMPUTED_VALUE"""),6434.66)</f>
        <v/>
      </c>
    </row>
    <row r="6613">
      <c r="J6613">
        <f>IFERROR(__xludf.DUMMYFUNCTION("""COMPUTED_VALUE"""),"Salzbourg, Austria")</f>
        <v/>
      </c>
      <c r="K6613">
        <f>IFERROR(__xludf.DUMMYFUNCTION("""COMPUTED_VALUE"""),6432.75)</f>
        <v/>
      </c>
    </row>
    <row r="6614">
      <c r="J6614">
        <f>IFERROR(__xludf.DUMMYFUNCTION("""COMPUTED_VALUE"""),"Regina, Edmonton, Calgary")</f>
        <v/>
      </c>
      <c r="K6614">
        <f>IFERROR(__xludf.DUMMYFUNCTION("""COMPUTED_VALUE"""),6431.17)</f>
        <v/>
      </c>
    </row>
    <row r="6615">
      <c r="J6615">
        <f>IFERROR(__xludf.DUMMYFUNCTION("""COMPUTED_VALUE"""),"Washington, DC &amp; Savannah, Georgia")</f>
        <v/>
      </c>
      <c r="K6615">
        <f>IFERROR(__xludf.DUMMYFUNCTION("""COMPUTED_VALUE"""),6430.68)</f>
        <v/>
      </c>
    </row>
    <row r="6616">
      <c r="J6616">
        <f>IFERROR(__xludf.DUMMYFUNCTION("""COMPUTED_VALUE"""),"Mauritius,Mauritius")</f>
        <v/>
      </c>
      <c r="K6616">
        <f>IFERROR(__xludf.DUMMYFUNCTION("""COMPUTED_VALUE"""),6429.77)</f>
        <v/>
      </c>
    </row>
    <row r="6617">
      <c r="J6617">
        <f>IFERROR(__xludf.DUMMYFUNCTION("""COMPUTED_VALUE"""),"Colorado Springs, Colorado, 
United States of America")</f>
        <v/>
      </c>
      <c r="K6617">
        <f>IFERROR(__xludf.DUMMYFUNCTION("""COMPUTED_VALUE"""),6428.7)</f>
        <v/>
      </c>
    </row>
    <row r="6618">
      <c r="J6618">
        <f>IFERROR(__xludf.DUMMYFUNCTION("""COMPUTED_VALUE"""),"Regina and Osaka, Japan")</f>
        <v/>
      </c>
      <c r="K6618">
        <f>IFERROR(__xludf.DUMMYFUNCTION("""COMPUTED_VALUE"""),6427.4)</f>
        <v/>
      </c>
    </row>
    <row r="6619">
      <c r="J6619">
        <f>IFERROR(__xludf.DUMMYFUNCTION("""COMPUTED_VALUE"""),"Calgary, Alberta, Canada; Edmonton, Alberta, Canada; Grand Prairie, Alberta, Canada; Peace River, Alberta, Canada")</f>
        <v/>
      </c>
      <c r="K6619">
        <f>IFERROR(__xludf.DUMMYFUNCTION("""COMPUTED_VALUE"""),6426.17)</f>
        <v/>
      </c>
    </row>
    <row r="6620">
      <c r="J6620">
        <f>IFERROR(__xludf.DUMMYFUNCTION("""COMPUTED_VALUE"""),"Grande Prairie, Alberta, Canada; Dawson Creek, British Columbia, Canada; Fort St. John, British Columbia, Canada; Quesnel, British Columbia, Canada; Williams Lake, British Columbia, Canada; Chilliwack, British Columbia, Canada; Maple Ridge, British Columb"&amp;"ia, Canada; Vancouver, British Columbia, Canada; Fraser Valley, British Columbia, Canada; Vancouver, British Columbia, Canada; Surrey, British Columbia, Canada; Squamish, British Columbia, Canada;")</f>
        <v/>
      </c>
      <c r="K6620">
        <f>IFERROR(__xludf.DUMMYFUNCTION("""COMPUTED_VALUE"""),6425.41)</f>
        <v/>
      </c>
    </row>
    <row r="6621">
      <c r="J6621">
        <f>IFERROR(__xludf.DUMMYFUNCTION("""COMPUTED_VALUE"""),"Dalian (China)")</f>
        <v/>
      </c>
      <c r="K6621">
        <f>IFERROR(__xludf.DUMMYFUNCTION("""COMPUTED_VALUE"""),6424.24)</f>
        <v/>
      </c>
    </row>
    <row r="6622">
      <c r="J6622">
        <f>IFERROR(__xludf.DUMMYFUNCTION("""COMPUTED_VALUE"""),"Calgary, Alberta, Canada and Slave Lake, Alberta, Canada")</f>
        <v/>
      </c>
      <c r="K6622">
        <f>IFERROR(__xludf.DUMMYFUNCTION("""COMPUTED_VALUE"""),6422.36)</f>
        <v/>
      </c>
    </row>
    <row r="6623">
      <c r="J6623">
        <f>IFERROR(__xludf.DUMMYFUNCTION("""COMPUTED_VALUE"""),"Winnipeg, Manitoba; Edmonton, Alberta")</f>
        <v/>
      </c>
      <c r="K6623">
        <f>IFERROR(__xludf.DUMMYFUNCTION("""COMPUTED_VALUE"""),6421.86)</f>
        <v/>
      </c>
    </row>
    <row r="6624">
      <c r="J6624">
        <f>IFERROR(__xludf.DUMMYFUNCTION("""COMPUTED_VALUE"""),"TORONTO, ONTARIO, CANADA")</f>
        <v/>
      </c>
      <c r="K6624">
        <f>IFERROR(__xludf.DUMMYFUNCTION("""COMPUTED_VALUE"""),6420.63)</f>
        <v/>
      </c>
    </row>
    <row r="6625">
      <c r="J6625">
        <f>IFERROR(__xludf.DUMMYFUNCTION("""COMPUTED_VALUE"""),"Rimouski,QC")</f>
        <v/>
      </c>
      <c r="K6625">
        <f>IFERROR(__xludf.DUMMYFUNCTION("""COMPUTED_VALUE"""),6419.58)</f>
        <v/>
      </c>
    </row>
    <row r="6626">
      <c r="J6626">
        <f>IFERROR(__xludf.DUMMYFUNCTION("""COMPUTED_VALUE"""),"Istanbul, TR")</f>
        <v/>
      </c>
      <c r="K6626">
        <f>IFERROR(__xludf.DUMMYFUNCTION("""COMPUTED_VALUE"""),6418.63)</f>
        <v/>
      </c>
    </row>
    <row r="6627">
      <c r="J6627">
        <f>IFERROR(__xludf.DUMMYFUNCTION("""COMPUTED_VALUE"""),"Vancouver, BC - Abbotsford, BC")</f>
        <v/>
      </c>
      <c r="K6627">
        <f>IFERROR(__xludf.DUMMYFUNCTION("""COMPUTED_VALUE"""),6417.63999999999)</f>
        <v/>
      </c>
    </row>
    <row r="6628">
      <c r="J6628">
        <f>IFERROR(__xludf.DUMMYFUNCTION("""COMPUTED_VALUE"""),"Glion, Switzerland and Oslo, Norway")</f>
        <v/>
      </c>
      <c r="K6628">
        <f>IFERROR(__xludf.DUMMYFUNCTION("""COMPUTED_VALUE"""),6416.32)</f>
        <v/>
      </c>
    </row>
    <row r="6629">
      <c r="J6629">
        <f>IFERROR(__xludf.DUMMYFUNCTION("""COMPUTED_VALUE"""),"Jasper, AB")</f>
        <v/>
      </c>
      <c r="K6629">
        <f>IFERROR(__xludf.DUMMYFUNCTION("""COMPUTED_VALUE"""),6414.34)</f>
        <v/>
      </c>
    </row>
    <row r="6630">
      <c r="J6630">
        <f>IFERROR(__xludf.DUMMYFUNCTION("""COMPUTED_VALUE"""),"Baie-Comeau, Quebec, Canada; Sept-Îles, Quebec, Canada")</f>
        <v/>
      </c>
      <c r="K6630">
        <f>IFERROR(__xludf.DUMMYFUNCTION("""COMPUTED_VALUE"""),6414.08)</f>
        <v/>
      </c>
    </row>
    <row r="6631">
      <c r="J6631">
        <f>IFERROR(__xludf.DUMMYFUNCTION("""COMPUTED_VALUE"""),"Vancouver, Calgary, Ottawa and Toronto")</f>
        <v/>
      </c>
      <c r="K6631">
        <f>IFERROR(__xludf.DUMMYFUNCTION("""COMPUTED_VALUE"""),6412.95)</f>
        <v/>
      </c>
    </row>
    <row r="6632">
      <c r="J6632">
        <f>IFERROR(__xludf.DUMMYFUNCTION("""COMPUTED_VALUE"""),"Budapest and Warsaw (acc. paid by host dept.)")</f>
        <v/>
      </c>
      <c r="K6632">
        <f>IFERROR(__xludf.DUMMYFUNCTION("""COMPUTED_VALUE"""),6412.26)</f>
        <v/>
      </c>
    </row>
    <row r="6633">
      <c r="J6633">
        <f>IFERROR(__xludf.DUMMYFUNCTION("""COMPUTED_VALUE"""),"New York, London UK")</f>
        <v/>
      </c>
      <c r="K6633">
        <f>IFERROR(__xludf.DUMMYFUNCTION("""COMPUTED_VALUE"""),6412.01)</f>
        <v/>
      </c>
    </row>
    <row r="6634">
      <c r="J6634">
        <f>IFERROR(__xludf.DUMMYFUNCTION("""COMPUTED_VALUE"""),"Edmonton and Winnipeg, Alberta; Regina, Saskatchewan")</f>
        <v/>
      </c>
      <c r="K6634">
        <f>IFERROR(__xludf.DUMMYFUNCTION("""COMPUTED_VALUE"""),6411.66)</f>
        <v/>
      </c>
    </row>
    <row r="6635">
      <c r="J6635">
        <f>IFERROR(__xludf.DUMMYFUNCTION("""COMPUTED_VALUE"""),"Winnipeg, MB; Churchill, MB; Ottawa, ON")</f>
        <v/>
      </c>
      <c r="K6635">
        <f>IFERROR(__xludf.DUMMYFUNCTION("""COMPUTED_VALUE"""),6409.27)</f>
        <v/>
      </c>
    </row>
    <row r="6636">
      <c r="J6636">
        <f>IFERROR(__xludf.DUMMYFUNCTION("""COMPUTED_VALUE"""),"Membertou, Nova Scotia
Halifax, Nova Scotia
Moncton, New Brunswick")</f>
        <v/>
      </c>
      <c r="K6636">
        <f>IFERROR(__xludf.DUMMYFUNCTION("""COMPUTED_VALUE"""),6408.61)</f>
        <v/>
      </c>
    </row>
    <row r="6637">
      <c r="J6637">
        <f>IFERROR(__xludf.DUMMYFUNCTION("""COMPUTED_VALUE"""),"Winnipeg, Manitoba, Canada;
Vancouver, British Columbia, Canada")</f>
        <v/>
      </c>
      <c r="K6637">
        <f>IFERROR(__xludf.DUMMYFUNCTION("""COMPUTED_VALUE"""),6403.28)</f>
        <v/>
      </c>
    </row>
    <row r="6638">
      <c r="J6638">
        <f>IFERROR(__xludf.DUMMYFUNCTION("""COMPUTED_VALUE"""),"London, United Kingdom / Oxford, United Kingdom")</f>
        <v/>
      </c>
      <c r="K6638">
        <f>IFERROR(__xludf.DUMMYFUNCTION("""COMPUTED_VALUE"""),6401.77)</f>
        <v/>
      </c>
    </row>
    <row r="6639">
      <c r="J6639">
        <f>IFERROR(__xludf.DUMMYFUNCTION("""COMPUTED_VALUE"""),"Hamilton, Ontario, Canada/ Toronto, Ontario, Canada")</f>
        <v/>
      </c>
      <c r="K6639">
        <f>IFERROR(__xludf.DUMMYFUNCTION("""COMPUTED_VALUE"""),6401.6)</f>
        <v/>
      </c>
    </row>
    <row r="6640">
      <c r="J6640">
        <f>IFERROR(__xludf.DUMMYFUNCTION("""COMPUTED_VALUE"""),"Tokyo and Sapporo, Japan")</f>
        <v/>
      </c>
      <c r="K6640">
        <f>IFERROR(__xludf.DUMMYFUNCTION("""COMPUTED_VALUE"""),6400.87999999999)</f>
        <v/>
      </c>
    </row>
    <row r="6641">
      <c r="J6641">
        <f>IFERROR(__xludf.DUMMYFUNCTION("""COMPUTED_VALUE"""),"Québec City and Montréal, Québec")</f>
        <v/>
      </c>
      <c r="K6641">
        <f>IFERROR(__xludf.DUMMYFUNCTION("""COMPUTED_VALUE"""),6398.87)</f>
        <v/>
      </c>
    </row>
    <row r="6642">
      <c r="J6642">
        <f>IFERROR(__xludf.DUMMYFUNCTION("""COMPUTED_VALUE"""),"Calgary, Vancouver and Surrey")</f>
        <v/>
      </c>
      <c r="K6642">
        <f>IFERROR(__xludf.DUMMYFUNCTION("""COMPUTED_VALUE"""),6398.23)</f>
        <v/>
      </c>
    </row>
    <row r="6643">
      <c r="J6643">
        <f>IFERROR(__xludf.DUMMYFUNCTION("""COMPUTED_VALUE"""),"Montreal, Quebec / Ottawa, Ontario")</f>
        <v/>
      </c>
      <c r="K6643">
        <f>IFERROR(__xludf.DUMMYFUNCTION("""COMPUTED_VALUE"""),6392.25)</f>
        <v/>
      </c>
    </row>
    <row r="6644">
      <c r="J6644">
        <f>IFERROR(__xludf.DUMMYFUNCTION("""COMPUTED_VALUE"""),"Toronto, Ontario, Canada; Edmonton, Alberta, Canada; Vancouver, British Columbia, Canada")</f>
        <v/>
      </c>
      <c r="K6644">
        <f>IFERROR(__xludf.DUMMYFUNCTION("""COMPUTED_VALUE"""),6392.2)</f>
        <v/>
      </c>
    </row>
    <row r="6645">
      <c r="J6645">
        <f>IFERROR(__xludf.DUMMYFUNCTION("""COMPUTED_VALUE"""),"Athens, Greece
Limassol, Cyprus")</f>
        <v/>
      </c>
      <c r="K6645">
        <f>IFERROR(__xludf.DUMMYFUNCTION("""COMPUTED_VALUE"""),6391.79)</f>
        <v/>
      </c>
    </row>
    <row r="6646">
      <c r="J6646">
        <f>IFERROR(__xludf.DUMMYFUNCTION("""COMPUTED_VALUE"""),"Miami, Florida and Lima, Peru")</f>
        <v/>
      </c>
      <c r="K6646">
        <f>IFERROR(__xludf.DUMMYFUNCTION("""COMPUTED_VALUE"""),6389.32)</f>
        <v/>
      </c>
    </row>
    <row r="6647">
      <c r="J6647">
        <f>IFERROR(__xludf.DUMMYFUNCTION("""COMPUTED_VALUE"""),"Winnipeg, MB / Regina, SK / Saskatoon, SK / Vancouver, BC")</f>
        <v/>
      </c>
      <c r="K6647">
        <f>IFERROR(__xludf.DUMMYFUNCTION("""COMPUTED_VALUE"""),6388.13)</f>
        <v/>
      </c>
    </row>
    <row r="6648">
      <c r="J6648">
        <f>IFERROR(__xludf.DUMMYFUNCTION("""COMPUTED_VALUE"""),"Halifax, Nova Scotia / Moncton, New Brunswick, Canada")</f>
        <v/>
      </c>
      <c r="K6648">
        <f>IFERROR(__xludf.DUMMYFUNCTION("""COMPUTED_VALUE"""),6384.95)</f>
        <v/>
      </c>
    </row>
    <row r="6649">
      <c r="J6649">
        <f>IFERROR(__xludf.DUMMYFUNCTION("""COMPUTED_VALUE"""),"Fort McMurray, Calgary, AB")</f>
        <v/>
      </c>
      <c r="K6649">
        <f>IFERROR(__xludf.DUMMYFUNCTION("""COMPUTED_VALUE"""),6384.51)</f>
        <v/>
      </c>
    </row>
    <row r="6650">
      <c r="J6650">
        <f>IFERROR(__xludf.DUMMYFUNCTION("""COMPUTED_VALUE"""),"Banff, Alberta (Canada)")</f>
        <v/>
      </c>
      <c r="K6650">
        <f>IFERROR(__xludf.DUMMYFUNCTION("""COMPUTED_VALUE"""),6383.3)</f>
        <v/>
      </c>
    </row>
    <row r="6651">
      <c r="J6651">
        <f>IFERROR(__xludf.DUMMYFUNCTION("""COMPUTED_VALUE"""),"Frankfurt, France / Zurich, Berlin")</f>
        <v/>
      </c>
      <c r="K6651">
        <f>IFERROR(__xludf.DUMMYFUNCTION("""COMPUTED_VALUE"""),6381.72)</f>
        <v/>
      </c>
    </row>
    <row r="6652">
      <c r="J6652">
        <f>IFERROR(__xludf.DUMMYFUNCTION("""COMPUTED_VALUE"""),"Washington DC, District of Columbia, United-States")</f>
        <v/>
      </c>
      <c r="K6652">
        <f>IFERROR(__xludf.DUMMYFUNCTION("""COMPUTED_VALUE"""),6380.46)</f>
        <v/>
      </c>
    </row>
    <row r="6653">
      <c r="J6653">
        <f>IFERROR(__xludf.DUMMYFUNCTION("""COMPUTED_VALUE"""),"Vancouver, BC; Edmonton, AB")</f>
        <v/>
      </c>
      <c r="K6653">
        <f>IFERROR(__xludf.DUMMYFUNCTION("""COMPUTED_VALUE"""),6377.09)</f>
        <v/>
      </c>
    </row>
    <row r="6654">
      <c r="J6654">
        <f>IFERROR(__xludf.DUMMYFUNCTION("""COMPUTED_VALUE"""),"Quebec City and Montreal")</f>
        <v/>
      </c>
      <c r="K6654">
        <f>IFERROR(__xludf.DUMMYFUNCTION("""COMPUTED_VALUE"""),6375.74)</f>
        <v/>
      </c>
    </row>
    <row r="6655">
      <c r="J6655">
        <f>IFERROR(__xludf.DUMMYFUNCTION("""COMPUTED_VALUE"""),"Sept-Iles, Baie-Comeau, Tadoussac , Charlevoix and La Malbaie, Québec")</f>
        <v/>
      </c>
      <c r="K6655">
        <f>IFERROR(__xludf.DUMMYFUNCTION("""COMPUTED_VALUE"""),6375.74)</f>
        <v/>
      </c>
    </row>
    <row r="6656">
      <c r="J6656">
        <f>IFERROR(__xludf.DUMMYFUNCTION("""COMPUTED_VALUE"""),"Milwaukee, Wisconsin, United States")</f>
        <v/>
      </c>
      <c r="K6656">
        <f>IFERROR(__xludf.DUMMYFUNCTION("""COMPUTED_VALUE"""),6374.53)</f>
        <v/>
      </c>
    </row>
    <row r="6657">
      <c r="J6657">
        <f>IFERROR(__xludf.DUMMYFUNCTION("""COMPUTED_VALUE"""),"Maceió, Brazil")</f>
        <v/>
      </c>
      <c r="K6657">
        <f>IFERROR(__xludf.DUMMYFUNCTION("""COMPUTED_VALUE"""),6374.42)</f>
        <v/>
      </c>
    </row>
    <row r="6658">
      <c r="J6658">
        <f>IFERROR(__xludf.DUMMYFUNCTION("""COMPUTED_VALUE"""),"Banff/Calgary")</f>
        <v/>
      </c>
      <c r="K6658">
        <f>IFERROR(__xludf.DUMMYFUNCTION("""COMPUTED_VALUE"""),6372.97)</f>
        <v/>
      </c>
    </row>
    <row r="6659">
      <c r="J6659">
        <f>IFERROR(__xludf.DUMMYFUNCTION("""COMPUTED_VALUE"""),"Kamloops and Vancouver")</f>
        <v/>
      </c>
      <c r="K6659">
        <f>IFERROR(__xludf.DUMMYFUNCTION("""COMPUTED_VALUE"""),6371)</f>
        <v/>
      </c>
    </row>
    <row r="6660">
      <c r="J6660">
        <f>IFERROR(__xludf.DUMMYFUNCTION("""COMPUTED_VALUE"""),"Mombasa, Kenya")</f>
        <v/>
      </c>
      <c r="K6660">
        <f>IFERROR(__xludf.DUMMYFUNCTION("""COMPUTED_VALUE"""),6368.61)</f>
        <v/>
      </c>
    </row>
    <row r="6661">
      <c r="J6661">
        <f>IFERROR(__xludf.DUMMYFUNCTION("""COMPUTED_VALUE"""),"Halifax, Nova Scotia; Ottawa, Ontario")</f>
        <v/>
      </c>
      <c r="K6661">
        <f>IFERROR(__xludf.DUMMYFUNCTION("""COMPUTED_VALUE"""),6365.77)</f>
        <v/>
      </c>
    </row>
    <row r="6662">
      <c r="J6662">
        <f>IFERROR(__xludf.DUMMYFUNCTION("""COMPUTED_VALUE"""),"Trinidad")</f>
        <v/>
      </c>
      <c r="K6662">
        <f>IFERROR(__xludf.DUMMYFUNCTION("""COMPUTED_VALUE"""),6365.23)</f>
        <v/>
      </c>
    </row>
    <row r="6663">
      <c r="J6663">
        <f>IFERROR(__xludf.DUMMYFUNCTION("""COMPUTED_VALUE"""),"Gwacheon/Seoul, South Korea")</f>
        <v/>
      </c>
      <c r="K6663">
        <f>IFERROR(__xludf.DUMMYFUNCTION("""COMPUTED_VALUE"""),6364.06)</f>
        <v/>
      </c>
    </row>
    <row r="6664">
      <c r="J6664">
        <f>IFERROR(__xludf.DUMMYFUNCTION("""COMPUTED_VALUE"""),"Mexico City, Palo Alto California and Vancouver BC")</f>
        <v/>
      </c>
      <c r="K6664">
        <f>IFERROR(__xludf.DUMMYFUNCTION("""COMPUTED_VALUE"""),6360.34)</f>
        <v/>
      </c>
    </row>
    <row r="6665">
      <c r="J6665">
        <f>IFERROR(__xludf.DUMMYFUNCTION("""COMPUTED_VALUE"""),"Lytton, British Columbia, Canada; Vancouver, British Columbia, Canada")</f>
        <v/>
      </c>
      <c r="K6665">
        <f>IFERROR(__xludf.DUMMYFUNCTION("""COMPUTED_VALUE"""),6359.38)</f>
        <v/>
      </c>
    </row>
    <row r="6666">
      <c r="J6666">
        <f>IFERROR(__xludf.DUMMYFUNCTION("""COMPUTED_VALUE"""),"Korea and Japan")</f>
        <v/>
      </c>
      <c r="K6666">
        <f>IFERROR(__xludf.DUMMYFUNCTION("""COMPUTED_VALUE"""),6359.36)</f>
        <v/>
      </c>
    </row>
    <row r="6667">
      <c r="J6667">
        <f>IFERROR(__xludf.DUMMYFUNCTION("""COMPUTED_VALUE"""),"Redmond, Washington, United States")</f>
        <v/>
      </c>
      <c r="K6667">
        <f>IFERROR(__xludf.DUMMYFUNCTION("""COMPUTED_VALUE"""),6359.36)</f>
        <v/>
      </c>
    </row>
    <row r="6668">
      <c r="J6668">
        <f>IFERROR(__xludf.DUMMYFUNCTION("""COMPUTED_VALUE"""),"Courtney, British Columbia,Canada")</f>
        <v/>
      </c>
      <c r="K6668">
        <f>IFERROR(__xludf.DUMMYFUNCTION("""COMPUTED_VALUE"""),6359.28)</f>
        <v/>
      </c>
    </row>
    <row r="6669">
      <c r="J6669">
        <f>IFERROR(__xludf.DUMMYFUNCTION("""COMPUTED_VALUE"""),"St. John's, Newfoundland and Labrador, Canada; Louisbourg, Nova Scotia, Canada; Sydney, Nova Scotia, Canada")</f>
        <v/>
      </c>
      <c r="K6669">
        <f>IFERROR(__xludf.DUMMYFUNCTION("""COMPUTED_VALUE"""),6358.87999999999)</f>
        <v/>
      </c>
    </row>
    <row r="6670">
      <c r="J6670">
        <f>IFERROR(__xludf.DUMMYFUNCTION("""COMPUTED_VALUE"""),"Washington DC and Bogota, Colombia")</f>
        <v/>
      </c>
      <c r="K6670">
        <f>IFERROR(__xludf.DUMMYFUNCTION("""COMPUTED_VALUE"""),6358.6)</f>
        <v/>
      </c>
    </row>
    <row r="6671">
      <c r="J6671">
        <f>IFERROR(__xludf.DUMMYFUNCTION("""COMPUTED_VALUE"""),"Seoul, South Korea - Daegu, South Korea - Beijing, China")</f>
        <v/>
      </c>
      <c r="K6671">
        <f>IFERROR(__xludf.DUMMYFUNCTION("""COMPUTED_VALUE"""),6358.54)</f>
        <v/>
      </c>
    </row>
    <row r="6672">
      <c r="J6672">
        <f>IFERROR(__xludf.DUMMYFUNCTION("""COMPUTED_VALUE"""),"Vancouver, British Columbia / Calgary, Alberta / Toronto, Ontario / Winnipeg, Manitoba, Canada")</f>
        <v/>
      </c>
      <c r="K6672">
        <f>IFERROR(__xludf.DUMMYFUNCTION("""COMPUTED_VALUE"""),6358.26)</f>
        <v/>
      </c>
    </row>
    <row r="6673">
      <c r="J6673">
        <f>IFERROR(__xludf.DUMMYFUNCTION("""COMPUTED_VALUE"""),"Ljubljana, Slovenia")</f>
        <v/>
      </c>
      <c r="K6673">
        <f>IFERROR(__xludf.DUMMYFUNCTION("""COMPUTED_VALUE"""),6354.75999999999)</f>
        <v/>
      </c>
    </row>
    <row r="6674">
      <c r="J6674">
        <f>IFERROR(__xludf.DUMMYFUNCTION("""COMPUTED_VALUE"""),"Bella Bella, British Columbia, Canada")</f>
        <v/>
      </c>
      <c r="K6674">
        <f>IFERROR(__xludf.DUMMYFUNCTION("""COMPUTED_VALUE"""),6354.74)</f>
        <v/>
      </c>
    </row>
    <row r="6675">
      <c r="J6675">
        <f>IFERROR(__xludf.DUMMYFUNCTION("""COMPUTED_VALUE"""),"Halifax, Nova scotia, Canada")</f>
        <v/>
      </c>
      <c r="K6675">
        <f>IFERROR(__xludf.DUMMYFUNCTION("""COMPUTED_VALUE"""),6352.24)</f>
        <v/>
      </c>
    </row>
    <row r="6676">
      <c r="J6676">
        <f>IFERROR(__xludf.DUMMYFUNCTION("""COMPUTED_VALUE"""),"Kuala Lumpur Singapore Gyeongju, Wilayah Persekutuan Singapore Gyeongsang, Malaysia Singapore ROK")</f>
        <v/>
      </c>
      <c r="K6676">
        <f>IFERROR(__xludf.DUMMYFUNCTION("""COMPUTED_VALUE"""),6348.63)</f>
        <v/>
      </c>
    </row>
    <row r="6677">
      <c r="J6677">
        <f>IFERROR(__xludf.DUMMYFUNCTION("""COMPUTED_VALUE"""),"Charlottetown, Prince Edward Island / Moncton, New Brunswick / Halifax, Nova Scotia / St.John's, Newfoundland and Labrador, Canada")</f>
        <v/>
      </c>
      <c r="K6677">
        <f>IFERROR(__xludf.DUMMYFUNCTION("""COMPUTED_VALUE"""),6347.92)</f>
        <v/>
      </c>
    </row>
    <row r="6678">
      <c r="J6678">
        <f>IFERROR(__xludf.DUMMYFUNCTION("""COMPUTED_VALUE"""),"Iles de la Madeleine, Quebec, Canada")</f>
        <v/>
      </c>
      <c r="K6678">
        <f>IFERROR(__xludf.DUMMYFUNCTION("""COMPUTED_VALUE"""),6347.18)</f>
        <v/>
      </c>
    </row>
    <row r="6679">
      <c r="J6679">
        <f>IFERROR(__xludf.DUMMYFUNCTION("""COMPUTED_VALUE"""),"Niagara Falls, Ontario, Canada / Halifax, Nova Scotia, Canada")</f>
        <v/>
      </c>
      <c r="K6679">
        <f>IFERROR(__xludf.DUMMYFUNCTION("""COMPUTED_VALUE"""),6346.49)</f>
        <v/>
      </c>
    </row>
    <row r="6680">
      <c r="J6680">
        <f>IFERROR(__xludf.DUMMYFUNCTION("""COMPUTED_VALUE"""),"Sarajevo, Bosnia")</f>
        <v/>
      </c>
      <c r="K6680">
        <f>IFERROR(__xludf.DUMMYFUNCTION("""COMPUTED_VALUE"""),6345.23)</f>
        <v/>
      </c>
    </row>
    <row r="6681">
      <c r="J6681">
        <f>IFERROR(__xludf.DUMMYFUNCTION("""COMPUTED_VALUE"""),"London, UK and Madrid, Spain")</f>
        <v/>
      </c>
      <c r="K6681">
        <f>IFERROR(__xludf.DUMMYFUNCTION("""COMPUTED_VALUE"""),6344.39)</f>
        <v/>
      </c>
    </row>
    <row r="6682">
      <c r="J6682">
        <f>IFERROR(__xludf.DUMMYFUNCTION("""COMPUTED_VALUE"""),"Frankfurt Germany, Ramstein, Germany, Washington DC, US")</f>
        <v/>
      </c>
      <c r="K6682">
        <f>IFERROR(__xludf.DUMMYFUNCTION("""COMPUTED_VALUE"""),6342.37)</f>
        <v/>
      </c>
    </row>
    <row r="6683">
      <c r="J6683">
        <f>IFERROR(__xludf.DUMMYFUNCTION("""COMPUTED_VALUE"""),"Fredricton, NB")</f>
        <v/>
      </c>
      <c r="K6683">
        <f>IFERROR(__xludf.DUMMYFUNCTION("""COMPUTED_VALUE"""),6340.86)</f>
        <v/>
      </c>
    </row>
    <row r="6684">
      <c r="J6684">
        <f>IFERROR(__xludf.DUMMYFUNCTION("""COMPUTED_VALUE"""),"Goose Bay, Newfoundland and Labrador, Canada; Voisey's Bay, Newfoundland and Labrador, Canada; Gander, Newfoundland and Labrador, Canada")</f>
        <v/>
      </c>
      <c r="K6684">
        <f>IFERROR(__xludf.DUMMYFUNCTION("""COMPUTED_VALUE"""),6336.66)</f>
        <v/>
      </c>
    </row>
    <row r="6685">
      <c r="J6685">
        <f>IFERROR(__xludf.DUMMYFUNCTION("""COMPUTED_VALUE"""),"Halifax, NS - Ottawa, ON / Ottawa, ON - Toronto, ON / Toronto, ON - Halifax, NS")</f>
        <v/>
      </c>
      <c r="K6685">
        <f>IFERROR(__xludf.DUMMYFUNCTION("""COMPUTED_VALUE"""),6336.25)</f>
        <v/>
      </c>
    </row>
    <row r="6686">
      <c r="J6686">
        <f>IFERROR(__xludf.DUMMYFUNCTION("""COMPUTED_VALUE"""),"London, London, England")</f>
        <v/>
      </c>
      <c r="K6686">
        <f>IFERROR(__xludf.DUMMYFUNCTION("""COMPUTED_VALUE"""),6336.24)</f>
        <v/>
      </c>
    </row>
    <row r="6687">
      <c r="J6687">
        <f>IFERROR(__xludf.DUMMYFUNCTION("""COMPUTED_VALUE"""),"Clark Field, Philippines and Japan")</f>
        <v/>
      </c>
      <c r="K6687">
        <f>IFERROR(__xludf.DUMMYFUNCTION("""COMPUTED_VALUE"""),6334.6)</f>
        <v/>
      </c>
    </row>
    <row r="6688">
      <c r="J6688">
        <f>IFERROR(__xludf.DUMMYFUNCTION("""COMPUTED_VALUE"""),"Victoria, BC - Nanaimo, BC - Burnaby, BC")</f>
        <v/>
      </c>
      <c r="K6688">
        <f>IFERROR(__xludf.DUMMYFUNCTION("""COMPUTED_VALUE"""),6334.01)</f>
        <v/>
      </c>
    </row>
    <row r="6689">
      <c r="J6689">
        <f>IFERROR(__xludf.DUMMYFUNCTION("""COMPUTED_VALUE"""),"Pristina, Kosovo/ Lisbon, Portugal")</f>
        <v/>
      </c>
      <c r="K6689">
        <f>IFERROR(__xludf.DUMMYFUNCTION("""COMPUTED_VALUE"""),6334)</f>
        <v/>
      </c>
    </row>
    <row r="6690">
      <c r="J6690">
        <f>IFERROR(__xludf.DUMMYFUNCTION("""COMPUTED_VALUE"""),"Lisbon, Portugal / Berlin, Germany")</f>
        <v/>
      </c>
      <c r="K6690">
        <f>IFERROR(__xludf.DUMMYFUNCTION("""COMPUTED_VALUE"""),6332.8)</f>
        <v/>
      </c>
    </row>
    <row r="6691">
      <c r="J6691">
        <f>IFERROR(__xludf.DUMMYFUNCTION("""COMPUTED_VALUE"""),"Norfolk (Virginia) USA")</f>
        <v/>
      </c>
      <c r="K6691">
        <f>IFERROR(__xludf.DUMMYFUNCTION("""COMPUTED_VALUE"""),6331.2)</f>
        <v/>
      </c>
    </row>
    <row r="6692">
      <c r="J6692">
        <f>IFERROR(__xludf.DUMMYFUNCTION("""COMPUTED_VALUE"""),"Toronto, Ontario, Canada; Calgary, Alberta, Canada; Banff, Alberta, Canada")</f>
        <v/>
      </c>
      <c r="K6692">
        <f>IFERROR(__xludf.DUMMYFUNCTION("""COMPUTED_VALUE"""),6330.71)</f>
        <v/>
      </c>
    </row>
    <row r="6693">
      <c r="J6693">
        <f>IFERROR(__xludf.DUMMYFUNCTION("""COMPUTED_VALUE"""),"Ottawa, Ontario, Canada; Charlottetown, Prince Edward Island, Canada")</f>
        <v/>
      </c>
      <c r="K6693">
        <f>IFERROR(__xludf.DUMMYFUNCTION("""COMPUTED_VALUE"""),6328.88)</f>
        <v/>
      </c>
    </row>
    <row r="6694">
      <c r="J6694">
        <f>IFERROR(__xludf.DUMMYFUNCTION("""COMPUTED_VALUE"""),"Toronto, Ontario, Canada; Charlottetown, Prince Edward Island, Canada; Ottawa, Ontario, Canada")</f>
        <v/>
      </c>
      <c r="K6694">
        <f>IFERROR(__xludf.DUMMYFUNCTION("""COMPUTED_VALUE"""),6325.93)</f>
        <v/>
      </c>
    </row>
    <row r="6695">
      <c r="J6695">
        <f>IFERROR(__xludf.DUMMYFUNCTION("""COMPUTED_VALUE"""),"Calgary AB, Edmonton AB and Canmore AB")</f>
        <v/>
      </c>
      <c r="K6695">
        <f>IFERROR(__xludf.DUMMYFUNCTION("""COMPUTED_VALUE"""),6325.65)</f>
        <v/>
      </c>
    </row>
    <row r="6696">
      <c r="J6696">
        <f>IFERROR(__xludf.DUMMYFUNCTION("""COMPUTED_VALUE"""),"Vancouver, Calgary, Montreal, Ottawa, Toronto, Kitchener/Waterloo")</f>
        <v/>
      </c>
      <c r="K6696">
        <f>IFERROR(__xludf.DUMMYFUNCTION("""COMPUTED_VALUE"""),6323.59)</f>
        <v/>
      </c>
    </row>
    <row r="6697">
      <c r="J6697">
        <f>IFERROR(__xludf.DUMMYFUNCTION("""COMPUTED_VALUE"""),"Ottawa, ON;
Toronto, ON;
Edmonton, AB")</f>
        <v/>
      </c>
      <c r="K6697">
        <f>IFERROR(__xludf.DUMMYFUNCTION("""COMPUTED_VALUE"""),6323.38)</f>
        <v/>
      </c>
    </row>
    <row r="6698">
      <c r="J6698">
        <f>IFERROR(__xludf.DUMMYFUNCTION("""COMPUTED_VALUE"""),"1. Saskatoon, Saskatchewan, Canada
2. Edmonton, Alberta, Canada")</f>
        <v/>
      </c>
      <c r="K6698">
        <f>IFERROR(__xludf.DUMMYFUNCTION("""COMPUTED_VALUE"""),6322.82)</f>
        <v/>
      </c>
    </row>
    <row r="6699">
      <c r="J6699">
        <f>IFERROR(__xludf.DUMMYFUNCTION("""COMPUTED_VALUE"""),"Gatineau, Quebec and Toronto, Ontario")</f>
        <v/>
      </c>
      <c r="K6699">
        <f>IFERROR(__xludf.DUMMYFUNCTION("""COMPUTED_VALUE"""),6321.98)</f>
        <v/>
      </c>
    </row>
    <row r="6700">
      <c r="J6700">
        <f>IFERROR(__xludf.DUMMYFUNCTION("""COMPUTED_VALUE"""),"Toronto/Montreal, Ontario/Quebec, Canada")</f>
        <v/>
      </c>
      <c r="K6700">
        <f>IFERROR(__xludf.DUMMYFUNCTION("""COMPUTED_VALUE"""),6321.56)</f>
        <v/>
      </c>
    </row>
    <row r="6701">
      <c r="J6701">
        <f>IFERROR(__xludf.DUMMYFUNCTION("""COMPUTED_VALUE"""),"Winnipeg, MB and Saskatoon, SK")</f>
        <v/>
      </c>
      <c r="K6701">
        <f>IFERROR(__xludf.DUMMYFUNCTION("""COMPUTED_VALUE"""),6321.07)</f>
        <v/>
      </c>
    </row>
    <row r="6702">
      <c r="J6702">
        <f>IFERROR(__xludf.DUMMYFUNCTION("""COMPUTED_VALUE"""),"LONDON, ENGLAND - ARRAS, FRANCE")</f>
        <v/>
      </c>
      <c r="K6702">
        <f>IFERROR(__xludf.DUMMYFUNCTION("""COMPUTED_VALUE"""),6320.83)</f>
        <v/>
      </c>
    </row>
    <row r="6703">
      <c r="J6703">
        <f>IFERROR(__xludf.DUMMYFUNCTION("""COMPUTED_VALUE"""),"Toronto / Calgary / Vancouver")</f>
        <v/>
      </c>
      <c r="K6703">
        <f>IFERROR(__xludf.DUMMYFUNCTION("""COMPUTED_VALUE"""),6320.62)</f>
        <v/>
      </c>
    </row>
    <row r="6704">
      <c r="J6704">
        <f>IFERROR(__xludf.DUMMYFUNCTION("""COMPUTED_VALUE"""),"Reykjavik, Norway")</f>
        <v/>
      </c>
      <c r="K6704">
        <f>IFERROR(__xludf.DUMMYFUNCTION("""COMPUTED_VALUE"""),6320.28)</f>
        <v/>
      </c>
    </row>
    <row r="6705">
      <c r="J6705">
        <f>IFERROR(__xludf.DUMMYFUNCTION("""COMPUTED_VALUE"""),"VANCOUVER, BC - CALGARY, AB -
EDMONTON, AB")</f>
        <v/>
      </c>
      <c r="K6705">
        <f>IFERROR(__xludf.DUMMYFUNCTION("""COMPUTED_VALUE"""),6320.09)</f>
        <v/>
      </c>
    </row>
    <row r="6706">
      <c r="J6706">
        <f>IFERROR(__xludf.DUMMYFUNCTION("""COMPUTED_VALUE"""),"Salt Lake City, Utah, United States of America")</f>
        <v/>
      </c>
      <c r="K6706">
        <f>IFERROR(__xludf.DUMMYFUNCTION("""COMPUTED_VALUE"""),6319.63)</f>
        <v/>
      </c>
    </row>
    <row r="6707">
      <c r="J6707">
        <f>IFERROR(__xludf.DUMMYFUNCTION("""COMPUTED_VALUE"""),"San Diego, Reno, Salt Lake City")</f>
        <v/>
      </c>
      <c r="K6707">
        <f>IFERROR(__xludf.DUMMYFUNCTION("""COMPUTED_VALUE"""),6319.63)</f>
        <v/>
      </c>
    </row>
    <row r="6708">
      <c r="J6708">
        <f>IFERROR(__xludf.DUMMYFUNCTION("""COMPUTED_VALUE"""),"Baden, Switzerland")</f>
        <v/>
      </c>
      <c r="K6708">
        <f>IFERROR(__xludf.DUMMYFUNCTION("""COMPUTED_VALUE"""),6317.24)</f>
        <v/>
      </c>
    </row>
    <row r="6709">
      <c r="J6709">
        <f>IFERROR(__xludf.DUMMYFUNCTION("""COMPUTED_VALUE"""),"Brussels, Belgium and Toulouse, France")</f>
        <v/>
      </c>
      <c r="K6709">
        <f>IFERROR(__xludf.DUMMYFUNCTION("""COMPUTED_VALUE"""),6315.12)</f>
        <v/>
      </c>
    </row>
    <row r="6710">
      <c r="J6710">
        <f>IFERROR(__xludf.DUMMYFUNCTION("""COMPUTED_VALUE"""),"Vancouver, Abbotsford, Chilliwack and Kamloops, Bristish Columbia")</f>
        <v/>
      </c>
      <c r="K6710">
        <f>IFERROR(__xludf.DUMMYFUNCTION("""COMPUTED_VALUE"""),6313.57)</f>
        <v/>
      </c>
    </row>
    <row r="6711">
      <c r="J6711">
        <f>IFERROR(__xludf.DUMMYFUNCTION("""COMPUTED_VALUE"""),"Vancouver, British Columbia/ Whitehorse, Yukon, Canada")</f>
        <v/>
      </c>
      <c r="K6711">
        <f>IFERROR(__xludf.DUMMYFUNCTION("""COMPUTED_VALUE"""),6313.4)</f>
        <v/>
      </c>
    </row>
    <row r="6712">
      <c r="J6712">
        <f>IFERROR(__xludf.DUMMYFUNCTION("""COMPUTED_VALUE"""),"Moncton, New Brunswick, Canada
Charlottetown, Prince Edward Island, Canada")</f>
        <v/>
      </c>
      <c r="K6712">
        <f>IFERROR(__xludf.DUMMYFUNCTION("""COMPUTED_VALUE"""),6312.9)</f>
        <v/>
      </c>
    </row>
    <row r="6713">
      <c r="J6713">
        <f>IFERROR(__xludf.DUMMYFUNCTION("""COMPUTED_VALUE"""),"Montreal, QC &amp; Toronto, ON")</f>
        <v/>
      </c>
      <c r="K6713">
        <f>IFERROR(__xludf.DUMMYFUNCTION("""COMPUTED_VALUE"""),6311.15)</f>
        <v/>
      </c>
    </row>
    <row r="6714">
      <c r="J6714">
        <f>IFERROR(__xludf.DUMMYFUNCTION("""COMPUTED_VALUE"""),"New York, U.S.A.")</f>
        <v/>
      </c>
      <c r="K6714">
        <f>IFERROR(__xludf.DUMMYFUNCTION("""COMPUTED_VALUE"""),6310.48)</f>
        <v/>
      </c>
    </row>
    <row r="6715">
      <c r="J6715">
        <f>IFERROR(__xludf.DUMMYFUNCTION("""COMPUTED_VALUE"""),"Sao Paulo and Rio de Janeiro")</f>
        <v/>
      </c>
      <c r="K6715">
        <f>IFERROR(__xludf.DUMMYFUNCTION("""COMPUTED_VALUE"""),6308.24)</f>
        <v/>
      </c>
    </row>
    <row r="6716">
      <c r="J6716">
        <f>IFERROR(__xludf.DUMMYFUNCTION("""COMPUTED_VALUE"""),"Umea, Sweden")</f>
        <v/>
      </c>
      <c r="K6716">
        <f>IFERROR(__xludf.DUMMYFUNCTION("""COMPUTED_VALUE"""),6306.13)</f>
        <v/>
      </c>
    </row>
    <row r="6717">
      <c r="J6717">
        <f>IFERROR(__xludf.DUMMYFUNCTION("""COMPUTED_VALUE"""),"Edmonton and Vancouver")</f>
        <v/>
      </c>
      <c r="K6717">
        <f>IFERROR(__xludf.DUMMYFUNCTION("""COMPUTED_VALUE"""),6303.04)</f>
        <v/>
      </c>
    </row>
    <row r="6718">
      <c r="J6718">
        <f>IFERROR(__xludf.DUMMYFUNCTION("""COMPUTED_VALUE"""),"Bathurst, NB; Moncton, NB; Charlottetown, PE; Halifax, NS")</f>
        <v/>
      </c>
      <c r="K6718">
        <f>IFERROR(__xludf.DUMMYFUNCTION("""COMPUTED_VALUE"""),6302.18)</f>
        <v/>
      </c>
    </row>
    <row r="6719">
      <c r="J6719">
        <f>IFERROR(__xludf.DUMMYFUNCTION("""COMPUTED_VALUE"""),"Churchill, Manitoba, Canada; Winnipeg, Manitoba, Canada")</f>
        <v/>
      </c>
      <c r="K6719">
        <f>IFERROR(__xludf.DUMMYFUNCTION("""COMPUTED_VALUE"""),6301.47)</f>
        <v/>
      </c>
    </row>
    <row r="6720">
      <c r="J6720">
        <f>IFERROR(__xludf.DUMMYFUNCTION("""COMPUTED_VALUE"""),"Geneva, Switzerland; Berne, Switzerland")</f>
        <v/>
      </c>
      <c r="K6720">
        <f>IFERROR(__xludf.DUMMYFUNCTION("""COMPUTED_VALUE"""),6301.28)</f>
        <v/>
      </c>
    </row>
    <row r="6721">
      <c r="J6721">
        <f>IFERROR(__xludf.DUMMYFUNCTION("""COMPUTED_VALUE"""),"Saskatoon, Saskatchewan, Canada / Winnipeg, Manitoba, Canada")</f>
        <v/>
      </c>
      <c r="K6721">
        <f>IFERROR(__xludf.DUMMYFUNCTION("""COMPUTED_VALUE"""),6300.44)</f>
        <v/>
      </c>
    </row>
    <row r="6722">
      <c r="J6722">
        <f>IFERROR(__xludf.DUMMYFUNCTION("""COMPUTED_VALUE"""),"San Antonio, Texas")</f>
        <v/>
      </c>
      <c r="K6722">
        <f>IFERROR(__xludf.DUMMYFUNCTION("""COMPUTED_VALUE"""),6299.63999999999)</f>
        <v/>
      </c>
    </row>
    <row r="6723">
      <c r="J6723">
        <f>IFERROR(__xludf.DUMMYFUNCTION("""COMPUTED_VALUE"""),"Deer Lake, NL / Moncton, NB / Summerside, PEI / Charlottetown, PEI")</f>
        <v/>
      </c>
      <c r="K6723">
        <f>IFERROR(__xludf.DUMMYFUNCTION("""COMPUTED_VALUE"""),6299.32)</f>
        <v/>
      </c>
    </row>
    <row r="6724">
      <c r="J6724">
        <f>IFERROR(__xludf.DUMMYFUNCTION("""COMPUTED_VALUE"""),"Vancouver/Banff/Calgary")</f>
        <v/>
      </c>
      <c r="K6724">
        <f>IFERROR(__xludf.DUMMYFUNCTION("""COMPUTED_VALUE"""),6298.06)</f>
        <v/>
      </c>
    </row>
    <row r="6725">
      <c r="J6725">
        <f>IFERROR(__xludf.DUMMYFUNCTION("""COMPUTED_VALUE"""),"Terrace, BC - Calgary, AB")</f>
        <v/>
      </c>
      <c r="K6725">
        <f>IFERROR(__xludf.DUMMYFUNCTION("""COMPUTED_VALUE"""),6297.57)</f>
        <v/>
      </c>
    </row>
    <row r="6726">
      <c r="J6726">
        <f>IFERROR(__xludf.DUMMYFUNCTION("""COMPUTED_VALUE"""),"Toronto, Ontario; Montreal, Quebec; Cromer and Winnipeg,  Manitoba; Kitimat and Vancouver , British Columbia")</f>
        <v/>
      </c>
      <c r="K6726">
        <f>IFERROR(__xludf.DUMMYFUNCTION("""COMPUTED_VALUE"""),6297.45)</f>
        <v/>
      </c>
    </row>
    <row r="6727">
      <c r="J6727">
        <f>IFERROR(__xludf.DUMMYFUNCTION("""COMPUTED_VALUE"""),"Toronto, Ontario, Canada; Kingston, Ontario, Canada")</f>
        <v/>
      </c>
      <c r="K6727">
        <f>IFERROR(__xludf.DUMMYFUNCTION("""COMPUTED_VALUE"""),6297.02)</f>
        <v/>
      </c>
    </row>
    <row r="6728">
      <c r="J6728">
        <f>IFERROR(__xludf.DUMMYFUNCTION("""COMPUTED_VALUE"""),"Vancouver, British Columbia, Canada/ Saskatoon, Saskatchewan, Canada")</f>
        <v/>
      </c>
      <c r="K6728">
        <f>IFERROR(__xludf.DUMMYFUNCTION("""COMPUTED_VALUE"""),6296.92)</f>
        <v/>
      </c>
    </row>
    <row r="6729">
      <c r="J6729">
        <f>IFERROR(__xludf.DUMMYFUNCTION("""COMPUTED_VALUE"""),"Toronto, Ontario/ Saskatoon, Saskatchewan, Canada")</f>
        <v/>
      </c>
      <c r="K6729">
        <f>IFERROR(__xludf.DUMMYFUNCTION("""COMPUTED_VALUE"""),6293.27)</f>
        <v/>
      </c>
    </row>
    <row r="6730">
      <c r="J6730">
        <f>IFERROR(__xludf.DUMMYFUNCTION("""COMPUTED_VALUE"""),"Vancouver, British Columbia, Canada - Kamloops, British Columbia, Canada")</f>
        <v/>
      </c>
      <c r="K6730">
        <f>IFERROR(__xludf.DUMMYFUNCTION("""COMPUTED_VALUE"""),6292.30999999999)</f>
        <v/>
      </c>
    </row>
    <row r="6731">
      <c r="J6731">
        <f>IFERROR(__xludf.DUMMYFUNCTION("""COMPUTED_VALUE"""),"Vancouver, British Columbia, Regina and Saskatoon, Saskatchewan, Edmonton, Alberta, Winnipeg, Manitoba, Prince Rupert, British Columbia")</f>
        <v/>
      </c>
      <c r="K6731">
        <f>IFERROR(__xludf.DUMMYFUNCTION("""COMPUTED_VALUE"""),6292.09)</f>
        <v/>
      </c>
    </row>
    <row r="6732">
      <c r="J6732">
        <f>IFERROR(__xludf.DUMMYFUNCTION("""COMPUTED_VALUE"""),"EDMONTON, AB, CANADA")</f>
        <v/>
      </c>
      <c r="K6732">
        <f>IFERROR(__xludf.DUMMYFUNCTION("""COMPUTED_VALUE"""),6289.85)</f>
        <v/>
      </c>
    </row>
    <row r="6733">
      <c r="J6733">
        <f>IFERROR(__xludf.DUMMYFUNCTION("""COMPUTED_VALUE"""),"IQALUIT, NU, CANADA")</f>
        <v/>
      </c>
      <c r="K6733">
        <f>IFERROR(__xludf.DUMMYFUNCTION("""COMPUTED_VALUE"""),6289.4)</f>
        <v/>
      </c>
    </row>
    <row r="6734">
      <c r="J6734">
        <f>IFERROR(__xludf.DUMMYFUNCTION("""COMPUTED_VALUE"""),"Ottawa, Ontario, Canada
Gatineau, Quebec, Canada")</f>
        <v/>
      </c>
      <c r="K6734">
        <f>IFERROR(__xludf.DUMMYFUNCTION("""COMPUTED_VALUE"""),6289.09)</f>
        <v/>
      </c>
    </row>
    <row r="6735">
      <c r="J6735">
        <f>IFERROR(__xludf.DUMMYFUNCTION("""COMPUTED_VALUE"""),"Charlottetown (Prince Edward Island), Hamilton (Ontario), Guelph (Ontario)")</f>
        <v/>
      </c>
      <c r="K6735">
        <f>IFERROR(__xludf.DUMMYFUNCTION("""COMPUTED_VALUE"""),6288.53)</f>
        <v/>
      </c>
    </row>
    <row r="6736">
      <c r="J6736">
        <f>IFERROR(__xludf.DUMMYFUNCTION("""COMPUTED_VALUE"""),"Moncton, (New Brunswick)")</f>
        <v/>
      </c>
      <c r="K6736">
        <f>IFERROR(__xludf.DUMMYFUNCTION("""COMPUTED_VALUE"""),6283.33)</f>
        <v/>
      </c>
    </row>
    <row r="6737">
      <c r="J6737">
        <f>IFERROR(__xludf.DUMMYFUNCTION("""COMPUTED_VALUE"""),"Toronto, Ontario, Canada / Pekin, Hong Kong and Shangai, Chine")</f>
        <v/>
      </c>
      <c r="K6737">
        <f>IFERROR(__xludf.DUMMYFUNCTION("""COMPUTED_VALUE"""),6282.95)</f>
        <v/>
      </c>
    </row>
    <row r="6738">
      <c r="J6738">
        <f>IFERROR(__xludf.DUMMYFUNCTION("""COMPUTED_VALUE"""),"Amman, Ramallah, Jerusalem and Tel Aviv")</f>
        <v/>
      </c>
      <c r="K6738">
        <f>IFERROR(__xludf.DUMMYFUNCTION("""COMPUTED_VALUE"""),6280.61)</f>
        <v/>
      </c>
    </row>
    <row r="6739">
      <c r="J6739">
        <f>IFERROR(__xludf.DUMMYFUNCTION("""COMPUTED_VALUE"""),"Davos, Zurich")</f>
        <v/>
      </c>
      <c r="K6739">
        <f>IFERROR(__xludf.DUMMYFUNCTION("""COMPUTED_VALUE"""),6280.01)</f>
        <v/>
      </c>
    </row>
    <row r="6740">
      <c r="J6740">
        <f>IFERROR(__xludf.DUMMYFUNCTION("""COMPUTED_VALUE"""),"Sun Valley, USA")</f>
        <v/>
      </c>
      <c r="K6740">
        <f>IFERROR(__xludf.DUMMYFUNCTION("""COMPUTED_VALUE"""),6279.72)</f>
        <v/>
      </c>
    </row>
    <row r="6741">
      <c r="J6741">
        <f>IFERROR(__xludf.DUMMYFUNCTION("""COMPUTED_VALUE"""),"Victoria and Vancouver, British-Columbia")</f>
        <v/>
      </c>
      <c r="K6741">
        <f>IFERROR(__xludf.DUMMYFUNCTION("""COMPUTED_VALUE"""),6279.33)</f>
        <v/>
      </c>
    </row>
    <row r="6742">
      <c r="J6742">
        <f>IFERROR(__xludf.DUMMYFUNCTION("""COMPUTED_VALUE"""),"Frankfurt,Germany, Europe")</f>
        <v/>
      </c>
      <c r="K6742">
        <f>IFERROR(__xludf.DUMMYFUNCTION("""COMPUTED_VALUE"""),6276.87)</f>
        <v/>
      </c>
    </row>
    <row r="6743">
      <c r="J6743">
        <f>IFERROR(__xludf.DUMMYFUNCTION("""COMPUTED_VALUE"""),"Paris and Rome")</f>
        <v/>
      </c>
      <c r="K6743">
        <f>IFERROR(__xludf.DUMMYFUNCTION("""COMPUTED_VALUE"""),6274.55)</f>
        <v/>
      </c>
    </row>
    <row r="6744">
      <c r="J6744">
        <f>IFERROR(__xludf.DUMMYFUNCTION("""COMPUTED_VALUE"""),"Portland, Maine")</f>
        <v/>
      </c>
      <c r="K6744">
        <f>IFERROR(__xludf.DUMMYFUNCTION("""COMPUTED_VALUE"""),6272.95)</f>
        <v/>
      </c>
    </row>
    <row r="6745">
      <c r="J6745">
        <f>IFERROR(__xludf.DUMMYFUNCTION("""COMPUTED_VALUE"""),"Whistler, British Columbia 
St. Michaels, Maryland, United States")</f>
        <v/>
      </c>
      <c r="K6745">
        <f>IFERROR(__xludf.DUMMYFUNCTION("""COMPUTED_VALUE"""),6272.14)</f>
        <v/>
      </c>
    </row>
    <row r="6746">
      <c r="J6746">
        <f>IFERROR(__xludf.DUMMYFUNCTION("""COMPUTED_VALUE"""),"Charlottetown PEI")</f>
        <v/>
      </c>
      <c r="K6746">
        <f>IFERROR(__xludf.DUMMYFUNCTION("""COMPUTED_VALUE"""),6269.57)</f>
        <v/>
      </c>
    </row>
    <row r="6747">
      <c r="J6747">
        <f>IFERROR(__xludf.DUMMYFUNCTION("""COMPUTED_VALUE"""),"Vancouver,British Columbia")</f>
        <v/>
      </c>
      <c r="K6747">
        <f>IFERROR(__xludf.DUMMYFUNCTION("""COMPUTED_VALUE"""),6268.54)</f>
        <v/>
      </c>
    </row>
    <row r="6748">
      <c r="J6748">
        <f>IFERROR(__xludf.DUMMYFUNCTION("""COMPUTED_VALUE"""),"Calgary, Montreal and Ottawa")</f>
        <v/>
      </c>
      <c r="K6748">
        <f>IFERROR(__xludf.DUMMYFUNCTION("""COMPUTED_VALUE"""),6268.27)</f>
        <v/>
      </c>
    </row>
    <row r="6749">
      <c r="J6749">
        <f>IFERROR(__xludf.DUMMYFUNCTION("""COMPUTED_VALUE"""),"Montreal, (Quebec), Oslo, Harstad, (Norway)")</f>
        <v/>
      </c>
      <c r="K6749">
        <f>IFERROR(__xludf.DUMMYFUNCTION("""COMPUTED_VALUE"""),6266.23)</f>
        <v/>
      </c>
    </row>
    <row r="6750">
      <c r="J6750">
        <f>IFERROR(__xludf.DUMMYFUNCTION("""COMPUTED_VALUE"""),"London, Gleneagles")</f>
        <v/>
      </c>
      <c r="K6750">
        <f>IFERROR(__xludf.DUMMYFUNCTION("""COMPUTED_VALUE"""),6265.71)</f>
        <v/>
      </c>
    </row>
    <row r="6751">
      <c r="J6751">
        <f>IFERROR(__xludf.DUMMYFUNCTION("""COMPUTED_VALUE"""),"Guyana, Port of Spain, Trinidad")</f>
        <v/>
      </c>
      <c r="K6751">
        <f>IFERROR(__xludf.DUMMYFUNCTION("""COMPUTED_VALUE"""),6264.01)</f>
        <v/>
      </c>
    </row>
    <row r="6752">
      <c r="J6752">
        <f>IFERROR(__xludf.DUMMYFUNCTION("""COMPUTED_VALUE"""),"Edmonton, Alberta, Canada; Calgary, Alberta, Canada; Winnipeg, Manitoba, Canada")</f>
        <v/>
      </c>
      <c r="K6752">
        <f>IFERROR(__xludf.DUMMYFUNCTION("""COMPUTED_VALUE"""),6262.26)</f>
        <v/>
      </c>
    </row>
    <row r="6753">
      <c r="J6753">
        <f>IFERROR(__xludf.DUMMYFUNCTION("""COMPUTED_VALUE"""),"Calgary, Edmonton - AB")</f>
        <v/>
      </c>
      <c r="K6753">
        <f>IFERROR(__xludf.DUMMYFUNCTION("""COMPUTED_VALUE"""),6261.87)</f>
        <v/>
      </c>
    </row>
    <row r="6754">
      <c r="J6754">
        <f>IFERROR(__xludf.DUMMYFUNCTION("""COMPUTED_VALUE"""),"Baie-Comeau, Quebec, Canada / Quebec, Quebec, Canada")</f>
        <v/>
      </c>
      <c r="K6754">
        <f>IFERROR(__xludf.DUMMYFUNCTION("""COMPUTED_VALUE"""),6258.59)</f>
        <v/>
      </c>
    </row>
    <row r="6755">
      <c r="J6755">
        <f>IFERROR(__xludf.DUMMYFUNCTION("""COMPUTED_VALUE"""),"Calgary and Toronto")</f>
        <v/>
      </c>
      <c r="K6755">
        <f>IFERROR(__xludf.DUMMYFUNCTION("""COMPUTED_VALUE"""),6258.24)</f>
        <v/>
      </c>
    </row>
    <row r="6756">
      <c r="J6756">
        <f>IFERROR(__xludf.DUMMYFUNCTION("""COMPUTED_VALUE"""),"Peterborough")</f>
        <v/>
      </c>
      <c r="K6756">
        <f>IFERROR(__xludf.DUMMYFUNCTION("""COMPUTED_VALUE"""),6257.63)</f>
        <v/>
      </c>
    </row>
    <row r="6757">
      <c r="J6757">
        <f>IFERROR(__xludf.DUMMYFUNCTION("""COMPUTED_VALUE"""),"Port Hardy, British Columbia
Victoria, British Columbia")</f>
        <v/>
      </c>
      <c r="K6757">
        <f>IFERROR(__xludf.DUMMYFUNCTION("""COMPUTED_VALUE"""),6257.44)</f>
        <v/>
      </c>
    </row>
    <row r="6758">
      <c r="J6758">
        <f>IFERROR(__xludf.DUMMYFUNCTION("""COMPUTED_VALUE"""),"Nunavik, Nunavut")</f>
        <v/>
      </c>
      <c r="K6758">
        <f>IFERROR(__xludf.DUMMYFUNCTION("""COMPUTED_VALUE"""),6255.81)</f>
        <v/>
      </c>
    </row>
    <row r="6759">
      <c r="J6759">
        <f>IFERROR(__xludf.DUMMYFUNCTION("""COMPUTED_VALUE"""),"Quadra Island - Campbell River - Port Hardy - Masset - Sandspit - Campbell River - Nanaimo, BC")</f>
        <v/>
      </c>
      <c r="K6759">
        <f>IFERROR(__xludf.DUMMYFUNCTION("""COMPUTED_VALUE"""),6255.18)</f>
        <v/>
      </c>
    </row>
    <row r="6760">
      <c r="J6760">
        <f>IFERROR(__xludf.DUMMYFUNCTION("""COMPUTED_VALUE"""),"Rimouski, Quebec")</f>
        <v/>
      </c>
      <c r="K6760">
        <f>IFERROR(__xludf.DUMMYFUNCTION("""COMPUTED_VALUE"""),6254.92)</f>
        <v/>
      </c>
    </row>
    <row r="6761">
      <c r="J6761">
        <f>IFERROR(__xludf.DUMMYFUNCTION("""COMPUTED_VALUE"""),"Halifax, NS - Ottawa, ON / Ottawa, ON - Halifax, NS / Halifax, NS - Ottawa, ON / Ottawa, ON - Halifax, NS")</f>
        <v/>
      </c>
      <c r="K6761">
        <f>IFERROR(__xludf.DUMMYFUNCTION("""COMPUTED_VALUE"""),6253.23)</f>
        <v/>
      </c>
    </row>
    <row r="6762">
      <c r="J6762">
        <f>IFERROR(__xludf.DUMMYFUNCTION("""COMPUTED_VALUE"""),"(Massachusetts, Virginia and California)")</f>
        <v/>
      </c>
      <c r="K6762">
        <f>IFERROR(__xludf.DUMMYFUNCTION("""COMPUTED_VALUE"""),6252.91)</f>
        <v/>
      </c>
    </row>
    <row r="6763">
      <c r="J6763">
        <f>IFERROR(__xludf.DUMMYFUNCTION("""COMPUTED_VALUE"""),"Kettle and Stony Point, Ontario, Canada; Thunder Bay, Ontario, Canada")</f>
        <v/>
      </c>
      <c r="K6763">
        <f>IFERROR(__xludf.DUMMYFUNCTION("""COMPUTED_VALUE"""),6252.27)</f>
        <v/>
      </c>
    </row>
    <row r="6764">
      <c r="J6764">
        <f>IFERROR(__xludf.DUMMYFUNCTION("""COMPUTED_VALUE"""),"Rovaniemi, Finland and Helsinki, Finland, Europe")</f>
        <v/>
      </c>
      <c r="K6764">
        <f>IFERROR(__xludf.DUMMYFUNCTION("""COMPUTED_VALUE"""),6252.2)</f>
        <v/>
      </c>
    </row>
    <row r="6765">
      <c r="J6765">
        <f>IFERROR(__xludf.DUMMYFUNCTION("""COMPUTED_VALUE"""),"Colorado")</f>
        <v/>
      </c>
      <c r="K6765">
        <f>IFERROR(__xludf.DUMMYFUNCTION("""COMPUTED_VALUE"""),6251.1)</f>
        <v/>
      </c>
    </row>
    <row r="6766">
      <c r="J6766">
        <f>IFERROR(__xludf.DUMMYFUNCTION("""COMPUTED_VALUE"""),"Montreal QC, Vancouver BC, Hamilton On")</f>
        <v/>
      </c>
      <c r="K6766">
        <f>IFERROR(__xludf.DUMMYFUNCTION("""COMPUTED_VALUE"""),6246.46999999999)</f>
        <v/>
      </c>
    </row>
    <row r="6767">
      <c r="J6767">
        <f>IFERROR(__xludf.DUMMYFUNCTION("""COMPUTED_VALUE"""),"Vancouver, BC; Calgary, AB")</f>
        <v/>
      </c>
      <c r="K6767">
        <f>IFERROR(__xludf.DUMMYFUNCTION("""COMPUTED_VALUE"""),6246.38)</f>
        <v/>
      </c>
    </row>
    <row r="6768">
      <c r="J6768">
        <f>IFERROR(__xludf.DUMMYFUNCTION("""COMPUTED_VALUE"""),"Caracas, Venezuela")</f>
        <v/>
      </c>
      <c r="K6768">
        <f>IFERROR(__xludf.DUMMYFUNCTION("""COMPUTED_VALUE"""),6244.7)</f>
        <v/>
      </c>
    </row>
    <row r="6769">
      <c r="J6769">
        <f>IFERROR(__xludf.DUMMYFUNCTION("""COMPUTED_VALUE"""),"Gatineau, Qc and Ottawa, On.")</f>
        <v/>
      </c>
      <c r="K6769">
        <f>IFERROR(__xludf.DUMMYFUNCTION("""COMPUTED_VALUE"""),6243.13)</f>
        <v/>
      </c>
    </row>
    <row r="6770">
      <c r="J6770">
        <f>IFERROR(__xludf.DUMMYFUNCTION("""COMPUTED_VALUE"""),"Akureyri and Reykjavik, Iceland")</f>
        <v/>
      </c>
      <c r="K6770">
        <f>IFERROR(__xludf.DUMMYFUNCTION("""COMPUTED_VALUE"""),6241.64)</f>
        <v/>
      </c>
    </row>
    <row r="6771">
      <c r="J6771">
        <f>IFERROR(__xludf.DUMMYFUNCTION("""COMPUTED_VALUE"""),"Fredericton / Saint John")</f>
        <v/>
      </c>
      <c r="K6771">
        <f>IFERROR(__xludf.DUMMYFUNCTION("""COMPUTED_VALUE"""),6241.58)</f>
        <v/>
      </c>
    </row>
    <row r="6772">
      <c r="J6772">
        <f>IFERROR(__xludf.DUMMYFUNCTION("""COMPUTED_VALUE"""),"Kingston, Toronto")</f>
        <v/>
      </c>
      <c r="K6772">
        <f>IFERROR(__xludf.DUMMYFUNCTION("""COMPUTED_VALUE"""),6240.17)</f>
        <v/>
      </c>
    </row>
    <row r="6773">
      <c r="J6773">
        <f>IFERROR(__xludf.DUMMYFUNCTION("""COMPUTED_VALUE"""),"Toronto, ON / Calgary, AB")</f>
        <v/>
      </c>
      <c r="K6773">
        <f>IFERROR(__xludf.DUMMYFUNCTION("""COMPUTED_VALUE"""),6240.14)</f>
        <v/>
      </c>
    </row>
    <row r="6774">
      <c r="J6774">
        <f>IFERROR(__xludf.DUMMYFUNCTION("""COMPUTED_VALUE"""),"Toronto, ON, Calgary, AB")</f>
        <v/>
      </c>
      <c r="K6774">
        <f>IFERROR(__xludf.DUMMYFUNCTION("""COMPUTED_VALUE"""),6237.79)</f>
        <v/>
      </c>
    </row>
    <row r="6775">
      <c r="J6775">
        <f>IFERROR(__xludf.DUMMYFUNCTION("""COMPUTED_VALUE"""),"Calgary &amp; Edmonton, Alberta, Canada")</f>
        <v/>
      </c>
      <c r="K6775">
        <f>IFERROR(__xludf.DUMMYFUNCTION("""COMPUTED_VALUE"""),6237.25)</f>
        <v/>
      </c>
    </row>
    <row r="6776">
      <c r="J6776">
        <f>IFERROR(__xludf.DUMMYFUNCTION("""COMPUTED_VALUE"""),"Ottawa &amp; Halifax")</f>
        <v/>
      </c>
      <c r="K6776">
        <f>IFERROR(__xludf.DUMMYFUNCTION("""COMPUTED_VALUE"""),6237.09)</f>
        <v/>
      </c>
    </row>
    <row r="6777">
      <c r="J6777">
        <f>IFERROR(__xludf.DUMMYFUNCTION("""COMPUTED_VALUE"""),"Fairbanks, Alaska, United States of America; Sydney, Australia")</f>
        <v/>
      </c>
      <c r="K6777">
        <f>IFERROR(__xludf.DUMMYFUNCTION("""COMPUTED_VALUE"""),6235.77)</f>
        <v/>
      </c>
    </row>
    <row r="6778">
      <c r="J6778">
        <f>IFERROR(__xludf.DUMMYFUNCTION("""COMPUTED_VALUE"""),"Edmonton, Alberta, Canada
Toronto, Ontario, Canada")</f>
        <v/>
      </c>
      <c r="K6778">
        <f>IFERROR(__xludf.DUMMYFUNCTION("""COMPUTED_VALUE"""),6235.3)</f>
        <v/>
      </c>
    </row>
    <row r="6779">
      <c r="J6779">
        <f>IFERROR(__xludf.DUMMYFUNCTION("""COMPUTED_VALUE"""),"Aachen and Frankfurt, Gemany")</f>
        <v/>
      </c>
      <c r="K6779">
        <f>IFERROR(__xludf.DUMMYFUNCTION("""COMPUTED_VALUE"""),6232.94)</f>
        <v/>
      </c>
    </row>
    <row r="6780">
      <c r="J6780">
        <f>IFERROR(__xludf.DUMMYFUNCTION("""COMPUTED_VALUE"""),"Halifax, Nova Scotia; St-John's, Newfoundland and Labrador, Canada")</f>
        <v/>
      </c>
      <c r="K6780">
        <f>IFERROR(__xludf.DUMMYFUNCTION("""COMPUTED_VALUE"""),6232.07)</f>
        <v/>
      </c>
    </row>
    <row r="6781">
      <c r="J6781">
        <f>IFERROR(__xludf.DUMMYFUNCTION("""COMPUTED_VALUE"""),"Toronto, Buenos Aires, Asuncion, Santa Cruz, La Paz, Quito and New York")</f>
        <v/>
      </c>
      <c r="K6781">
        <f>IFERROR(__xludf.DUMMYFUNCTION("""COMPUTED_VALUE"""),6231.02)</f>
        <v/>
      </c>
    </row>
    <row r="6782">
      <c r="J6782">
        <f>IFERROR(__xludf.DUMMYFUNCTION("""COMPUTED_VALUE"""),"Toronto, Ontario, Canada
Austin, Houston, USA")</f>
        <v/>
      </c>
      <c r="K6782">
        <f>IFERROR(__xludf.DUMMYFUNCTION("""COMPUTED_VALUE"""),6230.86)</f>
        <v/>
      </c>
    </row>
    <row r="6783">
      <c r="J6783">
        <f>IFERROR(__xludf.DUMMYFUNCTION("""COMPUTED_VALUE"""),"Calgary, AB &amp; Vancouver, BC")</f>
        <v/>
      </c>
      <c r="K6783">
        <f>IFERROR(__xludf.DUMMYFUNCTION("""COMPUTED_VALUE"""),6228.95)</f>
        <v/>
      </c>
    </row>
    <row r="6784">
      <c r="J6784">
        <f>IFERROR(__xludf.DUMMYFUNCTION("""COMPUTED_VALUE"""),"Saskatoon (Saskatchewan) Canada, Calgary (Alberta) Canada; Winnipeg (Manitoba) Canada")</f>
        <v/>
      </c>
      <c r="K6784">
        <f>IFERROR(__xludf.DUMMYFUNCTION("""COMPUTED_VALUE"""),6228.93)</f>
        <v/>
      </c>
    </row>
    <row r="6785">
      <c r="J6785">
        <f>IFERROR(__xludf.DUMMYFUNCTION("""COMPUTED_VALUE"""),"Surrey, British Columbia, Canada / Calgary, Alberta, Canada")</f>
        <v/>
      </c>
      <c r="K6785">
        <f>IFERROR(__xludf.DUMMYFUNCTION("""COMPUTED_VALUE"""),6228.61)</f>
        <v/>
      </c>
    </row>
    <row r="6786">
      <c r="J6786">
        <f>IFERROR(__xludf.DUMMYFUNCTION("""COMPUTED_VALUE"""),"Montreal, Quebec, Canada; Los Angeles, California, USA; Winnipeg Manitoba, Canada")</f>
        <v/>
      </c>
      <c r="K6786">
        <f>IFERROR(__xludf.DUMMYFUNCTION("""COMPUTED_VALUE"""),6228.48)</f>
        <v/>
      </c>
    </row>
    <row r="6787">
      <c r="J6787">
        <f>IFERROR(__xludf.DUMMYFUNCTION("""COMPUTED_VALUE"""),"Vancouver and Victoria (British Columbia) Canada")</f>
        <v/>
      </c>
      <c r="K6787">
        <f>IFERROR(__xludf.DUMMYFUNCTION("""COMPUTED_VALUE"""),6224.96)</f>
        <v/>
      </c>
    </row>
    <row r="6788">
      <c r="J6788">
        <f>IFERROR(__xludf.DUMMYFUNCTION("""COMPUTED_VALUE"""),"Anchorage, Alaska
Utqiagvik, Alaska")</f>
        <v/>
      </c>
      <c r="K6788">
        <f>IFERROR(__xludf.DUMMYFUNCTION("""COMPUTED_VALUE"""),6222.61)</f>
        <v/>
      </c>
    </row>
    <row r="6789">
      <c r="J6789">
        <f>IFERROR(__xludf.DUMMYFUNCTION("""COMPUTED_VALUE"""),"Kamloops, British Columbia, Canada; Vancouver, British Columbia, Canada")</f>
        <v/>
      </c>
      <c r="K6789">
        <f>IFERROR(__xludf.DUMMYFUNCTION("""COMPUTED_VALUE"""),6219.38)</f>
        <v/>
      </c>
    </row>
    <row r="6790">
      <c r="J6790">
        <f>IFERROR(__xludf.DUMMYFUNCTION("""COMPUTED_VALUE"""),"Valcartier, Quebec, Canada")</f>
        <v/>
      </c>
      <c r="K6790">
        <f>IFERROR(__xludf.DUMMYFUNCTION("""COMPUTED_VALUE"""),6218.98)</f>
        <v/>
      </c>
    </row>
    <row r="6791">
      <c r="J6791">
        <f>IFERROR(__xludf.DUMMYFUNCTION("""COMPUTED_VALUE"""),"Berlin, Germany; London, United Kingdom; Windsor, UK")</f>
        <v/>
      </c>
      <c r="K6791">
        <f>IFERROR(__xludf.DUMMYFUNCTION("""COMPUTED_VALUE"""),6217.22)</f>
        <v/>
      </c>
    </row>
    <row r="6792">
      <c r="J6792">
        <f>IFERROR(__xludf.DUMMYFUNCTION("""COMPUTED_VALUE"""),"Vancouver/Victoria/Whitehorse")</f>
        <v/>
      </c>
      <c r="K6792">
        <f>IFERROR(__xludf.DUMMYFUNCTION("""COMPUTED_VALUE"""),6215.11)</f>
        <v/>
      </c>
    </row>
    <row r="6793">
      <c r="J6793">
        <f>IFERROR(__xludf.DUMMYFUNCTION("""COMPUTED_VALUE"""),"Khartoum, Sudan")</f>
        <v/>
      </c>
      <c r="K6793">
        <f>IFERROR(__xludf.DUMMYFUNCTION("""COMPUTED_VALUE"""),6213.94)</f>
        <v/>
      </c>
    </row>
    <row r="6794">
      <c r="J6794">
        <f>IFERROR(__xludf.DUMMYFUNCTION("""COMPUTED_VALUE"""),"Whitehorse, Yukon/Victoria, British Columbia, Canada")</f>
        <v/>
      </c>
      <c r="K6794">
        <f>IFERROR(__xludf.DUMMYFUNCTION("""COMPUTED_VALUE"""),6213.21)</f>
        <v/>
      </c>
    </row>
    <row r="6795">
      <c r="J6795">
        <f>IFERROR(__xludf.DUMMYFUNCTION("""COMPUTED_VALUE"""),"Mississauga, Ontario, Canada; Windsor, Ontario, Canada")</f>
        <v/>
      </c>
      <c r="K6795">
        <f>IFERROR(__xludf.DUMMYFUNCTION("""COMPUTED_VALUE"""),6212.99)</f>
        <v/>
      </c>
    </row>
    <row r="6796">
      <c r="J6796">
        <f>IFERROR(__xludf.DUMMYFUNCTION("""COMPUTED_VALUE"""),"Summerside, PEI")</f>
        <v/>
      </c>
      <c r="K6796">
        <f>IFERROR(__xludf.DUMMYFUNCTION("""COMPUTED_VALUE"""),6212.67)</f>
        <v/>
      </c>
    </row>
    <row r="6797">
      <c r="J6797">
        <f>IFERROR(__xludf.DUMMYFUNCTION("""COMPUTED_VALUE"""),"Ljubijana, Slovenia")</f>
        <v/>
      </c>
      <c r="K6797">
        <f>IFERROR(__xludf.DUMMYFUNCTION("""COMPUTED_VALUE"""),6210.18)</f>
        <v/>
      </c>
    </row>
    <row r="6798">
      <c r="J6798">
        <f>IFERROR(__xludf.DUMMYFUNCTION("""COMPUTED_VALUE"""),"West Africa")</f>
        <v/>
      </c>
      <c r="K6798">
        <f>IFERROR(__xludf.DUMMYFUNCTION("""COMPUTED_VALUE"""),6209.56)</f>
        <v/>
      </c>
    </row>
    <row r="6799">
      <c r="J6799">
        <f>IFERROR(__xludf.DUMMYFUNCTION("""COMPUTED_VALUE"""),"Honolulu, Hawaii, United States")</f>
        <v/>
      </c>
      <c r="K6799">
        <f>IFERROR(__xludf.DUMMYFUNCTION("""COMPUTED_VALUE"""),6208.48)</f>
        <v/>
      </c>
    </row>
    <row r="6800">
      <c r="J6800">
        <f>IFERROR(__xludf.DUMMYFUNCTION("""COMPUTED_VALUE"""),"Cincinnati")</f>
        <v/>
      </c>
      <c r="K6800">
        <f>IFERROR(__xludf.DUMMYFUNCTION("""COMPUTED_VALUE"""),6207.57)</f>
        <v/>
      </c>
    </row>
    <row r="6801">
      <c r="J6801">
        <f>IFERROR(__xludf.DUMMYFUNCTION("""COMPUTED_VALUE"""),"Edmonton, Alberta, Canada; Calgary, Alberta, Canada; Regina, Saskatchewan, Canada")</f>
        <v/>
      </c>
      <c r="K6801">
        <f>IFERROR(__xludf.DUMMYFUNCTION("""COMPUTED_VALUE"""),6205.28)</f>
        <v/>
      </c>
    </row>
    <row r="6802">
      <c r="J6802">
        <f>IFERROR(__xludf.DUMMYFUNCTION("""COMPUTED_VALUE"""),"Atlantic Region")</f>
        <v/>
      </c>
      <c r="K6802">
        <f>IFERROR(__xludf.DUMMYFUNCTION("""COMPUTED_VALUE"""),6202.65)</f>
        <v/>
      </c>
    </row>
    <row r="6803">
      <c r="J6803">
        <f>IFERROR(__xludf.DUMMYFUNCTION("""COMPUTED_VALUE"""),"Montréal, Quebec / Laredo, Texas / San Antonio, Texas / Houston, Texas")</f>
        <v/>
      </c>
      <c r="K6803">
        <f>IFERROR(__xludf.DUMMYFUNCTION("""COMPUTED_VALUE"""),6202.57)</f>
        <v/>
      </c>
    </row>
    <row r="6804">
      <c r="J6804">
        <f>IFERROR(__xludf.DUMMYFUNCTION("""COMPUTED_VALUE"""),"1. Toronto, Ontario, Canada2. and 3. Vancouver, British Columbia, Canada")</f>
        <v/>
      </c>
      <c r="K6804">
        <f>IFERROR(__xludf.DUMMYFUNCTION("""COMPUTED_VALUE"""),6200.47)</f>
        <v/>
      </c>
    </row>
    <row r="6805">
      <c r="J6805">
        <f>IFERROR(__xludf.DUMMYFUNCTION("""COMPUTED_VALUE"""),"Toronto, Ontario, Canada; Vancouver, British Columbia, Canada; Saint John, New Brunswick, Canada")</f>
        <v/>
      </c>
      <c r="K6805">
        <f>IFERROR(__xludf.DUMMYFUNCTION("""COMPUTED_VALUE"""),6199.83)</f>
        <v/>
      </c>
    </row>
    <row r="6806">
      <c r="J6806">
        <f>IFERROR(__xludf.DUMMYFUNCTION("""COMPUTED_VALUE"""),"Calgary, AB,  Edmonton, AB, Vancouver, BC and Victoria BC")</f>
        <v/>
      </c>
      <c r="K6806">
        <f>IFERROR(__xludf.DUMMYFUNCTION("""COMPUTED_VALUE"""),6199.03)</f>
        <v/>
      </c>
    </row>
    <row r="6807">
      <c r="J6807">
        <f>IFERROR(__xludf.DUMMYFUNCTION("""COMPUTED_VALUE"""),"Calgary, Edmonton and Banff")</f>
        <v/>
      </c>
      <c r="K6807">
        <f>IFERROR(__xludf.DUMMYFUNCTION("""COMPUTED_VALUE"""),6198.17)</f>
        <v/>
      </c>
    </row>
    <row r="6808">
      <c r="J6808">
        <f>IFERROR(__xludf.DUMMYFUNCTION("""COMPUTED_VALUE"""),"Norfolk, USA")</f>
        <v/>
      </c>
      <c r="K6808">
        <f>IFERROR(__xludf.DUMMYFUNCTION("""COMPUTED_VALUE"""),6197.96)</f>
        <v/>
      </c>
    </row>
    <row r="6809">
      <c r="J6809">
        <f>IFERROR(__xludf.DUMMYFUNCTION("""COMPUTED_VALUE"""),"Winnipeg, Manitoba / Vancouver, British Columbia")</f>
        <v/>
      </c>
      <c r="K6809">
        <f>IFERROR(__xludf.DUMMYFUNCTION("""COMPUTED_VALUE"""),6195.9)</f>
        <v/>
      </c>
    </row>
    <row r="6810">
      <c r="J6810">
        <f>IFERROR(__xludf.DUMMYFUNCTION("""COMPUTED_VALUE"""),"Moncton, New Brunswick, Canada / Halifax, Nova Scotia, Canada")</f>
        <v/>
      </c>
      <c r="K6810">
        <f>IFERROR(__xludf.DUMMYFUNCTION("""COMPUTED_VALUE"""),6194.21)</f>
        <v/>
      </c>
    </row>
    <row r="6811">
      <c r="J6811">
        <f>IFERROR(__xludf.DUMMYFUNCTION("""COMPUTED_VALUE"""),"Calgary, Alberta
Edmonton, Alberta")</f>
        <v/>
      </c>
      <c r="K6811">
        <f>IFERROR(__xludf.DUMMYFUNCTION("""COMPUTED_VALUE"""),6192.8)</f>
        <v/>
      </c>
    </row>
    <row r="6812">
      <c r="J6812">
        <f>IFERROR(__xludf.DUMMYFUNCTION("""COMPUTED_VALUE"""),"Toronto, ON / Hay River and Yellowknife, NT / Chemainus, BC / Calgary, AB")</f>
        <v/>
      </c>
      <c r="K6812">
        <f>IFERROR(__xludf.DUMMYFUNCTION("""COMPUTED_VALUE"""),6190.53)</f>
        <v/>
      </c>
    </row>
    <row r="6813">
      <c r="J6813">
        <f>IFERROR(__xludf.DUMMYFUNCTION("""COMPUTED_VALUE"""),"Alberta, Calgary, Canada")</f>
        <v/>
      </c>
      <c r="K6813">
        <f>IFERROR(__xludf.DUMMYFUNCTION("""COMPUTED_VALUE"""),6187.11)</f>
        <v/>
      </c>
    </row>
    <row r="6814">
      <c r="J6814">
        <f>IFERROR(__xludf.DUMMYFUNCTION("""COMPUTED_VALUE"""),"Berlin, Germany and Paris, France")</f>
        <v/>
      </c>
      <c r="K6814">
        <f>IFERROR(__xludf.DUMMYFUNCTION("""COMPUTED_VALUE"""),6187)</f>
        <v/>
      </c>
    </row>
    <row r="6815">
      <c r="J6815">
        <f>IFERROR(__xludf.DUMMYFUNCTION("""COMPUTED_VALUE"""),"Almaty, Aktau and Astama, Kazakhstan")</f>
        <v/>
      </c>
      <c r="K6815">
        <f>IFERROR(__xludf.DUMMYFUNCTION("""COMPUTED_VALUE"""),6186)</f>
        <v/>
      </c>
    </row>
    <row r="6816">
      <c r="J6816">
        <f>IFERROR(__xludf.DUMMYFUNCTION("""COMPUTED_VALUE"""),"Huntsville and Toronto")</f>
        <v/>
      </c>
      <c r="K6816">
        <f>IFERROR(__xludf.DUMMYFUNCTION("""COMPUTED_VALUE"""),6185.27)</f>
        <v/>
      </c>
    </row>
    <row r="6817">
      <c r="J6817">
        <f>IFERROR(__xludf.DUMMYFUNCTION("""COMPUTED_VALUE"""),"Nanaimo &amp; Tofino &amp; Kelowna, British Columbia")</f>
        <v/>
      </c>
      <c r="K6817">
        <f>IFERROR(__xludf.DUMMYFUNCTION("""COMPUTED_VALUE"""),6183.83)</f>
        <v/>
      </c>
    </row>
    <row r="6818">
      <c r="J6818">
        <f>IFERROR(__xludf.DUMMYFUNCTION("""COMPUTED_VALUE"""),"Kelowna, BC / Victoria, BC")</f>
        <v/>
      </c>
      <c r="K6818">
        <f>IFERROR(__xludf.DUMMYFUNCTION("""COMPUTED_VALUE"""),6181.26)</f>
        <v/>
      </c>
    </row>
    <row r="6819">
      <c r="J6819">
        <f>IFERROR(__xludf.DUMMYFUNCTION("""COMPUTED_VALUE"""),"Toronto, Ontario, Canada; Winnipeg, Manitoba, Canada; Calgary, Alberta, Canada")</f>
        <v/>
      </c>
      <c r="K6819">
        <f>IFERROR(__xludf.DUMMYFUNCTION("""COMPUTED_VALUE"""),6177.17999999999)</f>
        <v/>
      </c>
    </row>
    <row r="6820">
      <c r="J6820">
        <f>IFERROR(__xludf.DUMMYFUNCTION("""COMPUTED_VALUE"""),"Vancouver, British Columbia, Canada - Edmonton, Alberta, Canada")</f>
        <v/>
      </c>
      <c r="K6820">
        <f>IFERROR(__xludf.DUMMYFUNCTION("""COMPUTED_VALUE"""),6176.34)</f>
        <v/>
      </c>
    </row>
    <row r="6821">
      <c r="J6821">
        <f>IFERROR(__xludf.DUMMYFUNCTION("""COMPUTED_VALUE"""),"Johannesburg and Cape Town, South Africa; Dar es Salaam, Tanzania")</f>
        <v/>
      </c>
      <c r="K6821">
        <f>IFERROR(__xludf.DUMMYFUNCTION("""COMPUTED_VALUE"""),6173.61)</f>
        <v/>
      </c>
    </row>
    <row r="6822">
      <c r="J6822">
        <f>IFERROR(__xludf.DUMMYFUNCTION("""COMPUTED_VALUE"""),"Toronto (Ontario) Canada ; Halifax (Nova-Scotia) Canada ; St-John's (Newfoundland and Labrador) Canada ; Vancouver (British-Columbia) Canada")</f>
        <v/>
      </c>
      <c r="K6822">
        <f>IFERROR(__xludf.DUMMYFUNCTION("""COMPUTED_VALUE"""),6172.91)</f>
        <v/>
      </c>
    </row>
    <row r="6823">
      <c r="J6823">
        <f>IFERROR(__xludf.DUMMYFUNCTION("""COMPUTED_VALUE"""),"Borden (Ontario) Canada")</f>
        <v/>
      </c>
      <c r="K6823">
        <f>IFERROR(__xludf.DUMMYFUNCTION("""COMPUTED_VALUE"""),6171.22999999999)</f>
        <v/>
      </c>
    </row>
    <row r="6824">
      <c r="J6824">
        <f>IFERROR(__xludf.DUMMYFUNCTION("""COMPUTED_VALUE"""),"Gatineau Québec")</f>
        <v/>
      </c>
      <c r="K6824">
        <f>IFERROR(__xludf.DUMMYFUNCTION("""COMPUTED_VALUE"""),6168.77)</f>
        <v/>
      </c>
    </row>
    <row r="6825">
      <c r="J6825">
        <f>IFERROR(__xludf.DUMMYFUNCTION("""COMPUTED_VALUE"""),"Calgary, Edmonton, AB")</f>
        <v/>
      </c>
      <c r="K6825">
        <f>IFERROR(__xludf.DUMMYFUNCTION("""COMPUTED_VALUE"""),6168.19)</f>
        <v/>
      </c>
    </row>
    <row r="6826">
      <c r="J6826">
        <f>IFERROR(__xludf.DUMMYFUNCTION("""COMPUTED_VALUE"""),"Washington, DC; Toronto, ON;  Regina SK")</f>
        <v/>
      </c>
      <c r="K6826">
        <f>IFERROR(__xludf.DUMMYFUNCTION("""COMPUTED_VALUE"""),6165.82)</f>
        <v/>
      </c>
    </row>
    <row r="6827">
      <c r="J6827">
        <f>IFERROR(__xludf.DUMMYFUNCTION("""COMPUTED_VALUE"""),"Regina, Kamloops &amp; Vancouver")</f>
        <v/>
      </c>
      <c r="K6827">
        <f>IFERROR(__xludf.DUMMYFUNCTION("""COMPUTED_VALUE"""),6165.06)</f>
        <v/>
      </c>
    </row>
    <row r="6828">
      <c r="J6828">
        <f>IFERROR(__xludf.DUMMYFUNCTION("""COMPUTED_VALUE"""),"Toronto, Ontario, Canada; Banff, Alberta, Canada")</f>
        <v/>
      </c>
      <c r="K6828">
        <f>IFERROR(__xludf.DUMMYFUNCTION("""COMPUTED_VALUE"""),6163.31)</f>
        <v/>
      </c>
    </row>
    <row r="6829">
      <c r="J6829">
        <f>IFERROR(__xludf.DUMMYFUNCTION("""COMPUTED_VALUE"""),"Calgary, AB, Nanaimo, Vancouver, BC")</f>
        <v/>
      </c>
      <c r="K6829">
        <f>IFERROR(__xludf.DUMMYFUNCTION("""COMPUTED_VALUE"""),6161.84)</f>
        <v/>
      </c>
    </row>
    <row r="6830">
      <c r="J6830">
        <f>IFERROR(__xludf.DUMMYFUNCTION("""COMPUTED_VALUE"""),"Ottawa - Québec - Ottawa")</f>
        <v/>
      </c>
      <c r="K6830">
        <f>IFERROR(__xludf.DUMMYFUNCTION("""COMPUTED_VALUE"""),6159.61)</f>
        <v/>
      </c>
    </row>
    <row r="6831">
      <c r="J6831">
        <f>IFERROR(__xludf.DUMMYFUNCTION("""COMPUTED_VALUE"""),"Iqaluit, Rankin Inlet, Baker Lake, Nunavut, Canada")</f>
        <v/>
      </c>
      <c r="K6831">
        <f>IFERROR(__xludf.DUMMYFUNCTION("""COMPUTED_VALUE"""),6159.22)</f>
        <v/>
      </c>
    </row>
    <row r="6832">
      <c r="J6832">
        <f>IFERROR(__xludf.DUMMYFUNCTION("""COMPUTED_VALUE"""),"Namibia, Zambia")</f>
        <v/>
      </c>
      <c r="K6832">
        <f>IFERROR(__xludf.DUMMYFUNCTION("""COMPUTED_VALUE"""),6157.71)</f>
        <v/>
      </c>
    </row>
    <row r="6833">
      <c r="J6833">
        <f>IFERROR(__xludf.DUMMYFUNCTION("""COMPUTED_VALUE"""),"San Antonio, Texas, USA")</f>
        <v/>
      </c>
      <c r="K6833">
        <f>IFERROR(__xludf.DUMMYFUNCTION("""COMPUTED_VALUE"""),6157.71)</f>
        <v/>
      </c>
    </row>
    <row r="6834">
      <c r="J6834">
        <f>IFERROR(__xludf.DUMMYFUNCTION("""COMPUTED_VALUE"""),"Nanaimo and Vancouver, British Columbia")</f>
        <v/>
      </c>
      <c r="K6834">
        <f>IFERROR(__xludf.DUMMYFUNCTION("""COMPUTED_VALUE"""),6157.16)</f>
        <v/>
      </c>
    </row>
    <row r="6835">
      <c r="J6835">
        <f>IFERROR(__xludf.DUMMYFUNCTION("""COMPUTED_VALUE"""),"Honduras and Nicaragua")</f>
        <v/>
      </c>
      <c r="K6835">
        <f>IFERROR(__xludf.DUMMYFUNCTION("""COMPUTED_VALUE"""),6156.85)</f>
        <v/>
      </c>
    </row>
    <row r="6836">
      <c r="J6836">
        <f>IFERROR(__xludf.DUMMYFUNCTION("""COMPUTED_VALUE"""),"New York City, United States of America")</f>
        <v/>
      </c>
      <c r="K6836">
        <f>IFERROR(__xludf.DUMMYFUNCTION("""COMPUTED_VALUE"""),6156.39)</f>
        <v/>
      </c>
    </row>
    <row r="6837">
      <c r="J6837">
        <f>IFERROR(__xludf.DUMMYFUNCTION("""COMPUTED_VALUE"""),"Whitehorse, Yukon Territory")</f>
        <v/>
      </c>
      <c r="K6837">
        <f>IFERROR(__xludf.DUMMYFUNCTION("""COMPUTED_VALUE"""),6153.53)</f>
        <v/>
      </c>
    </row>
    <row r="6838">
      <c r="J6838">
        <f>IFERROR(__xludf.DUMMYFUNCTION("""COMPUTED_VALUE"""),"London and Oxford")</f>
        <v/>
      </c>
      <c r="K6838">
        <f>IFERROR(__xludf.DUMMYFUNCTION("""COMPUTED_VALUE"""),6150.42)</f>
        <v/>
      </c>
    </row>
    <row r="6839">
      <c r="J6839">
        <f>IFERROR(__xludf.DUMMYFUNCTION("""COMPUTED_VALUE"""),"Geneva (Switzerland) and Ankara (Turkey)")</f>
        <v/>
      </c>
      <c r="K6839">
        <f>IFERROR(__xludf.DUMMYFUNCTION("""COMPUTED_VALUE"""),6149.68)</f>
        <v/>
      </c>
    </row>
    <row r="6840">
      <c r="J6840">
        <f>IFERROR(__xludf.DUMMYFUNCTION("""COMPUTED_VALUE"""),"British Columbia, various locations")</f>
        <v/>
      </c>
      <c r="K6840">
        <f>IFERROR(__xludf.DUMMYFUNCTION("""COMPUTED_VALUE"""),6148.28)</f>
        <v/>
      </c>
    </row>
    <row r="6841">
      <c r="J6841">
        <f>IFERROR(__xludf.DUMMYFUNCTION("""COMPUTED_VALUE"""),"Vancouver, British Columbia, Canada
Saskatoon, Saskatchewan, Canada
Regina, Saskatchewan, Canada
Winnipeg, Manitoba, Canada")</f>
        <v/>
      </c>
      <c r="K6841">
        <f>IFERROR(__xludf.DUMMYFUNCTION("""COMPUTED_VALUE"""),6147.92)</f>
        <v/>
      </c>
    </row>
    <row r="6842">
      <c r="J6842">
        <f>IFERROR(__xludf.DUMMYFUNCTION("""COMPUTED_VALUE"""),"Bonn, Germany &amp; Vilnius")</f>
        <v/>
      </c>
      <c r="K6842">
        <f>IFERROR(__xludf.DUMMYFUNCTION("""COMPUTED_VALUE"""),6147.91)</f>
        <v/>
      </c>
    </row>
    <row r="6843">
      <c r="J6843">
        <f>IFERROR(__xludf.DUMMYFUNCTION("""COMPUTED_VALUE"""),"Vancouver, British Columbian, Canada")</f>
        <v/>
      </c>
      <c r="K6843">
        <f>IFERROR(__xludf.DUMMYFUNCTION("""COMPUTED_VALUE"""),6146.01)</f>
        <v/>
      </c>
    </row>
    <row r="6844">
      <c r="J6844">
        <f>IFERROR(__xludf.DUMMYFUNCTION("""COMPUTED_VALUE"""),"Washington, DC, United States / Toronto, Ontario, Canada")</f>
        <v/>
      </c>
      <c r="K6844">
        <f>IFERROR(__xludf.DUMMYFUNCTION("""COMPUTED_VALUE"""),6145.4)</f>
        <v/>
      </c>
    </row>
    <row r="6845">
      <c r="J6845">
        <f>IFERROR(__xludf.DUMMYFUNCTION("""COMPUTED_VALUE"""),"Edmonton -Calgary, Alberta")</f>
        <v/>
      </c>
      <c r="K6845">
        <f>IFERROR(__xludf.DUMMYFUNCTION("""COMPUTED_VALUE"""),6143.97)</f>
        <v/>
      </c>
    </row>
    <row r="6846">
      <c r="J6846">
        <f>IFERROR(__xludf.DUMMYFUNCTION("""COMPUTED_VALUE"""),"Vancouver -Victoria, British Columbia")</f>
        <v/>
      </c>
      <c r="K6846">
        <f>IFERROR(__xludf.DUMMYFUNCTION("""COMPUTED_VALUE"""),6143.96)</f>
        <v/>
      </c>
    </row>
    <row r="6847">
      <c r="J6847">
        <f>IFERROR(__xludf.DUMMYFUNCTION("""COMPUTED_VALUE"""),"Windsor and Toronto, Ontario, Canada")</f>
        <v/>
      </c>
      <c r="K6847">
        <f>IFERROR(__xludf.DUMMYFUNCTION("""COMPUTED_VALUE"""),6143.73)</f>
        <v/>
      </c>
    </row>
    <row r="6848">
      <c r="J6848">
        <f>IFERROR(__xludf.DUMMYFUNCTION("""COMPUTED_VALUE"""),"NunatuKavut, Labrador, Canada")</f>
        <v/>
      </c>
      <c r="K6848">
        <f>IFERROR(__xludf.DUMMYFUNCTION("""COMPUTED_VALUE"""),6143.05999999999)</f>
        <v/>
      </c>
    </row>
    <row r="6849">
      <c r="J6849">
        <f>IFERROR(__xludf.DUMMYFUNCTION("""COMPUTED_VALUE"""),"Banff, Calgary, Alberta, Canada")</f>
        <v/>
      </c>
      <c r="K6849">
        <f>IFERROR(__xludf.DUMMYFUNCTION("""COMPUTED_VALUE"""),6139.54)</f>
        <v/>
      </c>
    </row>
    <row r="6850">
      <c r="J6850">
        <f>IFERROR(__xludf.DUMMYFUNCTION("""COMPUTED_VALUE"""),"Denver, Boulder, and Golden Colorado")</f>
        <v/>
      </c>
      <c r="K6850">
        <f>IFERROR(__xludf.DUMMYFUNCTION("""COMPUTED_VALUE"""),6139.33)</f>
        <v/>
      </c>
    </row>
    <row r="6851">
      <c r="J6851">
        <f>IFERROR(__xludf.DUMMYFUNCTION("""COMPUTED_VALUE"""),"Montréal, Inukjuak, Kuujjuaq, Quebec, Canada")</f>
        <v/>
      </c>
      <c r="K6851">
        <f>IFERROR(__xludf.DUMMYFUNCTION("""COMPUTED_VALUE"""),6139.28)</f>
        <v/>
      </c>
    </row>
    <row r="6852">
      <c r="J6852">
        <f>IFERROR(__xludf.DUMMYFUNCTION("""COMPUTED_VALUE"""),"Edmonton, Calgary, Alberta (Canada) Saskatoon, Saskatchewan (Canada)")</f>
        <v/>
      </c>
      <c r="K6852">
        <f>IFERROR(__xludf.DUMMYFUNCTION("""COMPUTED_VALUE"""),6138.93)</f>
        <v/>
      </c>
    </row>
    <row r="6853">
      <c r="J6853">
        <f>IFERROR(__xludf.DUMMYFUNCTION("""COMPUTED_VALUE"""),"Gaspé, Quebec; Percé, Quebec; Montreal, Quebec, Canada")</f>
        <v/>
      </c>
      <c r="K6853">
        <f>IFERROR(__xludf.DUMMYFUNCTION("""COMPUTED_VALUE"""),6137.7)</f>
        <v/>
      </c>
    </row>
    <row r="6854">
      <c r="J6854">
        <f>IFERROR(__xludf.DUMMYFUNCTION("""COMPUTED_VALUE"""),"Montreal, Quebec, Canada / Toronto, Ontario, Canada / San Francisco, California, United States")</f>
        <v/>
      </c>
      <c r="K6854">
        <f>IFERROR(__xludf.DUMMYFUNCTION("""COMPUTED_VALUE"""),6135.66)</f>
        <v/>
      </c>
    </row>
    <row r="6855">
      <c r="J6855">
        <f>IFERROR(__xludf.DUMMYFUNCTION("""COMPUTED_VALUE"""),"Vancouver, Ontario, Canada")</f>
        <v/>
      </c>
      <c r="K6855">
        <f>IFERROR(__xludf.DUMMYFUNCTION("""COMPUTED_VALUE"""),6135.12)</f>
        <v/>
      </c>
    </row>
    <row r="6856">
      <c r="J6856">
        <f>IFERROR(__xludf.DUMMYFUNCTION("""COMPUTED_VALUE"""),"London, United Kingdom; Frankfurt, Germnay")</f>
        <v/>
      </c>
      <c r="K6856">
        <f>IFERROR(__xludf.DUMMYFUNCTION("""COMPUTED_VALUE"""),6135.05)</f>
        <v/>
      </c>
    </row>
    <row r="6857">
      <c r="J6857">
        <f>IFERROR(__xludf.DUMMYFUNCTION("""COMPUTED_VALUE"""),"New York City, NY, USA")</f>
        <v/>
      </c>
      <c r="K6857">
        <f>IFERROR(__xludf.DUMMYFUNCTION("""COMPUTED_VALUE"""),6134.74)</f>
        <v/>
      </c>
    </row>
    <row r="6858">
      <c r="J6858">
        <f>IFERROR(__xludf.DUMMYFUNCTION("""COMPUTED_VALUE"""),"OTTAWA, ON - CHARLOTTETOWN, PE - HAMILTON, ON")</f>
        <v/>
      </c>
      <c r="K6858">
        <f>IFERROR(__xludf.DUMMYFUNCTION("""COMPUTED_VALUE"""),6134.6)</f>
        <v/>
      </c>
    </row>
    <row r="6859">
      <c r="J6859">
        <f>IFERROR(__xludf.DUMMYFUNCTION("""COMPUTED_VALUE"""),"Mono, Hampton, Peterborough, Kingston, Ottawa, Toronto, Ontario, Canada; Gatineau,Quebec, Canada")</f>
        <v/>
      </c>
      <c r="K6859">
        <f>IFERROR(__xludf.DUMMYFUNCTION("""COMPUTED_VALUE"""),6132.85)</f>
        <v/>
      </c>
    </row>
    <row r="6860">
      <c r="J6860">
        <f>IFERROR(__xludf.DUMMYFUNCTION("""COMPUTED_VALUE"""),"Prince Albert, Saskatchewan, Canada")</f>
        <v/>
      </c>
      <c r="K6860">
        <f>IFERROR(__xludf.DUMMYFUNCTION("""COMPUTED_VALUE"""),6132.45999999999)</f>
        <v/>
      </c>
    </row>
    <row r="6861">
      <c r="J6861">
        <f>IFERROR(__xludf.DUMMYFUNCTION("""COMPUTED_VALUE"""),"Vancouver, BC; New Westminster, BC; and Cranbrook, BC")</f>
        <v/>
      </c>
      <c r="K6861">
        <f>IFERROR(__xludf.DUMMYFUNCTION("""COMPUTED_VALUE"""),6131.35)</f>
        <v/>
      </c>
    </row>
    <row r="6862">
      <c r="J6862">
        <f>IFERROR(__xludf.DUMMYFUNCTION("""COMPUTED_VALUE"""),"Rome and Tripoli")</f>
        <v/>
      </c>
      <c r="K6862">
        <f>IFERROR(__xludf.DUMMYFUNCTION("""COMPUTED_VALUE"""),6129.56)</f>
        <v/>
      </c>
    </row>
    <row r="6863">
      <c r="J6863">
        <f>IFERROR(__xludf.DUMMYFUNCTION("""COMPUTED_VALUE"""),"Victoria, British Columbia, Canada; Saint John's, Newfoundland and Labrador, Canada; Halifax, Nova Scotia, Canada")</f>
        <v/>
      </c>
      <c r="K6863">
        <f>IFERROR(__xludf.DUMMYFUNCTION("""COMPUTED_VALUE"""),6129.43)</f>
        <v/>
      </c>
    </row>
    <row r="6864">
      <c r="J6864">
        <f>IFERROR(__xludf.DUMMYFUNCTION("""COMPUTED_VALUE"""),"Beijing, Chine  Seoul, Korea")</f>
        <v/>
      </c>
      <c r="K6864">
        <f>IFERROR(__xludf.DUMMYFUNCTION("""COMPUTED_VALUE"""),6128)</f>
        <v/>
      </c>
    </row>
    <row r="6865">
      <c r="J6865">
        <f>IFERROR(__xludf.DUMMYFUNCTION("""COMPUTED_VALUE"""),"Vaduz, Liechtenstein")</f>
        <v/>
      </c>
      <c r="K6865">
        <f>IFERROR(__xludf.DUMMYFUNCTION("""COMPUTED_VALUE"""),6127.66)</f>
        <v/>
      </c>
    </row>
    <row r="6866">
      <c r="J6866">
        <f>IFERROR(__xludf.DUMMYFUNCTION("""COMPUTED_VALUE"""),"WASHINGTON, DC, US")</f>
        <v/>
      </c>
      <c r="K6866">
        <f>IFERROR(__xludf.DUMMYFUNCTION("""COMPUTED_VALUE"""),6125.96)</f>
        <v/>
      </c>
    </row>
    <row r="6867">
      <c r="J6867">
        <f>IFERROR(__xludf.DUMMYFUNCTION("""COMPUTED_VALUE"""),"Madrid, Spain.")</f>
        <v/>
      </c>
      <c r="K6867">
        <f>IFERROR(__xludf.DUMMYFUNCTION("""COMPUTED_VALUE"""),6125.8)</f>
        <v/>
      </c>
    </row>
    <row r="6868">
      <c r="J6868">
        <f>IFERROR(__xludf.DUMMYFUNCTION("""COMPUTED_VALUE"""),"Vaughan, Ontario")</f>
        <v/>
      </c>
      <c r="K6868">
        <f>IFERROR(__xludf.DUMMYFUNCTION("""COMPUTED_VALUE"""),6125.62)</f>
        <v/>
      </c>
    </row>
    <row r="6869">
      <c r="J6869">
        <f>IFERROR(__xludf.DUMMYFUNCTION("""COMPUTED_VALUE"""),"Vancouver, British Columbia / Regina, Saskatchewan / Gatineau, Quebec")</f>
        <v/>
      </c>
      <c r="K6869">
        <f>IFERROR(__xludf.DUMMYFUNCTION("""COMPUTED_VALUE"""),6125.45)</f>
        <v/>
      </c>
    </row>
    <row r="6870">
      <c r="J6870">
        <f>IFERROR(__xludf.DUMMYFUNCTION("""COMPUTED_VALUE"""),"Evora, Portugal")</f>
        <v/>
      </c>
      <c r="K6870">
        <f>IFERROR(__xludf.DUMMYFUNCTION("""COMPUTED_VALUE"""),6124.83)</f>
        <v/>
      </c>
    </row>
    <row r="6871">
      <c r="J6871">
        <f>IFERROR(__xludf.DUMMYFUNCTION("""COMPUTED_VALUE"""),"Toronto, Ontario, Canada; Waterloo, Ontario, Canada")</f>
        <v/>
      </c>
      <c r="K6871">
        <f>IFERROR(__xludf.DUMMYFUNCTION("""COMPUTED_VALUE"""),6124.77)</f>
        <v/>
      </c>
    </row>
    <row r="6872">
      <c r="J6872">
        <f>IFERROR(__xludf.DUMMYFUNCTION("""COMPUTED_VALUE"""),"Amman and Israel")</f>
        <v/>
      </c>
      <c r="K6872">
        <f>IFERROR(__xludf.DUMMYFUNCTION("""COMPUTED_VALUE"""),6123.88)</f>
        <v/>
      </c>
    </row>
    <row r="6873">
      <c r="J6873">
        <f>IFERROR(__xludf.DUMMYFUNCTION("""COMPUTED_VALUE"""),"Toronto, ON  Calgary, AB")</f>
        <v/>
      </c>
      <c r="K6873">
        <f>IFERROR(__xludf.DUMMYFUNCTION("""COMPUTED_VALUE"""),6121.36)</f>
        <v/>
      </c>
    </row>
    <row r="6874">
      <c r="J6874">
        <f>IFERROR(__xludf.DUMMYFUNCTION("""COMPUTED_VALUE"""),"Kosovo, Pristina")</f>
        <v/>
      </c>
      <c r="K6874">
        <f>IFERROR(__xludf.DUMMYFUNCTION("""COMPUTED_VALUE"""),6120.82)</f>
        <v/>
      </c>
    </row>
    <row r="6875">
      <c r="J6875">
        <f>IFERROR(__xludf.DUMMYFUNCTION("""COMPUTED_VALUE"""),"Mexico City, Mexico
San Antonio, Texas")</f>
        <v/>
      </c>
      <c r="K6875">
        <f>IFERROR(__xludf.DUMMYFUNCTION("""COMPUTED_VALUE"""),6120.7)</f>
        <v/>
      </c>
    </row>
    <row r="6876">
      <c r="J6876">
        <f>IFERROR(__xludf.DUMMYFUNCTION("""COMPUTED_VALUE"""),"Caraquet, Bathurst, (New Brunswick)")</f>
        <v/>
      </c>
      <c r="K6876">
        <f>IFERROR(__xludf.DUMMYFUNCTION("""COMPUTED_VALUE"""),6120.38999999999)</f>
        <v/>
      </c>
    </row>
    <row r="6877">
      <c r="J6877">
        <f>IFERROR(__xludf.DUMMYFUNCTION("""COMPUTED_VALUE"""),"Paris (FR)")</f>
        <v/>
      </c>
      <c r="K6877">
        <f>IFERROR(__xludf.DUMMYFUNCTION("""COMPUTED_VALUE"""),6118.82)</f>
        <v/>
      </c>
    </row>
    <row r="6878">
      <c r="J6878">
        <f>IFERROR(__xludf.DUMMYFUNCTION("""COMPUTED_VALUE"""),"Montreal, Québec, Canada; Vancouver, British Columbia, Canada; Toronto, Ontario, Canada")</f>
        <v/>
      </c>
      <c r="K6878">
        <f>IFERROR(__xludf.DUMMYFUNCTION("""COMPUTED_VALUE"""),6116.47)</f>
        <v/>
      </c>
    </row>
    <row r="6879">
      <c r="J6879">
        <f>IFERROR(__xludf.DUMMYFUNCTION("""COMPUTED_VALUE"""),"Vancouver, British Columbia, Canada; Calgary, Alberta, Canada; Edmonton, Alberta, Canada")</f>
        <v/>
      </c>
      <c r="K6879">
        <f>IFERROR(__xludf.DUMMYFUNCTION("""COMPUTED_VALUE"""),6115.75)</f>
        <v/>
      </c>
    </row>
    <row r="6880">
      <c r="J6880">
        <f>IFERROR(__xludf.DUMMYFUNCTION("""COMPUTED_VALUE"""),"Edmonton, AB, San Franciso, CA, Saskatoon, SK")</f>
        <v/>
      </c>
      <c r="K6880">
        <f>IFERROR(__xludf.DUMMYFUNCTION("""COMPUTED_VALUE"""),6112.79)</f>
        <v/>
      </c>
    </row>
    <row r="6881">
      <c r="J6881">
        <f>IFERROR(__xludf.DUMMYFUNCTION("""COMPUTED_VALUE"""),"Markham, Victoria, Vancouver")</f>
        <v/>
      </c>
      <c r="K6881">
        <f>IFERROR(__xludf.DUMMYFUNCTION("""COMPUTED_VALUE"""),6107.6)</f>
        <v/>
      </c>
    </row>
    <row r="6882">
      <c r="J6882">
        <f>IFERROR(__xludf.DUMMYFUNCTION("""COMPUTED_VALUE"""),"Lansing, United States and Sydney, Nova Scotia")</f>
        <v/>
      </c>
      <c r="K6882">
        <f>IFERROR(__xludf.DUMMYFUNCTION("""COMPUTED_VALUE"""),6105.05999999999)</f>
        <v/>
      </c>
    </row>
    <row r="6883">
      <c r="J6883">
        <f>IFERROR(__xludf.DUMMYFUNCTION("""COMPUTED_VALUE"""),"Vancouver, Bristish Columbia &amp; Halifax, Nova Scotia")</f>
        <v/>
      </c>
      <c r="K6883">
        <f>IFERROR(__xludf.DUMMYFUNCTION("""COMPUTED_VALUE"""),6103.26)</f>
        <v/>
      </c>
    </row>
    <row r="6884">
      <c r="J6884">
        <f>IFERROR(__xludf.DUMMYFUNCTION("""COMPUTED_VALUE"""),"Montreal and Ottawa, Canada")</f>
        <v/>
      </c>
      <c r="K6884">
        <f>IFERROR(__xludf.DUMMYFUNCTION("""COMPUTED_VALUE"""),6103.23)</f>
        <v/>
      </c>
    </row>
    <row r="6885">
      <c r="J6885">
        <f>IFERROR(__xludf.DUMMYFUNCTION("""COMPUTED_VALUE"""),"Winnipeg, Manitoba, Canada; Vancouver, British Columbia, Canada; Toronto, Ontario, Canada; London, Ontario, Canada")</f>
        <v/>
      </c>
      <c r="K6885">
        <f>IFERROR(__xludf.DUMMYFUNCTION("""COMPUTED_VALUE"""),6103.18)</f>
        <v/>
      </c>
    </row>
    <row r="6886">
      <c r="J6886">
        <f>IFERROR(__xludf.DUMMYFUNCTION("""COMPUTED_VALUE"""),"Calgary, AB; Banff, AB")</f>
        <v/>
      </c>
      <c r="K6886">
        <f>IFERROR(__xludf.DUMMYFUNCTION("""COMPUTED_VALUE"""),6098.56)</f>
        <v/>
      </c>
    </row>
    <row r="6887">
      <c r="J6887">
        <f>IFERROR(__xludf.DUMMYFUNCTION("""COMPUTED_VALUE"""),"Halifax, Nova Scotia, Canada; London, United Kingdom; Frankfurt, Germnay")</f>
        <v/>
      </c>
      <c r="K6887">
        <f>IFERROR(__xludf.DUMMYFUNCTION("""COMPUTED_VALUE"""),6097.44)</f>
        <v/>
      </c>
    </row>
    <row r="6888">
      <c r="J6888">
        <f>IFERROR(__xludf.DUMMYFUNCTION("""COMPUTED_VALUE"""),"Calgary, Alberta, Canada; Edmonton, Alberta, Canada")</f>
        <v/>
      </c>
      <c r="K6888">
        <f>IFERROR(__xludf.DUMMYFUNCTION("""COMPUTED_VALUE"""),6096.85)</f>
        <v/>
      </c>
    </row>
    <row r="6889">
      <c r="J6889">
        <f>IFERROR(__xludf.DUMMYFUNCTION("""COMPUTED_VALUE"""),"Edmonton and Calgary, Canada")</f>
        <v/>
      </c>
      <c r="K6889">
        <f>IFERROR(__xludf.DUMMYFUNCTION("""COMPUTED_VALUE"""),6095.6)</f>
        <v/>
      </c>
    </row>
    <row r="6890">
      <c r="J6890">
        <f>IFERROR(__xludf.DUMMYFUNCTION("""COMPUTED_VALUE"""),"London, England, United Kingdom; St-Andrews, Scotland, United Kingdom; Edinburgh, Scotland, United Kingdom; Wilmslow, England, United Knigdom")</f>
        <v/>
      </c>
      <c r="K6890">
        <f>IFERROR(__xludf.DUMMYFUNCTION("""COMPUTED_VALUE"""),6095.4)</f>
        <v/>
      </c>
    </row>
    <row r="6891">
      <c r="J6891">
        <f>IFERROR(__xludf.DUMMYFUNCTION("""COMPUTED_VALUE"""),"New York (USA)")</f>
        <v/>
      </c>
      <c r="K6891">
        <f>IFERROR(__xludf.DUMMYFUNCTION("""COMPUTED_VALUE"""),6094.94)</f>
        <v/>
      </c>
    </row>
    <row r="6892">
      <c r="J6892">
        <f>IFERROR(__xludf.DUMMYFUNCTION("""COMPUTED_VALUE"""),"Vancouver, British Columbia, Canada - Prince George, British Columbia, Canada")</f>
        <v/>
      </c>
      <c r="K6892">
        <f>IFERROR(__xludf.DUMMYFUNCTION("""COMPUTED_VALUE"""),6094.03)</f>
        <v/>
      </c>
    </row>
    <row r="6893">
      <c r="J6893">
        <f>IFERROR(__xludf.DUMMYFUNCTION("""COMPUTED_VALUE"""),"Savannah, USA")</f>
        <v/>
      </c>
      <c r="K6893">
        <f>IFERROR(__xludf.DUMMYFUNCTION("""COMPUTED_VALUE"""),6091.37)</f>
        <v/>
      </c>
    </row>
    <row r="6894">
      <c r="J6894">
        <f>IFERROR(__xludf.DUMMYFUNCTION("""COMPUTED_VALUE"""),"Edmonton, Alberta, Canada/ Saskatoon, Saskatchewan, Canada/ Vancouver, British Columbia, Canada")</f>
        <v/>
      </c>
      <c r="K6894">
        <f>IFERROR(__xludf.DUMMYFUNCTION("""COMPUTED_VALUE"""),6090.1)</f>
        <v/>
      </c>
    </row>
    <row r="6895">
      <c r="J6895">
        <f>IFERROR(__xludf.DUMMYFUNCTION("""COMPUTED_VALUE"""),"Regina, Saskatchewan, Canada; Calgary, Alberta, Canada; Edmonton, Alberta, Canada")</f>
        <v/>
      </c>
      <c r="K6895">
        <f>IFERROR(__xludf.DUMMYFUNCTION("""COMPUTED_VALUE"""),6088.62)</f>
        <v/>
      </c>
    </row>
    <row r="6896">
      <c r="J6896">
        <f>IFERROR(__xludf.DUMMYFUNCTION("""COMPUTED_VALUE"""),"Ottawa &amp; Québec")</f>
        <v/>
      </c>
      <c r="K6896">
        <f>IFERROR(__xludf.DUMMYFUNCTION("""COMPUTED_VALUE"""),6085.87)</f>
        <v/>
      </c>
    </row>
    <row r="6897">
      <c r="J6897">
        <f>IFERROR(__xludf.DUMMYFUNCTION("""COMPUTED_VALUE"""),"Vancouver, BC. Calgary, AB")</f>
        <v/>
      </c>
      <c r="K6897">
        <f>IFERROR(__xludf.DUMMYFUNCTION("""COMPUTED_VALUE"""),6084.5)</f>
        <v/>
      </c>
    </row>
    <row r="6898">
      <c r="J6898">
        <f>IFERROR(__xludf.DUMMYFUNCTION("""COMPUTED_VALUE"""),"Toronto, ON;London,UK; Paris, France")</f>
        <v/>
      </c>
      <c r="K6898">
        <f>IFERROR(__xludf.DUMMYFUNCTION("""COMPUTED_VALUE"""),6083.38)</f>
        <v/>
      </c>
    </row>
    <row r="6899">
      <c r="J6899">
        <f>IFERROR(__xludf.DUMMYFUNCTION("""COMPUTED_VALUE"""),"HALIFAX / GAGETOWN, NS")</f>
        <v/>
      </c>
      <c r="K6899">
        <f>IFERROR(__xludf.DUMMYFUNCTION("""COMPUTED_VALUE"""),6082.99)</f>
        <v/>
      </c>
    </row>
    <row r="6900">
      <c r="J6900">
        <f>IFERROR(__xludf.DUMMYFUNCTION("""COMPUTED_VALUE"""),"Ottawa, ON - Calgary, AB")</f>
        <v/>
      </c>
      <c r="K6900">
        <f>IFERROR(__xludf.DUMMYFUNCTION("""COMPUTED_VALUE"""),6082.14)</f>
        <v/>
      </c>
    </row>
    <row r="6901">
      <c r="J6901">
        <f>IFERROR(__xludf.DUMMYFUNCTION("""COMPUTED_VALUE"""),"Warsaw")</f>
        <v/>
      </c>
      <c r="K6901">
        <f>IFERROR(__xludf.DUMMYFUNCTION("""COMPUTED_VALUE"""),6081.76)</f>
        <v/>
      </c>
    </row>
    <row r="6902">
      <c r="J6902">
        <f>IFERROR(__xludf.DUMMYFUNCTION("""COMPUTED_VALUE"""),"Brussels, (Belgium) and Paris, (France)")</f>
        <v/>
      </c>
      <c r="K6902">
        <f>IFERROR(__xludf.DUMMYFUNCTION("""COMPUTED_VALUE"""),6081.67)</f>
        <v/>
      </c>
    </row>
    <row r="6903">
      <c r="J6903">
        <f>IFERROR(__xludf.DUMMYFUNCTION("""COMPUTED_VALUE"""),"Washington, DC / New York,  United States")</f>
        <v/>
      </c>
      <c r="K6903">
        <f>IFERROR(__xludf.DUMMYFUNCTION("""COMPUTED_VALUE"""),6081.27)</f>
        <v/>
      </c>
    </row>
    <row r="6904">
      <c r="J6904">
        <f>IFERROR(__xludf.DUMMYFUNCTION("""COMPUTED_VALUE"""),"Vancouver, BC
Halifax, NS")</f>
        <v/>
      </c>
      <c r="K6904">
        <f>IFERROR(__xludf.DUMMYFUNCTION("""COMPUTED_VALUE"""),6080.13)</f>
        <v/>
      </c>
    </row>
    <row r="6905">
      <c r="J6905">
        <f>IFERROR(__xludf.DUMMYFUNCTION("""COMPUTED_VALUE"""),"Vancouver &amp; Whistler, British-Columbia")</f>
        <v/>
      </c>
      <c r="K6905">
        <f>IFERROR(__xludf.DUMMYFUNCTION("""COMPUTED_VALUE"""),6079.12)</f>
        <v/>
      </c>
    </row>
    <row r="6906">
      <c r="J6906">
        <f>IFERROR(__xludf.DUMMYFUNCTION("""COMPUTED_VALUE"""),"Borden/Petawawa/Winnipeg")</f>
        <v/>
      </c>
      <c r="K6906">
        <f>IFERROR(__xludf.DUMMYFUNCTION("""COMPUTED_VALUE"""),6078.76)</f>
        <v/>
      </c>
    </row>
    <row r="6907">
      <c r="J6907">
        <f>IFERROR(__xludf.DUMMYFUNCTION("""COMPUTED_VALUE"""),"St John's, Newfoundland and Labrador, Canada/ Charlottetown, Prince Edward Island, Canada/ Miramichi, New Brunswick, Canada")</f>
        <v/>
      </c>
      <c r="K6907">
        <f>IFERROR(__xludf.DUMMYFUNCTION("""COMPUTED_VALUE"""),6077.98)</f>
        <v/>
      </c>
    </row>
    <row r="6908">
      <c r="J6908">
        <f>IFERROR(__xludf.DUMMYFUNCTION("""COMPUTED_VALUE"""),"Baie-Comeau, Quebec, Canada; Dolbeau-Mistassini, Quebec, Canada")</f>
        <v/>
      </c>
      <c r="K6908">
        <f>IFERROR(__xludf.DUMMYFUNCTION("""COMPUTED_VALUE"""),6077.93)</f>
        <v/>
      </c>
    </row>
    <row r="6909">
      <c r="J6909">
        <f>IFERROR(__xludf.DUMMYFUNCTION("""COMPUTED_VALUE"""),"Wolfville (Nova Scotia) Canada; Halifax (Nova Scotia) Canada; Port Hood (Nova Scotia) Canada")</f>
        <v/>
      </c>
      <c r="K6909">
        <f>IFERROR(__xludf.DUMMYFUNCTION("""COMPUTED_VALUE"""),6075.41)</f>
        <v/>
      </c>
    </row>
    <row r="6910">
      <c r="J6910">
        <f>IFERROR(__xludf.DUMMYFUNCTION("""COMPUTED_VALUE"""),"Toronto, ON, Whistler, BC")</f>
        <v/>
      </c>
      <c r="K6910">
        <f>IFERROR(__xludf.DUMMYFUNCTION("""COMPUTED_VALUE"""),6074.93)</f>
        <v/>
      </c>
    </row>
    <row r="6911">
      <c r="J6911">
        <f>IFERROR(__xludf.DUMMYFUNCTION("""COMPUTED_VALUE"""),"Nicaragua, Ecuador, Colombia and Chile")</f>
        <v/>
      </c>
      <c r="K6911">
        <f>IFERROR(__xludf.DUMMYFUNCTION("""COMPUTED_VALUE"""),6072.5)</f>
        <v/>
      </c>
    </row>
    <row r="6912">
      <c r="J6912">
        <f>IFERROR(__xludf.DUMMYFUNCTION("""COMPUTED_VALUE"""),"St John's, NFLD")</f>
        <v/>
      </c>
      <c r="K6912">
        <f>IFERROR(__xludf.DUMMYFUNCTION("""COMPUTED_VALUE"""),6070.91)</f>
        <v/>
      </c>
    </row>
    <row r="6913">
      <c r="J6913">
        <f>IFERROR(__xludf.DUMMYFUNCTION("""COMPUTED_VALUE"""),"Victoria, British Columbia, Canada; Laval, Quebec, Canada")</f>
        <v/>
      </c>
      <c r="K6913">
        <f>IFERROR(__xludf.DUMMYFUNCTION("""COMPUTED_VALUE"""),6069.36)</f>
        <v/>
      </c>
    </row>
    <row r="6914">
      <c r="J6914">
        <f>IFERROR(__xludf.DUMMYFUNCTION("""COMPUTED_VALUE"""),"Halifax, Nova Scotia, Canada; Moncton, New Brunswick, Canada; St. John's, Newfoundland and Labrador, Canada")</f>
        <v/>
      </c>
      <c r="K6914">
        <f>IFERROR(__xludf.DUMMYFUNCTION("""COMPUTED_VALUE"""),6068.41)</f>
        <v/>
      </c>
    </row>
    <row r="6915">
      <c r="J6915">
        <f>IFERROR(__xludf.DUMMYFUNCTION("""COMPUTED_VALUE"""),"Oslo and Bergen, Norway")</f>
        <v/>
      </c>
      <c r="K6915">
        <f>IFERROR(__xludf.DUMMYFUNCTION("""COMPUTED_VALUE"""),6067.92)</f>
        <v/>
      </c>
    </row>
    <row r="6916">
      <c r="J6916">
        <f>IFERROR(__xludf.DUMMYFUNCTION("""COMPUTED_VALUE"""),"Prince Rupert and Vancouver, British Columbia")</f>
        <v/>
      </c>
      <c r="K6916">
        <f>IFERROR(__xludf.DUMMYFUNCTION("""COMPUTED_VALUE"""),6067.38999999999)</f>
        <v/>
      </c>
    </row>
    <row r="6917">
      <c r="J6917">
        <f>IFERROR(__xludf.DUMMYFUNCTION("""COMPUTED_VALUE"""),"Vancouver, British Columbia, Canada and Surrey, British Columbia, Canada and Burnaby, British Columbia, Canada")</f>
        <v/>
      </c>
      <c r="K6917">
        <f>IFERROR(__xludf.DUMMYFUNCTION("""COMPUTED_VALUE"""),6066.38)</f>
        <v/>
      </c>
    </row>
    <row r="6918">
      <c r="J6918">
        <f>IFERROR(__xludf.DUMMYFUNCTION("""COMPUTED_VALUE"""),"Rome and Libya")</f>
        <v/>
      </c>
      <c r="K6918">
        <f>IFERROR(__xludf.DUMMYFUNCTION("""COMPUTED_VALUE"""),6063.55)</f>
        <v/>
      </c>
    </row>
    <row r="6919">
      <c r="J6919">
        <f>IFERROR(__xludf.DUMMYFUNCTION("""COMPUTED_VALUE"""),"San Juan, Puerto Rico; Tampa, Florida")</f>
        <v/>
      </c>
      <c r="K6919">
        <f>IFERROR(__xludf.DUMMYFUNCTION("""COMPUTED_VALUE"""),6063.27)</f>
        <v/>
      </c>
    </row>
    <row r="6920">
      <c r="J6920">
        <f>IFERROR(__xludf.DUMMYFUNCTION("""COMPUTED_VALUE"""),"Victoria, Vancouver, Kelowna")</f>
        <v/>
      </c>
      <c r="K6920">
        <f>IFERROR(__xludf.DUMMYFUNCTION("""COMPUTED_VALUE"""),6063.26)</f>
        <v/>
      </c>
    </row>
    <row r="6921">
      <c r="J6921">
        <f>IFERROR(__xludf.DUMMYFUNCTION("""COMPUTED_VALUE"""),"Ottawa, Ontario; Edmonton, Alberta")</f>
        <v/>
      </c>
      <c r="K6921">
        <f>IFERROR(__xludf.DUMMYFUNCTION("""COMPUTED_VALUE"""),6062.68)</f>
        <v/>
      </c>
    </row>
    <row r="6922">
      <c r="J6922">
        <f>IFERROR(__xludf.DUMMYFUNCTION("""COMPUTED_VALUE"""),"Beijing and Calgary")</f>
        <v/>
      </c>
      <c r="K6922">
        <f>IFERROR(__xludf.DUMMYFUNCTION("""COMPUTED_VALUE"""),6062.16)</f>
        <v/>
      </c>
    </row>
    <row r="6923">
      <c r="J6923">
        <f>IFERROR(__xludf.DUMMYFUNCTION("""COMPUTED_VALUE"""),"Montreal, Vancouver, Edmonton")</f>
        <v/>
      </c>
      <c r="K6923">
        <f>IFERROR(__xludf.DUMMYFUNCTION("""COMPUTED_VALUE"""),6061.89)</f>
        <v/>
      </c>
    </row>
    <row r="6924">
      <c r="J6924">
        <f>IFERROR(__xludf.DUMMYFUNCTION("""COMPUTED_VALUE"""),"Nairobi &amp; Mombasa (Kenya)")</f>
        <v/>
      </c>
      <c r="K6924">
        <f>IFERROR(__xludf.DUMMYFUNCTION("""COMPUTED_VALUE"""),6061.53)</f>
        <v/>
      </c>
    </row>
    <row r="6925">
      <c r="J6925">
        <f>IFERROR(__xludf.DUMMYFUNCTION("""COMPUTED_VALUE"""),"Genève, CH")</f>
        <v/>
      </c>
      <c r="K6925">
        <f>IFERROR(__xludf.DUMMYFUNCTION("""COMPUTED_VALUE"""),6061.41)</f>
        <v/>
      </c>
    </row>
    <row r="6926">
      <c r="J6926">
        <f>IFERROR(__xludf.DUMMYFUNCTION("""COMPUTED_VALUE"""),"Moncton and Saint John, New Brunswick")</f>
        <v/>
      </c>
      <c r="K6926">
        <f>IFERROR(__xludf.DUMMYFUNCTION("""COMPUTED_VALUE"""),6060.02)</f>
        <v/>
      </c>
    </row>
    <row r="6927">
      <c r="J6927">
        <f>IFERROR(__xludf.DUMMYFUNCTION("""COMPUTED_VALUE"""),"OTTAWA, ON - CALGARY, AB - MONTREAL, QC - HALIFAX, NS")</f>
        <v/>
      </c>
      <c r="K6927">
        <f>IFERROR(__xludf.DUMMYFUNCTION("""COMPUTED_VALUE"""),6059.91)</f>
        <v/>
      </c>
    </row>
    <row r="6928">
      <c r="J6928">
        <f>IFERROR(__xludf.DUMMYFUNCTION("""COMPUTED_VALUE"""),"Vancouver, British Columbia, Canada
Calgary, Alberta, Canada
Yellowknife, Northwest Territories, Canada
Winnipeg, Manitoba, Canada
Montreal, Quebec, Canada
Halifax, Nova Scotia, Canada")</f>
        <v/>
      </c>
      <c r="K6928">
        <f>IFERROR(__xludf.DUMMYFUNCTION("""COMPUTED_VALUE"""),6058.38)</f>
        <v/>
      </c>
    </row>
    <row r="6929">
      <c r="J6929">
        <f>IFERROR(__xludf.DUMMYFUNCTION("""COMPUTED_VALUE"""),"Halifax, Nova Scotia, Canada; Montréal, Quebec, Canada; Toronto, Ontario, Canada; Niagara, Ontario, Canada")</f>
        <v/>
      </c>
      <c r="K6929">
        <f>IFERROR(__xludf.DUMMYFUNCTION("""COMPUTED_VALUE"""),6057.41)</f>
        <v/>
      </c>
    </row>
    <row r="6930">
      <c r="J6930">
        <f>IFERROR(__xludf.DUMMYFUNCTION("""COMPUTED_VALUE"""),"Red Deer, AB")</f>
        <v/>
      </c>
      <c r="K6930">
        <f>IFERROR(__xludf.DUMMYFUNCTION("""COMPUTED_VALUE"""),6055.9)</f>
        <v/>
      </c>
    </row>
    <row r="6931">
      <c r="J6931">
        <f>IFERROR(__xludf.DUMMYFUNCTION("""COMPUTED_VALUE"""),"Edmonton,Alberta,Toranto,Canada")</f>
        <v/>
      </c>
      <c r="K6931">
        <f>IFERROR(__xludf.DUMMYFUNCTION("""COMPUTED_VALUE"""),6054.94)</f>
        <v/>
      </c>
    </row>
    <row r="6932">
      <c r="J6932">
        <f>IFERROR(__xludf.DUMMYFUNCTION("""COMPUTED_VALUE"""),"Seoul,South-Korea")</f>
        <v/>
      </c>
      <c r="K6932">
        <f>IFERROR(__xludf.DUMMYFUNCTION("""COMPUTED_VALUE"""),6054.4)</f>
        <v/>
      </c>
    </row>
    <row r="6933">
      <c r="J6933">
        <f>IFERROR(__xludf.DUMMYFUNCTION("""COMPUTED_VALUE"""),"Lethbridge, Alberta, Canada; High River, Alberta, Canada; Cochrane, Alberta, Canada; Saskatoon, Edmonton, Canada; Edmonton, Alberta, Canada")</f>
        <v/>
      </c>
      <c r="K6933">
        <f>IFERROR(__xludf.DUMMYFUNCTION("""COMPUTED_VALUE"""),6053.92)</f>
        <v/>
      </c>
    </row>
    <row r="6934">
      <c r="J6934">
        <f>IFERROR(__xludf.DUMMYFUNCTION("""COMPUTED_VALUE"""),"Washington , DC")</f>
        <v/>
      </c>
      <c r="K6934">
        <f>IFERROR(__xludf.DUMMYFUNCTION("""COMPUTED_VALUE"""),6052.62)</f>
        <v/>
      </c>
    </row>
    <row r="6935">
      <c r="J6935">
        <f>IFERROR(__xludf.DUMMYFUNCTION("""COMPUTED_VALUE"""),"Yellowknife, Yukon, Canada")</f>
        <v/>
      </c>
      <c r="K6935">
        <f>IFERROR(__xludf.DUMMYFUNCTION("""COMPUTED_VALUE"""),6051.38999999999)</f>
        <v/>
      </c>
    </row>
    <row r="6936">
      <c r="J6936">
        <f>IFERROR(__xludf.DUMMYFUNCTION("""COMPUTED_VALUE"""),"San Francisco, California, United States &amp; Big Sur, California, United States")</f>
        <v/>
      </c>
      <c r="K6936">
        <f>IFERROR(__xludf.DUMMYFUNCTION("""COMPUTED_VALUE"""),6050.97)</f>
        <v/>
      </c>
    </row>
    <row r="6937">
      <c r="J6937">
        <f>IFERROR(__xludf.DUMMYFUNCTION("""COMPUTED_VALUE"""),"San Antonio, Texas, United States")</f>
        <v/>
      </c>
      <c r="K6937">
        <f>IFERROR(__xludf.DUMMYFUNCTION("""COMPUTED_VALUE"""),6049.92)</f>
        <v/>
      </c>
    </row>
    <row r="6938">
      <c r="J6938">
        <f>IFERROR(__xludf.DUMMYFUNCTION("""COMPUTED_VALUE"""),"Sault St-Marie, Ontario, Canada")</f>
        <v/>
      </c>
      <c r="K6938">
        <f>IFERROR(__xludf.DUMMYFUNCTION("""COMPUTED_VALUE"""),6049.5)</f>
        <v/>
      </c>
    </row>
    <row r="6939">
      <c r="J6939">
        <f>IFERROR(__xludf.DUMMYFUNCTION("""COMPUTED_VALUE"""),"St. John’s, Newfoundland and Labrador, Canada and Victoria, British Colombia, Canada")</f>
        <v/>
      </c>
      <c r="K6939">
        <f>IFERROR(__xludf.DUMMYFUNCTION("""COMPUTED_VALUE"""),6047.98)</f>
        <v/>
      </c>
    </row>
    <row r="6940">
      <c r="J6940">
        <f>IFERROR(__xludf.DUMMYFUNCTION("""COMPUTED_VALUE"""),"Prince Albert, Saskatchewan;
Abbotsford, British Columbia")</f>
        <v/>
      </c>
      <c r="K6940">
        <f>IFERROR(__xludf.DUMMYFUNCTION("""COMPUTED_VALUE"""),6046.28)</f>
        <v/>
      </c>
    </row>
    <row r="6941">
      <c r="J6941">
        <f>IFERROR(__xludf.DUMMYFUNCTION("""COMPUTED_VALUE"""),"Boston, New York")</f>
        <v/>
      </c>
      <c r="K6941">
        <f>IFERROR(__xludf.DUMMYFUNCTION("""COMPUTED_VALUE"""),6046.03)</f>
        <v/>
      </c>
    </row>
    <row r="6942">
      <c r="J6942">
        <f>IFERROR(__xludf.DUMMYFUNCTION("""COMPUTED_VALUE"""),"Kuujjuaq, Quebec, Nain, Newfoundland-Labrador")</f>
        <v/>
      </c>
      <c r="K6942">
        <f>IFERROR(__xludf.DUMMYFUNCTION("""COMPUTED_VALUE"""),6045.62)</f>
        <v/>
      </c>
    </row>
    <row r="6943">
      <c r="J6943">
        <f>IFERROR(__xludf.DUMMYFUNCTION("""COMPUTED_VALUE"""),"Halifax, NS and Toronto, ON")</f>
        <v/>
      </c>
      <c r="K6943">
        <f>IFERROR(__xludf.DUMMYFUNCTION("""COMPUTED_VALUE"""),6043.46999999999)</f>
        <v/>
      </c>
    </row>
    <row r="6944">
      <c r="J6944">
        <f>IFERROR(__xludf.DUMMYFUNCTION("""COMPUTED_VALUE"""),"Toronto, Ontario, Canada / Frankfurt, Germany / Delhi and Mumbai, India / Newark, United States")</f>
        <v/>
      </c>
      <c r="K6944">
        <f>IFERROR(__xludf.DUMMYFUNCTION("""COMPUTED_VALUE"""),6041.06)</f>
        <v/>
      </c>
    </row>
    <row r="6945">
      <c r="J6945">
        <f>IFERROR(__xludf.DUMMYFUNCTION("""COMPUTED_VALUE"""),"Peru / Colombia")</f>
        <v/>
      </c>
      <c r="K6945">
        <f>IFERROR(__xludf.DUMMYFUNCTION("""COMPUTED_VALUE"""),6040.08)</f>
        <v/>
      </c>
    </row>
    <row r="6946">
      <c r="J6946">
        <f>IFERROR(__xludf.DUMMYFUNCTION("""COMPUTED_VALUE"""),"Vancouver, British-Columbia, 
and Edmonton, Alberta, 
Canada")</f>
        <v/>
      </c>
      <c r="K6946">
        <f>IFERROR(__xludf.DUMMYFUNCTION("""COMPUTED_VALUE"""),6038.1)</f>
        <v/>
      </c>
    </row>
    <row r="6947">
      <c r="J6947">
        <f>IFERROR(__xludf.DUMMYFUNCTION("""COMPUTED_VALUE"""),"Yellowknife, Northwest Territories - Cambridge Bay, Nunavut - Resolute, Nunavut, Canada")</f>
        <v/>
      </c>
      <c r="K6947">
        <f>IFERROR(__xludf.DUMMYFUNCTION("""COMPUTED_VALUE"""),6036.64)</f>
        <v/>
      </c>
    </row>
    <row r="6948">
      <c r="J6948">
        <f>IFERROR(__xludf.DUMMYFUNCTION("""COMPUTED_VALUE"""),"Brasilia, Rio de Janeiro, Sao Paulo, and Washington, D.C.")</f>
        <v/>
      </c>
      <c r="K6948">
        <f>IFERROR(__xludf.DUMMYFUNCTION("""COMPUTED_VALUE"""),6036.01)</f>
        <v/>
      </c>
    </row>
    <row r="6949">
      <c r="J6949">
        <f>IFERROR(__xludf.DUMMYFUNCTION("""COMPUTED_VALUE"""),"Calgary, Edmonton, Alberta / Saskatoon, Regina, Saskatchewan / Toronto, Ontario Canada")</f>
        <v/>
      </c>
      <c r="K6949">
        <f>IFERROR(__xludf.DUMMYFUNCTION("""COMPUTED_VALUE"""),6034.59)</f>
        <v/>
      </c>
    </row>
    <row r="6950">
      <c r="J6950">
        <f>IFERROR(__xludf.DUMMYFUNCTION("""COMPUTED_VALUE"""),"Vancouver, Kelowna, Victoria, (British Columbia)")</f>
        <v/>
      </c>
      <c r="K6950">
        <f>IFERROR(__xludf.DUMMYFUNCTION("""COMPUTED_VALUE"""),6033.03)</f>
        <v/>
      </c>
    </row>
    <row r="6951">
      <c r="J6951">
        <f>IFERROR(__xludf.DUMMYFUNCTION("""COMPUTED_VALUE"""),"Brussels, Belgium; Stuttgart, Germany")</f>
        <v/>
      </c>
      <c r="K6951">
        <f>IFERROR(__xludf.DUMMYFUNCTION("""COMPUTED_VALUE"""),6030.91)</f>
        <v/>
      </c>
    </row>
    <row r="6952">
      <c r="J6952">
        <f>IFERROR(__xludf.DUMMYFUNCTION("""COMPUTED_VALUE"""),"Moncton and Fredericton, New Brunswick and Halifax, Nova Scotia and Chalottetown, Prince Edward Island")</f>
        <v/>
      </c>
      <c r="K6952">
        <f>IFERROR(__xludf.DUMMYFUNCTION("""COMPUTED_VALUE"""),6030.38999999999)</f>
        <v/>
      </c>
    </row>
    <row r="6953">
      <c r="J6953">
        <f>IFERROR(__xludf.DUMMYFUNCTION("""COMPUTED_VALUE"""),"Aarhus, Denmark; Copenhagen, Denmark; Paris, France")</f>
        <v/>
      </c>
      <c r="K6953">
        <f>IFERROR(__xludf.DUMMYFUNCTION("""COMPUTED_VALUE"""),6030.13)</f>
        <v/>
      </c>
    </row>
    <row r="6954">
      <c r="J6954">
        <f>IFERROR(__xludf.DUMMYFUNCTION("""COMPUTED_VALUE"""),"Charlottetown, Prince Edward Island; Halifax, Nova Scotia; St. John's, Newfoundland and Labrador, Canada")</f>
        <v/>
      </c>
      <c r="K6954">
        <f>IFERROR(__xludf.DUMMYFUNCTION("""COMPUTED_VALUE"""),6029.5)</f>
        <v/>
      </c>
    </row>
    <row r="6955">
      <c r="J6955">
        <f>IFERROR(__xludf.DUMMYFUNCTION("""COMPUTED_VALUE"""),"Fort Lauderdale, FL")</f>
        <v/>
      </c>
      <c r="K6955">
        <f>IFERROR(__xludf.DUMMYFUNCTION("""COMPUTED_VALUE"""),6029.23)</f>
        <v/>
      </c>
    </row>
    <row r="6956">
      <c r="J6956">
        <f>IFERROR(__xludf.DUMMYFUNCTION("""COMPUTED_VALUE"""),"Seattle, Washington, United States of America / San Francisco, California, United States of America")</f>
        <v/>
      </c>
      <c r="K6956">
        <f>IFERROR(__xludf.DUMMYFUNCTION("""COMPUTED_VALUE"""),6028.73)</f>
        <v/>
      </c>
    </row>
    <row r="6957">
      <c r="J6957">
        <f>IFERROR(__xludf.DUMMYFUNCTION("""COMPUTED_VALUE"""),"Dublin, Ireland Berlin, Germany")</f>
        <v/>
      </c>
      <c r="K6957">
        <f>IFERROR(__xludf.DUMMYFUNCTION("""COMPUTED_VALUE"""),6028.13)</f>
        <v/>
      </c>
    </row>
    <row r="6958">
      <c r="J6958">
        <f>IFERROR(__xludf.DUMMYFUNCTION("""COMPUTED_VALUE"""),"London, Canada")</f>
        <v/>
      </c>
      <c r="K6958">
        <f>IFERROR(__xludf.DUMMYFUNCTION("""COMPUTED_VALUE"""),6027.63)</f>
        <v/>
      </c>
    </row>
    <row r="6959">
      <c r="J6959">
        <f>IFERROR(__xludf.DUMMYFUNCTION("""COMPUTED_VALUE"""),"Vancouver, Prince-George and Kamloops, British-Columbia &amp; Edmonton, Alberta")</f>
        <v/>
      </c>
      <c r="K6959">
        <f>IFERROR(__xludf.DUMMYFUNCTION("""COMPUTED_VALUE"""),6026.71)</f>
        <v/>
      </c>
    </row>
    <row r="6960">
      <c r="J6960">
        <f>IFERROR(__xludf.DUMMYFUNCTION("""COMPUTED_VALUE"""),"Marseille, France, Geneva, Switzerland")</f>
        <v/>
      </c>
      <c r="K6960">
        <f>IFERROR(__xludf.DUMMYFUNCTION("""COMPUTED_VALUE"""),6023.96)</f>
        <v/>
      </c>
    </row>
    <row r="6961">
      <c r="J6961">
        <f>IFERROR(__xludf.DUMMYFUNCTION("""COMPUTED_VALUE"""),"Panama City, Panama, Bogota, Colombia, Lima, Peru")</f>
        <v/>
      </c>
      <c r="K6961">
        <f>IFERROR(__xludf.DUMMYFUNCTION("""COMPUTED_VALUE"""),6022.72)</f>
        <v/>
      </c>
    </row>
    <row r="6962">
      <c r="J6962">
        <f>IFERROR(__xludf.DUMMYFUNCTION("""COMPUTED_VALUE"""),"Edmonton and Cold Lake, Alberta")</f>
        <v/>
      </c>
      <c r="K6962">
        <f>IFERROR(__xludf.DUMMYFUNCTION("""COMPUTED_VALUE"""),6021.76)</f>
        <v/>
      </c>
    </row>
    <row r="6963">
      <c r="J6963">
        <f>IFERROR(__xludf.DUMMYFUNCTION("""COMPUTED_VALUE"""),"VANCOUVER, BC AND CHARLOTTETOWN, PE")</f>
        <v/>
      </c>
      <c r="K6963">
        <f>IFERROR(__xludf.DUMMYFUNCTION("""COMPUTED_VALUE"""),6021.68)</f>
        <v/>
      </c>
    </row>
    <row r="6964">
      <c r="J6964">
        <f>IFERROR(__xludf.DUMMYFUNCTION("""COMPUTED_VALUE"""),"London-Toronto-Ottawa-Toronto-London")</f>
        <v/>
      </c>
      <c r="K6964">
        <f>IFERROR(__xludf.DUMMYFUNCTION("""COMPUTED_VALUE"""),6020.81)</f>
        <v/>
      </c>
    </row>
    <row r="6965">
      <c r="J6965">
        <f>IFERROR(__xludf.DUMMYFUNCTION("""COMPUTED_VALUE"""),"WASHINGTON, DC")</f>
        <v/>
      </c>
      <c r="K6965">
        <f>IFERROR(__xludf.DUMMYFUNCTION("""COMPUTED_VALUE"""),6020.42)</f>
        <v/>
      </c>
    </row>
    <row r="6966">
      <c r="J6966">
        <f>IFERROR(__xludf.DUMMYFUNCTION("""COMPUTED_VALUE"""),"Saint Andrews, New Brunswick")</f>
        <v/>
      </c>
      <c r="K6966">
        <f>IFERROR(__xludf.DUMMYFUNCTION("""COMPUTED_VALUE"""),6019.49)</f>
        <v/>
      </c>
    </row>
    <row r="6967">
      <c r="J6967">
        <f>IFERROR(__xludf.DUMMYFUNCTION("""COMPUTED_VALUE"""),"Ann Arbor, Michigan, United States")</f>
        <v/>
      </c>
      <c r="K6967">
        <f>IFERROR(__xludf.DUMMYFUNCTION("""COMPUTED_VALUE"""),6019.45)</f>
        <v/>
      </c>
    </row>
    <row r="6968">
      <c r="J6968">
        <f>IFERROR(__xludf.DUMMYFUNCTION("""COMPUTED_VALUE"""),"Tampa, Florida, USA")</f>
        <v/>
      </c>
      <c r="K6968">
        <f>IFERROR(__xludf.DUMMYFUNCTION("""COMPUTED_VALUE"""),6017.92)</f>
        <v/>
      </c>
    </row>
    <row r="6969">
      <c r="J6969">
        <f>IFERROR(__xludf.DUMMYFUNCTION("""COMPUTED_VALUE"""),"Ottawa (Ontario) Canada; Vancouver (British Columbia) Canada; Penticton (British Columbia) Canada; Kelowna (British Columbia) Canada")</f>
        <v/>
      </c>
      <c r="K6969">
        <f>IFERROR(__xludf.DUMMYFUNCTION("""COMPUTED_VALUE"""),6017.77)</f>
        <v/>
      </c>
    </row>
    <row r="6970">
      <c r="J6970">
        <f>IFERROR(__xludf.DUMMYFUNCTION("""COMPUTED_VALUE"""),"Guelph (Ontario) Canada
Niagara Falls (Ontario) Canada")</f>
        <v/>
      </c>
      <c r="K6970">
        <f>IFERROR(__xludf.DUMMYFUNCTION("""COMPUTED_VALUE"""),6016.66)</f>
        <v/>
      </c>
    </row>
    <row r="6971">
      <c r="J6971">
        <f>IFERROR(__xludf.DUMMYFUNCTION("""COMPUTED_VALUE"""),"Calgary and Edmonton (portion of trip to Fort McMurray cancelled due to weather)")</f>
        <v/>
      </c>
      <c r="K6971">
        <f>IFERROR(__xludf.DUMMYFUNCTION("""COMPUTED_VALUE"""),6016.44)</f>
        <v/>
      </c>
    </row>
    <row r="6972">
      <c r="J6972">
        <f>IFERROR(__xludf.DUMMYFUNCTION("""COMPUTED_VALUE"""),"Moncton, New Brunswick, Canada; Fredericton, New Brunswick, Canada")</f>
        <v/>
      </c>
      <c r="K6972">
        <f>IFERROR(__xludf.DUMMYFUNCTION("""COMPUTED_VALUE"""),6015.59)</f>
        <v/>
      </c>
    </row>
    <row r="6973">
      <c r="J6973">
        <f>IFERROR(__xludf.DUMMYFUNCTION("""COMPUTED_VALUE"""),"Victoria, Courtenay, British Columbia, Canada")</f>
        <v/>
      </c>
      <c r="K6973">
        <f>IFERROR(__xludf.DUMMYFUNCTION("""COMPUTED_VALUE"""),6013.63999999999)</f>
        <v/>
      </c>
    </row>
    <row r="6974">
      <c r="J6974">
        <f>IFERROR(__xludf.DUMMYFUNCTION("""COMPUTED_VALUE"""),"Tanger, Morocco")</f>
        <v/>
      </c>
      <c r="K6974">
        <f>IFERROR(__xludf.DUMMYFUNCTION("""COMPUTED_VALUE"""),6011.21)</f>
        <v/>
      </c>
    </row>
    <row r="6975">
      <c r="J6975">
        <f>IFERROR(__xludf.DUMMYFUNCTION("""COMPUTED_VALUE"""),"Vancouver. British Colombia")</f>
        <v/>
      </c>
      <c r="K6975">
        <f>IFERROR(__xludf.DUMMYFUNCTION("""COMPUTED_VALUE"""),6009.63999999999)</f>
        <v/>
      </c>
    </row>
    <row r="6976">
      <c r="J6976">
        <f>IFERROR(__xludf.DUMMYFUNCTION("""COMPUTED_VALUE"""),"Windsor, London and Hamilton, Ontario, Canada")</f>
        <v/>
      </c>
      <c r="K6976">
        <f>IFERROR(__xludf.DUMMYFUNCTION("""COMPUTED_VALUE"""),6008.37)</f>
        <v/>
      </c>
    </row>
    <row r="6977">
      <c r="J6977">
        <f>IFERROR(__xludf.DUMMYFUNCTION("""COMPUTED_VALUE"""),"Paris, France; Brussels, Belgium; Berlin, Germany")</f>
        <v/>
      </c>
      <c r="K6977">
        <f>IFERROR(__xludf.DUMMYFUNCTION("""COMPUTED_VALUE"""),6006.72)</f>
        <v/>
      </c>
    </row>
    <row r="6978">
      <c r="J6978">
        <f>IFERROR(__xludf.DUMMYFUNCTION("""COMPUTED_VALUE"""),"New-York, New-York, Montreal, QC, Toronto, ON")</f>
        <v/>
      </c>
      <c r="K6978">
        <f>IFERROR(__xludf.DUMMYFUNCTION("""COMPUTED_VALUE"""),6005.44)</f>
        <v/>
      </c>
    </row>
    <row r="6979">
      <c r="J6979">
        <f>IFERROR(__xludf.DUMMYFUNCTION("""COMPUTED_VALUE"""),"Saskatoon, Regina, (Saskatchewan), Halifax, (Nouvelle-Écosse)")</f>
        <v/>
      </c>
      <c r="K6979">
        <f>IFERROR(__xludf.DUMMYFUNCTION("""COMPUTED_VALUE"""),6005.29999999999)</f>
        <v/>
      </c>
    </row>
    <row r="6980">
      <c r="J6980">
        <f>IFERROR(__xludf.DUMMYFUNCTION("""COMPUTED_VALUE"""),"Edmonton,  Alberta, Canada, Vancouver, British-Colombia, Canada and Saskatoon, Saskatchewan, Canada")</f>
        <v/>
      </c>
      <c r="K6980">
        <f>IFERROR(__xludf.DUMMYFUNCTION("""COMPUTED_VALUE"""),6005.18)</f>
        <v/>
      </c>
    </row>
    <row r="6981">
      <c r="J6981">
        <f>IFERROR(__xludf.DUMMYFUNCTION("""COMPUTED_VALUE"""),"Vancouver and Richmond")</f>
        <v/>
      </c>
      <c r="K6981">
        <f>IFERROR(__xludf.DUMMYFUNCTION("""COMPUTED_VALUE"""),6004.96)</f>
        <v/>
      </c>
    </row>
    <row r="6982">
      <c r="J6982">
        <f>IFERROR(__xludf.DUMMYFUNCTION("""COMPUTED_VALUE"""),"Ghana, Kenya, Tanzania and South Africa")</f>
        <v/>
      </c>
      <c r="K6982">
        <f>IFERROR(__xludf.DUMMYFUNCTION("""COMPUTED_VALUE"""),6004.59)</f>
        <v/>
      </c>
    </row>
    <row r="6983">
      <c r="J6983">
        <f>IFERROR(__xludf.DUMMYFUNCTION("""COMPUTED_VALUE"""),"Maroc, North Africa")</f>
        <v/>
      </c>
      <c r="K6983">
        <f>IFERROR(__xludf.DUMMYFUNCTION("""COMPUTED_VALUE"""),6004.03)</f>
        <v/>
      </c>
    </row>
    <row r="6984">
      <c r="J6984">
        <f>IFERROR(__xludf.DUMMYFUNCTION("""COMPUTED_VALUE"""),"Washington, Disctrict of Columbia, Unites States of America")</f>
        <v/>
      </c>
      <c r="K6984">
        <f>IFERROR(__xludf.DUMMYFUNCTION("""COMPUTED_VALUE"""),6002.8)</f>
        <v/>
      </c>
    </row>
    <row r="6985">
      <c r="J6985">
        <f>IFERROR(__xludf.DUMMYFUNCTION("""COMPUTED_VALUE"""),"London, Edinburgh and Paris")</f>
        <v/>
      </c>
      <c r="K6985">
        <f>IFERROR(__xludf.DUMMYFUNCTION("""COMPUTED_VALUE"""),5998.9)</f>
        <v/>
      </c>
    </row>
    <row r="6986">
      <c r="J6986">
        <f>IFERROR(__xludf.DUMMYFUNCTION("""COMPUTED_VALUE"""),"Vancouver, British Columbia; Whitehorse, Yukon")</f>
        <v/>
      </c>
      <c r="K6986">
        <f>IFERROR(__xludf.DUMMYFUNCTION("""COMPUTED_VALUE"""),5998.69)</f>
        <v/>
      </c>
    </row>
    <row r="6987">
      <c r="J6987">
        <f>IFERROR(__xludf.DUMMYFUNCTION("""COMPUTED_VALUE"""),"Passchendaele")</f>
        <v/>
      </c>
      <c r="K6987">
        <f>IFERROR(__xludf.DUMMYFUNCTION("""COMPUTED_VALUE"""),5998.65)</f>
        <v/>
      </c>
    </row>
    <row r="6988">
      <c r="J6988">
        <f>IFERROR(__xludf.DUMMYFUNCTION("""COMPUTED_VALUE"""),"Ottawa, Ontario / Halifax, Nova Scotia")</f>
        <v/>
      </c>
      <c r="K6988">
        <f>IFERROR(__xludf.DUMMYFUNCTION("""COMPUTED_VALUE"""),5997.99)</f>
        <v/>
      </c>
    </row>
    <row r="6989">
      <c r="J6989">
        <f>IFERROR(__xludf.DUMMYFUNCTION("""COMPUTED_VALUE"""),"Ottawa, ON - Halifax, NS / Halifax, NS  - Ottawa, ON")</f>
        <v/>
      </c>
      <c r="K6989">
        <f>IFERROR(__xludf.DUMMYFUNCTION("""COMPUTED_VALUE"""),5997.96)</f>
        <v/>
      </c>
    </row>
    <row r="6990">
      <c r="J6990">
        <f>IFERROR(__xludf.DUMMYFUNCTION("""COMPUTED_VALUE"""),"Ottawa, Ontario 
Edmonton, Alberta")</f>
        <v/>
      </c>
      <c r="K6990">
        <f>IFERROR(__xludf.DUMMYFUNCTION("""COMPUTED_VALUE"""),5997.03)</f>
        <v/>
      </c>
    </row>
    <row r="6991">
      <c r="J6991">
        <f>IFERROR(__xludf.DUMMYFUNCTION("""COMPUTED_VALUE"""),"Hawai")</f>
        <v/>
      </c>
      <c r="K6991">
        <f>IFERROR(__xludf.DUMMYFUNCTION("""COMPUTED_VALUE"""),5997)</f>
        <v/>
      </c>
    </row>
    <row r="6992">
      <c r="J6992">
        <f>IFERROR(__xludf.DUMMYFUNCTION("""COMPUTED_VALUE"""),"Como, Italy")</f>
        <v/>
      </c>
      <c r="K6992">
        <f>IFERROR(__xludf.DUMMYFUNCTION("""COMPUTED_VALUE"""),5995.27)</f>
        <v/>
      </c>
    </row>
    <row r="6993">
      <c r="J6993">
        <f>IFERROR(__xludf.DUMMYFUNCTION("""COMPUTED_VALUE"""),"Bogota, Colombia; Cali, Colombia; Manizales, Colombia; Bucaramanga, Colombia.")</f>
        <v/>
      </c>
      <c r="K6993">
        <f>IFERROR(__xludf.DUMMYFUNCTION("""COMPUTED_VALUE"""),5995.08)</f>
        <v/>
      </c>
    </row>
    <row r="6994">
      <c r="J6994">
        <f>IFERROR(__xludf.DUMMYFUNCTION("""COMPUTED_VALUE"""),"Paris, France 
Amsterdam, Netherlands")</f>
        <v/>
      </c>
      <c r="K6994">
        <f>IFERROR(__xludf.DUMMYFUNCTION("""COMPUTED_VALUE"""),5994.42)</f>
        <v/>
      </c>
    </row>
    <row r="6995">
      <c r="J6995">
        <f>IFERROR(__xludf.DUMMYFUNCTION("""COMPUTED_VALUE"""),"Iceland, Reykjavik")</f>
        <v/>
      </c>
      <c r="K6995">
        <f>IFERROR(__xludf.DUMMYFUNCTION("""COMPUTED_VALUE"""),5991.86)</f>
        <v/>
      </c>
    </row>
    <row r="6996">
      <c r="J6996">
        <f>IFERROR(__xludf.DUMMYFUNCTION("""COMPUTED_VALUE"""),"Halifax, Nova Scotia, Canada; Charlottetown, Prince Edward Island, Canada; Deer Lake, Newfoundland and Labrador, Canada")</f>
        <v/>
      </c>
      <c r="K6996">
        <f>IFERROR(__xludf.DUMMYFUNCTION("""COMPUTED_VALUE"""),5991.55)</f>
        <v/>
      </c>
    </row>
    <row r="6997">
      <c r="J6997">
        <f>IFERROR(__xludf.DUMMYFUNCTION("""COMPUTED_VALUE"""),"Toronto, Ontario, Canada; Vancouver, British Columbia, Canada; Whitehorse, Yukon, Canada")</f>
        <v/>
      </c>
      <c r="K6997">
        <f>IFERROR(__xludf.DUMMYFUNCTION("""COMPUTED_VALUE"""),5991.35)</f>
        <v/>
      </c>
    </row>
    <row r="6998">
      <c r="J6998">
        <f>IFERROR(__xludf.DUMMYFUNCTION("""COMPUTED_VALUE"""),"L'Aquila")</f>
        <v/>
      </c>
      <c r="K6998">
        <f>IFERROR(__xludf.DUMMYFUNCTION("""COMPUTED_VALUE"""),5989.54)</f>
        <v/>
      </c>
    </row>
    <row r="6999">
      <c r="J6999">
        <f>IFERROR(__xludf.DUMMYFUNCTION("""COMPUTED_VALUE"""),"Washington and Mexico City")</f>
        <v/>
      </c>
      <c r="K6999">
        <f>IFERROR(__xludf.DUMMYFUNCTION("""COMPUTED_VALUE"""),5988.63)</f>
        <v/>
      </c>
    </row>
    <row r="7000">
      <c r="J7000">
        <f>IFERROR(__xludf.DUMMYFUNCTION("""COMPUTED_VALUE"""),"Quebec, Ontario, Ontario, British Columbia, Alberta, Alberta, Manitoba, Nova Scotia")</f>
        <v/>
      </c>
      <c r="K7000">
        <f>IFERROR(__xludf.DUMMYFUNCTION("""COMPUTED_VALUE"""),5988.39)</f>
        <v/>
      </c>
    </row>
    <row r="7001">
      <c r="J7001">
        <f>IFERROR(__xludf.DUMMYFUNCTION("""COMPUTED_VALUE"""),"Kelowna, British Columbia, Canada; Kamloops, British Columbia, Canada")</f>
        <v/>
      </c>
      <c r="K7001">
        <f>IFERROR(__xludf.DUMMYFUNCTION("""COMPUTED_VALUE"""),5983.56)</f>
        <v/>
      </c>
    </row>
    <row r="7002">
      <c r="J7002">
        <f>IFERROR(__xludf.DUMMYFUNCTION("""COMPUTED_VALUE"""),"Borden/Whitby/ Kingston")</f>
        <v/>
      </c>
      <c r="K7002">
        <f>IFERROR(__xludf.DUMMYFUNCTION("""COMPUTED_VALUE"""),5982.82)</f>
        <v/>
      </c>
    </row>
    <row r="7003">
      <c r="J7003">
        <f>IFERROR(__xludf.DUMMYFUNCTION("""COMPUTED_VALUE"""),"Stanhope, Prince Edward Island, Canada")</f>
        <v/>
      </c>
      <c r="K7003">
        <f>IFERROR(__xludf.DUMMYFUNCTION("""COMPUTED_VALUE"""),5982.69)</f>
        <v/>
      </c>
    </row>
    <row r="7004">
      <c r="J7004">
        <f>IFERROR(__xludf.DUMMYFUNCTION("""COMPUTED_VALUE"""),"Halifax, Nova Scotia; Winnipeg, Manitoba")</f>
        <v/>
      </c>
      <c r="K7004">
        <f>IFERROR(__xludf.DUMMYFUNCTION("""COMPUTED_VALUE"""),5981.99)</f>
        <v/>
      </c>
    </row>
    <row r="7005">
      <c r="J7005">
        <f>IFERROR(__xludf.DUMMYFUNCTION("""COMPUTED_VALUE"""),"Stockholm, Sweden and Amsterdam, Netherlands")</f>
        <v/>
      </c>
      <c r="K7005">
        <f>IFERROR(__xludf.DUMMYFUNCTION("""COMPUTED_VALUE"""),5980.92)</f>
        <v/>
      </c>
    </row>
    <row r="7006">
      <c r="J7006">
        <f>IFERROR(__xludf.DUMMYFUNCTION("""COMPUTED_VALUE"""),"Toronto, ON, Halifax, NS, Montreal, QC, Winnipeg, MB, Calgary, AB, Vancouver, BC")</f>
        <v/>
      </c>
      <c r="K7006">
        <f>IFERROR(__xludf.DUMMYFUNCTION("""COMPUTED_VALUE"""),5978.85)</f>
        <v/>
      </c>
    </row>
    <row r="7007">
      <c r="J7007">
        <f>IFERROR(__xludf.DUMMYFUNCTION("""COMPUTED_VALUE"""),"Ottawa, ON - Winnipeg, MB / Winnipeg, MB - Ottawa, ON")</f>
        <v/>
      </c>
      <c r="K7007">
        <f>IFERROR(__xludf.DUMMYFUNCTION("""COMPUTED_VALUE"""),5976.64)</f>
        <v/>
      </c>
    </row>
    <row r="7008">
      <c r="J7008">
        <f>IFERROR(__xludf.DUMMYFUNCTION("""COMPUTED_VALUE"""),"Montréal - Victoria - Calgary - Winnipeg - Montréal - Ottawa")</f>
        <v/>
      </c>
      <c r="K7008">
        <f>IFERROR(__xludf.DUMMYFUNCTION("""COMPUTED_VALUE"""),5973.54)</f>
        <v/>
      </c>
    </row>
    <row r="7009">
      <c r="J7009">
        <f>IFERROR(__xludf.DUMMYFUNCTION("""COMPUTED_VALUE"""),"Sioux Lookout, Ontario, Canada")</f>
        <v/>
      </c>
      <c r="K7009">
        <f>IFERROR(__xludf.DUMMYFUNCTION("""COMPUTED_VALUE"""),5971.99)</f>
        <v/>
      </c>
    </row>
    <row r="7010">
      <c r="J7010">
        <f>IFERROR(__xludf.DUMMYFUNCTION("""COMPUTED_VALUE"""),"Calgary, AB / Yellowknife, NT")</f>
        <v/>
      </c>
      <c r="K7010">
        <f>IFERROR(__xludf.DUMMYFUNCTION("""COMPUTED_VALUE"""),5969.11)</f>
        <v/>
      </c>
    </row>
    <row r="7011">
      <c r="J7011">
        <f>IFERROR(__xludf.DUMMYFUNCTION("""COMPUTED_VALUE"""),"Canmore, Alberta, Canada &amp; Brandon, Manitoba, Canada")</f>
        <v/>
      </c>
      <c r="K7011">
        <f>IFERROR(__xludf.DUMMYFUNCTION("""COMPUTED_VALUE"""),5968.22)</f>
        <v/>
      </c>
    </row>
    <row r="7012">
      <c r="J7012">
        <f>IFERROR(__xludf.DUMMYFUNCTION("""COMPUTED_VALUE"""),"Lima, Peru and Bridgetown, Barbados")</f>
        <v/>
      </c>
      <c r="K7012">
        <f>IFERROR(__xludf.DUMMYFUNCTION("""COMPUTED_VALUE"""),5966.85)</f>
        <v/>
      </c>
    </row>
    <row r="7013">
      <c r="J7013">
        <f>IFERROR(__xludf.DUMMYFUNCTION("""COMPUTED_VALUE"""),"Winnipeg, Grand Rapids, Manitoba et Lake Louise, Alberta")</f>
        <v/>
      </c>
      <c r="K7013">
        <f>IFERROR(__xludf.DUMMYFUNCTION("""COMPUTED_VALUE"""),5965.6)</f>
        <v/>
      </c>
    </row>
    <row r="7014">
      <c r="J7014">
        <f>IFERROR(__xludf.DUMMYFUNCTION("""COMPUTED_VALUE"""),"New York, United States and Toronto, Ontario")</f>
        <v/>
      </c>
      <c r="K7014">
        <f>IFERROR(__xludf.DUMMYFUNCTION("""COMPUTED_VALUE"""),5963)</f>
        <v/>
      </c>
    </row>
    <row r="7015">
      <c r="J7015">
        <f>IFERROR(__xludf.DUMMYFUNCTION("""COMPUTED_VALUE"""),"Moncton, New Brunswick, Canada; Bathurst, New Brunswick, Canada")</f>
        <v/>
      </c>
      <c r="K7015">
        <f>IFERROR(__xludf.DUMMYFUNCTION("""COMPUTED_VALUE"""),5962.80999999999)</f>
        <v/>
      </c>
    </row>
    <row r="7016">
      <c r="J7016">
        <f>IFERROR(__xludf.DUMMYFUNCTION("""COMPUTED_VALUE"""),"Paris, Geneva and The Hague")</f>
        <v/>
      </c>
      <c r="K7016">
        <f>IFERROR(__xludf.DUMMYFUNCTION("""COMPUTED_VALUE"""),5959.91)</f>
        <v/>
      </c>
    </row>
    <row r="7017">
      <c r="J7017">
        <f>IFERROR(__xludf.DUMMYFUNCTION("""COMPUTED_VALUE"""),"Newport, Wales")</f>
        <v/>
      </c>
      <c r="K7017">
        <f>IFERROR(__xludf.DUMMYFUNCTION("""COMPUTED_VALUE"""),5958.54)</f>
        <v/>
      </c>
    </row>
    <row r="7018">
      <c r="J7018">
        <f>IFERROR(__xludf.DUMMYFUNCTION("""COMPUTED_VALUE"""),"Ottawa- Toronto-Vancouver-Kelowna-Nanaimo- Vancouver-Edmonton-Calgary -Edmonton- Winnipeg- Montreal-Ottawa")</f>
        <v/>
      </c>
      <c r="K7018">
        <f>IFERROR(__xludf.DUMMYFUNCTION("""COMPUTED_VALUE"""),5956.56)</f>
        <v/>
      </c>
    </row>
    <row r="7019">
      <c r="J7019">
        <f>IFERROR(__xludf.DUMMYFUNCTION("""COMPUTED_VALUE"""),"Whitehorse, YT
Skagway, AK")</f>
        <v/>
      </c>
      <c r="K7019">
        <f>IFERROR(__xludf.DUMMYFUNCTION("""COMPUTED_VALUE"""),5956.5)</f>
        <v/>
      </c>
    </row>
    <row r="7020">
      <c r="J7020">
        <f>IFERROR(__xludf.DUMMYFUNCTION("""COMPUTED_VALUE"""),"Thunder Bay, Toronto, Ontario, Canada")</f>
        <v/>
      </c>
      <c r="K7020">
        <f>IFERROR(__xludf.DUMMYFUNCTION("""COMPUTED_VALUE"""),5956.23)</f>
        <v/>
      </c>
    </row>
    <row r="7021">
      <c r="J7021">
        <f>IFERROR(__xludf.DUMMYFUNCTION("""COMPUTED_VALUE"""),"Halifax, NB, Canada")</f>
        <v/>
      </c>
      <c r="K7021">
        <f>IFERROR(__xludf.DUMMYFUNCTION("""COMPUTED_VALUE"""),5956.22)</f>
        <v/>
      </c>
    </row>
    <row r="7022">
      <c r="J7022">
        <f>IFERROR(__xludf.DUMMYFUNCTION("""COMPUTED_VALUE"""),"Halifax, Nova Scotia, Canada
Dartmouth, Nova Scotia, Canada
Antigonish, Nova Scotia, Canada
Kentville, Nova Scotia, Canada
Wolfville, Nova Scotia, Canada
Yarmouth, Nova Scotia, Canada
Toronto, Ontario, Canada")</f>
        <v/>
      </c>
      <c r="K7022">
        <f>IFERROR(__xludf.DUMMYFUNCTION("""COMPUTED_VALUE"""),5955.88)</f>
        <v/>
      </c>
    </row>
    <row r="7023">
      <c r="J7023">
        <f>IFERROR(__xludf.DUMMYFUNCTION("""COMPUTED_VALUE"""),"Edmonton, AB - Toronto, ON - Victoria, BC")</f>
        <v/>
      </c>
      <c r="K7023">
        <f>IFERROR(__xludf.DUMMYFUNCTION("""COMPUTED_VALUE"""),5955.74)</f>
        <v/>
      </c>
    </row>
    <row r="7024">
      <c r="J7024">
        <f>IFERROR(__xludf.DUMMYFUNCTION("""COMPUTED_VALUE"""),"Calgary, Alberta, Canada
Banff, Alberta, Canada")</f>
        <v/>
      </c>
      <c r="K7024">
        <f>IFERROR(__xludf.DUMMYFUNCTION("""COMPUTED_VALUE"""),5953.65)</f>
        <v/>
      </c>
    </row>
    <row r="7025">
      <c r="J7025">
        <f>IFERROR(__xludf.DUMMYFUNCTION("""COMPUTED_VALUE"""),"Warsaw and Riga")</f>
        <v/>
      </c>
      <c r="K7025">
        <f>IFERROR(__xludf.DUMMYFUNCTION("""COMPUTED_VALUE"""),5953.25)</f>
        <v/>
      </c>
    </row>
    <row r="7026">
      <c r="J7026">
        <f>IFERROR(__xludf.DUMMYFUNCTION("""COMPUTED_VALUE"""),"Blue Mountain, Ontario, Canada")</f>
        <v/>
      </c>
      <c r="K7026">
        <f>IFERROR(__xludf.DUMMYFUNCTION("""COMPUTED_VALUE"""),5951.97)</f>
        <v/>
      </c>
    </row>
    <row r="7027">
      <c r="J7027">
        <f>IFERROR(__xludf.DUMMYFUNCTION("""COMPUTED_VALUE"""),"Miami, Florida, USA Tampa Bay, Florida, USA,Washington, DC, USA")</f>
        <v/>
      </c>
      <c r="K7027">
        <f>IFERROR(__xludf.DUMMYFUNCTION("""COMPUTED_VALUE"""),5951)</f>
        <v/>
      </c>
    </row>
    <row r="7028">
      <c r="J7028">
        <f>IFERROR(__xludf.DUMMYFUNCTION("""COMPUTED_VALUE"""),"Vancouver, Seaspan Shipyard, Esquimalt and Victoria BC")</f>
        <v/>
      </c>
      <c r="K7028">
        <f>IFERROR(__xludf.DUMMYFUNCTION("""COMPUTED_VALUE"""),5949.16)</f>
        <v/>
      </c>
    </row>
    <row r="7029">
      <c r="J7029">
        <f>IFERROR(__xludf.DUMMYFUNCTION("""COMPUTED_VALUE"""),"Peace River, Alberta, Canada")</f>
        <v/>
      </c>
      <c r="K7029">
        <f>IFERROR(__xludf.DUMMYFUNCTION("""COMPUTED_VALUE"""),5949.01)</f>
        <v/>
      </c>
    </row>
    <row r="7030">
      <c r="J7030">
        <f>IFERROR(__xludf.DUMMYFUNCTION("""COMPUTED_VALUE"""),"Toronto and Winnipeg")</f>
        <v/>
      </c>
      <c r="K7030">
        <f>IFERROR(__xludf.DUMMYFUNCTION("""COMPUTED_VALUE"""),5947.2)</f>
        <v/>
      </c>
    </row>
    <row r="7031">
      <c r="J7031">
        <f>IFERROR(__xludf.DUMMYFUNCTION("""COMPUTED_VALUE"""),"Vancouver/ Edmonton")</f>
        <v/>
      </c>
      <c r="K7031">
        <f>IFERROR(__xludf.DUMMYFUNCTION("""COMPUTED_VALUE"""),5946.32)</f>
        <v/>
      </c>
    </row>
    <row r="7032">
      <c r="J7032">
        <f>IFERROR(__xludf.DUMMYFUNCTION("""COMPUTED_VALUE"""),"SASKATOON, SK")</f>
        <v/>
      </c>
      <c r="K7032">
        <f>IFERROR(__xludf.DUMMYFUNCTION("""COMPUTED_VALUE"""),5945.67)</f>
        <v/>
      </c>
    </row>
    <row r="7033">
      <c r="J7033">
        <f>IFERROR(__xludf.DUMMYFUNCTION("""COMPUTED_VALUE"""),"Ottawa, Ontario, Canada
Montreal, Quebec, Canada")</f>
        <v/>
      </c>
      <c r="K7033">
        <f>IFERROR(__xludf.DUMMYFUNCTION("""COMPUTED_VALUE"""),5945.04)</f>
        <v/>
      </c>
    </row>
    <row r="7034">
      <c r="J7034">
        <f>IFERROR(__xludf.DUMMYFUNCTION("""COMPUTED_VALUE"""),"Quebec City, Ottawa and Toronto")</f>
        <v/>
      </c>
      <c r="K7034">
        <f>IFERROR(__xludf.DUMMYFUNCTION("""COMPUTED_VALUE"""),5944.5)</f>
        <v/>
      </c>
    </row>
    <row r="7035">
      <c r="J7035">
        <f>IFERROR(__xludf.DUMMYFUNCTION("""COMPUTED_VALUE"""),"St. John's, Newfoundland and Labrador and Ottawa, Ontario")</f>
        <v/>
      </c>
      <c r="K7035">
        <f>IFERROR(__xludf.DUMMYFUNCTION("""COMPUTED_VALUE"""),5944.19)</f>
        <v/>
      </c>
    </row>
    <row r="7036">
      <c r="J7036">
        <f>IFERROR(__xludf.DUMMYFUNCTION("""COMPUTED_VALUE"""),"Inuvik, NWT")</f>
        <v/>
      </c>
      <c r="K7036">
        <f>IFERROR(__xludf.DUMMYFUNCTION("""COMPUTED_VALUE"""),5943.87)</f>
        <v/>
      </c>
    </row>
    <row r="7037">
      <c r="J7037">
        <f>IFERROR(__xludf.DUMMYFUNCTION("""COMPUTED_VALUE"""),"Surrey, British Columbia, Canada; Victoria, British Columbia, Canada")</f>
        <v/>
      </c>
      <c r="K7037">
        <f>IFERROR(__xludf.DUMMYFUNCTION("""COMPUTED_VALUE"""),5943.53)</f>
        <v/>
      </c>
    </row>
    <row r="7038">
      <c r="J7038">
        <f>IFERROR(__xludf.DUMMYFUNCTION("""COMPUTED_VALUE"""),"Ottawa, Halifax, Montreal")</f>
        <v/>
      </c>
      <c r="K7038">
        <f>IFERROR(__xludf.DUMMYFUNCTION("""COMPUTED_VALUE"""),5943.05999999999)</f>
        <v/>
      </c>
    </row>
    <row r="7039">
      <c r="J7039">
        <f>IFERROR(__xludf.DUMMYFUNCTION("""COMPUTED_VALUE"""),"Saskatoon and Regina, Saskatchewan")</f>
        <v/>
      </c>
      <c r="K7039">
        <f>IFERROR(__xludf.DUMMYFUNCTION("""COMPUTED_VALUE"""),5941.68)</f>
        <v/>
      </c>
    </row>
    <row r="7040">
      <c r="J7040">
        <f>IFERROR(__xludf.DUMMYFUNCTION("""COMPUTED_VALUE"""),"Whitehorse, YT.")</f>
        <v/>
      </c>
      <c r="K7040">
        <f>IFERROR(__xludf.DUMMYFUNCTION("""COMPUTED_VALUE"""),5941.1)</f>
        <v/>
      </c>
    </row>
    <row r="7041">
      <c r="J7041">
        <f>IFERROR(__xludf.DUMMYFUNCTION("""COMPUTED_VALUE"""),"Barbados, Dominica")</f>
        <v/>
      </c>
      <c r="K7041">
        <f>IFERROR(__xludf.DUMMYFUNCTION("""COMPUTED_VALUE"""),5940.38)</f>
        <v/>
      </c>
    </row>
    <row r="7042">
      <c r="J7042">
        <f>IFERROR(__xludf.DUMMYFUNCTION("""COMPUTED_VALUE"""),"Sri Lanka")</f>
        <v/>
      </c>
      <c r="K7042">
        <f>IFERROR(__xludf.DUMMYFUNCTION("""COMPUTED_VALUE"""),5938.4)</f>
        <v/>
      </c>
    </row>
    <row r="7043">
      <c r="J7043">
        <f>IFERROR(__xludf.DUMMYFUNCTION("""COMPUTED_VALUE"""),"Frederiction and Saint John, New-Brunswick and Vancouver, British Columbia")</f>
        <v/>
      </c>
      <c r="K7043">
        <f>IFERROR(__xludf.DUMMYFUNCTION("""COMPUTED_VALUE"""),5929.92999999999)</f>
        <v/>
      </c>
    </row>
    <row r="7044">
      <c r="J7044">
        <f>IFERROR(__xludf.DUMMYFUNCTION("""COMPUTED_VALUE"""),"Chicago, Vancouver, B.C and Washington, D.C")</f>
        <v/>
      </c>
      <c r="K7044">
        <f>IFERROR(__xludf.DUMMYFUNCTION("""COMPUTED_VALUE"""),5929.62)</f>
        <v/>
      </c>
    </row>
    <row r="7045">
      <c r="J7045">
        <f>IFERROR(__xludf.DUMMYFUNCTION("""COMPUTED_VALUE"""),"Ottawa, ON and Pasadena, California")</f>
        <v/>
      </c>
      <c r="K7045">
        <f>IFERROR(__xludf.DUMMYFUNCTION("""COMPUTED_VALUE"""),5928.94)</f>
        <v/>
      </c>
    </row>
    <row r="7046">
      <c r="J7046">
        <f>IFERROR(__xludf.DUMMYFUNCTION("""COMPUTED_VALUE"""),"St. John's, Newfoundland &amp; Labrador; Sydney, Nova Scotia")</f>
        <v/>
      </c>
      <c r="K7046">
        <f>IFERROR(__xludf.DUMMYFUNCTION("""COMPUTED_VALUE"""),5927.86)</f>
        <v/>
      </c>
    </row>
    <row r="7047">
      <c r="J7047">
        <f>IFERROR(__xludf.DUMMYFUNCTION("""COMPUTED_VALUE"""),"Male, Maldives, Kuala Lumpur, Penang, Hanoi, Can Tho and Singapore")</f>
        <v/>
      </c>
      <c r="K7047">
        <f>IFERROR(__xludf.DUMMYFUNCTION("""COMPUTED_VALUE"""),5926.13)</f>
        <v/>
      </c>
    </row>
    <row r="7048">
      <c r="J7048">
        <f>IFERROR(__xludf.DUMMYFUNCTION("""COMPUTED_VALUE"""),"Hong Kong, Manila, Philippines")</f>
        <v/>
      </c>
      <c r="K7048">
        <f>IFERROR(__xludf.DUMMYFUNCTION("""COMPUTED_VALUE"""),5925.05)</f>
        <v/>
      </c>
    </row>
    <row r="7049">
      <c r="J7049">
        <f>IFERROR(__xludf.DUMMYFUNCTION("""COMPUTED_VALUE"""),"Caraquet, New Brunswick, Canada")</f>
        <v/>
      </c>
      <c r="K7049">
        <f>IFERROR(__xludf.DUMMYFUNCTION("""COMPUTED_VALUE"""),5921.12)</f>
        <v/>
      </c>
    </row>
    <row r="7050">
      <c r="J7050">
        <f>IFERROR(__xludf.DUMMYFUNCTION("""COMPUTED_VALUE"""),"Edmonton, Alberta Saskatoon, Saskatchewan")</f>
        <v/>
      </c>
      <c r="K7050">
        <f>IFERROR(__xludf.DUMMYFUNCTION("""COMPUTED_VALUE"""),5921)</f>
        <v/>
      </c>
    </row>
    <row r="7051">
      <c r="J7051">
        <f>IFERROR(__xludf.DUMMYFUNCTION("""COMPUTED_VALUE"""),"Cleveland, Ohio, USA")</f>
        <v/>
      </c>
      <c r="K7051">
        <f>IFERROR(__xludf.DUMMYFUNCTION("""COMPUTED_VALUE"""),5917.28)</f>
        <v/>
      </c>
    </row>
    <row r="7052">
      <c r="J7052">
        <f>IFERROR(__xludf.DUMMYFUNCTION("""COMPUTED_VALUE"""),"Montréal, Quebec;
Edmonton, Alberta")</f>
        <v/>
      </c>
      <c r="K7052">
        <f>IFERROR(__xludf.DUMMYFUNCTION("""COMPUTED_VALUE"""),5915.17)</f>
        <v/>
      </c>
    </row>
    <row r="7053">
      <c r="J7053">
        <f>IFERROR(__xludf.DUMMYFUNCTION("""COMPUTED_VALUE"""),"Barbados, Caribbean; Jamaica, Caribbean; Trinidad and Tobago, Caribbean")</f>
        <v/>
      </c>
      <c r="K7053">
        <f>IFERROR(__xludf.DUMMYFUNCTION("""COMPUTED_VALUE"""),5914.74)</f>
        <v/>
      </c>
    </row>
    <row r="7054">
      <c r="J7054">
        <f>IFERROR(__xludf.DUMMYFUNCTION("""COMPUTED_VALUE"""),"Dallas and Puerto Vallarta")</f>
        <v/>
      </c>
      <c r="K7054">
        <f>IFERROR(__xludf.DUMMYFUNCTION("""COMPUTED_VALUE"""),5914.31)</f>
        <v/>
      </c>
    </row>
    <row r="7055">
      <c r="J7055">
        <f>IFERROR(__xludf.DUMMYFUNCTION("""COMPUTED_VALUE"""),"Calgary, Alberta and Vancouver British Columbia")</f>
        <v/>
      </c>
      <c r="K7055">
        <f>IFERROR(__xludf.DUMMYFUNCTION("""COMPUTED_VALUE"""),5911.77)</f>
        <v/>
      </c>
    </row>
    <row r="7056">
      <c r="J7056">
        <f>IFERROR(__xludf.DUMMYFUNCTION("""COMPUTED_VALUE"""),"UAE, Kuwait &amp; Egypt")</f>
        <v/>
      </c>
      <c r="K7056">
        <f>IFERROR(__xludf.DUMMYFUNCTION("""COMPUTED_VALUE"""),5911.44)</f>
        <v/>
      </c>
    </row>
    <row r="7057">
      <c r="J7057">
        <f>IFERROR(__xludf.DUMMYFUNCTION("""COMPUTED_VALUE"""),"Mexico, Mexico, Mexico")</f>
        <v/>
      </c>
      <c r="K7057">
        <f>IFERROR(__xludf.DUMMYFUNCTION("""COMPUTED_VALUE"""),5910.06)</f>
        <v/>
      </c>
    </row>
    <row r="7058">
      <c r="J7058">
        <f>IFERROR(__xludf.DUMMYFUNCTION("""COMPUTED_VALUE"""),"Seattle, United States of America")</f>
        <v/>
      </c>
      <c r="K7058">
        <f>IFERROR(__xludf.DUMMYFUNCTION("""COMPUTED_VALUE"""),5908.69)</f>
        <v/>
      </c>
    </row>
    <row r="7059">
      <c r="J7059">
        <f>IFERROR(__xludf.DUMMYFUNCTION("""COMPUTED_VALUE"""),"Winnipeg, Manitoba, Canada; Vancouver, British Columbia, Canada; Toronto, Ontario, Canada; Brampton, Ontario, Canada; Montréal, Quebec, Canada")</f>
        <v/>
      </c>
      <c r="K7059">
        <f>IFERROR(__xludf.DUMMYFUNCTION("""COMPUTED_VALUE"""),5908.42)</f>
        <v/>
      </c>
    </row>
    <row r="7060">
      <c r="J7060">
        <f>IFERROR(__xludf.DUMMYFUNCTION("""COMPUTED_VALUE"""),"Vancouver, British Colombia, Canada / Toronto, Ontario, Canada")</f>
        <v/>
      </c>
      <c r="K7060">
        <f>IFERROR(__xludf.DUMMYFUNCTION("""COMPUTED_VALUE"""),5907.68)</f>
        <v/>
      </c>
    </row>
    <row r="7061">
      <c r="J7061">
        <f>IFERROR(__xludf.DUMMYFUNCTION("""COMPUTED_VALUE"""),"Winnipeg (Manitoba) Canada
Seattle (Washington) United States")</f>
        <v/>
      </c>
      <c r="K7061">
        <f>IFERROR(__xludf.DUMMYFUNCTION("""COMPUTED_VALUE"""),5907.42)</f>
        <v/>
      </c>
    </row>
    <row r="7062">
      <c r="J7062">
        <f>IFERROR(__xludf.DUMMYFUNCTION("""COMPUTED_VALUE"""),"Lisbon, Portgual")</f>
        <v/>
      </c>
      <c r="K7062">
        <f>IFERROR(__xludf.DUMMYFUNCTION("""COMPUTED_VALUE"""),5904.57)</f>
        <v/>
      </c>
    </row>
    <row r="7063">
      <c r="J7063">
        <f>IFERROR(__xludf.DUMMYFUNCTION("""COMPUTED_VALUE"""),"Alaska, United States of America")</f>
        <v/>
      </c>
      <c r="K7063">
        <f>IFERROR(__xludf.DUMMYFUNCTION("""COMPUTED_VALUE"""),5902.29)</f>
        <v/>
      </c>
    </row>
    <row r="7064">
      <c r="J7064">
        <f>IFERROR(__xludf.DUMMYFUNCTION("""COMPUTED_VALUE"""),"Medelin, Colombia; Mexico City, Mexico")</f>
        <v/>
      </c>
      <c r="K7064">
        <f>IFERROR(__xludf.DUMMYFUNCTION("""COMPUTED_VALUE"""),5901.95)</f>
        <v/>
      </c>
    </row>
    <row r="7065">
      <c r="J7065">
        <f>IFERROR(__xludf.DUMMYFUNCTION("""COMPUTED_VALUE"""),"Jerusalem (Israel)")</f>
        <v/>
      </c>
      <c r="K7065">
        <f>IFERROR(__xludf.DUMMYFUNCTION("""COMPUTED_VALUE"""),5900.56)</f>
        <v/>
      </c>
    </row>
    <row r="7066">
      <c r="J7066">
        <f>IFERROR(__xludf.DUMMYFUNCTION("""COMPUTED_VALUE"""),"Regina, SA")</f>
        <v/>
      </c>
      <c r="K7066">
        <f>IFERROR(__xludf.DUMMYFUNCTION("""COMPUTED_VALUE"""),5900.52)</f>
        <v/>
      </c>
    </row>
    <row r="7067">
      <c r="J7067">
        <f>IFERROR(__xludf.DUMMYFUNCTION("""COMPUTED_VALUE"""),"Quebec City, Quebec, Canada; Kitcisakik, Quebec, Canada")</f>
        <v/>
      </c>
      <c r="K7067">
        <f>IFERROR(__xludf.DUMMYFUNCTION("""COMPUTED_VALUE"""),5899.09)</f>
        <v/>
      </c>
    </row>
    <row r="7068">
      <c r="J7068">
        <f>IFERROR(__xludf.DUMMYFUNCTION("""COMPUTED_VALUE"""),"Miramichi, NB")</f>
        <v/>
      </c>
      <c r="K7068">
        <f>IFERROR(__xludf.DUMMYFUNCTION("""COMPUTED_VALUE"""),5897.96)</f>
        <v/>
      </c>
    </row>
    <row r="7069">
      <c r="J7069">
        <f>IFERROR(__xludf.DUMMYFUNCTION("""COMPUTED_VALUE"""),"Naypyidaw and Yangon  Burma")</f>
        <v/>
      </c>
      <c r="K7069">
        <f>IFERROR(__xludf.DUMMYFUNCTION("""COMPUTED_VALUE"""),5897.01)</f>
        <v/>
      </c>
    </row>
    <row r="7070">
      <c r="J7070">
        <f>IFERROR(__xludf.DUMMYFUNCTION("""COMPUTED_VALUE"""),"Garmich, Germany")</f>
        <v/>
      </c>
      <c r="K7070">
        <f>IFERROR(__xludf.DUMMYFUNCTION("""COMPUTED_VALUE"""),5895.95)</f>
        <v/>
      </c>
    </row>
    <row r="7071">
      <c r="J7071">
        <f>IFERROR(__xludf.DUMMYFUNCTION("""COMPUTED_VALUE"""),"Moncton, New Brunswick, Canada 
Winnipeg, Manitoba, Canada
Edmonton and Calgary, Alberta, Canada
Vancouver, Brithish Columbia, Canada")</f>
        <v/>
      </c>
      <c r="K7071">
        <f>IFERROR(__xludf.DUMMYFUNCTION("""COMPUTED_VALUE"""),5894.6)</f>
        <v/>
      </c>
    </row>
    <row r="7072">
      <c r="J7072">
        <f>IFERROR(__xludf.DUMMYFUNCTION("""COMPUTED_VALUE"""),"Dallas, Houston and Amsterdam")</f>
        <v/>
      </c>
      <c r="K7072">
        <f>IFERROR(__xludf.DUMMYFUNCTION("""COMPUTED_VALUE"""),5894.17)</f>
        <v/>
      </c>
    </row>
    <row r="7073">
      <c r="J7073">
        <f>IFERROR(__xludf.DUMMYFUNCTION("""COMPUTED_VALUE"""),"London, England and Souda Bay, Crete")</f>
        <v/>
      </c>
      <c r="K7073">
        <f>IFERROR(__xludf.DUMMYFUNCTION("""COMPUTED_VALUE"""),5893.72)</f>
        <v/>
      </c>
    </row>
    <row r="7074">
      <c r="J7074">
        <f>IFERROR(__xludf.DUMMYFUNCTION("""COMPUTED_VALUE"""),"Winnipeg, Manitoba, Canada; Vancouver, British Columbia, Canada; Whitehorse, Yukon, Canada")</f>
        <v/>
      </c>
      <c r="K7074">
        <f>IFERROR(__xludf.DUMMYFUNCTION("""COMPUTED_VALUE"""),5893.54)</f>
        <v/>
      </c>
    </row>
    <row r="7075">
      <c r="J7075">
        <f>IFERROR(__xludf.DUMMYFUNCTION("""COMPUTED_VALUE"""),"Russia;London, England;Dublin, Ireland")</f>
        <v/>
      </c>
      <c r="K7075">
        <f>IFERROR(__xludf.DUMMYFUNCTION("""COMPUTED_VALUE"""),5891.48)</f>
        <v/>
      </c>
    </row>
    <row r="7076">
      <c r="J7076">
        <f>IFERROR(__xludf.DUMMYFUNCTION("""COMPUTED_VALUE"""),"Timmins, Ontario, Canada; Kapuskasing, Ontario, Canada")</f>
        <v/>
      </c>
      <c r="K7076">
        <f>IFERROR(__xludf.DUMMYFUNCTION("""COMPUTED_VALUE"""),5891.16)</f>
        <v/>
      </c>
    </row>
    <row r="7077">
      <c r="J7077">
        <f>IFERROR(__xludf.DUMMYFUNCTION("""COMPUTED_VALUE"""),"Torshavn, Faroe Islands")</f>
        <v/>
      </c>
      <c r="K7077">
        <f>IFERROR(__xludf.DUMMYFUNCTION("""COMPUTED_VALUE"""),5889.67)</f>
        <v/>
      </c>
    </row>
    <row r="7078">
      <c r="J7078">
        <f>IFERROR(__xludf.DUMMYFUNCTION("""COMPUTED_VALUE"""),"Soeul, Korea")</f>
        <v/>
      </c>
      <c r="K7078">
        <f>IFERROR(__xludf.DUMMYFUNCTION("""COMPUTED_VALUE"""),5888.58)</f>
        <v/>
      </c>
    </row>
    <row r="7079">
      <c r="J7079">
        <f>IFERROR(__xludf.DUMMYFUNCTION("""COMPUTED_VALUE"""),"Washington (D.C.) United States")</f>
        <v/>
      </c>
      <c r="K7079">
        <f>IFERROR(__xludf.DUMMYFUNCTION("""COMPUTED_VALUE"""),5887.51)</f>
        <v/>
      </c>
    </row>
    <row r="7080">
      <c r="J7080">
        <f>IFERROR(__xludf.DUMMYFUNCTION("""COMPUTED_VALUE"""),"Jersulam, Tel Aviv and China")</f>
        <v/>
      </c>
      <c r="K7080">
        <f>IFERROR(__xludf.DUMMYFUNCTION("""COMPUTED_VALUE"""),5885.69)</f>
        <v/>
      </c>
    </row>
    <row r="7081">
      <c r="J7081">
        <f>IFERROR(__xludf.DUMMYFUNCTION("""COMPUTED_VALUE"""),"Sault Ste. Marie, Ontario / Sudbury, Ontario")</f>
        <v/>
      </c>
      <c r="K7081">
        <f>IFERROR(__xludf.DUMMYFUNCTION("""COMPUTED_VALUE"""),5885.29)</f>
        <v/>
      </c>
    </row>
    <row r="7082">
      <c r="J7082">
        <f>IFERROR(__xludf.DUMMYFUNCTION("""COMPUTED_VALUE"""),"Berlin, Germany Brussels, Belgium")</f>
        <v/>
      </c>
      <c r="K7082">
        <f>IFERROR(__xludf.DUMMYFUNCTION("""COMPUTED_VALUE"""),5883.82)</f>
        <v/>
      </c>
    </row>
    <row r="7083">
      <c r="J7083">
        <f>IFERROR(__xludf.DUMMYFUNCTION("""COMPUTED_VALUE"""),"Yellowknife, Northwest Territories, Canada; Ottawa, Ontario, Canada")</f>
        <v/>
      </c>
      <c r="K7083">
        <f>IFERROR(__xludf.DUMMYFUNCTION("""COMPUTED_VALUE"""),5881.87)</f>
        <v/>
      </c>
    </row>
    <row r="7084">
      <c r="J7084">
        <f>IFERROR(__xludf.DUMMYFUNCTION("""COMPUTED_VALUE"""),"Churchill, Manitoba and Vancouver and Victoria, British Columbia and Western Arctic")</f>
        <v/>
      </c>
      <c r="K7084">
        <f>IFERROR(__xludf.DUMMYFUNCTION("""COMPUTED_VALUE"""),5881.47)</f>
        <v/>
      </c>
    </row>
    <row r="7085">
      <c r="J7085">
        <f>IFERROR(__xludf.DUMMYFUNCTION("""COMPUTED_VALUE"""),"Paris, France, Berlin, Germany")</f>
        <v/>
      </c>
      <c r="K7085">
        <f>IFERROR(__xludf.DUMMYFUNCTION("""COMPUTED_VALUE"""),5879.63)</f>
        <v/>
      </c>
    </row>
    <row r="7086">
      <c r="J7086">
        <f>IFERROR(__xludf.DUMMYFUNCTION("""COMPUTED_VALUE"""),"Montreal, London, Canada")</f>
        <v/>
      </c>
      <c r="K7086">
        <f>IFERROR(__xludf.DUMMYFUNCTION("""COMPUTED_VALUE"""),5878.6)</f>
        <v/>
      </c>
    </row>
    <row r="7087">
      <c r="J7087">
        <f>IFERROR(__xludf.DUMMYFUNCTION("""COMPUTED_VALUE"""),"Washington, DC, Toronto, ON")</f>
        <v/>
      </c>
      <c r="K7087">
        <f>IFERROR(__xludf.DUMMYFUNCTION("""COMPUTED_VALUE"""),5877.46)</f>
        <v/>
      </c>
    </row>
    <row r="7088">
      <c r="J7088">
        <f>IFERROR(__xludf.DUMMYFUNCTION("""COMPUTED_VALUE"""),"Calgary, Alberta Yellowknife, NWT")</f>
        <v/>
      </c>
      <c r="K7088">
        <f>IFERROR(__xludf.DUMMYFUNCTION("""COMPUTED_VALUE"""),5876.75)</f>
        <v/>
      </c>
    </row>
    <row r="7089">
      <c r="J7089">
        <f>IFERROR(__xludf.DUMMYFUNCTION("""COMPUTED_VALUE"""),"Turkey and India")</f>
        <v/>
      </c>
      <c r="K7089">
        <f>IFERROR(__xludf.DUMMYFUNCTION("""COMPUTED_VALUE"""),5876.63)</f>
        <v/>
      </c>
    </row>
    <row r="7090">
      <c r="J7090">
        <f>IFERROR(__xludf.DUMMYFUNCTION("""COMPUTED_VALUE"""),"Paris, France; London, England")</f>
        <v/>
      </c>
      <c r="K7090">
        <f>IFERROR(__xludf.DUMMYFUNCTION("""COMPUTED_VALUE"""),5875.78)</f>
        <v/>
      </c>
    </row>
    <row r="7091">
      <c r="J7091">
        <f>IFERROR(__xludf.DUMMYFUNCTION("""COMPUTED_VALUE"""),"Happy Valley-Goose Bay")</f>
        <v/>
      </c>
      <c r="K7091">
        <f>IFERROR(__xludf.DUMMYFUNCTION("""COMPUTED_VALUE"""),5875.53999999999)</f>
        <v/>
      </c>
    </row>
    <row r="7092">
      <c r="J7092">
        <f>IFERROR(__xludf.DUMMYFUNCTION("""COMPUTED_VALUE"""),"Davos, Switzerland/Brussels, Belgium")</f>
        <v/>
      </c>
      <c r="K7092">
        <f>IFERROR(__xludf.DUMMYFUNCTION("""COMPUTED_VALUE"""),5874.42)</f>
        <v/>
      </c>
    </row>
    <row r="7093">
      <c r="J7093">
        <f>IFERROR(__xludf.DUMMYFUNCTION("""COMPUTED_VALUE"""),"La Jolla, CA")</f>
        <v/>
      </c>
      <c r="K7093">
        <f>IFERROR(__xludf.DUMMYFUNCTION("""COMPUTED_VALUE"""),5872.99)</f>
        <v/>
      </c>
    </row>
    <row r="7094">
      <c r="J7094">
        <f>IFERROR(__xludf.DUMMYFUNCTION("""COMPUTED_VALUE"""),"Canada: Toronto Winnipeg Calgary Vancouver")</f>
        <v/>
      </c>
      <c r="K7094">
        <f>IFERROR(__xludf.DUMMYFUNCTION("""COMPUTED_VALUE"""),5872.27)</f>
        <v/>
      </c>
    </row>
    <row r="7095">
      <c r="J7095">
        <f>IFERROR(__xludf.DUMMYFUNCTION("""COMPUTED_VALUE"""),"Los Angeles, CA, USA")</f>
        <v/>
      </c>
      <c r="K7095">
        <f>IFERROR(__xludf.DUMMYFUNCTION("""COMPUTED_VALUE"""),5871.54)</f>
        <v/>
      </c>
    </row>
    <row r="7096">
      <c r="J7096">
        <f>IFERROR(__xludf.DUMMYFUNCTION("""COMPUTED_VALUE"""),"San Diego California")</f>
        <v/>
      </c>
      <c r="K7096">
        <f>IFERROR(__xludf.DUMMYFUNCTION("""COMPUTED_VALUE"""),5870.98)</f>
        <v/>
      </c>
    </row>
    <row r="7097">
      <c r="J7097">
        <f>IFERROR(__xludf.DUMMYFUNCTION("""COMPUTED_VALUE"""),"Calgary, AB - Vancouver BC")</f>
        <v/>
      </c>
      <c r="K7097">
        <f>IFERROR(__xludf.DUMMYFUNCTION("""COMPUTED_VALUE"""),5868.71)</f>
        <v/>
      </c>
    </row>
    <row r="7098">
      <c r="J7098">
        <f>IFERROR(__xludf.DUMMYFUNCTION("""COMPUTED_VALUE"""),"Thunder Bay, Ontario, Canada/ Sault Ste. Marie, Ontario, Canada")</f>
        <v/>
      </c>
      <c r="K7098">
        <f>IFERROR(__xludf.DUMMYFUNCTION("""COMPUTED_VALUE"""),5867.03)</f>
        <v/>
      </c>
    </row>
    <row r="7099">
      <c r="J7099">
        <f>IFERROR(__xludf.DUMMYFUNCTION("""COMPUTED_VALUE"""),"Halifax/Toronto")</f>
        <v/>
      </c>
      <c r="K7099">
        <f>IFERROR(__xludf.DUMMYFUNCTION("""COMPUTED_VALUE"""),5866.87)</f>
        <v/>
      </c>
    </row>
    <row r="7100">
      <c r="J7100">
        <f>IFERROR(__xludf.DUMMYFUNCTION("""COMPUTED_VALUE"""),"Salt Lake City, Utah, USA")</f>
        <v/>
      </c>
      <c r="K7100">
        <f>IFERROR(__xludf.DUMMYFUNCTION("""COMPUTED_VALUE"""),5865.86)</f>
        <v/>
      </c>
    </row>
    <row r="7101">
      <c r="J7101">
        <f>IFERROR(__xludf.DUMMYFUNCTION("""COMPUTED_VALUE"""),"Washington, D.C., United State of America")</f>
        <v/>
      </c>
      <c r="K7101">
        <f>IFERROR(__xludf.DUMMYFUNCTION("""COMPUTED_VALUE"""),5865.27)</f>
        <v/>
      </c>
    </row>
    <row r="7102">
      <c r="J7102">
        <f>IFERROR(__xludf.DUMMYFUNCTION("""COMPUTED_VALUE"""),"Val D'Or, Quebec, Canada")</f>
        <v/>
      </c>
      <c r="K7102">
        <f>IFERROR(__xludf.DUMMYFUNCTION("""COMPUTED_VALUE"""),5865.19999999999)</f>
        <v/>
      </c>
    </row>
    <row r="7103">
      <c r="J7103">
        <f>IFERROR(__xludf.DUMMYFUNCTION("""COMPUTED_VALUE"""),"Toronto, ON / London, ON")</f>
        <v/>
      </c>
      <c r="K7103">
        <f>IFERROR(__xludf.DUMMYFUNCTION("""COMPUTED_VALUE"""),5864.92)</f>
        <v/>
      </c>
    </row>
    <row r="7104">
      <c r="J7104">
        <f>IFERROR(__xludf.DUMMYFUNCTION("""COMPUTED_VALUE"""),"Toronto and London, Ontario")</f>
        <v/>
      </c>
      <c r="K7104">
        <f>IFERROR(__xludf.DUMMYFUNCTION("""COMPUTED_VALUE"""),5864.84)</f>
        <v/>
      </c>
    </row>
    <row r="7105">
      <c r="J7105">
        <f>IFERROR(__xludf.DUMMYFUNCTION("""COMPUTED_VALUE"""),"Guatemala City - Mexico City, Guatemala - Mexico")</f>
        <v/>
      </c>
      <c r="K7105">
        <f>IFERROR(__xludf.DUMMYFUNCTION("""COMPUTED_VALUE"""),5861.93)</f>
        <v/>
      </c>
    </row>
    <row r="7106">
      <c r="J7106">
        <f>IFERROR(__xludf.DUMMYFUNCTION("""COMPUTED_VALUE"""),"Toronto ON and London UK")</f>
        <v/>
      </c>
      <c r="K7106">
        <f>IFERROR(__xludf.DUMMYFUNCTION("""COMPUTED_VALUE"""),5859.87)</f>
        <v/>
      </c>
    </row>
    <row r="7107">
      <c r="J7107">
        <f>IFERROR(__xludf.DUMMYFUNCTION("""COMPUTED_VALUE"""),"Toronto / Calgary, Ontario / Alberta, Canada")</f>
        <v/>
      </c>
      <c r="K7107">
        <f>IFERROR(__xludf.DUMMYFUNCTION("""COMPUTED_VALUE"""),5858.52)</f>
        <v/>
      </c>
    </row>
    <row r="7108">
      <c r="J7108">
        <f>IFERROR(__xludf.DUMMYFUNCTION("""COMPUTED_VALUE"""),"Sea Island, Georgia")</f>
        <v/>
      </c>
      <c r="K7108">
        <f>IFERROR(__xludf.DUMMYFUNCTION("""COMPUTED_VALUE"""),5858.51)</f>
        <v/>
      </c>
    </row>
    <row r="7109">
      <c r="J7109">
        <f>IFERROR(__xludf.DUMMYFUNCTION("""COMPUTED_VALUE"""),"London &amp; Brussels")</f>
        <v/>
      </c>
      <c r="K7109">
        <f>IFERROR(__xludf.DUMMYFUNCTION("""COMPUTED_VALUE"""),5857.16)</f>
        <v/>
      </c>
    </row>
    <row r="7110">
      <c r="J7110">
        <f>IFERROR(__xludf.DUMMYFUNCTION("""COMPUTED_VALUE"""),"Argentina, Brasilia")</f>
        <v/>
      </c>
      <c r="K7110">
        <f>IFERROR(__xludf.DUMMYFUNCTION("""COMPUTED_VALUE"""),5856.05)</f>
        <v/>
      </c>
    </row>
    <row r="7111">
      <c r="J7111">
        <f>IFERROR(__xludf.DUMMYFUNCTION("""COMPUTED_VALUE"""),"Cambridge Bay, Nunavut; Edmonton, Alberta")</f>
        <v/>
      </c>
      <c r="K7111">
        <f>IFERROR(__xludf.DUMMYFUNCTION("""COMPUTED_VALUE"""),5855.36)</f>
        <v/>
      </c>
    </row>
    <row r="7112">
      <c r="J7112">
        <f>IFERROR(__xludf.DUMMYFUNCTION("""COMPUTED_VALUE"""),"Glasgow, Brussels")</f>
        <v/>
      </c>
      <c r="K7112">
        <f>IFERROR(__xludf.DUMMYFUNCTION("""COMPUTED_VALUE"""),5854.69)</f>
        <v/>
      </c>
    </row>
    <row r="7113">
      <c r="J7113">
        <f>IFERROR(__xludf.DUMMYFUNCTION("""COMPUTED_VALUE"""),"Yellowknife, Northwest Territories, Canada; Inuvik, Northwest Territories, Canada; Edmonton, Alberta, Canada")</f>
        <v/>
      </c>
      <c r="K7113">
        <f>IFERROR(__xludf.DUMMYFUNCTION("""COMPUTED_VALUE"""),5852.05999999999)</f>
        <v/>
      </c>
    </row>
    <row r="7114">
      <c r="J7114">
        <f>IFERROR(__xludf.DUMMYFUNCTION("""COMPUTED_VALUE"""),"Saint-Michel-des-Saints, Quebec, Canada")</f>
        <v/>
      </c>
      <c r="K7114">
        <f>IFERROR(__xludf.DUMMYFUNCTION("""COMPUTED_VALUE"""),5850.02)</f>
        <v/>
      </c>
    </row>
    <row r="7115">
      <c r="J7115">
        <f>IFERROR(__xludf.DUMMYFUNCTION("""COMPUTED_VALUE"""),"Paris, France - Geneva, Switzerland")</f>
        <v/>
      </c>
      <c r="K7115">
        <f>IFERROR(__xludf.DUMMYFUNCTION("""COMPUTED_VALUE"""),5848.75)</f>
        <v/>
      </c>
    </row>
    <row r="7116">
      <c r="J7116">
        <f>IFERROR(__xludf.DUMMYFUNCTION("""COMPUTED_VALUE"""),"Toronto, ON - Vancouver, BC - Prince Rupert, BC - Québec City, QC - Moncton, NB")</f>
        <v/>
      </c>
      <c r="K7116">
        <f>IFERROR(__xludf.DUMMYFUNCTION("""COMPUTED_VALUE"""),5848.28)</f>
        <v/>
      </c>
    </row>
    <row r="7117">
      <c r="J7117">
        <f>IFERROR(__xludf.DUMMYFUNCTION("""COMPUTED_VALUE"""),"Mississauga, Ontario, Canada                                    Edmonton, Alberta,Canda                                              Fort Smith, Northwest Territories, Canada       Fort Chipewyan, Alberta, Canada")</f>
        <v/>
      </c>
      <c r="K7117">
        <f>IFERROR(__xludf.DUMMYFUNCTION("""COMPUTED_VALUE"""),5845.5)</f>
        <v/>
      </c>
    </row>
    <row r="7118">
      <c r="J7118">
        <f>IFERROR(__xludf.DUMMYFUNCTION("""COMPUTED_VALUE"""),"Montreal, QC, Toronto, ON, Vancouver, BC, Winnipeg, MB, Halifax, NS")</f>
        <v/>
      </c>
      <c r="K7118">
        <f>IFERROR(__xludf.DUMMYFUNCTION("""COMPUTED_VALUE"""),5845.17)</f>
        <v/>
      </c>
    </row>
    <row r="7119">
      <c r="J7119">
        <f>IFERROR(__xludf.DUMMYFUNCTION("""COMPUTED_VALUE"""),"Bangkok, Thailand, Nay Pyi Taw and Rangoon, Burma")</f>
        <v/>
      </c>
      <c r="K7119">
        <f>IFERROR(__xludf.DUMMYFUNCTION("""COMPUTED_VALUE"""),5844.51)</f>
        <v/>
      </c>
    </row>
    <row r="7120">
      <c r="J7120">
        <f>IFERROR(__xludf.DUMMYFUNCTION("""COMPUTED_VALUE"""),"Washington and Alaska, United States")</f>
        <v/>
      </c>
      <c r="K7120">
        <f>IFERROR(__xludf.DUMMYFUNCTION("""COMPUTED_VALUE"""),5844.26)</f>
        <v/>
      </c>
    </row>
    <row r="7121">
      <c r="J7121">
        <f>IFERROR(__xludf.DUMMYFUNCTION("""COMPUTED_VALUE"""),"Frankfurt, Germany/ Munich, Germany/ Stuttgart, Germany/ Wolfsburg, Germany")</f>
        <v/>
      </c>
      <c r="K7121">
        <f>IFERROR(__xludf.DUMMYFUNCTION("""COMPUTED_VALUE"""),5843.6)</f>
        <v/>
      </c>
    </row>
    <row r="7122">
      <c r="J7122">
        <f>IFERROR(__xludf.DUMMYFUNCTION("""COMPUTED_VALUE"""),"Bagotville, QC Edmonton, AB Regina, SK Saskatoon, SK Winnipeg, MB")</f>
        <v/>
      </c>
      <c r="K7122">
        <f>IFERROR(__xludf.DUMMYFUNCTION("""COMPUTED_VALUE"""),5843.22)</f>
        <v/>
      </c>
    </row>
    <row r="7123">
      <c r="J7123">
        <f>IFERROR(__xludf.DUMMYFUNCTION("""COMPUTED_VALUE"""),"Rome, Italy
Bari, Italy")</f>
        <v/>
      </c>
      <c r="K7123">
        <f>IFERROR(__xludf.DUMMYFUNCTION("""COMPUTED_VALUE"""),5842.42)</f>
        <v/>
      </c>
    </row>
    <row r="7124">
      <c r="J7124">
        <f>IFERROR(__xludf.DUMMYFUNCTION("""COMPUTED_VALUE"""),"Montreal, Quebec; New York, United States")</f>
        <v/>
      </c>
      <c r="K7124">
        <f>IFERROR(__xludf.DUMMYFUNCTION("""COMPUTED_VALUE"""),5841.11)</f>
        <v/>
      </c>
    </row>
    <row r="7125">
      <c r="J7125">
        <f>IFERROR(__xludf.DUMMYFUNCTION("""COMPUTED_VALUE"""),"Vigo, Madrid and Valencia, Spain")</f>
        <v/>
      </c>
      <c r="K7125">
        <f>IFERROR(__xludf.DUMMYFUNCTION("""COMPUTED_VALUE"""),5840.77)</f>
        <v/>
      </c>
    </row>
    <row r="7126">
      <c r="J7126">
        <f>IFERROR(__xludf.DUMMYFUNCTION("""COMPUTED_VALUE"""),"Edmonton - Fort Saskatchewan, Alberta")</f>
        <v/>
      </c>
      <c r="K7126">
        <f>IFERROR(__xludf.DUMMYFUNCTION("""COMPUTED_VALUE"""),5839.81)</f>
        <v/>
      </c>
    </row>
    <row r="7127">
      <c r="J7127">
        <f>IFERROR(__xludf.DUMMYFUNCTION("""COMPUTED_VALUE"""),"Ivory Coast and South Africa")</f>
        <v/>
      </c>
      <c r="K7127">
        <f>IFERROR(__xludf.DUMMYFUNCTION("""COMPUTED_VALUE"""),5839.67)</f>
        <v/>
      </c>
    </row>
    <row r="7128">
      <c r="J7128">
        <f>IFERROR(__xludf.DUMMYFUNCTION("""COMPUTED_VALUE"""),"Regina, SK - Calgary, AB - Edmonton, AB")</f>
        <v/>
      </c>
      <c r="K7128">
        <f>IFERROR(__xludf.DUMMYFUNCTION("""COMPUTED_VALUE"""),5838.88999999999)</f>
        <v/>
      </c>
    </row>
    <row r="7129">
      <c r="J7129">
        <f>IFERROR(__xludf.DUMMYFUNCTION("""COMPUTED_VALUE"""),"Nantes,France")</f>
        <v/>
      </c>
      <c r="K7129">
        <f>IFERROR(__xludf.DUMMYFUNCTION("""COMPUTED_VALUE"""),5838.23)</f>
        <v/>
      </c>
    </row>
    <row r="7130">
      <c r="J7130">
        <f>IFERROR(__xludf.DUMMYFUNCTION("""COMPUTED_VALUE"""),"Calgary, AB - Whitehorse, YT - Vancouver, BC")</f>
        <v/>
      </c>
      <c r="K7130">
        <f>IFERROR(__xludf.DUMMYFUNCTION("""COMPUTED_VALUE"""),5838.12)</f>
        <v/>
      </c>
    </row>
    <row r="7131">
      <c r="J7131">
        <f>IFERROR(__xludf.DUMMYFUNCTION("""COMPUTED_VALUE"""),"Ottawa, Washington")</f>
        <v/>
      </c>
      <c r="K7131">
        <f>IFERROR(__xludf.DUMMYFUNCTION("""COMPUTED_VALUE"""),5838.1)</f>
        <v/>
      </c>
    </row>
    <row r="7132">
      <c r="J7132">
        <f>IFERROR(__xludf.DUMMYFUNCTION("""COMPUTED_VALUE"""),"Shreveport, Louisiana")</f>
        <v/>
      </c>
      <c r="K7132">
        <f>IFERROR(__xludf.DUMMYFUNCTION("""COMPUTED_VALUE"""),5836.07)</f>
        <v/>
      </c>
    </row>
    <row r="7133">
      <c r="J7133">
        <f>IFERROR(__xludf.DUMMYFUNCTION("""COMPUTED_VALUE"""),"Calgary, AB - Banff, AB")</f>
        <v/>
      </c>
      <c r="K7133">
        <f>IFERROR(__xludf.DUMMYFUNCTION("""COMPUTED_VALUE"""),5835.29999999999)</f>
        <v/>
      </c>
    </row>
    <row r="7134">
      <c r="J7134">
        <f>IFERROR(__xludf.DUMMYFUNCTION("""COMPUTED_VALUE"""),"Sarnia, Ontario")</f>
        <v/>
      </c>
      <c r="K7134">
        <f>IFERROR(__xludf.DUMMYFUNCTION("""COMPUTED_VALUE"""),5834.36)</f>
        <v/>
      </c>
    </row>
    <row r="7135">
      <c r="J7135">
        <f>IFERROR(__xludf.DUMMYFUNCTION("""COMPUTED_VALUE"""),"Ise-Shima, JP")</f>
        <v/>
      </c>
      <c r="K7135">
        <f>IFERROR(__xludf.DUMMYFUNCTION("""COMPUTED_VALUE"""),5834.34)</f>
        <v/>
      </c>
    </row>
    <row r="7136">
      <c r="J7136">
        <f>IFERROR(__xludf.DUMMYFUNCTION("""COMPUTED_VALUE"""),"Yellowknife, Northwest Territories and Edmonton, Alberta, Canada")</f>
        <v/>
      </c>
      <c r="K7136">
        <f>IFERROR(__xludf.DUMMYFUNCTION("""COMPUTED_VALUE"""),5831.79)</f>
        <v/>
      </c>
    </row>
    <row r="7137">
      <c r="J7137">
        <f>IFERROR(__xludf.DUMMYFUNCTION("""COMPUTED_VALUE"""),"Washington (D.C.)")</f>
        <v/>
      </c>
      <c r="K7137">
        <f>IFERROR(__xludf.DUMMYFUNCTION("""COMPUTED_VALUE"""),5831.54)</f>
        <v/>
      </c>
    </row>
    <row r="7138">
      <c r="J7138">
        <f>IFERROR(__xludf.DUMMYFUNCTION("""COMPUTED_VALUE"""),"Edinburgh (Scotland) United Kingdom")</f>
        <v/>
      </c>
      <c r="K7138">
        <f>IFERROR(__xludf.DUMMYFUNCTION("""COMPUTED_VALUE"""),5831.49)</f>
        <v/>
      </c>
    </row>
    <row r="7139">
      <c r="J7139">
        <f>IFERROR(__xludf.DUMMYFUNCTION("""COMPUTED_VALUE"""),"Frankfurt,Germany/ Wolfsburg, Germany /Stuttgart, Germany/ Munich, Germany/ Milan, Italy")</f>
        <v/>
      </c>
      <c r="K7139">
        <f>IFERROR(__xludf.DUMMYFUNCTION("""COMPUTED_VALUE"""),5831.42)</f>
        <v/>
      </c>
    </row>
    <row r="7140">
      <c r="J7140">
        <f>IFERROR(__xludf.DUMMYFUNCTION("""COMPUTED_VALUE"""),"Montreal, Quebec, Canada; Quebec City, Quebec, Canada")</f>
        <v/>
      </c>
      <c r="K7140">
        <f>IFERROR(__xludf.DUMMYFUNCTION("""COMPUTED_VALUE"""),5831.28)</f>
        <v/>
      </c>
    </row>
    <row r="7141">
      <c r="J7141">
        <f>IFERROR(__xludf.DUMMYFUNCTION("""COMPUTED_VALUE"""),"London, UK
Belgium, Brussels")</f>
        <v/>
      </c>
      <c r="K7141">
        <f>IFERROR(__xludf.DUMMYFUNCTION("""COMPUTED_VALUE"""),5831)</f>
        <v/>
      </c>
    </row>
    <row r="7142">
      <c r="J7142">
        <f>IFERROR(__xludf.DUMMYFUNCTION("""COMPUTED_VALUE"""),"Vancouver / Montreal")</f>
        <v/>
      </c>
      <c r="K7142">
        <f>IFERROR(__xludf.DUMMYFUNCTION("""COMPUTED_VALUE"""),5829.2)</f>
        <v/>
      </c>
    </row>
    <row r="7143">
      <c r="J7143">
        <f>IFERROR(__xludf.DUMMYFUNCTION("""COMPUTED_VALUE"""),"Winnipeg and Ottawa")</f>
        <v/>
      </c>
      <c r="K7143">
        <f>IFERROR(__xludf.DUMMYFUNCTION("""COMPUTED_VALUE"""),5829.15)</f>
        <v/>
      </c>
    </row>
    <row r="7144">
      <c r="J7144">
        <f>IFERROR(__xludf.DUMMYFUNCTION("""COMPUTED_VALUE"""),"FRANKFURT, GERMANY &amp; ISTANBUL, TURKEY")</f>
        <v/>
      </c>
      <c r="K7144">
        <f>IFERROR(__xludf.DUMMYFUNCTION("""COMPUTED_VALUE"""),5829.09)</f>
        <v/>
      </c>
    </row>
    <row r="7145">
      <c r="J7145">
        <f>IFERROR(__xludf.DUMMYFUNCTION("""COMPUTED_VALUE"""),"Toronto, Ontario, Canada / Frankfurt, Germany / New Delhi, Amritsar, Ludhiana, Qadian, Chandigarh, Jalandhar, and Sehaura, India / Lahore and Nankana, Pakistan / Zurich, Switzerland")</f>
        <v/>
      </c>
      <c r="K7145">
        <f>IFERROR(__xludf.DUMMYFUNCTION("""COMPUTED_VALUE"""),5828.07)</f>
        <v/>
      </c>
    </row>
    <row r="7146">
      <c r="J7146">
        <f>IFERROR(__xludf.DUMMYFUNCTION("""COMPUTED_VALUE"""),"London, UK, Amman, Jordan")</f>
        <v/>
      </c>
      <c r="K7146">
        <f>IFERROR(__xludf.DUMMYFUNCTION("""COMPUTED_VALUE"""),5826.58)</f>
        <v/>
      </c>
    </row>
    <row r="7147">
      <c r="J7147">
        <f>IFERROR(__xludf.DUMMYFUNCTION("""COMPUTED_VALUE"""),"Victoria, British Columbia, Canada; Ottawa, Ontario, Canada")</f>
        <v/>
      </c>
      <c r="K7147">
        <f>IFERROR(__xludf.DUMMYFUNCTION("""COMPUTED_VALUE"""),5824.72)</f>
        <v/>
      </c>
    </row>
    <row r="7148">
      <c r="J7148">
        <f>IFERROR(__xludf.DUMMYFUNCTION("""COMPUTED_VALUE"""),"Halifax &amp; Ottawa")</f>
        <v/>
      </c>
      <c r="K7148">
        <f>IFERROR(__xludf.DUMMYFUNCTION("""COMPUTED_VALUE"""),5824.4)</f>
        <v/>
      </c>
    </row>
    <row r="7149">
      <c r="J7149">
        <f>IFERROR(__xludf.DUMMYFUNCTION("""COMPUTED_VALUE"""),"Calgary, Alberta, Canada; Vancouver, British Columbia, Canada; Victoria, British Columbia, Canada")</f>
        <v/>
      </c>
      <c r="K7149">
        <f>IFERROR(__xludf.DUMMYFUNCTION("""COMPUTED_VALUE"""),5824.22)</f>
        <v/>
      </c>
    </row>
    <row r="7150">
      <c r="J7150">
        <f>IFERROR(__xludf.DUMMYFUNCTION("""COMPUTED_VALUE"""),"Ottawa et Montréal (Canada)")</f>
        <v/>
      </c>
      <c r="K7150">
        <f>IFERROR(__xludf.DUMMYFUNCTION("""COMPUTED_VALUE"""),5824.21)</f>
        <v/>
      </c>
    </row>
    <row r="7151">
      <c r="J7151">
        <f>IFERROR(__xludf.DUMMYFUNCTION("""COMPUTED_VALUE"""),"Montreal, Que.")</f>
        <v/>
      </c>
      <c r="K7151">
        <f>IFERROR(__xludf.DUMMYFUNCTION("""COMPUTED_VALUE"""),5823.05)</f>
        <v/>
      </c>
    </row>
    <row r="7152">
      <c r="J7152">
        <f>IFERROR(__xludf.DUMMYFUNCTION("""COMPUTED_VALUE"""),"Toronto, Vancouver, Victoria")</f>
        <v/>
      </c>
      <c r="K7152">
        <f>IFERROR(__xludf.DUMMYFUNCTION("""COMPUTED_VALUE"""),5820.46)</f>
        <v/>
      </c>
    </row>
    <row r="7153">
      <c r="J7153">
        <f>IFERROR(__xludf.DUMMYFUNCTION("""COMPUTED_VALUE"""),"Seattle, Washington and Vancouver, BC")</f>
        <v/>
      </c>
      <c r="K7153">
        <f>IFERROR(__xludf.DUMMYFUNCTION("""COMPUTED_VALUE"""),5819.33)</f>
        <v/>
      </c>
    </row>
    <row r="7154">
      <c r="J7154">
        <f>IFERROR(__xludf.DUMMYFUNCTION("""COMPUTED_VALUE"""),"Paris - Mauritius")</f>
        <v/>
      </c>
      <c r="K7154">
        <f>IFERROR(__xludf.DUMMYFUNCTION("""COMPUTED_VALUE"""),5818.09)</f>
        <v/>
      </c>
    </row>
    <row r="7155">
      <c r="J7155">
        <f>IFERROR(__xludf.DUMMYFUNCTION("""COMPUTED_VALUE"""),"Houston, TX, U.S.A")</f>
        <v/>
      </c>
      <c r="K7155">
        <f>IFERROR(__xludf.DUMMYFUNCTION("""COMPUTED_VALUE"""),5815.82)</f>
        <v/>
      </c>
    </row>
    <row r="7156">
      <c r="J7156">
        <f>IFERROR(__xludf.DUMMYFUNCTION("""COMPUTED_VALUE"""),"Vancouver, Edmonton")</f>
        <v/>
      </c>
      <c r="K7156">
        <f>IFERROR(__xludf.DUMMYFUNCTION("""COMPUTED_VALUE"""),5815.25)</f>
        <v/>
      </c>
    </row>
    <row r="7157">
      <c r="J7157">
        <f>IFERROR(__xludf.DUMMYFUNCTION("""COMPUTED_VALUE"""),"Dublin, Ireland, Galway, Ireland")</f>
        <v/>
      </c>
      <c r="K7157">
        <f>IFERROR(__xludf.DUMMYFUNCTION("""COMPUTED_VALUE"""),5814.59)</f>
        <v/>
      </c>
    </row>
    <row r="7158">
      <c r="J7158">
        <f>IFERROR(__xludf.DUMMYFUNCTION("""COMPUTED_VALUE"""),"Brussels, Belgium
London, United Kingdom")</f>
        <v/>
      </c>
      <c r="K7158">
        <f>IFERROR(__xludf.DUMMYFUNCTION("""COMPUTED_VALUE"""),5814.41)</f>
        <v/>
      </c>
    </row>
    <row r="7159">
      <c r="J7159">
        <f>IFERROR(__xludf.DUMMYFUNCTION("""COMPUTED_VALUE"""),"New York, Montreal")</f>
        <v/>
      </c>
      <c r="K7159">
        <f>IFERROR(__xludf.DUMMYFUNCTION("""COMPUTED_VALUE"""),5813.83)</f>
        <v/>
      </c>
    </row>
    <row r="7160">
      <c r="J7160">
        <f>IFERROR(__xludf.DUMMYFUNCTION("""COMPUTED_VALUE"""),"Frankfurt, Germany / Tel Aviv and Jerusalem, Israel")</f>
        <v/>
      </c>
      <c r="K7160">
        <f>IFERROR(__xludf.DUMMYFUNCTION("""COMPUTED_VALUE"""),5813.48)</f>
        <v/>
      </c>
    </row>
    <row r="7161">
      <c r="J7161">
        <f>IFERROR(__xludf.DUMMYFUNCTION("""COMPUTED_VALUE"""),"Ottawa, Montreal, Paris")</f>
        <v/>
      </c>
      <c r="K7161">
        <f>IFERROR(__xludf.DUMMYFUNCTION("""COMPUTED_VALUE"""),5813.46)</f>
        <v/>
      </c>
    </row>
    <row r="7162">
      <c r="J7162">
        <f>IFERROR(__xludf.DUMMYFUNCTION("""COMPUTED_VALUE"""),"Edmonton, Alberta, Canada / Saskatoon, Saskatchewan, Canada / Whitehorse, Yukon, Canada")</f>
        <v/>
      </c>
      <c r="K7162">
        <f>IFERROR(__xludf.DUMMYFUNCTION("""COMPUTED_VALUE"""),5812.18)</f>
        <v/>
      </c>
    </row>
    <row r="7163">
      <c r="J7163">
        <f>IFERROR(__xludf.DUMMYFUNCTION("""COMPUTED_VALUE"""),"Calgary (Alberta) Canada
Charlottetown (Prince Edward Island) Canada")</f>
        <v/>
      </c>
      <c r="K7163">
        <f>IFERROR(__xludf.DUMMYFUNCTION("""COMPUTED_VALUE"""),5810.58)</f>
        <v/>
      </c>
    </row>
    <row r="7164">
      <c r="J7164">
        <f>IFERROR(__xludf.DUMMYFUNCTION("""COMPUTED_VALUE"""),"Quebec city")</f>
        <v/>
      </c>
      <c r="K7164">
        <f>IFERROR(__xludf.DUMMYFUNCTION("""COMPUTED_VALUE"""),5807.34999999999)</f>
        <v/>
      </c>
    </row>
    <row r="7165">
      <c r="J7165">
        <f>IFERROR(__xludf.DUMMYFUNCTION("""COMPUTED_VALUE"""),"Montreal, Quebec; Victoria, British Columbia, Canada")</f>
        <v/>
      </c>
      <c r="K7165">
        <f>IFERROR(__xludf.DUMMYFUNCTION("""COMPUTED_VALUE"""),5807.05)</f>
        <v/>
      </c>
    </row>
    <row r="7166">
      <c r="J7166">
        <f>IFERROR(__xludf.DUMMYFUNCTION("""COMPUTED_VALUE"""),"Montréal (Quebec) Canada
Calgary (Alberta) Canada
Victoria (British Columbia) Canada")</f>
        <v/>
      </c>
      <c r="K7166">
        <f>IFERROR(__xludf.DUMMYFUNCTION("""COMPUTED_VALUE"""),5806.88)</f>
        <v/>
      </c>
    </row>
    <row r="7167">
      <c r="J7167">
        <f>IFERROR(__xludf.DUMMYFUNCTION("""COMPUTED_VALUE"""),"Montreal
Ottawa")</f>
        <v/>
      </c>
      <c r="K7167">
        <f>IFERROR(__xludf.DUMMYFUNCTION("""COMPUTED_VALUE"""),5805.77)</f>
        <v/>
      </c>
    </row>
    <row r="7168">
      <c r="J7168">
        <f>IFERROR(__xludf.DUMMYFUNCTION("""COMPUTED_VALUE"""),"Thompson, MB, Winnipeg, MB, Edmonton, AB, Montreal, QC, Halifax, NS, Fredericton, NB")</f>
        <v/>
      </c>
      <c r="K7168">
        <f>IFERROR(__xludf.DUMMYFUNCTION("""COMPUTED_VALUE"""),5802.76)</f>
        <v/>
      </c>
    </row>
    <row r="7169">
      <c r="J7169">
        <f>IFERROR(__xludf.DUMMYFUNCTION("""COMPUTED_VALUE"""),"Vancouver, BC and Fredericton, NB")</f>
        <v/>
      </c>
      <c r="K7169">
        <f>IFERROR(__xludf.DUMMYFUNCTION("""COMPUTED_VALUE"""),5799.58)</f>
        <v/>
      </c>
    </row>
    <row r="7170">
      <c r="J7170">
        <f>IFERROR(__xludf.DUMMYFUNCTION("""COMPUTED_VALUE"""),"Moncton, New Brunswick, Canada / Charlottetown, Prince Edward Island, Canada/ Fort McMurray, Alberta, Canada / Calgary, Alberta, Canada")</f>
        <v/>
      </c>
      <c r="K7170">
        <f>IFERROR(__xludf.DUMMYFUNCTION("""COMPUTED_VALUE"""),5797.03)</f>
        <v/>
      </c>
    </row>
    <row r="7171">
      <c r="J7171">
        <f>IFERROR(__xludf.DUMMYFUNCTION("""COMPUTED_VALUE"""),"Brussels, Belgium / London, England")</f>
        <v/>
      </c>
      <c r="K7171">
        <f>IFERROR(__xludf.DUMMYFUNCTION("""COMPUTED_VALUE"""),5796.86)</f>
        <v/>
      </c>
    </row>
    <row r="7172">
      <c r="J7172">
        <f>IFERROR(__xludf.DUMMYFUNCTION("""COMPUTED_VALUE"""),"Havana, Panama, Santo Domingo")</f>
        <v/>
      </c>
      <c r="K7172">
        <f>IFERROR(__xludf.DUMMYFUNCTION("""COMPUTED_VALUE"""),5796.17)</f>
        <v/>
      </c>
    </row>
    <row r="7173">
      <c r="J7173">
        <f>IFERROR(__xludf.DUMMYFUNCTION("""COMPUTED_VALUE"""),"London, United Kingdom Paris, France")</f>
        <v/>
      </c>
      <c r="K7173">
        <f>IFERROR(__xludf.DUMMYFUNCTION("""COMPUTED_VALUE"""),5795.59)</f>
        <v/>
      </c>
    </row>
    <row r="7174">
      <c r="J7174">
        <f>IFERROR(__xludf.DUMMYFUNCTION("""COMPUTED_VALUE"""),"Trinidad and Tobago and Mexico City")</f>
        <v/>
      </c>
      <c r="K7174">
        <f>IFERROR(__xludf.DUMMYFUNCTION("""COMPUTED_VALUE"""),5794.43)</f>
        <v/>
      </c>
    </row>
    <row r="7175">
      <c r="J7175">
        <f>IFERROR(__xludf.DUMMYFUNCTION("""COMPUTED_VALUE"""),"Los Angeles, California / San Diego, California, United States")</f>
        <v/>
      </c>
      <c r="K7175">
        <f>IFERROR(__xludf.DUMMYFUNCTION("""COMPUTED_VALUE"""),5792.4)</f>
        <v/>
      </c>
    </row>
    <row r="7176">
      <c r="J7176">
        <f>IFERROR(__xludf.DUMMYFUNCTION("""COMPUTED_VALUE"""),"Kitchener, Ontario, Canada; London, Ontario, Canada")</f>
        <v/>
      </c>
      <c r="K7176">
        <f>IFERROR(__xludf.DUMMYFUNCTION("""COMPUTED_VALUE"""),5791.3)</f>
        <v/>
      </c>
    </row>
    <row r="7177">
      <c r="J7177">
        <f>IFERROR(__xludf.DUMMYFUNCTION("""COMPUTED_VALUE"""),"VANCOUVER, BRITISH COLUMBIA, CANADA")</f>
        <v/>
      </c>
      <c r="K7177">
        <f>IFERROR(__xludf.DUMMYFUNCTION("""COMPUTED_VALUE"""),5791.28)</f>
        <v/>
      </c>
    </row>
    <row r="7178">
      <c r="J7178">
        <f>IFERROR(__xludf.DUMMYFUNCTION("""COMPUTED_VALUE"""),"Lethbridge")</f>
        <v/>
      </c>
      <c r="K7178">
        <f>IFERROR(__xludf.DUMMYFUNCTION("""COMPUTED_VALUE"""),5791.27)</f>
        <v/>
      </c>
    </row>
    <row r="7179">
      <c r="J7179">
        <f>IFERROR(__xludf.DUMMYFUNCTION("""COMPUTED_VALUE"""),"Yellowknife (Northwest Territories) Canada; Vancouver (British Columbia) Canada")</f>
        <v/>
      </c>
      <c r="K7179">
        <f>IFERROR(__xludf.DUMMYFUNCTION("""COMPUTED_VALUE"""),5791.18)</f>
        <v/>
      </c>
    </row>
    <row r="7180">
      <c r="J7180">
        <f>IFERROR(__xludf.DUMMYFUNCTION("""COMPUTED_VALUE"""),"Calgary, Alberta; Yellowknife, Northwest Territories")</f>
        <v/>
      </c>
      <c r="K7180">
        <f>IFERROR(__xludf.DUMMYFUNCTION("""COMPUTED_VALUE"""),5791.08)</f>
        <v/>
      </c>
    </row>
    <row r="7181">
      <c r="J7181">
        <f>IFERROR(__xludf.DUMMYFUNCTION("""COMPUTED_VALUE"""),"Shangai, China")</f>
        <v/>
      </c>
      <c r="K7181">
        <f>IFERROR(__xludf.DUMMYFUNCTION("""COMPUTED_VALUE"""),5783.72)</f>
        <v/>
      </c>
    </row>
    <row r="7182">
      <c r="J7182">
        <f>IFERROR(__xludf.DUMMYFUNCTION("""COMPUTED_VALUE"""),"Bruxelles")</f>
        <v/>
      </c>
      <c r="K7182">
        <f>IFERROR(__xludf.DUMMYFUNCTION("""COMPUTED_VALUE"""),5782.74)</f>
        <v/>
      </c>
    </row>
    <row r="7183">
      <c r="J7183">
        <f>IFERROR(__xludf.DUMMYFUNCTION("""COMPUTED_VALUE"""),"Simcoe, Ontario, Canada")</f>
        <v/>
      </c>
      <c r="K7183">
        <f>IFERROR(__xludf.DUMMYFUNCTION("""COMPUTED_VALUE"""),5782.13999999999)</f>
        <v/>
      </c>
    </row>
    <row r="7184">
      <c r="J7184">
        <f>IFERROR(__xludf.DUMMYFUNCTION("""COMPUTED_VALUE"""),"Bagotville - Vancouver - Victoria - Calgary - Winnipeg - Bagtoville")</f>
        <v/>
      </c>
      <c r="K7184">
        <f>IFERROR(__xludf.DUMMYFUNCTION("""COMPUTED_VALUE"""),5779.43)</f>
        <v/>
      </c>
    </row>
    <row r="7185">
      <c r="J7185">
        <f>IFERROR(__xludf.DUMMYFUNCTION("""COMPUTED_VALUE"""),"Pittsburgh, PA")</f>
        <v/>
      </c>
      <c r="K7185">
        <f>IFERROR(__xludf.DUMMYFUNCTION("""COMPUTED_VALUE"""),5776.65)</f>
        <v/>
      </c>
    </row>
    <row r="7186">
      <c r="J7186">
        <f>IFERROR(__xludf.DUMMYFUNCTION("""COMPUTED_VALUE"""),"Ottawa and Toronto (Ontario) Canada")</f>
        <v/>
      </c>
      <c r="K7186">
        <f>IFERROR(__xludf.DUMMYFUNCTION("""COMPUTED_VALUE"""),5773.48)</f>
        <v/>
      </c>
    </row>
    <row r="7187">
      <c r="J7187">
        <f>IFERROR(__xludf.DUMMYFUNCTION("""COMPUTED_VALUE"""),"Toronto,
Ontario,
Canada")</f>
        <v/>
      </c>
      <c r="K7187">
        <f>IFERROR(__xludf.DUMMYFUNCTION("""COMPUTED_VALUE"""),5772.87999999999)</f>
        <v/>
      </c>
    </row>
    <row r="7188">
      <c r="J7188">
        <f>IFERROR(__xludf.DUMMYFUNCTION("""COMPUTED_VALUE"""),"San Diego, United States")</f>
        <v/>
      </c>
      <c r="K7188">
        <f>IFERROR(__xludf.DUMMYFUNCTION("""COMPUTED_VALUE"""),5772.66)</f>
        <v/>
      </c>
    </row>
    <row r="7189">
      <c r="J7189">
        <f>IFERROR(__xludf.DUMMYFUNCTION("""COMPUTED_VALUE"""),"Banff, Alberta
Invermere, British Columbia")</f>
        <v/>
      </c>
      <c r="K7189">
        <f>IFERROR(__xludf.DUMMYFUNCTION("""COMPUTED_VALUE"""),5770.21)</f>
        <v/>
      </c>
    </row>
    <row r="7190">
      <c r="J7190">
        <f>IFERROR(__xludf.DUMMYFUNCTION("""COMPUTED_VALUE"""),"Torino, Italy")</f>
        <v/>
      </c>
      <c r="K7190">
        <f>IFERROR(__xludf.DUMMYFUNCTION("""COMPUTED_VALUE"""),5770.21)</f>
        <v/>
      </c>
    </row>
    <row r="7191">
      <c r="J7191">
        <f>IFERROR(__xludf.DUMMYFUNCTION("""COMPUTED_VALUE"""),"TORONTO, CANADA")</f>
        <v/>
      </c>
      <c r="K7191">
        <f>IFERROR(__xludf.DUMMYFUNCTION("""COMPUTED_VALUE"""),5768.93)</f>
        <v/>
      </c>
    </row>
    <row r="7192">
      <c r="J7192">
        <f>IFERROR(__xludf.DUMMYFUNCTION("""COMPUTED_VALUE"""),"Moncton, NB; Charlottetown, PE;  St. John's, NL")</f>
        <v/>
      </c>
      <c r="K7192">
        <f>IFERROR(__xludf.DUMMYFUNCTION("""COMPUTED_VALUE"""),5768.91)</f>
        <v/>
      </c>
    </row>
    <row r="7193">
      <c r="J7193">
        <f>IFERROR(__xludf.DUMMYFUNCTION("""COMPUTED_VALUE"""),"Calgary, Alberta / Yellowknife, Northwest Territories, Canada")</f>
        <v/>
      </c>
      <c r="K7193">
        <f>IFERROR(__xludf.DUMMYFUNCTION("""COMPUTED_VALUE"""),5768.54)</f>
        <v/>
      </c>
    </row>
    <row r="7194">
      <c r="J7194">
        <f>IFERROR(__xludf.DUMMYFUNCTION("""COMPUTED_VALUE"""),"Regina, Saskatchewan, Canada &amp; Toronto, Ontario, Canada")</f>
        <v/>
      </c>
      <c r="K7194">
        <f>IFERROR(__xludf.DUMMYFUNCTION("""COMPUTED_VALUE"""),5768.17)</f>
        <v/>
      </c>
    </row>
    <row r="7195">
      <c r="J7195">
        <f>IFERROR(__xludf.DUMMYFUNCTION("""COMPUTED_VALUE"""),"Calgary, AB and Ottawa, ON")</f>
        <v/>
      </c>
      <c r="K7195">
        <f>IFERROR(__xludf.DUMMYFUNCTION("""COMPUTED_VALUE"""),5767.57)</f>
        <v/>
      </c>
    </row>
    <row r="7196">
      <c r="J7196">
        <f>IFERROR(__xludf.DUMMYFUNCTION("""COMPUTED_VALUE"""),"Saguenay, Qc, Can")</f>
        <v/>
      </c>
      <c r="K7196">
        <f>IFERROR(__xludf.DUMMYFUNCTION("""COMPUTED_VALUE"""),5765.87)</f>
        <v/>
      </c>
    </row>
    <row r="7197">
      <c r="J7197">
        <f>IFERROR(__xludf.DUMMYFUNCTION("""COMPUTED_VALUE"""),"Oxford, United Kingdom / Montreal, Quebec, Canada")</f>
        <v/>
      </c>
      <c r="K7197">
        <f>IFERROR(__xludf.DUMMYFUNCTION("""COMPUTED_VALUE"""),5765.58)</f>
        <v/>
      </c>
    </row>
    <row r="7198">
      <c r="J7198">
        <f>IFERROR(__xludf.DUMMYFUNCTION("""COMPUTED_VALUE"""),"Kanata, Ontario, Canada; Ottawa, Ontario, Canada")</f>
        <v/>
      </c>
      <c r="K7198">
        <f>IFERROR(__xludf.DUMMYFUNCTION("""COMPUTED_VALUE"""),5764.86)</f>
        <v/>
      </c>
    </row>
    <row r="7199">
      <c r="J7199">
        <f>IFERROR(__xludf.DUMMYFUNCTION("""COMPUTED_VALUE"""),"Kelowna, British Columbia, Canada; Vancouver, British Columbia, Canada; Whitehorse, Yukon, Canada")</f>
        <v/>
      </c>
      <c r="K7199">
        <f>IFERROR(__xludf.DUMMYFUNCTION("""COMPUTED_VALUE"""),5764.04)</f>
        <v/>
      </c>
    </row>
    <row r="7200">
      <c r="J7200">
        <f>IFERROR(__xludf.DUMMYFUNCTION("""COMPUTED_VALUE"""),"Knoxville, Tennessee")</f>
        <v/>
      </c>
      <c r="K7200">
        <f>IFERROR(__xludf.DUMMYFUNCTION("""COMPUTED_VALUE"""),5763.51)</f>
        <v/>
      </c>
    </row>
    <row r="7201">
      <c r="J7201">
        <f>IFERROR(__xludf.DUMMYFUNCTION("""COMPUTED_VALUE"""),"Victoria, BC - Vancouver, BC - Campbell River, BC")</f>
        <v/>
      </c>
      <c r="K7201">
        <f>IFERROR(__xludf.DUMMYFUNCTION("""COMPUTED_VALUE"""),5761.53)</f>
        <v/>
      </c>
    </row>
    <row r="7202">
      <c r="J7202">
        <f>IFERROR(__xludf.DUMMYFUNCTION("""COMPUTED_VALUE"""),"Albuquerque, New Mexico, United States")</f>
        <v/>
      </c>
      <c r="K7202">
        <f>IFERROR(__xludf.DUMMYFUNCTION("""COMPUTED_VALUE"""),5760.27)</f>
        <v/>
      </c>
    </row>
    <row r="7203">
      <c r="J7203">
        <f>IFERROR(__xludf.DUMMYFUNCTION("""COMPUTED_VALUE"""),"Los Angeles / San Francisco, CA, United States")</f>
        <v/>
      </c>
      <c r="K7203">
        <f>IFERROR(__xludf.DUMMYFUNCTION("""COMPUTED_VALUE"""),5760.08)</f>
        <v/>
      </c>
    </row>
    <row r="7204">
      <c r="J7204">
        <f>IFERROR(__xludf.DUMMYFUNCTION("""COMPUTED_VALUE"""),"Port-Cartier, Quebec")</f>
        <v/>
      </c>
      <c r="K7204">
        <f>IFERROR(__xludf.DUMMYFUNCTION("""COMPUTED_VALUE"""),5758.73)</f>
        <v/>
      </c>
    </row>
    <row r="7205">
      <c r="J7205">
        <f>IFERROR(__xludf.DUMMYFUNCTION("""COMPUTED_VALUE"""),"Sydney, Australia &amp; Gold Coast, Australia")</f>
        <v/>
      </c>
      <c r="K7205">
        <f>IFERROR(__xludf.DUMMYFUNCTION("""COMPUTED_VALUE"""),5758)</f>
        <v/>
      </c>
    </row>
    <row r="7206">
      <c r="J7206">
        <f>IFERROR(__xludf.DUMMYFUNCTION("""COMPUTED_VALUE"""),"Orlando Florida")</f>
        <v/>
      </c>
      <c r="K7206">
        <f>IFERROR(__xludf.DUMMYFUNCTION("""COMPUTED_VALUE"""),5756.83)</f>
        <v/>
      </c>
    </row>
    <row r="7207">
      <c r="J7207">
        <f>IFERROR(__xludf.DUMMYFUNCTION("""COMPUTED_VALUE"""),"Alberta, British Columbia, Ontario")</f>
        <v/>
      </c>
      <c r="K7207">
        <f>IFERROR(__xludf.DUMMYFUNCTION("""COMPUTED_VALUE"""),5756.58)</f>
        <v/>
      </c>
    </row>
    <row r="7208">
      <c r="J7208">
        <f>IFERROR(__xludf.DUMMYFUNCTION("""COMPUTED_VALUE"""),"Incheon (Seoul), South Korea")</f>
        <v/>
      </c>
      <c r="K7208">
        <f>IFERROR(__xludf.DUMMYFUNCTION("""COMPUTED_VALUE"""),5756.55)</f>
        <v/>
      </c>
    </row>
    <row r="7209">
      <c r="J7209">
        <f>IFERROR(__xludf.DUMMYFUNCTION("""COMPUTED_VALUE"""),"Ottawa, Ontario and Calgary, Alberta")</f>
        <v/>
      </c>
      <c r="K7209">
        <f>IFERROR(__xludf.DUMMYFUNCTION("""COMPUTED_VALUE"""),5753.45)</f>
        <v/>
      </c>
    </row>
    <row r="7210">
      <c r="J7210">
        <f>IFERROR(__xludf.DUMMYFUNCTION("""COMPUTED_VALUE"""),"Toronto, Ontario, Canada; Brampton, Ontario, Canada")</f>
        <v/>
      </c>
      <c r="K7210">
        <f>IFERROR(__xludf.DUMMYFUNCTION("""COMPUTED_VALUE"""),5751.76999999999)</f>
        <v/>
      </c>
    </row>
    <row r="7211">
      <c r="J7211">
        <f>IFERROR(__xludf.DUMMYFUNCTION("""COMPUTED_VALUE"""),"Saskatoon, Saskatchewan, Canada; Montreal, Quebec, Canada")</f>
        <v/>
      </c>
      <c r="K7211">
        <f>IFERROR(__xludf.DUMMYFUNCTION("""COMPUTED_VALUE"""),5749.93)</f>
        <v/>
      </c>
    </row>
    <row r="7212">
      <c r="J7212">
        <f>IFERROR(__xludf.DUMMYFUNCTION("""COMPUTED_VALUE"""),"Yorkton, Saskatchewan, Canada")</f>
        <v/>
      </c>
      <c r="K7212">
        <f>IFERROR(__xludf.DUMMYFUNCTION("""COMPUTED_VALUE"""),5745.05999999999)</f>
        <v/>
      </c>
    </row>
    <row r="7213">
      <c r="J7213">
        <f>IFERROR(__xludf.DUMMYFUNCTION("""COMPUTED_VALUE"""),"Val Marie, Saskatchewan")</f>
        <v/>
      </c>
      <c r="K7213">
        <f>IFERROR(__xludf.DUMMYFUNCTION("""COMPUTED_VALUE"""),5744.86)</f>
        <v/>
      </c>
    </row>
    <row r="7214">
      <c r="J7214">
        <f>IFERROR(__xludf.DUMMYFUNCTION("""COMPUTED_VALUE"""),"Toronto, Ontario; Montreal, Quebec")</f>
        <v/>
      </c>
      <c r="K7214">
        <f>IFERROR(__xludf.DUMMYFUNCTION("""COMPUTED_VALUE"""),5744.53)</f>
        <v/>
      </c>
    </row>
    <row r="7215">
      <c r="J7215">
        <f>IFERROR(__xludf.DUMMYFUNCTION("""COMPUTED_VALUE"""),"Deline, Northwest Territories")</f>
        <v/>
      </c>
      <c r="K7215">
        <f>IFERROR(__xludf.DUMMYFUNCTION("""COMPUTED_VALUE"""),5744.19)</f>
        <v/>
      </c>
    </row>
    <row r="7216">
      <c r="J7216">
        <f>IFERROR(__xludf.DUMMYFUNCTION("""COMPUTED_VALUE"""),"Ottawa, Montreal, Canada")</f>
        <v/>
      </c>
      <c r="K7216">
        <f>IFERROR(__xludf.DUMMYFUNCTION("""COMPUTED_VALUE"""),5743.11)</f>
        <v/>
      </c>
    </row>
    <row r="7217">
      <c r="J7217">
        <f>IFERROR(__xludf.DUMMYFUNCTION("""COMPUTED_VALUE"""),"Yellowstone, Northwest Territories, Canada")</f>
        <v/>
      </c>
      <c r="K7217">
        <f>IFERROR(__xludf.DUMMYFUNCTION("""COMPUTED_VALUE"""),5742.54)</f>
        <v/>
      </c>
    </row>
    <row r="7218">
      <c r="J7218">
        <f>IFERROR(__xludf.DUMMYFUNCTION("""COMPUTED_VALUE"""),"Yellowsnkife, Canada")</f>
        <v/>
      </c>
      <c r="K7218">
        <f>IFERROR(__xludf.DUMMYFUNCTION("""COMPUTED_VALUE"""),5741.52)</f>
        <v/>
      </c>
    </row>
    <row r="7219">
      <c r="J7219">
        <f>IFERROR(__xludf.DUMMYFUNCTION("""COMPUTED_VALUE"""),"Edmonton, AB - Winnipeg, MA")</f>
        <v/>
      </c>
      <c r="K7219">
        <f>IFERROR(__xludf.DUMMYFUNCTION("""COMPUTED_VALUE"""),5740.55)</f>
        <v/>
      </c>
    </row>
    <row r="7220">
      <c r="J7220">
        <f>IFERROR(__xludf.DUMMYFUNCTION("""COMPUTED_VALUE"""),"St John's, Newfoundland, Canada")</f>
        <v/>
      </c>
      <c r="K7220">
        <f>IFERROR(__xludf.DUMMYFUNCTION("""COMPUTED_VALUE"""),5740.47)</f>
        <v/>
      </c>
    </row>
    <row r="7221">
      <c r="J7221">
        <f>IFERROR(__xludf.DUMMYFUNCTION("""COMPUTED_VALUE"""),"Charlottetown, Prince Edward Island, Canada; Montreal, Quebec, Canada")</f>
        <v/>
      </c>
      <c r="K7221">
        <f>IFERROR(__xludf.DUMMYFUNCTION("""COMPUTED_VALUE"""),5739.33)</f>
        <v/>
      </c>
    </row>
    <row r="7222">
      <c r="J7222">
        <f>IFERROR(__xludf.DUMMYFUNCTION("""COMPUTED_VALUE"""),"Miramichi, New Brunswick")</f>
        <v/>
      </c>
      <c r="K7222">
        <f>IFERROR(__xludf.DUMMYFUNCTION("""COMPUTED_VALUE"""),5738.81)</f>
        <v/>
      </c>
    </row>
    <row r="7223">
      <c r="J7223">
        <f>IFERROR(__xludf.DUMMYFUNCTION("""COMPUTED_VALUE"""),"Montreal, Quebec / Sherbrooke, Quebec / Bromont, Quebec / Quebec, Quebec, Canada")</f>
        <v/>
      </c>
      <c r="K7223">
        <f>IFERROR(__xludf.DUMMYFUNCTION("""COMPUTED_VALUE"""),5738.63)</f>
        <v/>
      </c>
    </row>
    <row r="7224">
      <c r="J7224">
        <f>IFERROR(__xludf.DUMMYFUNCTION("""COMPUTED_VALUE"""),"London, UK/Scotland")</f>
        <v/>
      </c>
      <c r="K7224">
        <f>IFERROR(__xludf.DUMMYFUNCTION("""COMPUTED_VALUE"""),5737.78)</f>
        <v/>
      </c>
    </row>
    <row r="7225">
      <c r="J7225">
        <f>IFERROR(__xludf.DUMMYFUNCTION("""COMPUTED_VALUE"""),"Moncton, NB - Ottawa, ON / Ottawa, ON - Quebec, QC / Quebec, QC - Edmonton, AB / Edmonton, AB - Winnipeg, MB / Winnipeg, NB - Moncton, NB")</f>
        <v/>
      </c>
      <c r="K7225">
        <f>IFERROR(__xludf.DUMMYFUNCTION("""COMPUTED_VALUE"""),5736.77)</f>
        <v/>
      </c>
    </row>
    <row r="7226">
      <c r="J7226">
        <f>IFERROR(__xludf.DUMMYFUNCTION("""COMPUTED_VALUE"""),"Marrakech, MR")</f>
        <v/>
      </c>
      <c r="K7226">
        <f>IFERROR(__xludf.DUMMYFUNCTION("""COMPUTED_VALUE"""),5735.37)</f>
        <v/>
      </c>
    </row>
    <row r="7227">
      <c r="J7227">
        <f>IFERROR(__xludf.DUMMYFUNCTION("""COMPUTED_VALUE"""),"Vancouver, BC + Whitehorse, UK + Edmonton, AB + Winnipeg, MB")</f>
        <v/>
      </c>
      <c r="K7227">
        <f>IFERROR(__xludf.DUMMYFUNCTION("""COMPUTED_VALUE"""),5735.22)</f>
        <v/>
      </c>
    </row>
    <row r="7228">
      <c r="J7228">
        <f>IFERROR(__xludf.DUMMYFUNCTION("""COMPUTED_VALUE"""),"Ottawa - Montréal - Ottawa")</f>
        <v/>
      </c>
      <c r="K7228">
        <f>IFERROR(__xludf.DUMMYFUNCTION("""COMPUTED_VALUE"""),5734.66)</f>
        <v/>
      </c>
    </row>
    <row r="7229">
      <c r="J7229">
        <f>IFERROR(__xludf.DUMMYFUNCTION("""COMPUTED_VALUE"""),"Toronto, Ontario, Canada; Victoria, British Columbia, Canada")</f>
        <v/>
      </c>
      <c r="K7229">
        <f>IFERROR(__xludf.DUMMYFUNCTION("""COMPUTED_VALUE"""),5734.01)</f>
        <v/>
      </c>
    </row>
    <row r="7230">
      <c r="J7230">
        <f>IFERROR(__xludf.DUMMYFUNCTION("""COMPUTED_VALUE"""),"Halifax, Nova Scotia, Canada; Sydney, Nova Scotia, Canada")</f>
        <v/>
      </c>
      <c r="K7230">
        <f>IFERROR(__xludf.DUMMYFUNCTION("""COMPUTED_VALUE"""),5730.69)</f>
        <v/>
      </c>
    </row>
    <row r="7231">
      <c r="J7231">
        <f>IFERROR(__xludf.DUMMYFUNCTION("""COMPUTED_VALUE"""),"Whitehorse, Yukon, Canada; Haines Junction, Yukon, Canada")</f>
        <v/>
      </c>
      <c r="K7231">
        <f>IFERROR(__xludf.DUMMYFUNCTION("""COMPUTED_VALUE"""),5729.58)</f>
        <v/>
      </c>
    </row>
    <row r="7232">
      <c r="J7232">
        <f>IFERROR(__xludf.DUMMYFUNCTION("""COMPUTED_VALUE"""),"Haikou, PRC")</f>
        <v/>
      </c>
      <c r="K7232">
        <f>IFERROR(__xludf.DUMMYFUNCTION("""COMPUTED_VALUE"""),5729.47)</f>
        <v/>
      </c>
    </row>
    <row r="7233">
      <c r="J7233">
        <f>IFERROR(__xludf.DUMMYFUNCTION("""COMPUTED_VALUE"""),"Turku, Finland                                                                    Helsinki, Finland")</f>
        <v/>
      </c>
      <c r="K7233">
        <f>IFERROR(__xludf.DUMMYFUNCTION("""COMPUTED_VALUE"""),5727.57)</f>
        <v/>
      </c>
    </row>
    <row r="7234">
      <c r="J7234">
        <f>IFERROR(__xludf.DUMMYFUNCTION("""COMPUTED_VALUE"""),"Ottawa, ON and Toronto, ON")</f>
        <v/>
      </c>
      <c r="K7234">
        <f>IFERROR(__xludf.DUMMYFUNCTION("""COMPUTED_VALUE"""),5727.15)</f>
        <v/>
      </c>
    </row>
    <row r="7235">
      <c r="J7235">
        <f>IFERROR(__xludf.DUMMYFUNCTION("""COMPUTED_VALUE"""),"Edmonton Institution &amp; Edmonton Institution for Womem")</f>
        <v/>
      </c>
      <c r="K7235">
        <f>IFERROR(__xludf.DUMMYFUNCTION("""COMPUTED_VALUE"""),5726.29)</f>
        <v/>
      </c>
    </row>
    <row r="7236">
      <c r="J7236">
        <f>IFERROR(__xludf.DUMMYFUNCTION("""COMPUTED_VALUE"""),"Victoria, British Columbia / Saskatoon, Saskatchewan")</f>
        <v/>
      </c>
      <c r="K7236">
        <f>IFERROR(__xludf.DUMMYFUNCTION("""COMPUTED_VALUE"""),5724.18)</f>
        <v/>
      </c>
    </row>
    <row r="7237">
      <c r="J7237">
        <f>IFERROR(__xludf.DUMMYFUNCTION("""COMPUTED_VALUE"""),"Miami, Floride, United States")</f>
        <v/>
      </c>
      <c r="K7237">
        <f>IFERROR(__xludf.DUMMYFUNCTION("""COMPUTED_VALUE"""),5723.76999999999)</f>
        <v/>
      </c>
    </row>
    <row r="7238">
      <c r="J7238">
        <f>IFERROR(__xludf.DUMMYFUNCTION("""COMPUTED_VALUE"""),"Jerusalem, Israel and Beirut, Lebanon")</f>
        <v/>
      </c>
      <c r="K7238">
        <f>IFERROR(__xludf.DUMMYFUNCTION("""COMPUTED_VALUE"""),5720.37)</f>
        <v/>
      </c>
    </row>
    <row r="7239">
      <c r="J7239">
        <f>IFERROR(__xludf.DUMMYFUNCTION("""COMPUTED_VALUE"""),"Inuvik, Northwest Territories")</f>
        <v/>
      </c>
      <c r="K7239">
        <f>IFERROR(__xludf.DUMMYFUNCTION("""COMPUTED_VALUE"""),5720.08)</f>
        <v/>
      </c>
    </row>
    <row r="7240">
      <c r="J7240">
        <f>IFERROR(__xludf.DUMMYFUNCTION("""COMPUTED_VALUE"""),"Jamaica and Barbados.")</f>
        <v/>
      </c>
      <c r="K7240">
        <f>IFERROR(__xludf.DUMMYFUNCTION("""COMPUTED_VALUE"""),5719.85)</f>
        <v/>
      </c>
    </row>
    <row r="7241">
      <c r="J7241">
        <f>IFERROR(__xludf.DUMMYFUNCTION("""COMPUTED_VALUE"""),"Hangzhou, China; Beijing, China")</f>
        <v/>
      </c>
      <c r="K7241">
        <f>IFERROR(__xludf.DUMMYFUNCTION("""COMPUTED_VALUE"""),5718.67)</f>
        <v/>
      </c>
    </row>
    <row r="7242">
      <c r="J7242">
        <f>IFERROR(__xludf.DUMMYFUNCTION("""COMPUTED_VALUE"""),"New Brunswick, Canada")</f>
        <v/>
      </c>
      <c r="K7242">
        <f>IFERROR(__xludf.DUMMYFUNCTION("""COMPUTED_VALUE"""),5717.24)</f>
        <v/>
      </c>
    </row>
    <row r="7243">
      <c r="J7243">
        <f>IFERROR(__xludf.DUMMYFUNCTION("""COMPUTED_VALUE"""),"Regina/Winnipeg")</f>
        <v/>
      </c>
      <c r="K7243">
        <f>IFERROR(__xludf.DUMMYFUNCTION("""COMPUTED_VALUE"""),5716.48)</f>
        <v/>
      </c>
    </row>
    <row r="7244">
      <c r="J7244">
        <f>IFERROR(__xludf.DUMMYFUNCTION("""COMPUTED_VALUE"""),"Cuernavaca and Mexico City")</f>
        <v/>
      </c>
      <c r="K7244">
        <f>IFERROR(__xludf.DUMMYFUNCTION("""COMPUTED_VALUE"""),5716.4)</f>
        <v/>
      </c>
    </row>
    <row r="7245">
      <c r="J7245">
        <f>IFERROR(__xludf.DUMMYFUNCTION("""COMPUTED_VALUE"""),"London &amp; Ottawa (Ontario) Canada")</f>
        <v/>
      </c>
      <c r="K7245">
        <f>IFERROR(__xludf.DUMMYFUNCTION("""COMPUTED_VALUE"""),5716.07)</f>
        <v/>
      </c>
    </row>
    <row r="7246">
      <c r="J7246">
        <f>IFERROR(__xludf.DUMMYFUNCTION("""COMPUTED_VALUE"""),"London, United Kingdom,  Paris, France")</f>
        <v/>
      </c>
      <c r="K7246">
        <f>IFERROR(__xludf.DUMMYFUNCTION("""COMPUTED_VALUE"""),5715.67)</f>
        <v/>
      </c>
    </row>
    <row r="7247">
      <c r="J7247">
        <f>IFERROR(__xludf.DUMMYFUNCTION("""COMPUTED_VALUE"""),"Montreal, QC - Halifax, NS - Kitchener, Thunder Bay, ON")</f>
        <v/>
      </c>
      <c r="K7247">
        <f>IFERROR(__xludf.DUMMYFUNCTION("""COMPUTED_VALUE"""),5712.27)</f>
        <v/>
      </c>
    </row>
    <row r="7248">
      <c r="J7248">
        <f>IFERROR(__xludf.DUMMYFUNCTION("""COMPUTED_VALUE"""),"Orangeville, Ontario, Canada")</f>
        <v/>
      </c>
      <c r="K7248">
        <f>IFERROR(__xludf.DUMMYFUNCTION("""COMPUTED_VALUE"""),5711.03)</f>
        <v/>
      </c>
    </row>
    <row r="7249">
      <c r="J7249">
        <f>IFERROR(__xludf.DUMMYFUNCTION("""COMPUTED_VALUE"""),"Surrey, British Columbia, Canada
Delta, British Columbia, Canada
Toronto, Ontario, Canada")</f>
        <v/>
      </c>
      <c r="K7249">
        <f>IFERROR(__xludf.DUMMYFUNCTION("""COMPUTED_VALUE"""),5709.8)</f>
        <v/>
      </c>
    </row>
    <row r="7250">
      <c r="J7250">
        <f>IFERROR(__xludf.DUMMYFUNCTION("""COMPUTED_VALUE"""),"Toronto, Ontario / London UK")</f>
        <v/>
      </c>
      <c r="K7250">
        <f>IFERROR(__xludf.DUMMYFUNCTION("""COMPUTED_VALUE"""),5708.7)</f>
        <v/>
      </c>
    </row>
    <row r="7251">
      <c r="J7251">
        <f>IFERROR(__xludf.DUMMYFUNCTION("""COMPUTED_VALUE"""),"Edmonton, Alberta
Canada")</f>
        <v/>
      </c>
      <c r="K7251">
        <f>IFERROR(__xludf.DUMMYFUNCTION("""COMPUTED_VALUE"""),5707.94)</f>
        <v/>
      </c>
    </row>
    <row r="7252">
      <c r="J7252">
        <f>IFERROR(__xludf.DUMMYFUNCTION("""COMPUTED_VALUE"""),"CO, AL")</f>
        <v/>
      </c>
      <c r="K7252">
        <f>IFERROR(__xludf.DUMMYFUNCTION("""COMPUTED_VALUE"""),5707.56)</f>
        <v/>
      </c>
    </row>
    <row r="7253">
      <c r="J7253">
        <f>IFERROR(__xludf.DUMMYFUNCTION("""COMPUTED_VALUE"""),"Gatineau Quebec")</f>
        <v/>
      </c>
      <c r="K7253">
        <f>IFERROR(__xludf.DUMMYFUNCTION("""COMPUTED_VALUE"""),5707.27)</f>
        <v/>
      </c>
    </row>
    <row r="7254">
      <c r="J7254">
        <f>IFERROR(__xludf.DUMMYFUNCTION("""COMPUTED_VALUE"""),"Ottawa, Canada on business class")</f>
        <v/>
      </c>
      <c r="K7254">
        <f>IFERROR(__xludf.DUMMYFUNCTION("""COMPUTED_VALUE"""),5706.83)</f>
        <v/>
      </c>
    </row>
    <row r="7255">
      <c r="J7255">
        <f>IFERROR(__xludf.DUMMYFUNCTION("""COMPUTED_VALUE"""),"Houston, Texas, United States/Dallas, Texas, United States")</f>
        <v/>
      </c>
      <c r="K7255">
        <f>IFERROR(__xludf.DUMMYFUNCTION("""COMPUTED_VALUE"""),5705.48)</f>
        <v/>
      </c>
    </row>
    <row r="7256">
      <c r="J7256">
        <f>IFERROR(__xludf.DUMMYFUNCTION("""COMPUTED_VALUE"""),"St-John's, NFLD")</f>
        <v/>
      </c>
      <c r="K7256">
        <f>IFERROR(__xludf.DUMMYFUNCTION("""COMPUTED_VALUE"""),5704.34999999999)</f>
        <v/>
      </c>
    </row>
    <row r="7257">
      <c r="J7257">
        <f>IFERROR(__xludf.DUMMYFUNCTION("""COMPUTED_VALUE"""),"Berlin, Germany; Düsseldorf, Germany; Munich, Germany; London, United Kingdom")</f>
        <v/>
      </c>
      <c r="K7257">
        <f>IFERROR(__xludf.DUMMYFUNCTION("""COMPUTED_VALUE"""),5703.85)</f>
        <v/>
      </c>
    </row>
    <row r="7258">
      <c r="J7258">
        <f>IFERROR(__xludf.DUMMYFUNCTION("""COMPUTED_VALUE"""),"Halifax, Nova Scotia (Canada)")</f>
        <v/>
      </c>
      <c r="K7258">
        <f>IFERROR(__xludf.DUMMYFUNCTION("""COMPUTED_VALUE"""),5702.8)</f>
        <v/>
      </c>
    </row>
    <row r="7259">
      <c r="J7259">
        <f>IFERROR(__xludf.DUMMYFUNCTION("""COMPUTED_VALUE"""),"Honolulu/Washington")</f>
        <v/>
      </c>
      <c r="K7259">
        <f>IFERROR(__xludf.DUMMYFUNCTION("""COMPUTED_VALUE"""),5702.76)</f>
        <v/>
      </c>
    </row>
    <row r="7260">
      <c r="J7260">
        <f>IFERROR(__xludf.DUMMYFUNCTION("""COMPUTED_VALUE"""),"Berlin/London")</f>
        <v/>
      </c>
      <c r="K7260">
        <f>IFERROR(__xludf.DUMMYFUNCTION("""COMPUTED_VALUE"""),5702.46)</f>
        <v/>
      </c>
    </row>
    <row r="7261">
      <c r="J7261">
        <f>IFERROR(__xludf.DUMMYFUNCTION("""COMPUTED_VALUE"""),"Gatineau, Quebec, Canada / Halifax, Nova Scotia, Canada")</f>
        <v/>
      </c>
      <c r="K7261">
        <f>IFERROR(__xludf.DUMMYFUNCTION("""COMPUTED_VALUE"""),5702.09)</f>
        <v/>
      </c>
    </row>
    <row r="7262">
      <c r="J7262">
        <f>IFERROR(__xludf.DUMMYFUNCTION("""COMPUTED_VALUE"""),"St. John's and Gander, Newfoundland and Labrador, Canada")</f>
        <v/>
      </c>
      <c r="K7262">
        <f>IFERROR(__xludf.DUMMYFUNCTION("""COMPUTED_VALUE"""),5701.32)</f>
        <v/>
      </c>
    </row>
    <row r="7263">
      <c r="J7263">
        <f>IFERROR(__xludf.DUMMYFUNCTION("""COMPUTED_VALUE"""),"New York, (New York)")</f>
        <v/>
      </c>
      <c r="K7263">
        <f>IFERROR(__xludf.DUMMYFUNCTION("""COMPUTED_VALUE"""),5700)</f>
        <v/>
      </c>
    </row>
    <row r="7264">
      <c r="J7264">
        <f>IFERROR(__xludf.DUMMYFUNCTION("""COMPUTED_VALUE"""),"Kenora, Ontario, Canada; Winnipeg, Manitoba, Canada")</f>
        <v/>
      </c>
      <c r="K7264">
        <f>IFERROR(__xludf.DUMMYFUNCTION("""COMPUTED_VALUE"""),5698.61)</f>
        <v/>
      </c>
    </row>
    <row r="7265">
      <c r="J7265">
        <f>IFERROR(__xludf.DUMMYFUNCTION("""COMPUTED_VALUE"""),"Vancouver, Toronto, Dartmouth")</f>
        <v/>
      </c>
      <c r="K7265">
        <f>IFERROR(__xludf.DUMMYFUNCTION("""COMPUTED_VALUE"""),5697.62)</f>
        <v/>
      </c>
    </row>
    <row r="7266">
      <c r="J7266">
        <f>IFERROR(__xludf.DUMMYFUNCTION("""COMPUTED_VALUE"""),"Moncton, Halifax, Charlottetown")</f>
        <v/>
      </c>
      <c r="K7266">
        <f>IFERROR(__xludf.DUMMYFUNCTION("""COMPUTED_VALUE"""),5697.55)</f>
        <v/>
      </c>
    </row>
    <row r="7267">
      <c r="J7267">
        <f>IFERROR(__xludf.DUMMYFUNCTION("""COMPUTED_VALUE"""),"Gaspé, Québec")</f>
        <v/>
      </c>
      <c r="K7267">
        <f>IFERROR(__xludf.DUMMYFUNCTION("""COMPUTED_VALUE"""),5695.98)</f>
        <v/>
      </c>
    </row>
    <row r="7268">
      <c r="J7268">
        <f>IFERROR(__xludf.DUMMYFUNCTION("""COMPUTED_VALUE"""),"Dartmouth and Halifax, Nova Scotia, Canada")</f>
        <v/>
      </c>
      <c r="K7268">
        <f>IFERROR(__xludf.DUMMYFUNCTION("""COMPUTED_VALUE"""),5695.4)</f>
        <v/>
      </c>
    </row>
    <row r="7269">
      <c r="J7269">
        <f>IFERROR(__xludf.DUMMYFUNCTION("""COMPUTED_VALUE"""),"St. John's, Newfoundland and Labrador, Canada
Halifax, Nova Scotia, Canada")</f>
        <v/>
      </c>
      <c r="K7269">
        <f>IFERROR(__xludf.DUMMYFUNCTION("""COMPUTED_VALUE"""),5695.17)</f>
        <v/>
      </c>
    </row>
    <row r="7270">
      <c r="J7270">
        <f>IFERROR(__xludf.DUMMYFUNCTION("""COMPUTED_VALUE"""),"Berlin, Germany and Stockholm, Sweden")</f>
        <v/>
      </c>
      <c r="K7270">
        <f>IFERROR(__xludf.DUMMYFUNCTION("""COMPUTED_VALUE"""),5694.9)</f>
        <v/>
      </c>
    </row>
    <row r="7271">
      <c r="J7271">
        <f>IFERROR(__xludf.DUMMYFUNCTION("""COMPUTED_VALUE"""),"Langley, British Columbia, Canada")</f>
        <v/>
      </c>
      <c r="K7271">
        <f>IFERROR(__xludf.DUMMYFUNCTION("""COMPUTED_VALUE"""),5694.77)</f>
        <v/>
      </c>
    </row>
    <row r="7272">
      <c r="J7272">
        <f>IFERROR(__xludf.DUMMYFUNCTION("""COMPUTED_VALUE"""),"Halifax, Nova Scotia, Canada; Winnipeg, Manitoba, Canada; Calgary, Alberta, Canada")</f>
        <v/>
      </c>
      <c r="K7272">
        <f>IFERROR(__xludf.DUMMYFUNCTION("""COMPUTED_VALUE"""),5690.74)</f>
        <v/>
      </c>
    </row>
    <row r="7273">
      <c r="J7273">
        <f>IFERROR(__xludf.DUMMYFUNCTION("""COMPUTED_VALUE"""),"Ottawa, ON - Paris, France / Paris, France - Ottawa, ON")</f>
        <v/>
      </c>
      <c r="K7273">
        <f>IFERROR(__xludf.DUMMYFUNCTION("""COMPUTED_VALUE"""),5690.74)</f>
        <v/>
      </c>
    </row>
    <row r="7274">
      <c r="J7274">
        <f>IFERROR(__xludf.DUMMYFUNCTION("""COMPUTED_VALUE"""),"Montréal, QC, Edmonton and Calgary, AB, Vancouver, BC and Saskatoon and Regina, SK.")</f>
        <v/>
      </c>
      <c r="K7274">
        <f>IFERROR(__xludf.DUMMYFUNCTION("""COMPUTED_VALUE"""),5689.19)</f>
        <v/>
      </c>
    </row>
    <row r="7275">
      <c r="J7275">
        <f>IFERROR(__xludf.DUMMYFUNCTION("""COMPUTED_VALUE"""),"Rigaud, Quebec, Canada")</f>
        <v/>
      </c>
      <c r="K7275">
        <f>IFERROR(__xludf.DUMMYFUNCTION("""COMPUTED_VALUE"""),5688.9)</f>
        <v/>
      </c>
    </row>
    <row r="7276">
      <c r="J7276">
        <f>IFERROR(__xludf.DUMMYFUNCTION("""COMPUTED_VALUE"""),"Vancouver/Comox")</f>
        <v/>
      </c>
      <c r="K7276">
        <f>IFERROR(__xludf.DUMMYFUNCTION("""COMPUTED_VALUE"""),5687.85)</f>
        <v/>
      </c>
    </row>
    <row r="7277">
      <c r="J7277">
        <f>IFERROR(__xludf.DUMMYFUNCTION("""COMPUTED_VALUE"""),"Vancouver, BC / Kelowna, BC / Winnipeg, MB")</f>
        <v/>
      </c>
      <c r="K7277">
        <f>IFERROR(__xludf.DUMMYFUNCTION("""COMPUTED_VALUE"""),5686.83)</f>
        <v/>
      </c>
    </row>
    <row r="7278">
      <c r="J7278">
        <f>IFERROR(__xludf.DUMMYFUNCTION("""COMPUTED_VALUE"""),"Kugluktuk Coppermine, Nunavut, Canada")</f>
        <v/>
      </c>
      <c r="K7278">
        <f>IFERROR(__xludf.DUMMYFUNCTION("""COMPUTED_VALUE"""),5686.69)</f>
        <v/>
      </c>
    </row>
    <row r="7279">
      <c r="J7279">
        <f>IFERROR(__xludf.DUMMYFUNCTION("""COMPUTED_VALUE"""),"St. Johns, N.L. and Halifax, NS")</f>
        <v/>
      </c>
      <c r="K7279">
        <f>IFERROR(__xludf.DUMMYFUNCTION("""COMPUTED_VALUE"""),5686.51)</f>
        <v/>
      </c>
    </row>
    <row r="7280">
      <c r="J7280">
        <f>IFERROR(__xludf.DUMMYFUNCTION("""COMPUTED_VALUE"""),"Anchorage, Alaska, United States; Vancouver, British-Columbia, Canada")</f>
        <v/>
      </c>
      <c r="K7280">
        <f>IFERROR(__xludf.DUMMYFUNCTION("""COMPUTED_VALUE"""),5686.26)</f>
        <v/>
      </c>
    </row>
    <row r="7281">
      <c r="J7281">
        <f>IFERROR(__xludf.DUMMYFUNCTION("""COMPUTED_VALUE"""),"Montreal and Ottawa  Canada")</f>
        <v/>
      </c>
      <c r="K7281">
        <f>IFERROR(__xludf.DUMMYFUNCTION("""COMPUTED_VALUE"""),5686.1)</f>
        <v/>
      </c>
    </row>
    <row r="7282">
      <c r="J7282">
        <f>IFERROR(__xludf.DUMMYFUNCTION("""COMPUTED_VALUE"""),"Ottawa, ON - Vancouver, BC / Vancouver, BC - Seoul, Korea / Seoul, Korea - Ottawa, ON")</f>
        <v/>
      </c>
      <c r="K7282">
        <f>IFERROR(__xludf.DUMMYFUNCTION("""COMPUTED_VALUE"""),5685.23)</f>
        <v/>
      </c>
    </row>
    <row r="7283">
      <c r="J7283">
        <f>IFERROR(__xludf.DUMMYFUNCTION("""COMPUTED_VALUE"""),"Norwich, England, United Kingdom")</f>
        <v/>
      </c>
      <c r="K7283">
        <f>IFERROR(__xludf.DUMMYFUNCTION("""COMPUTED_VALUE"""),5681.77)</f>
        <v/>
      </c>
    </row>
    <row r="7284">
      <c r="J7284">
        <f>IFERROR(__xludf.DUMMYFUNCTION("""COMPUTED_VALUE"""),"Fort Lauderdale, Florida, United States")</f>
        <v/>
      </c>
      <c r="K7284">
        <f>IFERROR(__xludf.DUMMYFUNCTION("""COMPUTED_VALUE"""),5681.61999999999)</f>
        <v/>
      </c>
    </row>
    <row r="7285">
      <c r="J7285">
        <f>IFERROR(__xludf.DUMMYFUNCTION("""COMPUTED_VALUE"""),"Nanaimo, Victoria, and Vancouver")</f>
        <v/>
      </c>
      <c r="K7285">
        <f>IFERROR(__xludf.DUMMYFUNCTION("""COMPUTED_VALUE"""),5679.1)</f>
        <v/>
      </c>
    </row>
    <row r="7286">
      <c r="J7286">
        <f>IFERROR(__xludf.DUMMYFUNCTION("""COMPUTED_VALUE"""),"Frankfurt, Germany; Kiev, Ukraine")</f>
        <v/>
      </c>
      <c r="K7286">
        <f>IFERROR(__xludf.DUMMYFUNCTION("""COMPUTED_VALUE"""),5679)</f>
        <v/>
      </c>
    </row>
    <row r="7287">
      <c r="J7287">
        <f>IFERROR(__xludf.DUMMYFUNCTION("""COMPUTED_VALUE"""),"Lima,Peru")</f>
        <v/>
      </c>
      <c r="K7287">
        <f>IFERROR(__xludf.DUMMYFUNCTION("""COMPUTED_VALUE"""),5679)</f>
        <v/>
      </c>
    </row>
    <row r="7288">
      <c r="J7288">
        <f>IFERROR(__xludf.DUMMYFUNCTION("""COMPUTED_VALUE"""),"Munich and Frankfurt, Germany")</f>
        <v/>
      </c>
      <c r="K7288">
        <f>IFERROR(__xludf.DUMMYFUNCTION("""COMPUTED_VALUE"""),5676.55)</f>
        <v/>
      </c>
    </row>
    <row r="7289">
      <c r="J7289">
        <f>IFERROR(__xludf.DUMMYFUNCTION("""COMPUTED_VALUE"""),"Vancouver, British Columbia, Canada; Comox, British Columbia, Canada; Victoria, British Columbia, Canada")</f>
        <v/>
      </c>
      <c r="K7289">
        <f>IFERROR(__xludf.DUMMYFUNCTION("""COMPUTED_VALUE"""),5676.23)</f>
        <v/>
      </c>
    </row>
    <row r="7290">
      <c r="J7290">
        <f>IFERROR(__xludf.DUMMYFUNCTION("""COMPUTED_VALUE"""),"Halifax, Nova Scotia and Charlottetown, Prince Edward Island")</f>
        <v/>
      </c>
      <c r="K7290">
        <f>IFERROR(__xludf.DUMMYFUNCTION("""COMPUTED_VALUE"""),5671.81)</f>
        <v/>
      </c>
    </row>
    <row r="7291">
      <c r="J7291">
        <f>IFERROR(__xludf.DUMMYFUNCTION("""COMPUTED_VALUE"""),"Washington DC, District of Columbia, USA")</f>
        <v/>
      </c>
      <c r="K7291">
        <f>IFERROR(__xludf.DUMMYFUNCTION("""COMPUTED_VALUE"""),5670.43)</f>
        <v/>
      </c>
    </row>
    <row r="7292">
      <c r="J7292">
        <f>IFERROR(__xludf.DUMMYFUNCTION("""COMPUTED_VALUE"""),"Ottawa, Vancouver, Prince-Rupert, British Columbia")</f>
        <v/>
      </c>
      <c r="K7292">
        <f>IFERROR(__xludf.DUMMYFUNCTION("""COMPUTED_VALUE"""),5666.49)</f>
        <v/>
      </c>
    </row>
    <row r="7293">
      <c r="J7293">
        <f>IFERROR(__xludf.DUMMYFUNCTION("""COMPUTED_VALUE"""),"Thunder Bay, Ontario, Canada; Batoche, Saskatchewan, Canda; Lethbridge, Alberta, Canada; Yellowknife, Northwest Territories, Canada")</f>
        <v/>
      </c>
      <c r="K7293">
        <f>IFERROR(__xludf.DUMMYFUNCTION("""COMPUTED_VALUE"""),5666.41)</f>
        <v/>
      </c>
    </row>
    <row r="7294">
      <c r="J7294">
        <f>IFERROR(__xludf.DUMMYFUNCTION("""COMPUTED_VALUE"""),"Dublin, Ireland London, UK")</f>
        <v/>
      </c>
      <c r="K7294">
        <f>IFERROR(__xludf.DUMMYFUNCTION("""COMPUTED_VALUE"""),5664)</f>
        <v/>
      </c>
    </row>
    <row r="7295">
      <c r="J7295">
        <f>IFERROR(__xludf.DUMMYFUNCTION("""COMPUTED_VALUE"""),"Edmonton, Alberta, Canada / Vancouver, British Columbia, Canada")</f>
        <v/>
      </c>
      <c r="K7295">
        <f>IFERROR(__xludf.DUMMYFUNCTION("""COMPUTED_VALUE"""),5662.85)</f>
        <v/>
      </c>
    </row>
    <row r="7296">
      <c r="J7296">
        <f>IFERROR(__xludf.DUMMYFUNCTION("""COMPUTED_VALUE"""),"Quito")</f>
        <v/>
      </c>
      <c r="K7296">
        <f>IFERROR(__xludf.DUMMYFUNCTION("""COMPUTED_VALUE"""),5662.43)</f>
        <v/>
      </c>
    </row>
    <row r="7297">
      <c r="J7297">
        <f>IFERROR(__xludf.DUMMYFUNCTION("""COMPUTED_VALUE"""),"Guelph (Ontario); Canada")</f>
        <v/>
      </c>
      <c r="K7297">
        <f>IFERROR(__xludf.DUMMYFUNCTION("""COMPUTED_VALUE"""),5660.82)</f>
        <v/>
      </c>
    </row>
    <row r="7298">
      <c r="J7298">
        <f>IFERROR(__xludf.DUMMYFUNCTION("""COMPUTED_VALUE"""),"Edmonton, AB Vancouver, BC")</f>
        <v/>
      </c>
      <c r="K7298">
        <f>IFERROR(__xludf.DUMMYFUNCTION("""COMPUTED_VALUE"""),5660.63999999999)</f>
        <v/>
      </c>
    </row>
    <row r="7299">
      <c r="J7299">
        <f>IFERROR(__xludf.DUMMYFUNCTION("""COMPUTED_VALUE"""),"Winnipeg, Manitoba, Canada; St. John's, Newfoundland and Labrador, Canada")</f>
        <v/>
      </c>
      <c r="K7299">
        <f>IFERROR(__xludf.DUMMYFUNCTION("""COMPUTED_VALUE"""),5658.18)</f>
        <v/>
      </c>
    </row>
    <row r="7300">
      <c r="J7300">
        <f>IFERROR(__xludf.DUMMYFUNCTION("""COMPUTED_VALUE"""),"Vancouver, British Columbia, Winnipeg, Manitoba, Yellowknife, Northwest Territories")</f>
        <v/>
      </c>
      <c r="K7300">
        <f>IFERROR(__xludf.DUMMYFUNCTION("""COMPUTED_VALUE"""),5656.56)</f>
        <v/>
      </c>
    </row>
    <row r="7301">
      <c r="J7301">
        <f>IFERROR(__xludf.DUMMYFUNCTION("""COMPUTED_VALUE"""),"Charlottetown PE")</f>
        <v/>
      </c>
      <c r="K7301">
        <f>IFERROR(__xludf.DUMMYFUNCTION("""COMPUTED_VALUE"""),5656.15)</f>
        <v/>
      </c>
    </row>
    <row r="7302">
      <c r="J7302">
        <f>IFERROR(__xludf.DUMMYFUNCTION("""COMPUTED_VALUE"""),"Frederiction, (New Brunswick)")</f>
        <v/>
      </c>
      <c r="K7302">
        <f>IFERROR(__xludf.DUMMYFUNCTION("""COMPUTED_VALUE"""),5655.71)</f>
        <v/>
      </c>
    </row>
    <row r="7303">
      <c r="J7303">
        <f>IFERROR(__xludf.DUMMYFUNCTION("""COMPUTED_VALUE"""),"Republic of Guatemala and Toronto, ON.")</f>
        <v/>
      </c>
      <c r="K7303">
        <f>IFERROR(__xludf.DUMMYFUNCTION("""COMPUTED_VALUE"""),5655.61)</f>
        <v/>
      </c>
    </row>
    <row r="7304">
      <c r="J7304">
        <f>IFERROR(__xludf.DUMMYFUNCTION("""COMPUTED_VALUE"""),"Yellowknife, Northwest Territories;
Vancouver, British Columbia")</f>
        <v/>
      </c>
      <c r="K7304">
        <f>IFERROR(__xludf.DUMMYFUNCTION("""COMPUTED_VALUE"""),5654.95)</f>
        <v/>
      </c>
    </row>
    <row r="7305">
      <c r="J7305">
        <f>IFERROR(__xludf.DUMMYFUNCTION("""COMPUTED_VALUE"""),"Toronto, ON; Winnipeg, MB")</f>
        <v/>
      </c>
      <c r="K7305">
        <f>IFERROR(__xludf.DUMMYFUNCTION("""COMPUTED_VALUE"""),5654.2)</f>
        <v/>
      </c>
    </row>
    <row r="7306">
      <c r="J7306">
        <f>IFERROR(__xludf.DUMMYFUNCTION("""COMPUTED_VALUE"""),"Toronto, Ontario;
Montréal, Quebec;
Iqaluit, Nunavut;
Ottawa Ontario")</f>
        <v/>
      </c>
      <c r="K7306">
        <f>IFERROR(__xludf.DUMMYFUNCTION("""COMPUTED_VALUE"""),5654.08)</f>
        <v/>
      </c>
    </row>
    <row r="7307">
      <c r="J7307">
        <f>IFERROR(__xludf.DUMMYFUNCTION("""COMPUTED_VALUE"""),"Washington (DC) United States
New York (New York) United States")</f>
        <v/>
      </c>
      <c r="K7307">
        <f>IFERROR(__xludf.DUMMYFUNCTION("""COMPUTED_VALUE"""),5653.82)</f>
        <v/>
      </c>
    </row>
    <row r="7308">
      <c r="J7308">
        <f>IFERROR(__xludf.DUMMYFUNCTION("""COMPUTED_VALUE"""),"Ottawa, October 18-20, 2011")</f>
        <v/>
      </c>
      <c r="K7308">
        <f>IFERROR(__xludf.DUMMYFUNCTION("""COMPUTED_VALUE"""),5653.42)</f>
        <v/>
      </c>
    </row>
    <row r="7309">
      <c r="J7309">
        <f>IFERROR(__xludf.DUMMYFUNCTION("""COMPUTED_VALUE"""),"Harrisburg, PA; Gagetown, NB; Edmonton, AB; Wainwright, AB")</f>
        <v/>
      </c>
      <c r="K7309">
        <f>IFERROR(__xludf.DUMMYFUNCTION("""COMPUTED_VALUE"""),5653.25)</f>
        <v/>
      </c>
    </row>
    <row r="7310">
      <c r="J7310">
        <f>IFERROR(__xludf.DUMMYFUNCTION("""COMPUTED_VALUE"""),"Frankfurt &amp; Leipzig, Germany")</f>
        <v/>
      </c>
      <c r="K7310">
        <f>IFERROR(__xludf.DUMMYFUNCTION("""COMPUTED_VALUE"""),5652.71)</f>
        <v/>
      </c>
    </row>
    <row r="7311">
      <c r="J7311">
        <f>IFERROR(__xludf.DUMMYFUNCTION("""COMPUTED_VALUE"""),"Halifax, NS and Fredericton, NB")</f>
        <v/>
      </c>
      <c r="K7311">
        <f>IFERROR(__xludf.DUMMYFUNCTION("""COMPUTED_VALUE"""),5649.7)</f>
        <v/>
      </c>
    </row>
    <row r="7312">
      <c r="J7312">
        <f>IFERROR(__xludf.DUMMYFUNCTION("""COMPUTED_VALUE"""),"Rome
(Italie)")</f>
        <v/>
      </c>
      <c r="K7312">
        <f>IFERROR(__xludf.DUMMYFUNCTION("""COMPUTED_VALUE"""),5647.72)</f>
        <v/>
      </c>
    </row>
    <row r="7313">
      <c r="J7313">
        <f>IFERROR(__xludf.DUMMYFUNCTION("""COMPUTED_VALUE"""),"Washington, 
United States of America")</f>
        <v/>
      </c>
      <c r="K7313">
        <f>IFERROR(__xludf.DUMMYFUNCTION("""COMPUTED_VALUE"""),5643.45)</f>
        <v/>
      </c>
    </row>
    <row r="7314">
      <c r="J7314">
        <f>IFERROR(__xludf.DUMMYFUNCTION("""COMPUTED_VALUE"""),"Paris, France 
Amsterdam, Netherlands
Wageningen, Netherlands")</f>
        <v/>
      </c>
      <c r="K7314">
        <f>IFERROR(__xludf.DUMMYFUNCTION("""COMPUTED_VALUE"""),5642.56)</f>
        <v/>
      </c>
    </row>
    <row r="7315">
      <c r="J7315">
        <f>IFERROR(__xludf.DUMMYFUNCTION("""COMPUTED_VALUE"""),"Yellowknife,(Northwest Territories) - Toronto (Ontario)")</f>
        <v/>
      </c>
      <c r="K7315">
        <f>IFERROR(__xludf.DUMMYFUNCTION("""COMPUTED_VALUE"""),5641.72)</f>
        <v/>
      </c>
    </row>
    <row r="7316">
      <c r="J7316">
        <f>IFERROR(__xludf.DUMMYFUNCTION("""COMPUTED_VALUE"""),"Halifax, Nova Scotia; Vancouver, British Colombia; Edmonton, Alberta")</f>
        <v/>
      </c>
      <c r="K7316">
        <f>IFERROR(__xludf.DUMMYFUNCTION("""COMPUTED_VALUE"""),5640.93)</f>
        <v/>
      </c>
    </row>
    <row r="7317">
      <c r="J7317">
        <f>IFERROR(__xludf.DUMMYFUNCTION("""COMPUTED_VALUE"""),"Castlegar, BC")</f>
        <v/>
      </c>
      <c r="K7317">
        <f>IFERROR(__xludf.DUMMYFUNCTION("""COMPUTED_VALUE"""),5640.50999999999)</f>
        <v/>
      </c>
    </row>
    <row r="7318">
      <c r="J7318">
        <f>IFERROR(__xludf.DUMMYFUNCTION("""COMPUTED_VALUE"""),"Trois Rivières, Quebec, Canada")</f>
        <v/>
      </c>
      <c r="K7318">
        <f>IFERROR(__xludf.DUMMYFUNCTION("""COMPUTED_VALUE"""),5639.97)</f>
        <v/>
      </c>
    </row>
    <row r="7319">
      <c r="J7319">
        <f>IFERROR(__xludf.DUMMYFUNCTION("""COMPUTED_VALUE"""),"Edmonton, Alberta / Vancouver, British-Columbia, Canada")</f>
        <v/>
      </c>
      <c r="K7319">
        <f>IFERROR(__xludf.DUMMYFUNCTION("""COMPUTED_VALUE"""),5637.92)</f>
        <v/>
      </c>
    </row>
    <row r="7320">
      <c r="J7320">
        <f>IFERROR(__xludf.DUMMYFUNCTION("""COMPUTED_VALUE"""),"British Columbia and Las Vegas Nevada, USA")</f>
        <v/>
      </c>
      <c r="K7320">
        <f>IFERROR(__xludf.DUMMYFUNCTION("""COMPUTED_VALUE"""),5637.55)</f>
        <v/>
      </c>
    </row>
    <row r="7321">
      <c r="J7321">
        <f>IFERROR(__xludf.DUMMYFUNCTION("""COMPUTED_VALUE"""),"Vancouver, Kamloops, Prince George (Colombie-Britannique); Edmonton, Alberta")</f>
        <v/>
      </c>
      <c r="K7321">
        <f>IFERROR(__xludf.DUMMYFUNCTION("""COMPUTED_VALUE"""),5636.76)</f>
        <v/>
      </c>
    </row>
    <row r="7322">
      <c r="J7322">
        <f>IFERROR(__xludf.DUMMYFUNCTION("""COMPUTED_VALUE"""),"Halifax, Nova Scotia, Canada; Montreal, Quebec, Canada; Val d'Or, Quebec, Canada; Quebec City, Quebec, Canada; Toronto, Ontario,Canada")</f>
        <v/>
      </c>
      <c r="K7322">
        <f>IFERROR(__xludf.DUMMYFUNCTION("""COMPUTED_VALUE"""),5634.37)</f>
        <v/>
      </c>
    </row>
    <row r="7323">
      <c r="J7323">
        <f>IFERROR(__xludf.DUMMYFUNCTION("""COMPUTED_VALUE"""),"Halifax, Nova Scotia, Canada; Montreal, Quebec, Canada; Val-d'Or, Quebec, Canada; Quebec City, Quebec, Canada; Toronto, Ontario, Canada")</f>
        <v/>
      </c>
      <c r="K7323">
        <f>IFERROR(__xludf.DUMMYFUNCTION("""COMPUTED_VALUE"""),5634.37)</f>
        <v/>
      </c>
    </row>
    <row r="7324">
      <c r="J7324">
        <f>IFERROR(__xludf.DUMMYFUNCTION("""COMPUTED_VALUE"""),"Vancouver, British Columbia, Canada; San Francisco, California, United States")</f>
        <v/>
      </c>
      <c r="K7324">
        <f>IFERROR(__xludf.DUMMYFUNCTION("""COMPUTED_VALUE"""),5634.32)</f>
        <v/>
      </c>
    </row>
    <row r="7325">
      <c r="J7325">
        <f>IFERROR(__xludf.DUMMYFUNCTION("""COMPUTED_VALUE"""),"Grand Epoch City, China")</f>
        <v/>
      </c>
      <c r="K7325">
        <f>IFERROR(__xludf.DUMMYFUNCTION("""COMPUTED_VALUE"""),5632.95)</f>
        <v/>
      </c>
    </row>
    <row r="7326">
      <c r="J7326">
        <f>IFERROR(__xludf.DUMMYFUNCTION("""COMPUTED_VALUE"""),"Vancouver, British Columbia; Ottawa, Ontario")</f>
        <v/>
      </c>
      <c r="K7326">
        <f>IFERROR(__xludf.DUMMYFUNCTION("""COMPUTED_VALUE"""),5632.88)</f>
        <v/>
      </c>
    </row>
    <row r="7327">
      <c r="J7327">
        <f>IFERROR(__xludf.DUMMYFUNCTION("""COMPUTED_VALUE"""),"St. Johns, Newfoundland, Canada")</f>
        <v/>
      </c>
      <c r="K7327">
        <f>IFERROR(__xludf.DUMMYFUNCTION("""COMPUTED_VALUE"""),5632.35)</f>
        <v/>
      </c>
    </row>
    <row r="7328">
      <c r="J7328">
        <f>IFERROR(__xludf.DUMMYFUNCTION("""COMPUTED_VALUE"""),"Shawinigan (Quebec); Quebec (Quebec), Canada")</f>
        <v/>
      </c>
      <c r="K7328">
        <f>IFERROR(__xludf.DUMMYFUNCTION("""COMPUTED_VALUE"""),5631.51)</f>
        <v/>
      </c>
    </row>
    <row r="7329">
      <c r="J7329">
        <f>IFERROR(__xludf.DUMMYFUNCTION("""COMPUTED_VALUE"""),"Regina (Saskatchewan) Canada
Saskatoon (Saskatchewan) Canada
Vancouver (British Columbia) Canada")</f>
        <v/>
      </c>
      <c r="K7329">
        <f>IFERROR(__xludf.DUMMYFUNCTION("""COMPUTED_VALUE"""),5628.58)</f>
        <v/>
      </c>
    </row>
    <row r="7330">
      <c r="J7330">
        <f>IFERROR(__xludf.DUMMYFUNCTION("""COMPUTED_VALUE"""),"Surrey, British Columbia / Port Coquilam, British Columbia / Winnipeg, Manitoba")</f>
        <v/>
      </c>
      <c r="K7330">
        <f>IFERROR(__xludf.DUMMYFUNCTION("""COMPUTED_VALUE"""),5627.14)</f>
        <v/>
      </c>
    </row>
    <row r="7331">
      <c r="J7331">
        <f>IFERROR(__xludf.DUMMYFUNCTION("""COMPUTED_VALUE"""),"Cairo/Libya/Paris")</f>
        <v/>
      </c>
      <c r="K7331">
        <f>IFERROR(__xludf.DUMMYFUNCTION("""COMPUTED_VALUE"""),5626.97)</f>
        <v/>
      </c>
    </row>
    <row r="7332">
      <c r="J7332">
        <f>IFERROR(__xludf.DUMMYFUNCTION("""COMPUTED_VALUE"""),"Resolute (Nunavut) Canada")</f>
        <v/>
      </c>
      <c r="K7332">
        <f>IFERROR(__xludf.DUMMYFUNCTION("""COMPUTED_VALUE"""),5625.61)</f>
        <v/>
      </c>
    </row>
    <row r="7333">
      <c r="J7333">
        <f>IFERROR(__xludf.DUMMYFUNCTION("""COMPUTED_VALUE"""),"Vancouver - Prince Rupert - Montreal")</f>
        <v/>
      </c>
      <c r="K7333">
        <f>IFERROR(__xludf.DUMMYFUNCTION("""COMPUTED_VALUE"""),5624.86)</f>
        <v/>
      </c>
    </row>
    <row r="7334">
      <c r="J7334">
        <f>IFERROR(__xludf.DUMMYFUNCTION("""COMPUTED_VALUE"""),"Hamilton, Ontario, Canada; Windsor, Ontario, Canada; Toronto, Ontario, Canada")</f>
        <v/>
      </c>
      <c r="K7334">
        <f>IFERROR(__xludf.DUMMYFUNCTION("""COMPUTED_VALUE"""),5624)</f>
        <v/>
      </c>
    </row>
    <row r="7335">
      <c r="J7335">
        <f>IFERROR(__xludf.DUMMYFUNCTION("""COMPUTED_VALUE"""),"Charlottetown, Prince Edward Island, Canada
Magdalen Islands, Quebec, Canada")</f>
        <v/>
      </c>
      <c r="K7335">
        <f>IFERROR(__xludf.DUMMYFUNCTION("""COMPUTED_VALUE"""),5621.6)</f>
        <v/>
      </c>
    </row>
    <row r="7336">
      <c r="J7336">
        <f>IFERROR(__xludf.DUMMYFUNCTION("""COMPUTED_VALUE"""),"Tel Aviv and Eilat, Israel")</f>
        <v/>
      </c>
      <c r="K7336">
        <f>IFERROR(__xludf.DUMMYFUNCTION("""COMPUTED_VALUE"""),5621.35)</f>
        <v/>
      </c>
    </row>
    <row r="7337">
      <c r="J7337">
        <f>IFERROR(__xludf.DUMMYFUNCTION("""COMPUTED_VALUE"""),"Nahanni, Northwest Territories")</f>
        <v/>
      </c>
      <c r="K7337">
        <f>IFERROR(__xludf.DUMMYFUNCTION("""COMPUTED_VALUE"""),5620.8)</f>
        <v/>
      </c>
    </row>
    <row r="7338">
      <c r="J7338">
        <f>IFERROR(__xludf.DUMMYFUNCTION("""COMPUTED_VALUE"""),"Saskatoon and Whitecap, Saskatchewan,Canada
Winnipeg, Manitoba, Canada")</f>
        <v/>
      </c>
      <c r="K7338">
        <f>IFERROR(__xludf.DUMMYFUNCTION("""COMPUTED_VALUE"""),5618.13999999999)</f>
        <v/>
      </c>
    </row>
    <row r="7339">
      <c r="J7339">
        <f>IFERROR(__xludf.DUMMYFUNCTION("""COMPUTED_VALUE"""),"Delhi, Hyderabad")</f>
        <v/>
      </c>
      <c r="K7339">
        <f>IFERROR(__xludf.DUMMYFUNCTION("""COMPUTED_VALUE"""),5616.96)</f>
        <v/>
      </c>
    </row>
    <row r="7340">
      <c r="J7340">
        <f>IFERROR(__xludf.DUMMYFUNCTION("""COMPUTED_VALUE"""),"Kenora, Ontario, Canada; Thunder Bay, Ontario, Canada")</f>
        <v/>
      </c>
      <c r="K7340">
        <f>IFERROR(__xludf.DUMMYFUNCTION("""COMPUTED_VALUE"""),5616.91)</f>
        <v/>
      </c>
    </row>
    <row r="7341">
      <c r="J7341">
        <f>IFERROR(__xludf.DUMMYFUNCTION("""COMPUTED_VALUE"""),"Los Angeles Austin, TX Whistler, B.C.")</f>
        <v/>
      </c>
      <c r="K7341">
        <f>IFERROR(__xludf.DUMMYFUNCTION("""COMPUTED_VALUE"""),5616.91)</f>
        <v/>
      </c>
    </row>
    <row r="7342">
      <c r="J7342">
        <f>IFERROR(__xludf.DUMMYFUNCTION("""COMPUTED_VALUE"""),"Milton, Ontario")</f>
        <v/>
      </c>
      <c r="K7342">
        <f>IFERROR(__xludf.DUMMYFUNCTION("""COMPUTED_VALUE"""),5615.95)</f>
        <v/>
      </c>
    </row>
    <row r="7343">
      <c r="J7343">
        <f>IFERROR(__xludf.DUMMYFUNCTION("""COMPUTED_VALUE"""),"Montréal (Quebec) Canada; Québec (Quebec) Canada; Edmundston (New Brunswick) Canada")</f>
        <v/>
      </c>
      <c r="K7343">
        <f>IFERROR(__xludf.DUMMYFUNCTION("""COMPUTED_VALUE"""),5611.99)</f>
        <v/>
      </c>
    </row>
    <row r="7344">
      <c r="J7344">
        <f>IFERROR(__xludf.DUMMYFUNCTION("""COMPUTED_VALUE"""),"Orangeville, Oakville, Brantford, Oshweken and Niagara region, Ontario")</f>
        <v/>
      </c>
      <c r="K7344">
        <f>IFERROR(__xludf.DUMMYFUNCTION("""COMPUTED_VALUE"""),5610.01)</f>
        <v/>
      </c>
    </row>
    <row r="7345">
      <c r="J7345">
        <f>IFERROR(__xludf.DUMMYFUNCTION("""COMPUTED_VALUE"""),"Iqaluit, Nunavut, Canada; Pangnirtung, Nunavut, Canada; Québec, Quebec, Canada; Montréal, Quebec, Canada")</f>
        <v/>
      </c>
      <c r="K7345">
        <f>IFERROR(__xludf.DUMMYFUNCTION("""COMPUTED_VALUE"""),5608.45)</f>
        <v/>
      </c>
    </row>
    <row r="7346">
      <c r="J7346">
        <f>IFERROR(__xludf.DUMMYFUNCTION("""COMPUTED_VALUE"""),"West Point, New York, USA")</f>
        <v/>
      </c>
      <c r="K7346">
        <f>IFERROR(__xludf.DUMMYFUNCTION("""COMPUTED_VALUE"""),5608.27)</f>
        <v/>
      </c>
    </row>
    <row r="7347">
      <c r="J7347">
        <f>IFERROR(__xludf.DUMMYFUNCTION("""COMPUTED_VALUE"""),"VANCOUVER BC, AND VICTORIA, BC")</f>
        <v/>
      </c>
      <c r="K7347">
        <f>IFERROR(__xludf.DUMMYFUNCTION("""COMPUTED_VALUE"""),5607.49)</f>
        <v/>
      </c>
    </row>
    <row r="7348">
      <c r="J7348">
        <f>IFERROR(__xludf.DUMMYFUNCTION("""COMPUTED_VALUE"""),"Charlottetown, Prince Edward Island, Canada and Fredericton, New Brunswick, Canada")</f>
        <v/>
      </c>
      <c r="K7348">
        <f>IFERROR(__xludf.DUMMYFUNCTION("""COMPUTED_VALUE"""),5606.74)</f>
        <v/>
      </c>
    </row>
    <row r="7349">
      <c r="J7349">
        <f>IFERROR(__xludf.DUMMYFUNCTION("""COMPUTED_VALUE"""),"Toronto, Ontario; St. John's, Newfoundland and Labrador; Halifax, Nova Scotia; Moncton, New Brunswick; Charlottetown, Prince Edward Island, Canada")</f>
        <v/>
      </c>
      <c r="K7349">
        <f>IFERROR(__xludf.DUMMYFUNCTION("""COMPUTED_VALUE"""),5606.45)</f>
        <v/>
      </c>
    </row>
    <row r="7350">
      <c r="J7350">
        <f>IFERROR(__xludf.DUMMYFUNCTION("""COMPUTED_VALUE"""),"Vancouver/British Columbia, Canada")</f>
        <v/>
      </c>
      <c r="K7350">
        <f>IFERROR(__xludf.DUMMYFUNCTION("""COMPUTED_VALUE"""),5606)</f>
        <v/>
      </c>
    </row>
    <row r="7351">
      <c r="J7351">
        <f>IFERROR(__xludf.DUMMYFUNCTION("""COMPUTED_VALUE"""),"Halifax, Nova Scotia, St. John's, Newfoundland")</f>
        <v/>
      </c>
      <c r="K7351">
        <f>IFERROR(__xludf.DUMMYFUNCTION("""COMPUTED_VALUE"""),5603.75)</f>
        <v/>
      </c>
    </row>
    <row r="7352">
      <c r="J7352">
        <f>IFERROR(__xludf.DUMMYFUNCTION("""COMPUTED_VALUE"""),"Panama, Atlanta and Washington")</f>
        <v/>
      </c>
      <c r="K7352">
        <f>IFERROR(__xludf.DUMMYFUNCTION("""COMPUTED_VALUE"""),5600.22)</f>
        <v/>
      </c>
    </row>
    <row r="7353">
      <c r="J7353">
        <f>IFERROR(__xludf.DUMMYFUNCTION("""COMPUTED_VALUE"""),"Munich, Germany; Madrid, Spain")</f>
        <v/>
      </c>
      <c r="K7353">
        <f>IFERROR(__xludf.DUMMYFUNCTION("""COMPUTED_VALUE"""),5599.64)</f>
        <v/>
      </c>
    </row>
    <row r="7354">
      <c r="J7354">
        <f>IFERROR(__xludf.DUMMYFUNCTION("""COMPUTED_VALUE"""),"Chilliwack, British Colombia, Canada")</f>
        <v/>
      </c>
      <c r="K7354">
        <f>IFERROR(__xludf.DUMMYFUNCTION("""COMPUTED_VALUE"""),5598.01)</f>
        <v/>
      </c>
    </row>
    <row r="7355">
      <c r="J7355">
        <f>IFERROR(__xludf.DUMMYFUNCTION("""COMPUTED_VALUE"""),"Halifax, Nova Scotia, Canada
Sydney, Nova Scotia, Canada")</f>
        <v/>
      </c>
      <c r="K7355">
        <f>IFERROR(__xludf.DUMMYFUNCTION("""COMPUTED_VALUE"""),5597.83)</f>
        <v/>
      </c>
    </row>
    <row r="7356">
      <c r="J7356">
        <f>IFERROR(__xludf.DUMMYFUNCTION("""COMPUTED_VALUE"""),"Winnipeg, Manitoba, Canada; Victoria, British Columbia, Canada; Vancouver, British Columbia, Canada")</f>
        <v/>
      </c>
      <c r="K7356">
        <f>IFERROR(__xludf.DUMMYFUNCTION("""COMPUTED_VALUE"""),5595.12)</f>
        <v/>
      </c>
    </row>
    <row r="7357">
      <c r="J7357">
        <f>IFERROR(__xludf.DUMMYFUNCTION("""COMPUTED_VALUE"""),"Brasilia, Rio de Janeiro and Toronto")</f>
        <v/>
      </c>
      <c r="K7357">
        <f>IFERROR(__xludf.DUMMYFUNCTION("""COMPUTED_VALUE"""),5593.01)</f>
        <v/>
      </c>
    </row>
    <row r="7358">
      <c r="J7358">
        <f>IFERROR(__xludf.DUMMYFUNCTION("""COMPUTED_VALUE"""),"London England, UK")</f>
        <v/>
      </c>
      <c r="K7358">
        <f>IFERROR(__xludf.DUMMYFUNCTION("""COMPUTED_VALUE"""),5592.85)</f>
        <v/>
      </c>
    </row>
    <row r="7359">
      <c r="J7359">
        <f>IFERROR(__xludf.DUMMYFUNCTION("""COMPUTED_VALUE"""),"Yellowknife, NT; Cambridge Bay, NU")</f>
        <v/>
      </c>
      <c r="K7359">
        <f>IFERROR(__xludf.DUMMYFUNCTION("""COMPUTED_VALUE"""),5592.52)</f>
        <v/>
      </c>
    </row>
    <row r="7360">
      <c r="J7360">
        <f>IFERROR(__xludf.DUMMYFUNCTION("""COMPUTED_VALUE"""),"Central America")</f>
        <v/>
      </c>
      <c r="K7360">
        <f>IFERROR(__xludf.DUMMYFUNCTION("""COMPUTED_VALUE"""),5591.66)</f>
        <v/>
      </c>
    </row>
    <row r="7361">
      <c r="J7361">
        <f>IFERROR(__xludf.DUMMYFUNCTION("""COMPUTED_VALUE"""),"Abbotsford, British Columbia, Canada; Surrey, British Columbia, Canada")</f>
        <v/>
      </c>
      <c r="K7361">
        <f>IFERROR(__xludf.DUMMYFUNCTION("""COMPUTED_VALUE"""),5591.34999999999)</f>
        <v/>
      </c>
    </row>
    <row r="7362">
      <c r="J7362">
        <f>IFERROR(__xludf.DUMMYFUNCTION("""COMPUTED_VALUE"""),"London &amp; Paris")</f>
        <v/>
      </c>
      <c r="K7362">
        <f>IFERROR(__xludf.DUMMYFUNCTION("""COMPUTED_VALUE"""),5589.51)</f>
        <v/>
      </c>
    </row>
    <row r="7363">
      <c r="J7363">
        <f>IFERROR(__xludf.DUMMYFUNCTION("""COMPUTED_VALUE"""),"Saskatoon, Saskatchewan, Canada; Winnipeg, Manitoba, Canada; Vancouver, British Colombia, Canada; Victoria, British Colombia, Canada")</f>
        <v/>
      </c>
      <c r="K7363">
        <f>IFERROR(__xludf.DUMMYFUNCTION("""COMPUTED_VALUE"""),5588.57)</f>
        <v/>
      </c>
    </row>
    <row r="7364">
      <c r="J7364">
        <f>IFERROR(__xludf.DUMMYFUNCTION("""COMPUTED_VALUE"""),"Libya")</f>
        <v/>
      </c>
      <c r="K7364">
        <f>IFERROR(__xludf.DUMMYFUNCTION("""COMPUTED_VALUE"""),5588.18)</f>
        <v/>
      </c>
    </row>
    <row r="7365">
      <c r="J7365">
        <f>IFERROR(__xludf.DUMMYFUNCTION("""COMPUTED_VALUE"""),"Warsaw, Poland; Rzeszow Poland")</f>
        <v/>
      </c>
      <c r="K7365">
        <f>IFERROR(__xludf.DUMMYFUNCTION("""COMPUTED_VALUE"""),5587.25)</f>
        <v/>
      </c>
    </row>
    <row r="7366">
      <c r="J7366">
        <f>IFERROR(__xludf.DUMMYFUNCTION("""COMPUTED_VALUE"""),"Vancouver, British Columbia, Canada
Comox, British Columbia, Canada
Tofino, British Columbia, Canada")</f>
        <v/>
      </c>
      <c r="K7366">
        <f>IFERROR(__xludf.DUMMYFUNCTION("""COMPUTED_VALUE"""),5584.31)</f>
        <v/>
      </c>
    </row>
    <row r="7367">
      <c r="J7367">
        <f>IFERROR(__xludf.DUMMYFUNCTION("""COMPUTED_VALUE"""),"St. Thomas, Ontario, Canada")</f>
        <v/>
      </c>
      <c r="K7367">
        <f>IFERROR(__xludf.DUMMYFUNCTION("""COMPUTED_VALUE"""),5583.95)</f>
        <v/>
      </c>
    </row>
    <row r="7368">
      <c r="J7368">
        <f>IFERROR(__xludf.DUMMYFUNCTION("""COMPUTED_VALUE"""),"Charlottetown, Prince Edward Island, Canada; Fredericton, New Brunswick, Canada; London, Ontario, Canada; Sudbury, Ontario, Canada; Toronto, Ontario, Canada")</f>
        <v/>
      </c>
      <c r="K7368">
        <f>IFERROR(__xludf.DUMMYFUNCTION("""COMPUTED_VALUE"""),5583.92)</f>
        <v/>
      </c>
    </row>
    <row r="7369">
      <c r="J7369">
        <f>IFERROR(__xludf.DUMMYFUNCTION("""COMPUTED_VALUE"""),"Edmonton, Alberta, Canada - Vancouver, British Columbia - Tokyo, Japan")</f>
        <v/>
      </c>
      <c r="K7369">
        <f>IFERROR(__xludf.DUMMYFUNCTION("""COMPUTED_VALUE"""),5583.84)</f>
        <v/>
      </c>
    </row>
    <row r="7370">
      <c r="J7370">
        <f>IFERROR(__xludf.DUMMYFUNCTION("""COMPUTED_VALUE"""),"Cape Town and Johannesburg (South Africa)")</f>
        <v/>
      </c>
      <c r="K7370">
        <f>IFERROR(__xludf.DUMMYFUNCTION("""COMPUTED_VALUE"""),5583.3)</f>
        <v/>
      </c>
    </row>
    <row r="7371">
      <c r="J7371">
        <f>IFERROR(__xludf.DUMMYFUNCTION("""COMPUTED_VALUE"""),"Rimouski, QC / Quebec, QC")</f>
        <v/>
      </c>
      <c r="K7371">
        <f>IFERROR(__xludf.DUMMYFUNCTION("""COMPUTED_VALUE"""),5582.52)</f>
        <v/>
      </c>
    </row>
    <row r="7372">
      <c r="J7372">
        <f>IFERROR(__xludf.DUMMYFUNCTION("""COMPUTED_VALUE"""),"Regina, Saskatchewan and Ottawa, Windsor and London, Ontario")</f>
        <v/>
      </c>
      <c r="K7372">
        <f>IFERROR(__xludf.DUMMYFUNCTION("""COMPUTED_VALUE"""),5582.04)</f>
        <v/>
      </c>
    </row>
    <row r="7373">
      <c r="J7373">
        <f>IFERROR(__xludf.DUMMYFUNCTION("""COMPUTED_VALUE"""),"Paris, France and London")</f>
        <v/>
      </c>
      <c r="K7373">
        <f>IFERROR(__xludf.DUMMYFUNCTION("""COMPUTED_VALUE"""),5581.32)</f>
        <v/>
      </c>
    </row>
    <row r="7374">
      <c r="J7374">
        <f>IFERROR(__xludf.DUMMYFUNCTION("""COMPUTED_VALUE"""),"Toronto and Windsor")</f>
        <v/>
      </c>
      <c r="K7374">
        <f>IFERROR(__xludf.DUMMYFUNCTION("""COMPUTED_VALUE"""),5579.79)</f>
        <v/>
      </c>
    </row>
    <row r="7375">
      <c r="J7375">
        <f>IFERROR(__xludf.DUMMYFUNCTION("""COMPUTED_VALUE"""),"Dawson City, Yukon – Vancouver, British Columbia –  Queen Charlotte, British Columbia")</f>
        <v/>
      </c>
      <c r="K7375">
        <f>IFERROR(__xludf.DUMMYFUNCTION("""COMPUTED_VALUE"""),5578.33)</f>
        <v/>
      </c>
    </row>
    <row r="7376">
      <c r="J7376">
        <f>IFERROR(__xludf.DUMMYFUNCTION("""COMPUTED_VALUE"""),"Halifax and Sydney, Nova Scotia")</f>
        <v/>
      </c>
      <c r="K7376">
        <f>IFERROR(__xludf.DUMMYFUNCTION("""COMPUTED_VALUE"""),5576.67)</f>
        <v/>
      </c>
    </row>
    <row r="7377">
      <c r="J7377">
        <f>IFERROR(__xludf.DUMMYFUNCTION("""COMPUTED_VALUE"""),"OTTAWA, ON - WINNIPEG, MB")</f>
        <v/>
      </c>
      <c r="K7377">
        <f>IFERROR(__xludf.DUMMYFUNCTION("""COMPUTED_VALUE"""),5575.62999999999)</f>
        <v/>
      </c>
    </row>
    <row r="7378">
      <c r="J7378">
        <f>IFERROR(__xludf.DUMMYFUNCTION("""COMPUTED_VALUE"""),"Vancouver, British Columbia, Canada
Toronto, Ontario, Canada")</f>
        <v/>
      </c>
      <c r="K7378">
        <f>IFERROR(__xludf.DUMMYFUNCTION("""COMPUTED_VALUE"""),5573.74)</f>
        <v/>
      </c>
    </row>
    <row r="7379">
      <c r="J7379">
        <f>IFERROR(__xludf.DUMMYFUNCTION("""COMPUTED_VALUE"""),"Kananaskis, Calgary and Waskesiu, Saskatchewan")</f>
        <v/>
      </c>
      <c r="K7379">
        <f>IFERROR(__xludf.DUMMYFUNCTION("""COMPUTED_VALUE"""),5573.24)</f>
        <v/>
      </c>
    </row>
    <row r="7380">
      <c r="J7380">
        <f>IFERROR(__xludf.DUMMYFUNCTION("""COMPUTED_VALUE"""),"Los Angeles, California -  Colorado Springs, Colorado -  Salt Lake City, Utah")</f>
        <v/>
      </c>
      <c r="K7380">
        <f>IFERROR(__xludf.DUMMYFUNCTION("""COMPUTED_VALUE"""),5572.73)</f>
        <v/>
      </c>
    </row>
    <row r="7381">
      <c r="J7381">
        <f>IFERROR(__xludf.DUMMYFUNCTION("""COMPUTED_VALUE"""),"Cairo, Egypt / Amman, Jordan")</f>
        <v/>
      </c>
      <c r="K7381">
        <f>IFERROR(__xludf.DUMMYFUNCTION("""COMPUTED_VALUE"""),5572.72)</f>
        <v/>
      </c>
    </row>
    <row r="7382">
      <c r="J7382">
        <f>IFERROR(__xludf.DUMMYFUNCTION("""COMPUTED_VALUE"""),"CALGARY, AB - EDMONTON, AB - OTTAWA, ON")</f>
        <v/>
      </c>
      <c r="K7382">
        <f>IFERROR(__xludf.DUMMYFUNCTION("""COMPUTED_VALUE"""),5572.68)</f>
        <v/>
      </c>
    </row>
    <row r="7383">
      <c r="J7383">
        <f>IFERROR(__xludf.DUMMYFUNCTION("""COMPUTED_VALUE"""),"Detroit, Windsor, Edmonton, Calgary")</f>
        <v/>
      </c>
      <c r="K7383">
        <f>IFERROR(__xludf.DUMMYFUNCTION("""COMPUTED_VALUE"""),5571.06)</f>
        <v/>
      </c>
    </row>
    <row r="7384">
      <c r="J7384">
        <f>IFERROR(__xludf.DUMMYFUNCTION("""COMPUTED_VALUE"""),"Kingston, ON / Aurora, ON /
Newmarket, ON / London, ON /
Guelph, ON")</f>
        <v/>
      </c>
      <c r="K7384">
        <f>IFERROR(__xludf.DUMMYFUNCTION("""COMPUTED_VALUE"""),5570.08)</f>
        <v/>
      </c>
    </row>
    <row r="7385">
      <c r="J7385">
        <f>IFERROR(__xludf.DUMMYFUNCTION("""COMPUTED_VALUE"""),"Winnipeg, Manitoba, Canada; Vancouver, British Columbia, Canada; Kenora, Ontario, Canada")</f>
        <v/>
      </c>
      <c r="K7385">
        <f>IFERROR(__xludf.DUMMYFUNCTION("""COMPUTED_VALUE"""),5566.59)</f>
        <v/>
      </c>
    </row>
    <row r="7386">
      <c r="J7386">
        <f>IFERROR(__xludf.DUMMYFUNCTION("""COMPUTED_VALUE"""),"Ottawa; Ontario, Winnipeg; Manitoba, Edmonton; Alberta")</f>
        <v/>
      </c>
      <c r="K7386">
        <f>IFERROR(__xludf.DUMMYFUNCTION("""COMPUTED_VALUE"""),5565.74)</f>
        <v/>
      </c>
    </row>
    <row r="7387">
      <c r="J7387">
        <f>IFERROR(__xludf.DUMMYFUNCTION("""COMPUTED_VALUE"""),"Washington DC, New York City, New York")</f>
        <v/>
      </c>
      <c r="K7387">
        <f>IFERROR(__xludf.DUMMYFUNCTION("""COMPUTED_VALUE"""),5564.66)</f>
        <v/>
      </c>
    </row>
    <row r="7388">
      <c r="J7388">
        <f>IFERROR(__xludf.DUMMYFUNCTION("""COMPUTED_VALUE"""),"Toronto, Victoria, Vancouver")</f>
        <v/>
      </c>
      <c r="K7388">
        <f>IFERROR(__xludf.DUMMYFUNCTION("""COMPUTED_VALUE"""),5564.06)</f>
        <v/>
      </c>
    </row>
    <row r="7389">
      <c r="J7389">
        <f>IFERROR(__xludf.DUMMYFUNCTION("""COMPUTED_VALUE"""),"Vancouver, British Columbia / Nanaimo, British Columbia, Canada")</f>
        <v/>
      </c>
      <c r="K7389">
        <f>IFERROR(__xludf.DUMMYFUNCTION("""COMPUTED_VALUE"""),5562.84)</f>
        <v/>
      </c>
    </row>
    <row r="7390">
      <c r="J7390">
        <f>IFERROR(__xludf.DUMMYFUNCTION("""COMPUTED_VALUE"""),"Calgary, Alberta, Canada / Toronto, Ontario, Canada")</f>
        <v/>
      </c>
      <c r="K7390">
        <f>IFERROR(__xludf.DUMMYFUNCTION("""COMPUTED_VALUE"""),5561.75)</f>
        <v/>
      </c>
    </row>
    <row r="7391">
      <c r="J7391">
        <f>IFERROR(__xludf.DUMMYFUNCTION("""COMPUTED_VALUE"""),"Regina and Saskatoon")</f>
        <v/>
      </c>
      <c r="K7391">
        <f>IFERROR(__xludf.DUMMYFUNCTION("""COMPUTED_VALUE"""),5558.25)</f>
        <v/>
      </c>
    </row>
    <row r="7392">
      <c r="J7392">
        <f>IFERROR(__xludf.DUMMYFUNCTION("""COMPUTED_VALUE"""),"Red Deer, (Alberta)")</f>
        <v/>
      </c>
      <c r="K7392">
        <f>IFERROR(__xludf.DUMMYFUNCTION("""COMPUTED_VALUE"""),5557.73)</f>
        <v/>
      </c>
    </row>
    <row r="7393">
      <c r="J7393">
        <f>IFERROR(__xludf.DUMMYFUNCTION("""COMPUTED_VALUE"""),"Regina, Saskatchewan, Canada; Ottawa, Ontario, Canada")</f>
        <v/>
      </c>
      <c r="K7393">
        <f>IFERROR(__xludf.DUMMYFUNCTION("""COMPUTED_VALUE"""),5557.7)</f>
        <v/>
      </c>
    </row>
    <row r="7394">
      <c r="J7394">
        <f>IFERROR(__xludf.DUMMYFUNCTION("""COMPUTED_VALUE"""),"Colorado Springs, Washington, USA")</f>
        <v/>
      </c>
      <c r="K7394">
        <f>IFERROR(__xludf.DUMMYFUNCTION("""COMPUTED_VALUE"""),5555.66)</f>
        <v/>
      </c>
    </row>
    <row r="7395">
      <c r="J7395">
        <f>IFERROR(__xludf.DUMMYFUNCTION("""COMPUTED_VALUE"""),"London, United Kingdom; Edinburgh, United Kingdom; Aberdeen, United Kingdom; London, United Kingdom")</f>
        <v/>
      </c>
      <c r="K7395">
        <f>IFERROR(__xludf.DUMMYFUNCTION("""COMPUTED_VALUE"""),5555.15)</f>
        <v/>
      </c>
    </row>
    <row r="7396">
      <c r="J7396">
        <f>IFERROR(__xludf.DUMMYFUNCTION("""COMPUTED_VALUE"""),"Santiago (Chile) and Lima (Peru)")</f>
        <v/>
      </c>
      <c r="K7396">
        <f>IFERROR(__xludf.DUMMYFUNCTION("""COMPUTED_VALUE"""),5554.99)</f>
        <v/>
      </c>
    </row>
    <row r="7397">
      <c r="J7397">
        <f>IFERROR(__xludf.DUMMYFUNCTION("""COMPUTED_VALUE"""),"Shediac, New Brunswick, Canada; St. John's, Newfoundland and Labrador, Canada; Ottawa, Ontario, Canada; Cornwall, Ontario, Canada; Toronto, Ontario, Canada")</f>
        <v/>
      </c>
      <c r="K7397">
        <f>IFERROR(__xludf.DUMMYFUNCTION("""COMPUTED_VALUE"""),5553.36)</f>
        <v/>
      </c>
    </row>
    <row r="7398">
      <c r="J7398">
        <f>IFERROR(__xludf.DUMMYFUNCTION("""COMPUTED_VALUE"""),"Calgary, Alberta, Canada; Toronto, Ontario, Canada; Simcoe, Ontario, Canada")</f>
        <v/>
      </c>
      <c r="K7398">
        <f>IFERROR(__xludf.DUMMYFUNCTION("""COMPUTED_VALUE"""),5553.16)</f>
        <v/>
      </c>
    </row>
    <row r="7399">
      <c r="J7399">
        <f>IFERROR(__xludf.DUMMYFUNCTION("""COMPUTED_VALUE"""),"Iqaluit, Yellowknife, Whitehorse, Northwest Territories (Canada)")</f>
        <v/>
      </c>
      <c r="K7399">
        <f>IFERROR(__xludf.DUMMYFUNCTION("""COMPUTED_VALUE"""),5550.75)</f>
        <v/>
      </c>
    </row>
    <row r="7400">
      <c r="J7400">
        <f>IFERROR(__xludf.DUMMYFUNCTION("""COMPUTED_VALUE"""),"Montreal, Quebec, Canada/ Edmonton, Alberta, Canada/ Saskatoon, Saskatchewan, Canada/ Whitehorse, Yukon, Canada")</f>
        <v/>
      </c>
      <c r="K7400">
        <f>IFERROR(__xludf.DUMMYFUNCTION("""COMPUTED_VALUE"""),5550.02)</f>
        <v/>
      </c>
    </row>
    <row r="7401">
      <c r="J7401">
        <f>IFERROR(__xludf.DUMMYFUNCTION("""COMPUTED_VALUE"""),"Winnipeg, Manitoba, Canada; Dryden, Ontario, Canada")</f>
        <v/>
      </c>
      <c r="K7401">
        <f>IFERROR(__xludf.DUMMYFUNCTION("""COMPUTED_VALUE"""),5550.01)</f>
        <v/>
      </c>
    </row>
    <row r="7402">
      <c r="J7402">
        <f>IFERROR(__xludf.DUMMYFUNCTION("""COMPUTED_VALUE"""),"Vancouver, BC and Hawaii, USA")</f>
        <v/>
      </c>
      <c r="K7402">
        <f>IFERROR(__xludf.DUMMYFUNCTION("""COMPUTED_VALUE"""),5550)</f>
        <v/>
      </c>
    </row>
    <row r="7403">
      <c r="J7403">
        <f>IFERROR(__xludf.DUMMYFUNCTION("""COMPUTED_VALUE"""),"Kelowna, British Columbia, Canada
Vancouver, British Columbia, Canada")</f>
        <v/>
      </c>
      <c r="K7403">
        <f>IFERROR(__xludf.DUMMYFUNCTION("""COMPUTED_VALUE"""),5549.27)</f>
        <v/>
      </c>
    </row>
    <row r="7404">
      <c r="J7404">
        <f>IFERROR(__xludf.DUMMYFUNCTION("""COMPUTED_VALUE"""),"London, England; Milan, Italy; Paris, France")</f>
        <v/>
      </c>
      <c r="K7404">
        <f>IFERROR(__xludf.DUMMYFUNCTION("""COMPUTED_VALUE"""),5548.69)</f>
        <v/>
      </c>
    </row>
    <row r="7405">
      <c r="J7405">
        <f>IFERROR(__xludf.DUMMYFUNCTION("""COMPUTED_VALUE"""),"Ottawa, Washington, Montreal")</f>
        <v/>
      </c>
      <c r="K7405">
        <f>IFERROR(__xludf.DUMMYFUNCTION("""COMPUTED_VALUE"""),5546.5)</f>
        <v/>
      </c>
    </row>
    <row r="7406">
      <c r="J7406">
        <f>IFERROR(__xludf.DUMMYFUNCTION("""COMPUTED_VALUE"""),"Rapid City, South Dakota, United States")</f>
        <v/>
      </c>
      <c r="K7406">
        <f>IFERROR(__xludf.DUMMYFUNCTION("""COMPUTED_VALUE"""),5545.94)</f>
        <v/>
      </c>
    </row>
    <row r="7407">
      <c r="J7407">
        <f>IFERROR(__xludf.DUMMYFUNCTION("""COMPUTED_VALUE"""),"Toronto, Regina, Kelowna, Vancouver")</f>
        <v/>
      </c>
      <c r="K7407">
        <f>IFERROR(__xludf.DUMMYFUNCTION("""COMPUTED_VALUE"""),5545.61)</f>
        <v/>
      </c>
    </row>
    <row r="7408">
      <c r="J7408">
        <f>IFERROR(__xludf.DUMMYFUNCTION("""COMPUTED_VALUE"""),"Farnborough, Hampshire, UK")</f>
        <v/>
      </c>
      <c r="K7408">
        <f>IFERROR(__xludf.DUMMYFUNCTION("""COMPUTED_VALUE"""),5545.55)</f>
        <v/>
      </c>
    </row>
    <row r="7409">
      <c r="J7409">
        <f>IFERROR(__xludf.DUMMYFUNCTION("""COMPUTED_VALUE"""),"Red Lake, Ontario, Canada")</f>
        <v/>
      </c>
      <c r="K7409">
        <f>IFERROR(__xludf.DUMMYFUNCTION("""COMPUTED_VALUE"""),5544.98)</f>
        <v/>
      </c>
    </row>
    <row r="7410">
      <c r="J7410">
        <f>IFERROR(__xludf.DUMMYFUNCTION("""COMPUTED_VALUE"""),"Banff, Alberta, Canada Lake Louise, Alberta, CanadaRadium, British Columbia, CanadaRevelstoke, British Columbia, CanadaKelowna, British Columbia, Canada")</f>
        <v/>
      </c>
      <c r="K7410">
        <f>IFERROR(__xludf.DUMMYFUNCTION("""COMPUTED_VALUE"""),5543.99)</f>
        <v/>
      </c>
    </row>
    <row r="7411">
      <c r="J7411">
        <f>IFERROR(__xludf.DUMMYFUNCTION("""COMPUTED_VALUE"""),"Saskatchewan, Regina, Canada")</f>
        <v/>
      </c>
      <c r="K7411">
        <f>IFERROR(__xludf.DUMMYFUNCTION("""COMPUTED_VALUE"""),5543.68)</f>
        <v/>
      </c>
    </row>
    <row r="7412">
      <c r="J7412">
        <f>IFERROR(__xludf.DUMMYFUNCTION("""COMPUTED_VALUE"""),"London, Brussels, Berlin, The Hague, Vienna")</f>
        <v/>
      </c>
      <c r="K7412">
        <f>IFERROR(__xludf.DUMMYFUNCTION("""COMPUTED_VALUE"""),5543.67)</f>
        <v/>
      </c>
    </row>
    <row r="7413">
      <c r="J7413">
        <f>IFERROR(__xludf.DUMMYFUNCTION("""COMPUTED_VALUE"""),"Kamloops and Vancouver, British Columbia, Canada and St. John's, Newfoundland, Canada")</f>
        <v/>
      </c>
      <c r="K7413">
        <f>IFERROR(__xludf.DUMMYFUNCTION("""COMPUTED_VALUE"""),5542.29)</f>
        <v/>
      </c>
    </row>
    <row r="7414">
      <c r="J7414">
        <f>IFERROR(__xludf.DUMMYFUNCTION("""COMPUTED_VALUE"""),"Baie-Comeau, QC; Sept-Îles, QC; Québec, QC; Montréal, QC")</f>
        <v/>
      </c>
      <c r="K7414">
        <f>IFERROR(__xludf.DUMMYFUNCTION("""COMPUTED_VALUE"""),5541.98)</f>
        <v/>
      </c>
    </row>
    <row r="7415">
      <c r="J7415">
        <f>IFERROR(__xludf.DUMMYFUNCTION("""COMPUTED_VALUE"""),"Ukraine and Latvia")</f>
        <v/>
      </c>
      <c r="K7415">
        <f>IFERROR(__xludf.DUMMYFUNCTION("""COMPUTED_VALUE"""),5541.05)</f>
        <v/>
      </c>
    </row>
    <row r="7416">
      <c r="J7416">
        <f>IFERROR(__xludf.DUMMYFUNCTION("""COMPUTED_VALUE"""),"Edmonton, Alberta.;
Winnipeg Manitoba;
Drumheller, Alberta")</f>
        <v/>
      </c>
      <c r="K7416">
        <f>IFERROR(__xludf.DUMMYFUNCTION("""COMPUTED_VALUE"""),5539.98)</f>
        <v/>
      </c>
    </row>
    <row r="7417">
      <c r="J7417">
        <f>IFERROR(__xludf.DUMMYFUNCTION("""COMPUTED_VALUE"""),"Kelowna, BC and Ottawa, ON.")</f>
        <v/>
      </c>
      <c r="K7417">
        <f>IFERROR(__xludf.DUMMYFUNCTION("""COMPUTED_VALUE"""),5539.36)</f>
        <v/>
      </c>
    </row>
    <row r="7418">
      <c r="J7418">
        <f>IFERROR(__xludf.DUMMYFUNCTION("""COMPUTED_VALUE"""),"Cambridge, Massachusetts, United-States")</f>
        <v/>
      </c>
      <c r="K7418">
        <f>IFERROR(__xludf.DUMMYFUNCTION("""COMPUTED_VALUE"""),5535.96)</f>
        <v/>
      </c>
    </row>
    <row r="7419">
      <c r="J7419">
        <f>IFERROR(__xludf.DUMMYFUNCTION("""COMPUTED_VALUE"""),"Edmonton &amp; Calgary, Alberta")</f>
        <v/>
      </c>
      <c r="K7419">
        <f>IFERROR(__xludf.DUMMYFUNCTION("""COMPUTED_VALUE"""),5534.03)</f>
        <v/>
      </c>
    </row>
    <row r="7420">
      <c r="J7420">
        <f>IFERROR(__xludf.DUMMYFUNCTION("""COMPUTED_VALUE"""),"OTTAWA, ONTARIO")</f>
        <v/>
      </c>
      <c r="K7420">
        <f>IFERROR(__xludf.DUMMYFUNCTION("""COMPUTED_VALUE"""),5532.01)</f>
        <v/>
      </c>
    </row>
    <row r="7421">
      <c r="J7421">
        <f>IFERROR(__xludf.DUMMYFUNCTION("""COMPUTED_VALUE"""),"Prince George, British Columbia, Canada and Prince Rupert, British Columbia, Canada")</f>
        <v/>
      </c>
      <c r="K7421">
        <f>IFERROR(__xludf.DUMMYFUNCTION("""COMPUTED_VALUE"""),5530.37)</f>
        <v/>
      </c>
    </row>
    <row r="7422">
      <c r="J7422">
        <f>IFERROR(__xludf.DUMMYFUNCTION("""COMPUTED_VALUE"""),"Ottawa, ON and St. John's, NL")</f>
        <v/>
      </c>
      <c r="K7422">
        <f>IFERROR(__xludf.DUMMYFUNCTION("""COMPUTED_VALUE"""),5529.48)</f>
        <v/>
      </c>
    </row>
    <row r="7423">
      <c r="J7423">
        <f>IFERROR(__xludf.DUMMYFUNCTION("""COMPUTED_VALUE"""),"Guatemala, Honduras et Washington")</f>
        <v/>
      </c>
      <c r="K7423">
        <f>IFERROR(__xludf.DUMMYFUNCTION("""COMPUTED_VALUE"""),5526.31)</f>
        <v/>
      </c>
    </row>
    <row r="7424">
      <c r="J7424">
        <f>IFERROR(__xludf.DUMMYFUNCTION("""COMPUTED_VALUE"""),"Vancouver, British Columbia, Canada; Edmonton, Alberta, Canada; Ottawa, Ontario, Canada; Gatineau, Quebec, Canada")</f>
        <v/>
      </c>
      <c r="K7424">
        <f>IFERROR(__xludf.DUMMYFUNCTION("""COMPUTED_VALUE"""),5525.51)</f>
        <v/>
      </c>
    </row>
    <row r="7425">
      <c r="J7425">
        <f>IFERROR(__xludf.DUMMYFUNCTION("""COMPUTED_VALUE"""),"Nanaimo, British Columbia, Canada / Burnaby, British Columbia, Canada / Vancouver, British Columbia, Canada")</f>
        <v/>
      </c>
      <c r="K7425">
        <f>IFERROR(__xludf.DUMMYFUNCTION("""COMPUTED_VALUE"""),5525.42)</f>
        <v/>
      </c>
    </row>
    <row r="7426">
      <c r="J7426">
        <f>IFERROR(__xludf.DUMMYFUNCTION("""COMPUTED_VALUE"""),"Ottawa- Montreal - Toronto &amp; return Brussels")</f>
        <v/>
      </c>
      <c r="K7426">
        <f>IFERROR(__xludf.DUMMYFUNCTION("""COMPUTED_VALUE"""),5524.05)</f>
        <v/>
      </c>
    </row>
    <row r="7427">
      <c r="J7427">
        <f>IFERROR(__xludf.DUMMYFUNCTION("""COMPUTED_VALUE"""),"Vancouver, British Colombia, Canada; Prince George, British Columbia, Canada; Saskatoon, Saskatchewan, Canada")</f>
        <v/>
      </c>
      <c r="K7427">
        <f>IFERROR(__xludf.DUMMYFUNCTION("""COMPUTED_VALUE"""),5522.97)</f>
        <v/>
      </c>
    </row>
    <row r="7428">
      <c r="J7428">
        <f>IFERROR(__xludf.DUMMYFUNCTION("""COMPUTED_VALUE"""),"Washington, DC, United States / Bogota, Colombia")</f>
        <v/>
      </c>
      <c r="K7428">
        <f>IFERROR(__xludf.DUMMYFUNCTION("""COMPUTED_VALUE"""),5521.59)</f>
        <v/>
      </c>
    </row>
    <row r="7429">
      <c r="J7429">
        <f>IFERROR(__xludf.DUMMYFUNCTION("""COMPUTED_VALUE"""),"Rome (Lazio), Italy")</f>
        <v/>
      </c>
      <c r="K7429">
        <f>IFERROR(__xludf.DUMMYFUNCTION("""COMPUTED_VALUE"""),5519.61)</f>
        <v/>
      </c>
    </row>
    <row r="7430">
      <c r="J7430">
        <f>IFERROR(__xludf.DUMMYFUNCTION("""COMPUTED_VALUE"""),"VANCOUVER, BC - VICTORIA, BC")</f>
        <v/>
      </c>
      <c r="K7430">
        <f>IFERROR(__xludf.DUMMYFUNCTION("""COMPUTED_VALUE"""),5516.94)</f>
        <v/>
      </c>
    </row>
    <row r="7431">
      <c r="J7431">
        <f>IFERROR(__xludf.DUMMYFUNCTION("""COMPUTED_VALUE"""),"Halifax, Nova Scotia / Montreal, Quebec / Winnipeg, Manitoba / Vancouver, British Columbia, Canada")</f>
        <v/>
      </c>
      <c r="K7431">
        <f>IFERROR(__xludf.DUMMYFUNCTION("""COMPUTED_VALUE"""),5516.9)</f>
        <v/>
      </c>
    </row>
    <row r="7432">
      <c r="J7432">
        <f>IFERROR(__xludf.DUMMYFUNCTION("""COMPUTED_VALUE"""),"New Delhi and Mumbai, India")</f>
        <v/>
      </c>
      <c r="K7432">
        <f>IFERROR(__xludf.DUMMYFUNCTION("""COMPUTED_VALUE"""),5514.93)</f>
        <v/>
      </c>
    </row>
    <row r="7433">
      <c r="J7433">
        <f>IFERROR(__xludf.DUMMYFUNCTION("""COMPUTED_VALUE"""),"Toronto, Ontario, Canada / Sault Ste. Marie, Ontario, Canada")</f>
        <v/>
      </c>
      <c r="K7433">
        <f>IFERROR(__xludf.DUMMYFUNCTION("""COMPUTED_VALUE"""),5514.71)</f>
        <v/>
      </c>
    </row>
    <row r="7434">
      <c r="J7434">
        <f>IFERROR(__xludf.DUMMYFUNCTION("""COMPUTED_VALUE"""),"Latvia and Estonia")</f>
        <v/>
      </c>
      <c r="K7434">
        <f>IFERROR(__xludf.DUMMYFUNCTION("""COMPUTED_VALUE"""),5511.53)</f>
        <v/>
      </c>
    </row>
    <row r="7435">
      <c r="J7435">
        <f>IFERROR(__xludf.DUMMYFUNCTION("""COMPUTED_VALUE"""),"Ottawa; Charlottetown, PEI; Halifax, Nova Scotia; Fredericton, New Brunswick")</f>
        <v/>
      </c>
      <c r="K7435">
        <f>IFERROR(__xludf.DUMMYFUNCTION("""COMPUTED_VALUE"""),5510.28)</f>
        <v/>
      </c>
    </row>
    <row r="7436">
      <c r="J7436">
        <f>IFERROR(__xludf.DUMMYFUNCTION("""COMPUTED_VALUE"""),"Edmonton, Alberta, Canada; Vancouver, British Columbia, Canada")</f>
        <v/>
      </c>
      <c r="K7436">
        <f>IFERROR(__xludf.DUMMYFUNCTION("""COMPUTED_VALUE"""),5510.18)</f>
        <v/>
      </c>
    </row>
    <row r="7437">
      <c r="J7437">
        <f>IFERROR(__xludf.DUMMYFUNCTION("""COMPUTED_VALUE"""),"Kelowna/Victoria/Vancouver, British-Colombia, Canada; Winnipeg, Manitoba, Canada")</f>
        <v/>
      </c>
      <c r="K7437">
        <f>IFERROR(__xludf.DUMMYFUNCTION("""COMPUTED_VALUE"""),5510.15)</f>
        <v/>
      </c>
    </row>
    <row r="7438">
      <c r="J7438">
        <f>IFERROR(__xludf.DUMMYFUNCTION("""COMPUTED_VALUE"""),"Windsor, Ontario, Canada
Toronto, Ontario, Canada")</f>
        <v/>
      </c>
      <c r="K7438">
        <f>IFERROR(__xludf.DUMMYFUNCTION("""COMPUTED_VALUE"""),5509.87)</f>
        <v/>
      </c>
    </row>
    <row r="7439">
      <c r="J7439">
        <f>IFERROR(__xludf.DUMMYFUNCTION("""COMPUTED_VALUE"""),"Paris, France
Bern, Switzerland")</f>
        <v/>
      </c>
      <c r="K7439">
        <f>IFERROR(__xludf.DUMMYFUNCTION("""COMPUTED_VALUE"""),5509.47)</f>
        <v/>
      </c>
    </row>
    <row r="7440">
      <c r="J7440">
        <f>IFERROR(__xludf.DUMMYFUNCTION("""COMPUTED_VALUE"""),"Esquimalt, British Columbia")</f>
        <v/>
      </c>
      <c r="K7440">
        <f>IFERROR(__xludf.DUMMYFUNCTION("""COMPUTED_VALUE"""),5509.18)</f>
        <v/>
      </c>
    </row>
    <row r="7441">
      <c r="J7441">
        <f>IFERROR(__xludf.DUMMYFUNCTION("""COMPUTED_VALUE"""),"Santiago, Republic of Chile")</f>
        <v/>
      </c>
      <c r="K7441">
        <f>IFERROR(__xludf.DUMMYFUNCTION("""COMPUTED_VALUE"""),5508.45)</f>
        <v/>
      </c>
    </row>
    <row r="7442">
      <c r="J7442">
        <f>IFERROR(__xludf.DUMMYFUNCTION("""COMPUTED_VALUE"""),"Halifax, NS, Ottawa, ON")</f>
        <v/>
      </c>
      <c r="K7442">
        <f>IFERROR(__xludf.DUMMYFUNCTION("""COMPUTED_VALUE"""),5508.05)</f>
        <v/>
      </c>
    </row>
    <row r="7443">
      <c r="J7443">
        <f>IFERROR(__xludf.DUMMYFUNCTION("""COMPUTED_VALUE"""),"1. Halifax; 2. Vancouver; 3. Victoria")</f>
        <v/>
      </c>
      <c r="K7443">
        <f>IFERROR(__xludf.DUMMYFUNCTION("""COMPUTED_VALUE"""),5507.83)</f>
        <v/>
      </c>
    </row>
    <row r="7444">
      <c r="J7444">
        <f>IFERROR(__xludf.DUMMYFUNCTION("""COMPUTED_VALUE"""),"Calgary, Saskatoon, Winnipeg")</f>
        <v/>
      </c>
      <c r="K7444">
        <f>IFERROR(__xludf.DUMMYFUNCTION("""COMPUTED_VALUE"""),5507.38)</f>
        <v/>
      </c>
    </row>
    <row r="7445">
      <c r="J7445">
        <f>IFERROR(__xludf.DUMMYFUNCTION("""COMPUTED_VALUE"""),"Dallas, USA")</f>
        <v/>
      </c>
      <c r="K7445">
        <f>IFERROR(__xludf.DUMMYFUNCTION("""COMPUTED_VALUE"""),5505.01)</f>
        <v/>
      </c>
    </row>
    <row r="7446">
      <c r="J7446">
        <f>IFERROR(__xludf.DUMMYFUNCTION("""COMPUTED_VALUE"""),"Banff and Jasper, Alberta")</f>
        <v/>
      </c>
      <c r="K7446">
        <f>IFERROR(__xludf.DUMMYFUNCTION("""COMPUTED_VALUE"""),5504.24)</f>
        <v/>
      </c>
    </row>
    <row r="7447">
      <c r="J7447">
        <f>IFERROR(__xludf.DUMMYFUNCTION("""COMPUTED_VALUE"""),"St. John's and Halifax")</f>
        <v/>
      </c>
      <c r="K7447">
        <f>IFERROR(__xludf.DUMMYFUNCTION("""COMPUTED_VALUE"""),5503.88)</f>
        <v/>
      </c>
    </row>
    <row r="7448">
      <c r="J7448">
        <f>IFERROR(__xludf.DUMMYFUNCTION("""COMPUTED_VALUE"""),"Saskatoon, SK; Prince Rupert, BC; Kelowna, BC")</f>
        <v/>
      </c>
      <c r="K7448">
        <f>IFERROR(__xludf.DUMMYFUNCTION("""COMPUTED_VALUE"""),5503.65)</f>
        <v/>
      </c>
    </row>
    <row r="7449">
      <c r="J7449">
        <f>IFERROR(__xludf.DUMMYFUNCTION("""COMPUTED_VALUE"""),"Iqaluit, NU; Churchill, NU")</f>
        <v/>
      </c>
      <c r="K7449">
        <f>IFERROR(__xludf.DUMMYFUNCTION("""COMPUTED_VALUE"""),5502.97)</f>
        <v/>
      </c>
    </row>
    <row r="7450">
      <c r="J7450">
        <f>IFERROR(__xludf.DUMMYFUNCTION("""COMPUTED_VALUE"""),"Calgary, Edmonton and Vancouver")</f>
        <v/>
      </c>
      <c r="K7450">
        <f>IFERROR(__xludf.DUMMYFUNCTION("""COMPUTED_VALUE"""),5502.58)</f>
        <v/>
      </c>
    </row>
    <row r="7451">
      <c r="J7451">
        <f>IFERROR(__xludf.DUMMYFUNCTION("""COMPUTED_VALUE"""),"Manama,  Bahrain")</f>
        <v/>
      </c>
      <c r="K7451">
        <f>IFERROR(__xludf.DUMMYFUNCTION("""COMPUTED_VALUE"""),5501)</f>
        <v/>
      </c>
    </row>
    <row r="7452">
      <c r="J7452">
        <f>IFERROR(__xludf.DUMMYFUNCTION("""COMPUTED_VALUE"""),"Halifax, NS, Montreal, QC, Vancouver BC, Calgary, AB")</f>
        <v/>
      </c>
      <c r="K7452">
        <f>IFERROR(__xludf.DUMMYFUNCTION("""COMPUTED_VALUE"""),5500.29)</f>
        <v/>
      </c>
    </row>
    <row r="7453">
      <c r="J7453">
        <f>IFERROR(__xludf.DUMMYFUNCTION("""COMPUTED_VALUE"""),"London, UK / Munich, DE / Berlin, DE")</f>
        <v/>
      </c>
      <c r="K7453">
        <f>IFERROR(__xludf.DUMMYFUNCTION("""COMPUTED_VALUE"""),5499.06)</f>
        <v/>
      </c>
    </row>
    <row r="7454">
      <c r="J7454">
        <f>IFERROR(__xludf.DUMMYFUNCTION("""COMPUTED_VALUE"""),"Various locations in Canada")</f>
        <v/>
      </c>
      <c r="K7454">
        <f>IFERROR(__xludf.DUMMYFUNCTION("""COMPUTED_VALUE"""),5498.26)</f>
        <v/>
      </c>
    </row>
    <row r="7455">
      <c r="J7455">
        <f>IFERROR(__xludf.DUMMYFUNCTION("""COMPUTED_VALUE"""),"Nanaimo, British Columbia, Canada; Victoria, British Columbia, Canada; Vancouver, British Columbia, Canada")</f>
        <v/>
      </c>
      <c r="K7455">
        <f>IFERROR(__xludf.DUMMYFUNCTION("""COMPUTED_VALUE"""),5496.01)</f>
        <v/>
      </c>
    </row>
    <row r="7456">
      <c r="J7456">
        <f>IFERROR(__xludf.DUMMYFUNCTION("""COMPUTED_VALUE"""),"Ottawa, Iqaluit, Toronto, Whitehorse, Yellowknife, Montreal")</f>
        <v/>
      </c>
      <c r="K7456">
        <f>IFERROR(__xludf.DUMMYFUNCTION("""COMPUTED_VALUE"""),5496)</f>
        <v/>
      </c>
    </row>
    <row r="7457">
      <c r="J7457">
        <f>IFERROR(__xludf.DUMMYFUNCTION("""COMPUTED_VALUE"""),"Santa Fe, USA")</f>
        <v/>
      </c>
      <c r="K7457">
        <f>IFERROR(__xludf.DUMMYFUNCTION("""COMPUTED_VALUE"""),5496)</f>
        <v/>
      </c>
    </row>
    <row r="7458">
      <c r="J7458">
        <f>IFERROR(__xludf.DUMMYFUNCTION("""COMPUTED_VALUE"""),"Miawpukek, Newfoundland and Labrador, Canada and St. John's, Newfoundland and Labrador, Canada")</f>
        <v/>
      </c>
      <c r="K7458">
        <f>IFERROR(__xludf.DUMMYFUNCTION("""COMPUTED_VALUE"""),5494.74)</f>
        <v/>
      </c>
    </row>
    <row r="7459">
      <c r="J7459">
        <f>IFERROR(__xludf.DUMMYFUNCTION("""COMPUTED_VALUE"""),"Boston, Massachussetts")</f>
        <v/>
      </c>
      <c r="K7459">
        <f>IFERROR(__xludf.DUMMYFUNCTION("""COMPUTED_VALUE"""),5493.38)</f>
        <v/>
      </c>
    </row>
    <row r="7460">
      <c r="J7460">
        <f>IFERROR(__xludf.DUMMYFUNCTION("""COMPUTED_VALUE"""),"Cuba and Peru")</f>
        <v/>
      </c>
      <c r="K7460">
        <f>IFERROR(__xludf.DUMMYFUNCTION("""COMPUTED_VALUE"""),5492.39)</f>
        <v/>
      </c>
    </row>
    <row r="7461">
      <c r="J7461">
        <f>IFERROR(__xludf.DUMMYFUNCTION("""COMPUTED_VALUE"""),"Montreal (QC), Canada")</f>
        <v/>
      </c>
      <c r="K7461">
        <f>IFERROR(__xludf.DUMMYFUNCTION("""COMPUTED_VALUE"""),5491.55)</f>
        <v/>
      </c>
    </row>
    <row r="7462">
      <c r="J7462">
        <f>IFERROR(__xludf.DUMMYFUNCTION("""COMPUTED_VALUE"""),"Washiington, DC, USA")</f>
        <v/>
      </c>
      <c r="K7462">
        <f>IFERROR(__xludf.DUMMYFUNCTION("""COMPUTED_VALUE"""),5489.3)</f>
        <v/>
      </c>
    </row>
    <row r="7463">
      <c r="J7463">
        <f>IFERROR(__xludf.DUMMYFUNCTION("""COMPUTED_VALUE"""),"Ottawa ON, &amp; Halifax NS")</f>
        <v/>
      </c>
      <c r="K7463">
        <f>IFERROR(__xludf.DUMMYFUNCTION("""COMPUTED_VALUE"""),5488.89)</f>
        <v/>
      </c>
    </row>
    <row r="7464">
      <c r="J7464">
        <f>IFERROR(__xludf.DUMMYFUNCTION("""COMPUTED_VALUE"""),"Brussels, Romania and Moldova")</f>
        <v/>
      </c>
      <c r="K7464">
        <f>IFERROR(__xludf.DUMMYFUNCTION("""COMPUTED_VALUE"""),5488)</f>
        <v/>
      </c>
    </row>
    <row r="7465">
      <c r="J7465">
        <f>IFERROR(__xludf.DUMMYFUNCTION("""COMPUTED_VALUE"""),"Missussauga, Ontario, Etobicoke, Ontario, Toronto, Ontario, Sudbury, Ontario, Hamilton, Ontario")</f>
        <v/>
      </c>
      <c r="K7465">
        <f>IFERROR(__xludf.DUMMYFUNCTION("""COMPUTED_VALUE"""),5487.66)</f>
        <v/>
      </c>
    </row>
    <row r="7466">
      <c r="J7466">
        <f>IFERROR(__xludf.DUMMYFUNCTION("""COMPUTED_VALUE"""),"Toronto, Ottawa Montreal, Quebec City")</f>
        <v/>
      </c>
      <c r="K7466">
        <f>IFERROR(__xludf.DUMMYFUNCTION("""COMPUTED_VALUE"""),5485.93)</f>
        <v/>
      </c>
    </row>
    <row r="7467">
      <c r="J7467">
        <f>IFERROR(__xludf.DUMMYFUNCTION("""COMPUTED_VALUE"""),"Norfolk, Virgina &amp; Washington, DC")</f>
        <v/>
      </c>
      <c r="K7467">
        <f>IFERROR(__xludf.DUMMYFUNCTION("""COMPUTED_VALUE"""),5484.92)</f>
        <v/>
      </c>
    </row>
    <row r="7468">
      <c r="J7468">
        <f>IFERROR(__xludf.DUMMYFUNCTION("""COMPUTED_VALUE"""),"Halifax, Nova Scotia, Canada; Yarmouth, Nova Scotia, Canada")</f>
        <v/>
      </c>
      <c r="K7468">
        <f>IFERROR(__xludf.DUMMYFUNCTION("""COMPUTED_VALUE"""),5483.26999999999)</f>
        <v/>
      </c>
    </row>
    <row r="7469">
      <c r="J7469">
        <f>IFERROR(__xludf.DUMMYFUNCTION("""COMPUTED_VALUE"""),"Chéticamp, NS / Sydney, NS / Isle Madame, NS")</f>
        <v/>
      </c>
      <c r="K7469">
        <f>IFERROR(__xludf.DUMMYFUNCTION("""COMPUTED_VALUE"""),5482.96)</f>
        <v/>
      </c>
    </row>
    <row r="7470">
      <c r="J7470">
        <f>IFERROR(__xludf.DUMMYFUNCTION("""COMPUTED_VALUE"""),"Cambridge, MA / Boston, MA")</f>
        <v/>
      </c>
      <c r="K7470">
        <f>IFERROR(__xludf.DUMMYFUNCTION("""COMPUTED_VALUE"""),5481.16)</f>
        <v/>
      </c>
    </row>
    <row r="7471">
      <c r="J7471">
        <f>IFERROR(__xludf.DUMMYFUNCTION("""COMPUTED_VALUE"""),"Maastricht, The Netherlands, Europe")</f>
        <v/>
      </c>
      <c r="K7471">
        <f>IFERROR(__xludf.DUMMYFUNCTION("""COMPUTED_VALUE"""),5480.55)</f>
        <v/>
      </c>
    </row>
    <row r="7472">
      <c r="J7472">
        <f>IFERROR(__xludf.DUMMYFUNCTION("""COMPUTED_VALUE"""),"Vancouver, BC / Seattle, WA / Sacremento, CA / San Francisco, CA")</f>
        <v/>
      </c>
      <c r="K7472">
        <f>IFERROR(__xludf.DUMMYFUNCTION("""COMPUTED_VALUE"""),5480.18)</f>
        <v/>
      </c>
    </row>
    <row r="7473">
      <c r="J7473">
        <f>IFERROR(__xludf.DUMMYFUNCTION("""COMPUTED_VALUE"""),"Montreal, Quebec, Canada; Ottawa, Ontario, Canada; Calgary, Alberta, Canada; Vancouver, British Columbia, Canada; Whistler, British Columbia, Canada")</f>
        <v/>
      </c>
      <c r="K7473">
        <f>IFERROR(__xludf.DUMMYFUNCTION("""COMPUTED_VALUE"""),5479.47)</f>
        <v/>
      </c>
    </row>
    <row r="7474">
      <c r="J7474">
        <f>IFERROR(__xludf.DUMMYFUNCTION("""COMPUTED_VALUE"""),"Barcelona, ES")</f>
        <v/>
      </c>
      <c r="K7474">
        <f>IFERROR(__xludf.DUMMYFUNCTION("""COMPUTED_VALUE"""),5478.49)</f>
        <v/>
      </c>
    </row>
    <row r="7475">
      <c r="J7475">
        <f>IFERROR(__xludf.DUMMYFUNCTION("""COMPUTED_VALUE"""),"Tel Aviv, Israel Tel-Aviv, Israël")</f>
        <v/>
      </c>
      <c r="K7475">
        <f>IFERROR(__xludf.DUMMYFUNCTION("""COMPUTED_VALUE"""),5478)</f>
        <v/>
      </c>
    </row>
    <row r="7476">
      <c r="J7476">
        <f>IFERROR(__xludf.DUMMYFUNCTION("""COMPUTED_VALUE"""),"Saskatoon, Saskatchewan, Canada; Toronto, Ontario, Canada; Deer Lake, Newfoundland and Labrador, Canada; Halifax, Nova Scotia, Canada")</f>
        <v/>
      </c>
      <c r="K7476">
        <f>IFERROR(__xludf.DUMMYFUNCTION("""COMPUTED_VALUE"""),5477.46)</f>
        <v/>
      </c>
    </row>
    <row r="7477">
      <c r="J7477">
        <f>IFERROR(__xludf.DUMMYFUNCTION("""COMPUTED_VALUE"""),"Saskatoon  Regina Edmonton")</f>
        <v/>
      </c>
      <c r="K7477">
        <f>IFERROR(__xludf.DUMMYFUNCTION("""COMPUTED_VALUE"""),5477.25)</f>
        <v/>
      </c>
    </row>
    <row r="7478">
      <c r="J7478">
        <f>IFERROR(__xludf.DUMMYFUNCTION("""COMPUTED_VALUE"""),"Lisbonne, Lisbonne, Portugal")</f>
        <v/>
      </c>
      <c r="K7478">
        <f>IFERROR(__xludf.DUMMYFUNCTION("""COMPUTED_VALUE"""),5476.64)</f>
        <v/>
      </c>
    </row>
    <row r="7479">
      <c r="J7479">
        <f>IFERROR(__xludf.DUMMYFUNCTION("""COMPUTED_VALUE"""),"Trois Rivieres/Quebec, Canada")</f>
        <v/>
      </c>
      <c r="K7479">
        <f>IFERROR(__xludf.DUMMYFUNCTION("""COMPUTED_VALUE"""),5476.38999999999)</f>
        <v/>
      </c>
    </row>
    <row r="7480">
      <c r="J7480">
        <f>IFERROR(__xludf.DUMMYFUNCTION("""COMPUTED_VALUE"""),"Vancouver, British Columbia, Canada; Edmonton, Alberta, Canada; Prince Albert, Saskatchewan, Canada; Regina, Saskatchewan, Canada; Winnipeg, Manitoba, Canada; Thompson, Manitoba, Canada")</f>
        <v/>
      </c>
      <c r="K7480">
        <f>IFERROR(__xludf.DUMMYFUNCTION("""COMPUTED_VALUE"""),5474.68)</f>
        <v/>
      </c>
    </row>
    <row r="7481">
      <c r="J7481">
        <f>IFERROR(__xludf.DUMMYFUNCTION("""COMPUTED_VALUE"""),"Calgary, Alberta, Canada; Regina, Saskatchewan, Canada; Iqualuit, Nunavut, Canada")</f>
        <v/>
      </c>
      <c r="K7481">
        <f>IFERROR(__xludf.DUMMYFUNCTION("""COMPUTED_VALUE"""),5473.99)</f>
        <v/>
      </c>
    </row>
    <row r="7482">
      <c r="J7482">
        <f>IFERROR(__xludf.DUMMYFUNCTION("""COMPUTED_VALUE"""),"Naypyidaw and Yangon, Burma")</f>
        <v/>
      </c>
      <c r="K7482">
        <f>IFERROR(__xludf.DUMMYFUNCTION("""COMPUTED_VALUE"""),5473.13)</f>
        <v/>
      </c>
    </row>
    <row r="7483">
      <c r="J7483">
        <f>IFERROR(__xludf.DUMMYFUNCTION("""COMPUTED_VALUE"""),"London, Ontario, Canada; Hamilton, Ontario, Canada; Niagara, Ontario, Canada; Welland, Ontario, Canada; Oakville, Ontario, Canada; Burlington, Ontario, Canada")</f>
        <v/>
      </c>
      <c r="K7483">
        <f>IFERROR(__xludf.DUMMYFUNCTION("""COMPUTED_VALUE"""),5472.34)</f>
        <v/>
      </c>
    </row>
    <row r="7484">
      <c r="J7484">
        <f>IFERROR(__xludf.DUMMYFUNCTION("""COMPUTED_VALUE"""),"Edmonton, Alberta, Canada - Vancouver, British Columbia, Canada")</f>
        <v/>
      </c>
      <c r="K7484">
        <f>IFERROR(__xludf.DUMMYFUNCTION("""COMPUTED_VALUE"""),5469.74)</f>
        <v/>
      </c>
    </row>
    <row r="7485">
      <c r="J7485">
        <f>IFERROR(__xludf.DUMMYFUNCTION("""COMPUTED_VALUE"""),"Toronto, San Francisco, Los Angeles")</f>
        <v/>
      </c>
      <c r="K7485">
        <f>IFERROR(__xludf.DUMMYFUNCTION("""COMPUTED_VALUE"""),5466.91)</f>
        <v/>
      </c>
    </row>
    <row r="7486">
      <c r="J7486">
        <f>IFERROR(__xludf.DUMMYFUNCTION("""COMPUTED_VALUE"""),"Egypt, Oman, Qatar and Czech Republic")</f>
        <v/>
      </c>
      <c r="K7486">
        <f>IFERROR(__xludf.DUMMYFUNCTION("""COMPUTED_VALUE"""),5466.27)</f>
        <v/>
      </c>
    </row>
    <row r="7487">
      <c r="J7487">
        <f>IFERROR(__xludf.DUMMYFUNCTION("""COMPUTED_VALUE"""),"Quito, ECUADOR")</f>
        <v/>
      </c>
      <c r="K7487">
        <f>IFERROR(__xludf.DUMMYFUNCTION("""COMPUTED_VALUE"""),5464.97)</f>
        <v/>
      </c>
    </row>
    <row r="7488">
      <c r="J7488">
        <f>IFERROR(__xludf.DUMMYFUNCTION("""COMPUTED_VALUE"""),"Gleneagles, London")</f>
        <v/>
      </c>
      <c r="K7488">
        <f>IFERROR(__xludf.DUMMYFUNCTION("""COMPUTED_VALUE"""),5464.15)</f>
        <v/>
      </c>
    </row>
    <row r="7489">
      <c r="J7489">
        <f>IFERROR(__xludf.DUMMYFUNCTION("""COMPUTED_VALUE"""),"Halifax , Nova Scotia")</f>
        <v/>
      </c>
      <c r="K7489">
        <f>IFERROR(__xludf.DUMMYFUNCTION("""COMPUTED_VALUE"""),5464.01)</f>
        <v/>
      </c>
    </row>
    <row r="7490">
      <c r="J7490">
        <f>IFERROR(__xludf.DUMMYFUNCTION("""COMPUTED_VALUE"""),"Gimli, Manitoba, Canada")</f>
        <v/>
      </c>
      <c r="K7490">
        <f>IFERROR(__xludf.DUMMYFUNCTION("""COMPUTED_VALUE"""),5463.95)</f>
        <v/>
      </c>
    </row>
    <row r="7491">
      <c r="J7491">
        <f>IFERROR(__xludf.DUMMYFUNCTION("""COMPUTED_VALUE"""),"Roberval and Montreal, Quebec")</f>
        <v/>
      </c>
      <c r="K7491">
        <f>IFERROR(__xludf.DUMMYFUNCTION("""COMPUTED_VALUE"""),5463.28)</f>
        <v/>
      </c>
    </row>
    <row r="7492">
      <c r="J7492">
        <f>IFERROR(__xludf.DUMMYFUNCTION("""COMPUTED_VALUE"""),"Seoul (Korea) Vancouver (BC)")</f>
        <v/>
      </c>
      <c r="K7492">
        <f>IFERROR(__xludf.DUMMYFUNCTION("""COMPUTED_VALUE"""),5463.04)</f>
        <v/>
      </c>
    </row>
    <row r="7493">
      <c r="J7493">
        <f>IFERROR(__xludf.DUMMYFUNCTION("""COMPUTED_VALUE"""),"Edmonton, Alberta, Canada / Vancouver, British Columbia, Canada / Saskatoon, Saskatchewan, Canada")</f>
        <v/>
      </c>
      <c r="K7493">
        <f>IFERROR(__xludf.DUMMYFUNCTION("""COMPUTED_VALUE"""),5462.88)</f>
        <v/>
      </c>
    </row>
    <row r="7494">
      <c r="J7494">
        <f>IFERROR(__xludf.DUMMYFUNCTION("""COMPUTED_VALUE"""),"Vancouver, Maple Ridge, Burnaby, Delta, Mission, Richmond and Victoria, British Columbia, Canada and Charlottetown, Prince Edward Island, Canada")</f>
        <v/>
      </c>
      <c r="K7494">
        <f>IFERROR(__xludf.DUMMYFUNCTION("""COMPUTED_VALUE"""),5461.25)</f>
        <v/>
      </c>
    </row>
    <row r="7495">
      <c r="J7495">
        <f>IFERROR(__xludf.DUMMYFUNCTION("""COMPUTED_VALUE"""),"Washington, D.C.  Vancouver, British Columbia")</f>
        <v/>
      </c>
      <c r="K7495">
        <f>IFERROR(__xludf.DUMMYFUNCTION("""COMPUTED_VALUE"""),5460.49)</f>
        <v/>
      </c>
    </row>
    <row r="7496">
      <c r="J7496">
        <f>IFERROR(__xludf.DUMMYFUNCTION("""COMPUTED_VALUE"""),"Timmins, Sault Ste. Marie, Elliot Lake and Sudbury, Ontario")</f>
        <v/>
      </c>
      <c r="K7496">
        <f>IFERROR(__xludf.DUMMYFUNCTION("""COMPUTED_VALUE"""),5460.48)</f>
        <v/>
      </c>
    </row>
    <row r="7497">
      <c r="J7497">
        <f>IFERROR(__xludf.DUMMYFUNCTION("""COMPUTED_VALUE"""),"Ottawa-Moose Jaw-Ottawa")</f>
        <v/>
      </c>
      <c r="K7497">
        <f>IFERROR(__xludf.DUMMYFUNCTION("""COMPUTED_VALUE"""),5459.63)</f>
        <v/>
      </c>
    </row>
    <row r="7498">
      <c r="J7498">
        <f>IFERROR(__xludf.DUMMYFUNCTION("""COMPUTED_VALUE"""),"Victoria, British Columbia, Canada; Edmonton, Alberta, Canada; Laval, Quebec, Canada")</f>
        <v/>
      </c>
      <c r="K7498">
        <f>IFERROR(__xludf.DUMMYFUNCTION("""COMPUTED_VALUE"""),5458.51999999999)</f>
        <v/>
      </c>
    </row>
    <row r="7499">
      <c r="J7499">
        <f>IFERROR(__xludf.DUMMYFUNCTION("""COMPUTED_VALUE"""),"Moncton, New Brunswick, Canada; Halifax, Nova Scotia, Canada; St. John's, Newfoundland and Labrador, Canada")</f>
        <v/>
      </c>
      <c r="K7499">
        <f>IFERROR(__xludf.DUMMYFUNCTION("""COMPUTED_VALUE"""),5456.73)</f>
        <v/>
      </c>
    </row>
    <row r="7500">
      <c r="J7500">
        <f>IFERROR(__xludf.DUMMYFUNCTION("""COMPUTED_VALUE"""),"Orlando (FL), United States")</f>
        <v/>
      </c>
      <c r="K7500">
        <f>IFERROR(__xludf.DUMMYFUNCTION("""COMPUTED_VALUE"""),5456.58)</f>
        <v/>
      </c>
    </row>
    <row r="7501">
      <c r="J7501">
        <f>IFERROR(__xludf.DUMMYFUNCTION("""COMPUTED_VALUE"""),"Saskatoon, Saskatchewan, Canada/ Meadow Lake, Saskatchewan, Canada/ Regina, Saskatchewan, Canada")</f>
        <v/>
      </c>
      <c r="K7501">
        <f>IFERROR(__xludf.DUMMYFUNCTION("""COMPUTED_VALUE"""),5454.06)</f>
        <v/>
      </c>
    </row>
    <row r="7502">
      <c r="J7502">
        <f>IFERROR(__xludf.DUMMYFUNCTION("""COMPUTED_VALUE"""),"Calgary, Edmonton, Kelowna, Saskatoon et Winnipeg")</f>
        <v/>
      </c>
      <c r="K7502">
        <f>IFERROR(__xludf.DUMMYFUNCTION("""COMPUTED_VALUE"""),5454.02)</f>
        <v/>
      </c>
    </row>
    <row r="7503">
      <c r="J7503">
        <f>IFERROR(__xludf.DUMMYFUNCTION("""COMPUTED_VALUE"""),"London and Scotland, United Kingdom")</f>
        <v/>
      </c>
      <c r="K7503">
        <f>IFERROR(__xludf.DUMMYFUNCTION("""COMPUTED_VALUE"""),5454)</f>
        <v/>
      </c>
    </row>
    <row r="7504">
      <c r="J7504">
        <f>IFERROR(__xludf.DUMMYFUNCTION("""COMPUTED_VALUE"""),"Deline, Northern West Territories, Canada")</f>
        <v/>
      </c>
      <c r="K7504">
        <f>IFERROR(__xludf.DUMMYFUNCTION("""COMPUTED_VALUE"""),5452)</f>
        <v/>
      </c>
    </row>
    <row r="7505">
      <c r="J7505">
        <f>IFERROR(__xludf.DUMMYFUNCTION("""COMPUTED_VALUE"""),"Inukjuak, Kuujjuaq, Quebec, Canada")</f>
        <v/>
      </c>
      <c r="K7505">
        <f>IFERROR(__xludf.DUMMYFUNCTION("""COMPUTED_VALUE"""),5451.11)</f>
        <v/>
      </c>
    </row>
    <row r="7506">
      <c r="J7506">
        <f>IFERROR(__xludf.DUMMYFUNCTION("""COMPUTED_VALUE"""),"Porto, PT")</f>
        <v/>
      </c>
      <c r="K7506">
        <f>IFERROR(__xludf.DUMMYFUNCTION("""COMPUTED_VALUE"""),5449)</f>
        <v/>
      </c>
    </row>
    <row r="7507">
      <c r="J7507">
        <f>IFERROR(__xludf.DUMMYFUNCTION("""COMPUTED_VALUE"""),"Thailand &amp; Singapore")</f>
        <v/>
      </c>
      <c r="K7507">
        <f>IFERROR(__xludf.DUMMYFUNCTION("""COMPUTED_VALUE"""),5448.15)</f>
        <v/>
      </c>
    </row>
    <row r="7508">
      <c r="J7508">
        <f>IFERROR(__xludf.DUMMYFUNCTION("""COMPUTED_VALUE"""),"San José, California U.S.A.")</f>
        <v/>
      </c>
      <c r="K7508">
        <f>IFERROR(__xludf.DUMMYFUNCTION("""COMPUTED_VALUE"""),5445.74)</f>
        <v/>
      </c>
    </row>
    <row r="7509">
      <c r="J7509">
        <f>IFERROR(__xludf.DUMMYFUNCTION("""COMPUTED_VALUE"""),"Calgary, Alberta, Canada - Edmonton, Alberta, Canada")</f>
        <v/>
      </c>
      <c r="K7509">
        <f>IFERROR(__xludf.DUMMYFUNCTION("""COMPUTED_VALUE"""),5441.67)</f>
        <v/>
      </c>
    </row>
    <row r="7510">
      <c r="J7510">
        <f>IFERROR(__xludf.DUMMYFUNCTION("""COMPUTED_VALUE"""),"Vancouver/Prince-George/Kamloops/Richmond, British-Columbia &amp; Whitehorse, Yukon")</f>
        <v/>
      </c>
      <c r="K7510">
        <f>IFERROR(__xludf.DUMMYFUNCTION("""COMPUTED_VALUE"""),5439.92)</f>
        <v/>
      </c>
    </row>
    <row r="7511">
      <c r="J7511">
        <f>IFERROR(__xludf.DUMMYFUNCTION("""COMPUTED_VALUE"""),"Montreal/London/Paris")</f>
        <v/>
      </c>
      <c r="K7511">
        <f>IFERROR(__xludf.DUMMYFUNCTION("""COMPUTED_VALUE"""),5439.06)</f>
        <v/>
      </c>
    </row>
    <row r="7512">
      <c r="J7512">
        <f>IFERROR(__xludf.DUMMYFUNCTION("""COMPUTED_VALUE"""),"Calgary, Alberta, Canada; Vancouver, British Columbia, Canada; Whistler, British Columbia, Canada; Ottawa, Ontario, Canada")</f>
        <v/>
      </c>
      <c r="K7512">
        <f>IFERROR(__xludf.DUMMYFUNCTION("""COMPUTED_VALUE"""),5438.83)</f>
        <v/>
      </c>
    </row>
    <row r="7513">
      <c r="J7513">
        <f>IFERROR(__xludf.DUMMYFUNCTION("""COMPUTED_VALUE"""),"Riverside, California")</f>
        <v/>
      </c>
      <c r="K7513">
        <f>IFERROR(__xludf.DUMMYFUNCTION("""COMPUTED_VALUE"""),5438.81)</f>
        <v/>
      </c>
    </row>
    <row r="7514">
      <c r="J7514">
        <f>IFERROR(__xludf.DUMMYFUNCTION("""COMPUTED_VALUE"""),"Morocco")</f>
        <v/>
      </c>
      <c r="K7514">
        <f>IFERROR(__xludf.DUMMYFUNCTION("""COMPUTED_VALUE"""),5431.27)</f>
        <v/>
      </c>
    </row>
    <row r="7515">
      <c r="J7515">
        <f>IFERROR(__xludf.DUMMYFUNCTION("""COMPUTED_VALUE"""),"Vancouver, British Columbia, Canada Edmonton, Alberta, Canada")</f>
        <v/>
      </c>
      <c r="K7515">
        <f>IFERROR(__xludf.DUMMYFUNCTION("""COMPUTED_VALUE"""),5429.51)</f>
        <v/>
      </c>
    </row>
    <row r="7516">
      <c r="J7516">
        <f>IFERROR(__xludf.DUMMYFUNCTION("""COMPUTED_VALUE"""),"Toronto, Ontario, Canada, St. John's, Newfoundland and Labrador, Canada, Halifax, Nova Scotia, Canada and Vancouver, British Columbia, Canada")</f>
        <v/>
      </c>
      <c r="K7516">
        <f>IFERROR(__xludf.DUMMYFUNCTION("""COMPUTED_VALUE"""),5429.4)</f>
        <v/>
      </c>
    </row>
    <row r="7517">
      <c r="J7517">
        <f>IFERROR(__xludf.DUMMYFUNCTION("""COMPUTED_VALUE"""),"Toronto, Ontario, Canada                                               Windsor, Ontario, Canada")</f>
        <v/>
      </c>
      <c r="K7517">
        <f>IFERROR(__xludf.DUMMYFUNCTION("""COMPUTED_VALUE"""),5425.98)</f>
        <v/>
      </c>
    </row>
    <row r="7518">
      <c r="J7518">
        <f>IFERROR(__xludf.DUMMYFUNCTION("""COMPUTED_VALUE"""),"Kyiv, Kharviv and Istanbul")</f>
        <v/>
      </c>
      <c r="K7518">
        <f>IFERROR(__xludf.DUMMYFUNCTION("""COMPUTED_VALUE"""),5425.96)</f>
        <v/>
      </c>
    </row>
    <row r="7519">
      <c r="J7519">
        <f>IFERROR(__xludf.DUMMYFUNCTION("""COMPUTED_VALUE"""),"Oslo, Norway; Stavanger, Norway; Aberdeen, United Kingdom; London, United Kingdom")</f>
        <v/>
      </c>
      <c r="K7519">
        <f>IFERROR(__xludf.DUMMYFUNCTION("""COMPUTED_VALUE"""),5425.59)</f>
        <v/>
      </c>
    </row>
    <row r="7520">
      <c r="J7520">
        <f>IFERROR(__xludf.DUMMYFUNCTION("""COMPUTED_VALUE"""),"Gaspé, Canada")</f>
        <v/>
      </c>
      <c r="K7520">
        <f>IFERROR(__xludf.DUMMYFUNCTION("""COMPUTED_VALUE"""),5424.98)</f>
        <v/>
      </c>
    </row>
    <row r="7521">
      <c r="J7521">
        <f>IFERROR(__xludf.DUMMYFUNCTION("""COMPUTED_VALUE"""),"Halifax, NS, Montreal, QC, Toronto, ON")</f>
        <v/>
      </c>
      <c r="K7521">
        <f>IFERROR(__xludf.DUMMYFUNCTION("""COMPUTED_VALUE"""),5424.54)</f>
        <v/>
      </c>
    </row>
    <row r="7522">
      <c r="J7522">
        <f>IFERROR(__xludf.DUMMYFUNCTION("""COMPUTED_VALUE"""),"Palo Alto, California, United States")</f>
        <v/>
      </c>
      <c r="K7522">
        <f>IFERROR(__xludf.DUMMYFUNCTION("""COMPUTED_VALUE"""),5423.28)</f>
        <v/>
      </c>
    </row>
    <row r="7523">
      <c r="J7523">
        <f>IFERROR(__xludf.DUMMYFUNCTION("""COMPUTED_VALUE"""),"Quebec City (Quebec)")</f>
        <v/>
      </c>
      <c r="K7523">
        <f>IFERROR(__xludf.DUMMYFUNCTION("""COMPUTED_VALUE"""),5422.33)</f>
        <v/>
      </c>
    </row>
    <row r="7524">
      <c r="J7524">
        <f>IFERROR(__xludf.DUMMYFUNCTION("""COMPUTED_VALUE"""),"San Francisco, CA / Calgary, AB")</f>
        <v/>
      </c>
      <c r="K7524">
        <f>IFERROR(__xludf.DUMMYFUNCTION("""COMPUTED_VALUE"""),5421.72)</f>
        <v/>
      </c>
    </row>
    <row r="7525">
      <c r="J7525">
        <f>IFERROR(__xludf.DUMMYFUNCTION("""COMPUTED_VALUE"""),"Calgary, Alberta; Edmonton,  Alberta")</f>
        <v/>
      </c>
      <c r="K7525">
        <f>IFERROR(__xludf.DUMMYFUNCTION("""COMPUTED_VALUE"""),5421.22)</f>
        <v/>
      </c>
    </row>
    <row r="7526">
      <c r="J7526">
        <f>IFERROR(__xludf.DUMMYFUNCTION("""COMPUTED_VALUE"""),"Morroco")</f>
        <v/>
      </c>
      <c r="K7526">
        <f>IFERROR(__xludf.DUMMYFUNCTION("""COMPUTED_VALUE"""),5421.17)</f>
        <v/>
      </c>
    </row>
    <row r="7527">
      <c r="J7527">
        <f>IFERROR(__xludf.DUMMYFUNCTION("""COMPUTED_VALUE"""),"Victoria, British Columbia, Canada; Nanaimo, British Columbia, Canada; Kelowna, British Columbia, Canada")</f>
        <v/>
      </c>
      <c r="K7527">
        <f>IFERROR(__xludf.DUMMYFUNCTION("""COMPUTED_VALUE"""),5420.02)</f>
        <v/>
      </c>
    </row>
    <row r="7528">
      <c r="J7528">
        <f>IFERROR(__xludf.DUMMYFUNCTION("""COMPUTED_VALUE"""),"Montreal, Quebec, Canada/ Halifax, Nova Scotia, Canada/ Toronto, Ontario, Canada/ Detroit, Michigan, United States")</f>
        <v/>
      </c>
      <c r="K7528">
        <f>IFERROR(__xludf.DUMMYFUNCTION("""COMPUTED_VALUE"""),5418.9)</f>
        <v/>
      </c>
    </row>
    <row r="7529">
      <c r="J7529">
        <f>IFERROR(__xludf.DUMMYFUNCTION("""COMPUTED_VALUE"""),"Vancouver, British Columbia
Nanaimo, British Columbia")</f>
        <v/>
      </c>
      <c r="K7529">
        <f>IFERROR(__xludf.DUMMYFUNCTION("""COMPUTED_VALUE"""),5417.94)</f>
        <v/>
      </c>
    </row>
    <row r="7530">
      <c r="J7530">
        <f>IFERROR(__xludf.DUMMYFUNCTION("""COMPUTED_VALUE"""),"(United Kingdon, Netherlands, Germany)")</f>
        <v/>
      </c>
      <c r="K7530">
        <f>IFERROR(__xludf.DUMMYFUNCTION("""COMPUTED_VALUE"""),5417.63)</f>
        <v/>
      </c>
    </row>
    <row r="7531">
      <c r="J7531">
        <f>IFERROR(__xludf.DUMMYFUNCTION("""COMPUTED_VALUE"""),"Regina, AB/Vancouver, BC/Calgary AB")</f>
        <v/>
      </c>
      <c r="K7531">
        <f>IFERROR(__xludf.DUMMYFUNCTION("""COMPUTED_VALUE"""),5417.39)</f>
        <v/>
      </c>
    </row>
    <row r="7532">
      <c r="J7532">
        <f>IFERROR(__xludf.DUMMYFUNCTION("""COMPUTED_VALUE"""),"Baie-Comeau, QC Montreal, QC")</f>
        <v/>
      </c>
      <c r="K7532">
        <f>IFERROR(__xludf.DUMMYFUNCTION("""COMPUTED_VALUE"""),5417.17)</f>
        <v/>
      </c>
    </row>
    <row r="7533">
      <c r="J7533">
        <f>IFERROR(__xludf.DUMMYFUNCTION("""COMPUTED_VALUE"""),"Gjoa Haven, Nunavut, Canada")</f>
        <v/>
      </c>
      <c r="K7533">
        <f>IFERROR(__xludf.DUMMYFUNCTION("""COMPUTED_VALUE"""),5416.24)</f>
        <v/>
      </c>
    </row>
    <row r="7534">
      <c r="J7534">
        <f>IFERROR(__xludf.DUMMYFUNCTION("""COMPUTED_VALUE"""),"Edmonton, Calgary, AB")</f>
        <v/>
      </c>
      <c r="K7534">
        <f>IFERROR(__xludf.DUMMYFUNCTION("""COMPUTED_VALUE"""),5414.66)</f>
        <v/>
      </c>
    </row>
    <row r="7535">
      <c r="J7535">
        <f>IFERROR(__xludf.DUMMYFUNCTION("""COMPUTED_VALUE"""),"Winnipeg, Manitoba, Canada and Calgary, Alberta, Canada")</f>
        <v/>
      </c>
      <c r="K7535">
        <f>IFERROR(__xludf.DUMMYFUNCTION("""COMPUTED_VALUE"""),5411.94)</f>
        <v/>
      </c>
    </row>
    <row r="7536">
      <c r="J7536">
        <f>IFERROR(__xludf.DUMMYFUNCTION("""COMPUTED_VALUE"""),"Toronto, Ontario, Canada; Regina, Saskatchewan, Canada; Winnipeg, Manitoba, Canada; Kenora, Ontario, Canada")</f>
        <v/>
      </c>
      <c r="K7536">
        <f>IFERROR(__xludf.DUMMYFUNCTION("""COMPUTED_VALUE"""),5411.39)</f>
        <v/>
      </c>
    </row>
    <row r="7537">
      <c r="J7537">
        <f>IFERROR(__xludf.DUMMYFUNCTION("""COMPUTED_VALUE"""),"Halifax, N.S.; Washington, DC")</f>
        <v/>
      </c>
      <c r="K7537">
        <f>IFERROR(__xludf.DUMMYFUNCTION("""COMPUTED_VALUE"""),5410.48)</f>
        <v/>
      </c>
    </row>
    <row r="7538">
      <c r="J7538">
        <f>IFERROR(__xludf.DUMMYFUNCTION("""COMPUTED_VALUE"""),"Edmonton, Alberta, Canada; Fort McMurray, Alberta, Canada; Yellowknife, Northwest Territories, Canada")</f>
        <v/>
      </c>
      <c r="K7538">
        <f>IFERROR(__xludf.DUMMYFUNCTION("""COMPUTED_VALUE"""),5409.81)</f>
        <v/>
      </c>
    </row>
    <row r="7539">
      <c r="J7539">
        <f>IFERROR(__xludf.DUMMYFUNCTION("""COMPUTED_VALUE"""),"Gatineau, Quebec, Canada; Calgary, Alberta, Canada; Vancouver, British Columbia, Canada")</f>
        <v/>
      </c>
      <c r="K7539">
        <f>IFERROR(__xludf.DUMMYFUNCTION("""COMPUTED_VALUE"""),5408.77)</f>
        <v/>
      </c>
    </row>
    <row r="7540">
      <c r="J7540">
        <f>IFERROR(__xludf.DUMMYFUNCTION("""COMPUTED_VALUE"""),"Toledo, OH / Chicago, IL")</f>
        <v/>
      </c>
      <c r="K7540">
        <f>IFERROR(__xludf.DUMMYFUNCTION("""COMPUTED_VALUE"""),5406.62)</f>
        <v/>
      </c>
    </row>
    <row r="7541">
      <c r="J7541">
        <f>IFERROR(__xludf.DUMMYFUNCTION("""COMPUTED_VALUE"""),"Vilnius, Lithuania; Warsaw, Poland; Toronto, Ontario, Canada")</f>
        <v/>
      </c>
      <c r="K7541">
        <f>IFERROR(__xludf.DUMMYFUNCTION("""COMPUTED_VALUE"""),5406.11)</f>
        <v/>
      </c>
    </row>
    <row r="7542">
      <c r="J7542">
        <f>IFERROR(__xludf.DUMMYFUNCTION("""COMPUTED_VALUE"""),"Richmond, British Columbia")</f>
        <v/>
      </c>
      <c r="K7542">
        <f>IFERROR(__xludf.DUMMYFUNCTION("""COMPUTED_VALUE"""),5404.15)</f>
        <v/>
      </c>
    </row>
    <row r="7543">
      <c r="J7543">
        <f>IFERROR(__xludf.DUMMYFUNCTION("""COMPUTED_VALUE"""),"Vancouver, British Columbia, Canada; Yellowknife, Northwest Territories, Canada")</f>
        <v/>
      </c>
      <c r="K7543">
        <f>IFERROR(__xludf.DUMMYFUNCTION("""COMPUTED_VALUE"""),5403.82)</f>
        <v/>
      </c>
    </row>
    <row r="7544">
      <c r="J7544">
        <f>IFERROR(__xludf.DUMMYFUNCTION("""COMPUTED_VALUE"""),"Toronto, Ontario, Canada; Saskatoon, Saskatchewan, Canada")</f>
        <v/>
      </c>
      <c r="K7544">
        <f>IFERROR(__xludf.DUMMYFUNCTION("""COMPUTED_VALUE"""),5403.48)</f>
        <v/>
      </c>
    </row>
    <row r="7545">
      <c r="J7545">
        <f>IFERROR(__xludf.DUMMYFUNCTION("""COMPUTED_VALUE"""),"London and Sussex, United Kingdom")</f>
        <v/>
      </c>
      <c r="K7545">
        <f>IFERROR(__xludf.DUMMYFUNCTION("""COMPUTED_VALUE"""),5402)</f>
        <v/>
      </c>
    </row>
    <row r="7546">
      <c r="J7546">
        <f>IFERROR(__xludf.DUMMYFUNCTION("""COMPUTED_VALUE"""),"France, Andorra")</f>
        <v/>
      </c>
      <c r="K7546">
        <f>IFERROR(__xludf.DUMMYFUNCTION("""COMPUTED_VALUE"""),5399.77)</f>
        <v/>
      </c>
    </row>
    <row r="7547">
      <c r="J7547">
        <f>IFERROR(__xludf.DUMMYFUNCTION("""COMPUTED_VALUE"""),"Tucson, Arizona, United States")</f>
        <v/>
      </c>
      <c r="K7547">
        <f>IFERROR(__xludf.DUMMYFUNCTION("""COMPUTED_VALUE"""),5399.68)</f>
        <v/>
      </c>
    </row>
    <row r="7548">
      <c r="J7548">
        <f>IFERROR(__xludf.DUMMYFUNCTION("""COMPUTED_VALUE"""),"St-John's, Newfoundland (Canada)")</f>
        <v/>
      </c>
      <c r="K7548">
        <f>IFERROR(__xludf.DUMMYFUNCTION("""COMPUTED_VALUE"""),5399)</f>
        <v/>
      </c>
    </row>
    <row r="7549">
      <c r="J7549">
        <f>IFERROR(__xludf.DUMMYFUNCTION("""COMPUTED_VALUE"""),"Washington &amp; Ottawa")</f>
        <v/>
      </c>
      <c r="K7549">
        <f>IFERROR(__xludf.DUMMYFUNCTION("""COMPUTED_VALUE"""),5397.52)</f>
        <v/>
      </c>
    </row>
    <row r="7550">
      <c r="J7550">
        <f>IFERROR(__xludf.DUMMYFUNCTION("""COMPUTED_VALUE"""),"Cancun, Mexico and Vancouver, British Columbia")</f>
        <v/>
      </c>
      <c r="K7550">
        <f>IFERROR(__xludf.DUMMYFUNCTION("""COMPUTED_VALUE"""),5395.75)</f>
        <v/>
      </c>
    </row>
    <row r="7551">
      <c r="J7551">
        <f>IFERROR(__xludf.DUMMYFUNCTION("""COMPUTED_VALUE"""),"West Palm Beach")</f>
        <v/>
      </c>
      <c r="K7551">
        <f>IFERROR(__xludf.DUMMYFUNCTION("""COMPUTED_VALUE"""),5394.92)</f>
        <v/>
      </c>
    </row>
    <row r="7552">
      <c r="J7552">
        <f>IFERROR(__xludf.DUMMYFUNCTION("""COMPUTED_VALUE"""),"New york")</f>
        <v/>
      </c>
      <c r="K7552">
        <f>IFERROR(__xludf.DUMMYFUNCTION("""COMPUTED_VALUE"""),5393.85)</f>
        <v/>
      </c>
    </row>
    <row r="7553">
      <c r="J7553">
        <f>IFERROR(__xludf.DUMMYFUNCTION("""COMPUTED_VALUE"""),"Brussels, Belgium and Munich, Germany")</f>
        <v/>
      </c>
      <c r="K7553">
        <f>IFERROR(__xludf.DUMMYFUNCTION("""COMPUTED_VALUE"""),5392.11)</f>
        <v/>
      </c>
    </row>
    <row r="7554">
      <c r="J7554">
        <f>IFERROR(__xludf.DUMMYFUNCTION("""COMPUTED_VALUE"""),"Colombo, Bangkok and Dhaka")</f>
        <v/>
      </c>
      <c r="K7554">
        <f>IFERROR(__xludf.DUMMYFUNCTION("""COMPUTED_VALUE"""),5390.91)</f>
        <v/>
      </c>
    </row>
    <row r="7555">
      <c r="J7555">
        <f>IFERROR(__xludf.DUMMYFUNCTION("""COMPUTED_VALUE"""),"Winnipeg/ Toronto")</f>
        <v/>
      </c>
      <c r="K7555">
        <f>IFERROR(__xludf.DUMMYFUNCTION("""COMPUTED_VALUE"""),5390.69)</f>
        <v/>
      </c>
    </row>
    <row r="7556">
      <c r="J7556">
        <f>IFERROR(__xludf.DUMMYFUNCTION("""COMPUTED_VALUE"""),"Washington, District of Columbia, United States / Toronto, Ontario, Canada")</f>
        <v/>
      </c>
      <c r="K7556">
        <f>IFERROR(__xludf.DUMMYFUNCTION("""COMPUTED_VALUE"""),5390.53)</f>
        <v/>
      </c>
    </row>
    <row r="7557">
      <c r="J7557">
        <f>IFERROR(__xludf.DUMMYFUNCTION("""COMPUTED_VALUE"""),"Morocco; Senegal")</f>
        <v/>
      </c>
      <c r="K7557">
        <f>IFERROR(__xludf.DUMMYFUNCTION("""COMPUTED_VALUE"""),5389.78)</f>
        <v/>
      </c>
    </row>
    <row r="7558">
      <c r="J7558">
        <f>IFERROR(__xludf.DUMMYFUNCTION("""COMPUTED_VALUE"""),"Ottawa - Washington - Ottawa")</f>
        <v/>
      </c>
      <c r="K7558">
        <f>IFERROR(__xludf.DUMMYFUNCTION("""COMPUTED_VALUE"""),5387.96)</f>
        <v/>
      </c>
    </row>
    <row r="7559">
      <c r="J7559">
        <f>IFERROR(__xludf.DUMMYFUNCTION("""COMPUTED_VALUE"""),"Tofino &amp; Kelowna, British Columbia")</f>
        <v/>
      </c>
      <c r="K7559">
        <f>IFERROR(__xludf.DUMMYFUNCTION("""COMPUTED_VALUE"""),5386.49)</f>
        <v/>
      </c>
    </row>
    <row r="7560">
      <c r="J7560">
        <f>IFERROR(__xludf.DUMMYFUNCTION("""COMPUTED_VALUE"""),"Gaspesie, Quebec, Canada")</f>
        <v/>
      </c>
      <c r="K7560">
        <f>IFERROR(__xludf.DUMMYFUNCTION("""COMPUTED_VALUE"""),5385.30999999999)</f>
        <v/>
      </c>
    </row>
    <row r="7561">
      <c r="J7561">
        <f>IFERROR(__xludf.DUMMYFUNCTION("""COMPUTED_VALUE"""),"San Salvador, El Salvador
Guatemala City, Guatemala
Tegucigalpa, Honduras 
Managua, Nicaragua")</f>
        <v/>
      </c>
      <c r="K7561">
        <f>IFERROR(__xludf.DUMMYFUNCTION("""COMPUTED_VALUE"""),5383.93)</f>
        <v/>
      </c>
    </row>
    <row r="7562">
      <c r="J7562">
        <f>IFERROR(__xludf.DUMMYFUNCTION("""COMPUTED_VALUE"""),"St. John's, Newfoundland Labrador, Canada")</f>
        <v/>
      </c>
      <c r="K7562">
        <f>IFERROR(__xludf.DUMMYFUNCTION("""COMPUTED_VALUE"""),5381.8)</f>
        <v/>
      </c>
    </row>
    <row r="7563">
      <c r="J7563">
        <f>IFERROR(__xludf.DUMMYFUNCTION("""COMPUTED_VALUE"""),"Tampa, Florida; Miami, Florida.")</f>
        <v/>
      </c>
      <c r="K7563">
        <f>IFERROR(__xludf.DUMMYFUNCTION("""COMPUTED_VALUE"""),5380.57)</f>
        <v/>
      </c>
    </row>
    <row r="7564">
      <c r="J7564">
        <f>IFERROR(__xludf.DUMMYFUNCTION("""COMPUTED_VALUE"""),"Inuvik, Northwest Territories, Canada; Edmonton, Alberta, Canada; Yellowknife, Northwest Territories, Canada")</f>
        <v/>
      </c>
      <c r="K7564">
        <f>IFERROR(__xludf.DUMMYFUNCTION("""COMPUTED_VALUE"""),5379.4)</f>
        <v/>
      </c>
    </row>
    <row r="7565">
      <c r="J7565">
        <f>IFERROR(__xludf.DUMMYFUNCTION("""COMPUTED_VALUE"""),"Otttawa - Canada")</f>
        <v/>
      </c>
      <c r="K7565">
        <f>IFERROR(__xludf.DUMMYFUNCTION("""COMPUTED_VALUE"""),5379.15)</f>
        <v/>
      </c>
    </row>
    <row r="7566">
      <c r="J7566">
        <f>IFERROR(__xludf.DUMMYFUNCTION("""COMPUTED_VALUE"""),"Quebec/Edmonton")</f>
        <v/>
      </c>
      <c r="K7566">
        <f>IFERROR(__xludf.DUMMYFUNCTION("""COMPUTED_VALUE"""),5379.11)</f>
        <v/>
      </c>
    </row>
    <row r="7567">
      <c r="J7567">
        <f>IFERROR(__xludf.DUMMYFUNCTION("""COMPUTED_VALUE"""),"Québec City, Baie-Comeau and Sept-Îles, Québec")</f>
        <v/>
      </c>
      <c r="K7567">
        <f>IFERROR(__xludf.DUMMYFUNCTION("""COMPUTED_VALUE"""),5373.62)</f>
        <v/>
      </c>
    </row>
    <row r="7568">
      <c r="J7568">
        <f>IFERROR(__xludf.DUMMYFUNCTION("""COMPUTED_VALUE"""),"Saint-Petersburg, Russia")</f>
        <v/>
      </c>
      <c r="K7568">
        <f>IFERROR(__xludf.DUMMYFUNCTION("""COMPUTED_VALUE"""),5372.18)</f>
        <v/>
      </c>
    </row>
    <row r="7569">
      <c r="J7569">
        <f>IFERROR(__xludf.DUMMYFUNCTION("""COMPUTED_VALUE"""),"FAIRBANKS (ALASKA)")</f>
        <v/>
      </c>
      <c r="K7569">
        <f>IFERROR(__xludf.DUMMYFUNCTION("""COMPUTED_VALUE"""),5372.16)</f>
        <v/>
      </c>
    </row>
    <row r="7570">
      <c r="J7570">
        <f>IFERROR(__xludf.DUMMYFUNCTION("""COMPUTED_VALUE"""),"Regina, Saskatoon, Quebec")</f>
        <v/>
      </c>
      <c r="K7570">
        <f>IFERROR(__xludf.DUMMYFUNCTION("""COMPUTED_VALUE"""),5372.01)</f>
        <v/>
      </c>
    </row>
    <row r="7571">
      <c r="J7571">
        <f>IFERROR(__xludf.DUMMYFUNCTION("""COMPUTED_VALUE"""),"Kamloops, Kelowna, BC")</f>
        <v/>
      </c>
      <c r="K7571">
        <f>IFERROR(__xludf.DUMMYFUNCTION("""COMPUTED_VALUE"""),5371.79)</f>
        <v/>
      </c>
    </row>
    <row r="7572">
      <c r="J7572">
        <f>IFERROR(__xludf.DUMMYFUNCTION("""COMPUTED_VALUE"""),"Rotorua, New-Zealand")</f>
        <v/>
      </c>
      <c r="K7572">
        <f>IFERROR(__xludf.DUMMYFUNCTION("""COMPUTED_VALUE"""),5371)</f>
        <v/>
      </c>
    </row>
    <row r="7573">
      <c r="J7573">
        <f>IFERROR(__xludf.DUMMYFUNCTION("""COMPUTED_VALUE"""),"Quebec, Québec")</f>
        <v/>
      </c>
      <c r="K7573">
        <f>IFERROR(__xludf.DUMMYFUNCTION("""COMPUTED_VALUE"""),5368.67)</f>
        <v/>
      </c>
    </row>
    <row r="7574">
      <c r="J7574">
        <f>IFERROR(__xludf.DUMMYFUNCTION("""COMPUTED_VALUE"""),"San Francisco, California Vancouver, British Columbia")</f>
        <v/>
      </c>
      <c r="K7574">
        <f>IFERROR(__xludf.DUMMYFUNCTION("""COMPUTED_VALUE"""),5368.41)</f>
        <v/>
      </c>
    </row>
    <row r="7575">
      <c r="J7575">
        <f>IFERROR(__xludf.DUMMYFUNCTION("""COMPUTED_VALUE"""),"Boston, Massachussets")</f>
        <v/>
      </c>
      <c r="K7575">
        <f>IFERROR(__xludf.DUMMYFUNCTION("""COMPUTED_VALUE"""),5365.3)</f>
        <v/>
      </c>
    </row>
    <row r="7576">
      <c r="J7576">
        <f>IFERROR(__xludf.DUMMYFUNCTION("""COMPUTED_VALUE"""),"Jonquière, QC Winnipeg, MB Calgary, AB")</f>
        <v/>
      </c>
      <c r="K7576">
        <f>IFERROR(__xludf.DUMMYFUNCTION("""COMPUTED_VALUE"""),5364.56)</f>
        <v/>
      </c>
    </row>
    <row r="7577">
      <c r="J7577">
        <f>IFERROR(__xludf.DUMMYFUNCTION("""COMPUTED_VALUE"""),"Illinois")</f>
        <v/>
      </c>
      <c r="K7577">
        <f>IFERROR(__xludf.DUMMYFUNCTION("""COMPUTED_VALUE"""),5364.47)</f>
        <v/>
      </c>
    </row>
    <row r="7578">
      <c r="J7578">
        <f>IFERROR(__xludf.DUMMYFUNCTION("""COMPUTED_VALUE"""),"Boston, Massachusetts, United-Stated")</f>
        <v/>
      </c>
      <c r="K7578">
        <f>IFERROR(__xludf.DUMMYFUNCTION("""COMPUTED_VALUE"""),5364.21)</f>
        <v/>
      </c>
    </row>
    <row r="7579">
      <c r="J7579">
        <f>IFERROR(__xludf.DUMMYFUNCTION("""COMPUTED_VALUE"""),"Bogota, Colombia; Riohacha, Colombia; Uribia, Colombia")</f>
        <v/>
      </c>
      <c r="K7579">
        <f>IFERROR(__xludf.DUMMYFUNCTION("""COMPUTED_VALUE"""),5362.97)</f>
        <v/>
      </c>
    </row>
    <row r="7580">
      <c r="J7580">
        <f>IFERROR(__xludf.DUMMYFUNCTION("""COMPUTED_VALUE"""),"Victoria, British Columbia / Regina, Saskatchewan")</f>
        <v/>
      </c>
      <c r="K7580">
        <f>IFERROR(__xludf.DUMMYFUNCTION("""COMPUTED_VALUE"""),5362.92)</f>
        <v/>
      </c>
    </row>
    <row r="7581">
      <c r="J7581">
        <f>IFERROR(__xludf.DUMMYFUNCTION("""COMPUTED_VALUE"""),"Camp Pandelton, CA")</f>
        <v/>
      </c>
      <c r="K7581">
        <f>IFERROR(__xludf.DUMMYFUNCTION("""COMPUTED_VALUE"""),5362.84)</f>
        <v/>
      </c>
    </row>
    <row r="7582">
      <c r="J7582">
        <f>IFERROR(__xludf.DUMMYFUNCTION("""COMPUTED_VALUE"""),"Lima, Peru/Bogota, Colombia/Cartagena, Colombia/Santiago, Chile")</f>
        <v/>
      </c>
      <c r="K7582">
        <f>IFERROR(__xludf.DUMMYFUNCTION("""COMPUTED_VALUE"""),5361.86)</f>
        <v/>
      </c>
    </row>
    <row r="7583">
      <c r="J7583">
        <f>IFERROR(__xludf.DUMMYFUNCTION("""COMPUTED_VALUE"""),"Ottawa, Ontario, Canada, and Philadelphia, Pennsylvania, United States")</f>
        <v/>
      </c>
      <c r="K7583">
        <f>IFERROR(__xludf.DUMMYFUNCTION("""COMPUTED_VALUE"""),5360.57)</f>
        <v/>
      </c>
    </row>
    <row r="7584">
      <c r="J7584">
        <f>IFERROR(__xludf.DUMMYFUNCTION("""COMPUTED_VALUE"""),"Bonners Ferry, Idaho")</f>
        <v/>
      </c>
      <c r="K7584">
        <f>IFERROR(__xludf.DUMMYFUNCTION("""COMPUTED_VALUE"""),5359.8)</f>
        <v/>
      </c>
    </row>
    <row r="7585">
      <c r="J7585">
        <f>IFERROR(__xludf.DUMMYFUNCTION("""COMPUTED_VALUE"""),"Santiago Chile")</f>
        <v/>
      </c>
      <c r="K7585">
        <f>IFERROR(__xludf.DUMMYFUNCTION("""COMPUTED_VALUE"""),5359.17)</f>
        <v/>
      </c>
    </row>
    <row r="7586">
      <c r="J7586">
        <f>IFERROR(__xludf.DUMMYFUNCTION("""COMPUTED_VALUE"""),"Saskatchewan, Saskatchewan")</f>
        <v/>
      </c>
      <c r="K7586">
        <f>IFERROR(__xludf.DUMMYFUNCTION("""COMPUTED_VALUE"""),5355.06)</f>
        <v/>
      </c>
    </row>
    <row r="7587">
      <c r="J7587">
        <f>IFERROR(__xludf.DUMMYFUNCTION("""COMPUTED_VALUE"""),"New York and London")</f>
        <v/>
      </c>
      <c r="K7587">
        <f>IFERROR(__xludf.DUMMYFUNCTION("""COMPUTED_VALUE"""),5353.4)</f>
        <v/>
      </c>
    </row>
    <row r="7588">
      <c r="J7588">
        <f>IFERROR(__xludf.DUMMYFUNCTION("""COMPUTED_VALUE"""),"Ottawa, Ontario,Canada")</f>
        <v/>
      </c>
      <c r="K7588">
        <f>IFERROR(__xludf.DUMMYFUNCTION("""COMPUTED_VALUE"""),5350.42999999999)</f>
        <v/>
      </c>
    </row>
    <row r="7589">
      <c r="J7589">
        <f>IFERROR(__xludf.DUMMYFUNCTION("""COMPUTED_VALUE"""),"Vancouver, BC; Victoria, BC")</f>
        <v/>
      </c>
      <c r="K7589">
        <f>IFERROR(__xludf.DUMMYFUNCTION("""COMPUTED_VALUE"""),5349.09)</f>
        <v/>
      </c>
    </row>
    <row r="7590">
      <c r="J7590">
        <f>IFERROR(__xludf.DUMMYFUNCTION("""COMPUTED_VALUE"""),"Honolulu/ Hawaii")</f>
        <v/>
      </c>
      <c r="K7590">
        <f>IFERROR(__xludf.DUMMYFUNCTION("""COMPUTED_VALUE"""),5347.03)</f>
        <v/>
      </c>
    </row>
    <row r="7591">
      <c r="J7591">
        <f>IFERROR(__xludf.DUMMYFUNCTION("""COMPUTED_VALUE"""),"Victoria, Calgary, Whitefish, Montana")</f>
        <v/>
      </c>
      <c r="K7591">
        <f>IFERROR(__xludf.DUMMYFUNCTION("""COMPUTED_VALUE"""),5346.9)</f>
        <v/>
      </c>
    </row>
    <row r="7592">
      <c r="J7592">
        <f>IFERROR(__xludf.DUMMYFUNCTION("""COMPUTED_VALUE"""),"Liverpool, United Kingdom")</f>
        <v/>
      </c>
      <c r="K7592">
        <f>IFERROR(__xludf.DUMMYFUNCTION("""COMPUTED_VALUE"""),5346.79)</f>
        <v/>
      </c>
    </row>
    <row r="7593">
      <c r="J7593">
        <f>IFERROR(__xludf.DUMMYFUNCTION("""COMPUTED_VALUE"""),"Yellowknife &amp; Inuvik, Northwest Territories, Canada")</f>
        <v/>
      </c>
      <c r="K7593">
        <f>IFERROR(__xludf.DUMMYFUNCTION("""COMPUTED_VALUE"""),5346.52)</f>
        <v/>
      </c>
    </row>
    <row r="7594">
      <c r="J7594">
        <f>IFERROR(__xludf.DUMMYFUNCTION("""COMPUTED_VALUE"""),"Toronto, Ontario, Canada; Saskatoon, Saskatchewan, Canada; Regina, Saskatchewan, Canada")</f>
        <v/>
      </c>
      <c r="K7594">
        <f>IFERROR(__xludf.DUMMYFUNCTION("""COMPUTED_VALUE"""),5346.01)</f>
        <v/>
      </c>
    </row>
    <row r="7595">
      <c r="J7595">
        <f>IFERROR(__xludf.DUMMYFUNCTION("""COMPUTED_VALUE"""),"Monterrey, Mexico and Miami, Florida")</f>
        <v/>
      </c>
      <c r="K7595">
        <f>IFERROR(__xludf.DUMMYFUNCTION("""COMPUTED_VALUE"""),5344.51)</f>
        <v/>
      </c>
    </row>
    <row r="7596">
      <c r="J7596">
        <f>IFERROR(__xludf.DUMMYFUNCTION("""COMPUTED_VALUE"""),"Poland, Europe")</f>
        <v/>
      </c>
      <c r="K7596">
        <f>IFERROR(__xludf.DUMMYFUNCTION("""COMPUTED_VALUE"""),5344.18)</f>
        <v/>
      </c>
    </row>
    <row r="7597">
      <c r="J7597">
        <f>IFERROR(__xludf.DUMMYFUNCTION("""COMPUTED_VALUE"""),"Québec and Gatineau, Québec")</f>
        <v/>
      </c>
      <c r="K7597">
        <f>IFERROR(__xludf.DUMMYFUNCTION("""COMPUTED_VALUE"""),5342.96)</f>
        <v/>
      </c>
    </row>
    <row r="7598">
      <c r="J7598">
        <f>IFERROR(__xludf.DUMMYFUNCTION("""COMPUTED_VALUE"""),"Waterloo, ON /Toronto, ON")</f>
        <v/>
      </c>
      <c r="K7598">
        <f>IFERROR(__xludf.DUMMYFUNCTION("""COMPUTED_VALUE"""),5342.58999999999)</f>
        <v/>
      </c>
    </row>
    <row r="7599">
      <c r="J7599">
        <f>IFERROR(__xludf.DUMMYFUNCTION("""COMPUTED_VALUE"""),"Toronto, ON / Las Vegas, NV")</f>
        <v/>
      </c>
      <c r="K7599">
        <f>IFERROR(__xludf.DUMMYFUNCTION("""COMPUTED_VALUE"""),5342.47)</f>
        <v/>
      </c>
    </row>
    <row r="7600">
      <c r="J7600">
        <f>IFERROR(__xludf.DUMMYFUNCTION("""COMPUTED_VALUE"""),"CALGARY, AB, CANADA")</f>
        <v/>
      </c>
      <c r="K7600">
        <f>IFERROR(__xludf.DUMMYFUNCTION("""COMPUTED_VALUE"""),5341.31)</f>
        <v/>
      </c>
    </row>
    <row r="7601">
      <c r="J7601">
        <f>IFERROR(__xludf.DUMMYFUNCTION("""COMPUTED_VALUE"""),"Suffield, Alberta")</f>
        <v/>
      </c>
      <c r="K7601">
        <f>IFERROR(__xludf.DUMMYFUNCTION("""COMPUTED_VALUE"""),5340.80999999999)</f>
        <v/>
      </c>
    </row>
    <row r="7602">
      <c r="J7602">
        <f>IFERROR(__xludf.DUMMYFUNCTION("""COMPUTED_VALUE"""),"Ottawa, Ontario, Canada; Moncton, New Brunswick, Canada")</f>
        <v/>
      </c>
      <c r="K7602">
        <f>IFERROR(__xludf.DUMMYFUNCTION("""COMPUTED_VALUE"""),5338.03)</f>
        <v/>
      </c>
    </row>
    <row r="7603">
      <c r="J7603">
        <f>IFERROR(__xludf.DUMMYFUNCTION("""COMPUTED_VALUE"""),"Hawaii, USA")</f>
        <v/>
      </c>
      <c r="K7603">
        <f>IFERROR(__xludf.DUMMYFUNCTION("""COMPUTED_VALUE"""),5336.96)</f>
        <v/>
      </c>
    </row>
    <row r="7604">
      <c r="J7604">
        <f>IFERROR(__xludf.DUMMYFUNCTION("""COMPUTED_VALUE"""),"Ottawa and Anchorage")</f>
        <v/>
      </c>
      <c r="K7604">
        <f>IFERROR(__xludf.DUMMYFUNCTION("""COMPUTED_VALUE"""),5336.84)</f>
        <v/>
      </c>
    </row>
    <row r="7605">
      <c r="J7605">
        <f>IFERROR(__xludf.DUMMYFUNCTION("""COMPUTED_VALUE"""),"Washington, D.C. (USA)")</f>
        <v/>
      </c>
      <c r="K7605">
        <f>IFERROR(__xludf.DUMMYFUNCTION("""COMPUTED_VALUE"""),5336.19)</f>
        <v/>
      </c>
    </row>
    <row r="7606">
      <c r="J7606">
        <f>IFERROR(__xludf.DUMMYFUNCTION("""COMPUTED_VALUE"""),"Ottawa, Ontario, Canada, and Chicago, Illinois, United States")</f>
        <v/>
      </c>
      <c r="K7606">
        <f>IFERROR(__xludf.DUMMYFUNCTION("""COMPUTED_VALUE"""),5335.7)</f>
        <v/>
      </c>
    </row>
    <row r="7607">
      <c r="J7607">
        <f>IFERROR(__xludf.DUMMYFUNCTION("""COMPUTED_VALUE"""),"La Haye, Netherlands")</f>
        <v/>
      </c>
      <c r="K7607">
        <f>IFERROR(__xludf.DUMMYFUNCTION("""COMPUTED_VALUE"""),5335.59)</f>
        <v/>
      </c>
    </row>
    <row r="7608">
      <c r="J7608">
        <f>IFERROR(__xludf.DUMMYFUNCTION("""COMPUTED_VALUE"""),"Amsterdam, Netherlands &amp; London, UK")</f>
        <v/>
      </c>
      <c r="K7608">
        <f>IFERROR(__xludf.DUMMYFUNCTION("""COMPUTED_VALUE"""),5335.51)</f>
        <v/>
      </c>
    </row>
    <row r="7609">
      <c r="J7609">
        <f>IFERROR(__xludf.DUMMYFUNCTION("""COMPUTED_VALUE"""),"Yellowknife, N.W.T.")</f>
        <v/>
      </c>
      <c r="K7609">
        <f>IFERROR(__xludf.DUMMYFUNCTION("""COMPUTED_VALUE"""),5334.24)</f>
        <v/>
      </c>
    </row>
    <row r="7610">
      <c r="J7610">
        <f>IFERROR(__xludf.DUMMYFUNCTION("""COMPUTED_VALUE"""),"Ottawa - Saskatoon")</f>
        <v/>
      </c>
      <c r="K7610">
        <f>IFERROR(__xludf.DUMMYFUNCTION("""COMPUTED_VALUE"""),5333.66)</f>
        <v/>
      </c>
    </row>
    <row r="7611">
      <c r="J7611">
        <f>IFERROR(__xludf.DUMMYFUNCTION("""COMPUTED_VALUE"""),"Ottawa, ON / Montreal, QC")</f>
        <v/>
      </c>
      <c r="K7611">
        <f>IFERROR(__xludf.DUMMYFUNCTION("""COMPUTED_VALUE"""),5332.72)</f>
        <v/>
      </c>
    </row>
    <row r="7612">
      <c r="J7612">
        <f>IFERROR(__xludf.DUMMYFUNCTION("""COMPUTED_VALUE"""),"Washington DC, United-States")</f>
        <v/>
      </c>
      <c r="K7612">
        <f>IFERROR(__xludf.DUMMYFUNCTION("""COMPUTED_VALUE"""),5332.35)</f>
        <v/>
      </c>
    </row>
    <row r="7613">
      <c r="J7613">
        <f>IFERROR(__xludf.DUMMYFUNCTION("""COMPUTED_VALUE"""),"Atlanta")</f>
        <v/>
      </c>
      <c r="K7613">
        <f>IFERROR(__xludf.DUMMYFUNCTION("""COMPUTED_VALUE"""),5332.03)</f>
        <v/>
      </c>
    </row>
    <row r="7614">
      <c r="J7614">
        <f>IFERROR(__xludf.DUMMYFUNCTION("""COMPUTED_VALUE"""),"Toronto, Ontario, Kelowna, British Columbia,  Calgary, Alberta, Edmonton, Alberta")</f>
        <v/>
      </c>
      <c r="K7614">
        <f>IFERROR(__xludf.DUMMYFUNCTION("""COMPUTED_VALUE"""),5329.38)</f>
        <v/>
      </c>
    </row>
    <row r="7615">
      <c r="J7615">
        <f>IFERROR(__xludf.DUMMYFUNCTION("""COMPUTED_VALUE"""),"Welland, Ontario, Canada")</f>
        <v/>
      </c>
      <c r="K7615">
        <f>IFERROR(__xludf.DUMMYFUNCTION("""COMPUTED_VALUE"""),5327.94)</f>
        <v/>
      </c>
    </row>
    <row r="7616">
      <c r="J7616">
        <f>IFERROR(__xludf.DUMMYFUNCTION("""COMPUTED_VALUE"""),"Vancouver, British Columbia
Calgary, Alberta")</f>
        <v/>
      </c>
      <c r="K7616">
        <f>IFERROR(__xludf.DUMMYFUNCTION("""COMPUTED_VALUE"""),5325.86)</f>
        <v/>
      </c>
    </row>
    <row r="7617">
      <c r="J7617">
        <f>IFERROR(__xludf.DUMMYFUNCTION("""COMPUTED_VALUE"""),"Calgary, Alberta, Canada / Fort McMurray, Alberta, Canada / Charlottetown, Prince Edward Island, Canada / Moncton, New Brunswick, Canada")</f>
        <v/>
      </c>
      <c r="K7617">
        <f>IFERROR(__xludf.DUMMYFUNCTION("""COMPUTED_VALUE"""),5323.38)</f>
        <v/>
      </c>
    </row>
    <row r="7618">
      <c r="J7618">
        <f>IFERROR(__xludf.DUMMYFUNCTION("""COMPUTED_VALUE"""),"Quebec, QC, Canada")</f>
        <v/>
      </c>
      <c r="K7618">
        <f>IFERROR(__xludf.DUMMYFUNCTION("""COMPUTED_VALUE"""),5323.1)</f>
        <v/>
      </c>
    </row>
    <row r="7619">
      <c r="J7619">
        <f>IFERROR(__xludf.DUMMYFUNCTION("""COMPUTED_VALUE"""),"Vancouver, British Columbia, Seattle, United States, Washington, United States")</f>
        <v/>
      </c>
      <c r="K7619">
        <f>IFERROR(__xludf.DUMMYFUNCTION("""COMPUTED_VALUE"""),5323)</f>
        <v/>
      </c>
    </row>
    <row r="7620">
      <c r="J7620">
        <f>IFERROR(__xludf.DUMMYFUNCTION("""COMPUTED_VALUE"""),"Aberdeen, United Kingdom")</f>
        <v/>
      </c>
      <c r="K7620">
        <f>IFERROR(__xludf.DUMMYFUNCTION("""COMPUTED_VALUE"""),5320.87)</f>
        <v/>
      </c>
    </row>
    <row r="7621">
      <c r="J7621">
        <f>IFERROR(__xludf.DUMMYFUNCTION("""COMPUTED_VALUE"""),"Toronto, ON and Ottawa, ON")</f>
        <v/>
      </c>
      <c r="K7621">
        <f>IFERROR(__xludf.DUMMYFUNCTION("""COMPUTED_VALUE"""),5319.4)</f>
        <v/>
      </c>
    </row>
    <row r="7622">
      <c r="J7622">
        <f>IFERROR(__xludf.DUMMYFUNCTION("""COMPUTED_VALUE"""),"Toronto, Ontario / Winnipeg, Manitoba / Vancouver, British Columbia / Kelowna, British Columbia, Canada")</f>
        <v/>
      </c>
      <c r="K7622">
        <f>IFERROR(__xludf.DUMMYFUNCTION("""COMPUTED_VALUE"""),5318.75)</f>
        <v/>
      </c>
    </row>
    <row r="7623">
      <c r="J7623">
        <f>IFERROR(__xludf.DUMMYFUNCTION("""COMPUTED_VALUE"""),"Edmonton, Alberta;  Yellowknife, Northwest Territories, Canada")</f>
        <v/>
      </c>
      <c r="K7623">
        <f>IFERROR(__xludf.DUMMYFUNCTION("""COMPUTED_VALUE"""),5318.5)</f>
        <v/>
      </c>
    </row>
    <row r="7624">
      <c r="J7624">
        <f>IFERROR(__xludf.DUMMYFUNCTION("""COMPUTED_VALUE"""),"Trois-Rivières")</f>
        <v/>
      </c>
      <c r="K7624">
        <f>IFERROR(__xludf.DUMMYFUNCTION("""COMPUTED_VALUE"""),5318.43)</f>
        <v/>
      </c>
    </row>
    <row r="7625">
      <c r="J7625">
        <f>IFERROR(__xludf.DUMMYFUNCTION("""COMPUTED_VALUE"""),"Norfolk, Virginia, United States and Ottawa, Ontario, Canada")</f>
        <v/>
      </c>
      <c r="K7625">
        <f>IFERROR(__xludf.DUMMYFUNCTION("""COMPUTED_VALUE"""),5317.16)</f>
        <v/>
      </c>
    </row>
    <row r="7626">
      <c r="J7626">
        <f>IFERROR(__xludf.DUMMYFUNCTION("""COMPUTED_VALUE"""),"Terra Nova, Newfoundland and Labrador")</f>
        <v/>
      </c>
      <c r="K7626">
        <f>IFERROR(__xludf.DUMMYFUNCTION("""COMPUTED_VALUE"""),5316.51)</f>
        <v/>
      </c>
    </row>
    <row r="7627">
      <c r="J7627">
        <f>IFERROR(__xludf.DUMMYFUNCTION("""COMPUTED_VALUE"""),"Toranto,Calgary , Canada")</f>
        <v/>
      </c>
      <c r="K7627">
        <f>IFERROR(__xludf.DUMMYFUNCTION("""COMPUTED_VALUE"""),5311.7)</f>
        <v/>
      </c>
    </row>
    <row r="7628">
      <c r="J7628">
        <f>IFERROR(__xludf.DUMMYFUNCTION("""COMPUTED_VALUE"""),"Montreal, Quebec, Canada and Brussels, Belgium")</f>
        <v/>
      </c>
      <c r="K7628">
        <f>IFERROR(__xludf.DUMMYFUNCTION("""COMPUTED_VALUE"""),5310.75)</f>
        <v/>
      </c>
    </row>
    <row r="7629">
      <c r="J7629">
        <f>IFERROR(__xludf.DUMMYFUNCTION("""COMPUTED_VALUE"""),"Halifax, Nova Scotia, Canada and St. John's, Newfoundland and Labrador, Canada")</f>
        <v/>
      </c>
      <c r="K7629">
        <f>IFERROR(__xludf.DUMMYFUNCTION("""COMPUTED_VALUE"""),5310.63999999999)</f>
        <v/>
      </c>
    </row>
    <row r="7630">
      <c r="J7630">
        <f>IFERROR(__xludf.DUMMYFUNCTION("""COMPUTED_VALUE"""),"San Francisco and Denver")</f>
        <v/>
      </c>
      <c r="K7630">
        <f>IFERROR(__xludf.DUMMYFUNCTION("""COMPUTED_VALUE"""),5308.35)</f>
        <v/>
      </c>
    </row>
    <row r="7631">
      <c r="J7631">
        <f>IFERROR(__xludf.DUMMYFUNCTION("""COMPUTED_VALUE"""),"Dartmouth, NS")</f>
        <v/>
      </c>
      <c r="K7631">
        <f>IFERROR(__xludf.DUMMYFUNCTION("""COMPUTED_VALUE"""),5307.22)</f>
        <v/>
      </c>
    </row>
    <row r="7632">
      <c r="J7632">
        <f>IFERROR(__xludf.DUMMYFUNCTION("""COMPUTED_VALUE"""),"Toronto On")</f>
        <v/>
      </c>
      <c r="K7632">
        <f>IFERROR(__xludf.DUMMYFUNCTION("""COMPUTED_VALUE"""),5307.04)</f>
        <v/>
      </c>
    </row>
    <row r="7633">
      <c r="J7633">
        <f>IFERROR(__xludf.DUMMYFUNCTION("""COMPUTED_VALUE"""),"London, 
England 
&amp;
Paris, 
France")</f>
        <v/>
      </c>
      <c r="K7633">
        <f>IFERROR(__xludf.DUMMYFUNCTION("""COMPUTED_VALUE"""),5306.08)</f>
        <v/>
      </c>
    </row>
    <row r="7634">
      <c r="J7634">
        <f>IFERROR(__xludf.DUMMYFUNCTION("""COMPUTED_VALUE"""),"Kazan (Russia) and Gland (Switzerland)")</f>
        <v/>
      </c>
      <c r="K7634">
        <f>IFERROR(__xludf.DUMMYFUNCTION("""COMPUTED_VALUE"""),5305.34)</f>
        <v/>
      </c>
    </row>
    <row r="7635">
      <c r="J7635">
        <f>IFERROR(__xludf.DUMMYFUNCTION("""COMPUTED_VALUE"""),"Churchill")</f>
        <v/>
      </c>
      <c r="K7635">
        <f>IFERROR(__xludf.DUMMYFUNCTION("""COMPUTED_VALUE"""),5304.87)</f>
        <v/>
      </c>
    </row>
    <row r="7636">
      <c r="J7636">
        <f>IFERROR(__xludf.DUMMYFUNCTION("""COMPUTED_VALUE"""),"Vancouver - Victoria - Kamloops, BC")</f>
        <v/>
      </c>
      <c r="K7636">
        <f>IFERROR(__xludf.DUMMYFUNCTION("""COMPUTED_VALUE"""),5304.75)</f>
        <v/>
      </c>
    </row>
    <row r="7637">
      <c r="J7637">
        <f>IFERROR(__xludf.DUMMYFUNCTION("""COMPUTED_VALUE"""),"Victoria, British Columbia, Canada
Moncton, New Brunswick, Canada
Winnipeg, Manitoba, Canada")</f>
        <v/>
      </c>
      <c r="K7637">
        <f>IFERROR(__xludf.DUMMYFUNCTION("""COMPUTED_VALUE"""),5304.13)</f>
        <v/>
      </c>
    </row>
    <row r="7638">
      <c r="J7638">
        <f>IFERROR(__xludf.DUMMYFUNCTION("""COMPUTED_VALUE"""),"Toronto, ON; Winnipeg, MB; Calgary, AB; Vancouver, BC")</f>
        <v/>
      </c>
      <c r="K7638">
        <f>IFERROR(__xludf.DUMMYFUNCTION("""COMPUTED_VALUE"""),5303.34)</f>
        <v/>
      </c>
    </row>
    <row r="7639">
      <c r="J7639">
        <f>IFERROR(__xludf.DUMMYFUNCTION("""COMPUTED_VALUE"""),"Boston (Massachusetts) United States
Charlottetown (Prince Edward Island) Canada")</f>
        <v/>
      </c>
      <c r="K7639">
        <f>IFERROR(__xludf.DUMMYFUNCTION("""COMPUTED_VALUE"""),5302.4)</f>
        <v/>
      </c>
    </row>
    <row r="7640">
      <c r="J7640">
        <f>IFERROR(__xludf.DUMMYFUNCTION("""COMPUTED_VALUE"""),"Ann Arbor, Michigan and Vancouver and Victoria, British Columbia")</f>
        <v/>
      </c>
      <c r="K7640">
        <f>IFERROR(__xludf.DUMMYFUNCTION("""COMPUTED_VALUE"""),5302.11)</f>
        <v/>
      </c>
    </row>
    <row r="7641">
      <c r="J7641">
        <f>IFERROR(__xludf.DUMMYFUNCTION("""COMPUTED_VALUE"""),"Washington, District of Colombia, United States of America")</f>
        <v/>
      </c>
      <c r="K7641">
        <f>IFERROR(__xludf.DUMMYFUNCTION("""COMPUTED_VALUE"""),5301.78)</f>
        <v/>
      </c>
    </row>
    <row r="7642">
      <c r="J7642">
        <f>IFERROR(__xludf.DUMMYFUNCTION("""COMPUTED_VALUE"""),"Mountain View, CA USA")</f>
        <v/>
      </c>
      <c r="K7642">
        <f>IFERROR(__xludf.DUMMYFUNCTION("""COMPUTED_VALUE"""),5301.59)</f>
        <v/>
      </c>
    </row>
    <row r="7643">
      <c r="J7643">
        <f>IFERROR(__xludf.DUMMYFUNCTION("""COMPUTED_VALUE"""),"Quebec, Quebec, Canada; Edmonton, Alberta, Canada; Iqualuit, Nunavut, Canada")</f>
        <v/>
      </c>
      <c r="K7643">
        <f>IFERROR(__xludf.DUMMYFUNCTION("""COMPUTED_VALUE"""),5301.33)</f>
        <v/>
      </c>
    </row>
    <row r="7644">
      <c r="J7644">
        <f>IFERROR(__xludf.DUMMYFUNCTION("""COMPUTED_VALUE"""),"Vancouver and Victoria, British Columbia, Canada and Toronto, Ontario, Canada")</f>
        <v/>
      </c>
      <c r="K7644">
        <f>IFERROR(__xludf.DUMMYFUNCTION("""COMPUTED_VALUE"""),5297.59)</f>
        <v/>
      </c>
    </row>
    <row r="7645">
      <c r="J7645">
        <f>IFERROR(__xludf.DUMMYFUNCTION("""COMPUTED_VALUE"""),"New York, United States; White Rock, British Columbia, Canada")</f>
        <v/>
      </c>
      <c r="K7645">
        <f>IFERROR(__xludf.DUMMYFUNCTION("""COMPUTED_VALUE"""),5293.87)</f>
        <v/>
      </c>
    </row>
    <row r="7646">
      <c r="J7646">
        <f>IFERROR(__xludf.DUMMYFUNCTION("""COMPUTED_VALUE"""),"Saint John")</f>
        <v/>
      </c>
      <c r="K7646">
        <f>IFERROR(__xludf.DUMMYFUNCTION("""COMPUTED_VALUE"""),5292.45999999999)</f>
        <v/>
      </c>
    </row>
    <row r="7647">
      <c r="J7647">
        <f>IFERROR(__xludf.DUMMYFUNCTION("""COMPUTED_VALUE"""),"London/Paris")</f>
        <v/>
      </c>
      <c r="K7647">
        <f>IFERROR(__xludf.DUMMYFUNCTION("""COMPUTED_VALUE"""),5291.28)</f>
        <v/>
      </c>
    </row>
    <row r="7648">
      <c r="J7648">
        <f>IFERROR(__xludf.DUMMYFUNCTION("""COMPUTED_VALUE"""),"Zagreb Croatia")</f>
        <v/>
      </c>
      <c r="K7648">
        <f>IFERROR(__xludf.DUMMYFUNCTION("""COMPUTED_VALUE"""),5289.34)</f>
        <v/>
      </c>
    </row>
    <row r="7649">
      <c r="J7649">
        <f>IFERROR(__xludf.DUMMYFUNCTION("""COMPUTED_VALUE"""),"Iqaluit, Nunavut, Toronto, Ontario and Montreal, Quebec")</f>
        <v/>
      </c>
      <c r="K7649">
        <f>IFERROR(__xludf.DUMMYFUNCTION("""COMPUTED_VALUE"""),5288.98)</f>
        <v/>
      </c>
    </row>
    <row r="7650">
      <c r="J7650">
        <f>IFERROR(__xludf.DUMMYFUNCTION("""COMPUTED_VALUE"""),"BRNO, Czech Republic")</f>
        <v/>
      </c>
      <c r="K7650">
        <f>IFERROR(__xludf.DUMMYFUNCTION("""COMPUTED_VALUE"""),5287.09)</f>
        <v/>
      </c>
    </row>
    <row r="7651">
      <c r="J7651">
        <f>IFERROR(__xludf.DUMMYFUNCTION("""COMPUTED_VALUE"""),"Montréal, Québec and Toronto, Ontario")</f>
        <v/>
      </c>
      <c r="K7651">
        <f>IFERROR(__xludf.DUMMYFUNCTION("""COMPUTED_VALUE"""),5285.82999999999)</f>
        <v/>
      </c>
    </row>
    <row r="7652">
      <c r="J7652">
        <f>IFERROR(__xludf.DUMMYFUNCTION("""COMPUTED_VALUE"""),"Vancouver, Penticton and Victoria, BC")</f>
        <v/>
      </c>
      <c r="K7652">
        <f>IFERROR(__xludf.DUMMYFUNCTION("""COMPUTED_VALUE"""),5283.93)</f>
        <v/>
      </c>
    </row>
    <row r="7653">
      <c r="J7653">
        <f>IFERROR(__xludf.DUMMYFUNCTION("""COMPUTED_VALUE"""),"Montreal, QC Val-d'Or, QC Rouyn-Noranda, QC Victoriaville, QC")</f>
        <v/>
      </c>
      <c r="K7653">
        <f>IFERROR(__xludf.DUMMYFUNCTION("""COMPUTED_VALUE"""),5283.53)</f>
        <v/>
      </c>
    </row>
    <row r="7654">
      <c r="J7654">
        <f>IFERROR(__xludf.DUMMYFUNCTION("""COMPUTED_VALUE"""),"Paris and Geneve, France and Switzerland")</f>
        <v/>
      </c>
      <c r="K7654">
        <f>IFERROR(__xludf.DUMMYFUNCTION("""COMPUTED_VALUE"""),5282.64)</f>
        <v/>
      </c>
    </row>
    <row r="7655">
      <c r="J7655">
        <f>IFERROR(__xludf.DUMMYFUNCTION("""COMPUTED_VALUE"""),"Victoria/Vancouver/Terrace/Kelowna, British-Columbia")</f>
        <v/>
      </c>
      <c r="K7655">
        <f>IFERROR(__xludf.DUMMYFUNCTION("""COMPUTED_VALUE"""),5280.2)</f>
        <v/>
      </c>
    </row>
    <row r="7656">
      <c r="J7656">
        <f>IFERROR(__xludf.DUMMYFUNCTION("""COMPUTED_VALUE"""),"Peterborough, ON, Canada")</f>
        <v/>
      </c>
      <c r="K7656">
        <f>IFERROR(__xludf.DUMMYFUNCTION("""COMPUTED_VALUE"""),5280.13999999999)</f>
        <v/>
      </c>
    </row>
    <row r="7657">
      <c r="J7657">
        <f>IFERROR(__xludf.DUMMYFUNCTION("""COMPUTED_VALUE"""),"Brussels, Belgium Riga, Latvia")</f>
        <v/>
      </c>
      <c r="K7657">
        <f>IFERROR(__xludf.DUMMYFUNCTION("""COMPUTED_VALUE"""),5279)</f>
        <v/>
      </c>
    </row>
    <row r="7658">
      <c r="J7658">
        <f>IFERROR(__xludf.DUMMYFUNCTION("""COMPUTED_VALUE"""),"Windsor Ontario/ Vancouver, British Columbia")</f>
        <v/>
      </c>
      <c r="K7658">
        <f>IFERROR(__xludf.DUMMYFUNCTION("""COMPUTED_VALUE"""),5276.57)</f>
        <v/>
      </c>
    </row>
    <row r="7659">
      <c r="J7659">
        <f>IFERROR(__xludf.DUMMYFUNCTION("""COMPUTED_VALUE"""),"Vancouver British Columbia, Canada")</f>
        <v/>
      </c>
      <c r="K7659">
        <f>IFERROR(__xludf.DUMMYFUNCTION("""COMPUTED_VALUE"""),5276.28)</f>
        <v/>
      </c>
    </row>
    <row r="7660">
      <c r="J7660">
        <f>IFERROR(__xludf.DUMMYFUNCTION("""COMPUTED_VALUE"""),"Abbottsford, British Columbia, Canada")</f>
        <v/>
      </c>
      <c r="K7660">
        <f>IFERROR(__xludf.DUMMYFUNCTION("""COMPUTED_VALUE"""),5276.25)</f>
        <v/>
      </c>
    </row>
    <row r="7661">
      <c r="J7661">
        <f>IFERROR(__xludf.DUMMYFUNCTION("""COMPUTED_VALUE"""),"Halifax, Nova -Scotia , Canada")</f>
        <v/>
      </c>
      <c r="K7661">
        <f>IFERROR(__xludf.DUMMYFUNCTION("""COMPUTED_VALUE"""),5274.9)</f>
        <v/>
      </c>
    </row>
    <row r="7662">
      <c r="J7662">
        <f>IFERROR(__xludf.DUMMYFUNCTION("""COMPUTED_VALUE"""),"Panama city and Chitre")</f>
        <v/>
      </c>
      <c r="K7662">
        <f>IFERROR(__xludf.DUMMYFUNCTION("""COMPUTED_VALUE"""),5273.62)</f>
        <v/>
      </c>
    </row>
    <row r="7663">
      <c r="J7663">
        <f>IFERROR(__xludf.DUMMYFUNCTION("""COMPUTED_VALUE"""),"Fredericton, Moncton, Miramichi, New Brunswick")</f>
        <v/>
      </c>
      <c r="K7663">
        <f>IFERROR(__xludf.DUMMYFUNCTION("""COMPUTED_VALUE"""),5272.48)</f>
        <v/>
      </c>
    </row>
    <row r="7664">
      <c r="J7664">
        <f>IFERROR(__xludf.DUMMYFUNCTION("""COMPUTED_VALUE"""),"Montreal Quebec Canada")</f>
        <v/>
      </c>
      <c r="K7664">
        <f>IFERROR(__xludf.DUMMYFUNCTION("""COMPUTED_VALUE"""),5272.17)</f>
        <v/>
      </c>
    </row>
    <row r="7665">
      <c r="J7665">
        <f>IFERROR(__xludf.DUMMYFUNCTION("""COMPUTED_VALUE"""),"Various Locations")</f>
        <v/>
      </c>
      <c r="K7665">
        <f>IFERROR(__xludf.DUMMYFUNCTION("""COMPUTED_VALUE"""),5271.26)</f>
        <v/>
      </c>
    </row>
    <row r="7666">
      <c r="J7666">
        <f>IFERROR(__xludf.DUMMYFUNCTION("""COMPUTED_VALUE"""),"Victoria, British Columbia; Abbotsford, British Columbia")</f>
        <v/>
      </c>
      <c r="K7666">
        <f>IFERROR(__xludf.DUMMYFUNCTION("""COMPUTED_VALUE"""),5271.26)</f>
        <v/>
      </c>
    </row>
    <row r="7667">
      <c r="J7667">
        <f>IFERROR(__xludf.DUMMYFUNCTION("""COMPUTED_VALUE"""),"Toronto,  Ontario, Canada")</f>
        <v/>
      </c>
      <c r="K7667">
        <f>IFERROR(__xludf.DUMMYFUNCTION("""COMPUTED_VALUE"""),5270.91)</f>
        <v/>
      </c>
    </row>
    <row r="7668">
      <c r="J7668">
        <f>IFERROR(__xludf.DUMMYFUNCTION("""COMPUTED_VALUE"""),"Prague, Czech Republic Brussels, Belgium")</f>
        <v/>
      </c>
      <c r="K7668">
        <f>IFERROR(__xludf.DUMMYFUNCTION("""COMPUTED_VALUE"""),5270.65)</f>
        <v/>
      </c>
    </row>
    <row r="7669">
      <c r="J7669">
        <f>IFERROR(__xludf.DUMMYFUNCTION("""COMPUTED_VALUE"""),"London, England Paris, France")</f>
        <v/>
      </c>
      <c r="K7669">
        <f>IFERROR(__xludf.DUMMYFUNCTION("""COMPUTED_VALUE"""),5269.87)</f>
        <v/>
      </c>
    </row>
    <row r="7670">
      <c r="J7670">
        <f>IFERROR(__xludf.DUMMYFUNCTION("""COMPUTED_VALUE"""),"Calgary, Alberta, Canada &amp; Halifax, Nova Scotia, Canada")</f>
        <v/>
      </c>
      <c r="K7670">
        <f>IFERROR(__xludf.DUMMYFUNCTION("""COMPUTED_VALUE"""),5269.78)</f>
        <v/>
      </c>
    </row>
    <row r="7671">
      <c r="J7671">
        <f>IFERROR(__xludf.DUMMYFUNCTION("""COMPUTED_VALUE"""),"Halisham, UK")</f>
        <v/>
      </c>
      <c r="K7671">
        <f>IFERROR(__xludf.DUMMYFUNCTION("""COMPUTED_VALUE"""),5268.67)</f>
        <v/>
      </c>
    </row>
    <row r="7672">
      <c r="J7672">
        <f>IFERROR(__xludf.DUMMYFUNCTION("""COMPUTED_VALUE"""),"Grand Manan, New Brunswick, Canada")</f>
        <v/>
      </c>
      <c r="K7672">
        <f>IFERROR(__xludf.DUMMYFUNCTION("""COMPUTED_VALUE"""),5268.23)</f>
        <v/>
      </c>
    </row>
    <row r="7673">
      <c r="J7673">
        <f>IFERROR(__xludf.DUMMYFUNCTION("""COMPUTED_VALUE"""),"Lyon,
France")</f>
        <v/>
      </c>
      <c r="K7673">
        <f>IFERROR(__xludf.DUMMYFUNCTION("""COMPUTED_VALUE"""),5267.08)</f>
        <v/>
      </c>
    </row>
    <row r="7674">
      <c r="J7674">
        <f>IFERROR(__xludf.DUMMYFUNCTION("""COMPUTED_VALUE"""),"Toronto; Montreal")</f>
        <v/>
      </c>
      <c r="K7674">
        <f>IFERROR(__xludf.DUMMYFUNCTION("""COMPUTED_VALUE"""),5265.2)</f>
        <v/>
      </c>
    </row>
    <row r="7675">
      <c r="J7675">
        <f>IFERROR(__xludf.DUMMYFUNCTION("""COMPUTED_VALUE"""),"Toronto, ON Thunder Bay, ON Sault Ste.Marie, ON Banff, AB")</f>
        <v/>
      </c>
      <c r="K7675">
        <f>IFERROR(__xludf.DUMMYFUNCTION("""COMPUTED_VALUE"""),5264.87)</f>
        <v/>
      </c>
    </row>
    <row r="7676">
      <c r="J7676">
        <f>IFERROR(__xludf.DUMMYFUNCTION("""COMPUTED_VALUE"""),"Whistler, British Columbia, Canada; Ottawa, Ontario, Canada")</f>
        <v/>
      </c>
      <c r="K7676">
        <f>IFERROR(__xludf.DUMMYFUNCTION("""COMPUTED_VALUE"""),5264.85)</f>
        <v/>
      </c>
    </row>
    <row r="7677">
      <c r="J7677">
        <f>IFERROR(__xludf.DUMMYFUNCTION("""COMPUTED_VALUE"""),"Boston, Massachusetts, United-States of America")</f>
        <v/>
      </c>
      <c r="K7677">
        <f>IFERROR(__xludf.DUMMYFUNCTION("""COMPUTED_VALUE"""),5264.25)</f>
        <v/>
      </c>
    </row>
    <row r="7678">
      <c r="J7678">
        <f>IFERROR(__xludf.DUMMYFUNCTION("""COMPUTED_VALUE"""),"Mississauga, Ontario, Halifax, Nova Scotia, Montreal, Quebec, Vancouver, British Columbia")</f>
        <v/>
      </c>
      <c r="K7678">
        <f>IFERROR(__xludf.DUMMYFUNCTION("""COMPUTED_VALUE"""),5263.86)</f>
        <v/>
      </c>
    </row>
    <row r="7679">
      <c r="J7679">
        <f>IFERROR(__xludf.DUMMYFUNCTION("""COMPUTED_VALUE"""),"Cigar Lake, Saskatchewan, Canada")</f>
        <v/>
      </c>
      <c r="K7679">
        <f>IFERROR(__xludf.DUMMYFUNCTION("""COMPUTED_VALUE"""),5263.17)</f>
        <v/>
      </c>
    </row>
    <row r="7680">
      <c r="J7680">
        <f>IFERROR(__xludf.DUMMYFUNCTION("""COMPUTED_VALUE"""),"Toronto, Ontario, Canada; Montreal, Quebec, Canada; Halifax, Nova Scotia, Canada")</f>
        <v/>
      </c>
      <c r="K7680">
        <f>IFERROR(__xludf.DUMMYFUNCTION("""COMPUTED_VALUE"""),5262.79)</f>
        <v/>
      </c>
    </row>
    <row r="7681">
      <c r="J7681">
        <f>IFERROR(__xludf.DUMMYFUNCTION("""COMPUTED_VALUE"""),"Colorado Springs, Colorado USA")</f>
        <v/>
      </c>
      <c r="K7681">
        <f>IFERROR(__xludf.DUMMYFUNCTION("""COMPUTED_VALUE"""),5262.42)</f>
        <v/>
      </c>
    </row>
    <row r="7682">
      <c r="J7682">
        <f>IFERROR(__xludf.DUMMYFUNCTION("""COMPUTED_VALUE"""),"Alpbach, Vaduz, Bern")</f>
        <v/>
      </c>
      <c r="K7682">
        <f>IFERROR(__xludf.DUMMYFUNCTION("""COMPUTED_VALUE"""),5261.81)</f>
        <v/>
      </c>
    </row>
    <row r="7683">
      <c r="J7683">
        <f>IFERROR(__xludf.DUMMYFUNCTION("""COMPUTED_VALUE"""),"Berlin (Germany), Vienna (Austria) Bratislava (Slovakia)")</f>
        <v/>
      </c>
      <c r="K7683">
        <f>IFERROR(__xludf.DUMMYFUNCTION("""COMPUTED_VALUE"""),5261.22)</f>
        <v/>
      </c>
    </row>
    <row r="7684">
      <c r="J7684">
        <f>IFERROR(__xludf.DUMMYFUNCTION("""COMPUTED_VALUE"""),"Moncton, New Brunswick, Canada; Winnipeg, Manitoba, Canada")</f>
        <v/>
      </c>
      <c r="K7684">
        <f>IFERROR(__xludf.DUMMYFUNCTION("""COMPUTED_VALUE"""),5258.36)</f>
        <v/>
      </c>
    </row>
    <row r="7685">
      <c r="J7685">
        <f>IFERROR(__xludf.DUMMYFUNCTION("""COMPUTED_VALUE"""),"Paris / Londre")</f>
        <v/>
      </c>
      <c r="K7685">
        <f>IFERROR(__xludf.DUMMYFUNCTION("""COMPUTED_VALUE"""),5257.07)</f>
        <v/>
      </c>
    </row>
    <row r="7686">
      <c r="J7686">
        <f>IFERROR(__xludf.DUMMYFUNCTION("""COMPUTED_VALUE"""),"Kansas City, Missouri, United States")</f>
        <v/>
      </c>
      <c r="K7686">
        <f>IFERROR(__xludf.DUMMYFUNCTION("""COMPUTED_VALUE"""),5254.27)</f>
        <v/>
      </c>
    </row>
    <row r="7687">
      <c r="J7687">
        <f>IFERROR(__xludf.DUMMYFUNCTION("""COMPUTED_VALUE"""),"Vancouver, British Columbia / Merrickville, Ontario")</f>
        <v/>
      </c>
      <c r="K7687">
        <f>IFERROR(__xludf.DUMMYFUNCTION("""COMPUTED_VALUE"""),5253.55)</f>
        <v/>
      </c>
    </row>
    <row r="7688">
      <c r="J7688">
        <f>IFERROR(__xludf.DUMMYFUNCTION("""COMPUTED_VALUE"""),"Montreal, Quebec ; Vancouver, British Columbia")</f>
        <v/>
      </c>
      <c r="K7688">
        <f>IFERROR(__xludf.DUMMYFUNCTION("""COMPUTED_VALUE"""),5252.91)</f>
        <v/>
      </c>
    </row>
    <row r="7689">
      <c r="J7689">
        <f>IFERROR(__xludf.DUMMYFUNCTION("""COMPUTED_VALUE"""),"Saskatoon, Saskatchewan, Canada; Calgary, Alberta, Canada")</f>
        <v/>
      </c>
      <c r="K7689">
        <f>IFERROR(__xludf.DUMMYFUNCTION("""COMPUTED_VALUE"""),5251.73)</f>
        <v/>
      </c>
    </row>
    <row r="7690">
      <c r="J7690">
        <f>IFERROR(__xludf.DUMMYFUNCTION("""COMPUTED_VALUE"""),"The Hague (NL)")</f>
        <v/>
      </c>
      <c r="K7690">
        <f>IFERROR(__xludf.DUMMYFUNCTION("""COMPUTED_VALUE"""),5251.44)</f>
        <v/>
      </c>
    </row>
    <row r="7691">
      <c r="J7691">
        <f>IFERROR(__xludf.DUMMYFUNCTION("""COMPUTED_VALUE"""),"Edmonton, AB
Honolulu, HI, USA")</f>
        <v/>
      </c>
      <c r="K7691">
        <f>IFERROR(__xludf.DUMMYFUNCTION("""COMPUTED_VALUE"""),5249.44)</f>
        <v/>
      </c>
    </row>
    <row r="7692">
      <c r="J7692">
        <f>IFERROR(__xludf.DUMMYFUNCTION("""COMPUTED_VALUE"""),"Victoria, British Columbia, Canada; Regina, Saskatchewan, Canada")</f>
        <v/>
      </c>
      <c r="K7692">
        <f>IFERROR(__xludf.DUMMYFUNCTION("""COMPUTED_VALUE"""),5249.4)</f>
        <v/>
      </c>
    </row>
    <row r="7693">
      <c r="J7693">
        <f>IFERROR(__xludf.DUMMYFUNCTION("""COMPUTED_VALUE"""),"Halifax, NS, Fredericton, NB")</f>
        <v/>
      </c>
      <c r="K7693">
        <f>IFERROR(__xludf.DUMMYFUNCTION("""COMPUTED_VALUE"""),5249.35)</f>
        <v/>
      </c>
    </row>
    <row r="7694">
      <c r="J7694">
        <f>IFERROR(__xludf.DUMMYFUNCTION("""COMPUTED_VALUE"""),"Detroit, MI, U.S.A.")</f>
        <v/>
      </c>
      <c r="K7694">
        <f>IFERROR(__xludf.DUMMYFUNCTION("""COMPUTED_VALUE"""),5249.07)</f>
        <v/>
      </c>
    </row>
    <row r="7695">
      <c r="J7695">
        <f>IFERROR(__xludf.DUMMYFUNCTION("""COMPUTED_VALUE"""),"Fort Worth, USA")</f>
        <v/>
      </c>
      <c r="K7695">
        <f>IFERROR(__xludf.DUMMYFUNCTION("""COMPUTED_VALUE"""),5249.04)</f>
        <v/>
      </c>
    </row>
    <row r="7696">
      <c r="J7696">
        <f>IFERROR(__xludf.DUMMYFUNCTION("""COMPUTED_VALUE"""),"Vancouver, Victoria and Penticton, BC")</f>
        <v/>
      </c>
      <c r="K7696">
        <f>IFERROR(__xludf.DUMMYFUNCTION("""COMPUTED_VALUE"""),5248.11)</f>
        <v/>
      </c>
    </row>
    <row r="7697">
      <c r="J7697">
        <f>IFERROR(__xludf.DUMMYFUNCTION("""COMPUTED_VALUE"""),"New York, Seattle")</f>
        <v/>
      </c>
      <c r="K7697">
        <f>IFERROR(__xludf.DUMMYFUNCTION("""COMPUTED_VALUE"""),5246.97)</f>
        <v/>
      </c>
    </row>
    <row r="7698">
      <c r="J7698">
        <f>IFERROR(__xludf.DUMMYFUNCTION("""COMPUTED_VALUE"""),"Îles de la Madeleine, QC")</f>
        <v/>
      </c>
      <c r="K7698">
        <f>IFERROR(__xludf.DUMMYFUNCTION("""COMPUTED_VALUE"""),5245.04)</f>
        <v/>
      </c>
    </row>
    <row r="7699">
      <c r="J7699">
        <f>IFERROR(__xludf.DUMMYFUNCTION("""COMPUTED_VALUE"""),"Berlin (Germany)
Brussels (Belgium) 
Madrid (Spain)")</f>
        <v/>
      </c>
      <c r="K7699">
        <f>IFERROR(__xludf.DUMMYFUNCTION("""COMPUTED_VALUE"""),5243.54)</f>
        <v/>
      </c>
    </row>
    <row r="7700">
      <c r="J7700">
        <f>IFERROR(__xludf.DUMMYFUNCTION("""COMPUTED_VALUE"""),"Toronto / Calgary")</f>
        <v/>
      </c>
      <c r="K7700">
        <f>IFERROR(__xludf.DUMMYFUNCTION("""COMPUTED_VALUE"""),5243.46)</f>
        <v/>
      </c>
    </row>
    <row r="7701">
      <c r="J7701">
        <f>IFERROR(__xludf.DUMMYFUNCTION("""COMPUTED_VALUE"""),"Summerside, Prince Edward Island, Canada; Winnipeg, Manitoba, Canada")</f>
        <v/>
      </c>
      <c r="K7701">
        <f>IFERROR(__xludf.DUMMYFUNCTION("""COMPUTED_VALUE"""),5240.98)</f>
        <v/>
      </c>
    </row>
    <row r="7702">
      <c r="J7702">
        <f>IFERROR(__xludf.DUMMYFUNCTION("""COMPUTED_VALUE"""),"Charlottetown (Prince Edward Island) Canada
Halifax (Nova Scotia) Canada")</f>
        <v/>
      </c>
      <c r="K7702">
        <f>IFERROR(__xludf.DUMMYFUNCTION("""COMPUTED_VALUE"""),5240.51)</f>
        <v/>
      </c>
    </row>
    <row r="7703">
      <c r="J7703">
        <f>IFERROR(__xludf.DUMMYFUNCTION("""COMPUTED_VALUE"""),"Sept-Iles")</f>
        <v/>
      </c>
      <c r="K7703">
        <f>IFERROR(__xludf.DUMMYFUNCTION("""COMPUTED_VALUE"""),5240.34)</f>
        <v/>
      </c>
    </row>
    <row r="7704">
      <c r="J7704">
        <f>IFERROR(__xludf.DUMMYFUNCTION("""COMPUTED_VALUE"""),"CFB Comox, Vancouver")</f>
        <v/>
      </c>
      <c r="K7704">
        <f>IFERROR(__xludf.DUMMYFUNCTION("""COMPUTED_VALUE"""),5240.02)</f>
        <v/>
      </c>
    </row>
    <row r="7705">
      <c r="J7705">
        <f>IFERROR(__xludf.DUMMYFUNCTION("""COMPUTED_VALUE"""),"Norfolk, Virginia and Key West, Florida")</f>
        <v/>
      </c>
      <c r="K7705">
        <f>IFERROR(__xludf.DUMMYFUNCTION("""COMPUTED_VALUE"""),5235.34)</f>
        <v/>
      </c>
    </row>
    <row r="7706">
      <c r="J7706">
        <f>IFERROR(__xludf.DUMMYFUNCTION("""COMPUTED_VALUE"""),"Toronto, Ontario, Canada / Gander, Newfoundland and Labrador, Canada")</f>
        <v/>
      </c>
      <c r="K7706">
        <f>IFERROR(__xludf.DUMMYFUNCTION("""COMPUTED_VALUE"""),5234.36)</f>
        <v/>
      </c>
    </row>
    <row r="7707">
      <c r="J7707">
        <f>IFERROR(__xludf.DUMMYFUNCTION("""COMPUTED_VALUE"""),"Fredericton, New Brunswick, Canada &amp; Edmonton, Alberta, Canada &amp; Vancouver, British Columbia, Canada")</f>
        <v/>
      </c>
      <c r="K7707">
        <f>IFERROR(__xludf.DUMMYFUNCTION("""COMPUTED_VALUE"""),5234.18)</f>
        <v/>
      </c>
    </row>
    <row r="7708">
      <c r="J7708">
        <f>IFERROR(__xludf.DUMMYFUNCTION("""COMPUTED_VALUE"""),"Honalulu, HI")</f>
        <v/>
      </c>
      <c r="K7708">
        <f>IFERROR(__xludf.DUMMYFUNCTION("""COMPUTED_VALUE"""),5232.63)</f>
        <v/>
      </c>
    </row>
    <row r="7709">
      <c r="J7709">
        <f>IFERROR(__xludf.DUMMYFUNCTION("""COMPUTED_VALUE"""),"Brazil, Sao Paulo, Bogota, San Jose, San Pedro, San Salvador and Mexico")</f>
        <v/>
      </c>
      <c r="K7709">
        <f>IFERROR(__xludf.DUMMYFUNCTION("""COMPUTED_VALUE"""),5232.23)</f>
        <v/>
      </c>
    </row>
    <row r="7710">
      <c r="J7710">
        <f>IFERROR(__xludf.DUMMYFUNCTION("""COMPUTED_VALUE"""),"Quebec City, Qc")</f>
        <v/>
      </c>
      <c r="K7710">
        <f>IFERROR(__xludf.DUMMYFUNCTION("""COMPUTED_VALUE"""),5231.05)</f>
        <v/>
      </c>
    </row>
    <row r="7711">
      <c r="J7711">
        <f>IFERROR(__xludf.DUMMYFUNCTION("""COMPUTED_VALUE"""),"Garmisch-Partenkirchen Germany")</f>
        <v/>
      </c>
      <c r="K7711">
        <f>IFERROR(__xludf.DUMMYFUNCTION("""COMPUTED_VALUE"""),5230.65)</f>
        <v/>
      </c>
    </row>
    <row r="7712">
      <c r="J7712">
        <f>IFERROR(__xludf.DUMMYFUNCTION("""COMPUTED_VALUE"""),"Toronto/Ottawa (Ontario) Canada")</f>
        <v/>
      </c>
      <c r="K7712">
        <f>IFERROR(__xludf.DUMMYFUNCTION("""COMPUTED_VALUE"""),5229.66)</f>
        <v/>
      </c>
    </row>
    <row r="7713">
      <c r="J7713">
        <f>IFERROR(__xludf.DUMMYFUNCTION("""COMPUTED_VALUE"""),"Fredericton, New Brunswick, Canada; Moncton, New Brunswick, Canada; Saint John, New Brunswick, Canada")</f>
        <v/>
      </c>
      <c r="K7713">
        <f>IFERROR(__xludf.DUMMYFUNCTION("""COMPUTED_VALUE"""),5225.85)</f>
        <v/>
      </c>
    </row>
    <row r="7714">
      <c r="J7714">
        <f>IFERROR(__xludf.DUMMYFUNCTION("""COMPUTED_VALUE"""),"Moncton, NB - Ottawa, ON / Ottawa, ON - Montreal, QC / Montreal, QC - Edmonton, AB / Edmonton, AB - Calgary, AB / Calgary, AB - Moncton, NB")</f>
        <v/>
      </c>
      <c r="K7714">
        <f>IFERROR(__xludf.DUMMYFUNCTION("""COMPUTED_VALUE"""),5225.66)</f>
        <v/>
      </c>
    </row>
    <row r="7715">
      <c r="J7715">
        <f>IFERROR(__xludf.DUMMYFUNCTION("""COMPUTED_VALUE"""),"Vancouver, British Columbia, Canada; Whitehorse, Yukon, Canada; Richmond, British Columbia, Canada")</f>
        <v/>
      </c>
      <c r="K7715">
        <f>IFERROR(__xludf.DUMMYFUNCTION("""COMPUTED_VALUE"""),5224.85)</f>
        <v/>
      </c>
    </row>
    <row r="7716">
      <c r="J7716">
        <f>IFERROR(__xludf.DUMMYFUNCTION("""COMPUTED_VALUE"""),"Edmonton, Alberta, and Victoria and Vancouver, British Columbia")</f>
        <v/>
      </c>
      <c r="K7716">
        <f>IFERROR(__xludf.DUMMYFUNCTION("""COMPUTED_VALUE"""),5224.29)</f>
        <v/>
      </c>
    </row>
    <row r="7717">
      <c r="J7717">
        <f>IFERROR(__xludf.DUMMYFUNCTION("""COMPUTED_VALUE"""),"Riga, Latvia; Berlin, Germany; Warsaw, Poland")</f>
        <v/>
      </c>
      <c r="K7717">
        <f>IFERROR(__xludf.DUMMYFUNCTION("""COMPUTED_VALUE"""),5223.62)</f>
        <v/>
      </c>
    </row>
    <row r="7718">
      <c r="J7718">
        <f>IFERROR(__xludf.DUMMYFUNCTION("""COMPUTED_VALUE"""),"Edmonton, Alberta, Canada; Ottawa, Ontario, Canada; Gatineau, Quebec, Canada")</f>
        <v/>
      </c>
      <c r="K7718">
        <f>IFERROR(__xludf.DUMMYFUNCTION("""COMPUTED_VALUE"""),5221.92)</f>
        <v/>
      </c>
    </row>
    <row r="7719">
      <c r="J7719">
        <f>IFERROR(__xludf.DUMMYFUNCTION("""COMPUTED_VALUE"""),"United Kingdom: Thurso, Scotland; Cockermouth, England and Cheltenham, England")</f>
        <v/>
      </c>
      <c r="K7719">
        <f>IFERROR(__xludf.DUMMYFUNCTION("""COMPUTED_VALUE"""),5221.66)</f>
        <v/>
      </c>
    </row>
    <row r="7720">
      <c r="J7720">
        <f>IFERROR(__xludf.DUMMYFUNCTION("""COMPUTED_VALUE"""),"London, England &amp; Paris, France")</f>
        <v/>
      </c>
      <c r="K7720">
        <f>IFERROR(__xludf.DUMMYFUNCTION("""COMPUTED_VALUE"""),5221.37)</f>
        <v/>
      </c>
    </row>
    <row r="7721">
      <c r="J7721">
        <f>IFERROR(__xludf.DUMMYFUNCTION("""COMPUTED_VALUE"""),"Brampton and Windsor, Ontario")</f>
        <v/>
      </c>
      <c r="K7721">
        <f>IFERROR(__xludf.DUMMYFUNCTION("""COMPUTED_VALUE"""),5221.35)</f>
        <v/>
      </c>
    </row>
    <row r="7722">
      <c r="J7722">
        <f>IFERROR(__xludf.DUMMYFUNCTION("""COMPUTED_VALUE"""),"Saskatoon, Saskatchewan, Canada; Halifax, Nova Scotia, Canada")</f>
        <v/>
      </c>
      <c r="K7722">
        <f>IFERROR(__xludf.DUMMYFUNCTION("""COMPUTED_VALUE"""),5220.78)</f>
        <v/>
      </c>
    </row>
    <row r="7723">
      <c r="J7723">
        <f>IFERROR(__xludf.DUMMYFUNCTION("""COMPUTED_VALUE"""),"Vancouver, Comox, Victoria")</f>
        <v/>
      </c>
      <c r="K7723">
        <f>IFERROR(__xludf.DUMMYFUNCTION("""COMPUTED_VALUE"""),5219.84)</f>
        <v/>
      </c>
    </row>
    <row r="7724">
      <c r="J7724">
        <f>IFERROR(__xludf.DUMMYFUNCTION("""COMPUTED_VALUE"""),"Vancouver, Surrey, Richmond, British Columbia, Canada")</f>
        <v/>
      </c>
      <c r="K7724">
        <f>IFERROR(__xludf.DUMMYFUNCTION("""COMPUTED_VALUE"""),5219.49)</f>
        <v/>
      </c>
    </row>
    <row r="7725">
      <c r="J7725">
        <f>IFERROR(__xludf.DUMMYFUNCTION("""COMPUTED_VALUE"""),"Calgary, Alberta, Canada; Regina, Saskatchewan, Canada; Vancouver, British Columbia, Canada")</f>
        <v/>
      </c>
      <c r="K7725">
        <f>IFERROR(__xludf.DUMMYFUNCTION("""COMPUTED_VALUE"""),5219.06)</f>
        <v/>
      </c>
    </row>
    <row r="7726">
      <c r="J7726">
        <f>IFERROR(__xludf.DUMMYFUNCTION("""COMPUTED_VALUE"""),"Toronto Canada")</f>
        <v/>
      </c>
      <c r="K7726">
        <f>IFERROR(__xludf.DUMMYFUNCTION("""COMPUTED_VALUE"""),5219)</f>
        <v/>
      </c>
    </row>
    <row r="7727">
      <c r="J7727">
        <f>IFERROR(__xludf.DUMMYFUNCTION("""COMPUTED_VALUE"""),"Miami, US / Ottawa, Ontario")</f>
        <v/>
      </c>
      <c r="K7727">
        <f>IFERROR(__xludf.DUMMYFUNCTION("""COMPUTED_VALUE"""),5218.5)</f>
        <v/>
      </c>
    </row>
    <row r="7728">
      <c r="J7728">
        <f>IFERROR(__xludf.DUMMYFUNCTION("""COMPUTED_VALUE"""),"1. St. John’s, Newfoundland and Labrador, Canada
2. Happy Valley-Goose Bay, Newfoundland and Labrador, Canada")</f>
        <v/>
      </c>
      <c r="K7728">
        <f>IFERROR(__xludf.DUMMYFUNCTION("""COMPUTED_VALUE"""),5218.49)</f>
        <v/>
      </c>
    </row>
    <row r="7729">
      <c r="J7729">
        <f>IFERROR(__xludf.DUMMYFUNCTION("""COMPUTED_VALUE"""),"Halifax, Nova Scotia, Canada and Conception Bay South, Newfoundland and Labrador")</f>
        <v/>
      </c>
      <c r="K7729">
        <f>IFERROR(__xludf.DUMMYFUNCTION("""COMPUTED_VALUE"""),5217.38)</f>
        <v/>
      </c>
    </row>
    <row r="7730">
      <c r="J7730">
        <f>IFERROR(__xludf.DUMMYFUNCTION("""COMPUTED_VALUE"""),"Waterton Park, Alberta, Canada")</f>
        <v/>
      </c>
      <c r="K7730">
        <f>IFERROR(__xludf.DUMMYFUNCTION("""COMPUTED_VALUE"""),5217.34)</f>
        <v/>
      </c>
    </row>
    <row r="7731">
      <c r="J7731">
        <f>IFERROR(__xludf.DUMMYFUNCTION("""COMPUTED_VALUE"""),"St-Hyacinthe; Boloeil, Quebec, Canada")</f>
        <v/>
      </c>
      <c r="K7731">
        <f>IFERROR(__xludf.DUMMYFUNCTION("""COMPUTED_VALUE"""),5214.67999999999)</f>
        <v/>
      </c>
    </row>
    <row r="7732">
      <c r="J7732">
        <f>IFERROR(__xludf.DUMMYFUNCTION("""COMPUTED_VALUE"""),"Chatham, United Kingdom")</f>
        <v/>
      </c>
      <c r="K7732">
        <f>IFERROR(__xludf.DUMMYFUNCTION("""COMPUTED_VALUE"""),5214.58)</f>
        <v/>
      </c>
    </row>
    <row r="7733">
      <c r="J7733">
        <f>IFERROR(__xludf.DUMMYFUNCTION("""COMPUTED_VALUE"""),"Prince George, BC - Edmonton, AB")</f>
        <v/>
      </c>
      <c r="K7733">
        <f>IFERROR(__xludf.DUMMYFUNCTION("""COMPUTED_VALUE"""),5213.23)</f>
        <v/>
      </c>
    </row>
    <row r="7734">
      <c r="J7734">
        <f>IFERROR(__xludf.DUMMYFUNCTION("""COMPUTED_VALUE"""),"West Bank; Jerusalem, Israel; Amman, Jordan")</f>
        <v/>
      </c>
      <c r="K7734">
        <f>IFERROR(__xludf.DUMMYFUNCTION("""COMPUTED_VALUE"""),5212.64)</f>
        <v/>
      </c>
    </row>
    <row r="7735">
      <c r="J7735">
        <f>IFERROR(__xludf.DUMMYFUNCTION("""COMPUTED_VALUE"""),"Iles-de-la-Madeleine and Gaspé, Quebec and Moncton, New Brunswick")</f>
        <v/>
      </c>
      <c r="K7735">
        <f>IFERROR(__xludf.DUMMYFUNCTION("""COMPUTED_VALUE"""),5212.49)</f>
        <v/>
      </c>
    </row>
    <row r="7736">
      <c r="J7736">
        <f>IFERROR(__xludf.DUMMYFUNCTION("""COMPUTED_VALUE"""),"Washington, USA; Vancouver, British Columbia")</f>
        <v/>
      </c>
      <c r="K7736">
        <f>IFERROR(__xludf.DUMMYFUNCTION("""COMPUTED_VALUE"""),5212.36)</f>
        <v/>
      </c>
    </row>
    <row r="7737">
      <c r="J7737">
        <f>IFERROR(__xludf.DUMMYFUNCTION("""COMPUTED_VALUE"""),"Vancouver, BC; Calgary, AB &amp; Winnipeg, MB")</f>
        <v/>
      </c>
      <c r="K7737">
        <f>IFERROR(__xludf.DUMMYFUNCTION("""COMPUTED_VALUE"""),5212.04)</f>
        <v/>
      </c>
    </row>
    <row r="7738">
      <c r="J7738">
        <f>IFERROR(__xludf.DUMMYFUNCTION("""COMPUTED_VALUE"""),"Winnipeg, Manitoba
Edmonton, Alberta
Calgary, Alberta
Vancouver, British Columbia")</f>
        <v/>
      </c>
      <c r="K7738">
        <f>IFERROR(__xludf.DUMMYFUNCTION("""COMPUTED_VALUE"""),5208.1)</f>
        <v/>
      </c>
    </row>
    <row r="7739">
      <c r="J7739">
        <f>IFERROR(__xludf.DUMMYFUNCTION("""COMPUTED_VALUE"""),"San Fransisco, United States")</f>
        <v/>
      </c>
      <c r="K7739">
        <f>IFERROR(__xludf.DUMMYFUNCTION("""COMPUTED_VALUE"""),5207.69)</f>
        <v/>
      </c>
    </row>
    <row r="7740">
      <c r="J7740">
        <f>IFERROR(__xludf.DUMMYFUNCTION("""COMPUTED_VALUE"""),"Ottawa, ON - West Point, NY USA / West Point, NY USA - Ottawa, ON")</f>
        <v/>
      </c>
      <c r="K7740">
        <f>IFERROR(__xludf.DUMMYFUNCTION("""COMPUTED_VALUE"""),5205.73)</f>
        <v/>
      </c>
    </row>
    <row r="7741">
      <c r="J7741">
        <f>IFERROR(__xludf.DUMMYFUNCTION("""COMPUTED_VALUE"""),"Halifax, Nova Scotia Canada, Charlottetown, Prince Edward Island, Canada")</f>
        <v/>
      </c>
      <c r="K7741">
        <f>IFERROR(__xludf.DUMMYFUNCTION("""COMPUTED_VALUE"""),5204.39)</f>
        <v/>
      </c>
    </row>
    <row r="7742">
      <c r="J7742">
        <f>IFERROR(__xludf.DUMMYFUNCTION("""COMPUTED_VALUE"""),"Vancouver, British Columbia &amp; Calgary, Alberta")</f>
        <v/>
      </c>
      <c r="K7742">
        <f>IFERROR(__xludf.DUMMYFUNCTION("""COMPUTED_VALUE"""),5203.8)</f>
        <v/>
      </c>
    </row>
    <row r="7743">
      <c r="J7743">
        <f>IFERROR(__xludf.DUMMYFUNCTION("""COMPUTED_VALUE"""),"Edmonton, Alberta, Canada - Inuvik, Northwest Territories, Canada")</f>
        <v/>
      </c>
      <c r="K7743">
        <f>IFERROR(__xludf.DUMMYFUNCTION("""COMPUTED_VALUE"""),5203.6)</f>
        <v/>
      </c>
    </row>
    <row r="7744">
      <c r="J7744">
        <f>IFERROR(__xludf.DUMMYFUNCTION("""COMPUTED_VALUE"""),"Heathrow, London (United Kingdom)")</f>
        <v/>
      </c>
      <c r="K7744">
        <f>IFERROR(__xludf.DUMMYFUNCTION("""COMPUTED_VALUE"""),5202.76)</f>
        <v/>
      </c>
    </row>
    <row r="7745">
      <c r="J7745">
        <f>IFERROR(__xludf.DUMMYFUNCTION("""COMPUTED_VALUE"""),"Montreal, Quebec / Toronto, Ontario / Calgary, Alberta, Canada")</f>
        <v/>
      </c>
      <c r="K7745">
        <f>IFERROR(__xludf.DUMMYFUNCTION("""COMPUTED_VALUE"""),5202.7)</f>
        <v/>
      </c>
    </row>
    <row r="7746">
      <c r="J7746">
        <f>IFERROR(__xludf.DUMMYFUNCTION("""COMPUTED_VALUE"""),"Victoria, BC Prince George, BC Kelowna, BC")</f>
        <v/>
      </c>
      <c r="K7746">
        <f>IFERROR(__xludf.DUMMYFUNCTION("""COMPUTED_VALUE"""),5199.69)</f>
        <v/>
      </c>
    </row>
    <row r="7747">
      <c r="J7747">
        <f>IFERROR(__xludf.DUMMYFUNCTION("""COMPUTED_VALUE"""),"Hambourg, Allemagne, Europe")</f>
        <v/>
      </c>
      <c r="K7747">
        <f>IFERROR(__xludf.DUMMYFUNCTION("""COMPUTED_VALUE"""),5199.17)</f>
        <v/>
      </c>
    </row>
    <row r="7748">
      <c r="J7748">
        <f>IFERROR(__xludf.DUMMYFUNCTION("""COMPUTED_VALUE"""),"Alberta - Manitoba")</f>
        <v/>
      </c>
      <c r="K7748">
        <f>IFERROR(__xludf.DUMMYFUNCTION("""COMPUTED_VALUE"""),5199.14)</f>
        <v/>
      </c>
    </row>
    <row r="7749">
      <c r="J7749">
        <f>IFERROR(__xludf.DUMMYFUNCTION("""COMPUTED_VALUE"""),"Genève, Suisse")</f>
        <v/>
      </c>
      <c r="K7749">
        <f>IFERROR(__xludf.DUMMYFUNCTION("""COMPUTED_VALUE"""),5198.34)</f>
        <v/>
      </c>
    </row>
    <row r="7750">
      <c r="J7750">
        <f>IFERROR(__xludf.DUMMYFUNCTION("""COMPUTED_VALUE"""),"Maryland")</f>
        <v/>
      </c>
      <c r="K7750">
        <f>IFERROR(__xludf.DUMMYFUNCTION("""COMPUTED_VALUE"""),5197.9)</f>
        <v/>
      </c>
    </row>
    <row r="7751">
      <c r="J7751">
        <f>IFERROR(__xludf.DUMMYFUNCTION("""COMPUTED_VALUE"""),"Fredericton, New Brunswick / Halifax, Nova Scotia, Canada")</f>
        <v/>
      </c>
      <c r="K7751">
        <f>IFERROR(__xludf.DUMMYFUNCTION("""COMPUTED_VALUE"""),5197.88)</f>
        <v/>
      </c>
    </row>
    <row r="7752">
      <c r="J7752">
        <f>IFERROR(__xludf.DUMMYFUNCTION("""COMPUTED_VALUE"""),"Brantford, Ontario, Canada")</f>
        <v/>
      </c>
      <c r="K7752">
        <f>IFERROR(__xludf.DUMMYFUNCTION("""COMPUTED_VALUE"""),5197.83)</f>
        <v/>
      </c>
    </row>
    <row r="7753">
      <c r="J7753">
        <f>IFERROR(__xludf.DUMMYFUNCTION("""COMPUTED_VALUE"""),"Iqaluit,Nunavut,Canada")</f>
        <v/>
      </c>
      <c r="K7753">
        <f>IFERROR(__xludf.DUMMYFUNCTION("""COMPUTED_VALUE"""),5193.43)</f>
        <v/>
      </c>
    </row>
    <row r="7754">
      <c r="J7754">
        <f>IFERROR(__xludf.DUMMYFUNCTION("""COMPUTED_VALUE"""),"St. Johns, Newfoundland")</f>
        <v/>
      </c>
      <c r="K7754">
        <f>IFERROR(__xludf.DUMMYFUNCTION("""COMPUTED_VALUE"""),5191.01)</f>
        <v/>
      </c>
    </row>
    <row r="7755">
      <c r="J7755">
        <f>IFERROR(__xludf.DUMMYFUNCTION("""COMPUTED_VALUE"""),"Montreal, QC / Quebec, QC")</f>
        <v/>
      </c>
      <c r="K7755">
        <f>IFERROR(__xludf.DUMMYFUNCTION("""COMPUTED_VALUE"""),5189.58)</f>
        <v/>
      </c>
    </row>
    <row r="7756">
      <c r="J7756">
        <f>IFERROR(__xludf.DUMMYFUNCTION("""COMPUTED_VALUE"""),"Summerland, British Columbia")</f>
        <v/>
      </c>
      <c r="K7756">
        <f>IFERROR(__xludf.DUMMYFUNCTION("""COMPUTED_VALUE"""),5189.11)</f>
        <v/>
      </c>
    </row>
    <row r="7757">
      <c r="J7757">
        <f>IFERROR(__xludf.DUMMYFUNCTION("""COMPUTED_VALUE"""),"Vladivostok, Russia and Seoul, South Korea")</f>
        <v/>
      </c>
      <c r="K7757">
        <f>IFERROR(__xludf.DUMMYFUNCTION("""COMPUTED_VALUE"""),5187.2)</f>
        <v/>
      </c>
    </row>
    <row r="7758">
      <c r="J7758">
        <f>IFERROR(__xludf.DUMMYFUNCTION("""COMPUTED_VALUE"""),"Lima, Peru; Cajamarca, Peru")</f>
        <v/>
      </c>
      <c r="K7758">
        <f>IFERROR(__xludf.DUMMYFUNCTION("""COMPUTED_VALUE"""),5185.68)</f>
        <v/>
      </c>
    </row>
    <row r="7759">
      <c r="J7759">
        <f>IFERROR(__xludf.DUMMYFUNCTION("""COMPUTED_VALUE"""),"Kelowna, British Columbia, Canada; Vancouver, British Columbia, Canada; Gatineau, Quebec, Canada; Castlegar, British Columbia, Canada")</f>
        <v/>
      </c>
      <c r="K7759">
        <f>IFERROR(__xludf.DUMMYFUNCTION("""COMPUTED_VALUE"""),5185.43)</f>
        <v/>
      </c>
    </row>
    <row r="7760">
      <c r="J7760">
        <f>IFERROR(__xludf.DUMMYFUNCTION("""COMPUTED_VALUE"""),"Petaluma, California")</f>
        <v/>
      </c>
      <c r="K7760">
        <f>IFERROR(__xludf.DUMMYFUNCTION("""COMPUTED_VALUE"""),5185.37)</f>
        <v/>
      </c>
    </row>
    <row r="7761">
      <c r="J7761">
        <f>IFERROR(__xludf.DUMMYFUNCTION("""COMPUTED_VALUE"""),"Boston MA")</f>
        <v/>
      </c>
      <c r="K7761">
        <f>IFERROR(__xludf.DUMMYFUNCTION("""COMPUTED_VALUE"""),5184.83)</f>
        <v/>
      </c>
    </row>
    <row r="7762">
      <c r="J7762">
        <f>IFERROR(__xludf.DUMMYFUNCTION("""COMPUTED_VALUE"""),"Vancouver, BC / Calgary, AB /  Toronto, ON / Halifax, NS / Montreal, QC")</f>
        <v/>
      </c>
      <c r="K7762">
        <f>IFERROR(__xludf.DUMMYFUNCTION("""COMPUTED_VALUE"""),5181.31)</f>
        <v/>
      </c>
    </row>
    <row r="7763">
      <c r="J7763">
        <f>IFERROR(__xludf.DUMMYFUNCTION("""COMPUTED_VALUE"""),"London, Greater London, United Kingdom; Frankfurt, Germany")</f>
        <v/>
      </c>
      <c r="K7763">
        <f>IFERROR(__xludf.DUMMYFUNCTION("""COMPUTED_VALUE"""),5181.18)</f>
        <v/>
      </c>
    </row>
    <row r="7764">
      <c r="J7764">
        <f>IFERROR(__xludf.DUMMYFUNCTION("""COMPUTED_VALUE"""),"Primary Destination: Vancouver, British Columbia, Canada / Secondary Destination: Victoria, British Columbia, Canada")</f>
        <v/>
      </c>
      <c r="K7764">
        <f>IFERROR(__xludf.DUMMYFUNCTION("""COMPUTED_VALUE"""),5180.82)</f>
        <v/>
      </c>
    </row>
    <row r="7765">
      <c r="J7765">
        <f>IFERROR(__xludf.DUMMYFUNCTION("""COMPUTED_VALUE"""),"Toronto, ON, Calgary, Edmonton, AB, Vancouver, Kelowna, BC, Montreal, Quebec, QC")</f>
        <v/>
      </c>
      <c r="K7765">
        <f>IFERROR(__xludf.DUMMYFUNCTION("""COMPUTED_VALUE"""),5179.65)</f>
        <v/>
      </c>
    </row>
    <row r="7766">
      <c r="J7766">
        <f>IFERROR(__xludf.DUMMYFUNCTION("""COMPUTED_VALUE"""),"Halifax/Fredericton, NB")</f>
        <v/>
      </c>
      <c r="K7766">
        <f>IFERROR(__xludf.DUMMYFUNCTION("""COMPUTED_VALUE"""),5178.91)</f>
        <v/>
      </c>
    </row>
    <row r="7767">
      <c r="J7767">
        <f>IFERROR(__xludf.DUMMYFUNCTION("""COMPUTED_VALUE"""),"Winnipeg, MB - Calgary, AB - Kelowna, BC - Vancouver, BC")</f>
        <v/>
      </c>
      <c r="K7767">
        <f>IFERROR(__xludf.DUMMYFUNCTION("""COMPUTED_VALUE"""),5176.39)</f>
        <v/>
      </c>
    </row>
    <row r="7768">
      <c r="J7768">
        <f>IFERROR(__xludf.DUMMYFUNCTION("""COMPUTED_VALUE"""),"Baie-St-Paul; Québec, Quebec; Whistler; Vancouver, British Columbia, Canada")</f>
        <v/>
      </c>
      <c r="K7768">
        <f>IFERROR(__xludf.DUMMYFUNCTION("""COMPUTED_VALUE"""),5175.69)</f>
        <v/>
      </c>
    </row>
    <row r="7769">
      <c r="J7769">
        <f>IFERROR(__xludf.DUMMYFUNCTION("""COMPUTED_VALUE"""),"Tianjin, CN / Beijing, CN")</f>
        <v/>
      </c>
      <c r="K7769">
        <f>IFERROR(__xludf.DUMMYFUNCTION("""COMPUTED_VALUE"""),5174.86)</f>
        <v/>
      </c>
    </row>
    <row r="7770">
      <c r="J7770">
        <f>IFERROR(__xludf.DUMMYFUNCTION("""COMPUTED_VALUE"""),"Orlando, Florida, United States; Calgary, Alberta, Canada")</f>
        <v/>
      </c>
      <c r="K7770">
        <f>IFERROR(__xludf.DUMMYFUNCTION("""COMPUTED_VALUE"""),5174.71)</f>
        <v/>
      </c>
    </row>
    <row r="7771">
      <c r="J7771">
        <f>IFERROR(__xludf.DUMMYFUNCTION("""COMPUTED_VALUE"""),"Charlottetown Prince Edwards Island, Canada")</f>
        <v/>
      </c>
      <c r="K7771">
        <f>IFERROR(__xludf.DUMMYFUNCTION("""COMPUTED_VALUE"""),5174.18)</f>
        <v/>
      </c>
    </row>
    <row r="7772">
      <c r="J7772">
        <f>IFERROR(__xludf.DUMMYFUNCTION("""COMPUTED_VALUE"""),"Central America, Costa Rica, Nicaragua")</f>
        <v/>
      </c>
      <c r="K7772">
        <f>IFERROR(__xludf.DUMMYFUNCTION("""COMPUTED_VALUE"""),5172.28)</f>
        <v/>
      </c>
    </row>
    <row r="7773">
      <c r="J7773">
        <f>IFERROR(__xludf.DUMMYFUNCTION("""COMPUTED_VALUE"""),"Toronto / Sudbury, Ontario, Canada")</f>
        <v/>
      </c>
      <c r="K7773">
        <f>IFERROR(__xludf.DUMMYFUNCTION("""COMPUTED_VALUE"""),5172.15)</f>
        <v/>
      </c>
    </row>
    <row r="7774">
      <c r="J7774">
        <f>IFERROR(__xludf.DUMMYFUNCTION("""COMPUTED_VALUE"""),"Québec / Pabok / Gaspé")</f>
        <v/>
      </c>
      <c r="K7774">
        <f>IFERROR(__xludf.DUMMYFUNCTION("""COMPUTED_VALUE"""),5172.06)</f>
        <v/>
      </c>
    </row>
    <row r="7775">
      <c r="J7775">
        <f>IFERROR(__xludf.DUMMYFUNCTION("""COMPUTED_VALUE"""),"Toronto, Kitchener, Waterloo, Ottawa")</f>
        <v/>
      </c>
      <c r="K7775">
        <f>IFERROR(__xludf.DUMMYFUNCTION("""COMPUTED_VALUE"""),5170.52)</f>
        <v/>
      </c>
    </row>
    <row r="7776">
      <c r="J7776">
        <f>IFERROR(__xludf.DUMMYFUNCTION("""COMPUTED_VALUE"""),"Vancouver, BC - Winnipeg, MB")</f>
        <v/>
      </c>
      <c r="K7776">
        <f>IFERROR(__xludf.DUMMYFUNCTION("""COMPUTED_VALUE"""),5170.42)</f>
        <v/>
      </c>
    </row>
    <row r="7777">
      <c r="J7777">
        <f>IFERROR(__xludf.DUMMYFUNCTION("""COMPUTED_VALUE"""),"Toronto, Ontario Vancouver, British Columbia")</f>
        <v/>
      </c>
      <c r="K7777">
        <f>IFERROR(__xludf.DUMMYFUNCTION("""COMPUTED_VALUE"""),5169.42)</f>
        <v/>
      </c>
    </row>
    <row r="7778">
      <c r="J7778">
        <f>IFERROR(__xludf.DUMMYFUNCTION("""COMPUTED_VALUE"""),"Mississauga, Ontario; Manitoba, Winnipeg; Vancouver, British Columbia;")</f>
        <v/>
      </c>
      <c r="K7778">
        <f>IFERROR(__xludf.DUMMYFUNCTION("""COMPUTED_VALUE"""),5167.24)</f>
        <v/>
      </c>
    </row>
    <row r="7779">
      <c r="J7779">
        <f>IFERROR(__xludf.DUMMYFUNCTION("""COMPUTED_VALUE"""),"Winnipeg, Manitoba, Canada; Regina, Saskatchewan, Canada; La Loche, Saskatchewan, Canada; Saskatoon, Saskatchewan, Canada; Edmonton, Alberta, Canada")</f>
        <v/>
      </c>
      <c r="K7779">
        <f>IFERROR(__xludf.DUMMYFUNCTION("""COMPUTED_VALUE"""),5166.54)</f>
        <v/>
      </c>
    </row>
    <row r="7780">
      <c r="J7780">
        <f>IFERROR(__xludf.DUMMYFUNCTION("""COMPUTED_VALUE"""),"Cartagena, Colombia and Santiago, Chile")</f>
        <v/>
      </c>
      <c r="K7780">
        <f>IFERROR(__xludf.DUMMYFUNCTION("""COMPUTED_VALUE"""),5165)</f>
        <v/>
      </c>
    </row>
    <row r="7781">
      <c r="J7781">
        <f>IFERROR(__xludf.DUMMYFUNCTION("""COMPUTED_VALUE"""),"Sarnia, Ontario, Canada; Vancouver, British Columbia, Canada; Ottawa, Ontario, Canada; Montreal, Quebec, Canada")</f>
        <v/>
      </c>
      <c r="K7781">
        <f>IFERROR(__xludf.DUMMYFUNCTION("""COMPUTED_VALUE"""),5164.14)</f>
        <v/>
      </c>
    </row>
    <row r="7782">
      <c r="J7782">
        <f>IFERROR(__xludf.DUMMYFUNCTION("""COMPUTED_VALUE"""),"Edmonton, Alberta; Regina, Saskatchewan; Burnaby, British Columbia")</f>
        <v/>
      </c>
      <c r="K7782">
        <f>IFERROR(__xludf.DUMMYFUNCTION("""COMPUTED_VALUE"""),5162.8)</f>
        <v/>
      </c>
    </row>
    <row r="7783">
      <c r="J7783">
        <f>IFERROR(__xludf.DUMMYFUNCTION("""COMPUTED_VALUE"""),"Munich, Germany; Toronto, Ontario, Canada")</f>
        <v/>
      </c>
      <c r="K7783">
        <f>IFERROR(__xludf.DUMMYFUNCTION("""COMPUTED_VALUE"""),5162.3)</f>
        <v/>
      </c>
    </row>
    <row r="7784">
      <c r="J7784">
        <f>IFERROR(__xludf.DUMMYFUNCTION("""COMPUTED_VALUE"""),"Fredericton, New Brunswick, Canada; Saint John, New Brunswick, Canada")</f>
        <v/>
      </c>
      <c r="K7784">
        <f>IFERROR(__xludf.DUMMYFUNCTION("""COMPUTED_VALUE"""),5159.66)</f>
        <v/>
      </c>
    </row>
    <row r="7785">
      <c r="J7785">
        <f>IFERROR(__xludf.DUMMYFUNCTION("""COMPUTED_VALUE"""),"Iqaluit/ Yellowknife/ Richmond, Northwest Territories (Canada)")</f>
        <v/>
      </c>
      <c r="K7785">
        <f>IFERROR(__xludf.DUMMYFUNCTION("""COMPUTED_VALUE"""),5157.4)</f>
        <v/>
      </c>
    </row>
    <row r="7786">
      <c r="J7786">
        <f>IFERROR(__xludf.DUMMYFUNCTION("""COMPUTED_VALUE"""),"Sooke, BC")</f>
        <v/>
      </c>
      <c r="K7786">
        <f>IFERROR(__xludf.DUMMYFUNCTION("""COMPUTED_VALUE"""),5157.04999999999)</f>
        <v/>
      </c>
    </row>
    <row r="7787">
      <c r="J7787">
        <f>IFERROR(__xludf.DUMMYFUNCTION("""COMPUTED_VALUE"""),"Halifax, Nova Scotia; Saskatoon, Saskatchewan")</f>
        <v/>
      </c>
      <c r="K7787">
        <f>IFERROR(__xludf.DUMMYFUNCTION("""COMPUTED_VALUE"""),5155.9)</f>
        <v/>
      </c>
    </row>
    <row r="7788">
      <c r="J7788">
        <f>IFERROR(__xludf.DUMMYFUNCTION("""COMPUTED_VALUE"""),"Quebec (Quebec) Canada
Halifax (Nova Scotia) Canada
Fredericton (New Brunswick) Canada")</f>
        <v/>
      </c>
      <c r="K7788">
        <f>IFERROR(__xludf.DUMMYFUNCTION("""COMPUTED_VALUE"""),5155.84)</f>
        <v/>
      </c>
    </row>
    <row r="7789">
      <c r="J7789">
        <f>IFERROR(__xludf.DUMMYFUNCTION("""COMPUTED_VALUE"""),"Vancouver, British Columbia / Victoria, British Columbia / Whitehorse, Yukon, Canada")</f>
        <v/>
      </c>
      <c r="K7789">
        <f>IFERROR(__xludf.DUMMYFUNCTION("""COMPUTED_VALUE"""),5155.62)</f>
        <v/>
      </c>
    </row>
    <row r="7790">
      <c r="J7790">
        <f>IFERROR(__xludf.DUMMYFUNCTION("""COMPUTED_VALUE"""),"Winnipeg, Manitoba; Kitchener, Ontario")</f>
        <v/>
      </c>
      <c r="K7790">
        <f>IFERROR(__xludf.DUMMYFUNCTION("""COMPUTED_VALUE"""),5155.33)</f>
        <v/>
      </c>
    </row>
    <row r="7791">
      <c r="J7791">
        <f>IFERROR(__xludf.DUMMYFUNCTION("""COMPUTED_VALUE"""),"Kincardine, Ontario, Canada")</f>
        <v/>
      </c>
      <c r="K7791">
        <f>IFERROR(__xludf.DUMMYFUNCTION("""COMPUTED_VALUE"""),5154.13)</f>
        <v/>
      </c>
    </row>
    <row r="7792">
      <c r="J7792">
        <f>IFERROR(__xludf.DUMMYFUNCTION("""COMPUTED_VALUE"""),"Charlottetown, Prince Edward Island, Canada / Moncton, New Brunswick, Canada")</f>
        <v/>
      </c>
      <c r="K7792">
        <f>IFERROR(__xludf.DUMMYFUNCTION("""COMPUTED_VALUE"""),5153.1)</f>
        <v/>
      </c>
    </row>
    <row r="7793">
      <c r="J7793">
        <f>IFERROR(__xludf.DUMMYFUNCTION("""COMPUTED_VALUE"""),"Halifax, Nova Scotia, Canada/ Whitehorse, Yukon, Canada/ Vancouver, British Colombia, Canada")</f>
        <v/>
      </c>
      <c r="K7793">
        <f>IFERROR(__xludf.DUMMYFUNCTION("""COMPUTED_VALUE"""),5153.05)</f>
        <v/>
      </c>
    </row>
    <row r="7794">
      <c r="J7794">
        <f>IFERROR(__xludf.DUMMYFUNCTION("""COMPUTED_VALUE"""),"Saint John, New Brunswick, Canada; Halifax, Nova Scotia, Canada")</f>
        <v/>
      </c>
      <c r="K7794">
        <f>IFERROR(__xludf.DUMMYFUNCTION("""COMPUTED_VALUE"""),5150.65)</f>
        <v/>
      </c>
    </row>
    <row r="7795">
      <c r="J7795">
        <f>IFERROR(__xludf.DUMMYFUNCTION("""COMPUTED_VALUE"""),"Deer Lake, Newfoundland and Labrador, Canada; Victoria, British Columbia, Canada; Yellowknife, NorthWest territories, Canada; Calgary, Alberta, Canada; Winnipeg, Manitoba, Canada")</f>
        <v/>
      </c>
      <c r="K7795">
        <f>IFERROR(__xludf.DUMMYFUNCTION("""COMPUTED_VALUE"""),5150.51)</f>
        <v/>
      </c>
    </row>
    <row r="7796">
      <c r="J7796">
        <f>IFERROR(__xludf.DUMMYFUNCTION("""COMPUTED_VALUE"""),"Victoria, Vancouver, British-Columbia (Canada)")</f>
        <v/>
      </c>
      <c r="K7796">
        <f>IFERROR(__xludf.DUMMYFUNCTION("""COMPUTED_VALUE"""),5150.15)</f>
        <v/>
      </c>
    </row>
    <row r="7797">
      <c r="J7797">
        <f>IFERROR(__xludf.DUMMYFUNCTION("""COMPUTED_VALUE"""),"Halifax and Banff")</f>
        <v/>
      </c>
      <c r="K7797">
        <f>IFERROR(__xludf.DUMMYFUNCTION("""COMPUTED_VALUE"""),5149.59)</f>
        <v/>
      </c>
    </row>
    <row r="7798">
      <c r="J7798">
        <f>IFERROR(__xludf.DUMMYFUNCTION("""COMPUTED_VALUE"""),"San Fransisco, U.S.A - Mexico City, Mexico")</f>
        <v/>
      </c>
      <c r="K7798">
        <f>IFERROR(__xludf.DUMMYFUNCTION("""COMPUTED_VALUE"""),5147.63)</f>
        <v/>
      </c>
    </row>
    <row r="7799">
      <c r="J7799">
        <f>IFERROR(__xludf.DUMMYFUNCTION("""COMPUTED_VALUE"""),"Halifax, NS; London, UK; Wales, UK")</f>
        <v/>
      </c>
      <c r="K7799">
        <f>IFERROR(__xludf.DUMMYFUNCTION("""COMPUTED_VALUE"""),5146.43)</f>
        <v/>
      </c>
    </row>
    <row r="7800">
      <c r="J7800">
        <f>IFERROR(__xludf.DUMMYFUNCTION("""COMPUTED_VALUE"""),"Shanghai, People's Republic of China")</f>
        <v/>
      </c>
      <c r="K7800">
        <f>IFERROR(__xludf.DUMMYFUNCTION("""COMPUTED_VALUE"""),5145.7)</f>
        <v/>
      </c>
    </row>
    <row r="7801">
      <c r="J7801">
        <f>IFERROR(__xludf.DUMMYFUNCTION("""COMPUTED_VALUE"""),"Havana, Cuba 
New York, New York")</f>
        <v/>
      </c>
      <c r="K7801">
        <f>IFERROR(__xludf.DUMMYFUNCTION("""COMPUTED_VALUE"""),5144.33)</f>
        <v/>
      </c>
    </row>
    <row r="7802">
      <c r="J7802">
        <f>IFERROR(__xludf.DUMMYFUNCTION("""COMPUTED_VALUE"""),"Chatham, Ontario")</f>
        <v/>
      </c>
      <c r="K7802">
        <f>IFERROR(__xludf.DUMMYFUNCTION("""COMPUTED_VALUE"""),5143.94)</f>
        <v/>
      </c>
    </row>
    <row r="7803">
      <c r="J7803">
        <f>IFERROR(__xludf.DUMMYFUNCTION("""COMPUTED_VALUE"""),"St. Kitts, Caribbean")</f>
        <v/>
      </c>
      <c r="K7803">
        <f>IFERROR(__xludf.DUMMYFUNCTION("""COMPUTED_VALUE"""),5143.34)</f>
        <v/>
      </c>
    </row>
    <row r="7804">
      <c r="J7804">
        <f>IFERROR(__xludf.DUMMYFUNCTION("""COMPUTED_VALUE"""),"Colorado Spring, US")</f>
        <v/>
      </c>
      <c r="K7804">
        <f>IFERROR(__xludf.DUMMYFUNCTION("""COMPUTED_VALUE"""),5141.83)</f>
        <v/>
      </c>
    </row>
    <row r="7805">
      <c r="J7805">
        <f>IFERROR(__xludf.DUMMYFUNCTION("""COMPUTED_VALUE"""),"San Francisco (California) United States of America")</f>
        <v/>
      </c>
      <c r="K7805">
        <f>IFERROR(__xludf.DUMMYFUNCTION("""COMPUTED_VALUE"""),5141.54)</f>
        <v/>
      </c>
    </row>
    <row r="7806">
      <c r="J7806">
        <f>IFERROR(__xludf.DUMMYFUNCTION("""COMPUTED_VALUE"""),"Ottawa, Ontario and Sydney, Nova Scotia")</f>
        <v/>
      </c>
      <c r="K7806">
        <f>IFERROR(__xludf.DUMMYFUNCTION("""COMPUTED_VALUE"""),5141.09)</f>
        <v/>
      </c>
    </row>
    <row r="7807">
      <c r="J7807">
        <f>IFERROR(__xludf.DUMMYFUNCTION("""COMPUTED_VALUE"""),"Edmonton, Alberta, Canada; Grande Prairie, Alberta, Canada")</f>
        <v/>
      </c>
      <c r="K7807">
        <f>IFERROR(__xludf.DUMMYFUNCTION("""COMPUTED_VALUE"""),5140.57)</f>
        <v/>
      </c>
    </row>
    <row r="7808">
      <c r="J7808">
        <f>IFERROR(__xludf.DUMMYFUNCTION("""COMPUTED_VALUE"""),"Calgary, Alberta, Canada; Lethbridge, Alberta, Canada; Saskatoon, Saskatchewan, Canada")</f>
        <v/>
      </c>
      <c r="K7808">
        <f>IFERROR(__xludf.DUMMYFUNCTION("""COMPUTED_VALUE"""),5139.86)</f>
        <v/>
      </c>
    </row>
    <row r="7809">
      <c r="J7809">
        <f>IFERROR(__xludf.DUMMYFUNCTION("""COMPUTED_VALUE"""),"INUVIK, YELLOWKNIFE
 KANATA, OTTAWA")</f>
        <v/>
      </c>
      <c r="K7809">
        <f>IFERROR(__xludf.DUMMYFUNCTION("""COMPUTED_VALUE"""),5138.51)</f>
        <v/>
      </c>
    </row>
    <row r="7810">
      <c r="J7810">
        <f>IFERROR(__xludf.DUMMYFUNCTION("""COMPUTED_VALUE"""),"OTTAWA, PARIS, OTTAWA")</f>
        <v/>
      </c>
      <c r="K7810">
        <f>IFERROR(__xludf.DUMMYFUNCTION("""COMPUTED_VALUE"""),5137.95)</f>
        <v/>
      </c>
    </row>
    <row r="7811">
      <c r="J7811">
        <f>IFERROR(__xludf.DUMMYFUNCTION("""COMPUTED_VALUE"""),"Vancouver, Bella Bella, Port Harbour, British-Columbia")</f>
        <v/>
      </c>
      <c r="K7811">
        <f>IFERROR(__xludf.DUMMYFUNCTION("""COMPUTED_VALUE"""),5137.01)</f>
        <v/>
      </c>
    </row>
    <row r="7812">
      <c r="J7812">
        <f>IFERROR(__xludf.DUMMYFUNCTION("""COMPUTED_VALUE"""),"Panama City, Panama;
Bogota, Colombia")</f>
        <v/>
      </c>
      <c r="K7812">
        <f>IFERROR(__xludf.DUMMYFUNCTION("""COMPUTED_VALUE"""),5136.44)</f>
        <v/>
      </c>
    </row>
    <row r="7813">
      <c r="J7813">
        <f>IFERROR(__xludf.DUMMYFUNCTION("""COMPUTED_VALUE"""),"Castries, St. Lucia")</f>
        <v/>
      </c>
      <c r="K7813">
        <f>IFERROR(__xludf.DUMMYFUNCTION("""COMPUTED_VALUE"""),5135.64)</f>
        <v/>
      </c>
    </row>
    <row r="7814">
      <c r="J7814">
        <f>IFERROR(__xludf.DUMMYFUNCTION("""COMPUTED_VALUE"""),"Saskatoon, Saskatchewan, Canada; Regina, Saskatchewan, Canada; Toronto, Ontario, Canada")</f>
        <v/>
      </c>
      <c r="K7814">
        <f>IFERROR(__xludf.DUMMYFUNCTION("""COMPUTED_VALUE"""),5135.16)</f>
        <v/>
      </c>
    </row>
    <row r="7815">
      <c r="J7815">
        <f>IFERROR(__xludf.DUMMYFUNCTION("""COMPUTED_VALUE"""),"Bonaventure, Quebec, Canada; Campbellton, New Brunswick, Canada; Miramichi, New Brunswick, Canada; Moncton, New Brunswick, Canada; Fredericton, New Brunswick, Canada; Summerside, Prince Edward Island, Canada; Charlottetown, Prince Edward Island, Canada")</f>
        <v/>
      </c>
      <c r="K7815">
        <f>IFERROR(__xludf.DUMMYFUNCTION("""COMPUTED_VALUE"""),5134.96)</f>
        <v/>
      </c>
    </row>
    <row r="7816">
      <c r="J7816">
        <f>IFERROR(__xludf.DUMMYFUNCTION("""COMPUTED_VALUE"""),"Toronto, Canada
Brussels, Belgium")</f>
        <v/>
      </c>
      <c r="K7816">
        <f>IFERROR(__xludf.DUMMYFUNCTION("""COMPUTED_VALUE"""),5134.9)</f>
        <v/>
      </c>
    </row>
    <row r="7817">
      <c r="J7817">
        <f>IFERROR(__xludf.DUMMYFUNCTION("""COMPUTED_VALUE"""),"Paris, France - Brussels Belgium - London, UK")</f>
        <v/>
      </c>
      <c r="K7817">
        <f>IFERROR(__xludf.DUMMYFUNCTION("""COMPUTED_VALUE"""),5130.21)</f>
        <v/>
      </c>
    </row>
    <row r="7818">
      <c r="J7818">
        <f>IFERROR(__xludf.DUMMYFUNCTION("""COMPUTED_VALUE"""),"Winnipeg, Manitoba, Canada; Edmonton, Alberta, Canada")</f>
        <v/>
      </c>
      <c r="K7818">
        <f>IFERROR(__xludf.DUMMYFUNCTION("""COMPUTED_VALUE"""),5129.38)</f>
        <v/>
      </c>
    </row>
    <row r="7819">
      <c r="J7819">
        <f>IFERROR(__xludf.DUMMYFUNCTION("""COMPUTED_VALUE"""),"St. John, Newfoundland, Canada")</f>
        <v/>
      </c>
      <c r="K7819">
        <f>IFERROR(__xludf.DUMMYFUNCTION("""COMPUTED_VALUE"""),5128.84)</f>
        <v/>
      </c>
    </row>
    <row r="7820">
      <c r="J7820">
        <f>IFERROR(__xludf.DUMMYFUNCTION("""COMPUTED_VALUE"""),"Calgary and Edmonton, Alberta, Camada")</f>
        <v/>
      </c>
      <c r="K7820">
        <f>IFERROR(__xludf.DUMMYFUNCTION("""COMPUTED_VALUE"""),5128.46)</f>
        <v/>
      </c>
    </row>
    <row r="7821">
      <c r="J7821">
        <f>IFERROR(__xludf.DUMMYFUNCTION("""COMPUTED_VALUE"""),"Peterson AFB, Colorado Springs")</f>
        <v/>
      </c>
      <c r="K7821">
        <f>IFERROR(__xludf.DUMMYFUNCTION("""COMPUTED_VALUE"""),5127.79)</f>
        <v/>
      </c>
    </row>
    <row r="7822">
      <c r="J7822">
        <f>IFERROR(__xludf.DUMMYFUNCTION("""COMPUTED_VALUE"""),"Shawinigan, Quebec, Canada / Montreal, Quebec, Canada")</f>
        <v/>
      </c>
      <c r="K7822">
        <f>IFERROR(__xludf.DUMMYFUNCTION("""COMPUTED_VALUE"""),5127.50999999999)</f>
        <v/>
      </c>
    </row>
    <row r="7823">
      <c r="J7823">
        <f>IFERROR(__xludf.DUMMYFUNCTION("""COMPUTED_VALUE"""),"Kitchener")</f>
        <v/>
      </c>
      <c r="K7823">
        <f>IFERROR(__xludf.DUMMYFUNCTION("""COMPUTED_VALUE"""),5126.85)</f>
        <v/>
      </c>
    </row>
    <row r="7824">
      <c r="J7824">
        <f>IFERROR(__xludf.DUMMYFUNCTION("""COMPUTED_VALUE"""),"Sudbury, ON / Thunder Bay, ON")</f>
        <v/>
      </c>
      <c r="K7824">
        <f>IFERROR(__xludf.DUMMYFUNCTION("""COMPUTED_VALUE"""),5126.27)</f>
        <v/>
      </c>
    </row>
    <row r="7825">
      <c r="J7825">
        <f>IFERROR(__xludf.DUMMYFUNCTION("""COMPUTED_VALUE"""),"Vancouver, British Columbia, Canada; Bathurst, New Brunswick, Canada")</f>
        <v/>
      </c>
      <c r="K7825">
        <f>IFERROR(__xludf.DUMMYFUNCTION("""COMPUTED_VALUE"""),5125.66)</f>
        <v/>
      </c>
    </row>
    <row r="7826">
      <c r="J7826">
        <f>IFERROR(__xludf.DUMMYFUNCTION("""COMPUTED_VALUE"""),"Detroit, Windsor")</f>
        <v/>
      </c>
      <c r="K7826">
        <f>IFERROR(__xludf.DUMMYFUNCTION("""COMPUTED_VALUE"""),5124.08)</f>
        <v/>
      </c>
    </row>
    <row r="7827">
      <c r="J7827">
        <f>IFERROR(__xludf.DUMMYFUNCTION("""COMPUTED_VALUE"""),"London, United Kingdom; Warsaw, Poland")</f>
        <v/>
      </c>
      <c r="K7827">
        <f>IFERROR(__xludf.DUMMYFUNCTION("""COMPUTED_VALUE"""),5122.54)</f>
        <v/>
      </c>
    </row>
    <row r="7828">
      <c r="J7828">
        <f>IFERROR(__xludf.DUMMYFUNCTION("""COMPUTED_VALUE"""),"Cowichan and Victoria, British Columbia, Canada")</f>
        <v/>
      </c>
      <c r="K7828">
        <f>IFERROR(__xludf.DUMMYFUNCTION("""COMPUTED_VALUE"""),5121.07)</f>
        <v/>
      </c>
    </row>
    <row r="7829">
      <c r="J7829">
        <f>IFERROR(__xludf.DUMMYFUNCTION("""COMPUTED_VALUE"""),"Prince George, British Columbia, Canada/ Edmonton, Alberta, Canada")</f>
        <v/>
      </c>
      <c r="K7829">
        <f>IFERROR(__xludf.DUMMYFUNCTION("""COMPUTED_VALUE"""),5120.96)</f>
        <v/>
      </c>
    </row>
    <row r="7830">
      <c r="J7830">
        <f>IFERROR(__xludf.DUMMYFUNCTION("""COMPUTED_VALUE"""),"Vancouver, British Colombia;#9")</f>
        <v/>
      </c>
      <c r="K7830">
        <f>IFERROR(__xludf.DUMMYFUNCTION("""COMPUTED_VALUE"""),5119.5)</f>
        <v/>
      </c>
    </row>
    <row r="7831">
      <c r="J7831">
        <f>IFERROR(__xludf.DUMMYFUNCTION("""COMPUTED_VALUE"""),"Calgary, AB and Edmonton, AB")</f>
        <v/>
      </c>
      <c r="K7831">
        <f>IFERROR(__xludf.DUMMYFUNCTION("""COMPUTED_VALUE"""),5119)</f>
        <v/>
      </c>
    </row>
    <row r="7832">
      <c r="J7832">
        <f>IFERROR(__xludf.DUMMYFUNCTION("""COMPUTED_VALUE"""),"Toronto, Ontario, Canada; Edmonton, Alberta, Canada; Fort McMurray, Alberta, Canada")</f>
        <v/>
      </c>
      <c r="K7832">
        <f>IFERROR(__xludf.DUMMYFUNCTION("""COMPUTED_VALUE"""),5117.17)</f>
        <v/>
      </c>
    </row>
    <row r="7833">
      <c r="J7833">
        <f>IFERROR(__xludf.DUMMYFUNCTION("""COMPUTED_VALUE"""),"Fort McMurray, Alberta, Canada -
Calgary, Alberta, Canada")</f>
        <v/>
      </c>
      <c r="K7833">
        <f>IFERROR(__xludf.DUMMYFUNCTION("""COMPUTED_VALUE"""),5115.53)</f>
        <v/>
      </c>
    </row>
    <row r="7834">
      <c r="J7834">
        <f>IFERROR(__xludf.DUMMYFUNCTION("""COMPUTED_VALUE"""),"London and Toronto, Ontario")</f>
        <v/>
      </c>
      <c r="K7834">
        <f>IFERROR(__xludf.DUMMYFUNCTION("""COMPUTED_VALUE"""),5115.3)</f>
        <v/>
      </c>
    </row>
    <row r="7835">
      <c r="J7835">
        <f>IFERROR(__xludf.DUMMYFUNCTION("""COMPUTED_VALUE"""),"Brussels/Mons")</f>
        <v/>
      </c>
      <c r="K7835">
        <f>IFERROR(__xludf.DUMMYFUNCTION("""COMPUTED_VALUE"""),5114.99)</f>
        <v/>
      </c>
    </row>
    <row r="7836">
      <c r="J7836">
        <f>IFERROR(__xludf.DUMMYFUNCTION("""COMPUTED_VALUE"""),"St.Petersburgh, Russia")</f>
        <v/>
      </c>
      <c r="K7836">
        <f>IFERROR(__xludf.DUMMYFUNCTION("""COMPUTED_VALUE"""),5113.4)</f>
        <v/>
      </c>
    </row>
    <row r="7837">
      <c r="J7837">
        <f>IFERROR(__xludf.DUMMYFUNCTION("""COMPUTED_VALUE"""),"Grenade")</f>
        <v/>
      </c>
      <c r="K7837">
        <f>IFERROR(__xludf.DUMMYFUNCTION("""COMPUTED_VALUE"""),5112.31)</f>
        <v/>
      </c>
    </row>
    <row r="7838">
      <c r="J7838">
        <f>IFERROR(__xludf.DUMMYFUNCTION("""COMPUTED_VALUE"""),"Vancouver, Edmonton &amp; Calgary, Canada")</f>
        <v/>
      </c>
      <c r="K7838">
        <f>IFERROR(__xludf.DUMMYFUNCTION("""COMPUTED_VALUE"""),5111.42)</f>
        <v/>
      </c>
    </row>
    <row r="7839">
      <c r="J7839">
        <f>IFERROR(__xludf.DUMMYFUNCTION("""COMPUTED_VALUE"""),"Cancún, Quintana Roo, Mexico")</f>
        <v/>
      </c>
      <c r="K7839">
        <f>IFERROR(__xludf.DUMMYFUNCTION("""COMPUTED_VALUE"""),5108.34)</f>
        <v/>
      </c>
    </row>
    <row r="7840">
      <c r="J7840">
        <f>IFERROR(__xludf.DUMMYFUNCTION("""COMPUTED_VALUE"""),"Windsor ON")</f>
        <v/>
      </c>
      <c r="K7840">
        <f>IFERROR(__xludf.DUMMYFUNCTION("""COMPUTED_VALUE"""),5107.95)</f>
        <v/>
      </c>
    </row>
    <row r="7841">
      <c r="J7841">
        <f>IFERROR(__xludf.DUMMYFUNCTION("""COMPUTED_VALUE"""),"Saskatoon, SK; Edmonton, AB")</f>
        <v/>
      </c>
      <c r="K7841">
        <f>IFERROR(__xludf.DUMMYFUNCTION("""COMPUTED_VALUE"""),5106.78)</f>
        <v/>
      </c>
    </row>
    <row r="7842">
      <c r="J7842">
        <f>IFERROR(__xludf.DUMMYFUNCTION("""COMPUTED_VALUE"""),"Seoul, `South Korea")</f>
        <v/>
      </c>
      <c r="K7842">
        <f>IFERROR(__xludf.DUMMYFUNCTION("""COMPUTED_VALUE"""),5106.61)</f>
        <v/>
      </c>
    </row>
    <row r="7843">
      <c r="J7843">
        <f>IFERROR(__xludf.DUMMYFUNCTION("""COMPUTED_VALUE"""),"Lima, Peru and Medellin, Colombia")</f>
        <v/>
      </c>
      <c r="K7843">
        <f>IFERROR(__xludf.DUMMYFUNCTION("""COMPUTED_VALUE"""),5105.38)</f>
        <v/>
      </c>
    </row>
    <row r="7844">
      <c r="J7844">
        <f>IFERROR(__xludf.DUMMYFUNCTION("""COMPUTED_VALUE"""),"Dandong, People's Republic of China")</f>
        <v/>
      </c>
      <c r="K7844">
        <f>IFERROR(__xludf.DUMMYFUNCTION("""COMPUTED_VALUE"""),5105.24)</f>
        <v/>
      </c>
    </row>
    <row r="7845">
      <c r="J7845">
        <f>IFERROR(__xludf.DUMMYFUNCTION("""COMPUTED_VALUE"""),"Edmonton, Alberta; Whitehorse, Yukon; Yellowknife, Northwest Territories")</f>
        <v/>
      </c>
      <c r="K7845">
        <f>IFERROR(__xludf.DUMMYFUNCTION("""COMPUTED_VALUE"""),5105.05)</f>
        <v/>
      </c>
    </row>
    <row r="7846">
      <c r="J7846">
        <f>IFERROR(__xludf.DUMMYFUNCTION("""COMPUTED_VALUE"""),"Winnipeg, Manitoba / Calgary, Alberta / Vancouver, British Columbia, Canada")</f>
        <v/>
      </c>
      <c r="K7846">
        <f>IFERROR(__xludf.DUMMYFUNCTION("""COMPUTED_VALUE"""),5104.54)</f>
        <v/>
      </c>
    </row>
    <row r="7847">
      <c r="J7847">
        <f>IFERROR(__xludf.DUMMYFUNCTION("""COMPUTED_VALUE"""),"Vancouver, British Columbia, Canada and Los Angeles, California, United States")</f>
        <v/>
      </c>
      <c r="K7847">
        <f>IFERROR(__xludf.DUMMYFUNCTION("""COMPUTED_VALUE"""),5103.2)</f>
        <v/>
      </c>
    </row>
    <row r="7848">
      <c r="J7848">
        <f>IFERROR(__xludf.DUMMYFUNCTION("""COMPUTED_VALUE"""),"Thailand, Cambodia, Philippines")</f>
        <v/>
      </c>
      <c r="K7848">
        <f>IFERROR(__xludf.DUMMYFUNCTION("""COMPUTED_VALUE"""),5103.11)</f>
        <v/>
      </c>
    </row>
    <row r="7849">
      <c r="J7849">
        <f>IFERROR(__xludf.DUMMYFUNCTION("""COMPUTED_VALUE"""),"Winnipeg, Manitoba / Toronto, Ontario / Ottawa, Ontario, Canada")</f>
        <v/>
      </c>
      <c r="K7849">
        <f>IFERROR(__xludf.DUMMYFUNCTION("""COMPUTED_VALUE"""),5101.48)</f>
        <v/>
      </c>
    </row>
    <row r="7850">
      <c r="J7850">
        <f>IFERROR(__xludf.DUMMYFUNCTION("""COMPUTED_VALUE"""),"Vancouver, British Columbia, Canada; St. John's, Newfoundland and Labrador, Canada")</f>
        <v/>
      </c>
      <c r="K7850">
        <f>IFERROR(__xludf.DUMMYFUNCTION("""COMPUTED_VALUE"""),5099.6)</f>
        <v/>
      </c>
    </row>
    <row r="7851">
      <c r="J7851">
        <f>IFERROR(__xludf.DUMMYFUNCTION("""COMPUTED_VALUE"""),"Thompson, Manitoba; Churchill, Manitoba")</f>
        <v/>
      </c>
      <c r="K7851">
        <f>IFERROR(__xludf.DUMMYFUNCTION("""COMPUTED_VALUE"""),5099.28)</f>
        <v/>
      </c>
    </row>
    <row r="7852">
      <c r="J7852">
        <f>IFERROR(__xludf.DUMMYFUNCTION("""COMPUTED_VALUE"""),"Portland, United States")</f>
        <v/>
      </c>
      <c r="K7852">
        <f>IFERROR(__xludf.DUMMYFUNCTION("""COMPUTED_VALUE"""),5097.92)</f>
        <v/>
      </c>
    </row>
    <row r="7853">
      <c r="J7853">
        <f>IFERROR(__xludf.DUMMYFUNCTION("""COMPUTED_VALUE"""),"Washington - United States")</f>
        <v/>
      </c>
      <c r="K7853">
        <f>IFERROR(__xludf.DUMMYFUNCTION("""COMPUTED_VALUE"""),5096.92)</f>
        <v/>
      </c>
    </row>
    <row r="7854">
      <c r="J7854">
        <f>IFERROR(__xludf.DUMMYFUNCTION("""COMPUTED_VALUE"""),"Esquimalt(British Columbia) Canada")</f>
        <v/>
      </c>
      <c r="K7854">
        <f>IFERROR(__xludf.DUMMYFUNCTION("""COMPUTED_VALUE"""),5095.57)</f>
        <v/>
      </c>
    </row>
    <row r="7855">
      <c r="J7855">
        <f>IFERROR(__xludf.DUMMYFUNCTION("""COMPUTED_VALUE"""),"Vancover, British Columbia, Canada")</f>
        <v/>
      </c>
      <c r="K7855">
        <f>IFERROR(__xludf.DUMMYFUNCTION("""COMPUTED_VALUE"""),5095.34)</f>
        <v/>
      </c>
    </row>
    <row r="7856">
      <c r="J7856">
        <f>IFERROR(__xludf.DUMMYFUNCTION("""COMPUTED_VALUE"""),"Winnipeg, Alberta")</f>
        <v/>
      </c>
      <c r="K7856">
        <f>IFERROR(__xludf.DUMMYFUNCTION("""COMPUTED_VALUE"""),5095.33)</f>
        <v/>
      </c>
    </row>
    <row r="7857">
      <c r="J7857">
        <f>IFERROR(__xludf.DUMMYFUNCTION("""COMPUTED_VALUE"""),"Whitehorse, Yukon, Canada
Vancouver, British Colombia, Canada
Prince Rupert, British Colombia, Canada")</f>
        <v/>
      </c>
      <c r="K7857">
        <f>IFERROR(__xludf.DUMMYFUNCTION("""COMPUTED_VALUE"""),5094.37)</f>
        <v/>
      </c>
    </row>
    <row r="7858">
      <c r="J7858">
        <f>IFERROR(__xludf.DUMMYFUNCTION("""COMPUTED_VALUE"""),"Montréal, ON, Canada")</f>
        <v/>
      </c>
      <c r="K7858">
        <f>IFERROR(__xludf.DUMMYFUNCTION("""COMPUTED_VALUE"""),5093.82)</f>
        <v/>
      </c>
    </row>
    <row r="7859">
      <c r="J7859">
        <f>IFERROR(__xludf.DUMMYFUNCTION("""COMPUTED_VALUE"""),"Jamaica")</f>
        <v/>
      </c>
      <c r="K7859">
        <f>IFERROR(__xludf.DUMMYFUNCTION("""COMPUTED_VALUE"""),5093.71)</f>
        <v/>
      </c>
    </row>
    <row r="7860">
      <c r="J7860">
        <f>IFERROR(__xludf.DUMMYFUNCTION("""COMPUTED_VALUE"""),"Calgary - Edmonton - Ft. McMurray, AB")</f>
        <v/>
      </c>
      <c r="K7860">
        <f>IFERROR(__xludf.DUMMYFUNCTION("""COMPUTED_VALUE"""),5093.39)</f>
        <v/>
      </c>
    </row>
    <row r="7861">
      <c r="J7861">
        <f>IFERROR(__xludf.DUMMYFUNCTION("""COMPUTED_VALUE"""),"Victoria, BC Prince George, BC Vancouver, BC Kelowna, BC Montréal, QC")</f>
        <v/>
      </c>
      <c r="K7861">
        <f>IFERROR(__xludf.DUMMYFUNCTION("""COMPUTED_VALUE"""),5093.24)</f>
        <v/>
      </c>
    </row>
    <row r="7862">
      <c r="J7862">
        <f>IFERROR(__xludf.DUMMYFUNCTION("""COMPUTED_VALUE"""),"Sault Ste-Marie, Ontario")</f>
        <v/>
      </c>
      <c r="K7862">
        <f>IFERROR(__xludf.DUMMYFUNCTION("""COMPUTED_VALUE"""),5092.05)</f>
        <v/>
      </c>
    </row>
    <row r="7863">
      <c r="J7863">
        <f>IFERROR(__xludf.DUMMYFUNCTION("""COMPUTED_VALUE"""),"Yellowknife, Nothwest Territories, Canada; Iquluit, Nunavut, Canada")</f>
        <v/>
      </c>
      <c r="K7863">
        <f>IFERROR(__xludf.DUMMYFUNCTION("""COMPUTED_VALUE"""),5090.24)</f>
        <v/>
      </c>
    </row>
    <row r="7864">
      <c r="J7864">
        <f>IFERROR(__xludf.DUMMYFUNCTION("""COMPUTED_VALUE"""),"Moncton, New Brunswick; Summerside; Charlottetown, Prince Edward Island, Canada")</f>
        <v/>
      </c>
      <c r="K7864">
        <f>IFERROR(__xludf.DUMMYFUNCTION("""COMPUTED_VALUE"""),5090.13)</f>
        <v/>
      </c>
    </row>
    <row r="7865">
      <c r="J7865">
        <f>IFERROR(__xludf.DUMMYFUNCTION("""COMPUTED_VALUE"""),"Big Trout Lake, Ontario, Canada")</f>
        <v/>
      </c>
      <c r="K7865">
        <f>IFERROR(__xludf.DUMMYFUNCTION("""COMPUTED_VALUE"""),5089.27)</f>
        <v/>
      </c>
    </row>
    <row r="7866">
      <c r="J7866">
        <f>IFERROR(__xludf.DUMMYFUNCTION("""COMPUTED_VALUE"""),"(1) Toronto, Ontario, Canada and (2) Banff, Alberta, Canada")</f>
        <v/>
      </c>
      <c r="K7866">
        <f>IFERROR(__xludf.DUMMYFUNCTION("""COMPUTED_VALUE"""),5085.2)</f>
        <v/>
      </c>
    </row>
    <row r="7867">
      <c r="J7867">
        <f>IFERROR(__xludf.DUMMYFUNCTION("""COMPUTED_VALUE"""),"Vancouver, British Columbia, Canada / Kelowna, British Columbia, Canada / Vernon, British Columbia, Canada")</f>
        <v/>
      </c>
      <c r="K7867">
        <f>IFERROR(__xludf.DUMMYFUNCTION("""COMPUTED_VALUE"""),5083.01)</f>
        <v/>
      </c>
    </row>
    <row r="7868">
      <c r="J7868">
        <f>IFERROR(__xludf.DUMMYFUNCTION("""COMPUTED_VALUE"""),"Ottawa (Ontario) Canada, Norfolk (Virginia) USA, Washington DC, USA")</f>
        <v/>
      </c>
      <c r="K7868">
        <f>IFERROR(__xludf.DUMMYFUNCTION("""COMPUTED_VALUE"""),5082.65)</f>
        <v/>
      </c>
    </row>
    <row r="7869">
      <c r="J7869">
        <f>IFERROR(__xludf.DUMMYFUNCTION("""COMPUTED_VALUE"""),"Montreal, Quebec, Canada; Sherbrooke, Quebec, Canada; Calgary, Alberta, Canada")</f>
        <v/>
      </c>
      <c r="K7869">
        <f>IFERROR(__xludf.DUMMYFUNCTION("""COMPUTED_VALUE"""),5082.05)</f>
        <v/>
      </c>
    </row>
    <row r="7870">
      <c r="J7870">
        <f>IFERROR(__xludf.DUMMYFUNCTION("""COMPUTED_VALUE"""),"Victoria, BC; Greater Vancouver Area, BC; Edmonton, AB; Calgary, AB; San Diego, CA (USA)")</f>
        <v/>
      </c>
      <c r="K7870">
        <f>IFERROR(__xludf.DUMMYFUNCTION("""COMPUTED_VALUE"""),5081.42)</f>
        <v/>
      </c>
    </row>
    <row r="7871">
      <c r="J7871">
        <f>IFERROR(__xludf.DUMMYFUNCTION("""COMPUTED_VALUE"""),"Sault Ste. Marie, Cobourg, Ontario")</f>
        <v/>
      </c>
      <c r="K7871">
        <f>IFERROR(__xludf.DUMMYFUNCTION("""COMPUTED_VALUE"""),5079.03)</f>
        <v/>
      </c>
    </row>
    <row r="7872">
      <c r="J7872">
        <f>IFERROR(__xludf.DUMMYFUNCTION("""COMPUTED_VALUE"""),"Winnipeg, MB /Vancouver, BC / Mississauga, ON")</f>
        <v/>
      </c>
      <c r="K7872">
        <f>IFERROR(__xludf.DUMMYFUNCTION("""COMPUTED_VALUE"""),5077.27)</f>
        <v/>
      </c>
    </row>
    <row r="7873">
      <c r="J7873">
        <f>IFERROR(__xludf.DUMMYFUNCTION("""COMPUTED_VALUE"""),"Toronto, ON / Washington, DC")</f>
        <v/>
      </c>
      <c r="K7873">
        <f>IFERROR(__xludf.DUMMYFUNCTION("""COMPUTED_VALUE"""),5076.96)</f>
        <v/>
      </c>
    </row>
    <row r="7874">
      <c r="J7874">
        <f>IFERROR(__xludf.DUMMYFUNCTION("""COMPUTED_VALUE"""),"Calgary, Alberta Saskatoon, Saskatchewan Winnipeg, Manitoba Edmonton, Alberta")</f>
        <v/>
      </c>
      <c r="K7874">
        <f>IFERROR(__xludf.DUMMYFUNCTION("""COMPUTED_VALUE"""),5076)</f>
        <v/>
      </c>
    </row>
    <row r="7875">
      <c r="J7875">
        <f>IFERROR(__xludf.DUMMYFUNCTION("""COMPUTED_VALUE"""),"Fredericton/CFB Gagetown/Halifax")</f>
        <v/>
      </c>
      <c r="K7875">
        <f>IFERROR(__xludf.DUMMYFUNCTION("""COMPUTED_VALUE"""),5075.82)</f>
        <v/>
      </c>
    </row>
    <row r="7876">
      <c r="J7876">
        <f>IFERROR(__xludf.DUMMYFUNCTION("""COMPUTED_VALUE"""),"KANATA, OTTAWA,  ONTARIO CANADA                          WASHINGTON, DC, USA")</f>
        <v/>
      </c>
      <c r="K7876">
        <f>IFERROR(__xludf.DUMMYFUNCTION("""COMPUTED_VALUE"""),5075.29)</f>
        <v/>
      </c>
    </row>
    <row r="7877">
      <c r="J7877">
        <f>IFERROR(__xludf.DUMMYFUNCTION("""COMPUTED_VALUE"""),"Montreal, Quebec, Canada/ Edmonton, Alberta, Canada/ Saskatoon, Saskatchewan, Canada /Whitehorse, Yukon, Canada")</f>
        <v/>
      </c>
      <c r="K7877">
        <f>IFERROR(__xludf.DUMMYFUNCTION("""COMPUTED_VALUE"""),5074)</f>
        <v/>
      </c>
    </row>
    <row r="7878">
      <c r="J7878">
        <f>IFERROR(__xludf.DUMMYFUNCTION("""COMPUTED_VALUE"""),"Vancouver, British Columbia; Whitehorse, Yukon, Canada")</f>
        <v/>
      </c>
      <c r="K7878">
        <f>IFERROR(__xludf.DUMMYFUNCTION("""COMPUTED_VALUE"""),5072.41)</f>
        <v/>
      </c>
    </row>
    <row r="7879">
      <c r="J7879">
        <f>IFERROR(__xludf.DUMMYFUNCTION("""COMPUTED_VALUE"""),"Ottawa, Ontario, Victoria, British Columbia")</f>
        <v/>
      </c>
      <c r="K7879">
        <f>IFERROR(__xludf.DUMMYFUNCTION("""COMPUTED_VALUE"""),5071.79)</f>
        <v/>
      </c>
    </row>
    <row r="7880">
      <c r="J7880">
        <f>IFERROR(__xludf.DUMMYFUNCTION("""COMPUTED_VALUE"""),"Shawinigan, Québec")</f>
        <v/>
      </c>
      <c r="K7880">
        <f>IFERROR(__xludf.DUMMYFUNCTION("""COMPUTED_VALUE"""),5071.29)</f>
        <v/>
      </c>
    </row>
    <row r="7881">
      <c r="J7881">
        <f>IFERROR(__xludf.DUMMYFUNCTION("""COMPUTED_VALUE"""),"Banff, Alberta, Canada; Calgary, Alberta, Canada")</f>
        <v/>
      </c>
      <c r="K7881">
        <f>IFERROR(__xludf.DUMMYFUNCTION("""COMPUTED_VALUE"""),5070.82)</f>
        <v/>
      </c>
    </row>
    <row r="7882">
      <c r="J7882">
        <f>IFERROR(__xludf.DUMMYFUNCTION("""COMPUTED_VALUE"""),"Calgary, Alberta, Canada; Montréal, Quebec, Canada")</f>
        <v/>
      </c>
      <c r="K7882">
        <f>IFERROR(__xludf.DUMMYFUNCTION("""COMPUTED_VALUE"""),5070.4)</f>
        <v/>
      </c>
    </row>
    <row r="7883">
      <c r="J7883">
        <f>IFERROR(__xludf.DUMMYFUNCTION("""COMPUTED_VALUE"""),"Ottowa, ON, Canada")</f>
        <v/>
      </c>
      <c r="K7883">
        <f>IFERROR(__xludf.DUMMYFUNCTION("""COMPUTED_VALUE"""),5069.96)</f>
        <v/>
      </c>
    </row>
    <row r="7884">
      <c r="J7884">
        <f>IFERROR(__xludf.DUMMYFUNCTION("""COMPUTED_VALUE"""),"Monterey, CA; Yellowknife, NT; Edmonton, AB")</f>
        <v/>
      </c>
      <c r="K7884">
        <f>IFERROR(__xludf.DUMMYFUNCTION("""COMPUTED_VALUE"""),5069.91)</f>
        <v/>
      </c>
    </row>
    <row r="7885">
      <c r="J7885">
        <f>IFERROR(__xludf.DUMMYFUNCTION("""COMPUTED_VALUE"""),"Ottawa - Victoria - Calgary - Winnipeg - Ottawa")</f>
        <v/>
      </c>
      <c r="K7885">
        <f>IFERROR(__xludf.DUMMYFUNCTION("""COMPUTED_VALUE"""),5069.69)</f>
        <v/>
      </c>
    </row>
    <row r="7886">
      <c r="J7886">
        <f>IFERROR(__xludf.DUMMYFUNCTION("""COMPUTED_VALUE"""),"Calgary, Alberta, Canada                                         Fort Smith, Northwest Territories, Canada       Fort Chipewyan, Alberta, Canada")</f>
        <v/>
      </c>
      <c r="K7886">
        <f>IFERROR(__xludf.DUMMYFUNCTION("""COMPUTED_VALUE"""),5068.57)</f>
        <v/>
      </c>
    </row>
    <row r="7887">
      <c r="J7887">
        <f>IFERROR(__xludf.DUMMYFUNCTION("""COMPUTED_VALUE"""),"Victoria, Nanaimo, Duncan and Langford, British Columbia")</f>
        <v/>
      </c>
      <c r="K7887">
        <f>IFERROR(__xludf.DUMMYFUNCTION("""COMPUTED_VALUE"""),5067.69)</f>
        <v/>
      </c>
    </row>
    <row r="7888">
      <c r="J7888">
        <f>IFERROR(__xludf.DUMMYFUNCTION("""COMPUTED_VALUE"""),"Ottawa, ON - Victoria, BC / Victoria, BC - Ottawa, ON")</f>
        <v/>
      </c>
      <c r="K7888">
        <f>IFERROR(__xludf.DUMMYFUNCTION("""COMPUTED_VALUE"""),5066.67)</f>
        <v/>
      </c>
    </row>
    <row r="7889">
      <c r="J7889">
        <f>IFERROR(__xludf.DUMMYFUNCTION("""COMPUTED_VALUE"""),"Montreal, Quebec and Iqaluit, Nunavut")</f>
        <v/>
      </c>
      <c r="K7889">
        <f>IFERROR(__xludf.DUMMYFUNCTION("""COMPUTED_VALUE"""),5066.53)</f>
        <v/>
      </c>
    </row>
    <row r="7890">
      <c r="J7890">
        <f>IFERROR(__xludf.DUMMYFUNCTION("""COMPUTED_VALUE"""),"Bellingham, WA and Winnipeg, MAN")</f>
        <v/>
      </c>
      <c r="K7890">
        <f>IFERROR(__xludf.DUMMYFUNCTION("""COMPUTED_VALUE"""),5066.52)</f>
        <v/>
      </c>
    </row>
    <row r="7891">
      <c r="J7891">
        <f>IFERROR(__xludf.DUMMYFUNCTION("""COMPUTED_VALUE"""),"Regina, SK / Winnipeg, MB")</f>
        <v/>
      </c>
      <c r="K7891">
        <f>IFERROR(__xludf.DUMMYFUNCTION("""COMPUTED_VALUE"""),5066.38)</f>
        <v/>
      </c>
    </row>
    <row r="7892">
      <c r="J7892">
        <f>IFERROR(__xludf.DUMMYFUNCTION("""COMPUTED_VALUE"""),"Vancouver,Calgary,canada")</f>
        <v/>
      </c>
      <c r="K7892">
        <f>IFERROR(__xludf.DUMMYFUNCTION("""COMPUTED_VALUE"""),5066.1)</f>
        <v/>
      </c>
    </row>
    <row r="7893">
      <c r="J7893">
        <f>IFERROR(__xludf.DUMMYFUNCTION("""COMPUTED_VALUE"""),"Vancouver, British Columbia, Canada;Sept-Îles, Quebec, Canada")</f>
        <v/>
      </c>
      <c r="K7893">
        <f>IFERROR(__xludf.DUMMYFUNCTION("""COMPUTED_VALUE"""),5065.35)</f>
        <v/>
      </c>
    </row>
    <row r="7894">
      <c r="J7894">
        <f>IFERROR(__xludf.DUMMYFUNCTION("""COMPUTED_VALUE"""),"The Hague -Netherlands")</f>
        <v/>
      </c>
      <c r="K7894">
        <f>IFERROR(__xludf.DUMMYFUNCTION("""COMPUTED_VALUE"""),5064.7)</f>
        <v/>
      </c>
    </row>
    <row r="7895">
      <c r="J7895">
        <f>IFERROR(__xludf.DUMMYFUNCTION("""COMPUTED_VALUE"""),"Fredericton, New Brunswick, Canada - St. Andrews, New Brunswick, Canada")</f>
        <v/>
      </c>
      <c r="K7895">
        <f>IFERROR(__xludf.DUMMYFUNCTION("""COMPUTED_VALUE"""),5064.18)</f>
        <v/>
      </c>
    </row>
    <row r="7896">
      <c r="J7896">
        <f>IFERROR(__xludf.DUMMYFUNCTION("""COMPUTED_VALUE"""),"Philadephia")</f>
        <v/>
      </c>
      <c r="K7896">
        <f>IFERROR(__xludf.DUMMYFUNCTION("""COMPUTED_VALUE"""),5061.88)</f>
        <v/>
      </c>
    </row>
    <row r="7897">
      <c r="J7897">
        <f>IFERROR(__xludf.DUMMYFUNCTION("""COMPUTED_VALUE"""),"Toronto (Ontario) / Montreal (Quebec), Canada")</f>
        <v/>
      </c>
      <c r="K7897">
        <f>IFERROR(__xludf.DUMMYFUNCTION("""COMPUTED_VALUE"""),5061.17)</f>
        <v/>
      </c>
    </row>
    <row r="7898">
      <c r="J7898">
        <f>IFERROR(__xludf.DUMMYFUNCTION("""COMPUTED_VALUE"""),"Calgary, AB - Yellowknife, NT")</f>
        <v/>
      </c>
      <c r="K7898">
        <f>IFERROR(__xludf.DUMMYFUNCTION("""COMPUTED_VALUE"""),5060.43)</f>
        <v/>
      </c>
    </row>
    <row r="7899">
      <c r="J7899">
        <f>IFERROR(__xludf.DUMMYFUNCTION("""COMPUTED_VALUE"""),"Sweden, Belgium, Italy and Hungary")</f>
        <v/>
      </c>
      <c r="K7899">
        <f>IFERROR(__xludf.DUMMYFUNCTION("""COMPUTED_VALUE"""),5060.17)</f>
        <v/>
      </c>
    </row>
    <row r="7900">
      <c r="J7900">
        <f>IFERROR(__xludf.DUMMYFUNCTION("""COMPUTED_VALUE"""),"1)Kelowna, British Columbia, Canada; 2) Ottawa, Ontario, Canada")</f>
        <v/>
      </c>
      <c r="K7900">
        <f>IFERROR(__xludf.DUMMYFUNCTION("""COMPUTED_VALUE"""),5059.25)</f>
        <v/>
      </c>
    </row>
    <row r="7901">
      <c r="J7901">
        <f>IFERROR(__xludf.DUMMYFUNCTION("""COMPUTED_VALUE"""),"Mexico City and Santo Domingo")</f>
        <v/>
      </c>
      <c r="K7901">
        <f>IFERROR(__xludf.DUMMYFUNCTION("""COMPUTED_VALUE"""),5058.28)</f>
        <v/>
      </c>
    </row>
    <row r="7902">
      <c r="J7902">
        <f>IFERROR(__xludf.DUMMYFUNCTION("""COMPUTED_VALUE"""),"San Franscisco, USA")</f>
        <v/>
      </c>
      <c r="K7902">
        <f>IFERROR(__xludf.DUMMYFUNCTION("""COMPUTED_VALUE"""),5057.88)</f>
        <v/>
      </c>
    </row>
    <row r="7903">
      <c r="J7903">
        <f>IFERROR(__xludf.DUMMYFUNCTION("""COMPUTED_VALUE"""),"Niagara Falls, Ontario, Canada / Toronto, Ontario, Canada")</f>
        <v/>
      </c>
      <c r="K7903">
        <f>IFERROR(__xludf.DUMMYFUNCTION("""COMPUTED_VALUE"""),5056.96)</f>
        <v/>
      </c>
    </row>
    <row r="7904">
      <c r="J7904">
        <f>IFERROR(__xludf.DUMMYFUNCTION("""COMPUTED_VALUE"""),"Cleveland, Ohio, United States")</f>
        <v/>
      </c>
      <c r="K7904">
        <f>IFERROR(__xludf.DUMMYFUNCTION("""COMPUTED_VALUE"""),5056.75)</f>
        <v/>
      </c>
    </row>
    <row r="7905">
      <c r="J7905">
        <f>IFERROR(__xludf.DUMMYFUNCTION("""COMPUTED_VALUE"""),"Rankin Inlet, Nunavut")</f>
        <v/>
      </c>
      <c r="K7905">
        <f>IFERROR(__xludf.DUMMYFUNCTION("""COMPUTED_VALUE"""),5055.48)</f>
        <v/>
      </c>
    </row>
    <row r="7906">
      <c r="J7906">
        <f>IFERROR(__xludf.DUMMYFUNCTION("""COMPUTED_VALUE"""),"Honduras, San Pedro Sula")</f>
        <v/>
      </c>
      <c r="K7906">
        <f>IFERROR(__xludf.DUMMYFUNCTION("""COMPUTED_VALUE"""),5054.68)</f>
        <v/>
      </c>
    </row>
    <row r="7907">
      <c r="J7907">
        <f>IFERROR(__xludf.DUMMYFUNCTION("""COMPUTED_VALUE"""),"Estevan, Saskatchewan, Canada")</f>
        <v/>
      </c>
      <c r="K7907">
        <f>IFERROR(__xludf.DUMMYFUNCTION("""COMPUTED_VALUE"""),5054.12)</f>
        <v/>
      </c>
    </row>
    <row r="7908">
      <c r="J7908">
        <f>IFERROR(__xludf.DUMMYFUNCTION("""COMPUTED_VALUE"""),"Toronto, Regina, Calgary, Kelowna &amp; Vancouver")</f>
        <v/>
      </c>
      <c r="K7908">
        <f>IFERROR(__xludf.DUMMYFUNCTION("""COMPUTED_VALUE"""),5053.21)</f>
        <v/>
      </c>
    </row>
    <row r="7909">
      <c r="J7909">
        <f>IFERROR(__xludf.DUMMYFUNCTION("""COMPUTED_VALUE"""),"Maple Creek, Saskatchewan; Calgary, Alberta")</f>
        <v/>
      </c>
      <c r="K7909">
        <f>IFERROR(__xludf.DUMMYFUNCTION("""COMPUTED_VALUE"""),5051.97)</f>
        <v/>
      </c>
    </row>
    <row r="7910">
      <c r="J7910">
        <f>IFERROR(__xludf.DUMMYFUNCTION("""COMPUTED_VALUE"""),"Montreux, Switzerland")</f>
        <v/>
      </c>
      <c r="K7910">
        <f>IFERROR(__xludf.DUMMYFUNCTION("""COMPUTED_VALUE"""),5051.3)</f>
        <v/>
      </c>
    </row>
    <row r="7911">
      <c r="J7911">
        <f>IFERROR(__xludf.DUMMYFUNCTION("""COMPUTED_VALUE"""),"Corner Brook")</f>
        <v/>
      </c>
      <c r="K7911">
        <f>IFERROR(__xludf.DUMMYFUNCTION("""COMPUTED_VALUE"""),5050.71999999999)</f>
        <v/>
      </c>
    </row>
    <row r="7912">
      <c r="J7912">
        <f>IFERROR(__xludf.DUMMYFUNCTION("""COMPUTED_VALUE"""),"Saint John's, NFLD and Regina, SK")</f>
        <v/>
      </c>
      <c r="K7912">
        <f>IFERROR(__xludf.DUMMYFUNCTION("""COMPUTED_VALUE"""),5045.65)</f>
        <v/>
      </c>
    </row>
    <row r="7913">
      <c r="J7913">
        <f>IFERROR(__xludf.DUMMYFUNCTION("""COMPUTED_VALUE"""),"Toronto, Ontario, Canada  New York, New York, United States")</f>
        <v/>
      </c>
      <c r="K7913">
        <f>IFERROR(__xludf.DUMMYFUNCTION("""COMPUTED_VALUE"""),5045.64)</f>
        <v/>
      </c>
    </row>
    <row r="7914">
      <c r="J7914">
        <f>IFERROR(__xludf.DUMMYFUNCTION("""COMPUTED_VALUE"""),"Ottawa, New York City")</f>
        <v/>
      </c>
      <c r="K7914">
        <f>IFERROR(__xludf.DUMMYFUNCTION("""COMPUTED_VALUE"""),5044.48)</f>
        <v/>
      </c>
    </row>
    <row r="7915">
      <c r="J7915">
        <f>IFERROR(__xludf.DUMMYFUNCTION("""COMPUTED_VALUE"""),"Toronto, Ontario, Canada; Quebec, Quebec, Canada")</f>
        <v/>
      </c>
      <c r="K7915">
        <f>IFERROR(__xludf.DUMMYFUNCTION("""COMPUTED_VALUE"""),5043.79)</f>
        <v/>
      </c>
    </row>
    <row r="7916">
      <c r="J7916">
        <f>IFERROR(__xludf.DUMMYFUNCTION("""COMPUTED_VALUE"""),"Ottawa, ON - Montreal, QC / Montreal, QC - Ottawa, ON")</f>
        <v/>
      </c>
      <c r="K7916">
        <f>IFERROR(__xludf.DUMMYFUNCTION("""COMPUTED_VALUE"""),5043.72)</f>
        <v/>
      </c>
    </row>
    <row r="7917">
      <c r="J7917">
        <f>IFERROR(__xludf.DUMMYFUNCTION("""COMPUTED_VALUE"""),"Vancouver, ON")</f>
        <v/>
      </c>
      <c r="K7917">
        <f>IFERROR(__xludf.DUMMYFUNCTION("""COMPUTED_VALUE"""),5043.61)</f>
        <v/>
      </c>
    </row>
    <row r="7918">
      <c r="J7918">
        <f>IFERROR(__xludf.DUMMYFUNCTION("""COMPUTED_VALUE"""),"Washington, DC, Riga, Warsaw")</f>
        <v/>
      </c>
      <c r="K7918">
        <f>IFERROR(__xludf.DUMMYFUNCTION("""COMPUTED_VALUE"""),5042.24)</f>
        <v/>
      </c>
    </row>
    <row r="7919">
      <c r="J7919">
        <f>IFERROR(__xludf.DUMMYFUNCTION("""COMPUTED_VALUE"""),"Toronto; Ottawa (2 times); Montreal; Halifax")</f>
        <v/>
      </c>
      <c r="K7919">
        <f>IFERROR(__xludf.DUMMYFUNCTION("""COMPUTED_VALUE"""),5035.94)</f>
        <v/>
      </c>
    </row>
    <row r="7920">
      <c r="J7920">
        <f>IFERROR(__xludf.DUMMYFUNCTION("""COMPUTED_VALUE"""),"Calgary, Alberta, Canada; Abbotsford, British Columbia, Canada; Saskatoon, Saskatchewan, Canada; Winnipeg, Manitoba, Canada")</f>
        <v/>
      </c>
      <c r="K7920">
        <f>IFERROR(__xludf.DUMMYFUNCTION("""COMPUTED_VALUE"""),5035.7)</f>
        <v/>
      </c>
    </row>
    <row r="7921">
      <c r="J7921">
        <f>IFERROR(__xludf.DUMMYFUNCTION("""COMPUTED_VALUE"""),"Seoul, South Korea; Hiroshima, Japan")</f>
        <v/>
      </c>
      <c r="K7921">
        <f>IFERROR(__xludf.DUMMYFUNCTION("""COMPUTED_VALUE"""),5035.09999999999)</f>
        <v/>
      </c>
    </row>
    <row r="7922">
      <c r="J7922">
        <f>IFERROR(__xludf.DUMMYFUNCTION("""COMPUTED_VALUE"""),"Washington, New York, Norfolk, Ottawa")</f>
        <v/>
      </c>
      <c r="K7922">
        <f>IFERROR(__xludf.DUMMYFUNCTION("""COMPUTED_VALUE"""),5033.31)</f>
        <v/>
      </c>
    </row>
    <row r="7923">
      <c r="J7923">
        <f>IFERROR(__xludf.DUMMYFUNCTION("""COMPUTED_VALUE"""),"Al Khobar, Saudi Arabia")</f>
        <v/>
      </c>
      <c r="K7923">
        <f>IFERROR(__xludf.DUMMYFUNCTION("""COMPUTED_VALUE"""),5033.25)</f>
        <v/>
      </c>
    </row>
    <row r="7924">
      <c r="J7924">
        <f>IFERROR(__xludf.DUMMYFUNCTION("""COMPUTED_VALUE"""),"Charlottetown (Prince Edward Island) Canada
London (Ontario) Canada")</f>
        <v/>
      </c>
      <c r="K7924">
        <f>IFERROR(__xludf.DUMMYFUNCTION("""COMPUTED_VALUE"""),5032.58)</f>
        <v/>
      </c>
    </row>
    <row r="7925">
      <c r="J7925">
        <f>IFERROR(__xludf.DUMMYFUNCTION("""COMPUTED_VALUE"""),"Sanremo, Italy")</f>
        <v/>
      </c>
      <c r="K7925">
        <f>IFERROR(__xludf.DUMMYFUNCTION("""COMPUTED_VALUE"""),5030.62)</f>
        <v/>
      </c>
    </row>
    <row r="7926">
      <c r="J7926">
        <f>IFERROR(__xludf.DUMMYFUNCTION("""COMPUTED_VALUE"""),"Calgary, Alberta/Yellowknife, Northwest Territories, Canada")</f>
        <v/>
      </c>
      <c r="K7926">
        <f>IFERROR(__xludf.DUMMYFUNCTION("""COMPUTED_VALUE"""),5030.55)</f>
        <v/>
      </c>
    </row>
    <row r="7927">
      <c r="J7927">
        <f>IFERROR(__xludf.DUMMYFUNCTION("""COMPUTED_VALUE"""),"Cancun Mexico")</f>
        <v/>
      </c>
      <c r="K7927">
        <f>IFERROR(__xludf.DUMMYFUNCTION("""COMPUTED_VALUE"""),5029.87)</f>
        <v/>
      </c>
    </row>
    <row r="7928">
      <c r="J7928">
        <f>IFERROR(__xludf.DUMMYFUNCTION("""COMPUTED_VALUE"""),"Toronto, Ontario; Victoria, Bristish Columbia; Vancouver, British Columbia")</f>
        <v/>
      </c>
      <c r="K7928">
        <f>IFERROR(__xludf.DUMMYFUNCTION("""COMPUTED_VALUE"""),5029.84)</f>
        <v/>
      </c>
    </row>
    <row r="7929">
      <c r="J7929">
        <f>IFERROR(__xludf.DUMMYFUNCTION("""COMPUTED_VALUE"""),"Victoria and Nanaimo, British Columbia")</f>
        <v/>
      </c>
      <c r="K7929">
        <f>IFERROR(__xludf.DUMMYFUNCTION("""COMPUTED_VALUE"""),5028.75)</f>
        <v/>
      </c>
    </row>
    <row r="7930">
      <c r="J7930">
        <f>IFERROR(__xludf.DUMMYFUNCTION("""COMPUTED_VALUE"""),"Lima (Peru) and Bogota (Colombia)")</f>
        <v/>
      </c>
      <c r="K7930">
        <f>IFERROR(__xludf.DUMMYFUNCTION("""COMPUTED_VALUE"""),5028.02)</f>
        <v/>
      </c>
    </row>
    <row r="7931">
      <c r="J7931">
        <f>IFERROR(__xludf.DUMMYFUNCTION("""COMPUTED_VALUE"""),"Chongqing et Chengdu")</f>
        <v/>
      </c>
      <c r="K7931">
        <f>IFERROR(__xludf.DUMMYFUNCTION("""COMPUTED_VALUE"""),5027)</f>
        <v/>
      </c>
    </row>
    <row r="7932">
      <c r="J7932">
        <f>IFERROR(__xludf.DUMMYFUNCTION("""COMPUTED_VALUE"""),"Vancouver, (British-Colombia)")</f>
        <v/>
      </c>
      <c r="K7932">
        <f>IFERROR(__xludf.DUMMYFUNCTION("""COMPUTED_VALUE"""),5025.41)</f>
        <v/>
      </c>
    </row>
    <row r="7933">
      <c r="J7933">
        <f>IFERROR(__xludf.DUMMYFUNCTION("""COMPUTED_VALUE"""),"San Pedro Sula, Honduras and Managua, Nicaragua")</f>
        <v/>
      </c>
      <c r="K7933">
        <f>IFERROR(__xludf.DUMMYFUNCTION("""COMPUTED_VALUE"""),5025.26)</f>
        <v/>
      </c>
    </row>
    <row r="7934">
      <c r="J7934">
        <f>IFERROR(__xludf.DUMMYFUNCTION("""COMPUTED_VALUE"""),"Fredericton and Saint John, New Brunswick")</f>
        <v/>
      </c>
      <c r="K7934">
        <f>IFERROR(__xludf.DUMMYFUNCTION("""COMPUTED_VALUE"""),5024.53)</f>
        <v/>
      </c>
    </row>
    <row r="7935">
      <c r="J7935">
        <f>IFERROR(__xludf.DUMMYFUNCTION("""COMPUTED_VALUE"""),"Gatineau, Quebec, CanadaOttawa, Ontario, Canada")</f>
        <v/>
      </c>
      <c r="K7935">
        <f>IFERROR(__xludf.DUMMYFUNCTION("""COMPUTED_VALUE"""),5023.62)</f>
        <v/>
      </c>
    </row>
    <row r="7936">
      <c r="J7936">
        <f>IFERROR(__xludf.DUMMYFUNCTION("""COMPUTED_VALUE"""),"Toronto, Ontario, Canada ; Saskatoon, Saskatchewan, Canada; Edmonton, Alberta, Canada; Grande Prairie, Alberta, Canada")</f>
        <v/>
      </c>
      <c r="K7936">
        <f>IFERROR(__xludf.DUMMYFUNCTION("""COMPUTED_VALUE"""),5023.17)</f>
        <v/>
      </c>
    </row>
    <row r="7937">
      <c r="J7937">
        <f>IFERROR(__xludf.DUMMYFUNCTION("""COMPUTED_VALUE"""),"New York (New York) United States")</f>
        <v/>
      </c>
      <c r="K7937">
        <f>IFERROR(__xludf.DUMMYFUNCTION("""COMPUTED_VALUE"""),5022.7)</f>
        <v/>
      </c>
    </row>
    <row r="7938">
      <c r="J7938">
        <f>IFERROR(__xludf.DUMMYFUNCTION("""COMPUTED_VALUE"""),"Vancouver, Edmonton, Calgary, Winnipeg, Toronto and Colorado flight cancelled")</f>
        <v/>
      </c>
      <c r="K7938">
        <f>IFERROR(__xludf.DUMMYFUNCTION("""COMPUTED_VALUE"""),5022.69)</f>
        <v/>
      </c>
    </row>
    <row r="7939">
      <c r="J7939">
        <f>IFERROR(__xludf.DUMMYFUNCTION("""COMPUTED_VALUE"""),"HALIFAX, NS - ST. JOHNS, NL - CORNERBROOK, NL")</f>
        <v/>
      </c>
      <c r="K7939">
        <f>IFERROR(__xludf.DUMMYFUNCTION("""COMPUTED_VALUE"""),5021.15)</f>
        <v/>
      </c>
    </row>
    <row r="7940">
      <c r="J7940">
        <f>IFERROR(__xludf.DUMMYFUNCTION("""COMPUTED_VALUE"""),"Calgary, Alberta, Canada and Vancouver, British Columbia, Canada and Toronto, Ontario, Canada")</f>
        <v/>
      </c>
      <c r="K7940">
        <f>IFERROR(__xludf.DUMMYFUNCTION("""COMPUTED_VALUE"""),5020.98)</f>
        <v/>
      </c>
    </row>
    <row r="7941">
      <c r="J7941">
        <f>IFERROR(__xludf.DUMMYFUNCTION("""COMPUTED_VALUE"""),"Vancouver, British Columbia, Canada; Abbotsford, British Columbia, Canada; Surrey, British Columbia, Canada")</f>
        <v/>
      </c>
      <c r="K7941">
        <f>IFERROR(__xludf.DUMMYFUNCTION("""COMPUTED_VALUE"""),5018.33)</f>
        <v/>
      </c>
    </row>
    <row r="7942">
      <c r="J7942">
        <f>IFERROR(__xludf.DUMMYFUNCTION("""COMPUTED_VALUE"""),"Toronto, London, Kingston, Ottawa, Montreal, Lennoxville, Halifax")</f>
        <v/>
      </c>
      <c r="K7942">
        <f>IFERROR(__xludf.DUMMYFUNCTION("""COMPUTED_VALUE"""),5017.87)</f>
        <v/>
      </c>
    </row>
    <row r="7943">
      <c r="J7943">
        <f>IFERROR(__xludf.DUMMYFUNCTION("""COMPUTED_VALUE"""),"Edmonton, ON")</f>
        <v/>
      </c>
      <c r="K7943">
        <f>IFERROR(__xludf.DUMMYFUNCTION("""COMPUTED_VALUE"""),5017.69)</f>
        <v/>
      </c>
    </row>
    <row r="7944">
      <c r="J7944">
        <f>IFERROR(__xludf.DUMMYFUNCTION("""COMPUTED_VALUE"""),"Vancouver, Nanaimo and Victoria, British Columbia")</f>
        <v/>
      </c>
      <c r="K7944">
        <f>IFERROR(__xludf.DUMMYFUNCTION("""COMPUTED_VALUE"""),5015.83)</f>
        <v/>
      </c>
    </row>
    <row r="7945">
      <c r="J7945">
        <f>IFERROR(__xludf.DUMMYFUNCTION("""COMPUTED_VALUE"""),"Amos")</f>
        <v/>
      </c>
      <c r="K7945">
        <f>IFERROR(__xludf.DUMMYFUNCTION("""COMPUTED_VALUE"""),5013.93)</f>
        <v/>
      </c>
    </row>
    <row r="7946">
      <c r="J7946">
        <f>IFERROR(__xludf.DUMMYFUNCTION("""COMPUTED_VALUE"""),"Calgary/Winnipeg/    Vancouver/Penticton")</f>
        <v/>
      </c>
      <c r="K7946">
        <f>IFERROR(__xludf.DUMMYFUNCTION("""COMPUTED_VALUE"""),5013.47)</f>
        <v/>
      </c>
    </row>
    <row r="7947">
      <c r="J7947">
        <f>IFERROR(__xludf.DUMMYFUNCTION("""COMPUTED_VALUE"""),"Halifax and Moncton")</f>
        <v/>
      </c>
      <c r="K7947">
        <f>IFERROR(__xludf.DUMMYFUNCTION("""COMPUTED_VALUE"""),5011.1)</f>
        <v/>
      </c>
    </row>
    <row r="7948">
      <c r="J7948">
        <f>IFERROR(__xludf.DUMMYFUNCTION("""COMPUTED_VALUE"""),"Calgary and Fort McMurray, Alberta")</f>
        <v/>
      </c>
      <c r="K7948">
        <f>IFERROR(__xludf.DUMMYFUNCTION("""COMPUTED_VALUE"""),5009.13)</f>
        <v/>
      </c>
    </row>
    <row r="7949">
      <c r="J7949">
        <f>IFERROR(__xludf.DUMMYFUNCTION("""COMPUTED_VALUE"""),"Washington (United States)")</f>
        <v/>
      </c>
      <c r="K7949">
        <f>IFERROR(__xludf.DUMMYFUNCTION("""COMPUTED_VALUE"""),5006.86)</f>
        <v/>
      </c>
    </row>
    <row r="7950">
      <c r="J7950">
        <f>IFERROR(__xludf.DUMMYFUNCTION("""COMPUTED_VALUE"""),"St. Lucia")</f>
        <v/>
      </c>
      <c r="K7950">
        <f>IFERROR(__xludf.DUMMYFUNCTION("""COMPUTED_VALUE"""),5006.17)</f>
        <v/>
      </c>
    </row>
    <row r="7951">
      <c r="J7951">
        <f>IFERROR(__xludf.DUMMYFUNCTION("""COMPUTED_VALUE"""),"Edmonton and Winnipeg")</f>
        <v/>
      </c>
      <c r="K7951">
        <f>IFERROR(__xludf.DUMMYFUNCTION("""COMPUTED_VALUE"""),5005.76)</f>
        <v/>
      </c>
    </row>
    <row r="7952">
      <c r="J7952">
        <f>IFERROR(__xludf.DUMMYFUNCTION("""COMPUTED_VALUE"""),"Côte d'Ivoire")</f>
        <v/>
      </c>
      <c r="K7952">
        <f>IFERROR(__xludf.DUMMYFUNCTION("""COMPUTED_VALUE"""),5004.72)</f>
        <v/>
      </c>
    </row>
    <row r="7953">
      <c r="J7953">
        <f>IFERROR(__xludf.DUMMYFUNCTION("""COMPUTED_VALUE"""),"Beijing, China; Guangzhou, China")</f>
        <v/>
      </c>
      <c r="K7953">
        <f>IFERROR(__xludf.DUMMYFUNCTION("""COMPUTED_VALUE"""),5004.59)</f>
        <v/>
      </c>
    </row>
    <row r="7954">
      <c r="J7954">
        <f>IFERROR(__xludf.DUMMYFUNCTION("""COMPUTED_VALUE"""),"St. John's, NL; Québec, QC")</f>
        <v/>
      </c>
      <c r="K7954">
        <f>IFERROR(__xludf.DUMMYFUNCTION("""COMPUTED_VALUE"""),5004.21999999999)</f>
        <v/>
      </c>
    </row>
    <row r="7955">
      <c r="J7955">
        <f>IFERROR(__xludf.DUMMYFUNCTION("""COMPUTED_VALUE"""),"Ottawa, Calgary, Canada")</f>
        <v/>
      </c>
      <c r="K7955">
        <f>IFERROR(__xludf.DUMMYFUNCTION("""COMPUTED_VALUE"""),5003.62)</f>
        <v/>
      </c>
    </row>
    <row r="7956">
      <c r="J7956">
        <f>IFERROR(__xludf.DUMMYFUNCTION("""COMPUTED_VALUE"""),"Toronto, Ontario, Canada / Montreal, Quebec, Canada / Vancouver, British Columbia, Canada")</f>
        <v/>
      </c>
      <c r="K7956">
        <f>IFERROR(__xludf.DUMMYFUNCTION("""COMPUTED_VALUE"""),5003.5)</f>
        <v/>
      </c>
    </row>
    <row r="7957">
      <c r="J7957">
        <f>IFERROR(__xludf.DUMMYFUNCTION("""COMPUTED_VALUE"""),"Calgary AB, Winnipeg MB, Saskatoon SK, Calgary AB, Windsor ON, Kelowna BC")</f>
        <v/>
      </c>
      <c r="K7957">
        <f>IFERROR(__xludf.DUMMYFUNCTION("""COMPUTED_VALUE"""),5002.02)</f>
        <v/>
      </c>
    </row>
    <row r="7958">
      <c r="J7958">
        <f>IFERROR(__xludf.DUMMYFUNCTION("""COMPUTED_VALUE"""),"Edmonton, AB, Vancouver, BC, Toronto, ON")</f>
        <v/>
      </c>
      <c r="K7958">
        <f>IFERROR(__xludf.DUMMYFUNCTION("""COMPUTED_VALUE"""),5001.76)</f>
        <v/>
      </c>
    </row>
    <row r="7959">
      <c r="J7959">
        <f>IFERROR(__xludf.DUMMYFUNCTION("""COMPUTED_VALUE"""),"Alpbach, Austria")</f>
        <v/>
      </c>
      <c r="K7959">
        <f>IFERROR(__xludf.DUMMYFUNCTION("""COMPUTED_VALUE"""),5001.27)</f>
        <v/>
      </c>
    </row>
    <row r="7960">
      <c r="J7960">
        <f>IFERROR(__xludf.DUMMYFUNCTION("""COMPUTED_VALUE"""),"Red Deer, Alberta")</f>
        <v/>
      </c>
      <c r="K7960">
        <f>IFERROR(__xludf.DUMMYFUNCTION("""COMPUTED_VALUE"""),5000.49)</f>
        <v/>
      </c>
    </row>
    <row r="7961">
      <c r="J7961">
        <f>IFERROR(__xludf.DUMMYFUNCTION("""COMPUTED_VALUE"""),"Calgary, Alberta, Canada; Montreal, Quebec, Canada")</f>
        <v/>
      </c>
      <c r="K7961">
        <f>IFERROR(__xludf.DUMMYFUNCTION("""COMPUTED_VALUE"""),4999.46999999999)</f>
        <v/>
      </c>
    </row>
    <row r="7962">
      <c r="J7962">
        <f>IFERROR(__xludf.DUMMYFUNCTION("""COMPUTED_VALUE"""),"Kelowna/Vancouver, British Columbia, Canada")</f>
        <v/>
      </c>
      <c r="K7962">
        <f>IFERROR(__xludf.DUMMYFUNCTION("""COMPUTED_VALUE"""),4998.42)</f>
        <v/>
      </c>
    </row>
    <row r="7963">
      <c r="J7963">
        <f>IFERROR(__xludf.DUMMYFUNCTION("""COMPUTED_VALUE"""),"Prince Rupert, BC - Prince George, BC - Vancouver, BC")</f>
        <v/>
      </c>
      <c r="K7963">
        <f>IFERROR(__xludf.DUMMYFUNCTION("""COMPUTED_VALUE"""),4998.2)</f>
        <v/>
      </c>
    </row>
    <row r="7964">
      <c r="J7964">
        <f>IFERROR(__xludf.DUMMYFUNCTION("""COMPUTED_VALUE"""),"Venice, Italy and Rome, Italy")</f>
        <v/>
      </c>
      <c r="K7964">
        <f>IFERROR(__xludf.DUMMYFUNCTION("""COMPUTED_VALUE"""),4996.63)</f>
        <v/>
      </c>
    </row>
    <row r="7965">
      <c r="J7965">
        <f>IFERROR(__xludf.DUMMYFUNCTION("""COMPUTED_VALUE"""),"OTTAWA, ON &amp; TORONTO, ON")</f>
        <v/>
      </c>
      <c r="K7965">
        <f>IFERROR(__xludf.DUMMYFUNCTION("""COMPUTED_VALUE"""),4996.29)</f>
        <v/>
      </c>
    </row>
    <row r="7966">
      <c r="J7966">
        <f>IFERROR(__xludf.DUMMYFUNCTION("""COMPUTED_VALUE"""),"Rome, Florence")</f>
        <v/>
      </c>
      <c r="K7966">
        <f>IFERROR(__xludf.DUMMYFUNCTION("""COMPUTED_VALUE"""),4995.21)</f>
        <v/>
      </c>
    </row>
    <row r="7967">
      <c r="J7967">
        <f>IFERROR(__xludf.DUMMYFUNCTION("""COMPUTED_VALUE"""),"Toronto, Ottawa, and Montrea, Ontario and Quebec, Canada")</f>
        <v/>
      </c>
      <c r="K7967">
        <f>IFERROR(__xludf.DUMMYFUNCTION("""COMPUTED_VALUE"""),4994.64)</f>
        <v/>
      </c>
    </row>
    <row r="7968">
      <c r="J7968">
        <f>IFERROR(__xludf.DUMMYFUNCTION("""COMPUTED_VALUE"""),"Trinidad Tobago Venezuela Columbia")</f>
        <v/>
      </c>
      <c r="K7968">
        <f>IFERROR(__xludf.DUMMYFUNCTION("""COMPUTED_VALUE"""),4990.58)</f>
        <v/>
      </c>
    </row>
    <row r="7969">
      <c r="J7969">
        <f>IFERROR(__xludf.DUMMYFUNCTION("""COMPUTED_VALUE"""),"Ottawa, Ontario; Nunavut, Iqaluit; Québec City, Québec")</f>
        <v/>
      </c>
      <c r="K7969">
        <f>IFERROR(__xludf.DUMMYFUNCTION("""COMPUTED_VALUE"""),4990.52)</f>
        <v/>
      </c>
    </row>
    <row r="7970">
      <c r="J7970">
        <f>IFERROR(__xludf.DUMMYFUNCTION("""COMPUTED_VALUE"""),"Calgary, Alberta, Winnipeg, Manitoba, Montreal, Quebec")</f>
        <v/>
      </c>
      <c r="K7970">
        <f>IFERROR(__xludf.DUMMYFUNCTION("""COMPUTED_VALUE"""),4990.44)</f>
        <v/>
      </c>
    </row>
    <row r="7971">
      <c r="J7971">
        <f>IFERROR(__xludf.DUMMYFUNCTION("""COMPUTED_VALUE"""),"Calgary, Alberta, Canada; 
Banff, Alberta, Canada; 
Montréal, Quebec, Canada")</f>
        <v/>
      </c>
      <c r="K7971">
        <f>IFERROR(__xludf.DUMMYFUNCTION("""COMPUTED_VALUE"""),4988.96)</f>
        <v/>
      </c>
    </row>
    <row r="7972">
      <c r="J7972">
        <f>IFERROR(__xludf.DUMMYFUNCTION("""COMPUTED_VALUE"""),"Fort St-John, British Columbia")</f>
        <v/>
      </c>
      <c r="K7972">
        <f>IFERROR(__xludf.DUMMYFUNCTION("""COMPUTED_VALUE"""),4988.54)</f>
        <v/>
      </c>
    </row>
    <row r="7973">
      <c r="J7973">
        <f>IFERROR(__xludf.DUMMYFUNCTION("""COMPUTED_VALUE"""),"Calgary, Edmonton, AB, Vancouver, Kelowna, BC, Montreal, Quebec, QC")</f>
        <v/>
      </c>
      <c r="K7973">
        <f>IFERROR(__xludf.DUMMYFUNCTION("""COMPUTED_VALUE"""),4987.88)</f>
        <v/>
      </c>
    </row>
    <row r="7974">
      <c r="J7974">
        <f>IFERROR(__xludf.DUMMYFUNCTION("""COMPUTED_VALUE"""),"Ontario, British Columbia, Alberta")</f>
        <v/>
      </c>
      <c r="K7974">
        <f>IFERROR(__xludf.DUMMYFUNCTION("""COMPUTED_VALUE"""),4986.09)</f>
        <v/>
      </c>
    </row>
    <row r="7975">
      <c r="J7975">
        <f>IFERROR(__xludf.DUMMYFUNCTION("""COMPUTED_VALUE"""),"Brussels, Belgium, Paris, France")</f>
        <v/>
      </c>
      <c r="K7975">
        <f>IFERROR(__xludf.DUMMYFUNCTION("""COMPUTED_VALUE"""),4985.69)</f>
        <v/>
      </c>
    </row>
    <row r="7976">
      <c r="J7976">
        <f>IFERROR(__xludf.DUMMYFUNCTION("""COMPUTED_VALUE"""),"Edmonton and Vancouver, Canada")</f>
        <v/>
      </c>
      <c r="K7976">
        <f>IFERROR(__xludf.DUMMYFUNCTION("""COMPUTED_VALUE"""),4984.69)</f>
        <v/>
      </c>
    </row>
    <row r="7977">
      <c r="J7977">
        <f>IFERROR(__xludf.DUMMYFUNCTION("""COMPUTED_VALUE"""),"Akzas, Türkiye")</f>
        <v/>
      </c>
      <c r="K7977">
        <f>IFERROR(__xludf.DUMMYFUNCTION("""COMPUTED_VALUE"""),4983.13)</f>
        <v/>
      </c>
    </row>
    <row r="7978">
      <c r="J7978">
        <f>IFERROR(__xludf.DUMMYFUNCTION("""COMPUTED_VALUE"""),"VANCOUVER, BC - WHITEHORSE, YT")</f>
        <v/>
      </c>
      <c r="K7978">
        <f>IFERROR(__xludf.DUMMYFUNCTION("""COMPUTED_VALUE"""),4980.26)</f>
        <v/>
      </c>
    </row>
    <row r="7979">
      <c r="J7979">
        <f>IFERROR(__xludf.DUMMYFUNCTION("""COMPUTED_VALUE"""),"Edmonton, Alberta, Vancouver, Penticton and Victoria, British Columbia, Canada")</f>
        <v/>
      </c>
      <c r="K7979">
        <f>IFERROR(__xludf.DUMMYFUNCTION("""COMPUTED_VALUE"""),4979.98)</f>
        <v/>
      </c>
    </row>
    <row r="7980">
      <c r="J7980">
        <f>IFERROR(__xludf.DUMMYFUNCTION("""COMPUTED_VALUE"""),"Baudette, Manitoba")</f>
        <v/>
      </c>
      <c r="K7980">
        <f>IFERROR(__xludf.DUMMYFUNCTION("""COMPUTED_VALUE"""),4979.92)</f>
        <v/>
      </c>
    </row>
    <row r="7981">
      <c r="J7981">
        <f>IFERROR(__xludf.DUMMYFUNCTION("""COMPUTED_VALUE"""),"Calgary, AB, Blackfalds, AB")</f>
        <v/>
      </c>
      <c r="K7981">
        <f>IFERROR(__xludf.DUMMYFUNCTION("""COMPUTED_VALUE"""),4978.18)</f>
        <v/>
      </c>
    </row>
    <row r="7982">
      <c r="J7982">
        <f>IFERROR(__xludf.DUMMYFUNCTION("""COMPUTED_VALUE"""),"Gatineau, Québec / Toronto, Ontario")</f>
        <v/>
      </c>
      <c r="K7982">
        <f>IFERROR(__xludf.DUMMYFUNCTION("""COMPUTED_VALUE"""),4977.23)</f>
        <v/>
      </c>
    </row>
    <row r="7983">
      <c r="J7983">
        <f>IFERROR(__xludf.DUMMYFUNCTION("""COMPUTED_VALUE"""),"Edmonton, AB,Victoria, BC")</f>
        <v/>
      </c>
      <c r="K7983">
        <f>IFERROR(__xludf.DUMMYFUNCTION("""COMPUTED_VALUE"""),4975.97)</f>
        <v/>
      </c>
    </row>
    <row r="7984">
      <c r="J7984">
        <f>IFERROR(__xludf.DUMMYFUNCTION("""COMPUTED_VALUE"""),"Moncton, Fredericton, New Brunswick, Canada")</f>
        <v/>
      </c>
      <c r="K7984">
        <f>IFERROR(__xludf.DUMMYFUNCTION("""COMPUTED_VALUE"""),4975.67)</f>
        <v/>
      </c>
    </row>
    <row r="7985">
      <c r="J7985">
        <f>IFERROR(__xludf.DUMMYFUNCTION("""COMPUTED_VALUE"""),"Ottawa, ON, Niagara Falls, ON, Washington, DC")</f>
        <v/>
      </c>
      <c r="K7985">
        <f>IFERROR(__xludf.DUMMYFUNCTION("""COMPUTED_VALUE"""),4975.61)</f>
        <v/>
      </c>
    </row>
    <row r="7986">
      <c r="J7986">
        <f>IFERROR(__xludf.DUMMYFUNCTION("""COMPUTED_VALUE"""),"Santiago; Mexico City")</f>
        <v/>
      </c>
      <c r="K7986">
        <f>IFERROR(__xludf.DUMMYFUNCTION("""COMPUTED_VALUE"""),4975.47)</f>
        <v/>
      </c>
    </row>
    <row r="7987">
      <c r="J7987">
        <f>IFERROR(__xludf.DUMMYFUNCTION("""COMPUTED_VALUE"""),"Windsor, ON
Detroit, MI")</f>
        <v/>
      </c>
      <c r="K7987">
        <f>IFERROR(__xludf.DUMMYFUNCTION("""COMPUTED_VALUE"""),4974.52)</f>
        <v/>
      </c>
    </row>
    <row r="7988">
      <c r="J7988">
        <f>IFERROR(__xludf.DUMMYFUNCTION("""COMPUTED_VALUE"""),"Toronto, ON / Ann Arbor, MI / Detroit, MI")</f>
        <v/>
      </c>
      <c r="K7988">
        <f>IFERROR(__xludf.DUMMYFUNCTION("""COMPUTED_VALUE"""),4974.01)</f>
        <v/>
      </c>
    </row>
    <row r="7989">
      <c r="J7989">
        <f>IFERROR(__xludf.DUMMYFUNCTION("""COMPUTED_VALUE"""),"Edmonton, AB - Victoria, BC")</f>
        <v/>
      </c>
      <c r="K7989">
        <f>IFERROR(__xludf.DUMMYFUNCTION("""COMPUTED_VALUE"""),4970.71999999999)</f>
        <v/>
      </c>
    </row>
    <row r="7990">
      <c r="J7990">
        <f>IFERROR(__xludf.DUMMYFUNCTION("""COMPUTED_VALUE"""),"Manitoba, Winnipeg, Canada")</f>
        <v/>
      </c>
      <c r="K7990">
        <f>IFERROR(__xludf.DUMMYFUNCTION("""COMPUTED_VALUE"""),4970.05999999999)</f>
        <v/>
      </c>
    </row>
    <row r="7991">
      <c r="J7991">
        <f>IFERROR(__xludf.DUMMYFUNCTION("""COMPUTED_VALUE"""),"Aberdeen, United Kingdom; London, United Kingdom")</f>
        <v/>
      </c>
      <c r="K7991">
        <f>IFERROR(__xludf.DUMMYFUNCTION("""COMPUTED_VALUE"""),4968.03)</f>
        <v/>
      </c>
    </row>
    <row r="7992">
      <c r="J7992">
        <f>IFERROR(__xludf.DUMMYFUNCTION("""COMPUTED_VALUE"""),"Newfoundland, Canada; Labrador, Canada; Goose Bay, Newfoundland, Canada")</f>
        <v/>
      </c>
      <c r="K7992">
        <f>IFERROR(__xludf.DUMMYFUNCTION("""COMPUTED_VALUE"""),4967.30999999999)</f>
        <v/>
      </c>
    </row>
    <row r="7993">
      <c r="J7993">
        <f>IFERROR(__xludf.DUMMYFUNCTION("""COMPUTED_VALUE"""),"Toronto, London, Sudbury, ON, Regina, SK, Calgary, AB")</f>
        <v/>
      </c>
      <c r="K7993">
        <f>IFERROR(__xludf.DUMMYFUNCTION("""COMPUTED_VALUE"""),4964.48)</f>
        <v/>
      </c>
    </row>
    <row r="7994">
      <c r="J7994">
        <f>IFERROR(__xludf.DUMMYFUNCTION("""COMPUTED_VALUE"""),"Victoria, BC, CA")</f>
        <v/>
      </c>
      <c r="K7994">
        <f>IFERROR(__xludf.DUMMYFUNCTION("""COMPUTED_VALUE"""),4963.97)</f>
        <v/>
      </c>
    </row>
    <row r="7995">
      <c r="J7995">
        <f>IFERROR(__xludf.DUMMYFUNCTION("""COMPUTED_VALUE"""),"Saguenay, Sept Îles, Quebec, Canada")</f>
        <v/>
      </c>
      <c r="K7995">
        <f>IFERROR(__xludf.DUMMYFUNCTION("""COMPUTED_VALUE"""),4962.95)</f>
        <v/>
      </c>
    </row>
    <row r="7996">
      <c r="J7996">
        <f>IFERROR(__xludf.DUMMYFUNCTION("""COMPUTED_VALUE"""),"Shanghai, Beijing, Hong Kong, China")</f>
        <v/>
      </c>
      <c r="K7996">
        <f>IFERROR(__xludf.DUMMYFUNCTION("""COMPUTED_VALUE"""),4962.27)</f>
        <v/>
      </c>
    </row>
    <row r="7997">
      <c r="J7997">
        <f>IFERROR(__xludf.DUMMYFUNCTION("""COMPUTED_VALUE"""),"Halifax,NS")</f>
        <v/>
      </c>
      <c r="K7997">
        <f>IFERROR(__xludf.DUMMYFUNCTION("""COMPUTED_VALUE"""),4959.68)</f>
        <v/>
      </c>
    </row>
    <row r="7998">
      <c r="J7998">
        <f>IFERROR(__xludf.DUMMYFUNCTION("""COMPUTED_VALUE"""),"Oklahoma City, United States")</f>
        <v/>
      </c>
      <c r="K7998">
        <f>IFERROR(__xludf.DUMMYFUNCTION("""COMPUTED_VALUE"""),4959.23)</f>
        <v/>
      </c>
    </row>
    <row r="7999">
      <c r="J7999">
        <f>IFERROR(__xludf.DUMMYFUNCTION("""COMPUTED_VALUE"""),"Vancouver, British Columbia, canada")</f>
        <v/>
      </c>
      <c r="K7999">
        <f>IFERROR(__xludf.DUMMYFUNCTION("""COMPUTED_VALUE"""),4958.66)</f>
        <v/>
      </c>
    </row>
    <row r="8000">
      <c r="J8000">
        <f>IFERROR(__xludf.DUMMYFUNCTION("""COMPUTED_VALUE"""),"Reston, Virginia and Mexico City, Mexico")</f>
        <v/>
      </c>
      <c r="K8000">
        <f>IFERROR(__xludf.DUMMYFUNCTION("""COMPUTED_VALUE"""),4957.69)</f>
        <v/>
      </c>
    </row>
    <row r="8001">
      <c r="J8001">
        <f>IFERROR(__xludf.DUMMYFUNCTION("""COMPUTED_VALUE"""),"Thunder Bay, ON; Ottawa, ON")</f>
        <v/>
      </c>
      <c r="K8001">
        <f>IFERROR(__xludf.DUMMYFUNCTION("""COMPUTED_VALUE"""),4957.12)</f>
        <v/>
      </c>
    </row>
    <row r="8002">
      <c r="J8002">
        <f>IFERROR(__xludf.DUMMYFUNCTION("""COMPUTED_VALUE"""),"Gaithersburg (MD), USA")</f>
        <v/>
      </c>
      <c r="K8002">
        <f>IFERROR(__xludf.DUMMYFUNCTION("""COMPUTED_VALUE"""),4955.75)</f>
        <v/>
      </c>
    </row>
    <row r="8003">
      <c r="J8003">
        <f>IFERROR(__xludf.DUMMYFUNCTION("""COMPUTED_VALUE"""),"Mexico City, Mazatlan, Mexico Ottawa")</f>
        <v/>
      </c>
      <c r="K8003">
        <f>IFERROR(__xludf.DUMMYFUNCTION("""COMPUTED_VALUE"""),4951.62)</f>
        <v/>
      </c>
    </row>
    <row r="8004">
      <c r="J8004">
        <f>IFERROR(__xludf.DUMMYFUNCTION("""COMPUTED_VALUE"""),"Saskatoon, Saskatchewan / Edmonton, Alberta")</f>
        <v/>
      </c>
      <c r="K8004">
        <f>IFERROR(__xludf.DUMMYFUNCTION("""COMPUTED_VALUE"""),4950.83)</f>
        <v/>
      </c>
    </row>
    <row r="8005">
      <c r="J8005">
        <f>IFERROR(__xludf.DUMMYFUNCTION("""COMPUTED_VALUE"""),"Sault Ste. Marie, ON / North Bay, ON / Winnipeg, MB")</f>
        <v/>
      </c>
      <c r="K8005">
        <f>IFERROR(__xludf.DUMMYFUNCTION("""COMPUTED_VALUE"""),4949.62)</f>
        <v/>
      </c>
    </row>
    <row r="8006">
      <c r="J8006">
        <f>IFERROR(__xludf.DUMMYFUNCTION("""COMPUTED_VALUE"""),"Victoria and Tofino, British Columbia, Canada")</f>
        <v/>
      </c>
      <c r="K8006">
        <f>IFERROR(__xludf.DUMMYFUNCTION("""COMPUTED_VALUE"""),4949.6)</f>
        <v/>
      </c>
    </row>
    <row r="8007">
      <c r="J8007">
        <f>IFERROR(__xludf.DUMMYFUNCTION("""COMPUTED_VALUE"""),"Kelowna, BC - Vancouver, BC - Victoria, BC - Ottawa, ON")</f>
        <v/>
      </c>
      <c r="K8007">
        <f>IFERROR(__xludf.DUMMYFUNCTION("""COMPUTED_VALUE"""),4949.53)</f>
        <v/>
      </c>
    </row>
    <row r="8008">
      <c r="J8008">
        <f>IFERROR(__xludf.DUMMYFUNCTION("""COMPUTED_VALUE"""),"Surrey, British Columbia, Canada and Prince Rupert, British Columbia, Canada")</f>
        <v/>
      </c>
      <c r="K8008">
        <f>IFERROR(__xludf.DUMMYFUNCTION("""COMPUTED_VALUE"""),4946.28)</f>
        <v/>
      </c>
    </row>
    <row r="8009">
      <c r="J8009">
        <f>IFERROR(__xludf.DUMMYFUNCTION("""COMPUTED_VALUE"""),"Halifax, Montreal")</f>
        <v/>
      </c>
      <c r="K8009">
        <f>IFERROR(__xludf.DUMMYFUNCTION("""COMPUTED_VALUE"""),4946.14)</f>
        <v/>
      </c>
    </row>
    <row r="8010">
      <c r="J8010">
        <f>IFERROR(__xludf.DUMMYFUNCTION("""COMPUTED_VALUE"""),"Toronto, Ontario, Canada; Winnipeg, Manitoba, Canada; Vancouver, British Columbia, Canada")</f>
        <v/>
      </c>
      <c r="K8010">
        <f>IFERROR(__xludf.DUMMYFUNCTION("""COMPUTED_VALUE"""),4944.27)</f>
        <v/>
      </c>
    </row>
    <row r="8011">
      <c r="J8011">
        <f>IFERROR(__xludf.DUMMYFUNCTION("""COMPUTED_VALUE"""),"Toronto, Ontario; Hamilton, Ontario, Canada")</f>
        <v/>
      </c>
      <c r="K8011">
        <f>IFERROR(__xludf.DUMMYFUNCTION("""COMPUTED_VALUE"""),4943.78)</f>
        <v/>
      </c>
    </row>
    <row r="8012">
      <c r="J8012">
        <f>IFERROR(__xludf.DUMMYFUNCTION("""COMPUTED_VALUE"""),"Washington, Toronto")</f>
        <v/>
      </c>
      <c r="K8012">
        <f>IFERROR(__xludf.DUMMYFUNCTION("""COMPUTED_VALUE"""),4942.91)</f>
        <v/>
      </c>
    </row>
    <row r="8013">
      <c r="J8013">
        <f>IFERROR(__xludf.DUMMYFUNCTION("""COMPUTED_VALUE"""),"Port-Cartier, Quebec, Canada")</f>
        <v/>
      </c>
      <c r="K8013">
        <f>IFERROR(__xludf.DUMMYFUNCTION("""COMPUTED_VALUE"""),4942.58)</f>
        <v/>
      </c>
    </row>
    <row r="8014">
      <c r="J8014">
        <f>IFERROR(__xludf.DUMMYFUNCTION("""COMPUTED_VALUE"""),"Washington, DC and New York")</f>
        <v/>
      </c>
      <c r="K8014">
        <f>IFERROR(__xludf.DUMMYFUNCTION("""COMPUTED_VALUE"""),4942.41)</f>
        <v/>
      </c>
    </row>
    <row r="8015">
      <c r="J8015">
        <f>IFERROR(__xludf.DUMMYFUNCTION("""COMPUTED_VALUE"""),"Vancouver and Nanaimo, British Columbia, Canada")</f>
        <v/>
      </c>
      <c r="K8015">
        <f>IFERROR(__xludf.DUMMYFUNCTION("""COMPUTED_VALUE"""),4941.45)</f>
        <v/>
      </c>
    </row>
    <row r="8016">
      <c r="J8016">
        <f>IFERROR(__xludf.DUMMYFUNCTION("""COMPUTED_VALUE"""),"Natashquan, Quebec")</f>
        <v/>
      </c>
      <c r="K8016">
        <f>IFERROR(__xludf.DUMMYFUNCTION("""COMPUTED_VALUE"""),4940.5)</f>
        <v/>
      </c>
    </row>
    <row r="8017">
      <c r="J8017">
        <f>IFERROR(__xludf.DUMMYFUNCTION("""COMPUTED_VALUE"""),"Delta, British Columbia, Canada")</f>
        <v/>
      </c>
      <c r="K8017">
        <f>IFERROR(__xludf.DUMMYFUNCTION("""COMPUTED_VALUE"""),4939.87)</f>
        <v/>
      </c>
    </row>
    <row r="8018">
      <c r="J8018">
        <f>IFERROR(__xludf.DUMMYFUNCTION("""COMPUTED_VALUE"""),"Victoria, Vancover, British-Columbia, Canada")</f>
        <v/>
      </c>
      <c r="K8018">
        <f>IFERROR(__xludf.DUMMYFUNCTION("""COMPUTED_VALUE"""),4939.78)</f>
        <v/>
      </c>
    </row>
    <row r="8019">
      <c r="J8019">
        <f>IFERROR(__xludf.DUMMYFUNCTION("""COMPUTED_VALUE"""),"Ditchley and London, UK")</f>
        <v/>
      </c>
      <c r="K8019">
        <f>IFERROR(__xludf.DUMMYFUNCTION("""COMPUTED_VALUE"""),4939.72)</f>
        <v/>
      </c>
    </row>
    <row r="8020">
      <c r="J8020">
        <f>IFERROR(__xludf.DUMMYFUNCTION("""COMPUTED_VALUE"""),"Washington, District of Columbia, United States / Verona, Italy")</f>
        <v/>
      </c>
      <c r="K8020">
        <f>IFERROR(__xludf.DUMMYFUNCTION("""COMPUTED_VALUE"""),4939.63)</f>
        <v/>
      </c>
    </row>
    <row r="8021">
      <c r="J8021">
        <f>IFERROR(__xludf.DUMMYFUNCTION("""COMPUTED_VALUE"""),"Calgary, Regina")</f>
        <v/>
      </c>
      <c r="K8021">
        <f>IFERROR(__xludf.DUMMYFUNCTION("""COMPUTED_VALUE"""),4939.19)</f>
        <v/>
      </c>
    </row>
    <row r="8022">
      <c r="J8022">
        <f>IFERROR(__xludf.DUMMYFUNCTION("""COMPUTED_VALUE"""),"Moncton, NB - West Point, NY USA / West Point, NY USA - Moncton, NB")</f>
        <v/>
      </c>
      <c r="K8022">
        <f>IFERROR(__xludf.DUMMYFUNCTION("""COMPUTED_VALUE"""),4938.07)</f>
        <v/>
      </c>
    </row>
    <row r="8023">
      <c r="J8023">
        <f>IFERROR(__xludf.DUMMYFUNCTION("""COMPUTED_VALUE"""),"Winnipeg, Manitoba, Canada; Ottawa, Ontario, Canada; Gatineau, Quebec, Canada")</f>
        <v/>
      </c>
      <c r="K8023">
        <f>IFERROR(__xludf.DUMMYFUNCTION("""COMPUTED_VALUE"""),4936.93)</f>
        <v/>
      </c>
    </row>
    <row r="8024">
      <c r="J8024">
        <f>IFERROR(__xludf.DUMMYFUNCTION("""COMPUTED_VALUE"""),"Victoria and Vancouver, B.C.")</f>
        <v/>
      </c>
      <c r="K8024">
        <f>IFERROR(__xludf.DUMMYFUNCTION("""COMPUTED_VALUE"""),4936.87)</f>
        <v/>
      </c>
    </row>
    <row r="8025">
      <c r="J8025">
        <f>IFERROR(__xludf.DUMMYFUNCTION("""COMPUTED_VALUE"""),"Vancouver and Cranbrook, British Columbia")</f>
        <v/>
      </c>
      <c r="K8025">
        <f>IFERROR(__xludf.DUMMYFUNCTION("""COMPUTED_VALUE"""),4936.54)</f>
        <v/>
      </c>
    </row>
    <row r="8026">
      <c r="J8026">
        <f>IFERROR(__xludf.DUMMYFUNCTION("""COMPUTED_VALUE"""),"Edmonton and Calgary, Alberta and Québec City, Québec")</f>
        <v/>
      </c>
      <c r="K8026">
        <f>IFERROR(__xludf.DUMMYFUNCTION("""COMPUTED_VALUE"""),4935.9)</f>
        <v/>
      </c>
    </row>
    <row r="8027">
      <c r="J8027">
        <f>IFERROR(__xludf.DUMMYFUNCTION("""COMPUTED_VALUE"""),"Mississauga Waterloo, Ontario, Canada")</f>
        <v/>
      </c>
      <c r="K8027">
        <f>IFERROR(__xludf.DUMMYFUNCTION("""COMPUTED_VALUE"""),4935.65)</f>
        <v/>
      </c>
    </row>
    <row r="8028">
      <c r="J8028">
        <f>IFERROR(__xludf.DUMMYFUNCTION("""COMPUTED_VALUE"""),"Halifax, Nova Scotia, Canada
Moncton, New Brunswick, Canada")</f>
        <v/>
      </c>
      <c r="K8028">
        <f>IFERROR(__xludf.DUMMYFUNCTION("""COMPUTED_VALUE"""),4935.43)</f>
        <v/>
      </c>
    </row>
    <row r="8029">
      <c r="J8029">
        <f>IFERROR(__xludf.DUMMYFUNCTION("""COMPUTED_VALUE"""),"Vancouver, Ottawa and Toronto")</f>
        <v/>
      </c>
      <c r="K8029">
        <f>IFERROR(__xludf.DUMMYFUNCTION("""COMPUTED_VALUE"""),4935.06)</f>
        <v/>
      </c>
    </row>
    <row r="8030">
      <c r="J8030">
        <f>IFERROR(__xludf.DUMMYFUNCTION("""COMPUTED_VALUE"""),"London and Port Colborne, Ontario, Canada")</f>
        <v/>
      </c>
      <c r="K8030">
        <f>IFERROR(__xludf.DUMMYFUNCTION("""COMPUTED_VALUE"""),4934.91)</f>
        <v/>
      </c>
    </row>
    <row r="8031">
      <c r="J8031">
        <f>IFERROR(__xludf.DUMMYFUNCTION("""COMPUTED_VALUE"""),"Deer Lake (Newfoundland and Labrador) Canada
St.Johns (Newfoundland and Labrador) Canada")</f>
        <v/>
      </c>
      <c r="K8031">
        <f>IFERROR(__xludf.DUMMYFUNCTION("""COMPUTED_VALUE"""),4934.82)</f>
        <v/>
      </c>
    </row>
    <row r="8032">
      <c r="J8032">
        <f>IFERROR(__xludf.DUMMYFUNCTION("""COMPUTED_VALUE"""),"Pasadena and Washington, USA")</f>
        <v/>
      </c>
      <c r="K8032">
        <f>IFERROR(__xludf.DUMMYFUNCTION("""COMPUTED_VALUE"""),4934.78)</f>
        <v/>
      </c>
    </row>
    <row r="8033">
      <c r="J8033">
        <f>IFERROR(__xludf.DUMMYFUNCTION("""COMPUTED_VALUE"""),"Fort Lauderdale, Florida, USA")</f>
        <v/>
      </c>
      <c r="K8033">
        <f>IFERROR(__xludf.DUMMYFUNCTION("""COMPUTED_VALUE"""),4934.15)</f>
        <v/>
      </c>
    </row>
    <row r="8034">
      <c r="J8034">
        <f>IFERROR(__xludf.DUMMYFUNCTION("""COMPUTED_VALUE"""),"Gros Morne, Newfoundland and Labrador/Gatineau, Quebec")</f>
        <v/>
      </c>
      <c r="K8034">
        <f>IFERROR(__xludf.DUMMYFUNCTION("""COMPUTED_VALUE"""),4932.76)</f>
        <v/>
      </c>
    </row>
    <row r="8035">
      <c r="J8035">
        <f>IFERROR(__xludf.DUMMYFUNCTION("""COMPUTED_VALUE"""),"Toronto, Ontario, Canada; Scarborough, Ontario, Canada")</f>
        <v/>
      </c>
      <c r="K8035">
        <f>IFERROR(__xludf.DUMMYFUNCTION("""COMPUTED_VALUE"""),4931.62)</f>
        <v/>
      </c>
    </row>
    <row r="8036">
      <c r="J8036">
        <f>IFERROR(__xludf.DUMMYFUNCTION("""COMPUTED_VALUE"""),"Boston, Massachusetts, United States
Portland,Oregon, United States")</f>
        <v/>
      </c>
      <c r="K8036">
        <f>IFERROR(__xludf.DUMMYFUNCTION("""COMPUTED_VALUE"""),4931.14)</f>
        <v/>
      </c>
    </row>
    <row r="8037">
      <c r="J8037">
        <f>IFERROR(__xludf.DUMMYFUNCTION("""COMPUTED_VALUE"""),"Calgary, AB / Saskatoon, SK / Winnipeg, MB")</f>
        <v/>
      </c>
      <c r="K8037">
        <f>IFERROR(__xludf.DUMMYFUNCTION("""COMPUTED_VALUE"""),4930.83)</f>
        <v/>
      </c>
    </row>
    <row r="8038">
      <c r="J8038">
        <f>IFERROR(__xludf.DUMMYFUNCTION("""COMPUTED_VALUE"""),"Fredericton, NB Moncton, NB Halifax, NS")</f>
        <v/>
      </c>
      <c r="K8038">
        <f>IFERROR(__xludf.DUMMYFUNCTION("""COMPUTED_VALUE"""),4928.08)</f>
        <v/>
      </c>
    </row>
    <row r="8039">
      <c r="J8039">
        <f>IFERROR(__xludf.DUMMYFUNCTION("""COMPUTED_VALUE"""),"Vancouver, BC and Seattle, Washington")</f>
        <v/>
      </c>
      <c r="K8039">
        <f>IFERROR(__xludf.DUMMYFUNCTION("""COMPUTED_VALUE"""),4927.4)</f>
        <v/>
      </c>
    </row>
    <row r="8040">
      <c r="J8040">
        <f>IFERROR(__xludf.DUMMYFUNCTION("""COMPUTED_VALUE"""),"Winnipeg, Regina, Calgary, Edmonton, Vancouver")</f>
        <v/>
      </c>
      <c r="K8040">
        <f>IFERROR(__xludf.DUMMYFUNCTION("""COMPUTED_VALUE"""),4926.61)</f>
        <v/>
      </c>
    </row>
    <row r="8041">
      <c r="J8041">
        <f>IFERROR(__xludf.DUMMYFUNCTION("""COMPUTED_VALUE"""),"Fernie, British Columbia, Canada")</f>
        <v/>
      </c>
      <c r="K8041">
        <f>IFERROR(__xludf.DUMMYFUNCTION("""COMPUTED_VALUE"""),4924.77)</f>
        <v/>
      </c>
    </row>
    <row r="8042">
      <c r="J8042">
        <f>IFERROR(__xludf.DUMMYFUNCTION("""COMPUTED_VALUE"""),"Ottawa, Vancouver, Yellowknife, Iqualuit")</f>
        <v/>
      </c>
      <c r="K8042">
        <f>IFERROR(__xludf.DUMMYFUNCTION("""COMPUTED_VALUE"""),4924.51)</f>
        <v/>
      </c>
    </row>
    <row r="8043">
      <c r="J8043">
        <f>IFERROR(__xludf.DUMMYFUNCTION("""COMPUTED_VALUE"""),"FL, LA, PR")</f>
        <v/>
      </c>
      <c r="K8043">
        <f>IFERROR(__xludf.DUMMYFUNCTION("""COMPUTED_VALUE"""),4923.19)</f>
        <v/>
      </c>
    </row>
    <row r="8044">
      <c r="J8044">
        <f>IFERROR(__xludf.DUMMYFUNCTION("""COMPUTED_VALUE"""),"San Francisco, Seattle, Portland and Vancouver")</f>
        <v/>
      </c>
      <c r="K8044">
        <f>IFERROR(__xludf.DUMMYFUNCTION("""COMPUTED_VALUE"""),4922.65)</f>
        <v/>
      </c>
    </row>
    <row r="8045">
      <c r="J8045">
        <f>IFERROR(__xludf.DUMMYFUNCTION("""COMPUTED_VALUE"""),"Vancouver, British Columbia, Canada; Edmonton, Alberta, Canada; Calgary, Alberta, Canada and Winnipeg, Manitoba, Canada")</f>
        <v/>
      </c>
      <c r="K8045">
        <f>IFERROR(__xludf.DUMMYFUNCTION("""COMPUTED_VALUE"""),4921.32)</f>
        <v/>
      </c>
    </row>
    <row r="8046">
      <c r="J8046">
        <f>IFERROR(__xludf.DUMMYFUNCTION("""COMPUTED_VALUE"""),"Poland, Latvia")</f>
        <v/>
      </c>
      <c r="K8046">
        <f>IFERROR(__xludf.DUMMYFUNCTION("""COMPUTED_VALUE"""),4920.42)</f>
        <v/>
      </c>
    </row>
    <row r="8047">
      <c r="J8047">
        <f>IFERROR(__xludf.DUMMYFUNCTION("""COMPUTED_VALUE"""),"Greenville, United States")</f>
        <v/>
      </c>
      <c r="K8047">
        <f>IFERROR(__xludf.DUMMYFUNCTION("""COMPUTED_VALUE"""),4917.63)</f>
        <v/>
      </c>
    </row>
    <row r="8048">
      <c r="J8048">
        <f>IFERROR(__xludf.DUMMYFUNCTION("""COMPUTED_VALUE"""),"London, England; Calgary, AB")</f>
        <v/>
      </c>
      <c r="K8048">
        <f>IFERROR(__xludf.DUMMYFUNCTION("""COMPUTED_VALUE"""),4917.28)</f>
        <v/>
      </c>
    </row>
    <row r="8049">
      <c r="J8049">
        <f>IFERROR(__xludf.DUMMYFUNCTION("""COMPUTED_VALUE"""),"Ottawa, Ontario, Canada; Toronto, Ontario, Canada; Montréal, Quebec, Canada")</f>
        <v/>
      </c>
      <c r="K8049">
        <f>IFERROR(__xludf.DUMMYFUNCTION("""COMPUTED_VALUE"""),4916.93)</f>
        <v/>
      </c>
    </row>
    <row r="8050">
      <c r="J8050">
        <f>IFERROR(__xludf.DUMMYFUNCTION("""COMPUTED_VALUE"""),"Winnipeg, Edmonton, Saskatoon")</f>
        <v/>
      </c>
      <c r="K8050">
        <f>IFERROR(__xludf.DUMMYFUNCTION("""COMPUTED_VALUE"""),4916.36)</f>
        <v/>
      </c>
    </row>
    <row r="8051">
      <c r="J8051">
        <f>IFERROR(__xludf.DUMMYFUNCTION("""COMPUTED_VALUE"""),"Denver (Colorado) United States")</f>
        <v/>
      </c>
      <c r="K8051">
        <f>IFERROR(__xludf.DUMMYFUNCTION("""COMPUTED_VALUE"""),4916.24)</f>
        <v/>
      </c>
    </row>
    <row r="8052">
      <c r="J8052">
        <f>IFERROR(__xludf.DUMMYFUNCTION("""COMPUTED_VALUE"""),"Fredericton, NB; Halifax, NS; Charlottetown, PEI, St. John's, NL")</f>
        <v/>
      </c>
      <c r="K8052">
        <f>IFERROR(__xludf.DUMMYFUNCTION("""COMPUTED_VALUE"""),4915.64)</f>
        <v/>
      </c>
    </row>
    <row r="8053">
      <c r="J8053">
        <f>IFERROR(__xludf.DUMMYFUNCTION("""COMPUTED_VALUE"""),"Toronto, Ontario, Canada; Moosomin, Saskatchewan, Canada")</f>
        <v/>
      </c>
      <c r="K8053">
        <f>IFERROR(__xludf.DUMMYFUNCTION("""COMPUTED_VALUE"""),4915.11)</f>
        <v/>
      </c>
    </row>
    <row r="8054">
      <c r="J8054">
        <f>IFERROR(__xludf.DUMMYFUNCTION("""COMPUTED_VALUE"""),"Amsterdam, Netherlands and Paris, France")</f>
        <v/>
      </c>
      <c r="K8054">
        <f>IFERROR(__xludf.DUMMYFUNCTION("""COMPUTED_VALUE"""),4914.32)</f>
        <v/>
      </c>
    </row>
    <row r="8055">
      <c r="J8055">
        <f>IFERROR(__xludf.DUMMYFUNCTION("""COMPUTED_VALUE"""),"Bromont, Quebec, Canada; Montréal, Quebec, Canada; Campbellton, New Brunswick, Canada; Miramichi, New Brunswick, Canada; Brampton, Ontario, Canada; Moncton, New Brunswick, Canada; Charlottetown, Prince Edward Island, Canada")</f>
        <v/>
      </c>
      <c r="K8055">
        <f>IFERROR(__xludf.DUMMYFUNCTION("""COMPUTED_VALUE"""),4914.07)</f>
        <v/>
      </c>
    </row>
    <row r="8056">
      <c r="J8056">
        <f>IFERROR(__xludf.DUMMYFUNCTION("""COMPUTED_VALUE"""),"Skidegate, British Columbia, Canada/ Abbotsford, British Columbia, Canada/  Richmond, British Columbia, Canada")</f>
        <v/>
      </c>
      <c r="K8056">
        <f>IFERROR(__xludf.DUMMYFUNCTION("""COMPUTED_VALUE"""),4913.93)</f>
        <v/>
      </c>
    </row>
    <row r="8057">
      <c r="J8057">
        <f>IFERROR(__xludf.DUMMYFUNCTION("""COMPUTED_VALUE"""),"Juneau, Alaska")</f>
        <v/>
      </c>
      <c r="K8057">
        <f>IFERROR(__xludf.DUMMYFUNCTION("""COMPUTED_VALUE"""),4913.92)</f>
        <v/>
      </c>
    </row>
    <row r="8058">
      <c r="J8058">
        <f>IFERROR(__xludf.DUMMYFUNCTION("""COMPUTED_VALUE"""),"Cambridge Bay,  NU")</f>
        <v/>
      </c>
      <c r="K8058">
        <f>IFERROR(__xludf.DUMMYFUNCTION("""COMPUTED_VALUE"""),4913.41)</f>
        <v/>
      </c>
    </row>
    <row r="8059">
      <c r="J8059">
        <f>IFERROR(__xludf.DUMMYFUNCTION("""COMPUTED_VALUE"""),"Kelowna / Vancouver")</f>
        <v/>
      </c>
      <c r="K8059">
        <f>IFERROR(__xludf.DUMMYFUNCTION("""COMPUTED_VALUE"""),4912.07)</f>
        <v/>
      </c>
    </row>
    <row r="8060">
      <c r="J8060">
        <f>IFERROR(__xludf.DUMMYFUNCTION("""COMPUTED_VALUE"""),"Kitchener (Ontario) Canada
Guelph (Ontario) Canada")</f>
        <v/>
      </c>
      <c r="K8060">
        <f>IFERROR(__xludf.DUMMYFUNCTION("""COMPUTED_VALUE"""),4911.61)</f>
        <v/>
      </c>
    </row>
    <row r="8061">
      <c r="J8061">
        <f>IFERROR(__xludf.DUMMYFUNCTION("""COMPUTED_VALUE"""),"Stratford, ON")</f>
        <v/>
      </c>
      <c r="K8061">
        <f>IFERROR(__xludf.DUMMYFUNCTION("""COMPUTED_VALUE"""),4910.13)</f>
        <v/>
      </c>
    </row>
    <row r="8062">
      <c r="J8062">
        <f>IFERROR(__xludf.DUMMYFUNCTION("""COMPUTED_VALUE"""),"Vancouver - Regina")</f>
        <v/>
      </c>
      <c r="K8062">
        <f>IFERROR(__xludf.DUMMYFUNCTION("""COMPUTED_VALUE"""),4907.17)</f>
        <v/>
      </c>
    </row>
    <row r="8063">
      <c r="J8063">
        <f>IFERROR(__xludf.DUMMYFUNCTION("""COMPUTED_VALUE"""),"Yellowknife,Yukon")</f>
        <v/>
      </c>
      <c r="K8063">
        <f>IFERROR(__xludf.DUMMYFUNCTION("""COMPUTED_VALUE"""),4904.36)</f>
        <v/>
      </c>
    </row>
    <row r="8064">
      <c r="J8064">
        <f>IFERROR(__xludf.DUMMYFUNCTION("""COMPUTED_VALUE"""),"Edmonton, AB, Toronto, ON, Montreal, QC, Iqaluit, NU")</f>
        <v/>
      </c>
      <c r="K8064">
        <f>IFERROR(__xludf.DUMMYFUNCTION("""COMPUTED_VALUE"""),4903.58)</f>
        <v/>
      </c>
    </row>
    <row r="8065">
      <c r="J8065">
        <f>IFERROR(__xludf.DUMMYFUNCTION("""COMPUTED_VALUE"""),"TIRANA, ALBANIA")</f>
        <v/>
      </c>
      <c r="K8065">
        <f>IFERROR(__xludf.DUMMYFUNCTION("""COMPUTED_VALUE"""),4903.35)</f>
        <v/>
      </c>
    </row>
    <row r="8066">
      <c r="J8066">
        <f>IFERROR(__xludf.DUMMYFUNCTION("""COMPUTED_VALUE"""),"Ottawa, Ontario; Port Alberni and Victoria, British Columbia")</f>
        <v/>
      </c>
      <c r="K8066">
        <f>IFERROR(__xludf.DUMMYFUNCTION("""COMPUTED_VALUE"""),4902.75)</f>
        <v/>
      </c>
    </row>
    <row r="8067">
      <c r="J8067">
        <f>IFERROR(__xludf.DUMMYFUNCTION("""COMPUTED_VALUE"""),"Gatineau, Quebec, Canada and Halifax, Nova Scotia, Canada")</f>
        <v/>
      </c>
      <c r="K8067">
        <f>IFERROR(__xludf.DUMMYFUNCTION("""COMPUTED_VALUE"""),4901.81)</f>
        <v/>
      </c>
    </row>
    <row r="8068">
      <c r="J8068">
        <f>IFERROR(__xludf.DUMMYFUNCTION("""COMPUTED_VALUE"""),"Vancouver, Prince George, British Columbia, Canada")</f>
        <v/>
      </c>
      <c r="K8068">
        <f>IFERROR(__xludf.DUMMYFUNCTION("""COMPUTED_VALUE"""),4901.72)</f>
        <v/>
      </c>
    </row>
    <row r="8069">
      <c r="J8069">
        <f>IFERROR(__xludf.DUMMYFUNCTION("""COMPUTED_VALUE"""),"Goose Bay, Newfoundland and Labrador, Canada; St. John's, Newfoundland and Labrador, Canada; Montréal, Quebec, Canada; Halifax, Nova Scotia, Canada; Québec, Quebec, Canada")</f>
        <v/>
      </c>
      <c r="K8069">
        <f>IFERROR(__xludf.DUMMYFUNCTION("""COMPUTED_VALUE"""),4901.26)</f>
        <v/>
      </c>
    </row>
    <row r="8070">
      <c r="J8070">
        <f>IFERROR(__xludf.DUMMYFUNCTION("""COMPUTED_VALUE"""),"Edinburgh, Scotland, UK")</f>
        <v/>
      </c>
      <c r="K8070">
        <f>IFERROR(__xludf.DUMMYFUNCTION("""COMPUTED_VALUE"""),4898.4)</f>
        <v/>
      </c>
    </row>
    <row r="8071">
      <c r="J8071">
        <f>IFERROR(__xludf.DUMMYFUNCTION("""COMPUTED_VALUE"""),"Vancouver, British Columbia, Canada.")</f>
        <v/>
      </c>
      <c r="K8071">
        <f>IFERROR(__xludf.DUMMYFUNCTION("""COMPUTED_VALUE"""),4898.39)</f>
        <v/>
      </c>
    </row>
    <row r="8072">
      <c r="J8072">
        <f>IFERROR(__xludf.DUMMYFUNCTION("""COMPUTED_VALUE"""),"Edmonton, Alberta, Canada and Victoria, British Columbia, Canada and Vancouver, British Columbia, Canada")</f>
        <v/>
      </c>
      <c r="K8072">
        <f>IFERROR(__xludf.DUMMYFUNCTION("""COMPUTED_VALUE"""),4898.04)</f>
        <v/>
      </c>
    </row>
    <row r="8073">
      <c r="J8073">
        <f>IFERROR(__xludf.DUMMYFUNCTION("""COMPUTED_VALUE"""),"Iqaluit - Pond Inlet, Nunavut")</f>
        <v/>
      </c>
      <c r="K8073">
        <f>IFERROR(__xludf.DUMMYFUNCTION("""COMPUTED_VALUE"""),4897.3)</f>
        <v/>
      </c>
    </row>
    <row r="8074">
      <c r="J8074">
        <f>IFERROR(__xludf.DUMMYFUNCTION("""COMPUTED_VALUE"""),"Calgary, Alberta, Canada &amp; Vancouver, British Columbia, Canada")</f>
        <v/>
      </c>
      <c r="K8074">
        <f>IFERROR(__xludf.DUMMYFUNCTION("""COMPUTED_VALUE"""),4896.96)</f>
        <v/>
      </c>
    </row>
    <row r="8075">
      <c r="J8075">
        <f>IFERROR(__xludf.DUMMYFUNCTION("""COMPUTED_VALUE"""),"Brazil, Paraguay, Argentina, Uruguay, Waterloo")</f>
        <v/>
      </c>
      <c r="K8075">
        <f>IFERROR(__xludf.DUMMYFUNCTION("""COMPUTED_VALUE"""),4896.93)</f>
        <v/>
      </c>
    </row>
    <row r="8076">
      <c r="J8076">
        <f>IFERROR(__xludf.DUMMYFUNCTION("""COMPUTED_VALUE"""),"Cornwall")</f>
        <v/>
      </c>
      <c r="K8076">
        <f>IFERROR(__xludf.DUMMYFUNCTION("""COMPUTED_VALUE"""),4893.55)</f>
        <v/>
      </c>
    </row>
    <row r="8077">
      <c r="J8077">
        <f>IFERROR(__xludf.DUMMYFUNCTION("""COMPUTED_VALUE"""),"Calgary, Banff")</f>
        <v/>
      </c>
      <c r="K8077">
        <f>IFERROR(__xludf.DUMMYFUNCTION("""COMPUTED_VALUE"""),4893.39)</f>
        <v/>
      </c>
    </row>
    <row r="8078">
      <c r="J8078">
        <f>IFERROR(__xludf.DUMMYFUNCTION("""COMPUTED_VALUE"""),"St. John's, Newfoundland and Labrador, Canada; Corner Brook, Newfoundland and Labrador, Canada; Stephenville, Newfoundland and Labrador, Canada; Rocky Harbour, Newfoundland and Labrador, Canada; St. Anthony, Newfoundland and Labrador, Canada")</f>
        <v/>
      </c>
      <c r="K8078">
        <f>IFERROR(__xludf.DUMMYFUNCTION("""COMPUTED_VALUE"""),4892.68)</f>
        <v/>
      </c>
    </row>
    <row r="8079">
      <c r="J8079">
        <f>IFERROR(__xludf.DUMMYFUNCTION("""COMPUTED_VALUE"""),"Sept-Iles, Quebec / St John's, Newfoundland")</f>
        <v/>
      </c>
      <c r="K8079">
        <f>IFERROR(__xludf.DUMMYFUNCTION("""COMPUTED_VALUE"""),4892.64)</f>
        <v/>
      </c>
    </row>
    <row r="8080">
      <c r="J8080">
        <f>IFERROR(__xludf.DUMMYFUNCTION("""COMPUTED_VALUE"""),"Vancouver (British Columbia) Canada
Victoria (British Columbia) Canada
Edmonton (Alberta) Canada
Regina (Saskatchewan) Canada
Winnipeg (Manitoba) Canada")</f>
        <v/>
      </c>
      <c r="K8080">
        <f>IFERROR(__xludf.DUMMYFUNCTION("""COMPUTED_VALUE"""),4889.73)</f>
        <v/>
      </c>
    </row>
    <row r="8081">
      <c r="J8081">
        <f>IFERROR(__xludf.DUMMYFUNCTION("""COMPUTED_VALUE"""),"Orlando, Florida, United States; Moncton, New Brunswick, Canada")</f>
        <v/>
      </c>
      <c r="K8081">
        <f>IFERROR(__xludf.DUMMYFUNCTION("""COMPUTED_VALUE"""),4889)</f>
        <v/>
      </c>
    </row>
    <row r="8082">
      <c r="J8082">
        <f>IFERROR(__xludf.DUMMYFUNCTION("""COMPUTED_VALUE"""),"Vladivostok")</f>
        <v/>
      </c>
      <c r="K8082">
        <f>IFERROR(__xludf.DUMMYFUNCTION("""COMPUTED_VALUE"""),4888.96)</f>
        <v/>
      </c>
    </row>
    <row r="8083">
      <c r="J8083">
        <f>IFERROR(__xludf.DUMMYFUNCTION("""COMPUTED_VALUE"""),"Toronto, Ontario, canada")</f>
        <v/>
      </c>
      <c r="K8083">
        <f>IFERROR(__xludf.DUMMYFUNCTION("""COMPUTED_VALUE"""),4886.2)</f>
        <v/>
      </c>
    </row>
    <row r="8084">
      <c r="J8084">
        <f>IFERROR(__xludf.DUMMYFUNCTION("""COMPUTED_VALUE"""),"Toronto, Ontario and Calgary, Alberta")</f>
        <v/>
      </c>
      <c r="K8084">
        <f>IFERROR(__xludf.DUMMYFUNCTION("""COMPUTED_VALUE"""),4885.91)</f>
        <v/>
      </c>
    </row>
    <row r="8085">
      <c r="J8085">
        <f>IFERROR(__xludf.DUMMYFUNCTION("""COMPUTED_VALUE"""),"Ottawa, Ontario, Canada
Kanata, Ontario, Canada")</f>
        <v/>
      </c>
      <c r="K8085">
        <f>IFERROR(__xludf.DUMMYFUNCTION("""COMPUTED_VALUE"""),4884.49)</f>
        <v/>
      </c>
    </row>
    <row r="8086">
      <c r="J8086">
        <f>IFERROR(__xludf.DUMMYFUNCTION("""COMPUTED_VALUE"""),"Gaspé, Quebec, Canada; Sept-Îles, Quebec, Canada")</f>
        <v/>
      </c>
      <c r="K8086">
        <f>IFERROR(__xludf.DUMMYFUNCTION("""COMPUTED_VALUE"""),4882.30999999999)</f>
        <v/>
      </c>
    </row>
    <row r="8087">
      <c r="J8087">
        <f>IFERROR(__xludf.DUMMYFUNCTION("""COMPUTED_VALUE"""),"Halifax, Nova Scotia, Canada/ Whitehorse, Yukon, Canada/ Vancouver, British Columbia, Canada")</f>
        <v/>
      </c>
      <c r="K8087">
        <f>IFERROR(__xludf.DUMMYFUNCTION("""COMPUTED_VALUE"""),4881.91)</f>
        <v/>
      </c>
    </row>
    <row r="8088">
      <c r="J8088">
        <f>IFERROR(__xludf.DUMMYFUNCTION("""COMPUTED_VALUE"""),"St. John’s, Newfoundland and Labrador, Canada / Sydney, Nova Scotia, Canada")</f>
        <v/>
      </c>
      <c r="K8088">
        <f>IFERROR(__xludf.DUMMYFUNCTION("""COMPUTED_VALUE"""),4881.47)</f>
        <v/>
      </c>
    </row>
    <row r="8089">
      <c r="J8089">
        <f>IFERROR(__xludf.DUMMYFUNCTION("""COMPUTED_VALUE"""),"Inuvik (Northwest Territoires) Canada; Toronto (Ontario) Canada")</f>
        <v/>
      </c>
      <c r="K8089">
        <f>IFERROR(__xludf.DUMMYFUNCTION("""COMPUTED_VALUE"""),4881.37)</f>
        <v/>
      </c>
    </row>
    <row r="8090">
      <c r="J8090">
        <f>IFERROR(__xludf.DUMMYFUNCTION("""COMPUTED_VALUE"""),"Toronto; Victoria, BC")</f>
        <v/>
      </c>
      <c r="K8090">
        <f>IFERROR(__xludf.DUMMYFUNCTION("""COMPUTED_VALUE"""),4880.5)</f>
        <v/>
      </c>
    </row>
    <row r="8091">
      <c r="J8091">
        <f>IFERROR(__xludf.DUMMYFUNCTION("""COMPUTED_VALUE"""),"Amherst, Nova Scotia / Miramichi, New Brunswick / Saint Andrews, New Brunswick")</f>
        <v/>
      </c>
      <c r="K8091">
        <f>IFERROR(__xludf.DUMMYFUNCTION("""COMPUTED_VALUE"""),4880.43)</f>
        <v/>
      </c>
    </row>
    <row r="8092">
      <c r="J8092">
        <f>IFERROR(__xludf.DUMMYFUNCTION("""COMPUTED_VALUE"""),"Lille et Paris, France")</f>
        <v/>
      </c>
      <c r="K8092">
        <f>IFERROR(__xludf.DUMMYFUNCTION("""COMPUTED_VALUE"""),4880.02)</f>
        <v/>
      </c>
    </row>
    <row r="8093">
      <c r="J8093">
        <f>IFERROR(__xludf.DUMMYFUNCTION("""COMPUTED_VALUE"""),"Yellowknife, N.W.T. and Winnipeg, Manitoba")</f>
        <v/>
      </c>
      <c r="K8093">
        <f>IFERROR(__xludf.DUMMYFUNCTION("""COMPUTED_VALUE"""),4879.82)</f>
        <v/>
      </c>
    </row>
    <row r="8094">
      <c r="J8094">
        <f>IFERROR(__xludf.DUMMYFUNCTION("""COMPUTED_VALUE"""),"Jasper, Banff, Calgary and Lake Louise, Alberta")</f>
        <v/>
      </c>
      <c r="K8094">
        <f>IFERROR(__xludf.DUMMYFUNCTION("""COMPUTED_VALUE"""),4878.94)</f>
        <v/>
      </c>
    </row>
    <row r="8095">
      <c r="J8095">
        <f>IFERROR(__xludf.DUMMYFUNCTION("""COMPUTED_VALUE"""),"Toronto, Ontario &amp; Vancouver, British Columbia &amp; Calgary, Alberta")</f>
        <v/>
      </c>
      <c r="K8095">
        <f>IFERROR(__xludf.DUMMYFUNCTION("""COMPUTED_VALUE"""),4877.61)</f>
        <v/>
      </c>
    </row>
    <row r="8096">
      <c r="J8096">
        <f>IFERROR(__xludf.DUMMYFUNCTION("""COMPUTED_VALUE"""),"Washington, D.C., U.S.A")</f>
        <v/>
      </c>
      <c r="K8096">
        <f>IFERROR(__xludf.DUMMYFUNCTION("""COMPUTED_VALUE"""),4877.27)</f>
        <v/>
      </c>
    </row>
    <row r="8097">
      <c r="J8097">
        <f>IFERROR(__xludf.DUMMYFUNCTION("""COMPUTED_VALUE"""),"Comox, British-Columbia, Canada")</f>
        <v/>
      </c>
      <c r="K8097">
        <f>IFERROR(__xludf.DUMMYFUNCTION("""COMPUTED_VALUE"""),4877.05999999999)</f>
        <v/>
      </c>
    </row>
    <row r="8098">
      <c r="J8098">
        <f>IFERROR(__xludf.DUMMYFUNCTION("""COMPUTED_VALUE"""),"Banff, Calgary and Edmonton, Alberta, Canada")</f>
        <v/>
      </c>
      <c r="K8098">
        <f>IFERROR(__xludf.DUMMYFUNCTION("""COMPUTED_VALUE"""),4876.92)</f>
        <v/>
      </c>
    </row>
    <row r="8099">
      <c r="J8099">
        <f>IFERROR(__xludf.DUMMYFUNCTION("""COMPUTED_VALUE"""),"Whistler and Vancouver, British Columbia")</f>
        <v/>
      </c>
      <c r="K8099">
        <f>IFERROR(__xludf.DUMMYFUNCTION("""COMPUTED_VALUE"""),4875.98)</f>
        <v/>
      </c>
    </row>
    <row r="8100">
      <c r="J8100">
        <f>IFERROR(__xludf.DUMMYFUNCTION("""COMPUTED_VALUE"""),"Cincinnati, Ohio, United States")</f>
        <v/>
      </c>
      <c r="K8100">
        <f>IFERROR(__xludf.DUMMYFUNCTION("""COMPUTED_VALUE"""),4875.55)</f>
        <v/>
      </c>
    </row>
    <row r="8101">
      <c r="J8101">
        <f>IFERROR(__xludf.DUMMYFUNCTION("""COMPUTED_VALUE"""),"New York, New York, United States and Regina, Saskatchewan, Canada")</f>
        <v/>
      </c>
      <c r="K8101">
        <f>IFERROR(__xludf.DUMMYFUNCTION("""COMPUTED_VALUE"""),4875.24)</f>
        <v/>
      </c>
    </row>
    <row r="8102">
      <c r="J8102">
        <f>IFERROR(__xludf.DUMMYFUNCTION("""COMPUTED_VALUE"""),"Halifax and Sydney, Nova Scotia, Canada  -  Charlottetown, Prince Edward Island, Canada - Dieppe and Fredericton, New Brunswick, Canada")</f>
        <v/>
      </c>
      <c r="K8102">
        <f>IFERROR(__xludf.DUMMYFUNCTION("""COMPUTED_VALUE"""),4874.59)</f>
        <v/>
      </c>
    </row>
    <row r="8103">
      <c r="J8103">
        <f>IFERROR(__xludf.DUMMYFUNCTION("""COMPUTED_VALUE"""),"Vancouver, British Columbia  / Saskatoon, Regina, Saskatchewan / Calgary, Edmonton, Alberta")</f>
        <v/>
      </c>
      <c r="K8103">
        <f>IFERROR(__xludf.DUMMYFUNCTION("""COMPUTED_VALUE"""),4873.44)</f>
        <v/>
      </c>
    </row>
    <row r="8104">
      <c r="J8104">
        <f>IFERROR(__xludf.DUMMYFUNCTION("""COMPUTED_VALUE"""),"Montreal, Quebec, Canada, Charlottetown, Prince Edward Island, Canada and Vancouver and Victoria, British Columbia, Canada")</f>
        <v/>
      </c>
      <c r="K8104">
        <f>IFERROR(__xludf.DUMMYFUNCTION("""COMPUTED_VALUE"""),4872.5)</f>
        <v/>
      </c>
    </row>
    <row r="8105">
      <c r="J8105">
        <f>IFERROR(__xludf.DUMMYFUNCTION("""COMPUTED_VALUE"""),"Edmonton, AB / Calgary, AB / Saskatoon, SK")</f>
        <v/>
      </c>
      <c r="K8105">
        <f>IFERROR(__xludf.DUMMYFUNCTION("""COMPUTED_VALUE"""),4872.13999999999)</f>
        <v/>
      </c>
    </row>
    <row r="8106">
      <c r="J8106">
        <f>IFERROR(__xludf.DUMMYFUNCTION("""COMPUTED_VALUE"""),"Edmundston, St-Jean-Port-Joli")</f>
        <v/>
      </c>
      <c r="K8106">
        <f>IFERROR(__xludf.DUMMYFUNCTION("""COMPUTED_VALUE"""),4871.45)</f>
        <v/>
      </c>
    </row>
    <row r="8107">
      <c r="J8107">
        <f>IFERROR(__xludf.DUMMYFUNCTION("""COMPUTED_VALUE"""),"Windsor, Ontario; Grimsby, Ontario; Vancouver, BC")</f>
        <v/>
      </c>
      <c r="K8107">
        <f>IFERROR(__xludf.DUMMYFUNCTION("""COMPUTED_VALUE"""),4871.37)</f>
        <v/>
      </c>
    </row>
    <row r="8108">
      <c r="J8108">
        <f>IFERROR(__xludf.DUMMYFUNCTION("""COMPUTED_VALUE"""),"Saskatoon, Saskatchewan;
Calgary, Alberta")</f>
        <v/>
      </c>
      <c r="K8108">
        <f>IFERROR(__xludf.DUMMYFUNCTION("""COMPUTED_VALUE"""),4871.06)</f>
        <v/>
      </c>
    </row>
    <row r="8109">
      <c r="J8109">
        <f>IFERROR(__xludf.DUMMYFUNCTION("""COMPUTED_VALUE"""),"Philadelphia, Pennsylvania, United States / Toronto, Ontario, Canada")</f>
        <v/>
      </c>
      <c r="K8109">
        <f>IFERROR(__xludf.DUMMYFUNCTION("""COMPUTED_VALUE"""),4870.52)</f>
        <v/>
      </c>
    </row>
    <row r="8110">
      <c r="J8110">
        <f>IFERROR(__xludf.DUMMYFUNCTION("""COMPUTED_VALUE"""),"Calgary (Alberta), Vancouver and Victoria (British Columbia) Canada")</f>
        <v/>
      </c>
      <c r="K8110">
        <f>IFERROR(__xludf.DUMMYFUNCTION("""COMPUTED_VALUE"""),4869.95)</f>
        <v/>
      </c>
    </row>
    <row r="8111">
      <c r="J8111">
        <f>IFERROR(__xludf.DUMMYFUNCTION("""COMPUTED_VALUE"""),"Regina, Saskatchewan; Vancouver &amp; Victoria, British Columbia")</f>
        <v/>
      </c>
      <c r="K8111">
        <f>IFERROR(__xludf.DUMMYFUNCTION("""COMPUTED_VALUE"""),4869.2)</f>
        <v/>
      </c>
    </row>
    <row r="8112">
      <c r="J8112">
        <f>IFERROR(__xludf.DUMMYFUNCTION("""COMPUTED_VALUE"""),"Yellowknife, NT and Whitehorse, YT and Vancouver, BC")</f>
        <v/>
      </c>
      <c r="K8112">
        <f>IFERROR(__xludf.DUMMYFUNCTION("""COMPUTED_VALUE"""),4869.17)</f>
        <v/>
      </c>
    </row>
    <row r="8113">
      <c r="J8113">
        <f>IFERROR(__xludf.DUMMYFUNCTION("""COMPUTED_VALUE"""),"Saskatoon, Saskatchewan and Vancouver, British Columbia, Canada")</f>
        <v/>
      </c>
      <c r="K8113">
        <f>IFERROR(__xludf.DUMMYFUNCTION("""COMPUTED_VALUE"""),4869.13)</f>
        <v/>
      </c>
    </row>
    <row r="8114">
      <c r="J8114">
        <f>IFERROR(__xludf.DUMMYFUNCTION("""COMPUTED_VALUE"""),"Toronto, Ontario / Guelph, Ontario, Canada")</f>
        <v/>
      </c>
      <c r="K8114">
        <f>IFERROR(__xludf.DUMMYFUNCTION("""COMPUTED_VALUE"""),4868.67999999999)</f>
        <v/>
      </c>
    </row>
    <row r="8115">
      <c r="J8115">
        <f>IFERROR(__xludf.DUMMYFUNCTION("""COMPUTED_VALUE"""),"New York, USA; Guatemala City, Guatemala")</f>
        <v/>
      </c>
      <c r="K8115">
        <f>IFERROR(__xludf.DUMMYFUNCTION("""COMPUTED_VALUE"""),4868)</f>
        <v/>
      </c>
    </row>
    <row r="8116">
      <c r="J8116">
        <f>IFERROR(__xludf.DUMMYFUNCTION("""COMPUTED_VALUE"""),"Dawson City, YT / Whitehorse, YT / St. John's, NL")</f>
        <v/>
      </c>
      <c r="K8116">
        <f>IFERROR(__xludf.DUMMYFUNCTION("""COMPUTED_VALUE"""),4867.42)</f>
        <v/>
      </c>
    </row>
    <row r="8117">
      <c r="J8117">
        <f>IFERROR(__xludf.DUMMYFUNCTION("""COMPUTED_VALUE"""),"Little Rock, Arkansas and Dallas, Texas")</f>
        <v/>
      </c>
      <c r="K8117">
        <f>IFERROR(__xludf.DUMMYFUNCTION("""COMPUTED_VALUE"""),4867.11)</f>
        <v/>
      </c>
    </row>
    <row r="8118">
      <c r="J8118">
        <f>IFERROR(__xludf.DUMMYFUNCTION("""COMPUTED_VALUE"""),"Stratford, Ontario, Canada")</f>
        <v/>
      </c>
      <c r="K8118">
        <f>IFERROR(__xludf.DUMMYFUNCTION("""COMPUTED_VALUE"""),4866.58)</f>
        <v/>
      </c>
    </row>
    <row r="8119">
      <c r="J8119">
        <f>IFERROR(__xludf.DUMMYFUNCTION("""COMPUTED_VALUE"""),"Chicago, IL, United States")</f>
        <v/>
      </c>
      <c r="K8119">
        <f>IFERROR(__xludf.DUMMYFUNCTION("""COMPUTED_VALUE"""),4866.06)</f>
        <v/>
      </c>
    </row>
    <row r="8120">
      <c r="J8120">
        <f>IFERROR(__xludf.DUMMYFUNCTION("""COMPUTED_VALUE"""),"Halifax, NS - Ottawa, ON - Montreal, QC")</f>
        <v/>
      </c>
      <c r="K8120">
        <f>IFERROR(__xludf.DUMMYFUNCTION("""COMPUTED_VALUE"""),4861.95)</f>
        <v/>
      </c>
    </row>
    <row r="8121">
      <c r="J8121">
        <f>IFERROR(__xludf.DUMMYFUNCTION("""COMPUTED_VALUE"""),"Hong Kong &amp; Shenzhen (People's Republic of China)")</f>
        <v/>
      </c>
      <c r="K8121">
        <f>IFERROR(__xludf.DUMMYFUNCTION("""COMPUTED_VALUE"""),4861.14)</f>
        <v/>
      </c>
    </row>
    <row r="8122">
      <c r="J8122">
        <f>IFERROR(__xludf.DUMMYFUNCTION("""COMPUTED_VALUE"""),"Toronto, Ontario, Canada / Winnipeg, Manitoba, Canada")</f>
        <v/>
      </c>
      <c r="K8122">
        <f>IFERROR(__xludf.DUMMYFUNCTION("""COMPUTED_VALUE"""),4859.88)</f>
        <v/>
      </c>
    </row>
    <row r="8123">
      <c r="J8123">
        <f>IFERROR(__xludf.DUMMYFUNCTION("""COMPUTED_VALUE"""),"Saskatoon, Saskatchewan, Canada; Regina, Saskatchewan, Canada; Vancouver, British Columbia, Canada; Victoria, British Columbia, Canada")</f>
        <v/>
      </c>
      <c r="K8123">
        <f>IFERROR(__xludf.DUMMYFUNCTION("""COMPUTED_VALUE"""),4858.64)</f>
        <v/>
      </c>
    </row>
    <row r="8124">
      <c r="J8124">
        <f>IFERROR(__xludf.DUMMYFUNCTION("""COMPUTED_VALUE"""),"Cold Lake, AB Toronto, ON")</f>
        <v/>
      </c>
      <c r="K8124">
        <f>IFERROR(__xludf.DUMMYFUNCTION("""COMPUTED_VALUE"""),4858.47)</f>
        <v/>
      </c>
    </row>
    <row r="8125">
      <c r="J8125">
        <f>IFERROR(__xludf.DUMMYFUNCTION("""COMPUTED_VALUE"""),"Regina,Saskatchewan, Canada")</f>
        <v/>
      </c>
      <c r="K8125">
        <f>IFERROR(__xludf.DUMMYFUNCTION("""COMPUTED_VALUE"""),4857.69)</f>
        <v/>
      </c>
    </row>
    <row r="8126">
      <c r="J8126">
        <f>IFERROR(__xludf.DUMMYFUNCTION("""COMPUTED_VALUE"""),"Montreal, Quebec, Canada / Granby, Quebec, Canada")</f>
        <v/>
      </c>
      <c r="K8126">
        <f>IFERROR(__xludf.DUMMYFUNCTION("""COMPUTED_VALUE"""),4857.32)</f>
        <v/>
      </c>
    </row>
    <row r="8127">
      <c r="J8127">
        <f>IFERROR(__xludf.DUMMYFUNCTION("""COMPUTED_VALUE"""),"Edmonton, Vancouver, Winnipeg")</f>
        <v/>
      </c>
      <c r="K8127">
        <f>IFERROR(__xludf.DUMMYFUNCTION("""COMPUTED_VALUE"""),4856.63)</f>
        <v/>
      </c>
    </row>
    <row r="8128">
      <c r="J8128">
        <f>IFERROR(__xludf.DUMMYFUNCTION("""COMPUTED_VALUE"""),"Ottawa, Vancouver, Victoria")</f>
        <v/>
      </c>
      <c r="K8128">
        <f>IFERROR(__xludf.DUMMYFUNCTION("""COMPUTED_VALUE"""),4856.48)</f>
        <v/>
      </c>
    </row>
    <row r="8129">
      <c r="J8129">
        <f>IFERROR(__xludf.DUMMYFUNCTION("""COMPUTED_VALUE"""),"Offutt, Nebraska                       Colorado Springs, Colorado 
Pismo Beach/Vandenberg  &amp; Monterey, California, USA")</f>
        <v/>
      </c>
      <c r="K8129">
        <f>IFERROR(__xludf.DUMMYFUNCTION("""COMPUTED_VALUE"""),4856.46)</f>
        <v/>
      </c>
    </row>
    <row r="8130">
      <c r="J8130">
        <f>IFERROR(__xludf.DUMMYFUNCTION("""COMPUTED_VALUE"""),"Saskatoon, Regina, Vancouver and Calgary")</f>
        <v/>
      </c>
      <c r="K8130">
        <f>IFERROR(__xludf.DUMMYFUNCTION("""COMPUTED_VALUE"""),4856)</f>
        <v/>
      </c>
    </row>
    <row r="8131">
      <c r="J8131">
        <f>IFERROR(__xludf.DUMMYFUNCTION("""COMPUTED_VALUE"""),"Vientiane, Lao People’s Democratic Republic")</f>
        <v/>
      </c>
      <c r="K8131">
        <f>IFERROR(__xludf.DUMMYFUNCTION("""COMPUTED_VALUE"""),4853.56)</f>
        <v/>
      </c>
    </row>
    <row r="8132">
      <c r="J8132">
        <f>IFERROR(__xludf.DUMMYFUNCTION("""COMPUTED_VALUE"""),"National Harbor, Maryland, United States of America")</f>
        <v/>
      </c>
      <c r="K8132">
        <f>IFERROR(__xludf.DUMMYFUNCTION("""COMPUTED_VALUE"""),4850.63)</f>
        <v/>
      </c>
    </row>
    <row r="8133">
      <c r="J8133">
        <f>IFERROR(__xludf.DUMMYFUNCTION("""COMPUTED_VALUE"""),"Moncton/Fredericton/Halifax")</f>
        <v/>
      </c>
      <c r="K8133">
        <f>IFERROR(__xludf.DUMMYFUNCTION("""COMPUTED_VALUE"""),4850.38)</f>
        <v/>
      </c>
    </row>
    <row r="8134">
      <c r="J8134">
        <f>IFERROR(__xludf.DUMMYFUNCTION("""COMPUTED_VALUE"""),"Pasadena, USA")</f>
        <v/>
      </c>
      <c r="K8134">
        <f>IFERROR(__xludf.DUMMYFUNCTION("""COMPUTED_VALUE"""),4849.21)</f>
        <v/>
      </c>
    </row>
    <row r="8135">
      <c r="J8135">
        <f>IFERROR(__xludf.DUMMYFUNCTION("""COMPUTED_VALUE"""),"Fontaine Bleu, France")</f>
        <v/>
      </c>
      <c r="K8135">
        <f>IFERROR(__xludf.DUMMYFUNCTION("""COMPUTED_VALUE"""),4848.14)</f>
        <v/>
      </c>
    </row>
    <row r="8136">
      <c r="J8136">
        <f>IFERROR(__xludf.DUMMYFUNCTION("""COMPUTED_VALUE"""),"Portsmouth, New Hampshire, United States")</f>
        <v/>
      </c>
      <c r="K8136">
        <f>IFERROR(__xludf.DUMMYFUNCTION("""COMPUTED_VALUE"""),4846.92)</f>
        <v/>
      </c>
    </row>
    <row r="8137">
      <c r="J8137">
        <f>IFERROR(__xludf.DUMMYFUNCTION("""COMPUTED_VALUE"""),"Vancouver, British-Colombia; Cambridge, Ontario; Mississauga, Ontario")</f>
        <v/>
      </c>
      <c r="K8137">
        <f>IFERROR(__xludf.DUMMYFUNCTION("""COMPUTED_VALUE"""),4846.88)</f>
        <v/>
      </c>
    </row>
    <row r="8138">
      <c r="J8138">
        <f>IFERROR(__xludf.DUMMYFUNCTION("""COMPUTED_VALUE"""),"Sept-Îles, Montreal, Métabetchouan, Alma and Quebec City, Quebec")</f>
        <v/>
      </c>
      <c r="K8138">
        <f>IFERROR(__xludf.DUMMYFUNCTION("""COMPUTED_VALUE"""),4845.98)</f>
        <v/>
      </c>
    </row>
    <row r="8139">
      <c r="J8139">
        <f>IFERROR(__xludf.DUMMYFUNCTION("""COMPUTED_VALUE"""),"Rome, Italy/ London, United Kingdom")</f>
        <v/>
      </c>
      <c r="K8139">
        <f>IFERROR(__xludf.DUMMYFUNCTION("""COMPUTED_VALUE"""),4844.66)</f>
        <v/>
      </c>
    </row>
    <row r="8140">
      <c r="J8140">
        <f>IFERROR(__xludf.DUMMYFUNCTION("""COMPUTED_VALUE"""),"Toronto, Ontario, Canada /  Vancouver, British Columbia, Canada")</f>
        <v/>
      </c>
      <c r="K8140">
        <f>IFERROR(__xludf.DUMMYFUNCTION("""COMPUTED_VALUE"""),4844.16)</f>
        <v/>
      </c>
    </row>
    <row r="8141">
      <c r="J8141">
        <f>IFERROR(__xludf.DUMMYFUNCTION("""COMPUTED_VALUE"""),"Iqaluit,NU.")</f>
        <v/>
      </c>
      <c r="K8141">
        <f>IFERROR(__xludf.DUMMYFUNCTION("""COMPUTED_VALUE"""),4842.97)</f>
        <v/>
      </c>
    </row>
    <row r="8142">
      <c r="J8142">
        <f>IFERROR(__xludf.DUMMYFUNCTION("""COMPUTED_VALUE"""),"Kentucky (KY), Tennessee (TN), South Dakota (SD) &amp; Texas (TX)")</f>
        <v/>
      </c>
      <c r="K8142">
        <f>IFERROR(__xludf.DUMMYFUNCTION("""COMPUTED_VALUE"""),4841.59)</f>
        <v/>
      </c>
    </row>
    <row r="8143">
      <c r="J8143">
        <f>IFERROR(__xludf.DUMMYFUNCTION("""COMPUTED_VALUE"""),"Miami, Chile and Brazil")</f>
        <v/>
      </c>
      <c r="K8143">
        <f>IFERROR(__xludf.DUMMYFUNCTION("""COMPUTED_VALUE"""),4840.93)</f>
        <v/>
      </c>
    </row>
    <row r="8144">
      <c r="J8144">
        <f>IFERROR(__xludf.DUMMYFUNCTION("""COMPUTED_VALUE"""),"Gravenhurst, Ontario")</f>
        <v/>
      </c>
      <c r="K8144">
        <f>IFERROR(__xludf.DUMMYFUNCTION("""COMPUTED_VALUE"""),4839.15)</f>
        <v/>
      </c>
    </row>
    <row r="8145">
      <c r="J8145">
        <f>IFERROR(__xludf.DUMMYFUNCTION("""COMPUTED_VALUE"""),"Wakefield, Québec")</f>
        <v/>
      </c>
      <c r="K8145">
        <f>IFERROR(__xludf.DUMMYFUNCTION("""COMPUTED_VALUE"""),4837.25999999999)</f>
        <v/>
      </c>
    </row>
    <row r="8146">
      <c r="J8146">
        <f>IFERROR(__xludf.DUMMYFUNCTION("""COMPUTED_VALUE"""),"Whitehorse/Toronto")</f>
        <v/>
      </c>
      <c r="K8146">
        <f>IFERROR(__xludf.DUMMYFUNCTION("""COMPUTED_VALUE"""),4836.44)</f>
        <v/>
      </c>
    </row>
    <row r="8147">
      <c r="J8147">
        <f>IFERROR(__xludf.DUMMYFUNCTION("""COMPUTED_VALUE"""),"New York,")</f>
        <v/>
      </c>
      <c r="K8147">
        <f>IFERROR(__xludf.DUMMYFUNCTION("""COMPUTED_VALUE"""),4834.07)</f>
        <v/>
      </c>
    </row>
    <row r="8148">
      <c r="J8148">
        <f>IFERROR(__xludf.DUMMYFUNCTION("""COMPUTED_VALUE"""),"Ottawa, ON and Montebello, QC")</f>
        <v/>
      </c>
      <c r="K8148">
        <f>IFERROR(__xludf.DUMMYFUNCTION("""COMPUTED_VALUE"""),4833.50999999999)</f>
        <v/>
      </c>
    </row>
    <row r="8149">
      <c r="J8149">
        <f>IFERROR(__xludf.DUMMYFUNCTION("""COMPUTED_VALUE"""),"Wilton Park (United Kingdom)")</f>
        <v/>
      </c>
      <c r="K8149">
        <f>IFERROR(__xludf.DUMMYFUNCTION("""COMPUTED_VALUE"""),4832)</f>
        <v/>
      </c>
    </row>
    <row r="8150">
      <c r="J8150">
        <f>IFERROR(__xludf.DUMMYFUNCTION("""COMPUTED_VALUE"""),"Vancouver, BC
Calgary, AB")</f>
        <v/>
      </c>
      <c r="K8150">
        <f>IFERROR(__xludf.DUMMYFUNCTION("""COMPUTED_VALUE"""),4831.68)</f>
        <v/>
      </c>
    </row>
    <row r="8151">
      <c r="J8151">
        <f>IFERROR(__xludf.DUMMYFUNCTION("""COMPUTED_VALUE"""),"Vancouver, British Colombia; Calgary, Alberta")</f>
        <v/>
      </c>
      <c r="K8151">
        <f>IFERROR(__xludf.DUMMYFUNCTION("""COMPUTED_VALUE"""),4831.37)</f>
        <v/>
      </c>
    </row>
    <row r="8152">
      <c r="J8152">
        <f>IFERROR(__xludf.DUMMYFUNCTION("""COMPUTED_VALUE"""),"Saint John and Moncton, New Brunswick")</f>
        <v/>
      </c>
      <c r="K8152">
        <f>IFERROR(__xludf.DUMMYFUNCTION("""COMPUTED_VALUE"""),4830.97)</f>
        <v/>
      </c>
    </row>
    <row r="8153">
      <c r="J8153">
        <f>IFERROR(__xludf.DUMMYFUNCTION("""COMPUTED_VALUE"""),"Lausanne, Switzerland
Montreal, Quebec, Canada")</f>
        <v/>
      </c>
      <c r="K8153">
        <f>IFERROR(__xludf.DUMMYFUNCTION("""COMPUTED_VALUE"""),4830.14)</f>
        <v/>
      </c>
    </row>
    <row r="8154">
      <c r="J8154">
        <f>IFERROR(__xludf.DUMMYFUNCTION("""COMPUTED_VALUE"""),"Lethbridge, Alberta;
Calgary, Alberta")</f>
        <v/>
      </c>
      <c r="K8154">
        <f>IFERROR(__xludf.DUMMYFUNCTION("""COMPUTED_VALUE"""),4829.63)</f>
        <v/>
      </c>
    </row>
    <row r="8155">
      <c r="J8155">
        <f>IFERROR(__xludf.DUMMYFUNCTION("""COMPUTED_VALUE"""),"Banff, Alberta -
Edmonton, Alberta")</f>
        <v/>
      </c>
      <c r="K8155">
        <f>IFERROR(__xludf.DUMMYFUNCTION("""COMPUTED_VALUE"""),4829.58)</f>
        <v/>
      </c>
    </row>
    <row r="8156">
      <c r="J8156">
        <f>IFERROR(__xludf.DUMMYFUNCTION("""COMPUTED_VALUE"""),"Fredericton/Halifax")</f>
        <v/>
      </c>
      <c r="K8156">
        <f>IFERROR(__xludf.DUMMYFUNCTION("""COMPUTED_VALUE"""),4828.72)</f>
        <v/>
      </c>
    </row>
    <row r="8157">
      <c r="J8157">
        <f>IFERROR(__xludf.DUMMYFUNCTION("""COMPUTED_VALUE"""),"New York, USA / Ottawa, Ontario")</f>
        <v/>
      </c>
      <c r="K8157">
        <f>IFERROR(__xludf.DUMMYFUNCTION("""COMPUTED_VALUE"""),4828.49)</f>
        <v/>
      </c>
    </row>
    <row r="8158">
      <c r="J8158">
        <f>IFERROR(__xludf.DUMMYFUNCTION("""COMPUTED_VALUE"""),"Québec, Quebec, Canada; Toronto, Ontario, Canada")</f>
        <v/>
      </c>
      <c r="K8158">
        <f>IFERROR(__xludf.DUMMYFUNCTION("""COMPUTED_VALUE"""),4827.3)</f>
        <v/>
      </c>
    </row>
    <row r="8159">
      <c r="J8159">
        <f>IFERROR(__xludf.DUMMYFUNCTION("""COMPUTED_VALUE"""),"Vancouver, Victoria, British-Columbia, Canada")</f>
        <v/>
      </c>
      <c r="K8159">
        <f>IFERROR(__xludf.DUMMYFUNCTION("""COMPUTED_VALUE"""),4826.14)</f>
        <v/>
      </c>
    </row>
    <row r="8160">
      <c r="J8160">
        <f>IFERROR(__xludf.DUMMYFUNCTION("""COMPUTED_VALUE"""),"Madrid, Spain and Halifax, NS")</f>
        <v/>
      </c>
      <c r="K8160">
        <f>IFERROR(__xludf.DUMMYFUNCTION("""COMPUTED_VALUE"""),4824.57)</f>
        <v/>
      </c>
    </row>
    <row r="8161">
      <c r="J8161">
        <f>IFERROR(__xludf.DUMMYFUNCTION("""COMPUTED_VALUE"""),"Arlington, Virginia, United States")</f>
        <v/>
      </c>
      <c r="K8161">
        <f>IFERROR(__xludf.DUMMYFUNCTION("""COMPUTED_VALUE"""),4824.23)</f>
        <v/>
      </c>
    </row>
    <row r="8162">
      <c r="J8162">
        <f>IFERROR(__xludf.DUMMYFUNCTION("""COMPUTED_VALUE"""),"Leamington, Ontario")</f>
        <v/>
      </c>
      <c r="K8162">
        <f>IFERROR(__xludf.DUMMYFUNCTION("""COMPUTED_VALUE"""),4822.45)</f>
        <v/>
      </c>
    </row>
    <row r="8163">
      <c r="J8163">
        <f>IFERROR(__xludf.DUMMYFUNCTION("""COMPUTED_VALUE"""),"London &amp; Madrid")</f>
        <v/>
      </c>
      <c r="K8163">
        <f>IFERROR(__xludf.DUMMYFUNCTION("""COMPUTED_VALUE"""),4821.78)</f>
        <v/>
      </c>
    </row>
    <row r="8164">
      <c r="J8164">
        <f>IFERROR(__xludf.DUMMYFUNCTION("""COMPUTED_VALUE"""),"Knoxville, Tennessee, USA and Toronto, Ontario, Canada")</f>
        <v/>
      </c>
      <c r="K8164">
        <f>IFERROR(__xludf.DUMMYFUNCTION("""COMPUTED_VALUE"""),4818.51)</f>
        <v/>
      </c>
    </row>
    <row r="8165">
      <c r="J8165">
        <f>IFERROR(__xludf.DUMMYFUNCTION("""COMPUTED_VALUE"""),"Victoria (British Columbia) Canada
Calgary (Alberta) Canada")</f>
        <v/>
      </c>
      <c r="K8165">
        <f>IFERROR(__xludf.DUMMYFUNCTION("""COMPUTED_VALUE"""),4817.31)</f>
        <v/>
      </c>
    </row>
    <row r="8166">
      <c r="J8166">
        <f>IFERROR(__xludf.DUMMYFUNCTION("""COMPUTED_VALUE"""),"Vaughan, ON")</f>
        <v/>
      </c>
      <c r="K8166">
        <f>IFERROR(__xludf.DUMMYFUNCTION("""COMPUTED_VALUE"""),4816.66)</f>
        <v/>
      </c>
    </row>
    <row r="8167">
      <c r="J8167">
        <f>IFERROR(__xludf.DUMMYFUNCTION("""COMPUTED_VALUE"""),"Ste.Marie, Ontario, Canada")</f>
        <v/>
      </c>
      <c r="K8167">
        <f>IFERROR(__xludf.DUMMYFUNCTION("""COMPUTED_VALUE"""),4815.83)</f>
        <v/>
      </c>
    </row>
    <row r="8168">
      <c r="J8168">
        <f>IFERROR(__xludf.DUMMYFUNCTION("""COMPUTED_VALUE"""),"Winnipeq, MB &amp; Regina, SK")</f>
        <v/>
      </c>
      <c r="K8168">
        <f>IFERROR(__xludf.DUMMYFUNCTION("""COMPUTED_VALUE"""),4815.06)</f>
        <v/>
      </c>
    </row>
    <row r="8169">
      <c r="J8169">
        <f>IFERROR(__xludf.DUMMYFUNCTION("""COMPUTED_VALUE"""),"Halifax, NS and Charlottetown, PE")</f>
        <v/>
      </c>
      <c r="K8169">
        <f>IFERROR(__xludf.DUMMYFUNCTION("""COMPUTED_VALUE"""),4813.57)</f>
        <v/>
      </c>
    </row>
    <row r="8170">
      <c r="J8170">
        <f>IFERROR(__xludf.DUMMYFUNCTION("""COMPUTED_VALUE"""),"Niagara Falls, Ontario / Vancouver, British Columbia / Whitehorse, Yukon, Canada")</f>
        <v/>
      </c>
      <c r="K8170">
        <f>IFERROR(__xludf.DUMMYFUNCTION("""COMPUTED_VALUE"""),4812.95)</f>
        <v/>
      </c>
    </row>
    <row r="8171">
      <c r="J8171">
        <f>IFERROR(__xludf.DUMMYFUNCTION("""COMPUTED_VALUE"""),"Toronto / North Bay / Thunder Bay, Ontario, Canada")</f>
        <v/>
      </c>
      <c r="K8171">
        <f>IFERROR(__xludf.DUMMYFUNCTION("""COMPUTED_VALUE"""),4812.93)</f>
        <v/>
      </c>
    </row>
    <row r="8172">
      <c r="J8172">
        <f>IFERROR(__xludf.DUMMYFUNCTION("""COMPUTED_VALUE"""),"WASHINGTON, DC US")</f>
        <v/>
      </c>
      <c r="K8172">
        <f>IFERROR(__xludf.DUMMYFUNCTION("""COMPUTED_VALUE"""),4809.18)</f>
        <v/>
      </c>
    </row>
    <row r="8173">
      <c r="J8173">
        <f>IFERROR(__xludf.DUMMYFUNCTION("""COMPUTED_VALUE"""),"Dublin, IE")</f>
        <v/>
      </c>
      <c r="K8173">
        <f>IFERROR(__xludf.DUMMYFUNCTION("""COMPUTED_VALUE"""),4809.17)</f>
        <v/>
      </c>
    </row>
    <row r="8174">
      <c r="J8174">
        <f>IFERROR(__xludf.DUMMYFUNCTION("""COMPUTED_VALUE"""),"Wakefield, Québec / Whitehorse &amp; Dawson, Yukon / Fort Simpson, Northwest Territories")</f>
        <v/>
      </c>
      <c r="K8174">
        <f>IFERROR(__xludf.DUMMYFUNCTION("""COMPUTED_VALUE"""),4807.41)</f>
        <v/>
      </c>
    </row>
    <row r="8175">
      <c r="J8175">
        <f>IFERROR(__xludf.DUMMYFUNCTION("""COMPUTED_VALUE"""),"Mali /Morocco")</f>
        <v/>
      </c>
      <c r="K8175">
        <f>IFERROR(__xludf.DUMMYFUNCTION("""COMPUTED_VALUE"""),4807.02)</f>
        <v/>
      </c>
    </row>
    <row r="8176">
      <c r="J8176">
        <f>IFERROR(__xludf.DUMMYFUNCTION("""COMPUTED_VALUE"""),"Kiev, Ukraine / Warsaw and Krakow, Poland")</f>
        <v/>
      </c>
      <c r="K8176">
        <f>IFERROR(__xludf.DUMMYFUNCTION("""COMPUTED_VALUE"""),4806.22)</f>
        <v/>
      </c>
    </row>
    <row r="8177">
      <c r="J8177">
        <f>IFERROR(__xludf.DUMMYFUNCTION("""COMPUTED_VALUE"""),"Washington, Distrcit of Columbia, United-States")</f>
        <v/>
      </c>
      <c r="K8177">
        <f>IFERROR(__xludf.DUMMYFUNCTION("""COMPUTED_VALUE"""),4805.63)</f>
        <v/>
      </c>
    </row>
    <row r="8178">
      <c r="J8178">
        <f>IFERROR(__xludf.DUMMYFUNCTION("""COMPUTED_VALUE"""),"Edmonton and Drumheller, Alberta,  and Victoria, British Columbia")</f>
        <v/>
      </c>
      <c r="K8178">
        <f>IFERROR(__xludf.DUMMYFUNCTION("""COMPUTED_VALUE"""),4803.31)</f>
        <v/>
      </c>
    </row>
    <row r="8179">
      <c r="J8179">
        <f>IFERROR(__xludf.DUMMYFUNCTION("""COMPUTED_VALUE"""),"Nunavik, Quebec")</f>
        <v/>
      </c>
      <c r="K8179">
        <f>IFERROR(__xludf.DUMMYFUNCTION("""COMPUTED_VALUE"""),4801.92)</f>
        <v/>
      </c>
    </row>
    <row r="8180">
      <c r="J8180">
        <f>IFERROR(__xludf.DUMMYFUNCTION("""COMPUTED_VALUE"""),"Montreal, Quebec; Surrey, British Columbia; Calgary, Alberta; Red Deer, Alberta")</f>
        <v/>
      </c>
      <c r="K8180">
        <f>IFERROR(__xludf.DUMMYFUNCTION("""COMPUTED_VALUE"""),4799.7)</f>
        <v/>
      </c>
    </row>
    <row r="8181">
      <c r="J8181">
        <f>IFERROR(__xludf.DUMMYFUNCTION("""COMPUTED_VALUE"""),"Washington, DC and New York, New York")</f>
        <v/>
      </c>
      <c r="K8181">
        <f>IFERROR(__xludf.DUMMYFUNCTION("""COMPUTED_VALUE"""),4799.68)</f>
        <v/>
      </c>
    </row>
    <row r="8182">
      <c r="J8182">
        <f>IFERROR(__xludf.DUMMYFUNCTION("""COMPUTED_VALUE"""),"Edmonton, Alberta, Canada &amp; Vancouver, British Columbia, Canada")</f>
        <v/>
      </c>
      <c r="K8182">
        <f>IFERROR(__xludf.DUMMYFUNCTION("""COMPUTED_VALUE"""),4799.11)</f>
        <v/>
      </c>
    </row>
    <row r="8183">
      <c r="J8183">
        <f>IFERROR(__xludf.DUMMYFUNCTION("""COMPUTED_VALUE"""),"Halifax, Vancouver, Ottawa")</f>
        <v/>
      </c>
      <c r="K8183">
        <f>IFERROR(__xludf.DUMMYFUNCTION("""COMPUTED_VALUE"""),4798.35)</f>
        <v/>
      </c>
    </row>
    <row r="8184">
      <c r="J8184">
        <f>IFERROR(__xludf.DUMMYFUNCTION("""COMPUTED_VALUE"""),"Paris, France
Dubai, United Arab Emirates")</f>
        <v/>
      </c>
      <c r="K8184">
        <f>IFERROR(__xludf.DUMMYFUNCTION("""COMPUTED_VALUE"""),4796.88)</f>
        <v/>
      </c>
    </row>
    <row r="8185">
      <c r="J8185">
        <f>IFERROR(__xludf.DUMMYFUNCTION("""COMPUTED_VALUE"""),"Vancouver, British Columbia, Canada
Port Hardy, British Columbia, Canada
Campbell River, British Columbia, Canada")</f>
        <v/>
      </c>
      <c r="K8185">
        <f>IFERROR(__xludf.DUMMYFUNCTION("""COMPUTED_VALUE"""),4795.7)</f>
        <v/>
      </c>
    </row>
    <row r="8186">
      <c r="J8186">
        <f>IFERROR(__xludf.DUMMYFUNCTION("""COMPUTED_VALUE"""),"St.Lucia")</f>
        <v/>
      </c>
      <c r="K8186">
        <f>IFERROR(__xludf.DUMMYFUNCTION("""COMPUTED_VALUE"""),4795.22)</f>
        <v/>
      </c>
    </row>
    <row r="8187">
      <c r="J8187">
        <f>IFERROR(__xludf.DUMMYFUNCTION("""COMPUTED_VALUE"""),"Fredericton, NB; Halifax, NS; Charlottetown, PEI; St. John's, NL")</f>
        <v/>
      </c>
      <c r="K8187">
        <f>IFERROR(__xludf.DUMMYFUNCTION("""COMPUTED_VALUE"""),4794.64)</f>
        <v/>
      </c>
    </row>
    <row r="8188">
      <c r="J8188">
        <f>IFERROR(__xludf.DUMMYFUNCTION("""COMPUTED_VALUE"""),"Vancouver, British Columbia ; Whitehorse, Yukon")</f>
        <v/>
      </c>
      <c r="K8188">
        <f>IFERROR(__xludf.DUMMYFUNCTION("""COMPUTED_VALUE"""),4793.57)</f>
        <v/>
      </c>
    </row>
    <row r="8189">
      <c r="J8189">
        <f>IFERROR(__xludf.DUMMYFUNCTION("""COMPUTED_VALUE"""),"Edmonton / Calgary, Alberta")</f>
        <v/>
      </c>
      <c r="K8189">
        <f>IFERROR(__xludf.DUMMYFUNCTION("""COMPUTED_VALUE"""),4792.88)</f>
        <v/>
      </c>
    </row>
    <row r="8190">
      <c r="J8190">
        <f>IFERROR(__xludf.DUMMYFUNCTION("""COMPUTED_VALUE"""),"Calgary, Alberta, Canada
Lethbridge, Alberta, Canada")</f>
        <v/>
      </c>
      <c r="K8190">
        <f>IFERROR(__xludf.DUMMYFUNCTION("""COMPUTED_VALUE"""),4791.41)</f>
        <v/>
      </c>
    </row>
    <row r="8191">
      <c r="J8191">
        <f>IFERROR(__xludf.DUMMYFUNCTION("""COMPUTED_VALUE"""),"Prince Rupert, Thornhill and Vancouver, British Columbia, Canada")</f>
        <v/>
      </c>
      <c r="K8191">
        <f>IFERROR(__xludf.DUMMYFUNCTION("""COMPUTED_VALUE"""),4788.38999999999)</f>
        <v/>
      </c>
    </row>
    <row r="8192">
      <c r="J8192">
        <f>IFERROR(__xludf.DUMMYFUNCTION("""COMPUTED_VALUE"""),"Vancouver and Sydney BC")</f>
        <v/>
      </c>
      <c r="K8192">
        <f>IFERROR(__xludf.DUMMYFUNCTION("""COMPUTED_VALUE"""),4788.31)</f>
        <v/>
      </c>
    </row>
    <row r="8193">
      <c r="J8193">
        <f>IFERROR(__xludf.DUMMYFUNCTION("""COMPUTED_VALUE"""),"Oslo,Norway")</f>
        <v/>
      </c>
      <c r="K8193">
        <f>IFERROR(__xludf.DUMMYFUNCTION("""COMPUTED_VALUE"""),4786.89)</f>
        <v/>
      </c>
    </row>
    <row r="8194">
      <c r="J8194">
        <f>IFERROR(__xludf.DUMMYFUNCTION("""COMPUTED_VALUE"""),"1. and 2. Vancouver, British Columbia, Canada
3. Victoria, British Columbia, Canada")</f>
        <v/>
      </c>
      <c r="K8194">
        <f>IFERROR(__xludf.DUMMYFUNCTION("""COMPUTED_VALUE"""),4786.11)</f>
        <v/>
      </c>
    </row>
    <row r="8195">
      <c r="J8195">
        <f>IFERROR(__xludf.DUMMYFUNCTION("""COMPUTED_VALUE"""),"Saskatoon, Edmonton")</f>
        <v/>
      </c>
      <c r="K8195">
        <f>IFERROR(__xludf.DUMMYFUNCTION("""COMPUTED_VALUE"""),4785)</f>
        <v/>
      </c>
    </row>
    <row r="8196">
      <c r="J8196">
        <f>IFERROR(__xludf.DUMMYFUNCTION("""COMPUTED_VALUE"""),"Vancouver,
British Columbia, 
Canada")</f>
        <v/>
      </c>
      <c r="K8196">
        <f>IFERROR(__xludf.DUMMYFUNCTION("""COMPUTED_VALUE"""),4783.58)</f>
        <v/>
      </c>
    </row>
    <row r="8197">
      <c r="J8197">
        <f>IFERROR(__xludf.DUMMYFUNCTION("""COMPUTED_VALUE"""),"Saguenay, Quebec, Canada/ Montreal, Quebec, Canada/ Detroit, Michigan, United States/ New York, New York, United States")</f>
        <v/>
      </c>
      <c r="K8197">
        <f>IFERROR(__xludf.DUMMYFUNCTION("""COMPUTED_VALUE"""),4782.76)</f>
        <v/>
      </c>
    </row>
    <row r="8198">
      <c r="J8198">
        <f>IFERROR(__xludf.DUMMYFUNCTION("""COMPUTED_VALUE"""),"St-Andrews-by-the-Sea, NB")</f>
        <v/>
      </c>
      <c r="K8198">
        <f>IFERROR(__xludf.DUMMYFUNCTION("""COMPUTED_VALUE"""),4782.18)</f>
        <v/>
      </c>
    </row>
    <row r="8199">
      <c r="J8199">
        <f>IFERROR(__xludf.DUMMYFUNCTION("""COMPUTED_VALUE"""),"State of Washington; State of California; United States of America")</f>
        <v/>
      </c>
      <c r="K8199">
        <f>IFERROR(__xludf.DUMMYFUNCTION("""COMPUTED_VALUE"""),4781.89)</f>
        <v/>
      </c>
    </row>
    <row r="8200">
      <c r="J8200">
        <f>IFERROR(__xludf.DUMMYFUNCTION("""COMPUTED_VALUE"""),"Toronto, Montréal et Ottawa")</f>
        <v/>
      </c>
      <c r="K8200">
        <f>IFERROR(__xludf.DUMMYFUNCTION("""COMPUTED_VALUE"""),4780.35)</f>
        <v/>
      </c>
    </row>
    <row r="8201">
      <c r="J8201">
        <f>IFERROR(__xludf.DUMMYFUNCTION("""COMPUTED_VALUE"""),"Toronto, Ontario, Canada; Montreal, Quebec, Canada; Iqaluit, Nunavut, Canada")</f>
        <v/>
      </c>
      <c r="K8201">
        <f>IFERROR(__xludf.DUMMYFUNCTION("""COMPUTED_VALUE"""),4780.25)</f>
        <v/>
      </c>
    </row>
    <row r="8202">
      <c r="J8202">
        <f>IFERROR(__xludf.DUMMYFUNCTION("""COMPUTED_VALUE"""),"Ottawa, Ontario; Toronto, Ontario")</f>
        <v/>
      </c>
      <c r="K8202">
        <f>IFERROR(__xludf.DUMMYFUNCTION("""COMPUTED_VALUE"""),4779.87)</f>
        <v/>
      </c>
    </row>
    <row r="8203">
      <c r="J8203">
        <f>IFERROR(__xludf.DUMMYFUNCTION("""COMPUTED_VALUE"""),"Gatineau, Quebec and Kuujjuaq, Quebec")</f>
        <v/>
      </c>
      <c r="K8203">
        <f>IFERROR(__xludf.DUMMYFUNCTION("""COMPUTED_VALUE"""),4779.82)</f>
        <v/>
      </c>
    </row>
    <row r="8204">
      <c r="J8204">
        <f>IFERROR(__xludf.DUMMYFUNCTION("""COMPUTED_VALUE"""),"Brampton/Toronto, Ontario, Canada")</f>
        <v/>
      </c>
      <c r="K8204">
        <f>IFERROR(__xludf.DUMMYFUNCTION("""COMPUTED_VALUE"""),4778.93)</f>
        <v/>
      </c>
    </row>
    <row r="8205">
      <c r="J8205">
        <f>IFERROR(__xludf.DUMMYFUNCTION("""COMPUTED_VALUE"""),"Montreal, Quebec, Canada; Iqaluit, Nunavut, Canada")</f>
        <v/>
      </c>
      <c r="K8205">
        <f>IFERROR(__xludf.DUMMYFUNCTION("""COMPUTED_VALUE"""),4777.62)</f>
        <v/>
      </c>
    </row>
    <row r="8206">
      <c r="J8206">
        <f>IFERROR(__xludf.DUMMYFUNCTION("""COMPUTED_VALUE"""),"Vancouver, British Columbia, Canada; Toronto, Ontario, Canada; Charlottetown, Prince Edward Island, Canada")</f>
        <v/>
      </c>
      <c r="K8206">
        <f>IFERROR(__xludf.DUMMYFUNCTION("""COMPUTED_VALUE"""),4775.73)</f>
        <v/>
      </c>
    </row>
    <row r="8207">
      <c r="J8207">
        <f>IFERROR(__xludf.DUMMYFUNCTION("""COMPUTED_VALUE"""),"Ottawa, Ontario, Canada; Halifax, Nova Scotia, Canada; St. John's, Newfoundland and Labrador, Canada")</f>
        <v/>
      </c>
      <c r="K8207">
        <f>IFERROR(__xludf.DUMMYFUNCTION("""COMPUTED_VALUE"""),4775.39)</f>
        <v/>
      </c>
    </row>
    <row r="8208">
      <c r="J8208">
        <f>IFERROR(__xludf.DUMMYFUNCTION("""COMPUTED_VALUE"""),"Washington, DC / Louisville, KY / Toronto, ON / Hamilton, ON")</f>
        <v/>
      </c>
      <c r="K8208">
        <f>IFERROR(__xludf.DUMMYFUNCTION("""COMPUTED_VALUE"""),4774.63)</f>
        <v/>
      </c>
    </row>
    <row r="8209">
      <c r="J8209">
        <f>IFERROR(__xludf.DUMMYFUNCTION("""COMPUTED_VALUE"""),"Ottawa, Ontaria, Canada")</f>
        <v/>
      </c>
      <c r="K8209">
        <f>IFERROR(__xludf.DUMMYFUNCTION("""COMPUTED_VALUE"""),4772.96999999999)</f>
        <v/>
      </c>
    </row>
    <row r="8210">
      <c r="J8210">
        <f>IFERROR(__xludf.DUMMYFUNCTION("""COMPUTED_VALUE"""),"Berlin &amp; Washington")</f>
        <v/>
      </c>
      <c r="K8210">
        <f>IFERROR(__xludf.DUMMYFUNCTION("""COMPUTED_VALUE"""),4771.46999999999)</f>
        <v/>
      </c>
    </row>
    <row r="8211">
      <c r="J8211">
        <f>IFERROR(__xludf.DUMMYFUNCTION("""COMPUTED_VALUE"""),"Vancouver and Tofino, British Columbia")</f>
        <v/>
      </c>
      <c r="K8211">
        <f>IFERROR(__xludf.DUMMYFUNCTION("""COMPUTED_VALUE"""),4770.34)</f>
        <v/>
      </c>
    </row>
    <row r="8212">
      <c r="J8212">
        <f>IFERROR(__xludf.DUMMYFUNCTION("""COMPUTED_VALUE"""),"Ottawa, ON,Canada")</f>
        <v/>
      </c>
      <c r="K8212">
        <f>IFERROR(__xludf.DUMMYFUNCTION("""COMPUTED_VALUE"""),4769.94)</f>
        <v/>
      </c>
    </row>
    <row r="8213">
      <c r="J8213">
        <f>IFERROR(__xludf.DUMMYFUNCTION("""COMPUTED_VALUE"""),"North Bay; Sudbury, Ontario, Canada")</f>
        <v/>
      </c>
      <c r="K8213">
        <f>IFERROR(__xludf.DUMMYFUNCTION("""COMPUTED_VALUE"""),4769.85)</f>
        <v/>
      </c>
    </row>
    <row r="8214">
      <c r="J8214">
        <f>IFERROR(__xludf.DUMMYFUNCTION("""COMPUTED_VALUE"""),"Kuwait city, state of Kuwait, Istanbul, Ankara, Republic of Turkey,  Jeddah , Kingdom of Saudi Arabia")</f>
        <v/>
      </c>
      <c r="K8214">
        <f>IFERROR(__xludf.DUMMYFUNCTION("""COMPUTED_VALUE"""),4768.85)</f>
        <v/>
      </c>
    </row>
    <row r="8215">
      <c r="J8215">
        <f>IFERROR(__xludf.DUMMYFUNCTION("""COMPUTED_VALUE"""),"Charlottetown, Prince Edward Island, Moncton, New Brunswick, Canada")</f>
        <v/>
      </c>
      <c r="K8215">
        <f>IFERROR(__xludf.DUMMYFUNCTION("""COMPUTED_VALUE"""),4767.35)</f>
        <v/>
      </c>
    </row>
    <row r="8216">
      <c r="J8216">
        <f>IFERROR(__xludf.DUMMYFUNCTION("""COMPUTED_VALUE"""),"Toronto/Halifax")</f>
        <v/>
      </c>
      <c r="K8216">
        <f>IFERROR(__xludf.DUMMYFUNCTION("""COMPUTED_VALUE"""),4767.02)</f>
        <v/>
      </c>
    </row>
    <row r="8217">
      <c r="J8217">
        <f>IFERROR(__xludf.DUMMYFUNCTION("""COMPUTED_VALUE"""),"Rekjavik, Iceland")</f>
        <v/>
      </c>
      <c r="K8217">
        <f>IFERROR(__xludf.DUMMYFUNCTION("""COMPUTED_VALUE"""),4766.86)</f>
        <v/>
      </c>
    </row>
    <row r="8218">
      <c r="J8218">
        <f>IFERROR(__xludf.DUMMYFUNCTION("""COMPUTED_VALUE"""),"Victoria, BC / Masset, BC / Calgary, AB / Toronto, ON")</f>
        <v/>
      </c>
      <c r="K8218">
        <f>IFERROR(__xludf.DUMMYFUNCTION("""COMPUTED_VALUE"""),4765.53)</f>
        <v/>
      </c>
    </row>
    <row r="8219">
      <c r="J8219">
        <f>IFERROR(__xludf.DUMMYFUNCTION("""COMPUTED_VALUE"""),"Cuzco, Peru - Lima, Peru")</f>
        <v/>
      </c>
      <c r="K8219">
        <f>IFERROR(__xludf.DUMMYFUNCTION("""COMPUTED_VALUE"""),4763.31)</f>
        <v/>
      </c>
    </row>
    <row r="8220">
      <c r="J8220">
        <f>IFERROR(__xludf.DUMMYFUNCTION("""COMPUTED_VALUE"""),"Timmins, Ontario")</f>
        <v/>
      </c>
      <c r="K8220">
        <f>IFERROR(__xludf.DUMMYFUNCTION("""COMPUTED_VALUE"""),4762.95)</f>
        <v/>
      </c>
    </row>
    <row r="8221">
      <c r="J8221">
        <f>IFERROR(__xludf.DUMMYFUNCTION("""COMPUTED_VALUE"""),"Vancouver, British Colombia, Canada/ Whitehorse, Yukon, Canada/ South Shore, Nova Scotia, Canada/ St. Margaret’s, Nova Scotia, Canada")</f>
        <v/>
      </c>
      <c r="K8221">
        <f>IFERROR(__xludf.DUMMYFUNCTION("""COMPUTED_VALUE"""),4762.63)</f>
        <v/>
      </c>
    </row>
    <row r="8222">
      <c r="J8222">
        <f>IFERROR(__xludf.DUMMYFUNCTION("""COMPUTED_VALUE"""),"Norfolk and Atlanta")</f>
        <v/>
      </c>
      <c r="K8222">
        <f>IFERROR(__xludf.DUMMYFUNCTION("""COMPUTED_VALUE"""),4762.6)</f>
        <v/>
      </c>
    </row>
    <row r="8223">
      <c r="J8223">
        <f>IFERROR(__xludf.DUMMYFUNCTION("""COMPUTED_VALUE"""),"Belo Horizonte")</f>
        <v/>
      </c>
      <c r="K8223">
        <f>IFERROR(__xludf.DUMMYFUNCTION("""COMPUTED_VALUE"""),4762.51999999999)</f>
        <v/>
      </c>
    </row>
    <row r="8224">
      <c r="J8224">
        <f>IFERROR(__xludf.DUMMYFUNCTION("""COMPUTED_VALUE"""),"Dawson City, YT, Canada")</f>
        <v/>
      </c>
      <c r="K8224">
        <f>IFERROR(__xludf.DUMMYFUNCTION("""COMPUTED_VALUE"""),4762.34)</f>
        <v/>
      </c>
    </row>
    <row r="8225">
      <c r="J8225">
        <f>IFERROR(__xludf.DUMMYFUNCTION("""COMPUTED_VALUE"""),"YellowKnife, Northwest Territories, Whitehorse,  Yukon Territory")</f>
        <v/>
      </c>
      <c r="K8225">
        <f>IFERROR(__xludf.DUMMYFUNCTION("""COMPUTED_VALUE"""),4761.41)</f>
        <v/>
      </c>
    </row>
    <row r="8226">
      <c r="J8226">
        <f>IFERROR(__xludf.DUMMYFUNCTION("""COMPUTED_VALUE"""),"Monterey, California, USA")</f>
        <v/>
      </c>
      <c r="K8226">
        <f>IFERROR(__xludf.DUMMYFUNCTION("""COMPUTED_VALUE"""),4761.35)</f>
        <v/>
      </c>
    </row>
    <row r="8227">
      <c r="J8227">
        <f>IFERROR(__xludf.DUMMYFUNCTION("""COMPUTED_VALUE"""),"Vancouver, British Columbia, Canada; Regina, Saskatchewan, Canada; Winnipeg, Manitoba, Canada")</f>
        <v/>
      </c>
      <c r="K8227">
        <f>IFERROR(__xludf.DUMMYFUNCTION("""COMPUTED_VALUE"""),4761.03)</f>
        <v/>
      </c>
    </row>
    <row r="8228">
      <c r="J8228">
        <f>IFERROR(__xludf.DUMMYFUNCTION("""COMPUTED_VALUE"""),"Toronto, Ontario, Canada; Guelph, Ontario, Canada; London, Ontario, Canada")</f>
        <v/>
      </c>
      <c r="K8228">
        <f>IFERROR(__xludf.DUMMYFUNCTION("""COMPUTED_VALUE"""),4760.54)</f>
        <v/>
      </c>
    </row>
    <row r="8229">
      <c r="J8229">
        <f>IFERROR(__xludf.DUMMYFUNCTION("""COMPUTED_VALUE"""),"St. John's, Newfoundland and Labrador, Canada; Halifax, Nova Scotia, Canada; St. John's, Newfoundland and Labrador, Canada; Ottawa, Ontario, Canada; Halifax, Nova Scotia, Canada")</f>
        <v/>
      </c>
      <c r="K8229">
        <f>IFERROR(__xludf.DUMMYFUNCTION("""COMPUTED_VALUE"""),4759.4)</f>
        <v/>
      </c>
    </row>
    <row r="8230">
      <c r="J8230">
        <f>IFERROR(__xludf.DUMMYFUNCTION("""COMPUTED_VALUE"""),"Winnipeg, Manitoba and Toronto, Ontario, Canada")</f>
        <v/>
      </c>
      <c r="K8230">
        <f>IFERROR(__xludf.DUMMYFUNCTION("""COMPUTED_VALUE"""),4758.19)</f>
        <v/>
      </c>
    </row>
    <row r="8231">
      <c r="J8231">
        <f>IFERROR(__xludf.DUMMYFUNCTION("""COMPUTED_VALUE"""),"Gatineau, Quebec, Canada/Montreal, Quebec, Canada")</f>
        <v/>
      </c>
      <c r="K8231">
        <f>IFERROR(__xludf.DUMMYFUNCTION("""COMPUTED_VALUE"""),4757.78)</f>
        <v/>
      </c>
    </row>
    <row r="8232">
      <c r="J8232">
        <f>IFERROR(__xludf.DUMMYFUNCTION("""COMPUTED_VALUE"""),"Edmonton, AB; Vancouver, BC")</f>
        <v/>
      </c>
      <c r="K8232">
        <f>IFERROR(__xludf.DUMMYFUNCTION("""COMPUTED_VALUE"""),4756.07)</f>
        <v/>
      </c>
    </row>
    <row r="8233">
      <c r="J8233">
        <f>IFERROR(__xludf.DUMMYFUNCTION("""COMPUTED_VALUE"""),"Victoria, British Columbia and Seattle, Washington")</f>
        <v/>
      </c>
      <c r="K8233">
        <f>IFERROR(__xludf.DUMMYFUNCTION("""COMPUTED_VALUE"""),4756.02)</f>
        <v/>
      </c>
    </row>
    <row r="8234">
      <c r="J8234">
        <f>IFERROR(__xludf.DUMMYFUNCTION("""COMPUTED_VALUE"""),"Montreal , (Quebec)")</f>
        <v/>
      </c>
      <c r="K8234">
        <f>IFERROR(__xludf.DUMMYFUNCTION("""COMPUTED_VALUE"""),4755.56)</f>
        <v/>
      </c>
    </row>
    <row r="8235">
      <c r="J8235">
        <f>IFERROR(__xludf.DUMMYFUNCTION("""COMPUTED_VALUE"""),"New York, United States; Paris, France")</f>
        <v/>
      </c>
      <c r="K8235">
        <f>IFERROR(__xludf.DUMMYFUNCTION("""COMPUTED_VALUE"""),4752.65)</f>
        <v/>
      </c>
    </row>
    <row r="8236">
      <c r="J8236">
        <f>IFERROR(__xludf.DUMMYFUNCTION("""COMPUTED_VALUE"""),"Moscow and Saint Petersburg, Russian Federation.")</f>
        <v/>
      </c>
      <c r="K8236">
        <f>IFERROR(__xludf.DUMMYFUNCTION("""COMPUTED_VALUE"""),4751.54)</f>
        <v/>
      </c>
    </row>
    <row r="8237">
      <c r="J8237">
        <f>IFERROR(__xludf.DUMMYFUNCTION("""COMPUTED_VALUE"""),"Calgary, AB Fort McMurray, AB Edmonton, AB")</f>
        <v/>
      </c>
      <c r="K8237">
        <f>IFERROR(__xludf.DUMMYFUNCTION("""COMPUTED_VALUE"""),4751.32)</f>
        <v/>
      </c>
    </row>
    <row r="8238">
      <c r="J8238">
        <f>IFERROR(__xludf.DUMMYFUNCTION("""COMPUTED_VALUE"""),"VICTORIA, BRISTISH COLUMBIA, CANADA")</f>
        <v/>
      </c>
      <c r="K8238">
        <f>IFERROR(__xludf.DUMMYFUNCTION("""COMPUTED_VALUE"""),4750.25)</f>
        <v/>
      </c>
    </row>
    <row r="8239">
      <c r="J8239">
        <f>IFERROR(__xludf.DUMMYFUNCTION("""COMPUTED_VALUE"""),"Campbell River, British Columbia")</f>
        <v/>
      </c>
      <c r="K8239">
        <f>IFERROR(__xludf.DUMMYFUNCTION("""COMPUTED_VALUE"""),4749.46999999999)</f>
        <v/>
      </c>
    </row>
    <row r="8240">
      <c r="J8240">
        <f>IFERROR(__xludf.DUMMYFUNCTION("""COMPUTED_VALUE"""),"Halifax, Nova Scotia / Deer Lake, Newfoundland and Labrador, Canada")</f>
        <v/>
      </c>
      <c r="K8240">
        <f>IFERROR(__xludf.DUMMYFUNCTION("""COMPUTED_VALUE"""),4748.12)</f>
        <v/>
      </c>
    </row>
    <row r="8241">
      <c r="J8241">
        <f>IFERROR(__xludf.DUMMYFUNCTION("""COMPUTED_VALUE"""),"London, United Kingdom
Rome, Italy")</f>
        <v/>
      </c>
      <c r="K8241">
        <f>IFERROR(__xludf.DUMMYFUNCTION("""COMPUTED_VALUE"""),4747.9)</f>
        <v/>
      </c>
    </row>
    <row r="8242">
      <c r="J8242">
        <f>IFERROR(__xludf.DUMMYFUNCTION("""COMPUTED_VALUE"""),"Louisbourg, Nova Scotia/Mary's Harbour, L'Anse au Clair and Nain, Newfoundland and Labrador")</f>
        <v/>
      </c>
      <c r="K8242">
        <f>IFERROR(__xludf.DUMMYFUNCTION("""COMPUTED_VALUE"""),4747.38)</f>
        <v/>
      </c>
    </row>
    <row r="8243">
      <c r="J8243">
        <f>IFERROR(__xludf.DUMMYFUNCTION("""COMPUTED_VALUE"""),"Halifax, Nova Scotia, Canada                  
St. John's, Newfoundland, Canada")</f>
        <v/>
      </c>
      <c r="K8243">
        <f>IFERROR(__xludf.DUMMYFUNCTION("""COMPUTED_VALUE"""),4746.98)</f>
        <v/>
      </c>
    </row>
    <row r="8244">
      <c r="J8244">
        <f>IFERROR(__xludf.DUMMYFUNCTION("""COMPUTED_VALUE"""),"Mons, Brussels, Belgium
GANGELT, Germany
BERLIN, Germany")</f>
        <v/>
      </c>
      <c r="K8244">
        <f>IFERROR(__xludf.DUMMYFUNCTION("""COMPUTED_VALUE"""),4745.33)</f>
        <v/>
      </c>
    </row>
    <row r="8245">
      <c r="J8245">
        <f>IFERROR(__xludf.DUMMYFUNCTION("""COMPUTED_VALUE"""),"Detroit, Minneapolis, Chicago, US; Toronto, Canada")</f>
        <v/>
      </c>
      <c r="K8245">
        <f>IFERROR(__xludf.DUMMYFUNCTION("""COMPUTED_VALUE"""),4745.06)</f>
        <v/>
      </c>
    </row>
    <row r="8246">
      <c r="J8246">
        <f>IFERROR(__xludf.DUMMYFUNCTION("""COMPUTED_VALUE"""),"Trois-Rivieres, Québec, Canada")</f>
        <v/>
      </c>
      <c r="K8246">
        <f>IFERROR(__xludf.DUMMYFUNCTION("""COMPUTED_VALUE"""),4744.86)</f>
        <v/>
      </c>
    </row>
    <row r="8247">
      <c r="J8247">
        <f>IFERROR(__xludf.DUMMYFUNCTION("""COMPUTED_VALUE"""),"Toronto, Ontario &amp;  Halifax , Nova Scotia &amp; St. John's, Newfoundland &amp; Labrador")</f>
        <v/>
      </c>
      <c r="K8247">
        <f>IFERROR(__xludf.DUMMYFUNCTION("""COMPUTED_VALUE"""),4744.32)</f>
        <v/>
      </c>
    </row>
    <row r="8248">
      <c r="J8248">
        <f>IFERROR(__xludf.DUMMYFUNCTION("""COMPUTED_VALUE"""),"Toronto, Ontario, Canada; Ottawa, Ontario, Canada; Montréal, Quebec, Canada")</f>
        <v/>
      </c>
      <c r="K8248">
        <f>IFERROR(__xludf.DUMMYFUNCTION("""COMPUTED_VALUE"""),4743.52)</f>
        <v/>
      </c>
    </row>
    <row r="8249">
      <c r="J8249">
        <f>IFERROR(__xludf.DUMMYFUNCTION("""COMPUTED_VALUE"""),"Dawson, YT / Whitehorse, YT")</f>
        <v/>
      </c>
      <c r="K8249">
        <f>IFERROR(__xludf.DUMMYFUNCTION("""COMPUTED_VALUE"""),4743.26)</f>
        <v/>
      </c>
    </row>
    <row r="8250">
      <c r="J8250">
        <f>IFERROR(__xludf.DUMMYFUNCTION("""COMPUTED_VALUE"""),"Tripoli, Libya via Air bus returning commercial Flight")</f>
        <v/>
      </c>
      <c r="K8250">
        <f>IFERROR(__xludf.DUMMYFUNCTION("""COMPUTED_VALUE"""),4742.78)</f>
        <v/>
      </c>
    </row>
    <row r="8251">
      <c r="J8251">
        <f>IFERROR(__xludf.DUMMYFUNCTION("""COMPUTED_VALUE"""),"Trinidad &amp; Tobago")</f>
        <v/>
      </c>
      <c r="K8251">
        <f>IFERROR(__xludf.DUMMYFUNCTION("""COMPUTED_VALUE"""),4742.6)</f>
        <v/>
      </c>
    </row>
    <row r="8252">
      <c r="J8252">
        <f>IFERROR(__xludf.DUMMYFUNCTION("""COMPUTED_VALUE"""),"Rimouski / Hull")</f>
        <v/>
      </c>
      <c r="K8252">
        <f>IFERROR(__xludf.DUMMYFUNCTION("""COMPUTED_VALUE"""),4742.42)</f>
        <v/>
      </c>
    </row>
    <row r="8253">
      <c r="J8253">
        <f>IFERROR(__xludf.DUMMYFUNCTION("""COMPUTED_VALUE"""),"Owen Sound, Barrie, Ontario, Canada")</f>
        <v/>
      </c>
      <c r="K8253">
        <f>IFERROR(__xludf.DUMMYFUNCTION("""COMPUTED_VALUE"""),4741.88999999999)</f>
        <v/>
      </c>
    </row>
    <row r="8254">
      <c r="J8254">
        <f>IFERROR(__xludf.DUMMYFUNCTION("""COMPUTED_VALUE"""),"Edmonton, Alberta, and Vancouver, British Columbia, Canada")</f>
        <v/>
      </c>
      <c r="K8254">
        <f>IFERROR(__xludf.DUMMYFUNCTION("""COMPUTED_VALUE"""),4741.8)</f>
        <v/>
      </c>
    </row>
    <row r="8255">
      <c r="J8255">
        <f>IFERROR(__xludf.DUMMYFUNCTION("""COMPUTED_VALUE"""),"Ottawa, Ontario, Canada                                                              Vancouver, British Columbia, Canada")</f>
        <v/>
      </c>
      <c r="K8255">
        <f>IFERROR(__xludf.DUMMYFUNCTION("""COMPUTED_VALUE"""),4741.63)</f>
        <v/>
      </c>
    </row>
    <row r="8256">
      <c r="J8256">
        <f>IFERROR(__xludf.DUMMYFUNCTION("""COMPUTED_VALUE"""),"Ottawa, ON - Boston, MA / Boston, MA - Ottawa, ON")</f>
        <v/>
      </c>
      <c r="K8256">
        <f>IFERROR(__xludf.DUMMYFUNCTION("""COMPUTED_VALUE"""),4741.59)</f>
        <v/>
      </c>
    </row>
    <row r="8257">
      <c r="J8257">
        <f>IFERROR(__xludf.DUMMYFUNCTION("""COMPUTED_VALUE"""),"Victoria (BC) and Vancouver (BC)")</f>
        <v/>
      </c>
      <c r="K8257">
        <f>IFERROR(__xludf.DUMMYFUNCTION("""COMPUTED_VALUE"""),4740.36)</f>
        <v/>
      </c>
    </row>
    <row r="8258">
      <c r="J8258">
        <f>IFERROR(__xludf.DUMMYFUNCTION("""COMPUTED_VALUE"""),"Amman,Jordan, Ramallah, West Bank and Tel Aviv")</f>
        <v/>
      </c>
      <c r="K8258">
        <f>IFERROR(__xludf.DUMMYFUNCTION("""COMPUTED_VALUE"""),4740.14)</f>
        <v/>
      </c>
    </row>
    <row r="8259">
      <c r="J8259">
        <f>IFERROR(__xludf.DUMMYFUNCTION("""COMPUTED_VALUE"""),"Ottawa - St. John's - Ottawa")</f>
        <v/>
      </c>
      <c r="K8259">
        <f>IFERROR(__xludf.DUMMYFUNCTION("""COMPUTED_VALUE"""),4739.31)</f>
        <v/>
      </c>
    </row>
    <row r="8260">
      <c r="J8260">
        <f>IFERROR(__xludf.DUMMYFUNCTION("""COMPUTED_VALUE"""),"Bellevue, Washington, United States")</f>
        <v/>
      </c>
      <c r="K8260">
        <f>IFERROR(__xludf.DUMMYFUNCTION("""COMPUTED_VALUE"""),4739.26)</f>
        <v/>
      </c>
    </row>
    <row r="8261">
      <c r="J8261">
        <f>IFERROR(__xludf.DUMMYFUNCTION("""COMPUTED_VALUE"""),"Vancouver, BC / Nanaimo, BC")</f>
        <v/>
      </c>
      <c r="K8261">
        <f>IFERROR(__xludf.DUMMYFUNCTION("""COMPUTED_VALUE"""),4739.15)</f>
        <v/>
      </c>
    </row>
    <row r="8262">
      <c r="J8262">
        <f>IFERROR(__xludf.DUMMYFUNCTION("""COMPUTED_VALUE"""),"Saskatoon and Vancouver")</f>
        <v/>
      </c>
      <c r="K8262">
        <f>IFERROR(__xludf.DUMMYFUNCTION("""COMPUTED_VALUE"""),4738.6)</f>
        <v/>
      </c>
    </row>
    <row r="8263">
      <c r="J8263">
        <f>IFERROR(__xludf.DUMMYFUNCTION("""COMPUTED_VALUE"""),"Prince George, British Columbia; Vancouver, British Columbia")</f>
        <v/>
      </c>
      <c r="K8263">
        <f>IFERROR(__xludf.DUMMYFUNCTION("""COMPUTED_VALUE"""),4734.91)</f>
        <v/>
      </c>
    </row>
    <row r="8264">
      <c r="J8264">
        <f>IFERROR(__xludf.DUMMYFUNCTION("""COMPUTED_VALUE"""),"Nanaimo/Victoria")</f>
        <v/>
      </c>
      <c r="K8264">
        <f>IFERROR(__xludf.DUMMYFUNCTION("""COMPUTED_VALUE"""),4734.89)</f>
        <v/>
      </c>
    </row>
    <row r="8265">
      <c r="J8265">
        <f>IFERROR(__xludf.DUMMYFUNCTION("""COMPUTED_VALUE"""),"Regina , Saskatchewan")</f>
        <v/>
      </c>
      <c r="K8265">
        <f>IFERROR(__xludf.DUMMYFUNCTION("""COMPUTED_VALUE"""),4734.42)</f>
        <v/>
      </c>
    </row>
    <row r="8266">
      <c r="J8266">
        <f>IFERROR(__xludf.DUMMYFUNCTION("""COMPUTED_VALUE"""),"Sydney, Nova Scotia and Ottawa, Ontario")</f>
        <v/>
      </c>
      <c r="K8266">
        <f>IFERROR(__xludf.DUMMYFUNCTION("""COMPUTED_VALUE"""),4733.82)</f>
        <v/>
      </c>
    </row>
    <row r="8267">
      <c r="J8267">
        <f>IFERROR(__xludf.DUMMYFUNCTION("""COMPUTED_VALUE"""),"Calgary, Edmonton, Alberta")</f>
        <v/>
      </c>
      <c r="K8267">
        <f>IFERROR(__xludf.DUMMYFUNCTION("""COMPUTED_VALUE"""),4732.61)</f>
        <v/>
      </c>
    </row>
    <row r="8268">
      <c r="J8268">
        <f>IFERROR(__xludf.DUMMYFUNCTION("""COMPUTED_VALUE"""),"London, (Ontario)")</f>
        <v/>
      </c>
      <c r="K8268">
        <f>IFERROR(__xludf.DUMMYFUNCTION("""COMPUTED_VALUE"""),4730.05999999999)</f>
        <v/>
      </c>
    </row>
    <row r="8269">
      <c r="J8269">
        <f>IFERROR(__xludf.DUMMYFUNCTION("""COMPUTED_VALUE"""),"Terrace, British Columbia, Canada; Prince George, British Columbia, Canada")</f>
        <v/>
      </c>
      <c r="K8269">
        <f>IFERROR(__xludf.DUMMYFUNCTION("""COMPUTED_VALUE"""),4729.08)</f>
        <v/>
      </c>
    </row>
    <row r="8270">
      <c r="J8270">
        <f>IFERROR(__xludf.DUMMYFUNCTION("""COMPUTED_VALUE"""),"Spruce Grove, Alberta, Canada")</f>
        <v/>
      </c>
      <c r="K8270">
        <f>IFERROR(__xludf.DUMMYFUNCTION("""COMPUTED_VALUE"""),4728.73)</f>
        <v/>
      </c>
    </row>
    <row r="8271">
      <c r="J8271">
        <f>IFERROR(__xludf.DUMMYFUNCTION("""COMPUTED_VALUE"""),"Winnipeg, MB / Churchill, MB / Winnipeg, MB")</f>
        <v/>
      </c>
      <c r="K8271">
        <f>IFERROR(__xludf.DUMMYFUNCTION("""COMPUTED_VALUE"""),4726.52)</f>
        <v/>
      </c>
    </row>
    <row r="8272">
      <c r="J8272">
        <f>IFERROR(__xludf.DUMMYFUNCTION("""COMPUTED_VALUE"""),"Los Angeles ,San Francisco")</f>
        <v/>
      </c>
      <c r="K8272">
        <f>IFERROR(__xludf.DUMMYFUNCTION("""COMPUTED_VALUE"""),4726.01)</f>
        <v/>
      </c>
    </row>
    <row r="8273">
      <c r="J8273">
        <f>IFERROR(__xludf.DUMMYFUNCTION("""COMPUTED_VALUE"""),"London, On")</f>
        <v/>
      </c>
      <c r="K8273">
        <f>IFERROR(__xludf.DUMMYFUNCTION("""COMPUTED_VALUE"""),4725.94)</f>
        <v/>
      </c>
    </row>
    <row r="8274">
      <c r="J8274">
        <f>IFERROR(__xludf.DUMMYFUNCTION("""COMPUTED_VALUE"""),"Brussels, Belgium and Berlin, Germany")</f>
        <v/>
      </c>
      <c r="K8274">
        <f>IFERROR(__xludf.DUMMYFUNCTION("""COMPUTED_VALUE"""),4724.07)</f>
        <v/>
      </c>
    </row>
    <row r="8275">
      <c r="J8275">
        <f>IFERROR(__xludf.DUMMYFUNCTION("""COMPUTED_VALUE"""),"Calgary, Alberta, Canada/ Toronto, Ontario, Canada")</f>
        <v/>
      </c>
      <c r="K8275">
        <f>IFERROR(__xludf.DUMMYFUNCTION("""COMPUTED_VALUE"""),4722.04999999999)</f>
        <v/>
      </c>
    </row>
    <row r="8276">
      <c r="J8276">
        <f>IFERROR(__xludf.DUMMYFUNCTION("""COMPUTED_VALUE"""),"Anchorage, Alaska, United States; Vancouver, British-Columbia, Canada; Saskatoon, Saskatchewan, Canada")</f>
        <v/>
      </c>
      <c r="K8276">
        <f>IFERROR(__xludf.DUMMYFUNCTION("""COMPUTED_VALUE"""),4720.35)</f>
        <v/>
      </c>
    </row>
    <row r="8277">
      <c r="J8277">
        <f>IFERROR(__xludf.DUMMYFUNCTION("""COMPUTED_VALUE"""),"Merida")</f>
        <v/>
      </c>
      <c r="K8277">
        <f>IFERROR(__xludf.DUMMYFUNCTION("""COMPUTED_VALUE"""),4720.27)</f>
        <v/>
      </c>
    </row>
    <row r="8278">
      <c r="J8278">
        <f>IFERROR(__xludf.DUMMYFUNCTION("""COMPUTED_VALUE"""),"Guanghzhou et Shengzhen")</f>
        <v/>
      </c>
      <c r="K8278">
        <f>IFERROR(__xludf.DUMMYFUNCTION("""COMPUTED_VALUE"""),4720)</f>
        <v/>
      </c>
    </row>
    <row r="8279">
      <c r="J8279">
        <f>IFERROR(__xludf.DUMMYFUNCTION("""COMPUTED_VALUE"""),"Miami - Turks &amp; Caicos - Cuba")</f>
        <v/>
      </c>
      <c r="K8279">
        <f>IFERROR(__xludf.DUMMYFUNCTION("""COMPUTED_VALUE"""),4717.84)</f>
        <v/>
      </c>
    </row>
    <row r="8280">
      <c r="J8280">
        <f>IFERROR(__xludf.DUMMYFUNCTION("""COMPUTED_VALUE"""),"Ottawa, Ontario, Canada - Toronto, Ontario, Canada")</f>
        <v/>
      </c>
      <c r="K8280">
        <f>IFERROR(__xludf.DUMMYFUNCTION("""COMPUTED_VALUE"""),4716.81)</f>
        <v/>
      </c>
    </row>
    <row r="8281">
      <c r="J8281">
        <f>IFERROR(__xludf.DUMMYFUNCTION("""COMPUTED_VALUE"""),"Guatemala, Honduras")</f>
        <v/>
      </c>
      <c r="K8281">
        <f>IFERROR(__xludf.DUMMYFUNCTION("""COMPUTED_VALUE"""),4715.76)</f>
        <v/>
      </c>
    </row>
    <row r="8282">
      <c r="J8282">
        <f>IFERROR(__xludf.DUMMYFUNCTION("""COMPUTED_VALUE"""),"Washington, Los Angeles United States / Auckland, Wellington New Zealand / Vancouver, British Columbia, Canada")</f>
        <v/>
      </c>
      <c r="K8282">
        <f>IFERROR(__xludf.DUMMYFUNCTION("""COMPUTED_VALUE"""),4715.12)</f>
        <v/>
      </c>
    </row>
    <row r="8283">
      <c r="J8283">
        <f>IFERROR(__xludf.DUMMYFUNCTION("""COMPUTED_VALUE"""),"Prince George - Vancouver - Yellowknife - Calgary")</f>
        <v/>
      </c>
      <c r="K8283">
        <f>IFERROR(__xludf.DUMMYFUNCTION("""COMPUTED_VALUE"""),4714.07)</f>
        <v/>
      </c>
    </row>
    <row r="8284">
      <c r="J8284">
        <f>IFERROR(__xludf.DUMMYFUNCTION("""COMPUTED_VALUE"""),"Montreal, Quebec, Canada; Toronto, Ontario, Canada; Waterloo, Ontario, Canada")</f>
        <v/>
      </c>
      <c r="K8284">
        <f>IFERROR(__xludf.DUMMYFUNCTION("""COMPUTED_VALUE"""),4713.83)</f>
        <v/>
      </c>
    </row>
    <row r="8285">
      <c r="J8285">
        <f>IFERROR(__xludf.DUMMYFUNCTION("""COMPUTED_VALUE"""),"Bathurst, New Brunswick, Canada
Shediac, New Brunswick, Canada
Summerside, Prince Edward Island, Canada
Charlottetown, Prince Edward Island, Canada")</f>
        <v/>
      </c>
      <c r="K8285">
        <f>IFERROR(__xludf.DUMMYFUNCTION("""COMPUTED_VALUE"""),4713.38)</f>
        <v/>
      </c>
    </row>
    <row r="8286">
      <c r="J8286">
        <f>IFERROR(__xludf.DUMMYFUNCTION("""COMPUTED_VALUE"""),"El Paso, Texas, United States")</f>
        <v/>
      </c>
      <c r="K8286">
        <f>IFERROR(__xludf.DUMMYFUNCTION("""COMPUTED_VALUE"""),4710.82)</f>
        <v/>
      </c>
    </row>
    <row r="8287">
      <c r="J8287">
        <f>IFERROR(__xludf.DUMMYFUNCTION("""COMPUTED_VALUE"""),"San Diego, CA &amp; Seattle (WA)")</f>
        <v/>
      </c>
      <c r="K8287">
        <f>IFERROR(__xludf.DUMMYFUNCTION("""COMPUTED_VALUE"""),4710.82)</f>
        <v/>
      </c>
    </row>
    <row r="8288">
      <c r="J8288">
        <f>IFERROR(__xludf.DUMMYFUNCTION("""COMPUTED_VALUE"""),"Toronto, Ontario/ Calgary, Alberta/ Sudbury, Ontario, Canada")</f>
        <v/>
      </c>
      <c r="K8288">
        <f>IFERROR(__xludf.DUMMYFUNCTION("""COMPUTED_VALUE"""),4709.24)</f>
        <v/>
      </c>
    </row>
    <row r="8289">
      <c r="J8289">
        <f>IFERROR(__xludf.DUMMYFUNCTION("""COMPUTED_VALUE"""),"Merritt Island, Florida, United-States")</f>
        <v/>
      </c>
      <c r="K8289">
        <f>IFERROR(__xludf.DUMMYFUNCTION("""COMPUTED_VALUE"""),4708.49)</f>
        <v/>
      </c>
    </row>
    <row r="8290">
      <c r="J8290">
        <f>IFERROR(__xludf.DUMMYFUNCTION("""COMPUTED_VALUE"""),"Kiev, Ukraine; Dnipropetrovsk, Ukraine")</f>
        <v/>
      </c>
      <c r="K8290">
        <f>IFERROR(__xludf.DUMMYFUNCTION("""COMPUTED_VALUE"""),4707.76)</f>
        <v/>
      </c>
    </row>
    <row r="8291">
      <c r="J8291">
        <f>IFERROR(__xludf.DUMMYFUNCTION("""COMPUTED_VALUE"""),"Penticton, BC Edmonton, AB Victoria, BC")</f>
        <v/>
      </c>
      <c r="K8291">
        <f>IFERROR(__xludf.DUMMYFUNCTION("""COMPUTED_VALUE"""),4707)</f>
        <v/>
      </c>
    </row>
    <row r="8292">
      <c r="J8292">
        <f>IFERROR(__xludf.DUMMYFUNCTION("""COMPUTED_VALUE"""),"Aberdeen, UK and London, UK")</f>
        <v/>
      </c>
      <c r="K8292">
        <f>IFERROR(__xludf.DUMMYFUNCTION("""COMPUTED_VALUE"""),4704.71)</f>
        <v/>
      </c>
    </row>
    <row r="8293">
      <c r="J8293">
        <f>IFERROR(__xludf.DUMMYFUNCTION("""COMPUTED_VALUE"""),"Fort Irwin")</f>
        <v/>
      </c>
      <c r="K8293">
        <f>IFERROR(__xludf.DUMMYFUNCTION("""COMPUTED_VALUE"""),4704.57)</f>
        <v/>
      </c>
    </row>
    <row r="8294">
      <c r="J8294">
        <f>IFERROR(__xludf.DUMMYFUNCTION("""COMPUTED_VALUE"""),"Deer Lake, Newfoundland and Labrador, CanadaSt Johns, Newfoundland and Labrador, Canada")</f>
        <v/>
      </c>
      <c r="K8294">
        <f>IFERROR(__xludf.DUMMYFUNCTION("""COMPUTED_VALUE"""),4704.43)</f>
        <v/>
      </c>
    </row>
    <row r="8295">
      <c r="J8295">
        <f>IFERROR(__xludf.DUMMYFUNCTION("""COMPUTED_VALUE"""),"Chisasibi, Quebec")</f>
        <v/>
      </c>
      <c r="K8295">
        <f>IFERROR(__xludf.DUMMYFUNCTION("""COMPUTED_VALUE"""),4702.83)</f>
        <v/>
      </c>
    </row>
    <row r="8296">
      <c r="J8296">
        <f>IFERROR(__xludf.DUMMYFUNCTION("""COMPUTED_VALUE"""),"Ditchley, United Kingdon")</f>
        <v/>
      </c>
      <c r="K8296">
        <f>IFERROR(__xludf.DUMMYFUNCTION("""COMPUTED_VALUE"""),4702.42)</f>
        <v/>
      </c>
    </row>
    <row r="8297">
      <c r="J8297">
        <f>IFERROR(__xludf.DUMMYFUNCTION("""COMPUTED_VALUE"""),"Saskatoon, SK - Calgary, AB - Fort McMurray, AB")</f>
        <v/>
      </c>
      <c r="K8297">
        <f>IFERROR(__xludf.DUMMYFUNCTION("""COMPUTED_VALUE"""),4700.99)</f>
        <v/>
      </c>
    </row>
    <row r="8298">
      <c r="J8298">
        <f>IFERROR(__xludf.DUMMYFUNCTION("""COMPUTED_VALUE"""),"Dominican Republic, Venezuela and Bolivia")</f>
        <v/>
      </c>
      <c r="K8298">
        <f>IFERROR(__xludf.DUMMYFUNCTION("""COMPUTED_VALUE"""),4700.71)</f>
        <v/>
      </c>
    </row>
    <row r="8299">
      <c r="J8299">
        <f>IFERROR(__xludf.DUMMYFUNCTION("""COMPUTED_VALUE"""),"Iqaluit, Cape Dorset, Pond Inlet, Resolute Bay, Cambridge Bay, Inuvik, Tuktoyaktuk, Dawson City, Whitehorse, Yellowknife")</f>
        <v/>
      </c>
      <c r="K8299">
        <f>IFERROR(__xludf.DUMMYFUNCTION("""COMPUTED_VALUE"""),4700)</f>
        <v/>
      </c>
    </row>
    <row r="8300">
      <c r="J8300">
        <f>IFERROR(__xludf.DUMMYFUNCTION("""COMPUTED_VALUE"""),"Toronto, ON St-John's, NL Québec, QC")</f>
        <v/>
      </c>
      <c r="K8300">
        <f>IFERROR(__xludf.DUMMYFUNCTION("""COMPUTED_VALUE"""),4698.33)</f>
        <v/>
      </c>
    </row>
    <row r="8301">
      <c r="J8301">
        <f>IFERROR(__xludf.DUMMYFUNCTION("""COMPUTED_VALUE"""),"Toronto, Ontario and Whitehorse, Yukon and Yellowknife,  Northwest Territories")</f>
        <v/>
      </c>
      <c r="K8301">
        <f>IFERROR(__xludf.DUMMYFUNCTION("""COMPUTED_VALUE"""),4698.14)</f>
        <v/>
      </c>
    </row>
    <row r="8302">
      <c r="J8302">
        <f>IFERROR(__xludf.DUMMYFUNCTION("""COMPUTED_VALUE"""),"Windsor, Ontario, Canada; Toronto, Ontario, Canada")</f>
        <v/>
      </c>
      <c r="K8302">
        <f>IFERROR(__xludf.DUMMYFUNCTION("""COMPUTED_VALUE"""),4697.75)</f>
        <v/>
      </c>
    </row>
    <row r="8303">
      <c r="J8303">
        <f>IFERROR(__xludf.DUMMYFUNCTION("""COMPUTED_VALUE"""),"Leuven, Belgium")</f>
        <v/>
      </c>
      <c r="K8303">
        <f>IFERROR(__xludf.DUMMYFUNCTION("""COMPUTED_VALUE"""),4697.18)</f>
        <v/>
      </c>
    </row>
    <row r="8304">
      <c r="J8304">
        <f>IFERROR(__xludf.DUMMYFUNCTION("""COMPUTED_VALUE"""),"Canmore, Alberta")</f>
        <v/>
      </c>
      <c r="K8304">
        <f>IFERROR(__xludf.DUMMYFUNCTION("""COMPUTED_VALUE"""),4696.59)</f>
        <v/>
      </c>
    </row>
    <row r="8305">
      <c r="J8305">
        <f>IFERROR(__xludf.DUMMYFUNCTION("""COMPUTED_VALUE"""),"Paris, Montréal, Iqualuit, Pond Inlet, Resolute Bay, Iqualuit, Ottawa, Toronto, Paris")</f>
        <v/>
      </c>
      <c r="K8305">
        <f>IFERROR(__xludf.DUMMYFUNCTION("""COMPUTED_VALUE"""),4696.48)</f>
        <v/>
      </c>
    </row>
    <row r="8306">
      <c r="J8306">
        <f>IFERROR(__xludf.DUMMYFUNCTION("""COMPUTED_VALUE"""),"Vancouver, British Columbia and Halifax, Nova Scotia")</f>
        <v/>
      </c>
      <c r="K8306">
        <f>IFERROR(__xludf.DUMMYFUNCTION("""COMPUTED_VALUE"""),4696.36)</f>
        <v/>
      </c>
    </row>
    <row r="8307">
      <c r="J8307">
        <f>IFERROR(__xludf.DUMMYFUNCTION("""COMPUTED_VALUE"""),"St. Petersburg, Florida")</f>
        <v/>
      </c>
      <c r="K8307">
        <f>IFERROR(__xludf.DUMMYFUNCTION("""COMPUTED_VALUE"""),4695.31)</f>
        <v/>
      </c>
    </row>
    <row r="8308">
      <c r="J8308">
        <f>IFERROR(__xludf.DUMMYFUNCTION("""COMPUTED_VALUE"""),"New Orléans, Louisianne")</f>
        <v/>
      </c>
      <c r="K8308">
        <f>IFERROR(__xludf.DUMMYFUNCTION("""COMPUTED_VALUE"""),4695.11)</f>
        <v/>
      </c>
    </row>
    <row r="8309">
      <c r="J8309">
        <f>IFERROR(__xludf.DUMMYFUNCTION("""COMPUTED_VALUE"""),"Johannesburg, Cape town and Pretoria, South Africa")</f>
        <v/>
      </c>
      <c r="K8309">
        <f>IFERROR(__xludf.DUMMYFUNCTION("""COMPUTED_VALUE"""),4694.01)</f>
        <v/>
      </c>
    </row>
    <row r="8310">
      <c r="J8310">
        <f>IFERROR(__xludf.DUMMYFUNCTION("""COMPUTED_VALUE"""),"Edmonton-Calgary, Alberta")</f>
        <v/>
      </c>
      <c r="K8310">
        <f>IFERROR(__xludf.DUMMYFUNCTION("""COMPUTED_VALUE"""),4693.37)</f>
        <v/>
      </c>
    </row>
    <row r="8311">
      <c r="J8311">
        <f>IFERROR(__xludf.DUMMYFUNCTION("""COMPUTED_VALUE"""),"Niagara Falls, Ontario and Washington DC, United States")</f>
        <v/>
      </c>
      <c r="K8311">
        <f>IFERROR(__xludf.DUMMYFUNCTION("""COMPUTED_VALUE"""),4692.12)</f>
        <v/>
      </c>
    </row>
    <row r="8312">
      <c r="J8312">
        <f>IFERROR(__xludf.DUMMYFUNCTION("""COMPUTED_VALUE"""),"Toronto and Ottawa, ON")</f>
        <v/>
      </c>
      <c r="K8312">
        <f>IFERROR(__xludf.DUMMYFUNCTION("""COMPUTED_VALUE"""),4691.54)</f>
        <v/>
      </c>
    </row>
    <row r="8313">
      <c r="J8313">
        <f>IFERROR(__xludf.DUMMYFUNCTION("""COMPUTED_VALUE"""),"Geneva and Basel, Switzerland")</f>
        <v/>
      </c>
      <c r="K8313">
        <f>IFERROR(__xludf.DUMMYFUNCTION("""COMPUTED_VALUE"""),4690.54)</f>
        <v/>
      </c>
    </row>
    <row r="8314">
      <c r="J8314">
        <f>IFERROR(__xludf.DUMMYFUNCTION("""COMPUTED_VALUE"""),"Saskatoon, Saskatchewan;Abbotsford, British Columbia")</f>
        <v/>
      </c>
      <c r="K8314">
        <f>IFERROR(__xludf.DUMMYFUNCTION("""COMPUTED_VALUE"""),4690.42)</f>
        <v/>
      </c>
    </row>
    <row r="8315">
      <c r="J8315">
        <f>IFERROR(__xludf.DUMMYFUNCTION("""COMPUTED_VALUE"""),"Victoria; Vancouver, British-Columbia, Canada")</f>
        <v/>
      </c>
      <c r="K8315">
        <f>IFERROR(__xludf.DUMMYFUNCTION("""COMPUTED_VALUE"""),4689.93)</f>
        <v/>
      </c>
    </row>
    <row r="8316">
      <c r="J8316">
        <f>IFERROR(__xludf.DUMMYFUNCTION("""COMPUTED_VALUE"""),"Nanaimo/British Columbia, Canada")</f>
        <v/>
      </c>
      <c r="K8316">
        <f>IFERROR(__xludf.DUMMYFUNCTION("""COMPUTED_VALUE"""),4689.14)</f>
        <v/>
      </c>
    </row>
    <row r="8317">
      <c r="J8317">
        <f>IFERROR(__xludf.DUMMYFUNCTION("""COMPUTED_VALUE"""),"Houston, TX, USA - Chicago, IL, USA")</f>
        <v/>
      </c>
      <c r="K8317">
        <f>IFERROR(__xludf.DUMMYFUNCTION("""COMPUTED_VALUE"""),4689.13)</f>
        <v/>
      </c>
    </row>
    <row r="8318">
      <c r="J8318">
        <f>IFERROR(__xludf.DUMMYFUNCTION("""COMPUTED_VALUE"""),"Vancouver, British Columbia, Seattle, Washington")</f>
        <v/>
      </c>
      <c r="K8318">
        <f>IFERROR(__xludf.DUMMYFUNCTION("""COMPUTED_VALUE"""),4687.46)</f>
        <v/>
      </c>
    </row>
    <row r="8319">
      <c r="J8319">
        <f>IFERROR(__xludf.DUMMYFUNCTION("""COMPUTED_VALUE"""),"Vancouver, British Columbia,  Canada")</f>
        <v/>
      </c>
      <c r="K8319">
        <f>IFERROR(__xludf.DUMMYFUNCTION("""COMPUTED_VALUE"""),4685.43)</f>
        <v/>
      </c>
    </row>
    <row r="8320">
      <c r="J8320">
        <f>IFERROR(__xludf.DUMMYFUNCTION("""COMPUTED_VALUE"""),"Terrace, British Columbia, Canada; Campbell River, British Columbia, Canada")</f>
        <v/>
      </c>
      <c r="K8320">
        <f>IFERROR(__xludf.DUMMYFUNCTION("""COMPUTED_VALUE"""),4685.26)</f>
        <v/>
      </c>
    </row>
    <row r="8321">
      <c r="J8321">
        <f>IFERROR(__xludf.DUMMYFUNCTION("""COMPUTED_VALUE"""),"Ottawa, Ontario/Saint John, New Brunswick")</f>
        <v/>
      </c>
      <c r="K8321">
        <f>IFERROR(__xludf.DUMMYFUNCTION("""COMPUTED_VALUE"""),4685.23)</f>
        <v/>
      </c>
    </row>
    <row r="8322">
      <c r="J8322">
        <f>IFERROR(__xludf.DUMMYFUNCTION("""COMPUTED_VALUE"""),"Nassau, Port-au-Prince and Guatemala")</f>
        <v/>
      </c>
      <c r="K8322">
        <f>IFERROR(__xludf.DUMMYFUNCTION("""COMPUTED_VALUE"""),4683.89)</f>
        <v/>
      </c>
    </row>
    <row r="8323">
      <c r="J8323">
        <f>IFERROR(__xludf.DUMMYFUNCTION("""COMPUTED_VALUE"""),"Dartmouth and Hunts Point, Nova Scotia, Canada")</f>
        <v/>
      </c>
      <c r="K8323">
        <f>IFERROR(__xludf.DUMMYFUNCTION("""COMPUTED_VALUE"""),4683.87)</f>
        <v/>
      </c>
    </row>
    <row r="8324">
      <c r="J8324">
        <f>IFERROR(__xludf.DUMMYFUNCTION("""COMPUTED_VALUE"""),"Deer Lake, Newfoundland and Labrador, Canada; Victoria, British Columbia, Canada; Yellowknife, Northwest Territory, Canada; Calgary, Alberta, Canada; Winnipeg, Manitoba, Canada")</f>
        <v/>
      </c>
      <c r="K8324">
        <f>IFERROR(__xludf.DUMMYFUNCTION("""COMPUTED_VALUE"""),4683.69)</f>
        <v/>
      </c>
    </row>
    <row r="8325">
      <c r="J8325">
        <f>IFERROR(__xludf.DUMMYFUNCTION("""COMPUTED_VALUE"""),"Wasagaming, Manitoba, Canada -
Toronto, Ontario, Canada")</f>
        <v/>
      </c>
      <c r="K8325">
        <f>IFERROR(__xludf.DUMMYFUNCTION("""COMPUTED_VALUE"""),4683)</f>
        <v/>
      </c>
    </row>
    <row r="8326">
      <c r="J8326">
        <f>IFERROR(__xludf.DUMMYFUNCTION("""COMPUTED_VALUE"""),"Deer Lake, NL / Moncton, NB / Summerside, PEI / Charlottetown, PEI / Bouctouche, NB / Moncton, NB")</f>
        <v/>
      </c>
      <c r="K8326">
        <f>IFERROR(__xludf.DUMMYFUNCTION("""COMPUTED_VALUE"""),4682.1)</f>
        <v/>
      </c>
    </row>
    <row r="8327">
      <c r="J8327">
        <f>IFERROR(__xludf.DUMMYFUNCTION("""COMPUTED_VALUE"""),"Antwerp, Belgium")</f>
        <v/>
      </c>
      <c r="K8327">
        <f>IFERROR(__xludf.DUMMYFUNCTION("""COMPUTED_VALUE"""),4680.88)</f>
        <v/>
      </c>
    </row>
    <row r="8328">
      <c r="J8328">
        <f>IFERROR(__xludf.DUMMYFUNCTION("""COMPUTED_VALUE"""),"San Francisco, USA and San Diego USA (California)")</f>
        <v/>
      </c>
      <c r="K8328">
        <f>IFERROR(__xludf.DUMMYFUNCTION("""COMPUTED_VALUE"""),4680.68)</f>
        <v/>
      </c>
    </row>
    <row r="8329">
      <c r="J8329">
        <f>IFERROR(__xludf.DUMMYFUNCTION("""COMPUTED_VALUE"""),"Fredericton, New Brunswick, Canada; St. John's, Newfoundland and Labrador, Canada")</f>
        <v/>
      </c>
      <c r="K8329">
        <f>IFERROR(__xludf.DUMMYFUNCTION("""COMPUTED_VALUE"""),4680.55999999999)</f>
        <v/>
      </c>
    </row>
    <row r="8330">
      <c r="J8330">
        <f>IFERROR(__xludf.DUMMYFUNCTION("""COMPUTED_VALUE"""),"New Haven, Connecticut / Washington, D.C. / New York, New York")</f>
        <v/>
      </c>
      <c r="K8330">
        <f>IFERROR(__xludf.DUMMYFUNCTION("""COMPUTED_VALUE"""),4680.04)</f>
        <v/>
      </c>
    </row>
    <row r="8331">
      <c r="J8331">
        <f>IFERROR(__xludf.DUMMYFUNCTION("""COMPUTED_VALUE"""),"Ottawa, New York")</f>
        <v/>
      </c>
      <c r="K8331">
        <f>IFERROR(__xludf.DUMMYFUNCTION("""COMPUTED_VALUE"""),4679.96)</f>
        <v/>
      </c>
    </row>
    <row r="8332">
      <c r="J8332">
        <f>IFERROR(__xludf.DUMMYFUNCTION("""COMPUTED_VALUE"""),"Ostend, Belgium")</f>
        <v/>
      </c>
      <c r="K8332">
        <f>IFERROR(__xludf.DUMMYFUNCTION("""COMPUTED_VALUE"""),4679.2)</f>
        <v/>
      </c>
    </row>
    <row r="8333">
      <c r="J8333">
        <f>IFERROR(__xludf.DUMMYFUNCTION("""COMPUTED_VALUE"""),"Bécancour and Québec, Québec, Canada")</f>
        <v/>
      </c>
      <c r="K8333">
        <f>IFERROR(__xludf.DUMMYFUNCTION("""COMPUTED_VALUE"""),4679.02)</f>
        <v/>
      </c>
    </row>
    <row r="8334">
      <c r="J8334">
        <f>IFERROR(__xludf.DUMMYFUNCTION("""COMPUTED_VALUE"""),"Courtenay, BC")</f>
        <v/>
      </c>
      <c r="K8334">
        <f>IFERROR(__xludf.DUMMYFUNCTION("""COMPUTED_VALUE"""),4678.56)</f>
        <v/>
      </c>
    </row>
    <row r="8335">
      <c r="J8335">
        <f>IFERROR(__xludf.DUMMYFUNCTION("""COMPUTED_VALUE"""),"Bethesda, Maryland, United States")</f>
        <v/>
      </c>
      <c r="K8335">
        <f>IFERROR(__xludf.DUMMYFUNCTION("""COMPUTED_VALUE"""),4677.74)</f>
        <v/>
      </c>
    </row>
    <row r="8336">
      <c r="J8336">
        <f>IFERROR(__xludf.DUMMYFUNCTION("""COMPUTED_VALUE"""),"Leamington, Windsor, Ontario, Canada")</f>
        <v/>
      </c>
      <c r="K8336">
        <f>IFERROR(__xludf.DUMMYFUNCTION("""COMPUTED_VALUE"""),4677.74)</f>
        <v/>
      </c>
    </row>
    <row r="8337">
      <c r="J8337">
        <f>IFERROR(__xludf.DUMMYFUNCTION("""COMPUTED_VALUE"""),"Saskatoon, Saskatchewan and Edmonton, Alberta and Yellowknife, North West Territories")</f>
        <v/>
      </c>
      <c r="K8337">
        <f>IFERROR(__xludf.DUMMYFUNCTION("""COMPUTED_VALUE"""),4677.67)</f>
        <v/>
      </c>
    </row>
    <row r="8338">
      <c r="J8338">
        <f>IFERROR(__xludf.DUMMYFUNCTION("""COMPUTED_VALUE"""),"Richmond, British Columbia, Canada; Surrey, British Columbia, Canada")</f>
        <v/>
      </c>
      <c r="K8338">
        <f>IFERROR(__xludf.DUMMYFUNCTION("""COMPUTED_VALUE"""),4676.87)</f>
        <v/>
      </c>
    </row>
    <row r="8339">
      <c r="J8339">
        <f>IFERROR(__xludf.DUMMYFUNCTION("""COMPUTED_VALUE"""),"Moncton, New Brunswick / Halifax, Nova Scotia")</f>
        <v/>
      </c>
      <c r="K8339">
        <f>IFERROR(__xludf.DUMMYFUNCTION("""COMPUTED_VALUE"""),4675.84)</f>
        <v/>
      </c>
    </row>
    <row r="8340">
      <c r="J8340">
        <f>IFERROR(__xludf.DUMMYFUNCTION("""COMPUTED_VALUE"""),"Fort McMurray, AB Okotoks, AB Calgary, AB Yellowknife, NT")</f>
        <v/>
      </c>
      <c r="K8340">
        <f>IFERROR(__xludf.DUMMYFUNCTION("""COMPUTED_VALUE"""),4674.84)</f>
        <v/>
      </c>
    </row>
    <row r="8341">
      <c r="J8341">
        <f>IFERROR(__xludf.DUMMYFUNCTION("""COMPUTED_VALUE"""),"Edmonton, Alberta; Toronto, Ontario")</f>
        <v/>
      </c>
      <c r="K8341">
        <f>IFERROR(__xludf.DUMMYFUNCTION("""COMPUTED_VALUE"""),4673.21999999999)</f>
        <v/>
      </c>
    </row>
    <row r="8342">
      <c r="J8342">
        <f>IFERROR(__xludf.DUMMYFUNCTION("""COMPUTED_VALUE"""),"Washington, Calgary &amp; Victoria")</f>
        <v/>
      </c>
      <c r="K8342">
        <f>IFERROR(__xludf.DUMMYFUNCTION("""COMPUTED_VALUE"""),4672.33)</f>
        <v/>
      </c>
    </row>
    <row r="8343">
      <c r="J8343">
        <f>IFERROR(__xludf.DUMMYFUNCTION("""COMPUTED_VALUE"""),"Edmonton, Alberta; Surrey, British Columbia; Kingston, Ontario - Canada")</f>
        <v/>
      </c>
      <c r="K8343">
        <f>IFERROR(__xludf.DUMMYFUNCTION("""COMPUTED_VALUE"""),4671.67)</f>
        <v/>
      </c>
    </row>
    <row r="8344">
      <c r="J8344">
        <f>IFERROR(__xludf.DUMMYFUNCTION("""COMPUTED_VALUE"""),"Ottawa-Toronto-Edmonton")</f>
        <v/>
      </c>
      <c r="K8344">
        <f>IFERROR(__xludf.DUMMYFUNCTION("""COMPUTED_VALUE"""),4669.8)</f>
        <v/>
      </c>
    </row>
    <row r="8345">
      <c r="J8345">
        <f>IFERROR(__xludf.DUMMYFUNCTION("""COMPUTED_VALUE"""),"Edmonton, Alberta, Vancouver and Victoria British Columbia, Canada")</f>
        <v/>
      </c>
      <c r="K8345">
        <f>IFERROR(__xludf.DUMMYFUNCTION("""COMPUTED_VALUE"""),4669.66)</f>
        <v/>
      </c>
    </row>
    <row r="8346">
      <c r="J8346">
        <f>IFERROR(__xludf.DUMMYFUNCTION("""COMPUTED_VALUE"""),"Toronto, Scarborough, Hamilton, Ontario, Canada")</f>
        <v/>
      </c>
      <c r="K8346">
        <f>IFERROR(__xludf.DUMMYFUNCTION("""COMPUTED_VALUE"""),4669.26)</f>
        <v/>
      </c>
    </row>
    <row r="8347">
      <c r="J8347">
        <f>IFERROR(__xludf.DUMMYFUNCTION("""COMPUTED_VALUE"""),"Vancouver, BC,  Whitehorse, YK , Edmonton, AB, Winnipeg, MB")</f>
        <v/>
      </c>
      <c r="K8347">
        <f>IFERROR(__xludf.DUMMYFUNCTION("""COMPUTED_VALUE"""),4667.57)</f>
        <v/>
      </c>
    </row>
    <row r="8348">
      <c r="J8348">
        <f>IFERROR(__xludf.DUMMYFUNCTION("""COMPUTED_VALUE"""),"Morrisburg, Ontario")</f>
        <v/>
      </c>
      <c r="K8348">
        <f>IFERROR(__xludf.DUMMYFUNCTION("""COMPUTED_VALUE"""),4666.95)</f>
        <v/>
      </c>
    </row>
    <row r="8349">
      <c r="J8349">
        <f>IFERROR(__xludf.DUMMYFUNCTION("""COMPUTED_VALUE"""),"London, Ontario / St. John's, Newfoundland and Labrador")</f>
        <v/>
      </c>
      <c r="K8349">
        <f>IFERROR(__xludf.DUMMYFUNCTION("""COMPUTED_VALUE"""),4664.22)</f>
        <v/>
      </c>
    </row>
    <row r="8350">
      <c r="J8350">
        <f>IFERROR(__xludf.DUMMYFUNCTION("""COMPUTED_VALUE"""),"Victoria and Vancouver")</f>
        <v/>
      </c>
      <c r="K8350">
        <f>IFERROR(__xludf.DUMMYFUNCTION("""COMPUTED_VALUE"""),4660.15)</f>
        <v/>
      </c>
    </row>
    <row r="8351">
      <c r="J8351">
        <f>IFERROR(__xludf.DUMMYFUNCTION("""COMPUTED_VALUE"""),"Ottawa-Toronto-Philadelphia-Toronto - Ottawa")</f>
        <v/>
      </c>
      <c r="K8351">
        <f>IFERROR(__xludf.DUMMYFUNCTION("""COMPUTED_VALUE"""),4659.66)</f>
        <v/>
      </c>
    </row>
    <row r="8352">
      <c r="J8352">
        <f>IFERROR(__xludf.DUMMYFUNCTION("""COMPUTED_VALUE"""),"US South &amp; South East corridor (GA, FL &amp; SC)")</f>
        <v/>
      </c>
      <c r="K8352">
        <f>IFERROR(__xludf.DUMMYFUNCTION("""COMPUTED_VALUE"""),4659.59)</f>
        <v/>
      </c>
    </row>
    <row r="8353">
      <c r="J8353">
        <f>IFERROR(__xludf.DUMMYFUNCTION("""COMPUTED_VALUE"""),"Jonquiére, QC Halifax, NS Fredericton, NB Charlottetown, PE")</f>
        <v/>
      </c>
      <c r="K8353">
        <f>IFERROR(__xludf.DUMMYFUNCTION("""COMPUTED_VALUE"""),4659.21)</f>
        <v/>
      </c>
    </row>
    <row r="8354">
      <c r="J8354">
        <f>IFERROR(__xludf.DUMMYFUNCTION("""COMPUTED_VALUE"""),"Sirte, Libya")</f>
        <v/>
      </c>
      <c r="K8354">
        <f>IFERROR(__xludf.DUMMYFUNCTION("""COMPUTED_VALUE"""),4658.52)</f>
        <v/>
      </c>
    </row>
    <row r="8355">
      <c r="J8355">
        <f>IFERROR(__xludf.DUMMYFUNCTION("""COMPUTED_VALUE"""),"New York, NY  Edmonton, AB")</f>
        <v/>
      </c>
      <c r="K8355">
        <f>IFERROR(__xludf.DUMMYFUNCTION("""COMPUTED_VALUE"""),4658.32)</f>
        <v/>
      </c>
    </row>
    <row r="8356">
      <c r="J8356">
        <f>IFERROR(__xludf.DUMMYFUNCTION("""COMPUTED_VALUE"""),"Vancouver, British Columbia, Canada
Kelowna, British Columbia, Canada")</f>
        <v/>
      </c>
      <c r="K8356">
        <f>IFERROR(__xludf.DUMMYFUNCTION("""COMPUTED_VALUE"""),4657.79)</f>
        <v/>
      </c>
    </row>
    <row r="8357">
      <c r="J8357">
        <f>IFERROR(__xludf.DUMMYFUNCTION("""COMPUTED_VALUE"""),"Toronto, ON London, ON")</f>
        <v/>
      </c>
      <c r="K8357">
        <f>IFERROR(__xludf.DUMMYFUNCTION("""COMPUTED_VALUE"""),4657.76)</f>
        <v/>
      </c>
    </row>
    <row r="8358">
      <c r="J8358">
        <f>IFERROR(__xludf.DUMMYFUNCTION("""COMPUTED_VALUE"""),"Vancouver, BC - Terrace, BC - Prince George, BC - Edmonton, AB")</f>
        <v/>
      </c>
      <c r="K8358">
        <f>IFERROR(__xludf.DUMMYFUNCTION("""COMPUTED_VALUE"""),4656.14)</f>
        <v/>
      </c>
    </row>
    <row r="8359">
      <c r="J8359">
        <f>IFERROR(__xludf.DUMMYFUNCTION("""COMPUTED_VALUE"""),"Dubvronik")</f>
        <v/>
      </c>
      <c r="K8359">
        <f>IFERROR(__xludf.DUMMYFUNCTION("""COMPUTED_VALUE"""),4656.04)</f>
        <v/>
      </c>
    </row>
    <row r="8360">
      <c r="J8360">
        <f>IFERROR(__xludf.DUMMYFUNCTION("""COMPUTED_VALUE"""),"Bogota, Cartagena Columbia")</f>
        <v/>
      </c>
      <c r="K8360">
        <f>IFERROR(__xludf.DUMMYFUNCTION("""COMPUTED_VALUE"""),4655.37)</f>
        <v/>
      </c>
    </row>
    <row r="8361">
      <c r="J8361">
        <f>IFERROR(__xludf.DUMMYFUNCTION("""COMPUTED_VALUE"""),"Regina, Saskatchewan /Vancouver, British Columbia")</f>
        <v/>
      </c>
      <c r="K8361">
        <f>IFERROR(__xludf.DUMMYFUNCTION("""COMPUTED_VALUE"""),4654.98)</f>
        <v/>
      </c>
    </row>
    <row r="8362">
      <c r="J8362">
        <f>IFERROR(__xludf.DUMMYFUNCTION("""COMPUTED_VALUE"""),"Ottawa, CA")</f>
        <v/>
      </c>
      <c r="K8362">
        <f>IFERROR(__xludf.DUMMYFUNCTION("""COMPUTED_VALUE"""),4653.71999999999)</f>
        <v/>
      </c>
    </row>
    <row r="8363">
      <c r="J8363">
        <f>IFERROR(__xludf.DUMMYFUNCTION("""COMPUTED_VALUE"""),"Victoria and Edmonton, Canada")</f>
        <v/>
      </c>
      <c r="K8363">
        <f>IFERROR(__xludf.DUMMYFUNCTION("""COMPUTED_VALUE"""),4653.06)</f>
        <v/>
      </c>
    </row>
    <row r="8364">
      <c r="J8364">
        <f>IFERROR(__xludf.DUMMYFUNCTION("""COMPUTED_VALUE"""),"Vancouver, B.C and Washington, D.C")</f>
        <v/>
      </c>
      <c r="K8364">
        <f>IFERROR(__xludf.DUMMYFUNCTION("""COMPUTED_VALUE"""),4652.14)</f>
        <v/>
      </c>
    </row>
    <row r="8365">
      <c r="J8365">
        <f>IFERROR(__xludf.DUMMYFUNCTION("""COMPUTED_VALUE"""),"Saskatoon &amp; Edmonton")</f>
        <v/>
      </c>
      <c r="K8365">
        <f>IFERROR(__xludf.DUMMYFUNCTION("""COMPUTED_VALUE"""),4651.19)</f>
        <v/>
      </c>
    </row>
    <row r="8366">
      <c r="J8366">
        <f>IFERROR(__xludf.DUMMYFUNCTION("""COMPUTED_VALUE"""),"Halifax, Nova Scotia, Canada; Charlottetown, Prince Edward Island, Canada; Moncton, New Brunswick, Canada")</f>
        <v/>
      </c>
      <c r="K8366">
        <f>IFERROR(__xludf.DUMMYFUNCTION("""COMPUTED_VALUE"""),4649.87)</f>
        <v/>
      </c>
    </row>
    <row r="8367">
      <c r="J8367">
        <f>IFERROR(__xludf.DUMMYFUNCTION("""COMPUTED_VALUE"""),"Washington DC, United States of America; Halifax, Canada")</f>
        <v/>
      </c>
      <c r="K8367">
        <f>IFERROR(__xludf.DUMMYFUNCTION("""COMPUTED_VALUE"""),4648.4)</f>
        <v/>
      </c>
    </row>
    <row r="8368">
      <c r="J8368">
        <f>IFERROR(__xludf.DUMMYFUNCTION("""COMPUTED_VALUE"""),"VICTORIA, BC - EDMONTON, AB - QUEBEC, QC")</f>
        <v/>
      </c>
      <c r="K8368">
        <f>IFERROR(__xludf.DUMMYFUNCTION("""COMPUTED_VALUE"""),4647.79)</f>
        <v/>
      </c>
    </row>
    <row r="8369">
      <c r="J8369">
        <f>IFERROR(__xludf.DUMMYFUNCTION("""COMPUTED_VALUE"""),"Winnipeg, Manitoba, Canada and Yellowknife, Northwest Territories, Canada")</f>
        <v/>
      </c>
      <c r="K8369">
        <f>IFERROR(__xludf.DUMMYFUNCTION("""COMPUTED_VALUE"""),4647.42)</f>
        <v/>
      </c>
    </row>
    <row r="8370">
      <c r="J8370">
        <f>IFERROR(__xludf.DUMMYFUNCTION("""COMPUTED_VALUE"""),"Calagary (Alberta) Canada
Winnipeg (Manitoba) Canada")</f>
        <v/>
      </c>
      <c r="K8370">
        <f>IFERROR(__xludf.DUMMYFUNCTION("""COMPUTED_VALUE"""),4646.92)</f>
        <v/>
      </c>
    </row>
    <row r="8371">
      <c r="J8371">
        <f>IFERROR(__xludf.DUMMYFUNCTION("""COMPUTED_VALUE"""),"Toronto/Windsor, Ontario-Detroit, Michigan, United States")</f>
        <v/>
      </c>
      <c r="K8371">
        <f>IFERROR(__xludf.DUMMYFUNCTION("""COMPUTED_VALUE"""),4646.1)</f>
        <v/>
      </c>
    </row>
    <row r="8372">
      <c r="J8372">
        <f>IFERROR(__xludf.DUMMYFUNCTION("""COMPUTED_VALUE"""),"Iqaluit, Nunavut / 
Yellowknife, Northwest Territories / 
Whitehorse, Yukon, Canada")</f>
        <v/>
      </c>
      <c r="K8372">
        <f>IFERROR(__xludf.DUMMYFUNCTION("""COMPUTED_VALUE"""),4644.82)</f>
        <v/>
      </c>
    </row>
    <row r="8373">
      <c r="J8373">
        <f>IFERROR(__xludf.DUMMYFUNCTION("""COMPUTED_VALUE"""),"Cap Haitien, Haiti")</f>
        <v/>
      </c>
      <c r="K8373">
        <f>IFERROR(__xludf.DUMMYFUNCTION("""COMPUTED_VALUE"""),4644.79)</f>
        <v/>
      </c>
    </row>
    <row r="8374">
      <c r="J8374">
        <f>IFERROR(__xludf.DUMMYFUNCTION("""COMPUTED_VALUE"""),"Montréal, Québec / Washington, US")</f>
        <v/>
      </c>
      <c r="K8374">
        <f>IFERROR(__xludf.DUMMYFUNCTION("""COMPUTED_VALUE"""),4644.18)</f>
        <v/>
      </c>
    </row>
    <row r="8375">
      <c r="J8375">
        <f>IFERROR(__xludf.DUMMYFUNCTION("""COMPUTED_VALUE"""),"Doha in Qatar")</f>
        <v/>
      </c>
      <c r="K8375">
        <f>IFERROR(__xludf.DUMMYFUNCTION("""COMPUTED_VALUE"""),4643.54)</f>
        <v/>
      </c>
    </row>
    <row r="8376">
      <c r="J8376">
        <f>IFERROR(__xludf.DUMMYFUNCTION("""COMPUTED_VALUE"""),"Whitehorse, Yukon
Vancouver, British Columbia")</f>
        <v/>
      </c>
      <c r="K8376">
        <f>IFERROR(__xludf.DUMMYFUNCTION("""COMPUTED_VALUE"""),4642.24)</f>
        <v/>
      </c>
    </row>
    <row r="8377">
      <c r="J8377">
        <f>IFERROR(__xludf.DUMMYFUNCTION("""COMPUTED_VALUE"""),"Lisbon (Portugal)")</f>
        <v/>
      </c>
      <c r="K8377">
        <f>IFERROR(__xludf.DUMMYFUNCTION("""COMPUTED_VALUE"""),4640.99)</f>
        <v/>
      </c>
    </row>
    <row r="8378">
      <c r="J8378">
        <f>IFERROR(__xludf.DUMMYFUNCTION("""COMPUTED_VALUE"""),"St. Catharines, and Hamilton")</f>
        <v/>
      </c>
      <c r="K8378">
        <f>IFERROR(__xludf.DUMMYFUNCTION("""COMPUTED_VALUE"""),4640.86)</f>
        <v/>
      </c>
    </row>
    <row r="8379">
      <c r="J8379">
        <f>IFERROR(__xludf.DUMMYFUNCTION("""COMPUTED_VALUE"""),"Victoria, BC, Toronto and Stratford, ON")</f>
        <v/>
      </c>
      <c r="K8379">
        <f>IFERROR(__xludf.DUMMYFUNCTION("""COMPUTED_VALUE"""),4639.94)</f>
        <v/>
      </c>
    </row>
    <row r="8380">
      <c r="J8380">
        <f>IFERROR(__xludf.DUMMYFUNCTION("""COMPUTED_VALUE"""),"Ottawa , Ontario, Canada")</f>
        <v/>
      </c>
      <c r="K8380">
        <f>IFERROR(__xludf.DUMMYFUNCTION("""COMPUTED_VALUE"""),4639.91)</f>
        <v/>
      </c>
    </row>
    <row r="8381">
      <c r="J8381">
        <f>IFERROR(__xludf.DUMMYFUNCTION("""COMPUTED_VALUE"""),"Edmonton, Calgary, AB, Vancouver, Kelowna, BC, Montreal, Quebec, QC")</f>
        <v/>
      </c>
      <c r="K8381">
        <f>IFERROR(__xludf.DUMMYFUNCTION("""COMPUTED_VALUE"""),4639.29)</f>
        <v/>
      </c>
    </row>
    <row r="8382">
      <c r="J8382">
        <f>IFERROR(__xludf.DUMMYFUNCTION("""COMPUTED_VALUE"""),"Charlottetown, Prince Edward Island, Canada; Mill River, Prince Edward Island, Canada")</f>
        <v/>
      </c>
      <c r="K8382">
        <f>IFERROR(__xludf.DUMMYFUNCTION("""COMPUTED_VALUE"""),4638.74)</f>
        <v/>
      </c>
    </row>
    <row r="8383">
      <c r="J8383">
        <f>IFERROR(__xludf.DUMMYFUNCTION("""COMPUTED_VALUE"""),"Vancouver and Williams Lake, British Columbia, Canada")</f>
        <v/>
      </c>
      <c r="K8383">
        <f>IFERROR(__xludf.DUMMYFUNCTION("""COMPUTED_VALUE"""),4638.28)</f>
        <v/>
      </c>
    </row>
    <row r="8384">
      <c r="J8384">
        <f>IFERROR(__xludf.DUMMYFUNCTION("""COMPUTED_VALUE"""),"Edmonton, Alberta, Canada; Yellowknife, Northwest Terriotories, Canada; Norman Wells, Northwest Terriotories, Canada")</f>
        <v/>
      </c>
      <c r="K8384">
        <f>IFERROR(__xludf.DUMMYFUNCTION("""COMPUTED_VALUE"""),4638.12)</f>
        <v/>
      </c>
    </row>
    <row r="8385">
      <c r="J8385">
        <f>IFERROR(__xludf.DUMMYFUNCTION("""COMPUTED_VALUE"""),"Winnipeg, Manitoba, Canada; Toronto, Ontario, Canada; Calgary, Alberta, Canada; Ottawa, Ontario, Canada")</f>
        <v/>
      </c>
      <c r="K8385">
        <f>IFERROR(__xludf.DUMMYFUNCTION("""COMPUTED_VALUE"""),4637.97)</f>
        <v/>
      </c>
    </row>
    <row r="8386">
      <c r="J8386">
        <f>IFERROR(__xludf.DUMMYFUNCTION("""COMPUTED_VALUE"""),"Qubec City, Quebec; Bagotville, Quebec; Montreal, Quebec; Ottawa, Ontario")</f>
        <v/>
      </c>
      <c r="K8386">
        <f>IFERROR(__xludf.DUMMYFUNCTION("""COMPUTED_VALUE"""),4637.08)</f>
        <v/>
      </c>
    </row>
    <row r="8387">
      <c r="J8387">
        <f>IFERROR(__xludf.DUMMYFUNCTION("""COMPUTED_VALUE"""),"Washington DC, Washington DC, United-States")</f>
        <v/>
      </c>
      <c r="K8387">
        <f>IFERROR(__xludf.DUMMYFUNCTION("""COMPUTED_VALUE"""),4636.74)</f>
        <v/>
      </c>
    </row>
    <row r="8388">
      <c r="J8388">
        <f>IFERROR(__xludf.DUMMYFUNCTION("""COMPUTED_VALUE"""),"Atlanta, Georgia / Tallahassee, Florida / Miami, Florida")</f>
        <v/>
      </c>
      <c r="K8388">
        <f>IFERROR(__xludf.DUMMYFUNCTION("""COMPUTED_VALUE"""),4635.52)</f>
        <v/>
      </c>
    </row>
    <row r="8389">
      <c r="J8389">
        <f>IFERROR(__xludf.DUMMYFUNCTION("""COMPUTED_VALUE"""),"Edmonton, Alberta; Saskatoon, Saskatchewan")</f>
        <v/>
      </c>
      <c r="K8389">
        <f>IFERROR(__xludf.DUMMYFUNCTION("""COMPUTED_VALUE"""),4635.34)</f>
        <v/>
      </c>
    </row>
    <row r="8390">
      <c r="J8390">
        <f>IFERROR(__xludf.DUMMYFUNCTION("""COMPUTED_VALUE"""),"Huntsville, Ontario")</f>
        <v/>
      </c>
      <c r="K8390">
        <f>IFERROR(__xludf.DUMMYFUNCTION("""COMPUTED_VALUE"""),4635.28)</f>
        <v/>
      </c>
    </row>
    <row r="8391">
      <c r="J8391">
        <f>IFERROR(__xludf.DUMMYFUNCTION("""COMPUTED_VALUE"""),"Ottawa Paracas, Peru")</f>
        <v/>
      </c>
      <c r="K8391">
        <f>IFERROR(__xludf.DUMMYFUNCTION("""COMPUTED_VALUE"""),4632.87)</f>
        <v/>
      </c>
    </row>
    <row r="8392">
      <c r="J8392">
        <f>IFERROR(__xludf.DUMMYFUNCTION("""COMPUTED_VALUE"""),"Halifax, Nova Scotia; Charlottetown, Prince Edward Island; Winnipeg, Manitoba")</f>
        <v/>
      </c>
      <c r="K8392">
        <f>IFERROR(__xludf.DUMMYFUNCTION("""COMPUTED_VALUE"""),4632.15)</f>
        <v/>
      </c>
    </row>
    <row r="8393">
      <c r="J8393">
        <f>IFERROR(__xludf.DUMMYFUNCTION("""COMPUTED_VALUE"""),"Winnipeg, (Manitoba)   Saskatoon, (Saskatchewan)")</f>
        <v/>
      </c>
      <c r="K8393">
        <f>IFERROR(__xludf.DUMMYFUNCTION("""COMPUTED_VALUE"""),4632.01)</f>
        <v/>
      </c>
    </row>
    <row r="8394">
      <c r="J8394">
        <f>IFERROR(__xludf.DUMMYFUNCTION("""COMPUTED_VALUE"""),"Yellowknife, Northwest Territorities, Canada")</f>
        <v/>
      </c>
      <c r="K8394">
        <f>IFERROR(__xludf.DUMMYFUNCTION("""COMPUTED_VALUE"""),4631.7)</f>
        <v/>
      </c>
    </row>
    <row r="8395">
      <c r="J8395">
        <f>IFERROR(__xludf.DUMMYFUNCTION("""COMPUTED_VALUE"""),"Vancouver, British-Columbia (Canada)")</f>
        <v/>
      </c>
      <c r="K8395">
        <f>IFERROR(__xludf.DUMMYFUNCTION("""COMPUTED_VALUE"""),4631.62999999999)</f>
        <v/>
      </c>
    </row>
    <row r="8396">
      <c r="J8396">
        <f>IFERROR(__xludf.DUMMYFUNCTION("""COMPUTED_VALUE"""),"Ottawa , ON")</f>
        <v/>
      </c>
      <c r="K8396">
        <f>IFERROR(__xludf.DUMMYFUNCTION("""COMPUTED_VALUE"""),4631.25)</f>
        <v/>
      </c>
    </row>
    <row r="8397">
      <c r="J8397">
        <f>IFERROR(__xludf.DUMMYFUNCTION("""COMPUTED_VALUE"""),"New York, Newark")</f>
        <v/>
      </c>
      <c r="K8397">
        <f>IFERROR(__xludf.DUMMYFUNCTION("""COMPUTED_VALUE"""),4630.97)</f>
        <v/>
      </c>
    </row>
    <row r="8398">
      <c r="J8398">
        <f>IFERROR(__xludf.DUMMYFUNCTION("""COMPUTED_VALUE"""),"Montreal, Québec (Canada)")</f>
        <v/>
      </c>
      <c r="K8398">
        <f>IFERROR(__xludf.DUMMYFUNCTION("""COMPUTED_VALUE"""),4630.24)</f>
        <v/>
      </c>
    </row>
    <row r="8399">
      <c r="J8399">
        <f>IFERROR(__xludf.DUMMYFUNCTION("""COMPUTED_VALUE"""),"Chicago, Illlinois - Huston, TX")</f>
        <v/>
      </c>
      <c r="K8399">
        <f>IFERROR(__xludf.DUMMYFUNCTION("""COMPUTED_VALUE"""),4628.69)</f>
        <v/>
      </c>
    </row>
    <row r="8400">
      <c r="J8400">
        <f>IFERROR(__xludf.DUMMYFUNCTION("""COMPUTED_VALUE"""),"Toronto, Ottaaw")</f>
        <v/>
      </c>
      <c r="K8400">
        <f>IFERROR(__xludf.DUMMYFUNCTION("""COMPUTED_VALUE"""),4628.55)</f>
        <v/>
      </c>
    </row>
    <row r="8401">
      <c r="J8401">
        <f>IFERROR(__xludf.DUMMYFUNCTION("""COMPUTED_VALUE"""),"Vancouver, British Columbia; Winnipeg, Manitoba; Saskatoon, Saskatchewan; Fort McMurray, Alberta; Calgary, Alberta")</f>
        <v/>
      </c>
      <c r="K8401">
        <f>IFERROR(__xludf.DUMMYFUNCTION("""COMPUTED_VALUE"""),4628.01)</f>
        <v/>
      </c>
    </row>
    <row r="8402">
      <c r="J8402">
        <f>IFERROR(__xludf.DUMMYFUNCTION("""COMPUTED_VALUE"""),"Washington, D.C.; Tucson and Marana, AZ, U.S.A.")</f>
        <v/>
      </c>
      <c r="K8402">
        <f>IFERROR(__xludf.DUMMYFUNCTION("""COMPUTED_VALUE"""),4627.94)</f>
        <v/>
      </c>
    </row>
    <row r="8403">
      <c r="J8403">
        <f>IFERROR(__xludf.DUMMYFUNCTION("""COMPUTED_VALUE"""),"Vancouver, British Columbia, Canada /  Whitehorse, Yukon, Canada")</f>
        <v/>
      </c>
      <c r="K8403">
        <f>IFERROR(__xludf.DUMMYFUNCTION("""COMPUTED_VALUE"""),4626.92)</f>
        <v/>
      </c>
    </row>
    <row r="8404">
      <c r="J8404">
        <f>IFERROR(__xludf.DUMMYFUNCTION("""COMPUTED_VALUE"""),"Yellowknife, Northwest Territories, Canada; Edmonton, Alberta, Canada")</f>
        <v/>
      </c>
      <c r="K8404">
        <f>IFERROR(__xludf.DUMMYFUNCTION("""COMPUTED_VALUE"""),4623.71)</f>
        <v/>
      </c>
    </row>
    <row r="8405">
      <c r="J8405">
        <f>IFERROR(__xludf.DUMMYFUNCTION("""COMPUTED_VALUE"""),"Winnipeg, Manitoba, Canada; Eureka, Nunavut, Canada")</f>
        <v/>
      </c>
      <c r="K8405">
        <f>IFERROR(__xludf.DUMMYFUNCTION("""COMPUTED_VALUE"""),4623.27)</f>
        <v/>
      </c>
    </row>
    <row r="8406">
      <c r="J8406">
        <f>IFERROR(__xludf.DUMMYFUNCTION("""COMPUTED_VALUE"""),"Edmonton, Alberta, Canada; Regina, Saskatchewan, Canada")</f>
        <v/>
      </c>
      <c r="K8406">
        <f>IFERROR(__xludf.DUMMYFUNCTION("""COMPUTED_VALUE"""),4621.96)</f>
        <v/>
      </c>
    </row>
    <row r="8407">
      <c r="J8407">
        <f>IFERROR(__xludf.DUMMYFUNCTION("""COMPUTED_VALUE"""),"Nanaimo, British Columbia, Canada; Victoria, British Columbia, Canada; Portland, United States")</f>
        <v/>
      </c>
      <c r="K8407">
        <f>IFERROR(__xludf.DUMMYFUNCTION("""COMPUTED_VALUE"""),4619.8)</f>
        <v/>
      </c>
    </row>
    <row r="8408">
      <c r="J8408">
        <f>IFERROR(__xludf.DUMMYFUNCTION("""COMPUTED_VALUE"""),"Ottawa,Ontario")</f>
        <v/>
      </c>
      <c r="K8408">
        <f>IFERROR(__xludf.DUMMYFUNCTION("""COMPUTED_VALUE"""),4619.55)</f>
        <v/>
      </c>
    </row>
    <row r="8409">
      <c r="J8409">
        <f>IFERROR(__xludf.DUMMYFUNCTION("""COMPUTED_VALUE"""),"Toronto, Ontario, Canada; Moncton, New Brunswick, Canada; Saint John, New Brunswick, Canada; Halifax, Nova Scotia, Canada")</f>
        <v/>
      </c>
      <c r="K8409">
        <f>IFERROR(__xludf.DUMMYFUNCTION("""COMPUTED_VALUE"""),4619.1)</f>
        <v/>
      </c>
    </row>
    <row r="8410">
      <c r="J8410">
        <f>IFERROR(__xludf.DUMMYFUNCTION("""COMPUTED_VALUE"""),"Sidney, British Columbia, Canada
Calgary, Alberta, Canada")</f>
        <v/>
      </c>
      <c r="K8410">
        <f>IFERROR(__xludf.DUMMYFUNCTION("""COMPUTED_VALUE"""),4618.49)</f>
        <v/>
      </c>
    </row>
    <row r="8411">
      <c r="J8411">
        <f>IFERROR(__xludf.DUMMYFUNCTION("""COMPUTED_VALUE"""),"Regina, Saskatchewan; Winnipeg, Manitoba")</f>
        <v/>
      </c>
      <c r="K8411">
        <f>IFERROR(__xludf.DUMMYFUNCTION("""COMPUTED_VALUE"""),4618.4)</f>
        <v/>
      </c>
    </row>
    <row r="8412">
      <c r="J8412">
        <f>IFERROR(__xludf.DUMMYFUNCTION("""COMPUTED_VALUE"""),"Toronto-Calgary-Vancouver")</f>
        <v/>
      </c>
      <c r="K8412">
        <f>IFERROR(__xludf.DUMMYFUNCTION("""COMPUTED_VALUE"""),4616.56)</f>
        <v/>
      </c>
    </row>
    <row r="8413">
      <c r="J8413">
        <f>IFERROR(__xludf.DUMMYFUNCTION("""COMPUTED_VALUE"""),"Winnipeg, Manitoba and Regina, Saskatchewan")</f>
        <v/>
      </c>
      <c r="K8413">
        <f>IFERROR(__xludf.DUMMYFUNCTION("""COMPUTED_VALUE"""),4615.52)</f>
        <v/>
      </c>
    </row>
    <row r="8414">
      <c r="J8414">
        <f>IFERROR(__xludf.DUMMYFUNCTION("""COMPUTED_VALUE"""),"Schloss Elmau, Bavaria, Germany")</f>
        <v/>
      </c>
      <c r="K8414">
        <f>IFERROR(__xludf.DUMMYFUNCTION("""COMPUTED_VALUE"""),4614.87)</f>
        <v/>
      </c>
    </row>
    <row r="8415">
      <c r="J8415">
        <f>IFERROR(__xludf.DUMMYFUNCTION("""COMPUTED_VALUE"""),"Ottawa (Ontario) Canada, Washington, DC (USA)")</f>
        <v/>
      </c>
      <c r="K8415">
        <f>IFERROR(__xludf.DUMMYFUNCTION("""COMPUTED_VALUE"""),4614.22)</f>
        <v/>
      </c>
    </row>
    <row r="8416">
      <c r="J8416">
        <f>IFERROR(__xludf.DUMMYFUNCTION("""COMPUTED_VALUE"""),"Vancouver, British Columbia, Canada/ Edmonton,  Alberta, Canada/ Calgary, Alberta, Canada")</f>
        <v/>
      </c>
      <c r="K8416">
        <f>IFERROR(__xludf.DUMMYFUNCTION("""COMPUTED_VALUE"""),4612.53)</f>
        <v/>
      </c>
    </row>
    <row r="8417">
      <c r="J8417">
        <f>IFERROR(__xludf.DUMMYFUNCTION("""COMPUTED_VALUE"""),"Toronto and Guelph, Ontario, Canada")</f>
        <v/>
      </c>
      <c r="K8417">
        <f>IFERROR(__xludf.DUMMYFUNCTION("""COMPUTED_VALUE"""),4611.73)</f>
        <v/>
      </c>
    </row>
    <row r="8418">
      <c r="J8418">
        <f>IFERROR(__xludf.DUMMYFUNCTION("""COMPUTED_VALUE"""),"Miami and Tampa, United States")</f>
        <v/>
      </c>
      <c r="K8418">
        <f>IFERROR(__xludf.DUMMYFUNCTION("""COMPUTED_VALUE"""),4611.34)</f>
        <v/>
      </c>
    </row>
    <row r="8419">
      <c r="J8419">
        <f>IFERROR(__xludf.DUMMYFUNCTION("""COMPUTED_VALUE"""),"Calgary, AB and Toronto, ON")</f>
        <v/>
      </c>
      <c r="K8419">
        <f>IFERROR(__xludf.DUMMYFUNCTION("""COMPUTED_VALUE"""),4610.96999999999)</f>
        <v/>
      </c>
    </row>
    <row r="8420">
      <c r="J8420">
        <f>IFERROR(__xludf.DUMMYFUNCTION("""COMPUTED_VALUE"""),"Windsor, Ontario / Ottawa, Ontario")</f>
        <v/>
      </c>
      <c r="K8420">
        <f>IFERROR(__xludf.DUMMYFUNCTION("""COMPUTED_VALUE"""),4610.82)</f>
        <v/>
      </c>
    </row>
    <row r="8421">
      <c r="J8421">
        <f>IFERROR(__xludf.DUMMYFUNCTION("""COMPUTED_VALUE"""),"Frederiction, New Brunswick, Canada")</f>
        <v/>
      </c>
      <c r="K8421">
        <f>IFERROR(__xludf.DUMMYFUNCTION("""COMPUTED_VALUE"""),4610.12)</f>
        <v/>
      </c>
    </row>
    <row r="8422">
      <c r="J8422">
        <f>IFERROR(__xludf.DUMMYFUNCTION("""COMPUTED_VALUE"""),"Vancouver and Kamloops, British Columbia, Canada")</f>
        <v/>
      </c>
      <c r="K8422">
        <f>IFERROR(__xludf.DUMMYFUNCTION("""COMPUTED_VALUE"""),4609.83)</f>
        <v/>
      </c>
    </row>
    <row r="8423">
      <c r="J8423">
        <f>IFERROR(__xludf.DUMMYFUNCTION("""COMPUTED_VALUE"""),"Limassol, Cyprus")</f>
        <v/>
      </c>
      <c r="K8423">
        <f>IFERROR(__xludf.DUMMYFUNCTION("""COMPUTED_VALUE"""),4609.66)</f>
        <v/>
      </c>
    </row>
    <row r="8424">
      <c r="J8424">
        <f>IFERROR(__xludf.DUMMYFUNCTION("""COMPUTED_VALUE"""),"Regina, Saskatchewan; Toronto, London and Sault St. Marie Ontario; Moncton, New Brunswick")</f>
        <v/>
      </c>
      <c r="K8424">
        <f>IFERROR(__xludf.DUMMYFUNCTION("""COMPUTED_VALUE"""),4608.55)</f>
        <v/>
      </c>
    </row>
    <row r="8425">
      <c r="J8425">
        <f>IFERROR(__xludf.DUMMYFUNCTION("""COMPUTED_VALUE"""),"Winnipeg, Manitoba / Edmonton, Alberta, Canada")</f>
        <v/>
      </c>
      <c r="K8425">
        <f>IFERROR(__xludf.DUMMYFUNCTION("""COMPUTED_VALUE"""),4607.8)</f>
        <v/>
      </c>
    </row>
    <row r="8426">
      <c r="J8426">
        <f>IFERROR(__xludf.DUMMYFUNCTION("""COMPUTED_VALUE"""),"Vancouver and Kelowna, British Columbia - Edmonton, Alberta")</f>
        <v/>
      </c>
      <c r="K8426">
        <f>IFERROR(__xludf.DUMMYFUNCTION("""COMPUTED_VALUE"""),4606.49)</f>
        <v/>
      </c>
    </row>
    <row r="8427">
      <c r="J8427">
        <f>IFERROR(__xludf.DUMMYFUNCTION("""COMPUTED_VALUE"""),"Ottawa, Ontario, Canada  
Gatineau, Quebec, Canada")</f>
        <v/>
      </c>
      <c r="K8427">
        <f>IFERROR(__xludf.DUMMYFUNCTION("""COMPUTED_VALUE"""),4605.67)</f>
        <v/>
      </c>
    </row>
    <row r="8428">
      <c r="J8428">
        <f>IFERROR(__xludf.DUMMYFUNCTION("""COMPUTED_VALUE"""),"Ottawa,Ontario,Canada  
Gatineau,Quebec,Canada")</f>
        <v/>
      </c>
      <c r="K8428">
        <f>IFERROR(__xludf.DUMMYFUNCTION("""COMPUTED_VALUE"""),4605.67)</f>
        <v/>
      </c>
    </row>
    <row r="8429">
      <c r="J8429">
        <f>IFERROR(__xludf.DUMMYFUNCTION("""COMPUTED_VALUE"""),"St-Hyacinthe, QC, Canada")</f>
        <v/>
      </c>
      <c r="K8429">
        <f>IFERROR(__xludf.DUMMYFUNCTION("""COMPUTED_VALUE"""),4604.86)</f>
        <v/>
      </c>
    </row>
    <row r="8430">
      <c r="J8430">
        <f>IFERROR(__xludf.DUMMYFUNCTION("""COMPUTED_VALUE"""),"London and Poundbury, UK")</f>
        <v/>
      </c>
      <c r="K8430">
        <f>IFERROR(__xludf.DUMMYFUNCTION("""COMPUTED_VALUE"""),4604.63)</f>
        <v/>
      </c>
    </row>
    <row r="8431">
      <c r="J8431">
        <f>IFERROR(__xludf.DUMMYFUNCTION("""COMPUTED_VALUE"""),"Trinidad &amp; Tobago, Miami and Colombia")</f>
        <v/>
      </c>
      <c r="K8431">
        <f>IFERROR(__xludf.DUMMYFUNCTION("""COMPUTED_VALUE"""),4604.18)</f>
        <v/>
      </c>
    </row>
    <row r="8432">
      <c r="J8432">
        <f>IFERROR(__xludf.DUMMYFUNCTION("""COMPUTED_VALUE"""),"Yellowknife, NWT; Edmonton, AB")</f>
        <v/>
      </c>
      <c r="K8432">
        <f>IFERROR(__xludf.DUMMYFUNCTION("""COMPUTED_VALUE"""),4604.03)</f>
        <v/>
      </c>
    </row>
    <row r="8433">
      <c r="J8433">
        <f>IFERROR(__xludf.DUMMYFUNCTION("""COMPUTED_VALUE"""),"Yorkton, Ontario, Canada")</f>
        <v/>
      </c>
      <c r="K8433">
        <f>IFERROR(__xludf.DUMMYFUNCTION("""COMPUTED_VALUE"""),4602.76)</f>
        <v/>
      </c>
    </row>
    <row r="8434">
      <c r="J8434">
        <f>IFERROR(__xludf.DUMMYFUNCTION("""COMPUTED_VALUE"""),"Edmonton, Alberta; Calgary, Alberta; Winnipeg, Manitoba")</f>
        <v/>
      </c>
      <c r="K8434">
        <f>IFERROR(__xludf.DUMMYFUNCTION("""COMPUTED_VALUE"""),4602.68)</f>
        <v/>
      </c>
    </row>
    <row r="8435">
      <c r="J8435">
        <f>IFERROR(__xludf.DUMMYFUNCTION("""COMPUTED_VALUE"""),"Hamilton, Ontario, (Canada)")</f>
        <v/>
      </c>
      <c r="K8435">
        <f>IFERROR(__xludf.DUMMYFUNCTION("""COMPUTED_VALUE"""),4602.07)</f>
        <v/>
      </c>
    </row>
    <row r="8436">
      <c r="J8436">
        <f>IFERROR(__xludf.DUMMYFUNCTION("""COMPUTED_VALUE"""),"Vancouver and Penticton,BC")</f>
        <v/>
      </c>
      <c r="K8436">
        <f>IFERROR(__xludf.DUMMYFUNCTION("""COMPUTED_VALUE"""),4601.32)</f>
        <v/>
      </c>
    </row>
    <row r="8437">
      <c r="J8437">
        <f>IFERROR(__xludf.DUMMYFUNCTION("""COMPUTED_VALUE"""),"Washington, District of Columbia and New York, New York")</f>
        <v/>
      </c>
      <c r="K8437">
        <f>IFERROR(__xludf.DUMMYFUNCTION("""COMPUTED_VALUE"""),4600.9)</f>
        <v/>
      </c>
    </row>
    <row r="8438">
      <c r="J8438">
        <f>IFERROR(__xludf.DUMMYFUNCTION("""COMPUTED_VALUE"""),"Battle Harbour, Newfoundland and Labrador")</f>
        <v/>
      </c>
      <c r="K8438">
        <f>IFERROR(__xludf.DUMMYFUNCTION("""COMPUTED_VALUE"""),4599.45)</f>
        <v/>
      </c>
    </row>
    <row r="8439">
      <c r="J8439">
        <f>IFERROR(__xludf.DUMMYFUNCTION("""COMPUTED_VALUE"""),"Las Vegas, Unites States")</f>
        <v/>
      </c>
      <c r="K8439">
        <f>IFERROR(__xludf.DUMMYFUNCTION("""COMPUTED_VALUE"""),4599.1)</f>
        <v/>
      </c>
    </row>
    <row r="8440">
      <c r="J8440">
        <f>IFERROR(__xludf.DUMMYFUNCTION("""COMPUTED_VALUE"""),"Beijing, CN / Tianjin, CN")</f>
        <v/>
      </c>
      <c r="K8440">
        <f>IFERROR(__xludf.DUMMYFUNCTION("""COMPUTED_VALUE"""),4598.84)</f>
        <v/>
      </c>
    </row>
    <row r="8441">
      <c r="J8441">
        <f>IFERROR(__xludf.DUMMYFUNCTION("""COMPUTED_VALUE"""),"Toronto, Ontario, Canada; Oshawa, Ontario, Canada")</f>
        <v/>
      </c>
      <c r="K8441">
        <f>IFERROR(__xludf.DUMMYFUNCTION("""COMPUTED_VALUE"""),4598.53)</f>
        <v/>
      </c>
    </row>
    <row r="8442">
      <c r="J8442">
        <f>IFERROR(__xludf.DUMMYFUNCTION("""COMPUTED_VALUE"""),"Gatineau, Québec and Churchill, Manitoba")</f>
        <v/>
      </c>
      <c r="K8442">
        <f>IFERROR(__xludf.DUMMYFUNCTION("""COMPUTED_VALUE"""),4597.63)</f>
        <v/>
      </c>
    </row>
    <row r="8443">
      <c r="J8443">
        <f>IFERROR(__xludf.DUMMYFUNCTION("""COMPUTED_VALUE"""),"Toronto Ontario, New York City Washington DC")</f>
        <v/>
      </c>
      <c r="K8443">
        <f>IFERROR(__xludf.DUMMYFUNCTION("""COMPUTED_VALUE"""),4597.3)</f>
        <v/>
      </c>
    </row>
    <row r="8444">
      <c r="J8444">
        <f>IFERROR(__xludf.DUMMYFUNCTION("""COMPUTED_VALUE"""),"Charlottetown, Prince Edward Island, Canada and North Rustico, Prince Edward Island, Canada and Green Gables, Prince Edward Island, Canada and Summerside, Prince Edward Island, Canada and Halifax, Nova Scotia, Canada")</f>
        <v/>
      </c>
      <c r="K8444">
        <f>IFERROR(__xludf.DUMMYFUNCTION("""COMPUTED_VALUE"""),4596.26)</f>
        <v/>
      </c>
    </row>
    <row r="8445">
      <c r="J8445">
        <f>IFERROR(__xludf.DUMMYFUNCTION("""COMPUTED_VALUE"""),"Long Beach, CA
Washington, DC")</f>
        <v/>
      </c>
      <c r="K8445">
        <f>IFERROR(__xludf.DUMMYFUNCTION("""COMPUTED_VALUE"""),4594.46)</f>
        <v/>
      </c>
    </row>
    <row r="8446">
      <c r="J8446">
        <f>IFERROR(__xludf.DUMMYFUNCTION("""COMPUTED_VALUE"""),"Regina, Saskatchewan, Canada
Victoria, British-Columbia, Canada
Vancouver, British-Colombia, Canada")</f>
        <v/>
      </c>
      <c r="K8446">
        <f>IFERROR(__xludf.DUMMYFUNCTION("""COMPUTED_VALUE"""),4593.37)</f>
        <v/>
      </c>
    </row>
    <row r="8447">
      <c r="J8447">
        <f>IFERROR(__xludf.DUMMYFUNCTION("""COMPUTED_VALUE"""),"Winnipeg, MN")</f>
        <v/>
      </c>
      <c r="K8447">
        <f>IFERROR(__xludf.DUMMYFUNCTION("""COMPUTED_VALUE"""),4593.09)</f>
        <v/>
      </c>
    </row>
    <row r="8448">
      <c r="J8448">
        <f>IFERROR(__xludf.DUMMYFUNCTION("""COMPUTED_VALUE"""),"Chicago and Miami")</f>
        <v/>
      </c>
      <c r="K8448">
        <f>IFERROR(__xludf.DUMMYFUNCTION("""COMPUTED_VALUE"""),4592.97)</f>
        <v/>
      </c>
    </row>
    <row r="8449">
      <c r="J8449">
        <f>IFERROR(__xludf.DUMMYFUNCTION("""COMPUTED_VALUE"""),"St. John's-Kelowna-Nanaimo-Calgary-Winnipeg-St.John's")</f>
        <v/>
      </c>
      <c r="K8449">
        <f>IFERROR(__xludf.DUMMYFUNCTION("""COMPUTED_VALUE"""),4592.54)</f>
        <v/>
      </c>
    </row>
    <row r="8450">
      <c r="J8450">
        <f>IFERROR(__xludf.DUMMYFUNCTION("""COMPUTED_VALUE"""),"Vancouver/ Edmonton/ Halifax")</f>
        <v/>
      </c>
      <c r="K8450">
        <f>IFERROR(__xludf.DUMMYFUNCTION("""COMPUTED_VALUE"""),4592.17)</f>
        <v/>
      </c>
    </row>
    <row r="8451">
      <c r="J8451">
        <f>IFERROR(__xludf.DUMMYFUNCTION("""COMPUTED_VALUE"""),"Montreal, Quebec and Toronto, Ontario")</f>
        <v/>
      </c>
      <c r="K8451">
        <f>IFERROR(__xludf.DUMMYFUNCTION("""COMPUTED_VALUE"""),4591.94)</f>
        <v/>
      </c>
    </row>
    <row r="8452">
      <c r="J8452">
        <f>IFERROR(__xludf.DUMMYFUNCTION("""COMPUTED_VALUE"""),"New York, NY, United States / Mexico, Mexico")</f>
        <v/>
      </c>
      <c r="K8452">
        <f>IFERROR(__xludf.DUMMYFUNCTION("""COMPUTED_VALUE"""),4591.04)</f>
        <v/>
      </c>
    </row>
    <row r="8453">
      <c r="J8453">
        <f>IFERROR(__xludf.DUMMYFUNCTION("""COMPUTED_VALUE"""),"Winnipeg, Manitoba / Gatineau, Quebec")</f>
        <v/>
      </c>
      <c r="K8453">
        <f>IFERROR(__xludf.DUMMYFUNCTION("""COMPUTED_VALUE"""),4586.88)</f>
        <v/>
      </c>
    </row>
    <row r="8454">
      <c r="J8454">
        <f>IFERROR(__xludf.DUMMYFUNCTION("""COMPUTED_VALUE"""),"Toronto, Ontario; Winnipeg, Manitoba")</f>
        <v/>
      </c>
      <c r="K8454">
        <f>IFERROR(__xludf.DUMMYFUNCTION("""COMPUTED_VALUE"""),4586.85)</f>
        <v/>
      </c>
    </row>
    <row r="8455">
      <c r="J8455">
        <f>IFERROR(__xludf.DUMMYFUNCTION("""COMPUTED_VALUE"""),"Cranbrook, British Columbia")</f>
        <v/>
      </c>
      <c r="K8455">
        <f>IFERROR(__xludf.DUMMYFUNCTION("""COMPUTED_VALUE"""),4586.66)</f>
        <v/>
      </c>
    </row>
    <row r="8456">
      <c r="J8456">
        <f>IFERROR(__xludf.DUMMYFUNCTION("""COMPUTED_VALUE"""),"Vancouver, BC - Sidney, BC")</f>
        <v/>
      </c>
      <c r="K8456">
        <f>IFERROR(__xludf.DUMMYFUNCTION("""COMPUTED_VALUE"""),4585.52)</f>
        <v/>
      </c>
    </row>
    <row r="8457">
      <c r="J8457">
        <f>IFERROR(__xludf.DUMMYFUNCTION("""COMPUTED_VALUE"""),"San Franciso, California")</f>
        <v/>
      </c>
      <c r="K8457">
        <f>IFERROR(__xludf.DUMMYFUNCTION("""COMPUTED_VALUE"""),4584.76)</f>
        <v/>
      </c>
    </row>
    <row r="8458">
      <c r="J8458">
        <f>IFERROR(__xludf.DUMMYFUNCTION("""COMPUTED_VALUE"""),"London, U.K. and Davos, Switzerland")</f>
        <v/>
      </c>
      <c r="K8458">
        <f>IFERROR(__xludf.DUMMYFUNCTION("""COMPUTED_VALUE"""),4584.13)</f>
        <v/>
      </c>
    </row>
    <row r="8459">
      <c r="J8459">
        <f>IFERROR(__xludf.DUMMYFUNCTION("""COMPUTED_VALUE"""),"Toronto, Edmonton")</f>
        <v/>
      </c>
      <c r="K8459">
        <f>IFERROR(__xludf.DUMMYFUNCTION("""COMPUTED_VALUE"""),4582.97)</f>
        <v/>
      </c>
    </row>
    <row r="8460">
      <c r="J8460">
        <f>IFERROR(__xludf.DUMMYFUNCTION("""COMPUTED_VALUE"""),"Newport, Rhode Island")</f>
        <v/>
      </c>
      <c r="K8460">
        <f>IFERROR(__xludf.DUMMYFUNCTION("""COMPUTED_VALUE"""),4581.76999999999)</f>
        <v/>
      </c>
    </row>
    <row r="8461">
      <c r="J8461">
        <f>IFERROR(__xludf.DUMMYFUNCTION("""COMPUTED_VALUE"""),"Ottawa, Ontario/Toronto, Ontario")</f>
        <v/>
      </c>
      <c r="K8461">
        <f>IFERROR(__xludf.DUMMYFUNCTION("""COMPUTED_VALUE"""),4580.79999999999)</f>
        <v/>
      </c>
    </row>
    <row r="8462">
      <c r="J8462">
        <f>IFERROR(__xludf.DUMMYFUNCTION("""COMPUTED_VALUE"""),"Vaudreuil-Dorion, Quebec")</f>
        <v/>
      </c>
      <c r="K8462">
        <f>IFERROR(__xludf.DUMMYFUNCTION("""COMPUTED_VALUE"""),4580.65)</f>
        <v/>
      </c>
    </row>
    <row r="8463">
      <c r="J8463">
        <f>IFERROR(__xludf.DUMMYFUNCTION("""COMPUTED_VALUE"""),"Baku, Azerbaijan (accompanied by spouse)")</f>
        <v/>
      </c>
      <c r="K8463">
        <f>IFERROR(__xludf.DUMMYFUNCTION("""COMPUTED_VALUE"""),4580.57)</f>
        <v/>
      </c>
    </row>
    <row r="8464">
      <c r="J8464">
        <f>IFERROR(__xludf.DUMMYFUNCTION("""COMPUTED_VALUE"""),"Gander, Newfoundland and Labrador, Canada; Corner Brook, Newfoundland and Labrador, Canada; St. John's, Newfoundland and Labrador, Canada; Charlottetown, Prince Edward Island, Canada")</f>
        <v/>
      </c>
      <c r="K8464">
        <f>IFERROR(__xludf.DUMMYFUNCTION("""COMPUTED_VALUE"""),4579.1)</f>
        <v/>
      </c>
    </row>
    <row r="8465">
      <c r="J8465">
        <f>IFERROR(__xludf.DUMMYFUNCTION("""COMPUTED_VALUE"""),"Bathurst, New Brunswick, Canada; Montreal, Quebec, Canada")</f>
        <v/>
      </c>
      <c r="K8465">
        <f>IFERROR(__xludf.DUMMYFUNCTION("""COMPUTED_VALUE"""),4578.55)</f>
        <v/>
      </c>
    </row>
    <row r="8466">
      <c r="J8466">
        <f>IFERROR(__xludf.DUMMYFUNCTION("""COMPUTED_VALUE"""),"Vancouver, BC; Victoria, BC &amp; Comox, BC")</f>
        <v/>
      </c>
      <c r="K8466">
        <f>IFERROR(__xludf.DUMMYFUNCTION("""COMPUTED_VALUE"""),4577.7)</f>
        <v/>
      </c>
    </row>
    <row r="8467">
      <c r="J8467">
        <f>IFERROR(__xludf.DUMMYFUNCTION("""COMPUTED_VALUE"""),"Victoria, Whistler, BC, Calgary, AB")</f>
        <v/>
      </c>
      <c r="K8467">
        <f>IFERROR(__xludf.DUMMYFUNCTION("""COMPUTED_VALUE"""),4577.4)</f>
        <v/>
      </c>
    </row>
    <row r="8468">
      <c r="J8468">
        <f>IFERROR(__xludf.DUMMYFUNCTION("""COMPUTED_VALUE"""),"Yukon, British Colombia , Canada")</f>
        <v/>
      </c>
      <c r="K8468">
        <f>IFERROR(__xludf.DUMMYFUNCTION("""COMPUTED_VALUE"""),4577.25)</f>
        <v/>
      </c>
    </row>
    <row r="8469">
      <c r="J8469">
        <f>IFERROR(__xludf.DUMMYFUNCTION("""COMPUTED_VALUE"""),"Sydney, Nova Scotia, Canada
Moncton, New Brunswick, Canada")</f>
        <v/>
      </c>
      <c r="K8469">
        <f>IFERROR(__xludf.DUMMYFUNCTION("""COMPUTED_VALUE"""),4576.71)</f>
        <v/>
      </c>
    </row>
    <row r="8470">
      <c r="J8470">
        <f>IFERROR(__xludf.DUMMYFUNCTION("""COMPUTED_VALUE"""),"Quebec City QC")</f>
        <v/>
      </c>
      <c r="K8470">
        <f>IFERROR(__xludf.DUMMYFUNCTION("""COMPUTED_VALUE"""),4575.76)</f>
        <v/>
      </c>
    </row>
    <row r="8471">
      <c r="J8471">
        <f>IFERROR(__xludf.DUMMYFUNCTION("""COMPUTED_VALUE"""),"West Palm Beach, United States")</f>
        <v/>
      </c>
      <c r="K8471">
        <f>IFERROR(__xludf.DUMMYFUNCTION("""COMPUTED_VALUE"""),4575.73)</f>
        <v/>
      </c>
    </row>
    <row r="8472">
      <c r="J8472">
        <f>IFERROR(__xludf.DUMMYFUNCTION("""COMPUTED_VALUE"""),"California, United States")</f>
        <v/>
      </c>
      <c r="K8472">
        <f>IFERROR(__xludf.DUMMYFUNCTION("""COMPUTED_VALUE"""),4575.54)</f>
        <v/>
      </c>
    </row>
    <row r="8473">
      <c r="J8473">
        <f>IFERROR(__xludf.DUMMYFUNCTION("""COMPUTED_VALUE"""),"Abbotsford, British Columbia and Ottawa, Ontario")</f>
        <v/>
      </c>
      <c r="K8473">
        <f>IFERROR(__xludf.DUMMYFUNCTION("""COMPUTED_VALUE"""),4575.44)</f>
        <v/>
      </c>
    </row>
    <row r="8474">
      <c r="J8474">
        <f>IFERROR(__xludf.DUMMYFUNCTION("""COMPUTED_VALUE"""),"Vancouver, British Columbia; Yellowknife, Northwest Territories; Edmonton, Alberta")</f>
        <v/>
      </c>
      <c r="K8474">
        <f>IFERROR(__xludf.DUMMYFUNCTION("""COMPUTED_VALUE"""),4574.34)</f>
        <v/>
      </c>
    </row>
    <row r="8475">
      <c r="J8475">
        <f>IFERROR(__xludf.DUMMYFUNCTION("""COMPUTED_VALUE"""),"Edmonton, Alberta; Saskatoon &amp; Regina, Saskatchewan; Winnipeg, Manitoba")</f>
        <v/>
      </c>
      <c r="K8475">
        <f>IFERROR(__xludf.DUMMYFUNCTION("""COMPUTED_VALUE"""),4574.23)</f>
        <v/>
      </c>
    </row>
    <row r="8476">
      <c r="J8476">
        <f>IFERROR(__xludf.DUMMYFUNCTION("""COMPUTED_VALUE"""),"Winnipeg, Manitoba, and Abbotsford, British Columbia, Canada")</f>
        <v/>
      </c>
      <c r="K8476">
        <f>IFERROR(__xludf.DUMMYFUNCTION("""COMPUTED_VALUE"""),4574.06)</f>
        <v/>
      </c>
    </row>
    <row r="8477">
      <c r="J8477">
        <f>IFERROR(__xludf.DUMMYFUNCTION("""COMPUTED_VALUE"""),"Toronto, ON Moncton, NB Charlottetown, PE")</f>
        <v/>
      </c>
      <c r="K8477">
        <f>IFERROR(__xludf.DUMMYFUNCTION("""COMPUTED_VALUE"""),4574)</f>
        <v/>
      </c>
    </row>
    <row r="8478">
      <c r="J8478">
        <f>IFERROR(__xludf.DUMMYFUNCTION("""COMPUTED_VALUE"""),"Ayer's Cliff, Quebec, Canada")</f>
        <v/>
      </c>
      <c r="K8478">
        <f>IFERROR(__xludf.DUMMYFUNCTION("""COMPUTED_VALUE"""),4572.79)</f>
        <v/>
      </c>
    </row>
    <row r="8479">
      <c r="J8479">
        <f>IFERROR(__xludf.DUMMYFUNCTION("""COMPUTED_VALUE"""),"Montreal, Edmonton, Canada")</f>
        <v/>
      </c>
      <c r="K8479">
        <f>IFERROR(__xludf.DUMMYFUNCTION("""COMPUTED_VALUE"""),4572.13)</f>
        <v/>
      </c>
    </row>
    <row r="8480">
      <c r="J8480">
        <f>IFERROR(__xludf.DUMMYFUNCTION("""COMPUTED_VALUE"""),"Ottawa, Ontario; Regina, Saskatchewan; Dundurn, Saskatchewan; Edmonton, Alberta")</f>
        <v/>
      </c>
      <c r="K8480">
        <f>IFERROR(__xludf.DUMMYFUNCTION("""COMPUTED_VALUE"""),4570.47)</f>
        <v/>
      </c>
    </row>
    <row r="8481">
      <c r="J8481">
        <f>IFERROR(__xludf.DUMMYFUNCTION("""COMPUTED_VALUE"""),"Washington D.C., USA - New York, NY, USA")</f>
        <v/>
      </c>
      <c r="K8481">
        <f>IFERROR(__xludf.DUMMYFUNCTION("""COMPUTED_VALUE"""),4570.37)</f>
        <v/>
      </c>
    </row>
    <row r="8482">
      <c r="J8482">
        <f>IFERROR(__xludf.DUMMYFUNCTION("""COMPUTED_VALUE"""),"Geneva, Switzerland / London, United Kingdom / Toronto, Ontario, Canada")</f>
        <v/>
      </c>
      <c r="K8482">
        <f>IFERROR(__xludf.DUMMYFUNCTION("""COMPUTED_VALUE"""),4569.8)</f>
        <v/>
      </c>
    </row>
    <row r="8483">
      <c r="J8483">
        <f>IFERROR(__xludf.DUMMYFUNCTION("""COMPUTED_VALUE"""),"Brussels and London")</f>
        <v/>
      </c>
      <c r="K8483">
        <f>IFERROR(__xludf.DUMMYFUNCTION("""COMPUTED_VALUE"""),4569.7)</f>
        <v/>
      </c>
    </row>
    <row r="8484">
      <c r="J8484">
        <f>IFERROR(__xludf.DUMMYFUNCTION("""COMPUTED_VALUE"""),"Iqaluit, Nunavut, Canada and Vancouver and Victoria, British Columbia, Canada")</f>
        <v/>
      </c>
      <c r="K8484">
        <f>IFERROR(__xludf.DUMMYFUNCTION("""COMPUTED_VALUE"""),4568.47)</f>
        <v/>
      </c>
    </row>
    <row r="8485">
      <c r="J8485">
        <f>IFERROR(__xludf.DUMMYFUNCTION("""COMPUTED_VALUE"""),"British Columbia and Manitoba")</f>
        <v/>
      </c>
      <c r="K8485">
        <f>IFERROR(__xludf.DUMMYFUNCTION("""COMPUTED_VALUE"""),4568.21)</f>
        <v/>
      </c>
    </row>
    <row r="8486">
      <c r="J8486">
        <f>IFERROR(__xludf.DUMMYFUNCTION("""COMPUTED_VALUE"""),"Palo Alto, CA, USA, Vancouver, BC, Boston, MA, USA")</f>
        <v/>
      </c>
      <c r="K8486">
        <f>IFERROR(__xludf.DUMMYFUNCTION("""COMPUTED_VALUE"""),4568)</f>
        <v/>
      </c>
    </row>
    <row r="8487">
      <c r="J8487">
        <f>IFERROR(__xludf.DUMMYFUNCTION("""COMPUTED_VALUE"""),"Winnipeg, MB and Regina, SK")</f>
        <v/>
      </c>
      <c r="K8487">
        <f>IFERROR(__xludf.DUMMYFUNCTION("""COMPUTED_VALUE"""),4567.98)</f>
        <v/>
      </c>
    </row>
    <row r="8488">
      <c r="J8488">
        <f>IFERROR(__xludf.DUMMYFUNCTION("""COMPUTED_VALUE"""),"Regina, SK; Saskatoon, SK")</f>
        <v/>
      </c>
      <c r="K8488">
        <f>IFERROR(__xludf.DUMMYFUNCTION("""COMPUTED_VALUE"""),4566.2)</f>
        <v/>
      </c>
    </row>
    <row r="8489">
      <c r="J8489">
        <f>IFERROR(__xludf.DUMMYFUNCTION("""COMPUTED_VALUE"""),"Toronto, Ontario, Canada; Calgary, Alberta, Canada; Kelowna, British Columbia, Canada; Vancouver, British Columbia, Canada; Winnipeg, Manitoba, Canada")</f>
        <v/>
      </c>
      <c r="K8489">
        <f>IFERROR(__xludf.DUMMYFUNCTION("""COMPUTED_VALUE"""),4564.78)</f>
        <v/>
      </c>
    </row>
    <row r="8490">
      <c r="J8490">
        <f>IFERROR(__xludf.DUMMYFUNCTION("""COMPUTED_VALUE"""),"Calgary, Red Deer, Edmonton and Vancouver")</f>
        <v/>
      </c>
      <c r="K8490">
        <f>IFERROR(__xludf.DUMMYFUNCTION("""COMPUTED_VALUE"""),4564.53)</f>
        <v/>
      </c>
    </row>
    <row r="8491">
      <c r="J8491">
        <f>IFERROR(__xludf.DUMMYFUNCTION("""COMPUTED_VALUE"""),"Kelowna, Vancouver and Victoria, British Columbia")</f>
        <v/>
      </c>
      <c r="K8491">
        <f>IFERROR(__xludf.DUMMYFUNCTION("""COMPUTED_VALUE"""),4563.04)</f>
        <v/>
      </c>
    </row>
    <row r="8492">
      <c r="J8492">
        <f>IFERROR(__xludf.DUMMYFUNCTION("""COMPUTED_VALUE"""),"Ottawa (ON), Whitehorse (YT), Haida Gwai (BC)")</f>
        <v/>
      </c>
      <c r="K8492">
        <f>IFERROR(__xludf.DUMMYFUNCTION("""COMPUTED_VALUE"""),4562.83)</f>
        <v/>
      </c>
    </row>
    <row r="8493">
      <c r="J8493">
        <f>IFERROR(__xludf.DUMMYFUNCTION("""COMPUTED_VALUE"""),"Williams Lake")</f>
        <v/>
      </c>
      <c r="K8493">
        <f>IFERROR(__xludf.DUMMYFUNCTION("""COMPUTED_VALUE"""),4562.19)</f>
        <v/>
      </c>
    </row>
    <row r="8494">
      <c r="J8494">
        <f>IFERROR(__xludf.DUMMYFUNCTION("""COMPUTED_VALUE"""),"Djerba, Tunisia")</f>
        <v/>
      </c>
      <c r="K8494">
        <f>IFERROR(__xludf.DUMMYFUNCTION("""COMPUTED_VALUE"""),4561.26)</f>
        <v/>
      </c>
    </row>
    <row r="8495">
      <c r="J8495">
        <f>IFERROR(__xludf.DUMMYFUNCTION("""COMPUTED_VALUE"""),"Bromont, Quebec, Canada / Washington, District of Columbia, United States")</f>
        <v/>
      </c>
      <c r="K8495">
        <f>IFERROR(__xludf.DUMMYFUNCTION("""COMPUTED_VALUE"""),4560.84)</f>
        <v/>
      </c>
    </row>
    <row r="8496">
      <c r="J8496">
        <f>IFERROR(__xludf.DUMMYFUNCTION("""COMPUTED_VALUE"""),"Buffalo, NY")</f>
        <v/>
      </c>
      <c r="K8496">
        <f>IFERROR(__xludf.DUMMYFUNCTION("""COMPUTED_VALUE"""),4560.6)</f>
        <v/>
      </c>
    </row>
    <row r="8497">
      <c r="J8497">
        <f>IFERROR(__xludf.DUMMYFUNCTION("""COMPUTED_VALUE"""),"Vancouver and Edmonton")</f>
        <v/>
      </c>
      <c r="K8497">
        <f>IFERROR(__xludf.DUMMYFUNCTION("""COMPUTED_VALUE"""),4560.52)</f>
        <v/>
      </c>
    </row>
    <row r="8498">
      <c r="J8498">
        <f>IFERROR(__xludf.DUMMYFUNCTION("""COMPUTED_VALUE"""),"Arras, Paris  France")</f>
        <v/>
      </c>
      <c r="K8498">
        <f>IFERROR(__xludf.DUMMYFUNCTION("""COMPUTED_VALUE"""),4559.62)</f>
        <v/>
      </c>
    </row>
    <row r="8499">
      <c r="J8499">
        <f>IFERROR(__xludf.DUMMYFUNCTION("""COMPUTED_VALUE"""),"Toronto-Quebec-Toronto")</f>
        <v/>
      </c>
      <c r="K8499">
        <f>IFERROR(__xludf.DUMMYFUNCTION("""COMPUTED_VALUE"""),4558.93)</f>
        <v/>
      </c>
    </row>
    <row r="8500">
      <c r="J8500">
        <f>IFERROR(__xludf.DUMMYFUNCTION("""COMPUTED_VALUE"""),"New Orleans, Louisiana USA")</f>
        <v/>
      </c>
      <c r="K8500">
        <f>IFERROR(__xludf.DUMMYFUNCTION("""COMPUTED_VALUE"""),4558.52)</f>
        <v/>
      </c>
    </row>
    <row r="8501">
      <c r="J8501">
        <f>IFERROR(__xludf.DUMMYFUNCTION("""COMPUTED_VALUE"""),"Toronto, Ontario, Canada; Vancouver, British Columbia, Canada; Whitehorse, Yukon, Canada")</f>
        <v/>
      </c>
      <c r="K8501">
        <f>IFERROR(__xludf.DUMMYFUNCTION("""COMPUTED_VALUE"""),4558.03)</f>
        <v/>
      </c>
    </row>
    <row r="8502">
      <c r="J8502">
        <f>IFERROR(__xludf.DUMMYFUNCTION("""COMPUTED_VALUE"""),"Ottawa, Ontario / Regina, Saskatchewan / Edmonton, Alberta, Canada")</f>
        <v/>
      </c>
      <c r="K8502">
        <f>IFERROR(__xludf.DUMMYFUNCTION("""COMPUTED_VALUE"""),4557.34)</f>
        <v/>
      </c>
    </row>
    <row r="8503">
      <c r="J8503">
        <f>IFERROR(__xludf.DUMMYFUNCTION("""COMPUTED_VALUE"""),"Toronto, ON - Houston, TX, U.S.A")</f>
        <v/>
      </c>
      <c r="K8503">
        <f>IFERROR(__xludf.DUMMYFUNCTION("""COMPUTED_VALUE"""),4557.28)</f>
        <v/>
      </c>
    </row>
    <row r="8504">
      <c r="J8504">
        <f>IFERROR(__xludf.DUMMYFUNCTION("""COMPUTED_VALUE"""),"Saskatoon, Saskatchewan; Winnipeg, Manitoba")</f>
        <v/>
      </c>
      <c r="K8504">
        <f>IFERROR(__xludf.DUMMYFUNCTION("""COMPUTED_VALUE"""),4557.17)</f>
        <v/>
      </c>
    </row>
    <row r="8505">
      <c r="J8505">
        <f>IFERROR(__xludf.DUMMYFUNCTION("""COMPUTED_VALUE"""),"Toronto, Ontario; Vancouver, Kamloops, Prince George, British Columbia")</f>
        <v/>
      </c>
      <c r="K8505">
        <f>IFERROR(__xludf.DUMMYFUNCTION("""COMPUTED_VALUE"""),4555.41)</f>
        <v/>
      </c>
    </row>
    <row r="8506">
      <c r="J8506">
        <f>IFERROR(__xludf.DUMMYFUNCTION("""COMPUTED_VALUE"""),"Toronto and Hamilton, Ontario")</f>
        <v/>
      </c>
      <c r="K8506">
        <f>IFERROR(__xludf.DUMMYFUNCTION("""COMPUTED_VALUE"""),4555.2)</f>
        <v/>
      </c>
    </row>
    <row r="8507">
      <c r="J8507">
        <f>IFERROR(__xludf.DUMMYFUNCTION("""COMPUTED_VALUE"""),"Prince George / Calgary")</f>
        <v/>
      </c>
      <c r="K8507">
        <f>IFERROR(__xludf.DUMMYFUNCTION("""COMPUTED_VALUE"""),4554.59)</f>
        <v/>
      </c>
    </row>
    <row r="8508">
      <c r="J8508">
        <f>IFERROR(__xludf.DUMMYFUNCTION("""COMPUTED_VALUE"""),"Toronto, ON; Halifax, NS")</f>
        <v/>
      </c>
      <c r="K8508">
        <f>IFERROR(__xludf.DUMMYFUNCTION("""COMPUTED_VALUE"""),4554.30999999999)</f>
        <v/>
      </c>
    </row>
    <row r="8509">
      <c r="J8509">
        <f>IFERROR(__xludf.DUMMYFUNCTION("""COMPUTED_VALUE"""),"Fort McMurray, AB Okotoks, AB")</f>
        <v/>
      </c>
      <c r="K8509">
        <f>IFERROR(__xludf.DUMMYFUNCTION("""COMPUTED_VALUE"""),4552.7)</f>
        <v/>
      </c>
    </row>
    <row r="8510">
      <c r="J8510">
        <f>IFERROR(__xludf.DUMMYFUNCTION("""COMPUTED_VALUE"""),"Washington, District of Columbia, United States - Waterloo, Ontario, Canada")</f>
        <v/>
      </c>
      <c r="K8510">
        <f>IFERROR(__xludf.DUMMYFUNCTION("""COMPUTED_VALUE"""),4551.69)</f>
        <v/>
      </c>
    </row>
    <row r="8511">
      <c r="J8511">
        <f>IFERROR(__xludf.DUMMYFUNCTION("""COMPUTED_VALUE"""),"Dallas, United States")</f>
        <v/>
      </c>
      <c r="K8511">
        <f>IFERROR(__xludf.DUMMYFUNCTION("""COMPUTED_VALUE"""),4551.18)</f>
        <v/>
      </c>
    </row>
    <row r="8512">
      <c r="J8512">
        <f>IFERROR(__xludf.DUMMYFUNCTION("""COMPUTED_VALUE"""),"Edmonton, Alberta, Canada; Calgary, Manitoba, Canada;Vancouver, British Columbia, Canada")</f>
        <v/>
      </c>
      <c r="K8512">
        <f>IFERROR(__xludf.DUMMYFUNCTION("""COMPUTED_VALUE"""),4550.55)</f>
        <v/>
      </c>
    </row>
    <row r="8513">
      <c r="J8513">
        <f>IFERROR(__xludf.DUMMYFUNCTION("""COMPUTED_VALUE"""),"Edmonton, AB; Yellowknife, NT")</f>
        <v/>
      </c>
      <c r="K8513">
        <f>IFERROR(__xludf.DUMMYFUNCTION("""COMPUTED_VALUE"""),4550.45)</f>
        <v/>
      </c>
    </row>
    <row r="8514">
      <c r="J8514">
        <f>IFERROR(__xludf.DUMMYFUNCTION("""COMPUTED_VALUE"""),"Victoria, British Columbia, Canada; Vancouver, British Columbia, Canada; Winnipeg, Manitoba, Canada; Regina, Saskatchewan, Canada")</f>
        <v/>
      </c>
      <c r="K8514">
        <f>IFERROR(__xludf.DUMMYFUNCTION("""COMPUTED_VALUE"""),4549.07)</f>
        <v/>
      </c>
    </row>
    <row r="8515">
      <c r="J8515">
        <f>IFERROR(__xludf.DUMMYFUNCTION("""COMPUTED_VALUE"""),"Lethbridge, AB")</f>
        <v/>
      </c>
      <c r="K8515">
        <f>IFERROR(__xludf.DUMMYFUNCTION("""COMPUTED_VALUE"""),4548.29)</f>
        <v/>
      </c>
    </row>
    <row r="8516">
      <c r="J8516">
        <f>IFERROR(__xludf.DUMMYFUNCTION("""COMPUTED_VALUE"""),"Gaspé, Quebec, Canada; Thetford Mines, Quebec, Canada; Québec, Quebec, Canada; Les Escoumins, Quebec, Canada")</f>
        <v/>
      </c>
      <c r="K8516">
        <f>IFERROR(__xludf.DUMMYFUNCTION("""COMPUTED_VALUE"""),4547.9)</f>
        <v/>
      </c>
    </row>
    <row r="8517">
      <c r="J8517">
        <f>IFERROR(__xludf.DUMMYFUNCTION("""COMPUTED_VALUE"""),"Washington, District of Columbia, United States and Sydney, Nova Scotia, Canada")</f>
        <v/>
      </c>
      <c r="K8517">
        <f>IFERROR(__xludf.DUMMYFUNCTION("""COMPUTED_VALUE"""),4547.19)</f>
        <v/>
      </c>
    </row>
    <row r="8518">
      <c r="J8518">
        <f>IFERROR(__xludf.DUMMYFUNCTION("""COMPUTED_VALUE"""),"Ingersoll, Ontario, Canada")</f>
        <v/>
      </c>
      <c r="K8518">
        <f>IFERROR(__xludf.DUMMYFUNCTION("""COMPUTED_VALUE"""),4545.82)</f>
        <v/>
      </c>
    </row>
    <row r="8519">
      <c r="J8519">
        <f>IFERROR(__xludf.DUMMYFUNCTION("""COMPUTED_VALUE"""),"Vancouver, British Columbia, Canada; Edmonton, Alberta, Canada; Québec, Quebec, Canada; Toronto, Ontario, Canada")</f>
        <v/>
      </c>
      <c r="K8519">
        <f>IFERROR(__xludf.DUMMYFUNCTION("""COMPUTED_VALUE"""),4545.44)</f>
        <v/>
      </c>
    </row>
    <row r="8520">
      <c r="J8520">
        <f>IFERROR(__xludf.DUMMYFUNCTION("""COMPUTED_VALUE"""),"Québec - France - Québec")</f>
        <v/>
      </c>
      <c r="K8520">
        <f>IFERROR(__xludf.DUMMYFUNCTION("""COMPUTED_VALUE"""),4544.45)</f>
        <v/>
      </c>
    </row>
    <row r="8521">
      <c r="J8521">
        <f>IFERROR(__xludf.DUMMYFUNCTION("""COMPUTED_VALUE"""),"Seattle, Washington, United States of America")</f>
        <v/>
      </c>
      <c r="K8521">
        <f>IFERROR(__xludf.DUMMYFUNCTION("""COMPUTED_VALUE"""),4543.73)</f>
        <v/>
      </c>
    </row>
    <row r="8522">
      <c r="J8522">
        <f>IFERROR(__xludf.DUMMYFUNCTION("""COMPUTED_VALUE"""),"Lévis, Quebec, Canada")</f>
        <v/>
      </c>
      <c r="K8522">
        <f>IFERROR(__xludf.DUMMYFUNCTION("""COMPUTED_VALUE"""),4542.42)</f>
        <v/>
      </c>
    </row>
    <row r="8523">
      <c r="J8523">
        <f>IFERROR(__xludf.DUMMYFUNCTION("""COMPUTED_VALUE"""),"Minnesota,  United States Baudette, Manitoba")</f>
        <v/>
      </c>
      <c r="K8523">
        <f>IFERROR(__xludf.DUMMYFUNCTION("""COMPUTED_VALUE"""),4542.06)</f>
        <v/>
      </c>
    </row>
    <row r="8524">
      <c r="J8524">
        <f>IFERROR(__xludf.DUMMYFUNCTION("""COMPUTED_VALUE"""),"Calgary, Edmonton, Kelowna, Vernon, Saskatoon and Winnipeg")</f>
        <v/>
      </c>
      <c r="K8524">
        <f>IFERROR(__xludf.DUMMYFUNCTION("""COMPUTED_VALUE"""),4541.7)</f>
        <v/>
      </c>
    </row>
    <row r="8525">
      <c r="J8525">
        <f>IFERROR(__xludf.DUMMYFUNCTION("""COMPUTED_VALUE"""),"MIAMI, FLORIDA, USA")</f>
        <v/>
      </c>
      <c r="K8525">
        <f>IFERROR(__xludf.DUMMYFUNCTION("""COMPUTED_VALUE"""),4540.88)</f>
        <v/>
      </c>
    </row>
    <row r="8526">
      <c r="J8526">
        <f>IFERROR(__xludf.DUMMYFUNCTION("""COMPUTED_VALUE"""),"Terrace, BC")</f>
        <v/>
      </c>
      <c r="K8526">
        <f>IFERROR(__xludf.DUMMYFUNCTION("""COMPUTED_VALUE"""),4540.75)</f>
        <v/>
      </c>
    </row>
    <row r="8527">
      <c r="J8527">
        <f>IFERROR(__xludf.DUMMYFUNCTION("""COMPUTED_VALUE"""),"OTTAWA, ON; WINNIPEG, MB and TORONTO, ON and CHARLOTTETOWN PEI")</f>
        <v/>
      </c>
      <c r="K8527">
        <f>IFERROR(__xludf.DUMMYFUNCTION("""COMPUTED_VALUE"""),4537.23)</f>
        <v/>
      </c>
    </row>
    <row r="8528">
      <c r="J8528">
        <f>IFERROR(__xludf.DUMMYFUNCTION("""COMPUTED_VALUE"""),"Winnipeg, MB, Saskatoon, SK")</f>
        <v/>
      </c>
      <c r="K8528">
        <f>IFERROR(__xludf.DUMMYFUNCTION("""COMPUTED_VALUE"""),4535.88)</f>
        <v/>
      </c>
    </row>
    <row r="8529">
      <c r="J8529">
        <f>IFERROR(__xludf.DUMMYFUNCTION("""COMPUTED_VALUE"""),"Vancouver. BC")</f>
        <v/>
      </c>
      <c r="K8529">
        <f>IFERROR(__xludf.DUMMYFUNCTION("""COMPUTED_VALUE"""),4534.31)</f>
        <v/>
      </c>
    </row>
    <row r="8530">
      <c r="J8530">
        <f>IFERROR(__xludf.DUMMYFUNCTION("""COMPUTED_VALUE"""),"Oak Island, Nova Scotia, Canada")</f>
        <v/>
      </c>
      <c r="K8530">
        <f>IFERROR(__xludf.DUMMYFUNCTION("""COMPUTED_VALUE"""),4534.23)</f>
        <v/>
      </c>
    </row>
    <row r="8531">
      <c r="J8531">
        <f>IFERROR(__xludf.DUMMYFUNCTION("""COMPUTED_VALUE"""),"Brussels, Belgium and Netherlands")</f>
        <v/>
      </c>
      <c r="K8531">
        <f>IFERROR(__xludf.DUMMYFUNCTION("""COMPUTED_VALUE"""),4533.91)</f>
        <v/>
      </c>
    </row>
    <row r="8532">
      <c r="J8532">
        <f>IFERROR(__xludf.DUMMYFUNCTION("""COMPUTED_VALUE"""),"Saskatoon, SK and Chicago, US")</f>
        <v/>
      </c>
      <c r="K8532">
        <f>IFERROR(__xludf.DUMMYFUNCTION("""COMPUTED_VALUE"""),4533.06)</f>
        <v/>
      </c>
    </row>
    <row r="8533">
      <c r="J8533">
        <f>IFERROR(__xludf.DUMMYFUNCTION("""COMPUTED_VALUE"""),"Washington, DC Ottawa")</f>
        <v/>
      </c>
      <c r="K8533">
        <f>IFERROR(__xludf.DUMMYFUNCTION("""COMPUTED_VALUE"""),4530.81)</f>
        <v/>
      </c>
    </row>
    <row r="8534">
      <c r="J8534">
        <f>IFERROR(__xludf.DUMMYFUNCTION("""COMPUTED_VALUE"""),"Calgary, AB / Halifax, NS / Vancouver, BC / Montreal, QC / Toronto, ON")</f>
        <v/>
      </c>
      <c r="K8534">
        <f>IFERROR(__xludf.DUMMYFUNCTION("""COMPUTED_VALUE"""),4530.2)</f>
        <v/>
      </c>
    </row>
    <row r="8535">
      <c r="J8535">
        <f>IFERROR(__xludf.DUMMYFUNCTION("""COMPUTED_VALUE"""),"Kissimee, Florida, United States")</f>
        <v/>
      </c>
      <c r="K8535">
        <f>IFERROR(__xludf.DUMMYFUNCTION("""COMPUTED_VALUE"""),4530.06)</f>
        <v/>
      </c>
    </row>
    <row r="8536">
      <c r="J8536">
        <f>IFERROR(__xludf.DUMMYFUNCTION("""COMPUTED_VALUE"""),"Montreal, Quebec, Canada; Halifax, Nova Scotia, Canada; Vancouver, British Columbia, Canada; Calgary, Alberta, Canada")</f>
        <v/>
      </c>
      <c r="K8536">
        <f>IFERROR(__xludf.DUMMYFUNCTION("""COMPUTED_VALUE"""),4528.32)</f>
        <v/>
      </c>
    </row>
    <row r="8537">
      <c r="J8537">
        <f>IFERROR(__xludf.DUMMYFUNCTION("""COMPUTED_VALUE"""),"San Francisco and Seattle, United States; Vancouver, British Columbia")</f>
        <v/>
      </c>
      <c r="K8537">
        <f>IFERROR(__xludf.DUMMYFUNCTION("""COMPUTED_VALUE"""),4528.19)</f>
        <v/>
      </c>
    </row>
    <row r="8538">
      <c r="J8538">
        <f>IFERROR(__xludf.DUMMYFUNCTION("""COMPUTED_VALUE"""),"Fredericton, New Brunswick and Ottawa, Ontario")</f>
        <v/>
      </c>
      <c r="K8538">
        <f>IFERROR(__xludf.DUMMYFUNCTION("""COMPUTED_VALUE"""),4527.86)</f>
        <v/>
      </c>
    </row>
    <row r="8539">
      <c r="J8539">
        <f>IFERROR(__xludf.DUMMYFUNCTION("""COMPUTED_VALUE"""),"Senegal, Mali")</f>
        <v/>
      </c>
      <c r="K8539">
        <f>IFERROR(__xludf.DUMMYFUNCTION("""COMPUTED_VALUE"""),4527.69)</f>
        <v/>
      </c>
    </row>
    <row r="8540">
      <c r="J8540">
        <f>IFERROR(__xludf.DUMMYFUNCTION("""COMPUTED_VALUE"""),"St. John's, Trinity and Elliston, Newfoundland and Labrador")</f>
        <v/>
      </c>
      <c r="K8540">
        <f>IFERROR(__xludf.DUMMYFUNCTION("""COMPUTED_VALUE"""),4527.42)</f>
        <v/>
      </c>
    </row>
    <row r="8541">
      <c r="J8541">
        <f>IFERROR(__xludf.DUMMYFUNCTION("""COMPUTED_VALUE"""),"Victoria (British Columbia) Canada,
Vancouver (British Columbia) Canada,
Whitehorse (Yukon) Canada")</f>
        <v/>
      </c>
      <c r="K8541">
        <f>IFERROR(__xludf.DUMMYFUNCTION("""COMPUTED_VALUE"""),4526.91)</f>
        <v/>
      </c>
    </row>
    <row r="8542">
      <c r="J8542">
        <f>IFERROR(__xludf.DUMMYFUNCTION("""COMPUTED_VALUE"""),"Vancouver, British Columbia, Canada; Vancouver, British Columbia, Canada")</f>
        <v/>
      </c>
      <c r="K8542">
        <f>IFERROR(__xludf.DUMMYFUNCTION("""COMPUTED_VALUE"""),4525.97)</f>
        <v/>
      </c>
    </row>
    <row r="8543">
      <c r="J8543">
        <f>IFERROR(__xludf.DUMMYFUNCTION("""COMPUTED_VALUE"""),"State of Mexico, Mexico")</f>
        <v/>
      </c>
      <c r="K8543">
        <f>IFERROR(__xludf.DUMMYFUNCTION("""COMPUTED_VALUE"""),4522.17)</f>
        <v/>
      </c>
    </row>
    <row r="8544">
      <c r="J8544">
        <f>IFERROR(__xludf.DUMMYFUNCTION("""COMPUTED_VALUE"""),"Garmish, Germany")</f>
        <v/>
      </c>
      <c r="K8544">
        <f>IFERROR(__xludf.DUMMYFUNCTION("""COMPUTED_VALUE"""),4520.94)</f>
        <v/>
      </c>
    </row>
    <row r="8545">
      <c r="J8545">
        <f>IFERROR(__xludf.DUMMYFUNCTION("""COMPUTED_VALUE"""),"Québec City (Québec) Canada")</f>
        <v/>
      </c>
      <c r="K8545">
        <f>IFERROR(__xludf.DUMMYFUNCTION("""COMPUTED_VALUE"""),4520.89)</f>
        <v/>
      </c>
    </row>
    <row r="8546">
      <c r="J8546">
        <f>IFERROR(__xludf.DUMMYFUNCTION("""COMPUTED_VALUE"""),"Ottawa and Gatineau")</f>
        <v/>
      </c>
      <c r="K8546">
        <f>IFERROR(__xludf.DUMMYFUNCTION("""COMPUTED_VALUE"""),4520.86)</f>
        <v/>
      </c>
    </row>
    <row r="8547">
      <c r="J8547">
        <f>IFERROR(__xludf.DUMMYFUNCTION("""COMPUTED_VALUE"""),"Vancouver, BC; Kelowna, BC; Prince George, BC")</f>
        <v/>
      </c>
      <c r="K8547">
        <f>IFERROR(__xludf.DUMMYFUNCTION("""COMPUTED_VALUE"""),4520.3)</f>
        <v/>
      </c>
    </row>
    <row r="8548">
      <c r="J8548">
        <f>IFERROR(__xludf.DUMMYFUNCTION("""COMPUTED_VALUE"""),"Vancouver &amp; Charlottetown")</f>
        <v/>
      </c>
      <c r="K8548">
        <f>IFERROR(__xludf.DUMMYFUNCTION("""COMPUTED_VALUE"""),4520.02)</f>
        <v/>
      </c>
    </row>
    <row r="8549">
      <c r="J8549">
        <f>IFERROR(__xludf.DUMMYFUNCTION("""COMPUTED_VALUE"""),"Saint John, New Brunswick, Canada / Halifax, Nova Scotia, Canada")</f>
        <v/>
      </c>
      <c r="K8549">
        <f>IFERROR(__xludf.DUMMYFUNCTION("""COMPUTED_VALUE"""),4517.89)</f>
        <v/>
      </c>
    </row>
    <row r="8550">
      <c r="J8550">
        <f>IFERROR(__xludf.DUMMYFUNCTION("""COMPUTED_VALUE"""),"Algiers - Algeria")</f>
        <v/>
      </c>
      <c r="K8550">
        <f>IFERROR(__xludf.DUMMYFUNCTION("""COMPUTED_VALUE"""),4517.81)</f>
        <v/>
      </c>
    </row>
    <row r="8551">
      <c r="J8551">
        <f>IFERROR(__xludf.DUMMYFUNCTION("""COMPUTED_VALUE"""),"Halifax, Nova Scotia, Canada - Goose Bay, Newfoundland and Labrador, Canada")</f>
        <v/>
      </c>
      <c r="K8551">
        <f>IFERROR(__xludf.DUMMYFUNCTION("""COMPUTED_VALUE"""),4517.32)</f>
        <v/>
      </c>
    </row>
    <row r="8552">
      <c r="J8552">
        <f>IFERROR(__xludf.DUMMYFUNCTION("""COMPUTED_VALUE"""),"Vancouver, Castlegar &amp; Yellowknife")</f>
        <v/>
      </c>
      <c r="K8552">
        <f>IFERROR(__xludf.DUMMYFUNCTION("""COMPUTED_VALUE"""),4515.85)</f>
        <v/>
      </c>
    </row>
    <row r="8553">
      <c r="J8553">
        <f>IFERROR(__xludf.DUMMYFUNCTION("""COMPUTED_VALUE"""),"Vancouver, British Columbia, Canada 
Calgary, Alberta, Canada
Winnipeg, Manitoba, Canada")</f>
        <v/>
      </c>
      <c r="K8553">
        <f>IFERROR(__xludf.DUMMYFUNCTION("""COMPUTED_VALUE"""),4515.62)</f>
        <v/>
      </c>
    </row>
    <row r="8554">
      <c r="J8554">
        <f>IFERROR(__xludf.DUMMYFUNCTION("""COMPUTED_VALUE"""),"Ljubjana, Slovania
Rome, Italie")</f>
        <v/>
      </c>
      <c r="K8554">
        <f>IFERROR(__xludf.DUMMYFUNCTION("""COMPUTED_VALUE"""),4515.43)</f>
        <v/>
      </c>
    </row>
    <row r="8555">
      <c r="J8555">
        <f>IFERROR(__xludf.DUMMYFUNCTION("""COMPUTED_VALUE"""),"St. Andrews, UK")</f>
        <v/>
      </c>
      <c r="K8555">
        <f>IFERROR(__xludf.DUMMYFUNCTION("""COMPUTED_VALUE"""),4515.29)</f>
        <v/>
      </c>
    </row>
    <row r="8556">
      <c r="J8556">
        <f>IFERROR(__xludf.DUMMYFUNCTION("""COMPUTED_VALUE"""),"Thun, Switzerland")</f>
        <v/>
      </c>
      <c r="K8556">
        <f>IFERROR(__xludf.DUMMYFUNCTION("""COMPUTED_VALUE"""),4515.06)</f>
        <v/>
      </c>
    </row>
    <row r="8557">
      <c r="J8557">
        <f>IFERROR(__xludf.DUMMYFUNCTION("""COMPUTED_VALUE"""),"Nanaimo, BC - Burnaby, BC - Vancouver, BC")</f>
        <v/>
      </c>
      <c r="K8557">
        <f>IFERROR(__xludf.DUMMYFUNCTION("""COMPUTED_VALUE"""),4514.76)</f>
        <v/>
      </c>
    </row>
    <row r="8558">
      <c r="J8558">
        <f>IFERROR(__xludf.DUMMYFUNCTION("""COMPUTED_VALUE"""),"Vancouver, British Columbia, Canada; Winnipeg, Manitoba, Canada; Halifax, Nova Scotia, Canada; Edmonton, Alberta, Canada")</f>
        <v/>
      </c>
      <c r="K8558">
        <f>IFERROR(__xludf.DUMMYFUNCTION("""COMPUTED_VALUE"""),4514.71)</f>
        <v/>
      </c>
    </row>
    <row r="8559">
      <c r="J8559">
        <f>IFERROR(__xludf.DUMMYFUNCTION("""COMPUTED_VALUE"""),"Winnipeg, Manitoba; Regina, Saskatchewan; Vancouver &amp; Victoria, British Columbia")</f>
        <v/>
      </c>
      <c r="K8559">
        <f>IFERROR(__xludf.DUMMYFUNCTION("""COMPUTED_VALUE"""),4511.79)</f>
        <v/>
      </c>
    </row>
    <row r="8560">
      <c r="J8560">
        <f>IFERROR(__xludf.DUMMYFUNCTION("""COMPUTED_VALUE"""),"Whitehorse, Yukon and Vancouver, British Colombia")</f>
        <v/>
      </c>
      <c r="K8560">
        <f>IFERROR(__xludf.DUMMYFUNCTION("""COMPUTED_VALUE"""),4511.7)</f>
        <v/>
      </c>
    </row>
    <row r="8561">
      <c r="J8561">
        <f>IFERROR(__xludf.DUMMYFUNCTION("""COMPUTED_VALUE"""),"Ottawa - Winnipeg - Toronto - Ottawa")</f>
        <v/>
      </c>
      <c r="K8561">
        <f>IFERROR(__xludf.DUMMYFUNCTION("""COMPUTED_VALUE"""),4511.69)</f>
        <v/>
      </c>
    </row>
    <row r="8562">
      <c r="J8562">
        <f>IFERROR(__xludf.DUMMYFUNCTION("""COMPUTED_VALUE"""),"Halifax, Nova Scotia, Toronto, Ontario, Vancouver, British-Colombia, Canada")</f>
        <v/>
      </c>
      <c r="K8562">
        <f>IFERROR(__xludf.DUMMYFUNCTION("""COMPUTED_VALUE"""),4510.92)</f>
        <v/>
      </c>
    </row>
    <row r="8563">
      <c r="J8563">
        <f>IFERROR(__xludf.DUMMYFUNCTION("""COMPUTED_VALUE"""),"New York, NY, Edmonton, AB")</f>
        <v/>
      </c>
      <c r="K8563">
        <f>IFERROR(__xludf.DUMMYFUNCTION("""COMPUTED_VALUE"""),4510.91)</f>
        <v/>
      </c>
    </row>
    <row r="8564">
      <c r="J8564">
        <f>IFERROR(__xludf.DUMMYFUNCTION("""COMPUTED_VALUE"""),"Vancouver, British Columbia, Canada, Moncton, New Brunswick, Canada, Rimouski, Quebec, Canada and Toronto, Ontario, Canada")</f>
        <v/>
      </c>
      <c r="K8564">
        <f>IFERROR(__xludf.DUMMYFUNCTION("""COMPUTED_VALUE"""),4510.7)</f>
        <v/>
      </c>
    </row>
    <row r="8565">
      <c r="J8565">
        <f>IFERROR(__xludf.DUMMYFUNCTION("""COMPUTED_VALUE"""),"Montreal, Berlin, Paris, Brussels")</f>
        <v/>
      </c>
      <c r="K8565">
        <f>IFERROR(__xludf.DUMMYFUNCTION("""COMPUTED_VALUE"""),4510.14)</f>
        <v/>
      </c>
    </row>
    <row r="8566">
      <c r="J8566">
        <f>IFERROR(__xludf.DUMMYFUNCTION("""COMPUTED_VALUE"""),"Yellowknife, Northwest Territories / Edmonton, Alberta, Canada")</f>
        <v/>
      </c>
      <c r="K8566">
        <f>IFERROR(__xludf.DUMMYFUNCTION("""COMPUTED_VALUE"""),4510.08)</f>
        <v/>
      </c>
    </row>
    <row r="8567">
      <c r="J8567">
        <f>IFERROR(__xludf.DUMMYFUNCTION("""COMPUTED_VALUE"""),"Toronto, Ontario, Canada &amp; Regina, Saskatchewan, Canada")</f>
        <v/>
      </c>
      <c r="K8567">
        <f>IFERROR(__xludf.DUMMYFUNCTION("""COMPUTED_VALUE"""),4508.62)</f>
        <v/>
      </c>
    </row>
    <row r="8568">
      <c r="J8568">
        <f>IFERROR(__xludf.DUMMYFUNCTION("""COMPUTED_VALUE"""),"Calgary and Winnipeg")</f>
        <v/>
      </c>
      <c r="K8568">
        <f>IFERROR(__xludf.DUMMYFUNCTION("""COMPUTED_VALUE"""),4508.39)</f>
        <v/>
      </c>
    </row>
    <row r="8569">
      <c r="J8569">
        <f>IFERROR(__xludf.DUMMYFUNCTION("""COMPUTED_VALUE"""),"Whitehorse, Yukon, Canada - Vancouver and Victoria, British Columbia, Canada")</f>
        <v/>
      </c>
      <c r="K8569">
        <f>IFERROR(__xludf.DUMMYFUNCTION("""COMPUTED_VALUE"""),4507.9)</f>
        <v/>
      </c>
    </row>
    <row r="8570">
      <c r="J8570">
        <f>IFERROR(__xludf.DUMMYFUNCTION("""COMPUTED_VALUE"""),"Charlottetown, PE - Toronto, ON / Toronto, ON - Ottawa, ON / Ottawa, ON - Halifax, NS / Halifax, NS - Charlottetown, PE")</f>
        <v/>
      </c>
      <c r="K8570">
        <f>IFERROR(__xludf.DUMMYFUNCTION("""COMPUTED_VALUE"""),4506.43)</f>
        <v/>
      </c>
    </row>
    <row r="8571">
      <c r="J8571">
        <f>IFERROR(__xludf.DUMMYFUNCTION("""COMPUTED_VALUE"""),"Winnipeg/Thunder Bay")</f>
        <v/>
      </c>
      <c r="K8571">
        <f>IFERROR(__xludf.DUMMYFUNCTION("""COMPUTED_VALUE"""),4505.73)</f>
        <v/>
      </c>
    </row>
    <row r="8572">
      <c r="J8572">
        <f>IFERROR(__xludf.DUMMYFUNCTION("""COMPUTED_VALUE"""),"Lake Louise, Calgary and Edmonton, AB and Saskatoon, SK")</f>
        <v/>
      </c>
      <c r="K8572">
        <f>IFERROR(__xludf.DUMMYFUNCTION("""COMPUTED_VALUE"""),4502.61)</f>
        <v/>
      </c>
    </row>
    <row r="8573">
      <c r="J8573">
        <f>IFERROR(__xludf.DUMMYFUNCTION("""COMPUTED_VALUE"""),"Sarajevo, Bosnia, Brussels, Belgium &amp; Mons, Belgium.")</f>
        <v/>
      </c>
      <c r="K8573">
        <f>IFERROR(__xludf.DUMMYFUNCTION("""COMPUTED_VALUE"""),4502.37)</f>
        <v/>
      </c>
    </row>
    <row r="8574">
      <c r="J8574">
        <f>IFERROR(__xludf.DUMMYFUNCTION("""COMPUTED_VALUE"""),"Vancouver/Surrey, British Columbia, Canada")</f>
        <v/>
      </c>
      <c r="K8574">
        <f>IFERROR(__xludf.DUMMYFUNCTION("""COMPUTED_VALUE"""),4501.53)</f>
        <v/>
      </c>
    </row>
    <row r="8575">
      <c r="J8575">
        <f>IFERROR(__xludf.DUMMYFUNCTION("""COMPUTED_VALUE"""),"Kelowna, British Columbia, Canada; Surrey, British Columbia, Canada; Saskatoon, Saskatchewan, Ca")</f>
        <v/>
      </c>
      <c r="K8575">
        <f>IFERROR(__xludf.DUMMYFUNCTION("""COMPUTED_VALUE"""),4500.81)</f>
        <v/>
      </c>
    </row>
    <row r="8576">
      <c r="J8576">
        <f>IFERROR(__xludf.DUMMYFUNCTION("""COMPUTED_VALUE"""),"Halifax, Nova Scotia, Canada
Quebec City, Quebec, Canada
Vancouver, British Columbia, Canada")</f>
        <v/>
      </c>
      <c r="K8576">
        <f>IFERROR(__xludf.DUMMYFUNCTION("""COMPUTED_VALUE"""),4498.73)</f>
        <v/>
      </c>
    </row>
    <row r="8577">
      <c r="J8577">
        <f>IFERROR(__xludf.DUMMYFUNCTION("""COMPUTED_VALUE"""),"Richmond, British Columbia, Canada; Kamloops, British Columbia, Canada; Kelowna, British Columbia, Canada")</f>
        <v/>
      </c>
      <c r="K8577">
        <f>IFERROR(__xludf.DUMMYFUNCTION("""COMPUTED_VALUE"""),4497.51999999999)</f>
        <v/>
      </c>
    </row>
    <row r="8578">
      <c r="J8578">
        <f>IFERROR(__xludf.DUMMYFUNCTION("""COMPUTED_VALUE"""),"Schladming, Austria")</f>
        <v/>
      </c>
      <c r="K8578">
        <f>IFERROR(__xludf.DUMMYFUNCTION("""COMPUTED_VALUE"""),4497.48)</f>
        <v/>
      </c>
    </row>
    <row r="8579">
      <c r="J8579">
        <f>IFERROR(__xludf.DUMMYFUNCTION("""COMPUTED_VALUE"""),"Forillon, Quebec")</f>
        <v/>
      </c>
      <c r="K8579">
        <f>IFERROR(__xludf.DUMMYFUNCTION("""COMPUTED_VALUE"""),4494.57)</f>
        <v/>
      </c>
    </row>
    <row r="8580">
      <c r="J8580">
        <f>IFERROR(__xludf.DUMMYFUNCTION("""COMPUTED_VALUE"""),"Victoria, British Columbia, Canada; Edmonton, Alberta, Canada; Montreal, Quebec, Canada")</f>
        <v/>
      </c>
      <c r="K8580">
        <f>IFERROR(__xludf.DUMMYFUNCTION("""COMPUTED_VALUE"""),4494.54)</f>
        <v/>
      </c>
    </row>
    <row r="8581">
      <c r="J8581">
        <f>IFERROR(__xludf.DUMMYFUNCTION("""COMPUTED_VALUE"""),"Paris, Berlin")</f>
        <v/>
      </c>
      <c r="K8581">
        <f>IFERROR(__xludf.DUMMYFUNCTION("""COMPUTED_VALUE"""),4493.61)</f>
        <v/>
      </c>
    </row>
    <row r="8582">
      <c r="J8582">
        <f>IFERROR(__xludf.DUMMYFUNCTION("""COMPUTED_VALUE"""),"Washington, Washington, United States; Merida, Mexico")</f>
        <v/>
      </c>
      <c r="K8582">
        <f>IFERROR(__xludf.DUMMYFUNCTION("""COMPUTED_VALUE"""),4492.95)</f>
        <v/>
      </c>
    </row>
    <row r="8583">
      <c r="J8583">
        <f>IFERROR(__xludf.DUMMYFUNCTION("""COMPUTED_VALUE"""),"Edmonton, Alberta; Yellowknife, Northwest
Territories, Canada")</f>
        <v/>
      </c>
      <c r="K8583">
        <f>IFERROR(__xludf.DUMMYFUNCTION("""COMPUTED_VALUE"""),4491.86)</f>
        <v/>
      </c>
    </row>
    <row r="8584">
      <c r="J8584">
        <f>IFERROR(__xludf.DUMMYFUNCTION("""COMPUTED_VALUE"""),"Mississauga, Ontario, Canada; Brampton, Ontario, Canada")</f>
        <v/>
      </c>
      <c r="K8584">
        <f>IFERROR(__xludf.DUMMYFUNCTION("""COMPUTED_VALUE"""),4491.71999999999)</f>
        <v/>
      </c>
    </row>
    <row r="8585">
      <c r="J8585">
        <f>IFERROR(__xludf.DUMMYFUNCTION("""COMPUTED_VALUE"""),"Vancouver, British Columbia, Canada/  Whitehorse, Yukon, Canada")</f>
        <v/>
      </c>
      <c r="K8585">
        <f>IFERROR(__xludf.DUMMYFUNCTION("""COMPUTED_VALUE"""),4491.42)</f>
        <v/>
      </c>
    </row>
    <row r="8586">
      <c r="J8586">
        <f>IFERROR(__xludf.DUMMYFUNCTION("""COMPUTED_VALUE"""),"Ottawa-Australia-Ottawa")</f>
        <v/>
      </c>
      <c r="K8586">
        <f>IFERROR(__xludf.DUMMYFUNCTION("""COMPUTED_VALUE"""),4489.14)</f>
        <v/>
      </c>
    </row>
    <row r="8587">
      <c r="J8587">
        <f>IFERROR(__xludf.DUMMYFUNCTION("""COMPUTED_VALUE"""),"Miramichi, New Brunswick; Fredericton, New Brunswick; Burlington, Ontario; Vaughan, Ontario")</f>
        <v/>
      </c>
      <c r="K8587">
        <f>IFERROR(__xludf.DUMMYFUNCTION("""COMPUTED_VALUE"""),4487.97)</f>
        <v/>
      </c>
    </row>
    <row r="8588">
      <c r="J8588">
        <f>IFERROR(__xludf.DUMMYFUNCTION("""COMPUTED_VALUE"""),"Vancouver and Kelowna, British Columbia, Canada")</f>
        <v/>
      </c>
      <c r="K8588">
        <f>IFERROR(__xludf.DUMMYFUNCTION("""COMPUTED_VALUE"""),4487.87)</f>
        <v/>
      </c>
    </row>
    <row r="8589">
      <c r="J8589">
        <f>IFERROR(__xludf.DUMMYFUNCTION("""COMPUTED_VALUE"""),"Washington DC United States")</f>
        <v/>
      </c>
      <c r="K8589">
        <f>IFERROR(__xludf.DUMMYFUNCTION("""COMPUTED_VALUE"""),4487.72)</f>
        <v/>
      </c>
    </row>
    <row r="8590">
      <c r="J8590">
        <f>IFERROR(__xludf.DUMMYFUNCTION("""COMPUTED_VALUE"""),"Toronto, Ontario, Canada; Ottawa, Ontario, Canada; Windsor, Ontario, Canada")</f>
        <v/>
      </c>
      <c r="K8590">
        <f>IFERROR(__xludf.DUMMYFUNCTION("""COMPUTED_VALUE"""),4486.1)</f>
        <v/>
      </c>
    </row>
    <row r="8591">
      <c r="J8591">
        <f>IFERROR(__xludf.DUMMYFUNCTION("""COMPUTED_VALUE"""),"Windsor and Toronto")</f>
        <v/>
      </c>
      <c r="K8591">
        <f>IFERROR(__xludf.DUMMYFUNCTION("""COMPUTED_VALUE"""),4484.96)</f>
        <v/>
      </c>
    </row>
    <row r="8592">
      <c r="J8592">
        <f>IFERROR(__xludf.DUMMYFUNCTION("""COMPUTED_VALUE"""),"Ottawa, Ontario
Penticton, British Columbia")</f>
        <v/>
      </c>
      <c r="K8592">
        <f>IFERROR(__xludf.DUMMYFUNCTION("""COMPUTED_VALUE"""),4484.84)</f>
        <v/>
      </c>
    </row>
    <row r="8593">
      <c r="J8593">
        <f>IFERROR(__xludf.DUMMYFUNCTION("""COMPUTED_VALUE"""),"Halifax, Nova Scotia / Ottawa, Ontario, Canada")</f>
        <v/>
      </c>
      <c r="K8593">
        <f>IFERROR(__xludf.DUMMYFUNCTION("""COMPUTED_VALUE"""),4484.63)</f>
        <v/>
      </c>
    </row>
    <row r="8594">
      <c r="J8594">
        <f>IFERROR(__xludf.DUMMYFUNCTION("""COMPUTED_VALUE"""),"Mexico, Guatemala and Honduras")</f>
        <v/>
      </c>
      <c r="K8594">
        <f>IFERROR(__xludf.DUMMYFUNCTION("""COMPUTED_VALUE"""),4483.59)</f>
        <v/>
      </c>
    </row>
    <row r="8595">
      <c r="J8595">
        <f>IFERROR(__xludf.DUMMYFUNCTION("""COMPUTED_VALUE"""),"Windsor, Ontario, Canada
Montreal, Quebec, Canada")</f>
        <v/>
      </c>
      <c r="K8595">
        <f>IFERROR(__xludf.DUMMYFUNCTION("""COMPUTED_VALUE"""),4481.79)</f>
        <v/>
      </c>
    </row>
    <row r="8596">
      <c r="J8596">
        <f>IFERROR(__xludf.DUMMYFUNCTION("""COMPUTED_VALUE"""),"Chantilly, France;
Paris, France")</f>
        <v/>
      </c>
      <c r="K8596">
        <f>IFERROR(__xludf.DUMMYFUNCTION("""COMPUTED_VALUE"""),4481.28)</f>
        <v/>
      </c>
    </row>
    <row r="8597">
      <c r="J8597">
        <f>IFERROR(__xludf.DUMMYFUNCTION("""COMPUTED_VALUE"""),"Halifax NS, Vancouver BC")</f>
        <v/>
      </c>
      <c r="K8597">
        <f>IFERROR(__xludf.DUMMYFUNCTION("""COMPUTED_VALUE"""),4480.23)</f>
        <v/>
      </c>
    </row>
    <row r="8598">
      <c r="J8598">
        <f>IFERROR(__xludf.DUMMYFUNCTION("""COMPUTED_VALUE"""),"Ottawa, ON; Winnipeg,MB")</f>
        <v/>
      </c>
      <c r="K8598">
        <f>IFERROR(__xludf.DUMMYFUNCTION("""COMPUTED_VALUE"""),4478.98)</f>
        <v/>
      </c>
    </row>
    <row r="8599">
      <c r="J8599">
        <f>IFERROR(__xludf.DUMMYFUNCTION("""COMPUTED_VALUE"""),"Washington, DC, Unites States")</f>
        <v/>
      </c>
      <c r="K8599">
        <f>IFERROR(__xludf.DUMMYFUNCTION("""COMPUTED_VALUE"""),4478.13)</f>
        <v/>
      </c>
    </row>
    <row r="8600">
      <c r="J8600">
        <f>IFERROR(__xludf.DUMMYFUNCTION("""COMPUTED_VALUE"""),"Churchill, MB - Toronto, ON")</f>
        <v/>
      </c>
      <c r="K8600">
        <f>IFERROR(__xludf.DUMMYFUNCTION("""COMPUTED_VALUE"""),4476.04)</f>
        <v/>
      </c>
    </row>
    <row r="8601">
      <c r="J8601">
        <f>IFERROR(__xludf.DUMMYFUNCTION("""COMPUTED_VALUE"""),"Windsor, Ontario, Canada; Vancouver, British Columbia, Canada; Edmonton, Alberta, Canada; Saskatoon, Saskatchewan, Canada")</f>
        <v/>
      </c>
      <c r="K8601">
        <f>IFERROR(__xludf.DUMMYFUNCTION("""COMPUTED_VALUE"""),4475.63)</f>
        <v/>
      </c>
    </row>
    <row r="8602">
      <c r="J8602">
        <f>IFERROR(__xludf.DUMMYFUNCTION("""COMPUTED_VALUE"""),"Pikangikum First Nation, Ontario, Canada")</f>
        <v/>
      </c>
      <c r="K8602">
        <f>IFERROR(__xludf.DUMMYFUNCTION("""COMPUTED_VALUE"""),4475.38)</f>
        <v/>
      </c>
    </row>
    <row r="8603">
      <c r="J8603">
        <f>IFERROR(__xludf.DUMMYFUNCTION("""COMPUTED_VALUE"""),"Ottawa, Ontario, Canada; Gatineau, Quebec, Canada; Edmonton, Alberta, Canada; Winnipeg, Manitoba, Canada")</f>
        <v/>
      </c>
      <c r="K8603">
        <f>IFERROR(__xludf.DUMMYFUNCTION("""COMPUTED_VALUE"""),4475.14)</f>
        <v/>
      </c>
    </row>
    <row r="8604">
      <c r="J8604">
        <f>IFERROR(__xludf.DUMMYFUNCTION("""COMPUTED_VALUE"""),"Iles-de-la-Madeleine, QC; Gaspé, QC")</f>
        <v/>
      </c>
      <c r="K8604">
        <f>IFERROR(__xludf.DUMMYFUNCTION("""COMPUTED_VALUE"""),4473.08)</f>
        <v/>
      </c>
    </row>
    <row r="8605">
      <c r="J8605">
        <f>IFERROR(__xludf.DUMMYFUNCTION("""COMPUTED_VALUE"""),"OTTAWA, CANADA AND MONTREAL, CANADA")</f>
        <v/>
      </c>
      <c r="K8605">
        <f>IFERROR(__xludf.DUMMYFUNCTION("""COMPUTED_VALUE"""),4472.95)</f>
        <v/>
      </c>
    </row>
    <row r="8606">
      <c r="J8606">
        <f>IFERROR(__xludf.DUMMYFUNCTION("""COMPUTED_VALUE"""),"Whitehorse and Nanaimo")</f>
        <v/>
      </c>
      <c r="K8606">
        <f>IFERROR(__xludf.DUMMYFUNCTION("""COMPUTED_VALUE"""),4472.14)</f>
        <v/>
      </c>
    </row>
    <row r="8607">
      <c r="J8607">
        <f>IFERROR(__xludf.DUMMYFUNCTION("""COMPUTED_VALUE"""),"Santiago, Chile
Puerto Montt, Chile")</f>
        <v/>
      </c>
      <c r="K8607">
        <f>IFERROR(__xludf.DUMMYFUNCTION("""COMPUTED_VALUE"""),4471.09)</f>
        <v/>
      </c>
    </row>
    <row r="8608">
      <c r="J8608">
        <f>IFERROR(__xludf.DUMMYFUNCTION("""COMPUTED_VALUE"""),"Busan, ROK")</f>
        <v/>
      </c>
      <c r="K8608">
        <f>IFERROR(__xludf.DUMMYFUNCTION("""COMPUTED_VALUE"""),4470.32)</f>
        <v/>
      </c>
    </row>
    <row r="8609">
      <c r="J8609">
        <f>IFERROR(__xludf.DUMMYFUNCTION("""COMPUTED_VALUE"""),"Mexico City and Cancu")</f>
        <v/>
      </c>
      <c r="K8609">
        <f>IFERROR(__xludf.DUMMYFUNCTION("""COMPUTED_VALUE"""),4469.51)</f>
        <v/>
      </c>
    </row>
    <row r="8610">
      <c r="J8610">
        <f>IFERROR(__xludf.DUMMYFUNCTION("""COMPUTED_VALUE"""),"Knoxville, Tennessee, USA")</f>
        <v/>
      </c>
      <c r="K8610">
        <f>IFERROR(__xludf.DUMMYFUNCTION("""COMPUTED_VALUE"""),4469.27)</f>
        <v/>
      </c>
    </row>
    <row r="8611">
      <c r="J8611">
        <f>IFERROR(__xludf.DUMMYFUNCTION("""COMPUTED_VALUE"""),"Haida Gwaii, British Columbia, Canada; Vancouver, British Columbia, Canada; Victoria, British Columbia, Canada")</f>
        <v/>
      </c>
      <c r="K8611">
        <f>IFERROR(__xludf.DUMMYFUNCTION("""COMPUTED_VALUE"""),4468.24)</f>
        <v/>
      </c>
    </row>
    <row r="8612">
      <c r="J8612">
        <f>IFERROR(__xludf.DUMMYFUNCTION("""COMPUTED_VALUE"""),"Oxfordshire, United Kingdom/Brussels, Belgium")</f>
        <v/>
      </c>
      <c r="K8612">
        <f>IFERROR(__xludf.DUMMYFUNCTION("""COMPUTED_VALUE"""),4466.48)</f>
        <v/>
      </c>
    </row>
    <row r="8613">
      <c r="J8613">
        <f>IFERROR(__xludf.DUMMYFUNCTION("""COMPUTED_VALUE"""),"Tripoli, Libya via Air bus retuning commercial flight")</f>
        <v/>
      </c>
      <c r="K8613">
        <f>IFERROR(__xludf.DUMMYFUNCTION("""COMPUTED_VALUE"""),4466.18)</f>
        <v/>
      </c>
    </row>
    <row r="8614">
      <c r="J8614">
        <f>IFERROR(__xludf.DUMMYFUNCTION("""COMPUTED_VALUE"""),"Washington, DC; Halifax, Nova Scotia")</f>
        <v/>
      </c>
      <c r="K8614">
        <f>IFERROR(__xludf.DUMMYFUNCTION("""COMPUTED_VALUE"""),4465.98)</f>
        <v/>
      </c>
    </row>
    <row r="8615">
      <c r="J8615">
        <f>IFERROR(__xludf.DUMMYFUNCTION("""COMPUTED_VALUE"""),"Vancouver Sydney, N.S.")</f>
        <v/>
      </c>
      <c r="K8615">
        <f>IFERROR(__xludf.DUMMYFUNCTION("""COMPUTED_VALUE"""),4464.39)</f>
        <v/>
      </c>
    </row>
    <row r="8616">
      <c r="J8616">
        <f>IFERROR(__xludf.DUMMYFUNCTION("""COMPUTED_VALUE"""),"Saskatoon, SK Winnipeg, MB Edmonton, AB Whitehorse, YT")</f>
        <v/>
      </c>
      <c r="K8616">
        <f>IFERROR(__xludf.DUMMYFUNCTION("""COMPUTED_VALUE"""),4464.33)</f>
        <v/>
      </c>
    </row>
    <row r="8617">
      <c r="J8617">
        <f>IFERROR(__xludf.DUMMYFUNCTION("""COMPUTED_VALUE"""),"St. John's (Newfoundland)")</f>
        <v/>
      </c>
      <c r="K8617">
        <f>IFERROR(__xludf.DUMMYFUNCTION("""COMPUTED_VALUE"""),4463.54)</f>
        <v/>
      </c>
    </row>
    <row r="8618">
      <c r="J8618">
        <f>IFERROR(__xludf.DUMMYFUNCTION("""COMPUTED_VALUE"""),"Montgomery, Alabama, United States")</f>
        <v/>
      </c>
      <c r="K8618">
        <f>IFERROR(__xludf.DUMMYFUNCTION("""COMPUTED_VALUE"""),4462.80999999999)</f>
        <v/>
      </c>
    </row>
    <row r="8619">
      <c r="J8619">
        <f>IFERROR(__xludf.DUMMYFUNCTION("""COMPUTED_VALUE"""),"Ottawa, ON - Seoul, Korea / Seoul, Korea - Ottawa, ON")</f>
        <v/>
      </c>
      <c r="K8619">
        <f>IFERROR(__xludf.DUMMYFUNCTION("""COMPUTED_VALUE"""),4462.65)</f>
        <v/>
      </c>
    </row>
    <row r="8620">
      <c r="J8620">
        <f>IFERROR(__xludf.DUMMYFUNCTION("""COMPUTED_VALUE"""),"Geneva, Switzerland; Berlin, Germany; Brussels, Belgium; Copenhagen, Denmark")</f>
        <v/>
      </c>
      <c r="K8620">
        <f>IFERROR(__xludf.DUMMYFUNCTION("""COMPUTED_VALUE"""),4462.4)</f>
        <v/>
      </c>
    </row>
    <row r="8621">
      <c r="J8621">
        <f>IFERROR(__xludf.DUMMYFUNCTION("""COMPUTED_VALUE"""),"Glace Bay, Nova Scotia / Sydney, Nova Scotia, Canada")</f>
        <v/>
      </c>
      <c r="K8621">
        <f>IFERROR(__xludf.DUMMYFUNCTION("""COMPUTED_VALUE"""),4462.28)</f>
        <v/>
      </c>
    </row>
    <row r="8622">
      <c r="J8622">
        <f>IFERROR(__xludf.DUMMYFUNCTION("""COMPUTED_VALUE"""),"Halifax, Nova Scotia; Moncton, New Brunswick; Montreal, Quebec, Canada")</f>
        <v/>
      </c>
      <c r="K8622">
        <f>IFERROR(__xludf.DUMMYFUNCTION("""COMPUTED_VALUE"""),4460.28)</f>
        <v/>
      </c>
    </row>
    <row r="8623">
      <c r="J8623">
        <f>IFERROR(__xludf.DUMMYFUNCTION("""COMPUTED_VALUE"""),"Sun Valley, Idaho")</f>
        <v/>
      </c>
      <c r="K8623">
        <f>IFERROR(__xludf.DUMMYFUNCTION("""COMPUTED_VALUE"""),4459.82)</f>
        <v/>
      </c>
    </row>
    <row r="8624">
      <c r="J8624">
        <f>IFERROR(__xludf.DUMMYFUNCTION("""COMPUTED_VALUE"""),"Truro, Nova Scotia, Canada, Summerside, Prince Edward Island, Canada and Vancouver, British Columbia, Canada")</f>
        <v/>
      </c>
      <c r="K8624">
        <f>IFERROR(__xludf.DUMMYFUNCTION("""COMPUTED_VALUE"""),4458.73)</f>
        <v/>
      </c>
    </row>
    <row r="8625">
      <c r="J8625">
        <f>IFERROR(__xludf.DUMMYFUNCTION("""COMPUTED_VALUE"""),"Prince George, Vancouver, Victoria, British Columbia, Canada; 
Edmonton, Alberta, Canada")</f>
        <v/>
      </c>
      <c r="K8625">
        <f>IFERROR(__xludf.DUMMYFUNCTION("""COMPUTED_VALUE"""),4458.6)</f>
        <v/>
      </c>
    </row>
    <row r="8626">
      <c r="J8626">
        <f>IFERROR(__xludf.DUMMYFUNCTION("""COMPUTED_VALUE"""),"Washington,  United States of America")</f>
        <v/>
      </c>
      <c r="K8626">
        <f>IFERROR(__xludf.DUMMYFUNCTION("""COMPUTED_VALUE"""),4458.58)</f>
        <v/>
      </c>
    </row>
    <row r="8627">
      <c r="J8627">
        <f>IFERROR(__xludf.DUMMYFUNCTION("""COMPUTED_VALUE"""),"Vancouver, British Columbia; Toronto, Ontario")</f>
        <v/>
      </c>
      <c r="K8627">
        <f>IFERROR(__xludf.DUMMYFUNCTION("""COMPUTED_VALUE"""),4458.28)</f>
        <v/>
      </c>
    </row>
    <row r="8628">
      <c r="J8628">
        <f>IFERROR(__xludf.DUMMYFUNCTION("""COMPUTED_VALUE"""),"KANATA, OTTAWA, TORONTO, ST. JOHN'S, GANDER, GOOSE BAY, ST. JOHN'S, OTTAWA, KANATA")</f>
        <v/>
      </c>
      <c r="K8628">
        <f>IFERROR(__xludf.DUMMYFUNCTION("""COMPUTED_VALUE"""),4458.28)</f>
        <v/>
      </c>
    </row>
    <row r="8629">
      <c r="J8629">
        <f>IFERROR(__xludf.DUMMYFUNCTION("""COMPUTED_VALUE"""),"Ottawa, Ontario; Halifax, Nova Scotia; Montreal, Quebec")</f>
        <v/>
      </c>
      <c r="K8629">
        <f>IFERROR(__xludf.DUMMYFUNCTION("""COMPUTED_VALUE"""),4457.79)</f>
        <v/>
      </c>
    </row>
    <row r="8630">
      <c r="J8630">
        <f>IFERROR(__xludf.DUMMYFUNCTION("""COMPUTED_VALUE"""),"Cancun, Mexico; Ottawa,  Canada")</f>
        <v/>
      </c>
      <c r="K8630">
        <f>IFERROR(__xludf.DUMMYFUNCTION("""COMPUTED_VALUE"""),4457.43)</f>
        <v/>
      </c>
    </row>
    <row r="8631">
      <c r="J8631">
        <f>IFERROR(__xludf.DUMMYFUNCTION("""COMPUTED_VALUE"""),"Ottawa, Smith Falls, Ontario")</f>
        <v/>
      </c>
      <c r="K8631">
        <f>IFERROR(__xludf.DUMMYFUNCTION("""COMPUTED_VALUE"""),4457.18)</f>
        <v/>
      </c>
    </row>
    <row r="8632">
      <c r="J8632">
        <f>IFERROR(__xludf.DUMMYFUNCTION("""COMPUTED_VALUE"""),"Winnipeg, MB; Victoria, BC")</f>
        <v/>
      </c>
      <c r="K8632">
        <f>IFERROR(__xludf.DUMMYFUNCTION("""COMPUTED_VALUE"""),4456.8)</f>
        <v/>
      </c>
    </row>
    <row r="8633">
      <c r="J8633">
        <f>IFERROR(__xludf.DUMMYFUNCTION("""COMPUTED_VALUE"""),"Montréal - Varennes - Shawinigan - Trois Rivière - Québec City - Sept-Îles, QC")</f>
        <v/>
      </c>
      <c r="K8633">
        <f>IFERROR(__xludf.DUMMYFUNCTION("""COMPUTED_VALUE"""),4453.63)</f>
        <v/>
      </c>
    </row>
    <row r="8634">
      <c r="J8634">
        <f>IFERROR(__xludf.DUMMYFUNCTION("""COMPUTED_VALUE"""),"Mumbai")</f>
        <v/>
      </c>
      <c r="K8634">
        <f>IFERROR(__xludf.DUMMYFUNCTION("""COMPUTED_VALUE"""),4453.57)</f>
        <v/>
      </c>
    </row>
    <row r="8635">
      <c r="J8635">
        <f>IFERROR(__xludf.DUMMYFUNCTION("""COMPUTED_VALUE"""),"Edmonton, Alberta, Canada
Quebec City, Quebec, Canada")</f>
        <v/>
      </c>
      <c r="K8635">
        <f>IFERROR(__xludf.DUMMYFUNCTION("""COMPUTED_VALUE"""),4452.93)</f>
        <v/>
      </c>
    </row>
    <row r="8636">
      <c r="J8636">
        <f>IFERROR(__xludf.DUMMYFUNCTION("""COMPUTED_VALUE"""),"Toronto, ON / Austin, TX")</f>
        <v/>
      </c>
      <c r="K8636">
        <f>IFERROR(__xludf.DUMMYFUNCTION("""COMPUTED_VALUE"""),4451.87)</f>
        <v/>
      </c>
    </row>
    <row r="8637">
      <c r="J8637">
        <f>IFERROR(__xludf.DUMMYFUNCTION("""COMPUTED_VALUE"""),"Montreal, Toronto, Saskatoon, Edmonton, Calgary, Regina, Vancouver, Winnipeg")</f>
        <v/>
      </c>
      <c r="K8637">
        <f>IFERROR(__xludf.DUMMYFUNCTION("""COMPUTED_VALUE"""),4451.7)</f>
        <v/>
      </c>
    </row>
    <row r="8638">
      <c r="J8638">
        <f>IFERROR(__xludf.DUMMYFUNCTION("""COMPUTED_VALUE"""),"Victoria, British Columbia; Vancouver, British Columbia; Toronto, Ontario")</f>
        <v/>
      </c>
      <c r="K8638">
        <f>IFERROR(__xludf.DUMMYFUNCTION("""COMPUTED_VALUE"""),4450.21)</f>
        <v/>
      </c>
    </row>
    <row r="8639">
      <c r="J8639">
        <f>IFERROR(__xludf.DUMMYFUNCTION("""COMPUTED_VALUE"""),"Thunder Bay, Ontario, Canada; Sault Ste. Marie, Ontario, Canada")</f>
        <v/>
      </c>
      <c r="K8639">
        <f>IFERROR(__xludf.DUMMYFUNCTION("""COMPUTED_VALUE"""),4449.63)</f>
        <v/>
      </c>
    </row>
    <row r="8640">
      <c r="J8640">
        <f>IFERROR(__xludf.DUMMYFUNCTION("""COMPUTED_VALUE"""),"Ottawa, Ontario / Toronto, Ontario, Canada")</f>
        <v/>
      </c>
      <c r="K8640">
        <f>IFERROR(__xludf.DUMMYFUNCTION("""COMPUTED_VALUE"""),4446.62)</f>
        <v/>
      </c>
    </row>
    <row r="8641">
      <c r="J8641">
        <f>IFERROR(__xludf.DUMMYFUNCTION("""COMPUTED_VALUE"""),"New York (New York)")</f>
        <v/>
      </c>
      <c r="K8641">
        <f>IFERROR(__xludf.DUMMYFUNCTION("""COMPUTED_VALUE"""),4446.13)</f>
        <v/>
      </c>
    </row>
    <row r="8642">
      <c r="J8642">
        <f>IFERROR(__xludf.DUMMYFUNCTION("""COMPUTED_VALUE"""),"Red Lake, Ontario")</f>
        <v/>
      </c>
      <c r="K8642">
        <f>IFERROR(__xludf.DUMMYFUNCTION("""COMPUTED_VALUE"""),4446.01)</f>
        <v/>
      </c>
    </row>
    <row r="8643">
      <c r="J8643">
        <f>IFERROR(__xludf.DUMMYFUNCTION("""COMPUTED_VALUE"""),"Kissimmee, Florida, United States")</f>
        <v/>
      </c>
      <c r="K8643">
        <f>IFERROR(__xludf.DUMMYFUNCTION("""COMPUTED_VALUE"""),4445.74)</f>
        <v/>
      </c>
    </row>
    <row r="8644">
      <c r="J8644">
        <f>IFERROR(__xludf.DUMMYFUNCTION("""COMPUTED_VALUE"""),"Vancouer, BC")</f>
        <v/>
      </c>
      <c r="K8644">
        <f>IFERROR(__xludf.DUMMYFUNCTION("""COMPUTED_VALUE"""),4444.81)</f>
        <v/>
      </c>
    </row>
    <row r="8645">
      <c r="J8645">
        <f>IFERROR(__xludf.DUMMYFUNCTION("""COMPUTED_VALUE"""),"Victoria and Vancouver, British-Columbia, Canada")</f>
        <v/>
      </c>
      <c r="K8645">
        <f>IFERROR(__xludf.DUMMYFUNCTION("""COMPUTED_VALUE"""),4443.95)</f>
        <v/>
      </c>
    </row>
    <row r="8646">
      <c r="J8646">
        <f>IFERROR(__xludf.DUMMYFUNCTION("""COMPUTED_VALUE"""),"Punta Cana")</f>
        <v/>
      </c>
      <c r="K8646">
        <f>IFERROR(__xludf.DUMMYFUNCTION("""COMPUTED_VALUE"""),4443.73)</f>
        <v/>
      </c>
    </row>
    <row r="8647">
      <c r="J8647">
        <f>IFERROR(__xludf.DUMMYFUNCTION("""COMPUTED_VALUE"""),"Washington, United States / Regina, Saskatchewan, Canada / Winnipeg, Manitoba, Canada / Thunder Bay, Ontario, Canada / Sudbury, Ontario, Canada")</f>
        <v/>
      </c>
      <c r="K8647">
        <f>IFERROR(__xludf.DUMMYFUNCTION("""COMPUTED_VALUE"""),4443.5)</f>
        <v/>
      </c>
    </row>
    <row r="8648">
      <c r="J8648">
        <f>IFERROR(__xludf.DUMMYFUNCTION("""COMPUTED_VALUE"""),"Ottawa, ON - Toronto, ON / Toronto, ON  - Ottawa, ON")</f>
        <v/>
      </c>
      <c r="K8648">
        <f>IFERROR(__xludf.DUMMYFUNCTION("""COMPUTED_VALUE"""),4443.26)</f>
        <v/>
      </c>
    </row>
    <row r="8649">
      <c r="J8649">
        <f>IFERROR(__xludf.DUMMYFUNCTION("""COMPUTED_VALUE"""),"London, UK, Oman")</f>
        <v/>
      </c>
      <c r="K8649">
        <f>IFERROR(__xludf.DUMMYFUNCTION("""COMPUTED_VALUE"""),4442.57)</f>
        <v/>
      </c>
    </row>
    <row r="8650">
      <c r="J8650">
        <f>IFERROR(__xludf.DUMMYFUNCTION("""COMPUTED_VALUE"""),"Kyoto, Kansai, Japan")</f>
        <v/>
      </c>
      <c r="K8650">
        <f>IFERROR(__xludf.DUMMYFUNCTION("""COMPUTED_VALUE"""),4440.69)</f>
        <v/>
      </c>
    </row>
    <row r="8651">
      <c r="J8651">
        <f>IFERROR(__xludf.DUMMYFUNCTION("""COMPUTED_VALUE"""),"Ottawa, Montreal, Dublin")</f>
        <v/>
      </c>
      <c r="K8651">
        <f>IFERROR(__xludf.DUMMYFUNCTION("""COMPUTED_VALUE"""),4437.66)</f>
        <v/>
      </c>
    </row>
    <row r="8652">
      <c r="J8652">
        <f>IFERROR(__xludf.DUMMYFUNCTION("""COMPUTED_VALUE"""),"Ottawa, ON
Toronto, ON")</f>
        <v/>
      </c>
      <c r="K8652">
        <f>IFERROR(__xludf.DUMMYFUNCTION("""COMPUTED_VALUE"""),4437.63999999999)</f>
        <v/>
      </c>
    </row>
    <row r="8653">
      <c r="J8653">
        <f>IFERROR(__xludf.DUMMYFUNCTION("""COMPUTED_VALUE"""),"Vancouver, BC / Calgary, AB")</f>
        <v/>
      </c>
      <c r="K8653">
        <f>IFERROR(__xludf.DUMMYFUNCTION("""COMPUTED_VALUE"""),4437.57)</f>
        <v/>
      </c>
    </row>
    <row r="8654">
      <c r="J8654">
        <f>IFERROR(__xludf.DUMMYFUNCTION("""COMPUTED_VALUE"""),"Hamburg , Germany")</f>
        <v/>
      </c>
      <c r="K8654">
        <f>IFERROR(__xludf.DUMMYFUNCTION("""COMPUTED_VALUE"""),4436.82)</f>
        <v/>
      </c>
    </row>
    <row r="8655">
      <c r="J8655">
        <f>IFERROR(__xludf.DUMMYFUNCTION("""COMPUTED_VALUE"""),"Montevideo/Uruguay          Buenos Aires/Argentina  and Santiago/Chile")</f>
        <v/>
      </c>
      <c r="K8655">
        <f>IFERROR(__xludf.DUMMYFUNCTION("""COMPUTED_VALUE"""),4436.04)</f>
        <v/>
      </c>
    </row>
    <row r="8656">
      <c r="J8656">
        <f>IFERROR(__xludf.DUMMYFUNCTION("""COMPUTED_VALUE"""),"Rivière-du-Loup, Quebec, Canada
Rimouski, Quebec, Canada
Sainte -Anne des Monts, Quebec, Canada Gaspé, Quebec, Canada                 Bonaventure, Quebec, Canada")</f>
        <v/>
      </c>
      <c r="K8656">
        <f>IFERROR(__xludf.DUMMYFUNCTION("""COMPUTED_VALUE"""),4435.83)</f>
        <v/>
      </c>
    </row>
    <row r="8657">
      <c r="J8657">
        <f>IFERROR(__xludf.DUMMYFUNCTION("""COMPUTED_VALUE"""),"Sault Ste. Marie, Ontario, Canada and Vancouver/Williams Lake, British Columbia, Canada")</f>
        <v/>
      </c>
      <c r="K8657">
        <f>IFERROR(__xludf.DUMMYFUNCTION("""COMPUTED_VALUE"""),4435.68)</f>
        <v/>
      </c>
    </row>
    <row r="8658">
      <c r="J8658">
        <f>IFERROR(__xludf.DUMMYFUNCTION("""COMPUTED_VALUE"""),"Kitchener - Niagara - Peel, Sudbury - Milton - Guelph, Ontario, Canada")</f>
        <v/>
      </c>
      <c r="K8658">
        <f>IFERROR(__xludf.DUMMYFUNCTION("""COMPUTED_VALUE"""),4434.88999999999)</f>
        <v/>
      </c>
    </row>
    <row r="8659">
      <c r="J8659">
        <f>IFERROR(__xludf.DUMMYFUNCTION("""COMPUTED_VALUE"""),"Victoria (British Columbia) Canada; Whitehorse (Yukon) Canada; Calgary (Alberta) Canada; Yellowknife (Northwest Territories) Canada")</f>
        <v/>
      </c>
      <c r="K8659">
        <f>IFERROR(__xludf.DUMMYFUNCTION("""COMPUTED_VALUE"""),4434.16)</f>
        <v/>
      </c>
    </row>
    <row r="8660">
      <c r="J8660">
        <f>IFERROR(__xludf.DUMMYFUNCTION("""COMPUTED_VALUE"""),"Ottawa - Bagotville - Ottawa")</f>
        <v/>
      </c>
      <c r="K8660">
        <f>IFERROR(__xludf.DUMMYFUNCTION("""COMPUTED_VALUE"""),4433.12)</f>
        <v/>
      </c>
    </row>
    <row r="8661">
      <c r="J8661">
        <f>IFERROR(__xludf.DUMMYFUNCTION("""COMPUTED_VALUE"""),"Calgary, Winnipeg")</f>
        <v/>
      </c>
      <c r="K8661">
        <f>IFERROR(__xludf.DUMMYFUNCTION("""COMPUTED_VALUE"""),4430.95)</f>
        <v/>
      </c>
    </row>
    <row r="8662">
      <c r="J8662">
        <f>IFERROR(__xludf.DUMMYFUNCTION("""COMPUTED_VALUE"""),"St-John’s, Halifax and New-Brunswick")</f>
        <v/>
      </c>
      <c r="K8662">
        <f>IFERROR(__xludf.DUMMYFUNCTION("""COMPUTED_VALUE"""),4429.75)</f>
        <v/>
      </c>
    </row>
    <row r="8663">
      <c r="J8663">
        <f>IFERROR(__xludf.DUMMYFUNCTION("""COMPUTED_VALUE"""),"Metz, France")</f>
        <v/>
      </c>
      <c r="K8663">
        <f>IFERROR(__xludf.DUMMYFUNCTION("""COMPUTED_VALUE"""),4428.99)</f>
        <v/>
      </c>
    </row>
    <row r="8664">
      <c r="J8664">
        <f>IFERROR(__xludf.DUMMYFUNCTION("""COMPUTED_VALUE"""),"New York, NY - Calgary, AB")</f>
        <v/>
      </c>
      <c r="K8664">
        <f>IFERROR(__xludf.DUMMYFUNCTION("""COMPUTED_VALUE"""),4428.93)</f>
        <v/>
      </c>
    </row>
    <row r="8665">
      <c r="J8665">
        <f>IFERROR(__xludf.DUMMYFUNCTION("""COMPUTED_VALUE"""),"RIGA, LATVIA, EUROPEAN UNION")</f>
        <v/>
      </c>
      <c r="K8665">
        <f>IFERROR(__xludf.DUMMYFUNCTION("""COMPUTED_VALUE"""),4425.87)</f>
        <v/>
      </c>
    </row>
    <row r="8666">
      <c r="J8666">
        <f>IFERROR(__xludf.DUMMYFUNCTION("""COMPUTED_VALUE"""),"Saint-Jean-sur-Richelieu, Quebec, Canada")</f>
        <v/>
      </c>
      <c r="K8666">
        <f>IFERROR(__xludf.DUMMYFUNCTION("""COMPUTED_VALUE"""),4425.74999999999)</f>
        <v/>
      </c>
    </row>
    <row r="8667">
      <c r="J8667">
        <f>IFERROR(__xludf.DUMMYFUNCTION("""COMPUTED_VALUE"""),"Toronto, 
Ontario, 
Canada")</f>
        <v/>
      </c>
      <c r="K8667">
        <f>IFERROR(__xludf.DUMMYFUNCTION("""COMPUTED_VALUE"""),4424.74)</f>
        <v/>
      </c>
    </row>
    <row r="8668">
      <c r="J8668">
        <f>IFERROR(__xludf.DUMMYFUNCTION("""COMPUTED_VALUE"""),"Antigua and Barbuda Dominica")</f>
        <v/>
      </c>
      <c r="K8668">
        <f>IFERROR(__xludf.DUMMYFUNCTION("""COMPUTED_VALUE"""),4424.34)</f>
        <v/>
      </c>
    </row>
    <row r="8669">
      <c r="J8669">
        <f>IFERROR(__xludf.DUMMYFUNCTION("""COMPUTED_VALUE"""),"Saskatoon (Saskatchewan) Canada
Winnipeg (Manitoba) Canada")</f>
        <v/>
      </c>
      <c r="K8669">
        <f>IFERROR(__xludf.DUMMYFUNCTION("""COMPUTED_VALUE"""),4423.89)</f>
        <v/>
      </c>
    </row>
    <row r="8670">
      <c r="J8670">
        <f>IFERROR(__xludf.DUMMYFUNCTION("""COMPUTED_VALUE"""),"Regina, Saskatchewan, Canada; Calgary, Alberta, Canada")</f>
        <v/>
      </c>
      <c r="K8670">
        <f>IFERROR(__xludf.DUMMYFUNCTION("""COMPUTED_VALUE"""),4423.84)</f>
        <v/>
      </c>
    </row>
    <row r="8671">
      <c r="J8671">
        <f>IFERROR(__xludf.DUMMYFUNCTION("""COMPUTED_VALUE"""),"Toronto and Aurora, Ontario, Canada")</f>
        <v/>
      </c>
      <c r="K8671">
        <f>IFERROR(__xludf.DUMMYFUNCTION("""COMPUTED_VALUE"""),4423.72)</f>
        <v/>
      </c>
    </row>
    <row r="8672">
      <c r="J8672">
        <f>IFERROR(__xludf.DUMMYFUNCTION("""COMPUTED_VALUE"""),"Nanaimo, Victoria, Port Alberni, BC")</f>
        <v/>
      </c>
      <c r="K8672">
        <f>IFERROR(__xludf.DUMMYFUNCTION("""COMPUTED_VALUE"""),4422.05)</f>
        <v/>
      </c>
    </row>
    <row r="8673">
      <c r="J8673">
        <f>IFERROR(__xludf.DUMMYFUNCTION("""COMPUTED_VALUE"""),"Winnipeg, MB Ottawa, ON")</f>
        <v/>
      </c>
      <c r="K8673">
        <f>IFERROR(__xludf.DUMMYFUNCTION("""COMPUTED_VALUE"""),4421.63)</f>
        <v/>
      </c>
    </row>
    <row r="8674">
      <c r="J8674">
        <f>IFERROR(__xludf.DUMMYFUNCTION("""COMPUTED_VALUE"""),"Vancouver, British Columbia – 
Jasper, Alberta")</f>
        <v/>
      </c>
      <c r="K8674">
        <f>IFERROR(__xludf.DUMMYFUNCTION("""COMPUTED_VALUE"""),4419.96)</f>
        <v/>
      </c>
    </row>
    <row r="8675">
      <c r="J8675">
        <f>IFERROR(__xludf.DUMMYFUNCTION("""COMPUTED_VALUE"""),"Kinsgston, Jamaica Washington, DC")</f>
        <v/>
      </c>
      <c r="K8675">
        <f>IFERROR(__xludf.DUMMYFUNCTION("""COMPUTED_VALUE"""),4419.54)</f>
        <v/>
      </c>
    </row>
    <row r="8676">
      <c r="J8676">
        <f>IFERROR(__xludf.DUMMYFUNCTION("""COMPUTED_VALUE"""),"Edmonton/Vancouver")</f>
        <v/>
      </c>
      <c r="K8676">
        <f>IFERROR(__xludf.DUMMYFUNCTION("""COMPUTED_VALUE"""),4419.21)</f>
        <v/>
      </c>
    </row>
    <row r="8677">
      <c r="J8677">
        <f>IFERROR(__xludf.DUMMYFUNCTION("""COMPUTED_VALUE"""),"Calgary, ON")</f>
        <v/>
      </c>
      <c r="K8677">
        <f>IFERROR(__xludf.DUMMYFUNCTION("""COMPUTED_VALUE"""),4417.8)</f>
        <v/>
      </c>
    </row>
    <row r="8678">
      <c r="J8678">
        <f>IFERROR(__xludf.DUMMYFUNCTION("""COMPUTED_VALUE"""),"HALIFAX, NS - OTTAWA, ON")</f>
        <v/>
      </c>
      <c r="K8678">
        <f>IFERROR(__xludf.DUMMYFUNCTION("""COMPUTED_VALUE"""),4417.14)</f>
        <v/>
      </c>
    </row>
    <row r="8679">
      <c r="J8679">
        <f>IFERROR(__xludf.DUMMYFUNCTION("""COMPUTED_VALUE"""),"Honolulu Hawaï")</f>
        <v/>
      </c>
      <c r="K8679">
        <f>IFERROR(__xludf.DUMMYFUNCTION("""COMPUTED_VALUE"""),4415.45)</f>
        <v/>
      </c>
    </row>
    <row r="8680">
      <c r="J8680">
        <f>IFERROR(__xludf.DUMMYFUNCTION("""COMPUTED_VALUE"""),"Edmonton / Yellowknife")</f>
        <v/>
      </c>
      <c r="K8680">
        <f>IFERROR(__xludf.DUMMYFUNCTION("""COMPUTED_VALUE"""),4414.34)</f>
        <v/>
      </c>
    </row>
    <row r="8681">
      <c r="J8681">
        <f>IFERROR(__xludf.DUMMYFUNCTION("""COMPUTED_VALUE"""),"Fredericton, NB Winnipeq, MB")</f>
        <v/>
      </c>
      <c r="K8681">
        <f>IFERROR(__xludf.DUMMYFUNCTION("""COMPUTED_VALUE"""),4413.87)</f>
        <v/>
      </c>
    </row>
    <row r="8682">
      <c r="J8682">
        <f>IFERROR(__xludf.DUMMYFUNCTION("""COMPUTED_VALUE"""),"Cuba / Jamaica")</f>
        <v/>
      </c>
      <c r="K8682">
        <f>IFERROR(__xludf.DUMMYFUNCTION("""COMPUTED_VALUE"""),4412.96)</f>
        <v/>
      </c>
    </row>
    <row r="8683">
      <c r="J8683">
        <f>IFERROR(__xludf.DUMMYFUNCTION("""COMPUTED_VALUE"""),"Reykjavik, Iceland/ Bonn, Germany")</f>
        <v/>
      </c>
      <c r="K8683">
        <f>IFERROR(__xludf.DUMMYFUNCTION("""COMPUTED_VALUE"""),4412.59)</f>
        <v/>
      </c>
    </row>
    <row r="8684">
      <c r="J8684">
        <f>IFERROR(__xludf.DUMMYFUNCTION("""COMPUTED_VALUE"""),"Boston, MA Washington DC")</f>
        <v/>
      </c>
      <c r="K8684">
        <f>IFERROR(__xludf.DUMMYFUNCTION("""COMPUTED_VALUE"""),4412.46)</f>
        <v/>
      </c>
    </row>
    <row r="8685">
      <c r="J8685">
        <f>IFERROR(__xludf.DUMMYFUNCTION("""COMPUTED_VALUE"""),"St. John's NL")</f>
        <v/>
      </c>
      <c r="K8685">
        <f>IFERROR(__xludf.DUMMYFUNCTION("""COMPUTED_VALUE"""),4412.1)</f>
        <v/>
      </c>
    </row>
    <row r="8686">
      <c r="J8686">
        <f>IFERROR(__xludf.DUMMYFUNCTION("""COMPUTED_VALUE"""),"Houston, Texas and Orlando, Florida, United States")</f>
        <v/>
      </c>
      <c r="K8686">
        <f>IFERROR(__xludf.DUMMYFUNCTION("""COMPUTED_VALUE"""),4411.53)</f>
        <v/>
      </c>
    </row>
    <row r="8687">
      <c r="J8687">
        <f>IFERROR(__xludf.DUMMYFUNCTION("""COMPUTED_VALUE"""),"Toronto, Ontario, Montreal, Quebec, Cromer and Winnipeg,  Manitoba, Kitimat and Vancouver , British Columbia")</f>
        <v/>
      </c>
      <c r="K8687">
        <f>IFERROR(__xludf.DUMMYFUNCTION("""COMPUTED_VALUE"""),4408.98)</f>
        <v/>
      </c>
    </row>
    <row r="8688">
      <c r="J8688">
        <f>IFERROR(__xludf.DUMMYFUNCTION("""COMPUTED_VALUE"""),"Calgary, Albert, Canada")</f>
        <v/>
      </c>
      <c r="K8688">
        <f>IFERROR(__xludf.DUMMYFUNCTION("""COMPUTED_VALUE"""),4408.4)</f>
        <v/>
      </c>
    </row>
    <row r="8689">
      <c r="J8689">
        <f>IFERROR(__xludf.DUMMYFUNCTION("""COMPUTED_VALUE"""),"Bagotville, Canada")</f>
        <v/>
      </c>
      <c r="K8689">
        <f>IFERROR(__xludf.DUMMYFUNCTION("""COMPUTED_VALUE"""),4407.6)</f>
        <v/>
      </c>
    </row>
    <row r="8690">
      <c r="J8690">
        <f>IFERROR(__xludf.DUMMYFUNCTION("""COMPUTED_VALUE"""),"St. John’s, Newfoundland, Canada")</f>
        <v/>
      </c>
      <c r="K8690">
        <f>IFERROR(__xludf.DUMMYFUNCTION("""COMPUTED_VALUE"""),4406.46999999999)</f>
        <v/>
      </c>
    </row>
    <row r="8691">
      <c r="J8691">
        <f>IFERROR(__xludf.DUMMYFUNCTION("""COMPUTED_VALUE"""),"Langley AFB, Hampton (Virginia) United States")</f>
        <v/>
      </c>
      <c r="K8691">
        <f>IFERROR(__xludf.DUMMYFUNCTION("""COMPUTED_VALUE"""),4406.12)</f>
        <v/>
      </c>
    </row>
    <row r="8692">
      <c r="J8692">
        <f>IFERROR(__xludf.DUMMYFUNCTION("""COMPUTED_VALUE"""),"Revelstoke, Canada")</f>
        <v/>
      </c>
      <c r="K8692">
        <f>IFERROR(__xludf.DUMMYFUNCTION("""COMPUTED_VALUE"""),4405.84)</f>
        <v/>
      </c>
    </row>
    <row r="8693">
      <c r="J8693">
        <f>IFERROR(__xludf.DUMMYFUNCTION("""COMPUTED_VALUE"""),"Paris, France / London, United Kingdom")</f>
        <v/>
      </c>
      <c r="K8693">
        <f>IFERROR(__xludf.DUMMYFUNCTION("""COMPUTED_VALUE"""),4403.53)</f>
        <v/>
      </c>
    </row>
    <row r="8694">
      <c r="J8694">
        <f>IFERROR(__xludf.DUMMYFUNCTION("""COMPUTED_VALUE"""),"Whitehorse, Yukon Territory and Vancouver, British Columbia")</f>
        <v/>
      </c>
      <c r="K8694">
        <f>IFERROR(__xludf.DUMMYFUNCTION("""COMPUTED_VALUE"""),4402.64)</f>
        <v/>
      </c>
    </row>
    <row r="8695">
      <c r="J8695">
        <f>IFERROR(__xludf.DUMMYFUNCTION("""COMPUTED_VALUE"""),"Victoria BC")</f>
        <v/>
      </c>
      <c r="K8695">
        <f>IFERROR(__xludf.DUMMYFUNCTION("""COMPUTED_VALUE"""),4401.71)</f>
        <v/>
      </c>
    </row>
    <row r="8696">
      <c r="J8696">
        <f>IFERROR(__xludf.DUMMYFUNCTION("""COMPUTED_VALUE"""),"Nanaimo, British-Columbia, Canada and
Toronto, Ontario, Canada")</f>
        <v/>
      </c>
      <c r="K8696">
        <f>IFERROR(__xludf.DUMMYFUNCTION("""COMPUTED_VALUE"""),4401.21)</f>
        <v/>
      </c>
    </row>
    <row r="8697">
      <c r="J8697">
        <f>IFERROR(__xludf.DUMMYFUNCTION("""COMPUTED_VALUE"""),"Sherbrooke, Quebec , Canada")</f>
        <v/>
      </c>
      <c r="K8697">
        <f>IFERROR(__xludf.DUMMYFUNCTION("""COMPUTED_VALUE"""),4400.86)</f>
        <v/>
      </c>
    </row>
    <row r="8698">
      <c r="J8698">
        <f>IFERROR(__xludf.DUMMYFUNCTION("""COMPUTED_VALUE"""),"Vancouver-Winnipeg")</f>
        <v/>
      </c>
      <c r="K8698">
        <f>IFERROR(__xludf.DUMMYFUNCTION("""COMPUTED_VALUE"""),4400.17)</f>
        <v/>
      </c>
    </row>
    <row r="8699">
      <c r="J8699">
        <f>IFERROR(__xludf.DUMMYFUNCTION("""COMPUTED_VALUE"""),"Banff, (Alberta)
Winnipeg, (Manitoba)
Toronto, (Ontario)")</f>
        <v/>
      </c>
      <c r="K8699">
        <f>IFERROR(__xludf.DUMMYFUNCTION("""COMPUTED_VALUE"""),4399.3)</f>
        <v/>
      </c>
    </row>
    <row r="8700">
      <c r="J8700">
        <f>IFERROR(__xludf.DUMMYFUNCTION("""COMPUTED_VALUE"""),"Fredericton, New Brunswick, Canada; Moncton, New Brunswick, Canada; Charlottetown, Prince Edward Island, Canada")</f>
        <v/>
      </c>
      <c r="K8700">
        <f>IFERROR(__xludf.DUMMYFUNCTION("""COMPUTED_VALUE"""),4398.30999999999)</f>
        <v/>
      </c>
    </row>
    <row r="8701">
      <c r="J8701">
        <f>IFERROR(__xludf.DUMMYFUNCTION("""COMPUTED_VALUE"""),"Abbotsford, BC; Vancouver, BC")</f>
        <v/>
      </c>
      <c r="K8701">
        <f>IFERROR(__xludf.DUMMYFUNCTION("""COMPUTED_VALUE"""),4397.94)</f>
        <v/>
      </c>
    </row>
    <row r="8702">
      <c r="J8702">
        <f>IFERROR(__xludf.DUMMYFUNCTION("""COMPUTED_VALUE"""),"Toronto, Ontario, Canada; San Antonio, Texas, United States")</f>
        <v/>
      </c>
      <c r="K8702">
        <f>IFERROR(__xludf.DUMMYFUNCTION("""COMPUTED_VALUE"""),4397.04)</f>
        <v/>
      </c>
    </row>
    <row r="8703">
      <c r="J8703">
        <f>IFERROR(__xludf.DUMMYFUNCTION("""COMPUTED_VALUE"""),"Lake Louise, Alberta, Canada                                                            Jasper, Alberta, Canada                                             Calgary, Alberta, Canada                                            Edmonton, Alberta, Canada")</f>
        <v/>
      </c>
      <c r="K8703">
        <f>IFERROR(__xludf.DUMMYFUNCTION("""COMPUTED_VALUE"""),4396.91)</f>
        <v/>
      </c>
    </row>
    <row r="8704">
      <c r="J8704">
        <f>IFERROR(__xludf.DUMMYFUNCTION("""COMPUTED_VALUE"""),"London (Ontario) Canada; Guelph (Ontario) Canada")</f>
        <v/>
      </c>
      <c r="K8704">
        <f>IFERROR(__xludf.DUMMYFUNCTION("""COMPUTED_VALUE"""),4396.74)</f>
        <v/>
      </c>
    </row>
    <row r="8705">
      <c r="J8705">
        <f>IFERROR(__xludf.DUMMYFUNCTION("""COMPUTED_VALUE"""),"Ottawa, Ontario, Canada; Iqualuit, Nunavut, Canada")</f>
        <v/>
      </c>
      <c r="K8705">
        <f>IFERROR(__xludf.DUMMYFUNCTION("""COMPUTED_VALUE"""),4396.3)</f>
        <v/>
      </c>
    </row>
    <row r="8706">
      <c r="J8706">
        <f>IFERROR(__xludf.DUMMYFUNCTION("""COMPUTED_VALUE"""),"Sao Paulo, Brasilia and Rio de Janiero")</f>
        <v/>
      </c>
      <c r="K8706">
        <f>IFERROR(__xludf.DUMMYFUNCTION("""COMPUTED_VALUE"""),4394.74)</f>
        <v/>
      </c>
    </row>
    <row r="8707">
      <c r="J8707">
        <f>IFERROR(__xludf.DUMMYFUNCTION("""COMPUTED_VALUE"""),"St.John's, NF, Canada")</f>
        <v/>
      </c>
      <c r="K8707">
        <f>IFERROR(__xludf.DUMMYFUNCTION("""COMPUTED_VALUE"""),4394.43)</f>
        <v/>
      </c>
    </row>
    <row r="8708">
      <c r="J8708">
        <f>IFERROR(__xludf.DUMMYFUNCTION("""COMPUTED_VALUE"""),"Springfield, Virginia")</f>
        <v/>
      </c>
      <c r="K8708">
        <f>IFERROR(__xludf.DUMMYFUNCTION("""COMPUTED_VALUE"""),4393.72)</f>
        <v/>
      </c>
    </row>
    <row r="8709">
      <c r="J8709">
        <f>IFERROR(__xludf.DUMMYFUNCTION("""COMPUTED_VALUE"""),"Montreal, Toronto and London")</f>
        <v/>
      </c>
      <c r="K8709">
        <f>IFERROR(__xludf.DUMMYFUNCTION("""COMPUTED_VALUE"""),4392.84)</f>
        <v/>
      </c>
    </row>
    <row r="8710">
      <c r="J8710">
        <f>IFERROR(__xludf.DUMMYFUNCTION("""COMPUTED_VALUE"""),"Penticton, BC &amp; Courtenay, BC")</f>
        <v/>
      </c>
      <c r="K8710">
        <f>IFERROR(__xludf.DUMMYFUNCTION("""COMPUTED_VALUE"""),4391.47)</f>
        <v/>
      </c>
    </row>
    <row r="8711">
      <c r="J8711">
        <f>IFERROR(__xludf.DUMMYFUNCTION("""COMPUTED_VALUE"""),"London and Cambridge, United Kingdom")</f>
        <v/>
      </c>
      <c r="K8711">
        <f>IFERROR(__xludf.DUMMYFUNCTION("""COMPUTED_VALUE"""),4391.33)</f>
        <v/>
      </c>
    </row>
    <row r="8712">
      <c r="J8712">
        <f>IFERROR(__xludf.DUMMYFUNCTION("""COMPUTED_VALUE"""),"Halifax/London/Ottawa")</f>
        <v/>
      </c>
      <c r="K8712">
        <f>IFERROR(__xludf.DUMMYFUNCTION("""COMPUTED_VALUE"""),4390.39)</f>
        <v/>
      </c>
    </row>
    <row r="8713">
      <c r="J8713">
        <f>IFERROR(__xludf.DUMMYFUNCTION("""COMPUTED_VALUE"""),"Calgary, AB, Canada/Vancouver, BC, Canada")</f>
        <v/>
      </c>
      <c r="K8713">
        <f>IFERROR(__xludf.DUMMYFUNCTION("""COMPUTED_VALUE"""),4388.77)</f>
        <v/>
      </c>
    </row>
    <row r="8714">
      <c r="J8714">
        <f>IFERROR(__xludf.DUMMYFUNCTION("""COMPUTED_VALUE"""),"Iqaluit, Nunavut and Toronto, Ontario")</f>
        <v/>
      </c>
      <c r="K8714">
        <f>IFERROR(__xludf.DUMMYFUNCTION("""COMPUTED_VALUE"""),4388.44)</f>
        <v/>
      </c>
    </row>
    <row r="8715">
      <c r="J8715">
        <f>IFERROR(__xludf.DUMMYFUNCTION("""COMPUTED_VALUE"""),"Fredericton, New Brunswick and Halifax, Nova Scotia")</f>
        <v/>
      </c>
      <c r="K8715">
        <f>IFERROR(__xludf.DUMMYFUNCTION("""COMPUTED_VALUE"""),4388.25)</f>
        <v/>
      </c>
    </row>
    <row r="8716">
      <c r="J8716">
        <f>IFERROR(__xludf.DUMMYFUNCTION("""COMPUTED_VALUE"""),"CALGARY, AB &amp; SASKATOON, SK")</f>
        <v/>
      </c>
      <c r="K8716">
        <f>IFERROR(__xludf.DUMMYFUNCTION("""COMPUTED_VALUE"""),4387.7)</f>
        <v/>
      </c>
    </row>
    <row r="8717">
      <c r="J8717">
        <f>IFERROR(__xludf.DUMMYFUNCTION("""COMPUTED_VALUE"""),"Yellowknife, Hay River and Inuvik, Northwest Territories")</f>
        <v/>
      </c>
      <c r="K8717">
        <f>IFERROR(__xludf.DUMMYFUNCTION("""COMPUTED_VALUE"""),4386.95)</f>
        <v/>
      </c>
    </row>
    <row r="8718">
      <c r="J8718">
        <f>IFERROR(__xludf.DUMMYFUNCTION("""COMPUTED_VALUE"""),"Lima, Peru Bogota, Colombia")</f>
        <v/>
      </c>
      <c r="K8718">
        <f>IFERROR(__xludf.DUMMYFUNCTION("""COMPUTED_VALUE"""),4385.82)</f>
        <v/>
      </c>
    </row>
    <row r="8719">
      <c r="J8719">
        <f>IFERROR(__xludf.DUMMYFUNCTION("""COMPUTED_VALUE"""),"St. Pierre and Miquelon, France")</f>
        <v/>
      </c>
      <c r="K8719">
        <f>IFERROR(__xludf.DUMMYFUNCTION("""COMPUTED_VALUE"""),4383.92)</f>
        <v/>
      </c>
    </row>
    <row r="8720">
      <c r="J8720">
        <f>IFERROR(__xludf.DUMMYFUNCTION("""COMPUTED_VALUE"""),"New Haven, Connecticut, USA")</f>
        <v/>
      </c>
      <c r="K8720">
        <f>IFERROR(__xludf.DUMMYFUNCTION("""COMPUTED_VALUE"""),4383.23)</f>
        <v/>
      </c>
    </row>
    <row r="8721">
      <c r="J8721">
        <f>IFERROR(__xludf.DUMMYFUNCTION("""COMPUTED_VALUE"""),"Military Installations in NE, SD, IL, MO, TX, KY, TN")</f>
        <v/>
      </c>
      <c r="K8721">
        <f>IFERROR(__xludf.DUMMYFUNCTION("""COMPUTED_VALUE"""),4383.05)</f>
        <v/>
      </c>
    </row>
    <row r="8722">
      <c r="J8722">
        <f>IFERROR(__xludf.DUMMYFUNCTION("""COMPUTED_VALUE"""),"Washington, The United States")</f>
        <v/>
      </c>
      <c r="K8722">
        <f>IFERROR(__xludf.DUMMYFUNCTION("""COMPUTED_VALUE"""),4381.18)</f>
        <v/>
      </c>
    </row>
    <row r="8723">
      <c r="J8723">
        <f>IFERROR(__xludf.DUMMYFUNCTION("""COMPUTED_VALUE"""),"Moncton, NB / Enfield, NS")</f>
        <v/>
      </c>
      <c r="K8723">
        <f>IFERROR(__xludf.DUMMYFUNCTION("""COMPUTED_VALUE"""),4380.79)</f>
        <v/>
      </c>
    </row>
    <row r="8724">
      <c r="J8724">
        <f>IFERROR(__xludf.DUMMYFUNCTION("""COMPUTED_VALUE"""),"Frobisher Bay, Iqaluit, Canada")</f>
        <v/>
      </c>
      <c r="K8724">
        <f>IFERROR(__xludf.DUMMYFUNCTION("""COMPUTED_VALUE"""),4380.77)</f>
        <v/>
      </c>
    </row>
    <row r="8725">
      <c r="J8725">
        <f>IFERROR(__xludf.DUMMYFUNCTION("""COMPUTED_VALUE"""),"Fort Saint John, BC")</f>
        <v/>
      </c>
      <c r="K8725">
        <f>IFERROR(__xludf.DUMMYFUNCTION("""COMPUTED_VALUE"""),4380.35)</f>
        <v/>
      </c>
    </row>
    <row r="8726">
      <c r="J8726">
        <f>IFERROR(__xludf.DUMMYFUNCTION("""COMPUTED_VALUE"""),"COPENHAGEN, Denmark")</f>
        <v/>
      </c>
      <c r="K8726">
        <f>IFERROR(__xludf.DUMMYFUNCTION("""COMPUTED_VALUE"""),4379.16)</f>
        <v/>
      </c>
    </row>
    <row r="8727">
      <c r="J8727">
        <f>IFERROR(__xludf.DUMMYFUNCTION("""COMPUTED_VALUE"""),"Waterloo, ON; Windsor, ON; Detroit, MI")</f>
        <v/>
      </c>
      <c r="K8727">
        <f>IFERROR(__xludf.DUMMYFUNCTION("""COMPUTED_VALUE"""),4378.4)</f>
        <v/>
      </c>
    </row>
    <row r="8728">
      <c r="J8728">
        <f>IFERROR(__xludf.DUMMYFUNCTION("""COMPUTED_VALUE"""),"London, Newcastle, Aberdeen, United Kingdom")</f>
        <v/>
      </c>
      <c r="K8728">
        <f>IFERROR(__xludf.DUMMYFUNCTION("""COMPUTED_VALUE"""),4378.32)</f>
        <v/>
      </c>
    </row>
    <row r="8729">
      <c r="J8729">
        <f>IFERROR(__xludf.DUMMYFUNCTION("""COMPUTED_VALUE"""),"Toronto, Ottawa, London (Ontario) Canada")</f>
        <v/>
      </c>
      <c r="K8729">
        <f>IFERROR(__xludf.DUMMYFUNCTION("""COMPUTED_VALUE"""),4377.04)</f>
        <v/>
      </c>
    </row>
    <row r="8730">
      <c r="J8730">
        <f>IFERROR(__xludf.DUMMYFUNCTION("""COMPUTED_VALUE"""),"Goose Bay &amp; St-John's, Newfoudland")</f>
        <v/>
      </c>
      <c r="K8730">
        <f>IFERROR(__xludf.DUMMYFUNCTION("""COMPUTED_VALUE"""),4376.08)</f>
        <v/>
      </c>
    </row>
    <row r="8731">
      <c r="J8731">
        <f>IFERROR(__xludf.DUMMYFUNCTION("""COMPUTED_VALUE"""),"Miramichi, New Brunswick, Canada; Nanaimo, British Columbia, Canada")</f>
        <v/>
      </c>
      <c r="K8731">
        <f>IFERROR(__xludf.DUMMYFUNCTION("""COMPUTED_VALUE"""),4375.77)</f>
        <v/>
      </c>
    </row>
    <row r="8732">
      <c r="J8732">
        <f>IFERROR(__xludf.DUMMYFUNCTION("""COMPUTED_VALUE"""),"Malta, Malta")</f>
        <v/>
      </c>
      <c r="K8732">
        <f>IFERROR(__xludf.DUMMYFUNCTION("""COMPUTED_VALUE"""),4375.45)</f>
        <v/>
      </c>
    </row>
    <row r="8733">
      <c r="J8733">
        <f>IFERROR(__xludf.DUMMYFUNCTION("""COMPUTED_VALUE"""),"Yellowknife, North West Territory, Canada")</f>
        <v/>
      </c>
      <c r="K8733">
        <f>IFERROR(__xludf.DUMMYFUNCTION("""COMPUTED_VALUE"""),4374.66)</f>
        <v/>
      </c>
    </row>
    <row r="8734">
      <c r="J8734">
        <f>IFERROR(__xludf.DUMMYFUNCTION("""COMPUTED_VALUE"""),"Brampton, Ontario; Mississauga, Ontario; Toronto, Ontario, Canada")</f>
        <v/>
      </c>
      <c r="K8734">
        <f>IFERROR(__xludf.DUMMYFUNCTION("""COMPUTED_VALUE"""),4374.46999999999)</f>
        <v/>
      </c>
    </row>
    <row r="8735">
      <c r="J8735">
        <f>IFERROR(__xludf.DUMMYFUNCTION("""COMPUTED_VALUE"""),"Kona, Hawaii, USA")</f>
        <v/>
      </c>
      <c r="K8735">
        <f>IFERROR(__xludf.DUMMYFUNCTION("""COMPUTED_VALUE"""),4372.66)</f>
        <v/>
      </c>
    </row>
    <row r="8736">
      <c r="J8736">
        <f>IFERROR(__xludf.DUMMYFUNCTION("""COMPUTED_VALUE"""),"Niagara, Ontario")</f>
        <v/>
      </c>
      <c r="K8736">
        <f>IFERROR(__xludf.DUMMYFUNCTION("""COMPUTED_VALUE"""),4372.16)</f>
        <v/>
      </c>
    </row>
    <row r="8737">
      <c r="J8737">
        <f>IFERROR(__xludf.DUMMYFUNCTION("""COMPUTED_VALUE"""),"Gaspésie")</f>
        <v/>
      </c>
      <c r="K8737">
        <f>IFERROR(__xludf.DUMMYFUNCTION("""COMPUTED_VALUE"""),4370.95)</f>
        <v/>
      </c>
    </row>
    <row r="8738">
      <c r="J8738">
        <f>IFERROR(__xludf.DUMMYFUNCTION("""COMPUTED_VALUE"""),"Rome
(Italy)")</f>
        <v/>
      </c>
      <c r="K8738">
        <f>IFERROR(__xludf.DUMMYFUNCTION("""COMPUTED_VALUE"""),4369.44)</f>
        <v/>
      </c>
    </row>
    <row r="8739">
      <c r="J8739">
        <f>IFERROR(__xludf.DUMMYFUNCTION("""COMPUTED_VALUE"""),"Windsor and Toronto, Ontario; Edmonton, Alberta")</f>
        <v/>
      </c>
      <c r="K8739">
        <f>IFERROR(__xludf.DUMMYFUNCTION("""COMPUTED_VALUE"""),4369.05)</f>
        <v/>
      </c>
    </row>
    <row r="8740">
      <c r="J8740">
        <f>IFERROR(__xludf.DUMMYFUNCTION("""COMPUTED_VALUE"""),"Vancouver, British-Colombia,Canada
San Francisco, California, United States of America
Alameda, California, United States of America")</f>
        <v/>
      </c>
      <c r="K8740">
        <f>IFERROR(__xludf.DUMMYFUNCTION("""COMPUTED_VALUE"""),4368.77)</f>
        <v/>
      </c>
    </row>
    <row r="8741">
      <c r="J8741">
        <f>IFERROR(__xludf.DUMMYFUNCTION("""COMPUTED_VALUE"""),"Halifax, NS / Fredericton, NB / Moncton, NB / Charlottetown, PEI")</f>
        <v/>
      </c>
      <c r="K8741">
        <f>IFERROR(__xludf.DUMMYFUNCTION("""COMPUTED_VALUE"""),4368.23)</f>
        <v/>
      </c>
    </row>
    <row r="8742">
      <c r="J8742">
        <f>IFERROR(__xludf.DUMMYFUNCTION("""COMPUTED_VALUE"""),"Quebec, Québec / Toronto, Ontario")</f>
        <v/>
      </c>
      <c r="K8742">
        <f>IFERROR(__xludf.DUMMYFUNCTION("""COMPUTED_VALUE"""),4365.75)</f>
        <v/>
      </c>
    </row>
    <row r="8743">
      <c r="J8743">
        <f>IFERROR(__xludf.DUMMYFUNCTION("""COMPUTED_VALUE"""),"Lacombe, Alberta")</f>
        <v/>
      </c>
      <c r="K8743">
        <f>IFERROR(__xludf.DUMMYFUNCTION("""COMPUTED_VALUE"""),4364.78)</f>
        <v/>
      </c>
    </row>
    <row r="8744">
      <c r="J8744">
        <f>IFERROR(__xludf.DUMMYFUNCTION("""COMPUTED_VALUE"""),"Washington (USA)")</f>
        <v/>
      </c>
      <c r="K8744">
        <f>IFERROR(__xludf.DUMMYFUNCTION("""COMPUTED_VALUE"""),4363.86)</f>
        <v/>
      </c>
    </row>
    <row r="8745">
      <c r="J8745">
        <f>IFERROR(__xludf.DUMMYFUNCTION("""COMPUTED_VALUE"""),"Ottawa, Ontario Gatineau, Quebec, Canada")</f>
        <v/>
      </c>
      <c r="K8745">
        <f>IFERROR(__xludf.DUMMYFUNCTION("""COMPUTED_VALUE"""),4363.82)</f>
        <v/>
      </c>
    </row>
    <row r="8746">
      <c r="J8746">
        <f>IFERROR(__xludf.DUMMYFUNCTION("""COMPUTED_VALUE"""),"Penticton and Victoria, BC")</f>
        <v/>
      </c>
      <c r="K8746">
        <f>IFERROR(__xludf.DUMMYFUNCTION("""COMPUTED_VALUE"""),4363.45)</f>
        <v/>
      </c>
    </row>
    <row r="8747">
      <c r="J8747">
        <f>IFERROR(__xludf.DUMMYFUNCTION("""COMPUTED_VALUE"""),"Ottawa, ON - Halifax, NS / Halifax, NS - Ottawa, ON")</f>
        <v/>
      </c>
      <c r="K8747">
        <f>IFERROR(__xludf.DUMMYFUNCTION("""COMPUTED_VALUE"""),4363.32)</f>
        <v/>
      </c>
    </row>
    <row r="8748">
      <c r="J8748">
        <f>IFERROR(__xludf.DUMMYFUNCTION("""COMPUTED_VALUE"""),"Deerhurst, Ontario, Canada")</f>
        <v/>
      </c>
      <c r="K8748">
        <f>IFERROR(__xludf.DUMMYFUNCTION("""COMPUTED_VALUE"""),4363.1)</f>
        <v/>
      </c>
    </row>
    <row r="8749">
      <c r="J8749">
        <f>IFERROR(__xludf.DUMMYFUNCTION("""COMPUTED_VALUE"""),"Toronto, Ontario, Canada; Hamilton, Ontario, Canada; Sydney, Nova Scotia, Canada")</f>
        <v/>
      </c>
      <c r="K8749">
        <f>IFERROR(__xludf.DUMMYFUNCTION("""COMPUTED_VALUE"""),4362.11)</f>
        <v/>
      </c>
    </row>
    <row r="8750">
      <c r="J8750">
        <f>IFERROR(__xludf.DUMMYFUNCTION("""COMPUTED_VALUE"""),"Mexico City and Washington DC")</f>
        <v/>
      </c>
      <c r="K8750">
        <f>IFERROR(__xludf.DUMMYFUNCTION("""COMPUTED_VALUE"""),4360.99)</f>
        <v/>
      </c>
    </row>
    <row r="8751">
      <c r="J8751">
        <f>IFERROR(__xludf.DUMMYFUNCTION("""COMPUTED_VALUE"""),"Winnipeg, Manitoba; Edmonton, Alberta; Vancouver, British Columbia; Victoria, British Columbia, Canada")</f>
        <v/>
      </c>
      <c r="K8751">
        <f>IFERROR(__xludf.DUMMYFUNCTION("""COMPUTED_VALUE"""),4360.64)</f>
        <v/>
      </c>
    </row>
    <row r="8752">
      <c r="J8752">
        <f>IFERROR(__xludf.DUMMYFUNCTION("""COMPUTED_VALUE"""),"Fredericton / Pabok / Rimouski / Gatineau")</f>
        <v/>
      </c>
      <c r="K8752">
        <f>IFERROR(__xludf.DUMMYFUNCTION("""COMPUTED_VALUE"""),4360.25)</f>
        <v/>
      </c>
    </row>
    <row r="8753">
      <c r="J8753">
        <f>IFERROR(__xludf.DUMMYFUNCTION("""COMPUTED_VALUE"""),"Lulea, Sweden")</f>
        <v/>
      </c>
      <c r="K8753">
        <f>IFERROR(__xludf.DUMMYFUNCTION("""COMPUTED_VALUE"""),4358.55)</f>
        <v/>
      </c>
    </row>
    <row r="8754">
      <c r="J8754">
        <f>IFERROR(__xludf.DUMMYFUNCTION("""COMPUTED_VALUE"""),"Alberta, Saskatchewan and Manitoba")</f>
        <v/>
      </c>
      <c r="K8754">
        <f>IFERROR(__xludf.DUMMYFUNCTION("""COMPUTED_VALUE"""),4358.53)</f>
        <v/>
      </c>
    </row>
    <row r="8755">
      <c r="J8755">
        <f>IFERROR(__xludf.DUMMYFUNCTION("""COMPUTED_VALUE"""),"Guelph")</f>
        <v/>
      </c>
      <c r="K8755">
        <f>IFERROR(__xludf.DUMMYFUNCTION("""COMPUTED_VALUE"""),4358.13999999999)</f>
        <v/>
      </c>
    </row>
    <row r="8756">
      <c r="J8756">
        <f>IFERROR(__xludf.DUMMYFUNCTION("""COMPUTED_VALUE"""),"Edmonton, Alberta, Canada; Grande Prairie, Alberta, Canada; Calgary, Alberta, Canada")</f>
        <v/>
      </c>
      <c r="K8756">
        <f>IFERROR(__xludf.DUMMYFUNCTION("""COMPUTED_VALUE"""),4356.82)</f>
        <v/>
      </c>
    </row>
    <row r="8757">
      <c r="J8757">
        <f>IFERROR(__xludf.DUMMYFUNCTION("""COMPUTED_VALUE"""),"Santo Domingo, Dominican Republic; Port-au-Prince, Haiti; Cancun, Mexico")</f>
        <v/>
      </c>
      <c r="K8757">
        <f>IFERROR(__xludf.DUMMYFUNCTION("""COMPUTED_VALUE"""),4354.81)</f>
        <v/>
      </c>
    </row>
    <row r="8758">
      <c r="J8758">
        <f>IFERROR(__xludf.DUMMYFUNCTION("""COMPUTED_VALUE"""),"Chicago, IL, USA - Edmonton, AB - Toronto, ON")</f>
        <v/>
      </c>
      <c r="K8758">
        <f>IFERROR(__xludf.DUMMYFUNCTION("""COMPUTED_VALUE"""),4353.96)</f>
        <v/>
      </c>
    </row>
    <row r="8759">
      <c r="J8759">
        <f>IFERROR(__xludf.DUMMYFUNCTION("""COMPUTED_VALUE"""),"Vancouver, British Columbia, Canada;
Toronto, ON, Canada")</f>
        <v/>
      </c>
      <c r="K8759">
        <f>IFERROR(__xludf.DUMMYFUNCTION("""COMPUTED_VALUE"""),4353.78)</f>
        <v/>
      </c>
    </row>
    <row r="8760">
      <c r="J8760">
        <f>IFERROR(__xludf.DUMMYFUNCTION("""COMPUTED_VALUE"""),"Winnipeg, MB, Saskatoon, SK, Edmonton AB, Victoria and Vancouver, BC")</f>
        <v/>
      </c>
      <c r="K8760">
        <f>IFERROR(__xludf.DUMMYFUNCTION("""COMPUTED_VALUE"""),4353.02)</f>
        <v/>
      </c>
    </row>
    <row r="8761">
      <c r="J8761">
        <f>IFERROR(__xludf.DUMMYFUNCTION("""COMPUTED_VALUE"""),"Toronto, Quinte, Ontario, Canada")</f>
        <v/>
      </c>
      <c r="K8761">
        <f>IFERROR(__xludf.DUMMYFUNCTION("""COMPUTED_VALUE"""),4352.11)</f>
        <v/>
      </c>
    </row>
    <row r="8762">
      <c r="J8762">
        <f>IFERROR(__xludf.DUMMYFUNCTION("""COMPUTED_VALUE"""),"Charlottetown, Prince Edward Island (Canada)")</f>
        <v/>
      </c>
      <c r="K8762">
        <f>IFERROR(__xludf.DUMMYFUNCTION("""COMPUTED_VALUE"""),4352.08)</f>
        <v/>
      </c>
    </row>
    <row r="8763">
      <c r="J8763">
        <f>IFERROR(__xludf.DUMMYFUNCTION("""COMPUTED_VALUE"""),"Penticton,Vancouver and Victoria, BC")</f>
        <v/>
      </c>
      <c r="K8763">
        <f>IFERROR(__xludf.DUMMYFUNCTION("""COMPUTED_VALUE"""),4351.37)</f>
        <v/>
      </c>
    </row>
    <row r="8764">
      <c r="J8764">
        <f>IFERROR(__xludf.DUMMYFUNCTION("""COMPUTED_VALUE"""),"Iqualiut, Nunavut, Canada")</f>
        <v/>
      </c>
      <c r="K8764">
        <f>IFERROR(__xludf.DUMMYFUNCTION("""COMPUTED_VALUE"""),4350.65)</f>
        <v/>
      </c>
    </row>
    <row r="8765">
      <c r="J8765">
        <f>IFERROR(__xludf.DUMMYFUNCTION("""COMPUTED_VALUE"""),"Edinburgh, Scotland; Inverness, Scotland")</f>
        <v/>
      </c>
      <c r="K8765">
        <f>IFERROR(__xludf.DUMMYFUNCTION("""COMPUTED_VALUE"""),4350.32)</f>
        <v/>
      </c>
    </row>
    <row r="8766">
      <c r="J8766">
        <f>IFERROR(__xludf.DUMMYFUNCTION("""COMPUTED_VALUE"""),"Vacouver, British Columbia")</f>
        <v/>
      </c>
      <c r="K8766">
        <f>IFERROR(__xludf.DUMMYFUNCTION("""COMPUTED_VALUE"""),4348.80999999999)</f>
        <v/>
      </c>
    </row>
    <row r="8767">
      <c r="J8767">
        <f>IFERROR(__xludf.DUMMYFUNCTION("""COMPUTED_VALUE"""),"Vandenberg, California, United States")</f>
        <v/>
      </c>
      <c r="K8767">
        <f>IFERROR(__xludf.DUMMYFUNCTION("""COMPUTED_VALUE"""),4348.4)</f>
        <v/>
      </c>
    </row>
    <row r="8768">
      <c r="J8768">
        <f>IFERROR(__xludf.DUMMYFUNCTION("""COMPUTED_VALUE"""),"St-John's, Newfoundland &amp; Labrador, Canada")</f>
        <v/>
      </c>
      <c r="K8768">
        <f>IFERROR(__xludf.DUMMYFUNCTION("""COMPUTED_VALUE"""),4345.76)</f>
        <v/>
      </c>
    </row>
    <row r="8769">
      <c r="J8769">
        <f>IFERROR(__xludf.DUMMYFUNCTION("""COMPUTED_VALUE"""),"TAMPA, FLORIDA, US")</f>
        <v/>
      </c>
      <c r="K8769">
        <f>IFERROR(__xludf.DUMMYFUNCTION("""COMPUTED_VALUE"""),4345.17)</f>
        <v/>
      </c>
    </row>
    <row r="8770">
      <c r="J8770">
        <f>IFERROR(__xludf.DUMMYFUNCTION("""COMPUTED_VALUE"""),"Montreal, QC and Halifax, NS")</f>
        <v/>
      </c>
      <c r="K8770">
        <f>IFERROR(__xludf.DUMMYFUNCTION("""COMPUTED_VALUE"""),4343.71)</f>
        <v/>
      </c>
    </row>
    <row r="8771">
      <c r="J8771">
        <f>IFERROR(__xludf.DUMMYFUNCTION("""COMPUTED_VALUE"""),"Toronto, Ontario, Canada; Sudbury, Ontario, Canada; Sault Ste. Marie, Ontario, Canada")</f>
        <v/>
      </c>
      <c r="K8771">
        <f>IFERROR(__xludf.DUMMYFUNCTION("""COMPUTED_VALUE"""),4343.67)</f>
        <v/>
      </c>
    </row>
    <row r="8772">
      <c r="J8772">
        <f>IFERROR(__xludf.DUMMYFUNCTION("""COMPUTED_VALUE"""),"Regina, Saskatchewan
Canada")</f>
        <v/>
      </c>
      <c r="K8772">
        <f>IFERROR(__xludf.DUMMYFUNCTION("""COMPUTED_VALUE"""),4341.13999999999)</f>
        <v/>
      </c>
    </row>
    <row r="8773">
      <c r="J8773">
        <f>IFERROR(__xludf.DUMMYFUNCTION("""COMPUTED_VALUE"""),"Montréal, Quebec, Canada; Kuujjuaq, Quebec, Canada")</f>
        <v/>
      </c>
      <c r="K8773">
        <f>IFERROR(__xludf.DUMMYFUNCTION("""COMPUTED_VALUE"""),4340.86)</f>
        <v/>
      </c>
    </row>
    <row r="8774">
      <c r="J8774">
        <f>IFERROR(__xludf.DUMMYFUNCTION("""COMPUTED_VALUE"""),"New York, US (ICA Fund))")</f>
        <v/>
      </c>
      <c r="K8774">
        <f>IFERROR(__xludf.DUMMYFUNCTION("""COMPUTED_VALUE"""),4340.35)</f>
        <v/>
      </c>
    </row>
    <row r="8775">
      <c r="J8775">
        <f>IFERROR(__xludf.DUMMYFUNCTION("""COMPUTED_VALUE"""),"Malaysia, Brunei, Singapore")</f>
        <v/>
      </c>
      <c r="K8775">
        <f>IFERROR(__xludf.DUMMYFUNCTION("""COMPUTED_VALUE"""),4339.91)</f>
        <v/>
      </c>
    </row>
    <row r="8776">
      <c r="J8776">
        <f>IFERROR(__xludf.DUMMYFUNCTION("""COMPUTED_VALUE"""),"Colorado Springs (Colorado) United States of America")</f>
        <v/>
      </c>
      <c r="K8776">
        <f>IFERROR(__xludf.DUMMYFUNCTION("""COMPUTED_VALUE"""),4338.66)</f>
        <v/>
      </c>
    </row>
    <row r="8777">
      <c r="J8777">
        <f>IFERROR(__xludf.DUMMYFUNCTION("""COMPUTED_VALUE"""),"Québec City, QC - Montreal, QC")</f>
        <v/>
      </c>
      <c r="K8777">
        <f>IFERROR(__xludf.DUMMYFUNCTION("""COMPUTED_VALUE"""),4337.95)</f>
        <v/>
      </c>
    </row>
    <row r="8778">
      <c r="J8778">
        <f>IFERROR(__xludf.DUMMYFUNCTION("""COMPUTED_VALUE"""),"Fort Smith, Canada")</f>
        <v/>
      </c>
      <c r="K8778">
        <f>IFERROR(__xludf.DUMMYFUNCTION("""COMPUTED_VALUE"""),4337.19)</f>
        <v/>
      </c>
    </row>
    <row r="8779">
      <c r="J8779">
        <f>IFERROR(__xludf.DUMMYFUNCTION("""COMPUTED_VALUE"""),"Toronto, ON / Gatineau, QC")</f>
        <v/>
      </c>
      <c r="K8779">
        <f>IFERROR(__xludf.DUMMYFUNCTION("""COMPUTED_VALUE"""),4336.19)</f>
        <v/>
      </c>
    </row>
    <row r="8780">
      <c r="J8780">
        <f>IFERROR(__xludf.DUMMYFUNCTION("""COMPUTED_VALUE"""),"Thunder Bay, Ginoogaming First Nation, Ottawa, Ontario, Canada")</f>
        <v/>
      </c>
      <c r="K8780">
        <f>IFERROR(__xludf.DUMMYFUNCTION("""COMPUTED_VALUE"""),4335.63)</f>
        <v/>
      </c>
    </row>
    <row r="8781">
      <c r="J8781">
        <f>IFERROR(__xludf.DUMMYFUNCTION("""COMPUTED_VALUE"""),"Marystown, NL St.John's, NL Rocky Harbour, NL")</f>
        <v/>
      </c>
      <c r="K8781">
        <f>IFERROR(__xludf.DUMMYFUNCTION("""COMPUTED_VALUE"""),4334.69)</f>
        <v/>
      </c>
    </row>
    <row r="8782">
      <c r="J8782">
        <f>IFERROR(__xludf.DUMMYFUNCTION("""COMPUTED_VALUE"""),"Washington, DC &amp; New York City, New York")</f>
        <v/>
      </c>
      <c r="K8782">
        <f>IFERROR(__xludf.DUMMYFUNCTION("""COMPUTED_VALUE"""),4334.05)</f>
        <v/>
      </c>
    </row>
    <row r="8783">
      <c r="J8783">
        <f>IFERROR(__xludf.DUMMYFUNCTION("""COMPUTED_VALUE"""),"Kelowna, BC, Canada")</f>
        <v/>
      </c>
      <c r="K8783">
        <f>IFERROR(__xludf.DUMMYFUNCTION("""COMPUTED_VALUE"""),4332.84)</f>
        <v/>
      </c>
    </row>
    <row r="8784">
      <c r="J8784">
        <f>IFERROR(__xludf.DUMMYFUNCTION("""COMPUTED_VALUE"""),"Chicoutimi, Quebec")</f>
        <v/>
      </c>
      <c r="K8784">
        <f>IFERROR(__xludf.DUMMYFUNCTION("""COMPUTED_VALUE"""),4331.53)</f>
        <v/>
      </c>
    </row>
    <row r="8785">
      <c r="J8785">
        <f>IFERROR(__xludf.DUMMYFUNCTION("""COMPUTED_VALUE"""),"St. John's, NL Toronto, ON Ottawa, ON")</f>
        <v/>
      </c>
      <c r="K8785">
        <f>IFERROR(__xludf.DUMMYFUNCTION("""COMPUTED_VALUE"""),4330.72)</f>
        <v/>
      </c>
    </row>
    <row r="8786">
      <c r="J8786">
        <f>IFERROR(__xludf.DUMMYFUNCTION("""COMPUTED_VALUE"""),"Toronto, Ontario / Halifax, Nova Scotia, Canada")</f>
        <v/>
      </c>
      <c r="K8786">
        <f>IFERROR(__xludf.DUMMYFUNCTION("""COMPUTED_VALUE"""),4330.58)</f>
        <v/>
      </c>
    </row>
    <row r="8787">
      <c r="J8787">
        <f>IFERROR(__xludf.DUMMYFUNCTION("""COMPUTED_VALUE"""),"New York, NY - Washington DC")</f>
        <v/>
      </c>
      <c r="K8787">
        <f>IFERROR(__xludf.DUMMYFUNCTION("""COMPUTED_VALUE"""),4329.99)</f>
        <v/>
      </c>
    </row>
    <row r="8788">
      <c r="J8788">
        <f>IFERROR(__xludf.DUMMYFUNCTION("""COMPUTED_VALUE"""),"Calgary, Alberta, Canada; Saskatoon, Saskatchewan, Canada")</f>
        <v/>
      </c>
      <c r="K8788">
        <f>IFERROR(__xludf.DUMMYFUNCTION("""COMPUTED_VALUE"""),4329.77)</f>
        <v/>
      </c>
    </row>
    <row r="8789">
      <c r="J8789">
        <f>IFERROR(__xludf.DUMMYFUNCTION("""COMPUTED_VALUE"""),"Iqualuit, NU, CAN")</f>
        <v/>
      </c>
      <c r="K8789">
        <f>IFERROR(__xludf.DUMMYFUNCTION("""COMPUTED_VALUE"""),4329.17)</f>
        <v/>
      </c>
    </row>
    <row r="8790">
      <c r="J8790">
        <f>IFERROR(__xludf.DUMMYFUNCTION("""COMPUTED_VALUE"""),"Phoenix, Arizona, Canada")</f>
        <v/>
      </c>
      <c r="K8790">
        <f>IFERROR(__xludf.DUMMYFUNCTION("""COMPUTED_VALUE"""),4328.93)</f>
        <v/>
      </c>
    </row>
    <row r="8791">
      <c r="J8791">
        <f>IFERROR(__xludf.DUMMYFUNCTION("""COMPUTED_VALUE"""),"VICTORIA, VANCOUVER &amp; KELOWNA, BC")</f>
        <v/>
      </c>
      <c r="K8791">
        <f>IFERROR(__xludf.DUMMYFUNCTION("""COMPUTED_VALUE"""),4328.24)</f>
        <v/>
      </c>
    </row>
    <row r="8792">
      <c r="J8792">
        <f>IFERROR(__xludf.DUMMYFUNCTION("""COMPUTED_VALUE"""),"Paris, Brussels, Belguim")</f>
        <v/>
      </c>
      <c r="K8792">
        <f>IFERROR(__xludf.DUMMYFUNCTION("""COMPUTED_VALUE"""),4328.14)</f>
        <v/>
      </c>
    </row>
    <row r="8793">
      <c r="J8793">
        <f>IFERROR(__xludf.DUMMYFUNCTION("""COMPUTED_VALUE"""),"Parksville, British Columbia, Canada")</f>
        <v/>
      </c>
      <c r="K8793">
        <f>IFERROR(__xludf.DUMMYFUNCTION("""COMPUTED_VALUE"""),4328.07)</f>
        <v/>
      </c>
    </row>
    <row r="8794">
      <c r="J8794">
        <f>IFERROR(__xludf.DUMMYFUNCTION("""COMPUTED_VALUE"""),"Jonquiere, Quebec")</f>
        <v/>
      </c>
      <c r="K8794">
        <f>IFERROR(__xludf.DUMMYFUNCTION("""COMPUTED_VALUE"""),4327.53)</f>
        <v/>
      </c>
    </row>
    <row r="8795">
      <c r="J8795">
        <f>IFERROR(__xludf.DUMMYFUNCTION("""COMPUTED_VALUE"""),"Dorval, Quebec, Canada")</f>
        <v/>
      </c>
      <c r="K8795">
        <f>IFERROR(__xludf.DUMMYFUNCTION("""COMPUTED_VALUE"""),4327.09)</f>
        <v/>
      </c>
    </row>
    <row r="8796">
      <c r="J8796">
        <f>IFERROR(__xludf.DUMMYFUNCTION("""COMPUTED_VALUE"""),"Edmonton &amp; Calgary, Alberta; Victoria &amp; Vancouver, British Columbia")</f>
        <v/>
      </c>
      <c r="K8796">
        <f>IFERROR(__xludf.DUMMYFUNCTION("""COMPUTED_VALUE"""),4327.05)</f>
        <v/>
      </c>
    </row>
    <row r="8797">
      <c r="J8797">
        <f>IFERROR(__xludf.DUMMYFUNCTION("""COMPUTED_VALUE"""),"Santiago, Brasilia and Sao Paulo")</f>
        <v/>
      </c>
      <c r="K8797">
        <f>IFERROR(__xludf.DUMMYFUNCTION("""COMPUTED_VALUE"""),4326.6)</f>
        <v/>
      </c>
    </row>
    <row r="8798">
      <c r="J8798">
        <f>IFERROR(__xludf.DUMMYFUNCTION("""COMPUTED_VALUE"""),"San Francisco Palo Alto")</f>
        <v/>
      </c>
      <c r="K8798">
        <f>IFERROR(__xludf.DUMMYFUNCTION("""COMPUTED_VALUE"""),4325.64)</f>
        <v/>
      </c>
    </row>
    <row r="8799">
      <c r="J8799">
        <f>IFERROR(__xludf.DUMMYFUNCTION("""COMPUTED_VALUE"""),"Iqualuit, NU")</f>
        <v/>
      </c>
      <c r="K8799">
        <f>IFERROR(__xludf.DUMMYFUNCTION("""COMPUTED_VALUE"""),4322.53)</f>
        <v/>
      </c>
    </row>
    <row r="8800">
      <c r="J8800">
        <f>IFERROR(__xludf.DUMMYFUNCTION("""COMPUTED_VALUE"""),"Montreal, Quebec / Ottawa, Ontario, Canada")</f>
        <v/>
      </c>
      <c r="K8800">
        <f>IFERROR(__xludf.DUMMYFUNCTION("""COMPUTED_VALUE"""),4321.46)</f>
        <v/>
      </c>
    </row>
    <row r="8801">
      <c r="J8801">
        <f>IFERROR(__xludf.DUMMYFUNCTION("""COMPUTED_VALUE"""),"Winnipeg, Manitoba, Canada; Truro, Nova Scotia, Canada; Ottawa, Ontario, Canada")</f>
        <v/>
      </c>
      <c r="K8801">
        <f>IFERROR(__xludf.DUMMYFUNCTION("""COMPUTED_VALUE"""),4321.29)</f>
        <v/>
      </c>
    </row>
    <row r="8802">
      <c r="J8802">
        <f>IFERROR(__xludf.DUMMYFUNCTION("""COMPUTED_VALUE"""),"Washington, DC, USA; New York City, New York, USA")</f>
        <v/>
      </c>
      <c r="K8802">
        <f>IFERROR(__xludf.DUMMYFUNCTION("""COMPUTED_VALUE"""),4320.99)</f>
        <v/>
      </c>
    </row>
    <row r="8803">
      <c r="J8803">
        <f>IFERROR(__xludf.DUMMYFUNCTION("""COMPUTED_VALUE"""),"Vancouver, British Columbia, Canada Victoria, British Columbia, Canada")</f>
        <v/>
      </c>
      <c r="K8803">
        <f>IFERROR(__xludf.DUMMYFUNCTION("""COMPUTED_VALUE"""),4320.74)</f>
        <v/>
      </c>
    </row>
    <row r="8804">
      <c r="J8804">
        <f>IFERROR(__xludf.DUMMYFUNCTION("""COMPUTED_VALUE"""),"St-Foy, QC and Winnipeg, MB.")</f>
        <v/>
      </c>
      <c r="K8804">
        <f>IFERROR(__xludf.DUMMYFUNCTION("""COMPUTED_VALUE"""),4320.13)</f>
        <v/>
      </c>
    </row>
    <row r="8805">
      <c r="J8805">
        <f>IFERROR(__xludf.DUMMYFUNCTION("""COMPUTED_VALUE"""),"Pembroke, ON")</f>
        <v/>
      </c>
      <c r="K8805">
        <f>IFERROR(__xludf.DUMMYFUNCTION("""COMPUTED_VALUE"""),4320.12)</f>
        <v/>
      </c>
    </row>
    <row r="8806">
      <c r="J8806">
        <f>IFERROR(__xludf.DUMMYFUNCTION("""COMPUTED_VALUE"""),"Kamloops, Vancouver &amp; Upper Nicola,  British Columbia")</f>
        <v/>
      </c>
      <c r="K8806">
        <f>IFERROR(__xludf.DUMMYFUNCTION("""COMPUTED_VALUE"""),4319.28)</f>
        <v/>
      </c>
    </row>
    <row r="8807">
      <c r="J8807">
        <f>IFERROR(__xludf.DUMMYFUNCTION("""COMPUTED_VALUE"""),"Toronto, Ontario and Winnipeg, Manitoba, Canada")</f>
        <v/>
      </c>
      <c r="K8807">
        <f>IFERROR(__xludf.DUMMYFUNCTION("""COMPUTED_VALUE"""),4318.38999999999)</f>
        <v/>
      </c>
    </row>
    <row r="8808">
      <c r="J8808">
        <f>IFERROR(__xludf.DUMMYFUNCTION("""COMPUTED_VALUE"""),"Toronto, Ontario, Canada; Halifax, Nova Scotia Canada")</f>
        <v/>
      </c>
      <c r="K8808">
        <f>IFERROR(__xludf.DUMMYFUNCTION("""COMPUTED_VALUE"""),4317.67)</f>
        <v/>
      </c>
    </row>
    <row r="8809">
      <c r="J8809">
        <f>IFERROR(__xludf.DUMMYFUNCTION("""COMPUTED_VALUE"""),"Calgary, Alberta, Toronto, Ontario, Canada")</f>
        <v/>
      </c>
      <c r="K8809">
        <f>IFERROR(__xludf.DUMMYFUNCTION("""COMPUTED_VALUE"""),4317.33)</f>
        <v/>
      </c>
    </row>
    <row r="8810">
      <c r="J8810">
        <f>IFERROR(__xludf.DUMMYFUNCTION("""COMPUTED_VALUE"""),"Goose Bay and Gander, NL")</f>
        <v/>
      </c>
      <c r="K8810">
        <f>IFERROR(__xludf.DUMMYFUNCTION("""COMPUTED_VALUE"""),4317.08)</f>
        <v/>
      </c>
    </row>
    <row r="8811">
      <c r="J8811">
        <f>IFERROR(__xludf.DUMMYFUNCTION("""COMPUTED_VALUE"""),"Vancouver and Victoria, British Columbia / Winnipeg, Manitoba")</f>
        <v/>
      </c>
      <c r="K8811">
        <f>IFERROR(__xludf.DUMMYFUNCTION("""COMPUTED_VALUE"""),4316.64)</f>
        <v/>
      </c>
    </row>
    <row r="8812">
      <c r="J8812">
        <f>IFERROR(__xludf.DUMMYFUNCTION("""COMPUTED_VALUE"""),"Victoria, BC;
Comox, BC;
Honolulu, Hawaii, USA")</f>
        <v/>
      </c>
      <c r="K8812">
        <f>IFERROR(__xludf.DUMMYFUNCTION("""COMPUTED_VALUE"""),4315.8)</f>
        <v/>
      </c>
    </row>
    <row r="8813">
      <c r="J8813">
        <f>IFERROR(__xludf.DUMMYFUNCTION("""COMPUTED_VALUE"""),"Vancouver, British Columbia, Canada
Calgary, Alberta, Canada
Prince Rupert, British Columbia, Canada
Winnipeg, Manitoba, Canada")</f>
        <v/>
      </c>
      <c r="K8813">
        <f>IFERROR(__xludf.DUMMYFUNCTION("""COMPUTED_VALUE"""),4314.78)</f>
        <v/>
      </c>
    </row>
    <row r="8814">
      <c r="J8814">
        <f>IFERROR(__xludf.DUMMYFUNCTION("""COMPUTED_VALUE"""),"Hatfield, United Kingdom; Ottawa, Ontario, Canada")</f>
        <v/>
      </c>
      <c r="K8814">
        <f>IFERROR(__xludf.DUMMYFUNCTION("""COMPUTED_VALUE"""),4314.6)</f>
        <v/>
      </c>
    </row>
    <row r="8815">
      <c r="J8815">
        <f>IFERROR(__xludf.DUMMYFUNCTION("""COMPUTED_VALUE"""),"Wolfville, Nova Scotia, Canada")</f>
        <v/>
      </c>
      <c r="K8815">
        <f>IFERROR(__xludf.DUMMYFUNCTION("""COMPUTED_VALUE"""),4314.30999999999)</f>
        <v/>
      </c>
    </row>
    <row r="8816">
      <c r="J8816">
        <f>IFERROR(__xludf.DUMMYFUNCTION("""COMPUTED_VALUE"""),"Montréal, QC and Saskatoon, SK")</f>
        <v/>
      </c>
      <c r="K8816">
        <f>IFERROR(__xludf.DUMMYFUNCTION("""COMPUTED_VALUE"""),4311.29)</f>
        <v/>
      </c>
    </row>
    <row r="8817">
      <c r="J8817">
        <f>IFERROR(__xludf.DUMMYFUNCTION("""COMPUTED_VALUE"""),"Nova Scotia, Ontario")</f>
        <v/>
      </c>
      <c r="K8817">
        <f>IFERROR(__xludf.DUMMYFUNCTION("""COMPUTED_VALUE"""),4310.87)</f>
        <v/>
      </c>
    </row>
    <row r="8818">
      <c r="J8818">
        <f>IFERROR(__xludf.DUMMYFUNCTION("""COMPUTED_VALUE"""),"Edmundston, Beresford, New Brunswick St-John's, Newfoundland (Canada)")</f>
        <v/>
      </c>
      <c r="K8818">
        <f>IFERROR(__xludf.DUMMYFUNCTION("""COMPUTED_VALUE"""),4310)</f>
        <v/>
      </c>
    </row>
    <row r="8819">
      <c r="J8819">
        <f>IFERROR(__xludf.DUMMYFUNCTION("""COMPUTED_VALUE"""),"Sidney, BC")</f>
        <v/>
      </c>
      <c r="K8819">
        <f>IFERROR(__xludf.DUMMYFUNCTION("""COMPUTED_VALUE"""),4308.72)</f>
        <v/>
      </c>
    </row>
    <row r="8820">
      <c r="J8820">
        <f>IFERROR(__xludf.DUMMYFUNCTION("""COMPUTED_VALUE"""),"Edmonton, AB, Vancouver, Victoria and Penticton, BC")</f>
        <v/>
      </c>
      <c r="K8820">
        <f>IFERROR(__xludf.DUMMYFUNCTION("""COMPUTED_VALUE"""),4307.66)</f>
        <v/>
      </c>
    </row>
    <row r="8821">
      <c r="J8821">
        <f>IFERROR(__xludf.DUMMYFUNCTION("""COMPUTED_VALUE"""),"Vancouver / Calgary")</f>
        <v/>
      </c>
      <c r="K8821">
        <f>IFERROR(__xludf.DUMMYFUNCTION("""COMPUTED_VALUE"""),4307)</f>
        <v/>
      </c>
    </row>
    <row r="8822">
      <c r="J8822">
        <f>IFERROR(__xludf.DUMMYFUNCTION("""COMPUTED_VALUE"""),"London, Waterloo, Ontario, Winnipeg, Manitoba, Canada")</f>
        <v/>
      </c>
      <c r="K8822">
        <f>IFERROR(__xludf.DUMMYFUNCTION("""COMPUTED_VALUE"""),4306.61)</f>
        <v/>
      </c>
    </row>
    <row r="8823">
      <c r="J8823">
        <f>IFERROR(__xludf.DUMMYFUNCTION("""COMPUTED_VALUE"""),"Halifax , Nova Scotia, Canada")</f>
        <v/>
      </c>
      <c r="K8823">
        <f>IFERROR(__xludf.DUMMYFUNCTION("""COMPUTED_VALUE"""),4306.48)</f>
        <v/>
      </c>
    </row>
    <row r="8824">
      <c r="J8824">
        <f>IFERROR(__xludf.DUMMYFUNCTION("""COMPUTED_VALUE"""),"Nantes; Paris, France")</f>
        <v/>
      </c>
      <c r="K8824">
        <f>IFERROR(__xludf.DUMMYFUNCTION("""COMPUTED_VALUE"""),4306.17)</f>
        <v/>
      </c>
    </row>
    <row r="8825">
      <c r="J8825">
        <f>IFERROR(__xludf.DUMMYFUNCTION("""COMPUTED_VALUE"""),"Iqaluit, NU, Canada")</f>
        <v/>
      </c>
      <c r="K8825">
        <f>IFERROR(__xludf.DUMMYFUNCTION("""COMPUTED_VALUE"""),4305.65)</f>
        <v/>
      </c>
    </row>
    <row r="8826">
      <c r="J8826">
        <f>IFERROR(__xludf.DUMMYFUNCTION("""COMPUTED_VALUE"""),"Calgary and Edmonton")</f>
        <v/>
      </c>
      <c r="K8826">
        <f>IFERROR(__xludf.DUMMYFUNCTION("""COMPUTED_VALUE"""),4304.28)</f>
        <v/>
      </c>
    </row>
    <row r="8827">
      <c r="J8827">
        <f>IFERROR(__xludf.DUMMYFUNCTION("""COMPUTED_VALUE"""),"Kitchener and Waterloo, Ontario")</f>
        <v/>
      </c>
      <c r="K8827">
        <f>IFERROR(__xludf.DUMMYFUNCTION("""COMPUTED_VALUE"""),4303)</f>
        <v/>
      </c>
    </row>
    <row r="8828">
      <c r="J8828">
        <f>IFERROR(__xludf.DUMMYFUNCTION("""COMPUTED_VALUE"""),"Toronto, Niagara Falls, Ontario")</f>
        <v/>
      </c>
      <c r="K8828">
        <f>IFERROR(__xludf.DUMMYFUNCTION("""COMPUTED_VALUE"""),4303)</f>
        <v/>
      </c>
    </row>
    <row r="8829">
      <c r="J8829">
        <f>IFERROR(__xludf.DUMMYFUNCTION("""COMPUTED_VALUE"""),"Boston, Ottawa")</f>
        <v/>
      </c>
      <c r="K8829">
        <f>IFERROR(__xludf.DUMMYFUNCTION("""COMPUTED_VALUE"""),4301.78)</f>
        <v/>
      </c>
    </row>
    <row r="8830">
      <c r="J8830">
        <f>IFERROR(__xludf.DUMMYFUNCTION("""COMPUTED_VALUE"""),"Orlando, Florida, Unites States")</f>
        <v/>
      </c>
      <c r="K8830">
        <f>IFERROR(__xludf.DUMMYFUNCTION("""COMPUTED_VALUE"""),4300.69)</f>
        <v/>
      </c>
    </row>
    <row r="8831">
      <c r="J8831">
        <f>IFERROR(__xludf.DUMMYFUNCTION("""COMPUTED_VALUE"""),"Ottawa and Toronto, ON., Saskatoon, SK")</f>
        <v/>
      </c>
      <c r="K8831">
        <f>IFERROR(__xludf.DUMMYFUNCTION("""COMPUTED_VALUE"""),4299.37)</f>
        <v/>
      </c>
    </row>
    <row r="8832">
      <c r="J8832">
        <f>IFERROR(__xludf.DUMMYFUNCTION("""COMPUTED_VALUE"""),"Halifax, Nova Scotia, Canada; Vancouver, British Columbia, Canada; Calgary, Alberta, Canada")</f>
        <v/>
      </c>
      <c r="K8832">
        <f>IFERROR(__xludf.DUMMYFUNCTION("""COMPUTED_VALUE"""),4298.64)</f>
        <v/>
      </c>
    </row>
    <row r="8833">
      <c r="J8833">
        <f>IFERROR(__xludf.DUMMYFUNCTION("""COMPUTED_VALUE"""),"Moncton, Saint John, New Brunswick / Halifax, Nova Scotia Canada")</f>
        <v/>
      </c>
      <c r="K8833">
        <f>IFERROR(__xludf.DUMMYFUNCTION("""COMPUTED_VALUE"""),4298.38999999999)</f>
        <v/>
      </c>
    </row>
    <row r="8834">
      <c r="J8834">
        <f>IFERROR(__xludf.DUMMYFUNCTION("""COMPUTED_VALUE"""),"Toronto, Ontario/New York City, New York, United States")</f>
        <v/>
      </c>
      <c r="K8834">
        <f>IFERROR(__xludf.DUMMYFUNCTION("""COMPUTED_VALUE"""),4297.42)</f>
        <v/>
      </c>
    </row>
    <row r="8835">
      <c r="J8835">
        <f>IFERROR(__xludf.DUMMYFUNCTION("""COMPUTED_VALUE"""),"Montreal, Quebec, Canada and Ottawa, Ontario, Canada")</f>
        <v/>
      </c>
      <c r="K8835">
        <f>IFERROR(__xludf.DUMMYFUNCTION("""COMPUTED_VALUE"""),4297.06)</f>
        <v/>
      </c>
    </row>
    <row r="8836">
      <c r="J8836">
        <f>IFERROR(__xludf.DUMMYFUNCTION("""COMPUTED_VALUE"""),"Calgary, Toronto")</f>
        <v/>
      </c>
      <c r="K8836">
        <f>IFERROR(__xludf.DUMMYFUNCTION("""COMPUTED_VALUE"""),4296.31)</f>
        <v/>
      </c>
    </row>
    <row r="8837">
      <c r="J8837">
        <f>IFERROR(__xludf.DUMMYFUNCTION("""COMPUTED_VALUE"""),"Dundurn, Saskatchewan")</f>
        <v/>
      </c>
      <c r="K8837">
        <f>IFERROR(__xludf.DUMMYFUNCTION("""COMPUTED_VALUE"""),4295.98)</f>
        <v/>
      </c>
    </row>
    <row r="8838">
      <c r="J8838">
        <f>IFERROR(__xludf.DUMMYFUNCTION("""COMPUTED_VALUE"""),"Munich, DE / Bonn, DE")</f>
        <v/>
      </c>
      <c r="K8838">
        <f>IFERROR(__xludf.DUMMYFUNCTION("""COMPUTED_VALUE"""),4295.94)</f>
        <v/>
      </c>
    </row>
    <row r="8839">
      <c r="J8839">
        <f>IFERROR(__xludf.DUMMYFUNCTION("""COMPUTED_VALUE"""),"San Francisco, Los Angeles")</f>
        <v/>
      </c>
      <c r="K8839">
        <f>IFERROR(__xludf.DUMMYFUNCTION("""COMPUTED_VALUE"""),4295.94)</f>
        <v/>
      </c>
    </row>
    <row r="8840">
      <c r="J8840">
        <f>IFERROR(__xludf.DUMMYFUNCTION("""COMPUTED_VALUE"""),"Thompson, MB")</f>
        <v/>
      </c>
      <c r="K8840">
        <f>IFERROR(__xludf.DUMMYFUNCTION("""COMPUTED_VALUE"""),4294.9)</f>
        <v/>
      </c>
    </row>
    <row r="8841">
      <c r="J8841">
        <f>IFERROR(__xludf.DUMMYFUNCTION("""COMPUTED_VALUE"""),"Toronto, Canada
Bogota, Colombia
Villavicencio, Colombia")</f>
        <v/>
      </c>
      <c r="K8841">
        <f>IFERROR(__xludf.DUMMYFUNCTION("""COMPUTED_VALUE"""),4294.16)</f>
        <v/>
      </c>
    </row>
    <row r="8842">
      <c r="J8842">
        <f>IFERROR(__xludf.DUMMYFUNCTION("""COMPUTED_VALUE"""),"Dawson City, YT / Whitehorse, YT")</f>
        <v/>
      </c>
      <c r="K8842">
        <f>IFERROR(__xludf.DUMMYFUNCTION("""COMPUTED_VALUE"""),4293.62)</f>
        <v/>
      </c>
    </row>
    <row r="8843">
      <c r="J8843">
        <f>IFERROR(__xludf.DUMMYFUNCTION("""COMPUTED_VALUE"""),"Montréal, Québec and Iqaluit, Nunavut")</f>
        <v/>
      </c>
      <c r="K8843">
        <f>IFERROR(__xludf.DUMMYFUNCTION("""COMPUTED_VALUE"""),4293.5)</f>
        <v/>
      </c>
    </row>
    <row r="8844">
      <c r="J8844">
        <f>IFERROR(__xludf.DUMMYFUNCTION("""COMPUTED_VALUE"""),"Whitehorse Edmonton, Yukon Alberta, Canada")</f>
        <v/>
      </c>
      <c r="K8844">
        <f>IFERROR(__xludf.DUMMYFUNCTION("""COMPUTED_VALUE"""),4292.82)</f>
        <v/>
      </c>
    </row>
    <row r="8845">
      <c r="J8845">
        <f>IFERROR(__xludf.DUMMYFUNCTION("""COMPUTED_VALUE"""),"Edmonton (Alberta) Canada;
Vancouver (British Columbia) Canada")</f>
        <v/>
      </c>
      <c r="K8845">
        <f>IFERROR(__xludf.DUMMYFUNCTION("""COMPUTED_VALUE"""),4290.05)</f>
        <v/>
      </c>
    </row>
    <row r="8846">
      <c r="J8846">
        <f>IFERROR(__xludf.DUMMYFUNCTION("""COMPUTED_VALUE"""),"Gatineau, Québec and Edmonton, Alberta")</f>
        <v/>
      </c>
      <c r="K8846">
        <f>IFERROR(__xludf.DUMMYFUNCTION("""COMPUTED_VALUE"""),4289.84)</f>
        <v/>
      </c>
    </row>
    <row r="8847">
      <c r="J8847">
        <f>IFERROR(__xludf.DUMMYFUNCTION("""COMPUTED_VALUE"""),"Fredericton, New Brunswick; Sydney, Nova Scotia; Halifax, Nova Scotia; Saint John, New Brunswick")</f>
        <v/>
      </c>
      <c r="K8847">
        <f>IFERROR(__xludf.DUMMYFUNCTION("""COMPUTED_VALUE"""),4289.69)</f>
        <v/>
      </c>
    </row>
    <row r="8848">
      <c r="J8848">
        <f>IFERROR(__xludf.DUMMYFUNCTION("""COMPUTED_VALUE"""),"Halifax, Nova Scotia, Canada; West River, Nova Scotia, Canada; Charlottetown, Prince Edward Island, Canada; Moncton, New Brunswick, Canada")</f>
        <v/>
      </c>
      <c r="K8848">
        <f>IFERROR(__xludf.DUMMYFUNCTION("""COMPUTED_VALUE"""),4289.44)</f>
        <v/>
      </c>
    </row>
    <row r="8849">
      <c r="J8849">
        <f>IFERROR(__xludf.DUMMYFUNCTION("""COMPUTED_VALUE"""),"Ottawa and Boston")</f>
        <v/>
      </c>
      <c r="K8849">
        <f>IFERROR(__xludf.DUMMYFUNCTION("""COMPUTED_VALUE"""),4289.01999999999)</f>
        <v/>
      </c>
    </row>
    <row r="8850">
      <c r="J8850">
        <f>IFERROR(__xludf.DUMMYFUNCTION("""COMPUTED_VALUE"""),"Toronto, Ontario, Canada; Canmore, Alberta, Canada; Winnipeg, Manitoba, Canada")</f>
        <v/>
      </c>
      <c r="K8850">
        <f>IFERROR(__xludf.DUMMYFUNCTION("""COMPUTED_VALUE"""),4288.31)</f>
        <v/>
      </c>
    </row>
    <row r="8851">
      <c r="J8851">
        <f>IFERROR(__xludf.DUMMYFUNCTION("""COMPUTED_VALUE"""),"Tel-Aviv, IL")</f>
        <v/>
      </c>
      <c r="K8851">
        <f>IFERROR(__xludf.DUMMYFUNCTION("""COMPUTED_VALUE"""),4288.09)</f>
        <v/>
      </c>
    </row>
    <row r="8852">
      <c r="J8852">
        <f>IFERROR(__xludf.DUMMYFUNCTION("""COMPUTED_VALUE"""),"Gatineau, Quebec (Canada)")</f>
        <v/>
      </c>
      <c r="K8852">
        <f>IFERROR(__xludf.DUMMYFUNCTION("""COMPUTED_VALUE"""),4287.86)</f>
        <v/>
      </c>
    </row>
    <row r="8853">
      <c r="J8853">
        <f>IFERROR(__xludf.DUMMYFUNCTION("""COMPUTED_VALUE"""),"Saskatoon, Vancouver")</f>
        <v/>
      </c>
      <c r="K8853">
        <f>IFERROR(__xludf.DUMMYFUNCTION("""COMPUTED_VALUE"""),4287.76)</f>
        <v/>
      </c>
    </row>
    <row r="8854">
      <c r="J8854">
        <f>IFERROR(__xludf.DUMMYFUNCTION("""COMPUTED_VALUE"""),"Vancouver (British Columbia) Canada; Saskatoon (Saskatchewan) Canada; Swift Current (Saskatchewan) Canada")</f>
        <v/>
      </c>
      <c r="K8854">
        <f>IFERROR(__xludf.DUMMYFUNCTION("""COMPUTED_VALUE"""),4286.65)</f>
        <v/>
      </c>
    </row>
    <row r="8855">
      <c r="J8855">
        <f>IFERROR(__xludf.DUMMYFUNCTION("""COMPUTED_VALUE"""),"Camp David, USA")</f>
        <v/>
      </c>
      <c r="K8855">
        <f>IFERROR(__xludf.DUMMYFUNCTION("""COMPUTED_VALUE"""),4286.01)</f>
        <v/>
      </c>
    </row>
    <row r="8856">
      <c r="J8856">
        <f>IFERROR(__xludf.DUMMYFUNCTION("""COMPUTED_VALUE"""),"Toronto, Ontario, Canada; Oshawa, Ontario, Canada; Whitby, Ontario, Canada; Niagara Falls, Ontario, Canada; Ottawa, Ontario, Canada")</f>
        <v/>
      </c>
      <c r="K8856">
        <f>IFERROR(__xludf.DUMMYFUNCTION("""COMPUTED_VALUE"""),4284.1)</f>
        <v/>
      </c>
    </row>
    <row r="8857">
      <c r="J8857">
        <f>IFERROR(__xludf.DUMMYFUNCTION("""COMPUTED_VALUE"""),"Suffield, AB")</f>
        <v/>
      </c>
      <c r="K8857">
        <f>IFERROR(__xludf.DUMMYFUNCTION("""COMPUTED_VALUE"""),4283.33)</f>
        <v/>
      </c>
    </row>
    <row r="8858">
      <c r="J8858">
        <f>IFERROR(__xludf.DUMMYFUNCTION("""COMPUTED_VALUE"""),"Ottawa, Montebello")</f>
        <v/>
      </c>
      <c r="K8858">
        <f>IFERROR(__xludf.DUMMYFUNCTION("""COMPUTED_VALUE"""),4281.77)</f>
        <v/>
      </c>
    </row>
    <row r="8859">
      <c r="J8859">
        <f>IFERROR(__xludf.DUMMYFUNCTION("""COMPUTED_VALUE"""),"Saskatoon, SK; Calgary, AB; Vancouver, BC; Edmonton, AB")</f>
        <v/>
      </c>
      <c r="K8859">
        <f>IFERROR(__xludf.DUMMYFUNCTION("""COMPUTED_VALUE"""),4281.14)</f>
        <v/>
      </c>
    </row>
    <row r="8860">
      <c r="J8860">
        <f>IFERROR(__xludf.DUMMYFUNCTION("""COMPUTED_VALUE"""),"Edmonton, AB, and Vancouver, BC")</f>
        <v/>
      </c>
      <c r="K8860">
        <f>IFERROR(__xludf.DUMMYFUNCTION("""COMPUTED_VALUE"""),4280.92)</f>
        <v/>
      </c>
    </row>
    <row r="8861">
      <c r="J8861">
        <f>IFERROR(__xludf.DUMMYFUNCTION("""COMPUTED_VALUE"""),"Vancouver / Edmonton -Wainright")</f>
        <v/>
      </c>
      <c r="K8861">
        <f>IFERROR(__xludf.DUMMYFUNCTION("""COMPUTED_VALUE"""),4280.92)</f>
        <v/>
      </c>
    </row>
    <row r="8862">
      <c r="J8862">
        <f>IFERROR(__xludf.DUMMYFUNCTION("""COMPUTED_VALUE"""),"Washington and Los Angeles, United States / Auckland and Wellington, New Zealand")</f>
        <v/>
      </c>
      <c r="K8862">
        <f>IFERROR(__xludf.DUMMYFUNCTION("""COMPUTED_VALUE"""),4280.82)</f>
        <v/>
      </c>
    </row>
    <row r="8863">
      <c r="J8863">
        <f>IFERROR(__xludf.DUMMYFUNCTION("""COMPUTED_VALUE"""),"Boston, MA/Trois-Rivieres, QC")</f>
        <v/>
      </c>
      <c r="K8863">
        <f>IFERROR(__xludf.DUMMYFUNCTION("""COMPUTED_VALUE"""),4280.33)</f>
        <v/>
      </c>
    </row>
    <row r="8864">
      <c r="J8864">
        <f>IFERROR(__xludf.DUMMYFUNCTION("""COMPUTED_VALUE"""),"Rankin Inlet Nunavut")</f>
        <v/>
      </c>
      <c r="K8864">
        <f>IFERROR(__xludf.DUMMYFUNCTION("""COMPUTED_VALUE"""),4279.67)</f>
        <v/>
      </c>
    </row>
    <row r="8865">
      <c r="J8865">
        <f>IFERROR(__xludf.DUMMYFUNCTION("""COMPUTED_VALUE"""),"Abbotsford, British-Columbia, Canada")</f>
        <v/>
      </c>
      <c r="K8865">
        <f>IFERROR(__xludf.DUMMYFUNCTION("""COMPUTED_VALUE"""),4278.91)</f>
        <v/>
      </c>
    </row>
    <row r="8866">
      <c r="J8866">
        <f>IFERROR(__xludf.DUMMYFUNCTION("""COMPUTED_VALUE"""),"Houston, Texas, United States / Toronto, Ontario, Canada")</f>
        <v/>
      </c>
      <c r="K8866">
        <f>IFERROR(__xludf.DUMMYFUNCTION("""COMPUTED_VALUE"""),4278.89)</f>
        <v/>
      </c>
    </row>
    <row r="8867">
      <c r="J8867">
        <f>IFERROR(__xludf.DUMMYFUNCTION("""COMPUTED_VALUE"""),"Cairo and Alexandria, Egypt")</f>
        <v/>
      </c>
      <c r="K8867">
        <f>IFERROR(__xludf.DUMMYFUNCTION("""COMPUTED_VALUE"""),4278.84)</f>
        <v/>
      </c>
    </row>
    <row r="8868">
      <c r="J8868">
        <f>IFERROR(__xludf.DUMMYFUNCTION("""COMPUTED_VALUE"""),"District of Columbia")</f>
        <v/>
      </c>
      <c r="K8868">
        <f>IFERROR(__xludf.DUMMYFUNCTION("""COMPUTED_VALUE"""),4278.64)</f>
        <v/>
      </c>
    </row>
    <row r="8869">
      <c r="J8869">
        <f>IFERROR(__xludf.DUMMYFUNCTION("""COMPUTED_VALUE"""),"Hawaii")</f>
        <v/>
      </c>
      <c r="K8869">
        <f>IFERROR(__xludf.DUMMYFUNCTION("""COMPUTED_VALUE"""),4278.3)</f>
        <v/>
      </c>
    </row>
    <row r="8870">
      <c r="J8870">
        <f>IFERROR(__xludf.DUMMYFUNCTION("""COMPUTED_VALUE"""),"Addis Ababa, Ethiopia, and Kuwait City, Kuwait")</f>
        <v/>
      </c>
      <c r="K8870">
        <f>IFERROR(__xludf.DUMMYFUNCTION("""COMPUTED_VALUE"""),4278.12)</f>
        <v/>
      </c>
    </row>
    <row r="8871">
      <c r="J8871">
        <f>IFERROR(__xludf.DUMMYFUNCTION("""COMPUTED_VALUE"""),"Ottawa, ON / Calgary, AB / Edmonton, AB / Vancouver, BC")</f>
        <v/>
      </c>
      <c r="K8871">
        <f>IFERROR(__xludf.DUMMYFUNCTION("""COMPUTED_VALUE"""),4276.86)</f>
        <v/>
      </c>
    </row>
    <row r="8872">
      <c r="J8872">
        <f>IFERROR(__xludf.DUMMYFUNCTION("""COMPUTED_VALUE"""),"Asilomar, California, United States")</f>
        <v/>
      </c>
      <c r="K8872">
        <f>IFERROR(__xludf.DUMMYFUNCTION("""COMPUTED_VALUE"""),4276.42)</f>
        <v/>
      </c>
    </row>
    <row r="8873">
      <c r="J8873">
        <f>IFERROR(__xludf.DUMMYFUNCTION("""COMPUTED_VALUE"""),"Saskatoon (Saskatchewan) Canada; Quebec (Quebec) Canada")</f>
        <v/>
      </c>
      <c r="K8873">
        <f>IFERROR(__xludf.DUMMYFUNCTION("""COMPUTED_VALUE"""),4276.1)</f>
        <v/>
      </c>
    </row>
    <row r="8874">
      <c r="J8874">
        <f>IFERROR(__xludf.DUMMYFUNCTION("""COMPUTED_VALUE"""),"Frobisher Bay , Nunavut, Canada")</f>
        <v/>
      </c>
      <c r="K8874">
        <f>IFERROR(__xludf.DUMMYFUNCTION("""COMPUTED_VALUE"""),4275.97)</f>
        <v/>
      </c>
    </row>
    <row r="8875">
      <c r="J8875">
        <f>IFERROR(__xludf.DUMMYFUNCTION("""COMPUTED_VALUE"""),"New York City, New York, USA and Washington, District of Columbia, USA")</f>
        <v/>
      </c>
      <c r="K8875">
        <f>IFERROR(__xludf.DUMMYFUNCTION("""COMPUTED_VALUE"""),4275.35)</f>
        <v/>
      </c>
    </row>
    <row r="8876">
      <c r="J8876">
        <f>IFERROR(__xludf.DUMMYFUNCTION("""COMPUTED_VALUE"""),"Halifax, NS / Calgary, AB / Vancouver, BC / Montreal, QC / Toronto, ON")</f>
        <v/>
      </c>
      <c r="K8876">
        <f>IFERROR(__xludf.DUMMYFUNCTION("""COMPUTED_VALUE"""),4274.03)</f>
        <v/>
      </c>
    </row>
    <row r="8877">
      <c r="J8877">
        <f>IFERROR(__xludf.DUMMYFUNCTION("""COMPUTED_VALUE"""),"Siksika Nation, Alberta, Canada")</f>
        <v/>
      </c>
      <c r="K8877">
        <f>IFERROR(__xludf.DUMMYFUNCTION("""COMPUTED_VALUE"""),4274.01)</f>
        <v/>
      </c>
    </row>
    <row r="8878">
      <c r="J8878">
        <f>IFERROR(__xludf.DUMMYFUNCTION("""COMPUTED_VALUE"""),"WINDSOR, ON")</f>
        <v/>
      </c>
      <c r="K8878">
        <f>IFERROR(__xludf.DUMMYFUNCTION("""COMPUTED_VALUE"""),4273.93)</f>
        <v/>
      </c>
    </row>
    <row r="8879">
      <c r="J8879">
        <f>IFERROR(__xludf.DUMMYFUNCTION("""COMPUTED_VALUE"""),"New York City, New York; Washington, DC")</f>
        <v/>
      </c>
      <c r="K8879">
        <f>IFERROR(__xludf.DUMMYFUNCTION("""COMPUTED_VALUE"""),4273.64)</f>
        <v/>
      </c>
    </row>
    <row r="8880">
      <c r="J8880">
        <f>IFERROR(__xludf.DUMMYFUNCTION("""COMPUTED_VALUE"""),"Khartoum and various cities in Northern Sudan")</f>
        <v/>
      </c>
      <c r="K8880">
        <f>IFERROR(__xludf.DUMMYFUNCTION("""COMPUTED_VALUE"""),4273.22)</f>
        <v/>
      </c>
    </row>
    <row r="8881">
      <c r="J8881">
        <f>IFERROR(__xludf.DUMMYFUNCTION("""COMPUTED_VALUE"""),"Kuwait, Kuwait")</f>
        <v/>
      </c>
      <c r="K8881">
        <f>IFERROR(__xludf.DUMMYFUNCTION("""COMPUTED_VALUE"""),4272.55)</f>
        <v/>
      </c>
    </row>
    <row r="8882">
      <c r="J8882">
        <f>IFERROR(__xludf.DUMMYFUNCTION("""COMPUTED_VALUE"""),"Halifax NS Montreal QC")</f>
        <v/>
      </c>
      <c r="K8882">
        <f>IFERROR(__xludf.DUMMYFUNCTION("""COMPUTED_VALUE"""),4271.94)</f>
        <v/>
      </c>
    </row>
    <row r="8883">
      <c r="J8883">
        <f>IFERROR(__xludf.DUMMYFUNCTION("""COMPUTED_VALUE"""),"Alliston, Ontario, Canada; Toronto, Ontario, Canada")</f>
        <v/>
      </c>
      <c r="K8883">
        <f>IFERROR(__xludf.DUMMYFUNCTION("""COMPUTED_VALUE"""),4271.28)</f>
        <v/>
      </c>
    </row>
    <row r="8884">
      <c r="J8884">
        <f>IFERROR(__xludf.DUMMYFUNCTION("""COMPUTED_VALUE"""),"Ottawa, ON / Monteal, QC")</f>
        <v/>
      </c>
      <c r="K8884">
        <f>IFERROR(__xludf.DUMMYFUNCTION("""COMPUTED_VALUE"""),4271.13)</f>
        <v/>
      </c>
    </row>
    <row r="8885">
      <c r="J8885">
        <f>IFERROR(__xludf.DUMMYFUNCTION("""COMPUTED_VALUE"""),"Lacolle, Quebec, Canada")</f>
        <v/>
      </c>
      <c r="K8885">
        <f>IFERROR(__xludf.DUMMYFUNCTION("""COMPUTED_VALUE"""),4270.82)</f>
        <v/>
      </c>
    </row>
    <row r="8886">
      <c r="J8886">
        <f>IFERROR(__xludf.DUMMYFUNCTION("""COMPUTED_VALUE"""),"Vancouver, Kelowna &amp; Prince George")</f>
        <v/>
      </c>
      <c r="K8886">
        <f>IFERROR(__xludf.DUMMYFUNCTION("""COMPUTED_VALUE"""),4270.73)</f>
        <v/>
      </c>
    </row>
    <row r="8887">
      <c r="J8887">
        <f>IFERROR(__xludf.DUMMYFUNCTION("""COMPUTED_VALUE"""),"Iqaluit, Nunavut, Canada - Vancouver, British Columbia, Canada - Victoria, British Columbia, Canada - Yellowknife, Northwest Territories, Canada")</f>
        <v/>
      </c>
      <c r="K8887">
        <f>IFERROR(__xludf.DUMMYFUNCTION("""COMPUTED_VALUE"""),4270.6)</f>
        <v/>
      </c>
    </row>
    <row r="8888">
      <c r="J8888">
        <f>IFERROR(__xludf.DUMMYFUNCTION("""COMPUTED_VALUE"""),"New York City, New York; Washington, DC; Halifax, N.S.")</f>
        <v/>
      </c>
      <c r="K8888">
        <f>IFERROR(__xludf.DUMMYFUNCTION("""COMPUTED_VALUE"""),4270.59)</f>
        <v/>
      </c>
    </row>
    <row r="8889">
      <c r="J8889">
        <f>IFERROR(__xludf.DUMMYFUNCTION("""COMPUTED_VALUE"""),"Anaheim, California")</f>
        <v/>
      </c>
      <c r="K8889">
        <f>IFERROR(__xludf.DUMMYFUNCTION("""COMPUTED_VALUE"""),4269.62)</f>
        <v/>
      </c>
    </row>
    <row r="8890">
      <c r="J8890">
        <f>IFERROR(__xludf.DUMMYFUNCTION("""COMPUTED_VALUE"""),"Ottawa,Ontario, Canada")</f>
        <v/>
      </c>
      <c r="K8890">
        <f>IFERROR(__xludf.DUMMYFUNCTION("""COMPUTED_VALUE"""),4269.1)</f>
        <v/>
      </c>
    </row>
    <row r="8891">
      <c r="J8891">
        <f>IFERROR(__xludf.DUMMYFUNCTION("""COMPUTED_VALUE"""),"PEI")</f>
        <v/>
      </c>
      <c r="K8891">
        <f>IFERROR(__xludf.DUMMYFUNCTION("""COMPUTED_VALUE"""),4268.77)</f>
        <v/>
      </c>
    </row>
    <row r="8892">
      <c r="J8892">
        <f>IFERROR(__xludf.DUMMYFUNCTION("""COMPUTED_VALUE"""),"Ottawa from Paris")</f>
        <v/>
      </c>
      <c r="K8892">
        <f>IFERROR(__xludf.DUMMYFUNCTION("""COMPUTED_VALUE"""),4268.02)</f>
        <v/>
      </c>
    </row>
    <row r="8893">
      <c r="J8893">
        <f>IFERROR(__xludf.DUMMYFUNCTION("""COMPUTED_VALUE"""),"Toronto, Ontario &amp; Vancouver, British Columbia")</f>
        <v/>
      </c>
      <c r="K8893">
        <f>IFERROR(__xludf.DUMMYFUNCTION("""COMPUTED_VALUE"""),4267.98)</f>
        <v/>
      </c>
    </row>
    <row r="8894">
      <c r="J8894">
        <f>IFERROR(__xludf.DUMMYFUNCTION("""COMPUTED_VALUE"""),"Burnaby, British Columbia, Canada
Saskatoon, Saskatchewan, Canada")</f>
        <v/>
      </c>
      <c r="K8894">
        <f>IFERROR(__xludf.DUMMYFUNCTION("""COMPUTED_VALUE"""),4267.4)</f>
        <v/>
      </c>
    </row>
    <row r="8895">
      <c r="J8895">
        <f>IFERROR(__xludf.DUMMYFUNCTION("""COMPUTED_VALUE"""),"Moncton, New Brunswick / St. John's, Newfoundland and Labrador")</f>
        <v/>
      </c>
      <c r="K8895">
        <f>IFERROR(__xludf.DUMMYFUNCTION("""COMPUTED_VALUE"""),4267.29)</f>
        <v/>
      </c>
    </row>
    <row r="8896">
      <c r="J8896">
        <f>IFERROR(__xludf.DUMMYFUNCTION("""COMPUTED_VALUE"""),"Toronto, Ontario, Canada; Kelowna, British Columbia, Canada; Vancouver, British Columbia, Canada")</f>
        <v/>
      </c>
      <c r="K8896">
        <f>IFERROR(__xludf.DUMMYFUNCTION("""COMPUTED_VALUE"""),4264.14)</f>
        <v/>
      </c>
    </row>
    <row r="8897">
      <c r="J8897">
        <f>IFERROR(__xludf.DUMMYFUNCTION("""COMPUTED_VALUE"""),"Colorado Springs CO")</f>
        <v/>
      </c>
      <c r="K8897">
        <f>IFERROR(__xludf.DUMMYFUNCTION("""COMPUTED_VALUE"""),4262.7)</f>
        <v/>
      </c>
    </row>
    <row r="8898">
      <c r="J8898">
        <f>IFERROR(__xludf.DUMMYFUNCTION("""COMPUTED_VALUE"""),"Montreal, Quebec,Canada
Toronto,Ontario,Canada
Saskatoon,Saskatchewan,Canada")</f>
        <v/>
      </c>
      <c r="K8898">
        <f>IFERROR(__xludf.DUMMYFUNCTION("""COMPUTED_VALUE"""),4262.34)</f>
        <v/>
      </c>
    </row>
    <row r="8899">
      <c r="J8899">
        <f>IFERROR(__xludf.DUMMYFUNCTION("""COMPUTED_VALUE"""),"Dorchester, England, UK")</f>
        <v/>
      </c>
      <c r="K8899">
        <f>IFERROR(__xludf.DUMMYFUNCTION("""COMPUTED_VALUE"""),4261.26)</f>
        <v/>
      </c>
    </row>
    <row r="8900">
      <c r="J8900">
        <f>IFERROR(__xludf.DUMMYFUNCTION("""COMPUTED_VALUE"""),"Yellowknife, Northwest Territories,  Whitehorse, Yukon, and Vancouver, British Columbia, Canada")</f>
        <v/>
      </c>
      <c r="K8900">
        <f>IFERROR(__xludf.DUMMYFUNCTION("""COMPUTED_VALUE"""),4260.94)</f>
        <v/>
      </c>
    </row>
    <row r="8901">
      <c r="J8901">
        <f>IFERROR(__xludf.DUMMYFUNCTION("""COMPUTED_VALUE"""),"St-Hyacinthe       Winnipeg/Saskatoon")</f>
        <v/>
      </c>
      <c r="K8901">
        <f>IFERROR(__xludf.DUMMYFUNCTION("""COMPUTED_VALUE"""),4260.63)</f>
        <v/>
      </c>
    </row>
    <row r="8902">
      <c r="J8902">
        <f>IFERROR(__xludf.DUMMYFUNCTION("""COMPUTED_VALUE"""),"Montreal QC/ Toronto ON")</f>
        <v/>
      </c>
      <c r="K8902">
        <f>IFERROR(__xludf.DUMMYFUNCTION("""COMPUTED_VALUE"""),4260.38)</f>
        <v/>
      </c>
    </row>
    <row r="8903">
      <c r="J8903">
        <f>IFERROR(__xludf.DUMMYFUNCTION("""COMPUTED_VALUE"""),"Darlington, Ontario, Canada")</f>
        <v/>
      </c>
      <c r="K8903">
        <f>IFERROR(__xludf.DUMMYFUNCTION("""COMPUTED_VALUE"""),4260.11)</f>
        <v/>
      </c>
    </row>
    <row r="8904">
      <c r="J8904">
        <f>IFERROR(__xludf.DUMMYFUNCTION("""COMPUTED_VALUE"""),"Toronto, Ontario, Canada; Calgary, Alberta, Canada; Winnipeg, Manitoba, Canada")</f>
        <v/>
      </c>
      <c r="K8904">
        <f>IFERROR(__xludf.DUMMYFUNCTION("""COMPUTED_VALUE"""),4259.58)</f>
        <v/>
      </c>
    </row>
    <row r="8905">
      <c r="J8905">
        <f>IFERROR(__xludf.DUMMYFUNCTION("""COMPUTED_VALUE"""),"Ottawa. Ontario")</f>
        <v/>
      </c>
      <c r="K8905">
        <f>IFERROR(__xludf.DUMMYFUNCTION("""COMPUTED_VALUE"""),4258.83)</f>
        <v/>
      </c>
    </row>
    <row r="8906">
      <c r="J8906">
        <f>IFERROR(__xludf.DUMMYFUNCTION("""COMPUTED_VALUE"""),"Montréal, Quebec; Toronto, Ontario; New York, United States")</f>
        <v/>
      </c>
      <c r="K8906">
        <f>IFERROR(__xludf.DUMMYFUNCTION("""COMPUTED_VALUE"""),4258.65)</f>
        <v/>
      </c>
    </row>
    <row r="8907">
      <c r="J8907">
        <f>IFERROR(__xludf.DUMMYFUNCTION("""COMPUTED_VALUE"""),"Haida Gwaii, British Columbia")</f>
        <v/>
      </c>
      <c r="K8907">
        <f>IFERROR(__xludf.DUMMYFUNCTION("""COMPUTED_VALUE"""),4257.56)</f>
        <v/>
      </c>
    </row>
    <row r="8908">
      <c r="J8908">
        <f>IFERROR(__xludf.DUMMYFUNCTION("""COMPUTED_VALUE"""),"Jorge Newbery, Buenos Aires, Argentina")</f>
        <v/>
      </c>
      <c r="K8908">
        <f>IFERROR(__xludf.DUMMYFUNCTION("""COMPUTED_VALUE"""),4257.06)</f>
        <v/>
      </c>
    </row>
    <row r="8909">
      <c r="J8909">
        <f>IFERROR(__xludf.DUMMYFUNCTION("""COMPUTED_VALUE"""),"Moncton, NB - Washington, DC / Washington, DC - Ottawa, ON / Ottawa, ON - Moncton, NB")</f>
        <v/>
      </c>
      <c r="K8909">
        <f>IFERROR(__xludf.DUMMYFUNCTION("""COMPUTED_VALUE"""),4256.65)</f>
        <v/>
      </c>
    </row>
    <row r="8910">
      <c r="J8910">
        <f>IFERROR(__xludf.DUMMYFUNCTION("""COMPUTED_VALUE"""),"Moncton, New Brunswick and St Johns, Newfoundland and Labrador, Canada")</f>
        <v/>
      </c>
      <c r="K8910">
        <f>IFERROR(__xludf.DUMMYFUNCTION("""COMPUTED_VALUE"""),4256.56)</f>
        <v/>
      </c>
    </row>
    <row r="8911">
      <c r="J8911">
        <f>IFERROR(__xludf.DUMMYFUNCTION("""COMPUTED_VALUE"""),"Boston, Massachusetts and Campbell River and Vancouver, British Columbia")</f>
        <v/>
      </c>
      <c r="K8911">
        <f>IFERROR(__xludf.DUMMYFUNCTION("""COMPUTED_VALUE"""),4255.94)</f>
        <v/>
      </c>
    </row>
    <row r="8912">
      <c r="J8912">
        <f>IFERROR(__xludf.DUMMYFUNCTION("""COMPUTED_VALUE"""),"Washington, DC, United States and Montreal, Quebec, Canada")</f>
        <v/>
      </c>
      <c r="K8912">
        <f>IFERROR(__xludf.DUMMYFUNCTION("""COMPUTED_VALUE"""),4253.88)</f>
        <v/>
      </c>
    </row>
    <row r="8913">
      <c r="J8913">
        <f>IFERROR(__xludf.DUMMYFUNCTION("""COMPUTED_VALUE"""),"California, United-States and Vancouver, British-Columbia")</f>
        <v/>
      </c>
      <c r="K8913">
        <f>IFERROR(__xludf.DUMMYFUNCTION("""COMPUTED_VALUE"""),4253.85)</f>
        <v/>
      </c>
    </row>
    <row r="8914">
      <c r="J8914">
        <f>IFERROR(__xludf.DUMMYFUNCTION("""COMPUTED_VALUE"""),"OROMOCTO, NB")</f>
        <v/>
      </c>
      <c r="K8914">
        <f>IFERROR(__xludf.DUMMYFUNCTION("""COMPUTED_VALUE"""),4252.98)</f>
        <v/>
      </c>
    </row>
    <row r="8915">
      <c r="J8915">
        <f>IFERROR(__xludf.DUMMYFUNCTION("""COMPUTED_VALUE"""),"Gatineau, Québec, Winnipeg, Manitoba and Regina, Saskatchewan")</f>
        <v/>
      </c>
      <c r="K8915">
        <f>IFERROR(__xludf.DUMMYFUNCTION("""COMPUTED_VALUE"""),4252.25)</f>
        <v/>
      </c>
    </row>
    <row r="8916">
      <c r="J8916">
        <f>IFERROR(__xludf.DUMMYFUNCTION("""COMPUTED_VALUE"""),"Newport, WALES  UK")</f>
        <v/>
      </c>
      <c r="K8916">
        <f>IFERROR(__xludf.DUMMYFUNCTION("""COMPUTED_VALUE"""),4251.9)</f>
        <v/>
      </c>
    </row>
    <row r="8917">
      <c r="J8917">
        <f>IFERROR(__xludf.DUMMYFUNCTION("""COMPUTED_VALUE"""),"St. John's, Newfoundland and Labrador Canada / New York, New York, United States")</f>
        <v/>
      </c>
      <c r="K8917">
        <f>IFERROR(__xludf.DUMMYFUNCTION("""COMPUTED_VALUE"""),4251.44)</f>
        <v/>
      </c>
    </row>
    <row r="8918">
      <c r="J8918">
        <f>IFERROR(__xludf.DUMMYFUNCTION("""COMPUTED_VALUE"""),"Paris, Brussels, Belgium")</f>
        <v/>
      </c>
      <c r="K8918">
        <f>IFERROR(__xludf.DUMMYFUNCTION("""COMPUTED_VALUE"""),4251.19)</f>
        <v/>
      </c>
    </row>
    <row r="8919">
      <c r="J8919">
        <f>IFERROR(__xludf.DUMMYFUNCTION("""COMPUTED_VALUE"""),"Regina, SK / Yellowknife, NWT")</f>
        <v/>
      </c>
      <c r="K8919">
        <f>IFERROR(__xludf.DUMMYFUNCTION("""COMPUTED_VALUE"""),4249.99)</f>
        <v/>
      </c>
    </row>
    <row r="8920">
      <c r="J8920">
        <f>IFERROR(__xludf.DUMMYFUNCTION("""COMPUTED_VALUE"""),"Regina, Saskatchewan, Yellowknife, NWT")</f>
        <v/>
      </c>
      <c r="K8920">
        <f>IFERROR(__xludf.DUMMYFUNCTION("""COMPUTED_VALUE"""),4249.99)</f>
        <v/>
      </c>
    </row>
    <row r="8921">
      <c r="J8921">
        <f>IFERROR(__xludf.DUMMYFUNCTION("""COMPUTED_VALUE"""),"Wilmington, North Carolina, United States")</f>
        <v/>
      </c>
      <c r="K8921">
        <f>IFERROR(__xludf.DUMMYFUNCTION("""COMPUTED_VALUE"""),4249.35)</f>
        <v/>
      </c>
    </row>
    <row r="8922">
      <c r="J8922">
        <f>IFERROR(__xludf.DUMMYFUNCTION("""COMPUTED_VALUE"""),"Ottawa, ON; 
Victoria, BC; 
Kelowna, BC;
Gaspé, QC.
Whitehorse, YT")</f>
        <v/>
      </c>
      <c r="K8922">
        <f>IFERROR(__xludf.DUMMYFUNCTION("""COMPUTED_VALUE"""),4248.94)</f>
        <v/>
      </c>
    </row>
    <row r="8923">
      <c r="J8923">
        <f>IFERROR(__xludf.DUMMYFUNCTION("""COMPUTED_VALUE"""),"Niagara Falls, Ontario Canada")</f>
        <v/>
      </c>
      <c r="K8923">
        <f>IFERROR(__xludf.DUMMYFUNCTION("""COMPUTED_VALUE"""),4248.92)</f>
        <v/>
      </c>
    </row>
    <row r="8924">
      <c r="J8924">
        <f>IFERROR(__xludf.DUMMYFUNCTION("""COMPUTED_VALUE"""),"Avignon")</f>
        <v/>
      </c>
      <c r="K8924">
        <f>IFERROR(__xludf.DUMMYFUNCTION("""COMPUTED_VALUE"""),4246.24)</f>
        <v/>
      </c>
    </row>
    <row r="8925">
      <c r="J8925">
        <f>IFERROR(__xludf.DUMMYFUNCTION("""COMPUTED_VALUE"""),"Grassy Narrows, Ontario, Canada")</f>
        <v/>
      </c>
      <c r="K8925">
        <f>IFERROR(__xludf.DUMMYFUNCTION("""COMPUTED_VALUE"""),4245.63)</f>
        <v/>
      </c>
    </row>
    <row r="8926">
      <c r="J8926">
        <f>IFERROR(__xludf.DUMMYFUNCTION("""COMPUTED_VALUE"""),"Vancouver (British Columbia) Canada; Monterey (California) United States")</f>
        <v/>
      </c>
      <c r="K8926">
        <f>IFERROR(__xludf.DUMMYFUNCTION("""COMPUTED_VALUE"""),4245.56)</f>
        <v/>
      </c>
    </row>
    <row r="8927">
      <c r="J8927">
        <f>IFERROR(__xludf.DUMMYFUNCTION("""COMPUTED_VALUE"""),"San Francisco, San Jose, Menlo Park, Stafford and New York City")</f>
        <v/>
      </c>
      <c r="K8927">
        <f>IFERROR(__xludf.DUMMYFUNCTION("""COMPUTED_VALUE"""),4245.37)</f>
        <v/>
      </c>
    </row>
    <row r="8928">
      <c r="J8928">
        <f>IFERROR(__xludf.DUMMYFUNCTION("""COMPUTED_VALUE"""),"Paris, Toronto, Ottawa")</f>
        <v/>
      </c>
      <c r="K8928">
        <f>IFERROR(__xludf.DUMMYFUNCTION("""COMPUTED_VALUE"""),4243.39)</f>
        <v/>
      </c>
    </row>
    <row r="8929">
      <c r="J8929">
        <f>IFERROR(__xludf.DUMMYFUNCTION("""COMPUTED_VALUE"""),"Saskatoon, Saskatchewan, Canada; Pickering, Ontario, Canada; Hamilton, Ontario, Canada; Durham, Ontario, Canada; Timmins, Ontario, Canada; Thunder Bay, Ontario, Canada; Windsor, Ontario, Canada")</f>
        <v/>
      </c>
      <c r="K8929">
        <f>IFERROR(__xludf.DUMMYFUNCTION("""COMPUTED_VALUE"""),4243.34)</f>
        <v/>
      </c>
    </row>
    <row r="8930">
      <c r="J8930">
        <f>IFERROR(__xludf.DUMMYFUNCTION("""COMPUTED_VALUE"""),"Ottawa (Ontario) Canada
North Gower (Ontario) Canada")</f>
        <v/>
      </c>
      <c r="K8930">
        <f>IFERROR(__xludf.DUMMYFUNCTION("""COMPUTED_VALUE"""),4243.08)</f>
        <v/>
      </c>
    </row>
    <row r="8931">
      <c r="J8931">
        <f>IFERROR(__xludf.DUMMYFUNCTION("""COMPUTED_VALUE"""),"OTTAWA, ON - REGINA, SK - SASKATOON, SK")</f>
        <v/>
      </c>
      <c r="K8931">
        <f>IFERROR(__xludf.DUMMYFUNCTION("""COMPUTED_VALUE"""),4243.02)</f>
        <v/>
      </c>
    </row>
    <row r="8932">
      <c r="J8932">
        <f>IFERROR(__xludf.DUMMYFUNCTION("""COMPUTED_VALUE"""),"Toronto, Ontario and Cleveland, United States")</f>
        <v/>
      </c>
      <c r="K8932">
        <f>IFERROR(__xludf.DUMMYFUNCTION("""COMPUTED_VALUE"""),4242.76)</f>
        <v/>
      </c>
    </row>
    <row r="8933">
      <c r="J8933">
        <f>IFERROR(__xludf.DUMMYFUNCTION("""COMPUTED_VALUE"""),"Saint John, New Brunswick / Bathurst, New Brunswick, Canada")</f>
        <v/>
      </c>
      <c r="K8933">
        <f>IFERROR(__xludf.DUMMYFUNCTION("""COMPUTED_VALUE"""),4242.19)</f>
        <v/>
      </c>
    </row>
    <row r="8934">
      <c r="J8934">
        <f>IFERROR(__xludf.DUMMYFUNCTION("""COMPUTED_VALUE"""),"Vancouver, British Columbia, Canada; Winnipeg, Manitoba, Canada; Halifax, Nova Scotia, Canada")</f>
        <v/>
      </c>
      <c r="K8934">
        <f>IFERROR(__xludf.DUMMYFUNCTION("""COMPUTED_VALUE"""),4241.68)</f>
        <v/>
      </c>
    </row>
    <row r="8935">
      <c r="J8935">
        <f>IFERROR(__xludf.DUMMYFUNCTION("""COMPUTED_VALUE"""),"Montreal, New Brunswick, Nova Scotia")</f>
        <v/>
      </c>
      <c r="K8935">
        <f>IFERROR(__xludf.DUMMYFUNCTION("""COMPUTED_VALUE"""),4241.4)</f>
        <v/>
      </c>
    </row>
    <row r="8936">
      <c r="J8936">
        <f>IFERROR(__xludf.DUMMYFUNCTION("""COMPUTED_VALUE"""),"Whitehors, Yukon")</f>
        <v/>
      </c>
      <c r="K8936">
        <f>IFERROR(__xludf.DUMMYFUNCTION("""COMPUTED_VALUE"""),4240.36)</f>
        <v/>
      </c>
    </row>
    <row r="8937">
      <c r="J8937">
        <f>IFERROR(__xludf.DUMMYFUNCTION("""COMPUTED_VALUE"""),"Nanaimo, British Columbia, Canada 
Vancouver, British Columbia, Canada")</f>
        <v/>
      </c>
      <c r="K8937">
        <f>IFERROR(__xludf.DUMMYFUNCTION("""COMPUTED_VALUE"""),4239.02)</f>
        <v/>
      </c>
    </row>
    <row r="8938">
      <c r="J8938">
        <f>IFERROR(__xludf.DUMMYFUNCTION("""COMPUTED_VALUE"""),"Toronto, ON Edmonton, AB Regina, SK")</f>
        <v/>
      </c>
      <c r="K8938">
        <f>IFERROR(__xludf.DUMMYFUNCTION("""COMPUTED_VALUE"""),4239.02)</f>
        <v/>
      </c>
    </row>
    <row r="8939">
      <c r="J8939">
        <f>IFERROR(__xludf.DUMMYFUNCTION("""COMPUTED_VALUE"""),"Canada - Montreal - Ottawa")</f>
        <v/>
      </c>
      <c r="K8939">
        <f>IFERROR(__xludf.DUMMYFUNCTION("""COMPUTED_VALUE"""),4239)</f>
        <v/>
      </c>
    </row>
    <row r="8940">
      <c r="J8940">
        <f>IFERROR(__xludf.DUMMYFUNCTION("""COMPUTED_VALUE"""),"St. John's, NL / Deer Lake, NL")</f>
        <v/>
      </c>
      <c r="K8940">
        <f>IFERROR(__xludf.DUMMYFUNCTION("""COMPUTED_VALUE"""),4236.22)</f>
        <v/>
      </c>
    </row>
    <row r="8941">
      <c r="J8941">
        <f>IFERROR(__xludf.DUMMYFUNCTION("""COMPUTED_VALUE"""),"Ottawa, OntarioEdmonton, Alberta")</f>
        <v/>
      </c>
      <c r="K8941">
        <f>IFERROR(__xludf.DUMMYFUNCTION("""COMPUTED_VALUE"""),4236.01)</f>
        <v/>
      </c>
    </row>
    <row r="8942">
      <c r="J8942">
        <f>IFERROR(__xludf.DUMMYFUNCTION("""COMPUTED_VALUE"""),"Miami and Mexico City")</f>
        <v/>
      </c>
      <c r="K8942">
        <f>IFERROR(__xludf.DUMMYFUNCTION("""COMPUTED_VALUE"""),4235.43)</f>
        <v/>
      </c>
    </row>
    <row r="8943">
      <c r="J8943">
        <f>IFERROR(__xludf.DUMMYFUNCTION("""COMPUTED_VALUE"""),"Edmonton, Calgary, (Alberta), Vancouver, (British Columbia)")</f>
        <v/>
      </c>
      <c r="K8943">
        <f>IFERROR(__xludf.DUMMYFUNCTION("""COMPUTED_VALUE"""),4233.39)</f>
        <v/>
      </c>
    </row>
    <row r="8944">
      <c r="J8944">
        <f>IFERROR(__xludf.DUMMYFUNCTION("""COMPUTED_VALUE"""),"Charlottetown, Prince-Edward-Island, Halifax, Nova-Scotia, Saint John, New Brunswick, Canada")</f>
        <v/>
      </c>
      <c r="K8944">
        <f>IFERROR(__xludf.DUMMYFUNCTION("""COMPUTED_VALUE"""),4233)</f>
        <v/>
      </c>
    </row>
    <row r="8945">
      <c r="J8945">
        <f>IFERROR(__xludf.DUMMYFUNCTION("""COMPUTED_VALUE"""),"New York, NY, U.S.A.")</f>
        <v/>
      </c>
      <c r="K8945">
        <f>IFERROR(__xludf.DUMMYFUNCTION("""COMPUTED_VALUE"""),4232.03)</f>
        <v/>
      </c>
    </row>
    <row r="8946">
      <c r="J8946">
        <f>IFERROR(__xludf.DUMMYFUNCTION("""COMPUTED_VALUE"""),"Calgary (Alberta) Canada; Winnipeg (Manitoba) Canada; Saskatoon (Saskatchewan) Candada")</f>
        <v/>
      </c>
      <c r="K8946">
        <f>IFERROR(__xludf.DUMMYFUNCTION("""COMPUTED_VALUE"""),4231.91)</f>
        <v/>
      </c>
    </row>
    <row r="8947">
      <c r="J8947">
        <f>IFERROR(__xludf.DUMMYFUNCTION("""COMPUTED_VALUE"""),"Markham, (Ontario)")</f>
        <v/>
      </c>
      <c r="K8947">
        <f>IFERROR(__xludf.DUMMYFUNCTION("""COMPUTED_VALUE"""),4231.57)</f>
        <v/>
      </c>
    </row>
    <row r="8948">
      <c r="J8948">
        <f>IFERROR(__xludf.DUMMYFUNCTION("""COMPUTED_VALUE"""),"Denver, Colorado Springs")</f>
        <v/>
      </c>
      <c r="K8948">
        <f>IFERROR(__xludf.DUMMYFUNCTION("""COMPUTED_VALUE"""),4231.4)</f>
        <v/>
      </c>
    </row>
    <row r="8949">
      <c r="J8949">
        <f>IFERROR(__xludf.DUMMYFUNCTION("""COMPUTED_VALUE"""),"Toronto, Ontario / Vancouver, British-Columbia / Calgary, Alberta / Winnipeg, Manitoba / Halifax, Nova Scotia, Canada")</f>
        <v/>
      </c>
      <c r="K8949">
        <f>IFERROR(__xludf.DUMMYFUNCTION("""COMPUTED_VALUE"""),4231.23)</f>
        <v/>
      </c>
    </row>
    <row r="8950">
      <c r="J8950">
        <f>IFERROR(__xludf.DUMMYFUNCTION("""COMPUTED_VALUE"""),"Rouyn-Noranda (Quebec) Canada; Montreal (Quebec) Canada; Bedford (Quebec) Canada; Saint-Paul-d'Abbotsford (Quebec) Canada")</f>
        <v/>
      </c>
      <c r="K8950">
        <f>IFERROR(__xludf.DUMMYFUNCTION("""COMPUTED_VALUE"""),4230.95)</f>
        <v/>
      </c>
    </row>
    <row r="8951">
      <c r="J8951">
        <f>IFERROR(__xludf.DUMMYFUNCTION("""COMPUTED_VALUE"""),"Laval, QC")</f>
        <v/>
      </c>
      <c r="K8951">
        <f>IFERROR(__xludf.DUMMYFUNCTION("""COMPUTED_VALUE"""),4229.87)</f>
        <v/>
      </c>
    </row>
    <row r="8952">
      <c r="J8952">
        <f>IFERROR(__xludf.DUMMYFUNCTION("""COMPUTED_VALUE"""),"Trois-Rivières, Quebec")</f>
        <v/>
      </c>
      <c r="K8952">
        <f>IFERROR(__xludf.DUMMYFUNCTION("""COMPUTED_VALUE"""),4228.58)</f>
        <v/>
      </c>
    </row>
    <row r="8953">
      <c r="J8953">
        <f>IFERROR(__xludf.DUMMYFUNCTION("""COMPUTED_VALUE"""),"Austin, United-States")</f>
        <v/>
      </c>
      <c r="K8953">
        <f>IFERROR(__xludf.DUMMYFUNCTION("""COMPUTED_VALUE"""),4228.16)</f>
        <v/>
      </c>
    </row>
    <row r="8954">
      <c r="J8954">
        <f>IFERROR(__xludf.DUMMYFUNCTION("""COMPUTED_VALUE"""),"Toronto, Ontario, Canada;
St. John's, Newfoundland and Labrador, Canada")</f>
        <v/>
      </c>
      <c r="K8954">
        <f>IFERROR(__xludf.DUMMYFUNCTION("""COMPUTED_VALUE"""),4227.74)</f>
        <v/>
      </c>
    </row>
    <row r="8955">
      <c r="J8955">
        <f>IFERROR(__xludf.DUMMYFUNCTION("""COMPUTED_VALUE"""),"Moncton, NB - Montreal, QC / Montreal, QC - Moncton, NB")</f>
        <v/>
      </c>
      <c r="K8955">
        <f>IFERROR(__xludf.DUMMYFUNCTION("""COMPUTED_VALUE"""),4225.57)</f>
        <v/>
      </c>
    </row>
    <row r="8956">
      <c r="J8956">
        <f>IFERROR(__xludf.DUMMYFUNCTION("""COMPUTED_VALUE"""),"Turks and Caicos")</f>
        <v/>
      </c>
      <c r="K8956">
        <f>IFERROR(__xludf.DUMMYFUNCTION("""COMPUTED_VALUE"""),4224.04)</f>
        <v/>
      </c>
    </row>
    <row r="8957">
      <c r="J8957">
        <f>IFERROR(__xludf.DUMMYFUNCTION("""COMPUTED_VALUE"""),"St. Johns, Newfoundland and Labrador, Canada
Halifax, Nova Scotia, Canada")</f>
        <v/>
      </c>
      <c r="K8957">
        <f>IFERROR(__xludf.DUMMYFUNCTION("""COMPUTED_VALUE"""),4223.64)</f>
        <v/>
      </c>
    </row>
    <row r="8958">
      <c r="J8958">
        <f>IFERROR(__xludf.DUMMYFUNCTION("""COMPUTED_VALUE"""),"Brussels, Berlin and Paris.")</f>
        <v/>
      </c>
      <c r="K8958">
        <f>IFERROR(__xludf.DUMMYFUNCTION("""COMPUTED_VALUE"""),4221.46)</f>
        <v/>
      </c>
    </row>
    <row r="8959">
      <c r="J8959">
        <f>IFERROR(__xludf.DUMMYFUNCTION("""COMPUTED_VALUE"""),"Givenchy-en-Gohelle, France")</f>
        <v/>
      </c>
      <c r="K8959">
        <f>IFERROR(__xludf.DUMMYFUNCTION("""COMPUTED_VALUE"""),4221.34)</f>
        <v/>
      </c>
    </row>
    <row r="8960">
      <c r="J8960">
        <f>IFERROR(__xludf.DUMMYFUNCTION("""COMPUTED_VALUE"""),"Toronto, Ontario, Canada / Frankfurt, Germany / Tel Aviv and Jerusalem, Israel")</f>
        <v/>
      </c>
      <c r="K8960">
        <f>IFERROR(__xludf.DUMMYFUNCTION("""COMPUTED_VALUE"""),4220.56)</f>
        <v/>
      </c>
    </row>
    <row r="8961">
      <c r="J8961">
        <f>IFERROR(__xludf.DUMMYFUNCTION("""COMPUTED_VALUE"""),"Hollywood, United States")</f>
        <v/>
      </c>
      <c r="K8961">
        <f>IFERROR(__xludf.DUMMYFUNCTION("""COMPUTED_VALUE"""),4218.5)</f>
        <v/>
      </c>
    </row>
    <row r="8962">
      <c r="J8962">
        <f>IFERROR(__xludf.DUMMYFUNCTION("""COMPUTED_VALUE"""),"Vancouver, British Columbia; Kamloops, British Columbia")</f>
        <v/>
      </c>
      <c r="K8962">
        <f>IFERROR(__xludf.DUMMYFUNCTION("""COMPUTED_VALUE"""),4218.13)</f>
        <v/>
      </c>
    </row>
    <row r="8963">
      <c r="J8963">
        <f>IFERROR(__xludf.DUMMYFUNCTION("""COMPUTED_VALUE"""),"Toronto, Ontario, Canada; Hamilton, Ontario, Canada; Mississauga, Ontario, Canada; London, Ontario, Canada; St.Catharines, Ontario, Canada")</f>
        <v/>
      </c>
      <c r="K8963">
        <f>IFERROR(__xludf.DUMMYFUNCTION("""COMPUTED_VALUE"""),4216.87)</f>
        <v/>
      </c>
    </row>
    <row r="8964">
      <c r="J8964">
        <f>IFERROR(__xludf.DUMMYFUNCTION("""COMPUTED_VALUE"""),"Iqaluit, NU - Baker Lake, NU - Rankin Inlet, NU")</f>
        <v/>
      </c>
      <c r="K8964">
        <f>IFERROR(__xludf.DUMMYFUNCTION("""COMPUTED_VALUE"""),4216.71)</f>
        <v/>
      </c>
    </row>
    <row r="8965">
      <c r="J8965">
        <f>IFERROR(__xludf.DUMMYFUNCTION("""COMPUTED_VALUE"""),"Gagetown / St Jean")</f>
        <v/>
      </c>
      <c r="K8965">
        <f>IFERROR(__xludf.DUMMYFUNCTION("""COMPUTED_VALUE"""),4216.55)</f>
        <v/>
      </c>
    </row>
    <row r="8966">
      <c r="J8966">
        <f>IFERROR(__xludf.DUMMYFUNCTION("""COMPUTED_VALUE"""),"Gagetown, New Brunswick, Canada / St Jean, Quebec, Canada")</f>
        <v/>
      </c>
      <c r="K8966">
        <f>IFERROR(__xludf.DUMMYFUNCTION("""COMPUTED_VALUE"""),4216.55)</f>
        <v/>
      </c>
    </row>
    <row r="8967">
      <c r="J8967">
        <f>IFERROR(__xludf.DUMMYFUNCTION("""COMPUTED_VALUE"""),"Edmonton, Alberta, Canada; Yellowknife, Northwest Territories, Canada; Ottawa, Ontario, Canada")</f>
        <v/>
      </c>
      <c r="K8967">
        <f>IFERROR(__xludf.DUMMYFUNCTION("""COMPUTED_VALUE"""),4216.43)</f>
        <v/>
      </c>
    </row>
    <row r="8968">
      <c r="J8968">
        <f>IFERROR(__xludf.DUMMYFUNCTION("""COMPUTED_VALUE"""),"MONTREAL QC")</f>
        <v/>
      </c>
      <c r="K8968">
        <f>IFERROR(__xludf.DUMMYFUNCTION("""COMPUTED_VALUE"""),4215.71)</f>
        <v/>
      </c>
    </row>
    <row r="8969">
      <c r="J8969">
        <f>IFERROR(__xludf.DUMMYFUNCTION("""COMPUTED_VALUE"""),"Victoria (British Columbia) and Ottawa (Ontario) Canada")</f>
        <v/>
      </c>
      <c r="K8969">
        <f>IFERROR(__xludf.DUMMYFUNCTION("""COMPUTED_VALUE"""),4214.82)</f>
        <v/>
      </c>
    </row>
    <row r="8970">
      <c r="J8970">
        <f>IFERROR(__xludf.DUMMYFUNCTION("""COMPUTED_VALUE"""),"Mexico and Dominican Republic")</f>
        <v/>
      </c>
      <c r="K8970">
        <f>IFERROR(__xludf.DUMMYFUNCTION("""COMPUTED_VALUE"""),4214.55)</f>
        <v/>
      </c>
    </row>
    <row r="8971">
      <c r="J8971">
        <f>IFERROR(__xludf.DUMMYFUNCTION("""COMPUTED_VALUE"""),"Montréal, Quebec, Canada; Québec, Quebec, Canada; Rouyn-Noranda, Quebec, Canada")</f>
        <v/>
      </c>
      <c r="K8971">
        <f>IFERROR(__xludf.DUMMYFUNCTION("""COMPUTED_VALUE"""),4213.17)</f>
        <v/>
      </c>
    </row>
    <row r="8972">
      <c r="J8972">
        <f>IFERROR(__xludf.DUMMYFUNCTION("""COMPUTED_VALUE"""),"Victoria, British Columbia / Vancouver, British Columbia , Canada")</f>
        <v/>
      </c>
      <c r="K8972">
        <f>IFERROR(__xludf.DUMMYFUNCTION("""COMPUTED_VALUE"""),4212.68)</f>
        <v/>
      </c>
    </row>
    <row r="8973">
      <c r="J8973">
        <f>IFERROR(__xludf.DUMMYFUNCTION("""COMPUTED_VALUE"""),"London, England; Birmingham, England")</f>
        <v/>
      </c>
      <c r="K8973">
        <f>IFERROR(__xludf.DUMMYFUNCTION("""COMPUTED_VALUE"""),4211.87)</f>
        <v/>
      </c>
    </row>
    <row r="8974">
      <c r="J8974">
        <f>IFERROR(__xludf.DUMMYFUNCTION("""COMPUTED_VALUE"""),"Calabogie, Ontario, Canada")</f>
        <v/>
      </c>
      <c r="K8974">
        <f>IFERROR(__xludf.DUMMYFUNCTION("""COMPUTED_VALUE"""),4211.07)</f>
        <v/>
      </c>
    </row>
    <row r="8975">
      <c r="J8975">
        <f>IFERROR(__xludf.DUMMYFUNCTION("""COMPUTED_VALUE"""),"Vancouver and Whistler, British Columbia and Toronto, Ontario")</f>
        <v/>
      </c>
      <c r="K8975">
        <f>IFERROR(__xludf.DUMMYFUNCTION("""COMPUTED_VALUE"""),4210.88)</f>
        <v/>
      </c>
    </row>
    <row r="8976">
      <c r="J8976">
        <f>IFERROR(__xludf.DUMMYFUNCTION("""COMPUTED_VALUE"""),"London, England, Paris, France, Moscow Russia")</f>
        <v/>
      </c>
      <c r="K8976">
        <f>IFERROR(__xludf.DUMMYFUNCTION("""COMPUTED_VALUE"""),4210.53)</f>
        <v/>
      </c>
    </row>
    <row r="8977">
      <c r="J8977">
        <f>IFERROR(__xludf.DUMMYFUNCTION("""COMPUTED_VALUE"""),"Val d'Or, Quebec, Canada")</f>
        <v/>
      </c>
      <c r="K8977">
        <f>IFERROR(__xludf.DUMMYFUNCTION("""COMPUTED_VALUE"""),4209.86)</f>
        <v/>
      </c>
    </row>
    <row r="8978">
      <c r="J8978">
        <f>IFERROR(__xludf.DUMMYFUNCTION("""COMPUTED_VALUE"""),"Bagotville - Charlottetown - Halifax - Fall River - Granby -Québec - Bagotville")</f>
        <v/>
      </c>
      <c r="K8978">
        <f>IFERROR(__xludf.DUMMYFUNCTION("""COMPUTED_VALUE"""),4209.84)</f>
        <v/>
      </c>
    </row>
    <row r="8979">
      <c r="J8979">
        <f>IFERROR(__xludf.DUMMYFUNCTION("""COMPUTED_VALUE"""),"Ottawa &amp; Toronto, ON")</f>
        <v/>
      </c>
      <c r="K8979">
        <f>IFERROR(__xludf.DUMMYFUNCTION("""COMPUTED_VALUE"""),4209.3)</f>
        <v/>
      </c>
    </row>
    <row r="8980">
      <c r="J8980">
        <f>IFERROR(__xludf.DUMMYFUNCTION("""COMPUTED_VALUE"""),"Richmond, BC, Canada")</f>
        <v/>
      </c>
      <c r="K8980">
        <f>IFERROR(__xludf.DUMMYFUNCTION("""COMPUTED_VALUE"""),4209.02)</f>
        <v/>
      </c>
    </row>
    <row r="8981">
      <c r="J8981">
        <f>IFERROR(__xludf.DUMMYFUNCTION("""COMPUTED_VALUE"""),"Rimini, Italy")</f>
        <v/>
      </c>
      <c r="K8981">
        <f>IFERROR(__xludf.DUMMYFUNCTION("""COMPUTED_VALUE"""),4208.99)</f>
        <v/>
      </c>
    </row>
    <row r="8982">
      <c r="J8982">
        <f>IFERROR(__xludf.DUMMYFUNCTION("""COMPUTED_VALUE"""),"Edmonton, Alberta, Canada and Innisfail, Alberta, Canada")</f>
        <v/>
      </c>
      <c r="K8982">
        <f>IFERROR(__xludf.DUMMYFUNCTION("""COMPUTED_VALUE"""),4208.58)</f>
        <v/>
      </c>
    </row>
    <row r="8983">
      <c r="J8983">
        <f>IFERROR(__xludf.DUMMYFUNCTION("""COMPUTED_VALUE"""),"Yellowknife, Northwest Territories / Vancouver, British Columbia / Whitehorse, Yukon")</f>
        <v/>
      </c>
      <c r="K8983">
        <f>IFERROR(__xludf.DUMMYFUNCTION("""COMPUTED_VALUE"""),4207.36)</f>
        <v/>
      </c>
    </row>
    <row r="8984">
      <c r="J8984">
        <f>IFERROR(__xludf.DUMMYFUNCTION("""COMPUTED_VALUE"""),"Halifax, Ottawa")</f>
        <v/>
      </c>
      <c r="K8984">
        <f>IFERROR(__xludf.DUMMYFUNCTION("""COMPUTED_VALUE"""),4207.19)</f>
        <v/>
      </c>
    </row>
    <row r="8985">
      <c r="J8985">
        <f>IFERROR(__xludf.DUMMYFUNCTION("""COMPUTED_VALUE"""),"Seattle, Toronto")</f>
        <v/>
      </c>
      <c r="K8985">
        <f>IFERROR(__xludf.DUMMYFUNCTION("""COMPUTED_VALUE"""),4207.18)</f>
        <v/>
      </c>
    </row>
    <row r="8986">
      <c r="J8986">
        <f>IFERROR(__xludf.DUMMYFUNCTION("""COMPUTED_VALUE"""),"Victoria/Vancouver/Winnipeg")</f>
        <v/>
      </c>
      <c r="K8986">
        <f>IFERROR(__xludf.DUMMYFUNCTION("""COMPUTED_VALUE"""),4207.01)</f>
        <v/>
      </c>
    </row>
    <row r="8987">
      <c r="J8987">
        <f>IFERROR(__xludf.DUMMYFUNCTION("""COMPUTED_VALUE"""),"London, England Dublin, Ireland")</f>
        <v/>
      </c>
      <c r="K8987">
        <f>IFERROR(__xludf.DUMMYFUNCTION("""COMPUTED_VALUE"""),4206.11)</f>
        <v/>
      </c>
    </row>
    <row r="8988">
      <c r="J8988">
        <f>IFERROR(__xludf.DUMMYFUNCTION("""COMPUTED_VALUE"""),"Charlottetown,  Prince Edward Island, Canada          Baddeck, Nova Scotia, Canada                        Halifax, Nova Scotia, Canada")</f>
        <v/>
      </c>
      <c r="K8988">
        <f>IFERROR(__xludf.DUMMYFUNCTION("""COMPUTED_VALUE"""),4205.9)</f>
        <v/>
      </c>
    </row>
    <row r="8989">
      <c r="J8989">
        <f>IFERROR(__xludf.DUMMYFUNCTION("""COMPUTED_VALUE"""),"Valcartier")</f>
        <v/>
      </c>
      <c r="K8989">
        <f>IFERROR(__xludf.DUMMYFUNCTION("""COMPUTED_VALUE"""),4205.51)</f>
        <v/>
      </c>
    </row>
    <row r="8990">
      <c r="J8990">
        <f>IFERROR(__xludf.DUMMYFUNCTION("""COMPUTED_VALUE"""),"Thunder Bay (Ontario) Canada")</f>
        <v/>
      </c>
      <c r="K8990">
        <f>IFERROR(__xludf.DUMMYFUNCTION("""COMPUTED_VALUE"""),4205.01)</f>
        <v/>
      </c>
    </row>
    <row r="8991">
      <c r="J8991">
        <f>IFERROR(__xludf.DUMMYFUNCTION("""COMPUTED_VALUE"""),"Charlottetown, PE - Victoria, BC / Victoria, BC - Vancouver, BC / Vancouver, BC - Ottawa, ON / Ottawa, ON - Charlottetown, PE")</f>
        <v/>
      </c>
      <c r="K8991">
        <f>IFERROR(__xludf.DUMMYFUNCTION("""COMPUTED_VALUE"""),4204.85)</f>
        <v/>
      </c>
    </row>
    <row r="8992">
      <c r="J8992">
        <f>IFERROR(__xludf.DUMMYFUNCTION("""COMPUTED_VALUE"""),"Nova Scotia - Newfoundland")</f>
        <v/>
      </c>
      <c r="K8992">
        <f>IFERROR(__xludf.DUMMYFUNCTION("""COMPUTED_VALUE"""),4203.22)</f>
        <v/>
      </c>
    </row>
    <row r="8993">
      <c r="J8993">
        <f>IFERROR(__xludf.DUMMYFUNCTION("""COMPUTED_VALUE"""),"IQALUIT, NUNAVUT")</f>
        <v/>
      </c>
      <c r="K8993">
        <f>IFERROR(__xludf.DUMMYFUNCTION("""COMPUTED_VALUE"""),4202.95)</f>
        <v/>
      </c>
    </row>
    <row r="8994">
      <c r="J8994">
        <f>IFERROR(__xludf.DUMMYFUNCTION("""COMPUTED_VALUE"""),"Vancouver, British Colombia; Toronto, Ontario; Calgary, Alberta")</f>
        <v/>
      </c>
      <c r="K8994">
        <f>IFERROR(__xludf.DUMMYFUNCTION("""COMPUTED_VALUE"""),4201.49)</f>
        <v/>
      </c>
    </row>
    <row r="8995">
      <c r="J8995">
        <f>IFERROR(__xludf.DUMMYFUNCTION("""COMPUTED_VALUE"""),"Bagotville, Quebec, Canada; Sherbrooke, Quebec, Canada; Gatineau, Quebec, Canada")</f>
        <v/>
      </c>
      <c r="K8995">
        <f>IFERROR(__xludf.DUMMYFUNCTION("""COMPUTED_VALUE"""),4200.78)</f>
        <v/>
      </c>
    </row>
    <row r="8996">
      <c r="J8996">
        <f>IFERROR(__xludf.DUMMYFUNCTION("""COMPUTED_VALUE"""),"La Baie")</f>
        <v/>
      </c>
      <c r="K8996">
        <f>IFERROR(__xludf.DUMMYFUNCTION("""COMPUTED_VALUE"""),4200.7)</f>
        <v/>
      </c>
    </row>
    <row r="8997">
      <c r="J8997">
        <f>IFERROR(__xludf.DUMMYFUNCTION("""COMPUTED_VALUE"""),"Canada, Ottawa")</f>
        <v/>
      </c>
      <c r="K8997">
        <f>IFERROR(__xludf.DUMMYFUNCTION("""COMPUTED_VALUE"""),4198.53)</f>
        <v/>
      </c>
    </row>
    <row r="8998">
      <c r="J8998">
        <f>IFERROR(__xludf.DUMMYFUNCTION("""COMPUTED_VALUE"""),"Saskatoon, Saskatchewan and
St. John's, Newfoundland, Canada")</f>
        <v/>
      </c>
      <c r="K8998">
        <f>IFERROR(__xludf.DUMMYFUNCTION("""COMPUTED_VALUE"""),4197.67)</f>
        <v/>
      </c>
    </row>
    <row r="8999">
      <c r="J8999">
        <f>IFERROR(__xludf.DUMMYFUNCTION("""COMPUTED_VALUE"""),"Vancouver, Campbell River and Nanaimo, British Columbia, Canada")</f>
        <v/>
      </c>
      <c r="K8999">
        <f>IFERROR(__xludf.DUMMYFUNCTION("""COMPUTED_VALUE"""),4196.84)</f>
        <v/>
      </c>
    </row>
    <row r="9000">
      <c r="J9000">
        <f>IFERROR(__xludf.DUMMYFUNCTION("""COMPUTED_VALUE"""),"Maxwell AFB, 
Alabama")</f>
        <v/>
      </c>
      <c r="K9000">
        <f>IFERROR(__xludf.DUMMYFUNCTION("""COMPUTED_VALUE"""),4196.69)</f>
        <v/>
      </c>
    </row>
    <row r="9001">
      <c r="J9001">
        <f>IFERROR(__xludf.DUMMYFUNCTION("""COMPUTED_VALUE"""),"Annapolis Royal, Nova Scotia, Canada")</f>
        <v/>
      </c>
      <c r="K9001">
        <f>IFERROR(__xludf.DUMMYFUNCTION("""COMPUTED_VALUE"""),4195.71)</f>
        <v/>
      </c>
    </row>
    <row r="9002">
      <c r="J9002">
        <f>IFERROR(__xludf.DUMMYFUNCTION("""COMPUTED_VALUE"""),"Montreal, QC / Cambridge, ON")</f>
        <v/>
      </c>
      <c r="K9002">
        <f>IFERROR(__xludf.DUMMYFUNCTION("""COMPUTED_VALUE"""),4195.61)</f>
        <v/>
      </c>
    </row>
    <row r="9003">
      <c r="J9003">
        <f>IFERROR(__xludf.DUMMYFUNCTION("""COMPUTED_VALUE"""),"Edmonton, Alberta, Canada - Fort McMurray, Alberta, Canada - Montréal, Quebec, Canada")</f>
        <v/>
      </c>
      <c r="K9003">
        <f>IFERROR(__xludf.DUMMYFUNCTION("""COMPUTED_VALUE"""),4195.39)</f>
        <v/>
      </c>
    </row>
    <row r="9004">
      <c r="J9004">
        <f>IFERROR(__xludf.DUMMYFUNCTION("""COMPUTED_VALUE"""),"Toronto, Ontario, Canada / Niagara, Ontario, Canada")</f>
        <v/>
      </c>
      <c r="K9004">
        <f>IFERROR(__xludf.DUMMYFUNCTION("""COMPUTED_VALUE"""),4195.17)</f>
        <v/>
      </c>
    </row>
    <row r="9005">
      <c r="J9005">
        <f>IFERROR(__xludf.DUMMYFUNCTION("""COMPUTED_VALUE"""),"Ottawa-Frankfurt- Rome- Paris-Toronto-Ottawa")</f>
        <v/>
      </c>
      <c r="K9005">
        <f>IFERROR(__xludf.DUMMYFUNCTION("""COMPUTED_VALUE"""),4194.08)</f>
        <v/>
      </c>
    </row>
    <row r="9006">
      <c r="J9006">
        <f>IFERROR(__xludf.DUMMYFUNCTION("""COMPUTED_VALUE"""),"Vancouver, Sandspit and Masset, British Colombia")</f>
        <v/>
      </c>
      <c r="K9006">
        <f>IFERROR(__xludf.DUMMYFUNCTION("""COMPUTED_VALUE"""),4193.65)</f>
        <v/>
      </c>
    </row>
    <row r="9007">
      <c r="J9007">
        <f>IFERROR(__xludf.DUMMYFUNCTION("""COMPUTED_VALUE"""),"Vancouver, British Columbia - Calgary, Alberta - St. John's, Newfoundland and Labrador, Canada")</f>
        <v/>
      </c>
      <c r="K9007">
        <f>IFERROR(__xludf.DUMMYFUNCTION("""COMPUTED_VALUE"""),4192.28)</f>
        <v/>
      </c>
    </row>
    <row r="9008">
      <c r="J9008">
        <f>IFERROR(__xludf.DUMMYFUNCTION("""COMPUTED_VALUE"""),"St.John’s and Clarenville, Newfoundland and Labrador")</f>
        <v/>
      </c>
      <c r="K9008">
        <f>IFERROR(__xludf.DUMMYFUNCTION("""COMPUTED_VALUE"""),4192.1)</f>
        <v/>
      </c>
    </row>
    <row r="9009">
      <c r="J9009">
        <f>IFERROR(__xludf.DUMMYFUNCTION("""COMPUTED_VALUE"""),"Lake Louise, Alberta, Canada; Jasper, Alberta, Canada")</f>
        <v/>
      </c>
      <c r="K9009">
        <f>IFERROR(__xludf.DUMMYFUNCTION("""COMPUTED_VALUE"""),4191.68)</f>
        <v/>
      </c>
    </row>
    <row r="9010">
      <c r="J9010">
        <f>IFERROR(__xludf.DUMMYFUNCTION("""COMPUTED_VALUE"""),"Vancouver and Victoria, British-Columbia, Canada")</f>
        <v/>
      </c>
      <c r="K9010">
        <f>IFERROR(__xludf.DUMMYFUNCTION("""COMPUTED_VALUE"""),4191.34)</f>
        <v/>
      </c>
    </row>
    <row r="9011">
      <c r="J9011">
        <f>IFERROR(__xludf.DUMMYFUNCTION("""COMPUTED_VALUE"""),"Waterloo, Ontario and Edmonton, Alberta")</f>
        <v/>
      </c>
      <c r="K9011">
        <f>IFERROR(__xludf.DUMMYFUNCTION("""COMPUTED_VALUE"""),4190.78)</f>
        <v/>
      </c>
    </row>
    <row r="9012">
      <c r="J9012">
        <f>IFERROR(__xludf.DUMMYFUNCTION("""COMPUTED_VALUE"""),"Calgary, Alberta; Banff, Alberta")</f>
        <v/>
      </c>
      <c r="K9012">
        <f>IFERROR(__xludf.DUMMYFUNCTION("""COMPUTED_VALUE"""),4189.25)</f>
        <v/>
      </c>
    </row>
    <row r="9013">
      <c r="J9013">
        <f>IFERROR(__xludf.DUMMYFUNCTION("""COMPUTED_VALUE"""),"Minneapolis, MN")</f>
        <v/>
      </c>
      <c r="K9013">
        <f>IFERROR(__xludf.DUMMYFUNCTION("""COMPUTED_VALUE"""),4187.88999999999)</f>
        <v/>
      </c>
    </row>
    <row r="9014">
      <c r="J9014">
        <f>IFERROR(__xludf.DUMMYFUNCTION("""COMPUTED_VALUE"""),"Halifax, Nova Scotia; St. John’s, Newfoundland , Moncton and Fredericton, New Brunswick")</f>
        <v/>
      </c>
      <c r="K9014">
        <f>IFERROR(__xludf.DUMMYFUNCTION("""COMPUTED_VALUE"""),4187.48)</f>
        <v/>
      </c>
    </row>
    <row r="9015">
      <c r="J9015">
        <f>IFERROR(__xludf.DUMMYFUNCTION("""COMPUTED_VALUE"""),"Woodstock, Ontario, Canada")</f>
        <v/>
      </c>
      <c r="K9015">
        <f>IFERROR(__xludf.DUMMYFUNCTION("""COMPUTED_VALUE"""),4185.39)</f>
        <v/>
      </c>
    </row>
    <row r="9016">
      <c r="J9016">
        <f>IFERROR(__xludf.DUMMYFUNCTION("""COMPUTED_VALUE"""),"Toronto, Ontario and Montréal, Québec")</f>
        <v/>
      </c>
      <c r="K9016">
        <f>IFERROR(__xludf.DUMMYFUNCTION("""COMPUTED_VALUE"""),4184.63)</f>
        <v/>
      </c>
    </row>
    <row r="9017">
      <c r="J9017">
        <f>IFERROR(__xludf.DUMMYFUNCTION("""COMPUTED_VALUE"""),"Montréal, Quebec; Winnipeg, Manitoba; Regina, Saskatchewan, Canada")</f>
        <v/>
      </c>
      <c r="K9017">
        <f>IFERROR(__xludf.DUMMYFUNCTION("""COMPUTED_VALUE"""),4184)</f>
        <v/>
      </c>
    </row>
    <row r="9018">
      <c r="J9018">
        <f>IFERROR(__xludf.DUMMYFUNCTION("""COMPUTED_VALUE"""),"Saskatoon, Saskatchewan / Whitehorse, Yukon / Edmonton, Alberta")</f>
        <v/>
      </c>
      <c r="K9018">
        <f>IFERROR(__xludf.DUMMYFUNCTION("""COMPUTED_VALUE"""),4183.88)</f>
        <v/>
      </c>
    </row>
    <row r="9019">
      <c r="J9019">
        <f>IFERROR(__xludf.DUMMYFUNCTION("""COMPUTED_VALUE"""),"Whitehorse, YT / Vancouver, BC")</f>
        <v/>
      </c>
      <c r="K9019">
        <f>IFERROR(__xludf.DUMMYFUNCTION("""COMPUTED_VALUE"""),4183.35)</f>
        <v/>
      </c>
    </row>
    <row r="9020">
      <c r="J9020">
        <f>IFERROR(__xludf.DUMMYFUNCTION("""COMPUTED_VALUE"""),"Halifax, Nova-Scotia, Canada  Ottawa, Ontario, Canada")</f>
        <v/>
      </c>
      <c r="K9020">
        <f>IFERROR(__xludf.DUMMYFUNCTION("""COMPUTED_VALUE"""),4182.32)</f>
        <v/>
      </c>
    </row>
    <row r="9021">
      <c r="J9021">
        <f>IFERROR(__xludf.DUMMYFUNCTION("""COMPUTED_VALUE"""),"Edmonton, Alberta, Canada; Saskatoon, Saskatchewan, Canada")</f>
        <v/>
      </c>
      <c r="K9021">
        <f>IFERROR(__xludf.DUMMYFUNCTION("""COMPUTED_VALUE"""),4180.88999999999)</f>
        <v/>
      </c>
    </row>
    <row r="9022">
      <c r="J9022">
        <f>IFERROR(__xludf.DUMMYFUNCTION("""COMPUTED_VALUE"""),"Québec, Quebec, Canada; Chicoutimi, Quebec, Canada")</f>
        <v/>
      </c>
      <c r="K9022">
        <f>IFERROR(__xludf.DUMMYFUNCTION("""COMPUTED_VALUE"""),4180.82)</f>
        <v/>
      </c>
    </row>
    <row r="9023">
      <c r="J9023">
        <f>IFERROR(__xludf.DUMMYFUNCTION("""COMPUTED_VALUE"""),"New Haven, Connecticut, United States")</f>
        <v/>
      </c>
      <c r="K9023">
        <f>IFERROR(__xludf.DUMMYFUNCTION("""COMPUTED_VALUE"""),4180.76)</f>
        <v/>
      </c>
    </row>
    <row r="9024">
      <c r="J9024">
        <f>IFERROR(__xludf.DUMMYFUNCTION("""COMPUTED_VALUE"""),"St. John's, Newfoundland and Labrador, Canada and Dartmouth, Nova Scotia, Canada and Halifax, Nova Scotia, Canada")</f>
        <v/>
      </c>
      <c r="K9024">
        <f>IFERROR(__xludf.DUMMYFUNCTION("""COMPUTED_VALUE"""),4180.62)</f>
        <v/>
      </c>
    </row>
    <row r="9025">
      <c r="J9025">
        <f>IFERROR(__xludf.DUMMYFUNCTION("""COMPUTED_VALUE"""),"Arlington, United States and Montreal, Québec")</f>
        <v/>
      </c>
      <c r="K9025">
        <f>IFERROR(__xludf.DUMMYFUNCTION("""COMPUTED_VALUE"""),4180.18)</f>
        <v/>
      </c>
    </row>
    <row r="9026">
      <c r="J9026">
        <f>IFERROR(__xludf.DUMMYFUNCTION("""COMPUTED_VALUE"""),"St.John's Newfoundland, Halifax, Nova Scotia and Charlottetown, Prince Edward Island, Canada")</f>
        <v/>
      </c>
      <c r="K9026">
        <f>IFERROR(__xludf.DUMMYFUNCTION("""COMPUTED_VALUE"""),4180.02)</f>
        <v/>
      </c>
    </row>
    <row r="9027">
      <c r="J9027">
        <f>IFERROR(__xludf.DUMMYFUNCTION("""COMPUTED_VALUE"""),"Edmonton, AB / Vancouver, BC / Toronto, ON")</f>
        <v/>
      </c>
      <c r="K9027">
        <f>IFERROR(__xludf.DUMMYFUNCTION("""COMPUTED_VALUE"""),4179.77)</f>
        <v/>
      </c>
    </row>
    <row r="9028">
      <c r="J9028">
        <f>IFERROR(__xludf.DUMMYFUNCTION("""COMPUTED_VALUE"""),"Québec  City, QC")</f>
        <v/>
      </c>
      <c r="K9028">
        <f>IFERROR(__xludf.DUMMYFUNCTION("""COMPUTED_VALUE"""),4179.61)</f>
        <v/>
      </c>
    </row>
    <row r="9029">
      <c r="J9029">
        <f>IFERROR(__xludf.DUMMYFUNCTION("""COMPUTED_VALUE"""),"Norman Wells, NT")</f>
        <v/>
      </c>
      <c r="K9029">
        <f>IFERROR(__xludf.DUMMYFUNCTION("""COMPUTED_VALUE"""),4179.18)</f>
        <v/>
      </c>
    </row>
    <row r="9030">
      <c r="J9030">
        <f>IFERROR(__xludf.DUMMYFUNCTION("""COMPUTED_VALUE"""),"Barbados and St. Lucia")</f>
        <v/>
      </c>
      <c r="K9030">
        <f>IFERROR(__xludf.DUMMYFUNCTION("""COMPUTED_VALUE"""),4179.05)</f>
        <v/>
      </c>
    </row>
    <row r="9031">
      <c r="J9031">
        <f>IFERROR(__xludf.DUMMYFUNCTION("""COMPUTED_VALUE"""),"Halifax, NS, Gagetown, NB and Ottawa, ON")</f>
        <v/>
      </c>
      <c r="K9031">
        <f>IFERROR(__xludf.DUMMYFUNCTION("""COMPUTED_VALUE"""),4178.69)</f>
        <v/>
      </c>
    </row>
    <row r="9032">
      <c r="J9032">
        <f>IFERROR(__xludf.DUMMYFUNCTION("""COMPUTED_VALUE"""),"Ottawa - Vancouver - Calgary - Ottawa")</f>
        <v/>
      </c>
      <c r="K9032">
        <f>IFERROR(__xludf.DUMMYFUNCTION("""COMPUTED_VALUE"""),4177.80999999999)</f>
        <v/>
      </c>
    </row>
    <row r="9033">
      <c r="J9033">
        <f>IFERROR(__xludf.DUMMYFUNCTION("""COMPUTED_VALUE"""),"Calgary, Alberta, Canada and Vancouver, British Columbia, Canada")</f>
        <v/>
      </c>
      <c r="K9033">
        <f>IFERROR(__xludf.DUMMYFUNCTION("""COMPUTED_VALUE"""),4177.74)</f>
        <v/>
      </c>
    </row>
    <row r="9034">
      <c r="J9034">
        <f>IFERROR(__xludf.DUMMYFUNCTION("""COMPUTED_VALUE"""),"Vancouver, Victoria, British Columbia")</f>
        <v/>
      </c>
      <c r="K9034">
        <f>IFERROR(__xludf.DUMMYFUNCTION("""COMPUTED_VALUE"""),4175.46)</f>
        <v/>
      </c>
    </row>
    <row r="9035">
      <c r="J9035">
        <f>IFERROR(__xludf.DUMMYFUNCTION("""COMPUTED_VALUE"""),"Calgary, Alberta / Sudbury, Ontario, Canada")</f>
        <v/>
      </c>
      <c r="K9035">
        <f>IFERROR(__xludf.DUMMYFUNCTION("""COMPUTED_VALUE"""),4174.04)</f>
        <v/>
      </c>
    </row>
    <row r="9036">
      <c r="J9036">
        <f>IFERROR(__xludf.DUMMYFUNCTION("""COMPUTED_VALUE"""),"Point Edward, Ontario, Canada")</f>
        <v/>
      </c>
      <c r="K9036">
        <f>IFERROR(__xludf.DUMMYFUNCTION("""COMPUTED_VALUE"""),4173.45999999999)</f>
        <v/>
      </c>
    </row>
    <row r="9037">
      <c r="J9037">
        <f>IFERROR(__xludf.DUMMYFUNCTION("""COMPUTED_VALUE"""),"Cleveland, Ohio, United States / Atlanta, Georgia, United States")</f>
        <v/>
      </c>
      <c r="K9037">
        <f>IFERROR(__xludf.DUMMYFUNCTION("""COMPUTED_VALUE"""),4172.93)</f>
        <v/>
      </c>
    </row>
    <row r="9038">
      <c r="J9038">
        <f>IFERROR(__xludf.DUMMYFUNCTION("""COMPUTED_VALUE"""),"Nunavut, Iqaluit, Canada")</f>
        <v/>
      </c>
      <c r="K9038">
        <f>IFERROR(__xludf.DUMMYFUNCTION("""COMPUTED_VALUE"""),4171.66)</f>
        <v/>
      </c>
    </row>
    <row r="9039">
      <c r="J9039">
        <f>IFERROR(__xludf.DUMMYFUNCTION("""COMPUTED_VALUE"""),"Kamloops, British Columbia, Canada; Vancouver, British Columbia")</f>
        <v/>
      </c>
      <c r="K9039">
        <f>IFERROR(__xludf.DUMMYFUNCTION("""COMPUTED_VALUE"""),4170.58)</f>
        <v/>
      </c>
    </row>
    <row r="9040">
      <c r="J9040">
        <f>IFERROR(__xludf.DUMMYFUNCTION("""COMPUTED_VALUE"""),"Mexico, Mexico - Bogota, Colombia")</f>
        <v/>
      </c>
      <c r="K9040">
        <f>IFERROR(__xludf.DUMMYFUNCTION("""COMPUTED_VALUE"""),4170.03)</f>
        <v/>
      </c>
    </row>
    <row r="9041">
      <c r="J9041">
        <f>IFERROR(__xludf.DUMMYFUNCTION("""COMPUTED_VALUE"""),"Sudbury, Ontario, Canada; Timmins, Ontario, Canad")</f>
        <v/>
      </c>
      <c r="K9041">
        <f>IFERROR(__xludf.DUMMYFUNCTION("""COMPUTED_VALUE"""),4169.27)</f>
        <v/>
      </c>
    </row>
    <row r="9042">
      <c r="J9042">
        <f>IFERROR(__xludf.DUMMYFUNCTION("""COMPUTED_VALUE"""),"Ontario, Manitoba &amp; Saskatchewan")</f>
        <v/>
      </c>
      <c r="K9042">
        <f>IFERROR(__xludf.DUMMYFUNCTION("""COMPUTED_VALUE"""),4169.14)</f>
        <v/>
      </c>
    </row>
    <row r="9043">
      <c r="J9043">
        <f>IFERROR(__xludf.DUMMYFUNCTION("""COMPUTED_VALUE"""),"North Bay, Ontario")</f>
        <v/>
      </c>
      <c r="K9043">
        <f>IFERROR(__xludf.DUMMYFUNCTION("""COMPUTED_VALUE"""),4169)</f>
        <v/>
      </c>
    </row>
    <row r="9044">
      <c r="J9044">
        <f>IFERROR(__xludf.DUMMYFUNCTION("""COMPUTED_VALUE"""),"United States &amp; Saint Andrews, New Brunswick, Canada")</f>
        <v/>
      </c>
      <c r="K9044">
        <f>IFERROR(__xludf.DUMMYFUNCTION("""COMPUTED_VALUE"""),4168.65)</f>
        <v/>
      </c>
    </row>
    <row r="9045">
      <c r="J9045">
        <f>IFERROR(__xludf.DUMMYFUNCTION("""COMPUTED_VALUE"""),"Vancouver, British columbia, Canada")</f>
        <v/>
      </c>
      <c r="K9045">
        <f>IFERROR(__xludf.DUMMYFUNCTION("""COMPUTED_VALUE"""),4168.2)</f>
        <v/>
      </c>
    </row>
    <row r="9046">
      <c r="J9046">
        <f>IFERROR(__xludf.DUMMYFUNCTION("""COMPUTED_VALUE"""),"Lethbridge, Alberta; Vancouver, British Columbia; Fredericton, New Brunswick")</f>
        <v/>
      </c>
      <c r="K9046">
        <f>IFERROR(__xludf.DUMMYFUNCTION("""COMPUTED_VALUE"""),4168.16)</f>
        <v/>
      </c>
    </row>
    <row r="9047">
      <c r="J9047">
        <f>IFERROR(__xludf.DUMMYFUNCTION("""COMPUTED_VALUE"""),"Vancouver, BC - Edmonton, AB - Prince George, BC")</f>
        <v/>
      </c>
      <c r="K9047">
        <f>IFERROR(__xludf.DUMMYFUNCTION("""COMPUTED_VALUE"""),4166.75)</f>
        <v/>
      </c>
    </row>
    <row r="9048">
      <c r="J9048">
        <f>IFERROR(__xludf.DUMMYFUNCTION("""COMPUTED_VALUE"""),"St-John's, Newfoundland  and Labrador, Canada;")</f>
        <v/>
      </c>
      <c r="K9048">
        <f>IFERROR(__xludf.DUMMYFUNCTION("""COMPUTED_VALUE"""),4166.26)</f>
        <v/>
      </c>
    </row>
    <row r="9049">
      <c r="J9049">
        <f>IFERROR(__xludf.DUMMYFUNCTION("""COMPUTED_VALUE"""),"Ottawa,Toronta,Halifax,canada")</f>
        <v/>
      </c>
      <c r="K9049">
        <f>IFERROR(__xludf.DUMMYFUNCTION("""COMPUTED_VALUE"""),4165.74)</f>
        <v/>
      </c>
    </row>
    <row r="9050">
      <c r="J9050">
        <f>IFERROR(__xludf.DUMMYFUNCTION("""COMPUTED_VALUE"""),"Agassiz, British-Columbia")</f>
        <v/>
      </c>
      <c r="K9050">
        <f>IFERROR(__xludf.DUMMYFUNCTION("""COMPUTED_VALUE"""),4162.72)</f>
        <v/>
      </c>
    </row>
    <row r="9051">
      <c r="J9051">
        <f>IFERROR(__xludf.DUMMYFUNCTION("""COMPUTED_VALUE"""),"Copenhagen (Denmark) Europe")</f>
        <v/>
      </c>
      <c r="K9051">
        <f>IFERROR(__xludf.DUMMYFUNCTION("""COMPUTED_VALUE"""),4160.97)</f>
        <v/>
      </c>
    </row>
    <row r="9052">
      <c r="J9052">
        <f>IFERROR(__xludf.DUMMYFUNCTION("""COMPUTED_VALUE"""),"(Alberta and Northwest Territories)")</f>
        <v/>
      </c>
      <c r="K9052">
        <f>IFERROR(__xludf.DUMMYFUNCTION("""COMPUTED_VALUE"""),4160.78)</f>
        <v/>
      </c>
    </row>
    <row r="9053">
      <c r="J9053">
        <f>IFERROR(__xludf.DUMMYFUNCTION("""COMPUTED_VALUE"""),"Cold Lake")</f>
        <v/>
      </c>
      <c r="K9053">
        <f>IFERROR(__xludf.DUMMYFUNCTION("""COMPUTED_VALUE"""),4159.98)</f>
        <v/>
      </c>
    </row>
    <row r="9054">
      <c r="J9054">
        <f>IFERROR(__xludf.DUMMYFUNCTION("""COMPUTED_VALUE"""),"Waterloo, Kitchener, Ontario, Canada")</f>
        <v/>
      </c>
      <c r="K9054">
        <f>IFERROR(__xludf.DUMMYFUNCTION("""COMPUTED_VALUE"""),4159.95)</f>
        <v/>
      </c>
    </row>
    <row r="9055">
      <c r="J9055">
        <f>IFERROR(__xludf.DUMMYFUNCTION("""COMPUTED_VALUE"""),"Valcartier, Quebec")</f>
        <v/>
      </c>
      <c r="K9055">
        <f>IFERROR(__xludf.DUMMYFUNCTION("""COMPUTED_VALUE"""),4159.93)</f>
        <v/>
      </c>
    </row>
    <row r="9056">
      <c r="J9056">
        <f>IFERROR(__xludf.DUMMYFUNCTION("""COMPUTED_VALUE"""),"Kingston, ON, Canada")</f>
        <v/>
      </c>
      <c r="K9056">
        <f>IFERROR(__xludf.DUMMYFUNCTION("""COMPUTED_VALUE"""),4159.57)</f>
        <v/>
      </c>
    </row>
    <row r="9057">
      <c r="J9057">
        <f>IFERROR(__xludf.DUMMYFUNCTION("""COMPUTED_VALUE"""),"Niagara, Ontario, Canada / Halifax, Nova Scotia, Canada")</f>
        <v/>
      </c>
      <c r="K9057">
        <f>IFERROR(__xludf.DUMMYFUNCTION("""COMPUTED_VALUE"""),4159.42)</f>
        <v/>
      </c>
    </row>
    <row r="9058">
      <c r="J9058">
        <f>IFERROR(__xludf.DUMMYFUNCTION("""COMPUTED_VALUE"""),"Moncton and Saint John, New Brunswick, Halifax, Nova Scotia and Deer Lake, Newfoundland and Labrador")</f>
        <v/>
      </c>
      <c r="K9058">
        <f>IFERROR(__xludf.DUMMYFUNCTION("""COMPUTED_VALUE"""),4159.13)</f>
        <v/>
      </c>
    </row>
    <row r="9059">
      <c r="J9059">
        <f>IFERROR(__xludf.DUMMYFUNCTION("""COMPUTED_VALUE"""),"Afghanistan, Islamic Emirate")</f>
        <v/>
      </c>
      <c r="K9059">
        <f>IFERROR(__xludf.DUMMYFUNCTION("""COMPUTED_VALUE"""),4159.02)</f>
        <v/>
      </c>
    </row>
    <row r="9060">
      <c r="J9060">
        <f>IFERROR(__xludf.DUMMYFUNCTION("""COMPUTED_VALUE"""),"Agassiz (Bristish Columbia) Canada 
Summerland (Bristish Columbia) Canada")</f>
        <v/>
      </c>
      <c r="K9060">
        <f>IFERROR(__xludf.DUMMYFUNCTION("""COMPUTED_VALUE"""),4158.45)</f>
        <v/>
      </c>
    </row>
    <row r="9061">
      <c r="J9061">
        <f>IFERROR(__xludf.DUMMYFUNCTION("""COMPUTED_VALUE"""),"Cranbrook, BC")</f>
        <v/>
      </c>
      <c r="K9061">
        <f>IFERROR(__xludf.DUMMYFUNCTION("""COMPUTED_VALUE"""),4157.15)</f>
        <v/>
      </c>
    </row>
    <row r="9062">
      <c r="J9062">
        <f>IFERROR(__xludf.DUMMYFUNCTION("""COMPUTED_VALUE"""),"Winnipeg/Toronto")</f>
        <v/>
      </c>
      <c r="K9062">
        <f>IFERROR(__xludf.DUMMYFUNCTION("""COMPUTED_VALUE"""),4157.13999999999)</f>
        <v/>
      </c>
    </row>
    <row r="9063">
      <c r="J9063">
        <f>IFERROR(__xludf.DUMMYFUNCTION("""COMPUTED_VALUE"""),"St. Johns, Newfoundland and Guelph, Ontario")</f>
        <v/>
      </c>
      <c r="K9063">
        <f>IFERROR(__xludf.DUMMYFUNCTION("""COMPUTED_VALUE"""),4156.85)</f>
        <v/>
      </c>
    </row>
    <row r="9064">
      <c r="J9064">
        <f>IFERROR(__xludf.DUMMYFUNCTION("""COMPUTED_VALUE"""),"Edmonton, Alberta; Regina, Saskatchewan; Vancouver, British Columbia")</f>
        <v/>
      </c>
      <c r="K9064">
        <f>IFERROR(__xludf.DUMMYFUNCTION("""COMPUTED_VALUE"""),4156.65)</f>
        <v/>
      </c>
    </row>
    <row r="9065">
      <c r="J9065">
        <f>IFERROR(__xludf.DUMMYFUNCTION("""COMPUTED_VALUE"""),"Norfolk, US &amp; Ottawa, ON")</f>
        <v/>
      </c>
      <c r="K9065">
        <f>IFERROR(__xludf.DUMMYFUNCTION("""COMPUTED_VALUE"""),4155.48)</f>
        <v/>
      </c>
    </row>
    <row r="9066">
      <c r="J9066">
        <f>IFERROR(__xludf.DUMMYFUNCTION("""COMPUTED_VALUE"""),"Vanouver/Victoria")</f>
        <v/>
      </c>
      <c r="K9066">
        <f>IFERROR(__xludf.DUMMYFUNCTION("""COMPUTED_VALUE"""),4155.23)</f>
        <v/>
      </c>
    </row>
    <row r="9067">
      <c r="J9067">
        <f>IFERROR(__xludf.DUMMYFUNCTION("""COMPUTED_VALUE"""),"Signapore, Asia")</f>
        <v/>
      </c>
      <c r="K9067">
        <f>IFERROR(__xludf.DUMMYFUNCTION("""COMPUTED_VALUE"""),4154.91)</f>
        <v/>
      </c>
    </row>
    <row r="9068">
      <c r="J9068">
        <f>IFERROR(__xludf.DUMMYFUNCTION("""COMPUTED_VALUE"""),"Quebec City, Quebec; Bagotville, Quebec; Montreal, Quebec; Ottawa, Ontario")</f>
        <v/>
      </c>
      <c r="K9068">
        <f>IFERROR(__xludf.DUMMYFUNCTION("""COMPUTED_VALUE"""),4153.81)</f>
        <v/>
      </c>
    </row>
    <row r="9069">
      <c r="J9069">
        <f>IFERROR(__xludf.DUMMYFUNCTION("""COMPUTED_VALUE"""),"Toronto, Ontario / Kitchener,
Ontario")</f>
        <v/>
      </c>
      <c r="K9069">
        <f>IFERROR(__xludf.DUMMYFUNCTION("""COMPUTED_VALUE"""),4153.43)</f>
        <v/>
      </c>
    </row>
    <row r="9070">
      <c r="J9070">
        <f>IFERROR(__xludf.DUMMYFUNCTION("""COMPUTED_VALUE"""),"St-John's, Newfoundland and Labrador, Canada and Halifax, Nova Scotia, Canada")</f>
        <v/>
      </c>
      <c r="K9070">
        <f>IFERROR(__xludf.DUMMYFUNCTION("""COMPUTED_VALUE"""),4150.28)</f>
        <v/>
      </c>
    </row>
    <row r="9071">
      <c r="J9071">
        <f>IFERROR(__xludf.DUMMYFUNCTION("""COMPUTED_VALUE"""),"Toronto, Ontario, and Vancouver, British Columbia, Canada")</f>
        <v/>
      </c>
      <c r="K9071">
        <f>IFERROR(__xludf.DUMMYFUNCTION("""COMPUTED_VALUE"""),4150)</f>
        <v/>
      </c>
    </row>
    <row r="9072">
      <c r="J9072">
        <f>IFERROR(__xludf.DUMMYFUNCTION("""COMPUTED_VALUE"""),"Rome, Italy - Paris, France - New York City, NY")</f>
        <v/>
      </c>
      <c r="K9072">
        <f>IFERROR(__xludf.DUMMYFUNCTION("""COMPUTED_VALUE"""),4149.28)</f>
        <v/>
      </c>
    </row>
    <row r="9073">
      <c r="J9073">
        <f>IFERROR(__xludf.DUMMYFUNCTION("""COMPUTED_VALUE"""),"Halifax, NS and Vancouver, BC")</f>
        <v/>
      </c>
      <c r="K9073">
        <f>IFERROR(__xludf.DUMMYFUNCTION("""COMPUTED_VALUE"""),4149.08)</f>
        <v/>
      </c>
    </row>
    <row r="9074">
      <c r="J9074">
        <f>IFERROR(__xludf.DUMMYFUNCTION("""COMPUTED_VALUE"""),"Iqaluit Nunavut")</f>
        <v/>
      </c>
      <c r="K9074">
        <f>IFERROR(__xludf.DUMMYFUNCTION("""COMPUTED_VALUE"""),4148.27)</f>
        <v/>
      </c>
    </row>
    <row r="9075">
      <c r="J9075">
        <f>IFERROR(__xludf.DUMMYFUNCTION("""COMPUTED_VALUE"""),"Calgary and Lake Louise")</f>
        <v/>
      </c>
      <c r="K9075">
        <f>IFERROR(__xludf.DUMMYFUNCTION("""COMPUTED_VALUE"""),4148.1)</f>
        <v/>
      </c>
    </row>
    <row r="9076">
      <c r="J9076">
        <f>IFERROR(__xludf.DUMMYFUNCTION("""COMPUTED_VALUE"""),"Toronto, Sault Ste. Marie, Ontario, Canada")</f>
        <v/>
      </c>
      <c r="K9076">
        <f>IFERROR(__xludf.DUMMYFUNCTION("""COMPUTED_VALUE"""),4147.78)</f>
        <v/>
      </c>
    </row>
    <row r="9077">
      <c r="J9077">
        <f>IFERROR(__xludf.DUMMYFUNCTION("""COMPUTED_VALUE"""),"Saint John, NB, Canada")</f>
        <v/>
      </c>
      <c r="K9077">
        <f>IFERROR(__xludf.DUMMYFUNCTION("""COMPUTED_VALUE"""),4147.39)</f>
        <v/>
      </c>
    </row>
    <row r="9078">
      <c r="J9078">
        <f>IFERROR(__xludf.DUMMYFUNCTION("""COMPUTED_VALUE"""),"Toronto, ON, Hamilton, Bermuda")</f>
        <v/>
      </c>
      <c r="K9078">
        <f>IFERROR(__xludf.DUMMYFUNCTION("""COMPUTED_VALUE"""),4147.17)</f>
        <v/>
      </c>
    </row>
    <row r="9079">
      <c r="J9079">
        <f>IFERROR(__xludf.DUMMYFUNCTION("""COMPUTED_VALUE"""),"Rochester, MN USA")</f>
        <v/>
      </c>
      <c r="K9079">
        <f>IFERROR(__xludf.DUMMYFUNCTION("""COMPUTED_VALUE"""),4146.97)</f>
        <v/>
      </c>
    </row>
    <row r="9080">
      <c r="J9080">
        <f>IFERROR(__xludf.DUMMYFUNCTION("""COMPUTED_VALUE"""),"Memphis, TN")</f>
        <v/>
      </c>
      <c r="K9080">
        <f>IFERROR(__xludf.DUMMYFUNCTION("""COMPUTED_VALUE"""),4146)</f>
        <v/>
      </c>
    </row>
    <row r="9081">
      <c r="J9081">
        <f>IFERROR(__xludf.DUMMYFUNCTION("""COMPUTED_VALUE"""),"Val d'Or, Quebec &amp; Victoria, Vancouver")</f>
        <v/>
      </c>
      <c r="K9081">
        <f>IFERROR(__xludf.DUMMYFUNCTION("""COMPUTED_VALUE"""),4145.35)</f>
        <v/>
      </c>
    </row>
    <row r="9082">
      <c r="J9082">
        <f>IFERROR(__xludf.DUMMYFUNCTION("""COMPUTED_VALUE"""),"Victoria - BC")</f>
        <v/>
      </c>
      <c r="K9082">
        <f>IFERROR(__xludf.DUMMYFUNCTION("""COMPUTED_VALUE"""),4145.1)</f>
        <v/>
      </c>
    </row>
    <row r="9083">
      <c r="J9083">
        <f>IFERROR(__xludf.DUMMYFUNCTION("""COMPUTED_VALUE"""),"Toronto, Ontario, Canada;
Montreal, Quebec, Canada")</f>
        <v/>
      </c>
      <c r="K9083">
        <f>IFERROR(__xludf.DUMMYFUNCTION("""COMPUTED_VALUE"""),4144.37)</f>
        <v/>
      </c>
    </row>
    <row r="9084">
      <c r="J9084">
        <f>IFERROR(__xludf.DUMMYFUNCTION("""COMPUTED_VALUE"""),"Niagara-on-the-lake, Ontario, Canada")</f>
        <v/>
      </c>
      <c r="K9084">
        <f>IFERROR(__xludf.DUMMYFUNCTION("""COMPUTED_VALUE"""),4143.88)</f>
        <v/>
      </c>
    </row>
    <row r="9085">
      <c r="J9085">
        <f>IFERROR(__xludf.DUMMYFUNCTION("""COMPUTED_VALUE"""),"Toronto, Ontario, Canada / Hamilton, Ontario, Canada")</f>
        <v/>
      </c>
      <c r="K9085">
        <f>IFERROR(__xludf.DUMMYFUNCTION("""COMPUTED_VALUE"""),4141.56)</f>
        <v/>
      </c>
    </row>
    <row r="9086">
      <c r="J9086">
        <f>IFERROR(__xludf.DUMMYFUNCTION("""COMPUTED_VALUE"""),"Dallas and Phoenix Texas")</f>
        <v/>
      </c>
      <c r="K9086">
        <f>IFERROR(__xludf.DUMMYFUNCTION("""COMPUTED_VALUE"""),4140.38)</f>
        <v/>
      </c>
    </row>
    <row r="9087">
      <c r="J9087">
        <f>IFERROR(__xludf.DUMMYFUNCTION("""COMPUTED_VALUE"""),"Ottawa
")</f>
        <v/>
      </c>
      <c r="K9087">
        <f>IFERROR(__xludf.DUMMYFUNCTION("""COMPUTED_VALUE"""),4139.95999999999)</f>
        <v/>
      </c>
    </row>
    <row r="9088">
      <c r="J9088">
        <f>IFERROR(__xludf.DUMMYFUNCTION("""COMPUTED_VALUE"""),"Orlando (Florida) United States")</f>
        <v/>
      </c>
      <c r="K9088">
        <f>IFERROR(__xludf.DUMMYFUNCTION("""COMPUTED_VALUE"""),4139.19)</f>
        <v/>
      </c>
    </row>
    <row r="9089">
      <c r="J9089">
        <f>IFERROR(__xludf.DUMMYFUNCTION("""COMPUTED_VALUE"""),"Ottawa, Colorado, Los Angeles")</f>
        <v/>
      </c>
      <c r="K9089">
        <f>IFERROR(__xludf.DUMMYFUNCTION("""COMPUTED_VALUE"""),4138.74)</f>
        <v/>
      </c>
    </row>
    <row r="9090">
      <c r="J9090">
        <f>IFERROR(__xludf.DUMMYFUNCTION("""COMPUTED_VALUE"""),"Quebec &amp; Cap-Aux-Meules &amp; Matane, Quebec &amp; Winnipeg, Manitoba")</f>
        <v/>
      </c>
      <c r="K9090">
        <f>IFERROR(__xludf.DUMMYFUNCTION("""COMPUTED_VALUE"""),4136.72)</f>
        <v/>
      </c>
    </row>
    <row r="9091">
      <c r="J9091">
        <f>IFERROR(__xludf.DUMMYFUNCTION("""COMPUTED_VALUE"""),"Berlin, Germany / London, England")</f>
        <v/>
      </c>
      <c r="K9091">
        <f>IFERROR(__xludf.DUMMYFUNCTION("""COMPUTED_VALUE"""),4134.71)</f>
        <v/>
      </c>
    </row>
    <row r="9092">
      <c r="J9092">
        <f>IFERROR(__xludf.DUMMYFUNCTION("""COMPUTED_VALUE"""),"Toronto, Edmonton and Winnipeg")</f>
        <v/>
      </c>
      <c r="K9092">
        <f>IFERROR(__xludf.DUMMYFUNCTION("""COMPUTED_VALUE"""),4134.49)</f>
        <v/>
      </c>
    </row>
    <row r="9093">
      <c r="J9093">
        <f>IFERROR(__xludf.DUMMYFUNCTION("""COMPUTED_VALUE"""),"Toronto, Ontario and Atlanta, Unites States of America")</f>
        <v/>
      </c>
      <c r="K9093">
        <f>IFERROR(__xludf.DUMMYFUNCTION("""COMPUTED_VALUE"""),4133.46)</f>
        <v/>
      </c>
    </row>
    <row r="9094">
      <c r="J9094">
        <f>IFERROR(__xludf.DUMMYFUNCTION("""COMPUTED_VALUE"""),"Jerusalem")</f>
        <v/>
      </c>
      <c r="K9094">
        <f>IFERROR(__xludf.DUMMYFUNCTION("""COMPUTED_VALUE"""),4133.05)</f>
        <v/>
      </c>
    </row>
    <row r="9095">
      <c r="J9095">
        <f>IFERROR(__xludf.DUMMYFUNCTION("""COMPUTED_VALUE"""),"Darwin, NT, Australia")</f>
        <v/>
      </c>
      <c r="K9095">
        <f>IFERROR(__xludf.DUMMYFUNCTION("""COMPUTED_VALUE"""),4131.18)</f>
        <v/>
      </c>
    </row>
    <row r="9096">
      <c r="J9096">
        <f>IFERROR(__xludf.DUMMYFUNCTION("""COMPUTED_VALUE"""),"Regina, Saskatchewan and Winnipeg, Manitoba, Canada")</f>
        <v/>
      </c>
      <c r="K9096">
        <f>IFERROR(__xludf.DUMMYFUNCTION("""COMPUTED_VALUE"""),4130.72)</f>
        <v/>
      </c>
    </row>
    <row r="9097">
      <c r="J9097">
        <f>IFERROR(__xludf.DUMMYFUNCTION("""COMPUTED_VALUE"""),"Winnipeg, MB - Vancouver, BC")</f>
        <v/>
      </c>
      <c r="K9097">
        <f>IFERROR(__xludf.DUMMYFUNCTION("""COMPUTED_VALUE"""),4130.68)</f>
        <v/>
      </c>
    </row>
    <row r="9098">
      <c r="J9098">
        <f>IFERROR(__xludf.DUMMYFUNCTION("""COMPUTED_VALUE"""),"Washington, D.C. U.S.A")</f>
        <v/>
      </c>
      <c r="K9098">
        <f>IFERROR(__xludf.DUMMYFUNCTION("""COMPUTED_VALUE"""),4129.99)</f>
        <v/>
      </c>
    </row>
    <row r="9099">
      <c r="J9099">
        <f>IFERROR(__xludf.DUMMYFUNCTION("""COMPUTED_VALUE"""),"Colorado Springs, Colorado
Washington, DC")</f>
        <v/>
      </c>
      <c r="K9099">
        <f>IFERROR(__xludf.DUMMYFUNCTION("""COMPUTED_VALUE"""),4129.25)</f>
        <v/>
      </c>
    </row>
    <row r="9100">
      <c r="J9100">
        <f>IFERROR(__xludf.DUMMYFUNCTION("""COMPUTED_VALUE"""),"Toronto, ON / Cleveland, US")</f>
        <v/>
      </c>
      <c r="K9100">
        <f>IFERROR(__xludf.DUMMYFUNCTION("""COMPUTED_VALUE"""),4128.41)</f>
        <v/>
      </c>
    </row>
    <row r="9101">
      <c r="J9101">
        <f>IFERROR(__xludf.DUMMYFUNCTION("""COMPUTED_VALUE"""),"Los, Angeles, California, USA")</f>
        <v/>
      </c>
      <c r="K9101">
        <f>IFERROR(__xludf.DUMMYFUNCTION("""COMPUTED_VALUE"""),4128.12)</f>
        <v/>
      </c>
    </row>
    <row r="9102">
      <c r="J9102">
        <f>IFERROR(__xludf.DUMMYFUNCTION("""COMPUTED_VALUE"""),"Victoria,  British Columbia")</f>
        <v/>
      </c>
      <c r="K9102">
        <f>IFERROR(__xludf.DUMMYFUNCTION("""COMPUTED_VALUE"""),4126.07)</f>
        <v/>
      </c>
    </row>
    <row r="9103">
      <c r="J9103">
        <f>IFERROR(__xludf.DUMMYFUNCTION("""COMPUTED_VALUE"""),"Rapid City, South Dakota / Minneapolis, Minnesota  / Toronto, Ontario")</f>
        <v/>
      </c>
      <c r="K9103">
        <f>IFERROR(__xludf.DUMMYFUNCTION("""COMPUTED_VALUE"""),4125.91)</f>
        <v/>
      </c>
    </row>
    <row r="9104">
      <c r="J9104">
        <f>IFERROR(__xludf.DUMMYFUNCTION("""COMPUTED_VALUE"""),"Rankin Inlet, Nunavut, Canada / Arviat, Nunavut, Canada / Iqualuit, Nunavut, Canada / Pond Inlet, Nunavut, Canada")</f>
        <v/>
      </c>
      <c r="K9104">
        <f>IFERROR(__xludf.DUMMYFUNCTION("""COMPUTED_VALUE"""),4123.8)</f>
        <v/>
      </c>
    </row>
    <row r="9105">
      <c r="J9105">
        <f>IFERROR(__xludf.DUMMYFUNCTION("""COMPUTED_VALUE"""),"St. John's, Newfoundland
Vancouver, British Columbia")</f>
        <v/>
      </c>
      <c r="K9105">
        <f>IFERROR(__xludf.DUMMYFUNCTION("""COMPUTED_VALUE"""),4123.79)</f>
        <v/>
      </c>
    </row>
    <row r="9106">
      <c r="J9106">
        <f>IFERROR(__xludf.DUMMYFUNCTION("""COMPUTED_VALUE"""),"Seattle, Washington State, United States")</f>
        <v/>
      </c>
      <c r="K9106">
        <f>IFERROR(__xludf.DUMMYFUNCTION("""COMPUTED_VALUE"""),4123.38)</f>
        <v/>
      </c>
    </row>
    <row r="9107">
      <c r="J9107">
        <f>IFERROR(__xludf.DUMMYFUNCTION("""COMPUTED_VALUE"""),"Vancouver, British Columbia;Calgary, Alberta;Medicine Hat, Alberta")</f>
        <v/>
      </c>
      <c r="K9107">
        <f>IFERROR(__xludf.DUMMYFUNCTION("""COMPUTED_VALUE"""),4121.98)</f>
        <v/>
      </c>
    </row>
    <row r="9108">
      <c r="J9108">
        <f>IFERROR(__xludf.DUMMYFUNCTION("""COMPUTED_VALUE"""),"North Bay, Ontario, Canada; Little Current, Ontario, Canada; Sault Ste. Marie, Ontario, Canada")</f>
        <v/>
      </c>
      <c r="K9108">
        <f>IFERROR(__xludf.DUMMYFUNCTION("""COMPUTED_VALUE"""),4120.94)</f>
        <v/>
      </c>
    </row>
    <row r="9109">
      <c r="J9109">
        <f>IFERROR(__xludf.DUMMYFUNCTION("""COMPUTED_VALUE"""),"Halifax, NS / Saint John, NB")</f>
        <v/>
      </c>
      <c r="K9109">
        <f>IFERROR(__xludf.DUMMYFUNCTION("""COMPUTED_VALUE"""),4120.76)</f>
        <v/>
      </c>
    </row>
    <row r="9110">
      <c r="J9110">
        <f>IFERROR(__xludf.DUMMYFUNCTION("""COMPUTED_VALUE"""),"Stratford &amp; London, Ontario, Canada")</f>
        <v/>
      </c>
      <c r="K9110">
        <f>IFERROR(__xludf.DUMMYFUNCTION("""COMPUTED_VALUE"""),4120.55)</f>
        <v/>
      </c>
    </row>
    <row r="9111">
      <c r="J9111">
        <f>IFERROR(__xludf.DUMMYFUNCTION("""COMPUTED_VALUE"""),"Quebec City (Quebec) Canada")</f>
        <v/>
      </c>
      <c r="K9111">
        <f>IFERROR(__xludf.DUMMYFUNCTION("""COMPUTED_VALUE"""),4120.5)</f>
        <v/>
      </c>
    </row>
    <row r="9112">
      <c r="J9112">
        <f>IFERROR(__xludf.DUMMYFUNCTION("""COMPUTED_VALUE"""),"New York, United State of America")</f>
        <v/>
      </c>
      <c r="K9112">
        <f>IFERROR(__xludf.DUMMYFUNCTION("""COMPUTED_VALUE"""),4119.9)</f>
        <v/>
      </c>
    </row>
    <row r="9113">
      <c r="J9113">
        <f>IFERROR(__xludf.DUMMYFUNCTION("""COMPUTED_VALUE"""),"Boston, Mass, USA")</f>
        <v/>
      </c>
      <c r="K9113">
        <f>IFERROR(__xludf.DUMMYFUNCTION("""COMPUTED_VALUE"""),4119.85)</f>
        <v/>
      </c>
    </row>
    <row r="9114">
      <c r="J9114">
        <f>IFERROR(__xludf.DUMMYFUNCTION("""COMPUTED_VALUE"""),"Mexico City, Columbia and Cuba")</f>
        <v/>
      </c>
      <c r="K9114">
        <f>IFERROR(__xludf.DUMMYFUNCTION("""COMPUTED_VALUE"""),4119.85)</f>
        <v/>
      </c>
    </row>
    <row r="9115">
      <c r="J9115">
        <f>IFERROR(__xludf.DUMMYFUNCTION("""COMPUTED_VALUE"""),"Regina/Vancouver")</f>
        <v/>
      </c>
      <c r="K9115">
        <f>IFERROR(__xludf.DUMMYFUNCTION("""COMPUTED_VALUE"""),4119.51)</f>
        <v/>
      </c>
    </row>
    <row r="9116">
      <c r="J9116">
        <f>IFERROR(__xludf.DUMMYFUNCTION("""COMPUTED_VALUE"""),"Inuvik, Yukon")</f>
        <v/>
      </c>
      <c r="K9116">
        <f>IFERROR(__xludf.DUMMYFUNCTION("""COMPUTED_VALUE"""),4119.36)</f>
        <v/>
      </c>
    </row>
    <row r="9117">
      <c r="J9117">
        <f>IFERROR(__xludf.DUMMYFUNCTION("""COMPUTED_VALUE"""),"Halifax, Nova Scotia, Canada
St. John's, Newfoundland and Labrador, Canada
Shediac, New Brunswick, Canada")</f>
        <v/>
      </c>
      <c r="K9117">
        <f>IFERROR(__xludf.DUMMYFUNCTION("""COMPUTED_VALUE"""),4119.06)</f>
        <v/>
      </c>
    </row>
    <row r="9118">
      <c r="J9118">
        <f>IFERROR(__xludf.DUMMYFUNCTION("""COMPUTED_VALUE"""),"Regina, SK and Winnipeg, MB")</f>
        <v/>
      </c>
      <c r="K9118">
        <f>IFERROR(__xludf.DUMMYFUNCTION("""COMPUTED_VALUE"""),4118.78)</f>
        <v/>
      </c>
    </row>
    <row r="9119">
      <c r="J9119">
        <f>IFERROR(__xludf.DUMMYFUNCTION("""COMPUTED_VALUE"""),"Kelowna, British Columbia, Canada/  Vancouver, British Columbia, Canada")</f>
        <v/>
      </c>
      <c r="K9119">
        <f>IFERROR(__xludf.DUMMYFUNCTION("""COMPUTED_VALUE"""),4118.19)</f>
        <v/>
      </c>
    </row>
    <row r="9120">
      <c r="J9120">
        <f>IFERROR(__xludf.DUMMYFUNCTION("""COMPUTED_VALUE"""),"Ottawa, ON - Charlottetown, PE /  Charlottetown, PE - Ottawa, ON")</f>
        <v/>
      </c>
      <c r="K9120">
        <f>IFERROR(__xludf.DUMMYFUNCTION("""COMPUTED_VALUE"""),4118.03)</f>
        <v/>
      </c>
    </row>
    <row r="9121">
      <c r="J9121">
        <f>IFERROR(__xludf.DUMMYFUNCTION("""COMPUTED_VALUE"""),"Calgary and Grand Prairie, Alberta, Canada")</f>
        <v/>
      </c>
      <c r="K9121">
        <f>IFERROR(__xludf.DUMMYFUNCTION("""COMPUTED_VALUE"""),4116.57)</f>
        <v/>
      </c>
    </row>
    <row r="9122">
      <c r="J9122">
        <f>IFERROR(__xludf.DUMMYFUNCTION("""COMPUTED_VALUE"""),"Calgary, Alberta, Canada; 
Montréal, Québec, Canada")</f>
        <v/>
      </c>
      <c r="K9122">
        <f>IFERROR(__xludf.DUMMYFUNCTION("""COMPUTED_VALUE"""),4115.86)</f>
        <v/>
      </c>
    </row>
    <row r="9123">
      <c r="J9123">
        <f>IFERROR(__xludf.DUMMYFUNCTION("""COMPUTED_VALUE"""),"SASKATOON, SK - TORONTO, ON - CHARLOTTETOWN, PE")</f>
        <v/>
      </c>
      <c r="K9123">
        <f>IFERROR(__xludf.DUMMYFUNCTION("""COMPUTED_VALUE"""),4115.83)</f>
        <v/>
      </c>
    </row>
    <row r="9124">
      <c r="J9124">
        <f>IFERROR(__xludf.DUMMYFUNCTION("""COMPUTED_VALUE"""),"St John's, Newfoundland and Labrador, Canada and Charlettown, Prince Edward Island, Canada")</f>
        <v/>
      </c>
      <c r="K9124">
        <f>IFERROR(__xludf.DUMMYFUNCTION("""COMPUTED_VALUE"""),4115.28)</f>
        <v/>
      </c>
    </row>
    <row r="9125">
      <c r="J9125">
        <f>IFERROR(__xludf.DUMMYFUNCTION("""COMPUTED_VALUE"""),"Ottawa- Calgary- Victoria- Vancouver- Winnipeg- Ottawa")</f>
        <v/>
      </c>
      <c r="K9125">
        <f>IFERROR(__xludf.DUMMYFUNCTION("""COMPUTED_VALUE"""),4114.28)</f>
        <v/>
      </c>
    </row>
    <row r="9126">
      <c r="J9126">
        <f>IFERROR(__xludf.DUMMYFUNCTION("""COMPUTED_VALUE"""),"Cold Lake, Alberta")</f>
        <v/>
      </c>
      <c r="K9126">
        <f>IFERROR(__xludf.DUMMYFUNCTION("""COMPUTED_VALUE"""),4113.85)</f>
        <v/>
      </c>
    </row>
    <row r="9127">
      <c r="J9127">
        <f>IFERROR(__xludf.DUMMYFUNCTION("""COMPUTED_VALUE"""),"Whitehorse, Yukon, Canada and Regina, Saskatchewan, Canada")</f>
        <v/>
      </c>
      <c r="K9127">
        <f>IFERROR(__xludf.DUMMYFUNCTION("""COMPUTED_VALUE"""),4113.51)</f>
        <v/>
      </c>
    </row>
    <row r="9128">
      <c r="J9128">
        <f>IFERROR(__xludf.DUMMYFUNCTION("""COMPUTED_VALUE"""),"Miami and Fort Lauderdale")</f>
        <v/>
      </c>
      <c r="K9128">
        <f>IFERROR(__xludf.DUMMYFUNCTION("""COMPUTED_VALUE"""),4112.99)</f>
        <v/>
      </c>
    </row>
    <row r="9129">
      <c r="J9129">
        <f>IFERROR(__xludf.DUMMYFUNCTION("""COMPUTED_VALUE"""),"Forth Worth, United States")</f>
        <v/>
      </c>
      <c r="K9129">
        <f>IFERROR(__xludf.DUMMYFUNCTION("""COMPUTED_VALUE"""),4112.5)</f>
        <v/>
      </c>
    </row>
    <row r="9130">
      <c r="J9130">
        <f>IFERROR(__xludf.DUMMYFUNCTION("""COMPUTED_VALUE"""),"Dryden, Ontario, Canada")</f>
        <v/>
      </c>
      <c r="K9130">
        <f>IFERROR(__xludf.DUMMYFUNCTION("""COMPUTED_VALUE"""),4112.43)</f>
        <v/>
      </c>
    </row>
    <row r="9131">
      <c r="J9131">
        <f>IFERROR(__xludf.DUMMYFUNCTION("""COMPUTED_VALUE"""),"Montreal, Quebec, Canada; Quebec, Quebec, Canada")</f>
        <v/>
      </c>
      <c r="K9131">
        <f>IFERROR(__xludf.DUMMYFUNCTION("""COMPUTED_VALUE"""),4112.3)</f>
        <v/>
      </c>
    </row>
    <row r="9132">
      <c r="J9132">
        <f>IFERROR(__xludf.DUMMYFUNCTION("""COMPUTED_VALUE"""),"Washington, District of Columbia, United States; Chicago, Illinois, United States")</f>
        <v/>
      </c>
      <c r="K9132">
        <f>IFERROR(__xludf.DUMMYFUNCTION("""COMPUTED_VALUE"""),4112.16)</f>
        <v/>
      </c>
    </row>
    <row r="9133">
      <c r="J9133">
        <f>IFERROR(__xludf.DUMMYFUNCTION("""COMPUTED_VALUE"""),"Nanaimo, British Columbia, Canada; Ottawa, Ontario, Canada")</f>
        <v/>
      </c>
      <c r="K9133">
        <f>IFERROR(__xludf.DUMMYFUNCTION("""COMPUTED_VALUE"""),4112.05)</f>
        <v/>
      </c>
    </row>
    <row r="9134">
      <c r="J9134">
        <f>IFERROR(__xludf.DUMMYFUNCTION("""COMPUTED_VALUE"""),"Victoria et Penticton BC, Toronto ON")</f>
        <v/>
      </c>
      <c r="K9134">
        <f>IFERROR(__xludf.DUMMYFUNCTION("""COMPUTED_VALUE"""),4111.42)</f>
        <v/>
      </c>
    </row>
    <row r="9135">
      <c r="J9135">
        <f>IFERROR(__xludf.DUMMYFUNCTION("""COMPUTED_VALUE"""),"Gatineau, Quebec, Canada; Calgary, Alberta, Canada; Regina, Saskatchewan, Canada")</f>
        <v/>
      </c>
      <c r="K9135">
        <f>IFERROR(__xludf.DUMMYFUNCTION("""COMPUTED_VALUE"""),4110.56)</f>
        <v/>
      </c>
    </row>
    <row r="9136">
      <c r="J9136">
        <f>IFERROR(__xludf.DUMMYFUNCTION("""COMPUTED_VALUE"""),"Regina, Sask. &amp;    Toronto, Ont.")</f>
        <v/>
      </c>
      <c r="K9136">
        <f>IFERROR(__xludf.DUMMYFUNCTION("""COMPUTED_VALUE"""),4110.53)</f>
        <v/>
      </c>
    </row>
    <row r="9137">
      <c r="J9137">
        <f>IFERROR(__xludf.DUMMYFUNCTION("""COMPUTED_VALUE"""),"Denver, Colorado, United States  / Toronto, Ontario, Canada")</f>
        <v/>
      </c>
      <c r="K9137">
        <f>IFERROR(__xludf.DUMMYFUNCTION("""COMPUTED_VALUE"""),4109.97)</f>
        <v/>
      </c>
    </row>
    <row r="9138">
      <c r="J9138">
        <f>IFERROR(__xludf.DUMMYFUNCTION("""COMPUTED_VALUE"""),"Calgary and Canmore, Alberta")</f>
        <v/>
      </c>
      <c r="K9138">
        <f>IFERROR(__xludf.DUMMYFUNCTION("""COMPUTED_VALUE"""),4109.86)</f>
        <v/>
      </c>
    </row>
    <row r="9139">
      <c r="J9139">
        <f>IFERROR(__xludf.DUMMYFUNCTION("""COMPUTED_VALUE"""),"Calgary, AB and Vancouver, BC")</f>
        <v/>
      </c>
      <c r="K9139">
        <f>IFERROR(__xludf.DUMMYFUNCTION("""COMPUTED_VALUE"""),4109.63)</f>
        <v/>
      </c>
    </row>
    <row r="9140">
      <c r="J9140">
        <f>IFERROR(__xludf.DUMMYFUNCTION("""COMPUTED_VALUE"""),"Calgary, Alberta, Canada; Vancouver, British Columbia, Canada; Regina, Saskatchewan, Canada")</f>
        <v/>
      </c>
      <c r="K9140">
        <f>IFERROR(__xludf.DUMMYFUNCTION("""COMPUTED_VALUE"""),4109.49)</f>
        <v/>
      </c>
    </row>
    <row r="9141">
      <c r="J9141">
        <f>IFERROR(__xludf.DUMMYFUNCTION("""COMPUTED_VALUE"""),"Baddeck, Nova Scotia")</f>
        <v/>
      </c>
      <c r="K9141">
        <f>IFERROR(__xludf.DUMMYFUNCTION("""COMPUTED_VALUE"""),4108.97)</f>
        <v/>
      </c>
    </row>
    <row r="9142">
      <c r="J9142">
        <f>IFERROR(__xludf.DUMMYFUNCTION("""COMPUTED_VALUE"""),"Québec and Montréal, Québec")</f>
        <v/>
      </c>
      <c r="K9142">
        <f>IFERROR(__xludf.DUMMYFUNCTION("""COMPUTED_VALUE"""),4108.05999999999)</f>
        <v/>
      </c>
    </row>
    <row r="9143">
      <c r="J9143">
        <f>IFERROR(__xludf.DUMMYFUNCTION("""COMPUTED_VALUE"""),"Vancouver, Surrey, BC")</f>
        <v/>
      </c>
      <c r="K9143">
        <f>IFERROR(__xludf.DUMMYFUNCTION("""COMPUTED_VALUE"""),4107.46)</f>
        <v/>
      </c>
    </row>
    <row r="9144">
      <c r="J9144">
        <f>IFERROR(__xludf.DUMMYFUNCTION("""COMPUTED_VALUE"""),"Fort Good Hope, Northwest Territories, Canada")</f>
        <v/>
      </c>
      <c r="K9144">
        <f>IFERROR(__xludf.DUMMYFUNCTION("""COMPUTED_VALUE"""),4107.45)</f>
        <v/>
      </c>
    </row>
    <row r="9145">
      <c r="J9145">
        <f>IFERROR(__xludf.DUMMYFUNCTION("""COMPUTED_VALUE"""),"Moncton, New Brunswick, Canada; Hampton, New Brunswick, Canada; Quispamsis, New Brunswick, Canada")</f>
        <v/>
      </c>
      <c r="K9145">
        <f>IFERROR(__xludf.DUMMYFUNCTION("""COMPUTED_VALUE"""),4106.66)</f>
        <v/>
      </c>
    </row>
    <row r="9146">
      <c r="J9146">
        <f>IFERROR(__xludf.DUMMYFUNCTION("""COMPUTED_VALUE"""),"Dusseldorf, DE")</f>
        <v/>
      </c>
      <c r="K9146">
        <f>IFERROR(__xludf.DUMMYFUNCTION("""COMPUTED_VALUE"""),4106.3)</f>
        <v/>
      </c>
    </row>
    <row r="9147">
      <c r="J9147">
        <f>IFERROR(__xludf.DUMMYFUNCTION("""COMPUTED_VALUE"""),"Victoria, British Columbia &amp; Vancouver, Bristish Columbia &amp; Edmonton, Alberta")</f>
        <v/>
      </c>
      <c r="K9147">
        <f>IFERROR(__xludf.DUMMYFUNCTION("""COMPUTED_VALUE"""),4105.71)</f>
        <v/>
      </c>
    </row>
    <row r="9148">
      <c r="J9148">
        <f>IFERROR(__xludf.DUMMYFUNCTION("""COMPUTED_VALUE"""),"Toronto (Ontario) Canada; St John's (Newfoundland and Labrador) Canada")</f>
        <v/>
      </c>
      <c r="K9148">
        <f>IFERROR(__xludf.DUMMYFUNCTION("""COMPUTED_VALUE"""),4105.29)</f>
        <v/>
      </c>
    </row>
    <row r="9149">
      <c r="J9149">
        <f>IFERROR(__xludf.DUMMYFUNCTION("""COMPUTED_VALUE"""),"Pasadena, California and Gaithersburg, Maryland, United States")</f>
        <v/>
      </c>
      <c r="K9149">
        <f>IFERROR(__xludf.DUMMYFUNCTION("""COMPUTED_VALUE"""),4105.18)</f>
        <v/>
      </c>
    </row>
    <row r="9150">
      <c r="J9150">
        <f>IFERROR(__xludf.DUMMYFUNCTION("""COMPUTED_VALUE"""),"Bagotville, Montréal")</f>
        <v/>
      </c>
      <c r="K9150">
        <f>IFERROR(__xludf.DUMMYFUNCTION("""COMPUTED_VALUE"""),4103.94)</f>
        <v/>
      </c>
    </row>
    <row r="9151">
      <c r="J9151">
        <f>IFERROR(__xludf.DUMMYFUNCTION("""COMPUTED_VALUE"""),"Huntsville, ON / North Bay, ON / Timmins, ON")</f>
        <v/>
      </c>
      <c r="K9151">
        <f>IFERROR(__xludf.DUMMYFUNCTION("""COMPUTED_VALUE"""),4103.44)</f>
        <v/>
      </c>
    </row>
    <row r="9152">
      <c r="J9152">
        <f>IFERROR(__xludf.DUMMYFUNCTION("""COMPUTED_VALUE"""),"Cape Dorset, Nunavut")</f>
        <v/>
      </c>
      <c r="K9152">
        <f>IFERROR(__xludf.DUMMYFUNCTION("""COMPUTED_VALUE"""),4102.22)</f>
        <v/>
      </c>
    </row>
    <row r="9153">
      <c r="J9153">
        <f>IFERROR(__xludf.DUMMYFUNCTION("""COMPUTED_VALUE"""),"Washington, United States/New York, United States")</f>
        <v/>
      </c>
      <c r="K9153">
        <f>IFERROR(__xludf.DUMMYFUNCTION("""COMPUTED_VALUE"""),4101.79)</f>
        <v/>
      </c>
    </row>
    <row r="9154">
      <c r="J9154">
        <f>IFERROR(__xludf.DUMMYFUNCTION("""COMPUTED_VALUE"""),"Haiti and the Dominican Republic.")</f>
        <v/>
      </c>
      <c r="K9154">
        <f>IFERROR(__xludf.DUMMYFUNCTION("""COMPUTED_VALUE"""),4101.63)</f>
        <v/>
      </c>
    </row>
    <row r="9155">
      <c r="J9155">
        <f>IFERROR(__xludf.DUMMYFUNCTION("""COMPUTED_VALUE"""),"Montréal (Quebec) Canada; Valleyfield (Quebec) Canada; Chibougamau  (Quebec) Canada")</f>
        <v/>
      </c>
      <c r="K9155">
        <f>IFERROR(__xludf.DUMMYFUNCTION("""COMPUTED_VALUE"""),4101.47)</f>
        <v/>
      </c>
    </row>
    <row r="9156">
      <c r="J9156">
        <f>IFERROR(__xludf.DUMMYFUNCTION("""COMPUTED_VALUE"""),"Toronto, Ontario, Canada; Pickering, Ontario, Canada; Scarborough, Ontario, Canada; Newmarket, Ontario, Canada; Mississauga, Ontario, Canada; Brampton, Ontario, Canada")</f>
        <v/>
      </c>
      <c r="K9156">
        <f>IFERROR(__xludf.DUMMYFUNCTION("""COMPUTED_VALUE"""),4101.47)</f>
        <v/>
      </c>
    </row>
    <row r="9157">
      <c r="J9157">
        <f>IFERROR(__xludf.DUMMYFUNCTION("""COMPUTED_VALUE"""),"Ottawa, Ontario
Vancouver, British Columbia")</f>
        <v/>
      </c>
      <c r="K9157">
        <f>IFERROR(__xludf.DUMMYFUNCTION("""COMPUTED_VALUE"""),4100.92)</f>
        <v/>
      </c>
    </row>
    <row r="9158">
      <c r="J9158">
        <f>IFERROR(__xludf.DUMMYFUNCTION("""COMPUTED_VALUE"""),"California (USA), Vancouver (British Colombia)")</f>
        <v/>
      </c>
      <c r="K9158">
        <f>IFERROR(__xludf.DUMMYFUNCTION("""COMPUTED_VALUE"""),4098)</f>
        <v/>
      </c>
    </row>
    <row r="9159">
      <c r="J9159">
        <f>IFERROR(__xludf.DUMMYFUNCTION("""COMPUTED_VALUE"""),"Orlando (Florida) USA")</f>
        <v/>
      </c>
      <c r="K9159">
        <f>IFERROR(__xludf.DUMMYFUNCTION("""COMPUTED_VALUE"""),4097.79)</f>
        <v/>
      </c>
    </row>
    <row r="9160">
      <c r="J9160">
        <f>IFERROR(__xludf.DUMMYFUNCTION("""COMPUTED_VALUE"""),"St. John's, Newfoundland and Labrador / Moncton, New Brunswick")</f>
        <v/>
      </c>
      <c r="K9160">
        <f>IFERROR(__xludf.DUMMYFUNCTION("""COMPUTED_VALUE"""),4097.66)</f>
        <v/>
      </c>
    </row>
    <row r="9161">
      <c r="J9161">
        <f>IFERROR(__xludf.DUMMYFUNCTION("""COMPUTED_VALUE"""),"Norfolk USA and Ottawa ON")</f>
        <v/>
      </c>
      <c r="K9161">
        <f>IFERROR(__xludf.DUMMYFUNCTION("""COMPUTED_VALUE"""),4097.27)</f>
        <v/>
      </c>
    </row>
    <row r="9162">
      <c r="J9162">
        <f>IFERROR(__xludf.DUMMYFUNCTION("""COMPUTED_VALUE"""),"Timmins, Ontario, Canada; Sudbury, Ontario, Canada; Pembroke, Ontario, Canada")</f>
        <v/>
      </c>
      <c r="K9162">
        <f>IFERROR(__xludf.DUMMYFUNCTION("""COMPUTED_VALUE"""),4097.22)</f>
        <v/>
      </c>
    </row>
    <row r="9163">
      <c r="J9163">
        <f>IFERROR(__xludf.DUMMYFUNCTION("""COMPUTED_VALUE"""),"St-Jean-sur-Richelieu, Quebec")</f>
        <v/>
      </c>
      <c r="K9163">
        <f>IFERROR(__xludf.DUMMYFUNCTION("""COMPUTED_VALUE"""),4096.88)</f>
        <v/>
      </c>
    </row>
    <row r="9164">
      <c r="J9164">
        <f>IFERROR(__xludf.DUMMYFUNCTION("""COMPUTED_VALUE"""),"Halifax, NS; Fredericton, NB; Charlottetown, PE")</f>
        <v/>
      </c>
      <c r="K9164">
        <f>IFERROR(__xludf.DUMMYFUNCTION("""COMPUTED_VALUE"""),4096.22)</f>
        <v/>
      </c>
    </row>
    <row r="9165">
      <c r="J9165">
        <f>IFERROR(__xludf.DUMMYFUNCTION("""COMPUTED_VALUE"""),"Edmonton, Alberta, Canada; Hay River, Northwest Territories, Canada")</f>
        <v/>
      </c>
      <c r="K9165">
        <f>IFERROR(__xludf.DUMMYFUNCTION("""COMPUTED_VALUE"""),4094.94)</f>
        <v/>
      </c>
    </row>
    <row r="9166">
      <c r="J9166">
        <f>IFERROR(__xludf.DUMMYFUNCTION("""COMPUTED_VALUE"""),"Fredricton, NB/Halifax, NS")</f>
        <v/>
      </c>
      <c r="K9166">
        <f>IFERROR(__xludf.DUMMYFUNCTION("""COMPUTED_VALUE"""),4094.4)</f>
        <v/>
      </c>
    </row>
    <row r="9167">
      <c r="J9167">
        <f>IFERROR(__xludf.DUMMYFUNCTION("""COMPUTED_VALUE"""),"Yellowknife, Northwest Territoiries")</f>
        <v/>
      </c>
      <c r="K9167">
        <f>IFERROR(__xludf.DUMMYFUNCTION("""COMPUTED_VALUE"""),4094.17)</f>
        <v/>
      </c>
    </row>
    <row r="9168">
      <c r="J9168">
        <f>IFERROR(__xludf.DUMMYFUNCTION("""COMPUTED_VALUE"""),"Edinburgh,  (United Kingdom)")</f>
        <v/>
      </c>
      <c r="K9168">
        <f>IFERROR(__xludf.DUMMYFUNCTION("""COMPUTED_VALUE"""),4093.69)</f>
        <v/>
      </c>
    </row>
    <row r="9169">
      <c r="J9169">
        <f>IFERROR(__xludf.DUMMYFUNCTION("""COMPUTED_VALUE"""),"Whitehorse, Yukon, Canada and Vancouver, British Columbia, Canada")</f>
        <v/>
      </c>
      <c r="K9169">
        <f>IFERROR(__xludf.DUMMYFUNCTION("""COMPUTED_VALUE"""),4093.46)</f>
        <v/>
      </c>
    </row>
    <row r="9170">
      <c r="J9170">
        <f>IFERROR(__xludf.DUMMYFUNCTION("""COMPUTED_VALUE"""),"Detroit, Michigan /  Toronto, Ontario  /  Ottawa, Ontario")</f>
        <v/>
      </c>
      <c r="K9170">
        <f>IFERROR(__xludf.DUMMYFUNCTION("""COMPUTED_VALUE"""),4093.35)</f>
        <v/>
      </c>
    </row>
    <row r="9171">
      <c r="J9171">
        <f>IFERROR(__xludf.DUMMYFUNCTION("""COMPUTED_VALUE"""),"Vienna - Austria")</f>
        <v/>
      </c>
      <c r="K9171">
        <f>IFERROR(__xludf.DUMMYFUNCTION("""COMPUTED_VALUE"""),4093)</f>
        <v/>
      </c>
    </row>
    <row r="9172">
      <c r="J9172">
        <f>IFERROR(__xludf.DUMMYFUNCTION("""COMPUTED_VALUE"""),"Moncton, NB - Ottawa, ON / Ottawa, ON - Montreal, QC / Montreal, QC - Ottawa, ON / Ottawa, ON - Toronto, ON / Toronto, ON - Niagara Falls, ON / Niagara Falls, ON - Toronto, ON / Toronto, ON - Ottawa, ON / Ottawa, ON - Moncton, NB")</f>
        <v/>
      </c>
      <c r="K9172">
        <f>IFERROR(__xludf.DUMMYFUNCTION("""COMPUTED_VALUE"""),4092.52)</f>
        <v/>
      </c>
    </row>
    <row r="9173">
      <c r="J9173">
        <f>IFERROR(__xludf.DUMMYFUNCTION("""COMPUTED_VALUE"""),"Toronto, Ontario, Canada/ Windsor, Ontario, Canada/ Detroit, Michigan, United States")</f>
        <v/>
      </c>
      <c r="K9173">
        <f>IFERROR(__xludf.DUMMYFUNCTION("""COMPUTED_VALUE"""),4092.17)</f>
        <v/>
      </c>
    </row>
    <row r="9174">
      <c r="J9174">
        <f>IFERROR(__xludf.DUMMYFUNCTION("""COMPUTED_VALUE"""),"Guelph, Waterloo, and Vaughan, Ontario, Canada")</f>
        <v/>
      </c>
      <c r="K9174">
        <f>IFERROR(__xludf.DUMMYFUNCTION("""COMPUTED_VALUE"""),4091.39)</f>
        <v/>
      </c>
    </row>
    <row r="9175">
      <c r="J9175">
        <f>IFERROR(__xludf.DUMMYFUNCTION("""COMPUTED_VALUE"""),"Calgary, AB/ Ottawa, ON")</f>
        <v/>
      </c>
      <c r="K9175">
        <f>IFERROR(__xludf.DUMMYFUNCTION("""COMPUTED_VALUE"""),4091.14)</f>
        <v/>
      </c>
    </row>
    <row r="9176">
      <c r="J9176">
        <f>IFERROR(__xludf.DUMMYFUNCTION("""COMPUTED_VALUE"""),"St. Johns, Newfoundland, Fredericton, New Brunswick, Halifax, Nova Scotia")</f>
        <v/>
      </c>
      <c r="K9176">
        <f>IFERROR(__xludf.DUMMYFUNCTION("""COMPUTED_VALUE"""),4090.7)</f>
        <v/>
      </c>
    </row>
    <row r="9177">
      <c r="J9177">
        <f>IFERROR(__xludf.DUMMYFUNCTION("""COMPUTED_VALUE"""),"Vancouver, British Columbia, Canada/ Victoria, British Columbia, Canada")</f>
        <v/>
      </c>
      <c r="K9177">
        <f>IFERROR(__xludf.DUMMYFUNCTION("""COMPUTED_VALUE"""),4090.48)</f>
        <v/>
      </c>
    </row>
    <row r="9178">
      <c r="J9178">
        <f>IFERROR(__xludf.DUMMYFUNCTION("""COMPUTED_VALUE"""),"Chicago, Illinois,  United States / Omaha, Nebraska, United States")</f>
        <v/>
      </c>
      <c r="K9178">
        <f>IFERROR(__xludf.DUMMYFUNCTION("""COMPUTED_VALUE"""),4089.4)</f>
        <v/>
      </c>
    </row>
    <row r="9179">
      <c r="J9179">
        <f>IFERROR(__xludf.DUMMYFUNCTION("""COMPUTED_VALUE"""),"Toronto, Ontario, (Canada)")</f>
        <v/>
      </c>
      <c r="K9179">
        <f>IFERROR(__xludf.DUMMYFUNCTION("""COMPUTED_VALUE"""),4088.83999999999)</f>
        <v/>
      </c>
    </row>
    <row r="9180">
      <c r="J9180">
        <f>IFERROR(__xludf.DUMMYFUNCTION("""COMPUTED_VALUE"""),"Ottawa, ON; Saskatoon, SK; LaRonge, SK; Moncton, NB")</f>
        <v/>
      </c>
      <c r="K9180">
        <f>IFERROR(__xludf.DUMMYFUNCTION("""COMPUTED_VALUE"""),4088.39)</f>
        <v/>
      </c>
    </row>
    <row r="9181">
      <c r="J9181">
        <f>IFERROR(__xludf.DUMMYFUNCTION("""COMPUTED_VALUE"""),"New York, NY, Chicago, IL, Indianapolis, IN")</f>
        <v/>
      </c>
      <c r="K9181">
        <f>IFERROR(__xludf.DUMMYFUNCTION("""COMPUTED_VALUE"""),4088.12)</f>
        <v/>
      </c>
    </row>
    <row r="9182">
      <c r="J9182">
        <f>IFERROR(__xludf.DUMMYFUNCTION("""COMPUTED_VALUE"""),"Tisdale, Saskatchewan, Canada")</f>
        <v/>
      </c>
      <c r="K9182">
        <f>IFERROR(__xludf.DUMMYFUNCTION("""COMPUTED_VALUE"""),4087.62)</f>
        <v/>
      </c>
    </row>
    <row r="9183">
      <c r="J9183">
        <f>IFERROR(__xludf.DUMMYFUNCTION("""COMPUTED_VALUE"""),"Calgary, AB / Saskatoon, SK /
Winnipeg, MB")</f>
        <v/>
      </c>
      <c r="K9183">
        <f>IFERROR(__xludf.DUMMYFUNCTION("""COMPUTED_VALUE"""),4087.2)</f>
        <v/>
      </c>
    </row>
    <row r="9184">
      <c r="J9184">
        <f>IFERROR(__xludf.DUMMYFUNCTION("""COMPUTED_VALUE"""),"Kamloops and Kelowna")</f>
        <v/>
      </c>
      <c r="K9184">
        <f>IFERROR(__xludf.DUMMYFUNCTION("""COMPUTED_VALUE"""),4086.87)</f>
        <v/>
      </c>
    </row>
    <row r="9185">
      <c r="J9185">
        <f>IFERROR(__xludf.DUMMYFUNCTION("""COMPUTED_VALUE"""),"Las Vegas, US")</f>
        <v/>
      </c>
      <c r="K9185">
        <f>IFERROR(__xludf.DUMMYFUNCTION("""COMPUTED_VALUE"""),4084.84)</f>
        <v/>
      </c>
    </row>
    <row r="9186">
      <c r="J9186">
        <f>IFERROR(__xludf.DUMMYFUNCTION("""COMPUTED_VALUE"""),"Gravenhurst, Ontario, Canada")</f>
        <v/>
      </c>
      <c r="K9186">
        <f>IFERROR(__xludf.DUMMYFUNCTION("""COMPUTED_VALUE"""),4084.76)</f>
        <v/>
      </c>
    </row>
    <row r="9187">
      <c r="J9187">
        <f>IFERROR(__xludf.DUMMYFUNCTION("""COMPUTED_VALUE"""),"Winnipeg, Manitoba, Canada; Victoria, British Columbia, Canada")</f>
        <v/>
      </c>
      <c r="K9187">
        <f>IFERROR(__xludf.DUMMYFUNCTION("""COMPUTED_VALUE"""),4084.63)</f>
        <v/>
      </c>
    </row>
    <row r="9188">
      <c r="J9188">
        <f>IFERROR(__xludf.DUMMYFUNCTION("""COMPUTED_VALUE"""),"Washington, D.C. / New York, New York")</f>
        <v/>
      </c>
      <c r="K9188">
        <f>IFERROR(__xludf.DUMMYFUNCTION("""COMPUTED_VALUE"""),4084.39)</f>
        <v/>
      </c>
    </row>
    <row r="9189">
      <c r="J9189">
        <f>IFERROR(__xludf.DUMMYFUNCTION("""COMPUTED_VALUE"""),"Steady Brooke, NL,  Toronto, ON and Calgary, AB")</f>
        <v/>
      </c>
      <c r="K9189">
        <f>IFERROR(__xludf.DUMMYFUNCTION("""COMPUTED_VALUE"""),4083.01)</f>
        <v/>
      </c>
    </row>
    <row r="9190">
      <c r="J9190">
        <f>IFERROR(__xludf.DUMMYFUNCTION("""COMPUTED_VALUE"""),"Borden, Canada")</f>
        <v/>
      </c>
      <c r="K9190">
        <f>IFERROR(__xludf.DUMMYFUNCTION("""COMPUTED_VALUE"""),4082.95)</f>
        <v/>
      </c>
    </row>
    <row r="9191">
      <c r="J9191">
        <f>IFERROR(__xludf.DUMMYFUNCTION("""COMPUTED_VALUE"""),"Calgary, Alberta, Canada; Regina, Saskatchewan, Canada; Toronto, Ontario, Canada")</f>
        <v/>
      </c>
      <c r="K9191">
        <f>IFERROR(__xludf.DUMMYFUNCTION("""COMPUTED_VALUE"""),4082.91)</f>
        <v/>
      </c>
    </row>
    <row r="9192">
      <c r="J9192">
        <f>IFERROR(__xludf.DUMMYFUNCTION("""COMPUTED_VALUE"""),"Arizona, US")</f>
        <v/>
      </c>
      <c r="K9192">
        <f>IFERROR(__xludf.DUMMYFUNCTION("""COMPUTED_VALUE"""),4082.64)</f>
        <v/>
      </c>
    </row>
    <row r="9193">
      <c r="J9193">
        <f>IFERROR(__xludf.DUMMYFUNCTION("""COMPUTED_VALUE"""),"Goose Bay, Newfoundland, Canada")</f>
        <v/>
      </c>
      <c r="K9193">
        <f>IFERROR(__xludf.DUMMYFUNCTION("""COMPUTED_VALUE"""),4082.21)</f>
        <v/>
      </c>
    </row>
    <row r="9194">
      <c r="J9194">
        <f>IFERROR(__xludf.DUMMYFUNCTION("""COMPUTED_VALUE"""),"Rigaud, Quebec")</f>
        <v/>
      </c>
      <c r="K9194">
        <f>IFERROR(__xludf.DUMMYFUNCTION("""COMPUTED_VALUE"""),4079.88)</f>
        <v/>
      </c>
    </row>
    <row r="9195">
      <c r="J9195">
        <f>IFERROR(__xludf.DUMMYFUNCTION("""COMPUTED_VALUE"""),"Calgary and Banff, Alberta")</f>
        <v/>
      </c>
      <c r="K9195">
        <f>IFERROR(__xludf.DUMMYFUNCTION("""COMPUTED_VALUE"""),4079.67)</f>
        <v/>
      </c>
    </row>
    <row r="9196">
      <c r="J9196">
        <f>IFERROR(__xludf.DUMMYFUNCTION("""COMPUTED_VALUE"""),"Toronto, Ontario, Canada/ Edmonton, Alberta, Canada")</f>
        <v/>
      </c>
      <c r="K9196">
        <f>IFERROR(__xludf.DUMMYFUNCTION("""COMPUTED_VALUE"""),4077.02)</f>
        <v/>
      </c>
    </row>
    <row r="9197">
      <c r="J9197">
        <f>IFERROR(__xludf.DUMMYFUNCTION("""COMPUTED_VALUE"""),"Calgary, Alberta, Canada - Ottawa, Ontario, Canada")</f>
        <v/>
      </c>
      <c r="K9197">
        <f>IFERROR(__xludf.DUMMYFUNCTION("""COMPUTED_VALUE"""),4076.97)</f>
        <v/>
      </c>
    </row>
    <row r="9198">
      <c r="J9198">
        <f>IFERROR(__xludf.DUMMYFUNCTION("""COMPUTED_VALUE"""),"Ottawa, Ontario and Halifax Nova Scotia")</f>
        <v/>
      </c>
      <c r="K9198">
        <f>IFERROR(__xludf.DUMMYFUNCTION("""COMPUTED_VALUE"""),4075.46)</f>
        <v/>
      </c>
    </row>
    <row r="9199">
      <c r="J9199">
        <f>IFERROR(__xludf.DUMMYFUNCTION("""COMPUTED_VALUE"""),"Tulita, Northwest Territories, Canada")</f>
        <v/>
      </c>
      <c r="K9199">
        <f>IFERROR(__xludf.DUMMYFUNCTION("""COMPUTED_VALUE"""),4075.12)</f>
        <v/>
      </c>
    </row>
    <row r="9200">
      <c r="J9200">
        <f>IFERROR(__xludf.DUMMYFUNCTION("""COMPUTED_VALUE"""),"Ottawa,ON - Charlottetown, PE / Charlottetown, PE - Ottawa, ON")</f>
        <v/>
      </c>
      <c r="K9200">
        <f>IFERROR(__xludf.DUMMYFUNCTION("""COMPUTED_VALUE"""),4074.58)</f>
        <v/>
      </c>
    </row>
    <row r="9201">
      <c r="J9201">
        <f>IFERROR(__xludf.DUMMYFUNCTION("""COMPUTED_VALUE"""),"Labrador")</f>
        <v/>
      </c>
      <c r="K9201">
        <f>IFERROR(__xludf.DUMMYFUNCTION("""COMPUTED_VALUE"""),4074.56)</f>
        <v/>
      </c>
    </row>
    <row r="9202">
      <c r="J9202">
        <f>IFERROR(__xludf.DUMMYFUNCTION("""COMPUTED_VALUE"""),"OTTAWA, ON &amp; VANCOUVER, BC")</f>
        <v/>
      </c>
      <c r="K9202">
        <f>IFERROR(__xludf.DUMMYFUNCTION("""COMPUTED_VALUE"""),4074.54)</f>
        <v/>
      </c>
    </row>
    <row r="9203">
      <c r="J9203">
        <f>IFERROR(__xludf.DUMMYFUNCTION("""COMPUTED_VALUE"""),"Regina, Saskatchewan, Canada; Saskatoon, Saskatchewan, Canada; Calgary, Alberta, Canada; Kelowna, British Columbia, Canada")</f>
        <v/>
      </c>
      <c r="K9203">
        <f>IFERROR(__xludf.DUMMYFUNCTION("""COMPUTED_VALUE"""),4074.12)</f>
        <v/>
      </c>
    </row>
    <row r="9204">
      <c r="J9204">
        <f>IFERROR(__xludf.DUMMYFUNCTION("""COMPUTED_VALUE"""),"London, UK
Brussels, Belgium")</f>
        <v/>
      </c>
      <c r="K9204">
        <f>IFERROR(__xludf.DUMMYFUNCTION("""COMPUTED_VALUE"""),4073.95)</f>
        <v/>
      </c>
    </row>
    <row r="9205">
      <c r="J9205">
        <f>IFERROR(__xludf.DUMMYFUNCTION("""COMPUTED_VALUE"""),"Portland, Maine, United States of America")</f>
        <v/>
      </c>
      <c r="K9205">
        <f>IFERROR(__xludf.DUMMYFUNCTION("""COMPUTED_VALUE"""),4073.34)</f>
        <v/>
      </c>
    </row>
    <row r="9206">
      <c r="J9206">
        <f>IFERROR(__xludf.DUMMYFUNCTION("""COMPUTED_VALUE"""),"Toronto.Ontario.Canada")</f>
        <v/>
      </c>
      <c r="K9206">
        <f>IFERROR(__xludf.DUMMYFUNCTION("""COMPUTED_VALUE"""),4070.04)</f>
        <v/>
      </c>
    </row>
    <row r="9207">
      <c r="J9207">
        <f>IFERROR(__xludf.DUMMYFUNCTION("""COMPUTED_VALUE"""),"Yellowknife,  Northwest Territories, Canada")</f>
        <v/>
      </c>
      <c r="K9207">
        <f>IFERROR(__xludf.DUMMYFUNCTION("""COMPUTED_VALUE"""),4069.96)</f>
        <v/>
      </c>
    </row>
    <row r="9208">
      <c r="J9208">
        <f>IFERROR(__xludf.DUMMYFUNCTION("""COMPUTED_VALUE"""),"Saskatoon, Saskatchewan, Canada; Regina, Saskatchewan, Canada; Brandon, Manitoba, Canada; Winnipeg, Manitoba, Canada")</f>
        <v/>
      </c>
      <c r="K9208">
        <f>IFERROR(__xludf.DUMMYFUNCTION("""COMPUTED_VALUE"""),4069.63)</f>
        <v/>
      </c>
    </row>
    <row r="9209">
      <c r="J9209">
        <f>IFERROR(__xludf.DUMMYFUNCTION("""COMPUTED_VALUE"""),"Halifax, NS - Ottawa, ON / Ottawa, ON - Halifax, NS")</f>
        <v/>
      </c>
      <c r="K9209">
        <f>IFERROR(__xludf.DUMMYFUNCTION("""COMPUTED_VALUE"""),4069.43)</f>
        <v/>
      </c>
    </row>
    <row r="9210">
      <c r="J9210">
        <f>IFERROR(__xludf.DUMMYFUNCTION("""COMPUTED_VALUE"""),"Washington, United States
New York, United States")</f>
        <v/>
      </c>
      <c r="K9210">
        <f>IFERROR(__xludf.DUMMYFUNCTION("""COMPUTED_VALUE"""),4068.45)</f>
        <v/>
      </c>
    </row>
    <row r="9211">
      <c r="J9211">
        <f>IFERROR(__xludf.DUMMYFUNCTION("""COMPUTED_VALUE"""),"Edmonton, AB - Yellowknife, NWT")</f>
        <v/>
      </c>
      <c r="K9211">
        <f>IFERROR(__xludf.DUMMYFUNCTION("""COMPUTED_VALUE"""),4068.2)</f>
        <v/>
      </c>
    </row>
    <row r="9212">
      <c r="J9212">
        <f>IFERROR(__xludf.DUMMYFUNCTION("""COMPUTED_VALUE"""),"Winnipeg, MB/Saskatoon, SK")</f>
        <v/>
      </c>
      <c r="K9212">
        <f>IFERROR(__xludf.DUMMYFUNCTION("""COMPUTED_VALUE"""),4068.2)</f>
        <v/>
      </c>
    </row>
    <row r="9213">
      <c r="J9213">
        <f>IFERROR(__xludf.DUMMYFUNCTION("""COMPUTED_VALUE"""),"Winnipeg, MB; Calgary, AB")</f>
        <v/>
      </c>
      <c r="K9213">
        <f>IFERROR(__xludf.DUMMYFUNCTION("""COMPUTED_VALUE"""),4068.02)</f>
        <v/>
      </c>
    </row>
    <row r="9214">
      <c r="J9214">
        <f>IFERROR(__xludf.DUMMYFUNCTION("""COMPUTED_VALUE"""),"Vancouver, British Columbia and Ottawa Ontario")</f>
        <v/>
      </c>
      <c r="K9214">
        <f>IFERROR(__xludf.DUMMYFUNCTION("""COMPUTED_VALUE"""),4067.7)</f>
        <v/>
      </c>
    </row>
    <row r="9215">
      <c r="J9215">
        <f>IFERROR(__xludf.DUMMYFUNCTION("""COMPUTED_VALUE"""),"Seattle, Washington / Portland, Oregon, United States")</f>
        <v/>
      </c>
      <c r="K9215">
        <f>IFERROR(__xludf.DUMMYFUNCTION("""COMPUTED_VALUE"""),4067.24)</f>
        <v/>
      </c>
    </row>
    <row r="9216">
      <c r="J9216">
        <f>IFERROR(__xludf.DUMMYFUNCTION("""COMPUTED_VALUE"""),"Sacramento, California, United States")</f>
        <v/>
      </c>
      <c r="K9216">
        <f>IFERROR(__xludf.DUMMYFUNCTION("""COMPUTED_VALUE"""),4067.06)</f>
        <v/>
      </c>
    </row>
    <row r="9217">
      <c r="J9217">
        <f>IFERROR(__xludf.DUMMYFUNCTION("""COMPUTED_VALUE"""),"Windsor, Ontario/Toronto, Ontario")</f>
        <v/>
      </c>
      <c r="K9217">
        <f>IFERROR(__xludf.DUMMYFUNCTION("""COMPUTED_VALUE"""),4066.28)</f>
        <v/>
      </c>
    </row>
    <row r="9218">
      <c r="J9218">
        <f>IFERROR(__xludf.DUMMYFUNCTION("""COMPUTED_VALUE"""),"Galway, Ireland")</f>
        <v/>
      </c>
      <c r="K9218">
        <f>IFERROR(__xludf.DUMMYFUNCTION("""COMPUTED_VALUE"""),4065.56)</f>
        <v/>
      </c>
    </row>
    <row r="9219">
      <c r="J9219">
        <f>IFERROR(__xludf.DUMMYFUNCTION("""COMPUTED_VALUE"""),"Edmonton, Alberta, Saskatoon,  Saskatchewan and Toronto, Ontario")</f>
        <v/>
      </c>
      <c r="K9219">
        <f>IFERROR(__xludf.DUMMYFUNCTION("""COMPUTED_VALUE"""),4065.39)</f>
        <v/>
      </c>
    </row>
    <row r="9220">
      <c r="J9220">
        <f>IFERROR(__xludf.DUMMYFUNCTION("""COMPUTED_VALUE"""),"Rome, Italy and Warsaw, Poland")</f>
        <v/>
      </c>
      <c r="K9220">
        <f>IFERROR(__xludf.DUMMYFUNCTION("""COMPUTED_VALUE"""),4065.1)</f>
        <v/>
      </c>
    </row>
    <row r="9221">
      <c r="J9221">
        <f>IFERROR(__xludf.DUMMYFUNCTION("""COMPUTED_VALUE"""),"Toronto, Ontario, Canada / Niagara Falls, Ontario, Canada")</f>
        <v/>
      </c>
      <c r="K9221">
        <f>IFERROR(__xludf.DUMMYFUNCTION("""COMPUTED_VALUE"""),4065.08)</f>
        <v/>
      </c>
    </row>
    <row r="9222">
      <c r="J9222">
        <f>IFERROR(__xludf.DUMMYFUNCTION("""COMPUTED_VALUE"""),"Edmonton, Calgary - AB - Victoria, BC")</f>
        <v/>
      </c>
      <c r="K9222">
        <f>IFERROR(__xludf.DUMMYFUNCTION("""COMPUTED_VALUE"""),4064.58)</f>
        <v/>
      </c>
    </row>
    <row r="9223">
      <c r="J9223">
        <f>IFERROR(__xludf.DUMMYFUNCTION("""COMPUTED_VALUE"""),"Ottawa- Canada")</f>
        <v/>
      </c>
      <c r="K9223">
        <f>IFERROR(__xludf.DUMMYFUNCTION("""COMPUTED_VALUE"""),4063.2)</f>
        <v/>
      </c>
    </row>
    <row r="9224">
      <c r="J9224">
        <f>IFERROR(__xludf.DUMMYFUNCTION("""COMPUTED_VALUE"""),"Saskatoon, Saskatchewan /  Montreal, Quebec")</f>
        <v/>
      </c>
      <c r="K9224">
        <f>IFERROR(__xludf.DUMMYFUNCTION("""COMPUTED_VALUE"""),4062.6)</f>
        <v/>
      </c>
    </row>
    <row r="9225">
      <c r="J9225">
        <f>IFERROR(__xludf.DUMMYFUNCTION("""COMPUTED_VALUE"""),"Saskatoon &amp; Regina, SK")</f>
        <v/>
      </c>
      <c r="K9225">
        <f>IFERROR(__xludf.DUMMYFUNCTION("""COMPUTED_VALUE"""),4062.35)</f>
        <v/>
      </c>
    </row>
    <row r="9226">
      <c r="J9226">
        <f>IFERROR(__xludf.DUMMYFUNCTION("""COMPUTED_VALUE"""),"Vancouver and Merry Island, British Columbia, Canada")</f>
        <v/>
      </c>
      <c r="K9226">
        <f>IFERROR(__xludf.DUMMYFUNCTION("""COMPUTED_VALUE"""),4062.29)</f>
        <v/>
      </c>
    </row>
    <row r="9227">
      <c r="J9227">
        <f>IFERROR(__xludf.DUMMYFUNCTION("""COMPUTED_VALUE"""),"Albuquerque, New Mexico, United-States")</f>
        <v/>
      </c>
      <c r="K9227">
        <f>IFERROR(__xludf.DUMMYFUNCTION("""COMPUTED_VALUE"""),4062.06)</f>
        <v/>
      </c>
    </row>
    <row r="9228">
      <c r="J9228">
        <f>IFERROR(__xludf.DUMMYFUNCTION("""COMPUTED_VALUE"""),"Calgary, Alberta, Canada; Banff, Alberta, Canada")</f>
        <v/>
      </c>
      <c r="K9228">
        <f>IFERROR(__xludf.DUMMYFUNCTION("""COMPUTED_VALUE"""),4061.01)</f>
        <v/>
      </c>
    </row>
    <row r="9229">
      <c r="J9229">
        <f>IFERROR(__xludf.DUMMYFUNCTION("""COMPUTED_VALUE"""),"Valencia, Spain")</f>
        <v/>
      </c>
      <c r="K9229">
        <f>IFERROR(__xludf.DUMMYFUNCTION("""COMPUTED_VALUE"""),4060.86)</f>
        <v/>
      </c>
    </row>
    <row r="9230">
      <c r="J9230">
        <f>IFERROR(__xludf.DUMMYFUNCTION("""COMPUTED_VALUE"""),"Miramichi, New Brunswick, Canada
Moncton, New Brunswick, Canada")</f>
        <v/>
      </c>
      <c r="K9230">
        <f>IFERROR(__xludf.DUMMYFUNCTION("""COMPUTED_VALUE"""),4060)</f>
        <v/>
      </c>
    </row>
    <row r="9231">
      <c r="J9231">
        <f>IFERROR(__xludf.DUMMYFUNCTION("""COMPUTED_VALUE"""),"Toronto, Ontario, Canada; Montebello, Québec, Canada")</f>
        <v/>
      </c>
      <c r="K9231">
        <f>IFERROR(__xludf.DUMMYFUNCTION("""COMPUTED_VALUE"""),4059.94)</f>
        <v/>
      </c>
    </row>
    <row r="9232">
      <c r="J9232">
        <f>IFERROR(__xludf.DUMMYFUNCTION("""COMPUTED_VALUE"""),"Washington DC, US")</f>
        <v/>
      </c>
      <c r="K9232">
        <f>IFERROR(__xludf.DUMMYFUNCTION("""COMPUTED_VALUE"""),4057.71)</f>
        <v/>
      </c>
    </row>
    <row r="9233">
      <c r="J9233">
        <f>IFERROR(__xludf.DUMMYFUNCTION("""COMPUTED_VALUE"""),"Washington D.C., USA - New York, NY")</f>
        <v/>
      </c>
      <c r="K9233">
        <f>IFERROR(__xludf.DUMMYFUNCTION("""COMPUTED_VALUE"""),4056.92)</f>
        <v/>
      </c>
    </row>
    <row r="9234">
      <c r="J9234">
        <f>IFERROR(__xludf.DUMMYFUNCTION("""COMPUTED_VALUE"""),"Yellowknife, Northwest-Territories, Canada")</f>
        <v/>
      </c>
      <c r="K9234">
        <f>IFERROR(__xludf.DUMMYFUNCTION("""COMPUTED_VALUE"""),4056.73)</f>
        <v/>
      </c>
    </row>
    <row r="9235">
      <c r="J9235">
        <f>IFERROR(__xludf.DUMMYFUNCTION("""COMPUTED_VALUE"""),"Montréal (Quebec) Canada
Calgary (Alberta) Canada")</f>
        <v/>
      </c>
      <c r="K9235">
        <f>IFERROR(__xludf.DUMMYFUNCTION("""COMPUTED_VALUE"""),4052.98)</f>
        <v/>
      </c>
    </row>
    <row r="9236">
      <c r="J9236">
        <f>IFERROR(__xludf.DUMMYFUNCTION("""COMPUTED_VALUE"""),"Calgary, Dawson Creek and Fort McMurray")</f>
        <v/>
      </c>
      <c r="K9236">
        <f>IFERROR(__xludf.DUMMYFUNCTION("""COMPUTED_VALUE"""),4052.64)</f>
        <v/>
      </c>
    </row>
    <row r="9237">
      <c r="J9237">
        <f>IFERROR(__xludf.DUMMYFUNCTION("""COMPUTED_VALUE"""),"St. Johns, Newfounland and Labrador, Canada
Halifax, Nova Scotia, Canada")</f>
        <v/>
      </c>
      <c r="K9237">
        <f>IFERROR(__xludf.DUMMYFUNCTION("""COMPUTED_VALUE"""),4052.41)</f>
        <v/>
      </c>
    </row>
    <row r="9238">
      <c r="J9238">
        <f>IFERROR(__xludf.DUMMYFUNCTION("""COMPUTED_VALUE"""),"Charlottetown, Prince Edward Island,  St Johns , Newfoundland and Halifax, Nova Scotia")</f>
        <v/>
      </c>
      <c r="K9238">
        <f>IFERROR(__xludf.DUMMYFUNCTION("""COMPUTED_VALUE"""),4051.77)</f>
        <v/>
      </c>
    </row>
    <row r="9239">
      <c r="J9239">
        <f>IFERROR(__xludf.DUMMYFUNCTION("""COMPUTED_VALUE"""),"Edmonton, Alberta, Canada 
Washington, United States")</f>
        <v/>
      </c>
      <c r="K9239">
        <f>IFERROR(__xludf.DUMMYFUNCTION("""COMPUTED_VALUE"""),4051.54)</f>
        <v/>
      </c>
    </row>
    <row r="9240">
      <c r="J9240">
        <f>IFERROR(__xludf.DUMMYFUNCTION("""COMPUTED_VALUE"""),"AMSTERDAM, NETHERLANDS")</f>
        <v/>
      </c>
      <c r="K9240">
        <f>IFERROR(__xludf.DUMMYFUNCTION("""COMPUTED_VALUE"""),4051.51)</f>
        <v/>
      </c>
    </row>
    <row r="9241">
      <c r="J9241">
        <f>IFERROR(__xludf.DUMMYFUNCTION("""COMPUTED_VALUE"""),"Rimouski / Matane / Gaspe, (Quebec)")</f>
        <v/>
      </c>
      <c r="K9241">
        <f>IFERROR(__xludf.DUMMYFUNCTION("""COMPUTED_VALUE"""),4051.08)</f>
        <v/>
      </c>
    </row>
    <row r="9242">
      <c r="J9242">
        <f>IFERROR(__xludf.DUMMYFUNCTION("""COMPUTED_VALUE"""),"Calgary, Alberta / Victoria, British Columbia / Vancouver, British Columbia / Kamloops, British Columbia / Edmonton, Alberta")</f>
        <v/>
      </c>
      <c r="K9242">
        <f>IFERROR(__xludf.DUMMYFUNCTION("""COMPUTED_VALUE"""),4049.62)</f>
        <v/>
      </c>
    </row>
    <row r="9243">
      <c r="J9243">
        <f>IFERROR(__xludf.DUMMYFUNCTION("""COMPUTED_VALUE"""),"QUEBEC CITY, QUEBEC")</f>
        <v/>
      </c>
      <c r="K9243">
        <f>IFERROR(__xludf.DUMMYFUNCTION("""COMPUTED_VALUE"""),4049.42)</f>
        <v/>
      </c>
    </row>
    <row r="9244">
      <c r="J9244">
        <f>IFERROR(__xludf.DUMMYFUNCTION("""COMPUTED_VALUE"""),"Port Alberni, British Columbia")</f>
        <v/>
      </c>
      <c r="K9244">
        <f>IFERROR(__xludf.DUMMYFUNCTION("""COMPUTED_VALUE"""),4049.12)</f>
        <v/>
      </c>
    </row>
    <row r="9245">
      <c r="J9245">
        <f>IFERROR(__xludf.DUMMYFUNCTION("""COMPUTED_VALUE"""),"Moncton, NB - Saint John, NB / Saint John, NB - Ottawa, ON / Ottawa, ON - Moncton, NB")</f>
        <v/>
      </c>
      <c r="K9245">
        <f>IFERROR(__xludf.DUMMYFUNCTION("""COMPUTED_VALUE"""),4048.57)</f>
        <v/>
      </c>
    </row>
    <row r="9246">
      <c r="J9246">
        <f>IFERROR(__xludf.DUMMYFUNCTION("""COMPUTED_VALUE"""),"Thompson/Churchill")</f>
        <v/>
      </c>
      <c r="K9246">
        <f>IFERROR(__xludf.DUMMYFUNCTION("""COMPUTED_VALUE"""),4048.43999999999)</f>
        <v/>
      </c>
    </row>
    <row r="9247">
      <c r="J9247">
        <f>IFERROR(__xludf.DUMMYFUNCTION("""COMPUTED_VALUE"""),"Calgary, AB Edmonton, AB Ottawa, ON")</f>
        <v/>
      </c>
      <c r="K9247">
        <f>IFERROR(__xludf.DUMMYFUNCTION("""COMPUTED_VALUE"""),4048.08)</f>
        <v/>
      </c>
    </row>
    <row r="9248">
      <c r="J9248">
        <f>IFERROR(__xludf.DUMMYFUNCTION("""COMPUTED_VALUE"""),"Edmonton, Alberta, Canada; Bathurst, New Brunswick, Canada; Moncton, New Brunswick, Canada")</f>
        <v/>
      </c>
      <c r="K9248">
        <f>IFERROR(__xludf.DUMMYFUNCTION("""COMPUTED_VALUE"""),4047.66)</f>
        <v/>
      </c>
    </row>
    <row r="9249">
      <c r="J9249">
        <f>IFERROR(__xludf.DUMMYFUNCTION("""COMPUTED_VALUE"""),"Saint John, New Brunswick/ St-Johns, Newfoundland and Labrador,  Canada")</f>
        <v/>
      </c>
      <c r="K9249">
        <f>IFERROR(__xludf.DUMMYFUNCTION("""COMPUTED_VALUE"""),4047.56)</f>
        <v/>
      </c>
    </row>
    <row r="9250">
      <c r="J9250">
        <f>IFERROR(__xludf.DUMMYFUNCTION("""COMPUTED_VALUE"""),"Toronto; Washington DC")</f>
        <v/>
      </c>
      <c r="K9250">
        <f>IFERROR(__xludf.DUMMYFUNCTION("""COMPUTED_VALUE"""),4045.11)</f>
        <v/>
      </c>
    </row>
    <row r="9251">
      <c r="J9251">
        <f>IFERROR(__xludf.DUMMYFUNCTION("""COMPUTED_VALUE"""),"1. Washington, D.C., United States")</f>
        <v/>
      </c>
      <c r="K9251">
        <f>IFERROR(__xludf.DUMMYFUNCTION("""COMPUTED_VALUE"""),4044.95)</f>
        <v/>
      </c>
    </row>
    <row r="9252">
      <c r="J9252">
        <f>IFERROR(__xludf.DUMMYFUNCTION("""COMPUTED_VALUE"""),"Vancouver, BC - Kamloops, BC")</f>
        <v/>
      </c>
      <c r="K9252">
        <f>IFERROR(__xludf.DUMMYFUNCTION("""COMPUTED_VALUE"""),4044.93)</f>
        <v/>
      </c>
    </row>
    <row r="9253">
      <c r="J9253">
        <f>IFERROR(__xludf.DUMMYFUNCTION("""COMPUTED_VALUE"""),"New York &amp; Washington, USA")</f>
        <v/>
      </c>
      <c r="K9253">
        <f>IFERROR(__xludf.DUMMYFUNCTION("""COMPUTED_VALUE"""),4044.77)</f>
        <v/>
      </c>
    </row>
    <row r="9254">
      <c r="J9254">
        <f>IFERROR(__xludf.DUMMYFUNCTION("""COMPUTED_VALUE"""),"Washinton, DC")</f>
        <v/>
      </c>
      <c r="K9254">
        <f>IFERROR(__xludf.DUMMYFUNCTION("""COMPUTED_VALUE"""),4044.74)</f>
        <v/>
      </c>
    </row>
    <row r="9255">
      <c r="J9255">
        <f>IFERROR(__xludf.DUMMYFUNCTION("""COMPUTED_VALUE"""),"Lacombe (Alberta) Canada")</f>
        <v/>
      </c>
      <c r="K9255">
        <f>IFERROR(__xludf.DUMMYFUNCTION("""COMPUTED_VALUE"""),4044.41)</f>
        <v/>
      </c>
    </row>
    <row r="9256">
      <c r="J9256">
        <f>IFERROR(__xludf.DUMMYFUNCTION("""COMPUTED_VALUE"""),"Washington,  USA")</f>
        <v/>
      </c>
      <c r="K9256">
        <f>IFERROR(__xludf.DUMMYFUNCTION("""COMPUTED_VALUE"""),4044.12)</f>
        <v/>
      </c>
    </row>
    <row r="9257">
      <c r="J9257">
        <f>IFERROR(__xludf.DUMMYFUNCTION("""COMPUTED_VALUE"""),"Halifax NS; Kingston, Toronto Ontario, Canada")</f>
        <v/>
      </c>
      <c r="K9257">
        <f>IFERROR(__xludf.DUMMYFUNCTION("""COMPUTED_VALUE"""),4044.04)</f>
        <v/>
      </c>
    </row>
    <row r="9258">
      <c r="J9258">
        <f>IFERROR(__xludf.DUMMYFUNCTION("""COMPUTED_VALUE"""),"Mont Tremblant, Quebec, Canada")</f>
        <v/>
      </c>
      <c r="K9258">
        <f>IFERROR(__xludf.DUMMYFUNCTION("""COMPUTED_VALUE"""),4043.55)</f>
        <v/>
      </c>
    </row>
    <row r="9259">
      <c r="J9259">
        <f>IFERROR(__xludf.DUMMYFUNCTION("""COMPUTED_VALUE"""),"Houston, Texas (USA)")</f>
        <v/>
      </c>
      <c r="K9259">
        <f>IFERROR(__xludf.DUMMYFUNCTION("""COMPUTED_VALUE"""),4042.99)</f>
        <v/>
      </c>
    </row>
    <row r="9260">
      <c r="J9260">
        <f>IFERROR(__xludf.DUMMYFUNCTION("""COMPUTED_VALUE"""),"Calgary, AB
Winnipeg, MB
Vancouver, BC")</f>
        <v/>
      </c>
      <c r="K9260">
        <f>IFERROR(__xludf.DUMMYFUNCTION("""COMPUTED_VALUE"""),4042.3)</f>
        <v/>
      </c>
    </row>
    <row r="9261">
      <c r="J9261">
        <f>IFERROR(__xludf.DUMMYFUNCTION("""COMPUTED_VALUE"""),"Saskatoon, Saskatchewan, Calgary, Alberta, Canmore, Alberta")</f>
        <v/>
      </c>
      <c r="K9261">
        <f>IFERROR(__xludf.DUMMYFUNCTION("""COMPUTED_VALUE"""),4041.88)</f>
        <v/>
      </c>
    </row>
    <row r="9262">
      <c r="J9262">
        <f>IFERROR(__xludf.DUMMYFUNCTION("""COMPUTED_VALUE"""),"Washington, District of Columbia, United States; Fredericton, New Brunswick, Canada; St. John's, Newfoundland and Labrador, Canada")</f>
        <v/>
      </c>
      <c r="K9262">
        <f>IFERROR(__xludf.DUMMYFUNCTION("""COMPUTED_VALUE"""),4041.21)</f>
        <v/>
      </c>
    </row>
    <row r="9263">
      <c r="J9263">
        <f>IFERROR(__xludf.DUMMYFUNCTION("""COMPUTED_VALUE"""),"Saint John, Moncton, NB, Saskatoon, SK")</f>
        <v/>
      </c>
      <c r="K9263">
        <f>IFERROR(__xludf.DUMMYFUNCTION("""COMPUTED_VALUE"""),4040.14)</f>
        <v/>
      </c>
    </row>
    <row r="9264">
      <c r="J9264">
        <f>IFERROR(__xludf.DUMMYFUNCTION("""COMPUTED_VALUE"""),"Sydney, Australia. Canberra, Australia.
Tokyo, Japan.
Seoul, Korea.  
Tashkent, Uzbekistan.")</f>
        <v/>
      </c>
      <c r="K9264">
        <f>IFERROR(__xludf.DUMMYFUNCTION("""COMPUTED_VALUE"""),4039.92)</f>
        <v/>
      </c>
    </row>
    <row r="9265">
      <c r="J9265">
        <f>IFERROR(__xludf.DUMMYFUNCTION("""COMPUTED_VALUE"""),"Saguenay, QC - Edmonton, AB - Calgary, AB")</f>
        <v/>
      </c>
      <c r="K9265">
        <f>IFERROR(__xludf.DUMMYFUNCTION("""COMPUTED_VALUE"""),4037.34)</f>
        <v/>
      </c>
    </row>
    <row r="9266">
      <c r="J9266">
        <f>IFERROR(__xludf.DUMMYFUNCTION("""COMPUTED_VALUE"""),"Sidney, British Columbia, Canada
Burnaby, British Columbia, Canada
Calgary, Alberta, Canada
Lethbridge, Alberta, Canada
Winnipeg, Manitoba, Canada")</f>
        <v/>
      </c>
      <c r="K9266">
        <f>IFERROR(__xludf.DUMMYFUNCTION("""COMPUTED_VALUE"""),4036.87)</f>
        <v/>
      </c>
    </row>
    <row r="9267">
      <c r="J9267">
        <f>IFERROR(__xludf.DUMMYFUNCTION("""COMPUTED_VALUE"""),"London, Ontario, Canada / St Marys, Ontario, Canada")</f>
        <v/>
      </c>
      <c r="K9267">
        <f>IFERROR(__xludf.DUMMYFUNCTION("""COMPUTED_VALUE"""),4036.64999999999)</f>
        <v/>
      </c>
    </row>
    <row r="9268">
      <c r="J9268">
        <f>IFERROR(__xludf.DUMMYFUNCTION("""COMPUTED_VALUE"""),"Atlanta, Georgia / Washington, D.C., United States")</f>
        <v/>
      </c>
      <c r="K9268">
        <f>IFERROR(__xludf.DUMMYFUNCTION("""COMPUTED_VALUE"""),4036.02)</f>
        <v/>
      </c>
    </row>
    <row r="9269">
      <c r="J9269">
        <f>IFERROR(__xludf.DUMMYFUNCTION("""COMPUTED_VALUE"""),"Edmonton, Alberta, Canada; Kelowna, British Columbia, Canada; Vernon, British Columbia, Canada; Winnipeg, Manitoba, Canada; Toronto, Ontario, Canada")</f>
        <v/>
      </c>
      <c r="K9269">
        <f>IFERROR(__xludf.DUMMYFUNCTION("""COMPUTED_VALUE"""),4034.45)</f>
        <v/>
      </c>
    </row>
    <row r="9270">
      <c r="J9270">
        <f>IFERROR(__xludf.DUMMYFUNCTION("""COMPUTED_VALUE"""),"Long Beach, California, USA")</f>
        <v/>
      </c>
      <c r="K9270">
        <f>IFERROR(__xludf.DUMMYFUNCTION("""COMPUTED_VALUE"""),4034.38)</f>
        <v/>
      </c>
    </row>
    <row r="9271">
      <c r="J9271">
        <f>IFERROR(__xludf.DUMMYFUNCTION("""COMPUTED_VALUE"""),"Granby, Quebec, Canada; St-Jean, Quebec, Canada; Rimouski, Quebec, Canada; Matane, Quebec, Canada")</f>
        <v/>
      </c>
      <c r="K9271">
        <f>IFERROR(__xludf.DUMMYFUNCTION("""COMPUTED_VALUE"""),4033.37)</f>
        <v/>
      </c>
    </row>
    <row r="9272">
      <c r="J9272">
        <f>IFERROR(__xludf.DUMMYFUNCTION("""COMPUTED_VALUE"""),"Gaspé, Quebec, Canada
Caraquet, New Brunswick, Canada")</f>
        <v/>
      </c>
      <c r="K9272">
        <f>IFERROR(__xludf.DUMMYFUNCTION("""COMPUTED_VALUE"""),4032.87)</f>
        <v/>
      </c>
    </row>
    <row r="9273">
      <c r="J9273">
        <f>IFERROR(__xludf.DUMMYFUNCTION("""COMPUTED_VALUE"""),"Stuttgart, Germany / Brussels, Belgium")</f>
        <v/>
      </c>
      <c r="K9273">
        <f>IFERROR(__xludf.DUMMYFUNCTION("""COMPUTED_VALUE"""),4032.53)</f>
        <v/>
      </c>
    </row>
    <row r="9274">
      <c r="J9274">
        <f>IFERROR(__xludf.DUMMYFUNCTION("""COMPUTED_VALUE"""),"CHARLOTTETOWN (Î.-P.-É.) ET OTTAWA (ONT.)")</f>
        <v/>
      </c>
      <c r="K9274">
        <f>IFERROR(__xludf.DUMMYFUNCTION("""COMPUTED_VALUE"""),4032.19)</f>
        <v/>
      </c>
    </row>
    <row r="9275">
      <c r="J9275">
        <f>IFERROR(__xludf.DUMMYFUNCTION("""COMPUTED_VALUE"""),"Vancouver, BC Canada")</f>
        <v/>
      </c>
      <c r="K9275">
        <f>IFERROR(__xludf.DUMMYFUNCTION("""COMPUTED_VALUE"""),4031.14999999999)</f>
        <v/>
      </c>
    </row>
    <row r="9276">
      <c r="J9276">
        <f>IFERROR(__xludf.DUMMYFUNCTION("""COMPUTED_VALUE"""),"Shediac, New Brunswick, Canada; Halifax, Nova Scotia, Canada")</f>
        <v/>
      </c>
      <c r="K9276">
        <f>IFERROR(__xludf.DUMMYFUNCTION("""COMPUTED_VALUE"""),4029.48)</f>
        <v/>
      </c>
    </row>
    <row r="9277">
      <c r="J9277">
        <f>IFERROR(__xludf.DUMMYFUNCTION("""COMPUTED_VALUE"""),"Southern Ontario Region")</f>
        <v/>
      </c>
      <c r="K9277">
        <f>IFERROR(__xludf.DUMMYFUNCTION("""COMPUTED_VALUE"""),4029.21)</f>
        <v/>
      </c>
    </row>
    <row r="9278">
      <c r="J9278">
        <f>IFERROR(__xludf.DUMMYFUNCTION("""COMPUTED_VALUE"""),"Peterborough and Toronto, Ontario, Canada")</f>
        <v/>
      </c>
      <c r="K9278">
        <f>IFERROR(__xludf.DUMMYFUNCTION("""COMPUTED_VALUE"""),4028.91)</f>
        <v/>
      </c>
    </row>
    <row r="9279">
      <c r="J9279">
        <f>IFERROR(__xludf.DUMMYFUNCTION("""COMPUTED_VALUE"""),"Normandy, FR")</f>
        <v/>
      </c>
      <c r="K9279">
        <f>IFERROR(__xludf.DUMMYFUNCTION("""COMPUTED_VALUE"""),4028.65)</f>
        <v/>
      </c>
    </row>
    <row r="9280">
      <c r="J9280">
        <f>IFERROR(__xludf.DUMMYFUNCTION("""COMPUTED_VALUE"""),"Iqaluit / Cape Dorset, Nunavut")</f>
        <v/>
      </c>
      <c r="K9280">
        <f>IFERROR(__xludf.DUMMYFUNCTION("""COMPUTED_VALUE"""),4028.57)</f>
        <v/>
      </c>
    </row>
    <row r="9281">
      <c r="J9281">
        <f>IFERROR(__xludf.DUMMYFUNCTION("""COMPUTED_VALUE"""),"Kenora, ON - Thunder Bay, ON")</f>
        <v/>
      </c>
      <c r="K9281">
        <f>IFERROR(__xludf.DUMMYFUNCTION("""COMPUTED_VALUE"""),4028.56999999999)</f>
        <v/>
      </c>
    </row>
    <row r="9282">
      <c r="J9282">
        <f>IFERROR(__xludf.DUMMYFUNCTION("""COMPUTED_VALUE"""),"Cook Island &amp; Asia (cancelled)")</f>
        <v/>
      </c>
      <c r="K9282">
        <f>IFERROR(__xludf.DUMMYFUNCTION("""COMPUTED_VALUE"""),4028.54)</f>
        <v/>
      </c>
    </row>
    <row r="9283">
      <c r="J9283">
        <f>IFERROR(__xludf.DUMMYFUNCTION("""COMPUTED_VALUE"""),"Calgary, AB
Vancouver, BC")</f>
        <v/>
      </c>
      <c r="K9283">
        <f>IFERROR(__xludf.DUMMYFUNCTION("""COMPUTED_VALUE"""),4027.23)</f>
        <v/>
      </c>
    </row>
    <row r="9284">
      <c r="J9284">
        <f>IFERROR(__xludf.DUMMYFUNCTION("""COMPUTED_VALUE"""),"Vancouver, British Columbia / Calgary, Alberta / Toronto, Ontario / Kitchener, Ontario, Canada")</f>
        <v/>
      </c>
      <c r="K9284">
        <f>IFERROR(__xludf.DUMMYFUNCTION("""COMPUTED_VALUE"""),4024.81)</f>
        <v/>
      </c>
    </row>
    <row r="9285">
      <c r="J9285">
        <f>IFERROR(__xludf.DUMMYFUNCTION("""COMPUTED_VALUE"""),"San Diego, California; Ottawa, Ontario")</f>
        <v/>
      </c>
      <c r="K9285">
        <f>IFERROR(__xludf.DUMMYFUNCTION("""COMPUTED_VALUE"""),4024.57)</f>
        <v/>
      </c>
    </row>
    <row r="9286">
      <c r="J9286">
        <f>IFERROR(__xludf.DUMMYFUNCTION("""COMPUTED_VALUE"""),"Toronto, ON / Montreal, QC")</f>
        <v/>
      </c>
      <c r="K9286">
        <f>IFERROR(__xludf.DUMMYFUNCTION("""COMPUTED_VALUE"""),4024.13)</f>
        <v/>
      </c>
    </row>
    <row r="9287">
      <c r="J9287">
        <f>IFERROR(__xludf.DUMMYFUNCTION("""COMPUTED_VALUE"""),"Gaspésie, Québec, Canada")</f>
        <v/>
      </c>
      <c r="K9287">
        <f>IFERROR(__xludf.DUMMYFUNCTION("""COMPUTED_VALUE"""),4023.34)</f>
        <v/>
      </c>
    </row>
    <row r="9288">
      <c r="J9288">
        <f>IFERROR(__xludf.DUMMYFUNCTION("""COMPUTED_VALUE"""),"Québec, Quebec, Canada; St. John's, Newfoundland and Labrador, Canada")</f>
        <v/>
      </c>
      <c r="K9288">
        <f>IFERROR(__xludf.DUMMYFUNCTION("""COMPUTED_VALUE"""),4023.2)</f>
        <v/>
      </c>
    </row>
    <row r="9289">
      <c r="J9289">
        <f>IFERROR(__xludf.DUMMYFUNCTION("""COMPUTED_VALUE"""),"Winnipeg, Manitoba and  Regina, Saskatchewan,  Canada")</f>
        <v/>
      </c>
      <c r="K9289">
        <f>IFERROR(__xludf.DUMMYFUNCTION("""COMPUTED_VALUE"""),4022.83)</f>
        <v/>
      </c>
    </row>
    <row r="9290">
      <c r="J9290">
        <f>IFERROR(__xludf.DUMMYFUNCTION("""COMPUTED_VALUE"""),"Orlando, Florida (USA)")</f>
        <v/>
      </c>
      <c r="K9290">
        <f>IFERROR(__xludf.DUMMYFUNCTION("""COMPUTED_VALUE"""),4021.06)</f>
        <v/>
      </c>
    </row>
    <row r="9291">
      <c r="J9291">
        <f>IFERROR(__xludf.DUMMYFUNCTION("""COMPUTED_VALUE"""),"St-John`s, Newfoundland and Labrador, Canada")</f>
        <v/>
      </c>
      <c r="K9291">
        <f>IFERROR(__xludf.DUMMYFUNCTION("""COMPUTED_VALUE"""),4020.58999999999)</f>
        <v/>
      </c>
    </row>
    <row r="9292">
      <c r="J9292">
        <f>IFERROR(__xludf.DUMMYFUNCTION("""COMPUTED_VALUE"""),"Denver, Collorado")</f>
        <v/>
      </c>
      <c r="K9292">
        <f>IFERROR(__xludf.DUMMYFUNCTION("""COMPUTED_VALUE"""),4020.22)</f>
        <v/>
      </c>
    </row>
    <row r="9293">
      <c r="J9293">
        <f>IFERROR(__xludf.DUMMYFUNCTION("""COMPUTED_VALUE"""),"Halifax, Nova Scotia and Fredericton, New Brunswick")</f>
        <v/>
      </c>
      <c r="K9293">
        <f>IFERROR(__xludf.DUMMYFUNCTION("""COMPUTED_VALUE"""),4019.83)</f>
        <v/>
      </c>
    </row>
    <row r="9294">
      <c r="J9294">
        <f>IFERROR(__xludf.DUMMYFUNCTION("""COMPUTED_VALUE"""),"London, ON, Winnipeg, Manitoba")</f>
        <v/>
      </c>
      <c r="K9294">
        <f>IFERROR(__xludf.DUMMYFUNCTION("""COMPUTED_VALUE"""),4019.46)</f>
        <v/>
      </c>
    </row>
    <row r="9295">
      <c r="J9295">
        <f>IFERROR(__xludf.DUMMYFUNCTION("""COMPUTED_VALUE"""),"Ottawa, ON / Toronto, ON / Kitchener, ON / Windsor, ON")</f>
        <v/>
      </c>
      <c r="K9295">
        <f>IFERROR(__xludf.DUMMYFUNCTION("""COMPUTED_VALUE"""),4018.75)</f>
        <v/>
      </c>
    </row>
    <row r="9296">
      <c r="J9296">
        <f>IFERROR(__xludf.DUMMYFUNCTION("""COMPUTED_VALUE"""),"Ottawa, ON; Banff, AB")</f>
        <v/>
      </c>
      <c r="K9296">
        <f>IFERROR(__xludf.DUMMYFUNCTION("""COMPUTED_VALUE"""),4017.65)</f>
        <v/>
      </c>
    </row>
    <row r="9297">
      <c r="J9297">
        <f>IFERROR(__xludf.DUMMYFUNCTION("""COMPUTED_VALUE"""),"Quebec City, Quebec, Canada; Toronto, Ontario, Canada; Ottawa, Ontario, Canada")</f>
        <v/>
      </c>
      <c r="K9297">
        <f>IFERROR(__xludf.DUMMYFUNCTION("""COMPUTED_VALUE"""),4016.29)</f>
        <v/>
      </c>
    </row>
    <row r="9298">
      <c r="J9298">
        <f>IFERROR(__xludf.DUMMYFUNCTION("""COMPUTED_VALUE"""),"Stockholm, Sweden / Helsinki, Finland")</f>
        <v/>
      </c>
      <c r="K9298">
        <f>IFERROR(__xludf.DUMMYFUNCTION("""COMPUTED_VALUE"""),4016.25)</f>
        <v/>
      </c>
    </row>
    <row r="9299">
      <c r="J9299">
        <f>IFERROR(__xludf.DUMMYFUNCTION("""COMPUTED_VALUE"""),"Vancouver, Britisch Columbia, Canada")</f>
        <v/>
      </c>
      <c r="K9299">
        <f>IFERROR(__xludf.DUMMYFUNCTION("""COMPUTED_VALUE"""),4015.07)</f>
        <v/>
      </c>
    </row>
    <row r="9300">
      <c r="J9300">
        <f>IFERROR(__xludf.DUMMYFUNCTION("""COMPUTED_VALUE"""),"Pasadena CA, Vancouver BC and Edmonton AB")</f>
        <v/>
      </c>
      <c r="K9300">
        <f>IFERROR(__xludf.DUMMYFUNCTION("""COMPUTED_VALUE"""),4014.53)</f>
        <v/>
      </c>
    </row>
    <row r="9301">
      <c r="J9301">
        <f>IFERROR(__xludf.DUMMYFUNCTION("""COMPUTED_VALUE"""),"Calgary, Alberta; Edmonton Alberta")</f>
        <v/>
      </c>
      <c r="K9301">
        <f>IFERROR(__xludf.DUMMYFUNCTION("""COMPUTED_VALUE"""),4014.04)</f>
        <v/>
      </c>
    </row>
    <row r="9302">
      <c r="J9302">
        <f>IFERROR(__xludf.DUMMYFUNCTION("""COMPUTED_VALUE"""),"Puerto Ordaz, Venezuela")</f>
        <v/>
      </c>
      <c r="K9302">
        <f>IFERROR(__xludf.DUMMYFUNCTION("""COMPUTED_VALUE"""),4013.7)</f>
        <v/>
      </c>
    </row>
    <row r="9303">
      <c r="J9303">
        <f>IFERROR(__xludf.DUMMYFUNCTION("""COMPUTED_VALUE"""),"Barrie, Ontario, Canada; Markham, Ontario, Canada; Toronto, Ontario, Canada")</f>
        <v/>
      </c>
      <c r="K9303">
        <f>IFERROR(__xludf.DUMMYFUNCTION("""COMPUTED_VALUE"""),4013.59)</f>
        <v/>
      </c>
    </row>
    <row r="9304">
      <c r="J9304">
        <f>IFERROR(__xludf.DUMMYFUNCTION("""COMPUTED_VALUE"""),"Sierra Leone, Liberia, Côte d'Ivoire, Ethiopia et Afrique du Sud")</f>
        <v/>
      </c>
      <c r="K9304">
        <f>IFERROR(__xludf.DUMMYFUNCTION("""COMPUTED_VALUE"""),4013.4)</f>
        <v/>
      </c>
    </row>
    <row r="9305">
      <c r="J9305">
        <f>IFERROR(__xludf.DUMMYFUNCTION("""COMPUTED_VALUE"""),"Scarborough, Ontario, Canada; Banff, Alberta, Canada")</f>
        <v/>
      </c>
      <c r="K9305">
        <f>IFERROR(__xludf.DUMMYFUNCTION("""COMPUTED_VALUE"""),4013.05)</f>
        <v/>
      </c>
    </row>
    <row r="9306">
      <c r="J9306">
        <f>IFERROR(__xludf.DUMMYFUNCTION("""COMPUTED_VALUE"""),"Dublin, Ireland, Paris, France")</f>
        <v/>
      </c>
      <c r="K9306">
        <f>IFERROR(__xludf.DUMMYFUNCTION("""COMPUTED_VALUE"""),4012.52)</f>
        <v/>
      </c>
    </row>
    <row r="9307">
      <c r="J9307">
        <f>IFERROR(__xludf.DUMMYFUNCTION("""COMPUTED_VALUE"""),"Ottawa, ON;
Victoria, BC; 
Whitehorse, YT
Kelowna, BC")</f>
        <v/>
      </c>
      <c r="K9307">
        <f>IFERROR(__xludf.DUMMYFUNCTION("""COMPUTED_VALUE"""),4011.83)</f>
        <v/>
      </c>
    </row>
    <row r="9308">
      <c r="J9308">
        <f>IFERROR(__xludf.DUMMYFUNCTION("""COMPUTED_VALUE"""),"Edmonton, AB; Winnipeg, MB")</f>
        <v/>
      </c>
      <c r="K9308">
        <f>IFERROR(__xludf.DUMMYFUNCTION("""COMPUTED_VALUE"""),4011.51)</f>
        <v/>
      </c>
    </row>
    <row r="9309">
      <c r="J9309">
        <f>IFERROR(__xludf.DUMMYFUNCTION("""COMPUTED_VALUE"""),"Saskatoon and Regina, Canada")</f>
        <v/>
      </c>
      <c r="K9309">
        <f>IFERROR(__xludf.DUMMYFUNCTION("""COMPUTED_VALUE"""),4011.38)</f>
        <v/>
      </c>
    </row>
    <row r="9310">
      <c r="J9310">
        <f>IFERROR(__xludf.DUMMYFUNCTION("""COMPUTED_VALUE"""),"Omaha/Lincoln, Nebraska (USA); Vancouver, British Columbia and Toronto, Ontario (Canada)")</f>
        <v/>
      </c>
      <c r="K9310">
        <f>IFERROR(__xludf.DUMMYFUNCTION("""COMPUTED_VALUE"""),4010.88)</f>
        <v/>
      </c>
    </row>
    <row r="9311">
      <c r="J9311">
        <f>IFERROR(__xludf.DUMMYFUNCTION("""COMPUTED_VALUE"""),"Vancouver, Bristish-Columbia, Canada")</f>
        <v/>
      </c>
      <c r="K9311">
        <f>IFERROR(__xludf.DUMMYFUNCTION("""COMPUTED_VALUE"""),4010.74)</f>
        <v/>
      </c>
    </row>
    <row r="9312">
      <c r="J9312">
        <f>IFERROR(__xludf.DUMMYFUNCTION("""COMPUTED_VALUE"""),"Vancouver, British-Columbia and Whitehorse, Yukon")</f>
        <v/>
      </c>
      <c r="K9312">
        <f>IFERROR(__xludf.DUMMYFUNCTION("""COMPUTED_VALUE"""),4010.2)</f>
        <v/>
      </c>
    </row>
    <row r="9313">
      <c r="J9313">
        <f>IFERROR(__xludf.DUMMYFUNCTION("""COMPUTED_VALUE"""),"Les Escoumins, Quebec, Canada")</f>
        <v/>
      </c>
      <c r="K9313">
        <f>IFERROR(__xludf.DUMMYFUNCTION("""COMPUTED_VALUE"""),4009.95)</f>
        <v/>
      </c>
    </row>
    <row r="9314">
      <c r="J9314">
        <f>IFERROR(__xludf.DUMMYFUNCTION("""COMPUTED_VALUE"""),"Fort Smith, NWT")</f>
        <v/>
      </c>
      <c r="K9314">
        <f>IFERROR(__xludf.DUMMYFUNCTION("""COMPUTED_VALUE"""),4009.71)</f>
        <v/>
      </c>
    </row>
    <row r="9315">
      <c r="J9315">
        <f>IFERROR(__xludf.DUMMYFUNCTION("""COMPUTED_VALUE"""),"Vancouver, BC - Victoria, BC - Calgary, AB - Winnipeg, MB")</f>
        <v/>
      </c>
      <c r="K9315">
        <f>IFERROR(__xludf.DUMMYFUNCTION("""COMPUTED_VALUE"""),4009.71)</f>
        <v/>
      </c>
    </row>
    <row r="9316">
      <c r="J9316">
        <f>IFERROR(__xludf.DUMMYFUNCTION("""COMPUTED_VALUE"""),"no english destination available")</f>
        <v/>
      </c>
      <c r="K9316">
        <f>IFERROR(__xludf.DUMMYFUNCTION("""COMPUTED_VALUE"""),4009.6)</f>
        <v/>
      </c>
    </row>
    <row r="9317">
      <c r="J9317">
        <f>IFERROR(__xludf.DUMMYFUNCTION("""COMPUTED_VALUE"""),"Vancouver, BC - Regina, SK - Saskatoon, SK - Winniper, MB")</f>
        <v/>
      </c>
      <c r="K9317">
        <f>IFERROR(__xludf.DUMMYFUNCTION("""COMPUTED_VALUE"""),4009.06)</f>
        <v/>
      </c>
    </row>
    <row r="9318">
      <c r="J9318">
        <f>IFERROR(__xludf.DUMMYFUNCTION("""COMPUTED_VALUE"""),"Vancouver, British Columbia, Canada; Abbotsford, British Columbia, Canada; Saskatoon, Saskatchewan, Canada")</f>
        <v/>
      </c>
      <c r="K9318">
        <f>IFERROR(__xludf.DUMMYFUNCTION("""COMPUTED_VALUE"""),4007.21)</f>
        <v/>
      </c>
    </row>
    <row r="9319">
      <c r="J9319">
        <f>IFERROR(__xludf.DUMMYFUNCTION("""COMPUTED_VALUE"""),"Halifax, Nova Scotia / Charlottetown, Prince Edward Island / Calgary, Alberta / Winnipeg, Manitoba, Canada")</f>
        <v/>
      </c>
      <c r="K9319">
        <f>IFERROR(__xludf.DUMMYFUNCTION("""COMPUTED_VALUE"""),4006.36)</f>
        <v/>
      </c>
    </row>
    <row r="9320">
      <c r="J9320">
        <f>IFERROR(__xludf.DUMMYFUNCTION("""COMPUTED_VALUE"""),"St  John's, Newfoundland")</f>
        <v/>
      </c>
      <c r="K9320">
        <f>IFERROR(__xludf.DUMMYFUNCTION("""COMPUTED_VALUE"""),4003.92)</f>
        <v/>
      </c>
    </row>
    <row r="9321">
      <c r="J9321">
        <f>IFERROR(__xludf.DUMMYFUNCTION("""COMPUTED_VALUE"""),"Toronto, Ontario; Moncton, New Brunswick; St. John's, Newfoundland  and Labrador; Montreal, Quebec")</f>
        <v/>
      </c>
      <c r="K9321">
        <f>IFERROR(__xludf.DUMMYFUNCTION("""COMPUTED_VALUE"""),4003.88)</f>
        <v/>
      </c>
    </row>
    <row r="9322">
      <c r="J9322">
        <f>IFERROR(__xludf.DUMMYFUNCTION("""COMPUTED_VALUE"""),"Calgary, Alberta/ Banff, Alberta/ Edmonton, Alberta, Canada")</f>
        <v/>
      </c>
      <c r="K9322">
        <f>IFERROR(__xludf.DUMMYFUNCTION("""COMPUTED_VALUE"""),4003.79)</f>
        <v/>
      </c>
    </row>
    <row r="9323">
      <c r="J9323">
        <f>IFERROR(__xludf.DUMMYFUNCTION("""COMPUTED_VALUE"""),"Detroit, Michigan, United States / New York, New York , United States")</f>
        <v/>
      </c>
      <c r="K9323">
        <f>IFERROR(__xludf.DUMMYFUNCTION("""COMPUTED_VALUE"""),4003.46)</f>
        <v/>
      </c>
    </row>
    <row r="9324">
      <c r="J9324">
        <f>IFERROR(__xludf.DUMMYFUNCTION("""COMPUTED_VALUE"""),"Washington, DC / New York, NY")</f>
        <v/>
      </c>
      <c r="K9324">
        <f>IFERROR(__xludf.DUMMYFUNCTION("""COMPUTED_VALUE"""),4002.98)</f>
        <v/>
      </c>
    </row>
    <row r="9325">
      <c r="J9325">
        <f>IFERROR(__xludf.DUMMYFUNCTION("""COMPUTED_VALUE"""),"Ottawa - St Johns - Ottawa")</f>
        <v/>
      </c>
      <c r="K9325">
        <f>IFERROR(__xludf.DUMMYFUNCTION("""COMPUTED_VALUE"""),4002.48)</f>
        <v/>
      </c>
    </row>
    <row r="9326">
      <c r="J9326">
        <f>IFERROR(__xludf.DUMMYFUNCTION("""COMPUTED_VALUE"""),"Halifax, Nova Scotia, Canada
Edmonton, Alberta, Canada
Calgary, Alberta, Canada")</f>
        <v/>
      </c>
      <c r="K9326">
        <f>IFERROR(__xludf.DUMMYFUNCTION("""COMPUTED_VALUE"""),4002.31999999999)</f>
        <v/>
      </c>
    </row>
    <row r="9327">
      <c r="J9327">
        <f>IFERROR(__xludf.DUMMYFUNCTION("""COMPUTED_VALUE"""),"Regina, Saskatchewan, Canada and Whitecap, Saskatchewan, Canada")</f>
        <v/>
      </c>
      <c r="K9327">
        <f>IFERROR(__xludf.DUMMYFUNCTION("""COMPUTED_VALUE"""),4002.08)</f>
        <v/>
      </c>
    </row>
    <row r="9328">
      <c r="J9328">
        <f>IFERROR(__xludf.DUMMYFUNCTION("""COMPUTED_VALUE"""),"St. John's/Deer Lake")</f>
        <v/>
      </c>
      <c r="K9328">
        <f>IFERROR(__xludf.DUMMYFUNCTION("""COMPUTED_VALUE"""),4001.26)</f>
        <v/>
      </c>
    </row>
    <row r="9329">
      <c r="J9329">
        <f>IFERROR(__xludf.DUMMYFUNCTION("""COMPUTED_VALUE"""),"Abbotsford and Agassiz, British Columbia")</f>
        <v/>
      </c>
      <c r="K9329">
        <f>IFERROR(__xludf.DUMMYFUNCTION("""COMPUTED_VALUE"""),4001.2)</f>
        <v/>
      </c>
    </row>
    <row r="9330">
      <c r="J9330">
        <f>IFERROR(__xludf.DUMMYFUNCTION("""COMPUTED_VALUE"""),"Abbotsford, British Columbia;
Agassiz, British Columbia")</f>
        <v/>
      </c>
      <c r="K9330">
        <f>IFERROR(__xludf.DUMMYFUNCTION("""COMPUTED_VALUE"""),4001.2)</f>
        <v/>
      </c>
    </row>
    <row r="9331">
      <c r="J9331">
        <f>IFERROR(__xludf.DUMMYFUNCTION("""COMPUTED_VALUE"""),"Rome (New York) United States of America")</f>
        <v/>
      </c>
      <c r="K9331">
        <f>IFERROR(__xludf.DUMMYFUNCTION("""COMPUTED_VALUE"""),4000.84)</f>
        <v/>
      </c>
    </row>
    <row r="9332">
      <c r="J9332">
        <f>IFERROR(__xludf.DUMMYFUNCTION("""COMPUTED_VALUE"""),"Resolute, Nunavut")</f>
        <v/>
      </c>
      <c r="K9332">
        <f>IFERROR(__xludf.DUMMYFUNCTION("""COMPUTED_VALUE"""),4000)</f>
        <v/>
      </c>
    </row>
    <row r="9333">
      <c r="J9333">
        <f>IFERROR(__xludf.DUMMYFUNCTION("""COMPUTED_VALUE"""),"Vancouver / Winnipeg")</f>
        <v/>
      </c>
      <c r="K9333">
        <f>IFERROR(__xludf.DUMMYFUNCTION("""COMPUTED_VALUE"""),3999.48)</f>
        <v/>
      </c>
    </row>
    <row r="9334">
      <c r="J9334">
        <f>IFERROR(__xludf.DUMMYFUNCTION("""COMPUTED_VALUE"""),"Hamburg (Germany)")</f>
        <v/>
      </c>
      <c r="K9334">
        <f>IFERROR(__xludf.DUMMYFUNCTION("""COMPUTED_VALUE"""),3999.11)</f>
        <v/>
      </c>
    </row>
    <row r="9335">
      <c r="J9335">
        <f>IFERROR(__xludf.DUMMYFUNCTION("""COMPUTED_VALUE"""),"Surrey, British Columbia, Canada; Vancouver, British Columbia, Canada; Victoria, British Columbia, Canada; Kelowna, British Columbia, Canada")</f>
        <v/>
      </c>
      <c r="K9335">
        <f>IFERROR(__xludf.DUMMYFUNCTION("""COMPUTED_VALUE"""),3998.29)</f>
        <v/>
      </c>
    </row>
    <row r="9336">
      <c r="J9336">
        <f>IFERROR(__xludf.DUMMYFUNCTION("""COMPUTED_VALUE"""),"Gatineau, Québec / Peterborough, Ontario")</f>
        <v/>
      </c>
      <c r="K9336">
        <f>IFERROR(__xludf.DUMMYFUNCTION("""COMPUTED_VALUE"""),3998.1)</f>
        <v/>
      </c>
    </row>
    <row r="9337">
      <c r="J9337">
        <f>IFERROR(__xludf.DUMMYFUNCTION("""COMPUTED_VALUE"""),"Windsor, Toronto")</f>
        <v/>
      </c>
      <c r="K9337">
        <f>IFERROR(__xludf.DUMMYFUNCTION("""COMPUTED_VALUE"""),3998.07)</f>
        <v/>
      </c>
    </row>
    <row r="9338">
      <c r="J9338">
        <f>IFERROR(__xludf.DUMMYFUNCTION("""COMPUTED_VALUE"""),"Québec, QC; Shawinigan, QC; Montréal, QC")</f>
        <v/>
      </c>
      <c r="K9338">
        <f>IFERROR(__xludf.DUMMYFUNCTION("""COMPUTED_VALUE"""),3997.27)</f>
        <v/>
      </c>
    </row>
    <row r="9339">
      <c r="J9339">
        <f>IFERROR(__xludf.DUMMYFUNCTION("""COMPUTED_VALUE"""),"Vancouver, British Columbia; Calgary, Alberta; Toronto, Ontari")</f>
        <v/>
      </c>
      <c r="K9339">
        <f>IFERROR(__xludf.DUMMYFUNCTION("""COMPUTED_VALUE"""),3995.35)</f>
        <v/>
      </c>
    </row>
    <row r="9340">
      <c r="J9340">
        <f>IFERROR(__xludf.DUMMYFUNCTION("""COMPUTED_VALUE"""),"Calgary, Alberta, Canada
Regina, Saskatchewan, Canada")</f>
        <v/>
      </c>
      <c r="K9340">
        <f>IFERROR(__xludf.DUMMYFUNCTION("""COMPUTED_VALUE"""),3994.99)</f>
        <v/>
      </c>
    </row>
    <row r="9341">
      <c r="J9341">
        <f>IFERROR(__xludf.DUMMYFUNCTION("""COMPUTED_VALUE"""),"Corpus Christi, Texas, United States")</f>
        <v/>
      </c>
      <c r="K9341">
        <f>IFERROR(__xludf.DUMMYFUNCTION("""COMPUTED_VALUE"""),3994.83)</f>
        <v/>
      </c>
    </row>
    <row r="9342">
      <c r="J9342">
        <f>IFERROR(__xludf.DUMMYFUNCTION("""COMPUTED_VALUE"""),"New York, NY, Edmonton, ON")</f>
        <v/>
      </c>
      <c r="K9342">
        <f>IFERROR(__xludf.DUMMYFUNCTION("""COMPUTED_VALUE"""),3994.41)</f>
        <v/>
      </c>
    </row>
    <row r="9343">
      <c r="J9343">
        <f>IFERROR(__xludf.DUMMYFUNCTION("""COMPUTED_VALUE"""),"Comox. British Columbia, Canada")</f>
        <v/>
      </c>
      <c r="K9343">
        <f>IFERROR(__xludf.DUMMYFUNCTION("""COMPUTED_VALUE"""),3993.94)</f>
        <v/>
      </c>
    </row>
    <row r="9344">
      <c r="J9344">
        <f>IFERROR(__xludf.DUMMYFUNCTION("""COMPUTED_VALUE"""),"Montréal, Quebec, Canada; Fredericton, New Brunswick, Canada")</f>
        <v/>
      </c>
      <c r="K9344">
        <f>IFERROR(__xludf.DUMMYFUNCTION("""COMPUTED_VALUE"""),3992.46)</f>
        <v/>
      </c>
    </row>
    <row r="9345">
      <c r="J9345">
        <f>IFERROR(__xludf.DUMMYFUNCTION("""COMPUTED_VALUE"""),"Nanaimo, British Columbia, Canada
Tofino, British Columbia, Canada")</f>
        <v/>
      </c>
      <c r="K9345">
        <f>IFERROR(__xludf.DUMMYFUNCTION("""COMPUTED_VALUE"""),3992.24)</f>
        <v/>
      </c>
    </row>
    <row r="9346">
      <c r="J9346">
        <f>IFERROR(__xludf.DUMMYFUNCTION("""COMPUTED_VALUE"""),"Toronto, Ontario, Canada / London, Ontario, Canada")</f>
        <v/>
      </c>
      <c r="K9346">
        <f>IFERROR(__xludf.DUMMYFUNCTION("""COMPUTED_VALUE"""),3990.99)</f>
        <v/>
      </c>
    </row>
    <row r="9347">
      <c r="J9347">
        <f>IFERROR(__xludf.DUMMYFUNCTION("""COMPUTED_VALUE"""),"Saksatoon, Saskatchewan")</f>
        <v/>
      </c>
      <c r="K9347">
        <f>IFERROR(__xludf.DUMMYFUNCTION("""COMPUTED_VALUE"""),3989.85999999999)</f>
        <v/>
      </c>
    </row>
    <row r="9348">
      <c r="J9348">
        <f>IFERROR(__xludf.DUMMYFUNCTION("""COMPUTED_VALUE"""),"Toronto, Ontario / London, Ontario / Kitchener, Ontario, Canada")</f>
        <v/>
      </c>
      <c r="K9348">
        <f>IFERROR(__xludf.DUMMYFUNCTION("""COMPUTED_VALUE"""),3989.82)</f>
        <v/>
      </c>
    </row>
    <row r="9349">
      <c r="J9349">
        <f>IFERROR(__xludf.DUMMYFUNCTION("""COMPUTED_VALUE"""),"Victoria &amp; Sidney, British Columbia")</f>
        <v/>
      </c>
      <c r="K9349">
        <f>IFERROR(__xludf.DUMMYFUNCTION("""COMPUTED_VALUE"""),3989.31)</f>
        <v/>
      </c>
    </row>
    <row r="9350">
      <c r="J9350">
        <f>IFERROR(__xludf.DUMMYFUNCTION("""COMPUTED_VALUE"""),"Eielson AFB, Alaska")</f>
        <v/>
      </c>
      <c r="K9350">
        <f>IFERROR(__xludf.DUMMYFUNCTION("""COMPUTED_VALUE"""),3988.15)</f>
        <v/>
      </c>
    </row>
    <row r="9351">
      <c r="J9351">
        <f>IFERROR(__xludf.DUMMYFUNCTION("""COMPUTED_VALUE"""),"Wakefield, Quebec")</f>
        <v/>
      </c>
      <c r="K9351">
        <f>IFERROR(__xludf.DUMMYFUNCTION("""COMPUTED_VALUE"""),3988.06)</f>
        <v/>
      </c>
    </row>
    <row r="9352">
      <c r="J9352">
        <f>IFERROR(__xludf.DUMMYFUNCTION("""COMPUTED_VALUE"""),"Abbotsford, Bristish Columbia, Victoria, British-Columbia")</f>
        <v/>
      </c>
      <c r="K9352">
        <f>IFERROR(__xludf.DUMMYFUNCTION("""COMPUTED_VALUE"""),3987)</f>
        <v/>
      </c>
    </row>
    <row r="9353">
      <c r="J9353">
        <f>IFERROR(__xludf.DUMMYFUNCTION("""COMPUTED_VALUE"""),"Prince Edward Island, Prince Edward Island")</f>
        <v/>
      </c>
      <c r="K9353">
        <f>IFERROR(__xludf.DUMMYFUNCTION("""COMPUTED_VALUE"""),3986.95)</f>
        <v/>
      </c>
    </row>
    <row r="9354">
      <c r="J9354">
        <f>IFERROR(__xludf.DUMMYFUNCTION("""COMPUTED_VALUE"""),"Toronto, Ontario, Canada and Waterloo, Ontario Canada")</f>
        <v/>
      </c>
      <c r="K9354">
        <f>IFERROR(__xludf.DUMMYFUNCTION("""COMPUTED_VALUE"""),3985.64999999999)</f>
        <v/>
      </c>
    </row>
    <row r="9355">
      <c r="J9355">
        <f>IFERROR(__xludf.DUMMYFUNCTION("""COMPUTED_VALUE"""),"New Orleans (Louisiana) United States")</f>
        <v/>
      </c>
      <c r="K9355">
        <f>IFERROR(__xludf.DUMMYFUNCTION("""COMPUTED_VALUE"""),3985.25)</f>
        <v/>
      </c>
    </row>
    <row r="9356">
      <c r="J9356">
        <f>IFERROR(__xludf.DUMMYFUNCTION("""COMPUTED_VALUE"""),"Victoria, British Columbia, Canada; Whitehorse, Yukon, Canada")</f>
        <v/>
      </c>
      <c r="K9356">
        <f>IFERROR(__xludf.DUMMYFUNCTION("""COMPUTED_VALUE"""),3984.23)</f>
        <v/>
      </c>
    </row>
    <row r="9357">
      <c r="J9357">
        <f>IFERROR(__xludf.DUMMYFUNCTION("""COMPUTED_VALUE"""),"Los Angeles, CA, United States")</f>
        <v/>
      </c>
      <c r="K9357">
        <f>IFERROR(__xludf.DUMMYFUNCTION("""COMPUTED_VALUE"""),3983.58)</f>
        <v/>
      </c>
    </row>
    <row r="9358">
      <c r="J9358">
        <f>IFERROR(__xludf.DUMMYFUNCTION("""COMPUTED_VALUE"""),"VICTORIA &amp; VANCOUVER, BC")</f>
        <v/>
      </c>
      <c r="K9358">
        <f>IFERROR(__xludf.DUMMYFUNCTION("""COMPUTED_VALUE"""),3983.4)</f>
        <v/>
      </c>
    </row>
    <row r="9359">
      <c r="J9359">
        <f>IFERROR(__xludf.DUMMYFUNCTION("""COMPUTED_VALUE"""),"Texas")</f>
        <v/>
      </c>
      <c r="K9359">
        <f>IFERROR(__xludf.DUMMYFUNCTION("""COMPUTED_VALUE"""),3983.13)</f>
        <v/>
      </c>
    </row>
    <row r="9360">
      <c r="J9360">
        <f>IFERROR(__xludf.DUMMYFUNCTION("""COMPUTED_VALUE"""),"Seattle (Washington) United States")</f>
        <v/>
      </c>
      <c r="K9360">
        <f>IFERROR(__xludf.DUMMYFUNCTION("""COMPUTED_VALUE"""),3983.01)</f>
        <v/>
      </c>
    </row>
    <row r="9361">
      <c r="J9361">
        <f>IFERROR(__xludf.DUMMYFUNCTION("""COMPUTED_VALUE"""),"Rarotonga, Cook Islands")</f>
        <v/>
      </c>
      <c r="K9361">
        <f>IFERROR(__xludf.DUMMYFUNCTION("""COMPUTED_VALUE"""),3981.83)</f>
        <v/>
      </c>
    </row>
    <row r="9362">
      <c r="J9362">
        <f>IFERROR(__xludf.DUMMYFUNCTION("""COMPUTED_VALUE"""),"Washington, DC  / Sudbury ON")</f>
        <v/>
      </c>
      <c r="K9362">
        <f>IFERROR(__xludf.DUMMYFUNCTION("""COMPUTED_VALUE"""),3981.07)</f>
        <v/>
      </c>
    </row>
    <row r="9363">
      <c r="J9363">
        <f>IFERROR(__xludf.DUMMYFUNCTION("""COMPUTED_VALUE"""),"Calgary (Alberta) Canada
Vancouver (British Columbia) Canada")</f>
        <v/>
      </c>
      <c r="K9363">
        <f>IFERROR(__xludf.DUMMYFUNCTION("""COMPUTED_VALUE"""),3979.98)</f>
        <v/>
      </c>
    </row>
    <row r="9364">
      <c r="J9364">
        <f>IFERROR(__xludf.DUMMYFUNCTION("""COMPUTED_VALUE"""),"Vancouver, British Columbia and Calgary, Alberta, Canada")</f>
        <v/>
      </c>
      <c r="K9364">
        <f>IFERROR(__xludf.DUMMYFUNCTION("""COMPUTED_VALUE"""),3979.62)</f>
        <v/>
      </c>
    </row>
    <row r="9365">
      <c r="J9365">
        <f>IFERROR(__xludf.DUMMYFUNCTION("""COMPUTED_VALUE"""),"Roberval / Maniwaki / Gatineau")</f>
        <v/>
      </c>
      <c r="K9365">
        <f>IFERROR(__xludf.DUMMYFUNCTION("""COMPUTED_VALUE"""),3979.49)</f>
        <v/>
      </c>
    </row>
    <row r="9366">
      <c r="J9366">
        <f>IFERROR(__xludf.DUMMYFUNCTION("""COMPUTED_VALUE"""),"Calgary, Red Deer, Alberta; Vancouver, British-Columbia; Canada")</f>
        <v/>
      </c>
      <c r="K9366">
        <f>IFERROR(__xludf.DUMMYFUNCTION("""COMPUTED_VALUE"""),3978.2)</f>
        <v/>
      </c>
    </row>
    <row r="9367">
      <c r="J9367">
        <f>IFERROR(__xludf.DUMMYFUNCTION("""COMPUTED_VALUE"""),"Bowmanville, Ontario, Canada")</f>
        <v/>
      </c>
      <c r="K9367">
        <f>IFERROR(__xludf.DUMMYFUNCTION("""COMPUTED_VALUE"""),3977.79999999999)</f>
        <v/>
      </c>
    </row>
    <row r="9368">
      <c r="J9368">
        <f>IFERROR(__xludf.DUMMYFUNCTION("""COMPUTED_VALUE"""),"Washington, U.S.")</f>
        <v/>
      </c>
      <c r="K9368">
        <f>IFERROR(__xludf.DUMMYFUNCTION("""COMPUTED_VALUE"""),3976.83)</f>
        <v/>
      </c>
    </row>
    <row r="9369">
      <c r="J9369">
        <f>IFERROR(__xludf.DUMMYFUNCTION("""COMPUTED_VALUE"""),"Montreal (Canada), Brussels (Begium), Geilenkirchen (Germany), Warsaw (Poland), Tallinn (Estonia), Frankfurt (Germany), Vancouver (Canada)")</f>
        <v/>
      </c>
      <c r="K9369">
        <f>IFERROR(__xludf.DUMMYFUNCTION("""COMPUTED_VALUE"""),3975)</f>
        <v/>
      </c>
    </row>
    <row r="9370">
      <c r="J9370">
        <f>IFERROR(__xludf.DUMMYFUNCTION("""COMPUTED_VALUE"""),"Nanaimo, Vancouver")</f>
        <v/>
      </c>
      <c r="K9370">
        <f>IFERROR(__xludf.DUMMYFUNCTION("""COMPUTED_VALUE"""),3974.63)</f>
        <v/>
      </c>
    </row>
    <row r="9371">
      <c r="J9371">
        <f>IFERROR(__xludf.DUMMYFUNCTION("""COMPUTED_VALUE"""),"Toronto, Ontario / Regina, Saskatchewan / Edmonton, Alberta, Canada")</f>
        <v/>
      </c>
      <c r="K9371">
        <f>IFERROR(__xludf.DUMMYFUNCTION("""COMPUTED_VALUE"""),3974.56)</f>
        <v/>
      </c>
    </row>
    <row r="9372">
      <c r="J9372">
        <f>IFERROR(__xludf.DUMMYFUNCTION("""COMPUTED_VALUE"""),"Vancouver, British Columbia, Canada; Toronto, Ontario, Canada; Hamilton, Ontario, Canada")</f>
        <v/>
      </c>
      <c r="K9372">
        <f>IFERROR(__xludf.DUMMYFUNCTION("""COMPUTED_VALUE"""),3971.93999999999)</f>
        <v/>
      </c>
    </row>
    <row r="9373">
      <c r="J9373">
        <f>IFERROR(__xludf.DUMMYFUNCTION("""COMPUTED_VALUE"""),"Ottawa, ON &amp; Montreal, QC")</f>
        <v/>
      </c>
      <c r="K9373">
        <f>IFERROR(__xludf.DUMMYFUNCTION("""COMPUTED_VALUE"""),3971.64)</f>
        <v/>
      </c>
    </row>
    <row r="9374">
      <c r="J9374">
        <f>IFERROR(__xludf.DUMMYFUNCTION("""COMPUTED_VALUE"""),"Idaho, USA")</f>
        <v/>
      </c>
      <c r="K9374">
        <f>IFERROR(__xludf.DUMMYFUNCTION("""COMPUTED_VALUE"""),3971.26)</f>
        <v/>
      </c>
    </row>
    <row r="9375">
      <c r="J9375">
        <f>IFERROR(__xludf.DUMMYFUNCTION("""COMPUTED_VALUE"""),"Vancouver, British Columbia, Canada; Kelowna, British Columbia, Canada; North York, Ontario, Canada")</f>
        <v/>
      </c>
      <c r="K9375">
        <f>IFERROR(__xludf.DUMMYFUNCTION("""COMPUTED_VALUE"""),3971.26)</f>
        <v/>
      </c>
    </row>
    <row r="9376">
      <c r="J9376">
        <f>IFERROR(__xludf.DUMMYFUNCTION("""COMPUTED_VALUE"""),"North Bay, ON / Sault Ste Marie, ON")</f>
        <v/>
      </c>
      <c r="K9376">
        <f>IFERROR(__xludf.DUMMYFUNCTION("""COMPUTED_VALUE"""),3970.99)</f>
        <v/>
      </c>
    </row>
    <row r="9377">
      <c r="J9377">
        <f>IFERROR(__xludf.DUMMYFUNCTION("""COMPUTED_VALUE"""),"Halifax, Nove Scotia")</f>
        <v/>
      </c>
      <c r="K9377">
        <f>IFERROR(__xludf.DUMMYFUNCTION("""COMPUTED_VALUE"""),3970.62)</f>
        <v/>
      </c>
    </row>
    <row r="9378">
      <c r="J9378">
        <f>IFERROR(__xludf.DUMMYFUNCTION("""COMPUTED_VALUE"""),"Toronto, Ontario, Canada; Calgary, Alberta, Canada; Vancouver, British Columbia, Canada; Montréal, Quebec, Canada")</f>
        <v/>
      </c>
      <c r="K9378">
        <f>IFERROR(__xludf.DUMMYFUNCTION("""COMPUTED_VALUE"""),3970.59)</f>
        <v/>
      </c>
    </row>
    <row r="9379">
      <c r="J9379">
        <f>IFERROR(__xludf.DUMMYFUNCTION("""COMPUTED_VALUE"""),"Ghana, Botswana and Tanzania")</f>
        <v/>
      </c>
      <c r="K9379">
        <f>IFERROR(__xludf.DUMMYFUNCTION("""COMPUTED_VALUE"""),3970.51)</f>
        <v/>
      </c>
    </row>
    <row r="9380">
      <c r="J9380">
        <f>IFERROR(__xludf.DUMMYFUNCTION("""COMPUTED_VALUE"""),"Calgary, Alberta &amp; Vancouver/Prince Rupert, British Columbia")</f>
        <v/>
      </c>
      <c r="K9380">
        <f>IFERROR(__xludf.DUMMYFUNCTION("""COMPUTED_VALUE"""),3970.46)</f>
        <v/>
      </c>
    </row>
    <row r="9381">
      <c r="J9381">
        <f>IFERROR(__xludf.DUMMYFUNCTION("""COMPUTED_VALUE"""),"Calgary, AB &amp; Edmonton, AB")</f>
        <v/>
      </c>
      <c r="K9381">
        <f>IFERROR(__xludf.DUMMYFUNCTION("""COMPUTED_VALUE"""),3970)</f>
        <v/>
      </c>
    </row>
    <row r="9382">
      <c r="J9382">
        <f>IFERROR(__xludf.DUMMYFUNCTION("""COMPUTED_VALUE"""),"St. John's, Newfoundland and Labrador, Canada; Sydney, Nova Scotia, Canada")</f>
        <v/>
      </c>
      <c r="K9382">
        <f>IFERROR(__xludf.DUMMYFUNCTION("""COMPUTED_VALUE"""),3969.7)</f>
        <v/>
      </c>
    </row>
    <row r="9383">
      <c r="J9383">
        <f>IFERROR(__xludf.DUMMYFUNCTION("""COMPUTED_VALUE"""),"Winnipeg (Manitoba) Canada
Toronto (Ontario) Canada")</f>
        <v/>
      </c>
      <c r="K9383">
        <f>IFERROR(__xludf.DUMMYFUNCTION("""COMPUTED_VALUE"""),3969.64999999999)</f>
        <v/>
      </c>
    </row>
    <row r="9384">
      <c r="J9384">
        <f>IFERROR(__xludf.DUMMYFUNCTION("""COMPUTED_VALUE"""),"St. John's, Newfoundland and Labrador, Canada; Corner Brook, Newfoundland and Labrador, Canada; Charlottetown, Prince Edward Island, Canada")</f>
        <v/>
      </c>
      <c r="K9384">
        <f>IFERROR(__xludf.DUMMYFUNCTION("""COMPUTED_VALUE"""),3969.03)</f>
        <v/>
      </c>
    </row>
    <row r="9385">
      <c r="J9385">
        <f>IFERROR(__xludf.DUMMYFUNCTION("""COMPUTED_VALUE"""),"Colombia and Panama")</f>
        <v/>
      </c>
      <c r="K9385">
        <f>IFERROR(__xludf.DUMMYFUNCTION("""COMPUTED_VALUE"""),3969.02)</f>
        <v/>
      </c>
    </row>
    <row r="9386">
      <c r="J9386">
        <f>IFERROR(__xludf.DUMMYFUNCTION("""COMPUTED_VALUE"""),"Kelowna, British-Colombia, Canada")</f>
        <v/>
      </c>
      <c r="K9386">
        <f>IFERROR(__xludf.DUMMYFUNCTION("""COMPUTED_VALUE"""),3968.69)</f>
        <v/>
      </c>
    </row>
    <row r="9387">
      <c r="J9387">
        <f>IFERROR(__xludf.DUMMYFUNCTION("""COMPUTED_VALUE"""),"Toronto, Ontario, Canada; Gatineau, Quebec, Canada")</f>
        <v/>
      </c>
      <c r="K9387">
        <f>IFERROR(__xludf.DUMMYFUNCTION("""COMPUTED_VALUE"""),3968.02)</f>
        <v/>
      </c>
    </row>
    <row r="9388">
      <c r="J9388">
        <f>IFERROR(__xludf.DUMMYFUNCTION("""COMPUTED_VALUE"""),"Ottawa,Ontario,Canada")</f>
        <v/>
      </c>
      <c r="K9388">
        <f>IFERROR(__xludf.DUMMYFUNCTION("""COMPUTED_VALUE"""),3967.84)</f>
        <v/>
      </c>
    </row>
    <row r="9389">
      <c r="J9389">
        <f>IFERROR(__xludf.DUMMYFUNCTION("""COMPUTED_VALUE"""),"Calgary, AB - Fort McMurray, AB - Saskatoon, SK")</f>
        <v/>
      </c>
      <c r="K9389">
        <f>IFERROR(__xludf.DUMMYFUNCTION("""COMPUTED_VALUE"""),3967.5)</f>
        <v/>
      </c>
    </row>
    <row r="9390">
      <c r="J9390">
        <f>IFERROR(__xludf.DUMMYFUNCTION("""COMPUTED_VALUE"""),"Montréal, Quebec, Canada - Québec, Quebec, Canada")</f>
        <v/>
      </c>
      <c r="K9390">
        <f>IFERROR(__xludf.DUMMYFUNCTION("""COMPUTED_VALUE"""),3966.61)</f>
        <v/>
      </c>
    </row>
    <row r="9391">
      <c r="J9391">
        <f>IFERROR(__xludf.DUMMYFUNCTION("""COMPUTED_VALUE"""),"Winnipeg, Manitoba;
Ottawa, Ontario")</f>
        <v/>
      </c>
      <c r="K9391">
        <f>IFERROR(__xludf.DUMMYFUNCTION("""COMPUTED_VALUE"""),3966.07)</f>
        <v/>
      </c>
    </row>
    <row r="9392">
      <c r="J9392">
        <f>IFERROR(__xludf.DUMMYFUNCTION("""COMPUTED_VALUE"""),"Halifax
Fredericton")</f>
        <v/>
      </c>
      <c r="K9392">
        <f>IFERROR(__xludf.DUMMYFUNCTION("""COMPUTED_VALUE"""),3966.04)</f>
        <v/>
      </c>
    </row>
    <row r="9393">
      <c r="J9393">
        <f>IFERROR(__xludf.DUMMYFUNCTION("""COMPUTED_VALUE"""),"Boston, Montreal")</f>
        <v/>
      </c>
      <c r="K9393">
        <f>IFERROR(__xludf.DUMMYFUNCTION("""COMPUTED_VALUE"""),3965.54)</f>
        <v/>
      </c>
    </row>
    <row r="9394">
      <c r="J9394">
        <f>IFERROR(__xludf.DUMMYFUNCTION("""COMPUTED_VALUE"""),"Halifax, Nova Scotia, Canada / Fredericton, New Brunswick, Canada")</f>
        <v/>
      </c>
      <c r="K9394">
        <f>IFERROR(__xludf.DUMMYFUNCTION("""COMPUTED_VALUE"""),3965.37)</f>
        <v/>
      </c>
    </row>
    <row r="9395">
      <c r="J9395">
        <f>IFERROR(__xludf.DUMMYFUNCTION("""COMPUTED_VALUE"""),"L'Aquila, Italy")</f>
        <v/>
      </c>
      <c r="K9395">
        <f>IFERROR(__xludf.DUMMYFUNCTION("""COMPUTED_VALUE"""),3963.9)</f>
        <v/>
      </c>
    </row>
    <row r="9396">
      <c r="J9396">
        <f>IFERROR(__xludf.DUMMYFUNCTION("""COMPUTED_VALUE"""),"Vancouver, British Columbia, Canada; Whistler, British Columbia, Canada; Edmonton, Alberta, Canada; Calgary, Alberta, Canada")</f>
        <v/>
      </c>
      <c r="K9396">
        <f>IFERROR(__xludf.DUMMYFUNCTION("""COMPUTED_VALUE"""),3963.65)</f>
        <v/>
      </c>
    </row>
    <row r="9397">
      <c r="J9397">
        <f>IFERROR(__xludf.DUMMYFUNCTION("""COMPUTED_VALUE"""),"Fredericton NB")</f>
        <v/>
      </c>
      <c r="K9397">
        <f>IFERROR(__xludf.DUMMYFUNCTION("""COMPUTED_VALUE"""),3963.64)</f>
        <v/>
      </c>
    </row>
    <row r="9398">
      <c r="J9398">
        <f>IFERROR(__xludf.DUMMYFUNCTION("""COMPUTED_VALUE"""),"Halifax, Nova Scotia, Canada Ottawa, Ontario, Canada      Saint Johns ,Newfoundland, Canada")</f>
        <v/>
      </c>
      <c r="K9398">
        <f>IFERROR(__xludf.DUMMYFUNCTION("""COMPUTED_VALUE"""),3963.05)</f>
        <v/>
      </c>
    </row>
    <row r="9399">
      <c r="J9399">
        <f>IFERROR(__xludf.DUMMYFUNCTION("""COMPUTED_VALUE"""),"Edmonton, Alberta;Victoria, British Columbia")</f>
        <v/>
      </c>
      <c r="K9399">
        <f>IFERROR(__xludf.DUMMYFUNCTION("""COMPUTED_VALUE"""),3962.6)</f>
        <v/>
      </c>
    </row>
    <row r="9400">
      <c r="J9400">
        <f>IFERROR(__xludf.DUMMYFUNCTION("""COMPUTED_VALUE"""),"Magdalen Islands, Quebec (Canada)")</f>
        <v/>
      </c>
      <c r="K9400">
        <f>IFERROR(__xludf.DUMMYFUNCTION("""COMPUTED_VALUE"""),3962.5)</f>
        <v/>
      </c>
    </row>
    <row r="9401">
      <c r="J9401">
        <f>IFERROR(__xludf.DUMMYFUNCTION("""COMPUTED_VALUE"""),"Waterloo and Ottawa, ON")</f>
        <v/>
      </c>
      <c r="K9401">
        <f>IFERROR(__xludf.DUMMYFUNCTION("""COMPUTED_VALUE"""),3962.31999999999)</f>
        <v/>
      </c>
    </row>
    <row r="9402">
      <c r="J9402">
        <f>IFERROR(__xludf.DUMMYFUNCTION("""COMPUTED_VALUE"""),"Montreal, Quebec City, St. John's, Halifax and Toronto")</f>
        <v/>
      </c>
      <c r="K9402">
        <f>IFERROR(__xludf.DUMMYFUNCTION("""COMPUTED_VALUE"""),3961.9)</f>
        <v/>
      </c>
    </row>
    <row r="9403">
      <c r="J9403">
        <f>IFERROR(__xludf.DUMMYFUNCTION("""COMPUTED_VALUE"""),"New Westminster, British Columbia, Canada; Burnaby, British Columbia, Canada; Ottawa, Ontario, Canada")</f>
        <v/>
      </c>
      <c r="K9403">
        <f>IFERROR(__xludf.DUMMYFUNCTION("""COMPUTED_VALUE"""),3961.62)</f>
        <v/>
      </c>
    </row>
    <row r="9404">
      <c r="J9404">
        <f>IFERROR(__xludf.DUMMYFUNCTION("""COMPUTED_VALUE"""),"Brussels, Begium")</f>
        <v/>
      </c>
      <c r="K9404">
        <f>IFERROR(__xludf.DUMMYFUNCTION("""COMPUTED_VALUE"""),3961)</f>
        <v/>
      </c>
    </row>
    <row r="9405">
      <c r="J9405">
        <f>IFERROR(__xludf.DUMMYFUNCTION("""COMPUTED_VALUE"""),"London, England, UK")</f>
        <v/>
      </c>
      <c r="K9405">
        <f>IFERROR(__xludf.DUMMYFUNCTION("""COMPUTED_VALUE"""),3960.88)</f>
        <v/>
      </c>
    </row>
    <row r="9406">
      <c r="J9406">
        <f>IFERROR(__xludf.DUMMYFUNCTION("""COMPUTED_VALUE"""),"KS, CO, TX &amp; CA")</f>
        <v/>
      </c>
      <c r="K9406">
        <f>IFERROR(__xludf.DUMMYFUNCTION("""COMPUTED_VALUE"""),3959.93)</f>
        <v/>
      </c>
    </row>
    <row r="9407">
      <c r="J9407">
        <f>IFERROR(__xludf.DUMMYFUNCTION("""COMPUTED_VALUE"""),"Buncrana, Ireland")</f>
        <v/>
      </c>
      <c r="K9407">
        <f>IFERROR(__xludf.DUMMYFUNCTION("""COMPUTED_VALUE"""),3959.65)</f>
        <v/>
      </c>
    </row>
    <row r="9408">
      <c r="J9408">
        <f>IFERROR(__xludf.DUMMYFUNCTION("""COMPUTED_VALUE"""),"Halifax, Nova Scotia; Winnipeg, Manitoba; Charlottetown, Prince Edward Island")</f>
        <v/>
      </c>
      <c r="K9408">
        <f>IFERROR(__xludf.DUMMYFUNCTION("""COMPUTED_VALUE"""),3958.41)</f>
        <v/>
      </c>
    </row>
    <row r="9409">
      <c r="J9409">
        <f>IFERROR(__xludf.DUMMYFUNCTION("""COMPUTED_VALUE"""),"Edmonton, Alberta, Canada / Saskatoon, Saskatchewan, Canada / Winnipeg, Manitoba, Canada")</f>
        <v/>
      </c>
      <c r="K9409">
        <f>IFERROR(__xludf.DUMMYFUNCTION("""COMPUTED_VALUE"""),3957.6)</f>
        <v/>
      </c>
    </row>
    <row r="9410">
      <c r="J9410">
        <f>IFERROR(__xludf.DUMMYFUNCTION("""COMPUTED_VALUE"""),"London, ON, Canada")</f>
        <v/>
      </c>
      <c r="K9410">
        <f>IFERROR(__xludf.DUMMYFUNCTION("""COMPUTED_VALUE"""),3956.65)</f>
        <v/>
      </c>
    </row>
    <row r="9411">
      <c r="J9411">
        <f>IFERROR(__xludf.DUMMYFUNCTION("""COMPUTED_VALUE"""),"Victoria, British Columbia;Edmonton, Alberta")</f>
        <v/>
      </c>
      <c r="K9411">
        <f>IFERROR(__xludf.DUMMYFUNCTION("""COMPUTED_VALUE"""),3955.24)</f>
        <v/>
      </c>
    </row>
    <row r="9412">
      <c r="J9412">
        <f>IFERROR(__xludf.DUMMYFUNCTION("""COMPUTED_VALUE"""),"New York, United States; Washington D.C., United States")</f>
        <v/>
      </c>
      <c r="K9412">
        <f>IFERROR(__xludf.DUMMYFUNCTION("""COMPUTED_VALUE"""),3953.23)</f>
        <v/>
      </c>
    </row>
    <row r="9413">
      <c r="J9413">
        <f>IFERROR(__xludf.DUMMYFUNCTION("""COMPUTED_VALUE"""),"Vancouver, BC, Canada &amp; Los Angeles, CA, USA")</f>
        <v/>
      </c>
      <c r="K9413">
        <f>IFERROR(__xludf.DUMMYFUNCTION("""COMPUTED_VALUE"""),3952.77)</f>
        <v/>
      </c>
    </row>
    <row r="9414">
      <c r="J9414">
        <f>IFERROR(__xludf.DUMMYFUNCTION("""COMPUTED_VALUE"""),"Sidney, British Colombia, Canada                   Victoria, British Colombia, Canada")</f>
        <v/>
      </c>
      <c r="K9414">
        <f>IFERROR(__xludf.DUMMYFUNCTION("""COMPUTED_VALUE"""),3952.74)</f>
        <v/>
      </c>
    </row>
    <row r="9415">
      <c r="J9415">
        <f>IFERROR(__xludf.DUMMYFUNCTION("""COMPUTED_VALUE"""),"Panama City (Panama)")</f>
        <v/>
      </c>
      <c r="K9415">
        <f>IFERROR(__xludf.DUMMYFUNCTION("""COMPUTED_VALUE"""),3952.24)</f>
        <v/>
      </c>
    </row>
    <row r="9416">
      <c r="J9416">
        <f>IFERROR(__xludf.DUMMYFUNCTION("""COMPUTED_VALUE"""),"Saskatoon, Saskatchewan, Canada - Northern Saskatchewan, Saskatchewan, Canada")</f>
        <v/>
      </c>
      <c r="K9416">
        <f>IFERROR(__xludf.DUMMYFUNCTION("""COMPUTED_VALUE"""),3951.83)</f>
        <v/>
      </c>
    </row>
    <row r="9417">
      <c r="J9417">
        <f>IFERROR(__xludf.DUMMYFUNCTION("""COMPUTED_VALUE"""),"Saskatoon/Waskesiu/Banff")</f>
        <v/>
      </c>
      <c r="K9417">
        <f>IFERROR(__xludf.DUMMYFUNCTION("""COMPUTED_VALUE"""),3951.12)</f>
        <v/>
      </c>
    </row>
    <row r="9418">
      <c r="J9418">
        <f>IFERROR(__xludf.DUMMYFUNCTION("""COMPUTED_VALUE"""),"Ottawa, Toronto, Kitchener (Ontario) Canada")</f>
        <v/>
      </c>
      <c r="K9418">
        <f>IFERROR(__xludf.DUMMYFUNCTION("""COMPUTED_VALUE"""),3951.04)</f>
        <v/>
      </c>
    </row>
    <row r="9419">
      <c r="J9419">
        <f>IFERROR(__xludf.DUMMYFUNCTION("""COMPUTED_VALUE"""),"Victoria, British Columbia, Canada; Calgary, Alberta, Canada; Winnipeg, Manitoba, Canada")</f>
        <v/>
      </c>
      <c r="K9419">
        <f>IFERROR(__xludf.DUMMYFUNCTION("""COMPUTED_VALUE"""),3950.89)</f>
        <v/>
      </c>
    </row>
    <row r="9420">
      <c r="J9420">
        <f>IFERROR(__xludf.DUMMYFUNCTION("""COMPUTED_VALUE"""),"Washington, DC, United States
Manhattan, Kansas, United States")</f>
        <v/>
      </c>
      <c r="K9420">
        <f>IFERROR(__xludf.DUMMYFUNCTION("""COMPUTED_VALUE"""),3950.88)</f>
        <v/>
      </c>
    </row>
    <row r="9421">
      <c r="J9421">
        <f>IFERROR(__xludf.DUMMYFUNCTION("""COMPUTED_VALUE"""),"Prince Geroge, British Columbia")</f>
        <v/>
      </c>
      <c r="K9421">
        <f>IFERROR(__xludf.DUMMYFUNCTION("""COMPUTED_VALUE"""),3950.07)</f>
        <v/>
      </c>
    </row>
    <row r="9422">
      <c r="J9422">
        <f>IFERROR(__xludf.DUMMYFUNCTION("""COMPUTED_VALUE"""),"Boucherville and Saguenay, Quebec, Canada")</f>
        <v/>
      </c>
      <c r="K9422">
        <f>IFERROR(__xludf.DUMMYFUNCTION("""COMPUTED_VALUE"""),3949.95)</f>
        <v/>
      </c>
    </row>
    <row r="9423">
      <c r="J9423">
        <f>IFERROR(__xludf.DUMMYFUNCTION("""COMPUTED_VALUE"""),"Newark, NY / France")</f>
        <v/>
      </c>
      <c r="K9423">
        <f>IFERROR(__xludf.DUMMYFUNCTION("""COMPUTED_VALUE"""),3948.26)</f>
        <v/>
      </c>
    </row>
    <row r="9424">
      <c r="J9424">
        <f>IFERROR(__xludf.DUMMYFUNCTION("""COMPUTED_VALUE"""),"LONDON, ON - WINDSOR, ON - HALIFAX, NS - OTTAWA, ON")</f>
        <v/>
      </c>
      <c r="K9424">
        <f>IFERROR(__xludf.DUMMYFUNCTION("""COMPUTED_VALUE"""),3948.15)</f>
        <v/>
      </c>
    </row>
    <row r="9425">
      <c r="J9425">
        <f>IFERROR(__xludf.DUMMYFUNCTION("""COMPUTED_VALUE"""),"Vancouver - Pacific region")</f>
        <v/>
      </c>
      <c r="K9425">
        <f>IFERROR(__xludf.DUMMYFUNCTION("""COMPUTED_VALUE"""),3948.04)</f>
        <v/>
      </c>
    </row>
    <row r="9426">
      <c r="J9426">
        <f>IFERROR(__xludf.DUMMYFUNCTION("""COMPUTED_VALUE"""),"Halifax, Nova Scotia, Canada; Washington, United States")</f>
        <v/>
      </c>
      <c r="K9426">
        <f>IFERROR(__xludf.DUMMYFUNCTION("""COMPUTED_VALUE"""),3947.98)</f>
        <v/>
      </c>
    </row>
    <row r="9427">
      <c r="J9427">
        <f>IFERROR(__xludf.DUMMYFUNCTION("""COMPUTED_VALUE"""),"Saskatoon, Saskatchewan / Yellowknife, Northwest Territories")</f>
        <v/>
      </c>
      <c r="K9427">
        <f>IFERROR(__xludf.DUMMYFUNCTION("""COMPUTED_VALUE"""),3947.83)</f>
        <v/>
      </c>
    </row>
    <row r="9428">
      <c r="J9428">
        <f>IFERROR(__xludf.DUMMYFUNCTION("""COMPUTED_VALUE"""),"Halifax, Nova Scotia / Toronto, Ontario / Vancouver, British Columbia / Montreal, Quebec")</f>
        <v/>
      </c>
      <c r="K9428">
        <f>IFERROR(__xludf.DUMMYFUNCTION("""COMPUTED_VALUE"""),3947.5)</f>
        <v/>
      </c>
    </row>
    <row r="9429">
      <c r="J9429">
        <f>IFERROR(__xludf.DUMMYFUNCTION("""COMPUTED_VALUE"""),"Regina, Saskatchewan;
Abbotsford, British Columbia")</f>
        <v/>
      </c>
      <c r="K9429">
        <f>IFERROR(__xludf.DUMMYFUNCTION("""COMPUTED_VALUE"""),3947.5)</f>
        <v/>
      </c>
    </row>
    <row r="9430">
      <c r="J9430">
        <f>IFERROR(__xludf.DUMMYFUNCTION("""COMPUTED_VALUE"""),"Edmonton, Alberta, Canada Vancouver, British Columbia, Canada")</f>
        <v/>
      </c>
      <c r="K9430">
        <f>IFERROR(__xludf.DUMMYFUNCTION("""COMPUTED_VALUE"""),3946.77)</f>
        <v/>
      </c>
    </row>
    <row r="9431">
      <c r="J9431">
        <f>IFERROR(__xludf.DUMMYFUNCTION("""COMPUTED_VALUE"""),"Barcelona, Spain, Europe")</f>
        <v/>
      </c>
      <c r="K9431">
        <f>IFERROR(__xludf.DUMMYFUNCTION("""COMPUTED_VALUE"""),3945.13)</f>
        <v/>
      </c>
    </row>
    <row r="9432">
      <c r="J9432">
        <f>IFERROR(__xludf.DUMMYFUNCTION("""COMPUTED_VALUE"""),"Richmond Hill, Ontario, Canada")</f>
        <v/>
      </c>
      <c r="K9432">
        <f>IFERROR(__xludf.DUMMYFUNCTION("""COMPUTED_VALUE"""),3944.87)</f>
        <v/>
      </c>
    </row>
    <row r="9433">
      <c r="J9433">
        <f>IFERROR(__xludf.DUMMYFUNCTION("""COMPUTED_VALUE"""),"Mont-Joli, QC; Rimouski, QC")</f>
        <v/>
      </c>
      <c r="K9433">
        <f>IFERROR(__xludf.DUMMYFUNCTION("""COMPUTED_VALUE"""),3943.91)</f>
        <v/>
      </c>
    </row>
    <row r="9434">
      <c r="J9434">
        <f>IFERROR(__xludf.DUMMYFUNCTION("""COMPUTED_VALUE"""),"Ottawa-Victoria- Vancouver- Winnpeg-Ottawa")</f>
        <v/>
      </c>
      <c r="K9434">
        <f>IFERROR(__xludf.DUMMYFUNCTION("""COMPUTED_VALUE"""),3943.78)</f>
        <v/>
      </c>
    </row>
    <row r="9435">
      <c r="J9435">
        <f>IFERROR(__xludf.DUMMYFUNCTION("""COMPUTED_VALUE"""),"NY, NY, USA")</f>
        <v/>
      </c>
      <c r="K9435">
        <f>IFERROR(__xludf.DUMMYFUNCTION("""COMPUTED_VALUE"""),3943.09)</f>
        <v/>
      </c>
    </row>
    <row r="9436">
      <c r="J9436">
        <f>IFERROR(__xludf.DUMMYFUNCTION("""COMPUTED_VALUE"""),"St. Leonard, New Brunswick, Canada; Fredericton, New Brunswick, Canada; Kentville, Nova Scotia, Canada; Wolfville, Nova Scotia, Canada; Halifax, Nova Scotia, Canada")</f>
        <v/>
      </c>
      <c r="K9436">
        <f>IFERROR(__xludf.DUMMYFUNCTION("""COMPUTED_VALUE"""),3942.81)</f>
        <v/>
      </c>
    </row>
    <row r="9437">
      <c r="J9437">
        <f>IFERROR(__xludf.DUMMYFUNCTION("""COMPUTED_VALUE"""),"Vancouver, British Columbia, Canada and Surrey, British Columbia, Canada")</f>
        <v/>
      </c>
      <c r="K9437">
        <f>IFERROR(__xludf.DUMMYFUNCTION("""COMPUTED_VALUE"""),3942.37)</f>
        <v/>
      </c>
    </row>
    <row r="9438">
      <c r="J9438">
        <f>IFERROR(__xludf.DUMMYFUNCTION("""COMPUTED_VALUE"""),"Toronto ON, Vancouver and Victoria, BC, Edmonton, AB")</f>
        <v/>
      </c>
      <c r="K9438">
        <f>IFERROR(__xludf.DUMMYFUNCTION("""COMPUTED_VALUE"""),3942.02)</f>
        <v/>
      </c>
    </row>
    <row r="9439">
      <c r="J9439">
        <f>IFERROR(__xludf.DUMMYFUNCTION("""COMPUTED_VALUE"""),"Bridgewater, Nova Scotia")</f>
        <v/>
      </c>
      <c r="K9439">
        <f>IFERROR(__xludf.DUMMYFUNCTION("""COMPUTED_VALUE"""),3940.85)</f>
        <v/>
      </c>
    </row>
    <row r="9440">
      <c r="J9440">
        <f>IFERROR(__xludf.DUMMYFUNCTION("""COMPUTED_VALUE"""),"Saint John, NB Moncton, NB")</f>
        <v/>
      </c>
      <c r="K9440">
        <f>IFERROR(__xludf.DUMMYFUNCTION("""COMPUTED_VALUE"""),3940.71)</f>
        <v/>
      </c>
    </row>
    <row r="9441">
      <c r="J9441">
        <f>IFERROR(__xludf.DUMMYFUNCTION("""COMPUTED_VALUE"""),"Arlington, VA")</f>
        <v/>
      </c>
      <c r="K9441">
        <f>IFERROR(__xludf.DUMMYFUNCTION("""COMPUTED_VALUE"""),3940.65)</f>
        <v/>
      </c>
    </row>
    <row r="9442">
      <c r="J9442">
        <f>IFERROR(__xludf.DUMMYFUNCTION("""COMPUTED_VALUE"""),"Charleston, South Carolina, United States")</f>
        <v/>
      </c>
      <c r="K9442">
        <f>IFERROR(__xludf.DUMMYFUNCTION("""COMPUTED_VALUE"""),3940.09)</f>
        <v/>
      </c>
    </row>
    <row r="9443">
      <c r="J9443">
        <f>IFERROR(__xludf.DUMMYFUNCTION("""COMPUTED_VALUE"""),"(British Columbia and Ontario)")</f>
        <v/>
      </c>
      <c r="K9443">
        <f>IFERROR(__xludf.DUMMYFUNCTION("""COMPUTED_VALUE"""),3939.75)</f>
        <v/>
      </c>
    </row>
    <row r="9444">
      <c r="J9444">
        <f>IFERROR(__xludf.DUMMYFUNCTION("""COMPUTED_VALUE"""),"Halifax; Victoria BC")</f>
        <v/>
      </c>
      <c r="K9444">
        <f>IFERROR(__xludf.DUMMYFUNCTION("""COMPUTED_VALUE"""),3939.59)</f>
        <v/>
      </c>
    </row>
    <row r="9445">
      <c r="J9445">
        <f>IFERROR(__xludf.DUMMYFUNCTION("""COMPUTED_VALUE"""),"Halifax, Nova Scotia, Canada; Montreal, Quebec, Canada")</f>
        <v/>
      </c>
      <c r="K9445">
        <f>IFERROR(__xludf.DUMMYFUNCTION("""COMPUTED_VALUE"""),3939.56)</f>
        <v/>
      </c>
    </row>
    <row r="9446">
      <c r="J9446">
        <f>IFERROR(__xludf.DUMMYFUNCTION("""COMPUTED_VALUE"""),"Vancouver, B-C")</f>
        <v/>
      </c>
      <c r="K9446">
        <f>IFERROR(__xludf.DUMMYFUNCTION("""COMPUTED_VALUE"""),3938.66)</f>
        <v/>
      </c>
    </row>
    <row r="9447">
      <c r="J9447">
        <f>IFERROR(__xludf.DUMMYFUNCTION("""COMPUTED_VALUE"""),"New York, New York; Washington, District of Colombia; Toronto, Ontario; Calgary, Alberta")</f>
        <v/>
      </c>
      <c r="K9447">
        <f>IFERROR(__xludf.DUMMYFUNCTION("""COMPUTED_VALUE"""),3938.62)</f>
        <v/>
      </c>
    </row>
    <row r="9448">
      <c r="J9448">
        <f>IFERROR(__xludf.DUMMYFUNCTION("""COMPUTED_VALUE"""),"Munich Germany")</f>
        <v/>
      </c>
      <c r="K9448">
        <f>IFERROR(__xludf.DUMMYFUNCTION("""COMPUTED_VALUE"""),3938.53)</f>
        <v/>
      </c>
    </row>
    <row r="9449">
      <c r="J9449">
        <f>IFERROR(__xludf.DUMMYFUNCTION("""COMPUTED_VALUE"""),"Vancouver-Ottawa")</f>
        <v/>
      </c>
      <c r="K9449">
        <f>IFERROR(__xludf.DUMMYFUNCTION("""COMPUTED_VALUE"""),3938.31999999999)</f>
        <v/>
      </c>
    </row>
    <row r="9450">
      <c r="J9450">
        <f>IFERROR(__xludf.DUMMYFUNCTION("""COMPUTED_VALUE"""),"Prince George, British Columbia, Canada / Edmonton, Alberta, Canada")</f>
        <v/>
      </c>
      <c r="K9450">
        <f>IFERROR(__xludf.DUMMYFUNCTION("""COMPUTED_VALUE"""),3938.23)</f>
        <v/>
      </c>
    </row>
    <row r="9451">
      <c r="J9451">
        <f>IFERROR(__xludf.DUMMYFUNCTION("""COMPUTED_VALUE"""),"Ottawa, ON,Fredericton, NB and Winnipeg, MB")</f>
        <v/>
      </c>
      <c r="K9451">
        <f>IFERROR(__xludf.DUMMYFUNCTION("""COMPUTED_VALUE"""),3937.51)</f>
        <v/>
      </c>
    </row>
    <row r="9452">
      <c r="J9452">
        <f>IFERROR(__xludf.DUMMYFUNCTION("""COMPUTED_VALUE"""),"Denver, Colorado, USA")</f>
        <v/>
      </c>
      <c r="K9452">
        <f>IFERROR(__xludf.DUMMYFUNCTION("""COMPUTED_VALUE"""),3937.07)</f>
        <v/>
      </c>
    </row>
    <row r="9453">
      <c r="J9453">
        <f>IFERROR(__xludf.DUMMYFUNCTION("""COMPUTED_VALUE"""),"Cleveland, United States")</f>
        <v/>
      </c>
      <c r="K9453">
        <f>IFERROR(__xludf.DUMMYFUNCTION("""COMPUTED_VALUE"""),3936.54999999999)</f>
        <v/>
      </c>
    </row>
    <row r="9454">
      <c r="J9454">
        <f>IFERROR(__xludf.DUMMYFUNCTION("""COMPUTED_VALUE"""),"PA,NY,MA,ME")</f>
        <v/>
      </c>
      <c r="K9454">
        <f>IFERROR(__xludf.DUMMYFUNCTION("""COMPUTED_VALUE"""),3936.47)</f>
        <v/>
      </c>
    </row>
    <row r="9455">
      <c r="J9455">
        <f>IFERROR(__xludf.DUMMYFUNCTION("""COMPUTED_VALUE"""),"Calgary - Washington - Calgary")</f>
        <v/>
      </c>
      <c r="K9455">
        <f>IFERROR(__xludf.DUMMYFUNCTION("""COMPUTED_VALUE"""),3936.34)</f>
        <v/>
      </c>
    </row>
    <row r="9456">
      <c r="J9456">
        <f>IFERROR(__xludf.DUMMYFUNCTION("""COMPUTED_VALUE"""),"Winnipeg, Saskatoon, Regina, Edmonton")</f>
        <v/>
      </c>
      <c r="K9456">
        <f>IFERROR(__xludf.DUMMYFUNCTION("""COMPUTED_VALUE"""),3936.05)</f>
        <v/>
      </c>
    </row>
    <row r="9457">
      <c r="J9457">
        <f>IFERROR(__xludf.DUMMYFUNCTION("""COMPUTED_VALUE"""),"Regina, Saskatchewan, Canada and Melfort, Saskatchewan, Canada and Dillon, Saskatchewan, Canada and James Cree Nation, Saskatchewan, Canada and Buffalo Narrows, Saskatchewan, Canada and Saskatoon, Saskatchewan, Canada")</f>
        <v/>
      </c>
      <c r="K9457">
        <f>IFERROR(__xludf.DUMMYFUNCTION("""COMPUTED_VALUE"""),3935.85)</f>
        <v/>
      </c>
    </row>
    <row r="9458">
      <c r="J9458">
        <f>IFERROR(__xludf.DUMMYFUNCTION("""COMPUTED_VALUE"""),"CFB Esquimalt (BC)")</f>
        <v/>
      </c>
      <c r="K9458">
        <f>IFERROR(__xludf.DUMMYFUNCTION("""COMPUTED_VALUE"""),3935.2)</f>
        <v/>
      </c>
    </row>
    <row r="9459">
      <c r="J9459">
        <f>IFERROR(__xludf.DUMMYFUNCTION("""COMPUTED_VALUE"""),"Charlottetown, Prince Edward Island, Canada;  Fredericton, New Brunswick, Canada ; Halifax, Nova Scotia, Canada")</f>
        <v/>
      </c>
      <c r="K9459">
        <f>IFERROR(__xludf.DUMMYFUNCTION("""COMPUTED_VALUE"""),3932.63)</f>
        <v/>
      </c>
    </row>
    <row r="9460">
      <c r="J9460">
        <f>IFERROR(__xludf.DUMMYFUNCTION("""COMPUTED_VALUE"""),"Los Angeles, CA / Toronto, ON")</f>
        <v/>
      </c>
      <c r="K9460">
        <f>IFERROR(__xludf.DUMMYFUNCTION("""COMPUTED_VALUE"""),3932.37)</f>
        <v/>
      </c>
    </row>
    <row r="9461">
      <c r="J9461">
        <f>IFERROR(__xludf.DUMMYFUNCTION("""COMPUTED_VALUE"""),"Halifax, 
Nova Scotia, Canada")</f>
        <v/>
      </c>
      <c r="K9461">
        <f>IFERROR(__xludf.DUMMYFUNCTION("""COMPUTED_VALUE"""),3932.33)</f>
        <v/>
      </c>
    </row>
    <row r="9462">
      <c r="J9462">
        <f>IFERROR(__xludf.DUMMYFUNCTION("""COMPUTED_VALUE"""),"Kananaskis, Alberta, Canada; Toronto, Ontario, Canada")</f>
        <v/>
      </c>
      <c r="K9462">
        <f>IFERROR(__xludf.DUMMYFUNCTION("""COMPUTED_VALUE"""),3932.1)</f>
        <v/>
      </c>
    </row>
    <row r="9463">
      <c r="J9463">
        <f>IFERROR(__xludf.DUMMYFUNCTION("""COMPUTED_VALUE"""),"Regina, Winnipeg")</f>
        <v/>
      </c>
      <c r="K9463">
        <f>IFERROR(__xludf.DUMMYFUNCTION("""COMPUTED_VALUE"""),3931.98)</f>
        <v/>
      </c>
    </row>
    <row r="9464">
      <c r="J9464">
        <f>IFERROR(__xludf.DUMMYFUNCTION("""COMPUTED_VALUE"""),"Saint-John, New Brunswick, Canada")</f>
        <v/>
      </c>
      <c r="K9464">
        <f>IFERROR(__xludf.DUMMYFUNCTION("""COMPUTED_VALUE"""),3931.35999999999)</f>
        <v/>
      </c>
    </row>
    <row r="9465">
      <c r="J9465">
        <f>IFERROR(__xludf.DUMMYFUNCTION("""COMPUTED_VALUE"""),"Gaspé, Magdalen Islands and Quebec, Quebec, Canada")</f>
        <v/>
      </c>
      <c r="K9465">
        <f>IFERROR(__xludf.DUMMYFUNCTION("""COMPUTED_VALUE"""),3931.04)</f>
        <v/>
      </c>
    </row>
    <row r="9466">
      <c r="J9466">
        <f>IFERROR(__xludf.DUMMYFUNCTION("""COMPUTED_VALUE"""),"Gatineau, Quebec and Port Alberni, British Columbia")</f>
        <v/>
      </c>
      <c r="K9466">
        <f>IFERROR(__xludf.DUMMYFUNCTION("""COMPUTED_VALUE"""),3931.02)</f>
        <v/>
      </c>
    </row>
    <row r="9467">
      <c r="J9467">
        <f>IFERROR(__xludf.DUMMYFUNCTION("""COMPUTED_VALUE"""),"Dartmouth, Halifax and Waverly, Nova Scotia and St. John's, Marystown and Holyrood, Newfoundland and Labrador")</f>
        <v/>
      </c>
      <c r="K9467">
        <f>IFERROR(__xludf.DUMMYFUNCTION("""COMPUTED_VALUE"""),3930.73)</f>
        <v/>
      </c>
    </row>
    <row r="9468">
      <c r="J9468">
        <f>IFERROR(__xludf.DUMMYFUNCTION("""COMPUTED_VALUE"""),"Washington, D.C. and Toronto")</f>
        <v/>
      </c>
      <c r="K9468">
        <f>IFERROR(__xludf.DUMMYFUNCTION("""COMPUTED_VALUE"""),3930.02)</f>
        <v/>
      </c>
    </row>
    <row r="9469">
      <c r="J9469">
        <f>IFERROR(__xludf.DUMMYFUNCTION("""COMPUTED_VALUE"""),"Ottawa, Canada, Ontario")</f>
        <v/>
      </c>
      <c r="K9469">
        <f>IFERROR(__xludf.DUMMYFUNCTION("""COMPUTED_VALUE"""),3929.85999999999)</f>
        <v/>
      </c>
    </row>
    <row r="9470">
      <c r="J9470">
        <f>IFERROR(__xludf.DUMMYFUNCTION("""COMPUTED_VALUE"""),"Montreal, Quebec, Canada / St. John's, Newfoundland and Labrador, Canada / Fredericton, New Brunswick, Canada")</f>
        <v/>
      </c>
      <c r="K9470">
        <f>IFERROR(__xludf.DUMMYFUNCTION("""COMPUTED_VALUE"""),3929.61)</f>
        <v/>
      </c>
    </row>
    <row r="9471">
      <c r="J9471">
        <f>IFERROR(__xludf.DUMMYFUNCTION("""COMPUTED_VALUE"""),"Riding Mountain, Manitoba")</f>
        <v/>
      </c>
      <c r="K9471">
        <f>IFERROR(__xludf.DUMMYFUNCTION("""COMPUTED_VALUE"""),3929.34)</f>
        <v/>
      </c>
    </row>
    <row r="9472">
      <c r="J9472">
        <f>IFERROR(__xludf.DUMMYFUNCTION("""COMPUTED_VALUE"""),"Vancouver Whitehorse")</f>
        <v/>
      </c>
      <c r="K9472">
        <f>IFERROR(__xludf.DUMMYFUNCTION("""COMPUTED_VALUE"""),3929.29)</f>
        <v/>
      </c>
    </row>
    <row r="9473">
      <c r="J9473">
        <f>IFERROR(__xludf.DUMMYFUNCTION("""COMPUTED_VALUE"""),"Washington, United State of America; Saint-John, New Brunswick")</f>
        <v/>
      </c>
      <c r="K9473">
        <f>IFERROR(__xludf.DUMMYFUNCTION("""COMPUTED_VALUE"""),3928.69)</f>
        <v/>
      </c>
    </row>
    <row r="9474">
      <c r="J9474">
        <f>IFERROR(__xludf.DUMMYFUNCTION("""COMPUTED_VALUE"""),"London, Ontario, Canada
Windsor, Ontario, Canada
Edmonton, Alberta, Canada
Winnipeg, Manitoba, Canada")</f>
        <v/>
      </c>
      <c r="K9474">
        <f>IFERROR(__xludf.DUMMYFUNCTION("""COMPUTED_VALUE"""),3927.64)</f>
        <v/>
      </c>
    </row>
    <row r="9475">
      <c r="J9475">
        <f>IFERROR(__xludf.DUMMYFUNCTION("""COMPUTED_VALUE"""),"London &amp; Windsor, Ontario; Winnipeg, Manitoba; Regina, Saskatchewan")</f>
        <v/>
      </c>
      <c r="K9475">
        <f>IFERROR(__xludf.DUMMYFUNCTION("""COMPUTED_VALUE"""),3927.23)</f>
        <v/>
      </c>
    </row>
    <row r="9476">
      <c r="J9476">
        <f>IFERROR(__xludf.DUMMYFUNCTION("""COMPUTED_VALUE"""),"Fort St. John, Vancouver, British Columbia, Canada")</f>
        <v/>
      </c>
      <c r="K9476">
        <f>IFERROR(__xludf.DUMMYFUNCTION("""COMPUTED_VALUE"""),3925.93)</f>
        <v/>
      </c>
    </row>
    <row r="9477">
      <c r="J9477">
        <f>IFERROR(__xludf.DUMMYFUNCTION("""COMPUTED_VALUE"""),"Victoria, British Columbia / Whitehorse, Yukon / Yellowknife, Northwest Territories / Calgary, Alberta")</f>
        <v/>
      </c>
      <c r="K9477">
        <f>IFERROR(__xludf.DUMMYFUNCTION("""COMPUTED_VALUE"""),3925.66)</f>
        <v/>
      </c>
    </row>
    <row r="9478">
      <c r="J9478">
        <f>IFERROR(__xludf.DUMMYFUNCTION("""COMPUTED_VALUE"""),"London, Ontario, Canada; Cambridge, Ontario, Canada; Mississauga, Ontario, Canada")</f>
        <v/>
      </c>
      <c r="K9478">
        <f>IFERROR(__xludf.DUMMYFUNCTION("""COMPUTED_VALUE"""),3924.87)</f>
        <v/>
      </c>
    </row>
    <row r="9479">
      <c r="J9479">
        <f>IFERROR(__xludf.DUMMYFUNCTION("""COMPUTED_VALUE"""),"Vancouver, British Columbia, Canada; Prince Rupert, British Columbia, Canada; Terrace, British Columbia, Canada; Prince George, British Columbia, Canada")</f>
        <v/>
      </c>
      <c r="K9479">
        <f>IFERROR(__xludf.DUMMYFUNCTION("""COMPUTED_VALUE"""),3924.23)</f>
        <v/>
      </c>
    </row>
    <row r="9480">
      <c r="J9480">
        <f>IFERROR(__xludf.DUMMYFUNCTION("""COMPUTED_VALUE"""),"Saskatoon, Saskatchewan, Canada - Ottawa, Ontario, Canada")</f>
        <v/>
      </c>
      <c r="K9480">
        <f>IFERROR(__xludf.DUMMYFUNCTION("""COMPUTED_VALUE"""),3923.66)</f>
        <v/>
      </c>
    </row>
    <row r="9481">
      <c r="J9481">
        <f>IFERROR(__xludf.DUMMYFUNCTION("""COMPUTED_VALUE"""),"Saskatoon, Saskatchewan, Canada; Alliston, Ontario, Canada")</f>
        <v/>
      </c>
      <c r="K9481">
        <f>IFERROR(__xludf.DUMMYFUNCTION("""COMPUTED_VALUE"""),3923.48)</f>
        <v/>
      </c>
    </row>
    <row r="9482">
      <c r="J9482">
        <f>IFERROR(__xludf.DUMMYFUNCTION("""COMPUTED_VALUE"""),"Northwest Territories, Canada; Winnipeg, Manitoba, Canada")</f>
        <v/>
      </c>
      <c r="K9482">
        <f>IFERROR(__xludf.DUMMYFUNCTION("""COMPUTED_VALUE"""),3923.32)</f>
        <v/>
      </c>
    </row>
    <row r="9483">
      <c r="J9483">
        <f>IFERROR(__xludf.DUMMYFUNCTION("""COMPUTED_VALUE"""),"Montebello, Qc")</f>
        <v/>
      </c>
      <c r="K9483">
        <f>IFERROR(__xludf.DUMMYFUNCTION("""COMPUTED_VALUE"""),3923.13)</f>
        <v/>
      </c>
    </row>
    <row r="9484">
      <c r="J9484">
        <f>IFERROR(__xludf.DUMMYFUNCTION("""COMPUTED_VALUE"""),"Tampa, Florida, Unites States of America")</f>
        <v/>
      </c>
      <c r="K9484">
        <f>IFERROR(__xludf.DUMMYFUNCTION("""COMPUTED_VALUE"""),3922.18)</f>
        <v/>
      </c>
    </row>
    <row r="9485">
      <c r="J9485">
        <f>IFERROR(__xludf.DUMMYFUNCTION("""COMPUTED_VALUE"""),"Longueuil, Québec and Toronto, Sudbury and Kenora, Ontario")</f>
        <v/>
      </c>
      <c r="K9485">
        <f>IFERROR(__xludf.DUMMYFUNCTION("""COMPUTED_VALUE"""),3922.05)</f>
        <v/>
      </c>
    </row>
    <row r="9486">
      <c r="J9486">
        <f>IFERROR(__xludf.DUMMYFUNCTION("""COMPUTED_VALUE"""),"London, ON Kitchener, ON")</f>
        <v/>
      </c>
      <c r="K9486">
        <f>IFERROR(__xludf.DUMMYFUNCTION("""COMPUTED_VALUE"""),3921.83)</f>
        <v/>
      </c>
    </row>
    <row r="9487">
      <c r="J9487">
        <f>IFERROR(__xludf.DUMMYFUNCTION("""COMPUTED_VALUE"""),"Victoria, British Columbia, Canada; Edmonton, Alberta, Canada")</f>
        <v/>
      </c>
      <c r="K9487">
        <f>IFERROR(__xludf.DUMMYFUNCTION("""COMPUTED_VALUE"""),3921.27999999999)</f>
        <v/>
      </c>
    </row>
    <row r="9488">
      <c r="J9488">
        <f>IFERROR(__xludf.DUMMYFUNCTION("""COMPUTED_VALUE"""),"Vancouver, British Columbia / Toronto, Ontario")</f>
        <v/>
      </c>
      <c r="K9488">
        <f>IFERROR(__xludf.DUMMYFUNCTION("""COMPUTED_VALUE"""),3919.54)</f>
        <v/>
      </c>
    </row>
    <row r="9489">
      <c r="J9489">
        <f>IFERROR(__xludf.DUMMYFUNCTION("""COMPUTED_VALUE"""),"Edmonton, Alberta, Canada; Montreal, Quebec, Canada; Bathurst, New Brunswick, Canada; Moncton, New Brunswick, Canada")</f>
        <v/>
      </c>
      <c r="K9489">
        <f>IFERROR(__xludf.DUMMYFUNCTION("""COMPUTED_VALUE"""),3919.18)</f>
        <v/>
      </c>
    </row>
    <row r="9490">
      <c r="J9490">
        <f>IFERROR(__xludf.DUMMYFUNCTION("""COMPUTED_VALUE"""),"Montreal, Quebec, Canada;Ottawa, Ontario, Canada")</f>
        <v/>
      </c>
      <c r="K9490">
        <f>IFERROR(__xludf.DUMMYFUNCTION("""COMPUTED_VALUE"""),3918.16)</f>
        <v/>
      </c>
    </row>
    <row r="9491">
      <c r="J9491">
        <f>IFERROR(__xludf.DUMMYFUNCTION("""COMPUTED_VALUE"""),"Vancover (British Columbia) Canada; New Westminster (British Columbia) Canada")</f>
        <v/>
      </c>
      <c r="K9491">
        <f>IFERROR(__xludf.DUMMYFUNCTION("""COMPUTED_VALUE"""),3917.67)</f>
        <v/>
      </c>
    </row>
    <row r="9492">
      <c r="J9492">
        <f>IFERROR(__xludf.DUMMYFUNCTION("""COMPUTED_VALUE"""),"Kingston and Ottawa, Ontario, Canada")</f>
        <v/>
      </c>
      <c r="K9492">
        <f>IFERROR(__xludf.DUMMYFUNCTION("""COMPUTED_VALUE"""),3917.16)</f>
        <v/>
      </c>
    </row>
    <row r="9493">
      <c r="J9493">
        <f>IFERROR(__xludf.DUMMYFUNCTION("""COMPUTED_VALUE"""),"Toronto, ON; Montréal, QC; Iqaluit, NU")</f>
        <v/>
      </c>
      <c r="K9493">
        <f>IFERROR(__xludf.DUMMYFUNCTION("""COMPUTED_VALUE"""),3915.76)</f>
        <v/>
      </c>
    </row>
    <row r="9494">
      <c r="J9494">
        <f>IFERROR(__xludf.DUMMYFUNCTION("""COMPUTED_VALUE"""),"St. John's, Newfoundland and Labrador; Brampton, Ontario; Toronto, Ontario, Canada")</f>
        <v/>
      </c>
      <c r="K9494">
        <f>IFERROR(__xludf.DUMMYFUNCTION("""COMPUTED_VALUE"""),3915.12)</f>
        <v/>
      </c>
    </row>
    <row r="9495">
      <c r="J9495">
        <f>IFERROR(__xludf.DUMMYFUNCTION("""COMPUTED_VALUE"""),"Bella Bella, British Columbia")</f>
        <v/>
      </c>
      <c r="K9495">
        <f>IFERROR(__xludf.DUMMYFUNCTION("""COMPUTED_VALUE"""),3914.33999999999)</f>
        <v/>
      </c>
    </row>
    <row r="9496">
      <c r="J9496">
        <f>IFERROR(__xludf.DUMMYFUNCTION("""COMPUTED_VALUE"""),"Washington, DC; New York, NY")</f>
        <v/>
      </c>
      <c r="K9496">
        <f>IFERROR(__xludf.DUMMYFUNCTION("""COMPUTED_VALUE"""),3913.92)</f>
        <v/>
      </c>
    </row>
    <row r="9497">
      <c r="J9497">
        <f>IFERROR(__xludf.DUMMYFUNCTION("""COMPUTED_VALUE"""),"Belize")</f>
        <v/>
      </c>
      <c r="K9497">
        <f>IFERROR(__xludf.DUMMYFUNCTION("""COMPUTED_VALUE"""),3912.89)</f>
        <v/>
      </c>
    </row>
    <row r="9498">
      <c r="J9498">
        <f>IFERROR(__xludf.DUMMYFUNCTION("""COMPUTED_VALUE"""),"Saskatoon, Saskatchewan; Calgary &amp; Edmonton, Alberta")</f>
        <v/>
      </c>
      <c r="K9498">
        <f>IFERROR(__xludf.DUMMYFUNCTION("""COMPUTED_VALUE"""),3911.74)</f>
        <v/>
      </c>
    </row>
    <row r="9499">
      <c r="J9499">
        <f>IFERROR(__xludf.DUMMYFUNCTION("""COMPUTED_VALUE"""),"Tampa, FL")</f>
        <v/>
      </c>
      <c r="K9499">
        <f>IFERROR(__xludf.DUMMYFUNCTION("""COMPUTED_VALUE"""),3910.06)</f>
        <v/>
      </c>
    </row>
    <row r="9500">
      <c r="J9500">
        <f>IFERROR(__xludf.DUMMYFUNCTION("""COMPUTED_VALUE"""),"Halifax(Nova Scotia) Canada")</f>
        <v/>
      </c>
      <c r="K9500">
        <f>IFERROR(__xludf.DUMMYFUNCTION("""COMPUTED_VALUE"""),3909.3)</f>
        <v/>
      </c>
    </row>
    <row r="9501">
      <c r="J9501">
        <f>IFERROR(__xludf.DUMMYFUNCTION("""COMPUTED_VALUE"""),"Ottawa-Halifax-Charlottetown-Ottawa")</f>
        <v/>
      </c>
      <c r="K9501">
        <f>IFERROR(__xludf.DUMMYFUNCTION("""COMPUTED_VALUE"""),3909.12)</f>
        <v/>
      </c>
    </row>
    <row r="9502">
      <c r="J9502">
        <f>IFERROR(__xludf.DUMMYFUNCTION("""COMPUTED_VALUE"""),"Montreal, Quebec, Canada; Val d'Or, Quebec, Canada")</f>
        <v/>
      </c>
      <c r="K9502">
        <f>IFERROR(__xludf.DUMMYFUNCTION("""COMPUTED_VALUE"""),3909.08)</f>
        <v/>
      </c>
    </row>
    <row r="9503">
      <c r="J9503">
        <f>IFERROR(__xludf.DUMMYFUNCTION("""COMPUTED_VALUE"""),"Carlisle, Pennsylvania")</f>
        <v/>
      </c>
      <c r="K9503">
        <f>IFERROR(__xludf.DUMMYFUNCTION("""COMPUTED_VALUE"""),3908.86)</f>
        <v/>
      </c>
    </row>
    <row r="9504">
      <c r="J9504">
        <f>IFERROR(__xludf.DUMMYFUNCTION("""COMPUTED_VALUE"""),"Iqualuit, Nunavut, Canada and Igloolik, Nunavut, Canada")</f>
        <v/>
      </c>
      <c r="K9504">
        <f>IFERROR(__xludf.DUMMYFUNCTION("""COMPUTED_VALUE"""),3907.89)</f>
        <v/>
      </c>
    </row>
    <row r="9505">
      <c r="J9505">
        <f>IFERROR(__xludf.DUMMYFUNCTION("""COMPUTED_VALUE"""),"Chicago, Illinois and Boise, Idaho")</f>
        <v/>
      </c>
      <c r="K9505">
        <f>IFERROR(__xludf.DUMMYFUNCTION("""COMPUTED_VALUE"""),3906.71)</f>
        <v/>
      </c>
    </row>
    <row r="9506">
      <c r="J9506">
        <f>IFERROR(__xludf.DUMMYFUNCTION("""COMPUTED_VALUE"""),"Calgary, Alberta, Canada; Camrose, Alberta, Canada; Regina, Saskatchewan, Canada")</f>
        <v/>
      </c>
      <c r="K9506">
        <f>IFERROR(__xludf.DUMMYFUNCTION("""COMPUTED_VALUE"""),3906.7)</f>
        <v/>
      </c>
    </row>
    <row r="9507">
      <c r="J9507">
        <f>IFERROR(__xludf.DUMMYFUNCTION("""COMPUTED_VALUE"""),"St. John’s (Newfoundland and Labrador), Iqaluit, Nunavut")</f>
        <v/>
      </c>
      <c r="K9507">
        <f>IFERROR(__xludf.DUMMYFUNCTION("""COMPUTED_VALUE"""),3906.67)</f>
        <v/>
      </c>
    </row>
    <row r="9508">
      <c r="J9508">
        <f>IFERROR(__xludf.DUMMYFUNCTION("""COMPUTED_VALUE"""),"Quebec / Montreal")</f>
        <v/>
      </c>
      <c r="K9508">
        <f>IFERROR(__xludf.DUMMYFUNCTION("""COMPUTED_VALUE"""),3906.64)</f>
        <v/>
      </c>
    </row>
    <row r="9509">
      <c r="J9509">
        <f>IFERROR(__xludf.DUMMYFUNCTION("""COMPUTED_VALUE"""),"Osoyoos and Oliver BC and Seattle, USA")</f>
        <v/>
      </c>
      <c r="K9509">
        <f>IFERROR(__xludf.DUMMYFUNCTION("""COMPUTED_VALUE"""),3905.97)</f>
        <v/>
      </c>
    </row>
    <row r="9510">
      <c r="J9510">
        <f>IFERROR(__xludf.DUMMYFUNCTION("""COMPUTED_VALUE"""),"Bromont, Quebec, Canada; Montréal, Quebec, Canada; Fredericton, New Brunswick, Canada")</f>
        <v/>
      </c>
      <c r="K9510">
        <f>IFERROR(__xludf.DUMMYFUNCTION("""COMPUTED_VALUE"""),3905.89)</f>
        <v/>
      </c>
    </row>
    <row r="9511">
      <c r="J9511">
        <f>IFERROR(__xludf.DUMMYFUNCTION("""COMPUTED_VALUE"""),"Toronto, Ottawa, ON")</f>
        <v/>
      </c>
      <c r="K9511">
        <f>IFERROR(__xludf.DUMMYFUNCTION("""COMPUTED_VALUE"""),3905.77999999999)</f>
        <v/>
      </c>
    </row>
    <row r="9512">
      <c r="J9512">
        <f>IFERROR(__xludf.DUMMYFUNCTION("""COMPUTED_VALUE"""),"Ottawa, Ontario, Canada; Québec, Quebec, Canada; Montréal, Quebec, Canada")</f>
        <v/>
      </c>
      <c r="K9512">
        <f>IFERROR(__xludf.DUMMYFUNCTION("""COMPUTED_VALUE"""),3903.94)</f>
        <v/>
      </c>
    </row>
    <row r="9513">
      <c r="J9513">
        <f>IFERROR(__xludf.DUMMYFUNCTION("""COMPUTED_VALUE"""),"HMCS Unicorn 405 24th Street East (Downtown Saskatoon)")</f>
        <v/>
      </c>
      <c r="K9513">
        <f>IFERROR(__xludf.DUMMYFUNCTION("""COMPUTED_VALUE"""),3903.78)</f>
        <v/>
      </c>
    </row>
    <row r="9514">
      <c r="J9514">
        <f>IFERROR(__xludf.DUMMYFUNCTION("""COMPUTED_VALUE"""),"New York City and London")</f>
        <v/>
      </c>
      <c r="K9514">
        <f>IFERROR(__xludf.DUMMYFUNCTION("""COMPUTED_VALUE"""),3903.37)</f>
        <v/>
      </c>
    </row>
    <row r="9515">
      <c r="J9515">
        <f>IFERROR(__xludf.DUMMYFUNCTION("""COMPUTED_VALUE"""),"Winnipeg, Manitoba, Canada; Calgary, Alberta, Canada; Vancouver, British Columbia, Canada; Toronto, Ontario, Canada")</f>
        <v/>
      </c>
      <c r="K9515">
        <f>IFERROR(__xludf.DUMMYFUNCTION("""COMPUTED_VALUE"""),3903.03)</f>
        <v/>
      </c>
    </row>
    <row r="9516">
      <c r="J9516">
        <f>IFERROR(__xludf.DUMMYFUNCTION("""COMPUTED_VALUE"""),"Edmonton,AB  Yellowknife,NWT")</f>
        <v/>
      </c>
      <c r="K9516">
        <f>IFERROR(__xludf.DUMMYFUNCTION("""COMPUTED_VALUE"""),3902.77)</f>
        <v/>
      </c>
    </row>
    <row r="9517">
      <c r="J9517">
        <f>IFERROR(__xludf.DUMMYFUNCTION("""COMPUTED_VALUE"""),"Edmonton, Alberta, Vancouver, British Columbia")</f>
        <v/>
      </c>
      <c r="K9517">
        <f>IFERROR(__xludf.DUMMYFUNCTION("""COMPUTED_VALUE"""),3902.33)</f>
        <v/>
      </c>
    </row>
    <row r="9518">
      <c r="J9518">
        <f>IFERROR(__xludf.DUMMYFUNCTION("""COMPUTED_VALUE"""),"Monaco, Europe")</f>
        <v/>
      </c>
      <c r="K9518">
        <f>IFERROR(__xludf.DUMMYFUNCTION("""COMPUTED_VALUE"""),3902.11)</f>
        <v/>
      </c>
    </row>
    <row r="9519">
      <c r="J9519">
        <f>IFERROR(__xludf.DUMMYFUNCTION("""COMPUTED_VALUE"""),"Victoria, British-Columbia ; Vancouver, British-Columbia, Canada")</f>
        <v/>
      </c>
      <c r="K9519">
        <f>IFERROR(__xludf.DUMMYFUNCTION("""COMPUTED_VALUE"""),3901.99)</f>
        <v/>
      </c>
    </row>
    <row r="9520">
      <c r="J9520">
        <f>IFERROR(__xludf.DUMMYFUNCTION("""COMPUTED_VALUE"""),"Deer Lake, NL")</f>
        <v/>
      </c>
      <c r="K9520">
        <f>IFERROR(__xludf.DUMMYFUNCTION("""COMPUTED_VALUE"""),3901.48)</f>
        <v/>
      </c>
    </row>
    <row r="9521">
      <c r="J9521">
        <f>IFERROR(__xludf.DUMMYFUNCTION("""COMPUTED_VALUE"""),"Orlando, Florida , USA")</f>
        <v/>
      </c>
      <c r="K9521">
        <f>IFERROR(__xludf.DUMMYFUNCTION("""COMPUTED_VALUE"""),3900.85)</f>
        <v/>
      </c>
    </row>
    <row r="9522">
      <c r="J9522">
        <f>IFERROR(__xludf.DUMMYFUNCTION("""COMPUTED_VALUE"""),"Moncton, New Brunswick, Canada; St John's, Newfoundland, Canada")</f>
        <v/>
      </c>
      <c r="K9522">
        <f>IFERROR(__xludf.DUMMYFUNCTION("""COMPUTED_VALUE"""),3898.76)</f>
        <v/>
      </c>
    </row>
    <row r="9523">
      <c r="J9523">
        <f>IFERROR(__xludf.DUMMYFUNCTION("""COMPUTED_VALUE"""),"Austin-Dallas, Texas")</f>
        <v/>
      </c>
      <c r="K9523">
        <f>IFERROR(__xludf.DUMMYFUNCTION("""COMPUTED_VALUE"""),3898.43)</f>
        <v/>
      </c>
    </row>
    <row r="9524">
      <c r="J9524">
        <f>IFERROR(__xludf.DUMMYFUNCTION("""COMPUTED_VALUE"""),"Jinan, Shanghai, Dandong")</f>
        <v/>
      </c>
      <c r="K9524">
        <f>IFERROR(__xludf.DUMMYFUNCTION("""COMPUTED_VALUE"""),3897.77)</f>
        <v/>
      </c>
    </row>
    <row r="9525">
      <c r="J9525">
        <f>IFERROR(__xludf.DUMMYFUNCTION("""COMPUTED_VALUE"""),"Toronto, Ontario; New York, NY; Washington, DC")</f>
        <v/>
      </c>
      <c r="K9525">
        <f>IFERROR(__xludf.DUMMYFUNCTION("""COMPUTED_VALUE"""),3896.86)</f>
        <v/>
      </c>
    </row>
    <row r="9526">
      <c r="J9526">
        <f>IFERROR(__xludf.DUMMYFUNCTION("""COMPUTED_VALUE"""),"Yellowknife, Northwest Territories, Canada; Calgary, Alberta, Canada; Winnipeg, Manitoba, Canada")</f>
        <v/>
      </c>
      <c r="K9526">
        <f>IFERROR(__xludf.DUMMYFUNCTION("""COMPUTED_VALUE"""),3896.83)</f>
        <v/>
      </c>
    </row>
    <row r="9527">
      <c r="J9527">
        <f>IFERROR(__xludf.DUMMYFUNCTION("""COMPUTED_VALUE"""),"Toronto, Ottawa, Canada")</f>
        <v/>
      </c>
      <c r="K9527">
        <f>IFERROR(__xludf.DUMMYFUNCTION("""COMPUTED_VALUE"""),3896.3)</f>
        <v/>
      </c>
    </row>
    <row r="9528">
      <c r="J9528">
        <f>IFERROR(__xludf.DUMMYFUNCTION("""COMPUTED_VALUE"""),"Montreal, Quebec; Bathurst, New Brunswick; St. John, New Brunswick")</f>
        <v/>
      </c>
      <c r="K9528">
        <f>IFERROR(__xludf.DUMMYFUNCTION("""COMPUTED_VALUE"""),3896.29)</f>
        <v/>
      </c>
    </row>
    <row r="9529">
      <c r="J9529">
        <f>IFERROR(__xludf.DUMMYFUNCTION("""COMPUTED_VALUE"""),"Montreal, Quebec; Bathurst, New Brunswick; St. John, Newfoundland")</f>
        <v/>
      </c>
      <c r="K9529">
        <f>IFERROR(__xludf.DUMMYFUNCTION("""COMPUTED_VALUE"""),3896.29)</f>
        <v/>
      </c>
    </row>
    <row r="9530">
      <c r="J9530">
        <f>IFERROR(__xludf.DUMMYFUNCTION("""COMPUTED_VALUE"""),"Banff, Alberta, Canada / Calgary, Alberta, Canada")</f>
        <v/>
      </c>
      <c r="K9530">
        <f>IFERROR(__xludf.DUMMYFUNCTION("""COMPUTED_VALUE"""),3895.99)</f>
        <v/>
      </c>
    </row>
    <row r="9531">
      <c r="J9531">
        <f>IFERROR(__xludf.DUMMYFUNCTION("""COMPUTED_VALUE"""),"Newark, NJ, United States")</f>
        <v/>
      </c>
      <c r="K9531">
        <f>IFERROR(__xludf.DUMMYFUNCTION("""COMPUTED_VALUE"""),3895.71)</f>
        <v/>
      </c>
    </row>
    <row r="9532">
      <c r="J9532">
        <f>IFERROR(__xludf.DUMMYFUNCTION("""COMPUTED_VALUE"""),"Ottawa-Québec-Ottawa")</f>
        <v/>
      </c>
      <c r="K9532">
        <f>IFERROR(__xludf.DUMMYFUNCTION("""COMPUTED_VALUE"""),3895.69)</f>
        <v/>
      </c>
    </row>
    <row r="9533">
      <c r="J9533">
        <f>IFERROR(__xludf.DUMMYFUNCTION("""COMPUTED_VALUE"""),"Gander, Newfoundland and Labrador, Canada; Clarenville, Newfoundland and Labrador, Canada; Sydney, Nova Scotia, Canada")</f>
        <v/>
      </c>
      <c r="K9533">
        <f>IFERROR(__xludf.DUMMYFUNCTION("""COMPUTED_VALUE"""),3895.69)</f>
        <v/>
      </c>
    </row>
    <row r="9534">
      <c r="J9534">
        <f>IFERROR(__xludf.DUMMYFUNCTION("""COMPUTED_VALUE"""),"Vancouver, British Columbia, Canada; Surrey, British Columbia, Canada")</f>
        <v/>
      </c>
      <c r="K9534">
        <f>IFERROR(__xludf.DUMMYFUNCTION("""COMPUTED_VALUE"""),3895.35)</f>
        <v/>
      </c>
    </row>
    <row r="9535">
      <c r="J9535">
        <f>IFERROR(__xludf.DUMMYFUNCTION("""COMPUTED_VALUE"""),"Charlottetown, Prince Edward Island and St. John's, Newfoundland and Labrador")</f>
        <v/>
      </c>
      <c r="K9535">
        <f>IFERROR(__xludf.DUMMYFUNCTION("""COMPUTED_VALUE"""),3892.47)</f>
        <v/>
      </c>
    </row>
    <row r="9536">
      <c r="J9536">
        <f>IFERROR(__xludf.DUMMYFUNCTION("""COMPUTED_VALUE"""),"Ottawa, ON - Charlottetown, PE  / Charlottetown, PE - Ottawa, ON")</f>
        <v/>
      </c>
      <c r="K9536">
        <f>IFERROR(__xludf.DUMMYFUNCTION("""COMPUTED_VALUE"""),3891.48)</f>
        <v/>
      </c>
    </row>
    <row r="9537">
      <c r="J9537">
        <f>IFERROR(__xludf.DUMMYFUNCTION("""COMPUTED_VALUE"""),"Ottawa-Montreal-Brussels-Montreal-St. Johns")</f>
        <v/>
      </c>
      <c r="K9537">
        <f>IFERROR(__xludf.DUMMYFUNCTION("""COMPUTED_VALUE"""),3891.35)</f>
        <v/>
      </c>
    </row>
    <row r="9538">
      <c r="J9538">
        <f>IFERROR(__xludf.DUMMYFUNCTION("""COMPUTED_VALUE"""),"Yellowknife - Northwest Territories")</f>
        <v/>
      </c>
      <c r="K9538">
        <f>IFERROR(__xludf.DUMMYFUNCTION("""COMPUTED_VALUE"""),3890.62)</f>
        <v/>
      </c>
    </row>
    <row r="9539">
      <c r="J9539">
        <f>IFERROR(__xludf.DUMMYFUNCTION("""COMPUTED_VALUE"""),"Halifax, Toronto, Regina")</f>
        <v/>
      </c>
      <c r="K9539">
        <f>IFERROR(__xludf.DUMMYFUNCTION("""COMPUTED_VALUE"""),3890.46)</f>
        <v/>
      </c>
    </row>
    <row r="9540">
      <c r="J9540">
        <f>IFERROR(__xludf.DUMMYFUNCTION("""COMPUTED_VALUE"""),"St John, NB")</f>
        <v/>
      </c>
      <c r="K9540">
        <f>IFERROR(__xludf.DUMMYFUNCTION("""COMPUTED_VALUE"""),3889.33)</f>
        <v/>
      </c>
    </row>
    <row r="9541">
      <c r="J9541">
        <f>IFERROR(__xludf.DUMMYFUNCTION("""COMPUTED_VALUE"""),"Washington D.C., United States of America")</f>
        <v/>
      </c>
      <c r="K9541">
        <f>IFERROR(__xludf.DUMMYFUNCTION("""COMPUTED_VALUE"""),3886.4)</f>
        <v/>
      </c>
    </row>
    <row r="9542">
      <c r="J9542">
        <f>IFERROR(__xludf.DUMMYFUNCTION("""COMPUTED_VALUE"""),"Winnipeg, Manitoba/Toronto, Ontario, Canada")</f>
        <v/>
      </c>
      <c r="K9542">
        <f>IFERROR(__xludf.DUMMYFUNCTION("""COMPUTED_VALUE"""),3884.86)</f>
        <v/>
      </c>
    </row>
    <row r="9543">
      <c r="J9543">
        <f>IFERROR(__xludf.DUMMYFUNCTION("""COMPUTED_VALUE"""),"Ottawa, Ontario; New York, New York; Ottawa, Ontario")</f>
        <v/>
      </c>
      <c r="K9543">
        <f>IFERROR(__xludf.DUMMYFUNCTION("""COMPUTED_VALUE"""),3883.47)</f>
        <v/>
      </c>
    </row>
    <row r="9544">
      <c r="J9544">
        <f>IFERROR(__xludf.DUMMYFUNCTION("""COMPUTED_VALUE"""),"SASKATOON, REGINA AND EDMONTON")</f>
        <v/>
      </c>
      <c r="K9544">
        <f>IFERROR(__xludf.DUMMYFUNCTION("""COMPUTED_VALUE"""),3882.47)</f>
        <v/>
      </c>
    </row>
    <row r="9545">
      <c r="J9545">
        <f>IFERROR(__xludf.DUMMYFUNCTION("""COMPUTED_VALUE"""),"Fort Lauderdale, United States")</f>
        <v/>
      </c>
      <c r="K9545">
        <f>IFERROR(__xludf.DUMMYFUNCTION("""COMPUTED_VALUE"""),3882.14)</f>
        <v/>
      </c>
    </row>
    <row r="9546">
      <c r="J9546">
        <f>IFERROR(__xludf.DUMMYFUNCTION("""COMPUTED_VALUE"""),"Wasagaming, Manitoba")</f>
        <v/>
      </c>
      <c r="K9546">
        <f>IFERROR(__xludf.DUMMYFUNCTION("""COMPUTED_VALUE"""),3882.06999999999)</f>
        <v/>
      </c>
    </row>
    <row r="9547">
      <c r="J9547">
        <f>IFERROR(__xludf.DUMMYFUNCTION("""COMPUTED_VALUE"""),"Courtney, BC, Vancouver, BC")</f>
        <v/>
      </c>
      <c r="K9547">
        <f>IFERROR(__xludf.DUMMYFUNCTION("""COMPUTED_VALUE"""),3882)</f>
        <v/>
      </c>
    </row>
    <row r="9548">
      <c r="J9548">
        <f>IFERROR(__xludf.DUMMYFUNCTION("""COMPUTED_VALUE"""),"St. John's, Newfoundland and Labrador, Canada; Halifax, Nova Scotia, Canada; Ottawa, Ontario, Canada; St. John's, Newfoundland and Labrador, Canada")</f>
        <v/>
      </c>
      <c r="K9548">
        <f>IFERROR(__xludf.DUMMYFUNCTION("""COMPUTED_VALUE"""),3881.18)</f>
        <v/>
      </c>
    </row>
    <row r="9549">
      <c r="J9549">
        <f>IFERROR(__xludf.DUMMYFUNCTION("""COMPUTED_VALUE"""),"Québec, Montréal, Baie-Comeau (Quebec), Canada")</f>
        <v/>
      </c>
      <c r="K9549">
        <f>IFERROR(__xludf.DUMMYFUNCTION("""COMPUTED_VALUE"""),3880.92)</f>
        <v/>
      </c>
    </row>
    <row r="9550">
      <c r="J9550">
        <f>IFERROR(__xludf.DUMMYFUNCTION("""COMPUTED_VALUE"""),"Edmonton, Alberta, Canada Calgary, Alberta, Canada Vancouver, British Columbia, Canada")</f>
        <v/>
      </c>
      <c r="K9550">
        <f>IFERROR(__xludf.DUMMYFUNCTION("""COMPUTED_VALUE"""),3880.13)</f>
        <v/>
      </c>
    </row>
    <row r="9551">
      <c r="J9551">
        <f>IFERROR(__xludf.DUMMYFUNCTION("""COMPUTED_VALUE"""),"Vancouver, Banff")</f>
        <v/>
      </c>
      <c r="K9551">
        <f>IFERROR(__xludf.DUMMYFUNCTION("""COMPUTED_VALUE"""),3879.03)</f>
        <v/>
      </c>
    </row>
    <row r="9552">
      <c r="J9552">
        <f>IFERROR(__xludf.DUMMYFUNCTION("""COMPUTED_VALUE"""),"Sao Paulo, Brazil and Asuncion, Paraguay")</f>
        <v/>
      </c>
      <c r="K9552">
        <f>IFERROR(__xludf.DUMMYFUNCTION("""COMPUTED_VALUE"""),3878.69)</f>
        <v/>
      </c>
    </row>
    <row r="9553">
      <c r="J9553">
        <f>IFERROR(__xludf.DUMMYFUNCTION("""COMPUTED_VALUE"""),"Cobourg, Ontario, Canada")</f>
        <v/>
      </c>
      <c r="K9553">
        <f>IFERROR(__xludf.DUMMYFUNCTION("""COMPUTED_VALUE"""),3878.02)</f>
        <v/>
      </c>
    </row>
    <row r="9554">
      <c r="J9554">
        <f>IFERROR(__xludf.DUMMYFUNCTION("""COMPUTED_VALUE"""),"Ottawa, ON - Moncton, NB / Moncton, NB - Ottawa, ON")</f>
        <v/>
      </c>
      <c r="K9554">
        <f>IFERROR(__xludf.DUMMYFUNCTION("""COMPUTED_VALUE"""),3877.61)</f>
        <v/>
      </c>
    </row>
    <row r="9555">
      <c r="J9555">
        <f>IFERROR(__xludf.DUMMYFUNCTION("""COMPUTED_VALUE"""),"Orlando, Florida, United States of America")</f>
        <v/>
      </c>
      <c r="K9555">
        <f>IFERROR(__xludf.DUMMYFUNCTION("""COMPUTED_VALUE"""),3876.63)</f>
        <v/>
      </c>
    </row>
    <row r="9556">
      <c r="J9556">
        <f>IFERROR(__xludf.DUMMYFUNCTION("""COMPUTED_VALUE"""),"Winnipeg, Manitoba, Canada; Calgary, Alberta, Canada; Fort McMurray, Alberta, Canada")</f>
        <v/>
      </c>
      <c r="K9556">
        <f>IFERROR(__xludf.DUMMYFUNCTION("""COMPUTED_VALUE"""),3876.54)</f>
        <v/>
      </c>
    </row>
    <row r="9557">
      <c r="J9557">
        <f>IFERROR(__xludf.DUMMYFUNCTION("""COMPUTED_VALUE"""),"Vancouver (British Columbia) Canada; Calgary (Alberta) Canada; Edmonton (Alberta) Canada; Saskatoon (Saskatchewan) Canada")</f>
        <v/>
      </c>
      <c r="K9557">
        <f>IFERROR(__xludf.DUMMYFUNCTION("""COMPUTED_VALUE"""),3876.15)</f>
        <v/>
      </c>
    </row>
    <row r="9558">
      <c r="J9558">
        <f>IFERROR(__xludf.DUMMYFUNCTION("""COMPUTED_VALUE"""),"Moncton, NB - St. John's, NL / St. John's, NL - Halifax, NS / Halifax, NS - Ottawa, ON / Ottawa, ON - Moncton, NB")</f>
        <v/>
      </c>
      <c r="K9558">
        <f>IFERROR(__xludf.DUMMYFUNCTION("""COMPUTED_VALUE"""),3875.6)</f>
        <v/>
      </c>
    </row>
    <row r="9559">
      <c r="J9559">
        <f>IFERROR(__xludf.DUMMYFUNCTION("""COMPUTED_VALUE"""),"Halifax, Nova Scotia, Canada  and London, Ontario, Canada")</f>
        <v/>
      </c>
      <c r="K9559">
        <f>IFERROR(__xludf.DUMMYFUNCTION("""COMPUTED_VALUE"""),3875.27)</f>
        <v/>
      </c>
    </row>
    <row r="9560">
      <c r="J9560">
        <f>IFERROR(__xludf.DUMMYFUNCTION("""COMPUTED_VALUE"""),"Missisauga, Ontario, Canada")</f>
        <v/>
      </c>
      <c r="K9560">
        <f>IFERROR(__xludf.DUMMYFUNCTION("""COMPUTED_VALUE"""),3875)</f>
        <v/>
      </c>
    </row>
    <row r="9561">
      <c r="J9561">
        <f>IFERROR(__xludf.DUMMYFUNCTION("""COMPUTED_VALUE"""),"Regina, SK; Victoria, BC; Calgary, AB")</f>
        <v/>
      </c>
      <c r="K9561">
        <f>IFERROR(__xludf.DUMMYFUNCTION("""COMPUTED_VALUE"""),3874.59)</f>
        <v/>
      </c>
    </row>
    <row r="9562">
      <c r="J9562">
        <f>IFERROR(__xludf.DUMMYFUNCTION("""COMPUTED_VALUE"""),"Fort Smith, NorthWest Territories")</f>
        <v/>
      </c>
      <c r="K9562">
        <f>IFERROR(__xludf.DUMMYFUNCTION("""COMPUTED_VALUE"""),3874.44)</f>
        <v/>
      </c>
    </row>
    <row r="9563">
      <c r="J9563">
        <f>IFERROR(__xludf.DUMMYFUNCTION("""COMPUTED_VALUE"""),"Montreal, QC - Sherbrooke, QC")</f>
        <v/>
      </c>
      <c r="K9563">
        <f>IFERROR(__xludf.DUMMYFUNCTION("""COMPUTED_VALUE"""),3874.2)</f>
        <v/>
      </c>
    </row>
    <row r="9564">
      <c r="J9564">
        <f>IFERROR(__xludf.DUMMYFUNCTION("""COMPUTED_VALUE"""),"Toronto, Ontario, Canada; Mississauga, Ontario, Canada")</f>
        <v/>
      </c>
      <c r="K9564">
        <f>IFERROR(__xludf.DUMMYFUNCTION("""COMPUTED_VALUE"""),3874.14999999999)</f>
        <v/>
      </c>
    </row>
    <row r="9565">
      <c r="J9565">
        <f>IFERROR(__xludf.DUMMYFUNCTION("""COMPUTED_VALUE"""),"Corner Brook, NFLD")</f>
        <v/>
      </c>
      <c r="K9565">
        <f>IFERROR(__xludf.DUMMYFUNCTION("""COMPUTED_VALUE"""),3874.14)</f>
        <v/>
      </c>
    </row>
    <row r="9566">
      <c r="J9566">
        <f>IFERROR(__xludf.DUMMYFUNCTION("""COMPUTED_VALUE"""),"Vancouver, BC and Winnipeg, AB")</f>
        <v/>
      </c>
      <c r="K9566">
        <f>IFERROR(__xludf.DUMMYFUNCTION("""COMPUTED_VALUE"""),3873.89)</f>
        <v/>
      </c>
    </row>
    <row r="9567">
      <c r="J9567">
        <f>IFERROR(__xludf.DUMMYFUNCTION("""COMPUTED_VALUE"""),"St. John's, NL - Ottawa, ON")</f>
        <v/>
      </c>
      <c r="K9567">
        <f>IFERROR(__xludf.DUMMYFUNCTION("""COMPUTED_VALUE"""),3873.29)</f>
        <v/>
      </c>
    </row>
    <row r="9568">
      <c r="J9568">
        <f>IFERROR(__xludf.DUMMYFUNCTION("""COMPUTED_VALUE"""),"Winnipeg, MB - Chicago, IL, USA - Edmonton, AB")</f>
        <v/>
      </c>
      <c r="K9568">
        <f>IFERROR(__xludf.DUMMYFUNCTION("""COMPUTED_VALUE"""),3873.23)</f>
        <v/>
      </c>
    </row>
    <row r="9569">
      <c r="J9569">
        <f>IFERROR(__xludf.DUMMYFUNCTION("""COMPUTED_VALUE"""),"Moncton, New Brunswick and Sacramento, California")</f>
        <v/>
      </c>
      <c r="K9569">
        <f>IFERROR(__xludf.DUMMYFUNCTION("""COMPUTED_VALUE"""),3872.79)</f>
        <v/>
      </c>
    </row>
    <row r="9570">
      <c r="J9570">
        <f>IFERROR(__xludf.DUMMYFUNCTION("""COMPUTED_VALUE"""),"Burnaby, BC, Canada")</f>
        <v/>
      </c>
      <c r="K9570">
        <f>IFERROR(__xludf.DUMMYFUNCTION("""COMPUTED_VALUE"""),3871.32)</f>
        <v/>
      </c>
    </row>
    <row r="9571">
      <c r="J9571">
        <f>IFERROR(__xludf.DUMMYFUNCTION("""COMPUTED_VALUE"""),"Vancouver, British Columbia, Canada
Winnipeg, Manitoba, Canada
Edmonton, Alberta Canada")</f>
        <v/>
      </c>
      <c r="K9571">
        <f>IFERROR(__xludf.DUMMYFUNCTION("""COMPUTED_VALUE"""),3869.07)</f>
        <v/>
      </c>
    </row>
    <row r="9572">
      <c r="J9572">
        <f>IFERROR(__xludf.DUMMYFUNCTION("""COMPUTED_VALUE"""),"Victoria, BC.")</f>
        <v/>
      </c>
      <c r="K9572">
        <f>IFERROR(__xludf.DUMMYFUNCTION("""COMPUTED_VALUE"""),3868.71)</f>
        <v/>
      </c>
    </row>
    <row r="9573">
      <c r="J9573">
        <f>IFERROR(__xludf.DUMMYFUNCTION("""COMPUTED_VALUE"""),"Antigonish, Nova Scotia, Canada / Inverness, Nova Scotia, Canada")</f>
        <v/>
      </c>
      <c r="K9573">
        <f>IFERROR(__xludf.DUMMYFUNCTION("""COMPUTED_VALUE"""),3868.59)</f>
        <v/>
      </c>
    </row>
    <row r="9574">
      <c r="J9574">
        <f>IFERROR(__xludf.DUMMYFUNCTION("""COMPUTED_VALUE"""),"Victoria, British Colombia, Canada
Vancouver, British Colombia, Canada")</f>
        <v/>
      </c>
      <c r="K9574">
        <f>IFERROR(__xludf.DUMMYFUNCTION("""COMPUTED_VALUE"""),3868.26)</f>
        <v/>
      </c>
    </row>
    <row r="9575">
      <c r="J9575">
        <f>IFERROR(__xludf.DUMMYFUNCTION("""COMPUTED_VALUE"""),"London, Ontario, CanadaEdmonton, Alberta, CanadaWinnipeg, Manitoba, Canada")</f>
        <v/>
      </c>
      <c r="K9575">
        <f>IFERROR(__xludf.DUMMYFUNCTION("""COMPUTED_VALUE"""),3867.27)</f>
        <v/>
      </c>
    </row>
    <row r="9576">
      <c r="J9576">
        <f>IFERROR(__xludf.DUMMYFUNCTION("""COMPUTED_VALUE"""),"Moncton, New Bunswick/Halifax, Nova Scotia/Prince Edward Island")</f>
        <v/>
      </c>
      <c r="K9576">
        <f>IFERROR(__xludf.DUMMYFUNCTION("""COMPUTED_VALUE"""),3865.92)</f>
        <v/>
      </c>
    </row>
    <row r="9577">
      <c r="J9577">
        <f>IFERROR(__xludf.DUMMYFUNCTION("""COMPUTED_VALUE"""),"Skopje, North Macedonia")</f>
        <v/>
      </c>
      <c r="K9577">
        <f>IFERROR(__xludf.DUMMYFUNCTION("""COMPUTED_VALUE"""),3864.39)</f>
        <v/>
      </c>
    </row>
    <row r="9578">
      <c r="J9578">
        <f>IFERROR(__xludf.DUMMYFUNCTION("""COMPUTED_VALUE"""),"Southwestern Ontario")</f>
        <v/>
      </c>
      <c r="K9578">
        <f>IFERROR(__xludf.DUMMYFUNCTION("""COMPUTED_VALUE"""),3863.92)</f>
        <v/>
      </c>
    </row>
    <row r="9579">
      <c r="J9579">
        <f>IFERROR(__xludf.DUMMYFUNCTION("""COMPUTED_VALUE"""),"Toronto, ON, Vancouver, BC, Calgary, AB")</f>
        <v/>
      </c>
      <c r="K9579">
        <f>IFERROR(__xludf.DUMMYFUNCTION("""COMPUTED_VALUE"""),3863.92)</f>
        <v/>
      </c>
    </row>
    <row r="9580">
      <c r="J9580">
        <f>IFERROR(__xludf.DUMMYFUNCTION("""COMPUTED_VALUE"""),"Chicago, Illinois, United States / Omaha, Nebraska, United States")</f>
        <v/>
      </c>
      <c r="K9580">
        <f>IFERROR(__xludf.DUMMYFUNCTION("""COMPUTED_VALUE"""),3863.32)</f>
        <v/>
      </c>
    </row>
    <row r="9581">
      <c r="J9581">
        <f>IFERROR(__xludf.DUMMYFUNCTION("""COMPUTED_VALUE"""),"GATINEAU, OTTAWA, MONTREAL, BRUSSELS, MONTREAL, OTTAWA, GATINEAU")</f>
        <v/>
      </c>
      <c r="K9581">
        <f>IFERROR(__xludf.DUMMYFUNCTION("""COMPUTED_VALUE"""),3863.16)</f>
        <v/>
      </c>
    </row>
    <row r="9582">
      <c r="J9582">
        <f>IFERROR(__xludf.DUMMYFUNCTION("""COMPUTED_VALUE"""),"San Antonio TX")</f>
        <v/>
      </c>
      <c r="K9582">
        <f>IFERROR(__xludf.DUMMYFUNCTION("""COMPUTED_VALUE"""),3860.44)</f>
        <v/>
      </c>
    </row>
    <row r="9583">
      <c r="J9583">
        <f>IFERROR(__xludf.DUMMYFUNCTION("""COMPUTED_VALUE"""),"Winnipeg MB, Yellowknife, NT")</f>
        <v/>
      </c>
      <c r="K9583">
        <f>IFERROR(__xludf.DUMMYFUNCTION("""COMPUTED_VALUE"""),3859)</f>
        <v/>
      </c>
    </row>
    <row r="9584">
      <c r="J9584">
        <f>IFERROR(__xludf.DUMMYFUNCTION("""COMPUTED_VALUE"""),"Hamilton, Brantford, London, Ontario, Canada")</f>
        <v/>
      </c>
      <c r="K9584">
        <f>IFERROR(__xludf.DUMMYFUNCTION("""COMPUTED_VALUE"""),3858.9)</f>
        <v/>
      </c>
    </row>
    <row r="9585">
      <c r="J9585">
        <f>IFERROR(__xludf.DUMMYFUNCTION("""COMPUTED_VALUE"""),"Denver, CO, U.S.A")</f>
        <v/>
      </c>
      <c r="K9585">
        <f>IFERROR(__xludf.DUMMYFUNCTION("""COMPUTED_VALUE"""),3858.81)</f>
        <v/>
      </c>
    </row>
    <row r="9586">
      <c r="J9586">
        <f>IFERROR(__xludf.DUMMYFUNCTION("""COMPUTED_VALUE"""),"Toronto, ON - Saint John, NB - Halifax, NS")</f>
        <v/>
      </c>
      <c r="K9586">
        <f>IFERROR(__xludf.DUMMYFUNCTION("""COMPUTED_VALUE"""),3858.68)</f>
        <v/>
      </c>
    </row>
    <row r="9587">
      <c r="J9587">
        <f>IFERROR(__xludf.DUMMYFUNCTION("""COMPUTED_VALUE"""),"Vancouver, Sidney and Penticton, British Columbia, Canada")</f>
        <v/>
      </c>
      <c r="K9587">
        <f>IFERROR(__xludf.DUMMYFUNCTION("""COMPUTED_VALUE"""),3858.18)</f>
        <v/>
      </c>
    </row>
    <row r="9588">
      <c r="J9588">
        <f>IFERROR(__xludf.DUMMYFUNCTION("""COMPUTED_VALUE"""),"Davos, Switzerland/ Zurich, Switzerland")</f>
        <v/>
      </c>
      <c r="K9588">
        <f>IFERROR(__xludf.DUMMYFUNCTION("""COMPUTED_VALUE"""),3857.57)</f>
        <v/>
      </c>
    </row>
    <row r="9589">
      <c r="J9589">
        <f>IFERROR(__xludf.DUMMYFUNCTION("""COMPUTED_VALUE"""),"New York, New York; Washington, District of Colombia")</f>
        <v/>
      </c>
      <c r="K9589">
        <f>IFERROR(__xludf.DUMMYFUNCTION("""COMPUTED_VALUE"""),3857.52)</f>
        <v/>
      </c>
    </row>
    <row r="9590">
      <c r="J9590">
        <f>IFERROR(__xludf.DUMMYFUNCTION("""COMPUTED_VALUE"""),"New York City and Panama City")</f>
        <v/>
      </c>
      <c r="K9590">
        <f>IFERROR(__xludf.DUMMYFUNCTION("""COMPUTED_VALUE"""),3855.7)</f>
        <v/>
      </c>
    </row>
    <row r="9591">
      <c r="J9591">
        <f>IFERROR(__xludf.DUMMYFUNCTION("""COMPUTED_VALUE"""),"Berkeley, California, United States / Stanford, California, United States")</f>
        <v/>
      </c>
      <c r="K9591">
        <f>IFERROR(__xludf.DUMMYFUNCTION("""COMPUTED_VALUE"""),3855.68)</f>
        <v/>
      </c>
    </row>
    <row r="9592">
      <c r="J9592">
        <f>IFERROR(__xludf.DUMMYFUNCTION("""COMPUTED_VALUE"""),"Ankara, Australia")</f>
        <v/>
      </c>
      <c r="K9592">
        <f>IFERROR(__xludf.DUMMYFUNCTION("""COMPUTED_VALUE"""),3855.23)</f>
        <v/>
      </c>
    </row>
    <row r="9593">
      <c r="J9593">
        <f>IFERROR(__xludf.DUMMYFUNCTION("""COMPUTED_VALUE"""),"Calgary and Yellowknife")</f>
        <v/>
      </c>
      <c r="K9593">
        <f>IFERROR(__xludf.DUMMYFUNCTION("""COMPUTED_VALUE"""),3854.72)</f>
        <v/>
      </c>
    </row>
    <row r="9594">
      <c r="J9594">
        <f>IFERROR(__xludf.DUMMYFUNCTION("""COMPUTED_VALUE"""),"Toronto, ON &amp; Calgary, AB")</f>
        <v/>
      </c>
      <c r="K9594">
        <f>IFERROR(__xludf.DUMMYFUNCTION("""COMPUTED_VALUE"""),3854.63)</f>
        <v/>
      </c>
    </row>
    <row r="9595">
      <c r="J9595">
        <f>IFERROR(__xludf.DUMMYFUNCTION("""COMPUTED_VALUE"""),"Montréal, Quebec, Canada; Regina, Saskatchewan, Canada")</f>
        <v/>
      </c>
      <c r="K9595">
        <f>IFERROR(__xludf.DUMMYFUNCTION("""COMPUTED_VALUE"""),3853.97)</f>
        <v/>
      </c>
    </row>
    <row r="9596">
      <c r="J9596">
        <f>IFERROR(__xludf.DUMMYFUNCTION("""COMPUTED_VALUE"""),"White Rock, Vancouver et Victoria - British Columbia")</f>
        <v/>
      </c>
      <c r="K9596">
        <f>IFERROR(__xludf.DUMMYFUNCTION("""COMPUTED_VALUE"""),3853.84)</f>
        <v/>
      </c>
    </row>
    <row r="9597">
      <c r="J9597">
        <f>IFERROR(__xludf.DUMMYFUNCTION("""COMPUTED_VALUE"""),"Ottawa, Ontario/ Toronto, Ontario, Canada")</f>
        <v/>
      </c>
      <c r="K9597">
        <f>IFERROR(__xludf.DUMMYFUNCTION("""COMPUTED_VALUE"""),3852.22)</f>
        <v/>
      </c>
    </row>
    <row r="9598">
      <c r="J9598">
        <f>IFERROR(__xludf.DUMMYFUNCTION("""COMPUTED_VALUE"""),"Saskatoon, Saskatchewan, Canada;")</f>
        <v/>
      </c>
      <c r="K9598">
        <f>IFERROR(__xludf.DUMMYFUNCTION("""COMPUTED_VALUE"""),3851.14)</f>
        <v/>
      </c>
    </row>
    <row r="9599">
      <c r="J9599">
        <f>IFERROR(__xludf.DUMMYFUNCTION("""COMPUTED_VALUE"""),"Colombo")</f>
        <v/>
      </c>
      <c r="K9599">
        <f>IFERROR(__xludf.DUMMYFUNCTION("""COMPUTED_VALUE"""),3850.66)</f>
        <v/>
      </c>
    </row>
    <row r="9600">
      <c r="J9600">
        <f>IFERROR(__xludf.DUMMYFUNCTION("""COMPUTED_VALUE"""),"Haines Junction, Rainbow Lake, Quill Creek")</f>
        <v/>
      </c>
      <c r="K9600">
        <f>IFERROR(__xludf.DUMMYFUNCTION("""COMPUTED_VALUE"""),3850.6)</f>
        <v/>
      </c>
    </row>
    <row r="9601">
      <c r="J9601">
        <f>IFERROR(__xludf.DUMMYFUNCTION("""COMPUTED_VALUE"""),"Québec, Quebec, Canada; Rivière-du-Loup, Quebec, Canada")</f>
        <v/>
      </c>
      <c r="K9601">
        <f>IFERROR(__xludf.DUMMYFUNCTION("""COMPUTED_VALUE"""),3849.86)</f>
        <v/>
      </c>
    </row>
    <row r="9602">
      <c r="J9602">
        <f>IFERROR(__xludf.DUMMYFUNCTION("""COMPUTED_VALUE"""),"Nanaimo (British Columbia) Canada
Vancouver (British Columbia) Canada")</f>
        <v/>
      </c>
      <c r="K9602">
        <f>IFERROR(__xludf.DUMMYFUNCTION("""COMPUTED_VALUE"""),3848.06)</f>
        <v/>
      </c>
    </row>
    <row r="9603">
      <c r="J9603">
        <f>IFERROR(__xludf.DUMMYFUNCTION("""COMPUTED_VALUE"""),"Quebec City, QC, Canada")</f>
        <v/>
      </c>
      <c r="K9603">
        <f>IFERROR(__xludf.DUMMYFUNCTION("""COMPUTED_VALUE"""),3847.54)</f>
        <v/>
      </c>
    </row>
    <row r="9604">
      <c r="J9604">
        <f>IFERROR(__xludf.DUMMYFUNCTION("""COMPUTED_VALUE"""),"Iqaluit, Nunavut, Canada; Ottawa, Ontario, Canada")</f>
        <v/>
      </c>
      <c r="K9604">
        <f>IFERROR(__xludf.DUMMYFUNCTION("""COMPUTED_VALUE"""),3846.09)</f>
        <v/>
      </c>
    </row>
    <row r="9605">
      <c r="J9605">
        <f>IFERROR(__xludf.DUMMYFUNCTION("""COMPUTED_VALUE"""),"Halifax, Nova Scotia, and Moncton, New Brunswick")</f>
        <v/>
      </c>
      <c r="K9605">
        <f>IFERROR(__xludf.DUMMYFUNCTION("""COMPUTED_VALUE"""),3845.84)</f>
        <v/>
      </c>
    </row>
    <row r="9606">
      <c r="J9606">
        <f>IFERROR(__xludf.DUMMYFUNCTION("""COMPUTED_VALUE"""),"Quebec and Whitehorse")</f>
        <v/>
      </c>
      <c r="K9606">
        <f>IFERROR(__xludf.DUMMYFUNCTION("""COMPUTED_VALUE"""),3845.1)</f>
        <v/>
      </c>
    </row>
    <row r="9607">
      <c r="J9607">
        <f>IFERROR(__xludf.DUMMYFUNCTION("""COMPUTED_VALUE"""),"Banff, Alberta, Canada/ Edmonton, Alberta, Canada")</f>
        <v/>
      </c>
      <c r="K9607">
        <f>IFERROR(__xludf.DUMMYFUNCTION("""COMPUTED_VALUE"""),3844.98)</f>
        <v/>
      </c>
    </row>
    <row r="9608">
      <c r="J9608">
        <f>IFERROR(__xludf.DUMMYFUNCTION("""COMPUTED_VALUE"""),"Jasper, AB and Toronto, ON")</f>
        <v/>
      </c>
      <c r="K9608">
        <f>IFERROR(__xludf.DUMMYFUNCTION("""COMPUTED_VALUE"""),3844.86)</f>
        <v/>
      </c>
    </row>
    <row r="9609">
      <c r="J9609">
        <f>IFERROR(__xludf.DUMMYFUNCTION("""COMPUTED_VALUE"""),"Kiev, Ukraine &amp; Moscow, Russia")</f>
        <v/>
      </c>
      <c r="K9609">
        <f>IFERROR(__xludf.DUMMYFUNCTION("""COMPUTED_VALUE"""),3844.76)</f>
        <v/>
      </c>
    </row>
    <row r="9610">
      <c r="J9610">
        <f>IFERROR(__xludf.DUMMYFUNCTION("""COMPUTED_VALUE"""),"Halifax, Sydney, Nova Scotia, Canada")</f>
        <v/>
      </c>
      <c r="K9610">
        <f>IFERROR(__xludf.DUMMYFUNCTION("""COMPUTED_VALUE"""),3844.52)</f>
        <v/>
      </c>
    </row>
    <row r="9611">
      <c r="J9611">
        <f>IFERROR(__xludf.DUMMYFUNCTION("""COMPUTED_VALUE"""),"Toronto, Ontario, Canada; Regina, Saskatchewan, Canada; Winnipeg, Manitoba, Canada")</f>
        <v/>
      </c>
      <c r="K9611">
        <f>IFERROR(__xludf.DUMMYFUNCTION("""COMPUTED_VALUE"""),3844.39)</f>
        <v/>
      </c>
    </row>
    <row r="9612">
      <c r="J9612">
        <f>IFERROR(__xludf.DUMMYFUNCTION("""COMPUTED_VALUE"""),"Ottawa, ON; Edmonton, AB; Winnipeg, MB")</f>
        <v/>
      </c>
      <c r="K9612">
        <f>IFERROR(__xludf.DUMMYFUNCTION("""COMPUTED_VALUE"""),3844.24)</f>
        <v/>
      </c>
    </row>
    <row r="9613">
      <c r="J9613">
        <f>IFERROR(__xludf.DUMMYFUNCTION("""COMPUTED_VALUE"""),"Goose Bay/St. John's, Newfoundland, and Halifax, Nova Scotia")</f>
        <v/>
      </c>
      <c r="K9613">
        <f>IFERROR(__xludf.DUMMYFUNCTION("""COMPUTED_VALUE"""),3844.13)</f>
        <v/>
      </c>
    </row>
    <row r="9614">
      <c r="J9614">
        <f>IFERROR(__xludf.DUMMYFUNCTION("""COMPUTED_VALUE"""),"Toronto, Ontario, Canada; Vancouver, British Columbia, Canada; Calgary, Alberta, Canada; Edmonton, Alberta, Canada; Winnipeg, Manitoba, Canada")</f>
        <v/>
      </c>
      <c r="K9614">
        <f>IFERROR(__xludf.DUMMYFUNCTION("""COMPUTED_VALUE"""),3844.11)</f>
        <v/>
      </c>
    </row>
    <row r="9615">
      <c r="J9615">
        <f>IFERROR(__xludf.DUMMYFUNCTION("""COMPUTED_VALUE"""),"St. John's, NL; Ottawa, ON")</f>
        <v/>
      </c>
      <c r="K9615">
        <f>IFERROR(__xludf.DUMMYFUNCTION("""COMPUTED_VALUE"""),3844.1)</f>
        <v/>
      </c>
    </row>
    <row r="9616">
      <c r="J9616">
        <f>IFERROR(__xludf.DUMMYFUNCTION("""COMPUTED_VALUE"""),"San Francisco and New York")</f>
        <v/>
      </c>
      <c r="K9616">
        <f>IFERROR(__xludf.DUMMYFUNCTION("""COMPUTED_VALUE"""),3843.79)</f>
        <v/>
      </c>
    </row>
    <row r="9617">
      <c r="J9617">
        <f>IFERROR(__xludf.DUMMYFUNCTION("""COMPUTED_VALUE"""),"Fredericton, Moncton, Saint John")</f>
        <v/>
      </c>
      <c r="K9617">
        <f>IFERROR(__xludf.DUMMYFUNCTION("""COMPUTED_VALUE"""),3843.21)</f>
        <v/>
      </c>
    </row>
    <row r="9618">
      <c r="J9618">
        <f>IFERROR(__xludf.DUMMYFUNCTION("""COMPUTED_VALUE"""),"Calgary, AB - Inuvik, NT - Yellowknife, NT")</f>
        <v/>
      </c>
      <c r="K9618">
        <f>IFERROR(__xludf.DUMMYFUNCTION("""COMPUTED_VALUE"""),3842.91)</f>
        <v/>
      </c>
    </row>
    <row r="9619">
      <c r="J9619">
        <f>IFERROR(__xludf.DUMMYFUNCTION("""COMPUTED_VALUE"""),"Savannah, Georgia, United States")</f>
        <v/>
      </c>
      <c r="K9619">
        <f>IFERROR(__xludf.DUMMYFUNCTION("""COMPUTED_VALUE"""),3842.38)</f>
        <v/>
      </c>
    </row>
    <row r="9620">
      <c r="J9620">
        <f>IFERROR(__xludf.DUMMYFUNCTION("""COMPUTED_VALUE"""),"London, Ontario, Canada; Waterloo, Ontario, Canada; Brampton, Ontario, Canada; Simcoe, Ontario, Canada")</f>
        <v/>
      </c>
      <c r="K9620">
        <f>IFERROR(__xludf.DUMMYFUNCTION("""COMPUTED_VALUE"""),3841.93)</f>
        <v/>
      </c>
    </row>
    <row r="9621">
      <c r="J9621">
        <f>IFERROR(__xludf.DUMMYFUNCTION("""COMPUTED_VALUE"""),"Winnipeg Manitoba, Canada and London, Ontario, Canada")</f>
        <v/>
      </c>
      <c r="K9621">
        <f>IFERROR(__xludf.DUMMYFUNCTION("""COMPUTED_VALUE"""),3840.34)</f>
        <v/>
      </c>
    </row>
    <row r="9622">
      <c r="J9622">
        <f>IFERROR(__xludf.DUMMYFUNCTION("""COMPUTED_VALUE"""),"Washington, DC and Waterloo, Ontario")</f>
        <v/>
      </c>
      <c r="K9622">
        <f>IFERROR(__xludf.DUMMYFUNCTION("""COMPUTED_VALUE"""),3840.09)</f>
        <v/>
      </c>
    </row>
    <row r="9623">
      <c r="J9623">
        <f>IFERROR(__xludf.DUMMYFUNCTION("""COMPUTED_VALUE"""),"Iqaluit and Rankin Inlet, Nunavut, Canada")</f>
        <v/>
      </c>
      <c r="K9623">
        <f>IFERROR(__xludf.DUMMYFUNCTION("""COMPUTED_VALUE"""),3839.77)</f>
        <v/>
      </c>
    </row>
    <row r="9624">
      <c r="J9624">
        <f>IFERROR(__xludf.DUMMYFUNCTION("""COMPUTED_VALUE"""),"Toronto, Ontario, Canada; Kelowna, British Columbia, Canada; Vancouver, British Columbia, Canada; Saskatoon, Saskatchewan, Canada")</f>
        <v/>
      </c>
      <c r="K9624">
        <f>IFERROR(__xludf.DUMMYFUNCTION("""COMPUTED_VALUE"""),3839.63)</f>
        <v/>
      </c>
    </row>
    <row r="9625">
      <c r="J9625">
        <f>IFERROR(__xludf.DUMMYFUNCTION("""COMPUTED_VALUE"""),"Brussels, Belgium/ Paris, France")</f>
        <v/>
      </c>
      <c r="K9625">
        <f>IFERROR(__xludf.DUMMYFUNCTION("""COMPUTED_VALUE"""),3838.86)</f>
        <v/>
      </c>
    </row>
    <row r="9626">
      <c r="J9626">
        <f>IFERROR(__xludf.DUMMYFUNCTION("""COMPUTED_VALUE"""),"Charlottetown, Prince Edward Island &amp; Moncton, New Brunswick")</f>
        <v/>
      </c>
      <c r="K9626">
        <f>IFERROR(__xludf.DUMMYFUNCTION("""COMPUTED_VALUE"""),3838.2)</f>
        <v/>
      </c>
    </row>
    <row r="9627">
      <c r="J9627">
        <f>IFERROR(__xludf.DUMMYFUNCTION("""COMPUTED_VALUE"""),"Saskatoon, SK, Montreal, QC, Sioux Lookout, ON")</f>
        <v/>
      </c>
      <c r="K9627">
        <f>IFERROR(__xludf.DUMMYFUNCTION("""COMPUTED_VALUE"""),3836.67)</f>
        <v/>
      </c>
    </row>
    <row r="9628">
      <c r="J9628">
        <f>IFERROR(__xludf.DUMMYFUNCTION("""COMPUTED_VALUE"""),"Busan, Korea Saskatoon, Saskatchewan Niagara-on-the-Lake, Niagara-on-the-Lake, Ontario")</f>
        <v/>
      </c>
      <c r="K9628">
        <f>IFERROR(__xludf.DUMMYFUNCTION("""COMPUTED_VALUE"""),3835.73)</f>
        <v/>
      </c>
    </row>
    <row r="9629">
      <c r="J9629">
        <f>IFERROR(__xludf.DUMMYFUNCTION("""COMPUTED_VALUE"""),"Calgary, Alberta and Regina, Saskatchewan")</f>
        <v/>
      </c>
      <c r="K9629">
        <f>IFERROR(__xludf.DUMMYFUNCTION("""COMPUTED_VALUE"""),3835.06)</f>
        <v/>
      </c>
    </row>
    <row r="9630">
      <c r="J9630">
        <f>IFERROR(__xludf.DUMMYFUNCTION("""COMPUTED_VALUE"""),"Iqaluit, Nunavut, Canada / Yellowknife, Northwest Territories, Canada")</f>
        <v/>
      </c>
      <c r="K9630">
        <f>IFERROR(__xludf.DUMMYFUNCTION("""COMPUTED_VALUE"""),3834.97)</f>
        <v/>
      </c>
    </row>
    <row r="9631">
      <c r="J9631">
        <f>IFERROR(__xludf.DUMMYFUNCTION("""COMPUTED_VALUE"""),"Ottawa, ON/Edmonton, AB")</f>
        <v/>
      </c>
      <c r="K9631">
        <f>IFERROR(__xludf.DUMMYFUNCTION("""COMPUTED_VALUE"""),3834.75)</f>
        <v/>
      </c>
    </row>
    <row r="9632">
      <c r="J9632">
        <f>IFERROR(__xludf.DUMMYFUNCTION("""COMPUTED_VALUE"""),"Vancouver, C.B.")</f>
        <v/>
      </c>
      <c r="K9632">
        <f>IFERROR(__xludf.DUMMYFUNCTION("""COMPUTED_VALUE"""),3834.65)</f>
        <v/>
      </c>
    </row>
    <row r="9633">
      <c r="J9633">
        <f>IFERROR(__xludf.DUMMYFUNCTION("""COMPUTED_VALUE"""),"Kamloops, British Columbia, Canada / Vancouver, British Columbia, Canada / Edmonton, Alberta, Canada")</f>
        <v/>
      </c>
      <c r="K9633">
        <f>IFERROR(__xludf.DUMMYFUNCTION("""COMPUTED_VALUE"""),3834.41)</f>
        <v/>
      </c>
    </row>
    <row r="9634">
      <c r="J9634">
        <f>IFERROR(__xludf.DUMMYFUNCTION("""COMPUTED_VALUE"""),"Kelowna, British Columbia, Canada; Calgary, Alberta, Canada; Regina, Saskatchewan, Canada")</f>
        <v/>
      </c>
      <c r="K9634">
        <f>IFERROR(__xludf.DUMMYFUNCTION("""COMPUTED_VALUE"""),3834.4)</f>
        <v/>
      </c>
    </row>
    <row r="9635">
      <c r="J9635">
        <f>IFERROR(__xludf.DUMMYFUNCTION("""COMPUTED_VALUE"""),"Toronto (Ontario), Vancouver (British Columbia)")</f>
        <v/>
      </c>
      <c r="K9635">
        <f>IFERROR(__xludf.DUMMYFUNCTION("""COMPUTED_VALUE"""),3833.11)</f>
        <v/>
      </c>
    </row>
    <row r="9636">
      <c r="J9636">
        <f>IFERROR(__xludf.DUMMYFUNCTION("""COMPUTED_VALUE"""),"Regina, SK, Guelph, ON")</f>
        <v/>
      </c>
      <c r="K9636">
        <f>IFERROR(__xludf.DUMMYFUNCTION("""COMPUTED_VALUE"""),3832.3)</f>
        <v/>
      </c>
    </row>
    <row r="9637">
      <c r="J9637">
        <f>IFERROR(__xludf.DUMMYFUNCTION("""COMPUTED_VALUE"""),"Yellowknife/CFS Alert.")</f>
        <v/>
      </c>
      <c r="K9637">
        <f>IFERROR(__xludf.DUMMYFUNCTION("""COMPUTED_VALUE"""),3832.25999999999)</f>
        <v/>
      </c>
    </row>
    <row r="9638">
      <c r="J9638">
        <f>IFERROR(__xludf.DUMMYFUNCTION("""COMPUTED_VALUE"""),"Ottawa- Calgary- Victoria- Vancouver- Toronto -ottawa")</f>
        <v/>
      </c>
      <c r="K9638">
        <f>IFERROR(__xludf.DUMMYFUNCTION("""COMPUTED_VALUE"""),3832.17)</f>
        <v/>
      </c>
    </row>
    <row r="9639">
      <c r="J9639">
        <f>IFERROR(__xludf.DUMMYFUNCTION("""COMPUTED_VALUE"""),"San Diego; Ottawa")</f>
        <v/>
      </c>
      <c r="K9639">
        <f>IFERROR(__xludf.DUMMYFUNCTION("""COMPUTED_VALUE"""),3832.05)</f>
        <v/>
      </c>
    </row>
    <row r="9640">
      <c r="J9640">
        <f>IFERROR(__xludf.DUMMYFUNCTION("""COMPUTED_VALUE"""),"Winnipeg, Manitoba, Canada and Toronto, Ontario, Canada")</f>
        <v/>
      </c>
      <c r="K9640">
        <f>IFERROR(__xludf.DUMMYFUNCTION("""COMPUTED_VALUE"""),3831.46)</f>
        <v/>
      </c>
    </row>
    <row r="9641">
      <c r="J9641">
        <f>IFERROR(__xludf.DUMMYFUNCTION("""COMPUTED_VALUE"""),"Lachute, Quebec, Canada")</f>
        <v/>
      </c>
      <c r="K9641">
        <f>IFERROR(__xludf.DUMMYFUNCTION("""COMPUTED_VALUE"""),3830.85)</f>
        <v/>
      </c>
    </row>
    <row r="9642">
      <c r="J9642">
        <f>IFERROR(__xludf.DUMMYFUNCTION("""COMPUTED_VALUE"""),"Vancouver - Prince Rupert")</f>
        <v/>
      </c>
      <c r="K9642">
        <f>IFERROR(__xludf.DUMMYFUNCTION("""COMPUTED_VALUE"""),3830.69)</f>
        <v/>
      </c>
    </row>
    <row r="9643">
      <c r="J9643">
        <f>IFERROR(__xludf.DUMMYFUNCTION("""COMPUTED_VALUE"""),"Toronto, Ontario, Canada; Montreal, Québec, Canada; Halifax, Nova Scotia, Canada")</f>
        <v/>
      </c>
      <c r="K9643">
        <f>IFERROR(__xludf.DUMMYFUNCTION("""COMPUTED_VALUE"""),3830.06999999999)</f>
        <v/>
      </c>
    </row>
    <row r="9644">
      <c r="J9644">
        <f>IFERROR(__xludf.DUMMYFUNCTION("""COMPUTED_VALUE"""),"Vancouver/Deroche/Aggassiz/Surrey/Campbell River/Courtenay/Port Renfrew/Victoria/Sooke, British Columbia, Canada")</f>
        <v/>
      </c>
      <c r="K9644">
        <f>IFERROR(__xludf.DUMMYFUNCTION("""COMPUTED_VALUE"""),3829.81)</f>
        <v/>
      </c>
    </row>
    <row r="9645">
      <c r="J9645">
        <f>IFERROR(__xludf.DUMMYFUNCTION("""COMPUTED_VALUE"""),"Victoria (British Columbia) Canada; Vancouver (British Columbia) Canada; Yellowknife (Northwest Territories) Canada")</f>
        <v/>
      </c>
      <c r="K9645">
        <f>IFERROR(__xludf.DUMMYFUNCTION("""COMPUTED_VALUE"""),3829.33)</f>
        <v/>
      </c>
    </row>
    <row r="9646">
      <c r="J9646">
        <f>IFERROR(__xludf.DUMMYFUNCTION("""COMPUTED_VALUE"""),"Chipping Norton, United Kingdom")</f>
        <v/>
      </c>
      <c r="K9646">
        <f>IFERROR(__xludf.DUMMYFUNCTION("""COMPUTED_VALUE"""),3828.61)</f>
        <v/>
      </c>
    </row>
    <row r="9647">
      <c r="J9647">
        <f>IFERROR(__xludf.DUMMYFUNCTION("""COMPUTED_VALUE"""),"St-John's Newfoundland, Canada")</f>
        <v/>
      </c>
      <c r="K9647">
        <f>IFERROR(__xludf.DUMMYFUNCTION("""COMPUTED_VALUE"""),3828.27)</f>
        <v/>
      </c>
    </row>
    <row r="9648">
      <c r="J9648">
        <f>IFERROR(__xludf.DUMMYFUNCTION("""COMPUTED_VALUE"""),"St-John's, NB")</f>
        <v/>
      </c>
      <c r="K9648">
        <f>IFERROR(__xludf.DUMMYFUNCTION("""COMPUTED_VALUE"""),3826.85)</f>
        <v/>
      </c>
    </row>
    <row r="9649">
      <c r="J9649">
        <f>IFERROR(__xludf.DUMMYFUNCTION("""COMPUTED_VALUE"""),"Vancouver and Port Hardy, British Columbia, Canada")</f>
        <v/>
      </c>
      <c r="K9649">
        <f>IFERROR(__xludf.DUMMYFUNCTION("""COMPUTED_VALUE"""),3826.82)</f>
        <v/>
      </c>
    </row>
    <row r="9650">
      <c r="J9650">
        <f>IFERROR(__xludf.DUMMYFUNCTION("""COMPUTED_VALUE"""),"Whitehorse, Yukon, Canada and Dawson City, Yukon, Canada")</f>
        <v/>
      </c>
      <c r="K9650">
        <f>IFERROR(__xludf.DUMMYFUNCTION("""COMPUTED_VALUE"""),3826.68)</f>
        <v/>
      </c>
    </row>
    <row r="9651">
      <c r="J9651">
        <f>IFERROR(__xludf.DUMMYFUNCTION("""COMPUTED_VALUE"""),"Ottawa, Ontario, Canada; Toronto, Ontario, Canada; Montreal, Quebec, Canada")</f>
        <v/>
      </c>
      <c r="K9651">
        <f>IFERROR(__xludf.DUMMYFUNCTION("""COMPUTED_VALUE"""),3826.54)</f>
        <v/>
      </c>
    </row>
    <row r="9652">
      <c r="J9652">
        <f>IFERROR(__xludf.DUMMYFUNCTION("""COMPUTED_VALUE"""),"Charlottetown, PE; Baie-Comeau, QC; Sept-Îles, QC")</f>
        <v/>
      </c>
      <c r="K9652">
        <f>IFERROR(__xludf.DUMMYFUNCTION("""COMPUTED_VALUE"""),3826.49)</f>
        <v/>
      </c>
    </row>
    <row r="9653">
      <c r="J9653">
        <f>IFERROR(__xludf.DUMMYFUNCTION("""COMPUTED_VALUE"""),"Kamloops, BC - Vancouver, BC - Victoria, BC")</f>
        <v/>
      </c>
      <c r="K9653">
        <f>IFERROR(__xludf.DUMMYFUNCTION("""COMPUTED_VALUE"""),3826.42)</f>
        <v/>
      </c>
    </row>
    <row r="9654">
      <c r="J9654">
        <f>IFERROR(__xludf.DUMMYFUNCTION("""COMPUTED_VALUE"""),"London, Ontario, Canada; Windsor, Ontario, Canada; Montréal, Quebec, Canada; Québec, Quebec, Canada")</f>
        <v/>
      </c>
      <c r="K9654">
        <f>IFERROR(__xludf.DUMMYFUNCTION("""COMPUTED_VALUE"""),3826.23)</f>
        <v/>
      </c>
    </row>
    <row r="9655">
      <c r="J9655">
        <f>IFERROR(__xludf.DUMMYFUNCTION("""COMPUTED_VALUE"""),"Edmonton, AB, Victoria, BC")</f>
        <v/>
      </c>
      <c r="K9655">
        <f>IFERROR(__xludf.DUMMYFUNCTION("""COMPUTED_VALUE"""),3826.22)</f>
        <v/>
      </c>
    </row>
    <row r="9656">
      <c r="J9656">
        <f>IFERROR(__xludf.DUMMYFUNCTION("""COMPUTED_VALUE"""),"London, UK/ Edinburgh, UK")</f>
        <v/>
      </c>
      <c r="K9656">
        <f>IFERROR(__xludf.DUMMYFUNCTION("""COMPUTED_VALUE"""),3826.05)</f>
        <v/>
      </c>
    </row>
    <row r="9657">
      <c r="J9657">
        <f>IFERROR(__xludf.DUMMYFUNCTION("""COMPUTED_VALUE"""),"Ottawa, Ontario, Canada / Iqaluit, Nunavut, Canada")</f>
        <v/>
      </c>
      <c r="K9657">
        <f>IFERROR(__xludf.DUMMYFUNCTION("""COMPUTED_VALUE"""),3823.98)</f>
        <v/>
      </c>
    </row>
    <row r="9658">
      <c r="J9658">
        <f>IFERROR(__xludf.DUMMYFUNCTION("""COMPUTED_VALUE"""),"San Francisco, United States; Toronto, Ontario")</f>
        <v/>
      </c>
      <c r="K9658">
        <f>IFERROR(__xludf.DUMMYFUNCTION("""COMPUTED_VALUE"""),3823.88)</f>
        <v/>
      </c>
    </row>
    <row r="9659">
      <c r="J9659">
        <f>IFERROR(__xludf.DUMMYFUNCTION("""COMPUTED_VALUE"""),"Ottawa, Ontario and Gatineau, Quebec, Canada")</f>
        <v/>
      </c>
      <c r="K9659">
        <f>IFERROR(__xludf.DUMMYFUNCTION("""COMPUTED_VALUE"""),3823.83)</f>
        <v/>
      </c>
    </row>
    <row r="9660">
      <c r="J9660">
        <f>IFERROR(__xludf.DUMMYFUNCTION("""COMPUTED_VALUE"""),"Fort Smith, North West Territories")</f>
        <v/>
      </c>
      <c r="K9660">
        <f>IFERROR(__xludf.DUMMYFUNCTION("""COMPUTED_VALUE"""),3823.23)</f>
        <v/>
      </c>
    </row>
    <row r="9661">
      <c r="J9661">
        <f>IFERROR(__xludf.DUMMYFUNCTION("""COMPUTED_VALUE"""),"Halifax, Nova Scotia / Ottawa, Ontario")</f>
        <v/>
      </c>
      <c r="K9661">
        <f>IFERROR(__xludf.DUMMYFUNCTION("""COMPUTED_VALUE"""),3823.12)</f>
        <v/>
      </c>
    </row>
    <row r="9662">
      <c r="J9662">
        <f>IFERROR(__xludf.DUMMYFUNCTION("""COMPUTED_VALUE"""),"Halifax, Nova Scotia, Canada; Fredericton, New Brunswick, Canada; St. John's, Newfoundland and Labrador, Canada")</f>
        <v/>
      </c>
      <c r="K9662">
        <f>IFERROR(__xludf.DUMMYFUNCTION("""COMPUTED_VALUE"""),3821.08)</f>
        <v/>
      </c>
    </row>
    <row r="9663">
      <c r="J9663">
        <f>IFERROR(__xludf.DUMMYFUNCTION("""COMPUTED_VALUE"""),"Vancouver-Victoria-Comox-Nanaimo, British Columbia, Canada")</f>
        <v/>
      </c>
      <c r="K9663">
        <f>IFERROR(__xludf.DUMMYFUNCTION("""COMPUTED_VALUE"""),3821.07)</f>
        <v/>
      </c>
    </row>
    <row r="9664">
      <c r="J9664">
        <f>IFERROR(__xludf.DUMMYFUNCTION("""COMPUTED_VALUE"""),"Toronto, Ontario, Canada, and Wiesbaden, Germany")</f>
        <v/>
      </c>
      <c r="K9664">
        <f>IFERROR(__xludf.DUMMYFUNCTION("""COMPUTED_VALUE"""),3820)</f>
        <v/>
      </c>
    </row>
    <row r="9665">
      <c r="J9665">
        <f>IFERROR(__xludf.DUMMYFUNCTION("""COMPUTED_VALUE"""),"Davos (Switzerland)")</f>
        <v/>
      </c>
      <c r="K9665">
        <f>IFERROR(__xludf.DUMMYFUNCTION("""COMPUTED_VALUE"""),3819.52999999999)</f>
        <v/>
      </c>
    </row>
    <row r="9666">
      <c r="J9666">
        <f>IFERROR(__xludf.DUMMYFUNCTION("""COMPUTED_VALUE"""),"Victoria, British Columbia, Canada; Edmonton, Alberta, Canada; Laval, Quebec, Canada; Windsor, Ontario, Canada")</f>
        <v/>
      </c>
      <c r="K9666">
        <f>IFERROR(__xludf.DUMMYFUNCTION("""COMPUTED_VALUE"""),3819.49)</f>
        <v/>
      </c>
    </row>
    <row r="9667">
      <c r="J9667">
        <f>IFERROR(__xludf.DUMMYFUNCTION("""COMPUTED_VALUE"""),"Gaspesie, Quebec; Quebec City, Quebec; Lac Mégantic, Quebec")</f>
        <v/>
      </c>
      <c r="K9667">
        <f>IFERROR(__xludf.DUMMYFUNCTION("""COMPUTED_VALUE"""),3819.39)</f>
        <v/>
      </c>
    </row>
    <row r="9668">
      <c r="J9668">
        <f>IFERROR(__xludf.DUMMYFUNCTION("""COMPUTED_VALUE"""),"Colorado, USA")</f>
        <v/>
      </c>
      <c r="K9668">
        <f>IFERROR(__xludf.DUMMYFUNCTION("""COMPUTED_VALUE"""),3819.38)</f>
        <v/>
      </c>
    </row>
    <row r="9669">
      <c r="J9669">
        <f>IFERROR(__xludf.DUMMYFUNCTION("""COMPUTED_VALUE"""),"Olds, Alberta")</f>
        <v/>
      </c>
      <c r="K9669">
        <f>IFERROR(__xludf.DUMMYFUNCTION("""COMPUTED_VALUE"""),3818.96)</f>
        <v/>
      </c>
    </row>
    <row r="9670">
      <c r="J9670">
        <f>IFERROR(__xludf.DUMMYFUNCTION("""COMPUTED_VALUE"""),"Washington, D.C. / Atlanta, Georgia, United States")</f>
        <v/>
      </c>
      <c r="K9670">
        <f>IFERROR(__xludf.DUMMYFUNCTION("""COMPUTED_VALUE"""),3818.76)</f>
        <v/>
      </c>
    </row>
    <row r="9671">
      <c r="J9671">
        <f>IFERROR(__xludf.DUMMYFUNCTION("""COMPUTED_VALUE"""),"Halifax, Nova Scotia, Canada; Moncton, New Brunswick, Canada; Bathurst, New Brunswick, Canada; St. John's, Newfoundland and Labrador, Canada")</f>
        <v/>
      </c>
      <c r="K9671">
        <f>IFERROR(__xludf.DUMMYFUNCTION("""COMPUTED_VALUE"""),3818.64)</f>
        <v/>
      </c>
    </row>
    <row r="9672">
      <c r="J9672">
        <f>IFERROR(__xludf.DUMMYFUNCTION("""COMPUTED_VALUE"""),"Ottawa, ON - Barrie, ON / Barrie, ON - Charlottetown, PE / Charlottetown, PE - Ottawa, ON")</f>
        <v/>
      </c>
      <c r="K9672">
        <f>IFERROR(__xludf.DUMMYFUNCTION("""COMPUTED_VALUE"""),3817.88)</f>
        <v/>
      </c>
    </row>
    <row r="9673">
      <c r="J9673">
        <f>IFERROR(__xludf.DUMMYFUNCTION("""COMPUTED_VALUE"""),"Halifax, St-Johns, Charlottetown, Montreal, Toronto, Saskatoon, Edmonton, Calgary, Vancouver, Winnipeg")</f>
        <v/>
      </c>
      <c r="K9673">
        <f>IFERROR(__xludf.DUMMYFUNCTION("""COMPUTED_VALUE"""),3817.84)</f>
        <v/>
      </c>
    </row>
    <row r="9674">
      <c r="J9674">
        <f>IFERROR(__xludf.DUMMYFUNCTION("""COMPUTED_VALUE"""),"Saskatoon, Saskatchewan, Canada, Edmonton, Alberta, Canada and Winnipeg, Manitoba, Canada")</f>
        <v/>
      </c>
      <c r="K9674">
        <f>IFERROR(__xludf.DUMMYFUNCTION("""COMPUTED_VALUE"""),3817.38)</f>
        <v/>
      </c>
    </row>
    <row r="9675">
      <c r="J9675">
        <f>IFERROR(__xludf.DUMMYFUNCTION("""COMPUTED_VALUE"""),"Victoria, BC - Toronto, ON - Calgary, AB")</f>
        <v/>
      </c>
      <c r="K9675">
        <f>IFERROR(__xludf.DUMMYFUNCTION("""COMPUTED_VALUE"""),3817.22)</f>
        <v/>
      </c>
    </row>
    <row r="9676">
      <c r="J9676">
        <f>IFERROR(__xludf.DUMMYFUNCTION("""COMPUTED_VALUE"""),"Hailsham, United-Kingdom")</f>
        <v/>
      </c>
      <c r="K9676">
        <f>IFERROR(__xludf.DUMMYFUNCTION("""COMPUTED_VALUE"""),3816.96)</f>
        <v/>
      </c>
    </row>
    <row r="9677">
      <c r="J9677">
        <f>IFERROR(__xludf.DUMMYFUNCTION("""COMPUTED_VALUE"""),"Banff, Alberta, Canada                                                          Calgary, Alberta, Canada")</f>
        <v/>
      </c>
      <c r="K9677">
        <f>IFERROR(__xludf.DUMMYFUNCTION("""COMPUTED_VALUE"""),3816.44)</f>
        <v/>
      </c>
    </row>
    <row r="9678">
      <c r="J9678">
        <f>IFERROR(__xludf.DUMMYFUNCTION("""COMPUTED_VALUE"""),"Fredericton NB, Halifax NS and Sydney NS")</f>
        <v/>
      </c>
      <c r="K9678">
        <f>IFERROR(__xludf.DUMMYFUNCTION("""COMPUTED_VALUE"""),3816.19)</f>
        <v/>
      </c>
    </row>
    <row r="9679">
      <c r="J9679">
        <f>IFERROR(__xludf.DUMMYFUNCTION("""COMPUTED_VALUE"""),"Charlottesville (Virginia) +Washington, District of Columbia, USA")</f>
        <v/>
      </c>
      <c r="K9679">
        <f>IFERROR(__xludf.DUMMYFUNCTION("""COMPUTED_VALUE"""),3815.84)</f>
        <v/>
      </c>
    </row>
    <row r="9680">
      <c r="J9680">
        <f>IFERROR(__xludf.DUMMYFUNCTION("""COMPUTED_VALUE"""),"Ottawa (Ontario) Canada
Winnipeg (Manitoba) Canada
Regina (Saskatchewan) Canada")</f>
        <v/>
      </c>
      <c r="K9680">
        <f>IFERROR(__xludf.DUMMYFUNCTION("""COMPUTED_VALUE"""),3815.3)</f>
        <v/>
      </c>
    </row>
    <row r="9681">
      <c r="J9681">
        <f>IFERROR(__xludf.DUMMYFUNCTION("""COMPUTED_VALUE"""),"Charlottetown, Prince Edward Island, Canada
Halifax, Nova Scotia, Canada")</f>
        <v/>
      </c>
      <c r="K9681">
        <f>IFERROR(__xludf.DUMMYFUNCTION("""COMPUTED_VALUE"""),3815.02999999999)</f>
        <v/>
      </c>
    </row>
    <row r="9682">
      <c r="J9682">
        <f>IFERROR(__xludf.DUMMYFUNCTION("""COMPUTED_VALUE"""),"Victoria, British Columbia, Canada; Saanich, British Columbia, Canada; Toronto, Ontario, Canada")</f>
        <v/>
      </c>
      <c r="K9682">
        <f>IFERROR(__xludf.DUMMYFUNCTION("""COMPUTED_VALUE"""),3814.88)</f>
        <v/>
      </c>
    </row>
    <row r="9683">
      <c r="J9683">
        <f>IFERROR(__xludf.DUMMYFUNCTION("""COMPUTED_VALUE"""),"Sudbury, Ontario, Canada; Sault Ste. Marie, Ontario, Canada")</f>
        <v/>
      </c>
      <c r="K9683">
        <f>IFERROR(__xludf.DUMMYFUNCTION("""COMPUTED_VALUE"""),3814)</f>
        <v/>
      </c>
    </row>
    <row r="9684">
      <c r="J9684">
        <f>IFERROR(__xludf.DUMMYFUNCTION("""COMPUTED_VALUE"""),"Kelowna, British Columbia, Canada / Vancouver, British Columbia, Canada / Edmonton, Alberta, Canada / Winnipeg, Manitoba, Canada")</f>
        <v/>
      </c>
      <c r="K9684">
        <f>IFERROR(__xludf.DUMMYFUNCTION("""COMPUTED_VALUE"""),3812.69)</f>
        <v/>
      </c>
    </row>
    <row r="9685">
      <c r="J9685">
        <f>IFERROR(__xludf.DUMMYFUNCTION("""COMPUTED_VALUE"""),"Toronto, Ontario, Canada; Vancouver, British Columbia")</f>
        <v/>
      </c>
      <c r="K9685">
        <f>IFERROR(__xludf.DUMMYFUNCTION("""COMPUTED_VALUE"""),3812.68)</f>
        <v/>
      </c>
    </row>
    <row r="9686">
      <c r="J9686">
        <f>IFERROR(__xludf.DUMMYFUNCTION("""COMPUTED_VALUE"""),"Ottawa,Calgary , Canada")</f>
        <v/>
      </c>
      <c r="K9686">
        <f>IFERROR(__xludf.DUMMYFUNCTION("""COMPUTED_VALUE"""),3812.61)</f>
        <v/>
      </c>
    </row>
    <row r="9687">
      <c r="J9687">
        <f>IFERROR(__xludf.DUMMYFUNCTION("""COMPUTED_VALUE"""),"Quebec City; Winnipeg; Ottawa")</f>
        <v/>
      </c>
      <c r="K9687">
        <f>IFERROR(__xludf.DUMMYFUNCTION("""COMPUTED_VALUE"""),3812.4)</f>
        <v/>
      </c>
    </row>
    <row r="9688">
      <c r="J9688">
        <f>IFERROR(__xludf.DUMMYFUNCTION("""COMPUTED_VALUE"""),"Vancouver, British Columbia, Canada; Victoria, British Columbia, Canada; Edmonton, Alberta, Canada; Winnipeg, Manitoba, Canada")</f>
        <v/>
      </c>
      <c r="K9688">
        <f>IFERROR(__xludf.DUMMYFUNCTION("""COMPUTED_VALUE"""),3812.29)</f>
        <v/>
      </c>
    </row>
    <row r="9689">
      <c r="J9689">
        <f>IFERROR(__xludf.DUMMYFUNCTION("""COMPUTED_VALUE"""),"Toronto, Ontario, Canada; Saint John, New Brunswick, Canada")</f>
        <v/>
      </c>
      <c r="K9689">
        <f>IFERROR(__xludf.DUMMYFUNCTION("""COMPUTED_VALUE"""),3812.24)</f>
        <v/>
      </c>
    </row>
    <row r="9690">
      <c r="J9690">
        <f>IFERROR(__xludf.DUMMYFUNCTION("""COMPUTED_VALUE"""),"St John's, Newfoundland and Labrador, Canada/ Saskatoon, Saskatchewan, Canada/Meadow Lake, Saskatchewan, Canada/ Regina, Saskatchewan, Canada")</f>
        <v/>
      </c>
      <c r="K9690">
        <f>IFERROR(__xludf.DUMMYFUNCTION("""COMPUTED_VALUE"""),3811.57)</f>
        <v/>
      </c>
    </row>
    <row r="9691">
      <c r="J9691">
        <f>IFERROR(__xludf.DUMMYFUNCTION("""COMPUTED_VALUE"""),"Edmonton, Alberta, Canada; Kelowna, British Columbia, Canada; Vernon, British Columbia, Canada; Winnipeg, Manitoba, Canada")</f>
        <v/>
      </c>
      <c r="K9691">
        <f>IFERROR(__xludf.DUMMYFUNCTION("""COMPUTED_VALUE"""),3811.37)</f>
        <v/>
      </c>
    </row>
    <row r="9692">
      <c r="J9692">
        <f>IFERROR(__xludf.DUMMYFUNCTION("""COMPUTED_VALUE"""),"Calgary, Alberta, Canada; Vancouver, British Columbia, Canada; Toronto, Ontario, Canada")</f>
        <v/>
      </c>
      <c r="K9692">
        <f>IFERROR(__xludf.DUMMYFUNCTION("""COMPUTED_VALUE"""),3810.45)</f>
        <v/>
      </c>
    </row>
    <row r="9693">
      <c r="J9693">
        <f>IFERROR(__xludf.DUMMYFUNCTION("""COMPUTED_VALUE"""),"Calgary (AB) Canada")</f>
        <v/>
      </c>
      <c r="K9693">
        <f>IFERROR(__xludf.DUMMYFUNCTION("""COMPUTED_VALUE"""),3809.89)</f>
        <v/>
      </c>
    </row>
    <row r="9694">
      <c r="J9694">
        <f>IFERROR(__xludf.DUMMYFUNCTION("""COMPUTED_VALUE"""),"Vancouver, British Columbia, Canada; Calgary, Alberta, Canada")</f>
        <v/>
      </c>
      <c r="K9694">
        <f>IFERROR(__xludf.DUMMYFUNCTION("""COMPUTED_VALUE"""),3809.85)</f>
        <v/>
      </c>
    </row>
    <row r="9695">
      <c r="J9695">
        <f>IFERROR(__xludf.DUMMYFUNCTION("""COMPUTED_VALUE"""),"Charlottetown, Prince Edward Island / Moncton, New Brunswick / Calgary, Alberta, Canada")</f>
        <v/>
      </c>
      <c r="K9695">
        <f>IFERROR(__xludf.DUMMYFUNCTION("""COMPUTED_VALUE"""),3809.49)</f>
        <v/>
      </c>
    </row>
    <row r="9696">
      <c r="J9696">
        <f>IFERROR(__xludf.DUMMYFUNCTION("""COMPUTED_VALUE"""),"Donnacona, Quebec, Canada")</f>
        <v/>
      </c>
      <c r="K9696">
        <f>IFERROR(__xludf.DUMMYFUNCTION("""COMPUTED_VALUE"""),3808.87)</f>
        <v/>
      </c>
    </row>
    <row r="9697">
      <c r="J9697">
        <f>IFERROR(__xludf.DUMMYFUNCTION("""COMPUTED_VALUE"""),"Edmonton - Calgary, AB - Whitehorse, YT")</f>
        <v/>
      </c>
      <c r="K9697">
        <f>IFERROR(__xludf.DUMMYFUNCTION("""COMPUTED_VALUE"""),3808.82)</f>
        <v/>
      </c>
    </row>
    <row r="9698">
      <c r="J9698">
        <f>IFERROR(__xludf.DUMMYFUNCTION("""COMPUTED_VALUE"""),"Charlottetown, Prince Edward Island, Canada Sydney, Nova Scotia, Canada")</f>
        <v/>
      </c>
      <c r="K9698">
        <f>IFERROR(__xludf.DUMMYFUNCTION("""COMPUTED_VALUE"""),3808.26)</f>
        <v/>
      </c>
    </row>
    <row r="9699">
      <c r="J9699">
        <f>IFERROR(__xludf.DUMMYFUNCTION("""COMPUTED_VALUE"""),"Regina, Saskatchewan; Saskatoon, Saskatchewan; St. John's, Newfoundland and Labrador")</f>
        <v/>
      </c>
      <c r="K9699">
        <f>IFERROR(__xludf.DUMMYFUNCTION("""COMPUTED_VALUE"""),3807.26)</f>
        <v/>
      </c>
    </row>
    <row r="9700">
      <c r="J9700">
        <f>IFERROR(__xludf.DUMMYFUNCTION("""COMPUTED_VALUE"""),"Bathurst")</f>
        <v/>
      </c>
      <c r="K9700">
        <f>IFERROR(__xludf.DUMMYFUNCTION("""COMPUTED_VALUE"""),3807.05)</f>
        <v/>
      </c>
    </row>
    <row r="9701">
      <c r="J9701">
        <f>IFERROR(__xludf.DUMMYFUNCTION("""COMPUTED_VALUE"""),"St. John's, Halifax, Canada")</f>
        <v/>
      </c>
      <c r="K9701">
        <f>IFERROR(__xludf.DUMMYFUNCTION("""COMPUTED_VALUE"""),3805.61)</f>
        <v/>
      </c>
    </row>
    <row r="9702">
      <c r="J9702">
        <f>IFERROR(__xludf.DUMMYFUNCTION("""COMPUTED_VALUE"""),"Calgary (Alberta) Canada; Lethbridge (Alberta) Canada; Beaverlodge (Alberta) Canada; Lacombe (Alberta) Canada")</f>
        <v/>
      </c>
      <c r="K9702">
        <f>IFERROR(__xludf.DUMMYFUNCTION("""COMPUTED_VALUE"""),3804.76)</f>
        <v/>
      </c>
    </row>
    <row r="9703">
      <c r="J9703">
        <f>IFERROR(__xludf.DUMMYFUNCTION("""COMPUTED_VALUE"""),"Cincinnati, Ohio &amp; Lexington, Kentucky")</f>
        <v/>
      </c>
      <c r="K9703">
        <f>IFERROR(__xludf.DUMMYFUNCTION("""COMPUTED_VALUE"""),3804.3)</f>
        <v/>
      </c>
    </row>
    <row r="9704">
      <c r="J9704">
        <f>IFERROR(__xludf.DUMMYFUNCTION("""COMPUTED_VALUE"""),"Almaty, Kazakhstan")</f>
        <v/>
      </c>
      <c r="K9704">
        <f>IFERROR(__xludf.DUMMYFUNCTION("""COMPUTED_VALUE"""),3803.39)</f>
        <v/>
      </c>
    </row>
    <row r="9705">
      <c r="J9705">
        <f>IFERROR(__xludf.DUMMYFUNCTION("""COMPUTED_VALUE"""),"Saskatoon, Saskatchewan, Canada; Edmonton, Alberta, Canada; Calgary, Alberta, Canada")</f>
        <v/>
      </c>
      <c r="K9705">
        <f>IFERROR(__xludf.DUMMYFUNCTION("""COMPUTED_VALUE"""),3803.04)</f>
        <v/>
      </c>
    </row>
    <row r="9706">
      <c r="J9706">
        <f>IFERROR(__xludf.DUMMYFUNCTION("""COMPUTED_VALUE"""),"Calgary/Edmonton, Canada")</f>
        <v/>
      </c>
      <c r="K9706">
        <f>IFERROR(__xludf.DUMMYFUNCTION("""COMPUTED_VALUE"""),3802.74)</f>
        <v/>
      </c>
    </row>
    <row r="9707">
      <c r="J9707">
        <f>IFERROR(__xludf.DUMMYFUNCTION("""COMPUTED_VALUE"""),"Vancouver, British Columbia –  Mount Revelstoke, British Columbia")</f>
        <v/>
      </c>
      <c r="K9707">
        <f>IFERROR(__xludf.DUMMYFUNCTION("""COMPUTED_VALUE"""),3801.57)</f>
        <v/>
      </c>
    </row>
    <row r="9708">
      <c r="J9708">
        <f>IFERROR(__xludf.DUMMYFUNCTION("""COMPUTED_VALUE"""),"Regina and Saskatoon, SK")</f>
        <v/>
      </c>
      <c r="K9708">
        <f>IFERROR(__xludf.DUMMYFUNCTION("""COMPUTED_VALUE"""),3801.36)</f>
        <v/>
      </c>
    </row>
    <row r="9709">
      <c r="J9709">
        <f>IFERROR(__xludf.DUMMYFUNCTION("""COMPUTED_VALUE"""),"Wainwright, Winnipeg, Toronto")</f>
        <v/>
      </c>
      <c r="K9709">
        <f>IFERROR(__xludf.DUMMYFUNCTION("""COMPUTED_VALUE"""),3801.07)</f>
        <v/>
      </c>
    </row>
    <row r="9710">
      <c r="J9710">
        <f>IFERROR(__xludf.DUMMYFUNCTION("""COMPUTED_VALUE"""),"Vancouver/Montreal/Halifax")</f>
        <v/>
      </c>
      <c r="K9710">
        <f>IFERROR(__xludf.DUMMYFUNCTION("""COMPUTED_VALUE"""),3800.65)</f>
        <v/>
      </c>
    </row>
    <row r="9711">
      <c r="J9711">
        <f>IFERROR(__xludf.DUMMYFUNCTION("""COMPUTED_VALUE"""),"Vancouver, British Columbia, Canada
Calgary, Alberta, Canada")</f>
        <v/>
      </c>
      <c r="K9711">
        <f>IFERROR(__xludf.DUMMYFUNCTION("""COMPUTED_VALUE"""),3800.35)</f>
        <v/>
      </c>
    </row>
    <row r="9712">
      <c r="J9712">
        <f>IFERROR(__xludf.DUMMYFUNCTION("""COMPUTED_VALUE"""),"Vancouver/Calgary/ Winnipeg/Ottawa/  Vancouver")</f>
        <v/>
      </c>
      <c r="K9712">
        <f>IFERROR(__xludf.DUMMYFUNCTION("""COMPUTED_VALUE"""),3800.1)</f>
        <v/>
      </c>
    </row>
    <row r="9713">
      <c r="J9713">
        <f>IFERROR(__xludf.DUMMYFUNCTION("""COMPUTED_VALUE"""),"Atlanta, Goergia, United States")</f>
        <v/>
      </c>
      <c r="K9713">
        <f>IFERROR(__xludf.DUMMYFUNCTION("""COMPUTED_VALUE"""),3799.17)</f>
        <v/>
      </c>
    </row>
    <row r="9714">
      <c r="J9714">
        <f>IFERROR(__xludf.DUMMYFUNCTION("""COMPUTED_VALUE"""),"Virginia, USA")</f>
        <v/>
      </c>
      <c r="K9714">
        <f>IFERROR(__xludf.DUMMYFUNCTION("""COMPUTED_VALUE"""),3798.55)</f>
        <v/>
      </c>
    </row>
    <row r="9715">
      <c r="J9715">
        <f>IFERROR(__xludf.DUMMYFUNCTION("""COMPUTED_VALUE"""),"Québec, Québec, Charlottetown, Prince Edward Island,  St Johns , Newfoundland and Halifax, Nova Scotia")</f>
        <v/>
      </c>
      <c r="K9715">
        <f>IFERROR(__xludf.DUMMYFUNCTION("""COMPUTED_VALUE"""),3797.87)</f>
        <v/>
      </c>
    </row>
    <row r="9716">
      <c r="J9716">
        <f>IFERROR(__xludf.DUMMYFUNCTION("""COMPUTED_VALUE"""),"Waterloo, Ontario, Canada / Toronto, Ontario, Canada")</f>
        <v/>
      </c>
      <c r="K9716">
        <f>IFERROR(__xludf.DUMMYFUNCTION("""COMPUTED_VALUE"""),3797.2)</f>
        <v/>
      </c>
    </row>
    <row r="9717">
      <c r="J9717">
        <f>IFERROR(__xludf.DUMMYFUNCTION("""COMPUTED_VALUE"""),"Victoria/Vancouver/Terrace/Kelowna, British Columbia")</f>
        <v/>
      </c>
      <c r="K9717">
        <f>IFERROR(__xludf.DUMMYFUNCTION("""COMPUTED_VALUE"""),3796.8)</f>
        <v/>
      </c>
    </row>
    <row r="9718">
      <c r="J9718">
        <f>IFERROR(__xludf.DUMMYFUNCTION("""COMPUTED_VALUE"""),"Iowa, Detroit")</f>
        <v/>
      </c>
      <c r="K9718">
        <f>IFERROR(__xludf.DUMMYFUNCTION("""COMPUTED_VALUE"""),3795.47)</f>
        <v/>
      </c>
    </row>
    <row r="9719">
      <c r="J9719">
        <f>IFERROR(__xludf.DUMMYFUNCTION("""COMPUTED_VALUE"""),"Vancouver and Victoria, British-Columbia")</f>
        <v/>
      </c>
      <c r="K9719">
        <f>IFERROR(__xludf.DUMMYFUNCTION("""COMPUTED_VALUE"""),3795.21)</f>
        <v/>
      </c>
    </row>
    <row r="9720">
      <c r="J9720">
        <f>IFERROR(__xludf.DUMMYFUNCTION("""COMPUTED_VALUE"""),"Kingston, Ottawa, Ontario, Canada")</f>
        <v/>
      </c>
      <c r="K9720">
        <f>IFERROR(__xludf.DUMMYFUNCTION("""COMPUTED_VALUE"""),3793.15)</f>
        <v/>
      </c>
    </row>
    <row r="9721">
      <c r="J9721">
        <f>IFERROR(__xludf.DUMMYFUNCTION("""COMPUTED_VALUE"""),"Edmonton/Vancouver, AB")</f>
        <v/>
      </c>
      <c r="K9721">
        <f>IFERROR(__xludf.DUMMYFUNCTION("""COMPUTED_VALUE"""),3792.97)</f>
        <v/>
      </c>
    </row>
    <row r="9722">
      <c r="J9722">
        <f>IFERROR(__xludf.DUMMYFUNCTION("""COMPUTED_VALUE"""),"Ottawa, Ontario; Quebec, Quebec and Summerside, Prince Edward Island")</f>
        <v/>
      </c>
      <c r="K9722">
        <f>IFERROR(__xludf.DUMMYFUNCTION("""COMPUTED_VALUE"""),3792.97)</f>
        <v/>
      </c>
    </row>
    <row r="9723">
      <c r="J9723">
        <f>IFERROR(__xludf.DUMMYFUNCTION("""COMPUTED_VALUE"""),"Victoria, BC/Vanvouer, BC")</f>
        <v/>
      </c>
      <c r="K9723">
        <f>IFERROR(__xludf.DUMMYFUNCTION("""COMPUTED_VALUE"""),3792.16)</f>
        <v/>
      </c>
    </row>
    <row r="9724">
      <c r="J9724">
        <f>IFERROR(__xludf.DUMMYFUNCTION("""COMPUTED_VALUE"""),"Washington, DC / New Orleans, United States")</f>
        <v/>
      </c>
      <c r="K9724">
        <f>IFERROR(__xludf.DUMMYFUNCTION("""COMPUTED_VALUE"""),3791.6)</f>
        <v/>
      </c>
    </row>
    <row r="9725">
      <c r="J9725">
        <f>IFERROR(__xludf.DUMMYFUNCTION("""COMPUTED_VALUE"""),"Paris de Gaulle")</f>
        <v/>
      </c>
      <c r="K9725">
        <f>IFERROR(__xludf.DUMMYFUNCTION("""COMPUTED_VALUE"""),3791.3)</f>
        <v/>
      </c>
    </row>
    <row r="9726">
      <c r="J9726">
        <f>IFERROR(__xludf.DUMMYFUNCTION("""COMPUTED_VALUE"""),"Barrie, Ontario")</f>
        <v/>
      </c>
      <c r="K9726">
        <f>IFERROR(__xludf.DUMMYFUNCTION("""COMPUTED_VALUE"""),3791.21)</f>
        <v/>
      </c>
    </row>
    <row r="9727">
      <c r="J9727">
        <f>IFERROR(__xludf.DUMMYFUNCTION("""COMPUTED_VALUE"""),"Mont-Joli, QC")</f>
        <v/>
      </c>
      <c r="K9727">
        <f>IFERROR(__xludf.DUMMYFUNCTION("""COMPUTED_VALUE"""),3790.5)</f>
        <v/>
      </c>
    </row>
    <row r="9728">
      <c r="J9728">
        <f>IFERROR(__xludf.DUMMYFUNCTION("""COMPUTED_VALUE"""),"LONDON, ON")</f>
        <v/>
      </c>
      <c r="K9728">
        <f>IFERROR(__xludf.DUMMYFUNCTION("""COMPUTED_VALUE"""),3790.24)</f>
        <v/>
      </c>
    </row>
    <row r="9729">
      <c r="J9729">
        <f>IFERROR(__xludf.DUMMYFUNCTION("""COMPUTED_VALUE"""),"Toronto, Vancouver, Winnipeg and Edmonton")</f>
        <v/>
      </c>
      <c r="K9729">
        <f>IFERROR(__xludf.DUMMYFUNCTION("""COMPUTED_VALUE"""),3789.54)</f>
        <v/>
      </c>
    </row>
    <row r="9730">
      <c r="J9730">
        <f>IFERROR(__xludf.DUMMYFUNCTION("""COMPUTED_VALUE"""),"Saskatoon, SK; Regina, SK")</f>
        <v/>
      </c>
      <c r="K9730">
        <f>IFERROR(__xludf.DUMMYFUNCTION("""COMPUTED_VALUE"""),3789)</f>
        <v/>
      </c>
    </row>
    <row r="9731">
      <c r="J9731">
        <f>IFERROR(__xludf.DUMMYFUNCTION("""COMPUTED_VALUE"""),"Gatineau, Quebec, Canada; London, Ontario, Canada")</f>
        <v/>
      </c>
      <c r="K9731">
        <f>IFERROR(__xludf.DUMMYFUNCTION("""COMPUTED_VALUE"""),3788.87)</f>
        <v/>
      </c>
    </row>
    <row r="9732">
      <c r="J9732">
        <f>IFERROR(__xludf.DUMMYFUNCTION("""COMPUTED_VALUE"""),"Edmonton, AB, Toronto, ON, Victoria, BC, Calgary, AB")</f>
        <v/>
      </c>
      <c r="K9732">
        <f>IFERROR(__xludf.DUMMYFUNCTION("""COMPUTED_VALUE"""),3788.77)</f>
        <v/>
      </c>
    </row>
    <row r="9733">
      <c r="J9733">
        <f>IFERROR(__xludf.DUMMYFUNCTION("""COMPUTED_VALUE"""),"Bathurst, NB")</f>
        <v/>
      </c>
      <c r="K9733">
        <f>IFERROR(__xludf.DUMMYFUNCTION("""COMPUTED_VALUE"""),3788.64)</f>
        <v/>
      </c>
    </row>
    <row r="9734">
      <c r="J9734">
        <f>IFERROR(__xludf.DUMMYFUNCTION("""COMPUTED_VALUE"""),"Selfoss and Rekjavik, Iceland")</f>
        <v/>
      </c>
      <c r="K9734">
        <f>IFERROR(__xludf.DUMMYFUNCTION("""COMPUTED_VALUE"""),3787.03)</f>
        <v/>
      </c>
    </row>
    <row r="9735">
      <c r="J9735">
        <f>IFERROR(__xludf.DUMMYFUNCTION("""COMPUTED_VALUE"""),"Goose Bay, Canada")</f>
        <v/>
      </c>
      <c r="K9735">
        <f>IFERROR(__xludf.DUMMYFUNCTION("""COMPUTED_VALUE"""),3786.1)</f>
        <v/>
      </c>
    </row>
    <row r="9736">
      <c r="J9736">
        <f>IFERROR(__xludf.DUMMYFUNCTION("""COMPUTED_VALUE"""),"St. John's, Canada")</f>
        <v/>
      </c>
      <c r="K9736">
        <f>IFERROR(__xludf.DUMMYFUNCTION("""COMPUTED_VALUE"""),3784.98)</f>
        <v/>
      </c>
    </row>
    <row r="9737">
      <c r="J9737">
        <f>IFERROR(__xludf.DUMMYFUNCTION("""COMPUTED_VALUE"""),"Washington D.C., USA - Winnipeg, MB")</f>
        <v/>
      </c>
      <c r="K9737">
        <f>IFERROR(__xludf.DUMMYFUNCTION("""COMPUTED_VALUE"""),3784.84)</f>
        <v/>
      </c>
    </row>
    <row r="9738">
      <c r="J9738">
        <f>IFERROR(__xludf.DUMMYFUNCTION("""COMPUTED_VALUE"""),"Dartmouth, Nova-Scotia, Canada")</f>
        <v/>
      </c>
      <c r="K9738">
        <f>IFERROR(__xludf.DUMMYFUNCTION("""COMPUTED_VALUE"""),3784.45)</f>
        <v/>
      </c>
    </row>
    <row r="9739">
      <c r="J9739">
        <f>IFERROR(__xludf.DUMMYFUNCTION("""COMPUTED_VALUE"""),"Moncton, (New Brunswick) Halifax, (Nova Scotia)")</f>
        <v/>
      </c>
      <c r="K9739">
        <f>IFERROR(__xludf.DUMMYFUNCTION("""COMPUTED_VALUE"""),3783.22)</f>
        <v/>
      </c>
    </row>
    <row r="9740">
      <c r="J9740">
        <f>IFERROR(__xludf.DUMMYFUNCTION("""COMPUTED_VALUE"""),"Calgary, Alberta, Canada; Toronto, Ontario, Canada; St-John's, Newfoundland and Labrador, Canada and Halifax, Nova Scotia, Canada")</f>
        <v/>
      </c>
      <c r="K9740">
        <f>IFERROR(__xludf.DUMMYFUNCTION("""COMPUTED_VALUE"""),3782.57)</f>
        <v/>
      </c>
    </row>
    <row r="9741">
      <c r="J9741">
        <f>IFERROR(__xludf.DUMMYFUNCTION("""COMPUTED_VALUE"""),"Winnipeg, Manitoba, Canada; North Bay, Ontario, Canada; Little Current, Ontario, Canada; Sault Ste. Marie, Ontario, Canada")</f>
        <v/>
      </c>
      <c r="K9741">
        <f>IFERROR(__xludf.DUMMYFUNCTION("""COMPUTED_VALUE"""),3780.26)</f>
        <v/>
      </c>
    </row>
    <row r="9742">
      <c r="J9742">
        <f>IFERROR(__xludf.DUMMYFUNCTION("""COMPUTED_VALUE"""),"Dallas and Washington")</f>
        <v/>
      </c>
      <c r="K9742">
        <f>IFERROR(__xludf.DUMMYFUNCTION("""COMPUTED_VALUE"""),3779.75)</f>
        <v/>
      </c>
    </row>
    <row r="9743">
      <c r="J9743">
        <f>IFERROR(__xludf.DUMMYFUNCTION("""COMPUTED_VALUE"""),"St-John's, Newfoundland and Labrador, Canada and Sydney, Nova Scotia, Canada")</f>
        <v/>
      </c>
      <c r="K9743">
        <f>IFERROR(__xludf.DUMMYFUNCTION("""COMPUTED_VALUE"""),3779.62)</f>
        <v/>
      </c>
    </row>
    <row r="9744">
      <c r="J9744">
        <f>IFERROR(__xludf.DUMMYFUNCTION("""COMPUTED_VALUE"""),"Orange County, United States")</f>
        <v/>
      </c>
      <c r="K9744">
        <f>IFERROR(__xludf.DUMMYFUNCTION("""COMPUTED_VALUE"""),3778.99)</f>
        <v/>
      </c>
    </row>
    <row r="9745">
      <c r="J9745">
        <f>IFERROR(__xludf.DUMMYFUNCTION("""COMPUTED_VALUE"""),"Winnipeg (Manitoba), Gatineau (Quebec), Toronto (Ontario)")</f>
        <v/>
      </c>
      <c r="K9745">
        <f>IFERROR(__xludf.DUMMYFUNCTION("""COMPUTED_VALUE"""),3778.4)</f>
        <v/>
      </c>
    </row>
    <row r="9746">
      <c r="J9746">
        <f>IFERROR(__xludf.DUMMYFUNCTION("""COMPUTED_VALUE"""),"Brantford, Ontario, Canada; Waterloo, Ontario, Canada; London, Ontario, Canada; Windsor, Ontario, Canada")</f>
        <v/>
      </c>
      <c r="K9746">
        <f>IFERROR(__xludf.DUMMYFUNCTION("""COMPUTED_VALUE"""),3778.02)</f>
        <v/>
      </c>
    </row>
    <row r="9747">
      <c r="J9747">
        <f>IFERROR(__xludf.DUMMYFUNCTION("""COMPUTED_VALUE"""),"St-Sauveur, Quebec")</f>
        <v/>
      </c>
      <c r="K9747">
        <f>IFERROR(__xludf.DUMMYFUNCTION("""COMPUTED_VALUE"""),3777.4)</f>
        <v/>
      </c>
    </row>
    <row r="9748">
      <c r="J9748">
        <f>IFERROR(__xludf.DUMMYFUNCTION("""COMPUTED_VALUE"""),"Vancouver, BC and Comox, BC")</f>
        <v/>
      </c>
      <c r="K9748">
        <f>IFERROR(__xludf.DUMMYFUNCTION("""COMPUTED_VALUE"""),3776.43)</f>
        <v/>
      </c>
    </row>
    <row r="9749">
      <c r="J9749">
        <f>IFERROR(__xludf.DUMMYFUNCTION("""COMPUTED_VALUE"""),"Montreal, Quebec, Canada
Charlettetown, Prince Edward Island, Canada")</f>
        <v/>
      </c>
      <c r="K9749">
        <f>IFERROR(__xludf.DUMMYFUNCTION("""COMPUTED_VALUE"""),3775.9)</f>
        <v/>
      </c>
    </row>
    <row r="9750">
      <c r="J9750">
        <f>IFERROR(__xludf.DUMMYFUNCTION("""COMPUTED_VALUE"""),"Caen, France")</f>
        <v/>
      </c>
      <c r="K9750">
        <f>IFERROR(__xludf.DUMMYFUNCTION("""COMPUTED_VALUE"""),3775.14)</f>
        <v/>
      </c>
    </row>
    <row r="9751">
      <c r="J9751">
        <f>IFERROR(__xludf.DUMMYFUNCTION("""COMPUTED_VALUE"""),"New York City ( New York)")</f>
        <v/>
      </c>
      <c r="K9751">
        <f>IFERROR(__xludf.DUMMYFUNCTION("""COMPUTED_VALUE"""),3775.14)</f>
        <v/>
      </c>
    </row>
    <row r="9752">
      <c r="J9752">
        <f>IFERROR(__xludf.DUMMYFUNCTION("""COMPUTED_VALUE"""),"Colorado Springs and Washington, DC (USA)")</f>
        <v/>
      </c>
      <c r="K9752">
        <f>IFERROR(__xludf.DUMMYFUNCTION("""COMPUTED_VALUE"""),3775)</f>
        <v/>
      </c>
    </row>
    <row r="9753">
      <c r="J9753">
        <f>IFERROR(__xludf.DUMMYFUNCTION("""COMPUTED_VALUE"""),"London, United Kingdom; Riga, Latvia; Berlin, Germany; Warsaw, Poland")</f>
        <v/>
      </c>
      <c r="K9753">
        <f>IFERROR(__xludf.DUMMYFUNCTION("""COMPUTED_VALUE"""),3774.98)</f>
        <v/>
      </c>
    </row>
    <row r="9754">
      <c r="J9754">
        <f>IFERROR(__xludf.DUMMYFUNCTION("""COMPUTED_VALUE"""),"Quebec, Québec, Canada")</f>
        <v/>
      </c>
      <c r="K9754">
        <f>IFERROR(__xludf.DUMMYFUNCTION("""COMPUTED_VALUE"""),3774.64)</f>
        <v/>
      </c>
    </row>
    <row r="9755">
      <c r="J9755">
        <f>IFERROR(__xludf.DUMMYFUNCTION("""COMPUTED_VALUE"""),"Ottawa (Ontario) Canada, Trenton (Ontario), Keflavik(Iceland), Bucharest (Romania), Constanta (Romania), Lossiemouth (United Kingdom), Prestwick (United Kingdom), Iqaluit (Nunavut)")</f>
        <v/>
      </c>
      <c r="K9755">
        <f>IFERROR(__xludf.DUMMYFUNCTION("""COMPUTED_VALUE"""),3774.53)</f>
        <v/>
      </c>
    </row>
    <row r="9756">
      <c r="J9756">
        <f>IFERROR(__xludf.DUMMYFUNCTION("""COMPUTED_VALUE"""),"Kelowna &amp; Nanaimo, British Columbia")</f>
        <v/>
      </c>
      <c r="K9756">
        <f>IFERROR(__xludf.DUMMYFUNCTION("""COMPUTED_VALUE"""),3774.43)</f>
        <v/>
      </c>
    </row>
    <row r="9757">
      <c r="J9757">
        <f>IFERROR(__xludf.DUMMYFUNCTION("""COMPUTED_VALUE"""),"New York, United States; Toronto, Ontario, Canada; Montreal, Quebec, Canada")</f>
        <v/>
      </c>
      <c r="K9757">
        <f>IFERROR(__xludf.DUMMYFUNCTION("""COMPUTED_VALUE"""),3774.4)</f>
        <v/>
      </c>
    </row>
    <row r="9758">
      <c r="J9758">
        <f>IFERROR(__xludf.DUMMYFUNCTION("""COMPUTED_VALUE"""),"Calgary AB, Prince George BC, Vancouver BC, Yellowknife NWT")</f>
        <v/>
      </c>
      <c r="K9758">
        <f>IFERROR(__xludf.DUMMYFUNCTION("""COMPUTED_VALUE"""),3772.85)</f>
        <v/>
      </c>
    </row>
    <row r="9759">
      <c r="J9759">
        <f>IFERROR(__xludf.DUMMYFUNCTION("""COMPUTED_VALUE"""),"Quebec City and Mont-Joli, Quebec")</f>
        <v/>
      </c>
      <c r="K9759">
        <f>IFERROR(__xludf.DUMMYFUNCTION("""COMPUTED_VALUE"""),3772.34)</f>
        <v/>
      </c>
    </row>
    <row r="9760">
      <c r="J9760">
        <f>IFERROR(__xludf.DUMMYFUNCTION("""COMPUTED_VALUE"""),"Calgary, AB         Edmonton, AB         Victoria, BC  Vancouver, BC  Richmond, BC")</f>
        <v/>
      </c>
      <c r="K9760">
        <f>IFERROR(__xludf.DUMMYFUNCTION("""COMPUTED_VALUE"""),3772.08)</f>
        <v/>
      </c>
    </row>
    <row r="9761">
      <c r="J9761">
        <f>IFERROR(__xludf.DUMMYFUNCTION("""COMPUTED_VALUE"""),"Sitka, United States")</f>
        <v/>
      </c>
      <c r="K9761">
        <f>IFERROR(__xludf.DUMMYFUNCTION("""COMPUTED_VALUE"""),3771.55)</f>
        <v/>
      </c>
    </row>
    <row r="9762">
      <c r="J9762">
        <f>IFERROR(__xludf.DUMMYFUNCTION("""COMPUTED_VALUE"""),"Rankin Inlet, Nunavut, Canada; Baker Lake, Nunavut, Canada")</f>
        <v/>
      </c>
      <c r="K9762">
        <f>IFERROR(__xludf.DUMMYFUNCTION("""COMPUTED_VALUE"""),3771.4)</f>
        <v/>
      </c>
    </row>
    <row r="9763">
      <c r="J9763">
        <f>IFERROR(__xludf.DUMMYFUNCTION("""COMPUTED_VALUE"""),"Bridgetown")</f>
        <v/>
      </c>
      <c r="K9763">
        <f>IFERROR(__xludf.DUMMYFUNCTION("""COMPUTED_VALUE"""),3771.09)</f>
        <v/>
      </c>
    </row>
    <row r="9764">
      <c r="J9764">
        <f>IFERROR(__xludf.DUMMYFUNCTION("""COMPUTED_VALUE"""),"Edmonton, AB and Toronto, ON")</f>
        <v/>
      </c>
      <c r="K9764">
        <f>IFERROR(__xludf.DUMMYFUNCTION("""COMPUTED_VALUE"""),3771.01)</f>
        <v/>
      </c>
    </row>
    <row r="9765">
      <c r="J9765">
        <f>IFERROR(__xludf.DUMMYFUNCTION("""COMPUTED_VALUE"""),"Toronto, ON - Calgary, AB")</f>
        <v/>
      </c>
      <c r="K9765">
        <f>IFERROR(__xludf.DUMMYFUNCTION("""COMPUTED_VALUE"""),3769.93)</f>
        <v/>
      </c>
    </row>
    <row r="9766">
      <c r="J9766">
        <f>IFERROR(__xludf.DUMMYFUNCTION("""COMPUTED_VALUE"""),"Yellowknife, Nortwest Territories, Canada")</f>
        <v/>
      </c>
      <c r="K9766">
        <f>IFERROR(__xludf.DUMMYFUNCTION("""COMPUTED_VALUE"""),3769.77)</f>
        <v/>
      </c>
    </row>
    <row r="9767">
      <c r="J9767">
        <f>IFERROR(__xludf.DUMMYFUNCTION("""COMPUTED_VALUE"""),"Montréal, Quebec; Saint John, New Brunswick, Canada")</f>
        <v/>
      </c>
      <c r="K9767">
        <f>IFERROR(__xludf.DUMMYFUNCTION("""COMPUTED_VALUE"""),3769.3)</f>
        <v/>
      </c>
    </row>
    <row r="9768">
      <c r="J9768">
        <f>IFERROR(__xludf.DUMMYFUNCTION("""COMPUTED_VALUE"""),"Edmonton, Alberta; Winnipeg, Manitoba, Canada")</f>
        <v/>
      </c>
      <c r="K9768">
        <f>IFERROR(__xludf.DUMMYFUNCTION("""COMPUTED_VALUE"""),3769.07)</f>
        <v/>
      </c>
    </row>
    <row r="9769">
      <c r="J9769">
        <f>IFERROR(__xludf.DUMMYFUNCTION("""COMPUTED_VALUE"""),"Sudbury, Ontario, Canada; Timmins, Ontario, Canada; Charlottetown, Prince Edward Island, Canada")</f>
        <v/>
      </c>
      <c r="K9769">
        <f>IFERROR(__xludf.DUMMYFUNCTION("""COMPUTED_VALUE"""),3768.1)</f>
        <v/>
      </c>
    </row>
    <row r="9770">
      <c r="J9770">
        <f>IFERROR(__xludf.DUMMYFUNCTION("""COMPUTED_VALUE"""),"Halifax, Nova Scotia, Canada/ Charlottetown, Prince Edward Island, Canada")</f>
        <v/>
      </c>
      <c r="K9770">
        <f>IFERROR(__xludf.DUMMYFUNCTION("""COMPUTED_VALUE"""),3767.3)</f>
        <v/>
      </c>
    </row>
    <row r="9771">
      <c r="J9771">
        <f>IFERROR(__xludf.DUMMYFUNCTION("""COMPUTED_VALUE"""),"St John's, Newfoundland, Canada; Halifax, Nova Scotia, Canada; Moncton, New Brunswick, Canada")</f>
        <v/>
      </c>
      <c r="K9771">
        <f>IFERROR(__xludf.DUMMYFUNCTION("""COMPUTED_VALUE"""),3766.61)</f>
        <v/>
      </c>
    </row>
    <row r="9772">
      <c r="J9772">
        <f>IFERROR(__xludf.DUMMYFUNCTION("""COMPUTED_VALUE"""),"Waterloo, Ontario, Canada; Toronto, Ontario, Canada")</f>
        <v/>
      </c>
      <c r="K9772">
        <f>IFERROR(__xludf.DUMMYFUNCTION("""COMPUTED_VALUE"""),3764.74)</f>
        <v/>
      </c>
    </row>
    <row r="9773">
      <c r="J9773">
        <f>IFERROR(__xludf.DUMMYFUNCTION("""COMPUTED_VALUE"""),"Halifax, Nova Scotia, Kentville, Nova Scotia")</f>
        <v/>
      </c>
      <c r="K9773">
        <f>IFERROR(__xludf.DUMMYFUNCTION("""COMPUTED_VALUE"""),3763.83)</f>
        <v/>
      </c>
    </row>
    <row r="9774">
      <c r="J9774">
        <f>IFERROR(__xludf.DUMMYFUNCTION("""COMPUTED_VALUE"""),"Edmonton, Alberta and Surrey, British Columbia, Canada")</f>
        <v/>
      </c>
      <c r="K9774">
        <f>IFERROR(__xludf.DUMMYFUNCTION("""COMPUTED_VALUE"""),3763.46)</f>
        <v/>
      </c>
    </row>
    <row r="9775">
      <c r="J9775">
        <f>IFERROR(__xludf.DUMMYFUNCTION("""COMPUTED_VALUE"""),"Washington (District of Columbia) United States, Ottawa (Ontario) Caanda, Saint-Jean sur Richelieu (Quebec) Canada")</f>
        <v/>
      </c>
      <c r="K9775">
        <f>IFERROR(__xludf.DUMMYFUNCTION("""COMPUTED_VALUE"""),3763.05)</f>
        <v/>
      </c>
    </row>
    <row r="9776">
      <c r="J9776">
        <f>IFERROR(__xludf.DUMMYFUNCTION("""COMPUTED_VALUE"""),"Ottawa, Ontario, Canada; Yellowknife, Northwest Territories, Canada")</f>
        <v/>
      </c>
      <c r="K9776">
        <f>IFERROR(__xludf.DUMMYFUNCTION("""COMPUTED_VALUE"""),3762.97)</f>
        <v/>
      </c>
    </row>
    <row r="9777">
      <c r="J9777">
        <f>IFERROR(__xludf.DUMMYFUNCTION("""COMPUTED_VALUE"""),"Charlottetown, PE - Halifax, NS")</f>
        <v/>
      </c>
      <c r="K9777">
        <f>IFERROR(__xludf.DUMMYFUNCTION("""COMPUTED_VALUE"""),3762.39)</f>
        <v/>
      </c>
    </row>
    <row r="9778">
      <c r="J9778">
        <f>IFERROR(__xludf.DUMMYFUNCTION("""COMPUTED_VALUE"""),"Chalk River and Ottawa, Ontario")</f>
        <v/>
      </c>
      <c r="K9778">
        <f>IFERROR(__xludf.DUMMYFUNCTION("""COMPUTED_VALUE"""),3760.58)</f>
        <v/>
      </c>
    </row>
    <row r="9779">
      <c r="J9779">
        <f>IFERROR(__xludf.DUMMYFUNCTION("""COMPUTED_VALUE"""),"OTTAWA, ON - ST. JOHN'S, NL")</f>
        <v/>
      </c>
      <c r="K9779">
        <f>IFERROR(__xludf.DUMMYFUNCTION("""COMPUTED_VALUE"""),3760.47)</f>
        <v/>
      </c>
    </row>
    <row r="9780">
      <c r="J9780">
        <f>IFERROR(__xludf.DUMMYFUNCTION("""COMPUTED_VALUE"""),"Malibu, CA")</f>
        <v/>
      </c>
      <c r="K9780">
        <f>IFERROR(__xludf.DUMMYFUNCTION("""COMPUTED_VALUE"""),3759)</f>
        <v/>
      </c>
    </row>
    <row r="9781">
      <c r="J9781">
        <f>IFERROR(__xludf.DUMMYFUNCTION("""COMPUTED_VALUE"""),"Charlottetown, PE - Toronto, ON / Toronto, ON - Charlottetown, PE")</f>
        <v/>
      </c>
      <c r="K9781">
        <f>IFERROR(__xludf.DUMMYFUNCTION("""COMPUTED_VALUE"""),3757.95)</f>
        <v/>
      </c>
    </row>
    <row r="9782">
      <c r="J9782">
        <f>IFERROR(__xludf.DUMMYFUNCTION("""COMPUTED_VALUE"""),"Pembroke, Ontario")</f>
        <v/>
      </c>
      <c r="K9782">
        <f>IFERROR(__xludf.DUMMYFUNCTION("""COMPUTED_VALUE"""),3757.79999999999)</f>
        <v/>
      </c>
    </row>
    <row r="9783">
      <c r="J9783">
        <f>IFERROR(__xludf.DUMMYFUNCTION("""COMPUTED_VALUE"""),"Fredericton, New Brunswick, Canada; St. Leonard, New Brunswick, Canada; Wolfville, Nova Scotia, Canada; Halifax, Nova Scotia, Canada")</f>
        <v/>
      </c>
      <c r="K9783">
        <f>IFERROR(__xludf.DUMMYFUNCTION("""COMPUTED_VALUE"""),3757.61)</f>
        <v/>
      </c>
    </row>
    <row r="9784">
      <c r="J9784">
        <f>IFERROR(__xludf.DUMMYFUNCTION("""COMPUTED_VALUE"""),"Toronto,                Ontario")</f>
        <v/>
      </c>
      <c r="K9784">
        <f>IFERROR(__xludf.DUMMYFUNCTION("""COMPUTED_VALUE"""),3757.51)</f>
        <v/>
      </c>
    </row>
    <row r="9785">
      <c r="J9785">
        <f>IFERROR(__xludf.DUMMYFUNCTION("""COMPUTED_VALUE"""),"Ottawa, Ontatio, Canada")</f>
        <v/>
      </c>
      <c r="K9785">
        <f>IFERROR(__xludf.DUMMYFUNCTION("""COMPUTED_VALUE"""),3757.32)</f>
        <v/>
      </c>
    </row>
    <row r="9786">
      <c r="J9786">
        <f>IFERROR(__xludf.DUMMYFUNCTION("""COMPUTED_VALUE"""),"Whitehorse and Faro and Mount Nansen and Tungsten, Yukon, Canada; Delta and Vancouver, Bristish Columbia, Canada")</f>
        <v/>
      </c>
      <c r="K9786">
        <f>IFERROR(__xludf.DUMMYFUNCTION("""COMPUTED_VALUE"""),3756.91)</f>
        <v/>
      </c>
    </row>
    <row r="9787">
      <c r="J9787">
        <f>IFERROR(__xludf.DUMMYFUNCTION("""COMPUTED_VALUE"""),"Panama, Lima")</f>
        <v/>
      </c>
      <c r="K9787">
        <f>IFERROR(__xludf.DUMMYFUNCTION("""COMPUTED_VALUE"""),3756.67)</f>
        <v/>
      </c>
    </row>
    <row r="9788">
      <c r="J9788">
        <f>IFERROR(__xludf.DUMMYFUNCTION("""COMPUTED_VALUE"""),"OTTAWA, ON - EDMONTON, AB - QUEBEC, QC")</f>
        <v/>
      </c>
      <c r="K9788">
        <f>IFERROR(__xludf.DUMMYFUNCTION("""COMPUTED_VALUE"""),3756.61)</f>
        <v/>
      </c>
    </row>
    <row r="9789">
      <c r="J9789">
        <f>IFERROR(__xludf.DUMMYFUNCTION("""COMPUTED_VALUE"""),"St. John's (Newfoundland and Labrador); Toronto (Ontario) Canada")</f>
        <v/>
      </c>
      <c r="K9789">
        <f>IFERROR(__xludf.DUMMYFUNCTION("""COMPUTED_VALUE"""),3756.22)</f>
        <v/>
      </c>
    </row>
    <row r="9790">
      <c r="J9790">
        <f>IFERROR(__xludf.DUMMYFUNCTION("""COMPUTED_VALUE"""),"Moncton, New Brunswick, Canada / Charlottetown, Prince
Edward Island, Canada / Halifax, Nova Scotia, Cananda / St-John’s, Newfoundland and Labrador, Canada")</f>
        <v/>
      </c>
      <c r="K9790">
        <f>IFERROR(__xludf.DUMMYFUNCTION("""COMPUTED_VALUE"""),3755.53)</f>
        <v/>
      </c>
    </row>
    <row r="9791">
      <c r="J9791">
        <f>IFERROR(__xludf.DUMMYFUNCTION("""COMPUTED_VALUE"""),"Ottawa, Ontario; Washington, DC, USA and Ottawa, Ontario")</f>
        <v/>
      </c>
      <c r="K9791">
        <f>IFERROR(__xludf.DUMMYFUNCTION("""COMPUTED_VALUE"""),3755.28)</f>
        <v/>
      </c>
    </row>
    <row r="9792">
      <c r="J9792">
        <f>IFERROR(__xludf.DUMMYFUNCTION("""COMPUTED_VALUE"""),"Ottawa - Charlottetown - Halifax  - Fall River - Ottawa")</f>
        <v/>
      </c>
      <c r="K9792">
        <f>IFERROR(__xludf.DUMMYFUNCTION("""COMPUTED_VALUE"""),3755.19)</f>
        <v/>
      </c>
    </row>
    <row r="9793">
      <c r="J9793">
        <f>IFERROR(__xludf.DUMMYFUNCTION("""COMPUTED_VALUE"""),"Gaspé (Québec) Canada")</f>
        <v/>
      </c>
      <c r="K9793">
        <f>IFERROR(__xludf.DUMMYFUNCTION("""COMPUTED_VALUE"""),3754.84)</f>
        <v/>
      </c>
    </row>
    <row r="9794">
      <c r="J9794">
        <f>IFERROR(__xludf.DUMMYFUNCTION("""COMPUTED_VALUE"""),"Regina, Saskatchewan;#6;#Vancouver, British Colombia;#9")</f>
        <v/>
      </c>
      <c r="K9794">
        <f>IFERROR(__xludf.DUMMYFUNCTION("""COMPUTED_VALUE"""),3754.23)</f>
        <v/>
      </c>
    </row>
    <row r="9795">
      <c r="J9795">
        <f>IFERROR(__xludf.DUMMYFUNCTION("""COMPUTED_VALUE"""),"Iaqluit, Nunavut, Canada")</f>
        <v/>
      </c>
      <c r="K9795">
        <f>IFERROR(__xludf.DUMMYFUNCTION("""COMPUTED_VALUE"""),3753.52)</f>
        <v/>
      </c>
    </row>
    <row r="9796">
      <c r="J9796">
        <f>IFERROR(__xludf.DUMMYFUNCTION("""COMPUTED_VALUE"""),"Kamloops, British-Columbia, Canada")</f>
        <v/>
      </c>
      <c r="K9796">
        <f>IFERROR(__xludf.DUMMYFUNCTION("""COMPUTED_VALUE"""),3752.91)</f>
        <v/>
      </c>
    </row>
    <row r="9797">
      <c r="J9797">
        <f>IFERROR(__xludf.DUMMYFUNCTION("""COMPUTED_VALUE"""),"Old Crow, Yukon")</f>
        <v/>
      </c>
      <c r="K9797">
        <f>IFERROR(__xludf.DUMMYFUNCTION("""COMPUTED_VALUE"""),3752.52)</f>
        <v/>
      </c>
    </row>
    <row r="9798">
      <c r="J9798">
        <f>IFERROR(__xludf.DUMMYFUNCTION("""COMPUTED_VALUE"""),"Edmonton / Wainwright, Alberta, Canada")</f>
        <v/>
      </c>
      <c r="K9798">
        <f>IFERROR(__xludf.DUMMYFUNCTION("""COMPUTED_VALUE"""),3751.13)</f>
        <v/>
      </c>
    </row>
    <row r="9799">
      <c r="J9799">
        <f>IFERROR(__xludf.DUMMYFUNCTION("""COMPUTED_VALUE"""),"Charlottetown, Prince Edward Island, Canada; Fredericton, New Brunswick, Canada; Saint John, New Brunswick, Canada")</f>
        <v/>
      </c>
      <c r="K9799">
        <f>IFERROR(__xludf.DUMMYFUNCTION("""COMPUTED_VALUE"""),3751.05)</f>
        <v/>
      </c>
    </row>
    <row r="9800">
      <c r="J9800">
        <f>IFERROR(__xludf.DUMMYFUNCTION("""COMPUTED_VALUE"""),"New York, United-States of America")</f>
        <v/>
      </c>
      <c r="K9800">
        <f>IFERROR(__xludf.DUMMYFUNCTION("""COMPUTED_VALUE"""),3750.9)</f>
        <v/>
      </c>
    </row>
    <row r="9801">
      <c r="J9801">
        <f>IFERROR(__xludf.DUMMYFUNCTION("""COMPUTED_VALUE"""),"Winnipeg, Manitoba and Vancouver, British Columbia")</f>
        <v/>
      </c>
      <c r="K9801">
        <f>IFERROR(__xludf.DUMMYFUNCTION("""COMPUTED_VALUE"""),3748.73)</f>
        <v/>
      </c>
    </row>
    <row r="9802">
      <c r="J9802">
        <f>IFERROR(__xludf.DUMMYFUNCTION("""COMPUTED_VALUE"""),"Calgary, Alberta, Canada; Canmore, Alberta, Canada; Cranbrook, British Columbia, Canada; Nelson, British Columbia, Canada; Trail, British Columbia, Canada")</f>
        <v/>
      </c>
      <c r="K9802">
        <f>IFERROR(__xludf.DUMMYFUNCTION("""COMPUTED_VALUE"""),3747.65)</f>
        <v/>
      </c>
    </row>
    <row r="9803">
      <c r="J9803">
        <f>IFERROR(__xludf.DUMMYFUNCTION("""COMPUTED_VALUE"""),"Windsor, Ontario, Canada/ Quebec, Quebec, Canada")</f>
        <v/>
      </c>
      <c r="K9803">
        <f>IFERROR(__xludf.DUMMYFUNCTION("""COMPUTED_VALUE"""),3747.5)</f>
        <v/>
      </c>
    </row>
    <row r="9804">
      <c r="J9804">
        <f>IFERROR(__xludf.DUMMYFUNCTION("""COMPUTED_VALUE"""),"Sydney, NS; St-John's, NL")</f>
        <v/>
      </c>
      <c r="K9804">
        <f>IFERROR(__xludf.DUMMYFUNCTION("""COMPUTED_VALUE"""),3747.49)</f>
        <v/>
      </c>
    </row>
    <row r="9805">
      <c r="J9805">
        <f>IFERROR(__xludf.DUMMYFUNCTION("""COMPUTED_VALUE"""),"1. Halifax, Nova Scotia, Canada
2. Québec, Quebec, Canada")</f>
        <v/>
      </c>
      <c r="K9805">
        <f>IFERROR(__xludf.DUMMYFUNCTION("""COMPUTED_VALUE"""),3743.65)</f>
        <v/>
      </c>
    </row>
    <row r="9806">
      <c r="J9806">
        <f>IFERROR(__xludf.DUMMYFUNCTION("""COMPUTED_VALUE"""),"Vancouver, Comox and Victoria, British-Columbia")</f>
        <v/>
      </c>
      <c r="K9806">
        <f>IFERROR(__xludf.DUMMYFUNCTION("""COMPUTED_VALUE"""),3743.63)</f>
        <v/>
      </c>
    </row>
    <row r="9807">
      <c r="J9807">
        <f>IFERROR(__xludf.DUMMYFUNCTION("""COMPUTED_VALUE"""),"Toronto, ON, St. John's, NL")</f>
        <v/>
      </c>
      <c r="K9807">
        <f>IFERROR(__xludf.DUMMYFUNCTION("""COMPUTED_VALUE"""),3743.57)</f>
        <v/>
      </c>
    </row>
    <row r="9808">
      <c r="J9808">
        <f>IFERROR(__xludf.DUMMYFUNCTION("""COMPUTED_VALUE"""),"Banff and Calgary, Alberta, Canada")</f>
        <v/>
      </c>
      <c r="K9808">
        <f>IFERROR(__xludf.DUMMYFUNCTION("""COMPUTED_VALUE"""),3742.59)</f>
        <v/>
      </c>
    </row>
    <row r="9809">
      <c r="J9809">
        <f>IFERROR(__xludf.DUMMYFUNCTION("""COMPUTED_VALUE"""),"Moncton, New Brunswick; St. John's, Newfoundland and Labrador; Montreal, Quebec")</f>
        <v/>
      </c>
      <c r="K9809">
        <f>IFERROR(__xludf.DUMMYFUNCTION("""COMPUTED_VALUE"""),3742.27)</f>
        <v/>
      </c>
    </row>
    <row r="9810">
      <c r="J9810">
        <f>IFERROR(__xludf.DUMMYFUNCTION("""COMPUTED_VALUE"""),"Toronto - Vancouver")</f>
        <v/>
      </c>
      <c r="K9810">
        <f>IFERROR(__xludf.DUMMYFUNCTION("""COMPUTED_VALUE"""),3741.66)</f>
        <v/>
      </c>
    </row>
    <row r="9811">
      <c r="J9811">
        <f>IFERROR(__xludf.DUMMYFUNCTION("""COMPUTED_VALUE"""),"Toronto, ON Halifax, NS Montréal, QC Saskatoon, SK Abottsford, BC Vancouver, BC Saint-Hyacinthe, QC")</f>
        <v/>
      </c>
      <c r="K9811">
        <f>IFERROR(__xludf.DUMMYFUNCTION("""COMPUTED_VALUE"""),3740.87)</f>
        <v/>
      </c>
    </row>
    <row r="9812">
      <c r="J9812">
        <f>IFERROR(__xludf.DUMMYFUNCTION("""COMPUTED_VALUE"""),"Toronto, Ontario / Calgary, Alberta, Canada")</f>
        <v/>
      </c>
      <c r="K9812">
        <f>IFERROR(__xludf.DUMMYFUNCTION("""COMPUTED_VALUE"""),3739.8)</f>
        <v/>
      </c>
    </row>
    <row r="9813">
      <c r="J9813">
        <f>IFERROR(__xludf.DUMMYFUNCTION("""COMPUTED_VALUE"""),"Sydney, Nova Scotia, Canada; New Glasgow, Nova Scotia, Canada; Charlottetown, Prince Edward Island, Canada")</f>
        <v/>
      </c>
      <c r="K9813">
        <f>IFERROR(__xludf.DUMMYFUNCTION("""COMPUTED_VALUE"""),3738.95)</f>
        <v/>
      </c>
    </row>
    <row r="9814">
      <c r="J9814">
        <f>IFERROR(__xludf.DUMMYFUNCTION("""COMPUTED_VALUE"""),"Regina, SK and Vancouver, BC")</f>
        <v/>
      </c>
      <c r="K9814">
        <f>IFERROR(__xludf.DUMMYFUNCTION("""COMPUTED_VALUE"""),3738.88)</f>
        <v/>
      </c>
    </row>
    <row r="9815">
      <c r="J9815">
        <f>IFERROR(__xludf.DUMMYFUNCTION("""COMPUTED_VALUE"""),"New York, United State")</f>
        <v/>
      </c>
      <c r="K9815">
        <f>IFERROR(__xludf.DUMMYFUNCTION("""COMPUTED_VALUE"""),3738.16)</f>
        <v/>
      </c>
    </row>
    <row r="9816">
      <c r="J9816">
        <f>IFERROR(__xludf.DUMMYFUNCTION("""COMPUTED_VALUE"""),"Toronto, Ontario / Calgary, Edmonton, Alberta, Canada")</f>
        <v/>
      </c>
      <c r="K9816">
        <f>IFERROR(__xludf.DUMMYFUNCTION("""COMPUTED_VALUE"""),3737.7)</f>
        <v/>
      </c>
    </row>
    <row r="9817">
      <c r="J9817">
        <f>IFERROR(__xludf.DUMMYFUNCTION("""COMPUTED_VALUE"""),"Regina,Edmonton, Victoria, Vancouver (Canada)")</f>
        <v/>
      </c>
      <c r="K9817">
        <f>IFERROR(__xludf.DUMMYFUNCTION("""COMPUTED_VALUE"""),3736.38)</f>
        <v/>
      </c>
    </row>
    <row r="9818">
      <c r="J9818">
        <f>IFERROR(__xludf.DUMMYFUNCTION("""COMPUTED_VALUE"""),"Moncton, New Brunswick; Sudbury, Ontario, Canada")</f>
        <v/>
      </c>
      <c r="K9818">
        <f>IFERROR(__xludf.DUMMYFUNCTION("""COMPUTED_VALUE"""),3734.36)</f>
        <v/>
      </c>
    </row>
    <row r="9819">
      <c r="J9819">
        <f>IFERROR(__xludf.DUMMYFUNCTION("""COMPUTED_VALUE"""),"Calgary; Lethbridge, Alberta, Canada")</f>
        <v/>
      </c>
      <c r="K9819">
        <f>IFERROR(__xludf.DUMMYFUNCTION("""COMPUTED_VALUE"""),3733.86)</f>
        <v/>
      </c>
    </row>
    <row r="9820">
      <c r="J9820">
        <f>IFERROR(__xludf.DUMMYFUNCTION("""COMPUTED_VALUE"""),"Edmonton, Alberta, Canada
Los Angeles, California, United States of America")</f>
        <v/>
      </c>
      <c r="K9820">
        <f>IFERROR(__xludf.DUMMYFUNCTION("""COMPUTED_VALUE"""),3733.68)</f>
        <v/>
      </c>
    </row>
    <row r="9821">
      <c r="J9821">
        <f>IFERROR(__xludf.DUMMYFUNCTION("""COMPUTED_VALUE"""),"Whitby, Ontario, Canada")</f>
        <v/>
      </c>
      <c r="K9821">
        <f>IFERROR(__xludf.DUMMYFUNCTION("""COMPUTED_VALUE"""),3733.62)</f>
        <v/>
      </c>
    </row>
    <row r="9822">
      <c r="J9822">
        <f>IFERROR(__xludf.DUMMYFUNCTION("""COMPUTED_VALUE"""),"Halifax, NS / Ottawa, ON / Calgary, AB")</f>
        <v/>
      </c>
      <c r="K9822">
        <f>IFERROR(__xludf.DUMMYFUNCTION("""COMPUTED_VALUE"""),3733.39)</f>
        <v/>
      </c>
    </row>
    <row r="9823">
      <c r="J9823">
        <f>IFERROR(__xludf.DUMMYFUNCTION("""COMPUTED_VALUE"""),"Sheffield, United Kingdom")</f>
        <v/>
      </c>
      <c r="K9823">
        <f>IFERROR(__xludf.DUMMYFUNCTION("""COMPUTED_VALUE"""),3731.95)</f>
        <v/>
      </c>
    </row>
    <row r="9824">
      <c r="J9824">
        <f>IFERROR(__xludf.DUMMYFUNCTION("""COMPUTED_VALUE"""),"Moncton, NB - Vancouver, BC / Vancouver, BC - Victoria, BC / Victoria, BC - Moncton, NB")</f>
        <v/>
      </c>
      <c r="K9824">
        <f>IFERROR(__xludf.DUMMYFUNCTION("""COMPUTED_VALUE"""),3731.86)</f>
        <v/>
      </c>
    </row>
    <row r="9825">
      <c r="J9825">
        <f>IFERROR(__xludf.DUMMYFUNCTION("""COMPUTED_VALUE"""),"Sandspit, British-Columbia, Canada")</f>
        <v/>
      </c>
      <c r="K9825">
        <f>IFERROR(__xludf.DUMMYFUNCTION("""COMPUTED_VALUE"""),3730.13)</f>
        <v/>
      </c>
    </row>
    <row r="9826">
      <c r="J9826">
        <f>IFERROR(__xludf.DUMMYFUNCTION("""COMPUTED_VALUE"""),"Calgary, Alberta, Canada; Kananaskis, Alberta, Canada")</f>
        <v/>
      </c>
      <c r="K9826">
        <f>IFERROR(__xludf.DUMMYFUNCTION("""COMPUTED_VALUE"""),3729.67)</f>
        <v/>
      </c>
    </row>
    <row r="9827">
      <c r="J9827">
        <f>IFERROR(__xludf.DUMMYFUNCTION("""COMPUTED_VALUE"""),"Montreal, Quebec ; Quebec City, Quebec ; Iles De Madeleine, Quebec ; Gaspe, Quebec")</f>
        <v/>
      </c>
      <c r="K9827">
        <f>IFERROR(__xludf.DUMMYFUNCTION("""COMPUTED_VALUE"""),3729.06)</f>
        <v/>
      </c>
    </row>
    <row r="9828">
      <c r="J9828">
        <f>IFERROR(__xludf.DUMMYFUNCTION("""COMPUTED_VALUE"""),"Antigua and Barbuda")</f>
        <v/>
      </c>
      <c r="K9828">
        <f>IFERROR(__xludf.DUMMYFUNCTION("""COMPUTED_VALUE"""),3728.69)</f>
        <v/>
      </c>
    </row>
    <row r="9829">
      <c r="J9829">
        <f>IFERROR(__xludf.DUMMYFUNCTION("""COMPUTED_VALUE"""),"Vancouver, British Columbia and Montréal, Quebec")</f>
        <v/>
      </c>
      <c r="K9829">
        <f>IFERROR(__xludf.DUMMYFUNCTION("""COMPUTED_VALUE"""),3728.3)</f>
        <v/>
      </c>
    </row>
    <row r="9830">
      <c r="J9830">
        <f>IFERROR(__xludf.DUMMYFUNCTION("""COMPUTED_VALUE"""),"Vancouver, British Columbia, Canada; Whitehorse, Yukon, Canada; Fort McMurray, Alberta, Canada; Estevan, Saskatchewan, Canada")</f>
        <v/>
      </c>
      <c r="K9830">
        <f>IFERROR(__xludf.DUMMYFUNCTION("""COMPUTED_VALUE"""),3727.76)</f>
        <v/>
      </c>
    </row>
    <row r="9831">
      <c r="J9831">
        <f>IFERROR(__xludf.DUMMYFUNCTION("""COMPUTED_VALUE"""),"St. John's, Newfoundland and
Labrador, Canada")</f>
        <v/>
      </c>
      <c r="K9831">
        <f>IFERROR(__xludf.DUMMYFUNCTION("""COMPUTED_VALUE"""),3727.03)</f>
        <v/>
      </c>
    </row>
    <row r="9832">
      <c r="J9832">
        <f>IFERROR(__xludf.DUMMYFUNCTION("""COMPUTED_VALUE"""),"Kamloops, British Columbia, Canada and Winnipeg, Manitoba, Canada")</f>
        <v/>
      </c>
      <c r="K9832">
        <f>IFERROR(__xludf.DUMMYFUNCTION("""COMPUTED_VALUE"""),3726.74)</f>
        <v/>
      </c>
    </row>
    <row r="9833">
      <c r="J9833">
        <f>IFERROR(__xludf.DUMMYFUNCTION("""COMPUTED_VALUE"""),"Washington, District of Columbia, Unites States")</f>
        <v/>
      </c>
      <c r="K9833">
        <f>IFERROR(__xludf.DUMMYFUNCTION("""COMPUTED_VALUE"""),3726.46)</f>
        <v/>
      </c>
    </row>
    <row r="9834">
      <c r="J9834">
        <f>IFERROR(__xludf.DUMMYFUNCTION("""COMPUTED_VALUE"""),"Surrey, BC/ Calgary, AB")</f>
        <v/>
      </c>
      <c r="K9834">
        <f>IFERROR(__xludf.DUMMYFUNCTION("""COMPUTED_VALUE"""),3726.16)</f>
        <v/>
      </c>
    </row>
    <row r="9835">
      <c r="J9835">
        <f>IFERROR(__xludf.DUMMYFUNCTION("""COMPUTED_VALUE"""),"Ottawa, ON and Boston, Massachusetts")</f>
        <v/>
      </c>
      <c r="K9835">
        <f>IFERROR(__xludf.DUMMYFUNCTION("""COMPUTED_VALUE"""),3726.15)</f>
        <v/>
      </c>
    </row>
    <row r="9836">
      <c r="J9836">
        <f>IFERROR(__xludf.DUMMYFUNCTION("""COMPUTED_VALUE"""),"Nanaimo, British-Columbia, Canada")</f>
        <v/>
      </c>
      <c r="K9836">
        <f>IFERROR(__xludf.DUMMYFUNCTION("""COMPUTED_VALUE"""),3726.07)</f>
        <v/>
      </c>
    </row>
    <row r="9837">
      <c r="J9837">
        <f>IFERROR(__xludf.DUMMYFUNCTION("""COMPUTED_VALUE"""),"Saskatoon, Saskatchewan and Edmonton, Drumheller, Canmore and Calgary, Alberta")</f>
        <v/>
      </c>
      <c r="K9837">
        <f>IFERROR(__xludf.DUMMYFUNCTION("""COMPUTED_VALUE"""),3724.21)</f>
        <v/>
      </c>
    </row>
    <row r="9838">
      <c r="J9838">
        <f>IFERROR(__xludf.DUMMYFUNCTION("""COMPUTED_VALUE"""),"Val-David, Quebec Calgary, Alberta")</f>
        <v/>
      </c>
      <c r="K9838">
        <f>IFERROR(__xludf.DUMMYFUNCTION("""COMPUTED_VALUE"""),3723.46)</f>
        <v/>
      </c>
    </row>
    <row r="9839">
      <c r="J9839">
        <f>IFERROR(__xludf.DUMMYFUNCTION("""COMPUTED_VALUE"""),"Thunder Bay, Ontario, Canada; Vancouver, British Columbia, Canada; Edmonton, Alberta, Canada; Saskatoon, Saskatchewan, Canada")</f>
        <v/>
      </c>
      <c r="K9839">
        <f>IFERROR(__xludf.DUMMYFUNCTION("""COMPUTED_VALUE"""),3722.3)</f>
        <v/>
      </c>
    </row>
    <row r="9840">
      <c r="J9840">
        <f>IFERROR(__xludf.DUMMYFUNCTION("""COMPUTED_VALUE"""),"Regina, Québec")</f>
        <v/>
      </c>
      <c r="K9840">
        <f>IFERROR(__xludf.DUMMYFUNCTION("""COMPUTED_VALUE"""),3722.15)</f>
        <v/>
      </c>
    </row>
    <row r="9841">
      <c r="J9841">
        <f>IFERROR(__xludf.DUMMYFUNCTION("""COMPUTED_VALUE"""),"Toronto and Los Angeles")</f>
        <v/>
      </c>
      <c r="K9841">
        <f>IFERROR(__xludf.DUMMYFUNCTION("""COMPUTED_VALUE"""),3721.45)</f>
        <v/>
      </c>
    </row>
    <row r="9842">
      <c r="J9842">
        <f>IFERROR(__xludf.DUMMYFUNCTION("""COMPUTED_VALUE"""),"Alma")</f>
        <v/>
      </c>
      <c r="K9842">
        <f>IFERROR(__xludf.DUMMYFUNCTION("""COMPUTED_VALUE"""),3721.38)</f>
        <v/>
      </c>
    </row>
    <row r="9843">
      <c r="J9843">
        <f>IFERROR(__xludf.DUMMYFUNCTION("""COMPUTED_VALUE"""),"Osoyoos, British Columbia, Canada")</f>
        <v/>
      </c>
      <c r="K9843">
        <f>IFERROR(__xludf.DUMMYFUNCTION("""COMPUTED_VALUE"""),3721.02)</f>
        <v/>
      </c>
    </row>
    <row r="9844">
      <c r="J9844">
        <f>IFERROR(__xludf.DUMMYFUNCTION("""COMPUTED_VALUE"""),"Victoria, Vancouver, British Colombia, Canada")</f>
        <v/>
      </c>
      <c r="K9844">
        <f>IFERROR(__xludf.DUMMYFUNCTION("""COMPUTED_VALUE"""),3720)</f>
        <v/>
      </c>
    </row>
    <row r="9845">
      <c r="J9845">
        <f>IFERROR(__xludf.DUMMYFUNCTION("""COMPUTED_VALUE"""),"Ottawa - Prince George - Vancouver - Yellowknife - Calgary - Ottawa")</f>
        <v/>
      </c>
      <c r="K9845">
        <f>IFERROR(__xludf.DUMMYFUNCTION("""COMPUTED_VALUE"""),3719.26)</f>
        <v/>
      </c>
    </row>
    <row r="9846">
      <c r="J9846">
        <f>IFERROR(__xludf.DUMMYFUNCTION("""COMPUTED_VALUE"""),"Victoria, Vancouver and Surrey, British Colombia")</f>
        <v/>
      </c>
      <c r="K9846">
        <f>IFERROR(__xludf.DUMMYFUNCTION("""COMPUTED_VALUE"""),3719.03)</f>
        <v/>
      </c>
    </row>
    <row r="9847">
      <c r="J9847">
        <f>IFERROR(__xludf.DUMMYFUNCTION("""COMPUTED_VALUE"""),"Goose Bay, Labrador, Halifax, NS, Toronto, ON, Winnipeg, MB")</f>
        <v/>
      </c>
      <c r="K9847">
        <f>IFERROR(__xludf.DUMMYFUNCTION("""COMPUTED_VALUE"""),3718.64)</f>
        <v/>
      </c>
    </row>
    <row r="9848">
      <c r="J9848">
        <f>IFERROR(__xludf.DUMMYFUNCTION("""COMPUTED_VALUE"""),"Ottawa - Moncton - Charlottetown - Ottawa")</f>
        <v/>
      </c>
      <c r="K9848">
        <f>IFERROR(__xludf.DUMMYFUNCTION("""COMPUTED_VALUE"""),3718.53)</f>
        <v/>
      </c>
    </row>
    <row r="9849">
      <c r="J9849">
        <f>IFERROR(__xludf.DUMMYFUNCTION("""COMPUTED_VALUE"""),"Chicago,  United States")</f>
        <v/>
      </c>
      <c r="K9849">
        <f>IFERROR(__xludf.DUMMYFUNCTION("""COMPUTED_VALUE"""),3716.86)</f>
        <v/>
      </c>
    </row>
    <row r="9850">
      <c r="J9850">
        <f>IFERROR(__xludf.DUMMYFUNCTION("""COMPUTED_VALUE"""),"Thunder Bay, Ontario / Winnipeg, Manitoba / Regina, Saskatchewan")</f>
        <v/>
      </c>
      <c r="K9850">
        <f>IFERROR(__xludf.DUMMYFUNCTION("""COMPUTED_VALUE"""),3716.55)</f>
        <v/>
      </c>
    </row>
    <row r="9851">
      <c r="J9851">
        <f>IFERROR(__xludf.DUMMYFUNCTION("""COMPUTED_VALUE"""),"Vancouver, British Columbia, Canada; Winnipeg, Manitoba, Canada")</f>
        <v/>
      </c>
      <c r="K9851">
        <f>IFERROR(__xludf.DUMMYFUNCTION("""COMPUTED_VALUE"""),3716.48)</f>
        <v/>
      </c>
    </row>
    <row r="9852">
      <c r="J9852">
        <f>IFERROR(__xludf.DUMMYFUNCTION("""COMPUTED_VALUE"""),"Ottawa,Toronto , Ontario, Canada")</f>
        <v/>
      </c>
      <c r="K9852">
        <f>IFERROR(__xludf.DUMMYFUNCTION("""COMPUTED_VALUE"""),3716.37)</f>
        <v/>
      </c>
    </row>
    <row r="9853">
      <c r="J9853">
        <f>IFERROR(__xludf.DUMMYFUNCTION("""COMPUTED_VALUE"""),"Ottawa; Winnipeg; Thunder Bay, Ontario; Manitoba; Ontario, Canada")</f>
        <v/>
      </c>
      <c r="K9853">
        <f>IFERROR(__xludf.DUMMYFUNCTION("""COMPUTED_VALUE"""),3715.93)</f>
        <v/>
      </c>
    </row>
    <row r="9854">
      <c r="J9854">
        <f>IFERROR(__xludf.DUMMYFUNCTION("""COMPUTED_VALUE"""),"Edmonton, Calgary, (Alberta)")</f>
        <v/>
      </c>
      <c r="K9854">
        <f>IFERROR(__xludf.DUMMYFUNCTION("""COMPUTED_VALUE"""),3715.58)</f>
        <v/>
      </c>
    </row>
    <row r="9855">
      <c r="J9855">
        <f>IFERROR(__xludf.DUMMYFUNCTION("""COMPUTED_VALUE"""),"Ottawa-Paris-Brussels-Ottawa")</f>
        <v/>
      </c>
      <c r="K9855">
        <f>IFERROR(__xludf.DUMMYFUNCTION("""COMPUTED_VALUE"""),3714.72)</f>
        <v/>
      </c>
    </row>
    <row r="9856">
      <c r="J9856">
        <f>IFERROR(__xludf.DUMMYFUNCTION("""COMPUTED_VALUE"""),"Toronto, Ontario, Canada; Bracebridge, Ontario, Canada; Barrie, Ontario, Canada")</f>
        <v/>
      </c>
      <c r="K9856">
        <f>IFERROR(__xludf.DUMMYFUNCTION("""COMPUTED_VALUE"""),3713.79)</f>
        <v/>
      </c>
    </row>
    <row r="9857">
      <c r="J9857">
        <f>IFERROR(__xludf.DUMMYFUNCTION("""COMPUTED_VALUE"""),"Leduc, AB, Montebello, QC and Ottawa, ON")</f>
        <v/>
      </c>
      <c r="K9857">
        <f>IFERROR(__xludf.DUMMYFUNCTION("""COMPUTED_VALUE"""),3713.43)</f>
        <v/>
      </c>
    </row>
    <row r="9858">
      <c r="J9858">
        <f>IFERROR(__xludf.DUMMYFUNCTION("""COMPUTED_VALUE"""),"Winnipeg, Manitoba, Calgary and Edmonton, Alberta and Vancouver, British Columbia")</f>
        <v/>
      </c>
      <c r="K9858">
        <f>IFERROR(__xludf.DUMMYFUNCTION("""COMPUTED_VALUE"""),3713.2)</f>
        <v/>
      </c>
    </row>
    <row r="9859">
      <c r="J9859">
        <f>IFERROR(__xludf.DUMMYFUNCTION("""COMPUTED_VALUE"""),"Toronto,Ontario")</f>
        <v/>
      </c>
      <c r="K9859">
        <f>IFERROR(__xludf.DUMMYFUNCTION("""COMPUTED_VALUE"""),3712.27999999999)</f>
        <v/>
      </c>
    </row>
    <row r="9860">
      <c r="J9860">
        <f>IFERROR(__xludf.DUMMYFUNCTION("""COMPUTED_VALUE"""),"Ottawa-Toronto")</f>
        <v/>
      </c>
      <c r="K9860">
        <f>IFERROR(__xludf.DUMMYFUNCTION("""COMPUTED_VALUE"""),3711.51)</f>
        <v/>
      </c>
    </row>
    <row r="9861">
      <c r="J9861">
        <f>IFERROR(__xludf.DUMMYFUNCTION("""COMPUTED_VALUE"""),"Ottawa; Halifax")</f>
        <v/>
      </c>
      <c r="K9861">
        <f>IFERROR(__xludf.DUMMYFUNCTION("""COMPUTED_VALUE"""),3709.99)</f>
        <v/>
      </c>
    </row>
    <row r="9862">
      <c r="J9862">
        <f>IFERROR(__xludf.DUMMYFUNCTION("""COMPUTED_VALUE"""),"Vancouver, British Columbia, Canada; Whitehorse, Yukon, Canada; Edmonton, Alberta, Canada; Winnipeg, Manitoba, Canada")</f>
        <v/>
      </c>
      <c r="K9862">
        <f>IFERROR(__xludf.DUMMYFUNCTION("""COMPUTED_VALUE"""),3709.72)</f>
        <v/>
      </c>
    </row>
    <row r="9863">
      <c r="J9863">
        <f>IFERROR(__xludf.DUMMYFUNCTION("""COMPUTED_VALUE"""),"Dandong, PRC")</f>
        <v/>
      </c>
      <c r="K9863">
        <f>IFERROR(__xludf.DUMMYFUNCTION("""COMPUTED_VALUE"""),3709.35999999999)</f>
        <v/>
      </c>
    </row>
    <row r="9864">
      <c r="J9864">
        <f>IFERROR(__xludf.DUMMYFUNCTION("""COMPUTED_VALUE"""),"Paris, France
")</f>
        <v/>
      </c>
      <c r="K9864">
        <f>IFERROR(__xludf.DUMMYFUNCTION("""COMPUTED_VALUE"""),3709.32)</f>
        <v/>
      </c>
    </row>
    <row r="9865">
      <c r="J9865">
        <f>IFERROR(__xludf.DUMMYFUNCTION("""COMPUTED_VALUE"""),"Montréal, Quebec, Canada; Cornwall, Ontario, Canada; Montebello, Quebec, Canada")</f>
        <v/>
      </c>
      <c r="K9865">
        <f>IFERROR(__xludf.DUMMYFUNCTION("""COMPUTED_VALUE"""),3709.16)</f>
        <v/>
      </c>
    </row>
    <row r="9866">
      <c r="J9866">
        <f>IFERROR(__xludf.DUMMYFUNCTION("""COMPUTED_VALUE"""),"Mont-Tremblant, Québec")</f>
        <v/>
      </c>
      <c r="K9866">
        <f>IFERROR(__xludf.DUMMYFUNCTION("""COMPUTED_VALUE"""),3708.75999999999)</f>
        <v/>
      </c>
    </row>
    <row r="9867">
      <c r="J9867">
        <f>IFERROR(__xludf.DUMMYFUNCTION("""COMPUTED_VALUE"""),"Rouyn-Noranda, Quebec, Canada / Val D'Or, Quebec, Canada")</f>
        <v/>
      </c>
      <c r="K9867">
        <f>IFERROR(__xludf.DUMMYFUNCTION("""COMPUTED_VALUE"""),3708.43)</f>
        <v/>
      </c>
    </row>
    <row r="9868">
      <c r="J9868">
        <f>IFERROR(__xludf.DUMMYFUNCTION("""COMPUTED_VALUE"""),"Fort McMurray, AB - Saskatoon, SK")</f>
        <v/>
      </c>
      <c r="K9868">
        <f>IFERROR(__xludf.DUMMYFUNCTION("""COMPUTED_VALUE"""),3707.71)</f>
        <v/>
      </c>
    </row>
    <row r="9869">
      <c r="J9869">
        <f>IFERROR(__xludf.DUMMYFUNCTION("""COMPUTED_VALUE"""),"Manila, Philippines and Tokyo, Japan")</f>
        <v/>
      </c>
      <c r="K9869">
        <f>IFERROR(__xludf.DUMMYFUNCTION("""COMPUTED_VALUE"""),3707.27)</f>
        <v/>
      </c>
    </row>
    <row r="9870">
      <c r="J9870">
        <f>IFERROR(__xludf.DUMMYFUNCTION("""COMPUTED_VALUE"""),"Ottawa-Paris-Toronto-Ottawa")</f>
        <v/>
      </c>
      <c r="K9870">
        <f>IFERROR(__xludf.DUMMYFUNCTION("""COMPUTED_VALUE"""),3706.73)</f>
        <v/>
      </c>
    </row>
    <row r="9871">
      <c r="J9871">
        <f>IFERROR(__xludf.DUMMYFUNCTION("""COMPUTED_VALUE"""),"Hertforshire, England, United Kingdom")</f>
        <v/>
      </c>
      <c r="K9871">
        <f>IFERROR(__xludf.DUMMYFUNCTION("""COMPUTED_VALUE"""),3706.69)</f>
        <v/>
      </c>
    </row>
    <row r="9872">
      <c r="J9872">
        <f>IFERROR(__xludf.DUMMYFUNCTION("""COMPUTED_VALUE"""),"Vancouver, Ottawa, Cana")</f>
        <v/>
      </c>
      <c r="K9872">
        <f>IFERROR(__xludf.DUMMYFUNCTION("""COMPUTED_VALUE"""),3706.43)</f>
        <v/>
      </c>
    </row>
    <row r="9873">
      <c r="J9873">
        <f>IFERROR(__xludf.DUMMYFUNCTION("""COMPUTED_VALUE"""),"Scottsdale, AZ")</f>
        <v/>
      </c>
      <c r="K9873">
        <f>IFERROR(__xludf.DUMMYFUNCTION("""COMPUTED_VALUE"""),3705.26)</f>
        <v/>
      </c>
    </row>
    <row r="9874">
      <c r="J9874">
        <f>IFERROR(__xludf.DUMMYFUNCTION("""COMPUTED_VALUE"""),"Ottawa, Toronto, Bruce Peninsula, Ontario")</f>
        <v/>
      </c>
      <c r="K9874">
        <f>IFERROR(__xludf.DUMMYFUNCTION("""COMPUTED_VALUE"""),3705.22)</f>
        <v/>
      </c>
    </row>
    <row r="9875">
      <c r="J9875">
        <f>IFERROR(__xludf.DUMMYFUNCTION("""COMPUTED_VALUE"""),"St-Jean, Quebec &amp; Halifax, Canada")</f>
        <v/>
      </c>
      <c r="K9875">
        <f>IFERROR(__xludf.DUMMYFUNCTION("""COMPUTED_VALUE"""),3704.98)</f>
        <v/>
      </c>
    </row>
    <row r="9876">
      <c r="J9876">
        <f>IFERROR(__xludf.DUMMYFUNCTION("""COMPUTED_VALUE"""),"Ottawa, Ontario, Canada; Vancouver, British Columbia, Canada; Winnipeg, Manitoba, Canada")</f>
        <v/>
      </c>
      <c r="K9876">
        <f>IFERROR(__xludf.DUMMYFUNCTION("""COMPUTED_VALUE"""),3704.72)</f>
        <v/>
      </c>
    </row>
    <row r="9877">
      <c r="J9877">
        <f>IFERROR(__xludf.DUMMYFUNCTION("""COMPUTED_VALUE"""),"Washington - USA")</f>
        <v/>
      </c>
      <c r="K9877">
        <f>IFERROR(__xludf.DUMMYFUNCTION("""COMPUTED_VALUE"""),3703.38)</f>
        <v/>
      </c>
    </row>
    <row r="9878">
      <c r="J9878">
        <f>IFERROR(__xludf.DUMMYFUNCTION("""COMPUTED_VALUE"""),"Baie-Comeau, Quebec")</f>
        <v/>
      </c>
      <c r="K9878">
        <f>IFERROR(__xludf.DUMMYFUNCTION("""COMPUTED_VALUE"""),3703.14)</f>
        <v/>
      </c>
    </row>
    <row r="9879">
      <c r="J9879">
        <f>IFERROR(__xludf.DUMMYFUNCTION("""COMPUTED_VALUE"""),"Deer Lake, NL / Corner Brook, NL / Fredericton, NB / St. John's, NL")</f>
        <v/>
      </c>
      <c r="K9879">
        <f>IFERROR(__xludf.DUMMYFUNCTION("""COMPUTED_VALUE"""),3702.64)</f>
        <v/>
      </c>
    </row>
    <row r="9880">
      <c r="J9880">
        <f>IFERROR(__xludf.DUMMYFUNCTION("""COMPUTED_VALUE"""),"Whitehorse, Yukon / 
Edmonton and Calgary, Alberta / 
Saskatoon, Saskatchewan")</f>
        <v/>
      </c>
      <c r="K9880">
        <f>IFERROR(__xludf.DUMMYFUNCTION("""COMPUTED_VALUE"""),3702.35)</f>
        <v/>
      </c>
    </row>
    <row r="9881">
      <c r="J9881">
        <f>IFERROR(__xludf.DUMMYFUNCTION("""COMPUTED_VALUE"""),"Toronto, Ontatio")</f>
        <v/>
      </c>
      <c r="K9881">
        <f>IFERROR(__xludf.DUMMYFUNCTION("""COMPUTED_VALUE"""),3701.77)</f>
        <v/>
      </c>
    </row>
    <row r="9882">
      <c r="J9882">
        <f>IFERROR(__xludf.DUMMYFUNCTION("""COMPUTED_VALUE"""),"Vancouver, BC Edmonton, AB")</f>
        <v/>
      </c>
      <c r="K9882">
        <f>IFERROR(__xludf.DUMMYFUNCTION("""COMPUTED_VALUE"""),3701.54)</f>
        <v/>
      </c>
    </row>
    <row r="9883">
      <c r="J9883">
        <f>IFERROR(__xludf.DUMMYFUNCTION("""COMPUTED_VALUE"""),"Kuujuuaq, Quebec, Canada; Happy Valley-Goose Bay , Newfoundland, Canada")</f>
        <v/>
      </c>
      <c r="K9883">
        <f>IFERROR(__xludf.DUMMYFUNCTION("""COMPUTED_VALUE"""),3701.44)</f>
        <v/>
      </c>
    </row>
    <row r="9884">
      <c r="J9884">
        <f>IFERROR(__xludf.DUMMYFUNCTION("""COMPUTED_VALUE"""),"Waterloo, ON / Toronto, ON")</f>
        <v/>
      </c>
      <c r="K9884">
        <f>IFERROR(__xludf.DUMMYFUNCTION("""COMPUTED_VALUE"""),3700.9)</f>
        <v/>
      </c>
    </row>
    <row r="9885">
      <c r="J9885">
        <f>IFERROR(__xludf.DUMMYFUNCTION("""COMPUTED_VALUE"""),"Markham, ON")</f>
        <v/>
      </c>
      <c r="K9885">
        <f>IFERROR(__xludf.DUMMYFUNCTION("""COMPUTED_VALUE"""),3700.06)</f>
        <v/>
      </c>
    </row>
    <row r="9886">
      <c r="J9886">
        <f>IFERROR(__xludf.DUMMYFUNCTION("""COMPUTED_VALUE"""),"Moosonee, Ontario, Canada")</f>
        <v/>
      </c>
      <c r="K9886">
        <f>IFERROR(__xludf.DUMMYFUNCTION("""COMPUTED_VALUE"""),3699.75)</f>
        <v/>
      </c>
    </row>
    <row r="9887">
      <c r="J9887">
        <f>IFERROR(__xludf.DUMMYFUNCTION("""COMPUTED_VALUE"""),"Ottawa, Ontario, Ca")</f>
        <v/>
      </c>
      <c r="K9887">
        <f>IFERROR(__xludf.DUMMYFUNCTION("""COMPUTED_VALUE"""),3699.32)</f>
        <v/>
      </c>
    </row>
    <row r="9888">
      <c r="J9888">
        <f>IFERROR(__xludf.DUMMYFUNCTION("""COMPUTED_VALUE"""),"Lévis - Toronto - Lévis")</f>
        <v/>
      </c>
      <c r="K9888">
        <f>IFERROR(__xludf.DUMMYFUNCTION("""COMPUTED_VALUE"""),3698.60999999999)</f>
        <v/>
      </c>
    </row>
    <row r="9889">
      <c r="J9889">
        <f>IFERROR(__xludf.DUMMYFUNCTION("""COMPUTED_VALUE"""),"Pictou, Nova Scotia, Canada; Halifax, Nova Scotia, Canada")</f>
        <v/>
      </c>
      <c r="K9889">
        <f>IFERROR(__xludf.DUMMYFUNCTION("""COMPUTED_VALUE"""),3698.56)</f>
        <v/>
      </c>
    </row>
    <row r="9890">
      <c r="J9890">
        <f>IFERROR(__xludf.DUMMYFUNCTION("""COMPUTED_VALUE"""),"Calgary, Alberta, Canada; Edmonton, Alberta, Canada; Saskatoon, Saskatchewan")</f>
        <v/>
      </c>
      <c r="K9890">
        <f>IFERROR(__xludf.DUMMYFUNCTION("""COMPUTED_VALUE"""),3698.55)</f>
        <v/>
      </c>
    </row>
    <row r="9891">
      <c r="J9891">
        <f>IFERROR(__xludf.DUMMYFUNCTION("""COMPUTED_VALUE"""),"Winnipeg, MB, Regina, SK, Vancouver, BC")</f>
        <v/>
      </c>
      <c r="K9891">
        <f>IFERROR(__xludf.DUMMYFUNCTION("""COMPUTED_VALUE"""),3697.52)</f>
        <v/>
      </c>
    </row>
    <row r="9892">
      <c r="J9892">
        <f>IFERROR(__xludf.DUMMYFUNCTION("""COMPUTED_VALUE"""),"Saskatoon, Calgary and Waterloo")</f>
        <v/>
      </c>
      <c r="K9892">
        <f>IFERROR(__xludf.DUMMYFUNCTION("""COMPUTED_VALUE"""),3697.45)</f>
        <v/>
      </c>
    </row>
    <row r="9893">
      <c r="J9893">
        <f>IFERROR(__xludf.DUMMYFUNCTION("""COMPUTED_VALUE"""),"London, Ontario, Canada; Niagara Falls, Ontario, Canada; Moncton, New Brunswick, Canada")</f>
        <v/>
      </c>
      <c r="K9893">
        <f>IFERROR(__xludf.DUMMYFUNCTION("""COMPUTED_VALUE"""),3696.86)</f>
        <v/>
      </c>
    </row>
    <row r="9894">
      <c r="J9894">
        <f>IFERROR(__xludf.DUMMYFUNCTION("""COMPUTED_VALUE"""),"Etobicoke, ON")</f>
        <v/>
      </c>
      <c r="K9894">
        <f>IFERROR(__xludf.DUMMYFUNCTION("""COMPUTED_VALUE"""),3696.64)</f>
        <v/>
      </c>
    </row>
    <row r="9895">
      <c r="J9895">
        <f>IFERROR(__xludf.DUMMYFUNCTION("""COMPUTED_VALUE"""),"TORONTO, ON - OTTAWA, ON - HALIFAX, NS - MONTREAL, QC")</f>
        <v/>
      </c>
      <c r="K9895">
        <f>IFERROR(__xludf.DUMMYFUNCTION("""COMPUTED_VALUE"""),3696.23)</f>
        <v/>
      </c>
    </row>
    <row r="9896">
      <c r="J9896">
        <f>IFERROR(__xludf.DUMMYFUNCTION("""COMPUTED_VALUE"""),"Resolute, Nunavut, Canada")</f>
        <v/>
      </c>
      <c r="K9896">
        <f>IFERROR(__xludf.DUMMYFUNCTION("""COMPUTED_VALUE"""),3695.65)</f>
        <v/>
      </c>
    </row>
    <row r="9897">
      <c r="J9897">
        <f>IFERROR(__xludf.DUMMYFUNCTION("""COMPUTED_VALUE"""),"Whitehorse, Yukon, Canada; Vancouver, British Columbia, Canada; Saskatoon, Saskatchewan, Canada; Toronto, Ontario, Canada")</f>
        <v/>
      </c>
      <c r="K9897">
        <f>IFERROR(__xludf.DUMMYFUNCTION("""COMPUTED_VALUE"""),3693.21)</f>
        <v/>
      </c>
    </row>
    <row r="9898">
      <c r="J9898">
        <f>IFERROR(__xludf.DUMMYFUNCTION("""COMPUTED_VALUE"""),"Toronto, Ontario and Montreal, Quebec")</f>
        <v/>
      </c>
      <c r="K9898">
        <f>IFERROR(__xludf.DUMMYFUNCTION("""COMPUTED_VALUE"""),3692.21)</f>
        <v/>
      </c>
    </row>
    <row r="9899">
      <c r="J9899">
        <f>IFERROR(__xludf.DUMMYFUNCTION("""COMPUTED_VALUE"""),"Québec, St-Methot, Chibougamau")</f>
        <v/>
      </c>
      <c r="K9899">
        <f>IFERROR(__xludf.DUMMYFUNCTION("""COMPUTED_VALUE"""),3691.5)</f>
        <v/>
      </c>
    </row>
    <row r="9900">
      <c r="J9900">
        <f>IFERROR(__xludf.DUMMYFUNCTION("""COMPUTED_VALUE"""),"Abbotsford, British Columbia;
Regina, Saskatchewan")</f>
        <v/>
      </c>
      <c r="K9900">
        <f>IFERROR(__xludf.DUMMYFUNCTION("""COMPUTED_VALUE"""),3691.46)</f>
        <v/>
      </c>
    </row>
    <row r="9901">
      <c r="J9901">
        <f>IFERROR(__xludf.DUMMYFUNCTION("""COMPUTED_VALUE"""),"Tel Aviv, Ramallah, Aman, Riyadh")</f>
        <v/>
      </c>
      <c r="K9901">
        <f>IFERROR(__xludf.DUMMYFUNCTION("""COMPUTED_VALUE"""),3690.35)</f>
        <v/>
      </c>
    </row>
    <row r="9902">
      <c r="J9902">
        <f>IFERROR(__xludf.DUMMYFUNCTION("""COMPUTED_VALUE"""),"Edmonton, AB; 
Ottawa, ON")</f>
        <v/>
      </c>
      <c r="K9902">
        <f>IFERROR(__xludf.DUMMYFUNCTION("""COMPUTED_VALUE"""),3690.2)</f>
        <v/>
      </c>
    </row>
    <row r="9903">
      <c r="J9903">
        <f>IFERROR(__xludf.DUMMYFUNCTION("""COMPUTED_VALUE"""),"Saskatoon, Saskatchewan; Edmonton, Alberta; Vancouver, British Columbia; Abbotsford, BC")</f>
        <v/>
      </c>
      <c r="K9903">
        <f>IFERROR(__xludf.DUMMYFUNCTION("""COMPUTED_VALUE"""),3690)</f>
        <v/>
      </c>
    </row>
    <row r="9904">
      <c r="J9904">
        <f>IFERROR(__xludf.DUMMYFUNCTION("""COMPUTED_VALUE"""),"Toronto, Ontario, Canada/ Montreal, Quebec, Canada")</f>
        <v/>
      </c>
      <c r="K9904">
        <f>IFERROR(__xludf.DUMMYFUNCTION("""COMPUTED_VALUE"""),3690)</f>
        <v/>
      </c>
    </row>
    <row r="9905">
      <c r="J9905">
        <f>IFERROR(__xludf.DUMMYFUNCTION("""COMPUTED_VALUE"""),"Ottawa, Ontario / Montreal, Québec")</f>
        <v/>
      </c>
      <c r="K9905">
        <f>IFERROR(__xludf.DUMMYFUNCTION("""COMPUTED_VALUE"""),3689.67)</f>
        <v/>
      </c>
    </row>
    <row r="9906">
      <c r="J9906">
        <f>IFERROR(__xludf.DUMMYFUNCTION("""COMPUTED_VALUE"""),"Ottawa, Gatineau")</f>
        <v/>
      </c>
      <c r="K9906">
        <f>IFERROR(__xludf.DUMMYFUNCTION("""COMPUTED_VALUE"""),3688.51)</f>
        <v/>
      </c>
    </row>
    <row r="9907">
      <c r="J9907">
        <f>IFERROR(__xludf.DUMMYFUNCTION("""COMPUTED_VALUE"""),"Ottawa, Ontario, Canada; Montreal, Quebec, Canada; Inuvik, Northwest Territories, Canada; Toronto, Ontario, Canada")</f>
        <v/>
      </c>
      <c r="K9907">
        <f>IFERROR(__xludf.DUMMYFUNCTION("""COMPUTED_VALUE"""),3688.2)</f>
        <v/>
      </c>
    </row>
    <row r="9908">
      <c r="J9908">
        <f>IFERROR(__xludf.DUMMYFUNCTION("""COMPUTED_VALUE"""),"Anchorage, US")</f>
        <v/>
      </c>
      <c r="K9908">
        <f>IFERROR(__xludf.DUMMYFUNCTION("""COMPUTED_VALUE"""),3687.71)</f>
        <v/>
      </c>
    </row>
    <row r="9909">
      <c r="J9909">
        <f>IFERROR(__xludf.DUMMYFUNCTION("""COMPUTED_VALUE"""),"New York (USA) and Cancun (Mexico)")</f>
        <v/>
      </c>
      <c r="K9909">
        <f>IFERROR(__xludf.DUMMYFUNCTION("""COMPUTED_VALUE"""),3687.27)</f>
        <v/>
      </c>
    </row>
    <row r="9910">
      <c r="J9910">
        <f>IFERROR(__xludf.DUMMYFUNCTION("""COMPUTED_VALUE"""),"Calgary - Banff")</f>
        <v/>
      </c>
      <c r="K9910">
        <f>IFERROR(__xludf.DUMMYFUNCTION("""COMPUTED_VALUE"""),3686.48)</f>
        <v/>
      </c>
    </row>
    <row r="9911">
      <c r="J9911">
        <f>IFERROR(__xludf.DUMMYFUNCTION("""COMPUTED_VALUE"""),"Saskatoon, Sask.")</f>
        <v/>
      </c>
      <c r="K9911">
        <f>IFERROR(__xludf.DUMMYFUNCTION("""COMPUTED_VALUE"""),3684.68999999999)</f>
        <v/>
      </c>
    </row>
    <row r="9912">
      <c r="J9912">
        <f>IFERROR(__xludf.DUMMYFUNCTION("""COMPUTED_VALUE"""),"Colorado Springs 
United States of America")</f>
        <v/>
      </c>
      <c r="K9912">
        <f>IFERROR(__xludf.DUMMYFUNCTION("""COMPUTED_VALUE"""),3683.58)</f>
        <v/>
      </c>
    </row>
    <row r="9913">
      <c r="J9913">
        <f>IFERROR(__xludf.DUMMYFUNCTION("""COMPUTED_VALUE"""),"Saskatchawan , Alberta, Canada")</f>
        <v/>
      </c>
      <c r="K9913">
        <f>IFERROR(__xludf.DUMMYFUNCTION("""COMPUTED_VALUE"""),3683.1)</f>
        <v/>
      </c>
    </row>
    <row r="9914">
      <c r="J9914">
        <f>IFERROR(__xludf.DUMMYFUNCTION("""COMPUTED_VALUE"""),"Santa Fe, New Mexico, United States of America")</f>
        <v/>
      </c>
      <c r="K9914">
        <f>IFERROR(__xludf.DUMMYFUNCTION("""COMPUTED_VALUE"""),3682.29)</f>
        <v/>
      </c>
    </row>
    <row r="9915">
      <c r="J9915">
        <f>IFERROR(__xludf.DUMMYFUNCTION("""COMPUTED_VALUE"""),"Kingston, Jamaica / Bogota, Colombia")</f>
        <v/>
      </c>
      <c r="K9915">
        <f>IFERROR(__xludf.DUMMYFUNCTION("""COMPUTED_VALUE"""),3681.64)</f>
        <v/>
      </c>
    </row>
    <row r="9916">
      <c r="J9916">
        <f>IFERROR(__xludf.DUMMYFUNCTION("""COMPUTED_VALUE"""),"Central in Canada")</f>
        <v/>
      </c>
      <c r="K9916">
        <f>IFERROR(__xludf.DUMMYFUNCTION("""COMPUTED_VALUE"""),3681.3)</f>
        <v/>
      </c>
    </row>
    <row r="9917">
      <c r="J9917">
        <f>IFERROR(__xludf.DUMMYFUNCTION("""COMPUTED_VALUE"""),"Ottawa, ON - Quebec City, QC / Quebec City, QC - Ottawa, ON")</f>
        <v/>
      </c>
      <c r="K9917">
        <f>IFERROR(__xludf.DUMMYFUNCTION("""COMPUTED_VALUE"""),3680.44)</f>
        <v/>
      </c>
    </row>
    <row r="9918">
      <c r="J9918">
        <f>IFERROR(__xludf.DUMMYFUNCTION("""COMPUTED_VALUE"""),"Ottawa, ON, McDonald")</f>
        <v/>
      </c>
      <c r="K9918">
        <f>IFERROR(__xludf.DUMMYFUNCTION("""COMPUTED_VALUE"""),3680.19)</f>
        <v/>
      </c>
    </row>
    <row r="9919">
      <c r="J9919">
        <f>IFERROR(__xludf.DUMMYFUNCTION("""COMPUTED_VALUE"""),"Charlottetown, Prince-Edward-Island, Canada")</f>
        <v/>
      </c>
      <c r="K9919">
        <f>IFERROR(__xludf.DUMMYFUNCTION("""COMPUTED_VALUE"""),3680.17)</f>
        <v/>
      </c>
    </row>
    <row r="9920">
      <c r="J9920">
        <f>IFERROR(__xludf.DUMMYFUNCTION("""COMPUTED_VALUE"""),"Winnipeg, Manitoba; Yellowknife, Northwest Territories; Edmonton, Alberta")</f>
        <v/>
      </c>
      <c r="K9920">
        <f>IFERROR(__xludf.DUMMYFUNCTION("""COMPUTED_VALUE"""),3678.93)</f>
        <v/>
      </c>
    </row>
    <row r="9921">
      <c r="J9921">
        <f>IFERROR(__xludf.DUMMYFUNCTION("""COMPUTED_VALUE"""),"MONTREAL &amp; BAGOTVILLE &amp; QUEBEC CITY, QC")</f>
        <v/>
      </c>
      <c r="K9921">
        <f>IFERROR(__xludf.DUMMYFUNCTION("""COMPUTED_VALUE"""),3678.71)</f>
        <v/>
      </c>
    </row>
    <row r="9922">
      <c r="J9922">
        <f>IFERROR(__xludf.DUMMYFUNCTION("""COMPUTED_VALUE"""),"Ottawa-Winnipeg-Ottawa")</f>
        <v/>
      </c>
      <c r="K9922">
        <f>IFERROR(__xludf.DUMMYFUNCTION("""COMPUTED_VALUE"""),3678.61)</f>
        <v/>
      </c>
    </row>
    <row r="9923">
      <c r="J9923">
        <f>IFERROR(__xludf.DUMMYFUNCTION("""COMPUTED_VALUE"""),"La Malbaie, Quebec, Canada")</f>
        <v/>
      </c>
      <c r="K9923">
        <f>IFERROR(__xludf.DUMMYFUNCTION("""COMPUTED_VALUE"""),3678.38)</f>
        <v/>
      </c>
    </row>
    <row r="9924">
      <c r="J9924">
        <f>IFERROR(__xludf.DUMMYFUNCTION("""COMPUTED_VALUE"""),"Vancouver, British Columbia
Campbell River, British Columbia")</f>
        <v/>
      </c>
      <c r="K9924">
        <f>IFERROR(__xludf.DUMMYFUNCTION("""COMPUTED_VALUE"""),3677.95)</f>
        <v/>
      </c>
    </row>
    <row r="9925">
      <c r="J9925">
        <f>IFERROR(__xludf.DUMMYFUNCTION("""COMPUTED_VALUE"""),"Merida - Mexico")</f>
        <v/>
      </c>
      <c r="K9925">
        <f>IFERROR(__xludf.DUMMYFUNCTION("""COMPUTED_VALUE"""),3677.07)</f>
        <v/>
      </c>
    </row>
    <row r="9926">
      <c r="J9926">
        <f>IFERROR(__xludf.DUMMYFUNCTION("""COMPUTED_VALUE"""),"St. John's, Glovetown, Norris Point, Port aux Choix, Deer Lake, Newfoundland")</f>
        <v/>
      </c>
      <c r="K9926">
        <f>IFERROR(__xludf.DUMMYFUNCTION("""COMPUTED_VALUE"""),3677.06)</f>
        <v/>
      </c>
    </row>
    <row r="9927">
      <c r="J9927">
        <f>IFERROR(__xludf.DUMMYFUNCTION("""COMPUTED_VALUE"""),"Manchester, New Hampshire / Boston, Massachusetts")</f>
        <v/>
      </c>
      <c r="K9927">
        <f>IFERROR(__xludf.DUMMYFUNCTION("""COMPUTED_VALUE"""),3676.74)</f>
        <v/>
      </c>
    </row>
    <row r="9928">
      <c r="J9928">
        <f>IFERROR(__xludf.DUMMYFUNCTION("""COMPUTED_VALUE"""),"Pictou, Nova Scotia, Canada")</f>
        <v/>
      </c>
      <c r="K9928">
        <f>IFERROR(__xludf.DUMMYFUNCTION("""COMPUTED_VALUE"""),3676.71)</f>
        <v/>
      </c>
    </row>
    <row r="9929">
      <c r="J9929">
        <f>IFERROR(__xludf.DUMMYFUNCTION("""COMPUTED_VALUE"""),"Calgary, Alberta; Ottawa, Ontario, Canada")</f>
        <v/>
      </c>
      <c r="K9929">
        <f>IFERROR(__xludf.DUMMYFUNCTION("""COMPUTED_VALUE"""),3675.32)</f>
        <v/>
      </c>
    </row>
    <row r="9930">
      <c r="J9930">
        <f>IFERROR(__xludf.DUMMYFUNCTION("""COMPUTED_VALUE"""),"Toronto, ON - Petawawa, ON")</f>
        <v/>
      </c>
      <c r="K9930">
        <f>IFERROR(__xludf.DUMMYFUNCTION("""COMPUTED_VALUE"""),3675.23)</f>
        <v/>
      </c>
    </row>
    <row r="9931">
      <c r="J9931">
        <f>IFERROR(__xludf.DUMMYFUNCTION("""COMPUTED_VALUE"""),"Victoria, British Columbia, Canada; Duncan, British Columbia, Canada; Ladysmith, British Columbia, Canada")</f>
        <v/>
      </c>
      <c r="K9931">
        <f>IFERROR(__xludf.DUMMYFUNCTION("""COMPUTED_VALUE"""),3674.77)</f>
        <v/>
      </c>
    </row>
    <row r="9932">
      <c r="J9932">
        <f>IFERROR(__xludf.DUMMYFUNCTION("""COMPUTED_VALUE"""),"Riga")</f>
        <v/>
      </c>
      <c r="K9932">
        <f>IFERROR(__xludf.DUMMYFUNCTION("""COMPUTED_VALUE"""),3673.98)</f>
        <v/>
      </c>
    </row>
    <row r="9933">
      <c r="J9933">
        <f>IFERROR(__xludf.DUMMYFUNCTION("""COMPUTED_VALUE"""),"St-Johns, NFLD")</f>
        <v/>
      </c>
      <c r="K9933">
        <f>IFERROR(__xludf.DUMMYFUNCTION("""COMPUTED_VALUE"""),3673.87)</f>
        <v/>
      </c>
    </row>
    <row r="9934">
      <c r="J9934">
        <f>IFERROR(__xludf.DUMMYFUNCTION("""COMPUTED_VALUE"""),"Nanaimo, British Columbia; Ottawa, Ontario")</f>
        <v/>
      </c>
      <c r="K9934">
        <f>IFERROR(__xludf.DUMMYFUNCTION("""COMPUTED_VALUE"""),3673.82)</f>
        <v/>
      </c>
    </row>
    <row r="9935">
      <c r="J9935">
        <f>IFERROR(__xludf.DUMMYFUNCTION("""COMPUTED_VALUE"""),"Toronto, Ontario, Canada; Saskatoon, Saskatchewan, Canada; Stoney Rapids, Saskatchewan, Canada")</f>
        <v/>
      </c>
      <c r="K9935">
        <f>IFERROR(__xludf.DUMMYFUNCTION("""COMPUTED_VALUE"""),3673)</f>
        <v/>
      </c>
    </row>
    <row r="9936">
      <c r="J9936">
        <f>IFERROR(__xludf.DUMMYFUNCTION("""COMPUTED_VALUE"""),"Calgary, AB, Regina, SK")</f>
        <v/>
      </c>
      <c r="K9936">
        <f>IFERROR(__xludf.DUMMYFUNCTION("""COMPUTED_VALUE"""),3672.92)</f>
        <v/>
      </c>
    </row>
    <row r="9937">
      <c r="J9937">
        <f>IFERROR(__xludf.DUMMYFUNCTION("""COMPUTED_VALUE"""),"Toronto, ON St. John's, NL")</f>
        <v/>
      </c>
      <c r="K9937">
        <f>IFERROR(__xludf.DUMMYFUNCTION("""COMPUTED_VALUE"""),3672.74)</f>
        <v/>
      </c>
    </row>
    <row r="9938">
      <c r="J9938">
        <f>IFERROR(__xludf.DUMMYFUNCTION("""COMPUTED_VALUE"""),"New Richmond, Quebec, Canada")</f>
        <v/>
      </c>
      <c r="K9938">
        <f>IFERROR(__xludf.DUMMYFUNCTION("""COMPUTED_VALUE"""),3671.2)</f>
        <v/>
      </c>
    </row>
    <row r="9939">
      <c r="J9939">
        <f>IFERROR(__xludf.DUMMYFUNCTION("""COMPUTED_VALUE"""),"Toronto, ON / Sudbury, ON / Thunder Bay, ON / Mississauga, ON/ Montreal, QC")</f>
        <v/>
      </c>
      <c r="K9939">
        <f>IFERROR(__xludf.DUMMYFUNCTION("""COMPUTED_VALUE"""),3670.95)</f>
        <v/>
      </c>
    </row>
    <row r="9940">
      <c r="J9940">
        <f>IFERROR(__xludf.DUMMYFUNCTION("""COMPUTED_VALUE"""),"Sydney, Nova Scotia and St. John's, Newfoundland and Labrador")</f>
        <v/>
      </c>
      <c r="K9940">
        <f>IFERROR(__xludf.DUMMYFUNCTION("""COMPUTED_VALUE"""),3669.93)</f>
        <v/>
      </c>
    </row>
    <row r="9941">
      <c r="J9941">
        <f>IFERROR(__xludf.DUMMYFUNCTION("""COMPUTED_VALUE"""),"Tel Aviv, Sharm Al Sheik, Amman, Manama")</f>
        <v/>
      </c>
      <c r="K9941">
        <f>IFERROR(__xludf.DUMMYFUNCTION("""COMPUTED_VALUE"""),3669.87)</f>
        <v/>
      </c>
    </row>
    <row r="9942">
      <c r="J9942">
        <f>IFERROR(__xludf.DUMMYFUNCTION("""COMPUTED_VALUE"""),"Edmonton (Alberta) CanadaVancouver (British Columbia) Canada")</f>
        <v/>
      </c>
      <c r="K9942">
        <f>IFERROR(__xludf.DUMMYFUNCTION("""COMPUTED_VALUE"""),3669.63)</f>
        <v/>
      </c>
    </row>
    <row r="9943">
      <c r="J9943">
        <f>IFERROR(__xludf.DUMMYFUNCTION("""COMPUTED_VALUE"""),"Vancouver, British Columbia / Winnipeg, Manitoba Canada")</f>
        <v/>
      </c>
      <c r="K9943">
        <f>IFERROR(__xludf.DUMMYFUNCTION("""COMPUTED_VALUE"""),3669.29)</f>
        <v/>
      </c>
    </row>
    <row r="9944">
      <c r="J9944">
        <f>IFERROR(__xludf.DUMMYFUNCTION("""COMPUTED_VALUE"""),"Vancouver, BC Montreal, QC")</f>
        <v/>
      </c>
      <c r="K9944">
        <f>IFERROR(__xludf.DUMMYFUNCTION("""COMPUTED_VALUE"""),3669.27)</f>
        <v/>
      </c>
    </row>
    <row r="9945">
      <c r="J9945">
        <f>IFERROR(__xludf.DUMMYFUNCTION("""COMPUTED_VALUE"""),"Prairie Region CDLC /
HMCS Unicorn")</f>
        <v/>
      </c>
      <c r="K9945">
        <f>IFERROR(__xludf.DUMMYFUNCTION("""COMPUTED_VALUE"""),3669.21)</f>
        <v/>
      </c>
    </row>
    <row r="9946">
      <c r="J9946">
        <f>IFERROR(__xludf.DUMMYFUNCTION("""COMPUTED_VALUE"""),"Victoria, British Columbia and Edmonton, Alberta, Canada")</f>
        <v/>
      </c>
      <c r="K9946">
        <f>IFERROR(__xludf.DUMMYFUNCTION("""COMPUTED_VALUE"""),3669.04)</f>
        <v/>
      </c>
    </row>
    <row r="9947">
      <c r="J9947">
        <f>IFERROR(__xludf.DUMMYFUNCTION("""COMPUTED_VALUE"""),"Lake Louise, Alberta, Canada                            Calgary, Alberta, Canada                                                                Banff, Alberta, Canada                                                            Revelstoke, British Columbia,"&amp;" Canada                                                                                                    Radium Hot Springs, British Columbia, Canada")</f>
        <v/>
      </c>
      <c r="K9947">
        <f>IFERROR(__xludf.DUMMYFUNCTION("""COMPUTED_VALUE"""),3668.89)</f>
        <v/>
      </c>
    </row>
    <row r="9948">
      <c r="J9948">
        <f>IFERROR(__xludf.DUMMYFUNCTION("""COMPUTED_VALUE"""),"Mississauga, Burlington, Niagara Falls, Ontario (Canada)")</f>
        <v/>
      </c>
      <c r="K9948">
        <f>IFERROR(__xludf.DUMMYFUNCTION("""COMPUTED_VALUE"""),3668.52)</f>
        <v/>
      </c>
    </row>
    <row r="9949">
      <c r="J9949">
        <f>IFERROR(__xludf.DUMMYFUNCTION("""COMPUTED_VALUE"""),"Colorado Springs, Colorado, United States of America")</f>
        <v/>
      </c>
      <c r="K9949">
        <f>IFERROR(__xludf.DUMMYFUNCTION("""COMPUTED_VALUE"""),3667.94)</f>
        <v/>
      </c>
    </row>
    <row r="9950">
      <c r="J9950">
        <f>IFERROR(__xludf.DUMMYFUNCTION("""COMPUTED_VALUE"""),"Victoria, British Columbia, Canada; Seattle, United States")</f>
        <v/>
      </c>
      <c r="K9950">
        <f>IFERROR(__xludf.DUMMYFUNCTION("""COMPUTED_VALUE"""),3667.65)</f>
        <v/>
      </c>
    </row>
    <row r="9951">
      <c r="J9951">
        <f>IFERROR(__xludf.DUMMYFUNCTION("""COMPUTED_VALUE"""),"Charlottetown, P.E.I. &amp; Calgary Alta.")</f>
        <v/>
      </c>
      <c r="K9951">
        <f>IFERROR(__xludf.DUMMYFUNCTION("""COMPUTED_VALUE"""),3667.39)</f>
        <v/>
      </c>
    </row>
    <row r="9952">
      <c r="J9952">
        <f>IFERROR(__xludf.DUMMYFUNCTION("""COMPUTED_VALUE"""),"Montreal; Toronto; St. John's")</f>
        <v/>
      </c>
      <c r="K9952">
        <f>IFERROR(__xludf.DUMMYFUNCTION("""COMPUTED_VALUE"""),3667.01)</f>
        <v/>
      </c>
    </row>
    <row r="9953">
      <c r="J9953">
        <f>IFERROR(__xludf.DUMMYFUNCTION("""COMPUTED_VALUE"""),"Vancouver, British Columbia / Montreal, Quebec")</f>
        <v/>
      </c>
      <c r="K9953">
        <f>IFERROR(__xludf.DUMMYFUNCTION("""COMPUTED_VALUE"""),3666.97)</f>
        <v/>
      </c>
    </row>
    <row r="9954">
      <c r="J9954">
        <f>IFERROR(__xludf.DUMMYFUNCTION("""COMPUTED_VALUE"""),"Las Vegas (NV)")</f>
        <v/>
      </c>
      <c r="K9954">
        <f>IFERROR(__xludf.DUMMYFUNCTION("""COMPUTED_VALUE"""),3666.25)</f>
        <v/>
      </c>
    </row>
    <row r="9955">
      <c r="J9955">
        <f>IFERROR(__xludf.DUMMYFUNCTION("""COMPUTED_VALUE"""),"Vancouver-Toronto")</f>
        <v/>
      </c>
      <c r="K9955">
        <f>IFERROR(__xludf.DUMMYFUNCTION("""COMPUTED_VALUE"""),3666.14)</f>
        <v/>
      </c>
    </row>
    <row r="9956">
      <c r="J9956">
        <f>IFERROR(__xludf.DUMMYFUNCTION("""COMPUTED_VALUE"""),"Fort Smith and Deline,  Northwest Territories")</f>
        <v/>
      </c>
      <c r="K9956">
        <f>IFERROR(__xludf.DUMMYFUNCTION("""COMPUTED_VALUE"""),3665.58)</f>
        <v/>
      </c>
    </row>
    <row r="9957">
      <c r="J9957">
        <f>IFERROR(__xludf.DUMMYFUNCTION("""COMPUTED_VALUE"""),"Los Angeles, San Francisco, Seattle")</f>
        <v/>
      </c>
      <c r="K9957">
        <f>IFERROR(__xludf.DUMMYFUNCTION("""COMPUTED_VALUE"""),3665.08)</f>
        <v/>
      </c>
    </row>
    <row r="9958">
      <c r="J9958">
        <f>IFERROR(__xludf.DUMMYFUNCTION("""COMPUTED_VALUE"""),"Winnipeg, MB Steinbach, MB")</f>
        <v/>
      </c>
      <c r="K9958">
        <f>IFERROR(__xludf.DUMMYFUNCTION("""COMPUTED_VALUE"""),3664.6)</f>
        <v/>
      </c>
    </row>
    <row r="9959">
      <c r="J9959">
        <f>IFERROR(__xludf.DUMMYFUNCTION("""COMPUTED_VALUE"""),"Mississauga, ON and Vancouver, BC")</f>
        <v/>
      </c>
      <c r="K9959">
        <f>IFERROR(__xludf.DUMMYFUNCTION("""COMPUTED_VALUE"""),3664.23)</f>
        <v/>
      </c>
    </row>
    <row r="9960">
      <c r="J9960">
        <f>IFERROR(__xludf.DUMMYFUNCTION("""COMPUTED_VALUE"""),"San Diego")</f>
        <v/>
      </c>
      <c r="K9960">
        <f>IFERROR(__xludf.DUMMYFUNCTION("""COMPUTED_VALUE"""),3663.72)</f>
        <v/>
      </c>
    </row>
    <row r="9961">
      <c r="J9961">
        <f>IFERROR(__xludf.DUMMYFUNCTION("""COMPUTED_VALUE"""),"Edmonton, Calgary, AB, Vancouver, Kelowna, BC")</f>
        <v/>
      </c>
      <c r="K9961">
        <f>IFERROR(__xludf.DUMMYFUNCTION("""COMPUTED_VALUE"""),3663.59)</f>
        <v/>
      </c>
    </row>
    <row r="9962">
      <c r="J9962">
        <f>IFERROR(__xludf.DUMMYFUNCTION("""COMPUTED_VALUE"""),"Calgary AB, Corner Brook NFLD, St John's NFLD")</f>
        <v/>
      </c>
      <c r="K9962">
        <f>IFERROR(__xludf.DUMMYFUNCTION("""COMPUTED_VALUE"""),3662.7)</f>
        <v/>
      </c>
    </row>
    <row r="9963">
      <c r="J9963">
        <f>IFERROR(__xludf.DUMMYFUNCTION("""COMPUTED_VALUE"""),"Denver, Colorado,
United States of America")</f>
        <v/>
      </c>
      <c r="K9963">
        <f>IFERROR(__xludf.DUMMYFUNCTION("""COMPUTED_VALUE"""),3661.64)</f>
        <v/>
      </c>
    </row>
    <row r="9964">
      <c r="J9964">
        <f>IFERROR(__xludf.DUMMYFUNCTION("""COMPUTED_VALUE"""),"Nunavik, Quebec, Canada")</f>
        <v/>
      </c>
      <c r="K9964">
        <f>IFERROR(__xludf.DUMMYFUNCTION("""COMPUTED_VALUE"""),3661.15)</f>
        <v/>
      </c>
    </row>
    <row r="9965">
      <c r="J9965">
        <f>IFERROR(__xludf.DUMMYFUNCTION("""COMPUTED_VALUE"""),"Los Angeles, California, United-States")</f>
        <v/>
      </c>
      <c r="K9965">
        <f>IFERROR(__xludf.DUMMYFUNCTION("""COMPUTED_VALUE"""),3660.18)</f>
        <v/>
      </c>
    </row>
    <row r="9966">
      <c r="J9966">
        <f>IFERROR(__xludf.DUMMYFUNCTION("""COMPUTED_VALUE"""),"Yellowknife, Northwest Territories, Canada/ Dawson, Yukon, Canada/ Whitehorse, Yukon, Canada")</f>
        <v/>
      </c>
      <c r="K9966">
        <f>IFERROR(__xludf.DUMMYFUNCTION("""COMPUTED_VALUE"""),3659.74)</f>
        <v/>
      </c>
    </row>
    <row r="9967">
      <c r="J9967">
        <f>IFERROR(__xludf.DUMMYFUNCTION("""COMPUTED_VALUE"""),"Toronto, Ontario / Vancouver, British Columbia / Whitehorse, Yukon")</f>
        <v/>
      </c>
      <c r="K9967">
        <f>IFERROR(__xludf.DUMMYFUNCTION("""COMPUTED_VALUE"""),3659.23)</f>
        <v/>
      </c>
    </row>
    <row r="9968">
      <c r="J9968">
        <f>IFERROR(__xludf.DUMMYFUNCTION("""COMPUTED_VALUE"""),"Moncton, New Brunswick; St. Johns, Newfoundland and Labrador")</f>
        <v/>
      </c>
      <c r="K9968">
        <f>IFERROR(__xludf.DUMMYFUNCTION("""COMPUTED_VALUE"""),3659.11)</f>
        <v/>
      </c>
    </row>
    <row r="9969">
      <c r="J9969">
        <f>IFERROR(__xludf.DUMMYFUNCTION("""COMPUTED_VALUE"""),"Saint John, New Brunswick / Fredericton, New Brunswick / Moncton, New Brunswick")</f>
        <v/>
      </c>
      <c r="K9969">
        <f>IFERROR(__xludf.DUMMYFUNCTION("""COMPUTED_VALUE"""),3659.04)</f>
        <v/>
      </c>
    </row>
    <row r="9970">
      <c r="J9970">
        <f>IFERROR(__xludf.DUMMYFUNCTION("""COMPUTED_VALUE"""),"PENTICTON, BC")</f>
        <v/>
      </c>
      <c r="K9970">
        <f>IFERROR(__xludf.DUMMYFUNCTION("""COMPUTED_VALUE"""),3657.81)</f>
        <v/>
      </c>
    </row>
    <row r="9971">
      <c r="J9971">
        <f>IFERROR(__xludf.DUMMYFUNCTION("""COMPUTED_VALUE"""),"Edmonton, Calgary, Vancouver, Victoria")</f>
        <v/>
      </c>
      <c r="K9971">
        <f>IFERROR(__xludf.DUMMYFUNCTION("""COMPUTED_VALUE"""),3657.05)</f>
        <v/>
      </c>
    </row>
    <row r="9972">
      <c r="J9972">
        <f>IFERROR(__xludf.DUMMYFUNCTION("""COMPUTED_VALUE"""),"Vancouver/ Victoria BC")</f>
        <v/>
      </c>
      <c r="K9972">
        <f>IFERROR(__xludf.DUMMYFUNCTION("""COMPUTED_VALUE"""),3655.92)</f>
        <v/>
      </c>
    </row>
    <row r="9973">
      <c r="J9973">
        <f>IFERROR(__xludf.DUMMYFUNCTION("""COMPUTED_VALUE"""),"Sioux Lookout, Ontario; Winnipeg, Manitoba")</f>
        <v/>
      </c>
      <c r="K9973">
        <f>IFERROR(__xludf.DUMMYFUNCTION("""COMPUTED_VALUE"""),3654.39)</f>
        <v/>
      </c>
    </row>
    <row r="9974">
      <c r="J9974">
        <f>IFERROR(__xludf.DUMMYFUNCTION("""COMPUTED_VALUE"""),"Halifax,  Nova Scotia")</f>
        <v/>
      </c>
      <c r="K9974">
        <f>IFERROR(__xludf.DUMMYFUNCTION("""COMPUTED_VALUE"""),3654.27999999999)</f>
        <v/>
      </c>
    </row>
    <row r="9975">
      <c r="J9975">
        <f>IFERROR(__xludf.DUMMYFUNCTION("""COMPUTED_VALUE"""),"Houston, United States of America")</f>
        <v/>
      </c>
      <c r="K9975">
        <f>IFERROR(__xludf.DUMMYFUNCTION("""COMPUTED_VALUE"""),3654.05)</f>
        <v/>
      </c>
    </row>
    <row r="9976">
      <c r="J9976">
        <f>IFERROR(__xludf.DUMMYFUNCTION("""COMPUTED_VALUE"""),"Bridgtetown, Barbados")</f>
        <v/>
      </c>
      <c r="K9976">
        <f>IFERROR(__xludf.DUMMYFUNCTION("""COMPUTED_VALUE"""),3653.92)</f>
        <v/>
      </c>
    </row>
    <row r="9977">
      <c r="J9977">
        <f>IFERROR(__xludf.DUMMYFUNCTION("""COMPUTED_VALUE"""),"Ottawa/Toronto (Ontario) Canada")</f>
        <v/>
      </c>
      <c r="K9977">
        <f>IFERROR(__xludf.DUMMYFUNCTION("""COMPUTED_VALUE"""),3653.36)</f>
        <v/>
      </c>
    </row>
    <row r="9978">
      <c r="J9978">
        <f>IFERROR(__xludf.DUMMYFUNCTION("""COMPUTED_VALUE"""),"St-John's, NL, Winnipeg, MB and Saskatoon, SK")</f>
        <v/>
      </c>
      <c r="K9978">
        <f>IFERROR(__xludf.DUMMYFUNCTION("""COMPUTED_VALUE"""),3652.94)</f>
        <v/>
      </c>
    </row>
    <row r="9979">
      <c r="J9979">
        <f>IFERROR(__xludf.DUMMYFUNCTION("""COMPUTED_VALUE"""),"Ottawa, Ontario, CanadaQuebec, Quebec, Canada")</f>
        <v/>
      </c>
      <c r="K9979">
        <f>IFERROR(__xludf.DUMMYFUNCTION("""COMPUTED_VALUE"""),3652.45)</f>
        <v/>
      </c>
    </row>
    <row r="9980">
      <c r="J9980">
        <f>IFERROR(__xludf.DUMMYFUNCTION("""COMPUTED_VALUE"""),"Vancouver, Victoria, Canada")</f>
        <v/>
      </c>
      <c r="K9980">
        <f>IFERROR(__xludf.DUMMYFUNCTION("""COMPUTED_VALUE"""),3651.45)</f>
        <v/>
      </c>
    </row>
    <row r="9981">
      <c r="J9981">
        <f>IFERROR(__xludf.DUMMYFUNCTION("""COMPUTED_VALUE"""),"Calgary, Alberta; Vancouver, British Columbia; Kamloops, British Columbia")</f>
        <v/>
      </c>
      <c r="K9981">
        <f>IFERROR(__xludf.DUMMYFUNCTION("""COMPUTED_VALUE"""),3650.43)</f>
        <v/>
      </c>
    </row>
    <row r="9982">
      <c r="J9982">
        <f>IFERROR(__xludf.DUMMYFUNCTION("""COMPUTED_VALUE"""),"Regina, Saskatchewan, Ca")</f>
        <v/>
      </c>
      <c r="K9982">
        <f>IFERROR(__xludf.DUMMYFUNCTION("""COMPUTED_VALUE"""),3650.12)</f>
        <v/>
      </c>
    </row>
    <row r="9983">
      <c r="J9983">
        <f>IFERROR(__xludf.DUMMYFUNCTION("""COMPUTED_VALUE"""),"Ottawa, Ontario, Canada                  
Winnipeg, Manitoba, Canada                                        Calgary, Alberta, Canada")</f>
        <v/>
      </c>
      <c r="K9983">
        <f>IFERROR(__xludf.DUMMYFUNCTION("""COMPUTED_VALUE"""),3649.09)</f>
        <v/>
      </c>
    </row>
    <row r="9984">
      <c r="J9984">
        <f>IFERROR(__xludf.DUMMYFUNCTION("""COMPUTED_VALUE"""),"Prince George, BC, Canada")</f>
        <v/>
      </c>
      <c r="K9984">
        <f>IFERROR(__xludf.DUMMYFUNCTION("""COMPUTED_VALUE"""),3648.75)</f>
        <v/>
      </c>
    </row>
    <row r="9985">
      <c r="J9985">
        <f>IFERROR(__xludf.DUMMYFUNCTION("""COMPUTED_VALUE"""),"Vancouver (Canada)")</f>
        <v/>
      </c>
      <c r="K9985">
        <f>IFERROR(__xludf.DUMMYFUNCTION("""COMPUTED_VALUE"""),3648.31)</f>
        <v/>
      </c>
    </row>
    <row r="9986">
      <c r="J9986">
        <f>IFERROR(__xludf.DUMMYFUNCTION("""COMPUTED_VALUE"""),"MONTRÉAL, QUÉBEC, CANADA")</f>
        <v/>
      </c>
      <c r="K9986">
        <f>IFERROR(__xludf.DUMMYFUNCTION("""COMPUTED_VALUE"""),3648.19)</f>
        <v/>
      </c>
    </row>
    <row r="9987">
      <c r="J9987">
        <f>IFERROR(__xludf.DUMMYFUNCTION("""COMPUTED_VALUE"""),"Waskesiu, Saskatchewan and Gatineau, Québec")</f>
        <v/>
      </c>
      <c r="K9987">
        <f>IFERROR(__xludf.DUMMYFUNCTION("""COMPUTED_VALUE"""),3647.54)</f>
        <v/>
      </c>
    </row>
    <row r="9988">
      <c r="J9988">
        <f>IFERROR(__xludf.DUMMYFUNCTION("""COMPUTED_VALUE"""),"Red Lake, Ontario, Winnipeg, Manitoba")</f>
        <v/>
      </c>
      <c r="K9988">
        <f>IFERROR(__xludf.DUMMYFUNCTION("""COMPUTED_VALUE"""),3647.24)</f>
        <v/>
      </c>
    </row>
    <row r="9989">
      <c r="J9989">
        <f>IFERROR(__xludf.DUMMYFUNCTION("""COMPUTED_VALUE"""),"Calgary, Alberta, Canada; Kelowna, British Columbia, Canada")</f>
        <v/>
      </c>
      <c r="K9989">
        <f>IFERROR(__xludf.DUMMYFUNCTION("""COMPUTED_VALUE"""),3646.62)</f>
        <v/>
      </c>
    </row>
    <row r="9990">
      <c r="J9990">
        <f>IFERROR(__xludf.DUMMYFUNCTION("""COMPUTED_VALUE"""),"Portland, ME")</f>
        <v/>
      </c>
      <c r="K9990">
        <f>IFERROR(__xludf.DUMMYFUNCTION("""COMPUTED_VALUE"""),3646.45)</f>
        <v/>
      </c>
    </row>
    <row r="9991">
      <c r="J9991">
        <f>IFERROR(__xludf.DUMMYFUNCTION("""COMPUTED_VALUE"""),"Vancouver, British Columbia, Canada; Whitehorse, Yukon, Canada; Carcross, Yukon, Canada")</f>
        <v/>
      </c>
      <c r="K9991">
        <f>IFERROR(__xludf.DUMMYFUNCTION("""COMPUTED_VALUE"""),3645.85999999999)</f>
        <v/>
      </c>
    </row>
    <row r="9992">
      <c r="J9992">
        <f>IFERROR(__xludf.DUMMYFUNCTION("""COMPUTED_VALUE"""),"Edmonton/Calgary, Alberta, Canada and Winnipeg, Manitoba, Canada")</f>
        <v/>
      </c>
      <c r="K9992">
        <f>IFERROR(__xludf.DUMMYFUNCTION("""COMPUTED_VALUE"""),3645.76)</f>
        <v/>
      </c>
    </row>
    <row r="9993">
      <c r="J9993">
        <f>IFERROR(__xludf.DUMMYFUNCTION("""COMPUTED_VALUE"""),"Halifax, Nova Scotia - Gros Morne, Newfoundland")</f>
        <v/>
      </c>
      <c r="K9993">
        <f>IFERROR(__xludf.DUMMYFUNCTION("""COMPUTED_VALUE"""),3645.45)</f>
        <v/>
      </c>
    </row>
    <row r="9994">
      <c r="J9994">
        <f>IFERROR(__xludf.DUMMYFUNCTION("""COMPUTED_VALUE"""),"Toronto, ON and Saskatoon, SK")</f>
        <v/>
      </c>
      <c r="K9994">
        <f>IFERROR(__xludf.DUMMYFUNCTION("""COMPUTED_VALUE"""),3645.37)</f>
        <v/>
      </c>
    </row>
    <row r="9995">
      <c r="J9995">
        <f>IFERROR(__xludf.DUMMYFUNCTION("""COMPUTED_VALUE"""),"Toronto / Sault Ste. Marie, Ontario, Canada")</f>
        <v/>
      </c>
      <c r="K9995">
        <f>IFERROR(__xludf.DUMMYFUNCTION("""COMPUTED_VALUE"""),3645.05)</f>
        <v/>
      </c>
    </row>
    <row r="9996">
      <c r="J9996">
        <f>IFERROR(__xludf.DUMMYFUNCTION("""COMPUTED_VALUE"""),"CO, WA, AK")</f>
        <v/>
      </c>
      <c r="K9996">
        <f>IFERROR(__xludf.DUMMYFUNCTION("""COMPUTED_VALUE"""),3643.92)</f>
        <v/>
      </c>
    </row>
    <row r="9997">
      <c r="J9997">
        <f>IFERROR(__xludf.DUMMYFUNCTION("""COMPUTED_VALUE"""),"Montreal, Quebec, Canada
Quebec, Quebec, Canada")</f>
        <v/>
      </c>
      <c r="K9997">
        <f>IFERROR(__xludf.DUMMYFUNCTION("""COMPUTED_VALUE"""),3642.68)</f>
        <v/>
      </c>
    </row>
    <row r="9998">
      <c r="J9998">
        <f>IFERROR(__xludf.DUMMYFUNCTION("""COMPUTED_VALUE"""),"Moncton, (New Brunswick), Halifax, (Nova Scotia), San Francisco, (California, USA)")</f>
        <v/>
      </c>
      <c r="K9998">
        <f>IFERROR(__xludf.DUMMYFUNCTION("""COMPUTED_VALUE"""),3642.52)</f>
        <v/>
      </c>
    </row>
    <row r="9999">
      <c r="J9999">
        <f>IFERROR(__xludf.DUMMYFUNCTION("""COMPUTED_VALUE"""),"Ramstein, DE")</f>
        <v/>
      </c>
      <c r="K9999">
        <f>IFERROR(__xludf.DUMMYFUNCTION("""COMPUTED_VALUE"""),3642.3)</f>
        <v/>
      </c>
    </row>
    <row r="10000">
      <c r="J10000">
        <f>IFERROR(__xludf.DUMMYFUNCTION("""COMPUTED_VALUE"""),"Montréal, Quebec, Canada - Toronto, Ontario, Canada - Stephenville, Newfoundland and Labrador, Canada - Ottawa, Ontario, Canada")</f>
        <v/>
      </c>
      <c r="K10000">
        <f>IFERROR(__xludf.DUMMYFUNCTION("""COMPUTED_VALUE"""),3642.22)</f>
        <v/>
      </c>
    </row>
    <row r="10001">
      <c r="J10001">
        <f>IFERROR(__xludf.DUMMYFUNCTION("""COMPUTED_VALUE"""),"Alberta and British Colombia")</f>
        <v/>
      </c>
      <c r="K10001">
        <f>IFERROR(__xludf.DUMMYFUNCTION("""COMPUTED_VALUE"""),3641.89)</f>
        <v/>
      </c>
    </row>
    <row r="10002">
      <c r="J10002">
        <f>IFERROR(__xludf.DUMMYFUNCTION("""COMPUTED_VALUE"""),"Ottawa, Ontario, Canada; Halifax, Nova Scotia, Canada; Moncton, New Brunswick, Canada")</f>
        <v/>
      </c>
      <c r="K10002">
        <f>IFERROR(__xludf.DUMMYFUNCTION("""COMPUTED_VALUE"""),3641.64)</f>
        <v/>
      </c>
    </row>
    <row r="10003">
      <c r="J10003">
        <f>IFERROR(__xludf.DUMMYFUNCTION("""COMPUTED_VALUE"""),"Stony Mountain, Manitoba, Innisfail and Edmonton, Alberta, Canada")</f>
        <v/>
      </c>
      <c r="K10003">
        <f>IFERROR(__xludf.DUMMYFUNCTION("""COMPUTED_VALUE"""),3640.85)</f>
        <v/>
      </c>
    </row>
    <row r="10004">
      <c r="J10004">
        <f>IFERROR(__xludf.DUMMYFUNCTION("""COMPUTED_VALUE"""),"Toronto, Ontario, Canada; Sydney, Nova Scotia, Canada; Halifax, Nova Scotia, Canada")</f>
        <v/>
      </c>
      <c r="K10004">
        <f>IFERROR(__xludf.DUMMYFUNCTION("""COMPUTED_VALUE"""),3639.84)</f>
        <v/>
      </c>
    </row>
    <row r="10005">
      <c r="J10005">
        <f>IFERROR(__xludf.DUMMYFUNCTION("""COMPUTED_VALUE"""),"Montserrat, Anguilla and St. Kitts and Nevis")</f>
        <v/>
      </c>
      <c r="K10005">
        <f>IFERROR(__xludf.DUMMYFUNCTION("""COMPUTED_VALUE"""),3639.54)</f>
        <v/>
      </c>
    </row>
    <row r="10006">
      <c r="J10006">
        <f>IFERROR(__xludf.DUMMYFUNCTION("""COMPUTED_VALUE"""),"Charlottetown, PE - Ottawa, ON / Ottawa, ON - Washington, DC / Washington, DC - Ottawa, ON / Ottawa, ON - Moncton, NB")</f>
        <v/>
      </c>
      <c r="K10006">
        <f>IFERROR(__xludf.DUMMYFUNCTION("""COMPUTED_VALUE"""),3639)</f>
        <v/>
      </c>
    </row>
    <row r="10007">
      <c r="J10007">
        <f>IFERROR(__xludf.DUMMYFUNCTION("""COMPUTED_VALUE"""),"Saskatoon, SK Regina, SK")</f>
        <v/>
      </c>
      <c r="K10007">
        <f>IFERROR(__xludf.DUMMYFUNCTION("""COMPUTED_VALUE"""),3638.48)</f>
        <v/>
      </c>
    </row>
    <row r="10008">
      <c r="J10008">
        <f>IFERROR(__xludf.DUMMYFUNCTION("""COMPUTED_VALUE"""),"North Bay and Ottawa (Ontario) Canada")</f>
        <v/>
      </c>
      <c r="K10008">
        <f>IFERROR(__xludf.DUMMYFUNCTION("""COMPUTED_VALUE"""),3637.54)</f>
        <v/>
      </c>
    </row>
    <row r="10009">
      <c r="J10009">
        <f>IFERROR(__xludf.DUMMYFUNCTION("""COMPUTED_VALUE"""),"Calgary, Alberta, Canada
Vancouver, British Columbia, Canada
Victoria, British Columbia, Canada")</f>
        <v/>
      </c>
      <c r="K10009">
        <f>IFERROR(__xludf.DUMMYFUNCTION("""COMPUTED_VALUE"""),3637.22)</f>
        <v/>
      </c>
    </row>
    <row r="10010">
      <c r="J10010">
        <f>IFERROR(__xludf.DUMMYFUNCTION("""COMPUTED_VALUE"""),"Brudenell, Prince Edward Island")</f>
        <v/>
      </c>
      <c r="K10010">
        <f>IFERROR(__xludf.DUMMYFUNCTION("""COMPUTED_VALUE"""),3637.1)</f>
        <v/>
      </c>
    </row>
    <row r="10011">
      <c r="J10011">
        <f>IFERROR(__xludf.DUMMYFUNCTION("""COMPUTED_VALUE"""),"Toronto, Ontario, Canada; 
Vancouver, British Columbia, Canada; 
Calgary, Alberta, Canada")</f>
        <v/>
      </c>
      <c r="K10011">
        <f>IFERROR(__xludf.DUMMYFUNCTION("""COMPUTED_VALUE"""),3635.75)</f>
        <v/>
      </c>
    </row>
    <row r="10012">
      <c r="J10012">
        <f>IFERROR(__xludf.DUMMYFUNCTION("""COMPUTED_VALUE"""),"Moncton and Fredericton, New Brunswick - Charlottetown, Prince Edward Island - St. John's, Newfoundland")</f>
        <v/>
      </c>
      <c r="K10012">
        <f>IFERROR(__xludf.DUMMYFUNCTION("""COMPUTED_VALUE"""),3635.33)</f>
        <v/>
      </c>
    </row>
    <row r="10013">
      <c r="J10013">
        <f>IFERROR(__xludf.DUMMYFUNCTION("""COMPUTED_VALUE"""),"Grasmere, British Columbia, Canada")</f>
        <v/>
      </c>
      <c r="K10013">
        <f>IFERROR(__xludf.DUMMYFUNCTION("""COMPUTED_VALUE"""),3635.29)</f>
        <v/>
      </c>
    </row>
    <row r="10014">
      <c r="J10014">
        <f>IFERROR(__xludf.DUMMYFUNCTION("""COMPUTED_VALUE"""),"Los Angeles, CA.")</f>
        <v/>
      </c>
      <c r="K10014">
        <f>IFERROR(__xludf.DUMMYFUNCTION("""COMPUTED_VALUE"""),3633.84)</f>
        <v/>
      </c>
    </row>
    <row r="10015">
      <c r="J10015">
        <f>IFERROR(__xludf.DUMMYFUNCTION("""COMPUTED_VALUE"""),"Toronto, Ontario, Canada; New York, New York, United States")</f>
        <v/>
      </c>
      <c r="K10015">
        <f>IFERROR(__xludf.DUMMYFUNCTION("""COMPUTED_VALUE"""),3632.99)</f>
        <v/>
      </c>
    </row>
    <row r="10016">
      <c r="J10016">
        <f>IFERROR(__xludf.DUMMYFUNCTION("""COMPUTED_VALUE"""),"Saskatoon &amp; Regina, SK, Canada")</f>
        <v/>
      </c>
      <c r="K10016">
        <f>IFERROR(__xludf.DUMMYFUNCTION("""COMPUTED_VALUE"""),3632.53)</f>
        <v/>
      </c>
    </row>
    <row r="10017">
      <c r="J10017">
        <f>IFERROR(__xludf.DUMMYFUNCTION("""COMPUTED_VALUE"""),"Goose Bay, Newfoundland and Labrador, Canada; Labrador City, Newfoundland and Labrador, Canada")</f>
        <v/>
      </c>
      <c r="K10017">
        <f>IFERROR(__xludf.DUMMYFUNCTION("""COMPUTED_VALUE"""),3632.52)</f>
        <v/>
      </c>
    </row>
    <row r="10018">
      <c r="J10018">
        <f>IFERROR(__xludf.DUMMYFUNCTION("""COMPUTED_VALUE"""),"Vancouver, British Columbia and Yellowknife, Northwest Territories")</f>
        <v/>
      </c>
      <c r="K10018">
        <f>IFERROR(__xludf.DUMMYFUNCTION("""COMPUTED_VALUE"""),3632.35)</f>
        <v/>
      </c>
    </row>
    <row r="10019">
      <c r="J10019">
        <f>IFERROR(__xludf.DUMMYFUNCTION("""COMPUTED_VALUE"""),"Norfolk, North Carolina / Washington, DC")</f>
        <v/>
      </c>
      <c r="K10019">
        <f>IFERROR(__xludf.DUMMYFUNCTION("""COMPUTED_VALUE"""),3631.93)</f>
        <v/>
      </c>
    </row>
    <row r="10020">
      <c r="J10020">
        <f>IFERROR(__xludf.DUMMYFUNCTION("""COMPUTED_VALUE"""),"Moncton, New Brunswick, Canada and Toronto, Ontario, Canada")</f>
        <v/>
      </c>
      <c r="K10020">
        <f>IFERROR(__xludf.DUMMYFUNCTION("""COMPUTED_VALUE"""),3631.76)</f>
        <v/>
      </c>
    </row>
    <row r="10021">
      <c r="J10021">
        <f>IFERROR(__xludf.DUMMYFUNCTION("""COMPUTED_VALUE"""),"Fredericton, New Brunswick, Canada; Kenora, Ontario, Canada; Sault Ste. Marie, Ontario, Canada; Thunder Bay, Ontario, Canada")</f>
        <v/>
      </c>
      <c r="K10021">
        <f>IFERROR(__xludf.DUMMYFUNCTION("""COMPUTED_VALUE"""),3631.58)</f>
        <v/>
      </c>
    </row>
    <row r="10022">
      <c r="J10022">
        <f>IFERROR(__xludf.DUMMYFUNCTION("""COMPUTED_VALUE"""),"Rabat, Moroco")</f>
        <v/>
      </c>
      <c r="K10022">
        <f>IFERROR(__xludf.DUMMYFUNCTION("""COMPUTED_VALUE"""),3631.31)</f>
        <v/>
      </c>
    </row>
    <row r="10023">
      <c r="J10023">
        <f>IFERROR(__xludf.DUMMYFUNCTION("""COMPUTED_VALUE"""),"Charlottetown, Prince Edward Island, Canada; Summerside, Prince Edward Island, Canada")</f>
        <v/>
      </c>
      <c r="K10023">
        <f>IFERROR(__xludf.DUMMYFUNCTION("""COMPUTED_VALUE"""),3629.52)</f>
        <v/>
      </c>
    </row>
    <row r="10024">
      <c r="J10024">
        <f>IFERROR(__xludf.DUMMYFUNCTION("""COMPUTED_VALUE"""),"Ottawa and Chalk River, Ontario")</f>
        <v/>
      </c>
      <c r="K10024">
        <f>IFERROR(__xludf.DUMMYFUNCTION("""COMPUTED_VALUE"""),3629.11)</f>
        <v/>
      </c>
    </row>
    <row r="10025">
      <c r="J10025">
        <f>IFERROR(__xludf.DUMMYFUNCTION("""COMPUTED_VALUE"""),"Vancouver/Prince George/Nanaimo")</f>
        <v/>
      </c>
      <c r="K10025">
        <f>IFERROR(__xludf.DUMMYFUNCTION("""COMPUTED_VALUE"""),3628.59)</f>
        <v/>
      </c>
    </row>
    <row r="10026">
      <c r="J10026">
        <f>IFERROR(__xludf.DUMMYFUNCTION("""COMPUTED_VALUE"""),"Ottawa - Calgary - Victoria/Vancouver - Ottawa")</f>
        <v/>
      </c>
      <c r="K10026">
        <f>IFERROR(__xludf.DUMMYFUNCTION("""COMPUTED_VALUE"""),3628.06)</f>
        <v/>
      </c>
    </row>
    <row r="10027">
      <c r="J10027">
        <f>IFERROR(__xludf.DUMMYFUNCTION("""COMPUTED_VALUE"""),"Hamilton and Mississauga, Ontario, Canada")</f>
        <v/>
      </c>
      <c r="K10027">
        <f>IFERROR(__xludf.DUMMYFUNCTION("""COMPUTED_VALUE"""),3627.64)</f>
        <v/>
      </c>
    </row>
    <row r="10028">
      <c r="J10028">
        <f>IFERROR(__xludf.DUMMYFUNCTION("""COMPUTED_VALUE"""),"Iqaluit, Nunavut and Enfield-Cookville, Nova Scotia")</f>
        <v/>
      </c>
      <c r="K10028">
        <f>IFERROR(__xludf.DUMMYFUNCTION("""COMPUTED_VALUE"""),3627.09)</f>
        <v/>
      </c>
    </row>
    <row r="10029">
      <c r="J10029">
        <f>IFERROR(__xludf.DUMMYFUNCTION("""COMPUTED_VALUE"""),"Vancouver, British Columbia / Port Alberni, Vancouver Island, British Columbia, Canada")</f>
        <v/>
      </c>
      <c r="K10029">
        <f>IFERROR(__xludf.DUMMYFUNCTION("""COMPUTED_VALUE"""),3627.08)</f>
        <v/>
      </c>
    </row>
    <row r="10030">
      <c r="J10030">
        <f>IFERROR(__xludf.DUMMYFUNCTION("""COMPUTED_VALUE"""),"Saskatoon, Regina, Vancouver")</f>
        <v/>
      </c>
      <c r="K10030">
        <f>IFERROR(__xludf.DUMMYFUNCTION("""COMPUTED_VALUE"""),3626.43)</f>
        <v/>
      </c>
    </row>
    <row r="10031">
      <c r="J10031">
        <f>IFERROR(__xludf.DUMMYFUNCTION("""COMPUTED_VALUE"""),"Burnaby, British Columbia, Canada; Kelowna, British Columbia, Canada; Vancouver, British Columbia, Canada")</f>
        <v/>
      </c>
      <c r="K10031">
        <f>IFERROR(__xludf.DUMMYFUNCTION("""COMPUTED_VALUE"""),3626.32)</f>
        <v/>
      </c>
    </row>
    <row r="10032">
      <c r="J10032">
        <f>IFERROR(__xludf.DUMMYFUNCTION("""COMPUTED_VALUE"""),"Panama City, Florida")</f>
        <v/>
      </c>
      <c r="K10032">
        <f>IFERROR(__xludf.DUMMYFUNCTION("""COMPUTED_VALUE"""),3626.3)</f>
        <v/>
      </c>
    </row>
    <row r="10033">
      <c r="J10033">
        <f>IFERROR(__xludf.DUMMYFUNCTION("""COMPUTED_VALUE"""),"Brussels, ‎BE")</f>
        <v/>
      </c>
      <c r="K10033">
        <f>IFERROR(__xludf.DUMMYFUNCTION("""COMPUTED_VALUE"""),3625.59)</f>
        <v/>
      </c>
    </row>
    <row r="10034">
      <c r="J10034">
        <f>IFERROR(__xludf.DUMMYFUNCTION("""COMPUTED_VALUE"""),"Ft. Lauderdale, FL")</f>
        <v/>
      </c>
      <c r="K10034">
        <f>IFERROR(__xludf.DUMMYFUNCTION("""COMPUTED_VALUE"""),3625.39)</f>
        <v/>
      </c>
    </row>
    <row r="10035">
      <c r="J10035">
        <f>IFERROR(__xludf.DUMMYFUNCTION("""COMPUTED_VALUE"""),"United States of America")</f>
        <v/>
      </c>
      <c r="K10035">
        <f>IFERROR(__xludf.DUMMYFUNCTION("""COMPUTED_VALUE"""),3625.07)</f>
        <v/>
      </c>
    </row>
    <row r="10036">
      <c r="J10036">
        <f>IFERROR(__xludf.DUMMYFUNCTION("""COMPUTED_VALUE"""),"Calgary, AB - Guelph, ON")</f>
        <v/>
      </c>
      <c r="K10036">
        <f>IFERROR(__xludf.DUMMYFUNCTION("""COMPUTED_VALUE"""),3624.42)</f>
        <v/>
      </c>
    </row>
    <row r="10037">
      <c r="J10037">
        <f>IFERROR(__xludf.DUMMYFUNCTION("""COMPUTED_VALUE"""),"Vancouver, British Colombia / Whitehorse, Yukon, Canada")</f>
        <v/>
      </c>
      <c r="K10037">
        <f>IFERROR(__xludf.DUMMYFUNCTION("""COMPUTED_VALUE"""),3623.98)</f>
        <v/>
      </c>
    </row>
    <row r="10038">
      <c r="J10038">
        <f>IFERROR(__xludf.DUMMYFUNCTION("""COMPUTED_VALUE"""),"Richmond Hill, Ontario")</f>
        <v/>
      </c>
      <c r="K10038">
        <f>IFERROR(__xludf.DUMMYFUNCTION("""COMPUTED_VALUE"""),3623.74)</f>
        <v/>
      </c>
    </row>
    <row r="10039">
      <c r="J10039">
        <f>IFERROR(__xludf.DUMMYFUNCTION("""COMPUTED_VALUE"""),"Nouveau-Brunswick")</f>
        <v/>
      </c>
      <c r="K10039">
        <f>IFERROR(__xludf.DUMMYFUNCTION("""COMPUTED_VALUE"""),3620.88)</f>
        <v/>
      </c>
    </row>
    <row r="10040">
      <c r="J10040">
        <f>IFERROR(__xludf.DUMMYFUNCTION("""COMPUTED_VALUE"""),"St-Petersburg, Russian Federation")</f>
        <v/>
      </c>
      <c r="K10040">
        <f>IFERROR(__xludf.DUMMYFUNCTION("""COMPUTED_VALUE"""),3620.85)</f>
        <v/>
      </c>
    </row>
    <row r="10041">
      <c r="J10041">
        <f>IFERROR(__xludf.DUMMYFUNCTION("""COMPUTED_VALUE"""),"Winnipeg/Emerson")</f>
        <v/>
      </c>
      <c r="K10041">
        <f>IFERROR(__xludf.DUMMYFUNCTION("""COMPUTED_VALUE"""),3619.97)</f>
        <v/>
      </c>
    </row>
    <row r="10042">
      <c r="J10042">
        <f>IFERROR(__xludf.DUMMYFUNCTION("""COMPUTED_VALUE"""),"EDMONTON,ALBERTA &amp; VANCOUVER, WHISTLER, BRITISH COLUMBIA")</f>
        <v/>
      </c>
      <c r="K10042">
        <f>IFERROR(__xludf.DUMMYFUNCTION("""COMPUTED_VALUE"""),3618.52)</f>
        <v/>
      </c>
    </row>
    <row r="10043">
      <c r="J10043">
        <f>IFERROR(__xludf.DUMMYFUNCTION("""COMPUTED_VALUE"""),"Punta Cana, Dominicain Republic")</f>
        <v/>
      </c>
      <c r="K10043">
        <f>IFERROR(__xludf.DUMMYFUNCTION("""COMPUTED_VALUE"""),3617.51)</f>
        <v/>
      </c>
    </row>
    <row r="10044">
      <c r="J10044">
        <f>IFERROR(__xludf.DUMMYFUNCTION("""COMPUTED_VALUE"""),"Whitehorse, Dawson City (Yukon) Canada")</f>
        <v/>
      </c>
      <c r="K10044">
        <f>IFERROR(__xludf.DUMMYFUNCTION("""COMPUTED_VALUE"""),3616.88)</f>
        <v/>
      </c>
    </row>
    <row r="10045">
      <c r="J10045">
        <f>IFERROR(__xludf.DUMMYFUNCTION("""COMPUTED_VALUE"""),"St. Louis, US and Bagotville, QC, CA")</f>
        <v/>
      </c>
      <c r="K10045">
        <f>IFERROR(__xludf.DUMMYFUNCTION("""COMPUTED_VALUE"""),3614.09)</f>
        <v/>
      </c>
    </row>
    <row r="10046">
      <c r="J10046">
        <f>IFERROR(__xludf.DUMMYFUNCTION("""COMPUTED_VALUE"""),"Stuttgart, Germany/ Brussels, Belgium")</f>
        <v/>
      </c>
      <c r="K10046">
        <f>IFERROR(__xludf.DUMMYFUNCTION("""COMPUTED_VALUE"""),3614.03)</f>
        <v/>
      </c>
    </row>
    <row r="10047">
      <c r="J10047">
        <f>IFERROR(__xludf.DUMMYFUNCTION("""COMPUTED_VALUE"""),"Regina, SK &amp; Vancouver, BC")</f>
        <v/>
      </c>
      <c r="K10047">
        <f>IFERROR(__xludf.DUMMYFUNCTION("""COMPUTED_VALUE"""),3614.02)</f>
        <v/>
      </c>
    </row>
    <row r="10048">
      <c r="J10048">
        <f>IFERROR(__xludf.DUMMYFUNCTION("""COMPUTED_VALUE"""),"Calgary, AB,")</f>
        <v/>
      </c>
      <c r="K10048">
        <f>IFERROR(__xludf.DUMMYFUNCTION("""COMPUTED_VALUE"""),3612.59)</f>
        <v/>
      </c>
    </row>
    <row r="10049">
      <c r="J10049">
        <f>IFERROR(__xludf.DUMMYFUNCTION("""COMPUTED_VALUE"""),"Shawinigan / Regina")</f>
        <v/>
      </c>
      <c r="K10049">
        <f>IFERROR(__xludf.DUMMYFUNCTION("""COMPUTED_VALUE"""),3611.72)</f>
        <v/>
      </c>
    </row>
    <row r="10050">
      <c r="J10050">
        <f>IFERROR(__xludf.DUMMYFUNCTION("""COMPUTED_VALUE"""),"Vancouver, BC / Winnipeg, MB")</f>
        <v/>
      </c>
      <c r="K10050">
        <f>IFERROR(__xludf.DUMMYFUNCTION("""COMPUTED_VALUE"""),3611.26)</f>
        <v/>
      </c>
    </row>
    <row r="10051">
      <c r="J10051">
        <f>IFERROR(__xludf.DUMMYFUNCTION("""COMPUTED_VALUE"""),"Amman, Jordan / Beirut, Lebanon")</f>
        <v/>
      </c>
      <c r="K10051">
        <f>IFERROR(__xludf.DUMMYFUNCTION("""COMPUTED_VALUE"""),3611.19)</f>
        <v/>
      </c>
    </row>
    <row r="10052">
      <c r="J10052">
        <f>IFERROR(__xludf.DUMMYFUNCTION("""COMPUTED_VALUE"""),"Corner Brook, Newfoundland and Labrador, Canada; Halifax, Nova Scotia, Canada; Rocky Harbour, Newfoundland and Labrador, Canada")</f>
        <v/>
      </c>
      <c r="K10052">
        <f>IFERROR(__xludf.DUMMYFUNCTION("""COMPUTED_VALUE"""),3611.03)</f>
        <v/>
      </c>
    </row>
    <row r="10053">
      <c r="J10053">
        <f>IFERROR(__xludf.DUMMYFUNCTION("""COMPUTED_VALUE"""),"Toronto, Westport, Brockville, Ontario, Canada")</f>
        <v/>
      </c>
      <c r="K10053">
        <f>IFERROR(__xludf.DUMMYFUNCTION("""COMPUTED_VALUE"""),3610.67)</f>
        <v/>
      </c>
    </row>
    <row r="10054">
      <c r="J10054">
        <f>IFERROR(__xludf.DUMMYFUNCTION("""COMPUTED_VALUE"""),"Victoria, British-Columbia, Canada - Vancouver, British-Columbia - Edmonton, Alberta, Canada")</f>
        <v/>
      </c>
      <c r="K10054">
        <f>IFERROR(__xludf.DUMMYFUNCTION("""COMPUTED_VALUE"""),3610.6)</f>
        <v/>
      </c>
    </row>
    <row r="10055">
      <c r="J10055">
        <f>IFERROR(__xludf.DUMMYFUNCTION("""COMPUTED_VALUE"""),"Gatineau and Quebec City, Quebec")</f>
        <v/>
      </c>
      <c r="K10055">
        <f>IFERROR(__xludf.DUMMYFUNCTION("""COMPUTED_VALUE"""),3610.43)</f>
        <v/>
      </c>
    </row>
    <row r="10056">
      <c r="J10056">
        <f>IFERROR(__xludf.DUMMYFUNCTION("""COMPUTED_VALUE"""),"Moncton, New Brunswick / Charlottetown, Prince Edward Island / Halifax, Nova Scotia")</f>
        <v/>
      </c>
      <c r="K10056">
        <f>IFERROR(__xludf.DUMMYFUNCTION("""COMPUTED_VALUE"""),3610.14)</f>
        <v/>
      </c>
    </row>
    <row r="10057">
      <c r="J10057">
        <f>IFERROR(__xludf.DUMMYFUNCTION("""COMPUTED_VALUE"""),"Richmond, British Columbia, Canada; Surrey, British Columbia, Canada; Vancouver, British Columbia, Canada")</f>
        <v/>
      </c>
      <c r="K10057">
        <f>IFERROR(__xludf.DUMMYFUNCTION("""COMPUTED_VALUE"""),3609.38)</f>
        <v/>
      </c>
    </row>
    <row r="10058">
      <c r="J10058">
        <f>IFERROR(__xludf.DUMMYFUNCTION("""COMPUTED_VALUE"""),"Kamloops, Ottawa")</f>
        <v/>
      </c>
      <c r="K10058">
        <f>IFERROR(__xludf.DUMMYFUNCTION("""COMPUTED_VALUE"""),3608.56)</f>
        <v/>
      </c>
    </row>
    <row r="10059">
      <c r="J10059">
        <f>IFERROR(__xludf.DUMMYFUNCTION("""COMPUTED_VALUE"""),"Toronto-Ottawa-Washington")</f>
        <v/>
      </c>
      <c r="K10059">
        <f>IFERROR(__xludf.DUMMYFUNCTION("""COMPUTED_VALUE"""),3608.39)</f>
        <v/>
      </c>
    </row>
    <row r="10060">
      <c r="J10060">
        <f>IFERROR(__xludf.DUMMYFUNCTION("""COMPUTED_VALUE"""),"Edmonton, Alberta, Canada;
Calgary, Alberta, Canada")</f>
        <v/>
      </c>
      <c r="K10060">
        <f>IFERROR(__xludf.DUMMYFUNCTION("""COMPUTED_VALUE"""),3608.02)</f>
        <v/>
      </c>
    </row>
    <row r="10061">
      <c r="J10061">
        <f>IFERROR(__xludf.DUMMYFUNCTION("""COMPUTED_VALUE"""),"Querétaro, Mexico")</f>
        <v/>
      </c>
      <c r="K10061">
        <f>IFERROR(__xludf.DUMMYFUNCTION("""COMPUTED_VALUE"""),3607.95)</f>
        <v/>
      </c>
    </row>
    <row r="10062">
      <c r="J10062">
        <f>IFERROR(__xludf.DUMMYFUNCTION("""COMPUTED_VALUE"""),"Whitehorse, Yukon, Canada; Yellowknife, Northwest Territories, Canada")</f>
        <v/>
      </c>
      <c r="K10062">
        <f>IFERROR(__xludf.DUMMYFUNCTION("""COMPUTED_VALUE"""),3606.95)</f>
        <v/>
      </c>
    </row>
    <row r="10063">
      <c r="J10063">
        <f>IFERROR(__xludf.DUMMYFUNCTION("""COMPUTED_VALUE"""),"INUVIK, NT")</f>
        <v/>
      </c>
      <c r="K10063">
        <f>IFERROR(__xludf.DUMMYFUNCTION("""COMPUTED_VALUE"""),3606.62)</f>
        <v/>
      </c>
    </row>
    <row r="10064">
      <c r="J10064">
        <f>IFERROR(__xludf.DUMMYFUNCTION("""COMPUTED_VALUE"""),"Calgary, AB, Winnipeg, MB, Calabogie, ON")</f>
        <v/>
      </c>
      <c r="K10064">
        <f>IFERROR(__xludf.DUMMYFUNCTION("""COMPUTED_VALUE"""),3605.69)</f>
        <v/>
      </c>
    </row>
    <row r="10065">
      <c r="J10065">
        <f>IFERROR(__xludf.DUMMYFUNCTION("""COMPUTED_VALUE"""),"Jonquiere, QC")</f>
        <v/>
      </c>
      <c r="K10065">
        <f>IFERROR(__xludf.DUMMYFUNCTION("""COMPUTED_VALUE"""),3605.52999999999)</f>
        <v/>
      </c>
    </row>
    <row r="10066">
      <c r="J10066">
        <f>IFERROR(__xludf.DUMMYFUNCTION("""COMPUTED_VALUE"""),"Moncton, New Brunswick, Canada / Halifax, Nova Scotia, Cananda / St-John’s, Newfoundland and Labrador, Canada")</f>
        <v/>
      </c>
      <c r="K10066">
        <f>IFERROR(__xludf.DUMMYFUNCTION("""COMPUTED_VALUE"""),3605.19)</f>
        <v/>
      </c>
    </row>
    <row r="10067">
      <c r="J10067">
        <f>IFERROR(__xludf.DUMMYFUNCTION("""COMPUTED_VALUE"""),"Charlottetown, PE St.John's, NL")</f>
        <v/>
      </c>
      <c r="K10067">
        <f>IFERROR(__xludf.DUMMYFUNCTION("""COMPUTED_VALUE"""),3605.11)</f>
        <v/>
      </c>
    </row>
    <row r="10068">
      <c r="J10068">
        <f>IFERROR(__xludf.DUMMYFUNCTION("""COMPUTED_VALUE"""),"Toronto, Ottawa (ON) Canada")</f>
        <v/>
      </c>
      <c r="K10068">
        <f>IFERROR(__xludf.DUMMYFUNCTION("""COMPUTED_VALUE"""),3605.09)</f>
        <v/>
      </c>
    </row>
    <row r="10069">
      <c r="J10069">
        <f>IFERROR(__xludf.DUMMYFUNCTION("""COMPUTED_VALUE"""),"Sydney, Nova Scotia, Canada
Fredericton, New Brunswick, Canada")</f>
        <v/>
      </c>
      <c r="K10069">
        <f>IFERROR(__xludf.DUMMYFUNCTION("""COMPUTED_VALUE"""),3604.98)</f>
        <v/>
      </c>
    </row>
    <row r="10070">
      <c r="J10070">
        <f>IFERROR(__xludf.DUMMYFUNCTION("""COMPUTED_VALUE"""),"Washington, Mexico City and Monterrey")</f>
        <v/>
      </c>
      <c r="K10070">
        <f>IFERROR(__xludf.DUMMYFUNCTION("""COMPUTED_VALUE"""),3604.76)</f>
        <v/>
      </c>
    </row>
    <row r="10071">
      <c r="J10071">
        <f>IFERROR(__xludf.DUMMYFUNCTION("""COMPUTED_VALUE"""),"Montreal-Toronto-Winnipeg-Vancouver")</f>
        <v/>
      </c>
      <c r="K10071">
        <f>IFERROR(__xludf.DUMMYFUNCTION("""COMPUTED_VALUE"""),3604.14)</f>
        <v/>
      </c>
    </row>
    <row r="10072">
      <c r="J10072">
        <f>IFERROR(__xludf.DUMMYFUNCTION("""COMPUTED_VALUE"""),"Winnepeg, MB &amp; Calgary, AB")</f>
        <v/>
      </c>
      <c r="K10072">
        <f>IFERROR(__xludf.DUMMYFUNCTION("""COMPUTED_VALUE"""),3603.74)</f>
        <v/>
      </c>
    </row>
    <row r="10073">
      <c r="J10073">
        <f>IFERROR(__xludf.DUMMYFUNCTION("""COMPUTED_VALUE"""),"Montréal, Quebec – Iqaluit, Nunavut")</f>
        <v/>
      </c>
      <c r="K10073">
        <f>IFERROR(__xludf.DUMMYFUNCTION("""COMPUTED_VALUE"""),3603.32)</f>
        <v/>
      </c>
    </row>
    <row r="10074">
      <c r="J10074">
        <f>IFERROR(__xludf.DUMMYFUNCTION("""COMPUTED_VALUE"""),"Moncton, New Brunswick, Canada and Halifax, Nova Scotia, Canada")</f>
        <v/>
      </c>
      <c r="K10074">
        <f>IFERROR(__xludf.DUMMYFUNCTION("""COMPUTED_VALUE"""),3603.24)</f>
        <v/>
      </c>
    </row>
    <row r="10075">
      <c r="J10075">
        <f>IFERROR(__xludf.DUMMYFUNCTION("""COMPUTED_VALUE"""),"Charlottetown, P.E.I. &amp; Regina, Sask.")</f>
        <v/>
      </c>
      <c r="K10075">
        <f>IFERROR(__xludf.DUMMYFUNCTION("""COMPUTED_VALUE"""),3602.34)</f>
        <v/>
      </c>
    </row>
    <row r="10076">
      <c r="J10076">
        <f>IFERROR(__xludf.DUMMYFUNCTION("""COMPUTED_VALUE"""),"Ottawa, Cornwall, Perth, Ontario, Canada")</f>
        <v/>
      </c>
      <c r="K10076">
        <f>IFERROR(__xludf.DUMMYFUNCTION("""COMPUTED_VALUE"""),3601.71)</f>
        <v/>
      </c>
    </row>
    <row r="10077">
      <c r="J10077">
        <f>IFERROR(__xludf.DUMMYFUNCTION("""COMPUTED_VALUE"""),"Montreal, Quebec; St-Jean-sur-Richelieu, Quebec; Toronto, Ontario")</f>
        <v/>
      </c>
      <c r="K10077">
        <f>IFERROR(__xludf.DUMMYFUNCTION("""COMPUTED_VALUE"""),3600.55)</f>
        <v/>
      </c>
    </row>
    <row r="10078">
      <c r="J10078">
        <f>IFERROR(__xludf.DUMMYFUNCTION("""COMPUTED_VALUE"""),"Halifax, Nova Scotia, Canada; Toronto, Ontario, Canada; Oakville, Ontario, Canada")</f>
        <v/>
      </c>
      <c r="K10078">
        <f>IFERROR(__xludf.DUMMYFUNCTION("""COMPUTED_VALUE"""),3599.58)</f>
        <v/>
      </c>
    </row>
    <row r="10079">
      <c r="J10079">
        <f>IFERROR(__xludf.DUMMYFUNCTION("""COMPUTED_VALUE"""),"Halifax, Nova Scotia, Canada; Saint John, New Brunswick, Canada")</f>
        <v/>
      </c>
      <c r="K10079">
        <f>IFERROR(__xludf.DUMMYFUNCTION("""COMPUTED_VALUE"""),3599.3)</f>
        <v/>
      </c>
    </row>
    <row r="10080">
      <c r="J10080">
        <f>IFERROR(__xludf.DUMMYFUNCTION("""COMPUTED_VALUE"""),"Vancouver, British Columbia, Canada                                       Victoria, British Columbia, Canada")</f>
        <v/>
      </c>
      <c r="K10080">
        <f>IFERROR(__xludf.DUMMYFUNCTION("""COMPUTED_VALUE"""),3598.37)</f>
        <v/>
      </c>
    </row>
    <row r="10081">
      <c r="J10081">
        <f>IFERROR(__xludf.DUMMYFUNCTION("""COMPUTED_VALUE"""),"Norfolk,  Virginia, United States of America / Munich, Germany")</f>
        <v/>
      </c>
      <c r="K10081">
        <f>IFERROR(__xludf.DUMMYFUNCTION("""COMPUTED_VALUE"""),3597.1)</f>
        <v/>
      </c>
    </row>
    <row r="10082">
      <c r="J10082">
        <f>IFERROR(__xludf.DUMMYFUNCTION("""COMPUTED_VALUE"""),"Toronto-Ottawa")</f>
        <v/>
      </c>
      <c r="K10082">
        <f>IFERROR(__xludf.DUMMYFUNCTION("""COMPUTED_VALUE"""),3596.72)</f>
        <v/>
      </c>
    </row>
    <row r="10083">
      <c r="J10083">
        <f>IFERROR(__xludf.DUMMYFUNCTION("""COMPUTED_VALUE"""),"Montreal, Quebec, Cromer and Winnipeg, Manitoba, Kitimat and Vancouver , British Columbia")</f>
        <v/>
      </c>
      <c r="K10083">
        <f>IFERROR(__xludf.DUMMYFUNCTION("""COMPUTED_VALUE"""),3596.28)</f>
        <v/>
      </c>
    </row>
    <row r="10084">
      <c r="J10084">
        <f>IFERROR(__xludf.DUMMYFUNCTION("""COMPUTED_VALUE"""),"Concord, ON")</f>
        <v/>
      </c>
      <c r="K10084">
        <f>IFERROR(__xludf.DUMMYFUNCTION("""COMPUTED_VALUE"""),3594.52999999999)</f>
        <v/>
      </c>
    </row>
    <row r="10085">
      <c r="J10085">
        <f>IFERROR(__xludf.DUMMYFUNCTION("""COMPUTED_VALUE"""),"Deline, North West Territories")</f>
        <v/>
      </c>
      <c r="K10085">
        <f>IFERROR(__xludf.DUMMYFUNCTION("""COMPUTED_VALUE"""),3593.89)</f>
        <v/>
      </c>
    </row>
    <row r="10086">
      <c r="J10086">
        <f>IFERROR(__xludf.DUMMYFUNCTION("""COMPUTED_VALUE"""),"Whitehorse, (Yukon), Calgary, (Alberta)")</f>
        <v/>
      </c>
      <c r="K10086">
        <f>IFERROR(__xludf.DUMMYFUNCTION("""COMPUTED_VALUE"""),3593.77)</f>
        <v/>
      </c>
    </row>
    <row r="10087">
      <c r="J10087">
        <f>IFERROR(__xludf.DUMMYFUNCTION("""COMPUTED_VALUE"""),"San Jose, CA, Vancouver, Victoria and Penticton, B.C.")</f>
        <v/>
      </c>
      <c r="K10087">
        <f>IFERROR(__xludf.DUMMYFUNCTION("""COMPUTED_VALUE"""),3593.44)</f>
        <v/>
      </c>
    </row>
    <row r="10088">
      <c r="J10088">
        <f>IFERROR(__xludf.DUMMYFUNCTION("""COMPUTED_VALUE"""),"Calgary - Vancouver - Ottawa - Calgary")</f>
        <v/>
      </c>
      <c r="K10088">
        <f>IFERROR(__xludf.DUMMYFUNCTION("""COMPUTED_VALUE"""),3593.02)</f>
        <v/>
      </c>
    </row>
    <row r="10089">
      <c r="J10089">
        <f>IFERROR(__xludf.DUMMYFUNCTION("""COMPUTED_VALUE"""),"Abbotsford, British Columbia;
Drumheller, Alberta")</f>
        <v/>
      </c>
      <c r="K10089">
        <f>IFERROR(__xludf.DUMMYFUNCTION("""COMPUTED_VALUE"""),3592.63)</f>
        <v/>
      </c>
    </row>
    <row r="10090">
      <c r="J10090">
        <f>IFERROR(__xludf.DUMMYFUNCTION("""COMPUTED_VALUE"""),"Long Beach, United States of America")</f>
        <v/>
      </c>
      <c r="K10090">
        <f>IFERROR(__xludf.DUMMYFUNCTION("""COMPUTED_VALUE"""),3592.14)</f>
        <v/>
      </c>
    </row>
    <row r="10091">
      <c r="J10091">
        <f>IFERROR(__xludf.DUMMYFUNCTION("""COMPUTED_VALUE"""),"Toronto, Ontario, Canada / Muskoka, Ontario, Canada")</f>
        <v/>
      </c>
      <c r="K10091">
        <f>IFERROR(__xludf.DUMMYFUNCTION("""COMPUTED_VALUE"""),3591.7)</f>
        <v/>
      </c>
    </row>
    <row r="10092">
      <c r="J10092">
        <f>IFERROR(__xludf.DUMMYFUNCTION("""COMPUTED_VALUE"""),"Montreal, QC / Calgary, AB / Vancouver, BC / Toronto, ON")</f>
        <v/>
      </c>
      <c r="K10092">
        <f>IFERROR(__xludf.DUMMYFUNCTION("""COMPUTED_VALUE"""),3591.58)</f>
        <v/>
      </c>
    </row>
    <row r="10093">
      <c r="J10093">
        <f>IFERROR(__xludf.DUMMYFUNCTION("""COMPUTED_VALUE"""),"Honolulu, Hawai'i")</f>
        <v/>
      </c>
      <c r="K10093">
        <f>IFERROR(__xludf.DUMMYFUNCTION("""COMPUTED_VALUE"""),3591.4)</f>
        <v/>
      </c>
    </row>
    <row r="10094">
      <c r="J10094">
        <f>IFERROR(__xludf.DUMMYFUNCTION("""COMPUTED_VALUE"""),"Montreal, QC /Mingan, QC")</f>
        <v/>
      </c>
      <c r="K10094">
        <f>IFERROR(__xludf.DUMMYFUNCTION("""COMPUTED_VALUE"""),3590.93)</f>
        <v/>
      </c>
    </row>
    <row r="10095">
      <c r="J10095">
        <f>IFERROR(__xludf.DUMMYFUNCTION("""COMPUTED_VALUE"""),"Ottawa - Sydney - Ottawa")</f>
        <v/>
      </c>
      <c r="K10095">
        <f>IFERROR(__xludf.DUMMYFUNCTION("""COMPUTED_VALUE"""),3590.57)</f>
        <v/>
      </c>
    </row>
    <row r="10096">
      <c r="J10096">
        <f>IFERROR(__xludf.DUMMYFUNCTION("""COMPUTED_VALUE"""),"Guelph and Waterloo, Ontario, Canada")</f>
        <v/>
      </c>
      <c r="K10096">
        <f>IFERROR(__xludf.DUMMYFUNCTION("""COMPUTED_VALUE"""),3590.25999999999)</f>
        <v/>
      </c>
    </row>
    <row r="10097">
      <c r="J10097">
        <f>IFERROR(__xludf.DUMMYFUNCTION("""COMPUTED_VALUE"""),"Norris Point, Newfoundland and Labrador, Canada")</f>
        <v/>
      </c>
      <c r="K10097">
        <f>IFERROR(__xludf.DUMMYFUNCTION("""COMPUTED_VALUE"""),3590.1)</f>
        <v/>
      </c>
    </row>
    <row r="10098">
      <c r="J10098">
        <f>IFERROR(__xludf.DUMMYFUNCTION("""COMPUTED_VALUE"""),"Toronto and London, ON, St. Johns, NL")</f>
        <v/>
      </c>
      <c r="K10098">
        <f>IFERROR(__xludf.DUMMYFUNCTION("""COMPUTED_VALUE"""),3589.53)</f>
        <v/>
      </c>
    </row>
    <row r="10099">
      <c r="J10099">
        <f>IFERROR(__xludf.DUMMYFUNCTION("""COMPUTED_VALUE"""),"Maple Creek, Saskatchewan; Ottawa, Ontario;Montreal, Quebec")</f>
        <v/>
      </c>
      <c r="K10099">
        <f>IFERROR(__xludf.DUMMYFUNCTION("""COMPUTED_VALUE"""),3587.27)</f>
        <v/>
      </c>
    </row>
    <row r="10100">
      <c r="J10100">
        <f>IFERROR(__xludf.DUMMYFUNCTION("""COMPUTED_VALUE"""),"ST JOHN'S, NL")</f>
        <v/>
      </c>
      <c r="K10100">
        <f>IFERROR(__xludf.DUMMYFUNCTION("""COMPUTED_VALUE"""),3586.15)</f>
        <v/>
      </c>
    </row>
    <row r="10101">
      <c r="J10101">
        <f>IFERROR(__xludf.DUMMYFUNCTION("""COMPUTED_VALUE"""),"France, Paris")</f>
        <v/>
      </c>
      <c r="K10101">
        <f>IFERROR(__xludf.DUMMYFUNCTION("""COMPUTED_VALUE"""),3586.06)</f>
        <v/>
      </c>
    </row>
    <row r="10102">
      <c r="J10102">
        <f>IFERROR(__xludf.DUMMYFUNCTION("""COMPUTED_VALUE"""),"Mississauga (Ontario) Canada
Cambridge (Ontario) Canada
Kitchener (Ontario) Canada
Ariss (Ontario) Canada
West Montrose (Ontario) Canada
Waterloo (Ontario) Canada
Woolrich (Ontario) Canada")</f>
        <v/>
      </c>
      <c r="K10102">
        <f>IFERROR(__xludf.DUMMYFUNCTION("""COMPUTED_VALUE"""),3585.52999999999)</f>
        <v/>
      </c>
    </row>
    <row r="10103">
      <c r="J10103">
        <f>IFERROR(__xludf.DUMMYFUNCTION("""COMPUTED_VALUE"""),"Edmonton, AB - Inuvik, NWT")</f>
        <v/>
      </c>
      <c r="K10103">
        <f>IFERROR(__xludf.DUMMYFUNCTION("""COMPUTED_VALUE"""),3584.56)</f>
        <v/>
      </c>
    </row>
    <row r="10104">
      <c r="J10104">
        <f>IFERROR(__xludf.DUMMYFUNCTION("""COMPUTED_VALUE"""),"Vancouver, Tsawwassen, Deroche, Agassiz, Surrey, Campbell River, Courtney, Port Renfrew, Victoria, and Sooke, British Columbia, Canada")</f>
        <v/>
      </c>
      <c r="K10104">
        <f>IFERROR(__xludf.DUMMYFUNCTION("""COMPUTED_VALUE"""),3582.58)</f>
        <v/>
      </c>
    </row>
    <row r="10105">
      <c r="J10105">
        <f>IFERROR(__xludf.DUMMYFUNCTION("""COMPUTED_VALUE"""),"Brussels, France")</f>
        <v/>
      </c>
      <c r="K10105">
        <f>IFERROR(__xludf.DUMMYFUNCTION("""COMPUTED_VALUE"""),3582.13)</f>
        <v/>
      </c>
    </row>
    <row r="10106">
      <c r="J10106">
        <f>IFERROR(__xludf.DUMMYFUNCTION("""COMPUTED_VALUE"""),"San Salvador, El Savador")</f>
        <v/>
      </c>
      <c r="K10106">
        <f>IFERROR(__xludf.DUMMYFUNCTION("""COMPUTED_VALUE"""),3582.05)</f>
        <v/>
      </c>
    </row>
    <row r="10107">
      <c r="J10107">
        <f>IFERROR(__xludf.DUMMYFUNCTION("""COMPUTED_VALUE"""),"Gagetown, Nova Scotia and Fredericton, New Brunswick")</f>
        <v/>
      </c>
      <c r="K10107">
        <f>IFERROR(__xludf.DUMMYFUNCTION("""COMPUTED_VALUE"""),3582)</f>
        <v/>
      </c>
    </row>
    <row r="10108">
      <c r="J10108">
        <f>IFERROR(__xludf.DUMMYFUNCTION("""COMPUTED_VALUE"""),"Calgary, Alberta and Halifax and Wolfville, Nova Scotia")</f>
        <v/>
      </c>
      <c r="K10108">
        <f>IFERROR(__xludf.DUMMYFUNCTION("""COMPUTED_VALUE"""),3581.6)</f>
        <v/>
      </c>
    </row>
    <row r="10109">
      <c r="J10109">
        <f>IFERROR(__xludf.DUMMYFUNCTION("""COMPUTED_VALUE"""),"Gatineau, Quebec; Ottawa, Ontario")</f>
        <v/>
      </c>
      <c r="K10109">
        <f>IFERROR(__xludf.DUMMYFUNCTION("""COMPUTED_VALUE"""),3581.04)</f>
        <v/>
      </c>
    </row>
    <row r="10110">
      <c r="J10110">
        <f>IFERROR(__xludf.DUMMYFUNCTION("""COMPUTED_VALUE"""),"Nanaimo; Vancouver")</f>
        <v/>
      </c>
      <c r="K10110">
        <f>IFERROR(__xludf.DUMMYFUNCTION("""COMPUTED_VALUE"""),3581)</f>
        <v/>
      </c>
    </row>
    <row r="10111">
      <c r="J10111">
        <f>IFERROR(__xludf.DUMMYFUNCTION("""COMPUTED_VALUE"""),"Vancouver, BC, Ottawa and Toronto, ON")</f>
        <v/>
      </c>
      <c r="K10111">
        <f>IFERROR(__xludf.DUMMYFUNCTION("""COMPUTED_VALUE"""),3580.78)</f>
        <v/>
      </c>
    </row>
    <row r="10112">
      <c r="J10112">
        <f>IFERROR(__xludf.DUMMYFUNCTION("""COMPUTED_VALUE"""),"Solothurn, (Switzerland)")</f>
        <v/>
      </c>
      <c r="K10112">
        <f>IFERROR(__xludf.DUMMYFUNCTION("""COMPUTED_VALUE"""),3580.55)</f>
        <v/>
      </c>
    </row>
    <row r="10113">
      <c r="J10113">
        <f>IFERROR(__xludf.DUMMYFUNCTION("""COMPUTED_VALUE"""),"Toronto, Ontario, London Ontario, Saskatoon  Saskatchewan")</f>
        <v/>
      </c>
      <c r="K10113">
        <f>IFERROR(__xludf.DUMMYFUNCTION("""COMPUTED_VALUE"""),3580.36)</f>
        <v/>
      </c>
    </row>
    <row r="10114">
      <c r="J10114">
        <f>IFERROR(__xludf.DUMMYFUNCTION("""COMPUTED_VALUE"""),"Gatineau, Ottawa")</f>
        <v/>
      </c>
      <c r="K10114">
        <f>IFERROR(__xludf.DUMMYFUNCTION("""COMPUTED_VALUE"""),3579.47)</f>
        <v/>
      </c>
    </row>
    <row r="10115">
      <c r="J10115">
        <f>IFERROR(__xludf.DUMMYFUNCTION("""COMPUTED_VALUE"""),"(Quebec)")</f>
        <v/>
      </c>
      <c r="K10115">
        <f>IFERROR(__xludf.DUMMYFUNCTION("""COMPUTED_VALUE"""),3578.91)</f>
        <v/>
      </c>
    </row>
    <row r="10116">
      <c r="J10116">
        <f>IFERROR(__xludf.DUMMYFUNCTION("""COMPUTED_VALUE"""),"Calgary, Alberta and Yellowknife, Northwest Territories and Kelowna, British Columbia")</f>
        <v/>
      </c>
      <c r="K10116">
        <f>IFERROR(__xludf.DUMMYFUNCTION("""COMPUTED_VALUE"""),3578.9)</f>
        <v/>
      </c>
    </row>
    <row r="10117">
      <c r="J10117">
        <f>IFERROR(__xludf.DUMMYFUNCTION("""COMPUTED_VALUE"""),"New York, NY, USA - Vancouver - Victoria, BC")</f>
        <v/>
      </c>
      <c r="K10117">
        <f>IFERROR(__xludf.DUMMYFUNCTION("""COMPUTED_VALUE"""),3577.48)</f>
        <v/>
      </c>
    </row>
    <row r="10118">
      <c r="J10118">
        <f>IFERROR(__xludf.DUMMYFUNCTION("""COMPUTED_VALUE"""),"Saskatoon, SK; Prince Albert, SK; La Ronge, SK")</f>
        <v/>
      </c>
      <c r="K10118">
        <f>IFERROR(__xludf.DUMMYFUNCTION("""COMPUTED_VALUE"""),3577.02)</f>
        <v/>
      </c>
    </row>
    <row r="10119">
      <c r="J10119">
        <f>IFERROR(__xludf.DUMMYFUNCTION("""COMPUTED_VALUE"""),"Fredericton, New Brunswick, Canada; Halifax, Nova Scotia, Canada; Toronto, Ontario, Canada")</f>
        <v/>
      </c>
      <c r="K10119">
        <f>IFERROR(__xludf.DUMMYFUNCTION("""COMPUTED_VALUE"""),3576.79)</f>
        <v/>
      </c>
    </row>
    <row r="10120">
      <c r="J10120">
        <f>IFERROR(__xludf.DUMMYFUNCTION("""COMPUTED_VALUE"""),"Winnipeg, Manitoba, Canada; Vancouver, British Columbia, Canada; Toronto, Ontario, Canada")</f>
        <v/>
      </c>
      <c r="K10120">
        <f>IFERROR(__xludf.DUMMYFUNCTION("""COMPUTED_VALUE"""),3575.9)</f>
        <v/>
      </c>
    </row>
    <row r="10121">
      <c r="J10121">
        <f>IFERROR(__xludf.DUMMYFUNCTION("""COMPUTED_VALUE"""),"Pheonix, United States")</f>
        <v/>
      </c>
      <c r="K10121">
        <f>IFERROR(__xludf.DUMMYFUNCTION("""COMPUTED_VALUE"""),3575.45)</f>
        <v/>
      </c>
    </row>
    <row r="10122">
      <c r="J10122">
        <f>IFERROR(__xludf.DUMMYFUNCTION("""COMPUTED_VALUE"""),"Montréal, Quebec, Canada; Halifax, Nova Scotia, Canada")</f>
        <v/>
      </c>
      <c r="K10122">
        <f>IFERROR(__xludf.DUMMYFUNCTION("""COMPUTED_VALUE"""),3575.11)</f>
        <v/>
      </c>
    </row>
    <row r="10123">
      <c r="J10123">
        <f>IFERROR(__xludf.DUMMYFUNCTION("""COMPUTED_VALUE"""),"Iqaluit, Nt.")</f>
        <v/>
      </c>
      <c r="K10123">
        <f>IFERROR(__xludf.DUMMYFUNCTION("""COMPUTED_VALUE"""),3574.37)</f>
        <v/>
      </c>
    </row>
    <row r="10124">
      <c r="J10124">
        <f>IFERROR(__xludf.DUMMYFUNCTION("""COMPUTED_VALUE"""),"Barrow, Alaska")</f>
        <v/>
      </c>
      <c r="K10124">
        <f>IFERROR(__xludf.DUMMYFUNCTION("""COMPUTED_VALUE"""),3573.06)</f>
        <v/>
      </c>
    </row>
    <row r="10125">
      <c r="J10125">
        <f>IFERROR(__xludf.DUMMYFUNCTION("""COMPUTED_VALUE"""),"Iqaluit, NT; Pond Inlet, NT; Resolute Bay, NT; Eureka, NT; Kugluktuk, NT; Inuvik, NT; Dawson City YT, Whitehorse, YT; Fort Simpson, NT; Yellowknife, NT; Lac des Gras, NT; Churchill MB")</f>
        <v/>
      </c>
      <c r="K10125">
        <f>IFERROR(__xludf.DUMMYFUNCTION("""COMPUTED_VALUE"""),3573)</f>
        <v/>
      </c>
    </row>
    <row r="10126">
      <c r="J10126">
        <f>IFERROR(__xludf.DUMMYFUNCTION("""COMPUTED_VALUE"""),"St. Adele, QC")</f>
        <v/>
      </c>
      <c r="K10126">
        <f>IFERROR(__xludf.DUMMYFUNCTION("""COMPUTED_VALUE"""),3572.03)</f>
        <v/>
      </c>
    </row>
    <row r="10127">
      <c r="J10127">
        <f>IFERROR(__xludf.DUMMYFUNCTION("""COMPUTED_VALUE"""),"Sydney, Nova Scotia, Canada; New Glasgow, Nova Scotia, Canada")</f>
        <v/>
      </c>
      <c r="K10127">
        <f>IFERROR(__xludf.DUMMYFUNCTION("""COMPUTED_VALUE"""),3571.77)</f>
        <v/>
      </c>
    </row>
    <row r="10128">
      <c r="J10128">
        <f>IFERROR(__xludf.DUMMYFUNCTION("""COMPUTED_VALUE"""),"Prince Edward Island / Nova Scotia / Moncton, New Brunswick")</f>
        <v/>
      </c>
      <c r="K10128">
        <f>IFERROR(__xludf.DUMMYFUNCTION("""COMPUTED_VALUE"""),3571.63)</f>
        <v/>
      </c>
    </row>
    <row r="10129">
      <c r="J10129">
        <f>IFERROR(__xludf.DUMMYFUNCTION("""COMPUTED_VALUE"""),"Nanaimo, British Columbia, Canada; Victoria, British Columbia, Canada")</f>
        <v/>
      </c>
      <c r="K10129">
        <f>IFERROR(__xludf.DUMMYFUNCTION("""COMPUTED_VALUE"""),3571.27)</f>
        <v/>
      </c>
    </row>
    <row r="10130">
      <c r="J10130">
        <f>IFERROR(__xludf.DUMMYFUNCTION("""COMPUTED_VALUE"""),"New York, NY; Washington, DC")</f>
        <v/>
      </c>
      <c r="K10130">
        <f>IFERROR(__xludf.DUMMYFUNCTION("""COMPUTED_VALUE"""),3571.08)</f>
        <v/>
      </c>
    </row>
    <row r="10131">
      <c r="J10131">
        <f>IFERROR(__xludf.DUMMYFUNCTION("""COMPUTED_VALUE"""),"Toronto, Ontario, Canada; Oshawa, Ontario, Canada; Hamilton, Ontario, Canada; Mississauga, Ontario, Canada; Timmins, Ontario, Canada; Windsor, Ontario, Canada")</f>
        <v/>
      </c>
      <c r="K10131">
        <f>IFERROR(__xludf.DUMMYFUNCTION("""COMPUTED_VALUE"""),3570.65)</f>
        <v/>
      </c>
    </row>
    <row r="10132">
      <c r="J10132">
        <f>IFERROR(__xludf.DUMMYFUNCTION("""COMPUTED_VALUE"""),"Waterton Park, Alberta, Canada - Victoria, British Columbia, Canada")</f>
        <v/>
      </c>
      <c r="K10132">
        <f>IFERROR(__xludf.DUMMYFUNCTION("""COMPUTED_VALUE"""),3570.38)</f>
        <v/>
      </c>
    </row>
    <row r="10133">
      <c r="J10133">
        <f>IFERROR(__xludf.DUMMYFUNCTION("""COMPUTED_VALUE"""),"Saint-Jean-sur-Richelieu, Quebec, Toronto, London, Ontario, Winnipeg, Manitoba, Canada")</f>
        <v/>
      </c>
      <c r="K10133">
        <f>IFERROR(__xludf.DUMMYFUNCTION("""COMPUTED_VALUE"""),3570.26)</f>
        <v/>
      </c>
    </row>
    <row r="10134">
      <c r="J10134">
        <f>IFERROR(__xludf.DUMMYFUNCTION("""COMPUTED_VALUE"""),"Halifax, Nova Scotia, and St. John's, Newfoundland")</f>
        <v/>
      </c>
      <c r="K10134">
        <f>IFERROR(__xludf.DUMMYFUNCTION("""COMPUTED_VALUE"""),3570.16)</f>
        <v/>
      </c>
    </row>
    <row r="10135">
      <c r="J10135">
        <f>IFERROR(__xludf.DUMMYFUNCTION("""COMPUTED_VALUE"""),"Edmonton, Alberta, Vancouver, British Columbia, Toronto, Ontario")</f>
        <v/>
      </c>
      <c r="K10135">
        <f>IFERROR(__xludf.DUMMYFUNCTION("""COMPUTED_VALUE"""),3569.95)</f>
        <v/>
      </c>
    </row>
    <row r="10136">
      <c r="J10136">
        <f>IFERROR(__xludf.DUMMYFUNCTION("""COMPUTED_VALUE"""),"Ottawa (ON) Canada")</f>
        <v/>
      </c>
      <c r="K10136">
        <f>IFERROR(__xludf.DUMMYFUNCTION("""COMPUTED_VALUE"""),3569.68)</f>
        <v/>
      </c>
    </row>
    <row r="10137">
      <c r="J10137">
        <f>IFERROR(__xludf.DUMMYFUNCTION("""COMPUTED_VALUE"""),"Calgary, Alberta, Canada / Yellowknife, Northwest Territories, Canada / Dawson City, Yukon, Canada / Whitehorse, Yukon, Canada")</f>
        <v/>
      </c>
      <c r="K10137">
        <f>IFERROR(__xludf.DUMMYFUNCTION("""COMPUTED_VALUE"""),3569.58)</f>
        <v/>
      </c>
    </row>
    <row r="10138">
      <c r="J10138">
        <f>IFERROR(__xludf.DUMMYFUNCTION("""COMPUTED_VALUE"""),"Antigonish, NS")</f>
        <v/>
      </c>
      <c r="K10138">
        <f>IFERROR(__xludf.DUMMYFUNCTION("""COMPUTED_VALUE"""),3569.23)</f>
        <v/>
      </c>
    </row>
    <row r="10139">
      <c r="J10139">
        <f>IFERROR(__xludf.DUMMYFUNCTION("""COMPUTED_VALUE"""),"Edmonton, AB-Montréal, QC-Regina, SK")</f>
        <v/>
      </c>
      <c r="K10139">
        <f>IFERROR(__xludf.DUMMYFUNCTION("""COMPUTED_VALUE"""),3567.43)</f>
        <v/>
      </c>
    </row>
    <row r="10140">
      <c r="J10140">
        <f>IFERROR(__xludf.DUMMYFUNCTION("""COMPUTED_VALUE"""),"London, United Kingdom; Oslo, Norway")</f>
        <v/>
      </c>
      <c r="K10140">
        <f>IFERROR(__xludf.DUMMYFUNCTION("""COMPUTED_VALUE"""),3567.4)</f>
        <v/>
      </c>
    </row>
    <row r="10141">
      <c r="J10141">
        <f>IFERROR(__xludf.DUMMYFUNCTION("""COMPUTED_VALUE"""),"Calgary, Alberta / Saskatoon, Saskatchewan")</f>
        <v/>
      </c>
      <c r="K10141">
        <f>IFERROR(__xludf.DUMMYFUNCTION("""COMPUTED_VALUE"""),3566.95)</f>
        <v/>
      </c>
    </row>
    <row r="10142">
      <c r="J10142">
        <f>IFERROR(__xludf.DUMMYFUNCTION("""COMPUTED_VALUE"""),"Quebec, Quebec / Sherbrooke, Quebec / Montreal, Quebec")</f>
        <v/>
      </c>
      <c r="K10142">
        <f>IFERROR(__xludf.DUMMYFUNCTION("""COMPUTED_VALUE"""),3566.94)</f>
        <v/>
      </c>
    </row>
    <row r="10143">
      <c r="J10143">
        <f>IFERROR(__xludf.DUMMYFUNCTION("""COMPUTED_VALUE"""),"Port of Spain (Trinidad &amp; Tobago), Georgetown (Guyana), and Paramaribo (Suriname)")</f>
        <v/>
      </c>
      <c r="K10143">
        <f>IFERROR(__xludf.DUMMYFUNCTION("""COMPUTED_VALUE"""),3566.66)</f>
        <v/>
      </c>
    </row>
    <row r="10144">
      <c r="J10144">
        <f>IFERROR(__xludf.DUMMYFUNCTION("""COMPUTED_VALUE"""),"Montréal, Québec and Vancouver, Langley, Chillwack, Kamloops, British-Columbia")</f>
        <v/>
      </c>
      <c r="K10144">
        <f>IFERROR(__xludf.DUMMYFUNCTION("""COMPUTED_VALUE"""),3566.6)</f>
        <v/>
      </c>
    </row>
    <row r="10145">
      <c r="J10145">
        <f>IFERROR(__xludf.DUMMYFUNCTION("""COMPUTED_VALUE"""),"Hamilton, ON, Toronto, ON")</f>
        <v/>
      </c>
      <c r="K10145">
        <f>IFERROR(__xludf.DUMMYFUNCTION("""COMPUTED_VALUE"""),3565.81)</f>
        <v/>
      </c>
    </row>
    <row r="10146">
      <c r="J10146">
        <f>IFERROR(__xludf.DUMMYFUNCTION("""COMPUTED_VALUE"""),"Washington, DC,  United States")</f>
        <v/>
      </c>
      <c r="K10146">
        <f>IFERROR(__xludf.DUMMYFUNCTION("""COMPUTED_VALUE"""),3565.59)</f>
        <v/>
      </c>
    </row>
    <row r="10147">
      <c r="J10147">
        <f>IFERROR(__xludf.DUMMYFUNCTION("""COMPUTED_VALUE"""),"Saskatoon, SK and Winnipeg, MB")</f>
        <v/>
      </c>
      <c r="K10147">
        <f>IFERROR(__xludf.DUMMYFUNCTION("""COMPUTED_VALUE"""),3564.99)</f>
        <v/>
      </c>
    </row>
    <row r="10148">
      <c r="J10148">
        <f>IFERROR(__xludf.DUMMYFUNCTION("""COMPUTED_VALUE"""),"Montreal, Quebec, Canada / Abitibi-Temiscaming, Quebec, Canada")</f>
        <v/>
      </c>
      <c r="K10148">
        <f>IFERROR(__xludf.DUMMYFUNCTION("""COMPUTED_VALUE"""),3564.04)</f>
        <v/>
      </c>
    </row>
    <row r="10149">
      <c r="J10149">
        <f>IFERROR(__xludf.DUMMYFUNCTION("""COMPUTED_VALUE"""),"Toronto; Ottawa, Ontario, Canada")</f>
        <v/>
      </c>
      <c r="K10149">
        <f>IFERROR(__xludf.DUMMYFUNCTION("""COMPUTED_VALUE"""),3563.9)</f>
        <v/>
      </c>
    </row>
    <row r="10150">
      <c r="J10150">
        <f>IFERROR(__xludf.DUMMYFUNCTION("""COMPUTED_VALUE"""),"Vancouver, British Columbia and Yellowknife, Nunavut")</f>
        <v/>
      </c>
      <c r="K10150">
        <f>IFERROR(__xludf.DUMMYFUNCTION("""COMPUTED_VALUE"""),3562.59)</f>
        <v/>
      </c>
    </row>
    <row r="10151">
      <c r="J10151">
        <f>IFERROR(__xludf.DUMMYFUNCTION("""COMPUTED_VALUE"""),"London, United  Kingdom")</f>
        <v/>
      </c>
      <c r="K10151">
        <f>IFERROR(__xludf.DUMMYFUNCTION("""COMPUTED_VALUE"""),3562.13)</f>
        <v/>
      </c>
    </row>
    <row r="10152">
      <c r="J10152">
        <f>IFERROR(__xludf.DUMMYFUNCTION("""COMPUTED_VALUE"""),"Nanaimo, British Columbia / Vancouver, British Columbia, Canada")</f>
        <v/>
      </c>
      <c r="K10152">
        <f>IFERROR(__xludf.DUMMYFUNCTION("""COMPUTED_VALUE"""),3558.42)</f>
        <v/>
      </c>
    </row>
    <row r="10153">
      <c r="J10153">
        <f>IFERROR(__xludf.DUMMYFUNCTION("""COMPUTED_VALUE"""),"Charlottetown, Prince Edward Island, and Toronto, Ontario, Canada")</f>
        <v/>
      </c>
      <c r="K10153">
        <f>IFERROR(__xludf.DUMMYFUNCTION("""COMPUTED_VALUE"""),3558.38)</f>
        <v/>
      </c>
    </row>
    <row r="10154">
      <c r="J10154">
        <f>IFERROR(__xludf.DUMMYFUNCTION("""COMPUTED_VALUE"""),"Burnaby, British Columbia, Canada; Vancouver, British Columbia, Canada")</f>
        <v/>
      </c>
      <c r="K10154">
        <f>IFERROR(__xludf.DUMMYFUNCTION("""COMPUTED_VALUE"""),3558.3)</f>
        <v/>
      </c>
    </row>
    <row r="10155">
      <c r="J10155">
        <f>IFERROR(__xludf.DUMMYFUNCTION("""COMPUTED_VALUE"""),"San Fransisco")</f>
        <v/>
      </c>
      <c r="K10155">
        <f>IFERROR(__xludf.DUMMYFUNCTION("""COMPUTED_VALUE"""),3558.16)</f>
        <v/>
      </c>
    </row>
    <row r="10156">
      <c r="J10156">
        <f>IFERROR(__xludf.DUMMYFUNCTION("""COMPUTED_VALUE"""),"Nellis, United States")</f>
        <v/>
      </c>
      <c r="K10156">
        <f>IFERROR(__xludf.DUMMYFUNCTION("""COMPUTED_VALUE"""),3558.15)</f>
        <v/>
      </c>
    </row>
    <row r="10157">
      <c r="J10157">
        <f>IFERROR(__xludf.DUMMYFUNCTION("""COMPUTED_VALUE"""),"St. Johns, Newfoundland; Fredericton, New Brunswick, Canada")</f>
        <v/>
      </c>
      <c r="K10157">
        <f>IFERROR(__xludf.DUMMYFUNCTION("""COMPUTED_VALUE"""),3556.92)</f>
        <v/>
      </c>
    </row>
    <row r="10158">
      <c r="J10158">
        <f>IFERROR(__xludf.DUMMYFUNCTION("""COMPUTED_VALUE"""),"San Jose and Los Angeles, California, US")</f>
        <v/>
      </c>
      <c r="K10158">
        <f>IFERROR(__xludf.DUMMYFUNCTION("""COMPUTED_VALUE"""),3556.78)</f>
        <v/>
      </c>
    </row>
    <row r="10159">
      <c r="J10159">
        <f>IFERROR(__xludf.DUMMYFUNCTION("""COMPUTED_VALUE"""),"Chicago, Illinois, US")</f>
        <v/>
      </c>
      <c r="K10159">
        <f>IFERROR(__xludf.DUMMYFUNCTION("""COMPUTED_VALUE"""),3556.44)</f>
        <v/>
      </c>
    </row>
    <row r="10160">
      <c r="J10160">
        <f>IFERROR(__xludf.DUMMYFUNCTION("""COMPUTED_VALUE"""),"Iqaluit, Iqaluit")</f>
        <v/>
      </c>
      <c r="K10160">
        <f>IFERROR(__xludf.DUMMYFUNCTION("""COMPUTED_VALUE"""),3556.42)</f>
        <v/>
      </c>
    </row>
    <row r="10161">
      <c r="J10161">
        <f>IFERROR(__xludf.DUMMYFUNCTION("""COMPUTED_VALUE"""),"Calgary, Alberta, Canada / Montreal, Quebec, Canada / St John's, Newfoundland and Labrador, Canada")</f>
        <v/>
      </c>
      <c r="K10161">
        <f>IFERROR(__xludf.DUMMYFUNCTION("""COMPUTED_VALUE"""),3555.87)</f>
        <v/>
      </c>
    </row>
    <row r="10162">
      <c r="J10162">
        <f>IFERROR(__xludf.DUMMYFUNCTION("""COMPUTED_VALUE"""),"St. John's, NL &amp; Labrador")</f>
        <v/>
      </c>
      <c r="K10162">
        <f>IFERROR(__xludf.DUMMYFUNCTION("""COMPUTED_VALUE"""),3555.44)</f>
        <v/>
      </c>
    </row>
    <row r="10163">
      <c r="J10163">
        <f>IFERROR(__xludf.DUMMYFUNCTION("""COMPUTED_VALUE"""),"Whitehorse, YT, Vancouver, BC")</f>
        <v/>
      </c>
      <c r="K10163">
        <f>IFERROR(__xludf.DUMMYFUNCTION("""COMPUTED_VALUE"""),3553.34)</f>
        <v/>
      </c>
    </row>
    <row r="10164">
      <c r="J10164">
        <f>IFERROR(__xludf.DUMMYFUNCTION("""COMPUTED_VALUE"""),"Anchorage and Fairbanks, AK, US")</f>
        <v/>
      </c>
      <c r="K10164">
        <f>IFERROR(__xludf.DUMMYFUNCTION("""COMPUTED_VALUE"""),3552.34)</f>
        <v/>
      </c>
    </row>
    <row r="10165">
      <c r="J10165">
        <f>IFERROR(__xludf.DUMMYFUNCTION("""COMPUTED_VALUE"""),"Calgary, Banff, Edmonton, Alberta, Canada")</f>
        <v/>
      </c>
      <c r="K10165">
        <f>IFERROR(__xludf.DUMMYFUNCTION("""COMPUTED_VALUE"""),3552.24)</f>
        <v/>
      </c>
    </row>
    <row r="10166">
      <c r="J10166">
        <f>IFERROR(__xludf.DUMMYFUNCTION("""COMPUTED_VALUE"""),"Edmonton, AB,
Calgary, AB
Saskatoon, SK")</f>
        <v/>
      </c>
      <c r="K10166">
        <f>IFERROR(__xludf.DUMMYFUNCTION("""COMPUTED_VALUE"""),3551.61)</f>
        <v/>
      </c>
    </row>
    <row r="10167">
      <c r="J10167">
        <f>IFERROR(__xludf.DUMMYFUNCTION("""COMPUTED_VALUE"""),"Steady Brook, Newfoundland and Labrador and St. John's, Newfoundland and Labrador")</f>
        <v/>
      </c>
      <c r="K10167">
        <f>IFERROR(__xludf.DUMMYFUNCTION("""COMPUTED_VALUE"""),3551.19)</f>
        <v/>
      </c>
    </row>
    <row r="10168">
      <c r="J10168">
        <f>IFERROR(__xludf.DUMMYFUNCTION("""COMPUTED_VALUE"""),"Calgary, Alberta; Vancouver, British Columbi")</f>
        <v/>
      </c>
      <c r="K10168">
        <f>IFERROR(__xludf.DUMMYFUNCTION("""COMPUTED_VALUE"""),3550.19)</f>
        <v/>
      </c>
    </row>
    <row r="10169">
      <c r="J10169">
        <f>IFERROR(__xludf.DUMMYFUNCTION("""COMPUTED_VALUE"""),"Cumberland-Colchester, Nova Scotia, Canada")</f>
        <v/>
      </c>
      <c r="K10169">
        <f>IFERROR(__xludf.DUMMYFUNCTION("""COMPUTED_VALUE"""),3550.08)</f>
        <v/>
      </c>
    </row>
    <row r="10170">
      <c r="J10170">
        <f>IFERROR(__xludf.DUMMYFUNCTION("""COMPUTED_VALUE"""),"Mazatlan, Mexico")</f>
        <v/>
      </c>
      <c r="K10170">
        <f>IFERROR(__xludf.DUMMYFUNCTION("""COMPUTED_VALUE"""),3549.5)</f>
        <v/>
      </c>
    </row>
    <row r="10171">
      <c r="J10171">
        <f>IFERROR(__xludf.DUMMYFUNCTION("""COMPUTED_VALUE"""),"San Antonio Texas")</f>
        <v/>
      </c>
      <c r="K10171">
        <f>IFERROR(__xludf.DUMMYFUNCTION("""COMPUTED_VALUE"""),3549.43)</f>
        <v/>
      </c>
    </row>
    <row r="10172">
      <c r="J10172">
        <f>IFERROR(__xludf.DUMMYFUNCTION("""COMPUTED_VALUE"""),"Winnipeg, Manitoba and Vancouver, British-Columbia, Canada")</f>
        <v/>
      </c>
      <c r="K10172">
        <f>IFERROR(__xludf.DUMMYFUNCTION("""COMPUTED_VALUE"""),3548.24)</f>
        <v/>
      </c>
    </row>
    <row r="10173">
      <c r="J10173">
        <f>IFERROR(__xludf.DUMMYFUNCTION("""COMPUTED_VALUE"""),"Calgary, Alberta, Canada; Windsor, Ontario, Canada; Montreal, Quebec, Canada; Toronto, Ontario, Canada")</f>
        <v/>
      </c>
      <c r="K10173">
        <f>IFERROR(__xludf.DUMMYFUNCTION("""COMPUTED_VALUE"""),3547.02)</f>
        <v/>
      </c>
    </row>
    <row r="10174">
      <c r="J10174">
        <f>IFERROR(__xludf.DUMMYFUNCTION("""COMPUTED_VALUE"""),"Gimli, Manitoba")</f>
        <v/>
      </c>
      <c r="K10174">
        <f>IFERROR(__xludf.DUMMYFUNCTION("""COMPUTED_VALUE"""),3546.04)</f>
        <v/>
      </c>
    </row>
    <row r="10175">
      <c r="J10175">
        <f>IFERROR(__xludf.DUMMYFUNCTION("""COMPUTED_VALUE"""),"Vancouver, British Columbia, Canada; Edmonton, Alberta, Canada; Winnipeg, Manitoba, Canada; Toronto, Ontario, Canada")</f>
        <v/>
      </c>
      <c r="K10175">
        <f>IFERROR(__xludf.DUMMYFUNCTION("""COMPUTED_VALUE"""),3545.2)</f>
        <v/>
      </c>
    </row>
    <row r="10176">
      <c r="J10176">
        <f>IFERROR(__xludf.DUMMYFUNCTION("""COMPUTED_VALUE"""),"Edmonton, Calgary, (Alberta) Vancouver, (British Columbia)")</f>
        <v/>
      </c>
      <c r="K10176">
        <f>IFERROR(__xludf.DUMMYFUNCTION("""COMPUTED_VALUE"""),3543.73)</f>
        <v/>
      </c>
    </row>
    <row r="10177">
      <c r="J10177">
        <f>IFERROR(__xludf.DUMMYFUNCTION("""COMPUTED_VALUE"""),"Alouette, Quebec; Jonquiere, Quebec; Chicoutimi, Quebec")</f>
        <v/>
      </c>
      <c r="K10177">
        <f>IFERROR(__xludf.DUMMYFUNCTION("""COMPUTED_VALUE"""),3543.47)</f>
        <v/>
      </c>
    </row>
    <row r="10178">
      <c r="J10178">
        <f>IFERROR(__xludf.DUMMYFUNCTION("""COMPUTED_VALUE"""),"Vancouver, BC - Calgary, AB - Toronto, ON")</f>
        <v/>
      </c>
      <c r="K10178">
        <f>IFERROR(__xludf.DUMMYFUNCTION("""COMPUTED_VALUE"""),3542.57)</f>
        <v/>
      </c>
    </row>
    <row r="10179">
      <c r="J10179">
        <f>IFERROR(__xludf.DUMMYFUNCTION("""COMPUTED_VALUE"""),"North Bay, Sioux Lookout (Ontario) Canada")</f>
        <v/>
      </c>
      <c r="K10179">
        <f>IFERROR(__xludf.DUMMYFUNCTION("""COMPUTED_VALUE"""),3541.88)</f>
        <v/>
      </c>
    </row>
    <row r="10180">
      <c r="J10180">
        <f>IFERROR(__xludf.DUMMYFUNCTION("""COMPUTED_VALUE"""),"Kuujjuak (Québec) Canada")</f>
        <v/>
      </c>
      <c r="K10180">
        <f>IFERROR(__xludf.DUMMYFUNCTION("""COMPUTED_VALUE"""),3541.47)</f>
        <v/>
      </c>
    </row>
    <row r="10181">
      <c r="J10181">
        <f>IFERROR(__xludf.DUMMYFUNCTION("""COMPUTED_VALUE"""),"Toronto and Calgary, Ontario and Alberta, Canada")</f>
        <v/>
      </c>
      <c r="K10181">
        <f>IFERROR(__xludf.DUMMYFUNCTION("""COMPUTED_VALUE"""),3540.57)</f>
        <v/>
      </c>
    </row>
    <row r="10182">
      <c r="J10182">
        <f>IFERROR(__xludf.DUMMYFUNCTION("""COMPUTED_VALUE"""),"Edmonton, AB - Calgary, AB - Toronto, ON")</f>
        <v/>
      </c>
      <c r="K10182">
        <f>IFERROR(__xludf.DUMMYFUNCTION("""COMPUTED_VALUE"""),3540.15)</f>
        <v/>
      </c>
    </row>
    <row r="10183">
      <c r="J10183">
        <f>IFERROR(__xludf.DUMMYFUNCTION("""COMPUTED_VALUE"""),"Siksika, Alberta, Canada")</f>
        <v/>
      </c>
      <c r="K10183">
        <f>IFERROR(__xludf.DUMMYFUNCTION("""COMPUTED_VALUE"""),3540.13)</f>
        <v/>
      </c>
    </row>
    <row r="10184">
      <c r="J10184">
        <f>IFERROR(__xludf.DUMMYFUNCTION("""COMPUTED_VALUE"""),"Edmonton, Alberta, Canada; Winnipeg, Manitoba, Canada")</f>
        <v/>
      </c>
      <c r="K10184">
        <f>IFERROR(__xludf.DUMMYFUNCTION("""COMPUTED_VALUE"""),3539.61)</f>
        <v/>
      </c>
    </row>
    <row r="10185">
      <c r="J10185">
        <f>IFERROR(__xludf.DUMMYFUNCTION("""COMPUTED_VALUE"""),"Sidney, British Columbia, Canada
Burnaby, British Columbia, Canada
Calgary, Alberta, Canada
Winnipeg, Manitoba, Canada")</f>
        <v/>
      </c>
      <c r="K10185">
        <f>IFERROR(__xludf.DUMMYFUNCTION("""COMPUTED_VALUE"""),3539.01)</f>
        <v/>
      </c>
    </row>
    <row r="10186">
      <c r="J10186">
        <f>IFERROR(__xludf.DUMMYFUNCTION("""COMPUTED_VALUE"""),"Coquitlam, British Columbia, Canada")</f>
        <v/>
      </c>
      <c r="K10186">
        <f>IFERROR(__xludf.DUMMYFUNCTION("""COMPUTED_VALUE"""),3538.62)</f>
        <v/>
      </c>
    </row>
    <row r="10187">
      <c r="J10187">
        <f>IFERROR(__xludf.DUMMYFUNCTION("""COMPUTED_VALUE"""),"Nisku, Alberta, Canada")</f>
        <v/>
      </c>
      <c r="K10187">
        <f>IFERROR(__xludf.DUMMYFUNCTION("""COMPUTED_VALUE"""),3537.74)</f>
        <v/>
      </c>
    </row>
    <row r="10188">
      <c r="J10188">
        <f>IFERROR(__xludf.DUMMYFUNCTION("""COMPUTED_VALUE"""),"Vancouver and Chilliwack, British Columbia, Canada")</f>
        <v/>
      </c>
      <c r="K10188">
        <f>IFERROR(__xludf.DUMMYFUNCTION("""COMPUTED_VALUE"""),3537.42)</f>
        <v/>
      </c>
    </row>
    <row r="10189">
      <c r="J10189">
        <f>IFERROR(__xludf.DUMMYFUNCTION("""COMPUTED_VALUE"""),"Valcartier, QC")</f>
        <v/>
      </c>
      <c r="K10189">
        <f>IFERROR(__xludf.DUMMYFUNCTION("""COMPUTED_VALUE"""),3536.05)</f>
        <v/>
      </c>
    </row>
    <row r="10190">
      <c r="J10190">
        <f>IFERROR(__xludf.DUMMYFUNCTION("""COMPUTED_VALUE"""),"Newark, New Jersey")</f>
        <v/>
      </c>
      <c r="K10190">
        <f>IFERROR(__xludf.DUMMYFUNCTION("""COMPUTED_VALUE"""),3535.38)</f>
        <v/>
      </c>
    </row>
    <row r="10191">
      <c r="J10191">
        <f>IFERROR(__xludf.DUMMYFUNCTION("""COMPUTED_VALUE"""),"Vancouver, BC - Terrace BC")</f>
        <v/>
      </c>
      <c r="K10191">
        <f>IFERROR(__xludf.DUMMYFUNCTION("""COMPUTED_VALUE"""),3535.29)</f>
        <v/>
      </c>
    </row>
    <row r="10192">
      <c r="J10192">
        <f>IFERROR(__xludf.DUMMYFUNCTION("""COMPUTED_VALUE"""),"Windsor, ON / Waterloo, ON / Detroit, MI")</f>
        <v/>
      </c>
      <c r="K10192">
        <f>IFERROR(__xludf.DUMMYFUNCTION("""COMPUTED_VALUE"""),3534.48)</f>
        <v/>
      </c>
    </row>
    <row r="10193">
      <c r="J10193">
        <f>IFERROR(__xludf.DUMMYFUNCTION("""COMPUTED_VALUE"""),"Calgary, AB; Winnipeg, MB; Churchill, MB")</f>
        <v/>
      </c>
      <c r="K10193">
        <f>IFERROR(__xludf.DUMMYFUNCTION("""COMPUTED_VALUE"""),3533.7)</f>
        <v/>
      </c>
    </row>
    <row r="10194">
      <c r="J10194">
        <f>IFERROR(__xludf.DUMMYFUNCTION("""COMPUTED_VALUE"""),"Montreal, QC; Halifax, NS; Washington, USA")</f>
        <v/>
      </c>
      <c r="K10194">
        <f>IFERROR(__xludf.DUMMYFUNCTION("""COMPUTED_VALUE"""),3533.3)</f>
        <v/>
      </c>
    </row>
    <row r="10195">
      <c r="J10195">
        <f>IFERROR(__xludf.DUMMYFUNCTION("""COMPUTED_VALUE"""),"Halifax, Nova Scotia, Canada; St. John's, Newfoundland and Labrador, Canada; Toronto, Ontario, Canada")</f>
        <v/>
      </c>
      <c r="K10195">
        <f>IFERROR(__xludf.DUMMYFUNCTION("""COMPUTED_VALUE"""),3533.22)</f>
        <v/>
      </c>
    </row>
    <row r="10196">
      <c r="J10196">
        <f>IFERROR(__xludf.DUMMYFUNCTION("""COMPUTED_VALUE"""),"Montreal, Quebec / Halifax, Nova Scotia")</f>
        <v/>
      </c>
      <c r="K10196">
        <f>IFERROR(__xludf.DUMMYFUNCTION("""COMPUTED_VALUE"""),3532.84)</f>
        <v/>
      </c>
    </row>
    <row r="10197">
      <c r="J10197">
        <f>IFERROR(__xludf.DUMMYFUNCTION("""COMPUTED_VALUE"""),"Edmonton &amp; Fort McMurray, Alberta")</f>
        <v/>
      </c>
      <c r="K10197">
        <f>IFERROR(__xludf.DUMMYFUNCTION("""COMPUTED_VALUE"""),3532.59)</f>
        <v/>
      </c>
    </row>
    <row r="10198">
      <c r="J10198">
        <f>IFERROR(__xludf.DUMMYFUNCTION("""COMPUTED_VALUE"""),"Cranbook, British Columbia, Canada")</f>
        <v/>
      </c>
      <c r="K10198">
        <f>IFERROR(__xludf.DUMMYFUNCTION("""COMPUTED_VALUE"""),3531.72)</f>
        <v/>
      </c>
    </row>
    <row r="10199">
      <c r="J10199">
        <f>IFERROR(__xludf.DUMMYFUNCTION("""COMPUTED_VALUE"""),"Halifax, NS, Vancouver, BC, Ottawa, ON and Edmonton, AB")</f>
        <v/>
      </c>
      <c r="K10199">
        <f>IFERROR(__xludf.DUMMYFUNCTION("""COMPUTED_VALUE"""),3531.23)</f>
        <v/>
      </c>
    </row>
    <row r="10200">
      <c r="J10200">
        <f>IFERROR(__xludf.DUMMYFUNCTION("""COMPUTED_VALUE"""),"Vancouver, British Columbia, Canada; Prince Rupert, British Columbia, Canada")</f>
        <v/>
      </c>
      <c r="K10200">
        <f>IFERROR(__xludf.DUMMYFUNCTION("""COMPUTED_VALUE"""),3530.91)</f>
        <v/>
      </c>
    </row>
    <row r="10201">
      <c r="J10201">
        <f>IFERROR(__xludf.DUMMYFUNCTION("""COMPUTED_VALUE"""),"Vancouver/Edmonton/Calgary")</f>
        <v/>
      </c>
      <c r="K10201">
        <f>IFERROR(__xludf.DUMMYFUNCTION("""COMPUTED_VALUE"""),3529.1)</f>
        <v/>
      </c>
    </row>
    <row r="10202">
      <c r="J10202">
        <f>IFERROR(__xludf.DUMMYFUNCTION("""COMPUTED_VALUE"""),"Regina (Saskatchewan) Canada
Winnipeg (Manitoba) Canada")</f>
        <v/>
      </c>
      <c r="K10202">
        <f>IFERROR(__xludf.DUMMYFUNCTION("""COMPUTED_VALUE"""),3528.37)</f>
        <v/>
      </c>
    </row>
    <row r="10203">
      <c r="J10203">
        <f>IFERROR(__xludf.DUMMYFUNCTION("""COMPUTED_VALUE"""),"Banff, Alberta, Canada &amp; Winnipeg, Manitoba, Canada")</f>
        <v/>
      </c>
      <c r="K10203">
        <f>IFERROR(__xludf.DUMMYFUNCTION("""COMPUTED_VALUE"""),3527.16)</f>
        <v/>
      </c>
    </row>
    <row r="10204">
      <c r="J10204">
        <f>IFERROR(__xludf.DUMMYFUNCTION("""COMPUTED_VALUE"""),"Montreal, Quebec, Canada / Kingston, Ontario, Canada / Vancouver, British Colombia, Canada / Calgary, Alberta, Canada")</f>
        <v/>
      </c>
      <c r="K10204">
        <f>IFERROR(__xludf.DUMMYFUNCTION("""COMPUTED_VALUE"""),3526.08)</f>
        <v/>
      </c>
    </row>
    <row r="10205">
      <c r="J10205">
        <f>IFERROR(__xludf.DUMMYFUNCTION("""COMPUTED_VALUE"""),"Moncton and Saint John, New Brunswick; St. John's, Newfoundland and Labrador")</f>
        <v/>
      </c>
      <c r="K10205">
        <f>IFERROR(__xludf.DUMMYFUNCTION("""COMPUTED_VALUE"""),3525.59)</f>
        <v/>
      </c>
    </row>
    <row r="10206">
      <c r="J10206">
        <f>IFERROR(__xludf.DUMMYFUNCTION("""COMPUTED_VALUE"""),"Abottsford, British Columbia, Canada; Victoria, British Columbia, Canada")</f>
        <v/>
      </c>
      <c r="K10206">
        <f>IFERROR(__xludf.DUMMYFUNCTION("""COMPUTED_VALUE"""),3524.99)</f>
        <v/>
      </c>
    </row>
    <row r="10207">
      <c r="J10207">
        <f>IFERROR(__xludf.DUMMYFUNCTION("""COMPUTED_VALUE"""),"Toronto, Ottawa, Montreal, Ontario and Quebec, Canada")</f>
        <v/>
      </c>
      <c r="K10207">
        <f>IFERROR(__xludf.DUMMYFUNCTION("""COMPUTED_VALUE"""),3524.92)</f>
        <v/>
      </c>
    </row>
    <row r="10208">
      <c r="J10208">
        <f>IFERROR(__xludf.DUMMYFUNCTION("""COMPUTED_VALUE"""),"Antigonish, Nova Scotia, Canada; Charlottetown, Prince Edward Island, Canada")</f>
        <v/>
      </c>
      <c r="K10208">
        <f>IFERROR(__xludf.DUMMYFUNCTION("""COMPUTED_VALUE"""),3523.64)</f>
        <v/>
      </c>
    </row>
    <row r="10209">
      <c r="J10209">
        <f>IFERROR(__xludf.DUMMYFUNCTION("""COMPUTED_VALUE"""),"Charlottetown, PE; Summerside, PE")</f>
        <v/>
      </c>
      <c r="K10209">
        <f>IFERROR(__xludf.DUMMYFUNCTION("""COMPUTED_VALUE"""),3522.35999999999)</f>
        <v/>
      </c>
    </row>
    <row r="10210">
      <c r="J10210">
        <f>IFERROR(__xludf.DUMMYFUNCTION("""COMPUTED_VALUE"""),"National Harbor, Maryland")</f>
        <v/>
      </c>
      <c r="K10210">
        <f>IFERROR(__xludf.DUMMYFUNCTION("""COMPUTED_VALUE"""),3521.53)</f>
        <v/>
      </c>
    </row>
    <row r="10211">
      <c r="J10211">
        <f>IFERROR(__xludf.DUMMYFUNCTION("""COMPUTED_VALUE"""),"Montreal, Vancouver, Canada")</f>
        <v/>
      </c>
      <c r="K10211">
        <f>IFERROR(__xludf.DUMMYFUNCTION("""COMPUTED_VALUE"""),3521.39)</f>
        <v/>
      </c>
    </row>
    <row r="10212">
      <c r="J10212">
        <f>IFERROR(__xludf.DUMMYFUNCTION("""COMPUTED_VALUE"""),"Springfield, USA")</f>
        <v/>
      </c>
      <c r="K10212">
        <f>IFERROR(__xludf.DUMMYFUNCTION("""COMPUTED_VALUE"""),3521)</f>
        <v/>
      </c>
    </row>
    <row r="10213">
      <c r="J10213">
        <f>IFERROR(__xludf.DUMMYFUNCTION("""COMPUTED_VALUE"""),"Whitehorse, Yukon, Canada; Victoria, British Columbia, Canada; Edmonton, Alberta, Canada")</f>
        <v/>
      </c>
      <c r="K10213">
        <f>IFERROR(__xludf.DUMMYFUNCTION("""COMPUTED_VALUE"""),3520.63)</f>
        <v/>
      </c>
    </row>
    <row r="10214">
      <c r="J10214">
        <f>IFERROR(__xludf.DUMMYFUNCTION("""COMPUTED_VALUE"""),"Lac-Mégantic, Quebec")</f>
        <v/>
      </c>
      <c r="K10214">
        <f>IFERROR(__xludf.DUMMYFUNCTION("""COMPUTED_VALUE"""),3520.57)</f>
        <v/>
      </c>
    </row>
    <row r="10215">
      <c r="J10215">
        <f>IFERROR(__xludf.DUMMYFUNCTION("""COMPUTED_VALUE"""),"Santpoort, The Netherlands")</f>
        <v/>
      </c>
      <c r="K10215">
        <f>IFERROR(__xludf.DUMMYFUNCTION("""COMPUTED_VALUE"""),3519.83)</f>
        <v/>
      </c>
    </row>
    <row r="10216">
      <c r="J10216">
        <f>IFERROR(__xludf.DUMMYFUNCTION("""COMPUTED_VALUE"""),"Montreal, Quebec, Canada; Toronto, Ontario, Canada; Stephenville, Newfoundland and Labrador, Canada")</f>
        <v/>
      </c>
      <c r="K10216">
        <f>IFERROR(__xludf.DUMMYFUNCTION("""COMPUTED_VALUE"""),3519.79)</f>
        <v/>
      </c>
    </row>
    <row r="10217">
      <c r="J10217">
        <f>IFERROR(__xludf.DUMMYFUNCTION("""COMPUTED_VALUE"""),"St-John's, NL; Summerside, PE; Saint John, NB; Halifax, NS")</f>
        <v/>
      </c>
      <c r="K10217">
        <f>IFERROR(__xludf.DUMMYFUNCTION("""COMPUTED_VALUE"""),3519.15)</f>
        <v/>
      </c>
    </row>
    <row r="10218">
      <c r="J10218">
        <f>IFERROR(__xludf.DUMMYFUNCTION("""COMPUTED_VALUE"""),"Colorado Springs (Colorado Springs) United States")</f>
        <v/>
      </c>
      <c r="K10218">
        <f>IFERROR(__xludf.DUMMYFUNCTION("""COMPUTED_VALUE"""),3518.29)</f>
        <v/>
      </c>
    </row>
    <row r="10219">
      <c r="J10219">
        <f>IFERROR(__xludf.DUMMYFUNCTION("""COMPUTED_VALUE"""),"Winnipeg, Manitoba, Canada / Calgary, Alberta, Canada / Edmonton, Alberta, Canada")</f>
        <v/>
      </c>
      <c r="K10219">
        <f>IFERROR(__xludf.DUMMYFUNCTION("""COMPUTED_VALUE"""),3518.17)</f>
        <v/>
      </c>
    </row>
    <row r="10220">
      <c r="J10220">
        <f>IFERROR(__xludf.DUMMYFUNCTION("""COMPUTED_VALUE"""),"Ingelstadt Germany")</f>
        <v/>
      </c>
      <c r="K10220">
        <f>IFERROR(__xludf.DUMMYFUNCTION("""COMPUTED_VALUE"""),3518.14)</f>
        <v/>
      </c>
    </row>
    <row r="10221">
      <c r="J10221">
        <f>IFERROR(__xludf.DUMMYFUNCTION("""COMPUTED_VALUE"""),"Whitehorse, Yukon, Canada; Yellowknife, Northwest Territories, Canada; Iqaluit, Nunavut, Canada")</f>
        <v/>
      </c>
      <c r="K10221">
        <f>IFERROR(__xludf.DUMMYFUNCTION("""COMPUTED_VALUE"""),3517.9)</f>
        <v/>
      </c>
    </row>
    <row r="10222">
      <c r="J10222">
        <f>IFERROR(__xludf.DUMMYFUNCTION("""COMPUTED_VALUE"""),"Hilton Head Island, USA")</f>
        <v/>
      </c>
      <c r="K10222">
        <f>IFERROR(__xludf.DUMMYFUNCTION("""COMPUTED_VALUE"""),3517.79)</f>
        <v/>
      </c>
    </row>
    <row r="10223">
      <c r="J10223">
        <f>IFERROR(__xludf.DUMMYFUNCTION("""COMPUTED_VALUE"""),"CANADA - Vcitoria 
USA - Seattle")</f>
        <v/>
      </c>
      <c r="K10223">
        <f>IFERROR(__xludf.DUMMYFUNCTION("""COMPUTED_VALUE"""),3517.54)</f>
        <v/>
      </c>
    </row>
    <row r="10224">
      <c r="J10224">
        <f>IFERROR(__xludf.DUMMYFUNCTION("""COMPUTED_VALUE"""),"Windsor, Ontario / Winnipeg, Manitoba, Canada")</f>
        <v/>
      </c>
      <c r="K10224">
        <f>IFERROR(__xludf.DUMMYFUNCTION("""COMPUTED_VALUE"""),3517.53)</f>
        <v/>
      </c>
    </row>
    <row r="10225">
      <c r="J10225">
        <f>IFERROR(__xludf.DUMMYFUNCTION("""COMPUTED_VALUE"""),"Toronto and Mississauga, Ontario, Canada")</f>
        <v/>
      </c>
      <c r="K10225">
        <f>IFERROR(__xludf.DUMMYFUNCTION("""COMPUTED_VALUE"""),3516.77)</f>
        <v/>
      </c>
    </row>
    <row r="10226">
      <c r="J10226">
        <f>IFERROR(__xludf.DUMMYFUNCTION("""COMPUTED_VALUE"""),"Montreal, Quebec, Canada; Vancouver, British Columbia, Canada")</f>
        <v/>
      </c>
      <c r="K10226">
        <f>IFERROR(__xludf.DUMMYFUNCTION("""COMPUTED_VALUE"""),3515.34)</f>
        <v/>
      </c>
    </row>
    <row r="10227">
      <c r="J10227">
        <f>IFERROR(__xludf.DUMMYFUNCTION("""COMPUTED_VALUE"""),"St-John's NLand Fredericton NB.")</f>
        <v/>
      </c>
      <c r="K10227">
        <f>IFERROR(__xludf.DUMMYFUNCTION("""COMPUTED_VALUE"""),3514.34)</f>
        <v/>
      </c>
    </row>
    <row r="10228">
      <c r="J10228">
        <f>IFERROR(__xludf.DUMMYFUNCTION("""COMPUTED_VALUE"""),"Winnipeg, Manitoba and Vancouver British Columbia, Canada")</f>
        <v/>
      </c>
      <c r="K10228">
        <f>IFERROR(__xludf.DUMMYFUNCTION("""COMPUTED_VALUE"""),3514.2)</f>
        <v/>
      </c>
    </row>
    <row r="10229">
      <c r="J10229">
        <f>IFERROR(__xludf.DUMMYFUNCTION("""COMPUTED_VALUE"""),"Yellowknife &amp; Inuvik, Northwest Territories")</f>
        <v/>
      </c>
      <c r="K10229">
        <f>IFERROR(__xludf.DUMMYFUNCTION("""COMPUTED_VALUE"""),3514.13)</f>
        <v/>
      </c>
    </row>
    <row r="10230">
      <c r="J10230">
        <f>IFERROR(__xludf.DUMMYFUNCTION("""COMPUTED_VALUE"""),"Calgary-Barrie-Calgary")</f>
        <v/>
      </c>
      <c r="K10230">
        <f>IFERROR(__xludf.DUMMYFUNCTION("""COMPUTED_VALUE"""),3513.81)</f>
        <v/>
      </c>
    </row>
    <row r="10231">
      <c r="J10231">
        <f>IFERROR(__xludf.DUMMYFUNCTION("""COMPUTED_VALUE"""),"Ottawa, ON - Oslo, Norway / Oslo, Norway - Ottawa, ON")</f>
        <v/>
      </c>
      <c r="K10231">
        <f>IFERROR(__xludf.DUMMYFUNCTION("""COMPUTED_VALUE"""),3512.72)</f>
        <v/>
      </c>
    </row>
    <row r="10232">
      <c r="J10232">
        <f>IFERROR(__xludf.DUMMYFUNCTION("""COMPUTED_VALUE"""),"Edmonton, AB - Victoria, BC - Vancouver, BC")</f>
        <v/>
      </c>
      <c r="K10232">
        <f>IFERROR(__xludf.DUMMYFUNCTION("""COMPUTED_VALUE"""),3512.39)</f>
        <v/>
      </c>
    </row>
    <row r="10233">
      <c r="J10233">
        <f>IFERROR(__xludf.DUMMYFUNCTION("""COMPUTED_VALUE"""),"OTTAWA, ON - HALIFAX NS")</f>
        <v/>
      </c>
      <c r="K10233">
        <f>IFERROR(__xludf.DUMMYFUNCTION("""COMPUTED_VALUE"""),3511.17)</f>
        <v/>
      </c>
    </row>
    <row r="10234">
      <c r="J10234">
        <f>IFERROR(__xludf.DUMMYFUNCTION("""COMPUTED_VALUE"""),"ROPAC-ROANT-Vancouver&amp;Edmonton")</f>
        <v/>
      </c>
      <c r="K10234">
        <f>IFERROR(__xludf.DUMMYFUNCTION("""COMPUTED_VALUE"""),3510.65)</f>
        <v/>
      </c>
    </row>
    <row r="10235">
      <c r="J10235">
        <f>IFERROR(__xludf.DUMMYFUNCTION("""COMPUTED_VALUE"""),"Comox, British Columbia, Canada")</f>
        <v/>
      </c>
      <c r="K10235">
        <f>IFERROR(__xludf.DUMMYFUNCTION("""COMPUTED_VALUE"""),3510)</f>
        <v/>
      </c>
    </row>
    <row r="10236">
      <c r="J10236">
        <f>IFERROR(__xludf.DUMMYFUNCTION("""COMPUTED_VALUE"""),"Rigaud")</f>
        <v/>
      </c>
      <c r="K10236">
        <f>IFERROR(__xludf.DUMMYFUNCTION("""COMPUTED_VALUE"""),3508.58999999999)</f>
        <v/>
      </c>
    </row>
    <row r="10237">
      <c r="J10237">
        <f>IFERROR(__xludf.DUMMYFUNCTION("""COMPUTED_VALUE"""),"Ottawa-Charlottetown-Toronto-Ottawa")</f>
        <v/>
      </c>
      <c r="K10237">
        <f>IFERROR(__xludf.DUMMYFUNCTION("""COMPUTED_VALUE"""),3507.99)</f>
        <v/>
      </c>
    </row>
    <row r="10238">
      <c r="J10238">
        <f>IFERROR(__xludf.DUMMYFUNCTION("""COMPUTED_VALUE"""),"Pittsburgh, Penn., USA")</f>
        <v/>
      </c>
      <c r="K10238">
        <f>IFERROR(__xludf.DUMMYFUNCTION("""COMPUTED_VALUE"""),3507.67)</f>
        <v/>
      </c>
    </row>
    <row r="10239">
      <c r="J10239">
        <f>IFERROR(__xludf.DUMMYFUNCTION("""COMPUTED_VALUE"""),"Toronto, Edmonton, Vancouver")</f>
        <v/>
      </c>
      <c r="K10239">
        <f>IFERROR(__xludf.DUMMYFUNCTION("""COMPUTED_VALUE"""),3507.2)</f>
        <v/>
      </c>
    </row>
    <row r="10240">
      <c r="J10240">
        <f>IFERROR(__xludf.DUMMYFUNCTION("""COMPUTED_VALUE"""),"Minneapolis")</f>
        <v/>
      </c>
      <c r="K10240">
        <f>IFERROR(__xludf.DUMMYFUNCTION("""COMPUTED_VALUE"""),3506.58)</f>
        <v/>
      </c>
    </row>
    <row r="10241">
      <c r="J10241">
        <f>IFERROR(__xludf.DUMMYFUNCTION("""COMPUTED_VALUE"""),"Newfoundland and Labrador, Canada")</f>
        <v/>
      </c>
      <c r="K10241">
        <f>IFERROR(__xludf.DUMMYFUNCTION("""COMPUTED_VALUE"""),3505.44)</f>
        <v/>
      </c>
    </row>
    <row r="10242">
      <c r="J10242">
        <f>IFERROR(__xludf.DUMMYFUNCTION("""COMPUTED_VALUE"""),"Montreal, Quebec,Winnipeg, Manitoba,  Vancouver, British-Columbia (Canada)")</f>
        <v/>
      </c>
      <c r="K10242">
        <f>IFERROR(__xludf.DUMMYFUNCTION("""COMPUTED_VALUE"""),3504.76)</f>
        <v/>
      </c>
    </row>
    <row r="10243">
      <c r="J10243">
        <f>IFERROR(__xludf.DUMMYFUNCTION("""COMPUTED_VALUE"""),"Gaspesie, Quebec")</f>
        <v/>
      </c>
      <c r="K10243">
        <f>IFERROR(__xludf.DUMMYFUNCTION("""COMPUTED_VALUE"""),3504.58)</f>
        <v/>
      </c>
    </row>
    <row r="10244">
      <c r="J10244">
        <f>IFERROR(__xludf.DUMMYFUNCTION("""COMPUTED_VALUE"""),"Matane")</f>
        <v/>
      </c>
      <c r="K10244">
        <f>IFERROR(__xludf.DUMMYFUNCTION("""COMPUTED_VALUE"""),3504.25)</f>
        <v/>
      </c>
    </row>
    <row r="10245">
      <c r="J10245">
        <f>IFERROR(__xludf.DUMMYFUNCTION("""COMPUTED_VALUE"""),"Moncton, New Brunswick / Halifax, Nova Scotia / Northern New Brunswick")</f>
        <v/>
      </c>
      <c r="K10245">
        <f>IFERROR(__xludf.DUMMYFUNCTION("""COMPUTED_VALUE"""),3504.21)</f>
        <v/>
      </c>
    </row>
    <row r="10246">
      <c r="J10246">
        <f>IFERROR(__xludf.DUMMYFUNCTION("""COMPUTED_VALUE"""),"Charlottetown, PE and Moncton, NB")</f>
        <v/>
      </c>
      <c r="K10246">
        <f>IFERROR(__xludf.DUMMYFUNCTION("""COMPUTED_VALUE"""),3503.74)</f>
        <v/>
      </c>
    </row>
    <row r="10247">
      <c r="J10247">
        <f>IFERROR(__xludf.DUMMYFUNCTION("""COMPUTED_VALUE"""),"Victoria (British Colombia) Canada")</f>
        <v/>
      </c>
      <c r="K10247">
        <f>IFERROR(__xludf.DUMMYFUNCTION("""COMPUTED_VALUE"""),3503)</f>
        <v/>
      </c>
    </row>
    <row r="10248">
      <c r="J10248">
        <f>IFERROR(__xludf.DUMMYFUNCTION("""COMPUTED_VALUE"""),"Kitchener, ON, Canada")</f>
        <v/>
      </c>
      <c r="K10248">
        <f>IFERROR(__xludf.DUMMYFUNCTION("""COMPUTED_VALUE"""),3502.62)</f>
        <v/>
      </c>
    </row>
    <row r="10249">
      <c r="J10249">
        <f>IFERROR(__xludf.DUMMYFUNCTION("""COMPUTED_VALUE"""),"Gatineau, Quebec and Iqaluit, Nunavut")</f>
        <v/>
      </c>
      <c r="K10249">
        <f>IFERROR(__xludf.DUMMYFUNCTION("""COMPUTED_VALUE"""),3502.54)</f>
        <v/>
      </c>
    </row>
    <row r="10250">
      <c r="J10250">
        <f>IFERROR(__xludf.DUMMYFUNCTION("""COMPUTED_VALUE"""),"Thunder bay")</f>
        <v/>
      </c>
      <c r="K10250">
        <f>IFERROR(__xludf.DUMMYFUNCTION("""COMPUTED_VALUE"""),3502.33)</f>
        <v/>
      </c>
    </row>
    <row r="10251">
      <c r="J10251">
        <f>IFERROR(__xludf.DUMMYFUNCTION("""COMPUTED_VALUE"""),"Quebec, Quebec, Canada; Montreal, Quebec, Canada")</f>
        <v/>
      </c>
      <c r="K10251">
        <f>IFERROR(__xludf.DUMMYFUNCTION("""COMPUTED_VALUE"""),3501.93)</f>
        <v/>
      </c>
    </row>
    <row r="10252">
      <c r="J10252">
        <f>IFERROR(__xludf.DUMMYFUNCTION("""COMPUTED_VALUE"""),"Winnipeg, Manitoba / Gatineau, Québec")</f>
        <v/>
      </c>
      <c r="K10252">
        <f>IFERROR(__xludf.DUMMYFUNCTION("""COMPUTED_VALUE"""),3501.85)</f>
        <v/>
      </c>
    </row>
    <row r="10253">
      <c r="J10253">
        <f>IFERROR(__xludf.DUMMYFUNCTION("""COMPUTED_VALUE"""),"Moncton and Saint John, New Brunswick, Ontario, Canada")</f>
        <v/>
      </c>
      <c r="K10253">
        <f>IFERROR(__xludf.DUMMYFUNCTION("""COMPUTED_VALUE"""),3501.72)</f>
        <v/>
      </c>
    </row>
    <row r="10254">
      <c r="J10254">
        <f>IFERROR(__xludf.DUMMYFUNCTION("""COMPUTED_VALUE"""),"Vancouver - Victoria, BC - Calgary, AB")</f>
        <v/>
      </c>
      <c r="K10254">
        <f>IFERROR(__xludf.DUMMYFUNCTION("""COMPUTED_VALUE"""),3501.67)</f>
        <v/>
      </c>
    </row>
    <row r="10255">
      <c r="J10255">
        <f>IFERROR(__xludf.DUMMYFUNCTION("""COMPUTED_VALUE"""),"Tampa(Florida) U.S.A")</f>
        <v/>
      </c>
      <c r="K10255">
        <f>IFERROR(__xludf.DUMMYFUNCTION("""COMPUTED_VALUE"""),3501.52)</f>
        <v/>
      </c>
    </row>
    <row r="10256">
      <c r="J10256">
        <f>IFERROR(__xludf.DUMMYFUNCTION("""COMPUTED_VALUE"""),"Fredericton, New Brunswick/ Halifax, Nova Scotia/ St. John's, Newfoundland and Labrador, Canada")</f>
        <v/>
      </c>
      <c r="K10256">
        <f>IFERROR(__xludf.DUMMYFUNCTION("""COMPUTED_VALUE"""),3501.49)</f>
        <v/>
      </c>
    </row>
    <row r="10257">
      <c r="J10257">
        <f>IFERROR(__xludf.DUMMYFUNCTION("""COMPUTED_VALUE"""),"Calgary, BC, Canada")</f>
        <v/>
      </c>
      <c r="K10257">
        <f>IFERROR(__xludf.DUMMYFUNCTION("""COMPUTED_VALUE"""),3501.26)</f>
        <v/>
      </c>
    </row>
    <row r="10258">
      <c r="J10258">
        <f>IFERROR(__xludf.DUMMYFUNCTION("""COMPUTED_VALUE"""),"Washington, DC; Chicago, IL")</f>
        <v/>
      </c>
      <c r="K10258">
        <f>IFERROR(__xludf.DUMMYFUNCTION("""COMPUTED_VALUE"""),3500.52)</f>
        <v/>
      </c>
    </row>
    <row r="10259">
      <c r="J10259">
        <f>IFERROR(__xludf.DUMMYFUNCTION("""COMPUTED_VALUE"""),"Colorado Spring, Colorado, USA")</f>
        <v/>
      </c>
      <c r="K10259">
        <f>IFERROR(__xludf.DUMMYFUNCTION("""COMPUTED_VALUE"""),3500.42)</f>
        <v/>
      </c>
    </row>
    <row r="10260">
      <c r="J10260">
        <f>IFERROR(__xludf.DUMMYFUNCTION("""COMPUTED_VALUE"""),"Saskatoon, Saskatchewan, Canada / La Ronge, Saskatchewan, Canada")</f>
        <v/>
      </c>
      <c r="K10260">
        <f>IFERROR(__xludf.DUMMYFUNCTION("""COMPUTED_VALUE"""),3500.2)</f>
        <v/>
      </c>
    </row>
    <row r="10261">
      <c r="J10261">
        <f>IFERROR(__xludf.DUMMYFUNCTION("""COMPUTED_VALUE"""),"Toronto,Canada")</f>
        <v/>
      </c>
      <c r="K10261">
        <f>IFERROR(__xludf.DUMMYFUNCTION("""COMPUTED_VALUE"""),3499.91)</f>
        <v/>
      </c>
    </row>
    <row r="10262">
      <c r="J10262">
        <f>IFERROR(__xludf.DUMMYFUNCTION("""COMPUTED_VALUE"""),"Saskatoon, SK; Ottawa, ON")</f>
        <v/>
      </c>
      <c r="K10262">
        <f>IFERROR(__xludf.DUMMYFUNCTION("""COMPUTED_VALUE"""),3499.83)</f>
        <v/>
      </c>
    </row>
    <row r="10263">
      <c r="J10263">
        <f>IFERROR(__xludf.DUMMYFUNCTION("""COMPUTED_VALUE"""),"Phoenix, USA")</f>
        <v/>
      </c>
      <c r="K10263">
        <f>IFERROR(__xludf.DUMMYFUNCTION("""COMPUTED_VALUE"""),3499.45)</f>
        <v/>
      </c>
    </row>
    <row r="10264">
      <c r="J10264">
        <f>IFERROR(__xludf.DUMMYFUNCTION("""COMPUTED_VALUE"""),"Washington-DC-USA")</f>
        <v/>
      </c>
      <c r="K10264">
        <f>IFERROR(__xludf.DUMMYFUNCTION("""COMPUTED_VALUE"""),3498.79)</f>
        <v/>
      </c>
    </row>
    <row r="10265">
      <c r="J10265">
        <f>IFERROR(__xludf.DUMMYFUNCTION("""COMPUTED_VALUE"""),"Calgary/Yellowknife/              Vancouver/Edmonton")</f>
        <v/>
      </c>
      <c r="K10265">
        <f>IFERROR(__xludf.DUMMYFUNCTION("""COMPUTED_VALUE"""),3498.2)</f>
        <v/>
      </c>
    </row>
    <row r="10266">
      <c r="J10266">
        <f>IFERROR(__xludf.DUMMYFUNCTION("""COMPUTED_VALUE"""),"Ottawa, ON; Halifax, NS")</f>
        <v/>
      </c>
      <c r="K10266">
        <f>IFERROR(__xludf.DUMMYFUNCTION("""COMPUTED_VALUE"""),3498.1)</f>
        <v/>
      </c>
    </row>
    <row r="10267">
      <c r="J10267">
        <f>IFERROR(__xludf.DUMMYFUNCTION("""COMPUTED_VALUE"""),"Prince George and Vancouver, British-columbia and Yellowknife, Northwest Territories")</f>
        <v/>
      </c>
      <c r="K10267">
        <f>IFERROR(__xludf.DUMMYFUNCTION("""COMPUTED_VALUE"""),3497.72)</f>
        <v/>
      </c>
    </row>
    <row r="10268">
      <c r="J10268">
        <f>IFERROR(__xludf.DUMMYFUNCTION("""COMPUTED_VALUE"""),"Saint-John")</f>
        <v/>
      </c>
      <c r="K10268">
        <f>IFERROR(__xludf.DUMMYFUNCTION("""COMPUTED_VALUE"""),3495.43)</f>
        <v/>
      </c>
    </row>
    <row r="10269">
      <c r="J10269">
        <f>IFERROR(__xludf.DUMMYFUNCTION("""COMPUTED_VALUE"""),"Abbotsford, British-Columbia")</f>
        <v/>
      </c>
      <c r="K10269">
        <f>IFERROR(__xludf.DUMMYFUNCTION("""COMPUTED_VALUE"""),3494)</f>
        <v/>
      </c>
    </row>
    <row r="10270">
      <c r="J10270">
        <f>IFERROR(__xludf.DUMMYFUNCTION("""COMPUTED_VALUE"""),"Halifax, NS / Moncton, NB")</f>
        <v/>
      </c>
      <c r="K10270">
        <f>IFERROR(__xludf.DUMMYFUNCTION("""COMPUTED_VALUE"""),3492.33)</f>
        <v/>
      </c>
    </row>
    <row r="10271">
      <c r="J10271">
        <f>IFERROR(__xludf.DUMMYFUNCTION("""COMPUTED_VALUE"""),"Vancouver,Victoria,British Columbia,Canada")</f>
        <v/>
      </c>
      <c r="K10271">
        <f>IFERROR(__xludf.DUMMYFUNCTION("""COMPUTED_VALUE"""),3492.18)</f>
        <v/>
      </c>
    </row>
    <row r="10272">
      <c r="J10272">
        <f>IFERROR(__xludf.DUMMYFUNCTION("""COMPUTED_VALUE"""),"Edmonton, AB
Vancouver, BC")</f>
        <v/>
      </c>
      <c r="K10272">
        <f>IFERROR(__xludf.DUMMYFUNCTION("""COMPUTED_VALUE"""),3492.01)</f>
        <v/>
      </c>
    </row>
    <row r="10273">
      <c r="J10273">
        <f>IFERROR(__xludf.DUMMYFUNCTION("""COMPUTED_VALUE"""),"MONTREAL, QC &amp; SAULT STE MARIE, SUDBURY, NORTH BAY, ON")</f>
        <v/>
      </c>
      <c r="K10273">
        <f>IFERROR(__xludf.DUMMYFUNCTION("""COMPUTED_VALUE"""),3491.75)</f>
        <v/>
      </c>
    </row>
    <row r="10274">
      <c r="J10274">
        <f>IFERROR(__xludf.DUMMYFUNCTION("""COMPUTED_VALUE"""),"Halifax, NS, St, John's NL, Charlottetown, PE, Fredericton and Moncton, NB")</f>
        <v/>
      </c>
      <c r="K10274">
        <f>IFERROR(__xludf.DUMMYFUNCTION("""COMPUTED_VALUE"""),3491.47)</f>
        <v/>
      </c>
    </row>
    <row r="10275">
      <c r="J10275">
        <f>IFERROR(__xludf.DUMMYFUNCTION("""COMPUTED_VALUE"""),"Vancouver, Comox and Victoria, British Columbia")</f>
        <v/>
      </c>
      <c r="K10275">
        <f>IFERROR(__xludf.DUMMYFUNCTION("""COMPUTED_VALUE"""),3489.71)</f>
        <v/>
      </c>
    </row>
    <row r="10276">
      <c r="J10276">
        <f>IFERROR(__xludf.DUMMYFUNCTION("""COMPUTED_VALUE"""),"Vancouver, BC; Ontario")</f>
        <v/>
      </c>
      <c r="K10276">
        <f>IFERROR(__xludf.DUMMYFUNCTION("""COMPUTED_VALUE"""),3488.86)</f>
        <v/>
      </c>
    </row>
    <row r="10277">
      <c r="J10277">
        <f>IFERROR(__xludf.DUMMYFUNCTION("""COMPUTED_VALUE"""),"Halifax &amp; Boston")</f>
        <v/>
      </c>
      <c r="K10277">
        <f>IFERROR(__xludf.DUMMYFUNCTION("""COMPUTED_VALUE"""),3488.83)</f>
        <v/>
      </c>
    </row>
    <row r="10278">
      <c r="J10278">
        <f>IFERROR(__xludf.DUMMYFUNCTION("""COMPUTED_VALUE"""),"Alicante, Spain and Cherbourg, France")</f>
        <v/>
      </c>
      <c r="K10278">
        <f>IFERROR(__xludf.DUMMYFUNCTION("""COMPUTED_VALUE"""),3488.22)</f>
        <v/>
      </c>
    </row>
    <row r="10279">
      <c r="J10279">
        <f>IFERROR(__xludf.DUMMYFUNCTION("""COMPUTED_VALUE"""),"Vancouver-Calgary-Toronto")</f>
        <v/>
      </c>
      <c r="K10279">
        <f>IFERROR(__xludf.DUMMYFUNCTION("""COMPUTED_VALUE"""),3488.11)</f>
        <v/>
      </c>
    </row>
    <row r="10280">
      <c r="J10280">
        <f>IFERROR(__xludf.DUMMYFUNCTION("""COMPUTED_VALUE"""),"Yellowknife-Fort Simpson-Fort Smith, NWT")</f>
        <v/>
      </c>
      <c r="K10280">
        <f>IFERROR(__xludf.DUMMYFUNCTION("""COMPUTED_VALUE"""),3487.69)</f>
        <v/>
      </c>
    </row>
    <row r="10281">
      <c r="J10281">
        <f>IFERROR(__xludf.DUMMYFUNCTION("""COMPUTED_VALUE"""),"Winnipeg, MB, Montreal, QC, Toronto, ON")</f>
        <v/>
      </c>
      <c r="K10281">
        <f>IFERROR(__xludf.DUMMYFUNCTION("""COMPUTED_VALUE"""),3487.12)</f>
        <v/>
      </c>
    </row>
    <row r="10282">
      <c r="J10282">
        <f>IFERROR(__xludf.DUMMYFUNCTION("""COMPUTED_VALUE"""),"Vancouver, British Columbia, Canada; Edmonton, Alberta, Canada; Yellowknife, Northwest Territories, Canada")</f>
        <v/>
      </c>
      <c r="K10282">
        <f>IFERROR(__xludf.DUMMYFUNCTION("""COMPUTED_VALUE"""),3486.4)</f>
        <v/>
      </c>
    </row>
    <row r="10283">
      <c r="J10283">
        <f>IFERROR(__xludf.DUMMYFUNCTION("""COMPUTED_VALUE"""),"Belo Horizonte and Recife, Brazil")</f>
        <v/>
      </c>
      <c r="K10283">
        <f>IFERROR(__xludf.DUMMYFUNCTION("""COMPUTED_VALUE"""),3486.2)</f>
        <v/>
      </c>
    </row>
    <row r="10284">
      <c r="J10284">
        <f>IFERROR(__xludf.DUMMYFUNCTION("""COMPUTED_VALUE"""),"Kelowna (British Colombia) Canada")</f>
        <v/>
      </c>
      <c r="K10284">
        <f>IFERROR(__xludf.DUMMYFUNCTION("""COMPUTED_VALUE"""),3485.55)</f>
        <v/>
      </c>
    </row>
    <row r="10285">
      <c r="J10285">
        <f>IFERROR(__xludf.DUMMYFUNCTION("""COMPUTED_VALUE"""),"Mar del Plata, Argentina")</f>
        <v/>
      </c>
      <c r="K10285">
        <f>IFERROR(__xludf.DUMMYFUNCTION("""COMPUTED_VALUE"""),3485.01)</f>
        <v/>
      </c>
    </row>
    <row r="10286">
      <c r="J10286">
        <f>IFERROR(__xludf.DUMMYFUNCTION("""COMPUTED_VALUE"""),"Sydney and Halifax, Nova Scotia")</f>
        <v/>
      </c>
      <c r="K10286">
        <f>IFERROR(__xludf.DUMMYFUNCTION("""COMPUTED_VALUE"""),3484.67)</f>
        <v/>
      </c>
    </row>
    <row r="10287">
      <c r="J10287">
        <f>IFERROR(__xludf.DUMMYFUNCTION("""COMPUTED_VALUE"""),"Kelowna (British Columbia) Canada")</f>
        <v/>
      </c>
      <c r="K10287">
        <f>IFERROR(__xludf.DUMMYFUNCTION("""COMPUTED_VALUE"""),3484.64)</f>
        <v/>
      </c>
    </row>
    <row r="10288">
      <c r="J10288">
        <f>IFERROR(__xludf.DUMMYFUNCTION("""COMPUTED_VALUE"""),"Pearl Harbour, HI")</f>
        <v/>
      </c>
      <c r="K10288">
        <f>IFERROR(__xludf.DUMMYFUNCTION("""COMPUTED_VALUE"""),3484)</f>
        <v/>
      </c>
    </row>
    <row r="10289">
      <c r="J10289">
        <f>IFERROR(__xludf.DUMMYFUNCTION("""COMPUTED_VALUE"""),"Malaysia Singapore, South Korea")</f>
        <v/>
      </c>
      <c r="K10289">
        <f>IFERROR(__xludf.DUMMYFUNCTION("""COMPUTED_VALUE"""),3483.03)</f>
        <v/>
      </c>
    </row>
    <row r="10290">
      <c r="J10290">
        <f>IFERROR(__xludf.DUMMYFUNCTION("""COMPUTED_VALUE"""),"Vancouver, Victoria and Sidney, British Columbia and Toronto, Sarnia, Burlington and Port Lambton, Ontario")</f>
        <v/>
      </c>
      <c r="K10290">
        <f>IFERROR(__xludf.DUMMYFUNCTION("""COMPUTED_VALUE"""),3482.45)</f>
        <v/>
      </c>
    </row>
    <row r="10291">
      <c r="J10291">
        <f>IFERROR(__xludf.DUMMYFUNCTION("""COMPUTED_VALUE"""),"Edmonton, Alberta Abbotsford, British Columbia")</f>
        <v/>
      </c>
      <c r="K10291">
        <f>IFERROR(__xludf.DUMMYFUNCTION("""COMPUTED_VALUE"""),3482)</f>
        <v/>
      </c>
    </row>
    <row r="10292">
      <c r="J10292">
        <f>IFERROR(__xludf.DUMMYFUNCTION("""COMPUTED_VALUE"""),"Calgary, AB and Winnipeg, MB")</f>
        <v/>
      </c>
      <c r="K10292">
        <f>IFERROR(__xludf.DUMMYFUNCTION("""COMPUTED_VALUE"""),3481.72)</f>
        <v/>
      </c>
    </row>
    <row r="10293">
      <c r="J10293">
        <f>IFERROR(__xludf.DUMMYFUNCTION("""COMPUTED_VALUE"""),"Edmonton, Calgary, AB, Saskatoon, Sk, Vancouver, BC")</f>
        <v/>
      </c>
      <c r="K10293">
        <f>IFERROR(__xludf.DUMMYFUNCTION("""COMPUTED_VALUE"""),3481.65)</f>
        <v/>
      </c>
    </row>
    <row r="10294">
      <c r="J10294">
        <f>IFERROR(__xludf.DUMMYFUNCTION("""COMPUTED_VALUE"""),"Sainte-Agathe-des-Monts, Quebec, Canada")</f>
        <v/>
      </c>
      <c r="K10294">
        <f>IFERROR(__xludf.DUMMYFUNCTION("""COMPUTED_VALUE"""),3481.04)</f>
        <v/>
      </c>
    </row>
    <row r="10295">
      <c r="J10295">
        <f>IFERROR(__xludf.DUMMYFUNCTION("""COMPUTED_VALUE"""),"Washington DC, DC, USA")</f>
        <v/>
      </c>
      <c r="K10295">
        <f>IFERROR(__xludf.DUMMYFUNCTION("""COMPUTED_VALUE"""),3479.56)</f>
        <v/>
      </c>
    </row>
    <row r="10296">
      <c r="J10296">
        <f>IFERROR(__xludf.DUMMYFUNCTION("""COMPUTED_VALUE"""),"Edmonton, Alberta, Canada &amp; Kamloops, British Columbia, Canada")</f>
        <v/>
      </c>
      <c r="K10296">
        <f>IFERROR(__xludf.DUMMYFUNCTION("""COMPUTED_VALUE"""),3479.5)</f>
        <v/>
      </c>
    </row>
    <row r="10297">
      <c r="J10297">
        <f>IFERROR(__xludf.DUMMYFUNCTION("""COMPUTED_VALUE"""),"Ottawa-Montreal-Paris-Toronto-Ottawa")</f>
        <v/>
      </c>
      <c r="K10297">
        <f>IFERROR(__xludf.DUMMYFUNCTION("""COMPUTED_VALUE"""),3479.43)</f>
        <v/>
      </c>
    </row>
    <row r="10298">
      <c r="J10298">
        <f>IFERROR(__xludf.DUMMYFUNCTION("""COMPUTED_VALUE"""),"Menlo Park, California, USA")</f>
        <v/>
      </c>
      <c r="K10298">
        <f>IFERROR(__xludf.DUMMYFUNCTION("""COMPUTED_VALUE"""),3478.78)</f>
        <v/>
      </c>
    </row>
    <row r="10299">
      <c r="J10299">
        <f>IFERROR(__xludf.DUMMYFUNCTION("""COMPUTED_VALUE"""),"Calgary, Alberta; Vancouver, British Columbia; Ottawa, Ontario, Canada")</f>
        <v/>
      </c>
      <c r="K10299">
        <f>IFERROR(__xludf.DUMMYFUNCTION("""COMPUTED_VALUE"""),3478.5)</f>
        <v/>
      </c>
    </row>
    <row r="10300">
      <c r="J10300">
        <f>IFERROR(__xludf.DUMMYFUNCTION("""COMPUTED_VALUE"""),"St. John's and Deer Lake, Newfoundland and Labrador, Canada and Halifax, Nova Scotia, Canada")</f>
        <v/>
      </c>
      <c r="K10300">
        <f>IFERROR(__xludf.DUMMYFUNCTION("""COMPUTED_VALUE"""),3478.31)</f>
        <v/>
      </c>
    </row>
    <row r="10301">
      <c r="J10301">
        <f>IFERROR(__xludf.DUMMYFUNCTION("""COMPUTED_VALUE"""),"Calgary, AB; Toronto, ON")</f>
        <v/>
      </c>
      <c r="K10301">
        <f>IFERROR(__xludf.DUMMYFUNCTION("""COMPUTED_VALUE"""),3477.91)</f>
        <v/>
      </c>
    </row>
    <row r="10302">
      <c r="J10302">
        <f>IFERROR(__xludf.DUMMYFUNCTION("""COMPUTED_VALUE"""),"Ottawa, ON - Quebec, QC / Quebec, QC - Edmonton, AB / Edmonton, AB - Winnipeg, MB / Winnipeg, MB - Ottawa, ON")</f>
        <v/>
      </c>
      <c r="K10302">
        <f>IFERROR(__xludf.DUMMYFUNCTION("""COMPUTED_VALUE"""),3477.75)</f>
        <v/>
      </c>
    </row>
    <row r="10303">
      <c r="J10303">
        <f>IFERROR(__xludf.DUMMYFUNCTION("""COMPUTED_VALUE"""),"Calgary, Albert")</f>
        <v/>
      </c>
      <c r="K10303">
        <f>IFERROR(__xludf.DUMMYFUNCTION("""COMPUTED_VALUE"""),3477.55)</f>
        <v/>
      </c>
    </row>
    <row r="10304">
      <c r="J10304">
        <f>IFERROR(__xludf.DUMMYFUNCTION("""COMPUTED_VALUE"""),"Toronto, Ontario, Canada
Halifax, Nova Scotia, Canada
St. John's, Newfoundland and Labrador, Canada
Moncton, New Brunswick, Canada
Winnipeg, Manitoba, Canada")</f>
        <v/>
      </c>
      <c r="K10304">
        <f>IFERROR(__xludf.DUMMYFUNCTION("""COMPUTED_VALUE"""),3477.08)</f>
        <v/>
      </c>
    </row>
    <row r="10305">
      <c r="J10305">
        <f>IFERROR(__xludf.DUMMYFUNCTION("""COMPUTED_VALUE"""),"Lower Post, British Columbia, Canada")</f>
        <v/>
      </c>
      <c r="K10305">
        <f>IFERROR(__xludf.DUMMYFUNCTION("""COMPUTED_VALUE"""),3476.68)</f>
        <v/>
      </c>
    </row>
    <row r="10306">
      <c r="J10306">
        <f>IFERROR(__xludf.DUMMYFUNCTION("""COMPUTED_VALUE"""),"Calgary, AB; Kelowna, BC;  Victoria, BC; Edmonton, AB")</f>
        <v/>
      </c>
      <c r="K10306">
        <f>IFERROR(__xludf.DUMMYFUNCTION("""COMPUTED_VALUE"""),3476.31)</f>
        <v/>
      </c>
    </row>
    <row r="10307">
      <c r="J10307">
        <f>IFERROR(__xludf.DUMMYFUNCTION("""COMPUTED_VALUE"""),"Whitehorse, Yukon; Yellowknife, Northwest Territories")</f>
        <v/>
      </c>
      <c r="K10307">
        <f>IFERROR(__xludf.DUMMYFUNCTION("""COMPUTED_VALUE"""),3476.16)</f>
        <v/>
      </c>
    </row>
    <row r="10308">
      <c r="J10308">
        <f>IFERROR(__xludf.DUMMYFUNCTION("""COMPUTED_VALUE"""),"Iqaluit, Nunavut; Vancouver, British Columbia")</f>
        <v/>
      </c>
      <c r="K10308">
        <f>IFERROR(__xludf.DUMMYFUNCTION("""COMPUTED_VALUE"""),3475.76)</f>
        <v/>
      </c>
    </row>
    <row r="10309">
      <c r="J10309">
        <f>IFERROR(__xludf.DUMMYFUNCTION("""COMPUTED_VALUE"""),"Ottawa-Vancouver-Victoria-Calgary-Charlottetown")</f>
        <v/>
      </c>
      <c r="K10309">
        <f>IFERROR(__xludf.DUMMYFUNCTION("""COMPUTED_VALUE"""),3475.31)</f>
        <v/>
      </c>
    </row>
    <row r="10310">
      <c r="J10310">
        <f>IFERROR(__xludf.DUMMYFUNCTION("""COMPUTED_VALUE"""),"Yellowknife, Northwest Territories;
Ottawa, Ontario")</f>
        <v/>
      </c>
      <c r="K10310">
        <f>IFERROR(__xludf.DUMMYFUNCTION("""COMPUTED_VALUE"""),3475.3)</f>
        <v/>
      </c>
    </row>
    <row r="10311">
      <c r="J10311">
        <f>IFERROR(__xludf.DUMMYFUNCTION("""COMPUTED_VALUE"""),"Ottawa-Calgary-Edmonton-Toronto-Ottawa")</f>
        <v/>
      </c>
      <c r="K10311">
        <f>IFERROR(__xludf.DUMMYFUNCTION("""COMPUTED_VALUE"""),3473.82)</f>
        <v/>
      </c>
    </row>
    <row r="10312">
      <c r="J10312">
        <f>IFERROR(__xludf.DUMMYFUNCTION("""COMPUTED_VALUE"""),"Suva, Republic of Fiji")</f>
        <v/>
      </c>
      <c r="K10312">
        <f>IFERROR(__xludf.DUMMYFUNCTION("""COMPUTED_VALUE"""),3473.1)</f>
        <v/>
      </c>
    </row>
    <row r="10313">
      <c r="J10313">
        <f>IFERROR(__xludf.DUMMYFUNCTION("""COMPUTED_VALUE"""),"Winnipeg, Manitoba, Canada                                     Jasper, Alberta, Canada                                Edmonton, Alberta, Canada")</f>
        <v/>
      </c>
      <c r="K10313">
        <f>IFERROR(__xludf.DUMMYFUNCTION("""COMPUTED_VALUE"""),3471.87)</f>
        <v/>
      </c>
    </row>
    <row r="10314">
      <c r="J10314">
        <f>IFERROR(__xludf.DUMMYFUNCTION("""COMPUTED_VALUE"""),"Halifax/Vancouver")</f>
        <v/>
      </c>
      <c r="K10314">
        <f>IFERROR(__xludf.DUMMYFUNCTION("""COMPUTED_VALUE"""),3470.85)</f>
        <v/>
      </c>
    </row>
    <row r="10315">
      <c r="J10315">
        <f>IFERROR(__xludf.DUMMYFUNCTION("""COMPUTED_VALUE"""),"Timmins, ON, Toronto, ON")</f>
        <v/>
      </c>
      <c r="K10315">
        <f>IFERROR(__xludf.DUMMYFUNCTION("""COMPUTED_VALUE"""),3470.82)</f>
        <v/>
      </c>
    </row>
    <row r="10316">
      <c r="J10316">
        <f>IFERROR(__xludf.DUMMYFUNCTION("""COMPUTED_VALUE"""),"Yellowknife, Yellowknife, Canada")</f>
        <v/>
      </c>
      <c r="K10316">
        <f>IFERROR(__xludf.DUMMYFUNCTION("""COMPUTED_VALUE"""),3470.2)</f>
        <v/>
      </c>
    </row>
    <row r="10317">
      <c r="J10317">
        <f>IFERROR(__xludf.DUMMYFUNCTION("""COMPUTED_VALUE"""),"Vancouver, Agassiz, Burnaby and Summerland, British Columbia")</f>
        <v/>
      </c>
      <c r="K10317">
        <f>IFERROR(__xludf.DUMMYFUNCTION("""COMPUTED_VALUE"""),3470)</f>
        <v/>
      </c>
    </row>
    <row r="10318">
      <c r="J10318">
        <f>IFERROR(__xludf.DUMMYFUNCTION("""COMPUTED_VALUE"""),"Reykjavic, Iceland")</f>
        <v/>
      </c>
      <c r="K10318">
        <f>IFERROR(__xludf.DUMMYFUNCTION("""COMPUTED_VALUE"""),3469.78)</f>
        <v/>
      </c>
    </row>
    <row r="10319">
      <c r="J10319">
        <f>IFERROR(__xludf.DUMMYFUNCTION("""COMPUTED_VALUE"""),"Hamilton, ON, Canada")</f>
        <v/>
      </c>
      <c r="K10319">
        <f>IFERROR(__xludf.DUMMYFUNCTION("""COMPUTED_VALUE"""),3468.96)</f>
        <v/>
      </c>
    </row>
    <row r="10320">
      <c r="J10320">
        <f>IFERROR(__xludf.DUMMYFUNCTION("""COMPUTED_VALUE"""),"Ottawa - Charlottetown - Toronto - Ottawa")</f>
        <v/>
      </c>
      <c r="K10320">
        <f>IFERROR(__xludf.DUMMYFUNCTION("""COMPUTED_VALUE"""),3468.94)</f>
        <v/>
      </c>
    </row>
    <row r="10321">
      <c r="J10321">
        <f>IFERROR(__xludf.DUMMYFUNCTION("""COMPUTED_VALUE"""),"Sydney Australia and Auckland New Zealand")</f>
        <v/>
      </c>
      <c r="K10321">
        <f>IFERROR(__xludf.DUMMYFUNCTION("""COMPUTED_VALUE"""),3468.11)</f>
        <v/>
      </c>
    </row>
    <row r="10322">
      <c r="J10322">
        <f>IFERROR(__xludf.DUMMYFUNCTION("""COMPUTED_VALUE"""),"Orlando, FL, United States")</f>
        <v/>
      </c>
      <c r="K10322">
        <f>IFERROR(__xludf.DUMMYFUNCTION("""COMPUTED_VALUE"""),3468.07)</f>
        <v/>
      </c>
    </row>
    <row r="10323">
      <c r="J10323">
        <f>IFERROR(__xludf.DUMMYFUNCTION("""COMPUTED_VALUE"""),"Edinburgh, (Scottland)")</f>
        <v/>
      </c>
      <c r="K10323">
        <f>IFERROR(__xludf.DUMMYFUNCTION("""COMPUTED_VALUE"""),3467.99)</f>
        <v/>
      </c>
    </row>
    <row r="10324">
      <c r="J10324">
        <f>IFERROR(__xludf.DUMMYFUNCTION("""COMPUTED_VALUE"""),"Bathurst, St. John's, New Brunswick, Canada")</f>
        <v/>
      </c>
      <c r="K10324">
        <f>IFERROR(__xludf.DUMMYFUNCTION("""COMPUTED_VALUE"""),3467.8)</f>
        <v/>
      </c>
    </row>
    <row r="10325">
      <c r="J10325">
        <f>IFERROR(__xludf.DUMMYFUNCTION("""COMPUTED_VALUE"""),"Yellowknife,Northwest Territories / Resolute, Nunavut")</f>
        <v/>
      </c>
      <c r="K10325">
        <f>IFERROR(__xludf.DUMMYFUNCTION("""COMPUTED_VALUE"""),3467.52)</f>
        <v/>
      </c>
    </row>
    <row r="10326">
      <c r="J10326">
        <f>IFERROR(__xludf.DUMMYFUNCTION("""COMPUTED_VALUE"""),"San Diego, Califonrnia, Unites States")</f>
        <v/>
      </c>
      <c r="K10326">
        <f>IFERROR(__xludf.DUMMYFUNCTION("""COMPUTED_VALUE"""),3465.74)</f>
        <v/>
      </c>
    </row>
    <row r="10327">
      <c r="J10327">
        <f>IFERROR(__xludf.DUMMYFUNCTION("""COMPUTED_VALUE"""),"Alma, Sept-Iles
and Rimouski")</f>
        <v/>
      </c>
      <c r="K10327">
        <f>IFERROR(__xludf.DUMMYFUNCTION("""COMPUTED_VALUE"""),3465.15)</f>
        <v/>
      </c>
    </row>
    <row r="10328">
      <c r="J10328">
        <f>IFERROR(__xludf.DUMMYFUNCTION("""COMPUTED_VALUE"""),"Saskatoon, Saskatchewan, Canada; Windsor, Ontario, Canada; Shawinigan, Quebec, Canada")</f>
        <v/>
      </c>
      <c r="K10328">
        <f>IFERROR(__xludf.DUMMYFUNCTION("""COMPUTED_VALUE"""),3465.10999999999)</f>
        <v/>
      </c>
    </row>
    <row r="10329">
      <c r="J10329">
        <f>IFERROR(__xludf.DUMMYFUNCTION("""COMPUTED_VALUE"""),"Montreal, Quebec, Canada; Regina, Saskatchewan, Canada")</f>
        <v/>
      </c>
      <c r="K10329">
        <f>IFERROR(__xludf.DUMMYFUNCTION("""COMPUTED_VALUE"""),3464.73)</f>
        <v/>
      </c>
    </row>
    <row r="10330">
      <c r="J10330">
        <f>IFERROR(__xludf.DUMMYFUNCTION("""COMPUTED_VALUE"""),"Halifax, Nova Scotia, Canada; Moncton, New Brunswick, Canada; Saint John, New Brunswick, Canada")</f>
        <v/>
      </c>
      <c r="K10330">
        <f>IFERROR(__xludf.DUMMYFUNCTION("""COMPUTED_VALUE"""),3464.65)</f>
        <v/>
      </c>
    </row>
    <row r="10331">
      <c r="J10331">
        <f>IFERROR(__xludf.DUMMYFUNCTION("""COMPUTED_VALUE"""),"Halifax, NS, St-John's NL and Fredericton, NB")</f>
        <v/>
      </c>
      <c r="K10331">
        <f>IFERROR(__xludf.DUMMYFUNCTION("""COMPUTED_VALUE"""),3464.6)</f>
        <v/>
      </c>
    </row>
    <row r="10332">
      <c r="J10332">
        <f>IFERROR(__xludf.DUMMYFUNCTION("""COMPUTED_VALUE"""),"Moncton, New Brunswick, Canada;   Halifax, Nova Scotia, Canada")</f>
        <v/>
      </c>
      <c r="K10332">
        <f>IFERROR(__xludf.DUMMYFUNCTION("""COMPUTED_VALUE"""),3463.9)</f>
        <v/>
      </c>
    </row>
    <row r="10333">
      <c r="J10333">
        <f>IFERROR(__xludf.DUMMYFUNCTION("""COMPUTED_VALUE"""),"Shilo, MB")</f>
        <v/>
      </c>
      <c r="K10333">
        <f>IFERROR(__xludf.DUMMYFUNCTION("""COMPUTED_VALUE"""),3462.73)</f>
        <v/>
      </c>
    </row>
    <row r="10334">
      <c r="J10334">
        <f>IFERROR(__xludf.DUMMYFUNCTION("""COMPUTED_VALUE"""),"Charlottetown, PE / St. John's, NL")</f>
        <v/>
      </c>
      <c r="K10334">
        <f>IFERROR(__xludf.DUMMYFUNCTION("""COMPUTED_VALUE"""),3462.28)</f>
        <v/>
      </c>
    </row>
    <row r="10335">
      <c r="J10335">
        <f>IFERROR(__xludf.DUMMYFUNCTION("""COMPUTED_VALUE"""),"Toronto, Ontario, Canada and Cambridge, Ontario, Canada")</f>
        <v/>
      </c>
      <c r="K10335">
        <f>IFERROR(__xludf.DUMMYFUNCTION("""COMPUTED_VALUE"""),3461.51)</f>
        <v/>
      </c>
    </row>
    <row r="10336">
      <c r="J10336">
        <f>IFERROR(__xludf.DUMMYFUNCTION("""COMPUTED_VALUE"""),"Vancouver and Surrey, British Columbia, Canada")</f>
        <v/>
      </c>
      <c r="K10336">
        <f>IFERROR(__xludf.DUMMYFUNCTION("""COMPUTED_VALUE"""),3458.01)</f>
        <v/>
      </c>
    </row>
    <row r="10337">
      <c r="J10337">
        <f>IFERROR(__xludf.DUMMYFUNCTION("""COMPUTED_VALUE"""),"Toronto, ON - Winnipeg, MB")</f>
        <v/>
      </c>
      <c r="K10337">
        <f>IFERROR(__xludf.DUMMYFUNCTION("""COMPUTED_VALUE"""),3457.98)</f>
        <v/>
      </c>
    </row>
    <row r="10338">
      <c r="J10338">
        <f>IFERROR(__xludf.DUMMYFUNCTION("""COMPUTED_VALUE"""),"Portland, United States; Nanaimo, British Columbia, Canada; Victoria, British Columbia, Canada")</f>
        <v/>
      </c>
      <c r="K10338">
        <f>IFERROR(__xludf.DUMMYFUNCTION("""COMPUTED_VALUE"""),3456.6)</f>
        <v/>
      </c>
    </row>
    <row r="10339">
      <c r="J10339">
        <f>IFERROR(__xludf.DUMMYFUNCTION("""COMPUTED_VALUE"""),"Chicago, Illinois - Houston, Texas")</f>
        <v/>
      </c>
      <c r="K10339">
        <f>IFERROR(__xludf.DUMMYFUNCTION("""COMPUTED_VALUE"""),3455.99)</f>
        <v/>
      </c>
    </row>
    <row r="10340">
      <c r="J10340">
        <f>IFERROR(__xludf.DUMMYFUNCTION("""COMPUTED_VALUE"""),"Washington, D.C., United states")</f>
        <v/>
      </c>
      <c r="K10340">
        <f>IFERROR(__xludf.DUMMYFUNCTION("""COMPUTED_VALUE"""),3455.82)</f>
        <v/>
      </c>
    </row>
    <row r="10341">
      <c r="J10341">
        <f>IFERROR(__xludf.DUMMYFUNCTION("""COMPUTED_VALUE"""),"Fredericton, NB / Moncton, NB")</f>
        <v/>
      </c>
      <c r="K10341">
        <f>IFERROR(__xludf.DUMMYFUNCTION("""COMPUTED_VALUE"""),3455.71)</f>
        <v/>
      </c>
    </row>
    <row r="10342">
      <c r="J10342">
        <f>IFERROR(__xludf.DUMMYFUNCTION("""COMPUTED_VALUE"""),"Washington DC, USA
Havana, Cuba")</f>
        <v/>
      </c>
      <c r="K10342">
        <f>IFERROR(__xludf.DUMMYFUNCTION("""COMPUTED_VALUE"""),3455.05)</f>
        <v/>
      </c>
    </row>
    <row r="10343">
      <c r="J10343">
        <f>IFERROR(__xludf.DUMMYFUNCTION("""COMPUTED_VALUE"""),"Vancouver, Ottawa, Toronto, London, Vancouver")</f>
        <v/>
      </c>
      <c r="K10343">
        <f>IFERROR(__xludf.DUMMYFUNCTION("""COMPUTED_VALUE"""),3454.18)</f>
        <v/>
      </c>
    </row>
    <row r="10344">
      <c r="J10344">
        <f>IFERROR(__xludf.DUMMYFUNCTION("""COMPUTED_VALUE"""),"Calgary - Victoria/Vancouver - Calgary")</f>
        <v/>
      </c>
      <c r="K10344">
        <f>IFERROR(__xludf.DUMMYFUNCTION("""COMPUTED_VALUE"""),3452.6)</f>
        <v/>
      </c>
    </row>
    <row r="10345">
      <c r="J10345">
        <f>IFERROR(__xludf.DUMMYFUNCTION("""COMPUTED_VALUE"""),"Toronto (Ontario) Canada ; St-John's (Newfoundland and Labrador) Canada")</f>
        <v/>
      </c>
      <c r="K10345">
        <f>IFERROR(__xludf.DUMMYFUNCTION("""COMPUTED_VALUE"""),3452.38)</f>
        <v/>
      </c>
    </row>
    <row r="10346">
      <c r="J10346">
        <f>IFERROR(__xludf.DUMMYFUNCTION("""COMPUTED_VALUE"""),"San Jose, Costa Rica - Winnipeg, MB")</f>
        <v/>
      </c>
      <c r="K10346">
        <f>IFERROR(__xludf.DUMMYFUNCTION("""COMPUTED_VALUE"""),3452.22)</f>
        <v/>
      </c>
    </row>
    <row r="10347">
      <c r="J10347">
        <f>IFERROR(__xludf.DUMMYFUNCTION("""COMPUTED_VALUE"""),"Iqaluit, NU.")</f>
        <v/>
      </c>
      <c r="K10347">
        <f>IFERROR(__xludf.DUMMYFUNCTION("""COMPUTED_VALUE"""),3451.74)</f>
        <v/>
      </c>
    </row>
    <row r="10348">
      <c r="J10348">
        <f>IFERROR(__xludf.DUMMYFUNCTION("""COMPUTED_VALUE"""),"Washingon, D.C and Mexico")</f>
        <v/>
      </c>
      <c r="K10348">
        <f>IFERROR(__xludf.DUMMYFUNCTION("""COMPUTED_VALUE"""),3451.46)</f>
        <v/>
      </c>
    </row>
    <row r="10349">
      <c r="J10349">
        <f>IFERROR(__xludf.DUMMYFUNCTION("""COMPUTED_VALUE"""),"Washington, United States New York, United States")</f>
        <v/>
      </c>
      <c r="K10349">
        <f>IFERROR(__xludf.DUMMYFUNCTION("""COMPUTED_VALUE"""),3451.22)</f>
        <v/>
      </c>
    </row>
    <row r="10350">
      <c r="J10350">
        <f>IFERROR(__xludf.DUMMYFUNCTION("""COMPUTED_VALUE"""),"Regina, SK. Vancouver, BC")</f>
        <v/>
      </c>
      <c r="K10350">
        <f>IFERROR(__xludf.DUMMYFUNCTION("""COMPUTED_VALUE"""),3450.64)</f>
        <v/>
      </c>
    </row>
    <row r="10351">
      <c r="J10351">
        <f>IFERROR(__xludf.DUMMYFUNCTION("""COMPUTED_VALUE"""),"Bucaramanga, Colombia")</f>
        <v/>
      </c>
      <c r="K10351">
        <f>IFERROR(__xludf.DUMMYFUNCTION("""COMPUTED_VALUE"""),3450.37)</f>
        <v/>
      </c>
    </row>
    <row r="10352">
      <c r="J10352">
        <f>IFERROR(__xludf.DUMMYFUNCTION("""COMPUTED_VALUE"""),"Halifax, Nova Scotia, Canada; Truro, Nova Scotia, Canada; Kentville, Nova Scotia, Canada; Wolfville, Nova Scotia, Canada; Sydney, Nova Scotia, Canada; New Glasgow, Nova Scotia, Canada; Yarmouth, Nova Scotia, Canada; Amherst, Nova Scotia, Canada; Bridgewat"&amp;"er, Nova Scotia, Canada; Charlottetown, Prince Edward Island, Canada; Summerside, Prince Edward Island, Canada")</f>
        <v/>
      </c>
      <c r="K10352">
        <f>IFERROR(__xludf.DUMMYFUNCTION("""COMPUTED_VALUE"""),3449.22)</f>
        <v/>
      </c>
    </row>
    <row r="10353">
      <c r="J10353">
        <f>IFERROR(__xludf.DUMMYFUNCTION("""COMPUTED_VALUE"""),"Victoria, BC &amp; Banff, Alberta")</f>
        <v/>
      </c>
      <c r="K10353">
        <f>IFERROR(__xludf.DUMMYFUNCTION("""COMPUTED_VALUE"""),3449.08)</f>
        <v/>
      </c>
    </row>
    <row r="10354">
      <c r="J10354">
        <f>IFERROR(__xludf.DUMMYFUNCTION("""COMPUTED_VALUE"""),"KALKAR, Germany")</f>
        <v/>
      </c>
      <c r="K10354">
        <f>IFERROR(__xludf.DUMMYFUNCTION("""COMPUTED_VALUE"""),3448.41)</f>
        <v/>
      </c>
    </row>
    <row r="10355">
      <c r="J10355">
        <f>IFERROR(__xludf.DUMMYFUNCTION("""COMPUTED_VALUE"""),"Cowessess, Saskatchewan; Calgary, Alberta, Canada")</f>
        <v/>
      </c>
      <c r="K10355">
        <f>IFERROR(__xludf.DUMMYFUNCTION("""COMPUTED_VALUE"""),3448.09)</f>
        <v/>
      </c>
    </row>
    <row r="10356">
      <c r="J10356">
        <f>IFERROR(__xludf.DUMMYFUNCTION("""COMPUTED_VALUE"""),"Saskatoon, Saskatchewan;
Maple Creek, Saskatchewan")</f>
        <v/>
      </c>
      <c r="K10356">
        <f>IFERROR(__xludf.DUMMYFUNCTION("""COMPUTED_VALUE"""),3447.36)</f>
        <v/>
      </c>
    </row>
    <row r="10357">
      <c r="J10357">
        <f>IFERROR(__xludf.DUMMYFUNCTION("""COMPUTED_VALUE"""),"Kuujjuaq, Quebec / Nain, Newfoundland and Labrador")</f>
        <v/>
      </c>
      <c r="K10357">
        <f>IFERROR(__xludf.DUMMYFUNCTION("""COMPUTED_VALUE"""),3447.16)</f>
        <v/>
      </c>
    </row>
    <row r="10358">
      <c r="J10358">
        <f>IFERROR(__xludf.DUMMYFUNCTION("""COMPUTED_VALUE"""),"Fort St. John, BC; Vancouver, BC; Calgary, AB")</f>
        <v/>
      </c>
      <c r="K10358">
        <f>IFERROR(__xludf.DUMMYFUNCTION("""COMPUTED_VALUE"""),3447.05)</f>
        <v/>
      </c>
    </row>
    <row r="10359">
      <c r="J10359">
        <f>IFERROR(__xludf.DUMMYFUNCTION("""COMPUTED_VALUE"""),"OTTAWA, Canada")</f>
        <v/>
      </c>
      <c r="K10359">
        <f>IFERROR(__xludf.DUMMYFUNCTION("""COMPUTED_VALUE"""),3446.43)</f>
        <v/>
      </c>
    </row>
    <row r="10360">
      <c r="J10360">
        <f>IFERROR(__xludf.DUMMYFUNCTION("""COMPUTED_VALUE"""),"Edmonton, Alberta, Canada; Toronto, Ontario, Canada; London, Ontario, Canada")</f>
        <v/>
      </c>
      <c r="K10360">
        <f>IFERROR(__xludf.DUMMYFUNCTION("""COMPUTED_VALUE"""),3446.03)</f>
        <v/>
      </c>
    </row>
    <row r="10361">
      <c r="J10361">
        <f>IFERROR(__xludf.DUMMYFUNCTION("""COMPUTED_VALUE"""),"Winnipeg, Manitoba, Canada 
Calgary, Alberta, Canada")</f>
        <v/>
      </c>
      <c r="K10361">
        <f>IFERROR(__xludf.DUMMYFUNCTION("""COMPUTED_VALUE"""),3445.27)</f>
        <v/>
      </c>
    </row>
    <row r="10362">
      <c r="J10362">
        <f>IFERROR(__xludf.DUMMYFUNCTION("""COMPUTED_VALUE"""),"Edmonton, Alberta, Canada; Vancouver, British-Columbia, Canada; Winnipeg, Manitoba, Canada")</f>
        <v/>
      </c>
      <c r="K10362">
        <f>IFERROR(__xludf.DUMMYFUNCTION("""COMPUTED_VALUE"""),3444.62)</f>
        <v/>
      </c>
    </row>
    <row r="10363">
      <c r="J10363">
        <f>IFERROR(__xludf.DUMMYFUNCTION("""COMPUTED_VALUE"""),"WASHINGTON DC, UNITED STATES")</f>
        <v/>
      </c>
      <c r="K10363">
        <f>IFERROR(__xludf.DUMMYFUNCTION("""COMPUTED_VALUE"""),3444.16)</f>
        <v/>
      </c>
    </row>
    <row r="10364">
      <c r="J10364">
        <f>IFERROR(__xludf.DUMMYFUNCTION("""COMPUTED_VALUE"""),"Drumheller, Alberta, Canada")</f>
        <v/>
      </c>
      <c r="K10364">
        <f>IFERROR(__xludf.DUMMYFUNCTION("""COMPUTED_VALUE"""),3442.63)</f>
        <v/>
      </c>
    </row>
    <row r="10365">
      <c r="J10365">
        <f>IFERROR(__xludf.DUMMYFUNCTION("""COMPUTED_VALUE"""),"Calgary, AB - Richmond, BC")</f>
        <v/>
      </c>
      <c r="K10365">
        <f>IFERROR(__xludf.DUMMYFUNCTION("""COMPUTED_VALUE"""),3442.12)</f>
        <v/>
      </c>
    </row>
    <row r="10366">
      <c r="J10366">
        <f>IFERROR(__xludf.DUMMYFUNCTION("""COMPUTED_VALUE"""),"Tacoma, Washington, United States")</f>
        <v/>
      </c>
      <c r="K10366">
        <f>IFERROR(__xludf.DUMMYFUNCTION("""COMPUTED_VALUE"""),3441.88)</f>
        <v/>
      </c>
    </row>
    <row r="10367">
      <c r="J10367">
        <f>IFERROR(__xludf.DUMMYFUNCTION("""COMPUTED_VALUE"""),"Merrickville, ON / Montréal, Québec")</f>
        <v/>
      </c>
      <c r="K10367">
        <f>IFERROR(__xludf.DUMMYFUNCTION("""COMPUTED_VALUE"""),3440.87)</f>
        <v/>
      </c>
    </row>
    <row r="10368">
      <c r="J10368">
        <f>IFERROR(__xludf.DUMMYFUNCTION("""COMPUTED_VALUE"""),"Edmonton, AB, Calgary, AB, and Vancouver, BC")</f>
        <v/>
      </c>
      <c r="K10368">
        <f>IFERROR(__xludf.DUMMYFUNCTION("""COMPUTED_VALUE"""),3440.74)</f>
        <v/>
      </c>
    </row>
    <row r="10369">
      <c r="J10369">
        <f>IFERROR(__xludf.DUMMYFUNCTION("""COMPUTED_VALUE"""),"Surrey, British Columbia, Canada; Vancouver, British Columbia, Canada")</f>
        <v/>
      </c>
      <c r="K10369">
        <f>IFERROR(__xludf.DUMMYFUNCTION("""COMPUTED_VALUE"""),3440.42)</f>
        <v/>
      </c>
    </row>
    <row r="10370">
      <c r="J10370">
        <f>IFERROR(__xludf.DUMMYFUNCTION("""COMPUTED_VALUE"""),"Vancouver, Victoria and Nanaimo, British Columbia")</f>
        <v/>
      </c>
      <c r="K10370">
        <f>IFERROR(__xludf.DUMMYFUNCTION("""COMPUTED_VALUE"""),3440.34)</f>
        <v/>
      </c>
    </row>
    <row r="10371">
      <c r="J10371">
        <f>IFERROR(__xludf.DUMMYFUNCTION("""COMPUTED_VALUE"""),"Mont-Tremblant, Quebec")</f>
        <v/>
      </c>
      <c r="K10371">
        <f>IFERROR(__xludf.DUMMYFUNCTION("""COMPUTED_VALUE"""),3439.44)</f>
        <v/>
      </c>
    </row>
    <row r="10372">
      <c r="J10372">
        <f>IFERROR(__xludf.DUMMYFUNCTION("""COMPUTED_VALUE"""),"Saint-Jean-sur-Richelieu, Quebec, Canada /Montreal, Quebec/Winnipeg, Manitoba/Toronto, Ontario/Borden, Ontario")</f>
        <v/>
      </c>
      <c r="K10372">
        <f>IFERROR(__xludf.DUMMYFUNCTION("""COMPUTED_VALUE"""),3438.95)</f>
        <v/>
      </c>
    </row>
    <row r="10373">
      <c r="J10373">
        <f>IFERROR(__xludf.DUMMYFUNCTION("""COMPUTED_VALUE"""),"Montgomery, Alabama")</f>
        <v/>
      </c>
      <c r="K10373">
        <f>IFERROR(__xludf.DUMMYFUNCTION("""COMPUTED_VALUE"""),3438.93999999999)</f>
        <v/>
      </c>
    </row>
    <row r="10374">
      <c r="J10374">
        <f>IFERROR(__xludf.DUMMYFUNCTION("""COMPUTED_VALUE"""),"Vancouver, British Columbia
Canada")</f>
        <v/>
      </c>
      <c r="K10374">
        <f>IFERROR(__xludf.DUMMYFUNCTION("""COMPUTED_VALUE"""),3438.08)</f>
        <v/>
      </c>
    </row>
    <row r="10375">
      <c r="J10375">
        <f>IFERROR(__xludf.DUMMYFUNCTION("""COMPUTED_VALUE"""),"Regina, Saskatchewan, Canada; Vancouver, British Columbia, Canada; Winnipeg, Manitoba, Canada")</f>
        <v/>
      </c>
      <c r="K10375">
        <f>IFERROR(__xludf.DUMMYFUNCTION("""COMPUTED_VALUE"""),3436.68)</f>
        <v/>
      </c>
    </row>
    <row r="10376">
      <c r="J10376">
        <f>IFERROR(__xludf.DUMMYFUNCTION("""COMPUTED_VALUE"""),"The Hague, NL")</f>
        <v/>
      </c>
      <c r="K10376">
        <f>IFERROR(__xludf.DUMMYFUNCTION("""COMPUTED_VALUE"""),3436.34)</f>
        <v/>
      </c>
    </row>
    <row r="10377">
      <c r="J10377">
        <f>IFERROR(__xludf.DUMMYFUNCTION("""COMPUTED_VALUE"""),"Abbotsford, Colombie-Britannique")</f>
        <v/>
      </c>
      <c r="K10377">
        <f>IFERROR(__xludf.DUMMYFUNCTION("""COMPUTED_VALUE"""),3436)</f>
        <v/>
      </c>
    </row>
    <row r="10378">
      <c r="J10378">
        <f>IFERROR(__xludf.DUMMYFUNCTION("""COMPUTED_VALUE"""),"Saskatoon, Saskatchewan, Canada
Burnaby, British Columbia, Canada")</f>
        <v/>
      </c>
      <c r="K10378">
        <f>IFERROR(__xludf.DUMMYFUNCTION("""COMPUTED_VALUE"""),3434.95)</f>
        <v/>
      </c>
    </row>
    <row r="10379">
      <c r="J10379">
        <f>IFERROR(__xludf.DUMMYFUNCTION("""COMPUTED_VALUE"""),"Winnipeg (MB) Nanaimo (BC)")</f>
        <v/>
      </c>
      <c r="K10379">
        <f>IFERROR(__xludf.DUMMYFUNCTION("""COMPUTED_VALUE"""),3434.33)</f>
        <v/>
      </c>
    </row>
    <row r="10380">
      <c r="J10380">
        <f>IFERROR(__xludf.DUMMYFUNCTION("""COMPUTED_VALUE"""),"Elbow, Saskatchewan, Canada")</f>
        <v/>
      </c>
      <c r="K10380">
        <f>IFERROR(__xludf.DUMMYFUNCTION("""COMPUTED_VALUE"""),3434.1)</f>
        <v/>
      </c>
    </row>
    <row r="10381">
      <c r="J10381">
        <f>IFERROR(__xludf.DUMMYFUNCTION("""COMPUTED_VALUE"""),"Vancouver, BC; Comox, BC")</f>
        <v/>
      </c>
      <c r="K10381">
        <f>IFERROR(__xludf.DUMMYFUNCTION("""COMPUTED_VALUE"""),3434.09)</f>
        <v/>
      </c>
    </row>
    <row r="10382">
      <c r="J10382">
        <f>IFERROR(__xludf.DUMMYFUNCTION("""COMPUTED_VALUE"""),"St. John's, NL / Amqui, QC / Montreal, QC / Mont-Joli, QC")</f>
        <v/>
      </c>
      <c r="K10382">
        <f>IFERROR(__xludf.DUMMYFUNCTION("""COMPUTED_VALUE"""),3433.59)</f>
        <v/>
      </c>
    </row>
    <row r="10383">
      <c r="J10383">
        <f>IFERROR(__xludf.DUMMYFUNCTION("""COMPUTED_VALUE"""),"Fort Worth Texas, United States")</f>
        <v/>
      </c>
      <c r="K10383">
        <f>IFERROR(__xludf.DUMMYFUNCTION("""COMPUTED_VALUE"""),3432.67)</f>
        <v/>
      </c>
    </row>
    <row r="10384">
      <c r="J10384">
        <f>IFERROR(__xludf.DUMMYFUNCTION("""COMPUTED_VALUE"""),"Montreal Quebec, Canada / London, United Kingdom / Geneva,Switzerland / Newark United States")</f>
        <v/>
      </c>
      <c r="K10384">
        <f>IFERROR(__xludf.DUMMYFUNCTION("""COMPUTED_VALUE"""),3430.47)</f>
        <v/>
      </c>
    </row>
    <row r="10385">
      <c r="J10385">
        <f>IFERROR(__xludf.DUMMYFUNCTION("""COMPUTED_VALUE"""),"Calgary, Alta.")</f>
        <v/>
      </c>
      <c r="K10385">
        <f>IFERROR(__xludf.DUMMYFUNCTION("""COMPUTED_VALUE"""),3429.69)</f>
        <v/>
      </c>
    </row>
    <row r="10386">
      <c r="J10386">
        <f>IFERROR(__xludf.DUMMYFUNCTION("""COMPUTED_VALUE"""),"Toronto, Ontario, Canada/ Peterborough, Ontario, Canada/ Mississauga, Ontario, Canada")</f>
        <v/>
      </c>
      <c r="K10386">
        <f>IFERROR(__xludf.DUMMYFUNCTION("""COMPUTED_VALUE"""),3429.4)</f>
        <v/>
      </c>
    </row>
    <row r="10387">
      <c r="J10387">
        <f>IFERROR(__xludf.DUMMYFUNCTION("""COMPUTED_VALUE"""),"Vancouver, BC; Edmonton, AB; Winnipeg, MB; Toronto, ON")</f>
        <v/>
      </c>
      <c r="K10387">
        <f>IFERROR(__xludf.DUMMYFUNCTION("""COMPUTED_VALUE"""),3428.84)</f>
        <v/>
      </c>
    </row>
    <row r="10388">
      <c r="J10388">
        <f>IFERROR(__xludf.DUMMYFUNCTION("""COMPUTED_VALUE"""),"Calgary &amp; Edmonton, Alberta Canada")</f>
        <v/>
      </c>
      <c r="K10388">
        <f>IFERROR(__xludf.DUMMYFUNCTION("""COMPUTED_VALUE"""),3428.82)</f>
        <v/>
      </c>
    </row>
    <row r="10389">
      <c r="J10389">
        <f>IFERROR(__xludf.DUMMYFUNCTION("""COMPUTED_VALUE"""),"San Diego (California) United States of America")</f>
        <v/>
      </c>
      <c r="K10389">
        <f>IFERROR(__xludf.DUMMYFUNCTION("""COMPUTED_VALUE"""),3428.33)</f>
        <v/>
      </c>
    </row>
    <row r="10390">
      <c r="J10390">
        <f>IFERROR(__xludf.DUMMYFUNCTION("""COMPUTED_VALUE"""),"Halifax, NS / Truro, NS / Gander, NL / Deer Lake, NL")</f>
        <v/>
      </c>
      <c r="K10390">
        <f>IFERROR(__xludf.DUMMYFUNCTION("""COMPUTED_VALUE"""),3428)</f>
        <v/>
      </c>
    </row>
    <row r="10391">
      <c r="J10391">
        <f>IFERROR(__xludf.DUMMYFUNCTION("""COMPUTED_VALUE"""),"Toronto, Ontario and Halifax, Nova Scotia, Canada")</f>
        <v/>
      </c>
      <c r="K10391">
        <f>IFERROR(__xludf.DUMMYFUNCTION("""COMPUTED_VALUE"""),3428)</f>
        <v/>
      </c>
    </row>
    <row r="10392">
      <c r="J10392">
        <f>IFERROR(__xludf.DUMMYFUNCTION("""COMPUTED_VALUE"""),"Vancouver &amp; Victoria, B.C.")</f>
        <v/>
      </c>
      <c r="K10392">
        <f>IFERROR(__xludf.DUMMYFUNCTION("""COMPUTED_VALUE"""),3427.56)</f>
        <v/>
      </c>
    </row>
    <row r="10393">
      <c r="J10393">
        <f>IFERROR(__xludf.DUMMYFUNCTION("""COMPUTED_VALUE"""),"New York, NY / Toronto, ON")</f>
        <v/>
      </c>
      <c r="K10393">
        <f>IFERROR(__xludf.DUMMYFUNCTION("""COMPUTED_VALUE"""),3427.24)</f>
        <v/>
      </c>
    </row>
    <row r="10394">
      <c r="J10394">
        <f>IFERROR(__xludf.DUMMYFUNCTION("""COMPUTED_VALUE"""),"Saskatoon, Saskatchewan, Canada; Hamilton, Ontario, Canada; Durham, Ontario, Canada; Timmins, Ontario, Canada")</f>
        <v/>
      </c>
      <c r="K10394">
        <f>IFERROR(__xludf.DUMMYFUNCTION("""COMPUTED_VALUE"""),3426.46)</f>
        <v/>
      </c>
    </row>
    <row r="10395">
      <c r="J10395">
        <f>IFERROR(__xludf.DUMMYFUNCTION("""COMPUTED_VALUE"""),"Alouette, Quebec; Jonquiere, Quebec; Chicoutimi, Quebec; Montreal, Quebec")</f>
        <v/>
      </c>
      <c r="K10395">
        <f>IFERROR(__xludf.DUMMYFUNCTION("""COMPUTED_VALUE"""),3425.65)</f>
        <v/>
      </c>
    </row>
    <row r="10396">
      <c r="J10396">
        <f>IFERROR(__xludf.DUMMYFUNCTION("""COMPUTED_VALUE"""),"Port Colborne, Ontario, Canada / Montreal, Quebec, Canada / Shawinigan, Quebec, Canada")</f>
        <v/>
      </c>
      <c r="K10396">
        <f>IFERROR(__xludf.DUMMYFUNCTION("""COMPUTED_VALUE"""),3425.1)</f>
        <v/>
      </c>
    </row>
    <row r="10397">
      <c r="J10397">
        <f>IFERROR(__xludf.DUMMYFUNCTION("""COMPUTED_VALUE"""),"Xoxocotian, Oaxaca, Mexico")</f>
        <v/>
      </c>
      <c r="K10397">
        <f>IFERROR(__xludf.DUMMYFUNCTION("""COMPUTED_VALUE"""),3424.81)</f>
        <v/>
      </c>
    </row>
    <row r="10398">
      <c r="J10398">
        <f>IFERROR(__xludf.DUMMYFUNCTION("""COMPUTED_VALUE"""),"Ottawa, ON / Perth, ON /
Chatham-Kent-Essex, ON /
Waterloo, ON")</f>
        <v/>
      </c>
      <c r="K10398">
        <f>IFERROR(__xludf.DUMMYFUNCTION("""COMPUTED_VALUE"""),3424.62)</f>
        <v/>
      </c>
    </row>
    <row r="10399">
      <c r="J10399">
        <f>IFERROR(__xludf.DUMMYFUNCTION("""COMPUTED_VALUE"""),"Vancouver and Kelowna")</f>
        <v/>
      </c>
      <c r="K10399">
        <f>IFERROR(__xludf.DUMMYFUNCTION("""COMPUTED_VALUE"""),3424.54)</f>
        <v/>
      </c>
    </row>
    <row r="10400">
      <c r="J10400">
        <f>IFERROR(__xludf.DUMMYFUNCTION("""COMPUTED_VALUE"""),"Charlottetown, PEI (Canada)")</f>
        <v/>
      </c>
      <c r="K10400">
        <f>IFERROR(__xludf.DUMMYFUNCTION("""COMPUTED_VALUE"""),3424.35)</f>
        <v/>
      </c>
    </row>
    <row r="10401">
      <c r="J10401">
        <f>IFERROR(__xludf.DUMMYFUNCTION("""COMPUTED_VALUE"""),"Rimouski, Saguenay")</f>
        <v/>
      </c>
      <c r="K10401">
        <f>IFERROR(__xludf.DUMMYFUNCTION("""COMPUTED_VALUE"""),3424)</f>
        <v/>
      </c>
    </row>
    <row r="10402">
      <c r="J10402">
        <f>IFERROR(__xludf.DUMMYFUNCTION("""COMPUTED_VALUE"""),"Charlottown (Prince Edward Island) Canada")</f>
        <v/>
      </c>
      <c r="K10402">
        <f>IFERROR(__xludf.DUMMYFUNCTION("""COMPUTED_VALUE"""),3423.79)</f>
        <v/>
      </c>
    </row>
    <row r="10403">
      <c r="J10403">
        <f>IFERROR(__xludf.DUMMYFUNCTION("""COMPUTED_VALUE"""),"Biarritz")</f>
        <v/>
      </c>
      <c r="K10403">
        <f>IFERROR(__xludf.DUMMYFUNCTION("""COMPUTED_VALUE"""),3423.61)</f>
        <v/>
      </c>
    </row>
    <row r="10404">
      <c r="J10404">
        <f>IFERROR(__xludf.DUMMYFUNCTION("""COMPUTED_VALUE"""),"Mexico City and Monterrey")</f>
        <v/>
      </c>
      <c r="K10404">
        <f>IFERROR(__xludf.DUMMYFUNCTION("""COMPUTED_VALUE"""),3423.51)</f>
        <v/>
      </c>
    </row>
    <row r="10405">
      <c r="J10405">
        <f>IFERROR(__xludf.DUMMYFUNCTION("""COMPUTED_VALUE"""),"Moncton, NB - Montreal, QC / Montreal, QC - Ottawa, ON / Ottawa, ON - Halifax, NS / Halifax, NS - Moncton, NB")</f>
        <v/>
      </c>
      <c r="K10405">
        <f>IFERROR(__xludf.DUMMYFUNCTION("""COMPUTED_VALUE"""),3423.31)</f>
        <v/>
      </c>
    </row>
    <row r="10406">
      <c r="J10406">
        <f>IFERROR(__xludf.DUMMYFUNCTION("""COMPUTED_VALUE"""),"Nepean-Ottawa-Washington-Ottawa-Nepean")</f>
        <v/>
      </c>
      <c r="K10406">
        <f>IFERROR(__xludf.DUMMYFUNCTION("""COMPUTED_VALUE"""),3421.86)</f>
        <v/>
      </c>
    </row>
    <row r="10407">
      <c r="J10407">
        <f>IFERROR(__xludf.DUMMYFUNCTION("""COMPUTED_VALUE"""),"Ottawa, Ontario, Canada; Gatineau, Quebec, Canada; St. John's, Newfoundland and Labrador, Canada")</f>
        <v/>
      </c>
      <c r="K10407">
        <f>IFERROR(__xludf.DUMMYFUNCTION("""COMPUTED_VALUE"""),3421.3)</f>
        <v/>
      </c>
    </row>
    <row r="10408">
      <c r="J10408">
        <f>IFERROR(__xludf.DUMMYFUNCTION("""COMPUTED_VALUE"""),"Forth Smith, Northwest Territories,  Canada")</f>
        <v/>
      </c>
      <c r="K10408">
        <f>IFERROR(__xludf.DUMMYFUNCTION("""COMPUTED_VALUE"""),3420.64)</f>
        <v/>
      </c>
    </row>
    <row r="10409">
      <c r="J10409">
        <f>IFERROR(__xludf.DUMMYFUNCTION("""COMPUTED_VALUE"""),"Kashechewan, Ontario, Canada")</f>
        <v/>
      </c>
      <c r="K10409">
        <f>IFERROR(__xludf.DUMMYFUNCTION("""COMPUTED_VALUE"""),3420.24)</f>
        <v/>
      </c>
    </row>
    <row r="10410">
      <c r="J10410">
        <f>IFERROR(__xludf.DUMMYFUNCTION("""COMPUTED_VALUE"""),"Yarmouth, Nova Scotia, Canada; Kentville, Nova Scotia, Canada; Halifax, Nova Scotia, Canada")</f>
        <v/>
      </c>
      <c r="K10410">
        <f>IFERROR(__xludf.DUMMYFUNCTION("""COMPUTED_VALUE"""),3419.16)</f>
        <v/>
      </c>
    </row>
    <row r="10411">
      <c r="J10411">
        <f>IFERROR(__xludf.DUMMYFUNCTION("""COMPUTED_VALUE"""),"London, ON / Cambridge, ON / Brampton, ON")</f>
        <v/>
      </c>
      <c r="K10411">
        <f>IFERROR(__xludf.DUMMYFUNCTION("""COMPUTED_VALUE"""),3419.02)</f>
        <v/>
      </c>
    </row>
    <row r="10412">
      <c r="J10412">
        <f>IFERROR(__xludf.DUMMYFUNCTION("""COMPUTED_VALUE"""),"Fort McMurray, Slave Lake et Grande Prairie, Alberta")</f>
        <v/>
      </c>
      <c r="K10412">
        <f>IFERROR(__xludf.DUMMYFUNCTION("""COMPUTED_VALUE"""),3418.73)</f>
        <v/>
      </c>
    </row>
    <row r="10413">
      <c r="J10413">
        <f>IFERROR(__xludf.DUMMYFUNCTION("""COMPUTED_VALUE"""),"Ministers' Regional Office in Vancouver, B.C.")</f>
        <v/>
      </c>
      <c r="K10413">
        <f>IFERROR(__xludf.DUMMYFUNCTION("""COMPUTED_VALUE"""),3417.89)</f>
        <v/>
      </c>
    </row>
    <row r="10414">
      <c r="J10414">
        <f>IFERROR(__xludf.DUMMYFUNCTION("""COMPUTED_VALUE"""),"Ottawa - Halifax - St. John's - Charlottetown - Ottawa")</f>
        <v/>
      </c>
      <c r="K10414">
        <f>IFERROR(__xludf.DUMMYFUNCTION("""COMPUTED_VALUE"""),3417.77)</f>
        <v/>
      </c>
    </row>
    <row r="10415">
      <c r="J10415">
        <f>IFERROR(__xludf.DUMMYFUNCTION("""COMPUTED_VALUE"""),"Saint-Hubert, Quebec, Canada; Bagotville, Quebec, Canada; Gatineau, Quebec, Canada")</f>
        <v/>
      </c>
      <c r="K10415">
        <f>IFERROR(__xludf.DUMMYFUNCTION("""COMPUTED_VALUE"""),3417.49)</f>
        <v/>
      </c>
    </row>
    <row r="10416">
      <c r="J10416">
        <f>IFERROR(__xludf.DUMMYFUNCTION("""COMPUTED_VALUE"""),"New Brunswick / Nova Scotia / Prince Edward Island")</f>
        <v/>
      </c>
      <c r="K10416">
        <f>IFERROR(__xludf.DUMMYFUNCTION("""COMPUTED_VALUE"""),3417.45)</f>
        <v/>
      </c>
    </row>
    <row r="10417">
      <c r="J10417">
        <f>IFERROR(__xludf.DUMMYFUNCTION("""COMPUTED_VALUE"""),"St-John's, Newfoundland, Halifax, Nova Scotia, Charlottetown, Prince Edwards Island, Canada")</f>
        <v/>
      </c>
      <c r="K10417">
        <f>IFERROR(__xludf.DUMMYFUNCTION("""COMPUTED_VALUE"""),3417)</f>
        <v/>
      </c>
    </row>
    <row r="10418">
      <c r="J10418">
        <f>IFERROR(__xludf.DUMMYFUNCTION("""COMPUTED_VALUE"""),"Ottawa and Washington, DC")</f>
        <v/>
      </c>
      <c r="K10418">
        <f>IFERROR(__xludf.DUMMYFUNCTION("""COMPUTED_VALUE"""),3415.44)</f>
        <v/>
      </c>
    </row>
    <row r="10419">
      <c r="J10419">
        <f>IFERROR(__xludf.DUMMYFUNCTION("""COMPUTED_VALUE"""),"Vancouver, British Columbia; Edmonton, Alberta")</f>
        <v/>
      </c>
      <c r="K10419">
        <f>IFERROR(__xludf.DUMMYFUNCTION("""COMPUTED_VALUE"""),3414.84)</f>
        <v/>
      </c>
    </row>
    <row r="10420">
      <c r="J10420">
        <f>IFERROR(__xludf.DUMMYFUNCTION("""COMPUTED_VALUE"""),"Calgary - Charlottetown - Calgary")</f>
        <v/>
      </c>
      <c r="K10420">
        <f>IFERROR(__xludf.DUMMYFUNCTION("""COMPUTED_VALUE"""),3414.52)</f>
        <v/>
      </c>
    </row>
    <row r="10421">
      <c r="J10421">
        <f>IFERROR(__xludf.DUMMYFUNCTION("""COMPUTED_VALUE"""),"Victoria, British Columbia; Vancouver, British Columbia")</f>
        <v/>
      </c>
      <c r="K10421">
        <f>IFERROR(__xludf.DUMMYFUNCTION("""COMPUTED_VALUE"""),3414.46)</f>
        <v/>
      </c>
    </row>
    <row r="10422">
      <c r="J10422">
        <f>IFERROR(__xludf.DUMMYFUNCTION("""COMPUTED_VALUE"""),"Washington, DC, and New York, USA")</f>
        <v/>
      </c>
      <c r="K10422">
        <f>IFERROR(__xludf.DUMMYFUNCTION("""COMPUTED_VALUE"""),3414.2)</f>
        <v/>
      </c>
    </row>
    <row r="10423">
      <c r="J10423">
        <f>IFERROR(__xludf.DUMMYFUNCTION("""COMPUTED_VALUE"""),"USA - Austin")</f>
        <v/>
      </c>
      <c r="K10423">
        <f>IFERROR(__xludf.DUMMYFUNCTION("""COMPUTED_VALUE"""),3414.19)</f>
        <v/>
      </c>
    </row>
    <row r="10424">
      <c r="J10424">
        <f>IFERROR(__xludf.DUMMYFUNCTION("""COMPUTED_VALUE"""),"Toronto, Ontario Edmonton, Alberta Victoria, British Columbia")</f>
        <v/>
      </c>
      <c r="K10424">
        <f>IFERROR(__xludf.DUMMYFUNCTION("""COMPUTED_VALUE"""),3413.32)</f>
        <v/>
      </c>
    </row>
    <row r="10425">
      <c r="J10425">
        <f>IFERROR(__xludf.DUMMYFUNCTION("""COMPUTED_VALUE"""),"Windsor, Toronto, Ottawa")</f>
        <v/>
      </c>
      <c r="K10425">
        <f>IFERROR(__xludf.DUMMYFUNCTION("""COMPUTED_VALUE"""),3413.32)</f>
        <v/>
      </c>
    </row>
    <row r="10426">
      <c r="J10426">
        <f>IFERROR(__xludf.DUMMYFUNCTION("""COMPUTED_VALUE"""),"REGINA, SASKATCHEWAN")</f>
        <v/>
      </c>
      <c r="K10426">
        <f>IFERROR(__xludf.DUMMYFUNCTION("""COMPUTED_VALUE"""),3412.98)</f>
        <v/>
      </c>
    </row>
    <row r="10427">
      <c r="J10427">
        <f>IFERROR(__xludf.DUMMYFUNCTION("""COMPUTED_VALUE"""),"St. Kitts, Carribean")</f>
        <v/>
      </c>
      <c r="K10427">
        <f>IFERROR(__xludf.DUMMYFUNCTION("""COMPUTED_VALUE"""),3412.6)</f>
        <v/>
      </c>
    </row>
    <row r="10428">
      <c r="J10428">
        <f>IFERROR(__xludf.DUMMYFUNCTION("""COMPUTED_VALUE"""),"Toronto, Ontario, Canada;
Vancouver, British Columbia, Canada")</f>
        <v/>
      </c>
      <c r="K10428">
        <f>IFERROR(__xludf.DUMMYFUNCTION("""COMPUTED_VALUE"""),3412.2)</f>
        <v/>
      </c>
    </row>
    <row r="10429">
      <c r="J10429">
        <f>IFERROR(__xludf.DUMMYFUNCTION("""COMPUTED_VALUE"""),"Winnipeg, Manitoba 
(Canada) Vancouver, 
British Columbia 
(Canada)")</f>
        <v/>
      </c>
      <c r="K10429">
        <f>IFERROR(__xludf.DUMMYFUNCTION("""COMPUTED_VALUE"""),3412)</f>
        <v/>
      </c>
    </row>
    <row r="10430">
      <c r="J10430">
        <f>IFERROR(__xludf.DUMMYFUNCTION("""COMPUTED_VALUE"""),"Vancouver/Saskatoon")</f>
        <v/>
      </c>
      <c r="K10430">
        <f>IFERROR(__xludf.DUMMYFUNCTION("""COMPUTED_VALUE"""),3411)</f>
        <v/>
      </c>
    </row>
    <row r="10431">
      <c r="J10431">
        <f>IFERROR(__xludf.DUMMYFUNCTION("""COMPUTED_VALUE"""),"Montreal, Quebec, Canada; Edmonton, Alberta, Canada")</f>
        <v/>
      </c>
      <c r="K10431">
        <f>IFERROR(__xludf.DUMMYFUNCTION("""COMPUTED_VALUE"""),3410.66)</f>
        <v/>
      </c>
    </row>
    <row r="10432">
      <c r="J10432">
        <f>IFERROR(__xludf.DUMMYFUNCTION("""COMPUTED_VALUE"""),"Paris, France and Cambridge, UK")</f>
        <v/>
      </c>
      <c r="K10432">
        <f>IFERROR(__xludf.DUMMYFUNCTION("""COMPUTED_VALUE"""),3410.47)</f>
        <v/>
      </c>
    </row>
    <row r="10433">
      <c r="J10433">
        <f>IFERROR(__xludf.DUMMYFUNCTION("""COMPUTED_VALUE"""),"Ottawa; Toronto, Ontario, Canada")</f>
        <v/>
      </c>
      <c r="K10433">
        <f>IFERROR(__xludf.DUMMYFUNCTION("""COMPUTED_VALUE"""),3410.33)</f>
        <v/>
      </c>
    </row>
    <row r="10434">
      <c r="J10434">
        <f>IFERROR(__xludf.DUMMYFUNCTION("""COMPUTED_VALUE"""),"Kyiv and Brussels")</f>
        <v/>
      </c>
      <c r="K10434">
        <f>IFERROR(__xludf.DUMMYFUNCTION("""COMPUTED_VALUE"""),3410.3)</f>
        <v/>
      </c>
    </row>
    <row r="10435">
      <c r="J10435">
        <f>IFERROR(__xludf.DUMMYFUNCTION("""COMPUTED_VALUE"""),"Miramichi, Shediac, Moncton,  New Brunswick, Canada")</f>
        <v/>
      </c>
      <c r="K10435">
        <f>IFERROR(__xludf.DUMMYFUNCTION("""COMPUTED_VALUE"""),3409.9)</f>
        <v/>
      </c>
    </row>
    <row r="10436">
      <c r="J10436">
        <f>IFERROR(__xludf.DUMMYFUNCTION("""COMPUTED_VALUE"""),"Winnipeg, Manitoba, Canada; Vancouver, British Columbia, Canada; Calgary, Alberta, Canada")</f>
        <v/>
      </c>
      <c r="K10436">
        <f>IFERROR(__xludf.DUMMYFUNCTION("""COMPUTED_VALUE"""),3409.86)</f>
        <v/>
      </c>
    </row>
    <row r="10437">
      <c r="J10437">
        <f>IFERROR(__xludf.DUMMYFUNCTION("""COMPUTED_VALUE"""),"Charlottetown, Prince Edward Island
Fredericton, New Brunswick
Halifax, Nova Scotia
St. John's, Newfoundland")</f>
        <v/>
      </c>
      <c r="K10437">
        <f>IFERROR(__xludf.DUMMYFUNCTION("""COMPUTED_VALUE"""),3409.78)</f>
        <v/>
      </c>
    </row>
    <row r="10438">
      <c r="J10438">
        <f>IFERROR(__xludf.DUMMYFUNCTION("""COMPUTED_VALUE"""),"New York, New York, United States of america")</f>
        <v/>
      </c>
      <c r="K10438">
        <f>IFERROR(__xludf.DUMMYFUNCTION("""COMPUTED_VALUE"""),3409.76)</f>
        <v/>
      </c>
    </row>
    <row r="10439">
      <c r="J10439">
        <f>IFERROR(__xludf.DUMMYFUNCTION("""COMPUTED_VALUE"""),"1. Calgary, Alberta, Canada
2. Edmonton, Alberta, Canada")</f>
        <v/>
      </c>
      <c r="K10439">
        <f>IFERROR(__xludf.DUMMYFUNCTION("""COMPUTED_VALUE"""),3409.16)</f>
        <v/>
      </c>
    </row>
    <row r="10440">
      <c r="J10440">
        <f>IFERROR(__xludf.DUMMYFUNCTION("""COMPUTED_VALUE"""),"Gatineau, Quebec, Canada; Montréal, Quebec, Canada; Québec, Quebec, Canada")</f>
        <v/>
      </c>
      <c r="K10440">
        <f>IFERROR(__xludf.DUMMYFUNCTION("""COMPUTED_VALUE"""),3408.91)</f>
        <v/>
      </c>
    </row>
    <row r="10441">
      <c r="J10441">
        <f>IFERROR(__xludf.DUMMYFUNCTION("""COMPUTED_VALUE"""),"Winnipeg, Manitoba &amp; Regina Saskatchewan, Canada")</f>
        <v/>
      </c>
      <c r="K10441">
        <f>IFERROR(__xludf.DUMMYFUNCTION("""COMPUTED_VALUE"""),3408.88)</f>
        <v/>
      </c>
    </row>
    <row r="10442">
      <c r="J10442">
        <f>IFERROR(__xludf.DUMMYFUNCTION("""COMPUTED_VALUE"""),"St.John's, NL / Halifax, NS / Charlottetown, PE / Fredericton, NB")</f>
        <v/>
      </c>
      <c r="K10442">
        <f>IFERROR(__xludf.DUMMYFUNCTION("""COMPUTED_VALUE"""),3408.48)</f>
        <v/>
      </c>
    </row>
    <row r="10443">
      <c r="J10443">
        <f>IFERROR(__xludf.DUMMYFUNCTION("""COMPUTED_VALUE"""),"St John's, Newfoundland and Labrador, Canada and Halifax, Nova Scotia, Canada")</f>
        <v/>
      </c>
      <c r="K10443">
        <f>IFERROR(__xludf.DUMMYFUNCTION("""COMPUTED_VALUE"""),3408.19)</f>
        <v/>
      </c>
    </row>
    <row r="10444">
      <c r="J10444">
        <f>IFERROR(__xludf.DUMMYFUNCTION("""COMPUTED_VALUE"""),"St.John's, Newfoundland and Labrador / Moncton, New Brunswick / Cape Breton, Nova Scotia")</f>
        <v/>
      </c>
      <c r="K10444">
        <f>IFERROR(__xludf.DUMMYFUNCTION("""COMPUTED_VALUE"""),3407.54)</f>
        <v/>
      </c>
    </row>
    <row r="10445">
      <c r="J10445">
        <f>IFERROR(__xludf.DUMMYFUNCTION("""COMPUTED_VALUE"""),"St. John's, N.L.")</f>
        <v/>
      </c>
      <c r="K10445">
        <f>IFERROR(__xludf.DUMMYFUNCTION("""COMPUTED_VALUE"""),3407.05)</f>
        <v/>
      </c>
    </row>
    <row r="10446">
      <c r="J10446">
        <f>IFERROR(__xludf.DUMMYFUNCTION("""COMPUTED_VALUE"""),"Victoria, British Columbia and Winnipeg, Manitoba")</f>
        <v/>
      </c>
      <c r="K10446">
        <f>IFERROR(__xludf.DUMMYFUNCTION("""COMPUTED_VALUE"""),3407.03)</f>
        <v/>
      </c>
    </row>
    <row r="10447">
      <c r="J10447">
        <f>IFERROR(__xludf.DUMMYFUNCTION("""COMPUTED_VALUE"""),"Vienna Austria")</f>
        <v/>
      </c>
      <c r="K10447">
        <f>IFERROR(__xludf.DUMMYFUNCTION("""COMPUTED_VALUE"""),3407)</f>
        <v/>
      </c>
    </row>
    <row r="10448">
      <c r="J10448">
        <f>IFERROR(__xludf.DUMMYFUNCTION("""COMPUTED_VALUE"""),"Port-au-Prince, Haiti and Santo Domingo, Dominican Republic")</f>
        <v/>
      </c>
      <c r="K10448">
        <f>IFERROR(__xludf.DUMMYFUNCTION("""COMPUTED_VALUE"""),3406.5)</f>
        <v/>
      </c>
    </row>
    <row r="10449">
      <c r="J10449">
        <f>IFERROR(__xludf.DUMMYFUNCTION("""COMPUTED_VALUE"""),"Guelph, Kitchener, Waterloo, London, Ontario, Canada")</f>
        <v/>
      </c>
      <c r="K10449">
        <f>IFERROR(__xludf.DUMMYFUNCTION("""COMPUTED_VALUE"""),3405.99)</f>
        <v/>
      </c>
    </row>
    <row r="10450">
      <c r="J10450">
        <f>IFERROR(__xludf.DUMMYFUNCTION("""COMPUTED_VALUE"""),"Toronto, Ontario, Canada, Saskatoon, Saskatchewan, Canada; Calgary, Alberta, Canada")</f>
        <v/>
      </c>
      <c r="K10450">
        <f>IFERROR(__xludf.DUMMYFUNCTION("""COMPUTED_VALUE"""),3405.95)</f>
        <v/>
      </c>
    </row>
    <row r="10451">
      <c r="J10451">
        <f>IFERROR(__xludf.DUMMYFUNCTION("""COMPUTED_VALUE"""),"OTTAWA, ON - VANCOUVER, BC")</f>
        <v/>
      </c>
      <c r="K10451">
        <f>IFERROR(__xludf.DUMMYFUNCTION("""COMPUTED_VALUE"""),3405.85)</f>
        <v/>
      </c>
    </row>
    <row r="10452">
      <c r="J10452">
        <f>IFERROR(__xludf.DUMMYFUNCTION("""COMPUTED_VALUE"""),"Caraquet, New Brunswick")</f>
        <v/>
      </c>
      <c r="K10452">
        <f>IFERROR(__xludf.DUMMYFUNCTION("""COMPUTED_VALUE"""),3405.74)</f>
        <v/>
      </c>
    </row>
    <row r="10453">
      <c r="J10453">
        <f>IFERROR(__xludf.DUMMYFUNCTION("""COMPUTED_VALUE"""),"Vancouver, British Columbia, Canada; Parksville, British Columbia, Canada")</f>
        <v/>
      </c>
      <c r="K10453">
        <f>IFERROR(__xludf.DUMMYFUNCTION("""COMPUTED_VALUE"""),3404.78)</f>
        <v/>
      </c>
    </row>
    <row r="10454">
      <c r="J10454">
        <f>IFERROR(__xludf.DUMMYFUNCTION("""COMPUTED_VALUE"""),"Toronto, Ontario, Canada; Niagara-on-the-Lake, Ontario, Canada")</f>
        <v/>
      </c>
      <c r="K10454">
        <f>IFERROR(__xludf.DUMMYFUNCTION("""COMPUTED_VALUE"""),3404.28)</f>
        <v/>
      </c>
    </row>
    <row r="10455">
      <c r="J10455">
        <f>IFERROR(__xludf.DUMMYFUNCTION("""COMPUTED_VALUE"""),"Atlanta, United States; Montreal, Trois-Rivières and Quebec City, Quebec")</f>
        <v/>
      </c>
      <c r="K10455">
        <f>IFERROR(__xludf.DUMMYFUNCTION("""COMPUTED_VALUE"""),3404.26)</f>
        <v/>
      </c>
    </row>
    <row r="10456">
      <c r="J10456">
        <f>IFERROR(__xludf.DUMMYFUNCTION("""COMPUTED_VALUE"""),"Pristina, Kosovo, Europe")</f>
        <v/>
      </c>
      <c r="K10456">
        <f>IFERROR(__xludf.DUMMYFUNCTION("""COMPUTED_VALUE"""),3403.67)</f>
        <v/>
      </c>
    </row>
    <row r="10457">
      <c r="J10457">
        <f>IFERROR(__xludf.DUMMYFUNCTION("""COMPUTED_VALUE"""),"Athens, Greece; Berlin, Germany; London, England")</f>
        <v/>
      </c>
      <c r="K10457">
        <f>IFERROR(__xludf.DUMMYFUNCTION("""COMPUTED_VALUE"""),3402.9)</f>
        <v/>
      </c>
    </row>
    <row r="10458">
      <c r="J10458">
        <f>IFERROR(__xludf.DUMMYFUNCTION("""COMPUTED_VALUE"""),"Ottawa, Ottawa, Canada")</f>
        <v/>
      </c>
      <c r="K10458">
        <f>IFERROR(__xludf.DUMMYFUNCTION("""COMPUTED_VALUE"""),3402.66)</f>
        <v/>
      </c>
    </row>
    <row r="10459">
      <c r="J10459">
        <f>IFERROR(__xludf.DUMMYFUNCTION("""COMPUTED_VALUE"""),"Brussel, Copenhagen")</f>
        <v/>
      </c>
      <c r="K10459">
        <f>IFERROR(__xludf.DUMMYFUNCTION("""COMPUTED_VALUE"""),3401.81)</f>
        <v/>
      </c>
    </row>
    <row r="10460">
      <c r="J10460">
        <f>IFERROR(__xludf.DUMMYFUNCTION("""COMPUTED_VALUE"""),"Deer Lake, NL / Steady Brook, NL / Halifax, NS / Montreal, QC / Washington, DC / Toronto, ON")</f>
        <v/>
      </c>
      <c r="K10460">
        <f>IFERROR(__xludf.DUMMYFUNCTION("""COMPUTED_VALUE"""),3401.64)</f>
        <v/>
      </c>
    </row>
    <row r="10461">
      <c r="J10461">
        <f>IFERROR(__xludf.DUMMYFUNCTION("""COMPUTED_VALUE"""),"Quebec, Toronto, Montreal")</f>
        <v/>
      </c>
      <c r="K10461">
        <f>IFERROR(__xludf.DUMMYFUNCTION("""COMPUTED_VALUE"""),3401.28)</f>
        <v/>
      </c>
    </row>
    <row r="10462">
      <c r="J10462">
        <f>IFERROR(__xludf.DUMMYFUNCTION("""COMPUTED_VALUE"""),"St. John's, NL and Charlottetown, PE")</f>
        <v/>
      </c>
      <c r="K10462">
        <f>IFERROR(__xludf.DUMMYFUNCTION("""COMPUTED_VALUE"""),3400.02)</f>
        <v/>
      </c>
    </row>
    <row r="10463">
      <c r="J10463">
        <f>IFERROR(__xludf.DUMMYFUNCTION("""COMPUTED_VALUE"""),"New York / Washington")</f>
        <v/>
      </c>
      <c r="K10463">
        <f>IFERROR(__xludf.DUMMYFUNCTION("""COMPUTED_VALUE"""),3398.47)</f>
        <v/>
      </c>
    </row>
    <row r="10464">
      <c r="J10464">
        <f>IFERROR(__xludf.DUMMYFUNCTION("""COMPUTED_VALUE"""),"St. Johns, NL")</f>
        <v/>
      </c>
      <c r="K10464">
        <f>IFERROR(__xludf.DUMMYFUNCTION("""COMPUTED_VALUE"""),3397.68)</f>
        <v/>
      </c>
    </row>
    <row r="10465">
      <c r="J10465">
        <f>IFERROR(__xludf.DUMMYFUNCTION("""COMPUTED_VALUE"""),"National Harbor, USA")</f>
        <v/>
      </c>
      <c r="K10465">
        <f>IFERROR(__xludf.DUMMYFUNCTION("""COMPUTED_VALUE"""),3397.29)</f>
        <v/>
      </c>
    </row>
    <row r="10466">
      <c r="J10466">
        <f>IFERROR(__xludf.DUMMYFUNCTION("""COMPUTED_VALUE"""),"St-John's, Newfoundland and Labrador; Halifax, Nova Scotia; Kingston, Ontario")</f>
        <v/>
      </c>
      <c r="K10466">
        <f>IFERROR(__xludf.DUMMYFUNCTION("""COMPUTED_VALUE"""),3396.66)</f>
        <v/>
      </c>
    </row>
    <row r="10467">
      <c r="J10467">
        <f>IFERROR(__xludf.DUMMYFUNCTION("""COMPUTED_VALUE"""),"Saskatoon, Saskatchewan and Calgary &amp; Edmonton, Alberta")</f>
        <v/>
      </c>
      <c r="K10467">
        <f>IFERROR(__xludf.DUMMYFUNCTION("""COMPUTED_VALUE"""),3395.88)</f>
        <v/>
      </c>
    </row>
    <row r="10468">
      <c r="J10468">
        <f>IFERROR(__xludf.DUMMYFUNCTION("""COMPUTED_VALUE"""),"Virginia Beach, Virginia, and Rome, New York, United States")</f>
        <v/>
      </c>
      <c r="K10468">
        <f>IFERROR(__xludf.DUMMYFUNCTION("""COMPUTED_VALUE"""),3395.11)</f>
        <v/>
      </c>
    </row>
    <row r="10469">
      <c r="J10469">
        <f>IFERROR(__xludf.DUMMYFUNCTION("""COMPUTED_VALUE"""),"London and Dublin")</f>
        <v/>
      </c>
      <c r="K10469">
        <f>IFERROR(__xludf.DUMMYFUNCTION("""COMPUTED_VALUE"""),3394.62)</f>
        <v/>
      </c>
    </row>
    <row r="10470">
      <c r="J10470">
        <f>IFERROR(__xludf.DUMMYFUNCTION("""COMPUTED_VALUE"""),"Toronto and Stouffville, Ontario and Montréal, Québec")</f>
        <v/>
      </c>
      <c r="K10470">
        <f>IFERROR(__xludf.DUMMYFUNCTION("""COMPUTED_VALUE"""),3394.44)</f>
        <v/>
      </c>
    </row>
    <row r="10471">
      <c r="J10471">
        <f>IFERROR(__xludf.DUMMYFUNCTION("""COMPUTED_VALUE"""),"Cranbrook - Williams Lake - Kamloops, British Columbia, Canada")</f>
        <v/>
      </c>
      <c r="K10471">
        <f>IFERROR(__xludf.DUMMYFUNCTION("""COMPUTED_VALUE"""),3394.07)</f>
        <v/>
      </c>
    </row>
    <row r="10472">
      <c r="J10472">
        <f>IFERROR(__xludf.DUMMYFUNCTION("""COMPUTED_VALUE"""),"Toronto, ON.  Vancouver, BC")</f>
        <v/>
      </c>
      <c r="K10472">
        <f>IFERROR(__xludf.DUMMYFUNCTION("""COMPUTED_VALUE"""),3392.49)</f>
        <v/>
      </c>
    </row>
    <row r="10473">
      <c r="J10473">
        <f>IFERROR(__xludf.DUMMYFUNCTION("""COMPUTED_VALUE"""),"Halifax, Nova Scotia, Canada; Charlottetown, Prince Edward Island, Canada; Halifax, Nova Scotia, Canada; St. John's, Newfoundland and Labrador, Canada")</f>
        <v/>
      </c>
      <c r="K10473">
        <f>IFERROR(__xludf.DUMMYFUNCTION("""COMPUTED_VALUE"""),3392.39)</f>
        <v/>
      </c>
    </row>
    <row r="10474">
      <c r="J10474">
        <f>IFERROR(__xludf.DUMMYFUNCTION("""COMPUTED_VALUE"""),"Grande Prairie, Alberta, Canada; Calgary, Alberta, Canada; Edmonton, Alberta, Canada")</f>
        <v/>
      </c>
      <c r="K10474">
        <f>IFERROR(__xludf.DUMMYFUNCTION("""COMPUTED_VALUE"""),3391.87)</f>
        <v/>
      </c>
    </row>
    <row r="10475">
      <c r="J10475">
        <f>IFERROR(__xludf.DUMMYFUNCTION("""COMPUTED_VALUE"""),"Ottawa, ON Gaspésie, QC")</f>
        <v/>
      </c>
      <c r="K10475">
        <f>IFERROR(__xludf.DUMMYFUNCTION("""COMPUTED_VALUE"""),3390.7)</f>
        <v/>
      </c>
    </row>
    <row r="10476">
      <c r="J10476">
        <f>IFERROR(__xludf.DUMMYFUNCTION("""COMPUTED_VALUE"""),"Toronto, ON - Vancouver, BC - Nanaimo, BC")</f>
        <v/>
      </c>
      <c r="K10476">
        <f>IFERROR(__xludf.DUMMYFUNCTION("""COMPUTED_VALUE"""),3390.03)</f>
        <v/>
      </c>
    </row>
    <row r="10477">
      <c r="J10477">
        <f>IFERROR(__xludf.DUMMYFUNCTION("""COMPUTED_VALUE"""),"Red Deer Alberta and Vancouver, British Columbia")</f>
        <v/>
      </c>
      <c r="K10477">
        <f>IFERROR(__xludf.DUMMYFUNCTION("""COMPUTED_VALUE"""),3390)</f>
        <v/>
      </c>
    </row>
    <row r="10478">
      <c r="J10478">
        <f>IFERROR(__xludf.DUMMYFUNCTION("""COMPUTED_VALUE"""),"Esquimalt/Vancouver,British-Columbia, Canada")</f>
        <v/>
      </c>
      <c r="K10478">
        <f>IFERROR(__xludf.DUMMYFUNCTION("""COMPUTED_VALUE"""),3388.14)</f>
        <v/>
      </c>
    </row>
    <row r="10479">
      <c r="J10479">
        <f>IFERROR(__xludf.DUMMYFUNCTION("""COMPUTED_VALUE"""),"Montréal, Quebec, Canada; Gatineau, Quebec, Canada")</f>
        <v/>
      </c>
      <c r="K10479">
        <f>IFERROR(__xludf.DUMMYFUNCTION("""COMPUTED_VALUE"""),3387.99)</f>
        <v/>
      </c>
    </row>
    <row r="10480">
      <c r="J10480">
        <f>IFERROR(__xludf.DUMMYFUNCTION("""COMPUTED_VALUE"""),"Toronto, Ontario, Canada and Edmonton and Calgary, Alberta, Canada")</f>
        <v/>
      </c>
      <c r="K10480">
        <f>IFERROR(__xludf.DUMMYFUNCTION("""COMPUTED_VALUE"""),3387.35)</f>
        <v/>
      </c>
    </row>
    <row r="10481">
      <c r="J10481">
        <f>IFERROR(__xludf.DUMMYFUNCTION("""COMPUTED_VALUE"""),"Quebec , QC")</f>
        <v/>
      </c>
      <c r="K10481">
        <f>IFERROR(__xludf.DUMMYFUNCTION("""COMPUTED_VALUE"""),3387.14)</f>
        <v/>
      </c>
    </row>
    <row r="10482">
      <c r="J10482">
        <f>IFERROR(__xludf.DUMMYFUNCTION("""COMPUTED_VALUE"""),"New-York &amp; Montreal")</f>
        <v/>
      </c>
      <c r="K10482">
        <f>IFERROR(__xludf.DUMMYFUNCTION("""COMPUTED_VALUE"""),3386.53)</f>
        <v/>
      </c>
    </row>
    <row r="10483">
      <c r="J10483">
        <f>IFERROR(__xludf.DUMMYFUNCTION("""COMPUTED_VALUE"""),"Vancouver and Ladysmith, BC")</f>
        <v/>
      </c>
      <c r="K10483">
        <f>IFERROR(__xludf.DUMMYFUNCTION("""COMPUTED_VALUE"""),3386.4)</f>
        <v/>
      </c>
    </row>
    <row r="10484">
      <c r="J10484">
        <f>IFERROR(__xludf.DUMMYFUNCTION("""COMPUTED_VALUE"""),"Winnipeg, Manitoba, Canada - Vancouver, British Columbia, Canada")</f>
        <v/>
      </c>
      <c r="K10484">
        <f>IFERROR(__xludf.DUMMYFUNCTION("""COMPUTED_VALUE"""),3386.34)</f>
        <v/>
      </c>
    </row>
    <row r="10485">
      <c r="J10485">
        <f>IFERROR(__xludf.DUMMYFUNCTION("""COMPUTED_VALUE"""),"Montreal and Boucherville, Quebec, Canada")</f>
        <v/>
      </c>
      <c r="K10485">
        <f>IFERROR(__xludf.DUMMYFUNCTION("""COMPUTED_VALUE"""),3384.7)</f>
        <v/>
      </c>
    </row>
    <row r="10486">
      <c r="J10486">
        <f>IFERROR(__xludf.DUMMYFUNCTION("""COMPUTED_VALUE"""),"Brussels - London")</f>
        <v/>
      </c>
      <c r="K10486">
        <f>IFERROR(__xludf.DUMMYFUNCTION("""COMPUTED_VALUE"""),3383.77)</f>
        <v/>
      </c>
    </row>
    <row r="10487">
      <c r="J10487">
        <f>IFERROR(__xludf.DUMMYFUNCTION("""COMPUTED_VALUE"""),"Halifax, Nova Scotia / Montreal, Quebec / Toronto, Ontario")</f>
        <v/>
      </c>
      <c r="K10487">
        <f>IFERROR(__xludf.DUMMYFUNCTION("""COMPUTED_VALUE"""),3383.05)</f>
        <v/>
      </c>
    </row>
    <row r="10488">
      <c r="J10488">
        <f>IFERROR(__xludf.DUMMYFUNCTION("""COMPUTED_VALUE"""),"Montreal, Quebec; Abbotsford, British Columbia; Victoria, British Columbia, Canada")</f>
        <v/>
      </c>
      <c r="K10488">
        <f>IFERROR(__xludf.DUMMYFUNCTION("""COMPUTED_VALUE"""),3382.31999999999)</f>
        <v/>
      </c>
    </row>
    <row r="10489">
      <c r="J10489">
        <f>IFERROR(__xludf.DUMMYFUNCTION("""COMPUTED_VALUE"""),"Halifax, Nova Scotia / Winnipeg, Manitoba, Canada")</f>
        <v/>
      </c>
      <c r="K10489">
        <f>IFERROR(__xludf.DUMMYFUNCTION("""COMPUTED_VALUE"""),3381.76)</f>
        <v/>
      </c>
    </row>
    <row r="10490">
      <c r="J10490">
        <f>IFERROR(__xludf.DUMMYFUNCTION("""COMPUTED_VALUE"""),"Vancouver, British Columbia, Canada; Nemaiah Valley, British Columbia, Canada; Williams Lake, British Columbia, Canada; Kamloops, British Columbia, Canada")</f>
        <v/>
      </c>
      <c r="K10490">
        <f>IFERROR(__xludf.DUMMYFUNCTION("""COMPUTED_VALUE"""),3381.52)</f>
        <v/>
      </c>
    </row>
    <row r="10491">
      <c r="J10491">
        <f>IFERROR(__xludf.DUMMYFUNCTION("""COMPUTED_VALUE"""),"Bathurst, New Brunswick, Canada
Charlottetown, Prince Edward Island, Canada")</f>
        <v/>
      </c>
      <c r="K10491">
        <f>IFERROR(__xludf.DUMMYFUNCTION("""COMPUTED_VALUE"""),3381.35)</f>
        <v/>
      </c>
    </row>
    <row r="10492">
      <c r="J10492">
        <f>IFERROR(__xludf.DUMMYFUNCTION("""COMPUTED_VALUE"""),"ORLANDO, FL")</f>
        <v/>
      </c>
      <c r="K10492">
        <f>IFERROR(__xludf.DUMMYFUNCTION("""COMPUTED_VALUE"""),3380.52)</f>
        <v/>
      </c>
    </row>
    <row r="10493">
      <c r="J10493">
        <f>IFERROR(__xludf.DUMMYFUNCTION("""COMPUTED_VALUE"""),"Victoria, British Columbia, Canada Vancouver, British Columbia, Canada")</f>
        <v/>
      </c>
      <c r="K10493">
        <f>IFERROR(__xludf.DUMMYFUNCTION("""COMPUTED_VALUE"""),3380.5)</f>
        <v/>
      </c>
    </row>
    <row r="10494">
      <c r="J10494">
        <f>IFERROR(__xludf.DUMMYFUNCTION("""COMPUTED_VALUE"""),"Toronto, On,Canada")</f>
        <v/>
      </c>
      <c r="K10494">
        <f>IFERROR(__xludf.DUMMYFUNCTION("""COMPUTED_VALUE"""),3380.38999999999)</f>
        <v/>
      </c>
    </row>
    <row r="10495">
      <c r="J10495">
        <f>IFERROR(__xludf.DUMMYFUNCTION("""COMPUTED_VALUE"""),"Vancouver, British Columbia, Canada         Sidney, British Columbia, Canada")</f>
        <v/>
      </c>
      <c r="K10495">
        <f>IFERROR(__xludf.DUMMYFUNCTION("""COMPUTED_VALUE"""),3379.82)</f>
        <v/>
      </c>
    </row>
    <row r="10496">
      <c r="J10496">
        <f>IFERROR(__xludf.DUMMYFUNCTION("""COMPUTED_VALUE"""),"Montreal, Quebec, Toronto, Ontario")</f>
        <v/>
      </c>
      <c r="K10496">
        <f>IFERROR(__xludf.DUMMYFUNCTION("""COMPUTED_VALUE"""),3377.72)</f>
        <v/>
      </c>
    </row>
    <row r="10497">
      <c r="J10497">
        <f>IFERROR(__xludf.DUMMYFUNCTION("""COMPUTED_VALUE"""),"Charlottetown, (Prince Edward Island)")</f>
        <v/>
      </c>
      <c r="K10497">
        <f>IFERROR(__xludf.DUMMYFUNCTION("""COMPUTED_VALUE"""),3376.86)</f>
        <v/>
      </c>
    </row>
    <row r="10498">
      <c r="J10498">
        <f>IFERROR(__xludf.DUMMYFUNCTION("""COMPUTED_VALUE"""),"Mauricie, Quebec, Canada")</f>
        <v/>
      </c>
      <c r="K10498">
        <f>IFERROR(__xludf.DUMMYFUNCTION("""COMPUTED_VALUE"""),3376.58999999999)</f>
        <v/>
      </c>
    </row>
    <row r="10499">
      <c r="J10499">
        <f>IFERROR(__xludf.DUMMYFUNCTION("""COMPUTED_VALUE"""),"New York, NY, USA - Montréal, QC")</f>
        <v/>
      </c>
      <c r="K10499">
        <f>IFERROR(__xludf.DUMMYFUNCTION("""COMPUTED_VALUE"""),3375.12)</f>
        <v/>
      </c>
    </row>
    <row r="10500">
      <c r="J10500">
        <f>IFERROR(__xludf.DUMMYFUNCTION("""COMPUTED_VALUE"""),"Edwardsburg Cardinal, Ontario, Sarnia, Ontario and London, Ontario")</f>
        <v/>
      </c>
      <c r="K10500">
        <f>IFERROR(__xludf.DUMMYFUNCTION("""COMPUTED_VALUE"""),3374.7)</f>
        <v/>
      </c>
    </row>
    <row r="10501">
      <c r="J10501">
        <f>IFERROR(__xludf.DUMMYFUNCTION("""COMPUTED_VALUE"""),"Detroit and Chicago")</f>
        <v/>
      </c>
      <c r="K10501">
        <f>IFERROR(__xludf.DUMMYFUNCTION("""COMPUTED_VALUE"""),3374.08)</f>
        <v/>
      </c>
    </row>
    <row r="10502">
      <c r="J10502">
        <f>IFERROR(__xludf.DUMMYFUNCTION("""COMPUTED_VALUE"""),"FRANCE")</f>
        <v/>
      </c>
      <c r="K10502">
        <f>IFERROR(__xludf.DUMMYFUNCTION("""COMPUTED_VALUE"""),3372.66)</f>
        <v/>
      </c>
    </row>
    <row r="10503">
      <c r="J10503">
        <f>IFERROR(__xludf.DUMMYFUNCTION("""COMPUTED_VALUE"""),"Cleveland")</f>
        <v/>
      </c>
      <c r="K10503">
        <f>IFERROR(__xludf.DUMMYFUNCTION("""COMPUTED_VALUE"""),3372.56)</f>
        <v/>
      </c>
    </row>
    <row r="10504">
      <c r="J10504">
        <f>IFERROR(__xludf.DUMMYFUNCTION("""COMPUTED_VALUE"""),"Hamilton, Ontario (Canada)")</f>
        <v/>
      </c>
      <c r="K10504">
        <f>IFERROR(__xludf.DUMMYFUNCTION("""COMPUTED_VALUE"""),3372.3)</f>
        <v/>
      </c>
    </row>
    <row r="10505">
      <c r="J10505">
        <f>IFERROR(__xludf.DUMMYFUNCTION("""COMPUTED_VALUE"""),"Heathrow, London, UK")</f>
        <v/>
      </c>
      <c r="K10505">
        <f>IFERROR(__xludf.DUMMYFUNCTION("""COMPUTED_VALUE"""),3372.29)</f>
        <v/>
      </c>
    </row>
    <row r="10506">
      <c r="J10506">
        <f>IFERROR(__xludf.DUMMYFUNCTION("""COMPUTED_VALUE"""),"St. John's, Newfoundland and Labrador, Canada; Dartmouth, Nova Scotia, Canada; Moncton, New Brunswick, Canada")</f>
        <v/>
      </c>
      <c r="K10506">
        <f>IFERROR(__xludf.DUMMYFUNCTION("""COMPUTED_VALUE"""),3372.09)</f>
        <v/>
      </c>
    </row>
    <row r="10507">
      <c r="J10507">
        <f>IFERROR(__xludf.DUMMYFUNCTION("""COMPUTED_VALUE"""),"Vancouver and Tofino, British Columbia, Canada")</f>
        <v/>
      </c>
      <c r="K10507">
        <f>IFERROR(__xludf.DUMMYFUNCTION("""COMPUTED_VALUE"""),3371.37)</f>
        <v/>
      </c>
    </row>
    <row r="10508">
      <c r="J10508">
        <f>IFERROR(__xludf.DUMMYFUNCTION("""COMPUTED_VALUE"""),"Edmonton, Alberta, Canada; Moncton, New Brunswick, Canada; Halifax, Nova Scotia, Canada")</f>
        <v/>
      </c>
      <c r="K10508">
        <f>IFERROR(__xludf.DUMMYFUNCTION("""COMPUTED_VALUE"""),3370.8)</f>
        <v/>
      </c>
    </row>
    <row r="10509">
      <c r="J10509">
        <f>IFERROR(__xludf.DUMMYFUNCTION("""COMPUTED_VALUE"""),"Burlington, London, Toronto and Ottawa ON")</f>
        <v/>
      </c>
      <c r="K10509">
        <f>IFERROR(__xludf.DUMMYFUNCTION("""COMPUTED_VALUE"""),3370.55)</f>
        <v/>
      </c>
    </row>
    <row r="10510">
      <c r="J10510">
        <f>IFERROR(__xludf.DUMMYFUNCTION("""COMPUTED_VALUE"""),"Porlamar (Margarite Island) Venezuela")</f>
        <v/>
      </c>
      <c r="K10510">
        <f>IFERROR(__xludf.DUMMYFUNCTION("""COMPUTED_VALUE"""),3370.01)</f>
        <v/>
      </c>
    </row>
    <row r="10511">
      <c r="J10511">
        <f>IFERROR(__xludf.DUMMYFUNCTION("""COMPUTED_VALUE"""),"Vancouver and Queen Charlotte, British Columbia")</f>
        <v/>
      </c>
      <c r="K10511">
        <f>IFERROR(__xludf.DUMMYFUNCTION("""COMPUTED_VALUE"""),3369.2)</f>
        <v/>
      </c>
    </row>
    <row r="10512">
      <c r="J10512">
        <f>IFERROR(__xludf.DUMMYFUNCTION("""COMPUTED_VALUE"""),"Vancouver, Bristish Columbia and Calgary, Alberta")</f>
        <v/>
      </c>
      <c r="K10512">
        <f>IFERROR(__xludf.DUMMYFUNCTION("""COMPUTED_VALUE"""),3367.25)</f>
        <v/>
      </c>
    </row>
    <row r="10513">
      <c r="J10513">
        <f>IFERROR(__xludf.DUMMYFUNCTION("""COMPUTED_VALUE"""),"Saskatoon, Saskatchewan and Edmonton, Alberta")</f>
        <v/>
      </c>
      <c r="K10513">
        <f>IFERROR(__xludf.DUMMYFUNCTION("""COMPUTED_VALUE"""),3367)</f>
        <v/>
      </c>
    </row>
    <row r="10514">
      <c r="J10514">
        <f>IFERROR(__xludf.DUMMYFUNCTION("""COMPUTED_VALUE"""),"Charlottetown, PE - Washington, DC / Washington, DC - Ottawa, ON / Ottawa, ON - Charlottetown, PE")</f>
        <v/>
      </c>
      <c r="K10514">
        <f>IFERROR(__xludf.DUMMYFUNCTION("""COMPUTED_VALUE"""),3366.85)</f>
        <v/>
      </c>
    </row>
    <row r="10515">
      <c r="J10515">
        <f>IFERROR(__xludf.DUMMYFUNCTION("""COMPUTED_VALUE"""),"Waterton Lakes, Alberta")</f>
        <v/>
      </c>
      <c r="K10515">
        <f>IFERROR(__xludf.DUMMYFUNCTION("""COMPUTED_VALUE"""),3366.06999999999)</f>
        <v/>
      </c>
    </row>
    <row r="10516">
      <c r="J10516">
        <f>IFERROR(__xludf.DUMMYFUNCTION("""COMPUTED_VALUE"""),"Moncton, New Brunswick; Charlottetown, Prince Edward Island; St. John's, Newfoundland and Labrador, Canada")</f>
        <v/>
      </c>
      <c r="K10516">
        <f>IFERROR(__xludf.DUMMYFUNCTION("""COMPUTED_VALUE"""),3365.92)</f>
        <v/>
      </c>
    </row>
    <row r="10517">
      <c r="J10517">
        <f>IFERROR(__xludf.DUMMYFUNCTION("""COMPUTED_VALUE"""),"St. John's, Newfoundland and Labrador, Canada; Moncton, New Brunswick, Canada; Toronto, Ontario, Canada; Winnipeg, Manitoba, Canada; Calgary, Alberta, Canada; Dublin, Ireland")</f>
        <v/>
      </c>
      <c r="K10517">
        <f>IFERROR(__xludf.DUMMYFUNCTION("""COMPUTED_VALUE"""),3365.88)</f>
        <v/>
      </c>
    </row>
    <row r="10518">
      <c r="J10518">
        <f>IFERROR(__xludf.DUMMYFUNCTION("""COMPUTED_VALUE"""),"Hay River, (Alberta)")</f>
        <v/>
      </c>
      <c r="K10518">
        <f>IFERROR(__xludf.DUMMYFUNCTION("""COMPUTED_VALUE"""),3365.73)</f>
        <v/>
      </c>
    </row>
    <row r="10519">
      <c r="J10519">
        <f>IFERROR(__xludf.DUMMYFUNCTION("""COMPUTED_VALUE"""),"Victoria, British Columbia, Kelowna, British Columbia,  Winnipeg, Manitoba")</f>
        <v/>
      </c>
      <c r="K10519">
        <f>IFERROR(__xludf.DUMMYFUNCTION("""COMPUTED_VALUE"""),3365.34)</f>
        <v/>
      </c>
    </row>
    <row r="10520">
      <c r="J10520">
        <f>IFERROR(__xludf.DUMMYFUNCTION("""COMPUTED_VALUE"""),"Saguenay (Quebec) Canada")</f>
        <v/>
      </c>
      <c r="K10520">
        <f>IFERROR(__xludf.DUMMYFUNCTION("""COMPUTED_VALUE"""),3364.09)</f>
        <v/>
      </c>
    </row>
    <row r="10521">
      <c r="J10521">
        <f>IFERROR(__xludf.DUMMYFUNCTION("""COMPUTED_VALUE"""),"Abbotsford, British Columbia;
Calgary, Alberta")</f>
        <v/>
      </c>
      <c r="K10521">
        <f>IFERROR(__xludf.DUMMYFUNCTION("""COMPUTED_VALUE"""),3363.55)</f>
        <v/>
      </c>
    </row>
    <row r="10522">
      <c r="J10522">
        <f>IFERROR(__xludf.DUMMYFUNCTION("""COMPUTED_VALUE"""),"Norman Wells, Northwest Territories")</f>
        <v/>
      </c>
      <c r="K10522">
        <f>IFERROR(__xludf.DUMMYFUNCTION("""COMPUTED_VALUE"""),3363.14)</f>
        <v/>
      </c>
    </row>
    <row r="10523">
      <c r="J10523">
        <f>IFERROR(__xludf.DUMMYFUNCTION("""COMPUTED_VALUE"""),"Halifax , Nova-Scotia; Winnipeg, Manitoba")</f>
        <v/>
      </c>
      <c r="K10523">
        <f>IFERROR(__xludf.DUMMYFUNCTION("""COMPUTED_VALUE"""),3361.94)</f>
        <v/>
      </c>
    </row>
    <row r="10524">
      <c r="J10524">
        <f>IFERROR(__xludf.DUMMYFUNCTION("""COMPUTED_VALUE"""),"Corner Brook, Newfoundland and Labrador, Canada and Halifax, Nova Scotia, Canada")</f>
        <v/>
      </c>
      <c r="K10524">
        <f>IFERROR(__xludf.DUMMYFUNCTION("""COMPUTED_VALUE"""),3361.74)</f>
        <v/>
      </c>
    </row>
    <row r="10525">
      <c r="J10525">
        <f>IFERROR(__xludf.DUMMYFUNCTION("""COMPUTED_VALUE"""),"Los Cabos, MX")</f>
        <v/>
      </c>
      <c r="K10525">
        <f>IFERROR(__xludf.DUMMYFUNCTION("""COMPUTED_VALUE"""),3360.61)</f>
        <v/>
      </c>
    </row>
    <row r="10526">
      <c r="J10526">
        <f>IFERROR(__xludf.DUMMYFUNCTION("""COMPUTED_VALUE"""),"Charlottetown, Prince Edward Island; Calgary, Alberta; Saskatoon, Saskatchewan")</f>
        <v/>
      </c>
      <c r="K10526">
        <f>IFERROR(__xludf.DUMMYFUNCTION("""COMPUTED_VALUE"""),3360.22)</f>
        <v/>
      </c>
    </row>
    <row r="10527">
      <c r="J10527">
        <f>IFERROR(__xludf.DUMMYFUNCTION("""COMPUTED_VALUE"""),"Huatulco, Mexico City")</f>
        <v/>
      </c>
      <c r="K10527">
        <f>IFERROR(__xludf.DUMMYFUNCTION("""COMPUTED_VALUE"""),3359.86)</f>
        <v/>
      </c>
    </row>
    <row r="10528">
      <c r="J10528">
        <f>IFERROR(__xludf.DUMMYFUNCTION("""COMPUTED_VALUE"""),"Vancouver, British Columbia, Canada; Prince Rupert, British Columbia, Canada; Prince George, British Columbia, Canada; Kitimat, British Columbia, Canada")</f>
        <v/>
      </c>
      <c r="K10528">
        <f>IFERROR(__xludf.DUMMYFUNCTION("""COMPUTED_VALUE"""),3359.71)</f>
        <v/>
      </c>
    </row>
    <row r="10529">
      <c r="J10529">
        <f>IFERROR(__xludf.DUMMYFUNCTION("""COMPUTED_VALUE"""),"Summerland, British Columbia, Canada")</f>
        <v/>
      </c>
      <c r="K10529">
        <f>IFERROR(__xludf.DUMMYFUNCTION("""COMPUTED_VALUE"""),3358.88)</f>
        <v/>
      </c>
    </row>
    <row r="10530">
      <c r="J10530">
        <f>IFERROR(__xludf.DUMMYFUNCTION("""COMPUTED_VALUE"""),"Georgetown, Guyana; Miami")</f>
        <v/>
      </c>
      <c r="K10530">
        <f>IFERROR(__xludf.DUMMYFUNCTION("""COMPUTED_VALUE"""),3356.27)</f>
        <v/>
      </c>
    </row>
    <row r="10531">
      <c r="J10531">
        <f>IFERROR(__xludf.DUMMYFUNCTION("""COMPUTED_VALUE"""),"Halifax NS &amp; Ottawa ON")</f>
        <v/>
      </c>
      <c r="K10531">
        <f>IFERROR(__xludf.DUMMYFUNCTION("""COMPUTED_VALUE"""),3356.07)</f>
        <v/>
      </c>
    </row>
    <row r="10532">
      <c r="J10532">
        <f>IFERROR(__xludf.DUMMYFUNCTION("""COMPUTED_VALUE"""),"Toronto, Ontario, Canada / Edmonton, Alberta, Canada")</f>
        <v/>
      </c>
      <c r="K10532">
        <f>IFERROR(__xludf.DUMMYFUNCTION("""COMPUTED_VALUE"""),3355.75)</f>
        <v/>
      </c>
    </row>
    <row r="10533">
      <c r="J10533">
        <f>IFERROR(__xludf.DUMMYFUNCTION("""COMPUTED_VALUE"""),"Saskatchewan, AB")</f>
        <v/>
      </c>
      <c r="K10533">
        <f>IFERROR(__xludf.DUMMYFUNCTION("""COMPUTED_VALUE"""),3354.88)</f>
        <v/>
      </c>
    </row>
    <row r="10534">
      <c r="J10534">
        <f>IFERROR(__xludf.DUMMYFUNCTION("""COMPUTED_VALUE"""),"Ottawa-Calgary-Victoria-Vancouver-Toronto-Ottawa")</f>
        <v/>
      </c>
      <c r="K10534">
        <f>IFERROR(__xludf.DUMMYFUNCTION("""COMPUTED_VALUE"""),3354.85)</f>
        <v/>
      </c>
    </row>
    <row r="10535">
      <c r="J10535">
        <f>IFERROR(__xludf.DUMMYFUNCTION("""COMPUTED_VALUE"""),"Regina, Saskatchewan, Canada
Victoria, British Colombia, Canada
Vancouver, British Colombia, Canada")</f>
        <v/>
      </c>
      <c r="K10535">
        <f>IFERROR(__xludf.DUMMYFUNCTION("""COMPUTED_VALUE"""),3353.93)</f>
        <v/>
      </c>
    </row>
    <row r="10536">
      <c r="J10536">
        <f>IFERROR(__xludf.DUMMYFUNCTION("""COMPUTED_VALUE"""),"Ottawa, Ontatio")</f>
        <v/>
      </c>
      <c r="K10536">
        <f>IFERROR(__xludf.DUMMYFUNCTION("""COMPUTED_VALUE"""),3353.49)</f>
        <v/>
      </c>
    </row>
    <row r="10537">
      <c r="J10537">
        <f>IFERROR(__xludf.DUMMYFUNCTION("""COMPUTED_VALUE"""),"Moncton, New Brunswick, Canada; Halifax, Nova Scotia, Canada; Toronto, Ontario, Canada")</f>
        <v/>
      </c>
      <c r="K10537">
        <f>IFERROR(__xludf.DUMMYFUNCTION("""COMPUTED_VALUE"""),3353.41)</f>
        <v/>
      </c>
    </row>
    <row r="10538">
      <c r="J10538">
        <f>IFERROR(__xludf.DUMMYFUNCTION("""COMPUTED_VALUE"""),"Halifax, Antigonish")</f>
        <v/>
      </c>
      <c r="K10538">
        <f>IFERROR(__xludf.DUMMYFUNCTION("""COMPUTED_VALUE"""),3353.17)</f>
        <v/>
      </c>
    </row>
    <row r="10539">
      <c r="J10539">
        <f>IFERROR(__xludf.DUMMYFUNCTION("""COMPUTED_VALUE"""),"Toronto, ON; Washington, DC")</f>
        <v/>
      </c>
      <c r="K10539">
        <f>IFERROR(__xludf.DUMMYFUNCTION("""COMPUTED_VALUE"""),3353.14)</f>
        <v/>
      </c>
    </row>
    <row r="10540">
      <c r="J10540">
        <f>IFERROR(__xludf.DUMMYFUNCTION("""COMPUTED_VALUE"""),"New York City, New York, United States of America")</f>
        <v/>
      </c>
      <c r="K10540">
        <f>IFERROR(__xludf.DUMMYFUNCTION("""COMPUTED_VALUE"""),3352.8)</f>
        <v/>
      </c>
    </row>
    <row r="10541">
      <c r="J10541">
        <f>IFERROR(__xludf.DUMMYFUNCTION("""COMPUTED_VALUE"""),"Rocky Harbour, Newfoundland and Labrador and Ottawa, Ontario")</f>
        <v/>
      </c>
      <c r="K10541">
        <f>IFERROR(__xludf.DUMMYFUNCTION("""COMPUTED_VALUE"""),3352.08)</f>
        <v/>
      </c>
    </row>
    <row r="10542">
      <c r="J10542">
        <f>IFERROR(__xludf.DUMMYFUNCTION("""COMPUTED_VALUE"""),"Dorchester, New Brunswick, Canada")</f>
        <v/>
      </c>
      <c r="K10542">
        <f>IFERROR(__xludf.DUMMYFUNCTION("""COMPUTED_VALUE"""),3351.52)</f>
        <v/>
      </c>
    </row>
    <row r="10543">
      <c r="J10543">
        <f>IFERROR(__xludf.DUMMYFUNCTION("""COMPUTED_VALUE"""),"Ottawa, Ontario, Canada / Niagara Falls, Ontario, Canada")</f>
        <v/>
      </c>
      <c r="K10543">
        <f>IFERROR(__xludf.DUMMYFUNCTION("""COMPUTED_VALUE"""),3351.45)</f>
        <v/>
      </c>
    </row>
    <row r="10544">
      <c r="J10544">
        <f>IFERROR(__xludf.DUMMYFUNCTION("""COMPUTED_VALUE"""),"Quebec, Qc; Halifax, NS")</f>
        <v/>
      </c>
      <c r="K10544">
        <f>IFERROR(__xludf.DUMMYFUNCTION("""COMPUTED_VALUE"""),3351.4)</f>
        <v/>
      </c>
    </row>
    <row r="10545">
      <c r="J10545">
        <f>IFERROR(__xludf.DUMMYFUNCTION("""COMPUTED_VALUE"""),"Winnipeg MB, CalgaryAB")</f>
        <v/>
      </c>
      <c r="K10545">
        <f>IFERROR(__xludf.DUMMYFUNCTION("""COMPUTED_VALUE"""),3351.36)</f>
        <v/>
      </c>
    </row>
    <row r="10546">
      <c r="J10546">
        <f>IFERROR(__xludf.DUMMYFUNCTION("""COMPUTED_VALUE"""),"Winnipeg, MB, Regina, SK")</f>
        <v/>
      </c>
      <c r="K10546">
        <f>IFERROR(__xludf.DUMMYFUNCTION("""COMPUTED_VALUE"""),3351.03)</f>
        <v/>
      </c>
    </row>
    <row r="10547">
      <c r="J10547">
        <f>IFERROR(__xludf.DUMMYFUNCTION("""COMPUTED_VALUE"""),"CALGARY, WINNIPEG, VANCOUVER, ELLISON FIELD, KELOWNA, CALGARY")</f>
        <v/>
      </c>
      <c r="K10547">
        <f>IFERROR(__xludf.DUMMYFUNCTION("""COMPUTED_VALUE"""),3351)</f>
        <v/>
      </c>
    </row>
    <row r="10548">
      <c r="J10548">
        <f>IFERROR(__xludf.DUMMYFUNCTION("""COMPUTED_VALUE"""),"Saskatoon, SK; Vancouver, BC; Edmonton, AB")</f>
        <v/>
      </c>
      <c r="K10548">
        <f>IFERROR(__xludf.DUMMYFUNCTION("""COMPUTED_VALUE"""),3350.82)</f>
        <v/>
      </c>
    </row>
    <row r="10549">
      <c r="J10549">
        <f>IFERROR(__xludf.DUMMYFUNCTION("""COMPUTED_VALUE"""),"Moncton, New Brunswick
Charlottetown, Prince-Edward-Island (Canada)")</f>
        <v/>
      </c>
      <c r="K10549">
        <f>IFERROR(__xludf.DUMMYFUNCTION("""COMPUTED_VALUE"""),3350.68999999999)</f>
        <v/>
      </c>
    </row>
    <row r="10550">
      <c r="J10550">
        <f>IFERROR(__xludf.DUMMYFUNCTION("""COMPUTED_VALUE"""),"Québec, Quebec, Canada; Montréal, Quebec, Canada; St. John's, Newfoundland and Labrador, Canada; Moncton, New Brunswick, Canada; Bathurst, New Brunswick, Canada; Halifax, Nova Scotia, Canada")</f>
        <v/>
      </c>
      <c r="K10550">
        <f>IFERROR(__xludf.DUMMYFUNCTION("""COMPUTED_VALUE"""),3350.59)</f>
        <v/>
      </c>
    </row>
    <row r="10551">
      <c r="J10551">
        <f>IFERROR(__xludf.DUMMYFUNCTION("""COMPUTED_VALUE"""),"Calgary, AB / Banff, AB / Edmonton, AB /  Kelowna, BC")</f>
        <v/>
      </c>
      <c r="K10551">
        <f>IFERROR(__xludf.DUMMYFUNCTION("""COMPUTED_VALUE"""),3350.36)</f>
        <v/>
      </c>
    </row>
    <row r="10552">
      <c r="J10552">
        <f>IFERROR(__xludf.DUMMYFUNCTION("""COMPUTED_VALUE"""),"Vancouver, British-Columbia, Canada  and Whitehorse, Yukon, Canada")</f>
        <v/>
      </c>
      <c r="K10552">
        <f>IFERROR(__xludf.DUMMYFUNCTION("""COMPUTED_VALUE"""),3348.9)</f>
        <v/>
      </c>
    </row>
    <row r="10553">
      <c r="J10553">
        <f>IFERROR(__xludf.DUMMYFUNCTION("""COMPUTED_VALUE"""),"Athens, Ankara, Kuwait City, Zagreb")</f>
        <v/>
      </c>
      <c r="K10553">
        <f>IFERROR(__xludf.DUMMYFUNCTION("""COMPUTED_VALUE"""),3348.43)</f>
        <v/>
      </c>
    </row>
    <row r="10554">
      <c r="J10554">
        <f>IFERROR(__xludf.DUMMYFUNCTION("""COMPUTED_VALUE"""),"Halifax NS, Sydney NS, Charlottetown PE")</f>
        <v/>
      </c>
      <c r="K10554">
        <f>IFERROR(__xludf.DUMMYFUNCTION("""COMPUTED_VALUE"""),3348.31)</f>
        <v/>
      </c>
    </row>
    <row r="10555">
      <c r="J10555">
        <f>IFERROR(__xludf.DUMMYFUNCTION("""COMPUTED_VALUE"""),"Monterrey, Mexico and Guatemala City, Guatemala")</f>
        <v/>
      </c>
      <c r="K10555">
        <f>IFERROR(__xludf.DUMMYFUNCTION("""COMPUTED_VALUE"""),3347.39)</f>
        <v/>
      </c>
    </row>
    <row r="10556">
      <c r="J10556">
        <f>IFERROR(__xludf.DUMMYFUNCTION("""COMPUTED_VALUE"""),"Allentown, Pennsylvania, United States")</f>
        <v/>
      </c>
      <c r="K10556">
        <f>IFERROR(__xludf.DUMMYFUNCTION("""COMPUTED_VALUE"""),3347.3)</f>
        <v/>
      </c>
    </row>
    <row r="10557">
      <c r="J10557">
        <f>IFERROR(__xludf.DUMMYFUNCTION("""COMPUTED_VALUE"""),"Vancouver, BC, Calgary, AB, Toronto, ON")</f>
        <v/>
      </c>
      <c r="K10557">
        <f>IFERROR(__xludf.DUMMYFUNCTION("""COMPUTED_VALUE"""),3346.87)</f>
        <v/>
      </c>
    </row>
    <row r="10558">
      <c r="J10558">
        <f>IFERROR(__xludf.DUMMYFUNCTION("""COMPUTED_VALUE"""),"Ottawa, Charlottetown")</f>
        <v/>
      </c>
      <c r="K10558">
        <f>IFERROR(__xludf.DUMMYFUNCTION("""COMPUTED_VALUE"""),3346.86)</f>
        <v/>
      </c>
    </row>
    <row r="10559">
      <c r="J10559">
        <f>IFERROR(__xludf.DUMMYFUNCTION("""COMPUTED_VALUE"""),"Quebec / Drummondville / Victoriaville, (Quebec)")</f>
        <v/>
      </c>
      <c r="K10559">
        <f>IFERROR(__xludf.DUMMYFUNCTION("""COMPUTED_VALUE"""),3346.85)</f>
        <v/>
      </c>
    </row>
    <row r="10560">
      <c r="J10560">
        <f>IFERROR(__xludf.DUMMYFUNCTION("""COMPUTED_VALUE"""),"Fort Mcmurray, AB")</f>
        <v/>
      </c>
      <c r="K10560">
        <f>IFERROR(__xludf.DUMMYFUNCTION("""COMPUTED_VALUE"""),3346.32)</f>
        <v/>
      </c>
    </row>
    <row r="10561">
      <c r="J10561">
        <f>IFERROR(__xludf.DUMMYFUNCTION("""COMPUTED_VALUE"""),"Vancouver and Prince Rupert, British Columbia and Ottawa, Ontario")</f>
        <v/>
      </c>
      <c r="K10561">
        <f>IFERROR(__xludf.DUMMYFUNCTION("""COMPUTED_VALUE"""),3346.26)</f>
        <v/>
      </c>
    </row>
    <row r="10562">
      <c r="J10562">
        <f>IFERROR(__xludf.DUMMYFUNCTION("""COMPUTED_VALUE"""),"Ottawa-Halifax")</f>
        <v/>
      </c>
      <c r="K10562">
        <f>IFERROR(__xludf.DUMMYFUNCTION("""COMPUTED_VALUE"""),3345.73)</f>
        <v/>
      </c>
    </row>
    <row r="10563">
      <c r="J10563">
        <f>IFERROR(__xludf.DUMMYFUNCTION("""COMPUTED_VALUE"""),"Aguascalientes, Mexico")</f>
        <v/>
      </c>
      <c r="K10563">
        <f>IFERROR(__xludf.DUMMYFUNCTION("""COMPUTED_VALUE"""),3344.61)</f>
        <v/>
      </c>
    </row>
    <row r="10564">
      <c r="J10564">
        <f>IFERROR(__xludf.DUMMYFUNCTION("""COMPUTED_VALUE"""),"Charlottetown, PE - Toronto, ON - Washington, DC")</f>
        <v/>
      </c>
      <c r="K10564">
        <f>IFERROR(__xludf.DUMMYFUNCTION("""COMPUTED_VALUE"""),3344.36)</f>
        <v/>
      </c>
    </row>
    <row r="10565">
      <c r="J10565">
        <f>IFERROR(__xludf.DUMMYFUNCTION("""COMPUTED_VALUE"""),"Nanaimo, British Columbia, Canada; Montreal, Quebec, Canada")</f>
        <v/>
      </c>
      <c r="K10565">
        <f>IFERROR(__xludf.DUMMYFUNCTION("""COMPUTED_VALUE"""),3344.31)</f>
        <v/>
      </c>
    </row>
    <row r="10566">
      <c r="J10566">
        <f>IFERROR(__xludf.DUMMYFUNCTION("""COMPUTED_VALUE"""),"Barcelona, Spain; Zaragoza, Spain")</f>
        <v/>
      </c>
      <c r="K10566">
        <f>IFERROR(__xludf.DUMMYFUNCTION("""COMPUTED_VALUE"""),3343.72)</f>
        <v/>
      </c>
    </row>
    <row r="10567">
      <c r="J10567">
        <f>IFERROR(__xludf.DUMMYFUNCTION("""COMPUTED_VALUE"""),"Charlottetown, Prince Edward Island and Moncton, New Brunswick")</f>
        <v/>
      </c>
      <c r="K10567">
        <f>IFERROR(__xludf.DUMMYFUNCTION("""COMPUTED_VALUE"""),3343.38)</f>
        <v/>
      </c>
    </row>
    <row r="10568">
      <c r="J10568">
        <f>IFERROR(__xludf.DUMMYFUNCTION("""COMPUTED_VALUE"""),"Toronto, Ontario Calgary, Alberta")</f>
        <v/>
      </c>
      <c r="K10568">
        <f>IFERROR(__xludf.DUMMYFUNCTION("""COMPUTED_VALUE"""),3342.56)</f>
        <v/>
      </c>
    </row>
    <row r="10569">
      <c r="J10569">
        <f>IFERROR(__xludf.DUMMYFUNCTION("""COMPUTED_VALUE"""),"Dawson Creek, Alberta, Canada")</f>
        <v/>
      </c>
      <c r="K10569">
        <f>IFERROR(__xludf.DUMMYFUNCTION("""COMPUTED_VALUE"""),3342.11)</f>
        <v/>
      </c>
    </row>
    <row r="10570">
      <c r="J10570">
        <f>IFERROR(__xludf.DUMMYFUNCTION("""COMPUTED_VALUE"""),"St. John's, Newfoundland and Labrador, Canada; St. Anthony, Newfoundland and Labrador, Canada; Deer Lake, Newfoundland and Labrador, Canada; Corner Brook, Newfoundland and Labrador, Canada")</f>
        <v/>
      </c>
      <c r="K10570">
        <f>IFERROR(__xludf.DUMMYFUNCTION("""COMPUTED_VALUE"""),3341.57)</f>
        <v/>
      </c>
    </row>
    <row r="10571">
      <c r="J10571">
        <f>IFERROR(__xludf.DUMMYFUNCTION("""COMPUTED_VALUE"""),"Fredericton (New Brunswick) Canada
Charlottetown (Prince Edward Island) Canada")</f>
        <v/>
      </c>
      <c r="K10571">
        <f>IFERROR(__xludf.DUMMYFUNCTION("""COMPUTED_VALUE"""),3341.56)</f>
        <v/>
      </c>
    </row>
    <row r="10572">
      <c r="J10572">
        <f>IFERROR(__xludf.DUMMYFUNCTION("""COMPUTED_VALUE"""),"Springfield, VA")</f>
        <v/>
      </c>
      <c r="K10572">
        <f>IFERROR(__xludf.DUMMYFUNCTION("""COMPUTED_VALUE"""),3341.33)</f>
        <v/>
      </c>
    </row>
    <row r="10573">
      <c r="J10573">
        <f>IFERROR(__xludf.DUMMYFUNCTION("""COMPUTED_VALUE"""),"Winnipeg, Manitoba, Canada; Ottawa, Ontario, Canada; Iqaluit, Nunavut, Canada")</f>
        <v/>
      </c>
      <c r="K10573">
        <f>IFERROR(__xludf.DUMMYFUNCTION("""COMPUTED_VALUE"""),3341.31)</f>
        <v/>
      </c>
    </row>
    <row r="10574">
      <c r="J10574">
        <f>IFERROR(__xludf.DUMMYFUNCTION("""COMPUTED_VALUE"""),"Rimouski, Quebec, Canada; Esprit-Saint, Quebec, Canada; La Pocatière, Quebec, Canada; Montmagny, Quebec, Canada; Berthier-sur-Mer, Quebec, Canada; Lotbinière, Quebec, Canada; Thetford Mines, Quebec, Canada; Saint-Hyacinthe, Quebec, Canada; Québec, Quebec,"&amp;" Canada")</f>
        <v/>
      </c>
      <c r="K10574">
        <f>IFERROR(__xludf.DUMMYFUNCTION("""COMPUTED_VALUE"""),3340.39)</f>
        <v/>
      </c>
    </row>
    <row r="10575">
      <c r="J10575">
        <f>IFERROR(__xludf.DUMMYFUNCTION("""COMPUTED_VALUE"""),"Vancouver/Kelowna BC")</f>
        <v/>
      </c>
      <c r="K10575">
        <f>IFERROR(__xludf.DUMMYFUNCTION("""COMPUTED_VALUE"""),3340.23)</f>
        <v/>
      </c>
    </row>
    <row r="10576">
      <c r="J10576">
        <f>IFERROR(__xludf.DUMMYFUNCTION("""COMPUTED_VALUE"""),"Moncton, New-Brunswick (Canada)")</f>
        <v/>
      </c>
      <c r="K10576">
        <f>IFERROR(__xludf.DUMMYFUNCTION("""COMPUTED_VALUE"""),3339.19)</f>
        <v/>
      </c>
    </row>
    <row r="10577">
      <c r="J10577">
        <f>IFERROR(__xludf.DUMMYFUNCTION("""COMPUTED_VALUE"""),"Edmonton, Alberta;
Winnipeg, Manitoba")</f>
        <v/>
      </c>
      <c r="K10577">
        <f>IFERROR(__xludf.DUMMYFUNCTION("""COMPUTED_VALUE"""),3337.98)</f>
        <v/>
      </c>
    </row>
    <row r="10578">
      <c r="J10578">
        <f>IFERROR(__xludf.DUMMYFUNCTION("""COMPUTED_VALUE"""),"Vancouver, British Columbia, Canada / Tofino, British Columbia, Canada / Campbell River, British Columbia, Canada")</f>
        <v/>
      </c>
      <c r="K10578">
        <f>IFERROR(__xludf.DUMMYFUNCTION("""COMPUTED_VALUE"""),3337.86)</f>
        <v/>
      </c>
    </row>
    <row r="10579">
      <c r="J10579">
        <f>IFERROR(__xludf.DUMMYFUNCTION("""COMPUTED_VALUE"""),"Comox//Campbell River/Vancouver BC")</f>
        <v/>
      </c>
      <c r="K10579">
        <f>IFERROR(__xludf.DUMMYFUNCTION("""COMPUTED_VALUE"""),3337.72)</f>
        <v/>
      </c>
    </row>
    <row r="10580">
      <c r="J10580">
        <f>IFERROR(__xludf.DUMMYFUNCTION("""COMPUTED_VALUE"""),"Regan, Washington")</f>
        <v/>
      </c>
      <c r="K10580">
        <f>IFERROR(__xludf.DUMMYFUNCTION("""COMPUTED_VALUE"""),3337.5)</f>
        <v/>
      </c>
    </row>
    <row r="10581">
      <c r="J10581">
        <f>IFERROR(__xludf.DUMMYFUNCTION("""COMPUTED_VALUE"""),"Edmonton, Alberta; Saskatoon, Saskatchewan; Winnipeg, Manitoba - Canada")</f>
        <v/>
      </c>
      <c r="K10581">
        <f>IFERROR(__xludf.DUMMYFUNCTION("""COMPUTED_VALUE"""),3336.34)</f>
        <v/>
      </c>
    </row>
    <row r="10582">
      <c r="J10582">
        <f>IFERROR(__xludf.DUMMYFUNCTION("""COMPUTED_VALUE"""),"Vancouver,Victoria,canada")</f>
        <v/>
      </c>
      <c r="K10582">
        <f>IFERROR(__xludf.DUMMYFUNCTION("""COMPUTED_VALUE"""),3336.32)</f>
        <v/>
      </c>
    </row>
    <row r="10583">
      <c r="J10583">
        <f>IFERROR(__xludf.DUMMYFUNCTION("""COMPUTED_VALUE"""),"Windsor, Ontario, Canada; Montreal, Quebec, Canada")</f>
        <v/>
      </c>
      <c r="K10583">
        <f>IFERROR(__xludf.DUMMYFUNCTION("""COMPUTED_VALUE"""),3336.2)</f>
        <v/>
      </c>
    </row>
    <row r="10584">
      <c r="J10584">
        <f>IFERROR(__xludf.DUMMYFUNCTION("""COMPUTED_VALUE"""),"Sault Ste. Marie, ON -
Sudbury, ON")</f>
        <v/>
      </c>
      <c r="K10584">
        <f>IFERROR(__xludf.DUMMYFUNCTION("""COMPUTED_VALUE"""),3335.86)</f>
        <v/>
      </c>
    </row>
    <row r="10585">
      <c r="J10585">
        <f>IFERROR(__xludf.DUMMYFUNCTION("""COMPUTED_VALUE"""),"St.John's Newfoundland")</f>
        <v/>
      </c>
      <c r="K10585">
        <f>IFERROR(__xludf.DUMMYFUNCTION("""COMPUTED_VALUE"""),3335.34)</f>
        <v/>
      </c>
    </row>
    <row r="10586">
      <c r="J10586">
        <f>IFERROR(__xludf.DUMMYFUNCTION("""COMPUTED_VALUE"""),"Washngton, DC")</f>
        <v/>
      </c>
      <c r="K10586">
        <f>IFERROR(__xludf.DUMMYFUNCTION("""COMPUTED_VALUE"""),3335.33)</f>
        <v/>
      </c>
    </row>
    <row r="10587">
      <c r="J10587">
        <f>IFERROR(__xludf.DUMMYFUNCTION("""COMPUTED_VALUE"""),"Calgary, alberta, canada")</f>
        <v/>
      </c>
      <c r="K10587">
        <f>IFERROR(__xludf.DUMMYFUNCTION("""COMPUTED_VALUE"""),3335.08)</f>
        <v/>
      </c>
    </row>
    <row r="10588">
      <c r="J10588">
        <f>IFERROR(__xludf.DUMMYFUNCTION("""COMPUTED_VALUE"""),"St. John's and Rocky Harbour, Newfoundland and Labrador, Canada and Halifax, Nova Scotia, Canada")</f>
        <v/>
      </c>
      <c r="K10588">
        <f>IFERROR(__xludf.DUMMYFUNCTION("""COMPUTED_VALUE"""),3334.35)</f>
        <v/>
      </c>
    </row>
    <row r="10589">
      <c r="J10589">
        <f>IFERROR(__xludf.DUMMYFUNCTION("""COMPUTED_VALUE"""),"Toronto, Ontario, Canada; St. John's, Newfoundland and Labrador, Canada; Montreal, Quebec, Canada")</f>
        <v/>
      </c>
      <c r="K10589">
        <f>IFERROR(__xludf.DUMMYFUNCTION("""COMPUTED_VALUE"""),3334.3)</f>
        <v/>
      </c>
    </row>
    <row r="10590">
      <c r="J10590">
        <f>IFERROR(__xludf.DUMMYFUNCTION("""COMPUTED_VALUE"""),"Fox Harb'r, Nova Scotia")</f>
        <v/>
      </c>
      <c r="K10590">
        <f>IFERROR(__xludf.DUMMYFUNCTION("""COMPUTED_VALUE"""),3334.27)</f>
        <v/>
      </c>
    </row>
    <row r="10591">
      <c r="J10591">
        <f>IFERROR(__xludf.DUMMYFUNCTION("""COMPUTED_VALUE"""),"Berlin and Brussels, Germany and Belgium")</f>
        <v/>
      </c>
      <c r="K10591">
        <f>IFERROR(__xludf.DUMMYFUNCTION("""COMPUTED_VALUE"""),3334.08)</f>
        <v/>
      </c>
    </row>
    <row r="10592">
      <c r="J10592">
        <f>IFERROR(__xludf.DUMMYFUNCTION("""COMPUTED_VALUE"""),"Yellowknife, NWT - Edmonton, AB - Vancouver, BC")</f>
        <v/>
      </c>
      <c r="K10592">
        <f>IFERROR(__xludf.DUMMYFUNCTION("""COMPUTED_VALUE"""),3333.93)</f>
        <v/>
      </c>
    </row>
    <row r="10593">
      <c r="J10593">
        <f>IFERROR(__xludf.DUMMYFUNCTION("""COMPUTED_VALUE"""),"Toronto/Ottawa, Ontario, Canada")</f>
        <v/>
      </c>
      <c r="K10593">
        <f>IFERROR(__xludf.DUMMYFUNCTION("""COMPUTED_VALUE"""),3332.55)</f>
        <v/>
      </c>
    </row>
    <row r="10594">
      <c r="J10594">
        <f>IFERROR(__xludf.DUMMYFUNCTION("""COMPUTED_VALUE"""),"Miramichi NB")</f>
        <v/>
      </c>
      <c r="K10594">
        <f>IFERROR(__xludf.DUMMYFUNCTION("""COMPUTED_VALUE"""),3332.39999999999)</f>
        <v/>
      </c>
    </row>
    <row r="10595">
      <c r="J10595">
        <f>IFERROR(__xludf.DUMMYFUNCTION("""COMPUTED_VALUE"""),"St. Catharines, ON")</f>
        <v/>
      </c>
      <c r="K10595">
        <f>IFERROR(__xludf.DUMMYFUNCTION("""COMPUTED_VALUE"""),3331.18)</f>
        <v/>
      </c>
    </row>
    <row r="10596">
      <c r="J10596">
        <f>IFERROR(__xludf.DUMMYFUNCTION("""COMPUTED_VALUE"""),"Montreal QC /Halifax NS")</f>
        <v/>
      </c>
      <c r="K10596">
        <f>IFERROR(__xludf.DUMMYFUNCTION("""COMPUTED_VALUE"""),3330.84)</f>
        <v/>
      </c>
    </row>
    <row r="10597">
      <c r="J10597">
        <f>IFERROR(__xludf.DUMMYFUNCTION("""COMPUTED_VALUE"""),"St. John's, Newfoundland and Labrador, Canada; Fredericton, New Brunswick, Canada")</f>
        <v/>
      </c>
      <c r="K10597">
        <f>IFERROR(__xludf.DUMMYFUNCTION("""COMPUTED_VALUE"""),3330.62)</f>
        <v/>
      </c>
    </row>
    <row r="10598">
      <c r="J10598">
        <f>IFERROR(__xludf.DUMMYFUNCTION("""COMPUTED_VALUE"""),"Winnipeg, Manitoba, Canada
Saskatoon, Saskatchewan, Canada
Calgary, Alberta, Canada")</f>
        <v/>
      </c>
      <c r="K10598">
        <f>IFERROR(__xludf.DUMMYFUNCTION("""COMPUTED_VALUE"""),3330.19)</f>
        <v/>
      </c>
    </row>
    <row r="10599">
      <c r="J10599">
        <f>IFERROR(__xludf.DUMMYFUNCTION("""COMPUTED_VALUE"""),"Bahamas")</f>
        <v/>
      </c>
      <c r="K10599">
        <f>IFERROR(__xludf.DUMMYFUNCTION("""COMPUTED_VALUE"""),3329.99)</f>
        <v/>
      </c>
    </row>
    <row r="10600">
      <c r="J10600">
        <f>IFERROR(__xludf.DUMMYFUNCTION("""COMPUTED_VALUE"""),"Gatineau, Hull")</f>
        <v/>
      </c>
      <c r="K10600">
        <f>IFERROR(__xludf.DUMMYFUNCTION("""COMPUTED_VALUE"""),3329.86)</f>
        <v/>
      </c>
    </row>
    <row r="10601">
      <c r="J10601">
        <f>IFERROR(__xludf.DUMMYFUNCTION("""COMPUTED_VALUE"""),"Vaughan and Markham, Ontario, Canada")</f>
        <v/>
      </c>
      <c r="K10601">
        <f>IFERROR(__xludf.DUMMYFUNCTION("""COMPUTED_VALUE"""),3329.56)</f>
        <v/>
      </c>
    </row>
    <row r="10602">
      <c r="J10602">
        <f>IFERROR(__xludf.DUMMYFUNCTION("""COMPUTED_VALUE"""),"Toronto, ON Ottawa, ON Winnipeg, MB")</f>
        <v/>
      </c>
      <c r="K10602">
        <f>IFERROR(__xludf.DUMMYFUNCTION("""COMPUTED_VALUE"""),3329.39)</f>
        <v/>
      </c>
    </row>
    <row r="10603">
      <c r="J10603">
        <f>IFERROR(__xludf.DUMMYFUNCTION("""COMPUTED_VALUE"""),"Edmonton, Alberta Saskatchewan (Canada)")</f>
        <v/>
      </c>
      <c r="K10603">
        <f>IFERROR(__xludf.DUMMYFUNCTION("""COMPUTED_VALUE"""),3329)</f>
        <v/>
      </c>
    </row>
    <row r="10604">
      <c r="J10604">
        <f>IFERROR(__xludf.DUMMYFUNCTION("""COMPUTED_VALUE"""),"Saskatoon, SK and St-John's NFDL")</f>
        <v/>
      </c>
      <c r="K10604">
        <f>IFERROR(__xludf.DUMMYFUNCTION("""COMPUTED_VALUE"""),3328.37)</f>
        <v/>
      </c>
    </row>
    <row r="10605">
      <c r="J10605">
        <f>IFERROR(__xludf.DUMMYFUNCTION("""COMPUTED_VALUE"""),"London On")</f>
        <v/>
      </c>
      <c r="K10605">
        <f>IFERROR(__xludf.DUMMYFUNCTION("""COMPUTED_VALUE"""),3328)</f>
        <v/>
      </c>
    </row>
    <row r="10606">
      <c r="J10606">
        <f>IFERROR(__xludf.DUMMYFUNCTION("""COMPUTED_VALUE"""),"Boston, United States of America")</f>
        <v/>
      </c>
      <c r="K10606">
        <f>IFERROR(__xludf.DUMMYFUNCTION("""COMPUTED_VALUE"""),3327.79)</f>
        <v/>
      </c>
    </row>
    <row r="10607">
      <c r="J10607">
        <f>IFERROR(__xludf.DUMMYFUNCTION("""COMPUTED_VALUE"""),"Charlottetown, Prince Edward Island, Canada and St. John's, Newfoundland and Labrador, Canada")</f>
        <v/>
      </c>
      <c r="K10607">
        <f>IFERROR(__xludf.DUMMYFUNCTION("""COMPUTED_VALUE"""),3327.75)</f>
        <v/>
      </c>
    </row>
    <row r="10608">
      <c r="J10608">
        <f>IFERROR(__xludf.DUMMYFUNCTION("""COMPUTED_VALUE"""),"Charlottetown, PE
St. John's, NFLD")</f>
        <v/>
      </c>
      <c r="K10608">
        <f>IFERROR(__xludf.DUMMYFUNCTION("""COMPUTED_VALUE"""),3327)</f>
        <v/>
      </c>
    </row>
    <row r="10609">
      <c r="J10609">
        <f>IFERROR(__xludf.DUMMYFUNCTION("""COMPUTED_VALUE"""),"Ottawa, Ontario and Montreal, Québec")</f>
        <v/>
      </c>
      <c r="K10609">
        <f>IFERROR(__xludf.DUMMYFUNCTION("""COMPUTED_VALUE"""),3326.77)</f>
        <v/>
      </c>
    </row>
    <row r="10610">
      <c r="J10610">
        <f>IFERROR(__xludf.DUMMYFUNCTION("""COMPUTED_VALUE"""),"Nashville, Tennessee, USA")</f>
        <v/>
      </c>
      <c r="K10610">
        <f>IFERROR(__xludf.DUMMYFUNCTION("""COMPUTED_VALUE"""),3326.76)</f>
        <v/>
      </c>
    </row>
    <row r="10611">
      <c r="J10611">
        <f>IFERROR(__xludf.DUMMYFUNCTION("""COMPUTED_VALUE"""),"Halifax, Nova Scotia, Canada - Edmonton, Alberta, Canada")</f>
        <v/>
      </c>
      <c r="K10611">
        <f>IFERROR(__xludf.DUMMYFUNCTION("""COMPUTED_VALUE"""),3326.31)</f>
        <v/>
      </c>
    </row>
    <row r="10612">
      <c r="J10612">
        <f>IFERROR(__xludf.DUMMYFUNCTION("""COMPUTED_VALUE"""),"Windsor, Ontario and Detroit, Michigan, United States")</f>
        <v/>
      </c>
      <c r="K10612">
        <f>IFERROR(__xludf.DUMMYFUNCTION("""COMPUTED_VALUE"""),3326.21)</f>
        <v/>
      </c>
    </row>
    <row r="10613">
      <c r="J10613">
        <f>IFERROR(__xludf.DUMMYFUNCTION("""COMPUTED_VALUE"""),"Halifax (NS)")</f>
        <v/>
      </c>
      <c r="K10613">
        <f>IFERROR(__xludf.DUMMYFUNCTION("""COMPUTED_VALUE"""),3325.52)</f>
        <v/>
      </c>
    </row>
    <row r="10614">
      <c r="J10614">
        <f>IFERROR(__xludf.DUMMYFUNCTION("""COMPUTED_VALUE"""),"Ottawa, Ontario CANADA")</f>
        <v/>
      </c>
      <c r="K10614">
        <f>IFERROR(__xludf.DUMMYFUNCTION("""COMPUTED_VALUE"""),3324.9)</f>
        <v/>
      </c>
    </row>
    <row r="10615">
      <c r="J10615">
        <f>IFERROR(__xludf.DUMMYFUNCTION("""COMPUTED_VALUE"""),"New York, New York; Washington, DC")</f>
        <v/>
      </c>
      <c r="K10615">
        <f>IFERROR(__xludf.DUMMYFUNCTION("""COMPUTED_VALUE"""),3324.6)</f>
        <v/>
      </c>
    </row>
    <row r="10616">
      <c r="J10616">
        <f>IFERROR(__xludf.DUMMYFUNCTION("""COMPUTED_VALUE"""),"Halifax/ Toronto/ Edmonton")</f>
        <v/>
      </c>
      <c r="K10616">
        <f>IFERROR(__xludf.DUMMYFUNCTION("""COMPUTED_VALUE"""),3323.49)</f>
        <v/>
      </c>
    </row>
    <row r="10617">
      <c r="J10617">
        <f>IFERROR(__xludf.DUMMYFUNCTION("""COMPUTED_VALUE"""),"Akureyri, Iceland")</f>
        <v/>
      </c>
      <c r="K10617">
        <f>IFERROR(__xludf.DUMMYFUNCTION("""COMPUTED_VALUE"""),3322.8)</f>
        <v/>
      </c>
    </row>
    <row r="10618">
      <c r="J10618">
        <f>IFERROR(__xludf.DUMMYFUNCTION("""COMPUTED_VALUE"""),"Deerlake")</f>
        <v/>
      </c>
      <c r="K10618">
        <f>IFERROR(__xludf.DUMMYFUNCTION("""COMPUTED_VALUE"""),3322.46)</f>
        <v/>
      </c>
    </row>
    <row r="10619">
      <c r="J10619">
        <f>IFERROR(__xludf.DUMMYFUNCTION("""COMPUTED_VALUE"""),"West River, Nova Scotia, Canada; Charlottetown, Prince Edward Island, Canada; Moncton, New Brunswick, Canada")</f>
        <v/>
      </c>
      <c r="K10619">
        <f>IFERROR(__xludf.DUMMYFUNCTION("""COMPUTED_VALUE"""),3321.63)</f>
        <v/>
      </c>
    </row>
    <row r="10620">
      <c r="J10620">
        <f>IFERROR(__xludf.DUMMYFUNCTION("""COMPUTED_VALUE"""),"Ucluelet, British Columbia, Canada")</f>
        <v/>
      </c>
      <c r="K10620">
        <f>IFERROR(__xludf.DUMMYFUNCTION("""COMPUTED_VALUE"""),3321.37)</f>
        <v/>
      </c>
    </row>
    <row r="10621">
      <c r="J10621">
        <f>IFERROR(__xludf.DUMMYFUNCTION("""COMPUTED_VALUE"""),"Guyana (Georgetown)")</f>
        <v/>
      </c>
      <c r="K10621">
        <f>IFERROR(__xludf.DUMMYFUNCTION("""COMPUTED_VALUE"""),3320.8)</f>
        <v/>
      </c>
    </row>
    <row r="10622">
      <c r="J10622">
        <f>IFERROR(__xludf.DUMMYFUNCTION("""COMPUTED_VALUE"""),"Montreal, Quebec Toronto, Ontario")</f>
        <v/>
      </c>
      <c r="K10622">
        <f>IFERROR(__xludf.DUMMYFUNCTION("""COMPUTED_VALUE"""),3320.7)</f>
        <v/>
      </c>
    </row>
    <row r="10623">
      <c r="J10623">
        <f>IFERROR(__xludf.DUMMYFUNCTION("""COMPUTED_VALUE"""),"Washington, Washington, USA")</f>
        <v/>
      </c>
      <c r="K10623">
        <f>IFERROR(__xludf.DUMMYFUNCTION("""COMPUTED_VALUE"""),3320.36)</f>
        <v/>
      </c>
    </row>
    <row r="10624">
      <c r="J10624">
        <f>IFERROR(__xludf.DUMMYFUNCTION("""COMPUTED_VALUE"""),"Westlake, CA and Colorado Springs, CO")</f>
        <v/>
      </c>
      <c r="K10624">
        <f>IFERROR(__xludf.DUMMYFUNCTION("""COMPUTED_VALUE"""),3318.73)</f>
        <v/>
      </c>
    </row>
    <row r="10625">
      <c r="J10625">
        <f>IFERROR(__xludf.DUMMYFUNCTION("""COMPUTED_VALUE"""),"Hamilton, Ontario, Canada; Vancouver, British Columbia, Canada; Nanaimo, British Columbia, Canada")</f>
        <v/>
      </c>
      <c r="K10625">
        <f>IFERROR(__xludf.DUMMYFUNCTION("""COMPUTED_VALUE"""),3318.68)</f>
        <v/>
      </c>
    </row>
    <row r="10626">
      <c r="J10626">
        <f>IFERROR(__xludf.DUMMYFUNCTION("""COMPUTED_VALUE"""),"Toronto, ON - St. Andrews, NB - Shediac, NB")</f>
        <v/>
      </c>
      <c r="K10626">
        <f>IFERROR(__xludf.DUMMYFUNCTION("""COMPUTED_VALUE"""),3318.28)</f>
        <v/>
      </c>
    </row>
    <row r="10627">
      <c r="J10627">
        <f>IFERROR(__xludf.DUMMYFUNCTION("""COMPUTED_VALUE"""),"Whitecap, Saskatchewan, Canada; Vancouver, British Columbia, Canada")</f>
        <v/>
      </c>
      <c r="K10627">
        <f>IFERROR(__xludf.DUMMYFUNCTION("""COMPUTED_VALUE"""),3317.88)</f>
        <v/>
      </c>
    </row>
    <row r="10628">
      <c r="J10628">
        <f>IFERROR(__xludf.DUMMYFUNCTION("""COMPUTED_VALUE"""),"Peruga; Italy")</f>
        <v/>
      </c>
      <c r="K10628">
        <f>IFERROR(__xludf.DUMMYFUNCTION("""COMPUTED_VALUE"""),3317.53)</f>
        <v/>
      </c>
    </row>
    <row r="10629">
      <c r="J10629">
        <f>IFERROR(__xludf.DUMMYFUNCTION("""COMPUTED_VALUE"""),"Banff, Alberta and Toronto, Ontario")</f>
        <v/>
      </c>
      <c r="K10629">
        <f>IFERROR(__xludf.DUMMYFUNCTION("""COMPUTED_VALUE"""),3317.21)</f>
        <v/>
      </c>
    </row>
    <row r="10630">
      <c r="J10630">
        <f>IFERROR(__xludf.DUMMYFUNCTION("""COMPUTED_VALUE"""),"Tiverton, Ontario, Canada")</f>
        <v/>
      </c>
      <c r="K10630">
        <f>IFERROR(__xludf.DUMMYFUNCTION("""COMPUTED_VALUE"""),3316.41)</f>
        <v/>
      </c>
    </row>
    <row r="10631">
      <c r="J10631">
        <f>IFERROR(__xludf.DUMMYFUNCTION("""COMPUTED_VALUE"""),"Sudbury, ON - Winnipeg, MB")</f>
        <v/>
      </c>
      <c r="K10631">
        <f>IFERROR(__xludf.DUMMYFUNCTION("""COMPUTED_VALUE"""),3315.98)</f>
        <v/>
      </c>
    </row>
    <row r="10632">
      <c r="J10632">
        <f>IFERROR(__xludf.DUMMYFUNCTION("""COMPUTED_VALUE"""),"St-John's (Newfoundland and Labrador) Canada")</f>
        <v/>
      </c>
      <c r="K10632">
        <f>IFERROR(__xludf.DUMMYFUNCTION("""COMPUTED_VALUE"""),3315.75)</f>
        <v/>
      </c>
    </row>
    <row r="10633">
      <c r="J10633">
        <f>IFERROR(__xludf.DUMMYFUNCTION("""COMPUTED_VALUE"""),"Whitehorse, YK, Canada")</f>
        <v/>
      </c>
      <c r="K10633">
        <f>IFERROR(__xludf.DUMMYFUNCTION("""COMPUTED_VALUE"""),3315.11)</f>
        <v/>
      </c>
    </row>
    <row r="10634">
      <c r="J10634">
        <f>IFERROR(__xludf.DUMMYFUNCTION("""COMPUTED_VALUE"""),"Montréal - Shawinigan - Trois Rivière - Québec City - Sept-Îles, QC")</f>
        <v/>
      </c>
      <c r="K10634">
        <f>IFERROR(__xludf.DUMMYFUNCTION("""COMPUTED_VALUE"""),3314.73)</f>
        <v/>
      </c>
    </row>
    <row r="10635">
      <c r="J10635">
        <f>IFERROR(__xludf.DUMMYFUNCTION("""COMPUTED_VALUE"""),"Port-Au-Prince, Haiti; Toronto, Ontario")</f>
        <v/>
      </c>
      <c r="K10635">
        <f>IFERROR(__xludf.DUMMYFUNCTION("""COMPUTED_VALUE"""),3313.53)</f>
        <v/>
      </c>
    </row>
    <row r="10636">
      <c r="J10636">
        <f>IFERROR(__xludf.DUMMYFUNCTION("""COMPUTED_VALUE"""),"Toronto, Ontario, Canada / Paris, France / Londres, Royaume-Uni")</f>
        <v/>
      </c>
      <c r="K10636">
        <f>IFERROR(__xludf.DUMMYFUNCTION("""COMPUTED_VALUE"""),3313.41)</f>
        <v/>
      </c>
    </row>
    <row r="10637">
      <c r="J10637">
        <f>IFERROR(__xludf.DUMMYFUNCTION("""COMPUTED_VALUE"""),"Deline - NWT")</f>
        <v/>
      </c>
      <c r="K10637">
        <f>IFERROR(__xludf.DUMMYFUNCTION("""COMPUTED_VALUE"""),3312.96)</f>
        <v/>
      </c>
    </row>
    <row r="10638">
      <c r="J10638">
        <f>IFERROR(__xludf.DUMMYFUNCTION("""COMPUTED_VALUE"""),"FARGO, NORTH DAKOTA")</f>
        <v/>
      </c>
      <c r="K10638">
        <f>IFERROR(__xludf.DUMMYFUNCTION("""COMPUTED_VALUE"""),3312.76)</f>
        <v/>
      </c>
    </row>
    <row r="10639">
      <c r="J10639">
        <f>IFERROR(__xludf.DUMMYFUNCTION("""COMPUTED_VALUE"""),"Cuernavaca, Morelos, Mexico")</f>
        <v/>
      </c>
      <c r="K10639">
        <f>IFERROR(__xludf.DUMMYFUNCTION("""COMPUTED_VALUE"""),3312.57)</f>
        <v/>
      </c>
    </row>
    <row r="10640">
      <c r="J10640">
        <f>IFERROR(__xludf.DUMMYFUNCTION("""COMPUTED_VALUE"""),"Washington, DC &amp; Quantico")</f>
        <v/>
      </c>
      <c r="K10640">
        <f>IFERROR(__xludf.DUMMYFUNCTION("""COMPUTED_VALUE"""),3308.99)</f>
        <v/>
      </c>
    </row>
    <row r="10641">
      <c r="J10641">
        <f>IFERROR(__xludf.DUMMYFUNCTION("""COMPUTED_VALUE"""),"Halifax, Nova Scotia, Canada and Moncton, New Brunswick, Canada")</f>
        <v/>
      </c>
      <c r="K10641">
        <f>IFERROR(__xludf.DUMMYFUNCTION("""COMPUTED_VALUE"""),3308.17)</f>
        <v/>
      </c>
    </row>
    <row r="10642">
      <c r="J10642">
        <f>IFERROR(__xludf.DUMMYFUNCTION("""COMPUTED_VALUE"""),"Vancouver, British Columbia, Ottawa, Ontario and Calgary, Alberta")</f>
        <v/>
      </c>
      <c r="K10642">
        <f>IFERROR(__xludf.DUMMYFUNCTION("""COMPUTED_VALUE"""),3308.13)</f>
        <v/>
      </c>
    </row>
    <row r="10643">
      <c r="J10643">
        <f>IFERROR(__xludf.DUMMYFUNCTION("""COMPUTED_VALUE"""),"Saint John, New Brunswick, Canada; Fredericton, New Brunswick, Canada")</f>
        <v/>
      </c>
      <c r="K10643">
        <f>IFERROR(__xludf.DUMMYFUNCTION("""COMPUTED_VALUE"""),3307.7)</f>
        <v/>
      </c>
    </row>
    <row r="10644">
      <c r="J10644">
        <f>IFERROR(__xludf.DUMMYFUNCTION("""COMPUTED_VALUE"""),"Pensacola, FL")</f>
        <v/>
      </c>
      <c r="K10644">
        <f>IFERROR(__xludf.DUMMYFUNCTION("""COMPUTED_VALUE"""),3306.58)</f>
        <v/>
      </c>
    </row>
    <row r="10645">
      <c r="J10645">
        <f>IFERROR(__xludf.DUMMYFUNCTION("""COMPUTED_VALUE"""),"Ottawa, ON;
Edmonton, AB")</f>
        <v/>
      </c>
      <c r="K10645">
        <f>IFERROR(__xludf.DUMMYFUNCTION("""COMPUTED_VALUE"""),3306.27)</f>
        <v/>
      </c>
    </row>
    <row r="10646">
      <c r="J10646">
        <f>IFERROR(__xludf.DUMMYFUNCTION("""COMPUTED_VALUE"""),"Nashville - Raleigh-Durham")</f>
        <v/>
      </c>
      <c r="K10646">
        <f>IFERROR(__xludf.DUMMYFUNCTION("""COMPUTED_VALUE"""),3305.61)</f>
        <v/>
      </c>
    </row>
    <row r="10647">
      <c r="J10647">
        <f>IFERROR(__xludf.DUMMYFUNCTION("""COMPUTED_VALUE"""),"Washington, D.C., United States
of America")</f>
        <v/>
      </c>
      <c r="K10647">
        <f>IFERROR(__xludf.DUMMYFUNCTION("""COMPUTED_VALUE"""),3305.57)</f>
        <v/>
      </c>
    </row>
    <row r="10648">
      <c r="J10648">
        <f>IFERROR(__xludf.DUMMYFUNCTION("""COMPUTED_VALUE"""),"Montreal, Quebec and Vancouver, British Columbia")</f>
        <v/>
      </c>
      <c r="K10648">
        <f>IFERROR(__xludf.DUMMYFUNCTION("""COMPUTED_VALUE"""),3305.44)</f>
        <v/>
      </c>
    </row>
    <row r="10649">
      <c r="J10649">
        <f>IFERROR(__xludf.DUMMYFUNCTION("""COMPUTED_VALUE"""),"Melbourne, Vic, Australia")</f>
        <v/>
      </c>
      <c r="K10649">
        <f>IFERROR(__xludf.DUMMYFUNCTION("""COMPUTED_VALUE"""),3304.98)</f>
        <v/>
      </c>
    </row>
    <row r="10650">
      <c r="J10650">
        <f>IFERROR(__xludf.DUMMYFUNCTION("""COMPUTED_VALUE"""),"Calgary, AB / Vancouver, BC")</f>
        <v/>
      </c>
      <c r="K10650">
        <f>IFERROR(__xludf.DUMMYFUNCTION("""COMPUTED_VALUE"""),3303.92)</f>
        <v/>
      </c>
    </row>
    <row r="10651">
      <c r="J10651">
        <f>IFERROR(__xludf.DUMMYFUNCTION("""COMPUTED_VALUE"""),"Prairies")</f>
        <v/>
      </c>
      <c r="K10651">
        <f>IFERROR(__xludf.DUMMYFUNCTION("""COMPUTED_VALUE"""),3303.38)</f>
        <v/>
      </c>
    </row>
    <row r="10652">
      <c r="J10652">
        <f>IFERROR(__xludf.DUMMYFUNCTION("""COMPUTED_VALUE"""),"Gander, Newfoundland")</f>
        <v/>
      </c>
      <c r="K10652">
        <f>IFERROR(__xludf.DUMMYFUNCTION("""COMPUTED_VALUE"""),3302.33)</f>
        <v/>
      </c>
    </row>
    <row r="10653">
      <c r="J10653">
        <f>IFERROR(__xludf.DUMMYFUNCTION("""COMPUTED_VALUE"""),"Guelph / London /  Windsor, Ontario, Canada")</f>
        <v/>
      </c>
      <c r="K10653">
        <f>IFERROR(__xludf.DUMMYFUNCTION("""COMPUTED_VALUE"""),3302.27999999999)</f>
        <v/>
      </c>
    </row>
    <row r="10654">
      <c r="J10654">
        <f>IFERROR(__xludf.DUMMYFUNCTION("""COMPUTED_VALUE"""),"Hamilton, BM")</f>
        <v/>
      </c>
      <c r="K10654">
        <f>IFERROR(__xludf.DUMMYFUNCTION("""COMPUTED_VALUE"""),3300.62)</f>
        <v/>
      </c>
    </row>
    <row r="10655">
      <c r="J10655">
        <f>IFERROR(__xludf.DUMMYFUNCTION("""COMPUTED_VALUE"""),"Tadoussac, Quebec, Canada")</f>
        <v/>
      </c>
      <c r="K10655">
        <f>IFERROR(__xludf.DUMMYFUNCTION("""COMPUTED_VALUE"""),3300.18)</f>
        <v/>
      </c>
    </row>
    <row r="10656">
      <c r="J10656">
        <f>IFERROR(__xludf.DUMMYFUNCTION("""COMPUTED_VALUE"""),"Houston, USA")</f>
        <v/>
      </c>
      <c r="K10656">
        <f>IFERROR(__xludf.DUMMYFUNCTION("""COMPUTED_VALUE"""),3300.09)</f>
        <v/>
      </c>
    </row>
    <row r="10657">
      <c r="J10657">
        <f>IFERROR(__xludf.DUMMYFUNCTION("""COMPUTED_VALUE"""),"Yellowknife, Northwest Territories, Canada; Victoria, British Columbia, Canada")</f>
        <v/>
      </c>
      <c r="K10657">
        <f>IFERROR(__xludf.DUMMYFUNCTION("""COMPUTED_VALUE"""),3300)</f>
        <v/>
      </c>
    </row>
    <row r="10658">
      <c r="J10658">
        <f>IFERROR(__xludf.DUMMYFUNCTION("""COMPUTED_VALUE"""),"Tel Aviv, Israel; Ramallah, Palestine")</f>
        <v/>
      </c>
      <c r="K10658">
        <f>IFERROR(__xludf.DUMMYFUNCTION("""COMPUTED_VALUE"""),3299.97)</f>
        <v/>
      </c>
    </row>
    <row r="10659">
      <c r="J10659">
        <f>IFERROR(__xludf.DUMMYFUNCTION("""COMPUTED_VALUE"""),"Saskatoon, Saskatchewan; Sherbrooke, Quebec")</f>
        <v/>
      </c>
      <c r="K10659">
        <f>IFERROR(__xludf.DUMMYFUNCTION("""COMPUTED_VALUE"""),3299.38)</f>
        <v/>
      </c>
    </row>
    <row r="10660">
      <c r="J10660">
        <f>IFERROR(__xludf.DUMMYFUNCTION("""COMPUTED_VALUE"""),"Toronto, ON, Saskatoon, SK")</f>
        <v/>
      </c>
      <c r="K10660">
        <f>IFERROR(__xludf.DUMMYFUNCTION("""COMPUTED_VALUE"""),3298.93)</f>
        <v/>
      </c>
    </row>
    <row r="10661">
      <c r="J10661">
        <f>IFERROR(__xludf.DUMMYFUNCTION("""COMPUTED_VALUE"""),"Ottawa, Ontario;
Winnipeg, Manitoba")</f>
        <v/>
      </c>
      <c r="K10661">
        <f>IFERROR(__xludf.DUMMYFUNCTION("""COMPUTED_VALUE"""),3298.48)</f>
        <v/>
      </c>
    </row>
    <row r="10662">
      <c r="J10662">
        <f>IFERROR(__xludf.DUMMYFUNCTION("""COMPUTED_VALUE"""),"Vancouver / Toronto")</f>
        <v/>
      </c>
      <c r="K10662">
        <f>IFERROR(__xludf.DUMMYFUNCTION("""COMPUTED_VALUE"""),3297.92)</f>
        <v/>
      </c>
    </row>
    <row r="10663">
      <c r="J10663">
        <f>IFERROR(__xludf.DUMMYFUNCTION("""COMPUTED_VALUE"""),"Toronto, Ontario.")</f>
        <v/>
      </c>
      <c r="K10663">
        <f>IFERROR(__xludf.DUMMYFUNCTION("""COMPUTED_VALUE"""),3297.02999999999)</f>
        <v/>
      </c>
    </row>
    <row r="10664">
      <c r="J10664">
        <f>IFERROR(__xludf.DUMMYFUNCTION("""COMPUTED_VALUE"""),"Ottawa, ON Fredericton, NB Toronto ON")</f>
        <v/>
      </c>
      <c r="K10664">
        <f>IFERROR(__xludf.DUMMYFUNCTION("""COMPUTED_VALUE"""),3296.65)</f>
        <v/>
      </c>
    </row>
    <row r="10665">
      <c r="J10665">
        <f>IFERROR(__xludf.DUMMYFUNCTION("""COMPUTED_VALUE"""),"Laval, Québec")</f>
        <v/>
      </c>
      <c r="K10665">
        <f>IFERROR(__xludf.DUMMYFUNCTION("""COMPUTED_VALUE"""),3296.05)</f>
        <v/>
      </c>
    </row>
    <row r="10666">
      <c r="J10666">
        <f>IFERROR(__xludf.DUMMYFUNCTION("""COMPUTED_VALUE"""),"Toronto, ON, Moncton, NB and Fredericton, NB")</f>
        <v/>
      </c>
      <c r="K10666">
        <f>IFERROR(__xludf.DUMMYFUNCTION("""COMPUTED_VALUE"""),3295.98)</f>
        <v/>
      </c>
    </row>
    <row r="10667">
      <c r="J10667">
        <f>IFERROR(__xludf.DUMMYFUNCTION("""COMPUTED_VALUE"""),"Québec and Gatineau, Quebec")</f>
        <v/>
      </c>
      <c r="K10667">
        <f>IFERROR(__xludf.DUMMYFUNCTION("""COMPUTED_VALUE"""),3295.95)</f>
        <v/>
      </c>
    </row>
    <row r="10668">
      <c r="J10668">
        <f>IFERROR(__xludf.DUMMYFUNCTION("""COMPUTED_VALUE"""),"Vancouver, British-Columbia, and Edmonton, Alberta, Canada")</f>
        <v/>
      </c>
      <c r="K10668">
        <f>IFERROR(__xludf.DUMMYFUNCTION("""COMPUTED_VALUE"""),3295.63)</f>
        <v/>
      </c>
    </row>
    <row r="10669">
      <c r="J10669">
        <f>IFERROR(__xludf.DUMMYFUNCTION("""COMPUTED_VALUE"""),"Ottawa, On , Quebec, QC")</f>
        <v/>
      </c>
      <c r="K10669">
        <f>IFERROR(__xludf.DUMMYFUNCTION("""COMPUTED_VALUE"""),3294.9)</f>
        <v/>
      </c>
    </row>
    <row r="10670">
      <c r="J10670">
        <f>IFERROR(__xludf.DUMMYFUNCTION("""COMPUTED_VALUE"""),"Calgary,  Alberta;
Thunder Bay, Ontario")</f>
        <v/>
      </c>
      <c r="K10670">
        <f>IFERROR(__xludf.DUMMYFUNCTION("""COMPUTED_VALUE"""),3294.71)</f>
        <v/>
      </c>
    </row>
    <row r="10671">
      <c r="J10671">
        <f>IFERROR(__xludf.DUMMYFUNCTION("""COMPUTED_VALUE"""),"Dieppe, France")</f>
        <v/>
      </c>
      <c r="K10671">
        <f>IFERROR(__xludf.DUMMYFUNCTION("""COMPUTED_VALUE"""),3294.6)</f>
        <v/>
      </c>
    </row>
    <row r="10672">
      <c r="J10672">
        <f>IFERROR(__xludf.DUMMYFUNCTION("""COMPUTED_VALUE"""),"Eindhoven, Netherlands")</f>
        <v/>
      </c>
      <c r="K10672">
        <f>IFERROR(__xludf.DUMMYFUNCTION("""COMPUTED_VALUE"""),3294.05)</f>
        <v/>
      </c>
    </row>
    <row r="10673">
      <c r="J10673">
        <f>IFERROR(__xludf.DUMMYFUNCTION("""COMPUTED_VALUE"""),"Halifax, Nova Scotia, Canada; London, Ontario, Canada")</f>
        <v/>
      </c>
      <c r="K10673">
        <f>IFERROR(__xludf.DUMMYFUNCTION("""COMPUTED_VALUE"""),3293.54)</f>
        <v/>
      </c>
    </row>
    <row r="10674">
      <c r="J10674">
        <f>IFERROR(__xludf.DUMMYFUNCTION("""COMPUTED_VALUE"""),"Happy Valley-Goose Bay, Newfoundland and Labrador, Canada; Labrador City, Newfoundland and Labrador, Canada")</f>
        <v/>
      </c>
      <c r="K10674">
        <f>IFERROR(__xludf.DUMMYFUNCTION("""COMPUTED_VALUE"""),3291.2)</f>
        <v/>
      </c>
    </row>
    <row r="10675">
      <c r="J10675">
        <f>IFERROR(__xludf.DUMMYFUNCTION("""COMPUTED_VALUE"""),"Moncton, New Brunswick, Canada
Charlottetown, Prince Edward Island, Canada
Halifax, Nova Scotia, Canada")</f>
        <v/>
      </c>
      <c r="K10675">
        <f>IFERROR(__xludf.DUMMYFUNCTION("""COMPUTED_VALUE"""),3291.16)</f>
        <v/>
      </c>
    </row>
    <row r="10676">
      <c r="J10676">
        <f>IFERROR(__xludf.DUMMYFUNCTION("""COMPUTED_VALUE"""),"Vancouver, Calgary, Regina and Winnipeg")</f>
        <v/>
      </c>
      <c r="K10676">
        <f>IFERROR(__xludf.DUMMYFUNCTION("""COMPUTED_VALUE"""),3291.16)</f>
        <v/>
      </c>
    </row>
    <row r="10677">
      <c r="J10677">
        <f>IFERROR(__xludf.DUMMYFUNCTION("""COMPUTED_VALUE"""),"Quebec City and Ottawa")</f>
        <v/>
      </c>
      <c r="K10677">
        <f>IFERROR(__xludf.DUMMYFUNCTION("""COMPUTED_VALUE"""),3290.63)</f>
        <v/>
      </c>
    </row>
    <row r="10678">
      <c r="J10678">
        <f>IFERROR(__xludf.DUMMYFUNCTION("""COMPUTED_VALUE"""),"Bella Bella &amp; Port-Hardy, British Columbia")</f>
        <v/>
      </c>
      <c r="K10678">
        <f>IFERROR(__xludf.DUMMYFUNCTION("""COMPUTED_VALUE"""),3289.59)</f>
        <v/>
      </c>
    </row>
    <row r="10679">
      <c r="J10679">
        <f>IFERROR(__xludf.DUMMYFUNCTION("""COMPUTED_VALUE"""),"Medicine Hat, Alberta, Canada")</f>
        <v/>
      </c>
      <c r="K10679">
        <f>IFERROR(__xludf.DUMMYFUNCTION("""COMPUTED_VALUE"""),3289.45)</f>
        <v/>
      </c>
    </row>
    <row r="10680">
      <c r="J10680">
        <f>IFERROR(__xludf.DUMMYFUNCTION("""COMPUTED_VALUE"""),"Washington and Winnipeg")</f>
        <v/>
      </c>
      <c r="K10680">
        <f>IFERROR(__xludf.DUMMYFUNCTION("""COMPUTED_VALUE"""),3288.99)</f>
        <v/>
      </c>
    </row>
    <row r="10681">
      <c r="J10681">
        <f>IFERROR(__xludf.DUMMYFUNCTION("""COMPUTED_VALUE"""),"Abbotsford, British Columbia; Calgary, Alberta; Saskatoon, Saskatchewan; Winnipeg, Manitoba")</f>
        <v/>
      </c>
      <c r="K10681">
        <f>IFERROR(__xludf.DUMMYFUNCTION("""COMPUTED_VALUE"""),3288.55)</f>
        <v/>
      </c>
    </row>
    <row r="10682">
      <c r="J10682">
        <f>IFERROR(__xludf.DUMMYFUNCTION("""COMPUTED_VALUE"""),"Winnipeg, Manitoba, Richmond and Abbotsford, British Columbia, Canada")</f>
        <v/>
      </c>
      <c r="K10682">
        <f>IFERROR(__xludf.DUMMYFUNCTION("""COMPUTED_VALUE"""),3288.24)</f>
        <v/>
      </c>
    </row>
    <row r="10683">
      <c r="J10683">
        <f>IFERROR(__xludf.DUMMYFUNCTION("""COMPUTED_VALUE"""),"Lake Tahoe, Nevada, United States")</f>
        <v/>
      </c>
      <c r="K10683">
        <f>IFERROR(__xludf.DUMMYFUNCTION("""COMPUTED_VALUE"""),3288)</f>
        <v/>
      </c>
    </row>
    <row r="10684">
      <c r="J10684">
        <f>IFERROR(__xludf.DUMMYFUNCTION("""COMPUTED_VALUE"""),"Saskatoon, Saskatchewan, Canada - Edmonton, Alberta, Canada")</f>
        <v/>
      </c>
      <c r="K10684">
        <f>IFERROR(__xludf.DUMMYFUNCTION("""COMPUTED_VALUE"""),3287.61)</f>
        <v/>
      </c>
    </row>
    <row r="10685">
      <c r="J10685">
        <f>IFERROR(__xludf.DUMMYFUNCTION("""COMPUTED_VALUE"""),"Birmingham, England")</f>
        <v/>
      </c>
      <c r="K10685">
        <f>IFERROR(__xludf.DUMMYFUNCTION("""COMPUTED_VALUE"""),3286.58)</f>
        <v/>
      </c>
    </row>
    <row r="10686">
      <c r="J10686">
        <f>IFERROR(__xludf.DUMMYFUNCTION("""COMPUTED_VALUE"""),"Victoria,  Vancouver and Campbell River, British Columbia")</f>
        <v/>
      </c>
      <c r="K10686">
        <f>IFERROR(__xludf.DUMMYFUNCTION("""COMPUTED_VALUE"""),3286.51)</f>
        <v/>
      </c>
    </row>
    <row r="10687">
      <c r="J10687">
        <f>IFERROR(__xludf.DUMMYFUNCTION("""COMPUTED_VALUE"""),"Edmunston (New Brunswick) Canada
Moncton (New Brunswick) Canada
Deer Lake (Newfoundland) Canada
St.Johns (Newfoundland) Canada
Montréal (Quebec) Canada")</f>
        <v/>
      </c>
      <c r="K10687">
        <f>IFERROR(__xludf.DUMMYFUNCTION("""COMPUTED_VALUE"""),3286.31)</f>
        <v/>
      </c>
    </row>
    <row r="10688">
      <c r="J10688">
        <f>IFERROR(__xludf.DUMMYFUNCTION("""COMPUTED_VALUE"""),"Kingston ON")</f>
        <v/>
      </c>
      <c r="K10688">
        <f>IFERROR(__xludf.DUMMYFUNCTION("""COMPUTED_VALUE"""),3285.73)</f>
        <v/>
      </c>
    </row>
    <row r="10689">
      <c r="J10689">
        <f>IFERROR(__xludf.DUMMYFUNCTION("""COMPUTED_VALUE"""),"Toronto, ON - Quebec , QC")</f>
        <v/>
      </c>
      <c r="K10689">
        <f>IFERROR(__xludf.DUMMYFUNCTION("""COMPUTED_VALUE"""),3285.49)</f>
        <v/>
      </c>
    </row>
    <row r="10690">
      <c r="J10690">
        <f>IFERROR(__xludf.DUMMYFUNCTION("""COMPUTED_VALUE"""),"Vancouver, Cranbrook &amp; Fernie, Bristish Columbia")</f>
        <v/>
      </c>
      <c r="K10690">
        <f>IFERROR(__xludf.DUMMYFUNCTION("""COMPUTED_VALUE"""),3285.3)</f>
        <v/>
      </c>
    </row>
    <row r="10691">
      <c r="J10691">
        <f>IFERROR(__xludf.DUMMYFUNCTION("""COMPUTED_VALUE"""),"Vancouver,  British Columbia, Cowansville and Sainte-Anne-des-Plaines, Quebec, Canada")</f>
        <v/>
      </c>
      <c r="K10691">
        <f>IFERROR(__xludf.DUMMYFUNCTION("""COMPUTED_VALUE"""),3284.56)</f>
        <v/>
      </c>
    </row>
    <row r="10692">
      <c r="J10692">
        <f>IFERROR(__xludf.DUMMYFUNCTION("""COMPUTED_VALUE"""),"St-John's, NL, Halifax, NS and Charlottetown, PE")</f>
        <v/>
      </c>
      <c r="K10692">
        <f>IFERROR(__xludf.DUMMYFUNCTION("""COMPUTED_VALUE"""),3283.62)</f>
        <v/>
      </c>
    </row>
    <row r="10693">
      <c r="J10693">
        <f>IFERROR(__xludf.DUMMYFUNCTION("""COMPUTED_VALUE"""),"Montreal, QC / Quebec, QC / La Malbaie, QC / Wendake, QC")</f>
        <v/>
      </c>
      <c r="K10693">
        <f>IFERROR(__xludf.DUMMYFUNCTION("""COMPUTED_VALUE"""),3283.35)</f>
        <v/>
      </c>
    </row>
    <row r="10694">
      <c r="J10694">
        <f>IFERROR(__xludf.DUMMYFUNCTION("""COMPUTED_VALUE"""),"Toronto, Ontario / Edmonton, Calgary, Alberta / Saskatoon, Saskatchewan and Toronto, Ontario, Canada")</f>
        <v/>
      </c>
      <c r="K10694">
        <f>IFERROR(__xludf.DUMMYFUNCTION("""COMPUTED_VALUE"""),3283.2)</f>
        <v/>
      </c>
    </row>
    <row r="10695">
      <c r="J10695">
        <f>IFERROR(__xludf.DUMMYFUNCTION("""COMPUTED_VALUE"""),"Ottawa- Halifax-Ottawa")</f>
        <v/>
      </c>
      <c r="K10695">
        <f>IFERROR(__xludf.DUMMYFUNCTION("""COMPUTED_VALUE"""),3282.81)</f>
        <v/>
      </c>
    </row>
    <row r="10696">
      <c r="J10696">
        <f>IFERROR(__xludf.DUMMYFUNCTION("""COMPUTED_VALUE"""),"Fredericton, NB and Halifax, NS")</f>
        <v/>
      </c>
      <c r="K10696">
        <f>IFERROR(__xludf.DUMMYFUNCTION("""COMPUTED_VALUE"""),3282.77)</f>
        <v/>
      </c>
    </row>
    <row r="10697">
      <c r="J10697">
        <f>IFERROR(__xludf.DUMMYFUNCTION("""COMPUTED_VALUE"""),"Penticton (British Columbia) Canada")</f>
        <v/>
      </c>
      <c r="K10697">
        <f>IFERROR(__xludf.DUMMYFUNCTION("""COMPUTED_VALUE"""),3282.63)</f>
        <v/>
      </c>
    </row>
    <row r="10698">
      <c r="J10698">
        <f>IFERROR(__xludf.DUMMYFUNCTION("""COMPUTED_VALUE"""),"Fredericton, NB / Moncton, NB, Charlottetown, PE / Summerside, PE / Campbellton, NB")</f>
        <v/>
      </c>
      <c r="K10698">
        <f>IFERROR(__xludf.DUMMYFUNCTION("""COMPUTED_VALUE"""),3282.16)</f>
        <v/>
      </c>
    </row>
    <row r="10699">
      <c r="J10699">
        <f>IFERROR(__xludf.DUMMYFUNCTION("""COMPUTED_VALUE"""),"Dallas Texas USA")</f>
        <v/>
      </c>
      <c r="K10699">
        <f>IFERROR(__xludf.DUMMYFUNCTION("""COMPUTED_VALUE"""),3280.96)</f>
        <v/>
      </c>
    </row>
    <row r="10700">
      <c r="J10700">
        <f>IFERROR(__xludf.DUMMYFUNCTION("""COMPUTED_VALUE"""),"Los Cabos Mexico")</f>
        <v/>
      </c>
      <c r="K10700">
        <f>IFERROR(__xludf.DUMMYFUNCTION("""COMPUTED_VALUE"""),3280.53)</f>
        <v/>
      </c>
    </row>
    <row r="10701">
      <c r="J10701">
        <f>IFERROR(__xludf.DUMMYFUNCTION("""COMPUTED_VALUE"""),"Dartmouth, Nova Scotia, Canada; Fredericton, New Brunswick, Canada")</f>
        <v/>
      </c>
      <c r="K10701">
        <f>IFERROR(__xludf.DUMMYFUNCTION("""COMPUTED_VALUE"""),3280.49)</f>
        <v/>
      </c>
    </row>
    <row r="10702">
      <c r="J10702">
        <f>IFERROR(__xludf.DUMMYFUNCTION("""COMPUTED_VALUE"""),"Quebec then Halifax")</f>
        <v/>
      </c>
      <c r="K10702">
        <f>IFERROR(__xludf.DUMMYFUNCTION("""COMPUTED_VALUE"""),3280.09)</f>
        <v/>
      </c>
    </row>
    <row r="10703">
      <c r="J10703">
        <f>IFERROR(__xludf.DUMMYFUNCTION("""COMPUTED_VALUE"""),"Bozeman, Montana")</f>
        <v/>
      </c>
      <c r="K10703">
        <f>IFERROR(__xludf.DUMMYFUNCTION("""COMPUTED_VALUE"""),3279.42)</f>
        <v/>
      </c>
    </row>
    <row r="10704">
      <c r="J10704">
        <f>IFERROR(__xludf.DUMMYFUNCTION("""COMPUTED_VALUE"""),"Washington/New York")</f>
        <v/>
      </c>
      <c r="K10704">
        <f>IFERROR(__xludf.DUMMYFUNCTION("""COMPUTED_VALUE"""),3279.41)</f>
        <v/>
      </c>
    </row>
    <row r="10705">
      <c r="J10705">
        <f>IFERROR(__xludf.DUMMYFUNCTION("""COMPUTED_VALUE"""),"Panama City (Florida) United States")</f>
        <v/>
      </c>
      <c r="K10705">
        <f>IFERROR(__xludf.DUMMYFUNCTION("""COMPUTED_VALUE"""),3278.98)</f>
        <v/>
      </c>
    </row>
    <row r="10706">
      <c r="J10706">
        <f>IFERROR(__xludf.DUMMYFUNCTION("""COMPUTED_VALUE"""),"Stain John, New Brunswick and Sydney, Nova Scotia")</f>
        <v/>
      </c>
      <c r="K10706">
        <f>IFERROR(__xludf.DUMMYFUNCTION("""COMPUTED_VALUE"""),3278.62)</f>
        <v/>
      </c>
    </row>
    <row r="10707">
      <c r="J10707">
        <f>IFERROR(__xludf.DUMMYFUNCTION("""COMPUTED_VALUE"""),"Nanaimo, British Columbia / Victoria, British Columbia, Canada")</f>
        <v/>
      </c>
      <c r="K10707">
        <f>IFERROR(__xludf.DUMMYFUNCTION("""COMPUTED_VALUE"""),3278.55)</f>
        <v/>
      </c>
    </row>
    <row r="10708">
      <c r="J10708">
        <f>IFERROR(__xludf.DUMMYFUNCTION("""COMPUTED_VALUE"""),"Comox, Canada")</f>
        <v/>
      </c>
      <c r="K10708">
        <f>IFERROR(__xludf.DUMMYFUNCTION("""COMPUTED_VALUE"""),3278.45)</f>
        <v/>
      </c>
    </row>
    <row r="10709">
      <c r="J10709">
        <f>IFERROR(__xludf.DUMMYFUNCTION("""COMPUTED_VALUE"""),"Guelph, Niagara Falls, Thorold, Ontario (Canada)")</f>
        <v/>
      </c>
      <c r="K10709">
        <f>IFERROR(__xludf.DUMMYFUNCTION("""COMPUTED_VALUE"""),3277.29)</f>
        <v/>
      </c>
    </row>
    <row r="10710">
      <c r="J10710">
        <f>IFERROR(__xludf.DUMMYFUNCTION("""COMPUTED_VALUE"""),"Quebec City, QC - London, ON, Vancouver, BC")</f>
        <v/>
      </c>
      <c r="K10710">
        <f>IFERROR(__xludf.DUMMYFUNCTION("""COMPUTED_VALUE"""),3277.04)</f>
        <v/>
      </c>
    </row>
    <row r="10711">
      <c r="J10711">
        <f>IFERROR(__xludf.DUMMYFUNCTION("""COMPUTED_VALUE"""),"Montréal, Quebec, Canada - Ottawa, Ontario, Canada")</f>
        <v/>
      </c>
      <c r="K10711">
        <f>IFERROR(__xludf.DUMMYFUNCTION("""COMPUTED_VALUE"""),3276.42)</f>
        <v/>
      </c>
    </row>
    <row r="10712">
      <c r="J10712">
        <f>IFERROR(__xludf.DUMMYFUNCTION("""COMPUTED_VALUE"""),"Ottawa-Montreal-Washington-Ottawa")</f>
        <v/>
      </c>
      <c r="K10712">
        <f>IFERROR(__xludf.DUMMYFUNCTION("""COMPUTED_VALUE"""),3276.37)</f>
        <v/>
      </c>
    </row>
    <row r="10713">
      <c r="J10713">
        <f>IFERROR(__xludf.DUMMYFUNCTION("""COMPUTED_VALUE"""),"Alberta and B.C.")</f>
        <v/>
      </c>
      <c r="K10713">
        <f>IFERROR(__xludf.DUMMYFUNCTION("""COMPUTED_VALUE"""),3275.14)</f>
        <v/>
      </c>
    </row>
    <row r="10714">
      <c r="J10714">
        <f>IFERROR(__xludf.DUMMYFUNCTION("""COMPUTED_VALUE"""),"Fredericton, NB, Halifax, NS, Toronto, ON")</f>
        <v/>
      </c>
      <c r="K10714">
        <f>IFERROR(__xludf.DUMMYFUNCTION("""COMPUTED_VALUE"""),3274.7)</f>
        <v/>
      </c>
    </row>
    <row r="10715">
      <c r="J10715">
        <f>IFERROR(__xludf.DUMMYFUNCTION("""COMPUTED_VALUE"""),"Calgary, Alberta, Canada / Montreal, Quebec, Canada / St John's, Newfoundland, Canada")</f>
        <v/>
      </c>
      <c r="K10715">
        <f>IFERROR(__xludf.DUMMYFUNCTION("""COMPUTED_VALUE"""),3274.66)</f>
        <v/>
      </c>
    </row>
    <row r="10716">
      <c r="J10716">
        <f>IFERROR(__xludf.DUMMYFUNCTION("""COMPUTED_VALUE"""),"San Francisco (California)")</f>
        <v/>
      </c>
      <c r="K10716">
        <f>IFERROR(__xludf.DUMMYFUNCTION("""COMPUTED_VALUE"""),3274.03)</f>
        <v/>
      </c>
    </row>
    <row r="10717">
      <c r="J10717">
        <f>IFERROR(__xludf.DUMMYFUNCTION("""COMPUTED_VALUE"""),"Burnaby, British Columbia, Canada
Sidney, British Columbia, Canada")</f>
        <v/>
      </c>
      <c r="K10717">
        <f>IFERROR(__xludf.DUMMYFUNCTION("""COMPUTED_VALUE"""),3274.01)</f>
        <v/>
      </c>
    </row>
    <row r="10718">
      <c r="J10718">
        <f>IFERROR(__xludf.DUMMYFUNCTION("""COMPUTED_VALUE"""),"Brandon, Manitoba, Canada; Toronto, Ontario, Canada")</f>
        <v/>
      </c>
      <c r="K10718">
        <f>IFERROR(__xludf.DUMMYFUNCTION("""COMPUTED_VALUE"""),3273.84)</f>
        <v/>
      </c>
    </row>
    <row r="10719">
      <c r="J10719">
        <f>IFERROR(__xludf.DUMMYFUNCTION("""COMPUTED_VALUE"""),"Toronto, Ontario/Vancouver, British Columbia/Winnipeg, Manitoba")</f>
        <v/>
      </c>
      <c r="K10719">
        <f>IFERROR(__xludf.DUMMYFUNCTION("""COMPUTED_VALUE"""),3273.74)</f>
        <v/>
      </c>
    </row>
    <row r="10720">
      <c r="J10720">
        <f>IFERROR(__xludf.DUMMYFUNCTION("""COMPUTED_VALUE"""),"North Bethesda, Maryland")</f>
        <v/>
      </c>
      <c r="K10720">
        <f>IFERROR(__xludf.DUMMYFUNCTION("""COMPUTED_VALUE"""),3272.12)</f>
        <v/>
      </c>
    </row>
    <row r="10721">
      <c r="J10721">
        <f>IFERROR(__xludf.DUMMYFUNCTION("""COMPUTED_VALUE"""),"Ottawa-Charlottetown-Moncton-Ottawa")</f>
        <v/>
      </c>
      <c r="K10721">
        <f>IFERROR(__xludf.DUMMYFUNCTION("""COMPUTED_VALUE"""),3271.92)</f>
        <v/>
      </c>
    </row>
    <row r="10722">
      <c r="J10722">
        <f>IFERROR(__xludf.DUMMYFUNCTION("""COMPUTED_VALUE"""),"Cochrane, AB")</f>
        <v/>
      </c>
      <c r="K10722">
        <f>IFERROR(__xludf.DUMMYFUNCTION("""COMPUTED_VALUE"""),3271)</f>
        <v/>
      </c>
    </row>
    <row r="10723">
      <c r="J10723">
        <f>IFERROR(__xludf.DUMMYFUNCTION("""COMPUTED_VALUE"""),"Niagara-on-the-Lake,Ontario")</f>
        <v/>
      </c>
      <c r="K10723">
        <f>IFERROR(__xludf.DUMMYFUNCTION("""COMPUTED_VALUE"""),3270.59)</f>
        <v/>
      </c>
    </row>
    <row r="10724">
      <c r="J10724">
        <f>IFERROR(__xludf.DUMMYFUNCTION("""COMPUTED_VALUE"""),"Toronto , Ontario")</f>
        <v/>
      </c>
      <c r="K10724">
        <f>IFERROR(__xludf.DUMMYFUNCTION("""COMPUTED_VALUE"""),3270.43)</f>
        <v/>
      </c>
    </row>
    <row r="10725">
      <c r="J10725">
        <f>IFERROR(__xludf.DUMMYFUNCTION("""COMPUTED_VALUE"""),"Ottawa, ON / Halifax, NS")</f>
        <v/>
      </c>
      <c r="K10725">
        <f>IFERROR(__xludf.DUMMYFUNCTION("""COMPUTED_VALUE"""),3269.33)</f>
        <v/>
      </c>
    </row>
    <row r="10726">
      <c r="J10726">
        <f>IFERROR(__xludf.DUMMYFUNCTION("""COMPUTED_VALUE"""),"St. Anthony, Newfoundland and Labrador, Canada")</f>
        <v/>
      </c>
      <c r="K10726">
        <f>IFERROR(__xludf.DUMMYFUNCTION("""COMPUTED_VALUE"""),3269.07)</f>
        <v/>
      </c>
    </row>
    <row r="10727">
      <c r="J10727">
        <f>IFERROR(__xludf.DUMMYFUNCTION("""COMPUTED_VALUE"""),"Panama et Mexico")</f>
        <v/>
      </c>
      <c r="K10727">
        <f>IFERROR(__xludf.DUMMYFUNCTION("""COMPUTED_VALUE"""),3267.55)</f>
        <v/>
      </c>
    </row>
    <row r="10728">
      <c r="J10728">
        <f>IFERROR(__xludf.DUMMYFUNCTION("""COMPUTED_VALUE"""),"Charlottetown, Prince Edward Island, Canada; Regina, Saskatchewan, Canada")</f>
        <v/>
      </c>
      <c r="K10728">
        <f>IFERROR(__xludf.DUMMYFUNCTION("""COMPUTED_VALUE"""),3266.73)</f>
        <v/>
      </c>
    </row>
    <row r="10729">
      <c r="J10729">
        <f>IFERROR(__xludf.DUMMYFUNCTION("""COMPUTED_VALUE"""),"Calgary and Drumheller, Alberta, Canada")</f>
        <v/>
      </c>
      <c r="K10729">
        <f>IFERROR(__xludf.DUMMYFUNCTION("""COMPUTED_VALUE"""),3266.06)</f>
        <v/>
      </c>
    </row>
    <row r="10730">
      <c r="J10730">
        <f>IFERROR(__xludf.DUMMYFUNCTION("""COMPUTED_VALUE"""),"Toronto and Markham, Ontario, Canada")</f>
        <v/>
      </c>
      <c r="K10730">
        <f>IFERROR(__xludf.DUMMYFUNCTION("""COMPUTED_VALUE"""),3266.02)</f>
        <v/>
      </c>
    </row>
    <row r="10731">
      <c r="J10731">
        <f>IFERROR(__xludf.DUMMYFUNCTION("""COMPUTED_VALUE"""),"Halifax, Nova Scotia, Canada                                              Ottawa, Ontario, Canada")</f>
        <v/>
      </c>
      <c r="K10731">
        <f>IFERROR(__xludf.DUMMYFUNCTION("""COMPUTED_VALUE"""),3265.6)</f>
        <v/>
      </c>
    </row>
    <row r="10732">
      <c r="J10732">
        <f>IFERROR(__xludf.DUMMYFUNCTION("""COMPUTED_VALUE"""),"Mingan-Sept Iles, Quebec, Canada")</f>
        <v/>
      </c>
      <c r="K10732">
        <f>IFERROR(__xludf.DUMMYFUNCTION("""COMPUTED_VALUE"""),3265.48)</f>
        <v/>
      </c>
    </row>
    <row r="10733">
      <c r="J10733">
        <f>IFERROR(__xludf.DUMMYFUNCTION("""COMPUTED_VALUE"""),"Ottawa, Ontario; Kingston, Ontario")</f>
        <v/>
      </c>
      <c r="K10733">
        <f>IFERROR(__xludf.DUMMYFUNCTION("""COMPUTED_VALUE"""),3265.38)</f>
        <v/>
      </c>
    </row>
    <row r="10734">
      <c r="J10734">
        <f>IFERROR(__xludf.DUMMYFUNCTION("""COMPUTED_VALUE"""),"Denver, United States")</f>
        <v/>
      </c>
      <c r="K10734">
        <f>IFERROR(__xludf.DUMMYFUNCTION("""COMPUTED_VALUE"""),3265.08)</f>
        <v/>
      </c>
    </row>
    <row r="10735">
      <c r="J10735">
        <f>IFERROR(__xludf.DUMMYFUNCTION("""COMPUTED_VALUE"""),"Pacific Region  (Vancouver, Victoria and Surrey)")</f>
        <v/>
      </c>
      <c r="K10735">
        <f>IFERROR(__xludf.DUMMYFUNCTION("""COMPUTED_VALUE"""),3265.01)</f>
        <v/>
      </c>
    </row>
    <row r="10736">
      <c r="J10736">
        <f>IFERROR(__xludf.DUMMYFUNCTION("""COMPUTED_VALUE"""),"Ottawa, ontario, Canada")</f>
        <v/>
      </c>
      <c r="K10736">
        <f>IFERROR(__xludf.DUMMYFUNCTION("""COMPUTED_VALUE"""),3264.41)</f>
        <v/>
      </c>
    </row>
    <row r="10737">
      <c r="J10737">
        <f>IFERROR(__xludf.DUMMYFUNCTION("""COMPUTED_VALUE"""),"REGINA, SK - OTTAWA, ON")</f>
        <v/>
      </c>
      <c r="K10737">
        <f>IFERROR(__xludf.DUMMYFUNCTION("""COMPUTED_VALUE"""),3264.28)</f>
        <v/>
      </c>
    </row>
    <row r="10738">
      <c r="J10738">
        <f>IFERROR(__xludf.DUMMYFUNCTION("""COMPUTED_VALUE"""),"Moncton, NB - Winnipeg, MB / Winnipeg, MB - Saskatoon, SK / Saskatoon, SK - Yellowknife, NT / Yellowknife, NT - Moncton, NB")</f>
        <v/>
      </c>
      <c r="K10738">
        <f>IFERROR(__xludf.DUMMYFUNCTION("""COMPUTED_VALUE"""),3263.94)</f>
        <v/>
      </c>
    </row>
    <row r="10739">
      <c r="J10739">
        <f>IFERROR(__xludf.DUMMYFUNCTION("""COMPUTED_VALUE"""),"Montreal, Quebec, Vancouver and Victoria, British Colombia, Canada")</f>
        <v/>
      </c>
      <c r="K10739">
        <f>IFERROR(__xludf.DUMMYFUNCTION("""COMPUTED_VALUE"""),3262.89)</f>
        <v/>
      </c>
    </row>
    <row r="10740">
      <c r="J10740">
        <f>IFERROR(__xludf.DUMMYFUNCTION("""COMPUTED_VALUE"""),"Montreal, Quebec, Canada; Moncton, New Brunswick, Canada")</f>
        <v/>
      </c>
      <c r="K10740">
        <f>IFERROR(__xludf.DUMMYFUNCTION("""COMPUTED_VALUE"""),3262.23)</f>
        <v/>
      </c>
    </row>
    <row r="10741">
      <c r="J10741">
        <f>IFERROR(__xludf.DUMMYFUNCTION("""COMPUTED_VALUE"""),"Los Angeles, California, United States; Sacramento, California, United States; San Francisco, California, United States")</f>
        <v/>
      </c>
      <c r="K10741">
        <f>IFERROR(__xludf.DUMMYFUNCTION("""COMPUTED_VALUE"""),3260.77)</f>
        <v/>
      </c>
    </row>
    <row r="10742">
      <c r="J10742">
        <f>IFERROR(__xludf.DUMMYFUNCTION("""COMPUTED_VALUE"""),"Halifax, Nova Scotia, Canada; Ottawa, Ontario, Canada; Gatineau, Quebec, Canada")</f>
        <v/>
      </c>
      <c r="K10742">
        <f>IFERROR(__xludf.DUMMYFUNCTION("""COMPUTED_VALUE"""),3260.62)</f>
        <v/>
      </c>
    </row>
    <row r="10743">
      <c r="J10743">
        <f>IFERROR(__xludf.DUMMYFUNCTION("""COMPUTED_VALUE"""),"New York, Washington, Rhode Island")</f>
        <v/>
      </c>
      <c r="K10743">
        <f>IFERROR(__xludf.DUMMYFUNCTION("""COMPUTED_VALUE"""),3259.82)</f>
        <v/>
      </c>
    </row>
    <row r="10744">
      <c r="J10744">
        <f>IFERROR(__xludf.DUMMYFUNCTION("""COMPUTED_VALUE"""),"Winnipeg, Manitoba, Canada; Edmonton, Alberta, Canada, Saskatoon, Saskatchewan, Canada")</f>
        <v/>
      </c>
      <c r="K10744">
        <f>IFERROR(__xludf.DUMMYFUNCTION("""COMPUTED_VALUE"""),3259.60999999999)</f>
        <v/>
      </c>
    </row>
    <row r="10745">
      <c r="J10745">
        <f>IFERROR(__xludf.DUMMYFUNCTION("""COMPUTED_VALUE"""),"Detroit Lakes, MN")</f>
        <v/>
      </c>
      <c r="K10745">
        <f>IFERROR(__xludf.DUMMYFUNCTION("""COMPUTED_VALUE"""),3258.76)</f>
        <v/>
      </c>
    </row>
    <row r="10746">
      <c r="J10746">
        <f>IFERROR(__xludf.DUMMYFUNCTION("""COMPUTED_VALUE"""),"Mauricie, Québec")</f>
        <v/>
      </c>
      <c r="K10746">
        <f>IFERROR(__xludf.DUMMYFUNCTION("""COMPUTED_VALUE"""),3258.71)</f>
        <v/>
      </c>
    </row>
    <row r="10747">
      <c r="J10747">
        <f>IFERROR(__xludf.DUMMYFUNCTION("""COMPUTED_VALUE"""),"Saskatoon, Saskatchewan/ Edmonton, Alberta, Canada")</f>
        <v/>
      </c>
      <c r="K10747">
        <f>IFERROR(__xludf.DUMMYFUNCTION("""COMPUTED_VALUE"""),3258.41)</f>
        <v/>
      </c>
    </row>
    <row r="10748">
      <c r="J10748">
        <f>IFERROR(__xludf.DUMMYFUNCTION("""COMPUTED_VALUE"""),"Brussels, Ukraine and The Netherlands")</f>
        <v/>
      </c>
      <c r="K10748">
        <f>IFERROR(__xludf.DUMMYFUNCTION("""COMPUTED_VALUE"""),3258.09)</f>
        <v/>
      </c>
    </row>
    <row r="10749">
      <c r="J10749">
        <f>IFERROR(__xludf.DUMMYFUNCTION("""COMPUTED_VALUE"""),"Truro/Halifax, Nova Scotia / Ottawa/Toronto/Ottawa, Ontario")</f>
        <v/>
      </c>
      <c r="K10749">
        <f>IFERROR(__xludf.DUMMYFUNCTION("""COMPUTED_VALUE"""),3257.54)</f>
        <v/>
      </c>
    </row>
    <row r="10750">
      <c r="J10750">
        <f>IFERROR(__xludf.DUMMYFUNCTION("""COMPUTED_VALUE"""),"Vancouver &amp; Victoria , British Columbia")</f>
        <v/>
      </c>
      <c r="K10750">
        <f>IFERROR(__xludf.DUMMYFUNCTION("""COMPUTED_VALUE"""),3257.05)</f>
        <v/>
      </c>
    </row>
    <row r="10751">
      <c r="J10751">
        <f>IFERROR(__xludf.DUMMYFUNCTION("""COMPUTED_VALUE"""),"Toronto,ON")</f>
        <v/>
      </c>
      <c r="K10751">
        <f>IFERROR(__xludf.DUMMYFUNCTION("""COMPUTED_VALUE"""),3256.75999999999)</f>
        <v/>
      </c>
    </row>
    <row r="10752">
      <c r="J10752">
        <f>IFERROR(__xludf.DUMMYFUNCTION("""COMPUTED_VALUE"""),"St.John's, Newfoundland and Halifax, NS Canada")</f>
        <v/>
      </c>
      <c r="K10752">
        <f>IFERROR(__xludf.DUMMYFUNCTION("""COMPUTED_VALUE"""),3255.84)</f>
        <v/>
      </c>
    </row>
    <row r="10753">
      <c r="J10753">
        <f>IFERROR(__xludf.DUMMYFUNCTION("""COMPUTED_VALUE"""),"Toronto, ON and Halifax, NS")</f>
        <v/>
      </c>
      <c r="K10753">
        <f>IFERROR(__xludf.DUMMYFUNCTION("""COMPUTED_VALUE"""),3255.6)</f>
        <v/>
      </c>
    </row>
    <row r="10754">
      <c r="J10754">
        <f>IFERROR(__xludf.DUMMYFUNCTION("""COMPUTED_VALUE"""),"Vancouver and Cranbrook")</f>
        <v/>
      </c>
      <c r="K10754">
        <f>IFERROR(__xludf.DUMMYFUNCTION("""COMPUTED_VALUE"""),3255.53)</f>
        <v/>
      </c>
    </row>
    <row r="10755">
      <c r="J10755">
        <f>IFERROR(__xludf.DUMMYFUNCTION("""COMPUTED_VALUE"""),"Cantagena, Colombia")</f>
        <v/>
      </c>
      <c r="K10755">
        <f>IFERROR(__xludf.DUMMYFUNCTION("""COMPUTED_VALUE"""),3255.36)</f>
        <v/>
      </c>
    </row>
    <row r="10756">
      <c r="J10756">
        <f>IFERROR(__xludf.DUMMYFUNCTION("""COMPUTED_VALUE"""),"Atlantic Canada")</f>
        <v/>
      </c>
      <c r="K10756">
        <f>IFERROR(__xludf.DUMMYFUNCTION("""COMPUTED_VALUE"""),3254.55999999999)</f>
        <v/>
      </c>
    </row>
    <row r="10757">
      <c r="J10757">
        <f>IFERROR(__xludf.DUMMYFUNCTION("""COMPUTED_VALUE"""),"Winnepeg, Manitoba, Canada")</f>
        <v/>
      </c>
      <c r="K10757">
        <f>IFERROR(__xludf.DUMMYFUNCTION("""COMPUTED_VALUE"""),3254.51)</f>
        <v/>
      </c>
    </row>
    <row r="10758">
      <c r="J10758">
        <f>IFERROR(__xludf.DUMMYFUNCTION("""COMPUTED_VALUE"""),"Winnipeg (Manitoba) Canada
Regina (Saskatchewan) Canada")</f>
        <v/>
      </c>
      <c r="K10758">
        <f>IFERROR(__xludf.DUMMYFUNCTION("""COMPUTED_VALUE"""),3254.45)</f>
        <v/>
      </c>
    </row>
    <row r="10759">
      <c r="J10759">
        <f>IFERROR(__xludf.DUMMYFUNCTION("""COMPUTED_VALUE"""),"Brockville, Ontario")</f>
        <v/>
      </c>
      <c r="K10759">
        <f>IFERROR(__xludf.DUMMYFUNCTION("""COMPUTED_VALUE"""),3254.2)</f>
        <v/>
      </c>
    </row>
    <row r="10760">
      <c r="J10760">
        <f>IFERROR(__xludf.DUMMYFUNCTION("""COMPUTED_VALUE"""),"Lloydminster, Alberta, Canada")</f>
        <v/>
      </c>
      <c r="K10760">
        <f>IFERROR(__xludf.DUMMYFUNCTION("""COMPUTED_VALUE"""),3254.11)</f>
        <v/>
      </c>
    </row>
    <row r="10761">
      <c r="J10761">
        <f>IFERROR(__xludf.DUMMYFUNCTION("""COMPUTED_VALUE"""),"­Halifax, Nova Scotia, Canada; London, Ontario, Canada")</f>
        <v/>
      </c>
      <c r="K10761">
        <f>IFERROR(__xludf.DUMMYFUNCTION("""COMPUTED_VALUE"""),3253.95)</f>
        <v/>
      </c>
    </row>
    <row r="10762">
      <c r="J10762">
        <f>IFERROR(__xludf.DUMMYFUNCTION("""COMPUTED_VALUE"""),"Halifax, Nova Scotia, Canada, Quebec, Quebec, Canada")</f>
        <v/>
      </c>
      <c r="K10762">
        <f>IFERROR(__xludf.DUMMYFUNCTION("""COMPUTED_VALUE"""),3253.75)</f>
        <v/>
      </c>
    </row>
    <row r="10763">
      <c r="J10763">
        <f>IFERROR(__xludf.DUMMYFUNCTION("""COMPUTED_VALUE"""),"Port Hardy, Victoria, British Columbia, Canada")</f>
        <v/>
      </c>
      <c r="K10763">
        <f>IFERROR(__xludf.DUMMYFUNCTION("""COMPUTED_VALUE"""),3253.53)</f>
        <v/>
      </c>
    </row>
    <row r="10764">
      <c r="J10764">
        <f>IFERROR(__xludf.DUMMYFUNCTION("""COMPUTED_VALUE"""),"Vancouver, British Colombia &amp; Ottawa, Ontario")</f>
        <v/>
      </c>
      <c r="K10764">
        <f>IFERROR(__xludf.DUMMYFUNCTION("""COMPUTED_VALUE"""),3251.68)</f>
        <v/>
      </c>
    </row>
    <row r="10765">
      <c r="J10765">
        <f>IFERROR(__xludf.DUMMYFUNCTION("""COMPUTED_VALUE"""),"Winnipeg/Regina")</f>
        <v/>
      </c>
      <c r="K10765">
        <f>IFERROR(__xludf.DUMMYFUNCTION("""COMPUTED_VALUE"""),3251.63)</f>
        <v/>
      </c>
    </row>
    <row r="10766">
      <c r="J10766">
        <f>IFERROR(__xludf.DUMMYFUNCTION("""COMPUTED_VALUE"""),"Edmonton-Ottawa")</f>
        <v/>
      </c>
      <c r="K10766">
        <f>IFERROR(__xludf.DUMMYFUNCTION("""COMPUTED_VALUE"""),3251.07)</f>
        <v/>
      </c>
    </row>
    <row r="10767">
      <c r="J10767">
        <f>IFERROR(__xludf.DUMMYFUNCTION("""COMPUTED_VALUE"""),"New Jersey,Barclay,United States")</f>
        <v/>
      </c>
      <c r="K10767">
        <f>IFERROR(__xludf.DUMMYFUNCTION("""COMPUTED_VALUE"""),3250.87)</f>
        <v/>
      </c>
    </row>
    <row r="10768">
      <c r="J10768">
        <f>IFERROR(__xludf.DUMMYFUNCTION("""COMPUTED_VALUE"""),"Saint Germain de la Campagne, Normandie and Nice")</f>
        <v/>
      </c>
      <c r="K10768">
        <f>IFERROR(__xludf.DUMMYFUNCTION("""COMPUTED_VALUE"""),3250.47)</f>
        <v/>
      </c>
    </row>
    <row r="10769">
      <c r="J10769">
        <f>IFERROR(__xludf.DUMMYFUNCTION("""COMPUTED_VALUE"""),"Victoria, British Columbia, Canada -  Fort Resolution, Northwest Territories, Canada")</f>
        <v/>
      </c>
      <c r="K10769">
        <f>IFERROR(__xludf.DUMMYFUNCTION("""COMPUTED_VALUE"""),3250.23)</f>
        <v/>
      </c>
    </row>
    <row r="10770">
      <c r="J10770">
        <f>IFERROR(__xludf.DUMMYFUNCTION("""COMPUTED_VALUE"""),"Thunder Bay/Ottawa, Ontario, and Montreal, Quebec, Canada")</f>
        <v/>
      </c>
      <c r="K10770">
        <f>IFERROR(__xludf.DUMMYFUNCTION("""COMPUTED_VALUE"""),3249.76)</f>
        <v/>
      </c>
    </row>
    <row r="10771">
      <c r="J10771">
        <f>IFERROR(__xludf.DUMMYFUNCTION("""COMPUTED_VALUE"""),"Edmonton, AB
Ottawa, ON")</f>
        <v/>
      </c>
      <c r="K10771">
        <f>IFERROR(__xludf.DUMMYFUNCTION("""COMPUTED_VALUE"""),3248.37)</f>
        <v/>
      </c>
    </row>
    <row r="10772">
      <c r="J10772">
        <f>IFERROR(__xludf.DUMMYFUNCTION("""COMPUTED_VALUE"""),"Calgary, Alberta, Canada/  Vancouver, British Columbia, Canada")</f>
        <v/>
      </c>
      <c r="K10772">
        <f>IFERROR(__xludf.DUMMYFUNCTION("""COMPUTED_VALUE"""),3247.21)</f>
        <v/>
      </c>
    </row>
    <row r="10773">
      <c r="J10773">
        <f>IFERROR(__xludf.DUMMYFUNCTION("""COMPUTED_VALUE"""),"Ottawa, Ontario, Canada and Montreal, Quebec, Canada")</f>
        <v/>
      </c>
      <c r="K10773">
        <f>IFERROR(__xludf.DUMMYFUNCTION("""COMPUTED_VALUE"""),3246.96)</f>
        <v/>
      </c>
    </row>
    <row r="10774">
      <c r="J10774">
        <f>IFERROR(__xludf.DUMMYFUNCTION("""COMPUTED_VALUE"""),"Yarmouth, Nova Scotia, Canada")</f>
        <v/>
      </c>
      <c r="K10774">
        <f>IFERROR(__xludf.DUMMYFUNCTION("""COMPUTED_VALUE"""),3244.76)</f>
        <v/>
      </c>
    </row>
    <row r="10775">
      <c r="J10775">
        <f>IFERROR(__xludf.DUMMYFUNCTION("""COMPUTED_VALUE"""),"Vancouver, British Columbia; Kelowna, BC")</f>
        <v/>
      </c>
      <c r="K10775">
        <f>IFERROR(__xludf.DUMMYFUNCTION("""COMPUTED_VALUE"""),3244.5)</f>
        <v/>
      </c>
    </row>
    <row r="10776">
      <c r="J10776">
        <f>IFERROR(__xludf.DUMMYFUNCTION("""COMPUTED_VALUE"""),"Montréal (Québec)")</f>
        <v/>
      </c>
      <c r="K10776">
        <f>IFERROR(__xludf.DUMMYFUNCTION("""COMPUTED_VALUE"""),3244.4)</f>
        <v/>
      </c>
    </row>
    <row r="10777">
      <c r="J10777">
        <f>IFERROR(__xludf.DUMMYFUNCTION("""COMPUTED_VALUE"""),"Arlington NY")</f>
        <v/>
      </c>
      <c r="K10777">
        <f>IFERROR(__xludf.DUMMYFUNCTION("""COMPUTED_VALUE"""),3244.29)</f>
        <v/>
      </c>
    </row>
    <row r="10778">
      <c r="J10778">
        <f>IFERROR(__xludf.DUMMYFUNCTION("""COMPUTED_VALUE"""),"Sea Island")</f>
        <v/>
      </c>
      <c r="K10778">
        <f>IFERROR(__xludf.DUMMYFUNCTION("""COMPUTED_VALUE"""),3243.95)</f>
        <v/>
      </c>
    </row>
    <row r="10779">
      <c r="J10779">
        <f>IFERROR(__xludf.DUMMYFUNCTION("""COMPUTED_VALUE"""),"Sudbury, ON Regina, SK Saskatoon, SK Winnipeg, MB")</f>
        <v/>
      </c>
      <c r="K10779">
        <f>IFERROR(__xludf.DUMMYFUNCTION("""COMPUTED_VALUE"""),3242.51)</f>
        <v/>
      </c>
    </row>
    <row r="10780">
      <c r="J10780">
        <f>IFERROR(__xludf.DUMMYFUNCTION("""COMPUTED_VALUE"""),"Moncton, New Brunswick and Charlottetown, Prince Edward Island")</f>
        <v/>
      </c>
      <c r="K10780">
        <f>IFERROR(__xludf.DUMMYFUNCTION("""COMPUTED_VALUE"""),3240.85999999999)</f>
        <v/>
      </c>
    </row>
    <row r="10781">
      <c r="J10781">
        <f>IFERROR(__xludf.DUMMYFUNCTION("""COMPUTED_VALUE"""),"Halifax, Nova Scotia and Washington, US")</f>
        <v/>
      </c>
      <c r="K10781">
        <f>IFERROR(__xludf.DUMMYFUNCTION("""COMPUTED_VALUE"""),3240.85)</f>
        <v/>
      </c>
    </row>
    <row r="10782">
      <c r="J10782">
        <f>IFERROR(__xludf.DUMMYFUNCTION("""COMPUTED_VALUE"""),"Minneapolis, Minnesota U.S.A.")</f>
        <v/>
      </c>
      <c r="K10782">
        <f>IFERROR(__xludf.DUMMYFUNCTION("""COMPUTED_VALUE"""),3240.06)</f>
        <v/>
      </c>
    </row>
    <row r="10783">
      <c r="J10783">
        <f>IFERROR(__xludf.DUMMYFUNCTION("""COMPUTED_VALUE"""),"Charlottetown, Prince Edward Island / Moncton, New Brunswick / Toronto, Ontario, Canada")</f>
        <v/>
      </c>
      <c r="K10783">
        <f>IFERROR(__xludf.DUMMYFUNCTION("""COMPUTED_VALUE"""),3239.82)</f>
        <v/>
      </c>
    </row>
    <row r="10784">
      <c r="J10784">
        <f>IFERROR(__xludf.DUMMYFUNCTION("""COMPUTED_VALUE"""),"Tampa; Miami; and Key West Florida USA")</f>
        <v/>
      </c>
      <c r="K10784">
        <f>IFERROR(__xludf.DUMMYFUNCTION("""COMPUTED_VALUE"""),3239.63)</f>
        <v/>
      </c>
    </row>
    <row r="10785">
      <c r="J10785">
        <f>IFERROR(__xludf.DUMMYFUNCTION("""COMPUTED_VALUE"""),"Winnipeg, Manitoba, Canada; Thomson, Manitoba, Canada; Gillam, Manitoba, Canada")</f>
        <v/>
      </c>
      <c r="K10785">
        <f>IFERROR(__xludf.DUMMYFUNCTION("""COMPUTED_VALUE"""),3239.61)</f>
        <v/>
      </c>
    </row>
    <row r="10786">
      <c r="J10786">
        <f>IFERROR(__xludf.DUMMYFUNCTION("""COMPUTED_VALUE"""),"Calgary, AB/Regina, SK")</f>
        <v/>
      </c>
      <c r="K10786">
        <f>IFERROR(__xludf.DUMMYFUNCTION("""COMPUTED_VALUE"""),3238.82)</f>
        <v/>
      </c>
    </row>
    <row r="10787">
      <c r="J10787">
        <f>IFERROR(__xludf.DUMMYFUNCTION("""COMPUTED_VALUE"""),"Indian Wells, CA")</f>
        <v/>
      </c>
      <c r="K10787">
        <f>IFERROR(__xludf.DUMMYFUNCTION("""COMPUTED_VALUE"""),3238.82)</f>
        <v/>
      </c>
    </row>
    <row r="10788">
      <c r="J10788">
        <f>IFERROR(__xludf.DUMMYFUNCTION("""COMPUTED_VALUE"""),"Toronto, Ontario, Canada/ Detroit, Michigan, United States")</f>
        <v/>
      </c>
      <c r="K10788">
        <f>IFERROR(__xludf.DUMMYFUNCTION("""COMPUTED_VALUE"""),3237.41)</f>
        <v/>
      </c>
    </row>
    <row r="10789">
      <c r="J10789">
        <f>IFERROR(__xludf.DUMMYFUNCTION("""COMPUTED_VALUE"""),"Toronto, ON; Sudbury, ON")</f>
        <v/>
      </c>
      <c r="K10789">
        <f>IFERROR(__xludf.DUMMYFUNCTION("""COMPUTED_VALUE"""),3236.86999999999)</f>
        <v/>
      </c>
    </row>
    <row r="10790">
      <c r="J10790">
        <f>IFERROR(__xludf.DUMMYFUNCTION("""COMPUTED_VALUE"""),"Ottawa - Hamilton - Ottawa")</f>
        <v/>
      </c>
      <c r="K10790">
        <f>IFERROR(__xludf.DUMMYFUNCTION("""COMPUTED_VALUE"""),3236.57)</f>
        <v/>
      </c>
    </row>
    <row r="10791">
      <c r="J10791">
        <f>IFERROR(__xludf.DUMMYFUNCTION("""COMPUTED_VALUE"""),"Vancouver, Bristish Columbia &amp; Yellowknife Northwest Territories")</f>
        <v/>
      </c>
      <c r="K10791">
        <f>IFERROR(__xludf.DUMMYFUNCTION("""COMPUTED_VALUE"""),3236.49)</f>
        <v/>
      </c>
    </row>
    <row r="10792">
      <c r="J10792">
        <f>IFERROR(__xludf.DUMMYFUNCTION("""COMPUTED_VALUE"""),"St-Jean sur Richelieu")</f>
        <v/>
      </c>
      <c r="K10792">
        <f>IFERROR(__xludf.DUMMYFUNCTION("""COMPUTED_VALUE"""),3236.09)</f>
        <v/>
      </c>
    </row>
    <row r="10793">
      <c r="J10793">
        <f>IFERROR(__xludf.DUMMYFUNCTION("""COMPUTED_VALUE"""),"Charlottetown, PE, Halifax, NS")</f>
        <v/>
      </c>
      <c r="K10793">
        <f>IFERROR(__xludf.DUMMYFUNCTION("""COMPUTED_VALUE"""),3235.91)</f>
        <v/>
      </c>
    </row>
    <row r="10794">
      <c r="J10794">
        <f>IFERROR(__xludf.DUMMYFUNCTION("""COMPUTED_VALUE"""),"Abbortsford, BC")</f>
        <v/>
      </c>
      <c r="K10794">
        <f>IFERROR(__xludf.DUMMYFUNCTION("""COMPUTED_VALUE"""),3235.46)</f>
        <v/>
      </c>
    </row>
    <row r="10795">
      <c r="J10795">
        <f>IFERROR(__xludf.DUMMYFUNCTION("""COMPUTED_VALUE"""),"Ottawa, ON - Charlottetown, PE / Charlottetown, PE - Halifax, NS / Halifax, NS - Ottawa, ON")</f>
        <v/>
      </c>
      <c r="K10795">
        <f>IFERROR(__xludf.DUMMYFUNCTION("""COMPUTED_VALUE"""),3235.2)</f>
        <v/>
      </c>
    </row>
    <row r="10796">
      <c r="J10796">
        <f>IFERROR(__xludf.DUMMYFUNCTION("""COMPUTED_VALUE"""),"Aylmer, Quebec")</f>
        <v/>
      </c>
      <c r="K10796">
        <f>IFERROR(__xludf.DUMMYFUNCTION("""COMPUTED_VALUE"""),3235)</f>
        <v/>
      </c>
    </row>
    <row r="10797">
      <c r="J10797">
        <f>IFERROR(__xludf.DUMMYFUNCTION("""COMPUTED_VALUE"""),"Ottawa, ON and Edmonton , AB")</f>
        <v/>
      </c>
      <c r="K10797">
        <f>IFERROR(__xludf.DUMMYFUNCTION("""COMPUTED_VALUE"""),3234.49)</f>
        <v/>
      </c>
    </row>
    <row r="10798">
      <c r="J10798">
        <f>IFERROR(__xludf.DUMMYFUNCTION("""COMPUTED_VALUE"""),"Jackson, South Carolina")</f>
        <v/>
      </c>
      <c r="K10798">
        <f>IFERROR(__xludf.DUMMYFUNCTION("""COMPUTED_VALUE"""),3234.31)</f>
        <v/>
      </c>
    </row>
    <row r="10799">
      <c r="J10799">
        <f>IFERROR(__xludf.DUMMYFUNCTION("""COMPUTED_VALUE"""),"Nukualofa, Tonga")</f>
        <v/>
      </c>
      <c r="K10799">
        <f>IFERROR(__xludf.DUMMYFUNCTION("""COMPUTED_VALUE"""),3234.14)</f>
        <v/>
      </c>
    </row>
    <row r="10800">
      <c r="J10800">
        <f>IFERROR(__xludf.DUMMYFUNCTION("""COMPUTED_VALUE"""),"Boston, MA &amp; Guelph, Ont.")</f>
        <v/>
      </c>
      <c r="K10800">
        <f>IFERROR(__xludf.DUMMYFUNCTION("""COMPUTED_VALUE"""),3233.75)</f>
        <v/>
      </c>
    </row>
    <row r="10801">
      <c r="J10801">
        <f>IFERROR(__xludf.DUMMYFUNCTION("""COMPUTED_VALUE"""),"Ottawa - Kelowna - Ottawa")</f>
        <v/>
      </c>
      <c r="K10801">
        <f>IFERROR(__xludf.DUMMYFUNCTION("""COMPUTED_VALUE"""),3233.65)</f>
        <v/>
      </c>
    </row>
    <row r="10802">
      <c r="J10802">
        <f>IFERROR(__xludf.DUMMYFUNCTION("""COMPUTED_VALUE"""),"Toronto, Ontario, Canada; Vancouver, British Columbia, Canada; Dartmouth, Nova Scotia, Canada; Charlottetown, Prince Edward Island, Canada")</f>
        <v/>
      </c>
      <c r="K10802">
        <f>IFERROR(__xludf.DUMMYFUNCTION("""COMPUTED_VALUE"""),3233.53)</f>
        <v/>
      </c>
    </row>
    <row r="10803">
      <c r="J10803">
        <f>IFERROR(__xludf.DUMMYFUNCTION("""COMPUTED_VALUE"""),"Winnipeg, Manitoba; Edmonton, Alberta; Saskatoon, saskatchewan")</f>
        <v/>
      </c>
      <c r="K10803">
        <f>IFERROR(__xludf.DUMMYFUNCTION("""COMPUTED_VALUE"""),3232)</f>
        <v/>
      </c>
    </row>
    <row r="10804">
      <c r="J10804">
        <f>IFERROR(__xludf.DUMMYFUNCTION("""COMPUTED_VALUE"""),"Ottawa and Orillia, Ontario")</f>
        <v/>
      </c>
      <c r="K10804">
        <f>IFERROR(__xludf.DUMMYFUNCTION("""COMPUTED_VALUE"""),3231.27)</f>
        <v/>
      </c>
    </row>
    <row r="10805">
      <c r="J10805">
        <f>IFERROR(__xludf.DUMMYFUNCTION("""COMPUTED_VALUE"""),"Halifax, N.S. &amp; Quebec, Quebec, Canada")</f>
        <v/>
      </c>
      <c r="K10805">
        <f>IFERROR(__xludf.DUMMYFUNCTION("""COMPUTED_VALUE"""),3231.15)</f>
        <v/>
      </c>
    </row>
    <row r="10806">
      <c r="J10806">
        <f>IFERROR(__xludf.DUMMYFUNCTION("""COMPUTED_VALUE"""),"Bathurst, New Brunswick, Canada; Halifax, Nova Scotia, Canada; Winnipeg, Manitoba, Canada")</f>
        <v/>
      </c>
      <c r="K10806">
        <f>IFERROR(__xludf.DUMMYFUNCTION("""COMPUTED_VALUE"""),3230.08)</f>
        <v/>
      </c>
    </row>
    <row r="10807">
      <c r="J10807">
        <f>IFERROR(__xludf.DUMMYFUNCTION("""COMPUTED_VALUE"""),"Gagetown, New Brunswick, Canada")</f>
        <v/>
      </c>
      <c r="K10807">
        <f>IFERROR(__xludf.DUMMYFUNCTION("""COMPUTED_VALUE"""),3228.79)</f>
        <v/>
      </c>
    </row>
    <row r="10808">
      <c r="J10808">
        <f>IFERROR(__xludf.DUMMYFUNCTION("""COMPUTED_VALUE"""),"Bismarck, North Dakota, United States")</f>
        <v/>
      </c>
      <c r="K10808">
        <f>IFERROR(__xludf.DUMMYFUNCTION("""COMPUTED_VALUE"""),3226.51)</f>
        <v/>
      </c>
    </row>
    <row r="10809">
      <c r="J10809">
        <f>IFERROR(__xludf.DUMMYFUNCTION("""COMPUTED_VALUE"""),"Halifax, Nova Scotia &amp; St. Johns, Newfoundland")</f>
        <v/>
      </c>
      <c r="K10809">
        <f>IFERROR(__xludf.DUMMYFUNCTION("""COMPUTED_VALUE"""),3226.02)</f>
        <v/>
      </c>
    </row>
    <row r="10810">
      <c r="J10810">
        <f>IFERROR(__xludf.DUMMYFUNCTION("""COMPUTED_VALUE"""),"San Diego, California, United States of America")</f>
        <v/>
      </c>
      <c r="K10810">
        <f>IFERROR(__xludf.DUMMYFUNCTION("""COMPUTED_VALUE"""),3225.8)</f>
        <v/>
      </c>
    </row>
    <row r="10811">
      <c r="J10811">
        <f>IFERROR(__xludf.DUMMYFUNCTION("""COMPUTED_VALUE"""),"Regina, Saskatoon, Saskatchewan, and Vancouver, British Columbia")</f>
        <v/>
      </c>
      <c r="K10811">
        <f>IFERROR(__xludf.DUMMYFUNCTION("""COMPUTED_VALUE"""),3225.79)</f>
        <v/>
      </c>
    </row>
    <row r="10812">
      <c r="J10812">
        <f>IFERROR(__xludf.DUMMYFUNCTION("""COMPUTED_VALUE"""),"Charlottetown, Prince Edward Island, Canada
Moncton, New Brunswick, Canada
Halifax, Nova Scotia, Canada")</f>
        <v/>
      </c>
      <c r="K10812">
        <f>IFERROR(__xludf.DUMMYFUNCTION("""COMPUTED_VALUE"""),3224.68)</f>
        <v/>
      </c>
    </row>
    <row r="10813">
      <c r="J10813">
        <f>IFERROR(__xludf.DUMMYFUNCTION("""COMPUTED_VALUE"""),"Winnipeg, MN, Canada")</f>
        <v/>
      </c>
      <c r="K10813">
        <f>IFERROR(__xludf.DUMMYFUNCTION("""COMPUTED_VALUE"""),3223.15)</f>
        <v/>
      </c>
    </row>
    <row r="10814">
      <c r="J10814">
        <f>IFERROR(__xludf.DUMMYFUNCTION("""COMPUTED_VALUE"""),"Halifax, Charlottetown and St. John's")</f>
        <v/>
      </c>
      <c r="K10814">
        <f>IFERROR(__xludf.DUMMYFUNCTION("""COMPUTED_VALUE"""),3222.72)</f>
        <v/>
      </c>
    </row>
    <row r="10815">
      <c r="J10815">
        <f>IFERROR(__xludf.DUMMYFUNCTION("""COMPUTED_VALUE"""),"Porto Alegre, Brazil")</f>
        <v/>
      </c>
      <c r="K10815">
        <f>IFERROR(__xludf.DUMMYFUNCTION("""COMPUTED_VALUE"""),3222.64)</f>
        <v/>
      </c>
    </row>
    <row r="10816">
      <c r="J10816">
        <f>IFERROR(__xludf.DUMMYFUNCTION("""COMPUTED_VALUE"""),"Calgary, AB / Washington, DC")</f>
        <v/>
      </c>
      <c r="K10816">
        <f>IFERROR(__xludf.DUMMYFUNCTION("""COMPUTED_VALUE"""),3221.49)</f>
        <v/>
      </c>
    </row>
    <row r="10817">
      <c r="J10817">
        <f>IFERROR(__xludf.DUMMYFUNCTION("""COMPUTED_VALUE"""),"Toronto, Gimli, Winnipeg, Toronto")</f>
        <v/>
      </c>
      <c r="K10817">
        <f>IFERROR(__xludf.DUMMYFUNCTION("""COMPUTED_VALUE"""),3220.68)</f>
        <v/>
      </c>
    </row>
    <row r="10818">
      <c r="J10818">
        <f>IFERROR(__xludf.DUMMYFUNCTION("""COMPUTED_VALUE"""),"Halifax, NS,Fredericton, NB, Charlottetown PEI and St-John's NL")</f>
        <v/>
      </c>
      <c r="K10818">
        <f>IFERROR(__xludf.DUMMYFUNCTION("""COMPUTED_VALUE"""),3219.5)</f>
        <v/>
      </c>
    </row>
    <row r="10819">
      <c r="J10819">
        <f>IFERROR(__xludf.DUMMYFUNCTION("""COMPUTED_VALUE"""),"St. John's and Happy Valley-Goose Bay, Newfoundland and Labrador")</f>
        <v/>
      </c>
      <c r="K10819">
        <f>IFERROR(__xludf.DUMMYFUNCTION("""COMPUTED_VALUE"""),3219.04)</f>
        <v/>
      </c>
    </row>
    <row r="10820">
      <c r="J10820">
        <f>IFERROR(__xludf.DUMMYFUNCTION("""COMPUTED_VALUE"""),"St. Kitts, St. Kitts and Nevis")</f>
        <v/>
      </c>
      <c r="K10820">
        <f>IFERROR(__xludf.DUMMYFUNCTION("""COMPUTED_VALUE"""),3218.35)</f>
        <v/>
      </c>
    </row>
    <row r="10821">
      <c r="J10821">
        <f>IFERROR(__xludf.DUMMYFUNCTION("""COMPUTED_VALUE"""),"Port Alberni, BC")</f>
        <v/>
      </c>
      <c r="K10821">
        <f>IFERROR(__xludf.DUMMYFUNCTION("""COMPUTED_VALUE"""),3217.41)</f>
        <v/>
      </c>
    </row>
    <row r="10822">
      <c r="J10822">
        <f>IFERROR(__xludf.DUMMYFUNCTION("""COMPUTED_VALUE"""),"Goose Bay, Newfoundland and Labrador, Canada; St. John's, Newfoundland and Labrador, Canada; Montréal, Quebec, Canada")</f>
        <v/>
      </c>
      <c r="K10822">
        <f>IFERROR(__xludf.DUMMYFUNCTION("""COMPUTED_VALUE"""),3216.93)</f>
        <v/>
      </c>
    </row>
    <row r="10823">
      <c r="J10823">
        <f>IFERROR(__xludf.DUMMYFUNCTION("""COMPUTED_VALUE"""),"Gagetown, New Brunswick")</f>
        <v/>
      </c>
      <c r="K10823">
        <f>IFERROR(__xludf.DUMMYFUNCTION("""COMPUTED_VALUE"""),3216.52999999999)</f>
        <v/>
      </c>
    </row>
    <row r="10824">
      <c r="J10824">
        <f>IFERROR(__xludf.DUMMYFUNCTION("""COMPUTED_VALUE"""),"Ottawa, ON, Winnipeg, MB")</f>
        <v/>
      </c>
      <c r="K10824">
        <f>IFERROR(__xludf.DUMMYFUNCTION("""COMPUTED_VALUE"""),3216.18)</f>
        <v/>
      </c>
    </row>
    <row r="10825">
      <c r="J10825">
        <f>IFERROR(__xludf.DUMMYFUNCTION("""COMPUTED_VALUE"""),"Quebec, Quebec, Canada
Montreal, Quebec, Canada")</f>
        <v/>
      </c>
      <c r="K10825">
        <f>IFERROR(__xludf.DUMMYFUNCTION("""COMPUTED_VALUE"""),3215.96)</f>
        <v/>
      </c>
    </row>
    <row r="10826">
      <c r="J10826">
        <f>IFERROR(__xludf.DUMMYFUNCTION("""COMPUTED_VALUE"""),"Brussels, Belgium / Munich, Germany")</f>
        <v/>
      </c>
      <c r="K10826">
        <f>IFERROR(__xludf.DUMMYFUNCTION("""COMPUTED_VALUE"""),3215.87)</f>
        <v/>
      </c>
    </row>
    <row r="10827">
      <c r="J10827">
        <f>IFERROR(__xludf.DUMMYFUNCTION("""COMPUTED_VALUE"""),"Ottawa, ON, Rome, NY, Washinton, DC")</f>
        <v/>
      </c>
      <c r="K10827">
        <f>IFERROR(__xludf.DUMMYFUNCTION("""COMPUTED_VALUE"""),3215.83)</f>
        <v/>
      </c>
    </row>
    <row r="10828">
      <c r="J10828">
        <f>IFERROR(__xludf.DUMMYFUNCTION("""COMPUTED_VALUE"""),"Thunder Bay, Ontario, Canada; Vancouver, British Columbia, Canada; Kelowna, British Columbia, Canada")</f>
        <v/>
      </c>
      <c r="K10828">
        <f>IFERROR(__xludf.DUMMYFUNCTION("""COMPUTED_VALUE"""),3213.81)</f>
        <v/>
      </c>
    </row>
    <row r="10829">
      <c r="J10829">
        <f>IFERROR(__xludf.DUMMYFUNCTION("""COMPUTED_VALUE"""),"Rimouski, QC")</f>
        <v/>
      </c>
      <c r="K10829">
        <f>IFERROR(__xludf.DUMMYFUNCTION("""COMPUTED_VALUE"""),3213.43)</f>
        <v/>
      </c>
    </row>
    <row r="10830">
      <c r="J10830">
        <f>IFERROR(__xludf.DUMMYFUNCTION("""COMPUTED_VALUE"""),"Nanaimo, British Columbia, Canada and Richmond, British Columbia, Canada")</f>
        <v/>
      </c>
      <c r="K10830">
        <f>IFERROR(__xludf.DUMMYFUNCTION("""COMPUTED_VALUE"""),3212.41)</f>
        <v/>
      </c>
    </row>
    <row r="10831">
      <c r="J10831">
        <f>IFERROR(__xludf.DUMMYFUNCTION("""COMPUTED_VALUE"""),"KAMLOOPS, BRITISH COLUMBIA, CANADA")</f>
        <v/>
      </c>
      <c r="K10831">
        <f>IFERROR(__xludf.DUMMYFUNCTION("""COMPUTED_VALUE"""),3211.27)</f>
        <v/>
      </c>
    </row>
    <row r="10832">
      <c r="J10832">
        <f>IFERROR(__xludf.DUMMYFUNCTION("""COMPUTED_VALUE"""),"Saskatoon, SK and Kelowna,BC, Canada")</f>
        <v/>
      </c>
      <c r="K10832">
        <f>IFERROR(__xludf.DUMMYFUNCTION("""COMPUTED_VALUE"""),3211.27)</f>
        <v/>
      </c>
    </row>
    <row r="10833">
      <c r="J10833">
        <f>IFERROR(__xludf.DUMMYFUNCTION("""COMPUTED_VALUE"""),"Toronto, ON Saskatoon, SK")</f>
        <v/>
      </c>
      <c r="K10833">
        <f>IFERROR(__xludf.DUMMYFUNCTION("""COMPUTED_VALUE"""),3211.26)</f>
        <v/>
      </c>
    </row>
    <row r="10834">
      <c r="J10834">
        <f>IFERROR(__xludf.DUMMYFUNCTION("""COMPUTED_VALUE"""),"Rome, Italie")</f>
        <v/>
      </c>
      <c r="K10834">
        <f>IFERROR(__xludf.DUMMYFUNCTION("""COMPUTED_VALUE"""),3210.86)</f>
        <v/>
      </c>
    </row>
    <row r="10835">
      <c r="J10835">
        <f>IFERROR(__xludf.DUMMYFUNCTION("""COMPUTED_VALUE"""),"Calgary, AB; Victoria, Vancouver, BC, Regina, Saskatoon, SK")</f>
        <v/>
      </c>
      <c r="K10835">
        <f>IFERROR(__xludf.DUMMYFUNCTION("""COMPUTED_VALUE"""),3210.65)</f>
        <v/>
      </c>
    </row>
    <row r="10836">
      <c r="J10836">
        <f>IFERROR(__xludf.DUMMYFUNCTION("""COMPUTED_VALUE"""),"Whitecap/Saskatoon, Saskatchewan, Canada and Winnipeg, Manitoba, Canada")</f>
        <v/>
      </c>
      <c r="K10836">
        <f>IFERROR(__xludf.DUMMYFUNCTION("""COMPUTED_VALUE"""),3210.62)</f>
        <v/>
      </c>
    </row>
    <row r="10837">
      <c r="J10837">
        <f>IFERROR(__xludf.DUMMYFUNCTION("""COMPUTED_VALUE"""),"Québec Saint-Antoine-de-l'Île-aux-Grues Baie-Sainte-Catherine Tadoussac, Quebec – Sydney Ingonish Louisbourg, Nova Scotia")</f>
        <v/>
      </c>
      <c r="K10837">
        <f>IFERROR(__xludf.DUMMYFUNCTION("""COMPUTED_VALUE"""),3210.58)</f>
        <v/>
      </c>
    </row>
    <row r="10838">
      <c r="J10838">
        <f>IFERROR(__xludf.DUMMYFUNCTION("""COMPUTED_VALUE"""),"Atlanta, GA USA")</f>
        <v/>
      </c>
      <c r="K10838">
        <f>IFERROR(__xludf.DUMMYFUNCTION("""COMPUTED_VALUE"""),3210.46)</f>
        <v/>
      </c>
    </row>
    <row r="10839">
      <c r="J10839">
        <f>IFERROR(__xludf.DUMMYFUNCTION("""COMPUTED_VALUE"""),"Windsor, Ontario, Canada; Brantford, Ontario, Canada; Toronto, Ontario, Canada")</f>
        <v/>
      </c>
      <c r="K10839">
        <f>IFERROR(__xludf.DUMMYFUNCTION("""COMPUTED_VALUE"""),3210.38)</f>
        <v/>
      </c>
    </row>
    <row r="10840">
      <c r="J10840">
        <f>IFERROR(__xludf.DUMMYFUNCTION("""COMPUTED_VALUE"""),"Winnipeg, MB, Calgary, AB and Montréal, QC")</f>
        <v/>
      </c>
      <c r="K10840">
        <f>IFERROR(__xludf.DUMMYFUNCTION("""COMPUTED_VALUE"""),3210.13)</f>
        <v/>
      </c>
    </row>
    <row r="10841">
      <c r="J10841">
        <f>IFERROR(__xludf.DUMMYFUNCTION("""COMPUTED_VALUE"""),"Victoria &amp; Vancouver, British-Colombia")</f>
        <v/>
      </c>
      <c r="K10841">
        <f>IFERROR(__xludf.DUMMYFUNCTION("""COMPUTED_VALUE"""),3208.46)</f>
        <v/>
      </c>
    </row>
    <row r="10842">
      <c r="J10842">
        <f>IFERROR(__xludf.DUMMYFUNCTION("""COMPUTED_VALUE"""),"Ottawa /Trois-Rivières / Gatineau")</f>
        <v/>
      </c>
      <c r="K10842">
        <f>IFERROR(__xludf.DUMMYFUNCTION("""COMPUTED_VALUE"""),3206.75)</f>
        <v/>
      </c>
    </row>
    <row r="10843">
      <c r="J10843">
        <f>IFERROR(__xludf.DUMMYFUNCTION("""COMPUTED_VALUE"""),"Colorado Springs, U.S.A.")</f>
        <v/>
      </c>
      <c r="K10843">
        <f>IFERROR(__xludf.DUMMYFUNCTION("""COMPUTED_VALUE"""),3206.56)</f>
        <v/>
      </c>
    </row>
    <row r="10844">
      <c r="J10844">
        <f>IFERROR(__xludf.DUMMYFUNCTION("""COMPUTED_VALUE"""),"London, ON / Montreal, QC /
Oshawa, ON")</f>
        <v/>
      </c>
      <c r="K10844">
        <f>IFERROR(__xludf.DUMMYFUNCTION("""COMPUTED_VALUE"""),3205.67)</f>
        <v/>
      </c>
    </row>
    <row r="10845">
      <c r="J10845">
        <f>IFERROR(__xludf.DUMMYFUNCTION("""COMPUTED_VALUE"""),"Calgary, Alberta, Canada; Windsor, Ontario, Canada; Montreal, Quebec, Canada")</f>
        <v/>
      </c>
      <c r="K10845">
        <f>IFERROR(__xludf.DUMMYFUNCTION("""COMPUTED_VALUE"""),3205.53)</f>
        <v/>
      </c>
    </row>
    <row r="10846">
      <c r="J10846">
        <f>IFERROR(__xludf.DUMMYFUNCTION("""COMPUTED_VALUE"""),"Whitehorse, Yukon Territory  and  Vancouver, British Columbia")</f>
        <v/>
      </c>
      <c r="K10846">
        <f>IFERROR(__xludf.DUMMYFUNCTION("""COMPUTED_VALUE"""),3205.5)</f>
        <v/>
      </c>
    </row>
    <row r="10847">
      <c r="J10847">
        <f>IFERROR(__xludf.DUMMYFUNCTION("""COMPUTED_VALUE"""),"Buenos Aires, Brazil &amp; Santiago, Chile")</f>
        <v/>
      </c>
      <c r="K10847">
        <f>IFERROR(__xludf.DUMMYFUNCTION("""COMPUTED_VALUE"""),3205.26)</f>
        <v/>
      </c>
    </row>
    <row r="10848">
      <c r="J10848">
        <f>IFERROR(__xludf.DUMMYFUNCTION("""COMPUTED_VALUE"""),"Edmonton, Alberta; Red Deer, Alberta; Calgary, Alberta")</f>
        <v/>
      </c>
      <c r="K10848">
        <f>IFERROR(__xludf.DUMMYFUNCTION("""COMPUTED_VALUE"""),3204.48)</f>
        <v/>
      </c>
    </row>
    <row r="10849">
      <c r="J10849">
        <f>IFERROR(__xludf.DUMMYFUNCTION("""COMPUTED_VALUE"""),"Calgary, Alberta, Vancouver, British Columbia")</f>
        <v/>
      </c>
      <c r="K10849">
        <f>IFERROR(__xludf.DUMMYFUNCTION("""COMPUTED_VALUE"""),3203.62)</f>
        <v/>
      </c>
    </row>
    <row r="10850">
      <c r="J10850">
        <f>IFERROR(__xludf.DUMMYFUNCTION("""COMPUTED_VALUE"""),"Vancouver, Williams Lake and Victoria, British Columbia, Canada")</f>
        <v/>
      </c>
      <c r="K10850">
        <f>IFERROR(__xludf.DUMMYFUNCTION("""COMPUTED_VALUE"""),3203.56)</f>
        <v/>
      </c>
    </row>
    <row r="10851">
      <c r="J10851">
        <f>IFERROR(__xludf.DUMMYFUNCTION("""COMPUTED_VALUE"""),"Vancouver, British-Columbia, Canada
Victoria, British-Victoria, Canada")</f>
        <v/>
      </c>
      <c r="K10851">
        <f>IFERROR(__xludf.DUMMYFUNCTION("""COMPUTED_VALUE"""),3202.54)</f>
        <v/>
      </c>
    </row>
    <row r="10852">
      <c r="J10852">
        <f>IFERROR(__xludf.DUMMYFUNCTION("""COMPUTED_VALUE"""),"Naples, Florida, United States")</f>
        <v/>
      </c>
      <c r="K10852">
        <f>IFERROR(__xludf.DUMMYFUNCTION("""COMPUTED_VALUE"""),3201.7)</f>
        <v/>
      </c>
    </row>
    <row r="10853">
      <c r="J10853">
        <f>IFERROR(__xludf.DUMMYFUNCTION("""COMPUTED_VALUE"""),"Boston, Massachusetts, United State")</f>
        <v/>
      </c>
      <c r="K10853">
        <f>IFERROR(__xludf.DUMMYFUNCTION("""COMPUTED_VALUE"""),3199.5)</f>
        <v/>
      </c>
    </row>
    <row r="10854">
      <c r="J10854">
        <f>IFERROR(__xludf.DUMMYFUNCTION("""COMPUTED_VALUE"""),"Ottawa, ON - Toronto, ON")</f>
        <v/>
      </c>
      <c r="K10854">
        <f>IFERROR(__xludf.DUMMYFUNCTION("""COMPUTED_VALUE"""),3198.81)</f>
        <v/>
      </c>
    </row>
    <row r="10855">
      <c r="J10855">
        <f>IFERROR(__xludf.DUMMYFUNCTION("""COMPUTED_VALUE"""),"Ottawa, ON - Montreal, QC / Montreal, QC - Quebec, QC / Quebec, QC - Ottawa, ON")</f>
        <v/>
      </c>
      <c r="K10855">
        <f>IFERROR(__xludf.DUMMYFUNCTION("""COMPUTED_VALUE"""),3197.54)</f>
        <v/>
      </c>
    </row>
    <row r="10856">
      <c r="J10856">
        <f>IFERROR(__xludf.DUMMYFUNCTION("""COMPUTED_VALUE"""),"San Antonio, TX / Fredericksburg, TX / San Marcos, TX / Austin, TX")</f>
        <v/>
      </c>
      <c r="K10856">
        <f>IFERROR(__xludf.DUMMYFUNCTION("""COMPUTED_VALUE"""),3196.68)</f>
        <v/>
      </c>
    </row>
    <row r="10857">
      <c r="J10857">
        <f>IFERROR(__xludf.DUMMYFUNCTION("""COMPUTED_VALUE"""),"Innisfail and Drumheller, Alberta, Canada")</f>
        <v/>
      </c>
      <c r="K10857">
        <f>IFERROR(__xludf.DUMMYFUNCTION("""COMPUTED_VALUE"""),3196.16)</f>
        <v/>
      </c>
    </row>
    <row r="10858">
      <c r="J10858">
        <f>IFERROR(__xludf.DUMMYFUNCTION("""COMPUTED_VALUE"""),"Toronto, ON, Charlottetown, PEI, St-John's, NL and Halifax, NS")</f>
        <v/>
      </c>
      <c r="K10858">
        <f>IFERROR(__xludf.DUMMYFUNCTION("""COMPUTED_VALUE"""),3195.72)</f>
        <v/>
      </c>
    </row>
    <row r="10859">
      <c r="J10859">
        <f>IFERROR(__xludf.DUMMYFUNCTION("""COMPUTED_VALUE"""),"Phoenix, AZ")</f>
        <v/>
      </c>
      <c r="K10859">
        <f>IFERROR(__xludf.DUMMYFUNCTION("""COMPUTED_VALUE"""),3195.43)</f>
        <v/>
      </c>
    </row>
    <row r="10860">
      <c r="J10860">
        <f>IFERROR(__xludf.DUMMYFUNCTION("""COMPUTED_VALUE"""),"Regina, Saskatchewan, Canada; Abbotsford, British Columbia, Canada")</f>
        <v/>
      </c>
      <c r="K10860">
        <f>IFERROR(__xludf.DUMMYFUNCTION("""COMPUTED_VALUE"""),3194.87)</f>
        <v/>
      </c>
    </row>
    <row r="10861">
      <c r="J10861">
        <f>IFERROR(__xludf.DUMMYFUNCTION("""COMPUTED_VALUE"""),"Terrace, British Columbia, Canada; Prince George, British Columbia, Canada; Vancouver, British Columbia, Canada; Nelson, British Columbia, Canada; Richmond, British Columbia, Canada")</f>
        <v/>
      </c>
      <c r="K10861">
        <f>IFERROR(__xludf.DUMMYFUNCTION("""COMPUTED_VALUE"""),3194.78)</f>
        <v/>
      </c>
    </row>
    <row r="10862">
      <c r="J10862">
        <f>IFERROR(__xludf.DUMMYFUNCTION("""COMPUTED_VALUE"""),"Indianapolis (Indiana) United States")</f>
        <v/>
      </c>
      <c r="K10862">
        <f>IFERROR(__xludf.DUMMYFUNCTION("""COMPUTED_VALUE"""),3194.06)</f>
        <v/>
      </c>
    </row>
    <row r="10863">
      <c r="J10863">
        <f>IFERROR(__xludf.DUMMYFUNCTION("""COMPUTED_VALUE"""),"OTTAWA &amp; TORONTO, ON  &amp; MONTREAL, QC")</f>
        <v/>
      </c>
      <c r="K10863">
        <f>IFERROR(__xludf.DUMMYFUNCTION("""COMPUTED_VALUE"""),3193.2)</f>
        <v/>
      </c>
    </row>
    <row r="10864">
      <c r="J10864">
        <f>IFERROR(__xludf.DUMMYFUNCTION("""COMPUTED_VALUE"""),"Vancouver and Whistler, British-Columbia, Canada")</f>
        <v/>
      </c>
      <c r="K10864">
        <f>IFERROR(__xludf.DUMMYFUNCTION("""COMPUTED_VALUE"""),3192.91)</f>
        <v/>
      </c>
    </row>
    <row r="10865">
      <c r="J10865">
        <f>IFERROR(__xludf.DUMMYFUNCTION("""COMPUTED_VALUE"""),"OTTAWA, ON - KIRKLAND LAKE, ON")</f>
        <v/>
      </c>
      <c r="K10865">
        <f>IFERROR(__xludf.DUMMYFUNCTION("""COMPUTED_VALUE"""),3191.96)</f>
        <v/>
      </c>
    </row>
    <row r="10866">
      <c r="J10866">
        <f>IFERROR(__xludf.DUMMYFUNCTION("""COMPUTED_VALUE"""),"Yellowknife, NT - Calgary AB")</f>
        <v/>
      </c>
      <c r="K10866">
        <f>IFERROR(__xludf.DUMMYFUNCTION("""COMPUTED_VALUE"""),3191.37)</f>
        <v/>
      </c>
    </row>
    <row r="10867">
      <c r="J10867">
        <f>IFERROR(__xludf.DUMMYFUNCTION("""COMPUTED_VALUE"""),"Saskatoon, Saskatchewan; Edmonton, Alberta")</f>
        <v/>
      </c>
      <c r="K10867">
        <f>IFERROR(__xludf.DUMMYFUNCTION("""COMPUTED_VALUE"""),3191.06)</f>
        <v/>
      </c>
    </row>
    <row r="10868">
      <c r="J10868">
        <f>IFERROR(__xludf.DUMMYFUNCTION("""COMPUTED_VALUE"""),"Bathurst, New Brunswick ; St. John, New Brunswick")</f>
        <v/>
      </c>
      <c r="K10868">
        <f>IFERROR(__xludf.DUMMYFUNCTION("""COMPUTED_VALUE"""),3190.5)</f>
        <v/>
      </c>
    </row>
    <row r="10869">
      <c r="J10869">
        <f>IFERROR(__xludf.DUMMYFUNCTION("""COMPUTED_VALUE"""),"Fredericton, NB / Saint John, NB")</f>
        <v/>
      </c>
      <c r="K10869">
        <f>IFERROR(__xludf.DUMMYFUNCTION("""COMPUTED_VALUE"""),3190.42)</f>
        <v/>
      </c>
    </row>
    <row r="10870">
      <c r="J10870">
        <f>IFERROR(__xludf.DUMMYFUNCTION("""COMPUTED_VALUE"""),"Charlottetown, Truro, Sydney")</f>
        <v/>
      </c>
      <c r="K10870">
        <f>IFERROR(__xludf.DUMMYFUNCTION("""COMPUTED_VALUE"""),3190.02)</f>
        <v/>
      </c>
    </row>
    <row r="10871">
      <c r="J10871">
        <f>IFERROR(__xludf.DUMMYFUNCTION("""COMPUTED_VALUE"""),"Halifax, NS / Sydney, NS")</f>
        <v/>
      </c>
      <c r="K10871">
        <f>IFERROR(__xludf.DUMMYFUNCTION("""COMPUTED_VALUE"""),3189.62)</f>
        <v/>
      </c>
    </row>
    <row r="10872">
      <c r="J10872">
        <f>IFERROR(__xludf.DUMMYFUNCTION("""COMPUTED_VALUE"""),"Toronto, ON, Quebec, QC")</f>
        <v/>
      </c>
      <c r="K10872">
        <f>IFERROR(__xludf.DUMMYFUNCTION("""COMPUTED_VALUE"""),3189.26)</f>
        <v/>
      </c>
    </row>
    <row r="10873">
      <c r="J10873">
        <f>IFERROR(__xludf.DUMMYFUNCTION("""COMPUTED_VALUE"""),"Minneapolis, Minnesota, United States;#29")</f>
        <v/>
      </c>
      <c r="K10873">
        <f>IFERROR(__xludf.DUMMYFUNCTION("""COMPUTED_VALUE"""),3189.20999999999)</f>
        <v/>
      </c>
    </row>
    <row r="10874">
      <c r="J10874">
        <f>IFERROR(__xludf.DUMMYFUNCTION("""COMPUTED_VALUE"""),"Windsor, ON / Stratford, ON /
Vaughan, ON / Ajax, ON")</f>
        <v/>
      </c>
      <c r="K10874">
        <f>IFERROR(__xludf.DUMMYFUNCTION("""COMPUTED_VALUE"""),3188.67)</f>
        <v/>
      </c>
    </row>
    <row r="10875">
      <c r="J10875">
        <f>IFERROR(__xludf.DUMMYFUNCTION("""COMPUTED_VALUE"""),"Esquimalt &amp; Comox, British Columbia")</f>
        <v/>
      </c>
      <c r="K10875">
        <f>IFERROR(__xludf.DUMMYFUNCTION("""COMPUTED_VALUE"""),3187.28)</f>
        <v/>
      </c>
    </row>
    <row r="10876">
      <c r="J10876">
        <f>IFERROR(__xludf.DUMMYFUNCTION("""COMPUTED_VALUE"""),"Yellowknife, N.W.T. and Iqaluit, Nunavut")</f>
        <v/>
      </c>
      <c r="K10876">
        <f>IFERROR(__xludf.DUMMYFUNCTION("""COMPUTED_VALUE"""),3186.89)</f>
        <v/>
      </c>
    </row>
    <row r="10877">
      <c r="J10877">
        <f>IFERROR(__xludf.DUMMYFUNCTION("""COMPUTED_VALUE"""),"Ottawa, Ontario, Canada; Montréal, Quebec, Canada; St. John's, Newfoundland and Labrador, Canada")</f>
        <v/>
      </c>
      <c r="K10877">
        <f>IFERROR(__xludf.DUMMYFUNCTION("""COMPUTED_VALUE"""),3186.39)</f>
        <v/>
      </c>
    </row>
    <row r="10878">
      <c r="J10878">
        <f>IFERROR(__xludf.DUMMYFUNCTION("""COMPUTED_VALUE"""),"Ottawa, Ontario, Canada; Sydney, Nova Scotia, Canada")</f>
        <v/>
      </c>
      <c r="K10878">
        <f>IFERROR(__xludf.DUMMYFUNCTION("""COMPUTED_VALUE"""),3185.98)</f>
        <v/>
      </c>
    </row>
    <row r="10879">
      <c r="J10879">
        <f>IFERROR(__xludf.DUMMYFUNCTION("""COMPUTED_VALUE"""),"Ottawa, ON - Toronto, ON / Toronto, ON - Halifax, NS / Halifax, NS - Ottawa, ON")</f>
        <v/>
      </c>
      <c r="K10879">
        <f>IFERROR(__xludf.DUMMYFUNCTION("""COMPUTED_VALUE"""),3185.84)</f>
        <v/>
      </c>
    </row>
    <row r="10880">
      <c r="J10880">
        <f>IFERROR(__xludf.DUMMYFUNCTION("""COMPUTED_VALUE"""),"Winnipeg, Manitoba/Victoria, British Columbia/Vancouver, British Columbia")</f>
        <v/>
      </c>
      <c r="K10880">
        <f>IFERROR(__xludf.DUMMYFUNCTION("""COMPUTED_VALUE"""),3185.48)</f>
        <v/>
      </c>
    </row>
    <row r="10881">
      <c r="J10881">
        <f>IFERROR(__xludf.DUMMYFUNCTION("""COMPUTED_VALUE"""),"Edmonton/Cold Lake (Alberta) Canada")</f>
        <v/>
      </c>
      <c r="K10881">
        <f>IFERROR(__xludf.DUMMYFUNCTION("""COMPUTED_VALUE"""),3185.13)</f>
        <v/>
      </c>
    </row>
    <row r="10882">
      <c r="J10882">
        <f>IFERROR(__xludf.DUMMYFUNCTION("""COMPUTED_VALUE"""),"Saskatoon, SK and Toronto, ON")</f>
        <v/>
      </c>
      <c r="K10882">
        <f>IFERROR(__xludf.DUMMYFUNCTION("""COMPUTED_VALUE"""),3184.12)</f>
        <v/>
      </c>
    </row>
    <row r="10883">
      <c r="J10883">
        <f>IFERROR(__xludf.DUMMYFUNCTION("""COMPUTED_VALUE"""),"Toronto, ON / Raleigh, NC")</f>
        <v/>
      </c>
      <c r="K10883">
        <f>IFERROR(__xludf.DUMMYFUNCTION("""COMPUTED_VALUE"""),3184.07)</f>
        <v/>
      </c>
    </row>
    <row r="10884">
      <c r="J10884">
        <f>IFERROR(__xludf.DUMMYFUNCTION("""COMPUTED_VALUE"""),"Cross Lake, Manitoba")</f>
        <v/>
      </c>
      <c r="K10884">
        <f>IFERROR(__xludf.DUMMYFUNCTION("""COMPUTED_VALUE"""),3183.88)</f>
        <v/>
      </c>
    </row>
    <row r="10885">
      <c r="J10885">
        <f>IFERROR(__xludf.DUMMYFUNCTION("""COMPUTED_VALUE"""),"Winnipeg, Ontario, Canada")</f>
        <v/>
      </c>
      <c r="K10885">
        <f>IFERROR(__xludf.DUMMYFUNCTION("""COMPUTED_VALUE"""),3183.62)</f>
        <v/>
      </c>
    </row>
    <row r="10886">
      <c r="J10886">
        <f>IFERROR(__xludf.DUMMYFUNCTION("""COMPUTED_VALUE"""),"Saint Pierre et Miquelon, France")</f>
        <v/>
      </c>
      <c r="K10886">
        <f>IFERROR(__xludf.DUMMYFUNCTION("""COMPUTED_VALUE"""),3183.02)</f>
        <v/>
      </c>
    </row>
    <row r="10887">
      <c r="J10887">
        <f>IFERROR(__xludf.DUMMYFUNCTION("""COMPUTED_VALUE"""),"North Bay, Ontario, Canada
Timmins, Ontario, Canada
Cochrane, Ontario, Canada
Kapuskasing, Ontario, Canada")</f>
        <v/>
      </c>
      <c r="K10887">
        <f>IFERROR(__xludf.DUMMYFUNCTION("""COMPUTED_VALUE"""),3182.77999999999)</f>
        <v/>
      </c>
    </row>
    <row r="10888">
      <c r="J10888">
        <f>IFERROR(__xludf.DUMMYFUNCTION("""COMPUTED_VALUE"""),"Barrie, Ontario, Canada/ Hamilton, Ontario, Canada")</f>
        <v/>
      </c>
      <c r="K10888">
        <f>IFERROR(__xludf.DUMMYFUNCTION("""COMPUTED_VALUE"""),3182.52999999999)</f>
        <v/>
      </c>
    </row>
    <row r="10889">
      <c r="J10889">
        <f>IFERROR(__xludf.DUMMYFUNCTION("""COMPUTED_VALUE"""),"Edmonton, AB - Fort McMurray, AB - Yellowknife, NWT")</f>
        <v/>
      </c>
      <c r="K10889">
        <f>IFERROR(__xludf.DUMMYFUNCTION("""COMPUTED_VALUE"""),3181.36)</f>
        <v/>
      </c>
    </row>
    <row r="10890">
      <c r="J10890">
        <f>IFERROR(__xludf.DUMMYFUNCTION("""COMPUTED_VALUE"""),"Miami (Florida) USA")</f>
        <v/>
      </c>
      <c r="K10890">
        <f>IFERROR(__xludf.DUMMYFUNCTION("""COMPUTED_VALUE"""),3179.99)</f>
        <v/>
      </c>
    </row>
    <row r="10891">
      <c r="J10891">
        <f>IFERROR(__xludf.DUMMYFUNCTION("""COMPUTED_VALUE"""),"WASHINGTON DC, US")</f>
        <v/>
      </c>
      <c r="K10891">
        <f>IFERROR(__xludf.DUMMYFUNCTION("""COMPUTED_VALUE"""),3179.99)</f>
        <v/>
      </c>
    </row>
    <row r="10892">
      <c r="J10892">
        <f>IFERROR(__xludf.DUMMYFUNCTION("""COMPUTED_VALUE"""),"Ottawa, ON - Vancouver, BC / Vancouver, BC - Ottawa, ON")</f>
        <v/>
      </c>
      <c r="K10892">
        <f>IFERROR(__xludf.DUMMYFUNCTION("""COMPUTED_VALUE"""),3179.95)</f>
        <v/>
      </c>
    </row>
    <row r="10893">
      <c r="J10893">
        <f>IFERROR(__xludf.DUMMYFUNCTION("""COMPUTED_VALUE"""),"Lac Seul, Ontario, Canada")</f>
        <v/>
      </c>
      <c r="K10893">
        <f>IFERROR(__xludf.DUMMYFUNCTION("""COMPUTED_VALUE"""),3179.5)</f>
        <v/>
      </c>
    </row>
    <row r="10894">
      <c r="J10894">
        <f>IFERROR(__xludf.DUMMYFUNCTION("""COMPUTED_VALUE"""),"Haiti, Montreal")</f>
        <v/>
      </c>
      <c r="K10894">
        <f>IFERROR(__xludf.DUMMYFUNCTION("""COMPUTED_VALUE"""),3177.89)</f>
        <v/>
      </c>
    </row>
    <row r="10895">
      <c r="J10895">
        <f>IFERROR(__xludf.DUMMYFUNCTION("""COMPUTED_VALUE"""),"Halifax, Nova Scotia &amp; Moncton, New Brunswick")</f>
        <v/>
      </c>
      <c r="K10895">
        <f>IFERROR(__xludf.DUMMYFUNCTION("""COMPUTED_VALUE"""),3177.41)</f>
        <v/>
      </c>
    </row>
    <row r="10896">
      <c r="J10896">
        <f>IFERROR(__xludf.DUMMYFUNCTION("""COMPUTED_VALUE"""),"Quebec/Corner Brook")</f>
        <v/>
      </c>
      <c r="K10896">
        <f>IFERROR(__xludf.DUMMYFUNCTION("""COMPUTED_VALUE"""),3176.82)</f>
        <v/>
      </c>
    </row>
    <row r="10897">
      <c r="J10897">
        <f>IFERROR(__xludf.DUMMYFUNCTION("""COMPUTED_VALUE"""),"Belize (Belmopan), Central America")</f>
        <v/>
      </c>
      <c r="K10897">
        <f>IFERROR(__xludf.DUMMYFUNCTION("""COMPUTED_VALUE"""),3175.8)</f>
        <v/>
      </c>
    </row>
    <row r="10898">
      <c r="J10898">
        <f>IFERROR(__xludf.DUMMYFUNCTION("""COMPUTED_VALUE"""),"Victoria, British Columbia, Canada                  Jasper,Alberta, Canada")</f>
        <v/>
      </c>
      <c r="K10898">
        <f>IFERROR(__xludf.DUMMYFUNCTION("""COMPUTED_VALUE"""),3175.69)</f>
        <v/>
      </c>
    </row>
    <row r="10899">
      <c r="J10899">
        <f>IFERROR(__xludf.DUMMYFUNCTION("""COMPUTED_VALUE"""),"Vancouver, British Columbia, Canada 
Nanaimo, British Columbia, Canada
Campbell River, British Columbia, Canada")</f>
        <v/>
      </c>
      <c r="K10899">
        <f>IFERROR(__xludf.DUMMYFUNCTION("""COMPUTED_VALUE"""),3174.99)</f>
        <v/>
      </c>
    </row>
    <row r="10900">
      <c r="J10900">
        <f>IFERROR(__xludf.DUMMYFUNCTION("""COMPUTED_VALUE"""),"(British Columbia and Alberta)")</f>
        <v/>
      </c>
      <c r="K10900">
        <f>IFERROR(__xludf.DUMMYFUNCTION("""COMPUTED_VALUE"""),3174.89)</f>
        <v/>
      </c>
    </row>
    <row r="10901">
      <c r="J10901">
        <f>IFERROR(__xludf.DUMMYFUNCTION("""COMPUTED_VALUE"""),"Winnipeg, Manitoba and Vancouver, British Colombia")</f>
        <v/>
      </c>
      <c r="K10901">
        <f>IFERROR(__xludf.DUMMYFUNCTION("""COMPUTED_VALUE"""),3174.51)</f>
        <v/>
      </c>
    </row>
    <row r="10902">
      <c r="J10902">
        <f>IFERROR(__xludf.DUMMYFUNCTION("""COMPUTED_VALUE"""),"Washington, District of Columbia, United States;
Toronto, Ontario, Canada")</f>
        <v/>
      </c>
      <c r="K10902">
        <f>IFERROR(__xludf.DUMMYFUNCTION("""COMPUTED_VALUE"""),3173.47)</f>
        <v/>
      </c>
    </row>
    <row r="10903">
      <c r="J10903">
        <f>IFERROR(__xludf.DUMMYFUNCTION("""COMPUTED_VALUE"""),"Edmonton, Alberta, Canada; Prince Albert, Saskatchewan, Canada; Regina, Saskatchewan, Canada; Winnipeg, Manitoba, Canada")</f>
        <v/>
      </c>
      <c r="K10903">
        <f>IFERROR(__xludf.DUMMYFUNCTION("""COMPUTED_VALUE"""),3173.44)</f>
        <v/>
      </c>
    </row>
    <row r="10904">
      <c r="J10904">
        <f>IFERROR(__xludf.DUMMYFUNCTION("""COMPUTED_VALUE"""),"Philadelphia, PA")</f>
        <v/>
      </c>
      <c r="K10904">
        <f>IFERROR(__xludf.DUMMYFUNCTION("""COMPUTED_VALUE"""),3173.02)</f>
        <v/>
      </c>
    </row>
    <row r="10905">
      <c r="J10905">
        <f>IFERROR(__xludf.DUMMYFUNCTION("""COMPUTED_VALUE"""),"Saskatoon, SK - Vancouver, BC")</f>
        <v/>
      </c>
      <c r="K10905">
        <f>IFERROR(__xludf.DUMMYFUNCTION("""COMPUTED_VALUE"""),3172.6)</f>
        <v/>
      </c>
    </row>
    <row r="10906">
      <c r="J10906">
        <f>IFERROR(__xludf.DUMMYFUNCTION("""COMPUTED_VALUE"""),"Calgary, AB and Edmoton, AB")</f>
        <v/>
      </c>
      <c r="K10906">
        <f>IFERROR(__xludf.DUMMYFUNCTION("""COMPUTED_VALUE"""),3172.17)</f>
        <v/>
      </c>
    </row>
    <row r="10907">
      <c r="J10907">
        <f>IFERROR(__xludf.DUMMYFUNCTION("""COMPUTED_VALUE"""),"Halifax, NS Toronto, ON Thunder Bay, ON Sault St. Marie, ON")</f>
        <v/>
      </c>
      <c r="K10907">
        <f>IFERROR(__xludf.DUMMYFUNCTION("""COMPUTED_VALUE"""),3171.06)</f>
        <v/>
      </c>
    </row>
    <row r="10908">
      <c r="J10908">
        <f>IFERROR(__xludf.DUMMYFUNCTION("""COMPUTED_VALUE"""),"Toronto, Ontario; St. John's, Newfoundland and Labrador, Canada")</f>
        <v/>
      </c>
      <c r="K10908">
        <f>IFERROR(__xludf.DUMMYFUNCTION("""COMPUTED_VALUE"""),3171.06)</f>
        <v/>
      </c>
    </row>
    <row r="10909">
      <c r="J10909">
        <f>IFERROR(__xludf.DUMMYFUNCTION("""COMPUTED_VALUE"""),"Victoria, British Columbia, Canada and Burnaby, British Columbia, Canada")</f>
        <v/>
      </c>
      <c r="K10909">
        <f>IFERROR(__xludf.DUMMYFUNCTION("""COMPUTED_VALUE"""),3170.32)</f>
        <v/>
      </c>
    </row>
    <row r="10910">
      <c r="J10910">
        <f>IFERROR(__xludf.DUMMYFUNCTION("""COMPUTED_VALUE"""),"Toronto, Ontario; Kelowna, British Columbia")</f>
        <v/>
      </c>
      <c r="K10910">
        <f>IFERROR(__xludf.DUMMYFUNCTION("""COMPUTED_VALUE"""),3169.82)</f>
        <v/>
      </c>
    </row>
    <row r="10911">
      <c r="J10911">
        <f>IFERROR(__xludf.DUMMYFUNCTION("""COMPUTED_VALUE"""),"Quebec, QC / Trinity, NL / Toronto, ON")</f>
        <v/>
      </c>
      <c r="K10911">
        <f>IFERROR(__xludf.DUMMYFUNCTION("""COMPUTED_VALUE"""),3169.76)</f>
        <v/>
      </c>
    </row>
    <row r="10912">
      <c r="J10912">
        <f>IFERROR(__xludf.DUMMYFUNCTION("""COMPUTED_VALUE"""),"Yellowknife, Northwest Territories, Canada / Whitehorse, Yukon, Canada/ Dawson City, Yukon, Canada")</f>
        <v/>
      </c>
      <c r="K10912">
        <f>IFERROR(__xludf.DUMMYFUNCTION("""COMPUTED_VALUE"""),3168.05)</f>
        <v/>
      </c>
    </row>
    <row r="10913">
      <c r="J10913">
        <f>IFERROR(__xludf.DUMMYFUNCTION("""COMPUTED_VALUE"""),"Fredericton, Toronto, Charlottetown")</f>
        <v/>
      </c>
      <c r="K10913">
        <f>IFERROR(__xludf.DUMMYFUNCTION("""COMPUTED_VALUE"""),3167.99)</f>
        <v/>
      </c>
    </row>
    <row r="10914">
      <c r="J10914">
        <f>IFERROR(__xludf.DUMMYFUNCTION("""COMPUTED_VALUE"""),"Washington, District of Columbia, United States; Toronto, Ontario, Canada")</f>
        <v/>
      </c>
      <c r="K10914">
        <f>IFERROR(__xludf.DUMMYFUNCTION("""COMPUTED_VALUE"""),3167.66)</f>
        <v/>
      </c>
    </row>
    <row r="10915">
      <c r="J10915">
        <f>IFERROR(__xludf.DUMMYFUNCTION("""COMPUTED_VALUE"""),"Annapolis Royal, Yarmouth,  Meteghan, Cambridge,Windsor, Halifax, Dartmouth, Shearwater and Cape Breton, Nova Scotia, Canada and Charlottetown, Abram-Village and Summerside, Prince Edward Island, Canada")</f>
        <v/>
      </c>
      <c r="K10915">
        <f>IFERROR(__xludf.DUMMYFUNCTION("""COMPUTED_VALUE"""),3167.55)</f>
        <v/>
      </c>
    </row>
    <row r="10916">
      <c r="J10916">
        <f>IFERROR(__xludf.DUMMYFUNCTION("""COMPUTED_VALUE"""),"Washington, DC (United States of America)")</f>
        <v/>
      </c>
      <c r="K10916">
        <f>IFERROR(__xludf.DUMMYFUNCTION("""COMPUTED_VALUE"""),3167.18)</f>
        <v/>
      </c>
    </row>
    <row r="10917">
      <c r="J10917">
        <f>IFERROR(__xludf.DUMMYFUNCTION("""COMPUTED_VALUE"""),"Saskatchewan &amp; Alberta")</f>
        <v/>
      </c>
      <c r="K10917">
        <f>IFERROR(__xludf.DUMMYFUNCTION("""COMPUTED_VALUE"""),3167.11)</f>
        <v/>
      </c>
    </row>
    <row r="10918">
      <c r="J10918">
        <f>IFERROR(__xludf.DUMMYFUNCTION("""COMPUTED_VALUE"""),"Washington, DC /  New York, NY")</f>
        <v/>
      </c>
      <c r="K10918">
        <f>IFERROR(__xludf.DUMMYFUNCTION("""COMPUTED_VALUE"""),3166.66)</f>
        <v/>
      </c>
    </row>
    <row r="10919">
      <c r="J10919">
        <f>IFERROR(__xludf.DUMMYFUNCTION("""COMPUTED_VALUE"""),"Ottawa, ON - Montreal, QC / Montreal, QC - Charlottetown, PE / Charlottetown, PE - Ottawa, ON")</f>
        <v/>
      </c>
      <c r="K10919">
        <f>IFERROR(__xludf.DUMMYFUNCTION("""COMPUTED_VALUE"""),3165.67)</f>
        <v/>
      </c>
    </row>
    <row r="10920">
      <c r="J10920">
        <f>IFERROR(__xludf.DUMMYFUNCTION("""COMPUTED_VALUE"""),"St. John's, Newfoundland, Canada / Charlottetown, Prince Edward Island, Canada")</f>
        <v/>
      </c>
      <c r="K10920">
        <f>IFERROR(__xludf.DUMMYFUNCTION("""COMPUTED_VALUE"""),3165.28)</f>
        <v/>
      </c>
    </row>
    <row r="10921">
      <c r="J10921">
        <f>IFERROR(__xludf.DUMMYFUNCTION("""COMPUTED_VALUE"""),"Fredericton, NB Toronto, ON")</f>
        <v/>
      </c>
      <c r="K10921">
        <f>IFERROR(__xludf.DUMMYFUNCTION("""COMPUTED_VALUE"""),3165.13)</f>
        <v/>
      </c>
    </row>
    <row r="10922">
      <c r="J10922">
        <f>IFERROR(__xludf.DUMMYFUNCTION("""COMPUTED_VALUE"""),"Gatineau, Quebec and Victoria, British Columbia")</f>
        <v/>
      </c>
      <c r="K10922">
        <f>IFERROR(__xludf.DUMMYFUNCTION("""COMPUTED_VALUE"""),3164.84)</f>
        <v/>
      </c>
    </row>
    <row r="10923">
      <c r="J10923">
        <f>IFERROR(__xludf.DUMMYFUNCTION("""COMPUTED_VALUE"""),"Montreal, QC, St John, Moncton, NB")</f>
        <v/>
      </c>
      <c r="K10923">
        <f>IFERROR(__xludf.DUMMYFUNCTION("""COMPUTED_VALUE"""),3164.71)</f>
        <v/>
      </c>
    </row>
    <row r="10924">
      <c r="J10924">
        <f>IFERROR(__xludf.DUMMYFUNCTION("""COMPUTED_VALUE"""),"Vancouver/Toronto/Vancouver")</f>
        <v/>
      </c>
      <c r="K10924">
        <f>IFERROR(__xludf.DUMMYFUNCTION("""COMPUTED_VALUE"""),3164.51)</f>
        <v/>
      </c>
    </row>
    <row r="10925">
      <c r="J10925">
        <f>IFERROR(__xludf.DUMMYFUNCTION("""COMPUTED_VALUE"""),"Gaspé and Magdalen islands, Quebec, Canada")</f>
        <v/>
      </c>
      <c r="K10925">
        <f>IFERROR(__xludf.DUMMYFUNCTION("""COMPUTED_VALUE"""),3164.22)</f>
        <v/>
      </c>
    </row>
    <row r="10926">
      <c r="J10926">
        <f>IFERROR(__xludf.DUMMYFUNCTION("""COMPUTED_VALUE"""),"Winnipeg, MB,  Saskatoon, SK, Edmonton, AB, Victoria and Vancouver, BC")</f>
        <v/>
      </c>
      <c r="K10926">
        <f>IFERROR(__xludf.DUMMYFUNCTION("""COMPUTED_VALUE"""),3164.12)</f>
        <v/>
      </c>
    </row>
    <row r="10927">
      <c r="J10927">
        <f>IFERROR(__xludf.DUMMYFUNCTION("""COMPUTED_VALUE"""),"Charlottetown, PEI, Moncton, NB, Regina, SK")</f>
        <v/>
      </c>
      <c r="K10927">
        <f>IFERROR(__xludf.DUMMYFUNCTION("""COMPUTED_VALUE"""),3163.96)</f>
        <v/>
      </c>
    </row>
    <row r="10928">
      <c r="J10928">
        <f>IFERROR(__xludf.DUMMYFUNCTION("""COMPUTED_VALUE"""),"Toronto/Calgary")</f>
        <v/>
      </c>
      <c r="K10928">
        <f>IFERROR(__xludf.DUMMYFUNCTION("""COMPUTED_VALUE"""),3163.18)</f>
        <v/>
      </c>
    </row>
    <row r="10929">
      <c r="J10929">
        <f>IFERROR(__xludf.DUMMYFUNCTION("""COMPUTED_VALUE"""),"Toronto and London, ON")</f>
        <v/>
      </c>
      <c r="K10929">
        <f>IFERROR(__xludf.DUMMYFUNCTION("""COMPUTED_VALUE"""),3163.12)</f>
        <v/>
      </c>
    </row>
    <row r="10930">
      <c r="J10930">
        <f>IFERROR(__xludf.DUMMYFUNCTION("""COMPUTED_VALUE"""),"Cornwallis, Charlesville and Halifax, NS")</f>
        <v/>
      </c>
      <c r="K10930">
        <f>IFERROR(__xludf.DUMMYFUNCTION("""COMPUTED_VALUE"""),3162.75)</f>
        <v/>
      </c>
    </row>
    <row r="10931">
      <c r="J10931">
        <f>IFERROR(__xludf.DUMMYFUNCTION("""COMPUTED_VALUE"""),"Montreal, Quebec, Canada / Baie-Comeau, Quebec, Canada / Quebec, Quebec, Canada / Sept-Îles, Quebec, Canada")</f>
        <v/>
      </c>
      <c r="K10931">
        <f>IFERROR(__xludf.DUMMYFUNCTION("""COMPUTED_VALUE"""),3162.31)</f>
        <v/>
      </c>
    </row>
    <row r="10932">
      <c r="J10932">
        <f>IFERROR(__xludf.DUMMYFUNCTION("""COMPUTED_VALUE"""),"Banff, Alberta, Canada; Kananaskis, Alberta, Canada")</f>
        <v/>
      </c>
      <c r="K10932">
        <f>IFERROR(__xludf.DUMMYFUNCTION("""COMPUTED_VALUE"""),3161.43)</f>
        <v/>
      </c>
    </row>
    <row r="10933">
      <c r="J10933">
        <f>IFERROR(__xludf.DUMMYFUNCTION("""COMPUTED_VALUE"""),"Calgary, Alberta, Canada, Saskatoon, Saskatchewan, Canada")</f>
        <v/>
      </c>
      <c r="K10933">
        <f>IFERROR(__xludf.DUMMYFUNCTION("""COMPUTED_VALUE"""),3161.35)</f>
        <v/>
      </c>
    </row>
    <row r="10934">
      <c r="J10934">
        <f>IFERROR(__xludf.DUMMYFUNCTION("""COMPUTED_VALUE"""),"Montréal, QC Sherbrooke, QC Québec, QC")</f>
        <v/>
      </c>
      <c r="K10934">
        <f>IFERROR(__xludf.DUMMYFUNCTION("""COMPUTED_VALUE"""),3161.33999999999)</f>
        <v/>
      </c>
    </row>
    <row r="10935">
      <c r="J10935">
        <f>IFERROR(__xludf.DUMMYFUNCTION("""COMPUTED_VALUE"""),"Thunder bay, Canada")</f>
        <v/>
      </c>
      <c r="K10935">
        <f>IFERROR(__xludf.DUMMYFUNCTION("""COMPUTED_VALUE"""),3160.81)</f>
        <v/>
      </c>
    </row>
    <row r="10936">
      <c r="J10936">
        <f>IFERROR(__xludf.DUMMYFUNCTION("""COMPUTED_VALUE"""),"Ottawa, ON - Vancouver, BC / Vancouver, BC - Victoria, BC / Victoria, BC - Vancouver, BC / Vancouver, BC - Ottawa, ON")</f>
        <v/>
      </c>
      <c r="K10936">
        <f>IFERROR(__xludf.DUMMYFUNCTION("""COMPUTED_VALUE"""),3160.47)</f>
        <v/>
      </c>
    </row>
    <row r="10937">
      <c r="J10937">
        <f>IFERROR(__xludf.DUMMYFUNCTION("""COMPUTED_VALUE"""),"Calgary, Alberta, Canada, Montreal, Quebec, Canada")</f>
        <v/>
      </c>
      <c r="K10937">
        <f>IFERROR(__xludf.DUMMYFUNCTION("""COMPUTED_VALUE"""),3160.4)</f>
        <v/>
      </c>
    </row>
    <row r="10938">
      <c r="J10938">
        <f>IFERROR(__xludf.DUMMYFUNCTION("""COMPUTED_VALUE"""),"Washington, Disctrict of Columbia")</f>
        <v/>
      </c>
      <c r="K10938">
        <f>IFERROR(__xludf.DUMMYFUNCTION("""COMPUTED_VALUE"""),3159.45)</f>
        <v/>
      </c>
    </row>
    <row r="10939">
      <c r="J10939">
        <f>IFERROR(__xludf.DUMMYFUNCTION("""COMPUTED_VALUE"""),"Truro, Nova Scotia")</f>
        <v/>
      </c>
      <c r="K10939">
        <f>IFERROR(__xludf.DUMMYFUNCTION("""COMPUTED_VALUE"""),3159.27)</f>
        <v/>
      </c>
    </row>
    <row r="10940">
      <c r="J10940">
        <f>IFERROR(__xludf.DUMMYFUNCTION("""COMPUTED_VALUE"""),"Edmonton, AB
Calgary, AB
Winnipeg, MB")</f>
        <v/>
      </c>
      <c r="K10940">
        <f>IFERROR(__xludf.DUMMYFUNCTION("""COMPUTED_VALUE"""),3158.43)</f>
        <v/>
      </c>
    </row>
    <row r="10941">
      <c r="J10941">
        <f>IFERROR(__xludf.DUMMYFUNCTION("""COMPUTED_VALUE"""),"Halifax, Nova Scotia and St.John’s and Clarenville, Newfoundland")</f>
        <v/>
      </c>
      <c r="K10941">
        <f>IFERROR(__xludf.DUMMYFUNCTION("""COMPUTED_VALUE"""),3157.58)</f>
        <v/>
      </c>
    </row>
    <row r="10942">
      <c r="J10942">
        <f>IFERROR(__xludf.DUMMYFUNCTION("""COMPUTED_VALUE"""),"Calgary-Ottawa-Calgary")</f>
        <v/>
      </c>
      <c r="K10942">
        <f>IFERROR(__xludf.DUMMYFUNCTION("""COMPUTED_VALUE"""),3157.55)</f>
        <v/>
      </c>
    </row>
    <row r="10943">
      <c r="J10943">
        <f>IFERROR(__xludf.DUMMYFUNCTION("""COMPUTED_VALUE"""),"Torngats, Newfoundland &amp; Labrador")</f>
        <v/>
      </c>
      <c r="K10943">
        <f>IFERROR(__xludf.DUMMYFUNCTION("""COMPUTED_VALUE"""),3156.97)</f>
        <v/>
      </c>
    </row>
    <row r="10944">
      <c r="J10944">
        <f>IFERROR(__xludf.DUMMYFUNCTION("""COMPUTED_VALUE"""),"Montréal, Qc")</f>
        <v/>
      </c>
      <c r="K10944">
        <f>IFERROR(__xludf.DUMMYFUNCTION("""COMPUTED_VALUE"""),3156.63)</f>
        <v/>
      </c>
    </row>
    <row r="10945">
      <c r="J10945">
        <f>IFERROR(__xludf.DUMMYFUNCTION("""COMPUTED_VALUE"""),"St-Hubert / Val d'Or")</f>
        <v/>
      </c>
      <c r="K10945">
        <f>IFERROR(__xludf.DUMMYFUNCTION("""COMPUTED_VALUE"""),3156.36)</f>
        <v/>
      </c>
    </row>
    <row r="10946">
      <c r="J10946">
        <f>IFERROR(__xludf.DUMMYFUNCTION("""COMPUTED_VALUE"""),"Charlottetown/Baie St-Paul")</f>
        <v/>
      </c>
      <c r="K10946">
        <f>IFERROR(__xludf.DUMMYFUNCTION("""COMPUTED_VALUE"""),3156.24)</f>
        <v/>
      </c>
    </row>
    <row r="10947">
      <c r="J10947">
        <f>IFERROR(__xludf.DUMMYFUNCTION("""COMPUTED_VALUE"""),"Bogota (Colombia) South America")</f>
        <v/>
      </c>
      <c r="K10947">
        <f>IFERROR(__xludf.DUMMYFUNCTION("""COMPUTED_VALUE"""),3156.05)</f>
        <v/>
      </c>
    </row>
    <row r="10948">
      <c r="J10948">
        <f>IFERROR(__xludf.DUMMYFUNCTION("""COMPUTED_VALUE"""),"Brampton, Ontario, Canada; Mississauga, Ontario, Canada")</f>
        <v/>
      </c>
      <c r="K10948">
        <f>IFERROR(__xludf.DUMMYFUNCTION("""COMPUTED_VALUE"""),3156.01999999999)</f>
        <v/>
      </c>
    </row>
    <row r="10949">
      <c r="J10949">
        <f>IFERROR(__xludf.DUMMYFUNCTION("""COMPUTED_VALUE"""),"Windsor, Ontario Canada")</f>
        <v/>
      </c>
      <c r="K10949">
        <f>IFERROR(__xludf.DUMMYFUNCTION("""COMPUTED_VALUE"""),3155.95)</f>
        <v/>
      </c>
    </row>
    <row r="10950">
      <c r="J10950">
        <f>IFERROR(__xludf.DUMMYFUNCTION("""COMPUTED_VALUE"""),"Winnipeg, MB - Estevan, SK - Calgary, AB")</f>
        <v/>
      </c>
      <c r="K10950">
        <f>IFERROR(__xludf.DUMMYFUNCTION("""COMPUTED_VALUE"""),3155.8)</f>
        <v/>
      </c>
    </row>
    <row r="10951">
      <c r="J10951">
        <f>IFERROR(__xludf.DUMMYFUNCTION("""COMPUTED_VALUE"""),"Sarnia, ON
Niagara Falls, ON")</f>
        <v/>
      </c>
      <c r="K10951">
        <f>IFERROR(__xludf.DUMMYFUNCTION("""COMPUTED_VALUE"""),3155.72)</f>
        <v/>
      </c>
    </row>
    <row r="10952">
      <c r="J10952">
        <f>IFERROR(__xludf.DUMMYFUNCTION("""COMPUTED_VALUE"""),"Toronto, ON; Sydney, NS")</f>
        <v/>
      </c>
      <c r="K10952">
        <f>IFERROR(__xludf.DUMMYFUNCTION("""COMPUTED_VALUE"""),3155)</f>
        <v/>
      </c>
    </row>
    <row r="10953">
      <c r="J10953">
        <f>IFERROR(__xludf.DUMMYFUNCTION("""COMPUTED_VALUE"""),"Montreal, Quebec, Canada; Halifax, Nova Scotia, Canada; St. John's, Newfoundland and Labrador, Canada; Toronto, Ontario, Canada")</f>
        <v/>
      </c>
      <c r="K10953">
        <f>IFERROR(__xludf.DUMMYFUNCTION("""COMPUTED_VALUE"""),3154.93)</f>
        <v/>
      </c>
    </row>
    <row r="10954">
      <c r="J10954">
        <f>IFERROR(__xludf.DUMMYFUNCTION("""COMPUTED_VALUE"""),"St. John's-Charlottetown-Ottawa")</f>
        <v/>
      </c>
      <c r="K10954">
        <f>IFERROR(__xludf.DUMMYFUNCTION("""COMPUTED_VALUE"""),3154.83)</f>
        <v/>
      </c>
    </row>
    <row r="10955">
      <c r="J10955">
        <f>IFERROR(__xludf.DUMMYFUNCTION("""COMPUTED_VALUE"""),"Iqaluit, Nunavut and Enfield, Nova Scotia")</f>
        <v/>
      </c>
      <c r="K10955">
        <f>IFERROR(__xludf.DUMMYFUNCTION("""COMPUTED_VALUE"""),3154.74)</f>
        <v/>
      </c>
    </row>
    <row r="10956">
      <c r="J10956">
        <f>IFERROR(__xludf.DUMMYFUNCTION("""COMPUTED_VALUE"""),"Quebec, Quebec / Halifax, Nova Scotia / Saint John, New Brunswick")</f>
        <v/>
      </c>
      <c r="K10956">
        <f>IFERROR(__xludf.DUMMYFUNCTION("""COMPUTED_VALUE"""),3154.15)</f>
        <v/>
      </c>
    </row>
    <row r="10957">
      <c r="J10957">
        <f>IFERROR(__xludf.DUMMYFUNCTION("""COMPUTED_VALUE"""),"Toronto, ON - Montreal, QC - Saint Johns, NB")</f>
        <v/>
      </c>
      <c r="K10957">
        <f>IFERROR(__xludf.DUMMYFUNCTION("""COMPUTED_VALUE"""),3153.82)</f>
        <v/>
      </c>
    </row>
    <row r="10958">
      <c r="J10958">
        <f>IFERROR(__xludf.DUMMYFUNCTION("""COMPUTED_VALUE"""),"Portland, Oregon (USA)")</f>
        <v/>
      </c>
      <c r="K10958">
        <f>IFERROR(__xludf.DUMMYFUNCTION("""COMPUTED_VALUE"""),3153.65)</f>
        <v/>
      </c>
    </row>
    <row r="10959">
      <c r="J10959">
        <f>IFERROR(__xludf.DUMMYFUNCTION("""COMPUTED_VALUE"""),"Montreal, Quebec , Canada")</f>
        <v/>
      </c>
      <c r="K10959">
        <f>IFERROR(__xludf.DUMMYFUNCTION("""COMPUTED_VALUE"""),3153.21)</f>
        <v/>
      </c>
    </row>
    <row r="10960">
      <c r="J10960">
        <f>IFERROR(__xludf.DUMMYFUNCTION("""COMPUTED_VALUE"""),"Trois-Rivières, Quebec, Canada; Sept-Îles, Quebec, Canada; Gaspé, Quebec, Canada")</f>
        <v/>
      </c>
      <c r="K10960">
        <f>IFERROR(__xludf.DUMMYFUNCTION("""COMPUTED_VALUE"""),3152.83)</f>
        <v/>
      </c>
    </row>
    <row r="10961">
      <c r="J10961">
        <f>IFERROR(__xludf.DUMMYFUNCTION("""COMPUTED_VALUE"""),"Shawinigan, QC; Saguenay, QC")</f>
        <v/>
      </c>
      <c r="K10961">
        <f>IFERROR(__xludf.DUMMYFUNCTION("""COMPUTED_VALUE"""),3152.15)</f>
        <v/>
      </c>
    </row>
    <row r="10962">
      <c r="J10962">
        <f>IFERROR(__xludf.DUMMYFUNCTION("""COMPUTED_VALUE"""),"Mexico City and Washington D.C")</f>
        <v/>
      </c>
      <c r="K10962">
        <f>IFERROR(__xludf.DUMMYFUNCTION("""COMPUTED_VALUE"""),3151.95)</f>
        <v/>
      </c>
    </row>
    <row r="10963">
      <c r="J10963">
        <f>IFERROR(__xludf.DUMMYFUNCTION("""COMPUTED_VALUE"""),"Biloxi, Mississippi, USA")</f>
        <v/>
      </c>
      <c r="K10963">
        <f>IFERROR(__xludf.DUMMYFUNCTION("""COMPUTED_VALUE"""),3151.38)</f>
        <v/>
      </c>
    </row>
    <row r="10964">
      <c r="J10964">
        <f>IFERROR(__xludf.DUMMYFUNCTION("""COMPUTED_VALUE"""),"Ottawa, Toronto ON, Winnipeg, MB, Edmonton, AB")</f>
        <v/>
      </c>
      <c r="K10964">
        <f>IFERROR(__xludf.DUMMYFUNCTION("""COMPUTED_VALUE"""),3150.8)</f>
        <v/>
      </c>
    </row>
    <row r="10965">
      <c r="J10965">
        <f>IFERROR(__xludf.DUMMYFUNCTION("""COMPUTED_VALUE"""),"Ottawa, Ontario, Canada and Gatineau, Quebec, Canada")</f>
        <v/>
      </c>
      <c r="K10965">
        <f>IFERROR(__xludf.DUMMYFUNCTION("""COMPUTED_VALUE"""),3149.79999999999)</f>
        <v/>
      </c>
    </row>
    <row r="10966">
      <c r="J10966">
        <f>IFERROR(__xludf.DUMMYFUNCTION("""COMPUTED_VALUE"""),"Victoria, British Columbia (Canada)")</f>
        <v/>
      </c>
      <c r="K10966">
        <f>IFERROR(__xludf.DUMMYFUNCTION("""COMPUTED_VALUE"""),3149.6)</f>
        <v/>
      </c>
    </row>
    <row r="10967">
      <c r="J10967">
        <f>IFERROR(__xludf.DUMMYFUNCTION("""COMPUTED_VALUE"""),"Calgary(Alberta) Canada")</f>
        <v/>
      </c>
      <c r="K10967">
        <f>IFERROR(__xludf.DUMMYFUNCTION("""COMPUTED_VALUE"""),3149.12)</f>
        <v/>
      </c>
    </row>
    <row r="10968">
      <c r="J10968">
        <f>IFERROR(__xludf.DUMMYFUNCTION("""COMPUTED_VALUE"""),"Vancouver, British-Columbia, Canada; Victoria, British-Columbia, Canada")</f>
        <v/>
      </c>
      <c r="K10968">
        <f>IFERROR(__xludf.DUMMYFUNCTION("""COMPUTED_VALUE"""),3149.11)</f>
        <v/>
      </c>
    </row>
    <row r="10969">
      <c r="J10969">
        <f>IFERROR(__xludf.DUMMYFUNCTION("""COMPUTED_VALUE"""),"Regina, Saskatchewa")</f>
        <v/>
      </c>
      <c r="K10969">
        <f>IFERROR(__xludf.DUMMYFUNCTION("""COMPUTED_VALUE"""),3148.64)</f>
        <v/>
      </c>
    </row>
    <row r="10970">
      <c r="J10970">
        <f>IFERROR(__xludf.DUMMYFUNCTION("""COMPUTED_VALUE"""),"New York, United States       Ottawa, Ontario                        Quebec, Quebec")</f>
        <v/>
      </c>
      <c r="K10970">
        <f>IFERROR(__xludf.DUMMYFUNCTION("""COMPUTED_VALUE"""),3147.58)</f>
        <v/>
      </c>
    </row>
    <row r="10971">
      <c r="J10971">
        <f>IFERROR(__xludf.DUMMYFUNCTION("""COMPUTED_VALUE"""),"Mississauga, ON, CA")</f>
        <v/>
      </c>
      <c r="K10971">
        <f>IFERROR(__xludf.DUMMYFUNCTION("""COMPUTED_VALUE"""),3147.56)</f>
        <v/>
      </c>
    </row>
    <row r="10972">
      <c r="J10972">
        <f>IFERROR(__xludf.DUMMYFUNCTION("""COMPUTED_VALUE"""),"Lake Louise")</f>
        <v/>
      </c>
      <c r="K10972">
        <f>IFERROR(__xludf.DUMMYFUNCTION("""COMPUTED_VALUE"""),3147.44)</f>
        <v/>
      </c>
    </row>
    <row r="10973">
      <c r="J10973">
        <f>IFERROR(__xludf.DUMMYFUNCTION("""COMPUTED_VALUE"""),"Amqui, QC / Montreal, QC / Toronto, ON")</f>
        <v/>
      </c>
      <c r="K10973">
        <f>IFERROR(__xludf.DUMMYFUNCTION("""COMPUTED_VALUE"""),3147.34)</f>
        <v/>
      </c>
    </row>
    <row r="10974">
      <c r="J10974">
        <f>IFERROR(__xludf.DUMMYFUNCTION("""COMPUTED_VALUE"""),"Kelowna BC")</f>
        <v/>
      </c>
      <c r="K10974">
        <f>IFERROR(__xludf.DUMMYFUNCTION("""COMPUTED_VALUE"""),3146.75)</f>
        <v/>
      </c>
    </row>
    <row r="10975">
      <c r="J10975">
        <f>IFERROR(__xludf.DUMMYFUNCTION("""COMPUTED_VALUE"""),"St. John, NB")</f>
        <v/>
      </c>
      <c r="K10975">
        <f>IFERROR(__xludf.DUMMYFUNCTION("""COMPUTED_VALUE"""),3145.78)</f>
        <v/>
      </c>
    </row>
    <row r="10976">
      <c r="J10976">
        <f>IFERROR(__xludf.DUMMYFUNCTION("""COMPUTED_VALUE"""),"Calgary, AB
Fort McMurray, AB
Edmonton, AB")</f>
        <v/>
      </c>
      <c r="K10976">
        <f>IFERROR(__xludf.DUMMYFUNCTION("""COMPUTED_VALUE"""),3145.23)</f>
        <v/>
      </c>
    </row>
    <row r="10977">
      <c r="J10977">
        <f>IFERROR(__xludf.DUMMYFUNCTION("""COMPUTED_VALUE"""),"Warsaw, Poland, Europe and Brussels, Belgium, Europe")</f>
        <v/>
      </c>
      <c r="K10977">
        <f>IFERROR(__xludf.DUMMYFUNCTION("""COMPUTED_VALUE"""),3144.72)</f>
        <v/>
      </c>
    </row>
    <row r="10978">
      <c r="J10978">
        <f>IFERROR(__xludf.DUMMYFUNCTION("""COMPUTED_VALUE"""),"Vancouver, British Columbia and Montréal/Québec, Quebec")</f>
        <v/>
      </c>
      <c r="K10978">
        <f>IFERROR(__xludf.DUMMYFUNCTION("""COMPUTED_VALUE"""),3144.45)</f>
        <v/>
      </c>
    </row>
    <row r="10979">
      <c r="J10979">
        <f>IFERROR(__xludf.DUMMYFUNCTION("""COMPUTED_VALUE"""),"Glagow, Scotland")</f>
        <v/>
      </c>
      <c r="K10979">
        <f>IFERROR(__xludf.DUMMYFUNCTION("""COMPUTED_VALUE"""),3144.2)</f>
        <v/>
      </c>
    </row>
    <row r="10980">
      <c r="J10980">
        <f>IFERROR(__xludf.DUMMYFUNCTION("""COMPUTED_VALUE"""),"Waterton,  Alberta, Canada")</f>
        <v/>
      </c>
      <c r="K10980">
        <f>IFERROR(__xludf.DUMMYFUNCTION("""COMPUTED_VALUE"""),3143.78)</f>
        <v/>
      </c>
    </row>
    <row r="10981">
      <c r="J10981">
        <f>IFERROR(__xludf.DUMMYFUNCTION("""COMPUTED_VALUE"""),"Vancouver, BC, Whitehorse, YT")</f>
        <v/>
      </c>
      <c r="K10981">
        <f>IFERROR(__xludf.DUMMYFUNCTION("""COMPUTED_VALUE"""),3143.33)</f>
        <v/>
      </c>
    </row>
    <row r="10982">
      <c r="J10982">
        <f>IFERROR(__xludf.DUMMYFUNCTION("""COMPUTED_VALUE"""),"Halifax, Nova Scotia, Quebec")</f>
        <v/>
      </c>
      <c r="K10982">
        <f>IFERROR(__xludf.DUMMYFUNCTION("""COMPUTED_VALUE"""),3142.96)</f>
        <v/>
      </c>
    </row>
    <row r="10983">
      <c r="J10983">
        <f>IFERROR(__xludf.DUMMYFUNCTION("""COMPUTED_VALUE"""),"Fredericton, NB St. John's, NL Halifax, NS")</f>
        <v/>
      </c>
      <c r="K10983">
        <f>IFERROR(__xludf.DUMMYFUNCTION("""COMPUTED_VALUE"""),3142.07)</f>
        <v/>
      </c>
    </row>
    <row r="10984">
      <c r="J10984">
        <f>IFERROR(__xludf.DUMMYFUNCTION("""COMPUTED_VALUE"""),"Halifax, NS; Moncton, NB")</f>
        <v/>
      </c>
      <c r="K10984">
        <f>IFERROR(__xludf.DUMMYFUNCTION("""COMPUTED_VALUE"""),3141.37)</f>
        <v/>
      </c>
    </row>
    <row r="10985">
      <c r="J10985">
        <f>IFERROR(__xludf.DUMMYFUNCTION("""COMPUTED_VALUE"""),"Toronto, Ontario, Canada; Winnipeg, Manitoba, Canada; Regina, Saskatchewan, Canada; Vancouver, British Columbia, Canada")</f>
        <v/>
      </c>
      <c r="K10985">
        <f>IFERROR(__xludf.DUMMYFUNCTION("""COMPUTED_VALUE"""),3140.9)</f>
        <v/>
      </c>
    </row>
    <row r="10986">
      <c r="J10986">
        <f>IFERROR(__xludf.DUMMYFUNCTION("""COMPUTED_VALUE"""),"Montreal, Sherbrooke and Quebec")</f>
        <v/>
      </c>
      <c r="K10986">
        <f>IFERROR(__xludf.DUMMYFUNCTION("""COMPUTED_VALUE"""),3140.87)</f>
        <v/>
      </c>
    </row>
    <row r="10987">
      <c r="J10987">
        <f>IFERROR(__xludf.DUMMYFUNCTION("""COMPUTED_VALUE"""),"Sao Paulo, Brazil / Ottawa, Canada")</f>
        <v/>
      </c>
      <c r="K10987">
        <f>IFERROR(__xludf.DUMMYFUNCTION("""COMPUTED_VALUE"""),3140.13)</f>
        <v/>
      </c>
    </row>
    <row r="10988">
      <c r="J10988">
        <f>IFERROR(__xludf.DUMMYFUNCTION("""COMPUTED_VALUE"""),"Regina, Saskatchewan.")</f>
        <v/>
      </c>
      <c r="K10988">
        <f>IFERROR(__xludf.DUMMYFUNCTION("""COMPUTED_VALUE"""),3139.71)</f>
        <v/>
      </c>
    </row>
    <row r="10989">
      <c r="J10989">
        <f>IFERROR(__xludf.DUMMYFUNCTION("""COMPUTED_VALUE"""),"Ottawa and Deep River, Ontario")</f>
        <v/>
      </c>
      <c r="K10989">
        <f>IFERROR(__xludf.DUMMYFUNCTION("""COMPUTED_VALUE"""),3139.60999999999)</f>
        <v/>
      </c>
    </row>
    <row r="10990">
      <c r="J10990">
        <f>IFERROR(__xludf.DUMMYFUNCTION("""COMPUTED_VALUE"""),"New York, USA.")</f>
        <v/>
      </c>
      <c r="K10990">
        <f>IFERROR(__xludf.DUMMYFUNCTION("""COMPUTED_VALUE"""),3138.52)</f>
        <v/>
      </c>
    </row>
    <row r="10991">
      <c r="J10991">
        <f>IFERROR(__xludf.DUMMYFUNCTION("""COMPUTED_VALUE"""),"Iqaluit and Cape Dorset, Nunavut")</f>
        <v/>
      </c>
      <c r="K10991">
        <f>IFERROR(__xludf.DUMMYFUNCTION("""COMPUTED_VALUE"""),3138.51)</f>
        <v/>
      </c>
    </row>
    <row r="10992">
      <c r="J10992">
        <f>IFERROR(__xludf.DUMMYFUNCTION("""COMPUTED_VALUE"""),"Surrey, BC, Canada")</f>
        <v/>
      </c>
      <c r="K10992">
        <f>IFERROR(__xludf.DUMMYFUNCTION("""COMPUTED_VALUE"""),3137.64999999999)</f>
        <v/>
      </c>
    </row>
    <row r="10993">
      <c r="J10993">
        <f>IFERROR(__xludf.DUMMYFUNCTION("""COMPUTED_VALUE"""),"Pittsburg, PA - Washington, DC")</f>
        <v/>
      </c>
      <c r="K10993">
        <f>IFERROR(__xludf.DUMMYFUNCTION("""COMPUTED_VALUE"""),3135.99)</f>
        <v/>
      </c>
    </row>
    <row r="10994">
      <c r="J10994">
        <f>IFERROR(__xludf.DUMMYFUNCTION("""COMPUTED_VALUE"""),"Quebec City, Saguenay 
Vancouver
Calgary")</f>
        <v/>
      </c>
      <c r="K10994">
        <f>IFERROR(__xludf.DUMMYFUNCTION("""COMPUTED_VALUE"""),3135.87)</f>
        <v/>
      </c>
    </row>
    <row r="10995">
      <c r="J10995">
        <f>IFERROR(__xludf.DUMMYFUNCTION("""COMPUTED_VALUE"""),"Gagetown")</f>
        <v/>
      </c>
      <c r="K10995">
        <f>IFERROR(__xludf.DUMMYFUNCTION("""COMPUTED_VALUE"""),3135.28)</f>
        <v/>
      </c>
    </row>
    <row r="10996">
      <c r="J10996">
        <f>IFERROR(__xludf.DUMMYFUNCTION("""COMPUTED_VALUE"""),"Panama City, United States of America")</f>
        <v/>
      </c>
      <c r="K10996">
        <f>IFERROR(__xludf.DUMMYFUNCTION("""COMPUTED_VALUE"""),3135.18)</f>
        <v/>
      </c>
    </row>
    <row r="10997">
      <c r="J10997">
        <f>IFERROR(__xludf.DUMMYFUNCTION("""COMPUTED_VALUE"""),"Windsor, Hamilton, ON")</f>
        <v/>
      </c>
      <c r="K10997">
        <f>IFERROR(__xludf.DUMMYFUNCTION("""COMPUTED_VALUE"""),3134.51)</f>
        <v/>
      </c>
    </row>
    <row r="10998">
      <c r="J10998">
        <f>IFERROR(__xludf.DUMMYFUNCTION("""COMPUTED_VALUE"""),"Calgary, Alberta, Canada
Vancouver, British Columbia, Canada
Toronto, Ontario, Canada")</f>
        <v/>
      </c>
      <c r="K10998">
        <f>IFERROR(__xludf.DUMMYFUNCTION("""COMPUTED_VALUE"""),3134.44)</f>
        <v/>
      </c>
    </row>
    <row r="10999">
      <c r="J10999">
        <f>IFERROR(__xludf.DUMMYFUNCTION("""COMPUTED_VALUE"""),"Olds, Alberta, Canada")</f>
        <v/>
      </c>
      <c r="K10999">
        <f>IFERROR(__xludf.DUMMYFUNCTION("""COMPUTED_VALUE"""),3134.16)</f>
        <v/>
      </c>
    </row>
    <row r="11000">
      <c r="J11000">
        <f>IFERROR(__xludf.DUMMYFUNCTION("""COMPUTED_VALUE"""),"Toronto &amp; Windsor")</f>
        <v/>
      </c>
      <c r="K11000">
        <f>IFERROR(__xludf.DUMMYFUNCTION("""COMPUTED_VALUE"""),3134.1)</f>
        <v/>
      </c>
    </row>
    <row r="11001">
      <c r="J11001">
        <f>IFERROR(__xludf.DUMMYFUNCTION("""COMPUTED_VALUE"""),"Orford, Montreal, Quebec, (Canada)")</f>
        <v/>
      </c>
      <c r="K11001">
        <f>IFERROR(__xludf.DUMMYFUNCTION("""COMPUTED_VALUE"""),3133.31)</f>
        <v/>
      </c>
    </row>
    <row r="11002">
      <c r="J11002">
        <f>IFERROR(__xludf.DUMMYFUNCTION("""COMPUTED_VALUE"""),"Ottawa-Toronto-Miami (meeting Minister) Miami-Tegucigalpa (with Mnister)")</f>
        <v/>
      </c>
      <c r="K11002">
        <f>IFERROR(__xludf.DUMMYFUNCTION("""COMPUTED_VALUE"""),3132.94)</f>
        <v/>
      </c>
    </row>
    <row r="11003">
      <c r="J11003">
        <f>IFERROR(__xludf.DUMMYFUNCTION("""COMPUTED_VALUE"""),"Louisville, Kentucky")</f>
        <v/>
      </c>
      <c r="K11003">
        <f>IFERROR(__xludf.DUMMYFUNCTION("""COMPUTED_VALUE"""),3131.81999999999)</f>
        <v/>
      </c>
    </row>
    <row r="11004">
      <c r="J11004">
        <f>IFERROR(__xludf.DUMMYFUNCTION("""COMPUTED_VALUE"""),"St-Paul, Alberta, Canada")</f>
        <v/>
      </c>
      <c r="K11004">
        <f>IFERROR(__xludf.DUMMYFUNCTION("""COMPUTED_VALUE"""),3131.04)</f>
        <v/>
      </c>
    </row>
    <row r="11005">
      <c r="J11005">
        <f>IFERROR(__xludf.DUMMYFUNCTION("""COMPUTED_VALUE"""),"West Nipissing, Ontario, Canada")</f>
        <v/>
      </c>
      <c r="K11005">
        <f>IFERROR(__xludf.DUMMYFUNCTION("""COMPUTED_VALUE"""),3130.64999999999)</f>
        <v/>
      </c>
    </row>
    <row r="11006">
      <c r="J11006">
        <f>IFERROR(__xludf.DUMMYFUNCTION("""COMPUTED_VALUE"""),"Hertfordshire, United Kingdom")</f>
        <v/>
      </c>
      <c r="K11006">
        <f>IFERROR(__xludf.DUMMYFUNCTION("""COMPUTED_VALUE"""),3130.6)</f>
        <v/>
      </c>
    </row>
    <row r="11007">
      <c r="J11007">
        <f>IFERROR(__xludf.DUMMYFUNCTION("""COMPUTED_VALUE"""),"Fredericton, New Brunswick, Canada/ Niagara Falls, Ontario, Canada/ Toronto, Ontario, Canada")</f>
        <v/>
      </c>
      <c r="K11007">
        <f>IFERROR(__xludf.DUMMYFUNCTION("""COMPUTED_VALUE"""),3130.48)</f>
        <v/>
      </c>
    </row>
    <row r="11008">
      <c r="J11008">
        <f>IFERROR(__xludf.DUMMYFUNCTION("""COMPUTED_VALUE"""),"Edmonton, Alta. &amp; Ottawa, Ont.")</f>
        <v/>
      </c>
      <c r="K11008">
        <f>IFERROR(__xludf.DUMMYFUNCTION("""COMPUTED_VALUE"""),3129.63)</f>
        <v/>
      </c>
    </row>
    <row r="11009">
      <c r="J11009">
        <f>IFERROR(__xludf.DUMMYFUNCTION("""COMPUTED_VALUE"""),"Kelowna (British Columbia);Vancouver (British Columbia); Whistler (British Columbia) Canada")</f>
        <v/>
      </c>
      <c r="K11009">
        <f>IFERROR(__xludf.DUMMYFUNCTION("""COMPUTED_VALUE"""),3129.37)</f>
        <v/>
      </c>
    </row>
    <row r="11010">
      <c r="J11010">
        <f>IFERROR(__xludf.DUMMYFUNCTION("""COMPUTED_VALUE"""),"Halifax, NS Yarmouth, NS Turo, NS")</f>
        <v/>
      </c>
      <c r="K11010">
        <f>IFERROR(__xludf.DUMMYFUNCTION("""COMPUTED_VALUE"""),3128.08)</f>
        <v/>
      </c>
    </row>
    <row r="11011">
      <c r="J11011">
        <f>IFERROR(__xludf.DUMMYFUNCTION("""COMPUTED_VALUE"""),"OTTAWA (ONT.) ET FREDERICTON (N.-B.)")</f>
        <v/>
      </c>
      <c r="K11011">
        <f>IFERROR(__xludf.DUMMYFUNCTION("""COMPUTED_VALUE"""),3127.59)</f>
        <v/>
      </c>
    </row>
    <row r="11012">
      <c r="J11012">
        <f>IFERROR(__xludf.DUMMYFUNCTION("""COMPUTED_VALUE"""),"Halifax NS, Canada")</f>
        <v/>
      </c>
      <c r="K11012">
        <f>IFERROR(__xludf.DUMMYFUNCTION("""COMPUTED_VALUE"""),3127.45)</f>
        <v/>
      </c>
    </row>
    <row r="11013">
      <c r="J11013">
        <f>IFERROR(__xludf.DUMMYFUNCTION("""COMPUTED_VALUE"""),"Scottsdale, Arizona")</f>
        <v/>
      </c>
      <c r="K11013">
        <f>IFERROR(__xludf.DUMMYFUNCTION("""COMPUTED_VALUE"""),3127.28)</f>
        <v/>
      </c>
    </row>
    <row r="11014">
      <c r="J11014">
        <f>IFERROR(__xludf.DUMMYFUNCTION("""COMPUTED_VALUE"""),"Thunder Bay, ON, Canada
Sudbury, ON, Canada")</f>
        <v/>
      </c>
      <c r="K11014">
        <f>IFERROR(__xludf.DUMMYFUNCTION("""COMPUTED_VALUE"""),3126.77)</f>
        <v/>
      </c>
    </row>
    <row r="11015">
      <c r="J11015">
        <f>IFERROR(__xludf.DUMMYFUNCTION("""COMPUTED_VALUE"""),"Chilliwack, Richmond, Surrey, Langley and Vancouver, British Columbia")</f>
        <v/>
      </c>
      <c r="K11015">
        <f>IFERROR(__xludf.DUMMYFUNCTION("""COMPUTED_VALUE"""),3126.66)</f>
        <v/>
      </c>
    </row>
    <row r="11016">
      <c r="J11016">
        <f>IFERROR(__xludf.DUMMYFUNCTION("""COMPUTED_VALUE"""),"Kejimkujik National Park, Nova Scotia, Canada")</f>
        <v/>
      </c>
      <c r="K11016">
        <f>IFERROR(__xludf.DUMMYFUNCTION("""COMPUTED_VALUE"""),3126.65)</f>
        <v/>
      </c>
    </row>
    <row r="11017">
      <c r="J11017">
        <f>IFERROR(__xludf.DUMMYFUNCTION("""COMPUTED_VALUE"""),"Regina, Saskatchewan; Winnipeg, Manitoba; Edmonton, Alberta")</f>
        <v/>
      </c>
      <c r="K11017">
        <f>IFERROR(__xludf.DUMMYFUNCTION("""COMPUTED_VALUE"""),3125.78)</f>
        <v/>
      </c>
    </row>
    <row r="11018">
      <c r="J11018">
        <f>IFERROR(__xludf.DUMMYFUNCTION("""COMPUTED_VALUE"""),"Winnipeg / Churchill")</f>
        <v/>
      </c>
      <c r="K11018">
        <f>IFERROR(__xludf.DUMMYFUNCTION("""COMPUTED_VALUE"""),3125.58)</f>
        <v/>
      </c>
    </row>
    <row r="11019">
      <c r="J11019">
        <f>IFERROR(__xludf.DUMMYFUNCTION("""COMPUTED_VALUE"""),"Borden, ON")</f>
        <v/>
      </c>
      <c r="K11019">
        <f>IFERROR(__xludf.DUMMYFUNCTION("""COMPUTED_VALUE"""),3125.55)</f>
        <v/>
      </c>
    </row>
    <row r="11020">
      <c r="J11020">
        <f>IFERROR(__xludf.DUMMYFUNCTION("""COMPUTED_VALUE"""),"Leon, Mexico City")</f>
        <v/>
      </c>
      <c r="K11020">
        <f>IFERROR(__xludf.DUMMYFUNCTION("""COMPUTED_VALUE"""),3125.43)</f>
        <v/>
      </c>
    </row>
    <row r="11021">
      <c r="J11021">
        <f>IFERROR(__xludf.DUMMYFUNCTION("""COMPUTED_VALUE"""),"Liverpool, Nova Scotia / Digby, Nova Scotia")</f>
        <v/>
      </c>
      <c r="K11021">
        <f>IFERROR(__xludf.DUMMYFUNCTION("""COMPUTED_VALUE"""),3124.91)</f>
        <v/>
      </c>
    </row>
    <row r="11022">
      <c r="J11022">
        <f>IFERROR(__xludf.DUMMYFUNCTION("""COMPUTED_VALUE"""),"Ottawa (ON), Halifas, (NS), Canada")</f>
        <v/>
      </c>
      <c r="K11022">
        <f>IFERROR(__xludf.DUMMYFUNCTION("""COMPUTED_VALUE"""),3124.76)</f>
        <v/>
      </c>
    </row>
    <row r="11023">
      <c r="J11023">
        <f>IFERROR(__xludf.DUMMYFUNCTION("""COMPUTED_VALUE"""),"Washington D.C, District of Columbia, USA")</f>
        <v/>
      </c>
      <c r="K11023">
        <f>IFERROR(__xludf.DUMMYFUNCTION("""COMPUTED_VALUE"""),3124.67)</f>
        <v/>
      </c>
    </row>
    <row r="11024">
      <c r="J11024">
        <f>IFERROR(__xludf.DUMMYFUNCTION("""COMPUTED_VALUE"""),"Charlottetown, Prince Edward Island, Canada
Winnipeg, Manitoba, Canada")</f>
        <v/>
      </c>
      <c r="K11024">
        <f>IFERROR(__xludf.DUMMYFUNCTION("""COMPUTED_VALUE"""),3124.26)</f>
        <v/>
      </c>
    </row>
    <row r="11025">
      <c r="J11025">
        <f>IFERROR(__xludf.DUMMYFUNCTION("""COMPUTED_VALUE"""),"Ottawa, Ontario, Canada; St. John's, Newfoundland and Labrador, Canada")</f>
        <v/>
      </c>
      <c r="K11025">
        <f>IFERROR(__xludf.DUMMYFUNCTION("""COMPUTED_VALUE"""),3124.15)</f>
        <v/>
      </c>
    </row>
    <row r="11026">
      <c r="J11026">
        <f>IFERROR(__xludf.DUMMYFUNCTION("""COMPUTED_VALUE"""),"Chilliwack, Richmond, Surrey, Langley and Vancouver, British-Columbia")</f>
        <v/>
      </c>
      <c r="K11026">
        <f>IFERROR(__xludf.DUMMYFUNCTION("""COMPUTED_VALUE"""),3123.92)</f>
        <v/>
      </c>
    </row>
    <row r="11027">
      <c r="J11027">
        <f>IFERROR(__xludf.DUMMYFUNCTION("""COMPUTED_VALUE"""),"Regina (Saskachewan) Canada")</f>
        <v/>
      </c>
      <c r="K11027">
        <f>IFERROR(__xludf.DUMMYFUNCTION("""COMPUTED_VALUE"""),3123.18)</f>
        <v/>
      </c>
    </row>
    <row r="11028">
      <c r="J11028">
        <f>IFERROR(__xludf.DUMMYFUNCTION("""COMPUTED_VALUE"""),"Fort Good Hope, North West Territories, Canada")</f>
        <v/>
      </c>
      <c r="K11028">
        <f>IFERROR(__xludf.DUMMYFUNCTION("""COMPUTED_VALUE"""),3123.05)</f>
        <v/>
      </c>
    </row>
    <row r="11029">
      <c r="J11029">
        <f>IFERROR(__xludf.DUMMYFUNCTION("""COMPUTED_VALUE"""),"San Diego, CA, United States")</f>
        <v/>
      </c>
      <c r="K11029">
        <f>IFERROR(__xludf.DUMMYFUNCTION("""COMPUTED_VALUE"""),3123.03)</f>
        <v/>
      </c>
    </row>
    <row r="11030">
      <c r="J11030">
        <f>IFERROR(__xludf.DUMMYFUNCTION("""COMPUTED_VALUE"""),"St. John's, Newfounland and Labrador")</f>
        <v/>
      </c>
      <c r="K11030">
        <f>IFERROR(__xludf.DUMMYFUNCTION("""COMPUTED_VALUE"""),3122.56)</f>
        <v/>
      </c>
    </row>
    <row r="11031">
      <c r="J11031">
        <f>IFERROR(__xludf.DUMMYFUNCTION("""COMPUTED_VALUE"""),"WINNIPEG, MB - CHARLOTTETOWN, PE")</f>
        <v/>
      </c>
      <c r="K11031">
        <f>IFERROR(__xludf.DUMMYFUNCTION("""COMPUTED_VALUE"""),3121.98)</f>
        <v/>
      </c>
    </row>
    <row r="11032">
      <c r="J11032">
        <f>IFERROR(__xludf.DUMMYFUNCTION("""COMPUTED_VALUE"""),"Montreal - Quebec")</f>
        <v/>
      </c>
      <c r="K11032">
        <f>IFERROR(__xludf.DUMMYFUNCTION("""COMPUTED_VALUE"""),3121.65)</f>
        <v/>
      </c>
    </row>
    <row r="11033">
      <c r="J11033">
        <f>IFERROR(__xludf.DUMMYFUNCTION("""COMPUTED_VALUE"""),"Wiinipeg, Canada")</f>
        <v/>
      </c>
      <c r="K11033">
        <f>IFERROR(__xludf.DUMMYFUNCTION("""COMPUTED_VALUE"""),3121.09)</f>
        <v/>
      </c>
    </row>
    <row r="11034">
      <c r="J11034">
        <f>IFERROR(__xludf.DUMMYFUNCTION("""COMPUTED_VALUE"""),"Buckingham, Quebec, Canada")</f>
        <v/>
      </c>
      <c r="K11034">
        <f>IFERROR(__xludf.DUMMYFUNCTION("""COMPUTED_VALUE"""),3119.75)</f>
        <v/>
      </c>
    </row>
    <row r="11035">
      <c r="J11035">
        <f>IFERROR(__xludf.DUMMYFUNCTION("""COMPUTED_VALUE"""),"CALGARY, AB - OTTAWA, ON")</f>
        <v/>
      </c>
      <c r="K11035">
        <f>IFERROR(__xludf.DUMMYFUNCTION("""COMPUTED_VALUE"""),3119.29)</f>
        <v/>
      </c>
    </row>
    <row r="11036">
      <c r="J11036">
        <f>IFERROR(__xludf.DUMMYFUNCTION("""COMPUTED_VALUE"""),"Singapore &amp; Hong Kong")</f>
        <v/>
      </c>
      <c r="K11036">
        <f>IFERROR(__xludf.DUMMYFUNCTION("""COMPUTED_VALUE"""),3119.22)</f>
        <v/>
      </c>
    </row>
    <row r="11037">
      <c r="J11037">
        <f>IFERROR(__xludf.DUMMYFUNCTION("""COMPUTED_VALUE"""),"Iqaluit, NU; Toronto, ON")</f>
        <v/>
      </c>
      <c r="K11037">
        <f>IFERROR(__xludf.DUMMYFUNCTION("""COMPUTED_VALUE"""),3118.88)</f>
        <v/>
      </c>
    </row>
    <row r="11038">
      <c r="J11038">
        <f>IFERROR(__xludf.DUMMYFUNCTION("""COMPUTED_VALUE"""),"Edmonton, AB - Sudbury, Hamilton Toronto, ON")</f>
        <v/>
      </c>
      <c r="K11038">
        <f>IFERROR(__xludf.DUMMYFUNCTION("""COMPUTED_VALUE"""),3118.26)</f>
        <v/>
      </c>
    </row>
    <row r="11039">
      <c r="J11039">
        <f>IFERROR(__xludf.DUMMYFUNCTION("""COMPUTED_VALUE"""),"St. John 's (Newfoundland) Canada;
Winnipeg (Manitoba) Canada")</f>
        <v/>
      </c>
      <c r="K11039">
        <f>IFERROR(__xludf.DUMMYFUNCTION("""COMPUTED_VALUE"""),3118.23)</f>
        <v/>
      </c>
    </row>
    <row r="11040">
      <c r="J11040">
        <f>IFERROR(__xludf.DUMMYFUNCTION("""COMPUTED_VALUE"""),"Cambridge, Hamilton and Toronto, Ontario, Canada")</f>
        <v/>
      </c>
      <c r="K11040">
        <f>IFERROR(__xludf.DUMMYFUNCTION("""COMPUTED_VALUE"""),3118.19)</f>
        <v/>
      </c>
    </row>
    <row r="11041">
      <c r="J11041">
        <f>IFERROR(__xludf.DUMMYFUNCTION("""COMPUTED_VALUE"""),"Toronto, Ontario, Canada / Mississauga, Ontario, Canada")</f>
        <v/>
      </c>
      <c r="K11041">
        <f>IFERROR(__xludf.DUMMYFUNCTION("""COMPUTED_VALUE"""),3117.71)</f>
        <v/>
      </c>
    </row>
    <row r="11042">
      <c r="J11042">
        <f>IFERROR(__xludf.DUMMYFUNCTION("""COMPUTED_VALUE"""),"Regina, Saskatchewan, Canada; Winnipeg, Manitoba, Canada; Kenora, Ontario, Canada")</f>
        <v/>
      </c>
      <c r="K11042">
        <f>IFERROR(__xludf.DUMMYFUNCTION("""COMPUTED_VALUE"""),3117.31)</f>
        <v/>
      </c>
    </row>
    <row r="11043">
      <c r="J11043">
        <f>IFERROR(__xludf.DUMMYFUNCTION("""COMPUTED_VALUE"""),"Shoreham by Sea London")</f>
        <v/>
      </c>
      <c r="K11043">
        <f>IFERROR(__xludf.DUMMYFUNCTION("""COMPUTED_VALUE"""),3117.12)</f>
        <v/>
      </c>
    </row>
    <row r="11044">
      <c r="J11044">
        <f>IFERROR(__xludf.DUMMYFUNCTION("""COMPUTED_VALUE"""),"San Luis Potosi")</f>
        <v/>
      </c>
      <c r="K11044">
        <f>IFERROR(__xludf.DUMMYFUNCTION("""COMPUTED_VALUE"""),3116.22)</f>
        <v/>
      </c>
    </row>
    <row r="11045">
      <c r="J11045">
        <f>IFERROR(__xludf.DUMMYFUNCTION("""COMPUTED_VALUE"""),"Montréal (Quebec) Canada, Valleyfield (Quebec) Canada, Chibougamau  (Quebec) Canada")</f>
        <v/>
      </c>
      <c r="K11045">
        <f>IFERROR(__xludf.DUMMYFUNCTION("""COMPUTED_VALUE"""),3115.58)</f>
        <v/>
      </c>
    </row>
    <row r="11046">
      <c r="J11046">
        <f>IFERROR(__xludf.DUMMYFUNCTION("""COMPUTED_VALUE"""),"Ottawa, ON Canada
Toronto, ON Canada")</f>
        <v/>
      </c>
      <c r="K11046">
        <f>IFERROR(__xludf.DUMMYFUNCTION("""COMPUTED_VALUE"""),3114.81)</f>
        <v/>
      </c>
    </row>
    <row r="11047">
      <c r="J11047">
        <f>IFERROR(__xludf.DUMMYFUNCTION("""COMPUTED_VALUE"""),"St. John's, Gander, &amp; Goose Bay, Newfoundland and Labrador, Canada")</f>
        <v/>
      </c>
      <c r="K11047">
        <f>IFERROR(__xludf.DUMMYFUNCTION("""COMPUTED_VALUE"""),3114.8)</f>
        <v/>
      </c>
    </row>
    <row r="11048">
      <c r="J11048">
        <f>IFERROR(__xludf.DUMMYFUNCTION("""COMPUTED_VALUE"""),"Toronto, ON  Canada")</f>
        <v/>
      </c>
      <c r="K11048">
        <f>IFERROR(__xludf.DUMMYFUNCTION("""COMPUTED_VALUE"""),3114.72)</f>
        <v/>
      </c>
    </row>
    <row r="11049">
      <c r="J11049">
        <f>IFERROR(__xludf.DUMMYFUNCTION("""COMPUTED_VALUE"""),"Charlottetown (Price Edward Island) Canada")</f>
        <v/>
      </c>
      <c r="K11049">
        <f>IFERROR(__xludf.DUMMYFUNCTION("""COMPUTED_VALUE"""),3114.39)</f>
        <v/>
      </c>
    </row>
    <row r="11050">
      <c r="J11050">
        <f>IFERROR(__xludf.DUMMYFUNCTION("""COMPUTED_VALUE"""),"Iqaluit / Pangnirtung")</f>
        <v/>
      </c>
      <c r="K11050">
        <f>IFERROR(__xludf.DUMMYFUNCTION("""COMPUTED_VALUE"""),3113.85)</f>
        <v/>
      </c>
    </row>
    <row r="11051">
      <c r="J11051">
        <f>IFERROR(__xludf.DUMMYFUNCTION("""COMPUTED_VALUE"""),"Toronto- Kelowna- Vancouver- Ottawa")</f>
        <v/>
      </c>
      <c r="K11051">
        <f>IFERROR(__xludf.DUMMYFUNCTION("""COMPUTED_VALUE"""),3113.78)</f>
        <v/>
      </c>
    </row>
    <row r="11052">
      <c r="J11052">
        <f>IFERROR(__xludf.DUMMYFUNCTION("""COMPUTED_VALUE"""),"Edmonton AB, Canada")</f>
        <v/>
      </c>
      <c r="K11052">
        <f>IFERROR(__xludf.DUMMYFUNCTION("""COMPUTED_VALUE"""),3113.65)</f>
        <v/>
      </c>
    </row>
    <row r="11053">
      <c r="J11053">
        <f>IFERROR(__xludf.DUMMYFUNCTION("""COMPUTED_VALUE"""),"Sea Island, USA")</f>
        <v/>
      </c>
      <c r="K11053">
        <f>IFERROR(__xludf.DUMMYFUNCTION("""COMPUTED_VALUE"""),3112.27)</f>
        <v/>
      </c>
    </row>
    <row r="11054">
      <c r="J11054">
        <f>IFERROR(__xludf.DUMMYFUNCTION("""COMPUTED_VALUE"""),"Toronto, Ontario, Canada; Guelph, Ontario, Canada; Chatham, Ontario, Canada; Cambridge, Ontario, Canada")</f>
        <v/>
      </c>
      <c r="K11054">
        <f>IFERROR(__xludf.DUMMYFUNCTION("""COMPUTED_VALUE"""),3111.93)</f>
        <v/>
      </c>
    </row>
    <row r="11055">
      <c r="J11055">
        <f>IFERROR(__xludf.DUMMYFUNCTION("""COMPUTED_VALUE"""),"Sydney, Nova Scotia, Canada
Cape Breton, Nova Scotia, Canada
Fredericton, New Brunswick, Canada")</f>
        <v/>
      </c>
      <c r="K11055">
        <f>IFERROR(__xludf.DUMMYFUNCTION("""COMPUTED_VALUE"""),3111.85)</f>
        <v/>
      </c>
    </row>
    <row r="11056">
      <c r="J11056">
        <f>IFERROR(__xludf.DUMMYFUNCTION("""COMPUTED_VALUE"""),"Moncton, NB / Miramichi, NB / Charlottetown, PEI")</f>
        <v/>
      </c>
      <c r="K11056">
        <f>IFERROR(__xludf.DUMMYFUNCTION("""COMPUTED_VALUE"""),3111.59)</f>
        <v/>
      </c>
    </row>
    <row r="11057">
      <c r="J11057">
        <f>IFERROR(__xludf.DUMMYFUNCTION("""COMPUTED_VALUE"""),"Thunder Bay, Ontario, Canada; Kenora, Ontario, Canada; Sault Ste. Marie, Ontario, Canada; Timmins, Ontario, Canada")</f>
        <v/>
      </c>
      <c r="K11057">
        <f>IFERROR(__xludf.DUMMYFUNCTION("""COMPUTED_VALUE"""),3111.51)</f>
        <v/>
      </c>
    </row>
    <row r="11058">
      <c r="J11058">
        <f>IFERROR(__xludf.DUMMYFUNCTION("""COMPUTED_VALUE"""),"Mexico City, Toronto")</f>
        <v/>
      </c>
      <c r="K11058">
        <f>IFERROR(__xludf.DUMMYFUNCTION("""COMPUTED_VALUE"""),3111.07)</f>
        <v/>
      </c>
    </row>
    <row r="11059">
      <c r="J11059">
        <f>IFERROR(__xludf.DUMMYFUNCTION("""COMPUTED_VALUE"""),"Ottawa, Vancouver, Victoria, Calgary.")</f>
        <v/>
      </c>
      <c r="K11059">
        <f>IFERROR(__xludf.DUMMYFUNCTION("""COMPUTED_VALUE"""),3110.71)</f>
        <v/>
      </c>
    </row>
    <row r="11060">
      <c r="J11060">
        <f>IFERROR(__xludf.DUMMYFUNCTION("""COMPUTED_VALUE"""),"Toronto/ St.John")</f>
        <v/>
      </c>
      <c r="K11060">
        <f>IFERROR(__xludf.DUMMYFUNCTION("""COMPUTED_VALUE"""),3110.71)</f>
        <v/>
      </c>
    </row>
    <row r="11061">
      <c r="J11061">
        <f>IFERROR(__xludf.DUMMYFUNCTION("""COMPUTED_VALUE"""),"Whitehorse, Yukon and Vancouver, British Colombia, Canada")</f>
        <v/>
      </c>
      <c r="K11061">
        <f>IFERROR(__xludf.DUMMYFUNCTION("""COMPUTED_VALUE"""),3110.6)</f>
        <v/>
      </c>
    </row>
    <row r="11062">
      <c r="J11062">
        <f>IFERROR(__xludf.DUMMYFUNCTION("""COMPUTED_VALUE"""),"Saskatoon, Regina and Quebec, Canada")</f>
        <v/>
      </c>
      <c r="K11062">
        <f>IFERROR(__xludf.DUMMYFUNCTION("""COMPUTED_VALUE"""),3110.54)</f>
        <v/>
      </c>
    </row>
    <row r="11063">
      <c r="J11063">
        <f>IFERROR(__xludf.DUMMYFUNCTION("""COMPUTED_VALUE"""),"Nanaimo / Vancouver")</f>
        <v/>
      </c>
      <c r="K11063">
        <f>IFERROR(__xludf.DUMMYFUNCTION("""COMPUTED_VALUE"""),3110.06)</f>
        <v/>
      </c>
    </row>
    <row r="11064">
      <c r="J11064">
        <f>IFERROR(__xludf.DUMMYFUNCTION("""COMPUTED_VALUE"""),"Port au Prince")</f>
        <v/>
      </c>
      <c r="K11064">
        <f>IFERROR(__xludf.DUMMYFUNCTION("""COMPUTED_VALUE"""),3110.03)</f>
        <v/>
      </c>
    </row>
    <row r="11065">
      <c r="J11065">
        <f>IFERROR(__xludf.DUMMYFUNCTION("""COMPUTED_VALUE"""),"St John's, Newfoundland and Labrador, Canada; Montreal, Quebec, Canada")</f>
        <v/>
      </c>
      <c r="K11065">
        <f>IFERROR(__xludf.DUMMYFUNCTION("""COMPUTED_VALUE"""),3109.57)</f>
        <v/>
      </c>
    </row>
    <row r="11066">
      <c r="J11066">
        <f>IFERROR(__xludf.DUMMYFUNCTION("""COMPUTED_VALUE"""),"VICTORIA,BC - CALGARY, AB - OTTAWA, ON")</f>
        <v/>
      </c>
      <c r="K11066">
        <f>IFERROR(__xludf.DUMMYFUNCTION("""COMPUTED_VALUE"""),3109.38)</f>
        <v/>
      </c>
    </row>
    <row r="11067">
      <c r="J11067">
        <f>IFERROR(__xludf.DUMMYFUNCTION("""COMPUTED_VALUE"""),"Portage la Prairie, Manitoba")</f>
        <v/>
      </c>
      <c r="K11067">
        <f>IFERROR(__xludf.DUMMYFUNCTION("""COMPUTED_VALUE"""),3109.04)</f>
        <v/>
      </c>
    </row>
    <row r="11068">
      <c r="J11068">
        <f>IFERROR(__xludf.DUMMYFUNCTION("""COMPUTED_VALUE"""),"Toronto, Ontario; Halifax, Nova Scotia, Canada")</f>
        <v/>
      </c>
      <c r="K11068">
        <f>IFERROR(__xludf.DUMMYFUNCTION("""COMPUTED_VALUE"""),3108.74)</f>
        <v/>
      </c>
    </row>
    <row r="11069">
      <c r="J11069">
        <f>IFERROR(__xludf.DUMMYFUNCTION("""COMPUTED_VALUE"""),"Winnipeg, Manitoba, Canada; Fort McMurray, Alberta, Canada")</f>
        <v/>
      </c>
      <c r="K11069">
        <f>IFERROR(__xludf.DUMMYFUNCTION("""COMPUTED_VALUE"""),3108.72)</f>
        <v/>
      </c>
    </row>
    <row r="11070">
      <c r="J11070">
        <f>IFERROR(__xludf.DUMMYFUNCTION("""COMPUTED_VALUE"""),"Charlottetown, PE, Halifax, NS, Fredericton, NB")</f>
        <v/>
      </c>
      <c r="K11070">
        <f>IFERROR(__xludf.DUMMYFUNCTION("""COMPUTED_VALUE"""),3108.71)</f>
        <v/>
      </c>
    </row>
    <row r="11071">
      <c r="J11071">
        <f>IFERROR(__xludf.DUMMYFUNCTION("""COMPUTED_VALUE"""),"Durham, Ontario, Canada")</f>
        <v/>
      </c>
      <c r="K11071">
        <f>IFERROR(__xludf.DUMMYFUNCTION("""COMPUTED_VALUE"""),3108.65)</f>
        <v/>
      </c>
    </row>
    <row r="11072">
      <c r="J11072">
        <f>IFERROR(__xludf.DUMMYFUNCTION("""COMPUTED_VALUE"""),"Hamilton, Ontario, Canada; St. Catharines, Ontario, Canada; Toronto, Ontario, Canada")</f>
        <v/>
      </c>
      <c r="K11072">
        <f>IFERROR(__xludf.DUMMYFUNCTION("""COMPUTED_VALUE"""),3107.8)</f>
        <v/>
      </c>
    </row>
    <row r="11073">
      <c r="J11073">
        <f>IFERROR(__xludf.DUMMYFUNCTION("""COMPUTED_VALUE"""),"South Bend, Indiana, USA")</f>
        <v/>
      </c>
      <c r="K11073">
        <f>IFERROR(__xludf.DUMMYFUNCTION("""COMPUTED_VALUE"""),3107.2)</f>
        <v/>
      </c>
    </row>
    <row r="11074">
      <c r="J11074">
        <f>IFERROR(__xludf.DUMMYFUNCTION("""COMPUTED_VALUE"""),"Basel, Swithzerland   London, U.K.")</f>
        <v/>
      </c>
      <c r="K11074">
        <f>IFERROR(__xludf.DUMMYFUNCTION("""COMPUTED_VALUE"""),3107.01)</f>
        <v/>
      </c>
    </row>
    <row r="11075">
      <c r="J11075">
        <f>IFERROR(__xludf.DUMMYFUNCTION("""COMPUTED_VALUE"""),"Hamilton (Ontario) Canada; St. Catharines (Ontario) Canada")</f>
        <v/>
      </c>
      <c r="K11075">
        <f>IFERROR(__xludf.DUMMYFUNCTION("""COMPUTED_VALUE"""),3106.83)</f>
        <v/>
      </c>
    </row>
    <row r="11076">
      <c r="J11076">
        <f>IFERROR(__xludf.DUMMYFUNCTION("""COMPUTED_VALUE"""),"Tokyo/Seoul")</f>
        <v/>
      </c>
      <c r="K11076">
        <f>IFERROR(__xludf.DUMMYFUNCTION("""COMPUTED_VALUE"""),3106.12)</f>
        <v/>
      </c>
    </row>
    <row r="11077">
      <c r="J11077">
        <f>IFERROR(__xludf.DUMMYFUNCTION("""COMPUTED_VALUE"""),"Halifax, Nova Scotia; Quebec City, Quebec, Canada")</f>
        <v/>
      </c>
      <c r="K11077">
        <f>IFERROR(__xludf.DUMMYFUNCTION("""COMPUTED_VALUE"""),3106.07)</f>
        <v/>
      </c>
    </row>
    <row r="11078">
      <c r="J11078">
        <f>IFERROR(__xludf.DUMMYFUNCTION("""COMPUTED_VALUE"""),"Moncton, New Brunswick, Canada; Fredericton, New Brunswick, Canada; Toronto, Ontario, Canada")</f>
        <v/>
      </c>
      <c r="K11078">
        <f>IFERROR(__xludf.DUMMYFUNCTION("""COMPUTED_VALUE"""),3105.14)</f>
        <v/>
      </c>
    </row>
    <row r="11079">
      <c r="J11079">
        <f>IFERROR(__xludf.DUMMYFUNCTION("""COMPUTED_VALUE"""),"Ottawa, Toronto and Montreal")</f>
        <v/>
      </c>
      <c r="K11079">
        <f>IFERROR(__xludf.DUMMYFUNCTION("""COMPUTED_VALUE"""),3104.71)</f>
        <v/>
      </c>
    </row>
    <row r="11080">
      <c r="J11080">
        <f>IFERROR(__xludf.DUMMYFUNCTION("""COMPUTED_VALUE"""),"Cape Canaveral, Florida, US")</f>
        <v/>
      </c>
      <c r="K11080">
        <f>IFERROR(__xludf.DUMMYFUNCTION("""COMPUTED_VALUE"""),3104.62)</f>
        <v/>
      </c>
    </row>
    <row r="11081">
      <c r="J11081">
        <f>IFERROR(__xludf.DUMMYFUNCTION("""COMPUTED_VALUE"""),"St John's, Newfoundland, Canada / Halifax, Nova Scotia, Canada")</f>
        <v/>
      </c>
      <c r="K11081">
        <f>IFERROR(__xludf.DUMMYFUNCTION("""COMPUTED_VALUE"""),3104.37)</f>
        <v/>
      </c>
    </row>
    <row r="11082">
      <c r="J11082">
        <f>IFERROR(__xludf.DUMMYFUNCTION("""COMPUTED_VALUE"""),"Saint-John, New Brunswick")</f>
        <v/>
      </c>
      <c r="K11082">
        <f>IFERROR(__xludf.DUMMYFUNCTION("""COMPUTED_VALUE"""),3104.08)</f>
        <v/>
      </c>
    </row>
    <row r="11083">
      <c r="J11083">
        <f>IFERROR(__xludf.DUMMYFUNCTION("""COMPUTED_VALUE"""),"Chicoutimi, QC")</f>
        <v/>
      </c>
      <c r="K11083">
        <f>IFERROR(__xludf.DUMMYFUNCTION("""COMPUTED_VALUE"""),3103.71)</f>
        <v/>
      </c>
    </row>
    <row r="11084">
      <c r="J11084">
        <f>IFERROR(__xludf.DUMMYFUNCTION("""COMPUTED_VALUE"""),"Varadero, Cuba")</f>
        <v/>
      </c>
      <c r="K11084">
        <f>IFERROR(__xludf.DUMMYFUNCTION("""COMPUTED_VALUE"""),3103.63)</f>
        <v/>
      </c>
    </row>
    <row r="11085">
      <c r="J11085">
        <f>IFERROR(__xludf.DUMMYFUNCTION("""COMPUTED_VALUE"""),"St. Andrews by the Sea")</f>
        <v/>
      </c>
      <c r="K11085">
        <f>IFERROR(__xludf.DUMMYFUNCTION("""COMPUTED_VALUE"""),3103.10999999999)</f>
        <v/>
      </c>
    </row>
    <row r="11086">
      <c r="J11086">
        <f>IFERROR(__xludf.DUMMYFUNCTION("""COMPUTED_VALUE"""),"Ottawa, On, Canada")</f>
        <v/>
      </c>
      <c r="K11086">
        <f>IFERROR(__xludf.DUMMYFUNCTION("""COMPUTED_VALUE"""),3102.68)</f>
        <v/>
      </c>
    </row>
    <row r="11087">
      <c r="J11087">
        <f>IFERROR(__xludf.DUMMYFUNCTION("""COMPUTED_VALUE"""),"Shanghai, Beijing, Hong Kong, China and Davos, Switzerland")</f>
        <v/>
      </c>
      <c r="K11087">
        <f>IFERROR(__xludf.DUMMYFUNCTION("""COMPUTED_VALUE"""),3101.74)</f>
        <v/>
      </c>
    </row>
    <row r="11088">
      <c r="J11088">
        <f>IFERROR(__xludf.DUMMYFUNCTION("""COMPUTED_VALUE"""),"Washington DC, Washington DC, United State")</f>
        <v/>
      </c>
      <c r="K11088">
        <f>IFERROR(__xludf.DUMMYFUNCTION("""COMPUTED_VALUE"""),3101)</f>
        <v/>
      </c>
    </row>
    <row r="11089">
      <c r="J11089">
        <f>IFERROR(__xludf.DUMMYFUNCTION("""COMPUTED_VALUE"""),"Edmonton, Alta. &amp; Toronto, Ont.")</f>
        <v/>
      </c>
      <c r="K11089">
        <f>IFERROR(__xludf.DUMMYFUNCTION("""COMPUTED_VALUE"""),3100.57)</f>
        <v/>
      </c>
    </row>
    <row r="11090">
      <c r="J11090">
        <f>IFERROR(__xludf.DUMMYFUNCTION("""COMPUTED_VALUE"""),"Ottawa, ON - St. John's, NL / St. John's, NL - Halifax, NS / Halifax, NS - Ottawa, ON")</f>
        <v/>
      </c>
      <c r="K11090">
        <f>IFERROR(__xludf.DUMMYFUNCTION("""COMPUTED_VALUE"""),3100.4)</f>
        <v/>
      </c>
    </row>
    <row r="11091">
      <c r="J11091">
        <f>IFERROR(__xludf.DUMMYFUNCTION("""COMPUTED_VALUE"""),"St-Petersburgh, Russia;London, England;Dublin, Ire")</f>
        <v/>
      </c>
      <c r="K11091">
        <f>IFERROR(__xludf.DUMMYFUNCTION("""COMPUTED_VALUE"""),3099.66)</f>
        <v/>
      </c>
    </row>
    <row r="11092">
      <c r="J11092">
        <f>IFERROR(__xludf.DUMMYFUNCTION("""COMPUTED_VALUE"""),"Québec, Quebec, Canada; Lévis, Quebec, Canada")</f>
        <v/>
      </c>
      <c r="K11092">
        <f>IFERROR(__xludf.DUMMYFUNCTION("""COMPUTED_VALUE"""),3099.6)</f>
        <v/>
      </c>
    </row>
    <row r="11093">
      <c r="J11093">
        <f>IFERROR(__xludf.DUMMYFUNCTION("""COMPUTED_VALUE"""),"Sydney , Canberra")</f>
        <v/>
      </c>
      <c r="K11093">
        <f>IFERROR(__xludf.DUMMYFUNCTION("""COMPUTED_VALUE"""),3099.29)</f>
        <v/>
      </c>
    </row>
    <row r="11094">
      <c r="J11094">
        <f>IFERROR(__xludf.DUMMYFUNCTION("""COMPUTED_VALUE"""),"Montreal, Quebec, Toronto, Ontario, Canada")</f>
        <v/>
      </c>
      <c r="K11094">
        <f>IFERROR(__xludf.DUMMYFUNCTION("""COMPUTED_VALUE"""),3098.96)</f>
        <v/>
      </c>
    </row>
    <row r="11095">
      <c r="J11095">
        <f>IFERROR(__xludf.DUMMYFUNCTION("""COMPUTED_VALUE"""),"Toronto, Ontario and Washington, D.C., United States")</f>
        <v/>
      </c>
      <c r="K11095">
        <f>IFERROR(__xludf.DUMMYFUNCTION("""COMPUTED_VALUE"""),3098.95)</f>
        <v/>
      </c>
    </row>
    <row r="11096">
      <c r="J11096">
        <f>IFERROR(__xludf.DUMMYFUNCTION("""COMPUTED_VALUE"""),"Péribonka, QC / Hébertville, QC")</f>
        <v/>
      </c>
      <c r="K11096">
        <f>IFERROR(__xludf.DUMMYFUNCTION("""COMPUTED_VALUE"""),3098.56999999999)</f>
        <v/>
      </c>
    </row>
    <row r="11097">
      <c r="J11097">
        <f>IFERROR(__xludf.DUMMYFUNCTION("""COMPUTED_VALUE"""),"Toronto, Ontario, Canada; Scarborough, Ontario, Canada; Montréal, Quebec, Canada")</f>
        <v/>
      </c>
      <c r="K11097">
        <f>IFERROR(__xludf.DUMMYFUNCTION("""COMPUTED_VALUE"""),3098.3)</f>
        <v/>
      </c>
    </row>
    <row r="11098">
      <c r="J11098">
        <f>IFERROR(__xludf.DUMMYFUNCTION("""COMPUTED_VALUE"""),"Calgary, AB; Vancouver, BC")</f>
        <v/>
      </c>
      <c r="K11098">
        <f>IFERROR(__xludf.DUMMYFUNCTION("""COMPUTED_VALUE"""),3097.51)</f>
        <v/>
      </c>
    </row>
    <row r="11099">
      <c r="J11099">
        <f>IFERROR(__xludf.DUMMYFUNCTION("""COMPUTED_VALUE"""),"Milwaukee, United States")</f>
        <v/>
      </c>
      <c r="K11099">
        <f>IFERROR(__xludf.DUMMYFUNCTION("""COMPUTED_VALUE"""),3097.46)</f>
        <v/>
      </c>
    </row>
    <row r="11100">
      <c r="J11100">
        <f>IFERROR(__xludf.DUMMYFUNCTION("""COMPUTED_VALUE"""),"Washington, District of Columbia, United States and
Toronto, Ontario, Canada")</f>
        <v/>
      </c>
      <c r="K11100">
        <f>IFERROR(__xludf.DUMMYFUNCTION("""COMPUTED_VALUE"""),3097.13)</f>
        <v/>
      </c>
    </row>
    <row r="11101">
      <c r="J11101">
        <f>IFERROR(__xludf.DUMMYFUNCTION("""COMPUTED_VALUE"""),"OTTAWA, ON - THUNDER BAY, ON")</f>
        <v/>
      </c>
      <c r="K11101">
        <f>IFERROR(__xludf.DUMMYFUNCTION("""COMPUTED_VALUE"""),3096.97)</f>
        <v/>
      </c>
    </row>
    <row r="11102">
      <c r="J11102">
        <f>IFERROR(__xludf.DUMMYFUNCTION("""COMPUTED_VALUE"""),"Saskatoon, Saskatchewan, Canada; Grande Prairie, Alberta, Canada; Edmonton, Alberta, Canada")</f>
        <v/>
      </c>
      <c r="K11102">
        <f>IFERROR(__xludf.DUMMYFUNCTION("""COMPUTED_VALUE"""),3096.92)</f>
        <v/>
      </c>
    </row>
    <row r="11103">
      <c r="J11103">
        <f>IFERROR(__xludf.DUMMYFUNCTION("""COMPUTED_VALUE"""),"Montreal, Halifax, Canada")</f>
        <v/>
      </c>
      <c r="K11103">
        <f>IFERROR(__xludf.DUMMYFUNCTION("""COMPUTED_VALUE"""),3096.27)</f>
        <v/>
      </c>
    </row>
    <row r="11104">
      <c r="J11104">
        <f>IFERROR(__xludf.DUMMYFUNCTION("""COMPUTED_VALUE"""),"Old Crow, Yukon and Inuvik, Northwest Territories")</f>
        <v/>
      </c>
      <c r="K11104">
        <f>IFERROR(__xludf.DUMMYFUNCTION("""COMPUTED_VALUE"""),3095.29)</f>
        <v/>
      </c>
    </row>
    <row r="11105">
      <c r="J11105">
        <f>IFERROR(__xludf.DUMMYFUNCTION("""COMPUTED_VALUE"""),"Moncton, New Brunswick, Canada / Charlottetown, PrinceEdward Island, Canada / Halifax, Nova Scotia, Cananda / St-John’s, Newfoundland and Labrador, Canada")</f>
        <v/>
      </c>
      <c r="K11105">
        <f>IFERROR(__xludf.DUMMYFUNCTION("""COMPUTED_VALUE"""),3094.96)</f>
        <v/>
      </c>
    </row>
    <row r="11106">
      <c r="J11106">
        <f>IFERROR(__xludf.DUMMYFUNCTION("""COMPUTED_VALUE"""),"Boston, Mass.")</f>
        <v/>
      </c>
      <c r="K11106">
        <f>IFERROR(__xludf.DUMMYFUNCTION("""COMPUTED_VALUE"""),3094.93)</f>
        <v/>
      </c>
    </row>
    <row r="11107">
      <c r="J11107">
        <f>IFERROR(__xludf.DUMMYFUNCTION("""COMPUTED_VALUE"""),"St. Catharine's, ON")</f>
        <v/>
      </c>
      <c r="K11107">
        <f>IFERROR(__xludf.DUMMYFUNCTION("""COMPUTED_VALUE"""),3094.89999999999)</f>
        <v/>
      </c>
    </row>
    <row r="11108">
      <c r="J11108">
        <f>IFERROR(__xludf.DUMMYFUNCTION("""COMPUTED_VALUE"""),"Rivière-du-Loup (Quebec); Quebec (Quebec), Canada")</f>
        <v/>
      </c>
      <c r="K11108">
        <f>IFERROR(__xludf.DUMMYFUNCTION("""COMPUTED_VALUE"""),3094.68999999999)</f>
        <v/>
      </c>
    </row>
    <row r="11109">
      <c r="J11109">
        <f>IFERROR(__xludf.DUMMYFUNCTION("""COMPUTED_VALUE"""),"Vancouver, BC - Victoria , BC - Sidney, BC")</f>
        <v/>
      </c>
      <c r="K11109">
        <f>IFERROR(__xludf.DUMMYFUNCTION("""COMPUTED_VALUE"""),3094.56)</f>
        <v/>
      </c>
    </row>
    <row r="11110">
      <c r="J11110">
        <f>IFERROR(__xludf.DUMMYFUNCTION("""COMPUTED_VALUE"""),"Vancouver,  British-Columbia")</f>
        <v/>
      </c>
      <c r="K11110">
        <f>IFERROR(__xludf.DUMMYFUNCTION("""COMPUTED_VALUE"""),3094.25)</f>
        <v/>
      </c>
    </row>
    <row r="11111">
      <c r="J11111">
        <f>IFERROR(__xludf.DUMMYFUNCTION("""COMPUTED_VALUE"""),"Saskatoon, SK, Montreal, QC, Thompson, MB")</f>
        <v/>
      </c>
      <c r="K11111">
        <f>IFERROR(__xludf.DUMMYFUNCTION("""COMPUTED_VALUE"""),3093.83)</f>
        <v/>
      </c>
    </row>
    <row r="11112">
      <c r="J11112">
        <f>IFERROR(__xludf.DUMMYFUNCTION("""COMPUTED_VALUE"""),"Ottawa, and Toronto, Ontario, Canada")</f>
        <v/>
      </c>
      <c r="K11112">
        <f>IFERROR(__xludf.DUMMYFUNCTION("""COMPUTED_VALUE"""),3092.06)</f>
        <v/>
      </c>
    </row>
    <row r="11113">
      <c r="J11113">
        <f>IFERROR(__xludf.DUMMYFUNCTION("""COMPUTED_VALUE"""),"Ottawa (ON), Victoria (BC), Canada")</f>
        <v/>
      </c>
      <c r="K11113">
        <f>IFERROR(__xludf.DUMMYFUNCTION("""COMPUTED_VALUE"""),3091.44)</f>
        <v/>
      </c>
    </row>
    <row r="11114">
      <c r="J11114">
        <f>IFERROR(__xludf.DUMMYFUNCTION("""COMPUTED_VALUE"""),"Syracuse (Sicily) Italy")</f>
        <v/>
      </c>
      <c r="K11114">
        <f>IFERROR(__xludf.DUMMYFUNCTION("""COMPUTED_VALUE"""),3091.14)</f>
        <v/>
      </c>
    </row>
    <row r="11115">
      <c r="J11115">
        <f>IFERROR(__xludf.DUMMYFUNCTION("""COMPUTED_VALUE"""),"OTTAWA, ON - HALIFAX,  NS")</f>
        <v/>
      </c>
      <c r="K11115">
        <f>IFERROR(__xludf.DUMMYFUNCTION("""COMPUTED_VALUE"""),3090.52)</f>
        <v/>
      </c>
    </row>
    <row r="11116">
      <c r="J11116">
        <f>IFERROR(__xludf.DUMMYFUNCTION("""COMPUTED_VALUE"""),"Yellowknife, Northwest Territories, Canada
Łutselkʼe, Northwest Territories, Canada")</f>
        <v/>
      </c>
      <c r="K11116">
        <f>IFERROR(__xludf.DUMMYFUNCTION("""COMPUTED_VALUE"""),3089.94)</f>
        <v/>
      </c>
    </row>
    <row r="11117">
      <c r="J11117">
        <f>IFERROR(__xludf.DUMMYFUNCTION("""COMPUTED_VALUE"""),"Toronto, Ontario, Canada / Geneva, Switzerland / London, United Kingdom")</f>
        <v/>
      </c>
      <c r="K11117">
        <f>IFERROR(__xludf.DUMMYFUNCTION("""COMPUTED_VALUE"""),3089.7)</f>
        <v/>
      </c>
    </row>
    <row r="11118">
      <c r="J11118">
        <f>IFERROR(__xludf.DUMMYFUNCTION("""COMPUTED_VALUE"""),"Dorchester, New Brunswick; Springhill, Nova Scotia; Moncton, New Brunswick")</f>
        <v/>
      </c>
      <c r="K11118">
        <f>IFERROR(__xludf.DUMMYFUNCTION("""COMPUTED_VALUE"""),3089.09)</f>
        <v/>
      </c>
    </row>
    <row r="11119">
      <c r="J11119">
        <f>IFERROR(__xludf.DUMMYFUNCTION("""COMPUTED_VALUE"""),"Abitibi, Quebec")</f>
        <v/>
      </c>
      <c r="K11119">
        <f>IFERROR(__xludf.DUMMYFUNCTION("""COMPUTED_VALUE"""),3089.08)</f>
        <v/>
      </c>
    </row>
    <row r="11120">
      <c r="J11120">
        <f>IFERROR(__xludf.DUMMYFUNCTION("""COMPUTED_VALUE"""),"Eielson-Elmendorf Richardson Anchorage,  United States")</f>
        <v/>
      </c>
      <c r="K11120">
        <f>IFERROR(__xludf.DUMMYFUNCTION("""COMPUTED_VALUE"""),3088.77)</f>
        <v/>
      </c>
    </row>
    <row r="11121">
      <c r="J11121">
        <f>IFERROR(__xludf.DUMMYFUNCTION("""COMPUTED_VALUE"""),"Calgary and Banff, Alberta, Canada")</f>
        <v/>
      </c>
      <c r="K11121">
        <f>IFERROR(__xludf.DUMMYFUNCTION("""COMPUTED_VALUE"""),3088.46)</f>
        <v/>
      </c>
    </row>
    <row r="11122">
      <c r="J11122">
        <f>IFERROR(__xludf.DUMMYFUNCTION("""COMPUTED_VALUE"""),"Edmonton, AB, Victoria &amp; Pentincton, BC")</f>
        <v/>
      </c>
      <c r="K11122">
        <f>IFERROR(__xludf.DUMMYFUNCTION("""COMPUTED_VALUE"""),3088.33)</f>
        <v/>
      </c>
    </row>
    <row r="11123">
      <c r="J11123">
        <f>IFERROR(__xludf.DUMMYFUNCTION("""COMPUTED_VALUE"""),"Cairo and Muscat")</f>
        <v/>
      </c>
      <c r="K11123">
        <f>IFERROR(__xludf.DUMMYFUNCTION("""COMPUTED_VALUE"""),3087.55)</f>
        <v/>
      </c>
    </row>
    <row r="11124">
      <c r="J11124">
        <f>IFERROR(__xludf.DUMMYFUNCTION("""COMPUTED_VALUE"""),"St.John's, (Newfoundland)")</f>
        <v/>
      </c>
      <c r="K11124">
        <f>IFERROR(__xludf.DUMMYFUNCTION("""COMPUTED_VALUE"""),3086.91)</f>
        <v/>
      </c>
    </row>
    <row r="11125">
      <c r="J11125">
        <f>IFERROR(__xludf.DUMMYFUNCTION("""COMPUTED_VALUE"""),"Toronto, Ontario, Canada; Windsor, Ontario, Canada; Ottawa, Ontario, Canada")</f>
        <v/>
      </c>
      <c r="K11125">
        <f>IFERROR(__xludf.DUMMYFUNCTION("""COMPUTED_VALUE"""),3086.85)</f>
        <v/>
      </c>
    </row>
    <row r="11126">
      <c r="J11126">
        <f>IFERROR(__xludf.DUMMYFUNCTION("""COMPUTED_VALUE"""),"Ottawa - Toronto - Winnipeg -  Ottawa")</f>
        <v/>
      </c>
      <c r="K11126">
        <f>IFERROR(__xludf.DUMMYFUNCTION("""COMPUTED_VALUE"""),3086.18)</f>
        <v/>
      </c>
    </row>
    <row r="11127">
      <c r="J11127">
        <f>IFERROR(__xludf.DUMMYFUNCTION("""COMPUTED_VALUE"""),"Lewisporte, Newfoundland and Labrador, Canada / Gander, Newfoundland and Labrador, Canada")</f>
        <v/>
      </c>
      <c r="K11127">
        <f>IFERROR(__xludf.DUMMYFUNCTION("""COMPUTED_VALUE"""),3086.02999999999)</f>
        <v/>
      </c>
    </row>
    <row r="11128">
      <c r="J11128">
        <f>IFERROR(__xludf.DUMMYFUNCTION("""COMPUTED_VALUE"""),"Moncton, New Brunswick, Canada                                     Ottawa, Ontario, Canada")</f>
        <v/>
      </c>
      <c r="K11128">
        <f>IFERROR(__xludf.DUMMYFUNCTION("""COMPUTED_VALUE"""),3084.95)</f>
        <v/>
      </c>
    </row>
    <row r="11129">
      <c r="J11129">
        <f>IFERROR(__xludf.DUMMYFUNCTION("""COMPUTED_VALUE"""),"Goose Bay and St. - Johns")</f>
        <v/>
      </c>
      <c r="K11129">
        <f>IFERROR(__xludf.DUMMYFUNCTION("""COMPUTED_VALUE"""),3084.26)</f>
        <v/>
      </c>
    </row>
    <row r="11130">
      <c r="J11130">
        <f>IFERROR(__xludf.DUMMYFUNCTION("""COMPUTED_VALUE"""),"Winnipeg, Manitoba
Saskatoon, Saskatchewan")</f>
        <v/>
      </c>
      <c r="K11130">
        <f>IFERROR(__xludf.DUMMYFUNCTION("""COMPUTED_VALUE"""),3084.22)</f>
        <v/>
      </c>
    </row>
    <row r="11131">
      <c r="J11131">
        <f>IFERROR(__xludf.DUMMYFUNCTION("""COMPUTED_VALUE"""),"Campbell River, BC")</f>
        <v/>
      </c>
      <c r="K11131">
        <f>IFERROR(__xludf.DUMMYFUNCTION("""COMPUTED_VALUE"""),3084.14)</f>
        <v/>
      </c>
    </row>
    <row r="11132">
      <c r="J11132">
        <f>IFERROR(__xludf.DUMMYFUNCTION("""COMPUTED_VALUE"""),"Tsawwassen, British Columbia")</f>
        <v/>
      </c>
      <c r="K11132">
        <f>IFERROR(__xludf.DUMMYFUNCTION("""COMPUTED_VALUE"""),3083.52999999999)</f>
        <v/>
      </c>
    </row>
    <row r="11133">
      <c r="J11133">
        <f>IFERROR(__xludf.DUMMYFUNCTION("""COMPUTED_VALUE"""),"Greenwood (Nova Scotia) Canada")</f>
        <v/>
      </c>
      <c r="K11133">
        <f>IFERROR(__xludf.DUMMYFUNCTION("""COMPUTED_VALUE"""),3083.31)</f>
        <v/>
      </c>
    </row>
    <row r="11134">
      <c r="J11134">
        <f>IFERROR(__xludf.DUMMYFUNCTION("""COMPUTED_VALUE"""),"Vancouver, British Columbia &amp; Whitehorse, Yukon")</f>
        <v/>
      </c>
      <c r="K11134">
        <f>IFERROR(__xludf.DUMMYFUNCTION("""COMPUTED_VALUE"""),3083.29)</f>
        <v/>
      </c>
    </row>
    <row r="11135">
      <c r="J11135">
        <f>IFERROR(__xludf.DUMMYFUNCTION("""COMPUTED_VALUE"""),"Yellowknife, Northwest Territories; Ottawa, Ontario")</f>
        <v/>
      </c>
      <c r="K11135">
        <f>IFERROR(__xludf.DUMMYFUNCTION("""COMPUTED_VALUE"""),3081.64)</f>
        <v/>
      </c>
    </row>
    <row r="11136">
      <c r="J11136">
        <f>IFERROR(__xludf.DUMMYFUNCTION("""COMPUTED_VALUE"""),"Vancouver, British Columbiam")</f>
        <v/>
      </c>
      <c r="K11136">
        <f>IFERROR(__xludf.DUMMYFUNCTION("""COMPUTED_VALUE"""),3081.6)</f>
        <v/>
      </c>
    </row>
    <row r="11137">
      <c r="J11137">
        <f>IFERROR(__xludf.DUMMYFUNCTION("""COMPUTED_VALUE"""),"Edmonton and Jasper, Alberta")</f>
        <v/>
      </c>
      <c r="K11137">
        <f>IFERROR(__xludf.DUMMYFUNCTION("""COMPUTED_VALUE"""),3081.55)</f>
        <v/>
      </c>
    </row>
    <row r="11138">
      <c r="J11138">
        <f>IFERROR(__xludf.DUMMYFUNCTION("""COMPUTED_VALUE"""),"Calgary, Alberta, Canada / 
Toronto, Ontario, Canada")</f>
        <v/>
      </c>
      <c r="K11138">
        <f>IFERROR(__xludf.DUMMYFUNCTION("""COMPUTED_VALUE"""),3080.83)</f>
        <v/>
      </c>
    </row>
    <row r="11139">
      <c r="J11139">
        <f>IFERROR(__xludf.DUMMYFUNCTION("""COMPUTED_VALUE"""),"Calgary, AB; Edmonton, AB; Lethbridge, AB")</f>
        <v/>
      </c>
      <c r="K11139">
        <f>IFERROR(__xludf.DUMMYFUNCTION("""COMPUTED_VALUE"""),3080.01)</f>
        <v/>
      </c>
    </row>
    <row r="11140">
      <c r="J11140">
        <f>IFERROR(__xludf.DUMMYFUNCTION("""COMPUTED_VALUE"""),"St. Catharines, Ontario")</f>
        <v/>
      </c>
      <c r="K11140">
        <f>IFERROR(__xludf.DUMMYFUNCTION("""COMPUTED_VALUE"""),3079.79)</f>
        <v/>
      </c>
    </row>
    <row r="11141">
      <c r="J11141">
        <f>IFERROR(__xludf.DUMMYFUNCTION("""COMPUTED_VALUE"""),"Moncton, NB - Winnipeg, MB / Winnipeg, MB - Ottawa, ON / Ottawa, ON - Moncton, NB")</f>
        <v/>
      </c>
      <c r="K11141">
        <f>IFERROR(__xludf.DUMMYFUNCTION("""COMPUTED_VALUE"""),3079.73)</f>
        <v/>
      </c>
    </row>
    <row r="11142">
      <c r="J11142">
        <f>IFERROR(__xludf.DUMMYFUNCTION("""COMPUTED_VALUE"""),"Washington DC, Washington DC, Canada")</f>
        <v/>
      </c>
      <c r="K11142">
        <f>IFERROR(__xludf.DUMMYFUNCTION("""COMPUTED_VALUE"""),3079.7)</f>
        <v/>
      </c>
    </row>
    <row r="11143">
      <c r="J11143">
        <f>IFERROR(__xludf.DUMMYFUNCTION("""COMPUTED_VALUE"""),"Saskatoon, Saskatchewan, Canada et Calgary, Alberta, Canada")</f>
        <v/>
      </c>
      <c r="K11143">
        <f>IFERROR(__xludf.DUMMYFUNCTION("""COMPUTED_VALUE"""),3079.24)</f>
        <v/>
      </c>
    </row>
    <row r="11144">
      <c r="J11144">
        <f>IFERROR(__xludf.DUMMYFUNCTION("""COMPUTED_VALUE"""),"Labrador City, Newfoundland and Labrador, Canada; Goose Bay, Newfoundland and Labrador, Canada; Nain, Newfoundland and Labrador, Canada")</f>
        <v/>
      </c>
      <c r="K11144">
        <f>IFERROR(__xludf.DUMMYFUNCTION("""COMPUTED_VALUE"""),3078.12)</f>
        <v/>
      </c>
    </row>
    <row r="11145">
      <c r="J11145">
        <f>IFERROR(__xludf.DUMMYFUNCTION("""COMPUTED_VALUE"""),"Haines Junction, Yukon")</f>
        <v/>
      </c>
      <c r="K11145">
        <f>IFERROR(__xludf.DUMMYFUNCTION("""COMPUTED_VALUE"""),3077.54)</f>
        <v/>
      </c>
    </row>
    <row r="11146">
      <c r="J11146">
        <f>IFERROR(__xludf.DUMMYFUNCTION("""COMPUTED_VALUE"""),"Charlottetown, PE - Calgary, AB / Calgary, AB - Toronto, ON / Toronto, ON - Charlottetown, PE")</f>
        <v/>
      </c>
      <c r="K11146">
        <f>IFERROR(__xludf.DUMMYFUNCTION("""COMPUTED_VALUE"""),3077.41)</f>
        <v/>
      </c>
    </row>
    <row r="11147">
      <c r="J11147">
        <f>IFERROR(__xludf.DUMMYFUNCTION("""COMPUTED_VALUE"""),"Zurich, Davos")</f>
        <v/>
      </c>
      <c r="K11147">
        <f>IFERROR(__xludf.DUMMYFUNCTION("""COMPUTED_VALUE"""),3077.37)</f>
        <v/>
      </c>
    </row>
    <row r="11148">
      <c r="J11148">
        <f>IFERROR(__xludf.DUMMYFUNCTION("""COMPUTED_VALUE"""),"Campeche, Mexico")</f>
        <v/>
      </c>
      <c r="K11148">
        <f>IFERROR(__xludf.DUMMYFUNCTION("""COMPUTED_VALUE"""),3077.25)</f>
        <v/>
      </c>
    </row>
    <row r="11149">
      <c r="J11149">
        <f>IFERROR(__xludf.DUMMYFUNCTION("""COMPUTED_VALUE"""),"St. Hyacinthe, Quebec, Canada; Alton, Ontario, Canada")</f>
        <v/>
      </c>
      <c r="K11149">
        <f>IFERROR(__xludf.DUMMYFUNCTION("""COMPUTED_VALUE"""),3077.14)</f>
        <v/>
      </c>
    </row>
    <row r="11150">
      <c r="J11150">
        <f>IFERROR(__xludf.DUMMYFUNCTION("""COMPUTED_VALUE"""),"Ottawa, Ontario; Moncton, New Brunswick; Halifax, Nova Scotia")</f>
        <v/>
      </c>
      <c r="K11150">
        <f>IFERROR(__xludf.DUMMYFUNCTION("""COMPUTED_VALUE"""),3076.21)</f>
        <v/>
      </c>
    </row>
    <row r="11151">
      <c r="J11151">
        <f>IFERROR(__xludf.DUMMYFUNCTION("""COMPUTED_VALUE"""),"Regina, SK Saskatoon, SK")</f>
        <v/>
      </c>
      <c r="K11151">
        <f>IFERROR(__xludf.DUMMYFUNCTION("""COMPUTED_VALUE"""),3075.62)</f>
        <v/>
      </c>
    </row>
    <row r="11152">
      <c r="J11152">
        <f>IFERROR(__xludf.DUMMYFUNCTION("""COMPUTED_VALUE"""),"Ukraine, Belgium, Latvia, Europe")</f>
        <v/>
      </c>
      <c r="K11152">
        <f>IFERROR(__xludf.DUMMYFUNCTION("""COMPUTED_VALUE"""),3074.86)</f>
        <v/>
      </c>
    </row>
    <row r="11153">
      <c r="J11153">
        <f>IFERROR(__xludf.DUMMYFUNCTION("""COMPUTED_VALUE"""),"Vancouver, British Columbia, Canada; Edmonton, Alberta, Canada; Saskatoon, Saskatchewan, Canada")</f>
        <v/>
      </c>
      <c r="K11153">
        <f>IFERROR(__xludf.DUMMYFUNCTION("""COMPUTED_VALUE"""),3074.84)</f>
        <v/>
      </c>
    </row>
    <row r="11154">
      <c r="J11154">
        <f>IFERROR(__xludf.DUMMYFUNCTION("""COMPUTED_VALUE"""),"Montreal, Quebec, Canada, Detroit, Michigan, USA")</f>
        <v/>
      </c>
      <c r="K11154">
        <f>IFERROR(__xludf.DUMMYFUNCTION("""COMPUTED_VALUE"""),3074.6)</f>
        <v/>
      </c>
    </row>
    <row r="11155">
      <c r="J11155">
        <f>IFERROR(__xludf.DUMMYFUNCTION("""COMPUTED_VALUE"""),"Montréal, Quebec, Canada; Robinsons, Newfoundland and Labrador, Canada")</f>
        <v/>
      </c>
      <c r="K11155">
        <f>IFERROR(__xludf.DUMMYFUNCTION("""COMPUTED_VALUE"""),3074.39)</f>
        <v/>
      </c>
    </row>
    <row r="11156">
      <c r="J11156">
        <f>IFERROR(__xludf.DUMMYFUNCTION("""COMPUTED_VALUE"""),"Roberval, Québec")</f>
        <v/>
      </c>
      <c r="K11156">
        <f>IFERROR(__xludf.DUMMYFUNCTION("""COMPUTED_VALUE"""),3073.96)</f>
        <v/>
      </c>
    </row>
    <row r="11157">
      <c r="J11157">
        <f>IFERROR(__xludf.DUMMYFUNCTION("""COMPUTED_VALUE"""),"Ottawa - Charlottetown")</f>
        <v/>
      </c>
      <c r="K11157">
        <f>IFERROR(__xludf.DUMMYFUNCTION("""COMPUTED_VALUE"""),3073.31)</f>
        <v/>
      </c>
    </row>
    <row r="11158">
      <c r="J11158">
        <f>IFERROR(__xludf.DUMMYFUNCTION("""COMPUTED_VALUE"""),"Toronto, Ontario, Canada; Halifax, Nova Scotia, Canada; Québec, Quebec, Canada")</f>
        <v/>
      </c>
      <c r="K11158">
        <f>IFERROR(__xludf.DUMMYFUNCTION("""COMPUTED_VALUE"""),3073.29)</f>
        <v/>
      </c>
    </row>
    <row r="11159">
      <c r="J11159">
        <f>IFERROR(__xludf.DUMMYFUNCTION("""COMPUTED_VALUE"""),"Trenton, ON")</f>
        <v/>
      </c>
      <c r="K11159">
        <f>IFERROR(__xludf.DUMMYFUNCTION("""COMPUTED_VALUE"""),3073.25)</f>
        <v/>
      </c>
    </row>
    <row r="11160">
      <c r="J11160">
        <f>IFERROR(__xludf.DUMMYFUNCTION("""COMPUTED_VALUE"""),"Edmonton, Alberta; Montreal, Quebec and Ottawa, Ontario")</f>
        <v/>
      </c>
      <c r="K11160">
        <f>IFERROR(__xludf.DUMMYFUNCTION("""COMPUTED_VALUE"""),3073.19)</f>
        <v/>
      </c>
    </row>
    <row r="11161">
      <c r="J11161">
        <f>IFERROR(__xludf.DUMMYFUNCTION("""COMPUTED_VALUE"""),"New York and Toronto")</f>
        <v/>
      </c>
      <c r="K11161">
        <f>IFERROR(__xludf.DUMMYFUNCTION("""COMPUTED_VALUE"""),3072.82)</f>
        <v/>
      </c>
    </row>
    <row r="11162">
      <c r="J11162">
        <f>IFERROR(__xludf.DUMMYFUNCTION("""COMPUTED_VALUE"""),"Banff and Calgary, Alberta")</f>
        <v/>
      </c>
      <c r="K11162">
        <f>IFERROR(__xludf.DUMMYFUNCTION("""COMPUTED_VALUE"""),3072.73)</f>
        <v/>
      </c>
    </row>
    <row r="11163">
      <c r="J11163">
        <f>IFERROR(__xludf.DUMMYFUNCTION("""COMPUTED_VALUE"""),"ST.JOHN, NF")</f>
        <v/>
      </c>
      <c r="K11163">
        <f>IFERROR(__xludf.DUMMYFUNCTION("""COMPUTED_VALUE"""),3072.32)</f>
        <v/>
      </c>
    </row>
    <row r="11164">
      <c r="J11164">
        <f>IFERROR(__xludf.DUMMYFUNCTION("""COMPUTED_VALUE"""),"Vancouver / Kamloops")</f>
        <v/>
      </c>
      <c r="K11164">
        <f>IFERROR(__xludf.DUMMYFUNCTION("""COMPUTED_VALUE"""),3072.06999999999)</f>
        <v/>
      </c>
    </row>
    <row r="11165">
      <c r="J11165">
        <f>IFERROR(__xludf.DUMMYFUNCTION("""COMPUTED_VALUE"""),"Victoria, BC
Seattle, WA")</f>
        <v/>
      </c>
      <c r="K11165">
        <f>IFERROR(__xludf.DUMMYFUNCTION("""COMPUTED_VALUE"""),3071.31)</f>
        <v/>
      </c>
    </row>
    <row r="11166">
      <c r="J11166">
        <f>IFERROR(__xludf.DUMMYFUNCTION("""COMPUTED_VALUE"""),"Calgary, Alberta; Vancouver, British-Columbia; Canada")</f>
        <v/>
      </c>
      <c r="K11166">
        <f>IFERROR(__xludf.DUMMYFUNCTION("""COMPUTED_VALUE"""),3071.1)</f>
        <v/>
      </c>
    </row>
    <row r="11167">
      <c r="J11167">
        <f>IFERROR(__xludf.DUMMYFUNCTION("""COMPUTED_VALUE"""),"St John's, Newfoundland, Canada / Charlottetown, Prince Edward Island, Canada")</f>
        <v/>
      </c>
      <c r="K11167">
        <f>IFERROR(__xludf.DUMMYFUNCTION("""COMPUTED_VALUE"""),3070.4)</f>
        <v/>
      </c>
    </row>
    <row r="11168">
      <c r="J11168">
        <f>IFERROR(__xludf.DUMMYFUNCTION("""COMPUTED_VALUE"""),"Toronto, ON; Ottawa, ON; Calgary, AB; Edmonton, AB")</f>
        <v/>
      </c>
      <c r="K11168">
        <f>IFERROR(__xludf.DUMMYFUNCTION("""COMPUTED_VALUE"""),3069.89)</f>
        <v/>
      </c>
    </row>
    <row r="11169">
      <c r="J11169">
        <f>IFERROR(__xludf.DUMMYFUNCTION("""COMPUTED_VALUE"""),"Winnipeg, MB &amp; Vancouver C.-B.")</f>
        <v/>
      </c>
      <c r="K11169">
        <f>IFERROR(__xludf.DUMMYFUNCTION("""COMPUTED_VALUE"""),3069.13)</f>
        <v/>
      </c>
    </row>
    <row r="11170">
      <c r="J11170">
        <f>IFERROR(__xludf.DUMMYFUNCTION("""COMPUTED_VALUE"""),"Winnipeg, Manitoba, Canada
Edmonton and Calgary, Alberta, Canada
Whitehorse, Yukon, Canada
Vancouver, Brithish Columbia, Canada")</f>
        <v/>
      </c>
      <c r="K11170">
        <f>IFERROR(__xludf.DUMMYFUNCTION("""COMPUTED_VALUE"""),3068.97)</f>
        <v/>
      </c>
    </row>
    <row r="11171">
      <c r="J11171">
        <f>IFERROR(__xludf.DUMMYFUNCTION("""COMPUTED_VALUE"""),"Sault Ste-Marie, Ontario, Canada
Thunder Bay, Ontario, Canada
Fort Frances, Ontario, Canada")</f>
        <v/>
      </c>
      <c r="K11171">
        <f>IFERROR(__xludf.DUMMYFUNCTION("""COMPUTED_VALUE"""),3068.67)</f>
        <v/>
      </c>
    </row>
    <row r="11172">
      <c r="J11172">
        <f>IFERROR(__xludf.DUMMYFUNCTION("""COMPUTED_VALUE"""),"Grande Prairie, Alberta; Calgary, Alberta")</f>
        <v/>
      </c>
      <c r="K11172">
        <f>IFERROR(__xludf.DUMMYFUNCTION("""COMPUTED_VALUE"""),3068.47)</f>
        <v/>
      </c>
    </row>
    <row r="11173">
      <c r="J11173">
        <f>IFERROR(__xludf.DUMMYFUNCTION("""COMPUTED_VALUE"""),"San Francisco/Vancouver")</f>
        <v/>
      </c>
      <c r="K11173">
        <f>IFERROR(__xludf.DUMMYFUNCTION("""COMPUTED_VALUE"""),3068.34)</f>
        <v/>
      </c>
    </row>
    <row r="11174">
      <c r="J11174">
        <f>IFERROR(__xludf.DUMMYFUNCTION("""COMPUTED_VALUE"""),"Victoria, Kelowna, Britsih Columbia")</f>
        <v/>
      </c>
      <c r="K11174">
        <f>IFERROR(__xludf.DUMMYFUNCTION("""COMPUTED_VALUE"""),3068.31)</f>
        <v/>
      </c>
    </row>
    <row r="11175">
      <c r="J11175">
        <f>IFERROR(__xludf.DUMMYFUNCTION("""COMPUTED_VALUE"""),"San Francisco, CA, USA, Vancouver, BC")</f>
        <v/>
      </c>
      <c r="K11175">
        <f>IFERROR(__xludf.DUMMYFUNCTION("""COMPUTED_VALUE"""),3067.82)</f>
        <v/>
      </c>
    </row>
    <row r="11176">
      <c r="J11176">
        <f>IFERROR(__xludf.DUMMYFUNCTION("""COMPUTED_VALUE"""),"Truro, Nova Scotia, canada")</f>
        <v/>
      </c>
      <c r="K11176">
        <f>IFERROR(__xludf.DUMMYFUNCTION("""COMPUTED_VALUE"""),3067.19)</f>
        <v/>
      </c>
    </row>
    <row r="11177">
      <c r="J11177">
        <f>IFERROR(__xludf.DUMMYFUNCTION("""COMPUTED_VALUE"""),"Saint-Eustache, Montréal, Joliette, McMasterville, Berthierville, Sorel and Trois-Rivières, Québec")</f>
        <v/>
      </c>
      <c r="K11177">
        <f>IFERROR(__xludf.DUMMYFUNCTION("""COMPUTED_VALUE"""),3067.07)</f>
        <v/>
      </c>
    </row>
    <row r="11178">
      <c r="J11178">
        <f>IFERROR(__xludf.DUMMYFUNCTION("""COMPUTED_VALUE"""),"Toronto, ON &amp; Edmonton, AB")</f>
        <v/>
      </c>
      <c r="K11178">
        <f>IFERROR(__xludf.DUMMYFUNCTION("""COMPUTED_VALUE"""),3066.45)</f>
        <v/>
      </c>
    </row>
    <row r="11179">
      <c r="J11179">
        <f>IFERROR(__xludf.DUMMYFUNCTION("""COMPUTED_VALUE"""),"Montreal, Quebec and Ottawa, Ontario")</f>
        <v/>
      </c>
      <c r="K11179">
        <f>IFERROR(__xludf.DUMMYFUNCTION("""COMPUTED_VALUE"""),3065.85)</f>
        <v/>
      </c>
    </row>
    <row r="11180">
      <c r="J11180">
        <f>IFERROR(__xludf.DUMMYFUNCTION("""COMPUTED_VALUE"""),"WINNIPEG, MANITOBA")</f>
        <v/>
      </c>
      <c r="K11180">
        <f>IFERROR(__xludf.DUMMYFUNCTION("""COMPUTED_VALUE"""),3065.27)</f>
        <v/>
      </c>
    </row>
    <row r="11181">
      <c r="J11181">
        <f>IFERROR(__xludf.DUMMYFUNCTION("""COMPUTED_VALUE"""),"Clemson, SC, USA")</f>
        <v/>
      </c>
      <c r="K11181">
        <f>IFERROR(__xludf.DUMMYFUNCTION("""COMPUTED_VALUE"""),3064.45)</f>
        <v/>
      </c>
    </row>
    <row r="11182">
      <c r="J11182">
        <f>IFERROR(__xludf.DUMMYFUNCTION("""COMPUTED_VALUE"""),"Columbia, SC, USA")</f>
        <v/>
      </c>
      <c r="K11182">
        <f>IFERROR(__xludf.DUMMYFUNCTION("""COMPUTED_VALUE"""),3064.45)</f>
        <v/>
      </c>
    </row>
    <row r="11183">
      <c r="J11183">
        <f>IFERROR(__xludf.DUMMYFUNCTION("""COMPUTED_VALUE"""),"Magdalen Islands and Quebec, Quebec, Canada")</f>
        <v/>
      </c>
      <c r="K11183">
        <f>IFERROR(__xludf.DUMMYFUNCTION("""COMPUTED_VALUE"""),3063.86)</f>
        <v/>
      </c>
    </row>
    <row r="11184">
      <c r="J11184">
        <f>IFERROR(__xludf.DUMMYFUNCTION("""COMPUTED_VALUE"""),"Sudbury, Ontario (Canada)")</f>
        <v/>
      </c>
      <c r="K11184">
        <f>IFERROR(__xludf.DUMMYFUNCTION("""COMPUTED_VALUE"""),3063.49)</f>
        <v/>
      </c>
    </row>
    <row r="11185">
      <c r="J11185">
        <f>IFERROR(__xludf.DUMMYFUNCTION("""COMPUTED_VALUE"""),"NewYork, NY")</f>
        <v/>
      </c>
      <c r="K11185">
        <f>IFERROR(__xludf.DUMMYFUNCTION("""COMPUTED_VALUE"""),3063.26)</f>
        <v/>
      </c>
    </row>
    <row r="11186">
      <c r="J11186">
        <f>IFERROR(__xludf.DUMMYFUNCTION("""COMPUTED_VALUE"""),"Washington (District of Colombia) United States")</f>
        <v/>
      </c>
      <c r="K11186">
        <f>IFERROR(__xludf.DUMMYFUNCTION("""COMPUTED_VALUE"""),3062.34)</f>
        <v/>
      </c>
    </row>
    <row r="11187">
      <c r="J11187">
        <f>IFERROR(__xludf.DUMMYFUNCTION("""COMPUTED_VALUE"""),"Lake Carling, Quebec")</f>
        <v/>
      </c>
      <c r="K11187">
        <f>IFERROR(__xludf.DUMMYFUNCTION("""COMPUTED_VALUE"""),3062)</f>
        <v/>
      </c>
    </row>
    <row r="11188">
      <c r="J11188">
        <f>IFERROR(__xludf.DUMMYFUNCTION("""COMPUTED_VALUE"""),"Niagara Falls and Vancouver")</f>
        <v/>
      </c>
      <c r="K11188">
        <f>IFERROR(__xludf.DUMMYFUNCTION("""COMPUTED_VALUE"""),3061.45)</f>
        <v/>
      </c>
    </row>
    <row r="11189">
      <c r="J11189">
        <f>IFERROR(__xludf.DUMMYFUNCTION("""COMPUTED_VALUE"""),"Yarmouth, Nova Scotia")</f>
        <v/>
      </c>
      <c r="K11189">
        <f>IFERROR(__xludf.DUMMYFUNCTION("""COMPUTED_VALUE"""),3060.54)</f>
        <v/>
      </c>
    </row>
    <row r="11190">
      <c r="J11190">
        <f>IFERROR(__xludf.DUMMYFUNCTION("""COMPUTED_VALUE"""),"OTTAWA, ON - WASHINGTON DC US")</f>
        <v/>
      </c>
      <c r="K11190">
        <f>IFERROR(__xludf.DUMMYFUNCTION("""COMPUTED_VALUE"""),3060.53)</f>
        <v/>
      </c>
    </row>
    <row r="11191">
      <c r="J11191">
        <f>IFERROR(__xludf.DUMMYFUNCTION("""COMPUTED_VALUE"""),"Gatineau, Ottawa, Halifax")</f>
        <v/>
      </c>
      <c r="K11191">
        <f>IFERROR(__xludf.DUMMYFUNCTION("""COMPUTED_VALUE"""),3060.4)</f>
        <v/>
      </c>
    </row>
    <row r="11192">
      <c r="J11192">
        <f>IFERROR(__xludf.DUMMYFUNCTION("""COMPUTED_VALUE"""),"Cranbrook, Bristish Columbia, Canada")</f>
        <v/>
      </c>
      <c r="K11192">
        <f>IFERROR(__xludf.DUMMYFUNCTION("""COMPUTED_VALUE"""),3060.14)</f>
        <v/>
      </c>
    </row>
    <row r="11193">
      <c r="J11193">
        <f>IFERROR(__xludf.DUMMYFUNCTION("""COMPUTED_VALUE"""),"Washington (DC) United States of America")</f>
        <v/>
      </c>
      <c r="K11193">
        <f>IFERROR(__xludf.DUMMYFUNCTION("""COMPUTED_VALUE"""),3060.04)</f>
        <v/>
      </c>
    </row>
    <row r="11194">
      <c r="J11194">
        <f>IFERROR(__xludf.DUMMYFUNCTION("""COMPUTED_VALUE"""),"Winnipeg, MB, Edmonton, AB and Saskatoon, SK")</f>
        <v/>
      </c>
      <c r="K11194">
        <f>IFERROR(__xludf.DUMMYFUNCTION("""COMPUTED_VALUE"""),3059.87)</f>
        <v/>
      </c>
    </row>
    <row r="11195">
      <c r="J11195">
        <f>IFERROR(__xludf.DUMMYFUNCTION("""COMPUTED_VALUE"""),"Alma, New Brunswick, CanadaBaddeck, Nova Scotia, CanadaMoncton, New Brunswick, Canada")</f>
        <v/>
      </c>
      <c r="K11195">
        <f>IFERROR(__xludf.DUMMYFUNCTION("""COMPUTED_VALUE"""),3059.83)</f>
        <v/>
      </c>
    </row>
    <row r="11196">
      <c r="J11196">
        <f>IFERROR(__xludf.DUMMYFUNCTION("""COMPUTED_VALUE"""),"Fredericton, New Brunswick, Canada; St. John's, Newfoundland and Labrador, Ca")</f>
        <v/>
      </c>
      <c r="K11196">
        <f>IFERROR(__xludf.DUMMYFUNCTION("""COMPUTED_VALUE"""),3058.98)</f>
        <v/>
      </c>
    </row>
    <row r="11197">
      <c r="J11197">
        <f>IFERROR(__xludf.DUMMYFUNCTION("""COMPUTED_VALUE"""),"Toronto, Ontario, Canada; Sault Ste. Marie, Ontario, Canada; Timmins, Ontario, Canada; Sudbury, Ontario, Canada")</f>
        <v/>
      </c>
      <c r="K11197">
        <f>IFERROR(__xludf.DUMMYFUNCTION("""COMPUTED_VALUE"""),3058.97)</f>
        <v/>
      </c>
    </row>
    <row r="11198">
      <c r="J11198">
        <f>IFERROR(__xludf.DUMMYFUNCTION("""COMPUTED_VALUE"""),"Toronto, Ontario, Canada / Kelowna, British Columbia, Canada / Vancouver, British Columbia, Canada")</f>
        <v/>
      </c>
      <c r="K11198">
        <f>IFERROR(__xludf.DUMMYFUNCTION("""COMPUTED_VALUE"""),3058.83)</f>
        <v/>
      </c>
    </row>
    <row r="11199">
      <c r="J11199">
        <f>IFERROR(__xludf.DUMMYFUNCTION("""COMPUTED_VALUE"""),"Edmonton, Alberta, Canada / Winnipeg, Manitoba, Canada")</f>
        <v/>
      </c>
      <c r="K11199">
        <f>IFERROR(__xludf.DUMMYFUNCTION("""COMPUTED_VALUE"""),3058.35)</f>
        <v/>
      </c>
    </row>
    <row r="11200">
      <c r="J11200">
        <f>IFERROR(__xludf.DUMMYFUNCTION("""COMPUTED_VALUE"""),"Montreal, Quebec, Canada; Val-d'Or, Quebec, Canada; Quebec City, Quebec, Canada; Toronto, Ontario, Canada; Peterborough, Ontario, Canada")</f>
        <v/>
      </c>
      <c r="K11200">
        <f>IFERROR(__xludf.DUMMYFUNCTION("""COMPUTED_VALUE"""),3058.25)</f>
        <v/>
      </c>
    </row>
    <row r="11201">
      <c r="J11201">
        <f>IFERROR(__xludf.DUMMYFUNCTION("""COMPUTED_VALUE"""),"Niagra Falls, Ontario")</f>
        <v/>
      </c>
      <c r="K11201">
        <f>IFERROR(__xludf.DUMMYFUNCTION("""COMPUTED_VALUE"""),3058.13)</f>
        <v/>
      </c>
    </row>
    <row r="11202">
      <c r="J11202">
        <f>IFERROR(__xludf.DUMMYFUNCTION("""COMPUTED_VALUE"""),"Vancouver (British Columbia) Canada; Penticton (British Columbia) Canada")</f>
        <v/>
      </c>
      <c r="K11202">
        <f>IFERROR(__xludf.DUMMYFUNCTION("""COMPUTED_VALUE"""),3058.11)</f>
        <v/>
      </c>
    </row>
    <row r="11203">
      <c r="J11203">
        <f>IFERROR(__xludf.DUMMYFUNCTION("""COMPUTED_VALUE"""),"St-Louis, Missouri, USA")</f>
        <v/>
      </c>
      <c r="K11203">
        <f>IFERROR(__xludf.DUMMYFUNCTION("""COMPUTED_VALUE"""),3058.07)</f>
        <v/>
      </c>
    </row>
    <row r="11204">
      <c r="J11204">
        <f>IFERROR(__xludf.DUMMYFUNCTION("""COMPUTED_VALUE"""),"Toronto, ON, Vancouver, Victoria, BC")</f>
        <v/>
      </c>
      <c r="K11204">
        <f>IFERROR(__xludf.DUMMYFUNCTION("""COMPUTED_VALUE"""),3058.05)</f>
        <v/>
      </c>
    </row>
    <row r="11205">
      <c r="J11205">
        <f>IFERROR(__xludf.DUMMYFUNCTION("""COMPUTED_VALUE"""),"Dawson City and Mayo, Yukon")</f>
        <v/>
      </c>
      <c r="K11205">
        <f>IFERROR(__xludf.DUMMYFUNCTION("""COMPUTED_VALUE"""),3058.02)</f>
        <v/>
      </c>
    </row>
    <row r="11206">
      <c r="J11206">
        <f>IFERROR(__xludf.DUMMYFUNCTION("""COMPUTED_VALUE"""),"Hamilton, Ontario; London, Ontario; Mississauga, Ontario, Canada")</f>
        <v/>
      </c>
      <c r="K11206">
        <f>IFERROR(__xludf.DUMMYFUNCTION("""COMPUTED_VALUE"""),3057.7)</f>
        <v/>
      </c>
    </row>
    <row r="11207">
      <c r="J11207">
        <f>IFERROR(__xludf.DUMMYFUNCTION("""COMPUTED_VALUE"""),"Chibougamau, Quebec, Canada")</f>
        <v/>
      </c>
      <c r="K11207">
        <f>IFERROR(__xludf.DUMMYFUNCTION("""COMPUTED_VALUE"""),3057.49)</f>
        <v/>
      </c>
    </row>
    <row r="11208">
      <c r="J11208">
        <f>IFERROR(__xludf.DUMMYFUNCTION("""COMPUTED_VALUE"""),"Washington, District of Columbia, United State")</f>
        <v/>
      </c>
      <c r="K11208">
        <f>IFERROR(__xludf.DUMMYFUNCTION("""COMPUTED_VALUE"""),3056.95)</f>
        <v/>
      </c>
    </row>
    <row r="11209">
      <c r="J11209">
        <f>IFERROR(__xludf.DUMMYFUNCTION("""COMPUTED_VALUE"""),"Whitehorse. YT - Vancouver, BC")</f>
        <v/>
      </c>
      <c r="K11209">
        <f>IFERROR(__xludf.DUMMYFUNCTION("""COMPUTED_VALUE"""),3056.37)</f>
        <v/>
      </c>
    </row>
    <row r="11210">
      <c r="J11210">
        <f>IFERROR(__xludf.DUMMYFUNCTION("""COMPUTED_VALUE"""),"Regina, Saskatchewan, Canada, Vancouver, British Columbia, Canada")</f>
        <v/>
      </c>
      <c r="K11210">
        <f>IFERROR(__xludf.DUMMYFUNCTION("""COMPUTED_VALUE"""),3056.01)</f>
        <v/>
      </c>
    </row>
    <row r="11211">
      <c r="J11211">
        <f>IFERROR(__xludf.DUMMYFUNCTION("""COMPUTED_VALUE"""),"Ottawa&amp;Kingston, ON")</f>
        <v/>
      </c>
      <c r="K11211">
        <f>IFERROR(__xludf.DUMMYFUNCTION("""COMPUTED_VALUE"""),3055.76)</f>
        <v/>
      </c>
    </row>
    <row r="11212">
      <c r="J11212">
        <f>IFERROR(__xludf.DUMMYFUNCTION("""COMPUTED_VALUE"""),"Jamaica, Kingston")</f>
        <v/>
      </c>
      <c r="K11212">
        <f>IFERROR(__xludf.DUMMYFUNCTION("""COMPUTED_VALUE"""),3055.58)</f>
        <v/>
      </c>
    </row>
    <row r="11213">
      <c r="J11213">
        <f>IFERROR(__xludf.DUMMYFUNCTION("""COMPUTED_VALUE"""),"Quebec, Quebec, Canada
Magdalen Islands, Quebec, Canada")</f>
        <v/>
      </c>
      <c r="K11213">
        <f>IFERROR(__xludf.DUMMYFUNCTION("""COMPUTED_VALUE"""),3055.21)</f>
        <v/>
      </c>
    </row>
    <row r="11214">
      <c r="J11214">
        <f>IFERROR(__xludf.DUMMYFUNCTION("""COMPUTED_VALUE"""),"Nuremberg - GERMANY")</f>
        <v/>
      </c>
      <c r="K11214">
        <f>IFERROR(__xludf.DUMMYFUNCTION("""COMPUTED_VALUE"""),3055)</f>
        <v/>
      </c>
    </row>
    <row r="11215">
      <c r="J11215">
        <f>IFERROR(__xludf.DUMMYFUNCTION("""COMPUTED_VALUE"""),"Yellowknife, Northwest Terriotories, Canada")</f>
        <v/>
      </c>
      <c r="K11215">
        <f>IFERROR(__xludf.DUMMYFUNCTION("""COMPUTED_VALUE"""),3054.83)</f>
        <v/>
      </c>
    </row>
    <row r="11216">
      <c r="J11216">
        <f>IFERROR(__xludf.DUMMYFUNCTION("""COMPUTED_VALUE"""),"Windsor, London, Niagara Falls, Ontario, Canada")</f>
        <v/>
      </c>
      <c r="K11216">
        <f>IFERROR(__xludf.DUMMYFUNCTION("""COMPUTED_VALUE"""),3054.68999999999)</f>
        <v/>
      </c>
    </row>
    <row r="11217">
      <c r="J11217">
        <f>IFERROR(__xludf.DUMMYFUNCTION("""COMPUTED_VALUE"""),"South Huron, ON / Kingston, ON
/ Cornwall, ON")</f>
        <v/>
      </c>
      <c r="K11217">
        <f>IFERROR(__xludf.DUMMYFUNCTION("""COMPUTED_VALUE"""),3054.59)</f>
        <v/>
      </c>
    </row>
    <row r="11218">
      <c r="J11218">
        <f>IFERROR(__xludf.DUMMYFUNCTION("""COMPUTED_VALUE"""),"Edmont, Alberta")</f>
        <v/>
      </c>
      <c r="K11218">
        <f>IFERROR(__xludf.DUMMYFUNCTION("""COMPUTED_VALUE"""),3054.34)</f>
        <v/>
      </c>
    </row>
    <row r="11219">
      <c r="J11219">
        <f>IFERROR(__xludf.DUMMYFUNCTION("""COMPUTED_VALUE"""),"Fayetteville and Wilmington, North Carolina, USA")</f>
        <v/>
      </c>
      <c r="K11219">
        <f>IFERROR(__xludf.DUMMYFUNCTION("""COMPUTED_VALUE"""),3053.94)</f>
        <v/>
      </c>
    </row>
    <row r="11220">
      <c r="J11220">
        <f>IFERROR(__xludf.DUMMYFUNCTION("""COMPUTED_VALUE"""),"Ottawa, Ontario, Canada and Edmonton, Alberta, Canada")</f>
        <v/>
      </c>
      <c r="K11220">
        <f>IFERROR(__xludf.DUMMYFUNCTION("""COMPUTED_VALUE"""),3053.12)</f>
        <v/>
      </c>
    </row>
    <row r="11221">
      <c r="J11221">
        <f>IFERROR(__xludf.DUMMYFUNCTION("""COMPUTED_VALUE"""),"Whitehorse, YT; Vancouver, BC")</f>
        <v/>
      </c>
      <c r="K11221">
        <f>IFERROR(__xludf.DUMMYFUNCTION("""COMPUTED_VALUE"""),3053.12)</f>
        <v/>
      </c>
    </row>
    <row r="11222">
      <c r="J11222">
        <f>IFERROR(__xludf.DUMMYFUNCTION("""COMPUTED_VALUE"""),"Waterloo, Ontario, Canada / Sudbury, Ontario, Canada / Edmonton, Alberta, Canada")</f>
        <v/>
      </c>
      <c r="K11222">
        <f>IFERROR(__xludf.DUMMYFUNCTION("""COMPUTED_VALUE"""),3052.62)</f>
        <v/>
      </c>
    </row>
    <row r="11223">
      <c r="J11223">
        <f>IFERROR(__xludf.DUMMYFUNCTION("""COMPUTED_VALUE"""),"Kitchener, ON, San Francisco, CA")</f>
        <v/>
      </c>
      <c r="K11223">
        <f>IFERROR(__xludf.DUMMYFUNCTION("""COMPUTED_VALUE"""),3052.6)</f>
        <v/>
      </c>
    </row>
    <row r="11224">
      <c r="J11224">
        <f>IFERROR(__xludf.DUMMYFUNCTION("""COMPUTED_VALUE"""),"Big Bar Lake, British Columbia, Canada")</f>
        <v/>
      </c>
      <c r="K11224">
        <f>IFERROR(__xludf.DUMMYFUNCTION("""COMPUTED_VALUE"""),3051.5)</f>
        <v/>
      </c>
    </row>
    <row r="11225">
      <c r="J11225">
        <f>IFERROR(__xludf.DUMMYFUNCTION("""COMPUTED_VALUE"""),"Saint John, NB - Halifax, NS")</f>
        <v/>
      </c>
      <c r="K11225">
        <f>IFERROR(__xludf.DUMMYFUNCTION("""COMPUTED_VALUE"""),3051.33)</f>
        <v/>
      </c>
    </row>
    <row r="11226">
      <c r="J11226">
        <f>IFERROR(__xludf.DUMMYFUNCTION("""COMPUTED_VALUE"""),"Vancouver and Penticton, BC")</f>
        <v/>
      </c>
      <c r="K11226">
        <f>IFERROR(__xludf.DUMMYFUNCTION("""COMPUTED_VALUE"""),3050.62)</f>
        <v/>
      </c>
    </row>
    <row r="11227">
      <c r="J11227">
        <f>IFERROR(__xludf.DUMMYFUNCTION("""COMPUTED_VALUE"""),"- New York , New York, USA
- Washington DC, USA")</f>
        <v/>
      </c>
      <c r="K11227">
        <f>IFERROR(__xludf.DUMMYFUNCTION("""COMPUTED_VALUE"""),3049.59)</f>
        <v/>
      </c>
    </row>
    <row r="11228">
      <c r="J11228">
        <f>IFERROR(__xludf.DUMMYFUNCTION("""COMPUTED_VALUE"""),"Toronto, Ontario, Canada / Frankfurt, Germany / Beirut, Lebanon / Washington, United States")</f>
        <v/>
      </c>
      <c r="K11228">
        <f>IFERROR(__xludf.DUMMYFUNCTION("""COMPUTED_VALUE"""),3049.58)</f>
        <v/>
      </c>
    </row>
    <row r="11229">
      <c r="J11229">
        <f>IFERROR(__xludf.DUMMYFUNCTION("""COMPUTED_VALUE"""),"Calgary, Alberta, Canada; Brooks, Alberta, Canada")</f>
        <v/>
      </c>
      <c r="K11229">
        <f>IFERROR(__xludf.DUMMYFUNCTION("""COMPUTED_VALUE"""),3049.04)</f>
        <v/>
      </c>
    </row>
    <row r="11230">
      <c r="J11230">
        <f>IFERROR(__xludf.DUMMYFUNCTION("""COMPUTED_VALUE"""),"Vancouver, British Columbia, Canada; Edmonton, Alberta, Canada; Sydney, Nova Scotia, Canada")</f>
        <v/>
      </c>
      <c r="K11230">
        <f>IFERROR(__xludf.DUMMYFUNCTION("""COMPUTED_VALUE"""),3047.72)</f>
        <v/>
      </c>
    </row>
    <row r="11231">
      <c r="J11231">
        <f>IFERROR(__xludf.DUMMYFUNCTION("""COMPUTED_VALUE"""),"Fredericton, NB / Halifax, NS")</f>
        <v/>
      </c>
      <c r="K11231">
        <f>IFERROR(__xludf.DUMMYFUNCTION("""COMPUTED_VALUE"""),3047.57)</f>
        <v/>
      </c>
    </row>
    <row r="11232">
      <c r="J11232">
        <f>IFERROR(__xludf.DUMMYFUNCTION("""COMPUTED_VALUE"""),"Irvine, California, United States")</f>
        <v/>
      </c>
      <c r="K11232">
        <f>IFERROR(__xludf.DUMMYFUNCTION("""COMPUTED_VALUE"""),3047.11)</f>
        <v/>
      </c>
    </row>
    <row r="11233">
      <c r="J11233">
        <f>IFERROR(__xludf.DUMMYFUNCTION("""COMPUTED_VALUE"""),"Ottawa, ON - Toronto, ON /  Toronto, ON - Winnipeg, MB / Winnipeg, MB - Ottawa, ON")</f>
        <v/>
      </c>
      <c r="K11233">
        <f>IFERROR(__xludf.DUMMYFUNCTION("""COMPUTED_VALUE"""),3046.1)</f>
        <v/>
      </c>
    </row>
    <row r="11234">
      <c r="J11234">
        <f>IFERROR(__xludf.DUMMYFUNCTION("""COMPUTED_VALUE"""),"Charlottetown PE - Edmonton AB / Edmonton AB - Charlottetown PE")</f>
        <v/>
      </c>
      <c r="K11234">
        <f>IFERROR(__xludf.DUMMYFUNCTION("""COMPUTED_VALUE"""),3046)</f>
        <v/>
      </c>
    </row>
    <row r="11235">
      <c r="J11235">
        <f>IFERROR(__xludf.DUMMYFUNCTION("""COMPUTED_VALUE"""),"Fredericton, New Brunswick, Canada; St. Andrews, New Brunswick, Canada")</f>
        <v/>
      </c>
      <c r="K11235">
        <f>IFERROR(__xludf.DUMMYFUNCTION("""COMPUTED_VALUE"""),3045.71)</f>
        <v/>
      </c>
    </row>
    <row r="11236">
      <c r="J11236">
        <f>IFERROR(__xludf.DUMMYFUNCTION("""COMPUTED_VALUE"""),"Abbotsford and Kamloops, British Columbia, Canada")</f>
        <v/>
      </c>
      <c r="K11236">
        <f>IFERROR(__xludf.DUMMYFUNCTION("""COMPUTED_VALUE"""),3045.64)</f>
        <v/>
      </c>
    </row>
    <row r="11237">
      <c r="J11237">
        <f>IFERROR(__xludf.DUMMYFUNCTION("""COMPUTED_VALUE"""),"Newark, NJ")</f>
        <v/>
      </c>
      <c r="K11237">
        <f>IFERROR(__xludf.DUMMYFUNCTION("""COMPUTED_VALUE"""),3045.11)</f>
        <v/>
      </c>
    </row>
    <row r="11238">
      <c r="J11238">
        <f>IFERROR(__xludf.DUMMYFUNCTION("""COMPUTED_VALUE"""),"Chicago, Illinois, United States / Omaha, Nebreska, United States")</f>
        <v/>
      </c>
      <c r="K11238">
        <f>IFERROR(__xludf.DUMMYFUNCTION("""COMPUTED_VALUE"""),3044.32)</f>
        <v/>
      </c>
    </row>
    <row r="11239">
      <c r="J11239">
        <f>IFERROR(__xludf.DUMMYFUNCTION("""COMPUTED_VALUE"""),"Whitehorse and Dawson City, Yukon")</f>
        <v/>
      </c>
      <c r="K11239">
        <f>IFERROR(__xludf.DUMMYFUNCTION("""COMPUTED_VALUE"""),3044.28)</f>
        <v/>
      </c>
    </row>
    <row r="11240">
      <c r="J11240">
        <f>IFERROR(__xludf.DUMMYFUNCTION("""COMPUTED_VALUE"""),"Montréal, Drummondville, Thetford Mines, Quebec, Canada")</f>
        <v/>
      </c>
      <c r="K11240">
        <f>IFERROR(__xludf.DUMMYFUNCTION("""COMPUTED_VALUE"""),3043.85)</f>
        <v/>
      </c>
    </row>
    <row r="11241">
      <c r="J11241">
        <f>IFERROR(__xludf.DUMMYFUNCTION("""COMPUTED_VALUE"""),"Quebec,Qc")</f>
        <v/>
      </c>
      <c r="K11241">
        <f>IFERROR(__xludf.DUMMYFUNCTION("""COMPUTED_VALUE"""),3043.21)</f>
        <v/>
      </c>
    </row>
    <row r="11242">
      <c r="J11242">
        <f>IFERROR(__xludf.DUMMYFUNCTION("""COMPUTED_VALUE"""),"Boston, Massachusetts and Ottawa, Ontario")</f>
        <v/>
      </c>
      <c r="K11242">
        <f>IFERROR(__xludf.DUMMYFUNCTION("""COMPUTED_VALUE"""),3042.42)</f>
        <v/>
      </c>
    </row>
    <row r="11243">
      <c r="J11243">
        <f>IFERROR(__xludf.DUMMYFUNCTION("""COMPUTED_VALUE"""),"Halifax, Quebec, Victoria, Calgary")</f>
        <v/>
      </c>
      <c r="K11243">
        <f>IFERROR(__xludf.DUMMYFUNCTION("""COMPUTED_VALUE"""),3041.87)</f>
        <v/>
      </c>
    </row>
    <row r="11244">
      <c r="J11244">
        <f>IFERROR(__xludf.DUMMYFUNCTION("""COMPUTED_VALUE"""),"Winnipeg, Manitoba, Canada; Regina, Saskatchewan, Canada; La Loche, Saskatchewan, Canada; Saskatoon, Saskatchewan, Canada")</f>
        <v/>
      </c>
      <c r="K11244">
        <f>IFERROR(__xludf.DUMMYFUNCTION("""COMPUTED_VALUE"""),3041.19)</f>
        <v/>
      </c>
    </row>
    <row r="11245">
      <c r="J11245">
        <f>IFERROR(__xludf.DUMMYFUNCTION("""COMPUTED_VALUE"""),"Gatineau, QC / Toronto, ON")</f>
        <v/>
      </c>
      <c r="K11245">
        <f>IFERROR(__xludf.DUMMYFUNCTION("""COMPUTED_VALUE"""),3041.13)</f>
        <v/>
      </c>
    </row>
    <row r="11246">
      <c r="J11246">
        <f>IFERROR(__xludf.DUMMYFUNCTION("""COMPUTED_VALUE"""),"Lodi, California")</f>
        <v/>
      </c>
      <c r="K11246">
        <f>IFERROR(__xludf.DUMMYFUNCTION("""COMPUTED_VALUE"""),3040.72)</f>
        <v/>
      </c>
    </row>
    <row r="11247">
      <c r="J11247">
        <f>IFERROR(__xludf.DUMMYFUNCTION("""COMPUTED_VALUE"""),"Juneau, United States")</f>
        <v/>
      </c>
      <c r="K11247">
        <f>IFERROR(__xludf.DUMMYFUNCTION("""COMPUTED_VALUE"""),3039.64)</f>
        <v/>
      </c>
    </row>
    <row r="11248">
      <c r="J11248">
        <f>IFERROR(__xludf.DUMMYFUNCTION("""COMPUTED_VALUE"""),"Edmonton, Alberta, Canada;
Vancouver, British Columbia, Canada")</f>
        <v/>
      </c>
      <c r="K11248">
        <f>IFERROR(__xludf.DUMMYFUNCTION("""COMPUTED_VALUE"""),3038.87)</f>
        <v/>
      </c>
    </row>
    <row r="11249">
      <c r="J11249">
        <f>IFERROR(__xludf.DUMMYFUNCTION("""COMPUTED_VALUE"""),"Ottawa - Montreal - Ottawa")</f>
        <v/>
      </c>
      <c r="K11249">
        <f>IFERROR(__xludf.DUMMYFUNCTION("""COMPUTED_VALUE"""),3038.71)</f>
        <v/>
      </c>
    </row>
    <row r="11250">
      <c r="J11250">
        <f>IFERROR(__xludf.DUMMYFUNCTION("""COMPUTED_VALUE"""),"BAIKONUR, KAZAKSTAN")</f>
        <v/>
      </c>
      <c r="K11250">
        <f>IFERROR(__xludf.DUMMYFUNCTION("""COMPUTED_VALUE"""),3037.48)</f>
        <v/>
      </c>
    </row>
    <row r="11251">
      <c r="J11251">
        <f>IFERROR(__xludf.DUMMYFUNCTION("""COMPUTED_VALUE"""),"Toronto, Ontario, Canada; St. John's, Newfoundland and Labrador, Canada; Moncton, New Brunswick, Canada; Halifax, Nova Scotia, Canada; Montréal, Quebec, Canada; Ottawa, Ontario, Canada")</f>
        <v/>
      </c>
      <c r="K11251">
        <f>IFERROR(__xludf.DUMMYFUNCTION("""COMPUTED_VALUE"""),3036.68)</f>
        <v/>
      </c>
    </row>
    <row r="11252">
      <c r="J11252">
        <f>IFERROR(__xludf.DUMMYFUNCTION("""COMPUTED_VALUE"""),"Toronto, ON and Regina, SK and Kelowna, BC")</f>
        <v/>
      </c>
      <c r="K11252">
        <f>IFERROR(__xludf.DUMMYFUNCTION("""COMPUTED_VALUE"""),3035.95)</f>
        <v/>
      </c>
    </row>
    <row r="11253">
      <c r="J11253">
        <f>IFERROR(__xludf.DUMMYFUNCTION("""COMPUTED_VALUE"""),"Oxford, London")</f>
        <v/>
      </c>
      <c r="K11253">
        <f>IFERROR(__xludf.DUMMYFUNCTION("""COMPUTED_VALUE"""),3035.81)</f>
        <v/>
      </c>
    </row>
    <row r="11254">
      <c r="J11254">
        <f>IFERROR(__xludf.DUMMYFUNCTION("""COMPUTED_VALUE"""),"Winnipeg, Manitoba, Canada - Prince George, British Columbia, Canada")</f>
        <v/>
      </c>
      <c r="K11254">
        <f>IFERROR(__xludf.DUMMYFUNCTION("""COMPUTED_VALUE"""),3035.7)</f>
        <v/>
      </c>
    </row>
    <row r="11255">
      <c r="J11255">
        <f>IFERROR(__xludf.DUMMYFUNCTION("""COMPUTED_VALUE"""),"Toronto Brampton Mississauga, Ontario, Canada")</f>
        <v/>
      </c>
      <c r="K11255">
        <f>IFERROR(__xludf.DUMMYFUNCTION("""COMPUTED_VALUE"""),3035.39)</f>
        <v/>
      </c>
    </row>
    <row r="11256">
      <c r="J11256">
        <f>IFERROR(__xludf.DUMMYFUNCTION("""COMPUTED_VALUE"""),"St. John's, Newfoundland and Labrador, Canada; Vancouver, British Columbia, Canada")</f>
        <v/>
      </c>
      <c r="K11256">
        <f>IFERROR(__xludf.DUMMYFUNCTION("""COMPUTED_VALUE"""),3035.1)</f>
        <v/>
      </c>
    </row>
    <row r="11257">
      <c r="J11257">
        <f>IFERROR(__xludf.DUMMYFUNCTION("""COMPUTED_VALUE"""),"Genoa, Italy")</f>
        <v/>
      </c>
      <c r="K11257">
        <f>IFERROR(__xludf.DUMMYFUNCTION("""COMPUTED_VALUE"""),3034.81)</f>
        <v/>
      </c>
    </row>
    <row r="11258">
      <c r="J11258">
        <f>IFERROR(__xludf.DUMMYFUNCTION("""COMPUTED_VALUE"""),"Bangkok, Thailand, Tokyo, Japan and Seoul, Korea")</f>
        <v/>
      </c>
      <c r="K11258">
        <f>IFERROR(__xludf.DUMMYFUNCTION("""COMPUTED_VALUE"""),3033.83)</f>
        <v/>
      </c>
    </row>
    <row r="11259">
      <c r="J11259">
        <f>IFERROR(__xludf.DUMMYFUNCTION("""COMPUTED_VALUE"""),"Vancouver, British Columbia, Canada Tofino, British Columbia, Canada Nanaimo, British Columbia, Canada")</f>
        <v/>
      </c>
      <c r="K11259">
        <f>IFERROR(__xludf.DUMMYFUNCTION("""COMPUTED_VALUE"""),3033.69)</f>
        <v/>
      </c>
    </row>
    <row r="11260">
      <c r="J11260">
        <f>IFERROR(__xludf.DUMMYFUNCTION("""COMPUTED_VALUE"""),"Goose Bay , Newfoundland and Labrador, Canada")</f>
        <v/>
      </c>
      <c r="K11260">
        <f>IFERROR(__xludf.DUMMYFUNCTION("""COMPUTED_VALUE"""),3031.34)</f>
        <v/>
      </c>
    </row>
    <row r="11261">
      <c r="J11261">
        <f>IFERROR(__xludf.DUMMYFUNCTION("""COMPUTED_VALUE"""),"Montréal, QC; Sherbrooke, QC; Québec, QC; Trois-Rivières, QC")</f>
        <v/>
      </c>
      <c r="K11261">
        <f>IFERROR(__xludf.DUMMYFUNCTION("""COMPUTED_VALUE"""),3031.02999999999)</f>
        <v/>
      </c>
    </row>
    <row r="11262">
      <c r="J11262">
        <f>IFERROR(__xludf.DUMMYFUNCTION("""COMPUTED_VALUE"""),"Edmonton, AB Saskatoon, SK")</f>
        <v/>
      </c>
      <c r="K11262">
        <f>IFERROR(__xludf.DUMMYFUNCTION("""COMPUTED_VALUE"""),3031)</f>
        <v/>
      </c>
    </row>
    <row r="11263">
      <c r="J11263">
        <f>IFERROR(__xludf.DUMMYFUNCTION("""COMPUTED_VALUE"""),"Ottawa, ON - Vancouver, BC - Edmonton, AB - Winnipeg, MB - Ottawa, ON")</f>
        <v/>
      </c>
      <c r="K11263">
        <f>IFERROR(__xludf.DUMMYFUNCTION("""COMPUTED_VALUE"""),3030.96)</f>
        <v/>
      </c>
    </row>
    <row r="11264">
      <c r="J11264">
        <f>IFERROR(__xludf.DUMMYFUNCTION("""COMPUTED_VALUE"""),"Ottawa, Ontario Halifax, Nova Scotia")</f>
        <v/>
      </c>
      <c r="K11264">
        <f>IFERROR(__xludf.DUMMYFUNCTION("""COMPUTED_VALUE"""),3030.73)</f>
        <v/>
      </c>
    </row>
    <row r="11265">
      <c r="J11265">
        <f>IFERROR(__xludf.DUMMYFUNCTION("""COMPUTED_VALUE"""),"Huntsville and Toronto, Ontario")</f>
        <v/>
      </c>
      <c r="K11265">
        <f>IFERROR(__xludf.DUMMYFUNCTION("""COMPUTED_VALUE"""),3030.68)</f>
        <v/>
      </c>
    </row>
    <row r="11266">
      <c r="J11266">
        <f>IFERROR(__xludf.DUMMYFUNCTION("""COMPUTED_VALUE"""),"Winnipeg, Manitoba / Edmonton and Calgary, Alberta / Vancouver, British Columbia, Canada")</f>
        <v/>
      </c>
      <c r="K11266">
        <f>IFERROR(__xludf.DUMMYFUNCTION("""COMPUTED_VALUE"""),3030.07)</f>
        <v/>
      </c>
    </row>
    <row r="11267">
      <c r="J11267">
        <f>IFERROR(__xludf.DUMMYFUNCTION("""COMPUTED_VALUE"""),"Frederiction, Canada")</f>
        <v/>
      </c>
      <c r="K11267">
        <f>IFERROR(__xludf.DUMMYFUNCTION("""COMPUTED_VALUE"""),3029.48)</f>
        <v/>
      </c>
    </row>
    <row r="11268">
      <c r="J11268">
        <f>IFERROR(__xludf.DUMMYFUNCTION("""COMPUTED_VALUE"""),"Edmonton, Alberta, Canada and Regina, Saskatchewan, Canada")</f>
        <v/>
      </c>
      <c r="K11268">
        <f>IFERROR(__xludf.DUMMYFUNCTION("""COMPUTED_VALUE"""),3029.16)</f>
        <v/>
      </c>
    </row>
    <row r="11269">
      <c r="J11269">
        <f>IFERROR(__xludf.DUMMYFUNCTION("""COMPUTED_VALUE"""),"Amos, Quebec. Canada")</f>
        <v/>
      </c>
      <c r="K11269">
        <f>IFERROR(__xludf.DUMMYFUNCTION("""COMPUTED_VALUE"""),3028.98)</f>
        <v/>
      </c>
    </row>
    <row r="11270">
      <c r="J11270">
        <f>IFERROR(__xludf.DUMMYFUNCTION("""COMPUTED_VALUE"""),"Kingston, Ontario; Moncton, New Brunswick; Montreal, Quebec")</f>
        <v/>
      </c>
      <c r="K11270">
        <f>IFERROR(__xludf.DUMMYFUNCTION("""COMPUTED_VALUE"""),3028)</f>
        <v/>
      </c>
    </row>
    <row r="11271">
      <c r="J11271">
        <f>IFERROR(__xludf.DUMMYFUNCTION("""COMPUTED_VALUE"""),"Thunder bay, Ontario, Canada")</f>
        <v/>
      </c>
      <c r="K11271">
        <f>IFERROR(__xludf.DUMMYFUNCTION("""COMPUTED_VALUE"""),3027.73)</f>
        <v/>
      </c>
    </row>
    <row r="11272">
      <c r="J11272">
        <f>IFERROR(__xludf.DUMMYFUNCTION("""COMPUTED_VALUE"""),"Ottawa &amp; Morrisbourg, ON")</f>
        <v/>
      </c>
      <c r="K11272">
        <f>IFERROR(__xludf.DUMMYFUNCTION("""COMPUTED_VALUE"""),3027.19)</f>
        <v/>
      </c>
    </row>
    <row r="11273">
      <c r="J11273">
        <f>IFERROR(__xludf.DUMMYFUNCTION("""COMPUTED_VALUE"""),"Subury, Ontario, Canada")</f>
        <v/>
      </c>
      <c r="K11273">
        <f>IFERROR(__xludf.DUMMYFUNCTION("""COMPUTED_VALUE"""),3025.55)</f>
        <v/>
      </c>
    </row>
    <row r="11274">
      <c r="J11274">
        <f>IFERROR(__xludf.DUMMYFUNCTION("""COMPUTED_VALUE"""),"Whitehorse and Vancouver, Canada")</f>
        <v/>
      </c>
      <c r="K11274">
        <f>IFERROR(__xludf.DUMMYFUNCTION("""COMPUTED_VALUE"""),3025.5)</f>
        <v/>
      </c>
    </row>
    <row r="11275">
      <c r="J11275">
        <f>IFERROR(__xludf.DUMMYFUNCTION("""COMPUTED_VALUE"""),"Ottawa, ON and St-john's, NL")</f>
        <v/>
      </c>
      <c r="K11275">
        <f>IFERROR(__xludf.DUMMYFUNCTION("""COMPUTED_VALUE"""),3025.46)</f>
        <v/>
      </c>
    </row>
    <row r="11276">
      <c r="J11276">
        <f>IFERROR(__xludf.DUMMYFUNCTION("""COMPUTED_VALUE"""),"Yellowknife, Inuvik and Whitehorse")</f>
        <v/>
      </c>
      <c r="K11276">
        <f>IFERROR(__xludf.DUMMYFUNCTION("""COMPUTED_VALUE"""),3023.59)</f>
        <v/>
      </c>
    </row>
    <row r="11277">
      <c r="J11277">
        <f>IFERROR(__xludf.DUMMYFUNCTION("""COMPUTED_VALUE"""),"Ottawa-Newfoundland-Ottawa")</f>
        <v/>
      </c>
      <c r="K11277">
        <f>IFERROR(__xludf.DUMMYFUNCTION("""COMPUTED_VALUE"""),3022.2)</f>
        <v/>
      </c>
    </row>
    <row r="11278">
      <c r="J11278">
        <f>IFERROR(__xludf.DUMMYFUNCTION("""COMPUTED_VALUE"""),"Labrador City, Newfoundland and Labrador, Canada; Happy Valley-Goose Bay, Newfoundland and Labrador, Canada; Natuashish, Newfoundland and Labrador, Canada; Nain, Newfoundland and Labrador, Canada")</f>
        <v/>
      </c>
      <c r="K11278">
        <f>IFERROR(__xludf.DUMMYFUNCTION("""COMPUTED_VALUE"""),3021.68)</f>
        <v/>
      </c>
    </row>
    <row r="11279">
      <c r="J11279">
        <f>IFERROR(__xludf.DUMMYFUNCTION("""COMPUTED_VALUE"""),"Toronto/Halifax/Montreal")</f>
        <v/>
      </c>
      <c r="K11279">
        <f>IFERROR(__xludf.DUMMYFUNCTION("""COMPUTED_VALUE"""),3020.78)</f>
        <v/>
      </c>
    </row>
    <row r="11280">
      <c r="J11280">
        <f>IFERROR(__xludf.DUMMYFUNCTION("""COMPUTED_VALUE"""),"Winnipeg, MB - Edmonton, AB - Yellowknife, NWT")</f>
        <v/>
      </c>
      <c r="K11280">
        <f>IFERROR(__xludf.DUMMYFUNCTION("""COMPUTED_VALUE"""),3020.33)</f>
        <v/>
      </c>
    </row>
    <row r="11281">
      <c r="J11281">
        <f>IFERROR(__xludf.DUMMYFUNCTION("""COMPUTED_VALUE"""),"Quebec City, Québec, Canada")</f>
        <v/>
      </c>
      <c r="K11281">
        <f>IFERROR(__xludf.DUMMYFUNCTION("""COMPUTED_VALUE"""),3019.92)</f>
        <v/>
      </c>
    </row>
    <row r="11282">
      <c r="J11282">
        <f>IFERROR(__xludf.DUMMYFUNCTION("""COMPUTED_VALUE"""),"Deerlake &amp; St John's, Newfoundland and Labradour")</f>
        <v/>
      </c>
      <c r="K11282">
        <f>IFERROR(__xludf.DUMMYFUNCTION("""COMPUTED_VALUE"""),3019.34)</f>
        <v/>
      </c>
    </row>
    <row r="11283">
      <c r="J11283">
        <f>IFERROR(__xludf.DUMMYFUNCTION("""COMPUTED_VALUE"""),"Frobisher Bay, Nunavut, Canada")</f>
        <v/>
      </c>
      <c r="K11283">
        <f>IFERROR(__xludf.DUMMYFUNCTION("""COMPUTED_VALUE"""),3019.01)</f>
        <v/>
      </c>
    </row>
    <row r="11284">
      <c r="J11284">
        <f>IFERROR(__xludf.DUMMYFUNCTION("""COMPUTED_VALUE"""),"Goose Bay and Nain, Labrador")</f>
        <v/>
      </c>
      <c r="K11284">
        <f>IFERROR(__xludf.DUMMYFUNCTION("""COMPUTED_VALUE"""),3018.77)</f>
        <v/>
      </c>
    </row>
    <row r="11285">
      <c r="J11285">
        <f>IFERROR(__xludf.DUMMYFUNCTION("""COMPUTED_VALUE"""),"Ottawa, Ontario, Canada; Resolute, Nunavut, Canada")</f>
        <v/>
      </c>
      <c r="K11285">
        <f>IFERROR(__xludf.DUMMYFUNCTION("""COMPUTED_VALUE"""),3017)</f>
        <v/>
      </c>
    </row>
    <row r="11286">
      <c r="J11286">
        <f>IFERROR(__xludf.DUMMYFUNCTION("""COMPUTED_VALUE"""),"Shenzhen, Hong Kong, Shenyang, Dandong - People's Republic of China")</f>
        <v/>
      </c>
      <c r="K11286">
        <f>IFERROR(__xludf.DUMMYFUNCTION("""COMPUTED_VALUE"""),3016.75)</f>
        <v/>
      </c>
    </row>
    <row r="11287">
      <c r="J11287">
        <f>IFERROR(__xludf.DUMMYFUNCTION("""COMPUTED_VALUE"""),"Winnipeg, Manitoba and Calgary, Alberta")</f>
        <v/>
      </c>
      <c r="K11287">
        <f>IFERROR(__xludf.DUMMYFUNCTION("""COMPUTED_VALUE"""),3016.44)</f>
        <v/>
      </c>
    </row>
    <row r="11288">
      <c r="J11288">
        <f>IFERROR(__xludf.DUMMYFUNCTION("""COMPUTED_VALUE"""),"Sydney, Canberra")</f>
        <v/>
      </c>
      <c r="K11288">
        <f>IFERROR(__xludf.DUMMYFUNCTION("""COMPUTED_VALUE"""),3016.09)</f>
        <v/>
      </c>
    </row>
    <row r="11289">
      <c r="J11289">
        <f>IFERROR(__xludf.DUMMYFUNCTION("""COMPUTED_VALUE"""),"Ottawa, ON - Quebec, QC / Quebec, QC - Ottawa, ON")</f>
        <v/>
      </c>
      <c r="K11289">
        <f>IFERROR(__xludf.DUMMYFUNCTION("""COMPUTED_VALUE"""),3015.91)</f>
        <v/>
      </c>
    </row>
    <row r="11290">
      <c r="J11290">
        <f>IFERROR(__xludf.DUMMYFUNCTION("""COMPUTED_VALUE"""),"Sudbury, Ontario, Canada - North Bay, Ontario, Canada")</f>
        <v/>
      </c>
      <c r="K11290">
        <f>IFERROR(__xludf.DUMMYFUNCTION("""COMPUTED_VALUE"""),3015.83)</f>
        <v/>
      </c>
    </row>
    <row r="11291">
      <c r="J11291">
        <f>IFERROR(__xludf.DUMMYFUNCTION("""COMPUTED_VALUE"""),"Amherst, Nova Scotia, Canada")</f>
        <v/>
      </c>
      <c r="K11291">
        <f>IFERROR(__xludf.DUMMYFUNCTION("""COMPUTED_VALUE"""),3015)</f>
        <v/>
      </c>
    </row>
    <row r="11292">
      <c r="J11292">
        <f>IFERROR(__xludf.DUMMYFUNCTION("""COMPUTED_VALUE"""),"Montreal,Quebec, Canada")</f>
        <v/>
      </c>
      <c r="K11292">
        <f>IFERROR(__xludf.DUMMYFUNCTION("""COMPUTED_VALUE"""),3014.76)</f>
        <v/>
      </c>
    </row>
    <row r="11293">
      <c r="J11293">
        <f>IFERROR(__xludf.DUMMYFUNCTION("""COMPUTED_VALUE"""),"Halifax, Nova Scotia, Canada; New Brunswick, Canada")</f>
        <v/>
      </c>
      <c r="K11293">
        <f>IFERROR(__xludf.DUMMYFUNCTION("""COMPUTED_VALUE"""),3013.72)</f>
        <v/>
      </c>
    </row>
    <row r="11294">
      <c r="J11294">
        <f>IFERROR(__xludf.DUMMYFUNCTION("""COMPUTED_VALUE"""),"Vacouver, British Columbia, Canada")</f>
        <v/>
      </c>
      <c r="K11294">
        <f>IFERROR(__xludf.DUMMYFUNCTION("""COMPUTED_VALUE"""),3013.52)</f>
        <v/>
      </c>
    </row>
    <row r="11295">
      <c r="J11295">
        <f>IFERROR(__xludf.DUMMYFUNCTION("""COMPUTED_VALUE"""),"ST JOHNS, NL &amp; GANDER, NL")</f>
        <v/>
      </c>
      <c r="K11295">
        <f>IFERROR(__xludf.DUMMYFUNCTION("""COMPUTED_VALUE"""),3012.84)</f>
        <v/>
      </c>
    </row>
    <row r="11296">
      <c r="J11296">
        <f>IFERROR(__xludf.DUMMYFUNCTION("""COMPUTED_VALUE"""),"Toronto, Ontario, Canada and Saskatoon, Saskatchewan, Canada")</f>
        <v/>
      </c>
      <c r="K11296">
        <f>IFERROR(__xludf.DUMMYFUNCTION("""COMPUTED_VALUE"""),3012.46)</f>
        <v/>
      </c>
    </row>
    <row r="11297">
      <c r="J11297">
        <f>IFERROR(__xludf.DUMMYFUNCTION("""COMPUTED_VALUE"""),"Terrace, British Columbia")</f>
        <v/>
      </c>
      <c r="K11297">
        <f>IFERROR(__xludf.DUMMYFUNCTION("""COMPUTED_VALUE"""),3012.00999999999)</f>
        <v/>
      </c>
    </row>
    <row r="11298">
      <c r="J11298">
        <f>IFERROR(__xludf.DUMMYFUNCTION("""COMPUTED_VALUE"""),"Ottawa (Ontario), Canada")</f>
        <v/>
      </c>
      <c r="K11298">
        <f>IFERROR(__xludf.DUMMYFUNCTION("""COMPUTED_VALUE"""),3011.60999999999)</f>
        <v/>
      </c>
    </row>
    <row r="11299">
      <c r="J11299">
        <f>IFERROR(__xludf.DUMMYFUNCTION("""COMPUTED_VALUE"""),"Halifax, Nova Scotia / Fredericton, New Brunswick, Canada")</f>
        <v/>
      </c>
      <c r="K11299">
        <f>IFERROR(__xludf.DUMMYFUNCTION("""COMPUTED_VALUE"""),3010.89)</f>
        <v/>
      </c>
    </row>
    <row r="11300">
      <c r="J11300">
        <f>IFERROR(__xludf.DUMMYFUNCTION("""COMPUTED_VALUE"""),"Toronto, Ontario, Canada / Halifax, Nova Scotia, Canada")</f>
        <v/>
      </c>
      <c r="K11300">
        <f>IFERROR(__xludf.DUMMYFUNCTION("""COMPUTED_VALUE"""),3010.34)</f>
        <v/>
      </c>
    </row>
    <row r="11301">
      <c r="J11301">
        <f>IFERROR(__xludf.DUMMYFUNCTION("""COMPUTED_VALUE"""),"Victoria, Vancouver, Kelowna, BC")</f>
        <v/>
      </c>
      <c r="K11301">
        <f>IFERROR(__xludf.DUMMYFUNCTION("""COMPUTED_VALUE"""),3010.27)</f>
        <v/>
      </c>
    </row>
    <row r="11302">
      <c r="J11302">
        <f>IFERROR(__xludf.DUMMYFUNCTION("""COMPUTED_VALUE"""),"Charlottetown, Prince Edward Island,and Montreal Quebec")</f>
        <v/>
      </c>
      <c r="K11302">
        <f>IFERROR(__xludf.DUMMYFUNCTION("""COMPUTED_VALUE"""),3010.08)</f>
        <v/>
      </c>
    </row>
    <row r="11303">
      <c r="J11303">
        <f>IFERROR(__xludf.DUMMYFUNCTION("""COMPUTED_VALUE"""),"Gatineau, Quebec, Ottawa, Ontario, Canada")</f>
        <v/>
      </c>
      <c r="K11303">
        <f>IFERROR(__xludf.DUMMYFUNCTION("""COMPUTED_VALUE"""),3009.71)</f>
        <v/>
      </c>
    </row>
    <row r="11304">
      <c r="J11304">
        <f>IFERROR(__xludf.DUMMYFUNCTION("""COMPUTED_VALUE"""),"Fort Smith, Northwest Territories, Canada                                                     Fort Chipewyan, Alberta, Canada")</f>
        <v/>
      </c>
      <c r="K11304">
        <f>IFERROR(__xludf.DUMMYFUNCTION("""COMPUTED_VALUE"""),3009.46)</f>
        <v/>
      </c>
    </row>
    <row r="11305">
      <c r="J11305">
        <f>IFERROR(__xludf.DUMMYFUNCTION("""COMPUTED_VALUE"""),"Valcartier, Canada")</f>
        <v/>
      </c>
      <c r="K11305">
        <f>IFERROR(__xludf.DUMMYFUNCTION("""COMPUTED_VALUE"""),3009.06999999999)</f>
        <v/>
      </c>
    </row>
    <row r="11306">
      <c r="J11306">
        <f>IFERROR(__xludf.DUMMYFUNCTION("""COMPUTED_VALUE"""),"St. John's, Newfoundland and Labrador / Halifax, Nova Scotia")</f>
        <v/>
      </c>
      <c r="K11306">
        <f>IFERROR(__xludf.DUMMYFUNCTION("""COMPUTED_VALUE"""),3008.98)</f>
        <v/>
      </c>
    </row>
    <row r="11307">
      <c r="J11307">
        <f>IFERROR(__xludf.DUMMYFUNCTION("""COMPUTED_VALUE"""),"Moncton, New Brunswick, Canada; Fredericton, New Brunswick, Canada; Saint John, New Brunswick, Canada")</f>
        <v/>
      </c>
      <c r="K11307">
        <f>IFERROR(__xludf.DUMMYFUNCTION("""COMPUTED_VALUE"""),3008.81)</f>
        <v/>
      </c>
    </row>
    <row r="11308">
      <c r="J11308">
        <f>IFERROR(__xludf.DUMMYFUNCTION("""COMPUTED_VALUE"""),"Sault Ste. Marie and North Bay, Ontario, Canada")</f>
        <v/>
      </c>
      <c r="K11308">
        <f>IFERROR(__xludf.DUMMYFUNCTION("""COMPUTED_VALUE"""),3008.75)</f>
        <v/>
      </c>
    </row>
    <row r="11309">
      <c r="J11309">
        <f>IFERROR(__xludf.DUMMYFUNCTION("""COMPUTED_VALUE"""),"Ottawa, Ontario; Vancouver, British-Columbia, Canada")</f>
        <v/>
      </c>
      <c r="K11309">
        <f>IFERROR(__xludf.DUMMYFUNCTION("""COMPUTED_VALUE"""),3008.66)</f>
        <v/>
      </c>
    </row>
    <row r="11310">
      <c r="J11310">
        <f>IFERROR(__xludf.DUMMYFUNCTION("""COMPUTED_VALUE"""),"Toronto, Ontario, Canada; Rocky Harbour, Newfoundland and Labrador, Canada")</f>
        <v/>
      </c>
      <c r="K11310">
        <f>IFERROR(__xludf.DUMMYFUNCTION("""COMPUTED_VALUE"""),3008.62)</f>
        <v/>
      </c>
    </row>
    <row r="11311">
      <c r="J11311">
        <f>IFERROR(__xludf.DUMMYFUNCTION("""COMPUTED_VALUE"""),"Belledune, New Brunswick and Ottawa, Ontario")</f>
        <v/>
      </c>
      <c r="K11311">
        <f>IFERROR(__xludf.DUMMYFUNCTION("""COMPUTED_VALUE"""),3008.61)</f>
        <v/>
      </c>
    </row>
    <row r="11312">
      <c r="J11312">
        <f>IFERROR(__xludf.DUMMYFUNCTION("""COMPUTED_VALUE"""),"Jersey City, New Jersey, USA")</f>
        <v/>
      </c>
      <c r="K11312">
        <f>IFERROR(__xludf.DUMMYFUNCTION("""COMPUTED_VALUE"""),3008.39)</f>
        <v/>
      </c>
    </row>
    <row r="11313">
      <c r="J11313">
        <f>IFERROR(__xludf.DUMMYFUNCTION("""COMPUTED_VALUE"""),"Toronto, Brampton, Etobicoke")</f>
        <v/>
      </c>
      <c r="K11313">
        <f>IFERROR(__xludf.DUMMYFUNCTION("""COMPUTED_VALUE"""),3008.38)</f>
        <v/>
      </c>
    </row>
    <row r="11314">
      <c r="J11314">
        <f>IFERROR(__xludf.DUMMYFUNCTION("""COMPUTED_VALUE"""),"North Carolina")</f>
        <v/>
      </c>
      <c r="K11314">
        <f>IFERROR(__xludf.DUMMYFUNCTION("""COMPUTED_VALUE"""),3007.77999999999)</f>
        <v/>
      </c>
    </row>
    <row r="11315">
      <c r="J11315">
        <f>IFERROR(__xludf.DUMMYFUNCTION("""COMPUTED_VALUE"""),"Markham, Kitchener, Guelph, Waterloo, Toronto, Ontario, Canada")</f>
        <v/>
      </c>
      <c r="K11315">
        <f>IFERROR(__xludf.DUMMYFUNCTION("""COMPUTED_VALUE"""),3007.43)</f>
        <v/>
      </c>
    </row>
    <row r="11316">
      <c r="J11316">
        <f>IFERROR(__xludf.DUMMYFUNCTION("""COMPUTED_VALUE"""),"Washington (cancelled)")</f>
        <v/>
      </c>
      <c r="K11316">
        <f>IFERROR(__xludf.DUMMYFUNCTION("""COMPUTED_VALUE"""),3007.14999999999)</f>
        <v/>
      </c>
    </row>
    <row r="11317">
      <c r="J11317">
        <f>IFERROR(__xludf.DUMMYFUNCTION("""COMPUTED_VALUE"""),"New York; Edmonton, AB")</f>
        <v/>
      </c>
      <c r="K11317">
        <f>IFERROR(__xludf.DUMMYFUNCTION("""COMPUTED_VALUE"""),3007.02)</f>
        <v/>
      </c>
    </row>
    <row r="11318">
      <c r="J11318">
        <f>IFERROR(__xludf.DUMMYFUNCTION("""COMPUTED_VALUE"""),"Republic of Singapore")</f>
        <v/>
      </c>
      <c r="K11318">
        <f>IFERROR(__xludf.DUMMYFUNCTION("""COMPUTED_VALUE"""),3006.95)</f>
        <v/>
      </c>
    </row>
    <row r="11319">
      <c r="J11319">
        <f>IFERROR(__xludf.DUMMYFUNCTION("""COMPUTED_VALUE"""),"Winnipeg,Manitoba,Canada")</f>
        <v/>
      </c>
      <c r="K11319">
        <f>IFERROR(__xludf.DUMMYFUNCTION("""COMPUTED_VALUE"""),3006.71)</f>
        <v/>
      </c>
    </row>
    <row r="11320">
      <c r="J11320">
        <f>IFERROR(__xludf.DUMMYFUNCTION("""COMPUTED_VALUE"""),"Trapani and Paris")</f>
        <v/>
      </c>
      <c r="K11320">
        <f>IFERROR(__xludf.DUMMYFUNCTION("""COMPUTED_VALUE"""),3006.69)</f>
        <v/>
      </c>
    </row>
    <row r="11321">
      <c r="J11321">
        <f>IFERROR(__xludf.DUMMYFUNCTION("""COMPUTED_VALUE"""),"Silver Spring, Maryland and Washington, District of Columbia")</f>
        <v/>
      </c>
      <c r="K11321">
        <f>IFERROR(__xludf.DUMMYFUNCTION("""COMPUTED_VALUE"""),3006.68)</f>
        <v/>
      </c>
    </row>
    <row r="11322">
      <c r="J11322">
        <f>IFERROR(__xludf.DUMMYFUNCTION("""COMPUTED_VALUE"""),"Corner Brook, Newfoundland and Labrador, Canada; Port aux Basques, Newfoundland and Labrador, Canada; Stephenville, Newfoundland and Labrador, Canada")</f>
        <v/>
      </c>
      <c r="K11322">
        <f>IFERROR(__xludf.DUMMYFUNCTION("""COMPUTED_VALUE"""),3006.25)</f>
        <v/>
      </c>
    </row>
    <row r="11323">
      <c r="J11323">
        <f>IFERROR(__xludf.DUMMYFUNCTION("""COMPUTED_VALUE"""),"Montreal, Quebec, Canada / Thunder Bay, Ontario, Canada")</f>
        <v/>
      </c>
      <c r="K11323">
        <f>IFERROR(__xludf.DUMMYFUNCTION("""COMPUTED_VALUE"""),3006.2)</f>
        <v/>
      </c>
    </row>
    <row r="11324">
      <c r="J11324">
        <f>IFERROR(__xludf.DUMMYFUNCTION("""COMPUTED_VALUE"""),"Denver,Colorado,USA")</f>
        <v/>
      </c>
      <c r="K11324">
        <f>IFERROR(__xludf.DUMMYFUNCTION("""COMPUTED_VALUE"""),3005.92)</f>
        <v/>
      </c>
    </row>
    <row r="11325">
      <c r="J11325">
        <f>IFERROR(__xludf.DUMMYFUNCTION("""COMPUTED_VALUE"""),"Vancouver, British-Columbia (Canada) Edmonton, Manitoba (Canada)")</f>
        <v/>
      </c>
      <c r="K11325">
        <f>IFERROR(__xludf.DUMMYFUNCTION("""COMPUTED_VALUE"""),3005.9)</f>
        <v/>
      </c>
    </row>
    <row r="11326">
      <c r="J11326">
        <f>IFERROR(__xludf.DUMMYFUNCTION("""COMPUTED_VALUE"""),"Vancouver and Abbotsford, BC")</f>
        <v/>
      </c>
      <c r="K11326">
        <f>IFERROR(__xludf.DUMMYFUNCTION("""COMPUTED_VALUE"""),3005.29)</f>
        <v/>
      </c>
    </row>
    <row r="11327">
      <c r="J11327">
        <f>IFERROR(__xludf.DUMMYFUNCTION("""COMPUTED_VALUE"""),"Yellowknife, Northwest Territories, Canada Cambridge Bay, Nunavut, Canada")</f>
        <v/>
      </c>
      <c r="K11327">
        <f>IFERROR(__xludf.DUMMYFUNCTION("""COMPUTED_VALUE"""),3004.21)</f>
        <v/>
      </c>
    </row>
    <row r="11328">
      <c r="J11328">
        <f>IFERROR(__xludf.DUMMYFUNCTION("""COMPUTED_VALUE"""),"Shediac, New Brunswick, Canada Gaspé and Percé, Quebec, Canada")</f>
        <v/>
      </c>
      <c r="K11328">
        <f>IFERROR(__xludf.DUMMYFUNCTION("""COMPUTED_VALUE"""),3003.82)</f>
        <v/>
      </c>
    </row>
    <row r="11329">
      <c r="J11329">
        <f>IFERROR(__xludf.DUMMYFUNCTION("""COMPUTED_VALUE"""),"Budapest, Hungary
Oxfordshire, United Kingdom")</f>
        <v/>
      </c>
      <c r="K11329">
        <f>IFERROR(__xludf.DUMMYFUNCTION("""COMPUTED_VALUE"""),3002.56)</f>
        <v/>
      </c>
    </row>
    <row r="11330">
      <c r="J11330">
        <f>IFERROR(__xludf.DUMMYFUNCTION("""COMPUTED_VALUE"""),"Inuvik (NWT)")</f>
        <v/>
      </c>
      <c r="K11330">
        <f>IFERROR(__xludf.DUMMYFUNCTION("""COMPUTED_VALUE"""),3002.56)</f>
        <v/>
      </c>
    </row>
    <row r="11331">
      <c r="J11331">
        <f>IFERROR(__xludf.DUMMYFUNCTION("""COMPUTED_VALUE"""),"Edmonton, Kamloops, Vancouver")</f>
        <v/>
      </c>
      <c r="K11331">
        <f>IFERROR(__xludf.DUMMYFUNCTION("""COMPUTED_VALUE"""),3001.75)</f>
        <v/>
      </c>
    </row>
    <row r="11332">
      <c r="J11332">
        <f>IFERROR(__xludf.DUMMYFUNCTION("""COMPUTED_VALUE"""),"Vancouver, British Columbia, Canada and Victoria, British Columbia, Canada")</f>
        <v/>
      </c>
      <c r="K11332">
        <f>IFERROR(__xludf.DUMMYFUNCTION("""COMPUTED_VALUE"""),3001.74)</f>
        <v/>
      </c>
    </row>
    <row r="11333">
      <c r="J11333">
        <f>IFERROR(__xludf.DUMMYFUNCTION("""COMPUTED_VALUE"""),"Steady Brooke, NL and Calgary, AB")</f>
        <v/>
      </c>
      <c r="K11333">
        <f>IFERROR(__xludf.DUMMYFUNCTION("""COMPUTED_VALUE"""),3001.63)</f>
        <v/>
      </c>
    </row>
    <row r="11334">
      <c r="J11334">
        <f>IFERROR(__xludf.DUMMYFUNCTION("""COMPUTED_VALUE"""),"Vancouver (British Columbia)  Canada")</f>
        <v/>
      </c>
      <c r="K11334">
        <f>IFERROR(__xludf.DUMMYFUNCTION("""COMPUTED_VALUE"""),3001.01)</f>
        <v/>
      </c>
    </row>
    <row r="11335">
      <c r="J11335">
        <f>IFERROR(__xludf.DUMMYFUNCTION("""COMPUTED_VALUE"""),"Vancouver, British Columbia, Canada Whitehorse, Yukon, Canada")</f>
        <v/>
      </c>
      <c r="K11335">
        <f>IFERROR(__xludf.DUMMYFUNCTION("""COMPUTED_VALUE"""),3000.88)</f>
        <v/>
      </c>
    </row>
    <row r="11336">
      <c r="J11336">
        <f>IFERROR(__xludf.DUMMYFUNCTION("""COMPUTED_VALUE"""),"USA")</f>
        <v/>
      </c>
      <c r="K11336">
        <f>IFERROR(__xludf.DUMMYFUNCTION("""COMPUTED_VALUE"""),3000.24)</f>
        <v/>
      </c>
    </row>
    <row r="11337">
      <c r="J11337">
        <f>IFERROR(__xludf.DUMMYFUNCTION("""COMPUTED_VALUE"""),"New York City, New York State, United States")</f>
        <v/>
      </c>
      <c r="K11337">
        <f>IFERROR(__xludf.DUMMYFUNCTION("""COMPUTED_VALUE"""),3000.04)</f>
        <v/>
      </c>
    </row>
    <row r="11338">
      <c r="J11338">
        <f>IFERROR(__xludf.DUMMYFUNCTION("""COMPUTED_VALUE"""),"Goose bay and St. John’s")</f>
        <v/>
      </c>
      <c r="K11338">
        <f>IFERROR(__xludf.DUMMYFUNCTION("""COMPUTED_VALUE"""),2998.43)</f>
        <v/>
      </c>
    </row>
    <row r="11339">
      <c r="J11339">
        <f>IFERROR(__xludf.DUMMYFUNCTION("""COMPUTED_VALUE"""),"Trois-Rivières, Quebec, Canada / Quebec, Quebec, Canada")</f>
        <v/>
      </c>
      <c r="K11339">
        <f>IFERROR(__xludf.DUMMYFUNCTION("""COMPUTED_VALUE"""),2997.78)</f>
        <v/>
      </c>
    </row>
    <row r="11340">
      <c r="J11340">
        <f>IFERROR(__xludf.DUMMYFUNCTION("""COMPUTED_VALUE"""),"Vancouver, Bristish Columbia, Canada; Whitehorse, Yukon, Canada")</f>
        <v/>
      </c>
      <c r="K11340">
        <f>IFERROR(__xludf.DUMMYFUNCTION("""COMPUTED_VALUE"""),2997.75)</f>
        <v/>
      </c>
    </row>
    <row r="11341">
      <c r="J11341">
        <f>IFERROR(__xludf.DUMMYFUNCTION("""COMPUTED_VALUE"""),"Fredericton, NB - Saint John, NB")</f>
        <v/>
      </c>
      <c r="K11341">
        <f>IFERROR(__xludf.DUMMYFUNCTION("""COMPUTED_VALUE"""),2997.71)</f>
        <v/>
      </c>
    </row>
    <row r="11342">
      <c r="J11342">
        <f>IFERROR(__xludf.DUMMYFUNCTION("""COMPUTED_VALUE"""),"Toronto - Ontario")</f>
        <v/>
      </c>
      <c r="K11342">
        <f>IFERROR(__xludf.DUMMYFUNCTION("""COMPUTED_VALUE"""),2997.42)</f>
        <v/>
      </c>
    </row>
    <row r="11343">
      <c r="J11343">
        <f>IFERROR(__xludf.DUMMYFUNCTION("""COMPUTED_VALUE"""),"Calgary, Alberta, Canada; Cranbrook, British Columbia, Canada; Victoria, British Columbia, Canada")</f>
        <v/>
      </c>
      <c r="K11343">
        <f>IFERROR(__xludf.DUMMYFUNCTION("""COMPUTED_VALUE"""),2996.92)</f>
        <v/>
      </c>
    </row>
    <row r="11344">
      <c r="J11344">
        <f>IFERROR(__xludf.DUMMYFUNCTION("""COMPUTED_VALUE"""),"Quebec, Quebec; Kitchener, Waterloo, Ontario, Canada")</f>
        <v/>
      </c>
      <c r="K11344">
        <f>IFERROR(__xludf.DUMMYFUNCTION("""COMPUTED_VALUE"""),2996.88)</f>
        <v/>
      </c>
    </row>
    <row r="11345">
      <c r="J11345">
        <f>IFERROR(__xludf.DUMMYFUNCTION("""COMPUTED_VALUE"""),"Halifax, Nova Scotia and Boston, Massachusetts")</f>
        <v/>
      </c>
      <c r="K11345">
        <f>IFERROR(__xludf.DUMMYFUNCTION("""COMPUTED_VALUE"""),2996.67)</f>
        <v/>
      </c>
    </row>
    <row r="11346">
      <c r="J11346">
        <f>IFERROR(__xludf.DUMMYFUNCTION("""COMPUTED_VALUE"""),"Halifax (NS) Canada and Charlottetown (PEI) Canada")</f>
        <v/>
      </c>
      <c r="K11346">
        <f>IFERROR(__xludf.DUMMYFUNCTION("""COMPUTED_VALUE"""),2995.62)</f>
        <v/>
      </c>
    </row>
    <row r="11347">
      <c r="J11347">
        <f>IFERROR(__xludf.DUMMYFUNCTION("""COMPUTED_VALUE"""),"Calgary, AB Vancouver, BC Burnaby-Fraser, BC")</f>
        <v/>
      </c>
      <c r="K11347">
        <f>IFERROR(__xludf.DUMMYFUNCTION("""COMPUTED_VALUE"""),2995.19)</f>
        <v/>
      </c>
    </row>
    <row r="11348">
      <c r="J11348">
        <f>IFERROR(__xludf.DUMMYFUNCTION("""COMPUTED_VALUE"""),"Ottawa, ON - Deer Lake, NL / Deer Lake, NL - Gander, NL / Gander, NL - Ottawa, ON")</f>
        <v/>
      </c>
      <c r="K11348">
        <f>IFERROR(__xludf.DUMMYFUNCTION("""COMPUTED_VALUE"""),2995.01)</f>
        <v/>
      </c>
    </row>
    <row r="11349">
      <c r="J11349">
        <f>IFERROR(__xludf.DUMMYFUNCTION("""COMPUTED_VALUE"""),"Vancouver, Colombie-Britanique")</f>
        <v/>
      </c>
      <c r="K11349">
        <f>IFERROR(__xludf.DUMMYFUNCTION("""COMPUTED_VALUE"""),2994.68)</f>
        <v/>
      </c>
    </row>
    <row r="11350">
      <c r="J11350">
        <f>IFERROR(__xludf.DUMMYFUNCTION("""COMPUTED_VALUE"""),"Montréal, Quebec, Canada; Saint-Hubert, Quebec, Canada; Bagotville, Quebec, Canada; Chibougamau, Quebec, Canada; Amos, Quebec, Canada; Rouyn-Noranda, Quebec, Canada; Rimouski, Quebec, Canada; Esprit-Saint, Quebec, Canada")</f>
        <v/>
      </c>
      <c r="K11350">
        <f>IFERROR(__xludf.DUMMYFUNCTION("""COMPUTED_VALUE"""),2993.66)</f>
        <v/>
      </c>
    </row>
    <row r="11351">
      <c r="J11351">
        <f>IFERROR(__xludf.DUMMYFUNCTION("""COMPUTED_VALUE"""),"Dallas, United States of America")</f>
        <v/>
      </c>
      <c r="K11351">
        <f>IFERROR(__xludf.DUMMYFUNCTION("""COMPUTED_VALUE"""),2993.06)</f>
        <v/>
      </c>
    </row>
    <row r="11352">
      <c r="J11352">
        <f>IFERROR(__xludf.DUMMYFUNCTION("""COMPUTED_VALUE"""),"OTTAWA, ON &amp; CHARLOTTETOWN, PE &amp; FREDERICTON, NB")</f>
        <v/>
      </c>
      <c r="K11352">
        <f>IFERROR(__xludf.DUMMYFUNCTION("""COMPUTED_VALUE"""),2992.7)</f>
        <v/>
      </c>
    </row>
    <row r="11353">
      <c r="J11353">
        <f>IFERROR(__xludf.DUMMYFUNCTION("""COMPUTED_VALUE"""),"Montepulciano")</f>
        <v/>
      </c>
      <c r="K11353">
        <f>IFERROR(__xludf.DUMMYFUNCTION("""COMPUTED_VALUE"""),2992.54)</f>
        <v/>
      </c>
    </row>
    <row r="11354">
      <c r="J11354">
        <f>IFERROR(__xludf.DUMMYFUNCTION("""COMPUTED_VALUE"""),"Calgary, Alberta, Canada
Toronto, Ontario, Canada")</f>
        <v/>
      </c>
      <c r="K11354">
        <f>IFERROR(__xludf.DUMMYFUNCTION("""COMPUTED_VALUE"""),2991.91)</f>
        <v/>
      </c>
    </row>
    <row r="11355">
      <c r="J11355">
        <f>IFERROR(__xludf.DUMMYFUNCTION("""COMPUTED_VALUE"""),"Charlottetown, PEI / St-Johns, NL")</f>
        <v/>
      </c>
      <c r="K11355">
        <f>IFERROR(__xludf.DUMMYFUNCTION("""COMPUTED_VALUE"""),2991.84)</f>
        <v/>
      </c>
    </row>
    <row r="11356">
      <c r="J11356">
        <f>IFERROR(__xludf.DUMMYFUNCTION("""COMPUTED_VALUE"""),"Charlottetown, Prince Edward Island / Moncton, New-Brunswick / Halifax, Nova Scotia / St.John's, Newfoundland and Labrador, Canada")</f>
        <v/>
      </c>
      <c r="K11356">
        <f>IFERROR(__xludf.DUMMYFUNCTION("""COMPUTED_VALUE"""),2991.73)</f>
        <v/>
      </c>
    </row>
    <row r="11357">
      <c r="J11357">
        <f>IFERROR(__xludf.DUMMYFUNCTION("""COMPUTED_VALUE"""),"Rimouski / Mont-Joli, (Quebec)")</f>
        <v/>
      </c>
      <c r="K11357">
        <f>IFERROR(__xludf.DUMMYFUNCTION("""COMPUTED_VALUE"""),2991.28)</f>
        <v/>
      </c>
    </row>
    <row r="11358">
      <c r="J11358">
        <f>IFERROR(__xludf.DUMMYFUNCTION("""COMPUTED_VALUE"""),"Brussels, Geilenkirchen, Warsaw, Tallinn, Frankfurt, Vancouver, Montreal")</f>
        <v/>
      </c>
      <c r="K11358">
        <f>IFERROR(__xludf.DUMMYFUNCTION("""COMPUTED_VALUE"""),2990.87)</f>
        <v/>
      </c>
    </row>
    <row r="11359">
      <c r="J11359">
        <f>IFERROR(__xludf.DUMMYFUNCTION("""COMPUTED_VALUE"""),"Cap-Aux-Meules,  Québec, Chicoutimi, (Quebec)")</f>
        <v/>
      </c>
      <c r="K11359">
        <f>IFERROR(__xludf.DUMMYFUNCTION("""COMPUTED_VALUE"""),2990.8)</f>
        <v/>
      </c>
    </row>
    <row r="11360">
      <c r="J11360">
        <f>IFERROR(__xludf.DUMMYFUNCTION("""COMPUTED_VALUE"""),"Las Vegas, United States")</f>
        <v/>
      </c>
      <c r="K11360">
        <f>IFERROR(__xludf.DUMMYFUNCTION("""COMPUTED_VALUE"""),2990.6)</f>
        <v/>
      </c>
    </row>
    <row r="11361">
      <c r="J11361">
        <f>IFERROR(__xludf.DUMMYFUNCTION("""COMPUTED_VALUE"""),"Toronto, Ontario, Canada / Montreal, Quebec, Canada / Halifax, Nova Scotia, Canada")</f>
        <v/>
      </c>
      <c r="K11361">
        <f>IFERROR(__xludf.DUMMYFUNCTION("""COMPUTED_VALUE"""),2990.57)</f>
        <v/>
      </c>
    </row>
    <row r="11362">
      <c r="J11362">
        <f>IFERROR(__xludf.DUMMYFUNCTION("""COMPUTED_VALUE"""),"Abbotsford, British Columbia; Saskatoon, Saskatchewan; and, Montreal, Quebec")</f>
        <v/>
      </c>
      <c r="K11362">
        <f>IFERROR(__xludf.DUMMYFUNCTION("""COMPUTED_VALUE"""),2990)</f>
        <v/>
      </c>
    </row>
    <row r="11363">
      <c r="J11363">
        <f>IFERROR(__xludf.DUMMYFUNCTION("""COMPUTED_VALUE"""),"Halifax, Nova Scotia / St-Johns, Newfoundland and Labrador / Toronto, Ontario, Canada")</f>
        <v/>
      </c>
      <c r="K11363">
        <f>IFERROR(__xludf.DUMMYFUNCTION("""COMPUTED_VALUE"""),2989.93)</f>
        <v/>
      </c>
    </row>
    <row r="11364">
      <c r="J11364">
        <f>IFERROR(__xludf.DUMMYFUNCTION("""COMPUTED_VALUE"""),"IZMIR TURKEY")</f>
        <v/>
      </c>
      <c r="K11364">
        <f>IFERROR(__xludf.DUMMYFUNCTION("""COMPUTED_VALUE"""),2988.77999999999)</f>
        <v/>
      </c>
    </row>
    <row r="11365">
      <c r="J11365">
        <f>IFERROR(__xludf.DUMMYFUNCTION("""COMPUTED_VALUE"""),"Vancouver, BC - Kelowna, BC - Winnipeg, MB")</f>
        <v/>
      </c>
      <c r="K11365">
        <f>IFERROR(__xludf.DUMMYFUNCTION("""COMPUTED_VALUE"""),2987.46)</f>
        <v/>
      </c>
    </row>
    <row r="11366">
      <c r="J11366">
        <f>IFERROR(__xludf.DUMMYFUNCTION("""COMPUTED_VALUE"""),"Calgary, Alberta, Canada; Grande Prairie, Alberta, Canada")</f>
        <v/>
      </c>
      <c r="K11366">
        <f>IFERROR(__xludf.DUMMYFUNCTION("""COMPUTED_VALUE"""),2987.13)</f>
        <v/>
      </c>
    </row>
    <row r="11367">
      <c r="J11367">
        <f>IFERROR(__xludf.DUMMYFUNCTION("""COMPUTED_VALUE"""),"Toronto, Ontario and Gatineau, Québec")</f>
        <v/>
      </c>
      <c r="K11367">
        <f>IFERROR(__xludf.DUMMYFUNCTION("""COMPUTED_VALUE"""),2986.93)</f>
        <v/>
      </c>
    </row>
    <row r="11368">
      <c r="J11368">
        <f>IFERROR(__xludf.DUMMYFUNCTION("""COMPUTED_VALUE"""),"Toronto, Ontario; Miami and Tampa, United States")</f>
        <v/>
      </c>
      <c r="K11368">
        <f>IFERROR(__xludf.DUMMYFUNCTION("""COMPUTED_VALUE"""),2986.42)</f>
        <v/>
      </c>
    </row>
    <row r="11369">
      <c r="J11369">
        <f>IFERROR(__xludf.DUMMYFUNCTION("""COMPUTED_VALUE"""),"Calgary, Edmonton, Saskatoon")</f>
        <v/>
      </c>
      <c r="K11369">
        <f>IFERROR(__xludf.DUMMYFUNCTION("""COMPUTED_VALUE"""),2986)</f>
        <v/>
      </c>
    </row>
    <row r="11370">
      <c r="J11370">
        <f>IFERROR(__xludf.DUMMYFUNCTION("""COMPUTED_VALUE"""),"Halifax, NS / St. John's NL")</f>
        <v/>
      </c>
      <c r="K11370">
        <f>IFERROR(__xludf.DUMMYFUNCTION("""COMPUTED_VALUE"""),2985.24)</f>
        <v/>
      </c>
    </row>
    <row r="11371">
      <c r="J11371">
        <f>IFERROR(__xludf.DUMMYFUNCTION("""COMPUTED_VALUE"""),"Edmonton, AB; St-Johns, NL; Ottawa, ON")</f>
        <v/>
      </c>
      <c r="K11371">
        <f>IFERROR(__xludf.DUMMYFUNCTION("""COMPUTED_VALUE"""),2984.7)</f>
        <v/>
      </c>
    </row>
    <row r="11372">
      <c r="J11372">
        <f>IFERROR(__xludf.DUMMYFUNCTION("""COMPUTED_VALUE"""),"Vancouver; Victoria (British Columbia) Canada")</f>
        <v/>
      </c>
      <c r="K11372">
        <f>IFERROR(__xludf.DUMMYFUNCTION("""COMPUTED_VALUE"""),2984.52)</f>
        <v/>
      </c>
    </row>
    <row r="11373">
      <c r="J11373">
        <f>IFERROR(__xludf.DUMMYFUNCTION("""COMPUTED_VALUE"""),"St. John's, Newfoundland and Labrador and Saskatoon, Saskchewan")</f>
        <v/>
      </c>
      <c r="K11373">
        <f>IFERROR(__xludf.DUMMYFUNCTION("""COMPUTED_VALUE"""),2984.08)</f>
        <v/>
      </c>
    </row>
    <row r="11374">
      <c r="J11374">
        <f>IFERROR(__xludf.DUMMYFUNCTION("""COMPUTED_VALUE"""),"Vancouver, British Columbia; Calgary, Alberta; Edmonton, Alberta; Red Deer, Alberta")</f>
        <v/>
      </c>
      <c r="K11374">
        <f>IFERROR(__xludf.DUMMYFUNCTION("""COMPUTED_VALUE"""),2983.08)</f>
        <v/>
      </c>
    </row>
    <row r="11375">
      <c r="J11375">
        <f>IFERROR(__xludf.DUMMYFUNCTION("""COMPUTED_VALUE"""),"Calgary (Alberta) Canada; Saskatoon (Saskatchewan) Canada")</f>
        <v/>
      </c>
      <c r="K11375">
        <f>IFERROR(__xludf.DUMMYFUNCTION("""COMPUTED_VALUE"""),2982.57)</f>
        <v/>
      </c>
    </row>
    <row r="11376">
      <c r="J11376">
        <f>IFERROR(__xludf.DUMMYFUNCTION("""COMPUTED_VALUE"""),"Toronto, Ontario, Canada / Calgary, Alberta, Canada / Vancouver, British Columbia, Canada")</f>
        <v/>
      </c>
      <c r="K11376">
        <f>IFERROR(__xludf.DUMMYFUNCTION("""COMPUTED_VALUE"""),2982.38)</f>
        <v/>
      </c>
    </row>
    <row r="11377">
      <c r="J11377">
        <f>IFERROR(__xludf.DUMMYFUNCTION("""COMPUTED_VALUE"""),"Toronto, Ontario, Canada; Vancouver, British Columbia, Canada; Calgary, Alberta, Canada; Edmonton, Alberta, Canada; Winnipeg, Manitoba, Canada; Montréal, Quebec, Canada")</f>
        <v/>
      </c>
      <c r="K11377">
        <f>IFERROR(__xludf.DUMMYFUNCTION("""COMPUTED_VALUE"""),2981.87)</f>
        <v/>
      </c>
    </row>
    <row r="11378">
      <c r="J11378">
        <f>IFERROR(__xludf.DUMMYFUNCTION("""COMPUTED_VALUE"""),"Ajax, Ontario, Canada")</f>
        <v/>
      </c>
      <c r="K11378">
        <f>IFERROR(__xludf.DUMMYFUNCTION("""COMPUTED_VALUE"""),2980.71)</f>
        <v/>
      </c>
    </row>
    <row r="11379">
      <c r="J11379">
        <f>IFERROR(__xludf.DUMMYFUNCTION("""COMPUTED_VALUE"""),"Denver, Colorado, Vancouver, British Columbia")</f>
        <v/>
      </c>
      <c r="K11379">
        <f>IFERROR(__xludf.DUMMYFUNCTION("""COMPUTED_VALUE"""),2980.23)</f>
        <v/>
      </c>
    </row>
    <row r="11380">
      <c r="J11380">
        <f>IFERROR(__xludf.DUMMYFUNCTION("""COMPUTED_VALUE"""),"Calgary, Alberta, Canada; Regina, Alberta, Canada")</f>
        <v/>
      </c>
      <c r="K11380">
        <f>IFERROR(__xludf.DUMMYFUNCTION("""COMPUTED_VALUE"""),2980.18)</f>
        <v/>
      </c>
    </row>
    <row r="11381">
      <c r="J11381">
        <f>IFERROR(__xludf.DUMMYFUNCTION("""COMPUTED_VALUE"""),"Calgary, Alberta  and St. John's  Newfoundland and Labrador")</f>
        <v/>
      </c>
      <c r="K11381">
        <f>IFERROR(__xludf.DUMMYFUNCTION("""COMPUTED_VALUE"""),2979.22)</f>
        <v/>
      </c>
    </row>
    <row r="11382">
      <c r="J11382">
        <f>IFERROR(__xludf.DUMMYFUNCTION("""COMPUTED_VALUE"""),"St. John's &amp; Trinity, Newfoundland and Labrador - Summerside &amp; Charlottetown, Prince Edward Island")</f>
        <v/>
      </c>
      <c r="K11382">
        <f>IFERROR(__xludf.DUMMYFUNCTION("""COMPUTED_VALUE"""),2979.18)</f>
        <v/>
      </c>
    </row>
    <row r="11383">
      <c r="J11383">
        <f>IFERROR(__xludf.DUMMYFUNCTION("""COMPUTED_VALUE"""),"Ottawa- Vancouver- Charlottetown")</f>
        <v/>
      </c>
      <c r="K11383">
        <f>IFERROR(__xludf.DUMMYFUNCTION("""COMPUTED_VALUE"""),2978.49)</f>
        <v/>
      </c>
    </row>
    <row r="11384">
      <c r="J11384">
        <f>IFERROR(__xludf.DUMMYFUNCTION("""COMPUTED_VALUE"""),"New Orleans, Louisiana, United States of America")</f>
        <v/>
      </c>
      <c r="K11384">
        <f>IFERROR(__xludf.DUMMYFUNCTION("""COMPUTED_VALUE"""),2978.42)</f>
        <v/>
      </c>
    </row>
    <row r="11385">
      <c r="J11385">
        <f>IFERROR(__xludf.DUMMYFUNCTION("""COMPUTED_VALUE"""),"Washington, United State")</f>
        <v/>
      </c>
      <c r="K11385">
        <f>IFERROR(__xludf.DUMMYFUNCTION("""COMPUTED_VALUE"""),2978.37)</f>
        <v/>
      </c>
    </row>
    <row r="11386">
      <c r="J11386">
        <f>IFERROR(__xludf.DUMMYFUNCTION("""COMPUTED_VALUE"""),"Vancouver, BC / Seattle, WA")</f>
        <v/>
      </c>
      <c r="K11386">
        <f>IFERROR(__xludf.DUMMYFUNCTION("""COMPUTED_VALUE"""),2978.34)</f>
        <v/>
      </c>
    </row>
    <row r="11387">
      <c r="J11387">
        <f>IFERROR(__xludf.DUMMYFUNCTION("""COMPUTED_VALUE"""),"Moncton, New Brunswick, Canada; Miramichi, New Brunswick, Canada")</f>
        <v/>
      </c>
      <c r="K11387">
        <f>IFERROR(__xludf.DUMMYFUNCTION("""COMPUTED_VALUE"""),2978.16)</f>
        <v/>
      </c>
    </row>
    <row r="11388">
      <c r="J11388">
        <f>IFERROR(__xludf.DUMMYFUNCTION("""COMPUTED_VALUE"""),"Washington ( D.C) USA")</f>
        <v/>
      </c>
      <c r="K11388">
        <f>IFERROR(__xludf.DUMMYFUNCTION("""COMPUTED_VALUE"""),2978.16)</f>
        <v/>
      </c>
    </row>
    <row r="11389">
      <c r="J11389">
        <f>IFERROR(__xludf.DUMMYFUNCTION("""COMPUTED_VALUE"""),"Orillia, ON / Barrie, ON /
Brampton, ON")</f>
        <v/>
      </c>
      <c r="K11389">
        <f>IFERROR(__xludf.DUMMYFUNCTION("""COMPUTED_VALUE"""),2977.51)</f>
        <v/>
      </c>
    </row>
    <row r="11390">
      <c r="J11390">
        <f>IFERROR(__xludf.DUMMYFUNCTION("""COMPUTED_VALUE"""),"Regina (Sask)
Winnipeg (Man)")</f>
        <v/>
      </c>
      <c r="K11390">
        <f>IFERROR(__xludf.DUMMYFUNCTION("""COMPUTED_VALUE"""),2977.38)</f>
        <v/>
      </c>
    </row>
    <row r="11391">
      <c r="J11391">
        <f>IFERROR(__xludf.DUMMYFUNCTION("""COMPUTED_VALUE"""),"Ottawa, ON, Toronto, ON, Washington, DC")</f>
        <v/>
      </c>
      <c r="K11391">
        <f>IFERROR(__xludf.DUMMYFUNCTION("""COMPUTED_VALUE"""),2976.39)</f>
        <v/>
      </c>
    </row>
    <row r="11392">
      <c r="J11392">
        <f>IFERROR(__xludf.DUMMYFUNCTION("""COMPUTED_VALUE"""),"Edmonton, Alberta, Canada; Yellowknife, Northwest Territories, Canada; Regina, Saskatchewan, Canada")</f>
        <v/>
      </c>
      <c r="K11392">
        <f>IFERROR(__xludf.DUMMYFUNCTION("""COMPUTED_VALUE"""),2976.29)</f>
        <v/>
      </c>
    </row>
    <row r="11393">
      <c r="J11393">
        <f>IFERROR(__xludf.DUMMYFUNCTION("""COMPUTED_VALUE"""),"NewYork City, NY USA")</f>
        <v/>
      </c>
      <c r="K11393">
        <f>IFERROR(__xludf.DUMMYFUNCTION("""COMPUTED_VALUE"""),2976.17)</f>
        <v/>
      </c>
    </row>
    <row r="11394">
      <c r="J11394">
        <f>IFERROR(__xludf.DUMMYFUNCTION("""COMPUTED_VALUE"""),"Charlottetown, PEI, Fredericton, NB, Sydney, NS")</f>
        <v/>
      </c>
      <c r="K11394">
        <f>IFERROR(__xludf.DUMMYFUNCTION("""COMPUTED_VALUE"""),2975.59)</f>
        <v/>
      </c>
    </row>
    <row r="11395">
      <c r="J11395">
        <f>IFERROR(__xludf.DUMMYFUNCTION("""COMPUTED_VALUE"""),"Montreal, Quebec and  Winnipeg, Manitoba, Canada")</f>
        <v/>
      </c>
      <c r="K11395">
        <f>IFERROR(__xludf.DUMMYFUNCTION("""COMPUTED_VALUE"""),2974.67)</f>
        <v/>
      </c>
    </row>
    <row r="11396">
      <c r="J11396">
        <f>IFERROR(__xludf.DUMMYFUNCTION("""COMPUTED_VALUE"""),"Iqaluit, Nunnavut")</f>
        <v/>
      </c>
      <c r="K11396">
        <f>IFERROR(__xludf.DUMMYFUNCTION("""COMPUTED_VALUE"""),2974.59)</f>
        <v/>
      </c>
    </row>
    <row r="11397">
      <c r="J11397">
        <f>IFERROR(__xludf.DUMMYFUNCTION("""COMPUTED_VALUE"""),"KINGSTON, ON")</f>
        <v/>
      </c>
      <c r="K11397">
        <f>IFERROR(__xludf.DUMMYFUNCTION("""COMPUTED_VALUE"""),2974.53)</f>
        <v/>
      </c>
    </row>
    <row r="11398">
      <c r="J11398">
        <f>IFERROR(__xludf.DUMMYFUNCTION("""COMPUTED_VALUE"""),"St-Andrews, New Brunswick")</f>
        <v/>
      </c>
      <c r="K11398">
        <f>IFERROR(__xludf.DUMMYFUNCTION("""COMPUTED_VALUE"""),2973.93)</f>
        <v/>
      </c>
    </row>
    <row r="11399">
      <c r="J11399">
        <f>IFERROR(__xludf.DUMMYFUNCTION("""COMPUTED_VALUE"""),"Vancouver, BC, Cranbrook, BC")</f>
        <v/>
      </c>
      <c r="K11399">
        <f>IFERROR(__xludf.DUMMYFUNCTION("""COMPUTED_VALUE"""),2973.27)</f>
        <v/>
      </c>
    </row>
    <row r="11400">
      <c r="J11400">
        <f>IFERROR(__xludf.DUMMYFUNCTION("""COMPUTED_VALUE"""),"Loutraki, Greece")</f>
        <v/>
      </c>
      <c r="K11400">
        <f>IFERROR(__xludf.DUMMYFUNCTION("""COMPUTED_VALUE"""),2972.86)</f>
        <v/>
      </c>
    </row>
    <row r="11401">
      <c r="J11401">
        <f>IFERROR(__xludf.DUMMYFUNCTION("""COMPUTED_VALUE"""),"OTTAWA, ON - MONTREAL, QUE")</f>
        <v/>
      </c>
      <c r="K11401">
        <f>IFERROR(__xludf.DUMMYFUNCTION("""COMPUTED_VALUE"""),2972.35)</f>
        <v/>
      </c>
    </row>
    <row r="11402">
      <c r="J11402">
        <f>IFERROR(__xludf.DUMMYFUNCTION("""COMPUTED_VALUE"""),"Toronto, Ontario, Canada - Thunder Bay, Ontario, Canada - Sudbury, Ontario, Canada")</f>
        <v/>
      </c>
      <c r="K11402">
        <f>IFERROR(__xludf.DUMMYFUNCTION("""COMPUTED_VALUE"""),2972.09)</f>
        <v/>
      </c>
    </row>
    <row r="11403">
      <c r="J11403">
        <f>IFERROR(__xludf.DUMMYFUNCTION("""COMPUTED_VALUE"""),"Charlottetown, Prince Edward Island, Canada; Ottawa, Ontario, Canada; Gatineau, Quebec, Canada")</f>
        <v/>
      </c>
      <c r="K11403">
        <f>IFERROR(__xludf.DUMMYFUNCTION("""COMPUTED_VALUE"""),2971.63)</f>
        <v/>
      </c>
    </row>
    <row r="11404">
      <c r="J11404">
        <f>IFERROR(__xludf.DUMMYFUNCTION("""COMPUTED_VALUE"""),"Calgary and Halifax")</f>
        <v/>
      </c>
      <c r="K11404">
        <f>IFERROR(__xludf.DUMMYFUNCTION("""COMPUTED_VALUE"""),2971.08)</f>
        <v/>
      </c>
    </row>
    <row r="11405">
      <c r="J11405">
        <f>IFERROR(__xludf.DUMMYFUNCTION("""COMPUTED_VALUE"""),"Horsham, West Sussex, Great Britain")</f>
        <v/>
      </c>
      <c r="K11405">
        <f>IFERROR(__xludf.DUMMYFUNCTION("""COMPUTED_VALUE"""),2970.86)</f>
        <v/>
      </c>
    </row>
    <row r="11406">
      <c r="J11406">
        <f>IFERROR(__xludf.DUMMYFUNCTION("""COMPUTED_VALUE"""),"Vancouver, British Columbia; Canada, Montreal, Quebec, Canada; Campbell River, British Columbia, Canada")</f>
        <v/>
      </c>
      <c r="K11406">
        <f>IFERROR(__xludf.DUMMYFUNCTION("""COMPUTED_VALUE"""),2970.66)</f>
        <v/>
      </c>
    </row>
    <row r="11407">
      <c r="J11407">
        <f>IFERROR(__xludf.DUMMYFUNCTION("""COMPUTED_VALUE"""),"Vancouver, British Columbia  / Saskatoon, Saskatchewan, Canada")</f>
        <v/>
      </c>
      <c r="K11407">
        <f>IFERROR(__xludf.DUMMYFUNCTION("""COMPUTED_VALUE"""),2970.49)</f>
        <v/>
      </c>
    </row>
    <row r="11408">
      <c r="J11408">
        <f>IFERROR(__xludf.DUMMYFUNCTION("""COMPUTED_VALUE"""),"New York,  NY  and  Princeton, NJ")</f>
        <v/>
      </c>
      <c r="K11408">
        <f>IFERROR(__xludf.DUMMYFUNCTION("""COMPUTED_VALUE"""),2970.23)</f>
        <v/>
      </c>
    </row>
    <row r="11409">
      <c r="J11409">
        <f>IFERROR(__xludf.DUMMYFUNCTION("""COMPUTED_VALUE"""),"Calgary, Alberta; Halifax and Wolfville, Nova Scotia")</f>
        <v/>
      </c>
      <c r="K11409">
        <f>IFERROR(__xludf.DUMMYFUNCTION("""COMPUTED_VALUE"""),2970.17)</f>
        <v/>
      </c>
    </row>
    <row r="11410">
      <c r="J11410">
        <f>IFERROR(__xludf.DUMMYFUNCTION("""COMPUTED_VALUE"""),"Cagliari, Sardinia, Italy")</f>
        <v/>
      </c>
      <c r="K11410">
        <f>IFERROR(__xludf.DUMMYFUNCTION("""COMPUTED_VALUE"""),2970.13)</f>
        <v/>
      </c>
    </row>
    <row r="11411">
      <c r="J11411">
        <f>IFERROR(__xludf.DUMMYFUNCTION("""COMPUTED_VALUE"""),"Saint John, New Brunswick, Canada; Charlottetown, Prince Edward Island, Canada; Halifax, Nova Scotia, Canada")</f>
        <v/>
      </c>
      <c r="K11411">
        <f>IFERROR(__xludf.DUMMYFUNCTION("""COMPUTED_VALUE"""),2970.05)</f>
        <v/>
      </c>
    </row>
    <row r="11412">
      <c r="J11412">
        <f>IFERROR(__xludf.DUMMYFUNCTION("""COMPUTED_VALUE"""),"Fredericton, NB Saint John, NB")</f>
        <v/>
      </c>
      <c r="K11412">
        <f>IFERROR(__xludf.DUMMYFUNCTION("""COMPUTED_VALUE"""),2969.91)</f>
        <v/>
      </c>
    </row>
    <row r="11413">
      <c r="J11413">
        <f>IFERROR(__xludf.DUMMYFUNCTION("""COMPUTED_VALUE"""),"Montréal, Quebec and Halifax, Nova Scotia")</f>
        <v/>
      </c>
      <c r="K11413">
        <f>IFERROR(__xludf.DUMMYFUNCTION("""COMPUTED_VALUE"""),2969.79)</f>
        <v/>
      </c>
    </row>
    <row r="11414">
      <c r="J11414">
        <f>IFERROR(__xludf.DUMMYFUNCTION("""COMPUTED_VALUE"""),"Baker Lake, Nunavut, Canada")</f>
        <v/>
      </c>
      <c r="K11414">
        <f>IFERROR(__xludf.DUMMYFUNCTION("""COMPUTED_VALUE"""),2969.75)</f>
        <v/>
      </c>
    </row>
    <row r="11415">
      <c r="J11415">
        <f>IFERROR(__xludf.DUMMYFUNCTION("""COMPUTED_VALUE"""),"Kelowna, BC; Nanaimo, BC")</f>
        <v/>
      </c>
      <c r="K11415">
        <f>IFERROR(__xludf.DUMMYFUNCTION("""COMPUTED_VALUE"""),2969.44)</f>
        <v/>
      </c>
    </row>
    <row r="11416">
      <c r="J11416">
        <f>IFERROR(__xludf.DUMMYFUNCTION("""COMPUTED_VALUE"""),"Fort Smith, North West Territories, Canada")</f>
        <v/>
      </c>
      <c r="K11416">
        <f>IFERROR(__xludf.DUMMYFUNCTION("""COMPUTED_VALUE"""),2968.15)</f>
        <v/>
      </c>
    </row>
    <row r="11417">
      <c r="J11417">
        <f>IFERROR(__xludf.DUMMYFUNCTION("""COMPUTED_VALUE"""),"Vancouver, British Columbia, Canada/ Nanaimo, British Columbia, Canada/ Victoria, British Columbia, Canada")</f>
        <v/>
      </c>
      <c r="K11417">
        <f>IFERROR(__xludf.DUMMYFUNCTION("""COMPUTED_VALUE"""),2968.03)</f>
        <v/>
      </c>
    </row>
    <row r="11418">
      <c r="J11418">
        <f>IFERROR(__xludf.DUMMYFUNCTION("""COMPUTED_VALUE"""),"Victoria and Penticton, BC")</f>
        <v/>
      </c>
      <c r="K11418">
        <f>IFERROR(__xludf.DUMMYFUNCTION("""COMPUTED_VALUE"""),2967.78)</f>
        <v/>
      </c>
    </row>
    <row r="11419">
      <c r="J11419">
        <f>IFERROR(__xludf.DUMMYFUNCTION("""COMPUTED_VALUE"""),"Hamilton, ON - Sudbury, ON")</f>
        <v/>
      </c>
      <c r="K11419">
        <f>IFERROR(__xludf.DUMMYFUNCTION("""COMPUTED_VALUE"""),2967.26)</f>
        <v/>
      </c>
    </row>
    <row r="11420">
      <c r="J11420">
        <f>IFERROR(__xludf.DUMMYFUNCTION("""COMPUTED_VALUE"""),"Bucharest (Romania)")</f>
        <v/>
      </c>
      <c r="K11420">
        <f>IFERROR(__xludf.DUMMYFUNCTION("""COMPUTED_VALUE"""),2965.92)</f>
        <v/>
      </c>
    </row>
    <row r="11421">
      <c r="J11421">
        <f>IFERROR(__xludf.DUMMYFUNCTION("""COMPUTED_VALUE"""),"Halifax, NÉ")</f>
        <v/>
      </c>
      <c r="K11421">
        <f>IFERROR(__xludf.DUMMYFUNCTION("""COMPUTED_VALUE"""),2965.3)</f>
        <v/>
      </c>
    </row>
    <row r="11422">
      <c r="J11422">
        <f>IFERROR(__xludf.DUMMYFUNCTION("""COMPUTED_VALUE"""),"St. John's, Newfoundland and Labrador; Montréal, Quebec, Canada")</f>
        <v/>
      </c>
      <c r="K11422">
        <f>IFERROR(__xludf.DUMMYFUNCTION("""COMPUTED_VALUE"""),2964.49)</f>
        <v/>
      </c>
    </row>
    <row r="11423">
      <c r="J11423">
        <f>IFERROR(__xludf.DUMMYFUNCTION("""COMPUTED_VALUE"""),"Saskatoon, South Saskatchewan")</f>
        <v/>
      </c>
      <c r="K11423">
        <f>IFERROR(__xludf.DUMMYFUNCTION("""COMPUTED_VALUE"""),2964.37)</f>
        <v/>
      </c>
    </row>
    <row r="11424">
      <c r="J11424">
        <f>IFERROR(__xludf.DUMMYFUNCTION("""COMPUTED_VALUE"""),"Toronto, Ontario , Canada")</f>
        <v/>
      </c>
      <c r="K11424">
        <f>IFERROR(__xludf.DUMMYFUNCTION("""COMPUTED_VALUE"""),2964.25)</f>
        <v/>
      </c>
    </row>
    <row r="11425">
      <c r="J11425">
        <f>IFERROR(__xludf.DUMMYFUNCTION("""COMPUTED_VALUE"""),"Moncton NB, Halifax NS, Moncton NB, Sydney NS, Charlottetown PE, Moncton NB")</f>
        <v/>
      </c>
      <c r="K11425">
        <f>IFERROR(__xludf.DUMMYFUNCTION("""COMPUTED_VALUE"""),2963.84)</f>
        <v/>
      </c>
    </row>
    <row r="11426">
      <c r="J11426">
        <f>IFERROR(__xludf.DUMMYFUNCTION("""COMPUTED_VALUE"""),"Pasadena, CA, USA")</f>
        <v/>
      </c>
      <c r="K11426">
        <f>IFERROR(__xludf.DUMMYFUNCTION("""COMPUTED_VALUE"""),2963.83)</f>
        <v/>
      </c>
    </row>
    <row r="11427">
      <c r="J11427">
        <f>IFERROR(__xludf.DUMMYFUNCTION("""COMPUTED_VALUE"""),"United States - Washington DC")</f>
        <v/>
      </c>
      <c r="K11427">
        <f>IFERROR(__xludf.DUMMYFUNCTION("""COMPUTED_VALUE"""),2963.65)</f>
        <v/>
      </c>
    </row>
    <row r="11428">
      <c r="J11428">
        <f>IFERROR(__xludf.DUMMYFUNCTION("""COMPUTED_VALUE"""),"Shediac, New Brunswick; St. John's, Newfoundland and Labrador, Canada")</f>
        <v/>
      </c>
      <c r="K11428">
        <f>IFERROR(__xludf.DUMMYFUNCTION("""COMPUTED_VALUE"""),2963.07)</f>
        <v/>
      </c>
    </row>
    <row r="11429">
      <c r="J11429">
        <f>IFERROR(__xludf.DUMMYFUNCTION("""COMPUTED_VALUE"""),"Vancouver (British Colombia) San Jose, Seattle, Washington (USA)")</f>
        <v/>
      </c>
      <c r="K11429">
        <f>IFERROR(__xludf.DUMMYFUNCTION("""COMPUTED_VALUE"""),2963)</f>
        <v/>
      </c>
    </row>
    <row r="11430">
      <c r="J11430">
        <f>IFERROR(__xludf.DUMMYFUNCTION("""COMPUTED_VALUE"""),"Fort Lauderdale, Florida")</f>
        <v/>
      </c>
      <c r="K11430">
        <f>IFERROR(__xludf.DUMMYFUNCTION("""COMPUTED_VALUE"""),2962.97)</f>
        <v/>
      </c>
    </row>
    <row r="11431">
      <c r="J11431">
        <f>IFERROR(__xludf.DUMMYFUNCTION("""COMPUTED_VALUE"""),"Toronto, ON, Calgary, AB, Victoria, BC")</f>
        <v/>
      </c>
      <c r="K11431">
        <f>IFERROR(__xludf.DUMMYFUNCTION("""COMPUTED_VALUE"""),2962.66)</f>
        <v/>
      </c>
    </row>
    <row r="11432">
      <c r="J11432">
        <f>IFERROR(__xludf.DUMMYFUNCTION("""COMPUTED_VALUE"""),"Renous, New-Brunswick, Canada")</f>
        <v/>
      </c>
      <c r="K11432">
        <f>IFERROR(__xludf.DUMMYFUNCTION("""COMPUTED_VALUE"""),2961.62)</f>
        <v/>
      </c>
    </row>
    <row r="11433">
      <c r="J11433">
        <f>IFERROR(__xludf.DUMMYFUNCTION("""COMPUTED_VALUE"""),"HALIFAX, GAGETOWN, WINNIPEG")</f>
        <v/>
      </c>
      <c r="K11433">
        <f>IFERROR(__xludf.DUMMYFUNCTION("""COMPUTED_VALUE"""),2961.19)</f>
        <v/>
      </c>
    </row>
    <row r="11434">
      <c r="J11434">
        <f>IFERROR(__xludf.DUMMYFUNCTION("""COMPUTED_VALUE"""),"Winnipeg, Manitoba, Canada/ Vancouver, British Columbia, Canada")</f>
        <v/>
      </c>
      <c r="K11434">
        <f>IFERROR(__xludf.DUMMYFUNCTION("""COMPUTED_VALUE"""),2961.15)</f>
        <v/>
      </c>
    </row>
    <row r="11435">
      <c r="J11435">
        <f>IFERROR(__xludf.DUMMYFUNCTION("""COMPUTED_VALUE"""),"Quebec,Quebec, Canada")</f>
        <v/>
      </c>
      <c r="K11435">
        <f>IFERROR(__xludf.DUMMYFUNCTION("""COMPUTED_VALUE"""),2960.72)</f>
        <v/>
      </c>
    </row>
    <row r="11436">
      <c r="J11436">
        <f>IFERROR(__xludf.DUMMYFUNCTION("""COMPUTED_VALUE"""),"National Harbour, Maryland, United States")</f>
        <v/>
      </c>
      <c r="K11436">
        <f>IFERROR(__xludf.DUMMYFUNCTION("""COMPUTED_VALUE"""),2960.22)</f>
        <v/>
      </c>
    </row>
    <row r="11437">
      <c r="J11437">
        <f>IFERROR(__xludf.DUMMYFUNCTION("""COMPUTED_VALUE"""),"Montreal, Quebec, Canada; Toronto, Ontario, Canada; Waterloo, Ontario, Canada; Ottawa, Ontario, Canada")</f>
        <v/>
      </c>
      <c r="K11437">
        <f>IFERROR(__xludf.DUMMYFUNCTION("""COMPUTED_VALUE"""),2959.87)</f>
        <v/>
      </c>
    </row>
    <row r="11438">
      <c r="J11438">
        <f>IFERROR(__xludf.DUMMYFUNCTION("""COMPUTED_VALUE"""),"MUNICH - GERMANY")</f>
        <v/>
      </c>
      <c r="K11438">
        <f>IFERROR(__xludf.DUMMYFUNCTION("""COMPUTED_VALUE"""),2959)</f>
        <v/>
      </c>
    </row>
    <row r="11439">
      <c r="J11439">
        <f>IFERROR(__xludf.DUMMYFUNCTION("""COMPUTED_VALUE"""),"Vancouver (British Columbia) 
Canada")</f>
        <v/>
      </c>
      <c r="K11439">
        <f>IFERROR(__xludf.DUMMYFUNCTION("""COMPUTED_VALUE"""),2958.73)</f>
        <v/>
      </c>
    </row>
    <row r="11440">
      <c r="J11440">
        <f>IFERROR(__xludf.DUMMYFUNCTION("""COMPUTED_VALUE"""),"Winnipeg, MB; Saskatoon, SK; Regina, SK; Calgary, AB; Edmonton, AB")</f>
        <v/>
      </c>
      <c r="K11440">
        <f>IFERROR(__xludf.DUMMYFUNCTION("""COMPUTED_VALUE"""),2957.99)</f>
        <v/>
      </c>
    </row>
    <row r="11441">
      <c r="J11441">
        <f>IFERROR(__xludf.DUMMYFUNCTION("""COMPUTED_VALUE"""),"Yellowknife, NorthWest Territories.")</f>
        <v/>
      </c>
      <c r="K11441">
        <f>IFERROR(__xludf.DUMMYFUNCTION("""COMPUTED_VALUE"""),2957.58)</f>
        <v/>
      </c>
    </row>
    <row r="11442">
      <c r="J11442">
        <f>IFERROR(__xludf.DUMMYFUNCTION("""COMPUTED_VALUE"""),"Toronto, Ontario/Vancouver, British Columbia")</f>
        <v/>
      </c>
      <c r="K11442">
        <f>IFERROR(__xludf.DUMMYFUNCTION("""COMPUTED_VALUE"""),2956.83)</f>
        <v/>
      </c>
    </row>
    <row r="11443">
      <c r="J11443">
        <f>IFERROR(__xludf.DUMMYFUNCTION("""COMPUTED_VALUE"""),"Washington DC New York City")</f>
        <v/>
      </c>
      <c r="K11443">
        <f>IFERROR(__xludf.DUMMYFUNCTION("""COMPUTED_VALUE"""),2956.73)</f>
        <v/>
      </c>
    </row>
    <row r="11444">
      <c r="J11444">
        <f>IFERROR(__xludf.DUMMYFUNCTION("""COMPUTED_VALUE"""),"Regina, SK Winnipeg, MB")</f>
        <v/>
      </c>
      <c r="K11444">
        <f>IFERROR(__xludf.DUMMYFUNCTION("""COMPUTED_VALUE"""),2956.55)</f>
        <v/>
      </c>
    </row>
    <row r="11445">
      <c r="J11445">
        <f>IFERROR(__xludf.DUMMYFUNCTION("""COMPUTED_VALUE"""),"Halifax, Nova-Scotia / Toronto, Ontario, Canada")</f>
        <v/>
      </c>
      <c r="K11445">
        <f>IFERROR(__xludf.DUMMYFUNCTION("""COMPUTED_VALUE"""),2956.43)</f>
        <v/>
      </c>
    </row>
    <row r="11446">
      <c r="J11446">
        <f>IFERROR(__xludf.DUMMYFUNCTION("""COMPUTED_VALUE"""),"North Gower, Ontario, Canada")</f>
        <v/>
      </c>
      <c r="K11446">
        <f>IFERROR(__xludf.DUMMYFUNCTION("""COMPUTED_VALUE"""),2956.35999999999)</f>
        <v/>
      </c>
    </row>
    <row r="11447">
      <c r="J11447">
        <f>IFERROR(__xludf.DUMMYFUNCTION("""COMPUTED_VALUE"""),"Mississauga")</f>
        <v/>
      </c>
      <c r="K11447">
        <f>IFERROR(__xludf.DUMMYFUNCTION("""COMPUTED_VALUE"""),2956.02999999999)</f>
        <v/>
      </c>
    </row>
    <row r="11448">
      <c r="J11448">
        <f>IFERROR(__xludf.DUMMYFUNCTION("""COMPUTED_VALUE"""),"Edmonton and Calgary, Alberta and Vancouver, British Colombia")</f>
        <v/>
      </c>
      <c r="K11448">
        <f>IFERROR(__xludf.DUMMYFUNCTION("""COMPUTED_VALUE"""),2955.97)</f>
        <v/>
      </c>
    </row>
    <row r="11449">
      <c r="J11449">
        <f>IFERROR(__xludf.DUMMYFUNCTION("""COMPUTED_VALUE"""),"Halifax, Nova Scotia / Goose Bay, Newfoundland and Labrador")</f>
        <v/>
      </c>
      <c r="K11449">
        <f>IFERROR(__xludf.DUMMYFUNCTION("""COMPUTED_VALUE"""),2955.52)</f>
        <v/>
      </c>
    </row>
    <row r="11450">
      <c r="J11450">
        <f>IFERROR(__xludf.DUMMYFUNCTION("""COMPUTED_VALUE"""),"Winnipeg, Manitoba, Canada; Montreal, Quebec, Canada")</f>
        <v/>
      </c>
      <c r="K11450">
        <f>IFERROR(__xludf.DUMMYFUNCTION("""COMPUTED_VALUE"""),2955.44)</f>
        <v/>
      </c>
    </row>
    <row r="11451">
      <c r="J11451">
        <f>IFERROR(__xludf.DUMMYFUNCTION("""COMPUTED_VALUE"""),"Moncton (New Brunswick) - Halifax (Nova Scotia) - Charlottetown (Prince Edward Island) -  St John's (Newfoundland and Labrador)")</f>
        <v/>
      </c>
      <c r="K11451">
        <f>IFERROR(__xludf.DUMMYFUNCTION("""COMPUTED_VALUE"""),2955.33)</f>
        <v/>
      </c>
    </row>
    <row r="11452">
      <c r="J11452">
        <f>IFERROR(__xludf.DUMMYFUNCTION("""COMPUTED_VALUE"""),"Cold Lake, Alberta and Bagotville, Quebec")</f>
        <v/>
      </c>
      <c r="K11452">
        <f>IFERROR(__xludf.DUMMYFUNCTION("""COMPUTED_VALUE"""),2955.2)</f>
        <v/>
      </c>
    </row>
    <row r="11453">
      <c r="J11453">
        <f>IFERROR(__xludf.DUMMYFUNCTION("""COMPUTED_VALUE"""),"Waterton Lakes National Park, Alberta, Canada")</f>
        <v/>
      </c>
      <c r="K11453">
        <f>IFERROR(__xludf.DUMMYFUNCTION("""COMPUTED_VALUE"""),2954.91)</f>
        <v/>
      </c>
    </row>
    <row r="11454">
      <c r="J11454">
        <f>IFERROR(__xludf.DUMMYFUNCTION("""COMPUTED_VALUE"""),"Victoria, British Columbia / Edmonton, Alberta / Regina, Saskatchewan")</f>
        <v/>
      </c>
      <c r="K11454">
        <f>IFERROR(__xludf.DUMMYFUNCTION("""COMPUTED_VALUE"""),2954.55)</f>
        <v/>
      </c>
    </row>
    <row r="11455">
      <c r="J11455">
        <f>IFERROR(__xludf.DUMMYFUNCTION("""COMPUTED_VALUE"""),"Kashechwan, Ontario, Canada")</f>
        <v/>
      </c>
      <c r="K11455">
        <f>IFERROR(__xludf.DUMMYFUNCTION("""COMPUTED_VALUE"""),2954.08)</f>
        <v/>
      </c>
    </row>
    <row r="11456">
      <c r="J11456">
        <f>IFERROR(__xludf.DUMMYFUNCTION("""COMPUTED_VALUE"""),"Toronto, Ontario, Canada; Markham, Ontario, Canada; Sudbury, Ontario, Canada")</f>
        <v/>
      </c>
      <c r="K11456">
        <f>IFERROR(__xludf.DUMMYFUNCTION("""COMPUTED_VALUE"""),2953.46)</f>
        <v/>
      </c>
    </row>
    <row r="11457">
      <c r="J11457">
        <f>IFERROR(__xludf.DUMMYFUNCTION("""COMPUTED_VALUE"""),"Williamsburg, Washington, New York")</f>
        <v/>
      </c>
      <c r="K11457">
        <f>IFERROR(__xludf.DUMMYFUNCTION("""COMPUTED_VALUE"""),2953.27)</f>
        <v/>
      </c>
    </row>
    <row r="11458">
      <c r="J11458">
        <f>IFERROR(__xludf.DUMMYFUNCTION("""COMPUTED_VALUE"""),"Federicton, New Brunswick, Canada")</f>
        <v/>
      </c>
      <c r="K11458">
        <f>IFERROR(__xludf.DUMMYFUNCTION("""COMPUTED_VALUE"""),2952.71)</f>
        <v/>
      </c>
    </row>
    <row r="11459">
      <c r="J11459">
        <f>IFERROR(__xludf.DUMMYFUNCTION("""COMPUTED_VALUE"""),"Vancouver / Victoria, BC")</f>
        <v/>
      </c>
      <c r="K11459">
        <f>IFERROR(__xludf.DUMMYFUNCTION("""COMPUTED_VALUE"""),2952.14)</f>
        <v/>
      </c>
    </row>
    <row r="11460">
      <c r="J11460">
        <f>IFERROR(__xludf.DUMMYFUNCTION("""COMPUTED_VALUE"""),"Calgary, Vancouver, Canada")</f>
        <v/>
      </c>
      <c r="K11460">
        <f>IFERROR(__xludf.DUMMYFUNCTION("""COMPUTED_VALUE"""),2951.65)</f>
        <v/>
      </c>
    </row>
    <row r="11461">
      <c r="J11461">
        <f>IFERROR(__xludf.DUMMYFUNCTION("""COMPUTED_VALUE"""),"Montreal,QC")</f>
        <v/>
      </c>
      <c r="K11461">
        <f>IFERROR(__xludf.DUMMYFUNCTION("""COMPUTED_VALUE"""),2951.6)</f>
        <v/>
      </c>
    </row>
    <row r="11462">
      <c r="J11462">
        <f>IFERROR(__xludf.DUMMYFUNCTION("""COMPUTED_VALUE"""),"Sioux Lookout, ON / Sault Ste. Marie, ON")</f>
        <v/>
      </c>
      <c r="K11462">
        <f>IFERROR(__xludf.DUMMYFUNCTION("""COMPUTED_VALUE"""),2951.05)</f>
        <v/>
      </c>
    </row>
    <row r="11463">
      <c r="J11463">
        <f>IFERROR(__xludf.DUMMYFUNCTION("""COMPUTED_VALUE"""),"Calgary (Alberta); Vancouver (British Columbia) Canada")</f>
        <v/>
      </c>
      <c r="K11463">
        <f>IFERROR(__xludf.DUMMYFUNCTION("""COMPUTED_VALUE"""),2949.5)</f>
        <v/>
      </c>
    </row>
    <row r="11464">
      <c r="J11464">
        <f>IFERROR(__xludf.DUMMYFUNCTION("""COMPUTED_VALUE"""),"Charlottetown, Prince Edward Island and St. John's and Happy Valley-Goose Bay, Newfoundland")</f>
        <v/>
      </c>
      <c r="K11464">
        <f>IFERROR(__xludf.DUMMYFUNCTION("""COMPUTED_VALUE"""),2948.81)</f>
        <v/>
      </c>
    </row>
    <row r="11465">
      <c r="J11465">
        <f>IFERROR(__xludf.DUMMYFUNCTION("""COMPUTED_VALUE"""),"Kamloops, British Columbia, Canada; Vancouver, British Columbia, Canada; Calgary, Alberta, Canada")</f>
        <v/>
      </c>
      <c r="K11465">
        <f>IFERROR(__xludf.DUMMYFUNCTION("""COMPUTED_VALUE"""),2948.28)</f>
        <v/>
      </c>
    </row>
    <row r="11466">
      <c r="J11466">
        <f>IFERROR(__xludf.DUMMYFUNCTION("""COMPUTED_VALUE"""),"KELOWNA, BC - CHARLOTTETOWN, PE")</f>
        <v/>
      </c>
      <c r="K11466">
        <f>IFERROR(__xludf.DUMMYFUNCTION("""COMPUTED_VALUE"""),2947.48)</f>
        <v/>
      </c>
    </row>
    <row r="11467">
      <c r="J11467">
        <f>IFERROR(__xludf.DUMMYFUNCTION("""COMPUTED_VALUE"""),"Waterloo, On, Toronto, On")</f>
        <v/>
      </c>
      <c r="K11467">
        <f>IFERROR(__xludf.DUMMYFUNCTION("""COMPUTED_VALUE"""),2947.41)</f>
        <v/>
      </c>
    </row>
    <row r="11468">
      <c r="J11468">
        <f>IFERROR(__xludf.DUMMYFUNCTION("""COMPUTED_VALUE"""),"Pickering, ON")</f>
        <v/>
      </c>
      <c r="K11468">
        <f>IFERROR(__xludf.DUMMYFUNCTION("""COMPUTED_VALUE"""),2946.88)</f>
        <v/>
      </c>
    </row>
    <row r="11469">
      <c r="J11469">
        <f>IFERROR(__xludf.DUMMYFUNCTION("""COMPUTED_VALUE"""),"Guelph and Toronto, Ontario")</f>
        <v/>
      </c>
      <c r="K11469">
        <f>IFERROR(__xludf.DUMMYFUNCTION("""COMPUTED_VALUE"""),2945.81)</f>
        <v/>
      </c>
    </row>
    <row r="11470">
      <c r="J11470">
        <f>IFERROR(__xludf.DUMMYFUNCTION("""COMPUTED_VALUE"""),"London, ON, Toronto, ON")</f>
        <v/>
      </c>
      <c r="K11470">
        <f>IFERROR(__xludf.DUMMYFUNCTION("""COMPUTED_VALUE"""),2944.93)</f>
        <v/>
      </c>
    </row>
    <row r="11471">
      <c r="J11471">
        <f>IFERROR(__xludf.DUMMYFUNCTION("""COMPUTED_VALUE"""),"St-John's, NFLD and Ottawa ON")</f>
        <v/>
      </c>
      <c r="K11471">
        <f>IFERROR(__xludf.DUMMYFUNCTION("""COMPUTED_VALUE"""),2944.83)</f>
        <v/>
      </c>
    </row>
    <row r="11472">
      <c r="J11472">
        <f>IFERROR(__xludf.DUMMYFUNCTION("""COMPUTED_VALUE"""),"Sao Paulo Rio de Janeiro Manaus")</f>
        <v/>
      </c>
      <c r="K11472">
        <f>IFERROR(__xludf.DUMMYFUNCTION("""COMPUTED_VALUE"""),2943.7)</f>
        <v/>
      </c>
    </row>
    <row r="11473">
      <c r="J11473">
        <f>IFERROR(__xludf.DUMMYFUNCTION("""COMPUTED_VALUE"""),"Vancouver, British-Colombia, Canada / Victoria, British-Colombia, Canada")</f>
        <v/>
      </c>
      <c r="K11473">
        <f>IFERROR(__xludf.DUMMYFUNCTION("""COMPUTED_VALUE"""),2943.04)</f>
        <v/>
      </c>
    </row>
    <row r="11474">
      <c r="J11474">
        <f>IFERROR(__xludf.DUMMYFUNCTION("""COMPUTED_VALUE"""),"Charlottetown, Prince Edward Island, Canada and Gander, Newfoundland and Labrador, Canada and St. John's, Newfoundland and Labrador, Canada")</f>
        <v/>
      </c>
      <c r="K11474">
        <f>IFERROR(__xludf.DUMMYFUNCTION("""COMPUTED_VALUE"""),2942.68)</f>
        <v/>
      </c>
    </row>
    <row r="11475">
      <c r="J11475">
        <f>IFERROR(__xludf.DUMMYFUNCTION("""COMPUTED_VALUE"""),"Vancouver, BC Kelowna, BC Calgary, AB")</f>
        <v/>
      </c>
      <c r="K11475">
        <f>IFERROR(__xludf.DUMMYFUNCTION("""COMPUTED_VALUE"""),2942.49)</f>
        <v/>
      </c>
    </row>
    <row r="11476">
      <c r="J11476">
        <f>IFERROR(__xludf.DUMMYFUNCTION("""COMPUTED_VALUE"""),"Edmonton, Alberta / Regina, Saskatchewan / Winnipeg, Manitoba")</f>
        <v/>
      </c>
      <c r="K11476">
        <f>IFERROR(__xludf.DUMMYFUNCTION("""COMPUTED_VALUE"""),2942.03)</f>
        <v/>
      </c>
    </row>
    <row r="11477">
      <c r="J11477">
        <f>IFERROR(__xludf.DUMMYFUNCTION("""COMPUTED_VALUE"""),"Bogota, Cartagena")</f>
        <v/>
      </c>
      <c r="K11477">
        <f>IFERROR(__xludf.DUMMYFUNCTION("""COMPUTED_VALUE"""),2941.65)</f>
        <v/>
      </c>
    </row>
    <row r="11478">
      <c r="J11478">
        <f>IFERROR(__xludf.DUMMYFUNCTION("""COMPUTED_VALUE"""),"Saskatoon, SK and St-John's NL.")</f>
        <v/>
      </c>
      <c r="K11478">
        <f>IFERROR(__xludf.DUMMYFUNCTION("""COMPUTED_VALUE"""),2941.48)</f>
        <v/>
      </c>
    </row>
    <row r="11479">
      <c r="J11479">
        <f>IFERROR(__xludf.DUMMYFUNCTION("""COMPUTED_VALUE"""),"Toronto / NewYork")</f>
        <v/>
      </c>
      <c r="K11479">
        <f>IFERROR(__xludf.DUMMYFUNCTION("""COMPUTED_VALUE"""),2940.98)</f>
        <v/>
      </c>
    </row>
    <row r="11480">
      <c r="J11480">
        <f>IFERROR(__xludf.DUMMYFUNCTION("""COMPUTED_VALUE"""),"Toronto, Ontario, Canada and Winnipeg, Manitoba, Canada")</f>
        <v/>
      </c>
      <c r="K11480">
        <f>IFERROR(__xludf.DUMMYFUNCTION("""COMPUTED_VALUE"""),2940.93)</f>
        <v/>
      </c>
    </row>
    <row r="11481">
      <c r="J11481">
        <f>IFERROR(__xludf.DUMMYFUNCTION("""COMPUTED_VALUE"""),"Guelph, ON / Windsor, ON / Detroit, MI")</f>
        <v/>
      </c>
      <c r="K11481">
        <f>IFERROR(__xludf.DUMMYFUNCTION("""COMPUTED_VALUE"""),2939.33)</f>
        <v/>
      </c>
    </row>
    <row r="11482">
      <c r="J11482">
        <f>IFERROR(__xludf.DUMMYFUNCTION("""COMPUTED_VALUE"""),"Montcton, New Brunswick, Canada")</f>
        <v/>
      </c>
      <c r="K11482">
        <f>IFERROR(__xludf.DUMMYFUNCTION("""COMPUTED_VALUE"""),2939.08)</f>
        <v/>
      </c>
    </row>
    <row r="11483">
      <c r="J11483">
        <f>IFERROR(__xludf.DUMMYFUNCTION("""COMPUTED_VALUE"""),"Halifax, Nova Scotia, Canada and St. John's, Newfoundland, Canada")</f>
        <v/>
      </c>
      <c r="K11483">
        <f>IFERROR(__xludf.DUMMYFUNCTION("""COMPUTED_VALUE"""),2938.88)</f>
        <v/>
      </c>
    </row>
    <row r="11484">
      <c r="J11484">
        <f>IFERROR(__xludf.DUMMYFUNCTION("""COMPUTED_VALUE"""),"Lethbridge, Alberta, Canada; Calgary, Alberta, Canada; Edmonton, Alberta, Canada; Gatineau, Quebec, Canada; Ottawa, Ontario, Canada")</f>
        <v/>
      </c>
      <c r="K11484">
        <f>IFERROR(__xludf.DUMMYFUNCTION("""COMPUTED_VALUE"""),2938.77)</f>
        <v/>
      </c>
    </row>
    <row r="11485">
      <c r="J11485">
        <f>IFERROR(__xludf.DUMMYFUNCTION("""COMPUTED_VALUE"""),"Charlottetown, Prince Edward Island / Amherst, Nova Scotia")</f>
        <v/>
      </c>
      <c r="K11485">
        <f>IFERROR(__xludf.DUMMYFUNCTION("""COMPUTED_VALUE"""),2938.22)</f>
        <v/>
      </c>
    </row>
    <row r="11486">
      <c r="J11486">
        <f>IFERROR(__xludf.DUMMYFUNCTION("""COMPUTED_VALUE"""),"Vancouver, British-Columbia, Canada Burnaby, British-Columbia, Canada")</f>
        <v/>
      </c>
      <c r="K11486">
        <f>IFERROR(__xludf.DUMMYFUNCTION("""COMPUTED_VALUE"""),2937.55)</f>
        <v/>
      </c>
    </row>
    <row r="11487">
      <c r="J11487">
        <f>IFERROR(__xludf.DUMMYFUNCTION("""COMPUTED_VALUE"""),"Montreal / Ottawa, Quebec / Ontario, Canada")</f>
        <v/>
      </c>
      <c r="K11487">
        <f>IFERROR(__xludf.DUMMYFUNCTION("""COMPUTED_VALUE"""),2936.66)</f>
        <v/>
      </c>
    </row>
    <row r="11488">
      <c r="J11488">
        <f>IFERROR(__xludf.DUMMYFUNCTION("""COMPUTED_VALUE"""),"Mingan, Québec")</f>
        <v/>
      </c>
      <c r="K11488">
        <f>IFERROR(__xludf.DUMMYFUNCTION("""COMPUTED_VALUE"""),2935.87)</f>
        <v/>
      </c>
    </row>
    <row r="11489">
      <c r="J11489">
        <f>IFERROR(__xludf.DUMMYFUNCTION("""COMPUTED_VALUE"""),"San Francisco; United States")</f>
        <v/>
      </c>
      <c r="K11489">
        <f>IFERROR(__xludf.DUMMYFUNCTION("""COMPUTED_VALUE"""),2935.71)</f>
        <v/>
      </c>
    </row>
    <row r="11490">
      <c r="J11490">
        <f>IFERROR(__xludf.DUMMYFUNCTION("""COMPUTED_VALUE"""),"Toronto, London,ON")</f>
        <v/>
      </c>
      <c r="K11490">
        <f>IFERROR(__xludf.DUMMYFUNCTION("""COMPUTED_VALUE"""),2935.68)</f>
        <v/>
      </c>
    </row>
    <row r="11491">
      <c r="J11491">
        <f>IFERROR(__xludf.DUMMYFUNCTION("""COMPUTED_VALUE"""),"Austin Waco Dallas, Texas, United States")</f>
        <v/>
      </c>
      <c r="K11491">
        <f>IFERROR(__xludf.DUMMYFUNCTION("""COMPUTED_VALUE"""),2935.2)</f>
        <v/>
      </c>
    </row>
    <row r="11492">
      <c r="J11492">
        <f>IFERROR(__xludf.DUMMYFUNCTION("""COMPUTED_VALUE"""),"Rio de Janeiro Sao Paulo")</f>
        <v/>
      </c>
      <c r="K11492">
        <f>IFERROR(__xludf.DUMMYFUNCTION("""COMPUTED_VALUE"""),2935.19)</f>
        <v/>
      </c>
    </row>
    <row r="11493">
      <c r="J11493">
        <f>IFERROR(__xludf.DUMMYFUNCTION("""COMPUTED_VALUE"""),"Hamilton, ON / Ancaster, ON")</f>
        <v/>
      </c>
      <c r="K11493">
        <f>IFERROR(__xludf.DUMMYFUNCTION("""COMPUTED_VALUE"""),2934.39)</f>
        <v/>
      </c>
    </row>
    <row r="11494">
      <c r="J11494">
        <f>IFERROR(__xludf.DUMMYFUNCTION("""COMPUTED_VALUE"""),"Windsor, London, Waterloo, Burlington")</f>
        <v/>
      </c>
      <c r="K11494">
        <f>IFERROR(__xludf.DUMMYFUNCTION("""COMPUTED_VALUE"""),2934.33)</f>
        <v/>
      </c>
    </row>
    <row r="11495">
      <c r="J11495">
        <f>IFERROR(__xludf.DUMMYFUNCTION("""COMPUTED_VALUE"""),"Vancouver, BC / Victoria, BC / Toronto, ON")</f>
        <v/>
      </c>
      <c r="K11495">
        <f>IFERROR(__xludf.DUMMYFUNCTION("""COMPUTED_VALUE"""),2933.88)</f>
        <v/>
      </c>
    </row>
    <row r="11496">
      <c r="J11496">
        <f>IFERROR(__xludf.DUMMYFUNCTION("""COMPUTED_VALUE"""),"Toronto, Ontario, Canada; Whitby, Ontario, Canada; Kitchener, Ontario, Canada")</f>
        <v/>
      </c>
      <c r="K11496">
        <f>IFERROR(__xludf.DUMMYFUNCTION("""COMPUTED_VALUE"""),2933.65)</f>
        <v/>
      </c>
    </row>
    <row r="11497">
      <c r="J11497">
        <f>IFERROR(__xludf.DUMMYFUNCTION("""COMPUTED_VALUE"""),"Europe, Europe")</f>
        <v/>
      </c>
      <c r="K11497">
        <f>IFERROR(__xludf.DUMMYFUNCTION("""COMPUTED_VALUE"""),2933.29)</f>
        <v/>
      </c>
    </row>
    <row r="11498">
      <c r="J11498">
        <f>IFERROR(__xludf.DUMMYFUNCTION("""COMPUTED_VALUE"""),"Winnipeg, MB; Saskatoon, Sk; Ottawa, ON")</f>
        <v/>
      </c>
      <c r="K11498">
        <f>IFERROR(__xludf.DUMMYFUNCTION("""COMPUTED_VALUE"""),2932.86)</f>
        <v/>
      </c>
    </row>
    <row r="11499">
      <c r="J11499">
        <f>IFERROR(__xludf.DUMMYFUNCTION("""COMPUTED_VALUE"""),"Montreal, Quebec, Canada; Ottawa, Ontario, Canada; Kingston, Ontario, Canada")</f>
        <v/>
      </c>
      <c r="K11499">
        <f>IFERROR(__xludf.DUMMYFUNCTION("""COMPUTED_VALUE"""),2932.6)</f>
        <v/>
      </c>
    </row>
    <row r="11500">
      <c r="J11500">
        <f>IFERROR(__xludf.DUMMYFUNCTION("""COMPUTED_VALUE"""),"Québec, Quebec, Canada; Montréal, Quebec, Canada; London, Ontario, Canada")</f>
        <v/>
      </c>
      <c r="K11500">
        <f>IFERROR(__xludf.DUMMYFUNCTION("""COMPUTED_VALUE"""),2932.56)</f>
        <v/>
      </c>
    </row>
    <row r="11501">
      <c r="J11501">
        <f>IFERROR(__xludf.DUMMYFUNCTION("""COMPUTED_VALUE"""),"Calgary, Alberta,Canada")</f>
        <v/>
      </c>
      <c r="K11501">
        <f>IFERROR(__xludf.DUMMYFUNCTION("""COMPUTED_VALUE"""),2932.53)</f>
        <v/>
      </c>
    </row>
    <row r="11502">
      <c r="J11502">
        <f>IFERROR(__xludf.DUMMYFUNCTION("""COMPUTED_VALUE"""),"Calgary, Alberta, Canada -Banff, Alberta, Canada")</f>
        <v/>
      </c>
      <c r="K11502">
        <f>IFERROR(__xludf.DUMMYFUNCTION("""COMPUTED_VALUE"""),2931.81)</f>
        <v/>
      </c>
    </row>
    <row r="11503">
      <c r="J11503">
        <f>IFERROR(__xludf.DUMMYFUNCTION("""COMPUTED_VALUE"""),"Banff, Calgary")</f>
        <v/>
      </c>
      <c r="K11503">
        <f>IFERROR(__xludf.DUMMYFUNCTION("""COMPUTED_VALUE"""),2931.09)</f>
        <v/>
      </c>
    </row>
    <row r="11504">
      <c r="J11504">
        <f>IFERROR(__xludf.DUMMYFUNCTION("""COMPUTED_VALUE"""),"Vancouver, BC; Saskatoon, SK")</f>
        <v/>
      </c>
      <c r="K11504">
        <f>IFERROR(__xludf.DUMMYFUNCTION("""COMPUTED_VALUE"""),2930.84)</f>
        <v/>
      </c>
    </row>
    <row r="11505">
      <c r="J11505">
        <f>IFERROR(__xludf.DUMMYFUNCTION("""COMPUTED_VALUE"""),"Regina, Saskatchewan / Calgary, Edmonton, Alberta, Canada")</f>
        <v/>
      </c>
      <c r="K11505">
        <f>IFERROR(__xludf.DUMMYFUNCTION("""COMPUTED_VALUE"""),2930.45)</f>
        <v/>
      </c>
    </row>
    <row r="11506">
      <c r="J11506">
        <f>IFERROR(__xludf.DUMMYFUNCTION("""COMPUTED_VALUE"""),"Washington DC, New York")</f>
        <v/>
      </c>
      <c r="K11506">
        <f>IFERROR(__xludf.DUMMYFUNCTION("""COMPUTED_VALUE"""),2930.01)</f>
        <v/>
      </c>
    </row>
    <row r="11507">
      <c r="J11507">
        <f>IFERROR(__xludf.DUMMYFUNCTION("""COMPUTED_VALUE"""),"Prague and Vienna")</f>
        <v/>
      </c>
      <c r="K11507">
        <f>IFERROR(__xludf.DUMMYFUNCTION("""COMPUTED_VALUE"""),2929)</f>
        <v/>
      </c>
    </row>
    <row r="11508">
      <c r="J11508">
        <f>IFERROR(__xludf.DUMMYFUNCTION("""COMPUTED_VALUE"""),"Chalevoix")</f>
        <v/>
      </c>
      <c r="K11508">
        <f>IFERROR(__xludf.DUMMYFUNCTION("""COMPUTED_VALUE"""),2928.28)</f>
        <v/>
      </c>
    </row>
    <row r="11509">
      <c r="J11509">
        <f>IFERROR(__xludf.DUMMYFUNCTION("""COMPUTED_VALUE"""),"Tampa, Washington, DC")</f>
        <v/>
      </c>
      <c r="K11509">
        <f>IFERROR(__xludf.DUMMYFUNCTION("""COMPUTED_VALUE"""),2927.84)</f>
        <v/>
      </c>
    </row>
    <row r="11510">
      <c r="J11510">
        <f>IFERROR(__xludf.DUMMYFUNCTION("""COMPUTED_VALUE"""),"Gander, Newfoundland and Labrador, Canada; Toronto, Ontario, Canada")</f>
        <v/>
      </c>
      <c r="K11510">
        <f>IFERROR(__xludf.DUMMYFUNCTION("""COMPUTED_VALUE"""),2927.45)</f>
        <v/>
      </c>
    </row>
    <row r="11511">
      <c r="J11511">
        <f>IFERROR(__xludf.DUMMYFUNCTION("""COMPUTED_VALUE"""),"Comox, Chilliwack, &amp; Vernon, British Columbia, Canada")</f>
        <v/>
      </c>
      <c r="K11511">
        <f>IFERROR(__xludf.DUMMYFUNCTION("""COMPUTED_VALUE"""),2927.27)</f>
        <v/>
      </c>
    </row>
    <row r="11512">
      <c r="J11512">
        <f>IFERROR(__xludf.DUMMYFUNCTION("""COMPUTED_VALUE"""),"Halifax/Toronto/Montreal")</f>
        <v/>
      </c>
      <c r="K11512">
        <f>IFERROR(__xludf.DUMMYFUNCTION("""COMPUTED_VALUE"""),2927.21)</f>
        <v/>
      </c>
    </row>
    <row r="11513">
      <c r="J11513">
        <f>IFERROR(__xludf.DUMMYFUNCTION("""COMPUTED_VALUE"""),"Abbotsford, British Columbia Edmonton, Alberta")</f>
        <v/>
      </c>
      <c r="K11513">
        <f>IFERROR(__xludf.DUMMYFUNCTION("""COMPUTED_VALUE"""),2927)</f>
        <v/>
      </c>
    </row>
    <row r="11514">
      <c r="J11514">
        <f>IFERROR(__xludf.DUMMYFUNCTION("""COMPUTED_VALUE"""),"Halifax (NS), St. John's (Nfld)")</f>
        <v/>
      </c>
      <c r="K11514">
        <f>IFERROR(__xludf.DUMMYFUNCTION("""COMPUTED_VALUE"""),2927)</f>
        <v/>
      </c>
    </row>
    <row r="11515">
      <c r="J11515">
        <f>IFERROR(__xludf.DUMMYFUNCTION("""COMPUTED_VALUE"""),"Manitoulin Island, Ontario, Canada; Sudbury, Ontario, Canada; North Bay, Ontario, Canada")</f>
        <v/>
      </c>
      <c r="K11515">
        <f>IFERROR(__xludf.DUMMYFUNCTION("""COMPUTED_VALUE"""),2926.68)</f>
        <v/>
      </c>
    </row>
    <row r="11516">
      <c r="J11516">
        <f>IFERROR(__xludf.DUMMYFUNCTION("""COMPUTED_VALUE"""),"Tobermory, Ontario, Canada")</f>
        <v/>
      </c>
      <c r="K11516">
        <f>IFERROR(__xludf.DUMMYFUNCTION("""COMPUTED_VALUE"""),2925.75)</f>
        <v/>
      </c>
    </row>
    <row r="11517">
      <c r="J11517">
        <f>IFERROR(__xludf.DUMMYFUNCTION("""COMPUTED_VALUE"""),"St. John's, Newfoundland and Labrador, Canada
Moncton, New Brunswick, Canada")</f>
        <v/>
      </c>
      <c r="K11517">
        <f>IFERROR(__xludf.DUMMYFUNCTION("""COMPUTED_VALUE"""),2925.51)</f>
        <v/>
      </c>
    </row>
    <row r="11518">
      <c r="J11518">
        <f>IFERROR(__xludf.DUMMYFUNCTION("""COMPUTED_VALUE"""),"Calgary, Regina, St-John's")</f>
        <v/>
      </c>
      <c r="K11518">
        <f>IFERROR(__xludf.DUMMYFUNCTION("""COMPUTED_VALUE"""),2925.23)</f>
        <v/>
      </c>
    </row>
    <row r="11519">
      <c r="J11519">
        <f>IFERROR(__xludf.DUMMYFUNCTION("""COMPUTED_VALUE"""),"Toronto, Ontario / Halifax, Nova Scotia / Regina, Saskatchewan, Canada")</f>
        <v/>
      </c>
      <c r="K11519">
        <f>IFERROR(__xludf.DUMMYFUNCTION("""COMPUTED_VALUE"""),2923.71)</f>
        <v/>
      </c>
    </row>
    <row r="11520">
      <c r="J11520">
        <f>IFERROR(__xludf.DUMMYFUNCTION("""COMPUTED_VALUE"""),"Edmonton/Canmore, Alberta, Canada")</f>
        <v/>
      </c>
      <c r="K11520">
        <f>IFERROR(__xludf.DUMMYFUNCTION("""COMPUTED_VALUE"""),2923.42)</f>
        <v/>
      </c>
    </row>
    <row r="11521">
      <c r="J11521">
        <f>IFERROR(__xludf.DUMMYFUNCTION("""COMPUTED_VALUE"""),"Ottawa, ON - Charlottetown, PE   / Charlottetown, PE - Ottawa, ON")</f>
        <v/>
      </c>
      <c r="K11521">
        <f>IFERROR(__xludf.DUMMYFUNCTION("""COMPUTED_VALUE"""),2923.41)</f>
        <v/>
      </c>
    </row>
    <row r="11522">
      <c r="J11522">
        <f>IFERROR(__xludf.DUMMYFUNCTION("""COMPUTED_VALUE"""),"Kitchener, Ontario, Canada; Waterloo, Ontario, Canada; Toronto, Ontario, Canada")</f>
        <v/>
      </c>
      <c r="K11522">
        <f>IFERROR(__xludf.DUMMYFUNCTION("""COMPUTED_VALUE"""),2923.32)</f>
        <v/>
      </c>
    </row>
    <row r="11523">
      <c r="J11523">
        <f>IFERROR(__xludf.DUMMYFUNCTION("""COMPUTED_VALUE"""),"Calgary, AB / Fort McMurray, AB / Saskatoon, SK")</f>
        <v/>
      </c>
      <c r="K11523">
        <f>IFERROR(__xludf.DUMMYFUNCTION("""COMPUTED_VALUE"""),2923.07)</f>
        <v/>
      </c>
    </row>
    <row r="11524">
      <c r="J11524">
        <f>IFERROR(__xludf.DUMMYFUNCTION("""COMPUTED_VALUE"""),"Washinton, DC, United States")</f>
        <v/>
      </c>
      <c r="K11524">
        <f>IFERROR(__xludf.DUMMYFUNCTION("""COMPUTED_VALUE"""),2922.94)</f>
        <v/>
      </c>
    </row>
    <row r="11525">
      <c r="J11525">
        <f>IFERROR(__xludf.DUMMYFUNCTION("""COMPUTED_VALUE"""),"Halifax, NS - Montreal, QC")</f>
        <v/>
      </c>
      <c r="K11525">
        <f>IFERROR(__xludf.DUMMYFUNCTION("""COMPUTED_VALUE"""),2921.68)</f>
        <v/>
      </c>
    </row>
    <row r="11526">
      <c r="J11526">
        <f>IFERROR(__xludf.DUMMYFUNCTION("""COMPUTED_VALUE"""),"Toronto, Ontario, Canada; Calgary, Alberta, Canada; and, Banff, Alberta, Canada")</f>
        <v/>
      </c>
      <c r="K11526">
        <f>IFERROR(__xludf.DUMMYFUNCTION("""COMPUTED_VALUE"""),2921.23)</f>
        <v/>
      </c>
    </row>
    <row r="11527">
      <c r="J11527">
        <f>IFERROR(__xludf.DUMMYFUNCTION("""COMPUTED_VALUE"""),"Revelstoke, British Columbia, CanadaBanff, Alberta, Canada")</f>
        <v/>
      </c>
      <c r="K11527">
        <f>IFERROR(__xludf.DUMMYFUNCTION("""COMPUTED_VALUE"""),2921.22)</f>
        <v/>
      </c>
    </row>
    <row r="11528">
      <c r="J11528">
        <f>IFERROR(__xludf.DUMMYFUNCTION("""COMPUTED_VALUE"""),"Ottawa, Ontario and Vancouver, British Columbia")</f>
        <v/>
      </c>
      <c r="K11528">
        <f>IFERROR(__xludf.DUMMYFUNCTION("""COMPUTED_VALUE"""),2918.77)</f>
        <v/>
      </c>
    </row>
    <row r="11529">
      <c r="J11529">
        <f>IFERROR(__xludf.DUMMYFUNCTION("""COMPUTED_VALUE"""),"Toronto, ON - Edmonton, AB - Vancouver, BC")</f>
        <v/>
      </c>
      <c r="K11529">
        <f>IFERROR(__xludf.DUMMYFUNCTION("""COMPUTED_VALUE"""),2918.65)</f>
        <v/>
      </c>
    </row>
    <row r="11530">
      <c r="J11530">
        <f>IFERROR(__xludf.DUMMYFUNCTION("""COMPUTED_VALUE"""),"Montréal, Quebec, Canada; Trois-Rivières, Quebec, Canada")</f>
        <v/>
      </c>
      <c r="K11530">
        <f>IFERROR(__xludf.DUMMYFUNCTION("""COMPUTED_VALUE"""),2918.35999999999)</f>
        <v/>
      </c>
    </row>
    <row r="11531">
      <c r="J11531">
        <f>IFERROR(__xludf.DUMMYFUNCTION("""COMPUTED_VALUE"""),"Rexton, Newfoundland and Labrador")</f>
        <v/>
      </c>
      <c r="K11531">
        <f>IFERROR(__xludf.DUMMYFUNCTION("""COMPUTED_VALUE"""),2917.62)</f>
        <v/>
      </c>
    </row>
    <row r="11532">
      <c r="J11532">
        <f>IFERROR(__xludf.DUMMYFUNCTION("""COMPUTED_VALUE"""),"Regina, Saskatchewan; Calgary, Alberta")</f>
        <v/>
      </c>
      <c r="K11532">
        <f>IFERROR(__xludf.DUMMYFUNCTION("""COMPUTED_VALUE"""),2916.96)</f>
        <v/>
      </c>
    </row>
    <row r="11533">
      <c r="J11533">
        <f>IFERROR(__xludf.DUMMYFUNCTION("""COMPUTED_VALUE"""),"Halifax, Nova Scotia, Canada / Fredericton, New Brunswick, Canada / Toronto, Ontario, Canada")</f>
        <v/>
      </c>
      <c r="K11533">
        <f>IFERROR(__xludf.DUMMYFUNCTION("""COMPUTED_VALUE"""),2916.13)</f>
        <v/>
      </c>
    </row>
    <row r="11534">
      <c r="J11534">
        <f>IFERROR(__xludf.DUMMYFUNCTION("""COMPUTED_VALUE"""),"Edmonton (Alberta), Yellowknife (Northwest Territories), Regina and Saskatoon (Saskatchewan), Winnipeg (Manitoba)")</f>
        <v/>
      </c>
      <c r="K11534">
        <f>IFERROR(__xludf.DUMMYFUNCTION("""COMPUTED_VALUE"""),2916)</f>
        <v/>
      </c>
    </row>
    <row r="11535">
      <c r="J11535">
        <f>IFERROR(__xludf.DUMMYFUNCTION("""COMPUTED_VALUE"""),"Fredericton/Charlottetown/Halifax")</f>
        <v/>
      </c>
      <c r="K11535">
        <f>IFERROR(__xludf.DUMMYFUNCTION("""COMPUTED_VALUE"""),2915.85)</f>
        <v/>
      </c>
    </row>
    <row r="11536">
      <c r="J11536">
        <f>IFERROR(__xludf.DUMMYFUNCTION("""COMPUTED_VALUE"""),"Halifax, Nova Scotia, Canada; Vancouver, British Columbia, Canada")</f>
        <v/>
      </c>
      <c r="K11536">
        <f>IFERROR(__xludf.DUMMYFUNCTION("""COMPUTED_VALUE"""),2915.4)</f>
        <v/>
      </c>
    </row>
    <row r="11537">
      <c r="J11537">
        <f>IFERROR(__xludf.DUMMYFUNCTION("""COMPUTED_VALUE"""),"Philadelphia, Pennsylvania, United-States")</f>
        <v/>
      </c>
      <c r="K11537">
        <f>IFERROR(__xludf.DUMMYFUNCTION("""COMPUTED_VALUE"""),2914.93)</f>
        <v/>
      </c>
    </row>
    <row r="11538">
      <c r="J11538">
        <f>IFERROR(__xludf.DUMMYFUNCTION("""COMPUTED_VALUE"""),"Washington DC and St. Michaels, Maryland")</f>
        <v/>
      </c>
      <c r="K11538">
        <f>IFERROR(__xludf.DUMMYFUNCTION("""COMPUTED_VALUE"""),2913.69)</f>
        <v/>
      </c>
    </row>
    <row r="11539">
      <c r="J11539">
        <f>IFERROR(__xludf.DUMMYFUNCTION("""COMPUTED_VALUE"""),"Toronto, Ontario, Canada; St. Hyacinthe, Quebec, Canada; Beloeil, Quebec, Canada")</f>
        <v/>
      </c>
      <c r="K11539">
        <f>IFERROR(__xludf.DUMMYFUNCTION("""COMPUTED_VALUE"""),2913.38)</f>
        <v/>
      </c>
    </row>
    <row r="11540">
      <c r="J11540">
        <f>IFERROR(__xludf.DUMMYFUNCTION("""COMPUTED_VALUE"""),"St. John's, NL; Charlottetown, PE; Summerside, PE")</f>
        <v/>
      </c>
      <c r="K11540">
        <f>IFERROR(__xludf.DUMMYFUNCTION("""COMPUTED_VALUE"""),2913.21)</f>
        <v/>
      </c>
    </row>
    <row r="11541">
      <c r="J11541">
        <f>IFERROR(__xludf.DUMMYFUNCTION("""COMPUTED_VALUE"""),"Toronto, ON / Montreal, QC / Plattsburgh, NY / Quebec City, QC")</f>
        <v/>
      </c>
      <c r="K11541">
        <f>IFERROR(__xludf.DUMMYFUNCTION("""COMPUTED_VALUE"""),2912.87)</f>
        <v/>
      </c>
    </row>
    <row r="11542">
      <c r="J11542">
        <f>IFERROR(__xludf.DUMMYFUNCTION("""COMPUTED_VALUE"""),"Vancouver, British Columbia &amp; Red Deer, Alberta, Canada")</f>
        <v/>
      </c>
      <c r="K11542">
        <f>IFERROR(__xludf.DUMMYFUNCTION("""COMPUTED_VALUE"""),2912.69)</f>
        <v/>
      </c>
    </row>
    <row r="11543">
      <c r="J11543">
        <f>IFERROR(__xludf.DUMMYFUNCTION("""COMPUTED_VALUE"""),"Fredericton, Saint John, and Moncton, New Brunswick")</f>
        <v/>
      </c>
      <c r="K11543">
        <f>IFERROR(__xludf.DUMMYFUNCTION("""COMPUTED_VALUE"""),2912.34)</f>
        <v/>
      </c>
    </row>
    <row r="11544">
      <c r="J11544">
        <f>IFERROR(__xludf.DUMMYFUNCTION("""COMPUTED_VALUE"""),"Edmonton, AB /   Winnipeg, MB")</f>
        <v/>
      </c>
      <c r="K11544">
        <f>IFERROR(__xludf.DUMMYFUNCTION("""COMPUTED_VALUE"""),2911.96)</f>
        <v/>
      </c>
    </row>
    <row r="11545">
      <c r="J11545">
        <f>IFERROR(__xludf.DUMMYFUNCTION("""COMPUTED_VALUE"""),"Vancouver, British Columbia; Sidney, British Columbia; Saskatoon, Saskatchewan, Canada")</f>
        <v/>
      </c>
      <c r="K11545">
        <f>IFERROR(__xludf.DUMMYFUNCTION("""COMPUTED_VALUE"""),2911.75)</f>
        <v/>
      </c>
    </row>
    <row r="11546">
      <c r="J11546">
        <f>IFERROR(__xludf.DUMMYFUNCTION("""COMPUTED_VALUE"""),"Toronto, ON. Ottawa, ON")</f>
        <v/>
      </c>
      <c r="K11546">
        <f>IFERROR(__xludf.DUMMYFUNCTION("""COMPUTED_VALUE"""),2911.3)</f>
        <v/>
      </c>
    </row>
    <row r="11547">
      <c r="J11547">
        <f>IFERROR(__xludf.DUMMYFUNCTION("""COMPUTED_VALUE"""),"Edmonton, AB; Iqaluit NU")</f>
        <v/>
      </c>
      <c r="K11547">
        <f>IFERROR(__xludf.DUMMYFUNCTION("""COMPUTED_VALUE"""),2909.72)</f>
        <v/>
      </c>
    </row>
    <row r="11548">
      <c r="J11548">
        <f>IFERROR(__xludf.DUMMYFUNCTION("""COMPUTED_VALUE"""),"Port Alberni, BC, Canada")</f>
        <v/>
      </c>
      <c r="K11548">
        <f>IFERROR(__xludf.DUMMYFUNCTION("""COMPUTED_VALUE"""),2909.24)</f>
        <v/>
      </c>
    </row>
    <row r="11549">
      <c r="J11549">
        <f>IFERROR(__xludf.DUMMYFUNCTION("""COMPUTED_VALUE"""),"Ottawa,On")</f>
        <v/>
      </c>
      <c r="K11549">
        <f>IFERROR(__xludf.DUMMYFUNCTION("""COMPUTED_VALUE"""),2909.23)</f>
        <v/>
      </c>
    </row>
    <row r="11550">
      <c r="J11550">
        <f>IFERROR(__xludf.DUMMYFUNCTION("""COMPUTED_VALUE"""),"Riga - Naples")</f>
        <v/>
      </c>
      <c r="K11550">
        <f>IFERROR(__xludf.DUMMYFUNCTION("""COMPUTED_VALUE"""),2909.2)</f>
        <v/>
      </c>
    </row>
    <row r="11551">
      <c r="J11551">
        <f>IFERROR(__xludf.DUMMYFUNCTION("""COMPUTED_VALUE"""),"Winnipeg, Manitoba, Canada / Brandon, Manitoba, Canada / Edmonton, Alberta, Canada")</f>
        <v/>
      </c>
      <c r="K11551">
        <f>IFERROR(__xludf.DUMMYFUNCTION("""COMPUTED_VALUE"""),2908.14)</f>
        <v/>
      </c>
    </row>
    <row r="11552">
      <c r="J11552">
        <f>IFERROR(__xludf.DUMMYFUNCTION("""COMPUTED_VALUE"""),"Windsor, ON / Detroit, MI / Mississauga, ON / Montreal, QC")</f>
        <v/>
      </c>
      <c r="K11552">
        <f>IFERROR(__xludf.DUMMYFUNCTION("""COMPUTED_VALUE"""),2906.6)</f>
        <v/>
      </c>
    </row>
    <row r="11553">
      <c r="J11553">
        <f>IFERROR(__xludf.DUMMYFUNCTION("""COMPUTED_VALUE"""),"Ottawa, Ontario, Canada; Truro, Nova Scotia, Canada; Ottawa, Ontario, Canada")</f>
        <v/>
      </c>
      <c r="K11553">
        <f>IFERROR(__xludf.DUMMYFUNCTION("""COMPUTED_VALUE"""),2906.54)</f>
        <v/>
      </c>
    </row>
    <row r="11554">
      <c r="J11554">
        <f>IFERROR(__xludf.DUMMYFUNCTION("""COMPUTED_VALUE"""),"Regina, Saskatchewan, Canada and Winnipeg, Manitoba, Canada")</f>
        <v/>
      </c>
      <c r="K11554">
        <f>IFERROR(__xludf.DUMMYFUNCTION("""COMPUTED_VALUE"""),2906.31)</f>
        <v/>
      </c>
    </row>
    <row r="11555">
      <c r="J11555">
        <f>IFERROR(__xludf.DUMMYFUNCTION("""COMPUTED_VALUE"""),"Forth Smith, Northwest Territories")</f>
        <v/>
      </c>
      <c r="K11555">
        <f>IFERROR(__xludf.DUMMYFUNCTION("""COMPUTED_VALUE"""),2905.81)</f>
        <v/>
      </c>
    </row>
    <row r="11556">
      <c r="J11556">
        <f>IFERROR(__xludf.DUMMYFUNCTION("""COMPUTED_VALUE"""),"Vancouver  (British Columbia) Canada")</f>
        <v/>
      </c>
      <c r="K11556">
        <f>IFERROR(__xludf.DUMMYFUNCTION("""COMPUTED_VALUE"""),2905.7)</f>
        <v/>
      </c>
    </row>
    <row r="11557">
      <c r="J11557">
        <f>IFERROR(__xludf.DUMMYFUNCTION("""COMPUTED_VALUE"""),"Newfoundland St. Johns")</f>
        <v/>
      </c>
      <c r="K11557">
        <f>IFERROR(__xludf.DUMMYFUNCTION("""COMPUTED_VALUE"""),2905.41)</f>
        <v/>
      </c>
    </row>
    <row r="11558">
      <c r="J11558">
        <f>IFERROR(__xludf.DUMMYFUNCTION("""COMPUTED_VALUE"""),"St. John's, Newfoundland and Labrador, Canada; Goose Bay, Newfoundland and Labrador, Canada")</f>
        <v/>
      </c>
      <c r="K11558">
        <f>IFERROR(__xludf.DUMMYFUNCTION("""COMPUTED_VALUE"""),2904.47)</f>
        <v/>
      </c>
    </row>
    <row r="11559">
      <c r="J11559">
        <f>IFERROR(__xludf.DUMMYFUNCTION("""COMPUTED_VALUE"""),"Vancouver, (British-Columbia)")</f>
        <v/>
      </c>
      <c r="K11559">
        <f>IFERROR(__xludf.DUMMYFUNCTION("""COMPUTED_VALUE"""),2903.96)</f>
        <v/>
      </c>
    </row>
    <row r="11560">
      <c r="J11560">
        <f>IFERROR(__xludf.DUMMYFUNCTION("""COMPUTED_VALUE"""),"Vancouver, British Columbia, Canada/  Victoria, British Columbia, Canada/ Nanaimo, British Columbia, Canada")</f>
        <v/>
      </c>
      <c r="K11560">
        <f>IFERROR(__xludf.DUMMYFUNCTION("""COMPUTED_VALUE"""),2903.7)</f>
        <v/>
      </c>
    </row>
    <row r="11561">
      <c r="J11561">
        <f>IFERROR(__xludf.DUMMYFUNCTION("""COMPUTED_VALUE"""),"Red Lake &amp; Toronto, Ontario")</f>
        <v/>
      </c>
      <c r="K11561">
        <f>IFERROR(__xludf.DUMMYFUNCTION("""COMPUTED_VALUE"""),2902.63)</f>
        <v/>
      </c>
    </row>
    <row r="11562">
      <c r="J11562">
        <f>IFERROR(__xludf.DUMMYFUNCTION("""COMPUTED_VALUE"""),"Montreal, Quebec, Canada; Trois-Rivières, Quebec, Canada")</f>
        <v/>
      </c>
      <c r="K11562">
        <f>IFERROR(__xludf.DUMMYFUNCTION("""COMPUTED_VALUE"""),2902.32)</f>
        <v/>
      </c>
    </row>
    <row r="11563">
      <c r="J11563">
        <f>IFERROR(__xludf.DUMMYFUNCTION("""COMPUTED_VALUE"""),"Ottawa, Ontario, Canada; Regina, Saskatchewan, Canada")</f>
        <v/>
      </c>
      <c r="K11563">
        <f>IFERROR(__xludf.DUMMYFUNCTION("""COMPUTED_VALUE"""),2901.93)</f>
        <v/>
      </c>
    </row>
    <row r="11564">
      <c r="J11564">
        <f>IFERROR(__xludf.DUMMYFUNCTION("""COMPUTED_VALUE"""),"Portland, Oregon, USA")</f>
        <v/>
      </c>
      <c r="K11564">
        <f>IFERROR(__xludf.DUMMYFUNCTION("""COMPUTED_VALUE"""),2901.9)</f>
        <v/>
      </c>
    </row>
    <row r="11565">
      <c r="J11565">
        <f>IFERROR(__xludf.DUMMYFUNCTION("""COMPUTED_VALUE"""),"Courtenay, Port Hardy and Vancouver, British Columbia, Canada")</f>
        <v/>
      </c>
      <c r="K11565">
        <f>IFERROR(__xludf.DUMMYFUNCTION("""COMPUTED_VALUE"""),2901.77)</f>
        <v/>
      </c>
    </row>
    <row r="11566">
      <c r="J11566">
        <f>IFERROR(__xludf.DUMMYFUNCTION("""COMPUTED_VALUE"""),"KIRKLAND LAKE, ON")</f>
        <v/>
      </c>
      <c r="K11566">
        <f>IFERROR(__xludf.DUMMYFUNCTION("""COMPUTED_VALUE"""),2901.76)</f>
        <v/>
      </c>
    </row>
    <row r="11567">
      <c r="J11567">
        <f>IFERROR(__xludf.DUMMYFUNCTION("""COMPUTED_VALUE"""),"Toronto.")</f>
        <v/>
      </c>
      <c r="K11567">
        <f>IFERROR(__xludf.DUMMYFUNCTION("""COMPUTED_VALUE"""),2900.9)</f>
        <v/>
      </c>
    </row>
    <row r="11568">
      <c r="J11568">
        <f>IFERROR(__xludf.DUMMYFUNCTION("""COMPUTED_VALUE"""),"Vancouver, British Columbia / Kelowna, British Columbia / Montreal, Quebec")</f>
        <v/>
      </c>
      <c r="K11568">
        <f>IFERROR(__xludf.DUMMYFUNCTION("""COMPUTED_VALUE"""),2900.58)</f>
        <v/>
      </c>
    </row>
    <row r="11569">
      <c r="J11569">
        <f>IFERROR(__xludf.DUMMYFUNCTION("""COMPUTED_VALUE"""),"Pangnirtung, Nunavut, Canada; Iqaluit, Nunavut, Canada")</f>
        <v/>
      </c>
      <c r="K11569">
        <f>IFERROR(__xludf.DUMMYFUNCTION("""COMPUTED_VALUE"""),2899.76)</f>
        <v/>
      </c>
    </row>
    <row r="11570">
      <c r="J11570">
        <f>IFERROR(__xludf.DUMMYFUNCTION("""COMPUTED_VALUE"""),"Calgary, Alberta and Shawinigan, Quebec, Canada")</f>
        <v/>
      </c>
      <c r="K11570">
        <f>IFERROR(__xludf.DUMMYFUNCTION("""COMPUTED_VALUE"""),2899.67)</f>
        <v/>
      </c>
    </row>
    <row r="11571">
      <c r="J11571">
        <f>IFERROR(__xludf.DUMMYFUNCTION("""COMPUTED_VALUE"""),"Chile, Argentina and Brazil")</f>
        <v/>
      </c>
      <c r="K11571">
        <f>IFERROR(__xludf.DUMMYFUNCTION("""COMPUTED_VALUE"""),2899.63)</f>
        <v/>
      </c>
    </row>
    <row r="11572">
      <c r="J11572">
        <f>IFERROR(__xludf.DUMMYFUNCTION("""COMPUTED_VALUE"""),"Edmonton, Alberta, Canada Whitehorse, Yukon, Canada")</f>
        <v/>
      </c>
      <c r="K11572">
        <f>IFERROR(__xludf.DUMMYFUNCTION("""COMPUTED_VALUE"""),2899.35)</f>
        <v/>
      </c>
    </row>
    <row r="11573">
      <c r="J11573">
        <f>IFERROR(__xludf.DUMMYFUNCTION("""COMPUTED_VALUE"""),"Whitehorse, Yukon and Vancouver, British Columbia, Canada")</f>
        <v/>
      </c>
      <c r="K11573">
        <f>IFERROR(__xludf.DUMMYFUNCTION("""COMPUTED_VALUE"""),2898.84)</f>
        <v/>
      </c>
    </row>
    <row r="11574">
      <c r="J11574">
        <f>IFERROR(__xludf.DUMMYFUNCTION("""COMPUTED_VALUE"""),"Washington DC, U.S.A.")</f>
        <v/>
      </c>
      <c r="K11574">
        <f>IFERROR(__xludf.DUMMYFUNCTION("""COMPUTED_VALUE"""),2898.74)</f>
        <v/>
      </c>
    </row>
    <row r="11575">
      <c r="J11575">
        <f>IFERROR(__xludf.DUMMYFUNCTION("""COMPUTED_VALUE"""),"HALIFAX MONTRÉAL")</f>
        <v/>
      </c>
      <c r="K11575">
        <f>IFERROR(__xludf.DUMMYFUNCTION("""COMPUTED_VALUE"""),2898.47)</f>
        <v/>
      </c>
    </row>
    <row r="11576">
      <c r="J11576">
        <f>IFERROR(__xludf.DUMMYFUNCTION("""COMPUTED_VALUE"""),"Prince George &amp; Vancouver, British-Colombia, Canada")</f>
        <v/>
      </c>
      <c r="K11576">
        <f>IFERROR(__xludf.DUMMYFUNCTION("""COMPUTED_VALUE"""),2897.92)</f>
        <v/>
      </c>
    </row>
    <row r="11577">
      <c r="J11577">
        <f>IFERROR(__xludf.DUMMYFUNCTION("""COMPUTED_VALUE"""),"Toronto,ON, Halifax, NS")</f>
        <v/>
      </c>
      <c r="K11577">
        <f>IFERROR(__xludf.DUMMYFUNCTION("""COMPUTED_VALUE"""),2896.79)</f>
        <v/>
      </c>
    </row>
    <row r="11578">
      <c r="J11578">
        <f>IFERROR(__xludf.DUMMYFUNCTION("""COMPUTED_VALUE"""),"Montreal, Quebec / Edmonton, Alberta, Canada")</f>
        <v/>
      </c>
      <c r="K11578">
        <f>IFERROR(__xludf.DUMMYFUNCTION("""COMPUTED_VALUE"""),2896.29)</f>
        <v/>
      </c>
    </row>
    <row r="11579">
      <c r="J11579">
        <f>IFERROR(__xludf.DUMMYFUNCTION("""COMPUTED_VALUE"""),"Toronto/Halifax/ St.John's")</f>
        <v/>
      </c>
      <c r="K11579">
        <f>IFERROR(__xludf.DUMMYFUNCTION("""COMPUTED_VALUE"""),2896.28)</f>
        <v/>
      </c>
    </row>
    <row r="11580">
      <c r="J11580">
        <f>IFERROR(__xludf.DUMMYFUNCTION("""COMPUTED_VALUE"""),"Saskatoon, Saskatchewan, Canada
Toronto, Ontario, Canada")</f>
        <v/>
      </c>
      <c r="K11580">
        <f>IFERROR(__xludf.DUMMYFUNCTION("""COMPUTED_VALUE"""),2896.21)</f>
        <v/>
      </c>
    </row>
    <row r="11581">
      <c r="J11581">
        <f>IFERROR(__xludf.DUMMYFUNCTION("""COMPUTED_VALUE"""),"Charlottetown, Prince Edward Island, Canada; Corner Brook, Newfoundland and Labrador, Canada; Rocky Harbour, Newfoundland and Labrador, Canada")</f>
        <v/>
      </c>
      <c r="K11581">
        <f>IFERROR(__xludf.DUMMYFUNCTION("""COMPUTED_VALUE"""),2896.19)</f>
        <v/>
      </c>
    </row>
    <row r="11582">
      <c r="J11582">
        <f>IFERROR(__xludf.DUMMYFUNCTION("""COMPUTED_VALUE"""),"Bridgetown, Barbados;
Kingston, Jamaica")</f>
        <v/>
      </c>
      <c r="K11582">
        <f>IFERROR(__xludf.DUMMYFUNCTION("""COMPUTED_VALUE"""),2895.99)</f>
        <v/>
      </c>
    </row>
    <row r="11583">
      <c r="J11583">
        <f>IFERROR(__xludf.DUMMYFUNCTION("""COMPUTED_VALUE"""),"Surrey, British Columbia, Canada; Richmond, British Columbia, Canada; Vancouver, British Columbia, Canada")</f>
        <v/>
      </c>
      <c r="K11583">
        <f>IFERROR(__xludf.DUMMYFUNCTION("""COMPUTED_VALUE"""),2894.05)</f>
        <v/>
      </c>
    </row>
    <row r="11584">
      <c r="J11584">
        <f>IFERROR(__xludf.DUMMYFUNCTION("""COMPUTED_VALUE"""),"Vancouver, British Columbia
Edmonton, Alberta
Calgary, Alberta
Winnipeg, Manitoba")</f>
        <v/>
      </c>
      <c r="K11584">
        <f>IFERROR(__xludf.DUMMYFUNCTION("""COMPUTED_VALUE"""),2893.41)</f>
        <v/>
      </c>
    </row>
    <row r="11585">
      <c r="J11585">
        <f>IFERROR(__xludf.DUMMYFUNCTION("""COMPUTED_VALUE"""),"Mayo, Yukon")</f>
        <v/>
      </c>
      <c r="K11585">
        <f>IFERROR(__xludf.DUMMYFUNCTION("""COMPUTED_VALUE"""),2892.88999999999)</f>
        <v/>
      </c>
    </row>
    <row r="11586">
      <c r="J11586">
        <f>IFERROR(__xludf.DUMMYFUNCTION("""COMPUTED_VALUE"""),"Ottawa, Ontario / Vancouver, British Columbia, Canada")</f>
        <v/>
      </c>
      <c r="K11586">
        <f>IFERROR(__xludf.DUMMYFUNCTION("""COMPUTED_VALUE"""),2892.54)</f>
        <v/>
      </c>
    </row>
    <row r="11587">
      <c r="J11587">
        <f>IFERROR(__xludf.DUMMYFUNCTION("""COMPUTED_VALUE"""),"Scarborough, ON")</f>
        <v/>
      </c>
      <c r="K11587">
        <f>IFERROR(__xludf.DUMMYFUNCTION("""COMPUTED_VALUE"""),2892.15)</f>
        <v/>
      </c>
    </row>
    <row r="11588">
      <c r="J11588">
        <f>IFERROR(__xludf.DUMMYFUNCTION("""COMPUTED_VALUE"""),"Charlottetown, Prince Edward Island; Halifax, Nova Scotia et London, Ontario")</f>
        <v/>
      </c>
      <c r="K11588">
        <f>IFERROR(__xludf.DUMMYFUNCTION("""COMPUTED_VALUE"""),2891.91)</f>
        <v/>
      </c>
    </row>
    <row r="11589">
      <c r="J11589">
        <f>IFERROR(__xludf.DUMMYFUNCTION("""COMPUTED_VALUE"""),"Washington  DC")</f>
        <v/>
      </c>
      <c r="K11589">
        <f>IFERROR(__xludf.DUMMYFUNCTION("""COMPUTED_VALUE"""),2891.56999999999)</f>
        <v/>
      </c>
    </row>
    <row r="11590">
      <c r="J11590">
        <f>IFERROR(__xludf.DUMMYFUNCTION("""COMPUTED_VALUE"""),"NYC")</f>
        <v/>
      </c>
      <c r="K11590">
        <f>IFERROR(__xludf.DUMMYFUNCTION("""COMPUTED_VALUE"""),2891.26)</f>
        <v/>
      </c>
    </row>
    <row r="11591">
      <c r="J11591">
        <f>IFERROR(__xludf.DUMMYFUNCTION("""COMPUTED_VALUE"""),"Halifax, NS St.John, NL")</f>
        <v/>
      </c>
      <c r="K11591">
        <f>IFERROR(__xludf.DUMMYFUNCTION("""COMPUTED_VALUE"""),2891.1)</f>
        <v/>
      </c>
    </row>
    <row r="11592">
      <c r="J11592">
        <f>IFERROR(__xludf.DUMMYFUNCTION("""COMPUTED_VALUE"""),"Toronto, Ontario  and Montreal, Quebec")</f>
        <v/>
      </c>
      <c r="K11592">
        <f>IFERROR(__xludf.DUMMYFUNCTION("""COMPUTED_VALUE"""),2891.05)</f>
        <v/>
      </c>
    </row>
    <row r="11593">
      <c r="J11593">
        <f>IFERROR(__xludf.DUMMYFUNCTION("""COMPUTED_VALUE"""),"Toronto, Ontario, Canada; Pickering, Ontario, Canada; Boucherville, Quebec, Canada; Beloeil, Quebec, Canada")</f>
        <v/>
      </c>
      <c r="K11593">
        <f>IFERROR(__xludf.DUMMYFUNCTION("""COMPUTED_VALUE"""),2890.88)</f>
        <v/>
      </c>
    </row>
    <row r="11594">
      <c r="J11594">
        <f>IFERROR(__xludf.DUMMYFUNCTION("""COMPUTED_VALUE"""),"St. John's, Newfoundland and Labrador, Canada; Moncton, NewBrunswick, Canada")</f>
        <v/>
      </c>
      <c r="K11594">
        <f>IFERROR(__xludf.DUMMYFUNCTION("""COMPUTED_VALUE"""),2890.51)</f>
        <v/>
      </c>
    </row>
    <row r="11595">
      <c r="J11595">
        <f>IFERROR(__xludf.DUMMYFUNCTION("""COMPUTED_VALUE"""),"MexicoCity, Mexico")</f>
        <v/>
      </c>
      <c r="K11595">
        <f>IFERROR(__xludf.DUMMYFUNCTION("""COMPUTED_VALUE"""),2890.23)</f>
        <v/>
      </c>
    </row>
    <row r="11596">
      <c r="J11596">
        <f>IFERROR(__xludf.DUMMYFUNCTION("""COMPUTED_VALUE"""),"Montréal and Québec city, Canada")</f>
        <v/>
      </c>
      <c r="K11596">
        <f>IFERROR(__xludf.DUMMYFUNCTION("""COMPUTED_VALUE"""),2889.49)</f>
        <v/>
      </c>
    </row>
    <row r="11597">
      <c r="J11597">
        <f>IFERROR(__xludf.DUMMYFUNCTION("""COMPUTED_VALUE"""),"Miami, Florida, United States of America")</f>
        <v/>
      </c>
      <c r="K11597">
        <f>IFERROR(__xludf.DUMMYFUNCTION("""COMPUTED_VALUE"""),2888.76)</f>
        <v/>
      </c>
    </row>
    <row r="11598">
      <c r="J11598">
        <f>IFERROR(__xludf.DUMMYFUNCTION("""COMPUTED_VALUE"""),"Toronto, Ontario, Canada; Fredericton, New Brunswick, Canada")</f>
        <v/>
      </c>
      <c r="K11598">
        <f>IFERROR(__xludf.DUMMYFUNCTION("""COMPUTED_VALUE"""),2888.69)</f>
        <v/>
      </c>
    </row>
    <row r="11599">
      <c r="J11599">
        <f>IFERROR(__xludf.DUMMYFUNCTION("""COMPUTED_VALUE"""),"Ottawa Ontario, Montreal Quebec")</f>
        <v/>
      </c>
      <c r="K11599">
        <f>IFERROR(__xludf.DUMMYFUNCTION("""COMPUTED_VALUE"""),2888.22)</f>
        <v/>
      </c>
    </row>
    <row r="11600">
      <c r="J11600">
        <f>IFERROR(__xludf.DUMMYFUNCTION("""COMPUTED_VALUE"""),"Vancouver (BC)Victoria (BC)")</f>
        <v/>
      </c>
      <c r="K11600">
        <f>IFERROR(__xludf.DUMMYFUNCTION("""COMPUTED_VALUE"""),2888.22)</f>
        <v/>
      </c>
    </row>
    <row r="11601">
      <c r="J11601">
        <f>IFERROR(__xludf.DUMMYFUNCTION("""COMPUTED_VALUE"""),"Ottawa, Ontario; Sydney and Ingonish, Nova Scotia")</f>
        <v/>
      </c>
      <c r="K11601">
        <f>IFERROR(__xludf.DUMMYFUNCTION("""COMPUTED_VALUE"""),2888.08)</f>
        <v/>
      </c>
    </row>
    <row r="11602">
      <c r="J11602">
        <f>IFERROR(__xludf.DUMMYFUNCTION("""COMPUTED_VALUE"""),"Montreal / Edmonton  Vancouver")</f>
        <v/>
      </c>
      <c r="K11602">
        <f>IFERROR(__xludf.DUMMYFUNCTION("""COMPUTED_VALUE"""),2887.16)</f>
        <v/>
      </c>
    </row>
    <row r="11603">
      <c r="J11603">
        <f>IFERROR(__xludf.DUMMYFUNCTION("""COMPUTED_VALUE"""),"St.John's, Newfoundland - Halifax, Nova Scotia")</f>
        <v/>
      </c>
      <c r="K11603">
        <f>IFERROR(__xludf.DUMMYFUNCTION("""COMPUTED_VALUE"""),2887.04)</f>
        <v/>
      </c>
    </row>
    <row r="11604">
      <c r="J11604">
        <f>IFERROR(__xludf.DUMMYFUNCTION("""COMPUTED_VALUE"""),"Vancouver, BC; Yellowknife, NT")</f>
        <v/>
      </c>
      <c r="K11604">
        <f>IFERROR(__xludf.DUMMYFUNCTION("""COMPUTED_VALUE"""),2886.91)</f>
        <v/>
      </c>
    </row>
    <row r="11605">
      <c r="J11605">
        <f>IFERROR(__xludf.DUMMYFUNCTION("""COMPUTED_VALUE"""),"Winnipeg, Manitoba, Canada; Nanaimo, British Columbia, Canada")</f>
        <v/>
      </c>
      <c r="K11605">
        <f>IFERROR(__xludf.DUMMYFUNCTION("""COMPUTED_VALUE"""),2886.58)</f>
        <v/>
      </c>
    </row>
    <row r="11606">
      <c r="J11606">
        <f>IFERROR(__xludf.DUMMYFUNCTION("""COMPUTED_VALUE"""),"Puerto Vallarta")</f>
        <v/>
      </c>
      <c r="K11606">
        <f>IFERROR(__xludf.DUMMYFUNCTION("""COMPUTED_VALUE"""),2886.54)</f>
        <v/>
      </c>
    </row>
    <row r="11607">
      <c r="J11607">
        <f>IFERROR(__xludf.DUMMYFUNCTION("""COMPUTED_VALUE"""),"Whitehorse / Vancouver")</f>
        <v/>
      </c>
      <c r="K11607">
        <f>IFERROR(__xludf.DUMMYFUNCTION("""COMPUTED_VALUE"""),2886.51)</f>
        <v/>
      </c>
    </row>
    <row r="11608">
      <c r="J11608">
        <f>IFERROR(__xludf.DUMMYFUNCTION("""COMPUTED_VALUE"""),"Washington - DC -- US")</f>
        <v/>
      </c>
      <c r="K11608">
        <f>IFERROR(__xludf.DUMMYFUNCTION("""COMPUTED_VALUE"""),2885.99)</f>
        <v/>
      </c>
    </row>
    <row r="11609">
      <c r="J11609">
        <f>IFERROR(__xludf.DUMMYFUNCTION("""COMPUTED_VALUE"""),"Yellowknife, Northwest Territories, CanadaVancouver, British Columbia, Canada")</f>
        <v/>
      </c>
      <c r="K11609">
        <f>IFERROR(__xludf.DUMMYFUNCTION("""COMPUTED_VALUE"""),2884.86)</f>
        <v/>
      </c>
    </row>
    <row r="11610">
      <c r="J11610">
        <f>IFERROR(__xludf.DUMMYFUNCTION("""COMPUTED_VALUE"""),"Regina, Saskatchewan, Canada; Winnipeg, Manitoba, Canada; Toronto, Ontario, Canada")</f>
        <v/>
      </c>
      <c r="K11610">
        <f>IFERROR(__xludf.DUMMYFUNCTION("""COMPUTED_VALUE"""),2884.24)</f>
        <v/>
      </c>
    </row>
    <row r="11611">
      <c r="J11611">
        <f>IFERROR(__xludf.DUMMYFUNCTION("""COMPUTED_VALUE"""),"Vancouver, BC; Whitehorse, YU")</f>
        <v/>
      </c>
      <c r="K11611">
        <f>IFERROR(__xludf.DUMMYFUNCTION("""COMPUTED_VALUE"""),2884.22)</f>
        <v/>
      </c>
    </row>
    <row r="11612">
      <c r="J11612">
        <f>IFERROR(__xludf.DUMMYFUNCTION("""COMPUTED_VALUE"""),"St.John's-Montreal-Moncton-Fredericton-Halifax-St. John's")</f>
        <v/>
      </c>
      <c r="K11612">
        <f>IFERROR(__xludf.DUMMYFUNCTION("""COMPUTED_VALUE"""),2883.48)</f>
        <v/>
      </c>
    </row>
    <row r="11613">
      <c r="J11613">
        <f>IFERROR(__xludf.DUMMYFUNCTION("""COMPUTED_VALUE"""),"Colorado Springs (Colorado) USA")</f>
        <v/>
      </c>
      <c r="K11613">
        <f>IFERROR(__xludf.DUMMYFUNCTION("""COMPUTED_VALUE"""),2883.03)</f>
        <v/>
      </c>
    </row>
    <row r="11614">
      <c r="J11614">
        <f>IFERROR(__xludf.DUMMYFUNCTION("""COMPUTED_VALUE"""),"Norfolk, Virginia, USA and Toronto, ON, Canada")</f>
        <v/>
      </c>
      <c r="K11614">
        <f>IFERROR(__xludf.DUMMYFUNCTION("""COMPUTED_VALUE"""),2882.98)</f>
        <v/>
      </c>
    </row>
    <row r="11615">
      <c r="J11615">
        <f>IFERROR(__xludf.DUMMYFUNCTION("""COMPUTED_VALUE"""),"Waterton Glacier, Alberta")</f>
        <v/>
      </c>
      <c r="K11615">
        <f>IFERROR(__xludf.DUMMYFUNCTION("""COMPUTED_VALUE"""),2882.87)</f>
        <v/>
      </c>
    </row>
    <row r="11616">
      <c r="J11616">
        <f>IFERROR(__xludf.DUMMYFUNCTION("""COMPUTED_VALUE"""),"Winnipeg, Vancouver")</f>
        <v/>
      </c>
      <c r="K11616">
        <f>IFERROR(__xludf.DUMMYFUNCTION("""COMPUTED_VALUE"""),2882.72)</f>
        <v/>
      </c>
    </row>
    <row r="11617">
      <c r="J11617">
        <f>IFERROR(__xludf.DUMMYFUNCTION("""COMPUTED_VALUE"""),"Onion Lake Cree Nation")</f>
        <v/>
      </c>
      <c r="K11617">
        <f>IFERROR(__xludf.DUMMYFUNCTION("""COMPUTED_VALUE"""),2882.59)</f>
        <v/>
      </c>
    </row>
    <row r="11618">
      <c r="J11618">
        <f>IFERROR(__xludf.DUMMYFUNCTION("""COMPUTED_VALUE"""),"Montreal, toronto, Canada")</f>
        <v/>
      </c>
      <c r="K11618">
        <f>IFERROR(__xludf.DUMMYFUNCTION("""COMPUTED_VALUE"""),2882.46)</f>
        <v/>
      </c>
    </row>
    <row r="11619">
      <c r="J11619">
        <f>IFERROR(__xludf.DUMMYFUNCTION("""COMPUTED_VALUE"""),"Winnipeg, Manitoba, Canada; Edmonton, Alberta, Canada; Vancouver, British Columbia, Canada")</f>
        <v/>
      </c>
      <c r="K11619">
        <f>IFERROR(__xludf.DUMMYFUNCTION("""COMPUTED_VALUE"""),2882.46)</f>
        <v/>
      </c>
    </row>
    <row r="11620">
      <c r="J11620">
        <f>IFERROR(__xludf.DUMMYFUNCTION("""COMPUTED_VALUE"""),"Montreal, Quebec, Canada Cambridge, Massachusetts, United States")</f>
        <v/>
      </c>
      <c r="K11620">
        <f>IFERROR(__xludf.DUMMYFUNCTION("""COMPUTED_VALUE"""),2881.93)</f>
        <v/>
      </c>
    </row>
    <row r="11621">
      <c r="J11621">
        <f>IFERROR(__xludf.DUMMYFUNCTION("""COMPUTED_VALUE"""),"Ottawa, Markham, Toronto, Ontario")</f>
        <v/>
      </c>
      <c r="K11621">
        <f>IFERROR(__xludf.DUMMYFUNCTION("""COMPUTED_VALUE"""),2881.09)</f>
        <v/>
      </c>
    </row>
    <row r="11622">
      <c r="J11622">
        <f>IFERROR(__xludf.DUMMYFUNCTION("""COMPUTED_VALUE"""),"Montreal, Quebec City")</f>
        <v/>
      </c>
      <c r="K11622">
        <f>IFERROR(__xludf.DUMMYFUNCTION("""COMPUTED_VALUE"""),2880.65)</f>
        <v/>
      </c>
    </row>
    <row r="11623">
      <c r="J11623">
        <f>IFERROR(__xludf.DUMMYFUNCTION("""COMPUTED_VALUE"""),"Lac-Mégantic")</f>
        <v/>
      </c>
      <c r="K11623">
        <f>IFERROR(__xludf.DUMMYFUNCTION("""COMPUTED_VALUE"""),2880.5)</f>
        <v/>
      </c>
    </row>
    <row r="11624">
      <c r="J11624">
        <f>IFERROR(__xludf.DUMMYFUNCTION("""COMPUTED_VALUE"""),"Orlando")</f>
        <v/>
      </c>
      <c r="K11624">
        <f>IFERROR(__xludf.DUMMYFUNCTION("""COMPUTED_VALUE"""),2878.83)</f>
        <v/>
      </c>
    </row>
    <row r="11625">
      <c r="J11625">
        <f>IFERROR(__xludf.DUMMYFUNCTION("""COMPUTED_VALUE"""),"Eglin Air Force Base, United States of America")</f>
        <v/>
      </c>
      <c r="K11625">
        <f>IFERROR(__xludf.DUMMYFUNCTION("""COMPUTED_VALUE"""),2878.8)</f>
        <v/>
      </c>
    </row>
    <row r="11626">
      <c r="J11626">
        <f>IFERROR(__xludf.DUMMYFUNCTION("""COMPUTED_VALUE"""),"Vancouver, BC, Canda")</f>
        <v/>
      </c>
      <c r="K11626">
        <f>IFERROR(__xludf.DUMMYFUNCTION("""COMPUTED_VALUE"""),2878.54)</f>
        <v/>
      </c>
    </row>
    <row r="11627">
      <c r="J11627">
        <f>IFERROR(__xludf.DUMMYFUNCTION("""COMPUTED_VALUE"""),"São Paulo, São Paulo, Brazil")</f>
        <v/>
      </c>
      <c r="K11627">
        <f>IFERROR(__xludf.DUMMYFUNCTION("""COMPUTED_VALUE"""),2878.31999999999)</f>
        <v/>
      </c>
    </row>
    <row r="11628">
      <c r="J11628">
        <f>IFERROR(__xludf.DUMMYFUNCTION("""COMPUTED_VALUE"""),"Lindsay, Ontario, Canada")</f>
        <v/>
      </c>
      <c r="K11628">
        <f>IFERROR(__xludf.DUMMYFUNCTION("""COMPUTED_VALUE"""),2878.19)</f>
        <v/>
      </c>
    </row>
    <row r="11629">
      <c r="J11629">
        <f>IFERROR(__xludf.DUMMYFUNCTION("""COMPUTED_VALUE"""),"Goderich, Ontario, Canada; Sarnia, Ontario, Canada; Kitchener, Ontario, Canada; Stratford, Ontario, Canada")</f>
        <v/>
      </c>
      <c r="K11629">
        <f>IFERROR(__xludf.DUMMYFUNCTION("""COMPUTED_VALUE"""),2877.04)</f>
        <v/>
      </c>
    </row>
    <row r="11630">
      <c r="J11630">
        <f>IFERROR(__xludf.DUMMYFUNCTION("""COMPUTED_VALUE"""),"Saint Andrews by the Sea, New Brunswick, Canada - Halifax, Nova Scotia, Canada")</f>
        <v/>
      </c>
      <c r="K11630">
        <f>IFERROR(__xludf.DUMMYFUNCTION("""COMPUTED_VALUE"""),2876.79)</f>
        <v/>
      </c>
    </row>
    <row r="11631">
      <c r="J11631">
        <f>IFERROR(__xludf.DUMMYFUNCTION("""COMPUTED_VALUE"""),"Toronto, Ontario, Canada; Ottawa, Ontario, Canada; Hamilton, Ontario, Canada; Gatineau, Quebec, Canada; Moncton, New Brunswick, Canada")</f>
        <v/>
      </c>
      <c r="K11631">
        <f>IFERROR(__xludf.DUMMYFUNCTION("""COMPUTED_VALUE"""),2875.65)</f>
        <v/>
      </c>
    </row>
    <row r="11632">
      <c r="J11632">
        <f>IFERROR(__xludf.DUMMYFUNCTION("""COMPUTED_VALUE"""),"Terrace and Vancouver, British Columbia")</f>
        <v/>
      </c>
      <c r="K11632">
        <f>IFERROR(__xludf.DUMMYFUNCTION("""COMPUTED_VALUE"""),2875.44)</f>
        <v/>
      </c>
    </row>
    <row r="11633">
      <c r="J11633">
        <f>IFERROR(__xludf.DUMMYFUNCTION("""COMPUTED_VALUE"""),"Montreal, Quebec; Kingston, Ontario")</f>
        <v/>
      </c>
      <c r="K11633">
        <f>IFERROR(__xludf.DUMMYFUNCTION("""COMPUTED_VALUE"""),2875.25)</f>
        <v/>
      </c>
    </row>
    <row r="11634">
      <c r="J11634">
        <f>IFERROR(__xludf.DUMMYFUNCTION("""COMPUTED_VALUE"""),"Yarmouth, Nova Scotia, Canada; Kentville, Nova Scotia, Canada")</f>
        <v/>
      </c>
      <c r="K11634">
        <f>IFERROR(__xludf.DUMMYFUNCTION("""COMPUTED_VALUE"""),2874.39)</f>
        <v/>
      </c>
    </row>
    <row r="11635">
      <c r="J11635">
        <f>IFERROR(__xludf.DUMMYFUNCTION("""COMPUTED_VALUE"""),"Ottawa Via private car")</f>
        <v/>
      </c>
      <c r="K11635">
        <f>IFERROR(__xludf.DUMMYFUNCTION("""COMPUTED_VALUE"""),2874.08999999999)</f>
        <v/>
      </c>
    </row>
    <row r="11636">
      <c r="J11636">
        <f>IFERROR(__xludf.DUMMYFUNCTION("""COMPUTED_VALUE"""),"Waterton, Calgary, Banff, Alberta")</f>
        <v/>
      </c>
      <c r="K11636">
        <f>IFERROR(__xludf.DUMMYFUNCTION("""COMPUTED_VALUE"""),2874.03)</f>
        <v/>
      </c>
    </row>
    <row r="11637">
      <c r="J11637">
        <f>IFERROR(__xludf.DUMMYFUNCTION("""COMPUTED_VALUE"""),"Saguenay, Quebec, Canada; Sherbrooke, Quebec, Canada; Laval, Quebec, Canada; Terrebonne, Quebec, Canada")</f>
        <v/>
      </c>
      <c r="K11637">
        <f>IFERROR(__xludf.DUMMYFUNCTION("""COMPUTED_VALUE"""),2874.01)</f>
        <v/>
      </c>
    </row>
    <row r="11638">
      <c r="J11638">
        <f>IFERROR(__xludf.DUMMYFUNCTION("""COMPUTED_VALUE"""),"Calgary AB, Edmonton AB")</f>
        <v/>
      </c>
      <c r="K11638">
        <f>IFERROR(__xludf.DUMMYFUNCTION("""COMPUTED_VALUE"""),2872.95)</f>
        <v/>
      </c>
    </row>
    <row r="11639">
      <c r="J11639">
        <f>IFERROR(__xludf.DUMMYFUNCTION("""COMPUTED_VALUE"""),"KANATA, OTTAWA, VICTORIA, COMOX, VANCOUVER, OTTAWA, KANATA")</f>
        <v/>
      </c>
      <c r="K11639">
        <f>IFERROR(__xludf.DUMMYFUNCTION("""COMPUTED_VALUE"""),2872.44)</f>
        <v/>
      </c>
    </row>
    <row r="11640">
      <c r="J11640">
        <f>IFERROR(__xludf.DUMMYFUNCTION("""COMPUTED_VALUE"""),"Hamilton &amp; Toronto")</f>
        <v/>
      </c>
      <c r="K11640">
        <f>IFERROR(__xludf.DUMMYFUNCTION("""COMPUTED_VALUE"""),2872.42)</f>
        <v/>
      </c>
    </row>
    <row r="11641">
      <c r="J11641">
        <f>IFERROR(__xludf.DUMMYFUNCTION("""COMPUTED_VALUE"""),"Ottawa, ON - St. John's, NL / St. John's, NL - Ottawa, ON")</f>
        <v/>
      </c>
      <c r="K11641">
        <f>IFERROR(__xludf.DUMMYFUNCTION("""COMPUTED_VALUE"""),2871.93)</f>
        <v/>
      </c>
    </row>
    <row r="11642">
      <c r="J11642">
        <f>IFERROR(__xludf.DUMMYFUNCTION("""COMPUTED_VALUE"""),"Niagara, Toronto and Oakville, Ontario, Canada")</f>
        <v/>
      </c>
      <c r="K11642">
        <f>IFERROR(__xludf.DUMMYFUNCTION("""COMPUTED_VALUE"""),2870.48)</f>
        <v/>
      </c>
    </row>
    <row r="11643">
      <c r="J11643">
        <f>IFERROR(__xludf.DUMMYFUNCTION("""COMPUTED_VALUE"""),"Halifax, Nova Scotia; Oromocto, New Brunswick")</f>
        <v/>
      </c>
      <c r="K11643">
        <f>IFERROR(__xludf.DUMMYFUNCTION("""COMPUTED_VALUE"""),2870.29)</f>
        <v/>
      </c>
    </row>
    <row r="11644">
      <c r="J11644">
        <f>IFERROR(__xludf.DUMMYFUNCTION("""COMPUTED_VALUE"""),"Edmonton Victoria")</f>
        <v/>
      </c>
      <c r="K11644">
        <f>IFERROR(__xludf.DUMMYFUNCTION("""COMPUTED_VALUE"""),2870.13)</f>
        <v/>
      </c>
    </row>
    <row r="11645">
      <c r="J11645">
        <f>IFERROR(__xludf.DUMMYFUNCTION("""COMPUTED_VALUE"""),"Citadelle (Québec) Canada")</f>
        <v/>
      </c>
      <c r="K11645">
        <f>IFERROR(__xludf.DUMMYFUNCTION("""COMPUTED_VALUE"""),2869.64)</f>
        <v/>
      </c>
    </row>
    <row r="11646">
      <c r="J11646">
        <f>IFERROR(__xludf.DUMMYFUNCTION("""COMPUTED_VALUE"""),"Toronto, ON,  Vancouver, Victoria, BC")</f>
        <v/>
      </c>
      <c r="K11646">
        <f>IFERROR(__xludf.DUMMYFUNCTION("""COMPUTED_VALUE"""),2869.6)</f>
        <v/>
      </c>
    </row>
    <row r="11647">
      <c r="J11647">
        <f>IFERROR(__xludf.DUMMYFUNCTION("""COMPUTED_VALUE"""),"Charlottetown, Prince Edward Island, Canada; Toronto, Ontario, Canada; London, Ontario, Canada")</f>
        <v/>
      </c>
      <c r="K11647">
        <f>IFERROR(__xludf.DUMMYFUNCTION("""COMPUTED_VALUE"""),2868.98)</f>
        <v/>
      </c>
    </row>
    <row r="11648">
      <c r="J11648">
        <f>IFERROR(__xludf.DUMMYFUNCTION("""COMPUTED_VALUE"""),"Wakefield, Québec / Banff, Alberta")</f>
        <v/>
      </c>
      <c r="K11648">
        <f>IFERROR(__xludf.DUMMYFUNCTION("""COMPUTED_VALUE"""),2868.58)</f>
        <v/>
      </c>
    </row>
    <row r="11649">
      <c r="J11649">
        <f>IFERROR(__xludf.DUMMYFUNCTION("""COMPUTED_VALUE"""),"Edmonton, Alberta, Canada; Fort McMurray, Alberta, Canada")</f>
        <v/>
      </c>
      <c r="K11649">
        <f>IFERROR(__xludf.DUMMYFUNCTION("""COMPUTED_VALUE"""),2868.42)</f>
        <v/>
      </c>
    </row>
    <row r="11650">
      <c r="J11650">
        <f>IFERROR(__xludf.DUMMYFUNCTION("""COMPUTED_VALUE"""),"Washington, D.C.
Kingston, Ontario")</f>
        <v/>
      </c>
      <c r="K11650">
        <f>IFERROR(__xludf.DUMMYFUNCTION("""COMPUTED_VALUE"""),2868.42)</f>
        <v/>
      </c>
    </row>
    <row r="11651">
      <c r="J11651">
        <f>IFERROR(__xludf.DUMMYFUNCTION("""COMPUTED_VALUE"""),"Toronto, Boston")</f>
        <v/>
      </c>
      <c r="K11651">
        <f>IFERROR(__xludf.DUMMYFUNCTION("""COMPUTED_VALUE"""),2867.64)</f>
        <v/>
      </c>
    </row>
    <row r="11652">
      <c r="J11652">
        <f>IFERROR(__xludf.DUMMYFUNCTION("""COMPUTED_VALUE"""),"Miami, FL, U.S.A.")</f>
        <v/>
      </c>
      <c r="K11652">
        <f>IFERROR(__xludf.DUMMYFUNCTION("""COMPUTED_VALUE"""),2866.83)</f>
        <v/>
      </c>
    </row>
    <row r="11653">
      <c r="J11653">
        <f>IFERROR(__xludf.DUMMYFUNCTION("""COMPUTED_VALUE"""),"Vancouver, British Columbia, Canada; Nanaimo, British Columbia, Canada; Victoria, British Columbia, Canada")</f>
        <v/>
      </c>
      <c r="K11653">
        <f>IFERROR(__xludf.DUMMYFUNCTION("""COMPUTED_VALUE"""),2866.75999999999)</f>
        <v/>
      </c>
    </row>
    <row r="11654">
      <c r="J11654">
        <f>IFERROR(__xludf.DUMMYFUNCTION("""COMPUTED_VALUE"""),"Montreal - Berlin - Ottawa")</f>
        <v/>
      </c>
      <c r="K11654">
        <f>IFERROR(__xludf.DUMMYFUNCTION("""COMPUTED_VALUE"""),2866.55)</f>
        <v/>
      </c>
    </row>
    <row r="11655">
      <c r="J11655">
        <f>IFERROR(__xludf.DUMMYFUNCTION("""COMPUTED_VALUE"""),"Quantico, Virginia, USA")</f>
        <v/>
      </c>
      <c r="K11655">
        <f>IFERROR(__xludf.DUMMYFUNCTION("""COMPUTED_VALUE"""),2866.17)</f>
        <v/>
      </c>
    </row>
    <row r="11656">
      <c r="J11656">
        <f>IFERROR(__xludf.DUMMYFUNCTION("""COMPUTED_VALUE"""),"Montreal. Quebec, Canada; Shawinigan, Quebec, Canada; Trois-Rivieres, Quebec, Canada; Châteauguay, Quebec, Canada")</f>
        <v/>
      </c>
      <c r="K11656">
        <f>IFERROR(__xludf.DUMMYFUNCTION("""COMPUTED_VALUE"""),2865.34)</f>
        <v/>
      </c>
    </row>
    <row r="11657">
      <c r="J11657">
        <f>IFERROR(__xludf.DUMMYFUNCTION("""COMPUTED_VALUE"""),"Ottawa, Ontario; Edmonton and Calgary, Alberta")</f>
        <v/>
      </c>
      <c r="K11657">
        <f>IFERROR(__xludf.DUMMYFUNCTION("""COMPUTED_VALUE"""),2865.11)</f>
        <v/>
      </c>
    </row>
    <row r="11658">
      <c r="J11658">
        <f>IFERROR(__xludf.DUMMYFUNCTION("""COMPUTED_VALUE"""),"Yellowknife, Northwest Territories and Whitehorse, Yukon")</f>
        <v/>
      </c>
      <c r="K11658">
        <f>IFERROR(__xludf.DUMMYFUNCTION("""COMPUTED_VALUE"""),2863.2)</f>
        <v/>
      </c>
    </row>
    <row r="11659">
      <c r="J11659">
        <f>IFERROR(__xludf.DUMMYFUNCTION("""COMPUTED_VALUE"""),"Edmonton, AB / Saskatoon, SK / Mississauga, ON")</f>
        <v/>
      </c>
      <c r="K11659">
        <f>IFERROR(__xludf.DUMMYFUNCTION("""COMPUTED_VALUE"""),2863.08)</f>
        <v/>
      </c>
    </row>
    <row r="11660">
      <c r="J11660">
        <f>IFERROR(__xludf.DUMMYFUNCTION("""COMPUTED_VALUE"""),"Edmonton, AB - Calgary, AB - Saskatchewan, SK")</f>
        <v/>
      </c>
      <c r="K11660">
        <f>IFERROR(__xludf.DUMMYFUNCTION("""COMPUTED_VALUE"""),2862.15)</f>
        <v/>
      </c>
    </row>
    <row r="11661">
      <c r="J11661">
        <f>IFERROR(__xludf.DUMMYFUNCTION("""COMPUTED_VALUE"""),"St. John's (Newfoundland and Labrador) Canada; Charlottetown (Prince Edward Island) Canada; Summerside (Prince Edward Island) Canada")</f>
        <v/>
      </c>
      <c r="K11661">
        <f>IFERROR(__xludf.DUMMYFUNCTION("""COMPUTED_VALUE"""),2862.02)</f>
        <v/>
      </c>
    </row>
    <row r="11662">
      <c r="J11662">
        <f>IFERROR(__xludf.DUMMYFUNCTION("""COMPUTED_VALUE"""),"Kitchener, Ontario, Canada / Ottawa, Ontario, Canada / Montreal, Quebec, Canada / Halifax, Nova Scotia, Canada")</f>
        <v/>
      </c>
      <c r="K11662">
        <f>IFERROR(__xludf.DUMMYFUNCTION("""COMPUTED_VALUE"""),2861.02)</f>
        <v/>
      </c>
    </row>
    <row r="11663">
      <c r="J11663">
        <f>IFERROR(__xludf.DUMMYFUNCTION("""COMPUTED_VALUE"""),"Bridgetown, Barbardos")</f>
        <v/>
      </c>
      <c r="K11663">
        <f>IFERROR(__xludf.DUMMYFUNCTION("""COMPUTED_VALUE"""),2860.65)</f>
        <v/>
      </c>
    </row>
    <row r="11664">
      <c r="J11664">
        <f>IFERROR(__xludf.DUMMYFUNCTION("""COMPUTED_VALUE"""),"Edmonton, AB, Saskatoon, SK Canada")</f>
        <v/>
      </c>
      <c r="K11664">
        <f>IFERROR(__xludf.DUMMYFUNCTION("""COMPUTED_VALUE"""),2860.33)</f>
        <v/>
      </c>
    </row>
    <row r="11665">
      <c r="J11665">
        <f>IFERROR(__xludf.DUMMYFUNCTION("""COMPUTED_VALUE"""),"Hamilton, Ontario, Canada;                   Toronto, Ontario, Canada")</f>
        <v/>
      </c>
      <c r="K11665">
        <f>IFERROR(__xludf.DUMMYFUNCTION("""COMPUTED_VALUE"""),2860.24)</f>
        <v/>
      </c>
    </row>
    <row r="11666">
      <c r="J11666">
        <f>IFERROR(__xludf.DUMMYFUNCTION("""COMPUTED_VALUE"""),"Vancouver, Victoria, Penticton, BC and Edmonton, AB")</f>
        <v/>
      </c>
      <c r="K11666">
        <f>IFERROR(__xludf.DUMMYFUNCTION("""COMPUTED_VALUE"""),2859.82)</f>
        <v/>
      </c>
    </row>
    <row r="11667">
      <c r="J11667">
        <f>IFERROR(__xludf.DUMMYFUNCTION("""COMPUTED_VALUE"""),"Esquimalt, British Columbia, Canada
Ottawa, Ontario, Canada")</f>
        <v/>
      </c>
      <c r="K11667">
        <f>IFERROR(__xludf.DUMMYFUNCTION("""COMPUTED_VALUE"""),2859.56)</f>
        <v/>
      </c>
    </row>
    <row r="11668">
      <c r="J11668">
        <f>IFERROR(__xludf.DUMMYFUNCTION("""COMPUTED_VALUE"""),"Edmonton/Hamilton/Toronto")</f>
        <v/>
      </c>
      <c r="K11668">
        <f>IFERROR(__xludf.DUMMYFUNCTION("""COMPUTED_VALUE"""),2858.76)</f>
        <v/>
      </c>
    </row>
    <row r="11669">
      <c r="J11669">
        <f>IFERROR(__xludf.DUMMYFUNCTION("""COMPUTED_VALUE"""),"Whitecap, Saskatchewan, Canada")</f>
        <v/>
      </c>
      <c r="K11669">
        <f>IFERROR(__xludf.DUMMYFUNCTION("""COMPUTED_VALUE"""),2858.64)</f>
        <v/>
      </c>
    </row>
    <row r="11670">
      <c r="J11670">
        <f>IFERROR(__xludf.DUMMYFUNCTION("""COMPUTED_VALUE"""),"Saint John, NB - Ottawa, ON / Ottawa, ON - Saint John, NB")</f>
        <v/>
      </c>
      <c r="K11670">
        <f>IFERROR(__xludf.DUMMYFUNCTION("""COMPUTED_VALUE"""),2857.96)</f>
        <v/>
      </c>
    </row>
    <row r="11671">
      <c r="J11671">
        <f>IFERROR(__xludf.DUMMYFUNCTION("""COMPUTED_VALUE"""),"Vancouver, BC, Victoria")</f>
        <v/>
      </c>
      <c r="K11671">
        <f>IFERROR(__xludf.DUMMYFUNCTION("""COMPUTED_VALUE"""),2857.96)</f>
        <v/>
      </c>
    </row>
    <row r="11672">
      <c r="J11672">
        <f>IFERROR(__xludf.DUMMYFUNCTION("""COMPUTED_VALUE"""),"Belfast, N. Ireland")</f>
        <v/>
      </c>
      <c r="K11672">
        <f>IFERROR(__xludf.DUMMYFUNCTION("""COMPUTED_VALUE"""),2857.57)</f>
        <v/>
      </c>
    </row>
    <row r="11673">
      <c r="J11673">
        <f>IFERROR(__xludf.DUMMYFUNCTION("""COMPUTED_VALUE"""),"London, Ontario, Canada; Niagara Falls, Ontario, Canada")</f>
        <v/>
      </c>
      <c r="K11673">
        <f>IFERROR(__xludf.DUMMYFUNCTION("""COMPUTED_VALUE"""),2856.44)</f>
        <v/>
      </c>
    </row>
    <row r="11674">
      <c r="J11674">
        <f>IFERROR(__xludf.DUMMYFUNCTION("""COMPUTED_VALUE"""),"Ottawa-Toronto-Vancouver-Toronto-St.John's")</f>
        <v/>
      </c>
      <c r="K11674">
        <f>IFERROR(__xludf.DUMMYFUNCTION("""COMPUTED_VALUE"""),2856.15)</f>
        <v/>
      </c>
    </row>
    <row r="11675">
      <c r="J11675">
        <f>IFERROR(__xludf.DUMMYFUNCTION("""COMPUTED_VALUE"""),"NCR")</f>
        <v/>
      </c>
      <c r="K11675">
        <f>IFERROR(__xludf.DUMMYFUNCTION("""COMPUTED_VALUE"""),2855.6)</f>
        <v/>
      </c>
    </row>
    <row r="11676">
      <c r="J11676">
        <f>IFERROR(__xludf.DUMMYFUNCTION("""COMPUTED_VALUE"""),"Prince Edward Island, Newfoundland")</f>
        <v/>
      </c>
      <c r="K11676">
        <f>IFERROR(__xludf.DUMMYFUNCTION("""COMPUTED_VALUE"""),2855)</f>
        <v/>
      </c>
    </row>
    <row r="11677">
      <c r="J11677">
        <f>IFERROR(__xludf.DUMMYFUNCTION("""COMPUTED_VALUE"""),"Saskatoon, SK; Calgary, AB; Regina, SK")</f>
        <v/>
      </c>
      <c r="K11677">
        <f>IFERROR(__xludf.DUMMYFUNCTION("""COMPUTED_VALUE"""),2854.69)</f>
        <v/>
      </c>
    </row>
    <row r="11678">
      <c r="J11678">
        <f>IFERROR(__xludf.DUMMYFUNCTION("""COMPUTED_VALUE"""),"Chihuahua, Mexico")</f>
        <v/>
      </c>
      <c r="K11678">
        <f>IFERROR(__xludf.DUMMYFUNCTION("""COMPUTED_VALUE"""),2854.42)</f>
        <v/>
      </c>
    </row>
    <row r="11679">
      <c r="J11679">
        <f>IFERROR(__xludf.DUMMYFUNCTION("""COMPUTED_VALUE"""),"Regina, Saskatchewan; Edmonton, Alberta, Canada")</f>
        <v/>
      </c>
      <c r="K11679">
        <f>IFERROR(__xludf.DUMMYFUNCTION("""COMPUTED_VALUE"""),2854.21)</f>
        <v/>
      </c>
    </row>
    <row r="11680">
      <c r="J11680">
        <f>IFERROR(__xludf.DUMMYFUNCTION("""COMPUTED_VALUE"""),"Toronto, Ontario, Canada; Edmonton, Alberta, Canada; Fort Erie, Ontario, Canada")</f>
        <v/>
      </c>
      <c r="K11680">
        <f>IFERROR(__xludf.DUMMYFUNCTION("""COMPUTED_VALUE"""),2853.9)</f>
        <v/>
      </c>
    </row>
    <row r="11681">
      <c r="J11681">
        <f>IFERROR(__xludf.DUMMYFUNCTION("""COMPUTED_VALUE"""),"St. John's, Newfoundland and Labrador , Canada and Halifax, Nova Scotia, Canada")</f>
        <v/>
      </c>
      <c r="K11681">
        <f>IFERROR(__xludf.DUMMYFUNCTION("""COMPUTED_VALUE"""),2853.36)</f>
        <v/>
      </c>
    </row>
    <row r="11682">
      <c r="J11682">
        <f>IFERROR(__xludf.DUMMYFUNCTION("""COMPUTED_VALUE"""),"Honolulu (Hawaii) United States")</f>
        <v/>
      </c>
      <c r="K11682">
        <f>IFERROR(__xludf.DUMMYFUNCTION("""COMPUTED_VALUE"""),2853.3)</f>
        <v/>
      </c>
    </row>
    <row r="11683">
      <c r="J11683">
        <f>IFERROR(__xludf.DUMMYFUNCTION("""COMPUTED_VALUE"""),"Halifax, NS Charlottetown, PEI")</f>
        <v/>
      </c>
      <c r="K11683">
        <f>IFERROR(__xludf.DUMMYFUNCTION("""COMPUTED_VALUE"""),2852.96)</f>
        <v/>
      </c>
    </row>
    <row r="11684">
      <c r="J11684">
        <f>IFERROR(__xludf.DUMMYFUNCTION("""COMPUTED_VALUE"""),"Halifax, Nova Scotia/ Gaspésie, Québec")</f>
        <v/>
      </c>
      <c r="K11684">
        <f>IFERROR(__xludf.DUMMYFUNCTION("""COMPUTED_VALUE"""),2852.66)</f>
        <v/>
      </c>
    </row>
    <row r="11685">
      <c r="J11685">
        <f>IFERROR(__xludf.DUMMYFUNCTION("""COMPUTED_VALUE"""),"Quebec City and Washington DC")</f>
        <v/>
      </c>
      <c r="K11685">
        <f>IFERROR(__xludf.DUMMYFUNCTION("""COMPUTED_VALUE"""),2852.54)</f>
        <v/>
      </c>
    </row>
    <row r="11686">
      <c r="J11686">
        <f>IFERROR(__xludf.DUMMYFUNCTION("""COMPUTED_VALUE"""),"Windsor and Waterloo, Ontario, Canada")</f>
        <v/>
      </c>
      <c r="K11686">
        <f>IFERROR(__xludf.DUMMYFUNCTION("""COMPUTED_VALUE"""),2852.22)</f>
        <v/>
      </c>
    </row>
    <row r="11687">
      <c r="J11687">
        <f>IFERROR(__xludf.DUMMYFUNCTION("""COMPUTED_VALUE"""),"Ithaca, New York and Cooperstown, New York")</f>
        <v/>
      </c>
      <c r="K11687">
        <f>IFERROR(__xludf.DUMMYFUNCTION("""COMPUTED_VALUE"""),2851.8)</f>
        <v/>
      </c>
    </row>
    <row r="11688">
      <c r="J11688">
        <f>IFERROR(__xludf.DUMMYFUNCTION("""COMPUTED_VALUE"""),"Halifax, (Nova Scotia), Charlottetown (Prince Edward Island), Moncton (New Brunswick)")</f>
        <v/>
      </c>
      <c r="K11688">
        <f>IFERROR(__xludf.DUMMYFUNCTION("""COMPUTED_VALUE"""),2851.66)</f>
        <v/>
      </c>
    </row>
    <row r="11689">
      <c r="J11689">
        <f>IFERROR(__xludf.DUMMYFUNCTION("""COMPUTED_VALUE"""),"Edmonton, Alberta; Grande Prairie, Alberta")</f>
        <v/>
      </c>
      <c r="K11689">
        <f>IFERROR(__xludf.DUMMYFUNCTION("""COMPUTED_VALUE"""),2850.75)</f>
        <v/>
      </c>
    </row>
    <row r="11690">
      <c r="J11690">
        <f>IFERROR(__xludf.DUMMYFUNCTION("""COMPUTED_VALUE"""),"Vancouver and Prince Rupert, British Columbia")</f>
        <v/>
      </c>
      <c r="K11690">
        <f>IFERROR(__xludf.DUMMYFUNCTION("""COMPUTED_VALUE"""),2850.48)</f>
        <v/>
      </c>
    </row>
    <row r="11691">
      <c r="J11691">
        <f>IFERROR(__xludf.DUMMYFUNCTION("""COMPUTED_VALUE"""),"Moncton, New Brunswick, Canada/ Cape Breton, New Brunswick, Canada")</f>
        <v/>
      </c>
      <c r="K11691">
        <f>IFERROR(__xludf.DUMMYFUNCTION("""COMPUTED_VALUE"""),2849.55)</f>
        <v/>
      </c>
    </row>
    <row r="11692">
      <c r="J11692">
        <f>IFERROR(__xludf.DUMMYFUNCTION("""COMPUTED_VALUE"""),"Dublin Ireland")</f>
        <v/>
      </c>
      <c r="K11692">
        <f>IFERROR(__xludf.DUMMYFUNCTION("""COMPUTED_VALUE"""),2849.45)</f>
        <v/>
      </c>
    </row>
    <row r="11693">
      <c r="J11693">
        <f>IFERROR(__xludf.DUMMYFUNCTION("""COMPUTED_VALUE"""),"Edmonton, Saskatoon")</f>
        <v/>
      </c>
      <c r="K11693">
        <f>IFERROR(__xludf.DUMMYFUNCTION("""COMPUTED_VALUE"""),2849.39)</f>
        <v/>
      </c>
    </row>
    <row r="11694">
      <c r="J11694">
        <f>IFERROR(__xludf.DUMMYFUNCTION("""COMPUTED_VALUE"""),"Mont-Joli, Matane, (Quebec)")</f>
        <v/>
      </c>
      <c r="K11694">
        <f>IFERROR(__xludf.DUMMYFUNCTION("""COMPUTED_VALUE"""),2848.87)</f>
        <v/>
      </c>
    </row>
    <row r="11695">
      <c r="J11695">
        <f>IFERROR(__xludf.DUMMYFUNCTION("""COMPUTED_VALUE"""),"Montreal/Toronto/Winnipeg")</f>
        <v/>
      </c>
      <c r="K11695">
        <f>IFERROR(__xludf.DUMMYFUNCTION("""COMPUTED_VALUE"""),2848.83)</f>
        <v/>
      </c>
    </row>
    <row r="11696">
      <c r="J11696">
        <f>IFERROR(__xludf.DUMMYFUNCTION("""COMPUTED_VALUE"""),"Toronto, Ontario / Calgary, Alberta")</f>
        <v/>
      </c>
      <c r="K11696">
        <f>IFERROR(__xludf.DUMMYFUNCTION("""COMPUTED_VALUE"""),2847.99)</f>
        <v/>
      </c>
    </row>
    <row r="11697">
      <c r="J11697">
        <f>IFERROR(__xludf.DUMMYFUNCTION("""COMPUTED_VALUE"""),"Quebec City, QC, St. John's, NF")</f>
        <v/>
      </c>
      <c r="K11697">
        <f>IFERROR(__xludf.DUMMYFUNCTION("""COMPUTED_VALUE"""),2847.69)</f>
        <v/>
      </c>
    </row>
    <row r="11698">
      <c r="J11698">
        <f>IFERROR(__xludf.DUMMYFUNCTION("""COMPUTED_VALUE"""),"Edmonton, Alberta; Fort McMurray, Alberta")</f>
        <v/>
      </c>
      <c r="K11698">
        <f>IFERROR(__xludf.DUMMYFUNCTION("""COMPUTED_VALUE"""),2847.47)</f>
        <v/>
      </c>
    </row>
    <row r="11699">
      <c r="J11699">
        <f>IFERROR(__xludf.DUMMYFUNCTION("""COMPUTED_VALUE"""),"Edmonton (Alberta) Canada, Calgary (Alberta) Canada")</f>
        <v/>
      </c>
      <c r="K11699">
        <f>IFERROR(__xludf.DUMMYFUNCTION("""COMPUTED_VALUE"""),2847.45)</f>
        <v/>
      </c>
    </row>
    <row r="11700">
      <c r="J11700">
        <f>IFERROR(__xludf.DUMMYFUNCTION("""COMPUTED_VALUE"""),"Vancouver, British Columbia, Canada; Terrace, British Columbia, Canada; Prince George, British Columbia, Canada; Ottawa, Ontario, Canada; Toronto, Ontario, Canada")</f>
        <v/>
      </c>
      <c r="K11700">
        <f>IFERROR(__xludf.DUMMYFUNCTION("""COMPUTED_VALUE"""),2847.37)</f>
        <v/>
      </c>
    </row>
    <row r="11701">
      <c r="J11701">
        <f>IFERROR(__xludf.DUMMYFUNCTION("""COMPUTED_VALUE"""),"Pasco, Washington - Seattle, Washington - Richland, Washington")</f>
        <v/>
      </c>
      <c r="K11701">
        <f>IFERROR(__xludf.DUMMYFUNCTION("""COMPUTED_VALUE"""),2846.44)</f>
        <v/>
      </c>
    </row>
    <row r="11702">
      <c r="J11702">
        <f>IFERROR(__xludf.DUMMYFUNCTION("""COMPUTED_VALUE"""),"Nanaimo , British Columbia")</f>
        <v/>
      </c>
      <c r="K11702">
        <f>IFERROR(__xludf.DUMMYFUNCTION("""COMPUTED_VALUE"""),2845.46)</f>
        <v/>
      </c>
    </row>
    <row r="11703">
      <c r="J11703">
        <f>IFERROR(__xludf.DUMMYFUNCTION("""COMPUTED_VALUE"""),"Halifax, Nova Scotia / Moncton, New Brunswick / Saint John, New Brunswick, London, Ontario, Canada")</f>
        <v/>
      </c>
      <c r="K11703">
        <f>IFERROR(__xludf.DUMMYFUNCTION("""COMPUTED_VALUE"""),2845.4)</f>
        <v/>
      </c>
    </row>
    <row r="11704">
      <c r="J11704">
        <f>IFERROR(__xludf.DUMMYFUNCTION("""COMPUTED_VALUE"""),"Toronto, Ontario London, Ontario, Saskatoon, Saskatchewan")</f>
        <v/>
      </c>
      <c r="K11704">
        <f>IFERROR(__xludf.DUMMYFUNCTION("""COMPUTED_VALUE"""),2845.32)</f>
        <v/>
      </c>
    </row>
    <row r="11705">
      <c r="J11705">
        <f>IFERROR(__xludf.DUMMYFUNCTION("""COMPUTED_VALUE"""),"Moorestown, New Jersey, United States")</f>
        <v/>
      </c>
      <c r="K11705">
        <f>IFERROR(__xludf.DUMMYFUNCTION("""COMPUTED_VALUE"""),2845.27)</f>
        <v/>
      </c>
    </row>
    <row r="11706">
      <c r="J11706">
        <f>IFERROR(__xludf.DUMMYFUNCTION("""COMPUTED_VALUE"""),"San Juan, Puerto Rico, USA")</f>
        <v/>
      </c>
      <c r="K11706">
        <f>IFERROR(__xludf.DUMMYFUNCTION("""COMPUTED_VALUE"""),2845.12)</f>
        <v/>
      </c>
    </row>
    <row r="11707">
      <c r="J11707">
        <f>IFERROR(__xludf.DUMMYFUNCTION("""COMPUTED_VALUE"""),"Greensboro, NC")</f>
        <v/>
      </c>
      <c r="K11707">
        <f>IFERROR(__xludf.DUMMYFUNCTION("""COMPUTED_VALUE"""),2845.1)</f>
        <v/>
      </c>
    </row>
    <row r="11708">
      <c r="J11708">
        <f>IFERROR(__xludf.DUMMYFUNCTION("""COMPUTED_VALUE"""),"Denver, CO, USA")</f>
        <v/>
      </c>
      <c r="K11708">
        <f>IFERROR(__xludf.DUMMYFUNCTION("""COMPUTED_VALUE"""),2844.87)</f>
        <v/>
      </c>
    </row>
    <row r="11709">
      <c r="J11709">
        <f>IFERROR(__xludf.DUMMYFUNCTION("""COMPUTED_VALUE"""),"Toronto, Saskatchewan, Victoria")</f>
        <v/>
      </c>
      <c r="K11709">
        <f>IFERROR(__xludf.DUMMYFUNCTION("""COMPUTED_VALUE"""),2844.39)</f>
        <v/>
      </c>
    </row>
    <row r="11710">
      <c r="J11710">
        <f>IFERROR(__xludf.DUMMYFUNCTION("""COMPUTED_VALUE"""),"Québec, Quebec, Canada; St. John's, Newfoundland and Labrador, Canada; Fredericton, New Brunswick, Canada; Woodstock, New Brunswick, Canada")</f>
        <v/>
      </c>
      <c r="K11710">
        <f>IFERROR(__xludf.DUMMYFUNCTION("""COMPUTED_VALUE"""),2843.76)</f>
        <v/>
      </c>
    </row>
    <row r="11711">
      <c r="J11711">
        <f>IFERROR(__xludf.DUMMYFUNCTION("""COMPUTED_VALUE"""),"Portage la Prairie, Manitoba, Canada")</f>
        <v/>
      </c>
      <c r="K11711">
        <f>IFERROR(__xludf.DUMMYFUNCTION("""COMPUTED_VALUE"""),2843.56)</f>
        <v/>
      </c>
    </row>
    <row r="11712">
      <c r="J11712">
        <f>IFERROR(__xludf.DUMMYFUNCTION("""COMPUTED_VALUE"""),"Vancouver , BC, Canada")</f>
        <v/>
      </c>
      <c r="K11712">
        <f>IFERROR(__xludf.DUMMYFUNCTION("""COMPUTED_VALUE"""),2843.37)</f>
        <v/>
      </c>
    </row>
    <row r="11713">
      <c r="J11713">
        <f>IFERROR(__xludf.DUMMYFUNCTION("""COMPUTED_VALUE"""),"Toronto, Ontario; Borden, Ontario")</f>
        <v/>
      </c>
      <c r="K11713">
        <f>IFERROR(__xludf.DUMMYFUNCTION("""COMPUTED_VALUE"""),2842.74)</f>
        <v/>
      </c>
    </row>
    <row r="11714">
      <c r="J11714">
        <f>IFERROR(__xludf.DUMMYFUNCTION("""COMPUTED_VALUE"""),"Toronto, ON; Waterloo, ON; Kitchener, ON; London, ON; Windsor, ON; Ottawa, ON")</f>
        <v/>
      </c>
      <c r="K11714">
        <f>IFERROR(__xludf.DUMMYFUNCTION("""COMPUTED_VALUE"""),2842.65)</f>
        <v/>
      </c>
    </row>
    <row r="11715">
      <c r="J11715">
        <f>IFERROR(__xludf.DUMMYFUNCTION("""COMPUTED_VALUE"""),"Washington, U.S.A.")</f>
        <v/>
      </c>
      <c r="K11715">
        <f>IFERROR(__xludf.DUMMYFUNCTION("""COMPUTED_VALUE"""),2842.34)</f>
        <v/>
      </c>
    </row>
    <row r="11716">
      <c r="J11716">
        <f>IFERROR(__xludf.DUMMYFUNCTION("""COMPUTED_VALUE"""),"Washington, United States; New York, United States; London, Ontario")</f>
        <v/>
      </c>
      <c r="K11716">
        <f>IFERROR(__xludf.DUMMYFUNCTION("""COMPUTED_VALUE"""),2842.19)</f>
        <v/>
      </c>
    </row>
    <row r="11717">
      <c r="J11717">
        <f>IFERROR(__xludf.DUMMYFUNCTION("""COMPUTED_VALUE"""),"Boucherville and Montreal, Quebec, Canada")</f>
        <v/>
      </c>
      <c r="K11717">
        <f>IFERROR(__xludf.DUMMYFUNCTION("""COMPUTED_VALUE"""),2842.12)</f>
        <v/>
      </c>
    </row>
    <row r="11718">
      <c r="J11718">
        <f>IFERROR(__xludf.DUMMYFUNCTION("""COMPUTED_VALUE"""),"London, United Kingdom; New York, United States")</f>
        <v/>
      </c>
      <c r="K11718">
        <f>IFERROR(__xludf.DUMMYFUNCTION("""COMPUTED_VALUE"""),2841.95)</f>
        <v/>
      </c>
    </row>
    <row r="11719">
      <c r="J11719">
        <f>IFERROR(__xludf.DUMMYFUNCTION("""COMPUTED_VALUE"""),"Arlington, VA; Toronto ON")</f>
        <v/>
      </c>
      <c r="K11719">
        <f>IFERROR(__xludf.DUMMYFUNCTION("""COMPUTED_VALUE"""),2841.54)</f>
        <v/>
      </c>
    </row>
    <row r="11720">
      <c r="J11720">
        <f>IFERROR(__xludf.DUMMYFUNCTION("""COMPUTED_VALUE"""),"Ottawa, ON - Edmonton, AB / Edmonton, AB  - Ottawa, ON")</f>
        <v/>
      </c>
      <c r="K11720">
        <f>IFERROR(__xludf.DUMMYFUNCTION("""COMPUTED_VALUE"""),2841.37)</f>
        <v/>
      </c>
    </row>
    <row r="11721">
      <c r="J11721">
        <f>IFERROR(__xludf.DUMMYFUNCTION("""COMPUTED_VALUE"""),"Ottawa (Ontario) Canada,")</f>
        <v/>
      </c>
      <c r="K11721">
        <f>IFERROR(__xludf.DUMMYFUNCTION("""COMPUTED_VALUE"""),2841.17)</f>
        <v/>
      </c>
    </row>
    <row r="11722">
      <c r="J11722">
        <f>IFERROR(__xludf.DUMMYFUNCTION("""COMPUTED_VALUE"""),"Revelstoke and Victoria, British Columbia")</f>
        <v/>
      </c>
      <c r="K11722">
        <f>IFERROR(__xludf.DUMMYFUNCTION("""COMPUTED_VALUE"""),2839.88)</f>
        <v/>
      </c>
    </row>
    <row r="11723">
      <c r="J11723">
        <f>IFERROR(__xludf.DUMMYFUNCTION("""COMPUTED_VALUE"""),"Moncton, NB - Toronto, ON / Toronto, ON - Quebec City, QC / Quebec City, QC - Montreal, QC / Montreal, QC - Ottawa, ON / Ottawa, ON - Moncton, NB")</f>
        <v/>
      </c>
      <c r="K11723">
        <f>IFERROR(__xludf.DUMMYFUNCTION("""COMPUTED_VALUE"""),2839.8)</f>
        <v/>
      </c>
    </row>
    <row r="11724">
      <c r="J11724">
        <f>IFERROR(__xludf.DUMMYFUNCTION("""COMPUTED_VALUE"""),"Ottawa - Lévis - Ottawa")</f>
        <v/>
      </c>
      <c r="K11724">
        <f>IFERROR(__xludf.DUMMYFUNCTION("""COMPUTED_VALUE"""),2839.39)</f>
        <v/>
      </c>
    </row>
    <row r="11725">
      <c r="J11725">
        <f>IFERROR(__xludf.DUMMYFUNCTION("""COMPUTED_VALUE"""),"Washington District of Columbus, USA")</f>
        <v/>
      </c>
      <c r="K11725">
        <f>IFERROR(__xludf.DUMMYFUNCTION("""COMPUTED_VALUE"""),2839.21)</f>
        <v/>
      </c>
    </row>
    <row r="11726">
      <c r="J11726">
        <f>IFERROR(__xludf.DUMMYFUNCTION("""COMPUTED_VALUE"""),"Virginia USA / New Orleans USA")</f>
        <v/>
      </c>
      <c r="K11726">
        <f>IFERROR(__xludf.DUMMYFUNCTION("""COMPUTED_VALUE"""),2838.8)</f>
        <v/>
      </c>
    </row>
    <row r="11727">
      <c r="J11727">
        <f>IFERROR(__xludf.DUMMYFUNCTION("""COMPUTED_VALUE"""),"Whistler, Vancouver, BC")</f>
        <v/>
      </c>
      <c r="K11727">
        <f>IFERROR(__xludf.DUMMYFUNCTION("""COMPUTED_VALUE"""),2838.14)</f>
        <v/>
      </c>
    </row>
    <row r="11728">
      <c r="J11728">
        <f>IFERROR(__xludf.DUMMYFUNCTION("""COMPUTED_VALUE"""),"Fredericton, New Brunswick, Canada/Niagara Falls, Ontario, Canada/ Toronto, Ontario, Canada")</f>
        <v/>
      </c>
      <c r="K11728">
        <f>IFERROR(__xludf.DUMMYFUNCTION("""COMPUTED_VALUE"""),2837.6)</f>
        <v/>
      </c>
    </row>
    <row r="11729">
      <c r="J11729">
        <f>IFERROR(__xludf.DUMMYFUNCTION("""COMPUTED_VALUE"""),"Vimy, Pas-de-Calais, France")</f>
        <v/>
      </c>
      <c r="K11729">
        <f>IFERROR(__xludf.DUMMYFUNCTION("""COMPUTED_VALUE"""),2835.86)</f>
        <v/>
      </c>
    </row>
    <row r="11730">
      <c r="J11730">
        <f>IFERROR(__xludf.DUMMYFUNCTION("""COMPUTED_VALUE"""),"Sudbury, ON; Ottawa, ON")</f>
        <v/>
      </c>
      <c r="K11730">
        <f>IFERROR(__xludf.DUMMYFUNCTION("""COMPUTED_VALUE"""),2835.33)</f>
        <v/>
      </c>
    </row>
    <row r="11731">
      <c r="J11731">
        <f>IFERROR(__xludf.DUMMYFUNCTION("""COMPUTED_VALUE"""),"MONTREAL, PQ AND OTTAWA, ON")</f>
        <v/>
      </c>
      <c r="K11731">
        <f>IFERROR(__xludf.DUMMYFUNCTION("""COMPUTED_VALUE"""),2834.87)</f>
        <v/>
      </c>
    </row>
    <row r="11732">
      <c r="J11732">
        <f>IFERROR(__xludf.DUMMYFUNCTION("""COMPUTED_VALUE"""),"Gwaii Haanas and Victoria, British Columbia")</f>
        <v/>
      </c>
      <c r="K11732">
        <f>IFERROR(__xludf.DUMMYFUNCTION("""COMPUTED_VALUE"""),2834.61)</f>
        <v/>
      </c>
    </row>
    <row r="11733">
      <c r="J11733">
        <f>IFERROR(__xludf.DUMMYFUNCTION("""COMPUTED_VALUE"""),"Bonavista, Newfoundland and Labrador")</f>
        <v/>
      </c>
      <c r="K11733">
        <f>IFERROR(__xludf.DUMMYFUNCTION("""COMPUTED_VALUE"""),2833.99)</f>
        <v/>
      </c>
    </row>
    <row r="11734">
      <c r="J11734">
        <f>IFERROR(__xludf.DUMMYFUNCTION("""COMPUTED_VALUE"""),"Bowmanville, Ontario, Canada; Washington, United States")</f>
        <v/>
      </c>
      <c r="K11734">
        <f>IFERROR(__xludf.DUMMYFUNCTION("""COMPUTED_VALUE"""),2833.7)</f>
        <v/>
      </c>
    </row>
    <row r="11735">
      <c r="J11735">
        <f>IFERROR(__xludf.DUMMYFUNCTION("""COMPUTED_VALUE"""),"Timmins, ON / Hearst, ON")</f>
        <v/>
      </c>
      <c r="K11735">
        <f>IFERROR(__xludf.DUMMYFUNCTION("""COMPUTED_VALUE"""),2831.6)</f>
        <v/>
      </c>
    </row>
    <row r="11736">
      <c r="J11736">
        <f>IFERROR(__xludf.DUMMYFUNCTION("""COMPUTED_VALUE"""),"Montréal, Quebec; Moncton, New Brunswick")</f>
        <v/>
      </c>
      <c r="K11736">
        <f>IFERROR(__xludf.DUMMYFUNCTION("""COMPUTED_VALUE"""),2831.54)</f>
        <v/>
      </c>
    </row>
    <row r="11737">
      <c r="J11737">
        <f>IFERROR(__xludf.DUMMYFUNCTION("""COMPUTED_VALUE"""),"St-Hubert / Bagotville")</f>
        <v/>
      </c>
      <c r="K11737">
        <f>IFERROR(__xludf.DUMMYFUNCTION("""COMPUTED_VALUE"""),2831)</f>
        <v/>
      </c>
    </row>
    <row r="11738">
      <c r="J11738">
        <f>IFERROR(__xludf.DUMMYFUNCTION("""COMPUTED_VALUE"""),"Washington D.C., Washington, Unites States")</f>
        <v/>
      </c>
      <c r="K11738">
        <f>IFERROR(__xludf.DUMMYFUNCTION("""COMPUTED_VALUE"""),2831)</f>
        <v/>
      </c>
    </row>
    <row r="11739">
      <c r="J11739">
        <f>IFERROR(__xludf.DUMMYFUNCTION("""COMPUTED_VALUE"""),"St John's, Newfoundland &amp; Labrador")</f>
        <v/>
      </c>
      <c r="K11739">
        <f>IFERROR(__xludf.DUMMYFUNCTION("""COMPUTED_VALUE"""),2830.44)</f>
        <v/>
      </c>
    </row>
    <row r="11740">
      <c r="J11740">
        <f>IFERROR(__xludf.DUMMYFUNCTION("""COMPUTED_VALUE"""),"Playa del Carmen, Mexico")</f>
        <v/>
      </c>
      <c r="K11740">
        <f>IFERROR(__xludf.DUMMYFUNCTION("""COMPUTED_VALUE"""),2830.07)</f>
        <v/>
      </c>
    </row>
    <row r="11741">
      <c r="J11741">
        <f>IFERROR(__xludf.DUMMYFUNCTION("""COMPUTED_VALUE"""),"OTTAWA / TORONTO, ON")</f>
        <v/>
      </c>
      <c r="K11741">
        <f>IFERROR(__xludf.DUMMYFUNCTION("""COMPUTED_VALUE"""),2829.18)</f>
        <v/>
      </c>
    </row>
    <row r="11742">
      <c r="J11742">
        <f>IFERROR(__xludf.DUMMYFUNCTION("""COMPUTED_VALUE"""),"Ottawa, ON - Calgary, AB / Calgary, AB - Charlottetown, PE / Charlottetown, PE - Ottawa, ON")</f>
        <v/>
      </c>
      <c r="K11742">
        <f>IFERROR(__xludf.DUMMYFUNCTION("""COMPUTED_VALUE"""),2829.03)</f>
        <v/>
      </c>
    </row>
    <row r="11743">
      <c r="J11743">
        <f>IFERROR(__xludf.DUMMYFUNCTION("""COMPUTED_VALUE"""),"Vancouver and Campbell River, British Columbia, Canada")</f>
        <v/>
      </c>
      <c r="K11743">
        <f>IFERROR(__xludf.DUMMYFUNCTION("""COMPUTED_VALUE"""),2829.01)</f>
        <v/>
      </c>
    </row>
    <row r="11744">
      <c r="J11744">
        <f>IFERROR(__xludf.DUMMYFUNCTION("""COMPUTED_VALUE"""),"Saskatoon,Saskatchewan")</f>
        <v/>
      </c>
      <c r="K11744">
        <f>IFERROR(__xludf.DUMMYFUNCTION("""COMPUTED_VALUE"""),2828.17)</f>
        <v/>
      </c>
    </row>
    <row r="11745">
      <c r="J11745">
        <f>IFERROR(__xludf.DUMMYFUNCTION("""COMPUTED_VALUE"""),"Ottawa-Vancouver -Ottawa")</f>
        <v/>
      </c>
      <c r="K11745">
        <f>IFERROR(__xludf.DUMMYFUNCTION("""COMPUTED_VALUE"""),2828.04)</f>
        <v/>
      </c>
    </row>
    <row r="11746">
      <c r="J11746">
        <f>IFERROR(__xludf.DUMMYFUNCTION("""COMPUTED_VALUE"""),"St. John's, Newfoundland and Labrador, Canada; Ottawa, Ontario, Canada; Moncton, New Brunswick, Canada; St. John's, Newfoundland and Labrador, Canada")</f>
        <v/>
      </c>
      <c r="K11746">
        <f>IFERROR(__xludf.DUMMYFUNCTION("""COMPUTED_VALUE"""),2827.94)</f>
        <v/>
      </c>
    </row>
    <row r="11747">
      <c r="J11747">
        <f>IFERROR(__xludf.DUMMYFUNCTION("""COMPUTED_VALUE"""),"Montreal, Quebec, Canada/St. John's, Newfoundland, Canada")</f>
        <v/>
      </c>
      <c r="K11747">
        <f>IFERROR(__xludf.DUMMYFUNCTION("""COMPUTED_VALUE"""),2827.13)</f>
        <v/>
      </c>
    </row>
    <row r="11748">
      <c r="J11748">
        <f>IFERROR(__xludf.DUMMYFUNCTION("""COMPUTED_VALUE"""),"St-John's NL and Fredericton, NB.")</f>
        <v/>
      </c>
      <c r="K11748">
        <f>IFERROR(__xludf.DUMMYFUNCTION("""COMPUTED_VALUE"""),2827.11)</f>
        <v/>
      </c>
    </row>
    <row r="11749">
      <c r="J11749">
        <f>IFERROR(__xludf.DUMMYFUNCTION("""COMPUTED_VALUE"""),"Calgary, AB / Fort McMurray, AB / Edmonton, AB / Saskatoon, SK")</f>
        <v/>
      </c>
      <c r="K11749">
        <f>IFERROR(__xludf.DUMMYFUNCTION("""COMPUTED_VALUE"""),2826.75)</f>
        <v/>
      </c>
    </row>
    <row r="11750">
      <c r="J11750">
        <f>IFERROR(__xludf.DUMMYFUNCTION("""COMPUTED_VALUE"""),"Quebec, QC / Montreal, QC")</f>
        <v/>
      </c>
      <c r="K11750">
        <f>IFERROR(__xludf.DUMMYFUNCTION("""COMPUTED_VALUE"""),2826.33)</f>
        <v/>
      </c>
    </row>
    <row r="11751">
      <c r="J11751">
        <f>IFERROR(__xludf.DUMMYFUNCTION("""COMPUTED_VALUE"""),"Moncton, New Brunswick and Toronto, Ontario")</f>
        <v/>
      </c>
      <c r="K11751">
        <f>IFERROR(__xludf.DUMMYFUNCTION("""COMPUTED_VALUE"""),2826.31)</f>
        <v/>
      </c>
    </row>
    <row r="11752">
      <c r="J11752">
        <f>IFERROR(__xludf.DUMMYFUNCTION("""COMPUTED_VALUE"""),"New York, New, New York")</f>
        <v/>
      </c>
      <c r="K11752">
        <f>IFERROR(__xludf.DUMMYFUNCTION("""COMPUTED_VALUE"""),2826.29)</f>
        <v/>
      </c>
    </row>
    <row r="11753">
      <c r="J11753">
        <f>IFERROR(__xludf.DUMMYFUNCTION("""COMPUTED_VALUE"""),"Calgary, Alberta, Canada; Halifax, Nova Scotia, Canada")</f>
        <v/>
      </c>
      <c r="K11753">
        <f>IFERROR(__xludf.DUMMYFUNCTION("""COMPUTED_VALUE"""),2826.25)</f>
        <v/>
      </c>
    </row>
    <row r="11754">
      <c r="J11754">
        <f>IFERROR(__xludf.DUMMYFUNCTION("""COMPUTED_VALUE"""),"Tampa, US")</f>
        <v/>
      </c>
      <c r="K11754">
        <f>IFERROR(__xludf.DUMMYFUNCTION("""COMPUTED_VALUE"""),2824.77)</f>
        <v/>
      </c>
    </row>
    <row r="11755">
      <c r="J11755">
        <f>IFERROR(__xludf.DUMMYFUNCTION("""COMPUTED_VALUE"""),"Tampa, USA")</f>
        <v/>
      </c>
      <c r="K11755">
        <f>IFERROR(__xludf.DUMMYFUNCTION("""COMPUTED_VALUE"""),2824.77)</f>
        <v/>
      </c>
    </row>
    <row r="11756">
      <c r="J11756">
        <f>IFERROR(__xludf.DUMMYFUNCTION("""COMPUTED_VALUE"""),"Lille-Lesqu, FRANCE")</f>
        <v/>
      </c>
      <c r="K11756">
        <f>IFERROR(__xludf.DUMMYFUNCTION("""COMPUTED_VALUE"""),2823.99)</f>
        <v/>
      </c>
    </row>
    <row r="11757">
      <c r="J11757">
        <f>IFERROR(__xludf.DUMMYFUNCTION("""COMPUTED_VALUE"""),"Waterloo, Ontario, Canada; Milton, Ontario, Canada")</f>
        <v/>
      </c>
      <c r="K11757">
        <f>IFERROR(__xludf.DUMMYFUNCTION("""COMPUTED_VALUE"""),2823.56999999999)</f>
        <v/>
      </c>
    </row>
    <row r="11758">
      <c r="J11758">
        <f>IFERROR(__xludf.DUMMYFUNCTION("""COMPUTED_VALUE"""),"San Diego, California, United-States of America")</f>
        <v/>
      </c>
      <c r="K11758">
        <f>IFERROR(__xludf.DUMMYFUNCTION("""COMPUTED_VALUE"""),2823.48)</f>
        <v/>
      </c>
    </row>
    <row r="11759">
      <c r="J11759">
        <f>IFERROR(__xludf.DUMMYFUNCTION("""COMPUTED_VALUE"""),"Waterloo and Toronto, Ontario")</f>
        <v/>
      </c>
      <c r="K11759">
        <f>IFERROR(__xludf.DUMMYFUNCTION("""COMPUTED_VALUE"""),2822.88)</f>
        <v/>
      </c>
    </row>
    <row r="11760">
      <c r="J11760">
        <f>IFERROR(__xludf.DUMMYFUNCTION("""COMPUTED_VALUE"""),"Kuujjuarapik, QC")</f>
        <v/>
      </c>
      <c r="K11760">
        <f>IFERROR(__xludf.DUMMYFUNCTION("""COMPUTED_VALUE"""),2822.66)</f>
        <v/>
      </c>
    </row>
    <row r="11761">
      <c r="J11761">
        <f>IFERROR(__xludf.DUMMYFUNCTION("""COMPUTED_VALUE"""),"Winnipeg, Manitoba Abbotsford, British Columbia")</f>
        <v/>
      </c>
      <c r="K11761">
        <f>IFERROR(__xludf.DUMMYFUNCTION("""COMPUTED_VALUE"""),2822)</f>
        <v/>
      </c>
    </row>
    <row r="11762">
      <c r="J11762">
        <f>IFERROR(__xludf.DUMMYFUNCTION("""COMPUTED_VALUE"""),"Pickering, Ontario, Canada")</f>
        <v/>
      </c>
      <c r="K11762">
        <f>IFERROR(__xludf.DUMMYFUNCTION("""COMPUTED_VALUE"""),2820.81999999999)</f>
        <v/>
      </c>
    </row>
    <row r="11763">
      <c r="J11763">
        <f>IFERROR(__xludf.DUMMYFUNCTION("""COMPUTED_VALUE"""),"Winnipeg, MB, Montreal, QC, Ottawa, ON")</f>
        <v/>
      </c>
      <c r="K11763">
        <f>IFERROR(__xludf.DUMMYFUNCTION("""COMPUTED_VALUE"""),2820.47)</f>
        <v/>
      </c>
    </row>
    <row r="11764">
      <c r="J11764">
        <f>IFERROR(__xludf.DUMMYFUNCTION("""COMPUTED_VALUE"""),"Victoria, (Bristish-Columbia)")</f>
        <v/>
      </c>
      <c r="K11764">
        <f>IFERROR(__xludf.DUMMYFUNCTION("""COMPUTED_VALUE"""),2820.21)</f>
        <v/>
      </c>
    </row>
    <row r="11765">
      <c r="J11765">
        <f>IFERROR(__xludf.DUMMYFUNCTION("""COMPUTED_VALUE"""),"Quebec City and Toronto")</f>
        <v/>
      </c>
      <c r="K11765">
        <f>IFERROR(__xludf.DUMMYFUNCTION("""COMPUTED_VALUE"""),2819.65)</f>
        <v/>
      </c>
    </row>
    <row r="11766">
      <c r="J11766">
        <f>IFERROR(__xludf.DUMMYFUNCTION("""COMPUTED_VALUE"""),"Ottawa-Washington-Ottawa")</f>
        <v/>
      </c>
      <c r="K11766">
        <f>IFERROR(__xludf.DUMMYFUNCTION("""COMPUTED_VALUE"""),2819.63)</f>
        <v/>
      </c>
    </row>
    <row r="11767">
      <c r="J11767">
        <f>IFERROR(__xludf.DUMMYFUNCTION("""COMPUTED_VALUE"""),"Charlottetown, PE - Ottawa, ON / Ottawa, ON - Winnipeg, MB / Winnipeg, MB - Washington, DC / Washington, DC - Ottawa, ON / Ottawa, ON - Charlottetown, PE")</f>
        <v/>
      </c>
      <c r="K11767">
        <f>IFERROR(__xludf.DUMMYFUNCTION("""COMPUTED_VALUE"""),2819.35)</f>
        <v/>
      </c>
    </row>
    <row r="11768">
      <c r="J11768">
        <f>IFERROR(__xludf.DUMMYFUNCTION("""COMPUTED_VALUE"""),"Tampa, Florida, US")</f>
        <v/>
      </c>
      <c r="K11768">
        <f>IFERROR(__xludf.DUMMYFUNCTION("""COMPUTED_VALUE"""),2819.24)</f>
        <v/>
      </c>
    </row>
    <row r="11769">
      <c r="J11769">
        <f>IFERROR(__xludf.DUMMYFUNCTION("""COMPUTED_VALUE"""),"Tampa Florida, Toronto Ontario, Ottawa Ontario")</f>
        <v/>
      </c>
      <c r="K11769">
        <f>IFERROR(__xludf.DUMMYFUNCTION("""COMPUTED_VALUE"""),2819.19)</f>
        <v/>
      </c>
    </row>
    <row r="11770">
      <c r="J11770">
        <f>IFERROR(__xludf.DUMMYFUNCTION("""COMPUTED_VALUE"""),"Halifax, Nova Scotia , Canada")</f>
        <v/>
      </c>
      <c r="K11770">
        <f>IFERROR(__xludf.DUMMYFUNCTION("""COMPUTED_VALUE"""),2818.93)</f>
        <v/>
      </c>
    </row>
    <row r="11771">
      <c r="J11771">
        <f>IFERROR(__xludf.DUMMYFUNCTION("""COMPUTED_VALUE"""),"Ottawa - Charlottetown - London - Calgary - Québec")</f>
        <v/>
      </c>
      <c r="K11771">
        <f>IFERROR(__xludf.DUMMYFUNCTION("""COMPUTED_VALUE"""),2818.57)</f>
        <v/>
      </c>
    </row>
    <row r="11772">
      <c r="J11772">
        <f>IFERROR(__xludf.DUMMYFUNCTION("""COMPUTED_VALUE"""),"Kenora, (Ontario)")</f>
        <v/>
      </c>
      <c r="K11772">
        <f>IFERROR(__xludf.DUMMYFUNCTION("""COMPUTED_VALUE"""),2818.31)</f>
        <v/>
      </c>
    </row>
    <row r="11773">
      <c r="J11773">
        <f>IFERROR(__xludf.DUMMYFUNCTION("""COMPUTED_VALUE"""),"Canadian Forces Base (CFB) Edmonton, CFB Cold Lake, CFB Winnipeg")</f>
        <v/>
      </c>
      <c r="K11773">
        <f>IFERROR(__xludf.DUMMYFUNCTION("""COMPUTED_VALUE"""),2817.99)</f>
        <v/>
      </c>
    </row>
    <row r="11774">
      <c r="J11774">
        <f>IFERROR(__xludf.DUMMYFUNCTION("""COMPUTED_VALUE"""),"Victoria, British Columbia, Canada/Vancouver, British Columbia, Canada")</f>
        <v/>
      </c>
      <c r="K11774">
        <f>IFERROR(__xludf.DUMMYFUNCTION("""COMPUTED_VALUE"""),2817.35)</f>
        <v/>
      </c>
    </row>
    <row r="11775">
      <c r="J11775">
        <f>IFERROR(__xludf.DUMMYFUNCTION("""COMPUTED_VALUE"""),"Sherbrooke Quebec, Montreal Quebec, Fredericton New Brunswick, Halifax Nova Scotia")</f>
        <v/>
      </c>
      <c r="K11775">
        <f>IFERROR(__xludf.DUMMYFUNCTION("""COMPUTED_VALUE"""),2816.86)</f>
        <v/>
      </c>
    </row>
    <row r="11776">
      <c r="J11776">
        <f>IFERROR(__xludf.DUMMYFUNCTION("""COMPUTED_VALUE"""),"Lac Bouchette, QC")</f>
        <v/>
      </c>
      <c r="K11776">
        <f>IFERROR(__xludf.DUMMYFUNCTION("""COMPUTED_VALUE"""),2816.83)</f>
        <v/>
      </c>
    </row>
    <row r="11777">
      <c r="J11777">
        <f>IFERROR(__xludf.DUMMYFUNCTION("""COMPUTED_VALUE"""),"Montréal, Victoriaville")</f>
        <v/>
      </c>
      <c r="K11777">
        <f>IFERROR(__xludf.DUMMYFUNCTION("""COMPUTED_VALUE"""),2816.34)</f>
        <v/>
      </c>
    </row>
    <row r="11778">
      <c r="J11778">
        <f>IFERROR(__xludf.DUMMYFUNCTION("""COMPUTED_VALUE"""),"Riding Mountain &amp; Winnipeg, Manitoba // Gatineau, Québec")</f>
        <v/>
      </c>
      <c r="K11778">
        <f>IFERROR(__xludf.DUMMYFUNCTION("""COMPUTED_VALUE"""),2815.22)</f>
        <v/>
      </c>
    </row>
    <row r="11779">
      <c r="J11779">
        <f>IFERROR(__xludf.DUMMYFUNCTION("""COMPUTED_VALUE"""),"Ottawa-Vancouver-Victoria-Comox-Ottawa")</f>
        <v/>
      </c>
      <c r="K11779">
        <f>IFERROR(__xludf.DUMMYFUNCTION("""COMPUTED_VALUE"""),2815.12)</f>
        <v/>
      </c>
    </row>
    <row r="11780">
      <c r="J11780">
        <f>IFERROR(__xludf.DUMMYFUNCTION("""COMPUTED_VALUE"""),"Baltimore, USA; Washington, DC, USA")</f>
        <v/>
      </c>
      <c r="K11780">
        <f>IFERROR(__xludf.DUMMYFUNCTION("""COMPUTED_VALUE"""),2814.8)</f>
        <v/>
      </c>
    </row>
    <row r="11781">
      <c r="J11781">
        <f>IFERROR(__xludf.DUMMYFUNCTION("""COMPUTED_VALUE"""),"Matane, Québec, Canada")</f>
        <v/>
      </c>
      <c r="K11781">
        <f>IFERROR(__xludf.DUMMYFUNCTION("""COMPUTED_VALUE"""),2813.96)</f>
        <v/>
      </c>
    </row>
    <row r="11782">
      <c r="J11782">
        <f>IFERROR(__xludf.DUMMYFUNCTION("""COMPUTED_VALUE"""),"Charlottetown, PE / Moncton, NB / Halifax, NS / St. John's, NL")</f>
        <v/>
      </c>
      <c r="K11782">
        <f>IFERROR(__xludf.DUMMYFUNCTION("""COMPUTED_VALUE"""),2813.6)</f>
        <v/>
      </c>
    </row>
    <row r="11783">
      <c r="J11783">
        <f>IFERROR(__xludf.DUMMYFUNCTION("""COMPUTED_VALUE"""),"Sudbury (Ontario) Canada")</f>
        <v/>
      </c>
      <c r="K11783">
        <f>IFERROR(__xludf.DUMMYFUNCTION("""COMPUTED_VALUE"""),2812.71)</f>
        <v/>
      </c>
    </row>
    <row r="11784">
      <c r="J11784">
        <f>IFERROR(__xludf.DUMMYFUNCTION("""COMPUTED_VALUE"""),"Calgary, Alberta, Canada &amp; Ottawa, Ontario, Canada")</f>
        <v/>
      </c>
      <c r="K11784">
        <f>IFERROR(__xludf.DUMMYFUNCTION("""COMPUTED_VALUE"""),2812.68)</f>
        <v/>
      </c>
    </row>
    <row r="11785">
      <c r="J11785">
        <f>IFERROR(__xludf.DUMMYFUNCTION("""COMPUTED_VALUE"""),"Iles-de-la-Madeleine, Quebec &amp; Gaspé, Quebec &amp; Moncton, New Brunswick")</f>
        <v/>
      </c>
      <c r="K11785">
        <f>IFERROR(__xludf.DUMMYFUNCTION("""COMPUTED_VALUE"""),2812.62)</f>
        <v/>
      </c>
    </row>
    <row r="11786">
      <c r="J11786">
        <f>IFERROR(__xludf.DUMMYFUNCTION("""COMPUTED_VALUE"""),"Vancouver, BC - Sault Ste. Marie, ON")</f>
        <v/>
      </c>
      <c r="K11786">
        <f>IFERROR(__xludf.DUMMYFUNCTION("""COMPUTED_VALUE"""),2812.27)</f>
        <v/>
      </c>
    </row>
    <row r="11787">
      <c r="J11787">
        <f>IFERROR(__xludf.DUMMYFUNCTION("""COMPUTED_VALUE"""),"Kamloops, Vancouver, BC")</f>
        <v/>
      </c>
      <c r="K11787">
        <f>IFERROR(__xludf.DUMMYFUNCTION("""COMPUTED_VALUE"""),2812.07)</f>
        <v/>
      </c>
    </row>
    <row r="11788">
      <c r="J11788">
        <f>IFERROR(__xludf.DUMMYFUNCTION("""COMPUTED_VALUE"""),"Toronto, Ontario, Canada/ London, Ontario, Canada/  Windsor, Ontario, Canada")</f>
        <v/>
      </c>
      <c r="K11788">
        <f>IFERROR(__xludf.DUMMYFUNCTION("""COMPUTED_VALUE"""),2811.97)</f>
        <v/>
      </c>
    </row>
    <row r="11789">
      <c r="J11789">
        <f>IFERROR(__xludf.DUMMYFUNCTION("""COMPUTED_VALUE"""),"Atlanta, United States")</f>
        <v/>
      </c>
      <c r="K11789">
        <f>IFERROR(__xludf.DUMMYFUNCTION("""COMPUTED_VALUE"""),2811.39)</f>
        <v/>
      </c>
    </row>
    <row r="11790">
      <c r="J11790">
        <f>IFERROR(__xludf.DUMMYFUNCTION("""COMPUTED_VALUE"""),"Toronto, ON // Edmonton, AB")</f>
        <v/>
      </c>
      <c r="K11790">
        <f>IFERROR(__xludf.DUMMYFUNCTION("""COMPUTED_VALUE"""),2811.07)</f>
        <v/>
      </c>
    </row>
    <row r="11791">
      <c r="J11791">
        <f>IFERROR(__xludf.DUMMYFUNCTION("""COMPUTED_VALUE"""),"Belgrade, Serbia
Tivat, Montenegro
Sofia, Bulgaria")</f>
        <v/>
      </c>
      <c r="K11791">
        <f>IFERROR(__xludf.DUMMYFUNCTION("""COMPUTED_VALUE"""),2810.98)</f>
        <v/>
      </c>
    </row>
    <row r="11792">
      <c r="J11792">
        <f>IFERROR(__xludf.DUMMYFUNCTION("""COMPUTED_VALUE"""),"Port-Cartier, QC")</f>
        <v/>
      </c>
      <c r="K11792">
        <f>IFERROR(__xludf.DUMMYFUNCTION("""COMPUTED_VALUE"""),2809.95)</f>
        <v/>
      </c>
    </row>
    <row r="11793">
      <c r="J11793">
        <f>IFERROR(__xludf.DUMMYFUNCTION("""COMPUTED_VALUE"""),"Quebec City; Montreal - QC")</f>
        <v/>
      </c>
      <c r="K11793">
        <f>IFERROR(__xludf.DUMMYFUNCTION("""COMPUTED_VALUE"""),2809.31)</f>
        <v/>
      </c>
    </row>
    <row r="11794">
      <c r="J11794">
        <f>IFERROR(__xludf.DUMMYFUNCTION("""COMPUTED_VALUE"""),"Vancouver, British Columbia. Canada / Victoria, British Columbia, Canada / Richmond, British Columbia, Canada")</f>
        <v/>
      </c>
      <c r="K11794">
        <f>IFERROR(__xludf.DUMMYFUNCTION("""COMPUTED_VALUE"""),2808.8)</f>
        <v/>
      </c>
    </row>
    <row r="11795">
      <c r="J11795">
        <f>IFERROR(__xludf.DUMMYFUNCTION("""COMPUTED_VALUE"""),"Toronto, On , Waterloo, On")</f>
        <v/>
      </c>
      <c r="K11795">
        <f>IFERROR(__xludf.DUMMYFUNCTION("""COMPUTED_VALUE"""),2808.34)</f>
        <v/>
      </c>
    </row>
    <row r="11796">
      <c r="J11796">
        <f>IFERROR(__xludf.DUMMYFUNCTION("""COMPUTED_VALUE"""),"Montreal, Quebec, Canada; Quebec City, Quebec, Canada; Moncton, New Brunswick, Canada")</f>
        <v/>
      </c>
      <c r="K11796">
        <f>IFERROR(__xludf.DUMMYFUNCTION("""COMPUTED_VALUE"""),2808.32)</f>
        <v/>
      </c>
    </row>
    <row r="11797">
      <c r="J11797">
        <f>IFERROR(__xludf.DUMMYFUNCTION("""COMPUTED_VALUE"""),"Raleigh/Durham, North Carolina")</f>
        <v/>
      </c>
      <c r="K11797">
        <f>IFERROR(__xludf.DUMMYFUNCTION("""COMPUTED_VALUE"""),2808.16)</f>
        <v/>
      </c>
    </row>
    <row r="11798">
      <c r="J11798">
        <f>IFERROR(__xludf.DUMMYFUNCTION("""COMPUTED_VALUE"""),"Vancouver, British Colombia, Canada/ Saskatoon, Saskatchewan, Canada")</f>
        <v/>
      </c>
      <c r="K11798">
        <f>IFERROR(__xludf.DUMMYFUNCTION("""COMPUTED_VALUE"""),2807.55)</f>
        <v/>
      </c>
    </row>
    <row r="11799">
      <c r="J11799">
        <f>IFERROR(__xludf.DUMMYFUNCTION("""COMPUTED_VALUE"""),"Calgary, Alberta, Canada; Whistler, British Columbia, Canada; Vancouver, British Columbia, Canada")</f>
        <v/>
      </c>
      <c r="K11799">
        <f>IFERROR(__xludf.DUMMYFUNCTION("""COMPUTED_VALUE"""),2807.52)</f>
        <v/>
      </c>
    </row>
    <row r="11800">
      <c r="J11800">
        <f>IFERROR(__xludf.DUMMYFUNCTION("""COMPUTED_VALUE"""),"PENTICTON,BC")</f>
        <v/>
      </c>
      <c r="K11800">
        <f>IFERROR(__xludf.DUMMYFUNCTION("""COMPUTED_VALUE"""),2806.92)</f>
        <v/>
      </c>
    </row>
    <row r="11801">
      <c r="J11801">
        <f>IFERROR(__xludf.DUMMYFUNCTION("""COMPUTED_VALUE"""),"Litchfield, Arizona, United States")</f>
        <v/>
      </c>
      <c r="K11801">
        <f>IFERROR(__xludf.DUMMYFUNCTION("""COMPUTED_VALUE"""),2806.32)</f>
        <v/>
      </c>
    </row>
    <row r="11802">
      <c r="J11802">
        <f>IFERROR(__xludf.DUMMYFUNCTION("""COMPUTED_VALUE"""),"Sydney, Dartmouth, and Halifax, Nova Scotia, Canada")</f>
        <v/>
      </c>
      <c r="K11802">
        <f>IFERROR(__xludf.DUMMYFUNCTION("""COMPUTED_VALUE"""),2805.51)</f>
        <v/>
      </c>
    </row>
    <row r="11803">
      <c r="J11803">
        <f>IFERROR(__xludf.DUMMYFUNCTION("""COMPUTED_VALUE"""),"Surrey, British Columbia; Calgary, Alberta; Edmonton, Alberta")</f>
        <v/>
      </c>
      <c r="K11803">
        <f>IFERROR(__xludf.DUMMYFUNCTION("""COMPUTED_VALUE"""),2805.47)</f>
        <v/>
      </c>
    </row>
    <row r="11804">
      <c r="J11804">
        <f>IFERROR(__xludf.DUMMYFUNCTION("""COMPUTED_VALUE"""),"Toronto and Markham, Ontario")</f>
        <v/>
      </c>
      <c r="K11804">
        <f>IFERROR(__xludf.DUMMYFUNCTION("""COMPUTED_VALUE"""),2805.23)</f>
        <v/>
      </c>
    </row>
    <row r="11805">
      <c r="J11805">
        <f>IFERROR(__xludf.DUMMYFUNCTION("""COMPUTED_VALUE"""),"Edmonton, Alberta; Victoria, British Columbia")</f>
        <v/>
      </c>
      <c r="K11805">
        <f>IFERROR(__xludf.DUMMYFUNCTION("""COMPUTED_VALUE"""),2805.2)</f>
        <v/>
      </c>
    </row>
    <row r="11806">
      <c r="J11806">
        <f>IFERROR(__xludf.DUMMYFUNCTION("""COMPUTED_VALUE"""),"Winnipeg, MB; Ottawa, ON; Saskatoon, SK")</f>
        <v/>
      </c>
      <c r="K11806">
        <f>IFERROR(__xludf.DUMMYFUNCTION("""COMPUTED_VALUE"""),2805.08)</f>
        <v/>
      </c>
    </row>
    <row r="11807">
      <c r="J11807">
        <f>IFERROR(__xludf.DUMMYFUNCTION("""COMPUTED_VALUE"""),"OTTAWA, ON - KIRKLAND LAKE, ON - MONTREAL, QC")</f>
        <v/>
      </c>
      <c r="K11807">
        <f>IFERROR(__xludf.DUMMYFUNCTION("""COMPUTED_VALUE"""),2804.63)</f>
        <v/>
      </c>
    </row>
    <row r="11808">
      <c r="J11808">
        <f>IFERROR(__xludf.DUMMYFUNCTION("""COMPUTED_VALUE"""),"Edmonton, Alberta Calgary, Alberta")</f>
        <v/>
      </c>
      <c r="K11808">
        <f>IFERROR(__xludf.DUMMYFUNCTION("""COMPUTED_VALUE"""),2804.24)</f>
        <v/>
      </c>
    </row>
    <row r="11809">
      <c r="J11809">
        <f>IFERROR(__xludf.DUMMYFUNCTION("""COMPUTED_VALUE"""),"Calgary, Alberta, Canada and Winnipeg, Manitoba, Canada")</f>
        <v/>
      </c>
      <c r="K11809">
        <f>IFERROR(__xludf.DUMMYFUNCTION("""COMPUTED_VALUE"""),2803.82)</f>
        <v/>
      </c>
    </row>
    <row r="11810">
      <c r="J11810">
        <f>IFERROR(__xludf.DUMMYFUNCTION("""COMPUTED_VALUE"""),"Edmonton, AB - Hinton, AB")</f>
        <v/>
      </c>
      <c r="K11810">
        <f>IFERROR(__xludf.DUMMYFUNCTION("""COMPUTED_VALUE"""),2803.7)</f>
        <v/>
      </c>
    </row>
    <row r="11811">
      <c r="J11811">
        <f>IFERROR(__xludf.DUMMYFUNCTION("""COMPUTED_VALUE"""),"Montreal, Quebec, Canada; Washington, District of Columbia, United States")</f>
        <v/>
      </c>
      <c r="K11811">
        <f>IFERROR(__xludf.DUMMYFUNCTION("""COMPUTED_VALUE"""),2803.42)</f>
        <v/>
      </c>
    </row>
    <row r="11812">
      <c r="J11812">
        <f>IFERROR(__xludf.DUMMYFUNCTION("""COMPUTED_VALUE"""),"Kelowna, BC - Vancouver, BC - Victoria, BC")</f>
        <v/>
      </c>
      <c r="K11812">
        <f>IFERROR(__xludf.DUMMYFUNCTION("""COMPUTED_VALUE"""),2803.17)</f>
        <v/>
      </c>
    </row>
    <row r="11813">
      <c r="J11813">
        <f>IFERROR(__xludf.DUMMYFUNCTION("""COMPUTED_VALUE"""),"Deer Lake, Newfoundland, Moncton, New Brunswick")</f>
        <v/>
      </c>
      <c r="K11813">
        <f>IFERROR(__xludf.DUMMYFUNCTION("""COMPUTED_VALUE"""),2803.02)</f>
        <v/>
      </c>
    </row>
    <row r="11814">
      <c r="J11814">
        <f>IFERROR(__xludf.DUMMYFUNCTION("""COMPUTED_VALUE"""),"Waterloo, Ontario, Canada; London, Ontario, Canada; Hamilton, Ontario, Canada")</f>
        <v/>
      </c>
      <c r="K11814">
        <f>IFERROR(__xludf.DUMMYFUNCTION("""COMPUTED_VALUE"""),2801.66)</f>
        <v/>
      </c>
    </row>
    <row r="11815">
      <c r="J11815">
        <f>IFERROR(__xludf.DUMMYFUNCTION("""COMPUTED_VALUE"""),"Portland, USA")</f>
        <v/>
      </c>
      <c r="K11815">
        <f>IFERROR(__xludf.DUMMYFUNCTION("""COMPUTED_VALUE"""),2801.09)</f>
        <v/>
      </c>
    </row>
    <row r="11816">
      <c r="J11816">
        <f>IFERROR(__xludf.DUMMYFUNCTION("""COMPUTED_VALUE"""),"Vancouver, British Columbi")</f>
        <v/>
      </c>
      <c r="K11816">
        <f>IFERROR(__xludf.DUMMYFUNCTION("""COMPUTED_VALUE"""),2801.02)</f>
        <v/>
      </c>
    </row>
    <row r="11817">
      <c r="J11817">
        <f>IFERROR(__xludf.DUMMYFUNCTION("""COMPUTED_VALUE"""),"Montréal and Ottawa")</f>
        <v/>
      </c>
      <c r="K11817">
        <f>IFERROR(__xludf.DUMMYFUNCTION("""COMPUTED_VALUE"""),2800.87)</f>
        <v/>
      </c>
    </row>
    <row r="11818">
      <c r="J11818">
        <f>IFERROR(__xludf.DUMMYFUNCTION("""COMPUTED_VALUE"""),"St.John's, NL Halifax, NS Saint- John, NB")</f>
        <v/>
      </c>
      <c r="K11818">
        <f>IFERROR(__xludf.DUMMYFUNCTION("""COMPUTED_VALUE"""),2800.82)</f>
        <v/>
      </c>
    </row>
    <row r="11819">
      <c r="J11819">
        <f>IFERROR(__xludf.DUMMYFUNCTION("""COMPUTED_VALUE"""),"Edmonton, Alberta, and Yellowknife, Northwest Territories, Canada")</f>
        <v/>
      </c>
      <c r="K11819">
        <f>IFERROR(__xludf.DUMMYFUNCTION("""COMPUTED_VALUE"""),2800.78)</f>
        <v/>
      </c>
    </row>
    <row r="11820">
      <c r="J11820">
        <f>IFERROR(__xludf.DUMMYFUNCTION("""COMPUTED_VALUE"""),"Winnipeg, Manitoba - Regina, Saskatchewan")</f>
        <v/>
      </c>
      <c r="K11820">
        <f>IFERROR(__xludf.DUMMYFUNCTION("""COMPUTED_VALUE"""),2800.64)</f>
        <v/>
      </c>
    </row>
    <row r="11821">
      <c r="J11821">
        <f>IFERROR(__xludf.DUMMYFUNCTION("""COMPUTED_VALUE"""),"Suffield, Canada")</f>
        <v/>
      </c>
      <c r="K11821">
        <f>IFERROR(__xludf.DUMMYFUNCTION("""COMPUTED_VALUE"""),2800.45)</f>
        <v/>
      </c>
    </row>
    <row r="11822">
      <c r="J11822">
        <f>IFERROR(__xludf.DUMMYFUNCTION("""COMPUTED_VALUE"""),"Quebec City, Lac Mégantic and Montreal, Quebec, Canada")</f>
        <v/>
      </c>
      <c r="K11822">
        <f>IFERROR(__xludf.DUMMYFUNCTION("""COMPUTED_VALUE"""),2799.91)</f>
        <v/>
      </c>
    </row>
    <row r="11823">
      <c r="J11823">
        <f>IFERROR(__xludf.DUMMYFUNCTION("""COMPUTED_VALUE"""),"Ottawa and Kitchener, Ontario")</f>
        <v/>
      </c>
      <c r="K11823">
        <f>IFERROR(__xludf.DUMMYFUNCTION("""COMPUTED_VALUE"""),2799.82)</f>
        <v/>
      </c>
    </row>
    <row r="11824">
      <c r="J11824">
        <f>IFERROR(__xludf.DUMMYFUNCTION("""COMPUTED_VALUE"""),"Ottawa, ON - Charlotettown, PE / Charlottetown, PE - Ottawa, ON")</f>
        <v/>
      </c>
      <c r="K11824">
        <f>IFERROR(__xludf.DUMMYFUNCTION("""COMPUTED_VALUE"""),2799.45)</f>
        <v/>
      </c>
    </row>
    <row r="11825">
      <c r="J11825">
        <f>IFERROR(__xludf.DUMMYFUNCTION("""COMPUTED_VALUE"""),"Regina, Saskatchewan; Vancouver, British Columbia")</f>
        <v/>
      </c>
      <c r="K11825">
        <f>IFERROR(__xludf.DUMMYFUNCTION("""COMPUTED_VALUE"""),2799.23)</f>
        <v/>
      </c>
    </row>
    <row r="11826">
      <c r="J11826">
        <f>IFERROR(__xludf.DUMMYFUNCTION("""COMPUTED_VALUE"""),"Winnipeg and Regina, Saskatchewan")</f>
        <v/>
      </c>
      <c r="K11826">
        <f>IFERROR(__xludf.DUMMYFUNCTION("""COMPUTED_VALUE"""),2798.89)</f>
        <v/>
      </c>
    </row>
    <row r="11827">
      <c r="J11827">
        <f>IFERROR(__xludf.DUMMYFUNCTION("""COMPUTED_VALUE"""),"Oklahoma City, Oklahoma, United States")</f>
        <v/>
      </c>
      <c r="K11827">
        <f>IFERROR(__xludf.DUMMYFUNCTION("""COMPUTED_VALUE"""),2798.55)</f>
        <v/>
      </c>
    </row>
    <row r="11828">
      <c r="J11828">
        <f>IFERROR(__xludf.DUMMYFUNCTION("""COMPUTED_VALUE"""),"Winnipeg, MB; Edmonton, AB; Vancouver, BC")</f>
        <v/>
      </c>
      <c r="K11828">
        <f>IFERROR(__xludf.DUMMYFUNCTION("""COMPUTED_VALUE"""),2796.87)</f>
        <v/>
      </c>
    </row>
    <row r="11829">
      <c r="J11829">
        <f>IFERROR(__xludf.DUMMYFUNCTION("""COMPUTED_VALUE"""),"Québec, Quebec, Canada; Montréal, Quebec, Canada; Toronto, Ontario, Canada")</f>
        <v/>
      </c>
      <c r="K11829">
        <f>IFERROR(__xludf.DUMMYFUNCTION("""COMPUTED_VALUE"""),2796.28)</f>
        <v/>
      </c>
    </row>
    <row r="11830">
      <c r="J11830">
        <f>IFERROR(__xludf.DUMMYFUNCTION("""COMPUTED_VALUE"""),"Toronto, Ontario, Canada; Niagara Falls, Ontario, Canada")</f>
        <v/>
      </c>
      <c r="K11830">
        <f>IFERROR(__xludf.DUMMYFUNCTION("""COMPUTED_VALUE"""),2795.05)</f>
        <v/>
      </c>
    </row>
    <row r="11831">
      <c r="J11831">
        <f>IFERROR(__xludf.DUMMYFUNCTION("""COMPUTED_VALUE"""),"Vancouver, Brithis Columbia, Canada")</f>
        <v/>
      </c>
      <c r="K11831">
        <f>IFERROR(__xludf.DUMMYFUNCTION("""COMPUTED_VALUE"""),2794.75)</f>
        <v/>
      </c>
    </row>
    <row r="11832">
      <c r="J11832">
        <f>IFERROR(__xludf.DUMMYFUNCTION("""COMPUTED_VALUE"""),"St. John's, Newfoundland and Labrador / Charlottetown, Prince Edward Island / Moncton, New Brunswick")</f>
        <v/>
      </c>
      <c r="K11832">
        <f>IFERROR(__xludf.DUMMYFUNCTION("""COMPUTED_VALUE"""),2794.61)</f>
        <v/>
      </c>
    </row>
    <row r="11833">
      <c r="J11833">
        <f>IFERROR(__xludf.DUMMYFUNCTION("""COMPUTED_VALUE"""),"Ottawa-Montreal-Brussels-Montreal-Ottawa")</f>
        <v/>
      </c>
      <c r="K11833">
        <f>IFERROR(__xludf.DUMMYFUNCTION("""COMPUTED_VALUE"""),2794.44)</f>
        <v/>
      </c>
    </row>
    <row r="11834">
      <c r="J11834">
        <f>IFERROR(__xludf.DUMMYFUNCTION("""COMPUTED_VALUE"""),"Winnipeg, MB &amp; Vancouver, BC")</f>
        <v/>
      </c>
      <c r="K11834">
        <f>IFERROR(__xludf.DUMMYFUNCTION("""COMPUTED_VALUE"""),2794.05)</f>
        <v/>
      </c>
    </row>
    <row r="11835">
      <c r="J11835">
        <f>IFERROR(__xludf.DUMMYFUNCTION("""COMPUTED_VALUE"""),"Toronto, Ottawa and Halifax")</f>
        <v/>
      </c>
      <c r="K11835">
        <f>IFERROR(__xludf.DUMMYFUNCTION("""COMPUTED_VALUE"""),2793.61)</f>
        <v/>
      </c>
    </row>
    <row r="11836">
      <c r="J11836">
        <f>IFERROR(__xludf.DUMMYFUNCTION("""COMPUTED_VALUE"""),"Montreal, Quebec, Canada / Shawinigan, Quebec, Canada")</f>
        <v/>
      </c>
      <c r="K11836">
        <f>IFERROR(__xludf.DUMMYFUNCTION("""COMPUTED_VALUE"""),2793.56)</f>
        <v/>
      </c>
    </row>
    <row r="11837">
      <c r="J11837">
        <f>IFERROR(__xludf.DUMMYFUNCTION("""COMPUTED_VALUE"""),"Vancouver, British-Columbia,Canada")</f>
        <v/>
      </c>
      <c r="K11837">
        <f>IFERROR(__xludf.DUMMYFUNCTION("""COMPUTED_VALUE"""),2793.52)</f>
        <v/>
      </c>
    </row>
    <row r="11838">
      <c r="J11838">
        <f>IFERROR(__xludf.DUMMYFUNCTION("""COMPUTED_VALUE"""),"Sydney NS, Charlottetown PEI")</f>
        <v/>
      </c>
      <c r="K11838">
        <f>IFERROR(__xludf.DUMMYFUNCTION("""COMPUTED_VALUE"""),2793.46)</f>
        <v/>
      </c>
    </row>
    <row r="11839">
      <c r="J11839">
        <f>IFERROR(__xludf.DUMMYFUNCTION("""COMPUTED_VALUE"""),"Missussauga, Ontario, Etobicoke, Ontario, Toronto, Ontario, Sudbury, Ontario, Hamilton, Ontario, Ottawa, Ontario")</f>
        <v/>
      </c>
      <c r="K11839">
        <f>IFERROR(__xludf.DUMMYFUNCTION("""COMPUTED_VALUE"""),2792.88)</f>
        <v/>
      </c>
    </row>
    <row r="11840">
      <c r="J11840">
        <f>IFERROR(__xludf.DUMMYFUNCTION("""COMPUTED_VALUE"""),"Vancouver and Victoria, British Columbia, Canada and Sydney, Nova Scotia, Canada")</f>
        <v/>
      </c>
      <c r="K11840">
        <f>IFERROR(__xludf.DUMMYFUNCTION("""COMPUTED_VALUE"""),2792.13)</f>
        <v/>
      </c>
    </row>
    <row r="11841">
      <c r="J11841">
        <f>IFERROR(__xludf.DUMMYFUNCTION("""COMPUTED_VALUE"""),"ST.JOHN'S, NL, CANADA")</f>
        <v/>
      </c>
      <c r="K11841">
        <f>IFERROR(__xludf.DUMMYFUNCTION("""COMPUTED_VALUE"""),2792.11)</f>
        <v/>
      </c>
    </row>
    <row r="11842">
      <c r="J11842">
        <f>IFERROR(__xludf.DUMMYFUNCTION("""COMPUTED_VALUE"""),"Kincardine, Ontario")</f>
        <v/>
      </c>
      <c r="K11842">
        <f>IFERROR(__xludf.DUMMYFUNCTION("""COMPUTED_VALUE"""),2792.09)</f>
        <v/>
      </c>
    </row>
    <row r="11843">
      <c r="J11843">
        <f>IFERROR(__xludf.DUMMYFUNCTION("""COMPUTED_VALUE"""),"Louisbourg National Historic Site, Nova Scotia")</f>
        <v/>
      </c>
      <c r="K11843">
        <f>IFERROR(__xludf.DUMMYFUNCTION("""COMPUTED_VALUE"""),2791.91)</f>
        <v/>
      </c>
    </row>
    <row r="11844">
      <c r="J11844">
        <f>IFERROR(__xludf.DUMMYFUNCTION("""COMPUTED_VALUE"""),"Savannah, Georgia, USA")</f>
        <v/>
      </c>
      <c r="K11844">
        <f>IFERROR(__xludf.DUMMYFUNCTION("""COMPUTED_VALUE"""),2791.89999999999)</f>
        <v/>
      </c>
    </row>
    <row r="11845">
      <c r="J11845">
        <f>IFERROR(__xludf.DUMMYFUNCTION("""COMPUTED_VALUE"""),"Riding Mountain and Winnipeg, Manitoba")</f>
        <v/>
      </c>
      <c r="K11845">
        <f>IFERROR(__xludf.DUMMYFUNCTION("""COMPUTED_VALUE"""),2791.24)</f>
        <v/>
      </c>
    </row>
    <row r="11846">
      <c r="J11846">
        <f>IFERROR(__xludf.DUMMYFUNCTION("""COMPUTED_VALUE"""),"Milton, Ontario, Canada; London, Ontario, Canada; Richmond, British Columbia, Canada")</f>
        <v/>
      </c>
      <c r="K11846">
        <f>IFERROR(__xludf.DUMMYFUNCTION("""COMPUTED_VALUE"""),2790.93)</f>
        <v/>
      </c>
    </row>
    <row r="11847">
      <c r="J11847">
        <f>IFERROR(__xludf.DUMMYFUNCTION("""COMPUTED_VALUE"""),"St Catharines, Ontario, Canada                                       Hamilton, Ontario, Canada                                               Windsor, Ontario, Canada")</f>
        <v/>
      </c>
      <c r="K11847">
        <f>IFERROR(__xludf.DUMMYFUNCTION("""COMPUTED_VALUE"""),2790.75)</f>
        <v/>
      </c>
    </row>
    <row r="11848">
      <c r="J11848">
        <f>IFERROR(__xludf.DUMMYFUNCTION("""COMPUTED_VALUE"""),"Fredericton, New Brunswick; Halifax &amp; Dartmouth, Nova Scotia; Gander, Newfoundland and Labrador")</f>
        <v/>
      </c>
      <c r="K11848">
        <f>IFERROR(__xludf.DUMMYFUNCTION("""COMPUTED_VALUE"""),2790.62)</f>
        <v/>
      </c>
    </row>
    <row r="11849">
      <c r="J11849">
        <f>IFERROR(__xludf.DUMMYFUNCTION("""COMPUTED_VALUE"""),"Winnipeg, Manitoba, Toronto, Ontario, Charlottetown, Prince Edward Island")</f>
        <v/>
      </c>
      <c r="K11849">
        <f>IFERROR(__xludf.DUMMYFUNCTION("""COMPUTED_VALUE"""),2790.21)</f>
        <v/>
      </c>
    </row>
    <row r="11850">
      <c r="J11850">
        <f>IFERROR(__xludf.DUMMYFUNCTION("""COMPUTED_VALUE"""),"Washington, District of Columbia;#12")</f>
        <v/>
      </c>
      <c r="K11850">
        <f>IFERROR(__xludf.DUMMYFUNCTION("""COMPUTED_VALUE"""),2789.99)</f>
        <v/>
      </c>
    </row>
    <row r="11851">
      <c r="J11851">
        <f>IFERROR(__xludf.DUMMYFUNCTION("""COMPUTED_VALUE"""),"Kelowna, British Columbia, Canada / Vancouver, British Columbia, Canada / Edmonton, Alberta, Canada")</f>
        <v/>
      </c>
      <c r="K11851">
        <f>IFERROR(__xludf.DUMMYFUNCTION("""COMPUTED_VALUE"""),2789.85)</f>
        <v/>
      </c>
    </row>
    <row r="11852">
      <c r="J11852">
        <f>IFERROR(__xludf.DUMMYFUNCTION("""COMPUTED_VALUE"""),"The Cannes festival")</f>
        <v/>
      </c>
      <c r="K11852">
        <f>IFERROR(__xludf.DUMMYFUNCTION("""COMPUTED_VALUE"""),2789)</f>
        <v/>
      </c>
    </row>
    <row r="11853">
      <c r="J11853">
        <f>IFERROR(__xludf.DUMMYFUNCTION("""COMPUTED_VALUE"""),"Thunder Bay/Sioux Lookout")</f>
        <v/>
      </c>
      <c r="K11853">
        <f>IFERROR(__xludf.DUMMYFUNCTION("""COMPUTED_VALUE"""),2788.74)</f>
        <v/>
      </c>
    </row>
    <row r="11854">
      <c r="J11854">
        <f>IFERROR(__xludf.DUMMYFUNCTION("""COMPUTED_VALUE"""),"Muskrat Dam (Ontario), Canada")</f>
        <v/>
      </c>
      <c r="K11854">
        <f>IFERROR(__xludf.DUMMYFUNCTION("""COMPUTED_VALUE"""),2787.97)</f>
        <v/>
      </c>
    </row>
    <row r="11855">
      <c r="J11855">
        <f>IFERROR(__xludf.DUMMYFUNCTION("""COMPUTED_VALUE"""),"Halifax &amp; Washington DC")</f>
        <v/>
      </c>
      <c r="K11855">
        <f>IFERROR(__xludf.DUMMYFUNCTION("""COMPUTED_VALUE"""),2787.32)</f>
        <v/>
      </c>
    </row>
    <row r="11856">
      <c r="J11856">
        <f>IFERROR(__xludf.DUMMYFUNCTION("""COMPUTED_VALUE"""),"Edmonta, Alberta")</f>
        <v/>
      </c>
      <c r="K11856">
        <f>IFERROR(__xludf.DUMMYFUNCTION("""COMPUTED_VALUE"""),2787.24)</f>
        <v/>
      </c>
    </row>
    <row r="11857">
      <c r="J11857">
        <f>IFERROR(__xludf.DUMMYFUNCTION("""COMPUTED_VALUE"""),"Kaboul, Afghanistan and Dubai (United Arab Emirates)")</f>
        <v/>
      </c>
      <c r="K11857">
        <f>IFERROR(__xludf.DUMMYFUNCTION("""COMPUTED_VALUE"""),2787.2)</f>
        <v/>
      </c>
    </row>
    <row r="11858">
      <c r="J11858">
        <f>IFERROR(__xludf.DUMMYFUNCTION("""COMPUTED_VALUE"""),"Havana Cuba")</f>
        <v/>
      </c>
      <c r="K11858">
        <f>IFERROR(__xludf.DUMMYFUNCTION("""COMPUTED_VALUE"""),2786.93)</f>
        <v/>
      </c>
    </row>
    <row r="11859">
      <c r="J11859">
        <f>IFERROR(__xludf.DUMMYFUNCTION("""COMPUTED_VALUE"""),"Rockville, Maryland, USA")</f>
        <v/>
      </c>
      <c r="K11859">
        <f>IFERROR(__xludf.DUMMYFUNCTION("""COMPUTED_VALUE"""),2785.98)</f>
        <v/>
      </c>
    </row>
    <row r="11860">
      <c r="J11860">
        <f>IFERROR(__xludf.DUMMYFUNCTION("""COMPUTED_VALUE"""),"Calgary, Alberta, Canada
Winnipeg, Manitoba, Canada")</f>
        <v/>
      </c>
      <c r="K11860">
        <f>IFERROR(__xludf.DUMMYFUNCTION("""COMPUTED_VALUE"""),2785.86)</f>
        <v/>
      </c>
    </row>
    <row r="11861">
      <c r="J11861">
        <f>IFERROR(__xludf.DUMMYFUNCTION("""COMPUTED_VALUE"""),"Regina (Saskatchewan) Canada and Panama City (Florida) United States")</f>
        <v/>
      </c>
      <c r="K11861">
        <f>IFERROR(__xludf.DUMMYFUNCTION("""COMPUTED_VALUE"""),2785.37)</f>
        <v/>
      </c>
    </row>
    <row r="11862">
      <c r="J11862">
        <f>IFERROR(__xludf.DUMMYFUNCTION("""COMPUTED_VALUE"""),"St. John's, Newfoundland and Labrador; Deer Lake, Newfoundland")</f>
        <v/>
      </c>
      <c r="K11862">
        <f>IFERROR(__xludf.DUMMYFUNCTION("""COMPUTED_VALUE"""),2785.18)</f>
        <v/>
      </c>
    </row>
    <row r="11863">
      <c r="J11863">
        <f>IFERROR(__xludf.DUMMYFUNCTION("""COMPUTED_VALUE"""),"Washington, DC - USA")</f>
        <v/>
      </c>
      <c r="K11863">
        <f>IFERROR(__xludf.DUMMYFUNCTION("""COMPUTED_VALUE"""),2784.25)</f>
        <v/>
      </c>
    </row>
    <row r="11864">
      <c r="J11864">
        <f>IFERROR(__xludf.DUMMYFUNCTION("""COMPUTED_VALUE"""),"Edmonton, Alberta, Canada / Vancouver, British-Columbia, Canada")</f>
        <v/>
      </c>
      <c r="K11864">
        <f>IFERROR(__xludf.DUMMYFUNCTION("""COMPUTED_VALUE"""),2783.82)</f>
        <v/>
      </c>
    </row>
    <row r="11865">
      <c r="J11865">
        <f>IFERROR(__xludf.DUMMYFUNCTION("""COMPUTED_VALUE"""),"Mont-Tremblant (Quebec) Canada; Montréal (Quebec) Canada")</f>
        <v/>
      </c>
      <c r="K11865">
        <f>IFERROR(__xludf.DUMMYFUNCTION("""COMPUTED_VALUE"""),2783.46)</f>
        <v/>
      </c>
    </row>
    <row r="11866">
      <c r="J11866">
        <f>IFERROR(__xludf.DUMMYFUNCTION("""COMPUTED_VALUE"""),"Ottawa - Charlottetown - London - Calgary - Toronto - Ottawa")</f>
        <v/>
      </c>
      <c r="K11866">
        <f>IFERROR(__xludf.DUMMYFUNCTION("""COMPUTED_VALUE"""),2783.45)</f>
        <v/>
      </c>
    </row>
    <row r="11867">
      <c r="J11867">
        <f>IFERROR(__xludf.DUMMYFUNCTION("""COMPUTED_VALUE"""),"Toronto, Ontario, Canada - St. John's, Newfoundland and Labrador, Canada")</f>
        <v/>
      </c>
      <c r="K11867">
        <f>IFERROR(__xludf.DUMMYFUNCTION("""COMPUTED_VALUE"""),2783.21)</f>
        <v/>
      </c>
    </row>
    <row r="11868">
      <c r="J11868">
        <f>IFERROR(__xludf.DUMMYFUNCTION("""COMPUTED_VALUE"""),"Nanaimo, British Columbia, Canada; Victoria, British Columbia, Canada; Delta, British Columbia, Canada")</f>
        <v/>
      </c>
      <c r="K11868">
        <f>IFERROR(__xludf.DUMMYFUNCTION("""COMPUTED_VALUE"""),2783.05)</f>
        <v/>
      </c>
    </row>
    <row r="11869">
      <c r="J11869">
        <f>IFERROR(__xludf.DUMMYFUNCTION("""COMPUTED_VALUE"""),"Toronto, Ontario, Canada
Winnipeg, Manitoba, Canada")</f>
        <v/>
      </c>
      <c r="K11869">
        <f>IFERROR(__xludf.DUMMYFUNCTION("""COMPUTED_VALUE"""),2780.54)</f>
        <v/>
      </c>
    </row>
    <row r="11870">
      <c r="J11870">
        <f>IFERROR(__xludf.DUMMYFUNCTION("""COMPUTED_VALUE"""),"Toronto, ON, Oakville, ON, Mississauga, ON")</f>
        <v/>
      </c>
      <c r="K11870">
        <f>IFERROR(__xludf.DUMMYFUNCTION("""COMPUTED_VALUE"""),2780.09)</f>
        <v/>
      </c>
    </row>
    <row r="11871">
      <c r="J11871">
        <f>IFERROR(__xludf.DUMMYFUNCTION("""COMPUTED_VALUE"""),"Ottawa, Ontario
Edmonton, Alberta")</f>
        <v/>
      </c>
      <c r="K11871">
        <f>IFERROR(__xludf.DUMMYFUNCTION("""COMPUTED_VALUE"""),2779.84)</f>
        <v/>
      </c>
    </row>
    <row r="11872">
      <c r="J11872">
        <f>IFERROR(__xludf.DUMMYFUNCTION("""COMPUTED_VALUE"""),"Sept-Îles (Québec) Canada")</f>
        <v/>
      </c>
      <c r="K11872">
        <f>IFERROR(__xludf.DUMMYFUNCTION("""COMPUTED_VALUE"""),2779.39)</f>
        <v/>
      </c>
    </row>
    <row r="11873">
      <c r="J11873">
        <f>IFERROR(__xludf.DUMMYFUNCTION("""COMPUTED_VALUE"""),"Charlottetown; Summerside, Prince Edward Island, 
Bathurst; Moncton; Saint John, New Brunswick,
Canada")</f>
        <v/>
      </c>
      <c r="K11873">
        <f>IFERROR(__xludf.DUMMYFUNCTION("""COMPUTED_VALUE"""),2778.65)</f>
        <v/>
      </c>
    </row>
    <row r="11874">
      <c r="J11874">
        <f>IFERROR(__xludf.DUMMYFUNCTION("""COMPUTED_VALUE"""),"Providence, Rhode Island, USA")</f>
        <v/>
      </c>
      <c r="K11874">
        <f>IFERROR(__xludf.DUMMYFUNCTION("""COMPUTED_VALUE"""),2778.5)</f>
        <v/>
      </c>
    </row>
    <row r="11875">
      <c r="J11875">
        <f>IFERROR(__xludf.DUMMYFUNCTION("""COMPUTED_VALUE"""),"Montreal, Quebec and Washington, United States")</f>
        <v/>
      </c>
      <c r="K11875">
        <f>IFERROR(__xludf.DUMMYFUNCTION("""COMPUTED_VALUE"""),2778.38)</f>
        <v/>
      </c>
    </row>
    <row r="11876">
      <c r="J11876">
        <f>IFERROR(__xludf.DUMMYFUNCTION("""COMPUTED_VALUE"""),"Regina, Saskatchewan, Canada; North Battleford, Saskatchewan, Canada; Edmonton, Alberta, Canada")</f>
        <v/>
      </c>
      <c r="K11876">
        <f>IFERROR(__xludf.DUMMYFUNCTION("""COMPUTED_VALUE"""),2777.94)</f>
        <v/>
      </c>
    </row>
    <row r="11877">
      <c r="J11877">
        <f>IFERROR(__xludf.DUMMYFUNCTION("""COMPUTED_VALUE"""),"Edmonton, AB and Pasadena, US")</f>
        <v/>
      </c>
      <c r="K11877">
        <f>IFERROR(__xludf.DUMMYFUNCTION("""COMPUTED_VALUE"""),2777.88)</f>
        <v/>
      </c>
    </row>
    <row r="11878">
      <c r="J11878">
        <f>IFERROR(__xludf.DUMMYFUNCTION("""COMPUTED_VALUE"""),"Gander, Newfoundland and Labrador, Canada/ Halifax, Nova Scotia, Canada/ Toronto, Ontario, Canada")</f>
        <v/>
      </c>
      <c r="K11878">
        <f>IFERROR(__xludf.DUMMYFUNCTION("""COMPUTED_VALUE"""),2777.57)</f>
        <v/>
      </c>
    </row>
    <row r="11879">
      <c r="J11879">
        <f>IFERROR(__xludf.DUMMYFUNCTION("""COMPUTED_VALUE"""),"Whitehorse, Yukon, Canada                                                Dawson City, Yukon, Canada")</f>
        <v/>
      </c>
      <c r="K11879">
        <f>IFERROR(__xludf.DUMMYFUNCTION("""COMPUTED_VALUE"""),2777.26)</f>
        <v/>
      </c>
    </row>
    <row r="11880">
      <c r="J11880">
        <f>IFERROR(__xludf.DUMMYFUNCTION("""COMPUTED_VALUE"""),"Cambridge, MA, USA")</f>
        <v/>
      </c>
      <c r="K11880">
        <f>IFERROR(__xludf.DUMMYFUNCTION("""COMPUTED_VALUE"""),2777.19)</f>
        <v/>
      </c>
    </row>
    <row r="11881">
      <c r="J11881">
        <f>IFERROR(__xludf.DUMMYFUNCTION("""COMPUTED_VALUE"""),"Rio Grande do Sul, Sao Paulo")</f>
        <v/>
      </c>
      <c r="K11881">
        <f>IFERROR(__xludf.DUMMYFUNCTION("""COMPUTED_VALUE"""),2775.79)</f>
        <v/>
      </c>
    </row>
    <row r="11882">
      <c r="J11882">
        <f>IFERROR(__xludf.DUMMYFUNCTION("""COMPUTED_VALUE"""),"Boston, Massachussetts, United States")</f>
        <v/>
      </c>
      <c r="K11882">
        <f>IFERROR(__xludf.DUMMYFUNCTION("""COMPUTED_VALUE"""),2775.44)</f>
        <v/>
      </c>
    </row>
    <row r="11883">
      <c r="J11883">
        <f>IFERROR(__xludf.DUMMYFUNCTION("""COMPUTED_VALUE"""),"St. John's, Newfoundland/Ottawa, Ontario")</f>
        <v/>
      </c>
      <c r="K11883">
        <f>IFERROR(__xludf.DUMMYFUNCTION("""COMPUTED_VALUE"""),2775.28)</f>
        <v/>
      </c>
    </row>
    <row r="11884">
      <c r="J11884">
        <f>IFERROR(__xludf.DUMMYFUNCTION("""COMPUTED_VALUE"""),"Labrador City, Newfoundland and Labrador, Canada")</f>
        <v/>
      </c>
      <c r="K11884">
        <f>IFERROR(__xludf.DUMMYFUNCTION("""COMPUTED_VALUE"""),2775.27)</f>
        <v/>
      </c>
    </row>
    <row r="11885">
      <c r="J11885">
        <f>IFERROR(__xludf.DUMMYFUNCTION("""COMPUTED_VALUE"""),"Mississauga, Ontario, Canada; Kanata, Ontario, Canada")</f>
        <v/>
      </c>
      <c r="K11885">
        <f>IFERROR(__xludf.DUMMYFUNCTION("""COMPUTED_VALUE"""),2774.64)</f>
        <v/>
      </c>
    </row>
    <row r="11886">
      <c r="J11886">
        <f>IFERROR(__xludf.DUMMYFUNCTION("""COMPUTED_VALUE"""),"Charlottetown, PE Toronto, ON")</f>
        <v/>
      </c>
      <c r="K11886">
        <f>IFERROR(__xludf.DUMMYFUNCTION("""COMPUTED_VALUE"""),2773.92)</f>
        <v/>
      </c>
    </row>
    <row r="11887">
      <c r="J11887">
        <f>IFERROR(__xludf.DUMMYFUNCTION("""COMPUTED_VALUE"""),"Ottawa, ON Canada")</f>
        <v/>
      </c>
      <c r="K11887">
        <f>IFERROR(__xludf.DUMMYFUNCTION("""COMPUTED_VALUE"""),2772.84)</f>
        <v/>
      </c>
    </row>
    <row r="11888">
      <c r="J11888">
        <f>IFERROR(__xludf.DUMMYFUNCTION("""COMPUTED_VALUE"""),"Moncton, New Brunswick, Canada / Charlottetown, Prince Edward Island, Canada")</f>
        <v/>
      </c>
      <c r="K11888">
        <f>IFERROR(__xludf.DUMMYFUNCTION("""COMPUTED_VALUE"""),2771.54)</f>
        <v/>
      </c>
    </row>
    <row r="11889">
      <c r="J11889">
        <f>IFERROR(__xludf.DUMMYFUNCTION("""COMPUTED_VALUE"""),"Denver and Colorado Springs, Colorado, United States; and Ottawa, Ontario")</f>
        <v/>
      </c>
      <c r="K11889">
        <f>IFERROR(__xludf.DUMMYFUNCTION("""COMPUTED_VALUE"""),2771.47)</f>
        <v/>
      </c>
    </row>
    <row r="11890">
      <c r="J11890">
        <f>IFERROR(__xludf.DUMMYFUNCTION("""COMPUTED_VALUE"""),"Moncton and Fredericton, New Brunswick and Halifax, Nova Scotia and Charlottetown, Prince Edward Island")</f>
        <v/>
      </c>
      <c r="K11890">
        <f>IFERROR(__xludf.DUMMYFUNCTION("""COMPUTED_VALUE"""),2771.26)</f>
        <v/>
      </c>
    </row>
    <row r="11891">
      <c r="J11891">
        <f>IFERROR(__xludf.DUMMYFUNCTION("""COMPUTED_VALUE"""),"Vancouver, BC; Surrey, BC; Penticton, BC")</f>
        <v/>
      </c>
      <c r="K11891">
        <f>IFERROR(__xludf.DUMMYFUNCTION("""COMPUTED_VALUE"""),2771.01)</f>
        <v/>
      </c>
    </row>
    <row r="11892">
      <c r="J11892">
        <f>IFERROR(__xludf.DUMMYFUNCTION("""COMPUTED_VALUE"""),"Sydney and Halifax, Nova Scotia, Canada")</f>
        <v/>
      </c>
      <c r="K11892">
        <f>IFERROR(__xludf.DUMMYFUNCTION("""COMPUTED_VALUE"""),2770.95)</f>
        <v/>
      </c>
    </row>
    <row r="11893">
      <c r="J11893">
        <f>IFERROR(__xludf.DUMMYFUNCTION("""COMPUTED_VALUE"""),"Toronto / Vancouver")</f>
        <v/>
      </c>
      <c r="K11893">
        <f>IFERROR(__xludf.DUMMYFUNCTION("""COMPUTED_VALUE"""),2770.9)</f>
        <v/>
      </c>
    </row>
    <row r="11894">
      <c r="J11894">
        <f>IFERROR(__xludf.DUMMYFUNCTION("""COMPUTED_VALUE"""),"St. John's, NFDL")</f>
        <v/>
      </c>
      <c r="K11894">
        <f>IFERROR(__xludf.DUMMYFUNCTION("""COMPUTED_VALUE"""),2770.75)</f>
        <v/>
      </c>
    </row>
    <row r="11895">
      <c r="J11895">
        <f>IFERROR(__xludf.DUMMYFUNCTION("""COMPUTED_VALUE"""),"Dieppe, Bayeux, Arras")</f>
        <v/>
      </c>
      <c r="K11895">
        <f>IFERROR(__xludf.DUMMYFUNCTION("""COMPUTED_VALUE"""),2770.45)</f>
        <v/>
      </c>
    </row>
    <row r="11896">
      <c r="J11896">
        <f>IFERROR(__xludf.DUMMYFUNCTION("""COMPUTED_VALUE"""),"Banff and Edmonton, Alberta")</f>
        <v/>
      </c>
      <c r="K11896">
        <f>IFERROR(__xludf.DUMMYFUNCTION("""COMPUTED_VALUE"""),2770.29)</f>
        <v/>
      </c>
    </row>
    <row r="11897">
      <c r="J11897">
        <f>IFERROR(__xludf.DUMMYFUNCTION("""COMPUTED_VALUE"""),"Toronto, Ontario, Canada / Halifax, Nova Scotia, Canada / Winnipeg, Manitoba, Canada")</f>
        <v/>
      </c>
      <c r="K11897">
        <f>IFERROR(__xludf.DUMMYFUNCTION("""COMPUTED_VALUE"""),2769.79)</f>
        <v/>
      </c>
    </row>
    <row r="11898">
      <c r="J11898">
        <f>IFERROR(__xludf.DUMMYFUNCTION("""COMPUTED_VALUE"""),"Sacremento, CA")</f>
        <v/>
      </c>
      <c r="K11898">
        <f>IFERROR(__xludf.DUMMYFUNCTION("""COMPUTED_VALUE"""),2768.51)</f>
        <v/>
      </c>
    </row>
    <row r="11899">
      <c r="J11899">
        <f>IFERROR(__xludf.DUMMYFUNCTION("""COMPUTED_VALUE"""),"Toronto, Ontario, Canada / Vernon, British Columbia, Canada / Penticton, British Columbia, Canada / Burnaby, British Columbia, Canada")</f>
        <v/>
      </c>
      <c r="K11899">
        <f>IFERROR(__xludf.DUMMYFUNCTION("""COMPUTED_VALUE"""),2768.32)</f>
        <v/>
      </c>
    </row>
    <row r="11900">
      <c r="J11900">
        <f>IFERROR(__xludf.DUMMYFUNCTION("""COMPUTED_VALUE"""),"Vancouver, BC, Winnipeg, MB, Toronto, ON")</f>
        <v/>
      </c>
      <c r="K11900">
        <f>IFERROR(__xludf.DUMMYFUNCTION("""COMPUTED_VALUE"""),2767.73)</f>
        <v/>
      </c>
    </row>
    <row r="11901">
      <c r="J11901">
        <f>IFERROR(__xludf.DUMMYFUNCTION("""COMPUTED_VALUE"""),"Winnpeg, Edmonton, Canada")</f>
        <v/>
      </c>
      <c r="K11901">
        <f>IFERROR(__xludf.DUMMYFUNCTION("""COMPUTED_VALUE"""),2766.36)</f>
        <v/>
      </c>
    </row>
    <row r="11902">
      <c r="J11902">
        <f>IFERROR(__xludf.DUMMYFUNCTION("""COMPUTED_VALUE"""),"Carleton-sur-mer, Quebec, Canada")</f>
        <v/>
      </c>
      <c r="K11902">
        <f>IFERROR(__xludf.DUMMYFUNCTION("""COMPUTED_VALUE"""),2766.27)</f>
        <v/>
      </c>
    </row>
    <row r="11903">
      <c r="J11903">
        <f>IFERROR(__xludf.DUMMYFUNCTION("""COMPUTED_VALUE"""),"Gatineau and Ottawa")</f>
        <v/>
      </c>
      <c r="K11903">
        <f>IFERROR(__xludf.DUMMYFUNCTION("""COMPUTED_VALUE"""),2764)</f>
        <v/>
      </c>
    </row>
    <row r="11904">
      <c r="J11904">
        <f>IFERROR(__xludf.DUMMYFUNCTION("""COMPUTED_VALUE"""),"Ottawa, ON, Canada
Newport, Rhode Island, USA
St. John's, NFLD, Canada")</f>
        <v/>
      </c>
      <c r="K11904">
        <f>IFERROR(__xludf.DUMMYFUNCTION("""COMPUTED_VALUE"""),2763.98)</f>
        <v/>
      </c>
    </row>
    <row r="11905">
      <c r="J11905">
        <f>IFERROR(__xludf.DUMMYFUNCTION("""COMPUTED_VALUE"""),"Vancouver, BC; Victoria, BC; Toronto, ON")</f>
        <v/>
      </c>
      <c r="K11905">
        <f>IFERROR(__xludf.DUMMYFUNCTION("""COMPUTED_VALUE"""),2763.5)</f>
        <v/>
      </c>
    </row>
    <row r="11906">
      <c r="J11906">
        <f>IFERROR(__xludf.DUMMYFUNCTION("""COMPUTED_VALUE"""),"Victoria (BC)")</f>
        <v/>
      </c>
      <c r="K11906">
        <f>IFERROR(__xludf.DUMMYFUNCTION("""COMPUTED_VALUE"""),2763.4)</f>
        <v/>
      </c>
    </row>
    <row r="11907">
      <c r="J11907">
        <f>IFERROR(__xludf.DUMMYFUNCTION("""COMPUTED_VALUE"""),"Hampton, Virginia, USA")</f>
        <v/>
      </c>
      <c r="K11907">
        <f>IFERROR(__xludf.DUMMYFUNCTION("""COMPUTED_VALUE"""),2763.29)</f>
        <v/>
      </c>
    </row>
    <row r="11908">
      <c r="J11908">
        <f>IFERROR(__xludf.DUMMYFUNCTION("""COMPUTED_VALUE"""),"Gander, Newfoundland and Labrador, Canada; Happy Valley-Goose Bay, Newfoundland and Labrador, Canada")</f>
        <v/>
      </c>
      <c r="K11908">
        <f>IFERROR(__xludf.DUMMYFUNCTION("""COMPUTED_VALUE"""),2763.16)</f>
        <v/>
      </c>
    </row>
    <row r="11909">
      <c r="J11909">
        <f>IFERROR(__xludf.DUMMYFUNCTION("""COMPUTED_VALUE"""),"Steady Brook, Newfoundland and Labrador")</f>
        <v/>
      </c>
      <c r="K11909">
        <f>IFERROR(__xludf.DUMMYFUNCTION("""COMPUTED_VALUE"""),2762.88)</f>
        <v/>
      </c>
    </row>
    <row r="11910">
      <c r="J11910">
        <f>IFERROR(__xludf.DUMMYFUNCTION("""COMPUTED_VALUE"""),"St, John's, Newfoundland and Labrador")</f>
        <v/>
      </c>
      <c r="K11910">
        <f>IFERROR(__xludf.DUMMYFUNCTION("""COMPUTED_VALUE"""),2762.37)</f>
        <v/>
      </c>
    </row>
    <row r="11911">
      <c r="J11911">
        <f>IFERROR(__xludf.DUMMYFUNCTION("""COMPUTED_VALUE"""),"Cleveland, US")</f>
        <v/>
      </c>
      <c r="K11911">
        <f>IFERROR(__xludf.DUMMYFUNCTION("""COMPUTED_VALUE"""),2762.09)</f>
        <v/>
      </c>
    </row>
    <row r="11912">
      <c r="J11912">
        <f>IFERROR(__xludf.DUMMYFUNCTION("""COMPUTED_VALUE"""),"Scottsdale, Arizona, USA")</f>
        <v/>
      </c>
      <c r="K11912">
        <f>IFERROR(__xludf.DUMMYFUNCTION("""COMPUTED_VALUE"""),2762.04)</f>
        <v/>
      </c>
    </row>
    <row r="11913">
      <c r="J11913">
        <f>IFERROR(__xludf.DUMMYFUNCTION("""COMPUTED_VALUE"""),"Athens, GA")</f>
        <v/>
      </c>
      <c r="K11913">
        <f>IFERROR(__xludf.DUMMYFUNCTION("""COMPUTED_VALUE"""),2761.94)</f>
        <v/>
      </c>
    </row>
    <row r="11914">
      <c r="J11914">
        <f>IFERROR(__xludf.DUMMYFUNCTION("""COMPUTED_VALUE"""),"Sandspit, British Columbia")</f>
        <v/>
      </c>
      <c r="K11914">
        <f>IFERROR(__xludf.DUMMYFUNCTION("""COMPUTED_VALUE"""),2761.19)</f>
        <v/>
      </c>
    </row>
    <row r="11915">
      <c r="J11915">
        <f>IFERROR(__xludf.DUMMYFUNCTION("""COMPUTED_VALUE"""),"Toronto, Ontario, Canada / Frankfurt, Germany / Delhi and Mumbai, India / Newark, USA")</f>
        <v/>
      </c>
      <c r="K11915">
        <f>IFERROR(__xludf.DUMMYFUNCTION("""COMPUTED_VALUE"""),2761.05)</f>
        <v/>
      </c>
    </row>
    <row r="11916">
      <c r="J11916">
        <f>IFERROR(__xludf.DUMMYFUNCTION("""COMPUTED_VALUE"""),"Montreal, Drummondville and Quebec , Quebec")</f>
        <v/>
      </c>
      <c r="K11916">
        <f>IFERROR(__xludf.DUMMYFUNCTION("""COMPUTED_VALUE"""),2760.92)</f>
        <v/>
      </c>
    </row>
    <row r="11917">
      <c r="J11917">
        <f>IFERROR(__xludf.DUMMYFUNCTION("""COMPUTED_VALUE"""),"Halifax, NS, Toronto ON and Saskatoon, SK")</f>
        <v/>
      </c>
      <c r="K11917">
        <f>IFERROR(__xludf.DUMMYFUNCTION("""COMPUTED_VALUE"""),2759.73)</f>
        <v/>
      </c>
    </row>
    <row r="11918">
      <c r="J11918">
        <f>IFERROR(__xludf.DUMMYFUNCTION("""COMPUTED_VALUE"""),"United States- New York City")</f>
        <v/>
      </c>
      <c r="K11918">
        <f>IFERROR(__xludf.DUMMYFUNCTION("""COMPUTED_VALUE"""),2759.31)</f>
        <v/>
      </c>
    </row>
    <row r="11919">
      <c r="J11919">
        <f>IFERROR(__xludf.DUMMYFUNCTION("""COMPUTED_VALUE"""),"Halifax, NS / Goose Bay, NL")</f>
        <v/>
      </c>
      <c r="K11919">
        <f>IFERROR(__xludf.DUMMYFUNCTION("""COMPUTED_VALUE"""),2759.09)</f>
        <v/>
      </c>
    </row>
    <row r="11920">
      <c r="J11920">
        <f>IFERROR(__xludf.DUMMYFUNCTION("""COMPUTED_VALUE"""),"Ottawa-Fredericton-Charlottetown-Montreal-Ottawa")</f>
        <v/>
      </c>
      <c r="K11920">
        <f>IFERROR(__xludf.DUMMYFUNCTION("""COMPUTED_VALUE"""),2758.62)</f>
        <v/>
      </c>
    </row>
    <row r="11921">
      <c r="J11921">
        <f>IFERROR(__xludf.DUMMYFUNCTION("""COMPUTED_VALUE"""),"St. John's, Newfoundland and Labrador; Halifax, Nova Scotia, Canada")</f>
        <v/>
      </c>
      <c r="K11921">
        <f>IFERROR(__xludf.DUMMYFUNCTION("""COMPUTED_VALUE"""),2758.6)</f>
        <v/>
      </c>
    </row>
    <row r="11922">
      <c r="J11922">
        <f>IFERROR(__xludf.DUMMYFUNCTION("""COMPUTED_VALUE"""),"Vancouver, British Columbia and Toronto, Ontario, Canada")</f>
        <v/>
      </c>
      <c r="K11922">
        <f>IFERROR(__xludf.DUMMYFUNCTION("""COMPUTED_VALUE"""),2758.52999999999)</f>
        <v/>
      </c>
    </row>
    <row r="11923">
      <c r="J11923">
        <f>IFERROR(__xludf.DUMMYFUNCTION("""COMPUTED_VALUE"""),"Calgary (Alberta) Canada
Vancouver (British-Columbia) Canada")</f>
        <v/>
      </c>
      <c r="K11923">
        <f>IFERROR(__xludf.DUMMYFUNCTION("""COMPUTED_VALUE"""),2758.46)</f>
        <v/>
      </c>
    </row>
    <row r="11924">
      <c r="J11924">
        <f>IFERROR(__xludf.DUMMYFUNCTION("""COMPUTED_VALUE"""),"Vancouver (British Columbia) Redmond (Washington)")</f>
        <v/>
      </c>
      <c r="K11924">
        <f>IFERROR(__xludf.DUMMYFUNCTION("""COMPUTED_VALUE"""),2758.41)</f>
        <v/>
      </c>
    </row>
    <row r="11925">
      <c r="J11925">
        <f>IFERROR(__xludf.DUMMYFUNCTION("""COMPUTED_VALUE"""),"Kamloops, BC, Canada")</f>
        <v/>
      </c>
      <c r="K11925">
        <f>IFERROR(__xludf.DUMMYFUNCTION("""COMPUTED_VALUE"""),2758.05)</f>
        <v/>
      </c>
    </row>
    <row r="11926">
      <c r="J11926">
        <f>IFERROR(__xludf.DUMMYFUNCTION("""COMPUTED_VALUE"""),"Miami Beach, Florida")</f>
        <v/>
      </c>
      <c r="K11926">
        <f>IFERROR(__xludf.DUMMYFUNCTION("""COMPUTED_VALUE"""),2757.04)</f>
        <v/>
      </c>
    </row>
    <row r="11927">
      <c r="J11927">
        <f>IFERROR(__xludf.DUMMYFUNCTION("""COMPUTED_VALUE"""),"Phoenix, AZ, USA")</f>
        <v/>
      </c>
      <c r="K11927">
        <f>IFERROR(__xludf.DUMMYFUNCTION("""COMPUTED_VALUE"""),2756.63)</f>
        <v/>
      </c>
    </row>
    <row r="11928">
      <c r="J11928">
        <f>IFERROR(__xludf.DUMMYFUNCTION("""COMPUTED_VALUE"""),"Calgary &amp; Vancouver")</f>
        <v/>
      </c>
      <c r="K11928">
        <f>IFERROR(__xludf.DUMMYFUNCTION("""COMPUTED_VALUE"""),2756.51)</f>
        <v/>
      </c>
    </row>
    <row r="11929">
      <c r="J11929">
        <f>IFERROR(__xludf.DUMMYFUNCTION("""COMPUTED_VALUE"""),"Vancouver, Windsor, Kitchener &amp; Waterloo.")</f>
        <v/>
      </c>
      <c r="K11929">
        <f>IFERROR(__xludf.DUMMYFUNCTION("""COMPUTED_VALUE"""),2756.43)</f>
        <v/>
      </c>
    </row>
    <row r="11930">
      <c r="J11930">
        <f>IFERROR(__xludf.DUMMYFUNCTION("""COMPUTED_VALUE"""),"Pentincton, BC, Canada")</f>
        <v/>
      </c>
      <c r="K11930">
        <f>IFERROR(__xludf.DUMMYFUNCTION("""COMPUTED_VALUE"""),2755.92)</f>
        <v/>
      </c>
    </row>
    <row r="11931">
      <c r="J11931">
        <f>IFERROR(__xludf.DUMMYFUNCTION("""COMPUTED_VALUE"""),"Moncton/Fredericton, NB Halifax, NS Ch'town PE")</f>
        <v/>
      </c>
      <c r="K11931">
        <f>IFERROR(__xludf.DUMMYFUNCTION("""COMPUTED_VALUE"""),2755.85)</f>
        <v/>
      </c>
    </row>
    <row r="11932">
      <c r="J11932">
        <f>IFERROR(__xludf.DUMMYFUNCTION("""COMPUTED_VALUE"""),"Winninpeg, Manitoba, Canada / Vernon, British Columbia, Canada")</f>
        <v/>
      </c>
      <c r="K11932">
        <f>IFERROR(__xludf.DUMMYFUNCTION("""COMPUTED_VALUE"""),2755.79)</f>
        <v/>
      </c>
    </row>
    <row r="11933">
      <c r="J11933">
        <f>IFERROR(__xludf.DUMMYFUNCTION("""COMPUTED_VALUE"""),"Charlottetown, Prince Edward Island, Canada; Fredericton, New Brunswick, Canada")</f>
        <v/>
      </c>
      <c r="K11933">
        <f>IFERROR(__xludf.DUMMYFUNCTION("""COMPUTED_VALUE"""),2755.72)</f>
        <v/>
      </c>
    </row>
    <row r="11934">
      <c r="J11934">
        <f>IFERROR(__xludf.DUMMYFUNCTION("""COMPUTED_VALUE"""),"Toronto and Peterborough, Ontario, Canada")</f>
        <v/>
      </c>
      <c r="K11934">
        <f>IFERROR(__xludf.DUMMYFUNCTION("""COMPUTED_VALUE"""),2755.08)</f>
        <v/>
      </c>
    </row>
    <row r="11935">
      <c r="J11935">
        <f>IFERROR(__xludf.DUMMYFUNCTION("""COMPUTED_VALUE"""),"Western Canadian Arctic and Ottawa")</f>
        <v/>
      </c>
      <c r="K11935">
        <f>IFERROR(__xludf.DUMMYFUNCTION("""COMPUTED_VALUE"""),2754.15)</f>
        <v/>
      </c>
    </row>
    <row r="11936">
      <c r="J11936">
        <f>IFERROR(__xludf.DUMMYFUNCTION("""COMPUTED_VALUE"""),"Saskatoon, Regina, Edmonton")</f>
        <v/>
      </c>
      <c r="K11936">
        <f>IFERROR(__xludf.DUMMYFUNCTION("""COMPUTED_VALUE"""),2754.11)</f>
        <v/>
      </c>
    </row>
    <row r="11937">
      <c r="J11937">
        <f>IFERROR(__xludf.DUMMYFUNCTION("""COMPUTED_VALUE"""),"Calgary, Alberta; Vancouver, British Colombia")</f>
        <v/>
      </c>
      <c r="K11937">
        <f>IFERROR(__xludf.DUMMYFUNCTION("""COMPUTED_VALUE"""),2753.82)</f>
        <v/>
      </c>
    </row>
    <row r="11938">
      <c r="J11938">
        <f>IFERROR(__xludf.DUMMYFUNCTION("""COMPUTED_VALUE"""),"Montreal, Quebec / Winnipeg, Manitoba, Canada")</f>
        <v/>
      </c>
      <c r="K11938">
        <f>IFERROR(__xludf.DUMMYFUNCTION("""COMPUTED_VALUE"""),2753.58)</f>
        <v/>
      </c>
    </row>
    <row r="11939">
      <c r="J11939">
        <f>IFERROR(__xludf.DUMMYFUNCTION("""COMPUTED_VALUE"""),"Chilliwack, Langley, Richmond and Vancouver, British Columbia")</f>
        <v/>
      </c>
      <c r="K11939">
        <f>IFERROR(__xludf.DUMMYFUNCTION("""COMPUTED_VALUE"""),2752.05)</f>
        <v/>
      </c>
    </row>
    <row r="11940">
      <c r="J11940">
        <f>IFERROR(__xludf.DUMMYFUNCTION("""COMPUTED_VALUE"""),"Victoria, BC/Halifax (Nova Scotia) Canada")</f>
        <v/>
      </c>
      <c r="K11940">
        <f>IFERROR(__xludf.DUMMYFUNCTION("""COMPUTED_VALUE"""),2752)</f>
        <v/>
      </c>
    </row>
    <row r="11941">
      <c r="J11941">
        <f>IFERROR(__xludf.DUMMYFUNCTION("""COMPUTED_VALUE"""),"Vancouver and Prince Rupert, BC")</f>
        <v/>
      </c>
      <c r="K11941">
        <f>IFERROR(__xludf.DUMMYFUNCTION("""COMPUTED_VALUE"""),2751.82)</f>
        <v/>
      </c>
    </row>
    <row r="11942">
      <c r="J11942">
        <f>IFERROR(__xludf.DUMMYFUNCTION("""COMPUTED_VALUE"""),"Iqaluit, Nunavit, Canada")</f>
        <v/>
      </c>
      <c r="K11942">
        <f>IFERROR(__xludf.DUMMYFUNCTION("""COMPUTED_VALUE"""),2751.31)</f>
        <v/>
      </c>
    </row>
    <row r="11943">
      <c r="J11943">
        <f>IFERROR(__xludf.DUMMYFUNCTION("""COMPUTED_VALUE"""),"Edmonton, AB, Vancouver, BC")</f>
        <v/>
      </c>
      <c r="K11943">
        <f>IFERROR(__xludf.DUMMYFUNCTION("""COMPUTED_VALUE"""),2750.91)</f>
        <v/>
      </c>
    </row>
    <row r="11944">
      <c r="J11944">
        <f>IFERROR(__xludf.DUMMYFUNCTION("""COMPUTED_VALUE"""),"Fredericton, NB Halifax, NS St. John's, NL")</f>
        <v/>
      </c>
      <c r="K11944">
        <f>IFERROR(__xludf.DUMMYFUNCTION("""COMPUTED_VALUE"""),2750.7)</f>
        <v/>
      </c>
    </row>
    <row r="11945">
      <c r="J11945">
        <f>IFERROR(__xludf.DUMMYFUNCTION("""COMPUTED_VALUE"""),"Yellowknife, Northwest Territories, Canada - Fort Resolute, Northwest Territories Canada")</f>
        <v/>
      </c>
      <c r="K11945">
        <f>IFERROR(__xludf.DUMMYFUNCTION("""COMPUTED_VALUE"""),2750.54)</f>
        <v/>
      </c>
    </row>
    <row r="11946">
      <c r="J11946">
        <f>IFERROR(__xludf.DUMMYFUNCTION("""COMPUTED_VALUE"""),"Ville de Québec &amp; Valcartier (Québec) Canada")</f>
        <v/>
      </c>
      <c r="K11946">
        <f>IFERROR(__xludf.DUMMYFUNCTION("""COMPUTED_VALUE"""),2750.5)</f>
        <v/>
      </c>
    </row>
    <row r="11947">
      <c r="J11947">
        <f>IFERROR(__xludf.DUMMYFUNCTION("""COMPUTED_VALUE"""),"Montreal,  QC")</f>
        <v/>
      </c>
      <c r="K11947">
        <f>IFERROR(__xludf.DUMMYFUNCTION("""COMPUTED_VALUE"""),2750.49)</f>
        <v/>
      </c>
    </row>
    <row r="11948">
      <c r="J11948">
        <f>IFERROR(__xludf.DUMMYFUNCTION("""COMPUTED_VALUE"""),"Calgary, Alberta, Agassiz and Vancouver, British Columbia")</f>
        <v/>
      </c>
      <c r="K11948">
        <f>IFERROR(__xludf.DUMMYFUNCTION("""COMPUTED_VALUE"""),2750.45)</f>
        <v/>
      </c>
    </row>
    <row r="11949">
      <c r="J11949">
        <f>IFERROR(__xludf.DUMMYFUNCTION("""COMPUTED_VALUE"""),"Washington, District of Columbia , United States")</f>
        <v/>
      </c>
      <c r="K11949">
        <f>IFERROR(__xludf.DUMMYFUNCTION("""COMPUTED_VALUE"""),2750.38)</f>
        <v/>
      </c>
    </row>
    <row r="11950">
      <c r="J11950">
        <f>IFERROR(__xludf.DUMMYFUNCTION("""COMPUTED_VALUE"""),"Winnipeg MB, Edmonton and Calgary AB, and Saskatoon, SK")</f>
        <v/>
      </c>
      <c r="K11950">
        <f>IFERROR(__xludf.DUMMYFUNCTION("""COMPUTED_VALUE"""),2749.68)</f>
        <v/>
      </c>
    </row>
    <row r="11951">
      <c r="J11951">
        <f>IFERROR(__xludf.DUMMYFUNCTION("""COMPUTED_VALUE"""),"Saskatoon (Saskatchewan) Canada 
Swift Current (Saskatchewan) Canada
Regina (Saskatchewan) Canada")</f>
        <v/>
      </c>
      <c r="K11951">
        <f>IFERROR(__xludf.DUMMYFUNCTION("""COMPUTED_VALUE"""),2749.52)</f>
        <v/>
      </c>
    </row>
    <row r="11952">
      <c r="J11952">
        <f>IFERROR(__xludf.DUMMYFUNCTION("""COMPUTED_VALUE"""),"Moncton, New Brunswick, Charlottetown, Prince-Edward-Island and Antigonish, Nova Scotia")</f>
        <v/>
      </c>
      <c r="K11952">
        <f>IFERROR(__xludf.DUMMYFUNCTION("""COMPUTED_VALUE"""),2749.4)</f>
        <v/>
      </c>
    </row>
    <row r="11953">
      <c r="J11953">
        <f>IFERROR(__xludf.DUMMYFUNCTION("""COMPUTED_VALUE"""),"Gander &amp; Goose Bay, Newfoundland")</f>
        <v/>
      </c>
      <c r="K11953">
        <f>IFERROR(__xludf.DUMMYFUNCTION("""COMPUTED_VALUE"""),2749)</f>
        <v/>
      </c>
    </row>
    <row r="11954">
      <c r="J11954">
        <f>IFERROR(__xludf.DUMMYFUNCTION("""COMPUTED_VALUE"""),"Havana, Cuba &amp; Toronto")</f>
        <v/>
      </c>
      <c r="K11954">
        <f>IFERROR(__xludf.DUMMYFUNCTION("""COMPUTED_VALUE"""),2748.97)</f>
        <v/>
      </c>
    </row>
    <row r="11955">
      <c r="J11955">
        <f>IFERROR(__xludf.DUMMYFUNCTION("""COMPUTED_VALUE"""),"Biloxi (Mississippi)")</f>
        <v/>
      </c>
      <c r="K11955">
        <f>IFERROR(__xludf.DUMMYFUNCTION("""COMPUTED_VALUE"""),2748.86)</f>
        <v/>
      </c>
    </row>
    <row r="11956">
      <c r="J11956">
        <f>IFERROR(__xludf.DUMMYFUNCTION("""COMPUTED_VALUE"""),"Victoria, British Columbia; Richmond, British Columbia")</f>
        <v/>
      </c>
      <c r="K11956">
        <f>IFERROR(__xludf.DUMMYFUNCTION("""COMPUTED_VALUE"""),2748.04)</f>
        <v/>
      </c>
    </row>
    <row r="11957">
      <c r="J11957">
        <f>IFERROR(__xludf.DUMMYFUNCTION("""COMPUTED_VALUE"""),"PERTH, OTTAWA, PERTH")</f>
        <v/>
      </c>
      <c r="K11957">
        <f>IFERROR(__xludf.DUMMYFUNCTION("""COMPUTED_VALUE"""),2747.85)</f>
        <v/>
      </c>
    </row>
    <row r="11958">
      <c r="J11958">
        <f>IFERROR(__xludf.DUMMYFUNCTION("""COMPUTED_VALUE"""),"Mexico City and Cancun")</f>
        <v/>
      </c>
      <c r="K11958">
        <f>IFERROR(__xludf.DUMMYFUNCTION("""COMPUTED_VALUE"""),2746.94)</f>
        <v/>
      </c>
    </row>
    <row r="11959">
      <c r="J11959">
        <f>IFERROR(__xludf.DUMMYFUNCTION("""COMPUTED_VALUE"""),"Winnipeg, Manitoba, CanadaCalgary, Alberta, Canada")</f>
        <v/>
      </c>
      <c r="K11959">
        <f>IFERROR(__xludf.DUMMYFUNCTION("""COMPUTED_VALUE"""),2746.75)</f>
        <v/>
      </c>
    </row>
    <row r="11960">
      <c r="J11960">
        <f>IFERROR(__xludf.DUMMYFUNCTION("""COMPUTED_VALUE"""),"Burnaby, BC - Sidney, BC - Abbotsford, BC - Lethbridge, AB")</f>
        <v/>
      </c>
      <c r="K11960">
        <f>IFERROR(__xludf.DUMMYFUNCTION("""COMPUTED_VALUE"""),2746.68)</f>
        <v/>
      </c>
    </row>
    <row r="11961">
      <c r="J11961">
        <f>IFERROR(__xludf.DUMMYFUNCTION("""COMPUTED_VALUE"""),"Atlantic regions")</f>
        <v/>
      </c>
      <c r="K11961">
        <f>IFERROR(__xludf.DUMMYFUNCTION("""COMPUTED_VALUE"""),2746.18)</f>
        <v/>
      </c>
    </row>
    <row r="11962">
      <c r="J11962">
        <f>IFERROR(__xludf.DUMMYFUNCTION("""COMPUTED_VALUE"""),"Vancouver &amp; Campbell River, British Columbia, Canada")</f>
        <v/>
      </c>
      <c r="K11962">
        <f>IFERROR(__xludf.DUMMYFUNCTION("""COMPUTED_VALUE"""),2745.97)</f>
        <v/>
      </c>
    </row>
    <row r="11963">
      <c r="J11963">
        <f>IFERROR(__xludf.DUMMYFUNCTION("""COMPUTED_VALUE"""),"Halifax, Nova Scotia, Canada, Toronto, Ontario, Canada")</f>
        <v/>
      </c>
      <c r="K11963">
        <f>IFERROR(__xludf.DUMMYFUNCTION("""COMPUTED_VALUE"""),2743.75)</f>
        <v/>
      </c>
    </row>
    <row r="11964">
      <c r="J11964">
        <f>IFERROR(__xludf.DUMMYFUNCTION("""COMPUTED_VALUE"""),"Valcartier (Quebec) Canada")</f>
        <v/>
      </c>
      <c r="K11964">
        <f>IFERROR(__xludf.DUMMYFUNCTION("""COMPUTED_VALUE"""),2743.16)</f>
        <v/>
      </c>
    </row>
    <row r="11965">
      <c r="J11965">
        <f>IFERROR(__xludf.DUMMYFUNCTION("""COMPUTED_VALUE"""),"Charlottetown, Prince Edward Island, Canada; Ottawa, Ontario, Canada")</f>
        <v/>
      </c>
      <c r="K11965">
        <f>IFERROR(__xludf.DUMMYFUNCTION("""COMPUTED_VALUE"""),2742.84)</f>
        <v/>
      </c>
    </row>
    <row r="11966">
      <c r="J11966">
        <f>IFERROR(__xludf.DUMMYFUNCTION("""COMPUTED_VALUE"""),"Haifax")</f>
        <v/>
      </c>
      <c r="K11966">
        <f>IFERROR(__xludf.DUMMYFUNCTION("""COMPUTED_VALUE"""),2742.84)</f>
        <v/>
      </c>
    </row>
    <row r="11967">
      <c r="J11967">
        <f>IFERROR(__xludf.DUMMYFUNCTION("""COMPUTED_VALUE"""),"St. John`s, Newfoundland and Labrador, Canada and Saskatoon, Saskatchewan, Canada")</f>
        <v/>
      </c>
      <c r="K11967">
        <f>IFERROR(__xludf.DUMMYFUNCTION("""COMPUTED_VALUE"""),2742.82)</f>
        <v/>
      </c>
    </row>
    <row r="11968">
      <c r="J11968">
        <f>IFERROR(__xludf.DUMMYFUNCTION("""COMPUTED_VALUE"""),"Saskatoon, SK, Toronto, ON")</f>
        <v/>
      </c>
      <c r="K11968">
        <f>IFERROR(__xludf.DUMMYFUNCTION("""COMPUTED_VALUE"""),2742.73)</f>
        <v/>
      </c>
    </row>
    <row r="11969">
      <c r="J11969">
        <f>IFERROR(__xludf.DUMMYFUNCTION("""COMPUTED_VALUE"""),"Penticton, BC, Canada")</f>
        <v/>
      </c>
      <c r="K11969">
        <f>IFERROR(__xludf.DUMMYFUNCTION("""COMPUTED_VALUE"""),2742.56)</f>
        <v/>
      </c>
    </row>
    <row r="11970">
      <c r="J11970">
        <f>IFERROR(__xludf.DUMMYFUNCTION("""COMPUTED_VALUE"""),"Red Deer, AB; Edmonton, AB")</f>
        <v/>
      </c>
      <c r="K11970">
        <f>IFERROR(__xludf.DUMMYFUNCTION("""COMPUTED_VALUE"""),2742.54)</f>
        <v/>
      </c>
    </row>
    <row r="11971">
      <c r="J11971">
        <f>IFERROR(__xludf.DUMMYFUNCTION("""COMPUTED_VALUE"""),"Moncton, NB - Regina, SK / Regina, SK - Winnipeg, MB / Winnipeg, MB - Moncton, NB")</f>
        <v/>
      </c>
      <c r="K11971">
        <f>IFERROR(__xludf.DUMMYFUNCTION("""COMPUTED_VALUE"""),2741.12)</f>
        <v/>
      </c>
    </row>
    <row r="11972">
      <c r="J11972">
        <f>IFERROR(__xludf.DUMMYFUNCTION("""COMPUTED_VALUE"""),"Montréal; Laval, Quebec, Canada")</f>
        <v/>
      </c>
      <c r="K11972">
        <f>IFERROR(__xludf.DUMMYFUNCTION("""COMPUTED_VALUE"""),2740.65)</f>
        <v/>
      </c>
    </row>
    <row r="11973">
      <c r="J11973">
        <f>IFERROR(__xludf.DUMMYFUNCTION("""COMPUTED_VALUE"""),"Ottawa, Ontario, Canada
Kitchener, Ontario, Canada")</f>
        <v/>
      </c>
      <c r="K11973">
        <f>IFERROR(__xludf.DUMMYFUNCTION("""COMPUTED_VALUE"""),2740.52)</f>
        <v/>
      </c>
    </row>
    <row r="11974">
      <c r="J11974">
        <f>IFERROR(__xludf.DUMMYFUNCTION("""COMPUTED_VALUE"""),"Moncton, NB and Ottawa, ON")</f>
        <v/>
      </c>
      <c r="K11974">
        <f>IFERROR(__xludf.DUMMYFUNCTION("""COMPUTED_VALUE"""),2740.51)</f>
        <v/>
      </c>
    </row>
    <row r="11975">
      <c r="J11975">
        <f>IFERROR(__xludf.DUMMYFUNCTION("""COMPUTED_VALUE"""),"Winnipeg, Edmonton, Vancouver")</f>
        <v/>
      </c>
      <c r="K11975">
        <f>IFERROR(__xludf.DUMMYFUNCTION("""COMPUTED_VALUE"""),2740)</f>
        <v/>
      </c>
    </row>
    <row r="11976">
      <c r="J11976">
        <f>IFERROR(__xludf.DUMMYFUNCTION("""COMPUTED_VALUE"""),"DC")</f>
        <v/>
      </c>
      <c r="K11976">
        <f>IFERROR(__xludf.DUMMYFUNCTION("""COMPUTED_VALUE"""),2739.96)</f>
        <v/>
      </c>
    </row>
    <row r="11977">
      <c r="J11977">
        <f>IFERROR(__xludf.DUMMYFUNCTION("""COMPUTED_VALUE"""),"Esquimalt (British Columbia) Canada")</f>
        <v/>
      </c>
      <c r="K11977">
        <f>IFERROR(__xludf.DUMMYFUNCTION("""COMPUTED_VALUE"""),2739.42)</f>
        <v/>
      </c>
    </row>
    <row r="11978">
      <c r="J11978">
        <f>IFERROR(__xludf.DUMMYFUNCTION("""COMPUTED_VALUE"""),"Miramichi, New Brunswick, Canada; Bathurst, New Brunswick, Canada; Moncton, New Brunswick, Canada")</f>
        <v/>
      </c>
      <c r="K11978">
        <f>IFERROR(__xludf.DUMMYFUNCTION("""COMPUTED_VALUE"""),2738.77)</f>
        <v/>
      </c>
    </row>
    <row r="11979">
      <c r="J11979">
        <f>IFERROR(__xludf.DUMMYFUNCTION("""COMPUTED_VALUE"""),"KANATA, OTTAWA, WINNIPEG, BRANDON, REGINA, MOOSE JAW, SASKATOON, OTTAWA, KANATA")</f>
        <v/>
      </c>
      <c r="K11979">
        <f>IFERROR(__xludf.DUMMYFUNCTION("""COMPUTED_VALUE"""),2737.68)</f>
        <v/>
      </c>
    </row>
    <row r="11980">
      <c r="J11980">
        <f>IFERROR(__xludf.DUMMYFUNCTION("""COMPUTED_VALUE"""),"Phuket, Thailand")</f>
        <v/>
      </c>
      <c r="K11980">
        <f>IFERROR(__xludf.DUMMYFUNCTION("""COMPUTED_VALUE"""),2736.96)</f>
        <v/>
      </c>
    </row>
    <row r="11981">
      <c r="J11981">
        <f>IFERROR(__xludf.DUMMYFUNCTION("""COMPUTED_VALUE"""),"Niagara, Ontario / Toronto, Ontario")</f>
        <v/>
      </c>
      <c r="K11981">
        <f>IFERROR(__xludf.DUMMYFUNCTION("""COMPUTED_VALUE"""),2736.88)</f>
        <v/>
      </c>
    </row>
    <row r="11982">
      <c r="J11982">
        <f>IFERROR(__xludf.DUMMYFUNCTION("""COMPUTED_VALUE"""),"Calgary, AB / Halifax, NS / Wolfville, NS")</f>
        <v/>
      </c>
      <c r="K11982">
        <f>IFERROR(__xludf.DUMMYFUNCTION("""COMPUTED_VALUE"""),2736.73)</f>
        <v/>
      </c>
    </row>
    <row r="11983">
      <c r="J11983">
        <f>IFERROR(__xludf.DUMMYFUNCTION("""COMPUTED_VALUE"""),"Winnipeg, MB; Thompson, MB; Ottawa, ON")</f>
        <v/>
      </c>
      <c r="K11983">
        <f>IFERROR(__xludf.DUMMYFUNCTION("""COMPUTED_VALUE"""),2736.55)</f>
        <v/>
      </c>
    </row>
    <row r="11984">
      <c r="J11984">
        <f>IFERROR(__xludf.DUMMYFUNCTION("""COMPUTED_VALUE"""),"Montréal, Quebec, Canada; Moncton, New Brunswick, Canada")</f>
        <v/>
      </c>
      <c r="K11984">
        <f>IFERROR(__xludf.DUMMYFUNCTION("""COMPUTED_VALUE"""),2736.42)</f>
        <v/>
      </c>
    </row>
    <row r="11985">
      <c r="J11985">
        <f>IFERROR(__xludf.DUMMYFUNCTION("""COMPUTED_VALUE"""),"Ottawa, ON - Vancouver, BC")</f>
        <v/>
      </c>
      <c r="K11985">
        <f>IFERROR(__xludf.DUMMYFUNCTION("""COMPUTED_VALUE"""),2736)</f>
        <v/>
      </c>
    </row>
    <row r="11986">
      <c r="J11986">
        <f>IFERROR(__xludf.DUMMYFUNCTION("""COMPUTED_VALUE"""),"Las Vegas and Los Angeles")</f>
        <v/>
      </c>
      <c r="K11986">
        <f>IFERROR(__xludf.DUMMYFUNCTION("""COMPUTED_VALUE"""),2735.91)</f>
        <v/>
      </c>
    </row>
    <row r="11987">
      <c r="J11987">
        <f>IFERROR(__xludf.DUMMYFUNCTION("""COMPUTED_VALUE"""),"Boston (USA)")</f>
        <v/>
      </c>
      <c r="K11987">
        <f>IFERROR(__xludf.DUMMYFUNCTION("""COMPUTED_VALUE"""),2735.77)</f>
        <v/>
      </c>
    </row>
    <row r="11988">
      <c r="J11988">
        <f>IFERROR(__xludf.DUMMYFUNCTION("""COMPUTED_VALUE"""),"Halifax, NS; St. John's, NL; Charlottetown, PE")</f>
        <v/>
      </c>
      <c r="K11988">
        <f>IFERROR(__xludf.DUMMYFUNCTION("""COMPUTED_VALUE"""),2735.77)</f>
        <v/>
      </c>
    </row>
    <row r="11989">
      <c r="J11989">
        <f>IFERROR(__xludf.DUMMYFUNCTION("""COMPUTED_VALUE"""),"Toronto, ON, Vancouver, Burnaby, BC")</f>
        <v/>
      </c>
      <c r="K11989">
        <f>IFERROR(__xludf.DUMMYFUNCTION("""COMPUTED_VALUE"""),2735.73)</f>
        <v/>
      </c>
    </row>
    <row r="11990">
      <c r="J11990">
        <f>IFERROR(__xludf.DUMMYFUNCTION("""COMPUTED_VALUE"""),"Malaga, Spain")</f>
        <v/>
      </c>
      <c r="K11990">
        <f>IFERROR(__xludf.DUMMYFUNCTION("""COMPUTED_VALUE"""),2734.5)</f>
        <v/>
      </c>
    </row>
    <row r="11991">
      <c r="J11991">
        <f>IFERROR(__xludf.DUMMYFUNCTION("""COMPUTED_VALUE"""),"TORONTO - BORDEN-CORNWALL-OTTAWA")</f>
        <v/>
      </c>
      <c r="K11991">
        <f>IFERROR(__xludf.DUMMYFUNCTION("""COMPUTED_VALUE"""),2733.97)</f>
        <v/>
      </c>
    </row>
    <row r="11992">
      <c r="J11992">
        <f>IFERROR(__xludf.DUMMYFUNCTION("""COMPUTED_VALUE"""),"Edmonton, AB and Fort McMurray, AB")</f>
        <v/>
      </c>
      <c r="K11992">
        <f>IFERROR(__xludf.DUMMYFUNCTION("""COMPUTED_VALUE"""),2733.1)</f>
        <v/>
      </c>
    </row>
    <row r="11993">
      <c r="J11993">
        <f>IFERROR(__xludf.DUMMYFUNCTION("""COMPUTED_VALUE"""),"Medellin, CO")</f>
        <v/>
      </c>
      <c r="K11993">
        <f>IFERROR(__xludf.DUMMYFUNCTION("""COMPUTED_VALUE"""),2732.82)</f>
        <v/>
      </c>
    </row>
    <row r="11994">
      <c r="J11994">
        <f>IFERROR(__xludf.DUMMYFUNCTION("""COMPUTED_VALUE"""),"Niagara Falls, Ontario, Canada; Burlington, Ontario, Canada; Kitchener, Ontario, Canada")</f>
        <v/>
      </c>
      <c r="K11994">
        <f>IFERROR(__xludf.DUMMYFUNCTION("""COMPUTED_VALUE"""),2732.07)</f>
        <v/>
      </c>
    </row>
    <row r="11995">
      <c r="J11995">
        <f>IFERROR(__xludf.DUMMYFUNCTION("""COMPUTED_VALUE"""),"Toronto, ON Québec, QC")</f>
        <v/>
      </c>
      <c r="K11995">
        <f>IFERROR(__xludf.DUMMYFUNCTION("""COMPUTED_VALUE"""),2731.59)</f>
        <v/>
      </c>
    </row>
    <row r="11996">
      <c r="J11996">
        <f>IFERROR(__xludf.DUMMYFUNCTION("""COMPUTED_VALUE"""),"Vancouver, BC - Chilliwack, BC")</f>
        <v/>
      </c>
      <c r="K11996">
        <f>IFERROR(__xludf.DUMMYFUNCTION("""COMPUTED_VALUE"""),2731.49)</f>
        <v/>
      </c>
    </row>
    <row r="11997">
      <c r="J11997">
        <f>IFERROR(__xludf.DUMMYFUNCTION("""COMPUTED_VALUE"""),"Winnipeg, MB Toronto, ON")</f>
        <v/>
      </c>
      <c r="K11997">
        <f>IFERROR(__xludf.DUMMYFUNCTION("""COMPUTED_VALUE"""),2731.23)</f>
        <v/>
      </c>
    </row>
    <row r="11998">
      <c r="J11998">
        <f>IFERROR(__xludf.DUMMYFUNCTION("""COMPUTED_VALUE"""),"Merrickville, ON")</f>
        <v/>
      </c>
      <c r="K11998">
        <f>IFERROR(__xludf.DUMMYFUNCTION("""COMPUTED_VALUE"""),2731.09)</f>
        <v/>
      </c>
    </row>
    <row r="11999">
      <c r="J11999">
        <f>IFERROR(__xludf.DUMMYFUNCTION("""COMPUTED_VALUE"""),"Montreal, Quebec / Toronto, Ontario")</f>
        <v/>
      </c>
      <c r="K11999">
        <f>IFERROR(__xludf.DUMMYFUNCTION("""COMPUTED_VALUE"""),2730.75)</f>
        <v/>
      </c>
    </row>
    <row r="12000">
      <c r="J12000">
        <f>IFERROR(__xludf.DUMMYFUNCTION("""COMPUTED_VALUE"""),"Washington, DC and Ottawa, Ontario")</f>
        <v/>
      </c>
      <c r="K12000">
        <f>IFERROR(__xludf.DUMMYFUNCTION("""COMPUTED_VALUE"""),2728.29)</f>
        <v/>
      </c>
    </row>
    <row r="12001">
      <c r="J12001">
        <f>IFERROR(__xludf.DUMMYFUNCTION("""COMPUTED_VALUE"""),"BRNO, Czeck Republic")</f>
        <v/>
      </c>
      <c r="K12001">
        <f>IFERROR(__xludf.DUMMYFUNCTION("""COMPUTED_VALUE"""),2728.22)</f>
        <v/>
      </c>
    </row>
    <row r="12002">
      <c r="J12002">
        <f>IFERROR(__xludf.DUMMYFUNCTION("""COMPUTED_VALUE"""),"Colorado Spring - CO")</f>
        <v/>
      </c>
      <c r="K12002">
        <f>IFERROR(__xludf.DUMMYFUNCTION("""COMPUTED_VALUE"""),2727.57)</f>
        <v/>
      </c>
    </row>
    <row r="12003">
      <c r="J12003">
        <f>IFERROR(__xludf.DUMMYFUNCTION("""COMPUTED_VALUE"""),"Detroit, MI / Windsor, ON")</f>
        <v/>
      </c>
      <c r="K12003">
        <f>IFERROR(__xludf.DUMMYFUNCTION("""COMPUTED_VALUE"""),2727.45)</f>
        <v/>
      </c>
    </row>
    <row r="12004">
      <c r="J12004">
        <f>IFERROR(__xludf.DUMMYFUNCTION("""COMPUTED_VALUE"""),"Phoenix, AZ
San Diego, CA")</f>
        <v/>
      </c>
      <c r="K12004">
        <f>IFERROR(__xludf.DUMMYFUNCTION("""COMPUTED_VALUE"""),2727.29)</f>
        <v/>
      </c>
    </row>
    <row r="12005">
      <c r="J12005">
        <f>IFERROR(__xludf.DUMMYFUNCTION("""COMPUTED_VALUE"""),"Amqui, QC / Montreal, QC / Quebec, QC")</f>
        <v/>
      </c>
      <c r="K12005">
        <f>IFERROR(__xludf.DUMMYFUNCTION("""COMPUTED_VALUE"""),2726.47)</f>
        <v/>
      </c>
    </row>
    <row r="12006">
      <c r="J12006">
        <f>IFERROR(__xludf.DUMMYFUNCTION("""COMPUTED_VALUE"""),"Ann Arbor, Michigan")</f>
        <v/>
      </c>
      <c r="K12006">
        <f>IFERROR(__xludf.DUMMYFUNCTION("""COMPUTED_VALUE"""),2726.41)</f>
        <v/>
      </c>
    </row>
    <row r="12007">
      <c r="J12007">
        <f>IFERROR(__xludf.DUMMYFUNCTION("""COMPUTED_VALUE"""),"Sherwood Park, Alberta, Canada                              Winnipeg, Manitoba, Canada")</f>
        <v/>
      </c>
      <c r="K12007">
        <f>IFERROR(__xludf.DUMMYFUNCTION("""COMPUTED_VALUE"""),2725.36)</f>
        <v/>
      </c>
    </row>
    <row r="12008">
      <c r="J12008">
        <f>IFERROR(__xludf.DUMMYFUNCTION("""COMPUTED_VALUE"""),"Quebec Tour")</f>
        <v/>
      </c>
      <c r="K12008">
        <f>IFERROR(__xludf.DUMMYFUNCTION("""COMPUTED_VALUE"""),2725.31)</f>
        <v/>
      </c>
    </row>
    <row r="12009">
      <c r="J12009">
        <f>IFERROR(__xludf.DUMMYFUNCTION("""COMPUTED_VALUE"""),"OTTAWA, ON / WINNIPEG, MB")</f>
        <v/>
      </c>
      <c r="K12009">
        <f>IFERROR(__xludf.DUMMYFUNCTION("""COMPUTED_VALUE"""),2725.1)</f>
        <v/>
      </c>
    </row>
    <row r="12010">
      <c r="J12010">
        <f>IFERROR(__xludf.DUMMYFUNCTION("""COMPUTED_VALUE"""),"Lytton, BC")</f>
        <v/>
      </c>
      <c r="K12010">
        <f>IFERROR(__xludf.DUMMYFUNCTION("""COMPUTED_VALUE"""),2724.59)</f>
        <v/>
      </c>
    </row>
    <row r="12011">
      <c r="J12011">
        <f>IFERROR(__xludf.DUMMYFUNCTION("""COMPUTED_VALUE"""),"Wahington, DC, USA")</f>
        <v/>
      </c>
      <c r="K12011">
        <f>IFERROR(__xludf.DUMMYFUNCTION("""COMPUTED_VALUE"""),2724.48)</f>
        <v/>
      </c>
    </row>
    <row r="12012">
      <c r="J12012">
        <f>IFERROR(__xludf.DUMMYFUNCTION("""COMPUTED_VALUE"""),"Yellowknife, Northwest Territories, Canada; Calgary and Edmonton, Alberta, Canada")</f>
        <v/>
      </c>
      <c r="K12012">
        <f>IFERROR(__xludf.DUMMYFUNCTION("""COMPUTED_VALUE"""),2724.16)</f>
        <v/>
      </c>
    </row>
    <row r="12013">
      <c r="J12013">
        <f>IFERROR(__xludf.DUMMYFUNCTION("""COMPUTED_VALUE"""),"Hamilton, Ontario, Canada / Oakville, Ontario, Canada / Toronto, Ontario, Canada")</f>
        <v/>
      </c>
      <c r="K12013">
        <f>IFERROR(__xludf.DUMMYFUNCTION("""COMPUTED_VALUE"""),2724.05)</f>
        <v/>
      </c>
    </row>
    <row r="12014">
      <c r="J12014">
        <f>IFERROR(__xludf.DUMMYFUNCTION("""COMPUTED_VALUE"""),"Windsor- ON")</f>
        <v/>
      </c>
      <c r="K12014">
        <f>IFERROR(__xludf.DUMMYFUNCTION("""COMPUTED_VALUE"""),2722.37)</f>
        <v/>
      </c>
    </row>
    <row r="12015">
      <c r="J12015">
        <f>IFERROR(__xludf.DUMMYFUNCTION("""COMPUTED_VALUE"""),"Chatham, Ontario, Canada; Fredericton, New Brunswick, Canada; Saint John, New Brunswick, Canada")</f>
        <v/>
      </c>
      <c r="K12015">
        <f>IFERROR(__xludf.DUMMYFUNCTION("""COMPUTED_VALUE"""),2721.91)</f>
        <v/>
      </c>
    </row>
    <row r="12016">
      <c r="J12016">
        <f>IFERROR(__xludf.DUMMYFUNCTION("""COMPUTED_VALUE"""),"Saint John, Saint George, St Stephen, McAdam, Quispamsis, Hampton and Sussex, New Brunswick")</f>
        <v/>
      </c>
      <c r="K12016">
        <f>IFERROR(__xludf.DUMMYFUNCTION("""COMPUTED_VALUE"""),2721.37)</f>
        <v/>
      </c>
    </row>
    <row r="12017">
      <c r="J12017">
        <f>IFERROR(__xludf.DUMMYFUNCTION("""COMPUTED_VALUE"""),"Washington D.C., United States of America.")</f>
        <v/>
      </c>
      <c r="K12017">
        <f>IFERROR(__xludf.DUMMYFUNCTION("""COMPUTED_VALUE"""),2721.14)</f>
        <v/>
      </c>
    </row>
    <row r="12018">
      <c r="J12018">
        <f>IFERROR(__xludf.DUMMYFUNCTION("""COMPUTED_VALUE"""),"Bagotville, Quebec, Canada; Jonquière, Quebec, Canada")</f>
        <v/>
      </c>
      <c r="K12018">
        <f>IFERROR(__xludf.DUMMYFUNCTION("""COMPUTED_VALUE"""),2721)</f>
        <v/>
      </c>
    </row>
    <row r="12019">
      <c r="J12019">
        <f>IFERROR(__xludf.DUMMYFUNCTION("""COMPUTED_VALUE"""),"Pittsburg")</f>
        <v/>
      </c>
      <c r="K12019">
        <f>IFERROR(__xludf.DUMMYFUNCTION("""COMPUTED_VALUE"""),2720.97)</f>
        <v/>
      </c>
    </row>
    <row r="12020">
      <c r="J12020">
        <f>IFERROR(__xludf.DUMMYFUNCTION("""COMPUTED_VALUE"""),"Charlottetown, PE - Quebec City, QC / Quebec City, QC - Charlottetown, PE")</f>
        <v/>
      </c>
      <c r="K12020">
        <f>IFERROR(__xludf.DUMMYFUNCTION("""COMPUTED_VALUE"""),2720.33)</f>
        <v/>
      </c>
    </row>
    <row r="12021">
      <c r="J12021">
        <f>IFERROR(__xludf.DUMMYFUNCTION("""COMPUTED_VALUE"""),"Vancouver (Brittish Colombia) - Whitehorse (Yukon)")</f>
        <v/>
      </c>
      <c r="K12021">
        <f>IFERROR(__xludf.DUMMYFUNCTION("""COMPUTED_VALUE"""),2719.88)</f>
        <v/>
      </c>
    </row>
    <row r="12022">
      <c r="J12022">
        <f>IFERROR(__xludf.DUMMYFUNCTION("""COMPUTED_VALUE"""),"St. John's, Newfoundland and Labrador – 
Gros Morne, Newfoundland and Labrador")</f>
        <v/>
      </c>
      <c r="K12022">
        <f>IFERROR(__xludf.DUMMYFUNCTION("""COMPUTED_VALUE"""),2719.36)</f>
        <v/>
      </c>
    </row>
    <row r="12023">
      <c r="J12023">
        <f>IFERROR(__xludf.DUMMYFUNCTION("""COMPUTED_VALUE"""),"Fredericton, New-Brunswick")</f>
        <v/>
      </c>
      <c r="K12023">
        <f>IFERROR(__xludf.DUMMYFUNCTION("""COMPUTED_VALUE"""),2719.25)</f>
        <v/>
      </c>
    </row>
    <row r="12024">
      <c r="J12024">
        <f>IFERROR(__xludf.DUMMYFUNCTION("""COMPUTED_VALUE"""),"Edmonton, Alberta;
Saskatoon, Saskatchewan")</f>
        <v/>
      </c>
      <c r="K12024">
        <f>IFERROR(__xludf.DUMMYFUNCTION("""COMPUTED_VALUE"""),2718.89)</f>
        <v/>
      </c>
    </row>
    <row r="12025">
      <c r="J12025">
        <f>IFERROR(__xludf.DUMMYFUNCTION("""COMPUTED_VALUE"""),"Fredericton, New Brunswick Toronto, Ontario")</f>
        <v/>
      </c>
      <c r="K12025">
        <f>IFERROR(__xludf.DUMMYFUNCTION("""COMPUTED_VALUE"""),2718.64)</f>
        <v/>
      </c>
    </row>
    <row r="12026">
      <c r="J12026">
        <f>IFERROR(__xludf.DUMMYFUNCTION("""COMPUTED_VALUE"""),"Toronto / Windsor")</f>
        <v/>
      </c>
      <c r="K12026">
        <f>IFERROR(__xludf.DUMMYFUNCTION("""COMPUTED_VALUE"""),2718.32)</f>
        <v/>
      </c>
    </row>
    <row r="12027">
      <c r="J12027">
        <f>IFERROR(__xludf.DUMMYFUNCTION("""COMPUTED_VALUE"""),"Ottawa- Vancouver- Ottawa")</f>
        <v/>
      </c>
      <c r="K12027">
        <f>IFERROR(__xludf.DUMMYFUNCTION("""COMPUTED_VALUE"""),2717.89)</f>
        <v/>
      </c>
    </row>
    <row r="12028">
      <c r="J12028">
        <f>IFERROR(__xludf.DUMMYFUNCTION("""COMPUTED_VALUE"""),"Montreal, Quebec, Canada and Halifax, Nova Scotia, Canada")</f>
        <v/>
      </c>
      <c r="K12028">
        <f>IFERROR(__xludf.DUMMYFUNCTION("""COMPUTED_VALUE"""),2717.75)</f>
        <v/>
      </c>
    </row>
    <row r="12029">
      <c r="J12029">
        <f>IFERROR(__xludf.DUMMYFUNCTION("""COMPUTED_VALUE"""),"Moncton and Fredericton, New Brunswick, Canada and Halifax, Nova Scotia, Canada")</f>
        <v/>
      </c>
      <c r="K12029">
        <f>IFERROR(__xludf.DUMMYFUNCTION("""COMPUTED_VALUE"""),2717.28)</f>
        <v/>
      </c>
    </row>
    <row r="12030">
      <c r="J12030">
        <f>IFERROR(__xludf.DUMMYFUNCTION("""COMPUTED_VALUE"""),"Québec, Roberval")</f>
        <v/>
      </c>
      <c r="K12030">
        <f>IFERROR(__xludf.DUMMYFUNCTION("""COMPUTED_VALUE"""),2716.5)</f>
        <v/>
      </c>
    </row>
    <row r="12031">
      <c r="J12031">
        <f>IFERROR(__xludf.DUMMYFUNCTION("""COMPUTED_VALUE"""),"Burlington")</f>
        <v/>
      </c>
      <c r="K12031">
        <f>IFERROR(__xludf.DUMMYFUNCTION("""COMPUTED_VALUE"""),2716.39)</f>
        <v/>
      </c>
    </row>
    <row r="12032">
      <c r="J12032">
        <f>IFERROR(__xludf.DUMMYFUNCTION("""COMPUTED_VALUE"""),"Timmins / Moosonee / Moose Factory, (Ontario)")</f>
        <v/>
      </c>
      <c r="K12032">
        <f>IFERROR(__xludf.DUMMYFUNCTION("""COMPUTED_VALUE"""),2715.54)</f>
        <v/>
      </c>
    </row>
    <row r="12033">
      <c r="J12033">
        <f>IFERROR(__xludf.DUMMYFUNCTION("""COMPUTED_VALUE"""),"New-Orleans, U.S.")</f>
        <v/>
      </c>
      <c r="K12033">
        <f>IFERROR(__xludf.DUMMYFUNCTION("""COMPUTED_VALUE"""),2715.39)</f>
        <v/>
      </c>
    </row>
    <row r="12034">
      <c r="J12034">
        <f>IFERROR(__xludf.DUMMYFUNCTION("""COMPUTED_VALUE"""),"Wetaskiwin, AB")</f>
        <v/>
      </c>
      <c r="K12034">
        <f>IFERROR(__xludf.DUMMYFUNCTION("""COMPUTED_VALUE"""),2715.39)</f>
        <v/>
      </c>
    </row>
    <row r="12035">
      <c r="J12035">
        <f>IFERROR(__xludf.DUMMYFUNCTION("""COMPUTED_VALUE"""),"Berlin Germany")</f>
        <v/>
      </c>
      <c r="K12035">
        <f>IFERROR(__xludf.DUMMYFUNCTION("""COMPUTED_VALUE"""),2714.91)</f>
        <v/>
      </c>
    </row>
    <row r="12036">
      <c r="J12036">
        <f>IFERROR(__xludf.DUMMYFUNCTION("""COMPUTED_VALUE"""),"Montreal / Toronto")</f>
        <v/>
      </c>
      <c r="K12036">
        <f>IFERROR(__xludf.DUMMYFUNCTION("""COMPUTED_VALUE"""),2714.8)</f>
        <v/>
      </c>
    </row>
    <row r="12037">
      <c r="J12037">
        <f>IFERROR(__xludf.DUMMYFUNCTION("""COMPUTED_VALUE"""),"Washington DC Area")</f>
        <v/>
      </c>
      <c r="K12037">
        <f>IFERROR(__xludf.DUMMYFUNCTION("""COMPUTED_VALUE"""),2714.71)</f>
        <v/>
      </c>
    </row>
    <row r="12038">
      <c r="J12038">
        <f>IFERROR(__xludf.DUMMYFUNCTION("""COMPUTED_VALUE"""),"Winnipeg, Manitoba and  Nanaimo, British Columbia")</f>
        <v/>
      </c>
      <c r="K12038">
        <f>IFERROR(__xludf.DUMMYFUNCTION("""COMPUTED_VALUE"""),2714.48)</f>
        <v/>
      </c>
    </row>
    <row r="12039">
      <c r="J12039">
        <f>IFERROR(__xludf.DUMMYFUNCTION("""COMPUTED_VALUE"""),"Toronto, Ontario, Canada
Mitchell, Ontario, Canada
London, Ontario, Canada")</f>
        <v/>
      </c>
      <c r="K12039">
        <f>IFERROR(__xludf.DUMMYFUNCTION("""COMPUTED_VALUE"""),2714.44)</f>
        <v/>
      </c>
    </row>
    <row r="12040">
      <c r="J12040">
        <f>IFERROR(__xludf.DUMMYFUNCTION("""COMPUTED_VALUE"""),"Rimouski, St.Andrews, Quebec, (Canada)")</f>
        <v/>
      </c>
      <c r="K12040">
        <f>IFERROR(__xludf.DUMMYFUNCTION("""COMPUTED_VALUE"""),2713.75)</f>
        <v/>
      </c>
    </row>
    <row r="12041">
      <c r="J12041">
        <f>IFERROR(__xludf.DUMMYFUNCTION("""COMPUTED_VALUE"""),"Vancouver, British Columbia, Canada; Nanaimo, British Columbia, Canada; Victoria, British Columbia, Canada; Portland, United States")</f>
        <v/>
      </c>
      <c r="K12041">
        <f>IFERROR(__xludf.DUMMYFUNCTION("""COMPUTED_VALUE"""),2713.25)</f>
        <v/>
      </c>
    </row>
    <row r="12042">
      <c r="J12042">
        <f>IFERROR(__xludf.DUMMYFUNCTION("""COMPUTED_VALUE"""),"Vancouver, BC;Winnipeg")</f>
        <v/>
      </c>
      <c r="K12042">
        <f>IFERROR(__xludf.DUMMYFUNCTION("""COMPUTED_VALUE"""),2711.64)</f>
        <v/>
      </c>
    </row>
    <row r="12043">
      <c r="J12043">
        <f>IFERROR(__xludf.DUMMYFUNCTION("""COMPUTED_VALUE"""),"Victoria, BC &amp; Esquimalt BC")</f>
        <v/>
      </c>
      <c r="K12043">
        <f>IFERROR(__xludf.DUMMYFUNCTION("""COMPUTED_VALUE"""),2711.59)</f>
        <v/>
      </c>
    </row>
    <row r="12044">
      <c r="J12044">
        <f>IFERROR(__xludf.DUMMYFUNCTION("""COMPUTED_VALUE"""),"Montréal, Quebec , Canada -Shawinigan, Quebec, Canada -Québec, Quebec, Canada -Tadoussac, Quebec, Canada -")</f>
        <v/>
      </c>
      <c r="K12044">
        <f>IFERROR(__xludf.DUMMYFUNCTION("""COMPUTED_VALUE"""),2711.46)</f>
        <v/>
      </c>
    </row>
    <row r="12045">
      <c r="J12045">
        <f>IFERROR(__xludf.DUMMYFUNCTION("""COMPUTED_VALUE"""),"Iqaluit, Nunavut, Canada - Resolute, Nunavut, Canada - Yellowknife, Northwest Territories, Canada")</f>
        <v/>
      </c>
      <c r="K12045">
        <f>IFERROR(__xludf.DUMMYFUNCTION("""COMPUTED_VALUE"""),2711.14)</f>
        <v/>
      </c>
    </row>
    <row r="12046">
      <c r="J12046">
        <f>IFERROR(__xludf.DUMMYFUNCTION("""COMPUTED_VALUE"""),"Halifax - Atlantic Region")</f>
        <v/>
      </c>
      <c r="K12046">
        <f>IFERROR(__xludf.DUMMYFUNCTION("""COMPUTED_VALUE"""),2710.77)</f>
        <v/>
      </c>
    </row>
    <row r="12047">
      <c r="J12047">
        <f>IFERROR(__xludf.DUMMYFUNCTION("""COMPUTED_VALUE"""),"Kuujjuaq, QC")</f>
        <v/>
      </c>
      <c r="K12047">
        <f>IFERROR(__xludf.DUMMYFUNCTION("""COMPUTED_VALUE"""),2710.58)</f>
        <v/>
      </c>
    </row>
    <row r="12048">
      <c r="J12048">
        <f>IFERROR(__xludf.DUMMYFUNCTION("""COMPUTED_VALUE"""),"Halifax, NS - Toronto, ON / Toronto, ON - Ottawa, ON / Ottawa, ON - Moncton, NB")</f>
        <v/>
      </c>
      <c r="K12048">
        <f>IFERROR(__xludf.DUMMYFUNCTION("""COMPUTED_VALUE"""),2710.47)</f>
        <v/>
      </c>
    </row>
    <row r="12049">
      <c r="J12049">
        <f>IFERROR(__xludf.DUMMYFUNCTION("""COMPUTED_VALUE"""),"Ottawa ON Toronto ON Vancouver BC")</f>
        <v/>
      </c>
      <c r="K12049">
        <f>IFERROR(__xludf.DUMMYFUNCTION("""COMPUTED_VALUE"""),2710.02)</f>
        <v/>
      </c>
    </row>
    <row r="12050">
      <c r="J12050">
        <f>IFERROR(__xludf.DUMMYFUNCTION("""COMPUTED_VALUE"""),"Comox, Vancouver, Victoria BC")</f>
        <v/>
      </c>
      <c r="K12050">
        <f>IFERROR(__xludf.DUMMYFUNCTION("""COMPUTED_VALUE"""),2709.99)</f>
        <v/>
      </c>
    </row>
    <row r="12051">
      <c r="J12051">
        <f>IFERROR(__xludf.DUMMYFUNCTION("""COMPUTED_VALUE"""),"London, Ontario, Canada; Québec, Quebec, Canada")</f>
        <v/>
      </c>
      <c r="K12051">
        <f>IFERROR(__xludf.DUMMYFUNCTION("""COMPUTED_VALUE"""),2709.99)</f>
        <v/>
      </c>
    </row>
    <row r="12052">
      <c r="J12052">
        <f>IFERROR(__xludf.DUMMYFUNCTION("""COMPUTED_VALUE"""),"St. John's (Newfoundland) Canada; Halifax (Nova Scotia) Canada")</f>
        <v/>
      </c>
      <c r="K12052">
        <f>IFERROR(__xludf.DUMMYFUNCTION("""COMPUTED_VALUE"""),2709.67)</f>
        <v/>
      </c>
    </row>
    <row r="12053">
      <c r="J12053">
        <f>IFERROR(__xludf.DUMMYFUNCTION("""COMPUTED_VALUE"""),"Mont-Joli, Quebec and Sarnia, Ontario")</f>
        <v/>
      </c>
      <c r="K12053">
        <f>IFERROR(__xludf.DUMMYFUNCTION("""COMPUTED_VALUE"""),2709.54)</f>
        <v/>
      </c>
    </row>
    <row r="12054">
      <c r="J12054">
        <f>IFERROR(__xludf.DUMMYFUNCTION("""COMPUTED_VALUE"""),"Chicago, Unitred States")</f>
        <v/>
      </c>
      <c r="K12054">
        <f>IFERROR(__xludf.DUMMYFUNCTION("""COMPUTED_VALUE"""),2708.86)</f>
        <v/>
      </c>
    </row>
    <row r="12055">
      <c r="J12055">
        <f>IFERROR(__xludf.DUMMYFUNCTION("""COMPUTED_VALUE"""),"Ottawa, ON - Halifax, NS")</f>
        <v/>
      </c>
      <c r="K12055">
        <f>IFERROR(__xludf.DUMMYFUNCTION("""COMPUTED_VALUE"""),2708.28)</f>
        <v/>
      </c>
    </row>
    <row r="12056">
      <c r="J12056">
        <f>IFERROR(__xludf.DUMMYFUNCTION("""COMPUTED_VALUE"""),"TORONTO, ON - OTTAWA, ON")</f>
        <v/>
      </c>
      <c r="K12056">
        <f>IFERROR(__xludf.DUMMYFUNCTION("""COMPUTED_VALUE"""),2707.72)</f>
        <v/>
      </c>
    </row>
    <row r="12057">
      <c r="J12057">
        <f>IFERROR(__xludf.DUMMYFUNCTION("""COMPUTED_VALUE"""),"Thunder Bay / Ottawa, Ontario")</f>
        <v/>
      </c>
      <c r="K12057">
        <f>IFERROR(__xludf.DUMMYFUNCTION("""COMPUTED_VALUE"""),2707.6)</f>
        <v/>
      </c>
    </row>
    <row r="12058">
      <c r="J12058">
        <f>IFERROR(__xludf.DUMMYFUNCTION("""COMPUTED_VALUE"""),"Vancouver &amp; Victoria, British Columbia, Canada")</f>
        <v/>
      </c>
      <c r="K12058">
        <f>IFERROR(__xludf.DUMMYFUNCTION("""COMPUTED_VALUE"""),2707.57)</f>
        <v/>
      </c>
    </row>
    <row r="12059">
      <c r="J12059">
        <f>IFERROR(__xludf.DUMMYFUNCTION("""COMPUTED_VALUE"""),"Fredericton, New Brunswick, Candada")</f>
        <v/>
      </c>
      <c r="K12059">
        <f>IFERROR(__xludf.DUMMYFUNCTION("""COMPUTED_VALUE"""),2706.95)</f>
        <v/>
      </c>
    </row>
    <row r="12060">
      <c r="J12060">
        <f>IFERROR(__xludf.DUMMYFUNCTION("""COMPUTED_VALUE"""),"St. John's, Newfoundland,  Halifax, Nova Scotia,  Chartlottetown, Prince Edward Island and Fredericton, New Brunswick, Canada")</f>
        <v/>
      </c>
      <c r="K12060">
        <f>IFERROR(__xludf.DUMMYFUNCTION("""COMPUTED_VALUE"""),2706.63)</f>
        <v/>
      </c>
    </row>
    <row r="12061">
      <c r="J12061">
        <f>IFERROR(__xludf.DUMMYFUNCTION("""COMPUTED_VALUE"""),"Tofino and Vancouver, British Columbia, Canada")</f>
        <v/>
      </c>
      <c r="K12061">
        <f>IFERROR(__xludf.DUMMYFUNCTION("""COMPUTED_VALUE"""),2706.34)</f>
        <v/>
      </c>
    </row>
    <row r="12062">
      <c r="J12062">
        <f>IFERROR(__xludf.DUMMYFUNCTION("""COMPUTED_VALUE"""),"Calgary, Alberta, Canada; Banff, Alberta, Canada; Kananaskis, Alberta, Canada")</f>
        <v/>
      </c>
      <c r="K12062">
        <f>IFERROR(__xludf.DUMMYFUNCTION("""COMPUTED_VALUE"""),2705.27)</f>
        <v/>
      </c>
    </row>
    <row r="12063">
      <c r="J12063">
        <f>IFERROR(__xludf.DUMMYFUNCTION("""COMPUTED_VALUE"""),"Montreal, Quebec, Canada; London, Ontario, Canada")</f>
        <v/>
      </c>
      <c r="K12063">
        <f>IFERROR(__xludf.DUMMYFUNCTION("""COMPUTED_VALUE"""),2705.24)</f>
        <v/>
      </c>
    </row>
    <row r="12064">
      <c r="J12064">
        <f>IFERROR(__xludf.DUMMYFUNCTION("""COMPUTED_VALUE"""),"Ottawa-Toronto-Calgary-Winnipeg-Ottawa")</f>
        <v/>
      </c>
      <c r="K12064">
        <f>IFERROR(__xludf.DUMMYFUNCTION("""COMPUTED_VALUE"""),2704.84)</f>
        <v/>
      </c>
    </row>
    <row r="12065">
      <c r="J12065">
        <f>IFERROR(__xludf.DUMMYFUNCTION("""COMPUTED_VALUE"""),"Ottawa - Winnipeg - Toronto - Québec - Ottawa")</f>
        <v/>
      </c>
      <c r="K12065">
        <f>IFERROR(__xludf.DUMMYFUNCTION("""COMPUTED_VALUE"""),2704.43)</f>
        <v/>
      </c>
    </row>
    <row r="12066">
      <c r="J12066">
        <f>IFERROR(__xludf.DUMMYFUNCTION("""COMPUTED_VALUE"""),"Winipeg, Manitoba")</f>
        <v/>
      </c>
      <c r="K12066">
        <f>IFERROR(__xludf.DUMMYFUNCTION("""COMPUTED_VALUE"""),2704.05)</f>
        <v/>
      </c>
    </row>
    <row r="12067">
      <c r="J12067">
        <f>IFERROR(__xludf.DUMMYFUNCTION("""COMPUTED_VALUE"""),"OTTAWA, ON - CHATSWORTH, ON")</f>
        <v/>
      </c>
      <c r="K12067">
        <f>IFERROR(__xludf.DUMMYFUNCTION("""COMPUTED_VALUE"""),2703.87)</f>
        <v/>
      </c>
    </row>
    <row r="12068">
      <c r="J12068">
        <f>IFERROR(__xludf.DUMMYFUNCTION("""COMPUTED_VALUE"""),"Ottawa; Toronto; Vermont")</f>
        <v/>
      </c>
      <c r="K12068">
        <f>IFERROR(__xludf.DUMMYFUNCTION("""COMPUTED_VALUE"""),2703.76)</f>
        <v/>
      </c>
    </row>
    <row r="12069">
      <c r="J12069">
        <f>IFERROR(__xludf.DUMMYFUNCTION("""COMPUTED_VALUE"""),"Calgary, Alberta/ Banff, Alberta, Canada")</f>
        <v/>
      </c>
      <c r="K12069">
        <f>IFERROR(__xludf.DUMMYFUNCTION("""COMPUTED_VALUE"""),2703.5)</f>
        <v/>
      </c>
    </row>
    <row r="12070">
      <c r="J12070">
        <f>IFERROR(__xludf.DUMMYFUNCTION("""COMPUTED_VALUE"""),"St-John, Newfoundland")</f>
        <v/>
      </c>
      <c r="K12070">
        <f>IFERROR(__xludf.DUMMYFUNCTION("""COMPUTED_VALUE"""),2703.1)</f>
        <v/>
      </c>
    </row>
    <row r="12071">
      <c r="J12071">
        <f>IFERROR(__xludf.DUMMYFUNCTION("""COMPUTED_VALUE"""),"Kelowa, British Columbia")</f>
        <v/>
      </c>
      <c r="K12071">
        <f>IFERROR(__xludf.DUMMYFUNCTION("""COMPUTED_VALUE"""),2702.75)</f>
        <v/>
      </c>
    </row>
    <row r="12072">
      <c r="J12072">
        <f>IFERROR(__xludf.DUMMYFUNCTION("""COMPUTED_VALUE"""),"Newfoundland, New Brunswick, Prince Edouard Island, Canada")</f>
        <v/>
      </c>
      <c r="K12072">
        <f>IFERROR(__xludf.DUMMYFUNCTION("""COMPUTED_VALUE"""),2702.46)</f>
        <v/>
      </c>
    </row>
    <row r="12073">
      <c r="J12073">
        <f>IFERROR(__xludf.DUMMYFUNCTION("""COMPUTED_VALUE"""),"Ottawa-Vancouver-Victoria-Vancouver-Ottawa")</f>
        <v/>
      </c>
      <c r="K12073">
        <f>IFERROR(__xludf.DUMMYFUNCTION("""COMPUTED_VALUE"""),2702.43)</f>
        <v/>
      </c>
    </row>
    <row r="12074">
      <c r="J12074">
        <f>IFERROR(__xludf.DUMMYFUNCTION("""COMPUTED_VALUE"""),"El Dorado, Bogota, Columbia")</f>
        <v/>
      </c>
      <c r="K12074">
        <f>IFERROR(__xludf.DUMMYFUNCTION("""COMPUTED_VALUE"""),2702.32)</f>
        <v/>
      </c>
    </row>
    <row r="12075">
      <c r="J12075">
        <f>IFERROR(__xludf.DUMMYFUNCTION("""COMPUTED_VALUE"""),"Winnipeq, MB Regina, SK")</f>
        <v/>
      </c>
      <c r="K12075">
        <f>IFERROR(__xludf.DUMMYFUNCTION("""COMPUTED_VALUE"""),2701.53)</f>
        <v/>
      </c>
    </row>
    <row r="12076">
      <c r="J12076">
        <f>IFERROR(__xludf.DUMMYFUNCTION("""COMPUTED_VALUE"""),"Toronto, Ontario / Winnipeg, Manitoba")</f>
        <v/>
      </c>
      <c r="K12076">
        <f>IFERROR(__xludf.DUMMYFUNCTION("""COMPUTED_VALUE"""),2701.42)</f>
        <v/>
      </c>
    </row>
    <row r="12077">
      <c r="J12077">
        <f>IFERROR(__xludf.DUMMYFUNCTION("""COMPUTED_VALUE"""),"Banff, Alberta, Canada / Toronto, Ontario, Canada")</f>
        <v/>
      </c>
      <c r="K12077">
        <f>IFERROR(__xludf.DUMMYFUNCTION("""COMPUTED_VALUE"""),2700.9)</f>
        <v/>
      </c>
    </row>
    <row r="12078">
      <c r="J12078">
        <f>IFERROR(__xludf.DUMMYFUNCTION("""COMPUTED_VALUE"""),"St. John's, Newfoundland, Canada; Fredericton, New Brunswick, Canada; Moncton, New Brunswick, Canada")</f>
        <v/>
      </c>
      <c r="K12078">
        <f>IFERROR(__xludf.DUMMYFUNCTION("""COMPUTED_VALUE"""),2700.3)</f>
        <v/>
      </c>
    </row>
    <row r="12079">
      <c r="J12079">
        <f>IFERROR(__xludf.DUMMYFUNCTION("""COMPUTED_VALUE"""),"Moncton, New Brunswick, Canada; Halifax, Nova Scotia, Canada; Bridgewater, Nova Scotia, Canada")</f>
        <v/>
      </c>
      <c r="K12079">
        <f>IFERROR(__xludf.DUMMYFUNCTION("""COMPUTED_VALUE"""),2700.29)</f>
        <v/>
      </c>
    </row>
    <row r="12080">
      <c r="J12080">
        <f>IFERROR(__xludf.DUMMYFUNCTION("""COMPUTED_VALUE"""),"Kingston, Ontario, Canada; Ottawa, Ontario, Canada")</f>
        <v/>
      </c>
      <c r="K12080">
        <f>IFERROR(__xludf.DUMMYFUNCTION("""COMPUTED_VALUE"""),2700.06)</f>
        <v/>
      </c>
    </row>
    <row r="12081">
      <c r="J12081">
        <f>IFERROR(__xludf.DUMMYFUNCTION("""COMPUTED_VALUE"""),"Sault Ste-Marie, Ontario, Canada / Toronto, Ontario, Canada")</f>
        <v/>
      </c>
      <c r="K12081">
        <f>IFERROR(__xludf.DUMMYFUNCTION("""COMPUTED_VALUE"""),2699.84)</f>
        <v/>
      </c>
    </row>
    <row r="12082">
      <c r="J12082">
        <f>IFERROR(__xludf.DUMMYFUNCTION("""COMPUTED_VALUE"""),"Moncton, New Brunswick,  Halifax, Nova Scotia &amp; St-John's, Newfoudland, Canada")</f>
        <v/>
      </c>
      <c r="K12082">
        <f>IFERROR(__xludf.DUMMYFUNCTION("""COMPUTED_VALUE"""),2699.69)</f>
        <v/>
      </c>
    </row>
    <row r="12083">
      <c r="J12083">
        <f>IFERROR(__xludf.DUMMYFUNCTION("""COMPUTED_VALUE"""),"Montreal, Quebec; Belleville, Ontario; Quinte West, Ontario")</f>
        <v/>
      </c>
      <c r="K12083">
        <f>IFERROR(__xludf.DUMMYFUNCTION("""COMPUTED_VALUE"""),2699.26)</f>
        <v/>
      </c>
    </row>
    <row r="12084">
      <c r="J12084">
        <f>IFERROR(__xludf.DUMMYFUNCTION("""COMPUTED_VALUE"""),"Whitehorse, Yukon, Canada; Saskatoon, Saskatchewan, Canada; Halifax, Nova Scotia, Canada")</f>
        <v/>
      </c>
      <c r="K12084">
        <f>IFERROR(__xludf.DUMMYFUNCTION("""COMPUTED_VALUE"""),2699.16)</f>
        <v/>
      </c>
    </row>
    <row r="12085">
      <c r="J12085">
        <f>IFERROR(__xludf.DUMMYFUNCTION("""COMPUTED_VALUE"""),"Calgary, Alberta, Canada; Winnipeg, Manitoba, Canada; Montréal, Quebec, Canada")</f>
        <v/>
      </c>
      <c r="K12085">
        <f>IFERROR(__xludf.DUMMYFUNCTION("""COMPUTED_VALUE"""),2699.02)</f>
        <v/>
      </c>
    </row>
    <row r="12086">
      <c r="J12086">
        <f>IFERROR(__xludf.DUMMYFUNCTION("""COMPUTED_VALUE"""),"Charlottetown, Prince Edward Island, Canada
Moncton, New Brunswick, Canada
Saint John, New Brunswick, Canada")</f>
        <v/>
      </c>
      <c r="K12086">
        <f>IFERROR(__xludf.DUMMYFUNCTION("""COMPUTED_VALUE"""),2698.97)</f>
        <v/>
      </c>
    </row>
    <row r="12087">
      <c r="J12087">
        <f>IFERROR(__xludf.DUMMYFUNCTION("""COMPUTED_VALUE"""),"Cornwall, Ontario, Canada; Toronto, Ontario, Canada; Ottawa, Ontario, Canada")</f>
        <v/>
      </c>
      <c r="K12087">
        <f>IFERROR(__xludf.DUMMYFUNCTION("""COMPUTED_VALUE"""),2698.38)</f>
        <v/>
      </c>
    </row>
    <row r="12088">
      <c r="J12088">
        <f>IFERROR(__xludf.DUMMYFUNCTION("""COMPUTED_VALUE"""),"Pasadena, U.S.A")</f>
        <v/>
      </c>
      <c r="K12088">
        <f>IFERROR(__xludf.DUMMYFUNCTION("""COMPUTED_VALUE"""),2698.14)</f>
        <v/>
      </c>
    </row>
    <row r="12089">
      <c r="J12089">
        <f>IFERROR(__xludf.DUMMYFUNCTION("""COMPUTED_VALUE"""),"St.John's,Newfoundland,Canada")</f>
        <v/>
      </c>
      <c r="K12089">
        <f>IFERROR(__xludf.DUMMYFUNCTION("""COMPUTED_VALUE"""),2698.1)</f>
        <v/>
      </c>
    </row>
    <row r="12090">
      <c r="J12090">
        <f>IFERROR(__xludf.DUMMYFUNCTION("""COMPUTED_VALUE"""),"Halifax, NS / Wolfville, NS")</f>
        <v/>
      </c>
      <c r="K12090">
        <f>IFERROR(__xludf.DUMMYFUNCTION("""COMPUTED_VALUE"""),2697.93)</f>
        <v/>
      </c>
    </row>
    <row r="12091">
      <c r="J12091">
        <f>IFERROR(__xludf.DUMMYFUNCTION("""COMPUTED_VALUE"""),"Vancouver, British Coloumbia")</f>
        <v/>
      </c>
      <c r="K12091">
        <f>IFERROR(__xludf.DUMMYFUNCTION("""COMPUTED_VALUE"""),2696.93)</f>
        <v/>
      </c>
    </row>
    <row r="12092">
      <c r="J12092">
        <f>IFERROR(__xludf.DUMMYFUNCTION("""COMPUTED_VALUE"""),"Ottawa, Ontario / Halifax, Nova Scotia, Canada")</f>
        <v/>
      </c>
      <c r="K12092">
        <f>IFERROR(__xludf.DUMMYFUNCTION("""COMPUTED_VALUE"""),2696.44)</f>
        <v/>
      </c>
    </row>
    <row r="12093">
      <c r="J12093">
        <f>IFERROR(__xludf.DUMMYFUNCTION("""COMPUTED_VALUE"""),"Bologna, Emilia-Romagna, Italy")</f>
        <v/>
      </c>
      <c r="K12093">
        <f>IFERROR(__xludf.DUMMYFUNCTION("""COMPUTED_VALUE"""),2694.25)</f>
        <v/>
      </c>
    </row>
    <row r="12094">
      <c r="J12094">
        <f>IFERROR(__xludf.DUMMYFUNCTION("""COMPUTED_VALUE"""),"Moncton, New-Brunswick / Fredericton, New-Brunswick")</f>
        <v/>
      </c>
      <c r="K12094">
        <f>IFERROR(__xludf.DUMMYFUNCTION("""COMPUTED_VALUE"""),2693.95)</f>
        <v/>
      </c>
    </row>
    <row r="12095">
      <c r="J12095">
        <f>IFERROR(__xludf.DUMMYFUNCTION("""COMPUTED_VALUE"""),"Las Cruces, New Mexico")</f>
        <v/>
      </c>
      <c r="K12095">
        <f>IFERROR(__xludf.DUMMYFUNCTION("""COMPUTED_VALUE"""),2693.16)</f>
        <v/>
      </c>
    </row>
    <row r="12096">
      <c r="J12096">
        <f>IFERROR(__xludf.DUMMYFUNCTION("""COMPUTED_VALUE"""),"Bromont, Quebec, Canada; Montréal, Quebec, Canada")</f>
        <v/>
      </c>
      <c r="K12096">
        <f>IFERROR(__xludf.DUMMYFUNCTION("""COMPUTED_VALUE"""),2692.44)</f>
        <v/>
      </c>
    </row>
    <row r="12097">
      <c r="J12097">
        <f>IFERROR(__xludf.DUMMYFUNCTION("""COMPUTED_VALUE"""),"Vancouver (British Columbia) Canda")</f>
        <v/>
      </c>
      <c r="K12097">
        <f>IFERROR(__xludf.DUMMYFUNCTION("""COMPUTED_VALUE"""),2692.23)</f>
        <v/>
      </c>
    </row>
    <row r="12098">
      <c r="J12098">
        <f>IFERROR(__xludf.DUMMYFUNCTION("""COMPUTED_VALUE"""),"Grand Haven, Michigan")</f>
        <v/>
      </c>
      <c r="K12098">
        <f>IFERROR(__xludf.DUMMYFUNCTION("""COMPUTED_VALUE"""),2692.22)</f>
        <v/>
      </c>
    </row>
    <row r="12099">
      <c r="J12099">
        <f>IFERROR(__xludf.DUMMYFUNCTION("""COMPUTED_VALUE"""),"Arviat, Nunavut, Canada")</f>
        <v/>
      </c>
      <c r="K12099">
        <f>IFERROR(__xludf.DUMMYFUNCTION("""COMPUTED_VALUE"""),2692.16)</f>
        <v/>
      </c>
    </row>
    <row r="12100">
      <c r="J12100">
        <f>IFERROR(__xludf.DUMMYFUNCTION("""COMPUTED_VALUE"""),"Vancouver, BC and Edmonton AB")</f>
        <v/>
      </c>
      <c r="K12100">
        <f>IFERROR(__xludf.DUMMYFUNCTION("""COMPUTED_VALUE"""),2691.25)</f>
        <v/>
      </c>
    </row>
    <row r="12101">
      <c r="J12101">
        <f>IFERROR(__xludf.DUMMYFUNCTION("""COMPUTED_VALUE"""),"Montreal, QC / Detroit, MI / Windsor, ON / Guelph, ON")</f>
        <v/>
      </c>
      <c r="K12101">
        <f>IFERROR(__xludf.DUMMYFUNCTION("""COMPUTED_VALUE"""),2690.78)</f>
        <v/>
      </c>
    </row>
    <row r="12102">
      <c r="J12102">
        <f>IFERROR(__xludf.DUMMYFUNCTION("""COMPUTED_VALUE"""),"Colorado Springs, CO / Denver, CO")</f>
        <v/>
      </c>
      <c r="K12102">
        <f>IFERROR(__xludf.DUMMYFUNCTION("""COMPUTED_VALUE"""),2690.72)</f>
        <v/>
      </c>
    </row>
    <row r="12103">
      <c r="J12103">
        <f>IFERROR(__xludf.DUMMYFUNCTION("""COMPUTED_VALUE"""),"Daytona Beach, FL, USA")</f>
        <v/>
      </c>
      <c r="K12103">
        <f>IFERROR(__xludf.DUMMYFUNCTION("""COMPUTED_VALUE"""),2690)</f>
        <v/>
      </c>
    </row>
    <row r="12104">
      <c r="J12104">
        <f>IFERROR(__xludf.DUMMYFUNCTION("""COMPUTED_VALUE"""),"Winnipeg, Man.")</f>
        <v/>
      </c>
      <c r="K12104">
        <f>IFERROR(__xludf.DUMMYFUNCTION("""COMPUTED_VALUE"""),2689.73)</f>
        <v/>
      </c>
    </row>
    <row r="12105">
      <c r="J12105">
        <f>IFERROR(__xludf.DUMMYFUNCTION("""COMPUTED_VALUE"""),"Mexico and Monterrey")</f>
        <v/>
      </c>
      <c r="K12105">
        <f>IFERROR(__xludf.DUMMYFUNCTION("""COMPUTED_VALUE"""),2689.56)</f>
        <v/>
      </c>
    </row>
    <row r="12106">
      <c r="J12106">
        <f>IFERROR(__xludf.DUMMYFUNCTION("""COMPUTED_VALUE"""),"Bagotville - Winnipeg - Ottawa")</f>
        <v/>
      </c>
      <c r="K12106">
        <f>IFERROR(__xludf.DUMMYFUNCTION("""COMPUTED_VALUE"""),2689.33)</f>
        <v/>
      </c>
    </row>
    <row r="12107">
      <c r="J12107">
        <f>IFERROR(__xludf.DUMMYFUNCTION("""COMPUTED_VALUE"""),"Harrisburg, Pennsylvania, United States")</f>
        <v/>
      </c>
      <c r="K12107">
        <f>IFERROR(__xludf.DUMMYFUNCTION("""COMPUTED_VALUE"""),2689.2)</f>
        <v/>
      </c>
    </row>
    <row r="12108">
      <c r="J12108">
        <f>IFERROR(__xludf.DUMMYFUNCTION("""COMPUTED_VALUE"""),"Rockville, Maryland, Washington DC")</f>
        <v/>
      </c>
      <c r="K12108">
        <f>IFERROR(__xludf.DUMMYFUNCTION("""COMPUTED_VALUE"""),2689.07)</f>
        <v/>
      </c>
    </row>
    <row r="12109">
      <c r="J12109">
        <f>IFERROR(__xludf.DUMMYFUNCTION("""COMPUTED_VALUE"""),"Halifax, Nova Scotia, Canada; Moncton, New Brunswick, Canada; Sydney, Nova Scotia, Canada")</f>
        <v/>
      </c>
      <c r="K12109">
        <f>IFERROR(__xludf.DUMMYFUNCTION("""COMPUTED_VALUE"""),2688.85)</f>
        <v/>
      </c>
    </row>
    <row r="12110">
      <c r="J12110">
        <f>IFERROR(__xludf.DUMMYFUNCTION("""COMPUTED_VALUE"""),"Lévis, Quebec, Canada; Québec, Quebec, Canada; Saint John, New Brunswick, Canada; Moncton, New Brunswick, Canada; Halifax, Nova Scotia, Canada")</f>
        <v/>
      </c>
      <c r="K12110">
        <f>IFERROR(__xludf.DUMMYFUNCTION("""COMPUTED_VALUE"""),2688.14)</f>
        <v/>
      </c>
    </row>
    <row r="12111">
      <c r="J12111">
        <f>IFERROR(__xludf.DUMMYFUNCTION("""COMPUTED_VALUE"""),"Iqaluit, Nunavut, Canada; Kimmirut, Nunavut, Canada")</f>
        <v/>
      </c>
      <c r="K12111">
        <f>IFERROR(__xludf.DUMMYFUNCTION("""COMPUTED_VALUE"""),2688.12)</f>
        <v/>
      </c>
    </row>
    <row r="12112">
      <c r="J12112">
        <f>IFERROR(__xludf.DUMMYFUNCTION("""COMPUTED_VALUE"""),"Montréal, Quebec, Canada; Lévis, Quebec, Canada; Saguenay, Quebec, Canada; Alma, Quebec, Canada; Québec, Quebec, Canada")</f>
        <v/>
      </c>
      <c r="K12112">
        <f>IFERROR(__xludf.DUMMYFUNCTION("""COMPUTED_VALUE"""),2688.11)</f>
        <v/>
      </c>
    </row>
    <row r="12113">
      <c r="J12113">
        <f>IFERROR(__xludf.DUMMYFUNCTION("""COMPUTED_VALUE"""),"Edmonton, Alberta Calgary, Alberta Saskatoon, Saskatchewan")</f>
        <v/>
      </c>
      <c r="K12113">
        <f>IFERROR(__xludf.DUMMYFUNCTION("""COMPUTED_VALUE"""),2688)</f>
        <v/>
      </c>
    </row>
    <row r="12114">
      <c r="J12114">
        <f>IFERROR(__xludf.DUMMYFUNCTION("""COMPUTED_VALUE"""),"Vancouver, BC. Winnipeg, MB")</f>
        <v/>
      </c>
      <c r="K12114">
        <f>IFERROR(__xludf.DUMMYFUNCTION("""COMPUTED_VALUE"""),2687.93)</f>
        <v/>
      </c>
    </row>
    <row r="12115">
      <c r="J12115">
        <f>IFERROR(__xludf.DUMMYFUNCTION("""COMPUTED_VALUE"""),"Quebec, Quebec / Halifax, Nova Scotia")</f>
        <v/>
      </c>
      <c r="K12115">
        <f>IFERROR(__xludf.DUMMYFUNCTION("""COMPUTED_VALUE"""),2687.82)</f>
        <v/>
      </c>
    </row>
    <row r="12116">
      <c r="J12116">
        <f>IFERROR(__xludf.DUMMYFUNCTION("""COMPUTED_VALUE"""),"Montreal, Quebec; Quebec, Quebec, Canada")</f>
        <v/>
      </c>
      <c r="K12116">
        <f>IFERROR(__xludf.DUMMYFUNCTION("""COMPUTED_VALUE"""),2687.01)</f>
        <v/>
      </c>
    </row>
    <row r="12117">
      <c r="J12117">
        <f>IFERROR(__xludf.DUMMYFUNCTION("""COMPUTED_VALUE"""),"Regina, Calgary, Canada")</f>
        <v/>
      </c>
      <c r="K12117">
        <f>IFERROR(__xludf.DUMMYFUNCTION("""COMPUTED_VALUE"""),2687)</f>
        <v/>
      </c>
    </row>
    <row r="12118">
      <c r="J12118">
        <f>IFERROR(__xludf.DUMMYFUNCTION("""COMPUTED_VALUE"""),"Richmond, British Columbia, Canada; Victoria, British Columbia, Canada")</f>
        <v/>
      </c>
      <c r="K12118">
        <f>IFERROR(__xludf.DUMMYFUNCTION("""COMPUTED_VALUE"""),2685.92)</f>
        <v/>
      </c>
    </row>
    <row r="12119">
      <c r="J12119">
        <f>IFERROR(__xludf.DUMMYFUNCTION("""COMPUTED_VALUE"""),"Toronto, Ontario, Canada; 
Edmonton, Alberta, Canada")</f>
        <v/>
      </c>
      <c r="K12119">
        <f>IFERROR(__xludf.DUMMYFUNCTION("""COMPUTED_VALUE"""),2685.57)</f>
        <v/>
      </c>
    </row>
    <row r="12120">
      <c r="J12120">
        <f>IFERROR(__xludf.DUMMYFUNCTION("""COMPUTED_VALUE"""),"Hull, QC")</f>
        <v/>
      </c>
      <c r="K12120">
        <f>IFERROR(__xludf.DUMMYFUNCTION("""COMPUTED_VALUE"""),2685.49)</f>
        <v/>
      </c>
    </row>
    <row r="12121">
      <c r="J12121">
        <f>IFERROR(__xludf.DUMMYFUNCTION("""COMPUTED_VALUE"""),"Toronto, Ontario and Washington, DC, USA")</f>
        <v/>
      </c>
      <c r="K12121">
        <f>IFERROR(__xludf.DUMMYFUNCTION("""COMPUTED_VALUE"""),2685.44)</f>
        <v/>
      </c>
    </row>
    <row r="12122">
      <c r="J12122">
        <f>IFERROR(__xludf.DUMMYFUNCTION("""COMPUTED_VALUE"""),"Hungary")</f>
        <v/>
      </c>
      <c r="K12122">
        <f>IFERROR(__xludf.DUMMYFUNCTION("""COMPUTED_VALUE"""),2685.25)</f>
        <v/>
      </c>
    </row>
    <row r="12123">
      <c r="J12123">
        <f>IFERROR(__xludf.DUMMYFUNCTION("""COMPUTED_VALUE"""),"Resolute, Nunavut
Ottawa, Ontario")</f>
        <v/>
      </c>
      <c r="K12123">
        <f>IFERROR(__xludf.DUMMYFUNCTION("""COMPUTED_VALUE"""),2685.22)</f>
        <v/>
      </c>
    </row>
    <row r="12124">
      <c r="J12124">
        <f>IFERROR(__xludf.DUMMYFUNCTION("""COMPUTED_VALUE"""),"Summerland and Agassiz (British-Columbia) Canada")</f>
        <v/>
      </c>
      <c r="K12124">
        <f>IFERROR(__xludf.DUMMYFUNCTION("""COMPUTED_VALUE"""),2684.37)</f>
        <v/>
      </c>
    </row>
    <row r="12125">
      <c r="J12125">
        <f>IFERROR(__xludf.DUMMYFUNCTION("""COMPUTED_VALUE"""),"Montreal, Toronto, Oakville, Burlington")</f>
        <v/>
      </c>
      <c r="K12125">
        <f>IFERROR(__xludf.DUMMYFUNCTION("""COMPUTED_VALUE"""),2684.11)</f>
        <v/>
      </c>
    </row>
    <row r="12126">
      <c r="J12126">
        <f>IFERROR(__xludf.DUMMYFUNCTION("""COMPUTED_VALUE"""),"Regina,Winnipeg")</f>
        <v/>
      </c>
      <c r="K12126">
        <f>IFERROR(__xludf.DUMMYFUNCTION("""COMPUTED_VALUE"""),2684.01)</f>
        <v/>
      </c>
    </row>
    <row r="12127">
      <c r="J12127">
        <f>IFERROR(__xludf.DUMMYFUNCTION("""COMPUTED_VALUE"""),"Agassiz (British Columbia) Canada; Vancouver (British Columbia) Canada")</f>
        <v/>
      </c>
      <c r="K12127">
        <f>IFERROR(__xludf.DUMMYFUNCTION("""COMPUTED_VALUE"""),2683.8)</f>
        <v/>
      </c>
    </row>
    <row r="12128">
      <c r="J12128">
        <f>IFERROR(__xludf.DUMMYFUNCTION("""COMPUTED_VALUE"""),"Calgary, AB; Kelowna, BC; Ottawa, ON")</f>
        <v/>
      </c>
      <c r="K12128">
        <f>IFERROR(__xludf.DUMMYFUNCTION("""COMPUTED_VALUE"""),2683.19)</f>
        <v/>
      </c>
    </row>
    <row r="12129">
      <c r="J12129">
        <f>IFERROR(__xludf.DUMMYFUNCTION("""COMPUTED_VALUE"""),"Chantilly, Virginia, United States and Washington, District of Columbia, United States")</f>
        <v/>
      </c>
      <c r="K12129">
        <f>IFERROR(__xludf.DUMMYFUNCTION("""COMPUTED_VALUE"""),2683.1)</f>
        <v/>
      </c>
    </row>
    <row r="12130">
      <c r="J12130">
        <f>IFERROR(__xludf.DUMMYFUNCTION("""COMPUTED_VALUE"""),"Winnipeg- Calgary")</f>
        <v/>
      </c>
      <c r="K12130">
        <f>IFERROR(__xludf.DUMMYFUNCTION("""COMPUTED_VALUE"""),2682.81)</f>
        <v/>
      </c>
    </row>
    <row r="12131">
      <c r="J12131">
        <f>IFERROR(__xludf.DUMMYFUNCTION("""COMPUTED_VALUE"""),"New York,  NY &amp; Toronto, ON")</f>
        <v/>
      </c>
      <c r="K12131">
        <f>IFERROR(__xludf.DUMMYFUNCTION("""COMPUTED_VALUE"""),2681.68)</f>
        <v/>
      </c>
    </row>
    <row r="12132">
      <c r="J12132">
        <f>IFERROR(__xludf.DUMMYFUNCTION("""COMPUTED_VALUE"""),"Montreal and Boucherville, QC")</f>
        <v/>
      </c>
      <c r="K12132">
        <f>IFERROR(__xludf.DUMMYFUNCTION("""COMPUTED_VALUE"""),2681.46)</f>
        <v/>
      </c>
    </row>
    <row r="12133">
      <c r="J12133">
        <f>IFERROR(__xludf.DUMMYFUNCTION("""COMPUTED_VALUE"""),"Halifax, NS &amp; CFB Gagetown, NB")</f>
        <v/>
      </c>
      <c r="K12133">
        <f>IFERROR(__xludf.DUMMYFUNCTION("""COMPUTED_VALUE"""),2681.19)</f>
        <v/>
      </c>
    </row>
    <row r="12134">
      <c r="J12134">
        <f>IFERROR(__xludf.DUMMYFUNCTION("""COMPUTED_VALUE"""),"Montgomery, Alabama, USA")</f>
        <v/>
      </c>
      <c r="K12134">
        <f>IFERROR(__xludf.DUMMYFUNCTION("""COMPUTED_VALUE"""),2680.02)</f>
        <v/>
      </c>
    </row>
    <row r="12135">
      <c r="J12135">
        <f>IFERROR(__xludf.DUMMYFUNCTION("""COMPUTED_VALUE"""),"Glace Bay, Nova Scotia, Canada")</f>
        <v/>
      </c>
      <c r="K12135">
        <f>IFERROR(__xludf.DUMMYFUNCTION("""COMPUTED_VALUE"""),2679.86)</f>
        <v/>
      </c>
    </row>
    <row r="12136">
      <c r="J12136">
        <f>IFERROR(__xludf.DUMMYFUNCTION("""COMPUTED_VALUE"""),"St. Michael, Barbados")</f>
        <v/>
      </c>
      <c r="K12136">
        <f>IFERROR(__xludf.DUMMYFUNCTION("""COMPUTED_VALUE"""),2679.51)</f>
        <v/>
      </c>
    </row>
    <row r="12137">
      <c r="J12137">
        <f>IFERROR(__xludf.DUMMYFUNCTION("""COMPUTED_VALUE"""),"Fredericton, New Brunswick, Canada; Halifax, Nova Scotia, Canada; Saint John, New Brunswick, Canada; Hamilton, Ontario, Canada")</f>
        <v/>
      </c>
      <c r="K12137">
        <f>IFERROR(__xludf.DUMMYFUNCTION("""COMPUTED_VALUE"""),2678.92)</f>
        <v/>
      </c>
    </row>
    <row r="12138">
      <c r="J12138">
        <f>IFERROR(__xludf.DUMMYFUNCTION("""COMPUTED_VALUE"""),"Kentville, Nova Scotia, Canada; Halifax, Nova Scotia, Canada")</f>
        <v/>
      </c>
      <c r="K12138">
        <f>IFERROR(__xludf.DUMMYFUNCTION("""COMPUTED_VALUE"""),2678.57)</f>
        <v/>
      </c>
    </row>
    <row r="12139">
      <c r="J12139">
        <f>IFERROR(__xludf.DUMMYFUNCTION("""COMPUTED_VALUE"""),"Kingston, Ottawa, Ontario")</f>
        <v/>
      </c>
      <c r="K12139">
        <f>IFERROR(__xludf.DUMMYFUNCTION("""COMPUTED_VALUE"""),2678.2)</f>
        <v/>
      </c>
    </row>
    <row r="12140">
      <c r="J12140">
        <f>IFERROR(__xludf.DUMMYFUNCTION("""COMPUTED_VALUE"""),"Victoria, BC,Canada")</f>
        <v/>
      </c>
      <c r="K12140">
        <f>IFERROR(__xludf.DUMMYFUNCTION("""COMPUTED_VALUE"""),2677.78)</f>
        <v/>
      </c>
    </row>
    <row r="12141">
      <c r="J12141">
        <f>IFERROR(__xludf.DUMMYFUNCTION("""COMPUTED_VALUE"""),"Edmonton, AB; Calgary, AB; Winnipeg, MB")</f>
        <v/>
      </c>
      <c r="K12141">
        <f>IFERROR(__xludf.DUMMYFUNCTION("""COMPUTED_VALUE"""),2677.75)</f>
        <v/>
      </c>
    </row>
    <row r="12142">
      <c r="J12142">
        <f>IFERROR(__xludf.DUMMYFUNCTION("""COMPUTED_VALUE"""),"St. John's, Newfoundland and Labrador, Canada; Québec, Quebec, Canada")</f>
        <v/>
      </c>
      <c r="K12142">
        <f>IFERROR(__xludf.DUMMYFUNCTION("""COMPUTED_VALUE"""),2677.42)</f>
        <v/>
      </c>
    </row>
    <row r="12143">
      <c r="J12143">
        <f>IFERROR(__xludf.DUMMYFUNCTION("""COMPUTED_VALUE"""),"Yerevan")</f>
        <v/>
      </c>
      <c r="K12143">
        <f>IFERROR(__xludf.DUMMYFUNCTION("""COMPUTED_VALUE"""),2677.39)</f>
        <v/>
      </c>
    </row>
    <row r="12144">
      <c r="J12144">
        <f>IFERROR(__xludf.DUMMYFUNCTION("""COMPUTED_VALUE"""),"St-Petersburg, Russia")</f>
        <v/>
      </c>
      <c r="K12144">
        <f>IFERROR(__xludf.DUMMYFUNCTION("""COMPUTED_VALUE"""),2677.31)</f>
        <v/>
      </c>
    </row>
    <row r="12145">
      <c r="J12145">
        <f>IFERROR(__xludf.DUMMYFUNCTION("""COMPUTED_VALUE"""),"Denver / Ottawa")</f>
        <v/>
      </c>
      <c r="K12145">
        <f>IFERROR(__xludf.DUMMYFUNCTION("""COMPUTED_VALUE"""),2677.1)</f>
        <v/>
      </c>
    </row>
    <row r="12146">
      <c r="J12146">
        <f>IFERROR(__xludf.DUMMYFUNCTION("""COMPUTED_VALUE"""),"Quebec, Quebec, Canada / Trois-Rivières, Quebec, Canada")</f>
        <v/>
      </c>
      <c r="K12146">
        <f>IFERROR(__xludf.DUMMYFUNCTION("""COMPUTED_VALUE"""),2677.06)</f>
        <v/>
      </c>
    </row>
    <row r="12147">
      <c r="J12147">
        <f>IFERROR(__xludf.DUMMYFUNCTION("""COMPUTED_VALUE"""),"Moncton, New Brunswick / St.John's, Newfoundland and Labrador")</f>
        <v/>
      </c>
      <c r="K12147">
        <f>IFERROR(__xludf.DUMMYFUNCTION("""COMPUTED_VALUE"""),2675.9)</f>
        <v/>
      </c>
    </row>
    <row r="12148">
      <c r="J12148">
        <f>IFERROR(__xludf.DUMMYFUNCTION("""COMPUTED_VALUE"""),"Montreal, Quebec, Kingston, Ontario, Canada")</f>
        <v/>
      </c>
      <c r="K12148">
        <f>IFERROR(__xludf.DUMMYFUNCTION("""COMPUTED_VALUE"""),2675.71)</f>
        <v/>
      </c>
    </row>
    <row r="12149">
      <c r="J12149">
        <f>IFERROR(__xludf.DUMMYFUNCTION("""COMPUTED_VALUE"""),"Prince Edward Island /  Halifax")</f>
        <v/>
      </c>
      <c r="K12149">
        <f>IFERROR(__xludf.DUMMYFUNCTION("""COMPUTED_VALUE"""),2675.12)</f>
        <v/>
      </c>
    </row>
    <row r="12150">
      <c r="J12150">
        <f>IFERROR(__xludf.DUMMYFUNCTION("""COMPUTED_VALUE"""),"Thunder Bay, Ontario, Canada; Kenora, Ontario, Canada")</f>
        <v/>
      </c>
      <c r="K12150">
        <f>IFERROR(__xludf.DUMMYFUNCTION("""COMPUTED_VALUE"""),2675)</f>
        <v/>
      </c>
    </row>
    <row r="12151">
      <c r="J12151">
        <f>IFERROR(__xludf.DUMMYFUNCTION("""COMPUTED_VALUE"""),"Cambridge (Ontario) Canada")</f>
        <v/>
      </c>
      <c r="K12151">
        <f>IFERROR(__xludf.DUMMYFUNCTION("""COMPUTED_VALUE"""),2674.91)</f>
        <v/>
      </c>
    </row>
    <row r="12152">
      <c r="J12152">
        <f>IFERROR(__xludf.DUMMYFUNCTION("""COMPUTED_VALUE"""),"Ottawa, ON, CA")</f>
        <v/>
      </c>
      <c r="K12152">
        <f>IFERROR(__xludf.DUMMYFUNCTION("""COMPUTED_VALUE"""),2672.96)</f>
        <v/>
      </c>
    </row>
    <row r="12153">
      <c r="J12153">
        <f>IFERROR(__xludf.DUMMYFUNCTION("""COMPUTED_VALUE"""),"Calgary &amp; Fort McMurray, Alberta")</f>
        <v/>
      </c>
      <c r="K12153">
        <f>IFERROR(__xludf.DUMMYFUNCTION("""COMPUTED_VALUE"""),2672.03)</f>
        <v/>
      </c>
    </row>
    <row r="12154">
      <c r="J12154">
        <f>IFERROR(__xludf.DUMMYFUNCTION("""COMPUTED_VALUE"""),"Baie-Comeau, Québec and Montréal, Québec, Canada")</f>
        <v/>
      </c>
      <c r="K12154">
        <f>IFERROR(__xludf.DUMMYFUNCTION("""COMPUTED_VALUE"""),2671.8)</f>
        <v/>
      </c>
    </row>
    <row r="12155">
      <c r="J12155">
        <f>IFERROR(__xludf.DUMMYFUNCTION("""COMPUTED_VALUE"""),"Victoria BC, Québec City QC,")</f>
        <v/>
      </c>
      <c r="K12155">
        <f>IFERROR(__xludf.DUMMYFUNCTION("""COMPUTED_VALUE"""),2671.42)</f>
        <v/>
      </c>
    </row>
    <row r="12156">
      <c r="J12156">
        <f>IFERROR(__xludf.DUMMYFUNCTION("""COMPUTED_VALUE"""),"Ottawa, Ontario, Canada Gatineau, Quebec, Canada")</f>
        <v/>
      </c>
      <c r="K12156">
        <f>IFERROR(__xludf.DUMMYFUNCTION("""COMPUTED_VALUE"""),2671.33)</f>
        <v/>
      </c>
    </row>
    <row r="12157">
      <c r="J12157">
        <f>IFERROR(__xludf.DUMMYFUNCTION("""COMPUTED_VALUE"""),"Port Colborne, Ontario, Canada / Montreal, Quebec, Canada")</f>
        <v/>
      </c>
      <c r="K12157">
        <f>IFERROR(__xludf.DUMMYFUNCTION("""COMPUTED_VALUE"""),2669.81)</f>
        <v/>
      </c>
    </row>
    <row r="12158">
      <c r="J12158">
        <f>IFERROR(__xludf.DUMMYFUNCTION("""COMPUTED_VALUE"""),"Saskatoon, Saskatchewan; Regina, Saskatchewa")</f>
        <v/>
      </c>
      <c r="K12158">
        <f>IFERROR(__xludf.DUMMYFUNCTION("""COMPUTED_VALUE"""),2669.66)</f>
        <v/>
      </c>
    </row>
    <row r="12159">
      <c r="J12159">
        <f>IFERROR(__xludf.DUMMYFUNCTION("""COMPUTED_VALUE"""),"St. John's, Newfoundland and Labrador , Canada and
Halifax, Nova Scotia, Canada")</f>
        <v/>
      </c>
      <c r="K12159">
        <f>IFERROR(__xludf.DUMMYFUNCTION("""COMPUTED_VALUE"""),2669.24)</f>
        <v/>
      </c>
    </row>
    <row r="12160">
      <c r="J12160">
        <f>IFERROR(__xludf.DUMMYFUNCTION("""COMPUTED_VALUE"""),"Kitchener, Ontario, Canada; Waterloo, Ontario, Canada; Winnipeg, Manitoba, Canada")</f>
        <v/>
      </c>
      <c r="K12160">
        <f>IFERROR(__xludf.DUMMYFUNCTION("""COMPUTED_VALUE"""),2668.81)</f>
        <v/>
      </c>
    </row>
    <row r="12161">
      <c r="J12161">
        <f>IFERROR(__xludf.DUMMYFUNCTION("""COMPUTED_VALUE"""),"Cap-aux-Meules, Quebec and Gatineau, Quebec")</f>
        <v/>
      </c>
      <c r="K12161">
        <f>IFERROR(__xludf.DUMMYFUNCTION("""COMPUTED_VALUE"""),2668.63)</f>
        <v/>
      </c>
    </row>
    <row r="12162">
      <c r="J12162">
        <f>IFERROR(__xludf.DUMMYFUNCTION("""COMPUTED_VALUE"""),"Alma, St-François-de-Sales, Cap-Chat, Gaspé, Laval")</f>
        <v/>
      </c>
      <c r="K12162">
        <f>IFERROR(__xludf.DUMMYFUNCTION("""COMPUTED_VALUE"""),2668.59)</f>
        <v/>
      </c>
    </row>
    <row r="12163">
      <c r="J12163">
        <f>IFERROR(__xludf.DUMMYFUNCTION("""COMPUTED_VALUE"""),"Gao, Mali")</f>
        <v/>
      </c>
      <c r="K12163">
        <f>IFERROR(__xludf.DUMMYFUNCTION("""COMPUTED_VALUE"""),2668.37)</f>
        <v/>
      </c>
    </row>
    <row r="12164">
      <c r="J12164">
        <f>IFERROR(__xludf.DUMMYFUNCTION("""COMPUTED_VALUE"""),"Boston, U.S.A.")</f>
        <v/>
      </c>
      <c r="K12164">
        <f>IFERROR(__xludf.DUMMYFUNCTION("""COMPUTED_VALUE"""),2668.27)</f>
        <v/>
      </c>
    </row>
    <row r="12165">
      <c r="J12165">
        <f>IFERROR(__xludf.DUMMYFUNCTION("""COMPUTED_VALUE"""),"Montreal, Quebec, Canada; Stephenville, Newfoundland and Labrador, Canada; Toronto, Ontario, Canada")</f>
        <v/>
      </c>
      <c r="K12165">
        <f>IFERROR(__xludf.DUMMYFUNCTION("""COMPUTED_VALUE"""),2668.08)</f>
        <v/>
      </c>
    </row>
    <row r="12166">
      <c r="J12166">
        <f>IFERROR(__xludf.DUMMYFUNCTION("""COMPUTED_VALUE"""),"Ottawa, ON - Schiphol, Amsterdam, NL / Schiphol, Amsterdam, NL - Ottawa, ON")</f>
        <v/>
      </c>
      <c r="K12166">
        <f>IFERROR(__xludf.DUMMYFUNCTION("""COMPUTED_VALUE"""),2667.11)</f>
        <v/>
      </c>
    </row>
    <row r="12167">
      <c r="J12167">
        <f>IFERROR(__xludf.DUMMYFUNCTION("""COMPUTED_VALUE"""),"Halifax, Nova Scotia, Canada / Moncton, New Brunswick, Canada")</f>
        <v/>
      </c>
      <c r="K12167">
        <f>IFERROR(__xludf.DUMMYFUNCTION("""COMPUTED_VALUE"""),2666.01)</f>
        <v/>
      </c>
    </row>
    <row r="12168">
      <c r="J12168">
        <f>IFERROR(__xludf.DUMMYFUNCTION("""COMPUTED_VALUE"""),"Quebec, Quebec , Canada &amp; Atlantique Nouveau-Brunswick, Canada")</f>
        <v/>
      </c>
      <c r="K12168">
        <f>IFERROR(__xludf.DUMMYFUNCTION("""COMPUTED_VALUE"""),2665.85)</f>
        <v/>
      </c>
    </row>
    <row r="12169">
      <c r="J12169">
        <f>IFERROR(__xludf.DUMMYFUNCTION("""COMPUTED_VALUE"""),"Drummondville, Quebec")</f>
        <v/>
      </c>
      <c r="K12169">
        <f>IFERROR(__xludf.DUMMYFUNCTION("""COMPUTED_VALUE"""),2665.68)</f>
        <v/>
      </c>
    </row>
    <row r="12170">
      <c r="J12170">
        <f>IFERROR(__xludf.DUMMYFUNCTION("""COMPUTED_VALUE"""),"Toronto, Hamilton, London")</f>
        <v/>
      </c>
      <c r="K12170">
        <f>IFERROR(__xludf.DUMMYFUNCTION("""COMPUTED_VALUE"""),2665.49)</f>
        <v/>
      </c>
    </row>
    <row r="12171">
      <c r="J12171">
        <f>IFERROR(__xludf.DUMMYFUNCTION("""COMPUTED_VALUE"""),"Yellowknife and Fort Simpson, Northwest Territories")</f>
        <v/>
      </c>
      <c r="K12171">
        <f>IFERROR(__xludf.DUMMYFUNCTION("""COMPUTED_VALUE"""),2665.41)</f>
        <v/>
      </c>
    </row>
    <row r="12172">
      <c r="J12172">
        <f>IFERROR(__xludf.DUMMYFUNCTION("""COMPUTED_VALUE"""),"Sooke, BC - Vancouver, BC")</f>
        <v/>
      </c>
      <c r="K12172">
        <f>IFERROR(__xludf.DUMMYFUNCTION("""COMPUTED_VALUE"""),2665.31)</f>
        <v/>
      </c>
    </row>
    <row r="12173">
      <c r="J12173">
        <f>IFERROR(__xludf.DUMMYFUNCTION("""COMPUTED_VALUE"""),"Calgary/SanDiego")</f>
        <v/>
      </c>
      <c r="K12173">
        <f>IFERROR(__xludf.DUMMYFUNCTION("""COMPUTED_VALUE"""),2665.13)</f>
        <v/>
      </c>
    </row>
    <row r="12174">
      <c r="J12174">
        <f>IFERROR(__xludf.DUMMYFUNCTION("""COMPUTED_VALUE"""),"Calgary, Alberta, Canada; Victoria, British Columbia, Canada; Vancouver, British Columbia, Canada; Kelowna, British Columbia, Canada")</f>
        <v/>
      </c>
      <c r="K12174">
        <f>IFERROR(__xludf.DUMMYFUNCTION("""COMPUTED_VALUE"""),2664.89)</f>
        <v/>
      </c>
    </row>
    <row r="12175">
      <c r="J12175">
        <f>IFERROR(__xludf.DUMMYFUNCTION("""COMPUTED_VALUE"""),"Calgary, Alberta and Kelowna, British-Columbia")</f>
        <v/>
      </c>
      <c r="K12175">
        <f>IFERROR(__xludf.DUMMYFUNCTION("""COMPUTED_VALUE"""),2663.99)</f>
        <v/>
      </c>
    </row>
    <row r="12176">
      <c r="J12176">
        <f>IFERROR(__xludf.DUMMYFUNCTION("""COMPUTED_VALUE"""),"Forth Worth, Texas, USA")</f>
        <v/>
      </c>
      <c r="K12176">
        <f>IFERROR(__xludf.DUMMYFUNCTION("""COMPUTED_VALUE"""),2663)</f>
        <v/>
      </c>
    </row>
    <row r="12177">
      <c r="J12177">
        <f>IFERROR(__xludf.DUMMYFUNCTION("""COMPUTED_VALUE"""),"Ottawa - Regina - Calgary - Ottawa")</f>
        <v/>
      </c>
      <c r="K12177">
        <f>IFERROR(__xludf.DUMMYFUNCTION("""COMPUTED_VALUE"""),2662.54)</f>
        <v/>
      </c>
    </row>
    <row r="12178">
      <c r="J12178">
        <f>IFERROR(__xludf.DUMMYFUNCTION("""COMPUTED_VALUE"""),"Saskatoon, Ontario, Canada")</f>
        <v/>
      </c>
      <c r="K12178">
        <f>IFERROR(__xludf.DUMMYFUNCTION("""COMPUTED_VALUE"""),2660.54)</f>
        <v/>
      </c>
    </row>
    <row r="12179">
      <c r="J12179">
        <f>IFERROR(__xludf.DUMMYFUNCTION("""COMPUTED_VALUE"""),"Toronto, Ontario, Canada - Vancouver, British Columbia, Canada")</f>
        <v/>
      </c>
      <c r="K12179">
        <f>IFERROR(__xludf.DUMMYFUNCTION("""COMPUTED_VALUE"""),2660.45)</f>
        <v/>
      </c>
    </row>
    <row r="12180">
      <c r="J12180">
        <f>IFERROR(__xludf.DUMMYFUNCTION("""COMPUTED_VALUE"""),"Washington, District of Columbia, United States; Toronto, Ontario, Canada")</f>
        <v/>
      </c>
      <c r="K12180">
        <f>IFERROR(__xludf.DUMMYFUNCTION("""COMPUTED_VALUE"""),2660.38)</f>
        <v/>
      </c>
    </row>
    <row r="12181">
      <c r="J12181">
        <f>IFERROR(__xludf.DUMMYFUNCTION("""COMPUTED_VALUE"""),"Lac Mégantic, Quebec")</f>
        <v/>
      </c>
      <c r="K12181">
        <f>IFERROR(__xludf.DUMMYFUNCTION("""COMPUTED_VALUE"""),2660.15)</f>
        <v/>
      </c>
    </row>
    <row r="12182">
      <c r="J12182">
        <f>IFERROR(__xludf.DUMMYFUNCTION("""COMPUTED_VALUE"""),"Toronto, Ontario and Vancouver, British Colombia")</f>
        <v/>
      </c>
      <c r="K12182">
        <f>IFERROR(__xludf.DUMMYFUNCTION("""COMPUTED_VALUE"""),2660.07)</f>
        <v/>
      </c>
    </row>
    <row r="12183">
      <c r="J12183">
        <f>IFERROR(__xludf.DUMMYFUNCTION("""COMPUTED_VALUE"""),"Windsor, Detroit, Toronto")</f>
        <v/>
      </c>
      <c r="K12183">
        <f>IFERROR(__xludf.DUMMYFUNCTION("""COMPUTED_VALUE"""),2660)</f>
        <v/>
      </c>
    </row>
    <row r="12184">
      <c r="J12184">
        <f>IFERROR(__xludf.DUMMYFUNCTION("""COMPUTED_VALUE"""),"Moncton, New Brunswick, Canada
Sydney, Nova Scotia, Canada")</f>
        <v/>
      </c>
      <c r="K12184">
        <f>IFERROR(__xludf.DUMMYFUNCTION("""COMPUTED_VALUE"""),2659.96)</f>
        <v/>
      </c>
    </row>
    <row r="12185">
      <c r="J12185">
        <f>IFERROR(__xludf.DUMMYFUNCTION("""COMPUTED_VALUE"""),"Edmonton, AB Ottawa, ON")</f>
        <v/>
      </c>
      <c r="K12185">
        <f>IFERROR(__xludf.DUMMYFUNCTION("""COMPUTED_VALUE"""),2659.77)</f>
        <v/>
      </c>
    </row>
    <row r="12186">
      <c r="J12186">
        <f>IFERROR(__xludf.DUMMYFUNCTION("""COMPUTED_VALUE"""),"Saskatoon, MB")</f>
        <v/>
      </c>
      <c r="K12186">
        <f>IFERROR(__xludf.DUMMYFUNCTION("""COMPUTED_VALUE"""),2659.67)</f>
        <v/>
      </c>
    </row>
    <row r="12187">
      <c r="J12187">
        <f>IFERROR(__xludf.DUMMYFUNCTION("""COMPUTED_VALUE"""),"Nanaimo, British Columbia, Canada / Burnaby, British Columbia, Canada")</f>
        <v/>
      </c>
      <c r="K12187">
        <f>IFERROR(__xludf.DUMMYFUNCTION("""COMPUTED_VALUE"""),2659.33)</f>
        <v/>
      </c>
    </row>
    <row r="12188">
      <c r="J12188">
        <f>IFERROR(__xludf.DUMMYFUNCTION("""COMPUTED_VALUE"""),"Ottawa, ON and  Forth Worth TX, USA")</f>
        <v/>
      </c>
      <c r="K12188">
        <f>IFERROR(__xludf.DUMMYFUNCTION("""COMPUTED_VALUE"""),2659.24)</f>
        <v/>
      </c>
    </row>
    <row r="12189">
      <c r="J12189">
        <f>IFERROR(__xludf.DUMMYFUNCTION("""COMPUTED_VALUE"""),"Kyiv, Brussels")</f>
        <v/>
      </c>
      <c r="K12189">
        <f>IFERROR(__xludf.DUMMYFUNCTION("""COMPUTED_VALUE"""),2658.29)</f>
        <v/>
      </c>
    </row>
    <row r="12190">
      <c r="J12190">
        <f>IFERROR(__xludf.DUMMYFUNCTION("""COMPUTED_VALUE"""),"Baltimore, Maryland")</f>
        <v/>
      </c>
      <c r="K12190">
        <f>IFERROR(__xludf.DUMMYFUNCTION("""COMPUTED_VALUE"""),2658.18)</f>
        <v/>
      </c>
    </row>
    <row r="12191">
      <c r="J12191">
        <f>IFERROR(__xludf.DUMMYFUNCTION("""COMPUTED_VALUE"""),"Moncton, New Brunswick, Canada; Edmonton, Alberta, Canada")</f>
        <v/>
      </c>
      <c r="K12191">
        <f>IFERROR(__xludf.DUMMYFUNCTION("""COMPUTED_VALUE"""),2657.77)</f>
        <v/>
      </c>
    </row>
    <row r="12192">
      <c r="J12192">
        <f>IFERROR(__xludf.DUMMYFUNCTION("""COMPUTED_VALUE"""),"Winnipeg, Manitoba
Canada")</f>
        <v/>
      </c>
      <c r="K12192">
        <f>IFERROR(__xludf.DUMMYFUNCTION("""COMPUTED_VALUE"""),2657.62)</f>
        <v/>
      </c>
    </row>
    <row r="12193">
      <c r="J12193">
        <f>IFERROR(__xludf.DUMMYFUNCTION("""COMPUTED_VALUE"""),"Alexandria, Virgina, United States")</f>
        <v/>
      </c>
      <c r="K12193">
        <f>IFERROR(__xludf.DUMMYFUNCTION("""COMPUTED_VALUE"""),2657.12)</f>
        <v/>
      </c>
    </row>
    <row r="12194">
      <c r="J12194">
        <f>IFERROR(__xludf.DUMMYFUNCTION("""COMPUTED_VALUE"""),"Charlottetown, Prince Edward Island / Halifax, Nova-Scotia, Canada")</f>
        <v/>
      </c>
      <c r="K12194">
        <f>IFERROR(__xludf.DUMMYFUNCTION("""COMPUTED_VALUE"""),2656.78)</f>
        <v/>
      </c>
    </row>
    <row r="12195">
      <c r="J12195">
        <f>IFERROR(__xludf.DUMMYFUNCTION("""COMPUTED_VALUE"""),"Vancouver BC, London ON, Toronto ON")</f>
        <v/>
      </c>
      <c r="K12195">
        <f>IFERROR(__xludf.DUMMYFUNCTION("""COMPUTED_VALUE"""),2656.2)</f>
        <v/>
      </c>
    </row>
    <row r="12196">
      <c r="J12196">
        <f>IFERROR(__xludf.DUMMYFUNCTION("""COMPUTED_VALUE"""),"Forth Worth,Texas, USA, Toronto and London ON")</f>
        <v/>
      </c>
      <c r="K12196">
        <f>IFERROR(__xludf.DUMMYFUNCTION("""COMPUTED_VALUE"""),2655.94)</f>
        <v/>
      </c>
    </row>
    <row r="12197">
      <c r="J12197">
        <f>IFERROR(__xludf.DUMMYFUNCTION("""COMPUTED_VALUE"""),"Montreal / Toronto, Québec / Ontario, Canada")</f>
        <v/>
      </c>
      <c r="K12197">
        <f>IFERROR(__xludf.DUMMYFUNCTION("""COMPUTED_VALUE"""),2655.5)</f>
        <v/>
      </c>
    </row>
    <row r="12198">
      <c r="J12198">
        <f>IFERROR(__xludf.DUMMYFUNCTION("""COMPUTED_VALUE"""),"Yukon, Whitehorse")</f>
        <v/>
      </c>
      <c r="K12198">
        <f>IFERROR(__xludf.DUMMYFUNCTION("""COMPUTED_VALUE"""),2654.62)</f>
        <v/>
      </c>
    </row>
    <row r="12199">
      <c r="J12199">
        <f>IFERROR(__xludf.DUMMYFUNCTION("""COMPUTED_VALUE"""),"Halifax, NS; St-John's, NL")</f>
        <v/>
      </c>
      <c r="K12199">
        <f>IFERROR(__xludf.DUMMYFUNCTION("""COMPUTED_VALUE"""),2654.43)</f>
        <v/>
      </c>
    </row>
    <row r="12200">
      <c r="J12200">
        <f>IFERROR(__xludf.DUMMYFUNCTION("""COMPUTED_VALUE"""),"Waterloo and Hamilton, Ontario, Canada")</f>
        <v/>
      </c>
      <c r="K12200">
        <f>IFERROR(__xludf.DUMMYFUNCTION("""COMPUTED_VALUE"""),2653.8)</f>
        <v/>
      </c>
    </row>
    <row r="12201">
      <c r="J12201">
        <f>IFERROR(__xludf.DUMMYFUNCTION("""COMPUTED_VALUE"""),"Toronto, Ontario and Fredericton, New-Brunswick, Canada")</f>
        <v/>
      </c>
      <c r="K12201">
        <f>IFERROR(__xludf.DUMMYFUNCTION("""COMPUTED_VALUE"""),2653.44)</f>
        <v/>
      </c>
    </row>
    <row r="12202">
      <c r="J12202">
        <f>IFERROR(__xludf.DUMMYFUNCTION("""COMPUTED_VALUE"""),"Toronto, Ontario, Canada and Washington, DC, USA")</f>
        <v/>
      </c>
      <c r="K12202">
        <f>IFERROR(__xludf.DUMMYFUNCTION("""COMPUTED_VALUE"""),2652.61)</f>
        <v/>
      </c>
    </row>
    <row r="12203">
      <c r="J12203">
        <f>IFERROR(__xludf.DUMMYFUNCTION("""COMPUTED_VALUE"""),"Edmonton and Calgary, Alberta, and Vancouver, British Columbia")</f>
        <v/>
      </c>
      <c r="K12203">
        <f>IFERROR(__xludf.DUMMYFUNCTION("""COMPUTED_VALUE"""),2652.45)</f>
        <v/>
      </c>
    </row>
    <row r="12204">
      <c r="J12204">
        <f>IFERROR(__xludf.DUMMYFUNCTION("""COMPUTED_VALUE"""),"Pickering")</f>
        <v/>
      </c>
      <c r="K12204">
        <f>IFERROR(__xludf.DUMMYFUNCTION("""COMPUTED_VALUE"""),2652.12)</f>
        <v/>
      </c>
    </row>
    <row r="12205">
      <c r="J12205">
        <f>IFERROR(__xludf.DUMMYFUNCTION("""COMPUTED_VALUE"""),"Ottawa On")</f>
        <v/>
      </c>
      <c r="K12205">
        <f>IFERROR(__xludf.DUMMYFUNCTION("""COMPUTED_VALUE"""),2651.77)</f>
        <v/>
      </c>
    </row>
    <row r="12206">
      <c r="J12206">
        <f>IFERROR(__xludf.DUMMYFUNCTION("""COMPUTED_VALUE"""),"Toronto, ON; Halifax, NS; Ottawa, ON")</f>
        <v/>
      </c>
      <c r="K12206">
        <f>IFERROR(__xludf.DUMMYFUNCTION("""COMPUTED_VALUE"""),2651.72)</f>
        <v/>
      </c>
    </row>
    <row r="12207">
      <c r="J12207">
        <f>IFERROR(__xludf.DUMMYFUNCTION("""COMPUTED_VALUE"""),"Charlottetown, Prince Edward Island, Canada; Moncton, New Brunswick, Canada; Dartmouth, Nova Scotia, Canada")</f>
        <v/>
      </c>
      <c r="K12207">
        <f>IFERROR(__xludf.DUMMYFUNCTION("""COMPUTED_VALUE"""),2650.62)</f>
        <v/>
      </c>
    </row>
    <row r="12208">
      <c r="J12208">
        <f>IFERROR(__xludf.DUMMYFUNCTION("""COMPUTED_VALUE"""),"London, Ontario, Canada; Toronto, Ontario, Canada; Kitchener, Ontario, Canada")</f>
        <v/>
      </c>
      <c r="K12208">
        <f>IFERROR(__xludf.DUMMYFUNCTION("""COMPUTED_VALUE"""),2650.38)</f>
        <v/>
      </c>
    </row>
    <row r="12209">
      <c r="J12209">
        <f>IFERROR(__xludf.DUMMYFUNCTION("""COMPUTED_VALUE"""),"Victoria and Vancouver, British Colombia, Canada")</f>
        <v/>
      </c>
      <c r="K12209">
        <f>IFERROR(__xludf.DUMMYFUNCTION("""COMPUTED_VALUE"""),2649.75)</f>
        <v/>
      </c>
    </row>
    <row r="12210">
      <c r="J12210">
        <f>IFERROR(__xludf.DUMMYFUNCTION("""COMPUTED_VALUE"""),"Montreal, QC , Winnipeg, MB,  Regina, SK")</f>
        <v/>
      </c>
      <c r="K12210">
        <f>IFERROR(__xludf.DUMMYFUNCTION("""COMPUTED_VALUE"""),2646.79)</f>
        <v/>
      </c>
    </row>
    <row r="12211">
      <c r="J12211">
        <f>IFERROR(__xludf.DUMMYFUNCTION("""COMPUTED_VALUE"""),"Saint-John, Moncton, NB")</f>
        <v/>
      </c>
      <c r="K12211">
        <f>IFERROR(__xludf.DUMMYFUNCTION("""COMPUTED_VALUE"""),2646.72)</f>
        <v/>
      </c>
    </row>
    <row r="12212">
      <c r="J12212">
        <f>IFERROR(__xludf.DUMMYFUNCTION("""COMPUTED_VALUE"""),"Kangirsuk, Nunavik")</f>
        <v/>
      </c>
      <c r="K12212">
        <f>IFERROR(__xludf.DUMMYFUNCTION("""COMPUTED_VALUE"""),2645.08)</f>
        <v/>
      </c>
    </row>
    <row r="12213">
      <c r="J12213">
        <f>IFERROR(__xludf.DUMMYFUNCTION("""COMPUTED_VALUE"""),"Castlegar")</f>
        <v/>
      </c>
      <c r="K12213">
        <f>IFERROR(__xludf.DUMMYFUNCTION("""COMPUTED_VALUE"""),2644.98)</f>
        <v/>
      </c>
    </row>
    <row r="12214">
      <c r="J12214">
        <f>IFERROR(__xludf.DUMMYFUNCTION("""COMPUTED_VALUE"""),"Ottawa - Jonquière")</f>
        <v/>
      </c>
      <c r="K12214">
        <f>IFERROR(__xludf.DUMMYFUNCTION("""COMPUTED_VALUE"""),2644.9)</f>
        <v/>
      </c>
    </row>
    <row r="12215">
      <c r="J12215">
        <f>IFERROR(__xludf.DUMMYFUNCTION("""COMPUTED_VALUE"""),"Halifax, NS - Calgary, AB")</f>
        <v/>
      </c>
      <c r="K12215">
        <f>IFERROR(__xludf.DUMMYFUNCTION("""COMPUTED_VALUE"""),2644.72)</f>
        <v/>
      </c>
    </row>
    <row r="12216">
      <c r="J12216">
        <f>IFERROR(__xludf.DUMMYFUNCTION("""COMPUTED_VALUE"""),"Moncton, NB / Halifax, NS")</f>
        <v/>
      </c>
      <c r="K12216">
        <f>IFERROR(__xludf.DUMMYFUNCTION("""COMPUTED_VALUE"""),2644.10999999999)</f>
        <v/>
      </c>
    </row>
    <row r="12217">
      <c r="J12217">
        <f>IFERROR(__xludf.DUMMYFUNCTION("""COMPUTED_VALUE"""),"Toronto, India, Canada")</f>
        <v/>
      </c>
      <c r="K12217">
        <f>IFERROR(__xludf.DUMMYFUNCTION("""COMPUTED_VALUE"""),2643.4)</f>
        <v/>
      </c>
    </row>
    <row r="12218">
      <c r="J12218">
        <f>IFERROR(__xludf.DUMMYFUNCTION("""COMPUTED_VALUE"""),"Vancouver, British Columbia, Canada; Regina, Saskatchewan, Canada; Saskatoon, Saskatchewan, Canada")</f>
        <v/>
      </c>
      <c r="K12218">
        <f>IFERROR(__xludf.DUMMYFUNCTION("""COMPUTED_VALUE"""),2643.16)</f>
        <v/>
      </c>
    </row>
    <row r="12219">
      <c r="J12219">
        <f>IFERROR(__xludf.DUMMYFUNCTION("""COMPUTED_VALUE"""),"Toronto, ON - Sarnia, ON")</f>
        <v/>
      </c>
      <c r="K12219">
        <f>IFERROR(__xludf.DUMMYFUNCTION("""COMPUTED_VALUE"""),2642.79)</f>
        <v/>
      </c>
    </row>
    <row r="12220">
      <c r="J12220">
        <f>IFERROR(__xludf.DUMMYFUNCTION("""COMPUTED_VALUE"""),"LaHavane - Cuba and Kingston - Jamaica")</f>
        <v/>
      </c>
      <c r="K12220">
        <f>IFERROR(__xludf.DUMMYFUNCTION("""COMPUTED_VALUE"""),2642.32)</f>
        <v/>
      </c>
    </row>
    <row r="12221">
      <c r="J12221">
        <f>IFERROR(__xludf.DUMMYFUNCTION("""COMPUTED_VALUE"""),"Devon, AB")</f>
        <v/>
      </c>
      <c r="K12221">
        <f>IFERROR(__xludf.DUMMYFUNCTION("""COMPUTED_VALUE"""),2641.8)</f>
        <v/>
      </c>
    </row>
    <row r="12222">
      <c r="J12222">
        <f>IFERROR(__xludf.DUMMYFUNCTION("""COMPUTED_VALUE"""),"Halifax, Nova Scotia &amp; Vancouver, British Columbia")</f>
        <v/>
      </c>
      <c r="K12222">
        <f>IFERROR(__xludf.DUMMYFUNCTION("""COMPUTED_VALUE"""),2641.69)</f>
        <v/>
      </c>
    </row>
    <row r="12223">
      <c r="J12223">
        <f>IFERROR(__xludf.DUMMYFUNCTION("""COMPUTED_VALUE"""),"Washington D.C., États-Unis")</f>
        <v/>
      </c>
      <c r="K12223">
        <f>IFERROR(__xludf.DUMMYFUNCTION("""COMPUTED_VALUE"""),2641.27)</f>
        <v/>
      </c>
    </row>
    <row r="12224">
      <c r="J12224">
        <f>IFERROR(__xludf.DUMMYFUNCTION("""COMPUTED_VALUE"""),"Toronto, Ontario, Canada / Grimsby, Ontario, Canada / Markham, Ontario, Canada / Mississauga, Ontario, Canada / Sudbury, Ontario, Canada")</f>
        <v/>
      </c>
      <c r="K12224">
        <f>IFERROR(__xludf.DUMMYFUNCTION("""COMPUTED_VALUE"""),2641.24)</f>
        <v/>
      </c>
    </row>
    <row r="12225">
      <c r="J12225">
        <f>IFERROR(__xludf.DUMMYFUNCTION("""COMPUTED_VALUE"""),"Edmonton, Alberta and Kelowna, Victoria, Vancouver, British Columbia")</f>
        <v/>
      </c>
      <c r="K12225">
        <f>IFERROR(__xludf.DUMMYFUNCTION("""COMPUTED_VALUE"""),2641.05)</f>
        <v/>
      </c>
    </row>
    <row r="12226">
      <c r="J12226">
        <f>IFERROR(__xludf.DUMMYFUNCTION("""COMPUTED_VALUE"""),"Edmonton, Alberta, Canada         
Calgary, Alberta, Canada")</f>
        <v/>
      </c>
      <c r="K12226">
        <f>IFERROR(__xludf.DUMMYFUNCTION("""COMPUTED_VALUE"""),2640.56)</f>
        <v/>
      </c>
    </row>
    <row r="12227">
      <c r="J12227">
        <f>IFERROR(__xludf.DUMMYFUNCTION("""COMPUTED_VALUE"""),"Toronto, Ontario &amp; Calgary, Alberta")</f>
        <v/>
      </c>
      <c r="K12227">
        <f>IFERROR(__xludf.DUMMYFUNCTION("""COMPUTED_VALUE"""),2640.45)</f>
        <v/>
      </c>
    </row>
    <row r="12228">
      <c r="J12228">
        <f>IFERROR(__xludf.DUMMYFUNCTION("""COMPUTED_VALUE"""),"Corner Brook, Newfoundland and Labrador, Canada; Charlottetown, Prince Edward Island, Canada")</f>
        <v/>
      </c>
      <c r="K12228">
        <f>IFERROR(__xludf.DUMMYFUNCTION("""COMPUTED_VALUE"""),2640.39)</f>
        <v/>
      </c>
    </row>
    <row r="12229">
      <c r="J12229">
        <f>IFERROR(__xludf.DUMMYFUNCTION("""COMPUTED_VALUE"""),"Calgary, Ottawa, canada")</f>
        <v/>
      </c>
      <c r="K12229">
        <f>IFERROR(__xludf.DUMMYFUNCTION("""COMPUTED_VALUE"""),2639.95)</f>
        <v/>
      </c>
    </row>
    <row r="12230">
      <c r="J12230">
        <f>IFERROR(__xludf.DUMMYFUNCTION("""COMPUTED_VALUE"""),"Vancouver, Calgary")</f>
        <v/>
      </c>
      <c r="K12230">
        <f>IFERROR(__xludf.DUMMYFUNCTION("""COMPUTED_VALUE"""),2639.65)</f>
        <v/>
      </c>
    </row>
    <row r="12231">
      <c r="J12231">
        <f>IFERROR(__xludf.DUMMYFUNCTION("""COMPUTED_VALUE"""),"Halifax, NS St. John's, NL")</f>
        <v/>
      </c>
      <c r="K12231">
        <f>IFERROR(__xludf.DUMMYFUNCTION("""COMPUTED_VALUE"""),2639.52)</f>
        <v/>
      </c>
    </row>
    <row r="12232">
      <c r="J12232">
        <f>IFERROR(__xludf.DUMMYFUNCTION("""COMPUTED_VALUE"""),"Charlottetown, PEI, Moncton, NB, Halifax NS and Ottawa ON")</f>
        <v/>
      </c>
      <c r="K12232">
        <f>IFERROR(__xludf.DUMMYFUNCTION("""COMPUTED_VALUE"""),2637.96)</f>
        <v/>
      </c>
    </row>
    <row r="12233">
      <c r="J12233">
        <f>IFERROR(__xludf.DUMMYFUNCTION("""COMPUTED_VALUE"""),"Calgary, AB and Vancouber BC")</f>
        <v/>
      </c>
      <c r="K12233">
        <f>IFERROR(__xludf.DUMMYFUNCTION("""COMPUTED_VALUE"""),2637.91)</f>
        <v/>
      </c>
    </row>
    <row r="12234">
      <c r="J12234">
        <f>IFERROR(__xludf.DUMMYFUNCTION("""COMPUTED_VALUE"""),"Toronto, ON / Thunder Bay, ON / Sudbury, ON")</f>
        <v/>
      </c>
      <c r="K12234">
        <f>IFERROR(__xludf.DUMMYFUNCTION("""COMPUTED_VALUE"""),2637.22)</f>
        <v/>
      </c>
    </row>
    <row r="12235">
      <c r="J12235">
        <f>IFERROR(__xludf.DUMMYFUNCTION("""COMPUTED_VALUE"""),"Ottawa, Ontario  / Toronto, Ontario")</f>
        <v/>
      </c>
      <c r="K12235">
        <f>IFERROR(__xludf.DUMMYFUNCTION("""COMPUTED_VALUE"""),2637.07)</f>
        <v/>
      </c>
    </row>
    <row r="12236">
      <c r="J12236">
        <f>IFERROR(__xludf.DUMMYFUNCTION("""COMPUTED_VALUE"""),"N.Y. and Washington")</f>
        <v/>
      </c>
      <c r="K12236">
        <f>IFERROR(__xludf.DUMMYFUNCTION("""COMPUTED_VALUE"""),2636.92)</f>
        <v/>
      </c>
    </row>
    <row r="12237">
      <c r="J12237">
        <f>IFERROR(__xludf.DUMMYFUNCTION("""COMPUTED_VALUE"""),"Kelowna (British Columbia) Canada 
Summerland (British Columbia) Canada
Agassiz (British Columbia) Canada")</f>
        <v/>
      </c>
      <c r="K12237">
        <f>IFERROR(__xludf.DUMMYFUNCTION("""COMPUTED_VALUE"""),2636.9)</f>
        <v/>
      </c>
    </row>
    <row r="12238">
      <c r="J12238">
        <f>IFERROR(__xludf.DUMMYFUNCTION("""COMPUTED_VALUE"""),"Des Moines (Iowa) United States
Saint Paul (Minnesota) United States")</f>
        <v/>
      </c>
      <c r="K12238">
        <f>IFERROR(__xludf.DUMMYFUNCTION("""COMPUTED_VALUE"""),2636.6)</f>
        <v/>
      </c>
    </row>
    <row r="12239">
      <c r="J12239">
        <f>IFERROR(__xludf.DUMMYFUNCTION("""COMPUTED_VALUE"""),"Winniped, Manitoba, Canada")</f>
        <v/>
      </c>
      <c r="K12239">
        <f>IFERROR(__xludf.DUMMYFUNCTION("""COMPUTED_VALUE"""),2636.57)</f>
        <v/>
      </c>
    </row>
    <row r="12240">
      <c r="J12240">
        <f>IFERROR(__xludf.DUMMYFUNCTION("""COMPUTED_VALUE"""),"Fredericton / Halifax")</f>
        <v/>
      </c>
      <c r="K12240">
        <f>IFERROR(__xludf.DUMMYFUNCTION("""COMPUTED_VALUE"""),2636.47)</f>
        <v/>
      </c>
    </row>
    <row r="12241">
      <c r="J12241">
        <f>IFERROR(__xludf.DUMMYFUNCTION("""COMPUTED_VALUE"""),"Halifax, NS / Deer Lake, NL")</f>
        <v/>
      </c>
      <c r="K12241">
        <f>IFERROR(__xludf.DUMMYFUNCTION("""COMPUTED_VALUE"""),2635.87)</f>
        <v/>
      </c>
    </row>
    <row r="12242">
      <c r="J12242">
        <f>IFERROR(__xludf.DUMMYFUNCTION("""COMPUTED_VALUE"""),"Toronto, Ontario &amp; St. John's, Newfoundland &amp; Labrador &amp; Halifax, Nova Scotia")</f>
        <v/>
      </c>
      <c r="K12242">
        <f>IFERROR(__xludf.DUMMYFUNCTION("""COMPUTED_VALUE"""),2635.2)</f>
        <v/>
      </c>
    </row>
    <row r="12243">
      <c r="J12243">
        <f>IFERROR(__xludf.DUMMYFUNCTION("""COMPUTED_VALUE"""),"Thunder Bay, ON - Winnipeg, MB")</f>
        <v/>
      </c>
      <c r="K12243">
        <f>IFERROR(__xludf.DUMMYFUNCTION("""COMPUTED_VALUE"""),2635.18)</f>
        <v/>
      </c>
    </row>
    <row r="12244">
      <c r="J12244">
        <f>IFERROR(__xludf.DUMMYFUNCTION("""COMPUTED_VALUE"""),"Montebello, Toronto, Ottawa and Montreal")</f>
        <v/>
      </c>
      <c r="K12244">
        <f>IFERROR(__xludf.DUMMYFUNCTION("""COMPUTED_VALUE"""),2634.65)</f>
        <v/>
      </c>
    </row>
    <row r="12245">
      <c r="J12245">
        <f>IFERROR(__xludf.DUMMYFUNCTION("""COMPUTED_VALUE"""),"Saskatoon, SK, Calgary, AB, Vancouver, BC")</f>
        <v/>
      </c>
      <c r="K12245">
        <f>IFERROR(__xludf.DUMMYFUNCTION("""COMPUTED_VALUE"""),2634.63)</f>
        <v/>
      </c>
    </row>
    <row r="12246">
      <c r="J12246">
        <f>IFERROR(__xludf.DUMMYFUNCTION("""COMPUTED_VALUE"""),"Toronto, ON Montreal, QC")</f>
        <v/>
      </c>
      <c r="K12246">
        <f>IFERROR(__xludf.DUMMYFUNCTION("""COMPUTED_VALUE"""),2634.01)</f>
        <v/>
      </c>
    </row>
    <row r="12247">
      <c r="J12247">
        <f>IFERROR(__xludf.DUMMYFUNCTION("""COMPUTED_VALUE"""),"Toulouse")</f>
        <v/>
      </c>
      <c r="K12247">
        <f>IFERROR(__xludf.DUMMYFUNCTION("""COMPUTED_VALUE"""),2634)</f>
        <v/>
      </c>
    </row>
    <row r="12248">
      <c r="J12248">
        <f>IFERROR(__xludf.DUMMYFUNCTION("""COMPUTED_VALUE"""),"Canberra, Australia; Ottawa, Ontario, Canada")</f>
        <v/>
      </c>
      <c r="K12248">
        <f>IFERROR(__xludf.DUMMYFUNCTION("""COMPUTED_VALUE"""),2633.88)</f>
        <v/>
      </c>
    </row>
    <row r="12249">
      <c r="J12249">
        <f>IFERROR(__xludf.DUMMYFUNCTION("""COMPUTED_VALUE"""),"Montreal, QC &amp; Ottawa, ON")</f>
        <v/>
      </c>
      <c r="K12249">
        <f>IFERROR(__xludf.DUMMYFUNCTION("""COMPUTED_VALUE"""),2633.8)</f>
        <v/>
      </c>
    </row>
    <row r="12250">
      <c r="J12250">
        <f>IFERROR(__xludf.DUMMYFUNCTION("""COMPUTED_VALUE"""),"Delhi,India
Mumbai, India")</f>
        <v/>
      </c>
      <c r="K12250">
        <f>IFERROR(__xludf.DUMMYFUNCTION("""COMPUTED_VALUE"""),2633.47)</f>
        <v/>
      </c>
    </row>
    <row r="12251">
      <c r="J12251">
        <f>IFERROR(__xludf.DUMMYFUNCTION("""COMPUTED_VALUE"""),"Ottawa, ON /Halifax, NS")</f>
        <v/>
      </c>
      <c r="K12251">
        <f>IFERROR(__xludf.DUMMYFUNCTION("""COMPUTED_VALUE"""),2632.54)</f>
        <v/>
      </c>
    </row>
    <row r="12252">
      <c r="J12252">
        <f>IFERROR(__xludf.DUMMYFUNCTION("""COMPUTED_VALUE"""),"Quebec, Quebec,Canada")</f>
        <v/>
      </c>
      <c r="K12252">
        <f>IFERROR(__xludf.DUMMYFUNCTION("""COMPUTED_VALUE"""),2632.52)</f>
        <v/>
      </c>
    </row>
    <row r="12253">
      <c r="J12253">
        <f>IFERROR(__xludf.DUMMYFUNCTION("""COMPUTED_VALUE"""),"Joliette, Quebec, Canada")</f>
        <v/>
      </c>
      <c r="K12253">
        <f>IFERROR(__xludf.DUMMYFUNCTION("""COMPUTED_VALUE"""),2631.95)</f>
        <v/>
      </c>
    </row>
    <row r="12254">
      <c r="J12254">
        <f>IFERROR(__xludf.DUMMYFUNCTION("""COMPUTED_VALUE"""),"Moncton, New Brunswick, Canada; Mont Joli, Rimouski, Quebec, Canada")</f>
        <v/>
      </c>
      <c r="K12254">
        <f>IFERROR(__xludf.DUMMYFUNCTION("""COMPUTED_VALUE"""),2631.59)</f>
        <v/>
      </c>
    </row>
    <row r="12255">
      <c r="J12255">
        <f>IFERROR(__xludf.DUMMYFUNCTION("""COMPUTED_VALUE"""),"Îles-de-la-Madeleine, Quebec")</f>
        <v/>
      </c>
      <c r="K12255">
        <f>IFERROR(__xludf.DUMMYFUNCTION("""COMPUTED_VALUE"""),2630.76)</f>
        <v/>
      </c>
    </row>
    <row r="12256">
      <c r="J12256">
        <f>IFERROR(__xludf.DUMMYFUNCTION("""COMPUTED_VALUE"""),"London, Sarnia, Aurora and Woodbridge, Ontario")</f>
        <v/>
      </c>
      <c r="K12256">
        <f>IFERROR(__xludf.DUMMYFUNCTION("""COMPUTED_VALUE"""),2630.75999999999)</f>
        <v/>
      </c>
    </row>
    <row r="12257">
      <c r="J12257">
        <f>IFERROR(__xludf.DUMMYFUNCTION("""COMPUTED_VALUE"""),"Edmonton, AB; Grande Prairie, AB; Calgary, AB")</f>
        <v/>
      </c>
      <c r="K12257">
        <f>IFERROR(__xludf.DUMMYFUNCTION("""COMPUTED_VALUE"""),2630.55)</f>
        <v/>
      </c>
    </row>
    <row r="12258">
      <c r="J12258">
        <f>IFERROR(__xludf.DUMMYFUNCTION("""COMPUTED_VALUE"""),"Montreal and Washington")</f>
        <v/>
      </c>
      <c r="K12258">
        <f>IFERROR(__xludf.DUMMYFUNCTION("""COMPUTED_VALUE"""),2630.02)</f>
        <v/>
      </c>
    </row>
    <row r="12259">
      <c r="J12259">
        <f>IFERROR(__xludf.DUMMYFUNCTION("""COMPUTED_VALUE"""),"Corner Brook, Newfoundland and Labrador, Canada; Rocky Harbour, Newfoundland and Labrador, Canada; Springdale, Newfoundland and Labrador, Canada; Grand Falls, Newfoundland and Labrador, Canada")</f>
        <v/>
      </c>
      <c r="K12259">
        <f>IFERROR(__xludf.DUMMYFUNCTION("""COMPUTED_VALUE"""),2629.97)</f>
        <v/>
      </c>
    </row>
    <row r="12260">
      <c r="J12260">
        <f>IFERROR(__xludf.DUMMYFUNCTION("""COMPUTED_VALUE"""),"Saskatoon, SK and Edmonton, AB")</f>
        <v/>
      </c>
      <c r="K12260">
        <f>IFERROR(__xludf.DUMMYFUNCTION("""COMPUTED_VALUE"""),2629.55)</f>
        <v/>
      </c>
    </row>
    <row r="12261">
      <c r="J12261">
        <f>IFERROR(__xludf.DUMMYFUNCTION("""COMPUTED_VALUE"""),"SURREY,BC")</f>
        <v/>
      </c>
      <c r="K12261">
        <f>IFERROR(__xludf.DUMMYFUNCTION("""COMPUTED_VALUE"""),2629.49)</f>
        <v/>
      </c>
    </row>
    <row r="12262">
      <c r="J12262">
        <f>IFERROR(__xludf.DUMMYFUNCTION("""COMPUTED_VALUE"""),"Montreal, Quebec, Canada; Ottawa, Ontario, Canada; Halifax, Nova Scotia, Canada")</f>
        <v/>
      </c>
      <c r="K12262">
        <f>IFERROR(__xludf.DUMMYFUNCTION("""COMPUTED_VALUE"""),2629.34)</f>
        <v/>
      </c>
    </row>
    <row r="12263">
      <c r="J12263">
        <f>IFERROR(__xludf.DUMMYFUNCTION("""COMPUTED_VALUE"""),"New York, United Stated")</f>
        <v/>
      </c>
      <c r="K12263">
        <f>IFERROR(__xludf.DUMMYFUNCTION("""COMPUTED_VALUE"""),2629.02)</f>
        <v/>
      </c>
    </row>
    <row r="12264">
      <c r="J12264">
        <f>IFERROR(__xludf.DUMMYFUNCTION("""COMPUTED_VALUE"""),"Regina, Saskatchewan, Montreal, Quebec")</f>
        <v/>
      </c>
      <c r="K12264">
        <f>IFERROR(__xludf.DUMMYFUNCTION("""COMPUTED_VALUE"""),2628.87)</f>
        <v/>
      </c>
    </row>
    <row r="12265">
      <c r="J12265">
        <f>IFERROR(__xludf.DUMMYFUNCTION("""COMPUTED_VALUE"""),"Big Sky, Montana, US")</f>
        <v/>
      </c>
      <c r="K12265">
        <f>IFERROR(__xludf.DUMMYFUNCTION("""COMPUTED_VALUE"""),2628.47)</f>
        <v/>
      </c>
    </row>
    <row r="12266">
      <c r="J12266">
        <f>IFERROR(__xludf.DUMMYFUNCTION("""COMPUTED_VALUE"""),"Saskatoon, Saskachewan, Canada")</f>
        <v/>
      </c>
      <c r="K12266">
        <f>IFERROR(__xludf.DUMMYFUNCTION("""COMPUTED_VALUE"""),2628.32)</f>
        <v/>
      </c>
    </row>
    <row r="12267">
      <c r="J12267">
        <f>IFERROR(__xludf.DUMMYFUNCTION("""COMPUTED_VALUE"""),"Moncton, New Brunswick, Canada
Montréal, Quebec, Canada")</f>
        <v/>
      </c>
      <c r="K12267">
        <f>IFERROR(__xludf.DUMMYFUNCTION("""COMPUTED_VALUE"""),2628.13)</f>
        <v/>
      </c>
    </row>
    <row r="12268">
      <c r="J12268">
        <f>IFERROR(__xludf.DUMMYFUNCTION("""COMPUTED_VALUE"""),"Riviera Nayarit, Mexico")</f>
        <v/>
      </c>
      <c r="K12268">
        <f>IFERROR(__xludf.DUMMYFUNCTION("""COMPUTED_VALUE"""),2628.05)</f>
        <v/>
      </c>
    </row>
    <row r="12269">
      <c r="J12269">
        <f>IFERROR(__xludf.DUMMYFUNCTION("""COMPUTED_VALUE"""),"Toronto, ON London, ON Mississauga, ON Kitchener, ON Charlottetown, PE")</f>
        <v/>
      </c>
      <c r="K12269">
        <f>IFERROR(__xludf.DUMMYFUNCTION("""COMPUTED_VALUE"""),2627.93)</f>
        <v/>
      </c>
    </row>
    <row r="12270">
      <c r="J12270">
        <f>IFERROR(__xludf.DUMMYFUNCTION("""COMPUTED_VALUE"""),"Washington DC, District of Colombia, United States")</f>
        <v/>
      </c>
      <c r="K12270">
        <f>IFERROR(__xludf.DUMMYFUNCTION("""COMPUTED_VALUE"""),2627.66)</f>
        <v/>
      </c>
    </row>
    <row r="12271">
      <c r="J12271">
        <f>IFERROR(__xludf.DUMMYFUNCTION("""COMPUTED_VALUE"""),"Banff, Alberta, CanadaLake Louise, Alberta, Canada Kootenay, British Columbia, Canada Radium Hot Springs, British Columbia, Canada Golden, British Coumbia, Canada  Revelstoke, British Columbia, Canada")</f>
        <v/>
      </c>
      <c r="K12271">
        <f>IFERROR(__xludf.DUMMYFUNCTION("""COMPUTED_VALUE"""),2627.65)</f>
        <v/>
      </c>
    </row>
    <row r="12272">
      <c r="J12272">
        <f>IFERROR(__xludf.DUMMYFUNCTION("""COMPUTED_VALUE"""),"St. John's, NFLD, Canada")</f>
        <v/>
      </c>
      <c r="K12272">
        <f>IFERROR(__xludf.DUMMYFUNCTION("""COMPUTED_VALUE"""),2627.56)</f>
        <v/>
      </c>
    </row>
    <row r="12273">
      <c r="J12273">
        <f>IFERROR(__xludf.DUMMYFUNCTION("""COMPUTED_VALUE"""),"Toronto, Ontario, Canada / Brampton, Ontario, Canada / Waterloo, Ontario, Canada / Montreal, Quebec, Canada")</f>
        <v/>
      </c>
      <c r="K12273">
        <f>IFERROR(__xludf.DUMMYFUNCTION("""COMPUTED_VALUE"""),2626.33)</f>
        <v/>
      </c>
    </row>
    <row r="12274">
      <c r="J12274">
        <f>IFERROR(__xludf.DUMMYFUNCTION("""COMPUTED_VALUE"""),"National Harbor, Maryland, United States")</f>
        <v/>
      </c>
      <c r="K12274">
        <f>IFERROR(__xludf.DUMMYFUNCTION("""COMPUTED_VALUE"""),2625.73)</f>
        <v/>
      </c>
    </row>
    <row r="12275">
      <c r="J12275">
        <f>IFERROR(__xludf.DUMMYFUNCTION("""COMPUTED_VALUE"""),"Houston (TX), United States")</f>
        <v/>
      </c>
      <c r="K12275">
        <f>IFERROR(__xludf.DUMMYFUNCTION("""COMPUTED_VALUE"""),2625.2)</f>
        <v/>
      </c>
    </row>
    <row r="12276">
      <c r="J12276">
        <f>IFERROR(__xludf.DUMMYFUNCTION("""COMPUTED_VALUE"""),"Oakville (Ontario) Canada")</f>
        <v/>
      </c>
      <c r="K12276">
        <f>IFERROR(__xludf.DUMMYFUNCTION("""COMPUTED_VALUE"""),2625.02999999999)</f>
        <v/>
      </c>
    </row>
    <row r="12277">
      <c r="J12277">
        <f>IFERROR(__xludf.DUMMYFUNCTION("""COMPUTED_VALUE"""),"Salt Lake City, USA")</f>
        <v/>
      </c>
      <c r="K12277">
        <f>IFERROR(__xludf.DUMMYFUNCTION("""COMPUTED_VALUE"""),2625)</f>
        <v/>
      </c>
    </row>
    <row r="12278">
      <c r="J12278">
        <f>IFERROR(__xludf.DUMMYFUNCTION("""COMPUTED_VALUE"""),"Toronto, Canada and Pittsburgh, USA")</f>
        <v/>
      </c>
      <c r="K12278">
        <f>IFERROR(__xludf.DUMMYFUNCTION("""COMPUTED_VALUE"""),2624.89)</f>
        <v/>
      </c>
    </row>
    <row r="12279">
      <c r="J12279">
        <f>IFERROR(__xludf.DUMMYFUNCTION("""COMPUTED_VALUE"""),"Moncton, NB; Saint John, NB; Halifax, NS; Toronto; ON")</f>
        <v/>
      </c>
      <c r="K12279">
        <f>IFERROR(__xludf.DUMMYFUNCTION("""COMPUTED_VALUE"""),2624.88)</f>
        <v/>
      </c>
    </row>
    <row r="12280">
      <c r="J12280">
        <f>IFERROR(__xludf.DUMMYFUNCTION("""COMPUTED_VALUE"""),"NV")</f>
        <v/>
      </c>
      <c r="K12280">
        <f>IFERROR(__xludf.DUMMYFUNCTION("""COMPUTED_VALUE"""),2624.79)</f>
        <v/>
      </c>
    </row>
    <row r="12281">
      <c r="J12281">
        <f>IFERROR(__xludf.DUMMYFUNCTION("""COMPUTED_VALUE"""),"Winnipeg (Manitoba) Canada
Regina (Saskachewan) Canada")</f>
        <v/>
      </c>
      <c r="K12281">
        <f>IFERROR(__xludf.DUMMYFUNCTION("""COMPUTED_VALUE"""),2624.78)</f>
        <v/>
      </c>
    </row>
    <row r="12282">
      <c r="J12282">
        <f>IFERROR(__xludf.DUMMYFUNCTION("""COMPUTED_VALUE"""),"Toronto - Winnipeg - Thunder Bay")</f>
        <v/>
      </c>
      <c r="K12282">
        <f>IFERROR(__xludf.DUMMYFUNCTION("""COMPUTED_VALUE"""),2624.66)</f>
        <v/>
      </c>
    </row>
    <row r="12283">
      <c r="J12283">
        <f>IFERROR(__xludf.DUMMYFUNCTION("""COMPUTED_VALUE"""),"Ottawa, ON - Charlottetown, PE  / Charlottetown, PE-Ottawa, ON")</f>
        <v/>
      </c>
      <c r="K12283">
        <f>IFERROR(__xludf.DUMMYFUNCTION("""COMPUTED_VALUE"""),2624.63)</f>
        <v/>
      </c>
    </row>
    <row r="12284">
      <c r="J12284">
        <f>IFERROR(__xludf.DUMMYFUNCTION("""COMPUTED_VALUE"""),"St Catharines, Ontario, Canada")</f>
        <v/>
      </c>
      <c r="K12284">
        <f>IFERROR(__xludf.DUMMYFUNCTION("""COMPUTED_VALUE"""),2624.6)</f>
        <v/>
      </c>
    </row>
    <row r="12285">
      <c r="J12285">
        <f>IFERROR(__xludf.DUMMYFUNCTION("""COMPUTED_VALUE"""),"Edmonton, AB; 
Yellowknife, NT; 
Calgary, AB")</f>
        <v/>
      </c>
      <c r="K12285">
        <f>IFERROR(__xludf.DUMMYFUNCTION("""COMPUTED_VALUE"""),2624.4)</f>
        <v/>
      </c>
    </row>
    <row r="12286">
      <c r="J12286">
        <f>IFERROR(__xludf.DUMMYFUNCTION("""COMPUTED_VALUE"""),"Ottawa, Ontario, Canada; Guelph, Ontario, Canada")</f>
        <v/>
      </c>
      <c r="K12286">
        <f>IFERROR(__xludf.DUMMYFUNCTION("""COMPUTED_VALUE"""),2623.04)</f>
        <v/>
      </c>
    </row>
    <row r="12287">
      <c r="J12287">
        <f>IFERROR(__xludf.DUMMYFUNCTION("""COMPUTED_VALUE"""),"New York, New York, U.S.A.")</f>
        <v/>
      </c>
      <c r="K12287">
        <f>IFERROR(__xludf.DUMMYFUNCTION("""COMPUTED_VALUE"""),2623.01)</f>
        <v/>
      </c>
    </row>
    <row r="12288">
      <c r="J12288">
        <f>IFERROR(__xludf.DUMMYFUNCTION("""COMPUTED_VALUE"""),"Oxford and London")</f>
        <v/>
      </c>
      <c r="K12288">
        <f>IFERROR(__xludf.DUMMYFUNCTION("""COMPUTED_VALUE"""),2622.22)</f>
        <v/>
      </c>
    </row>
    <row r="12289">
      <c r="J12289">
        <f>IFERROR(__xludf.DUMMYFUNCTION("""COMPUTED_VALUE"""),"Vancouver, British Columbia; Alberta, Calgary")</f>
        <v/>
      </c>
      <c r="K12289">
        <f>IFERROR(__xludf.DUMMYFUNCTION("""COMPUTED_VALUE"""),2621.97)</f>
        <v/>
      </c>
    </row>
    <row r="12290">
      <c r="J12290">
        <f>IFERROR(__xludf.DUMMYFUNCTION("""COMPUTED_VALUE"""),"Ottawa, Ontario, Canada; Moncton, New Brunswick, Canada; Kanata, Ontario, Canada")</f>
        <v/>
      </c>
      <c r="K12290">
        <f>IFERROR(__xludf.DUMMYFUNCTION("""COMPUTED_VALUE"""),2620.95)</f>
        <v/>
      </c>
    </row>
    <row r="12291">
      <c r="J12291">
        <f>IFERROR(__xludf.DUMMYFUNCTION("""COMPUTED_VALUE"""),"Halifax, Halifax, Canada")</f>
        <v/>
      </c>
      <c r="K12291">
        <f>IFERROR(__xludf.DUMMYFUNCTION("""COMPUTED_VALUE"""),2619.5)</f>
        <v/>
      </c>
    </row>
    <row r="12292">
      <c r="J12292">
        <f>IFERROR(__xludf.DUMMYFUNCTION("""COMPUTED_VALUE"""),"Porto Alegre, Rio do Sul")</f>
        <v/>
      </c>
      <c r="K12292">
        <f>IFERROR(__xludf.DUMMYFUNCTION("""COMPUTED_VALUE"""),2618.56)</f>
        <v/>
      </c>
    </row>
    <row r="12293">
      <c r="J12293">
        <f>IFERROR(__xludf.DUMMYFUNCTION("""COMPUTED_VALUE"""),"United Nations Headquarters, New York")</f>
        <v/>
      </c>
      <c r="K12293">
        <f>IFERROR(__xludf.DUMMYFUNCTION("""COMPUTED_VALUE"""),2617.74)</f>
        <v/>
      </c>
    </row>
    <row r="12294">
      <c r="J12294">
        <f>IFERROR(__xludf.DUMMYFUNCTION("""COMPUTED_VALUE"""),"Montréal, QC - Chibougamau (QC)")</f>
        <v/>
      </c>
      <c r="K12294">
        <f>IFERROR(__xludf.DUMMYFUNCTION("""COMPUTED_VALUE"""),2617.72)</f>
        <v/>
      </c>
    </row>
    <row r="12295">
      <c r="J12295">
        <f>IFERROR(__xludf.DUMMYFUNCTION("""COMPUTED_VALUE"""),"North Bay, Canada")</f>
        <v/>
      </c>
      <c r="K12295">
        <f>IFERROR(__xludf.DUMMYFUNCTION("""COMPUTED_VALUE"""),2617.42)</f>
        <v/>
      </c>
    </row>
    <row r="12296">
      <c r="J12296">
        <f>IFERROR(__xludf.DUMMYFUNCTION("""COMPUTED_VALUE"""),"Halifax, NS
St. John, NL")</f>
        <v/>
      </c>
      <c r="K12296">
        <f>IFERROR(__xludf.DUMMYFUNCTION("""COMPUTED_VALUE"""),2616.97)</f>
        <v/>
      </c>
    </row>
    <row r="12297">
      <c r="J12297">
        <f>IFERROR(__xludf.DUMMYFUNCTION("""COMPUTED_VALUE"""),"OTTAWA, ON - KINGSTON, ON")</f>
        <v/>
      </c>
      <c r="K12297">
        <f>IFERROR(__xludf.DUMMYFUNCTION("""COMPUTED_VALUE"""),2616.92)</f>
        <v/>
      </c>
    </row>
    <row r="12298">
      <c r="J12298">
        <f>IFERROR(__xludf.DUMMYFUNCTION("""COMPUTED_VALUE"""),"Rocky Mountain House, Edmonton and Calgary, Alberta, Canada")</f>
        <v/>
      </c>
      <c r="K12298">
        <f>IFERROR(__xludf.DUMMYFUNCTION("""COMPUTED_VALUE"""),2616.7)</f>
        <v/>
      </c>
    </row>
    <row r="12299">
      <c r="J12299">
        <f>IFERROR(__xludf.DUMMYFUNCTION("""COMPUTED_VALUE"""),"Saint-John and Fredericton, New-Brunswick, Canada")</f>
        <v/>
      </c>
      <c r="K12299">
        <f>IFERROR(__xludf.DUMMYFUNCTION("""COMPUTED_VALUE"""),2616.49)</f>
        <v/>
      </c>
    </row>
    <row r="12300">
      <c r="J12300">
        <f>IFERROR(__xludf.DUMMYFUNCTION("""COMPUTED_VALUE"""),"Ottawa, Ontario, Canada; Kitchener, Ontario, Canada; Toronto, Ontario, Canada")</f>
        <v/>
      </c>
      <c r="K12300">
        <f>IFERROR(__xludf.DUMMYFUNCTION("""COMPUTED_VALUE"""),2616.33)</f>
        <v/>
      </c>
    </row>
    <row r="12301">
      <c r="J12301">
        <f>IFERROR(__xludf.DUMMYFUNCTION("""COMPUTED_VALUE"""),"Vancouver and Penticton, BC, Ottawa, ON")</f>
        <v/>
      </c>
      <c r="K12301">
        <f>IFERROR(__xludf.DUMMYFUNCTION("""COMPUTED_VALUE"""),2616.03)</f>
        <v/>
      </c>
    </row>
    <row r="12302">
      <c r="J12302">
        <f>IFERROR(__xludf.DUMMYFUNCTION("""COMPUTED_VALUE"""),"WASHINGTON - DISTRICT OF COLUMBIA")</f>
        <v/>
      </c>
      <c r="K12302">
        <f>IFERROR(__xludf.DUMMYFUNCTION("""COMPUTED_VALUE"""),2616)</f>
        <v/>
      </c>
    </row>
    <row r="12303">
      <c r="J12303">
        <f>IFERROR(__xludf.DUMMYFUNCTION("""COMPUTED_VALUE"""),"Regina, Saskatchewan, Canada; Montreal, Quebec, Canada")</f>
        <v/>
      </c>
      <c r="K12303">
        <f>IFERROR(__xludf.DUMMYFUNCTION("""COMPUTED_VALUE"""),2615.93)</f>
        <v/>
      </c>
    </row>
    <row r="12304">
      <c r="J12304">
        <f>IFERROR(__xludf.DUMMYFUNCTION("""COMPUTED_VALUE"""),"New York (United State)")</f>
        <v/>
      </c>
      <c r="K12304">
        <f>IFERROR(__xludf.DUMMYFUNCTION("""COMPUTED_VALUE"""),2615.91)</f>
        <v/>
      </c>
    </row>
    <row r="12305">
      <c r="J12305">
        <f>IFERROR(__xludf.DUMMYFUNCTION("""COMPUTED_VALUE"""),"Ottawa (Ontario) Canada,  Halifax (Nova Scotia) Canada, Greenwood (Nova Scotia) Canada")</f>
        <v/>
      </c>
      <c r="K12305">
        <f>IFERROR(__xludf.DUMMYFUNCTION("""COMPUTED_VALUE"""),2615.59)</f>
        <v/>
      </c>
    </row>
    <row r="12306">
      <c r="J12306">
        <f>IFERROR(__xludf.DUMMYFUNCTION("""COMPUTED_VALUE"""),"Wabush, Newfoundland and Labrador, Canada")</f>
        <v/>
      </c>
      <c r="K12306">
        <f>IFERROR(__xludf.DUMMYFUNCTION("""COMPUTED_VALUE"""),2615.42)</f>
        <v/>
      </c>
    </row>
    <row r="12307">
      <c r="J12307">
        <f>IFERROR(__xludf.DUMMYFUNCTION("""COMPUTED_VALUE"""),"Gleneagles, Scotland")</f>
        <v/>
      </c>
      <c r="K12307">
        <f>IFERROR(__xludf.DUMMYFUNCTION("""COMPUTED_VALUE"""),2615.37)</f>
        <v/>
      </c>
    </row>
    <row r="12308">
      <c r="J12308">
        <f>IFERROR(__xludf.DUMMYFUNCTION("""COMPUTED_VALUE"""),"Halifax, Nova Scotia, Canada; West River, Nova Scotia, Canada; Charlottetown, Prince Edward Island, Canada")</f>
        <v/>
      </c>
      <c r="K12308">
        <f>IFERROR(__xludf.DUMMYFUNCTION("""COMPUTED_VALUE"""),2614.99)</f>
        <v/>
      </c>
    </row>
    <row r="12309">
      <c r="J12309">
        <f>IFERROR(__xludf.DUMMYFUNCTION("""COMPUTED_VALUE"""),"St. John’s, Newfoundland and Labrador")</f>
        <v/>
      </c>
      <c r="K12309">
        <f>IFERROR(__xludf.DUMMYFUNCTION("""COMPUTED_VALUE"""),2614.59)</f>
        <v/>
      </c>
    </row>
    <row r="12310">
      <c r="J12310">
        <f>IFERROR(__xludf.DUMMYFUNCTION("""COMPUTED_VALUE"""),"Québec, QC; Chicoutimi, QC")</f>
        <v/>
      </c>
      <c r="K12310">
        <f>IFERROR(__xludf.DUMMYFUNCTION("""COMPUTED_VALUE"""),2614.42)</f>
        <v/>
      </c>
    </row>
    <row r="12311">
      <c r="J12311">
        <f>IFERROR(__xludf.DUMMYFUNCTION("""COMPUTED_VALUE"""),"Norfolk, Virginia")</f>
        <v/>
      </c>
      <c r="K12311">
        <f>IFERROR(__xludf.DUMMYFUNCTION("""COMPUTED_VALUE"""),2614.39999999999)</f>
        <v/>
      </c>
    </row>
    <row r="12312">
      <c r="J12312">
        <f>IFERROR(__xludf.DUMMYFUNCTION("""COMPUTED_VALUE"""),"Vancouver, British Columbia, Canada; Prince George, British Columbia, Canada")</f>
        <v/>
      </c>
      <c r="K12312">
        <f>IFERROR(__xludf.DUMMYFUNCTION("""COMPUTED_VALUE"""),2614.39)</f>
        <v/>
      </c>
    </row>
    <row r="12313">
      <c r="J12313">
        <f>IFERROR(__xludf.DUMMYFUNCTION("""COMPUTED_VALUE"""),"Cambridge, United States")</f>
        <v/>
      </c>
      <c r="K12313">
        <f>IFERROR(__xludf.DUMMYFUNCTION("""COMPUTED_VALUE"""),2613.98)</f>
        <v/>
      </c>
    </row>
    <row r="12314">
      <c r="J12314">
        <f>IFERROR(__xludf.DUMMYFUNCTION("""COMPUTED_VALUE"""),"Moncton, New Brunswick,  Halifax, Nova Scotia &amp; St-John, Newfoudland, Canada")</f>
        <v/>
      </c>
      <c r="K12314">
        <f>IFERROR(__xludf.DUMMYFUNCTION("""COMPUTED_VALUE"""),2613.48)</f>
        <v/>
      </c>
    </row>
    <row r="12315">
      <c r="J12315">
        <f>IFERROR(__xludf.DUMMYFUNCTION("""COMPUTED_VALUE"""),"Ottawa-Montreal-Charlottetown-Fredericton-Ottawa")</f>
        <v/>
      </c>
      <c r="K12315">
        <f>IFERROR(__xludf.DUMMYFUNCTION("""COMPUTED_VALUE"""),2612.79)</f>
        <v/>
      </c>
    </row>
    <row r="12316">
      <c r="J12316">
        <f>IFERROR(__xludf.DUMMYFUNCTION("""COMPUTED_VALUE"""),"Vancouver,BC ,Canada")</f>
        <v/>
      </c>
      <c r="K12316">
        <f>IFERROR(__xludf.DUMMYFUNCTION("""COMPUTED_VALUE"""),2612.7)</f>
        <v/>
      </c>
    </row>
    <row r="12317">
      <c r="J12317">
        <f>IFERROR(__xludf.DUMMYFUNCTION("""COMPUTED_VALUE"""),"St. Paul, MN, USA - Québec City, QC")</f>
        <v/>
      </c>
      <c r="K12317">
        <f>IFERROR(__xludf.DUMMYFUNCTION("""COMPUTED_VALUE"""),2612.65)</f>
        <v/>
      </c>
    </row>
    <row r="12318">
      <c r="J12318">
        <f>IFERROR(__xludf.DUMMYFUNCTION("""COMPUTED_VALUE"""),"St. John's, Newfoundland and Labrador, Canada; London, Ontario, Canada; Windsor, Ontario, Canada")</f>
        <v/>
      </c>
      <c r="K12318">
        <f>IFERROR(__xludf.DUMMYFUNCTION("""COMPUTED_VALUE"""),2612.2)</f>
        <v/>
      </c>
    </row>
    <row r="12319">
      <c r="J12319">
        <f>IFERROR(__xludf.DUMMYFUNCTION("""COMPUTED_VALUE"""),"Fogo and Montreal (QC)")</f>
        <v/>
      </c>
      <c r="K12319">
        <f>IFERROR(__xludf.DUMMYFUNCTION("""COMPUTED_VALUE"""),2611.85)</f>
        <v/>
      </c>
    </row>
    <row r="12320">
      <c r="J12320">
        <f>IFERROR(__xludf.DUMMYFUNCTION("""COMPUTED_VALUE"""),"Ottawa-London-Ottawa")</f>
        <v/>
      </c>
      <c r="K12320">
        <f>IFERROR(__xludf.DUMMYFUNCTION("""COMPUTED_VALUE"""),2611.23)</f>
        <v/>
      </c>
    </row>
    <row r="12321">
      <c r="J12321">
        <f>IFERROR(__xludf.DUMMYFUNCTION("""COMPUTED_VALUE"""),"Vancouver, BC - London, ON - Quebec, QC")</f>
        <v/>
      </c>
      <c r="K12321">
        <f>IFERROR(__xludf.DUMMYFUNCTION("""COMPUTED_VALUE"""),2610.93)</f>
        <v/>
      </c>
    </row>
    <row r="12322">
      <c r="J12322">
        <f>IFERROR(__xludf.DUMMYFUNCTION("""COMPUTED_VALUE"""),"Montréal, QC - Winnipeg, MB")</f>
        <v/>
      </c>
      <c r="K12322">
        <f>IFERROR(__xludf.DUMMYFUNCTION("""COMPUTED_VALUE"""),2610.9)</f>
        <v/>
      </c>
    </row>
    <row r="12323">
      <c r="J12323">
        <f>IFERROR(__xludf.DUMMYFUNCTION("""COMPUTED_VALUE"""),"Ucluelet, BC and Victoria, BC")</f>
        <v/>
      </c>
      <c r="K12323">
        <f>IFERROR(__xludf.DUMMYFUNCTION("""COMPUTED_VALUE"""),2610.79)</f>
        <v/>
      </c>
    </row>
    <row r="12324">
      <c r="J12324">
        <f>IFERROR(__xludf.DUMMYFUNCTION("""COMPUTED_VALUE"""),"Ottawa, Ontario, Canada; Toronto, Ontario, Canada; Mississauga, Ontario, Canada")</f>
        <v/>
      </c>
      <c r="K12324">
        <f>IFERROR(__xludf.DUMMYFUNCTION("""COMPUTED_VALUE"""),2610.75)</f>
        <v/>
      </c>
    </row>
    <row r="12325">
      <c r="J12325">
        <f>IFERROR(__xludf.DUMMYFUNCTION("""COMPUTED_VALUE"""),"Shippagan, New Brunswick")</f>
        <v/>
      </c>
      <c r="K12325">
        <f>IFERROR(__xludf.DUMMYFUNCTION("""COMPUTED_VALUE"""),2610.75)</f>
        <v/>
      </c>
    </row>
    <row r="12326">
      <c r="J12326">
        <f>IFERROR(__xludf.DUMMYFUNCTION("""COMPUTED_VALUE"""),"Sept-îles, Quebec City, Alma")</f>
        <v/>
      </c>
      <c r="K12326">
        <f>IFERROR(__xludf.DUMMYFUNCTION("""COMPUTED_VALUE"""),2610.37)</f>
        <v/>
      </c>
    </row>
    <row r="12327">
      <c r="J12327">
        <f>IFERROR(__xludf.DUMMYFUNCTION("""COMPUTED_VALUE"""),"Brantford, Ontario / Vancouver, British Columbia")</f>
        <v/>
      </c>
      <c r="K12327">
        <f>IFERROR(__xludf.DUMMYFUNCTION("""COMPUTED_VALUE"""),2610.33)</f>
        <v/>
      </c>
    </row>
    <row r="12328">
      <c r="J12328">
        <f>IFERROR(__xludf.DUMMYFUNCTION("""COMPUTED_VALUE"""),"Vancouver, British Columbia, Canada; Ottawa Ontario, Canada")</f>
        <v/>
      </c>
      <c r="K12328">
        <f>IFERROR(__xludf.DUMMYFUNCTION("""COMPUTED_VALUE"""),2610.22)</f>
        <v/>
      </c>
    </row>
    <row r="12329">
      <c r="J12329">
        <f>IFERROR(__xludf.DUMMYFUNCTION("""COMPUTED_VALUE"""),"Ottawa, Ontario, Canada -
Gatineau, Quebec, Canada")</f>
        <v/>
      </c>
      <c r="K12329">
        <f>IFERROR(__xludf.DUMMYFUNCTION("""COMPUTED_VALUE"""),2609.56)</f>
        <v/>
      </c>
    </row>
    <row r="12330">
      <c r="J12330">
        <f>IFERROR(__xludf.DUMMYFUNCTION("""COMPUTED_VALUE"""),"Toronto, Ontario, Canada; Nanaimo, British Columbia, Canada; Vancouver, British Columbia, Canada")</f>
        <v/>
      </c>
      <c r="K12330">
        <f>IFERROR(__xludf.DUMMYFUNCTION("""COMPUTED_VALUE"""),2609.08)</f>
        <v/>
      </c>
    </row>
    <row r="12331">
      <c r="J12331">
        <f>IFERROR(__xludf.DUMMYFUNCTION("""COMPUTED_VALUE"""),"Dieppe")</f>
        <v/>
      </c>
      <c r="K12331">
        <f>IFERROR(__xludf.DUMMYFUNCTION("""COMPUTED_VALUE"""),2608.79)</f>
        <v/>
      </c>
    </row>
    <row r="12332">
      <c r="J12332">
        <f>IFERROR(__xludf.DUMMYFUNCTION("""COMPUTED_VALUE"""),"Washington, District of Columbia and Sydney, Nova Scotia")</f>
        <v/>
      </c>
      <c r="K12332">
        <f>IFERROR(__xludf.DUMMYFUNCTION("""COMPUTED_VALUE"""),2608.48)</f>
        <v/>
      </c>
    </row>
    <row r="12333">
      <c r="J12333">
        <f>IFERROR(__xludf.DUMMYFUNCTION("""COMPUTED_VALUE"""),"Toronto and Washington, D.C.")</f>
        <v/>
      </c>
      <c r="K12333">
        <f>IFERROR(__xludf.DUMMYFUNCTION("""COMPUTED_VALUE"""),2608.45)</f>
        <v/>
      </c>
    </row>
    <row r="12334">
      <c r="J12334">
        <f>IFERROR(__xludf.DUMMYFUNCTION("""COMPUTED_VALUE"""),"Edmunston, NB")</f>
        <v/>
      </c>
      <c r="K12334">
        <f>IFERROR(__xludf.DUMMYFUNCTION("""COMPUTED_VALUE"""),2608.01)</f>
        <v/>
      </c>
    </row>
    <row r="12335">
      <c r="J12335">
        <f>IFERROR(__xludf.DUMMYFUNCTION("""COMPUTED_VALUE"""),"Toronto, Ontario and Montreal, Quebec, Canada")</f>
        <v/>
      </c>
      <c r="K12335">
        <f>IFERROR(__xludf.DUMMYFUNCTION("""COMPUTED_VALUE"""),2607.91)</f>
        <v/>
      </c>
    </row>
    <row r="12336">
      <c r="J12336">
        <f>IFERROR(__xludf.DUMMYFUNCTION("""COMPUTED_VALUE"""),"Ottawa-Charlottetown -Ottawa")</f>
        <v/>
      </c>
      <c r="K12336">
        <f>IFERROR(__xludf.DUMMYFUNCTION("""COMPUTED_VALUE"""),2607.71)</f>
        <v/>
      </c>
    </row>
    <row r="12337">
      <c r="J12337">
        <f>IFERROR(__xludf.DUMMYFUNCTION("""COMPUTED_VALUE"""),"Victoria and Vancouver (British Colombia) Canada")</f>
        <v/>
      </c>
      <c r="K12337">
        <f>IFERROR(__xludf.DUMMYFUNCTION("""COMPUTED_VALUE"""),2607.58)</f>
        <v/>
      </c>
    </row>
    <row r="12338">
      <c r="J12338">
        <f>IFERROR(__xludf.DUMMYFUNCTION("""COMPUTED_VALUE"""),"Hamilton, Ontario, Canada                                           Windsor, Ontario, Canada")</f>
        <v/>
      </c>
      <c r="K12338">
        <f>IFERROR(__xludf.DUMMYFUNCTION("""COMPUTED_VALUE"""),2607.29)</f>
        <v/>
      </c>
    </row>
    <row r="12339">
      <c r="J12339">
        <f>IFERROR(__xludf.DUMMYFUNCTION("""COMPUTED_VALUE"""),"St. John, Newfoundland and Labrador")</f>
        <v/>
      </c>
      <c r="K12339">
        <f>IFERROR(__xludf.DUMMYFUNCTION("""COMPUTED_VALUE"""),2606.8)</f>
        <v/>
      </c>
    </row>
    <row r="12340">
      <c r="J12340">
        <f>IFERROR(__xludf.DUMMYFUNCTION("""COMPUTED_VALUE"""),"Québec, QC; Baie-Comeau, QC; Sept-Îles, QC")</f>
        <v/>
      </c>
      <c r="K12340">
        <f>IFERROR(__xludf.DUMMYFUNCTION("""COMPUTED_VALUE"""),2606.68)</f>
        <v/>
      </c>
    </row>
    <row r="12341">
      <c r="J12341">
        <f>IFERROR(__xludf.DUMMYFUNCTION("""COMPUTED_VALUE"""),"Alton, Ontario")</f>
        <v/>
      </c>
      <c r="K12341">
        <f>IFERROR(__xludf.DUMMYFUNCTION("""COMPUTED_VALUE"""),2606.5)</f>
        <v/>
      </c>
    </row>
    <row r="12342">
      <c r="J12342">
        <f>IFERROR(__xludf.DUMMYFUNCTION("""COMPUTED_VALUE"""),"Montréal, QC; Laval, QC")</f>
        <v/>
      </c>
      <c r="K12342">
        <f>IFERROR(__xludf.DUMMYFUNCTION("""COMPUTED_VALUE"""),2606.03)</f>
        <v/>
      </c>
    </row>
    <row r="12343">
      <c r="J12343">
        <f>IFERROR(__xludf.DUMMYFUNCTION("""COMPUTED_VALUE"""),"Edmonton, Alberta; Wainwright, Alberta; Cold Lake, Alberta")</f>
        <v/>
      </c>
      <c r="K12343">
        <f>IFERROR(__xludf.DUMMYFUNCTION("""COMPUTED_VALUE"""),2605.9)</f>
        <v/>
      </c>
    </row>
    <row r="12344">
      <c r="J12344">
        <f>IFERROR(__xludf.DUMMYFUNCTION("""COMPUTED_VALUE"""),"Toronto, ON / Colarado Springs, Colorado")</f>
        <v/>
      </c>
      <c r="K12344">
        <f>IFERROR(__xludf.DUMMYFUNCTION("""COMPUTED_VALUE"""),2605.46)</f>
        <v/>
      </c>
    </row>
    <row r="12345">
      <c r="J12345">
        <f>IFERROR(__xludf.DUMMYFUNCTION("""COMPUTED_VALUE"""),"Victoria, British Columbia, Las Vegas, Nevada, United States")</f>
        <v/>
      </c>
      <c r="K12345">
        <f>IFERROR(__xludf.DUMMYFUNCTION("""COMPUTED_VALUE"""),2605.29)</f>
        <v/>
      </c>
    </row>
    <row r="12346">
      <c r="J12346">
        <f>IFERROR(__xludf.DUMMYFUNCTION("""COMPUTED_VALUE"""),"Toronto, Ontario / Whitby, Ontario / Cobourg, Ontario, Canada")</f>
        <v/>
      </c>
      <c r="K12346">
        <f>IFERROR(__xludf.DUMMYFUNCTION("""COMPUTED_VALUE"""),2604.51)</f>
        <v/>
      </c>
    </row>
    <row r="12347">
      <c r="J12347">
        <f>IFERROR(__xludf.DUMMYFUNCTION("""COMPUTED_VALUE"""),"Iqaluit,NU")</f>
        <v/>
      </c>
      <c r="K12347">
        <f>IFERROR(__xludf.DUMMYFUNCTION("""COMPUTED_VALUE"""),2604.34)</f>
        <v/>
      </c>
    </row>
    <row r="12348">
      <c r="J12348">
        <f>IFERROR(__xludf.DUMMYFUNCTION("""COMPUTED_VALUE"""),"Saskatoon, Saskatchewan, Canada; Yellowknife, Northwest Territories, Canada")</f>
        <v/>
      </c>
      <c r="K12348">
        <f>IFERROR(__xludf.DUMMYFUNCTION("""COMPUTED_VALUE"""),2603.8)</f>
        <v/>
      </c>
    </row>
    <row r="12349">
      <c r="J12349">
        <f>IFERROR(__xludf.DUMMYFUNCTION("""COMPUTED_VALUE"""),"Port Severn, Ontario")</f>
        <v/>
      </c>
      <c r="K12349">
        <f>IFERROR(__xludf.DUMMYFUNCTION("""COMPUTED_VALUE"""),2603.71)</f>
        <v/>
      </c>
    </row>
    <row r="12350">
      <c r="J12350">
        <f>IFERROR(__xludf.DUMMYFUNCTION("""COMPUTED_VALUE"""),"Regina, Saskatoon, Canada")</f>
        <v/>
      </c>
      <c r="K12350">
        <f>IFERROR(__xludf.DUMMYFUNCTION("""COMPUTED_VALUE"""),2602.65)</f>
        <v/>
      </c>
    </row>
    <row r="12351">
      <c r="J12351">
        <f>IFERROR(__xludf.DUMMYFUNCTION("""COMPUTED_VALUE"""),"Edmonton, AB, Vancouver, BC, Saskatoon, SK")</f>
        <v/>
      </c>
      <c r="K12351">
        <f>IFERROR(__xludf.DUMMYFUNCTION("""COMPUTED_VALUE"""),2602.45)</f>
        <v/>
      </c>
    </row>
    <row r="12352">
      <c r="J12352">
        <f>IFERROR(__xludf.DUMMYFUNCTION("""COMPUTED_VALUE"""),"CALGARY, AB - WINNIPEG, MB")</f>
        <v/>
      </c>
      <c r="K12352">
        <f>IFERROR(__xludf.DUMMYFUNCTION("""COMPUTED_VALUE"""),2602.14)</f>
        <v/>
      </c>
    </row>
    <row r="12353">
      <c r="J12353">
        <f>IFERROR(__xludf.DUMMYFUNCTION("""COMPUTED_VALUE"""),"Burnaby, British Columbia,  Canada")</f>
        <v/>
      </c>
      <c r="K12353">
        <f>IFERROR(__xludf.DUMMYFUNCTION("""COMPUTED_VALUE"""),2602.12)</f>
        <v/>
      </c>
    </row>
    <row r="12354">
      <c r="J12354">
        <f>IFERROR(__xludf.DUMMYFUNCTION("""COMPUTED_VALUE"""),"Whistler, british Columbia, Canada")</f>
        <v/>
      </c>
      <c r="K12354">
        <f>IFERROR(__xludf.DUMMYFUNCTION("""COMPUTED_VALUE"""),2602.09)</f>
        <v/>
      </c>
    </row>
    <row r="12355">
      <c r="J12355">
        <f>IFERROR(__xludf.DUMMYFUNCTION("""COMPUTED_VALUE"""),"Calgary (AB), Canada")</f>
        <v/>
      </c>
      <c r="K12355">
        <f>IFERROR(__xludf.DUMMYFUNCTION("""COMPUTED_VALUE"""),2602.07)</f>
        <v/>
      </c>
    </row>
    <row r="12356">
      <c r="J12356">
        <f>IFERROR(__xludf.DUMMYFUNCTION("""COMPUTED_VALUE"""),"St-John, NL")</f>
        <v/>
      </c>
      <c r="K12356">
        <f>IFERROR(__xludf.DUMMYFUNCTION("""COMPUTED_VALUE"""),2601.28)</f>
        <v/>
      </c>
    </row>
    <row r="12357">
      <c r="J12357">
        <f>IFERROR(__xludf.DUMMYFUNCTION("""COMPUTED_VALUE"""),"Edmonton, AB, Calgary, AB")</f>
        <v/>
      </c>
      <c r="K12357">
        <f>IFERROR(__xludf.DUMMYFUNCTION("""COMPUTED_VALUE"""),2600.97)</f>
        <v/>
      </c>
    </row>
    <row r="12358">
      <c r="J12358">
        <f>IFERROR(__xludf.DUMMYFUNCTION("""COMPUTED_VALUE"""),"Halifax, NS, Cheverie, NS")</f>
        <v/>
      </c>
      <c r="K12358">
        <f>IFERROR(__xludf.DUMMYFUNCTION("""COMPUTED_VALUE"""),2600.68)</f>
        <v/>
      </c>
    </row>
    <row r="12359">
      <c r="J12359">
        <f>IFERROR(__xludf.DUMMYFUNCTION("""COMPUTED_VALUE"""),"Winnipeg, Manitoba; Toronto Ontario, Canada")</f>
        <v/>
      </c>
      <c r="K12359">
        <f>IFERROR(__xludf.DUMMYFUNCTION("""COMPUTED_VALUE"""),2600.45)</f>
        <v/>
      </c>
    </row>
    <row r="12360">
      <c r="J12360">
        <f>IFERROR(__xludf.DUMMYFUNCTION("""COMPUTED_VALUE"""),"Toronto/ Quebec")</f>
        <v/>
      </c>
      <c r="K12360">
        <f>IFERROR(__xludf.DUMMYFUNCTION("""COMPUTED_VALUE"""),2599.96)</f>
        <v/>
      </c>
    </row>
    <row r="12361">
      <c r="J12361">
        <f>IFERROR(__xludf.DUMMYFUNCTION("""COMPUTED_VALUE"""),"Yellowknife, Northwest Territories / 
Edmonton, Alberta, Canada")</f>
        <v/>
      </c>
      <c r="K12361">
        <f>IFERROR(__xludf.DUMMYFUNCTION("""COMPUTED_VALUE"""),2599.51)</f>
        <v/>
      </c>
    </row>
    <row r="12362">
      <c r="J12362">
        <f>IFERROR(__xludf.DUMMYFUNCTION("""COMPUTED_VALUE"""),"Vancouver Island, British Columbia, Canada")</f>
        <v/>
      </c>
      <c r="K12362">
        <f>IFERROR(__xludf.DUMMYFUNCTION("""COMPUTED_VALUE"""),2599.14)</f>
        <v/>
      </c>
    </row>
    <row r="12363">
      <c r="J12363">
        <f>IFERROR(__xludf.DUMMYFUNCTION("""COMPUTED_VALUE"""),"Cambodia, Indonesia, Thailand, and Tunisia")</f>
        <v/>
      </c>
      <c r="K12363">
        <f>IFERROR(__xludf.DUMMYFUNCTION("""COMPUTED_VALUE"""),2598.35)</f>
        <v/>
      </c>
    </row>
    <row r="12364">
      <c r="J12364">
        <f>IFERROR(__xludf.DUMMYFUNCTION("""COMPUTED_VALUE"""),"Charlottetown, Prince Edward Island; Whitehorse, Yukon Territory")</f>
        <v/>
      </c>
      <c r="K12364">
        <f>IFERROR(__xludf.DUMMYFUNCTION("""COMPUTED_VALUE"""),2597.55)</f>
        <v/>
      </c>
    </row>
    <row r="12365">
      <c r="J12365">
        <f>IFERROR(__xludf.DUMMYFUNCTION("""COMPUTED_VALUE"""),"Montreal, Quebec ; Niagara, Ontario")</f>
        <v/>
      </c>
      <c r="K12365">
        <f>IFERROR(__xludf.DUMMYFUNCTION("""COMPUTED_VALUE"""),2597.47)</f>
        <v/>
      </c>
    </row>
    <row r="12366">
      <c r="J12366">
        <f>IFERROR(__xludf.DUMMYFUNCTION("""COMPUTED_VALUE"""),"Québec, Qc")</f>
        <v/>
      </c>
      <c r="K12366">
        <f>IFERROR(__xludf.DUMMYFUNCTION("""COMPUTED_VALUE"""),2596.58)</f>
        <v/>
      </c>
    </row>
    <row r="12367">
      <c r="J12367">
        <f>IFERROR(__xludf.DUMMYFUNCTION("""COMPUTED_VALUE"""),"Charlottetown,  Prince Edward Island, Canada")</f>
        <v/>
      </c>
      <c r="K12367">
        <f>IFERROR(__xludf.DUMMYFUNCTION("""COMPUTED_VALUE"""),2596.44)</f>
        <v/>
      </c>
    </row>
    <row r="12368">
      <c r="J12368">
        <f>IFERROR(__xludf.DUMMYFUNCTION("""COMPUTED_VALUE"""),"Ottawa - Charlottetown - Fredericton - Ottawa")</f>
        <v/>
      </c>
      <c r="K12368">
        <f>IFERROR(__xludf.DUMMYFUNCTION("""COMPUTED_VALUE"""),2596.24)</f>
        <v/>
      </c>
    </row>
    <row r="12369">
      <c r="J12369">
        <f>IFERROR(__xludf.DUMMYFUNCTION("""COMPUTED_VALUE"""),"St,John's, Newfoundland, Canada")</f>
        <v/>
      </c>
      <c r="K12369">
        <f>IFERROR(__xludf.DUMMYFUNCTION("""COMPUTED_VALUE"""),2596)</f>
        <v/>
      </c>
    </row>
    <row r="12370">
      <c r="J12370">
        <f>IFERROR(__xludf.DUMMYFUNCTION("""COMPUTED_VALUE"""),"Vancouver - Prince George, BC")</f>
        <v/>
      </c>
      <c r="K12370">
        <f>IFERROR(__xludf.DUMMYFUNCTION("""COMPUTED_VALUE"""),2595.5)</f>
        <v/>
      </c>
    </row>
    <row r="12371">
      <c r="J12371">
        <f>IFERROR(__xludf.DUMMYFUNCTION("""COMPUTED_VALUE"""),"Missussauga, Ontario, Etobicoke, Ontario, Toronto, Ontario, Sudbury, Ontario")</f>
        <v/>
      </c>
      <c r="K12371">
        <f>IFERROR(__xludf.DUMMYFUNCTION("""COMPUTED_VALUE"""),2595.05)</f>
        <v/>
      </c>
    </row>
    <row r="12372">
      <c r="J12372">
        <f>IFERROR(__xludf.DUMMYFUNCTION("""COMPUTED_VALUE"""),"New York City, New York Ottawa, Ontario")</f>
        <v/>
      </c>
      <c r="K12372">
        <f>IFERROR(__xludf.DUMMYFUNCTION("""COMPUTED_VALUE"""),2594.65)</f>
        <v/>
      </c>
    </row>
    <row r="12373">
      <c r="J12373">
        <f>IFERROR(__xludf.DUMMYFUNCTION("""COMPUTED_VALUE"""),"Cornwall (Ontario) Canada; Ottawa (Ontario) Canada")</f>
        <v/>
      </c>
      <c r="K12373">
        <f>IFERROR(__xludf.DUMMYFUNCTION("""COMPUTED_VALUE"""),2594.64999999999)</f>
        <v/>
      </c>
    </row>
    <row r="12374">
      <c r="J12374">
        <f>IFERROR(__xludf.DUMMYFUNCTION("""COMPUTED_VALUE"""),"Elk Ridge, Saskatchewan, Canada")</f>
        <v/>
      </c>
      <c r="K12374">
        <f>IFERROR(__xludf.DUMMYFUNCTION("""COMPUTED_VALUE"""),2594.5)</f>
        <v/>
      </c>
    </row>
    <row r="12375">
      <c r="J12375">
        <f>IFERROR(__xludf.DUMMYFUNCTION("""COMPUTED_VALUE"""),"Ottawa, ON, Washington, USA")</f>
        <v/>
      </c>
      <c r="K12375">
        <f>IFERROR(__xludf.DUMMYFUNCTION("""COMPUTED_VALUE"""),2594.1)</f>
        <v/>
      </c>
    </row>
    <row r="12376">
      <c r="J12376">
        <f>IFERROR(__xludf.DUMMYFUNCTION("""COMPUTED_VALUE"""),"Ott- Halifax-St. John's-Halifax-Ottawa")</f>
        <v/>
      </c>
      <c r="K12376">
        <f>IFERROR(__xludf.DUMMYFUNCTION("""COMPUTED_VALUE"""),2593.11)</f>
        <v/>
      </c>
    </row>
    <row r="12377">
      <c r="J12377">
        <f>IFERROR(__xludf.DUMMYFUNCTION("""COMPUTED_VALUE"""),"Vancouver, British Columbia Kelowna, British Columbia")</f>
        <v/>
      </c>
      <c r="K12377">
        <f>IFERROR(__xludf.DUMMYFUNCTION("""COMPUTED_VALUE"""),2592.95)</f>
        <v/>
      </c>
    </row>
    <row r="12378">
      <c r="J12378">
        <f>IFERROR(__xludf.DUMMYFUNCTION("""COMPUTED_VALUE"""),"New York, Miami, United States")</f>
        <v/>
      </c>
      <c r="K12378">
        <f>IFERROR(__xludf.DUMMYFUNCTION("""COMPUTED_VALUE"""),2592.88)</f>
        <v/>
      </c>
    </row>
    <row r="12379">
      <c r="J12379">
        <f>IFERROR(__xludf.DUMMYFUNCTION("""COMPUTED_VALUE"""),"Calgary, 
Alberta, 
Canada")</f>
        <v/>
      </c>
      <c r="K12379">
        <f>IFERROR(__xludf.DUMMYFUNCTION("""COMPUTED_VALUE"""),2592.45)</f>
        <v/>
      </c>
    </row>
    <row r="12380">
      <c r="J12380">
        <f>IFERROR(__xludf.DUMMYFUNCTION("""COMPUTED_VALUE"""),"Montreal, QC Val d'Or, QC Rouyn-Norande, QC Victoriaville, QC")</f>
        <v/>
      </c>
      <c r="K12380">
        <f>IFERROR(__xludf.DUMMYFUNCTION("""COMPUTED_VALUE"""),2591.92)</f>
        <v/>
      </c>
    </row>
    <row r="12381">
      <c r="J12381">
        <f>IFERROR(__xludf.DUMMYFUNCTION("""COMPUTED_VALUE"""),"Calgary &amp; Banff, Alberta")</f>
        <v/>
      </c>
      <c r="K12381">
        <f>IFERROR(__xludf.DUMMYFUNCTION("""COMPUTED_VALUE"""),2591.64)</f>
        <v/>
      </c>
    </row>
    <row r="12382">
      <c r="J12382">
        <f>IFERROR(__xludf.DUMMYFUNCTION("""COMPUTED_VALUE"""),"Valencia, Spain
Madrid, Spain
Barcelona, Spain")</f>
        <v/>
      </c>
      <c r="K12382">
        <f>IFERROR(__xludf.DUMMYFUNCTION("""COMPUTED_VALUE"""),2590.47)</f>
        <v/>
      </c>
    </row>
    <row r="12383">
      <c r="J12383">
        <f>IFERROR(__xludf.DUMMYFUNCTION("""COMPUTED_VALUE"""),"Kelowna (British Columbia) Canada, Penticton (British Columbia) Canada")</f>
        <v/>
      </c>
      <c r="K12383">
        <f>IFERROR(__xludf.DUMMYFUNCTION("""COMPUTED_VALUE"""),2590.29)</f>
        <v/>
      </c>
    </row>
    <row r="12384">
      <c r="J12384">
        <f>IFERROR(__xludf.DUMMYFUNCTION("""COMPUTED_VALUE"""),"Moncton, NB / Miramichi, NB /
Charlottetown, PEI")</f>
        <v/>
      </c>
      <c r="K12384">
        <f>IFERROR(__xludf.DUMMYFUNCTION("""COMPUTED_VALUE"""),2588.89)</f>
        <v/>
      </c>
    </row>
    <row r="12385">
      <c r="J12385">
        <f>IFERROR(__xludf.DUMMYFUNCTION("""COMPUTED_VALUE"""),"Washington, District of Columbia, United States Of America")</f>
        <v/>
      </c>
      <c r="K12385">
        <f>IFERROR(__xludf.DUMMYFUNCTION("""COMPUTED_VALUE"""),2588.1)</f>
        <v/>
      </c>
    </row>
    <row r="12386">
      <c r="J12386">
        <f>IFERROR(__xludf.DUMMYFUNCTION("""COMPUTED_VALUE"""),"Shawinigan, Québec, Canada")</f>
        <v/>
      </c>
      <c r="K12386">
        <f>IFERROR(__xludf.DUMMYFUNCTION("""COMPUTED_VALUE"""),2587.72)</f>
        <v/>
      </c>
    </row>
    <row r="12387">
      <c r="J12387">
        <f>IFERROR(__xludf.DUMMYFUNCTION("""COMPUTED_VALUE"""),"Vancouver, BC, Winnipeg, MB")</f>
        <v/>
      </c>
      <c r="K12387">
        <f>IFERROR(__xludf.DUMMYFUNCTION("""COMPUTED_VALUE"""),2587.44)</f>
        <v/>
      </c>
    </row>
    <row r="12388">
      <c r="J12388">
        <f>IFERROR(__xludf.DUMMYFUNCTION("""COMPUTED_VALUE"""),"KANATA, OTTAWA, LONDON, OTTAWA, KANATA")</f>
        <v/>
      </c>
      <c r="K12388">
        <f>IFERROR(__xludf.DUMMYFUNCTION("""COMPUTED_VALUE"""),2587.27999999999)</f>
        <v/>
      </c>
    </row>
    <row r="12389">
      <c r="J12389">
        <f>IFERROR(__xludf.DUMMYFUNCTION("""COMPUTED_VALUE"""),"Moosonee")</f>
        <v/>
      </c>
      <c r="K12389">
        <f>IFERROR(__xludf.DUMMYFUNCTION("""COMPUTED_VALUE"""),2586.8)</f>
        <v/>
      </c>
    </row>
    <row r="12390">
      <c r="J12390">
        <f>IFERROR(__xludf.DUMMYFUNCTION("""COMPUTED_VALUE"""),"Ottawa, ON; Saint John, NB")</f>
        <v/>
      </c>
      <c r="K12390">
        <f>IFERROR(__xludf.DUMMYFUNCTION("""COMPUTED_VALUE"""),2586.04)</f>
        <v/>
      </c>
    </row>
    <row r="12391">
      <c r="J12391">
        <f>IFERROR(__xludf.DUMMYFUNCTION("""COMPUTED_VALUE"""),"Halifax - NS")</f>
        <v/>
      </c>
      <c r="K12391">
        <f>IFERROR(__xludf.DUMMYFUNCTION("""COMPUTED_VALUE"""),2586.03)</f>
        <v/>
      </c>
    </row>
    <row r="12392">
      <c r="J12392">
        <f>IFERROR(__xludf.DUMMYFUNCTION("""COMPUTED_VALUE"""),"Barrie (Ontario) Canada")</f>
        <v/>
      </c>
      <c r="K12392">
        <f>IFERROR(__xludf.DUMMYFUNCTION("""COMPUTED_VALUE"""),2585.44)</f>
        <v/>
      </c>
    </row>
    <row r="12393">
      <c r="J12393">
        <f>IFERROR(__xludf.DUMMYFUNCTION("""COMPUTED_VALUE"""),"Attawapiskat, Ontario, Canada")</f>
        <v/>
      </c>
      <c r="K12393">
        <f>IFERROR(__xludf.DUMMYFUNCTION("""COMPUTED_VALUE"""),2585.07)</f>
        <v/>
      </c>
    </row>
    <row r="12394">
      <c r="J12394">
        <f>IFERROR(__xludf.DUMMYFUNCTION("""COMPUTED_VALUE"""),"Washington Reagan, DC")</f>
        <v/>
      </c>
      <c r="K12394">
        <f>IFERROR(__xludf.DUMMYFUNCTION("""COMPUTED_VALUE"""),2584.92)</f>
        <v/>
      </c>
    </row>
    <row r="12395">
      <c r="J12395">
        <f>IFERROR(__xludf.DUMMYFUNCTION("""COMPUTED_VALUE"""),"Wabush, Labrador, Canada")</f>
        <v/>
      </c>
      <c r="K12395">
        <f>IFERROR(__xludf.DUMMYFUNCTION("""COMPUTED_VALUE"""),2584.46)</f>
        <v/>
      </c>
    </row>
    <row r="12396">
      <c r="J12396">
        <f>IFERROR(__xludf.DUMMYFUNCTION("""COMPUTED_VALUE"""),"Winnipeg, Manitoba, and Calgary, Alberta")</f>
        <v/>
      </c>
      <c r="K12396">
        <f>IFERROR(__xludf.DUMMYFUNCTION("""COMPUTED_VALUE"""),2584.38)</f>
        <v/>
      </c>
    </row>
    <row r="12397">
      <c r="J12397">
        <f>IFERROR(__xludf.DUMMYFUNCTION("""COMPUTED_VALUE"""),"Ottawa - Saskatoon - Ottawa")</f>
        <v/>
      </c>
      <c r="K12397">
        <f>IFERROR(__xludf.DUMMYFUNCTION("""COMPUTED_VALUE"""),2584.3)</f>
        <v/>
      </c>
    </row>
    <row r="12398">
      <c r="J12398">
        <f>IFERROR(__xludf.DUMMYFUNCTION("""COMPUTED_VALUE"""),"Ottawa, Ontrario, Canada")</f>
        <v/>
      </c>
      <c r="K12398">
        <f>IFERROR(__xludf.DUMMYFUNCTION("""COMPUTED_VALUE"""),2584.01)</f>
        <v/>
      </c>
    </row>
    <row r="12399">
      <c r="J12399">
        <f>IFERROR(__xludf.DUMMYFUNCTION("""COMPUTED_VALUE"""),"Montréal - Winnipeg - Ottawa")</f>
        <v/>
      </c>
      <c r="K12399">
        <f>IFERROR(__xludf.DUMMYFUNCTION("""COMPUTED_VALUE"""),2583.58)</f>
        <v/>
      </c>
    </row>
    <row r="12400">
      <c r="J12400">
        <f>IFERROR(__xludf.DUMMYFUNCTION("""COMPUTED_VALUE"""),"Halifax,Nova Scotia and Ottawa,Ontario")</f>
        <v/>
      </c>
      <c r="K12400">
        <f>IFERROR(__xludf.DUMMYFUNCTION("""COMPUTED_VALUE"""),2583.26)</f>
        <v/>
      </c>
    </row>
    <row r="12401">
      <c r="J12401">
        <f>IFERROR(__xludf.DUMMYFUNCTION("""COMPUTED_VALUE"""),"Fredericton, NB Halifax, NS")</f>
        <v/>
      </c>
      <c r="K12401">
        <f>IFERROR(__xludf.DUMMYFUNCTION("""COMPUTED_VALUE"""),2583.05)</f>
        <v/>
      </c>
    </row>
    <row r="12402">
      <c r="J12402">
        <f>IFERROR(__xludf.DUMMYFUNCTION("""COMPUTED_VALUE"""),"Vancouver, BC, Canada &amp; Edmonton, AB, Canada")</f>
        <v/>
      </c>
      <c r="K12402">
        <f>IFERROR(__xludf.DUMMYFUNCTION("""COMPUTED_VALUE"""),2580.92)</f>
        <v/>
      </c>
    </row>
    <row r="12403">
      <c r="J12403">
        <f>IFERROR(__xludf.DUMMYFUNCTION("""COMPUTED_VALUE"""),"Philadelphia(Pennsylvania) United States")</f>
        <v/>
      </c>
      <c r="K12403">
        <f>IFERROR(__xludf.DUMMYFUNCTION("""COMPUTED_VALUE"""),2580.57)</f>
        <v/>
      </c>
    </row>
    <row r="12404">
      <c r="J12404">
        <f>IFERROR(__xludf.DUMMYFUNCTION("""COMPUTED_VALUE"""),"Kenora, Ontario, Canada; Thunder Bay, Ontario, Canada; Sault Ste. Marie, Ontario, Canada")</f>
        <v/>
      </c>
      <c r="K12404">
        <f>IFERROR(__xludf.DUMMYFUNCTION("""COMPUTED_VALUE"""),2580.56)</f>
        <v/>
      </c>
    </row>
    <row r="12405">
      <c r="J12405">
        <f>IFERROR(__xludf.DUMMYFUNCTION("""COMPUTED_VALUE"""),"Vancouver, Prince Rupert and Thornhill, British Columbia, Canada")</f>
        <v/>
      </c>
      <c r="K12405">
        <f>IFERROR(__xludf.DUMMYFUNCTION("""COMPUTED_VALUE"""),2580.56)</f>
        <v/>
      </c>
    </row>
    <row r="12406">
      <c r="J12406">
        <f>IFERROR(__xludf.DUMMYFUNCTION("""COMPUTED_VALUE"""),"St-John's, NL; Charlottetown, PEI")</f>
        <v/>
      </c>
      <c r="K12406">
        <f>IFERROR(__xludf.DUMMYFUNCTION("""COMPUTED_VALUE"""),2580.44)</f>
        <v/>
      </c>
    </row>
    <row r="12407">
      <c r="J12407">
        <f>IFERROR(__xludf.DUMMYFUNCTION("""COMPUTED_VALUE"""),"Halifax, Nova Scotia ,St. John's, Newfoundland &amp; Labrador, Charlottetown, Prince Edward Island")</f>
        <v/>
      </c>
      <c r="K12407">
        <f>IFERROR(__xludf.DUMMYFUNCTION("""COMPUTED_VALUE"""),2580.37)</f>
        <v/>
      </c>
    </row>
    <row r="12408">
      <c r="J12408">
        <f>IFERROR(__xludf.DUMMYFUNCTION("""COMPUTED_VALUE"""),"Vancouver, Britiish Columbia, Canada / Winnipeg, Manitoba, Canada")</f>
        <v/>
      </c>
      <c r="K12408">
        <f>IFERROR(__xludf.DUMMYFUNCTION("""COMPUTED_VALUE"""),2580.33)</f>
        <v/>
      </c>
    </row>
    <row r="12409">
      <c r="J12409">
        <f>IFERROR(__xludf.DUMMYFUNCTION("""COMPUTED_VALUE"""),"Ottawa-Toronto-Vancouver-Toronto-Ottawa")</f>
        <v/>
      </c>
      <c r="K12409">
        <f>IFERROR(__xludf.DUMMYFUNCTION("""COMPUTED_VALUE"""),2579.99)</f>
        <v/>
      </c>
    </row>
    <row r="12410">
      <c r="J12410">
        <f>IFERROR(__xludf.DUMMYFUNCTION("""COMPUTED_VALUE"""),"Viking, St.Paul, Barrhead, High Prairie, Grande Prairie, Grande Cache, Alberta, Canada")</f>
        <v/>
      </c>
      <c r="K12410">
        <f>IFERROR(__xludf.DUMMYFUNCTION("""COMPUTED_VALUE"""),2578.9)</f>
        <v/>
      </c>
    </row>
    <row r="12411">
      <c r="J12411">
        <f>IFERROR(__xludf.DUMMYFUNCTION("""COMPUTED_VALUE"""),"Bagotville, Quebec, Canada / Les Éboulements, Quebec, Canada / Rivière-du-Loup, Quebec, Canada")</f>
        <v/>
      </c>
      <c r="K12411">
        <f>IFERROR(__xludf.DUMMYFUNCTION("""COMPUTED_VALUE"""),2578.77)</f>
        <v/>
      </c>
    </row>
    <row r="12412">
      <c r="J12412">
        <f>IFERROR(__xludf.DUMMYFUNCTION("""COMPUTED_VALUE"""),"Truro, NS, Wolfville, NS and Charlottetown, PEI.")</f>
        <v/>
      </c>
      <c r="K12412">
        <f>IFERROR(__xludf.DUMMYFUNCTION("""COMPUTED_VALUE"""),2578.61)</f>
        <v/>
      </c>
    </row>
    <row r="12413">
      <c r="J12413">
        <f>IFERROR(__xludf.DUMMYFUNCTION("""COMPUTED_VALUE"""),"St.John's, New Brunswick, Canada")</f>
        <v/>
      </c>
      <c r="K12413">
        <f>IFERROR(__xludf.DUMMYFUNCTION("""COMPUTED_VALUE"""),2578.41)</f>
        <v/>
      </c>
    </row>
    <row r="12414">
      <c r="J12414">
        <f>IFERROR(__xludf.DUMMYFUNCTION("""COMPUTED_VALUE"""),"Ottawa- Charlottetown-Ottawa")</f>
        <v/>
      </c>
      <c r="K12414">
        <f>IFERROR(__xludf.DUMMYFUNCTION("""COMPUTED_VALUE"""),2577.95)</f>
        <v/>
      </c>
    </row>
    <row r="12415">
      <c r="J12415">
        <f>IFERROR(__xludf.DUMMYFUNCTION("""COMPUTED_VALUE"""),"Charlottetown, PE Moncton, NB")</f>
        <v/>
      </c>
      <c r="K12415">
        <f>IFERROR(__xludf.DUMMYFUNCTION("""COMPUTED_VALUE"""),2577.52999999999)</f>
        <v/>
      </c>
    </row>
    <row r="12416">
      <c r="J12416">
        <f>IFERROR(__xludf.DUMMYFUNCTION("""COMPUTED_VALUE"""),"Onion Lake")</f>
        <v/>
      </c>
      <c r="K12416">
        <f>IFERROR(__xludf.DUMMYFUNCTION("""COMPUTED_VALUE"""),2577.11)</f>
        <v/>
      </c>
    </row>
    <row r="12417">
      <c r="J12417">
        <f>IFERROR(__xludf.DUMMYFUNCTION("""COMPUTED_VALUE"""),"Ottawa, Ontario, Canada and 	Banff, Alberta, Canada")</f>
        <v/>
      </c>
      <c r="K12417">
        <f>IFERROR(__xludf.DUMMYFUNCTION("""COMPUTED_VALUE"""),2576.67)</f>
        <v/>
      </c>
    </row>
    <row r="12418">
      <c r="J12418">
        <f>IFERROR(__xludf.DUMMYFUNCTION("""COMPUTED_VALUE"""),"Vancouver, BC and Saskatoon, SK")</f>
        <v/>
      </c>
      <c r="K12418">
        <f>IFERROR(__xludf.DUMMYFUNCTION("""COMPUTED_VALUE"""),2576.23)</f>
        <v/>
      </c>
    </row>
    <row r="12419">
      <c r="J12419">
        <f>IFERROR(__xludf.DUMMYFUNCTION("""COMPUTED_VALUE"""),"Vancouver, BC., Saskatoon, SK and Edmonton, AB")</f>
        <v/>
      </c>
      <c r="K12419">
        <f>IFERROR(__xludf.DUMMYFUNCTION("""COMPUTED_VALUE"""),2576.16)</f>
        <v/>
      </c>
    </row>
    <row r="12420">
      <c r="J12420">
        <f>IFERROR(__xludf.DUMMYFUNCTION("""COMPUTED_VALUE"""),"Edmonton &amp; Winnipeg")</f>
        <v/>
      </c>
      <c r="K12420">
        <f>IFERROR(__xludf.DUMMYFUNCTION("""COMPUTED_VALUE"""),2576.09)</f>
        <v/>
      </c>
    </row>
    <row r="12421">
      <c r="J12421">
        <f>IFERROR(__xludf.DUMMYFUNCTION("""COMPUTED_VALUE"""),"Vancouver, British Columbia, Regina and Saskatoon, Saskatchewan, Edmonton, Alberta, Winnipeg, Manitoba")</f>
        <v/>
      </c>
      <c r="K12421">
        <f>IFERROR(__xludf.DUMMYFUNCTION("""COMPUTED_VALUE"""),2575.62)</f>
        <v/>
      </c>
    </row>
    <row r="12422">
      <c r="J12422">
        <f>IFERROR(__xludf.DUMMYFUNCTION("""COMPUTED_VALUE"""),"London and Ottawa, ON")</f>
        <v/>
      </c>
      <c r="K12422">
        <f>IFERROR(__xludf.DUMMYFUNCTION("""COMPUTED_VALUE"""),2575.15)</f>
        <v/>
      </c>
    </row>
    <row r="12423">
      <c r="J12423">
        <f>IFERROR(__xludf.DUMMYFUNCTION("""COMPUTED_VALUE"""),"Montana, United States and Toronto, Ontario")</f>
        <v/>
      </c>
      <c r="K12423">
        <f>IFERROR(__xludf.DUMMYFUNCTION("""COMPUTED_VALUE"""),2574.97)</f>
        <v/>
      </c>
    </row>
    <row r="12424">
      <c r="J12424">
        <f>IFERROR(__xludf.DUMMYFUNCTION("""COMPUTED_VALUE"""),"Quebec and Montreal, Quebec, Canada")</f>
        <v/>
      </c>
      <c r="K12424">
        <f>IFERROR(__xludf.DUMMYFUNCTION("""COMPUTED_VALUE"""),2574.88)</f>
        <v/>
      </c>
    </row>
    <row r="12425">
      <c r="J12425">
        <f>IFERROR(__xludf.DUMMYFUNCTION("""COMPUTED_VALUE"""),"Halifax, Nova, Scotia, Canada")</f>
        <v/>
      </c>
      <c r="K12425">
        <f>IFERROR(__xludf.DUMMYFUNCTION("""COMPUTED_VALUE"""),2573.87)</f>
        <v/>
      </c>
    </row>
    <row r="12426">
      <c r="J12426">
        <f>IFERROR(__xludf.DUMMYFUNCTION("""COMPUTED_VALUE"""),"Albania")</f>
        <v/>
      </c>
      <c r="K12426">
        <f>IFERROR(__xludf.DUMMYFUNCTION("""COMPUTED_VALUE"""),2573.69)</f>
        <v/>
      </c>
    </row>
    <row r="12427">
      <c r="J12427">
        <f>IFERROR(__xludf.DUMMYFUNCTION("""COMPUTED_VALUE"""),"Saint-Jean-sur-Richelieu, QC")</f>
        <v/>
      </c>
      <c r="K12427">
        <f>IFERROR(__xludf.DUMMYFUNCTION("""COMPUTED_VALUE"""),2573.6)</f>
        <v/>
      </c>
    </row>
    <row r="12428">
      <c r="J12428">
        <f>IFERROR(__xludf.DUMMYFUNCTION("""COMPUTED_VALUE"""),"Vancouver, British Columbia / Calgary, Alberta / Edmonton, Alberta, Canada")</f>
        <v/>
      </c>
      <c r="K12428">
        <f>IFERROR(__xludf.DUMMYFUNCTION("""COMPUTED_VALUE"""),2573.17)</f>
        <v/>
      </c>
    </row>
    <row r="12429">
      <c r="J12429">
        <f>IFERROR(__xludf.DUMMYFUNCTION("""COMPUTED_VALUE"""),"Halifax / Sydney, Nova Scotia, Canada")</f>
        <v/>
      </c>
      <c r="K12429">
        <f>IFERROR(__xludf.DUMMYFUNCTION("""COMPUTED_VALUE"""),2572.73)</f>
        <v/>
      </c>
    </row>
    <row r="12430">
      <c r="J12430">
        <f>IFERROR(__xludf.DUMMYFUNCTION("""COMPUTED_VALUE"""),"Dorval, QC")</f>
        <v/>
      </c>
      <c r="K12430">
        <f>IFERROR(__xludf.DUMMYFUNCTION("""COMPUTED_VALUE"""),2572.72)</f>
        <v/>
      </c>
    </row>
    <row r="12431">
      <c r="J12431">
        <f>IFERROR(__xludf.DUMMYFUNCTION("""COMPUTED_VALUE"""),"Deer Lake and St. Anthony, Newfoundland and Labrador, Canada")</f>
        <v/>
      </c>
      <c r="K12431">
        <f>IFERROR(__xludf.DUMMYFUNCTION("""COMPUTED_VALUE"""),2572.72)</f>
        <v/>
      </c>
    </row>
    <row r="12432">
      <c r="J12432">
        <f>IFERROR(__xludf.DUMMYFUNCTION("""COMPUTED_VALUE"""),"Ottawa, Ontario; Gatineau, Quebec, Canada")</f>
        <v/>
      </c>
      <c r="K12432">
        <f>IFERROR(__xludf.DUMMYFUNCTION("""COMPUTED_VALUE"""),2572.47)</f>
        <v/>
      </c>
    </row>
    <row r="12433">
      <c r="J12433">
        <f>IFERROR(__xludf.DUMMYFUNCTION("""COMPUTED_VALUE"""),"Phoenix, Arizona (United States)")</f>
        <v/>
      </c>
      <c r="K12433">
        <f>IFERROR(__xludf.DUMMYFUNCTION("""COMPUTED_VALUE"""),2571.61)</f>
        <v/>
      </c>
    </row>
    <row r="12434">
      <c r="J12434">
        <f>IFERROR(__xludf.DUMMYFUNCTION("""COMPUTED_VALUE"""),"Panama City Beach (Florida) United States")</f>
        <v/>
      </c>
      <c r="K12434">
        <f>IFERROR(__xludf.DUMMYFUNCTION("""COMPUTED_VALUE"""),2571.35)</f>
        <v/>
      </c>
    </row>
    <row r="12435">
      <c r="J12435">
        <f>IFERROR(__xludf.DUMMYFUNCTION("""COMPUTED_VALUE"""),"Ottawa, ON, Kenora, ON")</f>
        <v/>
      </c>
      <c r="K12435">
        <f>IFERROR(__xludf.DUMMYFUNCTION("""COMPUTED_VALUE"""),2571.14)</f>
        <v/>
      </c>
    </row>
    <row r="12436">
      <c r="J12436">
        <f>IFERROR(__xludf.DUMMYFUNCTION("""COMPUTED_VALUE"""),"Antigonish, Nova Scotia and Ottawa, Ontario")</f>
        <v/>
      </c>
      <c r="K12436">
        <f>IFERROR(__xludf.DUMMYFUNCTION("""COMPUTED_VALUE"""),2570.92)</f>
        <v/>
      </c>
    </row>
    <row r="12437">
      <c r="J12437">
        <f>IFERROR(__xludf.DUMMYFUNCTION("""COMPUTED_VALUE"""),"Moncton, New Brunswick, Canada
St-John's, Newfoundland, Canada
Halifax, Nova Scotia, Canada")</f>
        <v/>
      </c>
      <c r="K12437">
        <f>IFERROR(__xludf.DUMMYFUNCTION("""COMPUTED_VALUE"""),2570.81)</f>
        <v/>
      </c>
    </row>
    <row r="12438">
      <c r="J12438">
        <f>IFERROR(__xludf.DUMMYFUNCTION("""COMPUTED_VALUE"""),"Guelph, Vaughan, Ontario, Canada")</f>
        <v/>
      </c>
      <c r="K12438">
        <f>IFERROR(__xludf.DUMMYFUNCTION("""COMPUTED_VALUE"""),2570.37)</f>
        <v/>
      </c>
    </row>
    <row r="12439">
      <c r="J12439">
        <f>IFERROR(__xludf.DUMMYFUNCTION("""COMPUTED_VALUE"""),"New York, United-States")</f>
        <v/>
      </c>
      <c r="K12439">
        <f>IFERROR(__xludf.DUMMYFUNCTION("""COMPUTED_VALUE"""),2569.78)</f>
        <v/>
      </c>
    </row>
    <row r="12440">
      <c r="J12440">
        <f>IFERROR(__xludf.DUMMYFUNCTION("""COMPUTED_VALUE"""),"Las Vegas, Nevada,United States")</f>
        <v/>
      </c>
      <c r="K12440">
        <f>IFERROR(__xludf.DUMMYFUNCTION("""COMPUTED_VALUE"""),2569.47)</f>
        <v/>
      </c>
    </row>
    <row r="12441">
      <c r="J12441">
        <f>IFERROR(__xludf.DUMMYFUNCTION("""COMPUTED_VALUE"""),"Medicine Hat, Alberta and Edmonton, Alberta")</f>
        <v/>
      </c>
      <c r="K12441">
        <f>IFERROR(__xludf.DUMMYFUNCTION("""COMPUTED_VALUE"""),2569)</f>
        <v/>
      </c>
    </row>
    <row r="12442">
      <c r="J12442">
        <f>IFERROR(__xludf.DUMMYFUNCTION("""COMPUTED_VALUE"""),"Fredericton, NB;Toronto, ON;New York")</f>
        <v/>
      </c>
      <c r="K12442">
        <f>IFERROR(__xludf.DUMMYFUNCTION("""COMPUTED_VALUE"""),2568.99)</f>
        <v/>
      </c>
    </row>
    <row r="12443">
      <c r="J12443">
        <f>IFERROR(__xludf.DUMMYFUNCTION("""COMPUTED_VALUE"""),"Vancouver, C.-B.")</f>
        <v/>
      </c>
      <c r="K12443">
        <f>IFERROR(__xludf.DUMMYFUNCTION("""COMPUTED_VALUE"""),2568.61)</f>
        <v/>
      </c>
    </row>
    <row r="12444">
      <c r="J12444">
        <f>IFERROR(__xludf.DUMMYFUNCTION("""COMPUTED_VALUE"""),"Edmonton, Drumheller, Canmore and Calgary, Alberta")</f>
        <v/>
      </c>
      <c r="K12444">
        <f>IFERROR(__xludf.DUMMYFUNCTION("""COMPUTED_VALUE"""),2568.37)</f>
        <v/>
      </c>
    </row>
    <row r="12445">
      <c r="J12445">
        <f>IFERROR(__xludf.DUMMYFUNCTION("""COMPUTED_VALUE"""),"Winnipeg, MB; Edmonton, AB; Calgary; AB")</f>
        <v/>
      </c>
      <c r="K12445">
        <f>IFERROR(__xludf.DUMMYFUNCTION("""COMPUTED_VALUE"""),2568.34)</f>
        <v/>
      </c>
    </row>
    <row r="12446">
      <c r="J12446">
        <f>IFERROR(__xludf.DUMMYFUNCTION("""COMPUTED_VALUE"""),"Vancouver Victoria, BC")</f>
        <v/>
      </c>
      <c r="K12446">
        <f>IFERROR(__xludf.DUMMYFUNCTION("""COMPUTED_VALUE"""),2568.2)</f>
        <v/>
      </c>
    </row>
    <row r="12447">
      <c r="J12447">
        <f>IFERROR(__xludf.DUMMYFUNCTION("""COMPUTED_VALUE"""),"Windsor, Ontario, Canada; Montréal, Quebec, Canada")</f>
        <v/>
      </c>
      <c r="K12447">
        <f>IFERROR(__xludf.DUMMYFUNCTION("""COMPUTED_VALUE"""),2567.89)</f>
        <v/>
      </c>
    </row>
    <row r="12448">
      <c r="J12448">
        <f>IFERROR(__xludf.DUMMYFUNCTION("""COMPUTED_VALUE"""),"Nanaimo, British Columbia, Canada; Whitehorse, Yukon, Canada")</f>
        <v/>
      </c>
      <c r="K12448">
        <f>IFERROR(__xludf.DUMMYFUNCTION("""COMPUTED_VALUE"""),2567.84)</f>
        <v/>
      </c>
    </row>
    <row r="12449">
      <c r="J12449">
        <f>IFERROR(__xludf.DUMMYFUNCTION("""COMPUTED_VALUE"""),"Indianapolis, IN")</f>
        <v/>
      </c>
      <c r="K12449">
        <f>IFERROR(__xludf.DUMMYFUNCTION("""COMPUTED_VALUE"""),2567.11)</f>
        <v/>
      </c>
    </row>
    <row r="12450">
      <c r="J12450">
        <f>IFERROR(__xludf.DUMMYFUNCTION("""COMPUTED_VALUE"""),"Moncton, New Brunswick and St. John's, Newfoundland and Labrador")</f>
        <v/>
      </c>
      <c r="K12450">
        <f>IFERROR(__xludf.DUMMYFUNCTION("""COMPUTED_VALUE"""),2566.56)</f>
        <v/>
      </c>
    </row>
    <row r="12451">
      <c r="J12451">
        <f>IFERROR(__xludf.DUMMYFUNCTION("""COMPUTED_VALUE"""),"Regina, Saskatchewan, Canada; Fredericton, New Brunswick, Canada")</f>
        <v/>
      </c>
      <c r="K12451">
        <f>IFERROR(__xludf.DUMMYFUNCTION("""COMPUTED_VALUE"""),2566.41)</f>
        <v/>
      </c>
    </row>
    <row r="12452">
      <c r="J12452">
        <f>IFERROR(__xludf.DUMMYFUNCTION("""COMPUTED_VALUE"""),"Halifax, Nova Scotia; Montreal, Quebec; Thunder Bay, Ontario")</f>
        <v/>
      </c>
      <c r="K12452">
        <f>IFERROR(__xludf.DUMMYFUNCTION("""COMPUTED_VALUE"""),2565.42)</f>
        <v/>
      </c>
    </row>
    <row r="12453">
      <c r="J12453">
        <f>IFERROR(__xludf.DUMMYFUNCTION("""COMPUTED_VALUE"""),"Edmonton, AB &amp; Winnipeg, MB")</f>
        <v/>
      </c>
      <c r="K12453">
        <f>IFERROR(__xludf.DUMMYFUNCTION("""COMPUTED_VALUE"""),2565)</f>
        <v/>
      </c>
    </row>
    <row r="12454">
      <c r="J12454">
        <f>IFERROR(__xludf.DUMMYFUNCTION("""COMPUTED_VALUE"""),"Nova Scotia, New Brunswick")</f>
        <v/>
      </c>
      <c r="K12454">
        <f>IFERROR(__xludf.DUMMYFUNCTION("""COMPUTED_VALUE"""),2564.99)</f>
        <v/>
      </c>
    </row>
    <row r="12455">
      <c r="J12455">
        <f>IFERROR(__xludf.DUMMYFUNCTION("""COMPUTED_VALUE"""),"OTTAWA, ON &amp; CALGARY, AB")</f>
        <v/>
      </c>
      <c r="K12455">
        <f>IFERROR(__xludf.DUMMYFUNCTION("""COMPUTED_VALUE"""),2564.86)</f>
        <v/>
      </c>
    </row>
    <row r="12456">
      <c r="J12456">
        <f>IFERROR(__xludf.DUMMYFUNCTION("""COMPUTED_VALUE"""),"Georgetown, Ontario, Canada")</f>
        <v/>
      </c>
      <c r="K12456">
        <f>IFERROR(__xludf.DUMMYFUNCTION("""COMPUTED_VALUE"""),2564.5)</f>
        <v/>
      </c>
    </row>
    <row r="12457">
      <c r="J12457">
        <f>IFERROR(__xludf.DUMMYFUNCTION("""COMPUTED_VALUE"""),"Ottawa-Vancouver-Nanaimo-Calgary-Ottawa")</f>
        <v/>
      </c>
      <c r="K12457">
        <f>IFERROR(__xludf.DUMMYFUNCTION("""COMPUTED_VALUE"""),2564.27)</f>
        <v/>
      </c>
    </row>
    <row r="12458">
      <c r="J12458">
        <f>IFERROR(__xludf.DUMMYFUNCTION("""COMPUTED_VALUE"""),"Niagara, ON, Canada")</f>
        <v/>
      </c>
      <c r="K12458">
        <f>IFERROR(__xludf.DUMMYFUNCTION("""COMPUTED_VALUE"""),2563.55)</f>
        <v/>
      </c>
    </row>
    <row r="12459">
      <c r="J12459">
        <f>IFERROR(__xludf.DUMMYFUNCTION("""COMPUTED_VALUE"""),"Scarborough, St. Catherines, Ottawa, Ontario, Canada")</f>
        <v/>
      </c>
      <c r="K12459">
        <f>IFERROR(__xludf.DUMMYFUNCTION("""COMPUTED_VALUE"""),2563.38)</f>
        <v/>
      </c>
    </row>
    <row r="12460">
      <c r="J12460">
        <f>IFERROR(__xludf.DUMMYFUNCTION("""COMPUTED_VALUE"""),"Quebec, Quebec, Canada
Winnipeg, Manitoba, Canada")</f>
        <v/>
      </c>
      <c r="K12460">
        <f>IFERROR(__xludf.DUMMYFUNCTION("""COMPUTED_VALUE"""),2562.8)</f>
        <v/>
      </c>
    </row>
    <row r="12461">
      <c r="J12461">
        <f>IFERROR(__xludf.DUMMYFUNCTION("""COMPUTED_VALUE"""),"Toronto, Ontario, Canada / Frankfurt, Germany / Delhi and Mumbai, India / London, United Kingdom")</f>
        <v/>
      </c>
      <c r="K12461">
        <f>IFERROR(__xludf.DUMMYFUNCTION("""COMPUTED_VALUE"""),2562.32)</f>
        <v/>
      </c>
    </row>
    <row r="12462">
      <c r="J12462">
        <f>IFERROR(__xludf.DUMMYFUNCTION("""COMPUTED_VALUE"""),"Washington, DC, United States; Saint-Jean-sur-Richelieu, Quebec, Canada")</f>
        <v/>
      </c>
      <c r="K12462">
        <f>IFERROR(__xludf.DUMMYFUNCTION("""COMPUTED_VALUE"""),2561.81)</f>
        <v/>
      </c>
    </row>
    <row r="12463">
      <c r="J12463">
        <f>IFERROR(__xludf.DUMMYFUNCTION("""COMPUTED_VALUE"""),"Jefferson &amp; Shepherdstown, United States")</f>
        <v/>
      </c>
      <c r="K12463">
        <f>IFERROR(__xludf.DUMMYFUNCTION("""COMPUTED_VALUE"""),2561.66)</f>
        <v/>
      </c>
    </row>
    <row r="12464">
      <c r="J12464">
        <f>IFERROR(__xludf.DUMMYFUNCTION("""COMPUTED_VALUE"""),"New York, New York, United-States of America.")</f>
        <v/>
      </c>
      <c r="K12464">
        <f>IFERROR(__xludf.DUMMYFUNCTION("""COMPUTED_VALUE"""),2560.47)</f>
        <v/>
      </c>
    </row>
    <row r="12465">
      <c r="J12465">
        <f>IFERROR(__xludf.DUMMYFUNCTION("""COMPUTED_VALUE"""),"Toronto ON / Washington DC")</f>
        <v/>
      </c>
      <c r="K12465">
        <f>IFERROR(__xludf.DUMMYFUNCTION("""COMPUTED_VALUE"""),2560.38)</f>
        <v/>
      </c>
    </row>
    <row r="12466">
      <c r="J12466">
        <f>IFERROR(__xludf.DUMMYFUNCTION("""COMPUTED_VALUE"""),"Killarney, Ontario, Canada; North Bay, Ontario, Canada; Timmins, Ontario, Canada; Wawa, Ontario, Canada")</f>
        <v/>
      </c>
      <c r="K12466">
        <f>IFERROR(__xludf.DUMMYFUNCTION("""COMPUTED_VALUE"""),2560.23)</f>
        <v/>
      </c>
    </row>
    <row r="12467">
      <c r="J12467">
        <f>IFERROR(__xludf.DUMMYFUNCTION("""COMPUTED_VALUE"""),"St. John's, Newfoundland, Canada / Fredericton, New Brunswick, Canada")</f>
        <v/>
      </c>
      <c r="K12467">
        <f>IFERROR(__xludf.DUMMYFUNCTION("""COMPUTED_VALUE"""),2559.85)</f>
        <v/>
      </c>
    </row>
    <row r="12468">
      <c r="J12468">
        <f>IFERROR(__xludf.DUMMYFUNCTION("""COMPUTED_VALUE"""),"TORONTO, ON - LONDON, ON - HAMILTON, ON -BORDEN, ON")</f>
        <v/>
      </c>
      <c r="K12468">
        <f>IFERROR(__xludf.DUMMYFUNCTION("""COMPUTED_VALUE"""),2559.46)</f>
        <v/>
      </c>
    </row>
    <row r="12469">
      <c r="J12469">
        <f>IFERROR(__xludf.DUMMYFUNCTION("""COMPUTED_VALUE"""),"Ottawa, Ontario, Canada; St Catharines, Ontario, Canada")</f>
        <v/>
      </c>
      <c r="K12469">
        <f>IFERROR(__xludf.DUMMYFUNCTION("""COMPUTED_VALUE"""),2559.12)</f>
        <v/>
      </c>
    </row>
    <row r="12470">
      <c r="J12470">
        <f>IFERROR(__xludf.DUMMYFUNCTION("""COMPUTED_VALUE"""),"Anchorage, AK/Winnipeg, MB")</f>
        <v/>
      </c>
      <c r="K12470">
        <f>IFERROR(__xludf.DUMMYFUNCTION("""COMPUTED_VALUE"""),2558.46)</f>
        <v/>
      </c>
    </row>
    <row r="12471">
      <c r="J12471">
        <f>IFERROR(__xludf.DUMMYFUNCTION("""COMPUTED_VALUE"""),"Quebec city,Qc")</f>
        <v/>
      </c>
      <c r="K12471">
        <f>IFERROR(__xludf.DUMMYFUNCTION("""COMPUTED_VALUE"""),2558.18)</f>
        <v/>
      </c>
    </row>
    <row r="12472">
      <c r="J12472">
        <f>IFERROR(__xludf.DUMMYFUNCTION("""COMPUTED_VALUE"""),"Ottawa - Victoria/Vancouver - Ottawa")</f>
        <v/>
      </c>
      <c r="K12472">
        <f>IFERROR(__xludf.DUMMYFUNCTION("""COMPUTED_VALUE"""),2556.42)</f>
        <v/>
      </c>
    </row>
    <row r="12473">
      <c r="J12473">
        <f>IFERROR(__xludf.DUMMYFUNCTION("""COMPUTED_VALUE"""),"Boston, Massachutes")</f>
        <v/>
      </c>
      <c r="K12473">
        <f>IFERROR(__xludf.DUMMYFUNCTION("""COMPUTED_VALUE"""),2556.26)</f>
        <v/>
      </c>
    </row>
    <row r="12474">
      <c r="J12474">
        <f>IFERROR(__xludf.DUMMYFUNCTION("""COMPUTED_VALUE"""),"Moncton and Fredericton, New Brunswick, Halifax, Nova Scotia and St. John's, Newfoundland")</f>
        <v/>
      </c>
      <c r="K12474">
        <f>IFERROR(__xludf.DUMMYFUNCTION("""COMPUTED_VALUE"""),2555.78)</f>
        <v/>
      </c>
    </row>
    <row r="12475">
      <c r="J12475">
        <f>IFERROR(__xludf.DUMMYFUNCTION("""COMPUTED_VALUE"""),"Colorado Springs / Winnipeg")</f>
        <v/>
      </c>
      <c r="K12475">
        <f>IFERROR(__xludf.DUMMYFUNCTION("""COMPUTED_VALUE"""),2555.49)</f>
        <v/>
      </c>
    </row>
    <row r="12476">
      <c r="J12476">
        <f>IFERROR(__xludf.DUMMYFUNCTION("""COMPUTED_VALUE"""),"Saskatoon, Saskatchewan
Edmonton, Alberta")</f>
        <v/>
      </c>
      <c r="K12476">
        <f>IFERROR(__xludf.DUMMYFUNCTION("""COMPUTED_VALUE"""),2555.49)</f>
        <v/>
      </c>
    </row>
    <row r="12477">
      <c r="J12477">
        <f>IFERROR(__xludf.DUMMYFUNCTION("""COMPUTED_VALUE"""),"Washington, United States; Boston, United States")</f>
        <v/>
      </c>
      <c r="K12477">
        <f>IFERROR(__xludf.DUMMYFUNCTION("""COMPUTED_VALUE"""),2554.85)</f>
        <v/>
      </c>
    </row>
    <row r="12478">
      <c r="J12478">
        <f>IFERROR(__xludf.DUMMYFUNCTION("""COMPUTED_VALUE"""),"Moncton, New Brunswick, Canada; Levis, Quebec, Canada")</f>
        <v/>
      </c>
      <c r="K12478">
        <f>IFERROR(__xludf.DUMMYFUNCTION("""COMPUTED_VALUE"""),2553.75)</f>
        <v/>
      </c>
    </row>
    <row r="12479">
      <c r="J12479">
        <f>IFERROR(__xludf.DUMMYFUNCTION("""COMPUTED_VALUE"""),"Toronto - Thunder Bay, Ontario")</f>
        <v/>
      </c>
      <c r="K12479">
        <f>IFERROR(__xludf.DUMMYFUNCTION("""COMPUTED_VALUE"""),2553.52)</f>
        <v/>
      </c>
    </row>
    <row r="12480">
      <c r="J12480">
        <f>IFERROR(__xludf.DUMMYFUNCTION("""COMPUTED_VALUE"""),"Waterloo, ON et Quebec City , QC")</f>
        <v/>
      </c>
      <c r="K12480">
        <f>IFERROR(__xludf.DUMMYFUNCTION("""COMPUTED_VALUE"""),2553.08)</f>
        <v/>
      </c>
    </row>
    <row r="12481">
      <c r="J12481">
        <f>IFERROR(__xludf.DUMMYFUNCTION("""COMPUTED_VALUE"""),"Ottawa-Montreal-Ottawa")</f>
        <v/>
      </c>
      <c r="K12481">
        <f>IFERROR(__xludf.DUMMYFUNCTION("""COMPUTED_VALUE"""),2552.9)</f>
        <v/>
      </c>
    </row>
    <row r="12482">
      <c r="J12482">
        <f>IFERROR(__xludf.DUMMYFUNCTION("""COMPUTED_VALUE"""),"Emerson, Manitoba, Canada")</f>
        <v/>
      </c>
      <c r="K12482">
        <f>IFERROR(__xludf.DUMMYFUNCTION("""COMPUTED_VALUE"""),2552.05)</f>
        <v/>
      </c>
    </row>
    <row r="12483">
      <c r="J12483">
        <f>IFERROR(__xludf.DUMMYFUNCTION("""COMPUTED_VALUE"""),"Toronto, Ontario, Canada; Bromont, Quebec, Canada")</f>
        <v/>
      </c>
      <c r="K12483">
        <f>IFERROR(__xludf.DUMMYFUNCTION("""COMPUTED_VALUE"""),2551.99)</f>
        <v/>
      </c>
    </row>
    <row r="12484">
      <c r="J12484">
        <f>IFERROR(__xludf.DUMMYFUNCTION("""COMPUTED_VALUE"""),"Summerside, PE; St. John's, NL")</f>
        <v/>
      </c>
      <c r="K12484">
        <f>IFERROR(__xludf.DUMMYFUNCTION("""COMPUTED_VALUE"""),2551.74)</f>
        <v/>
      </c>
    </row>
    <row r="12485">
      <c r="J12485">
        <f>IFERROR(__xludf.DUMMYFUNCTION("""COMPUTED_VALUE"""),"Bridgetown, N/A, Barbados")</f>
        <v/>
      </c>
      <c r="K12485">
        <f>IFERROR(__xludf.DUMMYFUNCTION("""COMPUTED_VALUE"""),2551.73)</f>
        <v/>
      </c>
    </row>
    <row r="12486">
      <c r="J12486">
        <f>IFERROR(__xludf.DUMMYFUNCTION("""COMPUTED_VALUE"""),"New York City, New York, United States and Calgary, Alberta")</f>
        <v/>
      </c>
      <c r="K12486">
        <f>IFERROR(__xludf.DUMMYFUNCTION("""COMPUTED_VALUE"""),2551.64)</f>
        <v/>
      </c>
    </row>
    <row r="12487">
      <c r="J12487">
        <f>IFERROR(__xludf.DUMMYFUNCTION("""COMPUTED_VALUE"""),"Colorado Springs/ Calgary")</f>
        <v/>
      </c>
      <c r="K12487">
        <f>IFERROR(__xludf.DUMMYFUNCTION("""COMPUTED_VALUE"""),2551.5)</f>
        <v/>
      </c>
    </row>
    <row r="12488">
      <c r="J12488">
        <f>IFERROR(__xludf.DUMMYFUNCTION("""COMPUTED_VALUE"""),"Batoche, Saskatchewan and Gatineau, Quebec")</f>
        <v/>
      </c>
      <c r="K12488">
        <f>IFERROR(__xludf.DUMMYFUNCTION("""COMPUTED_VALUE"""),2551.25)</f>
        <v/>
      </c>
    </row>
    <row r="12489">
      <c r="J12489">
        <f>IFERROR(__xludf.DUMMYFUNCTION("""COMPUTED_VALUE"""),"Victoriaville, Roberval, Rivière-du-Loup, Montreal, Chibougamau, Roberval, Alma")</f>
        <v/>
      </c>
      <c r="K12489">
        <f>IFERROR(__xludf.DUMMYFUNCTION("""COMPUTED_VALUE"""),2550.92)</f>
        <v/>
      </c>
    </row>
    <row r="12490">
      <c r="J12490">
        <f>IFERROR(__xludf.DUMMYFUNCTION("""COMPUTED_VALUE"""),"Vancouver, Victoria BC")</f>
        <v/>
      </c>
      <c r="K12490">
        <f>IFERROR(__xludf.DUMMYFUNCTION("""COMPUTED_VALUE"""),2549.4)</f>
        <v/>
      </c>
    </row>
    <row r="12491">
      <c r="J12491">
        <f>IFERROR(__xludf.DUMMYFUNCTION("""COMPUTED_VALUE"""),"Beijing, China / Hong Kong, China / Vancouver, British Columbia, Canada")</f>
        <v/>
      </c>
      <c r="K12491">
        <f>IFERROR(__xludf.DUMMYFUNCTION("""COMPUTED_VALUE"""),2549.18)</f>
        <v/>
      </c>
    </row>
    <row r="12492">
      <c r="J12492">
        <f>IFERROR(__xludf.DUMMYFUNCTION("""COMPUTED_VALUE"""),"Regina, Saskatchewan; Toronto, Ontario; St. John's, Newfoundland and Labrador")</f>
        <v/>
      </c>
      <c r="K12492">
        <f>IFERROR(__xludf.DUMMYFUNCTION("""COMPUTED_VALUE"""),2548.38)</f>
        <v/>
      </c>
    </row>
    <row r="12493">
      <c r="J12493">
        <f>IFERROR(__xludf.DUMMYFUNCTION("""COMPUTED_VALUE"""),"Toronto, ON and St. John's, NFLD")</f>
        <v/>
      </c>
      <c r="K12493">
        <f>IFERROR(__xludf.DUMMYFUNCTION("""COMPUTED_VALUE"""),2547.67)</f>
        <v/>
      </c>
    </row>
    <row r="12494">
      <c r="J12494">
        <f>IFERROR(__xludf.DUMMYFUNCTION("""COMPUTED_VALUE"""),"Northern Territories Québec")</f>
        <v/>
      </c>
      <c r="K12494">
        <f>IFERROR(__xludf.DUMMYFUNCTION("""COMPUTED_VALUE"""),2546.75)</f>
        <v/>
      </c>
    </row>
    <row r="12495">
      <c r="J12495">
        <f>IFERROR(__xludf.DUMMYFUNCTION("""COMPUTED_VALUE"""),"Tashkent, Uzbekistan")</f>
        <v/>
      </c>
      <c r="K12495">
        <f>IFERROR(__xludf.DUMMYFUNCTION("""COMPUTED_VALUE"""),2546.62)</f>
        <v/>
      </c>
    </row>
    <row r="12496">
      <c r="J12496">
        <f>IFERROR(__xludf.DUMMYFUNCTION("""COMPUTED_VALUE"""),"Fredericton and Bathurst. New Brunswick")</f>
        <v/>
      </c>
      <c r="K12496">
        <f>IFERROR(__xludf.DUMMYFUNCTION("""COMPUTED_VALUE"""),2545.1)</f>
        <v/>
      </c>
    </row>
    <row r="12497">
      <c r="J12497">
        <f>IFERROR(__xludf.DUMMYFUNCTION("""COMPUTED_VALUE"""),"Edmonton, AB, Regina, Saskatoon, SK, Winnipeg, MB")</f>
        <v/>
      </c>
      <c r="K12497">
        <f>IFERROR(__xludf.DUMMYFUNCTION("""COMPUTED_VALUE"""),2544.19)</f>
        <v/>
      </c>
    </row>
    <row r="12498">
      <c r="J12498">
        <f>IFERROR(__xludf.DUMMYFUNCTION("""COMPUTED_VALUE"""),"CHARLOTTETOWN, PE &amp; YARMOUTH, NS")</f>
        <v/>
      </c>
      <c r="K12498">
        <f>IFERROR(__xludf.DUMMYFUNCTION("""COMPUTED_VALUE"""),2544.13)</f>
        <v/>
      </c>
    </row>
    <row r="12499">
      <c r="J12499">
        <f>IFERROR(__xludf.DUMMYFUNCTION("""COMPUTED_VALUE"""),"Montreal, Quebec; &amp; Victoria, British Columbia, Canada")</f>
        <v/>
      </c>
      <c r="K12499">
        <f>IFERROR(__xludf.DUMMYFUNCTION("""COMPUTED_VALUE"""),2543.67)</f>
        <v/>
      </c>
    </row>
    <row r="12500">
      <c r="J12500">
        <f>IFERROR(__xludf.DUMMYFUNCTION("""COMPUTED_VALUE"""),"Halifax, Nova Scotia, Canada; Hamilton, Ontario, Canada")</f>
        <v/>
      </c>
      <c r="K12500">
        <f>IFERROR(__xludf.DUMMYFUNCTION("""COMPUTED_VALUE"""),2543.58)</f>
        <v/>
      </c>
    </row>
    <row r="12501">
      <c r="J12501">
        <f>IFERROR(__xludf.DUMMYFUNCTION("""COMPUTED_VALUE"""),"Moncton, New Brunswick, Canada and Saint John, New Brunswick, Canada")</f>
        <v/>
      </c>
      <c r="K12501">
        <f>IFERROR(__xludf.DUMMYFUNCTION("""COMPUTED_VALUE"""),2542.98)</f>
        <v/>
      </c>
    </row>
    <row r="12502">
      <c r="J12502">
        <f>IFERROR(__xludf.DUMMYFUNCTION("""COMPUTED_VALUE"""),"Smoky Lake, Alberta, Canada")</f>
        <v/>
      </c>
      <c r="K12502">
        <f>IFERROR(__xludf.DUMMYFUNCTION("""COMPUTED_VALUE"""),2542.55)</f>
        <v/>
      </c>
    </row>
    <row r="12503">
      <c r="J12503">
        <f>IFERROR(__xludf.DUMMYFUNCTION("""COMPUTED_VALUE"""),"Vancouver, British Columbia / Edmonton, Alberta / Winnipeg, Manitoba, Canada")</f>
        <v/>
      </c>
      <c r="K12503">
        <f>IFERROR(__xludf.DUMMYFUNCTION("""COMPUTED_VALUE"""),2541.91)</f>
        <v/>
      </c>
    </row>
    <row r="12504">
      <c r="J12504">
        <f>IFERROR(__xludf.DUMMYFUNCTION("""COMPUTED_VALUE"""),"Quebec and Montreal, Quebec; Winnipeg, Manitoba and Edmonton, Alberta")</f>
        <v/>
      </c>
      <c r="K12504">
        <f>IFERROR(__xludf.DUMMYFUNCTION("""COMPUTED_VALUE"""),2541.55)</f>
        <v/>
      </c>
    </row>
    <row r="12505">
      <c r="J12505">
        <f>IFERROR(__xludf.DUMMYFUNCTION("""COMPUTED_VALUE"""),"Oaxaca")</f>
        <v/>
      </c>
      <c r="K12505">
        <f>IFERROR(__xludf.DUMMYFUNCTION("""COMPUTED_VALUE"""),2541.11)</f>
        <v/>
      </c>
    </row>
    <row r="12506">
      <c r="J12506">
        <f>IFERROR(__xludf.DUMMYFUNCTION("""COMPUTED_VALUE"""),"Charlottetown, Prince Edward Island and Ottawa Ontario")</f>
        <v/>
      </c>
      <c r="K12506">
        <f>IFERROR(__xludf.DUMMYFUNCTION("""COMPUTED_VALUE"""),2540.32)</f>
        <v/>
      </c>
    </row>
    <row r="12507">
      <c r="J12507">
        <f>IFERROR(__xludf.DUMMYFUNCTION("""COMPUTED_VALUE"""),"Calgary, AB
Regina, SK
Winnipeg, MB")</f>
        <v/>
      </c>
      <c r="K12507">
        <f>IFERROR(__xludf.DUMMYFUNCTION("""COMPUTED_VALUE"""),2539.56)</f>
        <v/>
      </c>
    </row>
    <row r="12508">
      <c r="J12508">
        <f>IFERROR(__xludf.DUMMYFUNCTION("""COMPUTED_VALUE"""),"London, Ontario, Canada; Toronto, Ontario, Canada; Montreal, Quebec, Canada")</f>
        <v/>
      </c>
      <c r="K12508">
        <f>IFERROR(__xludf.DUMMYFUNCTION("""COMPUTED_VALUE"""),2539.31)</f>
        <v/>
      </c>
    </row>
    <row r="12509">
      <c r="J12509">
        <f>IFERROR(__xludf.DUMMYFUNCTION("""COMPUTED_VALUE"""),"Winnipeg, Mantiba, Canada / Calgary,Alberta, Canada")</f>
        <v/>
      </c>
      <c r="K12509">
        <f>IFERROR(__xludf.DUMMYFUNCTION("""COMPUTED_VALUE"""),2538.78)</f>
        <v/>
      </c>
    </row>
    <row r="12510">
      <c r="J12510">
        <f>IFERROR(__xludf.DUMMYFUNCTION("""COMPUTED_VALUE"""),"Jonquière (Quebec) Canada")</f>
        <v/>
      </c>
      <c r="K12510">
        <f>IFERROR(__xludf.DUMMYFUNCTION("""COMPUTED_VALUE"""),2538.59)</f>
        <v/>
      </c>
    </row>
    <row r="12511">
      <c r="J12511">
        <f>IFERROR(__xludf.DUMMYFUNCTION("""COMPUTED_VALUE"""),"North Battleford, Saskatchewan, Canada")</f>
        <v/>
      </c>
      <c r="K12511">
        <f>IFERROR(__xludf.DUMMYFUNCTION("""COMPUTED_VALUE"""),2538.02)</f>
        <v/>
      </c>
    </row>
    <row r="12512">
      <c r="J12512">
        <f>IFERROR(__xludf.DUMMYFUNCTION("""COMPUTED_VALUE"""),"Ottawa (Ontario) Canada, San Antonio (Texas) United States")</f>
        <v/>
      </c>
      <c r="K12512">
        <f>IFERROR(__xludf.DUMMYFUNCTION("""COMPUTED_VALUE"""),2538.01)</f>
        <v/>
      </c>
    </row>
    <row r="12513">
      <c r="J12513">
        <f>IFERROR(__xludf.DUMMYFUNCTION("""COMPUTED_VALUE"""),"Panama City, Republic of Panama")</f>
        <v/>
      </c>
      <c r="K12513">
        <f>IFERROR(__xludf.DUMMYFUNCTION("""COMPUTED_VALUE"""),2537.08)</f>
        <v/>
      </c>
    </row>
    <row r="12514">
      <c r="J12514">
        <f>IFERROR(__xludf.DUMMYFUNCTION("""COMPUTED_VALUE"""),"Nova Scotia, Newfoundland")</f>
        <v/>
      </c>
      <c r="K12514">
        <f>IFERROR(__xludf.DUMMYFUNCTION("""COMPUTED_VALUE"""),2536.8)</f>
        <v/>
      </c>
    </row>
    <row r="12515">
      <c r="J12515">
        <f>IFERROR(__xludf.DUMMYFUNCTION("""COMPUTED_VALUE"""),"St-John's, NL, Canada")</f>
        <v/>
      </c>
      <c r="K12515">
        <f>IFERROR(__xludf.DUMMYFUNCTION("""COMPUTED_VALUE"""),2536.51)</f>
        <v/>
      </c>
    </row>
    <row r="12516">
      <c r="J12516">
        <f>IFERROR(__xludf.DUMMYFUNCTION("""COMPUTED_VALUE"""),"Parksville, British Columbia")</f>
        <v/>
      </c>
      <c r="K12516">
        <f>IFERROR(__xludf.DUMMYFUNCTION("""COMPUTED_VALUE"""),2536.16)</f>
        <v/>
      </c>
    </row>
    <row r="12517">
      <c r="J12517">
        <f>IFERROR(__xludf.DUMMYFUNCTION("""COMPUTED_VALUE"""),"Toronto, Waterloo and Hamilton, Ontario")</f>
        <v/>
      </c>
      <c r="K12517">
        <f>IFERROR(__xludf.DUMMYFUNCTION("""COMPUTED_VALUE"""),2535.98)</f>
        <v/>
      </c>
    </row>
    <row r="12518">
      <c r="J12518">
        <f>IFERROR(__xludf.DUMMYFUNCTION("""COMPUTED_VALUE"""),"Quebec, Quebec, St-Irenee, Quebec, Halifax, Nova Scotia")</f>
        <v/>
      </c>
      <c r="K12518">
        <f>IFERROR(__xludf.DUMMYFUNCTION("""COMPUTED_VALUE"""),2535.4)</f>
        <v/>
      </c>
    </row>
    <row r="12519">
      <c r="J12519">
        <f>IFERROR(__xludf.DUMMYFUNCTION("""COMPUTED_VALUE"""),"Charlottetown, PE - Ottawa, ON / Ottawa, ON-Charlottetown, PE")</f>
        <v/>
      </c>
      <c r="K12519">
        <f>IFERROR(__xludf.DUMMYFUNCTION("""COMPUTED_VALUE"""),2535.29)</f>
        <v/>
      </c>
    </row>
    <row r="12520">
      <c r="J12520">
        <f>IFERROR(__xludf.DUMMYFUNCTION("""COMPUTED_VALUE"""),"New-York, New-York, United-States")</f>
        <v/>
      </c>
      <c r="K12520">
        <f>IFERROR(__xludf.DUMMYFUNCTION("""COMPUTED_VALUE"""),2535.1)</f>
        <v/>
      </c>
    </row>
    <row r="12521">
      <c r="J12521">
        <f>IFERROR(__xludf.DUMMYFUNCTION("""COMPUTED_VALUE"""),"OTTAWA, TORONTO, OTTAWA, KANATA")</f>
        <v/>
      </c>
      <c r="K12521">
        <f>IFERROR(__xludf.DUMMYFUNCTION("""COMPUTED_VALUE"""),2534.74)</f>
        <v/>
      </c>
    </row>
    <row r="12522">
      <c r="J12522">
        <f>IFERROR(__xludf.DUMMYFUNCTION("""COMPUTED_VALUE"""),"Toronto, Ontario Montreal, Quebec")</f>
        <v/>
      </c>
      <c r="K12522">
        <f>IFERROR(__xludf.DUMMYFUNCTION("""COMPUTED_VALUE"""),2534.6)</f>
        <v/>
      </c>
    </row>
    <row r="12523">
      <c r="J12523">
        <f>IFERROR(__xludf.DUMMYFUNCTION("""COMPUTED_VALUE"""),"Los Angleles, California, United States")</f>
        <v/>
      </c>
      <c r="K12523">
        <f>IFERROR(__xludf.DUMMYFUNCTION("""COMPUTED_VALUE"""),2534.06)</f>
        <v/>
      </c>
    </row>
    <row r="12524">
      <c r="J12524">
        <f>IFERROR(__xludf.DUMMYFUNCTION("""COMPUTED_VALUE"""),"Ottawa, Montréal")</f>
        <v/>
      </c>
      <c r="K12524">
        <f>IFERROR(__xludf.DUMMYFUNCTION("""COMPUTED_VALUE"""),2533.68)</f>
        <v/>
      </c>
    </row>
    <row r="12525">
      <c r="J12525">
        <f>IFERROR(__xludf.DUMMYFUNCTION("""COMPUTED_VALUE"""),"Philadelphia, Pennsylvania, United States of America")</f>
        <v/>
      </c>
      <c r="K12525">
        <f>IFERROR(__xludf.DUMMYFUNCTION("""COMPUTED_VALUE"""),2533.43)</f>
        <v/>
      </c>
    </row>
    <row r="12526">
      <c r="J12526">
        <f>IFERROR(__xludf.DUMMYFUNCTION("""COMPUTED_VALUE"""),"Edmonton, AB - Vancouver, BC - Calgary AB")</f>
        <v/>
      </c>
      <c r="K12526">
        <f>IFERROR(__xludf.DUMMYFUNCTION("""COMPUTED_VALUE"""),2533.16)</f>
        <v/>
      </c>
    </row>
    <row r="12527">
      <c r="J12527">
        <f>IFERROR(__xludf.DUMMYFUNCTION("""COMPUTED_VALUE"""),"Brandon, Manitoba, Canada; Winnipeg, Manitoba, Canada")</f>
        <v/>
      </c>
      <c r="K12527">
        <f>IFERROR(__xludf.DUMMYFUNCTION("""COMPUTED_VALUE"""),2532.94)</f>
        <v/>
      </c>
    </row>
    <row r="12528">
      <c r="J12528">
        <f>IFERROR(__xludf.DUMMYFUNCTION("""COMPUTED_VALUE"""),"Sydney, Nova-Scotia Moncton, New- Brunswick")</f>
        <v/>
      </c>
      <c r="K12528">
        <f>IFERROR(__xludf.DUMMYFUNCTION("""COMPUTED_VALUE"""),2532)</f>
        <v/>
      </c>
    </row>
    <row r="12529">
      <c r="J12529">
        <f>IFERROR(__xludf.DUMMYFUNCTION("""COMPUTED_VALUE"""),"OTTAWA &amp; PETAWAWA, ON")</f>
        <v/>
      </c>
      <c r="K12529">
        <f>IFERROR(__xludf.DUMMYFUNCTION("""COMPUTED_VALUE"""),2531.47)</f>
        <v/>
      </c>
    </row>
    <row r="12530">
      <c r="J12530">
        <f>IFERROR(__xludf.DUMMYFUNCTION("""COMPUTED_VALUE"""),"Kelowna, BC; Vancouver, BC")</f>
        <v/>
      </c>
      <c r="K12530">
        <f>IFERROR(__xludf.DUMMYFUNCTION("""COMPUTED_VALUE"""),2531.13)</f>
        <v/>
      </c>
    </row>
    <row r="12531">
      <c r="J12531">
        <f>IFERROR(__xludf.DUMMYFUNCTION("""COMPUTED_VALUE"""),"Gatineau, Quebec and Ottawa, Ontario, Canada")</f>
        <v/>
      </c>
      <c r="K12531">
        <f>IFERROR(__xludf.DUMMYFUNCTION("""COMPUTED_VALUE"""),2531.1)</f>
        <v/>
      </c>
    </row>
    <row r="12532">
      <c r="J12532">
        <f>IFERROR(__xludf.DUMMYFUNCTION("""COMPUTED_VALUE"""),"Regina, Saskatchewan, Canada; La Loche, Saskatchewan, Canada; Saskatoon, Saskatchewan, Canada")</f>
        <v/>
      </c>
      <c r="K12532">
        <f>IFERROR(__xludf.DUMMYFUNCTION("""COMPUTED_VALUE"""),2530.48)</f>
        <v/>
      </c>
    </row>
    <row r="12533">
      <c r="J12533">
        <f>IFERROR(__xludf.DUMMYFUNCTION("""COMPUTED_VALUE"""),"Kelowna and Vancouver, British-Columbia")</f>
        <v/>
      </c>
      <c r="K12533">
        <f>IFERROR(__xludf.DUMMYFUNCTION("""COMPUTED_VALUE"""),2529.82)</f>
        <v/>
      </c>
    </row>
    <row r="12534">
      <c r="J12534">
        <f>IFERROR(__xludf.DUMMYFUNCTION("""COMPUTED_VALUE"""),"Ottawa, Ontario &amp; Trois-Rivières, Quebec")</f>
        <v/>
      </c>
      <c r="K12534">
        <f>IFERROR(__xludf.DUMMYFUNCTION("""COMPUTED_VALUE"""),2529.81)</f>
        <v/>
      </c>
    </row>
    <row r="12535">
      <c r="J12535">
        <f>IFERROR(__xludf.DUMMYFUNCTION("""COMPUTED_VALUE"""),"Windsor, Ontario, Canada/ Washington, District of Columbia, United States")</f>
        <v/>
      </c>
      <c r="K12535">
        <f>IFERROR(__xludf.DUMMYFUNCTION("""COMPUTED_VALUE"""),2529.73)</f>
        <v/>
      </c>
    </row>
    <row r="12536">
      <c r="J12536">
        <f>IFERROR(__xludf.DUMMYFUNCTION("""COMPUTED_VALUE"""),"Saint-John, New Brunswick, Canada; Winnipeg, Manitoba, Canada")</f>
        <v/>
      </c>
      <c r="K12536">
        <f>IFERROR(__xludf.DUMMYFUNCTION("""COMPUTED_VALUE"""),2529.45)</f>
        <v/>
      </c>
    </row>
    <row r="12537">
      <c r="J12537">
        <f>IFERROR(__xludf.DUMMYFUNCTION("""COMPUTED_VALUE"""),"Val-d'Or, Chibougamau, Montréal, Quebec, Canada")</f>
        <v/>
      </c>
      <c r="K12537">
        <f>IFERROR(__xludf.DUMMYFUNCTION("""COMPUTED_VALUE"""),2529.41)</f>
        <v/>
      </c>
    </row>
    <row r="12538">
      <c r="J12538">
        <f>IFERROR(__xludf.DUMMYFUNCTION("""COMPUTED_VALUE"""),"Shawinigan, Quebec, Canada/ Trois-Rivières, Quebec, Canada")</f>
        <v/>
      </c>
      <c r="K12538">
        <f>IFERROR(__xludf.DUMMYFUNCTION("""COMPUTED_VALUE"""),2528.89)</f>
        <v/>
      </c>
    </row>
    <row r="12539">
      <c r="J12539">
        <f>IFERROR(__xludf.DUMMYFUNCTION("""COMPUTED_VALUE"""),"Edmonton, AB Regina, SK Winnipeg, MB")</f>
        <v/>
      </c>
      <c r="K12539">
        <f>IFERROR(__xludf.DUMMYFUNCTION("""COMPUTED_VALUE"""),2528.54)</f>
        <v/>
      </c>
    </row>
    <row r="12540">
      <c r="J12540">
        <f>IFERROR(__xludf.DUMMYFUNCTION("""COMPUTED_VALUE"""),"Burgeo, Newfoundland and Labrador, Canada")</f>
        <v/>
      </c>
      <c r="K12540">
        <f>IFERROR(__xludf.DUMMYFUNCTION("""COMPUTED_VALUE"""),2528.16)</f>
        <v/>
      </c>
    </row>
    <row r="12541">
      <c r="J12541">
        <f>IFERROR(__xludf.DUMMYFUNCTION("""COMPUTED_VALUE"""),"Red Lake,Ontario, Winnipeg, Alberta")</f>
        <v/>
      </c>
      <c r="K12541">
        <f>IFERROR(__xludf.DUMMYFUNCTION("""COMPUTED_VALUE"""),2528.01)</f>
        <v/>
      </c>
    </row>
    <row r="12542">
      <c r="J12542">
        <f>IFERROR(__xludf.DUMMYFUNCTION("""COMPUTED_VALUE"""),"St. John's, Newfoundland and Labrador / Halifax, Nova Scotia, Canada")</f>
        <v/>
      </c>
      <c r="K12542">
        <f>IFERROR(__xludf.DUMMYFUNCTION("""COMPUTED_VALUE"""),2527.88)</f>
        <v/>
      </c>
    </row>
    <row r="12543">
      <c r="J12543">
        <f>IFERROR(__xludf.DUMMYFUNCTION("""COMPUTED_VALUE"""),"St. John's and Bonavista, Newfoundland and Labrador")</f>
        <v/>
      </c>
      <c r="K12543">
        <f>IFERROR(__xludf.DUMMYFUNCTION("""COMPUTED_VALUE"""),2527.86)</f>
        <v/>
      </c>
    </row>
    <row r="12544">
      <c r="J12544">
        <f>IFERROR(__xludf.DUMMYFUNCTION("""COMPUTED_VALUE"""),"Calgary, Alberta and Toronto, Ontario")</f>
        <v/>
      </c>
      <c r="K12544">
        <f>IFERROR(__xludf.DUMMYFUNCTION("""COMPUTED_VALUE"""),2527.36)</f>
        <v/>
      </c>
    </row>
    <row r="12545">
      <c r="J12545">
        <f>IFERROR(__xludf.DUMMYFUNCTION("""COMPUTED_VALUE"""),"Vancouver/Edmonton")</f>
        <v/>
      </c>
      <c r="K12545">
        <f>IFERROR(__xludf.DUMMYFUNCTION("""COMPUTED_VALUE"""),2527.26)</f>
        <v/>
      </c>
    </row>
    <row r="12546">
      <c r="J12546">
        <f>IFERROR(__xludf.DUMMYFUNCTION("""COMPUTED_VALUE"""),"Montreal, Qc, Canada")</f>
        <v/>
      </c>
      <c r="K12546">
        <f>IFERROR(__xludf.DUMMYFUNCTION("""COMPUTED_VALUE"""),2526.99)</f>
        <v/>
      </c>
    </row>
    <row r="12547">
      <c r="J12547">
        <f>IFERROR(__xludf.DUMMYFUNCTION("""COMPUTED_VALUE"""),"Ottawa, Ontario, Canada; Montreal, Quebec, Canada; Toronto, Ontario, Canada")</f>
        <v/>
      </c>
      <c r="K12547">
        <f>IFERROR(__xludf.DUMMYFUNCTION("""COMPUTED_VALUE"""),2526.79)</f>
        <v/>
      </c>
    </row>
    <row r="12548">
      <c r="J12548">
        <f>IFERROR(__xludf.DUMMYFUNCTION("""COMPUTED_VALUE"""),"Borden (Ontraio) Canada")</f>
        <v/>
      </c>
      <c r="K12548">
        <f>IFERROR(__xludf.DUMMYFUNCTION("""COMPUTED_VALUE"""),2526.6)</f>
        <v/>
      </c>
    </row>
    <row r="12549">
      <c r="J12549">
        <f>IFERROR(__xludf.DUMMYFUNCTION("""COMPUTED_VALUE"""),"Fredericton, New Brunswick, canada")</f>
        <v/>
      </c>
      <c r="K12549">
        <f>IFERROR(__xludf.DUMMYFUNCTION("""COMPUTED_VALUE"""),2526.31)</f>
        <v/>
      </c>
    </row>
    <row r="12550">
      <c r="J12550">
        <f>IFERROR(__xludf.DUMMYFUNCTION("""COMPUTED_VALUE"""),"Moncton, New Brunswick, Canada; Woodstock, New Brunswick, Canada; Fredericton, New Brunswick, Canada")</f>
        <v/>
      </c>
      <c r="K12550">
        <f>IFERROR(__xludf.DUMMYFUNCTION("""COMPUTED_VALUE"""),2526.07)</f>
        <v/>
      </c>
    </row>
    <row r="12551">
      <c r="J12551">
        <f>IFERROR(__xludf.DUMMYFUNCTION("""COMPUTED_VALUE"""),"Charlottetown, PE / Moncton, NB / Halifax, NS / St-John's, NL")</f>
        <v/>
      </c>
      <c r="K12551">
        <f>IFERROR(__xludf.DUMMYFUNCTION("""COMPUTED_VALUE"""),2526.04)</f>
        <v/>
      </c>
    </row>
    <row r="12552">
      <c r="J12552">
        <f>IFERROR(__xludf.DUMMYFUNCTION("""COMPUTED_VALUE"""),"Guanajuato, Mexico")</f>
        <v/>
      </c>
      <c r="K12552">
        <f>IFERROR(__xludf.DUMMYFUNCTION("""COMPUTED_VALUE"""),2525.62)</f>
        <v/>
      </c>
    </row>
    <row r="12553">
      <c r="J12553">
        <f>IFERROR(__xludf.DUMMYFUNCTION("""COMPUTED_VALUE"""),"Vancouver, British Colunbia / Edmonton, Alberta, Canada")</f>
        <v/>
      </c>
      <c r="K12553">
        <f>IFERROR(__xludf.DUMMYFUNCTION("""COMPUTED_VALUE"""),2525.39)</f>
        <v/>
      </c>
    </row>
    <row r="12554">
      <c r="J12554">
        <f>IFERROR(__xludf.DUMMYFUNCTION("""COMPUTED_VALUE"""),"Prince George, Victoria, (British Columbia)")</f>
        <v/>
      </c>
      <c r="K12554">
        <f>IFERROR(__xludf.DUMMYFUNCTION("""COMPUTED_VALUE"""),2525)</f>
        <v/>
      </c>
    </row>
    <row r="12555">
      <c r="J12555">
        <f>IFERROR(__xludf.DUMMYFUNCTION("""COMPUTED_VALUE"""),"Edmonton, AL, Regina, SK, Winnipeg, MB")</f>
        <v/>
      </c>
      <c r="K12555">
        <f>IFERROR(__xludf.DUMMYFUNCTION("""COMPUTED_VALUE"""),2524.77)</f>
        <v/>
      </c>
    </row>
    <row r="12556">
      <c r="J12556">
        <f>IFERROR(__xludf.DUMMYFUNCTION("""COMPUTED_VALUE"""),"Halifax, Nova Scotia, Canada / St. John's, Newfoundland and Labrador, Canada")</f>
        <v/>
      </c>
      <c r="K12556">
        <f>IFERROR(__xludf.DUMMYFUNCTION("""COMPUTED_VALUE"""),2524.62)</f>
        <v/>
      </c>
    </row>
    <row r="12557">
      <c r="J12557">
        <f>IFERROR(__xludf.DUMMYFUNCTION("""COMPUTED_VALUE"""),"Ottawa, ON-Charlottetown, PE/Charlottetown, PE-Ottawa, ON")</f>
        <v/>
      </c>
      <c r="K12557">
        <f>IFERROR(__xludf.DUMMYFUNCTION("""COMPUTED_VALUE"""),2524.06999999999)</f>
        <v/>
      </c>
    </row>
    <row r="12558">
      <c r="J12558">
        <f>IFERROR(__xludf.DUMMYFUNCTION("""COMPUTED_VALUE"""),"Toronto, Ontario; Hamilton, Ontario; Québec, Quebec, Canada")</f>
        <v/>
      </c>
      <c r="K12558">
        <f>IFERROR(__xludf.DUMMYFUNCTION("""COMPUTED_VALUE"""),2523.83)</f>
        <v/>
      </c>
    </row>
    <row r="12559">
      <c r="J12559">
        <f>IFERROR(__xludf.DUMMYFUNCTION("""COMPUTED_VALUE"""),"Toronto, Canada (January 14) and Washington, United States (January 15)")</f>
        <v/>
      </c>
      <c r="K12559">
        <f>IFERROR(__xludf.DUMMYFUNCTION("""COMPUTED_VALUE"""),2523.36)</f>
        <v/>
      </c>
    </row>
    <row r="12560">
      <c r="J12560">
        <f>IFERROR(__xludf.DUMMYFUNCTION("""COMPUTED_VALUE"""),"Parry Sound, Ontario, Canada / Gravenhurst, Ontario, Canada")</f>
        <v/>
      </c>
      <c r="K12560">
        <f>IFERROR(__xludf.DUMMYFUNCTION("""COMPUTED_VALUE"""),2523.13)</f>
        <v/>
      </c>
    </row>
    <row r="12561">
      <c r="J12561">
        <f>IFERROR(__xludf.DUMMYFUNCTION("""COMPUTED_VALUE"""),"Iqaluit , Nunavut, Canada")</f>
        <v/>
      </c>
      <c r="K12561">
        <f>IFERROR(__xludf.DUMMYFUNCTION("""COMPUTED_VALUE"""),2523.08)</f>
        <v/>
      </c>
    </row>
    <row r="12562">
      <c r="J12562">
        <f>IFERROR(__xludf.DUMMYFUNCTION("""COMPUTED_VALUE"""),"Calgary &amp; Banff")</f>
        <v/>
      </c>
      <c r="K12562">
        <f>IFERROR(__xludf.DUMMYFUNCTION("""COMPUTED_VALUE"""),2522.44)</f>
        <v/>
      </c>
    </row>
    <row r="12563">
      <c r="J12563">
        <f>IFERROR(__xludf.DUMMYFUNCTION("""COMPUTED_VALUE"""),"Washington DC (USA)")</f>
        <v/>
      </c>
      <c r="K12563">
        <f>IFERROR(__xludf.DUMMYFUNCTION("""COMPUTED_VALUE"""),2522.28)</f>
        <v/>
      </c>
    </row>
    <row r="12564">
      <c r="J12564">
        <f>IFERROR(__xludf.DUMMYFUNCTION("""COMPUTED_VALUE"""),"Ottawa-Victoria-Vancouver-Ottawa")</f>
        <v/>
      </c>
      <c r="K12564">
        <f>IFERROR(__xludf.DUMMYFUNCTION("""COMPUTED_VALUE"""),2521.94)</f>
        <v/>
      </c>
    </row>
    <row r="12565">
      <c r="J12565">
        <f>IFERROR(__xludf.DUMMYFUNCTION("""COMPUTED_VALUE"""),"Cheticamp, Nova Scotia")</f>
        <v/>
      </c>
      <c r="K12565">
        <f>IFERROR(__xludf.DUMMYFUNCTION("""COMPUTED_VALUE"""),2521.79)</f>
        <v/>
      </c>
    </row>
    <row r="12566">
      <c r="J12566">
        <f>IFERROR(__xludf.DUMMYFUNCTION("""COMPUTED_VALUE"""),"Washington D.C., Washington, United States")</f>
        <v/>
      </c>
      <c r="K12566">
        <f>IFERROR(__xludf.DUMMYFUNCTION("""COMPUTED_VALUE"""),2521.5)</f>
        <v/>
      </c>
    </row>
    <row r="12567">
      <c r="J12567">
        <f>IFERROR(__xludf.DUMMYFUNCTION("""COMPUTED_VALUE"""),"Richmond, British Columbia, Canada; Abbotsford, British Columbia, Canada")</f>
        <v/>
      </c>
      <c r="K12567">
        <f>IFERROR(__xludf.DUMMYFUNCTION("""COMPUTED_VALUE"""),2521.38)</f>
        <v/>
      </c>
    </row>
    <row r="12568">
      <c r="J12568">
        <f>IFERROR(__xludf.DUMMYFUNCTION("""COMPUTED_VALUE"""),"St. John's, Newfoundland and Labrador / Moncton, New Brunswick / Cape Breton, Nova Scotia")</f>
        <v/>
      </c>
      <c r="K12568">
        <f>IFERROR(__xludf.DUMMYFUNCTION("""COMPUTED_VALUE"""),2521.37)</f>
        <v/>
      </c>
    </row>
    <row r="12569">
      <c r="J12569">
        <f>IFERROR(__xludf.DUMMYFUNCTION("""COMPUTED_VALUE"""),"Edmonton, Alberta &amp; Vancouver, British Columbia")</f>
        <v/>
      </c>
      <c r="K12569">
        <f>IFERROR(__xludf.DUMMYFUNCTION("""COMPUTED_VALUE"""),2521.02)</f>
        <v/>
      </c>
    </row>
    <row r="12570">
      <c r="J12570">
        <f>IFERROR(__xludf.DUMMYFUNCTION("""COMPUTED_VALUE"""),"Vancouver, British Columbia, Canada; Edmonton, Alberta, Canada; Halifax, Nova Scotia, Canada")</f>
        <v/>
      </c>
      <c r="K12570">
        <f>IFERROR(__xludf.DUMMYFUNCTION("""COMPUTED_VALUE"""),2520.8)</f>
        <v/>
      </c>
    </row>
    <row r="12571">
      <c r="J12571">
        <f>IFERROR(__xludf.DUMMYFUNCTION("""COMPUTED_VALUE"""),"St-Jean, QC")</f>
        <v/>
      </c>
      <c r="K12571">
        <f>IFERROR(__xludf.DUMMYFUNCTION("""COMPUTED_VALUE"""),2520)</f>
        <v/>
      </c>
    </row>
    <row r="12572">
      <c r="J12572">
        <f>IFERROR(__xludf.DUMMYFUNCTION("""COMPUTED_VALUE"""),"Timmins, On - Sudbury, On - Kirkland, On")</f>
        <v/>
      </c>
      <c r="K12572">
        <f>IFERROR(__xludf.DUMMYFUNCTION("""COMPUTED_VALUE"""),2519.93)</f>
        <v/>
      </c>
    </row>
    <row r="12573">
      <c r="J12573">
        <f>IFERROR(__xludf.DUMMYFUNCTION("""COMPUTED_VALUE"""),"Toronto, Ontario, Canada / Port-of-Spain, Republic of Trinidad and Tobago")</f>
        <v/>
      </c>
      <c r="K12573">
        <f>IFERROR(__xludf.DUMMYFUNCTION("""COMPUTED_VALUE"""),2519.9)</f>
        <v/>
      </c>
    </row>
    <row r="12574">
      <c r="J12574">
        <f>IFERROR(__xludf.DUMMYFUNCTION("""COMPUTED_VALUE"""),"Regina, Saskatchewan, Canada; Halifax, Nova Scotia, Canada")</f>
        <v/>
      </c>
      <c r="K12574">
        <f>IFERROR(__xludf.DUMMYFUNCTION("""COMPUTED_VALUE"""),2519.68)</f>
        <v/>
      </c>
    </row>
    <row r="12575">
      <c r="J12575">
        <f>IFERROR(__xludf.DUMMYFUNCTION("""COMPUTED_VALUE"""),"Sioux Lookout")</f>
        <v/>
      </c>
      <c r="K12575">
        <f>IFERROR(__xludf.DUMMYFUNCTION("""COMPUTED_VALUE"""),2519.64)</f>
        <v/>
      </c>
    </row>
    <row r="12576">
      <c r="J12576">
        <f>IFERROR(__xludf.DUMMYFUNCTION("""COMPUTED_VALUE"""),"Rocky Harbour, Newfoundland &amp; Labrador")</f>
        <v/>
      </c>
      <c r="K12576">
        <f>IFERROR(__xludf.DUMMYFUNCTION("""COMPUTED_VALUE"""),2519.3)</f>
        <v/>
      </c>
    </row>
    <row r="12577">
      <c r="J12577">
        <f>IFERROR(__xludf.DUMMYFUNCTION("""COMPUTED_VALUE"""),"Vancouver - Victoria, BC")</f>
        <v/>
      </c>
      <c r="K12577">
        <f>IFERROR(__xludf.DUMMYFUNCTION("""COMPUTED_VALUE"""),2519.05)</f>
        <v/>
      </c>
    </row>
    <row r="12578">
      <c r="J12578">
        <f>IFERROR(__xludf.DUMMYFUNCTION("""COMPUTED_VALUE"""),"Brussels, Blegium")</f>
        <v/>
      </c>
      <c r="K12578">
        <f>IFERROR(__xludf.DUMMYFUNCTION("""COMPUTED_VALUE"""),2518.15)</f>
        <v/>
      </c>
    </row>
    <row r="12579">
      <c r="J12579">
        <f>IFERROR(__xludf.DUMMYFUNCTION("""COMPUTED_VALUE"""),"Comox (British Columbia) Canada")</f>
        <v/>
      </c>
      <c r="K12579">
        <f>IFERROR(__xludf.DUMMYFUNCTION("""COMPUTED_VALUE"""),2518.15)</f>
        <v/>
      </c>
    </row>
    <row r="12580">
      <c r="J12580">
        <f>IFERROR(__xludf.DUMMYFUNCTION("""COMPUTED_VALUE"""),"Montreal, Quebec, Canada
St-Hyacinthe, Quebec, Canada
Quebec, Quebec")</f>
        <v/>
      </c>
      <c r="K12580">
        <f>IFERROR(__xludf.DUMMYFUNCTION("""COMPUTED_VALUE"""),2517.94)</f>
        <v/>
      </c>
    </row>
    <row r="12581">
      <c r="J12581">
        <f>IFERROR(__xludf.DUMMYFUNCTION("""COMPUTED_VALUE"""),"Yellowknife, Northwest Territories and Edmonton, Alberta")</f>
        <v/>
      </c>
      <c r="K12581">
        <f>IFERROR(__xludf.DUMMYFUNCTION("""COMPUTED_VALUE"""),2517.58)</f>
        <v/>
      </c>
    </row>
    <row r="12582">
      <c r="J12582">
        <f>IFERROR(__xludf.DUMMYFUNCTION("""COMPUTED_VALUE"""),"Halifax, NS/Montreal, QC")</f>
        <v/>
      </c>
      <c r="K12582">
        <f>IFERROR(__xludf.DUMMYFUNCTION("""COMPUTED_VALUE"""),2517.52)</f>
        <v/>
      </c>
    </row>
    <row r="12583">
      <c r="J12583">
        <f>IFERROR(__xludf.DUMMYFUNCTION("""COMPUTED_VALUE"""),"Calgary, Alberta, Canada; Edmonton, Alberta, Canada; Innisfail, Alberta, Canada")</f>
        <v/>
      </c>
      <c r="K12583">
        <f>IFERROR(__xludf.DUMMYFUNCTION("""COMPUTED_VALUE"""),2516.49)</f>
        <v/>
      </c>
    </row>
    <row r="12584">
      <c r="J12584">
        <f>IFERROR(__xludf.DUMMYFUNCTION("""COMPUTED_VALUE"""),"Calgary, AB / Toronto, ON")</f>
        <v/>
      </c>
      <c r="K12584">
        <f>IFERROR(__xludf.DUMMYFUNCTION("""COMPUTED_VALUE"""),2516.41)</f>
        <v/>
      </c>
    </row>
    <row r="12585">
      <c r="J12585">
        <f>IFERROR(__xludf.DUMMYFUNCTION("""COMPUTED_VALUE"""),"St.John's (Newfoundland and Labrador) Canada")</f>
        <v/>
      </c>
      <c r="K12585">
        <f>IFERROR(__xludf.DUMMYFUNCTION("""COMPUTED_VALUE"""),2516.29)</f>
        <v/>
      </c>
    </row>
    <row r="12586">
      <c r="J12586">
        <f>IFERROR(__xludf.DUMMYFUNCTION("""COMPUTED_VALUE"""),"Deer Lake, Newfoundland and Labrador, Canada")</f>
        <v/>
      </c>
      <c r="K12586">
        <f>IFERROR(__xludf.DUMMYFUNCTION("""COMPUTED_VALUE"""),2515.98)</f>
        <v/>
      </c>
    </row>
    <row r="12587">
      <c r="J12587">
        <f>IFERROR(__xludf.DUMMYFUNCTION("""COMPUTED_VALUE"""),"Edmonton, AB - Hamilton, ON")</f>
        <v/>
      </c>
      <c r="K12587">
        <f>IFERROR(__xludf.DUMMYFUNCTION("""COMPUTED_VALUE"""),2515.74)</f>
        <v/>
      </c>
    </row>
    <row r="12588">
      <c r="J12588">
        <f>IFERROR(__xludf.DUMMYFUNCTION("""COMPUTED_VALUE"""),"Montreal, 
Quebec, 
Canada")</f>
        <v/>
      </c>
      <c r="K12588">
        <f>IFERROR(__xludf.DUMMYFUNCTION("""COMPUTED_VALUE"""),2515.57)</f>
        <v/>
      </c>
    </row>
    <row r="12589">
      <c r="J12589">
        <f>IFERROR(__xludf.DUMMYFUNCTION("""COMPUTED_VALUE"""),"Iqaluit, Iqaluit, Canada")</f>
        <v/>
      </c>
      <c r="K12589">
        <f>IFERROR(__xludf.DUMMYFUNCTION("""COMPUTED_VALUE"""),2515.29)</f>
        <v/>
      </c>
    </row>
    <row r="12590">
      <c r="J12590">
        <f>IFERROR(__xludf.DUMMYFUNCTION("""COMPUTED_VALUE"""),"Toronto, Ontario, Canada and Mexico City, Mexico")</f>
        <v/>
      </c>
      <c r="K12590">
        <f>IFERROR(__xludf.DUMMYFUNCTION("""COMPUTED_VALUE"""),2514.74)</f>
        <v/>
      </c>
    </row>
    <row r="12591">
      <c r="J12591">
        <f>IFERROR(__xludf.DUMMYFUNCTION("""COMPUTED_VALUE"""),"St. John's, Newfoundland and Labrador, Canada - Charlottetown, Prince Edward Island, Canada")</f>
        <v/>
      </c>
      <c r="K12591">
        <f>IFERROR(__xludf.DUMMYFUNCTION("""COMPUTED_VALUE"""),2514.64)</f>
        <v/>
      </c>
    </row>
    <row r="12592">
      <c r="J12592">
        <f>IFERROR(__xludf.DUMMYFUNCTION("""COMPUTED_VALUE"""),"Winnipeg, Manitoba / Toronto, Ontario, Canada")</f>
        <v/>
      </c>
      <c r="K12592">
        <f>IFERROR(__xludf.DUMMYFUNCTION("""COMPUTED_VALUE"""),2514.1)</f>
        <v/>
      </c>
    </row>
    <row r="12593">
      <c r="J12593">
        <f>IFERROR(__xludf.DUMMYFUNCTION("""COMPUTED_VALUE"""),"Altanta, GA")</f>
        <v/>
      </c>
      <c r="K12593">
        <f>IFERROR(__xludf.DUMMYFUNCTION("""COMPUTED_VALUE"""),2513.83)</f>
        <v/>
      </c>
    </row>
    <row r="12594">
      <c r="J12594">
        <f>IFERROR(__xludf.DUMMYFUNCTION("""COMPUTED_VALUE"""),"Alma, Moncton and Saint Andrews, New Brunswick and St. John's, Newfoundland and Labrador")</f>
        <v/>
      </c>
      <c r="K12594">
        <f>IFERROR(__xludf.DUMMYFUNCTION("""COMPUTED_VALUE"""),2513.67)</f>
        <v/>
      </c>
    </row>
    <row r="12595">
      <c r="J12595">
        <f>IFERROR(__xludf.DUMMYFUNCTION("""COMPUTED_VALUE"""),"Merrickville, Ontario")</f>
        <v/>
      </c>
      <c r="K12595">
        <f>IFERROR(__xludf.DUMMYFUNCTION("""COMPUTED_VALUE"""),2513.66)</f>
        <v/>
      </c>
    </row>
    <row r="12596">
      <c r="J12596">
        <f>IFERROR(__xludf.DUMMYFUNCTION("""COMPUTED_VALUE"""),"Yellowknife, Northwest Territories, Canada; Calgary, Alberta, Canada")</f>
        <v/>
      </c>
      <c r="K12596">
        <f>IFERROR(__xludf.DUMMYFUNCTION("""COMPUTED_VALUE"""),2513.05)</f>
        <v/>
      </c>
    </row>
    <row r="12597">
      <c r="J12597">
        <f>IFERROR(__xludf.DUMMYFUNCTION("""COMPUTED_VALUE"""),"Missisauga, Ontario, Halifax, Nova Scotia and Montreal, Quebec")</f>
        <v/>
      </c>
      <c r="K12597">
        <f>IFERROR(__xludf.DUMMYFUNCTION("""COMPUTED_VALUE"""),2512.65)</f>
        <v/>
      </c>
    </row>
    <row r="12598">
      <c r="J12598">
        <f>IFERROR(__xludf.DUMMYFUNCTION("""COMPUTED_VALUE"""),"Milwaukee, WI")</f>
        <v/>
      </c>
      <c r="K12598">
        <f>IFERROR(__xludf.DUMMYFUNCTION("""COMPUTED_VALUE"""),2512.58)</f>
        <v/>
      </c>
    </row>
    <row r="12599">
      <c r="J12599">
        <f>IFERROR(__xludf.DUMMYFUNCTION("""COMPUTED_VALUE"""),"Montreal, Ontario, Canada")</f>
        <v/>
      </c>
      <c r="K12599">
        <f>IFERROR(__xludf.DUMMYFUNCTION("""COMPUTED_VALUE"""),2512.19)</f>
        <v/>
      </c>
    </row>
    <row r="12600">
      <c r="J12600">
        <f>IFERROR(__xludf.DUMMYFUNCTION("""COMPUTED_VALUE"""),"Nanaimo, British Columbia, Canada; Banff, Alberta, Canada; Calgary, Alberta, Canada")</f>
        <v/>
      </c>
      <c r="K12600">
        <f>IFERROR(__xludf.DUMMYFUNCTION("""COMPUTED_VALUE"""),2512.05)</f>
        <v/>
      </c>
    </row>
    <row r="12601">
      <c r="J12601">
        <f>IFERROR(__xludf.DUMMYFUNCTION("""COMPUTED_VALUE"""),"Summerland, British-Columbia, Canada")</f>
        <v/>
      </c>
      <c r="K12601">
        <f>IFERROR(__xludf.DUMMYFUNCTION("""COMPUTED_VALUE"""),2511.87)</f>
        <v/>
      </c>
    </row>
    <row r="12602">
      <c r="J12602">
        <f>IFERROR(__xludf.DUMMYFUNCTION("""COMPUTED_VALUE"""),"Barrie")</f>
        <v/>
      </c>
      <c r="K12602">
        <f>IFERROR(__xludf.DUMMYFUNCTION("""COMPUTED_VALUE"""),2511.47)</f>
        <v/>
      </c>
    </row>
    <row r="12603">
      <c r="J12603">
        <f>IFERROR(__xludf.DUMMYFUNCTION("""COMPUTED_VALUE"""),"St-John`s and Deer Lake, Newfoundland and Labrador, Canada")</f>
        <v/>
      </c>
      <c r="K12603">
        <f>IFERROR(__xludf.DUMMYFUNCTION("""COMPUTED_VALUE"""),2510.75)</f>
        <v/>
      </c>
    </row>
    <row r="12604">
      <c r="J12604">
        <f>IFERROR(__xludf.DUMMYFUNCTION("""COMPUTED_VALUE"""),"London, England; Berlin, German; London, England;")</f>
        <v/>
      </c>
      <c r="K12604">
        <f>IFERROR(__xludf.DUMMYFUNCTION("""COMPUTED_VALUE"""),2510.6)</f>
        <v/>
      </c>
    </row>
    <row r="12605">
      <c r="J12605">
        <f>IFERROR(__xludf.DUMMYFUNCTION("""COMPUTED_VALUE"""),"Oromocto, New Brunswick, Canada")</f>
        <v/>
      </c>
      <c r="K12605">
        <f>IFERROR(__xludf.DUMMYFUNCTION("""COMPUTED_VALUE"""),2510.56)</f>
        <v/>
      </c>
    </row>
    <row r="12606">
      <c r="J12606">
        <f>IFERROR(__xludf.DUMMYFUNCTION("""COMPUTED_VALUE"""),"Rio de Janeiro, Sao Paulo, Porto Alegre, Gramado, Caixas do Sul")</f>
        <v/>
      </c>
      <c r="K12606">
        <f>IFERROR(__xludf.DUMMYFUNCTION("""COMPUTED_VALUE"""),2509.99)</f>
        <v/>
      </c>
    </row>
    <row r="12607">
      <c r="J12607">
        <f>IFERROR(__xludf.DUMMYFUNCTION("""COMPUTED_VALUE"""),"Halifax, NS / Fredericton NB / Moncton, NB / Charlottetown, PEI")</f>
        <v/>
      </c>
      <c r="K12607">
        <f>IFERROR(__xludf.DUMMYFUNCTION("""COMPUTED_VALUE"""),2509.81)</f>
        <v/>
      </c>
    </row>
    <row r="12608">
      <c r="J12608">
        <f>IFERROR(__xludf.DUMMYFUNCTION("""COMPUTED_VALUE"""),"United Sates- New York City and  Canada -Iqaluit")</f>
        <v/>
      </c>
      <c r="K12608">
        <f>IFERROR(__xludf.DUMMYFUNCTION("""COMPUTED_VALUE"""),2509.77)</f>
        <v/>
      </c>
    </row>
    <row r="12609">
      <c r="J12609">
        <f>IFERROR(__xludf.DUMMYFUNCTION("""COMPUTED_VALUE"""),"Grand Falls-Windsor, Newfoundland and Labrador, Canada; Springdale, Newfoundland and Labrador, Canada; Gander, Newfoundland and Labrador, Canada")</f>
        <v/>
      </c>
      <c r="K12609">
        <f>IFERROR(__xludf.DUMMYFUNCTION("""COMPUTED_VALUE"""),2508.49)</f>
        <v/>
      </c>
    </row>
    <row r="12610">
      <c r="J12610">
        <f>IFERROR(__xludf.DUMMYFUNCTION("""COMPUTED_VALUE"""),"Regina &amp; Saskatoon, SK")</f>
        <v/>
      </c>
      <c r="K12610">
        <f>IFERROR(__xludf.DUMMYFUNCTION("""COMPUTED_VALUE"""),2508.28)</f>
        <v/>
      </c>
    </row>
    <row r="12611">
      <c r="J12611">
        <f>IFERROR(__xludf.DUMMYFUNCTION("""COMPUTED_VALUE"""),"Victoria, BC - Edmonton, AB")</f>
        <v/>
      </c>
      <c r="K12611">
        <f>IFERROR(__xludf.DUMMYFUNCTION("""COMPUTED_VALUE"""),2507.78)</f>
        <v/>
      </c>
    </row>
    <row r="12612">
      <c r="J12612">
        <f>IFERROR(__xludf.DUMMYFUNCTION("""COMPUTED_VALUE"""),"Saskatoon, SK, Edmonton, AB, Yellowknife, NT")</f>
        <v/>
      </c>
      <c r="K12612">
        <f>IFERROR(__xludf.DUMMYFUNCTION("""COMPUTED_VALUE"""),2507.76)</f>
        <v/>
      </c>
    </row>
    <row r="12613">
      <c r="J12613">
        <f>IFERROR(__xludf.DUMMYFUNCTION("""COMPUTED_VALUE"""),"Drummondville")</f>
        <v/>
      </c>
      <c r="K12613">
        <f>IFERROR(__xludf.DUMMYFUNCTION("""COMPUTED_VALUE"""),2507.57)</f>
        <v/>
      </c>
    </row>
    <row r="12614">
      <c r="J12614">
        <f>IFERROR(__xludf.DUMMYFUNCTION("""COMPUTED_VALUE"""),"Halifax (Nova Scotia) Canada; St-John's (Newfoundland and Labrador) Canada")</f>
        <v/>
      </c>
      <c r="K12614">
        <f>IFERROR(__xludf.DUMMYFUNCTION("""COMPUTED_VALUE"""),2507.38)</f>
        <v/>
      </c>
    </row>
    <row r="12615">
      <c r="J12615">
        <f>IFERROR(__xludf.DUMMYFUNCTION("""COMPUTED_VALUE"""),"The Hague and Brussels")</f>
        <v/>
      </c>
      <c r="K12615">
        <f>IFERROR(__xludf.DUMMYFUNCTION("""COMPUTED_VALUE"""),2507.17)</f>
        <v/>
      </c>
    </row>
    <row r="12616">
      <c r="J12616">
        <f>IFERROR(__xludf.DUMMYFUNCTION("""COMPUTED_VALUE"""),"Cleveland, OH")</f>
        <v/>
      </c>
      <c r="K12616">
        <f>IFERROR(__xludf.DUMMYFUNCTION("""COMPUTED_VALUE"""),2506.47)</f>
        <v/>
      </c>
    </row>
    <row r="12617">
      <c r="J12617">
        <f>IFERROR(__xludf.DUMMYFUNCTION("""COMPUTED_VALUE"""),"Toronto-Washington-Ottawa")</f>
        <v/>
      </c>
      <c r="K12617">
        <f>IFERROR(__xludf.DUMMYFUNCTION("""COMPUTED_VALUE"""),2506.34)</f>
        <v/>
      </c>
    </row>
    <row r="12618">
      <c r="J12618">
        <f>IFERROR(__xludf.DUMMYFUNCTION("""COMPUTED_VALUE"""),"Montréal, Quebec , Canada")</f>
        <v/>
      </c>
      <c r="K12618">
        <f>IFERROR(__xludf.DUMMYFUNCTION("""COMPUTED_VALUE"""),2506.2)</f>
        <v/>
      </c>
    </row>
    <row r="12619">
      <c r="J12619">
        <f>IFERROR(__xludf.DUMMYFUNCTION("""COMPUTED_VALUE"""),"Edmonton and Calgary")</f>
        <v/>
      </c>
      <c r="K12619">
        <f>IFERROR(__xludf.DUMMYFUNCTION("""COMPUTED_VALUE"""),2505.73)</f>
        <v/>
      </c>
    </row>
    <row r="12620">
      <c r="J12620">
        <f>IFERROR(__xludf.DUMMYFUNCTION("""COMPUTED_VALUE"""),"Geneva, Toronto")</f>
        <v/>
      </c>
      <c r="K12620">
        <f>IFERROR(__xludf.DUMMYFUNCTION("""COMPUTED_VALUE"""),2505.6)</f>
        <v/>
      </c>
    </row>
    <row r="12621">
      <c r="J12621">
        <f>IFERROR(__xludf.DUMMYFUNCTION("""COMPUTED_VALUE"""),"Yellowknife, NT Calgary, AB")</f>
        <v/>
      </c>
      <c r="K12621">
        <f>IFERROR(__xludf.DUMMYFUNCTION("""COMPUTED_VALUE"""),2504.95)</f>
        <v/>
      </c>
    </row>
    <row r="12622">
      <c r="J12622">
        <f>IFERROR(__xludf.DUMMYFUNCTION("""COMPUTED_VALUE"""),"Vancouver and Victoria BC")</f>
        <v/>
      </c>
      <c r="K12622">
        <f>IFERROR(__xludf.DUMMYFUNCTION("""COMPUTED_VALUE"""),2504.66)</f>
        <v/>
      </c>
    </row>
    <row r="12623">
      <c r="J12623">
        <f>IFERROR(__xludf.DUMMYFUNCTION("""COMPUTED_VALUE"""),"Lloydminster, Alberta, Canada; Calgary, Alberta, Canada")</f>
        <v/>
      </c>
      <c r="K12623">
        <f>IFERROR(__xludf.DUMMYFUNCTION("""COMPUTED_VALUE"""),2504.59)</f>
        <v/>
      </c>
    </row>
    <row r="12624">
      <c r="J12624">
        <f>IFERROR(__xludf.DUMMYFUNCTION("""COMPUTED_VALUE"""),"Fredericton and Cambridge, New Brunswick and Halifax, Nova Scotia")</f>
        <v/>
      </c>
      <c r="K12624">
        <f>IFERROR(__xludf.DUMMYFUNCTION("""COMPUTED_VALUE"""),2504.54)</f>
        <v/>
      </c>
    </row>
    <row r="12625">
      <c r="J12625">
        <f>IFERROR(__xludf.DUMMYFUNCTION("""COMPUTED_VALUE"""),"Grand Prairies, Alberta, Canada")</f>
        <v/>
      </c>
      <c r="K12625">
        <f>IFERROR(__xludf.DUMMYFUNCTION("""COMPUTED_VALUE"""),2504.11)</f>
        <v/>
      </c>
    </row>
    <row r="12626">
      <c r="J12626">
        <f>IFERROR(__xludf.DUMMYFUNCTION("""COMPUTED_VALUE"""),"Fredericton, New Brunswick, Canada; Halifax, Nova Scotia, Canada; Charlottetown, Prince Edward Island, Canada")</f>
        <v/>
      </c>
      <c r="K12626">
        <f>IFERROR(__xludf.DUMMYFUNCTION("""COMPUTED_VALUE"""),2503.99)</f>
        <v/>
      </c>
    </row>
    <row r="12627">
      <c r="J12627">
        <f>IFERROR(__xludf.DUMMYFUNCTION("""COMPUTED_VALUE"""),"Ottawa, Ontario, Canada; Edmonton, Alberta, Canada")</f>
        <v/>
      </c>
      <c r="K12627">
        <f>IFERROR(__xludf.DUMMYFUNCTION("""COMPUTED_VALUE"""),2503.25)</f>
        <v/>
      </c>
    </row>
    <row r="12628">
      <c r="J12628">
        <f>IFERROR(__xludf.DUMMYFUNCTION("""COMPUTED_VALUE"""),"Winnipeg, MB; Saskatoon, SK; Calgary, AB; Vancouver, BC")</f>
        <v/>
      </c>
      <c r="K12628">
        <f>IFERROR(__xludf.DUMMYFUNCTION("""COMPUTED_VALUE"""),2503.18)</f>
        <v/>
      </c>
    </row>
    <row r="12629">
      <c r="J12629">
        <f>IFERROR(__xludf.DUMMYFUNCTION("""COMPUTED_VALUE"""),"Halifax, Nova Scotia, Canada; Truro, Nova Scotia, Canada; Sackville, New Brunswick, Canada; Moncton, New Brunswick, Canada; Miramichi, New Brunswick, Canada; Fredericton, New Brunswick, Canada")</f>
        <v/>
      </c>
      <c r="K12629">
        <f>IFERROR(__xludf.DUMMYFUNCTION("""COMPUTED_VALUE"""),2502.99)</f>
        <v/>
      </c>
    </row>
    <row r="12630">
      <c r="J12630">
        <f>IFERROR(__xludf.DUMMYFUNCTION("""COMPUTED_VALUE"""),"Sydney, Nova Scotia; Summerside, Prince Edward Island; Saint John, New Brunswick, Canada")</f>
        <v/>
      </c>
      <c r="K12630">
        <f>IFERROR(__xludf.DUMMYFUNCTION("""COMPUTED_VALUE"""),2502.75)</f>
        <v/>
      </c>
    </row>
    <row r="12631">
      <c r="J12631">
        <f>IFERROR(__xludf.DUMMYFUNCTION("""COMPUTED_VALUE"""),"Edmunston, New Brunswick")</f>
        <v/>
      </c>
      <c r="K12631">
        <f>IFERROR(__xludf.DUMMYFUNCTION("""COMPUTED_VALUE"""),2502.62)</f>
        <v/>
      </c>
    </row>
    <row r="12632">
      <c r="J12632">
        <f>IFERROR(__xludf.DUMMYFUNCTION("""COMPUTED_VALUE"""),"Mexico City, Puebla")</f>
        <v/>
      </c>
      <c r="K12632">
        <f>IFERROR(__xludf.DUMMYFUNCTION("""COMPUTED_VALUE"""),2502.36)</f>
        <v/>
      </c>
    </row>
    <row r="12633">
      <c r="J12633">
        <f>IFERROR(__xludf.DUMMYFUNCTION("""COMPUTED_VALUE"""),"Minneapolis (USA), Washington (USA), Dallas (USA), Colorado Springs (USA)")</f>
        <v/>
      </c>
      <c r="K12633">
        <f>IFERROR(__xludf.DUMMYFUNCTION("""COMPUTED_VALUE"""),2502.34)</f>
        <v/>
      </c>
    </row>
    <row r="12634">
      <c r="J12634">
        <f>IFERROR(__xludf.DUMMYFUNCTION("""COMPUTED_VALUE"""),"Washington District of Columbia, United States of America")</f>
        <v/>
      </c>
      <c r="K12634">
        <f>IFERROR(__xludf.DUMMYFUNCTION("""COMPUTED_VALUE"""),2502.16)</f>
        <v/>
      </c>
    </row>
    <row r="12635">
      <c r="J12635">
        <f>IFERROR(__xludf.DUMMYFUNCTION("""COMPUTED_VALUE"""),"Mexico, Mexico.")</f>
        <v/>
      </c>
      <c r="K12635">
        <f>IFERROR(__xludf.DUMMYFUNCTION("""COMPUTED_VALUE"""),2502.05)</f>
        <v/>
      </c>
    </row>
    <row r="12636">
      <c r="J12636">
        <f>IFERROR(__xludf.DUMMYFUNCTION("""COMPUTED_VALUE"""),"Cold Lake/Edmonton")</f>
        <v/>
      </c>
      <c r="K12636">
        <f>IFERROR(__xludf.DUMMYFUNCTION("""COMPUTED_VALUE"""),2501.24)</f>
        <v/>
      </c>
    </row>
    <row r="12637">
      <c r="J12637">
        <f>IFERROR(__xludf.DUMMYFUNCTION("""COMPUTED_VALUE"""),"Saskatoon-Vancouver")</f>
        <v/>
      </c>
      <c r="K12637">
        <f>IFERROR(__xludf.DUMMYFUNCTION("""COMPUTED_VALUE"""),2501.09)</f>
        <v/>
      </c>
    </row>
    <row r="12638">
      <c r="J12638">
        <f>IFERROR(__xludf.DUMMYFUNCTION("""COMPUTED_VALUE"""),"Edmonton, AL, Regina, SK, Calgary, AL")</f>
        <v/>
      </c>
      <c r="K12638">
        <f>IFERROR(__xludf.DUMMYFUNCTION("""COMPUTED_VALUE"""),2500.15)</f>
        <v/>
      </c>
    </row>
    <row r="12639">
      <c r="J12639">
        <f>IFERROR(__xludf.DUMMYFUNCTION("""COMPUTED_VALUE"""),"Ajax, Ontario")</f>
        <v/>
      </c>
      <c r="K12639">
        <f>IFERROR(__xludf.DUMMYFUNCTION("""COMPUTED_VALUE"""),2499.62)</f>
        <v/>
      </c>
    </row>
    <row r="12640">
      <c r="J12640">
        <f>IFERROR(__xludf.DUMMYFUNCTION("""COMPUTED_VALUE"""),"Captial City, Washington,DC USA")</f>
        <v/>
      </c>
      <c r="K12640">
        <f>IFERROR(__xludf.DUMMYFUNCTION("""COMPUTED_VALUE"""),2499.6)</f>
        <v/>
      </c>
    </row>
    <row r="12641">
      <c r="J12641">
        <f>IFERROR(__xludf.DUMMYFUNCTION("""COMPUTED_VALUE"""),"London and Oxford, United Kingdom")</f>
        <v/>
      </c>
      <c r="K12641">
        <f>IFERROR(__xludf.DUMMYFUNCTION("""COMPUTED_VALUE"""),2497.94)</f>
        <v/>
      </c>
    </row>
    <row r="12642">
      <c r="J12642">
        <f>IFERROR(__xludf.DUMMYFUNCTION("""COMPUTED_VALUE"""),"St-John's, NL and Montreal, QC")</f>
        <v/>
      </c>
      <c r="K12642">
        <f>IFERROR(__xludf.DUMMYFUNCTION("""COMPUTED_VALUE"""),2497.92)</f>
        <v/>
      </c>
    </row>
    <row r="12643">
      <c r="J12643">
        <f>IFERROR(__xludf.DUMMYFUNCTION("""COMPUTED_VALUE"""),"Saskatoon, Saskatchewan, Canada; Calgary, Alberta, Canada; London, Ontario, Canada")</f>
        <v/>
      </c>
      <c r="K12643">
        <f>IFERROR(__xludf.DUMMYFUNCTION("""COMPUTED_VALUE"""),2497.72)</f>
        <v/>
      </c>
    </row>
    <row r="12644">
      <c r="J12644">
        <f>IFERROR(__xludf.DUMMYFUNCTION("""COMPUTED_VALUE"""),"Indianapolis")</f>
        <v/>
      </c>
      <c r="K12644">
        <f>IFERROR(__xludf.DUMMYFUNCTION("""COMPUTED_VALUE"""),2497.7)</f>
        <v/>
      </c>
    </row>
    <row r="12645">
      <c r="J12645">
        <f>IFERROR(__xludf.DUMMYFUNCTION("""COMPUTED_VALUE"""),"Resolute Bay, Nunavut, Canada")</f>
        <v/>
      </c>
      <c r="K12645">
        <f>IFERROR(__xludf.DUMMYFUNCTION("""COMPUTED_VALUE"""),2497.12)</f>
        <v/>
      </c>
    </row>
    <row r="12646">
      <c r="J12646">
        <f>IFERROR(__xludf.DUMMYFUNCTION("""COMPUTED_VALUE"""),"Winnipeg, Manitoba, Canada Edmonton, Alberta, Canada")</f>
        <v/>
      </c>
      <c r="K12646">
        <f>IFERROR(__xludf.DUMMYFUNCTION("""COMPUTED_VALUE"""),2496.75)</f>
        <v/>
      </c>
    </row>
    <row r="12647">
      <c r="J12647">
        <f>IFERROR(__xludf.DUMMYFUNCTION("""COMPUTED_VALUE"""),"Lutsel K'e, Northwest Territories")</f>
        <v/>
      </c>
      <c r="K12647">
        <f>IFERROR(__xludf.DUMMYFUNCTION("""COMPUTED_VALUE"""),2496.65)</f>
        <v/>
      </c>
    </row>
    <row r="12648">
      <c r="J12648">
        <f>IFERROR(__xludf.DUMMYFUNCTION("""COMPUTED_VALUE"""),"Burlington, VT")</f>
        <v/>
      </c>
      <c r="K12648">
        <f>IFERROR(__xludf.DUMMYFUNCTION("""COMPUTED_VALUE"""),2496.12)</f>
        <v/>
      </c>
    </row>
    <row r="12649">
      <c r="J12649">
        <f>IFERROR(__xludf.DUMMYFUNCTION("""COMPUTED_VALUE"""),"Dallas, Texas, USA")</f>
        <v/>
      </c>
      <c r="K12649">
        <f>IFERROR(__xludf.DUMMYFUNCTION("""COMPUTED_VALUE"""),2496)</f>
        <v/>
      </c>
    </row>
    <row r="12650">
      <c r="J12650">
        <f>IFERROR(__xludf.DUMMYFUNCTION("""COMPUTED_VALUE"""),"Toronto and Oakville, ON")</f>
        <v/>
      </c>
      <c r="K12650">
        <f>IFERROR(__xludf.DUMMYFUNCTION("""COMPUTED_VALUE"""),2495.77)</f>
        <v/>
      </c>
    </row>
    <row r="12651">
      <c r="J12651">
        <f>IFERROR(__xludf.DUMMYFUNCTION("""COMPUTED_VALUE"""),"Vancouver, British Columbia, Canada Winnipeg, Manitoba, Canada")</f>
        <v/>
      </c>
      <c r="K12651">
        <f>IFERROR(__xludf.DUMMYFUNCTION("""COMPUTED_VALUE"""),2495.55)</f>
        <v/>
      </c>
    </row>
    <row r="12652">
      <c r="J12652">
        <f>IFERROR(__xludf.DUMMYFUNCTION("""COMPUTED_VALUE"""),"Saint-Jean-sur-Richelieu, Canada")</f>
        <v/>
      </c>
      <c r="K12652">
        <f>IFERROR(__xludf.DUMMYFUNCTION("""COMPUTED_VALUE"""),2495.47)</f>
        <v/>
      </c>
    </row>
    <row r="12653">
      <c r="J12653">
        <f>IFERROR(__xludf.DUMMYFUNCTION("""COMPUTED_VALUE"""),"Toronto, Ontario, Calgary, Banff, Alberta, Canada")</f>
        <v/>
      </c>
      <c r="K12653">
        <f>IFERROR(__xludf.DUMMYFUNCTION("""COMPUTED_VALUE"""),2494.73)</f>
        <v/>
      </c>
    </row>
    <row r="12654">
      <c r="J12654">
        <f>IFERROR(__xludf.DUMMYFUNCTION("""COMPUTED_VALUE"""),"Saskatoon (Sasketchewan) Caaada")</f>
        <v/>
      </c>
      <c r="K12654">
        <f>IFERROR(__xludf.DUMMYFUNCTION("""COMPUTED_VALUE"""),2493.72)</f>
        <v/>
      </c>
    </row>
    <row r="12655">
      <c r="J12655">
        <f>IFERROR(__xludf.DUMMYFUNCTION("""COMPUTED_VALUE"""),"Calgary, AB - Burnaby, BC")</f>
        <v/>
      </c>
      <c r="K12655">
        <f>IFERROR(__xludf.DUMMYFUNCTION("""COMPUTED_VALUE"""),2493.64)</f>
        <v/>
      </c>
    </row>
    <row r="12656">
      <c r="J12656">
        <f>IFERROR(__xludf.DUMMYFUNCTION("""COMPUTED_VALUE"""),"Ottawa, Toronto and Waterloo, Ontario")</f>
        <v/>
      </c>
      <c r="K12656">
        <f>IFERROR(__xludf.DUMMYFUNCTION("""COMPUTED_VALUE"""),2492.84)</f>
        <v/>
      </c>
    </row>
    <row r="12657">
      <c r="J12657">
        <f>IFERROR(__xludf.DUMMYFUNCTION("""COMPUTED_VALUE"""),"Sydney, British Columbia, Canada")</f>
        <v/>
      </c>
      <c r="K12657">
        <f>IFERROR(__xludf.DUMMYFUNCTION("""COMPUTED_VALUE"""),2492.76)</f>
        <v/>
      </c>
    </row>
    <row r="12658">
      <c r="J12658">
        <f>IFERROR(__xludf.DUMMYFUNCTION("""COMPUTED_VALUE"""),"Québec City, Canada")</f>
        <v/>
      </c>
      <c r="K12658">
        <f>IFERROR(__xludf.DUMMYFUNCTION("""COMPUTED_VALUE"""),2492.74)</f>
        <v/>
      </c>
    </row>
    <row r="12659">
      <c r="J12659">
        <f>IFERROR(__xludf.DUMMYFUNCTION("""COMPUTED_VALUE"""),"Northern Saskatchewan, Canada")</f>
        <v/>
      </c>
      <c r="K12659">
        <f>IFERROR(__xludf.DUMMYFUNCTION("""COMPUTED_VALUE"""),2492.37)</f>
        <v/>
      </c>
    </row>
    <row r="12660">
      <c r="J12660">
        <f>IFERROR(__xludf.DUMMYFUNCTION("""COMPUTED_VALUE"""),"Vancouver, BC Winnipeg, MB")</f>
        <v/>
      </c>
      <c r="K12660">
        <f>IFERROR(__xludf.DUMMYFUNCTION("""COMPUTED_VALUE"""),2491.5)</f>
        <v/>
      </c>
    </row>
    <row r="12661">
      <c r="J12661">
        <f>IFERROR(__xludf.DUMMYFUNCTION("""COMPUTED_VALUE"""),"Bible Hill, Halifax, Sydney and Digby, Nova Scotia")</f>
        <v/>
      </c>
      <c r="K12661">
        <f>IFERROR(__xludf.DUMMYFUNCTION("""COMPUTED_VALUE"""),2490.56)</f>
        <v/>
      </c>
    </row>
    <row r="12662">
      <c r="J12662">
        <f>IFERROR(__xludf.DUMMYFUNCTION("""COMPUTED_VALUE"""),"Gatineau, Quebec / Victoria, British Columbia")</f>
        <v/>
      </c>
      <c r="K12662">
        <f>IFERROR(__xludf.DUMMYFUNCTION("""COMPUTED_VALUE"""),2490.29)</f>
        <v/>
      </c>
    </row>
    <row r="12663">
      <c r="J12663">
        <f>IFERROR(__xludf.DUMMYFUNCTION("""COMPUTED_VALUE"""),"Kenya, Sudan and Ethiopia")</f>
        <v/>
      </c>
      <c r="K12663">
        <f>IFERROR(__xludf.DUMMYFUNCTION("""COMPUTED_VALUE"""),2490.25)</f>
        <v/>
      </c>
    </row>
    <row r="12664">
      <c r="J12664">
        <f>IFERROR(__xludf.DUMMYFUNCTION("""COMPUTED_VALUE"""),"DELHI and DUBAI")</f>
        <v/>
      </c>
      <c r="K12664">
        <f>IFERROR(__xludf.DUMMYFUNCTION("""COMPUTED_VALUE"""),2490.17)</f>
        <v/>
      </c>
    </row>
    <row r="12665">
      <c r="J12665">
        <f>IFERROR(__xludf.DUMMYFUNCTION("""COMPUTED_VALUE"""),"Calgary-London-Ottawa")</f>
        <v/>
      </c>
      <c r="K12665">
        <f>IFERROR(__xludf.DUMMYFUNCTION("""COMPUTED_VALUE"""),2489.8)</f>
        <v/>
      </c>
    </row>
    <row r="12666">
      <c r="J12666">
        <f>IFERROR(__xludf.DUMMYFUNCTION("""COMPUTED_VALUE"""),"Edmonton, Ontario, Canda")</f>
        <v/>
      </c>
      <c r="K12666">
        <f>IFERROR(__xludf.DUMMYFUNCTION("""COMPUTED_VALUE"""),2489.7)</f>
        <v/>
      </c>
    </row>
    <row r="12667">
      <c r="J12667">
        <f>IFERROR(__xludf.DUMMYFUNCTION("""COMPUTED_VALUE"""),"Alberta and Saskatchewan, Canada")</f>
        <v/>
      </c>
      <c r="K12667">
        <f>IFERROR(__xludf.DUMMYFUNCTION("""COMPUTED_VALUE"""),2489.58)</f>
        <v/>
      </c>
    </row>
    <row r="12668">
      <c r="J12668">
        <f>IFERROR(__xludf.DUMMYFUNCTION("""COMPUTED_VALUE"""),"Bangalore &amp; Mysore")</f>
        <v/>
      </c>
      <c r="K12668">
        <f>IFERROR(__xludf.DUMMYFUNCTION("""COMPUTED_VALUE"""),2489.54)</f>
        <v/>
      </c>
    </row>
    <row r="12669">
      <c r="J12669">
        <f>IFERROR(__xludf.DUMMYFUNCTION("""COMPUTED_VALUE"""),"Toronto, Ontario, Canada/ Grimsby, Ontario, Canada / Markham, Ontario, Canada / Mississauga, Ontario, Canada / Sudbury, Ontario, Canada")</f>
        <v/>
      </c>
      <c r="K12669">
        <f>IFERROR(__xludf.DUMMYFUNCTION("""COMPUTED_VALUE"""),2489.28)</f>
        <v/>
      </c>
    </row>
    <row r="12670">
      <c r="J12670">
        <f>IFERROR(__xludf.DUMMYFUNCTION("""COMPUTED_VALUE"""),"Kamloops, British Columbia, Canada; Richmond, British Columbia, Canada")</f>
        <v/>
      </c>
      <c r="K12670">
        <f>IFERROR(__xludf.DUMMYFUNCTION("""COMPUTED_VALUE"""),2489.01)</f>
        <v/>
      </c>
    </row>
    <row r="12671">
      <c r="J12671">
        <f>IFERROR(__xludf.DUMMYFUNCTION("""COMPUTED_VALUE"""),"Antigonish, Nova Scotia, Canada / Ingonish, Nova Scotia, Canada / Moncton, New Brunswick, Canada")</f>
        <v/>
      </c>
      <c r="K12671">
        <f>IFERROR(__xludf.DUMMYFUNCTION("""COMPUTED_VALUE"""),2488.89)</f>
        <v/>
      </c>
    </row>
    <row r="12672">
      <c r="J12672">
        <f>IFERROR(__xludf.DUMMYFUNCTION("""COMPUTED_VALUE"""),"Boston, Massachusetts USA")</f>
        <v/>
      </c>
      <c r="K12672">
        <f>IFERROR(__xludf.DUMMYFUNCTION("""COMPUTED_VALUE"""),2488.74)</f>
        <v/>
      </c>
    </row>
    <row r="12673">
      <c r="J12673">
        <f>IFERROR(__xludf.DUMMYFUNCTION("""COMPUTED_VALUE"""),"Montreal, QC - Saint John, NB")</f>
        <v/>
      </c>
      <c r="K12673">
        <f>IFERROR(__xludf.DUMMYFUNCTION("""COMPUTED_VALUE"""),2487.54)</f>
        <v/>
      </c>
    </row>
    <row r="12674">
      <c r="J12674">
        <f>IFERROR(__xludf.DUMMYFUNCTION("""COMPUTED_VALUE"""),"Ulaanbaatar")</f>
        <v/>
      </c>
      <c r="K12674">
        <f>IFERROR(__xludf.DUMMYFUNCTION("""COMPUTED_VALUE"""),2487.51)</f>
        <v/>
      </c>
    </row>
    <row r="12675">
      <c r="J12675">
        <f>IFERROR(__xludf.DUMMYFUNCTION("""COMPUTED_VALUE"""),"Nova Scotia and New Brunswick")</f>
        <v/>
      </c>
      <c r="K12675">
        <f>IFERROR(__xludf.DUMMYFUNCTION("""COMPUTED_VALUE"""),2487.2)</f>
        <v/>
      </c>
    </row>
    <row r="12676">
      <c r="J12676">
        <f>IFERROR(__xludf.DUMMYFUNCTION("""COMPUTED_VALUE"""),"Pembroke, Ontario, Canada")</f>
        <v/>
      </c>
      <c r="K12676">
        <f>IFERROR(__xludf.DUMMYFUNCTION("""COMPUTED_VALUE"""),2486.96)</f>
        <v/>
      </c>
    </row>
    <row r="12677">
      <c r="J12677">
        <f>IFERROR(__xludf.DUMMYFUNCTION("""COMPUTED_VALUE"""),"Copenhagen, Denmark; Reykjavik, Iceland")</f>
        <v/>
      </c>
      <c r="K12677">
        <f>IFERROR(__xludf.DUMMYFUNCTION("""COMPUTED_VALUE"""),2486.81)</f>
        <v/>
      </c>
    </row>
    <row r="12678">
      <c r="J12678">
        <f>IFERROR(__xludf.DUMMYFUNCTION("""COMPUTED_VALUE"""),"St. John's, Newfoundland and Labrador and Moncton, New Brunswick")</f>
        <v/>
      </c>
      <c r="K12678">
        <f>IFERROR(__xludf.DUMMYFUNCTION("""COMPUTED_VALUE"""),2486.04)</f>
        <v/>
      </c>
    </row>
    <row r="12679">
      <c r="J12679">
        <f>IFERROR(__xludf.DUMMYFUNCTION("""COMPUTED_VALUE"""),"Toronto, Ontario, Canada
Niagara-on-the-Lake, Ontario, Canada")</f>
        <v/>
      </c>
      <c r="K12679">
        <f>IFERROR(__xludf.DUMMYFUNCTION("""COMPUTED_VALUE"""),2485.79)</f>
        <v/>
      </c>
    </row>
    <row r="12680">
      <c r="J12680">
        <f>IFERROR(__xludf.DUMMYFUNCTION("""COMPUTED_VALUE"""),"Haida Gwaii, BC")</f>
        <v/>
      </c>
      <c r="K12680">
        <f>IFERROR(__xludf.DUMMYFUNCTION("""COMPUTED_VALUE"""),2485.73)</f>
        <v/>
      </c>
    </row>
    <row r="12681">
      <c r="J12681">
        <f>IFERROR(__xludf.DUMMYFUNCTION("""COMPUTED_VALUE"""),"Esquimalt, Nanoose and Comox, BC")</f>
        <v/>
      </c>
      <c r="K12681">
        <f>IFERROR(__xludf.DUMMYFUNCTION("""COMPUTED_VALUE"""),2485.36)</f>
        <v/>
      </c>
    </row>
    <row r="12682">
      <c r="J12682">
        <f>IFERROR(__xludf.DUMMYFUNCTION("""COMPUTED_VALUE"""),"Edmonton; Winnipeg")</f>
        <v/>
      </c>
      <c r="K12682">
        <f>IFERROR(__xludf.DUMMYFUNCTION("""COMPUTED_VALUE"""),2485.06)</f>
        <v/>
      </c>
    </row>
    <row r="12683">
      <c r="J12683">
        <f>IFERROR(__xludf.DUMMYFUNCTION("""COMPUTED_VALUE"""),"Sao Tome, Sao Tome &amp; Principe")</f>
        <v/>
      </c>
      <c r="K12683">
        <f>IFERROR(__xludf.DUMMYFUNCTION("""COMPUTED_VALUE"""),2484.98)</f>
        <v/>
      </c>
    </row>
    <row r="12684">
      <c r="J12684">
        <f>IFERROR(__xludf.DUMMYFUNCTION("""COMPUTED_VALUE"""),"Québec City, QC, Canada")</f>
        <v/>
      </c>
      <c r="K12684">
        <f>IFERROR(__xludf.DUMMYFUNCTION("""COMPUTED_VALUE"""),2484.68)</f>
        <v/>
      </c>
    </row>
    <row r="12685">
      <c r="J12685">
        <f>IFERROR(__xludf.DUMMYFUNCTION("""COMPUTED_VALUE"""),"WINNIPEG &amp; BRANDON, MB")</f>
        <v/>
      </c>
      <c r="K12685">
        <f>IFERROR(__xludf.DUMMYFUNCTION("""COMPUTED_VALUE"""),2484.59)</f>
        <v/>
      </c>
    </row>
    <row r="12686">
      <c r="J12686">
        <f>IFERROR(__xludf.DUMMYFUNCTION("""COMPUTED_VALUE"""),"Steady Brook, NL")</f>
        <v/>
      </c>
      <c r="K12686">
        <f>IFERROR(__xludf.DUMMYFUNCTION("""COMPUTED_VALUE"""),2484.54)</f>
        <v/>
      </c>
    </row>
    <row r="12687">
      <c r="J12687">
        <f>IFERROR(__xludf.DUMMYFUNCTION("""COMPUTED_VALUE"""),"Halifax, Nova Scotia, Fredericton, New Brunswick and St. John's, Newfoundland")</f>
        <v/>
      </c>
      <c r="K12687">
        <f>IFERROR(__xludf.DUMMYFUNCTION("""COMPUTED_VALUE"""),2484.5)</f>
        <v/>
      </c>
    </row>
    <row r="12688">
      <c r="J12688">
        <f>IFERROR(__xludf.DUMMYFUNCTION("""COMPUTED_VALUE"""),"Calgary,  Alberta, Canada")</f>
        <v/>
      </c>
      <c r="K12688">
        <f>IFERROR(__xludf.DUMMYFUNCTION("""COMPUTED_VALUE"""),2483.98)</f>
        <v/>
      </c>
    </row>
    <row r="12689">
      <c r="J12689">
        <f>IFERROR(__xludf.DUMMYFUNCTION("""COMPUTED_VALUE"""),"Lethbridge / Vancouver")</f>
        <v/>
      </c>
      <c r="K12689">
        <f>IFERROR(__xludf.DUMMYFUNCTION("""COMPUTED_VALUE"""),2483.62)</f>
        <v/>
      </c>
    </row>
    <row r="12690">
      <c r="J12690">
        <f>IFERROR(__xludf.DUMMYFUNCTION("""COMPUTED_VALUE"""),"Philadelphia, the United States of America")</f>
        <v/>
      </c>
      <c r="K12690">
        <f>IFERROR(__xludf.DUMMYFUNCTION("""COMPUTED_VALUE"""),2483.48)</f>
        <v/>
      </c>
    </row>
    <row r="12691">
      <c r="J12691">
        <f>IFERROR(__xludf.DUMMYFUNCTION("""COMPUTED_VALUE"""),"Oak Island, Nova Scotia, Canada; Ottawa, Ontario, Canada")</f>
        <v/>
      </c>
      <c r="K12691">
        <f>IFERROR(__xludf.DUMMYFUNCTION("""COMPUTED_VALUE"""),2483.27)</f>
        <v/>
      </c>
    </row>
    <row r="12692">
      <c r="J12692">
        <f>IFERROR(__xludf.DUMMYFUNCTION("""COMPUTED_VALUE"""),"Goose Bay, Newfoundland and Labrador, Canada; Nain, Newfoundland and Labrador, Canada; Winnipeg, Manitoba, Canada")</f>
        <v/>
      </c>
      <c r="K12692">
        <f>IFERROR(__xludf.DUMMYFUNCTION("""COMPUTED_VALUE"""),2482.67)</f>
        <v/>
      </c>
    </row>
    <row r="12693">
      <c r="J12693">
        <f>IFERROR(__xludf.DUMMYFUNCTION("""COMPUTED_VALUE"""),"Fredericton, NB St. Andrew's, NB Moncton, NB Bouctouche, NB Miramichi, NB")</f>
        <v/>
      </c>
      <c r="K12693">
        <f>IFERROR(__xludf.DUMMYFUNCTION("""COMPUTED_VALUE"""),2482.35)</f>
        <v/>
      </c>
    </row>
    <row r="12694">
      <c r="J12694">
        <f>IFERROR(__xludf.DUMMYFUNCTION("""COMPUTED_VALUE"""),"Waterloo, ON / Oshawa, ON")</f>
        <v/>
      </c>
      <c r="K12694">
        <f>IFERROR(__xludf.DUMMYFUNCTION("""COMPUTED_VALUE"""),2482.25)</f>
        <v/>
      </c>
    </row>
    <row r="12695">
      <c r="J12695">
        <f>IFERROR(__xludf.DUMMYFUNCTION("""COMPUTED_VALUE"""),"Wakefield/Toronto")</f>
        <v/>
      </c>
      <c r="K12695">
        <f>IFERROR(__xludf.DUMMYFUNCTION("""COMPUTED_VALUE"""),2481.98)</f>
        <v/>
      </c>
    </row>
    <row r="12696">
      <c r="J12696">
        <f>IFERROR(__xludf.DUMMYFUNCTION("""COMPUTED_VALUE"""),"Winnipeg, Manitoba
Edmonton and Calgary, Alberta")</f>
        <v/>
      </c>
      <c r="K12696">
        <f>IFERROR(__xludf.DUMMYFUNCTION("""COMPUTED_VALUE"""),2481.92)</f>
        <v/>
      </c>
    </row>
    <row r="12697">
      <c r="J12697">
        <f>IFERROR(__xludf.DUMMYFUNCTION("""COMPUTED_VALUE"""),"Rouyn-Noranda / Abitibi / Val d'Or, (Quebec)")</f>
        <v/>
      </c>
      <c r="K12697">
        <f>IFERROR(__xludf.DUMMYFUNCTION("""COMPUTED_VALUE"""),2481.91)</f>
        <v/>
      </c>
    </row>
    <row r="12698">
      <c r="J12698">
        <f>IFERROR(__xludf.DUMMYFUNCTION("""COMPUTED_VALUE"""),"Halifax, Nova Scotia
Waterloo, Ontario
Canada")</f>
        <v/>
      </c>
      <c r="K12698">
        <f>IFERROR(__xludf.DUMMYFUNCTION("""COMPUTED_VALUE"""),2481.35)</f>
        <v/>
      </c>
    </row>
    <row r="12699">
      <c r="J12699">
        <f>IFERROR(__xludf.DUMMYFUNCTION("""COMPUTED_VALUE"""),"Edmonton AB")</f>
        <v/>
      </c>
      <c r="K12699">
        <f>IFERROR(__xludf.DUMMYFUNCTION("""COMPUTED_VALUE"""),2480.74)</f>
        <v/>
      </c>
    </row>
    <row r="12700">
      <c r="J12700">
        <f>IFERROR(__xludf.DUMMYFUNCTION("""COMPUTED_VALUE"""),"Quebec, Qc and  St-John's, NL")</f>
        <v/>
      </c>
      <c r="K12700">
        <f>IFERROR(__xludf.DUMMYFUNCTION("""COMPUTED_VALUE"""),2480.09)</f>
        <v/>
      </c>
    </row>
    <row r="12701">
      <c r="J12701">
        <f>IFERROR(__xludf.DUMMYFUNCTION("""COMPUTED_VALUE"""),"Niagara Falls, Ontario, Canada/ Halifax, Nova Scotia, Canada")</f>
        <v/>
      </c>
      <c r="K12701">
        <f>IFERROR(__xludf.DUMMYFUNCTION("""COMPUTED_VALUE"""),2480.01)</f>
        <v/>
      </c>
    </row>
    <row r="12702">
      <c r="J12702">
        <f>IFERROR(__xludf.DUMMYFUNCTION("""COMPUTED_VALUE"""),"Niagara, Ontario, Canada/ Halifax, Nova Scotia, Canada")</f>
        <v/>
      </c>
      <c r="K12702">
        <f>IFERROR(__xludf.DUMMYFUNCTION("""COMPUTED_VALUE"""),2480.01)</f>
        <v/>
      </c>
    </row>
    <row r="12703">
      <c r="J12703">
        <f>IFERROR(__xludf.DUMMYFUNCTION("""COMPUTED_VALUE"""),"Calgary, Alberta;
Saskatoon, Saskatchewan;
Winnipeg, Manitoba")</f>
        <v/>
      </c>
      <c r="K12703">
        <f>IFERROR(__xludf.DUMMYFUNCTION("""COMPUTED_VALUE"""),2479.3)</f>
        <v/>
      </c>
    </row>
    <row r="12704">
      <c r="J12704">
        <f>IFERROR(__xludf.DUMMYFUNCTION("""COMPUTED_VALUE"""),"Winnipeg, MB; Saskatoon, SK; Regina, SK; Edmonton, AB")</f>
        <v/>
      </c>
      <c r="K12704">
        <f>IFERROR(__xludf.DUMMYFUNCTION("""COMPUTED_VALUE"""),2479.14)</f>
        <v/>
      </c>
    </row>
    <row r="12705">
      <c r="J12705">
        <f>IFERROR(__xludf.DUMMYFUNCTION("""COMPUTED_VALUE"""),"Charlottetown, Prince Edward Island, Canada; Brackley, Prince Edward Island, Canada")</f>
        <v/>
      </c>
      <c r="K12705">
        <f>IFERROR(__xludf.DUMMYFUNCTION("""COMPUTED_VALUE"""),2478.95)</f>
        <v/>
      </c>
    </row>
    <row r="12706">
      <c r="J12706">
        <f>IFERROR(__xludf.DUMMYFUNCTION("""COMPUTED_VALUE"""),"CALGARY, AB - EDMONTON, AB")</f>
        <v/>
      </c>
      <c r="K12706">
        <f>IFERROR(__xludf.DUMMYFUNCTION("""COMPUTED_VALUE"""),2478.92)</f>
        <v/>
      </c>
    </row>
    <row r="12707">
      <c r="J12707">
        <f>IFERROR(__xludf.DUMMYFUNCTION("""COMPUTED_VALUE"""),"Vancouver and Abbotsford, British Columbia, Canada")</f>
        <v/>
      </c>
      <c r="K12707">
        <f>IFERROR(__xludf.DUMMYFUNCTION("""COMPUTED_VALUE"""),2478.4)</f>
        <v/>
      </c>
    </row>
    <row r="12708">
      <c r="J12708">
        <f>IFERROR(__xludf.DUMMYFUNCTION("""COMPUTED_VALUE"""),"Ottawa- Toronto")</f>
        <v/>
      </c>
      <c r="K12708">
        <f>IFERROR(__xludf.DUMMYFUNCTION("""COMPUTED_VALUE"""),2477.52)</f>
        <v/>
      </c>
    </row>
    <row r="12709">
      <c r="J12709">
        <f>IFERROR(__xludf.DUMMYFUNCTION("""COMPUTED_VALUE"""),"Quebec, Quebec / Halifax, Nova Scotia, Canada")</f>
        <v/>
      </c>
      <c r="K12709">
        <f>IFERROR(__xludf.DUMMYFUNCTION("""COMPUTED_VALUE"""),2476.89)</f>
        <v/>
      </c>
    </row>
    <row r="12710">
      <c r="J12710">
        <f>IFERROR(__xludf.DUMMYFUNCTION("""COMPUTED_VALUE"""),"Yellowknife, Northwest Territories, Canada; Cambridge Bay &amp; Resolute, Nunavut, Canada")</f>
        <v/>
      </c>
      <c r="K12710">
        <f>IFERROR(__xludf.DUMMYFUNCTION("""COMPUTED_VALUE"""),2476.88)</f>
        <v/>
      </c>
    </row>
    <row r="12711">
      <c r="J12711">
        <f>IFERROR(__xludf.DUMMYFUNCTION("""COMPUTED_VALUE"""),"Ottawa and Hamilton, Ontario")</f>
        <v/>
      </c>
      <c r="K12711">
        <f>IFERROR(__xludf.DUMMYFUNCTION("""COMPUTED_VALUE"""),2476.63)</f>
        <v/>
      </c>
    </row>
    <row r="12712">
      <c r="J12712">
        <f>IFERROR(__xludf.DUMMYFUNCTION("""COMPUTED_VALUE"""),"Thompson &amp; Winnipeg, MB")</f>
        <v/>
      </c>
      <c r="K12712">
        <f>IFERROR(__xludf.DUMMYFUNCTION("""COMPUTED_VALUE"""),2476.43)</f>
        <v/>
      </c>
    </row>
    <row r="12713">
      <c r="J12713">
        <f>IFERROR(__xludf.DUMMYFUNCTION("""COMPUTED_VALUE"""),"Washington, District de Columbia, États-Unis")</f>
        <v/>
      </c>
      <c r="K12713">
        <f>IFERROR(__xludf.DUMMYFUNCTION("""COMPUTED_VALUE"""),2476.17)</f>
        <v/>
      </c>
    </row>
    <row r="12714">
      <c r="J12714">
        <f>IFERROR(__xludf.DUMMYFUNCTION("""COMPUTED_VALUE"""),"Ottawa, Windsor, Ontario and Detroit, Michigan, United States")</f>
        <v/>
      </c>
      <c r="K12714">
        <f>IFERROR(__xludf.DUMMYFUNCTION("""COMPUTED_VALUE"""),2475.88)</f>
        <v/>
      </c>
    </row>
    <row r="12715">
      <c r="J12715">
        <f>IFERROR(__xludf.DUMMYFUNCTION("""COMPUTED_VALUE"""),"Washington, DC /  Boston, MA")</f>
        <v/>
      </c>
      <c r="K12715">
        <f>IFERROR(__xludf.DUMMYFUNCTION("""COMPUTED_VALUE"""),2475.71)</f>
        <v/>
      </c>
    </row>
    <row r="12716">
      <c r="J12716">
        <f>IFERROR(__xludf.DUMMYFUNCTION("""COMPUTED_VALUE"""),"Truro, NS")</f>
        <v/>
      </c>
      <c r="K12716">
        <f>IFERROR(__xludf.DUMMYFUNCTION("""COMPUTED_VALUE"""),2475.19)</f>
        <v/>
      </c>
    </row>
    <row r="12717">
      <c r="J12717">
        <f>IFERROR(__xludf.DUMMYFUNCTION("""COMPUTED_VALUE"""),"Vancouver, BC Delta, BC Nanaimo, BC Campbell River, BC")</f>
        <v/>
      </c>
      <c r="K12717">
        <f>IFERROR(__xludf.DUMMYFUNCTION("""COMPUTED_VALUE"""),2474.61)</f>
        <v/>
      </c>
    </row>
    <row r="12718">
      <c r="J12718">
        <f>IFERROR(__xludf.DUMMYFUNCTION("""COMPUTED_VALUE"""),"OTTAWA, ON - QUEBEC, QC")</f>
        <v/>
      </c>
      <c r="K12718">
        <f>IFERROR(__xludf.DUMMYFUNCTION("""COMPUTED_VALUE"""),2474.13)</f>
        <v/>
      </c>
    </row>
    <row r="12719">
      <c r="J12719">
        <f>IFERROR(__xludf.DUMMYFUNCTION("""COMPUTED_VALUE"""),"Calgary, Alberta, Canada /Edmonton, Alberta, Canada")</f>
        <v/>
      </c>
      <c r="K12719">
        <f>IFERROR(__xludf.DUMMYFUNCTION("""COMPUTED_VALUE"""),2474.03)</f>
        <v/>
      </c>
    </row>
    <row r="12720">
      <c r="J12720">
        <f>IFERROR(__xludf.DUMMYFUNCTION("""COMPUTED_VALUE"""),"Moncton, New Brunswick, Canada; Halifax, Nova Scotia, Canada;               Toronto, Ontario, Canada")</f>
        <v/>
      </c>
      <c r="K12720">
        <f>IFERROR(__xludf.DUMMYFUNCTION("""COMPUTED_VALUE"""),2472.91)</f>
        <v/>
      </c>
    </row>
    <row r="12721">
      <c r="J12721">
        <f>IFERROR(__xludf.DUMMYFUNCTION("""COMPUTED_VALUE"""),"New York City (NY), United States")</f>
        <v/>
      </c>
      <c r="K12721">
        <f>IFERROR(__xludf.DUMMYFUNCTION("""COMPUTED_VALUE"""),2472.87)</f>
        <v/>
      </c>
    </row>
    <row r="12722">
      <c r="J12722">
        <f>IFERROR(__xludf.DUMMYFUNCTION("""COMPUTED_VALUE"""),"Winnipeg, MB and Ottawa, ON.")</f>
        <v/>
      </c>
      <c r="K12722">
        <f>IFERROR(__xludf.DUMMYFUNCTION("""COMPUTED_VALUE"""),2472.87)</f>
        <v/>
      </c>
    </row>
    <row r="12723">
      <c r="J12723">
        <f>IFERROR(__xludf.DUMMYFUNCTION("""COMPUTED_VALUE"""),"Ottawa/Montreal")</f>
        <v/>
      </c>
      <c r="K12723">
        <f>IFERROR(__xludf.DUMMYFUNCTION("""COMPUTED_VALUE"""),2472.75)</f>
        <v/>
      </c>
    </row>
    <row r="12724">
      <c r="J12724">
        <f>IFERROR(__xludf.DUMMYFUNCTION("""COMPUTED_VALUE"""),"St. Michaels, Maryland, United States")</f>
        <v/>
      </c>
      <c r="K12724">
        <f>IFERROR(__xludf.DUMMYFUNCTION("""COMPUTED_VALUE"""),2472.66)</f>
        <v/>
      </c>
    </row>
    <row r="12725">
      <c r="J12725">
        <f>IFERROR(__xludf.DUMMYFUNCTION("""COMPUTED_VALUE"""),"Calgary, Alberta, Canada and Toronto, Ontario, Canada")</f>
        <v/>
      </c>
      <c r="K12725">
        <f>IFERROR(__xludf.DUMMYFUNCTION("""COMPUTED_VALUE"""),2472.46)</f>
        <v/>
      </c>
    </row>
    <row r="12726">
      <c r="J12726">
        <f>IFERROR(__xludf.DUMMYFUNCTION("""COMPUTED_VALUE"""),"Abbotsford BC, Canada")</f>
        <v/>
      </c>
      <c r="K12726">
        <f>IFERROR(__xludf.DUMMYFUNCTION("""COMPUTED_VALUE"""),2472.34)</f>
        <v/>
      </c>
    </row>
    <row r="12727">
      <c r="J12727">
        <f>IFERROR(__xludf.DUMMYFUNCTION("""COMPUTED_VALUE"""),"SAINT JOHN &amp; FREDERICTON, NB")</f>
        <v/>
      </c>
      <c r="K12727">
        <f>IFERROR(__xludf.DUMMYFUNCTION("""COMPUTED_VALUE"""),2472.28)</f>
        <v/>
      </c>
    </row>
    <row r="12728">
      <c r="J12728">
        <f>IFERROR(__xludf.DUMMYFUNCTION("""COMPUTED_VALUE"""),"Toronto, Ontario, and Whistler and Vancouver, British Columbia")</f>
        <v/>
      </c>
      <c r="K12728">
        <f>IFERROR(__xludf.DUMMYFUNCTION("""COMPUTED_VALUE"""),2472.18)</f>
        <v/>
      </c>
    </row>
    <row r="12729">
      <c r="J12729">
        <f>IFERROR(__xludf.DUMMYFUNCTION("""COMPUTED_VALUE"""),"Washington, DC, USA, Toronto, ON")</f>
        <v/>
      </c>
      <c r="K12729">
        <f>IFERROR(__xludf.DUMMYFUNCTION("""COMPUTED_VALUE"""),2472.1)</f>
        <v/>
      </c>
    </row>
    <row r="12730">
      <c r="J12730">
        <f>IFERROR(__xludf.DUMMYFUNCTION("""COMPUTED_VALUE"""),"Vancouver, British ColumbiaAgassiz, British ColumbiaAbbotsford, British Columbia")</f>
        <v/>
      </c>
      <c r="K12730">
        <f>IFERROR(__xludf.DUMMYFUNCTION("""COMPUTED_VALUE"""),2471.77)</f>
        <v/>
      </c>
    </row>
    <row r="12731">
      <c r="J12731">
        <f>IFERROR(__xludf.DUMMYFUNCTION("""COMPUTED_VALUE"""),"North Carolina / Washington, DC")</f>
        <v/>
      </c>
      <c r="K12731">
        <f>IFERROR(__xludf.DUMMYFUNCTION("""COMPUTED_VALUE"""),2471.1)</f>
        <v/>
      </c>
    </row>
    <row r="12732">
      <c r="J12732">
        <f>IFERROR(__xludf.DUMMYFUNCTION("""COMPUTED_VALUE"""),"Vancouver, BC and Banff, AB")</f>
        <v/>
      </c>
      <c r="K12732">
        <f>IFERROR(__xludf.DUMMYFUNCTION("""COMPUTED_VALUE"""),2470.84)</f>
        <v/>
      </c>
    </row>
    <row r="12733">
      <c r="J12733">
        <f>IFERROR(__xludf.DUMMYFUNCTION("""COMPUTED_VALUE"""),"Toronto, Winnipeg")</f>
        <v/>
      </c>
      <c r="K12733">
        <f>IFERROR(__xludf.DUMMYFUNCTION("""COMPUTED_VALUE"""),2470.7)</f>
        <v/>
      </c>
    </row>
    <row r="12734">
      <c r="J12734">
        <f>IFERROR(__xludf.DUMMYFUNCTION("""COMPUTED_VALUE"""),"Toronto, Ontario, Canada &amp; Vancouver, British Columbia, Canada")</f>
        <v/>
      </c>
      <c r="K12734">
        <f>IFERROR(__xludf.DUMMYFUNCTION("""COMPUTED_VALUE"""),2470.45)</f>
        <v/>
      </c>
    </row>
    <row r="12735">
      <c r="J12735">
        <f>IFERROR(__xludf.DUMMYFUNCTION("""COMPUTED_VALUE"""),"Regina, Saskatchewan and Banff, Alberta")</f>
        <v/>
      </c>
      <c r="K12735">
        <f>IFERROR(__xludf.DUMMYFUNCTION("""COMPUTED_VALUE"""),2470.34)</f>
        <v/>
      </c>
    </row>
    <row r="12736">
      <c r="J12736">
        <f>IFERROR(__xludf.DUMMYFUNCTION("""COMPUTED_VALUE"""),"Washington DC and Detroit")</f>
        <v/>
      </c>
      <c r="K12736">
        <f>IFERROR(__xludf.DUMMYFUNCTION("""COMPUTED_VALUE"""),2470)</f>
        <v/>
      </c>
    </row>
    <row r="12737">
      <c r="J12737">
        <f>IFERROR(__xludf.DUMMYFUNCTION("""COMPUTED_VALUE"""),"Toronto, ON / Mississauga, ON / Detroit, MI / Windsor, ON")</f>
        <v/>
      </c>
      <c r="K12737">
        <f>IFERROR(__xludf.DUMMYFUNCTION("""COMPUTED_VALUE"""),2469.75)</f>
        <v/>
      </c>
    </row>
    <row r="12738">
      <c r="J12738">
        <f>IFERROR(__xludf.DUMMYFUNCTION("""COMPUTED_VALUE"""),"Winnipeg and Churchill, MB")</f>
        <v/>
      </c>
      <c r="K12738">
        <f>IFERROR(__xludf.DUMMYFUNCTION("""COMPUTED_VALUE"""),2469.36)</f>
        <v/>
      </c>
    </row>
    <row r="12739">
      <c r="J12739">
        <f>IFERROR(__xludf.DUMMYFUNCTION("""COMPUTED_VALUE"""),"Sept-Îles, Schefferville, Montreal, (Québec) Canada")</f>
        <v/>
      </c>
      <c r="K12739">
        <f>IFERROR(__xludf.DUMMYFUNCTION("""COMPUTED_VALUE"""),2469.08)</f>
        <v/>
      </c>
    </row>
    <row r="12740">
      <c r="J12740">
        <f>IFERROR(__xludf.DUMMYFUNCTION("""COMPUTED_VALUE"""),"Ottawa, ON, Edmonton, AB")</f>
        <v/>
      </c>
      <c r="K12740">
        <f>IFERROR(__xludf.DUMMYFUNCTION("""COMPUTED_VALUE"""),2468.45)</f>
        <v/>
      </c>
    </row>
    <row r="12741">
      <c r="J12741">
        <f>IFERROR(__xludf.DUMMYFUNCTION("""COMPUTED_VALUE"""),"Trois-Rivières, Montreal, Quebec, Canada")</f>
        <v/>
      </c>
      <c r="K12741">
        <f>IFERROR(__xludf.DUMMYFUNCTION("""COMPUTED_VALUE"""),2467.99)</f>
        <v/>
      </c>
    </row>
    <row r="12742">
      <c r="J12742">
        <f>IFERROR(__xludf.DUMMYFUNCTION("""COMPUTED_VALUE"""),"Nanaimo, BC Cambell River, BC Victoria, BC Vancouver, BC")</f>
        <v/>
      </c>
      <c r="K12742">
        <f>IFERROR(__xludf.DUMMYFUNCTION("""COMPUTED_VALUE"""),2467.89)</f>
        <v/>
      </c>
    </row>
    <row r="12743">
      <c r="J12743">
        <f>IFERROR(__xludf.DUMMYFUNCTION("""COMPUTED_VALUE"""),"Alexandria, Virginia")</f>
        <v/>
      </c>
      <c r="K12743">
        <f>IFERROR(__xludf.DUMMYFUNCTION("""COMPUTED_VALUE"""),2467.8)</f>
        <v/>
      </c>
    </row>
    <row r="12744">
      <c r="J12744">
        <f>IFERROR(__xludf.DUMMYFUNCTION("""COMPUTED_VALUE"""),"Kitchener / Toronto, ON")</f>
        <v/>
      </c>
      <c r="K12744">
        <f>IFERROR(__xludf.DUMMYFUNCTION("""COMPUTED_VALUE"""),2467.55)</f>
        <v/>
      </c>
    </row>
    <row r="12745">
      <c r="J12745">
        <f>IFERROR(__xludf.DUMMYFUNCTION("""COMPUTED_VALUE"""),"Ottawa / Toronto, ON")</f>
        <v/>
      </c>
      <c r="K12745">
        <f>IFERROR(__xludf.DUMMYFUNCTION("""COMPUTED_VALUE"""),2467.39)</f>
        <v/>
      </c>
    </row>
    <row r="12746">
      <c r="J12746">
        <f>IFERROR(__xludf.DUMMYFUNCTION("""COMPUTED_VALUE"""),"Ottawa- Montreal- Charlottetown- Halifax- Ottawa")</f>
        <v/>
      </c>
      <c r="K12746">
        <f>IFERROR(__xludf.DUMMYFUNCTION("""COMPUTED_VALUE"""),2467.29)</f>
        <v/>
      </c>
    </row>
    <row r="12747">
      <c r="J12747">
        <f>IFERROR(__xludf.DUMMYFUNCTION("""COMPUTED_VALUE"""),"Saskatoon, SK; Calgary, AB; Kelowna, BC")</f>
        <v/>
      </c>
      <c r="K12747">
        <f>IFERROR(__xludf.DUMMYFUNCTION("""COMPUTED_VALUE"""),2467.14)</f>
        <v/>
      </c>
    </row>
    <row r="12748">
      <c r="J12748">
        <f>IFERROR(__xludf.DUMMYFUNCTION("""COMPUTED_VALUE"""),"Ottawa, ON / Toronto, ON / Kitchener, ON")</f>
        <v/>
      </c>
      <c r="K12748">
        <f>IFERROR(__xludf.DUMMYFUNCTION("""COMPUTED_VALUE"""),2467.12)</f>
        <v/>
      </c>
    </row>
    <row r="12749">
      <c r="J12749">
        <f>IFERROR(__xludf.DUMMYFUNCTION("""COMPUTED_VALUE"""),"Fort Smith, NorthWest Territories/Fort McMurray, Alberta")</f>
        <v/>
      </c>
      <c r="K12749">
        <f>IFERROR(__xludf.DUMMYFUNCTION("""COMPUTED_VALUE"""),2467.04)</f>
        <v/>
      </c>
    </row>
    <row r="12750">
      <c r="J12750">
        <f>IFERROR(__xludf.DUMMYFUNCTION("""COMPUTED_VALUE"""),"Jasper Alberta, Canada")</f>
        <v/>
      </c>
      <c r="K12750">
        <f>IFERROR(__xludf.DUMMYFUNCTION("""COMPUTED_VALUE"""),2466.94)</f>
        <v/>
      </c>
    </row>
    <row r="12751">
      <c r="J12751">
        <f>IFERROR(__xludf.DUMMYFUNCTION("""COMPUTED_VALUE"""),"Hamilton and London, Ontario, Canada")</f>
        <v/>
      </c>
      <c r="K12751">
        <f>IFERROR(__xludf.DUMMYFUNCTION("""COMPUTED_VALUE"""),2466.76)</f>
        <v/>
      </c>
    </row>
    <row r="12752">
      <c r="J12752">
        <f>IFERROR(__xludf.DUMMYFUNCTION("""COMPUTED_VALUE"""),"Viena ( Austria) Europe")</f>
        <v/>
      </c>
      <c r="K12752">
        <f>IFERROR(__xludf.DUMMYFUNCTION("""COMPUTED_VALUE"""),2466.73)</f>
        <v/>
      </c>
    </row>
    <row r="12753">
      <c r="J12753">
        <f>IFERROR(__xludf.DUMMYFUNCTION("""COMPUTED_VALUE"""),"Ottawa-Toronto-Philadelphia-Montreal- St.John's")</f>
        <v/>
      </c>
      <c r="K12753">
        <f>IFERROR(__xludf.DUMMYFUNCTION("""COMPUTED_VALUE"""),2466.61)</f>
        <v/>
      </c>
    </row>
    <row r="12754">
      <c r="J12754">
        <f>IFERROR(__xludf.DUMMYFUNCTION("""COMPUTED_VALUE"""),"Terrebonne, Quebec, Canada")</f>
        <v/>
      </c>
      <c r="K12754">
        <f>IFERROR(__xludf.DUMMYFUNCTION("""COMPUTED_VALUE"""),2466.59)</f>
        <v/>
      </c>
    </row>
    <row r="12755">
      <c r="J12755">
        <f>IFERROR(__xludf.DUMMYFUNCTION("""COMPUTED_VALUE"""),"Ottawa, ON and Winnipeg, AB")</f>
        <v/>
      </c>
      <c r="K12755">
        <f>IFERROR(__xludf.DUMMYFUNCTION("""COMPUTED_VALUE"""),2466.58)</f>
        <v/>
      </c>
    </row>
    <row r="12756">
      <c r="J12756">
        <f>IFERROR(__xludf.DUMMYFUNCTION("""COMPUTED_VALUE"""),"Montreal, Quebec, (Canada)
Toronto, Ontario, (Canada)")</f>
        <v/>
      </c>
      <c r="K12756">
        <f>IFERROR(__xludf.DUMMYFUNCTION("""COMPUTED_VALUE"""),2466.5)</f>
        <v/>
      </c>
    </row>
    <row r="12757">
      <c r="J12757">
        <f>IFERROR(__xludf.DUMMYFUNCTION("""COMPUTED_VALUE"""),"Hamilton and Niagara on the Lake, Ontario, Canada")</f>
        <v/>
      </c>
      <c r="K12757">
        <f>IFERROR(__xludf.DUMMYFUNCTION("""COMPUTED_VALUE"""),2466.12)</f>
        <v/>
      </c>
    </row>
    <row r="12758">
      <c r="J12758">
        <f>IFERROR(__xludf.DUMMYFUNCTION("""COMPUTED_VALUE"""),"Toronto, On;Regina, SK")</f>
        <v/>
      </c>
      <c r="K12758">
        <f>IFERROR(__xludf.DUMMYFUNCTION("""COMPUTED_VALUE"""),2465.94)</f>
        <v/>
      </c>
    </row>
    <row r="12759">
      <c r="J12759">
        <f>IFERROR(__xludf.DUMMYFUNCTION("""COMPUTED_VALUE"""),"Yellowknife,
Northwest Territories,
Canada")</f>
        <v/>
      </c>
      <c r="K12759">
        <f>IFERROR(__xludf.DUMMYFUNCTION("""COMPUTED_VALUE"""),2465.82)</f>
        <v/>
      </c>
    </row>
    <row r="12760">
      <c r="J12760">
        <f>IFERROR(__xludf.DUMMYFUNCTION("""COMPUTED_VALUE"""),"Ottawa, Ontario; Belleville, Ontario; Quinte West, Ontario")</f>
        <v/>
      </c>
      <c r="K12760">
        <f>IFERROR(__xludf.DUMMYFUNCTION("""COMPUTED_VALUE"""),2465.29)</f>
        <v/>
      </c>
    </row>
    <row r="12761">
      <c r="J12761">
        <f>IFERROR(__xludf.DUMMYFUNCTION("""COMPUTED_VALUE"""),"Ottawa-Kingston-Trenton, Ontario, Canada")</f>
        <v/>
      </c>
      <c r="K12761">
        <f>IFERROR(__xludf.DUMMYFUNCTION("""COMPUTED_VALUE"""),2464.33)</f>
        <v/>
      </c>
    </row>
    <row r="12762">
      <c r="J12762">
        <f>IFERROR(__xludf.DUMMYFUNCTION("""COMPUTED_VALUE"""),"Toronto, Ontario, Canada; Sudbury, Ontario, Canada; Ottawa, Ontario, Canada")</f>
        <v/>
      </c>
      <c r="K12762">
        <f>IFERROR(__xludf.DUMMYFUNCTION("""COMPUTED_VALUE"""),2463.8)</f>
        <v/>
      </c>
    </row>
    <row r="12763">
      <c r="J12763">
        <f>IFERROR(__xludf.DUMMYFUNCTION("""COMPUTED_VALUE"""),"Halifax, NS and St-John's, NL")</f>
        <v/>
      </c>
      <c r="K12763">
        <f>IFERROR(__xludf.DUMMYFUNCTION("""COMPUTED_VALUE"""),2463.48)</f>
        <v/>
      </c>
    </row>
    <row r="12764">
      <c r="J12764">
        <f>IFERROR(__xludf.DUMMYFUNCTION("""COMPUTED_VALUE"""),"Winnipeg, Manitoba, Bowden and Edmonton, Alberta and  Prince Albert, Saskatchewan, Canada")</f>
        <v/>
      </c>
      <c r="K12764">
        <f>IFERROR(__xludf.DUMMYFUNCTION("""COMPUTED_VALUE"""),2463.43)</f>
        <v/>
      </c>
    </row>
    <row r="12765">
      <c r="J12765">
        <f>IFERROR(__xludf.DUMMYFUNCTION("""COMPUTED_VALUE"""),"St. John's, Newfoundland and Labrador; Saint-Pierre et Miquelon, France")</f>
        <v/>
      </c>
      <c r="K12765">
        <f>IFERROR(__xludf.DUMMYFUNCTION("""COMPUTED_VALUE"""),2463.09)</f>
        <v/>
      </c>
    </row>
    <row r="12766">
      <c r="J12766">
        <f>IFERROR(__xludf.DUMMYFUNCTION("""COMPUTED_VALUE"""),"Charlottetown, Prince Edward Island and Kingston, Ontario")</f>
        <v/>
      </c>
      <c r="K12766">
        <f>IFERROR(__xludf.DUMMYFUNCTION("""COMPUTED_VALUE"""),2463.06)</f>
        <v/>
      </c>
    </row>
    <row r="12767">
      <c r="J12767">
        <f>IFERROR(__xludf.DUMMYFUNCTION("""COMPUTED_VALUE"""),"Ottawa, ON, St.John's, NL")</f>
        <v/>
      </c>
      <c r="K12767">
        <f>IFERROR(__xludf.DUMMYFUNCTION("""COMPUTED_VALUE"""),2462.48)</f>
        <v/>
      </c>
    </row>
    <row r="12768">
      <c r="J12768">
        <f>IFERROR(__xludf.DUMMYFUNCTION("""COMPUTED_VALUE"""),"Montreal, Québec, Canada; Vancouver, British Columbia, Canada")</f>
        <v/>
      </c>
      <c r="K12768">
        <f>IFERROR(__xludf.DUMMYFUNCTION("""COMPUTED_VALUE"""),2462.3)</f>
        <v/>
      </c>
    </row>
    <row r="12769">
      <c r="J12769">
        <f>IFERROR(__xludf.DUMMYFUNCTION("""COMPUTED_VALUE"""),"Vancouver/ Victoria (British Colombia)")</f>
        <v/>
      </c>
      <c r="K12769">
        <f>IFERROR(__xludf.DUMMYFUNCTION("""COMPUTED_VALUE"""),2461.99)</f>
        <v/>
      </c>
    </row>
    <row r="12770">
      <c r="J12770">
        <f>IFERROR(__xludf.DUMMYFUNCTION("""COMPUTED_VALUE"""),"Norfolk (Virginia) / Atlanta (Georgia) USA")</f>
        <v/>
      </c>
      <c r="K12770">
        <f>IFERROR(__xludf.DUMMYFUNCTION("""COMPUTED_VALUE"""),2461.63)</f>
        <v/>
      </c>
    </row>
    <row r="12771">
      <c r="J12771">
        <f>IFERROR(__xludf.DUMMYFUNCTION("""COMPUTED_VALUE"""),"Hamilton &amp; Oakville, Ontario, Canada")</f>
        <v/>
      </c>
      <c r="K12771">
        <f>IFERROR(__xludf.DUMMYFUNCTION("""COMPUTED_VALUE"""),2461.53)</f>
        <v/>
      </c>
    </row>
    <row r="12772">
      <c r="J12772">
        <f>IFERROR(__xludf.DUMMYFUNCTION("""COMPUTED_VALUE"""),"Moncton, NB, Charlottetwon, PEI, Regina, SK")</f>
        <v/>
      </c>
      <c r="K12772">
        <f>IFERROR(__xludf.DUMMYFUNCTION("""COMPUTED_VALUE"""),2461.5)</f>
        <v/>
      </c>
    </row>
    <row r="12773">
      <c r="J12773">
        <f>IFERROR(__xludf.DUMMYFUNCTION("""COMPUTED_VALUE"""),"OTTAWA, WINNIPEG ,DALLAS, OTTAWA")</f>
        <v/>
      </c>
      <c r="K12773">
        <f>IFERROR(__xludf.DUMMYFUNCTION("""COMPUTED_VALUE"""),2461.26)</f>
        <v/>
      </c>
    </row>
    <row r="12774">
      <c r="J12774">
        <f>IFERROR(__xludf.DUMMYFUNCTION("""COMPUTED_VALUE"""),"London/Paris/London")</f>
        <v/>
      </c>
      <c r="K12774">
        <f>IFERROR(__xludf.DUMMYFUNCTION("""COMPUTED_VALUE"""),2460.94)</f>
        <v/>
      </c>
    </row>
    <row r="12775">
      <c r="J12775">
        <f>IFERROR(__xludf.DUMMYFUNCTION("""COMPUTED_VALUE"""),"Fort St John, British Columbia, Canada")</f>
        <v/>
      </c>
      <c r="K12775">
        <f>IFERROR(__xludf.DUMMYFUNCTION("""COMPUTED_VALUE"""),2460.87)</f>
        <v/>
      </c>
    </row>
    <row r="12776">
      <c r="J12776">
        <f>IFERROR(__xludf.DUMMYFUNCTION("""COMPUTED_VALUE"""),"Vancouver, British Columbia, Canada / Kelowna, British Columbia, Canada")</f>
        <v/>
      </c>
      <c r="K12776">
        <f>IFERROR(__xludf.DUMMYFUNCTION("""COMPUTED_VALUE"""),2460.65)</f>
        <v/>
      </c>
    </row>
    <row r="12777">
      <c r="J12777">
        <f>IFERROR(__xludf.DUMMYFUNCTION("""COMPUTED_VALUE"""),"Vancouver, British Columbia ; Toronto, Ontario")</f>
        <v/>
      </c>
      <c r="K12777">
        <f>IFERROR(__xludf.DUMMYFUNCTION("""COMPUTED_VALUE"""),2460.59)</f>
        <v/>
      </c>
    </row>
    <row r="12778">
      <c r="J12778">
        <f>IFERROR(__xludf.DUMMYFUNCTION("""COMPUTED_VALUE"""),"Calgary, AB; Yellowknife, NWT")</f>
        <v/>
      </c>
      <c r="K12778">
        <f>IFERROR(__xludf.DUMMYFUNCTION("""COMPUTED_VALUE"""),2459.95)</f>
        <v/>
      </c>
    </row>
    <row r="12779">
      <c r="J12779">
        <f>IFERROR(__xludf.DUMMYFUNCTION("""COMPUTED_VALUE"""),"Calgary (AB)")</f>
        <v/>
      </c>
      <c r="K12779">
        <f>IFERROR(__xludf.DUMMYFUNCTION("""COMPUTED_VALUE"""),2459.84)</f>
        <v/>
      </c>
    </row>
    <row r="12780">
      <c r="J12780">
        <f>IFERROR(__xludf.DUMMYFUNCTION("""COMPUTED_VALUE"""),"Bathurst, New Brunswick, Canada; Quebec City, Quebec, Canada; Edmundston, New Brunswick, Canada")</f>
        <v/>
      </c>
      <c r="K12780">
        <f>IFERROR(__xludf.DUMMYFUNCTION("""COMPUTED_VALUE"""),2459.12)</f>
        <v/>
      </c>
    </row>
    <row r="12781">
      <c r="J12781">
        <f>IFERROR(__xludf.DUMMYFUNCTION("""COMPUTED_VALUE"""),"Québec City; Chicoutimi; Lévis, Quebec, Canada")</f>
        <v/>
      </c>
      <c r="K12781">
        <f>IFERROR(__xludf.DUMMYFUNCTION("""COMPUTED_VALUE"""),2458.2)</f>
        <v/>
      </c>
    </row>
    <row r="12782">
      <c r="J12782">
        <f>IFERROR(__xludf.DUMMYFUNCTION("""COMPUTED_VALUE"""),"ARCTIC NANOOK-NUNALIVUT")</f>
        <v/>
      </c>
      <c r="K12782">
        <f>IFERROR(__xludf.DUMMYFUNCTION("""COMPUTED_VALUE"""),2457.6)</f>
        <v/>
      </c>
    </row>
    <row r="12783">
      <c r="J12783">
        <f>IFERROR(__xludf.DUMMYFUNCTION("""COMPUTED_VALUE"""),"Newport, United States")</f>
        <v/>
      </c>
      <c r="K12783">
        <f>IFERROR(__xludf.DUMMYFUNCTION("""COMPUTED_VALUE"""),2456.7)</f>
        <v/>
      </c>
    </row>
    <row r="12784">
      <c r="J12784">
        <f>IFERROR(__xludf.DUMMYFUNCTION("""COMPUTED_VALUE"""),"Toronto and Thunder Bay, Ontario and Miramichi, New Brunswick")</f>
        <v/>
      </c>
      <c r="K12784">
        <f>IFERROR(__xludf.DUMMYFUNCTION("""COMPUTED_VALUE"""),2456.22)</f>
        <v/>
      </c>
    </row>
    <row r="12785">
      <c r="J12785">
        <f>IFERROR(__xludf.DUMMYFUNCTION("""COMPUTED_VALUE"""),"Toronto, Ontario, Canada Washington, District of Columbia, United States")</f>
        <v/>
      </c>
      <c r="K12785">
        <f>IFERROR(__xludf.DUMMYFUNCTION("""COMPUTED_VALUE"""),2455.85)</f>
        <v/>
      </c>
    </row>
    <row r="12786">
      <c r="J12786">
        <f>IFERROR(__xludf.DUMMYFUNCTION("""COMPUTED_VALUE"""),"Vancouver, Whistler, Squamish, Sechelt, Kelowna, and Vernon, British Columbia, Canada")</f>
        <v/>
      </c>
      <c r="K12786">
        <f>IFERROR(__xludf.DUMMYFUNCTION("""COMPUTED_VALUE"""),2455.19)</f>
        <v/>
      </c>
    </row>
    <row r="12787">
      <c r="J12787">
        <f>IFERROR(__xludf.DUMMYFUNCTION("""COMPUTED_VALUE"""),"Dieppe, Bayeux, Juno Beach, Beaumont-Hamel, Arras")</f>
        <v/>
      </c>
      <c r="K12787">
        <f>IFERROR(__xludf.DUMMYFUNCTION("""COMPUTED_VALUE"""),2455)</f>
        <v/>
      </c>
    </row>
    <row r="12788">
      <c r="J12788">
        <f>IFERROR(__xludf.DUMMYFUNCTION("""COMPUTED_VALUE"""),"WINNIPEG, MB / REGINA, SK")</f>
        <v/>
      </c>
      <c r="K12788">
        <f>IFERROR(__xludf.DUMMYFUNCTION("""COMPUTED_VALUE"""),2454.96)</f>
        <v/>
      </c>
    </row>
    <row r="12789">
      <c r="J12789">
        <f>IFERROR(__xludf.DUMMYFUNCTION("""COMPUTED_VALUE"""),"Owen Sound, Ontario, Canada; Toronto, Ontario, Canada")</f>
        <v/>
      </c>
      <c r="K12789">
        <f>IFERROR(__xludf.DUMMYFUNCTION("""COMPUTED_VALUE"""),2454.88)</f>
        <v/>
      </c>
    </row>
    <row r="12790">
      <c r="J12790">
        <f>IFERROR(__xludf.DUMMYFUNCTION("""COMPUTED_VALUE"""),"Washington and Miami")</f>
        <v/>
      </c>
      <c r="K12790">
        <f>IFERROR(__xludf.DUMMYFUNCTION("""COMPUTED_VALUE"""),2453.72)</f>
        <v/>
      </c>
    </row>
    <row r="12791">
      <c r="J12791">
        <f>IFERROR(__xludf.DUMMYFUNCTION("""COMPUTED_VALUE"""),"Edmonton, AB  Montreal and Saguenay, QC")</f>
        <v/>
      </c>
      <c r="K12791">
        <f>IFERROR(__xludf.DUMMYFUNCTION("""COMPUTED_VALUE"""),2453.6)</f>
        <v/>
      </c>
    </row>
    <row r="12792">
      <c r="J12792">
        <f>IFERROR(__xludf.DUMMYFUNCTION("""COMPUTED_VALUE"""),"Charlottetown, Prince Edward Island, Canada; Saskatoon, Saskatchewan, Canada")</f>
        <v/>
      </c>
      <c r="K12792">
        <f>IFERROR(__xludf.DUMMYFUNCTION("""COMPUTED_VALUE"""),2453.36)</f>
        <v/>
      </c>
    </row>
    <row r="12793">
      <c r="J12793">
        <f>IFERROR(__xludf.DUMMYFUNCTION("""COMPUTED_VALUE"""),"Halifax and Quebec")</f>
        <v/>
      </c>
      <c r="K12793">
        <f>IFERROR(__xludf.DUMMYFUNCTION("""COMPUTED_VALUE"""),2452.85)</f>
        <v/>
      </c>
    </row>
    <row r="12794">
      <c r="J12794">
        <f>IFERROR(__xludf.DUMMYFUNCTION("""COMPUTED_VALUE"""),"Winnipeg, MB; Saskatoon, SK; Vancouver, BC")</f>
        <v/>
      </c>
      <c r="K12794">
        <f>IFERROR(__xludf.DUMMYFUNCTION("""COMPUTED_VALUE"""),2452.13)</f>
        <v/>
      </c>
    </row>
    <row r="12795">
      <c r="J12795">
        <f>IFERROR(__xludf.DUMMYFUNCTION("""COMPUTED_VALUE"""),"Montréal, Quebec, Canada; Ottawa, Ontario, Canada; Toronto, Ontario, Canada")</f>
        <v/>
      </c>
      <c r="K12795">
        <f>IFERROR(__xludf.DUMMYFUNCTION("""COMPUTED_VALUE"""),2452)</f>
        <v/>
      </c>
    </row>
    <row r="12796">
      <c r="J12796">
        <f>IFERROR(__xludf.DUMMYFUNCTION("""COMPUTED_VALUE"""),"Toronto, Brampton, Port Hope, ON, Saint-Hyacinthe, QC")</f>
        <v/>
      </c>
      <c r="K12796">
        <f>IFERROR(__xludf.DUMMYFUNCTION("""COMPUTED_VALUE"""),2451.85)</f>
        <v/>
      </c>
    </row>
    <row r="12797">
      <c r="J12797">
        <f>IFERROR(__xludf.DUMMYFUNCTION("""COMPUTED_VALUE"""),"Washington DC /Williamburg")</f>
        <v/>
      </c>
      <c r="K12797">
        <f>IFERROR(__xludf.DUMMYFUNCTION("""COMPUTED_VALUE"""),2451.54)</f>
        <v/>
      </c>
    </row>
    <row r="12798">
      <c r="J12798">
        <f>IFERROR(__xludf.DUMMYFUNCTION("""COMPUTED_VALUE"""),"Calgary (Alberta) Canada; Winnipeg (Manitoba) Canada")</f>
        <v/>
      </c>
      <c r="K12798">
        <f>IFERROR(__xludf.DUMMYFUNCTION("""COMPUTED_VALUE"""),2451.41)</f>
        <v/>
      </c>
    </row>
    <row r="12799">
      <c r="J12799">
        <f>IFERROR(__xludf.DUMMYFUNCTION("""COMPUTED_VALUE"""),"Brampton, Ontario, Canada; Missisauga, Ontario, Canada")</f>
        <v/>
      </c>
      <c r="K12799">
        <f>IFERROR(__xludf.DUMMYFUNCTION("""COMPUTED_VALUE"""),2451)</f>
        <v/>
      </c>
    </row>
    <row r="12800">
      <c r="J12800">
        <f>IFERROR(__xludf.DUMMYFUNCTION("""COMPUTED_VALUE"""),"Charlottetown PE - St. John's NL / St. John's NL - Charlottetown PE")</f>
        <v/>
      </c>
      <c r="K12800">
        <f>IFERROR(__xludf.DUMMYFUNCTION("""COMPUTED_VALUE"""),2450)</f>
        <v/>
      </c>
    </row>
    <row r="12801">
      <c r="J12801">
        <f>IFERROR(__xludf.DUMMYFUNCTION("""COMPUTED_VALUE"""),"Victoria, Campbell River, Nanaimo and Vancouver, British Columbia")</f>
        <v/>
      </c>
      <c r="K12801">
        <f>IFERROR(__xludf.DUMMYFUNCTION("""COMPUTED_VALUE"""),2449.97)</f>
        <v/>
      </c>
    </row>
    <row r="12802">
      <c r="J12802">
        <f>IFERROR(__xludf.DUMMYFUNCTION("""COMPUTED_VALUE"""),"Moncton, New Brunswick, Canada; Fredericton, New Brunswick, Canada; Charlottetown, Prince-Edward-Island, Canada")</f>
        <v/>
      </c>
      <c r="K12802">
        <f>IFERROR(__xludf.DUMMYFUNCTION("""COMPUTED_VALUE"""),2449.9)</f>
        <v/>
      </c>
    </row>
    <row r="12803">
      <c r="J12803">
        <f>IFERROR(__xludf.DUMMYFUNCTION("""COMPUTED_VALUE"""),"OTTAWA, CHICAGO, HOUSTON, CORPUS CHRISTI, SAN DIEGO, OTTAWA")</f>
        <v/>
      </c>
      <c r="K12803">
        <f>IFERROR(__xludf.DUMMYFUNCTION("""COMPUTED_VALUE"""),2449.64)</f>
        <v/>
      </c>
    </row>
    <row r="12804">
      <c r="J12804">
        <f>IFERROR(__xludf.DUMMYFUNCTION("""COMPUTED_VALUE"""),"Windsor (Ontario) Canada")</f>
        <v/>
      </c>
      <c r="K12804">
        <f>IFERROR(__xludf.DUMMYFUNCTION("""COMPUTED_VALUE"""),2449.6)</f>
        <v/>
      </c>
    </row>
    <row r="12805">
      <c r="J12805">
        <f>IFERROR(__xludf.DUMMYFUNCTION("""COMPUTED_VALUE"""),"Toronto, Ontario, Canada; North Bay, Ontario, Canada; Sudbury, Ontario, Canada; Timmins, Ontario, Canada")</f>
        <v/>
      </c>
      <c r="K12805">
        <f>IFERROR(__xludf.DUMMYFUNCTION("""COMPUTED_VALUE"""),2448.66)</f>
        <v/>
      </c>
    </row>
    <row r="12806">
      <c r="J12806">
        <f>IFERROR(__xludf.DUMMYFUNCTION("""COMPUTED_VALUE"""),"Vancover, Port-Hardy, British Columbia, Canada")</f>
        <v/>
      </c>
      <c r="K12806">
        <f>IFERROR(__xludf.DUMMYFUNCTION("""COMPUTED_VALUE"""),2447.6)</f>
        <v/>
      </c>
    </row>
    <row r="12807">
      <c r="J12807">
        <f>IFERROR(__xludf.DUMMYFUNCTION("""COMPUTED_VALUE"""),"Montreal, Quebec;#3")</f>
        <v/>
      </c>
      <c r="K12807">
        <f>IFERROR(__xludf.DUMMYFUNCTION("""COMPUTED_VALUE"""),2447.46)</f>
        <v/>
      </c>
    </row>
    <row r="12808">
      <c r="J12808">
        <f>IFERROR(__xludf.DUMMYFUNCTION("""COMPUTED_VALUE"""),"Toronto, Quebec City, Canada; NYC, USA")</f>
        <v/>
      </c>
      <c r="K12808">
        <f>IFERROR(__xludf.DUMMYFUNCTION("""COMPUTED_VALUE"""),2447.14)</f>
        <v/>
      </c>
    </row>
    <row r="12809">
      <c r="J12809">
        <f>IFERROR(__xludf.DUMMYFUNCTION("""COMPUTED_VALUE"""),"Ottawa, Ontario and Montreal Québec, Canada")</f>
        <v/>
      </c>
      <c r="K12809">
        <f>IFERROR(__xludf.DUMMYFUNCTION("""COMPUTED_VALUE"""),2446.65)</f>
        <v/>
      </c>
    </row>
    <row r="12810">
      <c r="J12810">
        <f>IFERROR(__xludf.DUMMYFUNCTION("""COMPUTED_VALUE"""),"Vancouver, Winnipeg")</f>
        <v/>
      </c>
      <c r="K12810">
        <f>IFERROR(__xludf.DUMMYFUNCTION("""COMPUTED_VALUE"""),2446.58)</f>
        <v/>
      </c>
    </row>
    <row r="12811">
      <c r="J12811">
        <f>IFERROR(__xludf.DUMMYFUNCTION("""COMPUTED_VALUE"""),"Winnipeg / Shilo")</f>
        <v/>
      </c>
      <c r="K12811">
        <f>IFERROR(__xludf.DUMMYFUNCTION("""COMPUTED_VALUE"""),2446.39)</f>
        <v/>
      </c>
    </row>
    <row r="12812">
      <c r="J12812">
        <f>IFERROR(__xludf.DUMMYFUNCTION("""COMPUTED_VALUE"""),"Fredericton, NB Shippagan, NB Tracadie, NB Campbelton, NB")</f>
        <v/>
      </c>
      <c r="K12812">
        <f>IFERROR(__xludf.DUMMYFUNCTION("""COMPUTED_VALUE"""),2446.35)</f>
        <v/>
      </c>
    </row>
    <row r="12813">
      <c r="J12813">
        <f>IFERROR(__xludf.DUMMYFUNCTION("""COMPUTED_VALUE"""),"Frederiction (New Brunswick) Canada")</f>
        <v/>
      </c>
      <c r="K12813">
        <f>IFERROR(__xludf.DUMMYFUNCTION("""COMPUTED_VALUE"""),2446.09)</f>
        <v/>
      </c>
    </row>
    <row r="12814">
      <c r="J12814">
        <f>IFERROR(__xludf.DUMMYFUNCTION("""COMPUTED_VALUE"""),"Ottawa and Halifax")</f>
        <v/>
      </c>
      <c r="K12814">
        <f>IFERROR(__xludf.DUMMYFUNCTION("""COMPUTED_VALUE"""),2445.62)</f>
        <v/>
      </c>
    </row>
    <row r="12815">
      <c r="J12815">
        <f>IFERROR(__xludf.DUMMYFUNCTION("""COMPUTED_VALUE"""),"Lethbridge, AB Red Deer, AB")</f>
        <v/>
      </c>
      <c r="K12815">
        <f>IFERROR(__xludf.DUMMYFUNCTION("""COMPUTED_VALUE"""),2445.3)</f>
        <v/>
      </c>
    </row>
    <row r="12816">
      <c r="J12816">
        <f>IFERROR(__xludf.DUMMYFUNCTION("""COMPUTED_VALUE"""),"Panama City, Florida, United States")</f>
        <v/>
      </c>
      <c r="K12816">
        <f>IFERROR(__xludf.DUMMYFUNCTION("""COMPUTED_VALUE"""),2444.56)</f>
        <v/>
      </c>
    </row>
    <row r="12817">
      <c r="J12817">
        <f>IFERROR(__xludf.DUMMYFUNCTION("""COMPUTED_VALUE"""),"(MA)")</f>
        <v/>
      </c>
      <c r="K12817">
        <f>IFERROR(__xludf.DUMMYFUNCTION("""COMPUTED_VALUE"""),2443.93)</f>
        <v/>
      </c>
    </row>
    <row r="12818">
      <c r="J12818">
        <f>IFERROR(__xludf.DUMMYFUNCTION("""COMPUTED_VALUE"""),"Toronto, Ontatio, Canada")</f>
        <v/>
      </c>
      <c r="K12818">
        <f>IFERROR(__xludf.DUMMYFUNCTION("""COMPUTED_VALUE"""),2443.38)</f>
        <v/>
      </c>
    </row>
    <row r="12819">
      <c r="J12819">
        <f>IFERROR(__xludf.DUMMYFUNCTION("""COMPUTED_VALUE"""),"Toronto and Ottawa, Ontario")</f>
        <v/>
      </c>
      <c r="K12819">
        <f>IFERROR(__xludf.DUMMYFUNCTION("""COMPUTED_VALUE"""),2443.13)</f>
        <v/>
      </c>
    </row>
    <row r="12820">
      <c r="J12820">
        <f>IFERROR(__xludf.DUMMYFUNCTION("""COMPUTED_VALUE"""),"Victoria, B.C, Canada")</f>
        <v/>
      </c>
      <c r="K12820">
        <f>IFERROR(__xludf.DUMMYFUNCTION("""COMPUTED_VALUE"""),2442.65)</f>
        <v/>
      </c>
    </row>
    <row r="12821">
      <c r="J12821">
        <f>IFERROR(__xludf.DUMMYFUNCTION("""COMPUTED_VALUE"""),"St. John, NB / Hamilton, ON")</f>
        <v/>
      </c>
      <c r="K12821">
        <f>IFERROR(__xludf.DUMMYFUNCTION("""COMPUTED_VALUE"""),2442.15)</f>
        <v/>
      </c>
    </row>
    <row r="12822">
      <c r="J12822">
        <f>IFERROR(__xludf.DUMMYFUNCTION("""COMPUTED_VALUE"""),"Charlottetown-Winnipeg-Ottawa")</f>
        <v/>
      </c>
      <c r="K12822">
        <f>IFERROR(__xludf.DUMMYFUNCTION("""COMPUTED_VALUE"""),2441.87)</f>
        <v/>
      </c>
    </row>
    <row r="12823">
      <c r="J12823">
        <f>IFERROR(__xludf.DUMMYFUNCTION("""COMPUTED_VALUE"""),"Regina, SK - Chatham, ON")</f>
        <v/>
      </c>
      <c r="K12823">
        <f>IFERROR(__xludf.DUMMYFUNCTION("""COMPUTED_VALUE"""),2441.86)</f>
        <v/>
      </c>
    </row>
    <row r="12824">
      <c r="J12824">
        <f>IFERROR(__xludf.DUMMYFUNCTION("""COMPUTED_VALUE"""),"Vancouver, British Columbia, Canada
Tofino, British Columbia, Canada")</f>
        <v/>
      </c>
      <c r="K12824">
        <f>IFERROR(__xludf.DUMMYFUNCTION("""COMPUTED_VALUE"""),2441.63)</f>
        <v/>
      </c>
    </row>
    <row r="12825">
      <c r="J12825">
        <f>IFERROR(__xludf.DUMMYFUNCTION("""COMPUTED_VALUE"""),"Vancouver (British Columbia) Canada; Regina (Saskatchewan) Canada")</f>
        <v/>
      </c>
      <c r="K12825">
        <f>IFERROR(__xludf.DUMMYFUNCTION("""COMPUTED_VALUE"""),2441.07)</f>
        <v/>
      </c>
    </row>
    <row r="12826">
      <c r="J12826">
        <f>IFERROR(__xludf.DUMMYFUNCTION("""COMPUTED_VALUE"""),"Ottawa and Toronto, Ontario, and Montreal, Quebec")</f>
        <v/>
      </c>
      <c r="K12826">
        <f>IFERROR(__xludf.DUMMYFUNCTION("""COMPUTED_VALUE"""),2440.49)</f>
        <v/>
      </c>
    </row>
    <row r="12827">
      <c r="J12827">
        <f>IFERROR(__xludf.DUMMYFUNCTION("""COMPUTED_VALUE"""),"Sintra, Portugal")</f>
        <v/>
      </c>
      <c r="K12827">
        <f>IFERROR(__xludf.DUMMYFUNCTION("""COMPUTED_VALUE"""),2440.29)</f>
        <v/>
      </c>
    </row>
    <row r="12828">
      <c r="J12828">
        <f>IFERROR(__xludf.DUMMYFUNCTION("""COMPUTED_VALUE"""),"Kelowna, Colombie-Britannique, Canada / Vancouver, Colombie-Britannique, Canada")</f>
        <v/>
      </c>
      <c r="K12828">
        <f>IFERROR(__xludf.DUMMYFUNCTION("""COMPUTED_VALUE"""),2439.82)</f>
        <v/>
      </c>
    </row>
    <row r="12829">
      <c r="J12829">
        <f>IFERROR(__xludf.DUMMYFUNCTION("""COMPUTED_VALUE"""),"Halifax, Nova Scotia; St. John's, Newfoundland and Labrador, Canada")</f>
        <v/>
      </c>
      <c r="K12829">
        <f>IFERROR(__xludf.DUMMYFUNCTION("""COMPUTED_VALUE"""),2439.6)</f>
        <v/>
      </c>
    </row>
    <row r="12830">
      <c r="J12830">
        <f>IFERROR(__xludf.DUMMYFUNCTION("""COMPUTED_VALUE"""),"Toronto, ON and Obregon, Mexico City")</f>
        <v/>
      </c>
      <c r="K12830">
        <f>IFERROR(__xludf.DUMMYFUNCTION("""COMPUTED_VALUE"""),2439.38)</f>
        <v/>
      </c>
    </row>
    <row r="12831">
      <c r="J12831">
        <f>IFERROR(__xludf.DUMMYFUNCTION("""COMPUTED_VALUE"""),"Fredericton, New Brunswick / Moncton, New Brunswick / Montreal, Quebec, Canada")</f>
        <v/>
      </c>
      <c r="K12831">
        <f>IFERROR(__xludf.DUMMYFUNCTION("""COMPUTED_VALUE"""),2438.83)</f>
        <v/>
      </c>
    </row>
    <row r="12832">
      <c r="J12832">
        <f>IFERROR(__xludf.DUMMYFUNCTION("""COMPUTED_VALUE"""),"Montreal and Quebec, Quebec, Canada")</f>
        <v/>
      </c>
      <c r="K12832">
        <f>IFERROR(__xludf.DUMMYFUNCTION("""COMPUTED_VALUE"""),2438.14999999999)</f>
        <v/>
      </c>
    </row>
    <row r="12833">
      <c r="J12833">
        <f>IFERROR(__xludf.DUMMYFUNCTION("""COMPUTED_VALUE"""),"Edmonton/Calgary/Canmore, Alberta, Canada")</f>
        <v/>
      </c>
      <c r="K12833">
        <f>IFERROR(__xludf.DUMMYFUNCTION("""COMPUTED_VALUE"""),2438.12)</f>
        <v/>
      </c>
    </row>
    <row r="12834">
      <c r="J12834">
        <f>IFERROR(__xludf.DUMMYFUNCTION("""COMPUTED_VALUE"""),"Ottawa ON, - Toronto ON, - Halifax NS")</f>
        <v/>
      </c>
      <c r="K12834">
        <f>IFERROR(__xludf.DUMMYFUNCTION("""COMPUTED_VALUE"""),2437.49)</f>
        <v/>
      </c>
    </row>
    <row r="12835">
      <c r="J12835">
        <f>IFERROR(__xludf.DUMMYFUNCTION("""COMPUTED_VALUE"""),"Southampton Parish, BM")</f>
        <v/>
      </c>
      <c r="K12835">
        <f>IFERROR(__xludf.DUMMYFUNCTION("""COMPUTED_VALUE"""),2436.93)</f>
        <v/>
      </c>
    </row>
    <row r="12836">
      <c r="J12836">
        <f>IFERROR(__xludf.DUMMYFUNCTION("""COMPUTED_VALUE"""),"Washington DC and New York City")</f>
        <v/>
      </c>
      <c r="K12836">
        <f>IFERROR(__xludf.DUMMYFUNCTION("""COMPUTED_VALUE"""),2436.26)</f>
        <v/>
      </c>
    </row>
    <row r="12837">
      <c r="J12837">
        <f>IFERROR(__xludf.DUMMYFUNCTION("""COMPUTED_VALUE"""),"Deer Lake, Newfoundland and Labrador, Canada / Gander, Newfoundland and Labrador, Canada / Lewisporte, Newfoundland and Labrador, Canada")</f>
        <v/>
      </c>
      <c r="K12837">
        <f>IFERROR(__xludf.DUMMYFUNCTION("""COMPUTED_VALUE"""),2436.06)</f>
        <v/>
      </c>
    </row>
    <row r="12838">
      <c r="J12838">
        <f>IFERROR(__xludf.DUMMYFUNCTION("""COMPUTED_VALUE"""),"Lévis - Charlottetown - Toronto")</f>
        <v/>
      </c>
      <c r="K12838">
        <f>IFERROR(__xludf.DUMMYFUNCTION("""COMPUTED_VALUE"""),2436.04)</f>
        <v/>
      </c>
    </row>
    <row r="12839">
      <c r="J12839">
        <f>IFERROR(__xludf.DUMMYFUNCTION("""COMPUTED_VALUE"""),"Ottawa, ON Moncton, NB Charlottetown, PE")</f>
        <v/>
      </c>
      <c r="K12839">
        <f>IFERROR(__xludf.DUMMYFUNCTION("""COMPUTED_VALUE"""),2436.03)</f>
        <v/>
      </c>
    </row>
    <row r="12840">
      <c r="J12840">
        <f>IFERROR(__xludf.DUMMYFUNCTION("""COMPUTED_VALUE"""),"St. John, New Brunswick Canada")</f>
        <v/>
      </c>
      <c r="K12840">
        <f>IFERROR(__xludf.DUMMYFUNCTION("""COMPUTED_VALUE"""),2435.9)</f>
        <v/>
      </c>
    </row>
    <row r="12841">
      <c r="J12841">
        <f>IFERROR(__xludf.DUMMYFUNCTION("""COMPUTED_VALUE"""),"Langham, Saskatchewan, Canada")</f>
        <v/>
      </c>
      <c r="K12841">
        <f>IFERROR(__xludf.DUMMYFUNCTION("""COMPUTED_VALUE"""),2435.6)</f>
        <v/>
      </c>
    </row>
    <row r="12842">
      <c r="J12842">
        <f>IFERROR(__xludf.DUMMYFUNCTION("""COMPUTED_VALUE"""),"Fredericton, New Brunswick; Saint John, New Brunswick; Halifax, Nova Scotia; Ottawa, Ontario")</f>
        <v/>
      </c>
      <c r="K12842">
        <f>IFERROR(__xludf.DUMMYFUNCTION("""COMPUTED_VALUE"""),2434.87)</f>
        <v/>
      </c>
    </row>
    <row r="12843">
      <c r="J12843">
        <f>IFERROR(__xludf.DUMMYFUNCTION("""COMPUTED_VALUE"""),"Cap-Chat")</f>
        <v/>
      </c>
      <c r="K12843">
        <f>IFERROR(__xludf.DUMMYFUNCTION("""COMPUTED_VALUE"""),2434.25)</f>
        <v/>
      </c>
    </row>
    <row r="12844">
      <c r="J12844">
        <f>IFERROR(__xludf.DUMMYFUNCTION("""COMPUTED_VALUE"""),"Vancouver, British-Columbia, Edmonton and Fort McMurray, Alberta")</f>
        <v/>
      </c>
      <c r="K12844">
        <f>IFERROR(__xludf.DUMMYFUNCTION("""COMPUTED_VALUE"""),2433.98)</f>
        <v/>
      </c>
    </row>
    <row r="12845">
      <c r="J12845">
        <f>IFERROR(__xludf.DUMMYFUNCTION("""COMPUTED_VALUE"""),"Kitchener, ON / Gatineau, QC /
Toronto, ON")</f>
        <v/>
      </c>
      <c r="K12845">
        <f>IFERROR(__xludf.DUMMYFUNCTION("""COMPUTED_VALUE"""),2433.5)</f>
        <v/>
      </c>
    </row>
    <row r="12846">
      <c r="J12846">
        <f>IFERROR(__xludf.DUMMYFUNCTION("""COMPUTED_VALUE"""),"Kenora, Ontario, Canada; Winnipeg, Manitoba, Canada; Québec, Quebec, Canada")</f>
        <v/>
      </c>
      <c r="K12846">
        <f>IFERROR(__xludf.DUMMYFUNCTION("""COMPUTED_VALUE"""),2433.29)</f>
        <v/>
      </c>
    </row>
    <row r="12847">
      <c r="J12847">
        <f>IFERROR(__xludf.DUMMYFUNCTION("""COMPUTED_VALUE"""),"Ottawa, ON; Waterloo, ON; Kitchener, ON")</f>
        <v/>
      </c>
      <c r="K12847">
        <f>IFERROR(__xludf.DUMMYFUNCTION("""COMPUTED_VALUE"""),2432.76)</f>
        <v/>
      </c>
    </row>
    <row r="12848">
      <c r="J12848">
        <f>IFERROR(__xludf.DUMMYFUNCTION("""COMPUTED_VALUE"""),"Kingston, Ontario; Ottawa, Ontario")</f>
        <v/>
      </c>
      <c r="K12848">
        <f>IFERROR(__xludf.DUMMYFUNCTION("""COMPUTED_VALUE"""),2432.47)</f>
        <v/>
      </c>
    </row>
    <row r="12849">
      <c r="J12849">
        <f>IFERROR(__xludf.DUMMYFUNCTION("""COMPUTED_VALUE"""),"Minneapolis, Minnesota, U.S.")</f>
        <v/>
      </c>
      <c r="K12849">
        <f>IFERROR(__xludf.DUMMYFUNCTION("""COMPUTED_VALUE"""),2431.74)</f>
        <v/>
      </c>
    </row>
    <row r="12850">
      <c r="J12850">
        <f>IFERROR(__xludf.DUMMYFUNCTION("""COMPUTED_VALUE"""),"Baie-Comeau, QC")</f>
        <v/>
      </c>
      <c r="K12850">
        <f>IFERROR(__xludf.DUMMYFUNCTION("""COMPUTED_VALUE"""),2431.61)</f>
        <v/>
      </c>
    </row>
    <row r="12851">
      <c r="J12851">
        <f>IFERROR(__xludf.DUMMYFUNCTION("""COMPUTED_VALUE"""),"Bathurst; Moncton, New-Brunswick; Halifax, Nova Scotia, Canada")</f>
        <v/>
      </c>
      <c r="K12851">
        <f>IFERROR(__xludf.DUMMYFUNCTION("""COMPUTED_VALUE"""),2431.53)</f>
        <v/>
      </c>
    </row>
    <row r="12852">
      <c r="J12852">
        <f>IFERROR(__xludf.DUMMYFUNCTION("""COMPUTED_VALUE"""),"Moorestown - VA")</f>
        <v/>
      </c>
      <c r="K12852">
        <f>IFERROR(__xludf.DUMMYFUNCTION("""COMPUTED_VALUE"""),2431.21)</f>
        <v/>
      </c>
    </row>
    <row r="12853">
      <c r="J12853">
        <f>IFERROR(__xludf.DUMMYFUNCTION("""COMPUTED_VALUE"""),"Gaspé and Québec, Québec")</f>
        <v/>
      </c>
      <c r="K12853">
        <f>IFERROR(__xludf.DUMMYFUNCTION("""COMPUTED_VALUE"""),2431.01)</f>
        <v/>
      </c>
    </row>
    <row r="12854">
      <c r="J12854">
        <f>IFERROR(__xludf.DUMMYFUNCTION("""COMPUTED_VALUE"""),"Orford, Montreal, Quebec (Canada)")</f>
        <v/>
      </c>
      <c r="K12854">
        <f>IFERROR(__xludf.DUMMYFUNCTION("""COMPUTED_VALUE"""),2431)</f>
        <v/>
      </c>
    </row>
    <row r="12855">
      <c r="J12855">
        <f>IFERROR(__xludf.DUMMYFUNCTION("""COMPUTED_VALUE"""),"London, Ontario; Winnipeg, Manitoba")</f>
        <v/>
      </c>
      <c r="K12855">
        <f>IFERROR(__xludf.DUMMYFUNCTION("""COMPUTED_VALUE"""),2430.8)</f>
        <v/>
      </c>
    </row>
    <row r="12856">
      <c r="J12856">
        <f>IFERROR(__xludf.DUMMYFUNCTION("""COMPUTED_VALUE"""),"Mexico City and San Miguel Allende")</f>
        <v/>
      </c>
      <c r="K12856">
        <f>IFERROR(__xludf.DUMMYFUNCTION("""COMPUTED_VALUE"""),2430.8)</f>
        <v/>
      </c>
    </row>
    <row r="12857">
      <c r="J12857">
        <f>IFERROR(__xludf.DUMMYFUNCTION("""COMPUTED_VALUE"""),"Bathurst, New Brunswick / Sudbury, Ontario / Toronto, Ontario / Ottawa, Ontario / Montreal, Quebec, Canada")</f>
        <v/>
      </c>
      <c r="K12857">
        <f>IFERROR(__xludf.DUMMYFUNCTION("""COMPUTED_VALUE"""),2430.62)</f>
        <v/>
      </c>
    </row>
    <row r="12858">
      <c r="J12858">
        <f>IFERROR(__xludf.DUMMYFUNCTION("""COMPUTED_VALUE"""),"Vancouver, British Comumbia, Canada")</f>
        <v/>
      </c>
      <c r="K12858">
        <f>IFERROR(__xludf.DUMMYFUNCTION("""COMPUTED_VALUE"""),2430.54)</f>
        <v/>
      </c>
    </row>
    <row r="12859">
      <c r="J12859">
        <f>IFERROR(__xludf.DUMMYFUNCTION("""COMPUTED_VALUE"""),"Ottawa, Ontario / Toronto, Ontario")</f>
        <v/>
      </c>
      <c r="K12859">
        <f>IFERROR(__xludf.DUMMYFUNCTION("""COMPUTED_VALUE"""),2430.25)</f>
        <v/>
      </c>
    </row>
    <row r="12860">
      <c r="J12860">
        <f>IFERROR(__xludf.DUMMYFUNCTION("""COMPUTED_VALUE"""),"Saratoga Springs (New York) USA")</f>
        <v/>
      </c>
      <c r="K12860">
        <f>IFERROR(__xludf.DUMMYFUNCTION("""COMPUTED_VALUE"""),2429.13)</f>
        <v/>
      </c>
    </row>
    <row r="12861">
      <c r="J12861">
        <f>IFERROR(__xludf.DUMMYFUNCTION("""COMPUTED_VALUE"""),"Ottawa, ON / Toronto, ON /
Peterborough, ON")</f>
        <v/>
      </c>
      <c r="K12861">
        <f>IFERROR(__xludf.DUMMYFUNCTION("""COMPUTED_VALUE"""),2428.83)</f>
        <v/>
      </c>
    </row>
    <row r="12862">
      <c r="J12862">
        <f>IFERROR(__xludf.DUMMYFUNCTION("""COMPUTED_VALUE"""),"Ottawa, Toronto, Ontario, (Canada)")</f>
        <v/>
      </c>
      <c r="K12862">
        <f>IFERROR(__xludf.DUMMYFUNCTION("""COMPUTED_VALUE"""),2428.52999999999)</f>
        <v/>
      </c>
    </row>
    <row r="12863">
      <c r="J12863">
        <f>IFERROR(__xludf.DUMMYFUNCTION("""COMPUTED_VALUE"""),"Québec , Quebec, Canada")</f>
        <v/>
      </c>
      <c r="K12863">
        <f>IFERROR(__xludf.DUMMYFUNCTION("""COMPUTED_VALUE"""),2428.51)</f>
        <v/>
      </c>
    </row>
    <row r="12864">
      <c r="J12864">
        <f>IFERROR(__xludf.DUMMYFUNCTION("""COMPUTED_VALUE"""),"Washington (District of Columbia), United States")</f>
        <v/>
      </c>
      <c r="K12864">
        <f>IFERROR(__xludf.DUMMYFUNCTION("""COMPUTED_VALUE"""),2428.47)</f>
        <v/>
      </c>
    </row>
    <row r="12865">
      <c r="J12865">
        <f>IFERROR(__xludf.DUMMYFUNCTION("""COMPUTED_VALUE"""),"(Alberta and British Columbia)")</f>
        <v/>
      </c>
      <c r="K12865">
        <f>IFERROR(__xludf.DUMMYFUNCTION("""COMPUTED_VALUE"""),2428.03)</f>
        <v/>
      </c>
    </row>
    <row r="12866">
      <c r="J12866">
        <f>IFERROR(__xludf.DUMMYFUNCTION("""COMPUTED_VALUE"""),"Banff, Alberta and Vancouver, British Columbia")</f>
        <v/>
      </c>
      <c r="K12866">
        <f>IFERROR(__xludf.DUMMYFUNCTION("""COMPUTED_VALUE"""),2427.98)</f>
        <v/>
      </c>
    </row>
    <row r="12867">
      <c r="J12867">
        <f>IFERROR(__xludf.DUMMYFUNCTION("""COMPUTED_VALUE"""),"ST.JOHN'S, NL")</f>
        <v/>
      </c>
      <c r="K12867">
        <f>IFERROR(__xludf.DUMMYFUNCTION("""COMPUTED_VALUE"""),2427.72)</f>
        <v/>
      </c>
    </row>
    <row r="12868">
      <c r="J12868">
        <f>IFERROR(__xludf.DUMMYFUNCTION("""COMPUTED_VALUE"""),"Sarnia, ON / St. Catharines, ON
/ Toronto, ON")</f>
        <v/>
      </c>
      <c r="K12868">
        <f>IFERROR(__xludf.DUMMYFUNCTION("""COMPUTED_VALUE"""),2427.2)</f>
        <v/>
      </c>
    </row>
    <row r="12869">
      <c r="J12869">
        <f>IFERROR(__xludf.DUMMYFUNCTION("""COMPUTED_VALUE"""),"Sherbrooke, Québec")</f>
        <v/>
      </c>
      <c r="K12869">
        <f>IFERROR(__xludf.DUMMYFUNCTION("""COMPUTED_VALUE"""),2427.08)</f>
        <v/>
      </c>
    </row>
    <row r="12870">
      <c r="J12870">
        <f>IFERROR(__xludf.DUMMYFUNCTION("""COMPUTED_VALUE"""),"Edmonton, Alberta, Canada - Devon, Alberta, Canada")</f>
        <v/>
      </c>
      <c r="K12870">
        <f>IFERROR(__xludf.DUMMYFUNCTION("""COMPUTED_VALUE"""),2427.05)</f>
        <v/>
      </c>
    </row>
    <row r="12871">
      <c r="J12871">
        <f>IFERROR(__xludf.DUMMYFUNCTION("""COMPUTED_VALUE"""),"Montréal, Quebec, Canada; Bagotville, Quebec, Canada; Baie-Comeau, Quebec, Canada; Sept-Îles, Quebec, Canada; Québec, Quebec, Canada; Valleyfield, Quebec, Canada; Ottawa, Ontario, Canada")</f>
        <v/>
      </c>
      <c r="K12871">
        <f>IFERROR(__xludf.DUMMYFUNCTION("""COMPUTED_VALUE"""),2426.56999999999)</f>
        <v/>
      </c>
    </row>
    <row r="12872">
      <c r="J12872">
        <f>IFERROR(__xludf.DUMMYFUNCTION("""COMPUTED_VALUE"""),"Stephenville, Newfoundland and Labrador, Canada")</f>
        <v/>
      </c>
      <c r="K12872">
        <f>IFERROR(__xludf.DUMMYFUNCTION("""COMPUTED_VALUE"""),2426.03)</f>
        <v/>
      </c>
    </row>
    <row r="12873">
      <c r="J12873">
        <f>IFERROR(__xludf.DUMMYFUNCTION("""COMPUTED_VALUE"""),"Sydney, Nova Scotia / Hallfax, Nova Scotia, Canada")</f>
        <v/>
      </c>
      <c r="K12873">
        <f>IFERROR(__xludf.DUMMYFUNCTION("""COMPUTED_VALUE"""),2425.76)</f>
        <v/>
      </c>
    </row>
    <row r="12874">
      <c r="J12874">
        <f>IFERROR(__xludf.DUMMYFUNCTION("""COMPUTED_VALUE"""),"Ottawa - Edmonton - Vancouver - Quebec")</f>
        <v/>
      </c>
      <c r="K12874">
        <f>IFERROR(__xludf.DUMMYFUNCTION("""COMPUTED_VALUE"""),2425.53)</f>
        <v/>
      </c>
    </row>
    <row r="12875">
      <c r="J12875">
        <f>IFERROR(__xludf.DUMMYFUNCTION("""COMPUTED_VALUE"""),"Charlottetown, Prince Edward Island, Canada / 
Moncton, New Brunswick, Canada")</f>
        <v/>
      </c>
      <c r="K12875">
        <f>IFERROR(__xludf.DUMMYFUNCTION("""COMPUTED_VALUE"""),2425.49)</f>
        <v/>
      </c>
    </row>
    <row r="12876">
      <c r="J12876">
        <f>IFERROR(__xludf.DUMMYFUNCTION("""COMPUTED_VALUE"""),"Regina, Saskatchewan, Canada
Winnipeg, Manitoba, Canada
Calgary, Alberta, Canada")</f>
        <v/>
      </c>
      <c r="K12876">
        <f>IFERROR(__xludf.DUMMYFUNCTION("""COMPUTED_VALUE"""),2424.6)</f>
        <v/>
      </c>
    </row>
    <row r="12877">
      <c r="J12877">
        <f>IFERROR(__xludf.DUMMYFUNCTION("""COMPUTED_VALUE"""),"London, Ontario, Canada / Toronto, Ontario, Canada")</f>
        <v/>
      </c>
      <c r="K12877">
        <f>IFERROR(__xludf.DUMMYFUNCTION("""COMPUTED_VALUE"""),2424.22)</f>
        <v/>
      </c>
    </row>
    <row r="12878">
      <c r="J12878">
        <f>IFERROR(__xludf.DUMMYFUNCTION("""COMPUTED_VALUE"""),"Philadelphia, Pennsylvania and Boston Massachusetts, USA")</f>
        <v/>
      </c>
      <c r="K12878">
        <f>IFERROR(__xludf.DUMMYFUNCTION("""COMPUTED_VALUE"""),2423.72)</f>
        <v/>
      </c>
    </row>
    <row r="12879">
      <c r="J12879">
        <f>IFERROR(__xludf.DUMMYFUNCTION("""COMPUTED_VALUE"""),"Edmonton, AB                 Vancouver, BC")</f>
        <v/>
      </c>
      <c r="K12879">
        <f>IFERROR(__xludf.DUMMYFUNCTION("""COMPUTED_VALUE"""),2423.55)</f>
        <v/>
      </c>
    </row>
    <row r="12880">
      <c r="J12880">
        <f>IFERROR(__xludf.DUMMYFUNCTION("""COMPUTED_VALUE"""),"Fraser Valley / Vancouver, (British Columbia)")</f>
        <v/>
      </c>
      <c r="K12880">
        <f>IFERROR(__xludf.DUMMYFUNCTION("""COMPUTED_VALUE"""),2423.29)</f>
        <v/>
      </c>
    </row>
    <row r="12881">
      <c r="J12881">
        <f>IFERROR(__xludf.DUMMYFUNCTION("""COMPUTED_VALUE"""),"Montreal, QC / Thunder Bay, ON / Sault Ste. Marie, ON")</f>
        <v/>
      </c>
      <c r="K12881">
        <f>IFERROR(__xludf.DUMMYFUNCTION("""COMPUTED_VALUE"""),2422.23)</f>
        <v/>
      </c>
    </row>
    <row r="12882">
      <c r="J12882">
        <f>IFERROR(__xludf.DUMMYFUNCTION("""COMPUTED_VALUE"""),"Belleville (Ontario) Canada, Iqualuit ( Nunavut) Canada")</f>
        <v/>
      </c>
      <c r="K12882">
        <f>IFERROR(__xludf.DUMMYFUNCTION("""COMPUTED_VALUE"""),2422.08)</f>
        <v/>
      </c>
    </row>
    <row r="12883">
      <c r="J12883">
        <f>IFERROR(__xludf.DUMMYFUNCTION("""COMPUTED_VALUE"""),"Toronto- Windsor")</f>
        <v/>
      </c>
      <c r="K12883">
        <f>IFERROR(__xludf.DUMMYFUNCTION("""COMPUTED_VALUE"""),2421.81)</f>
        <v/>
      </c>
    </row>
    <row r="12884">
      <c r="J12884">
        <f>IFERROR(__xludf.DUMMYFUNCTION("""COMPUTED_VALUE"""),"Washington, DC / Boston, MA")</f>
        <v/>
      </c>
      <c r="K12884">
        <f>IFERROR(__xludf.DUMMYFUNCTION("""COMPUTED_VALUE"""),2421.69)</f>
        <v/>
      </c>
    </row>
    <row r="12885">
      <c r="J12885">
        <f>IFERROR(__xludf.DUMMYFUNCTION("""COMPUTED_VALUE"""),"Montreal (Quebec) Canada and Valcartier (Quebec) Canada")</f>
        <v/>
      </c>
      <c r="K12885">
        <f>IFERROR(__xludf.DUMMYFUNCTION("""COMPUTED_VALUE"""),2421.01)</f>
        <v/>
      </c>
    </row>
    <row r="12886">
      <c r="J12886">
        <f>IFERROR(__xludf.DUMMYFUNCTION("""COMPUTED_VALUE"""),"Ottawa - Charlottetown - Montréal - Drummondville - Ottawa")</f>
        <v/>
      </c>
      <c r="K12886">
        <f>IFERROR(__xludf.DUMMYFUNCTION("""COMPUTED_VALUE"""),2420.05)</f>
        <v/>
      </c>
    </row>
    <row r="12887">
      <c r="J12887">
        <f>IFERROR(__xludf.DUMMYFUNCTION("""COMPUTED_VALUE"""),"Halifax, Nova Scotia; Fredericton, New Brunswick; Saint John, New Brunswick")</f>
        <v/>
      </c>
      <c r="K12887">
        <f>IFERROR(__xludf.DUMMYFUNCTION("""COMPUTED_VALUE"""),2420.01)</f>
        <v/>
      </c>
    </row>
    <row r="12888">
      <c r="J12888">
        <f>IFERROR(__xludf.DUMMYFUNCTION("""COMPUTED_VALUE"""),"St-John's, Newfoundland and Labrador and Toronto, Ontario")</f>
        <v/>
      </c>
      <c r="K12888">
        <f>IFERROR(__xludf.DUMMYFUNCTION("""COMPUTED_VALUE"""),2419.91)</f>
        <v/>
      </c>
    </row>
    <row r="12889">
      <c r="J12889">
        <f>IFERROR(__xludf.DUMMYFUNCTION("""COMPUTED_VALUE"""),"Calagary")</f>
        <v/>
      </c>
      <c r="K12889">
        <f>IFERROR(__xludf.DUMMYFUNCTION("""COMPUTED_VALUE"""),2419.48)</f>
        <v/>
      </c>
    </row>
    <row r="12890">
      <c r="J12890">
        <f>IFERROR(__xludf.DUMMYFUNCTION("""COMPUTED_VALUE"""),"Kansas City, US")</f>
        <v/>
      </c>
      <c r="K12890">
        <f>IFERROR(__xludf.DUMMYFUNCTION("""COMPUTED_VALUE"""),2419.39)</f>
        <v/>
      </c>
    </row>
    <row r="12891">
      <c r="J12891">
        <f>IFERROR(__xludf.DUMMYFUNCTION("""COMPUTED_VALUE"""),"Montreal, Quebec and Baie-Comeau, Quebec")</f>
        <v/>
      </c>
      <c r="K12891">
        <f>IFERROR(__xludf.DUMMYFUNCTION("""COMPUTED_VALUE"""),2419.34)</f>
        <v/>
      </c>
    </row>
    <row r="12892">
      <c r="J12892">
        <f>IFERROR(__xludf.DUMMYFUNCTION("""COMPUTED_VALUE"""),"Niagara region and Hamilton, Ontario, Canada")</f>
        <v/>
      </c>
      <c r="K12892">
        <f>IFERROR(__xludf.DUMMYFUNCTION("""COMPUTED_VALUE"""),2419.21)</f>
        <v/>
      </c>
    </row>
    <row r="12893">
      <c r="J12893">
        <f>IFERROR(__xludf.DUMMYFUNCTION("""COMPUTED_VALUE"""),"Victoria, British Columbia &amp; Edmonton, Alberta")</f>
        <v/>
      </c>
      <c r="K12893">
        <f>IFERROR(__xludf.DUMMYFUNCTION("""COMPUTED_VALUE"""),2419.18)</f>
        <v/>
      </c>
    </row>
    <row r="12894">
      <c r="J12894">
        <f>IFERROR(__xludf.DUMMYFUNCTION("""COMPUTED_VALUE"""),"Winnipeg, Edmonton and Calgary")</f>
        <v/>
      </c>
      <c r="K12894">
        <f>IFERROR(__xludf.DUMMYFUNCTION("""COMPUTED_VALUE"""),2419.08)</f>
        <v/>
      </c>
    </row>
    <row r="12895">
      <c r="J12895">
        <f>IFERROR(__xludf.DUMMYFUNCTION("""COMPUTED_VALUE"""),"Montreal, Quebec
Toronto, Ontario, Canada")</f>
        <v/>
      </c>
      <c r="K12895">
        <f>IFERROR(__xludf.DUMMYFUNCTION("""COMPUTED_VALUE"""),2419)</f>
        <v/>
      </c>
    </row>
    <row r="12896">
      <c r="J12896">
        <f>IFERROR(__xludf.DUMMYFUNCTION("""COMPUTED_VALUE"""),"Vancouver, BC - Kamloops, BC - Prince George, BC - Edmonton, AB")</f>
        <v/>
      </c>
      <c r="K12896">
        <f>IFERROR(__xludf.DUMMYFUNCTION("""COMPUTED_VALUE"""),2418.89)</f>
        <v/>
      </c>
    </row>
    <row r="12897">
      <c r="J12897">
        <f>IFERROR(__xludf.DUMMYFUNCTION("""COMPUTED_VALUE"""),"Québec, Québec / Grand-Pré, Nova Socia")</f>
        <v/>
      </c>
      <c r="K12897">
        <f>IFERROR(__xludf.DUMMYFUNCTION("""COMPUTED_VALUE"""),2418.34)</f>
        <v/>
      </c>
    </row>
    <row r="12898">
      <c r="J12898">
        <f>IFERROR(__xludf.DUMMYFUNCTION("""COMPUTED_VALUE"""),"Sherbrooke - Québec City, QC")</f>
        <v/>
      </c>
      <c r="K12898">
        <f>IFERROR(__xludf.DUMMYFUNCTION("""COMPUTED_VALUE"""),2418.25)</f>
        <v/>
      </c>
    </row>
    <row r="12899">
      <c r="J12899">
        <f>IFERROR(__xludf.DUMMYFUNCTION("""COMPUTED_VALUE"""),"Calgary, AB, Victoria and Penticton, BC")</f>
        <v/>
      </c>
      <c r="K12899">
        <f>IFERROR(__xludf.DUMMYFUNCTION("""COMPUTED_VALUE"""),2417.86)</f>
        <v/>
      </c>
    </row>
    <row r="12900">
      <c r="J12900">
        <f>IFERROR(__xludf.DUMMYFUNCTION("""COMPUTED_VALUE"""),"Tampa, FL, USA")</f>
        <v/>
      </c>
      <c r="K12900">
        <f>IFERROR(__xludf.DUMMYFUNCTION("""COMPUTED_VALUE"""),2417.1)</f>
        <v/>
      </c>
    </row>
    <row r="12901">
      <c r="J12901">
        <f>IFERROR(__xludf.DUMMYFUNCTION("""COMPUTED_VALUE"""),"Richmond, BC; Vancouver, BC; Edmonton, AB; Winnipeg, MB; Regina, SK")</f>
        <v/>
      </c>
      <c r="K12901">
        <f>IFERROR(__xludf.DUMMYFUNCTION("""COMPUTED_VALUE"""),2416)</f>
        <v/>
      </c>
    </row>
    <row r="12902">
      <c r="J12902">
        <f>IFERROR(__xludf.DUMMYFUNCTION("""COMPUTED_VALUE"""),"Prince Rupert &amp; Vancouver British Columbia")</f>
        <v/>
      </c>
      <c r="K12902">
        <f>IFERROR(__xludf.DUMMYFUNCTION("""COMPUTED_VALUE"""),2415.74)</f>
        <v/>
      </c>
    </row>
    <row r="12903">
      <c r="J12903">
        <f>IFERROR(__xludf.DUMMYFUNCTION("""COMPUTED_VALUE"""),"Halifax, NS, Goose Bay, Labrador")</f>
        <v/>
      </c>
      <c r="K12903">
        <f>IFERROR(__xludf.DUMMYFUNCTION("""COMPUTED_VALUE"""),2415.34)</f>
        <v/>
      </c>
    </row>
    <row r="12904">
      <c r="J12904">
        <f>IFERROR(__xludf.DUMMYFUNCTION("""COMPUTED_VALUE"""),"Miramichi, New Brunswick; Moncton, New Brunswick, Canada")</f>
        <v/>
      </c>
      <c r="K12904">
        <f>IFERROR(__xludf.DUMMYFUNCTION("""COMPUTED_VALUE"""),2415.25)</f>
        <v/>
      </c>
    </row>
    <row r="12905">
      <c r="J12905">
        <f>IFERROR(__xludf.DUMMYFUNCTION("""COMPUTED_VALUE"""),"Washington USA and , Ottawa, ON")</f>
        <v/>
      </c>
      <c r="K12905">
        <f>IFERROR(__xludf.DUMMYFUNCTION("""COMPUTED_VALUE"""),2415.11)</f>
        <v/>
      </c>
    </row>
    <row r="12906">
      <c r="J12906">
        <f>IFERROR(__xludf.DUMMYFUNCTION("""COMPUTED_VALUE"""),"Jaipur, India")</f>
        <v/>
      </c>
      <c r="K12906">
        <f>IFERROR(__xludf.DUMMYFUNCTION("""COMPUTED_VALUE"""),2414.81)</f>
        <v/>
      </c>
    </row>
    <row r="12907">
      <c r="J12907">
        <f>IFERROR(__xludf.DUMMYFUNCTION("""COMPUTED_VALUE"""),"Trois-Rivières, Quebec, Canada; Halifax, Nova Scotia, Canada")</f>
        <v/>
      </c>
      <c r="K12907">
        <f>IFERROR(__xludf.DUMMYFUNCTION("""COMPUTED_VALUE"""),2414.78)</f>
        <v/>
      </c>
    </row>
    <row r="12908">
      <c r="J12908">
        <f>IFERROR(__xludf.DUMMYFUNCTION("""COMPUTED_VALUE"""),"Toronto, Windsor, Detroit")</f>
        <v/>
      </c>
      <c r="K12908">
        <f>IFERROR(__xludf.DUMMYFUNCTION("""COMPUTED_VALUE"""),2414.75)</f>
        <v/>
      </c>
    </row>
    <row r="12909">
      <c r="J12909">
        <f>IFERROR(__xludf.DUMMYFUNCTION("""COMPUTED_VALUE"""),"Kingston, ON Ottawa, ON")</f>
        <v/>
      </c>
      <c r="K12909">
        <f>IFERROR(__xludf.DUMMYFUNCTION("""COMPUTED_VALUE"""),2414)</f>
        <v/>
      </c>
    </row>
    <row r="12910">
      <c r="J12910">
        <f>IFERROR(__xludf.DUMMYFUNCTION("""COMPUTED_VALUE"""),"Bowmanville")</f>
        <v/>
      </c>
      <c r="K12910">
        <f>IFERROR(__xludf.DUMMYFUNCTION("""COMPUTED_VALUE"""),2412.72999999999)</f>
        <v/>
      </c>
    </row>
    <row r="12911">
      <c r="J12911">
        <f>IFERROR(__xludf.DUMMYFUNCTION("""COMPUTED_VALUE"""),"Ottawa - Charlottetown-Ottawa")</f>
        <v/>
      </c>
      <c r="K12911">
        <f>IFERROR(__xludf.DUMMYFUNCTION("""COMPUTED_VALUE"""),2412.06)</f>
        <v/>
      </c>
    </row>
    <row r="12912">
      <c r="J12912">
        <f>IFERROR(__xludf.DUMMYFUNCTION("""COMPUTED_VALUE"""),"Winnipeg, Manitoba, Canada; Kenora, Ontario, Canada")</f>
        <v/>
      </c>
      <c r="K12912">
        <f>IFERROR(__xludf.DUMMYFUNCTION("""COMPUTED_VALUE"""),2411.45)</f>
        <v/>
      </c>
    </row>
    <row r="12913">
      <c r="J12913">
        <f>IFERROR(__xludf.DUMMYFUNCTION("""COMPUTED_VALUE"""),"Liberia and Sierra Leone")</f>
        <v/>
      </c>
      <c r="K12913">
        <f>IFERROR(__xludf.DUMMYFUNCTION("""COMPUTED_VALUE"""),2411.37)</f>
        <v/>
      </c>
    </row>
    <row r="12914">
      <c r="J12914">
        <f>IFERROR(__xludf.DUMMYFUNCTION("""COMPUTED_VALUE"""),"Vandenberg (California) United States")</f>
        <v/>
      </c>
      <c r="K12914">
        <f>IFERROR(__xludf.DUMMYFUNCTION("""COMPUTED_VALUE"""),2410.88)</f>
        <v/>
      </c>
    </row>
    <row r="12915">
      <c r="J12915">
        <f>IFERROR(__xludf.DUMMYFUNCTION("""COMPUTED_VALUE"""),"Toledo, OH  / Chicago, IL")</f>
        <v/>
      </c>
      <c r="K12915">
        <f>IFERROR(__xludf.DUMMYFUNCTION("""COMPUTED_VALUE"""),2410.8)</f>
        <v/>
      </c>
    </row>
    <row r="12916">
      <c r="J12916">
        <f>IFERROR(__xludf.DUMMYFUNCTION("""COMPUTED_VALUE"""),"Regina,  Saskatchewan, Canada")</f>
        <v/>
      </c>
      <c r="K12916">
        <f>IFERROR(__xludf.DUMMYFUNCTION("""COMPUTED_VALUE"""),2410.62)</f>
        <v/>
      </c>
    </row>
    <row r="12917">
      <c r="J12917">
        <f>IFERROR(__xludf.DUMMYFUNCTION("""COMPUTED_VALUE"""),"Washington, DC - London, ON")</f>
        <v/>
      </c>
      <c r="K12917">
        <f>IFERROR(__xludf.DUMMYFUNCTION("""COMPUTED_VALUE"""),2410.62)</f>
        <v/>
      </c>
    </row>
    <row r="12918">
      <c r="J12918">
        <f>IFERROR(__xludf.DUMMYFUNCTION("""COMPUTED_VALUE"""),"Fredericton, NB, Toronto, ON")</f>
        <v/>
      </c>
      <c r="K12918">
        <f>IFERROR(__xludf.DUMMYFUNCTION("""COMPUTED_VALUE"""),2410.23)</f>
        <v/>
      </c>
    </row>
    <row r="12919">
      <c r="J12919">
        <f>IFERROR(__xludf.DUMMYFUNCTION("""COMPUTED_VALUE"""),"Smithers, British Columbia")</f>
        <v/>
      </c>
      <c r="K12919">
        <f>IFERROR(__xludf.DUMMYFUNCTION("""COMPUTED_VALUE"""),2410.13)</f>
        <v/>
      </c>
    </row>
    <row r="12920">
      <c r="J12920">
        <f>IFERROR(__xludf.DUMMYFUNCTION("""COMPUTED_VALUE"""),"Ottawa, ON; Moncton, NB")</f>
        <v/>
      </c>
      <c r="K12920">
        <f>IFERROR(__xludf.DUMMYFUNCTION("""COMPUTED_VALUE"""),2409.85)</f>
        <v/>
      </c>
    </row>
    <row r="12921">
      <c r="J12921">
        <f>IFERROR(__xludf.DUMMYFUNCTION("""COMPUTED_VALUE"""),"Winnipeg, MB, Richmond, BC")</f>
        <v/>
      </c>
      <c r="K12921">
        <f>IFERROR(__xludf.DUMMYFUNCTION("""COMPUTED_VALUE"""),2409.62)</f>
        <v/>
      </c>
    </row>
    <row r="12922">
      <c r="J12922">
        <f>IFERROR(__xludf.DUMMYFUNCTION("""COMPUTED_VALUE"""),"Montreal, Quebec, Canada; St. Hyacinthe, Quebec, Canada")</f>
        <v/>
      </c>
      <c r="K12922">
        <f>IFERROR(__xludf.DUMMYFUNCTION("""COMPUTED_VALUE"""),2408.41)</f>
        <v/>
      </c>
    </row>
    <row r="12923">
      <c r="J12923">
        <f>IFERROR(__xludf.DUMMYFUNCTION("""COMPUTED_VALUE"""),"Toronto (ON) and St. John's (NL) in Canada")</f>
        <v/>
      </c>
      <c r="K12923">
        <f>IFERROR(__xludf.DUMMYFUNCTION("""COMPUTED_VALUE"""),2408.4)</f>
        <v/>
      </c>
    </row>
    <row r="12924">
      <c r="J12924">
        <f>IFERROR(__xludf.DUMMYFUNCTION("""COMPUTED_VALUE"""),"Winnipeg, Manitoba
Regina, Saskatchewan")</f>
        <v/>
      </c>
      <c r="K12924">
        <f>IFERROR(__xludf.DUMMYFUNCTION("""COMPUTED_VALUE"""),2407.82)</f>
        <v/>
      </c>
    </row>
    <row r="12925">
      <c r="J12925">
        <f>IFERROR(__xludf.DUMMYFUNCTION("""COMPUTED_VALUE"""),"Toronto, Ontario, Canada/Waterloo, Ontario, Canada")</f>
        <v/>
      </c>
      <c r="K12925">
        <f>IFERROR(__xludf.DUMMYFUNCTION("""COMPUTED_VALUE"""),2407.42)</f>
        <v/>
      </c>
    </row>
    <row r="12926">
      <c r="J12926">
        <f>IFERROR(__xludf.DUMMYFUNCTION("""COMPUTED_VALUE"""),"Toronto, Welland, London, Ontario (Canada)")</f>
        <v/>
      </c>
      <c r="K12926">
        <f>IFERROR(__xludf.DUMMYFUNCTION("""COMPUTED_VALUE"""),2407.23)</f>
        <v/>
      </c>
    </row>
    <row r="12927">
      <c r="J12927">
        <f>IFERROR(__xludf.DUMMYFUNCTION("""COMPUTED_VALUE"""),"Winnipeg, (Manitoba)  Edmonton, (Alberta)")</f>
        <v/>
      </c>
      <c r="K12927">
        <f>IFERROR(__xludf.DUMMYFUNCTION("""COMPUTED_VALUE"""),2407)</f>
        <v/>
      </c>
    </row>
    <row r="12928">
      <c r="J12928">
        <f>IFERROR(__xludf.DUMMYFUNCTION("""COMPUTED_VALUE"""),"Forth Worth, USA")</f>
        <v/>
      </c>
      <c r="K12928">
        <f>IFERROR(__xludf.DUMMYFUNCTION("""COMPUTED_VALUE"""),2406.82)</f>
        <v/>
      </c>
    </row>
    <row r="12929">
      <c r="J12929">
        <f>IFERROR(__xludf.DUMMYFUNCTION("""COMPUTED_VALUE"""),"Comox. BC")</f>
        <v/>
      </c>
      <c r="K12929">
        <f>IFERROR(__xludf.DUMMYFUNCTION("""COMPUTED_VALUE"""),2406.43)</f>
        <v/>
      </c>
    </row>
    <row r="12930">
      <c r="J12930">
        <f>IFERROR(__xludf.DUMMYFUNCTION("""COMPUTED_VALUE"""),"Kentville, Nova Scotia, Canada; Vancouver, British Columbia, Canada")</f>
        <v/>
      </c>
      <c r="K12930">
        <f>IFERROR(__xludf.DUMMYFUNCTION("""COMPUTED_VALUE"""),2405.77)</f>
        <v/>
      </c>
    </row>
    <row r="12931">
      <c r="J12931">
        <f>IFERROR(__xludf.DUMMYFUNCTION("""COMPUTED_VALUE"""),"Hamilton, Ontario, Canada; Niagara Falls, Ontario, Canada")</f>
        <v/>
      </c>
      <c r="K12931">
        <f>IFERROR(__xludf.DUMMYFUNCTION("""COMPUTED_VALUE"""),2405.76)</f>
        <v/>
      </c>
    </row>
    <row r="12932">
      <c r="J12932">
        <f>IFERROR(__xludf.DUMMYFUNCTION("""COMPUTED_VALUE"""),"Toronto, Ontario, Canada/ Quebec, Quebec, Canada")</f>
        <v/>
      </c>
      <c r="K12932">
        <f>IFERROR(__xludf.DUMMYFUNCTION("""COMPUTED_VALUE"""),2405.26)</f>
        <v/>
      </c>
    </row>
    <row r="12933">
      <c r="J12933">
        <f>IFERROR(__xludf.DUMMYFUNCTION("""COMPUTED_VALUE"""),"WINNIPEG, MA - VICTORIA, BC")</f>
        <v/>
      </c>
      <c r="K12933">
        <f>IFERROR(__xludf.DUMMYFUNCTION("""COMPUTED_VALUE"""),2404.8)</f>
        <v/>
      </c>
    </row>
    <row r="12934">
      <c r="J12934">
        <f>IFERROR(__xludf.DUMMYFUNCTION("""COMPUTED_VALUE"""),"Seattle, Washington, USA, Vancouver, BC, Canada")</f>
        <v/>
      </c>
      <c r="K12934">
        <f>IFERROR(__xludf.DUMMYFUNCTION("""COMPUTED_VALUE"""),2404.52)</f>
        <v/>
      </c>
    </row>
    <row r="12935">
      <c r="J12935">
        <f>IFERROR(__xludf.DUMMYFUNCTION("""COMPUTED_VALUE"""),"Halifax, NS - Corner Brook, NL")</f>
        <v/>
      </c>
      <c r="K12935">
        <f>IFERROR(__xludf.DUMMYFUNCTION("""COMPUTED_VALUE"""),2404.49)</f>
        <v/>
      </c>
    </row>
    <row r="12936">
      <c r="J12936">
        <f>IFERROR(__xludf.DUMMYFUNCTION("""COMPUTED_VALUE"""),"Edmonton, Alberta, Canada; Medicine Hat, Alberta, Canada; Sherwood Park, Alberta, Canada; Sundre, Alberta, Canada; Lethbridge, Alberta, Canada")</f>
        <v/>
      </c>
      <c r="K12936">
        <f>IFERROR(__xludf.DUMMYFUNCTION("""COMPUTED_VALUE"""),2404.26)</f>
        <v/>
      </c>
    </row>
    <row r="12937">
      <c r="J12937">
        <f>IFERROR(__xludf.DUMMYFUNCTION("""COMPUTED_VALUE"""),"Gagetown (New Brunswick) Canada")</f>
        <v/>
      </c>
      <c r="K12937">
        <f>IFERROR(__xludf.DUMMYFUNCTION("""COMPUTED_VALUE"""),2404.06)</f>
        <v/>
      </c>
    </row>
    <row r="12938">
      <c r="J12938">
        <f>IFERROR(__xludf.DUMMYFUNCTION("""COMPUTED_VALUE"""),"Prince George, British Colombia, Yellowknife, Northwest Territories")</f>
        <v/>
      </c>
      <c r="K12938">
        <f>IFERROR(__xludf.DUMMYFUNCTION("""COMPUTED_VALUE"""),2404)</f>
        <v/>
      </c>
    </row>
    <row r="12939">
      <c r="J12939">
        <f>IFERROR(__xludf.DUMMYFUNCTION("""COMPUTED_VALUE"""),"York, Ontario, Canada")</f>
        <v/>
      </c>
      <c r="K12939">
        <f>IFERROR(__xludf.DUMMYFUNCTION("""COMPUTED_VALUE"""),2403.92)</f>
        <v/>
      </c>
    </row>
    <row r="12940">
      <c r="J12940">
        <f>IFERROR(__xludf.DUMMYFUNCTION("""COMPUTED_VALUE"""),"OTTAWA,WASHINGOTN, PATAUXENT RIVER, WASHINGTON,   ST-LOUIS, OTTAWA")</f>
        <v/>
      </c>
      <c r="K12940">
        <f>IFERROR(__xludf.DUMMYFUNCTION("""COMPUTED_VALUE"""),2403.53)</f>
        <v/>
      </c>
    </row>
    <row r="12941">
      <c r="J12941">
        <f>IFERROR(__xludf.DUMMYFUNCTION("""COMPUTED_VALUE"""),"Halifax, NS
Fredericton, NB
Saint John, NB")</f>
        <v/>
      </c>
      <c r="K12941">
        <f>IFERROR(__xludf.DUMMYFUNCTION("""COMPUTED_VALUE"""),2402.55)</f>
        <v/>
      </c>
    </row>
    <row r="12942">
      <c r="J12942">
        <f>IFERROR(__xludf.DUMMYFUNCTION("""COMPUTED_VALUE"""),"Edmonton,Alberta,Canada")</f>
        <v/>
      </c>
      <c r="K12942">
        <f>IFERROR(__xludf.DUMMYFUNCTION("""COMPUTED_VALUE"""),2402.07)</f>
        <v/>
      </c>
    </row>
    <row r="12943">
      <c r="J12943">
        <f>IFERROR(__xludf.DUMMYFUNCTION("""COMPUTED_VALUE"""),"(Newfoundland)")</f>
        <v/>
      </c>
      <c r="K12943">
        <f>IFERROR(__xludf.DUMMYFUNCTION("""COMPUTED_VALUE"""),2400.57)</f>
        <v/>
      </c>
    </row>
    <row r="12944">
      <c r="J12944">
        <f>IFERROR(__xludf.DUMMYFUNCTION("""COMPUTED_VALUE"""),"Ottawa, Ontario; Quebec, Quebec")</f>
        <v/>
      </c>
      <c r="K12944">
        <f>IFERROR(__xludf.DUMMYFUNCTION("""COMPUTED_VALUE"""),2400.56)</f>
        <v/>
      </c>
    </row>
    <row r="12945">
      <c r="J12945">
        <f>IFERROR(__xludf.DUMMYFUNCTION("""COMPUTED_VALUE"""),"KINGSTON, ON &amp; OTTAWA, ON")</f>
        <v/>
      </c>
      <c r="K12945">
        <f>IFERROR(__xludf.DUMMYFUNCTION("""COMPUTED_VALUE"""),2400.46)</f>
        <v/>
      </c>
    </row>
    <row r="12946">
      <c r="J12946">
        <f>IFERROR(__xludf.DUMMYFUNCTION("""COMPUTED_VALUE"""),"Charlottetown, Prince Edward Island, Canada and Port Hawkesbury, Nova Scotia, Canada")</f>
        <v/>
      </c>
      <c r="K12946">
        <f>IFERROR(__xludf.DUMMYFUNCTION("""COMPUTED_VALUE"""),2398.27)</f>
        <v/>
      </c>
    </row>
    <row r="12947">
      <c r="J12947">
        <f>IFERROR(__xludf.DUMMYFUNCTION("""COMPUTED_VALUE"""),"Banff, Alberta / Edmonton, Alberta")</f>
        <v/>
      </c>
      <c r="K12947">
        <f>IFERROR(__xludf.DUMMYFUNCTION("""COMPUTED_VALUE"""),2398)</f>
        <v/>
      </c>
    </row>
    <row r="12948">
      <c r="J12948">
        <f>IFERROR(__xludf.DUMMYFUNCTION("""COMPUTED_VALUE"""),"Rouyn, Montreal, Victoriaville, Roberval, Quebec")</f>
        <v/>
      </c>
      <c r="K12948">
        <f>IFERROR(__xludf.DUMMYFUNCTION("""COMPUTED_VALUE"""),2397.41)</f>
        <v/>
      </c>
    </row>
    <row r="12949">
      <c r="J12949">
        <f>IFERROR(__xludf.DUMMYFUNCTION("""COMPUTED_VALUE"""),"Penticton, Victoria and Vancouver, BC and Edmonton, AB")</f>
        <v/>
      </c>
      <c r="K12949">
        <f>IFERROR(__xludf.DUMMYFUNCTION("""COMPUTED_VALUE"""),2397.37)</f>
        <v/>
      </c>
    </row>
    <row r="12950">
      <c r="J12950">
        <f>IFERROR(__xludf.DUMMYFUNCTION("""COMPUTED_VALUE"""),"Mississauga, ON; Hamilton, ON")</f>
        <v/>
      </c>
      <c r="K12950">
        <f>IFERROR(__xludf.DUMMYFUNCTION("""COMPUTED_VALUE"""),2397.21)</f>
        <v/>
      </c>
    </row>
    <row r="12951">
      <c r="J12951">
        <f>IFERROR(__xludf.DUMMYFUNCTION("""COMPUTED_VALUE"""),"Calgary, Alberta; Regina, Saskatchewan; Saskatoon, Saskatchewan")</f>
        <v/>
      </c>
      <c r="K12951">
        <f>IFERROR(__xludf.DUMMYFUNCTION("""COMPUTED_VALUE"""),2397.18)</f>
        <v/>
      </c>
    </row>
    <row r="12952">
      <c r="J12952">
        <f>IFERROR(__xludf.DUMMYFUNCTION("""COMPUTED_VALUE"""),"Surry, British Columbia, Canada")</f>
        <v/>
      </c>
      <c r="K12952">
        <f>IFERROR(__xludf.DUMMYFUNCTION("""COMPUTED_VALUE"""),2395.98)</f>
        <v/>
      </c>
    </row>
    <row r="12953">
      <c r="J12953">
        <f>IFERROR(__xludf.DUMMYFUNCTION("""COMPUTED_VALUE"""),"Lillooet, British Columbia, Canada")</f>
        <v/>
      </c>
      <c r="K12953">
        <f>IFERROR(__xludf.DUMMYFUNCTION("""COMPUTED_VALUE"""),2395.88)</f>
        <v/>
      </c>
    </row>
    <row r="12954">
      <c r="J12954">
        <f>IFERROR(__xludf.DUMMYFUNCTION("""COMPUTED_VALUE"""),"Vancouver, British Columbia, Canada - Calgary, Alberta,Canada")</f>
        <v/>
      </c>
      <c r="K12954">
        <f>IFERROR(__xludf.DUMMYFUNCTION("""COMPUTED_VALUE"""),2395.64)</f>
        <v/>
      </c>
    </row>
    <row r="12955">
      <c r="J12955">
        <f>IFERROR(__xludf.DUMMYFUNCTION("""COMPUTED_VALUE"""),"Sudbury, ON - Timmins, ON")</f>
        <v/>
      </c>
      <c r="K12955">
        <f>IFERROR(__xludf.DUMMYFUNCTION("""COMPUTED_VALUE"""),2395.12)</f>
        <v/>
      </c>
    </row>
    <row r="12956">
      <c r="J12956">
        <f>IFERROR(__xludf.DUMMYFUNCTION("""COMPUTED_VALUE"""),"Pickering, ON, Regina, SK")</f>
        <v/>
      </c>
      <c r="K12956">
        <f>IFERROR(__xludf.DUMMYFUNCTION("""COMPUTED_VALUE"""),2394.7)</f>
        <v/>
      </c>
    </row>
    <row r="12957">
      <c r="J12957">
        <f>IFERROR(__xludf.DUMMYFUNCTION("""COMPUTED_VALUE"""),"Toronto, ON / Hamilton, ON / London, ON / Sarnia, ON")</f>
        <v/>
      </c>
      <c r="K12957">
        <f>IFERROR(__xludf.DUMMYFUNCTION("""COMPUTED_VALUE"""),2393.77999999999)</f>
        <v/>
      </c>
    </row>
    <row r="12958">
      <c r="J12958">
        <f>IFERROR(__xludf.DUMMYFUNCTION("""COMPUTED_VALUE"""),"St. John's, NL / Halifax, NS")</f>
        <v/>
      </c>
      <c r="K12958">
        <f>IFERROR(__xludf.DUMMYFUNCTION("""COMPUTED_VALUE"""),2393.6)</f>
        <v/>
      </c>
    </row>
    <row r="12959">
      <c r="J12959">
        <f>IFERROR(__xludf.DUMMYFUNCTION("""COMPUTED_VALUE"""),"Toronto, Ontario, Canada                                                Peterborough, Ontario, Canada                       Smith Falls, Ontario, Canada")</f>
        <v/>
      </c>
      <c r="K12959">
        <f>IFERROR(__xludf.DUMMYFUNCTION("""COMPUTED_VALUE"""),2393.54)</f>
        <v/>
      </c>
    </row>
    <row r="12960">
      <c r="J12960">
        <f>IFERROR(__xludf.DUMMYFUNCTION("""COMPUTED_VALUE"""),"Moncton, New Brunswick, Halifax, Nova Scotia and St. John's, Newfoundland and Labrador")</f>
        <v/>
      </c>
      <c r="K12960">
        <f>IFERROR(__xludf.DUMMYFUNCTION("""COMPUTED_VALUE"""),2393.45)</f>
        <v/>
      </c>
    </row>
    <row r="12961">
      <c r="J12961">
        <f>IFERROR(__xludf.DUMMYFUNCTION("""COMPUTED_VALUE"""),"Montreal - St Johns/Halifax/Fredericton - Montreal")</f>
        <v/>
      </c>
      <c r="K12961">
        <f>IFERROR(__xludf.DUMMYFUNCTION("""COMPUTED_VALUE"""),2393.23)</f>
        <v/>
      </c>
    </row>
    <row r="12962">
      <c r="J12962">
        <f>IFERROR(__xludf.DUMMYFUNCTION("""COMPUTED_VALUE"""),"Calgary, Edmonton, AB and Vancouver, BC")</f>
        <v/>
      </c>
      <c r="K12962">
        <f>IFERROR(__xludf.DUMMYFUNCTION("""COMPUTED_VALUE"""),2393.22)</f>
        <v/>
      </c>
    </row>
    <row r="12963">
      <c r="J12963">
        <f>IFERROR(__xludf.DUMMYFUNCTION("""COMPUTED_VALUE"""),"Ottawa, Denver, Colorado Springs")</f>
        <v/>
      </c>
      <c r="K12963">
        <f>IFERROR(__xludf.DUMMYFUNCTION("""COMPUTED_VALUE"""),2392.98)</f>
        <v/>
      </c>
    </row>
    <row r="12964">
      <c r="J12964">
        <f>IFERROR(__xludf.DUMMYFUNCTION("""COMPUTED_VALUE"""),"Thunder Bay , Ontario, Canada")</f>
        <v/>
      </c>
      <c r="K12964">
        <f>IFERROR(__xludf.DUMMYFUNCTION("""COMPUTED_VALUE"""),2392.64)</f>
        <v/>
      </c>
    </row>
    <row r="12965">
      <c r="J12965">
        <f>IFERROR(__xludf.DUMMYFUNCTION("""COMPUTED_VALUE"""),"Charlottetown, Prince Edward Island, Canada; Morell, Prince Edward Island, Canada")</f>
        <v/>
      </c>
      <c r="K12965">
        <f>IFERROR(__xludf.DUMMYFUNCTION("""COMPUTED_VALUE"""),2392.2)</f>
        <v/>
      </c>
    </row>
    <row r="12966">
      <c r="J12966">
        <f>IFERROR(__xludf.DUMMYFUNCTION("""COMPUTED_VALUE"""),"Rocky Harbour,  Newfoundland and Labrador")</f>
        <v/>
      </c>
      <c r="K12966">
        <f>IFERROR(__xludf.DUMMYFUNCTION("""COMPUTED_VALUE"""),2392.2)</f>
        <v/>
      </c>
    </row>
    <row r="12967">
      <c r="J12967">
        <f>IFERROR(__xludf.DUMMYFUNCTION("""COMPUTED_VALUE"""),"Gimli, Manitoba and Kelowna, British Columbia")</f>
        <v/>
      </c>
      <c r="K12967">
        <f>IFERROR(__xludf.DUMMYFUNCTION("""COMPUTED_VALUE"""),2392.12)</f>
        <v/>
      </c>
    </row>
    <row r="12968">
      <c r="J12968">
        <f>IFERROR(__xludf.DUMMYFUNCTION("""COMPUTED_VALUE"""),"Toronto, Ontario / Edmonton, Alberta")</f>
        <v/>
      </c>
      <c r="K12968">
        <f>IFERROR(__xludf.DUMMYFUNCTION("""COMPUTED_VALUE"""),2391.94)</f>
        <v/>
      </c>
    </row>
    <row r="12969">
      <c r="J12969">
        <f>IFERROR(__xludf.DUMMYFUNCTION("""COMPUTED_VALUE"""),"Nova Scotia, Halifax, Canada")</f>
        <v/>
      </c>
      <c r="K12969">
        <f>IFERROR(__xludf.DUMMYFUNCTION("""COMPUTED_VALUE"""),2391.9)</f>
        <v/>
      </c>
    </row>
    <row r="12970">
      <c r="J12970">
        <f>IFERROR(__xludf.DUMMYFUNCTION("""COMPUTED_VALUE"""),"Halifax, Nova Scotia, Canada; Moncton, New Brunswick, Canada; Charlottetown, Prince Edward Island, Canada")</f>
        <v/>
      </c>
      <c r="K12970">
        <f>IFERROR(__xludf.DUMMYFUNCTION("""COMPUTED_VALUE"""),2391.71)</f>
        <v/>
      </c>
    </row>
    <row r="12971">
      <c r="J12971">
        <f>IFERROR(__xludf.DUMMYFUNCTION("""COMPUTED_VALUE"""),"Toronto, Ontario; Ottawa, Ontario")</f>
        <v/>
      </c>
      <c r="K12971">
        <f>IFERROR(__xludf.DUMMYFUNCTION("""COMPUTED_VALUE"""),2391.05)</f>
        <v/>
      </c>
    </row>
    <row r="12972">
      <c r="J12972">
        <f>IFERROR(__xludf.DUMMYFUNCTION("""COMPUTED_VALUE"""),"Penticton &amp; Kelowna, British Columbia")</f>
        <v/>
      </c>
      <c r="K12972">
        <f>IFERROR(__xludf.DUMMYFUNCTION("""COMPUTED_VALUE"""),2390.77)</f>
        <v/>
      </c>
    </row>
    <row r="12973">
      <c r="J12973">
        <f>IFERROR(__xludf.DUMMYFUNCTION("""COMPUTED_VALUE"""),"Cape Canaveral, Florida, USA")</f>
        <v/>
      </c>
      <c r="K12973">
        <f>IFERROR(__xludf.DUMMYFUNCTION("""COMPUTED_VALUE"""),2390.45)</f>
        <v/>
      </c>
    </row>
    <row r="12974">
      <c r="J12974">
        <f>IFERROR(__xludf.DUMMYFUNCTION("""COMPUTED_VALUE"""),"Winnipeg, Manitoba / Vancouver, Bristish Columbia")</f>
        <v/>
      </c>
      <c r="K12974">
        <f>IFERROR(__xludf.DUMMYFUNCTION("""COMPUTED_VALUE"""),2390.42)</f>
        <v/>
      </c>
    </row>
    <row r="12975">
      <c r="J12975">
        <f>IFERROR(__xludf.DUMMYFUNCTION("""COMPUTED_VALUE"""),"Calgary, Alberta, Canada; Yellowknife, Northwest Territories, Canada")</f>
        <v/>
      </c>
      <c r="K12975">
        <f>IFERROR(__xludf.DUMMYFUNCTION("""COMPUTED_VALUE"""),2390.32)</f>
        <v/>
      </c>
    </row>
    <row r="12976">
      <c r="J12976">
        <f>IFERROR(__xludf.DUMMYFUNCTION("""COMPUTED_VALUE"""),"New York, United States; Vancouver, British Columbia, Canada; Victoria, British Columbia, Canada; Edmonton, Alberta, Canada")</f>
        <v/>
      </c>
      <c r="K12976">
        <f>IFERROR(__xludf.DUMMYFUNCTION("""COMPUTED_VALUE"""),2389.94)</f>
        <v/>
      </c>
    </row>
    <row r="12977">
      <c r="J12977">
        <f>IFERROR(__xludf.DUMMYFUNCTION("""COMPUTED_VALUE"""),"Calgary, AB - Vancouver BC - Toronto, ON")</f>
        <v/>
      </c>
      <c r="K12977">
        <f>IFERROR(__xludf.DUMMYFUNCTION("""COMPUTED_VALUE"""),2389.74)</f>
        <v/>
      </c>
    </row>
    <row r="12978">
      <c r="J12978">
        <f>IFERROR(__xludf.DUMMYFUNCTION("""COMPUTED_VALUE"""),"Washington  (ICA Fund)")</f>
        <v/>
      </c>
      <c r="K12978">
        <f>IFERROR(__xludf.DUMMYFUNCTION("""COMPUTED_VALUE"""),2389.62)</f>
        <v/>
      </c>
    </row>
    <row r="12979">
      <c r="J12979">
        <f>IFERROR(__xludf.DUMMYFUNCTION("""COMPUTED_VALUE"""),"Calgary, Alberta and Vancouver, British Comlumbia, Canada")</f>
        <v/>
      </c>
      <c r="K12979">
        <f>IFERROR(__xludf.DUMMYFUNCTION("""COMPUTED_VALUE"""),2389.03)</f>
        <v/>
      </c>
    </row>
    <row r="12980">
      <c r="J12980">
        <f>IFERROR(__xludf.DUMMYFUNCTION("""COMPUTED_VALUE"""),"Toronto, Ontario and Niagara-on-the-Lake, Ontario")</f>
        <v/>
      </c>
      <c r="K12980">
        <f>IFERROR(__xludf.DUMMYFUNCTION("""COMPUTED_VALUE"""),2388.96)</f>
        <v/>
      </c>
    </row>
    <row r="12981">
      <c r="J12981">
        <f>IFERROR(__xludf.DUMMYFUNCTION("""COMPUTED_VALUE"""),"Saint Kitts and Nevis")</f>
        <v/>
      </c>
      <c r="K12981">
        <f>IFERROR(__xludf.DUMMYFUNCTION("""COMPUTED_VALUE"""),2388.72)</f>
        <v/>
      </c>
    </row>
    <row r="12982">
      <c r="J12982">
        <f>IFERROR(__xludf.DUMMYFUNCTION("""COMPUTED_VALUE"""),"Rivière-du-Loup, Quebec, Canada; Jonquière, Quebec, Canada")</f>
        <v/>
      </c>
      <c r="K12982">
        <f>IFERROR(__xludf.DUMMYFUNCTION("""COMPUTED_VALUE"""),2388.28)</f>
        <v/>
      </c>
    </row>
    <row r="12983">
      <c r="J12983">
        <f>IFERROR(__xludf.DUMMYFUNCTION("""COMPUTED_VALUE"""),"Montreal, Saint-Pierre, Tadoussac and Baie-Comeau, Quebec, Canada")</f>
        <v/>
      </c>
      <c r="K12983">
        <f>IFERROR(__xludf.DUMMYFUNCTION("""COMPUTED_VALUE"""),2388.14)</f>
        <v/>
      </c>
    </row>
    <row r="12984">
      <c r="J12984">
        <f>IFERROR(__xludf.DUMMYFUNCTION("""COMPUTED_VALUE"""),"Edmonton, Alberta, Canda")</f>
        <v/>
      </c>
      <c r="K12984">
        <f>IFERROR(__xludf.DUMMYFUNCTION("""COMPUTED_VALUE"""),2388.01)</f>
        <v/>
      </c>
    </row>
    <row r="12985">
      <c r="J12985">
        <f>IFERROR(__xludf.DUMMYFUNCTION("""COMPUTED_VALUE"""),"Toronto (Ontario) Canada; London (Ontario) Canada")</f>
        <v/>
      </c>
      <c r="K12985">
        <f>IFERROR(__xludf.DUMMYFUNCTION("""COMPUTED_VALUE"""),2387.93)</f>
        <v/>
      </c>
    </row>
    <row r="12986">
      <c r="J12986">
        <f>IFERROR(__xludf.DUMMYFUNCTION("""COMPUTED_VALUE"""),"Lethbridge (Alberta) Canada; Lacombe (Alberta) Canada")</f>
        <v/>
      </c>
      <c r="K12986">
        <f>IFERROR(__xludf.DUMMYFUNCTION("""COMPUTED_VALUE"""),2387.72)</f>
        <v/>
      </c>
    </row>
    <row r="12987">
      <c r="J12987">
        <f>IFERROR(__xludf.DUMMYFUNCTION("""COMPUTED_VALUE"""),"Ottawa, Ontario, Canada Québec, Québec, Canada")</f>
        <v/>
      </c>
      <c r="K12987">
        <f>IFERROR(__xludf.DUMMYFUNCTION("""COMPUTED_VALUE"""),2387.49)</f>
        <v/>
      </c>
    </row>
    <row r="12988">
      <c r="J12988">
        <f>IFERROR(__xludf.DUMMYFUNCTION("""COMPUTED_VALUE"""),"Vancouver BC, Winnipeg MB")</f>
        <v/>
      </c>
      <c r="K12988">
        <f>IFERROR(__xludf.DUMMYFUNCTION("""COMPUTED_VALUE"""),2387.44)</f>
        <v/>
      </c>
    </row>
    <row r="12989">
      <c r="J12989">
        <f>IFERROR(__xludf.DUMMYFUNCTION("""COMPUTED_VALUE"""),"Vancouver, British Columbia, Canada; Abbotsford, British Columbia, Canada; Lytton, British Columbia, Canada")</f>
        <v/>
      </c>
      <c r="K12989">
        <f>IFERROR(__xludf.DUMMYFUNCTION("""COMPUTED_VALUE"""),2387.09)</f>
        <v/>
      </c>
    </row>
    <row r="12990">
      <c r="J12990">
        <f>IFERROR(__xludf.DUMMYFUNCTION("""COMPUTED_VALUE"""),"Halifax/St-John/Toronto")</f>
        <v/>
      </c>
      <c r="K12990">
        <f>IFERROR(__xludf.DUMMYFUNCTION("""COMPUTED_VALUE"""),2386.81)</f>
        <v/>
      </c>
    </row>
    <row r="12991">
      <c r="J12991">
        <f>IFERROR(__xludf.DUMMYFUNCTION("""COMPUTED_VALUE"""),"Halifax, Nova Soctia, Canada")</f>
        <v/>
      </c>
      <c r="K12991">
        <f>IFERROR(__xludf.DUMMYFUNCTION("""COMPUTED_VALUE"""),2385.65)</f>
        <v/>
      </c>
    </row>
    <row r="12992">
      <c r="J12992">
        <f>IFERROR(__xludf.DUMMYFUNCTION("""COMPUTED_VALUE"""),"Synedy, Nova Scotia")</f>
        <v/>
      </c>
      <c r="K12992">
        <f>IFERROR(__xludf.DUMMYFUNCTION("""COMPUTED_VALUE"""),2385.58)</f>
        <v/>
      </c>
    </row>
    <row r="12993">
      <c r="J12993">
        <f>IFERROR(__xludf.DUMMYFUNCTION("""COMPUTED_VALUE"""),"Vaudreuil-Dorion, Quebec, Canada")</f>
        <v/>
      </c>
      <c r="K12993">
        <f>IFERROR(__xludf.DUMMYFUNCTION("""COMPUTED_VALUE"""),2385.3)</f>
        <v/>
      </c>
    </row>
    <row r="12994">
      <c r="J12994">
        <f>IFERROR(__xludf.DUMMYFUNCTION("""COMPUTED_VALUE"""),"Ottawa, Ontario and Edmonton, Alberta, Canada")</f>
        <v/>
      </c>
      <c r="K12994">
        <f>IFERROR(__xludf.DUMMYFUNCTION("""COMPUTED_VALUE"""),2385.18)</f>
        <v/>
      </c>
    </row>
    <row r="12995">
      <c r="J12995">
        <f>IFERROR(__xludf.DUMMYFUNCTION("""COMPUTED_VALUE"""),"Toronto, Ontario/ Sudbury, Ontario/ Halifax, Nova Scotia, Canada")</f>
        <v/>
      </c>
      <c r="K12995">
        <f>IFERROR(__xludf.DUMMYFUNCTION("""COMPUTED_VALUE"""),2385.15)</f>
        <v/>
      </c>
    </row>
    <row r="12996">
      <c r="J12996">
        <f>IFERROR(__xludf.DUMMYFUNCTION("""COMPUTED_VALUE"""),"Montreal/Sherbrooke")</f>
        <v/>
      </c>
      <c r="K12996">
        <f>IFERROR(__xludf.DUMMYFUNCTION("""COMPUTED_VALUE"""),2384.43)</f>
        <v/>
      </c>
    </row>
    <row r="12997">
      <c r="J12997">
        <f>IFERROR(__xludf.DUMMYFUNCTION("""COMPUTED_VALUE"""),"Edmonton, Alberta, Canada; Ottawa, Ontario, Canada; Toronto, Ontario, Canada")</f>
        <v/>
      </c>
      <c r="K12997">
        <f>IFERROR(__xludf.DUMMYFUNCTION("""COMPUTED_VALUE"""),2384.26)</f>
        <v/>
      </c>
    </row>
    <row r="12998">
      <c r="J12998">
        <f>IFERROR(__xludf.DUMMYFUNCTION("""COMPUTED_VALUE"""),"Timmins / Moosenee, (Ontario)")</f>
        <v/>
      </c>
      <c r="K12998">
        <f>IFERROR(__xludf.DUMMYFUNCTION("""COMPUTED_VALUE"""),2383.9)</f>
        <v/>
      </c>
    </row>
    <row r="12999">
      <c r="J12999">
        <f>IFERROR(__xludf.DUMMYFUNCTION("""COMPUTED_VALUE"""),"Prince George and Vancouver, British Columbia, Canada")</f>
        <v/>
      </c>
      <c r="K12999">
        <f>IFERROR(__xludf.DUMMYFUNCTION("""COMPUTED_VALUE"""),2383.57)</f>
        <v/>
      </c>
    </row>
    <row r="13000">
      <c r="J13000">
        <f>IFERROR(__xludf.DUMMYFUNCTION("""COMPUTED_VALUE"""),"Halifax, Nova Scotia, Canada and St-John's, Newfoundland and Labrador, Canada")</f>
        <v/>
      </c>
      <c r="K13000">
        <f>IFERROR(__xludf.DUMMYFUNCTION("""COMPUTED_VALUE"""),2383.2)</f>
        <v/>
      </c>
    </row>
    <row r="13001">
      <c r="J13001">
        <f>IFERROR(__xludf.DUMMYFUNCTION("""COMPUTED_VALUE"""),"Grand Falls, Newfoundland and Labrador, Canada; St. Anthony, Newfoundland and Labrador, Canada; Deer Lake, Newfoundland and Labrador, Canada; Corner Brook, Newfoundland and Labrador, Canada")</f>
        <v/>
      </c>
      <c r="K13001">
        <f>IFERROR(__xludf.DUMMYFUNCTION("""COMPUTED_VALUE"""),2382.58)</f>
        <v/>
      </c>
    </row>
    <row r="13002">
      <c r="J13002">
        <f>IFERROR(__xludf.DUMMYFUNCTION("""COMPUTED_VALUE"""),"Guelph, Kitchener, Waterloo,Ontario, Canada")</f>
        <v/>
      </c>
      <c r="K13002">
        <f>IFERROR(__xludf.DUMMYFUNCTION("""COMPUTED_VALUE"""),2381.68)</f>
        <v/>
      </c>
    </row>
    <row r="13003">
      <c r="J13003">
        <f>IFERROR(__xludf.DUMMYFUNCTION("""COMPUTED_VALUE"""),"New York, NY, United States Of America")</f>
        <v/>
      </c>
      <c r="K13003">
        <f>IFERROR(__xludf.DUMMYFUNCTION("""COMPUTED_VALUE"""),2381.58)</f>
        <v/>
      </c>
    </row>
    <row r="13004">
      <c r="J13004">
        <f>IFERROR(__xludf.DUMMYFUNCTION("""COMPUTED_VALUE"""),"Vancouver, BC Whistler, BC Merritt, BC Richmond, BC")</f>
        <v/>
      </c>
      <c r="K13004">
        <f>IFERROR(__xludf.DUMMYFUNCTION("""COMPUTED_VALUE"""),2381.46)</f>
        <v/>
      </c>
    </row>
    <row r="13005">
      <c r="J13005">
        <f>IFERROR(__xludf.DUMMYFUNCTION("""COMPUTED_VALUE"""),"Chicago, IL, U.S.A.")</f>
        <v/>
      </c>
      <c r="K13005">
        <f>IFERROR(__xludf.DUMMYFUNCTION("""COMPUTED_VALUE"""),2381.4)</f>
        <v/>
      </c>
    </row>
    <row r="13006">
      <c r="J13006">
        <f>IFERROR(__xludf.DUMMYFUNCTION("""COMPUTED_VALUE"""),"Boucherville and Montreal, QC, and Ottawa, ON")</f>
        <v/>
      </c>
      <c r="K13006">
        <f>IFERROR(__xludf.DUMMYFUNCTION("""COMPUTED_VALUE"""),2380.97)</f>
        <v/>
      </c>
    </row>
    <row r="13007">
      <c r="J13007">
        <f>IFERROR(__xludf.DUMMYFUNCTION("""COMPUTED_VALUE"""),"Gaspé and Magdalen Islands, Quebec, Canada")</f>
        <v/>
      </c>
      <c r="K13007">
        <f>IFERROR(__xludf.DUMMYFUNCTION("""COMPUTED_VALUE"""),2380.89)</f>
        <v/>
      </c>
    </row>
    <row r="13008">
      <c r="J13008">
        <f>IFERROR(__xludf.DUMMYFUNCTION("""COMPUTED_VALUE"""),"Toronto, Edmonton, Calgary")</f>
        <v/>
      </c>
      <c r="K13008">
        <f>IFERROR(__xludf.DUMMYFUNCTION("""COMPUTED_VALUE"""),2380.84)</f>
        <v/>
      </c>
    </row>
    <row r="13009">
      <c r="J13009">
        <f>IFERROR(__xludf.DUMMYFUNCTION("""COMPUTED_VALUE"""),"London, Ontario, Canada; Kitchener, Ontario, Canada; Milton, Ontario, Canada; Toronto, Ontario, Canada; Belleville, Ontario, Canada; Napanee, Ontario, Canada; Kingston, Ontario, Canada")</f>
        <v/>
      </c>
      <c r="K13009">
        <f>IFERROR(__xludf.DUMMYFUNCTION("""COMPUTED_VALUE"""),2380.75)</f>
        <v/>
      </c>
    </row>
    <row r="13010">
      <c r="J13010">
        <f>IFERROR(__xludf.DUMMYFUNCTION("""COMPUTED_VALUE"""),"Washington, District of Columbia, Montreal, Quebec")</f>
        <v/>
      </c>
      <c r="K13010">
        <f>IFERROR(__xludf.DUMMYFUNCTION("""COMPUTED_VALUE"""),2380.54)</f>
        <v/>
      </c>
    </row>
    <row r="13011">
      <c r="J13011">
        <f>IFERROR(__xludf.DUMMYFUNCTION("""COMPUTED_VALUE"""),"Ottawa, Vermont and New Hampshire")</f>
        <v/>
      </c>
      <c r="K13011">
        <f>IFERROR(__xludf.DUMMYFUNCTION("""COMPUTED_VALUE"""),2379.94)</f>
        <v/>
      </c>
    </row>
    <row r="13012">
      <c r="J13012">
        <f>IFERROR(__xludf.DUMMYFUNCTION("""COMPUTED_VALUE"""),"Mont St-Sauveur, Quebec, Canada")</f>
        <v/>
      </c>
      <c r="K13012">
        <f>IFERROR(__xludf.DUMMYFUNCTION("""COMPUTED_VALUE"""),2379.82)</f>
        <v/>
      </c>
    </row>
    <row r="13013">
      <c r="J13013">
        <f>IFERROR(__xludf.DUMMYFUNCTION("""COMPUTED_VALUE"""),"Rimouski, Quebec, Canada; Rivière-du-Loup, Quebec, Canada")</f>
        <v/>
      </c>
      <c r="K13013">
        <f>IFERROR(__xludf.DUMMYFUNCTION("""COMPUTED_VALUE"""),2379.52)</f>
        <v/>
      </c>
    </row>
    <row r="13014">
      <c r="J13014">
        <f>IFERROR(__xludf.DUMMYFUNCTION("""COMPUTED_VALUE"""),"Montréal, Quebec, Canada; Québec, Quebec, Canada; Gaspé, Quebec, Canada")</f>
        <v/>
      </c>
      <c r="K13014">
        <f>IFERROR(__xludf.DUMMYFUNCTION("""COMPUTED_VALUE"""),2379)</f>
        <v/>
      </c>
    </row>
    <row r="13015">
      <c r="J13015">
        <f>IFERROR(__xludf.DUMMYFUNCTION("""COMPUTED_VALUE"""),"REGINA, MOOSE JAW &amp; SASKATOON, SK")</f>
        <v/>
      </c>
      <c r="K13015">
        <f>IFERROR(__xludf.DUMMYFUNCTION("""COMPUTED_VALUE"""),2378.45)</f>
        <v/>
      </c>
    </row>
    <row r="13016">
      <c r="J13016">
        <f>IFERROR(__xludf.DUMMYFUNCTION("""COMPUTED_VALUE"""),"Quebec, PQ Canada")</f>
        <v/>
      </c>
      <c r="K13016">
        <f>IFERROR(__xludf.DUMMYFUNCTION("""COMPUTED_VALUE"""),2378.37)</f>
        <v/>
      </c>
    </row>
    <row r="13017">
      <c r="J13017">
        <f>IFERROR(__xludf.DUMMYFUNCTION("""COMPUTED_VALUE"""),"Saskatoon, Sakatchewan, Canada")</f>
        <v/>
      </c>
      <c r="K13017">
        <f>IFERROR(__xludf.DUMMYFUNCTION("""COMPUTED_VALUE"""),2378.25)</f>
        <v/>
      </c>
    </row>
    <row r="13018">
      <c r="J13018">
        <f>IFERROR(__xludf.DUMMYFUNCTION("""COMPUTED_VALUE"""),"Vancouver &amp; Regina")</f>
        <v/>
      </c>
      <c r="K13018">
        <f>IFERROR(__xludf.DUMMYFUNCTION("""COMPUTED_VALUE"""),2378.06)</f>
        <v/>
      </c>
    </row>
    <row r="13019">
      <c r="J13019">
        <f>IFERROR(__xludf.DUMMYFUNCTION("""COMPUTED_VALUE"""),"Timmins, ON")</f>
        <v/>
      </c>
      <c r="K13019">
        <f>IFERROR(__xludf.DUMMYFUNCTION("""COMPUTED_VALUE"""),2377.69)</f>
        <v/>
      </c>
    </row>
    <row r="13020">
      <c r="J13020">
        <f>IFERROR(__xludf.DUMMYFUNCTION("""COMPUTED_VALUE"""),"Cobourg, Ontario, Canada; New York, United States")</f>
        <v/>
      </c>
      <c r="K13020">
        <f>IFERROR(__xludf.DUMMYFUNCTION("""COMPUTED_VALUE"""),2377.54)</f>
        <v/>
      </c>
    </row>
    <row r="13021">
      <c r="J13021">
        <f>IFERROR(__xludf.DUMMYFUNCTION("""COMPUTED_VALUE"""),"Saskatoon, Saskatchewan / Regina, Saskatchewan / Winnipeg, Manitoba, Canada")</f>
        <v/>
      </c>
      <c r="K13021">
        <f>IFERROR(__xludf.DUMMYFUNCTION("""COMPUTED_VALUE"""),2377.3)</f>
        <v/>
      </c>
    </row>
    <row r="13022">
      <c r="J13022">
        <f>IFERROR(__xludf.DUMMYFUNCTION("""COMPUTED_VALUE"""),"New York, United States; Peterborough, Ontario, Canada; Toronto, Ontario, Canada")</f>
        <v/>
      </c>
      <c r="K13022">
        <f>IFERROR(__xludf.DUMMYFUNCTION("""COMPUTED_VALUE"""),2376.89999999999)</f>
        <v/>
      </c>
    </row>
    <row r="13023">
      <c r="J13023">
        <f>IFERROR(__xludf.DUMMYFUNCTION("""COMPUTED_VALUE"""),"North Bay, ON / Toronto, ON")</f>
        <v/>
      </c>
      <c r="K13023">
        <f>IFERROR(__xludf.DUMMYFUNCTION("""COMPUTED_VALUE"""),2376.88)</f>
        <v/>
      </c>
    </row>
    <row r="13024">
      <c r="J13024">
        <f>IFERROR(__xludf.DUMMYFUNCTION("""COMPUTED_VALUE"""),"Winnipeg, Manitoba /
Toronto, Ontario")</f>
        <v/>
      </c>
      <c r="K13024">
        <f>IFERROR(__xludf.DUMMYFUNCTION("""COMPUTED_VALUE"""),2376.86)</f>
        <v/>
      </c>
    </row>
    <row r="13025">
      <c r="J13025">
        <f>IFERROR(__xludf.DUMMYFUNCTION("""COMPUTED_VALUE"""),"Saskatoon, SK and Banff, AB")</f>
        <v/>
      </c>
      <c r="K13025">
        <f>IFERROR(__xludf.DUMMYFUNCTION("""COMPUTED_VALUE"""),2376.55)</f>
        <v/>
      </c>
    </row>
    <row r="13026">
      <c r="J13026">
        <f>IFERROR(__xludf.DUMMYFUNCTION("""COMPUTED_VALUE"""),"Victoria, Vancouver, Surrey, BC")</f>
        <v/>
      </c>
      <c r="K13026">
        <f>IFERROR(__xludf.DUMMYFUNCTION("""COMPUTED_VALUE"""),2376.55)</f>
        <v/>
      </c>
    </row>
    <row r="13027">
      <c r="J13027">
        <f>IFERROR(__xludf.DUMMYFUNCTION("""COMPUTED_VALUE"""),"Regina, Saskatchewan, Winnipeg , Manitoba")</f>
        <v/>
      </c>
      <c r="K13027">
        <f>IFERROR(__xludf.DUMMYFUNCTION("""COMPUTED_VALUE"""),2376.5)</f>
        <v/>
      </c>
    </row>
    <row r="13028">
      <c r="J13028">
        <f>IFERROR(__xludf.DUMMYFUNCTION("""COMPUTED_VALUE"""),"Toronto,Ottawa, ON")</f>
        <v/>
      </c>
      <c r="K13028">
        <f>IFERROR(__xludf.DUMMYFUNCTION("""COMPUTED_VALUE"""),2376.42)</f>
        <v/>
      </c>
    </row>
    <row r="13029">
      <c r="J13029">
        <f>IFERROR(__xludf.DUMMYFUNCTION("""COMPUTED_VALUE"""),"Winnipeg, MB; Thompson, MB; Calgary, AB")</f>
        <v/>
      </c>
      <c r="K13029">
        <f>IFERROR(__xludf.DUMMYFUNCTION("""COMPUTED_VALUE"""),2375.41)</f>
        <v/>
      </c>
    </row>
    <row r="13030">
      <c r="J13030">
        <f>IFERROR(__xludf.DUMMYFUNCTION("""COMPUTED_VALUE"""),"Northwood, United Kingdom")</f>
        <v/>
      </c>
      <c r="K13030">
        <f>IFERROR(__xludf.DUMMYFUNCTION("""COMPUTED_VALUE"""),2375.38)</f>
        <v/>
      </c>
    </row>
    <row r="13031">
      <c r="J13031">
        <f>IFERROR(__xludf.DUMMYFUNCTION("""COMPUTED_VALUE"""),"Winnipeg, Manitoba (Canada) Vancouver, British Columbia (Canada)")</f>
        <v/>
      </c>
      <c r="K13031">
        <f>IFERROR(__xludf.DUMMYFUNCTION("""COMPUTED_VALUE"""),2375.06)</f>
        <v/>
      </c>
    </row>
    <row r="13032">
      <c r="J13032">
        <f>IFERROR(__xludf.DUMMYFUNCTION("""COMPUTED_VALUE"""),"Toronto, ON / Victoria, BC")</f>
        <v/>
      </c>
      <c r="K13032">
        <f>IFERROR(__xludf.DUMMYFUNCTION("""COMPUTED_VALUE"""),2374.75)</f>
        <v/>
      </c>
    </row>
    <row r="13033">
      <c r="J13033">
        <f>IFERROR(__xludf.DUMMYFUNCTION("""COMPUTED_VALUE"""),"Edmonton AB - Devon, AB")</f>
        <v/>
      </c>
      <c r="K13033">
        <f>IFERROR(__xludf.DUMMYFUNCTION("""COMPUTED_VALUE"""),2374.32)</f>
        <v/>
      </c>
    </row>
    <row r="13034">
      <c r="J13034">
        <f>IFERROR(__xludf.DUMMYFUNCTION("""COMPUTED_VALUE"""),"Gander, Newfoundland and Labrador")</f>
        <v/>
      </c>
      <c r="K13034">
        <f>IFERROR(__xludf.DUMMYFUNCTION("""COMPUTED_VALUE"""),2372.74)</f>
        <v/>
      </c>
    </row>
    <row r="13035">
      <c r="J13035">
        <f>IFERROR(__xludf.DUMMYFUNCTION("""COMPUTED_VALUE"""),"Sudbury, Ontario, Canada; Timmins, Ontario, Canada")</f>
        <v/>
      </c>
      <c r="K13035">
        <f>IFERROR(__xludf.DUMMYFUNCTION("""COMPUTED_VALUE"""),2372.54)</f>
        <v/>
      </c>
    </row>
    <row r="13036">
      <c r="J13036">
        <f>IFERROR(__xludf.DUMMYFUNCTION("""COMPUTED_VALUE"""),"Cuba")</f>
        <v/>
      </c>
      <c r="K13036">
        <f>IFERROR(__xludf.DUMMYFUNCTION("""COMPUTED_VALUE"""),2372.06)</f>
        <v/>
      </c>
    </row>
    <row r="13037">
      <c r="J13037">
        <f>IFERROR(__xludf.DUMMYFUNCTION("""COMPUTED_VALUE"""),"St. John's  - Charlottetown - St. John - Ottawa")</f>
        <v/>
      </c>
      <c r="K13037">
        <f>IFERROR(__xludf.DUMMYFUNCTION("""COMPUTED_VALUE"""),2371.59)</f>
        <v/>
      </c>
    </row>
    <row r="13038">
      <c r="J13038">
        <f>IFERROR(__xludf.DUMMYFUNCTION("""COMPUTED_VALUE"""),"Halifax, Nova Scotia and Charlottetown, Prince Edward Island and Moncton, New Brunswick")</f>
        <v/>
      </c>
      <c r="K13038">
        <f>IFERROR(__xludf.DUMMYFUNCTION("""COMPUTED_VALUE"""),2370.22)</f>
        <v/>
      </c>
    </row>
    <row r="13039">
      <c r="J13039">
        <f>IFERROR(__xludf.DUMMYFUNCTION("""COMPUTED_VALUE"""),"Halifax, NS/Rome, NY")</f>
        <v/>
      </c>
      <c r="K13039">
        <f>IFERROR(__xludf.DUMMYFUNCTION("""COMPUTED_VALUE"""),2370.1)</f>
        <v/>
      </c>
    </row>
    <row r="13040">
      <c r="J13040">
        <f>IFERROR(__xludf.DUMMYFUNCTION("""COMPUTED_VALUE"""),"Brampton, Hamilton and Milton, Ontario")</f>
        <v/>
      </c>
      <c r="K13040">
        <f>IFERROR(__xludf.DUMMYFUNCTION("""COMPUTED_VALUE"""),2370.08)</f>
        <v/>
      </c>
    </row>
    <row r="13041">
      <c r="J13041">
        <f>IFERROR(__xludf.DUMMYFUNCTION("""COMPUTED_VALUE"""),"Kitchener, ON / Toronto, ON / Ottawa, ON")</f>
        <v/>
      </c>
      <c r="K13041">
        <f>IFERROR(__xludf.DUMMYFUNCTION("""COMPUTED_VALUE"""),2369.76)</f>
        <v/>
      </c>
    </row>
    <row r="13042">
      <c r="J13042">
        <f>IFERROR(__xludf.DUMMYFUNCTION("""COMPUTED_VALUE"""),"CFB Edmonton, CFB Cold Lake")</f>
        <v/>
      </c>
      <c r="K13042">
        <f>IFERROR(__xludf.DUMMYFUNCTION("""COMPUTED_VALUE"""),2368.93)</f>
        <v/>
      </c>
    </row>
    <row r="13043">
      <c r="J13043">
        <f>IFERROR(__xludf.DUMMYFUNCTION("""COMPUTED_VALUE"""),"Vancouver, BC.  Calgary, AB")</f>
        <v/>
      </c>
      <c r="K13043">
        <f>IFERROR(__xludf.DUMMYFUNCTION("""COMPUTED_VALUE"""),2368.69)</f>
        <v/>
      </c>
    </row>
    <row r="13044">
      <c r="J13044">
        <f>IFERROR(__xludf.DUMMYFUNCTION("""COMPUTED_VALUE"""),"Vancouver, British Columbia /Saskatoon, Saskatchewan")</f>
        <v/>
      </c>
      <c r="K13044">
        <f>IFERROR(__xludf.DUMMYFUNCTION("""COMPUTED_VALUE"""),2368.52)</f>
        <v/>
      </c>
    </row>
    <row r="13045">
      <c r="J13045">
        <f>IFERROR(__xludf.DUMMYFUNCTION("""COMPUTED_VALUE"""),"Waterloo, Hamilton and Niagara, Ontario and Montreal Quebec, Canada")</f>
        <v/>
      </c>
      <c r="K13045">
        <f>IFERROR(__xludf.DUMMYFUNCTION("""COMPUTED_VALUE"""),2368.32)</f>
        <v/>
      </c>
    </row>
    <row r="13046">
      <c r="J13046">
        <f>IFERROR(__xludf.DUMMYFUNCTION("""COMPUTED_VALUE"""),"Tadoussac, Québec")</f>
        <v/>
      </c>
      <c r="K13046">
        <f>IFERROR(__xludf.DUMMYFUNCTION("""COMPUTED_VALUE"""),2367.52)</f>
        <v/>
      </c>
    </row>
    <row r="13047">
      <c r="J13047">
        <f>IFERROR(__xludf.DUMMYFUNCTION("""COMPUTED_VALUE"""),"Shenyang &amp;  Dandong, PRC")</f>
        <v/>
      </c>
      <c r="K13047">
        <f>IFERROR(__xludf.DUMMYFUNCTION("""COMPUTED_VALUE"""),2367.4)</f>
        <v/>
      </c>
    </row>
    <row r="13048">
      <c r="J13048">
        <f>IFERROR(__xludf.DUMMYFUNCTION("""COMPUTED_VALUE"""),"Seattle, United States / Vancouver, British Columbia, Canada")</f>
        <v/>
      </c>
      <c r="K13048">
        <f>IFERROR(__xludf.DUMMYFUNCTION("""COMPUTED_VALUE"""),2367.28)</f>
        <v/>
      </c>
    </row>
    <row r="13049">
      <c r="J13049">
        <f>IFERROR(__xludf.DUMMYFUNCTION("""COMPUTED_VALUE"""),"Cambridge, USA")</f>
        <v/>
      </c>
      <c r="K13049">
        <f>IFERROR(__xludf.DUMMYFUNCTION("""COMPUTED_VALUE"""),2367.16)</f>
        <v/>
      </c>
    </row>
    <row r="13050">
      <c r="J13050">
        <f>IFERROR(__xludf.DUMMYFUNCTION("""COMPUTED_VALUE"""),"Ottawa, Ontario and Alexandria, Virginia")</f>
        <v/>
      </c>
      <c r="K13050">
        <f>IFERROR(__xludf.DUMMYFUNCTION("""COMPUTED_VALUE"""),2366.98)</f>
        <v/>
      </c>
    </row>
    <row r="13051">
      <c r="J13051">
        <f>IFERROR(__xludf.DUMMYFUNCTION("""COMPUTED_VALUE"""),"Nanaimo, CB")</f>
        <v/>
      </c>
      <c r="K13051">
        <f>IFERROR(__xludf.DUMMYFUNCTION("""COMPUTED_VALUE"""),2366.24)</f>
        <v/>
      </c>
    </row>
    <row r="13052">
      <c r="J13052">
        <f>IFERROR(__xludf.DUMMYFUNCTION("""COMPUTED_VALUE"""),"Saskatoon, SK; Calgary, AB; Edmonton, AB")</f>
        <v/>
      </c>
      <c r="K13052">
        <f>IFERROR(__xludf.DUMMYFUNCTION("""COMPUTED_VALUE"""),2365.5)</f>
        <v/>
      </c>
    </row>
    <row r="13053">
      <c r="J13053">
        <f>IFERROR(__xludf.DUMMYFUNCTION("""COMPUTED_VALUE"""),"Windsor, ON, CAN")</f>
        <v/>
      </c>
      <c r="K13053">
        <f>IFERROR(__xludf.DUMMYFUNCTION("""COMPUTED_VALUE"""),2365.44)</f>
        <v/>
      </c>
    </row>
    <row r="13054">
      <c r="J13054">
        <f>IFERROR(__xludf.DUMMYFUNCTION("""COMPUTED_VALUE"""),"Toronto, Ontario, Canada; Sault Ste. Marie, Ontario")</f>
        <v/>
      </c>
      <c r="K13054">
        <f>IFERROR(__xludf.DUMMYFUNCTION("""COMPUTED_VALUE"""),2365.36)</f>
        <v/>
      </c>
    </row>
    <row r="13055">
      <c r="J13055">
        <f>IFERROR(__xludf.DUMMYFUNCTION("""COMPUTED_VALUE"""),"Victoria/Vancouver, British Columbia, Canada")</f>
        <v/>
      </c>
      <c r="K13055">
        <f>IFERROR(__xludf.DUMMYFUNCTION("""COMPUTED_VALUE"""),2365.35)</f>
        <v/>
      </c>
    </row>
    <row r="13056">
      <c r="J13056">
        <f>IFERROR(__xludf.DUMMYFUNCTION("""COMPUTED_VALUE"""),"Saskatoon / Regina, Saskatchewan, Canada")</f>
        <v/>
      </c>
      <c r="K13056">
        <f>IFERROR(__xludf.DUMMYFUNCTION("""COMPUTED_VALUE"""),2364.85)</f>
        <v/>
      </c>
    </row>
    <row r="13057">
      <c r="J13057">
        <f>IFERROR(__xludf.DUMMYFUNCTION("""COMPUTED_VALUE"""),"Cancun and Mexico City, Mexico")</f>
        <v/>
      </c>
      <c r="K13057">
        <f>IFERROR(__xludf.DUMMYFUNCTION("""COMPUTED_VALUE"""),2364.69)</f>
        <v/>
      </c>
    </row>
    <row r="13058">
      <c r="J13058">
        <f>IFERROR(__xludf.DUMMYFUNCTION("""COMPUTED_VALUE"""),"Guelph, ON / Kitchener, ON /")</f>
        <v/>
      </c>
      <c r="K13058">
        <f>IFERROR(__xludf.DUMMYFUNCTION("""COMPUTED_VALUE"""),2364.55)</f>
        <v/>
      </c>
    </row>
    <row r="13059">
      <c r="J13059">
        <f>IFERROR(__xludf.DUMMYFUNCTION("""COMPUTED_VALUE"""),"Quebec-Montreal-Ottawa")</f>
        <v/>
      </c>
      <c r="K13059">
        <f>IFERROR(__xludf.DUMMYFUNCTION("""COMPUTED_VALUE"""),2364.42)</f>
        <v/>
      </c>
    </row>
    <row r="13060">
      <c r="J13060">
        <f>IFERROR(__xludf.DUMMYFUNCTION("""COMPUTED_VALUE"""),"Whistler, Vancouver")</f>
        <v/>
      </c>
      <c r="K13060">
        <f>IFERROR(__xludf.DUMMYFUNCTION("""COMPUTED_VALUE"""),2363.88)</f>
        <v/>
      </c>
    </row>
    <row r="13061">
      <c r="J13061">
        <f>IFERROR(__xludf.DUMMYFUNCTION("""COMPUTED_VALUE"""),"Ontario, Toronto, Canada")</f>
        <v/>
      </c>
      <c r="K13061">
        <f>IFERROR(__xludf.DUMMYFUNCTION("""COMPUTED_VALUE"""),2363.76)</f>
        <v/>
      </c>
    </row>
    <row r="13062">
      <c r="J13062">
        <f>IFERROR(__xludf.DUMMYFUNCTION("""COMPUTED_VALUE"""),"Moncton and Fredericton, NB")</f>
        <v/>
      </c>
      <c r="K13062">
        <f>IFERROR(__xludf.DUMMYFUNCTION("""COMPUTED_VALUE"""),2363.4)</f>
        <v/>
      </c>
    </row>
    <row r="13063">
      <c r="J13063">
        <f>IFERROR(__xludf.DUMMYFUNCTION("""COMPUTED_VALUE"""),"Winnipeg, Manitoba, Canada &amp; Ottawa, Ontario, Canada")</f>
        <v/>
      </c>
      <c r="K13063">
        <f>IFERROR(__xludf.DUMMYFUNCTION("""COMPUTED_VALUE"""),2362.95)</f>
        <v/>
      </c>
    </row>
    <row r="13064">
      <c r="J13064">
        <f>IFERROR(__xludf.DUMMYFUNCTION("""COMPUTED_VALUE"""),"NANAIMO, BC - COMOX, BC")</f>
        <v/>
      </c>
      <c r="K13064">
        <f>IFERROR(__xludf.DUMMYFUNCTION("""COMPUTED_VALUE"""),2361.96)</f>
        <v/>
      </c>
    </row>
    <row r="13065">
      <c r="J13065">
        <f>IFERROR(__xludf.DUMMYFUNCTION("""COMPUTED_VALUE"""),"Kelowna, British-Columbia")</f>
        <v/>
      </c>
      <c r="K13065">
        <f>IFERROR(__xludf.DUMMYFUNCTION("""COMPUTED_VALUE"""),2361.73)</f>
        <v/>
      </c>
    </row>
    <row r="13066">
      <c r="J13066">
        <f>IFERROR(__xludf.DUMMYFUNCTION("""COMPUTED_VALUE"""),"Toronto, Ontario, Canada; Port Elgin, Ontario, Canada; Goderich, Ontario, Canada")</f>
        <v/>
      </c>
      <c r="K13066">
        <f>IFERROR(__xludf.DUMMYFUNCTION("""COMPUTED_VALUE"""),2361.38)</f>
        <v/>
      </c>
    </row>
    <row r="13067">
      <c r="J13067">
        <f>IFERROR(__xludf.DUMMYFUNCTION("""COMPUTED_VALUE"""),"Halifax, Nova Scotia / Regina, Saskatchewan / Toronto, Ontario Canada")</f>
        <v/>
      </c>
      <c r="K13067">
        <f>IFERROR(__xludf.DUMMYFUNCTION("""COMPUTED_VALUE"""),2361.18)</f>
        <v/>
      </c>
    </row>
    <row r="13068">
      <c r="J13068">
        <f>IFERROR(__xludf.DUMMYFUNCTION("""COMPUTED_VALUE"""),"Toronto, ON; Edmonton &amp; Calgary, AB")</f>
        <v/>
      </c>
      <c r="K13068">
        <f>IFERROR(__xludf.DUMMYFUNCTION("""COMPUTED_VALUE"""),2361.1)</f>
        <v/>
      </c>
    </row>
    <row r="13069">
      <c r="J13069">
        <f>IFERROR(__xludf.DUMMYFUNCTION("""COMPUTED_VALUE"""),"Ottawa-Edmonton-Vancouver-Ottawa")</f>
        <v/>
      </c>
      <c r="K13069">
        <f>IFERROR(__xludf.DUMMYFUNCTION("""COMPUTED_VALUE"""),2361.05)</f>
        <v/>
      </c>
    </row>
    <row r="13070">
      <c r="J13070">
        <f>IFERROR(__xludf.DUMMYFUNCTION("""COMPUTED_VALUE"""),"Edmonton, AB, Toronto and London, ON")</f>
        <v/>
      </c>
      <c r="K13070">
        <f>IFERROR(__xludf.DUMMYFUNCTION("""COMPUTED_VALUE"""),2360.67)</f>
        <v/>
      </c>
    </row>
    <row r="13071">
      <c r="J13071">
        <f>IFERROR(__xludf.DUMMYFUNCTION("""COMPUTED_VALUE"""),"Windsor, ON and Montreal, QC")</f>
        <v/>
      </c>
      <c r="K13071">
        <f>IFERROR(__xludf.DUMMYFUNCTION("""COMPUTED_VALUE"""),2360.19)</f>
        <v/>
      </c>
    </row>
    <row r="13072">
      <c r="J13072">
        <f>IFERROR(__xludf.DUMMYFUNCTION("""COMPUTED_VALUE"""),"Edmonton, AB - Regina, SK")</f>
        <v/>
      </c>
      <c r="K13072">
        <f>IFERROR(__xludf.DUMMYFUNCTION("""COMPUTED_VALUE"""),2359.74)</f>
        <v/>
      </c>
    </row>
    <row r="13073">
      <c r="J13073">
        <f>IFERROR(__xludf.DUMMYFUNCTION("""COMPUTED_VALUE"""),"Miramichi, Shediac, Moncton, New Brunswick, Canada")</f>
        <v/>
      </c>
      <c r="K13073">
        <f>IFERROR(__xludf.DUMMYFUNCTION("""COMPUTED_VALUE"""),2359.65)</f>
        <v/>
      </c>
    </row>
    <row r="13074">
      <c r="J13074">
        <f>IFERROR(__xludf.DUMMYFUNCTION("""COMPUTED_VALUE"""),"Denver, Unites States")</f>
        <v/>
      </c>
      <c r="K13074">
        <f>IFERROR(__xludf.DUMMYFUNCTION("""COMPUTED_VALUE"""),2359.6)</f>
        <v/>
      </c>
    </row>
    <row r="13075">
      <c r="J13075">
        <f>IFERROR(__xludf.DUMMYFUNCTION("""COMPUTED_VALUE"""),"Miramichi, New Brunswick, Canada; Halifax, Nova Scotia, Canada; Bedford, Nova Scotia, Canada")</f>
        <v/>
      </c>
      <c r="K13075">
        <f>IFERROR(__xludf.DUMMYFUNCTION("""COMPUTED_VALUE"""),2359.32)</f>
        <v/>
      </c>
    </row>
    <row r="13076">
      <c r="J13076">
        <f>IFERROR(__xludf.DUMMYFUNCTION("""COMPUTED_VALUE"""),"Kingston, On")</f>
        <v/>
      </c>
      <c r="K13076">
        <f>IFERROR(__xludf.DUMMYFUNCTION("""COMPUTED_VALUE"""),2358.82)</f>
        <v/>
      </c>
    </row>
    <row r="13077">
      <c r="J13077">
        <f>IFERROR(__xludf.DUMMYFUNCTION("""COMPUTED_VALUE"""),"DARTMOUTH, NS - HALIFAX, NS")</f>
        <v/>
      </c>
      <c r="K13077">
        <f>IFERROR(__xludf.DUMMYFUNCTION("""COMPUTED_VALUE"""),2358.76)</f>
        <v/>
      </c>
    </row>
    <row r="13078">
      <c r="J13078">
        <f>IFERROR(__xludf.DUMMYFUNCTION("""COMPUTED_VALUE"""),"New York City, New York and Columbus, Ohio, United States")</f>
        <v/>
      </c>
      <c r="K13078">
        <f>IFERROR(__xludf.DUMMYFUNCTION("""COMPUTED_VALUE"""),2358.59)</f>
        <v/>
      </c>
    </row>
    <row r="13079">
      <c r="J13079">
        <f>IFERROR(__xludf.DUMMYFUNCTION("""COMPUTED_VALUE"""),"Kansas City, United States")</f>
        <v/>
      </c>
      <c r="K13079">
        <f>IFERROR(__xludf.DUMMYFUNCTION("""COMPUTED_VALUE"""),2358.22)</f>
        <v/>
      </c>
    </row>
    <row r="13080">
      <c r="J13080">
        <f>IFERROR(__xludf.DUMMYFUNCTION("""COMPUTED_VALUE"""),"Charlottetown, Prince Edward Island &amp; Calgary, Alberta")</f>
        <v/>
      </c>
      <c r="K13080">
        <f>IFERROR(__xludf.DUMMYFUNCTION("""COMPUTED_VALUE"""),2358.14)</f>
        <v/>
      </c>
    </row>
    <row r="13081">
      <c r="J13081">
        <f>IFERROR(__xludf.DUMMYFUNCTION("""COMPUTED_VALUE"""),"Toronto, Ontario, Canada - Hamilton, Ontario, Canada")</f>
        <v/>
      </c>
      <c r="K13081">
        <f>IFERROR(__xludf.DUMMYFUNCTION("""COMPUTED_VALUE"""),2358.04)</f>
        <v/>
      </c>
    </row>
    <row r="13082">
      <c r="J13082">
        <f>IFERROR(__xludf.DUMMYFUNCTION("""COMPUTED_VALUE"""),"Charlotte town")</f>
        <v/>
      </c>
      <c r="K13082">
        <f>IFERROR(__xludf.DUMMYFUNCTION("""COMPUTED_VALUE"""),2357.96)</f>
        <v/>
      </c>
    </row>
    <row r="13083">
      <c r="J13083">
        <f>IFERROR(__xludf.DUMMYFUNCTION("""COMPUTED_VALUE"""),"Saskatoon, Saskatchewan. Canada")</f>
        <v/>
      </c>
      <c r="K13083">
        <f>IFERROR(__xludf.DUMMYFUNCTION("""COMPUTED_VALUE"""),2357.67)</f>
        <v/>
      </c>
    </row>
    <row r="13084">
      <c r="J13084">
        <f>IFERROR(__xludf.DUMMYFUNCTION("""COMPUTED_VALUE"""),"Toronto, Vancouver, Halifax")</f>
        <v/>
      </c>
      <c r="K13084">
        <f>IFERROR(__xludf.DUMMYFUNCTION("""COMPUTED_VALUE"""),2357.56)</f>
        <v/>
      </c>
    </row>
    <row r="13085">
      <c r="J13085">
        <f>IFERROR(__xludf.DUMMYFUNCTION("""COMPUTED_VALUE"""),"Victoria, Penticton and Vancouver, BC")</f>
        <v/>
      </c>
      <c r="K13085">
        <f>IFERROR(__xludf.DUMMYFUNCTION("""COMPUTED_VALUE"""),2357.43)</f>
        <v/>
      </c>
    </row>
    <row r="13086">
      <c r="J13086">
        <f>IFERROR(__xludf.DUMMYFUNCTION("""COMPUTED_VALUE"""),"Surrey, British Columbia and Vancouver, British Columbia and Kamloops, British Columbia")</f>
        <v/>
      </c>
      <c r="K13086">
        <f>IFERROR(__xludf.DUMMYFUNCTION("""COMPUTED_VALUE"""),2357.35)</f>
        <v/>
      </c>
    </row>
    <row r="13087">
      <c r="J13087">
        <f>IFERROR(__xludf.DUMMYFUNCTION("""COMPUTED_VALUE"""),"Atlanta, GA")</f>
        <v/>
      </c>
      <c r="K13087">
        <f>IFERROR(__xludf.DUMMYFUNCTION("""COMPUTED_VALUE"""),2357.13)</f>
        <v/>
      </c>
    </row>
    <row r="13088">
      <c r="J13088">
        <f>IFERROR(__xludf.DUMMYFUNCTION("""COMPUTED_VALUE"""),"Masset, British Columbia, Canada")</f>
        <v/>
      </c>
      <c r="K13088">
        <f>IFERROR(__xludf.DUMMYFUNCTION("""COMPUTED_VALUE"""),2356.83)</f>
        <v/>
      </c>
    </row>
    <row r="13089">
      <c r="J13089">
        <f>IFERROR(__xludf.DUMMYFUNCTION("""COMPUTED_VALUE"""),"Montreal, Québec; Bromont,")</f>
        <v/>
      </c>
      <c r="K13089">
        <f>IFERROR(__xludf.DUMMYFUNCTION("""COMPUTED_VALUE"""),2356.69)</f>
        <v/>
      </c>
    </row>
    <row r="13090">
      <c r="J13090">
        <f>IFERROR(__xludf.DUMMYFUNCTION("""COMPUTED_VALUE"""),"Sacramento, California, USA")</f>
        <v/>
      </c>
      <c r="K13090">
        <f>IFERROR(__xludf.DUMMYFUNCTION("""COMPUTED_VALUE"""),2355.8)</f>
        <v/>
      </c>
    </row>
    <row r="13091">
      <c r="J13091">
        <f>IFERROR(__xludf.DUMMYFUNCTION("""COMPUTED_VALUE"""),"Toronto, ON/ Ottawa, ON")</f>
        <v/>
      </c>
      <c r="K13091">
        <f>IFERROR(__xludf.DUMMYFUNCTION("""COMPUTED_VALUE"""),2355.24)</f>
        <v/>
      </c>
    </row>
    <row r="13092">
      <c r="J13092">
        <f>IFERROR(__xludf.DUMMYFUNCTION("""COMPUTED_VALUE"""),"St. John's et Rocky Harbour, Newfoundland and Labrador")</f>
        <v/>
      </c>
      <c r="K13092">
        <f>IFERROR(__xludf.DUMMYFUNCTION("""COMPUTED_VALUE"""),2355.13)</f>
        <v/>
      </c>
    </row>
    <row r="13093">
      <c r="J13093">
        <f>IFERROR(__xludf.DUMMYFUNCTION("""COMPUTED_VALUE"""),"Memphis, TN, USA")</f>
        <v/>
      </c>
      <c r="K13093">
        <f>IFERROR(__xludf.DUMMYFUNCTION("""COMPUTED_VALUE"""),2355.11)</f>
        <v/>
      </c>
    </row>
    <row r="13094">
      <c r="J13094">
        <f>IFERROR(__xludf.DUMMYFUNCTION("""COMPUTED_VALUE"""),"Washington, DC &amp; Montgomery, AL")</f>
        <v/>
      </c>
      <c r="K13094">
        <f>IFERROR(__xludf.DUMMYFUNCTION("""COMPUTED_VALUE"""),2354.87)</f>
        <v/>
      </c>
    </row>
    <row r="13095">
      <c r="J13095">
        <f>IFERROR(__xludf.DUMMYFUNCTION("""COMPUTED_VALUE"""),"St. John's, Lewisporte and Point Leamington, Newfoundland and Labrador")</f>
        <v/>
      </c>
      <c r="K13095">
        <f>IFERROR(__xludf.DUMMYFUNCTION("""COMPUTED_VALUE"""),2354.84)</f>
        <v/>
      </c>
    </row>
    <row r="13096">
      <c r="J13096">
        <f>IFERROR(__xludf.DUMMYFUNCTION("""COMPUTED_VALUE"""),"St. Ann's, Simcoe, Scotland area, St. Catharines, and Niagara on the Lake, Ontario")</f>
        <v/>
      </c>
      <c r="K13096">
        <f>IFERROR(__xludf.DUMMYFUNCTION("""COMPUTED_VALUE"""),2354.82)</f>
        <v/>
      </c>
    </row>
    <row r="13097">
      <c r="J13097">
        <f>IFERROR(__xludf.DUMMYFUNCTION("""COMPUTED_VALUE"""),"Kansas ity / Salina/Ft Leavenworth")</f>
        <v/>
      </c>
      <c r="K13097">
        <f>IFERROR(__xludf.DUMMYFUNCTION("""COMPUTED_VALUE"""),2354.67)</f>
        <v/>
      </c>
    </row>
    <row r="13098">
      <c r="J13098">
        <f>IFERROR(__xludf.DUMMYFUNCTION("""COMPUTED_VALUE"""),"Ottawa, Ontario, Canada; Happy Valley-Goose Bay, Newfoundland and Labrador, Canada")</f>
        <v/>
      </c>
      <c r="K13098">
        <f>IFERROR(__xludf.DUMMYFUNCTION("""COMPUTED_VALUE"""),2353.78)</f>
        <v/>
      </c>
    </row>
    <row r="13099">
      <c r="J13099">
        <f>IFERROR(__xludf.DUMMYFUNCTION("""COMPUTED_VALUE"""),"Lima (OAS)")</f>
        <v/>
      </c>
      <c r="K13099">
        <f>IFERROR(__xludf.DUMMYFUNCTION("""COMPUTED_VALUE"""),2353.17)</f>
        <v/>
      </c>
    </row>
    <row r="13100">
      <c r="J13100">
        <f>IFERROR(__xludf.DUMMYFUNCTION("""COMPUTED_VALUE"""),"Nanaimo and Victoria, British Colombia")</f>
        <v/>
      </c>
      <c r="K13100">
        <f>IFERROR(__xludf.DUMMYFUNCTION("""COMPUTED_VALUE"""),2352.48)</f>
        <v/>
      </c>
    </row>
    <row r="13101">
      <c r="J13101">
        <f>IFERROR(__xludf.DUMMYFUNCTION("""COMPUTED_VALUE"""),"Winnipeg, Manitoba, / Calgary, Alberta / Vancouver, British Columbia, Canada")</f>
        <v/>
      </c>
      <c r="K13101">
        <f>IFERROR(__xludf.DUMMYFUNCTION("""COMPUTED_VALUE"""),2352.31)</f>
        <v/>
      </c>
    </row>
    <row r="13102">
      <c r="J13102">
        <f>IFERROR(__xludf.DUMMYFUNCTION("""COMPUTED_VALUE"""),"Whistler, British Columbia Canada")</f>
        <v/>
      </c>
      <c r="K13102">
        <f>IFERROR(__xludf.DUMMYFUNCTION("""COMPUTED_VALUE"""),2352.08)</f>
        <v/>
      </c>
    </row>
    <row r="13103">
      <c r="J13103">
        <f>IFERROR(__xludf.DUMMYFUNCTION("""COMPUTED_VALUE"""),"Montréal, Quebec, Canada/ Charlottetown, Prince Edward Island, Canada")</f>
        <v/>
      </c>
      <c r="K13103">
        <f>IFERROR(__xludf.DUMMYFUNCTION("""COMPUTED_VALUE"""),2350.91)</f>
        <v/>
      </c>
    </row>
    <row r="13104">
      <c r="J13104">
        <f>IFERROR(__xludf.DUMMYFUNCTION("""COMPUTED_VALUE"""),"London, ON Ottawa, ON")</f>
        <v/>
      </c>
      <c r="K13104">
        <f>IFERROR(__xludf.DUMMYFUNCTION("""COMPUTED_VALUE"""),2350.63)</f>
        <v/>
      </c>
    </row>
    <row r="13105">
      <c r="J13105">
        <f>IFERROR(__xludf.DUMMYFUNCTION("""COMPUTED_VALUE"""),"Sioux Lookout, Ontario")</f>
        <v/>
      </c>
      <c r="K13105">
        <f>IFERROR(__xludf.DUMMYFUNCTION("""COMPUTED_VALUE"""),2350.55)</f>
        <v/>
      </c>
    </row>
    <row r="13106">
      <c r="J13106">
        <f>IFERROR(__xludf.DUMMYFUNCTION("""COMPUTED_VALUE"""),"Charlottetown, Prince Edward Island; Miramichi, Moncton, New Brunswick; Halifax, Nova Scotia, Canada")</f>
        <v/>
      </c>
      <c r="K13106">
        <f>IFERROR(__xludf.DUMMYFUNCTION("""COMPUTED_VALUE"""),2350.41)</f>
        <v/>
      </c>
    </row>
    <row r="13107">
      <c r="J13107">
        <f>IFERROR(__xludf.DUMMYFUNCTION("""COMPUTED_VALUE"""),"Rio de Janeiro, Belo Horizonte")</f>
        <v/>
      </c>
      <c r="K13107">
        <f>IFERROR(__xludf.DUMMYFUNCTION("""COMPUTED_VALUE"""),2349.84)</f>
        <v/>
      </c>
    </row>
    <row r="13108">
      <c r="J13108">
        <f>IFERROR(__xludf.DUMMYFUNCTION("""COMPUTED_VALUE"""),"Guadalajara and Mexico City, Mexico")</f>
        <v/>
      </c>
      <c r="K13108">
        <f>IFERROR(__xludf.DUMMYFUNCTION("""COMPUTED_VALUE"""),2348.95)</f>
        <v/>
      </c>
    </row>
    <row r="13109">
      <c r="J13109">
        <f>IFERROR(__xludf.DUMMYFUNCTION("""COMPUTED_VALUE"""),"Edmonton, Alberta and Winnipeg, Manitoba")</f>
        <v/>
      </c>
      <c r="K13109">
        <f>IFERROR(__xludf.DUMMYFUNCTION("""COMPUTED_VALUE"""),2348.93)</f>
        <v/>
      </c>
    </row>
    <row r="13110">
      <c r="J13110">
        <f>IFERROR(__xludf.DUMMYFUNCTION("""COMPUTED_VALUE"""),"Winnepeg, MB")</f>
        <v/>
      </c>
      <c r="K13110">
        <f>IFERROR(__xludf.DUMMYFUNCTION("""COMPUTED_VALUE"""),2348.69)</f>
        <v/>
      </c>
    </row>
    <row r="13111">
      <c r="J13111">
        <f>IFERROR(__xludf.DUMMYFUNCTION("""COMPUTED_VALUE"""),"Vancouver, Calgary and Edmonton")</f>
        <v/>
      </c>
      <c r="K13111">
        <f>IFERROR(__xludf.DUMMYFUNCTION("""COMPUTED_VALUE"""),2348.59)</f>
        <v/>
      </c>
    </row>
    <row r="13112">
      <c r="J13112">
        <f>IFERROR(__xludf.DUMMYFUNCTION("""COMPUTED_VALUE"""),"Charlottetown, Prince Edward Island - Halifax, Nova Scotia - St. John's, Newfoundland")</f>
        <v/>
      </c>
      <c r="K13112">
        <f>IFERROR(__xludf.DUMMYFUNCTION("""COMPUTED_VALUE"""),2348.49)</f>
        <v/>
      </c>
    </row>
    <row r="13113">
      <c r="J13113">
        <f>IFERROR(__xludf.DUMMYFUNCTION("""COMPUTED_VALUE"""),"Kanata, Ontario, Canada; Ottawa, Ontario, Canada; Moncton, New Brunswick, Canada")</f>
        <v/>
      </c>
      <c r="K13113">
        <f>IFERROR(__xludf.DUMMYFUNCTION("""COMPUTED_VALUE"""),2348.09)</f>
        <v/>
      </c>
    </row>
    <row r="13114">
      <c r="J13114">
        <f>IFERROR(__xludf.DUMMYFUNCTION("""COMPUTED_VALUE"""),"Niagara, Ontario, Canada / London, Ontario, Canada")</f>
        <v/>
      </c>
      <c r="K13114">
        <f>IFERROR(__xludf.DUMMYFUNCTION("""COMPUTED_VALUE"""),2347.86)</f>
        <v/>
      </c>
    </row>
    <row r="13115">
      <c r="J13115">
        <f>IFERROR(__xludf.DUMMYFUNCTION("""COMPUTED_VALUE"""),"Yellowknife, North West Territories.")</f>
        <v/>
      </c>
      <c r="K13115">
        <f>IFERROR(__xludf.DUMMYFUNCTION("""COMPUTED_VALUE"""),2347.71)</f>
        <v/>
      </c>
    </row>
    <row r="13116">
      <c r="J13116">
        <f>IFERROR(__xludf.DUMMYFUNCTION("""COMPUTED_VALUE"""),"Montreal, Québec and Kingston, Ontario, Canada")</f>
        <v/>
      </c>
      <c r="K13116">
        <f>IFERROR(__xludf.DUMMYFUNCTION("""COMPUTED_VALUE"""),2346.71)</f>
        <v/>
      </c>
    </row>
    <row r="13117">
      <c r="J13117">
        <f>IFERROR(__xludf.DUMMYFUNCTION("""COMPUTED_VALUE"""),"Hamilton, Ontario, Canada / Toronto, Ontario, Canada / Cambridge, Ontario, Canada")</f>
        <v/>
      </c>
      <c r="K13117">
        <f>IFERROR(__xludf.DUMMYFUNCTION("""COMPUTED_VALUE"""),2346.69)</f>
        <v/>
      </c>
    </row>
    <row r="13118">
      <c r="J13118">
        <f>IFERROR(__xludf.DUMMYFUNCTION("""COMPUTED_VALUE"""),"Quebec City and Montreal, Quebec, Canada")</f>
        <v/>
      </c>
      <c r="K13118">
        <f>IFERROR(__xludf.DUMMYFUNCTION("""COMPUTED_VALUE"""),2346.57)</f>
        <v/>
      </c>
    </row>
    <row r="13119">
      <c r="J13119">
        <f>IFERROR(__xludf.DUMMYFUNCTION("""COMPUTED_VALUE"""),"Saskatoon, Saskatewan, Canada")</f>
        <v/>
      </c>
      <c r="K13119">
        <f>IFERROR(__xludf.DUMMYFUNCTION("""COMPUTED_VALUE"""),2346.23)</f>
        <v/>
      </c>
    </row>
    <row r="13120">
      <c r="J13120">
        <f>IFERROR(__xludf.DUMMYFUNCTION("""COMPUTED_VALUE"""),"Goose Bay, CA")</f>
        <v/>
      </c>
      <c r="K13120">
        <f>IFERROR(__xludf.DUMMYFUNCTION("""COMPUTED_VALUE"""),2344.87)</f>
        <v/>
      </c>
    </row>
    <row r="13121">
      <c r="J13121">
        <f>IFERROR(__xludf.DUMMYFUNCTION("""COMPUTED_VALUE"""),"Detroit, Michigan / Dallas, Texas, United States / Toronto, Ontario, Canada")</f>
        <v/>
      </c>
      <c r="K13121">
        <f>IFERROR(__xludf.DUMMYFUNCTION("""COMPUTED_VALUE"""),2344.42)</f>
        <v/>
      </c>
    </row>
    <row r="13122">
      <c r="J13122">
        <f>IFERROR(__xludf.DUMMYFUNCTION("""COMPUTED_VALUE"""),"Edmonton, Calgary, Canada")</f>
        <v/>
      </c>
      <c r="K13122">
        <f>IFERROR(__xludf.DUMMYFUNCTION("""COMPUTED_VALUE"""),2344.22)</f>
        <v/>
      </c>
    </row>
    <row r="13123">
      <c r="J13123">
        <f>IFERROR(__xludf.DUMMYFUNCTION("""COMPUTED_VALUE"""),"Edmonton, Wainright, Suffield &amp; Calgary, Alberta, Canada")</f>
        <v/>
      </c>
      <c r="K13123">
        <f>IFERROR(__xludf.DUMMYFUNCTION("""COMPUTED_VALUE"""),2344.07)</f>
        <v/>
      </c>
    </row>
    <row r="13124">
      <c r="J13124">
        <f>IFERROR(__xludf.DUMMYFUNCTION("""COMPUTED_VALUE"""),"Goose Bay, Newfoundland and Labrador / Halifax, Nova Scotia")</f>
        <v/>
      </c>
      <c r="K13124">
        <f>IFERROR(__xludf.DUMMYFUNCTION("""COMPUTED_VALUE"""),2344.03)</f>
        <v/>
      </c>
    </row>
    <row r="13125">
      <c r="J13125">
        <f>IFERROR(__xludf.DUMMYFUNCTION("""COMPUTED_VALUE"""),"Grande Prairie, Alberta, Canada; High Level, Alberta, Canada; Hay River, Northwest Territories, Canada; Yellowknife, Northwest Territories, Canada; Hinton, Alberta, Canada")</f>
        <v/>
      </c>
      <c r="K13125">
        <f>IFERROR(__xludf.DUMMYFUNCTION("""COMPUTED_VALUE"""),2343.6)</f>
        <v/>
      </c>
    </row>
    <row r="13126">
      <c r="J13126">
        <f>IFERROR(__xludf.DUMMYFUNCTION("""COMPUTED_VALUE"""),"Moncton, New Brunswick; St. John's, Newfoundland")</f>
        <v/>
      </c>
      <c r="K13126">
        <f>IFERROR(__xludf.DUMMYFUNCTION("""COMPUTED_VALUE"""),2343.53)</f>
        <v/>
      </c>
    </row>
    <row r="13127">
      <c r="J13127">
        <f>IFERROR(__xludf.DUMMYFUNCTION("""COMPUTED_VALUE"""),"Vancouver, British Columbia, Canada / Richmond, British Columbia, Canada")</f>
        <v/>
      </c>
      <c r="K13127">
        <f>IFERROR(__xludf.DUMMYFUNCTION("""COMPUTED_VALUE"""),2343.51)</f>
        <v/>
      </c>
    </row>
    <row r="13128">
      <c r="J13128">
        <f>IFERROR(__xludf.DUMMYFUNCTION("""COMPUTED_VALUE"""),"Edmonton (Alberta) Canada; Yellowknife (Northwest Territories) Canada")</f>
        <v/>
      </c>
      <c r="K13128">
        <f>IFERROR(__xludf.DUMMYFUNCTION("""COMPUTED_VALUE"""),2342.96)</f>
        <v/>
      </c>
    </row>
    <row r="13129">
      <c r="J13129">
        <f>IFERROR(__xludf.DUMMYFUNCTION("""COMPUTED_VALUE"""),"Gander, Newfoundland, Canada / Steady Brooke, Newfoundland, Canada")</f>
        <v/>
      </c>
      <c r="K13129">
        <f>IFERROR(__xludf.DUMMYFUNCTION("""COMPUTED_VALUE"""),2342.72)</f>
        <v/>
      </c>
    </row>
    <row r="13130">
      <c r="J13130">
        <f>IFERROR(__xludf.DUMMYFUNCTION("""COMPUTED_VALUE"""),"Les Escoumins, Quebec, Canada / Baie-Comeau, Quebec, Canada / Sept-Iles, Quebec, Canada")</f>
        <v/>
      </c>
      <c r="K13130">
        <f>IFERROR(__xludf.DUMMYFUNCTION("""COMPUTED_VALUE"""),2342.71)</f>
        <v/>
      </c>
    </row>
    <row r="13131">
      <c r="J13131">
        <f>IFERROR(__xludf.DUMMYFUNCTION("""COMPUTED_VALUE"""),"Calgary, Alberta and Saskatoon, Saskatchewan")</f>
        <v/>
      </c>
      <c r="K13131">
        <f>IFERROR(__xludf.DUMMYFUNCTION("""COMPUTED_VALUE"""),2342.08)</f>
        <v/>
      </c>
    </row>
    <row r="13132">
      <c r="J13132">
        <f>IFERROR(__xludf.DUMMYFUNCTION("""COMPUTED_VALUE"""),"Vancouver, BC, Victoria, BC")</f>
        <v/>
      </c>
      <c r="K13132">
        <f>IFERROR(__xludf.DUMMYFUNCTION("""COMPUTED_VALUE"""),2341.68)</f>
        <v/>
      </c>
    </row>
    <row r="13133">
      <c r="J13133">
        <f>IFERROR(__xludf.DUMMYFUNCTION("""COMPUTED_VALUE"""),"BATOUCHE, SK")</f>
        <v/>
      </c>
      <c r="K13133">
        <f>IFERROR(__xludf.DUMMYFUNCTION("""COMPUTED_VALUE"""),2341.34)</f>
        <v/>
      </c>
    </row>
    <row r="13134">
      <c r="J13134">
        <f>IFERROR(__xludf.DUMMYFUNCTION("""COMPUTED_VALUE"""),"Morden, Manitoba")</f>
        <v/>
      </c>
      <c r="K13134">
        <f>IFERROR(__xludf.DUMMYFUNCTION("""COMPUTED_VALUE"""),2341.12)</f>
        <v/>
      </c>
    </row>
    <row r="13135">
      <c r="J13135">
        <f>IFERROR(__xludf.DUMMYFUNCTION("""COMPUTED_VALUE"""),"Saskatoon, SK / Abbotsford, BC")</f>
        <v/>
      </c>
      <c r="K13135">
        <f>IFERROR(__xludf.DUMMYFUNCTION("""COMPUTED_VALUE"""),2341)</f>
        <v/>
      </c>
    </row>
    <row r="13136">
      <c r="J13136">
        <f>IFERROR(__xludf.DUMMYFUNCTION("""COMPUTED_VALUE"""),"Montebello and Ottawa")</f>
        <v/>
      </c>
      <c r="K13136">
        <f>IFERROR(__xludf.DUMMYFUNCTION("""COMPUTED_VALUE"""),2340.45)</f>
        <v/>
      </c>
    </row>
    <row r="13137">
      <c r="J13137">
        <f>IFERROR(__xludf.DUMMYFUNCTION("""COMPUTED_VALUE"""),"Vancouver and Whisler, BC")</f>
        <v/>
      </c>
      <c r="K13137">
        <f>IFERROR(__xludf.DUMMYFUNCTION("""COMPUTED_VALUE"""),2340.38)</f>
        <v/>
      </c>
    </row>
    <row r="13138">
      <c r="J13138">
        <f>IFERROR(__xludf.DUMMYFUNCTION("""COMPUTED_VALUE"""),"Calgary, Alta. &amp; Lacombe, Alta.")</f>
        <v/>
      </c>
      <c r="K13138">
        <f>IFERROR(__xludf.DUMMYFUNCTION("""COMPUTED_VALUE"""),2339.62)</f>
        <v/>
      </c>
    </row>
    <row r="13139">
      <c r="J13139">
        <f>IFERROR(__xludf.DUMMYFUNCTION("""COMPUTED_VALUE"""),"Scarborough, Brampton, Hamilton and Toronto, Ontario, Canada")</f>
        <v/>
      </c>
      <c r="K13139">
        <f>IFERROR(__xludf.DUMMYFUNCTION("""COMPUTED_VALUE"""),2339.5)</f>
        <v/>
      </c>
    </row>
    <row r="13140">
      <c r="J13140">
        <f>IFERROR(__xludf.DUMMYFUNCTION("""COMPUTED_VALUE"""),"Winnipeg, Manitoba / Calgary, Alberta")</f>
        <v/>
      </c>
      <c r="K13140">
        <f>IFERROR(__xludf.DUMMYFUNCTION("""COMPUTED_VALUE"""),2339.06999999999)</f>
        <v/>
      </c>
    </row>
    <row r="13141">
      <c r="J13141">
        <f>IFERROR(__xludf.DUMMYFUNCTION("""COMPUTED_VALUE"""),"Wainwright, MB")</f>
        <v/>
      </c>
      <c r="K13141">
        <f>IFERROR(__xludf.DUMMYFUNCTION("""COMPUTED_VALUE"""),2339.03)</f>
        <v/>
      </c>
    </row>
    <row r="13142">
      <c r="J13142">
        <f>IFERROR(__xludf.DUMMYFUNCTION("""COMPUTED_VALUE"""),"Ottawa, Ontario and Charlottetown, Prince Edward Island")</f>
        <v/>
      </c>
      <c r="K13142">
        <f>IFERROR(__xludf.DUMMYFUNCTION("""COMPUTED_VALUE"""),2338.85)</f>
        <v/>
      </c>
    </row>
    <row r="13143">
      <c r="J13143">
        <f>IFERROR(__xludf.DUMMYFUNCTION("""COMPUTED_VALUE"""),"Vancouver, BC  Canada")</f>
        <v/>
      </c>
      <c r="K13143">
        <f>IFERROR(__xludf.DUMMYFUNCTION("""COMPUTED_VALUE"""),2338.82)</f>
        <v/>
      </c>
    </row>
    <row r="13144">
      <c r="J13144">
        <f>IFERROR(__xludf.DUMMYFUNCTION("""COMPUTED_VALUE"""),"St. Andrews, N.B.")</f>
        <v/>
      </c>
      <c r="K13144">
        <f>IFERROR(__xludf.DUMMYFUNCTION("""COMPUTED_VALUE"""),2338.57)</f>
        <v/>
      </c>
    </row>
    <row r="13145">
      <c r="J13145">
        <f>IFERROR(__xludf.DUMMYFUNCTION("""COMPUTED_VALUE"""),"Pittsburgh; Toronto")</f>
        <v/>
      </c>
      <c r="K13145">
        <f>IFERROR(__xludf.DUMMYFUNCTION("""COMPUTED_VALUE"""),2338.41)</f>
        <v/>
      </c>
    </row>
    <row r="13146">
      <c r="J13146">
        <f>IFERROR(__xludf.DUMMYFUNCTION("""COMPUTED_VALUE"""),"Vancouver BC - Calgary AB")</f>
        <v/>
      </c>
      <c r="K13146">
        <f>IFERROR(__xludf.DUMMYFUNCTION("""COMPUTED_VALUE"""),2338.19)</f>
        <v/>
      </c>
    </row>
    <row r="13147">
      <c r="J13147">
        <f>IFERROR(__xludf.DUMMYFUNCTION("""COMPUTED_VALUE"""),"Halifax (Nova Scotia) Canada; St. John's (Newfoundland and Labrador) Canada")</f>
        <v/>
      </c>
      <c r="K13147">
        <f>IFERROR(__xludf.DUMMYFUNCTION("""COMPUTED_VALUE"""),2338.18)</f>
        <v/>
      </c>
    </row>
    <row r="13148">
      <c r="J13148">
        <f>IFERROR(__xludf.DUMMYFUNCTION("""COMPUTED_VALUE"""),"Winnipeg, Manitoba, Canada; Regina, Saskatchewan, Canada; Saskatoon, Saskatchewan, Canada; Toronto, Ontario, Canada")</f>
        <v/>
      </c>
      <c r="K13148">
        <f>IFERROR(__xludf.DUMMYFUNCTION("""COMPUTED_VALUE"""),2338.12)</f>
        <v/>
      </c>
    </row>
    <row r="13149">
      <c r="J13149">
        <f>IFERROR(__xludf.DUMMYFUNCTION("""COMPUTED_VALUE"""),"Port-au-Prince; Santo Domingo")</f>
        <v/>
      </c>
      <c r="K13149">
        <f>IFERROR(__xludf.DUMMYFUNCTION("""COMPUTED_VALUE"""),2337.37)</f>
        <v/>
      </c>
    </row>
    <row r="13150">
      <c r="J13150">
        <f>IFERROR(__xludf.DUMMYFUNCTION("""COMPUTED_VALUE"""),"Trieste and Udine")</f>
        <v/>
      </c>
      <c r="K13150">
        <f>IFERROR(__xludf.DUMMYFUNCTION("""COMPUTED_VALUE"""),2336.77)</f>
        <v/>
      </c>
    </row>
    <row r="13151">
      <c r="J13151">
        <f>IFERROR(__xludf.DUMMYFUNCTION("""COMPUTED_VALUE"""),"Winnipeg, MB and Ottawa , ON")</f>
        <v/>
      </c>
      <c r="K13151">
        <f>IFERROR(__xludf.DUMMYFUNCTION("""COMPUTED_VALUE"""),2336.29)</f>
        <v/>
      </c>
    </row>
    <row r="13152">
      <c r="J13152">
        <f>IFERROR(__xludf.DUMMYFUNCTION("""COMPUTED_VALUE"""),"St. John's, NL; Fredericton, NB; Charlottetown, PE")</f>
        <v/>
      </c>
      <c r="K13152">
        <f>IFERROR(__xludf.DUMMYFUNCTION("""COMPUTED_VALUE"""),2335.51)</f>
        <v/>
      </c>
    </row>
    <row r="13153">
      <c r="J13153">
        <f>IFERROR(__xludf.DUMMYFUNCTION("""COMPUTED_VALUE"""),"Edmonton; Calgary, Alberta, Canada")</f>
        <v/>
      </c>
      <c r="K13153">
        <f>IFERROR(__xludf.DUMMYFUNCTION("""COMPUTED_VALUE"""),2335.24)</f>
        <v/>
      </c>
    </row>
    <row r="13154">
      <c r="J13154">
        <f>IFERROR(__xludf.DUMMYFUNCTION("""COMPUTED_VALUE"""),"Montreal, Quebec / Halifax, Nova Scotia, Canada")</f>
        <v/>
      </c>
      <c r="K13154">
        <f>IFERROR(__xludf.DUMMYFUNCTION("""COMPUTED_VALUE"""),2334.97)</f>
        <v/>
      </c>
    </row>
    <row r="13155">
      <c r="J13155">
        <f>IFERROR(__xludf.DUMMYFUNCTION("""COMPUTED_VALUE"""),"Toronto, Ontario, Canada; Calgary, Alberta, Canada; Edmonton, Alberta, Canada")</f>
        <v/>
      </c>
      <c r="K13155">
        <f>IFERROR(__xludf.DUMMYFUNCTION("""COMPUTED_VALUE"""),2334.73)</f>
        <v/>
      </c>
    </row>
    <row r="13156">
      <c r="J13156">
        <f>IFERROR(__xludf.DUMMYFUNCTION("""COMPUTED_VALUE"""),"Montreal, Quebec,Trois-Rivières, Quebec, Canada")</f>
        <v/>
      </c>
      <c r="K13156">
        <f>IFERROR(__xludf.DUMMYFUNCTION("""COMPUTED_VALUE"""),2334.45)</f>
        <v/>
      </c>
    </row>
    <row r="13157">
      <c r="J13157">
        <f>IFERROR(__xludf.DUMMYFUNCTION("""COMPUTED_VALUE"""),"Burlington, Vermont, USA")</f>
        <v/>
      </c>
      <c r="K13157">
        <f>IFERROR(__xludf.DUMMYFUNCTION("""COMPUTED_VALUE"""),2334.42)</f>
        <v/>
      </c>
    </row>
    <row r="13158">
      <c r="J13158">
        <f>IFERROR(__xludf.DUMMYFUNCTION("""COMPUTED_VALUE"""),"Toronto, Ontario, Canada; London, Ontario, Canada; Guelph, Ontario, Canada; Chatham, Ontario, Canada")</f>
        <v/>
      </c>
      <c r="K13158">
        <f>IFERROR(__xludf.DUMMYFUNCTION("""COMPUTED_VALUE"""),2333.24)</f>
        <v/>
      </c>
    </row>
    <row r="13159">
      <c r="J13159">
        <f>IFERROR(__xludf.DUMMYFUNCTION("""COMPUTED_VALUE"""),"Detroit, MI and Ottawa, ON")</f>
        <v/>
      </c>
      <c r="K13159">
        <f>IFERROR(__xludf.DUMMYFUNCTION("""COMPUTED_VALUE"""),2333.11)</f>
        <v/>
      </c>
    </row>
    <row r="13160">
      <c r="J13160">
        <f>IFERROR(__xludf.DUMMYFUNCTION("""COMPUTED_VALUE"""),"Raleigh, NC, USA")</f>
        <v/>
      </c>
      <c r="K13160">
        <f>IFERROR(__xludf.DUMMYFUNCTION("""COMPUTED_VALUE"""),2332.97)</f>
        <v/>
      </c>
    </row>
    <row r="13161">
      <c r="J13161">
        <f>IFERROR(__xludf.DUMMYFUNCTION("""COMPUTED_VALUE"""),"Thunder Bay, ON Saskatoon, SK Regina, SK Winnipeg, MB")</f>
        <v/>
      </c>
      <c r="K13161">
        <f>IFERROR(__xludf.DUMMYFUNCTION("""COMPUTED_VALUE"""),2332.84)</f>
        <v/>
      </c>
    </row>
    <row r="13162">
      <c r="J13162">
        <f>IFERROR(__xludf.DUMMYFUNCTION("""COMPUTED_VALUE"""),"Calgary, Alberta, Canada / 
Winnipeg, Manitoba, Canada")</f>
        <v/>
      </c>
      <c r="K13162">
        <f>IFERROR(__xludf.DUMMYFUNCTION("""COMPUTED_VALUE"""),2332.37)</f>
        <v/>
      </c>
    </row>
    <row r="13163">
      <c r="J13163">
        <f>IFERROR(__xludf.DUMMYFUNCTION("""COMPUTED_VALUE"""),"Salamanque, Spain")</f>
        <v/>
      </c>
      <c r="K13163">
        <f>IFERROR(__xludf.DUMMYFUNCTION("""COMPUTED_VALUE"""),2331.92)</f>
        <v/>
      </c>
    </row>
    <row r="13164">
      <c r="J13164">
        <f>IFERROR(__xludf.DUMMYFUNCTION("""COMPUTED_VALUE"""),"Charlottetown, Prince Edward Island / Halifax, Nova Scotia / Fredericton, New Brunswick")</f>
        <v/>
      </c>
      <c r="K13164">
        <f>IFERROR(__xludf.DUMMYFUNCTION("""COMPUTED_VALUE"""),2331.83)</f>
        <v/>
      </c>
    </row>
    <row r="13165">
      <c r="J13165">
        <f>IFERROR(__xludf.DUMMYFUNCTION("""COMPUTED_VALUE"""),"New York (New York), Toronto (Ontario)")</f>
        <v/>
      </c>
      <c r="K13165">
        <f>IFERROR(__xludf.DUMMYFUNCTION("""COMPUTED_VALUE"""),2331.8)</f>
        <v/>
      </c>
    </row>
    <row r="13166">
      <c r="J13166">
        <f>IFERROR(__xludf.DUMMYFUNCTION("""COMPUTED_VALUE"""),"WASHINGTON, DC, USA")</f>
        <v/>
      </c>
      <c r="K13166">
        <f>IFERROR(__xludf.DUMMYFUNCTION("""COMPUTED_VALUE"""),2331.34)</f>
        <v/>
      </c>
    </row>
    <row r="13167">
      <c r="J13167">
        <f>IFERROR(__xludf.DUMMYFUNCTION("""COMPUTED_VALUE"""),"Hinton, Alberta, Canada; Edmonton, Alberta, Canada")</f>
        <v/>
      </c>
      <c r="K13167">
        <f>IFERROR(__xludf.DUMMYFUNCTION("""COMPUTED_VALUE"""),2331.29)</f>
        <v/>
      </c>
    </row>
    <row r="13168">
      <c r="J13168">
        <f>IFERROR(__xludf.DUMMYFUNCTION("""COMPUTED_VALUE"""),"Ottawa-Saint John-Ottawa")</f>
        <v/>
      </c>
      <c r="K13168">
        <f>IFERROR(__xludf.DUMMYFUNCTION("""COMPUTED_VALUE"""),2331.26)</f>
        <v/>
      </c>
    </row>
    <row r="13169">
      <c r="J13169">
        <f>IFERROR(__xludf.DUMMYFUNCTION("""COMPUTED_VALUE"""),"Halifax, Nova Scotia; Fredericton, New Brunswick")</f>
        <v/>
      </c>
      <c r="K13169">
        <f>IFERROR(__xludf.DUMMYFUNCTION("""COMPUTED_VALUE"""),2331.1)</f>
        <v/>
      </c>
    </row>
    <row r="13170">
      <c r="J13170">
        <f>IFERROR(__xludf.DUMMYFUNCTION("""COMPUTED_VALUE"""),"Moncton, NB - Ottawa, ON / Ottawa, ON - Halifax, NS / Halifax, NS - Moncton, NB")</f>
        <v/>
      </c>
      <c r="K13170">
        <f>IFERROR(__xludf.DUMMYFUNCTION("""COMPUTED_VALUE"""),2330.38)</f>
        <v/>
      </c>
    </row>
    <row r="13171">
      <c r="J13171">
        <f>IFERROR(__xludf.DUMMYFUNCTION("""COMPUTED_VALUE"""),"Ottawa, ON - St. John's, NL / St. John's NL - Ottawa, ON")</f>
        <v/>
      </c>
      <c r="K13171">
        <f>IFERROR(__xludf.DUMMYFUNCTION("""COMPUTED_VALUE"""),2329.75)</f>
        <v/>
      </c>
    </row>
    <row r="13172">
      <c r="J13172">
        <f>IFERROR(__xludf.DUMMYFUNCTION("""COMPUTED_VALUE"""),"St.John, Newfoundland and Fredericton , New Brunswick, Canada")</f>
        <v/>
      </c>
      <c r="K13172">
        <f>IFERROR(__xludf.DUMMYFUNCTION("""COMPUTED_VALUE"""),2329.48)</f>
        <v/>
      </c>
    </row>
    <row r="13173">
      <c r="J13173">
        <f>IFERROR(__xludf.DUMMYFUNCTION("""COMPUTED_VALUE"""),"Washington, D.C., U.S.A.; Niagara-on-the-Lake, Ontario, Canada")</f>
        <v/>
      </c>
      <c r="K13173">
        <f>IFERROR(__xludf.DUMMYFUNCTION("""COMPUTED_VALUE"""),2328.79)</f>
        <v/>
      </c>
    </row>
    <row r="13174">
      <c r="J13174">
        <f>IFERROR(__xludf.DUMMYFUNCTION("""COMPUTED_VALUE"""),"Charlottetown &amp; New Glasgow")</f>
        <v/>
      </c>
      <c r="K13174">
        <f>IFERROR(__xludf.DUMMYFUNCTION("""COMPUTED_VALUE"""),2328.57)</f>
        <v/>
      </c>
    </row>
    <row r="13175">
      <c r="J13175">
        <f>IFERROR(__xludf.DUMMYFUNCTION("""COMPUTED_VALUE"""),"Zacatecas")</f>
        <v/>
      </c>
      <c r="K13175">
        <f>IFERROR(__xludf.DUMMYFUNCTION("""COMPUTED_VALUE"""),2328.56999999999)</f>
        <v/>
      </c>
    </row>
    <row r="13176">
      <c r="J13176">
        <f>IFERROR(__xludf.DUMMYFUNCTION("""COMPUTED_VALUE"""),"Wainwright/Alberta")</f>
        <v/>
      </c>
      <c r="K13176">
        <f>IFERROR(__xludf.DUMMYFUNCTION("""COMPUTED_VALUE"""),2328.27)</f>
        <v/>
      </c>
    </row>
    <row r="13177">
      <c r="J13177">
        <f>IFERROR(__xludf.DUMMYFUNCTION("""COMPUTED_VALUE"""),"Hamilton, Ontario, Canada; Toronto, Ontario, Canada; Halifax, Nova-Scotia, Canada")</f>
        <v/>
      </c>
      <c r="K13177">
        <f>IFERROR(__xludf.DUMMYFUNCTION("""COMPUTED_VALUE"""),2328.06)</f>
        <v/>
      </c>
    </row>
    <row r="13178">
      <c r="J13178">
        <f>IFERROR(__xludf.DUMMYFUNCTION("""COMPUTED_VALUE"""),"Kitchener, Ontario, Canada; Waterloo, Ontario, Canada")</f>
        <v/>
      </c>
      <c r="K13178">
        <f>IFERROR(__xludf.DUMMYFUNCTION("""COMPUTED_VALUE"""),2327.85999999999)</f>
        <v/>
      </c>
    </row>
    <row r="13179">
      <c r="J13179">
        <f>IFERROR(__xludf.DUMMYFUNCTION("""COMPUTED_VALUE"""),"Barrie, Ontario, Canada/ Waterloo, Ontario, Canada")</f>
        <v/>
      </c>
      <c r="K13179">
        <f>IFERROR(__xludf.DUMMYFUNCTION("""COMPUTED_VALUE"""),2327.28)</f>
        <v/>
      </c>
    </row>
    <row r="13180">
      <c r="J13180">
        <f>IFERROR(__xludf.DUMMYFUNCTION("""COMPUTED_VALUE"""),"Texas, United State of America")</f>
        <v/>
      </c>
      <c r="K13180">
        <f>IFERROR(__xludf.DUMMYFUNCTION("""COMPUTED_VALUE"""),2327.24)</f>
        <v/>
      </c>
    </row>
    <row r="13181">
      <c r="J13181">
        <f>IFERROR(__xludf.DUMMYFUNCTION("""COMPUTED_VALUE"""),"Toronto, ON; Regina, Saskatchewan")</f>
        <v/>
      </c>
      <c r="K13181">
        <f>IFERROR(__xludf.DUMMYFUNCTION("""COMPUTED_VALUE"""),2327.24)</f>
        <v/>
      </c>
    </row>
    <row r="13182">
      <c r="J13182">
        <f>IFERROR(__xludf.DUMMYFUNCTION("""COMPUTED_VALUE"""),"Montreal and Kelowna")</f>
        <v/>
      </c>
      <c r="K13182">
        <f>IFERROR(__xludf.DUMMYFUNCTION("""COMPUTED_VALUE"""),2327.12)</f>
        <v/>
      </c>
    </row>
    <row r="13183">
      <c r="J13183">
        <f>IFERROR(__xludf.DUMMYFUNCTION("""COMPUTED_VALUE"""),"St. John’s, Newfoundland and Halifax, Nova Scotia, Canada")</f>
        <v/>
      </c>
      <c r="K13183">
        <f>IFERROR(__xludf.DUMMYFUNCTION("""COMPUTED_VALUE"""),2326.06)</f>
        <v/>
      </c>
    </row>
    <row r="13184">
      <c r="J13184">
        <f>IFERROR(__xludf.DUMMYFUNCTION("""COMPUTED_VALUE"""),"San Diego (CA) USA")</f>
        <v/>
      </c>
      <c r="K13184">
        <f>IFERROR(__xludf.DUMMYFUNCTION("""COMPUTED_VALUE"""),2325.94)</f>
        <v/>
      </c>
    </row>
    <row r="13185">
      <c r="J13185">
        <f>IFERROR(__xludf.DUMMYFUNCTION("""COMPUTED_VALUE"""),"Natashquan, Quebec, Canada; Havre-Saint-Pierre, Quebec, Canada; Îles-de-la-Madeleine, Quebec, Canada; Sainte-Anne-des-Monts, Quebec, Canada; New Richmond, Quebec, Canada")</f>
        <v/>
      </c>
      <c r="K13185">
        <f>IFERROR(__xludf.DUMMYFUNCTION("""COMPUTED_VALUE"""),2324.95)</f>
        <v/>
      </c>
    </row>
    <row r="13186">
      <c r="J13186">
        <f>IFERROR(__xludf.DUMMYFUNCTION("""COMPUTED_VALUE"""),"Charlottetown, Prince Edward Island, Canada; Inverness, Nova Scotia, Canada")</f>
        <v/>
      </c>
      <c r="K13186">
        <f>IFERROR(__xludf.DUMMYFUNCTION("""COMPUTED_VALUE"""),2324.21)</f>
        <v/>
      </c>
    </row>
    <row r="13187">
      <c r="J13187">
        <f>IFERROR(__xludf.DUMMYFUNCTION("""COMPUTED_VALUE"""),"Charlottetown, PE - Ottawa, ON / Ottawa, ON  - Charlottetown, PE")</f>
        <v/>
      </c>
      <c r="K13187">
        <f>IFERROR(__xludf.DUMMYFUNCTION("""COMPUTED_VALUE"""),2324.14)</f>
        <v/>
      </c>
    </row>
    <row r="13188">
      <c r="J13188">
        <f>IFERROR(__xludf.DUMMYFUNCTION("""COMPUTED_VALUE"""),"Deline, N.W.T.")</f>
        <v/>
      </c>
      <c r="K13188">
        <f>IFERROR(__xludf.DUMMYFUNCTION("""COMPUTED_VALUE"""),2323.13)</f>
        <v/>
      </c>
    </row>
    <row r="13189">
      <c r="J13189">
        <f>IFERROR(__xludf.DUMMYFUNCTION("""COMPUTED_VALUE"""),"Ottawa, ON - Montréal, QC")</f>
        <v/>
      </c>
      <c r="K13189">
        <f>IFERROR(__xludf.DUMMYFUNCTION("""COMPUTED_VALUE"""),2322.95)</f>
        <v/>
      </c>
    </row>
    <row r="13190">
      <c r="J13190">
        <f>IFERROR(__xludf.DUMMYFUNCTION("""COMPUTED_VALUE"""),"Toronto, Ontario and Washington, DC")</f>
        <v/>
      </c>
      <c r="K13190">
        <f>IFERROR(__xludf.DUMMYFUNCTION("""COMPUTED_VALUE"""),2322.91)</f>
        <v/>
      </c>
    </row>
    <row r="13191">
      <c r="J13191">
        <f>IFERROR(__xludf.DUMMYFUNCTION("""COMPUTED_VALUE"""),"Calgary, AB / Winnipeg, MB")</f>
        <v/>
      </c>
      <c r="K13191">
        <f>IFERROR(__xludf.DUMMYFUNCTION("""COMPUTED_VALUE"""),2322.38)</f>
        <v/>
      </c>
    </row>
    <row r="13192">
      <c r="J13192">
        <f>IFERROR(__xludf.DUMMYFUNCTION("""COMPUTED_VALUE"""),"Val-d'Or (Québec) Canada")</f>
        <v/>
      </c>
      <c r="K13192">
        <f>IFERROR(__xludf.DUMMYFUNCTION("""COMPUTED_VALUE"""),2322)</f>
        <v/>
      </c>
    </row>
    <row r="13193">
      <c r="J13193">
        <f>IFERROR(__xludf.DUMMYFUNCTION("""COMPUTED_VALUE"""),"Duncan / Victoria, British Colombia, Canada")</f>
        <v/>
      </c>
      <c r="K13193">
        <f>IFERROR(__xludf.DUMMYFUNCTION("""COMPUTED_VALUE"""),2321.82)</f>
        <v/>
      </c>
    </row>
    <row r="13194">
      <c r="J13194">
        <f>IFERROR(__xludf.DUMMYFUNCTION("""COMPUTED_VALUE"""),"Washington USA")</f>
        <v/>
      </c>
      <c r="K13194">
        <f>IFERROR(__xludf.DUMMYFUNCTION("""COMPUTED_VALUE"""),2321.79)</f>
        <v/>
      </c>
    </row>
    <row r="13195">
      <c r="J13195">
        <f>IFERROR(__xludf.DUMMYFUNCTION("""COMPUTED_VALUE"""),"St. Kitts and Nevis")</f>
        <v/>
      </c>
      <c r="K13195">
        <f>IFERROR(__xludf.DUMMYFUNCTION("""COMPUTED_VALUE"""),2321.52999999999)</f>
        <v/>
      </c>
    </row>
    <row r="13196">
      <c r="J13196">
        <f>IFERROR(__xludf.DUMMYFUNCTION("""COMPUTED_VALUE"""),"Regina, Saskatchewan
Brandon, Manitoba
Portage la Prairie, Manitoba")</f>
        <v/>
      </c>
      <c r="K13196">
        <f>IFERROR(__xludf.DUMMYFUNCTION("""COMPUTED_VALUE"""),2321.34)</f>
        <v/>
      </c>
    </row>
    <row r="13197">
      <c r="J13197">
        <f>IFERROR(__xludf.DUMMYFUNCTION("""COMPUTED_VALUE"""),"Ottawa ON /Halifax NS /Montreal QC")</f>
        <v/>
      </c>
      <c r="K13197">
        <f>IFERROR(__xludf.DUMMYFUNCTION("""COMPUTED_VALUE"""),2320.96)</f>
        <v/>
      </c>
    </row>
    <row r="13198">
      <c r="J13198">
        <f>IFERROR(__xludf.DUMMYFUNCTION("""COMPUTED_VALUE"""),"Fredericton, New Brunswick, Canada; Moncton, New Brunswick, Canada; Halifax, Nova Scotia, Canada; St. John's, Newfoundland and Labrador, Canada")</f>
        <v/>
      </c>
      <c r="K13198">
        <f>IFERROR(__xludf.DUMMYFUNCTION("""COMPUTED_VALUE"""),2320.33)</f>
        <v/>
      </c>
    </row>
    <row r="13199">
      <c r="J13199">
        <f>IFERROR(__xludf.DUMMYFUNCTION("""COMPUTED_VALUE"""),"Halifax - Sydney - Membertou, Nova Scotia; St. John's - Gander - Port aux Basques, Newfoundland and Labrador")</f>
        <v/>
      </c>
      <c r="K13199">
        <f>IFERROR(__xludf.DUMMYFUNCTION("""COMPUTED_VALUE"""),2320.06)</f>
        <v/>
      </c>
    </row>
    <row r="13200">
      <c r="J13200">
        <f>IFERROR(__xludf.DUMMYFUNCTION("""COMPUTED_VALUE"""),"Gatineau, Quebec; Ottawa, Ontario, Canada")</f>
        <v/>
      </c>
      <c r="K13200">
        <f>IFERROR(__xludf.DUMMYFUNCTION("""COMPUTED_VALUE"""),2320.02999999999)</f>
        <v/>
      </c>
    </row>
    <row r="13201">
      <c r="J13201">
        <f>IFERROR(__xludf.DUMMYFUNCTION("""COMPUTED_VALUE"""),"Waddington and Prestwick, United Kingdom")</f>
        <v/>
      </c>
      <c r="K13201">
        <f>IFERROR(__xludf.DUMMYFUNCTION("""COMPUTED_VALUE"""),2319.86)</f>
        <v/>
      </c>
    </row>
    <row r="13202">
      <c r="J13202">
        <f>IFERROR(__xludf.DUMMYFUNCTION("""COMPUTED_VALUE"""),"Ottawa - Quebec - Ottawa")</f>
        <v/>
      </c>
      <c r="K13202">
        <f>IFERROR(__xludf.DUMMYFUNCTION("""COMPUTED_VALUE"""),2319)</f>
        <v/>
      </c>
    </row>
    <row r="13203">
      <c r="J13203">
        <f>IFERROR(__xludf.DUMMYFUNCTION("""COMPUTED_VALUE"""),"Edmonton, AB - Vancouver, BC - Whitehorse, YK")</f>
        <v/>
      </c>
      <c r="K13203">
        <f>IFERROR(__xludf.DUMMYFUNCTION("""COMPUTED_VALUE"""),2318.34)</f>
        <v/>
      </c>
    </row>
    <row r="13204">
      <c r="J13204">
        <f>IFERROR(__xludf.DUMMYFUNCTION("""COMPUTED_VALUE"""),"Calgary, AB - Regina, SK")</f>
        <v/>
      </c>
      <c r="K13204">
        <f>IFERROR(__xludf.DUMMYFUNCTION("""COMPUTED_VALUE"""),2318.3)</f>
        <v/>
      </c>
    </row>
    <row r="13205">
      <c r="J13205">
        <f>IFERROR(__xludf.DUMMYFUNCTION("""COMPUTED_VALUE"""),"Mackinac Island, Michigan")</f>
        <v/>
      </c>
      <c r="K13205">
        <f>IFERROR(__xludf.DUMMYFUNCTION("""COMPUTED_VALUE"""),2318.24)</f>
        <v/>
      </c>
    </row>
    <row r="13206">
      <c r="J13206">
        <f>IFERROR(__xludf.DUMMYFUNCTION("""COMPUTED_VALUE"""),"Charlottetown and New Glasgow")</f>
        <v/>
      </c>
      <c r="K13206">
        <f>IFERROR(__xludf.DUMMYFUNCTION("""COMPUTED_VALUE"""),2318.15)</f>
        <v/>
      </c>
    </row>
    <row r="13207">
      <c r="J13207">
        <f>IFERROR(__xludf.DUMMYFUNCTION("""COMPUTED_VALUE"""),"Calgary, AB, Vancouver, Victoria, Nanaimo, BC")</f>
        <v/>
      </c>
      <c r="K13207">
        <f>IFERROR(__xludf.DUMMYFUNCTION("""COMPUTED_VALUE"""),2317.16)</f>
        <v/>
      </c>
    </row>
    <row r="13208">
      <c r="J13208">
        <f>IFERROR(__xludf.DUMMYFUNCTION("""COMPUTED_VALUE"""),"Ottawa / Cancun, Mexico")</f>
        <v/>
      </c>
      <c r="K13208">
        <f>IFERROR(__xludf.DUMMYFUNCTION("""COMPUTED_VALUE"""),2316.87)</f>
        <v/>
      </c>
    </row>
    <row r="13209">
      <c r="J13209">
        <f>IFERROR(__xludf.DUMMYFUNCTION("""COMPUTED_VALUE"""),"St John's NL")</f>
        <v/>
      </c>
      <c r="K13209">
        <f>IFERROR(__xludf.DUMMYFUNCTION("""COMPUTED_VALUE"""),2316.75)</f>
        <v/>
      </c>
    </row>
    <row r="13210">
      <c r="J13210">
        <f>IFERROR(__xludf.DUMMYFUNCTION("""COMPUTED_VALUE"""),"Vancouver, British Columbia, Canada and Toronto, Ontario Canada")</f>
        <v/>
      </c>
      <c r="K13210">
        <f>IFERROR(__xludf.DUMMYFUNCTION("""COMPUTED_VALUE"""),2316.44)</f>
        <v/>
      </c>
    </row>
    <row r="13211">
      <c r="J13211">
        <f>IFERROR(__xludf.DUMMYFUNCTION("""COMPUTED_VALUE"""),"Williamsburg, Virginia, USA")</f>
        <v/>
      </c>
      <c r="K13211">
        <f>IFERROR(__xludf.DUMMYFUNCTION("""COMPUTED_VALUE"""),2316)</f>
        <v/>
      </c>
    </row>
    <row r="13212">
      <c r="J13212">
        <f>IFERROR(__xludf.DUMMYFUNCTION("""COMPUTED_VALUE"""),"Ottawa, Ontario / Calgary, Alberta, Canada")</f>
        <v/>
      </c>
      <c r="K13212">
        <f>IFERROR(__xludf.DUMMYFUNCTION("""COMPUTED_VALUE"""),2315.87)</f>
        <v/>
      </c>
    </row>
    <row r="13213">
      <c r="J13213">
        <f>IFERROR(__xludf.DUMMYFUNCTION("""COMPUTED_VALUE"""),"Vancouver-British Columbia-Canada")</f>
        <v/>
      </c>
      <c r="K13213">
        <f>IFERROR(__xludf.DUMMYFUNCTION("""COMPUTED_VALUE"""),2315.37)</f>
        <v/>
      </c>
    </row>
    <row r="13214">
      <c r="J13214">
        <f>IFERROR(__xludf.DUMMYFUNCTION("""COMPUTED_VALUE"""),"Kelowna, Nanaimo")</f>
        <v/>
      </c>
      <c r="K13214">
        <f>IFERROR(__xludf.DUMMYFUNCTION("""COMPUTED_VALUE"""),2314.67)</f>
        <v/>
      </c>
    </row>
    <row r="13215">
      <c r="J13215">
        <f>IFERROR(__xludf.DUMMYFUNCTION("""COMPUTED_VALUE"""),"Hamilton, Ontario, Canada - Darlington, Ontario, Canada - Winnipeg, Manitoba, Canada")</f>
        <v/>
      </c>
      <c r="K13215">
        <f>IFERROR(__xludf.DUMMYFUNCTION("""COMPUTED_VALUE"""),2314.26)</f>
        <v/>
      </c>
    </row>
    <row r="13216">
      <c r="J13216">
        <f>IFERROR(__xludf.DUMMYFUNCTION("""COMPUTED_VALUE"""),"Toronto, Chattam-Kent, London and Windsor, Ontario")</f>
        <v/>
      </c>
      <c r="K13216">
        <f>IFERROR(__xludf.DUMMYFUNCTION("""COMPUTED_VALUE"""),2314.26)</f>
        <v/>
      </c>
    </row>
    <row r="13217">
      <c r="J13217">
        <f>IFERROR(__xludf.DUMMYFUNCTION("""COMPUTED_VALUE"""),"Halifax and Grand Pré, Nova Scotia and St. John's and Trinity Bay, Newfoundland and Labrador")</f>
        <v/>
      </c>
      <c r="K13217">
        <f>IFERROR(__xludf.DUMMYFUNCTION("""COMPUTED_VALUE"""),2314.07)</f>
        <v/>
      </c>
    </row>
    <row r="13218">
      <c r="J13218">
        <f>IFERROR(__xludf.DUMMYFUNCTION("""COMPUTED_VALUE"""),"Fort McMurray &amp; Fort Chipewyan, Alberta")</f>
        <v/>
      </c>
      <c r="K13218">
        <f>IFERROR(__xludf.DUMMYFUNCTION("""COMPUTED_VALUE"""),2313.87)</f>
        <v/>
      </c>
    </row>
    <row r="13219">
      <c r="J13219">
        <f>IFERROR(__xludf.DUMMYFUNCTION("""COMPUTED_VALUE"""),"Georgia, Atlanta")</f>
        <v/>
      </c>
      <c r="K13219">
        <f>IFERROR(__xludf.DUMMYFUNCTION("""COMPUTED_VALUE"""),2313.16)</f>
        <v/>
      </c>
    </row>
    <row r="13220">
      <c r="J13220">
        <f>IFERROR(__xludf.DUMMYFUNCTION("""COMPUTED_VALUE"""),"Columbus, United States")</f>
        <v/>
      </c>
      <c r="K13220">
        <f>IFERROR(__xludf.DUMMYFUNCTION("""COMPUTED_VALUE"""),2313)</f>
        <v/>
      </c>
    </row>
    <row r="13221">
      <c r="J13221">
        <f>IFERROR(__xludf.DUMMYFUNCTION("""COMPUTED_VALUE"""),"Ottawa/ Toronto")</f>
        <v/>
      </c>
      <c r="K13221">
        <f>IFERROR(__xludf.DUMMYFUNCTION("""COMPUTED_VALUE"""),2312.72)</f>
        <v/>
      </c>
    </row>
    <row r="13222">
      <c r="J13222">
        <f>IFERROR(__xludf.DUMMYFUNCTION("""COMPUTED_VALUE"""),"Bilboa, Spain")</f>
        <v/>
      </c>
      <c r="K13222">
        <f>IFERROR(__xludf.DUMMYFUNCTION("""COMPUTED_VALUE"""),2312.06)</f>
        <v/>
      </c>
    </row>
    <row r="13223">
      <c r="J13223">
        <f>IFERROR(__xludf.DUMMYFUNCTION("""COMPUTED_VALUE"""),"Quebec, Quebec (Canada)")</f>
        <v/>
      </c>
      <c r="K13223">
        <f>IFERROR(__xludf.DUMMYFUNCTION("""COMPUTED_VALUE"""),2311.67)</f>
        <v/>
      </c>
    </row>
    <row r="13224">
      <c r="J13224">
        <f>IFERROR(__xludf.DUMMYFUNCTION("""COMPUTED_VALUE"""),"Dartmouth, Nova Scotia, Canada;  Halifax, Nova Scotia, Canada")</f>
        <v/>
      </c>
      <c r="K13224">
        <f>IFERROR(__xludf.DUMMYFUNCTION("""COMPUTED_VALUE"""),2311.3)</f>
        <v/>
      </c>
    </row>
    <row r="13225">
      <c r="J13225">
        <f>IFERROR(__xludf.DUMMYFUNCTION("""COMPUTED_VALUE"""),"Toronto, On, CA")</f>
        <v/>
      </c>
      <c r="K13225">
        <f>IFERROR(__xludf.DUMMYFUNCTION("""COMPUTED_VALUE"""),2311.22)</f>
        <v/>
      </c>
    </row>
    <row r="13226">
      <c r="J13226">
        <f>IFERROR(__xludf.DUMMYFUNCTION("""COMPUTED_VALUE"""),"Kitchener, ON / St. Catharines,
ON / Toronto, ON / Vaughan,
ON")</f>
        <v/>
      </c>
      <c r="K13226">
        <f>IFERROR(__xludf.DUMMYFUNCTION("""COMPUTED_VALUE"""),2310.89)</f>
        <v/>
      </c>
    </row>
    <row r="13227">
      <c r="J13227">
        <f>IFERROR(__xludf.DUMMYFUNCTION("""COMPUTED_VALUE"""),"Port Hawkesbury, Nova Scotia; Saint John, New Brunswick")</f>
        <v/>
      </c>
      <c r="K13227">
        <f>IFERROR(__xludf.DUMMYFUNCTION("""COMPUTED_VALUE"""),2310.78)</f>
        <v/>
      </c>
    </row>
    <row r="13228">
      <c r="J13228">
        <f>IFERROR(__xludf.DUMMYFUNCTION("""COMPUTED_VALUE"""),"Moncton, New Brunswick/Halifax, Nova Scotia, Canada")</f>
        <v/>
      </c>
      <c r="K13228">
        <f>IFERROR(__xludf.DUMMYFUNCTION("""COMPUTED_VALUE"""),2310.47)</f>
        <v/>
      </c>
    </row>
    <row r="13229">
      <c r="J13229">
        <f>IFERROR(__xludf.DUMMYFUNCTION("""COMPUTED_VALUE"""),"Ottawa, Ontario Via private car")</f>
        <v/>
      </c>
      <c r="K13229">
        <f>IFERROR(__xludf.DUMMYFUNCTION("""COMPUTED_VALUE"""),2309)</f>
        <v/>
      </c>
    </row>
    <row r="13230">
      <c r="J13230">
        <f>IFERROR(__xludf.DUMMYFUNCTION("""COMPUTED_VALUE"""),"Calgary, Alberta, Canada, 
Vancouver, British Columbia, Canada")</f>
        <v/>
      </c>
      <c r="K13230">
        <f>IFERROR(__xludf.DUMMYFUNCTION("""COMPUTED_VALUE"""),2308.91)</f>
        <v/>
      </c>
    </row>
    <row r="13231">
      <c r="J13231">
        <f>IFERROR(__xludf.DUMMYFUNCTION("""COMPUTED_VALUE"""),"QUEBEC CITY, QUEBEC, CANADA")</f>
        <v/>
      </c>
      <c r="K13231">
        <f>IFERROR(__xludf.DUMMYFUNCTION("""COMPUTED_VALUE"""),2306.5)</f>
        <v/>
      </c>
    </row>
    <row r="13232">
      <c r="J13232">
        <f>IFERROR(__xludf.DUMMYFUNCTION("""COMPUTED_VALUE"""),"Charlottetown, PE - Winnipeg, MB / Winnipeg, MB - Charlottetown, PE")</f>
        <v/>
      </c>
      <c r="K13232">
        <f>IFERROR(__xludf.DUMMYFUNCTION("""COMPUTED_VALUE"""),2306.18)</f>
        <v/>
      </c>
    </row>
    <row r="13233">
      <c r="J13233">
        <f>IFERROR(__xludf.DUMMYFUNCTION("""COMPUTED_VALUE"""),"Kitchener, Waterloo and Barrie, Ontario")</f>
        <v/>
      </c>
      <c r="K13233">
        <f>IFERROR(__xludf.DUMMYFUNCTION("""COMPUTED_VALUE"""),2305.77)</f>
        <v/>
      </c>
    </row>
    <row r="13234">
      <c r="J13234">
        <f>IFERROR(__xludf.DUMMYFUNCTION("""COMPUTED_VALUE"""),"Winnipeg,MB; Edmonton,AB;
Vancouver,BC")</f>
        <v/>
      </c>
      <c r="K13234">
        <f>IFERROR(__xludf.DUMMYFUNCTION("""COMPUTED_VALUE"""),2305.5)</f>
        <v/>
      </c>
    </row>
    <row r="13235">
      <c r="J13235">
        <f>IFERROR(__xludf.DUMMYFUNCTION("""COMPUTED_VALUE"""),"Toronto and Brampton, Ontario, Canada")</f>
        <v/>
      </c>
      <c r="K13235">
        <f>IFERROR(__xludf.DUMMYFUNCTION("""COMPUTED_VALUE"""),2305.21)</f>
        <v/>
      </c>
    </row>
    <row r="13236">
      <c r="J13236">
        <f>IFERROR(__xludf.DUMMYFUNCTION("""COMPUTED_VALUE"""),"Wakefield, Quebec, Canada; Ottawa, Ontario, Canada")</f>
        <v/>
      </c>
      <c r="K13236">
        <f>IFERROR(__xludf.DUMMYFUNCTION("""COMPUTED_VALUE"""),2305.12)</f>
        <v/>
      </c>
    </row>
    <row r="13237">
      <c r="J13237">
        <f>IFERROR(__xludf.DUMMYFUNCTION("""COMPUTED_VALUE"""),"Winnipeg, MB, Toronto, ON, Montreal and Quebec, QC")</f>
        <v/>
      </c>
      <c r="K13237">
        <f>IFERROR(__xludf.DUMMYFUNCTION("""COMPUTED_VALUE"""),2304.96)</f>
        <v/>
      </c>
    </row>
    <row r="13238">
      <c r="J13238">
        <f>IFERROR(__xludf.DUMMYFUNCTION("""COMPUTED_VALUE"""),"Takla Nation, British Columbia, Canada")</f>
        <v/>
      </c>
      <c r="K13238">
        <f>IFERROR(__xludf.DUMMYFUNCTION("""COMPUTED_VALUE"""),2304.34)</f>
        <v/>
      </c>
    </row>
    <row r="13239">
      <c r="J13239">
        <f>IFERROR(__xludf.DUMMYFUNCTION("""COMPUTED_VALUE"""),"Toronto, ON, Washington, DC, USA")</f>
        <v/>
      </c>
      <c r="K13239">
        <f>IFERROR(__xludf.DUMMYFUNCTION("""COMPUTED_VALUE"""),2303.85)</f>
        <v/>
      </c>
    </row>
    <row r="13240">
      <c r="J13240">
        <f>IFERROR(__xludf.DUMMYFUNCTION("""COMPUTED_VALUE"""),"Halifax, Nova Scotia, St. John's, Newfoundland and Labrador")</f>
        <v/>
      </c>
      <c r="K13240">
        <f>IFERROR(__xludf.DUMMYFUNCTION("""COMPUTED_VALUE"""),2303.77)</f>
        <v/>
      </c>
    </row>
    <row r="13241">
      <c r="J13241">
        <f>IFERROR(__xludf.DUMMYFUNCTION("""COMPUTED_VALUE"""),"Saint-Leonard, New Brunswick, Canada")</f>
        <v/>
      </c>
      <c r="K13241">
        <f>IFERROR(__xludf.DUMMYFUNCTION("""COMPUTED_VALUE"""),2303.2)</f>
        <v/>
      </c>
    </row>
    <row r="13242">
      <c r="J13242">
        <f>IFERROR(__xludf.DUMMYFUNCTION("""COMPUTED_VALUE"""),"Moncton, Miramichi, NB")</f>
        <v/>
      </c>
      <c r="K13242">
        <f>IFERROR(__xludf.DUMMYFUNCTION("""COMPUTED_VALUE"""),2302.49)</f>
        <v/>
      </c>
    </row>
    <row r="13243">
      <c r="J13243">
        <f>IFERROR(__xludf.DUMMYFUNCTION("""COMPUTED_VALUE"""),"Ottawa / Boston")</f>
        <v/>
      </c>
      <c r="K13243">
        <f>IFERROR(__xludf.DUMMYFUNCTION("""COMPUTED_VALUE"""),2302.45)</f>
        <v/>
      </c>
    </row>
    <row r="13244">
      <c r="J13244">
        <f>IFERROR(__xludf.DUMMYFUNCTION("""COMPUTED_VALUE"""),"Ottawa, ON / Niagara Falls, ON")</f>
        <v/>
      </c>
      <c r="K13244">
        <f>IFERROR(__xludf.DUMMYFUNCTION("""COMPUTED_VALUE"""),2302.14)</f>
        <v/>
      </c>
    </row>
    <row r="13245">
      <c r="J13245">
        <f>IFERROR(__xludf.DUMMYFUNCTION("""COMPUTED_VALUE"""),"Minot, United States")</f>
        <v/>
      </c>
      <c r="K13245">
        <f>IFERROR(__xludf.DUMMYFUNCTION("""COMPUTED_VALUE"""),2301.47)</f>
        <v/>
      </c>
    </row>
    <row r="13246">
      <c r="J13246">
        <f>IFERROR(__xludf.DUMMYFUNCTION("""COMPUTED_VALUE"""),"Sasktatoon, Saskatchewan")</f>
        <v/>
      </c>
      <c r="K13246">
        <f>IFERROR(__xludf.DUMMYFUNCTION("""COMPUTED_VALUE"""),2301.3)</f>
        <v/>
      </c>
    </row>
    <row r="13247">
      <c r="J13247">
        <f>IFERROR(__xludf.DUMMYFUNCTION("""COMPUTED_VALUE"""),"NCR HQ Ottawa")</f>
        <v/>
      </c>
      <c r="K13247">
        <f>IFERROR(__xludf.DUMMYFUNCTION("""COMPUTED_VALUE"""),2301.03)</f>
        <v/>
      </c>
    </row>
    <row r="13248">
      <c r="J13248">
        <f>IFERROR(__xludf.DUMMYFUNCTION("""COMPUTED_VALUE"""),"Regina, Vancouver")</f>
        <v/>
      </c>
      <c r="K13248">
        <f>IFERROR(__xludf.DUMMYFUNCTION("""COMPUTED_VALUE"""),2300.78)</f>
        <v/>
      </c>
    </row>
    <row r="13249">
      <c r="J13249">
        <f>IFERROR(__xludf.DUMMYFUNCTION("""COMPUTED_VALUE"""),"San Jose, USA")</f>
        <v/>
      </c>
      <c r="K13249">
        <f>IFERROR(__xludf.DUMMYFUNCTION("""COMPUTED_VALUE"""),2300.26)</f>
        <v/>
      </c>
    </row>
    <row r="13250">
      <c r="J13250">
        <f>IFERROR(__xludf.DUMMYFUNCTION("""COMPUTED_VALUE"""),"St. John's, Newfoundland and Labrador;#22")</f>
        <v/>
      </c>
      <c r="K13250">
        <f>IFERROR(__xludf.DUMMYFUNCTION("""COMPUTED_VALUE"""),2299.72)</f>
        <v/>
      </c>
    </row>
    <row r="13251">
      <c r="J13251">
        <f>IFERROR(__xludf.DUMMYFUNCTION("""COMPUTED_VALUE"""),"Kingston, Ontario, Canada; Barrie, Ontario, Canada; Toronto, Ontario, Canada; Hamilton, Ontario, Canada")</f>
        <v/>
      </c>
      <c r="K13251">
        <f>IFERROR(__xludf.DUMMYFUNCTION("""COMPUTED_VALUE"""),2298.91)</f>
        <v/>
      </c>
    </row>
    <row r="13252">
      <c r="J13252">
        <f>IFERROR(__xludf.DUMMYFUNCTION("""COMPUTED_VALUE"""),"Summerside, PE Halifax, NS St-John's, NL")</f>
        <v/>
      </c>
      <c r="K13252">
        <f>IFERROR(__xludf.DUMMYFUNCTION("""COMPUTED_VALUE"""),2298.47)</f>
        <v/>
      </c>
    </row>
    <row r="13253">
      <c r="J13253">
        <f>IFERROR(__xludf.DUMMYFUNCTION("""COMPUTED_VALUE"""),"Vancouver / Victoria /Kelowna, BC")</f>
        <v/>
      </c>
      <c r="K13253">
        <f>IFERROR(__xludf.DUMMYFUNCTION("""COMPUTED_VALUE"""),2298.44)</f>
        <v/>
      </c>
    </row>
    <row r="13254">
      <c r="J13254">
        <f>IFERROR(__xludf.DUMMYFUNCTION("""COMPUTED_VALUE"""),"Borden, ON and Oklahome City, OK")</f>
        <v/>
      </c>
      <c r="K13254">
        <f>IFERROR(__xludf.DUMMYFUNCTION("""COMPUTED_VALUE"""),2298.14)</f>
        <v/>
      </c>
    </row>
    <row r="13255">
      <c r="J13255">
        <f>IFERROR(__xludf.DUMMYFUNCTION("""COMPUTED_VALUE"""),"WINNIPEG, MANITOBA, CANADA")</f>
        <v/>
      </c>
      <c r="K13255">
        <f>IFERROR(__xludf.DUMMYFUNCTION("""COMPUTED_VALUE"""),2297.67)</f>
        <v/>
      </c>
    </row>
    <row r="13256">
      <c r="J13256">
        <f>IFERROR(__xludf.DUMMYFUNCTION("""COMPUTED_VALUE"""),"Smith Falls, Ontario")</f>
        <v/>
      </c>
      <c r="K13256">
        <f>IFERROR(__xludf.DUMMYFUNCTION("""COMPUTED_VALUE"""),2296.7)</f>
        <v/>
      </c>
    </row>
    <row r="13257">
      <c r="J13257">
        <f>IFERROR(__xludf.DUMMYFUNCTION("""COMPUTED_VALUE"""),"Orlando, Forida, USA")</f>
        <v/>
      </c>
      <c r="K13257">
        <f>IFERROR(__xludf.DUMMYFUNCTION("""COMPUTED_VALUE"""),2296.41)</f>
        <v/>
      </c>
    </row>
    <row r="13258">
      <c r="J13258">
        <f>IFERROR(__xludf.DUMMYFUNCTION("""COMPUTED_VALUE"""),"Calgary et Edmonton")</f>
        <v/>
      </c>
      <c r="K13258">
        <f>IFERROR(__xludf.DUMMYFUNCTION("""COMPUTED_VALUE"""),2296.33)</f>
        <v/>
      </c>
    </row>
    <row r="13259">
      <c r="J13259">
        <f>IFERROR(__xludf.DUMMYFUNCTION("""COMPUTED_VALUE"""),"Edmonton, Alberta, Winnipeg, Manitoba")</f>
        <v/>
      </c>
      <c r="K13259">
        <f>IFERROR(__xludf.DUMMYFUNCTION("""COMPUTED_VALUE"""),2296.1)</f>
        <v/>
      </c>
    </row>
    <row r="13260">
      <c r="J13260">
        <f>IFERROR(__xludf.DUMMYFUNCTION("""COMPUTED_VALUE"""),"KANATA, OTTAWA, SHERBROOKE, OTTAWA, KANATA")</f>
        <v/>
      </c>
      <c r="K13260">
        <f>IFERROR(__xludf.DUMMYFUNCTION("""COMPUTED_VALUE"""),2295.55)</f>
        <v/>
      </c>
    </row>
    <row r="13261">
      <c r="J13261">
        <f>IFERROR(__xludf.DUMMYFUNCTION("""COMPUTED_VALUE"""),"Ottawa, Waterloo, ON")</f>
        <v/>
      </c>
      <c r="K13261">
        <f>IFERROR(__xludf.DUMMYFUNCTION("""COMPUTED_VALUE"""),2295.55)</f>
        <v/>
      </c>
    </row>
    <row r="13262">
      <c r="J13262">
        <f>IFERROR(__xludf.DUMMYFUNCTION("""COMPUTED_VALUE"""),"Toronto, Ontario - Calgary/Banff/Jasper, Alberta")</f>
        <v/>
      </c>
      <c r="K13262">
        <f>IFERROR(__xludf.DUMMYFUNCTION("""COMPUTED_VALUE"""),2295.05)</f>
        <v/>
      </c>
    </row>
    <row r="13263">
      <c r="J13263">
        <f>IFERROR(__xludf.DUMMYFUNCTION("""COMPUTED_VALUE"""),"Waskesiu, Saskatchewan")</f>
        <v/>
      </c>
      <c r="K13263">
        <f>IFERROR(__xludf.DUMMYFUNCTION("""COMPUTED_VALUE"""),2294.41)</f>
        <v/>
      </c>
    </row>
    <row r="13264">
      <c r="J13264">
        <f>IFERROR(__xludf.DUMMYFUNCTION("""COMPUTED_VALUE"""),"Vancouver, British Columbia, Canada
Prince Rupert, British Columbia, Canada
Terrace, British Columbia, Canada")</f>
        <v/>
      </c>
      <c r="K13264">
        <f>IFERROR(__xludf.DUMMYFUNCTION("""COMPUTED_VALUE"""),2294.05)</f>
        <v/>
      </c>
    </row>
    <row r="13265">
      <c r="J13265">
        <f>IFERROR(__xludf.DUMMYFUNCTION("""COMPUTED_VALUE"""),"Kelowna, Nanaimo, British Columbia")</f>
        <v/>
      </c>
      <c r="K13265">
        <f>IFERROR(__xludf.DUMMYFUNCTION("""COMPUTED_VALUE"""),2294.04)</f>
        <v/>
      </c>
    </row>
    <row r="13266">
      <c r="J13266">
        <f>IFERROR(__xludf.DUMMYFUNCTION("""COMPUTED_VALUE"""),"Anderson, South Carolina, United States")</f>
        <v/>
      </c>
      <c r="K13266">
        <f>IFERROR(__xludf.DUMMYFUNCTION("""COMPUTED_VALUE"""),2293.74)</f>
        <v/>
      </c>
    </row>
    <row r="13267">
      <c r="J13267">
        <f>IFERROR(__xludf.DUMMYFUNCTION("""COMPUTED_VALUE"""),"Norway, Tromso")</f>
        <v/>
      </c>
      <c r="K13267">
        <f>IFERROR(__xludf.DUMMYFUNCTION("""COMPUTED_VALUE"""),2293.67)</f>
        <v/>
      </c>
    </row>
    <row r="13268">
      <c r="J13268">
        <f>IFERROR(__xludf.DUMMYFUNCTION("""COMPUTED_VALUE"""),"Regina, SK Edmonton, AB")</f>
        <v/>
      </c>
      <c r="K13268">
        <f>IFERROR(__xludf.DUMMYFUNCTION("""COMPUTED_VALUE"""),2293.66)</f>
        <v/>
      </c>
    </row>
    <row r="13269">
      <c r="J13269">
        <f>IFERROR(__xludf.DUMMYFUNCTION("""COMPUTED_VALUE"""),"Pittsburgh, Pennsylvania")</f>
        <v/>
      </c>
      <c r="K13269">
        <f>IFERROR(__xludf.DUMMYFUNCTION("""COMPUTED_VALUE"""),2293.35)</f>
        <v/>
      </c>
    </row>
    <row r="13270">
      <c r="J13270">
        <f>IFERROR(__xludf.DUMMYFUNCTION("""COMPUTED_VALUE"""),"Toronto, ON - Edmonton, AB")</f>
        <v/>
      </c>
      <c r="K13270">
        <f>IFERROR(__xludf.DUMMYFUNCTION("""COMPUTED_VALUE"""),2293.16)</f>
        <v/>
      </c>
    </row>
    <row r="13271">
      <c r="J13271">
        <f>IFERROR(__xludf.DUMMYFUNCTION("""COMPUTED_VALUE"""),"Whistler, Winnipeg and Ottawa")</f>
        <v/>
      </c>
      <c r="K13271">
        <f>IFERROR(__xludf.DUMMYFUNCTION("""COMPUTED_VALUE"""),2293)</f>
        <v/>
      </c>
    </row>
    <row r="13272">
      <c r="J13272">
        <f>IFERROR(__xludf.DUMMYFUNCTION("""COMPUTED_VALUE"""),"Gros Morne, Newfoundland and Labrador")</f>
        <v/>
      </c>
      <c r="K13272">
        <f>IFERROR(__xludf.DUMMYFUNCTION("""COMPUTED_VALUE"""),2292.82)</f>
        <v/>
      </c>
    </row>
    <row r="13273">
      <c r="J13273">
        <f>IFERROR(__xludf.DUMMYFUNCTION("""COMPUTED_VALUE"""),"VANCOUVER, BC - KELOWNA, BC - PENTICTION, BC, VANCOUVER,BC")</f>
        <v/>
      </c>
      <c r="K13273">
        <f>IFERROR(__xludf.DUMMYFUNCTION("""COMPUTED_VALUE"""),2292.49)</f>
        <v/>
      </c>
    </row>
    <row r="13274">
      <c r="J13274">
        <f>IFERROR(__xludf.DUMMYFUNCTION("""COMPUTED_VALUE"""),"Halifax, Nova Scotia, Canada / Deer Lake, Newfoundland and Labrador, Canada")</f>
        <v/>
      </c>
      <c r="K13274">
        <f>IFERROR(__xludf.DUMMYFUNCTION("""COMPUTED_VALUE"""),2291.77)</f>
        <v/>
      </c>
    </row>
    <row r="13275">
      <c r="J13275">
        <f>IFERROR(__xludf.DUMMYFUNCTION("""COMPUTED_VALUE"""),"Winnipeg, New Brunswick")</f>
        <v/>
      </c>
      <c r="K13275">
        <f>IFERROR(__xludf.DUMMYFUNCTION("""COMPUTED_VALUE"""),2291.76)</f>
        <v/>
      </c>
    </row>
    <row r="13276">
      <c r="J13276">
        <f>IFERROR(__xludf.DUMMYFUNCTION("""COMPUTED_VALUE"""),"Tampa Bay, Florida, United States of America")</f>
        <v/>
      </c>
      <c r="K13276">
        <f>IFERROR(__xludf.DUMMYFUNCTION("""COMPUTED_VALUE"""),2291.3)</f>
        <v/>
      </c>
    </row>
    <row r="13277">
      <c r="J13277">
        <f>IFERROR(__xludf.DUMMYFUNCTION("""COMPUTED_VALUE"""),"Denver, Colorado USA")</f>
        <v/>
      </c>
      <c r="K13277">
        <f>IFERROR(__xludf.DUMMYFUNCTION("""COMPUTED_VALUE"""),2290.46)</f>
        <v/>
      </c>
    </row>
    <row r="13278">
      <c r="J13278">
        <f>IFERROR(__xludf.DUMMYFUNCTION("""COMPUTED_VALUE"""),"Charlottetown, PE - Quebec City, QC / Quebec City, QC - Ottawa, ON / Ottawa, ON - Charlottetown, PE")</f>
        <v/>
      </c>
      <c r="K13278">
        <f>IFERROR(__xludf.DUMMYFUNCTION("""COMPUTED_VALUE"""),2289.64)</f>
        <v/>
      </c>
    </row>
    <row r="13279">
      <c r="J13279">
        <f>IFERROR(__xludf.DUMMYFUNCTION("""COMPUTED_VALUE"""),"Ottawa, ON, Edmonton and Calgary, AB")</f>
        <v/>
      </c>
      <c r="K13279">
        <f>IFERROR(__xludf.DUMMYFUNCTION("""COMPUTED_VALUE"""),2289.28)</f>
        <v/>
      </c>
    </row>
    <row r="13280">
      <c r="J13280">
        <f>IFERROR(__xludf.DUMMYFUNCTION("""COMPUTED_VALUE"""),"Vancouver, British Columbia, Canada
Richmond, British Columbia, Canada
Surrey, British Columbia, Canada
Guelph, Ontario, Canada")</f>
        <v/>
      </c>
      <c r="K13280">
        <f>IFERROR(__xludf.DUMMYFUNCTION("""COMPUTED_VALUE"""),2289.16)</f>
        <v/>
      </c>
    </row>
    <row r="13281">
      <c r="J13281">
        <f>IFERROR(__xludf.DUMMYFUNCTION("""COMPUTED_VALUE"""),"Frederiction, Deer Lake, St.John's, Halifax")</f>
        <v/>
      </c>
      <c r="K13281">
        <f>IFERROR(__xludf.DUMMYFUNCTION("""COMPUTED_VALUE"""),2289)</f>
        <v/>
      </c>
    </row>
    <row r="13282">
      <c r="J13282">
        <f>IFERROR(__xludf.DUMMYFUNCTION("""COMPUTED_VALUE"""),"Moncton, Nova Scotia and Montreal, Quebec")</f>
        <v/>
      </c>
      <c r="K13282">
        <f>IFERROR(__xludf.DUMMYFUNCTION("""COMPUTED_VALUE"""),2288.94)</f>
        <v/>
      </c>
    </row>
    <row r="13283">
      <c r="J13283">
        <f>IFERROR(__xludf.DUMMYFUNCTION("""COMPUTED_VALUE"""),"Washington (DC)")</f>
        <v/>
      </c>
      <c r="K13283">
        <f>IFERROR(__xludf.DUMMYFUNCTION("""COMPUTED_VALUE"""),2288.85)</f>
        <v/>
      </c>
    </row>
    <row r="13284">
      <c r="J13284">
        <f>IFERROR(__xludf.DUMMYFUNCTION("""COMPUTED_VALUE"""),"St-John's, NL and Halifax, NS")</f>
        <v/>
      </c>
      <c r="K13284">
        <f>IFERROR(__xludf.DUMMYFUNCTION("""COMPUTED_VALUE"""),2288.71)</f>
        <v/>
      </c>
    </row>
    <row r="13285">
      <c r="J13285">
        <f>IFERROR(__xludf.DUMMYFUNCTION("""COMPUTED_VALUE"""),"Dallas, Texas, United-States")</f>
        <v/>
      </c>
      <c r="K13285">
        <f>IFERROR(__xludf.DUMMYFUNCTION("""COMPUTED_VALUE"""),2288.47)</f>
        <v/>
      </c>
    </row>
    <row r="13286">
      <c r="J13286">
        <f>IFERROR(__xludf.DUMMYFUNCTION("""COMPUTED_VALUE"""),"Vancouver, Kitchener &amp; Windsor")</f>
        <v/>
      </c>
      <c r="K13286">
        <f>IFERROR(__xludf.DUMMYFUNCTION("""COMPUTED_VALUE"""),2288.07)</f>
        <v/>
      </c>
    </row>
    <row r="13287">
      <c r="J13287">
        <f>IFERROR(__xludf.DUMMYFUNCTION("""COMPUTED_VALUE"""),"Rivière-du-Loup (Quebec) Canada")</f>
        <v/>
      </c>
      <c r="K13287">
        <f>IFERROR(__xludf.DUMMYFUNCTION("""COMPUTED_VALUE"""),2288.05)</f>
        <v/>
      </c>
    </row>
    <row r="13288">
      <c r="J13288">
        <f>IFERROR(__xludf.DUMMYFUNCTION("""COMPUTED_VALUE"""),"Washington, District of Columbia, United-States of America &amp; Alexandria, Virginia, United-States of America")</f>
        <v/>
      </c>
      <c r="K13288">
        <f>IFERROR(__xludf.DUMMYFUNCTION("""COMPUTED_VALUE"""),2286.16)</f>
        <v/>
      </c>
    </row>
    <row r="13289">
      <c r="J13289">
        <f>IFERROR(__xludf.DUMMYFUNCTION("""COMPUTED_VALUE"""),"New York, New York, United States &amp; Toronto, Ontario, Canada")</f>
        <v/>
      </c>
      <c r="K13289">
        <f>IFERROR(__xludf.DUMMYFUNCTION("""COMPUTED_VALUE"""),2285.46)</f>
        <v/>
      </c>
    </row>
    <row r="13290">
      <c r="J13290">
        <f>IFERROR(__xludf.DUMMYFUNCTION("""COMPUTED_VALUE"""),"Halifax, NS - Charlottetown, PE")</f>
        <v/>
      </c>
      <c r="K13290">
        <f>IFERROR(__xludf.DUMMYFUNCTION("""COMPUTED_VALUE"""),2285.44)</f>
        <v/>
      </c>
    </row>
    <row r="13291">
      <c r="J13291">
        <f>IFERROR(__xludf.DUMMYFUNCTION("""COMPUTED_VALUE"""),"Calgary - Toronto - Ottawa")</f>
        <v/>
      </c>
      <c r="K13291">
        <f>IFERROR(__xludf.DUMMYFUNCTION("""COMPUTED_VALUE"""),2285.36)</f>
        <v/>
      </c>
    </row>
    <row r="13292">
      <c r="J13292">
        <f>IFERROR(__xludf.DUMMYFUNCTION("""COMPUTED_VALUE"""),"Washington DC, District of Columbia, United States")</f>
        <v/>
      </c>
      <c r="K13292">
        <f>IFERROR(__xludf.DUMMYFUNCTION("""COMPUTED_VALUE"""),2285.11)</f>
        <v/>
      </c>
    </row>
    <row r="13293">
      <c r="J13293">
        <f>IFERROR(__xludf.DUMMYFUNCTION("""COMPUTED_VALUE"""),"Orford, Montreal, Sherbrooke, Quebec (Canada), Toronto, Ontario (Canada)")</f>
        <v/>
      </c>
      <c r="K13293">
        <f>IFERROR(__xludf.DUMMYFUNCTION("""COMPUTED_VALUE"""),2285)</f>
        <v/>
      </c>
    </row>
    <row r="13294">
      <c r="J13294">
        <f>IFERROR(__xludf.DUMMYFUNCTION("""COMPUTED_VALUE"""),"Charlottetown, Prince Edward IslandCanada")</f>
        <v/>
      </c>
      <c r="K13294">
        <f>IFERROR(__xludf.DUMMYFUNCTION("""COMPUTED_VALUE"""),2284.49)</f>
        <v/>
      </c>
    </row>
    <row r="13295">
      <c r="J13295">
        <f>IFERROR(__xludf.DUMMYFUNCTION("""COMPUTED_VALUE"""),"Vancouver, British Columbia, Canada; Calgary, Alberta, Canada; Winnipeg, Manitoba, Canada")</f>
        <v/>
      </c>
      <c r="K13295">
        <f>IFERROR(__xludf.DUMMYFUNCTION("""COMPUTED_VALUE"""),2284.41)</f>
        <v/>
      </c>
    </row>
    <row r="13296">
      <c r="J13296">
        <f>IFERROR(__xludf.DUMMYFUNCTION("""COMPUTED_VALUE"""),"Vancouver, British Columbia / Toronto, Ontario / Trenton, Ontario, Canada")</f>
        <v/>
      </c>
      <c r="K13296">
        <f>IFERROR(__xludf.DUMMYFUNCTION("""COMPUTED_VALUE"""),2283.22)</f>
        <v/>
      </c>
    </row>
    <row r="13297">
      <c r="J13297">
        <f>IFERROR(__xludf.DUMMYFUNCTION("""COMPUTED_VALUE"""),"Riviere-du-Loup, Quebec, Canada")</f>
        <v/>
      </c>
      <c r="K13297">
        <f>IFERROR(__xludf.DUMMYFUNCTION("""COMPUTED_VALUE"""),2283.18)</f>
        <v/>
      </c>
    </row>
    <row r="13298">
      <c r="J13298">
        <f>IFERROR(__xludf.DUMMYFUNCTION("""COMPUTED_VALUE"""),"Halifax, Digby and Glooscap, Nova Scotia")</f>
        <v/>
      </c>
      <c r="K13298">
        <f>IFERROR(__xludf.DUMMYFUNCTION("""COMPUTED_VALUE"""),2283.11)</f>
        <v/>
      </c>
    </row>
    <row r="13299">
      <c r="J13299">
        <f>IFERROR(__xludf.DUMMYFUNCTION("""COMPUTED_VALUE"""),"Owen Sound, Ontario")</f>
        <v/>
      </c>
      <c r="K13299">
        <f>IFERROR(__xludf.DUMMYFUNCTION("""COMPUTED_VALUE"""),2282.9)</f>
        <v/>
      </c>
    </row>
    <row r="13300">
      <c r="J13300">
        <f>IFERROR(__xludf.DUMMYFUNCTION("""COMPUTED_VALUE"""),"Washington, DC / Arlington, VA")</f>
        <v/>
      </c>
      <c r="K13300">
        <f>IFERROR(__xludf.DUMMYFUNCTION("""COMPUTED_VALUE"""),2282.45)</f>
        <v/>
      </c>
    </row>
    <row r="13301">
      <c r="J13301">
        <f>IFERROR(__xludf.DUMMYFUNCTION("""COMPUTED_VALUE"""),"Washintgon")</f>
        <v/>
      </c>
      <c r="K13301">
        <f>IFERROR(__xludf.DUMMYFUNCTION("""COMPUTED_VALUE"""),2282.3)</f>
        <v/>
      </c>
    </row>
    <row r="13302">
      <c r="J13302">
        <f>IFERROR(__xludf.DUMMYFUNCTION("""COMPUTED_VALUE"""),"Toronto, Ontario, Canada and Calgary, Alberta, Canada")</f>
        <v/>
      </c>
      <c r="K13302">
        <f>IFERROR(__xludf.DUMMYFUNCTION("""COMPUTED_VALUE"""),2281.43)</f>
        <v/>
      </c>
    </row>
    <row r="13303">
      <c r="J13303">
        <f>IFERROR(__xludf.DUMMYFUNCTION("""COMPUTED_VALUE"""),"Moncton, New Brunswick, Canada
St. John, Newfoundland, Canada")</f>
        <v/>
      </c>
      <c r="K13303">
        <f>IFERROR(__xludf.DUMMYFUNCTION("""COMPUTED_VALUE"""),2281.23)</f>
        <v/>
      </c>
    </row>
    <row r="13304">
      <c r="J13304">
        <f>IFERROR(__xludf.DUMMYFUNCTION("""COMPUTED_VALUE"""),"Halifax, Nova Scotia and St. John's, Newfoundland, Canada")</f>
        <v/>
      </c>
      <c r="K13304">
        <f>IFERROR(__xludf.DUMMYFUNCTION("""COMPUTED_VALUE"""),2278.9)</f>
        <v/>
      </c>
    </row>
    <row r="13305">
      <c r="J13305">
        <f>IFERROR(__xludf.DUMMYFUNCTION("""COMPUTED_VALUE"""),"Victoria, British Columbia/Regina, Saskatchewan/Yellowknife, North-West Territories")</f>
        <v/>
      </c>
      <c r="K13305">
        <f>IFERROR(__xludf.DUMMYFUNCTION("""COMPUTED_VALUE"""),2278.69)</f>
        <v/>
      </c>
    </row>
    <row r="13306">
      <c r="J13306">
        <f>IFERROR(__xludf.DUMMYFUNCTION("""COMPUTED_VALUE"""),"Charlottetown, PE Summerside, PE")</f>
        <v/>
      </c>
      <c r="K13306">
        <f>IFERROR(__xludf.DUMMYFUNCTION("""COMPUTED_VALUE"""),2278.24)</f>
        <v/>
      </c>
    </row>
    <row r="13307">
      <c r="J13307">
        <f>IFERROR(__xludf.DUMMYFUNCTION("""COMPUTED_VALUE"""),"West Lafayette, Indiana, United States")</f>
        <v/>
      </c>
      <c r="K13307">
        <f>IFERROR(__xludf.DUMMYFUNCTION("""COMPUTED_VALUE"""),2278.24)</f>
        <v/>
      </c>
    </row>
    <row r="13308">
      <c r="J13308">
        <f>IFERROR(__xludf.DUMMYFUNCTION("""COMPUTED_VALUE"""),"Halifax, Nova Scotia, Canada &amp; Montreal, Quebec, Canada")</f>
        <v/>
      </c>
      <c r="K13308">
        <f>IFERROR(__xludf.DUMMYFUNCTION("""COMPUTED_VALUE"""),2277.46)</f>
        <v/>
      </c>
    </row>
    <row r="13309">
      <c r="J13309">
        <f>IFERROR(__xludf.DUMMYFUNCTION("""COMPUTED_VALUE"""),"Waterloo and Toronto, ON")</f>
        <v/>
      </c>
      <c r="K13309">
        <f>IFERROR(__xludf.DUMMYFUNCTION("""COMPUTED_VALUE"""),2276.33)</f>
        <v/>
      </c>
    </row>
    <row r="13310">
      <c r="J13310">
        <f>IFERROR(__xludf.DUMMYFUNCTION("""COMPUTED_VALUE"""),"Dawson City and Old Crow, Yukon, Canada")</f>
        <v/>
      </c>
      <c r="K13310">
        <f>IFERROR(__xludf.DUMMYFUNCTION("""COMPUTED_VALUE"""),2276.29)</f>
        <v/>
      </c>
    </row>
    <row r="13311">
      <c r="J13311">
        <f>IFERROR(__xludf.DUMMYFUNCTION("""COMPUTED_VALUE"""),"Vancouver, British Columbia, Canada
Smithers, British Columbia, Canada")</f>
        <v/>
      </c>
      <c r="K13311">
        <f>IFERROR(__xludf.DUMMYFUNCTION("""COMPUTED_VALUE"""),2274.98)</f>
        <v/>
      </c>
    </row>
    <row r="13312">
      <c r="J13312">
        <f>IFERROR(__xludf.DUMMYFUNCTION("""COMPUTED_VALUE"""),"Vancouver, British Columbia, Canada; Sydney, British Columbia, Canada")</f>
        <v/>
      </c>
      <c r="K13312">
        <f>IFERROR(__xludf.DUMMYFUNCTION("""COMPUTED_VALUE"""),2274.08)</f>
        <v/>
      </c>
    </row>
    <row r="13313">
      <c r="J13313">
        <f>IFERROR(__xludf.DUMMYFUNCTION("""COMPUTED_VALUE"""),"Buffalo Point, Manitoba")</f>
        <v/>
      </c>
      <c r="K13313">
        <f>IFERROR(__xludf.DUMMYFUNCTION("""COMPUTED_VALUE"""),2274)</f>
        <v/>
      </c>
    </row>
    <row r="13314">
      <c r="J13314">
        <f>IFERROR(__xludf.DUMMYFUNCTION("""COMPUTED_VALUE"""),"Saskatoon, Saskatchewan Montreal, Quebec")</f>
        <v/>
      </c>
      <c r="K13314">
        <f>IFERROR(__xludf.DUMMYFUNCTION("""COMPUTED_VALUE"""),2274)</f>
        <v/>
      </c>
    </row>
    <row r="13315">
      <c r="J13315">
        <f>IFERROR(__xludf.DUMMYFUNCTION("""COMPUTED_VALUE"""),"Sydney, Nova Scotia, Canada/ Channel-Port aux Basques, Newfoundland and Labrador, Canada/ Corner Brook, Newfoundland and Labrador, Canada/ Pasadena, Newfoundland and Labrador, Canada/ Moncton, New Brunswick, Canada")</f>
        <v/>
      </c>
      <c r="K13315">
        <f>IFERROR(__xludf.DUMMYFUNCTION("""COMPUTED_VALUE"""),2273.84)</f>
        <v/>
      </c>
    </row>
    <row r="13316">
      <c r="J13316">
        <f>IFERROR(__xludf.DUMMYFUNCTION("""COMPUTED_VALUE"""),"Calgary,Alberta, Canada")</f>
        <v/>
      </c>
      <c r="K13316">
        <f>IFERROR(__xludf.DUMMYFUNCTION("""COMPUTED_VALUE"""),2273.5)</f>
        <v/>
      </c>
    </row>
    <row r="13317">
      <c r="J13317">
        <f>IFERROR(__xludf.DUMMYFUNCTION("""COMPUTED_VALUE"""),"NWT and Nunavut")</f>
        <v/>
      </c>
      <c r="K13317">
        <f>IFERROR(__xludf.DUMMYFUNCTION("""COMPUTED_VALUE"""),2273.41)</f>
        <v/>
      </c>
    </row>
    <row r="13318">
      <c r="J13318">
        <f>IFERROR(__xludf.DUMMYFUNCTION("""COMPUTED_VALUE"""),"Charlottetown, PE to Ottawa, ON")</f>
        <v/>
      </c>
      <c r="K13318">
        <f>IFERROR(__xludf.DUMMYFUNCTION("""COMPUTED_VALUE"""),2272.81)</f>
        <v/>
      </c>
    </row>
    <row r="13319">
      <c r="J13319">
        <f>IFERROR(__xludf.DUMMYFUNCTION("""COMPUTED_VALUE"""),"Halifax NS, Fredericton NB")</f>
        <v/>
      </c>
      <c r="K13319">
        <f>IFERROR(__xludf.DUMMYFUNCTION("""COMPUTED_VALUE"""),2272.62)</f>
        <v/>
      </c>
    </row>
    <row r="13320">
      <c r="J13320">
        <f>IFERROR(__xludf.DUMMYFUNCTION("""COMPUTED_VALUE"""),"Toronto, Ontario ; Calgary &amp; Edmonton, Alberta")</f>
        <v/>
      </c>
      <c r="K13320">
        <f>IFERROR(__xludf.DUMMYFUNCTION("""COMPUTED_VALUE"""),2272.62)</f>
        <v/>
      </c>
    </row>
    <row r="13321">
      <c r="J13321">
        <f>IFERROR(__xludf.DUMMYFUNCTION("""COMPUTED_VALUE"""),"Ottawa, ON / Waterloo, ON")</f>
        <v/>
      </c>
      <c r="K13321">
        <f>IFERROR(__xludf.DUMMYFUNCTION("""COMPUTED_VALUE"""),2271.69)</f>
        <v/>
      </c>
    </row>
    <row r="13322">
      <c r="J13322">
        <f>IFERROR(__xludf.DUMMYFUNCTION("""COMPUTED_VALUE"""),"Montreal and Boston")</f>
        <v/>
      </c>
      <c r="K13322">
        <f>IFERROR(__xludf.DUMMYFUNCTION("""COMPUTED_VALUE"""),2271.47)</f>
        <v/>
      </c>
    </row>
    <row r="13323">
      <c r="J13323">
        <f>IFERROR(__xludf.DUMMYFUNCTION("""COMPUTED_VALUE"""),"Charlottetown,                            Prince Edward Island")</f>
        <v/>
      </c>
      <c r="K13323">
        <f>IFERROR(__xludf.DUMMYFUNCTION("""COMPUTED_VALUE"""),2271.18)</f>
        <v/>
      </c>
    </row>
    <row r="13324">
      <c r="J13324">
        <f>IFERROR(__xludf.DUMMYFUNCTION("""COMPUTED_VALUE"""),"Redmond, United States")</f>
        <v/>
      </c>
      <c r="K13324">
        <f>IFERROR(__xludf.DUMMYFUNCTION("""COMPUTED_VALUE"""),2270.67)</f>
        <v/>
      </c>
    </row>
    <row r="13325">
      <c r="J13325">
        <f>IFERROR(__xludf.DUMMYFUNCTION("""COMPUTED_VALUE"""),"TORONTO, ON &amp; OTTAWA, ON")</f>
        <v/>
      </c>
      <c r="K13325">
        <f>IFERROR(__xludf.DUMMYFUNCTION("""COMPUTED_VALUE"""),2270.48)</f>
        <v/>
      </c>
    </row>
    <row r="13326">
      <c r="J13326">
        <f>IFERROR(__xludf.DUMMYFUNCTION("""COMPUTED_VALUE"""),"Agassiz, British Columbia")</f>
        <v/>
      </c>
      <c r="K13326">
        <f>IFERROR(__xludf.DUMMYFUNCTION("""COMPUTED_VALUE"""),2270.01)</f>
        <v/>
      </c>
    </row>
    <row r="13327">
      <c r="J13327">
        <f>IFERROR(__xludf.DUMMYFUNCTION("""COMPUTED_VALUE"""),"Vancouver, BC
Kelowna, BC")</f>
        <v/>
      </c>
      <c r="K13327">
        <f>IFERROR(__xludf.DUMMYFUNCTION("""COMPUTED_VALUE"""),2269.94)</f>
        <v/>
      </c>
    </row>
    <row r="13328">
      <c r="J13328">
        <f>IFERROR(__xludf.DUMMYFUNCTION("""COMPUTED_VALUE"""),"Washington &amp; Halifax")</f>
        <v/>
      </c>
      <c r="K13328">
        <f>IFERROR(__xludf.DUMMYFUNCTION("""COMPUTED_VALUE"""),2269.93)</f>
        <v/>
      </c>
    </row>
    <row r="13329">
      <c r="J13329">
        <f>IFERROR(__xludf.DUMMYFUNCTION("""COMPUTED_VALUE"""),"Montreal / Moncton / Halifax (Quebec)")</f>
        <v/>
      </c>
      <c r="K13329">
        <f>IFERROR(__xludf.DUMMYFUNCTION("""COMPUTED_VALUE"""),2269.35)</f>
        <v/>
      </c>
    </row>
    <row r="13330">
      <c r="J13330">
        <f>IFERROR(__xludf.DUMMYFUNCTION("""COMPUTED_VALUE"""),"Timmins, Ontario, Canada; Sudbury, Ontario, Canada; Toronto, Ontario, Canada")</f>
        <v/>
      </c>
      <c r="K13330">
        <f>IFERROR(__xludf.DUMMYFUNCTION("""COMPUTED_VALUE"""),2269.04)</f>
        <v/>
      </c>
    </row>
    <row r="13331">
      <c r="J13331">
        <f>IFERROR(__xludf.DUMMYFUNCTION("""COMPUTED_VALUE"""),"St. John's, Newfoundland and Labrador, Canada and Fredericton, New Brunswick, Canada")</f>
        <v/>
      </c>
      <c r="K13331">
        <f>IFERROR(__xludf.DUMMYFUNCTION("""COMPUTED_VALUE"""),2268.68)</f>
        <v/>
      </c>
    </row>
    <row r="13332">
      <c r="J13332">
        <f>IFERROR(__xludf.DUMMYFUNCTION("""COMPUTED_VALUE"""),"Québec City, Quebec canada")</f>
        <v/>
      </c>
      <c r="K13332">
        <f>IFERROR(__xludf.DUMMYFUNCTION("""COMPUTED_VALUE"""),2268.32)</f>
        <v/>
      </c>
    </row>
    <row r="13333">
      <c r="J13333">
        <f>IFERROR(__xludf.DUMMYFUNCTION("""COMPUTED_VALUE"""),"Halifax, NS, Moncton, NB")</f>
        <v/>
      </c>
      <c r="K13333">
        <f>IFERROR(__xludf.DUMMYFUNCTION("""COMPUTED_VALUE"""),2268.2)</f>
        <v/>
      </c>
    </row>
    <row r="13334">
      <c r="J13334">
        <f>IFERROR(__xludf.DUMMYFUNCTION("""COMPUTED_VALUE"""),"Revelstoke, British Columbia")</f>
        <v/>
      </c>
      <c r="K13334">
        <f>IFERROR(__xludf.DUMMYFUNCTION("""COMPUTED_VALUE"""),2268.15)</f>
        <v/>
      </c>
    </row>
    <row r="13335">
      <c r="J13335">
        <f>IFERROR(__xludf.DUMMYFUNCTION("""COMPUTED_VALUE"""),"Regina (Saskatchewan), Surrey (British Columbia)")</f>
        <v/>
      </c>
      <c r="K13335">
        <f>IFERROR(__xludf.DUMMYFUNCTION("""COMPUTED_VALUE"""),2267.37)</f>
        <v/>
      </c>
    </row>
    <row r="13336">
      <c r="J13336">
        <f>IFERROR(__xludf.DUMMYFUNCTION("""COMPUTED_VALUE"""),"Truro, Nova Scotia, Canada; Toronto, Ontario, Canada; Calgary, Alberta, Canada; Montreal, Quebec, Canada; Sherbrooke, Quebec, Canada")</f>
        <v/>
      </c>
      <c r="K13336">
        <f>IFERROR(__xludf.DUMMYFUNCTION("""COMPUTED_VALUE"""),2267.19)</f>
        <v/>
      </c>
    </row>
    <row r="13337">
      <c r="J13337">
        <f>IFERROR(__xludf.DUMMYFUNCTION("""COMPUTED_VALUE"""),"St. John's, NFL and Gander, NFL")</f>
        <v/>
      </c>
      <c r="K13337">
        <f>IFERROR(__xludf.DUMMYFUNCTION("""COMPUTED_VALUE"""),2266.91)</f>
        <v/>
      </c>
    </row>
    <row r="13338">
      <c r="J13338">
        <f>IFERROR(__xludf.DUMMYFUNCTION("""COMPUTED_VALUE"""),"Honolulu Hawaii")</f>
        <v/>
      </c>
      <c r="K13338">
        <f>IFERROR(__xludf.DUMMYFUNCTION("""COMPUTED_VALUE"""),2265.36)</f>
        <v/>
      </c>
    </row>
    <row r="13339">
      <c r="J13339">
        <f>IFERROR(__xludf.DUMMYFUNCTION("""COMPUTED_VALUE"""),"St. John's, Newfoundland and Labrador, Canada / Fredericton, New Brunswick, Canada")</f>
        <v/>
      </c>
      <c r="K13339">
        <f>IFERROR(__xludf.DUMMYFUNCTION("""COMPUTED_VALUE"""),2265.17)</f>
        <v/>
      </c>
    </row>
    <row r="13340">
      <c r="J13340">
        <f>IFERROR(__xludf.DUMMYFUNCTION("""COMPUTED_VALUE"""),"Saint John, New Brunswick, Canada; Ottawa, Ontario, Canada")</f>
        <v/>
      </c>
      <c r="K13340">
        <f>IFERROR(__xludf.DUMMYFUNCTION("""COMPUTED_VALUE"""),2264.92)</f>
        <v/>
      </c>
    </row>
    <row r="13341">
      <c r="J13341">
        <f>IFERROR(__xludf.DUMMYFUNCTION("""COMPUTED_VALUE"""),"Toronto, Ontario, Canada
Quebec City and Montreal, Quebec, Canada")</f>
        <v/>
      </c>
      <c r="K13341">
        <f>IFERROR(__xludf.DUMMYFUNCTION("""COMPUTED_VALUE"""),2264.73)</f>
        <v/>
      </c>
    </row>
    <row r="13342">
      <c r="J13342">
        <f>IFERROR(__xludf.DUMMYFUNCTION("""COMPUTED_VALUE"""),"Vancouver, British Columbia, Canada; Nanaimo, British Columbia, Canada; Burnaby, British Columbia, Canada")</f>
        <v/>
      </c>
      <c r="K13342">
        <f>IFERROR(__xludf.DUMMYFUNCTION("""COMPUTED_VALUE"""),2264.12)</f>
        <v/>
      </c>
    </row>
    <row r="13343">
      <c r="J13343">
        <f>IFERROR(__xludf.DUMMYFUNCTION("""COMPUTED_VALUE"""),"St. John's, Newfoundland and Labrador and Moncton, New Brunswick and Halifax, Nova Scotia")</f>
        <v/>
      </c>
      <c r="K13343">
        <f>IFERROR(__xludf.DUMMYFUNCTION("""COMPUTED_VALUE"""),2263.48)</f>
        <v/>
      </c>
    </row>
    <row r="13344">
      <c r="J13344">
        <f>IFERROR(__xludf.DUMMYFUNCTION("""COMPUTED_VALUE"""),"Toronto, Ontario / Edmonton, Alberta, Canada")</f>
        <v/>
      </c>
      <c r="K13344">
        <f>IFERROR(__xludf.DUMMYFUNCTION("""COMPUTED_VALUE"""),2263.38)</f>
        <v/>
      </c>
    </row>
    <row r="13345">
      <c r="J13345">
        <f>IFERROR(__xludf.DUMMYFUNCTION("""COMPUTED_VALUE"""),"St John's")</f>
        <v/>
      </c>
      <c r="K13345">
        <f>IFERROR(__xludf.DUMMYFUNCTION("""COMPUTED_VALUE"""),2262.99)</f>
        <v/>
      </c>
    </row>
    <row r="13346">
      <c r="J13346">
        <f>IFERROR(__xludf.DUMMYFUNCTION("""COMPUTED_VALUE"""),"Fredericton, Canada")</f>
        <v/>
      </c>
      <c r="K13346">
        <f>IFERROR(__xludf.DUMMYFUNCTION("""COMPUTED_VALUE"""),2262.93)</f>
        <v/>
      </c>
    </row>
    <row r="13347">
      <c r="J13347">
        <f>IFERROR(__xludf.DUMMYFUNCTION("""COMPUTED_VALUE"""),"Toronto/Ottawa, ON")</f>
        <v/>
      </c>
      <c r="K13347">
        <f>IFERROR(__xludf.DUMMYFUNCTION("""COMPUTED_VALUE"""),2262.88)</f>
        <v/>
      </c>
    </row>
    <row r="13348">
      <c r="J13348">
        <f>IFERROR(__xludf.DUMMYFUNCTION("""COMPUTED_VALUE"""),"Washington, DC , USA")</f>
        <v/>
      </c>
      <c r="K13348">
        <f>IFERROR(__xludf.DUMMYFUNCTION("""COMPUTED_VALUE"""),2261.84)</f>
        <v/>
      </c>
    </row>
    <row r="13349">
      <c r="J13349">
        <f>IFERROR(__xludf.DUMMYFUNCTION("""COMPUTED_VALUE"""),"Vancouver, British Columbia, Canada; Kelowna, British Columbia, Canada; Castlegar, British Columbia, Canada")</f>
        <v/>
      </c>
      <c r="K13349">
        <f>IFERROR(__xludf.DUMMYFUNCTION("""COMPUTED_VALUE"""),2261.15)</f>
        <v/>
      </c>
    </row>
    <row r="13350">
      <c r="J13350">
        <f>IFERROR(__xludf.DUMMYFUNCTION("""COMPUTED_VALUE"""),"Toronto, ON Ottawa, ON Whitby, ON Halifax, NS")</f>
        <v/>
      </c>
      <c r="K13350">
        <f>IFERROR(__xludf.DUMMYFUNCTION("""COMPUTED_VALUE"""),2261.09)</f>
        <v/>
      </c>
    </row>
    <row r="13351">
      <c r="J13351">
        <f>IFERROR(__xludf.DUMMYFUNCTION("""COMPUTED_VALUE"""),"Sibiu, Romania")</f>
        <v/>
      </c>
      <c r="K13351">
        <f>IFERROR(__xludf.DUMMYFUNCTION("""COMPUTED_VALUE"""),2261.05)</f>
        <v/>
      </c>
    </row>
    <row r="13352">
      <c r="J13352">
        <f>IFERROR(__xludf.DUMMYFUNCTION("""COMPUTED_VALUE"""),"Montreal, QC / Fredericton, NB / Halifax, NS")</f>
        <v/>
      </c>
      <c r="K13352">
        <f>IFERROR(__xludf.DUMMYFUNCTION("""COMPUTED_VALUE"""),2260.87)</f>
        <v/>
      </c>
    </row>
    <row r="13353">
      <c r="J13353">
        <f>IFERROR(__xludf.DUMMYFUNCTION("""COMPUTED_VALUE"""),"Montréal, Bagotville, Victoriaville, Montréal")</f>
        <v/>
      </c>
      <c r="K13353">
        <f>IFERROR(__xludf.DUMMYFUNCTION("""COMPUTED_VALUE"""),2260.84)</f>
        <v/>
      </c>
    </row>
    <row r="13354">
      <c r="J13354">
        <f>IFERROR(__xludf.DUMMYFUNCTION("""COMPUTED_VALUE"""),"New York, Toronto, Ottawa")</f>
        <v/>
      </c>
      <c r="K13354">
        <f>IFERROR(__xludf.DUMMYFUNCTION("""COMPUTED_VALUE"""),2260.51)</f>
        <v/>
      </c>
    </row>
    <row r="13355">
      <c r="J13355">
        <f>IFERROR(__xludf.DUMMYFUNCTION("""COMPUTED_VALUE"""),"Yellowknife (Northwest Territories) Canada; Edmonton (Alberta) Canada")</f>
        <v/>
      </c>
      <c r="K13355">
        <f>IFERROR(__xludf.DUMMYFUNCTION("""COMPUTED_VALUE"""),2260.49)</f>
        <v/>
      </c>
    </row>
    <row r="13356">
      <c r="J13356">
        <f>IFERROR(__xludf.DUMMYFUNCTION("""COMPUTED_VALUE"""),"Tokyo, Japan / Yokohama, Japan")</f>
        <v/>
      </c>
      <c r="K13356">
        <f>IFERROR(__xludf.DUMMYFUNCTION("""COMPUTED_VALUE"""),2260.47)</f>
        <v/>
      </c>
    </row>
    <row r="13357">
      <c r="J13357">
        <f>IFERROR(__xludf.DUMMYFUNCTION("""COMPUTED_VALUE"""),"Victoria / Vancouver, British Columbia / Calgary, Alberta, Canada")</f>
        <v/>
      </c>
      <c r="K13357">
        <f>IFERROR(__xludf.DUMMYFUNCTION("""COMPUTED_VALUE"""),2259.63)</f>
        <v/>
      </c>
    </row>
    <row r="13358">
      <c r="J13358">
        <f>IFERROR(__xludf.DUMMYFUNCTION("""COMPUTED_VALUE"""),"Tucson, United States")</f>
        <v/>
      </c>
      <c r="K13358">
        <f>IFERROR(__xludf.DUMMYFUNCTION("""COMPUTED_VALUE"""),2259.52)</f>
        <v/>
      </c>
    </row>
    <row r="13359">
      <c r="J13359">
        <f>IFERROR(__xludf.DUMMYFUNCTION("""COMPUTED_VALUE"""),"Montreal &amp; Charlottetown")</f>
        <v/>
      </c>
      <c r="K13359">
        <f>IFERROR(__xludf.DUMMYFUNCTION("""COMPUTED_VALUE"""),2259.13)</f>
        <v/>
      </c>
    </row>
    <row r="13360">
      <c r="J13360">
        <f>IFERROR(__xludf.DUMMYFUNCTION("""COMPUTED_VALUE"""),"Edmonton, Alberta / Winnipeg, Manitoba, Canada")</f>
        <v/>
      </c>
      <c r="K13360">
        <f>IFERROR(__xludf.DUMMYFUNCTION("""COMPUTED_VALUE"""),2258.97)</f>
        <v/>
      </c>
    </row>
    <row r="13361">
      <c r="J13361">
        <f>IFERROR(__xludf.DUMMYFUNCTION("""COMPUTED_VALUE"""),"Ottawa - St. John's, Halifax, Moncton, Fredericton - Ottawa")</f>
        <v/>
      </c>
      <c r="K13361">
        <f>IFERROR(__xludf.DUMMYFUNCTION("""COMPUTED_VALUE"""),2258.97)</f>
        <v/>
      </c>
    </row>
    <row r="13362">
      <c r="J13362">
        <f>IFERROR(__xludf.DUMMYFUNCTION("""COMPUTED_VALUE"""),"Montréal, Quebec, Canada - Sherbrooke, Quebec, Canada - Québec, Quebec, Canada")</f>
        <v/>
      </c>
      <c r="K13362">
        <f>IFERROR(__xludf.DUMMYFUNCTION("""COMPUTED_VALUE"""),2257.59)</f>
        <v/>
      </c>
    </row>
    <row r="13363">
      <c r="J13363">
        <f>IFERROR(__xludf.DUMMYFUNCTION("""COMPUTED_VALUE"""),"Winnipeg, Regina and Saskatoon")</f>
        <v/>
      </c>
      <c r="K13363">
        <f>IFERROR(__xludf.DUMMYFUNCTION("""COMPUTED_VALUE"""),2257.53)</f>
        <v/>
      </c>
    </row>
    <row r="13364">
      <c r="J13364">
        <f>IFERROR(__xludf.DUMMYFUNCTION("""COMPUTED_VALUE"""),"Ottawa- Edmonton-Toronto- Ottawa")</f>
        <v/>
      </c>
      <c r="K13364">
        <f>IFERROR(__xludf.DUMMYFUNCTION("""COMPUTED_VALUE"""),2257.32)</f>
        <v/>
      </c>
    </row>
    <row r="13365">
      <c r="J13365">
        <f>IFERROR(__xludf.DUMMYFUNCTION("""COMPUTED_VALUE"""),"Alberta, Canada")</f>
        <v/>
      </c>
      <c r="K13365">
        <f>IFERROR(__xludf.DUMMYFUNCTION("""COMPUTED_VALUE"""),2256.74)</f>
        <v/>
      </c>
    </row>
    <row r="13366">
      <c r="J13366">
        <f>IFERROR(__xludf.DUMMYFUNCTION("""COMPUTED_VALUE"""),"Vancouver, British Columbia - Victoria, British Columbia")</f>
        <v/>
      </c>
      <c r="K13366">
        <f>IFERROR(__xludf.DUMMYFUNCTION("""COMPUTED_VALUE"""),2255.65)</f>
        <v/>
      </c>
    </row>
    <row r="13367">
      <c r="J13367">
        <f>IFERROR(__xludf.DUMMYFUNCTION("""COMPUTED_VALUE"""),"Windsor, Ontario, Canada; Kitchener, Ontario, Canada; London, Greater London, United Kingdom")</f>
        <v/>
      </c>
      <c r="K13367">
        <f>IFERROR(__xludf.DUMMYFUNCTION("""COMPUTED_VALUE"""),2254.68)</f>
        <v/>
      </c>
    </row>
    <row r="13368">
      <c r="J13368">
        <f>IFERROR(__xludf.DUMMYFUNCTION("""COMPUTED_VALUE"""),"Thetford Mines, Quebec, Canada")</f>
        <v/>
      </c>
      <c r="K13368">
        <f>IFERROR(__xludf.DUMMYFUNCTION("""COMPUTED_VALUE"""),2254.54)</f>
        <v/>
      </c>
    </row>
    <row r="13369">
      <c r="J13369">
        <f>IFERROR(__xludf.DUMMYFUNCTION("""COMPUTED_VALUE"""),"St-John's, Newfoundland, Canada and Toronto, Ontario, Canada")</f>
        <v/>
      </c>
      <c r="K13369">
        <f>IFERROR(__xludf.DUMMYFUNCTION("""COMPUTED_VALUE"""),2254.35)</f>
        <v/>
      </c>
    </row>
    <row r="13370">
      <c r="J13370">
        <f>IFERROR(__xludf.DUMMYFUNCTION("""COMPUTED_VALUE"""),"Ottawa and Sudbury, ON")</f>
        <v/>
      </c>
      <c r="K13370">
        <f>IFERROR(__xludf.DUMMYFUNCTION("""COMPUTED_VALUE"""),2254.27)</f>
        <v/>
      </c>
    </row>
    <row r="13371">
      <c r="J13371">
        <f>IFERROR(__xludf.DUMMYFUNCTION("""COMPUTED_VALUE"""),"Mission,BC, Canada")</f>
        <v/>
      </c>
      <c r="K13371">
        <f>IFERROR(__xludf.DUMMYFUNCTION("""COMPUTED_VALUE"""),2254.17)</f>
        <v/>
      </c>
    </row>
    <row r="13372">
      <c r="J13372">
        <f>IFERROR(__xludf.DUMMYFUNCTION("""COMPUTED_VALUE"""),"Ottawa-Washington-Winnipeg-Ottawa")</f>
        <v/>
      </c>
      <c r="K13372">
        <f>IFERROR(__xludf.DUMMYFUNCTION("""COMPUTED_VALUE"""),2253.35)</f>
        <v/>
      </c>
    </row>
    <row r="13373">
      <c r="J13373">
        <f>IFERROR(__xludf.DUMMYFUNCTION("""COMPUTED_VALUE"""),"Calgary, Alberta, Canada; Toronto, Ontario, Canada; Batoche, Saskatchewan, Canada")</f>
        <v/>
      </c>
      <c r="K13373">
        <f>IFERROR(__xludf.DUMMYFUNCTION("""COMPUTED_VALUE"""),2253.29)</f>
        <v/>
      </c>
    </row>
    <row r="13374">
      <c r="J13374">
        <f>IFERROR(__xludf.DUMMYFUNCTION("""COMPUTED_VALUE"""),"TORONTO, ON - SURREY, BC - VICTORIA, BC")</f>
        <v/>
      </c>
      <c r="K13374">
        <f>IFERROR(__xludf.DUMMYFUNCTION("""COMPUTED_VALUE"""),2253.01)</f>
        <v/>
      </c>
    </row>
    <row r="13375">
      <c r="J13375">
        <f>IFERROR(__xludf.DUMMYFUNCTION("""COMPUTED_VALUE"""),"Moncton, New Brusnwick; Quebec, Quebec")</f>
        <v/>
      </c>
      <c r="K13375">
        <f>IFERROR(__xludf.DUMMYFUNCTION("""COMPUTED_VALUE"""),2252.29)</f>
        <v/>
      </c>
    </row>
    <row r="13376">
      <c r="J13376">
        <f>IFERROR(__xludf.DUMMYFUNCTION("""COMPUTED_VALUE"""),"Kelowna, British Columbia; Saskatoon, Saskatchewan")</f>
        <v/>
      </c>
      <c r="K13376">
        <f>IFERROR(__xludf.DUMMYFUNCTION("""COMPUTED_VALUE"""),2250.85)</f>
        <v/>
      </c>
    </row>
    <row r="13377">
      <c r="J13377">
        <f>IFERROR(__xludf.DUMMYFUNCTION("""COMPUTED_VALUE"""),"Edmonton, Alberta, Victoria, BC")</f>
        <v/>
      </c>
      <c r="K13377">
        <f>IFERROR(__xludf.DUMMYFUNCTION("""COMPUTED_VALUE"""),2250.19)</f>
        <v/>
      </c>
    </row>
    <row r="13378">
      <c r="J13378">
        <f>IFERROR(__xludf.DUMMYFUNCTION("""COMPUTED_VALUE"""),"Fredericton, New Brunswick, Canada; Moncton, New Brunswick, Canada")</f>
        <v/>
      </c>
      <c r="K13378">
        <f>IFERROR(__xludf.DUMMYFUNCTION("""COMPUTED_VALUE"""),2250.17)</f>
        <v/>
      </c>
    </row>
    <row r="13379">
      <c r="J13379">
        <f>IFERROR(__xludf.DUMMYFUNCTION("""COMPUTED_VALUE"""),"Port of Spain, Trinidad")</f>
        <v/>
      </c>
      <c r="K13379">
        <f>IFERROR(__xludf.DUMMYFUNCTION("""COMPUTED_VALUE"""),2250.13)</f>
        <v/>
      </c>
    </row>
    <row r="13380">
      <c r="J13380">
        <f>IFERROR(__xludf.DUMMYFUNCTION("""COMPUTED_VALUE"""),"Halifax, NS and St-John, NB")</f>
        <v/>
      </c>
      <c r="K13380">
        <f>IFERROR(__xludf.DUMMYFUNCTION("""COMPUTED_VALUE"""),2250)</f>
        <v/>
      </c>
    </row>
    <row r="13381">
      <c r="J13381">
        <f>IFERROR(__xludf.DUMMYFUNCTION("""COMPUTED_VALUE"""),"Regina, SK Ottawa, ON")</f>
        <v/>
      </c>
      <c r="K13381">
        <f>IFERROR(__xludf.DUMMYFUNCTION("""COMPUTED_VALUE"""),2249.92)</f>
        <v/>
      </c>
    </row>
    <row r="13382">
      <c r="J13382">
        <f>IFERROR(__xludf.DUMMYFUNCTION("""COMPUTED_VALUE"""),"Toronto, Ontario, Canada; Missisauga, Ontario, Canada")</f>
        <v/>
      </c>
      <c r="K13382">
        <f>IFERROR(__xludf.DUMMYFUNCTION("""COMPUTED_VALUE"""),2249.23)</f>
        <v/>
      </c>
    </row>
    <row r="13383">
      <c r="J13383">
        <f>IFERROR(__xludf.DUMMYFUNCTION("""COMPUTED_VALUE"""),"London; Hamilton, Ontario, Canada")</f>
        <v/>
      </c>
      <c r="K13383">
        <f>IFERROR(__xludf.DUMMYFUNCTION("""COMPUTED_VALUE"""),2248.7)</f>
        <v/>
      </c>
    </row>
    <row r="13384">
      <c r="J13384">
        <f>IFERROR(__xludf.DUMMYFUNCTION("""COMPUTED_VALUE"""),"Vancouver, Calgary, Toronto")</f>
        <v/>
      </c>
      <c r="K13384">
        <f>IFERROR(__xludf.DUMMYFUNCTION("""COMPUTED_VALUE"""),2248.46)</f>
        <v/>
      </c>
    </row>
    <row r="13385">
      <c r="J13385">
        <f>IFERROR(__xludf.DUMMYFUNCTION("""COMPUTED_VALUE"""),"Saskatoon (Sasckatchewan) Canada")</f>
        <v/>
      </c>
      <c r="K13385">
        <f>IFERROR(__xludf.DUMMYFUNCTION("""COMPUTED_VALUE"""),2248.25)</f>
        <v/>
      </c>
    </row>
    <row r="13386">
      <c r="J13386">
        <f>IFERROR(__xludf.DUMMYFUNCTION("""COMPUTED_VALUE"""),"Springhill, Nova Scotia, Canada")</f>
        <v/>
      </c>
      <c r="K13386">
        <f>IFERROR(__xludf.DUMMYFUNCTION("""COMPUTED_VALUE"""),2248.18)</f>
        <v/>
      </c>
    </row>
    <row r="13387">
      <c r="J13387">
        <f>IFERROR(__xludf.DUMMYFUNCTION("""COMPUTED_VALUE"""),"Toronto, Ontario Belleville, Ontario")</f>
        <v/>
      </c>
      <c r="K13387">
        <f>IFERROR(__xludf.DUMMYFUNCTION("""COMPUTED_VALUE"""),2247.92)</f>
        <v/>
      </c>
    </row>
    <row r="13388">
      <c r="J13388">
        <f>IFERROR(__xludf.DUMMYFUNCTION("""COMPUTED_VALUE"""),"Regina, Saskatchewan, and Vancouver, British Columbia, Canada")</f>
        <v/>
      </c>
      <c r="K13388">
        <f>IFERROR(__xludf.DUMMYFUNCTION("""COMPUTED_VALUE"""),2247.87)</f>
        <v/>
      </c>
    </row>
    <row r="13389">
      <c r="J13389">
        <f>IFERROR(__xludf.DUMMYFUNCTION("""COMPUTED_VALUE"""),"Greece, Athens")</f>
        <v/>
      </c>
      <c r="K13389">
        <f>IFERROR(__xludf.DUMMYFUNCTION("""COMPUTED_VALUE"""),2247.86)</f>
        <v/>
      </c>
    </row>
    <row r="13390">
      <c r="J13390">
        <f>IFERROR(__xludf.DUMMYFUNCTION("""COMPUTED_VALUE"""),"Québec / St-Georges / Trois-Rivières / Ottawa")</f>
        <v/>
      </c>
      <c r="K13390">
        <f>IFERROR(__xludf.DUMMYFUNCTION("""COMPUTED_VALUE"""),2247)</f>
        <v/>
      </c>
    </row>
    <row r="13391">
      <c r="J13391">
        <f>IFERROR(__xludf.DUMMYFUNCTION("""COMPUTED_VALUE"""),"Ottawa, ON - Corner Brook, NL / Corner Brook, NL - St. John's, NL / St. John's, NL - Halifax, NS")</f>
        <v/>
      </c>
      <c r="K13391">
        <f>IFERROR(__xludf.DUMMYFUNCTION("""COMPUTED_VALUE"""),2246.38)</f>
        <v/>
      </c>
    </row>
    <row r="13392">
      <c r="J13392">
        <f>IFERROR(__xludf.DUMMYFUNCTION("""COMPUTED_VALUE"""),"Rocky Harbour, NFL/Quebec, QC")</f>
        <v/>
      </c>
      <c r="K13392">
        <f>IFERROR(__xludf.DUMMYFUNCTION("""COMPUTED_VALUE"""),2246.16)</f>
        <v/>
      </c>
    </row>
    <row r="13393">
      <c r="J13393">
        <f>IFERROR(__xludf.DUMMYFUNCTION("""COMPUTED_VALUE"""),"Los Angeles, California, United States of America")</f>
        <v/>
      </c>
      <c r="K13393">
        <f>IFERROR(__xludf.DUMMYFUNCTION("""COMPUTED_VALUE"""),2246.15)</f>
        <v/>
      </c>
    </row>
    <row r="13394">
      <c r="J13394">
        <f>IFERROR(__xludf.DUMMYFUNCTION("""COMPUTED_VALUE"""),"Massachusetts, United States")</f>
        <v/>
      </c>
      <c r="K13394">
        <f>IFERROR(__xludf.DUMMYFUNCTION("""COMPUTED_VALUE"""),2246.14)</f>
        <v/>
      </c>
    </row>
    <row r="13395">
      <c r="J13395">
        <f>IFERROR(__xludf.DUMMYFUNCTION("""COMPUTED_VALUE"""),"Red Deer, AB and Vancouver, BC")</f>
        <v/>
      </c>
      <c r="K13395">
        <f>IFERROR(__xludf.DUMMYFUNCTION("""COMPUTED_VALUE"""),2246.02)</f>
        <v/>
      </c>
    </row>
    <row r="13396">
      <c r="J13396">
        <f>IFERROR(__xludf.DUMMYFUNCTION("""COMPUTED_VALUE"""),"Victoria, Bristish Columbia,  Canada")</f>
        <v/>
      </c>
      <c r="K13396">
        <f>IFERROR(__xludf.DUMMYFUNCTION("""COMPUTED_VALUE"""),2245.83)</f>
        <v/>
      </c>
    </row>
    <row r="13397">
      <c r="J13397">
        <f>IFERROR(__xludf.DUMMYFUNCTION("""COMPUTED_VALUE"""),"Toronto, Ontario, Canada/ Ottawa, Ontario, Canada")</f>
        <v/>
      </c>
      <c r="K13397">
        <f>IFERROR(__xludf.DUMMYFUNCTION("""COMPUTED_VALUE"""),2245.6)</f>
        <v/>
      </c>
    </row>
    <row r="13398">
      <c r="J13398">
        <f>IFERROR(__xludf.DUMMYFUNCTION("""COMPUTED_VALUE"""),"Alma, New Brunswick")</f>
        <v/>
      </c>
      <c r="K13398">
        <f>IFERROR(__xludf.DUMMYFUNCTION("""COMPUTED_VALUE"""),2245.12)</f>
        <v/>
      </c>
    </row>
    <row r="13399">
      <c r="J13399">
        <f>IFERROR(__xludf.DUMMYFUNCTION("""COMPUTED_VALUE"""),"Saskatoon, SK &amp; Winnipeg, MN")</f>
        <v/>
      </c>
      <c r="K13399">
        <f>IFERROR(__xludf.DUMMYFUNCTION("""COMPUTED_VALUE"""),2245)</f>
        <v/>
      </c>
    </row>
    <row r="13400">
      <c r="J13400">
        <f>IFERROR(__xludf.DUMMYFUNCTION("""COMPUTED_VALUE"""),"Esquimalt (BC) Canada")</f>
        <v/>
      </c>
      <c r="K13400">
        <f>IFERROR(__xludf.DUMMYFUNCTION("""COMPUTED_VALUE"""),2244.64)</f>
        <v/>
      </c>
    </row>
    <row r="13401">
      <c r="J13401">
        <f>IFERROR(__xludf.DUMMYFUNCTION("""COMPUTED_VALUE"""),"Yellowknife, Northwest Terrirtories")</f>
        <v/>
      </c>
      <c r="K13401">
        <f>IFERROR(__xludf.DUMMYFUNCTION("""COMPUTED_VALUE"""),2244.45)</f>
        <v/>
      </c>
    </row>
    <row r="13402">
      <c r="J13402">
        <f>IFERROR(__xludf.DUMMYFUNCTION("""COMPUTED_VALUE"""),"Darmouth, Nova Scotia, Canada")</f>
        <v/>
      </c>
      <c r="K13402">
        <f>IFERROR(__xludf.DUMMYFUNCTION("""COMPUTED_VALUE"""),2244.12)</f>
        <v/>
      </c>
    </row>
    <row r="13403">
      <c r="J13403">
        <f>IFERROR(__xludf.DUMMYFUNCTION("""COMPUTED_VALUE"""),"Whitehorse, Yukon, Canada; Vancouver, British Columbia, Canada; Edmonton, Alberta, Canada")</f>
        <v/>
      </c>
      <c r="K13403">
        <f>IFERROR(__xludf.DUMMYFUNCTION("""COMPUTED_VALUE"""),2244.00999999999)</f>
        <v/>
      </c>
    </row>
    <row r="13404">
      <c r="J13404">
        <f>IFERROR(__xludf.DUMMYFUNCTION("""COMPUTED_VALUE"""),"Edmonton, Alta.")</f>
        <v/>
      </c>
      <c r="K13404">
        <f>IFERROR(__xludf.DUMMYFUNCTION("""COMPUTED_VALUE"""),2243.75999999999)</f>
        <v/>
      </c>
    </row>
    <row r="13405">
      <c r="J13405">
        <f>IFERROR(__xludf.DUMMYFUNCTION("""COMPUTED_VALUE"""),"Brussels, Amsterdam, Kuwait City, Iraq")</f>
        <v/>
      </c>
      <c r="K13405">
        <f>IFERROR(__xludf.DUMMYFUNCTION("""COMPUTED_VALUE"""),2243.66)</f>
        <v/>
      </c>
    </row>
    <row r="13406">
      <c r="J13406">
        <f>IFERROR(__xludf.DUMMYFUNCTION("""COMPUTED_VALUE"""),"Waterloo, Kitchener, London, Oakville, Mississauga, Burlington, Brampton, Toronto, Ontario")</f>
        <v/>
      </c>
      <c r="K13406">
        <f>IFERROR(__xludf.DUMMYFUNCTION("""COMPUTED_VALUE"""),2242.96)</f>
        <v/>
      </c>
    </row>
    <row r="13407">
      <c r="J13407">
        <f>IFERROR(__xludf.DUMMYFUNCTION("""COMPUTED_VALUE"""),"Vancouver, British-Columbia, and Whitehorse, Yukon, Canada")</f>
        <v/>
      </c>
      <c r="K13407">
        <f>IFERROR(__xludf.DUMMYFUNCTION("""COMPUTED_VALUE"""),2242.51)</f>
        <v/>
      </c>
    </row>
    <row r="13408">
      <c r="J13408">
        <f>IFERROR(__xludf.DUMMYFUNCTION("""COMPUTED_VALUE"""),"Ottawa-Toronto-Edmonton-Montreal-St. John's")</f>
        <v/>
      </c>
      <c r="K13408">
        <f>IFERROR(__xludf.DUMMYFUNCTION("""COMPUTED_VALUE"""),2242.46)</f>
        <v/>
      </c>
    </row>
    <row r="13409">
      <c r="J13409">
        <f>IFERROR(__xludf.DUMMYFUNCTION("""COMPUTED_VALUE"""),"Saskatoon, SK . Winnipeg, MB")</f>
        <v/>
      </c>
      <c r="K13409">
        <f>IFERROR(__xludf.DUMMYFUNCTION("""COMPUTED_VALUE"""),2242.38)</f>
        <v/>
      </c>
    </row>
    <row r="13410">
      <c r="J13410">
        <f>IFERROR(__xludf.DUMMYFUNCTION("""COMPUTED_VALUE"""),"Ottawa, Ontario, Dartmouth, Nova Scotia")</f>
        <v/>
      </c>
      <c r="K13410">
        <f>IFERROR(__xludf.DUMMYFUNCTION("""COMPUTED_VALUE"""),2241.86)</f>
        <v/>
      </c>
    </row>
    <row r="13411">
      <c r="J13411">
        <f>IFERROR(__xludf.DUMMYFUNCTION("""COMPUTED_VALUE"""),"Summerside, Charlottetown, PEI, and Sydney, Nova Scotia")</f>
        <v/>
      </c>
      <c r="K13411">
        <f>IFERROR(__xludf.DUMMYFUNCTION("""COMPUTED_VALUE"""),2240.11)</f>
        <v/>
      </c>
    </row>
    <row r="13412">
      <c r="J13412">
        <f>IFERROR(__xludf.DUMMYFUNCTION("""COMPUTED_VALUE"""),"Calgary / Banff")</f>
        <v/>
      </c>
      <c r="K13412">
        <f>IFERROR(__xludf.DUMMYFUNCTION("""COMPUTED_VALUE"""),2239.48)</f>
        <v/>
      </c>
    </row>
    <row r="13413">
      <c r="J13413">
        <f>IFERROR(__xludf.DUMMYFUNCTION("""COMPUTED_VALUE"""),"SAINT JOHN, NB")</f>
        <v/>
      </c>
      <c r="K13413">
        <f>IFERROR(__xludf.DUMMYFUNCTION("""COMPUTED_VALUE"""),2239.21)</f>
        <v/>
      </c>
    </row>
    <row r="13414">
      <c r="J13414">
        <f>IFERROR(__xludf.DUMMYFUNCTION("""COMPUTED_VALUE"""),"Vancouver (B.C.0")</f>
        <v/>
      </c>
      <c r="K13414">
        <f>IFERROR(__xludf.DUMMYFUNCTION("""COMPUTED_VALUE"""),2239.17)</f>
        <v/>
      </c>
    </row>
    <row r="13415">
      <c r="J13415">
        <f>IFERROR(__xludf.DUMMYFUNCTION("""COMPUTED_VALUE"""),"NCR (Ottawa)")</f>
        <v/>
      </c>
      <c r="K13415">
        <f>IFERROR(__xludf.DUMMYFUNCTION("""COMPUTED_VALUE"""),2239.05)</f>
        <v/>
      </c>
    </row>
    <row r="13416">
      <c r="J13416">
        <f>IFERROR(__xludf.DUMMYFUNCTION("""COMPUTED_VALUE"""),"Ottawa-Montreal-Edmonton- Toronto- Ottawa")</f>
        <v/>
      </c>
      <c r="K13416">
        <f>IFERROR(__xludf.DUMMYFUNCTION("""COMPUTED_VALUE"""),2238.69)</f>
        <v/>
      </c>
    </row>
    <row r="13417">
      <c r="J13417">
        <f>IFERROR(__xludf.DUMMYFUNCTION("""COMPUTED_VALUE"""),"Ottawa, ON, Montreal, QC")</f>
        <v/>
      </c>
      <c r="K13417">
        <f>IFERROR(__xludf.DUMMYFUNCTION("""COMPUTED_VALUE"""),2238.48)</f>
        <v/>
      </c>
    </row>
    <row r="13418">
      <c r="J13418">
        <f>IFERROR(__xludf.DUMMYFUNCTION("""COMPUTED_VALUE"""),"Lethbridge and Calgary, Alberta")</f>
        <v/>
      </c>
      <c r="K13418">
        <f>IFERROR(__xludf.DUMMYFUNCTION("""COMPUTED_VALUE"""),2238.26)</f>
        <v/>
      </c>
    </row>
    <row r="13419">
      <c r="J13419">
        <f>IFERROR(__xludf.DUMMYFUNCTION("""COMPUTED_VALUE"""),"Ottawa, Ontario and Quebec, Quebec")</f>
        <v/>
      </c>
      <c r="K13419">
        <f>IFERROR(__xludf.DUMMYFUNCTION("""COMPUTED_VALUE"""),2238.08)</f>
        <v/>
      </c>
    </row>
    <row r="13420">
      <c r="J13420">
        <f>IFERROR(__xludf.DUMMYFUNCTION("""COMPUTED_VALUE"""),"Vancouver, British Colombia, Canada / Whitehorse, Yukon, Canada")</f>
        <v/>
      </c>
      <c r="K13420">
        <f>IFERROR(__xludf.DUMMYFUNCTION("""COMPUTED_VALUE"""),2237.98)</f>
        <v/>
      </c>
    </row>
    <row r="13421">
      <c r="J13421">
        <f>IFERROR(__xludf.DUMMYFUNCTION("""COMPUTED_VALUE"""),"VANCOUVER, BC - TORONTO, ON")</f>
        <v/>
      </c>
      <c r="K13421">
        <f>IFERROR(__xludf.DUMMYFUNCTION("""COMPUTED_VALUE"""),2237.32)</f>
        <v/>
      </c>
    </row>
    <row r="13422">
      <c r="J13422">
        <f>IFERROR(__xludf.DUMMYFUNCTION("""COMPUTED_VALUE"""),"Goose Bay, Labrador, Canada")</f>
        <v/>
      </c>
      <c r="K13422">
        <f>IFERROR(__xludf.DUMMYFUNCTION("""COMPUTED_VALUE"""),2236.19)</f>
        <v/>
      </c>
    </row>
    <row r="13423">
      <c r="J13423">
        <f>IFERROR(__xludf.DUMMYFUNCTION("""COMPUTED_VALUE"""),"Calgary, Alta; Winnipeg, Man.")</f>
        <v/>
      </c>
      <c r="K13423">
        <f>IFERROR(__xludf.DUMMYFUNCTION("""COMPUTED_VALUE"""),2235.71)</f>
        <v/>
      </c>
    </row>
    <row r="13424">
      <c r="J13424">
        <f>IFERROR(__xludf.DUMMYFUNCTION("""COMPUTED_VALUE"""),"Westpoint, USA")</f>
        <v/>
      </c>
      <c r="K13424">
        <f>IFERROR(__xludf.DUMMYFUNCTION("""COMPUTED_VALUE"""),2235.39)</f>
        <v/>
      </c>
    </row>
    <row r="13425">
      <c r="J13425">
        <f>IFERROR(__xludf.DUMMYFUNCTION("""COMPUTED_VALUE"""),"Îles de la Madeleine, Quebec, Canada")</f>
        <v/>
      </c>
      <c r="K13425">
        <f>IFERROR(__xludf.DUMMYFUNCTION("""COMPUTED_VALUE"""),2235.17)</f>
        <v/>
      </c>
    </row>
    <row r="13426">
      <c r="J13426">
        <f>IFERROR(__xludf.DUMMYFUNCTION("""COMPUTED_VALUE"""),"Bogota (Colombia)")</f>
        <v/>
      </c>
      <c r="K13426">
        <f>IFERROR(__xludf.DUMMYFUNCTION("""COMPUTED_VALUE"""),2235.07)</f>
        <v/>
      </c>
    </row>
    <row r="13427">
      <c r="J13427">
        <f>IFERROR(__xludf.DUMMYFUNCTION("""COMPUTED_VALUE"""),"Montreal, Quebec, Canada; Quebec City, Quebec, Canada; Toronto, Ontario, Canada")</f>
        <v/>
      </c>
      <c r="K13427">
        <f>IFERROR(__xludf.DUMMYFUNCTION("""COMPUTED_VALUE"""),2234.54)</f>
        <v/>
      </c>
    </row>
    <row r="13428">
      <c r="J13428">
        <f>IFERROR(__xludf.DUMMYFUNCTION("""COMPUTED_VALUE"""),"Toronto, ON / Ottawa, ON /
Toronto, ON / Ottawa, ON /
Hamilton, ON")</f>
        <v/>
      </c>
      <c r="K13428">
        <f>IFERROR(__xludf.DUMMYFUNCTION("""COMPUTED_VALUE"""),2234.44)</f>
        <v/>
      </c>
    </row>
    <row r="13429">
      <c r="J13429">
        <f>IFERROR(__xludf.DUMMYFUNCTION("""COMPUTED_VALUE"""),"Saskatoon, Saskatchewan, Keremeos, British Columbia")</f>
        <v/>
      </c>
      <c r="K13429">
        <f>IFERROR(__xludf.DUMMYFUNCTION("""COMPUTED_VALUE"""),2234.28)</f>
        <v/>
      </c>
    </row>
    <row r="13430">
      <c r="J13430">
        <f>IFERROR(__xludf.DUMMYFUNCTION("""COMPUTED_VALUE"""),"Ottawa, Ontario, Canada and Cold Lake, Alberta, Canada")</f>
        <v/>
      </c>
      <c r="K13430">
        <f>IFERROR(__xludf.DUMMYFUNCTION("""COMPUTED_VALUE"""),2233.71)</f>
        <v/>
      </c>
    </row>
    <row r="13431">
      <c r="J13431">
        <f>IFERROR(__xludf.DUMMYFUNCTION("""COMPUTED_VALUE"""),"Quebec City, Trois-Rivières and Montreal, Quebec, Canada
Ottawa, Peterborough and Toronto, Ontario, Canada")</f>
        <v/>
      </c>
      <c r="K13431">
        <f>IFERROR(__xludf.DUMMYFUNCTION("""COMPUTED_VALUE"""),2233.47)</f>
        <v/>
      </c>
    </row>
    <row r="13432">
      <c r="J13432">
        <f>IFERROR(__xludf.DUMMYFUNCTION("""COMPUTED_VALUE"""),"Calgary, Alberta; Lethbridge, Alberta")</f>
        <v/>
      </c>
      <c r="K13432">
        <f>IFERROR(__xludf.DUMMYFUNCTION("""COMPUTED_VALUE"""),2233.46)</f>
        <v/>
      </c>
    </row>
    <row r="13433">
      <c r="J13433">
        <f>IFERROR(__xludf.DUMMYFUNCTION("""COMPUTED_VALUE"""),"Charlottetown, PE , Moncton, NB")</f>
        <v/>
      </c>
      <c r="K13433">
        <f>IFERROR(__xludf.DUMMYFUNCTION("""COMPUTED_VALUE"""),2233.31)</f>
        <v/>
      </c>
    </row>
    <row r="13434">
      <c r="J13434">
        <f>IFERROR(__xludf.DUMMYFUNCTION("""COMPUTED_VALUE"""),"Halifax, NS / Truro, NS")</f>
        <v/>
      </c>
      <c r="K13434">
        <f>IFERROR(__xludf.DUMMYFUNCTION("""COMPUTED_VALUE"""),2232.86)</f>
        <v/>
      </c>
    </row>
    <row r="13435">
      <c r="J13435">
        <f>IFERROR(__xludf.DUMMYFUNCTION("""COMPUTED_VALUE"""),"Edmonton and Saskatoon")</f>
        <v/>
      </c>
      <c r="K13435">
        <f>IFERROR(__xludf.DUMMYFUNCTION("""COMPUTED_VALUE"""),2232.33)</f>
        <v/>
      </c>
    </row>
    <row r="13436">
      <c r="J13436">
        <f>IFERROR(__xludf.DUMMYFUNCTION("""COMPUTED_VALUE"""),"Washington, Distric of Columbia, USA")</f>
        <v/>
      </c>
      <c r="K13436">
        <f>IFERROR(__xludf.DUMMYFUNCTION("""COMPUTED_VALUE"""),2230.56)</f>
        <v/>
      </c>
    </row>
    <row r="13437">
      <c r="J13437">
        <f>IFERROR(__xludf.DUMMYFUNCTION("""COMPUTED_VALUE"""),"Edmonton, Alberta;
Abbotsford, British Columbia")</f>
        <v/>
      </c>
      <c r="K13437">
        <f>IFERROR(__xludf.DUMMYFUNCTION("""COMPUTED_VALUE"""),2230.5)</f>
        <v/>
      </c>
    </row>
    <row r="13438">
      <c r="J13438">
        <f>IFERROR(__xludf.DUMMYFUNCTION("""COMPUTED_VALUE"""),"Ottawa-Montreal-Brussels-Toronto-Ottawa")</f>
        <v/>
      </c>
      <c r="K13438">
        <f>IFERROR(__xludf.DUMMYFUNCTION("""COMPUTED_VALUE"""),2229.95)</f>
        <v/>
      </c>
    </row>
    <row r="13439">
      <c r="J13439">
        <f>IFERROR(__xludf.DUMMYFUNCTION("""COMPUTED_VALUE"""),"Bangor, United Kingdom")</f>
        <v/>
      </c>
      <c r="K13439">
        <f>IFERROR(__xludf.DUMMYFUNCTION("""COMPUTED_VALUE"""),2229.91)</f>
        <v/>
      </c>
    </row>
    <row r="13440">
      <c r="J13440">
        <f>IFERROR(__xludf.DUMMYFUNCTION("""COMPUTED_VALUE"""),"Moncton, New Brunswick, Canada; Toronto, Ontario, Canada")</f>
        <v/>
      </c>
      <c r="K13440">
        <f>IFERROR(__xludf.DUMMYFUNCTION("""COMPUTED_VALUE"""),2229.76)</f>
        <v/>
      </c>
    </row>
    <row r="13441">
      <c r="J13441">
        <f>IFERROR(__xludf.DUMMYFUNCTION("""COMPUTED_VALUE"""),"PRINCE GEORGE, BC")</f>
        <v/>
      </c>
      <c r="K13441">
        <f>IFERROR(__xludf.DUMMYFUNCTION("""COMPUTED_VALUE"""),2229.27)</f>
        <v/>
      </c>
    </row>
    <row r="13442">
      <c r="J13442">
        <f>IFERROR(__xludf.DUMMYFUNCTION("""COMPUTED_VALUE"""),"Vancouver - Edmonton")</f>
        <v/>
      </c>
      <c r="K13442">
        <f>IFERROR(__xludf.DUMMYFUNCTION("""COMPUTED_VALUE"""),2229)</f>
        <v/>
      </c>
    </row>
    <row r="13443">
      <c r="J13443">
        <f>IFERROR(__xludf.DUMMYFUNCTION("""COMPUTED_VALUE"""),"Winnipeg and Brandon (Manitoba)")</f>
        <v/>
      </c>
      <c r="K13443">
        <f>IFERROR(__xludf.DUMMYFUNCTION("""COMPUTED_VALUE"""),2228.81)</f>
        <v/>
      </c>
    </row>
    <row r="13444">
      <c r="J13444">
        <f>IFERROR(__xludf.DUMMYFUNCTION("""COMPUTED_VALUE"""),"Edmonton, Alberta, Canada; Fort McMurray, Alberta, Canada; Vancouver, British Columbia, Canada")</f>
        <v/>
      </c>
      <c r="K13444">
        <f>IFERROR(__xludf.DUMMYFUNCTION("""COMPUTED_VALUE"""),2228.63)</f>
        <v/>
      </c>
    </row>
    <row r="13445">
      <c r="J13445">
        <f>IFERROR(__xludf.DUMMYFUNCTION("""COMPUTED_VALUE"""),"Moncton, New Brunswick ,Canada")</f>
        <v/>
      </c>
      <c r="K13445">
        <f>IFERROR(__xludf.DUMMYFUNCTION("""COMPUTED_VALUE"""),2227.8)</f>
        <v/>
      </c>
    </row>
    <row r="13446">
      <c r="J13446">
        <f>IFERROR(__xludf.DUMMYFUNCTION("""COMPUTED_VALUE"""),"St. John's, NL &amp; Labrador - Halifax, NS - Québec, QC")</f>
        <v/>
      </c>
      <c r="K13446">
        <f>IFERROR(__xludf.DUMMYFUNCTION("""COMPUTED_VALUE"""),2227.42)</f>
        <v/>
      </c>
    </row>
    <row r="13447">
      <c r="J13447">
        <f>IFERROR(__xludf.DUMMYFUNCTION("""COMPUTED_VALUE"""),"Charlottetown, Prince-Edward Island")</f>
        <v/>
      </c>
      <c r="K13447">
        <f>IFERROR(__xludf.DUMMYFUNCTION("""COMPUTED_VALUE"""),2227.38)</f>
        <v/>
      </c>
    </row>
    <row r="13448">
      <c r="J13448">
        <f>IFERROR(__xludf.DUMMYFUNCTION("""COMPUTED_VALUE"""),"Halifax, Nova Scotia, Canada; Shediac, New Brunswick, Canada")</f>
        <v/>
      </c>
      <c r="K13448">
        <f>IFERROR(__xludf.DUMMYFUNCTION("""COMPUTED_VALUE"""),2227.31)</f>
        <v/>
      </c>
    </row>
    <row r="13449">
      <c r="J13449">
        <f>IFERROR(__xludf.DUMMYFUNCTION("""COMPUTED_VALUE"""),"Carleton-sur-Mer, Quebec, Canada")</f>
        <v/>
      </c>
      <c r="K13449">
        <f>IFERROR(__xludf.DUMMYFUNCTION("""COMPUTED_VALUE"""),2227.1)</f>
        <v/>
      </c>
    </row>
    <row r="13450">
      <c r="J13450">
        <f>IFERROR(__xludf.DUMMYFUNCTION("""COMPUTED_VALUE"""),"Oslo, Norvège; Ramstein, Allemagne")</f>
        <v/>
      </c>
      <c r="K13450">
        <f>IFERROR(__xludf.DUMMYFUNCTION("""COMPUTED_VALUE"""),2226.82)</f>
        <v/>
      </c>
    </row>
    <row r="13451">
      <c r="J13451">
        <f>IFERROR(__xludf.DUMMYFUNCTION("""COMPUTED_VALUE"""),"Ottawa / Toronto")</f>
        <v/>
      </c>
      <c r="K13451">
        <f>IFERROR(__xludf.DUMMYFUNCTION("""COMPUTED_VALUE"""),2226.56)</f>
        <v/>
      </c>
    </row>
    <row r="13452">
      <c r="J13452">
        <f>IFERROR(__xludf.DUMMYFUNCTION("""COMPUTED_VALUE"""),"Calgary, AB; Lethbridge, AB")</f>
        <v/>
      </c>
      <c r="K13452">
        <f>IFERROR(__xludf.DUMMYFUNCTION("""COMPUTED_VALUE"""),2226.17)</f>
        <v/>
      </c>
    </row>
    <row r="13453">
      <c r="J13453">
        <f>IFERROR(__xludf.DUMMYFUNCTION("""COMPUTED_VALUE"""),"Calgary, Alberta, Canada; Toronto, Ontario, Canada; Ottawa, Ontario, Canada")</f>
        <v/>
      </c>
      <c r="K13453">
        <f>IFERROR(__xludf.DUMMYFUNCTION("""COMPUTED_VALUE"""),2225.53)</f>
        <v/>
      </c>
    </row>
    <row r="13454">
      <c r="J13454">
        <f>IFERROR(__xludf.DUMMYFUNCTION("""COMPUTED_VALUE"""),"Ottawa, ON - Charlottetown, PE / Charlottetown, PE - Toronto, ON / Toronto, ON - Ottawa, ON")</f>
        <v/>
      </c>
      <c r="K13454">
        <f>IFERROR(__xludf.DUMMYFUNCTION("""COMPUTED_VALUE"""),2225.38)</f>
        <v/>
      </c>
    </row>
    <row r="13455">
      <c r="J13455">
        <f>IFERROR(__xludf.DUMMYFUNCTION("""COMPUTED_VALUE"""),"Charlottetown, Prince Edward Island; Moncton, New Brunswick, Canada")</f>
        <v/>
      </c>
      <c r="K13455">
        <f>IFERROR(__xludf.DUMMYFUNCTION("""COMPUTED_VALUE"""),2225.25)</f>
        <v/>
      </c>
    </row>
    <row r="13456">
      <c r="J13456">
        <f>IFERROR(__xludf.DUMMYFUNCTION("""COMPUTED_VALUE"""),"London ON and Edmonton AB")</f>
        <v/>
      </c>
      <c r="K13456">
        <f>IFERROR(__xludf.DUMMYFUNCTION("""COMPUTED_VALUE"""),2225.2)</f>
        <v/>
      </c>
    </row>
    <row r="13457">
      <c r="J13457">
        <f>IFERROR(__xludf.DUMMYFUNCTION("""COMPUTED_VALUE"""),"Ottawa, ON, Saskatoon and Regina, SK")</f>
        <v/>
      </c>
      <c r="K13457">
        <f>IFERROR(__xludf.DUMMYFUNCTION("""COMPUTED_VALUE"""),2224.5)</f>
        <v/>
      </c>
    </row>
    <row r="13458">
      <c r="J13458">
        <f>IFERROR(__xludf.DUMMYFUNCTION("""COMPUTED_VALUE"""),"Charlottetown, Île-du-Prince-Édouard, Canada")</f>
        <v/>
      </c>
      <c r="K13458">
        <f>IFERROR(__xludf.DUMMYFUNCTION("""COMPUTED_VALUE"""),2224.24)</f>
        <v/>
      </c>
    </row>
    <row r="13459">
      <c r="J13459">
        <f>IFERROR(__xludf.DUMMYFUNCTION("""COMPUTED_VALUE"""),"Toronto, Ontario -       Montreal, Quebec")</f>
        <v/>
      </c>
      <c r="K13459">
        <f>IFERROR(__xludf.DUMMYFUNCTION("""COMPUTED_VALUE"""),2223.72)</f>
        <v/>
      </c>
    </row>
    <row r="13460">
      <c r="J13460">
        <f>IFERROR(__xludf.DUMMYFUNCTION("""COMPUTED_VALUE"""),"Ottawa, ON/Victoria, BC")</f>
        <v/>
      </c>
      <c r="K13460">
        <f>IFERROR(__xludf.DUMMYFUNCTION("""COMPUTED_VALUE"""),2223.53)</f>
        <v/>
      </c>
    </row>
    <row r="13461">
      <c r="J13461">
        <f>IFERROR(__xludf.DUMMYFUNCTION("""COMPUTED_VALUE"""),"Abbotsford, British Columbia;
Richmond, British Columbia")</f>
        <v/>
      </c>
      <c r="K13461">
        <f>IFERROR(__xludf.DUMMYFUNCTION("""COMPUTED_VALUE"""),2222.44)</f>
        <v/>
      </c>
    </row>
    <row r="13462">
      <c r="J13462">
        <f>IFERROR(__xludf.DUMMYFUNCTION("""COMPUTED_VALUE"""),"Montreal, QC - Beijing, Guangzhou - China")</f>
        <v/>
      </c>
      <c r="K13462">
        <f>IFERROR(__xludf.DUMMYFUNCTION("""COMPUTED_VALUE"""),2221.99)</f>
        <v/>
      </c>
    </row>
    <row r="13463">
      <c r="J13463">
        <f>IFERROR(__xludf.DUMMYFUNCTION("""COMPUTED_VALUE"""),"Ottawa - St. John's - Toronto")</f>
        <v/>
      </c>
      <c r="K13463">
        <f>IFERROR(__xludf.DUMMYFUNCTION("""COMPUTED_VALUE"""),2220.43)</f>
        <v/>
      </c>
    </row>
    <row r="13464">
      <c r="J13464">
        <f>IFERROR(__xludf.DUMMYFUNCTION("""COMPUTED_VALUE"""),"Charlottetown and Summerside areas, Prince Edward Island")</f>
        <v/>
      </c>
      <c r="K13464">
        <f>IFERROR(__xludf.DUMMYFUNCTION("""COMPUTED_VALUE"""),2219.8)</f>
        <v/>
      </c>
    </row>
    <row r="13465">
      <c r="J13465">
        <f>IFERROR(__xludf.DUMMYFUNCTION("""COMPUTED_VALUE"""),"Ottawa, Ontario, Canada; Manitoulin Island, Ontario, Canada; Sudbury, Ontario, Canada; North Bay, Ontario, Canada")</f>
        <v/>
      </c>
      <c r="K13465">
        <f>IFERROR(__xludf.DUMMYFUNCTION("""COMPUTED_VALUE"""),2219.22)</f>
        <v/>
      </c>
    </row>
    <row r="13466">
      <c r="J13466">
        <f>IFERROR(__xludf.DUMMYFUNCTION("""COMPUTED_VALUE"""),"Vancouver.")</f>
        <v/>
      </c>
      <c r="K13466">
        <f>IFERROR(__xludf.DUMMYFUNCTION("""COMPUTED_VALUE"""),2219.22)</f>
        <v/>
      </c>
    </row>
    <row r="13467">
      <c r="J13467">
        <f>IFERROR(__xludf.DUMMYFUNCTION("""COMPUTED_VALUE"""),"Ottawa - Québec - Charlottetown - Ottawa")</f>
        <v/>
      </c>
      <c r="K13467">
        <f>IFERROR(__xludf.DUMMYFUNCTION("""COMPUTED_VALUE"""),2219.12)</f>
        <v/>
      </c>
    </row>
    <row r="13468">
      <c r="J13468">
        <f>IFERROR(__xludf.DUMMYFUNCTION("""COMPUTED_VALUE"""),"Victoria, British Columbia, Canada; Regina, Saskatchewan, Canada; Saskatoon, Saskatchewan, Canada")</f>
        <v/>
      </c>
      <c r="K13468">
        <f>IFERROR(__xludf.DUMMYFUNCTION("""COMPUTED_VALUE"""),2218.54)</f>
        <v/>
      </c>
    </row>
    <row r="13469">
      <c r="J13469">
        <f>IFERROR(__xludf.DUMMYFUNCTION("""COMPUTED_VALUE"""),"Edmonton-Devon-Calgary, AB")</f>
        <v/>
      </c>
      <c r="K13469">
        <f>IFERROR(__xludf.DUMMYFUNCTION("""COMPUTED_VALUE"""),2218.41)</f>
        <v/>
      </c>
    </row>
    <row r="13470">
      <c r="J13470">
        <f>IFERROR(__xludf.DUMMYFUNCTION("""COMPUTED_VALUE"""),"Ottawa, Ontario / St. Andrews, New Brunswick")</f>
        <v/>
      </c>
      <c r="K13470">
        <f>IFERROR(__xludf.DUMMYFUNCTION("""COMPUTED_VALUE"""),2218.34)</f>
        <v/>
      </c>
    </row>
    <row r="13471">
      <c r="J13471">
        <f>IFERROR(__xludf.DUMMYFUNCTION("""COMPUTED_VALUE"""),"Calgary (Alberta) Canada; Vancouver (British Columbia) Canada")</f>
        <v/>
      </c>
      <c r="K13471">
        <f>IFERROR(__xludf.DUMMYFUNCTION("""COMPUTED_VALUE"""),2217.5)</f>
        <v/>
      </c>
    </row>
    <row r="13472">
      <c r="J13472">
        <f>IFERROR(__xludf.DUMMYFUNCTION("""COMPUTED_VALUE"""),"Vancouver, British Columbia 
Calgary, Alberta, Canada")</f>
        <v/>
      </c>
      <c r="K13472">
        <f>IFERROR(__xludf.DUMMYFUNCTION("""COMPUTED_VALUE"""),2217.47)</f>
        <v/>
      </c>
    </row>
    <row r="13473">
      <c r="J13473">
        <f>IFERROR(__xludf.DUMMYFUNCTION("""COMPUTED_VALUE"""),"Cowansville, Lac-de-Français, Montreal, Rouyn-Noranda, Val-d'Or, Quebec, (Canada)")</f>
        <v/>
      </c>
      <c r="K13473">
        <f>IFERROR(__xludf.DUMMYFUNCTION("""COMPUTED_VALUE"""),2217.44)</f>
        <v/>
      </c>
    </row>
    <row r="13474">
      <c r="J13474">
        <f>IFERROR(__xludf.DUMMYFUNCTION("""COMPUTED_VALUE"""),"Boston, MA, USA, Halifax, NS")</f>
        <v/>
      </c>
      <c r="K13474">
        <f>IFERROR(__xludf.DUMMYFUNCTION("""COMPUTED_VALUE"""),2216.83)</f>
        <v/>
      </c>
    </row>
    <row r="13475">
      <c r="J13475">
        <f>IFERROR(__xludf.DUMMYFUNCTION("""COMPUTED_VALUE"""),"Washington DC, (United States)")</f>
        <v/>
      </c>
      <c r="K13475">
        <f>IFERROR(__xludf.DUMMYFUNCTION("""COMPUTED_VALUE"""),2216.75)</f>
        <v/>
      </c>
    </row>
    <row r="13476">
      <c r="J13476">
        <f>IFERROR(__xludf.DUMMYFUNCTION("""COMPUTED_VALUE"""),"Paris-Istanbul-Paris")</f>
        <v/>
      </c>
      <c r="K13476">
        <f>IFERROR(__xludf.DUMMYFUNCTION("""COMPUTED_VALUE"""),2216.24)</f>
        <v/>
      </c>
    </row>
    <row r="13477">
      <c r="J13477">
        <f>IFERROR(__xludf.DUMMYFUNCTION("""COMPUTED_VALUE"""),"Val D'Or, Rouyn-Noranda")</f>
        <v/>
      </c>
      <c r="K13477">
        <f>IFERROR(__xludf.DUMMYFUNCTION("""COMPUTED_VALUE"""),2216.06)</f>
        <v/>
      </c>
    </row>
    <row r="13478">
      <c r="J13478">
        <f>IFERROR(__xludf.DUMMYFUNCTION("""COMPUTED_VALUE"""),"St. John's, Newfoundland and Labrador &amp; Halifax &amp; Lunenburg, Nova Scotia")</f>
        <v/>
      </c>
      <c r="K13478">
        <f>IFERROR(__xludf.DUMMYFUNCTION("""COMPUTED_VALUE"""),2215.35)</f>
        <v/>
      </c>
    </row>
    <row r="13479">
      <c r="J13479">
        <f>IFERROR(__xludf.DUMMYFUNCTION("""COMPUTED_VALUE"""),"Toronto, ON
Montréal, QC")</f>
        <v/>
      </c>
      <c r="K13479">
        <f>IFERROR(__xludf.DUMMYFUNCTION("""COMPUTED_VALUE"""),2215.13)</f>
        <v/>
      </c>
    </row>
    <row r="13480">
      <c r="J13480">
        <f>IFERROR(__xludf.DUMMYFUNCTION("""COMPUTED_VALUE"""),"Ottawa - London England - Ottawa")</f>
        <v/>
      </c>
      <c r="K13480">
        <f>IFERROR(__xludf.DUMMYFUNCTION("""COMPUTED_VALUE"""),2214.8)</f>
        <v/>
      </c>
    </row>
    <row r="13481">
      <c r="J13481">
        <f>IFERROR(__xludf.DUMMYFUNCTION("""COMPUTED_VALUE"""),"Winnipeg, Manitoba, Regina, Saskatchewan,Canada")</f>
        <v/>
      </c>
      <c r="K13481">
        <f>IFERROR(__xludf.DUMMYFUNCTION("""COMPUTED_VALUE"""),2214.43)</f>
        <v/>
      </c>
    </row>
    <row r="13482">
      <c r="J13482">
        <f>IFERROR(__xludf.DUMMYFUNCTION("""COMPUTED_VALUE"""),"Vegas, United States")</f>
        <v/>
      </c>
      <c r="K13482">
        <f>IFERROR(__xludf.DUMMYFUNCTION("""COMPUTED_VALUE"""),2214.34)</f>
        <v/>
      </c>
    </row>
    <row r="13483">
      <c r="J13483">
        <f>IFERROR(__xludf.DUMMYFUNCTION("""COMPUTED_VALUE"""),"Victoria(B.C.) Canada")</f>
        <v/>
      </c>
      <c r="K13483">
        <f>IFERROR(__xludf.DUMMYFUNCTION("""COMPUTED_VALUE"""),2213.88)</f>
        <v/>
      </c>
    </row>
    <row r="13484">
      <c r="J13484">
        <f>IFERROR(__xludf.DUMMYFUNCTION("""COMPUTED_VALUE"""),"Estérel, Quebec, Canada")</f>
        <v/>
      </c>
      <c r="K13484">
        <f>IFERROR(__xludf.DUMMYFUNCTION("""COMPUTED_VALUE"""),2213.46)</f>
        <v/>
      </c>
    </row>
    <row r="13485">
      <c r="J13485">
        <f>IFERROR(__xludf.DUMMYFUNCTION("""COMPUTED_VALUE"""),"Halifax, Toronto")</f>
        <v/>
      </c>
      <c r="K13485">
        <f>IFERROR(__xludf.DUMMYFUNCTION("""COMPUTED_VALUE"""),2213.12)</f>
        <v/>
      </c>
    </row>
    <row r="13486">
      <c r="J13486">
        <f>IFERROR(__xludf.DUMMYFUNCTION("""COMPUTED_VALUE"""),"Fredericton, New Brunswick
Canada")</f>
        <v/>
      </c>
      <c r="K13486">
        <f>IFERROR(__xludf.DUMMYFUNCTION("""COMPUTED_VALUE"""),2213.08)</f>
        <v/>
      </c>
    </row>
    <row r="13487">
      <c r="J13487">
        <f>IFERROR(__xludf.DUMMYFUNCTION("""COMPUTED_VALUE"""),"Waterloo, ON and Calgary, AB")</f>
        <v/>
      </c>
      <c r="K13487">
        <f>IFERROR(__xludf.DUMMYFUNCTION("""COMPUTED_VALUE"""),2213.08)</f>
        <v/>
      </c>
    </row>
    <row r="13488">
      <c r="J13488">
        <f>IFERROR(__xludf.DUMMYFUNCTION("""COMPUTED_VALUE"""),"Ottawa - Vanvouver - Victoria - Toronto - Ottawa")</f>
        <v/>
      </c>
      <c r="K13488">
        <f>IFERROR(__xludf.DUMMYFUNCTION("""COMPUTED_VALUE"""),2212.9)</f>
        <v/>
      </c>
    </row>
    <row r="13489">
      <c r="J13489">
        <f>IFERROR(__xludf.DUMMYFUNCTION("""COMPUTED_VALUE"""),"Toronto, Ontario, Canada
Halifax, Nova Scotia, Canada")</f>
        <v/>
      </c>
      <c r="K13489">
        <f>IFERROR(__xludf.DUMMYFUNCTION("""COMPUTED_VALUE"""),2212.31)</f>
        <v/>
      </c>
    </row>
    <row r="13490">
      <c r="J13490">
        <f>IFERROR(__xludf.DUMMYFUNCTION("""COMPUTED_VALUE"""),"Palo Alto, Califonia, USA")</f>
        <v/>
      </c>
      <c r="K13490">
        <f>IFERROR(__xludf.DUMMYFUNCTION("""COMPUTED_VALUE"""),2212)</f>
        <v/>
      </c>
    </row>
    <row r="13491">
      <c r="J13491">
        <f>IFERROR(__xludf.DUMMYFUNCTION("""COMPUTED_VALUE"""),"OMAHA")</f>
        <v/>
      </c>
      <c r="K13491">
        <f>IFERROR(__xludf.DUMMYFUNCTION("""COMPUTED_VALUE"""),2211.61)</f>
        <v/>
      </c>
    </row>
    <row r="13492">
      <c r="J13492">
        <f>IFERROR(__xludf.DUMMYFUNCTION("""COMPUTED_VALUE"""),"Miami, Florida, United States;#32")</f>
        <v/>
      </c>
      <c r="K13492">
        <f>IFERROR(__xludf.DUMMYFUNCTION("""COMPUTED_VALUE"""),2211.56)</f>
        <v/>
      </c>
    </row>
    <row r="13493">
      <c r="J13493">
        <f>IFERROR(__xludf.DUMMYFUNCTION("""COMPUTED_VALUE"""),"Bathurst, New Brunswick, Canada; Quebec City, Quebec, Canada")</f>
        <v/>
      </c>
      <c r="K13493">
        <f>IFERROR(__xludf.DUMMYFUNCTION("""COMPUTED_VALUE"""),2211.15)</f>
        <v/>
      </c>
    </row>
    <row r="13494">
      <c r="J13494">
        <f>IFERROR(__xludf.DUMMYFUNCTION("""COMPUTED_VALUE"""),"Toronto, ON, Winnipeg, MB")</f>
        <v/>
      </c>
      <c r="K13494">
        <f>IFERROR(__xludf.DUMMYFUNCTION("""COMPUTED_VALUE"""),2211.07)</f>
        <v/>
      </c>
    </row>
    <row r="13495">
      <c r="J13495">
        <f>IFERROR(__xludf.DUMMYFUNCTION("""COMPUTED_VALUE"""),"Charlottetown, Prince Edward Island, Canada/ Moncton, New Brunswick, Canada")</f>
        <v/>
      </c>
      <c r="K13495">
        <f>IFERROR(__xludf.DUMMYFUNCTION("""COMPUTED_VALUE"""),2211.02)</f>
        <v/>
      </c>
    </row>
    <row r="13496">
      <c r="J13496">
        <f>IFERROR(__xludf.DUMMYFUNCTION("""COMPUTED_VALUE"""),"Deer Lake, Newfoundland and Labrador, Canada / St John's, Newfoundland and Labrador, Canada")</f>
        <v/>
      </c>
      <c r="K13496">
        <f>IFERROR(__xludf.DUMMYFUNCTION("""COMPUTED_VALUE"""),2209.04)</f>
        <v/>
      </c>
    </row>
    <row r="13497">
      <c r="J13497">
        <f>IFERROR(__xludf.DUMMYFUNCTION("""COMPUTED_VALUE"""),"Calgary, AB, Moncton,NB and Halifax, NS")</f>
        <v/>
      </c>
      <c r="K13497">
        <f>IFERROR(__xludf.DUMMYFUNCTION("""COMPUTED_VALUE"""),2208.86)</f>
        <v/>
      </c>
    </row>
    <row r="13498">
      <c r="J13498">
        <f>IFERROR(__xludf.DUMMYFUNCTION("""COMPUTED_VALUE"""),"Kamloops and Vancouver, British Columbia, Canada")</f>
        <v/>
      </c>
      <c r="K13498">
        <f>IFERROR(__xludf.DUMMYFUNCTION("""COMPUTED_VALUE"""),2208.66)</f>
        <v/>
      </c>
    </row>
    <row r="13499">
      <c r="J13499">
        <f>IFERROR(__xludf.DUMMYFUNCTION("""COMPUTED_VALUE"""),"St.Peter's Bay , Prince Edward Island, Canada")</f>
        <v/>
      </c>
      <c r="K13499">
        <f>IFERROR(__xludf.DUMMYFUNCTION("""COMPUTED_VALUE"""),2208.63)</f>
        <v/>
      </c>
    </row>
    <row r="13500">
      <c r="J13500">
        <f>IFERROR(__xludf.DUMMYFUNCTION("""COMPUTED_VALUE"""),"Salem, Oregon, United States")</f>
        <v/>
      </c>
      <c r="K13500">
        <f>IFERROR(__xludf.DUMMYFUNCTION("""COMPUTED_VALUE"""),2207.95)</f>
        <v/>
      </c>
    </row>
    <row r="13501">
      <c r="J13501">
        <f>IFERROR(__xludf.DUMMYFUNCTION("""COMPUTED_VALUE"""),"Brossard, Quebec / Sherbrooke, Quebec")</f>
        <v/>
      </c>
      <c r="K13501">
        <f>IFERROR(__xludf.DUMMYFUNCTION("""COMPUTED_VALUE"""),2207.67)</f>
        <v/>
      </c>
    </row>
    <row r="13502">
      <c r="J13502">
        <f>IFERROR(__xludf.DUMMYFUNCTION("""COMPUTED_VALUE"""),"Vancouver, British Columbia, Canada; Kamloops, British Columbia, Canada; Surrey, British Columbia, Canada")</f>
        <v/>
      </c>
      <c r="K13502">
        <f>IFERROR(__xludf.DUMMYFUNCTION("""COMPUTED_VALUE"""),2207.5)</f>
        <v/>
      </c>
    </row>
    <row r="13503">
      <c r="J13503">
        <f>IFERROR(__xludf.DUMMYFUNCTION("""COMPUTED_VALUE"""),"Yellowknife, NT.")</f>
        <v/>
      </c>
      <c r="K13503">
        <f>IFERROR(__xludf.DUMMYFUNCTION("""COMPUTED_VALUE"""),2206.82)</f>
        <v/>
      </c>
    </row>
    <row r="13504">
      <c r="J13504">
        <f>IFERROR(__xludf.DUMMYFUNCTION("""COMPUTED_VALUE"""),"Comox, British Columbia, Canada
Nanaimo, British Columbia, Canada")</f>
        <v/>
      </c>
      <c r="K13504">
        <f>IFERROR(__xludf.DUMMYFUNCTION("""COMPUTED_VALUE"""),2206.61)</f>
        <v/>
      </c>
    </row>
    <row r="13505">
      <c r="J13505">
        <f>IFERROR(__xludf.DUMMYFUNCTION("""COMPUTED_VALUE"""),"Washington, DC, United State")</f>
        <v/>
      </c>
      <c r="K13505">
        <f>IFERROR(__xludf.DUMMYFUNCTION("""COMPUTED_VALUE"""),2206.51)</f>
        <v/>
      </c>
    </row>
    <row r="13506">
      <c r="J13506">
        <f>IFERROR(__xludf.DUMMYFUNCTION("""COMPUTED_VALUE"""),"Saint John/Fredericton/Halifax")</f>
        <v/>
      </c>
      <c r="K13506">
        <f>IFERROR(__xludf.DUMMYFUNCTION("""COMPUTED_VALUE"""),2206.11)</f>
        <v/>
      </c>
    </row>
    <row r="13507">
      <c r="J13507">
        <f>IFERROR(__xludf.DUMMYFUNCTION("""COMPUTED_VALUE"""),"GATINEAU, QC")</f>
        <v/>
      </c>
      <c r="K13507">
        <f>IFERROR(__xludf.DUMMYFUNCTION("""COMPUTED_VALUE"""),2205.39)</f>
        <v/>
      </c>
    </row>
    <row r="13508">
      <c r="J13508">
        <f>IFERROR(__xludf.DUMMYFUNCTION("""COMPUTED_VALUE"""),"Toronto, Ontario, Canada / Detroit, Michigan, United States")</f>
        <v/>
      </c>
      <c r="K13508">
        <f>IFERROR(__xludf.DUMMYFUNCTION("""COMPUTED_VALUE"""),2204.59)</f>
        <v/>
      </c>
    </row>
    <row r="13509">
      <c r="J13509">
        <f>IFERROR(__xludf.DUMMYFUNCTION("""COMPUTED_VALUE"""),"Charlottetown, Prince Edward Island; Halifax, Nova Scotia and Cape Breton")</f>
        <v/>
      </c>
      <c r="K13509">
        <f>IFERROR(__xludf.DUMMYFUNCTION("""COMPUTED_VALUE"""),2204.48)</f>
        <v/>
      </c>
    </row>
    <row r="13510">
      <c r="J13510">
        <f>IFERROR(__xludf.DUMMYFUNCTION("""COMPUTED_VALUE"""),"Toronto, Ontario, Canada / Grimsby, Ontario, Canada / Markham, Ontario, Canada/ Mississauga, Ontario, Canada / Sudbury, Ontario, Canada")</f>
        <v/>
      </c>
      <c r="K13510">
        <f>IFERROR(__xludf.DUMMYFUNCTION("""COMPUTED_VALUE"""),2204.3)</f>
        <v/>
      </c>
    </row>
    <row r="13511">
      <c r="J13511">
        <f>IFERROR(__xludf.DUMMYFUNCTION("""COMPUTED_VALUE"""),"Sherbrooke, Canada
Washington, US")</f>
        <v/>
      </c>
      <c r="K13511">
        <f>IFERROR(__xludf.DUMMYFUNCTION("""COMPUTED_VALUE"""),2204.22)</f>
        <v/>
      </c>
    </row>
    <row r="13512">
      <c r="J13512">
        <f>IFERROR(__xludf.DUMMYFUNCTION("""COMPUTED_VALUE"""),"Fredericton, New Brunswick (Canada)")</f>
        <v/>
      </c>
      <c r="K13512">
        <f>IFERROR(__xludf.DUMMYFUNCTION("""COMPUTED_VALUE"""),2204)</f>
        <v/>
      </c>
    </row>
    <row r="13513">
      <c r="J13513">
        <f>IFERROR(__xludf.DUMMYFUNCTION("""COMPUTED_VALUE"""),"Moncton, New Brunswick and Halifax and Cape Breton, Nova Scotia")</f>
        <v/>
      </c>
      <c r="K13513">
        <f>IFERROR(__xludf.DUMMYFUNCTION("""COMPUTED_VALUE"""),2203.8)</f>
        <v/>
      </c>
    </row>
    <row r="13514">
      <c r="J13514">
        <f>IFERROR(__xludf.DUMMYFUNCTION("""COMPUTED_VALUE"""),"Toronto, Ontario, Canada / Washington, United States")</f>
        <v/>
      </c>
      <c r="K13514">
        <f>IFERROR(__xludf.DUMMYFUNCTION("""COMPUTED_VALUE"""),2203.6)</f>
        <v/>
      </c>
    </row>
    <row r="13515">
      <c r="J13515">
        <f>IFERROR(__xludf.DUMMYFUNCTION("""COMPUTED_VALUE"""),"Calgary, Alberta, Canada; Toronto, Ontario, Canada; Halifax, Nova Scotia, Canada")</f>
        <v/>
      </c>
      <c r="K13515">
        <f>IFERROR(__xludf.DUMMYFUNCTION("""COMPUTED_VALUE"""),2203.43)</f>
        <v/>
      </c>
    </row>
    <row r="13516">
      <c r="J13516">
        <f>IFERROR(__xludf.DUMMYFUNCTION("""COMPUTED_VALUE"""),"Newfoundland, Saint-Johns
Canada")</f>
        <v/>
      </c>
      <c r="K13516">
        <f>IFERROR(__xludf.DUMMYFUNCTION("""COMPUTED_VALUE"""),2203.24)</f>
        <v/>
      </c>
    </row>
    <row r="13517">
      <c r="J13517">
        <f>IFERROR(__xludf.DUMMYFUNCTION("""COMPUTED_VALUE"""),"Petawawa (Ontario) and Ottawa (Ontario)")</f>
        <v/>
      </c>
      <c r="K13517">
        <f>IFERROR(__xludf.DUMMYFUNCTION("""COMPUTED_VALUE"""),2203.19)</f>
        <v/>
      </c>
    </row>
    <row r="13518">
      <c r="J13518">
        <f>IFERROR(__xludf.DUMMYFUNCTION("""COMPUTED_VALUE"""),"Washington, DC / London, Ontario")</f>
        <v/>
      </c>
      <c r="K13518">
        <f>IFERROR(__xludf.DUMMYFUNCTION("""COMPUTED_VALUE"""),2203.17)</f>
        <v/>
      </c>
    </row>
    <row r="13519">
      <c r="J13519">
        <f>IFERROR(__xludf.DUMMYFUNCTION("""COMPUTED_VALUE"""),"Ottawa, ON, St. Jean sur Richelieu, QC")</f>
        <v/>
      </c>
      <c r="K13519">
        <f>IFERROR(__xludf.DUMMYFUNCTION("""COMPUTED_VALUE"""),2203.11)</f>
        <v/>
      </c>
    </row>
    <row r="13520">
      <c r="J13520">
        <f>IFERROR(__xludf.DUMMYFUNCTION("""COMPUTED_VALUE"""),"Tofino, British Columbia, Canada")</f>
        <v/>
      </c>
      <c r="K13520">
        <f>IFERROR(__xludf.DUMMYFUNCTION("""COMPUTED_VALUE"""),2203.02)</f>
        <v/>
      </c>
    </row>
    <row r="13521">
      <c r="J13521">
        <f>IFERROR(__xludf.DUMMYFUNCTION("""COMPUTED_VALUE"""),"Saskatoon, SK, Burnaby, BC")</f>
        <v/>
      </c>
      <c r="K13521">
        <f>IFERROR(__xludf.DUMMYFUNCTION("""COMPUTED_VALUE"""),2201.83)</f>
        <v/>
      </c>
    </row>
    <row r="13522">
      <c r="J13522">
        <f>IFERROR(__xludf.DUMMYFUNCTION("""COMPUTED_VALUE"""),"TORONTO, ONTARIO")</f>
        <v/>
      </c>
      <c r="K13522">
        <f>IFERROR(__xludf.DUMMYFUNCTION("""COMPUTED_VALUE"""),2201.77)</f>
        <v/>
      </c>
    </row>
    <row r="13523">
      <c r="J13523">
        <f>IFERROR(__xludf.DUMMYFUNCTION("""COMPUTED_VALUE"""),"Vancouver; Winnipeg; Halifax; St.John's; Charlottetown")</f>
        <v/>
      </c>
      <c r="K13523">
        <f>IFERROR(__xludf.DUMMYFUNCTION("""COMPUTED_VALUE"""),2201.67)</f>
        <v/>
      </c>
    </row>
    <row r="13524">
      <c r="J13524">
        <f>IFERROR(__xludf.DUMMYFUNCTION("""COMPUTED_VALUE"""),"Regina, Saskatchewan 
Canada")</f>
        <v/>
      </c>
      <c r="K13524">
        <f>IFERROR(__xludf.DUMMYFUNCTION("""COMPUTED_VALUE"""),2201.59)</f>
        <v/>
      </c>
    </row>
    <row r="13525">
      <c r="J13525">
        <f>IFERROR(__xludf.DUMMYFUNCTION("""COMPUTED_VALUE"""),"Washington, District of Columbia., United States of America")</f>
        <v/>
      </c>
      <c r="K13525">
        <f>IFERROR(__xludf.DUMMYFUNCTION("""COMPUTED_VALUE"""),2201.04)</f>
        <v/>
      </c>
    </row>
    <row r="13526">
      <c r="J13526">
        <f>IFERROR(__xludf.DUMMYFUNCTION("""COMPUTED_VALUE"""),"Lyon")</f>
        <v/>
      </c>
      <c r="K13526">
        <f>IFERROR(__xludf.DUMMYFUNCTION("""COMPUTED_VALUE"""),2200.85999999999)</f>
        <v/>
      </c>
    </row>
    <row r="13527">
      <c r="J13527">
        <f>IFERROR(__xludf.DUMMYFUNCTION("""COMPUTED_VALUE"""),"Washington, DC, United states")</f>
        <v/>
      </c>
      <c r="K13527">
        <f>IFERROR(__xludf.DUMMYFUNCTION("""COMPUTED_VALUE"""),2200.72)</f>
        <v/>
      </c>
    </row>
    <row r="13528">
      <c r="J13528">
        <f>IFERROR(__xludf.DUMMYFUNCTION("""COMPUTED_VALUE"""),"Montréal, QC; Halifax, NS")</f>
        <v/>
      </c>
      <c r="K13528">
        <f>IFERROR(__xludf.DUMMYFUNCTION("""COMPUTED_VALUE"""),2200.7)</f>
        <v/>
      </c>
    </row>
    <row r="13529">
      <c r="J13529">
        <f>IFERROR(__xludf.DUMMYFUNCTION("""COMPUTED_VALUE"""),"Guatamala City, Guatamala")</f>
        <v/>
      </c>
      <c r="K13529">
        <f>IFERROR(__xludf.DUMMYFUNCTION("""COMPUTED_VALUE"""),2200.47)</f>
        <v/>
      </c>
    </row>
    <row r="13530">
      <c r="J13530">
        <f>IFERROR(__xludf.DUMMYFUNCTION("""COMPUTED_VALUE"""),"Charlottetown, PE and Halifax, NS")</f>
        <v/>
      </c>
      <c r="K13530">
        <f>IFERROR(__xludf.DUMMYFUNCTION("""COMPUTED_VALUE"""),2200.41)</f>
        <v/>
      </c>
    </row>
    <row r="13531">
      <c r="J13531">
        <f>IFERROR(__xludf.DUMMYFUNCTION("""COMPUTED_VALUE"""),"Îles-de-la-Madeleine (Quebec) Canada")</f>
        <v/>
      </c>
      <c r="K13531">
        <f>IFERROR(__xludf.DUMMYFUNCTION("""COMPUTED_VALUE"""),2200.19)</f>
        <v/>
      </c>
    </row>
    <row r="13532">
      <c r="J13532">
        <f>IFERROR(__xludf.DUMMYFUNCTION("""COMPUTED_VALUE"""),"Quebec, QC, Fredericton, NB, Charlottetown, PE")</f>
        <v/>
      </c>
      <c r="K13532">
        <f>IFERROR(__xludf.DUMMYFUNCTION("""COMPUTED_VALUE"""),2199.22)</f>
        <v/>
      </c>
    </row>
    <row r="13533">
      <c r="J13533">
        <f>IFERROR(__xludf.DUMMYFUNCTION("""COMPUTED_VALUE"""),"Vancouver/PentictonKelowna")</f>
        <v/>
      </c>
      <c r="K13533">
        <f>IFERROR(__xludf.DUMMYFUNCTION("""COMPUTED_VALUE"""),2198.94)</f>
        <v/>
      </c>
    </row>
    <row r="13534">
      <c r="J13534">
        <f>IFERROR(__xludf.DUMMYFUNCTION("""COMPUTED_VALUE"""),"Red Lake and Stormer Lake, Ontario")</f>
        <v/>
      </c>
      <c r="K13534">
        <f>IFERROR(__xludf.DUMMYFUNCTION("""COMPUTED_VALUE"""),2198.75)</f>
        <v/>
      </c>
    </row>
    <row r="13535">
      <c r="J13535">
        <f>IFERROR(__xludf.DUMMYFUNCTION("""COMPUTED_VALUE"""),"Lansdowne, ON")</f>
        <v/>
      </c>
      <c r="K13535">
        <f>IFERROR(__xludf.DUMMYFUNCTION("""COMPUTED_VALUE"""),2198.67)</f>
        <v/>
      </c>
    </row>
    <row r="13536">
      <c r="J13536">
        <f>IFERROR(__xludf.DUMMYFUNCTION("""COMPUTED_VALUE"""),"Joyceville Assessment Unit / Sudbudy Parole / Serpent River First Nation")</f>
        <v/>
      </c>
      <c r="K13536">
        <f>IFERROR(__xludf.DUMMYFUNCTION("""COMPUTED_VALUE"""),2198.64)</f>
        <v/>
      </c>
    </row>
    <row r="13537">
      <c r="J13537">
        <f>IFERROR(__xludf.DUMMYFUNCTION("""COMPUTED_VALUE"""),"Lacolle, Quebec;#34;#Montreal, Quebec;#3;#Ottawa, Ontario;#1")</f>
        <v/>
      </c>
      <c r="K13537">
        <f>IFERROR(__xludf.DUMMYFUNCTION("""COMPUTED_VALUE"""),2198.02)</f>
        <v/>
      </c>
    </row>
    <row r="13538">
      <c r="J13538">
        <f>IFERROR(__xludf.DUMMYFUNCTION("""COMPUTED_VALUE"""),"Calgary, Alberta, Canada; Kananaskis, Alberta, Canada; Banff, Alberta, Canada")</f>
        <v/>
      </c>
      <c r="K13538">
        <f>IFERROR(__xludf.DUMMYFUNCTION("""COMPUTED_VALUE"""),2197.95)</f>
        <v/>
      </c>
    </row>
    <row r="13539">
      <c r="J13539">
        <f>IFERROR(__xludf.DUMMYFUNCTION("""COMPUTED_VALUE"""),"Bruce Peninsula National Park, Ontario, Canada")</f>
        <v/>
      </c>
      <c r="K13539">
        <f>IFERROR(__xludf.DUMMYFUNCTION("""COMPUTED_VALUE"""),2197.62)</f>
        <v/>
      </c>
    </row>
    <row r="13540">
      <c r="J13540">
        <f>IFERROR(__xludf.DUMMYFUNCTION("""COMPUTED_VALUE"""),"Vancouver, BC; Terrace, BC; Regina, SK")</f>
        <v/>
      </c>
      <c r="K13540">
        <f>IFERROR(__xludf.DUMMYFUNCTION("""COMPUTED_VALUE"""),2197.26)</f>
        <v/>
      </c>
    </row>
    <row r="13541">
      <c r="J13541">
        <f>IFERROR(__xludf.DUMMYFUNCTION("""COMPUTED_VALUE"""),"Charlottesville, Virginia (USA)")</f>
        <v/>
      </c>
      <c r="K13541">
        <f>IFERROR(__xludf.DUMMYFUNCTION("""COMPUTED_VALUE"""),2195.74)</f>
        <v/>
      </c>
    </row>
    <row r="13542">
      <c r="J13542">
        <f>IFERROR(__xludf.DUMMYFUNCTION("""COMPUTED_VALUE"""),"Fredericton, New Brunswick / Moncton, New Brunswick / Halifax, Nova Scotia")</f>
        <v/>
      </c>
      <c r="K13542">
        <f>IFERROR(__xludf.DUMMYFUNCTION("""COMPUTED_VALUE"""),2195.69)</f>
        <v/>
      </c>
    </row>
    <row r="13543">
      <c r="J13543">
        <f>IFERROR(__xludf.DUMMYFUNCTION("""COMPUTED_VALUE"""),"Halifax, Nova Scotia; Saint-Pierre et Miquelon, France; St. John's, Newfoundland and Labrador")</f>
        <v/>
      </c>
      <c r="K13543">
        <f>IFERROR(__xludf.DUMMYFUNCTION("""COMPUTED_VALUE"""),2195.58)</f>
        <v/>
      </c>
    </row>
    <row r="13544">
      <c r="J13544">
        <f>IFERROR(__xludf.DUMMYFUNCTION("""COMPUTED_VALUE"""),"Sydney, Nova Scotia / Halifax, Nova Scotia, Canada")</f>
        <v/>
      </c>
      <c r="K13544">
        <f>IFERROR(__xludf.DUMMYFUNCTION("""COMPUTED_VALUE"""),2195.58)</f>
        <v/>
      </c>
    </row>
    <row r="13545">
      <c r="J13545">
        <f>IFERROR(__xludf.DUMMYFUNCTION("""COMPUTED_VALUE"""),"Winnipeg MB- Calgary AB")</f>
        <v/>
      </c>
      <c r="K13545">
        <f>IFERROR(__xludf.DUMMYFUNCTION("""COMPUTED_VALUE"""),2195.48)</f>
        <v/>
      </c>
    </row>
    <row r="13546">
      <c r="J13546">
        <f>IFERROR(__xludf.DUMMYFUNCTION("""COMPUTED_VALUE"""),"Montreal, Quebec, Canada; Thornton, Ontario, Canada")</f>
        <v/>
      </c>
      <c r="K13546">
        <f>IFERROR(__xludf.DUMMYFUNCTION("""COMPUTED_VALUE"""),2195)</f>
        <v/>
      </c>
    </row>
    <row r="13547">
      <c r="J13547">
        <f>IFERROR(__xludf.DUMMYFUNCTION("""COMPUTED_VALUE"""),"Ottawa, Québec")</f>
        <v/>
      </c>
      <c r="K13547">
        <f>IFERROR(__xludf.DUMMYFUNCTION("""COMPUTED_VALUE"""),2194.91)</f>
        <v/>
      </c>
    </row>
    <row r="13548">
      <c r="J13548">
        <f>IFERROR(__xludf.DUMMYFUNCTION("""COMPUTED_VALUE"""),"Ottawa- Toronto- Charlottetown - Montreal- Ottawa")</f>
        <v/>
      </c>
      <c r="K13548">
        <f>IFERROR(__xludf.DUMMYFUNCTION("""COMPUTED_VALUE"""),2194.56)</f>
        <v/>
      </c>
    </row>
    <row r="13549">
      <c r="J13549">
        <f>IFERROR(__xludf.DUMMYFUNCTION("""COMPUTED_VALUE"""),"Winnipeg, MB - Ottawa, ON")</f>
        <v/>
      </c>
      <c r="K13549">
        <f>IFERROR(__xludf.DUMMYFUNCTION("""COMPUTED_VALUE"""),2194.06)</f>
        <v/>
      </c>
    </row>
    <row r="13550">
      <c r="J13550">
        <f>IFERROR(__xludf.DUMMYFUNCTION("""COMPUTED_VALUE"""),"Windsor, Ontario, Canada
Detroit, Michigan, United States")</f>
        <v/>
      </c>
      <c r="K13550">
        <f>IFERROR(__xludf.DUMMYFUNCTION("""COMPUTED_VALUE"""),2193.94)</f>
        <v/>
      </c>
    </row>
    <row r="13551">
      <c r="J13551">
        <f>IFERROR(__xludf.DUMMYFUNCTION("""COMPUTED_VALUE"""),"Victoria, Edmonton")</f>
        <v/>
      </c>
      <c r="K13551">
        <f>IFERROR(__xludf.DUMMYFUNCTION("""COMPUTED_VALUE"""),2193.65)</f>
        <v/>
      </c>
    </row>
    <row r="13552">
      <c r="J13552">
        <f>IFERROR(__xludf.DUMMYFUNCTION("""COMPUTED_VALUE"""),"28 ST&gt; JOHN'S NF")</f>
        <v/>
      </c>
      <c r="K13552">
        <f>IFERROR(__xludf.DUMMYFUNCTION("""COMPUTED_VALUE"""),2193.42)</f>
        <v/>
      </c>
    </row>
    <row r="13553">
      <c r="J13553">
        <f>IFERROR(__xludf.DUMMYFUNCTION("""COMPUTED_VALUE"""),"Toronto/Hamilton")</f>
        <v/>
      </c>
      <c r="K13553">
        <f>IFERROR(__xludf.DUMMYFUNCTION("""COMPUTED_VALUE"""),2191.71)</f>
        <v/>
      </c>
    </row>
    <row r="13554">
      <c r="J13554">
        <f>IFERROR(__xludf.DUMMYFUNCTION("""COMPUTED_VALUE"""),"Halifax (NS) Canada")</f>
        <v/>
      </c>
      <c r="K13554">
        <f>IFERROR(__xludf.DUMMYFUNCTION("""COMPUTED_VALUE"""),2191.58)</f>
        <v/>
      </c>
    </row>
    <row r="13555">
      <c r="J13555">
        <f>IFERROR(__xludf.DUMMYFUNCTION("""COMPUTED_VALUE"""),"Burlington, Ontario, Canada; Milton, Ontario, Canada; Hamilton, Ontario, Canada; Windsor, Ontario, Canada; Chatham, Ontario, Canada; Sault Ste. Marie, Ontario, Canada")</f>
        <v/>
      </c>
      <c r="K13555">
        <f>IFERROR(__xludf.DUMMYFUNCTION("""COMPUTED_VALUE"""),2190.89)</f>
        <v/>
      </c>
    </row>
    <row r="13556">
      <c r="J13556">
        <f>IFERROR(__xludf.DUMMYFUNCTION("""COMPUTED_VALUE"""),"Moncton, New Brunswick, Canada
St-John's, Newfoundland, , Canada
Halifax, Nova Scotia, Canada")</f>
        <v/>
      </c>
      <c r="K13556">
        <f>IFERROR(__xludf.DUMMYFUNCTION("""COMPUTED_VALUE"""),2190.82)</f>
        <v/>
      </c>
    </row>
    <row r="13557">
      <c r="J13557">
        <f>IFERROR(__xludf.DUMMYFUNCTION("""COMPUTED_VALUE"""),"United States, Miami FL")</f>
        <v/>
      </c>
      <c r="K13557">
        <f>IFERROR(__xludf.DUMMYFUNCTION("""COMPUTED_VALUE"""),2190.11)</f>
        <v/>
      </c>
    </row>
    <row r="13558">
      <c r="J13558">
        <f>IFERROR(__xludf.DUMMYFUNCTION("""COMPUTED_VALUE"""),"Boston, Massachusetts, Unites States")</f>
        <v/>
      </c>
      <c r="K13558">
        <f>IFERROR(__xludf.DUMMYFUNCTION("""COMPUTED_VALUE"""),2190.09)</f>
        <v/>
      </c>
    </row>
    <row r="13559">
      <c r="J13559">
        <f>IFERROR(__xludf.DUMMYFUNCTION("""COMPUTED_VALUE"""),"Kelowna, Victoria, BC")</f>
        <v/>
      </c>
      <c r="K13559">
        <f>IFERROR(__xludf.DUMMYFUNCTION("""COMPUTED_VALUE"""),2189.48)</f>
        <v/>
      </c>
    </row>
    <row r="13560">
      <c r="J13560">
        <f>IFERROR(__xludf.DUMMYFUNCTION("""COMPUTED_VALUE"""),"Waterloo, ON / Windsor, ON / Detroit, MI")</f>
        <v/>
      </c>
      <c r="K13560">
        <f>IFERROR(__xludf.DUMMYFUNCTION("""COMPUTED_VALUE"""),2189.2)</f>
        <v/>
      </c>
    </row>
    <row r="13561">
      <c r="J13561">
        <f>IFERROR(__xludf.DUMMYFUNCTION("""COMPUTED_VALUE"""),"Winnipeg, MB &amp; Sydney, NS")</f>
        <v/>
      </c>
      <c r="K13561">
        <f>IFERROR(__xludf.DUMMYFUNCTION("""COMPUTED_VALUE"""),2189.04)</f>
        <v/>
      </c>
    </row>
    <row r="13562">
      <c r="J13562">
        <f>IFERROR(__xludf.DUMMYFUNCTION("""COMPUTED_VALUE"""),"Vancouver, BC; Edmonton , AB")</f>
        <v/>
      </c>
      <c r="K13562">
        <f>IFERROR(__xludf.DUMMYFUNCTION("""COMPUTED_VALUE"""),2189)</f>
        <v/>
      </c>
    </row>
    <row r="13563">
      <c r="J13563">
        <f>IFERROR(__xludf.DUMMYFUNCTION("""COMPUTED_VALUE"""),"­Denver and Colorado Springs, Colorado, United States of America; Denver and Colorado Springs, Colorado, United States of America")</f>
        <v/>
      </c>
      <c r="K13563">
        <f>IFERROR(__xludf.DUMMYFUNCTION("""COMPUTED_VALUE"""),2188.1)</f>
        <v/>
      </c>
    </row>
    <row r="13564">
      <c r="J13564">
        <f>IFERROR(__xludf.DUMMYFUNCTION("""COMPUTED_VALUE"""),"Regina,  Saskatchewan")</f>
        <v/>
      </c>
      <c r="K13564">
        <f>IFERROR(__xludf.DUMMYFUNCTION("""COMPUTED_VALUE"""),2187.87)</f>
        <v/>
      </c>
    </row>
    <row r="13565">
      <c r="J13565">
        <f>IFERROR(__xludf.DUMMYFUNCTION("""COMPUTED_VALUE"""),"Banff, Alberta, Canada                                                 Jasper, Alberta, Canada")</f>
        <v/>
      </c>
      <c r="K13565">
        <f>IFERROR(__xludf.DUMMYFUNCTION("""COMPUTED_VALUE"""),2187.12)</f>
        <v/>
      </c>
    </row>
    <row r="13566">
      <c r="J13566">
        <f>IFERROR(__xludf.DUMMYFUNCTION("""COMPUTED_VALUE"""),"MUSKEG LAKE, SK, CANADA")</f>
        <v/>
      </c>
      <c r="K13566">
        <f>IFERROR(__xludf.DUMMYFUNCTION("""COMPUTED_VALUE"""),2186.84)</f>
        <v/>
      </c>
    </row>
    <row r="13567">
      <c r="J13567">
        <f>IFERROR(__xludf.DUMMYFUNCTION("""COMPUTED_VALUE"""),"Cornerbrook and Deer Lake, Newfoundland and Labrador")</f>
        <v/>
      </c>
      <c r="K13567">
        <f>IFERROR(__xludf.DUMMYFUNCTION("""COMPUTED_VALUE"""),2186.63)</f>
        <v/>
      </c>
    </row>
    <row r="13568">
      <c r="J13568">
        <f>IFERROR(__xludf.DUMMYFUNCTION("""COMPUTED_VALUE"""),"Saint-Johns and St- Andrews, NB")</f>
        <v/>
      </c>
      <c r="K13568">
        <f>IFERROR(__xludf.DUMMYFUNCTION("""COMPUTED_VALUE"""),2186.15)</f>
        <v/>
      </c>
    </row>
    <row r="13569">
      <c r="J13569">
        <f>IFERROR(__xludf.DUMMYFUNCTION("""COMPUTED_VALUE"""),"Sherbrooke, Wendake, (Québec)")</f>
        <v/>
      </c>
      <c r="K13569">
        <f>IFERROR(__xludf.DUMMYFUNCTION("""COMPUTED_VALUE"""),2185.97)</f>
        <v/>
      </c>
    </row>
    <row r="13570">
      <c r="J13570">
        <f>IFERROR(__xludf.DUMMYFUNCTION("""COMPUTED_VALUE"""),"Bagotville, Quebec, Canada; Thetford Mines, Quebec, Canada; Saguenay, Quebec, Canada; Québec, Quebec, Canada")</f>
        <v/>
      </c>
      <c r="K13570">
        <f>IFERROR(__xludf.DUMMYFUNCTION("""COMPUTED_VALUE"""),2185.67)</f>
        <v/>
      </c>
    </row>
    <row r="13571">
      <c r="J13571">
        <f>IFERROR(__xludf.DUMMYFUNCTION("""COMPUTED_VALUE"""),"Ottawa, ON - Boston, USA / Boston, USA - Ottawa, ON")</f>
        <v/>
      </c>
      <c r="K13571">
        <f>IFERROR(__xludf.DUMMYFUNCTION("""COMPUTED_VALUE"""),2185.46)</f>
        <v/>
      </c>
    </row>
    <row r="13572">
      <c r="J13572">
        <f>IFERROR(__xludf.DUMMYFUNCTION("""COMPUTED_VALUE"""),"Halifax, Nova Scotia and Charlottetown, Prince Edward Island, Canada")</f>
        <v/>
      </c>
      <c r="K13572">
        <f>IFERROR(__xludf.DUMMYFUNCTION("""COMPUTED_VALUE"""),2184.67)</f>
        <v/>
      </c>
    </row>
    <row r="13573">
      <c r="J13573">
        <f>IFERROR(__xludf.DUMMYFUNCTION("""COMPUTED_VALUE"""),"Quebec, Quebec, Canada; Edmonton, Alberta, Canada")</f>
        <v/>
      </c>
      <c r="K13573">
        <f>IFERROR(__xludf.DUMMYFUNCTION("""COMPUTED_VALUE"""),2184.11)</f>
        <v/>
      </c>
    </row>
    <row r="13574">
      <c r="J13574">
        <f>IFERROR(__xludf.DUMMYFUNCTION("""COMPUTED_VALUE"""),"Ottawa, Toronto and Hamilton, Ontario")</f>
        <v/>
      </c>
      <c r="K13574">
        <f>IFERROR(__xludf.DUMMYFUNCTION("""COMPUTED_VALUE"""),2183.87)</f>
        <v/>
      </c>
    </row>
    <row r="13575">
      <c r="J13575">
        <f>IFERROR(__xludf.DUMMYFUNCTION("""COMPUTED_VALUE"""),"Ottawa, Ontario, Canada / Phoenix, Arizona, United States")</f>
        <v/>
      </c>
      <c r="K13575">
        <f>IFERROR(__xludf.DUMMYFUNCTION("""COMPUTED_VALUE"""),2183.86)</f>
        <v/>
      </c>
    </row>
    <row r="13576">
      <c r="J13576">
        <f>IFERROR(__xludf.DUMMYFUNCTION("""COMPUTED_VALUE"""),"St. John's and Goose Bay, Newfoundland, Edmonton Cold Lake, Alberta, Canada")</f>
        <v/>
      </c>
      <c r="K13576">
        <f>IFERROR(__xludf.DUMMYFUNCTION("""COMPUTED_VALUE"""),2183.73)</f>
        <v/>
      </c>
    </row>
    <row r="13577">
      <c r="J13577">
        <f>IFERROR(__xludf.DUMMYFUNCTION("""COMPUTED_VALUE"""),"St-Hubert, QC")</f>
        <v/>
      </c>
      <c r="K13577">
        <f>IFERROR(__xludf.DUMMYFUNCTION("""COMPUTED_VALUE"""),2183.72)</f>
        <v/>
      </c>
    </row>
    <row r="13578">
      <c r="J13578">
        <f>IFERROR(__xludf.DUMMYFUNCTION("""COMPUTED_VALUE"""),"Gaspé, Montreal, Quebec")</f>
        <v/>
      </c>
      <c r="K13578">
        <f>IFERROR(__xludf.DUMMYFUNCTION("""COMPUTED_VALUE"""),2183.54)</f>
        <v/>
      </c>
    </row>
    <row r="13579">
      <c r="J13579">
        <f>IFERROR(__xludf.DUMMYFUNCTION("""COMPUTED_VALUE"""),"Collingwood, Ontario et Toronto, Ontario")</f>
        <v/>
      </c>
      <c r="K13579">
        <f>IFERROR(__xludf.DUMMYFUNCTION("""COMPUTED_VALUE"""),2181.87)</f>
        <v/>
      </c>
    </row>
    <row r="13580">
      <c r="J13580">
        <f>IFERROR(__xludf.DUMMYFUNCTION("""COMPUTED_VALUE"""),"Boston and Cambridge, Massachussets")</f>
        <v/>
      </c>
      <c r="K13580">
        <f>IFERROR(__xludf.DUMMYFUNCTION("""COMPUTED_VALUE"""),2181.43)</f>
        <v/>
      </c>
    </row>
    <row r="13581">
      <c r="J13581">
        <f>IFERROR(__xludf.DUMMYFUNCTION("""COMPUTED_VALUE"""),"EDMONTON, CALGARY")</f>
        <v/>
      </c>
      <c r="K13581">
        <f>IFERROR(__xludf.DUMMYFUNCTION("""COMPUTED_VALUE"""),2181)</f>
        <v/>
      </c>
    </row>
    <row r="13582">
      <c r="J13582">
        <f>IFERROR(__xludf.DUMMYFUNCTION("""COMPUTED_VALUE"""),"Regina, SK
Calgary, AB")</f>
        <v/>
      </c>
      <c r="K13582">
        <f>IFERROR(__xludf.DUMMYFUNCTION("""COMPUTED_VALUE"""),2180.1)</f>
        <v/>
      </c>
    </row>
    <row r="13583">
      <c r="J13583">
        <f>IFERROR(__xludf.DUMMYFUNCTION("""COMPUTED_VALUE"""),"Toronto, ON; Barrie, ON; Windsor, ON; London, ON")</f>
        <v/>
      </c>
      <c r="K13583">
        <f>IFERROR(__xludf.DUMMYFUNCTION("""COMPUTED_VALUE"""),2179.98)</f>
        <v/>
      </c>
    </row>
    <row r="13584">
      <c r="J13584">
        <f>IFERROR(__xludf.DUMMYFUNCTION("""COMPUTED_VALUE"""),"Trois-Rivières/Québec, Canada")</f>
        <v/>
      </c>
      <c r="K13584">
        <f>IFERROR(__xludf.DUMMYFUNCTION("""COMPUTED_VALUE"""),2179.92)</f>
        <v/>
      </c>
    </row>
    <row r="13585">
      <c r="J13585">
        <f>IFERROR(__xludf.DUMMYFUNCTION("""COMPUTED_VALUE"""),"Winnipeg, Manitoba, Canada; Brandon, Manitoba, Canada; Thompson, Manitoba, Canada")</f>
        <v/>
      </c>
      <c r="K13585">
        <f>IFERROR(__xludf.DUMMYFUNCTION("""COMPUTED_VALUE"""),2179.5)</f>
        <v/>
      </c>
    </row>
    <row r="13586">
      <c r="J13586">
        <f>IFERROR(__xludf.DUMMYFUNCTION("""COMPUTED_VALUE"""),"King City, Ontario / Vancouver, British Columbia, Canada")</f>
        <v/>
      </c>
      <c r="K13586">
        <f>IFERROR(__xludf.DUMMYFUNCTION("""COMPUTED_VALUE"""),2179.14)</f>
        <v/>
      </c>
    </row>
    <row r="13587">
      <c r="J13587">
        <f>IFERROR(__xludf.DUMMYFUNCTION("""COMPUTED_VALUE"""),"Roberval, Quebec and Montreal, Quebec")</f>
        <v/>
      </c>
      <c r="K13587">
        <f>IFERROR(__xludf.DUMMYFUNCTION("""COMPUTED_VALUE"""),2178.19)</f>
        <v/>
      </c>
    </row>
    <row r="13588">
      <c r="J13588">
        <f>IFERROR(__xludf.DUMMYFUNCTION("""COMPUTED_VALUE"""),"Ottawa, ON Burnaby, BC")</f>
        <v/>
      </c>
      <c r="K13588">
        <f>IFERROR(__xludf.DUMMYFUNCTION("""COMPUTED_VALUE"""),2177.34)</f>
        <v/>
      </c>
    </row>
    <row r="13589">
      <c r="J13589">
        <f>IFERROR(__xludf.DUMMYFUNCTION("""COMPUTED_VALUE"""),"Coronado, California, United States")</f>
        <v/>
      </c>
      <c r="K13589">
        <f>IFERROR(__xludf.DUMMYFUNCTION("""COMPUTED_VALUE"""),2176.93)</f>
        <v/>
      </c>
    </row>
    <row r="13590">
      <c r="J13590">
        <f>IFERROR(__xludf.DUMMYFUNCTION("""COMPUTED_VALUE"""),"St-John's, Newfounland and Labrador")</f>
        <v/>
      </c>
      <c r="K13590">
        <f>IFERROR(__xludf.DUMMYFUNCTION("""COMPUTED_VALUE"""),2176.88)</f>
        <v/>
      </c>
    </row>
    <row r="13591">
      <c r="J13591">
        <f>IFERROR(__xludf.DUMMYFUNCTION("""COMPUTED_VALUE"""),"Deer Lake and St. John's, Newfoundland and Labrador, Canada")</f>
        <v/>
      </c>
      <c r="K13591">
        <f>IFERROR(__xludf.DUMMYFUNCTION("""COMPUTED_VALUE"""),2176.8)</f>
        <v/>
      </c>
    </row>
    <row r="13592">
      <c r="J13592">
        <f>IFERROR(__xludf.DUMMYFUNCTION("""COMPUTED_VALUE"""),"Kelowna, British Columbia and Edmonton, Alberta")</f>
        <v/>
      </c>
      <c r="K13592">
        <f>IFERROR(__xludf.DUMMYFUNCTION("""COMPUTED_VALUE"""),2176.66)</f>
        <v/>
      </c>
    </row>
    <row r="13593">
      <c r="J13593">
        <f>IFERROR(__xludf.DUMMYFUNCTION("""COMPUTED_VALUE"""),"Sioux Lookout, Ontario, Canada; Kenora, Ontario, Canada")</f>
        <v/>
      </c>
      <c r="K13593">
        <f>IFERROR(__xludf.DUMMYFUNCTION("""COMPUTED_VALUE"""),2176.23)</f>
        <v/>
      </c>
    </row>
    <row r="13594">
      <c r="J13594">
        <f>IFERROR(__xludf.DUMMYFUNCTION("""COMPUTED_VALUE"""),"Dallas, Texas
United States")</f>
        <v/>
      </c>
      <c r="K13594">
        <f>IFERROR(__xludf.DUMMYFUNCTION("""COMPUTED_VALUE"""),2176.07)</f>
        <v/>
      </c>
    </row>
    <row r="13595">
      <c r="J13595">
        <f>IFERROR(__xludf.DUMMYFUNCTION("""COMPUTED_VALUE"""),"Winnipeg (Manitoba), Regina (Saskatchewan)")</f>
        <v/>
      </c>
      <c r="K13595">
        <f>IFERROR(__xludf.DUMMYFUNCTION("""COMPUTED_VALUE"""),2175.69)</f>
        <v/>
      </c>
    </row>
    <row r="13596">
      <c r="J13596">
        <f>IFERROR(__xludf.DUMMYFUNCTION("""COMPUTED_VALUE"""),"Markham, Ontario, Canada
Guelph, Ontario, Canada")</f>
        <v/>
      </c>
      <c r="K13596">
        <f>IFERROR(__xludf.DUMMYFUNCTION("""COMPUTED_VALUE"""),2175.58)</f>
        <v/>
      </c>
    </row>
    <row r="13597">
      <c r="J13597">
        <f>IFERROR(__xludf.DUMMYFUNCTION("""COMPUTED_VALUE"""),"Winnipeg, Manitoba and Ottawa, Ontario (Canada)")</f>
        <v/>
      </c>
      <c r="K13597">
        <f>IFERROR(__xludf.DUMMYFUNCTION("""COMPUTED_VALUE"""),2175.41)</f>
        <v/>
      </c>
    </row>
    <row r="13598">
      <c r="J13598">
        <f>IFERROR(__xludf.DUMMYFUNCTION("""COMPUTED_VALUE"""),"OTTAWA, ON CANADA")</f>
        <v/>
      </c>
      <c r="K13598">
        <f>IFERROR(__xludf.DUMMYFUNCTION("""COMPUTED_VALUE"""),2174.45)</f>
        <v/>
      </c>
    </row>
    <row r="13599">
      <c r="J13599">
        <f>IFERROR(__xludf.DUMMYFUNCTION("""COMPUTED_VALUE"""),"Emonton, Alberta")</f>
        <v/>
      </c>
      <c r="K13599">
        <f>IFERROR(__xludf.DUMMYFUNCTION("""COMPUTED_VALUE"""),2174.1)</f>
        <v/>
      </c>
    </row>
    <row r="13600">
      <c r="J13600">
        <f>IFERROR(__xludf.DUMMYFUNCTION("""COMPUTED_VALUE"""),"Rimouski, QC; Gaspé, QC")</f>
        <v/>
      </c>
      <c r="K13600">
        <f>IFERROR(__xludf.DUMMYFUNCTION("""COMPUTED_VALUE"""),2174.06999999999)</f>
        <v/>
      </c>
    </row>
    <row r="13601">
      <c r="J13601">
        <f>IFERROR(__xludf.DUMMYFUNCTION("""COMPUTED_VALUE"""),"Montreal, Quebec, Canada; Sherbrooke, Quebec, Canada")</f>
        <v/>
      </c>
      <c r="K13601">
        <f>IFERROR(__xludf.DUMMYFUNCTION("""COMPUTED_VALUE"""),2173.69)</f>
        <v/>
      </c>
    </row>
    <row r="13602">
      <c r="J13602">
        <f>IFERROR(__xludf.DUMMYFUNCTION("""COMPUTED_VALUE"""),"Halifax, Nova Scotia, Canada 
Moncton, New Brunswick, Canada")</f>
        <v/>
      </c>
      <c r="K13602">
        <f>IFERROR(__xludf.DUMMYFUNCTION("""COMPUTED_VALUE"""),2173.65)</f>
        <v/>
      </c>
    </row>
    <row r="13603">
      <c r="J13603">
        <f>IFERROR(__xludf.DUMMYFUNCTION("""COMPUTED_VALUE"""),"Bathurst (NB)")</f>
        <v/>
      </c>
      <c r="K13603">
        <f>IFERROR(__xludf.DUMMYFUNCTION("""COMPUTED_VALUE"""),2173.45)</f>
        <v/>
      </c>
    </row>
    <row r="13604">
      <c r="J13604">
        <f>IFERROR(__xludf.DUMMYFUNCTION("""COMPUTED_VALUE"""),"Osoyoos (British Columbia) Canada; Sidney (British Columbia) Canada; Kelowna (British Columbia) Canada")</f>
        <v/>
      </c>
      <c r="K13604">
        <f>IFERROR(__xludf.DUMMYFUNCTION("""COMPUTED_VALUE"""),2172.58)</f>
        <v/>
      </c>
    </row>
    <row r="13605">
      <c r="J13605">
        <f>IFERROR(__xludf.DUMMYFUNCTION("""COMPUTED_VALUE"""),"Long Pond and St. John's, Newfoundland and Labrador")</f>
        <v/>
      </c>
      <c r="K13605">
        <f>IFERROR(__xludf.DUMMYFUNCTION("""COMPUTED_VALUE"""),2172.09)</f>
        <v/>
      </c>
    </row>
    <row r="13606">
      <c r="J13606">
        <f>IFERROR(__xludf.DUMMYFUNCTION("""COMPUTED_VALUE"""),"Halifax, NS &amp; Moncton, NB")</f>
        <v/>
      </c>
      <c r="K13606">
        <f>IFERROR(__xludf.DUMMYFUNCTION("""COMPUTED_VALUE"""),2172)</f>
        <v/>
      </c>
    </row>
    <row r="13607">
      <c r="J13607">
        <f>IFERROR(__xludf.DUMMYFUNCTION("""COMPUTED_VALUE"""),"Agassic, B.C.")</f>
        <v/>
      </c>
      <c r="K13607">
        <f>IFERROR(__xludf.DUMMYFUNCTION("""COMPUTED_VALUE"""),2171.09)</f>
        <v/>
      </c>
    </row>
    <row r="13608">
      <c r="J13608">
        <f>IFERROR(__xludf.DUMMYFUNCTION("""COMPUTED_VALUE"""),"Victoria, British Columbia / Vancouver, British Columbia, Canada")</f>
        <v/>
      </c>
      <c r="K13608">
        <f>IFERROR(__xludf.DUMMYFUNCTION("""COMPUTED_VALUE"""),2170.98)</f>
        <v/>
      </c>
    </row>
    <row r="13609">
      <c r="J13609">
        <f>IFERROR(__xludf.DUMMYFUNCTION("""COMPUTED_VALUE"""),"Montreal, QC Winnipeg, MB")</f>
        <v/>
      </c>
      <c r="K13609">
        <f>IFERROR(__xludf.DUMMYFUNCTION("""COMPUTED_VALUE"""),2170.9)</f>
        <v/>
      </c>
    </row>
    <row r="13610">
      <c r="J13610">
        <f>IFERROR(__xludf.DUMMYFUNCTION("""COMPUTED_VALUE"""),"Rouyn Noranda, Quebec, Canada")</f>
        <v/>
      </c>
      <c r="K13610">
        <f>IFERROR(__xludf.DUMMYFUNCTION("""COMPUTED_VALUE"""),2170.69)</f>
        <v/>
      </c>
    </row>
    <row r="13611">
      <c r="J13611">
        <f>IFERROR(__xludf.DUMMYFUNCTION("""COMPUTED_VALUE"""),"St. John's, Newfoundland and Labrador/Ottawa, Ontario")</f>
        <v/>
      </c>
      <c r="K13611">
        <f>IFERROR(__xludf.DUMMYFUNCTION("""COMPUTED_VALUE"""),2170.44)</f>
        <v/>
      </c>
    </row>
    <row r="13612">
      <c r="J13612">
        <f>IFERROR(__xludf.DUMMYFUNCTION("""COMPUTED_VALUE"""),"Summerside,  Prince Edward Island, Canada and Charlottetown,  Prince Edward Island, Canad")</f>
        <v/>
      </c>
      <c r="K13612">
        <f>IFERROR(__xludf.DUMMYFUNCTION("""COMPUTED_VALUE"""),2169.91)</f>
        <v/>
      </c>
    </row>
    <row r="13613">
      <c r="J13613">
        <f>IFERROR(__xludf.DUMMYFUNCTION("""COMPUTED_VALUE"""),"Sherbrooke, Cowansville, Orford, Lac-de-Français, Montreal, Rouyn-Noranda, Val-d'Or, Quebec, (Canada)")</f>
        <v/>
      </c>
      <c r="K13613">
        <f>IFERROR(__xludf.DUMMYFUNCTION("""COMPUTED_VALUE"""),2169.76)</f>
        <v/>
      </c>
    </row>
    <row r="13614">
      <c r="J13614">
        <f>IFERROR(__xludf.DUMMYFUNCTION("""COMPUTED_VALUE"""),"Gatineau, Quebec / Quebec, Quebec")</f>
        <v/>
      </c>
      <c r="K13614">
        <f>IFERROR(__xludf.DUMMYFUNCTION("""COMPUTED_VALUE"""),2169.65)</f>
        <v/>
      </c>
    </row>
    <row r="13615">
      <c r="J13615">
        <f>IFERROR(__xludf.DUMMYFUNCTION("""COMPUTED_VALUE"""),"Toronto / Ottawa, Ontario, Canada")</f>
        <v/>
      </c>
      <c r="K13615">
        <f>IFERROR(__xludf.DUMMYFUNCTION("""COMPUTED_VALUE"""),2169.3)</f>
        <v/>
      </c>
    </row>
    <row r="13616">
      <c r="J13616">
        <f>IFERROR(__xludf.DUMMYFUNCTION("""COMPUTED_VALUE"""),"Sioux Lookout,ON")</f>
        <v/>
      </c>
      <c r="K13616">
        <f>IFERROR(__xludf.DUMMYFUNCTION("""COMPUTED_VALUE"""),2169.23)</f>
        <v/>
      </c>
    </row>
    <row r="13617">
      <c r="J13617">
        <f>IFERROR(__xludf.DUMMYFUNCTION("""COMPUTED_VALUE"""),"Moncton, New Brunswick Quebec City, Quebec Toronto, Ontario")</f>
        <v/>
      </c>
      <c r="K13617">
        <f>IFERROR(__xludf.DUMMYFUNCTION("""COMPUTED_VALUE"""),2169.12)</f>
        <v/>
      </c>
    </row>
    <row r="13618">
      <c r="J13618">
        <f>IFERROR(__xludf.DUMMYFUNCTION("""COMPUTED_VALUE"""),"Yellowknife, NT, Canada")</f>
        <v/>
      </c>
      <c r="K13618">
        <f>IFERROR(__xludf.DUMMYFUNCTION("""COMPUTED_VALUE"""),2168.7)</f>
        <v/>
      </c>
    </row>
    <row r="13619">
      <c r="J13619">
        <f>IFERROR(__xludf.DUMMYFUNCTION("""COMPUTED_VALUE"""),"Toronto, Washington DC")</f>
        <v/>
      </c>
      <c r="K13619">
        <f>IFERROR(__xludf.DUMMYFUNCTION("""COMPUTED_VALUE"""),2167.84)</f>
        <v/>
      </c>
    </row>
    <row r="13620">
      <c r="J13620">
        <f>IFERROR(__xludf.DUMMYFUNCTION("""COMPUTED_VALUE"""),"N.A.")</f>
        <v/>
      </c>
      <c r="K13620">
        <f>IFERROR(__xludf.DUMMYFUNCTION("""COMPUTED_VALUE"""),2167.1)</f>
        <v/>
      </c>
    </row>
    <row r="13621">
      <c r="J13621">
        <f>IFERROR(__xludf.DUMMYFUNCTION("""COMPUTED_VALUE"""),"Moncton, New Brunswick, Canada; Beresford, New Brunswick, Canada; Bertrand, New Brunswick, Canada; Caraquet, New Brunswick, Canada")</f>
        <v/>
      </c>
      <c r="K13621">
        <f>IFERROR(__xludf.DUMMYFUNCTION("""COMPUTED_VALUE"""),2166.79)</f>
        <v/>
      </c>
    </row>
    <row r="13622">
      <c r="J13622">
        <f>IFERROR(__xludf.DUMMYFUNCTION("""COMPUTED_VALUE"""),"Halifax, Nova Scotia, Canada; St. John's, Newfoundland and Labrador, Canada; Fredericton, New Brunswick, Canada")</f>
        <v/>
      </c>
      <c r="K13622">
        <f>IFERROR(__xludf.DUMMYFUNCTION("""COMPUTED_VALUE"""),2166.65)</f>
        <v/>
      </c>
    </row>
    <row r="13623">
      <c r="J13623">
        <f>IFERROR(__xludf.DUMMYFUNCTION("""COMPUTED_VALUE"""),"Iqaluit, NU; Yellowknife, NWT")</f>
        <v/>
      </c>
      <c r="K13623">
        <f>IFERROR(__xludf.DUMMYFUNCTION("""COMPUTED_VALUE"""),2165.74)</f>
        <v/>
      </c>
    </row>
    <row r="13624">
      <c r="J13624">
        <f>IFERROR(__xludf.DUMMYFUNCTION("""COMPUTED_VALUE"""),"Santa Marta, Columbia")</f>
        <v/>
      </c>
      <c r="K13624">
        <f>IFERROR(__xludf.DUMMYFUNCTION("""COMPUTED_VALUE"""),2165.17)</f>
        <v/>
      </c>
    </row>
    <row r="13625">
      <c r="J13625">
        <f>IFERROR(__xludf.DUMMYFUNCTION("""COMPUTED_VALUE"""),"Tracadie-Sheila, New Brunswick, Canada")</f>
        <v/>
      </c>
      <c r="K13625">
        <f>IFERROR(__xludf.DUMMYFUNCTION("""COMPUTED_VALUE"""),2164.96)</f>
        <v/>
      </c>
    </row>
    <row r="13626">
      <c r="J13626">
        <f>IFERROR(__xludf.DUMMYFUNCTION("""COMPUTED_VALUE"""),"Montréal, Québec, Québec")</f>
        <v/>
      </c>
      <c r="K13626">
        <f>IFERROR(__xludf.DUMMYFUNCTION("""COMPUTED_VALUE"""),2164.87)</f>
        <v/>
      </c>
    </row>
    <row r="13627">
      <c r="J13627">
        <f>IFERROR(__xludf.DUMMYFUNCTION("""COMPUTED_VALUE"""),"Ingonish, Nova Scotia, Canada -
Baddeck, Nova Scotia, Canada")</f>
        <v/>
      </c>
      <c r="K13627">
        <f>IFERROR(__xludf.DUMMYFUNCTION("""COMPUTED_VALUE"""),2164.19)</f>
        <v/>
      </c>
    </row>
    <row r="13628">
      <c r="J13628">
        <f>IFERROR(__xludf.DUMMYFUNCTION("""COMPUTED_VALUE"""),"Yellowknife, NT - Whitehorse, YT")</f>
        <v/>
      </c>
      <c r="K13628">
        <f>IFERROR(__xludf.DUMMYFUNCTION("""COMPUTED_VALUE"""),2164.15)</f>
        <v/>
      </c>
    </row>
    <row r="13629">
      <c r="J13629">
        <f>IFERROR(__xludf.DUMMYFUNCTION("""COMPUTED_VALUE"""),"Sault Ste Marie, ON")</f>
        <v/>
      </c>
      <c r="K13629">
        <f>IFERROR(__xludf.DUMMYFUNCTION("""COMPUTED_VALUE"""),2164.12)</f>
        <v/>
      </c>
    </row>
    <row r="13630">
      <c r="J13630">
        <f>IFERROR(__xludf.DUMMYFUNCTION("""COMPUTED_VALUE"""),"Kelowna, British Columbia; Calgary, Alberta, Canada")</f>
        <v/>
      </c>
      <c r="K13630">
        <f>IFERROR(__xludf.DUMMYFUNCTION("""COMPUTED_VALUE"""),2163.63)</f>
        <v/>
      </c>
    </row>
    <row r="13631">
      <c r="J13631">
        <f>IFERROR(__xludf.DUMMYFUNCTION("""COMPUTED_VALUE"""),"Toronto, Ontario, Canada; New York, USA")</f>
        <v/>
      </c>
      <c r="K13631">
        <f>IFERROR(__xludf.DUMMYFUNCTION("""COMPUTED_VALUE"""),2162.86)</f>
        <v/>
      </c>
    </row>
    <row r="13632">
      <c r="J13632">
        <f>IFERROR(__xludf.DUMMYFUNCTION("""COMPUTED_VALUE"""),"Halifax, Nova Scotia, Canada  and Iqaluit, Nunavut, Canada and Inuvik, Northwest Territories, Canada  and Nanaimo and Vancouver, British Columbia, Canada")</f>
        <v/>
      </c>
      <c r="K13632">
        <f>IFERROR(__xludf.DUMMYFUNCTION("""COMPUTED_VALUE"""),2162.35)</f>
        <v/>
      </c>
    </row>
    <row r="13633">
      <c r="J13633">
        <f>IFERROR(__xludf.DUMMYFUNCTION("""COMPUTED_VALUE"""),"Toronto, ON - Calgary, AB - Ottawa, ON")</f>
        <v/>
      </c>
      <c r="K13633">
        <f>IFERROR(__xludf.DUMMYFUNCTION("""COMPUTED_VALUE"""),2161.73)</f>
        <v/>
      </c>
    </row>
    <row r="13634">
      <c r="J13634">
        <f>IFERROR(__xludf.DUMMYFUNCTION("""COMPUTED_VALUE"""),"Montreal, Quebec, Canada / Ottawa, Ontario, Canada")</f>
        <v/>
      </c>
      <c r="K13634">
        <f>IFERROR(__xludf.DUMMYFUNCTION("""COMPUTED_VALUE"""),2161.66)</f>
        <v/>
      </c>
    </row>
    <row r="13635">
      <c r="J13635">
        <f>IFERROR(__xludf.DUMMYFUNCTION("""COMPUTED_VALUE"""),"Sept-îles, Quebec, Canada")</f>
        <v/>
      </c>
      <c r="K13635">
        <f>IFERROR(__xludf.DUMMYFUNCTION("""COMPUTED_VALUE"""),2161.45)</f>
        <v/>
      </c>
    </row>
    <row r="13636">
      <c r="J13636">
        <f>IFERROR(__xludf.DUMMYFUNCTION("""COMPUTED_VALUE"""),"Vancouver, British Colombia, Canada / Whistler, British Colombia, Canada")</f>
        <v/>
      </c>
      <c r="K13636">
        <f>IFERROR(__xludf.DUMMYFUNCTION("""COMPUTED_VALUE"""),2161.45)</f>
        <v/>
      </c>
    </row>
    <row r="13637">
      <c r="J13637">
        <f>IFERROR(__xludf.DUMMYFUNCTION("""COMPUTED_VALUE"""),"Calgary, AB Winnipeg, MB")</f>
        <v/>
      </c>
      <c r="K13637">
        <f>IFERROR(__xludf.DUMMYFUNCTION("""COMPUTED_VALUE"""),2161.15)</f>
        <v/>
      </c>
    </row>
    <row r="13638">
      <c r="J13638">
        <f>IFERROR(__xludf.DUMMYFUNCTION("""COMPUTED_VALUE"""),"Fredericton, New-Brunswick; Charlottetown, Prince Edward Island, Canada")</f>
        <v/>
      </c>
      <c r="K13638">
        <f>IFERROR(__xludf.DUMMYFUNCTION("""COMPUTED_VALUE"""),2160.97)</f>
        <v/>
      </c>
    </row>
    <row r="13639">
      <c r="J13639">
        <f>IFERROR(__xludf.DUMMYFUNCTION("""COMPUTED_VALUE"""),"Moncton, Saint John, New Brunswick, Canada; Charlottetown, Prince Edward Island, Canada")</f>
        <v/>
      </c>
      <c r="K13639">
        <f>IFERROR(__xludf.DUMMYFUNCTION("""COMPUTED_VALUE"""),2160.84)</f>
        <v/>
      </c>
    </row>
    <row r="13640">
      <c r="J13640">
        <f>IFERROR(__xludf.DUMMYFUNCTION("""COMPUTED_VALUE"""),"Halifax, N.S.; Charlottetown, P.E.I.")</f>
        <v/>
      </c>
      <c r="K13640">
        <f>IFERROR(__xludf.DUMMYFUNCTION("""COMPUTED_VALUE"""),2160.49)</f>
        <v/>
      </c>
    </row>
    <row r="13641">
      <c r="J13641">
        <f>IFERROR(__xludf.DUMMYFUNCTION("""COMPUTED_VALUE"""),"Kanata, Ontario, Canada; Casselman, Ontario, Canada")</f>
        <v/>
      </c>
      <c r="K13641">
        <f>IFERROR(__xludf.DUMMYFUNCTION("""COMPUTED_VALUE"""),2160.3)</f>
        <v/>
      </c>
    </row>
    <row r="13642">
      <c r="J13642">
        <f>IFERROR(__xludf.DUMMYFUNCTION("""COMPUTED_VALUE"""),"Pheonix, USA")</f>
        <v/>
      </c>
      <c r="K13642">
        <f>IFERROR(__xludf.DUMMYFUNCTION("""COMPUTED_VALUE"""),2159.55)</f>
        <v/>
      </c>
    </row>
    <row r="13643">
      <c r="J13643">
        <f>IFERROR(__xludf.DUMMYFUNCTION("""COMPUTED_VALUE"""),"Sydney, Nova scotia, Canada")</f>
        <v/>
      </c>
      <c r="K13643">
        <f>IFERROR(__xludf.DUMMYFUNCTION("""COMPUTED_VALUE"""),2159.48)</f>
        <v/>
      </c>
    </row>
    <row r="13644">
      <c r="J13644">
        <f>IFERROR(__xludf.DUMMYFUNCTION("""COMPUTED_VALUE"""),"St. John's, Newfoundland and Labrador, Canada; Halifax, Nova Scotia, Canada; Moncton, New Brunswick, Canada")</f>
        <v/>
      </c>
      <c r="K13644">
        <f>IFERROR(__xludf.DUMMYFUNCTION("""COMPUTED_VALUE"""),2159.19)</f>
        <v/>
      </c>
    </row>
    <row r="13645">
      <c r="J13645">
        <f>IFERROR(__xludf.DUMMYFUNCTION("""COMPUTED_VALUE"""),"Gatineau, Quebec, Canada                                             Ottawa, Ontario, Canada")</f>
        <v/>
      </c>
      <c r="K13645">
        <f>IFERROR(__xludf.DUMMYFUNCTION("""COMPUTED_VALUE"""),2158.99)</f>
        <v/>
      </c>
    </row>
    <row r="13646">
      <c r="J13646">
        <f>IFERROR(__xludf.DUMMYFUNCTION("""COMPUTED_VALUE"""),"VICTORIA, BC - VANCOUVER, BC")</f>
        <v/>
      </c>
      <c r="K13646">
        <f>IFERROR(__xludf.DUMMYFUNCTION("""COMPUTED_VALUE"""),2158.98)</f>
        <v/>
      </c>
    </row>
    <row r="13647">
      <c r="J13647">
        <f>IFERROR(__xludf.DUMMYFUNCTION("""COMPUTED_VALUE"""),"Roberval, Montreal, Drummondville and Quebec City, Quebec")</f>
        <v/>
      </c>
      <c r="K13647">
        <f>IFERROR(__xludf.DUMMYFUNCTION("""COMPUTED_VALUE"""),2158.03)</f>
        <v/>
      </c>
    </row>
    <row r="13648">
      <c r="J13648">
        <f>IFERROR(__xludf.DUMMYFUNCTION("""COMPUTED_VALUE"""),"Mississauga, ON / Winnipeg, MB")</f>
        <v/>
      </c>
      <c r="K13648">
        <f>IFERROR(__xludf.DUMMYFUNCTION("""COMPUTED_VALUE"""),2157.97)</f>
        <v/>
      </c>
    </row>
    <row r="13649">
      <c r="J13649">
        <f>IFERROR(__xludf.DUMMYFUNCTION("""COMPUTED_VALUE"""),"Vancouver, British Columbia, Canada / Whitehorse, Yukon, Canada")</f>
        <v/>
      </c>
      <c r="K13649">
        <f>IFERROR(__xludf.DUMMYFUNCTION("""COMPUTED_VALUE"""),2157.64)</f>
        <v/>
      </c>
    </row>
    <row r="13650">
      <c r="J13650">
        <f>IFERROR(__xludf.DUMMYFUNCTION("""COMPUTED_VALUE"""),"Montreal, QC, Fredericton, NB")</f>
        <v/>
      </c>
      <c r="K13650">
        <f>IFERROR(__xludf.DUMMYFUNCTION("""COMPUTED_VALUE"""),2157.11)</f>
        <v/>
      </c>
    </row>
    <row r="13651">
      <c r="J13651">
        <f>IFERROR(__xludf.DUMMYFUNCTION("""COMPUTED_VALUE"""),"Sydney, Nova Scotia, Canada; Moncton, New Brunswick, Canada")</f>
        <v/>
      </c>
      <c r="K13651">
        <f>IFERROR(__xludf.DUMMYFUNCTION("""COMPUTED_VALUE"""),2157.11)</f>
        <v/>
      </c>
    </row>
    <row r="13652">
      <c r="J13652">
        <f>IFERROR(__xludf.DUMMYFUNCTION("""COMPUTED_VALUE"""),"Halifax, Nova Scotia and Charlottetown, Prince Edwards Island, Canada")</f>
        <v/>
      </c>
      <c r="K13652">
        <f>IFERROR(__xludf.DUMMYFUNCTION("""COMPUTED_VALUE"""),2156.64)</f>
        <v/>
      </c>
    </row>
    <row r="13653">
      <c r="J13653">
        <f>IFERROR(__xludf.DUMMYFUNCTION("""COMPUTED_VALUE"""),"Winnepeg and Pinawa, Manitoba")</f>
        <v/>
      </c>
      <c r="K13653">
        <f>IFERROR(__xludf.DUMMYFUNCTION("""COMPUTED_VALUE"""),2156.24)</f>
        <v/>
      </c>
    </row>
    <row r="13654">
      <c r="J13654">
        <f>IFERROR(__xludf.DUMMYFUNCTION("""COMPUTED_VALUE"""),"Moncton (New Brunswick) Canada; Summerside (Prince Edward Island) Canada; Halifax (Nova Scotia) Canada")</f>
        <v/>
      </c>
      <c r="K13654">
        <f>IFERROR(__xludf.DUMMYFUNCTION("""COMPUTED_VALUE"""),2155.12)</f>
        <v/>
      </c>
    </row>
    <row r="13655">
      <c r="J13655">
        <f>IFERROR(__xludf.DUMMYFUNCTION("""COMPUTED_VALUE"""),"Prince Albert, Saskatchewan, Canada - Saskatoon, Saskatchewan, Canada")</f>
        <v/>
      </c>
      <c r="K13655">
        <f>IFERROR(__xludf.DUMMYFUNCTION("""COMPUTED_VALUE"""),2155.00999999999)</f>
        <v/>
      </c>
    </row>
    <row r="13656">
      <c r="J13656">
        <f>IFERROR(__xludf.DUMMYFUNCTION("""COMPUTED_VALUE"""),"Portage La Prairie, Manitoba, Canada")</f>
        <v/>
      </c>
      <c r="K13656">
        <f>IFERROR(__xludf.DUMMYFUNCTION("""COMPUTED_VALUE"""),2154.2)</f>
        <v/>
      </c>
    </row>
    <row r="13657">
      <c r="J13657">
        <f>IFERROR(__xludf.DUMMYFUNCTION("""COMPUTED_VALUE"""),"Dartmouth, Nova Scotia , Canada")</f>
        <v/>
      </c>
      <c r="K13657">
        <f>IFERROR(__xludf.DUMMYFUNCTION("""COMPUTED_VALUE"""),2153.72)</f>
        <v/>
      </c>
    </row>
    <row r="13658">
      <c r="J13658">
        <f>IFERROR(__xludf.DUMMYFUNCTION("""COMPUTED_VALUE"""),"Ottawa, ON. Calgary, AB")</f>
        <v/>
      </c>
      <c r="K13658">
        <f>IFERROR(__xludf.DUMMYFUNCTION("""COMPUTED_VALUE"""),2153.7)</f>
        <v/>
      </c>
    </row>
    <row r="13659">
      <c r="J13659">
        <f>IFERROR(__xludf.DUMMYFUNCTION("""COMPUTED_VALUE"""),"St-Johns, Newfoundland, Canada")</f>
        <v/>
      </c>
      <c r="K13659">
        <f>IFERROR(__xludf.DUMMYFUNCTION("""COMPUTED_VALUE"""),2153.69)</f>
        <v/>
      </c>
    </row>
    <row r="13660">
      <c r="J13660">
        <f>IFERROR(__xludf.DUMMYFUNCTION("""COMPUTED_VALUE"""),"Toronto; Montreal; Vancouver; Montreal")</f>
        <v/>
      </c>
      <c r="K13660">
        <f>IFERROR(__xludf.DUMMYFUNCTION("""COMPUTED_VALUE"""),2153.25)</f>
        <v/>
      </c>
    </row>
    <row r="13661">
      <c r="J13661">
        <f>IFERROR(__xludf.DUMMYFUNCTION("""COMPUTED_VALUE"""),"Vancouver, Campbell River and Sidney, British Columbia")</f>
        <v/>
      </c>
      <c r="K13661">
        <f>IFERROR(__xludf.DUMMYFUNCTION("""COMPUTED_VALUE"""),2153.02)</f>
        <v/>
      </c>
    </row>
    <row r="13662">
      <c r="J13662">
        <f>IFERROR(__xludf.DUMMYFUNCTION("""COMPUTED_VALUE"""),"Montreal &amp; Halifax, Canada")</f>
        <v/>
      </c>
      <c r="K13662">
        <f>IFERROR(__xludf.DUMMYFUNCTION("""COMPUTED_VALUE"""),2152.74)</f>
        <v/>
      </c>
    </row>
    <row r="13663">
      <c r="J13663">
        <f>IFERROR(__xludf.DUMMYFUNCTION("""COMPUTED_VALUE"""),"Regina, SK - Québec City, QC")</f>
        <v/>
      </c>
      <c r="K13663">
        <f>IFERROR(__xludf.DUMMYFUNCTION("""COMPUTED_VALUE"""),2152.59)</f>
        <v/>
      </c>
    </row>
    <row r="13664">
      <c r="J13664">
        <f>IFERROR(__xludf.DUMMYFUNCTION("""COMPUTED_VALUE"""),"London, ON / Montreal, QC / Oshawa, ON")</f>
        <v/>
      </c>
      <c r="K13664">
        <f>IFERROR(__xludf.DUMMYFUNCTION("""COMPUTED_VALUE"""),2152.39)</f>
        <v/>
      </c>
    </row>
    <row r="13665">
      <c r="J13665">
        <f>IFERROR(__xludf.DUMMYFUNCTION("""COMPUTED_VALUE"""),"Montreal, Quebec, Canada/ Bromont,Quebec, Canada/ Hamilton, Ontario, Canada")</f>
        <v/>
      </c>
      <c r="K13665">
        <f>IFERROR(__xludf.DUMMYFUNCTION("""COMPUTED_VALUE"""),2150.91)</f>
        <v/>
      </c>
    </row>
    <row r="13666">
      <c r="J13666">
        <f>IFERROR(__xludf.DUMMYFUNCTION("""COMPUTED_VALUE"""),"Moncton, New Brunswick, Canada; Montréal, Quebec, Canada")</f>
        <v/>
      </c>
      <c r="K13666">
        <f>IFERROR(__xludf.DUMMYFUNCTION("""COMPUTED_VALUE"""),2150.68)</f>
        <v/>
      </c>
    </row>
    <row r="13667">
      <c r="J13667">
        <f>IFERROR(__xludf.DUMMYFUNCTION("""COMPUTED_VALUE"""),"Prince George, BC / Fort St. John, BC")</f>
        <v/>
      </c>
      <c r="K13667">
        <f>IFERROR(__xludf.DUMMYFUNCTION("""COMPUTED_VALUE"""),2150.42)</f>
        <v/>
      </c>
    </row>
    <row r="13668">
      <c r="J13668">
        <f>IFERROR(__xludf.DUMMYFUNCTION("""COMPUTED_VALUE"""),"Guelph, Ontario, Canada
Hamilton, Ontario, Canada
Mississauga, Ontario, Canada")</f>
        <v/>
      </c>
      <c r="K13668">
        <f>IFERROR(__xludf.DUMMYFUNCTION("""COMPUTED_VALUE"""),2150.39)</f>
        <v/>
      </c>
    </row>
    <row r="13669">
      <c r="J13669">
        <f>IFERROR(__xludf.DUMMYFUNCTION("""COMPUTED_VALUE"""),"Surrey and Vancouver, British Columbia")</f>
        <v/>
      </c>
      <c r="K13669">
        <f>IFERROR(__xludf.DUMMYFUNCTION("""COMPUTED_VALUE"""),2150.16)</f>
        <v/>
      </c>
    </row>
    <row r="13670">
      <c r="J13670">
        <f>IFERROR(__xludf.DUMMYFUNCTION("""COMPUTED_VALUE"""),"Brooklyn, NY")</f>
        <v/>
      </c>
      <c r="K13670">
        <f>IFERROR(__xludf.DUMMYFUNCTION("""COMPUTED_VALUE"""),2149.73)</f>
        <v/>
      </c>
    </row>
    <row r="13671">
      <c r="J13671">
        <f>IFERROR(__xludf.DUMMYFUNCTION("""COMPUTED_VALUE"""),"Bagotvile - Ottawa - Montréal - Rouyn Noranda - Montréal - St-Jean-Baptiste de Rouville - Asbestos - Montréal -  Bagotville")</f>
        <v/>
      </c>
      <c r="K13671">
        <f>IFERROR(__xludf.DUMMYFUNCTION("""COMPUTED_VALUE"""),2149.66)</f>
        <v/>
      </c>
    </row>
    <row r="13672">
      <c r="J13672">
        <f>IFERROR(__xludf.DUMMYFUNCTION("""COMPUTED_VALUE"""),"Mabou, Nova Scotia, Canada")</f>
        <v/>
      </c>
      <c r="K13672">
        <f>IFERROR(__xludf.DUMMYFUNCTION("""COMPUTED_VALUE"""),2149.43)</f>
        <v/>
      </c>
    </row>
    <row r="13673">
      <c r="J13673">
        <f>IFERROR(__xludf.DUMMYFUNCTION("""COMPUTED_VALUE"""),"Toronto, Ontario           Ottawa, Ontario")</f>
        <v/>
      </c>
      <c r="K13673">
        <f>IFERROR(__xludf.DUMMYFUNCTION("""COMPUTED_VALUE"""),2149.14)</f>
        <v/>
      </c>
    </row>
    <row r="13674">
      <c r="J13674">
        <f>IFERROR(__xludf.DUMMYFUNCTION("""COMPUTED_VALUE"""),"Grande Cache, Alberta; Edmonton, Alberta")</f>
        <v/>
      </c>
      <c r="K13674">
        <f>IFERROR(__xludf.DUMMYFUNCTION("""COMPUTED_VALUE"""),2148.98)</f>
        <v/>
      </c>
    </row>
    <row r="13675">
      <c r="J13675">
        <f>IFERROR(__xludf.DUMMYFUNCTION("""COMPUTED_VALUE"""),"Regina, SK
Ottawa, ON")</f>
        <v/>
      </c>
      <c r="K13675">
        <f>IFERROR(__xludf.DUMMYFUNCTION("""COMPUTED_VALUE"""),2148.82)</f>
        <v/>
      </c>
    </row>
    <row r="13676">
      <c r="J13676">
        <f>IFERROR(__xludf.DUMMYFUNCTION("""COMPUTED_VALUE"""),"Vancouver, BC  &amp; Whitehorse, YT")</f>
        <v/>
      </c>
      <c r="K13676">
        <f>IFERROR(__xludf.DUMMYFUNCTION("""COMPUTED_VALUE"""),2147.24)</f>
        <v/>
      </c>
    </row>
    <row r="13677">
      <c r="J13677">
        <f>IFERROR(__xludf.DUMMYFUNCTION("""COMPUTED_VALUE"""),"Burnaby, British Columbia, Canada /
Sidney, British Columbia, Canada")</f>
        <v/>
      </c>
      <c r="K13677">
        <f>IFERROR(__xludf.DUMMYFUNCTION("""COMPUTED_VALUE"""),2147.18)</f>
        <v/>
      </c>
    </row>
    <row r="13678">
      <c r="J13678">
        <f>IFERROR(__xludf.DUMMYFUNCTION("""COMPUTED_VALUE"""),"Windsor, Ontario and Detroit, Michigan")</f>
        <v/>
      </c>
      <c r="K13678">
        <f>IFERROR(__xludf.DUMMYFUNCTION("""COMPUTED_VALUE"""),2146.09)</f>
        <v/>
      </c>
    </row>
    <row r="13679">
      <c r="J13679">
        <f>IFERROR(__xludf.DUMMYFUNCTION("""COMPUTED_VALUE"""),"Regina, Saskatchewan, Canada                                                         Ottawa, Ontario, Canada")</f>
        <v/>
      </c>
      <c r="K13679">
        <f>IFERROR(__xludf.DUMMYFUNCTION("""COMPUTED_VALUE"""),2146.02)</f>
        <v/>
      </c>
    </row>
    <row r="13680">
      <c r="J13680">
        <f>IFERROR(__xludf.DUMMYFUNCTION("""COMPUTED_VALUE"""),"St.John's, Newfoundland and Labrador")</f>
        <v/>
      </c>
      <c r="K13680">
        <f>IFERROR(__xludf.DUMMYFUNCTION("""COMPUTED_VALUE"""),2144.16)</f>
        <v/>
      </c>
    </row>
    <row r="13681">
      <c r="J13681">
        <f>IFERROR(__xludf.DUMMYFUNCTION("""COMPUTED_VALUE"""),"Kingston, Ontario &amp; Ottawa, Ontario")</f>
        <v/>
      </c>
      <c r="K13681">
        <f>IFERROR(__xludf.DUMMYFUNCTION("""COMPUTED_VALUE"""),2144.13)</f>
        <v/>
      </c>
    </row>
    <row r="13682">
      <c r="J13682">
        <f>IFERROR(__xludf.DUMMYFUNCTION("""COMPUTED_VALUE"""),"Antigonish, Nova Scotia, Canada/ Ingonish, Nova Scotia, Canada/ Enfield, Nova Scotia, Canada")</f>
        <v/>
      </c>
      <c r="K13682">
        <f>IFERROR(__xludf.DUMMYFUNCTION("""COMPUTED_VALUE"""),2143.82)</f>
        <v/>
      </c>
    </row>
    <row r="13683">
      <c r="J13683">
        <f>IFERROR(__xludf.DUMMYFUNCTION("""COMPUTED_VALUE"""),"Toronto, Ontario - Gatineau and Montreal, Quebec")</f>
        <v/>
      </c>
      <c r="K13683">
        <f>IFERROR(__xludf.DUMMYFUNCTION("""COMPUTED_VALUE"""),2143.72)</f>
        <v/>
      </c>
    </row>
    <row r="13684">
      <c r="J13684">
        <f>IFERROR(__xludf.DUMMYFUNCTION("""COMPUTED_VALUE"""),"Calgary. Toronto")</f>
        <v/>
      </c>
      <c r="K13684">
        <f>IFERROR(__xludf.DUMMYFUNCTION("""COMPUTED_VALUE"""),2143.18)</f>
        <v/>
      </c>
    </row>
    <row r="13685">
      <c r="J13685">
        <f>IFERROR(__xludf.DUMMYFUNCTION("""COMPUTED_VALUE"""),"Amherst, Bridgewater, Darthmouth, Halifax Nova Scotia,Canada;Moncton, New Brunswick, Canada;Charlottetown, Prince Edward Island, Canada")</f>
        <v/>
      </c>
      <c r="K13685">
        <f>IFERROR(__xludf.DUMMYFUNCTION("""COMPUTED_VALUE"""),2143.1)</f>
        <v/>
      </c>
    </row>
    <row r="13686">
      <c r="J13686">
        <f>IFERROR(__xludf.DUMMYFUNCTION("""COMPUTED_VALUE"""),"Spain, Madrid")</f>
        <v/>
      </c>
      <c r="K13686">
        <f>IFERROR(__xludf.DUMMYFUNCTION("""COMPUTED_VALUE"""),2143)</f>
        <v/>
      </c>
    </row>
    <row r="13687">
      <c r="J13687">
        <f>IFERROR(__xludf.DUMMYFUNCTION("""COMPUTED_VALUE"""),"Roberval, Montréal, Québec")</f>
        <v/>
      </c>
      <c r="K13687">
        <f>IFERROR(__xludf.DUMMYFUNCTION("""COMPUTED_VALUE"""),2142.76)</f>
        <v/>
      </c>
    </row>
    <row r="13688">
      <c r="J13688">
        <f>IFERROR(__xludf.DUMMYFUNCTION("""COMPUTED_VALUE"""),"Arlington, Virginia USA")</f>
        <v/>
      </c>
      <c r="K13688">
        <f>IFERROR(__xludf.DUMMYFUNCTION("""COMPUTED_VALUE"""),2142.69)</f>
        <v/>
      </c>
    </row>
    <row r="13689">
      <c r="J13689">
        <f>IFERROR(__xludf.DUMMYFUNCTION("""COMPUTED_VALUE"""),"Yellowknife, Northwest Territories and Vancouver, British Columbia")</f>
        <v/>
      </c>
      <c r="K13689">
        <f>IFERROR(__xludf.DUMMYFUNCTION("""COMPUTED_VALUE"""),2142.6)</f>
        <v/>
      </c>
    </row>
    <row r="13690">
      <c r="J13690">
        <f>IFERROR(__xludf.DUMMYFUNCTION("""COMPUTED_VALUE"""),"Toronto (Ontario) Canada, Ottawa (Ontario) Canada")</f>
        <v/>
      </c>
      <c r="K13690">
        <f>IFERROR(__xludf.DUMMYFUNCTION("""COMPUTED_VALUE"""),2142.34)</f>
        <v/>
      </c>
    </row>
    <row r="13691">
      <c r="J13691">
        <f>IFERROR(__xludf.DUMMYFUNCTION("""COMPUTED_VALUE"""),"Beaverlodge, AB")</f>
        <v/>
      </c>
      <c r="K13691">
        <f>IFERROR(__xludf.DUMMYFUNCTION("""COMPUTED_VALUE"""),2142.25)</f>
        <v/>
      </c>
    </row>
    <row r="13692">
      <c r="J13692">
        <f>IFERROR(__xludf.DUMMYFUNCTION("""COMPUTED_VALUE"""),"Wakefield, QC, Canada")</f>
        <v/>
      </c>
      <c r="K13692">
        <f>IFERROR(__xludf.DUMMYFUNCTION("""COMPUTED_VALUE"""),2141.95)</f>
        <v/>
      </c>
    </row>
    <row r="13693">
      <c r="J13693">
        <f>IFERROR(__xludf.DUMMYFUNCTION("""COMPUTED_VALUE"""),"Caledon, Ontario, Canada")</f>
        <v/>
      </c>
      <c r="K13693">
        <f>IFERROR(__xludf.DUMMYFUNCTION("""COMPUTED_VALUE"""),2141.79)</f>
        <v/>
      </c>
    </row>
    <row r="13694">
      <c r="J13694">
        <f>IFERROR(__xludf.DUMMYFUNCTION("""COMPUTED_VALUE"""),"Winnipeg, Manitoba and Edmonton, Alberta")</f>
        <v/>
      </c>
      <c r="K13694">
        <f>IFERROR(__xludf.DUMMYFUNCTION("""COMPUTED_VALUE"""),2141.55)</f>
        <v/>
      </c>
    </row>
    <row r="13695">
      <c r="J13695">
        <f>IFERROR(__xludf.DUMMYFUNCTION("""COMPUTED_VALUE"""),"Montreal, Quebec, Canada and Trois-Rivières, Quebec, Canada")</f>
        <v/>
      </c>
      <c r="K13695">
        <f>IFERROR(__xludf.DUMMYFUNCTION("""COMPUTED_VALUE"""),2141.49)</f>
        <v/>
      </c>
    </row>
    <row r="13696">
      <c r="J13696">
        <f>IFERROR(__xludf.DUMMYFUNCTION("""COMPUTED_VALUE"""),"Estevan, Saskatchewan")</f>
        <v/>
      </c>
      <c r="K13696">
        <f>IFERROR(__xludf.DUMMYFUNCTION("""COMPUTED_VALUE"""),2141.36)</f>
        <v/>
      </c>
    </row>
    <row r="13697">
      <c r="J13697">
        <f>IFERROR(__xludf.DUMMYFUNCTION("""COMPUTED_VALUE"""),"Portsdown (England) United Kingdom")</f>
        <v/>
      </c>
      <c r="K13697">
        <f>IFERROR(__xludf.DUMMYFUNCTION("""COMPUTED_VALUE"""),2141.03)</f>
        <v/>
      </c>
    </row>
    <row r="13698">
      <c r="J13698">
        <f>IFERROR(__xludf.DUMMYFUNCTION("""COMPUTED_VALUE"""),"Ottawa - Calgary/Victoria/Vancouver - Ottawa")</f>
        <v/>
      </c>
      <c r="K13698">
        <f>IFERROR(__xludf.DUMMYFUNCTION("""COMPUTED_VALUE"""),2140.95)</f>
        <v/>
      </c>
    </row>
    <row r="13699">
      <c r="J13699">
        <f>IFERROR(__xludf.DUMMYFUNCTION("""COMPUTED_VALUE"""),"Ottawa - St. John's, Halifax, Moncton, Fredericton - Montreal")</f>
        <v/>
      </c>
      <c r="K13699">
        <f>IFERROR(__xludf.DUMMYFUNCTION("""COMPUTED_VALUE"""),2140.55)</f>
        <v/>
      </c>
    </row>
    <row r="13700">
      <c r="J13700">
        <f>IFERROR(__xludf.DUMMYFUNCTION("""COMPUTED_VALUE"""),"Lethbridge, Alberta,  Calgary, Alberta")</f>
        <v/>
      </c>
      <c r="K13700">
        <f>IFERROR(__xludf.DUMMYFUNCTION("""COMPUTED_VALUE"""),2140.47)</f>
        <v/>
      </c>
    </row>
    <row r="13701">
      <c r="J13701">
        <f>IFERROR(__xludf.DUMMYFUNCTION("""COMPUTED_VALUE"""),"Montreal, Quebec, Canada and Quebec, Quebec, Canada")</f>
        <v/>
      </c>
      <c r="K13701">
        <f>IFERROR(__xludf.DUMMYFUNCTION("""COMPUTED_VALUE"""),2140.39)</f>
        <v/>
      </c>
    </row>
    <row r="13702">
      <c r="J13702">
        <f>IFERROR(__xludf.DUMMYFUNCTION("""COMPUTED_VALUE"""),"Vancouver, BC - Ottawa, ON")</f>
        <v/>
      </c>
      <c r="K13702">
        <f>IFERROR(__xludf.DUMMYFUNCTION("""COMPUTED_VALUE"""),2139.41)</f>
        <v/>
      </c>
    </row>
    <row r="13703">
      <c r="J13703">
        <f>IFERROR(__xludf.DUMMYFUNCTION("""COMPUTED_VALUE"""),"West Point, NY")</f>
        <v/>
      </c>
      <c r="K13703">
        <f>IFERROR(__xludf.DUMMYFUNCTION("""COMPUTED_VALUE"""),2139.12)</f>
        <v/>
      </c>
    </row>
    <row r="13704">
      <c r="J13704">
        <f>IFERROR(__xludf.DUMMYFUNCTION("""COMPUTED_VALUE"""),"Fort St. John, British Colombia, Canada")</f>
        <v/>
      </c>
      <c r="K13704">
        <f>IFERROR(__xludf.DUMMYFUNCTION("""COMPUTED_VALUE"""),2138.8)</f>
        <v/>
      </c>
    </row>
    <row r="13705">
      <c r="J13705">
        <f>IFERROR(__xludf.DUMMYFUNCTION("""COMPUTED_VALUE"""),"Guelph, Ontario / Hamilton, Ontario, Canada")</f>
        <v/>
      </c>
      <c r="K13705">
        <f>IFERROR(__xludf.DUMMYFUNCTION("""COMPUTED_VALUE"""),2137.93)</f>
        <v/>
      </c>
    </row>
    <row r="13706">
      <c r="J13706">
        <f>IFERROR(__xludf.DUMMYFUNCTION("""COMPUTED_VALUE"""),"Ottawa, Ontario / St. John's, Newfoundland and Labrador")</f>
        <v/>
      </c>
      <c r="K13706">
        <f>IFERROR(__xludf.DUMMYFUNCTION("""COMPUTED_VALUE"""),2137.55)</f>
        <v/>
      </c>
    </row>
    <row r="13707">
      <c r="J13707">
        <f>IFERROR(__xludf.DUMMYFUNCTION("""COMPUTED_VALUE"""),"Frederiction, NB")</f>
        <v/>
      </c>
      <c r="K13707">
        <f>IFERROR(__xludf.DUMMYFUNCTION("""COMPUTED_VALUE"""),2137.52999999999)</f>
        <v/>
      </c>
    </row>
    <row r="13708">
      <c r="J13708">
        <f>IFERROR(__xludf.DUMMYFUNCTION("""COMPUTED_VALUE"""),"Ottawa-Vancouver-Victoria-Calgary-Ottawa")</f>
        <v/>
      </c>
      <c r="K13708">
        <f>IFERROR(__xludf.DUMMYFUNCTION("""COMPUTED_VALUE"""),2137.49)</f>
        <v/>
      </c>
    </row>
    <row r="13709">
      <c r="J13709">
        <f>IFERROR(__xludf.DUMMYFUNCTION("""COMPUTED_VALUE"""),"Roberval, Quebec; Saint John and Moncton, New Brunswick; Montreal, Quebec")</f>
        <v/>
      </c>
      <c r="K13709">
        <f>IFERROR(__xludf.DUMMYFUNCTION("""COMPUTED_VALUE"""),2137.49)</f>
        <v/>
      </c>
    </row>
    <row r="13710">
      <c r="J13710">
        <f>IFERROR(__xludf.DUMMYFUNCTION("""COMPUTED_VALUE"""),"Riverside, CA")</f>
        <v/>
      </c>
      <c r="K13710">
        <f>IFERROR(__xludf.DUMMYFUNCTION("""COMPUTED_VALUE"""),2137.39)</f>
        <v/>
      </c>
    </row>
    <row r="13711">
      <c r="J13711">
        <f>IFERROR(__xludf.DUMMYFUNCTION("""COMPUTED_VALUE"""),"Toronto, Ontario, Canada; Fredericton, New Brunswick, Canada; Saint John, New Brunswick, Canada")</f>
        <v/>
      </c>
      <c r="K13711">
        <f>IFERROR(__xludf.DUMMYFUNCTION("""COMPUTED_VALUE"""),2137.33)</f>
        <v/>
      </c>
    </row>
    <row r="13712">
      <c r="J13712">
        <f>IFERROR(__xludf.DUMMYFUNCTION("""COMPUTED_VALUE"""),"Washington (District of Columbia) USA")</f>
        <v/>
      </c>
      <c r="K13712">
        <f>IFERROR(__xludf.DUMMYFUNCTION("""COMPUTED_VALUE"""),2137.27)</f>
        <v/>
      </c>
    </row>
    <row r="13713">
      <c r="J13713">
        <f>IFERROR(__xludf.DUMMYFUNCTION("""COMPUTED_VALUE"""),"Victoria, Vancouver, (British Columbia)")</f>
        <v/>
      </c>
      <c r="K13713">
        <f>IFERROR(__xludf.DUMMYFUNCTION("""COMPUTED_VALUE"""),2137.11)</f>
        <v/>
      </c>
    </row>
    <row r="13714">
      <c r="J13714">
        <f>IFERROR(__xludf.DUMMYFUNCTION("""COMPUTED_VALUE"""),"Prince George, British Columbia, Canada; Nelson, British Columbia, Canada")</f>
        <v/>
      </c>
      <c r="K13714">
        <f>IFERROR(__xludf.DUMMYFUNCTION("""COMPUTED_VALUE"""),2136.7)</f>
        <v/>
      </c>
    </row>
    <row r="13715">
      <c r="J13715">
        <f>IFERROR(__xludf.DUMMYFUNCTION("""COMPUTED_VALUE"""),"Vancouver, British Columbia, Calgary and Banff, Alberta")</f>
        <v/>
      </c>
      <c r="K13715">
        <f>IFERROR(__xludf.DUMMYFUNCTION("""COMPUTED_VALUE"""),2136.5)</f>
        <v/>
      </c>
    </row>
    <row r="13716">
      <c r="J13716">
        <f>IFERROR(__xludf.DUMMYFUNCTION("""COMPUTED_VALUE"""),"Vancouver, BC and Toronto, ON")</f>
        <v/>
      </c>
      <c r="K13716">
        <f>IFERROR(__xludf.DUMMYFUNCTION("""COMPUTED_VALUE"""),2136.42)</f>
        <v/>
      </c>
    </row>
    <row r="13717">
      <c r="J13717">
        <f>IFERROR(__xludf.DUMMYFUNCTION("""COMPUTED_VALUE"""),"Toronto, ON and Saskatoon, SASK")</f>
        <v/>
      </c>
      <c r="K13717">
        <f>IFERROR(__xludf.DUMMYFUNCTION("""COMPUTED_VALUE"""),2136.31)</f>
        <v/>
      </c>
    </row>
    <row r="13718">
      <c r="J13718">
        <f>IFERROR(__xludf.DUMMYFUNCTION("""COMPUTED_VALUE"""),"Point Pelee, Ontario, Canada")</f>
        <v/>
      </c>
      <c r="K13718">
        <f>IFERROR(__xludf.DUMMYFUNCTION("""COMPUTED_VALUE"""),2136.15)</f>
        <v/>
      </c>
    </row>
    <row r="13719">
      <c r="J13719">
        <f>IFERROR(__xludf.DUMMYFUNCTION("""COMPUTED_VALUE"""),"Portugal, Lisbon")</f>
        <v/>
      </c>
      <c r="K13719">
        <f>IFERROR(__xludf.DUMMYFUNCTION("""COMPUTED_VALUE"""),2135.99)</f>
        <v/>
      </c>
    </row>
    <row r="13720">
      <c r="J13720">
        <f>IFERROR(__xludf.DUMMYFUNCTION("""COMPUTED_VALUE"""),"Mississauga ON, Calgary AB")</f>
        <v/>
      </c>
      <c r="K13720">
        <f>IFERROR(__xludf.DUMMYFUNCTION("""COMPUTED_VALUE"""),2135.83)</f>
        <v/>
      </c>
    </row>
    <row r="13721">
      <c r="J13721">
        <f>IFERROR(__xludf.DUMMYFUNCTION("""COMPUTED_VALUE"""),"Victoria Harbour")</f>
        <v/>
      </c>
      <c r="K13721">
        <f>IFERROR(__xludf.DUMMYFUNCTION("""COMPUTED_VALUE"""),2135.66)</f>
        <v/>
      </c>
    </row>
    <row r="13722">
      <c r="J13722">
        <f>IFERROR(__xludf.DUMMYFUNCTION("""COMPUTED_VALUE"""),"North Bay, Kirkland Lake, Earlton and Gore Bay")</f>
        <v/>
      </c>
      <c r="K13722">
        <f>IFERROR(__xludf.DUMMYFUNCTION("""COMPUTED_VALUE"""),2135.59)</f>
        <v/>
      </c>
    </row>
    <row r="13723">
      <c r="J13723">
        <f>IFERROR(__xludf.DUMMYFUNCTION("""COMPUTED_VALUE"""),"Saskatoon, Regina, Saskatchewan, Canada")</f>
        <v/>
      </c>
      <c r="K13723">
        <f>IFERROR(__xludf.DUMMYFUNCTION("""COMPUTED_VALUE"""),2135.03)</f>
        <v/>
      </c>
    </row>
    <row r="13724">
      <c r="J13724">
        <f>IFERROR(__xludf.DUMMYFUNCTION("""COMPUTED_VALUE"""),"Halifax, Nouvelle-Écosse, Canada")</f>
        <v/>
      </c>
      <c r="K13724">
        <f>IFERROR(__xludf.DUMMYFUNCTION("""COMPUTED_VALUE"""),2134.96)</f>
        <v/>
      </c>
    </row>
    <row r="13725">
      <c r="J13725">
        <f>IFERROR(__xludf.DUMMYFUNCTION("""COMPUTED_VALUE"""),"Cape Breton Regional Municipality, Guysborough and Antigonish, Nova scotia and St. Andrews, St George, Hanwell, Woodstock, Florenceville-Bristol and Fredericton, New Brunswick")</f>
        <v/>
      </c>
      <c r="K13725">
        <f>IFERROR(__xludf.DUMMYFUNCTION("""COMPUTED_VALUE"""),2134.93)</f>
        <v/>
      </c>
    </row>
    <row r="13726">
      <c r="J13726">
        <f>IFERROR(__xludf.DUMMYFUNCTION("""COMPUTED_VALUE"""),"Calgary, AB; Nanaimo, BC; Victoria, BC; Kelowna, BC")</f>
        <v/>
      </c>
      <c r="K13726">
        <f>IFERROR(__xludf.DUMMYFUNCTION("""COMPUTED_VALUE"""),2134.25)</f>
        <v/>
      </c>
    </row>
    <row r="13727">
      <c r="J13727">
        <f>IFERROR(__xludf.DUMMYFUNCTION("""COMPUTED_VALUE"""),"Quebec, QC
and Ottawa, ON")</f>
        <v/>
      </c>
      <c r="K13727">
        <f>IFERROR(__xludf.DUMMYFUNCTION("""COMPUTED_VALUE"""),2134)</f>
        <v/>
      </c>
    </row>
    <row r="13728">
      <c r="J13728">
        <f>IFERROR(__xludf.DUMMYFUNCTION("""COMPUTED_VALUE"""),"HAMILTON, ON")</f>
        <v/>
      </c>
      <c r="K13728">
        <f>IFERROR(__xludf.DUMMYFUNCTION("""COMPUTED_VALUE"""),2133.71)</f>
        <v/>
      </c>
    </row>
    <row r="13729">
      <c r="J13729">
        <f>IFERROR(__xludf.DUMMYFUNCTION("""COMPUTED_VALUE"""),"Windsor, Ontario, Canada; Hamilton, Ontario, Canada; Oshawa, Ontario, Canada; Montreal, Quebec, Canada")</f>
        <v/>
      </c>
      <c r="K13729">
        <f>IFERROR(__xludf.DUMMYFUNCTION("""COMPUTED_VALUE"""),2133.35)</f>
        <v/>
      </c>
    </row>
    <row r="13730">
      <c r="J13730">
        <f>IFERROR(__xludf.DUMMYFUNCTION("""COMPUTED_VALUE"""),"Norfolk, Virginia,United States")</f>
        <v/>
      </c>
      <c r="K13730">
        <f>IFERROR(__xludf.DUMMYFUNCTION("""COMPUTED_VALUE"""),2133.32)</f>
        <v/>
      </c>
    </row>
    <row r="13731">
      <c r="J13731">
        <f>IFERROR(__xludf.DUMMYFUNCTION("""COMPUTED_VALUE"""),"Quebec, Quebec, Canada / Montreal, Quebec, Canada")</f>
        <v/>
      </c>
      <c r="K13731">
        <f>IFERROR(__xludf.DUMMYFUNCTION("""COMPUTED_VALUE"""),2133.22)</f>
        <v/>
      </c>
    </row>
    <row r="13732">
      <c r="J13732">
        <f>IFERROR(__xludf.DUMMYFUNCTION("""COMPUTED_VALUE"""),"St. John's, Newfoundland and Labrador, Canada; Halifax, Nova Scotia, Canada; Charlottetown, Prince Edward Island, Canada; Halifax, Nova Scotia, Canada; St. John's, Newfoundland and Labrador, Canada")</f>
        <v/>
      </c>
      <c r="K13732">
        <f>IFERROR(__xludf.DUMMYFUNCTION("""COMPUTED_VALUE"""),2133.17)</f>
        <v/>
      </c>
    </row>
    <row r="13733">
      <c r="J13733">
        <f>IFERROR(__xludf.DUMMYFUNCTION("""COMPUTED_VALUE"""),"Chester, Nova Scotia, Canada; Bathurst, New Brunswick, Canada")</f>
        <v/>
      </c>
      <c r="K13733">
        <f>IFERROR(__xludf.DUMMYFUNCTION("""COMPUTED_VALUE"""),2133)</f>
        <v/>
      </c>
    </row>
    <row r="13734">
      <c r="J13734">
        <f>IFERROR(__xludf.DUMMYFUNCTION("""COMPUTED_VALUE"""),"Lacolle, QC")</f>
        <v/>
      </c>
      <c r="K13734">
        <f>IFERROR(__xludf.DUMMYFUNCTION("""COMPUTED_VALUE"""),2132.63)</f>
        <v/>
      </c>
    </row>
    <row r="13735">
      <c r="J13735">
        <f>IFERROR(__xludf.DUMMYFUNCTION("""COMPUTED_VALUE"""),"Ottawa, ON Hamilton, ON")</f>
        <v/>
      </c>
      <c r="K13735">
        <f>IFERROR(__xludf.DUMMYFUNCTION("""COMPUTED_VALUE"""),2132.39)</f>
        <v/>
      </c>
    </row>
    <row r="13736">
      <c r="J13736">
        <f>IFERROR(__xludf.DUMMYFUNCTION("""COMPUTED_VALUE"""),"Montréal / Québec")</f>
        <v/>
      </c>
      <c r="K13736">
        <f>IFERROR(__xludf.DUMMYFUNCTION("""COMPUTED_VALUE"""),2132.06)</f>
        <v/>
      </c>
    </row>
    <row r="13737">
      <c r="J13737">
        <f>IFERROR(__xludf.DUMMYFUNCTION("""COMPUTED_VALUE"""),"Taiwan")</f>
        <v/>
      </c>
      <c r="K13737">
        <f>IFERROR(__xludf.DUMMYFUNCTION("""COMPUTED_VALUE"""),2132)</f>
        <v/>
      </c>
    </row>
    <row r="13738">
      <c r="J13738">
        <f>IFERROR(__xludf.DUMMYFUNCTION("""COMPUTED_VALUE"""),"Bathurst, NB; Moncton, NB; Charlottetown, PE; Halifax, NS;")</f>
        <v/>
      </c>
      <c r="K13738">
        <f>IFERROR(__xludf.DUMMYFUNCTION("""COMPUTED_VALUE"""),2130.77)</f>
        <v/>
      </c>
    </row>
    <row r="13739">
      <c r="J13739">
        <f>IFERROR(__xludf.DUMMYFUNCTION("""COMPUTED_VALUE"""),"St. George and Grand Manan, New Brunswick, Canada")</f>
        <v/>
      </c>
      <c r="K13739">
        <f>IFERROR(__xludf.DUMMYFUNCTION("""COMPUTED_VALUE"""),2130.62)</f>
        <v/>
      </c>
    </row>
    <row r="13740">
      <c r="J13740">
        <f>IFERROR(__xludf.DUMMYFUNCTION("""COMPUTED_VALUE"""),"Summerside, Prince Edward Island, Canada; Ottawa, Ontario, Canada")</f>
        <v/>
      </c>
      <c r="K13740">
        <f>IFERROR(__xludf.DUMMYFUNCTION("""COMPUTED_VALUE"""),2130.43)</f>
        <v/>
      </c>
    </row>
    <row r="13741">
      <c r="J13741">
        <f>IFERROR(__xludf.DUMMYFUNCTION("""COMPUTED_VALUE"""),"Montreal, QC Toronto, ON Halifax, NS")</f>
        <v/>
      </c>
      <c r="K13741">
        <f>IFERROR(__xludf.DUMMYFUNCTION("""COMPUTED_VALUE"""),2130.33)</f>
        <v/>
      </c>
    </row>
    <row r="13742">
      <c r="J13742">
        <f>IFERROR(__xludf.DUMMYFUNCTION("""COMPUTED_VALUE"""),"CharlotteTown, PEI")</f>
        <v/>
      </c>
      <c r="K13742">
        <f>IFERROR(__xludf.DUMMYFUNCTION("""COMPUTED_VALUE"""),2129.29)</f>
        <v/>
      </c>
    </row>
    <row r="13743">
      <c r="J13743">
        <f>IFERROR(__xludf.DUMMYFUNCTION("""COMPUTED_VALUE"""),"Lacolle, Quebec")</f>
        <v/>
      </c>
      <c r="K13743">
        <f>IFERROR(__xludf.DUMMYFUNCTION("""COMPUTED_VALUE"""),2128.94)</f>
        <v/>
      </c>
    </row>
    <row r="13744">
      <c r="J13744">
        <f>IFERROR(__xludf.DUMMYFUNCTION("""COMPUTED_VALUE"""),"St. John's, Newfounland and Labrador, Canada")</f>
        <v/>
      </c>
      <c r="K13744">
        <f>IFERROR(__xludf.DUMMYFUNCTION("""COMPUTED_VALUE"""),2128.78)</f>
        <v/>
      </c>
    </row>
    <row r="13745">
      <c r="J13745">
        <f>IFERROR(__xludf.DUMMYFUNCTION("""COMPUTED_VALUE"""),"Fredricton, New Brunswick; Halifax, Nova Scotia; St. John's, Newfoundland and Labrador; Charlottetown, Prince Edward Island")</f>
        <v/>
      </c>
      <c r="K13745">
        <f>IFERROR(__xludf.DUMMYFUNCTION("""COMPUTED_VALUE"""),2128.51)</f>
        <v/>
      </c>
    </row>
    <row r="13746">
      <c r="J13746">
        <f>IFERROR(__xludf.DUMMYFUNCTION("""COMPUTED_VALUE"""),"St. John’s, Newfoundland and Labrador, Canada/ Gander, Newfoundland and Labrador, Canada/ Fogo Island, Newfoundland and Labrador, Canada")</f>
        <v/>
      </c>
      <c r="K13746">
        <f>IFERROR(__xludf.DUMMYFUNCTION("""COMPUTED_VALUE"""),2127.96)</f>
        <v/>
      </c>
    </row>
    <row r="13747">
      <c r="J13747">
        <f>IFERROR(__xludf.DUMMYFUNCTION("""COMPUTED_VALUE"""),"WHITEHORSE, YK, CANADA")</f>
        <v/>
      </c>
      <c r="K13747">
        <f>IFERROR(__xludf.DUMMYFUNCTION("""COMPUTED_VALUE"""),2127.5)</f>
        <v/>
      </c>
    </row>
    <row r="13748">
      <c r="J13748">
        <f>IFERROR(__xludf.DUMMYFUNCTION("""COMPUTED_VALUE"""),"Calgary et Edmonton, Alberta")</f>
        <v/>
      </c>
      <c r="K13748">
        <f>IFERROR(__xludf.DUMMYFUNCTION("""COMPUTED_VALUE"""),2127.26)</f>
        <v/>
      </c>
    </row>
    <row r="13749">
      <c r="J13749">
        <f>IFERROR(__xludf.DUMMYFUNCTION("""COMPUTED_VALUE"""),"Whitehorse and Dawson City, Yukon, Canada")</f>
        <v/>
      </c>
      <c r="K13749">
        <f>IFERROR(__xludf.DUMMYFUNCTION("""COMPUTED_VALUE"""),2127.13)</f>
        <v/>
      </c>
    </row>
    <row r="13750">
      <c r="J13750">
        <f>IFERROR(__xludf.DUMMYFUNCTION("""COMPUTED_VALUE"""),"Edmonton, Alberta and Vancouver, British Columbia Canada")</f>
        <v/>
      </c>
      <c r="K13750">
        <f>IFERROR(__xludf.DUMMYFUNCTION("""COMPUTED_VALUE"""),2126.82)</f>
        <v/>
      </c>
    </row>
    <row r="13751">
      <c r="J13751">
        <f>IFERROR(__xludf.DUMMYFUNCTION("""COMPUTED_VALUE"""),"Cold Lake (Alberta) Canada")</f>
        <v/>
      </c>
      <c r="K13751">
        <f>IFERROR(__xludf.DUMMYFUNCTION("""COMPUTED_VALUE"""),2126.47)</f>
        <v/>
      </c>
    </row>
    <row r="13752">
      <c r="J13752">
        <f>IFERROR(__xludf.DUMMYFUNCTION("""COMPUTED_VALUE"""),"Ottawa Ontario Canada")</f>
        <v/>
      </c>
      <c r="K13752">
        <f>IFERROR(__xludf.DUMMYFUNCTION("""COMPUTED_VALUE"""),2125.94)</f>
        <v/>
      </c>
    </row>
    <row r="13753">
      <c r="J13753">
        <f>IFERROR(__xludf.DUMMYFUNCTION("""COMPUTED_VALUE"""),"Whitehorse,
Yukon,
Canada")</f>
        <v/>
      </c>
      <c r="K13753">
        <f>IFERROR(__xludf.DUMMYFUNCTION("""COMPUTED_VALUE"""),2125.85)</f>
        <v/>
      </c>
    </row>
    <row r="13754">
      <c r="J13754">
        <f>IFERROR(__xludf.DUMMYFUNCTION("""COMPUTED_VALUE"""),"St. John's-Charlottetown-Moncton-St. John's")</f>
        <v/>
      </c>
      <c r="K13754">
        <f>IFERROR(__xludf.DUMMYFUNCTION("""COMPUTED_VALUE"""),2125.71)</f>
        <v/>
      </c>
    </row>
    <row r="13755">
      <c r="J13755">
        <f>IFERROR(__xludf.DUMMYFUNCTION("""COMPUTED_VALUE"""),"Vancouver, Nanaimo, BC")</f>
        <v/>
      </c>
      <c r="K13755">
        <f>IFERROR(__xludf.DUMMYFUNCTION("""COMPUTED_VALUE"""),2125.7)</f>
        <v/>
      </c>
    </row>
    <row r="13756">
      <c r="J13756">
        <f>IFERROR(__xludf.DUMMYFUNCTION("""COMPUTED_VALUE"""),"Vancouver, Victoria and Nanoose Bay, BC")</f>
        <v/>
      </c>
      <c r="K13756">
        <f>IFERROR(__xludf.DUMMYFUNCTION("""COMPUTED_VALUE"""),2124.88)</f>
        <v/>
      </c>
    </row>
    <row r="13757">
      <c r="J13757">
        <f>IFERROR(__xludf.DUMMYFUNCTION("""COMPUTED_VALUE"""),"Toronto, ON - Hamilton, ON")</f>
        <v/>
      </c>
      <c r="K13757">
        <f>IFERROR(__xludf.DUMMYFUNCTION("""COMPUTED_VALUE"""),2124.56999999999)</f>
        <v/>
      </c>
    </row>
    <row r="13758">
      <c r="J13758">
        <f>IFERROR(__xludf.DUMMYFUNCTION("""COMPUTED_VALUE"""),"Barrie, Ontario, Canada; Richmond Hill, Ontario, Canada")</f>
        <v/>
      </c>
      <c r="K13758">
        <f>IFERROR(__xludf.DUMMYFUNCTION("""COMPUTED_VALUE"""),2124.52)</f>
        <v/>
      </c>
    </row>
    <row r="13759">
      <c r="J13759">
        <f>IFERROR(__xludf.DUMMYFUNCTION("""COMPUTED_VALUE"""),"Harrow (Ontario) Canada")</f>
        <v/>
      </c>
      <c r="K13759">
        <f>IFERROR(__xludf.DUMMYFUNCTION("""COMPUTED_VALUE"""),2124.5)</f>
        <v/>
      </c>
    </row>
    <row r="13760">
      <c r="J13760">
        <f>IFERROR(__xludf.DUMMYFUNCTION("""COMPUTED_VALUE"""),"Halifax, NS; Ottawa, ON")</f>
        <v/>
      </c>
      <c r="K13760">
        <f>IFERROR(__xludf.DUMMYFUNCTION("""COMPUTED_VALUE"""),2124.19)</f>
        <v/>
      </c>
    </row>
    <row r="13761">
      <c r="J13761">
        <f>IFERROR(__xludf.DUMMYFUNCTION("""COMPUTED_VALUE"""),"West Point, NY, USA")</f>
        <v/>
      </c>
      <c r="K13761">
        <f>IFERROR(__xludf.DUMMYFUNCTION("""COMPUTED_VALUE"""),2123.77)</f>
        <v/>
      </c>
    </row>
    <row r="13762">
      <c r="J13762">
        <f>IFERROR(__xludf.DUMMYFUNCTION("""COMPUTED_VALUE"""),"Key Largo, Florida")</f>
        <v/>
      </c>
      <c r="K13762">
        <f>IFERROR(__xludf.DUMMYFUNCTION("""COMPUTED_VALUE"""),2123.76)</f>
        <v/>
      </c>
    </row>
    <row r="13763">
      <c r="J13763">
        <f>IFERROR(__xludf.DUMMYFUNCTION("""COMPUTED_VALUE"""),"Gaspé and Bonaventure")</f>
        <v/>
      </c>
      <c r="K13763">
        <f>IFERROR(__xludf.DUMMYFUNCTION("""COMPUTED_VALUE"""),2123.47)</f>
        <v/>
      </c>
    </row>
    <row r="13764">
      <c r="J13764">
        <f>IFERROR(__xludf.DUMMYFUNCTION("""COMPUTED_VALUE"""),"St-Paul, Alberta, Canada and Edmonton, Alberta, Canada")</f>
        <v/>
      </c>
      <c r="K13764">
        <f>IFERROR(__xludf.DUMMYFUNCTION("""COMPUTED_VALUE"""),2123.31)</f>
        <v/>
      </c>
    </row>
    <row r="13765">
      <c r="J13765">
        <f>IFERROR(__xludf.DUMMYFUNCTION("""COMPUTED_VALUE"""),"Halifax, Nova Scotia, Canada; Moncton, New Brunswick, Canada; Montréal, Quebec, Canada")</f>
        <v/>
      </c>
      <c r="K13765">
        <f>IFERROR(__xludf.DUMMYFUNCTION("""COMPUTED_VALUE"""),2123.28)</f>
        <v/>
      </c>
    </row>
    <row r="13766">
      <c r="J13766">
        <f>IFERROR(__xludf.DUMMYFUNCTION("""COMPUTED_VALUE"""),"London and Cambridge, Ontario, Canada")</f>
        <v/>
      </c>
      <c r="K13766">
        <f>IFERROR(__xludf.DUMMYFUNCTION("""COMPUTED_VALUE"""),2122.22)</f>
        <v/>
      </c>
    </row>
    <row r="13767">
      <c r="J13767">
        <f>IFERROR(__xludf.DUMMYFUNCTION("""COMPUTED_VALUE"""),"Banff, Alberta; Calgary, Alberta")</f>
        <v/>
      </c>
      <c r="K13767">
        <f>IFERROR(__xludf.DUMMYFUNCTION("""COMPUTED_VALUE"""),2121.36)</f>
        <v/>
      </c>
    </row>
    <row r="13768">
      <c r="J13768">
        <f>IFERROR(__xludf.DUMMYFUNCTION("""COMPUTED_VALUE"""),"Vancouver and Victoria, British Colombia")</f>
        <v/>
      </c>
      <c r="K13768">
        <f>IFERROR(__xludf.DUMMYFUNCTION("""COMPUTED_VALUE"""),2120.98)</f>
        <v/>
      </c>
    </row>
    <row r="13769">
      <c r="J13769">
        <f>IFERROR(__xludf.DUMMYFUNCTION("""COMPUTED_VALUE"""),"Limerick, Ireland")</f>
        <v/>
      </c>
      <c r="K13769">
        <f>IFERROR(__xludf.DUMMYFUNCTION("""COMPUTED_VALUE"""),2120.94)</f>
        <v/>
      </c>
    </row>
    <row r="13770">
      <c r="J13770">
        <f>IFERROR(__xludf.DUMMYFUNCTION("""COMPUTED_VALUE"""),"Vancouver, BC and Edmonton, Calgary, AB")</f>
        <v/>
      </c>
      <c r="K13770">
        <f>IFERROR(__xludf.DUMMYFUNCTION("""COMPUTED_VALUE"""),2120.82)</f>
        <v/>
      </c>
    </row>
    <row r="13771">
      <c r="J13771">
        <f>IFERROR(__xludf.DUMMYFUNCTION("""COMPUTED_VALUE"""),"Lethbridge, AB Edmonton, AB")</f>
        <v/>
      </c>
      <c r="K13771">
        <f>IFERROR(__xludf.DUMMYFUNCTION("""COMPUTED_VALUE"""),2120.22)</f>
        <v/>
      </c>
    </row>
    <row r="13772">
      <c r="J13772">
        <f>IFERROR(__xludf.DUMMYFUNCTION("""COMPUTED_VALUE"""),"Ottawa-Quebec-Toronto-Ottawa")</f>
        <v/>
      </c>
      <c r="K13772">
        <f>IFERROR(__xludf.DUMMYFUNCTION("""COMPUTED_VALUE"""),2119.67)</f>
        <v/>
      </c>
    </row>
    <row r="13773">
      <c r="J13773">
        <f>IFERROR(__xludf.DUMMYFUNCTION("""COMPUTED_VALUE"""),"New Westminster, British Columbia, Canada")</f>
        <v/>
      </c>
      <c r="K13773">
        <f>IFERROR(__xludf.DUMMYFUNCTION("""COMPUTED_VALUE"""),2119.46)</f>
        <v/>
      </c>
    </row>
    <row r="13774">
      <c r="J13774">
        <f>IFERROR(__xludf.DUMMYFUNCTION("""COMPUTED_VALUE"""),"Ottawa, ON - Penticton, BC / Penticton, BC - Ottawa, ON")</f>
        <v/>
      </c>
      <c r="K13774">
        <f>IFERROR(__xludf.DUMMYFUNCTION("""COMPUTED_VALUE"""),2119.34)</f>
        <v/>
      </c>
    </row>
    <row r="13775">
      <c r="J13775">
        <f>IFERROR(__xludf.DUMMYFUNCTION("""COMPUTED_VALUE"""),"Ottawa, Ontario, Canada and Washington, D.C., United States (Trip to Washington cancelled)")</f>
        <v/>
      </c>
      <c r="K13775">
        <f>IFERROR(__xludf.DUMMYFUNCTION("""COMPUTED_VALUE"""),2118.74)</f>
        <v/>
      </c>
    </row>
    <row r="13776">
      <c r="J13776">
        <f>IFERROR(__xludf.DUMMYFUNCTION("""COMPUTED_VALUE"""),"Washington District of Columbia, United States / New York, New York, United States")</f>
        <v/>
      </c>
      <c r="K13776">
        <f>IFERROR(__xludf.DUMMYFUNCTION("""COMPUTED_VALUE"""),2118.71)</f>
        <v/>
      </c>
    </row>
    <row r="13777">
      <c r="J13777">
        <f>IFERROR(__xludf.DUMMYFUNCTION("""COMPUTED_VALUE"""),"Edmonton, Calgary and Saskatoon")</f>
        <v/>
      </c>
      <c r="K13777">
        <f>IFERROR(__xludf.DUMMYFUNCTION("""COMPUTED_VALUE"""),2118.1)</f>
        <v/>
      </c>
    </row>
    <row r="13778">
      <c r="J13778">
        <f>IFERROR(__xludf.DUMMYFUNCTION("""COMPUTED_VALUE"""),"Moncton, New Brunswick, Canada
Halifax, Nova Scotia, Canada")</f>
        <v/>
      </c>
      <c r="K13778">
        <f>IFERROR(__xludf.DUMMYFUNCTION("""COMPUTED_VALUE"""),2117.32)</f>
        <v/>
      </c>
    </row>
    <row r="13779">
      <c r="J13779">
        <f>IFERROR(__xludf.DUMMYFUNCTION("""COMPUTED_VALUE"""),"Kitchener and Guelph, Ontario, Canada")</f>
        <v/>
      </c>
      <c r="K13779">
        <f>IFERROR(__xludf.DUMMYFUNCTION("""COMPUTED_VALUE"""),2116.87)</f>
        <v/>
      </c>
    </row>
    <row r="13780">
      <c r="J13780">
        <f>IFERROR(__xludf.DUMMYFUNCTION("""COMPUTED_VALUE"""),"Victoria, BC; Edmonton, AB")</f>
        <v/>
      </c>
      <c r="K13780">
        <f>IFERROR(__xludf.DUMMYFUNCTION("""COMPUTED_VALUE"""),2116.83)</f>
        <v/>
      </c>
    </row>
    <row r="13781">
      <c r="J13781">
        <f>IFERROR(__xludf.DUMMYFUNCTION("""COMPUTED_VALUE"""),"Sorel-Tracy, Quebec, Canada; Montreal, Quebec, Canada")</f>
        <v/>
      </c>
      <c r="K13781">
        <f>IFERROR(__xludf.DUMMYFUNCTION("""COMPUTED_VALUE"""),2115.76)</f>
        <v/>
      </c>
    </row>
    <row r="13782">
      <c r="J13782">
        <f>IFERROR(__xludf.DUMMYFUNCTION("""COMPUTED_VALUE"""),"Gatineau, Ontario, Canada")</f>
        <v/>
      </c>
      <c r="K13782">
        <f>IFERROR(__xludf.DUMMYFUNCTION("""COMPUTED_VALUE"""),2115.66999999999)</f>
        <v/>
      </c>
    </row>
    <row r="13783">
      <c r="J13783">
        <f>IFERROR(__xludf.DUMMYFUNCTION("""COMPUTED_VALUE"""),"Greensboro, United States")</f>
        <v/>
      </c>
      <c r="K13783">
        <f>IFERROR(__xludf.DUMMYFUNCTION("""COMPUTED_VALUE"""),2115.36)</f>
        <v/>
      </c>
    </row>
    <row r="13784">
      <c r="J13784">
        <f>IFERROR(__xludf.DUMMYFUNCTION("""COMPUTED_VALUE"""),"Vancouver / Whitehorse")</f>
        <v/>
      </c>
      <c r="K13784">
        <f>IFERROR(__xludf.DUMMYFUNCTION("""COMPUTED_VALUE"""),2114.91)</f>
        <v/>
      </c>
    </row>
    <row r="13785">
      <c r="J13785">
        <f>IFERROR(__xludf.DUMMYFUNCTION("""COMPUTED_VALUE"""),"Jonquière - Montréal - Jonquiére - Ottawa")</f>
        <v/>
      </c>
      <c r="K13785">
        <f>IFERROR(__xludf.DUMMYFUNCTION("""COMPUTED_VALUE"""),2114.6)</f>
        <v/>
      </c>
    </row>
    <row r="13786">
      <c r="J13786">
        <f>IFERROR(__xludf.DUMMYFUNCTION("""COMPUTED_VALUE"""),"Halifax. Nova Scotia and Charlottetown, Prince Edward Island")</f>
        <v/>
      </c>
      <c r="K13786">
        <f>IFERROR(__xludf.DUMMYFUNCTION("""COMPUTED_VALUE"""),2113.99)</f>
        <v/>
      </c>
    </row>
    <row r="13787">
      <c r="J13787">
        <f>IFERROR(__xludf.DUMMYFUNCTION("""COMPUTED_VALUE"""),"Saint John, New Brunswick, and Moncton, New Brunswick")</f>
        <v/>
      </c>
      <c r="K13787">
        <f>IFERROR(__xludf.DUMMYFUNCTION("""COMPUTED_VALUE"""),2113.94)</f>
        <v/>
      </c>
    </row>
    <row r="13788">
      <c r="J13788">
        <f>IFERROR(__xludf.DUMMYFUNCTION("""COMPUTED_VALUE"""),"Portoroz and Ljubljana, Republic of Slovenia")</f>
        <v/>
      </c>
      <c r="K13788">
        <f>IFERROR(__xludf.DUMMYFUNCTION("""COMPUTED_VALUE"""),2113.73)</f>
        <v/>
      </c>
    </row>
    <row r="13789">
      <c r="J13789">
        <f>IFERROR(__xludf.DUMMYFUNCTION("""COMPUTED_VALUE"""),"Bhutan")</f>
        <v/>
      </c>
      <c r="K13789">
        <f>IFERROR(__xludf.DUMMYFUNCTION("""COMPUTED_VALUE"""),2113.44)</f>
        <v/>
      </c>
    </row>
    <row r="13790">
      <c r="J13790">
        <f>IFERROR(__xludf.DUMMYFUNCTION("""COMPUTED_VALUE"""),"Philadelphia (PA) USA")</f>
        <v/>
      </c>
      <c r="K13790">
        <f>IFERROR(__xludf.DUMMYFUNCTION("""COMPUTED_VALUE"""),2113.41)</f>
        <v/>
      </c>
    </row>
    <row r="13791">
      <c r="J13791">
        <f>IFERROR(__xludf.DUMMYFUNCTION("""COMPUTED_VALUE"""),"Mirabel, Quebec")</f>
        <v/>
      </c>
      <c r="K13791">
        <f>IFERROR(__xludf.DUMMYFUNCTION("""COMPUTED_VALUE"""),2112.89)</f>
        <v/>
      </c>
    </row>
    <row r="13792">
      <c r="J13792">
        <f>IFERROR(__xludf.DUMMYFUNCTION("""COMPUTED_VALUE"""),"Halifax, Nova Scotia, Canada; St. John's, Newfoundland and Labrador, Canada; Ottawa, Ontario, Canada; Halifax, Nova Scotia, Canada")</f>
        <v/>
      </c>
      <c r="K13792">
        <f>IFERROR(__xludf.DUMMYFUNCTION("""COMPUTED_VALUE"""),2112.83)</f>
        <v/>
      </c>
    </row>
    <row r="13793">
      <c r="J13793">
        <f>IFERROR(__xludf.DUMMYFUNCTION("""COMPUTED_VALUE"""),"Edmonton, AB Saskatoon, SK Regina, SK")</f>
        <v/>
      </c>
      <c r="K13793">
        <f>IFERROR(__xludf.DUMMYFUNCTION("""COMPUTED_VALUE"""),2112.56)</f>
        <v/>
      </c>
    </row>
    <row r="13794">
      <c r="J13794">
        <f>IFERROR(__xludf.DUMMYFUNCTION("""COMPUTED_VALUE"""),"White Plains, New York")</f>
        <v/>
      </c>
      <c r="K13794">
        <f>IFERROR(__xludf.DUMMYFUNCTION("""COMPUTED_VALUE"""),2111.95)</f>
        <v/>
      </c>
    </row>
    <row r="13795">
      <c r="J13795">
        <f>IFERROR(__xludf.DUMMYFUNCTION("""COMPUTED_VALUE"""),"Edmonton, Alberta, Canada; Red Deer, Alberta, Canada; Calgary, Alberta, Canada")</f>
        <v/>
      </c>
      <c r="K13795">
        <f>IFERROR(__xludf.DUMMYFUNCTION("""COMPUTED_VALUE"""),2111.67)</f>
        <v/>
      </c>
    </row>
    <row r="13796">
      <c r="J13796">
        <f>IFERROR(__xludf.DUMMYFUNCTION("""COMPUTED_VALUE"""),"Toronto, Ontario / Vancouver, British-Columbia, Canada")</f>
        <v/>
      </c>
      <c r="K13796">
        <f>IFERROR(__xludf.DUMMYFUNCTION("""COMPUTED_VALUE"""),2111.33)</f>
        <v/>
      </c>
    </row>
    <row r="13797">
      <c r="J13797">
        <f>IFERROR(__xludf.DUMMYFUNCTION("""COMPUTED_VALUE"""),"Tyendinaga, Ontario, Canada")</f>
        <v/>
      </c>
      <c r="K13797">
        <f>IFERROR(__xludf.DUMMYFUNCTION("""COMPUTED_VALUE"""),2111.24)</f>
        <v/>
      </c>
    </row>
    <row r="13798">
      <c r="J13798">
        <f>IFERROR(__xludf.DUMMYFUNCTION("""COMPUTED_VALUE"""),"Longueuil, QC, Bible Hill, NS")</f>
        <v/>
      </c>
      <c r="K13798">
        <f>IFERROR(__xludf.DUMMYFUNCTION("""COMPUTED_VALUE"""),2111.1)</f>
        <v/>
      </c>
    </row>
    <row r="13799">
      <c r="J13799">
        <f>IFERROR(__xludf.DUMMYFUNCTION("""COMPUTED_VALUE"""),"Vancouver, British Columbia, Edmonton, Alberta")</f>
        <v/>
      </c>
      <c r="K13799">
        <f>IFERROR(__xludf.DUMMYFUNCTION("""COMPUTED_VALUE"""),2111.02)</f>
        <v/>
      </c>
    </row>
    <row r="13800">
      <c r="J13800">
        <f>IFERROR(__xludf.DUMMYFUNCTION("""COMPUTED_VALUE"""),"Oshawa, Ontario, Canada; Brampton, Ontario, Canada; Hamilton, Ontario, Canada; Milton, Ontario, Canada")</f>
        <v/>
      </c>
      <c r="K13800">
        <f>IFERROR(__xludf.DUMMYFUNCTION("""COMPUTED_VALUE"""),2110.66)</f>
        <v/>
      </c>
    </row>
    <row r="13801">
      <c r="J13801">
        <f>IFERROR(__xludf.DUMMYFUNCTION("""COMPUTED_VALUE"""),"Montreal Quebec")</f>
        <v/>
      </c>
      <c r="K13801">
        <f>IFERROR(__xludf.DUMMYFUNCTION("""COMPUTED_VALUE"""),2110.51)</f>
        <v/>
      </c>
    </row>
    <row r="13802">
      <c r="J13802">
        <f>IFERROR(__xludf.DUMMYFUNCTION("""COMPUTED_VALUE"""),"Toronto, Ontario and Saskatoon, Saskatchewan")</f>
        <v/>
      </c>
      <c r="K13802">
        <f>IFERROR(__xludf.DUMMYFUNCTION("""COMPUTED_VALUE"""),2110.39)</f>
        <v/>
      </c>
    </row>
    <row r="13803">
      <c r="J13803">
        <f>IFERROR(__xludf.DUMMYFUNCTION("""COMPUTED_VALUE"""),"Halifax, NS and St-John's, NFLD")</f>
        <v/>
      </c>
      <c r="K13803">
        <f>IFERROR(__xludf.DUMMYFUNCTION("""COMPUTED_VALUE"""),2110.3)</f>
        <v/>
      </c>
    </row>
    <row r="13804">
      <c r="J13804">
        <f>IFERROR(__xludf.DUMMYFUNCTION("""COMPUTED_VALUE"""),"Vancouver, Smithers and Prince Rupert, British Columbia")</f>
        <v/>
      </c>
      <c r="K13804">
        <f>IFERROR(__xludf.DUMMYFUNCTION("""COMPUTED_VALUE"""),2109.9)</f>
        <v/>
      </c>
    </row>
    <row r="13805">
      <c r="J13805">
        <f>IFERROR(__xludf.DUMMYFUNCTION("""COMPUTED_VALUE"""),"Toronto, Ontario, Canada; Washington, United States")</f>
        <v/>
      </c>
      <c r="K13805">
        <f>IFERROR(__xludf.DUMMYFUNCTION("""COMPUTED_VALUE"""),2109.73)</f>
        <v/>
      </c>
    </row>
    <row r="13806">
      <c r="J13806">
        <f>IFERROR(__xludf.DUMMYFUNCTION("""COMPUTED_VALUE"""),"Calgary, Alberta, Canada / Montreal, Quebec, Canada / St. John's, Newfoundland, Canada")</f>
        <v/>
      </c>
      <c r="K13806">
        <f>IFERROR(__xludf.DUMMYFUNCTION("""COMPUTED_VALUE"""),2109.72)</f>
        <v/>
      </c>
    </row>
    <row r="13807">
      <c r="J13807">
        <f>IFERROR(__xludf.DUMMYFUNCTION("""COMPUTED_VALUE"""),"Trail, British Columbia")</f>
        <v/>
      </c>
      <c r="K13807">
        <f>IFERROR(__xludf.DUMMYFUNCTION("""COMPUTED_VALUE"""),2109.67)</f>
        <v/>
      </c>
    </row>
    <row r="13808">
      <c r="J13808">
        <f>IFERROR(__xludf.DUMMYFUNCTION("""COMPUTED_VALUE"""),"Calgary/Banff")</f>
        <v/>
      </c>
      <c r="K13808">
        <f>IFERROR(__xludf.DUMMYFUNCTION("""COMPUTED_VALUE"""),2109.33)</f>
        <v/>
      </c>
    </row>
    <row r="13809">
      <c r="J13809">
        <f>IFERROR(__xludf.DUMMYFUNCTION("""COMPUTED_VALUE"""),"Ottawa, ON / Vancouver, BC")</f>
        <v/>
      </c>
      <c r="K13809">
        <f>IFERROR(__xludf.DUMMYFUNCTION("""COMPUTED_VALUE"""),2109.23)</f>
        <v/>
      </c>
    </row>
    <row r="13810">
      <c r="J13810">
        <f>IFERROR(__xludf.DUMMYFUNCTION("""COMPUTED_VALUE"""),"Washington, Crystal City, USA")</f>
        <v/>
      </c>
      <c r="K13810">
        <f>IFERROR(__xludf.DUMMYFUNCTION("""COMPUTED_VALUE"""),2109.23)</f>
        <v/>
      </c>
    </row>
    <row r="13811">
      <c r="J13811">
        <f>IFERROR(__xludf.DUMMYFUNCTION("""COMPUTED_VALUE"""),"Toronto, Ontario / Winnipeg, Manitoba, Canada")</f>
        <v/>
      </c>
      <c r="K13811">
        <f>IFERROR(__xludf.DUMMYFUNCTION("""COMPUTED_VALUE"""),2109.18)</f>
        <v/>
      </c>
    </row>
    <row r="13812">
      <c r="J13812">
        <f>IFERROR(__xludf.DUMMYFUNCTION("""COMPUTED_VALUE"""),"Santiago, Chile; Guayaquil, Ecuador; New Orleans USA")</f>
        <v/>
      </c>
      <c r="K13812">
        <f>IFERROR(__xludf.DUMMYFUNCTION("""COMPUTED_VALUE"""),2109.15)</f>
        <v/>
      </c>
    </row>
    <row r="13813">
      <c r="J13813">
        <f>IFERROR(__xludf.DUMMYFUNCTION("""COMPUTED_VALUE"""),"Montreal, Quebec, Canada; Val-d'Or, Quebec, Canada; Quebec City, Quebec, Canada; Peterborough, Ontario, Canada")</f>
        <v/>
      </c>
      <c r="K13813">
        <f>IFERROR(__xludf.DUMMYFUNCTION("""COMPUTED_VALUE"""),2108.81)</f>
        <v/>
      </c>
    </row>
    <row r="13814">
      <c r="J13814">
        <f>IFERROR(__xludf.DUMMYFUNCTION("""COMPUTED_VALUE"""),"Miami, FL, United States")</f>
        <v/>
      </c>
      <c r="K13814">
        <f>IFERROR(__xludf.DUMMYFUNCTION("""COMPUTED_VALUE"""),2108.04)</f>
        <v/>
      </c>
    </row>
    <row r="13815">
      <c r="J13815">
        <f>IFERROR(__xludf.DUMMYFUNCTION("""COMPUTED_VALUE"""),"Halifax, Nova Scotia; St. John's, Newfoundland and Labrador")</f>
        <v/>
      </c>
      <c r="K13815">
        <f>IFERROR(__xludf.DUMMYFUNCTION("""COMPUTED_VALUE"""),2107.73)</f>
        <v/>
      </c>
    </row>
    <row r="13816">
      <c r="J13816">
        <f>IFERROR(__xludf.DUMMYFUNCTION("""COMPUTED_VALUE"""),"Wasington, D.C., United States")</f>
        <v/>
      </c>
      <c r="K13816">
        <f>IFERROR(__xludf.DUMMYFUNCTION("""COMPUTED_VALUE"""),2106.76)</f>
        <v/>
      </c>
    </row>
    <row r="13817">
      <c r="J13817">
        <f>IFERROR(__xludf.DUMMYFUNCTION("""COMPUTED_VALUE"""),"Niagara Falls ON")</f>
        <v/>
      </c>
      <c r="K13817">
        <f>IFERROR(__xludf.DUMMYFUNCTION("""COMPUTED_VALUE"""),2106.75)</f>
        <v/>
      </c>
    </row>
    <row r="13818">
      <c r="J13818">
        <f>IFERROR(__xludf.DUMMYFUNCTION("""COMPUTED_VALUE"""),"Kelowna, Vancouver")</f>
        <v/>
      </c>
      <c r="K13818">
        <f>IFERROR(__xludf.DUMMYFUNCTION("""COMPUTED_VALUE"""),2106.43)</f>
        <v/>
      </c>
    </row>
    <row r="13819">
      <c r="J13819">
        <f>IFERROR(__xludf.DUMMYFUNCTION("""COMPUTED_VALUE"""),"Winnepeg, Manitoba")</f>
        <v/>
      </c>
      <c r="K13819">
        <f>IFERROR(__xludf.DUMMYFUNCTION("""COMPUTED_VALUE"""),2106.36)</f>
        <v/>
      </c>
    </row>
    <row r="13820">
      <c r="J13820">
        <f>IFERROR(__xludf.DUMMYFUNCTION("""COMPUTED_VALUE"""),"Vancouver, BC, Calgary, AB, Halifax, NS")</f>
        <v/>
      </c>
      <c r="K13820">
        <f>IFERROR(__xludf.DUMMYFUNCTION("""COMPUTED_VALUE"""),2106.31)</f>
        <v/>
      </c>
    </row>
    <row r="13821">
      <c r="J13821">
        <f>IFERROR(__xludf.DUMMYFUNCTION("""COMPUTED_VALUE"""),"Abbotsford, British Columbia Vancouver, British Columbia")</f>
        <v/>
      </c>
      <c r="K13821">
        <f>IFERROR(__xludf.DUMMYFUNCTION("""COMPUTED_VALUE"""),2106)</f>
        <v/>
      </c>
    </row>
    <row r="13822">
      <c r="J13822">
        <f>IFERROR(__xludf.DUMMYFUNCTION("""COMPUTED_VALUE"""),"Cold Lake, Edmonton")</f>
        <v/>
      </c>
      <c r="K13822">
        <f>IFERROR(__xludf.DUMMYFUNCTION("""COMPUTED_VALUE"""),2105.83)</f>
        <v/>
      </c>
    </row>
    <row r="13823">
      <c r="J13823">
        <f>IFERROR(__xludf.DUMMYFUNCTION("""COMPUTED_VALUE"""),"Saint-Paul, Alberta")</f>
        <v/>
      </c>
      <c r="K13823">
        <f>IFERROR(__xludf.DUMMYFUNCTION("""COMPUTED_VALUE"""),2105.47)</f>
        <v/>
      </c>
    </row>
    <row r="13824">
      <c r="J13824">
        <f>IFERROR(__xludf.DUMMYFUNCTION("""COMPUTED_VALUE"""),"Vancouver, British Colombia and Toronto, Ontario")</f>
        <v/>
      </c>
      <c r="K13824">
        <f>IFERROR(__xludf.DUMMYFUNCTION("""COMPUTED_VALUE"""),2105.46)</f>
        <v/>
      </c>
    </row>
    <row r="13825">
      <c r="J13825">
        <f>IFERROR(__xludf.DUMMYFUNCTION("""COMPUTED_VALUE"""),"Vancouver, Colombie-Britannique, Canada")</f>
        <v/>
      </c>
      <c r="K13825">
        <f>IFERROR(__xludf.DUMMYFUNCTION("""COMPUTED_VALUE"""),2104.97)</f>
        <v/>
      </c>
    </row>
    <row r="13826">
      <c r="J13826">
        <f>IFERROR(__xludf.DUMMYFUNCTION("""COMPUTED_VALUE"""),"Alberta, Alberta, Canada")</f>
        <v/>
      </c>
      <c r="K13826">
        <f>IFERROR(__xludf.DUMMYFUNCTION("""COMPUTED_VALUE"""),2104.59)</f>
        <v/>
      </c>
    </row>
    <row r="13827">
      <c r="J13827">
        <f>IFERROR(__xludf.DUMMYFUNCTION("""COMPUTED_VALUE"""),"Kitchener-Waterloo, ON")</f>
        <v/>
      </c>
      <c r="K13827">
        <f>IFERROR(__xludf.DUMMYFUNCTION("""COMPUTED_VALUE"""),2104.3)</f>
        <v/>
      </c>
    </row>
    <row r="13828">
      <c r="J13828">
        <f>IFERROR(__xludf.DUMMYFUNCTION("""COMPUTED_VALUE"""),"Calgary and Ottawa")</f>
        <v/>
      </c>
      <c r="K13828">
        <f>IFERROR(__xludf.DUMMYFUNCTION("""COMPUTED_VALUE"""),2103.93)</f>
        <v/>
      </c>
    </row>
    <row r="13829">
      <c r="J13829">
        <f>IFERROR(__xludf.DUMMYFUNCTION("""COMPUTED_VALUE"""),"Jacksonville, North Carolina")</f>
        <v/>
      </c>
      <c r="K13829">
        <f>IFERROR(__xludf.DUMMYFUNCTION("""COMPUTED_VALUE"""),2103.66)</f>
        <v/>
      </c>
    </row>
    <row r="13830">
      <c r="J13830">
        <f>IFERROR(__xludf.DUMMYFUNCTION("""COMPUTED_VALUE"""),"Guelph, Ont. &amp; Toronto, Ont.")</f>
        <v/>
      </c>
      <c r="K13830">
        <f>IFERROR(__xludf.DUMMYFUNCTION("""COMPUTED_VALUE"""),2103.06)</f>
        <v/>
      </c>
    </row>
    <row r="13831">
      <c r="J13831">
        <f>IFERROR(__xludf.DUMMYFUNCTION("""COMPUTED_VALUE"""),"Québec City, Rimouski and  Matane, Québec")</f>
        <v/>
      </c>
      <c r="K13831">
        <f>IFERROR(__xludf.DUMMYFUNCTION("""COMPUTED_VALUE"""),2102.99)</f>
        <v/>
      </c>
    </row>
    <row r="13832">
      <c r="J13832">
        <f>IFERROR(__xludf.DUMMYFUNCTION("""COMPUTED_VALUE"""),"Fredericton, New Brunswick, Canada; Moncton, New Brunswick")</f>
        <v/>
      </c>
      <c r="K13832">
        <f>IFERROR(__xludf.DUMMYFUNCTION("""COMPUTED_VALUE"""),2102.59)</f>
        <v/>
      </c>
    </row>
    <row r="13833">
      <c r="J13833">
        <f>IFERROR(__xludf.DUMMYFUNCTION("""COMPUTED_VALUE"""),"Winnipeg, Manitoba, Canada Toronto, Ontario, Canada")</f>
        <v/>
      </c>
      <c r="K13833">
        <f>IFERROR(__xludf.DUMMYFUNCTION("""COMPUTED_VALUE"""),2102.23)</f>
        <v/>
      </c>
    </row>
    <row r="13834">
      <c r="J13834">
        <f>IFERROR(__xludf.DUMMYFUNCTION("""COMPUTED_VALUE"""),"Halifax (Nova Scotia), Charlottetown (Prince Edward Island)")</f>
        <v/>
      </c>
      <c r="K13834">
        <f>IFERROR(__xludf.DUMMYFUNCTION("""COMPUTED_VALUE"""),2102)</f>
        <v/>
      </c>
    </row>
    <row r="13835">
      <c r="J13835">
        <f>IFERROR(__xludf.DUMMYFUNCTION("""COMPUTED_VALUE"""),"Halifax, NS Goose Bay, NL")</f>
        <v/>
      </c>
      <c r="K13835">
        <f>IFERROR(__xludf.DUMMYFUNCTION("""COMPUTED_VALUE"""),2101.84)</f>
        <v/>
      </c>
    </row>
    <row r="13836">
      <c r="J13836">
        <f>IFERROR(__xludf.DUMMYFUNCTION("""COMPUTED_VALUE"""),"Fort St John, BC; Vancouver, BC")</f>
        <v/>
      </c>
      <c r="K13836">
        <f>IFERROR(__xludf.DUMMYFUNCTION("""COMPUTED_VALUE"""),2101.6)</f>
        <v/>
      </c>
    </row>
    <row r="13837">
      <c r="J13837">
        <f>IFERROR(__xludf.DUMMYFUNCTION("""COMPUTED_VALUE"""),"Regina, Saskatchewan, and Edmonton, Alberta, Canada")</f>
        <v/>
      </c>
      <c r="K13837">
        <f>IFERROR(__xludf.DUMMYFUNCTION("""COMPUTED_VALUE"""),2101.58)</f>
        <v/>
      </c>
    </row>
    <row r="13838">
      <c r="J13838">
        <f>IFERROR(__xludf.DUMMYFUNCTION("""COMPUTED_VALUE"""),"Ottawa - Edmonton - Vancouver - Ottawa")</f>
        <v/>
      </c>
      <c r="K13838">
        <f>IFERROR(__xludf.DUMMYFUNCTION("""COMPUTED_VALUE"""),2101.47)</f>
        <v/>
      </c>
    </row>
    <row r="13839">
      <c r="J13839">
        <f>IFERROR(__xludf.DUMMYFUNCTION("""COMPUTED_VALUE"""),"Sault Ste-Marie, Ontario and Edmonton, Alberta")</f>
        <v/>
      </c>
      <c r="K13839">
        <f>IFERROR(__xludf.DUMMYFUNCTION("""COMPUTED_VALUE"""),2100.59)</f>
        <v/>
      </c>
    </row>
    <row r="13840">
      <c r="J13840">
        <f>IFERROR(__xludf.DUMMYFUNCTION("""COMPUTED_VALUE"""),"Port-Cartier, Québec, Canada")</f>
        <v/>
      </c>
      <c r="K13840">
        <f>IFERROR(__xludf.DUMMYFUNCTION("""COMPUTED_VALUE"""),2100.52)</f>
        <v/>
      </c>
    </row>
    <row r="13841">
      <c r="J13841">
        <f>IFERROR(__xludf.DUMMYFUNCTION("""COMPUTED_VALUE"""),"Harrow, Ontario, Canada")</f>
        <v/>
      </c>
      <c r="K13841">
        <f>IFERROR(__xludf.DUMMYFUNCTION("""COMPUTED_VALUE"""),2100.48)</f>
        <v/>
      </c>
    </row>
    <row r="13842">
      <c r="J13842">
        <f>IFERROR(__xludf.DUMMYFUNCTION("""COMPUTED_VALUE"""),"Roberval, Montreal and Quebec City, Quebec")</f>
        <v/>
      </c>
      <c r="K13842">
        <f>IFERROR(__xludf.DUMMYFUNCTION("""COMPUTED_VALUE"""),2100.27)</f>
        <v/>
      </c>
    </row>
    <row r="13843">
      <c r="J13843">
        <f>IFERROR(__xludf.DUMMYFUNCTION("""COMPUTED_VALUE"""),"Fredericton, NewBrunswick, Canada")</f>
        <v/>
      </c>
      <c r="K13843">
        <f>IFERROR(__xludf.DUMMYFUNCTION("""COMPUTED_VALUE"""),2100.07)</f>
        <v/>
      </c>
    </row>
    <row r="13844">
      <c r="J13844">
        <f>IFERROR(__xludf.DUMMYFUNCTION("""COMPUTED_VALUE"""),"Montreal, Sherbrooke, Quebec, Canada")</f>
        <v/>
      </c>
      <c r="K13844">
        <f>IFERROR(__xludf.DUMMYFUNCTION("""COMPUTED_VALUE"""),2100)</f>
        <v/>
      </c>
    </row>
    <row r="13845">
      <c r="J13845">
        <f>IFERROR(__xludf.DUMMYFUNCTION("""COMPUTED_VALUE"""),"North Bay, Ontario, Ca")</f>
        <v/>
      </c>
      <c r="K13845">
        <f>IFERROR(__xludf.DUMMYFUNCTION("""COMPUTED_VALUE"""),2099.84)</f>
        <v/>
      </c>
    </row>
    <row r="13846">
      <c r="J13846">
        <f>IFERROR(__xludf.DUMMYFUNCTION("""COMPUTED_VALUE"""),"Winnipeg (Manitoba); Calgary (Alberta) Canada")</f>
        <v/>
      </c>
      <c r="K13846">
        <f>IFERROR(__xludf.DUMMYFUNCTION("""COMPUTED_VALUE"""),2099.8)</f>
        <v/>
      </c>
    </row>
    <row r="13847">
      <c r="J13847">
        <f>IFERROR(__xludf.DUMMYFUNCTION("""COMPUTED_VALUE"""),"Unionville, Ontario, Canada")</f>
        <v/>
      </c>
      <c r="K13847">
        <f>IFERROR(__xludf.DUMMYFUNCTION("""COMPUTED_VALUE"""),2099.74)</f>
        <v/>
      </c>
    </row>
    <row r="13848">
      <c r="J13848">
        <f>IFERROR(__xludf.DUMMYFUNCTION("""COMPUTED_VALUE"""),"St. John's, Newfoundland and Labrador,
Canada")</f>
        <v/>
      </c>
      <c r="K13848">
        <f>IFERROR(__xludf.DUMMYFUNCTION("""COMPUTED_VALUE"""),2099.62)</f>
        <v/>
      </c>
    </row>
    <row r="13849">
      <c r="J13849">
        <f>IFERROR(__xludf.DUMMYFUNCTION("""COMPUTED_VALUE"""),"Guadalajara and Monterrey")</f>
        <v/>
      </c>
      <c r="K13849">
        <f>IFERROR(__xludf.DUMMYFUNCTION("""COMPUTED_VALUE"""),2099.42)</f>
        <v/>
      </c>
    </row>
    <row r="13850">
      <c r="J13850">
        <f>IFERROR(__xludf.DUMMYFUNCTION("""COMPUTED_VALUE"""),"Ottawa, Ontario, Canada; Pembroke, Ontario, Canada; North Bay, Ontario, Canada; Barrie, Ontario, Canada; Orillia, Ontario, Canada; Bracebridge, Ontario, Canada; Parry Sound, Ontario, Canada")</f>
        <v/>
      </c>
      <c r="K13850">
        <f>IFERROR(__xludf.DUMMYFUNCTION("""COMPUTED_VALUE"""),2099.09)</f>
        <v/>
      </c>
    </row>
    <row r="13851">
      <c r="J13851">
        <f>IFERROR(__xludf.DUMMYFUNCTION("""COMPUTED_VALUE"""),"Charlottetown, Prince Edward Island &amp; Dartmouth, Nova Scotia")</f>
        <v/>
      </c>
      <c r="K13851">
        <f>IFERROR(__xludf.DUMMYFUNCTION("""COMPUTED_VALUE"""),2098.75)</f>
        <v/>
      </c>
    </row>
    <row r="13852">
      <c r="J13852">
        <f>IFERROR(__xludf.DUMMYFUNCTION("""COMPUTED_VALUE"""),"Sydney/ Mt White, NSW, Australia")</f>
        <v/>
      </c>
      <c r="K13852">
        <f>IFERROR(__xludf.DUMMYFUNCTION("""COMPUTED_VALUE"""),2098.35)</f>
        <v/>
      </c>
    </row>
    <row r="13853">
      <c r="J13853">
        <f>IFERROR(__xludf.DUMMYFUNCTION("""COMPUTED_VALUE"""),"Orillia, ON")</f>
        <v/>
      </c>
      <c r="K13853">
        <f>IFERROR(__xludf.DUMMYFUNCTION("""COMPUTED_VALUE"""),2098.29)</f>
        <v/>
      </c>
    </row>
    <row r="13854">
      <c r="J13854">
        <f>IFERROR(__xludf.DUMMYFUNCTION("""COMPUTED_VALUE"""),"Vancouver, BC; Kelowna, BC; Nanaimo, BC")</f>
        <v/>
      </c>
      <c r="K13854">
        <f>IFERROR(__xludf.DUMMYFUNCTION("""COMPUTED_VALUE"""),2098.28)</f>
        <v/>
      </c>
    </row>
    <row r="13855">
      <c r="J13855">
        <f>IFERROR(__xludf.DUMMYFUNCTION("""COMPUTED_VALUE"""),"Edmonton (AB) Canada")</f>
        <v/>
      </c>
      <c r="K13855">
        <f>IFERROR(__xludf.DUMMYFUNCTION("""COMPUTED_VALUE"""),2097.87)</f>
        <v/>
      </c>
    </row>
    <row r="13856">
      <c r="J13856">
        <f>IFERROR(__xludf.DUMMYFUNCTION("""COMPUTED_VALUE"""),"Windsor, Ontario, Canada | London, Ontario, Canada")</f>
        <v/>
      </c>
      <c r="K13856">
        <f>IFERROR(__xludf.DUMMYFUNCTION("""COMPUTED_VALUE"""),2097.61)</f>
        <v/>
      </c>
    </row>
    <row r="13857">
      <c r="J13857">
        <f>IFERROR(__xludf.DUMMYFUNCTION("""COMPUTED_VALUE"""),"Chicago, Illinois - Houston, TX")</f>
        <v/>
      </c>
      <c r="K13857">
        <f>IFERROR(__xludf.DUMMYFUNCTION("""COMPUTED_VALUE"""),2097.43)</f>
        <v/>
      </c>
    </row>
    <row r="13858">
      <c r="J13858">
        <f>IFERROR(__xludf.DUMMYFUNCTION("""COMPUTED_VALUE"""),"Louisbourg, Nova Scotia")</f>
        <v/>
      </c>
      <c r="K13858">
        <f>IFERROR(__xludf.DUMMYFUNCTION("""COMPUTED_VALUE"""),2097.4)</f>
        <v/>
      </c>
    </row>
    <row r="13859">
      <c r="J13859">
        <f>IFERROR(__xludf.DUMMYFUNCTION("""COMPUTED_VALUE"""),"Victoria, BC and Saskatoon, SK")</f>
        <v/>
      </c>
      <c r="K13859">
        <f>IFERROR(__xludf.DUMMYFUNCTION("""COMPUTED_VALUE"""),2097.39)</f>
        <v/>
      </c>
    </row>
    <row r="13860">
      <c r="J13860">
        <f>IFERROR(__xludf.DUMMYFUNCTION("""COMPUTED_VALUE"""),"Saskatchewan, CAN")</f>
        <v/>
      </c>
      <c r="K13860">
        <f>IFERROR(__xludf.DUMMYFUNCTION("""COMPUTED_VALUE"""),2095.99)</f>
        <v/>
      </c>
    </row>
    <row r="13861">
      <c r="J13861">
        <f>IFERROR(__xludf.DUMMYFUNCTION("""COMPUTED_VALUE"""),"Winnipeg, MB; Calagary, AB")</f>
        <v/>
      </c>
      <c r="K13861">
        <f>IFERROR(__xludf.DUMMYFUNCTION("""COMPUTED_VALUE"""),2095.88)</f>
        <v/>
      </c>
    </row>
    <row r="13862">
      <c r="J13862">
        <f>IFERROR(__xludf.DUMMYFUNCTION("""COMPUTED_VALUE"""),"Ohio")</f>
        <v/>
      </c>
      <c r="K13862">
        <f>IFERROR(__xludf.DUMMYFUNCTION("""COMPUTED_VALUE"""),2095.66)</f>
        <v/>
      </c>
    </row>
    <row r="13863">
      <c r="J13863">
        <f>IFERROR(__xludf.DUMMYFUNCTION("""COMPUTED_VALUE"""),"Regina (Sasktachewan) Canada")</f>
        <v/>
      </c>
      <c r="K13863">
        <f>IFERROR(__xludf.DUMMYFUNCTION("""COMPUTED_VALUE"""),2095.49)</f>
        <v/>
      </c>
    </row>
    <row r="13864">
      <c r="J13864">
        <f>IFERROR(__xludf.DUMMYFUNCTION("""COMPUTED_VALUE"""),"Fredericton, New Brunswick, CA")</f>
        <v/>
      </c>
      <c r="K13864">
        <f>IFERROR(__xludf.DUMMYFUNCTION("""COMPUTED_VALUE"""),2095.43)</f>
        <v/>
      </c>
    </row>
    <row r="13865">
      <c r="J13865">
        <f>IFERROR(__xludf.DUMMYFUNCTION("""COMPUTED_VALUE"""),"Halifax, Nova Scotia and St. John's, Newfoundland")</f>
        <v/>
      </c>
      <c r="K13865">
        <f>IFERROR(__xludf.DUMMYFUNCTION("""COMPUTED_VALUE"""),2095.37)</f>
        <v/>
      </c>
    </row>
    <row r="13866">
      <c r="J13866">
        <f>IFERROR(__xludf.DUMMYFUNCTION("""COMPUTED_VALUE"""),"Halifax, Nova Scotia and Ingersoll, Ontario, Canada")</f>
        <v/>
      </c>
      <c r="K13866">
        <f>IFERROR(__xludf.DUMMYFUNCTION("""COMPUTED_VALUE"""),2095.34)</f>
        <v/>
      </c>
    </row>
    <row r="13867">
      <c r="J13867">
        <f>IFERROR(__xludf.DUMMYFUNCTION("""COMPUTED_VALUE"""),"Lac Saint-Jean, Quebec, Canada")</f>
        <v/>
      </c>
      <c r="K13867">
        <f>IFERROR(__xludf.DUMMYFUNCTION("""COMPUTED_VALUE"""),2095.04)</f>
        <v/>
      </c>
    </row>
    <row r="13868">
      <c r="J13868">
        <f>IFERROR(__xludf.DUMMYFUNCTION("""COMPUTED_VALUE"""),"Haiti, Port-au-Prince")</f>
        <v/>
      </c>
      <c r="K13868">
        <f>IFERROR(__xludf.DUMMYFUNCTION("""COMPUTED_VALUE"""),2094.83)</f>
        <v/>
      </c>
    </row>
    <row r="13869">
      <c r="J13869">
        <f>IFERROR(__xludf.DUMMYFUNCTION("""COMPUTED_VALUE"""),"Vancouver, British Columbia, Canada
Edmonton, Alberta, Canada")</f>
        <v/>
      </c>
      <c r="K13869">
        <f>IFERROR(__xludf.DUMMYFUNCTION("""COMPUTED_VALUE"""),2094.55)</f>
        <v/>
      </c>
    </row>
    <row r="13870">
      <c r="J13870">
        <f>IFERROR(__xludf.DUMMYFUNCTION("""COMPUTED_VALUE"""),"Halifax, Nova Scotia; St-John's, Newfoundland and Labrador")</f>
        <v/>
      </c>
      <c r="K13870">
        <f>IFERROR(__xludf.DUMMYFUNCTION("""COMPUTED_VALUE"""),2094.46)</f>
        <v/>
      </c>
    </row>
    <row r="13871">
      <c r="J13871">
        <f>IFERROR(__xludf.DUMMYFUNCTION("""COMPUTED_VALUE"""),"Ottawa, Ontario, Canada; Fredericton, New Brunswick, Canada")</f>
        <v/>
      </c>
      <c r="K13871">
        <f>IFERROR(__xludf.DUMMYFUNCTION("""COMPUTED_VALUE"""),2094.41)</f>
        <v/>
      </c>
    </row>
    <row r="13872">
      <c r="J13872">
        <f>IFERROR(__xludf.DUMMYFUNCTION("""COMPUTED_VALUE"""),"Vernon, British Columbia")</f>
        <v/>
      </c>
      <c r="K13872">
        <f>IFERROR(__xludf.DUMMYFUNCTION("""COMPUTED_VALUE"""),2094.03)</f>
        <v/>
      </c>
    </row>
    <row r="13873">
      <c r="J13873">
        <f>IFERROR(__xludf.DUMMYFUNCTION("""COMPUTED_VALUE"""),"Montreal, QC, CA")</f>
        <v/>
      </c>
      <c r="K13873">
        <f>IFERROR(__xludf.DUMMYFUNCTION("""COMPUTED_VALUE"""),2093.31)</f>
        <v/>
      </c>
    </row>
    <row r="13874">
      <c r="J13874">
        <f>IFERROR(__xludf.DUMMYFUNCTION("""COMPUTED_VALUE"""),"Halifax, NS
Gander, NL
St-John's, NL")</f>
        <v/>
      </c>
      <c r="K13874">
        <f>IFERROR(__xludf.DUMMYFUNCTION("""COMPUTED_VALUE"""),2093.24)</f>
        <v/>
      </c>
    </row>
    <row r="13875">
      <c r="J13875">
        <f>IFERROR(__xludf.DUMMYFUNCTION("""COMPUTED_VALUE"""),"Ottawa and Florida")</f>
        <v/>
      </c>
      <c r="K13875">
        <f>IFERROR(__xludf.DUMMYFUNCTION("""COMPUTED_VALUE"""),2092.98)</f>
        <v/>
      </c>
    </row>
    <row r="13876">
      <c r="J13876">
        <f>IFERROR(__xludf.DUMMYFUNCTION("""COMPUTED_VALUE"""),"Trois‑Rivières, Quebec, Canada")</f>
        <v/>
      </c>
      <c r="K13876">
        <f>IFERROR(__xludf.DUMMYFUNCTION("""COMPUTED_VALUE"""),2092.59)</f>
        <v/>
      </c>
    </row>
    <row r="13877">
      <c r="J13877">
        <f>IFERROR(__xludf.DUMMYFUNCTION("""COMPUTED_VALUE"""),"Inuvik, Northwest Territories, Canada; Yellowknife, Northwest Territories, Canada")</f>
        <v/>
      </c>
      <c r="K13877">
        <f>IFERROR(__xludf.DUMMYFUNCTION("""COMPUTED_VALUE"""),2091.87)</f>
        <v/>
      </c>
    </row>
    <row r="13878">
      <c r="J13878">
        <f>IFERROR(__xludf.DUMMYFUNCTION("""COMPUTED_VALUE"""),"Ottawa, Ontario/Moncton, New Brunswick")</f>
        <v/>
      </c>
      <c r="K13878">
        <f>IFERROR(__xludf.DUMMYFUNCTION("""COMPUTED_VALUE"""),2091.7)</f>
        <v/>
      </c>
    </row>
    <row r="13879">
      <c r="J13879">
        <f>IFERROR(__xludf.DUMMYFUNCTION("""COMPUTED_VALUE"""),"Toronto, Ontario; Sudbury, Ontario")</f>
        <v/>
      </c>
      <c r="K13879">
        <f>IFERROR(__xludf.DUMMYFUNCTION("""COMPUTED_VALUE"""),2090.95)</f>
        <v/>
      </c>
    </row>
    <row r="13880">
      <c r="J13880">
        <f>IFERROR(__xludf.DUMMYFUNCTION("""COMPUTED_VALUE"""),"New York, Laguardia")</f>
        <v/>
      </c>
      <c r="K13880">
        <f>IFERROR(__xludf.DUMMYFUNCTION("""COMPUTED_VALUE"""),2090.73)</f>
        <v/>
      </c>
    </row>
    <row r="13881">
      <c r="J13881">
        <f>IFERROR(__xludf.DUMMYFUNCTION("""COMPUTED_VALUE"""),"Gagetown, New  Brunswick, Canada")</f>
        <v/>
      </c>
      <c r="K13881">
        <f>IFERROR(__xludf.DUMMYFUNCTION("""COMPUTED_VALUE"""),2090.28)</f>
        <v/>
      </c>
    </row>
    <row r="13882">
      <c r="J13882">
        <f>IFERROR(__xludf.DUMMYFUNCTION("""COMPUTED_VALUE"""),"Toronto - Washington - Ottawa")</f>
        <v/>
      </c>
      <c r="K13882">
        <f>IFERROR(__xludf.DUMMYFUNCTION("""COMPUTED_VALUE"""),2090.23)</f>
        <v/>
      </c>
    </row>
    <row r="13883">
      <c r="J13883">
        <f>IFERROR(__xludf.DUMMYFUNCTION("""COMPUTED_VALUE"""),"Victoria, Comox")</f>
        <v/>
      </c>
      <c r="K13883">
        <f>IFERROR(__xludf.DUMMYFUNCTION("""COMPUTED_VALUE"""),2089.91)</f>
        <v/>
      </c>
    </row>
    <row r="13884">
      <c r="J13884">
        <f>IFERROR(__xludf.DUMMYFUNCTION("""COMPUTED_VALUE"""),"Calgary, Alberta; Suffield, Alberta")</f>
        <v/>
      </c>
      <c r="K13884">
        <f>IFERROR(__xludf.DUMMYFUNCTION("""COMPUTED_VALUE"""),2089.79)</f>
        <v/>
      </c>
    </row>
    <row r="13885">
      <c r="J13885">
        <f>IFERROR(__xludf.DUMMYFUNCTION("""COMPUTED_VALUE"""),"Regina, Saskatchewan &amp; Winnipeg, Manitoba")</f>
        <v/>
      </c>
      <c r="K13885">
        <f>IFERROR(__xludf.DUMMYFUNCTION("""COMPUTED_VALUE"""),2089.71)</f>
        <v/>
      </c>
    </row>
    <row r="13886">
      <c r="J13886">
        <f>IFERROR(__xludf.DUMMYFUNCTION("""COMPUTED_VALUE"""),"Rimouski (Québec) and Toronto (Ontario) Canada")</f>
        <v/>
      </c>
      <c r="K13886">
        <f>IFERROR(__xludf.DUMMYFUNCTION("""COMPUTED_VALUE"""),2089.53)</f>
        <v/>
      </c>
    </row>
    <row r="13887">
      <c r="J13887">
        <f>IFERROR(__xludf.DUMMYFUNCTION("""COMPUTED_VALUE"""),"Toronto-Vancouver")</f>
        <v/>
      </c>
      <c r="K13887">
        <f>IFERROR(__xludf.DUMMYFUNCTION("""COMPUTED_VALUE"""),2089.15)</f>
        <v/>
      </c>
    </row>
    <row r="13888">
      <c r="J13888">
        <f>IFERROR(__xludf.DUMMYFUNCTION("""COMPUTED_VALUE"""),"Dandong and Shanghai, PRC")</f>
        <v/>
      </c>
      <c r="K13888">
        <f>IFERROR(__xludf.DUMMYFUNCTION("""COMPUTED_VALUE"""),2089.12)</f>
        <v/>
      </c>
    </row>
    <row r="13889">
      <c r="J13889">
        <f>IFERROR(__xludf.DUMMYFUNCTION("""COMPUTED_VALUE"""),"Rivière-du-Loup, Quebec, Canada")</f>
        <v/>
      </c>
      <c r="K13889">
        <f>IFERROR(__xludf.DUMMYFUNCTION("""COMPUTED_VALUE"""),2089.08)</f>
        <v/>
      </c>
    </row>
    <row r="13890">
      <c r="J13890">
        <f>IFERROR(__xludf.DUMMYFUNCTION("""COMPUTED_VALUE"""),"Corner Brook, Newfoundland and Labrador, Canada; St. John's, Newfoundland and Labrador, Canada")</f>
        <v/>
      </c>
      <c r="K13890">
        <f>IFERROR(__xludf.DUMMYFUNCTION("""COMPUTED_VALUE"""),2089.05)</f>
        <v/>
      </c>
    </row>
    <row r="13891">
      <c r="J13891">
        <f>IFERROR(__xludf.DUMMYFUNCTION("""COMPUTED_VALUE"""),"Corner Brook NFLD, St John's NFLD")</f>
        <v/>
      </c>
      <c r="K13891">
        <f>IFERROR(__xludf.DUMMYFUNCTION("""COMPUTED_VALUE"""),2088.6)</f>
        <v/>
      </c>
    </row>
    <row r="13892">
      <c r="J13892">
        <f>IFERROR(__xludf.DUMMYFUNCTION("""COMPUTED_VALUE"""),"Peterborough, Canada")</f>
        <v/>
      </c>
      <c r="K13892">
        <f>IFERROR(__xludf.DUMMYFUNCTION("""COMPUTED_VALUE"""),2088.4)</f>
        <v/>
      </c>
    </row>
    <row r="13893">
      <c r="J13893">
        <f>IFERROR(__xludf.DUMMYFUNCTION("""COMPUTED_VALUE"""),"Toronto, On, Waterloo, On")</f>
        <v/>
      </c>
      <c r="K13893">
        <f>IFERROR(__xludf.DUMMYFUNCTION("""COMPUTED_VALUE"""),2088.38)</f>
        <v/>
      </c>
    </row>
    <row r="13894">
      <c r="J13894">
        <f>IFERROR(__xludf.DUMMYFUNCTION("""COMPUTED_VALUE"""),"Vancouver, British Columbia, Canada  and Ottawa, Ontario, Canada")</f>
        <v/>
      </c>
      <c r="K13894">
        <f>IFERROR(__xludf.DUMMYFUNCTION("""COMPUTED_VALUE"""),2088.12)</f>
        <v/>
      </c>
    </row>
    <row r="13895">
      <c r="J13895">
        <f>IFERROR(__xludf.DUMMYFUNCTION("""COMPUTED_VALUE"""),"Washington, United States. / Winnipeg, Manitoba")</f>
        <v/>
      </c>
      <c r="K13895">
        <f>IFERROR(__xludf.DUMMYFUNCTION("""COMPUTED_VALUE"""),2087.74)</f>
        <v/>
      </c>
    </row>
    <row r="13896">
      <c r="J13896">
        <f>IFERROR(__xludf.DUMMYFUNCTION("""COMPUTED_VALUE"""),"Honolulu, HI, USA")</f>
        <v/>
      </c>
      <c r="K13896">
        <f>IFERROR(__xludf.DUMMYFUNCTION("""COMPUTED_VALUE"""),2087.5)</f>
        <v/>
      </c>
    </row>
    <row r="13897">
      <c r="J13897">
        <f>IFERROR(__xludf.DUMMYFUNCTION("""COMPUTED_VALUE"""),"Windsor, United States")</f>
        <v/>
      </c>
      <c r="K13897">
        <f>IFERROR(__xludf.DUMMYFUNCTION("""COMPUTED_VALUE"""),2086.85)</f>
        <v/>
      </c>
    </row>
    <row r="13898">
      <c r="J13898">
        <f>IFERROR(__xludf.DUMMYFUNCTION("""COMPUTED_VALUE"""),"New York, 
United States of America")</f>
        <v/>
      </c>
      <c r="K13898">
        <f>IFERROR(__xludf.DUMMYFUNCTION("""COMPUTED_VALUE"""),2086.27)</f>
        <v/>
      </c>
    </row>
    <row r="13899">
      <c r="J13899">
        <f>IFERROR(__xludf.DUMMYFUNCTION("""COMPUTED_VALUE"""),"Oshawa")</f>
        <v/>
      </c>
      <c r="K13899">
        <f>IFERROR(__xludf.DUMMYFUNCTION("""COMPUTED_VALUE"""),2085.95)</f>
        <v/>
      </c>
    </row>
    <row r="13900">
      <c r="J13900">
        <f>IFERROR(__xludf.DUMMYFUNCTION("""COMPUTED_VALUE"""),"Roberval, Saguenay, Quebec City and Montreal, Quebec")</f>
        <v/>
      </c>
      <c r="K13900">
        <f>IFERROR(__xludf.DUMMYFUNCTION("""COMPUTED_VALUE"""),2085.83)</f>
        <v/>
      </c>
    </row>
    <row r="13901">
      <c r="J13901">
        <f>IFERROR(__xludf.DUMMYFUNCTION("""COMPUTED_VALUE"""),"Toronto, Toronto, Canada")</f>
        <v/>
      </c>
      <c r="K13901">
        <f>IFERROR(__xludf.DUMMYFUNCTION("""COMPUTED_VALUE"""),2085.69)</f>
        <v/>
      </c>
    </row>
    <row r="13902">
      <c r="J13902">
        <f>IFERROR(__xludf.DUMMYFUNCTION("""COMPUTED_VALUE"""),"Sussex, New Brunswick, Canada / Moncton, New Brunswick, Canada / Shediac, New Brunswick, Canada")</f>
        <v/>
      </c>
      <c r="K13902">
        <f>IFERROR(__xludf.DUMMYFUNCTION("""COMPUTED_VALUE"""),2085.65)</f>
        <v/>
      </c>
    </row>
    <row r="13903">
      <c r="J13903">
        <f>IFERROR(__xludf.DUMMYFUNCTION("""COMPUTED_VALUE"""),"Halifax, Nova Scotia, Sydney, Nova Scotia and Port aux Basques, Newfoundland")</f>
        <v/>
      </c>
      <c r="K13903">
        <f>IFERROR(__xludf.DUMMYFUNCTION("""COMPUTED_VALUE"""),2085.48)</f>
        <v/>
      </c>
    </row>
    <row r="13904">
      <c r="J13904">
        <f>IFERROR(__xludf.DUMMYFUNCTION("""COMPUTED_VALUE"""),"National Capital Region")</f>
        <v/>
      </c>
      <c r="K13904">
        <f>IFERROR(__xludf.DUMMYFUNCTION("""COMPUTED_VALUE"""),2085.37)</f>
        <v/>
      </c>
    </row>
    <row r="13905">
      <c r="J13905">
        <f>IFERROR(__xludf.DUMMYFUNCTION("""COMPUTED_VALUE"""),"St. Johns, N.L.")</f>
        <v/>
      </c>
      <c r="K13905">
        <f>IFERROR(__xludf.DUMMYFUNCTION("""COMPUTED_VALUE"""),2085.09)</f>
        <v/>
      </c>
    </row>
    <row r="13906">
      <c r="J13906">
        <f>IFERROR(__xludf.DUMMYFUNCTION("""COMPUTED_VALUE"""),"CFB Edmonton")</f>
        <v/>
      </c>
      <c r="K13906">
        <f>IFERROR(__xludf.DUMMYFUNCTION("""COMPUTED_VALUE"""),2085)</f>
        <v/>
      </c>
    </row>
    <row r="13907">
      <c r="J13907">
        <f>IFERROR(__xludf.DUMMYFUNCTION("""COMPUTED_VALUE"""),"Halifax - Gagetown")</f>
        <v/>
      </c>
      <c r="K13907">
        <f>IFERROR(__xludf.DUMMYFUNCTION("""COMPUTED_VALUE"""),2084.46)</f>
        <v/>
      </c>
    </row>
    <row r="13908">
      <c r="J13908">
        <f>IFERROR(__xludf.DUMMYFUNCTION("""COMPUTED_VALUE"""),"Varennes, Quebec, Canada")</f>
        <v/>
      </c>
      <c r="K13908">
        <f>IFERROR(__xludf.DUMMYFUNCTION("""COMPUTED_VALUE"""),2083.66)</f>
        <v/>
      </c>
    </row>
    <row r="13909">
      <c r="J13909">
        <f>IFERROR(__xludf.DUMMYFUNCTION("""COMPUTED_VALUE"""),"Toronto, Ontario - Banff, Alberta")</f>
        <v/>
      </c>
      <c r="K13909">
        <f>IFERROR(__xludf.DUMMYFUNCTION("""COMPUTED_VALUE"""),2083.1)</f>
        <v/>
      </c>
    </row>
    <row r="13910">
      <c r="J13910">
        <f>IFERROR(__xludf.DUMMYFUNCTION("""COMPUTED_VALUE"""),"Halilfax, Nova Scotia")</f>
        <v/>
      </c>
      <c r="K13910">
        <f>IFERROR(__xludf.DUMMYFUNCTION("""COMPUTED_VALUE"""),2082.64)</f>
        <v/>
      </c>
    </row>
    <row r="13911">
      <c r="J13911">
        <f>IFERROR(__xludf.DUMMYFUNCTION("""COMPUTED_VALUE"""),"OTTAWA, TORONTO, CALGARY, OTTAWA")</f>
        <v/>
      </c>
      <c r="K13911">
        <f>IFERROR(__xludf.DUMMYFUNCTION("""COMPUTED_VALUE"""),2082.64)</f>
        <v/>
      </c>
    </row>
    <row r="13912">
      <c r="J13912">
        <f>IFERROR(__xludf.DUMMYFUNCTION("""COMPUTED_VALUE"""),"EDMONTON, AB - OTTAWA, ON")</f>
        <v/>
      </c>
      <c r="K13912">
        <f>IFERROR(__xludf.DUMMYFUNCTION("""COMPUTED_VALUE"""),2082.34)</f>
        <v/>
      </c>
    </row>
    <row r="13913">
      <c r="J13913">
        <f>IFERROR(__xludf.DUMMYFUNCTION("""COMPUTED_VALUE"""),"Halifax, NS and Montreal QC")</f>
        <v/>
      </c>
      <c r="K13913">
        <f>IFERROR(__xludf.DUMMYFUNCTION("""COMPUTED_VALUE"""),2081.83)</f>
        <v/>
      </c>
    </row>
    <row r="13914">
      <c r="J13914">
        <f>IFERROR(__xludf.DUMMYFUNCTION("""COMPUTED_VALUE"""),"Vancouver, British Columbia, Regina, Saskatchewan")</f>
        <v/>
      </c>
      <c r="K13914">
        <f>IFERROR(__xludf.DUMMYFUNCTION("""COMPUTED_VALUE"""),2080.95)</f>
        <v/>
      </c>
    </row>
    <row r="13915">
      <c r="J13915">
        <f>IFERROR(__xludf.DUMMYFUNCTION("""COMPUTED_VALUE"""),"Victoria and Fort St. John, British Columbia")</f>
        <v/>
      </c>
      <c r="K13915">
        <f>IFERROR(__xludf.DUMMYFUNCTION("""COMPUTED_VALUE"""),2080.81)</f>
        <v/>
      </c>
    </row>
    <row r="13916">
      <c r="J13916">
        <f>IFERROR(__xludf.DUMMYFUNCTION("""COMPUTED_VALUE"""),"TORONTO")</f>
        <v/>
      </c>
      <c r="K13916">
        <f>IFERROR(__xludf.DUMMYFUNCTION("""COMPUTED_VALUE"""),2080.44)</f>
        <v/>
      </c>
    </row>
    <row r="13917">
      <c r="J13917">
        <f>IFERROR(__xludf.DUMMYFUNCTION("""COMPUTED_VALUE"""),"Vancouver, British Columbia  Agassiz, British Columbia")</f>
        <v/>
      </c>
      <c r="K13917">
        <f>IFERROR(__xludf.DUMMYFUNCTION("""COMPUTED_VALUE"""),2080.04)</f>
        <v/>
      </c>
    </row>
    <row r="13918">
      <c r="J13918">
        <f>IFERROR(__xludf.DUMMYFUNCTION("""COMPUTED_VALUE"""),"Newmarket, ON / Vaughan, ON
/ Cambridge, ON")</f>
        <v/>
      </c>
      <c r="K13918">
        <f>IFERROR(__xludf.DUMMYFUNCTION("""COMPUTED_VALUE"""),2079.97)</f>
        <v/>
      </c>
    </row>
    <row r="13919">
      <c r="J13919">
        <f>IFERROR(__xludf.DUMMYFUNCTION("""COMPUTED_VALUE"""),"Winnipeg, MB - Saskatoon, SK")</f>
        <v/>
      </c>
      <c r="K13919">
        <f>IFERROR(__xludf.DUMMYFUNCTION("""COMPUTED_VALUE"""),2079.73)</f>
        <v/>
      </c>
    </row>
    <row r="13920">
      <c r="J13920">
        <f>IFERROR(__xludf.DUMMYFUNCTION("""COMPUTED_VALUE"""),"Waskesiu, Saskatchewan, Canada")</f>
        <v/>
      </c>
      <c r="K13920">
        <f>IFERROR(__xludf.DUMMYFUNCTION("""COMPUTED_VALUE"""),2079.15)</f>
        <v/>
      </c>
    </row>
    <row r="13921">
      <c r="J13921">
        <f>IFERROR(__xludf.DUMMYFUNCTION("""COMPUTED_VALUE"""),"Nanaimo, British Colombia, Canada")</f>
        <v/>
      </c>
      <c r="K13921">
        <f>IFERROR(__xludf.DUMMYFUNCTION("""COMPUTED_VALUE"""),2079.12)</f>
        <v/>
      </c>
    </row>
    <row r="13922">
      <c r="J13922">
        <f>IFERROR(__xludf.DUMMYFUNCTION("""COMPUTED_VALUE"""),"Ottawa, Hamilton, Waterloo and Mississauga, Ontario")</f>
        <v/>
      </c>
      <c r="K13922">
        <f>IFERROR(__xludf.DUMMYFUNCTION("""COMPUTED_VALUE"""),2079.09)</f>
        <v/>
      </c>
    </row>
    <row r="13923">
      <c r="J13923">
        <f>IFERROR(__xludf.DUMMYFUNCTION("""COMPUTED_VALUE"""),"Toronto, Ontario, Canada; Edmonton, Alberta, Canada; Calgary, Alberta, Canada")</f>
        <v/>
      </c>
      <c r="K13923">
        <f>IFERROR(__xludf.DUMMYFUNCTION("""COMPUTED_VALUE"""),2078.98)</f>
        <v/>
      </c>
    </row>
    <row r="13924">
      <c r="J13924">
        <f>IFERROR(__xludf.DUMMYFUNCTION("""COMPUTED_VALUE"""),"St-John's, New Found Land, Canada")</f>
        <v/>
      </c>
      <c r="K13924">
        <f>IFERROR(__xludf.DUMMYFUNCTION("""COMPUTED_VALUE"""),2078.82)</f>
        <v/>
      </c>
    </row>
    <row r="13925">
      <c r="J13925">
        <f>IFERROR(__xludf.DUMMYFUNCTION("""COMPUTED_VALUE"""),"St-John, New Brunswick")</f>
        <v/>
      </c>
      <c r="K13925">
        <f>IFERROR(__xludf.DUMMYFUNCTION("""COMPUTED_VALUE"""),2078.82)</f>
        <v/>
      </c>
    </row>
    <row r="13926">
      <c r="J13926">
        <f>IFERROR(__xludf.DUMMYFUNCTION("""COMPUTED_VALUE"""),"Niagara-on-the-Lake, ON, Canada")</f>
        <v/>
      </c>
      <c r="K13926">
        <f>IFERROR(__xludf.DUMMYFUNCTION("""COMPUTED_VALUE"""),2078.81)</f>
        <v/>
      </c>
    </row>
    <row r="13927">
      <c r="J13927">
        <f>IFERROR(__xludf.DUMMYFUNCTION("""COMPUTED_VALUE"""),"Halifax, Nova Scotia, Canada; Antigonish, Nova Scotia, Canada")</f>
        <v/>
      </c>
      <c r="K13927">
        <f>IFERROR(__xludf.DUMMYFUNCTION("""COMPUTED_VALUE"""),2078.66)</f>
        <v/>
      </c>
    </row>
    <row r="13928">
      <c r="J13928">
        <f>IFERROR(__xludf.DUMMYFUNCTION("""COMPUTED_VALUE"""),"New Brunswick / Nova Scotia")</f>
        <v/>
      </c>
      <c r="K13928">
        <f>IFERROR(__xludf.DUMMYFUNCTION("""COMPUTED_VALUE"""),2077.67)</f>
        <v/>
      </c>
    </row>
    <row r="13929">
      <c r="J13929">
        <f>IFERROR(__xludf.DUMMYFUNCTION("""COMPUTED_VALUE"""),"Regina, Saskatchewan, Canada; Halifax, Nova Scotia, Canada; Fredericton, New Brunswick, Canada")</f>
        <v/>
      </c>
      <c r="K13929">
        <f>IFERROR(__xludf.DUMMYFUNCTION("""COMPUTED_VALUE"""),2077.65)</f>
        <v/>
      </c>
    </row>
    <row r="13930">
      <c r="J13930">
        <f>IFERROR(__xludf.DUMMYFUNCTION("""COMPUTED_VALUE"""),"Ottawa and Calabogie, ON and Calgary, AB")</f>
        <v/>
      </c>
      <c r="K13930">
        <f>IFERROR(__xludf.DUMMYFUNCTION("""COMPUTED_VALUE"""),2077.63)</f>
        <v/>
      </c>
    </row>
    <row r="13931">
      <c r="J13931">
        <f>IFERROR(__xludf.DUMMYFUNCTION("""COMPUTED_VALUE"""),"Washington, DC-United-States")</f>
        <v/>
      </c>
      <c r="K13931">
        <f>IFERROR(__xludf.DUMMYFUNCTION("""COMPUTED_VALUE"""),2077.32)</f>
        <v/>
      </c>
    </row>
    <row r="13932">
      <c r="J13932">
        <f>IFERROR(__xludf.DUMMYFUNCTION("""COMPUTED_VALUE"""),"Calgary - St. John's - Toronto - Ottawa")</f>
        <v/>
      </c>
      <c r="K13932">
        <f>IFERROR(__xludf.DUMMYFUNCTION("""COMPUTED_VALUE"""),2077.19)</f>
        <v/>
      </c>
    </row>
    <row r="13933">
      <c r="J13933">
        <f>IFERROR(__xludf.DUMMYFUNCTION("""COMPUTED_VALUE"""),"St-Catherines, Ontario")</f>
        <v/>
      </c>
      <c r="K13933">
        <f>IFERROR(__xludf.DUMMYFUNCTION("""COMPUTED_VALUE"""),2077.06)</f>
        <v/>
      </c>
    </row>
    <row r="13934">
      <c r="J13934">
        <f>IFERROR(__xludf.DUMMYFUNCTION("""COMPUTED_VALUE"""),"Halifax, Nova Scotia, Canada 
Montreal, Quebec Canada")</f>
        <v/>
      </c>
      <c r="K13934">
        <f>IFERROR(__xludf.DUMMYFUNCTION("""COMPUTED_VALUE"""),2076.42)</f>
        <v/>
      </c>
    </row>
    <row r="13935">
      <c r="J13935">
        <f>IFERROR(__xludf.DUMMYFUNCTION("""COMPUTED_VALUE"""),"New Orleans, Louisina, USA")</f>
        <v/>
      </c>
      <c r="K13935">
        <f>IFERROR(__xludf.DUMMYFUNCTION("""COMPUTED_VALUE"""),2076.16)</f>
        <v/>
      </c>
    </row>
    <row r="13936">
      <c r="J13936">
        <f>IFERROR(__xludf.DUMMYFUNCTION("""COMPUTED_VALUE"""),"Yellowknife, Northwest  Territories")</f>
        <v/>
      </c>
      <c r="K13936">
        <f>IFERROR(__xludf.DUMMYFUNCTION("""COMPUTED_VALUE"""),2076.09)</f>
        <v/>
      </c>
    </row>
    <row r="13937">
      <c r="J13937">
        <f>IFERROR(__xludf.DUMMYFUNCTION("""COMPUTED_VALUE"""),"Saskatoon, Saskatchewan
Canada")</f>
        <v/>
      </c>
      <c r="K13937">
        <f>IFERROR(__xludf.DUMMYFUNCTION("""COMPUTED_VALUE"""),2076.06)</f>
        <v/>
      </c>
    </row>
    <row r="13938">
      <c r="J13938">
        <f>IFERROR(__xludf.DUMMYFUNCTION("""COMPUTED_VALUE"""),"Montréal, Quebec, Canada; Bathurst, New Brunswick, Canada; Miramichi, New Brunswick, Canada")</f>
        <v/>
      </c>
      <c r="K13938">
        <f>IFERROR(__xludf.DUMMYFUNCTION("""COMPUTED_VALUE"""),2074.94)</f>
        <v/>
      </c>
    </row>
    <row r="13939">
      <c r="J13939">
        <f>IFERROR(__xludf.DUMMYFUNCTION("""COMPUTED_VALUE"""),"Dorchester Penitentary inMoncton, NB")</f>
        <v/>
      </c>
      <c r="K13939">
        <f>IFERROR(__xludf.DUMMYFUNCTION("""COMPUTED_VALUE"""),2074.56)</f>
        <v/>
      </c>
    </row>
    <row r="13940">
      <c r="J13940">
        <f>IFERROR(__xludf.DUMMYFUNCTION("""COMPUTED_VALUE"""),"Saskatoon, SK Abottsford, BC Vancouver, BC")</f>
        <v/>
      </c>
      <c r="K13940">
        <f>IFERROR(__xludf.DUMMYFUNCTION("""COMPUTED_VALUE"""),2074.52)</f>
        <v/>
      </c>
    </row>
    <row r="13941">
      <c r="J13941">
        <f>IFERROR(__xludf.DUMMYFUNCTION("""COMPUTED_VALUE"""),"Edmonton, Alberta , Canada")</f>
        <v/>
      </c>
      <c r="K13941">
        <f>IFERROR(__xludf.DUMMYFUNCTION("""COMPUTED_VALUE"""),2074.26)</f>
        <v/>
      </c>
    </row>
    <row r="13942">
      <c r="J13942">
        <f>IFERROR(__xludf.DUMMYFUNCTION("""COMPUTED_VALUE"""),"Saint John, NB; Halifax, NS &amp; Ottawa")</f>
        <v/>
      </c>
      <c r="K13942">
        <f>IFERROR(__xludf.DUMMYFUNCTION("""COMPUTED_VALUE"""),2073.25)</f>
        <v/>
      </c>
    </row>
    <row r="13943">
      <c r="J13943">
        <f>IFERROR(__xludf.DUMMYFUNCTION("""COMPUTED_VALUE"""),"Calgary, Alberta, Canada/ Edmonton, Alberta, Canada")</f>
        <v/>
      </c>
      <c r="K13943">
        <f>IFERROR(__xludf.DUMMYFUNCTION("""COMPUTED_VALUE"""),2073.11)</f>
        <v/>
      </c>
    </row>
    <row r="13944">
      <c r="J13944">
        <f>IFERROR(__xludf.DUMMYFUNCTION("""COMPUTED_VALUE"""),"Vancouver  &amp; Prince George, BC")</f>
        <v/>
      </c>
      <c r="K13944">
        <f>IFERROR(__xludf.DUMMYFUNCTION("""COMPUTED_VALUE"""),2072.88)</f>
        <v/>
      </c>
    </row>
    <row r="13945">
      <c r="J13945">
        <f>IFERROR(__xludf.DUMMYFUNCTION("""COMPUTED_VALUE"""),"Gander, Newfoundland and Labrador, Canada; Ottawa, Ontario, Canada")</f>
        <v/>
      </c>
      <c r="K13945">
        <f>IFERROR(__xludf.DUMMYFUNCTION("""COMPUTED_VALUE"""),2072.74)</f>
        <v/>
      </c>
    </row>
    <row r="13946">
      <c r="J13946">
        <f>IFERROR(__xludf.DUMMYFUNCTION("""COMPUTED_VALUE"""),"Szczecin, Poland")</f>
        <v/>
      </c>
      <c r="K13946">
        <f>IFERROR(__xludf.DUMMYFUNCTION("""COMPUTED_VALUE"""),2071.72)</f>
        <v/>
      </c>
    </row>
    <row r="13947">
      <c r="J13947">
        <f>IFERROR(__xludf.DUMMYFUNCTION("""COMPUTED_VALUE"""),"Halifax, Nova Scotia, Canada; Regina, Saskatchewan, Canada")</f>
        <v/>
      </c>
      <c r="K13947">
        <f>IFERROR(__xludf.DUMMYFUNCTION("""COMPUTED_VALUE"""),2071.51)</f>
        <v/>
      </c>
    </row>
    <row r="13948">
      <c r="J13948">
        <f>IFERROR(__xludf.DUMMYFUNCTION("""COMPUTED_VALUE"""),"St-Hyacinthe, Quebec")</f>
        <v/>
      </c>
      <c r="K13948">
        <f>IFERROR(__xludf.DUMMYFUNCTION("""COMPUTED_VALUE"""),2071.50999999999)</f>
        <v/>
      </c>
    </row>
    <row r="13949">
      <c r="J13949">
        <f>IFERROR(__xludf.DUMMYFUNCTION("""COMPUTED_VALUE"""),"Moncton, NB - Montreal, QC / Montreal, QC - Ottawa, ON / Ottawa, ON - Montreal, QC / Montreal, QC - Ottawa, ON / Ottawa, ON - Moncton, NB")</f>
        <v/>
      </c>
      <c r="K13949">
        <f>IFERROR(__xludf.DUMMYFUNCTION("""COMPUTED_VALUE"""),2070.77)</f>
        <v/>
      </c>
    </row>
    <row r="13950">
      <c r="J13950">
        <f>IFERROR(__xludf.DUMMYFUNCTION("""COMPUTED_VALUE"""),"Vancouver/Surrey, BC")</f>
        <v/>
      </c>
      <c r="K13950">
        <f>IFERROR(__xludf.DUMMYFUNCTION("""COMPUTED_VALUE"""),2070.16)</f>
        <v/>
      </c>
    </row>
    <row r="13951">
      <c r="J13951">
        <f>IFERROR(__xludf.DUMMYFUNCTION("""COMPUTED_VALUE"""),"Saskatchewan, Saskatoon, Canada")</f>
        <v/>
      </c>
      <c r="K13951">
        <f>IFERROR(__xludf.DUMMYFUNCTION("""COMPUTED_VALUE"""),2069.78)</f>
        <v/>
      </c>
    </row>
    <row r="13952">
      <c r="J13952">
        <f>IFERROR(__xludf.DUMMYFUNCTION("""COMPUTED_VALUE"""),"Dulles, VA, USA")</f>
        <v/>
      </c>
      <c r="K13952">
        <f>IFERROR(__xludf.DUMMYFUNCTION("""COMPUTED_VALUE"""),2069.76)</f>
        <v/>
      </c>
    </row>
    <row r="13953">
      <c r="J13953">
        <f>IFERROR(__xludf.DUMMYFUNCTION("""COMPUTED_VALUE"""),"Kingston, Ontario / Toronto, Ontario, Canada")</f>
        <v/>
      </c>
      <c r="K13953">
        <f>IFERROR(__xludf.DUMMYFUNCTION("""COMPUTED_VALUE"""),2069.72)</f>
        <v/>
      </c>
    </row>
    <row r="13954">
      <c r="J13954">
        <f>IFERROR(__xludf.DUMMYFUNCTION("""COMPUTED_VALUE"""),"Nanaimo; Vancouver, British Columbia, Canada")</f>
        <v/>
      </c>
      <c r="K13954">
        <f>IFERROR(__xludf.DUMMYFUNCTION("""COMPUTED_VALUE"""),2069.52)</f>
        <v/>
      </c>
    </row>
    <row r="13955">
      <c r="J13955">
        <f>IFERROR(__xludf.DUMMYFUNCTION("""COMPUTED_VALUE"""),"Banff, Calgary - Montreal, Quebec")</f>
        <v/>
      </c>
      <c r="K13955">
        <f>IFERROR(__xludf.DUMMYFUNCTION("""COMPUTED_VALUE"""),2069.48)</f>
        <v/>
      </c>
    </row>
    <row r="13956">
      <c r="J13956">
        <f>IFERROR(__xludf.DUMMYFUNCTION("""COMPUTED_VALUE"""),"Winnipeg, Manitoba / Regina, Saskatchewan , Canada")</f>
        <v/>
      </c>
      <c r="K13956">
        <f>IFERROR(__xludf.DUMMYFUNCTION("""COMPUTED_VALUE"""),2069.4)</f>
        <v/>
      </c>
    </row>
    <row r="13957">
      <c r="J13957">
        <f>IFERROR(__xludf.DUMMYFUNCTION("""COMPUTED_VALUE"""),"Guelph, Ontario, Canada; St. Catharines, Ontario, Canada")</f>
        <v/>
      </c>
      <c r="K13957">
        <f>IFERROR(__xludf.DUMMYFUNCTION("""COMPUTED_VALUE"""),2069.12)</f>
        <v/>
      </c>
    </row>
    <row r="13958">
      <c r="J13958">
        <f>IFERROR(__xludf.DUMMYFUNCTION("""COMPUTED_VALUE"""),"Ottawa-Moncton-Halifax-Ottawa")</f>
        <v/>
      </c>
      <c r="K13958">
        <f>IFERROR(__xludf.DUMMYFUNCTION("""COMPUTED_VALUE"""),2069.1)</f>
        <v/>
      </c>
    </row>
    <row r="13959">
      <c r="J13959">
        <f>IFERROR(__xludf.DUMMYFUNCTION("""COMPUTED_VALUE"""),"Saint John, Newfoundland")</f>
        <v/>
      </c>
      <c r="K13959">
        <f>IFERROR(__xludf.DUMMYFUNCTION("""COMPUTED_VALUE"""),2068.74)</f>
        <v/>
      </c>
    </row>
    <row r="13960">
      <c r="J13960">
        <f>IFERROR(__xludf.DUMMYFUNCTION("""COMPUTED_VALUE"""),"Surrey, British Columbia, Canada; Burnaby, British Columbia, Canada")</f>
        <v/>
      </c>
      <c r="K13960">
        <f>IFERROR(__xludf.DUMMYFUNCTION("""COMPUTED_VALUE"""),2068.6)</f>
        <v/>
      </c>
    </row>
    <row r="13961">
      <c r="J13961">
        <f>IFERROR(__xludf.DUMMYFUNCTION("""COMPUTED_VALUE"""),"Ottawa, Ontario; Moncton, New Brunswick")</f>
        <v/>
      </c>
      <c r="K13961">
        <f>IFERROR(__xludf.DUMMYFUNCTION("""COMPUTED_VALUE"""),2067.64)</f>
        <v/>
      </c>
    </row>
    <row r="13962">
      <c r="J13962">
        <f>IFERROR(__xludf.DUMMYFUNCTION("""COMPUTED_VALUE"""),"Orillia, ON / Oshawa, ON / Waterloo, ON")</f>
        <v/>
      </c>
      <c r="K13962">
        <f>IFERROR(__xludf.DUMMYFUNCTION("""COMPUTED_VALUE"""),2067.62)</f>
        <v/>
      </c>
    </row>
    <row r="13963">
      <c r="J13963">
        <f>IFERROR(__xludf.DUMMYFUNCTION("""COMPUTED_VALUE"""),"Washington, DC and Carlisle, PA")</f>
        <v/>
      </c>
      <c r="K13963">
        <f>IFERROR(__xludf.DUMMYFUNCTION("""COMPUTED_VALUE"""),2067.28)</f>
        <v/>
      </c>
    </row>
    <row r="13964">
      <c r="J13964">
        <f>IFERROR(__xludf.DUMMYFUNCTION("""COMPUTED_VALUE"""),"Victoria, Kelowna, Penticton, Keremoes, British Columbia")</f>
        <v/>
      </c>
      <c r="K13964">
        <f>IFERROR(__xludf.DUMMYFUNCTION("""COMPUTED_VALUE"""),2067.26)</f>
        <v/>
      </c>
    </row>
    <row r="13965">
      <c r="J13965">
        <f>IFERROR(__xludf.DUMMYFUNCTION("""COMPUTED_VALUE"""),"Yellowknife,  North West Territories;  Calgary, Alberta")</f>
        <v/>
      </c>
      <c r="K13965">
        <f>IFERROR(__xludf.DUMMYFUNCTION("""COMPUTED_VALUE"""),2066.93)</f>
        <v/>
      </c>
    </row>
    <row r="13966">
      <c r="J13966">
        <f>IFERROR(__xludf.DUMMYFUNCTION("""COMPUTED_VALUE"""),"Quebec (Quebec) Canada
Lac-Saint-Jean (Quebec) Canada
Heberville (Quebec) Canada
Saint-Felicien (Quebec) Canada
Normandin (Quebec) Canada")</f>
        <v/>
      </c>
      <c r="K13966">
        <f>IFERROR(__xludf.DUMMYFUNCTION("""COMPUTED_VALUE"""),2066.79)</f>
        <v/>
      </c>
    </row>
    <row r="13967">
      <c r="J13967">
        <f>IFERROR(__xludf.DUMMYFUNCTION("""COMPUTED_VALUE"""),"Williams Lake, British Columbia, Canada and Victoria, British Columbia, Canada")</f>
        <v/>
      </c>
      <c r="K13967">
        <f>IFERROR(__xludf.DUMMYFUNCTION("""COMPUTED_VALUE"""),2066.55)</f>
        <v/>
      </c>
    </row>
    <row r="13968">
      <c r="J13968">
        <f>IFERROR(__xludf.DUMMYFUNCTION("""COMPUTED_VALUE"""),"Riga, Latvia
Vilnius, Lithuania")</f>
        <v/>
      </c>
      <c r="K13968">
        <f>IFERROR(__xludf.DUMMYFUNCTION("""COMPUTED_VALUE"""),2066)</f>
        <v/>
      </c>
    </row>
    <row r="13969">
      <c r="J13969">
        <f>IFERROR(__xludf.DUMMYFUNCTION("""COMPUTED_VALUE"""),"Klemtu, British Columbia, Canada")</f>
        <v/>
      </c>
      <c r="K13969">
        <f>IFERROR(__xludf.DUMMYFUNCTION("""COMPUTED_VALUE"""),2065.97)</f>
        <v/>
      </c>
    </row>
    <row r="13970">
      <c r="J13970">
        <f>IFERROR(__xludf.DUMMYFUNCTION("""COMPUTED_VALUE"""),"Moncton, Saint John,  New Brunswick, Canada; Charlottetown, Prince Edward Island, Canada")</f>
        <v/>
      </c>
      <c r="K13970">
        <f>IFERROR(__xludf.DUMMYFUNCTION("""COMPUTED_VALUE"""),2065.83)</f>
        <v/>
      </c>
    </row>
    <row r="13971">
      <c r="J13971">
        <f>IFERROR(__xludf.DUMMYFUNCTION("""COMPUTED_VALUE"""),"Iles-de-la-Madeleine, Quebec, Canada")</f>
        <v/>
      </c>
      <c r="K13971">
        <f>IFERROR(__xludf.DUMMYFUNCTION("""COMPUTED_VALUE"""),2065.82)</f>
        <v/>
      </c>
    </row>
    <row r="13972">
      <c r="J13972">
        <f>IFERROR(__xludf.DUMMYFUNCTION("""COMPUTED_VALUE"""),"Sudbury ON")</f>
        <v/>
      </c>
      <c r="K13972">
        <f>IFERROR(__xludf.DUMMYFUNCTION("""COMPUTED_VALUE"""),2064.92)</f>
        <v/>
      </c>
    </row>
    <row r="13973">
      <c r="J13973">
        <f>IFERROR(__xludf.DUMMYFUNCTION("""COMPUTED_VALUE"""),"Toronto and Calgary, Canada.")</f>
        <v/>
      </c>
      <c r="K13973">
        <f>IFERROR(__xludf.DUMMYFUNCTION("""COMPUTED_VALUE"""),2064.71)</f>
        <v/>
      </c>
    </row>
    <row r="13974">
      <c r="J13974">
        <f>IFERROR(__xludf.DUMMYFUNCTION("""COMPUTED_VALUE"""),"Toronto, ON - Waterloo, ON - Québec City, QC")</f>
        <v/>
      </c>
      <c r="K13974">
        <f>IFERROR(__xludf.DUMMYFUNCTION("""COMPUTED_VALUE"""),2064.2)</f>
        <v/>
      </c>
    </row>
    <row r="13975">
      <c r="J13975">
        <f>IFERROR(__xludf.DUMMYFUNCTION("""COMPUTED_VALUE"""),"Ottawa, Ontario, Canada; Québec, Quebec, Canada")</f>
        <v/>
      </c>
      <c r="K13975">
        <f>IFERROR(__xludf.DUMMYFUNCTION("""COMPUTED_VALUE"""),2064.03)</f>
        <v/>
      </c>
    </row>
    <row r="13976">
      <c r="J13976">
        <f>IFERROR(__xludf.DUMMYFUNCTION("""COMPUTED_VALUE"""),"Quebec City, QC Ottawa, ON Fredericton, NB")</f>
        <v/>
      </c>
      <c r="K13976">
        <f>IFERROR(__xludf.DUMMYFUNCTION("""COMPUTED_VALUE"""),2064)</f>
        <v/>
      </c>
    </row>
    <row r="13977">
      <c r="J13977">
        <f>IFERROR(__xludf.DUMMYFUNCTION("""COMPUTED_VALUE"""),"Charlottetown, PEI and Ottawa, Ontario")</f>
        <v/>
      </c>
      <c r="K13977">
        <f>IFERROR(__xludf.DUMMYFUNCTION("""COMPUTED_VALUE"""),2063.82)</f>
        <v/>
      </c>
    </row>
    <row r="13978">
      <c r="J13978">
        <f>IFERROR(__xludf.DUMMYFUNCTION("""COMPUTED_VALUE"""),"Fredericton, N.B. &amp; 
Charlottetown, P.E.I.")</f>
        <v/>
      </c>
      <c r="K13978">
        <f>IFERROR(__xludf.DUMMYFUNCTION("""COMPUTED_VALUE"""),2063.35)</f>
        <v/>
      </c>
    </row>
    <row r="13979">
      <c r="J13979">
        <f>IFERROR(__xludf.DUMMYFUNCTION("""COMPUTED_VALUE"""),"Regina, Saskatchewan / Montreal, Quebec, Canada")</f>
        <v/>
      </c>
      <c r="K13979">
        <f>IFERROR(__xludf.DUMMYFUNCTION("""COMPUTED_VALUE"""),2063.18)</f>
        <v/>
      </c>
    </row>
    <row r="13980">
      <c r="J13980">
        <f>IFERROR(__xludf.DUMMYFUNCTION("""COMPUTED_VALUE"""),"Moncton, New Brunswick; Quebec. Quebec")</f>
        <v/>
      </c>
      <c r="K13980">
        <f>IFERROR(__xludf.DUMMYFUNCTION("""COMPUTED_VALUE"""),2062.3)</f>
        <v/>
      </c>
    </row>
    <row r="13981">
      <c r="J13981">
        <f>IFERROR(__xludf.DUMMYFUNCTION("""COMPUTED_VALUE"""),"Montréal, QC - Ottawa, ON")</f>
        <v/>
      </c>
      <c r="K13981">
        <f>IFERROR(__xludf.DUMMYFUNCTION("""COMPUTED_VALUE"""),2062.18)</f>
        <v/>
      </c>
    </row>
    <row r="13982">
      <c r="J13982">
        <f>IFERROR(__xludf.DUMMYFUNCTION("""COMPUTED_VALUE"""),"Antigua &amp; Barbuda")</f>
        <v/>
      </c>
      <c r="K13982">
        <f>IFERROR(__xludf.DUMMYFUNCTION("""COMPUTED_VALUE"""),2061.53)</f>
        <v/>
      </c>
    </row>
    <row r="13983">
      <c r="J13983">
        <f>IFERROR(__xludf.DUMMYFUNCTION("""COMPUTED_VALUE"""),"Charlottetown (Prince Edward Island)")</f>
        <v/>
      </c>
      <c r="K13983">
        <f>IFERROR(__xludf.DUMMYFUNCTION("""COMPUTED_VALUE"""),2060.63)</f>
        <v/>
      </c>
    </row>
    <row r="13984">
      <c r="J13984">
        <f>IFERROR(__xludf.DUMMYFUNCTION("""COMPUTED_VALUE"""),"Brandon, MB")</f>
        <v/>
      </c>
      <c r="K13984">
        <f>IFERROR(__xludf.DUMMYFUNCTION("""COMPUTED_VALUE"""),2060.06)</f>
        <v/>
      </c>
    </row>
    <row r="13985">
      <c r="J13985">
        <f>IFERROR(__xludf.DUMMYFUNCTION("""COMPUTED_VALUE"""),"New Haven, Connecticut")</f>
        <v/>
      </c>
      <c r="K13985">
        <f>IFERROR(__xludf.DUMMYFUNCTION("""COMPUTED_VALUE"""),2059.71)</f>
        <v/>
      </c>
    </row>
    <row r="13986">
      <c r="J13986">
        <f>IFERROR(__xludf.DUMMYFUNCTION("""COMPUTED_VALUE"""),"Woodstock, New Brunswick, Canada")</f>
        <v/>
      </c>
      <c r="K13986">
        <f>IFERROR(__xludf.DUMMYFUNCTION("""COMPUTED_VALUE"""),2059.62999999999)</f>
        <v/>
      </c>
    </row>
    <row r="13987">
      <c r="J13987">
        <f>IFERROR(__xludf.DUMMYFUNCTION("""COMPUTED_VALUE"""),"CHARLOTTETOWN, PE  - MONTREAL, QC")</f>
        <v/>
      </c>
      <c r="K13987">
        <f>IFERROR(__xludf.DUMMYFUNCTION("""COMPUTED_VALUE"""),2059.26)</f>
        <v/>
      </c>
    </row>
    <row r="13988">
      <c r="J13988">
        <f>IFERROR(__xludf.DUMMYFUNCTION("""COMPUTED_VALUE"""),"Moncton and Saint John, New Brunswick and Sydney, Nova Scotia")</f>
        <v/>
      </c>
      <c r="K13988">
        <f>IFERROR(__xludf.DUMMYFUNCTION("""COMPUTED_VALUE"""),2058.85)</f>
        <v/>
      </c>
    </row>
    <row r="13989">
      <c r="J13989">
        <f>IFERROR(__xludf.DUMMYFUNCTION("""COMPUTED_VALUE"""),"Calgary, Jasper and Waterton, Alberta")</f>
        <v/>
      </c>
      <c r="K13989">
        <f>IFERROR(__xludf.DUMMYFUNCTION("""COMPUTED_VALUE"""),2058.28)</f>
        <v/>
      </c>
    </row>
    <row r="13990">
      <c r="J13990">
        <f>IFERROR(__xludf.DUMMYFUNCTION("""COMPUTED_VALUE"""),"Roberval, Montréal")</f>
        <v/>
      </c>
      <c r="K13990">
        <f>IFERROR(__xludf.DUMMYFUNCTION("""COMPUTED_VALUE"""),2058.22)</f>
        <v/>
      </c>
    </row>
    <row r="13991">
      <c r="J13991">
        <f>IFERROR(__xludf.DUMMYFUNCTION("""COMPUTED_VALUE"""),"Halifax, Nova Scotia / Niagara-on-the-Lake, Ontario")</f>
        <v/>
      </c>
      <c r="K13991">
        <f>IFERROR(__xludf.DUMMYFUNCTION("""COMPUTED_VALUE"""),2057.41)</f>
        <v/>
      </c>
    </row>
    <row r="13992">
      <c r="J13992">
        <f>IFERROR(__xludf.DUMMYFUNCTION("""COMPUTED_VALUE"""),"CHARLOTTETOWN, PE - OTTAWA, ON")</f>
        <v/>
      </c>
      <c r="K13992">
        <f>IFERROR(__xludf.DUMMYFUNCTION("""COMPUTED_VALUE"""),2057.29)</f>
        <v/>
      </c>
    </row>
    <row r="13993">
      <c r="J13993">
        <f>IFERROR(__xludf.DUMMYFUNCTION("""COMPUTED_VALUE"""),"Victoria and Abbotsford, British Columbia, Canada")</f>
        <v/>
      </c>
      <c r="K13993">
        <f>IFERROR(__xludf.DUMMYFUNCTION("""COMPUTED_VALUE"""),2057)</f>
        <v/>
      </c>
    </row>
    <row r="13994">
      <c r="J13994">
        <f>IFERROR(__xludf.DUMMYFUNCTION("""COMPUTED_VALUE"""),"Hartford, USA")</f>
        <v/>
      </c>
      <c r="K13994">
        <f>IFERROR(__xludf.DUMMYFUNCTION("""COMPUTED_VALUE"""),2056.82)</f>
        <v/>
      </c>
    </row>
    <row r="13995">
      <c r="J13995">
        <f>IFERROR(__xludf.DUMMYFUNCTION("""COMPUTED_VALUE"""),"Calgary/Winnipeg")</f>
        <v/>
      </c>
      <c r="K13995">
        <f>IFERROR(__xludf.DUMMYFUNCTION("""COMPUTED_VALUE"""),2056.39)</f>
        <v/>
      </c>
    </row>
    <row r="13996">
      <c r="J13996">
        <f>IFERROR(__xludf.DUMMYFUNCTION("""COMPUTED_VALUE"""),"Regina, Saskatchewan / Saskatoon, Saskatchewan, Canada")</f>
        <v/>
      </c>
      <c r="K13996">
        <f>IFERROR(__xludf.DUMMYFUNCTION("""COMPUTED_VALUE"""),2056.26)</f>
        <v/>
      </c>
    </row>
    <row r="13997">
      <c r="J13997">
        <f>IFERROR(__xludf.DUMMYFUNCTION("""COMPUTED_VALUE"""),"Ottawa, ON - Deauville, France / Deauville, France - Ottawa, ON")</f>
        <v/>
      </c>
      <c r="K13997">
        <f>IFERROR(__xludf.DUMMYFUNCTION("""COMPUTED_VALUE"""),2056.12)</f>
        <v/>
      </c>
    </row>
    <row r="13998">
      <c r="J13998">
        <f>IFERROR(__xludf.DUMMYFUNCTION("""COMPUTED_VALUE"""),"Winnipeg/Montreal")</f>
        <v/>
      </c>
      <c r="K13998">
        <f>IFERROR(__xludf.DUMMYFUNCTION("""COMPUTED_VALUE"""),2055.74)</f>
        <v/>
      </c>
    </row>
    <row r="13999">
      <c r="J13999">
        <f>IFERROR(__xludf.DUMMYFUNCTION("""COMPUTED_VALUE"""),"District of Saanich, BC; Duncan, BC")</f>
        <v/>
      </c>
      <c r="K13999">
        <f>IFERROR(__xludf.DUMMYFUNCTION("""COMPUTED_VALUE"""),2055.73)</f>
        <v/>
      </c>
    </row>
    <row r="14000">
      <c r="J14000">
        <f>IFERROR(__xludf.DUMMYFUNCTION("""COMPUTED_VALUE"""),"Sidney, British Colombia, Canada; Winnipeg, Manitoba, Canada")</f>
        <v/>
      </c>
      <c r="K14000">
        <f>IFERROR(__xludf.DUMMYFUNCTION("""COMPUTED_VALUE"""),2055.19)</f>
        <v/>
      </c>
    </row>
    <row r="14001">
      <c r="J14001">
        <f>IFERROR(__xludf.DUMMYFUNCTION("""COMPUTED_VALUE"""),"Montréal, Quebec, Canada; Rouyn-Noranda, Quebec, Canada; Québec, Quebec, Canada; Halifax, Nova Scotia, Canada")</f>
        <v/>
      </c>
      <c r="K14001">
        <f>IFERROR(__xludf.DUMMYFUNCTION("""COMPUTED_VALUE"""),2055.15)</f>
        <v/>
      </c>
    </row>
    <row r="14002">
      <c r="J14002">
        <f>IFERROR(__xludf.DUMMYFUNCTION("""COMPUTED_VALUE"""),"Ottawa-Toronto-Charlottetown-Moncton-Ottawa")</f>
        <v/>
      </c>
      <c r="K14002">
        <f>IFERROR(__xludf.DUMMYFUNCTION("""COMPUTED_VALUE"""),2054.96)</f>
        <v/>
      </c>
    </row>
    <row r="14003">
      <c r="J14003">
        <f>IFERROR(__xludf.DUMMYFUNCTION("""COMPUTED_VALUE"""),"Saint-Jean, Quebec and Ottawa, Ontario")</f>
        <v/>
      </c>
      <c r="K14003">
        <f>IFERROR(__xludf.DUMMYFUNCTION("""COMPUTED_VALUE"""),2054.57)</f>
        <v/>
      </c>
    </row>
    <row r="14004">
      <c r="J14004">
        <f>IFERROR(__xludf.DUMMYFUNCTION("""COMPUTED_VALUE"""),"Washington D.C. USA")</f>
        <v/>
      </c>
      <c r="K14004">
        <f>IFERROR(__xludf.DUMMYFUNCTION("""COMPUTED_VALUE"""),2054.37)</f>
        <v/>
      </c>
    </row>
    <row r="14005">
      <c r="J14005">
        <f>IFERROR(__xludf.DUMMYFUNCTION("""COMPUTED_VALUE"""),"Toronto, Ontario / Fort McMurray, Alberta, Canada")</f>
        <v/>
      </c>
      <c r="K14005">
        <f>IFERROR(__xludf.DUMMYFUNCTION("""COMPUTED_VALUE"""),2054.03)</f>
        <v/>
      </c>
    </row>
    <row r="14006">
      <c r="J14006">
        <f>IFERROR(__xludf.DUMMYFUNCTION("""COMPUTED_VALUE"""),"Washington, DC/Springfield, VA")</f>
        <v/>
      </c>
      <c r="K14006">
        <f>IFERROR(__xludf.DUMMYFUNCTION("""COMPUTED_VALUE"""),2053.72)</f>
        <v/>
      </c>
    </row>
    <row r="14007">
      <c r="J14007">
        <f>IFERROR(__xludf.DUMMYFUNCTION("""COMPUTED_VALUE"""),"Portland, Maine, United States")</f>
        <v/>
      </c>
      <c r="K14007">
        <f>IFERROR(__xludf.DUMMYFUNCTION("""COMPUTED_VALUE"""),2053.55)</f>
        <v/>
      </c>
    </row>
    <row r="14008">
      <c r="J14008">
        <f>IFERROR(__xludf.DUMMYFUNCTION("""COMPUTED_VALUE"""),"Calgary, Alberta; Winnipeg, Manitoba")</f>
        <v/>
      </c>
      <c r="K14008">
        <f>IFERROR(__xludf.DUMMYFUNCTION("""COMPUTED_VALUE"""),2053.15)</f>
        <v/>
      </c>
    </row>
    <row r="14009">
      <c r="J14009">
        <f>IFERROR(__xludf.DUMMYFUNCTION("""COMPUTED_VALUE"""),"Atlantic Region, New Brunswick")</f>
        <v/>
      </c>
      <c r="K14009">
        <f>IFERROR(__xludf.DUMMYFUNCTION("""COMPUTED_VALUE"""),2053.04)</f>
        <v/>
      </c>
    </row>
    <row r="14010">
      <c r="J14010">
        <f>IFERROR(__xludf.DUMMYFUNCTION("""COMPUTED_VALUE"""),"Halifax and Wolfville, Nova Scotia")</f>
        <v/>
      </c>
      <c r="K14010">
        <f>IFERROR(__xludf.DUMMYFUNCTION("""COMPUTED_VALUE"""),2052.64)</f>
        <v/>
      </c>
    </row>
    <row r="14011">
      <c r="J14011">
        <f>IFERROR(__xludf.DUMMYFUNCTION("""COMPUTED_VALUE"""),"Montreal, QC; Niagara, ON")</f>
        <v/>
      </c>
      <c r="K14011">
        <f>IFERROR(__xludf.DUMMYFUNCTION("""COMPUTED_VALUE"""),2052.61)</f>
        <v/>
      </c>
    </row>
    <row r="14012">
      <c r="J14012">
        <f>IFERROR(__xludf.DUMMYFUNCTION("""COMPUTED_VALUE"""),"Edmonton, Wainwright, &amp; Cold Lake, Alberta, Canada")</f>
        <v/>
      </c>
      <c r="K14012">
        <f>IFERROR(__xludf.DUMMYFUNCTION("""COMPUTED_VALUE"""),2052.56)</f>
        <v/>
      </c>
    </row>
    <row r="14013">
      <c r="J14013">
        <f>IFERROR(__xludf.DUMMYFUNCTION("""COMPUTED_VALUE"""),"Halifax, Nova Scotia, Canada and Monton, New Brunswick, Canada")</f>
        <v/>
      </c>
      <c r="K14013">
        <f>IFERROR(__xludf.DUMMYFUNCTION("""COMPUTED_VALUE"""),2052.53)</f>
        <v/>
      </c>
    </row>
    <row r="14014">
      <c r="J14014">
        <f>IFERROR(__xludf.DUMMYFUNCTION("""COMPUTED_VALUE"""),"Halifax, NS   Vancouver, BC")</f>
        <v/>
      </c>
      <c r="K14014">
        <f>IFERROR(__xludf.DUMMYFUNCTION("""COMPUTED_VALUE"""),2051.88)</f>
        <v/>
      </c>
    </row>
    <row r="14015">
      <c r="J14015">
        <f>IFERROR(__xludf.DUMMYFUNCTION("""COMPUTED_VALUE"""),"Regina, Saskatchewan Canada")</f>
        <v/>
      </c>
      <c r="K14015">
        <f>IFERROR(__xludf.DUMMYFUNCTION("""COMPUTED_VALUE"""),2051.84)</f>
        <v/>
      </c>
    </row>
    <row r="14016">
      <c r="J14016">
        <f>IFERROR(__xludf.DUMMYFUNCTION("""COMPUTED_VALUE"""),"Regina, Saskatchewan, canada")</f>
        <v/>
      </c>
      <c r="K14016">
        <f>IFERROR(__xludf.DUMMYFUNCTION("""COMPUTED_VALUE"""),2051.53)</f>
        <v/>
      </c>
    </row>
    <row r="14017">
      <c r="J14017">
        <f>IFERROR(__xludf.DUMMYFUNCTION("""COMPUTED_VALUE"""),"Morden, Manitoba, Canada")</f>
        <v/>
      </c>
      <c r="K14017">
        <f>IFERROR(__xludf.DUMMYFUNCTION("""COMPUTED_VALUE"""),2051.39)</f>
        <v/>
      </c>
    </row>
    <row r="14018">
      <c r="J14018">
        <f>IFERROR(__xludf.DUMMYFUNCTION("""COMPUTED_VALUE"""),"Miramichi, New Brunswick, Canada; Campbellton, New Brunswick, Canada")</f>
        <v/>
      </c>
      <c r="K14018">
        <f>IFERROR(__xludf.DUMMYFUNCTION("""COMPUTED_VALUE"""),2051.32)</f>
        <v/>
      </c>
    </row>
    <row r="14019">
      <c r="J14019">
        <f>IFERROR(__xludf.DUMMYFUNCTION("""COMPUTED_VALUE"""),"Portland, United States of America")</f>
        <v/>
      </c>
      <c r="K14019">
        <f>IFERROR(__xludf.DUMMYFUNCTION("""COMPUTED_VALUE"""),2051.19)</f>
        <v/>
      </c>
    </row>
    <row r="14020">
      <c r="J14020">
        <f>IFERROR(__xludf.DUMMYFUNCTION("""COMPUTED_VALUE"""),"Ottawa, Headquarters")</f>
        <v/>
      </c>
      <c r="K14020">
        <f>IFERROR(__xludf.DUMMYFUNCTION("""COMPUTED_VALUE"""),2051.15)</f>
        <v/>
      </c>
    </row>
    <row r="14021">
      <c r="J14021">
        <f>IFERROR(__xludf.DUMMYFUNCTION("""COMPUTED_VALUE"""),"Yellowknife/Vancouver/       Edmonton")</f>
        <v/>
      </c>
      <c r="K14021">
        <f>IFERROR(__xludf.DUMMYFUNCTION("""COMPUTED_VALUE"""),2050.87)</f>
        <v/>
      </c>
    </row>
    <row r="14022">
      <c r="J14022">
        <f>IFERROR(__xludf.DUMMYFUNCTION("""COMPUTED_VALUE"""),"Vancouver , BC.")</f>
        <v/>
      </c>
      <c r="K14022">
        <f>IFERROR(__xludf.DUMMYFUNCTION("""COMPUTED_VALUE"""),2050.41)</f>
        <v/>
      </c>
    </row>
    <row r="14023">
      <c r="J14023">
        <f>IFERROR(__xludf.DUMMYFUNCTION("""COMPUTED_VALUE"""),"Ottawa - National Headquarters, Ottawa, Canada")</f>
        <v/>
      </c>
      <c r="K14023">
        <f>IFERROR(__xludf.DUMMYFUNCTION("""COMPUTED_VALUE"""),2049.34)</f>
        <v/>
      </c>
    </row>
    <row r="14024">
      <c r="J14024">
        <f>IFERROR(__xludf.DUMMYFUNCTION("""COMPUTED_VALUE"""),"Vancouver, BC and Ottawa,ON")</f>
        <v/>
      </c>
      <c r="K14024">
        <f>IFERROR(__xludf.DUMMYFUNCTION("""COMPUTED_VALUE"""),2048.98)</f>
        <v/>
      </c>
    </row>
    <row r="14025">
      <c r="J14025">
        <f>IFERROR(__xludf.DUMMYFUNCTION("""COMPUTED_VALUE"""),"Calgary, AB, Toronto, ON")</f>
        <v/>
      </c>
      <c r="K14025">
        <f>IFERROR(__xludf.DUMMYFUNCTION("""COMPUTED_VALUE"""),2047.75)</f>
        <v/>
      </c>
    </row>
    <row r="14026">
      <c r="J14026">
        <f>IFERROR(__xludf.DUMMYFUNCTION("""COMPUTED_VALUE"""),"Victoria, British Columbia and Vancouver, British Columbia, Canada")</f>
        <v/>
      </c>
      <c r="K14026">
        <f>IFERROR(__xludf.DUMMYFUNCTION("""COMPUTED_VALUE"""),2047.02)</f>
        <v/>
      </c>
    </row>
    <row r="14027">
      <c r="J14027">
        <f>IFERROR(__xludf.DUMMYFUNCTION("""COMPUTED_VALUE"""),"New York; then Toronto")</f>
        <v/>
      </c>
      <c r="K14027">
        <f>IFERROR(__xludf.DUMMYFUNCTION("""COMPUTED_VALUE"""),2045.91)</f>
        <v/>
      </c>
    </row>
    <row r="14028">
      <c r="J14028">
        <f>IFERROR(__xludf.DUMMYFUNCTION("""COMPUTED_VALUE"""),"Kamloops, BC - Burnaby, BC")</f>
        <v/>
      </c>
      <c r="K14028">
        <f>IFERROR(__xludf.DUMMYFUNCTION("""COMPUTED_VALUE"""),2045.54)</f>
        <v/>
      </c>
    </row>
    <row r="14029">
      <c r="J14029">
        <f>IFERROR(__xludf.DUMMYFUNCTION("""COMPUTED_VALUE"""),"Nisku, Alberta, Canada; Simcoe, Ontario, Canada")</f>
        <v/>
      </c>
      <c r="K14029">
        <f>IFERROR(__xludf.DUMMYFUNCTION("""COMPUTED_VALUE"""),2045.51)</f>
        <v/>
      </c>
    </row>
    <row r="14030">
      <c r="J14030">
        <f>IFERROR(__xludf.DUMMYFUNCTION("""COMPUTED_VALUE"""),"Calgary, AB /  Vancouver, BC")</f>
        <v/>
      </c>
      <c r="K14030">
        <f>IFERROR(__xludf.DUMMYFUNCTION("""COMPUTED_VALUE"""),2045.39)</f>
        <v/>
      </c>
    </row>
    <row r="14031">
      <c r="J14031">
        <f>IFERROR(__xludf.DUMMYFUNCTION("""COMPUTED_VALUE"""),"Matane, Quebec, Canada / Gaspé, Quebec, Canada")</f>
        <v/>
      </c>
      <c r="K14031">
        <f>IFERROR(__xludf.DUMMYFUNCTION("""COMPUTED_VALUE"""),2044.88)</f>
        <v/>
      </c>
    </row>
    <row r="14032">
      <c r="J14032">
        <f>IFERROR(__xludf.DUMMYFUNCTION("""COMPUTED_VALUE"""),"Sonoma, California, United States")</f>
        <v/>
      </c>
      <c r="K14032">
        <f>IFERROR(__xludf.DUMMYFUNCTION("""COMPUTED_VALUE"""),2044.27)</f>
        <v/>
      </c>
    </row>
    <row r="14033">
      <c r="J14033">
        <f>IFERROR(__xludf.DUMMYFUNCTION("""COMPUTED_VALUE"""),"Winnipeg Manitoba, and Toronto Onatrio")</f>
        <v/>
      </c>
      <c r="K14033">
        <f>IFERROR(__xludf.DUMMYFUNCTION("""COMPUTED_VALUE"""),2043.98)</f>
        <v/>
      </c>
    </row>
    <row r="14034">
      <c r="J14034">
        <f>IFERROR(__xludf.DUMMYFUNCTION("""COMPUTED_VALUE"""),"Vancouver and Victoria, BC, Kona, Hawaii, USA")</f>
        <v/>
      </c>
      <c r="K14034">
        <f>IFERROR(__xludf.DUMMYFUNCTION("""COMPUTED_VALUE"""),2043.65)</f>
        <v/>
      </c>
    </row>
    <row r="14035">
      <c r="J14035">
        <f>IFERROR(__xludf.DUMMYFUNCTION("""COMPUTED_VALUE"""),"Ottawa/Montreal/Toronto")</f>
        <v/>
      </c>
      <c r="K14035">
        <f>IFERROR(__xludf.DUMMYFUNCTION("""COMPUTED_VALUE"""),2043.43)</f>
        <v/>
      </c>
    </row>
    <row r="14036">
      <c r="J14036">
        <f>IFERROR(__xludf.DUMMYFUNCTION("""COMPUTED_VALUE"""),"Vancouver, BC, Calgary, AB,")</f>
        <v/>
      </c>
      <c r="K14036">
        <f>IFERROR(__xludf.DUMMYFUNCTION("""COMPUTED_VALUE"""),2043.36)</f>
        <v/>
      </c>
    </row>
    <row r="14037">
      <c r="J14037">
        <f>IFERROR(__xludf.DUMMYFUNCTION("""COMPUTED_VALUE"""),"Vancouver / Surrey")</f>
        <v/>
      </c>
      <c r="K14037">
        <f>IFERROR(__xludf.DUMMYFUNCTION("""COMPUTED_VALUE"""),2043.25)</f>
        <v/>
      </c>
    </row>
    <row r="14038">
      <c r="J14038">
        <f>IFERROR(__xludf.DUMMYFUNCTION("""COMPUTED_VALUE"""),"Toronto, ON.")</f>
        <v/>
      </c>
      <c r="K14038">
        <f>IFERROR(__xludf.DUMMYFUNCTION("""COMPUTED_VALUE"""),2042.7)</f>
        <v/>
      </c>
    </row>
    <row r="14039">
      <c r="J14039">
        <f>IFERROR(__xludf.DUMMYFUNCTION("""COMPUTED_VALUE"""),"Ottawa - Victoria")</f>
        <v/>
      </c>
      <c r="K14039">
        <f>IFERROR(__xludf.DUMMYFUNCTION("""COMPUTED_VALUE"""),2042.25)</f>
        <v/>
      </c>
    </row>
    <row r="14040">
      <c r="J14040">
        <f>IFERROR(__xludf.DUMMYFUNCTION("""COMPUTED_VALUE"""),"Fort McMurray; Vancouver; Saskatoon")</f>
        <v/>
      </c>
      <c r="K14040">
        <f>IFERROR(__xludf.DUMMYFUNCTION("""COMPUTED_VALUE"""),2041.99)</f>
        <v/>
      </c>
    </row>
    <row r="14041">
      <c r="J14041">
        <f>IFERROR(__xludf.DUMMYFUNCTION("""COMPUTED_VALUE"""),"Vancouver, Brisith Columbia")</f>
        <v/>
      </c>
      <c r="K14041">
        <f>IFERROR(__xludf.DUMMYFUNCTION("""COMPUTED_VALUE"""),2041.86)</f>
        <v/>
      </c>
    </row>
    <row r="14042">
      <c r="J14042">
        <f>IFERROR(__xludf.DUMMYFUNCTION("""COMPUTED_VALUE"""),"Toronto, ON Canada")</f>
        <v/>
      </c>
      <c r="K14042">
        <f>IFERROR(__xludf.DUMMYFUNCTION("""COMPUTED_VALUE"""),2041.72)</f>
        <v/>
      </c>
    </row>
    <row r="14043">
      <c r="J14043">
        <f>IFERROR(__xludf.DUMMYFUNCTION("""COMPUTED_VALUE"""),"Cap-Aux-Meules, (Quebec)")</f>
        <v/>
      </c>
      <c r="K14043">
        <f>IFERROR(__xludf.DUMMYFUNCTION("""COMPUTED_VALUE"""),2041.15)</f>
        <v/>
      </c>
    </row>
    <row r="14044">
      <c r="J14044">
        <f>IFERROR(__xludf.DUMMYFUNCTION("""COMPUTED_VALUE"""),"Ottawa, Ontario / Montreal, Quebec, Canada")</f>
        <v/>
      </c>
      <c r="K14044">
        <f>IFERROR(__xludf.DUMMYFUNCTION("""COMPUTED_VALUE"""),2040.5)</f>
        <v/>
      </c>
    </row>
    <row r="14045">
      <c r="J14045">
        <f>IFERROR(__xludf.DUMMYFUNCTION("""COMPUTED_VALUE"""),"Gagetown / Fredericton NB")</f>
        <v/>
      </c>
      <c r="K14045">
        <f>IFERROR(__xludf.DUMMYFUNCTION("""COMPUTED_VALUE"""),2040.43)</f>
        <v/>
      </c>
    </row>
    <row r="14046">
      <c r="J14046">
        <f>IFERROR(__xludf.DUMMYFUNCTION("""COMPUTED_VALUE"""),"SouthWest, Canada")</f>
        <v/>
      </c>
      <c r="K14046">
        <f>IFERROR(__xludf.DUMMYFUNCTION("""COMPUTED_VALUE"""),2040.31)</f>
        <v/>
      </c>
    </row>
    <row r="14047">
      <c r="J14047">
        <f>IFERROR(__xludf.DUMMYFUNCTION("""COMPUTED_VALUE"""),"Cambridge and London, Ontario, Canada")</f>
        <v/>
      </c>
      <c r="K14047">
        <f>IFERROR(__xludf.DUMMYFUNCTION("""COMPUTED_VALUE"""),2039.5)</f>
        <v/>
      </c>
    </row>
    <row r="14048">
      <c r="J14048">
        <f>IFERROR(__xludf.DUMMYFUNCTION("""COMPUTED_VALUE"""),"Montreal, QC and Fredericton, NB")</f>
        <v/>
      </c>
      <c r="K14048">
        <f>IFERROR(__xludf.DUMMYFUNCTION("""COMPUTED_VALUE"""),2039.48)</f>
        <v/>
      </c>
    </row>
    <row r="14049">
      <c r="J14049">
        <f>IFERROR(__xludf.DUMMYFUNCTION("""COMPUTED_VALUE"""),"Edmonton, Alberta, Canada Winnipeg, Manitoba, Canada")</f>
        <v/>
      </c>
      <c r="K14049">
        <f>IFERROR(__xludf.DUMMYFUNCTION("""COMPUTED_VALUE"""),2039.26)</f>
        <v/>
      </c>
    </row>
    <row r="14050">
      <c r="J14050">
        <f>IFERROR(__xludf.DUMMYFUNCTION("""COMPUTED_VALUE"""),"Toronto &amp; Oakville, Ontario, Canada")</f>
        <v/>
      </c>
      <c r="K14050">
        <f>IFERROR(__xludf.DUMMYFUNCTION("""COMPUTED_VALUE"""),2039.11)</f>
        <v/>
      </c>
    </row>
    <row r="14051">
      <c r="J14051">
        <f>IFERROR(__xludf.DUMMYFUNCTION("""COMPUTED_VALUE"""),"Kitchener, Ontario, Canada; Tillsonburg, Ontario, Canada; Waterloo, Ontario, Canada; London, Ontario, Canada; Ottawa, Ontario, Canada; Toronto, Ontario, Canada")</f>
        <v/>
      </c>
      <c r="K14051">
        <f>IFERROR(__xludf.DUMMYFUNCTION("""COMPUTED_VALUE"""),2038.96)</f>
        <v/>
      </c>
    </row>
    <row r="14052">
      <c r="J14052">
        <f>IFERROR(__xludf.DUMMYFUNCTION("""COMPUTED_VALUE"""),"Calgary, Alberta; Edmonton, Alberta")</f>
        <v/>
      </c>
      <c r="K14052">
        <f>IFERROR(__xludf.DUMMYFUNCTION("""COMPUTED_VALUE"""),2038.82)</f>
        <v/>
      </c>
    </row>
    <row r="14053">
      <c r="J14053">
        <f>IFERROR(__xludf.DUMMYFUNCTION("""COMPUTED_VALUE"""),"Vancouver, British Columbia, Canada/ Victoria, British Columbia, Canada/  Nanaimo, British Columbia, Canada")</f>
        <v/>
      </c>
      <c r="K14053">
        <f>IFERROR(__xludf.DUMMYFUNCTION("""COMPUTED_VALUE"""),2038.77)</f>
        <v/>
      </c>
    </row>
    <row r="14054">
      <c r="J14054">
        <f>IFERROR(__xludf.DUMMYFUNCTION("""COMPUTED_VALUE"""),"Moncton, New-Bruswick")</f>
        <v/>
      </c>
      <c r="K14054">
        <f>IFERROR(__xludf.DUMMYFUNCTION("""COMPUTED_VALUE"""),2038)</f>
        <v/>
      </c>
    </row>
    <row r="14055">
      <c r="J14055">
        <f>IFERROR(__xludf.DUMMYFUNCTION("""COMPUTED_VALUE"""),"Ottawa, ON; Montréal, QC")</f>
        <v/>
      </c>
      <c r="K14055">
        <f>IFERROR(__xludf.DUMMYFUNCTION("""COMPUTED_VALUE"""),2037.84)</f>
        <v/>
      </c>
    </row>
    <row r="14056">
      <c r="J14056">
        <f>IFERROR(__xludf.DUMMYFUNCTION("""COMPUTED_VALUE"""),"Beaverlodge, AB; Saskatoon, SK")</f>
        <v/>
      </c>
      <c r="K14056">
        <f>IFERROR(__xludf.DUMMYFUNCTION("""COMPUTED_VALUE"""),2037.33)</f>
        <v/>
      </c>
    </row>
    <row r="14057">
      <c r="J14057">
        <f>IFERROR(__xludf.DUMMYFUNCTION("""COMPUTED_VALUE"""),"Saskatoon, Saskatchewan and Montreal, Quebec")</f>
        <v/>
      </c>
      <c r="K14057">
        <f>IFERROR(__xludf.DUMMYFUNCTION("""COMPUTED_VALUE"""),2037.14)</f>
        <v/>
      </c>
    </row>
    <row r="14058">
      <c r="J14058">
        <f>IFERROR(__xludf.DUMMYFUNCTION("""COMPUTED_VALUE"""),"Raleigh, North Carolina")</f>
        <v/>
      </c>
      <c r="K14058">
        <f>IFERROR(__xludf.DUMMYFUNCTION("""COMPUTED_VALUE"""),2036.28)</f>
        <v/>
      </c>
    </row>
    <row r="14059">
      <c r="J14059">
        <f>IFERROR(__xludf.DUMMYFUNCTION("""COMPUTED_VALUE"""),"Toronto, Ontario, Canada; Barrie, Ontario, Canada")</f>
        <v/>
      </c>
      <c r="K14059">
        <f>IFERROR(__xludf.DUMMYFUNCTION("""COMPUTED_VALUE"""),2036.05)</f>
        <v/>
      </c>
    </row>
    <row r="14060">
      <c r="J14060">
        <f>IFERROR(__xludf.DUMMYFUNCTION("""COMPUTED_VALUE"""),"Saint John and Moncton, New Brunswick; Montreal, Quebec")</f>
        <v/>
      </c>
      <c r="K14060">
        <f>IFERROR(__xludf.DUMMYFUNCTION("""COMPUTED_VALUE"""),2035.27)</f>
        <v/>
      </c>
    </row>
    <row r="14061">
      <c r="J14061">
        <f>IFERROR(__xludf.DUMMYFUNCTION("""COMPUTED_VALUE"""),"Surrey; Vancouver, British Columbia, Canada")</f>
        <v/>
      </c>
      <c r="K14061">
        <f>IFERROR(__xludf.DUMMYFUNCTION("""COMPUTED_VALUE"""),2035.02)</f>
        <v/>
      </c>
    </row>
    <row r="14062">
      <c r="J14062">
        <f>IFERROR(__xludf.DUMMYFUNCTION("""COMPUTED_VALUE"""),"Port-au-Prince, Port-au-Prince, Haiti")</f>
        <v/>
      </c>
      <c r="K14062">
        <f>IFERROR(__xludf.DUMMYFUNCTION("""COMPUTED_VALUE"""),2034.94)</f>
        <v/>
      </c>
    </row>
    <row r="14063">
      <c r="J14063">
        <f>IFERROR(__xludf.DUMMYFUNCTION("""COMPUTED_VALUE"""),"Montreal $ Halifax, Canada")</f>
        <v/>
      </c>
      <c r="K14063">
        <f>IFERROR(__xludf.DUMMYFUNCTION("""COMPUTED_VALUE"""),2034.75)</f>
        <v/>
      </c>
    </row>
    <row r="14064">
      <c r="J14064">
        <f>IFERROR(__xludf.DUMMYFUNCTION("""COMPUTED_VALUE"""),"Guelph, ON, Victoria, BC")</f>
        <v/>
      </c>
      <c r="K14064">
        <f>IFERROR(__xludf.DUMMYFUNCTION("""COMPUTED_VALUE"""),2034.55)</f>
        <v/>
      </c>
    </row>
    <row r="14065">
      <c r="J14065">
        <f>IFERROR(__xludf.DUMMYFUNCTION("""COMPUTED_VALUE"""),"Inverness, Scotland")</f>
        <v/>
      </c>
      <c r="K14065">
        <f>IFERROR(__xludf.DUMMYFUNCTION("""COMPUTED_VALUE"""),2034.32)</f>
        <v/>
      </c>
    </row>
    <row r="14066">
      <c r="J14066">
        <f>IFERROR(__xludf.DUMMYFUNCTION("""COMPUTED_VALUE"""),"Fredericton, Saint John, Moncton, New Brunswick and Ottawa Ontario")</f>
        <v/>
      </c>
      <c r="K14066">
        <f>IFERROR(__xludf.DUMMYFUNCTION("""COMPUTED_VALUE"""),2034.28)</f>
        <v/>
      </c>
    </row>
    <row r="14067">
      <c r="J14067">
        <f>IFERROR(__xludf.DUMMYFUNCTION("""COMPUTED_VALUE"""),"Kamloops, British Colombia; Halifax, Nova Scotia")</f>
        <v/>
      </c>
      <c r="K14067">
        <f>IFERROR(__xludf.DUMMYFUNCTION("""COMPUTED_VALUE"""),2034.22)</f>
        <v/>
      </c>
    </row>
    <row r="14068">
      <c r="J14068">
        <f>IFERROR(__xludf.DUMMYFUNCTION("""COMPUTED_VALUE"""),"Halifax, NS and Charlottetown PEI.")</f>
        <v/>
      </c>
      <c r="K14068">
        <f>IFERROR(__xludf.DUMMYFUNCTION("""COMPUTED_VALUE"""),2034)</f>
        <v/>
      </c>
    </row>
    <row r="14069">
      <c r="J14069">
        <f>IFERROR(__xludf.DUMMYFUNCTION("""COMPUTED_VALUE"""),"Hamilton, Canada")</f>
        <v/>
      </c>
      <c r="K14069">
        <f>IFERROR(__xludf.DUMMYFUNCTION("""COMPUTED_VALUE"""),2033.74)</f>
        <v/>
      </c>
    </row>
    <row r="14070">
      <c r="J14070">
        <f>IFERROR(__xludf.DUMMYFUNCTION("""COMPUTED_VALUE"""),"Sarnia, Canada")</f>
        <v/>
      </c>
      <c r="K14070">
        <f>IFERROR(__xludf.DUMMYFUNCTION("""COMPUTED_VALUE"""),2033.63)</f>
        <v/>
      </c>
    </row>
    <row r="14071">
      <c r="J14071">
        <f>IFERROR(__xludf.DUMMYFUNCTION("""COMPUTED_VALUE"""),"Vaudreuil, Quebec and Toronto, Ontario")</f>
        <v/>
      </c>
      <c r="K14071">
        <f>IFERROR(__xludf.DUMMYFUNCTION("""COMPUTED_VALUE"""),2033.54)</f>
        <v/>
      </c>
    </row>
    <row r="14072">
      <c r="J14072">
        <f>IFERROR(__xludf.DUMMYFUNCTION("""COMPUTED_VALUE"""),"San Diego, CA, USA")</f>
        <v/>
      </c>
      <c r="K14072">
        <f>IFERROR(__xludf.DUMMYFUNCTION("""COMPUTED_VALUE"""),2033.24)</f>
        <v/>
      </c>
    </row>
    <row r="14073">
      <c r="J14073">
        <f>IFERROR(__xludf.DUMMYFUNCTION("""COMPUTED_VALUE"""),"Washington DC, United Stated")</f>
        <v/>
      </c>
      <c r="K14073">
        <f>IFERROR(__xludf.DUMMYFUNCTION("""COMPUTED_VALUE"""),2033.07)</f>
        <v/>
      </c>
    </row>
    <row r="14074">
      <c r="J14074">
        <f>IFERROR(__xludf.DUMMYFUNCTION("""COMPUTED_VALUE"""),"Toronto and London")</f>
        <v/>
      </c>
      <c r="K14074">
        <f>IFERROR(__xludf.DUMMYFUNCTION("""COMPUTED_VALUE"""),2031.51)</f>
        <v/>
      </c>
    </row>
    <row r="14075">
      <c r="J14075">
        <f>IFERROR(__xludf.DUMMYFUNCTION("""COMPUTED_VALUE"""),"Thunder Bay, Ontario, Canada; Toronto, Ontario, Canada")</f>
        <v/>
      </c>
      <c r="K14075">
        <f>IFERROR(__xludf.DUMMYFUNCTION("""COMPUTED_VALUE"""),2031.38)</f>
        <v/>
      </c>
    </row>
    <row r="14076">
      <c r="J14076">
        <f>IFERROR(__xludf.DUMMYFUNCTION("""COMPUTED_VALUE"""),"Montréal - Vancouver - Calgary - Halifax")</f>
        <v/>
      </c>
      <c r="K14076">
        <f>IFERROR(__xludf.DUMMYFUNCTION("""COMPUTED_VALUE"""),2031.36)</f>
        <v/>
      </c>
    </row>
    <row r="14077">
      <c r="J14077">
        <f>IFERROR(__xludf.DUMMYFUNCTION("""COMPUTED_VALUE"""),"St. John's, NL &amp; Halifax, NS")</f>
        <v/>
      </c>
      <c r="K14077">
        <f>IFERROR(__xludf.DUMMYFUNCTION("""COMPUTED_VALUE"""),2031.09)</f>
        <v/>
      </c>
    </row>
    <row r="14078">
      <c r="J14078">
        <f>IFERROR(__xludf.DUMMYFUNCTION("""COMPUTED_VALUE"""),"Belleville, ON /
Northcumberland County, ON /
Peterborough, ON")</f>
        <v/>
      </c>
      <c r="K14078">
        <f>IFERROR(__xludf.DUMMYFUNCTION("""COMPUTED_VALUE"""),2030.46)</f>
        <v/>
      </c>
    </row>
    <row r="14079">
      <c r="J14079">
        <f>IFERROR(__xludf.DUMMYFUNCTION("""COMPUTED_VALUE"""),"Toronto, Ontario, Canada; Stephenville, Newfoundland and Labrador, Canada")</f>
        <v/>
      </c>
      <c r="K14079">
        <f>IFERROR(__xludf.DUMMYFUNCTION("""COMPUTED_VALUE"""),2030.07)</f>
        <v/>
      </c>
    </row>
    <row r="14080">
      <c r="J14080">
        <f>IFERROR(__xludf.DUMMYFUNCTION("""COMPUTED_VALUE"""),"Trois-Rivières, Quebec, Canada / Saguenay, Quebec, Canada")</f>
        <v/>
      </c>
      <c r="K14080">
        <f>IFERROR(__xludf.DUMMYFUNCTION("""COMPUTED_VALUE"""),2030.01)</f>
        <v/>
      </c>
    </row>
    <row r="14081">
      <c r="J14081">
        <f>IFERROR(__xludf.DUMMYFUNCTION("""COMPUTED_VALUE"""),"Halifax, Nova Scotia, Canada; Moncton, New Brunswick, Canada; Halifax, Nova Scotia, Canada; St. John's, Newfoundland and Labrador, Canada")</f>
        <v/>
      </c>
      <c r="K14081">
        <f>IFERROR(__xludf.DUMMYFUNCTION("""COMPUTED_VALUE"""),2029.95)</f>
        <v/>
      </c>
    </row>
    <row r="14082">
      <c r="J14082">
        <f>IFERROR(__xludf.DUMMYFUNCTION("""COMPUTED_VALUE"""),"Ottawa- Charlottetown- Halifax - Ottawa")</f>
        <v/>
      </c>
      <c r="K14082">
        <f>IFERROR(__xludf.DUMMYFUNCTION("""COMPUTED_VALUE"""),2029.66)</f>
        <v/>
      </c>
    </row>
    <row r="14083">
      <c r="J14083">
        <f>IFERROR(__xludf.DUMMYFUNCTION("""COMPUTED_VALUE"""),"Charlottetown, Montague and Graham Pond, Prince Edward Island")</f>
        <v/>
      </c>
      <c r="K14083">
        <f>IFERROR(__xludf.DUMMYFUNCTION("""COMPUTED_VALUE"""),2029.59)</f>
        <v/>
      </c>
    </row>
    <row r="14084">
      <c r="J14084">
        <f>IFERROR(__xludf.DUMMYFUNCTION("""COMPUTED_VALUE"""),"ST. JOHN'S, NL - CHARLOTTETOWN, PE")</f>
        <v/>
      </c>
      <c r="K14084">
        <f>IFERROR(__xludf.DUMMYFUNCTION("""COMPUTED_VALUE"""),2029.38)</f>
        <v/>
      </c>
    </row>
    <row r="14085">
      <c r="J14085">
        <f>IFERROR(__xludf.DUMMYFUNCTION("""COMPUTED_VALUE"""),"Winnipeg and Riding Mountain, Manitoba")</f>
        <v/>
      </c>
      <c r="K14085">
        <f>IFERROR(__xludf.DUMMYFUNCTION("""COMPUTED_VALUE"""),2029.1)</f>
        <v/>
      </c>
    </row>
    <row r="14086">
      <c r="J14086">
        <f>IFERROR(__xludf.DUMMYFUNCTION("""COMPUTED_VALUE"""),"Ottawa, ON - Charlottetown, PE Charlottetown, PE - Ottawa, ON")</f>
        <v/>
      </c>
      <c r="K14086">
        <f>IFERROR(__xludf.DUMMYFUNCTION("""COMPUTED_VALUE"""),2029.01)</f>
        <v/>
      </c>
    </row>
    <row r="14087">
      <c r="J14087">
        <f>IFERROR(__xludf.DUMMYFUNCTION("""COMPUTED_VALUE"""),"Victoria,British Columbia, Canada")</f>
        <v/>
      </c>
      <c r="K14087">
        <f>IFERROR(__xludf.DUMMYFUNCTION("""COMPUTED_VALUE"""),2028.85)</f>
        <v/>
      </c>
    </row>
    <row r="14088">
      <c r="J14088">
        <f>IFERROR(__xludf.DUMMYFUNCTION("""COMPUTED_VALUE"""),"Aylmer, Ontario, Canada")</f>
        <v/>
      </c>
      <c r="K14088">
        <f>IFERROR(__xludf.DUMMYFUNCTION("""COMPUTED_VALUE"""),2028.58)</f>
        <v/>
      </c>
    </row>
    <row r="14089">
      <c r="J14089">
        <f>IFERROR(__xludf.DUMMYFUNCTION("""COMPUTED_VALUE"""),"Montreal and Quebec, Quebec")</f>
        <v/>
      </c>
      <c r="K14089">
        <f>IFERROR(__xludf.DUMMYFUNCTION("""COMPUTED_VALUE"""),2028.16)</f>
        <v/>
      </c>
    </row>
    <row r="14090">
      <c r="J14090">
        <f>IFERROR(__xludf.DUMMYFUNCTION("""COMPUTED_VALUE"""),"Revelstoke,British-Colombia,Canada")</f>
        <v/>
      </c>
      <c r="K14090">
        <f>IFERROR(__xludf.DUMMYFUNCTION("""COMPUTED_VALUE"""),2027.68)</f>
        <v/>
      </c>
    </row>
    <row r="14091">
      <c r="J14091">
        <f>IFERROR(__xludf.DUMMYFUNCTION("""COMPUTED_VALUE"""),"Windsor, Ontario, Canada; Chatham, Ontario, Canada; Sault Ste. Marie, Ontario, Canada")</f>
        <v/>
      </c>
      <c r="K14091">
        <f>IFERROR(__xludf.DUMMYFUNCTION("""COMPUTED_VALUE"""),2026.84)</f>
        <v/>
      </c>
    </row>
    <row r="14092">
      <c r="J14092">
        <f>IFERROR(__xludf.DUMMYFUNCTION("""COMPUTED_VALUE"""),"Québec, Quebec, Canada; Ottawa, Ontario, Canada")</f>
        <v/>
      </c>
      <c r="K14092">
        <f>IFERROR(__xludf.DUMMYFUNCTION("""COMPUTED_VALUE"""),2026.69)</f>
        <v/>
      </c>
    </row>
    <row r="14093">
      <c r="J14093">
        <f>IFERROR(__xludf.DUMMYFUNCTION("""COMPUTED_VALUE"""),"Prince Albert, Saskachewan, Canada")</f>
        <v/>
      </c>
      <c r="K14093">
        <f>IFERROR(__xludf.DUMMYFUNCTION("""COMPUTED_VALUE"""),2026.25)</f>
        <v/>
      </c>
    </row>
    <row r="14094">
      <c r="J14094">
        <f>IFERROR(__xludf.DUMMYFUNCTION("""COMPUTED_VALUE"""),"Hamilton, ON / Waterloo, ON /
Guelph, ON")</f>
        <v/>
      </c>
      <c r="K14094">
        <f>IFERROR(__xludf.DUMMYFUNCTION("""COMPUTED_VALUE"""),2026.19)</f>
        <v/>
      </c>
    </row>
    <row r="14095">
      <c r="J14095">
        <f>IFERROR(__xludf.DUMMYFUNCTION("""COMPUTED_VALUE"""),"St. John's, Newfoundland and Halifax, Nova Scotia")</f>
        <v/>
      </c>
      <c r="K14095">
        <f>IFERROR(__xludf.DUMMYFUNCTION("""COMPUTED_VALUE"""),2025.67)</f>
        <v/>
      </c>
    </row>
    <row r="14096">
      <c r="J14096">
        <f>IFERROR(__xludf.DUMMYFUNCTION("""COMPUTED_VALUE"""),"Windsor, Ontario, Canada; Chatham, Ontario, Canada; Point Edward, Ontario, Canada; Sarnia, Ontario, Canada; London, Ontario, Canada")</f>
        <v/>
      </c>
      <c r="K14096">
        <f>IFERROR(__xludf.DUMMYFUNCTION("""COMPUTED_VALUE"""),2025.49)</f>
        <v/>
      </c>
    </row>
    <row r="14097">
      <c r="J14097">
        <f>IFERROR(__xludf.DUMMYFUNCTION("""COMPUTED_VALUE"""),"London, ON and Saint-Hyacinthe, QC")</f>
        <v/>
      </c>
      <c r="K14097">
        <f>IFERROR(__xludf.DUMMYFUNCTION("""COMPUTED_VALUE"""),2025.32)</f>
        <v/>
      </c>
    </row>
    <row r="14098">
      <c r="J14098">
        <f>IFERROR(__xludf.DUMMYFUNCTION("""COMPUTED_VALUE"""),"Fredericton, New Brunswick, Canada / Quebec, Quebec, Canada")</f>
        <v/>
      </c>
      <c r="K14098">
        <f>IFERROR(__xludf.DUMMYFUNCTION("""COMPUTED_VALUE"""),2025.24)</f>
        <v/>
      </c>
    </row>
    <row r="14099">
      <c r="J14099">
        <f>IFERROR(__xludf.DUMMYFUNCTION("""COMPUTED_VALUE"""),"Fort McMurray, AB - Edmonton, AB")</f>
        <v/>
      </c>
      <c r="K14099">
        <f>IFERROR(__xludf.DUMMYFUNCTION("""COMPUTED_VALUE"""),2024.29)</f>
        <v/>
      </c>
    </row>
    <row r="14100">
      <c r="J14100">
        <f>IFERROR(__xludf.DUMMYFUNCTION("""COMPUTED_VALUE"""),"Ottawa, ON / Saskatoon, SK / Beijing, CN / Guangzhou, CN")</f>
        <v/>
      </c>
      <c r="K14100">
        <f>IFERROR(__xludf.DUMMYFUNCTION("""COMPUTED_VALUE"""),2023.36)</f>
        <v/>
      </c>
    </row>
    <row r="14101">
      <c r="J14101">
        <f>IFERROR(__xludf.DUMMYFUNCTION("""COMPUTED_VALUE"""),"Montréal, (Quebec)")</f>
        <v/>
      </c>
      <c r="K14101">
        <f>IFERROR(__xludf.DUMMYFUNCTION("""COMPUTED_VALUE"""),2023.23)</f>
        <v/>
      </c>
    </row>
    <row r="14102">
      <c r="J14102">
        <f>IFERROR(__xludf.DUMMYFUNCTION("""COMPUTED_VALUE"""),"Ottawa, ON &amp; Saint Jean Sur Richelieu, QC, Canada")</f>
        <v/>
      </c>
      <c r="K14102">
        <f>IFERROR(__xludf.DUMMYFUNCTION("""COMPUTED_VALUE"""),2023.08)</f>
        <v/>
      </c>
    </row>
    <row r="14103">
      <c r="J14103">
        <f>IFERROR(__xludf.DUMMYFUNCTION("""COMPUTED_VALUE"""),"Ottawa- Saint John-Halifax- Ottawa")</f>
        <v/>
      </c>
      <c r="K14103">
        <f>IFERROR(__xludf.DUMMYFUNCTION("""COMPUTED_VALUE"""),2022.4)</f>
        <v/>
      </c>
    </row>
    <row r="14104">
      <c r="J14104">
        <f>IFERROR(__xludf.DUMMYFUNCTION("""COMPUTED_VALUE"""),"Vancouver (British Columbia) Canada; Kelowna (British Columbia) Canada")</f>
        <v/>
      </c>
      <c r="K14104">
        <f>IFERROR(__xludf.DUMMYFUNCTION("""COMPUTED_VALUE"""),2022.38)</f>
        <v/>
      </c>
    </row>
    <row r="14105">
      <c r="J14105">
        <f>IFERROR(__xludf.DUMMYFUNCTION("""COMPUTED_VALUE"""),"St-John’s, Newfoundland and Labrador, Canada")</f>
        <v/>
      </c>
      <c r="K14105">
        <f>IFERROR(__xludf.DUMMYFUNCTION("""COMPUTED_VALUE"""),2022.3)</f>
        <v/>
      </c>
    </row>
    <row r="14106">
      <c r="J14106">
        <f>IFERROR(__xludf.DUMMYFUNCTION("""COMPUTED_VALUE"""),"Winnipeg (MB)")</f>
        <v/>
      </c>
      <c r="K14106">
        <f>IFERROR(__xludf.DUMMYFUNCTION("""COMPUTED_VALUE"""),2022.13999999999)</f>
        <v/>
      </c>
    </row>
    <row r="14107">
      <c r="J14107">
        <f>IFERROR(__xludf.DUMMYFUNCTION("""COMPUTED_VALUE"""),"Edmonton -Pe Sakastew")</f>
        <v/>
      </c>
      <c r="K14107">
        <f>IFERROR(__xludf.DUMMYFUNCTION("""COMPUTED_VALUE"""),2021.82)</f>
        <v/>
      </c>
    </row>
    <row r="14108">
      <c r="J14108">
        <f>IFERROR(__xludf.DUMMYFUNCTION("""COMPUTED_VALUE"""),"Saguenay, Québec and Gatineau")</f>
        <v/>
      </c>
      <c r="K14108">
        <f>IFERROR(__xludf.DUMMYFUNCTION("""COMPUTED_VALUE"""),2021.81)</f>
        <v/>
      </c>
    </row>
    <row r="14109">
      <c r="J14109">
        <f>IFERROR(__xludf.DUMMYFUNCTION("""COMPUTED_VALUE"""),"Ottawa, ON - Kingston, ON")</f>
        <v/>
      </c>
      <c r="K14109">
        <f>IFERROR(__xludf.DUMMYFUNCTION("""COMPUTED_VALUE"""),2021.52)</f>
        <v/>
      </c>
    </row>
    <row r="14110">
      <c r="J14110">
        <f>IFERROR(__xludf.DUMMYFUNCTION("""COMPUTED_VALUE"""),"Alexandria, USA")</f>
        <v/>
      </c>
      <c r="K14110">
        <f>IFERROR(__xludf.DUMMYFUNCTION("""COMPUTED_VALUE"""),2021.51)</f>
        <v/>
      </c>
    </row>
    <row r="14111">
      <c r="J14111">
        <f>IFERROR(__xludf.DUMMYFUNCTION("""COMPUTED_VALUE"""),"Wiarton, Ontario, Canada")</f>
        <v/>
      </c>
      <c r="K14111">
        <f>IFERROR(__xludf.DUMMYFUNCTION("""COMPUTED_VALUE"""),2020.84)</f>
        <v/>
      </c>
    </row>
    <row r="14112">
      <c r="J14112">
        <f>IFERROR(__xludf.DUMMYFUNCTION("""COMPUTED_VALUE"""),"Gatineau, Qc and Ottawa, ON")</f>
        <v/>
      </c>
      <c r="K14112">
        <f>IFERROR(__xludf.DUMMYFUNCTION("""COMPUTED_VALUE"""),2020.66)</f>
        <v/>
      </c>
    </row>
    <row r="14113">
      <c r="J14113">
        <f>IFERROR(__xludf.DUMMYFUNCTION("""COMPUTED_VALUE"""),"Vancouver and Comox, British Columbia")</f>
        <v/>
      </c>
      <c r="K14113">
        <f>IFERROR(__xludf.DUMMYFUNCTION("""COMPUTED_VALUE"""),2020.64)</f>
        <v/>
      </c>
    </row>
    <row r="14114">
      <c r="J14114">
        <f>IFERROR(__xludf.DUMMYFUNCTION("""COMPUTED_VALUE"""),"Nuie, Auckland NZ")</f>
        <v/>
      </c>
      <c r="K14114">
        <f>IFERROR(__xludf.DUMMYFUNCTION("""COMPUTED_VALUE"""),2020.4)</f>
        <v/>
      </c>
    </row>
    <row r="14115">
      <c r="J14115">
        <f>IFERROR(__xludf.DUMMYFUNCTION("""COMPUTED_VALUE"""),"Vancouver, Smithers, Terrace &amp; Prince Rupert, British Columbia")</f>
        <v/>
      </c>
      <c r="K14115">
        <f>IFERROR(__xludf.DUMMYFUNCTION("""COMPUTED_VALUE"""),2020.29)</f>
        <v/>
      </c>
    </row>
    <row r="14116">
      <c r="J14116">
        <f>IFERROR(__xludf.DUMMYFUNCTION("""COMPUTED_VALUE"""),"Montreal, QC / Saskatoon, SK")</f>
        <v/>
      </c>
      <c r="K14116">
        <f>IFERROR(__xludf.DUMMYFUNCTION("""COMPUTED_VALUE"""),2019)</f>
        <v/>
      </c>
    </row>
    <row r="14117">
      <c r="J14117">
        <f>IFERROR(__xludf.DUMMYFUNCTION("""COMPUTED_VALUE"""),"Toronto / Amherst")</f>
        <v/>
      </c>
      <c r="K14117">
        <f>IFERROR(__xludf.DUMMYFUNCTION("""COMPUTED_VALUE"""),2018.89)</f>
        <v/>
      </c>
    </row>
    <row r="14118">
      <c r="J14118">
        <f>IFERROR(__xludf.DUMMYFUNCTION("""COMPUTED_VALUE"""),"Hamilton, Waterloo, Ontario, Canada")</f>
        <v/>
      </c>
      <c r="K14118">
        <f>IFERROR(__xludf.DUMMYFUNCTION("""COMPUTED_VALUE"""),2018.67)</f>
        <v/>
      </c>
    </row>
    <row r="14119">
      <c r="J14119">
        <f>IFERROR(__xludf.DUMMYFUNCTION("""COMPUTED_VALUE"""),"Fort McMurray and Edmonton, Alberta, Canada")</f>
        <v/>
      </c>
      <c r="K14119">
        <f>IFERROR(__xludf.DUMMYFUNCTION("""COMPUTED_VALUE"""),2018.5)</f>
        <v/>
      </c>
    </row>
    <row r="14120">
      <c r="J14120">
        <f>IFERROR(__xludf.DUMMYFUNCTION("""COMPUTED_VALUE"""),"Rankin Inlet, Nunavut, Canada / Arviat, Nunavut, Canada")</f>
        <v/>
      </c>
      <c r="K14120">
        <f>IFERROR(__xludf.DUMMYFUNCTION("""COMPUTED_VALUE"""),2018.3)</f>
        <v/>
      </c>
    </row>
    <row r="14121">
      <c r="J14121">
        <f>IFERROR(__xludf.DUMMYFUNCTION("""COMPUTED_VALUE"""),"Edmonton, Alberta, Canada; Winnipeg, Manitoba, Canada; Calgary, Alberta, Canada")</f>
        <v/>
      </c>
      <c r="K14121">
        <f>IFERROR(__xludf.DUMMYFUNCTION("""COMPUTED_VALUE"""),2018.26)</f>
        <v/>
      </c>
    </row>
    <row r="14122">
      <c r="J14122">
        <f>IFERROR(__xludf.DUMMYFUNCTION("""COMPUTED_VALUE"""),"Toronto; New York City")</f>
        <v/>
      </c>
      <c r="K14122">
        <f>IFERROR(__xludf.DUMMYFUNCTION("""COMPUTED_VALUE"""),2018.11)</f>
        <v/>
      </c>
    </row>
    <row r="14123">
      <c r="J14123">
        <f>IFERROR(__xludf.DUMMYFUNCTION("""COMPUTED_VALUE"""),"Monton, NB")</f>
        <v/>
      </c>
      <c r="K14123">
        <f>IFERROR(__xludf.DUMMYFUNCTION("""COMPUTED_VALUE"""),2018.05)</f>
        <v/>
      </c>
    </row>
    <row r="14124">
      <c r="J14124">
        <f>IFERROR(__xludf.DUMMYFUNCTION("""COMPUTED_VALUE"""),"Fort Good Hope, Nortwest Territories, Canada")</f>
        <v/>
      </c>
      <c r="K14124">
        <f>IFERROR(__xludf.DUMMYFUNCTION("""COMPUTED_VALUE"""),2017.8)</f>
        <v/>
      </c>
    </row>
    <row r="14125">
      <c r="J14125">
        <f>IFERROR(__xludf.DUMMYFUNCTION("""COMPUTED_VALUE"""),"Swift Current, Saskatchewan, Canada; Vancouver, British Columbia, Canada")</f>
        <v/>
      </c>
      <c r="K14125">
        <f>IFERROR(__xludf.DUMMYFUNCTION("""COMPUTED_VALUE"""),2017.58)</f>
        <v/>
      </c>
    </row>
    <row r="14126">
      <c r="J14126">
        <f>IFERROR(__xludf.DUMMYFUNCTION("""COMPUTED_VALUE"""),"Renous, NB, St John, NB, Fredericton, NB")</f>
        <v/>
      </c>
      <c r="K14126">
        <f>IFERROR(__xludf.DUMMYFUNCTION("""COMPUTED_VALUE"""),2017.31)</f>
        <v/>
      </c>
    </row>
    <row r="14127">
      <c r="J14127">
        <f>IFERROR(__xludf.DUMMYFUNCTION("""COMPUTED_VALUE"""),"Fort Smith, N.W.T")</f>
        <v/>
      </c>
      <c r="K14127">
        <f>IFERROR(__xludf.DUMMYFUNCTION("""COMPUTED_VALUE"""),2017.03)</f>
        <v/>
      </c>
    </row>
    <row r="14128">
      <c r="J14128">
        <f>IFERROR(__xludf.DUMMYFUNCTION("""COMPUTED_VALUE"""),"Enfield, Halifax, Nova Scotia, Canada")</f>
        <v/>
      </c>
      <c r="K14128">
        <f>IFERROR(__xludf.DUMMYFUNCTION("""COMPUTED_VALUE"""),2016.77)</f>
        <v/>
      </c>
    </row>
    <row r="14129">
      <c r="J14129">
        <f>IFERROR(__xludf.DUMMYFUNCTION("""COMPUTED_VALUE"""),"Ottawa, ON / London, ON / Toronto, ON")</f>
        <v/>
      </c>
      <c r="K14129">
        <f>IFERROR(__xludf.DUMMYFUNCTION("""COMPUTED_VALUE"""),2016.65)</f>
        <v/>
      </c>
    </row>
    <row r="14130">
      <c r="J14130">
        <f>IFERROR(__xludf.DUMMYFUNCTION("""COMPUTED_VALUE"""),"Calgary, Alberta Banff, Alberta")</f>
        <v/>
      </c>
      <c r="K14130">
        <f>IFERROR(__xludf.DUMMYFUNCTION("""COMPUTED_VALUE"""),2016)</f>
        <v/>
      </c>
    </row>
    <row r="14131">
      <c r="J14131">
        <f>IFERROR(__xludf.DUMMYFUNCTION("""COMPUTED_VALUE"""),"Val D'or, Rouyn-Noranda")</f>
        <v/>
      </c>
      <c r="K14131">
        <f>IFERROR(__xludf.DUMMYFUNCTION("""COMPUTED_VALUE"""),2015.76)</f>
        <v/>
      </c>
    </row>
    <row r="14132">
      <c r="J14132">
        <f>IFERROR(__xludf.DUMMYFUNCTION("""COMPUTED_VALUE"""),"Halifax, NS, CA")</f>
        <v/>
      </c>
      <c r="K14132">
        <f>IFERROR(__xludf.DUMMYFUNCTION("""COMPUTED_VALUE"""),2015.71)</f>
        <v/>
      </c>
    </row>
    <row r="14133">
      <c r="J14133">
        <f>IFERROR(__xludf.DUMMYFUNCTION("""COMPUTED_VALUE"""),"Calgary, AB;
Lethbridge, AB")</f>
        <v/>
      </c>
      <c r="K14133">
        <f>IFERROR(__xludf.DUMMYFUNCTION("""COMPUTED_VALUE"""),2015.11)</f>
        <v/>
      </c>
    </row>
    <row r="14134">
      <c r="J14134">
        <f>IFERROR(__xludf.DUMMYFUNCTION("""COMPUTED_VALUE"""),"Halifax, Nova Scotia and Truro, Nova Scotia")</f>
        <v/>
      </c>
      <c r="K14134">
        <f>IFERROR(__xludf.DUMMYFUNCTION("""COMPUTED_VALUE"""),2014.83)</f>
        <v/>
      </c>
    </row>
    <row r="14135">
      <c r="J14135">
        <f>IFERROR(__xludf.DUMMYFUNCTION("""COMPUTED_VALUE"""),"Winnipeg, Manitoba, Canada                   Calgary, Alberta, Canada")</f>
        <v/>
      </c>
      <c r="K14135">
        <f>IFERROR(__xludf.DUMMYFUNCTION("""COMPUTED_VALUE"""),2014)</f>
        <v/>
      </c>
    </row>
    <row r="14136">
      <c r="J14136">
        <f>IFERROR(__xludf.DUMMYFUNCTION("""COMPUTED_VALUE"""),"Parry Sound, Ontario, Canada")</f>
        <v/>
      </c>
      <c r="K14136">
        <f>IFERROR(__xludf.DUMMYFUNCTION("""COMPUTED_VALUE"""),2013.98)</f>
        <v/>
      </c>
    </row>
    <row r="14137">
      <c r="J14137">
        <f>IFERROR(__xludf.DUMMYFUNCTION("""COMPUTED_VALUE"""),"Timmins, ON - Thunder Bay, ON")</f>
        <v/>
      </c>
      <c r="K14137">
        <f>IFERROR(__xludf.DUMMYFUNCTION("""COMPUTED_VALUE"""),2013.82)</f>
        <v/>
      </c>
    </row>
    <row r="14138">
      <c r="J14138">
        <f>IFERROR(__xludf.DUMMYFUNCTION("""COMPUTED_VALUE"""),"Timmins, ON / Kapuskasing, ON / Heart, ON / Cochrane, ON / Kirkland Lake, ON")</f>
        <v/>
      </c>
      <c r="K14138">
        <f>IFERROR(__xludf.DUMMYFUNCTION("""COMPUTED_VALUE"""),2013.82)</f>
        <v/>
      </c>
    </row>
    <row r="14139">
      <c r="J14139">
        <f>IFERROR(__xludf.DUMMYFUNCTION("""COMPUTED_VALUE"""),"Quebec, QC, Fredericton, NB")</f>
        <v/>
      </c>
      <c r="K14139">
        <f>IFERROR(__xludf.DUMMYFUNCTION("""COMPUTED_VALUE"""),2013.71)</f>
        <v/>
      </c>
    </row>
    <row r="14140">
      <c r="J14140">
        <f>IFERROR(__xludf.DUMMYFUNCTION("""COMPUTED_VALUE"""),"Manhattan, New York, United States")</f>
        <v/>
      </c>
      <c r="K14140">
        <f>IFERROR(__xludf.DUMMYFUNCTION("""COMPUTED_VALUE"""),2013.61)</f>
        <v/>
      </c>
    </row>
    <row r="14141">
      <c r="J14141">
        <f>IFERROR(__xludf.DUMMYFUNCTION("""COMPUTED_VALUE"""),"London, Ontario, Canada; Niagara Falls, Ontario, Canada; Waterloo, Ontario, Canada")</f>
        <v/>
      </c>
      <c r="K14141">
        <f>IFERROR(__xludf.DUMMYFUNCTION("""COMPUTED_VALUE"""),2013.14)</f>
        <v/>
      </c>
    </row>
    <row r="14142">
      <c r="J14142">
        <f>IFERROR(__xludf.DUMMYFUNCTION("""COMPUTED_VALUE"""),"Yellowknife, Northwest Territories, Canada; Edmonton, Alberta, Canada; Yellowknife, Northwest Territories, Canada")</f>
        <v/>
      </c>
      <c r="K14142">
        <f>IFERROR(__xludf.DUMMYFUNCTION("""COMPUTED_VALUE"""),2012.66)</f>
        <v/>
      </c>
    </row>
    <row r="14143">
      <c r="J14143">
        <f>IFERROR(__xludf.DUMMYFUNCTION("""COMPUTED_VALUE"""),"Niagara-on-the-Lake, Ontario, Canada / Toronto, Ontario, Canada")</f>
        <v/>
      </c>
      <c r="K14143">
        <f>IFERROR(__xludf.DUMMYFUNCTION("""COMPUTED_VALUE"""),2011.28)</f>
        <v/>
      </c>
    </row>
    <row r="14144">
      <c r="J14144">
        <f>IFERROR(__xludf.DUMMYFUNCTION("""COMPUTED_VALUE"""),"Owen Sound, Ontario, Canada")</f>
        <v/>
      </c>
      <c r="K14144">
        <f>IFERROR(__xludf.DUMMYFUNCTION("""COMPUTED_VALUE"""),2011.17999999999)</f>
        <v/>
      </c>
    </row>
    <row r="14145">
      <c r="J14145">
        <f>IFERROR(__xludf.DUMMYFUNCTION("""COMPUTED_VALUE"""),"Calgary / Lethbridge, Alberta, Canada")</f>
        <v/>
      </c>
      <c r="K14145">
        <f>IFERROR(__xludf.DUMMYFUNCTION("""COMPUTED_VALUE"""),2010.53)</f>
        <v/>
      </c>
    </row>
    <row r="14146">
      <c r="J14146">
        <f>IFERROR(__xludf.DUMMYFUNCTION("""COMPUTED_VALUE"""),"Halifax, Nova Scotia; Charlottetown, Prince-Edward Island; Fredericton, New-Brunswick")</f>
        <v/>
      </c>
      <c r="K14146">
        <f>IFERROR(__xludf.DUMMYFUNCTION("""COMPUTED_VALUE"""),2010.5)</f>
        <v/>
      </c>
    </row>
    <row r="14147">
      <c r="J14147">
        <f>IFERROR(__xludf.DUMMYFUNCTION("""COMPUTED_VALUE"""),"Gander, Newfoundland and Labrador, Canada; Marystown, Newfoundland and Labrador, Canada")</f>
        <v/>
      </c>
      <c r="K14147">
        <f>IFERROR(__xludf.DUMMYFUNCTION("""COMPUTED_VALUE"""),2010.28)</f>
        <v/>
      </c>
    </row>
    <row r="14148">
      <c r="J14148">
        <f>IFERROR(__xludf.DUMMYFUNCTION("""COMPUTED_VALUE"""),"Gatineau ( Quebec) Canada")</f>
        <v/>
      </c>
      <c r="K14148">
        <f>IFERROR(__xludf.DUMMYFUNCTION("""COMPUTED_VALUE"""),2009.67)</f>
        <v/>
      </c>
    </row>
    <row r="14149">
      <c r="J14149">
        <f>IFERROR(__xludf.DUMMYFUNCTION("""COMPUTED_VALUE"""),"Qingdao, Shanghai, Beijing, Islamabad")</f>
        <v/>
      </c>
      <c r="K14149">
        <f>IFERROR(__xludf.DUMMYFUNCTION("""COMPUTED_VALUE"""),2009.67)</f>
        <v/>
      </c>
    </row>
    <row r="14150">
      <c r="J14150">
        <f>IFERROR(__xludf.DUMMYFUNCTION("""COMPUTED_VALUE"""),"St. John’s, Terre-Neuve-et-Labrador, Canada")</f>
        <v/>
      </c>
      <c r="K14150">
        <f>IFERROR(__xludf.DUMMYFUNCTION("""COMPUTED_VALUE"""),2009.38)</f>
        <v/>
      </c>
    </row>
    <row r="14151">
      <c r="J14151">
        <f>IFERROR(__xludf.DUMMYFUNCTION("""COMPUTED_VALUE"""),"Toronto, Windsor, Burlington, Hamilton")</f>
        <v/>
      </c>
      <c r="K14151">
        <f>IFERROR(__xludf.DUMMYFUNCTION("""COMPUTED_VALUE"""),2009.24)</f>
        <v/>
      </c>
    </row>
    <row r="14152">
      <c r="J14152">
        <f>IFERROR(__xludf.DUMMYFUNCTION("""COMPUTED_VALUE"""),"Calgary, AB; Regina, SK")</f>
        <v/>
      </c>
      <c r="K14152">
        <f>IFERROR(__xludf.DUMMYFUNCTION("""COMPUTED_VALUE"""),2008.64)</f>
        <v/>
      </c>
    </row>
    <row r="14153">
      <c r="J14153">
        <f>IFERROR(__xludf.DUMMYFUNCTION("""COMPUTED_VALUE"""),"Montreal, QC, Toronto, ON")</f>
        <v/>
      </c>
      <c r="K14153">
        <f>IFERROR(__xludf.DUMMYFUNCTION("""COMPUTED_VALUE"""),2007.74)</f>
        <v/>
      </c>
    </row>
    <row r="14154">
      <c r="J14154">
        <f>IFERROR(__xludf.DUMMYFUNCTION("""COMPUTED_VALUE"""),"Ottawa/Hull")</f>
        <v/>
      </c>
      <c r="K14154">
        <f>IFERROR(__xludf.DUMMYFUNCTION("""COMPUTED_VALUE"""),2007.54)</f>
        <v/>
      </c>
    </row>
    <row r="14155">
      <c r="J14155">
        <f>IFERROR(__xludf.DUMMYFUNCTION("""COMPUTED_VALUE"""),"Toronto, ON and Quebec City,QC Canada")</f>
        <v/>
      </c>
      <c r="K14155">
        <f>IFERROR(__xludf.DUMMYFUNCTION("""COMPUTED_VALUE"""),2006.99)</f>
        <v/>
      </c>
    </row>
    <row r="14156">
      <c r="J14156">
        <f>IFERROR(__xludf.DUMMYFUNCTION("""COMPUTED_VALUE"""),"St. Johns-Toronto-Ottawa")</f>
        <v/>
      </c>
      <c r="K14156">
        <f>IFERROR(__xludf.DUMMYFUNCTION("""COMPUTED_VALUE"""),2006.19)</f>
        <v/>
      </c>
    </row>
    <row r="14157">
      <c r="J14157">
        <f>IFERROR(__xludf.DUMMYFUNCTION("""COMPUTED_VALUE"""),"Montreal, Quebec, Canada; Sydney, Nova Scotia, Canada")</f>
        <v/>
      </c>
      <c r="K14157">
        <f>IFERROR(__xludf.DUMMYFUNCTION("""COMPUTED_VALUE"""),2005.95)</f>
        <v/>
      </c>
    </row>
    <row r="14158">
      <c r="J14158">
        <f>IFERROR(__xludf.DUMMYFUNCTION("""COMPUTED_VALUE"""),"Chicago, Unites States of America")</f>
        <v/>
      </c>
      <c r="K14158">
        <f>IFERROR(__xludf.DUMMYFUNCTION("""COMPUTED_VALUE"""),2005.94)</f>
        <v/>
      </c>
    </row>
    <row r="14159">
      <c r="J14159">
        <f>IFERROR(__xludf.DUMMYFUNCTION("""COMPUTED_VALUE"""),"Montreal &amp; Bagotville, Quebec")</f>
        <v/>
      </c>
      <c r="K14159">
        <f>IFERROR(__xludf.DUMMYFUNCTION("""COMPUTED_VALUE"""),2005.3)</f>
        <v/>
      </c>
    </row>
    <row r="14160">
      <c r="J14160">
        <f>IFERROR(__xludf.DUMMYFUNCTION("""COMPUTED_VALUE"""),"Guelph, Ontario, Canada; Waterloo, Ontario, Canada; London, Ontario, Canada")</f>
        <v/>
      </c>
      <c r="K14160">
        <f>IFERROR(__xludf.DUMMYFUNCTION("""COMPUTED_VALUE"""),2005.28)</f>
        <v/>
      </c>
    </row>
    <row r="14161">
      <c r="J14161">
        <f>IFERROR(__xludf.DUMMYFUNCTION("""COMPUTED_VALUE"""),"Québec City, QC - Sault Ste. Marie, ON")</f>
        <v/>
      </c>
      <c r="K14161">
        <f>IFERROR(__xludf.DUMMYFUNCTION("""COMPUTED_VALUE"""),2005.05)</f>
        <v/>
      </c>
    </row>
    <row r="14162">
      <c r="J14162">
        <f>IFERROR(__xludf.DUMMYFUNCTION("""COMPUTED_VALUE"""),"Whiteshell, Manitoba, Canada")</f>
        <v/>
      </c>
      <c r="K14162">
        <f>IFERROR(__xludf.DUMMYFUNCTION("""COMPUTED_VALUE"""),2004.54)</f>
        <v/>
      </c>
    </row>
    <row r="14163">
      <c r="J14163">
        <f>IFERROR(__xludf.DUMMYFUNCTION("""COMPUTED_VALUE"""),"Montréal, Quebec, Canada; Ottawa, Ontario, Canada; Halifax, Nova Scotia, Canada; New Glasgow, Nova Scotia, Canada; Kentville, Nova Scotia, Canada; Oak Island, Nova Scotia, Canada; Truro, Nova Scotia, Canada")</f>
        <v/>
      </c>
      <c r="K14163">
        <f>IFERROR(__xludf.DUMMYFUNCTION("""COMPUTED_VALUE"""),2004.53)</f>
        <v/>
      </c>
    </row>
    <row r="14164">
      <c r="J14164">
        <f>IFERROR(__xludf.DUMMYFUNCTION("""COMPUTED_VALUE"""),"Brasilia and Sao Paulo, Brazil Bogota, Colombia   San Jose, Costa Rica   San Pedro Sula, Honduras")</f>
        <v/>
      </c>
      <c r="K14164">
        <f>IFERROR(__xludf.DUMMYFUNCTION("""COMPUTED_VALUE"""),2004.37)</f>
        <v/>
      </c>
    </row>
    <row r="14165">
      <c r="J14165">
        <f>IFERROR(__xludf.DUMMYFUNCTION("""COMPUTED_VALUE"""),"Toronto, ON Moncton, NB Halifax, NS")</f>
        <v/>
      </c>
      <c r="K14165">
        <f>IFERROR(__xludf.DUMMYFUNCTION("""COMPUTED_VALUE"""),2004.08)</f>
        <v/>
      </c>
    </row>
    <row r="14166">
      <c r="J14166">
        <f>IFERROR(__xludf.DUMMYFUNCTION("""COMPUTED_VALUE"""),"Toronto, ON, Newark, NJ")</f>
        <v/>
      </c>
      <c r="K14166">
        <f>IFERROR(__xludf.DUMMYFUNCTION("""COMPUTED_VALUE"""),2003.78)</f>
        <v/>
      </c>
    </row>
    <row r="14167">
      <c r="J14167">
        <f>IFERROR(__xludf.DUMMYFUNCTION("""COMPUTED_VALUE"""),"Bern and Zurich, Switzerland")</f>
        <v/>
      </c>
      <c r="K14167">
        <f>IFERROR(__xludf.DUMMYFUNCTION("""COMPUTED_VALUE"""),2003.57)</f>
        <v/>
      </c>
    </row>
    <row r="14168">
      <c r="J14168">
        <f>IFERROR(__xludf.DUMMYFUNCTION("""COMPUTED_VALUE"""),"Ottawa - Winnipeg - Saskatoon - Ottawa")</f>
        <v/>
      </c>
      <c r="K14168">
        <f>IFERROR(__xludf.DUMMYFUNCTION("""COMPUTED_VALUE"""),2003.56)</f>
        <v/>
      </c>
    </row>
    <row r="14169">
      <c r="J14169">
        <f>IFERROR(__xludf.DUMMYFUNCTION("""COMPUTED_VALUE"""),"London (Britain)")</f>
        <v/>
      </c>
      <c r="K14169">
        <f>IFERROR(__xludf.DUMMYFUNCTION("""COMPUTED_VALUE"""),2003.32)</f>
        <v/>
      </c>
    </row>
    <row r="14170">
      <c r="J14170">
        <f>IFERROR(__xludf.DUMMYFUNCTION("""COMPUTED_VALUE"""),"Ottawa, Ontario; Winnipeg, Manitoba")</f>
        <v/>
      </c>
      <c r="K14170">
        <f>IFERROR(__xludf.DUMMYFUNCTION("""COMPUTED_VALUE"""),2003.32)</f>
        <v/>
      </c>
    </row>
    <row r="14171">
      <c r="J14171">
        <f>IFERROR(__xludf.DUMMYFUNCTION("""COMPUTED_VALUE"""),"Waterloo, Ontario, Canada / Sudbury, Ontario, Canada")</f>
        <v/>
      </c>
      <c r="K14171">
        <f>IFERROR(__xludf.DUMMYFUNCTION("""COMPUTED_VALUE"""),2002.92)</f>
        <v/>
      </c>
    </row>
    <row r="14172">
      <c r="J14172">
        <f>IFERROR(__xludf.DUMMYFUNCTION("""COMPUTED_VALUE"""),"Sturgeon Falls, Ontario, Canada
Winnipeg, Manitoba, Canada")</f>
        <v/>
      </c>
      <c r="K14172">
        <f>IFERROR(__xludf.DUMMYFUNCTION("""COMPUTED_VALUE"""),2001.74)</f>
        <v/>
      </c>
    </row>
    <row r="14173">
      <c r="J14173">
        <f>IFERROR(__xludf.DUMMYFUNCTION("""COMPUTED_VALUE"""),"London, ON; Hamilton, ON; Ottawa, ON")</f>
        <v/>
      </c>
      <c r="K14173">
        <f>IFERROR(__xludf.DUMMYFUNCTION("""COMPUTED_VALUE"""),2001.52)</f>
        <v/>
      </c>
    </row>
    <row r="14174">
      <c r="J14174">
        <f>IFERROR(__xludf.DUMMYFUNCTION("""COMPUTED_VALUE"""),"Mississauga, Ajax, ON")</f>
        <v/>
      </c>
      <c r="K14174">
        <f>IFERROR(__xludf.DUMMYFUNCTION("""COMPUTED_VALUE"""),2001.51)</f>
        <v/>
      </c>
    </row>
    <row r="14175">
      <c r="J14175">
        <f>IFERROR(__xludf.DUMMYFUNCTION("""COMPUTED_VALUE"""),"Québec, Quebec, Canada; Baie-Comeau, Quebec, Canada")</f>
        <v/>
      </c>
      <c r="K14175">
        <f>IFERROR(__xludf.DUMMYFUNCTION("""COMPUTED_VALUE"""),2001.16)</f>
        <v/>
      </c>
    </row>
    <row r="14176">
      <c r="J14176">
        <f>IFERROR(__xludf.DUMMYFUNCTION("""COMPUTED_VALUE"""),"Tokyo, Japon and Seoul, South Korea")</f>
        <v/>
      </c>
      <c r="K14176">
        <f>IFERROR(__xludf.DUMMYFUNCTION("""COMPUTED_VALUE"""),2001.1)</f>
        <v/>
      </c>
    </row>
    <row r="14177">
      <c r="J14177">
        <f>IFERROR(__xludf.DUMMYFUNCTION("""COMPUTED_VALUE"""),"Mississauga, Hamilton and Waterloo, Ontario")</f>
        <v/>
      </c>
      <c r="K14177">
        <f>IFERROR(__xludf.DUMMYFUNCTION("""COMPUTED_VALUE"""),2000.61)</f>
        <v/>
      </c>
    </row>
    <row r="14178">
      <c r="J14178">
        <f>IFERROR(__xludf.DUMMYFUNCTION("""COMPUTED_VALUE"""),"Trip Cancelled")</f>
        <v/>
      </c>
      <c r="K14178">
        <f>IFERROR(__xludf.DUMMYFUNCTION("""COMPUTED_VALUE"""),2000.48)</f>
        <v/>
      </c>
    </row>
    <row r="14179">
      <c r="J14179">
        <f>IFERROR(__xludf.DUMMYFUNCTION("""COMPUTED_VALUE"""),"Ottawa-Saskatchewan-Ottawa")</f>
        <v/>
      </c>
      <c r="K14179">
        <f>IFERROR(__xludf.DUMMYFUNCTION("""COMPUTED_VALUE"""),1999.76)</f>
        <v/>
      </c>
    </row>
    <row r="14180">
      <c r="J14180">
        <f>IFERROR(__xludf.DUMMYFUNCTION("""COMPUTED_VALUE"""),"Ft. Myers, Florida, USA")</f>
        <v/>
      </c>
      <c r="K14180">
        <f>IFERROR(__xludf.DUMMYFUNCTION("""COMPUTED_VALUE"""),1999.67)</f>
        <v/>
      </c>
    </row>
    <row r="14181">
      <c r="J14181">
        <f>IFERROR(__xludf.DUMMYFUNCTION("""COMPUTED_VALUE"""),"Ottawa- Fredericton-Saint John-Halifax-Ottawa")</f>
        <v/>
      </c>
      <c r="K14181">
        <f>IFERROR(__xludf.DUMMYFUNCTION("""COMPUTED_VALUE"""),1999.3)</f>
        <v/>
      </c>
    </row>
    <row r="14182">
      <c r="J14182">
        <f>IFERROR(__xludf.DUMMYFUNCTION("""COMPUTED_VALUE"""),"Charlottetown and Summerside, Prince Edward Island and Moncton and Fredericton, New Brunswick")</f>
        <v/>
      </c>
      <c r="K14182">
        <f>IFERROR(__xludf.DUMMYFUNCTION("""COMPUTED_VALUE"""),1999.24)</f>
        <v/>
      </c>
    </row>
    <row r="14183">
      <c r="J14183">
        <f>IFERROR(__xludf.DUMMYFUNCTION("""COMPUTED_VALUE"""),"Sudbury, ON; Québec, QC")</f>
        <v/>
      </c>
      <c r="K14183">
        <f>IFERROR(__xludf.DUMMYFUNCTION("""COMPUTED_VALUE"""),1998.87)</f>
        <v/>
      </c>
    </row>
    <row r="14184">
      <c r="J14184">
        <f>IFERROR(__xludf.DUMMYFUNCTION("""COMPUTED_VALUE"""),"Omaha,  Nebraska, US")</f>
        <v/>
      </c>
      <c r="K14184">
        <f>IFERROR(__xludf.DUMMYFUNCTION("""COMPUTED_VALUE"""),1998.55)</f>
        <v/>
      </c>
    </row>
    <row r="14185">
      <c r="J14185">
        <f>IFERROR(__xludf.DUMMYFUNCTION("""COMPUTED_VALUE"""),"Montreal, Quebec and Sept-Iles, Quebec")</f>
        <v/>
      </c>
      <c r="K14185">
        <f>IFERROR(__xludf.DUMMYFUNCTION("""COMPUTED_VALUE"""),1997.56)</f>
        <v/>
      </c>
    </row>
    <row r="14186">
      <c r="J14186">
        <f>IFERROR(__xludf.DUMMYFUNCTION("""COMPUTED_VALUE"""),"Donnacona, Quebec, Cananda")</f>
        <v/>
      </c>
      <c r="K14186">
        <f>IFERROR(__xludf.DUMMYFUNCTION("""COMPUTED_VALUE"""),1997.2)</f>
        <v/>
      </c>
    </row>
    <row r="14187">
      <c r="J14187">
        <f>IFERROR(__xludf.DUMMYFUNCTION("""COMPUTED_VALUE"""),"Waterloo, Toronto and London, Ontario, Canada")</f>
        <v/>
      </c>
      <c r="K14187">
        <f>IFERROR(__xludf.DUMMYFUNCTION("""COMPUTED_VALUE"""),1997.1)</f>
        <v/>
      </c>
    </row>
    <row r="14188">
      <c r="J14188">
        <f>IFERROR(__xludf.DUMMYFUNCTION("""COMPUTED_VALUE"""),"Wroclaw, Poland")</f>
        <v/>
      </c>
      <c r="K14188">
        <f>IFERROR(__xludf.DUMMYFUNCTION("""COMPUTED_VALUE"""),1996.97)</f>
        <v/>
      </c>
    </row>
    <row r="14189">
      <c r="J14189">
        <f>IFERROR(__xludf.DUMMYFUNCTION("""COMPUTED_VALUE"""),"Alberta and Toronto")</f>
        <v/>
      </c>
      <c r="K14189">
        <f>IFERROR(__xludf.DUMMYFUNCTION("""COMPUTED_VALUE"""),1996.52)</f>
        <v/>
      </c>
    </row>
    <row r="14190">
      <c r="J14190">
        <f>IFERROR(__xludf.DUMMYFUNCTION("""COMPUTED_VALUE"""),"Contrecoeur, Quebec, Canada")</f>
        <v/>
      </c>
      <c r="K14190">
        <f>IFERROR(__xludf.DUMMYFUNCTION("""COMPUTED_VALUE"""),1995.9)</f>
        <v/>
      </c>
    </row>
    <row r="14191">
      <c r="J14191">
        <f>IFERROR(__xludf.DUMMYFUNCTION("""COMPUTED_VALUE"""),"St. John's (Newfoundland and Labrador)")</f>
        <v/>
      </c>
      <c r="K14191">
        <f>IFERROR(__xludf.DUMMYFUNCTION("""COMPUTED_VALUE"""),1995.69)</f>
        <v/>
      </c>
    </row>
    <row r="14192">
      <c r="J14192">
        <f>IFERROR(__xludf.DUMMYFUNCTION("""COMPUTED_VALUE"""),"Charlottetown and Lennox Island, Prince Edward Island, Canada
Halifax and Truro, Nova Scotia, Canada")</f>
        <v/>
      </c>
      <c r="K14192">
        <f>IFERROR(__xludf.DUMMYFUNCTION("""COMPUTED_VALUE"""),1995.46)</f>
        <v/>
      </c>
    </row>
    <row r="14193">
      <c r="J14193">
        <f>IFERROR(__xludf.DUMMYFUNCTION("""COMPUTED_VALUE"""),"St. Andrews, NB - Halifax, NS")</f>
        <v/>
      </c>
      <c r="K14193">
        <f>IFERROR(__xludf.DUMMYFUNCTION("""COMPUTED_VALUE"""),1994.68)</f>
        <v/>
      </c>
    </row>
    <row r="14194">
      <c r="J14194">
        <f>IFERROR(__xludf.DUMMYFUNCTION("""COMPUTED_VALUE"""),"Regina, Kamloops and Vancouver")</f>
        <v/>
      </c>
      <c r="K14194">
        <f>IFERROR(__xludf.DUMMYFUNCTION("""COMPUTED_VALUE"""),1994.28)</f>
        <v/>
      </c>
    </row>
    <row r="14195">
      <c r="J14195">
        <f>IFERROR(__xludf.DUMMYFUNCTION("""COMPUTED_VALUE"""),"Winnipeg, Alberta, Edmonton, Alberta and Calgary, Alberta")</f>
        <v/>
      </c>
      <c r="K14195">
        <f>IFERROR(__xludf.DUMMYFUNCTION("""COMPUTED_VALUE"""),1993.23)</f>
        <v/>
      </c>
    </row>
    <row r="14196">
      <c r="J14196">
        <f>IFERROR(__xludf.DUMMYFUNCTION("""COMPUTED_VALUE"""),"Deer Lake and Gander, Newfoundland and Labrador")</f>
        <v/>
      </c>
      <c r="K14196">
        <f>IFERROR(__xludf.DUMMYFUNCTION("""COMPUTED_VALUE"""),1993.12)</f>
        <v/>
      </c>
    </row>
    <row r="14197">
      <c r="J14197">
        <f>IFERROR(__xludf.DUMMYFUNCTION("""COMPUTED_VALUE"""),"Toronto, ON; Quebec, Qc")</f>
        <v/>
      </c>
      <c r="K14197">
        <f>IFERROR(__xludf.DUMMYFUNCTION("""COMPUTED_VALUE"""),1992.9)</f>
        <v/>
      </c>
    </row>
    <row r="14198">
      <c r="J14198">
        <f>IFERROR(__xludf.DUMMYFUNCTION("""COMPUTED_VALUE"""),"New Richmond, Carleton-sur-Mer, Mont-Joli")</f>
        <v/>
      </c>
      <c r="K14198">
        <f>IFERROR(__xludf.DUMMYFUNCTION("""COMPUTED_VALUE"""),1992.8)</f>
        <v/>
      </c>
    </row>
    <row r="14199">
      <c r="J14199">
        <f>IFERROR(__xludf.DUMMYFUNCTION("""COMPUTED_VALUE"""),"Winnipeg, Manitoba; Calgary, Alberta, Canada")</f>
        <v/>
      </c>
      <c r="K14199">
        <f>IFERROR(__xludf.DUMMYFUNCTION("""COMPUTED_VALUE"""),1991.94)</f>
        <v/>
      </c>
    </row>
    <row r="14200">
      <c r="J14200">
        <f>IFERROR(__xludf.DUMMYFUNCTION("""COMPUTED_VALUE"""),"Roberval, La Pocatière et Québec, Québec")</f>
        <v/>
      </c>
      <c r="K14200">
        <f>IFERROR(__xludf.DUMMYFUNCTION("""COMPUTED_VALUE"""),1991.49)</f>
        <v/>
      </c>
    </row>
    <row r="14201">
      <c r="J14201">
        <f>IFERROR(__xludf.DUMMYFUNCTION("""COMPUTED_VALUE"""),"Québec - Halifax - Québec")</f>
        <v/>
      </c>
      <c r="K14201">
        <f>IFERROR(__xludf.DUMMYFUNCTION("""COMPUTED_VALUE"""),1991.43)</f>
        <v/>
      </c>
    </row>
    <row r="14202">
      <c r="J14202">
        <f>IFERROR(__xludf.DUMMYFUNCTION("""COMPUTED_VALUE"""),"Campo Grande (Mato Grossodo Sul) and Sao Paulo (SP)")</f>
        <v/>
      </c>
      <c r="K14202">
        <f>IFERROR(__xludf.DUMMYFUNCTION("""COMPUTED_VALUE"""),1990.97)</f>
        <v/>
      </c>
    </row>
    <row r="14203">
      <c r="J14203">
        <f>IFERROR(__xludf.DUMMYFUNCTION("""COMPUTED_VALUE"""),"Vancouver, BC;Toronto, ON")</f>
        <v/>
      </c>
      <c r="K14203">
        <f>IFERROR(__xludf.DUMMYFUNCTION("""COMPUTED_VALUE"""),1990.63)</f>
        <v/>
      </c>
    </row>
    <row r="14204">
      <c r="J14204">
        <f>IFERROR(__xludf.DUMMYFUNCTION("""COMPUTED_VALUE"""),"Québec, QC; Montréal, QC")</f>
        <v/>
      </c>
      <c r="K14204">
        <f>IFERROR(__xludf.DUMMYFUNCTION("""COMPUTED_VALUE"""),1990.32)</f>
        <v/>
      </c>
    </row>
    <row r="14205">
      <c r="J14205">
        <f>IFERROR(__xludf.DUMMYFUNCTION("""COMPUTED_VALUE"""),"Edmonton/Calgary, Canada")</f>
        <v/>
      </c>
      <c r="K14205">
        <f>IFERROR(__xludf.DUMMYFUNCTION("""COMPUTED_VALUE"""),1990.25)</f>
        <v/>
      </c>
    </row>
    <row r="14206">
      <c r="J14206">
        <f>IFERROR(__xludf.DUMMYFUNCTION("""COMPUTED_VALUE"""),"Ottawa, ON.")</f>
        <v/>
      </c>
      <c r="K14206">
        <f>IFERROR(__xludf.DUMMYFUNCTION("""COMPUTED_VALUE"""),1990.15)</f>
        <v/>
      </c>
    </row>
    <row r="14207">
      <c r="J14207">
        <f>IFERROR(__xludf.DUMMYFUNCTION("""COMPUTED_VALUE"""),"Fredericton, NB, Toronto and Ottawa ON")</f>
        <v/>
      </c>
      <c r="K14207">
        <f>IFERROR(__xludf.DUMMYFUNCTION("""COMPUTED_VALUE"""),1989.58)</f>
        <v/>
      </c>
    </row>
    <row r="14208">
      <c r="J14208">
        <f>IFERROR(__xludf.DUMMYFUNCTION("""COMPUTED_VALUE"""),"Vancouver, British Columbia, Canada to London, Ontario, Canada")</f>
        <v/>
      </c>
      <c r="K14208">
        <f>IFERROR(__xludf.DUMMYFUNCTION("""COMPUTED_VALUE"""),1989.47)</f>
        <v/>
      </c>
    </row>
    <row r="14209">
      <c r="J14209">
        <f>IFERROR(__xludf.DUMMYFUNCTION("""COMPUTED_VALUE"""),"Ottawa ON, CAN")</f>
        <v/>
      </c>
      <c r="K14209">
        <f>IFERROR(__xludf.DUMMYFUNCTION("""COMPUTED_VALUE"""),1988.52)</f>
        <v/>
      </c>
    </row>
    <row r="14210">
      <c r="J14210">
        <f>IFERROR(__xludf.DUMMYFUNCTION("""COMPUTED_VALUE"""),"Winnipeg, Alberta, Vancouver and Nanaimo, British Columbia")</f>
        <v/>
      </c>
      <c r="K14210">
        <f>IFERROR(__xludf.DUMMYFUNCTION("""COMPUTED_VALUE"""),1988.5)</f>
        <v/>
      </c>
    </row>
    <row r="14211">
      <c r="J14211">
        <f>IFERROR(__xludf.DUMMYFUNCTION("""COMPUTED_VALUE"""),"Scarborough, ON: Ottawa, ON")</f>
        <v/>
      </c>
      <c r="K14211">
        <f>IFERROR(__xludf.DUMMYFUNCTION("""COMPUTED_VALUE"""),1987.8)</f>
        <v/>
      </c>
    </row>
    <row r="14212">
      <c r="J14212">
        <f>IFERROR(__xludf.DUMMYFUNCTION("""COMPUTED_VALUE"""),"Mary's Harbour, Newfoundland and Labrador")</f>
        <v/>
      </c>
      <c r="K14212">
        <f>IFERROR(__xludf.DUMMYFUNCTION("""COMPUTED_VALUE"""),1987.74)</f>
        <v/>
      </c>
    </row>
    <row r="14213">
      <c r="J14213">
        <f>IFERROR(__xludf.DUMMYFUNCTION("""COMPUTED_VALUE"""),"Bagotville (Quebec)")</f>
        <v/>
      </c>
      <c r="K14213">
        <f>IFERROR(__xludf.DUMMYFUNCTION("""COMPUTED_VALUE"""),1987.48)</f>
        <v/>
      </c>
    </row>
    <row r="14214">
      <c r="J14214">
        <f>IFERROR(__xludf.DUMMYFUNCTION("""COMPUTED_VALUE"""),"Delhi/Amritsar, India")</f>
        <v/>
      </c>
      <c r="K14214">
        <f>IFERROR(__xludf.DUMMYFUNCTION("""COMPUTED_VALUE"""),1986.8)</f>
        <v/>
      </c>
    </row>
    <row r="14215">
      <c r="J14215">
        <f>IFERROR(__xludf.DUMMYFUNCTION("""COMPUTED_VALUE"""),"Akwesasne, Ontario, Canada")</f>
        <v/>
      </c>
      <c r="K14215">
        <f>IFERROR(__xludf.DUMMYFUNCTION("""COMPUTED_VALUE"""),1986.65)</f>
        <v/>
      </c>
    </row>
    <row r="14216">
      <c r="J14216">
        <f>IFERROR(__xludf.DUMMYFUNCTION("""COMPUTED_VALUE"""),"North Bay and Trenton, Ontario; and Calgary, Alberta")</f>
        <v/>
      </c>
      <c r="K14216">
        <f>IFERROR(__xludf.DUMMYFUNCTION("""COMPUTED_VALUE"""),1986.07)</f>
        <v/>
      </c>
    </row>
    <row r="14217">
      <c r="J14217">
        <f>IFERROR(__xludf.DUMMYFUNCTION("""COMPUTED_VALUE"""),"Calgary, Alberta; Winnipeg, Manitoba; Montreal, Quebec")</f>
        <v/>
      </c>
      <c r="K14217">
        <f>IFERROR(__xludf.DUMMYFUNCTION("""COMPUTED_VALUE"""),1986.05)</f>
        <v/>
      </c>
    </row>
    <row r="14218">
      <c r="J14218">
        <f>IFERROR(__xludf.DUMMYFUNCTION("""COMPUTED_VALUE"""),"Halifax, NS; Charlottetown, PE; St.John's, NL")</f>
        <v/>
      </c>
      <c r="K14218">
        <f>IFERROR(__xludf.DUMMYFUNCTION("""COMPUTED_VALUE"""),1985.69)</f>
        <v/>
      </c>
    </row>
    <row r="14219">
      <c r="J14219">
        <f>IFERROR(__xludf.DUMMYFUNCTION("""COMPUTED_VALUE"""),"Chalottetown, Prince Edward Island, Canada")</f>
        <v/>
      </c>
      <c r="K14219">
        <f>IFERROR(__xludf.DUMMYFUNCTION("""COMPUTED_VALUE"""),1985.53)</f>
        <v/>
      </c>
    </row>
    <row r="14220">
      <c r="J14220">
        <f>IFERROR(__xludf.DUMMYFUNCTION("""COMPUTED_VALUE"""),"Halifax NS and Toronto ON")</f>
        <v/>
      </c>
      <c r="K14220">
        <f>IFERROR(__xludf.DUMMYFUNCTION("""COMPUTED_VALUE"""),1985.42)</f>
        <v/>
      </c>
    </row>
    <row r="14221">
      <c r="J14221">
        <f>IFERROR(__xludf.DUMMYFUNCTION("""COMPUTED_VALUE"""),"1. Regina, Saskatchewan, Canada
2. Saskatoon, Saskatchewan, Canada")</f>
        <v/>
      </c>
      <c r="K14221">
        <f>IFERROR(__xludf.DUMMYFUNCTION("""COMPUTED_VALUE"""),1984.67)</f>
        <v/>
      </c>
    </row>
    <row r="14222">
      <c r="J14222">
        <f>IFERROR(__xludf.DUMMYFUNCTION("""COMPUTED_VALUE"""),"Moncton, New Brunswick; Halifax Nova Scotia.")</f>
        <v/>
      </c>
      <c r="K14222">
        <f>IFERROR(__xludf.DUMMYFUNCTION("""COMPUTED_VALUE"""),1984.65)</f>
        <v/>
      </c>
    </row>
    <row r="14223">
      <c r="J14223">
        <f>IFERROR(__xludf.DUMMYFUNCTION("""COMPUTED_VALUE"""),"Cape Canaveral, FL")</f>
        <v/>
      </c>
      <c r="K14223">
        <f>IFERROR(__xludf.DUMMYFUNCTION("""COMPUTED_VALUE"""),1984.61)</f>
        <v/>
      </c>
    </row>
    <row r="14224">
      <c r="J14224">
        <f>IFERROR(__xludf.DUMMYFUNCTION("""COMPUTED_VALUE"""),"Seattle, Washington, United states")</f>
        <v/>
      </c>
      <c r="K14224">
        <f>IFERROR(__xludf.DUMMYFUNCTION("""COMPUTED_VALUE"""),1984.61)</f>
        <v/>
      </c>
    </row>
    <row r="14225">
      <c r="J14225">
        <f>IFERROR(__xludf.DUMMYFUNCTION("""COMPUTED_VALUE"""),"Yellowknife, Northwest Territores, Canada")</f>
        <v/>
      </c>
      <c r="K14225">
        <f>IFERROR(__xludf.DUMMYFUNCTION("""COMPUTED_VALUE"""),1984.61)</f>
        <v/>
      </c>
    </row>
    <row r="14226">
      <c r="J14226">
        <f>IFERROR(__xludf.DUMMYFUNCTION("""COMPUTED_VALUE"""),"Richmond and Vancouver, British Colombia")</f>
        <v/>
      </c>
      <c r="K14226">
        <f>IFERROR(__xludf.DUMMYFUNCTION("""COMPUTED_VALUE"""),1983.61)</f>
        <v/>
      </c>
    </row>
    <row r="14227">
      <c r="J14227">
        <f>IFERROR(__xludf.DUMMYFUNCTION("""COMPUTED_VALUE"""),"Toronto and Chicago")</f>
        <v/>
      </c>
      <c r="K14227">
        <f>IFERROR(__xludf.DUMMYFUNCTION("""COMPUTED_VALUE"""),1983.49)</f>
        <v/>
      </c>
    </row>
    <row r="14228">
      <c r="J14228">
        <f>IFERROR(__xludf.DUMMYFUNCTION("""COMPUTED_VALUE"""),"Halifax, Nova Scotia and Moncton, New Brunswick and St. John's, Newfoundland and Labrador")</f>
        <v/>
      </c>
      <c r="K14228">
        <f>IFERROR(__xludf.DUMMYFUNCTION("""COMPUTED_VALUE"""),1982.68)</f>
        <v/>
      </c>
    </row>
    <row r="14229">
      <c r="J14229">
        <f>IFERROR(__xludf.DUMMYFUNCTION("""COMPUTED_VALUE"""),"Burlington, ON, Canada")</f>
        <v/>
      </c>
      <c r="K14229">
        <f>IFERROR(__xludf.DUMMYFUNCTION("""COMPUTED_VALUE"""),1982.42)</f>
        <v/>
      </c>
    </row>
    <row r="14230">
      <c r="J14230">
        <f>IFERROR(__xludf.DUMMYFUNCTION("""COMPUTED_VALUE"""),"Calgary / Vancouver / Edmonton /Calgary")</f>
        <v/>
      </c>
      <c r="K14230">
        <f>IFERROR(__xludf.DUMMYFUNCTION("""COMPUTED_VALUE"""),1982.07)</f>
        <v/>
      </c>
    </row>
    <row r="14231">
      <c r="J14231">
        <f>IFERROR(__xludf.DUMMYFUNCTION("""COMPUTED_VALUE"""),"Strathmere, Ontario, Canada")</f>
        <v/>
      </c>
      <c r="K14231">
        <f>IFERROR(__xludf.DUMMYFUNCTION("""COMPUTED_VALUE"""),1981.88)</f>
        <v/>
      </c>
    </row>
    <row r="14232">
      <c r="J14232">
        <f>IFERROR(__xludf.DUMMYFUNCTION("""COMPUTED_VALUE"""),"Vancouver, British Columbia, Rocky Mountain House, Alberta and Waterton Lakes, Alberta")</f>
        <v/>
      </c>
      <c r="K14232">
        <f>IFERROR(__xludf.DUMMYFUNCTION("""COMPUTED_VALUE"""),1981.28)</f>
        <v/>
      </c>
    </row>
    <row r="14233">
      <c r="J14233">
        <f>IFERROR(__xludf.DUMMYFUNCTION("""COMPUTED_VALUE"""),"Ottawa, ON - Toronto, ON / Toronto, ON - London, ON / London, ON - Ottawa, ON")</f>
        <v/>
      </c>
      <c r="K14233">
        <f>IFERROR(__xludf.DUMMYFUNCTION("""COMPUTED_VALUE"""),1981.08)</f>
        <v/>
      </c>
    </row>
    <row r="14234">
      <c r="J14234">
        <f>IFERROR(__xludf.DUMMYFUNCTION("""COMPUTED_VALUE"""),"Toronto, Ontario, Canada/ St John's, Newfoundland and Labrador, Canada")</f>
        <v/>
      </c>
      <c r="K14234">
        <f>IFERROR(__xludf.DUMMYFUNCTION("""COMPUTED_VALUE"""),1981.04)</f>
        <v/>
      </c>
    </row>
    <row r="14235">
      <c r="J14235">
        <f>IFERROR(__xludf.DUMMYFUNCTION("""COMPUTED_VALUE"""),"Toronto, Ont")</f>
        <v/>
      </c>
      <c r="K14235">
        <f>IFERROR(__xludf.DUMMYFUNCTION("""COMPUTED_VALUE"""),1981.02)</f>
        <v/>
      </c>
    </row>
    <row r="14236">
      <c r="J14236">
        <f>IFERROR(__xludf.DUMMYFUNCTION("""COMPUTED_VALUE"""),"Saint John, NB and St.John's, NL")</f>
        <v/>
      </c>
      <c r="K14236">
        <f>IFERROR(__xludf.DUMMYFUNCTION("""COMPUTED_VALUE"""),1980.62)</f>
        <v/>
      </c>
    </row>
    <row r="14237">
      <c r="J14237">
        <f>IFERROR(__xludf.DUMMYFUNCTION("""COMPUTED_VALUE"""),"Montreal-Quebec")</f>
        <v/>
      </c>
      <c r="K14237">
        <f>IFERROR(__xludf.DUMMYFUNCTION("""COMPUTED_VALUE"""),1980.52)</f>
        <v/>
      </c>
    </row>
    <row r="14238">
      <c r="J14238">
        <f>IFERROR(__xludf.DUMMYFUNCTION("""COMPUTED_VALUE"""),"Tallinn, Republic of Estonia")</f>
        <v/>
      </c>
      <c r="K14238">
        <f>IFERROR(__xludf.DUMMYFUNCTION("""COMPUTED_VALUE"""),1980.36)</f>
        <v/>
      </c>
    </row>
    <row r="14239">
      <c r="J14239">
        <f>IFERROR(__xludf.DUMMYFUNCTION("""COMPUTED_VALUE"""),"Moncton, New Brunswick, Canada /  Charlottetown, Prince Edward Island, Canada / Miramichi, New Brunswick, Canada")</f>
        <v/>
      </c>
      <c r="K14239">
        <f>IFERROR(__xludf.DUMMYFUNCTION("""COMPUTED_VALUE"""),1980.36)</f>
        <v/>
      </c>
    </row>
    <row r="14240">
      <c r="J14240">
        <f>IFERROR(__xludf.DUMMYFUNCTION("""COMPUTED_VALUE"""),"Montréal, Victoriaville, Drummondville and Sherbrooke, Québec")</f>
        <v/>
      </c>
      <c r="K14240">
        <f>IFERROR(__xludf.DUMMYFUNCTION("""COMPUTED_VALUE"""),1979.94999999999)</f>
        <v/>
      </c>
    </row>
    <row r="14241">
      <c r="J14241">
        <f>IFERROR(__xludf.DUMMYFUNCTION("""COMPUTED_VALUE"""),"Winnipeg, MB, Montreal, QC")</f>
        <v/>
      </c>
      <c r="K14241">
        <f>IFERROR(__xludf.DUMMYFUNCTION("""COMPUTED_VALUE"""),1979.69)</f>
        <v/>
      </c>
    </row>
    <row r="14242">
      <c r="J14242">
        <f>IFERROR(__xludf.DUMMYFUNCTION("""COMPUTED_VALUE"""),"Toronto, Ontario, Canada
Waterloo, Ontario, Canada")</f>
        <v/>
      </c>
      <c r="K14242">
        <f>IFERROR(__xludf.DUMMYFUNCTION("""COMPUTED_VALUE"""),1979.48)</f>
        <v/>
      </c>
    </row>
    <row r="14243">
      <c r="J14243">
        <f>IFERROR(__xludf.DUMMYFUNCTION("""COMPUTED_VALUE"""),"Boise, Idaho and Helena, Montana")</f>
        <v/>
      </c>
      <c r="K14243">
        <f>IFERROR(__xludf.DUMMYFUNCTION("""COMPUTED_VALUE"""),1979.25)</f>
        <v/>
      </c>
    </row>
    <row r="14244">
      <c r="J14244">
        <f>IFERROR(__xludf.DUMMYFUNCTION("""COMPUTED_VALUE"""),"Fredericton, NB - Toronto, ON - Sault Ste. Marie, ON")</f>
        <v/>
      </c>
      <c r="K14244">
        <f>IFERROR(__xludf.DUMMYFUNCTION("""COMPUTED_VALUE"""),1978.86)</f>
        <v/>
      </c>
    </row>
    <row r="14245">
      <c r="J14245">
        <f>IFERROR(__xludf.DUMMYFUNCTION("""COMPUTED_VALUE"""),"BOSTON, MASSACHUSETTS")</f>
        <v/>
      </c>
      <c r="K14245">
        <f>IFERROR(__xludf.DUMMYFUNCTION("""COMPUTED_VALUE"""),1978.54)</f>
        <v/>
      </c>
    </row>
    <row r="14246">
      <c r="J14246">
        <f>IFERROR(__xludf.DUMMYFUNCTION("""COMPUTED_VALUE"""),"St. John's, Port Rexton and Bonavista, Newfoundland and Labrador")</f>
        <v/>
      </c>
      <c r="K14246">
        <f>IFERROR(__xludf.DUMMYFUNCTION("""COMPUTED_VALUE"""),1978.4)</f>
        <v/>
      </c>
    </row>
    <row r="14247">
      <c r="J14247">
        <f>IFERROR(__xludf.DUMMYFUNCTION("""COMPUTED_VALUE"""),"Roberval, Ottawa")</f>
        <v/>
      </c>
      <c r="K14247">
        <f>IFERROR(__xludf.DUMMYFUNCTION("""COMPUTED_VALUE"""),1978.27)</f>
        <v/>
      </c>
    </row>
    <row r="14248">
      <c r="J14248">
        <f>IFERROR(__xludf.DUMMYFUNCTION("""COMPUTED_VALUE"""),"Toronto, ON; Regina, SK")</f>
        <v/>
      </c>
      <c r="K14248">
        <f>IFERROR(__xludf.DUMMYFUNCTION("""COMPUTED_VALUE"""),1977.06)</f>
        <v/>
      </c>
    </row>
    <row r="14249">
      <c r="J14249">
        <f>IFERROR(__xludf.DUMMYFUNCTION("""COMPUTED_VALUE"""),"Calgary-Toronto")</f>
        <v/>
      </c>
      <c r="K14249">
        <f>IFERROR(__xludf.DUMMYFUNCTION("""COMPUTED_VALUE"""),1976.01)</f>
        <v/>
      </c>
    </row>
    <row r="14250">
      <c r="J14250">
        <f>IFERROR(__xludf.DUMMYFUNCTION("""COMPUTED_VALUE"""),"Saskatoon, SK &amp; Winnipeg, MA")</f>
        <v/>
      </c>
      <c r="K14250">
        <f>IFERROR(__xludf.DUMMYFUNCTION("""COMPUTED_VALUE"""),1976)</f>
        <v/>
      </c>
    </row>
    <row r="14251">
      <c r="J14251">
        <f>IFERROR(__xludf.DUMMYFUNCTION("""COMPUTED_VALUE"""),"Moncton, New Brunswick, Canada; Montreal, Quebec, Canada; Toronto, Ontario, Canada")</f>
        <v/>
      </c>
      <c r="K14251">
        <f>IFERROR(__xludf.DUMMYFUNCTION("""COMPUTED_VALUE"""),1975.97)</f>
        <v/>
      </c>
    </row>
    <row r="14252">
      <c r="J14252">
        <f>IFERROR(__xludf.DUMMYFUNCTION("""COMPUTED_VALUE"""),"Paris and Lille, France")</f>
        <v/>
      </c>
      <c r="K14252">
        <f>IFERROR(__xludf.DUMMYFUNCTION("""COMPUTED_VALUE"""),1975.6)</f>
        <v/>
      </c>
    </row>
    <row r="14253">
      <c r="J14253">
        <f>IFERROR(__xludf.DUMMYFUNCTION("""COMPUTED_VALUE"""),"Xi'an, Chiane")</f>
        <v/>
      </c>
      <c r="K14253">
        <f>IFERROR(__xludf.DUMMYFUNCTION("""COMPUTED_VALUE"""),1975.6)</f>
        <v/>
      </c>
    </row>
    <row r="14254">
      <c r="J14254">
        <f>IFERROR(__xludf.DUMMYFUNCTION("""COMPUTED_VALUE"""),"Toronto and Niagara on the Lake, Ontario, Canada")</f>
        <v/>
      </c>
      <c r="K14254">
        <f>IFERROR(__xludf.DUMMYFUNCTION("""COMPUTED_VALUE"""),1975.42)</f>
        <v/>
      </c>
    </row>
    <row r="14255">
      <c r="J14255">
        <f>IFERROR(__xludf.DUMMYFUNCTION("""COMPUTED_VALUE"""),"Gagetown,  NB")</f>
        <v/>
      </c>
      <c r="K14255">
        <f>IFERROR(__xludf.DUMMYFUNCTION("""COMPUTED_VALUE"""),1975.2)</f>
        <v/>
      </c>
    </row>
    <row r="14256">
      <c r="J14256">
        <f>IFERROR(__xludf.DUMMYFUNCTION("""COMPUTED_VALUE"""),"Toronto, Ontario and Moncton, New Brunswick")</f>
        <v/>
      </c>
      <c r="K14256">
        <f>IFERROR(__xludf.DUMMYFUNCTION("""COMPUTED_VALUE"""),1974.99)</f>
        <v/>
      </c>
    </row>
    <row r="14257">
      <c r="J14257">
        <f>IFERROR(__xludf.DUMMYFUNCTION("""COMPUTED_VALUE"""),"St. John's and Goose Bay, Newfoundland and Labrador")</f>
        <v/>
      </c>
      <c r="K14257">
        <f>IFERROR(__xludf.DUMMYFUNCTION("""COMPUTED_VALUE"""),1974.44)</f>
        <v/>
      </c>
    </row>
    <row r="14258">
      <c r="J14258">
        <f>IFERROR(__xludf.DUMMYFUNCTION("""COMPUTED_VALUE"""),"St. Jonn's, N.L. and Montreal, QC")</f>
        <v/>
      </c>
      <c r="K14258">
        <f>IFERROR(__xludf.DUMMYFUNCTION("""COMPUTED_VALUE"""),1973.3)</f>
        <v/>
      </c>
    </row>
    <row r="14259">
      <c r="J14259">
        <f>IFERROR(__xludf.DUMMYFUNCTION("""COMPUTED_VALUE"""),"Irvine, California, US")</f>
        <v/>
      </c>
      <c r="K14259">
        <f>IFERROR(__xludf.DUMMYFUNCTION("""COMPUTED_VALUE"""),1973)</f>
        <v/>
      </c>
    </row>
    <row r="14260">
      <c r="J14260">
        <f>IFERROR(__xludf.DUMMYFUNCTION("""COMPUTED_VALUE"""),"Edmonton, Alberta;
Drumheller, Alberta")</f>
        <v/>
      </c>
      <c r="K14260">
        <f>IFERROR(__xludf.DUMMYFUNCTION("""COMPUTED_VALUE"""),1972.9)</f>
        <v/>
      </c>
    </row>
    <row r="14261">
      <c r="J14261">
        <f>IFERROR(__xludf.DUMMYFUNCTION("""COMPUTED_VALUE"""),"Washington DC USA")</f>
        <v/>
      </c>
      <c r="K14261">
        <f>IFERROR(__xludf.DUMMYFUNCTION("""COMPUTED_VALUE"""),1972.83)</f>
        <v/>
      </c>
    </row>
    <row r="14262">
      <c r="J14262">
        <f>IFERROR(__xludf.DUMMYFUNCTION("""COMPUTED_VALUE"""),"San Diego, Californoa, Unites States of America")</f>
        <v/>
      </c>
      <c r="K14262">
        <f>IFERROR(__xludf.DUMMYFUNCTION("""COMPUTED_VALUE"""),1972.8)</f>
        <v/>
      </c>
    </row>
    <row r="14263">
      <c r="J14263">
        <f>IFERROR(__xludf.DUMMYFUNCTION("""COMPUTED_VALUE"""),"Kichener, Toronto, Ontario, Canada")</f>
        <v/>
      </c>
      <c r="K14263">
        <f>IFERROR(__xludf.DUMMYFUNCTION("""COMPUTED_VALUE"""),1972.52)</f>
        <v/>
      </c>
    </row>
    <row r="14264">
      <c r="J14264">
        <f>IFERROR(__xludf.DUMMYFUNCTION("""COMPUTED_VALUE"""),"Edmonton (AB), Halifax (NS)")</f>
        <v/>
      </c>
      <c r="K14264">
        <f>IFERROR(__xludf.DUMMYFUNCTION("""COMPUTED_VALUE"""),1972.11)</f>
        <v/>
      </c>
    </row>
    <row r="14265">
      <c r="J14265">
        <f>IFERROR(__xludf.DUMMYFUNCTION("""COMPUTED_VALUE"""),"Halifax, Nova Scotia, Moncton, New Brunswick and Charlottetown, Prince Edward Island")</f>
        <v/>
      </c>
      <c r="K14265">
        <f>IFERROR(__xludf.DUMMYFUNCTION("""COMPUTED_VALUE"""),1972)</f>
        <v/>
      </c>
    </row>
    <row r="14266">
      <c r="J14266">
        <f>IFERROR(__xludf.DUMMYFUNCTION("""COMPUTED_VALUE"""),"Detroit, Chicago")</f>
        <v/>
      </c>
      <c r="K14266">
        <f>IFERROR(__xludf.DUMMYFUNCTION("""COMPUTED_VALUE"""),1971.7)</f>
        <v/>
      </c>
    </row>
    <row r="14267">
      <c r="J14267">
        <f>IFERROR(__xludf.DUMMYFUNCTION("""COMPUTED_VALUE"""),"Terneuzen, Netherlands")</f>
        <v/>
      </c>
      <c r="K14267">
        <f>IFERROR(__xludf.DUMMYFUNCTION("""COMPUTED_VALUE"""),1971.65)</f>
        <v/>
      </c>
    </row>
    <row r="14268">
      <c r="J14268">
        <f>IFERROR(__xludf.DUMMYFUNCTION("""COMPUTED_VALUE"""),"Elk Island, Alberta / Waskesiu &amp; Saskatoon, Saskatchewan")</f>
        <v/>
      </c>
      <c r="K14268">
        <f>IFERROR(__xludf.DUMMYFUNCTION("""COMPUTED_VALUE"""),1971.27)</f>
        <v/>
      </c>
    </row>
    <row r="14269">
      <c r="J14269">
        <f>IFERROR(__xludf.DUMMYFUNCTION("""COMPUTED_VALUE"""),"Sagenay, QC, Canada")</f>
        <v/>
      </c>
      <c r="K14269">
        <f>IFERROR(__xludf.DUMMYFUNCTION("""COMPUTED_VALUE"""),1970.65)</f>
        <v/>
      </c>
    </row>
    <row r="14270">
      <c r="J14270">
        <f>IFERROR(__xludf.DUMMYFUNCTION("""COMPUTED_VALUE"""),"Washington, District of Colombia")</f>
        <v/>
      </c>
      <c r="K14270">
        <f>IFERROR(__xludf.DUMMYFUNCTION("""COMPUTED_VALUE"""),1969.95)</f>
        <v/>
      </c>
    </row>
    <row r="14271">
      <c r="J14271">
        <f>IFERROR(__xludf.DUMMYFUNCTION("""COMPUTED_VALUE"""),"Mont Joli, Quebec, Canada / Edmunston, New Brunswick, Canada")</f>
        <v/>
      </c>
      <c r="K14271">
        <f>IFERROR(__xludf.DUMMYFUNCTION("""COMPUTED_VALUE"""),1969.81)</f>
        <v/>
      </c>
    </row>
    <row r="14272">
      <c r="J14272">
        <f>IFERROR(__xludf.DUMMYFUNCTION("""COMPUTED_VALUE"""),"Charlottetown, PEI, Halifax, NS and Saskastoon, SK")</f>
        <v/>
      </c>
      <c r="K14272">
        <f>IFERROR(__xludf.DUMMYFUNCTION("""COMPUTED_VALUE"""),1969.67)</f>
        <v/>
      </c>
    </row>
    <row r="14273">
      <c r="J14273">
        <f>IFERROR(__xludf.DUMMYFUNCTION("""COMPUTED_VALUE"""),"Saint-Pierre-et-Miquelon")</f>
        <v/>
      </c>
      <c r="K14273">
        <f>IFERROR(__xludf.DUMMYFUNCTION("""COMPUTED_VALUE"""),1969.67)</f>
        <v/>
      </c>
    </row>
    <row r="14274">
      <c r="J14274">
        <f>IFERROR(__xludf.DUMMYFUNCTION("""COMPUTED_VALUE"""),"Pitsburgh, PA and Youngstown, OH")</f>
        <v/>
      </c>
      <c r="K14274">
        <f>IFERROR(__xludf.DUMMYFUNCTION("""COMPUTED_VALUE"""),1969.66)</f>
        <v/>
      </c>
    </row>
    <row r="14275">
      <c r="J14275">
        <f>IFERROR(__xludf.DUMMYFUNCTION("""COMPUTED_VALUE"""),"Ottawa (Ontario) and Vancouver (British Columbia)")</f>
        <v/>
      </c>
      <c r="K14275">
        <f>IFERROR(__xludf.DUMMYFUNCTION("""COMPUTED_VALUE"""),1969.63)</f>
        <v/>
      </c>
    </row>
    <row r="14276">
      <c r="J14276">
        <f>IFERROR(__xludf.DUMMYFUNCTION("""COMPUTED_VALUE"""),"St. John's, Newfoundland and Labrador, Canada; Halifax, Nova Scotia, Canada; Truro, Nova Scotia, Canada")</f>
        <v/>
      </c>
      <c r="K14276">
        <f>IFERROR(__xludf.DUMMYFUNCTION("""COMPUTED_VALUE"""),1969.29)</f>
        <v/>
      </c>
    </row>
    <row r="14277">
      <c r="J14277">
        <f>IFERROR(__xludf.DUMMYFUNCTION("""COMPUTED_VALUE"""),"Toronto, Ontario, Canada; Montréal, Quebec, Canada; Trois-Rivières, Quebec, Canada")</f>
        <v/>
      </c>
      <c r="K14277">
        <f>IFERROR(__xludf.DUMMYFUNCTION("""COMPUTED_VALUE"""),1969.11)</f>
        <v/>
      </c>
    </row>
    <row r="14278">
      <c r="J14278">
        <f>IFERROR(__xludf.DUMMYFUNCTION("""COMPUTED_VALUE"""),"Fredericton, NB - Québec City, QC")</f>
        <v/>
      </c>
      <c r="K14278">
        <f>IFERROR(__xludf.DUMMYFUNCTION("""COMPUTED_VALUE"""),1968.89)</f>
        <v/>
      </c>
    </row>
    <row r="14279">
      <c r="J14279">
        <f>IFERROR(__xludf.DUMMYFUNCTION("""COMPUTED_VALUE"""),"Vancounver, British Columbia, Canada")</f>
        <v/>
      </c>
      <c r="K14279">
        <f>IFERROR(__xludf.DUMMYFUNCTION("""COMPUTED_VALUE"""),1967.9)</f>
        <v/>
      </c>
    </row>
    <row r="14280">
      <c r="J14280">
        <f>IFERROR(__xludf.DUMMYFUNCTION("""COMPUTED_VALUE"""),"Cambridge, Ontario / Toronto,
Ontario")</f>
        <v/>
      </c>
      <c r="K14280">
        <f>IFERROR(__xludf.DUMMYFUNCTION("""COMPUTED_VALUE"""),1967.81)</f>
        <v/>
      </c>
    </row>
    <row r="14281">
      <c r="J14281">
        <f>IFERROR(__xludf.DUMMYFUNCTION("""COMPUTED_VALUE"""),"Tucson, Arizona")</f>
        <v/>
      </c>
      <c r="K14281">
        <f>IFERROR(__xludf.DUMMYFUNCTION("""COMPUTED_VALUE"""),1967.16)</f>
        <v/>
      </c>
    </row>
    <row r="14282">
      <c r="J14282">
        <f>IFERROR(__xludf.DUMMYFUNCTION("""COMPUTED_VALUE"""),"Toronto, ON / Hamilton, ON")</f>
        <v/>
      </c>
      <c r="K14282">
        <f>IFERROR(__xludf.DUMMYFUNCTION("""COMPUTED_VALUE"""),1966.84)</f>
        <v/>
      </c>
    </row>
    <row r="14283">
      <c r="J14283">
        <f>IFERROR(__xludf.DUMMYFUNCTION("""COMPUTED_VALUE"""),"Halifax, Moncton, and Fredericton")</f>
        <v/>
      </c>
      <c r="K14283">
        <f>IFERROR(__xludf.DUMMYFUNCTION("""COMPUTED_VALUE"""),1966.8)</f>
        <v/>
      </c>
    </row>
    <row r="14284">
      <c r="J14284">
        <f>IFERROR(__xludf.DUMMYFUNCTION("""COMPUTED_VALUE"""),"New Delhi, Mumbai and Kolkata, India")</f>
        <v/>
      </c>
      <c r="K14284">
        <f>IFERROR(__xludf.DUMMYFUNCTION("""COMPUTED_VALUE"""),1966.66)</f>
        <v/>
      </c>
    </row>
    <row r="14285">
      <c r="J14285">
        <f>IFERROR(__xludf.DUMMYFUNCTION("""COMPUTED_VALUE"""),"Edmonton, Alta")</f>
        <v/>
      </c>
      <c r="K14285">
        <f>IFERROR(__xludf.DUMMYFUNCTION("""COMPUTED_VALUE"""),1966.63999999999)</f>
        <v/>
      </c>
    </row>
    <row r="14286">
      <c r="J14286">
        <f>IFERROR(__xludf.DUMMYFUNCTION("""COMPUTED_VALUE"""),"Vancouver, British Columbia; Ottawa, Ontario; Toronto, Ontario")</f>
        <v/>
      </c>
      <c r="K14286">
        <f>IFERROR(__xludf.DUMMYFUNCTION("""COMPUTED_VALUE"""),1966.41)</f>
        <v/>
      </c>
    </row>
    <row r="14287">
      <c r="J14287">
        <f>IFERROR(__xludf.DUMMYFUNCTION("""COMPUTED_VALUE"""),"Haliafax, Nova Scotia, Canada")</f>
        <v/>
      </c>
      <c r="K14287">
        <f>IFERROR(__xludf.DUMMYFUNCTION("""COMPUTED_VALUE"""),1966.05)</f>
        <v/>
      </c>
    </row>
    <row r="14288">
      <c r="J14288">
        <f>IFERROR(__xludf.DUMMYFUNCTION("""COMPUTED_VALUE"""),"Trois-Rivières, Québec, Canada")</f>
        <v/>
      </c>
      <c r="K14288">
        <f>IFERROR(__xludf.DUMMYFUNCTION("""COMPUTED_VALUE"""),1966.01)</f>
        <v/>
      </c>
    </row>
    <row r="14289">
      <c r="J14289">
        <f>IFERROR(__xludf.DUMMYFUNCTION("""COMPUTED_VALUE"""),"Moncton (New Brunswick), Halifax (Nova Scotia), St John's (Newfoundland), Charlottetown (PEI)")</f>
        <v/>
      </c>
      <c r="K14289">
        <f>IFERROR(__xludf.DUMMYFUNCTION("""COMPUTED_VALUE"""),1966)</f>
        <v/>
      </c>
    </row>
    <row r="14290">
      <c r="J14290">
        <f>IFERROR(__xludf.DUMMYFUNCTION("""COMPUTED_VALUE"""),"Kelowna and Vancouver, British Columbia, Canada")</f>
        <v/>
      </c>
      <c r="K14290">
        <f>IFERROR(__xludf.DUMMYFUNCTION("""COMPUTED_VALUE"""),1965.79)</f>
        <v/>
      </c>
    </row>
    <row r="14291">
      <c r="J14291">
        <f>IFERROR(__xludf.DUMMYFUNCTION("""COMPUTED_VALUE"""),"Ft. Mayers, Florida, USA")</f>
        <v/>
      </c>
      <c r="K14291">
        <f>IFERROR(__xludf.DUMMYFUNCTION("""COMPUTED_VALUE"""),1965.69)</f>
        <v/>
      </c>
    </row>
    <row r="14292">
      <c r="J14292">
        <f>IFERROR(__xludf.DUMMYFUNCTION("""COMPUTED_VALUE"""),"Jonquière, Qc")</f>
        <v/>
      </c>
      <c r="K14292">
        <f>IFERROR(__xludf.DUMMYFUNCTION("""COMPUTED_VALUE"""),1965.4)</f>
        <v/>
      </c>
    </row>
    <row r="14293">
      <c r="J14293">
        <f>IFERROR(__xludf.DUMMYFUNCTION("""COMPUTED_VALUE"""),"Vancouver, BC; Terrace, BC")</f>
        <v/>
      </c>
      <c r="K14293">
        <f>IFERROR(__xludf.DUMMYFUNCTION("""COMPUTED_VALUE"""),1965.19)</f>
        <v/>
      </c>
    </row>
    <row r="14294">
      <c r="J14294">
        <f>IFERROR(__xludf.DUMMYFUNCTION("""COMPUTED_VALUE"""),"Riga, Latvia and Naples, Italy, Europe")</f>
        <v/>
      </c>
      <c r="K14294">
        <f>IFERROR(__xludf.DUMMYFUNCTION("""COMPUTED_VALUE"""),1965.02)</f>
        <v/>
      </c>
    </row>
    <row r="14295">
      <c r="J14295">
        <f>IFERROR(__xludf.DUMMYFUNCTION("""COMPUTED_VALUE"""),"Sarnia, Ontario; Toronto, Ontario; Winnipeg, Manitoba")</f>
        <v/>
      </c>
      <c r="K14295">
        <f>IFERROR(__xludf.DUMMYFUNCTION("""COMPUTED_VALUE"""),1964.65)</f>
        <v/>
      </c>
    </row>
    <row r="14296">
      <c r="J14296">
        <f>IFERROR(__xludf.DUMMYFUNCTION("""COMPUTED_VALUE"""),"Merida, Yucatan")</f>
        <v/>
      </c>
      <c r="K14296">
        <f>IFERROR(__xludf.DUMMYFUNCTION("""COMPUTED_VALUE"""),1964.62)</f>
        <v/>
      </c>
    </row>
    <row r="14297">
      <c r="J14297">
        <f>IFERROR(__xludf.DUMMYFUNCTION("""COMPUTED_VALUE"""),"Ottawa ON Canada
Toronto ON Canada")</f>
        <v/>
      </c>
      <c r="K14297">
        <f>IFERROR(__xludf.DUMMYFUNCTION("""COMPUTED_VALUE"""),1964.53)</f>
        <v/>
      </c>
    </row>
    <row r="14298">
      <c r="J14298">
        <f>IFERROR(__xludf.DUMMYFUNCTION("""COMPUTED_VALUE"""),"Toronto, London, Windsor, (Ontario)")</f>
        <v/>
      </c>
      <c r="K14298">
        <f>IFERROR(__xludf.DUMMYFUNCTION("""COMPUTED_VALUE"""),1964.53)</f>
        <v/>
      </c>
    </row>
    <row r="14299">
      <c r="J14299">
        <f>IFERROR(__xludf.DUMMYFUNCTION("""COMPUTED_VALUE"""),"Deer Lake, Newfoundland; St. John's, Newfoundland and Labrador")</f>
        <v/>
      </c>
      <c r="K14299">
        <f>IFERROR(__xludf.DUMMYFUNCTION("""COMPUTED_VALUE"""),1964.49)</f>
        <v/>
      </c>
    </row>
    <row r="14300">
      <c r="J14300">
        <f>IFERROR(__xludf.DUMMYFUNCTION("""COMPUTED_VALUE"""),"Regina, Saskatchewan and Winnipeg, Manitoba and Toronto, Ontario")</f>
        <v/>
      </c>
      <c r="K14300">
        <f>IFERROR(__xludf.DUMMYFUNCTION("""COMPUTED_VALUE"""),1964.42)</f>
        <v/>
      </c>
    </row>
    <row r="14301">
      <c r="J14301">
        <f>IFERROR(__xludf.DUMMYFUNCTION("""COMPUTED_VALUE"""),"Mississauga and Windsor, Ontario, Canada")</f>
        <v/>
      </c>
      <c r="K14301">
        <f>IFERROR(__xludf.DUMMYFUNCTION("""COMPUTED_VALUE"""),1964.29)</f>
        <v/>
      </c>
    </row>
    <row r="14302">
      <c r="J14302">
        <f>IFERROR(__xludf.DUMMYFUNCTION("""COMPUTED_VALUE"""),"Montréal, Québec, Canada; Québec, Québec, Canada")</f>
        <v/>
      </c>
      <c r="K14302">
        <f>IFERROR(__xludf.DUMMYFUNCTION("""COMPUTED_VALUE"""),1964.18)</f>
        <v/>
      </c>
    </row>
    <row r="14303">
      <c r="J14303">
        <f>IFERROR(__xludf.DUMMYFUNCTION("""COMPUTED_VALUE"""),"Westlock, Alberta, Canada; Regina, Saskatchewan, Canada; North Battleford, Saskatchewan, Canada")</f>
        <v/>
      </c>
      <c r="K14303">
        <f>IFERROR(__xludf.DUMMYFUNCTION("""COMPUTED_VALUE"""),1963.65)</f>
        <v/>
      </c>
    </row>
    <row r="14304">
      <c r="J14304">
        <f>IFERROR(__xludf.DUMMYFUNCTION("""COMPUTED_VALUE"""),"Havre St-Pierre, Mingan")</f>
        <v/>
      </c>
      <c r="K14304">
        <f>IFERROR(__xludf.DUMMYFUNCTION("""COMPUTED_VALUE"""),1963.61)</f>
        <v/>
      </c>
    </row>
    <row r="14305">
      <c r="J14305">
        <f>IFERROR(__xludf.DUMMYFUNCTION("""COMPUTED_VALUE"""),"Vanouver (British Colombia)")</f>
        <v/>
      </c>
      <c r="K14305">
        <f>IFERROR(__xludf.DUMMYFUNCTION("""COMPUTED_VALUE"""),1963.46)</f>
        <v/>
      </c>
    </row>
    <row r="14306">
      <c r="J14306">
        <f>IFERROR(__xludf.DUMMYFUNCTION("""COMPUTED_VALUE"""),"Lac Mégantic")</f>
        <v/>
      </c>
      <c r="K14306">
        <f>IFERROR(__xludf.DUMMYFUNCTION("""COMPUTED_VALUE"""),1963.42)</f>
        <v/>
      </c>
    </row>
    <row r="14307">
      <c r="J14307">
        <f>IFERROR(__xludf.DUMMYFUNCTION("""COMPUTED_VALUE"""),"Winnipeg, Manitoba and Regina, Sask")</f>
        <v/>
      </c>
      <c r="K14307">
        <f>IFERROR(__xludf.DUMMYFUNCTION("""COMPUTED_VALUE"""),1963.26)</f>
        <v/>
      </c>
    </row>
    <row r="14308">
      <c r="J14308">
        <f>IFERROR(__xludf.DUMMYFUNCTION("""COMPUTED_VALUE"""),"Lakewood, Washington")</f>
        <v/>
      </c>
      <c r="K14308">
        <f>IFERROR(__xludf.DUMMYFUNCTION("""COMPUTED_VALUE"""),1963.24)</f>
        <v/>
      </c>
    </row>
    <row r="14309">
      <c r="J14309">
        <f>IFERROR(__xludf.DUMMYFUNCTION("""COMPUTED_VALUE"""),"Lithuania, Vilnius")</f>
        <v/>
      </c>
      <c r="K14309">
        <f>IFERROR(__xludf.DUMMYFUNCTION("""COMPUTED_VALUE"""),1962.27)</f>
        <v/>
      </c>
    </row>
    <row r="14310">
      <c r="J14310">
        <f>IFERROR(__xludf.DUMMYFUNCTION("""COMPUTED_VALUE"""),"Montreal, QC Niagra Falls, ON")</f>
        <v/>
      </c>
      <c r="K14310">
        <f>IFERROR(__xludf.DUMMYFUNCTION("""COMPUTED_VALUE"""),1962)</f>
        <v/>
      </c>
    </row>
    <row r="14311">
      <c r="J14311">
        <f>IFERROR(__xludf.DUMMYFUNCTION("""COMPUTED_VALUE"""),"Toronto, Ontario, and Winnipeg, Manitoba, Canada")</f>
        <v/>
      </c>
      <c r="K14311">
        <f>IFERROR(__xludf.DUMMYFUNCTION("""COMPUTED_VALUE"""),1962)</f>
        <v/>
      </c>
    </row>
    <row r="14312">
      <c r="J14312">
        <f>IFERROR(__xludf.DUMMYFUNCTION("""COMPUTED_VALUE"""),"Montreal, Quebec, Canada / Orlando, Florida, United States / Miami, Florida, United States")</f>
        <v/>
      </c>
      <c r="K14312">
        <f>IFERROR(__xludf.DUMMYFUNCTION("""COMPUTED_VALUE"""),1961.69)</f>
        <v/>
      </c>
    </row>
    <row r="14313">
      <c r="J14313">
        <f>IFERROR(__xludf.DUMMYFUNCTION("""COMPUTED_VALUE"""),"Montréal, Quebec, Canada; Gander, Newfoundland and Labrador, Canada; Happy Valley-Goose Bay, Newfoundland and Labrador, Canada")</f>
        <v/>
      </c>
      <c r="K14313">
        <f>IFERROR(__xludf.DUMMYFUNCTION("""COMPUTED_VALUE"""),1961.24)</f>
        <v/>
      </c>
    </row>
    <row r="14314">
      <c r="J14314">
        <f>IFERROR(__xludf.DUMMYFUNCTION("""COMPUTED_VALUE"""),"Val-Marie, Saskatchewan and Riding Mountain, Manitoba")</f>
        <v/>
      </c>
      <c r="K14314">
        <f>IFERROR(__xludf.DUMMYFUNCTION("""COMPUTED_VALUE"""),1961.15)</f>
        <v/>
      </c>
    </row>
    <row r="14315">
      <c r="J14315">
        <f>IFERROR(__xludf.DUMMYFUNCTION("""COMPUTED_VALUE"""),"Granby")</f>
        <v/>
      </c>
      <c r="K14315">
        <f>IFERROR(__xludf.DUMMYFUNCTION("""COMPUTED_VALUE"""),1960.71999999999)</f>
        <v/>
      </c>
    </row>
    <row r="14316">
      <c r="J14316">
        <f>IFERROR(__xludf.DUMMYFUNCTION("""COMPUTED_VALUE"""),"Moncton, New Brunswick, Chalottetown, Prince Edward Island and Halifax, Nova Scotia")</f>
        <v/>
      </c>
      <c r="K14316">
        <f>IFERROR(__xludf.DUMMYFUNCTION("""COMPUTED_VALUE"""),1960.59)</f>
        <v/>
      </c>
    </row>
    <row r="14317">
      <c r="J14317">
        <f>IFERROR(__xludf.DUMMYFUNCTION("""COMPUTED_VALUE"""),"Oaxaca, Mexico")</f>
        <v/>
      </c>
      <c r="K14317">
        <f>IFERROR(__xludf.DUMMYFUNCTION("""COMPUTED_VALUE"""),1960.34)</f>
        <v/>
      </c>
    </row>
    <row r="14318">
      <c r="J14318">
        <f>IFERROR(__xludf.DUMMYFUNCTION("""COMPUTED_VALUE"""),"Ottawa, ON; Summerside, PE")</f>
        <v/>
      </c>
      <c r="K14318">
        <f>IFERROR(__xludf.DUMMYFUNCTION("""COMPUTED_VALUE"""),1960.15)</f>
        <v/>
      </c>
    </row>
    <row r="14319">
      <c r="J14319">
        <f>IFERROR(__xludf.DUMMYFUNCTION("""COMPUTED_VALUE"""),"Quebec, New Brunswick, Nova Scotia")</f>
        <v/>
      </c>
      <c r="K14319">
        <f>IFERROR(__xludf.DUMMYFUNCTION("""COMPUTED_VALUE"""),1959.42)</f>
        <v/>
      </c>
    </row>
    <row r="14320">
      <c r="J14320">
        <f>IFERROR(__xludf.DUMMYFUNCTION("""COMPUTED_VALUE"""),"Toronto, Niagara, and Welland, Ontario and Deux Montagnes, Québec")</f>
        <v/>
      </c>
      <c r="K14320">
        <f>IFERROR(__xludf.DUMMYFUNCTION("""COMPUTED_VALUE"""),1958.79)</f>
        <v/>
      </c>
    </row>
    <row r="14321">
      <c r="J14321">
        <f>IFERROR(__xludf.DUMMYFUNCTION("""COMPUTED_VALUE"""),"Harrisburg, Pennsylvania")</f>
        <v/>
      </c>
      <c r="K14321">
        <f>IFERROR(__xludf.DUMMYFUNCTION("""COMPUTED_VALUE"""),1958.59)</f>
        <v/>
      </c>
    </row>
    <row r="14322">
      <c r="J14322">
        <f>IFERROR(__xludf.DUMMYFUNCTION("""COMPUTED_VALUE"""),"Halifax, Nova Scotia &amp; Fredericton, New Brunswick")</f>
        <v/>
      </c>
      <c r="K14322">
        <f>IFERROR(__xludf.DUMMYFUNCTION("""COMPUTED_VALUE"""),1958.42)</f>
        <v/>
      </c>
    </row>
    <row r="14323">
      <c r="J14323">
        <f>IFERROR(__xludf.DUMMYFUNCTION("""COMPUTED_VALUE"""),"Halifax, NS and Winnipeg, MB")</f>
        <v/>
      </c>
      <c r="K14323">
        <f>IFERROR(__xludf.DUMMYFUNCTION("""COMPUTED_VALUE"""),1958.39)</f>
        <v/>
      </c>
    </row>
    <row r="14324">
      <c r="J14324">
        <f>IFERROR(__xludf.DUMMYFUNCTION("""COMPUTED_VALUE"""),"St. John's;Halifax;Quebec;Toronto")</f>
        <v/>
      </c>
      <c r="K14324">
        <f>IFERROR(__xludf.DUMMYFUNCTION("""COMPUTED_VALUE"""),1958.38)</f>
        <v/>
      </c>
    </row>
    <row r="14325">
      <c r="J14325">
        <f>IFERROR(__xludf.DUMMYFUNCTION("""COMPUTED_VALUE"""),"Dartmouth, Nova Scotia / St. John's, Newfoundland and Labrador")</f>
        <v/>
      </c>
      <c r="K14325">
        <f>IFERROR(__xludf.DUMMYFUNCTION("""COMPUTED_VALUE"""),1957.88)</f>
        <v/>
      </c>
    </row>
    <row r="14326">
      <c r="J14326">
        <f>IFERROR(__xludf.DUMMYFUNCTION("""COMPUTED_VALUE"""),"Toronto, ON   Halifax, NS   Québec, QC")</f>
        <v/>
      </c>
      <c r="K14326">
        <f>IFERROR(__xludf.DUMMYFUNCTION("""COMPUTED_VALUE"""),1957.41)</f>
        <v/>
      </c>
    </row>
    <row r="14327">
      <c r="J14327">
        <f>IFERROR(__xludf.DUMMYFUNCTION("""COMPUTED_VALUE"""),"Saskatoon&amp;Regina, Saskatchewan")</f>
        <v/>
      </c>
      <c r="K14327">
        <f>IFERROR(__xludf.DUMMYFUNCTION("""COMPUTED_VALUE"""),1957.37)</f>
        <v/>
      </c>
    </row>
    <row r="14328">
      <c r="J14328">
        <f>IFERROR(__xludf.DUMMYFUNCTION("""COMPUTED_VALUE"""),"Constance Lake, Ontario")</f>
        <v/>
      </c>
      <c r="K14328">
        <f>IFERROR(__xludf.DUMMYFUNCTION("""COMPUTED_VALUE"""),1957.11)</f>
        <v/>
      </c>
    </row>
    <row r="14329">
      <c r="J14329">
        <f>IFERROR(__xludf.DUMMYFUNCTION("""COMPUTED_VALUE"""),"Calgary, Alberta, Canada; Fort McMurray, Alberta, Canada")</f>
        <v/>
      </c>
      <c r="K14329">
        <f>IFERROR(__xludf.DUMMYFUNCTION("""COMPUTED_VALUE"""),1956.78)</f>
        <v/>
      </c>
    </row>
    <row r="14330">
      <c r="J14330">
        <f>IFERROR(__xludf.DUMMYFUNCTION("""COMPUTED_VALUE"""),"ST. JOHN'S , NF")</f>
        <v/>
      </c>
      <c r="K14330">
        <f>IFERROR(__xludf.DUMMYFUNCTION("""COMPUTED_VALUE"""),1956.72)</f>
        <v/>
      </c>
    </row>
    <row r="14331">
      <c r="J14331">
        <f>IFERROR(__xludf.DUMMYFUNCTION("""COMPUTED_VALUE"""),"Izmir, Turkey")</f>
        <v/>
      </c>
      <c r="K14331">
        <f>IFERROR(__xludf.DUMMYFUNCTION("""COMPUTED_VALUE"""),1956.64)</f>
        <v/>
      </c>
    </row>
    <row r="14332">
      <c r="J14332">
        <f>IFERROR(__xludf.DUMMYFUNCTION("""COMPUTED_VALUE"""),"Ottawa, ON; London, ON")</f>
        <v/>
      </c>
      <c r="K14332">
        <f>IFERROR(__xludf.DUMMYFUNCTION("""COMPUTED_VALUE"""),1955.12)</f>
        <v/>
      </c>
    </row>
    <row r="14333">
      <c r="J14333">
        <f>IFERROR(__xludf.DUMMYFUNCTION("""COMPUTED_VALUE"""),"Havan, Cuba")</f>
        <v/>
      </c>
      <c r="K14333">
        <f>IFERROR(__xludf.DUMMYFUNCTION("""COMPUTED_VALUE"""),1954.81)</f>
        <v/>
      </c>
    </row>
    <row r="14334">
      <c r="J14334">
        <f>IFERROR(__xludf.DUMMYFUNCTION("""COMPUTED_VALUE"""),"Shelburne, Nova Scotia, Canada")</f>
        <v/>
      </c>
      <c r="K14334">
        <f>IFERROR(__xludf.DUMMYFUNCTION("""COMPUTED_VALUE"""),1954.75)</f>
        <v/>
      </c>
    </row>
    <row r="14335">
      <c r="J14335">
        <f>IFERROR(__xludf.DUMMYFUNCTION("""COMPUTED_VALUE"""),"Montreal, Sherbrooke, Quebec, Ottawa")</f>
        <v/>
      </c>
      <c r="K14335">
        <f>IFERROR(__xludf.DUMMYFUNCTION("""COMPUTED_VALUE"""),1954.72)</f>
        <v/>
      </c>
    </row>
    <row r="14336">
      <c r="J14336">
        <f>IFERROR(__xludf.DUMMYFUNCTION("""COMPUTED_VALUE"""),"Fort Picket, Virginia")</f>
        <v/>
      </c>
      <c r="K14336">
        <f>IFERROR(__xludf.DUMMYFUNCTION("""COMPUTED_VALUE"""),1953.33)</f>
        <v/>
      </c>
    </row>
    <row r="14337">
      <c r="J14337">
        <f>IFERROR(__xludf.DUMMYFUNCTION("""COMPUTED_VALUE"""),"Deerhurst and Toronto, Ontario")</f>
        <v/>
      </c>
      <c r="K14337">
        <f>IFERROR(__xludf.DUMMYFUNCTION("""COMPUTED_VALUE"""),1952.6)</f>
        <v/>
      </c>
    </row>
    <row r="14338">
      <c r="J14338">
        <f>IFERROR(__xludf.DUMMYFUNCTION("""COMPUTED_VALUE"""),"Toronto &amp; Barrie, Ontario, Canada")</f>
        <v/>
      </c>
      <c r="K14338">
        <f>IFERROR(__xludf.DUMMYFUNCTION("""COMPUTED_VALUE"""),1952.51)</f>
        <v/>
      </c>
    </row>
    <row r="14339">
      <c r="J14339">
        <f>IFERROR(__xludf.DUMMYFUNCTION("""COMPUTED_VALUE"""),"Ottawa (ON), Toronto (ON)")</f>
        <v/>
      </c>
      <c r="K14339">
        <f>IFERROR(__xludf.DUMMYFUNCTION("""COMPUTED_VALUE"""),1952.5)</f>
        <v/>
      </c>
    </row>
    <row r="14340">
      <c r="J14340">
        <f>IFERROR(__xludf.DUMMYFUNCTION("""COMPUTED_VALUE"""),"Saskatoon, SK Winnipeg, MB Edmonton, AB")</f>
        <v/>
      </c>
      <c r="K14340">
        <f>IFERROR(__xludf.DUMMYFUNCTION("""COMPUTED_VALUE"""),1952.45)</f>
        <v/>
      </c>
    </row>
    <row r="14341">
      <c r="J14341">
        <f>IFERROR(__xludf.DUMMYFUNCTION("""COMPUTED_VALUE"""),"Tsuut'ina, Alberta Canada and Fort Macleod, Alberta, Canada and Calgary, Alberta, Canada and Cochrane, Alberta, Canada")</f>
        <v/>
      </c>
      <c r="K14341">
        <f>IFERROR(__xludf.DUMMYFUNCTION("""COMPUTED_VALUE"""),1952.45)</f>
        <v/>
      </c>
    </row>
    <row r="14342">
      <c r="J14342">
        <f>IFERROR(__xludf.DUMMYFUNCTION("""COMPUTED_VALUE"""),"Ottawa, Ontario / Truro, Nova Scotia")</f>
        <v/>
      </c>
      <c r="K14342">
        <f>IFERROR(__xludf.DUMMYFUNCTION("""COMPUTED_VALUE"""),1951.88)</f>
        <v/>
      </c>
    </row>
    <row r="14343">
      <c r="J14343">
        <f>IFERROR(__xludf.DUMMYFUNCTION("""COMPUTED_VALUE"""),"Toronto , ON, Canada")</f>
        <v/>
      </c>
      <c r="K14343">
        <f>IFERROR(__xludf.DUMMYFUNCTION("""COMPUTED_VALUE"""),1951.24)</f>
        <v/>
      </c>
    </row>
    <row r="14344">
      <c r="J14344">
        <f>IFERROR(__xludf.DUMMYFUNCTION("""COMPUTED_VALUE"""),"Calgary (Alberta) Canada; Lethbridge (Alberta) Canada")</f>
        <v/>
      </c>
      <c r="K14344">
        <f>IFERROR(__xludf.DUMMYFUNCTION("""COMPUTED_VALUE"""),1951.17)</f>
        <v/>
      </c>
    </row>
    <row r="14345">
      <c r="J14345">
        <f>IFERROR(__xludf.DUMMYFUNCTION("""COMPUTED_VALUE"""),"Winnipeg/Calgary")</f>
        <v/>
      </c>
      <c r="K14345">
        <f>IFERROR(__xludf.DUMMYFUNCTION("""COMPUTED_VALUE"""),1950.88)</f>
        <v/>
      </c>
    </row>
    <row r="14346">
      <c r="J14346">
        <f>IFERROR(__xludf.DUMMYFUNCTION("""COMPUTED_VALUE"""),"Edmonton, Alberta, Canada; Montreal, Quebec, Canada")</f>
        <v/>
      </c>
      <c r="K14346">
        <f>IFERROR(__xludf.DUMMYFUNCTION("""COMPUTED_VALUE"""),1950.81)</f>
        <v/>
      </c>
    </row>
    <row r="14347">
      <c r="J14347">
        <f>IFERROR(__xludf.DUMMYFUNCTION("""COMPUTED_VALUE"""),"Kitchener-Waterloo, Ontario")</f>
        <v/>
      </c>
      <c r="K14347">
        <f>IFERROR(__xludf.DUMMYFUNCTION("""COMPUTED_VALUE"""),1949.99)</f>
        <v/>
      </c>
    </row>
    <row r="14348">
      <c r="J14348">
        <f>IFERROR(__xludf.DUMMYFUNCTION("""COMPUTED_VALUE"""),"Milan and Rome,  Italy")</f>
        <v/>
      </c>
      <c r="K14348">
        <f>IFERROR(__xludf.DUMMYFUNCTION("""COMPUTED_VALUE"""),1949.7)</f>
        <v/>
      </c>
    </row>
    <row r="14349">
      <c r="J14349">
        <f>IFERROR(__xludf.DUMMYFUNCTION("""COMPUTED_VALUE"""),"Wakefield and Gatineau, Québec")</f>
        <v/>
      </c>
      <c r="K14349">
        <f>IFERROR(__xludf.DUMMYFUNCTION("""COMPUTED_VALUE"""),1949.62)</f>
        <v/>
      </c>
    </row>
    <row r="14350">
      <c r="J14350">
        <f>IFERROR(__xludf.DUMMYFUNCTION("""COMPUTED_VALUE"""),"Québec, Sainte-Anne-des-Monts and Gaspé (Québec) Canada")</f>
        <v/>
      </c>
      <c r="K14350">
        <f>IFERROR(__xludf.DUMMYFUNCTION("""COMPUTED_VALUE"""),1948.56)</f>
        <v/>
      </c>
    </row>
    <row r="14351">
      <c r="J14351">
        <f>IFERROR(__xludf.DUMMYFUNCTION("""COMPUTED_VALUE"""),"Vancouver, British Columbia / Winnipeg, Manitoba and Toronto, Ontario, Canada")</f>
        <v/>
      </c>
      <c r="K14351">
        <f>IFERROR(__xludf.DUMMYFUNCTION("""COMPUTED_VALUE"""),1948.31)</f>
        <v/>
      </c>
    </row>
    <row r="14352">
      <c r="J14352">
        <f>IFERROR(__xludf.DUMMYFUNCTION("""COMPUTED_VALUE"""),"Chatham, Ontario, Canada; London, Ontario, Canada; Kitchener, Ontario, Canada; Milton, Ontario, Canada; Toronto, Ontario, Canada; Belleville, Ontario, Canada; Napanee, Ontario, Canada; Kingston, Ontario, Canada; Windsor, Ontario, Canada")</f>
        <v/>
      </c>
      <c r="K14352">
        <f>IFERROR(__xludf.DUMMYFUNCTION("""COMPUTED_VALUE"""),1948.3)</f>
        <v/>
      </c>
    </row>
    <row r="14353">
      <c r="J14353">
        <f>IFERROR(__xludf.DUMMYFUNCTION("""COMPUTED_VALUE"""),"St. John's (Newfoundland and Labrador) Canada; Ottawa (Ontario) Canada")</f>
        <v/>
      </c>
      <c r="K14353">
        <f>IFERROR(__xludf.DUMMYFUNCTION("""COMPUTED_VALUE"""),1948.02)</f>
        <v/>
      </c>
    </row>
    <row r="14354">
      <c r="J14354">
        <f>IFERROR(__xludf.DUMMYFUNCTION("""COMPUTED_VALUE"""),"Vancouver (British Columbia), Canada")</f>
        <v/>
      </c>
      <c r="K14354">
        <f>IFERROR(__xludf.DUMMYFUNCTION("""COMPUTED_VALUE"""),1947.53)</f>
        <v/>
      </c>
    </row>
    <row r="14355">
      <c r="J14355">
        <f>IFERROR(__xludf.DUMMYFUNCTION("""COMPUTED_VALUE"""),"Ottawa, ON and Blainville, QC")</f>
        <v/>
      </c>
      <c r="K14355">
        <f>IFERROR(__xludf.DUMMYFUNCTION("""COMPUTED_VALUE"""),1947.21)</f>
        <v/>
      </c>
    </row>
    <row r="14356">
      <c r="J14356">
        <f>IFERROR(__xludf.DUMMYFUNCTION("""COMPUTED_VALUE"""),"Washington, District of Columbia / Baltimore, Maryland")</f>
        <v/>
      </c>
      <c r="K14356">
        <f>IFERROR(__xludf.DUMMYFUNCTION("""COMPUTED_VALUE"""),1946.87)</f>
        <v/>
      </c>
    </row>
    <row r="14357">
      <c r="J14357">
        <f>IFERROR(__xludf.DUMMYFUNCTION("""COMPUTED_VALUE"""),"Amsterdam, The Netherlands,")</f>
        <v/>
      </c>
      <c r="K14357">
        <f>IFERROR(__xludf.DUMMYFUNCTION("""COMPUTED_VALUE"""),1946.79)</f>
        <v/>
      </c>
    </row>
    <row r="14358">
      <c r="J14358">
        <f>IFERROR(__xludf.DUMMYFUNCTION("""COMPUTED_VALUE"""),"Salvador, Bahia")</f>
        <v/>
      </c>
      <c r="K14358">
        <f>IFERROR(__xludf.DUMMYFUNCTION("""COMPUTED_VALUE"""),1946.6)</f>
        <v/>
      </c>
    </row>
    <row r="14359">
      <c r="J14359">
        <f>IFERROR(__xludf.DUMMYFUNCTION("""COMPUTED_VALUE"""),"London / Toronto, (Ontario)")</f>
        <v/>
      </c>
      <c r="K14359">
        <f>IFERROR(__xludf.DUMMYFUNCTION("""COMPUTED_VALUE"""),1946.58)</f>
        <v/>
      </c>
    </row>
    <row r="14360">
      <c r="J14360">
        <f>IFERROR(__xludf.DUMMYFUNCTION("""COMPUTED_VALUE"""),"Wawa, Ontario, Canada")</f>
        <v/>
      </c>
      <c r="K14360">
        <f>IFERROR(__xludf.DUMMYFUNCTION("""COMPUTED_VALUE"""),1946.07)</f>
        <v/>
      </c>
    </row>
    <row r="14361">
      <c r="J14361">
        <f>IFERROR(__xludf.DUMMYFUNCTION("""COMPUTED_VALUE"""),"Quebec Region")</f>
        <v/>
      </c>
      <c r="K14361">
        <f>IFERROR(__xludf.DUMMYFUNCTION("""COMPUTED_VALUE"""),1945.74)</f>
        <v/>
      </c>
    </row>
    <row r="14362">
      <c r="J14362">
        <f>IFERROR(__xludf.DUMMYFUNCTION("""COMPUTED_VALUE"""),"St. John's , Newfoundland")</f>
        <v/>
      </c>
      <c r="K14362">
        <f>IFERROR(__xludf.DUMMYFUNCTION("""COMPUTED_VALUE"""),1945.34)</f>
        <v/>
      </c>
    </row>
    <row r="14363">
      <c r="J14363">
        <f>IFERROR(__xludf.DUMMYFUNCTION("""COMPUTED_VALUE"""),"Gander, Newfoundland and Labrador, Greenwood, Nova Scotia, and North Bay, Ontario")</f>
        <v/>
      </c>
      <c r="K14363">
        <f>IFERROR(__xludf.DUMMYFUNCTION("""COMPUTED_VALUE"""),1945.25)</f>
        <v/>
      </c>
    </row>
    <row r="14364">
      <c r="J14364">
        <f>IFERROR(__xludf.DUMMYFUNCTION("""COMPUTED_VALUE"""),"Halifax (Nove Scotia) Canada")</f>
        <v/>
      </c>
      <c r="K14364">
        <f>IFERROR(__xludf.DUMMYFUNCTION("""COMPUTED_VALUE"""),1945.07)</f>
        <v/>
      </c>
    </row>
    <row r="14365">
      <c r="J14365">
        <f>IFERROR(__xludf.DUMMYFUNCTION("""COMPUTED_VALUE"""),"London, ON / Toronto, ON")</f>
        <v/>
      </c>
      <c r="K14365">
        <f>IFERROR(__xludf.DUMMYFUNCTION("""COMPUTED_VALUE"""),1944.85)</f>
        <v/>
      </c>
    </row>
    <row r="14366">
      <c r="J14366">
        <f>IFERROR(__xludf.DUMMYFUNCTION("""COMPUTED_VALUE"""),"Montreal, Quebec, Canada / Chicoutimi, Quebec, Canada")</f>
        <v/>
      </c>
      <c r="K14366">
        <f>IFERROR(__xludf.DUMMYFUNCTION("""COMPUTED_VALUE"""),1944.85)</f>
        <v/>
      </c>
    </row>
    <row r="14367">
      <c r="J14367">
        <f>IFERROR(__xludf.DUMMYFUNCTION("""COMPUTED_VALUE"""),"Vancouver / Victoria")</f>
        <v/>
      </c>
      <c r="K14367">
        <f>IFERROR(__xludf.DUMMYFUNCTION("""COMPUTED_VALUE"""),1944.56)</f>
        <v/>
      </c>
    </row>
    <row r="14368">
      <c r="J14368">
        <f>IFERROR(__xludf.DUMMYFUNCTION("""COMPUTED_VALUE"""),"Halifax, Nova Scotia, Canada / Fredericton, New Brunswick, Canada / St. John's. Newfoundland, Canada")</f>
        <v/>
      </c>
      <c r="K14368">
        <f>IFERROR(__xludf.DUMMYFUNCTION("""COMPUTED_VALUE"""),1944.39)</f>
        <v/>
      </c>
    </row>
    <row r="14369">
      <c r="J14369">
        <f>IFERROR(__xludf.DUMMYFUNCTION("""COMPUTED_VALUE"""),"Niagara and Hamilton,Ontario, Canada")</f>
        <v/>
      </c>
      <c r="K14369">
        <f>IFERROR(__xludf.DUMMYFUNCTION("""COMPUTED_VALUE"""),1944.26)</f>
        <v/>
      </c>
    </row>
    <row r="14370">
      <c r="J14370">
        <f>IFERROR(__xludf.DUMMYFUNCTION("""COMPUTED_VALUE"""),"Halifax, Nova Scotia; Toronto, Ontario")</f>
        <v/>
      </c>
      <c r="K14370">
        <f>IFERROR(__xludf.DUMMYFUNCTION("""COMPUTED_VALUE"""),1943.69)</f>
        <v/>
      </c>
    </row>
    <row r="14371">
      <c r="J14371">
        <f>IFERROR(__xludf.DUMMYFUNCTION("""COMPUTED_VALUE"""),"Toronto, Ontario; Hamilton, Ontario; Montréal, Québec")</f>
        <v/>
      </c>
      <c r="K14371">
        <f>IFERROR(__xludf.DUMMYFUNCTION("""COMPUTED_VALUE"""),1943.63)</f>
        <v/>
      </c>
    </row>
    <row r="14372">
      <c r="J14372">
        <f>IFERROR(__xludf.DUMMYFUNCTION("""COMPUTED_VALUE"""),"Calgary, Alberta / Winnipeg, Manitoba / Toronto, Ontario / Halifax, Nova Scotia, Canada")</f>
        <v/>
      </c>
      <c r="K14372">
        <f>IFERROR(__xludf.DUMMYFUNCTION("""COMPUTED_VALUE"""),1943.62)</f>
        <v/>
      </c>
    </row>
    <row r="14373">
      <c r="J14373">
        <f>IFERROR(__xludf.DUMMYFUNCTION("""COMPUTED_VALUE"""),"Seattle, United States; Vancouver, British Columbia")</f>
        <v/>
      </c>
      <c r="K14373">
        <f>IFERROR(__xludf.DUMMYFUNCTION("""COMPUTED_VALUE"""),1943.43)</f>
        <v/>
      </c>
    </row>
    <row r="14374">
      <c r="J14374">
        <f>IFERROR(__xludf.DUMMYFUNCTION("""COMPUTED_VALUE"""),"Fredericton, New Brunswick, Canada
Summerside, Prince Edward Island, Canada")</f>
        <v/>
      </c>
      <c r="K14374">
        <f>IFERROR(__xludf.DUMMYFUNCTION("""COMPUTED_VALUE"""),1943.31)</f>
        <v/>
      </c>
    </row>
    <row r="14375">
      <c r="J14375">
        <f>IFERROR(__xludf.DUMMYFUNCTION("""COMPUTED_VALUE"""),"Halifax/Sydney,Nova Scotia")</f>
        <v/>
      </c>
      <c r="K14375">
        <f>IFERROR(__xludf.DUMMYFUNCTION("""COMPUTED_VALUE"""),1943.04)</f>
        <v/>
      </c>
    </row>
    <row r="14376">
      <c r="J14376">
        <f>IFERROR(__xludf.DUMMYFUNCTION("""COMPUTED_VALUE"""),"Moncton, New Brunswick; Halifax, Nova Scotia")</f>
        <v/>
      </c>
      <c r="K14376">
        <f>IFERROR(__xludf.DUMMYFUNCTION("""COMPUTED_VALUE"""),1943.04)</f>
        <v/>
      </c>
    </row>
    <row r="14377">
      <c r="J14377">
        <f>IFERROR(__xludf.DUMMYFUNCTION("""COMPUTED_VALUE"""),"Hull, Québec")</f>
        <v/>
      </c>
      <c r="K14377">
        <f>IFERROR(__xludf.DUMMYFUNCTION("""COMPUTED_VALUE"""),1942.99)</f>
        <v/>
      </c>
    </row>
    <row r="14378">
      <c r="J14378">
        <f>IFERROR(__xludf.DUMMYFUNCTION("""COMPUTED_VALUE"""),"Toronto, Ontario, Canada/ Niagara-on-the-Lake, Ontario, Canada")</f>
        <v/>
      </c>
      <c r="K14378">
        <f>IFERROR(__xludf.DUMMYFUNCTION("""COMPUTED_VALUE"""),1942.67)</f>
        <v/>
      </c>
    </row>
    <row r="14379">
      <c r="J14379">
        <f>IFERROR(__xludf.DUMMYFUNCTION("""COMPUTED_VALUE"""),"Oakbank, MB; Ottawa, ON")</f>
        <v/>
      </c>
      <c r="K14379">
        <f>IFERROR(__xludf.DUMMYFUNCTION("""COMPUTED_VALUE"""),1942.05)</f>
        <v/>
      </c>
    </row>
    <row r="14380">
      <c r="J14380">
        <f>IFERROR(__xludf.DUMMYFUNCTION("""COMPUTED_VALUE"""),"WINNIPPEG, MANITOBA, CANADA")</f>
        <v/>
      </c>
      <c r="K14380">
        <f>IFERROR(__xludf.DUMMYFUNCTION("""COMPUTED_VALUE"""),1942.02)</f>
        <v/>
      </c>
    </row>
    <row r="14381">
      <c r="J14381">
        <f>IFERROR(__xludf.DUMMYFUNCTION("""COMPUTED_VALUE"""),"Goose Bay, Newfoundland and Labrador &amp; Halifax, Nova Scotia")</f>
        <v/>
      </c>
      <c r="K14381">
        <f>IFERROR(__xludf.DUMMYFUNCTION("""COMPUTED_VALUE"""),1941.76)</f>
        <v/>
      </c>
    </row>
    <row r="14382">
      <c r="J14382">
        <f>IFERROR(__xludf.DUMMYFUNCTION("""COMPUTED_VALUE"""),"Kingston / Belleville")</f>
        <v/>
      </c>
      <c r="K14382">
        <f>IFERROR(__xludf.DUMMYFUNCTION("""COMPUTED_VALUE"""),1941.47)</f>
        <v/>
      </c>
    </row>
    <row r="14383">
      <c r="J14383">
        <f>IFERROR(__xludf.DUMMYFUNCTION("""COMPUTED_VALUE"""),"Ottawa-Halifax-St.John's-Toronto-Ottawa")</f>
        <v/>
      </c>
      <c r="K14383">
        <f>IFERROR(__xludf.DUMMYFUNCTION("""COMPUTED_VALUE"""),1941.3)</f>
        <v/>
      </c>
    </row>
    <row r="14384">
      <c r="J14384">
        <f>IFERROR(__xludf.DUMMYFUNCTION("""COMPUTED_VALUE"""),"St Johns, New Brunswick, Canada")</f>
        <v/>
      </c>
      <c r="K14384">
        <f>IFERROR(__xludf.DUMMYFUNCTION("""COMPUTED_VALUE"""),1941.3)</f>
        <v/>
      </c>
    </row>
    <row r="14385">
      <c r="J14385">
        <f>IFERROR(__xludf.DUMMYFUNCTION("""COMPUTED_VALUE"""),"Toronto, Ontario, Canada/ Hamilton, Ontario, Canada")</f>
        <v/>
      </c>
      <c r="K14385">
        <f>IFERROR(__xludf.DUMMYFUNCTION("""COMPUTED_VALUE"""),1941.14)</f>
        <v/>
      </c>
    </row>
    <row r="14386">
      <c r="J14386">
        <f>IFERROR(__xludf.DUMMYFUNCTION("""COMPUTED_VALUE"""),"Barrie, Ontario, Canada; North Bay, Ontario, Canada; Sudbury, Ontario, Canada")</f>
        <v/>
      </c>
      <c r="K14386">
        <f>IFERROR(__xludf.DUMMYFUNCTION("""COMPUTED_VALUE"""),1941.02)</f>
        <v/>
      </c>
    </row>
    <row r="14387">
      <c r="J14387">
        <f>IFERROR(__xludf.DUMMYFUNCTION("""COMPUTED_VALUE"""),"Vancouver, British Columbia / Calgary, Alberta / Toronto, Ontario")</f>
        <v/>
      </c>
      <c r="K14387">
        <f>IFERROR(__xludf.DUMMYFUNCTION("""COMPUTED_VALUE"""),1940.83)</f>
        <v/>
      </c>
    </row>
    <row r="14388">
      <c r="J14388">
        <f>IFERROR(__xludf.DUMMYFUNCTION("""COMPUTED_VALUE"""),"Winnipeg, Manitoba,  Canada")</f>
        <v/>
      </c>
      <c r="K14388">
        <f>IFERROR(__xludf.DUMMYFUNCTION("""COMPUTED_VALUE"""),1940.61)</f>
        <v/>
      </c>
    </row>
    <row r="14389">
      <c r="J14389">
        <f>IFERROR(__xludf.DUMMYFUNCTION("""COMPUTED_VALUE"""),"St-Jean sur Richelieu, Quebec/ Ottawa, Ontario")</f>
        <v/>
      </c>
      <c r="K14389">
        <f>IFERROR(__xludf.DUMMYFUNCTION("""COMPUTED_VALUE"""),1939.76)</f>
        <v/>
      </c>
    </row>
    <row r="14390">
      <c r="J14390">
        <f>IFERROR(__xludf.DUMMYFUNCTION("""COMPUTED_VALUE"""),"Ottawa, Ontario and Fredericton, New Brunswick")</f>
        <v/>
      </c>
      <c r="K14390">
        <f>IFERROR(__xludf.DUMMYFUNCTION("""COMPUTED_VALUE"""),1939.7)</f>
        <v/>
      </c>
    </row>
    <row r="14391">
      <c r="J14391">
        <f>IFERROR(__xludf.DUMMYFUNCTION("""COMPUTED_VALUE"""),"Listowel, Ontario, Canada")</f>
        <v/>
      </c>
      <c r="K14391">
        <f>IFERROR(__xludf.DUMMYFUNCTION("""COMPUTED_VALUE"""),1939.59)</f>
        <v/>
      </c>
    </row>
    <row r="14392">
      <c r="J14392">
        <f>IFERROR(__xludf.DUMMYFUNCTION("""COMPUTED_VALUE"""),"Montreal, Quebec / Sydney, Nova Scotia, Canada")</f>
        <v/>
      </c>
      <c r="K14392">
        <f>IFERROR(__xludf.DUMMYFUNCTION("""COMPUTED_VALUE"""),1939.51)</f>
        <v/>
      </c>
    </row>
    <row r="14393">
      <c r="J14393">
        <f>IFERROR(__xludf.DUMMYFUNCTION("""COMPUTED_VALUE"""),"Monterrey(Mexico)")</f>
        <v/>
      </c>
      <c r="K14393">
        <f>IFERROR(__xludf.DUMMYFUNCTION("""COMPUTED_VALUE"""),1939.47)</f>
        <v/>
      </c>
    </row>
    <row r="14394">
      <c r="J14394">
        <f>IFERROR(__xludf.DUMMYFUNCTION("""COMPUTED_VALUE"""),"Saguenay and Shawinigan, Quebec, Canada")</f>
        <v/>
      </c>
      <c r="K14394">
        <f>IFERROR(__xludf.DUMMYFUNCTION("""COMPUTED_VALUE"""),1939.44)</f>
        <v/>
      </c>
    </row>
    <row r="14395">
      <c r="J14395">
        <f>IFERROR(__xludf.DUMMYFUNCTION("""COMPUTED_VALUE"""),"Duluth, Minnesorta, United States")</f>
        <v/>
      </c>
      <c r="K14395">
        <f>IFERROR(__xludf.DUMMYFUNCTION("""COMPUTED_VALUE"""),1938.9)</f>
        <v/>
      </c>
    </row>
    <row r="14396">
      <c r="J14396">
        <f>IFERROR(__xludf.DUMMYFUNCTION("""COMPUTED_VALUE"""),"Moncton, New Brunswick;
Kingston, Ontario;
Laval, Quebec")</f>
        <v/>
      </c>
      <c r="K14396">
        <f>IFERROR(__xludf.DUMMYFUNCTION("""COMPUTED_VALUE"""),1938.69)</f>
        <v/>
      </c>
    </row>
    <row r="14397">
      <c r="J14397">
        <f>IFERROR(__xludf.DUMMYFUNCTION("""COMPUTED_VALUE"""),"Ottawa, Ontario / Montréal, Québec")</f>
        <v/>
      </c>
      <c r="K14397">
        <f>IFERROR(__xludf.DUMMYFUNCTION("""COMPUTED_VALUE"""),1937.67)</f>
        <v/>
      </c>
    </row>
    <row r="14398">
      <c r="J14398">
        <f>IFERROR(__xludf.DUMMYFUNCTION("""COMPUTED_VALUE"""),"Toronto, Quebec City and Montreal")</f>
        <v/>
      </c>
      <c r="K14398">
        <f>IFERROR(__xludf.DUMMYFUNCTION("""COMPUTED_VALUE"""),1937.5)</f>
        <v/>
      </c>
    </row>
    <row r="14399">
      <c r="J14399">
        <f>IFERROR(__xludf.DUMMYFUNCTION("""COMPUTED_VALUE"""),"Montreal, Quebec; Moncton, New Brunswick")</f>
        <v/>
      </c>
      <c r="K14399">
        <f>IFERROR(__xludf.DUMMYFUNCTION("""COMPUTED_VALUE"""),1937.47)</f>
        <v/>
      </c>
    </row>
    <row r="14400">
      <c r="J14400">
        <f>IFERROR(__xludf.DUMMYFUNCTION("""COMPUTED_VALUE"""),"BROSSARD, QUEBEC, CANADA")</f>
        <v/>
      </c>
      <c r="K14400">
        <f>IFERROR(__xludf.DUMMYFUNCTION("""COMPUTED_VALUE"""),1937.35)</f>
        <v/>
      </c>
    </row>
    <row r="14401">
      <c r="J14401">
        <f>IFERROR(__xludf.DUMMYFUNCTION("""COMPUTED_VALUE"""),"Moncton, NB - Washington, DC / Washington, DC - Moncton, NB")</f>
        <v/>
      </c>
      <c r="K14401">
        <f>IFERROR(__xludf.DUMMYFUNCTION("""COMPUTED_VALUE"""),1937.23)</f>
        <v/>
      </c>
    </row>
    <row r="14402">
      <c r="J14402">
        <f>IFERROR(__xludf.DUMMYFUNCTION("""COMPUTED_VALUE"""),"Quebec / Mont-Joli, (Quebec)")</f>
        <v/>
      </c>
      <c r="K14402">
        <f>IFERROR(__xludf.DUMMYFUNCTION("""COMPUTED_VALUE"""),1937.01)</f>
        <v/>
      </c>
    </row>
    <row r="14403">
      <c r="J14403">
        <f>IFERROR(__xludf.DUMMYFUNCTION("""COMPUTED_VALUE"""),"Calgary AB, Regina SK")</f>
        <v/>
      </c>
      <c r="K14403">
        <f>IFERROR(__xludf.DUMMYFUNCTION("""COMPUTED_VALUE"""),1936.98)</f>
        <v/>
      </c>
    </row>
    <row r="14404">
      <c r="J14404">
        <f>IFERROR(__xludf.DUMMYFUNCTION("""COMPUTED_VALUE"""),"Ottawa, ON Toronto, ON Halifax, NS")</f>
        <v/>
      </c>
      <c r="K14404">
        <f>IFERROR(__xludf.DUMMYFUNCTION("""COMPUTED_VALUE"""),1936.57)</f>
        <v/>
      </c>
    </row>
    <row r="14405">
      <c r="J14405">
        <f>IFERROR(__xludf.DUMMYFUNCTION("""COMPUTED_VALUE"""),"Toronto and Kingston, ON")</f>
        <v/>
      </c>
      <c r="K14405">
        <f>IFERROR(__xludf.DUMMYFUNCTION("""COMPUTED_VALUE"""),1936.5)</f>
        <v/>
      </c>
    </row>
    <row r="14406">
      <c r="J14406">
        <f>IFERROR(__xludf.DUMMYFUNCTION("""COMPUTED_VALUE"""),"Lethbridge &amp; 
Edmonton, AB")</f>
        <v/>
      </c>
      <c r="K14406">
        <f>IFERROR(__xludf.DUMMYFUNCTION("""COMPUTED_VALUE"""),1936.37)</f>
        <v/>
      </c>
    </row>
    <row r="14407">
      <c r="J14407">
        <f>IFERROR(__xludf.DUMMYFUNCTION("""COMPUTED_VALUE"""),"Iqalui, Nunavut, Canada")</f>
        <v/>
      </c>
      <c r="K14407">
        <f>IFERROR(__xludf.DUMMYFUNCTION("""COMPUTED_VALUE"""),1936.36)</f>
        <v/>
      </c>
    </row>
    <row r="14408">
      <c r="J14408">
        <f>IFERROR(__xludf.DUMMYFUNCTION("""COMPUTED_VALUE"""),"Nelson, British Columbia")</f>
        <v/>
      </c>
      <c r="K14408">
        <f>IFERROR(__xludf.DUMMYFUNCTION("""COMPUTED_VALUE"""),1936.11)</f>
        <v/>
      </c>
    </row>
    <row r="14409">
      <c r="J14409">
        <f>IFERROR(__xludf.DUMMYFUNCTION("""COMPUTED_VALUE"""),"Athens Greece")</f>
        <v/>
      </c>
      <c r="K14409">
        <f>IFERROR(__xludf.DUMMYFUNCTION("""COMPUTED_VALUE"""),1936.02)</f>
        <v/>
      </c>
    </row>
    <row r="14410">
      <c r="J14410">
        <f>IFERROR(__xludf.DUMMYFUNCTION("""COMPUTED_VALUE"""),"Edmonton and Drumheller, Alberta")</f>
        <v/>
      </c>
      <c r="K14410">
        <f>IFERROR(__xludf.DUMMYFUNCTION("""COMPUTED_VALUE"""),1935.77)</f>
        <v/>
      </c>
    </row>
    <row r="14411">
      <c r="J14411">
        <f>IFERROR(__xludf.DUMMYFUNCTION("""COMPUTED_VALUE"""),"Fredericton and Moncton, New Brunswick, Canada and Halifax, Nova Scotia, Canada")</f>
        <v/>
      </c>
      <c r="K14411">
        <f>IFERROR(__xludf.DUMMYFUNCTION("""COMPUTED_VALUE"""),1935.21)</f>
        <v/>
      </c>
    </row>
    <row r="14412">
      <c r="J14412">
        <f>IFERROR(__xludf.DUMMYFUNCTION("""COMPUTED_VALUE"""),"Moncton, New Brunswick; Truro, Nova Scotia; Halifax, Nova Scotia")</f>
        <v/>
      </c>
      <c r="K14412">
        <f>IFERROR(__xludf.DUMMYFUNCTION("""COMPUTED_VALUE"""),1934.83)</f>
        <v/>
      </c>
    </row>
    <row r="14413">
      <c r="J14413">
        <f>IFERROR(__xludf.DUMMYFUNCTION("""COMPUTED_VALUE"""),"Edmonton, Alberta;Abbotsford, British Columbia")</f>
        <v/>
      </c>
      <c r="K14413">
        <f>IFERROR(__xludf.DUMMYFUNCTION("""COMPUTED_VALUE"""),1934.57)</f>
        <v/>
      </c>
    </row>
    <row r="14414">
      <c r="J14414">
        <f>IFERROR(__xludf.DUMMYFUNCTION("""COMPUTED_VALUE"""),"Alberta - British Columbia")</f>
        <v/>
      </c>
      <c r="K14414">
        <f>IFERROR(__xludf.DUMMYFUNCTION("""COMPUTED_VALUE"""),1934.08)</f>
        <v/>
      </c>
    </row>
    <row r="14415">
      <c r="J14415">
        <f>IFERROR(__xludf.DUMMYFUNCTION("""COMPUTED_VALUE"""),"CHARLOTTETOWN (PEI) CANADA")</f>
        <v/>
      </c>
      <c r="K14415">
        <f>IFERROR(__xludf.DUMMYFUNCTION("""COMPUTED_VALUE"""),1933.96)</f>
        <v/>
      </c>
    </row>
    <row r="14416">
      <c r="J14416">
        <f>IFERROR(__xludf.DUMMYFUNCTION("""COMPUTED_VALUE"""),"Moncton, New Brunswick, Canda")</f>
        <v/>
      </c>
      <c r="K14416">
        <f>IFERROR(__xludf.DUMMYFUNCTION("""COMPUTED_VALUE"""),1933.94)</f>
        <v/>
      </c>
    </row>
    <row r="14417">
      <c r="J14417">
        <f>IFERROR(__xludf.DUMMYFUNCTION("""COMPUTED_VALUE"""),"Kamloops - Kelowna, British Columbia, Canada")</f>
        <v/>
      </c>
      <c r="K14417">
        <f>IFERROR(__xludf.DUMMYFUNCTION("""COMPUTED_VALUE"""),1933.89)</f>
        <v/>
      </c>
    </row>
    <row r="14418">
      <c r="J14418">
        <f>IFERROR(__xludf.DUMMYFUNCTION("""COMPUTED_VALUE"""),"Halifax, NS / St. Johns, NFL")</f>
        <v/>
      </c>
      <c r="K14418">
        <f>IFERROR(__xludf.DUMMYFUNCTION("""COMPUTED_VALUE"""),1933.59)</f>
        <v/>
      </c>
    </row>
    <row r="14419">
      <c r="J14419">
        <f>IFERROR(__xludf.DUMMYFUNCTION("""COMPUTED_VALUE"""),"Port Hope, Cambridge &amp; Toronto, Ontario")</f>
        <v/>
      </c>
      <c r="K14419">
        <f>IFERROR(__xludf.DUMMYFUNCTION("""COMPUTED_VALUE"""),1933.49)</f>
        <v/>
      </c>
    </row>
    <row r="14420">
      <c r="J14420">
        <f>IFERROR(__xludf.DUMMYFUNCTION("""COMPUTED_VALUE"""),"Montreal - Quebec City")</f>
        <v/>
      </c>
      <c r="K14420">
        <f>IFERROR(__xludf.DUMMYFUNCTION("""COMPUTED_VALUE"""),1933.42)</f>
        <v/>
      </c>
    </row>
    <row r="14421">
      <c r="J14421">
        <f>IFERROR(__xludf.DUMMYFUNCTION("""COMPUTED_VALUE"""),"Hamilton, ON Ottawa, ON Toronto, ON")</f>
        <v/>
      </c>
      <c r="K14421">
        <f>IFERROR(__xludf.DUMMYFUNCTION("""COMPUTED_VALUE"""),1933.34)</f>
        <v/>
      </c>
    </row>
    <row r="14422">
      <c r="J14422">
        <f>IFERROR(__xludf.DUMMYFUNCTION("""COMPUTED_VALUE"""),"Halifax, NS, Moncton, NB, Montreal, QC and Toronto, ON")</f>
        <v/>
      </c>
      <c r="K14422">
        <f>IFERROR(__xludf.DUMMYFUNCTION("""COMPUTED_VALUE"""),1932.92)</f>
        <v/>
      </c>
    </row>
    <row r="14423">
      <c r="J14423">
        <f>IFERROR(__xludf.DUMMYFUNCTION("""COMPUTED_VALUE"""),"Guatemala, El Salvador, Costa Rica Panama &amp; Miami")</f>
        <v/>
      </c>
      <c r="K14423">
        <f>IFERROR(__xludf.DUMMYFUNCTION("""COMPUTED_VALUE"""),1932.81)</f>
        <v/>
      </c>
    </row>
    <row r="14424">
      <c r="J14424">
        <f>IFERROR(__xludf.DUMMYFUNCTION("""COMPUTED_VALUE"""),"Edmonton, Alberta, Canada; Regina, Saskatchewan, Canada; Winnipeg, Manitoba, Canada; Vancouver, British Columbia, Canada")</f>
        <v/>
      </c>
      <c r="K14424">
        <f>IFERROR(__xludf.DUMMYFUNCTION("""COMPUTED_VALUE"""),1932.55)</f>
        <v/>
      </c>
    </row>
    <row r="14425">
      <c r="J14425">
        <f>IFERROR(__xludf.DUMMYFUNCTION("""COMPUTED_VALUE"""),"Quebec, Drummondville, Trois-Rivières, Quebec, Canada")</f>
        <v/>
      </c>
      <c r="K14425">
        <f>IFERROR(__xludf.DUMMYFUNCTION("""COMPUTED_VALUE"""),1932.51)</f>
        <v/>
      </c>
    </row>
    <row r="14426">
      <c r="J14426">
        <f>IFERROR(__xludf.DUMMYFUNCTION("""COMPUTED_VALUE"""),"Kitchener, Waterloo, London, Ontario, Canada")</f>
        <v/>
      </c>
      <c r="K14426">
        <f>IFERROR(__xludf.DUMMYFUNCTION("""COMPUTED_VALUE"""),1932.27)</f>
        <v/>
      </c>
    </row>
    <row r="14427">
      <c r="J14427">
        <f>IFERROR(__xludf.DUMMYFUNCTION("""COMPUTED_VALUE"""),"Corner Brook, Newfoundland and Labrador, Canada; Stephenville, Newfoundland and Labrador, Canada; Port aux Basques, Newfoundland and Labrador, Canada")</f>
        <v/>
      </c>
      <c r="K14427">
        <f>IFERROR(__xludf.DUMMYFUNCTION("""COMPUTED_VALUE"""),1932.26)</f>
        <v/>
      </c>
    </row>
    <row r="14428">
      <c r="J14428">
        <f>IFERROR(__xludf.DUMMYFUNCTION("""COMPUTED_VALUE"""),"Port Alberni and Tofino, British Columbia")</f>
        <v/>
      </c>
      <c r="K14428">
        <f>IFERROR(__xludf.DUMMYFUNCTION("""COMPUTED_VALUE"""),1931.98)</f>
        <v/>
      </c>
    </row>
    <row r="14429">
      <c r="J14429">
        <f>IFERROR(__xludf.DUMMYFUNCTION("""COMPUTED_VALUE"""),"Quebec, Montreal, QC")</f>
        <v/>
      </c>
      <c r="K14429">
        <f>IFERROR(__xludf.DUMMYFUNCTION("""COMPUTED_VALUE"""),1931.86)</f>
        <v/>
      </c>
    </row>
    <row r="14430">
      <c r="J14430">
        <f>IFERROR(__xludf.DUMMYFUNCTION("""COMPUTED_VALUE"""),"FRANCE - Paris")</f>
        <v/>
      </c>
      <c r="K14430">
        <f>IFERROR(__xludf.DUMMYFUNCTION("""COMPUTED_VALUE"""),1931.46)</f>
        <v/>
      </c>
    </row>
    <row r="14431">
      <c r="J14431">
        <f>IFERROR(__xludf.DUMMYFUNCTION("""COMPUTED_VALUE"""),"St. John's and Burin Peninsula, Newfoundland and Labrador")</f>
        <v/>
      </c>
      <c r="K14431">
        <f>IFERROR(__xludf.DUMMYFUNCTION("""COMPUTED_VALUE"""),1931.43)</f>
        <v/>
      </c>
    </row>
    <row r="14432">
      <c r="J14432">
        <f>IFERROR(__xludf.DUMMYFUNCTION("""COMPUTED_VALUE"""),"Saint Maxime")</f>
        <v/>
      </c>
      <c r="K14432">
        <f>IFERROR(__xludf.DUMMYFUNCTION("""COMPUTED_VALUE"""),1931.28)</f>
        <v/>
      </c>
    </row>
    <row r="14433">
      <c r="J14433">
        <f>IFERROR(__xludf.DUMMYFUNCTION("""COMPUTED_VALUE"""),"London Ontario Canada")</f>
        <v/>
      </c>
      <c r="K14433">
        <f>IFERROR(__xludf.DUMMYFUNCTION("""COMPUTED_VALUE"""),1930.6)</f>
        <v/>
      </c>
    </row>
    <row r="14434">
      <c r="J14434">
        <f>IFERROR(__xludf.DUMMYFUNCTION("""COMPUTED_VALUE"""),"Sept-Iles, Quebec and Wabush, Newfoundland and Labrador")</f>
        <v/>
      </c>
      <c r="K14434">
        <f>IFERROR(__xludf.DUMMYFUNCTION("""COMPUTED_VALUE"""),1930.59)</f>
        <v/>
      </c>
    </row>
    <row r="14435">
      <c r="J14435">
        <f>IFERROR(__xludf.DUMMYFUNCTION("""COMPUTED_VALUE"""),"Quebec / Montreal/ Rouyn-Noranda / Val d'Or, (Quebec)")</f>
        <v/>
      </c>
      <c r="K14435">
        <f>IFERROR(__xludf.DUMMYFUNCTION("""COMPUTED_VALUE"""),1930.48)</f>
        <v/>
      </c>
    </row>
    <row r="14436">
      <c r="J14436">
        <f>IFERROR(__xludf.DUMMYFUNCTION("""COMPUTED_VALUE"""),"Gaspé Peninsula, Quebec")</f>
        <v/>
      </c>
      <c r="K14436">
        <f>IFERROR(__xludf.DUMMYFUNCTION("""COMPUTED_VALUE"""),1929.23)</f>
        <v/>
      </c>
    </row>
    <row r="14437">
      <c r="J14437">
        <f>IFERROR(__xludf.DUMMYFUNCTION("""COMPUTED_VALUE"""),"Iqaliut")</f>
        <v/>
      </c>
      <c r="K14437">
        <f>IFERROR(__xludf.DUMMYFUNCTION("""COMPUTED_VALUE"""),1929.19)</f>
        <v/>
      </c>
    </row>
    <row r="14438">
      <c r="J14438">
        <f>IFERROR(__xludf.DUMMYFUNCTION("""COMPUTED_VALUE"""),"Montreal, QC, Edmonton, AB")</f>
        <v/>
      </c>
      <c r="K14438">
        <f>IFERROR(__xludf.DUMMYFUNCTION("""COMPUTED_VALUE"""),1928.53)</f>
        <v/>
      </c>
    </row>
    <row r="14439">
      <c r="J14439">
        <f>IFERROR(__xludf.DUMMYFUNCTION("""COMPUTED_VALUE"""),"Washington, DC and Winnipeg, MB")</f>
        <v/>
      </c>
      <c r="K14439">
        <f>IFERROR(__xludf.DUMMYFUNCTION("""COMPUTED_VALUE"""),1928.28)</f>
        <v/>
      </c>
    </row>
    <row r="14440">
      <c r="J14440">
        <f>IFERROR(__xludf.DUMMYFUNCTION("""COMPUTED_VALUE"""),"Mont-Tremblant, QC, Canada")</f>
        <v/>
      </c>
      <c r="K14440">
        <f>IFERROR(__xludf.DUMMYFUNCTION("""COMPUTED_VALUE"""),1928.26)</f>
        <v/>
      </c>
    </row>
    <row r="14441">
      <c r="J14441">
        <f>IFERROR(__xludf.DUMMYFUNCTION("""COMPUTED_VALUE"""),"Hamilton, Ontario, Canada; Windsor, Ontario, Canada")</f>
        <v/>
      </c>
      <c r="K14441">
        <f>IFERROR(__xludf.DUMMYFUNCTION("""COMPUTED_VALUE"""),1928.08)</f>
        <v/>
      </c>
    </row>
    <row r="14442">
      <c r="J14442">
        <f>IFERROR(__xludf.DUMMYFUNCTION("""COMPUTED_VALUE"""),"Regina, SK Calgary, AB")</f>
        <v/>
      </c>
      <c r="K14442">
        <f>IFERROR(__xludf.DUMMYFUNCTION("""COMPUTED_VALUE"""),1928.05)</f>
        <v/>
      </c>
    </row>
    <row r="14443">
      <c r="J14443">
        <f>IFERROR(__xludf.DUMMYFUNCTION("""COMPUTED_VALUE"""),"Gander, Newfoundland, Canada; Montreal, Quebec, Canada; Moncton, New Brunswick, Canada")</f>
        <v/>
      </c>
      <c r="K14443">
        <f>IFERROR(__xludf.DUMMYFUNCTION("""COMPUTED_VALUE"""),1927.83)</f>
        <v/>
      </c>
    </row>
    <row r="14444">
      <c r="J14444">
        <f>IFERROR(__xludf.DUMMYFUNCTION("""COMPUTED_VALUE"""),"Lachute, Quebec, Canada; Laval, Quebec, Canada; Sherbrooke, Quebec, Canada")</f>
        <v/>
      </c>
      <c r="K14444">
        <f>IFERROR(__xludf.DUMMYFUNCTION("""COMPUTED_VALUE"""),1927.78)</f>
        <v/>
      </c>
    </row>
    <row r="14445">
      <c r="J14445">
        <f>IFERROR(__xludf.DUMMYFUNCTION("""COMPUTED_VALUE"""),"Nicolet, Quebec, Canada")</f>
        <v/>
      </c>
      <c r="K14445">
        <f>IFERROR(__xludf.DUMMYFUNCTION("""COMPUTED_VALUE"""),1926.76)</f>
        <v/>
      </c>
    </row>
    <row r="14446">
      <c r="J14446">
        <f>IFERROR(__xludf.DUMMYFUNCTION("""COMPUTED_VALUE"""),"St John's, Newfoundland and Labrador - Halifax, NS")</f>
        <v/>
      </c>
      <c r="K14446">
        <f>IFERROR(__xludf.DUMMYFUNCTION("""COMPUTED_VALUE"""),1926.76)</f>
        <v/>
      </c>
    </row>
    <row r="14447">
      <c r="J14447">
        <f>IFERROR(__xludf.DUMMYFUNCTION("""COMPUTED_VALUE"""),"Saskatoon, Saskatchewan, Canada; Enoch, Alberta, Canada")</f>
        <v/>
      </c>
      <c r="K14447">
        <f>IFERROR(__xludf.DUMMYFUNCTION("""COMPUTED_VALUE"""),1926.5)</f>
        <v/>
      </c>
    </row>
    <row r="14448">
      <c r="J14448">
        <f>IFERROR(__xludf.DUMMYFUNCTION("""COMPUTED_VALUE"""),"Cornwallis, Halifax, Lunenberg")</f>
        <v/>
      </c>
      <c r="K14448">
        <f>IFERROR(__xludf.DUMMYFUNCTION("""COMPUTED_VALUE"""),1925.84)</f>
        <v/>
      </c>
    </row>
    <row r="14449">
      <c r="J14449">
        <f>IFERROR(__xludf.DUMMYFUNCTION("""COMPUTED_VALUE"""),"Montréal, Quebec, Canada; Joliette, Quebec, Canada")</f>
        <v/>
      </c>
      <c r="K14449">
        <f>IFERROR(__xludf.DUMMYFUNCTION("""COMPUTED_VALUE"""),1925.3)</f>
        <v/>
      </c>
    </row>
    <row r="14450">
      <c r="J14450">
        <f>IFERROR(__xludf.DUMMYFUNCTION("""COMPUTED_VALUE"""),"St. John's, NL; Halifax, NS")</f>
        <v/>
      </c>
      <c r="K14450">
        <f>IFERROR(__xludf.DUMMYFUNCTION("""COMPUTED_VALUE"""),1925.21)</f>
        <v/>
      </c>
    </row>
    <row r="14451">
      <c r="J14451">
        <f>IFERROR(__xludf.DUMMYFUNCTION("""COMPUTED_VALUE"""),"St. John's, Newfoundland and Labrador, Canada; Gander, Newfoundland and Labrador, Canada; Deer Lake, Newfoundland and Labrador, Canada")</f>
        <v/>
      </c>
      <c r="K14451">
        <f>IFERROR(__xludf.DUMMYFUNCTION("""COMPUTED_VALUE"""),1925.21)</f>
        <v/>
      </c>
    </row>
    <row r="14452">
      <c r="J14452">
        <f>IFERROR(__xludf.DUMMYFUNCTION("""COMPUTED_VALUE"""),"Bogotá, Columbia")</f>
        <v/>
      </c>
      <c r="K14452">
        <f>IFERROR(__xludf.DUMMYFUNCTION("""COMPUTED_VALUE"""),1924.9)</f>
        <v/>
      </c>
    </row>
    <row r="14453">
      <c r="J14453">
        <f>IFERROR(__xludf.DUMMYFUNCTION("""COMPUTED_VALUE"""),"Calgary, AB, Fort McMurray, AB")</f>
        <v/>
      </c>
      <c r="K14453">
        <f>IFERROR(__xludf.DUMMYFUNCTION("""COMPUTED_VALUE"""),1924.6)</f>
        <v/>
      </c>
    </row>
    <row r="14454">
      <c r="J14454">
        <f>IFERROR(__xludf.DUMMYFUNCTION("""COMPUTED_VALUE"""),"Toronto, Ontario; Banff, Alberta; Vancouver, British Columbia")</f>
        <v/>
      </c>
      <c r="K14454">
        <f>IFERROR(__xludf.DUMMYFUNCTION("""COMPUTED_VALUE"""),1924.55)</f>
        <v/>
      </c>
    </row>
    <row r="14455">
      <c r="J14455">
        <f>IFERROR(__xludf.DUMMYFUNCTION("""COMPUTED_VALUE"""),"Portage La Prairie, Manitoba, Canada; Toronto, Ontario, Canada")</f>
        <v/>
      </c>
      <c r="K14455">
        <f>IFERROR(__xludf.DUMMYFUNCTION("""COMPUTED_VALUE"""),1924.07)</f>
        <v/>
      </c>
    </row>
    <row r="14456">
      <c r="J14456">
        <f>IFERROR(__xludf.DUMMYFUNCTION("""COMPUTED_VALUE"""),"Charlottetown PEI and St-John's NFLD")</f>
        <v/>
      </c>
      <c r="K14456">
        <f>IFERROR(__xludf.DUMMYFUNCTION("""COMPUTED_VALUE"""),1923.56)</f>
        <v/>
      </c>
    </row>
    <row r="14457">
      <c r="J14457">
        <f>IFERROR(__xludf.DUMMYFUNCTION("""COMPUTED_VALUE"""),"Halifax and Sable Island, Nova Scotia")</f>
        <v/>
      </c>
      <c r="K14457">
        <f>IFERROR(__xludf.DUMMYFUNCTION("""COMPUTED_VALUE"""),1923.21)</f>
        <v/>
      </c>
    </row>
    <row r="14458">
      <c r="J14458">
        <f>IFERROR(__xludf.DUMMYFUNCTION("""COMPUTED_VALUE"""),"Ottawa, ON, Wakefield, QC")</f>
        <v/>
      </c>
      <c r="K14458">
        <f>IFERROR(__xludf.DUMMYFUNCTION("""COMPUTED_VALUE"""),1921.87)</f>
        <v/>
      </c>
    </row>
    <row r="14459">
      <c r="J14459">
        <f>IFERROR(__xludf.DUMMYFUNCTION("""COMPUTED_VALUE"""),"Tirana and Vlora, Albania")</f>
        <v/>
      </c>
      <c r="K14459">
        <f>IFERROR(__xludf.DUMMYFUNCTION("""COMPUTED_VALUE"""),1921.77)</f>
        <v/>
      </c>
    </row>
    <row r="14460">
      <c r="J14460">
        <f>IFERROR(__xludf.DUMMYFUNCTION("""COMPUTED_VALUE"""),"Winnipeg, MB and Vancouver, BC")</f>
        <v/>
      </c>
      <c r="K14460">
        <f>IFERROR(__xludf.DUMMYFUNCTION("""COMPUTED_VALUE"""),1921.76)</f>
        <v/>
      </c>
    </row>
    <row r="14461">
      <c r="J14461">
        <f>IFERROR(__xludf.DUMMYFUNCTION("""COMPUTED_VALUE"""),"Gaspé, Quebec, Montreal")</f>
        <v/>
      </c>
      <c r="K14461">
        <f>IFERROR(__xludf.DUMMYFUNCTION("""COMPUTED_VALUE"""),1921.55)</f>
        <v/>
      </c>
    </row>
    <row r="14462">
      <c r="J14462">
        <f>IFERROR(__xludf.DUMMYFUNCTION("""COMPUTED_VALUE"""),"Ottawa-Montreal-St. John-Toronto")</f>
        <v/>
      </c>
      <c r="K14462">
        <f>IFERROR(__xludf.DUMMYFUNCTION("""COMPUTED_VALUE"""),1921.16)</f>
        <v/>
      </c>
    </row>
    <row r="14463">
      <c r="J14463">
        <f>IFERROR(__xludf.DUMMYFUNCTION("""COMPUTED_VALUE"""),"Fredericton, New Brunswick, Canada; Bathurst, New Brunswick, Canada")</f>
        <v/>
      </c>
      <c r="K14463">
        <f>IFERROR(__xludf.DUMMYFUNCTION("""COMPUTED_VALUE"""),1920.72)</f>
        <v/>
      </c>
    </row>
    <row r="14464">
      <c r="J14464">
        <f>IFERROR(__xludf.DUMMYFUNCTION("""COMPUTED_VALUE"""),"St. John's, Newfoundland and Labrador and Dartmouth, Nova Scotia")</f>
        <v/>
      </c>
      <c r="K14464">
        <f>IFERROR(__xludf.DUMMYFUNCTION("""COMPUTED_VALUE"""),1920.06)</f>
        <v/>
      </c>
    </row>
    <row r="14465">
      <c r="J14465">
        <f>IFERROR(__xludf.DUMMYFUNCTION("""COMPUTED_VALUE"""),"Calgary, Ab")</f>
        <v/>
      </c>
      <c r="K14465">
        <f>IFERROR(__xludf.DUMMYFUNCTION("""COMPUTED_VALUE"""),1920)</f>
        <v/>
      </c>
    </row>
    <row r="14466">
      <c r="J14466">
        <f>IFERROR(__xludf.DUMMYFUNCTION("""COMPUTED_VALUE"""),"Campbell River, British Columbia, Canada
Tofino, British Columbia, Canada")</f>
        <v/>
      </c>
      <c r="K14466">
        <f>IFERROR(__xludf.DUMMYFUNCTION("""COMPUTED_VALUE"""),1919.76)</f>
        <v/>
      </c>
    </row>
    <row r="14467">
      <c r="J14467">
        <f>IFERROR(__xludf.DUMMYFUNCTION("""COMPUTED_VALUE"""),"Ottawa - Regina - Saskatoon - Ottawa")</f>
        <v/>
      </c>
      <c r="K14467">
        <f>IFERROR(__xludf.DUMMYFUNCTION("""COMPUTED_VALUE"""),1919.73)</f>
        <v/>
      </c>
    </row>
    <row r="14468">
      <c r="J14468">
        <f>IFERROR(__xludf.DUMMYFUNCTION("""COMPUTED_VALUE"""),"Bathurst, New Brunswick, Canada; Moncton, New Brunswick, Canada; Fredericton, New Brunswick, Canada; Charlottetown, Prince Edward Island, Canada")</f>
        <v/>
      </c>
      <c r="K14468">
        <f>IFERROR(__xludf.DUMMYFUNCTION("""COMPUTED_VALUE"""),1919.34)</f>
        <v/>
      </c>
    </row>
    <row r="14469">
      <c r="J14469">
        <f>IFERROR(__xludf.DUMMYFUNCTION("""COMPUTED_VALUE"""),"Ottawa, ON, Halifax, NS, Charlottetown, PE")</f>
        <v/>
      </c>
      <c r="K14469">
        <f>IFERROR(__xludf.DUMMYFUNCTION("""COMPUTED_VALUE"""),1918.99)</f>
        <v/>
      </c>
    </row>
    <row r="14470">
      <c r="J14470">
        <f>IFERROR(__xludf.DUMMYFUNCTION("""COMPUTED_VALUE"""),"Vancouver, British Columbia, Canada; Kelowna, British Columbia, Canada; Edmonton, Alberta, Canada")</f>
        <v/>
      </c>
      <c r="K14470">
        <f>IFERROR(__xludf.DUMMYFUNCTION("""COMPUTED_VALUE"""),1918.73)</f>
        <v/>
      </c>
    </row>
    <row r="14471">
      <c r="J14471">
        <f>IFERROR(__xludf.DUMMYFUNCTION("""COMPUTED_VALUE"""),"Charlottetown, Prince Edward Island, Canada; Toronto, Ontario, Canada")</f>
        <v/>
      </c>
      <c r="K14471">
        <f>IFERROR(__xludf.DUMMYFUNCTION("""COMPUTED_VALUE"""),1918.28)</f>
        <v/>
      </c>
    </row>
    <row r="14472">
      <c r="J14472">
        <f>IFERROR(__xludf.DUMMYFUNCTION("""COMPUTED_VALUE"""),"Lac du Bonnet, MB, Canada")</f>
        <v/>
      </c>
      <c r="K14472">
        <f>IFERROR(__xludf.DUMMYFUNCTION("""COMPUTED_VALUE"""),1917.81)</f>
        <v/>
      </c>
    </row>
    <row r="14473">
      <c r="J14473">
        <f>IFERROR(__xludf.DUMMYFUNCTION("""COMPUTED_VALUE"""),"Moncton, New Brunswick/ St-Johns, Newfoundland and Labrador, Canada")</f>
        <v/>
      </c>
      <c r="K14473">
        <f>IFERROR(__xludf.DUMMYFUNCTION("""COMPUTED_VALUE"""),1917.78)</f>
        <v/>
      </c>
    </row>
    <row r="14474">
      <c r="J14474">
        <f>IFERROR(__xludf.DUMMYFUNCTION("""COMPUTED_VALUE"""),"Gyeongju, Gyeongju, Korea")</f>
        <v/>
      </c>
      <c r="K14474">
        <f>IFERROR(__xludf.DUMMYFUNCTION("""COMPUTED_VALUE"""),1917.77)</f>
        <v/>
      </c>
    </row>
    <row r="14475">
      <c r="J14475">
        <f>IFERROR(__xludf.DUMMYFUNCTION("""COMPUTED_VALUE"""),"Scarborough, Ontario")</f>
        <v/>
      </c>
      <c r="K14475">
        <f>IFERROR(__xludf.DUMMYFUNCTION("""COMPUTED_VALUE"""),1916.75)</f>
        <v/>
      </c>
    </row>
    <row r="14476">
      <c r="J14476">
        <f>IFERROR(__xludf.DUMMYFUNCTION("""COMPUTED_VALUE"""),"Toronto, Ontario and Winnipeg, Manitoba")</f>
        <v/>
      </c>
      <c r="K14476">
        <f>IFERROR(__xludf.DUMMYFUNCTION("""COMPUTED_VALUE"""),1916.69)</f>
        <v/>
      </c>
    </row>
    <row r="14477">
      <c r="J14477">
        <f>IFERROR(__xludf.DUMMYFUNCTION("""COMPUTED_VALUE"""),"CHAROLOTTETOWN, PE")</f>
        <v/>
      </c>
      <c r="K14477">
        <f>IFERROR(__xludf.DUMMYFUNCTION("""COMPUTED_VALUE"""),1916.14)</f>
        <v/>
      </c>
    </row>
    <row r="14478">
      <c r="J14478">
        <f>IFERROR(__xludf.DUMMYFUNCTION("""COMPUTED_VALUE"""),"Gagetown, New Brunswick, Canada; Dartmouth, Nova Scotia, Canada")</f>
        <v/>
      </c>
      <c r="K14478">
        <f>IFERROR(__xludf.DUMMYFUNCTION("""COMPUTED_VALUE"""),1916.14)</f>
        <v/>
      </c>
    </row>
    <row r="14479">
      <c r="J14479">
        <f>IFERROR(__xludf.DUMMYFUNCTION("""COMPUTED_VALUE"""),"Montreal, Quebec, Canada /  Toronto, Ontario, Canada")</f>
        <v/>
      </c>
      <c r="K14479">
        <f>IFERROR(__xludf.DUMMYFUNCTION("""COMPUTED_VALUE"""),1916.13)</f>
        <v/>
      </c>
    </row>
    <row r="14480">
      <c r="J14480">
        <f>IFERROR(__xludf.DUMMYFUNCTION("""COMPUTED_VALUE"""),"Stephenville, Newfoundland and Labrador, Canada; Corner Brook, Newfoundland and Labrador, Canada")</f>
        <v/>
      </c>
      <c r="K14480">
        <f>IFERROR(__xludf.DUMMYFUNCTION("""COMPUTED_VALUE"""),1916.1)</f>
        <v/>
      </c>
    </row>
    <row r="14481">
      <c r="J14481">
        <f>IFERROR(__xludf.DUMMYFUNCTION("""COMPUTED_VALUE"""),"London, Ontario, Canada / Niagara, Ontario, Canada")</f>
        <v/>
      </c>
      <c r="K14481">
        <f>IFERROR(__xludf.DUMMYFUNCTION("""COMPUTED_VALUE"""),1916.09)</f>
        <v/>
      </c>
    </row>
    <row r="14482">
      <c r="J14482">
        <f>IFERROR(__xludf.DUMMYFUNCTION("""COMPUTED_VALUE"""),"Ottawa, ON - Charlottetown, PE and Charlottetown, PE - Ottawa, ON")</f>
        <v/>
      </c>
      <c r="K14482">
        <f>IFERROR(__xludf.DUMMYFUNCTION("""COMPUTED_VALUE"""),1915.79)</f>
        <v/>
      </c>
    </row>
    <row r="14483">
      <c r="J14483">
        <f>IFERROR(__xludf.DUMMYFUNCTION("""COMPUTED_VALUE"""),"Winnipeg, Saskatchewan, Canada")</f>
        <v/>
      </c>
      <c r="K14483">
        <f>IFERROR(__xludf.DUMMYFUNCTION("""COMPUTED_VALUE"""),1915.79)</f>
        <v/>
      </c>
    </row>
    <row r="14484">
      <c r="J14484">
        <f>IFERROR(__xludf.DUMMYFUNCTION("""COMPUTED_VALUE"""),"Winnipeg, MB and Ottawa, ON")</f>
        <v/>
      </c>
      <c r="K14484">
        <f>IFERROR(__xludf.DUMMYFUNCTION("""COMPUTED_VALUE"""),1915.51)</f>
        <v/>
      </c>
    </row>
    <row r="14485">
      <c r="J14485">
        <f>IFERROR(__xludf.DUMMYFUNCTION("""COMPUTED_VALUE"""),"Inkerman, New Brunswick, Canada")</f>
        <v/>
      </c>
      <c r="K14485">
        <f>IFERROR(__xludf.DUMMYFUNCTION("""COMPUTED_VALUE"""),1915.21)</f>
        <v/>
      </c>
    </row>
    <row r="14486">
      <c r="J14486">
        <f>IFERROR(__xludf.DUMMYFUNCTION("""COMPUTED_VALUE"""),"Waterloo, Ontario – Guelph, Ontario – Tobermory, Ontario")</f>
        <v/>
      </c>
      <c r="K14486">
        <f>IFERROR(__xludf.DUMMYFUNCTION("""COMPUTED_VALUE"""),1914.79)</f>
        <v/>
      </c>
    </row>
    <row r="14487">
      <c r="J14487">
        <f>IFERROR(__xludf.DUMMYFUNCTION("""COMPUTED_VALUE"""),"Rocky Harbour, Newfoundland, Canada")</f>
        <v/>
      </c>
      <c r="K14487">
        <f>IFERROR(__xludf.DUMMYFUNCTION("""COMPUTED_VALUE"""),1914.58)</f>
        <v/>
      </c>
    </row>
    <row r="14488">
      <c r="J14488">
        <f>IFERROR(__xludf.DUMMYFUNCTION("""COMPUTED_VALUE"""),"Saguenay, Quebec, Canada; Charlevoix, Quebec, Canada")</f>
        <v/>
      </c>
      <c r="K14488">
        <f>IFERROR(__xludf.DUMMYFUNCTION("""COMPUTED_VALUE"""),1914.57)</f>
        <v/>
      </c>
    </row>
    <row r="14489">
      <c r="J14489">
        <f>IFERROR(__xludf.DUMMYFUNCTION("""COMPUTED_VALUE"""),"Ottawa, Lima, Paris and London")</f>
        <v/>
      </c>
      <c r="K14489">
        <f>IFERROR(__xludf.DUMMYFUNCTION("""COMPUTED_VALUE"""),1914.49)</f>
        <v/>
      </c>
    </row>
    <row r="14490">
      <c r="J14490">
        <f>IFERROR(__xludf.DUMMYFUNCTION("""COMPUTED_VALUE"""),"Toronto, Ontario, Canada; 
Ottawa, Ontario, Canada")</f>
        <v/>
      </c>
      <c r="K14490">
        <f>IFERROR(__xludf.DUMMYFUNCTION("""COMPUTED_VALUE"""),1914.42)</f>
        <v/>
      </c>
    </row>
    <row r="14491">
      <c r="J14491">
        <f>IFERROR(__xludf.DUMMYFUNCTION("""COMPUTED_VALUE"""),"Montréal, Quebec, Canada; Winnipeg, Manitoba, Canada; Québec, Quebec, Canada")</f>
        <v/>
      </c>
      <c r="K14491">
        <f>IFERROR(__xludf.DUMMYFUNCTION("""COMPUTED_VALUE"""),1914.21)</f>
        <v/>
      </c>
    </row>
    <row r="14492">
      <c r="J14492">
        <f>IFERROR(__xludf.DUMMYFUNCTION("""COMPUTED_VALUE"""),"Pembroke, ON, Canada")</f>
        <v/>
      </c>
      <c r="K14492">
        <f>IFERROR(__xludf.DUMMYFUNCTION("""COMPUTED_VALUE"""),1913.9)</f>
        <v/>
      </c>
    </row>
    <row r="14493">
      <c r="J14493">
        <f>IFERROR(__xludf.DUMMYFUNCTION("""COMPUTED_VALUE"""),"Saint John's and Bonavista, Newfoundland and Labrador")</f>
        <v/>
      </c>
      <c r="K14493">
        <f>IFERROR(__xludf.DUMMYFUNCTION("""COMPUTED_VALUE"""),1913.71)</f>
        <v/>
      </c>
    </row>
    <row r="14494">
      <c r="J14494">
        <f>IFERROR(__xludf.DUMMYFUNCTION("""COMPUTED_VALUE"""),"Shediac &amp; Moncton, New Brunswick et Charlottetown, Prince Edward Island")</f>
        <v/>
      </c>
      <c r="K14494">
        <f>IFERROR(__xludf.DUMMYFUNCTION("""COMPUTED_VALUE"""),1912.61)</f>
        <v/>
      </c>
    </row>
    <row r="14495">
      <c r="J14495">
        <f>IFERROR(__xludf.DUMMYFUNCTION("""COMPUTED_VALUE"""),"Calgary, Alberta, Canada and Lake Louise, Alberta, Canada")</f>
        <v/>
      </c>
      <c r="K14495">
        <f>IFERROR(__xludf.DUMMYFUNCTION("""COMPUTED_VALUE"""),1912.51)</f>
        <v/>
      </c>
    </row>
    <row r="14496">
      <c r="J14496">
        <f>IFERROR(__xludf.DUMMYFUNCTION("""COMPUTED_VALUE"""),"Guelph, ON - Washington, DC")</f>
        <v/>
      </c>
      <c r="K14496">
        <f>IFERROR(__xludf.DUMMYFUNCTION("""COMPUTED_VALUE"""),1912.43)</f>
        <v/>
      </c>
    </row>
    <row r="14497">
      <c r="J14497">
        <f>IFERROR(__xludf.DUMMYFUNCTION("""COMPUTED_VALUE"""),"Mississauga and Kitchener, Ontario, Canada")</f>
        <v/>
      </c>
      <c r="K14497">
        <f>IFERROR(__xludf.DUMMYFUNCTION("""COMPUTED_VALUE"""),1912.35)</f>
        <v/>
      </c>
    </row>
    <row r="14498">
      <c r="J14498">
        <f>IFERROR(__xludf.DUMMYFUNCTION("""COMPUTED_VALUE"""),"Oakville / Toronto")</f>
        <v/>
      </c>
      <c r="K14498">
        <f>IFERROR(__xludf.DUMMYFUNCTION("""COMPUTED_VALUE"""),1912.12)</f>
        <v/>
      </c>
    </row>
    <row r="14499">
      <c r="J14499">
        <f>IFERROR(__xludf.DUMMYFUNCTION("""COMPUTED_VALUE"""),"Halifax, Nova Scotia, Canada / Montreal, Quebec, Canada / Becancour, Quebec, Canada")</f>
        <v/>
      </c>
      <c r="K14499">
        <f>IFERROR(__xludf.DUMMYFUNCTION("""COMPUTED_VALUE"""),1911.95)</f>
        <v/>
      </c>
    </row>
    <row r="14500">
      <c r="J14500">
        <f>IFERROR(__xludf.DUMMYFUNCTION("""COMPUTED_VALUE"""),"Charlottetown-Saint John- Halifax- Charlottetown")</f>
        <v/>
      </c>
      <c r="K14500">
        <f>IFERROR(__xludf.DUMMYFUNCTION("""COMPUTED_VALUE"""),1911.78)</f>
        <v/>
      </c>
    </row>
    <row r="14501">
      <c r="J14501">
        <f>IFERROR(__xludf.DUMMYFUNCTION("""COMPUTED_VALUE"""),"Toronto, Ontario / Halifax, Nova-Scotia, Canada")</f>
        <v/>
      </c>
      <c r="K14501">
        <f>IFERROR(__xludf.DUMMYFUNCTION("""COMPUTED_VALUE"""),1911.7)</f>
        <v/>
      </c>
    </row>
    <row r="14502">
      <c r="J14502">
        <f>IFERROR(__xludf.DUMMYFUNCTION("""COMPUTED_VALUE"""),"Saint John, New Brunswick and Halifax, Nova Scotia")</f>
        <v/>
      </c>
      <c r="K14502">
        <f>IFERROR(__xludf.DUMMYFUNCTION("""COMPUTED_VALUE"""),1911.66)</f>
        <v/>
      </c>
    </row>
    <row r="14503">
      <c r="J14503">
        <f>IFERROR(__xludf.DUMMYFUNCTION("""COMPUTED_VALUE"""),"QuÉbec (Quebec) Canada")</f>
        <v/>
      </c>
      <c r="K14503">
        <f>IFERROR(__xludf.DUMMYFUNCTION("""COMPUTED_VALUE"""),1911.48)</f>
        <v/>
      </c>
    </row>
    <row r="14504">
      <c r="J14504">
        <f>IFERROR(__xludf.DUMMYFUNCTION("""COMPUTED_VALUE"""),"Tadoussac, Québec and Montréal, Québec, Canada")</f>
        <v/>
      </c>
      <c r="K14504">
        <f>IFERROR(__xludf.DUMMYFUNCTION("""COMPUTED_VALUE"""),1911.24)</f>
        <v/>
      </c>
    </row>
    <row r="14505">
      <c r="J14505">
        <f>IFERROR(__xludf.DUMMYFUNCTION("""COMPUTED_VALUE"""),"Calgary Alberta, Canada")</f>
        <v/>
      </c>
      <c r="K14505">
        <f>IFERROR(__xludf.DUMMYFUNCTION("""COMPUTED_VALUE"""),1911.12)</f>
        <v/>
      </c>
    </row>
    <row r="14506">
      <c r="J14506">
        <f>IFERROR(__xludf.DUMMYFUNCTION("""COMPUTED_VALUE"""),"Kananaskis")</f>
        <v/>
      </c>
      <c r="K14506">
        <f>IFERROR(__xludf.DUMMYFUNCTION("""COMPUTED_VALUE"""),1910.88)</f>
        <v/>
      </c>
    </row>
    <row r="14507">
      <c r="J14507">
        <f>IFERROR(__xludf.DUMMYFUNCTION("""COMPUTED_VALUE"""),"Queen Charlotte, BC")</f>
        <v/>
      </c>
      <c r="K14507">
        <f>IFERROR(__xludf.DUMMYFUNCTION("""COMPUTED_VALUE"""),1910.55)</f>
        <v/>
      </c>
    </row>
    <row r="14508">
      <c r="J14508">
        <f>IFERROR(__xludf.DUMMYFUNCTION("""COMPUTED_VALUE"""),"Toronto, Halifax, Montreal")</f>
        <v/>
      </c>
      <c r="K14508">
        <f>IFERROR(__xludf.DUMMYFUNCTION("""COMPUTED_VALUE"""),1910.43)</f>
        <v/>
      </c>
    </row>
    <row r="14509">
      <c r="J14509">
        <f>IFERROR(__xludf.DUMMYFUNCTION("""COMPUTED_VALUE"""),"Alma, New Brunswick and Halifax, Nova Scotia")</f>
        <v/>
      </c>
      <c r="K14509">
        <f>IFERROR(__xludf.DUMMYFUNCTION("""COMPUTED_VALUE"""),1910.39)</f>
        <v/>
      </c>
    </row>
    <row r="14510">
      <c r="J14510">
        <f>IFERROR(__xludf.DUMMYFUNCTION("""COMPUTED_VALUE"""),"Vancouver and Penticton, British Columbia")</f>
        <v/>
      </c>
      <c r="K14510">
        <f>IFERROR(__xludf.DUMMYFUNCTION("""COMPUTED_VALUE"""),1910.37)</f>
        <v/>
      </c>
    </row>
    <row r="14511">
      <c r="J14511">
        <f>IFERROR(__xludf.DUMMYFUNCTION("""COMPUTED_VALUE"""),"Saint John, (New Brunswick)")</f>
        <v/>
      </c>
      <c r="K14511">
        <f>IFERROR(__xludf.DUMMYFUNCTION("""COMPUTED_VALUE"""),1910.32)</f>
        <v/>
      </c>
    </row>
    <row r="14512">
      <c r="J14512">
        <f>IFERROR(__xludf.DUMMYFUNCTION("""COMPUTED_VALUE"""),"Montreéal, QC")</f>
        <v/>
      </c>
      <c r="K14512">
        <f>IFERROR(__xludf.DUMMYFUNCTION("""COMPUTED_VALUE"""),1909.79)</f>
        <v/>
      </c>
    </row>
    <row r="14513">
      <c r="J14513">
        <f>IFERROR(__xludf.DUMMYFUNCTION("""COMPUTED_VALUE"""),"St-Hubert, Quebec, Canda")</f>
        <v/>
      </c>
      <c r="K14513">
        <f>IFERROR(__xludf.DUMMYFUNCTION("""COMPUTED_VALUE"""),1909.57)</f>
        <v/>
      </c>
    </row>
    <row r="14514">
      <c r="J14514">
        <f>IFERROR(__xludf.DUMMYFUNCTION("""COMPUTED_VALUE"""),"Windsor and Hamilton, Ontario, Canada")</f>
        <v/>
      </c>
      <c r="K14514">
        <f>IFERROR(__xludf.DUMMYFUNCTION("""COMPUTED_VALUE"""),1909.23)</f>
        <v/>
      </c>
    </row>
    <row r="14515">
      <c r="J14515">
        <f>IFERROR(__xludf.DUMMYFUNCTION("""COMPUTED_VALUE"""),"Newark, United States")</f>
        <v/>
      </c>
      <c r="K14515">
        <f>IFERROR(__xludf.DUMMYFUNCTION("""COMPUTED_VALUE"""),1908.97)</f>
        <v/>
      </c>
    </row>
    <row r="14516">
      <c r="J14516">
        <f>IFERROR(__xludf.DUMMYFUNCTION("""COMPUTED_VALUE"""),"Halifax, Nova Scotia, Canada and Cape Breton, Nova Scotia, Canada")</f>
        <v/>
      </c>
      <c r="K14516">
        <f>IFERROR(__xludf.DUMMYFUNCTION("""COMPUTED_VALUE"""),1908.65)</f>
        <v/>
      </c>
    </row>
    <row r="14517">
      <c r="J14517">
        <f>IFERROR(__xludf.DUMMYFUNCTION("""COMPUTED_VALUE"""),"Québec and Ottawa")</f>
        <v/>
      </c>
      <c r="K14517">
        <f>IFERROR(__xludf.DUMMYFUNCTION("""COMPUTED_VALUE"""),1908.57)</f>
        <v/>
      </c>
    </row>
    <row r="14518">
      <c r="J14518">
        <f>IFERROR(__xludf.DUMMYFUNCTION("""COMPUTED_VALUE"""),"Moncton, NB and Saguenay, QC; Toronto, ON")</f>
        <v/>
      </c>
      <c r="K14518">
        <f>IFERROR(__xludf.DUMMYFUNCTION("""COMPUTED_VALUE"""),1907.9)</f>
        <v/>
      </c>
    </row>
    <row r="14519">
      <c r="J14519">
        <f>IFERROR(__xludf.DUMMYFUNCTION("""COMPUTED_VALUE"""),"Terrace and Williams Lake, British Columbia, Canada")</f>
        <v/>
      </c>
      <c r="K14519">
        <f>IFERROR(__xludf.DUMMYFUNCTION("""COMPUTED_VALUE"""),1907.84)</f>
        <v/>
      </c>
    </row>
    <row r="14520">
      <c r="J14520">
        <f>IFERROR(__xludf.DUMMYFUNCTION("""COMPUTED_VALUE"""),"St-Jean-sur-Richelieu (Quebec) Canada
Saint-Hyacinthe (Quebec) Canada
Sherbrooke (Quebec) Canada")</f>
        <v/>
      </c>
      <c r="K14520">
        <f>IFERROR(__xludf.DUMMYFUNCTION("""COMPUTED_VALUE"""),1907.81)</f>
        <v/>
      </c>
    </row>
    <row r="14521">
      <c r="J14521">
        <f>IFERROR(__xludf.DUMMYFUNCTION("""COMPUTED_VALUE"""),"Tblissi, Georgia")</f>
        <v/>
      </c>
      <c r="K14521">
        <f>IFERROR(__xludf.DUMMYFUNCTION("""COMPUTED_VALUE"""),1907.43)</f>
        <v/>
      </c>
    </row>
    <row r="14522">
      <c r="J14522">
        <f>IFERROR(__xludf.DUMMYFUNCTION("""COMPUTED_VALUE"""),"Harrow(Ontario) Canada")</f>
        <v/>
      </c>
      <c r="K14522">
        <f>IFERROR(__xludf.DUMMYFUNCTION("""COMPUTED_VALUE"""),1906.78)</f>
        <v/>
      </c>
    </row>
    <row r="14523">
      <c r="J14523">
        <f>IFERROR(__xludf.DUMMYFUNCTION("""COMPUTED_VALUE"""),"Toronto, Ontario ; Prince Edwards Island, Prince Edwards")</f>
        <v/>
      </c>
      <c r="K14523">
        <f>IFERROR(__xludf.DUMMYFUNCTION("""COMPUTED_VALUE"""),1906.69)</f>
        <v/>
      </c>
    </row>
    <row r="14524">
      <c r="J14524">
        <f>IFERROR(__xludf.DUMMYFUNCTION("""COMPUTED_VALUE"""),"Ottawa-Charlottetown-Montreal-Ottawa")</f>
        <v/>
      </c>
      <c r="K14524">
        <f>IFERROR(__xludf.DUMMYFUNCTION("""COMPUTED_VALUE"""),1906.45)</f>
        <v/>
      </c>
    </row>
    <row r="14525">
      <c r="J14525">
        <f>IFERROR(__xludf.DUMMYFUNCTION("""COMPUTED_VALUE"""),"Charlotetown, Prince Edward Island")</f>
        <v/>
      </c>
      <c r="K14525">
        <f>IFERROR(__xludf.DUMMYFUNCTION("""COMPUTED_VALUE"""),1906.01)</f>
        <v/>
      </c>
    </row>
    <row r="14526">
      <c r="J14526">
        <f>IFERROR(__xludf.DUMMYFUNCTION("""COMPUTED_VALUE"""),"Regina/Saskatoon, Saskatchewan, Canada")</f>
        <v/>
      </c>
      <c r="K14526">
        <f>IFERROR(__xludf.DUMMYFUNCTION("""COMPUTED_VALUE"""),1905.9)</f>
        <v/>
      </c>
    </row>
    <row r="14527">
      <c r="J14527">
        <f>IFERROR(__xludf.DUMMYFUNCTION("""COMPUTED_VALUE"""),"Fredericton, New Brunswick, Canada; Charlottetown, Prince Edward Island, Canada; Halifax, Nova Scotia, Canada; Bridgewater, Nova Scotia, Canada; Oak Island, Nova Scotia, Canada")</f>
        <v/>
      </c>
      <c r="K14527">
        <f>IFERROR(__xludf.DUMMYFUNCTION("""COMPUTED_VALUE"""),1905.44)</f>
        <v/>
      </c>
    </row>
    <row r="14528">
      <c r="J14528">
        <f>IFERROR(__xludf.DUMMYFUNCTION("""COMPUTED_VALUE"""),"SHERBROOKE, QC")</f>
        <v/>
      </c>
      <c r="K14528">
        <f>IFERROR(__xludf.DUMMYFUNCTION("""COMPUTED_VALUE"""),1905.07)</f>
        <v/>
      </c>
    </row>
    <row r="14529">
      <c r="J14529">
        <f>IFERROR(__xludf.DUMMYFUNCTION("""COMPUTED_VALUE"""),"PERTH, OTTAWA, HALIFAX, FREDERICTON, EDMONTON, WAINWRIGHT, EDMONTON, OTTAWA, PERTH")</f>
        <v/>
      </c>
      <c r="K14529">
        <f>IFERROR(__xludf.DUMMYFUNCTION("""COMPUTED_VALUE"""),1905.06)</f>
        <v/>
      </c>
    </row>
    <row r="14530">
      <c r="J14530">
        <f>IFERROR(__xludf.DUMMYFUNCTION("""COMPUTED_VALUE"""),"Herstmonceux castle (UK)")</f>
        <v/>
      </c>
      <c r="K14530">
        <f>IFERROR(__xludf.DUMMYFUNCTION("""COMPUTED_VALUE"""),1904.97)</f>
        <v/>
      </c>
    </row>
    <row r="14531">
      <c r="J14531">
        <f>IFERROR(__xludf.DUMMYFUNCTION("""COMPUTED_VALUE"""),"Scottsdale (Arizona) United States")</f>
        <v/>
      </c>
      <c r="K14531">
        <f>IFERROR(__xludf.DUMMYFUNCTION("""COMPUTED_VALUE"""),1904.66)</f>
        <v/>
      </c>
    </row>
    <row r="14532">
      <c r="J14532">
        <f>IFERROR(__xludf.DUMMYFUNCTION("""COMPUTED_VALUE"""),"Charlottetown , Prince Edward Island, Canada")</f>
        <v/>
      </c>
      <c r="K14532">
        <f>IFERROR(__xludf.DUMMYFUNCTION("""COMPUTED_VALUE"""),1904.45)</f>
        <v/>
      </c>
    </row>
    <row r="14533">
      <c r="J14533">
        <f>IFERROR(__xludf.DUMMYFUNCTION("""COMPUTED_VALUE"""),"Montréal, QC - Chibougamau, QC")</f>
        <v/>
      </c>
      <c r="K14533">
        <f>IFERROR(__xludf.DUMMYFUNCTION("""COMPUTED_VALUE"""),1904.24)</f>
        <v/>
      </c>
    </row>
    <row r="14534">
      <c r="J14534">
        <f>IFERROR(__xludf.DUMMYFUNCTION("""COMPUTED_VALUE"""),"Boston ( M.A.) USA")</f>
        <v/>
      </c>
      <c r="K14534">
        <f>IFERROR(__xludf.DUMMYFUNCTION("""COMPUTED_VALUE"""),1903.93)</f>
        <v/>
      </c>
    </row>
    <row r="14535">
      <c r="J14535">
        <f>IFERROR(__xludf.DUMMYFUNCTION("""COMPUTED_VALUE"""),"Vancouver, Surrey, British Columbia")</f>
        <v/>
      </c>
      <c r="K14535">
        <f>IFERROR(__xludf.DUMMYFUNCTION("""COMPUTED_VALUE"""),1903.75)</f>
        <v/>
      </c>
    </row>
    <row r="14536">
      <c r="J14536">
        <f>IFERROR(__xludf.DUMMYFUNCTION("""COMPUTED_VALUE"""),"Whitehorse and Old Crow, Yukon")</f>
        <v/>
      </c>
      <c r="K14536">
        <f>IFERROR(__xludf.DUMMYFUNCTION("""COMPUTED_VALUE"""),1903.19)</f>
        <v/>
      </c>
    </row>
    <row r="14537">
      <c r="J14537">
        <f>IFERROR(__xludf.DUMMYFUNCTION("""COMPUTED_VALUE"""),"Abbotsford Vancouver Victoria, British Columbia –  Hamilton Ottawa Toronto, Ontario – Montréal, Quebec – Calgary Edmonton, Alberta")</f>
        <v/>
      </c>
      <c r="K14537">
        <f>IFERROR(__xludf.DUMMYFUNCTION("""COMPUTED_VALUE"""),1903.15)</f>
        <v/>
      </c>
    </row>
    <row r="14538">
      <c r="J14538">
        <f>IFERROR(__xludf.DUMMYFUNCTION("""COMPUTED_VALUE"""),"Northwest Angle, Manitoba")</f>
        <v/>
      </c>
      <c r="K14538">
        <f>IFERROR(__xludf.DUMMYFUNCTION("""COMPUTED_VALUE"""),1903.04)</f>
        <v/>
      </c>
    </row>
    <row r="14539">
      <c r="J14539">
        <f>IFERROR(__xludf.DUMMYFUNCTION("""COMPUTED_VALUE"""),"Atlantic City, New Jersey")</f>
        <v/>
      </c>
      <c r="K14539">
        <f>IFERROR(__xludf.DUMMYFUNCTION("""COMPUTED_VALUE"""),1902.53)</f>
        <v/>
      </c>
    </row>
    <row r="14540">
      <c r="J14540">
        <f>IFERROR(__xludf.DUMMYFUNCTION("""COMPUTED_VALUE"""),"Washington, DC
United States")</f>
        <v/>
      </c>
      <c r="K14540">
        <f>IFERROR(__xludf.DUMMYFUNCTION("""COMPUTED_VALUE"""),1902.48)</f>
        <v/>
      </c>
    </row>
    <row r="14541">
      <c r="J14541">
        <f>IFERROR(__xludf.DUMMYFUNCTION("""COMPUTED_VALUE"""),"Dalian, PRC")</f>
        <v/>
      </c>
      <c r="K14541">
        <f>IFERROR(__xludf.DUMMYFUNCTION("""COMPUTED_VALUE"""),1902.47)</f>
        <v/>
      </c>
    </row>
    <row r="14542">
      <c r="J14542">
        <f>IFERROR(__xludf.DUMMYFUNCTION("""COMPUTED_VALUE"""),"Trenton, Ontario / Belleville, Ontario, Canada")</f>
        <v/>
      </c>
      <c r="K14542">
        <f>IFERROR(__xludf.DUMMYFUNCTION("""COMPUTED_VALUE"""),1902.11)</f>
        <v/>
      </c>
    </row>
    <row r="14543">
      <c r="J14543">
        <f>IFERROR(__xludf.DUMMYFUNCTION("""COMPUTED_VALUE"""),"Goose Bay and St. John's")</f>
        <v/>
      </c>
      <c r="K14543">
        <f>IFERROR(__xludf.DUMMYFUNCTION("""COMPUTED_VALUE"""),1901.28)</f>
        <v/>
      </c>
    </row>
    <row r="14544">
      <c r="J14544">
        <f>IFERROR(__xludf.DUMMYFUNCTION("""COMPUTED_VALUE"""),"Kitchener, ON, Toronto, ON")</f>
        <v/>
      </c>
      <c r="K14544">
        <f>IFERROR(__xludf.DUMMYFUNCTION("""COMPUTED_VALUE"""),1901)</f>
        <v/>
      </c>
    </row>
    <row r="14545">
      <c r="J14545">
        <f>IFERROR(__xludf.DUMMYFUNCTION("""COMPUTED_VALUE"""),"Moncton, NB Ottawa, ON")</f>
        <v/>
      </c>
      <c r="K14545">
        <f>IFERROR(__xludf.DUMMYFUNCTION("""COMPUTED_VALUE"""),1900.95)</f>
        <v/>
      </c>
    </row>
    <row r="14546">
      <c r="J14546">
        <f>IFERROR(__xludf.DUMMYFUNCTION("""COMPUTED_VALUE"""),"London and Waterloo")</f>
        <v/>
      </c>
      <c r="K14546">
        <f>IFERROR(__xludf.DUMMYFUNCTION("""COMPUTED_VALUE"""),1900.79)</f>
        <v/>
      </c>
    </row>
    <row r="14547">
      <c r="J14547">
        <f>IFERROR(__xludf.DUMMYFUNCTION("""COMPUTED_VALUE"""),"Moncton, NB, St. Stephen, NB, Grand Falls, NB, Saint-André, NB, St.Leonard, NB, Campbelton, NB, Charlo, NB, Belledune, NB, Nigadoo, NB, Beresford, NB, Miramichi, NB, Fredericton, NB")</f>
        <v/>
      </c>
      <c r="K14547">
        <f>IFERROR(__xludf.DUMMYFUNCTION("""COMPUTED_VALUE"""),1900.79)</f>
        <v/>
      </c>
    </row>
    <row r="14548">
      <c r="J14548">
        <f>IFERROR(__xludf.DUMMYFUNCTION("""COMPUTED_VALUE"""),"Winnipeg, Manitoba / Vancouver, British Columbia / Calgary, Alberta, Canada")</f>
        <v/>
      </c>
      <c r="K14548">
        <f>IFERROR(__xludf.DUMMYFUNCTION("""COMPUTED_VALUE"""),1900.73)</f>
        <v/>
      </c>
    </row>
    <row r="14549">
      <c r="J14549">
        <f>IFERROR(__xludf.DUMMYFUNCTION("""COMPUTED_VALUE"""),"San diego, California, United States")</f>
        <v/>
      </c>
      <c r="K14549">
        <f>IFERROR(__xludf.DUMMYFUNCTION("""COMPUTED_VALUE"""),1900.29)</f>
        <v/>
      </c>
    </row>
    <row r="14550">
      <c r="J14550">
        <f>IFERROR(__xludf.DUMMYFUNCTION("""COMPUTED_VALUE"""),"Victoria and Kelowna, British Columbia")</f>
        <v/>
      </c>
      <c r="K14550">
        <f>IFERROR(__xludf.DUMMYFUNCTION("""COMPUTED_VALUE"""),1900.2)</f>
        <v/>
      </c>
    </row>
    <row r="14551">
      <c r="J14551">
        <f>IFERROR(__xludf.DUMMYFUNCTION("""COMPUTED_VALUE"""),"Lunenburg and Halifax, Nova Scotia and St. John's, Newfoundland")</f>
        <v/>
      </c>
      <c r="K14551">
        <f>IFERROR(__xludf.DUMMYFUNCTION("""COMPUTED_VALUE"""),1900.03)</f>
        <v/>
      </c>
    </row>
    <row r="14552">
      <c r="J14552">
        <f>IFERROR(__xludf.DUMMYFUNCTION("""COMPUTED_VALUE"""),"FREDERICTON, NB - CHARLOTTETOWN, PE")</f>
        <v/>
      </c>
      <c r="K14552">
        <f>IFERROR(__xludf.DUMMYFUNCTION("""COMPUTED_VALUE"""),1899.99)</f>
        <v/>
      </c>
    </row>
    <row r="14553">
      <c r="J14553">
        <f>IFERROR(__xludf.DUMMYFUNCTION("""COMPUTED_VALUE"""),"Florence, Italy
Vienna, Austria")</f>
        <v/>
      </c>
      <c r="K14553">
        <f>IFERROR(__xludf.DUMMYFUNCTION("""COMPUTED_VALUE"""),1899.66)</f>
        <v/>
      </c>
    </row>
    <row r="14554">
      <c r="J14554">
        <f>IFERROR(__xludf.DUMMYFUNCTION("""COMPUTED_VALUE"""),"Chibougamau")</f>
        <v/>
      </c>
      <c r="K14554">
        <f>IFERROR(__xludf.DUMMYFUNCTION("""COMPUTED_VALUE"""),1899.48)</f>
        <v/>
      </c>
    </row>
    <row r="14555">
      <c r="J14555">
        <f>IFERROR(__xludf.DUMMYFUNCTION("""COMPUTED_VALUE"""),"Winnipeg, Regina, Edmonton and Calgary")</f>
        <v/>
      </c>
      <c r="K14555">
        <f>IFERROR(__xludf.DUMMYFUNCTION("""COMPUTED_VALUE"""),1899.26)</f>
        <v/>
      </c>
    </row>
    <row r="14556">
      <c r="J14556">
        <f>IFERROR(__xludf.DUMMYFUNCTION("""COMPUTED_VALUE"""),"Washinton DC, United States")</f>
        <v/>
      </c>
      <c r="K14556">
        <f>IFERROR(__xludf.DUMMYFUNCTION("""COMPUTED_VALUE"""),1898.84)</f>
        <v/>
      </c>
    </row>
    <row r="14557">
      <c r="J14557">
        <f>IFERROR(__xludf.DUMMYFUNCTION("""COMPUTED_VALUE"""),"Saskatoon and Waskesiu Lake, SK")</f>
        <v/>
      </c>
      <c r="K14557">
        <f>IFERROR(__xludf.DUMMYFUNCTION("""COMPUTED_VALUE"""),1898.82)</f>
        <v/>
      </c>
    </row>
    <row r="14558">
      <c r="J14558">
        <f>IFERROR(__xludf.DUMMYFUNCTION("""COMPUTED_VALUE"""),"Louisbourg, Charlottetown, Trenton")</f>
        <v/>
      </c>
      <c r="K14558">
        <f>IFERROR(__xludf.DUMMYFUNCTION("""COMPUTED_VALUE"""),1898.12)</f>
        <v/>
      </c>
    </row>
    <row r="14559">
      <c r="J14559">
        <f>IFERROR(__xludf.DUMMYFUNCTION("""COMPUTED_VALUE"""),"Gros Morne, Newfoundland")</f>
        <v/>
      </c>
      <c r="K14559">
        <f>IFERROR(__xludf.DUMMYFUNCTION("""COMPUTED_VALUE"""),1897.99)</f>
        <v/>
      </c>
    </row>
    <row r="14560">
      <c r="J14560">
        <f>IFERROR(__xludf.DUMMYFUNCTION("""COMPUTED_VALUE"""),"Edmonton, Calgary")</f>
        <v/>
      </c>
      <c r="K14560">
        <f>IFERROR(__xludf.DUMMYFUNCTION("""COMPUTED_VALUE"""),1897.96)</f>
        <v/>
      </c>
    </row>
    <row r="14561">
      <c r="J14561">
        <f>IFERROR(__xludf.DUMMYFUNCTION("""COMPUTED_VALUE"""),"Montréal, Québec, Ottawa, Ontario, Canada")</f>
        <v/>
      </c>
      <c r="K14561">
        <f>IFERROR(__xludf.DUMMYFUNCTION("""COMPUTED_VALUE"""),1897.88)</f>
        <v/>
      </c>
    </row>
    <row r="14562">
      <c r="J14562">
        <f>IFERROR(__xludf.DUMMYFUNCTION("""COMPUTED_VALUE"""),"Toronto, Ontario, Canada; Simcoe, Ontario, Canada")</f>
        <v/>
      </c>
      <c r="K14562">
        <f>IFERROR(__xludf.DUMMYFUNCTION("""COMPUTED_VALUE"""),1896.17999999999)</f>
        <v/>
      </c>
    </row>
    <row r="14563">
      <c r="J14563">
        <f>IFERROR(__xludf.DUMMYFUNCTION("""COMPUTED_VALUE"""),"Toronto, Mississauga, Ontario, Canada")</f>
        <v/>
      </c>
      <c r="K14563">
        <f>IFERROR(__xludf.DUMMYFUNCTION("""COMPUTED_VALUE"""),1895.74)</f>
        <v/>
      </c>
    </row>
    <row r="14564">
      <c r="J14564">
        <f>IFERROR(__xludf.DUMMYFUNCTION("""COMPUTED_VALUE"""),"Magog, Québec")</f>
        <v/>
      </c>
      <c r="K14564">
        <f>IFERROR(__xludf.DUMMYFUNCTION("""COMPUTED_VALUE"""),1894.2)</f>
        <v/>
      </c>
    </row>
    <row r="14565">
      <c r="J14565">
        <f>IFERROR(__xludf.DUMMYFUNCTION("""COMPUTED_VALUE"""),"Toronto, Ontario,CanadaCambridge,Ontario,Canada")</f>
        <v/>
      </c>
      <c r="K14565">
        <f>IFERROR(__xludf.DUMMYFUNCTION("""COMPUTED_VALUE"""),1893.77)</f>
        <v/>
      </c>
    </row>
    <row r="14566">
      <c r="J14566">
        <f>IFERROR(__xludf.DUMMYFUNCTION("""COMPUTED_VALUE"""),"Syndney, Nova-Scotia")</f>
        <v/>
      </c>
      <c r="K14566">
        <f>IFERROR(__xludf.DUMMYFUNCTION("""COMPUTED_VALUE"""),1893.56)</f>
        <v/>
      </c>
    </row>
    <row r="14567">
      <c r="J14567">
        <f>IFERROR(__xludf.DUMMYFUNCTION("""COMPUTED_VALUE"""),"Quebec, Quebec, Canada / Montreal, Quebec, Canada / Edmonton, Alberta, Canada")</f>
        <v/>
      </c>
      <c r="K14567">
        <f>IFERROR(__xludf.DUMMYFUNCTION("""COMPUTED_VALUE"""),1893.29)</f>
        <v/>
      </c>
    </row>
    <row r="14568">
      <c r="J14568">
        <f>IFERROR(__xludf.DUMMYFUNCTION("""COMPUTED_VALUE"""),"Montréal, Ottawa and Charlottetow, PEI")</f>
        <v/>
      </c>
      <c r="K14568">
        <f>IFERROR(__xludf.DUMMYFUNCTION("""COMPUTED_VALUE"""),1892.89)</f>
        <v/>
      </c>
    </row>
    <row r="14569">
      <c r="J14569">
        <f>IFERROR(__xludf.DUMMYFUNCTION("""COMPUTED_VALUE"""),"Windsor and Ottawa, ON")</f>
        <v/>
      </c>
      <c r="K14569">
        <f>IFERROR(__xludf.DUMMYFUNCTION("""COMPUTED_VALUE"""),1892.65)</f>
        <v/>
      </c>
    </row>
    <row r="14570">
      <c r="J14570">
        <f>IFERROR(__xludf.DUMMYFUNCTION("""COMPUTED_VALUE"""),"Windsor, Ontario, Canada / London, Ontario, Canada / Leamington, Ontario, Canada")</f>
        <v/>
      </c>
      <c r="K14570">
        <f>IFERROR(__xludf.DUMMYFUNCTION("""COMPUTED_VALUE"""),1892.11)</f>
        <v/>
      </c>
    </row>
    <row r="14571">
      <c r="J14571">
        <f>IFERROR(__xludf.DUMMYFUNCTION("""COMPUTED_VALUE"""),"Halifax and Digby, Nova Scotia")</f>
        <v/>
      </c>
      <c r="K14571">
        <f>IFERROR(__xludf.DUMMYFUNCTION("""COMPUTED_VALUE"""),1891.99)</f>
        <v/>
      </c>
    </row>
    <row r="14572">
      <c r="J14572">
        <f>IFERROR(__xludf.DUMMYFUNCTION("""COMPUTED_VALUE"""),"Kentville, Nova Scotia, Canada; Windsor, Nova Scotia, Canada; Halifax, Nova Scotia, Canada; Bridgewater, Nova Scotia, Canada; Digby, Nova Scotia, Canada; Yarmouth, Nova Scotia, Canada; Shelburne, Nova Scotia, Canada; Fredericton, New Brunswick, Canada")</f>
        <v/>
      </c>
      <c r="K14572">
        <f>IFERROR(__xludf.DUMMYFUNCTION("""COMPUTED_VALUE"""),1891.64)</f>
        <v/>
      </c>
    </row>
    <row r="14573">
      <c r="J14573">
        <f>IFERROR(__xludf.DUMMYFUNCTION("""COMPUTED_VALUE"""),"Halifax, Nova Scotia, Canada; Cookville, Nova Scotia, Canada")</f>
        <v/>
      </c>
      <c r="K14573">
        <f>IFERROR(__xludf.DUMMYFUNCTION("""COMPUTED_VALUE"""),1891.27)</f>
        <v/>
      </c>
    </row>
    <row r="14574">
      <c r="J14574">
        <f>IFERROR(__xludf.DUMMYFUNCTION("""COMPUTED_VALUE"""),"Niagara Falls, Ontario, Canada/ Toronto, Ontario, Canada")</f>
        <v/>
      </c>
      <c r="K14574">
        <f>IFERROR(__xludf.DUMMYFUNCTION("""COMPUTED_VALUE"""),1890.65)</f>
        <v/>
      </c>
    </row>
    <row r="14575">
      <c r="J14575">
        <f>IFERROR(__xludf.DUMMYFUNCTION("""COMPUTED_VALUE"""),"Montreal, Quebec ; Bathurst, New Brunswick")</f>
        <v/>
      </c>
      <c r="K14575">
        <f>IFERROR(__xludf.DUMMYFUNCTION("""COMPUTED_VALUE"""),1889.28)</f>
        <v/>
      </c>
    </row>
    <row r="14576">
      <c r="J14576">
        <f>IFERROR(__xludf.DUMMYFUNCTION("""COMPUTED_VALUE"""),"Toronto, Ontario, Canada; St. Catharines, Ontario, Canada; Welland, Ontario, Canada")</f>
        <v/>
      </c>
      <c r="K14576">
        <f>IFERROR(__xludf.DUMMYFUNCTION("""COMPUTED_VALUE"""),1888.88)</f>
        <v/>
      </c>
    </row>
    <row r="14577">
      <c r="J14577">
        <f>IFERROR(__xludf.DUMMYFUNCTION("""COMPUTED_VALUE"""),"Cold Lake, Canada")</f>
        <v/>
      </c>
      <c r="K14577">
        <f>IFERROR(__xludf.DUMMYFUNCTION("""COMPUTED_VALUE"""),1888.83)</f>
        <v/>
      </c>
    </row>
    <row r="14578">
      <c r="J14578">
        <f>IFERROR(__xludf.DUMMYFUNCTION("""COMPUTED_VALUE"""),"Sault Ste. Marie, ON - Kapuskasing, ON")</f>
        <v/>
      </c>
      <c r="K14578">
        <f>IFERROR(__xludf.DUMMYFUNCTION("""COMPUTED_VALUE"""),1888.57)</f>
        <v/>
      </c>
    </row>
    <row r="14579">
      <c r="J14579">
        <f>IFERROR(__xludf.DUMMYFUNCTION("""COMPUTED_VALUE"""),"Redbank, New Brunswick")</f>
        <v/>
      </c>
      <c r="K14579">
        <f>IFERROR(__xludf.DUMMYFUNCTION("""COMPUTED_VALUE"""),1887.57)</f>
        <v/>
      </c>
    </row>
    <row r="14580">
      <c r="J14580">
        <f>IFERROR(__xludf.DUMMYFUNCTION("""COMPUTED_VALUE"""),"Ottawa, Ontario and Gatineau, Quebec")</f>
        <v/>
      </c>
      <c r="K14580">
        <f>IFERROR(__xludf.DUMMYFUNCTION("""COMPUTED_VALUE"""),1887.08)</f>
        <v/>
      </c>
    </row>
    <row r="14581">
      <c r="J14581">
        <f>IFERROR(__xludf.DUMMYFUNCTION("""COMPUTED_VALUE"""),"Wasagaming and Winnipeg, Manitoba")</f>
        <v/>
      </c>
      <c r="K14581">
        <f>IFERROR(__xludf.DUMMYFUNCTION("""COMPUTED_VALUE"""),1886.87)</f>
        <v/>
      </c>
    </row>
    <row r="14582">
      <c r="J14582">
        <f>IFERROR(__xludf.DUMMYFUNCTION("""COMPUTED_VALUE"""),"CFB Bagotville, Quebec, Canada")</f>
        <v/>
      </c>
      <c r="K14582">
        <f>IFERROR(__xludf.DUMMYFUNCTION("""COMPUTED_VALUE"""),1886.58)</f>
        <v/>
      </c>
    </row>
    <row r="14583">
      <c r="J14583">
        <f>IFERROR(__xludf.DUMMYFUNCTION("""COMPUTED_VALUE"""),"Victoria, British Columbia, Canada; Nanaimo, British Columbia, Canada; Vancouver, British Columbia, Canada")</f>
        <v/>
      </c>
      <c r="K14583">
        <f>IFERROR(__xludf.DUMMYFUNCTION("""COMPUTED_VALUE"""),1886.48)</f>
        <v/>
      </c>
    </row>
    <row r="14584">
      <c r="J14584">
        <f>IFERROR(__xludf.DUMMYFUNCTION("""COMPUTED_VALUE"""),"Halifax, Nova Scotia / Montreal, Quebec")</f>
        <v/>
      </c>
      <c r="K14584">
        <f>IFERROR(__xludf.DUMMYFUNCTION("""COMPUTED_VALUE"""),1886.09)</f>
        <v/>
      </c>
    </row>
    <row r="14585">
      <c r="J14585">
        <f>IFERROR(__xludf.DUMMYFUNCTION("""COMPUTED_VALUE"""),"Toronto, ON - Victoria, BC")</f>
        <v/>
      </c>
      <c r="K14585">
        <f>IFERROR(__xludf.DUMMYFUNCTION("""COMPUTED_VALUE"""),1885.36)</f>
        <v/>
      </c>
    </row>
    <row r="14586">
      <c r="J14586">
        <f>IFERROR(__xludf.DUMMYFUNCTION("""COMPUTED_VALUE"""),"Edmonton, Alberta and Montreal, Quebec")</f>
        <v/>
      </c>
      <c r="K14586">
        <f>IFERROR(__xludf.DUMMYFUNCTION("""COMPUTED_VALUE"""),1885.06)</f>
        <v/>
      </c>
    </row>
    <row r="14587">
      <c r="J14587">
        <f>IFERROR(__xludf.DUMMYFUNCTION("""COMPUTED_VALUE"""),"Calgary, AB and Saskatoon SK")</f>
        <v/>
      </c>
      <c r="K14587">
        <f>IFERROR(__xludf.DUMMYFUNCTION("""COMPUTED_VALUE"""),1883.87)</f>
        <v/>
      </c>
    </row>
    <row r="14588">
      <c r="J14588">
        <f>IFERROR(__xludf.DUMMYFUNCTION("""COMPUTED_VALUE"""),"Abbotsford, British Columbia, Canada; Whistler, British Colmbuia, Canada; Calgary, Alberta, Canada")</f>
        <v/>
      </c>
      <c r="K14588">
        <f>IFERROR(__xludf.DUMMYFUNCTION("""COMPUTED_VALUE"""),1883.25)</f>
        <v/>
      </c>
    </row>
    <row r="14589">
      <c r="J14589">
        <f>IFERROR(__xludf.DUMMYFUNCTION("""COMPUTED_VALUE"""),"Winnipeg (Manitoba) Canada
Brandon (Manitoba) Canada")</f>
        <v/>
      </c>
      <c r="K14589">
        <f>IFERROR(__xludf.DUMMYFUNCTION("""COMPUTED_VALUE"""),1883.07)</f>
        <v/>
      </c>
    </row>
    <row r="14590">
      <c r="J14590">
        <f>IFERROR(__xludf.DUMMYFUNCTION("""COMPUTED_VALUE"""),"Rouyn-Noranda (Quebec) Canada; Montreal (Quebec) Canada")</f>
        <v/>
      </c>
      <c r="K14590">
        <f>IFERROR(__xludf.DUMMYFUNCTION("""COMPUTED_VALUE"""),1882.59)</f>
        <v/>
      </c>
    </row>
    <row r="14591">
      <c r="J14591">
        <f>IFERROR(__xludf.DUMMYFUNCTION("""COMPUTED_VALUE"""),"Charlottetown (Prince Edward Island) and Halifax (Nova Scotia)")</f>
        <v/>
      </c>
      <c r="K14591">
        <f>IFERROR(__xludf.DUMMYFUNCTION("""COMPUTED_VALUE"""),1882.07)</f>
        <v/>
      </c>
    </row>
    <row r="14592">
      <c r="J14592">
        <f>IFERROR(__xludf.DUMMYFUNCTION("""COMPUTED_VALUE"""),"Halifax, NS/ Halifax, N.E")</f>
        <v/>
      </c>
      <c r="K14592">
        <f>IFERROR(__xludf.DUMMYFUNCTION("""COMPUTED_VALUE"""),1882)</f>
        <v/>
      </c>
    </row>
    <row r="14593">
      <c r="J14593">
        <f>IFERROR(__xludf.DUMMYFUNCTION("""COMPUTED_VALUE"""),"Saskatoon, SK
Winnipeg, MB")</f>
        <v/>
      </c>
      <c r="K14593">
        <f>IFERROR(__xludf.DUMMYFUNCTION("""COMPUTED_VALUE"""),1881.32)</f>
        <v/>
      </c>
    </row>
    <row r="14594">
      <c r="J14594">
        <f>IFERROR(__xludf.DUMMYFUNCTION("""COMPUTED_VALUE"""),"Toronto and Chalk River, Ontario")</f>
        <v/>
      </c>
      <c r="K14594">
        <f>IFERROR(__xludf.DUMMYFUNCTION("""COMPUTED_VALUE"""),1881.1)</f>
        <v/>
      </c>
    </row>
    <row r="14595">
      <c r="J14595">
        <f>IFERROR(__xludf.DUMMYFUNCTION("""COMPUTED_VALUE"""),"Saskatoon, Saskatchewan, Edmonton, AB")</f>
        <v/>
      </c>
      <c r="K14595">
        <f>IFERROR(__xludf.DUMMYFUNCTION("""COMPUTED_VALUE"""),1880.59)</f>
        <v/>
      </c>
    </row>
    <row r="14596">
      <c r="J14596">
        <f>IFERROR(__xludf.DUMMYFUNCTION("""COMPUTED_VALUE"""),"St. Catherines, Ontario, Canada")</f>
        <v/>
      </c>
      <c r="K14596">
        <f>IFERROR(__xludf.DUMMYFUNCTION("""COMPUTED_VALUE"""),1880.54)</f>
        <v/>
      </c>
    </row>
    <row r="14597">
      <c r="J14597">
        <f>IFERROR(__xludf.DUMMYFUNCTION("""COMPUTED_VALUE"""),"San Jose and Monterey CA")</f>
        <v/>
      </c>
      <c r="K14597">
        <f>IFERROR(__xludf.DUMMYFUNCTION("""COMPUTED_VALUE"""),1880.3)</f>
        <v/>
      </c>
    </row>
    <row r="14598">
      <c r="J14598">
        <f>IFERROR(__xludf.DUMMYFUNCTION("""COMPUTED_VALUE"""),"Santa Fe, New Mexico")</f>
        <v/>
      </c>
      <c r="K14598">
        <f>IFERROR(__xludf.DUMMYFUNCTION("""COMPUTED_VALUE"""),1879.99)</f>
        <v/>
      </c>
    </row>
    <row r="14599">
      <c r="J14599">
        <f>IFERROR(__xludf.DUMMYFUNCTION("""COMPUTED_VALUE"""),"Saskatoon, SK; Kelowna, BC")</f>
        <v/>
      </c>
      <c r="K14599">
        <f>IFERROR(__xludf.DUMMYFUNCTION("""COMPUTED_VALUE"""),1879.99)</f>
        <v/>
      </c>
    </row>
    <row r="14600">
      <c r="J14600">
        <f>IFERROR(__xludf.DUMMYFUNCTION("""COMPUTED_VALUE"""),"Swift Current (Saskatchewan) Canada; Regina (Saskatchewan) Canada")</f>
        <v/>
      </c>
      <c r="K14600">
        <f>IFERROR(__xludf.DUMMYFUNCTION("""COMPUTED_VALUE"""),1879.79)</f>
        <v/>
      </c>
    </row>
    <row r="14601">
      <c r="J14601">
        <f>IFERROR(__xludf.DUMMYFUNCTION("""COMPUTED_VALUE"""),"Banff, (Calgary)")</f>
        <v/>
      </c>
      <c r="K14601">
        <f>IFERROR(__xludf.DUMMYFUNCTION("""COMPUTED_VALUE"""),1879.56)</f>
        <v/>
      </c>
    </row>
    <row r="14602">
      <c r="J14602">
        <f>IFERROR(__xludf.DUMMYFUNCTION("""COMPUTED_VALUE"""),"Toronto, ON, Vaughan, ON")</f>
        <v/>
      </c>
      <c r="K14602">
        <f>IFERROR(__xludf.DUMMYFUNCTION("""COMPUTED_VALUE"""),1879.28)</f>
        <v/>
      </c>
    </row>
    <row r="14603">
      <c r="J14603">
        <f>IFERROR(__xludf.DUMMYFUNCTION("""COMPUTED_VALUE"""),"Windsor, ON; Barrie, ON")</f>
        <v/>
      </c>
      <c r="K14603">
        <f>IFERROR(__xludf.DUMMYFUNCTION("""COMPUTED_VALUE"""),1879.12)</f>
        <v/>
      </c>
    </row>
    <row r="14604">
      <c r="J14604">
        <f>IFERROR(__xludf.DUMMYFUNCTION("""COMPUTED_VALUE"""),"Kelowna, BC; Vancouver, BC; Victoria, BC")</f>
        <v/>
      </c>
      <c r="K14604">
        <f>IFERROR(__xludf.DUMMYFUNCTION("""COMPUTED_VALUE"""),1879)</f>
        <v/>
      </c>
    </row>
    <row r="14605">
      <c r="J14605">
        <f>IFERROR(__xludf.DUMMYFUNCTION("""COMPUTED_VALUE"""),"Barrie, Ontario, Canada / Toronto, Ontario, Canada")</f>
        <v/>
      </c>
      <c r="K14605">
        <f>IFERROR(__xludf.DUMMYFUNCTION("""COMPUTED_VALUE"""),1878.92)</f>
        <v/>
      </c>
    </row>
    <row r="14606">
      <c r="J14606">
        <f>IFERROR(__xludf.DUMMYFUNCTION("""COMPUTED_VALUE"""),"Winnipeg, MB, Penticton, BC")</f>
        <v/>
      </c>
      <c r="K14606">
        <f>IFERROR(__xludf.DUMMYFUNCTION("""COMPUTED_VALUE"""),1878.79)</f>
        <v/>
      </c>
    </row>
    <row r="14607">
      <c r="J14607">
        <f>IFERROR(__xludf.DUMMYFUNCTION("""COMPUTED_VALUE"""),"Toronto, Ontario, (Canada).")</f>
        <v/>
      </c>
      <c r="K14607">
        <f>IFERROR(__xludf.DUMMYFUNCTION("""COMPUTED_VALUE"""),1878.57)</f>
        <v/>
      </c>
    </row>
    <row r="14608">
      <c r="J14608">
        <f>IFERROR(__xludf.DUMMYFUNCTION("""COMPUTED_VALUE"""),"Montreal, Quebec, Quebec, Canada")</f>
        <v/>
      </c>
      <c r="K14608">
        <f>IFERROR(__xludf.DUMMYFUNCTION("""COMPUTED_VALUE"""),1878.54)</f>
        <v/>
      </c>
    </row>
    <row r="14609">
      <c r="J14609">
        <f>IFERROR(__xludf.DUMMYFUNCTION("""COMPUTED_VALUE"""),"Sault Ste. Marie and Sudbury, ON")</f>
        <v/>
      </c>
      <c r="K14609">
        <f>IFERROR(__xludf.DUMMYFUNCTION("""COMPUTED_VALUE"""),1878.5)</f>
        <v/>
      </c>
    </row>
    <row r="14610">
      <c r="J14610">
        <f>IFERROR(__xludf.DUMMYFUNCTION("""COMPUTED_VALUE"""),"Rivière-du-Loup, QC")</f>
        <v/>
      </c>
      <c r="K14610">
        <f>IFERROR(__xludf.DUMMYFUNCTION("""COMPUTED_VALUE"""),1878.09)</f>
        <v/>
      </c>
    </row>
    <row r="14611">
      <c r="J14611">
        <f>IFERROR(__xludf.DUMMYFUNCTION("""COMPUTED_VALUE"""),"VANCOUVER, BC, CANADA")</f>
        <v/>
      </c>
      <c r="K14611">
        <f>IFERROR(__xludf.DUMMYFUNCTION("""COMPUTED_VALUE"""),1877.95)</f>
        <v/>
      </c>
    </row>
    <row r="14612">
      <c r="J14612">
        <f>IFERROR(__xludf.DUMMYFUNCTION("""COMPUTED_VALUE"""),"Montreal, Quebec, Toronto, Ontario and New York, New York")</f>
        <v/>
      </c>
      <c r="K14612">
        <f>IFERROR(__xludf.DUMMYFUNCTION("""COMPUTED_VALUE"""),1877.66)</f>
        <v/>
      </c>
    </row>
    <row r="14613">
      <c r="J14613">
        <f>IFERROR(__xludf.DUMMYFUNCTION("""COMPUTED_VALUE"""),"Quebec City &amp; Montreal, Quebec")</f>
        <v/>
      </c>
      <c r="K14613">
        <f>IFERROR(__xludf.DUMMYFUNCTION("""COMPUTED_VALUE"""),1877.57)</f>
        <v/>
      </c>
    </row>
    <row r="14614">
      <c r="J14614">
        <f>IFERROR(__xludf.DUMMYFUNCTION("""COMPUTED_VALUE"""),"Moncton, New Brunswick, Canada;  Halifax, Nova Scotia, Canada; Toronto, Ontario, Canada")</f>
        <v/>
      </c>
      <c r="K14614">
        <f>IFERROR(__xludf.DUMMYFUNCTION("""COMPUTED_VALUE"""),1877.48)</f>
        <v/>
      </c>
    </row>
    <row r="14615">
      <c r="J14615">
        <f>IFERROR(__xludf.DUMMYFUNCTION("""COMPUTED_VALUE"""),"Morrisburg, ON")</f>
        <v/>
      </c>
      <c r="K14615">
        <f>IFERROR(__xludf.DUMMYFUNCTION("""COMPUTED_VALUE"""),1877.23999999999)</f>
        <v/>
      </c>
    </row>
    <row r="14616">
      <c r="J14616">
        <f>IFERROR(__xludf.DUMMYFUNCTION("""COMPUTED_VALUE"""),"Halifax, Moncton, New-Brunswick (Canada)")</f>
        <v/>
      </c>
      <c r="K14616">
        <f>IFERROR(__xludf.DUMMYFUNCTION("""COMPUTED_VALUE"""),1877.15)</f>
        <v/>
      </c>
    </row>
    <row r="14617">
      <c r="J14617">
        <f>IFERROR(__xludf.DUMMYFUNCTION("""COMPUTED_VALUE"""),"Ottawa - St-John's - Halifax - Ottawa")</f>
        <v/>
      </c>
      <c r="K14617">
        <f>IFERROR(__xludf.DUMMYFUNCTION("""COMPUTED_VALUE"""),1876.7)</f>
        <v/>
      </c>
    </row>
    <row r="14618">
      <c r="J14618">
        <f>IFERROR(__xludf.DUMMYFUNCTION("""COMPUTED_VALUE"""),"­Ottawa, Ontario, Canada")</f>
        <v/>
      </c>
      <c r="K14618">
        <f>IFERROR(__xludf.DUMMYFUNCTION("""COMPUTED_VALUE"""),1876.29)</f>
        <v/>
      </c>
    </row>
    <row r="14619">
      <c r="J14619">
        <f>IFERROR(__xludf.DUMMYFUNCTION("""COMPUTED_VALUE"""),"Montreal, Quebec, Canada/Calgary, Alberta, Canada")</f>
        <v/>
      </c>
      <c r="K14619">
        <f>IFERROR(__xludf.DUMMYFUNCTION("""COMPUTED_VALUE"""),1875.94)</f>
        <v/>
      </c>
    </row>
    <row r="14620">
      <c r="J14620">
        <f>IFERROR(__xludf.DUMMYFUNCTION("""COMPUTED_VALUE"""),"Edmonton Montreal - (for travel to Burlington, VT as most economical for onward US outreach travel)")</f>
        <v/>
      </c>
      <c r="K14620">
        <f>IFERROR(__xludf.DUMMYFUNCTION("""COMPUTED_VALUE"""),1875.86)</f>
        <v/>
      </c>
    </row>
    <row r="14621">
      <c r="J14621">
        <f>IFERROR(__xludf.DUMMYFUNCTION("""COMPUTED_VALUE"""),"Quebec (Quebec)")</f>
        <v/>
      </c>
      <c r="K14621">
        <f>IFERROR(__xludf.DUMMYFUNCTION("""COMPUTED_VALUE"""),1875.2)</f>
        <v/>
      </c>
    </row>
    <row r="14622">
      <c r="J14622">
        <f>IFERROR(__xludf.DUMMYFUNCTION("""COMPUTED_VALUE"""),"Niagara Falls and North Bay")</f>
        <v/>
      </c>
      <c r="K14622">
        <f>IFERROR(__xludf.DUMMYFUNCTION("""COMPUTED_VALUE"""),1874.98)</f>
        <v/>
      </c>
    </row>
    <row r="14623">
      <c r="J14623">
        <f>IFERROR(__xludf.DUMMYFUNCTION("""COMPUTED_VALUE"""),"Hamilton / Windsor / London / Toronto, (Ontario)")</f>
        <v/>
      </c>
      <c r="K14623">
        <f>IFERROR(__xludf.DUMMYFUNCTION("""COMPUTED_VALUE"""),1874.12)</f>
        <v/>
      </c>
    </row>
    <row r="14624">
      <c r="J14624">
        <f>IFERROR(__xludf.DUMMYFUNCTION("""COMPUTED_VALUE"""),"Abbotsford, British Colombia &amp; Burnaby, British Columbia Canada")</f>
        <v/>
      </c>
      <c r="K14624">
        <f>IFERROR(__xludf.DUMMYFUNCTION("""COMPUTED_VALUE"""),1874.04)</f>
        <v/>
      </c>
    </row>
    <row r="14625">
      <c r="J14625">
        <f>IFERROR(__xludf.DUMMYFUNCTION("""COMPUTED_VALUE"""),"Ashburn, VA, USA")</f>
        <v/>
      </c>
      <c r="K14625">
        <f>IFERROR(__xludf.DUMMYFUNCTION("""COMPUTED_VALUE"""),1873.45)</f>
        <v/>
      </c>
    </row>
    <row r="14626">
      <c r="J14626">
        <f>IFERROR(__xludf.DUMMYFUNCTION("""COMPUTED_VALUE"""),"Renous, NB")</f>
        <v/>
      </c>
      <c r="K14626">
        <f>IFERROR(__xludf.DUMMYFUNCTION("""COMPUTED_VALUE"""),1872.77)</f>
        <v/>
      </c>
    </row>
    <row r="14627">
      <c r="J14627">
        <f>IFERROR(__xludf.DUMMYFUNCTION("""COMPUTED_VALUE"""),"Rome, Italia")</f>
        <v/>
      </c>
      <c r="K14627">
        <f>IFERROR(__xludf.DUMMYFUNCTION("""COMPUTED_VALUE"""),1872.73)</f>
        <v/>
      </c>
    </row>
    <row r="14628">
      <c r="J14628">
        <f>IFERROR(__xludf.DUMMYFUNCTION("""COMPUTED_VALUE"""),"Sudbury, Ontario; Montreal, Trois-Rivières, Quebec,Canada")</f>
        <v/>
      </c>
      <c r="K14628">
        <f>IFERROR(__xludf.DUMMYFUNCTION("""COMPUTED_VALUE"""),1871.55)</f>
        <v/>
      </c>
    </row>
    <row r="14629">
      <c r="J14629">
        <f>IFERROR(__xludf.DUMMYFUNCTION("""COMPUTED_VALUE"""),"Welland, ON / Hamilton, ON /
Guelph, ON / Napanee, ON /
Kingston, ON")</f>
        <v/>
      </c>
      <c r="K14629">
        <f>IFERROR(__xludf.DUMMYFUNCTION("""COMPUTED_VALUE"""),1871.01)</f>
        <v/>
      </c>
    </row>
    <row r="14630">
      <c r="J14630">
        <f>IFERROR(__xludf.DUMMYFUNCTION("""COMPUTED_VALUE"""),"Portland, Oregon, United States of America")</f>
        <v/>
      </c>
      <c r="K14630">
        <f>IFERROR(__xludf.DUMMYFUNCTION("""COMPUTED_VALUE"""),1870.89)</f>
        <v/>
      </c>
    </row>
    <row r="14631">
      <c r="J14631">
        <f>IFERROR(__xludf.DUMMYFUNCTION("""COMPUTED_VALUE"""),"Shawinigan, Quebec, Canada
Quebec, Quebec, Canada")</f>
        <v/>
      </c>
      <c r="K14631">
        <f>IFERROR(__xludf.DUMMYFUNCTION("""COMPUTED_VALUE"""),1870.84)</f>
        <v/>
      </c>
    </row>
    <row r="14632">
      <c r="J14632">
        <f>IFERROR(__xludf.DUMMYFUNCTION("""COMPUTED_VALUE"""),"Toronto-Regina")</f>
        <v/>
      </c>
      <c r="K14632">
        <f>IFERROR(__xludf.DUMMYFUNCTION("""COMPUTED_VALUE"""),1870.79)</f>
        <v/>
      </c>
    </row>
    <row r="14633">
      <c r="J14633">
        <f>IFERROR(__xludf.DUMMYFUNCTION("""COMPUTED_VALUE"""),"Newark, USA")</f>
        <v/>
      </c>
      <c r="K14633">
        <f>IFERROR(__xludf.DUMMYFUNCTION("""COMPUTED_VALUE"""),1870.49)</f>
        <v/>
      </c>
    </row>
    <row r="14634">
      <c r="J14634">
        <f>IFERROR(__xludf.DUMMYFUNCTION("""COMPUTED_VALUE"""),"Magnitogorsk, Russia")</f>
        <v/>
      </c>
      <c r="K14634">
        <f>IFERROR(__xludf.DUMMYFUNCTION("""COMPUTED_VALUE"""),1870.19)</f>
        <v/>
      </c>
    </row>
    <row r="14635">
      <c r="J14635">
        <f>IFERROR(__xludf.DUMMYFUNCTION("""COMPUTED_VALUE"""),"Victoria, BC and Toronto, ON")</f>
        <v/>
      </c>
      <c r="K14635">
        <f>IFERROR(__xludf.DUMMYFUNCTION("""COMPUTED_VALUE"""),1869.96)</f>
        <v/>
      </c>
    </row>
    <row r="14636">
      <c r="J14636">
        <f>IFERROR(__xludf.DUMMYFUNCTION("""COMPUTED_VALUE"""),"High River, AB; Lethbridge, AB")</f>
        <v/>
      </c>
      <c r="K14636">
        <f>IFERROR(__xludf.DUMMYFUNCTION("""COMPUTED_VALUE"""),1869.62)</f>
        <v/>
      </c>
    </row>
    <row r="14637">
      <c r="J14637">
        <f>IFERROR(__xludf.DUMMYFUNCTION("""COMPUTED_VALUE"""),"Montréal, Quebec, Canada; Québec, Quebec, Canada; Toronto, Ontario, Canada")</f>
        <v/>
      </c>
      <c r="K14637">
        <f>IFERROR(__xludf.DUMMYFUNCTION("""COMPUTED_VALUE"""),1869.22)</f>
        <v/>
      </c>
    </row>
    <row r="14638">
      <c r="J14638">
        <f>IFERROR(__xludf.DUMMYFUNCTION("""COMPUTED_VALUE"""),"Syracuse, New York, United States")</f>
        <v/>
      </c>
      <c r="K14638">
        <f>IFERROR(__xludf.DUMMYFUNCTION("""COMPUTED_VALUE"""),1868.77)</f>
        <v/>
      </c>
    </row>
    <row r="14639">
      <c r="J14639">
        <f>IFERROR(__xludf.DUMMYFUNCTION("""COMPUTED_VALUE"""),"Normandy")</f>
        <v/>
      </c>
      <c r="K14639">
        <f>IFERROR(__xludf.DUMMYFUNCTION("""COMPUTED_VALUE"""),1868.73999999999)</f>
        <v/>
      </c>
    </row>
    <row r="14640">
      <c r="J14640">
        <f>IFERROR(__xludf.DUMMYFUNCTION("""COMPUTED_VALUE"""),"London and Guelph, ON")</f>
        <v/>
      </c>
      <c r="K14640">
        <f>IFERROR(__xludf.DUMMYFUNCTION("""COMPUTED_VALUE"""),1868.64)</f>
        <v/>
      </c>
    </row>
    <row r="14641">
      <c r="J14641">
        <f>IFERROR(__xludf.DUMMYFUNCTION("""COMPUTED_VALUE"""),"Niagara Falls, ON  Canada")</f>
        <v/>
      </c>
      <c r="K14641">
        <f>IFERROR(__xludf.DUMMYFUNCTION("""COMPUTED_VALUE"""),1868.08)</f>
        <v/>
      </c>
    </row>
    <row r="14642">
      <c r="J14642">
        <f>IFERROR(__xludf.DUMMYFUNCTION("""COMPUTED_VALUE"""),"Ottawa, Ontario, and Moncton, New Brunswick")</f>
        <v/>
      </c>
      <c r="K14642">
        <f>IFERROR(__xludf.DUMMYFUNCTION("""COMPUTED_VALUE"""),1867.77)</f>
        <v/>
      </c>
    </row>
    <row r="14643">
      <c r="J14643">
        <f>IFERROR(__xludf.DUMMYFUNCTION("""COMPUTED_VALUE"""),"Ottawa (Ontario) Canada; Moncton (New Brunswick) Canada")</f>
        <v/>
      </c>
      <c r="K14643">
        <f>IFERROR(__xludf.DUMMYFUNCTION("""COMPUTED_VALUE"""),1867.22)</f>
        <v/>
      </c>
    </row>
    <row r="14644">
      <c r="J14644">
        <f>IFERROR(__xludf.DUMMYFUNCTION("""COMPUTED_VALUE"""),"CALGARY AB")</f>
        <v/>
      </c>
      <c r="K14644">
        <f>IFERROR(__xludf.DUMMYFUNCTION("""COMPUTED_VALUE"""),1867.17)</f>
        <v/>
      </c>
    </row>
    <row r="14645">
      <c r="J14645">
        <f>IFERROR(__xludf.DUMMYFUNCTION("""COMPUTED_VALUE"""),"Stockholm (Sweden) and Helsinki (Finland)")</f>
        <v/>
      </c>
      <c r="K14645">
        <f>IFERROR(__xludf.DUMMYFUNCTION("""COMPUTED_VALUE"""),1867.12)</f>
        <v/>
      </c>
    </row>
    <row r="14646">
      <c r="J14646">
        <f>IFERROR(__xludf.DUMMYFUNCTION("""COMPUTED_VALUE"""),"Winnipeg, Manitoba; Regina, Saskatchewan, Canada")</f>
        <v/>
      </c>
      <c r="K14646">
        <f>IFERROR(__xludf.DUMMYFUNCTION("""COMPUTED_VALUE"""),1866.92)</f>
        <v/>
      </c>
    </row>
    <row r="14647">
      <c r="J14647">
        <f>IFERROR(__xludf.DUMMYFUNCTION("""COMPUTED_VALUE"""),"New Delhi, IN / Agra, IN / Ahmedabad, IN / Mumbai, IN / Amritsar, IN")</f>
        <v/>
      </c>
      <c r="K14647">
        <f>IFERROR(__xludf.DUMMYFUNCTION("""COMPUTED_VALUE"""),1866.9)</f>
        <v/>
      </c>
    </row>
    <row r="14648">
      <c r="J14648">
        <f>IFERROR(__xludf.DUMMYFUNCTION("""COMPUTED_VALUE"""),"Halifax, NS, Sydney, NS")</f>
        <v/>
      </c>
      <c r="K14648">
        <f>IFERROR(__xludf.DUMMYFUNCTION("""COMPUTED_VALUE"""),1866.83)</f>
        <v/>
      </c>
    </row>
    <row r="14649">
      <c r="J14649">
        <f>IFERROR(__xludf.DUMMYFUNCTION("""COMPUTED_VALUE"""),"Washington D.C. , USA")</f>
        <v/>
      </c>
      <c r="K14649">
        <f>IFERROR(__xludf.DUMMYFUNCTION("""COMPUTED_VALUE"""),1866.79)</f>
        <v/>
      </c>
    </row>
    <row r="14650">
      <c r="J14650">
        <f>IFERROR(__xludf.DUMMYFUNCTION("""COMPUTED_VALUE"""),"Guelph, Ontario, Canada; Calgary, Alberta, Canada")</f>
        <v/>
      </c>
      <c r="K14650">
        <f>IFERROR(__xludf.DUMMYFUNCTION("""COMPUTED_VALUE"""),1866.54)</f>
        <v/>
      </c>
    </row>
    <row r="14651">
      <c r="J14651">
        <f>IFERROR(__xludf.DUMMYFUNCTION("""COMPUTED_VALUE"""),"Amsterdam, Kiev")</f>
        <v/>
      </c>
      <c r="K14651">
        <f>IFERROR(__xludf.DUMMYFUNCTION("""COMPUTED_VALUE"""),1866)</f>
        <v/>
      </c>
    </row>
    <row r="14652">
      <c r="J14652">
        <f>IFERROR(__xludf.DUMMYFUNCTION("""COMPUTED_VALUE"""),"Toronto, London, Ontario area")</f>
        <v/>
      </c>
      <c r="K14652">
        <f>IFERROR(__xludf.DUMMYFUNCTION("""COMPUTED_VALUE"""),1865.93)</f>
        <v/>
      </c>
    </row>
    <row r="14653">
      <c r="J14653">
        <f>IFERROR(__xludf.DUMMYFUNCTION("""COMPUTED_VALUE"""),"Halifax, Nova Scotia, Canada; Moncton, New Brunswick, Canada; Crapaud, Prince Edward Island, Canada")</f>
        <v/>
      </c>
      <c r="K14653">
        <f>IFERROR(__xludf.DUMMYFUNCTION("""COMPUTED_VALUE"""),1865.63)</f>
        <v/>
      </c>
    </row>
    <row r="14654">
      <c r="J14654">
        <f>IFERROR(__xludf.DUMMYFUNCTION("""COMPUTED_VALUE"""),"Toronto, Ontario, Canada; Windsor, Ontario, Canada; Strathroy, Ontario, Canada")</f>
        <v/>
      </c>
      <c r="K14654">
        <f>IFERROR(__xludf.DUMMYFUNCTION("""COMPUTED_VALUE"""),1865.63)</f>
        <v/>
      </c>
    </row>
    <row r="14655">
      <c r="J14655">
        <f>IFERROR(__xludf.DUMMYFUNCTION("""COMPUTED_VALUE"""),"Toronto and Guelph")</f>
        <v/>
      </c>
      <c r="K14655">
        <f>IFERROR(__xludf.DUMMYFUNCTION("""COMPUTED_VALUE"""),1865.15)</f>
        <v/>
      </c>
    </row>
    <row r="14656">
      <c r="J14656">
        <f>IFERROR(__xludf.DUMMYFUNCTION("""COMPUTED_VALUE"""),"Montréal, Quebec, Canada; Jonquière, Quebec, Canada")</f>
        <v/>
      </c>
      <c r="K14656">
        <f>IFERROR(__xludf.DUMMYFUNCTION("""COMPUTED_VALUE"""),1865.02)</f>
        <v/>
      </c>
    </row>
    <row r="14657">
      <c r="J14657">
        <f>IFERROR(__xludf.DUMMYFUNCTION("""COMPUTED_VALUE"""),"Waterloo, Ontario, Montreal, Quebec")</f>
        <v/>
      </c>
      <c r="K14657">
        <f>IFERROR(__xludf.DUMMYFUNCTION("""COMPUTED_VALUE"""),1864.89)</f>
        <v/>
      </c>
    </row>
    <row r="14658">
      <c r="J14658">
        <f>IFERROR(__xludf.DUMMYFUNCTION("""COMPUTED_VALUE"""),"Ottawa, Ontario, Canada; Gatineau, Quebec, Canada; Toronto, Ontario, Canada; Halifax, Nova Scotia, Canada")</f>
        <v/>
      </c>
      <c r="K14658">
        <f>IFERROR(__xludf.DUMMYFUNCTION("""COMPUTED_VALUE"""),1864.32)</f>
        <v/>
      </c>
    </row>
    <row r="14659">
      <c r="J14659">
        <f>IFERROR(__xludf.DUMMYFUNCTION("""COMPUTED_VALUE"""),"St. Paul, Alberta")</f>
        <v/>
      </c>
      <c r="K14659">
        <f>IFERROR(__xludf.DUMMYFUNCTION("""COMPUTED_VALUE"""),1863.66)</f>
        <v/>
      </c>
    </row>
    <row r="14660">
      <c r="J14660">
        <f>IFERROR(__xludf.DUMMYFUNCTION("""COMPUTED_VALUE"""),"New York, NY.")</f>
        <v/>
      </c>
      <c r="K14660">
        <f>IFERROR(__xludf.DUMMYFUNCTION("""COMPUTED_VALUE"""),1863.32)</f>
        <v/>
      </c>
    </row>
    <row r="14661">
      <c r="J14661">
        <f>IFERROR(__xludf.DUMMYFUNCTION("""COMPUTED_VALUE"""),"Edmonton (AB), Vancouver (BC) Winnipeg (MB)")</f>
        <v/>
      </c>
      <c r="K14661">
        <f>IFERROR(__xludf.DUMMYFUNCTION("""COMPUTED_VALUE"""),1863.27)</f>
        <v/>
      </c>
    </row>
    <row r="14662">
      <c r="J14662">
        <f>IFERROR(__xludf.DUMMYFUNCTION("""COMPUTED_VALUE"""),"Dryden, ON")</f>
        <v/>
      </c>
      <c r="K14662">
        <f>IFERROR(__xludf.DUMMYFUNCTION("""COMPUTED_VALUE"""),1863.23)</f>
        <v/>
      </c>
    </row>
    <row r="14663">
      <c r="J14663">
        <f>IFERROR(__xludf.DUMMYFUNCTION("""COMPUTED_VALUE"""),"Mont Joli, Gaspé, and Montréal, Quebec, Canada")</f>
        <v/>
      </c>
      <c r="K14663">
        <f>IFERROR(__xludf.DUMMYFUNCTION("""COMPUTED_VALUE"""),1863.06)</f>
        <v/>
      </c>
    </row>
    <row r="14664">
      <c r="J14664">
        <f>IFERROR(__xludf.DUMMYFUNCTION("""COMPUTED_VALUE"""),"Washingon, DC")</f>
        <v/>
      </c>
      <c r="K14664">
        <f>IFERROR(__xludf.DUMMYFUNCTION("""COMPUTED_VALUE"""),1861.34)</f>
        <v/>
      </c>
    </row>
    <row r="14665">
      <c r="J14665">
        <f>IFERROR(__xludf.DUMMYFUNCTION("""COMPUTED_VALUE"""),"Ottawa (ON) and Verginia (USA)")</f>
        <v/>
      </c>
      <c r="K14665">
        <f>IFERROR(__xludf.DUMMYFUNCTION("""COMPUTED_VALUE"""),1861)</f>
        <v/>
      </c>
    </row>
    <row r="14666">
      <c r="J14666">
        <f>IFERROR(__xludf.DUMMYFUNCTION("""COMPUTED_VALUE"""),"Montreal, Quebec City, Drummondville")</f>
        <v/>
      </c>
      <c r="K14666">
        <f>IFERROR(__xludf.DUMMYFUNCTION("""COMPUTED_VALUE"""),1860.04)</f>
        <v/>
      </c>
    </row>
    <row r="14667">
      <c r="J14667">
        <f>IFERROR(__xludf.DUMMYFUNCTION("""COMPUTED_VALUE"""),"SAO PAOLO, BRAZIL")</f>
        <v/>
      </c>
      <c r="K14667">
        <f>IFERROR(__xludf.DUMMYFUNCTION("""COMPUTED_VALUE"""),1860.03)</f>
        <v/>
      </c>
    </row>
    <row r="14668">
      <c r="J14668">
        <f>IFERROR(__xludf.DUMMYFUNCTION("""COMPUTED_VALUE"""),"Seattle, États-Unis")</f>
        <v/>
      </c>
      <c r="K14668">
        <f>IFERROR(__xludf.DUMMYFUNCTION("""COMPUTED_VALUE"""),1860.01)</f>
        <v/>
      </c>
    </row>
    <row r="14669">
      <c r="J14669">
        <f>IFERROR(__xludf.DUMMYFUNCTION("""COMPUTED_VALUE"""),"Montréal, Quebec, Canada; Laval, Quebec, Canada; Repentigny, Quebec, Canada; Vaudreuil-Dorion, Quebec, Canada; Gatineau, Quebec, Canada")</f>
        <v/>
      </c>
      <c r="K14669">
        <f>IFERROR(__xludf.DUMMYFUNCTION("""COMPUTED_VALUE"""),1859.6)</f>
        <v/>
      </c>
    </row>
    <row r="14670">
      <c r="J14670">
        <f>IFERROR(__xludf.DUMMYFUNCTION("""COMPUTED_VALUE"""),"Boston, Massachusets, United States")</f>
        <v/>
      </c>
      <c r="K14670">
        <f>IFERROR(__xludf.DUMMYFUNCTION("""COMPUTED_VALUE"""),1859.59)</f>
        <v/>
      </c>
    </row>
    <row r="14671">
      <c r="J14671">
        <f>IFERROR(__xludf.DUMMYFUNCTION("""COMPUTED_VALUE"""),"Addis Ababa, Ethiopia; Kuwait City, Kuwait; Dakar, Senegal; Munich, Germany")</f>
        <v/>
      </c>
      <c r="K14671">
        <f>IFERROR(__xludf.DUMMYFUNCTION("""COMPUTED_VALUE"""),1859.21)</f>
        <v/>
      </c>
    </row>
    <row r="14672">
      <c r="J14672">
        <f>IFERROR(__xludf.DUMMYFUNCTION("""COMPUTED_VALUE"""),"Québec, Quebec, Canada; Thetford Mines, Quebec, Canada; Sherbrooke, Quebec, Canada; Drummondville, Quebec, Canada; Saint-Hyacinthe, Quebec, Canada")</f>
        <v/>
      </c>
      <c r="K14672">
        <f>IFERROR(__xludf.DUMMYFUNCTION("""COMPUTED_VALUE"""),1858.09)</f>
        <v/>
      </c>
    </row>
    <row r="14673">
      <c r="J14673">
        <f>IFERROR(__xludf.DUMMYFUNCTION("""COMPUTED_VALUE"""),"Vancouver/Victoria, BC, Canada")</f>
        <v/>
      </c>
      <c r="K14673">
        <f>IFERROR(__xludf.DUMMYFUNCTION("""COMPUTED_VALUE"""),1858.03)</f>
        <v/>
      </c>
    </row>
    <row r="14674">
      <c r="J14674">
        <f>IFERROR(__xludf.DUMMYFUNCTION("""COMPUTED_VALUE"""),"Halifax, Nova Scotia and St John's, Newfoundland")</f>
        <v/>
      </c>
      <c r="K14674">
        <f>IFERROR(__xludf.DUMMYFUNCTION("""COMPUTED_VALUE"""),1857.11)</f>
        <v/>
      </c>
    </row>
    <row r="14675">
      <c r="J14675">
        <f>IFERROR(__xludf.DUMMYFUNCTION("""COMPUTED_VALUE"""),"Riviere du Loup, Quebec, Canada")</f>
        <v/>
      </c>
      <c r="K14675">
        <f>IFERROR(__xludf.DUMMYFUNCTION("""COMPUTED_VALUE"""),1857.04)</f>
        <v/>
      </c>
    </row>
    <row r="14676">
      <c r="J14676">
        <f>IFERROR(__xludf.DUMMYFUNCTION("""COMPUTED_VALUE"""),"Vancouver and Nelson, British Columbia")</f>
        <v/>
      </c>
      <c r="K14676">
        <f>IFERROR(__xludf.DUMMYFUNCTION("""COMPUTED_VALUE"""),1856.72)</f>
        <v/>
      </c>
    </row>
    <row r="14677">
      <c r="J14677">
        <f>IFERROR(__xludf.DUMMYFUNCTION("""COMPUTED_VALUE"""),"Antigonish, Nova Scotia, Canada / Halifax, Nova Scotia, Canada")</f>
        <v/>
      </c>
      <c r="K14677">
        <f>IFERROR(__xludf.DUMMYFUNCTION("""COMPUTED_VALUE"""),1856.42)</f>
        <v/>
      </c>
    </row>
    <row r="14678">
      <c r="J14678">
        <f>IFERROR(__xludf.DUMMYFUNCTION("""COMPUTED_VALUE"""),"St. Andrews by-the-sea, New Brunswick")</f>
        <v/>
      </c>
      <c r="K14678">
        <f>IFERROR(__xludf.DUMMYFUNCTION("""COMPUTED_VALUE"""),1855.73)</f>
        <v/>
      </c>
    </row>
    <row r="14679">
      <c r="J14679">
        <f>IFERROR(__xludf.DUMMYFUNCTION("""COMPUTED_VALUE"""),"Orford, Quebec, Canada; Moncton, New Brunswick, Canada")</f>
        <v/>
      </c>
      <c r="K14679">
        <f>IFERROR(__xludf.DUMMYFUNCTION("""COMPUTED_VALUE"""),1855.4)</f>
        <v/>
      </c>
    </row>
    <row r="14680">
      <c r="J14680">
        <f>IFERROR(__xludf.DUMMYFUNCTION("""COMPUTED_VALUE"""),"Springfield, VA, USA")</f>
        <v/>
      </c>
      <c r="K14680">
        <f>IFERROR(__xludf.DUMMYFUNCTION("""COMPUTED_VALUE"""),1854.78)</f>
        <v/>
      </c>
    </row>
    <row r="14681">
      <c r="J14681">
        <f>IFERROR(__xludf.DUMMYFUNCTION("""COMPUTED_VALUE"""),"Roberval, Trois-Rivières, Victoriaville, Drummondville, Montréal, Québec, Roberval")</f>
        <v/>
      </c>
      <c r="K14681">
        <f>IFERROR(__xludf.DUMMYFUNCTION("""COMPUTED_VALUE"""),1854.55)</f>
        <v/>
      </c>
    </row>
    <row r="14682">
      <c r="J14682">
        <f>IFERROR(__xludf.DUMMYFUNCTION("""COMPUTED_VALUE"""),"Sudbury, Ontario, Canada - Témiscaming, Kebaowak, Rouyn-Noranda, Val d’Or, Terrebonne, Mascouche, Crabtree, Québec, Saguenay, Mashteuiatsh, La Tuque, and Trois-Rivières, Quebec, Canada")</f>
        <v/>
      </c>
      <c r="K14682">
        <f>IFERROR(__xludf.DUMMYFUNCTION("""COMPUTED_VALUE"""),1854.47)</f>
        <v/>
      </c>
    </row>
    <row r="14683">
      <c r="J14683">
        <f>IFERROR(__xludf.DUMMYFUNCTION("""COMPUTED_VALUE"""),"Red Deer &amp; Winnipeg")</f>
        <v/>
      </c>
      <c r="K14683">
        <f>IFERROR(__xludf.DUMMYFUNCTION("""COMPUTED_VALUE"""),1854.12)</f>
        <v/>
      </c>
    </row>
    <row r="14684">
      <c r="J14684">
        <f>IFERROR(__xludf.DUMMYFUNCTION("""COMPUTED_VALUE"""),"Sherbrooke, Quebec, Canada /  Trois-Rivières, Quebec, Canada / Matane, Quebec, Canada")</f>
        <v/>
      </c>
      <c r="K14684">
        <f>IFERROR(__xludf.DUMMYFUNCTION("""COMPUTED_VALUE"""),1853.45)</f>
        <v/>
      </c>
    </row>
    <row r="14685">
      <c r="J14685">
        <f>IFERROR(__xludf.DUMMYFUNCTION("""COMPUTED_VALUE"""),"1) New York 2) West Point, New York")</f>
        <v/>
      </c>
      <c r="K14685">
        <f>IFERROR(__xludf.DUMMYFUNCTION("""COMPUTED_VALUE"""),1853.08)</f>
        <v/>
      </c>
    </row>
    <row r="14686">
      <c r="J14686">
        <f>IFERROR(__xludf.DUMMYFUNCTION("""COMPUTED_VALUE"""),"Hamilton, ON; London, ON")</f>
        <v/>
      </c>
      <c r="K14686">
        <f>IFERROR(__xludf.DUMMYFUNCTION("""COMPUTED_VALUE"""),1853.01)</f>
        <v/>
      </c>
    </row>
    <row r="14687">
      <c r="J14687">
        <f>IFERROR(__xludf.DUMMYFUNCTION("""COMPUTED_VALUE"""),"Toronto, ON Thunder Bay, ON Ottawa, ON")</f>
        <v/>
      </c>
      <c r="K14687">
        <f>IFERROR(__xludf.DUMMYFUNCTION("""COMPUTED_VALUE"""),1851.93)</f>
        <v/>
      </c>
    </row>
    <row r="14688">
      <c r="J14688">
        <f>IFERROR(__xludf.DUMMYFUNCTION("""COMPUTED_VALUE"""),"Toronto, ON / Peterborough, ON")</f>
        <v/>
      </c>
      <c r="K14688">
        <f>IFERROR(__xludf.DUMMYFUNCTION("""COMPUTED_VALUE"""),1851.90999999999)</f>
        <v/>
      </c>
    </row>
    <row r="14689">
      <c r="J14689">
        <f>IFERROR(__xludf.DUMMYFUNCTION("""COMPUTED_VALUE"""),"Thunder Bay, ON, Winnipeg, MB")</f>
        <v/>
      </c>
      <c r="K14689">
        <f>IFERROR(__xludf.DUMMYFUNCTION("""COMPUTED_VALUE"""),1851.19)</f>
        <v/>
      </c>
    </row>
    <row r="14690">
      <c r="J14690">
        <f>IFERROR(__xludf.DUMMYFUNCTION("""COMPUTED_VALUE"""),"IQALUIT, CAPE DORSET, RANKIN INLET, CAMBRIDGE BAY")</f>
        <v/>
      </c>
      <c r="K14690">
        <f>IFERROR(__xludf.DUMMYFUNCTION("""COMPUTED_VALUE"""),1851)</f>
        <v/>
      </c>
    </row>
    <row r="14691">
      <c r="J14691">
        <f>IFERROR(__xludf.DUMMYFUNCTION("""COMPUTED_VALUE"""),"Ottawa - Toronto - Bagotville")</f>
        <v/>
      </c>
      <c r="K14691">
        <f>IFERROR(__xludf.DUMMYFUNCTION("""COMPUTED_VALUE"""),1850.92)</f>
        <v/>
      </c>
    </row>
    <row r="14692">
      <c r="J14692">
        <f>IFERROR(__xludf.DUMMYFUNCTION("""COMPUTED_VALUE"""),"Kelowna, BC and Prince George, BC")</f>
        <v/>
      </c>
      <c r="K14692">
        <f>IFERROR(__xludf.DUMMYFUNCTION("""COMPUTED_VALUE"""),1850.3)</f>
        <v/>
      </c>
    </row>
    <row r="14693">
      <c r="J14693">
        <f>IFERROR(__xludf.DUMMYFUNCTION("""COMPUTED_VALUE"""),"Timmins, ON / Huntsville, ON / North Bay, ON")</f>
        <v/>
      </c>
      <c r="K14693">
        <f>IFERROR(__xludf.DUMMYFUNCTION("""COMPUTED_VALUE"""),1849.97)</f>
        <v/>
      </c>
    </row>
    <row r="14694">
      <c r="J14694">
        <f>IFERROR(__xludf.DUMMYFUNCTION("""COMPUTED_VALUE"""),"Sudbury, ON Winnipeg, MB Regina, SK")</f>
        <v/>
      </c>
      <c r="K14694">
        <f>IFERROR(__xludf.DUMMYFUNCTION("""COMPUTED_VALUE"""),1849.73)</f>
        <v/>
      </c>
    </row>
    <row r="14695">
      <c r="J14695">
        <f>IFERROR(__xludf.DUMMYFUNCTION("""COMPUTED_VALUE"""),"Toronto (Canada)")</f>
        <v/>
      </c>
      <c r="K14695">
        <f>IFERROR(__xludf.DUMMYFUNCTION("""COMPUTED_VALUE"""),1849.65)</f>
        <v/>
      </c>
    </row>
    <row r="14696">
      <c r="J14696">
        <f>IFERROR(__xludf.DUMMYFUNCTION("""COMPUTED_VALUE"""),"Halifax. Nova Scotia")</f>
        <v/>
      </c>
      <c r="K14696">
        <f>IFERROR(__xludf.DUMMYFUNCTION("""COMPUTED_VALUE"""),1849.61)</f>
        <v/>
      </c>
    </row>
    <row r="14697">
      <c r="J14697">
        <f>IFERROR(__xludf.DUMMYFUNCTION("""COMPUTED_VALUE"""),"Montebello, Quebec, Canada; Toronto, Ontario, Canada")</f>
        <v/>
      </c>
      <c r="K14697">
        <f>IFERROR(__xludf.DUMMYFUNCTION("""COMPUTED_VALUE"""),1848.61)</f>
        <v/>
      </c>
    </row>
    <row r="14698">
      <c r="J14698">
        <f>IFERROR(__xludf.DUMMYFUNCTION("""COMPUTED_VALUE"""),"Iqaluit (Nunavut)")</f>
        <v/>
      </c>
      <c r="K14698">
        <f>IFERROR(__xludf.DUMMYFUNCTION("""COMPUTED_VALUE"""),1848.57)</f>
        <v/>
      </c>
    </row>
    <row r="14699">
      <c r="J14699">
        <f>IFERROR(__xludf.DUMMYFUNCTION("""COMPUTED_VALUE"""),"Steady Brook, Newfoundland")</f>
        <v/>
      </c>
      <c r="K14699">
        <f>IFERROR(__xludf.DUMMYFUNCTION("""COMPUTED_VALUE"""),1848.34)</f>
        <v/>
      </c>
    </row>
    <row r="14700">
      <c r="J14700">
        <f>IFERROR(__xludf.DUMMYFUNCTION("""COMPUTED_VALUE"""),"Chicago, Illanois, USA")</f>
        <v/>
      </c>
      <c r="K14700">
        <f>IFERROR(__xludf.DUMMYFUNCTION("""COMPUTED_VALUE"""),1848.26)</f>
        <v/>
      </c>
    </row>
    <row r="14701">
      <c r="J14701">
        <f>IFERROR(__xludf.DUMMYFUNCTION("""COMPUTED_VALUE"""),"Ottawa, Ontario, Montreal, Quebec")</f>
        <v/>
      </c>
      <c r="K14701">
        <f>IFERROR(__xludf.DUMMYFUNCTION("""COMPUTED_VALUE"""),1848.18)</f>
        <v/>
      </c>
    </row>
    <row r="14702">
      <c r="J14702">
        <f>IFERROR(__xludf.DUMMYFUNCTION("""COMPUTED_VALUE"""),"Acton Vale, Quebec, Canada / Drummondville, Quebec, Canada")</f>
        <v/>
      </c>
      <c r="K14702">
        <f>IFERROR(__xludf.DUMMYFUNCTION("""COMPUTED_VALUE"""),1847.31)</f>
        <v/>
      </c>
    </row>
    <row r="14703">
      <c r="J14703">
        <f>IFERROR(__xludf.DUMMYFUNCTION("""COMPUTED_VALUE"""),"Ottawa, ON
London, ON
Thunder Bay, ON")</f>
        <v/>
      </c>
      <c r="K14703">
        <f>IFERROR(__xludf.DUMMYFUNCTION("""COMPUTED_VALUE"""),1847.31)</f>
        <v/>
      </c>
    </row>
    <row r="14704">
      <c r="J14704">
        <f>IFERROR(__xludf.DUMMYFUNCTION("""COMPUTED_VALUE"""),"Edmonton, Alberta And Toronto, Ontario")</f>
        <v/>
      </c>
      <c r="K14704">
        <f>IFERROR(__xludf.DUMMYFUNCTION("""COMPUTED_VALUE"""),1847.27)</f>
        <v/>
      </c>
    </row>
    <row r="14705">
      <c r="J14705">
        <f>IFERROR(__xludf.DUMMYFUNCTION("""COMPUTED_VALUE"""),"Ottawa, Ontario via Iceland")</f>
        <v/>
      </c>
      <c r="K14705">
        <f>IFERROR(__xludf.DUMMYFUNCTION("""COMPUTED_VALUE"""),1847.23)</f>
        <v/>
      </c>
    </row>
    <row r="14706">
      <c r="J14706">
        <f>IFERROR(__xludf.DUMMYFUNCTION("""COMPUTED_VALUE"""),"Ottawa (Ontario) Halifax (Nova Scotia)Canada")</f>
        <v/>
      </c>
      <c r="K14706">
        <f>IFERROR(__xludf.DUMMYFUNCTION("""COMPUTED_VALUE"""),1847.07)</f>
        <v/>
      </c>
    </row>
    <row r="14707">
      <c r="J14707">
        <f>IFERROR(__xludf.DUMMYFUNCTION("""COMPUTED_VALUE"""),"Charlettetown / Halifax")</f>
        <v/>
      </c>
      <c r="K14707">
        <f>IFERROR(__xludf.DUMMYFUNCTION("""COMPUTED_VALUE"""),1846.58)</f>
        <v/>
      </c>
    </row>
    <row r="14708">
      <c r="J14708">
        <f>IFERROR(__xludf.DUMMYFUNCTION("""COMPUTED_VALUE"""),"Halifax, New Brunswick, Canada/ Charlottetown, Prince Edward Island, Canada")</f>
        <v/>
      </c>
      <c r="K14708">
        <f>IFERROR(__xludf.DUMMYFUNCTION("""COMPUTED_VALUE"""),1846.05)</f>
        <v/>
      </c>
    </row>
    <row r="14709">
      <c r="J14709">
        <f>IFERROR(__xludf.DUMMYFUNCTION("""COMPUTED_VALUE"""),"Morell, Prince Edward Island, Canada")</f>
        <v/>
      </c>
      <c r="K14709">
        <f>IFERROR(__xludf.DUMMYFUNCTION("""COMPUTED_VALUE"""),1846)</f>
        <v/>
      </c>
    </row>
    <row r="14710">
      <c r="J14710">
        <f>IFERROR(__xludf.DUMMYFUNCTION("""COMPUTED_VALUE"""),"Mississauga, Oakville and Hamilton, Ontario, Canada")</f>
        <v/>
      </c>
      <c r="K14710">
        <f>IFERROR(__xludf.DUMMYFUNCTION("""COMPUTED_VALUE"""),1845.59)</f>
        <v/>
      </c>
    </row>
    <row r="14711">
      <c r="J14711">
        <f>IFERROR(__xludf.DUMMYFUNCTION("""COMPUTED_VALUE"""),"Hamilton, Ontario and Thunder Bay, Ontario")</f>
        <v/>
      </c>
      <c r="K14711">
        <f>IFERROR(__xludf.DUMMYFUNCTION("""COMPUTED_VALUE"""),1845.57)</f>
        <v/>
      </c>
    </row>
    <row r="14712">
      <c r="J14712">
        <f>IFERROR(__xludf.DUMMYFUNCTION("""COMPUTED_VALUE"""),"Vancouver, British Columbia, Canada and Portland, Oregon, United States of America")</f>
        <v/>
      </c>
      <c r="K14712">
        <f>IFERROR(__xludf.DUMMYFUNCTION("""COMPUTED_VALUE"""),1845.49)</f>
        <v/>
      </c>
    </row>
    <row r="14713">
      <c r="J14713">
        <f>IFERROR(__xludf.DUMMYFUNCTION("""COMPUTED_VALUE"""),"Palo Alto, United-States")</f>
        <v/>
      </c>
      <c r="K14713">
        <f>IFERROR(__xludf.DUMMYFUNCTION("""COMPUTED_VALUE"""),1845.17)</f>
        <v/>
      </c>
    </row>
    <row r="14714">
      <c r="J14714">
        <f>IFERROR(__xludf.DUMMYFUNCTION("""COMPUTED_VALUE"""),"Shawinigan, Quebec, CanadaQuebec , Quebec, CanadaTadoussac, Quebec, Canada")</f>
        <v/>
      </c>
      <c r="K14714">
        <f>IFERROR(__xludf.DUMMYFUNCTION("""COMPUTED_VALUE"""),1844.94)</f>
        <v/>
      </c>
    </row>
    <row r="14715">
      <c r="J14715">
        <f>IFERROR(__xludf.DUMMYFUNCTION("""COMPUTED_VALUE"""),"James Cree, SK, Canada")</f>
        <v/>
      </c>
      <c r="K14715">
        <f>IFERROR(__xludf.DUMMYFUNCTION("""COMPUTED_VALUE"""),1844.53)</f>
        <v/>
      </c>
    </row>
    <row r="14716">
      <c r="J14716">
        <f>IFERROR(__xludf.DUMMYFUNCTION("""COMPUTED_VALUE"""),"Vancouver, British columbia")</f>
        <v/>
      </c>
      <c r="K14716">
        <f>IFERROR(__xludf.DUMMYFUNCTION("""COMPUTED_VALUE"""),1844.49)</f>
        <v/>
      </c>
    </row>
    <row r="14717">
      <c r="J14717">
        <f>IFERROR(__xludf.DUMMYFUNCTION("""COMPUTED_VALUE"""),"Montreal, Quebec, Canada; Val-d'Or, Quebec, Canada; Quebec City, Quebec, Canada")</f>
        <v/>
      </c>
      <c r="K14717">
        <f>IFERROR(__xludf.DUMMYFUNCTION("""COMPUTED_VALUE"""),1844)</f>
        <v/>
      </c>
    </row>
    <row r="14718">
      <c r="J14718">
        <f>IFERROR(__xludf.DUMMYFUNCTION("""COMPUTED_VALUE"""),"Winnipeg, MB and Mont-St-Hilaire, QC")</f>
        <v/>
      </c>
      <c r="K14718">
        <f>IFERROR(__xludf.DUMMYFUNCTION("""COMPUTED_VALUE"""),1843.07)</f>
        <v/>
      </c>
    </row>
    <row r="14719">
      <c r="J14719">
        <f>IFERROR(__xludf.DUMMYFUNCTION("""COMPUTED_VALUE"""),"Waterloo, London and Hamilton, Ontario, Canada")</f>
        <v/>
      </c>
      <c r="K14719">
        <f>IFERROR(__xludf.DUMMYFUNCTION("""COMPUTED_VALUE"""),1842.52)</f>
        <v/>
      </c>
    </row>
    <row r="14720">
      <c r="J14720">
        <f>IFERROR(__xludf.DUMMYFUNCTION("""COMPUTED_VALUE"""),"Cambridge ON")</f>
        <v/>
      </c>
      <c r="K14720">
        <f>IFERROR(__xludf.DUMMYFUNCTION("""COMPUTED_VALUE"""),1841.99)</f>
        <v/>
      </c>
    </row>
    <row r="14721">
      <c r="J14721">
        <f>IFERROR(__xludf.DUMMYFUNCTION("""COMPUTED_VALUE"""),"Winnipeg, MB / Montreal, QC")</f>
        <v/>
      </c>
      <c r="K14721">
        <f>IFERROR(__xludf.DUMMYFUNCTION("""COMPUTED_VALUE"""),1841.91)</f>
        <v/>
      </c>
    </row>
    <row r="14722">
      <c r="J14722">
        <f>IFERROR(__xludf.DUMMYFUNCTION("""COMPUTED_VALUE"""),"Hamilton; kitchener, Ontario, Canada")</f>
        <v/>
      </c>
      <c r="K14722">
        <f>IFERROR(__xludf.DUMMYFUNCTION("""COMPUTED_VALUE"""),1841.72)</f>
        <v/>
      </c>
    </row>
    <row r="14723">
      <c r="J14723">
        <f>IFERROR(__xludf.DUMMYFUNCTION("""COMPUTED_VALUE"""),"Lac Megantic, Quebec")</f>
        <v/>
      </c>
      <c r="K14723">
        <f>IFERROR(__xludf.DUMMYFUNCTION("""COMPUTED_VALUE"""),1841.71)</f>
        <v/>
      </c>
    </row>
    <row r="14724">
      <c r="J14724">
        <f>IFERROR(__xludf.DUMMYFUNCTION("""COMPUTED_VALUE"""),"Saskatoon,  Maple Creek and  Regina, SK")</f>
        <v/>
      </c>
      <c r="K14724">
        <f>IFERROR(__xludf.DUMMYFUNCTION("""COMPUTED_VALUE"""),1841.68)</f>
        <v/>
      </c>
    </row>
    <row r="14725">
      <c r="J14725">
        <f>IFERROR(__xludf.DUMMYFUNCTION("""COMPUTED_VALUE"""),"Orillia, Ontario")</f>
        <v/>
      </c>
      <c r="K14725">
        <f>IFERROR(__xludf.DUMMYFUNCTION("""COMPUTED_VALUE"""),1841.49)</f>
        <v/>
      </c>
    </row>
    <row r="14726">
      <c r="J14726">
        <f>IFERROR(__xludf.DUMMYFUNCTION("""COMPUTED_VALUE"""),"Moose Jaw, Saskatchewan; Dundurn, Saskatchewan")</f>
        <v/>
      </c>
      <c r="K14726">
        <f>IFERROR(__xludf.DUMMYFUNCTION("""COMPUTED_VALUE"""),1841.21)</f>
        <v/>
      </c>
    </row>
    <row r="14727">
      <c r="J14727">
        <f>IFERROR(__xludf.DUMMYFUNCTION("""COMPUTED_VALUE"""),"Truro, NS, Canada")</f>
        <v/>
      </c>
      <c r="K14727">
        <f>IFERROR(__xludf.DUMMYFUNCTION("""COMPUTED_VALUE"""),1841.19)</f>
        <v/>
      </c>
    </row>
    <row r="14728">
      <c r="J14728">
        <f>IFERROR(__xludf.DUMMYFUNCTION("""COMPUTED_VALUE"""),"Membertou, Nova Scotia")</f>
        <v/>
      </c>
      <c r="K14728">
        <f>IFERROR(__xludf.DUMMYFUNCTION("""COMPUTED_VALUE"""),1841.04)</f>
        <v/>
      </c>
    </row>
    <row r="14729">
      <c r="J14729">
        <f>IFERROR(__xludf.DUMMYFUNCTION("""COMPUTED_VALUE"""),"Charlottetown, Prince Edward Island, Canada / Halifax, Nova Scotia, Canada")</f>
        <v/>
      </c>
      <c r="K14729">
        <f>IFERROR(__xludf.DUMMYFUNCTION("""COMPUTED_VALUE"""),1840.37)</f>
        <v/>
      </c>
    </row>
    <row r="14730">
      <c r="J14730">
        <f>IFERROR(__xludf.DUMMYFUNCTION("""COMPUTED_VALUE"""),"Cambridge, Massachusetts")</f>
        <v/>
      </c>
      <c r="K14730">
        <f>IFERROR(__xludf.DUMMYFUNCTION("""COMPUTED_VALUE"""),1840.18)</f>
        <v/>
      </c>
    </row>
    <row r="14731">
      <c r="J14731">
        <f>IFERROR(__xludf.DUMMYFUNCTION("""COMPUTED_VALUE"""),"Kamloops, British Columbia, Canada; Calgary, Alberta, Canada")</f>
        <v/>
      </c>
      <c r="K14731">
        <f>IFERROR(__xludf.DUMMYFUNCTION("""COMPUTED_VALUE"""),1840.08)</f>
        <v/>
      </c>
    </row>
    <row r="14732">
      <c r="J14732">
        <f>IFERROR(__xludf.DUMMYFUNCTION("""COMPUTED_VALUE"""),"Waterloo, Ontario, Toronto, Ontario")</f>
        <v/>
      </c>
      <c r="K14732">
        <f>IFERROR(__xludf.DUMMYFUNCTION("""COMPUTED_VALUE"""),1839.6)</f>
        <v/>
      </c>
    </row>
    <row r="14733">
      <c r="J14733">
        <f>IFERROR(__xludf.DUMMYFUNCTION("""COMPUTED_VALUE"""),"Calgary, Alberta, Canada; Lethbridge, Alberta, Canada; Edmonton, Alberta, Canada; Red Deer, Alberta, Canada")</f>
        <v/>
      </c>
      <c r="K14733">
        <f>IFERROR(__xludf.DUMMYFUNCTION("""COMPUTED_VALUE"""),1839.28)</f>
        <v/>
      </c>
    </row>
    <row r="14734">
      <c r="J14734">
        <f>IFERROR(__xludf.DUMMYFUNCTION("""COMPUTED_VALUE"""),"Greater Toronto Area")</f>
        <v/>
      </c>
      <c r="K14734">
        <f>IFERROR(__xludf.DUMMYFUNCTION("""COMPUTED_VALUE"""),1839.22)</f>
        <v/>
      </c>
    </row>
    <row r="14735">
      <c r="J14735">
        <f>IFERROR(__xludf.DUMMYFUNCTION("""COMPUTED_VALUE"""),"Fogo Island/Gros Morne, Newfoundland and Labrador")</f>
        <v/>
      </c>
      <c r="K14735">
        <f>IFERROR(__xludf.DUMMYFUNCTION("""COMPUTED_VALUE"""),1838.59)</f>
        <v/>
      </c>
    </row>
    <row r="14736">
      <c r="J14736">
        <f>IFERROR(__xludf.DUMMYFUNCTION("""COMPUTED_VALUE"""),"Ottawa, Ontario and Montréal, Quebec")</f>
        <v/>
      </c>
      <c r="K14736">
        <f>IFERROR(__xludf.DUMMYFUNCTION("""COMPUTED_VALUE"""),1838.39)</f>
        <v/>
      </c>
    </row>
    <row r="14737">
      <c r="J14737">
        <f>IFERROR(__xludf.DUMMYFUNCTION("""COMPUTED_VALUE"""),"Victoria and Comox, British Columbia, Canada")</f>
        <v/>
      </c>
      <c r="K14737">
        <f>IFERROR(__xludf.DUMMYFUNCTION("""COMPUTED_VALUE"""),1837.99)</f>
        <v/>
      </c>
    </row>
    <row r="14738">
      <c r="J14738">
        <f>IFERROR(__xludf.DUMMYFUNCTION("""COMPUTED_VALUE"""),"Colorado Springs, Coloardo")</f>
        <v/>
      </c>
      <c r="K14738">
        <f>IFERROR(__xludf.DUMMYFUNCTION("""COMPUTED_VALUE"""),1837.79)</f>
        <v/>
      </c>
    </row>
    <row r="14739">
      <c r="J14739">
        <f>IFERROR(__xludf.DUMMYFUNCTION("""COMPUTED_VALUE"""),"Morden (Manitoba) Canada; Winnipeg (Manitoba) Canada")</f>
        <v/>
      </c>
      <c r="K14739">
        <f>IFERROR(__xludf.DUMMYFUNCTION("""COMPUTED_VALUE"""),1837.31)</f>
        <v/>
      </c>
    </row>
    <row r="14740">
      <c r="J14740">
        <f>IFERROR(__xludf.DUMMYFUNCTION("""COMPUTED_VALUE"""),"Halifax, Nova Scotia, Canada                                                                                              St. John's Newfoundland and Labrador, Canada")</f>
        <v/>
      </c>
      <c r="K14740">
        <f>IFERROR(__xludf.DUMMYFUNCTION("""COMPUTED_VALUE"""),1837.17)</f>
        <v/>
      </c>
    </row>
    <row r="14741">
      <c r="J14741">
        <f>IFERROR(__xludf.DUMMYFUNCTION("""COMPUTED_VALUE"""),"Charlottetown(PEI) Canada")</f>
        <v/>
      </c>
      <c r="K14741">
        <f>IFERROR(__xludf.DUMMYFUNCTION("""COMPUTED_VALUE"""),1836.75)</f>
        <v/>
      </c>
    </row>
    <row r="14742">
      <c r="J14742">
        <f>IFERROR(__xludf.DUMMYFUNCTION("""COMPUTED_VALUE"""),"Tampa (Florida) United States")</f>
        <v/>
      </c>
      <c r="K14742">
        <f>IFERROR(__xludf.DUMMYFUNCTION("""COMPUTED_VALUE"""),1836.69)</f>
        <v/>
      </c>
    </row>
    <row r="14743">
      <c r="J14743">
        <f>IFERROR(__xludf.DUMMYFUNCTION("""COMPUTED_VALUE"""),"North Battleford, Prince Albert, Swift Current, Saskatoon, and Regina, Saskatchewan")</f>
        <v/>
      </c>
      <c r="K14743">
        <f>IFERROR(__xludf.DUMMYFUNCTION("""COMPUTED_VALUE"""),1836.68)</f>
        <v/>
      </c>
    </row>
    <row r="14744">
      <c r="J14744">
        <f>IFERROR(__xludf.DUMMYFUNCTION("""COMPUTED_VALUE"""),"Gander, Newfoundland and Labrador, Canada; Halifax, Nova Scotia, Canada")</f>
        <v/>
      </c>
      <c r="K14744">
        <f>IFERROR(__xludf.DUMMYFUNCTION("""COMPUTED_VALUE"""),1836.54)</f>
        <v/>
      </c>
    </row>
    <row r="14745">
      <c r="J14745">
        <f>IFERROR(__xludf.DUMMYFUNCTION("""COMPUTED_VALUE"""),"Charlottetown, Prince Edward Island; Fredericton, New Brunswick, Canada")</f>
        <v/>
      </c>
      <c r="K14745">
        <f>IFERROR(__xludf.DUMMYFUNCTION("""COMPUTED_VALUE"""),1836.26)</f>
        <v/>
      </c>
    </row>
    <row r="14746">
      <c r="J14746">
        <f>IFERROR(__xludf.DUMMYFUNCTION("""COMPUTED_VALUE"""),"Ottawa, Roberval, Sept-Îles, Bagotville, Montréal")</f>
        <v/>
      </c>
      <c r="K14746">
        <f>IFERROR(__xludf.DUMMYFUNCTION("""COMPUTED_VALUE"""),1836.23)</f>
        <v/>
      </c>
    </row>
    <row r="14747">
      <c r="J14747">
        <f>IFERROR(__xludf.DUMMYFUNCTION("""COMPUTED_VALUE"""),"Ottawa and Petawawa, Ontario")</f>
        <v/>
      </c>
      <c r="K14747">
        <f>IFERROR(__xludf.DUMMYFUNCTION("""COMPUTED_VALUE"""),1835.82)</f>
        <v/>
      </c>
    </row>
    <row r="14748">
      <c r="J14748">
        <f>IFERROR(__xludf.DUMMYFUNCTION("""COMPUTED_VALUE"""),"Ft. Leavenworth, Kansas, USA")</f>
        <v/>
      </c>
      <c r="K14748">
        <f>IFERROR(__xludf.DUMMYFUNCTION("""COMPUTED_VALUE"""),1835.29)</f>
        <v/>
      </c>
    </row>
    <row r="14749">
      <c r="J14749">
        <f>IFERROR(__xludf.DUMMYFUNCTION("""COMPUTED_VALUE"""),"Saint John, New Brunswick, Canada; Charlottetown, Prince Edward Island, Canada")</f>
        <v/>
      </c>
      <c r="K14749">
        <f>IFERROR(__xludf.DUMMYFUNCTION("""COMPUTED_VALUE"""),1835.01)</f>
        <v/>
      </c>
    </row>
    <row r="14750">
      <c r="J14750">
        <f>IFERROR(__xludf.DUMMYFUNCTION("""COMPUTED_VALUE"""),"Vancouver (British Columbia) and Whitehorse (Yukon)")</f>
        <v/>
      </c>
      <c r="K14750">
        <f>IFERROR(__xludf.DUMMYFUNCTION("""COMPUTED_VALUE"""),1834.09)</f>
        <v/>
      </c>
    </row>
    <row r="14751">
      <c r="J14751">
        <f>IFERROR(__xludf.DUMMYFUNCTION("""COMPUTED_VALUE"""),"Norfolk, Washington, USA")</f>
        <v/>
      </c>
      <c r="K14751">
        <f>IFERROR(__xludf.DUMMYFUNCTION("""COMPUTED_VALUE"""),1834.03)</f>
        <v/>
      </c>
    </row>
    <row r="14752">
      <c r="J14752">
        <f>IFERROR(__xludf.DUMMYFUNCTION("""COMPUTED_VALUE"""),"Niagara Falls, Ontario; Toronto, Ontario")</f>
        <v/>
      </c>
      <c r="K14752">
        <f>IFERROR(__xludf.DUMMYFUNCTION("""COMPUTED_VALUE"""),1833.97)</f>
        <v/>
      </c>
    </row>
    <row r="14753">
      <c r="J14753">
        <f>IFERROR(__xludf.DUMMYFUNCTION("""COMPUTED_VALUE"""),"Alma, QC")</f>
        <v/>
      </c>
      <c r="K14753">
        <f>IFERROR(__xludf.DUMMYFUNCTION("""COMPUTED_VALUE"""),1833.77)</f>
        <v/>
      </c>
    </row>
    <row r="14754">
      <c r="J14754">
        <f>IFERROR(__xludf.DUMMYFUNCTION("""COMPUTED_VALUE"""),"Moncton NB - Ottawa, ON / Ottawa, ON - Moncton NB")</f>
        <v/>
      </c>
      <c r="K14754">
        <f>IFERROR(__xludf.DUMMYFUNCTION("""COMPUTED_VALUE"""),1833.6)</f>
        <v/>
      </c>
    </row>
    <row r="14755">
      <c r="J14755">
        <f>IFERROR(__xludf.DUMMYFUNCTION("""COMPUTED_VALUE"""),"(JWFC)in Suffolk,VA,US")</f>
        <v/>
      </c>
      <c r="K14755">
        <f>IFERROR(__xludf.DUMMYFUNCTION("""COMPUTED_VALUE"""),1833.12)</f>
        <v/>
      </c>
    </row>
    <row r="14756">
      <c r="J14756">
        <f>IFERROR(__xludf.DUMMYFUNCTION("""COMPUTED_VALUE"""),"Halifax, Nova Scotia; Montréal, Québec")</f>
        <v/>
      </c>
      <c r="K14756">
        <f>IFERROR(__xludf.DUMMYFUNCTION("""COMPUTED_VALUE"""),1832.52)</f>
        <v/>
      </c>
    </row>
    <row r="14757">
      <c r="J14757">
        <f>IFERROR(__xludf.DUMMYFUNCTION("""COMPUTED_VALUE"""),"Iqaluit, Quebec")</f>
        <v/>
      </c>
      <c r="K14757">
        <f>IFERROR(__xludf.DUMMYFUNCTION("""COMPUTED_VALUE"""),1832.24)</f>
        <v/>
      </c>
    </row>
    <row r="14758">
      <c r="J14758">
        <f>IFERROR(__xludf.DUMMYFUNCTION("""COMPUTED_VALUE"""),"Norris Point, Newfoundland and Labrador")</f>
        <v/>
      </c>
      <c r="K14758">
        <f>IFERROR(__xludf.DUMMYFUNCTION("""COMPUTED_VALUE"""),1832.15)</f>
        <v/>
      </c>
    </row>
    <row r="14759">
      <c r="J14759">
        <f>IFERROR(__xludf.DUMMYFUNCTION("""COMPUTED_VALUE"""),"Los Angeles, CA, U.S.A.")</f>
        <v/>
      </c>
      <c r="K14759">
        <f>IFERROR(__xludf.DUMMYFUNCTION("""COMPUTED_VALUE"""),1831.45)</f>
        <v/>
      </c>
    </row>
    <row r="14760">
      <c r="J14760">
        <f>IFERROR(__xludf.DUMMYFUNCTION("""COMPUTED_VALUE"""),"Toronto, Ontario, Canada; London, Ontario, Canada; Windsor, Ontario, Canada")</f>
        <v/>
      </c>
      <c r="K14760">
        <f>IFERROR(__xludf.DUMMYFUNCTION("""COMPUTED_VALUE"""),1831.05)</f>
        <v/>
      </c>
    </row>
    <row r="14761">
      <c r="J14761">
        <f>IFERROR(__xludf.DUMMYFUNCTION("""COMPUTED_VALUE"""),"Iqaluit, NT")</f>
        <v/>
      </c>
      <c r="K14761">
        <f>IFERROR(__xludf.DUMMYFUNCTION("""COMPUTED_VALUE"""),1830.97)</f>
        <v/>
      </c>
    </row>
    <row r="14762">
      <c r="J14762">
        <f>IFERROR(__xludf.DUMMYFUNCTION("""COMPUTED_VALUE"""),"Vancouber, British Columbia")</f>
        <v/>
      </c>
      <c r="K14762">
        <f>IFERROR(__xludf.DUMMYFUNCTION("""COMPUTED_VALUE"""),1830.69)</f>
        <v/>
      </c>
    </row>
    <row r="14763">
      <c r="J14763">
        <f>IFERROR(__xludf.DUMMYFUNCTION("""COMPUTED_VALUE"""),"Sturgeon Falls, Ontario, Canada")</f>
        <v/>
      </c>
      <c r="K14763">
        <f>IFERROR(__xludf.DUMMYFUNCTION("""COMPUTED_VALUE"""),1830.65)</f>
        <v/>
      </c>
    </row>
    <row r="14764">
      <c r="J14764">
        <f>IFERROR(__xludf.DUMMYFUNCTION("""COMPUTED_VALUE"""),"Regina, SK; Calgary, AB; Surrey, BC, Richmond, BC")</f>
        <v/>
      </c>
      <c r="K14764">
        <f>IFERROR(__xludf.DUMMYFUNCTION("""COMPUTED_VALUE"""),1830.43)</f>
        <v/>
      </c>
    </row>
    <row r="14765">
      <c r="J14765">
        <f>IFERROR(__xludf.DUMMYFUNCTION("""COMPUTED_VALUE"""),"San Diego, California, United States San Francisco, California, United States")</f>
        <v/>
      </c>
      <c r="K14765">
        <f>IFERROR(__xludf.DUMMYFUNCTION("""COMPUTED_VALUE"""),1830.03)</f>
        <v/>
      </c>
    </row>
    <row r="14766">
      <c r="J14766">
        <f>IFERROR(__xludf.DUMMYFUNCTION("""COMPUTED_VALUE"""),"St. Kitts/Nevis and Antigua/Barbuda")</f>
        <v/>
      </c>
      <c r="K14766">
        <f>IFERROR(__xludf.DUMMYFUNCTION("""COMPUTED_VALUE"""),1829.99)</f>
        <v/>
      </c>
    </row>
    <row r="14767">
      <c r="J14767">
        <f>IFERROR(__xludf.DUMMYFUNCTION("""COMPUTED_VALUE"""),"Kitchener-Waterloo")</f>
        <v/>
      </c>
      <c r="K14767">
        <f>IFERROR(__xludf.DUMMYFUNCTION("""COMPUTED_VALUE"""),1829.51)</f>
        <v/>
      </c>
    </row>
    <row r="14768">
      <c r="J14768">
        <f>IFERROR(__xludf.DUMMYFUNCTION("""COMPUTED_VALUE"""),"Iqaluit, Yelllowknife and Whitehorse")</f>
        <v/>
      </c>
      <c r="K14768">
        <f>IFERROR(__xludf.DUMMYFUNCTION("""COMPUTED_VALUE"""),1829.48)</f>
        <v/>
      </c>
    </row>
    <row r="14769">
      <c r="J14769">
        <f>IFERROR(__xludf.DUMMYFUNCTION("""COMPUTED_VALUE"""),"Chongqing &amp; Guiyang, PRC")</f>
        <v/>
      </c>
      <c r="K14769">
        <f>IFERROR(__xludf.DUMMYFUNCTION("""COMPUTED_VALUE"""),1829.47)</f>
        <v/>
      </c>
    </row>
    <row r="14770">
      <c r="J14770">
        <f>IFERROR(__xludf.DUMMYFUNCTION("""COMPUTED_VALUE"""),"Courseulles-sur-Mer, France")</f>
        <v/>
      </c>
      <c r="K14770">
        <f>IFERROR(__xludf.DUMMYFUNCTION("""COMPUTED_VALUE"""),1829.38)</f>
        <v/>
      </c>
    </row>
    <row r="14771">
      <c r="J14771">
        <f>IFERROR(__xludf.DUMMYFUNCTION("""COMPUTED_VALUE"""),"Halifax, Nova Scotia, Canada; Ottawa, Ontario, Canada; St. John's, Newfoundland and Labrador, Canada; Halifax, Nova Scotia, Canada")</f>
        <v/>
      </c>
      <c r="K14771">
        <f>IFERROR(__xludf.DUMMYFUNCTION("""COMPUTED_VALUE"""),1829.15)</f>
        <v/>
      </c>
    </row>
    <row r="14772">
      <c r="J14772">
        <f>IFERROR(__xludf.DUMMYFUNCTION("""COMPUTED_VALUE"""),"Halifax, Nova Scotia, Canada; Sydney Mines, Nova Scotia, Canada; Sydney, Nova Scotia, Canada; Point Edward, Nova Scotia, Canada; Antigonish, Nova Scotia, Canada; New Glasgow, Nova Scotia, Canada; Truro, Nova Scotia, Canada; Pictou, Nova Scotia, Canada; Sc"&amp;"otsburn, Nova Scotia, Canada; White Point, Nova Scotia, Canada; Bridgewater, Nova Scotia, Canada; Sheet Harbour, Nova Scotia, Canada;")</f>
        <v/>
      </c>
      <c r="K14772">
        <f>IFERROR(__xludf.DUMMYFUNCTION("""COMPUTED_VALUE"""),1828.98)</f>
        <v/>
      </c>
    </row>
    <row r="14773">
      <c r="J14773">
        <f>IFERROR(__xludf.DUMMYFUNCTION("""COMPUTED_VALUE"""),"Moncton, New Brunswick, Canada/ Charlottetown, Prince Edward Island, Canada")</f>
        <v/>
      </c>
      <c r="K14773">
        <f>IFERROR(__xludf.DUMMYFUNCTION("""COMPUTED_VALUE"""),1828.17)</f>
        <v/>
      </c>
    </row>
    <row r="14774">
      <c r="J14774">
        <f>IFERROR(__xludf.DUMMYFUNCTION("""COMPUTED_VALUE"""),"Granby, Quebec, Canada")</f>
        <v/>
      </c>
      <c r="K14774">
        <f>IFERROR(__xludf.DUMMYFUNCTION("""COMPUTED_VALUE"""),1827.98999999999)</f>
        <v/>
      </c>
    </row>
    <row r="14775">
      <c r="J14775">
        <f>IFERROR(__xludf.DUMMYFUNCTION("""COMPUTED_VALUE"""),"Halifax, Nova Scotia, Canada; Toronto, Ontario, Canada; St. John's, Newfoundland and Labrador, Canada; Halifax, Nova Scotia, Canada")</f>
        <v/>
      </c>
      <c r="K14775">
        <f>IFERROR(__xludf.DUMMYFUNCTION("""COMPUTED_VALUE"""),1827.74)</f>
        <v/>
      </c>
    </row>
    <row r="14776">
      <c r="J14776">
        <f>IFERROR(__xludf.DUMMYFUNCTION("""COMPUTED_VALUE"""),"Ottawa, Ethiopia, Kuwait, Senegal and Germany")</f>
        <v/>
      </c>
      <c r="K14776">
        <f>IFERROR(__xludf.DUMMYFUNCTION("""COMPUTED_VALUE"""),1826.87)</f>
        <v/>
      </c>
    </row>
    <row r="14777">
      <c r="J14777">
        <f>IFERROR(__xludf.DUMMYFUNCTION("""COMPUTED_VALUE"""),"Winnipeg and Vancouver")</f>
        <v/>
      </c>
      <c r="K14777">
        <f>IFERROR(__xludf.DUMMYFUNCTION("""COMPUTED_VALUE"""),1826.24)</f>
        <v/>
      </c>
    </row>
    <row r="14778">
      <c r="J14778">
        <f>IFERROR(__xludf.DUMMYFUNCTION("""COMPUTED_VALUE"""),"Quebec Provincial Tour")</f>
        <v/>
      </c>
      <c r="K14778">
        <f>IFERROR(__xludf.DUMMYFUNCTION("""COMPUTED_VALUE"""),1825.96)</f>
        <v/>
      </c>
    </row>
    <row r="14779">
      <c r="J14779">
        <f>IFERROR(__xludf.DUMMYFUNCTION("""COMPUTED_VALUE"""),"Toronto, Ontario and London, Ontario")</f>
        <v/>
      </c>
      <c r="K14779">
        <f>IFERROR(__xludf.DUMMYFUNCTION("""COMPUTED_VALUE"""),1825.91)</f>
        <v/>
      </c>
    </row>
    <row r="14780">
      <c r="J14780">
        <f>IFERROR(__xludf.DUMMYFUNCTION("""COMPUTED_VALUE"""),"St. Vincent and the Grenadines")</f>
        <v/>
      </c>
      <c r="K14780">
        <f>IFERROR(__xludf.DUMMYFUNCTION("""COMPUTED_VALUE"""),1825.78)</f>
        <v/>
      </c>
    </row>
    <row r="14781">
      <c r="J14781">
        <f>IFERROR(__xludf.DUMMYFUNCTION("""COMPUTED_VALUE"""),"Vancouver, BC - Fort Nelson, BC - Edmonton, AB - Calgary, AB")</f>
        <v/>
      </c>
      <c r="K14781">
        <f>IFERROR(__xludf.DUMMYFUNCTION("""COMPUTED_VALUE"""),1825.49)</f>
        <v/>
      </c>
    </row>
    <row r="14782">
      <c r="J14782">
        <f>IFERROR(__xludf.DUMMYFUNCTION("""COMPUTED_VALUE"""),"Calgary, Alberta; Halifax, Nova Scotia")</f>
        <v/>
      </c>
      <c r="K14782">
        <f>IFERROR(__xludf.DUMMYFUNCTION("""COMPUTED_VALUE"""),1825.29)</f>
        <v/>
      </c>
    </row>
    <row r="14783">
      <c r="J14783">
        <f>IFERROR(__xludf.DUMMYFUNCTION("""COMPUTED_VALUE"""),"Kenora, Ontario/Winnipeg, Manitoba, Canada")</f>
        <v/>
      </c>
      <c r="K14783">
        <f>IFERROR(__xludf.DUMMYFUNCTION("""COMPUTED_VALUE"""),1825.28)</f>
        <v/>
      </c>
    </row>
    <row r="14784">
      <c r="J14784">
        <f>IFERROR(__xludf.DUMMYFUNCTION("""COMPUTED_VALUE"""),"Citadelle, Quebec, Canada")</f>
        <v/>
      </c>
      <c r="K14784">
        <f>IFERROR(__xludf.DUMMYFUNCTION("""COMPUTED_VALUE"""),1825.07)</f>
        <v/>
      </c>
    </row>
    <row r="14785">
      <c r="J14785">
        <f>IFERROR(__xludf.DUMMYFUNCTION("""COMPUTED_VALUE"""),"Edmonton, AB - Calgary AB")</f>
        <v/>
      </c>
      <c r="K14785">
        <f>IFERROR(__xludf.DUMMYFUNCTION("""COMPUTED_VALUE"""),1823.94)</f>
        <v/>
      </c>
    </row>
    <row r="14786">
      <c r="J14786">
        <f>IFERROR(__xludf.DUMMYFUNCTION("""COMPUTED_VALUE"""),"Montreal, Quebec and Mississauga, Ontario, Canada")</f>
        <v/>
      </c>
      <c r="K14786">
        <f>IFERROR(__xludf.DUMMYFUNCTION("""COMPUTED_VALUE"""),1823.86)</f>
        <v/>
      </c>
    </row>
    <row r="14787">
      <c r="J14787">
        <f>IFERROR(__xludf.DUMMYFUNCTION("""COMPUTED_VALUE"""),"Sydney, Nova Scotia, Canada
Stellarton, Nova Scotia, Canada
Parrsboro, Nova Scotia, Canada
Moncton, New Brunswick, Canada")</f>
        <v/>
      </c>
      <c r="K14787">
        <f>IFERROR(__xludf.DUMMYFUNCTION("""COMPUTED_VALUE"""),1823.63)</f>
        <v/>
      </c>
    </row>
    <row r="14788">
      <c r="J14788">
        <f>IFERROR(__xludf.DUMMYFUNCTION("""COMPUTED_VALUE"""),"1. Ottawa, Ontario
2. Moncton, New Brunswick")</f>
        <v/>
      </c>
      <c r="K14788">
        <f>IFERROR(__xludf.DUMMYFUNCTION("""COMPUTED_VALUE"""),1823.53)</f>
        <v/>
      </c>
    </row>
    <row r="14789">
      <c r="J14789">
        <f>IFERROR(__xludf.DUMMYFUNCTION("""COMPUTED_VALUE"""),"Shawinigan, Quebec, Canada; Val-d'Or, Quebec, Canada; Baie-Comeau, Quebec, Canada; Sainte-Anne-des-Monts, Quebec, Canada")</f>
        <v/>
      </c>
      <c r="K14789">
        <f>IFERROR(__xludf.DUMMYFUNCTION("""COMPUTED_VALUE"""),1823.41999999999)</f>
        <v/>
      </c>
    </row>
    <row r="14790">
      <c r="J14790">
        <f>IFERROR(__xludf.DUMMYFUNCTION("""COMPUTED_VALUE"""),"Grassy Narrows")</f>
        <v/>
      </c>
      <c r="K14790">
        <f>IFERROR(__xludf.DUMMYFUNCTION("""COMPUTED_VALUE"""),1823.29)</f>
        <v/>
      </c>
    </row>
    <row r="14791">
      <c r="J14791">
        <f>IFERROR(__xludf.DUMMYFUNCTION("""COMPUTED_VALUE"""),"Orlando, Florida, US")</f>
        <v/>
      </c>
      <c r="K14791">
        <f>IFERROR(__xludf.DUMMYFUNCTION("""COMPUTED_VALUE"""),1822.76)</f>
        <v/>
      </c>
    </row>
    <row r="14792">
      <c r="J14792">
        <f>IFERROR(__xludf.DUMMYFUNCTION("""COMPUTED_VALUE"""),"Chalk River, Ontario - Darlington, Ontario &amp; Pickering, Ontario")</f>
        <v/>
      </c>
      <c r="K14792">
        <f>IFERROR(__xludf.DUMMYFUNCTION("""COMPUTED_VALUE"""),1822.46)</f>
        <v/>
      </c>
    </row>
    <row r="14793">
      <c r="J14793">
        <f>IFERROR(__xludf.DUMMYFUNCTION("""COMPUTED_VALUE"""),"London, Ontario, Canada; Winnipeg, Manitoba, Canada; Calgary, Alberta, Canada")</f>
        <v/>
      </c>
      <c r="K14793">
        <f>IFERROR(__xludf.DUMMYFUNCTION("""COMPUTED_VALUE"""),1822.37)</f>
        <v/>
      </c>
    </row>
    <row r="14794">
      <c r="J14794">
        <f>IFERROR(__xludf.DUMMYFUNCTION("""COMPUTED_VALUE"""),"Comox, BC, Canada")</f>
        <v/>
      </c>
      <c r="K14794">
        <f>IFERROR(__xludf.DUMMYFUNCTION("""COMPUTED_VALUE"""),1822.13)</f>
        <v/>
      </c>
    </row>
    <row r="14795">
      <c r="J14795">
        <f>IFERROR(__xludf.DUMMYFUNCTION("""COMPUTED_VALUE"""),"Montréal, Quebec, Canada and Regina, Saskatchewan, Canada")</f>
        <v/>
      </c>
      <c r="K14795">
        <f>IFERROR(__xludf.DUMMYFUNCTION("""COMPUTED_VALUE"""),1822.12)</f>
        <v/>
      </c>
    </row>
    <row r="14796">
      <c r="J14796">
        <f>IFERROR(__xludf.DUMMYFUNCTION("""COMPUTED_VALUE"""),"Montreal, Quebec, Canada  Sherbrooke, Quebec, Canada Halifax, Nova Scotia, Canada")</f>
        <v/>
      </c>
      <c r="K14796">
        <f>IFERROR(__xludf.DUMMYFUNCTION("""COMPUTED_VALUE"""),1821.92)</f>
        <v/>
      </c>
    </row>
    <row r="14797">
      <c r="J14797">
        <f>IFERROR(__xludf.DUMMYFUNCTION("""COMPUTED_VALUE"""),"Ottawa-Washington")</f>
        <v/>
      </c>
      <c r="K14797">
        <f>IFERROR(__xludf.DUMMYFUNCTION("""COMPUTED_VALUE"""),1821.27)</f>
        <v/>
      </c>
    </row>
    <row r="14798">
      <c r="J14798">
        <f>IFERROR(__xludf.DUMMYFUNCTION("""COMPUTED_VALUE"""),"Halifax (Nova scotia) Canada")</f>
        <v/>
      </c>
      <c r="K14798">
        <f>IFERROR(__xludf.DUMMYFUNCTION("""COMPUTED_VALUE"""),1821.22)</f>
        <v/>
      </c>
    </row>
    <row r="14799">
      <c r="J14799">
        <f>IFERROR(__xludf.DUMMYFUNCTION("""COMPUTED_VALUE"""),"Winnipeg, MB; Regina, SK")</f>
        <v/>
      </c>
      <c r="K14799">
        <f>IFERROR(__xludf.DUMMYFUNCTION("""COMPUTED_VALUE"""),1820.57)</f>
        <v/>
      </c>
    </row>
    <row r="14800">
      <c r="J14800">
        <f>IFERROR(__xludf.DUMMYFUNCTION("""COMPUTED_VALUE"""),"Ottawa, ON/Winnipeg, MB/Montreal, QC")</f>
        <v/>
      </c>
      <c r="K14800">
        <f>IFERROR(__xludf.DUMMYFUNCTION("""COMPUTED_VALUE"""),1820.25)</f>
        <v/>
      </c>
    </row>
    <row r="14801">
      <c r="J14801">
        <f>IFERROR(__xludf.DUMMYFUNCTION("""COMPUTED_VALUE"""),"Regina, Saskatchewan, Canada &amp; Saskatoon, Saskatchewan, Canada")</f>
        <v/>
      </c>
      <c r="K14801">
        <f>IFERROR(__xludf.DUMMYFUNCTION("""COMPUTED_VALUE"""),1819.92)</f>
        <v/>
      </c>
    </row>
    <row r="14802">
      <c r="J14802">
        <f>IFERROR(__xludf.DUMMYFUNCTION("""COMPUTED_VALUE"""),"Halifax, Nova Scotia / Sydney, Nova Scotia, Canada")</f>
        <v/>
      </c>
      <c r="K14802">
        <f>IFERROR(__xludf.DUMMYFUNCTION("""COMPUTED_VALUE"""),1819.1)</f>
        <v/>
      </c>
    </row>
    <row r="14803">
      <c r="J14803">
        <f>IFERROR(__xludf.DUMMYFUNCTION("""COMPUTED_VALUE"""),"Dorval, QC Val D'or, QC Rouyn Noranda, QC")</f>
        <v/>
      </c>
      <c r="K14803">
        <f>IFERROR(__xludf.DUMMYFUNCTION("""COMPUTED_VALUE"""),1819.01)</f>
        <v/>
      </c>
    </row>
    <row r="14804">
      <c r="J14804">
        <f>IFERROR(__xludf.DUMMYFUNCTION("""COMPUTED_VALUE"""),"Prince George, British Columbia, Canada and Terrace, British Columbia, Canada")</f>
        <v/>
      </c>
      <c r="K14804">
        <f>IFERROR(__xludf.DUMMYFUNCTION("""COMPUTED_VALUE"""),1818.86)</f>
        <v/>
      </c>
    </row>
    <row r="14805">
      <c r="J14805">
        <f>IFERROR(__xludf.DUMMYFUNCTION("""COMPUTED_VALUE"""),"Guelph, ON / Cambridge, ON")</f>
        <v/>
      </c>
      <c r="K14805">
        <f>IFERROR(__xludf.DUMMYFUNCTION("""COMPUTED_VALUE"""),1818.52)</f>
        <v/>
      </c>
    </row>
    <row r="14806">
      <c r="J14806">
        <f>IFERROR(__xludf.DUMMYFUNCTION("""COMPUTED_VALUE"""),"Kentville (Nova Scotia) Canada
Charlottetown (Prince Edward Island) Canada")</f>
        <v/>
      </c>
      <c r="K14806">
        <f>IFERROR(__xludf.DUMMYFUNCTION("""COMPUTED_VALUE"""),1818.4)</f>
        <v/>
      </c>
    </row>
    <row r="14807">
      <c r="J14807">
        <f>IFERROR(__xludf.DUMMYFUNCTION("""COMPUTED_VALUE"""),"Gander, Newfoundland, Canada, Steady Brook, Newfoundland, Canada / Norris Point, Newfoundland, Canada")</f>
        <v/>
      </c>
      <c r="K14807">
        <f>IFERROR(__xludf.DUMMYFUNCTION("""COMPUTED_VALUE"""),1817.86)</f>
        <v/>
      </c>
    </row>
    <row r="14808">
      <c r="J14808">
        <f>IFERROR(__xludf.DUMMYFUNCTION("""COMPUTED_VALUE"""),"Boston, Mass")</f>
        <v/>
      </c>
      <c r="K14808">
        <f>IFERROR(__xludf.DUMMYFUNCTION("""COMPUTED_VALUE"""),1817.58)</f>
        <v/>
      </c>
    </row>
    <row r="14809">
      <c r="J14809">
        <f>IFERROR(__xludf.DUMMYFUNCTION("""COMPUTED_VALUE"""),"Springfield, United States")</f>
        <v/>
      </c>
      <c r="K14809">
        <f>IFERROR(__xludf.DUMMYFUNCTION("""COMPUTED_VALUE"""),1817.35)</f>
        <v/>
      </c>
    </row>
    <row r="14810">
      <c r="J14810">
        <f>IFERROR(__xludf.DUMMYFUNCTION("""COMPUTED_VALUE"""),"Toronto ON, Calgary AB")</f>
        <v/>
      </c>
      <c r="K14810">
        <f>IFERROR(__xludf.DUMMYFUNCTION("""COMPUTED_VALUE"""),1817.21)</f>
        <v/>
      </c>
    </row>
    <row r="14811">
      <c r="J14811">
        <f>IFERROR(__xludf.DUMMYFUNCTION("""COMPUTED_VALUE"""),"Bermuda, United Kingdom and Moncton &amp; Southampton &amp; Fredericton, New Brunswick")</f>
        <v/>
      </c>
      <c r="K14811">
        <f>IFERROR(__xludf.DUMMYFUNCTION("""COMPUTED_VALUE"""),1817.09)</f>
        <v/>
      </c>
    </row>
    <row r="14812">
      <c r="J14812">
        <f>IFERROR(__xludf.DUMMYFUNCTION("""COMPUTED_VALUE"""),"Charlottetown, PE / Fredericton, NB")</f>
        <v/>
      </c>
      <c r="K14812">
        <f>IFERROR(__xludf.DUMMYFUNCTION("""COMPUTED_VALUE"""),1816.56)</f>
        <v/>
      </c>
    </row>
    <row r="14813">
      <c r="J14813">
        <f>IFERROR(__xludf.DUMMYFUNCTION("""COMPUTED_VALUE"""),"Toronto-Victoria-Vancouver")</f>
        <v/>
      </c>
      <c r="K14813">
        <f>IFERROR(__xludf.DUMMYFUNCTION("""COMPUTED_VALUE"""),1816.34)</f>
        <v/>
      </c>
    </row>
    <row r="14814">
      <c r="J14814">
        <f>IFERROR(__xludf.DUMMYFUNCTION("""COMPUTED_VALUE"""),"Moncton, New Brunswick. Canada")</f>
        <v/>
      </c>
      <c r="K14814">
        <f>IFERROR(__xludf.DUMMYFUNCTION("""COMPUTED_VALUE"""),1816.19)</f>
        <v/>
      </c>
    </row>
    <row r="14815">
      <c r="J14815">
        <f>IFERROR(__xludf.DUMMYFUNCTION("""COMPUTED_VALUE"""),"Comox, (British Columbia) Canada")</f>
        <v/>
      </c>
      <c r="K14815">
        <f>IFERROR(__xludf.DUMMYFUNCTION("""COMPUTED_VALUE"""),1815.9)</f>
        <v/>
      </c>
    </row>
    <row r="14816">
      <c r="J14816">
        <f>IFERROR(__xludf.DUMMYFUNCTION("""COMPUTED_VALUE"""),"Moncton, NB; Sydney, NS; Bathhurst, NB; Halifax, NS")</f>
        <v/>
      </c>
      <c r="K14816">
        <f>IFERROR(__xludf.DUMMYFUNCTION("""COMPUTED_VALUE"""),1815.56)</f>
        <v/>
      </c>
    </row>
    <row r="14817">
      <c r="J14817">
        <f>IFERROR(__xludf.DUMMYFUNCTION("""COMPUTED_VALUE"""),"Regina, Sask.")</f>
        <v/>
      </c>
      <c r="K14817">
        <f>IFERROR(__xludf.DUMMYFUNCTION("""COMPUTED_VALUE"""),1814.85)</f>
        <v/>
      </c>
    </row>
    <row r="14818">
      <c r="J14818">
        <f>IFERROR(__xludf.DUMMYFUNCTION("""COMPUTED_VALUE"""),"Vancouver (British Comumbia) Canada")</f>
        <v/>
      </c>
      <c r="K14818">
        <f>IFERROR(__xludf.DUMMYFUNCTION("""COMPUTED_VALUE"""),1814.15)</f>
        <v/>
      </c>
    </row>
    <row r="14819">
      <c r="J14819">
        <f>IFERROR(__xludf.DUMMYFUNCTION("""COMPUTED_VALUE"""),"Ankara, Bucharest, Vilnius, Riga, Keflavik")</f>
        <v/>
      </c>
      <c r="K14819">
        <f>IFERROR(__xludf.DUMMYFUNCTION("""COMPUTED_VALUE"""),1814)</f>
        <v/>
      </c>
    </row>
    <row r="14820">
      <c r="J14820">
        <f>IFERROR(__xludf.DUMMYFUNCTION("""COMPUTED_VALUE"""),"Rigaud, QC, Canada")</f>
        <v/>
      </c>
      <c r="K14820">
        <f>IFERROR(__xludf.DUMMYFUNCTION("""COMPUTED_VALUE"""),1813.91)</f>
        <v/>
      </c>
    </row>
    <row r="14821">
      <c r="J14821">
        <f>IFERROR(__xludf.DUMMYFUNCTION("""COMPUTED_VALUE"""),"St. John’s, NFLD")</f>
        <v/>
      </c>
      <c r="K14821">
        <f>IFERROR(__xludf.DUMMYFUNCTION("""COMPUTED_VALUE"""),1813.66)</f>
        <v/>
      </c>
    </row>
    <row r="14822">
      <c r="J14822">
        <f>IFERROR(__xludf.DUMMYFUNCTION("""COMPUTED_VALUE"""),"Washington; Montréal")</f>
        <v/>
      </c>
      <c r="K14822">
        <f>IFERROR(__xludf.DUMMYFUNCTION("""COMPUTED_VALUE"""),1812.58)</f>
        <v/>
      </c>
    </row>
    <row r="14823">
      <c r="J14823">
        <f>IFERROR(__xludf.DUMMYFUNCTION("""COMPUTED_VALUE"""),"Calgary, Ponoka and Red Deer, Alberta")</f>
        <v/>
      </c>
      <c r="K14823">
        <f>IFERROR(__xludf.DUMMYFUNCTION("""COMPUTED_VALUE"""),1812.54)</f>
        <v/>
      </c>
    </row>
    <row r="14824">
      <c r="J14824">
        <f>IFERROR(__xludf.DUMMYFUNCTION("""COMPUTED_VALUE"""),"Montreal, QC and Portage La Prarie, MB")</f>
        <v/>
      </c>
      <c r="K14824">
        <f>IFERROR(__xludf.DUMMYFUNCTION("""COMPUTED_VALUE"""),1812.47)</f>
        <v/>
      </c>
    </row>
    <row r="14825">
      <c r="J14825">
        <f>IFERROR(__xludf.DUMMYFUNCTION("""COMPUTED_VALUE"""),"Mauricie &amp; Montreal, Quebec")</f>
        <v/>
      </c>
      <c r="K14825">
        <f>IFERROR(__xludf.DUMMYFUNCTION("""COMPUTED_VALUE"""),1812.33)</f>
        <v/>
      </c>
    </row>
    <row r="14826">
      <c r="J14826">
        <f>IFERROR(__xludf.DUMMYFUNCTION("""COMPUTED_VALUE"""),"Halifax, Nova Scotia, Canada; Moncton New Brunswick, Canada")</f>
        <v/>
      </c>
      <c r="K14826">
        <f>IFERROR(__xludf.DUMMYFUNCTION("""COMPUTED_VALUE"""),1811.67)</f>
        <v/>
      </c>
    </row>
    <row r="14827">
      <c r="J14827">
        <f>IFERROR(__xludf.DUMMYFUNCTION("""COMPUTED_VALUE"""),"Hailfax NS")</f>
        <v/>
      </c>
      <c r="K14827">
        <f>IFERROR(__xludf.DUMMYFUNCTION("""COMPUTED_VALUE"""),1811.63)</f>
        <v/>
      </c>
    </row>
    <row r="14828">
      <c r="J14828">
        <f>IFERROR(__xludf.DUMMYFUNCTION("""COMPUTED_VALUE"""),"Vancouver BC - Nanaimo, BC")</f>
        <v/>
      </c>
      <c r="K14828">
        <f>IFERROR(__xludf.DUMMYFUNCTION("""COMPUTED_VALUE"""),1811.5)</f>
        <v/>
      </c>
    </row>
    <row r="14829">
      <c r="J14829">
        <f>IFERROR(__xludf.DUMMYFUNCTION("""COMPUTED_VALUE"""),"TASHKENT, UZBEKISTAN")</f>
        <v/>
      </c>
      <c r="K14829">
        <f>IFERROR(__xludf.DUMMYFUNCTION("""COMPUTED_VALUE"""),1811.47)</f>
        <v/>
      </c>
    </row>
    <row r="14830">
      <c r="J14830">
        <f>IFERROR(__xludf.DUMMYFUNCTION("""COMPUTED_VALUE"""),"Chicago, IL / Columbus, OH")</f>
        <v/>
      </c>
      <c r="K14830">
        <f>IFERROR(__xludf.DUMMYFUNCTION("""COMPUTED_VALUE"""),1811.19)</f>
        <v/>
      </c>
    </row>
    <row r="14831">
      <c r="J14831">
        <f>IFERROR(__xludf.DUMMYFUNCTION("""COMPUTED_VALUE"""),"Ottawa, Ontario, Canada; Calgary, Alberta, Canada; Edmonton, Alberta, Canada")</f>
        <v/>
      </c>
      <c r="K14831">
        <f>IFERROR(__xludf.DUMMYFUNCTION("""COMPUTED_VALUE"""),1810.89)</f>
        <v/>
      </c>
    </row>
    <row r="14832">
      <c r="J14832">
        <f>IFERROR(__xludf.DUMMYFUNCTION("""COMPUTED_VALUE"""),"Halifax, Nova Scotia, Canada; Québec, Quebec, Canada")</f>
        <v/>
      </c>
      <c r="K14832">
        <f>IFERROR(__xludf.DUMMYFUNCTION("""COMPUTED_VALUE"""),1810.87)</f>
        <v/>
      </c>
    </row>
    <row r="14833">
      <c r="J14833">
        <f>IFERROR(__xludf.DUMMYFUNCTION("""COMPUTED_VALUE"""),"Edmonton, AB &amp; Saskatoon, SK")</f>
        <v/>
      </c>
      <c r="K14833">
        <f>IFERROR(__xludf.DUMMYFUNCTION("""COMPUTED_VALUE"""),1810)</f>
        <v/>
      </c>
    </row>
    <row r="14834">
      <c r="J14834">
        <f>IFERROR(__xludf.DUMMYFUNCTION("""COMPUTED_VALUE"""),"NEW-YORK, U.S.A.")</f>
        <v/>
      </c>
      <c r="K14834">
        <f>IFERROR(__xludf.DUMMYFUNCTION("""COMPUTED_VALUE"""),1809.63)</f>
        <v/>
      </c>
    </row>
    <row r="14835">
      <c r="J14835">
        <f>IFERROR(__xludf.DUMMYFUNCTION("""COMPUTED_VALUE"""),"Iqaluit, Nunavet")</f>
        <v/>
      </c>
      <c r="K14835">
        <f>IFERROR(__xludf.DUMMYFUNCTION("""COMPUTED_VALUE"""),1809.49)</f>
        <v/>
      </c>
    </row>
    <row r="14836">
      <c r="J14836">
        <f>IFERROR(__xludf.DUMMYFUNCTION("""COMPUTED_VALUE"""),"Roberval, Montreal, Quebec City and Chicoutimi, Quebec")</f>
        <v/>
      </c>
      <c r="K14836">
        <f>IFERROR(__xludf.DUMMYFUNCTION("""COMPUTED_VALUE"""),1808.73)</f>
        <v/>
      </c>
    </row>
    <row r="14837">
      <c r="J14837">
        <f>IFERROR(__xludf.DUMMYFUNCTION("""COMPUTED_VALUE"""),"Saskatoon, SK and Regina, SK")</f>
        <v/>
      </c>
      <c r="K14837">
        <f>IFERROR(__xludf.DUMMYFUNCTION("""COMPUTED_VALUE"""),1808.62)</f>
        <v/>
      </c>
    </row>
    <row r="14838">
      <c r="J14838">
        <f>IFERROR(__xludf.DUMMYFUNCTION("""COMPUTED_VALUE"""),"Ottawa, Ontario, Canada and Halifax, Nova Scotia, Canada")</f>
        <v/>
      </c>
      <c r="K14838">
        <f>IFERROR(__xludf.DUMMYFUNCTION("""COMPUTED_VALUE"""),1808.59)</f>
        <v/>
      </c>
    </row>
    <row r="14839">
      <c r="J14839">
        <f>IFERROR(__xludf.DUMMYFUNCTION("""COMPUTED_VALUE"""),"Sherbrooke, Quebec, Canada; Calgary, Alberta, Canada")</f>
        <v/>
      </c>
      <c r="K14839">
        <f>IFERROR(__xludf.DUMMYFUNCTION("""COMPUTED_VALUE"""),1808.28)</f>
        <v/>
      </c>
    </row>
    <row r="14840">
      <c r="J14840">
        <f>IFERROR(__xludf.DUMMYFUNCTION("""COMPUTED_VALUE"""),"Cowessess, Saskatchewan, Canada")</f>
        <v/>
      </c>
      <c r="K14840">
        <f>IFERROR(__xludf.DUMMYFUNCTION("""COMPUTED_VALUE"""),1808.08)</f>
        <v/>
      </c>
    </row>
    <row r="14841">
      <c r="J14841">
        <f>IFERROR(__xludf.DUMMYFUNCTION("""COMPUTED_VALUE"""),"Mont Joli, Quebec, Canada and Burlington, Ontario, Canada")</f>
        <v/>
      </c>
      <c r="K14841">
        <f>IFERROR(__xludf.DUMMYFUNCTION("""COMPUTED_VALUE"""),1807.95)</f>
        <v/>
      </c>
    </row>
    <row r="14842">
      <c r="J14842">
        <f>IFERROR(__xludf.DUMMYFUNCTION("""COMPUTED_VALUE"""),"Ottawa, Montréal, Bagotville, Roberval, Rimouski, Gatineau, Amos, Drummondville, Québec")</f>
        <v/>
      </c>
      <c r="K14842">
        <f>IFERROR(__xludf.DUMMYFUNCTION("""COMPUTED_VALUE"""),1807.79)</f>
        <v/>
      </c>
    </row>
    <row r="14843">
      <c r="J14843">
        <f>IFERROR(__xludf.DUMMYFUNCTION("""COMPUTED_VALUE"""),"Pointe-Claire, QC")</f>
        <v/>
      </c>
      <c r="K14843">
        <f>IFERROR(__xludf.DUMMYFUNCTION("""COMPUTED_VALUE"""),1807.59)</f>
        <v/>
      </c>
    </row>
    <row r="14844">
      <c r="J14844">
        <f>IFERROR(__xludf.DUMMYFUNCTION("""COMPUTED_VALUE"""),"Charlottetown, Prince Edward Island / Winnipeg, Manitoba, Canada")</f>
        <v/>
      </c>
      <c r="K14844">
        <f>IFERROR(__xludf.DUMMYFUNCTION("""COMPUTED_VALUE"""),1807.54)</f>
        <v/>
      </c>
    </row>
    <row r="14845">
      <c r="J14845">
        <f>IFERROR(__xludf.DUMMYFUNCTION("""COMPUTED_VALUE"""),"Winnipeg, MB, Saskatoon, SK,  and Calgary, AB")</f>
        <v/>
      </c>
      <c r="K14845">
        <f>IFERROR(__xludf.DUMMYFUNCTION("""COMPUTED_VALUE"""),1807.07)</f>
        <v/>
      </c>
    </row>
    <row r="14846">
      <c r="J14846">
        <f>IFERROR(__xludf.DUMMYFUNCTION("""COMPUTED_VALUE"""),"Berlin, Federal Republic of Germany")</f>
        <v/>
      </c>
      <c r="K14846">
        <f>IFERROR(__xludf.DUMMYFUNCTION("""COMPUTED_VALUE"""),1806.67)</f>
        <v/>
      </c>
    </row>
    <row r="14847">
      <c r="J14847">
        <f>IFERROR(__xludf.DUMMYFUNCTION("""COMPUTED_VALUE"""),"Vancouver, British Columbia, Canada; Winnipeg, Manitoba, Canada; Regina, Saskatchewan, Canada")</f>
        <v/>
      </c>
      <c r="K14847">
        <f>IFERROR(__xludf.DUMMYFUNCTION("""COMPUTED_VALUE"""),1805.77)</f>
        <v/>
      </c>
    </row>
    <row r="14848">
      <c r="J14848">
        <f>IFERROR(__xludf.DUMMYFUNCTION("""COMPUTED_VALUE"""),"Ottawa, Ontario; Belleville, Ontario")</f>
        <v/>
      </c>
      <c r="K14848">
        <f>IFERROR(__xludf.DUMMYFUNCTION("""COMPUTED_VALUE"""),1805.76)</f>
        <v/>
      </c>
    </row>
    <row r="14849">
      <c r="J14849">
        <f>IFERROR(__xludf.DUMMYFUNCTION("""COMPUTED_VALUE"""),"Winnipeg, MB Regina, SK")</f>
        <v/>
      </c>
      <c r="K14849">
        <f>IFERROR(__xludf.DUMMYFUNCTION("""COMPUTED_VALUE"""),1805.46)</f>
        <v/>
      </c>
    </row>
    <row r="14850">
      <c r="J14850">
        <f>IFERROR(__xludf.DUMMYFUNCTION("""COMPUTED_VALUE"""),"Port-au-Prince; Quebec")</f>
        <v/>
      </c>
      <c r="K14850">
        <f>IFERROR(__xludf.DUMMYFUNCTION("""COMPUTED_VALUE"""),1805.32)</f>
        <v/>
      </c>
    </row>
    <row r="14851">
      <c r="J14851">
        <f>IFERROR(__xludf.DUMMYFUNCTION("""COMPUTED_VALUE"""),"Calgary, Louise Lake, AB")</f>
        <v/>
      </c>
      <c r="K14851">
        <f>IFERROR(__xludf.DUMMYFUNCTION("""COMPUTED_VALUE"""),1805.18)</f>
        <v/>
      </c>
    </row>
    <row r="14852">
      <c r="J14852">
        <f>IFERROR(__xludf.DUMMYFUNCTION("""COMPUTED_VALUE"""),"Fredericton and St. Andrews, New Brunswick, Canada")</f>
        <v/>
      </c>
      <c r="K14852">
        <f>IFERROR(__xludf.DUMMYFUNCTION("""COMPUTED_VALUE"""),1804.94)</f>
        <v/>
      </c>
    </row>
    <row r="14853">
      <c r="J14853">
        <f>IFERROR(__xludf.DUMMYFUNCTION("""COMPUTED_VALUE"""),"St-Johns, NL")</f>
        <v/>
      </c>
      <c r="K14853">
        <f>IFERROR(__xludf.DUMMYFUNCTION("""COMPUTED_VALUE"""),1804.87)</f>
        <v/>
      </c>
    </row>
    <row r="14854">
      <c r="J14854">
        <f>IFERROR(__xludf.DUMMYFUNCTION("""COMPUTED_VALUE"""),"Halifax / Valcartier")</f>
        <v/>
      </c>
      <c r="K14854">
        <f>IFERROR(__xludf.DUMMYFUNCTION("""COMPUTED_VALUE"""),1803.9)</f>
        <v/>
      </c>
    </row>
    <row r="14855">
      <c r="J14855">
        <f>IFERROR(__xludf.DUMMYFUNCTION("""COMPUTED_VALUE"""),"Toronto/Winnipeg/Regina")</f>
        <v/>
      </c>
      <c r="K14855">
        <f>IFERROR(__xludf.DUMMYFUNCTION("""COMPUTED_VALUE"""),1803.68)</f>
        <v/>
      </c>
    </row>
    <row r="14856">
      <c r="J14856">
        <f>IFERROR(__xludf.DUMMYFUNCTION("""COMPUTED_VALUE"""),"Shediac, New Brunswick and Toronto, Ontario")</f>
        <v/>
      </c>
      <c r="K14856">
        <f>IFERROR(__xludf.DUMMYFUNCTION("""COMPUTED_VALUE"""),1803.6)</f>
        <v/>
      </c>
    </row>
    <row r="14857">
      <c r="J14857">
        <f>IFERROR(__xludf.DUMMYFUNCTION("""COMPUTED_VALUE"""),"Lac-Supérieur, Quebec, Canada")</f>
        <v/>
      </c>
      <c r="K14857">
        <f>IFERROR(__xludf.DUMMYFUNCTION("""COMPUTED_VALUE"""),1803.2)</f>
        <v/>
      </c>
    </row>
    <row r="14858">
      <c r="J14858">
        <f>IFERROR(__xludf.DUMMYFUNCTION("""COMPUTED_VALUE"""),"Boucherville, Montreal and Saguenay, QC")</f>
        <v/>
      </c>
      <c r="K14858">
        <f>IFERROR(__xludf.DUMMYFUNCTION("""COMPUTED_VALUE"""),1802.89)</f>
        <v/>
      </c>
    </row>
    <row r="14859">
      <c r="J14859">
        <f>IFERROR(__xludf.DUMMYFUNCTION("""COMPUTED_VALUE"""),"Calgary, AB; Cochrane, AB")</f>
        <v/>
      </c>
      <c r="K14859">
        <f>IFERROR(__xludf.DUMMYFUNCTION("""COMPUTED_VALUE"""),1801.72)</f>
        <v/>
      </c>
    </row>
    <row r="14860">
      <c r="J14860">
        <f>IFERROR(__xludf.DUMMYFUNCTION("""COMPUTED_VALUE"""),"Ottawa, Ontario, Canada; Stanley Bridge, Prince Edward Island, Canada; Montague, Prince Edward Island, Canada")</f>
        <v/>
      </c>
      <c r="K14860">
        <f>IFERROR(__xludf.DUMMYFUNCTION("""COMPUTED_VALUE"""),1801.67)</f>
        <v/>
      </c>
    </row>
    <row r="14861">
      <c r="J14861">
        <f>IFERROR(__xludf.DUMMYFUNCTION("""COMPUTED_VALUE"""),"Moncton, New Brunswick, Canada/ Halifax, Nova Scotia, Canada")</f>
        <v/>
      </c>
      <c r="K14861">
        <f>IFERROR(__xludf.DUMMYFUNCTION("""COMPUTED_VALUE"""),1801.23)</f>
        <v/>
      </c>
    </row>
    <row r="14862">
      <c r="J14862">
        <f>IFERROR(__xludf.DUMMYFUNCTION("""COMPUTED_VALUE"""),"Brossard, QC; Chateauguay, QC; Boucherville, QC; Saint-Hyacinthe, QC; Granby, QC; Saint-Eustache, QC")</f>
        <v/>
      </c>
      <c r="K14862">
        <f>IFERROR(__xludf.DUMMYFUNCTION("""COMPUTED_VALUE"""),1801.17)</f>
        <v/>
      </c>
    </row>
    <row r="14863">
      <c r="J14863">
        <f>IFERROR(__xludf.DUMMYFUNCTION("""COMPUTED_VALUE"""),"Vancouver/Terrace/Gitlaxt’aamiks, Bristish-Columbia, Canada")</f>
        <v/>
      </c>
      <c r="K14863">
        <f>IFERROR(__xludf.DUMMYFUNCTION("""COMPUTED_VALUE"""),1801.04)</f>
        <v/>
      </c>
    </row>
    <row r="14864">
      <c r="J14864">
        <f>IFERROR(__xludf.DUMMYFUNCTION("""COMPUTED_VALUE"""),"Mont-Tremblant, Quebec and Ottawa, Ontario")</f>
        <v/>
      </c>
      <c r="K14864">
        <f>IFERROR(__xludf.DUMMYFUNCTION("""COMPUTED_VALUE"""),1801)</f>
        <v/>
      </c>
    </row>
    <row r="14865">
      <c r="J14865">
        <f>IFERROR(__xludf.DUMMYFUNCTION("""COMPUTED_VALUE"""),"Quebec city, Canada")</f>
        <v/>
      </c>
      <c r="K14865">
        <f>IFERROR(__xludf.DUMMYFUNCTION("""COMPUTED_VALUE"""),1800.6)</f>
        <v/>
      </c>
    </row>
    <row r="14866">
      <c r="J14866">
        <f>IFERROR(__xludf.DUMMYFUNCTION("""COMPUTED_VALUE"""),"Nanaimo/Kelowna")</f>
        <v/>
      </c>
      <c r="K14866">
        <f>IFERROR(__xludf.DUMMYFUNCTION("""COMPUTED_VALUE"""),1799.83)</f>
        <v/>
      </c>
    </row>
    <row r="14867">
      <c r="J14867">
        <f>IFERROR(__xludf.DUMMYFUNCTION("""COMPUTED_VALUE"""),"Ottawa - London - Calgary - Toronto - Ottawa")</f>
        <v/>
      </c>
      <c r="K14867">
        <f>IFERROR(__xludf.DUMMYFUNCTION("""COMPUTED_VALUE"""),1799.77)</f>
        <v/>
      </c>
    </row>
    <row r="14868">
      <c r="J14868">
        <f>IFERROR(__xludf.DUMMYFUNCTION("""COMPUTED_VALUE"""),"Niagara Falls, Ontario, Canada; Hamilton, Ontario, Canada; Kitchener, Ontario, Canada")</f>
        <v/>
      </c>
      <c r="K14868">
        <f>IFERROR(__xludf.DUMMYFUNCTION("""COMPUTED_VALUE"""),1799.43)</f>
        <v/>
      </c>
    </row>
    <row r="14869">
      <c r="J14869">
        <f>IFERROR(__xludf.DUMMYFUNCTION("""COMPUTED_VALUE"""),"Gander, Newfoundland, Canada / Steady Brook, Newfoundland, Canada")</f>
        <v/>
      </c>
      <c r="K14869">
        <f>IFERROR(__xludf.DUMMYFUNCTION("""COMPUTED_VALUE"""),1798.95)</f>
        <v/>
      </c>
    </row>
    <row r="14870">
      <c r="J14870">
        <f>IFERROR(__xludf.DUMMYFUNCTION("""COMPUTED_VALUE"""),"Pasadena, California and Ottawa ON")</f>
        <v/>
      </c>
      <c r="K14870">
        <f>IFERROR(__xludf.DUMMYFUNCTION("""COMPUTED_VALUE"""),1798.84)</f>
        <v/>
      </c>
    </row>
    <row r="14871">
      <c r="J14871">
        <f>IFERROR(__xludf.DUMMYFUNCTION("""COMPUTED_VALUE"""),"Uttrakhand(Dehradun) ,Himachal Pradesh (Shimla, Kangra/Dharmshala), Chandigarh")</f>
        <v/>
      </c>
      <c r="K14871">
        <f>IFERROR(__xludf.DUMMYFUNCTION("""COMPUTED_VALUE"""),1798.77)</f>
        <v/>
      </c>
    </row>
    <row r="14872">
      <c r="J14872">
        <f>IFERROR(__xludf.DUMMYFUNCTION("""COMPUTED_VALUE"""),"Rhode Island")</f>
        <v/>
      </c>
      <c r="K14872">
        <f>IFERROR(__xludf.DUMMYFUNCTION("""COMPUTED_VALUE"""),1798.65)</f>
        <v/>
      </c>
    </row>
    <row r="14873">
      <c r="J14873">
        <f>IFERROR(__xludf.DUMMYFUNCTION("""COMPUTED_VALUE"""),"Montreal, Quebec, Canada; Fredericton, New Brunswick, Canada")</f>
        <v/>
      </c>
      <c r="K14873">
        <f>IFERROR(__xludf.DUMMYFUNCTION("""COMPUTED_VALUE"""),1798.28)</f>
        <v/>
      </c>
    </row>
    <row r="14874">
      <c r="J14874">
        <f>IFERROR(__xludf.DUMMYFUNCTION("""COMPUTED_VALUE"""),"Regina, SK - Toronto, ON")</f>
        <v/>
      </c>
      <c r="K14874">
        <f>IFERROR(__xludf.DUMMYFUNCTION("""COMPUTED_VALUE"""),1797.92)</f>
        <v/>
      </c>
    </row>
    <row r="14875">
      <c r="J14875">
        <f>IFERROR(__xludf.DUMMYFUNCTION("""COMPUTED_VALUE"""),"Washington - Dictrict of Columbia")</f>
        <v/>
      </c>
      <c r="K14875">
        <f>IFERROR(__xludf.DUMMYFUNCTION("""COMPUTED_VALUE"""),1797.35)</f>
        <v/>
      </c>
    </row>
    <row r="14876">
      <c r="J14876">
        <f>IFERROR(__xludf.DUMMYFUNCTION("""COMPUTED_VALUE"""),"Charlottetown, PE &amp; Moncton, NB")</f>
        <v/>
      </c>
      <c r="K14876">
        <f>IFERROR(__xludf.DUMMYFUNCTION("""COMPUTED_VALUE"""),1797.3)</f>
        <v/>
      </c>
    </row>
    <row r="14877">
      <c r="J14877">
        <f>IFERROR(__xludf.DUMMYFUNCTION("""COMPUTED_VALUE"""),"TAMPA, Florida")</f>
        <v/>
      </c>
      <c r="K14877">
        <f>IFERROR(__xludf.DUMMYFUNCTION("""COMPUTED_VALUE"""),1797.09)</f>
        <v/>
      </c>
    </row>
    <row r="14878">
      <c r="J14878">
        <f>IFERROR(__xludf.DUMMYFUNCTION("""COMPUTED_VALUE"""),"Chilliwack, BC")</f>
        <v/>
      </c>
      <c r="K14878">
        <f>IFERROR(__xludf.DUMMYFUNCTION("""COMPUTED_VALUE"""),1796.67)</f>
        <v/>
      </c>
    </row>
    <row r="14879">
      <c r="J14879">
        <f>IFERROR(__xludf.DUMMYFUNCTION("""COMPUTED_VALUE"""),"Revelstoke, British Columbia, Canada")</f>
        <v/>
      </c>
      <c r="K14879">
        <f>IFERROR(__xludf.DUMMYFUNCTION("""COMPUTED_VALUE"""),1796.28)</f>
        <v/>
      </c>
    </row>
    <row r="14880">
      <c r="J14880">
        <f>IFERROR(__xludf.DUMMYFUNCTION("""COMPUTED_VALUE"""),"Toronto, (Ontario), Quebec, (Quebec)")</f>
        <v/>
      </c>
      <c r="K14880">
        <f>IFERROR(__xludf.DUMMYFUNCTION("""COMPUTED_VALUE"""),1796.24)</f>
        <v/>
      </c>
    </row>
    <row r="14881">
      <c r="J14881">
        <f>IFERROR(__xludf.DUMMYFUNCTION("""COMPUTED_VALUE"""),"St. John's - Charlottetown - Ottawa")</f>
        <v/>
      </c>
      <c r="K14881">
        <f>IFERROR(__xludf.DUMMYFUNCTION("""COMPUTED_VALUE"""),1796.16)</f>
        <v/>
      </c>
    </row>
    <row r="14882">
      <c r="J14882">
        <f>IFERROR(__xludf.DUMMYFUNCTION("""COMPUTED_VALUE"""),"Ottawa and La Verendrye Park, Ontario")</f>
        <v/>
      </c>
      <c r="K14882">
        <f>IFERROR(__xludf.DUMMYFUNCTION("""COMPUTED_VALUE"""),1795.92)</f>
        <v/>
      </c>
    </row>
    <row r="14883">
      <c r="J14883">
        <f>IFERROR(__xludf.DUMMYFUNCTION("""COMPUTED_VALUE"""),"London, Ontario, Canada; Vancouver, British Columbia, Canada; Ingersoll, Ontario, Canada")</f>
        <v/>
      </c>
      <c r="K14883">
        <f>IFERROR(__xludf.DUMMYFUNCTION("""COMPUTED_VALUE"""),1795.66)</f>
        <v/>
      </c>
    </row>
    <row r="14884">
      <c r="J14884">
        <f>IFERROR(__xludf.DUMMYFUNCTION("""COMPUTED_VALUE"""),"Longueil, Quebec, Quebec, Canada")</f>
        <v/>
      </c>
      <c r="K14884">
        <f>IFERROR(__xludf.DUMMYFUNCTION("""COMPUTED_VALUE"""),1795.51)</f>
        <v/>
      </c>
    </row>
    <row r="14885">
      <c r="J14885">
        <f>IFERROR(__xludf.DUMMYFUNCTION("""COMPUTED_VALUE"""),"Albany, NY")</f>
        <v/>
      </c>
      <c r="K14885">
        <f>IFERROR(__xludf.DUMMYFUNCTION("""COMPUTED_VALUE"""),1795.44)</f>
        <v/>
      </c>
    </row>
    <row r="14886">
      <c r="J14886">
        <f>IFERROR(__xludf.DUMMYFUNCTION("""COMPUTED_VALUE"""),"Bathurst, New Brunswick, Canada; Halifax, Nova Scotia, Canada")</f>
        <v/>
      </c>
      <c r="K14886">
        <f>IFERROR(__xludf.DUMMYFUNCTION("""COMPUTED_VALUE"""),1795.13)</f>
        <v/>
      </c>
    </row>
    <row r="14887">
      <c r="J14887">
        <f>IFERROR(__xludf.DUMMYFUNCTION("""COMPUTED_VALUE"""),"New York, New York USA")</f>
        <v/>
      </c>
      <c r="K14887">
        <f>IFERROR(__xludf.DUMMYFUNCTION("""COMPUTED_VALUE"""),1794.91)</f>
        <v/>
      </c>
    </row>
    <row r="14888">
      <c r="J14888">
        <f>IFERROR(__xludf.DUMMYFUNCTION("""COMPUTED_VALUE"""),"Cancun,Mexico")</f>
        <v/>
      </c>
      <c r="K14888">
        <f>IFERROR(__xludf.DUMMYFUNCTION("""COMPUTED_VALUE"""),1794.51)</f>
        <v/>
      </c>
    </row>
    <row r="14889">
      <c r="J14889">
        <f>IFERROR(__xludf.DUMMYFUNCTION("""COMPUTED_VALUE"""),"Dallas, Chicago, United States")</f>
        <v/>
      </c>
      <c r="K14889">
        <f>IFERROR(__xludf.DUMMYFUNCTION("""COMPUTED_VALUE"""),1794.36)</f>
        <v/>
      </c>
    </row>
    <row r="14890">
      <c r="J14890">
        <f>IFERROR(__xludf.DUMMYFUNCTION("""COMPUTED_VALUE"""),"Montréal, Ottawa, Québec")</f>
        <v/>
      </c>
      <c r="K14890">
        <f>IFERROR(__xludf.DUMMYFUNCTION("""COMPUTED_VALUE"""),1793.65999999999)</f>
        <v/>
      </c>
    </row>
    <row r="14891">
      <c r="J14891">
        <f>IFERROR(__xludf.DUMMYFUNCTION("""COMPUTED_VALUE"""),"St. John's, Newfoundland and Labrador and Quispamsis, New Brunswick")</f>
        <v/>
      </c>
      <c r="K14891">
        <f>IFERROR(__xludf.DUMMYFUNCTION("""COMPUTED_VALUE"""),1793.43)</f>
        <v/>
      </c>
    </row>
    <row r="14892">
      <c r="J14892">
        <f>IFERROR(__xludf.DUMMYFUNCTION("""COMPUTED_VALUE"""),"Medicine Hat, Alberta; Regina, Saskatchewan")</f>
        <v/>
      </c>
      <c r="K14892">
        <f>IFERROR(__xludf.DUMMYFUNCTION("""COMPUTED_VALUE"""),1793.35)</f>
        <v/>
      </c>
    </row>
    <row r="14893">
      <c r="J14893">
        <f>IFERROR(__xludf.DUMMYFUNCTION("""COMPUTED_VALUE"""),"Edmonton, Alberta, Canada; Vancouver, British Columbia, Canada; Toronto, Ontario, Canada")</f>
        <v/>
      </c>
      <c r="K14893">
        <f>IFERROR(__xludf.DUMMYFUNCTION("""COMPUTED_VALUE"""),1793.03)</f>
        <v/>
      </c>
    </row>
    <row r="14894">
      <c r="J14894">
        <f>IFERROR(__xludf.DUMMYFUNCTION("""COMPUTED_VALUE"""),"Toronto &amp; Milton, Ontario, Canada")</f>
        <v/>
      </c>
      <c r="K14894">
        <f>IFERROR(__xludf.DUMMYFUNCTION("""COMPUTED_VALUE"""),1792.93)</f>
        <v/>
      </c>
    </row>
    <row r="14895">
      <c r="J14895">
        <f>IFERROR(__xludf.DUMMYFUNCTION("""COMPUTED_VALUE"""),"Toronto/Cambridge, Ontario")</f>
        <v/>
      </c>
      <c r="K14895">
        <f>IFERROR(__xludf.DUMMYFUNCTION("""COMPUTED_VALUE"""),1791.89)</f>
        <v/>
      </c>
    </row>
    <row r="14896">
      <c r="J14896">
        <f>IFERROR(__xludf.DUMMYFUNCTION("""COMPUTED_VALUE"""),"Halifax, Nova Scotia, Canada; Kentville, Nova Scotia, Canada; Yarmouth, Nova Scotia, Canada")</f>
        <v/>
      </c>
      <c r="K14896">
        <f>IFERROR(__xludf.DUMMYFUNCTION("""COMPUTED_VALUE"""),1791.5)</f>
        <v/>
      </c>
    </row>
    <row r="14897">
      <c r="J14897">
        <f>IFERROR(__xludf.DUMMYFUNCTION("""COMPUTED_VALUE"""),"Toronto, ON / Windsor, ON")</f>
        <v/>
      </c>
      <c r="K14897">
        <f>IFERROR(__xludf.DUMMYFUNCTION("""COMPUTED_VALUE"""),1791.05)</f>
        <v/>
      </c>
    </row>
    <row r="14898">
      <c r="J14898">
        <f>IFERROR(__xludf.DUMMYFUNCTION("""COMPUTED_VALUE"""),"Niagara Falls, ON, CA")</f>
        <v/>
      </c>
      <c r="K14898">
        <f>IFERROR(__xludf.DUMMYFUNCTION("""COMPUTED_VALUE"""),1790.94)</f>
        <v/>
      </c>
    </row>
    <row r="14899">
      <c r="J14899">
        <f>IFERROR(__xludf.DUMMYFUNCTION("""COMPUTED_VALUE"""),"Ottawa, Ontario Windsor, Ontario")</f>
        <v/>
      </c>
      <c r="K14899">
        <f>IFERROR(__xludf.DUMMYFUNCTION("""COMPUTED_VALUE"""),1790.86)</f>
        <v/>
      </c>
    </row>
    <row r="14900">
      <c r="J14900">
        <f>IFERROR(__xludf.DUMMYFUNCTION("""COMPUTED_VALUE"""),"Petawawa, Canada")</f>
        <v/>
      </c>
      <c r="K14900">
        <f>IFERROR(__xludf.DUMMYFUNCTION("""COMPUTED_VALUE"""),1790.81)</f>
        <v/>
      </c>
    </row>
    <row r="14901">
      <c r="J14901">
        <f>IFERROR(__xludf.DUMMYFUNCTION("""COMPUTED_VALUE"""),"Trois-Rivieres, Quebec")</f>
        <v/>
      </c>
      <c r="K14901">
        <f>IFERROR(__xludf.DUMMYFUNCTION("""COMPUTED_VALUE"""),1790.7)</f>
        <v/>
      </c>
    </row>
    <row r="14902">
      <c r="J14902">
        <f>IFERROR(__xludf.DUMMYFUNCTION("""COMPUTED_VALUE"""),"Charlottetown PE - Gatineau QC / Gatineau QC - Charlottetown PE")</f>
        <v/>
      </c>
      <c r="K14902">
        <f>IFERROR(__xludf.DUMMYFUNCTION("""COMPUTED_VALUE"""),1790)</f>
        <v/>
      </c>
    </row>
    <row r="14903">
      <c r="J14903">
        <f>IFERROR(__xludf.DUMMYFUNCTION("""COMPUTED_VALUE"""),"Baie St-Paul/Toronto")</f>
        <v/>
      </c>
      <c r="K14903">
        <f>IFERROR(__xludf.DUMMYFUNCTION("""COMPUTED_VALUE"""),1789.85)</f>
        <v/>
      </c>
    </row>
    <row r="14904">
      <c r="J14904">
        <f>IFERROR(__xludf.DUMMYFUNCTION("""COMPUTED_VALUE"""),"Gananoque, Ontario")</f>
        <v/>
      </c>
      <c r="K14904">
        <f>IFERROR(__xludf.DUMMYFUNCTION("""COMPUTED_VALUE"""),1789.82)</f>
        <v/>
      </c>
    </row>
    <row r="14905">
      <c r="J14905">
        <f>IFERROR(__xludf.DUMMYFUNCTION("""COMPUTED_VALUE"""),"Moncton and Miramichi, New Brunswick and Halifax, Nova Scotia")</f>
        <v/>
      </c>
      <c r="K14905">
        <f>IFERROR(__xludf.DUMMYFUNCTION("""COMPUTED_VALUE"""),1789.76)</f>
        <v/>
      </c>
    </row>
    <row r="14906">
      <c r="J14906">
        <f>IFERROR(__xludf.DUMMYFUNCTION("""COMPUTED_VALUE"""),"Ottawa- Kitchener- Belleville-
Toronto- London")</f>
        <v/>
      </c>
      <c r="K14906">
        <f>IFERROR(__xludf.DUMMYFUNCTION("""COMPUTED_VALUE"""),1789.63)</f>
        <v/>
      </c>
    </row>
    <row r="14907">
      <c r="J14907">
        <f>IFERROR(__xludf.DUMMYFUNCTION("""COMPUTED_VALUE"""),"Val D'Or, Quebec, Canada / Rouyn Noranda, Quebec, Canada")</f>
        <v/>
      </c>
      <c r="K14907">
        <f>IFERROR(__xludf.DUMMYFUNCTION("""COMPUTED_VALUE"""),1789.56)</f>
        <v/>
      </c>
    </row>
    <row r="14908">
      <c r="J14908">
        <f>IFERROR(__xludf.DUMMYFUNCTION("""COMPUTED_VALUE"""),"Toronto and Niagara-on-the-Lake")</f>
        <v/>
      </c>
      <c r="K14908">
        <f>IFERROR(__xludf.DUMMYFUNCTION("""COMPUTED_VALUE"""),1789.47)</f>
        <v/>
      </c>
    </row>
    <row r="14909">
      <c r="J14909">
        <f>IFERROR(__xludf.DUMMYFUNCTION("""COMPUTED_VALUE"""),"Saint John, NB Fredericton, NB")</f>
        <v/>
      </c>
      <c r="K14909">
        <f>IFERROR(__xludf.DUMMYFUNCTION("""COMPUTED_VALUE"""),1789.4)</f>
        <v/>
      </c>
    </row>
    <row r="14910">
      <c r="J14910">
        <f>IFERROR(__xludf.DUMMYFUNCTION("""COMPUTED_VALUE"""),"Iqaluit and Qikiqtarjuaq, Nunavut, Canada")</f>
        <v/>
      </c>
      <c r="K14910">
        <f>IFERROR(__xludf.DUMMYFUNCTION("""COMPUTED_VALUE"""),1789)</f>
        <v/>
      </c>
    </row>
    <row r="14911">
      <c r="J14911">
        <f>IFERROR(__xludf.DUMMYFUNCTION("""COMPUTED_VALUE"""),"Halifax, Nova Scotia, Canada; Montreal, Quebec, Canada; Québec, Quebec, Canada")</f>
        <v/>
      </c>
      <c r="K14911">
        <f>IFERROR(__xludf.DUMMYFUNCTION("""COMPUTED_VALUE"""),1788.21)</f>
        <v/>
      </c>
    </row>
    <row r="14912">
      <c r="J14912">
        <f>IFERROR(__xludf.DUMMYFUNCTION("""COMPUTED_VALUE"""),"Sherbrooke, Quebec, Canada; Montreal, Quebec, Canada; Quebec, Quebec, Canada")</f>
        <v/>
      </c>
      <c r="K14912">
        <f>IFERROR(__xludf.DUMMYFUNCTION("""COMPUTED_VALUE"""),1788.17)</f>
        <v/>
      </c>
    </row>
    <row r="14913">
      <c r="J14913">
        <f>IFERROR(__xludf.DUMMYFUNCTION("""COMPUTED_VALUE"""),"Washington,D.C.")</f>
        <v/>
      </c>
      <c r="K14913">
        <f>IFERROR(__xludf.DUMMYFUNCTION("""COMPUTED_VALUE"""),1787.86)</f>
        <v/>
      </c>
    </row>
    <row r="14914">
      <c r="J14914">
        <f>IFERROR(__xludf.DUMMYFUNCTION("""COMPUTED_VALUE"""),"New Mexico")</f>
        <v/>
      </c>
      <c r="K14914">
        <f>IFERROR(__xludf.DUMMYFUNCTION("""COMPUTED_VALUE"""),1787.81)</f>
        <v/>
      </c>
    </row>
    <row r="14915">
      <c r="J14915">
        <f>IFERROR(__xludf.DUMMYFUNCTION("""COMPUTED_VALUE"""),"Laredo, Texas, USA")</f>
        <v/>
      </c>
      <c r="K14915">
        <f>IFERROR(__xludf.DUMMYFUNCTION("""COMPUTED_VALUE"""),1787.72)</f>
        <v/>
      </c>
    </row>
    <row r="14916">
      <c r="J14916">
        <f>IFERROR(__xludf.DUMMYFUNCTION("""COMPUTED_VALUE"""),"Abitibi,Quebec")</f>
        <v/>
      </c>
      <c r="K14916">
        <f>IFERROR(__xludf.DUMMYFUNCTION("""COMPUTED_VALUE"""),1787.33)</f>
        <v/>
      </c>
    </row>
    <row r="14917">
      <c r="J14917">
        <f>IFERROR(__xludf.DUMMYFUNCTION("""COMPUTED_VALUE"""),"Saskville (New Brunswick) Canada; Hunts Point (Nova Scotia) Canada; Halifax (Nova Scotia) Canada")</f>
        <v/>
      </c>
      <c r="K14917">
        <f>IFERROR(__xludf.DUMMYFUNCTION("""COMPUTED_VALUE"""),1787.21)</f>
        <v/>
      </c>
    </row>
    <row r="14918">
      <c r="J14918">
        <f>IFERROR(__xludf.DUMMYFUNCTION("""COMPUTED_VALUE"""),"Fredericton, New Brunswick, Canada; Ottawa, Ontario, Canada")</f>
        <v/>
      </c>
      <c r="K14918">
        <f>IFERROR(__xludf.DUMMYFUNCTION("""COMPUTED_VALUE"""),1786.22)</f>
        <v/>
      </c>
    </row>
    <row r="14919">
      <c r="J14919">
        <f>IFERROR(__xludf.DUMMYFUNCTION("""COMPUTED_VALUE"""),"Levis / Montmagny, QC")</f>
        <v/>
      </c>
      <c r="K14919">
        <f>IFERROR(__xludf.DUMMYFUNCTION("""COMPUTED_VALUE"""),1786.1)</f>
        <v/>
      </c>
    </row>
    <row r="14920">
      <c r="J14920">
        <f>IFERROR(__xludf.DUMMYFUNCTION("""COMPUTED_VALUE"""),"Ramstein, Germany                                                 Washington D.C., USA")</f>
        <v/>
      </c>
      <c r="K14920">
        <f>IFERROR(__xludf.DUMMYFUNCTION("""COMPUTED_VALUE"""),1786.08)</f>
        <v/>
      </c>
    </row>
    <row r="14921">
      <c r="J14921">
        <f>IFERROR(__xludf.DUMMYFUNCTION("""COMPUTED_VALUE"""),"Burlington, Ontario; Vaughan, Ontario")</f>
        <v/>
      </c>
      <c r="K14921">
        <f>IFERROR(__xludf.DUMMYFUNCTION("""COMPUTED_VALUE"""),1786.07)</f>
        <v/>
      </c>
    </row>
    <row r="14922">
      <c r="J14922">
        <f>IFERROR(__xludf.DUMMYFUNCTION("""COMPUTED_VALUE"""),"Montréal, Quebec, Canada; Longueuil, Quebec, Canada")</f>
        <v/>
      </c>
      <c r="K14922">
        <f>IFERROR(__xludf.DUMMYFUNCTION("""COMPUTED_VALUE"""),1785.77)</f>
        <v/>
      </c>
    </row>
    <row r="14923">
      <c r="J14923">
        <f>IFERROR(__xludf.DUMMYFUNCTION("""COMPUTED_VALUE"""),"Toronto / Mississauga, Ontario, Canada")</f>
        <v/>
      </c>
      <c r="K14923">
        <f>IFERROR(__xludf.DUMMYFUNCTION("""COMPUTED_VALUE"""),1785.33)</f>
        <v/>
      </c>
    </row>
    <row r="14924">
      <c r="J14924">
        <f>IFERROR(__xludf.DUMMYFUNCTION("""COMPUTED_VALUE"""),"Moncton, Miramichi, Negac, New Brunswick; London, Ontario")</f>
        <v/>
      </c>
      <c r="K14924">
        <f>IFERROR(__xludf.DUMMYFUNCTION("""COMPUTED_VALUE"""),1785.1)</f>
        <v/>
      </c>
    </row>
    <row r="14925">
      <c r="J14925">
        <f>IFERROR(__xludf.DUMMYFUNCTION("""COMPUTED_VALUE"""),"Halifax, Grand Pré, NS &amp; Toronto, ON")</f>
        <v/>
      </c>
      <c r="K14925">
        <f>IFERROR(__xludf.DUMMYFUNCTION("""COMPUTED_VALUE"""),1785.05)</f>
        <v/>
      </c>
    </row>
    <row r="14926">
      <c r="J14926">
        <f>IFERROR(__xludf.DUMMYFUNCTION("""COMPUTED_VALUE"""),"St.John's, New Foundland, Canada")</f>
        <v/>
      </c>
      <c r="K14926">
        <f>IFERROR(__xludf.DUMMYFUNCTION("""COMPUTED_VALUE"""),1784.59)</f>
        <v/>
      </c>
    </row>
    <row r="14927">
      <c r="J14927">
        <f>IFERROR(__xludf.DUMMYFUNCTION("""COMPUTED_VALUE"""),"Shawinigan and Trois-Rivières")</f>
        <v/>
      </c>
      <c r="K14927">
        <f>IFERROR(__xludf.DUMMYFUNCTION("""COMPUTED_VALUE"""),1783.97999999999)</f>
        <v/>
      </c>
    </row>
    <row r="14928">
      <c r="J14928">
        <f>IFERROR(__xludf.DUMMYFUNCTION("""COMPUTED_VALUE"""),"Shawinigan (Quebec) Canada")</f>
        <v/>
      </c>
      <c r="K14928">
        <f>IFERROR(__xludf.DUMMYFUNCTION("""COMPUTED_VALUE"""),1783.97)</f>
        <v/>
      </c>
    </row>
    <row r="14929">
      <c r="J14929">
        <f>IFERROR(__xludf.DUMMYFUNCTION("""COMPUTED_VALUE"""),"Calgary, AB - Toronto, ON")</f>
        <v/>
      </c>
      <c r="K14929">
        <f>IFERROR(__xludf.DUMMYFUNCTION("""COMPUTED_VALUE"""),1783.23)</f>
        <v/>
      </c>
    </row>
    <row r="14930">
      <c r="J14930">
        <f>IFERROR(__xludf.DUMMYFUNCTION("""COMPUTED_VALUE"""),"Winnipeg, AB")</f>
        <v/>
      </c>
      <c r="K14930">
        <f>IFERROR(__xludf.DUMMYFUNCTION("""COMPUTED_VALUE"""),1782.55)</f>
        <v/>
      </c>
    </row>
    <row r="14931">
      <c r="J14931">
        <f>IFERROR(__xludf.DUMMYFUNCTION("""COMPUTED_VALUE"""),"Saskatoon,Saskatchewan,Canada")</f>
        <v/>
      </c>
      <c r="K14931">
        <f>IFERROR(__xludf.DUMMYFUNCTION("""COMPUTED_VALUE"""),1782.54999999999)</f>
        <v/>
      </c>
    </row>
    <row r="14932">
      <c r="J14932">
        <f>IFERROR(__xludf.DUMMYFUNCTION("""COMPUTED_VALUE"""),"Miramichi, New Brunswick and Charlottetown, Prince Edward Island")</f>
        <v/>
      </c>
      <c r="K14932">
        <f>IFERROR(__xludf.DUMMYFUNCTION("""COMPUTED_VALUE"""),1782.54)</f>
        <v/>
      </c>
    </row>
    <row r="14933">
      <c r="J14933">
        <f>IFERROR(__xludf.DUMMYFUNCTION("""COMPUTED_VALUE"""),"Charlottetown, Prince Edward Island; Halifax and Dartmouth, Nova Scotia")</f>
        <v/>
      </c>
      <c r="K14933">
        <f>IFERROR(__xludf.DUMMYFUNCTION("""COMPUTED_VALUE"""),1782.45)</f>
        <v/>
      </c>
    </row>
    <row r="14934">
      <c r="J14934">
        <f>IFERROR(__xludf.DUMMYFUNCTION("""COMPUTED_VALUE"""),"Maple Ridge, British Columbia, Canada")</f>
        <v/>
      </c>
      <c r="K14934">
        <f>IFERROR(__xludf.DUMMYFUNCTION("""COMPUTED_VALUE"""),1781.96)</f>
        <v/>
      </c>
    </row>
    <row r="14935">
      <c r="J14935">
        <f>IFERROR(__xludf.DUMMYFUNCTION("""COMPUTED_VALUE"""),"Montreal, Quebec / Sioux Lookout, Ontario")</f>
        <v/>
      </c>
      <c r="K14935">
        <f>IFERROR(__xludf.DUMMYFUNCTION("""COMPUTED_VALUE"""),1781.6)</f>
        <v/>
      </c>
    </row>
    <row r="14936">
      <c r="J14936">
        <f>IFERROR(__xludf.DUMMYFUNCTION("""COMPUTED_VALUE"""),"Corner Brook, Newfoundland")</f>
        <v/>
      </c>
      <c r="K14936">
        <f>IFERROR(__xludf.DUMMYFUNCTION("""COMPUTED_VALUE"""),1780.26)</f>
        <v/>
      </c>
    </row>
    <row r="14937">
      <c r="J14937">
        <f>IFERROR(__xludf.DUMMYFUNCTION("""COMPUTED_VALUE"""),"Yellowknife, Northwest Territories and Waterton, Alberta")</f>
        <v/>
      </c>
      <c r="K14937">
        <f>IFERROR(__xludf.DUMMYFUNCTION("""COMPUTED_VALUE"""),1780.19)</f>
        <v/>
      </c>
    </row>
    <row r="14938">
      <c r="J14938">
        <f>IFERROR(__xludf.DUMMYFUNCTION("""COMPUTED_VALUE"""),"Rouyn-Noranda, Quebec, Canada; Gatineau, Quebec, Canada; Toronto, Ontario, Canada")</f>
        <v/>
      </c>
      <c r="K14938">
        <f>IFERROR(__xludf.DUMMYFUNCTION("""COMPUTED_VALUE"""),1779.91)</f>
        <v/>
      </c>
    </row>
    <row r="14939">
      <c r="J14939">
        <f>IFERROR(__xludf.DUMMYFUNCTION("""COMPUTED_VALUE"""),"Esterel, Quebec, Canada")</f>
        <v/>
      </c>
      <c r="K14939">
        <f>IFERROR(__xludf.DUMMYFUNCTION("""COMPUTED_VALUE"""),1779.39)</f>
        <v/>
      </c>
    </row>
    <row r="14940">
      <c r="J14940">
        <f>IFERROR(__xludf.DUMMYFUNCTION("""COMPUTED_VALUE"""),"Toronto, ON and Calgary, AB")</f>
        <v/>
      </c>
      <c r="K14940">
        <f>IFERROR(__xludf.DUMMYFUNCTION("""COMPUTED_VALUE"""),1779.39)</f>
        <v/>
      </c>
    </row>
    <row r="14941">
      <c r="J14941">
        <f>IFERROR(__xludf.DUMMYFUNCTION("""COMPUTED_VALUE"""),"Regina, Saskatchewan   Indian Head, Saskatchewan   Swift Current, Saskatchewan")</f>
        <v/>
      </c>
      <c r="K14941">
        <f>IFERROR(__xludf.DUMMYFUNCTION("""COMPUTED_VALUE"""),1779.15)</f>
        <v/>
      </c>
    </row>
    <row r="14942">
      <c r="J14942">
        <f>IFERROR(__xludf.DUMMYFUNCTION("""COMPUTED_VALUE"""),"Comox/ Vancouver BC")</f>
        <v/>
      </c>
      <c r="K14942">
        <f>IFERROR(__xludf.DUMMYFUNCTION("""COMPUTED_VALUE"""),1779.1)</f>
        <v/>
      </c>
    </row>
    <row r="14943">
      <c r="J14943">
        <f>IFERROR(__xludf.DUMMYFUNCTION("""COMPUTED_VALUE"""),"Washington DC, États-Unis d'Amérique")</f>
        <v/>
      </c>
      <c r="K14943">
        <f>IFERROR(__xludf.DUMMYFUNCTION("""COMPUTED_VALUE"""),1779.05)</f>
        <v/>
      </c>
    </row>
    <row r="14944">
      <c r="J14944">
        <f>IFERROR(__xludf.DUMMYFUNCTION("""COMPUTED_VALUE"""),"Winnipeg, MB
Edmonton, AB
Victoria, BC
Vancouver, BC")</f>
        <v/>
      </c>
      <c r="K14944">
        <f>IFERROR(__xludf.DUMMYFUNCTION("""COMPUTED_VALUE"""),1779)</f>
        <v/>
      </c>
    </row>
    <row r="14945">
      <c r="J14945">
        <f>IFERROR(__xludf.DUMMYFUNCTION("""COMPUTED_VALUE"""),"Mississauga, ON Belleville, ON Ottawa, ON")</f>
        <v/>
      </c>
      <c r="K14945">
        <f>IFERROR(__xludf.DUMMYFUNCTION("""COMPUTED_VALUE"""),1778.86)</f>
        <v/>
      </c>
    </row>
    <row r="14946">
      <c r="J14946">
        <f>IFERROR(__xludf.DUMMYFUNCTION("""COMPUTED_VALUE"""),"Vancouver, Britsh Columbia and Edmonton, Alberta, Canada")</f>
        <v/>
      </c>
      <c r="K14946">
        <f>IFERROR(__xludf.DUMMYFUNCTION("""COMPUTED_VALUE"""),1778.2)</f>
        <v/>
      </c>
    </row>
    <row r="14947">
      <c r="J14947">
        <f>IFERROR(__xludf.DUMMYFUNCTION("""COMPUTED_VALUE"""),"Gagetown and Halifax")</f>
        <v/>
      </c>
      <c r="K14947">
        <f>IFERROR(__xludf.DUMMYFUNCTION("""COMPUTED_VALUE"""),1777.75)</f>
        <v/>
      </c>
    </row>
    <row r="14948">
      <c r="J14948">
        <f>IFERROR(__xludf.DUMMYFUNCTION("""COMPUTED_VALUE"""),"Santo Domingo")</f>
        <v/>
      </c>
      <c r="K14948">
        <f>IFERROR(__xludf.DUMMYFUNCTION("""COMPUTED_VALUE"""),1777.32)</f>
        <v/>
      </c>
    </row>
    <row r="14949">
      <c r="J14949">
        <f>IFERROR(__xludf.DUMMYFUNCTION("""COMPUTED_VALUE"""),"Guelph &amp; Toronto, ON")</f>
        <v/>
      </c>
      <c r="K14949">
        <f>IFERROR(__xludf.DUMMYFUNCTION("""COMPUTED_VALUE"""),1777.25)</f>
        <v/>
      </c>
    </row>
    <row r="14950">
      <c r="J14950">
        <f>IFERROR(__xludf.DUMMYFUNCTION("""COMPUTED_VALUE"""),"Ottawa, Ontario / Bangor ME")</f>
        <v/>
      </c>
      <c r="K14950">
        <f>IFERROR(__xludf.DUMMYFUNCTION("""COMPUTED_VALUE"""),1777.21)</f>
        <v/>
      </c>
    </row>
    <row r="14951">
      <c r="J14951">
        <f>IFERROR(__xludf.DUMMYFUNCTION("""COMPUTED_VALUE"""),"St. John's, Newfoundland and Labrador, and Fredericton, New Brunswick")</f>
        <v/>
      </c>
      <c r="K14951">
        <f>IFERROR(__xludf.DUMMYFUNCTION("""COMPUTED_VALUE"""),1777.19)</f>
        <v/>
      </c>
    </row>
    <row r="14952">
      <c r="J14952">
        <f>IFERROR(__xludf.DUMMYFUNCTION("""COMPUTED_VALUE"""),"Québec, Quebec, Canada; London, Ontario, Canada; Simcoe, Ontario, Canada")</f>
        <v/>
      </c>
      <c r="K14952">
        <f>IFERROR(__xludf.DUMMYFUNCTION("""COMPUTED_VALUE"""),1776.89)</f>
        <v/>
      </c>
    </row>
    <row r="14953">
      <c r="J14953">
        <f>IFERROR(__xludf.DUMMYFUNCTION("""COMPUTED_VALUE"""),"Khanty-Mansiisk, Tyumen")</f>
        <v/>
      </c>
      <c r="K14953">
        <f>IFERROR(__xludf.DUMMYFUNCTION("""COMPUTED_VALUE"""),1776.46)</f>
        <v/>
      </c>
    </row>
    <row r="14954">
      <c r="J14954">
        <f>IFERROR(__xludf.DUMMYFUNCTION("""COMPUTED_VALUE"""),"Calgary, Alberta, Canada Edmonton, Alberta, Canada")</f>
        <v/>
      </c>
      <c r="K14954">
        <f>IFERROR(__xludf.DUMMYFUNCTION("""COMPUTED_VALUE"""),1776.34)</f>
        <v/>
      </c>
    </row>
    <row r="14955">
      <c r="J14955">
        <f>IFERROR(__xludf.DUMMYFUNCTION("""COMPUTED_VALUE"""),"Vancouver and Burnaby, British Columbia, Canada")</f>
        <v/>
      </c>
      <c r="K14955">
        <f>IFERROR(__xludf.DUMMYFUNCTION("""COMPUTED_VALUE"""),1775.33)</f>
        <v/>
      </c>
    </row>
    <row r="14956">
      <c r="J14956">
        <f>IFERROR(__xludf.DUMMYFUNCTION("""COMPUTED_VALUE"""),"Vancouver, British Columbia,Canada")</f>
        <v/>
      </c>
      <c r="K14956">
        <f>IFERROR(__xludf.DUMMYFUNCTION("""COMPUTED_VALUE"""),1774.66)</f>
        <v/>
      </c>
    </row>
    <row r="14957">
      <c r="J14957">
        <f>IFERROR(__xludf.DUMMYFUNCTION("""COMPUTED_VALUE"""),"Boston, NY, USA")</f>
        <v/>
      </c>
      <c r="K14957">
        <f>IFERROR(__xludf.DUMMYFUNCTION("""COMPUTED_VALUE"""),1774.22)</f>
        <v/>
      </c>
    </row>
    <row r="14958">
      <c r="J14958">
        <f>IFERROR(__xludf.DUMMYFUNCTION("""COMPUTED_VALUE"""),"St. Johns, NewfoundLand, Canada")</f>
        <v/>
      </c>
      <c r="K14958">
        <f>IFERROR(__xludf.DUMMYFUNCTION("""COMPUTED_VALUE"""),1773.98)</f>
        <v/>
      </c>
    </row>
    <row r="14959">
      <c r="J14959">
        <f>IFERROR(__xludf.DUMMYFUNCTION("""COMPUTED_VALUE"""),"Kananaskis, AB; Montréal, QC")</f>
        <v/>
      </c>
      <c r="K14959">
        <f>IFERROR(__xludf.DUMMYFUNCTION("""COMPUTED_VALUE"""),1773.9)</f>
        <v/>
      </c>
    </row>
    <row r="14960">
      <c r="J14960">
        <f>IFERROR(__xludf.DUMMYFUNCTION("""COMPUTED_VALUE"""),"Calabogie, ON and Charlottetown, PE")</f>
        <v/>
      </c>
      <c r="K14960">
        <f>IFERROR(__xludf.DUMMYFUNCTION("""COMPUTED_VALUE"""),1773.61)</f>
        <v/>
      </c>
    </row>
    <row r="14961">
      <c r="J14961">
        <f>IFERROR(__xludf.DUMMYFUNCTION("""COMPUTED_VALUE"""),"St-Johns, NF")</f>
        <v/>
      </c>
      <c r="K14961">
        <f>IFERROR(__xludf.DUMMYFUNCTION("""COMPUTED_VALUE"""),1773.45)</f>
        <v/>
      </c>
    </row>
    <row r="14962">
      <c r="J14962">
        <f>IFERROR(__xludf.DUMMYFUNCTION("""COMPUTED_VALUE"""),"Tampere, Finland")</f>
        <v/>
      </c>
      <c r="K14962">
        <f>IFERROR(__xludf.DUMMYFUNCTION("""COMPUTED_VALUE"""),1773.01)</f>
        <v/>
      </c>
    </row>
    <row r="14963">
      <c r="J14963">
        <f>IFERROR(__xludf.DUMMYFUNCTION("""COMPUTED_VALUE"""),"Jeddah, Saudia Arabia")</f>
        <v/>
      </c>
      <c r="K14963">
        <f>IFERROR(__xludf.DUMMYFUNCTION("""COMPUTED_VALUE"""),1772.86)</f>
        <v/>
      </c>
    </row>
    <row r="14964">
      <c r="J14964">
        <f>IFERROR(__xludf.DUMMYFUNCTION("""COMPUTED_VALUE"""),"Yelllowknife, NWT")</f>
        <v/>
      </c>
      <c r="K14964">
        <f>IFERROR(__xludf.DUMMYFUNCTION("""COMPUTED_VALUE"""),1772.74)</f>
        <v/>
      </c>
    </row>
    <row r="14965">
      <c r="J14965">
        <f>IFERROR(__xludf.DUMMYFUNCTION("""COMPUTED_VALUE"""),"Halifax, Nova Scotia, Canada and Moncton, New Brunwick, Canada")</f>
        <v/>
      </c>
      <c r="K14965">
        <f>IFERROR(__xludf.DUMMYFUNCTION("""COMPUTED_VALUE"""),1772.68)</f>
        <v/>
      </c>
    </row>
    <row r="14966">
      <c r="J14966">
        <f>IFERROR(__xludf.DUMMYFUNCTION("""COMPUTED_VALUE"""),"Winnipeg, Manitoba and Calgary, Alberta, Canada")</f>
        <v/>
      </c>
      <c r="K14966">
        <f>IFERROR(__xludf.DUMMYFUNCTION("""COMPUTED_VALUE"""),1772.67)</f>
        <v/>
      </c>
    </row>
    <row r="14967">
      <c r="J14967">
        <f>IFERROR(__xludf.DUMMYFUNCTION("""COMPUTED_VALUE"""),"Upper Nicola, Douglas Lake, British Columbia, Canada")</f>
        <v/>
      </c>
      <c r="K14967">
        <f>IFERROR(__xludf.DUMMYFUNCTION("""COMPUTED_VALUE"""),1772.36)</f>
        <v/>
      </c>
    </row>
    <row r="14968">
      <c r="J14968">
        <f>IFERROR(__xludf.DUMMYFUNCTION("""COMPUTED_VALUE"""),"Moncton, NB - Ottawa, ON / Ottawa, ON - Saint John's, NB / Saint John's, NB - Moncton, NB")</f>
        <v/>
      </c>
      <c r="K14968">
        <f>IFERROR(__xludf.DUMMYFUNCTION("""COMPUTED_VALUE"""),1771.84)</f>
        <v/>
      </c>
    </row>
    <row r="14969">
      <c r="J14969">
        <f>IFERROR(__xludf.DUMMYFUNCTION("""COMPUTED_VALUE"""),"Calgary, Alberta, Saskatoon, Saskatchewan and Brandon, Manitoba")</f>
        <v/>
      </c>
      <c r="K14969">
        <f>IFERROR(__xludf.DUMMYFUNCTION("""COMPUTED_VALUE"""),1771.78)</f>
        <v/>
      </c>
    </row>
    <row r="14970">
      <c r="J14970">
        <f>IFERROR(__xludf.DUMMYFUNCTION("""COMPUTED_VALUE"""),"Regina, Indian Head and Swift Current, Saskatchewan")</f>
        <v/>
      </c>
      <c r="K14970">
        <f>IFERROR(__xludf.DUMMYFUNCTION("""COMPUTED_VALUE"""),1771.56)</f>
        <v/>
      </c>
    </row>
    <row r="14971">
      <c r="J14971">
        <f>IFERROR(__xludf.DUMMYFUNCTION("""COMPUTED_VALUE"""),"Kelowna, BC; Vancouver, BC; Nanaimo, BC")</f>
        <v/>
      </c>
      <c r="K14971">
        <f>IFERROR(__xludf.DUMMYFUNCTION("""COMPUTED_VALUE"""),1771.15)</f>
        <v/>
      </c>
    </row>
    <row r="14972">
      <c r="J14972">
        <f>IFERROR(__xludf.DUMMYFUNCTION("""COMPUTED_VALUE"""),"Prince George, British Colombia, Canada")</f>
        <v/>
      </c>
      <c r="K14972">
        <f>IFERROR(__xludf.DUMMYFUNCTION("""COMPUTED_VALUE"""),1770.99)</f>
        <v/>
      </c>
    </row>
    <row r="14973">
      <c r="J14973">
        <f>IFERROR(__xludf.DUMMYFUNCTION("""COMPUTED_VALUE"""),"Montreal / Saint-Sauveur /Mirabel / Beloeil / Varennes, (Quebec)")</f>
        <v/>
      </c>
      <c r="K14973">
        <f>IFERROR(__xludf.DUMMYFUNCTION("""COMPUTED_VALUE"""),1770.61)</f>
        <v/>
      </c>
    </row>
    <row r="14974">
      <c r="J14974">
        <f>IFERROR(__xludf.DUMMYFUNCTION("""COMPUTED_VALUE"""),"Moncton, New Brunswick, Canada; Memramcook, New Brunswick, Canada; Montréal, Quebec, Canada")</f>
        <v/>
      </c>
      <c r="K14974">
        <f>IFERROR(__xludf.DUMMYFUNCTION("""COMPUTED_VALUE"""),1770.46)</f>
        <v/>
      </c>
    </row>
    <row r="14975">
      <c r="J14975">
        <f>IFERROR(__xludf.DUMMYFUNCTION("""COMPUTED_VALUE"""),"Manitoba, Canada")</f>
        <v/>
      </c>
      <c r="K14975">
        <f>IFERROR(__xludf.DUMMYFUNCTION("""COMPUTED_VALUE"""),1770.08)</f>
        <v/>
      </c>
    </row>
    <row r="14976">
      <c r="J14976">
        <f>IFERROR(__xludf.DUMMYFUNCTION("""COMPUTED_VALUE"""),"Halifax, Nova Scotia, Canada; St. John's, Newfoundland and Labrador, Canada")</f>
        <v/>
      </c>
      <c r="K14976">
        <f>IFERROR(__xludf.DUMMYFUNCTION("""COMPUTED_VALUE"""),1769.92)</f>
        <v/>
      </c>
    </row>
    <row r="14977">
      <c r="J14977">
        <f>IFERROR(__xludf.DUMMYFUNCTION("""COMPUTED_VALUE"""),"Toronto, Ontario, Canada; North York, Ontario, Canada")</f>
        <v/>
      </c>
      <c r="K14977">
        <f>IFERROR(__xludf.DUMMYFUNCTION("""COMPUTED_VALUE"""),1769.83)</f>
        <v/>
      </c>
    </row>
    <row r="14978">
      <c r="J14978">
        <f>IFERROR(__xludf.DUMMYFUNCTION("""COMPUTED_VALUE"""),"Winnipeg, MB;
Edmonton, AB")</f>
        <v/>
      </c>
      <c r="K14978">
        <f>IFERROR(__xludf.DUMMYFUNCTION("""COMPUTED_VALUE"""),1769.65)</f>
        <v/>
      </c>
    </row>
    <row r="14979">
      <c r="J14979">
        <f>IFERROR(__xludf.DUMMYFUNCTION("""COMPUTED_VALUE"""),"Ottawa, ON, Halifax, NS, Charlottetown, PEI")</f>
        <v/>
      </c>
      <c r="K14979">
        <f>IFERROR(__xludf.DUMMYFUNCTION("""COMPUTED_VALUE"""),1769.41)</f>
        <v/>
      </c>
    </row>
    <row r="14980">
      <c r="J14980">
        <f>IFERROR(__xludf.DUMMYFUNCTION("""COMPUTED_VALUE"""),"Vancouver, British Columbia and Portland Oregon State")</f>
        <v/>
      </c>
      <c r="K14980">
        <f>IFERROR(__xludf.DUMMYFUNCTION("""COMPUTED_VALUE"""),1769.25)</f>
        <v/>
      </c>
    </row>
    <row r="14981">
      <c r="J14981">
        <f>IFERROR(__xludf.DUMMYFUNCTION("""COMPUTED_VALUE"""),"St. John's, NL Saint John, NB")</f>
        <v/>
      </c>
      <c r="K14981">
        <f>IFERROR(__xludf.DUMMYFUNCTION("""COMPUTED_VALUE"""),1768.82)</f>
        <v/>
      </c>
    </row>
    <row r="14982">
      <c r="J14982">
        <f>IFERROR(__xludf.DUMMYFUNCTION("""COMPUTED_VALUE"""),"Ashburn, Virginia, USA")</f>
        <v/>
      </c>
      <c r="K14982">
        <f>IFERROR(__xludf.DUMMYFUNCTION("""COMPUTED_VALUE"""),1768.49)</f>
        <v/>
      </c>
    </row>
    <row r="14983">
      <c r="J14983">
        <f>IFERROR(__xludf.DUMMYFUNCTION("""COMPUTED_VALUE"""),"Carlsbad, New Mexico, USA")</f>
        <v/>
      </c>
      <c r="K14983">
        <f>IFERROR(__xludf.DUMMYFUNCTION("""COMPUTED_VALUE"""),1768.41)</f>
        <v/>
      </c>
    </row>
    <row r="14984">
      <c r="J14984">
        <f>IFERROR(__xludf.DUMMYFUNCTION("""COMPUTED_VALUE"""),"CAMPBELLTON, NB - MIRAMICHI, NB")</f>
        <v/>
      </c>
      <c r="K14984">
        <f>IFERROR(__xludf.DUMMYFUNCTION("""COMPUTED_VALUE"""),1768.24)</f>
        <v/>
      </c>
    </row>
    <row r="14985">
      <c r="J14985">
        <f>IFERROR(__xludf.DUMMYFUNCTION("""COMPUTED_VALUE"""),"Quebec - Saskatchewan - Quebec")</f>
        <v/>
      </c>
      <c r="K14985">
        <f>IFERROR(__xludf.DUMMYFUNCTION("""COMPUTED_VALUE"""),1767.86)</f>
        <v/>
      </c>
    </row>
    <row r="14986">
      <c r="J14986">
        <f>IFERROR(__xludf.DUMMYFUNCTION("""COMPUTED_VALUE"""),"Basseterre, St. Kitt St John's Antigua Roseau, Dominica")</f>
        <v/>
      </c>
      <c r="K14986">
        <f>IFERROR(__xludf.DUMMYFUNCTION("""COMPUTED_VALUE"""),1767.74)</f>
        <v/>
      </c>
    </row>
    <row r="14987">
      <c r="J14987">
        <f>IFERROR(__xludf.DUMMYFUNCTION("""COMPUTED_VALUE"""),"Edmonton, AB;
Red Deer, AB;
Calgary, AB")</f>
        <v/>
      </c>
      <c r="K14987">
        <f>IFERROR(__xludf.DUMMYFUNCTION("""COMPUTED_VALUE"""),1766.88)</f>
        <v/>
      </c>
    </row>
    <row r="14988">
      <c r="J14988">
        <f>IFERROR(__xludf.DUMMYFUNCTION("""COMPUTED_VALUE"""),"Trenton/Belleville, Ontario, Canada")</f>
        <v/>
      </c>
      <c r="K14988">
        <f>IFERROR(__xludf.DUMMYFUNCTION("""COMPUTED_VALUE"""),1766.52)</f>
        <v/>
      </c>
    </row>
    <row r="14989">
      <c r="J14989">
        <f>IFERROR(__xludf.DUMMYFUNCTION("""COMPUTED_VALUE"""),"Magog")</f>
        <v/>
      </c>
      <c r="K14989">
        <f>IFERROR(__xludf.DUMMYFUNCTION("""COMPUTED_VALUE"""),1765.56)</f>
        <v/>
      </c>
    </row>
    <row r="14990">
      <c r="J14990">
        <f>IFERROR(__xludf.DUMMYFUNCTION("""COMPUTED_VALUE"""),"Mont-Tremblant, QC Laval, QC Québec, QC")</f>
        <v/>
      </c>
      <c r="K14990">
        <f>IFERROR(__xludf.DUMMYFUNCTION("""COMPUTED_VALUE"""),1765.38)</f>
        <v/>
      </c>
    </row>
    <row r="14991">
      <c r="J14991">
        <f>IFERROR(__xludf.DUMMYFUNCTION("""COMPUTED_VALUE"""),"Port-Cartier and Laval, Quebec, Canada")</f>
        <v/>
      </c>
      <c r="K14991">
        <f>IFERROR(__xludf.DUMMYFUNCTION("""COMPUTED_VALUE"""),1765.35)</f>
        <v/>
      </c>
    </row>
    <row r="14992">
      <c r="J14992">
        <f>IFERROR(__xludf.DUMMYFUNCTION("""COMPUTED_VALUE"""),"Toronto, ON       Winnipeg, MB")</f>
        <v/>
      </c>
      <c r="K14992">
        <f>IFERROR(__xludf.DUMMYFUNCTION("""COMPUTED_VALUE"""),1763.54)</f>
        <v/>
      </c>
    </row>
    <row r="14993">
      <c r="J14993">
        <f>IFERROR(__xludf.DUMMYFUNCTION("""COMPUTED_VALUE"""),"Ottawa, Ontario, Canada; Toronto, Ontario, Canada; Gatineau, Quebec, Canada")</f>
        <v/>
      </c>
      <c r="K14993">
        <f>IFERROR(__xludf.DUMMYFUNCTION("""COMPUTED_VALUE"""),1763.47)</f>
        <v/>
      </c>
    </row>
    <row r="14994">
      <c r="J14994">
        <f>IFERROR(__xludf.DUMMYFUNCTION("""COMPUTED_VALUE"""),"Winnipeg (Manitoba), Bagotville (Quebec) Canada")</f>
        <v/>
      </c>
      <c r="K14994">
        <f>IFERROR(__xludf.DUMMYFUNCTION("""COMPUTED_VALUE"""),1763.13)</f>
        <v/>
      </c>
    </row>
    <row r="14995">
      <c r="J14995">
        <f>IFERROR(__xludf.DUMMYFUNCTION("""COMPUTED_VALUE"""),"Washington, (United States)")</f>
        <v/>
      </c>
      <c r="K14995">
        <f>IFERROR(__xludf.DUMMYFUNCTION("""COMPUTED_VALUE"""),1763)</f>
        <v/>
      </c>
    </row>
    <row r="14996">
      <c r="J14996">
        <f>IFERROR(__xludf.DUMMYFUNCTION("""COMPUTED_VALUE"""),"Montréal, Quebec, Canada; Sherbrooke, Quebec, Canada; Ajax, Ontario, Canada; Guelph, Ontario, Canada")</f>
        <v/>
      </c>
      <c r="K14996">
        <f>IFERROR(__xludf.DUMMYFUNCTION("""COMPUTED_VALUE"""),1762.89)</f>
        <v/>
      </c>
    </row>
    <row r="14997">
      <c r="J14997">
        <f>IFERROR(__xludf.DUMMYFUNCTION("""COMPUTED_VALUE"""),"Merritt, BC, Canada")</f>
        <v/>
      </c>
      <c r="K14997">
        <f>IFERROR(__xludf.DUMMYFUNCTION("""COMPUTED_VALUE"""),1762.66)</f>
        <v/>
      </c>
    </row>
    <row r="14998">
      <c r="J14998">
        <f>IFERROR(__xludf.DUMMYFUNCTION("""COMPUTED_VALUE"""),"Montréal, Québec &amp; Sudbury, Ontario, Canada")</f>
        <v/>
      </c>
      <c r="K14998">
        <f>IFERROR(__xludf.DUMMYFUNCTION("""COMPUTED_VALUE"""),1761.8)</f>
        <v/>
      </c>
    </row>
    <row r="14999">
      <c r="J14999">
        <f>IFERROR(__xludf.DUMMYFUNCTION("""COMPUTED_VALUE"""),"Happy Valley-Goose Bay, Newfoundland and Labrador")</f>
        <v/>
      </c>
      <c r="K14999">
        <f>IFERROR(__xludf.DUMMYFUNCTION("""COMPUTED_VALUE"""),1761.78)</f>
        <v/>
      </c>
    </row>
    <row r="15000">
      <c r="J15000">
        <f>IFERROR(__xludf.DUMMYFUNCTION("""COMPUTED_VALUE"""),"St. John's, NFLD and France")</f>
        <v/>
      </c>
      <c r="K15000">
        <f>IFERROR(__xludf.DUMMYFUNCTION("""COMPUTED_VALUE"""),1761.67)</f>
        <v/>
      </c>
    </row>
    <row r="15001">
      <c r="J15001">
        <f>IFERROR(__xludf.DUMMYFUNCTION("""COMPUTED_VALUE"""),"Cornerbrook, Newfoundland and Labrador")</f>
        <v/>
      </c>
      <c r="K15001">
        <f>IFERROR(__xludf.DUMMYFUNCTION("""COMPUTED_VALUE"""),1761.63)</f>
        <v/>
      </c>
    </row>
    <row r="15002">
      <c r="J15002">
        <f>IFERROR(__xludf.DUMMYFUNCTION("""COMPUTED_VALUE"""),"La Pocatière, QC")</f>
        <v/>
      </c>
      <c r="K15002">
        <f>IFERROR(__xludf.DUMMYFUNCTION("""COMPUTED_VALUE"""),1760.77)</f>
        <v/>
      </c>
    </row>
    <row r="15003">
      <c r="J15003">
        <f>IFERROR(__xludf.DUMMYFUNCTION("""COMPUTED_VALUE"""),"VIENNA")</f>
        <v/>
      </c>
      <c r="K15003">
        <f>IFERROR(__xludf.DUMMYFUNCTION("""COMPUTED_VALUE"""),1760.61)</f>
        <v/>
      </c>
    </row>
    <row r="15004">
      <c r="J15004">
        <f>IFERROR(__xludf.DUMMYFUNCTION("""COMPUTED_VALUE"""),"Calgary, Alberta / Vancouver, British Columbia and Toronto, Ontario, Canada")</f>
        <v/>
      </c>
      <c r="K15004">
        <f>IFERROR(__xludf.DUMMYFUNCTION("""COMPUTED_VALUE"""),1760.53)</f>
        <v/>
      </c>
    </row>
    <row r="15005">
      <c r="J15005">
        <f>IFERROR(__xludf.DUMMYFUNCTION("""COMPUTED_VALUE"""),"Charlottetown, Prince Edouard Island, Canada")</f>
        <v/>
      </c>
      <c r="K15005">
        <f>IFERROR(__xludf.DUMMYFUNCTION("""COMPUTED_VALUE"""),1760.4)</f>
        <v/>
      </c>
    </row>
    <row r="15006">
      <c r="J15006">
        <f>IFERROR(__xludf.DUMMYFUNCTION("""COMPUTED_VALUE"""),"La Malbaie")</f>
        <v/>
      </c>
      <c r="K15006">
        <f>IFERROR(__xludf.DUMMYFUNCTION("""COMPUTED_VALUE"""),1759.89)</f>
        <v/>
      </c>
    </row>
    <row r="15007">
      <c r="J15007">
        <f>IFERROR(__xludf.DUMMYFUNCTION("""COMPUTED_VALUE"""),"Ottawa, ON and Fredericton, NB")</f>
        <v/>
      </c>
      <c r="K15007">
        <f>IFERROR(__xludf.DUMMYFUNCTION("""COMPUTED_VALUE"""),1759.56)</f>
        <v/>
      </c>
    </row>
    <row r="15008">
      <c r="J15008">
        <f>IFERROR(__xludf.DUMMYFUNCTION("""COMPUTED_VALUE"""),"Manawan, Quebec")</f>
        <v/>
      </c>
      <c r="K15008">
        <f>IFERROR(__xludf.DUMMYFUNCTION("""COMPUTED_VALUE"""),1759.37)</f>
        <v/>
      </c>
    </row>
    <row r="15009">
      <c r="J15009">
        <f>IFERROR(__xludf.DUMMYFUNCTION("""COMPUTED_VALUE"""),"Chalk River, ON")</f>
        <v/>
      </c>
      <c r="K15009">
        <f>IFERROR(__xludf.DUMMYFUNCTION("""COMPUTED_VALUE"""),1759.33)</f>
        <v/>
      </c>
    </row>
    <row r="15010">
      <c r="J15010">
        <f>IFERROR(__xludf.DUMMYFUNCTION("""COMPUTED_VALUE"""),"St. Andrews, St George, Hanwell, Woodstock, Florenceville-Bristol and Fredericton, New Brunswick and Cape Breton Regional Municipality, Guysborough and Antigonish, Nova Scotia")</f>
        <v/>
      </c>
      <c r="K15010">
        <f>IFERROR(__xludf.DUMMYFUNCTION("""COMPUTED_VALUE"""),1759.15)</f>
        <v/>
      </c>
    </row>
    <row r="15011">
      <c r="J15011">
        <f>IFERROR(__xludf.DUMMYFUNCTION("""COMPUTED_VALUE"""),"Kouchibouguac, New Brunswick")</f>
        <v/>
      </c>
      <c r="K15011">
        <f>IFERROR(__xludf.DUMMYFUNCTION("""COMPUTED_VALUE"""),1759)</f>
        <v/>
      </c>
    </row>
    <row r="15012">
      <c r="J15012">
        <f>IFERROR(__xludf.DUMMYFUNCTION("""COMPUTED_VALUE"""),"Beijing, China; Guangzhou, China; Chongqing, China")</f>
        <v/>
      </c>
      <c r="K15012">
        <f>IFERROR(__xludf.DUMMYFUNCTION("""COMPUTED_VALUE"""),1758.92)</f>
        <v/>
      </c>
    </row>
    <row r="15013">
      <c r="J15013">
        <f>IFERROR(__xludf.DUMMYFUNCTION("""COMPUTED_VALUE"""),"The Blue Mountain, ON, Canada")</f>
        <v/>
      </c>
      <c r="K15013">
        <f>IFERROR(__xludf.DUMMYFUNCTION("""COMPUTED_VALUE"""),1758.53)</f>
        <v/>
      </c>
    </row>
    <row r="15014">
      <c r="J15014">
        <f>IFERROR(__xludf.DUMMYFUNCTION("""COMPUTED_VALUE"""),"Moncton/Montreal")</f>
        <v/>
      </c>
      <c r="K15014">
        <f>IFERROR(__xludf.DUMMYFUNCTION("""COMPUTED_VALUE"""),1758.38)</f>
        <v/>
      </c>
    </row>
    <row r="15015">
      <c r="J15015">
        <f>IFERROR(__xludf.DUMMYFUNCTION("""COMPUTED_VALUE"""),"St. John's, Newfoundland and Labrador, Canada; Halifax, Nova Scotia, Canada; Fredericton, New Brunswick, Canada")</f>
        <v/>
      </c>
      <c r="K15015">
        <f>IFERROR(__xludf.DUMMYFUNCTION("""COMPUTED_VALUE"""),1757.69)</f>
        <v/>
      </c>
    </row>
    <row r="15016">
      <c r="J15016">
        <f>IFERROR(__xludf.DUMMYFUNCTION("""COMPUTED_VALUE"""),"Gods Lake Narrows, Manitoba")</f>
        <v/>
      </c>
      <c r="K15016">
        <f>IFERROR(__xludf.DUMMYFUNCTION("""COMPUTED_VALUE"""),1757.62)</f>
        <v/>
      </c>
    </row>
    <row r="15017">
      <c r="J15017">
        <f>IFERROR(__xludf.DUMMYFUNCTION("""COMPUTED_VALUE"""),"Kelowna, Prince George")</f>
        <v/>
      </c>
      <c r="K15017">
        <f>IFERROR(__xludf.DUMMYFUNCTION("""COMPUTED_VALUE"""),1757.45)</f>
        <v/>
      </c>
    </row>
    <row r="15018">
      <c r="J15018">
        <f>IFERROR(__xludf.DUMMYFUNCTION("""COMPUTED_VALUE"""),"Chicoutimi, Quebec, Canada; Québec, Quebec, Canada; Bagotville, Quebec, Canada; Jonquière, Quebec, Canada; Charlesbourg, Quebec, Canada; Thetford Mines, Quebec, Canada")</f>
        <v/>
      </c>
      <c r="K15018">
        <f>IFERROR(__xludf.DUMMYFUNCTION("""COMPUTED_VALUE"""),1757.29)</f>
        <v/>
      </c>
    </row>
    <row r="15019">
      <c r="J15019">
        <f>IFERROR(__xludf.DUMMYFUNCTION("""COMPUTED_VALUE"""),"Halifax/Grand Pré, Nova Scotia")</f>
        <v/>
      </c>
      <c r="K15019">
        <f>IFERROR(__xludf.DUMMYFUNCTION("""COMPUTED_VALUE"""),1757.28)</f>
        <v/>
      </c>
    </row>
    <row r="15020">
      <c r="J15020">
        <f>IFERROR(__xludf.DUMMYFUNCTION("""COMPUTED_VALUE"""),"Charlottetown, Prince-Edward-Island")</f>
        <v/>
      </c>
      <c r="K15020">
        <f>IFERROR(__xludf.DUMMYFUNCTION("""COMPUTED_VALUE"""),1756.55)</f>
        <v/>
      </c>
    </row>
    <row r="15021">
      <c r="J15021">
        <f>IFERROR(__xludf.DUMMYFUNCTION("""COMPUTED_VALUE"""),"Toronto, Niagara Falls and Welland, Ontario and Deux-Montagnes, Québec")</f>
        <v/>
      </c>
      <c r="K15021">
        <f>IFERROR(__xludf.DUMMYFUNCTION("""COMPUTED_VALUE"""),1756.44)</f>
        <v/>
      </c>
    </row>
    <row r="15022">
      <c r="J15022">
        <f>IFERROR(__xludf.DUMMYFUNCTION("""COMPUTED_VALUE"""),"Magog, Quebec and Toronto, Ontario, Canada")</f>
        <v/>
      </c>
      <c r="K15022">
        <f>IFERROR(__xludf.DUMMYFUNCTION("""COMPUTED_VALUE"""),1756.4)</f>
        <v/>
      </c>
    </row>
    <row r="15023">
      <c r="J15023">
        <f>IFERROR(__xludf.DUMMYFUNCTION("""COMPUTED_VALUE"""),"Vaughan, Toronto, Hamilton, Ontario")</f>
        <v/>
      </c>
      <c r="K15023">
        <f>IFERROR(__xludf.DUMMYFUNCTION("""COMPUTED_VALUE"""),1756.08)</f>
        <v/>
      </c>
    </row>
    <row r="15024">
      <c r="J15024">
        <f>IFERROR(__xludf.DUMMYFUNCTION("""COMPUTED_VALUE"""),"Montreal, QC - Toronto, ON")</f>
        <v/>
      </c>
      <c r="K15024">
        <f>IFERROR(__xludf.DUMMYFUNCTION("""COMPUTED_VALUE"""),1755.28)</f>
        <v/>
      </c>
    </row>
    <row r="15025">
      <c r="J15025">
        <f>IFERROR(__xludf.DUMMYFUNCTION("""COMPUTED_VALUE"""),"Port Coquitlam, British Columbia, Canada; Vancouver, British Columbia, Canada; Burnaby, British Columbia, Canada; Delta, British Columbia, Canada; Surrey, British Columbia, Canada;")</f>
        <v/>
      </c>
      <c r="K15025">
        <f>IFERROR(__xludf.DUMMYFUNCTION("""COMPUTED_VALUE"""),1755.01)</f>
        <v/>
      </c>
    </row>
    <row r="15026">
      <c r="J15026">
        <f>IFERROR(__xludf.DUMMYFUNCTION("""COMPUTED_VALUE"""),"St-John's, NL and Halifax NS")</f>
        <v/>
      </c>
      <c r="K15026">
        <f>IFERROR(__xludf.DUMMYFUNCTION("""COMPUTED_VALUE"""),1754.04)</f>
        <v/>
      </c>
    </row>
    <row r="15027">
      <c r="J15027">
        <f>IFERROR(__xludf.DUMMYFUNCTION("""COMPUTED_VALUE"""),"Edmonton (Alberta) Canada,")</f>
        <v/>
      </c>
      <c r="K15027">
        <f>IFERROR(__xludf.DUMMYFUNCTION("""COMPUTED_VALUE"""),1753.67)</f>
        <v/>
      </c>
    </row>
    <row r="15028">
      <c r="J15028">
        <f>IFERROR(__xludf.DUMMYFUNCTION("""COMPUTED_VALUE"""),"Baie-Comeau and Quebec, Quebec, Canada")</f>
        <v/>
      </c>
      <c r="K15028">
        <f>IFERROR(__xludf.DUMMYFUNCTION("""COMPUTED_VALUE"""),1753.58)</f>
        <v/>
      </c>
    </row>
    <row r="15029">
      <c r="J15029">
        <f>IFERROR(__xludf.DUMMYFUNCTION("""COMPUTED_VALUE"""),"Gatineau, Quebec,  Canada")</f>
        <v/>
      </c>
      <c r="K15029">
        <f>IFERROR(__xludf.DUMMYFUNCTION("""COMPUTED_VALUE"""),1753.5)</f>
        <v/>
      </c>
    </row>
    <row r="15030">
      <c r="J15030">
        <f>IFERROR(__xludf.DUMMYFUNCTION("""COMPUTED_VALUE"""),"Shearwater and Greenwood, Nova Scotia, Canada")</f>
        <v/>
      </c>
      <c r="K15030">
        <f>IFERROR(__xludf.DUMMYFUNCTION("""COMPUTED_VALUE"""),1753.21)</f>
        <v/>
      </c>
    </row>
    <row r="15031">
      <c r="J15031">
        <f>IFERROR(__xludf.DUMMYFUNCTION("""COMPUTED_VALUE"""),"Calgary,AB, Ottawa, ON")</f>
        <v/>
      </c>
      <c r="K15031">
        <f>IFERROR(__xludf.DUMMYFUNCTION("""COMPUTED_VALUE"""),1752.95)</f>
        <v/>
      </c>
    </row>
    <row r="15032">
      <c r="J15032">
        <f>IFERROR(__xludf.DUMMYFUNCTION("""COMPUTED_VALUE"""),"Bangkok, Thailand/Tokyo and Sendai, Japan/ Seoul, Korea")</f>
        <v/>
      </c>
      <c r="K15032">
        <f>IFERROR(__xludf.DUMMYFUNCTION("""COMPUTED_VALUE"""),1752.84)</f>
        <v/>
      </c>
    </row>
    <row r="15033">
      <c r="J15033">
        <f>IFERROR(__xludf.DUMMYFUNCTION("""COMPUTED_VALUE"""),"Winnipeg(Manitoba), Edmonton (Alberta)")</f>
        <v/>
      </c>
      <c r="K15033">
        <f>IFERROR(__xludf.DUMMYFUNCTION("""COMPUTED_VALUE"""),1752.41)</f>
        <v/>
      </c>
    </row>
    <row r="15034">
      <c r="J15034">
        <f>IFERROR(__xludf.DUMMYFUNCTION("""COMPUTED_VALUE"""),"Minett ON")</f>
        <v/>
      </c>
      <c r="K15034">
        <f>IFERROR(__xludf.DUMMYFUNCTION("""COMPUTED_VALUE"""),1752.26)</f>
        <v/>
      </c>
    </row>
    <row r="15035">
      <c r="J15035">
        <f>IFERROR(__xludf.DUMMYFUNCTION("""COMPUTED_VALUE"""),"New Delhi, IN / Hyderabad, IN / Agra, IN / Mumbai, IN / Amritsar, IN / Ottawa, ON")</f>
        <v/>
      </c>
      <c r="K15035">
        <f>IFERROR(__xludf.DUMMYFUNCTION("""COMPUTED_VALUE"""),1752.26)</f>
        <v/>
      </c>
    </row>
    <row r="15036">
      <c r="J15036">
        <f>IFERROR(__xludf.DUMMYFUNCTION("""COMPUTED_VALUE"""),"Lepreau, New Brunswick, Canada")</f>
        <v/>
      </c>
      <c r="K15036">
        <f>IFERROR(__xludf.DUMMYFUNCTION("""COMPUTED_VALUE"""),1752.18)</f>
        <v/>
      </c>
    </row>
    <row r="15037">
      <c r="J15037">
        <f>IFERROR(__xludf.DUMMYFUNCTION("""COMPUTED_VALUE"""),"Washington, DC and Beaconsfield Qc")</f>
        <v/>
      </c>
      <c r="K15037">
        <f>IFERROR(__xludf.DUMMYFUNCTION("""COMPUTED_VALUE"""),1751.94)</f>
        <v/>
      </c>
    </row>
    <row r="15038">
      <c r="J15038">
        <f>IFERROR(__xludf.DUMMYFUNCTION("""COMPUTED_VALUE"""),"Port Colborne, St. Catharines, London, Ontario, Canada")</f>
        <v/>
      </c>
      <c r="K15038">
        <f>IFERROR(__xludf.DUMMYFUNCTION("""COMPUTED_VALUE"""),1751.38)</f>
        <v/>
      </c>
    </row>
    <row r="15039">
      <c r="J15039">
        <f>IFERROR(__xludf.DUMMYFUNCTION("""COMPUTED_VALUE"""),"Whitby, London and Toronto, ON")</f>
        <v/>
      </c>
      <c r="K15039">
        <f>IFERROR(__xludf.DUMMYFUNCTION("""COMPUTED_VALUE"""),1751.29)</f>
        <v/>
      </c>
    </row>
    <row r="15040">
      <c r="J15040">
        <f>IFERROR(__xludf.DUMMYFUNCTION("""COMPUTED_VALUE"""),"Barrie, ON / Mississauga, ON /
Oakville, ON / Cambridge, ON /
Toronto, ON")</f>
        <v/>
      </c>
      <c r="K15040">
        <f>IFERROR(__xludf.DUMMYFUNCTION("""COMPUTED_VALUE"""),1751.21)</f>
        <v/>
      </c>
    </row>
    <row r="15041">
      <c r="J15041">
        <f>IFERROR(__xludf.DUMMYFUNCTION("""COMPUTED_VALUE"""),"Ottawa - Québec - Halifax - Ottawa")</f>
        <v/>
      </c>
      <c r="K15041">
        <f>IFERROR(__xludf.DUMMYFUNCTION("""COMPUTED_VALUE"""),1751.01)</f>
        <v/>
      </c>
    </row>
    <row r="15042">
      <c r="J15042">
        <f>IFERROR(__xludf.DUMMYFUNCTION("""COMPUTED_VALUE"""),"Pictou, Nova Scotia")</f>
        <v/>
      </c>
      <c r="K15042">
        <f>IFERROR(__xludf.DUMMYFUNCTION("""COMPUTED_VALUE"""),1750.71)</f>
        <v/>
      </c>
    </row>
    <row r="15043">
      <c r="J15043">
        <f>IFERROR(__xludf.DUMMYFUNCTION("""COMPUTED_VALUE"""),"Fredericton, Moncton and Saint John, New Brunswick")</f>
        <v/>
      </c>
      <c r="K15043">
        <f>IFERROR(__xludf.DUMMYFUNCTION("""COMPUTED_VALUE"""),1750.41)</f>
        <v/>
      </c>
    </row>
    <row r="15044">
      <c r="J15044">
        <f>IFERROR(__xludf.DUMMYFUNCTION("""COMPUTED_VALUE"""),"Halifax, NS and Montréal, QC")</f>
        <v/>
      </c>
      <c r="K15044">
        <f>IFERROR(__xludf.DUMMYFUNCTION("""COMPUTED_VALUE"""),1750.2)</f>
        <v/>
      </c>
    </row>
    <row r="15045">
      <c r="J15045">
        <f>IFERROR(__xludf.DUMMYFUNCTION("""COMPUTED_VALUE"""),"Niagara Falls, Ontario, Canada; Toronto, Ontrario, Canada")</f>
        <v/>
      </c>
      <c r="K15045">
        <f>IFERROR(__xludf.DUMMYFUNCTION("""COMPUTED_VALUE"""),1750.04)</f>
        <v/>
      </c>
    </row>
    <row r="15046">
      <c r="J15046">
        <f>IFERROR(__xludf.DUMMYFUNCTION("""COMPUTED_VALUE"""),"Montague and Charlottetown, Prince Edward Island")</f>
        <v/>
      </c>
      <c r="K15046">
        <f>IFERROR(__xludf.DUMMYFUNCTION("""COMPUTED_VALUE"""),1749.79)</f>
        <v/>
      </c>
    </row>
    <row r="15047">
      <c r="J15047">
        <f>IFERROR(__xludf.DUMMYFUNCTION("""COMPUTED_VALUE"""),"St.John's, NF")</f>
        <v/>
      </c>
      <c r="K15047">
        <f>IFERROR(__xludf.DUMMYFUNCTION("""COMPUTED_VALUE"""),1749.21)</f>
        <v/>
      </c>
    </row>
    <row r="15048">
      <c r="J15048">
        <f>IFERROR(__xludf.DUMMYFUNCTION("""COMPUTED_VALUE"""),"Montréal, QC Hamilton, ON")</f>
        <v/>
      </c>
      <c r="K15048">
        <f>IFERROR(__xludf.DUMMYFUNCTION("""COMPUTED_VALUE"""),1748.84)</f>
        <v/>
      </c>
    </row>
    <row r="15049">
      <c r="J15049">
        <f>IFERROR(__xludf.DUMMYFUNCTION("""COMPUTED_VALUE"""),"SAINT JOHN, NB - CAMPBELLTON, NB")</f>
        <v/>
      </c>
      <c r="K15049">
        <f>IFERROR(__xludf.DUMMYFUNCTION("""COMPUTED_VALUE"""),1748.74)</f>
        <v/>
      </c>
    </row>
    <row r="15050">
      <c r="J15050">
        <f>IFERROR(__xludf.DUMMYFUNCTION("""COMPUTED_VALUE"""),"Winnipeg, Manitoba ,Canada")</f>
        <v/>
      </c>
      <c r="K15050">
        <f>IFERROR(__xludf.DUMMYFUNCTION("""COMPUTED_VALUE"""),1748.67)</f>
        <v/>
      </c>
    </row>
    <row r="15051">
      <c r="J15051">
        <f>IFERROR(__xludf.DUMMYFUNCTION("""COMPUTED_VALUE"""),"Ottawa-Montreal-Charlottetown-Ottawa")</f>
        <v/>
      </c>
      <c r="K15051">
        <f>IFERROR(__xludf.DUMMYFUNCTION("""COMPUTED_VALUE"""),1747.11)</f>
        <v/>
      </c>
    </row>
    <row r="15052">
      <c r="J15052">
        <f>IFERROR(__xludf.DUMMYFUNCTION("""COMPUTED_VALUE"""),"Moncton, New Brunswick / Prince Edward Island")</f>
        <v/>
      </c>
      <c r="K15052">
        <f>IFERROR(__xludf.DUMMYFUNCTION("""COMPUTED_VALUE"""),1746.64)</f>
        <v/>
      </c>
    </row>
    <row r="15053">
      <c r="J15053">
        <f>IFERROR(__xludf.DUMMYFUNCTION("""COMPUTED_VALUE"""),"Cambridge, ON / Hamilton, ON /
London, ON")</f>
        <v/>
      </c>
      <c r="K15053">
        <f>IFERROR(__xludf.DUMMYFUNCTION("""COMPUTED_VALUE"""),1745.06)</f>
        <v/>
      </c>
    </row>
    <row r="15054">
      <c r="J15054">
        <f>IFERROR(__xludf.DUMMYFUNCTION("""COMPUTED_VALUE"""),"Edmonton, AB and Victoria, BC")</f>
        <v/>
      </c>
      <c r="K15054">
        <f>IFERROR(__xludf.DUMMYFUNCTION("""COMPUTED_VALUE"""),1744.76)</f>
        <v/>
      </c>
    </row>
    <row r="15055">
      <c r="J15055">
        <f>IFERROR(__xludf.DUMMYFUNCTION("""COMPUTED_VALUE"""),"London,United Kingdom; Delhi, India")</f>
        <v/>
      </c>
      <c r="K15055">
        <f>IFERROR(__xludf.DUMMYFUNCTION("""COMPUTED_VALUE"""),1744.57)</f>
        <v/>
      </c>
    </row>
    <row r="15056">
      <c r="J15056">
        <f>IFERROR(__xludf.DUMMYFUNCTION("""COMPUTED_VALUE"""),"Toronto, Gravenhurst, Barrie and Georgina, Ontario")</f>
        <v/>
      </c>
      <c r="K15056">
        <f>IFERROR(__xludf.DUMMYFUNCTION("""COMPUTED_VALUE"""),1744.17)</f>
        <v/>
      </c>
    </row>
    <row r="15057">
      <c r="J15057">
        <f>IFERROR(__xludf.DUMMYFUNCTION("""COMPUTED_VALUE"""),"Brome, Quebec, Canada")</f>
        <v/>
      </c>
      <c r="K15057">
        <f>IFERROR(__xludf.DUMMYFUNCTION("""COMPUTED_VALUE"""),1744.12)</f>
        <v/>
      </c>
    </row>
    <row r="15058">
      <c r="J15058">
        <f>IFERROR(__xludf.DUMMYFUNCTION("""COMPUTED_VALUE"""),"Akwesasne, Quebec, Canada")</f>
        <v/>
      </c>
      <c r="K15058">
        <f>IFERROR(__xludf.DUMMYFUNCTION("""COMPUTED_VALUE"""),1743.87)</f>
        <v/>
      </c>
    </row>
    <row r="15059">
      <c r="J15059">
        <f>IFERROR(__xludf.DUMMYFUNCTION("""COMPUTED_VALUE"""),"Ottawa, ON Montréal, QC Kingston, ON")</f>
        <v/>
      </c>
      <c r="K15059">
        <f>IFERROR(__xludf.DUMMYFUNCTION("""COMPUTED_VALUE"""),1743.63)</f>
        <v/>
      </c>
    </row>
    <row r="15060">
      <c r="J15060">
        <f>IFERROR(__xludf.DUMMYFUNCTION("""COMPUTED_VALUE"""),"Detla, British Columbia, Canada")</f>
        <v/>
      </c>
      <c r="K15060">
        <f>IFERROR(__xludf.DUMMYFUNCTION("""COMPUTED_VALUE"""),1743.55)</f>
        <v/>
      </c>
    </row>
    <row r="15061">
      <c r="J15061">
        <f>IFERROR(__xludf.DUMMYFUNCTION("""COMPUTED_VALUE"""),"Charlottetown &amp; Fredericton")</f>
        <v/>
      </c>
      <c r="K15061">
        <f>IFERROR(__xludf.DUMMYFUNCTION("""COMPUTED_VALUE"""),1742.43)</f>
        <v/>
      </c>
    </row>
    <row r="15062">
      <c r="J15062">
        <f>IFERROR(__xludf.DUMMYFUNCTION("""COMPUTED_VALUE"""),"Monterrey-Guatemala City")</f>
        <v/>
      </c>
      <c r="K15062">
        <f>IFERROR(__xludf.DUMMYFUNCTION("""COMPUTED_VALUE"""),1742.28)</f>
        <v/>
      </c>
    </row>
    <row r="15063">
      <c r="J15063">
        <f>IFERROR(__xludf.DUMMYFUNCTION("""COMPUTED_VALUE"""),"WINNIPEG")</f>
        <v/>
      </c>
      <c r="K15063">
        <f>IFERROR(__xludf.DUMMYFUNCTION("""COMPUTED_VALUE"""),1742)</f>
        <v/>
      </c>
    </row>
    <row r="15064">
      <c r="J15064">
        <f>IFERROR(__xludf.DUMMYFUNCTION("""COMPUTED_VALUE"""),"Winnipeg, Manitoba, Ca")</f>
        <v/>
      </c>
      <c r="K15064">
        <f>IFERROR(__xludf.DUMMYFUNCTION("""COMPUTED_VALUE"""),1741.88)</f>
        <v/>
      </c>
    </row>
    <row r="15065">
      <c r="J15065">
        <f>IFERROR(__xludf.DUMMYFUNCTION("""COMPUTED_VALUE"""),"Toronto, Ontario, Canada - Montréal, Quebec, Canada")</f>
        <v/>
      </c>
      <c r="K15065">
        <f>IFERROR(__xludf.DUMMYFUNCTION("""COMPUTED_VALUE"""),1741.5)</f>
        <v/>
      </c>
    </row>
    <row r="15066">
      <c r="J15066">
        <f>IFERROR(__xludf.DUMMYFUNCTION("""COMPUTED_VALUE"""),"London, Ontario, Canada; Richmond Hill, Ontario, Canada; Toronto, Ontario, Canada")</f>
        <v/>
      </c>
      <c r="K15066">
        <f>IFERROR(__xludf.DUMMYFUNCTION("""COMPUTED_VALUE"""),1741.4)</f>
        <v/>
      </c>
    </row>
    <row r="15067">
      <c r="J15067">
        <f>IFERROR(__xludf.DUMMYFUNCTION("""COMPUTED_VALUE"""),"Digby, Yarmouth, Pointe-de-l'Église, Saulnierville, Nova Scotia")</f>
        <v/>
      </c>
      <c r="K15067">
        <f>IFERROR(__xludf.DUMMYFUNCTION("""COMPUTED_VALUE"""),1740.67)</f>
        <v/>
      </c>
    </row>
    <row r="15068">
      <c r="J15068">
        <f>IFERROR(__xludf.DUMMYFUNCTION("""COMPUTED_VALUE"""),"Fredericton, New Brunswick, Canada; Gagetown, New Brunswick, Canada")</f>
        <v/>
      </c>
      <c r="K15068">
        <f>IFERROR(__xludf.DUMMYFUNCTION("""COMPUTED_VALUE"""),1740.51)</f>
        <v/>
      </c>
    </row>
    <row r="15069">
      <c r="J15069">
        <f>IFERROR(__xludf.DUMMYFUNCTION("""COMPUTED_VALUE"""),"Windsor, Ontario, Canada / Toronto, Ontario, Canada")</f>
        <v/>
      </c>
      <c r="K15069">
        <f>IFERROR(__xludf.DUMMYFUNCTION("""COMPUTED_VALUE"""),1740.04)</f>
        <v/>
      </c>
    </row>
    <row r="15070">
      <c r="J15070">
        <f>IFERROR(__xludf.DUMMYFUNCTION("""COMPUTED_VALUE"""),"Sydney, Nova Scotia &amp; St. John's, Newfoundland &amp; Labrador")</f>
        <v/>
      </c>
      <c r="K15070">
        <f>IFERROR(__xludf.DUMMYFUNCTION("""COMPUTED_VALUE"""),1739.9)</f>
        <v/>
      </c>
    </row>
    <row r="15071">
      <c r="J15071">
        <f>IFERROR(__xludf.DUMMYFUNCTION("""COMPUTED_VALUE"""),"Toronto, Vancouver, canada")</f>
        <v/>
      </c>
      <c r="K15071">
        <f>IFERROR(__xludf.DUMMYFUNCTION("""COMPUTED_VALUE"""),1739.9)</f>
        <v/>
      </c>
    </row>
    <row r="15072">
      <c r="J15072">
        <f>IFERROR(__xludf.DUMMYFUNCTION("""COMPUTED_VALUE"""),"Washingston")</f>
        <v/>
      </c>
      <c r="K15072">
        <f>IFERROR(__xludf.DUMMYFUNCTION("""COMPUTED_VALUE"""),1739.74)</f>
        <v/>
      </c>
    </row>
    <row r="15073">
      <c r="J15073">
        <f>IFERROR(__xludf.DUMMYFUNCTION("""COMPUTED_VALUE"""),"Montreal, Quebec / Saint-Hyacinthe, Quebec, Canada")</f>
        <v/>
      </c>
      <c r="K15073">
        <f>IFERROR(__xludf.DUMMYFUNCTION("""COMPUTED_VALUE"""),1739.72)</f>
        <v/>
      </c>
    </row>
    <row r="15074">
      <c r="J15074">
        <f>IFERROR(__xludf.DUMMYFUNCTION("""COMPUTED_VALUE"""),"St. Andrews and Moncton, New Brunswick")</f>
        <v/>
      </c>
      <c r="K15074">
        <f>IFERROR(__xludf.DUMMYFUNCTION("""COMPUTED_VALUE"""),1739.12)</f>
        <v/>
      </c>
    </row>
    <row r="15075">
      <c r="J15075">
        <f>IFERROR(__xludf.DUMMYFUNCTION("""COMPUTED_VALUE"""),"Ottawa, Ontario, Canada; Gatineau, Quebec, Canada; Dartmouth, Nova Scotia, Canada")</f>
        <v/>
      </c>
      <c r="K15075">
        <f>IFERROR(__xludf.DUMMYFUNCTION("""COMPUTED_VALUE"""),1739.09)</f>
        <v/>
      </c>
    </row>
    <row r="15076">
      <c r="J15076">
        <f>IFERROR(__xludf.DUMMYFUNCTION("""COMPUTED_VALUE"""),"Cambridge, Ontario, Canada
London, Canada, Canada
Windsor, Ontario, Canada
Toronto, Ontario, Canada")</f>
        <v/>
      </c>
      <c r="K15076">
        <f>IFERROR(__xludf.DUMMYFUNCTION("""COMPUTED_VALUE"""),1738.63)</f>
        <v/>
      </c>
    </row>
    <row r="15077">
      <c r="J15077">
        <f>IFERROR(__xludf.DUMMYFUNCTION("""COMPUTED_VALUE"""),"Montreal, QC/Ottawa, Ontario")</f>
        <v/>
      </c>
      <c r="K15077">
        <f>IFERROR(__xludf.DUMMYFUNCTION("""COMPUTED_VALUE"""),1738.6)</f>
        <v/>
      </c>
    </row>
    <row r="15078">
      <c r="J15078">
        <f>IFERROR(__xludf.DUMMYFUNCTION("""COMPUTED_VALUE"""),"Florida, United States")</f>
        <v/>
      </c>
      <c r="K15078">
        <f>IFERROR(__xludf.DUMMYFUNCTION("""COMPUTED_VALUE"""),1738.24)</f>
        <v/>
      </c>
    </row>
    <row r="15079">
      <c r="J15079">
        <f>IFERROR(__xludf.DUMMYFUNCTION("""COMPUTED_VALUE"""),"St- Johns, Newfoundland")</f>
        <v/>
      </c>
      <c r="K15079">
        <f>IFERROR(__xludf.DUMMYFUNCTION("""COMPUTED_VALUE"""),1738.03)</f>
        <v/>
      </c>
    </row>
    <row r="15080">
      <c r="J15080">
        <f>IFERROR(__xludf.DUMMYFUNCTION("""COMPUTED_VALUE"""),"Saint John, New Brunswick, Canada; Tracadie-Sheila, New Brunswick, Canada; Edmundston, New Brunswick, Canada")</f>
        <v/>
      </c>
      <c r="K15080">
        <f>IFERROR(__xludf.DUMMYFUNCTION("""COMPUTED_VALUE"""),1738)</f>
        <v/>
      </c>
    </row>
    <row r="15081">
      <c r="J15081">
        <f>IFERROR(__xludf.DUMMYFUNCTION("""COMPUTED_VALUE"""),"Winnipeg, Manitoba / Calgary, Alberta, Canada")</f>
        <v/>
      </c>
      <c r="K15081">
        <f>IFERROR(__xludf.DUMMYFUNCTION("""COMPUTED_VALUE"""),1737.91)</f>
        <v/>
      </c>
    </row>
    <row r="15082">
      <c r="J15082">
        <f>IFERROR(__xludf.DUMMYFUNCTION("""COMPUTED_VALUE"""),"Grand-Mère, Montreal")</f>
        <v/>
      </c>
      <c r="K15082">
        <f>IFERROR(__xludf.DUMMYFUNCTION("""COMPUTED_VALUE"""),1737.82)</f>
        <v/>
      </c>
    </row>
    <row r="15083">
      <c r="J15083">
        <f>IFERROR(__xludf.DUMMYFUNCTION("""COMPUTED_VALUE"""),"Truro, Nova Scotia; Mississauga, Ontario, Canada")</f>
        <v/>
      </c>
      <c r="K15083">
        <f>IFERROR(__xludf.DUMMYFUNCTION("""COMPUTED_VALUE"""),1737.35)</f>
        <v/>
      </c>
    </row>
    <row r="15084">
      <c r="J15084">
        <f>IFERROR(__xludf.DUMMYFUNCTION("""COMPUTED_VALUE"""),"Toronto - ON")</f>
        <v/>
      </c>
      <c r="K15084">
        <f>IFERROR(__xludf.DUMMYFUNCTION("""COMPUTED_VALUE"""),1737.16)</f>
        <v/>
      </c>
    </row>
    <row r="15085">
      <c r="J15085">
        <f>IFERROR(__xludf.DUMMYFUNCTION("""COMPUTED_VALUE"""),"Ottawa, Ontario &amp; Detroit / Washington, D.C.")</f>
        <v/>
      </c>
      <c r="K15085">
        <f>IFERROR(__xludf.DUMMYFUNCTION("""COMPUTED_VALUE"""),1736.98)</f>
        <v/>
      </c>
    </row>
    <row r="15086">
      <c r="J15086">
        <f>IFERROR(__xludf.DUMMYFUNCTION("""COMPUTED_VALUE"""),"Vermont, US")</f>
        <v/>
      </c>
      <c r="K15086">
        <f>IFERROR(__xludf.DUMMYFUNCTION("""COMPUTED_VALUE"""),1736.12)</f>
        <v/>
      </c>
    </row>
    <row r="15087">
      <c r="J15087">
        <f>IFERROR(__xludf.DUMMYFUNCTION("""COMPUTED_VALUE"""),"Summerside, Prince Edward Island; Moncton, New-Brunswick, Canada")</f>
        <v/>
      </c>
      <c r="K15087">
        <f>IFERROR(__xludf.DUMMYFUNCTION("""COMPUTED_VALUE"""),1735.97)</f>
        <v/>
      </c>
    </row>
    <row r="15088">
      <c r="J15088">
        <f>IFERROR(__xludf.DUMMYFUNCTION("""COMPUTED_VALUE"""),"Winnipeg, Manitoba Edmonton, Calgary (acc. paid by House of Commons)")</f>
        <v/>
      </c>
      <c r="K15088">
        <f>IFERROR(__xludf.DUMMYFUNCTION("""COMPUTED_VALUE"""),1735.57)</f>
        <v/>
      </c>
    </row>
    <row r="15089">
      <c r="J15089">
        <f>IFERROR(__xludf.DUMMYFUNCTION("""COMPUTED_VALUE"""),"Hamilton and Oshawa, Ontario, Canada")</f>
        <v/>
      </c>
      <c r="K15089">
        <f>IFERROR(__xludf.DUMMYFUNCTION("""COMPUTED_VALUE"""),1735.2)</f>
        <v/>
      </c>
    </row>
    <row r="15090">
      <c r="J15090">
        <f>IFERROR(__xludf.DUMMYFUNCTION("""COMPUTED_VALUE"""),"Southern Labrador")</f>
        <v/>
      </c>
      <c r="K15090">
        <f>IFERROR(__xludf.DUMMYFUNCTION("""COMPUTED_VALUE"""),1735.1)</f>
        <v/>
      </c>
    </row>
    <row r="15091">
      <c r="J15091">
        <f>IFERROR(__xludf.DUMMYFUNCTION("""COMPUTED_VALUE"""),"Ottawa, Ontario and Pinawa, Manitoba")</f>
        <v/>
      </c>
      <c r="K15091">
        <f>IFERROR(__xludf.DUMMYFUNCTION("""COMPUTED_VALUE"""),1734.86)</f>
        <v/>
      </c>
    </row>
    <row r="15092">
      <c r="J15092">
        <f>IFERROR(__xludf.DUMMYFUNCTION("""COMPUTED_VALUE"""),"Nanaimo and Comox, BC")</f>
        <v/>
      </c>
      <c r="K15092">
        <f>IFERROR(__xludf.DUMMYFUNCTION("""COMPUTED_VALUE"""),1734.74)</f>
        <v/>
      </c>
    </row>
    <row r="15093">
      <c r="J15093">
        <f>IFERROR(__xludf.DUMMYFUNCTION("""COMPUTED_VALUE"""),"Oslo, and Northern military posts, Norway")</f>
        <v/>
      </c>
      <c r="K15093">
        <f>IFERROR(__xludf.DUMMYFUNCTION("""COMPUTED_VALUE"""),1734.71)</f>
        <v/>
      </c>
    </row>
    <row r="15094">
      <c r="J15094">
        <f>IFERROR(__xludf.DUMMYFUNCTION("""COMPUTED_VALUE"""),"Vancouver, BC, Whitehorse, YK")</f>
        <v/>
      </c>
      <c r="K15094">
        <f>IFERROR(__xludf.DUMMYFUNCTION("""COMPUTED_VALUE"""),1734.62)</f>
        <v/>
      </c>
    </row>
    <row r="15095">
      <c r="J15095">
        <f>IFERROR(__xludf.DUMMYFUNCTION("""COMPUTED_VALUE"""),"Montreal-Charlottetown-Montreal")</f>
        <v/>
      </c>
      <c r="K15095">
        <f>IFERROR(__xludf.DUMMYFUNCTION("""COMPUTED_VALUE"""),1734.24)</f>
        <v/>
      </c>
    </row>
    <row r="15096">
      <c r="J15096">
        <f>IFERROR(__xludf.DUMMYFUNCTION("""COMPUTED_VALUE"""),"Ottawa &amp; Toronto, Ontario")</f>
        <v/>
      </c>
      <c r="K15096">
        <f>IFERROR(__xludf.DUMMYFUNCTION("""COMPUTED_VALUE"""),1733.42)</f>
        <v/>
      </c>
    </row>
    <row r="15097">
      <c r="J15097">
        <f>IFERROR(__xludf.DUMMYFUNCTION("""COMPUTED_VALUE"""),"Victoria (Espirito Santo) and Rio de Janeiro (RJ)")</f>
        <v/>
      </c>
      <c r="K15097">
        <f>IFERROR(__xludf.DUMMYFUNCTION("""COMPUTED_VALUE"""),1733.38)</f>
        <v/>
      </c>
    </row>
    <row r="15098">
      <c r="J15098">
        <f>IFERROR(__xludf.DUMMYFUNCTION("""COMPUTED_VALUE"""),"Ottawa, (Ontario)          Montreal, (Quebec)")</f>
        <v/>
      </c>
      <c r="K15098">
        <f>IFERROR(__xludf.DUMMYFUNCTION("""COMPUTED_VALUE"""),1732.94)</f>
        <v/>
      </c>
    </row>
    <row r="15099">
      <c r="J15099">
        <f>IFERROR(__xludf.DUMMYFUNCTION("""COMPUTED_VALUE"""),"Banff, Alberta and Shawinigan, Quebec")</f>
        <v/>
      </c>
      <c r="K15099">
        <f>IFERROR(__xludf.DUMMYFUNCTION("""COMPUTED_VALUE"""),1732.93)</f>
        <v/>
      </c>
    </row>
    <row r="15100">
      <c r="J15100">
        <f>IFERROR(__xludf.DUMMYFUNCTION("""COMPUTED_VALUE"""),"Moncton, New Brunswick; Summerside, Prince Edward Island; Grand Falls, New Brunswick")</f>
        <v/>
      </c>
      <c r="K15100">
        <f>IFERROR(__xludf.DUMMYFUNCTION("""COMPUTED_VALUE"""),1732.56)</f>
        <v/>
      </c>
    </row>
    <row r="15101">
      <c r="J15101">
        <f>IFERROR(__xludf.DUMMYFUNCTION("""COMPUTED_VALUE"""),"Winnipeg, Edmonton")</f>
        <v/>
      </c>
      <c r="K15101">
        <f>IFERROR(__xludf.DUMMYFUNCTION("""COMPUTED_VALUE"""),1732.45)</f>
        <v/>
      </c>
    </row>
    <row r="15102">
      <c r="J15102">
        <f>IFERROR(__xludf.DUMMYFUNCTION("""COMPUTED_VALUE"""),"Edmonton, AB and Winnipeg, MB")</f>
        <v/>
      </c>
      <c r="K15102">
        <f>IFERROR(__xludf.DUMMYFUNCTION("""COMPUTED_VALUE"""),1732.16)</f>
        <v/>
      </c>
    </row>
    <row r="15103">
      <c r="J15103">
        <f>IFERROR(__xludf.DUMMYFUNCTION("""COMPUTED_VALUE"""),"Halifax, Nova Scotia &amp; St. John's, New Foundland &amp; Labrador")</f>
        <v/>
      </c>
      <c r="K15103">
        <f>IFERROR(__xludf.DUMMYFUNCTION("""COMPUTED_VALUE"""),1731.91)</f>
        <v/>
      </c>
    </row>
    <row r="15104">
      <c r="J15104">
        <f>IFERROR(__xludf.DUMMYFUNCTION("""COMPUTED_VALUE"""),"Vancouver, BC Prince George, BC Kamloops, BC Calgary, AB")</f>
        <v/>
      </c>
      <c r="K15104">
        <f>IFERROR(__xludf.DUMMYFUNCTION("""COMPUTED_VALUE"""),1731.79)</f>
        <v/>
      </c>
    </row>
    <row r="15105">
      <c r="J15105">
        <f>IFERROR(__xludf.DUMMYFUNCTION("""COMPUTED_VALUE"""),"Kamploops, British Columbia, Canada")</f>
        <v/>
      </c>
      <c r="K15105">
        <f>IFERROR(__xludf.DUMMYFUNCTION("""COMPUTED_VALUE"""),1731.72)</f>
        <v/>
      </c>
    </row>
    <row r="15106">
      <c r="J15106">
        <f>IFERROR(__xludf.DUMMYFUNCTION("""COMPUTED_VALUE"""),"Québec and Montréal, Quebec")</f>
        <v/>
      </c>
      <c r="K15106">
        <f>IFERROR(__xludf.DUMMYFUNCTION("""COMPUTED_VALUE"""),1731.47)</f>
        <v/>
      </c>
    </row>
    <row r="15107">
      <c r="J15107">
        <f>IFERROR(__xludf.DUMMYFUNCTION("""COMPUTED_VALUE"""),"Queenstown, Maryland, and Washington D.C., USA")</f>
        <v/>
      </c>
      <c r="K15107">
        <f>IFERROR(__xludf.DUMMYFUNCTION("""COMPUTED_VALUE"""),1731.1)</f>
        <v/>
      </c>
    </row>
    <row r="15108">
      <c r="J15108">
        <f>IFERROR(__xludf.DUMMYFUNCTION("""COMPUTED_VALUE"""),"Shilo, Manitoba, Canada")</f>
        <v/>
      </c>
      <c r="K15108">
        <f>IFERROR(__xludf.DUMMYFUNCTION("""COMPUTED_VALUE"""),1730.97)</f>
        <v/>
      </c>
    </row>
    <row r="15109">
      <c r="J15109">
        <f>IFERROR(__xludf.DUMMYFUNCTION("""COMPUTED_VALUE"""),"Edmonton &amp;Calgary, Alberta, Canada")</f>
        <v/>
      </c>
      <c r="K15109">
        <f>IFERROR(__xludf.DUMMYFUNCTION("""COMPUTED_VALUE"""),1730.89)</f>
        <v/>
      </c>
    </row>
    <row r="15110">
      <c r="J15110">
        <f>IFERROR(__xludf.DUMMYFUNCTION("""COMPUTED_VALUE"""),"Montreal, Quebec, Canada/ Shawinigan, Quebec, Canada")</f>
        <v/>
      </c>
      <c r="K15110">
        <f>IFERROR(__xludf.DUMMYFUNCTION("""COMPUTED_VALUE"""),1730.17)</f>
        <v/>
      </c>
    </row>
    <row r="15111">
      <c r="J15111">
        <f>IFERROR(__xludf.DUMMYFUNCTION("""COMPUTED_VALUE"""),"Kitchener, Waterloo, Ontario, Canada")</f>
        <v/>
      </c>
      <c r="K15111">
        <f>IFERROR(__xludf.DUMMYFUNCTION("""COMPUTED_VALUE"""),1729.98)</f>
        <v/>
      </c>
    </row>
    <row r="15112">
      <c r="J15112">
        <f>IFERROR(__xludf.DUMMYFUNCTION("""COMPUTED_VALUE"""),"Moncton, NB / Sussex, NB / Halifax, NS")</f>
        <v/>
      </c>
      <c r="K15112">
        <f>IFERROR(__xludf.DUMMYFUNCTION("""COMPUTED_VALUE"""),1729.88)</f>
        <v/>
      </c>
    </row>
    <row r="15113">
      <c r="J15113">
        <f>IFERROR(__xludf.DUMMYFUNCTION("""COMPUTED_VALUE"""),"Ottawa, ON; Calgary, AB; Edmonton, AB")</f>
        <v/>
      </c>
      <c r="K15113">
        <f>IFERROR(__xludf.DUMMYFUNCTION("""COMPUTED_VALUE"""),1729.48)</f>
        <v/>
      </c>
    </row>
    <row r="15114">
      <c r="J15114">
        <f>IFERROR(__xludf.DUMMYFUNCTION("""COMPUTED_VALUE"""),"Ottawa - Winnipeg - Toronto - Québec")</f>
        <v/>
      </c>
      <c r="K15114">
        <f>IFERROR(__xludf.DUMMYFUNCTION("""COMPUTED_VALUE"""),1729.14)</f>
        <v/>
      </c>
    </row>
    <row r="15115">
      <c r="J15115">
        <f>IFERROR(__xludf.DUMMYFUNCTION("""COMPUTED_VALUE"""),"Halifax, Nova Scotia, Canada / Dartmouth, Nova Scotia, Canada / St John's, Newfoundland, Canada")</f>
        <v/>
      </c>
      <c r="K15115">
        <f>IFERROR(__xludf.DUMMYFUNCTION("""COMPUTED_VALUE"""),1728.8)</f>
        <v/>
      </c>
    </row>
    <row r="15116">
      <c r="J15116">
        <f>IFERROR(__xludf.DUMMYFUNCTION("""COMPUTED_VALUE"""),"Calgary, AB Canada")</f>
        <v/>
      </c>
      <c r="K15116">
        <f>IFERROR(__xludf.DUMMYFUNCTION("""COMPUTED_VALUE"""),1728.62)</f>
        <v/>
      </c>
    </row>
    <row r="15117">
      <c r="J15117">
        <f>IFERROR(__xludf.DUMMYFUNCTION("""COMPUTED_VALUE"""),"Bonaventure, Quebec")</f>
        <v/>
      </c>
      <c r="K15117">
        <f>IFERROR(__xludf.DUMMYFUNCTION("""COMPUTED_VALUE"""),1728.14)</f>
        <v/>
      </c>
    </row>
    <row r="15118">
      <c r="J15118">
        <f>IFERROR(__xludf.DUMMYFUNCTION("""COMPUTED_VALUE"""),"Toronto, Saskatoon, Calgary")</f>
        <v/>
      </c>
      <c r="K15118">
        <f>IFERROR(__xludf.DUMMYFUNCTION("""COMPUTED_VALUE"""),1727.89)</f>
        <v/>
      </c>
    </row>
    <row r="15119">
      <c r="J15119">
        <f>IFERROR(__xludf.DUMMYFUNCTION("""COMPUTED_VALUE"""),"Moorestown, Pennsylvania")</f>
        <v/>
      </c>
      <c r="K15119">
        <f>IFERROR(__xludf.DUMMYFUNCTION("""COMPUTED_VALUE"""),1727.53)</f>
        <v/>
      </c>
    </row>
    <row r="15120">
      <c r="J15120">
        <f>IFERROR(__xludf.DUMMYFUNCTION("""COMPUTED_VALUE"""),"Moncton, New Brunswick, Canada;")</f>
        <v/>
      </c>
      <c r="K15120">
        <f>IFERROR(__xludf.DUMMYFUNCTION("""COMPUTED_VALUE"""),1727.49)</f>
        <v/>
      </c>
    </row>
    <row r="15121">
      <c r="J15121">
        <f>IFERROR(__xludf.DUMMYFUNCTION("""COMPUTED_VALUE"""),"Edmonton, Calgary, Alberta")</f>
        <v/>
      </c>
      <c r="K15121">
        <f>IFERROR(__xludf.DUMMYFUNCTION("""COMPUTED_VALUE"""),1727.01)</f>
        <v/>
      </c>
    </row>
    <row r="15122">
      <c r="J15122">
        <f>IFERROR(__xludf.DUMMYFUNCTION("""COMPUTED_VALUE"""),"Washington, D.C.; Edmonton, AB")</f>
        <v/>
      </c>
      <c r="K15122">
        <f>IFERROR(__xludf.DUMMYFUNCTION("""COMPUTED_VALUE"""),1726.71)</f>
        <v/>
      </c>
    </row>
    <row r="15123">
      <c r="J15123">
        <f>IFERROR(__xludf.DUMMYFUNCTION("""COMPUTED_VALUE"""),"Philadelphia, Pennsylvania - New York, New York")</f>
        <v/>
      </c>
      <c r="K15123">
        <f>IFERROR(__xludf.DUMMYFUNCTION("""COMPUTED_VALUE"""),1725.99)</f>
        <v/>
      </c>
    </row>
    <row r="15124">
      <c r="J15124">
        <f>IFERROR(__xludf.DUMMYFUNCTION("""COMPUTED_VALUE"""),"Toronto, ON Niagara-on-the-Lake, ON")</f>
        <v/>
      </c>
      <c r="K15124">
        <f>IFERROR(__xludf.DUMMYFUNCTION("""COMPUTED_VALUE"""),1725.95)</f>
        <v/>
      </c>
    </row>
    <row r="15125">
      <c r="J15125">
        <f>IFERROR(__xludf.DUMMYFUNCTION("""COMPUTED_VALUE"""),"Montréal, Québec / Halifax, Nova Scotia")</f>
        <v/>
      </c>
      <c r="K15125">
        <f>IFERROR(__xludf.DUMMYFUNCTION("""COMPUTED_VALUE"""),1725.62)</f>
        <v/>
      </c>
    </row>
    <row r="15126">
      <c r="J15126">
        <f>IFERROR(__xludf.DUMMYFUNCTION("""COMPUTED_VALUE"""),"Quebec, QC and Ottawa, ON")</f>
        <v/>
      </c>
      <c r="K15126">
        <f>IFERROR(__xludf.DUMMYFUNCTION("""COMPUTED_VALUE"""),1725.19)</f>
        <v/>
      </c>
    </row>
    <row r="15127">
      <c r="J15127">
        <f>IFERROR(__xludf.DUMMYFUNCTION("""COMPUTED_VALUE"""),"Toronto, Ontario, Canada
Montreal, Quebec, Canada")</f>
        <v/>
      </c>
      <c r="K15127">
        <f>IFERROR(__xludf.DUMMYFUNCTION("""COMPUTED_VALUE"""),1725.08)</f>
        <v/>
      </c>
    </row>
    <row r="15128">
      <c r="J15128">
        <f>IFERROR(__xludf.DUMMYFUNCTION("""COMPUTED_VALUE"""),"Tobermory, Ontario")</f>
        <v/>
      </c>
      <c r="K15128">
        <f>IFERROR(__xludf.DUMMYFUNCTION("""COMPUTED_VALUE"""),1724.72)</f>
        <v/>
      </c>
    </row>
    <row r="15129">
      <c r="J15129">
        <f>IFERROR(__xludf.DUMMYFUNCTION("""COMPUTED_VALUE"""),"Regina, Saskatchewan, Canada; Victoria, British Columbia, Canada")</f>
        <v/>
      </c>
      <c r="K15129">
        <f>IFERROR(__xludf.DUMMYFUNCTION("""COMPUTED_VALUE"""),1723.97)</f>
        <v/>
      </c>
    </row>
    <row r="15130">
      <c r="J15130">
        <f>IFERROR(__xludf.DUMMYFUNCTION("""COMPUTED_VALUE"""),"Edmonton, AB / Saskatoon, SK")</f>
        <v/>
      </c>
      <c r="K15130">
        <f>IFERROR(__xludf.DUMMYFUNCTION("""COMPUTED_VALUE"""),1723.35)</f>
        <v/>
      </c>
    </row>
    <row r="15131">
      <c r="J15131">
        <f>IFERROR(__xludf.DUMMYFUNCTION("""COMPUTED_VALUE"""),"Montreal,QC and Ottawa, ON")</f>
        <v/>
      </c>
      <c r="K15131">
        <f>IFERROR(__xludf.DUMMYFUNCTION("""COMPUTED_VALUE"""),1723.22)</f>
        <v/>
      </c>
    </row>
    <row r="15132">
      <c r="J15132">
        <f>IFERROR(__xludf.DUMMYFUNCTION("""COMPUTED_VALUE"""),"Toronto and New York")</f>
        <v/>
      </c>
      <c r="K15132">
        <f>IFERROR(__xludf.DUMMYFUNCTION("""COMPUTED_VALUE"""),1722.67)</f>
        <v/>
      </c>
    </row>
    <row r="15133">
      <c r="J15133">
        <f>IFERROR(__xludf.DUMMYFUNCTION("""COMPUTED_VALUE"""),"Quebec &amp; Essipit, Quebec")</f>
        <v/>
      </c>
      <c r="K15133">
        <f>IFERROR(__xludf.DUMMYFUNCTION("""COMPUTED_VALUE"""),1721.8)</f>
        <v/>
      </c>
    </row>
    <row r="15134">
      <c r="J15134">
        <f>IFERROR(__xludf.DUMMYFUNCTION("""COMPUTED_VALUE"""),"Moncton, Halifax, Canada")</f>
        <v/>
      </c>
      <c r="K15134">
        <f>IFERROR(__xludf.DUMMYFUNCTION("""COMPUTED_VALUE"""),1721.49)</f>
        <v/>
      </c>
    </row>
    <row r="15135">
      <c r="J15135">
        <f>IFERROR(__xludf.DUMMYFUNCTION("""COMPUTED_VALUE"""),"Ottawa, Ontario, Canada / Halifax, Nova Scotia, Canada")</f>
        <v/>
      </c>
      <c r="K15135">
        <f>IFERROR(__xludf.DUMMYFUNCTION("""COMPUTED_VALUE"""),1721.4)</f>
        <v/>
      </c>
    </row>
    <row r="15136">
      <c r="J15136">
        <f>IFERROR(__xludf.DUMMYFUNCTION("""COMPUTED_VALUE"""),"Calgary, Edmonton, Vancouver, Ottawa")</f>
        <v/>
      </c>
      <c r="K15136">
        <f>IFERROR(__xludf.DUMMYFUNCTION("""COMPUTED_VALUE"""),1721.22)</f>
        <v/>
      </c>
    </row>
    <row r="15137">
      <c r="J15137">
        <f>IFERROR(__xludf.DUMMYFUNCTION("""COMPUTED_VALUE"""),"Halifax, Nova Scotia, Canada; Truro, Nova Scotia, Canada; Sackville, New Brunswick, Canada; Miramichi, New Brunswick, Canada; Fredericton, New Brunswick, Canada")</f>
        <v/>
      </c>
      <c r="K15137">
        <f>IFERROR(__xludf.DUMMYFUNCTION("""COMPUTED_VALUE"""),1720.38)</f>
        <v/>
      </c>
    </row>
    <row r="15138">
      <c r="J15138">
        <f>IFERROR(__xludf.DUMMYFUNCTION("""COMPUTED_VALUE"""),"New Yok City")</f>
        <v/>
      </c>
      <c r="K15138">
        <f>IFERROR(__xludf.DUMMYFUNCTION("""COMPUTED_VALUE"""),1719.48)</f>
        <v/>
      </c>
    </row>
    <row r="15139">
      <c r="J15139">
        <f>IFERROR(__xludf.DUMMYFUNCTION("""COMPUTED_VALUE"""),"Québec; Rimouski, Quebec, Canada")</f>
        <v/>
      </c>
      <c r="K15139">
        <f>IFERROR(__xludf.DUMMYFUNCTION("""COMPUTED_VALUE"""),1719.25)</f>
        <v/>
      </c>
    </row>
    <row r="15140">
      <c r="J15140">
        <f>IFERROR(__xludf.DUMMYFUNCTION("""COMPUTED_VALUE"""),"Vancouver and Victoria, B.C.")</f>
        <v/>
      </c>
      <c r="K15140">
        <f>IFERROR(__xludf.DUMMYFUNCTION("""COMPUTED_VALUE"""),1719.18)</f>
        <v/>
      </c>
    </row>
    <row r="15141">
      <c r="J15141">
        <f>IFERROR(__xludf.DUMMYFUNCTION("""COMPUTED_VALUE"""),"Montreal (Quebec) Canada                     Ottawa (Ontario) Canada")</f>
        <v/>
      </c>
      <c r="K15141">
        <f>IFERROR(__xludf.DUMMYFUNCTION("""COMPUTED_VALUE"""),1718.98)</f>
        <v/>
      </c>
    </row>
    <row r="15142">
      <c r="J15142">
        <f>IFERROR(__xludf.DUMMYFUNCTION("""COMPUTED_VALUE"""),"Victoria, CB")</f>
        <v/>
      </c>
      <c r="K15142">
        <f>IFERROR(__xludf.DUMMYFUNCTION("""COMPUTED_VALUE"""),1718.81)</f>
        <v/>
      </c>
    </row>
    <row r="15143">
      <c r="J15143">
        <f>IFERROR(__xludf.DUMMYFUNCTION("""COMPUTED_VALUE"""),"Bromont, Quebec / Toronto, Ontario")</f>
        <v/>
      </c>
      <c r="K15143">
        <f>IFERROR(__xludf.DUMMYFUNCTION("""COMPUTED_VALUE"""),1718.48)</f>
        <v/>
      </c>
    </row>
    <row r="15144">
      <c r="J15144">
        <f>IFERROR(__xludf.DUMMYFUNCTION("""COMPUTED_VALUE"""),"Fredericton (New Brunswick) Canada; Ottawa (Ontario) Canada")</f>
        <v/>
      </c>
      <c r="K15144">
        <f>IFERROR(__xludf.DUMMYFUNCTION("""COMPUTED_VALUE"""),1717.97)</f>
        <v/>
      </c>
    </row>
    <row r="15145">
      <c r="J15145">
        <f>IFERROR(__xludf.DUMMYFUNCTION("""COMPUTED_VALUE"""),"Ottawa, ON - Vancouver, BC and Victoria, BC - Ottawa, ON")</f>
        <v/>
      </c>
      <c r="K15145">
        <f>IFERROR(__xludf.DUMMYFUNCTION("""COMPUTED_VALUE"""),1717.56)</f>
        <v/>
      </c>
    </row>
    <row r="15146">
      <c r="J15146">
        <f>IFERROR(__xludf.DUMMYFUNCTION("""COMPUTED_VALUE"""),"Victoria (British Columbia)")</f>
        <v/>
      </c>
      <c r="K15146">
        <f>IFERROR(__xludf.DUMMYFUNCTION("""COMPUTED_VALUE"""),1717.43)</f>
        <v/>
      </c>
    </row>
    <row r="15147">
      <c r="J15147">
        <f>IFERROR(__xludf.DUMMYFUNCTION("""COMPUTED_VALUE"""),"Charlottetown,  Prince Edward Island, Canada")</f>
        <v/>
      </c>
      <c r="K15147">
        <f>IFERROR(__xludf.DUMMYFUNCTION("""COMPUTED_VALUE"""),1717.22)</f>
        <v/>
      </c>
    </row>
    <row r="15148">
      <c r="J15148">
        <f>IFERROR(__xludf.DUMMYFUNCTION("""COMPUTED_VALUE"""),"St. Alban, Newfoundland")</f>
        <v/>
      </c>
      <c r="K15148">
        <f>IFERROR(__xludf.DUMMYFUNCTION("""COMPUTED_VALUE"""),1717.22)</f>
        <v/>
      </c>
    </row>
    <row r="15149">
      <c r="J15149">
        <f>IFERROR(__xludf.DUMMYFUNCTION("""COMPUTED_VALUE"""),"Calgary, Ablerta, Canada")</f>
        <v/>
      </c>
      <c r="K15149">
        <f>IFERROR(__xludf.DUMMYFUNCTION("""COMPUTED_VALUE"""),1717.18)</f>
        <v/>
      </c>
    </row>
    <row r="15150">
      <c r="J15150">
        <f>IFERROR(__xludf.DUMMYFUNCTION("""COMPUTED_VALUE"""),"Hamilton (Ontario), Canada")</f>
        <v/>
      </c>
      <c r="K15150">
        <f>IFERROR(__xludf.DUMMYFUNCTION("""COMPUTED_VALUE"""),1716.86)</f>
        <v/>
      </c>
    </row>
    <row r="15151">
      <c r="J15151">
        <f>IFERROR(__xludf.DUMMYFUNCTION("""COMPUTED_VALUE"""),"Toronto, Niagara-on-the-Lake")</f>
        <v/>
      </c>
      <c r="K15151">
        <f>IFERROR(__xludf.DUMMYFUNCTION("""COMPUTED_VALUE"""),1716.86)</f>
        <v/>
      </c>
    </row>
    <row r="15152">
      <c r="J15152">
        <f>IFERROR(__xludf.DUMMYFUNCTION("""COMPUTED_VALUE"""),"Halifax, NS - Quebec, QC")</f>
        <v/>
      </c>
      <c r="K15152">
        <f>IFERROR(__xludf.DUMMYFUNCTION("""COMPUTED_VALUE"""),1715.91)</f>
        <v/>
      </c>
    </row>
    <row r="15153">
      <c r="J15153">
        <f>IFERROR(__xludf.DUMMYFUNCTION("""COMPUTED_VALUE"""),"Toronto-London-Toronto-St. John's")</f>
        <v/>
      </c>
      <c r="K15153">
        <f>IFERROR(__xludf.DUMMYFUNCTION("""COMPUTED_VALUE"""),1715.61)</f>
        <v/>
      </c>
    </row>
    <row r="15154">
      <c r="J15154">
        <f>IFERROR(__xludf.DUMMYFUNCTION("""COMPUTED_VALUE"""),"Montreal, Rouyn-Noranda, Quebec, (Canada)")</f>
        <v/>
      </c>
      <c r="K15154">
        <f>IFERROR(__xludf.DUMMYFUNCTION("""COMPUTED_VALUE"""),1715.6)</f>
        <v/>
      </c>
    </row>
    <row r="15155">
      <c r="J15155">
        <f>IFERROR(__xludf.DUMMYFUNCTION("""COMPUTED_VALUE"""),"Hamilton, London and Toronto ON")</f>
        <v/>
      </c>
      <c r="K15155">
        <f>IFERROR(__xludf.DUMMYFUNCTION("""COMPUTED_VALUE"""),1715.59)</f>
        <v/>
      </c>
    </row>
    <row r="15156">
      <c r="J15156">
        <f>IFERROR(__xludf.DUMMYFUNCTION("""COMPUTED_VALUE"""),"Edwardsburg Cardinal, Ontario, Belleville, Ontario, Sarnia-Lambton, Ontario and London, Ontario")</f>
        <v/>
      </c>
      <c r="K15156">
        <f>IFERROR(__xludf.DUMMYFUNCTION("""COMPUTED_VALUE"""),1715.54)</f>
        <v/>
      </c>
    </row>
    <row r="15157">
      <c r="J15157">
        <f>IFERROR(__xludf.DUMMYFUNCTION("""COMPUTED_VALUE"""),"Québec/ Matane / Gaspé / Blanc Sablon / Havre St-Pierre")</f>
        <v/>
      </c>
      <c r="K15157">
        <f>IFERROR(__xludf.DUMMYFUNCTION("""COMPUTED_VALUE"""),1715.27)</f>
        <v/>
      </c>
    </row>
    <row r="15158">
      <c r="J15158">
        <f>IFERROR(__xludf.DUMMYFUNCTION("""COMPUTED_VALUE"""),"St. Stephen, New Brunswick, Canada")</f>
        <v/>
      </c>
      <c r="K15158">
        <f>IFERROR(__xludf.DUMMYFUNCTION("""COMPUTED_VALUE"""),1715.25)</f>
        <v/>
      </c>
    </row>
    <row r="15159">
      <c r="J15159">
        <f>IFERROR(__xludf.DUMMYFUNCTION("""COMPUTED_VALUE"""),"St John's (Newfounland and Labrador) Canada")</f>
        <v/>
      </c>
      <c r="K15159">
        <f>IFERROR(__xludf.DUMMYFUNCTION("""COMPUTED_VALUE"""),1715.01)</f>
        <v/>
      </c>
    </row>
    <row r="15160">
      <c r="J15160">
        <f>IFERROR(__xludf.DUMMYFUNCTION("""COMPUTED_VALUE"""),"Kamloops, British Columbia, Canada; Surrey, British Columbia, Canada; Penticton, British Columbia, Canada")</f>
        <v/>
      </c>
      <c r="K15160">
        <f>IFERROR(__xludf.DUMMYFUNCTION("""COMPUTED_VALUE"""),1714.84)</f>
        <v/>
      </c>
    </row>
    <row r="15161">
      <c r="J15161">
        <f>IFERROR(__xludf.DUMMYFUNCTION("""COMPUTED_VALUE"""),"Rimouski, St-Henri-de-Taillon")</f>
        <v/>
      </c>
      <c r="K15161">
        <f>IFERROR(__xludf.DUMMYFUNCTION("""COMPUTED_VALUE"""),1714.83)</f>
        <v/>
      </c>
    </row>
    <row r="15162">
      <c r="J15162">
        <f>IFERROR(__xludf.DUMMYFUNCTION("""COMPUTED_VALUE"""),"Merritt, British Columbia, Canada")</f>
        <v/>
      </c>
      <c r="K15162">
        <f>IFERROR(__xludf.DUMMYFUNCTION("""COMPUTED_VALUE"""),1714.44999999999)</f>
        <v/>
      </c>
    </row>
    <row r="15163">
      <c r="J15163">
        <f>IFERROR(__xludf.DUMMYFUNCTION("""COMPUTED_VALUE"""),"Halifax, Nova Scotia and Summerside, Prince Edward Island")</f>
        <v/>
      </c>
      <c r="K15163">
        <f>IFERROR(__xludf.DUMMYFUNCTION("""COMPUTED_VALUE"""),1714.41)</f>
        <v/>
      </c>
    </row>
    <row r="15164">
      <c r="J15164">
        <f>IFERROR(__xludf.DUMMYFUNCTION("""COMPUTED_VALUE"""),"Prince Rupert, BC - Vancouver, BC")</f>
        <v/>
      </c>
      <c r="K15164">
        <f>IFERROR(__xludf.DUMMYFUNCTION("""COMPUTED_VALUE"""),1713.7)</f>
        <v/>
      </c>
    </row>
    <row r="15165">
      <c r="J15165">
        <f>IFERROR(__xludf.DUMMYFUNCTION("""COMPUTED_VALUE"""),"Guelph and London, Ontario")</f>
        <v/>
      </c>
      <c r="K15165">
        <f>IFERROR(__xludf.DUMMYFUNCTION("""COMPUTED_VALUE"""),1713.5)</f>
        <v/>
      </c>
    </row>
    <row r="15166">
      <c r="J15166">
        <f>IFERROR(__xludf.DUMMYFUNCTION("""COMPUTED_VALUE"""),"Raleigh, North California, USA")</f>
        <v/>
      </c>
      <c r="K15166">
        <f>IFERROR(__xludf.DUMMYFUNCTION("""COMPUTED_VALUE"""),1713.05)</f>
        <v/>
      </c>
    </row>
    <row r="15167">
      <c r="J15167">
        <f>IFERROR(__xludf.DUMMYFUNCTION("""COMPUTED_VALUE"""),"Ottawa, Ontario; Toronto, Ontario, Canada")</f>
        <v/>
      </c>
      <c r="K15167">
        <f>IFERROR(__xludf.DUMMYFUNCTION("""COMPUTED_VALUE"""),1712.77)</f>
        <v/>
      </c>
    </row>
    <row r="15168">
      <c r="J15168">
        <f>IFERROR(__xludf.DUMMYFUNCTION("""COMPUTED_VALUE"""),"Moncton, NB Dartmouth, NS")</f>
        <v/>
      </c>
      <c r="K15168">
        <f>IFERROR(__xludf.DUMMYFUNCTION("""COMPUTED_VALUE"""),1712.55)</f>
        <v/>
      </c>
    </row>
    <row r="15169">
      <c r="J15169">
        <f>IFERROR(__xludf.DUMMYFUNCTION("""COMPUTED_VALUE"""),"Halifax, Nova Scotia / Toronto, Ontario, Canada")</f>
        <v/>
      </c>
      <c r="K15169">
        <f>IFERROR(__xludf.DUMMYFUNCTION("""COMPUTED_VALUE"""),1712.48)</f>
        <v/>
      </c>
    </row>
    <row r="15170">
      <c r="J15170">
        <f>IFERROR(__xludf.DUMMYFUNCTION("""COMPUTED_VALUE"""),"Hamilton, Ontario, Canada; Windsor,Ontario, Canada")</f>
        <v/>
      </c>
      <c r="K15170">
        <f>IFERROR(__xludf.DUMMYFUNCTION("""COMPUTED_VALUE"""),1712.1)</f>
        <v/>
      </c>
    </row>
    <row r="15171">
      <c r="J15171">
        <f>IFERROR(__xludf.DUMMYFUNCTION("""COMPUTED_VALUE"""),"Ottawa, ON to Charlottetown, PE and Charlottetown, PE to Ottawa, ON")</f>
        <v/>
      </c>
      <c r="K15171">
        <f>IFERROR(__xludf.DUMMYFUNCTION("""COMPUTED_VALUE"""),1711.93)</f>
        <v/>
      </c>
    </row>
    <row r="15172">
      <c r="J15172">
        <f>IFERROR(__xludf.DUMMYFUNCTION("""COMPUTED_VALUE"""),"Hamilton, Ontatio, Canada - Sudbury, Ontario, Canada")</f>
        <v/>
      </c>
      <c r="K15172">
        <f>IFERROR(__xludf.DUMMYFUNCTION("""COMPUTED_VALUE"""),1711.83)</f>
        <v/>
      </c>
    </row>
    <row r="15173">
      <c r="J15173">
        <f>IFERROR(__xludf.DUMMYFUNCTION("""COMPUTED_VALUE"""),"Halifax NS /Fredericton NB")</f>
        <v/>
      </c>
      <c r="K15173">
        <f>IFERROR(__xludf.DUMMYFUNCTION("""COMPUTED_VALUE"""),1711.32)</f>
        <v/>
      </c>
    </row>
    <row r="15174">
      <c r="J15174">
        <f>IFERROR(__xludf.DUMMYFUNCTION("""COMPUTED_VALUE"""),"Madison, Wisconsin")</f>
        <v/>
      </c>
      <c r="K15174">
        <f>IFERROR(__xludf.DUMMYFUNCTION("""COMPUTED_VALUE"""),1711.29)</f>
        <v/>
      </c>
    </row>
    <row r="15175">
      <c r="J15175">
        <f>IFERROR(__xludf.DUMMYFUNCTION("""COMPUTED_VALUE"""),"Niagara Oakville, Ontario, Canada")</f>
        <v/>
      </c>
      <c r="K15175">
        <f>IFERROR(__xludf.DUMMYFUNCTION("""COMPUTED_VALUE"""),1711.02)</f>
        <v/>
      </c>
    </row>
    <row r="15176">
      <c r="J15176">
        <f>IFERROR(__xludf.DUMMYFUNCTION("""COMPUTED_VALUE"""),"Winnipeg, MB and Ottawa ON")</f>
        <v/>
      </c>
      <c r="K15176">
        <f>IFERROR(__xludf.DUMMYFUNCTION("""COMPUTED_VALUE"""),1710.82)</f>
        <v/>
      </c>
    </row>
    <row r="15177">
      <c r="J15177">
        <f>IFERROR(__xludf.DUMMYFUNCTION("""COMPUTED_VALUE"""),"Alma (Québec) Canada")</f>
        <v/>
      </c>
      <c r="K15177">
        <f>IFERROR(__xludf.DUMMYFUNCTION("""COMPUTED_VALUE"""),1710.5)</f>
        <v/>
      </c>
    </row>
    <row r="15178">
      <c r="J15178">
        <f>IFERROR(__xludf.DUMMYFUNCTION("""COMPUTED_VALUE"""),"Washington, D.C. U.S.")</f>
        <v/>
      </c>
      <c r="K15178">
        <f>IFERROR(__xludf.DUMMYFUNCTION("""COMPUTED_VALUE"""),1709.23)</f>
        <v/>
      </c>
    </row>
    <row r="15179">
      <c r="J15179">
        <f>IFERROR(__xludf.DUMMYFUNCTION("""COMPUTED_VALUE"""),"Québec, Québec and Saint-Quentin, New Brunswick")</f>
        <v/>
      </c>
      <c r="K15179">
        <f>IFERROR(__xludf.DUMMYFUNCTION("""COMPUTED_VALUE"""),1708.83)</f>
        <v/>
      </c>
    </row>
    <row r="15180">
      <c r="J15180">
        <f>IFERROR(__xludf.DUMMYFUNCTION("""COMPUTED_VALUE"""),"Moncton, NB - Ottawa, ON / Ottawa, ON - Beaumont-Hamel, France / Beaumont-Hamel, France - Corner Brook, NL / Corner Brook, NL - Moncton, NB")</f>
        <v/>
      </c>
      <c r="K15180">
        <f>IFERROR(__xludf.DUMMYFUNCTION("""COMPUTED_VALUE"""),1708.74)</f>
        <v/>
      </c>
    </row>
    <row r="15181">
      <c r="J15181">
        <f>IFERROR(__xludf.DUMMYFUNCTION("""COMPUTED_VALUE"""),"London, United Kingdom, England")</f>
        <v/>
      </c>
      <c r="K15181">
        <f>IFERROR(__xludf.DUMMYFUNCTION("""COMPUTED_VALUE"""),1708.63)</f>
        <v/>
      </c>
    </row>
    <row r="15182">
      <c r="J15182">
        <f>IFERROR(__xludf.DUMMYFUNCTION("""COMPUTED_VALUE"""),"Kitchener-Waterloo, London and Windsor, Ontario")</f>
        <v/>
      </c>
      <c r="K15182">
        <f>IFERROR(__xludf.DUMMYFUNCTION("""COMPUTED_VALUE"""),1708.31)</f>
        <v/>
      </c>
    </row>
    <row r="15183">
      <c r="J15183">
        <f>IFERROR(__xludf.DUMMYFUNCTION("""COMPUTED_VALUE"""),"Winnipeg, Manitoba, Canada
Toronto, Ontario, Canada")</f>
        <v/>
      </c>
      <c r="K15183">
        <f>IFERROR(__xludf.DUMMYFUNCTION("""COMPUTED_VALUE"""),1708.04)</f>
        <v/>
      </c>
    </row>
    <row r="15184">
      <c r="J15184">
        <f>IFERROR(__xludf.DUMMYFUNCTION("""COMPUTED_VALUE"""),"Edmonton, AB and Yellowknife, NWT")</f>
        <v/>
      </c>
      <c r="K15184">
        <f>IFERROR(__xludf.DUMMYFUNCTION("""COMPUTED_VALUE"""),1707.89)</f>
        <v/>
      </c>
    </row>
    <row r="15185">
      <c r="J15185">
        <f>IFERROR(__xludf.DUMMYFUNCTION("""COMPUTED_VALUE"""),"Edmonton, Alberta, Canadaand Yellowknife, North West Territories, Canada")</f>
        <v/>
      </c>
      <c r="K15185">
        <f>IFERROR(__xludf.DUMMYFUNCTION("""COMPUTED_VALUE"""),1707.89)</f>
        <v/>
      </c>
    </row>
    <row r="15186">
      <c r="J15186">
        <f>IFERROR(__xludf.DUMMYFUNCTION("""COMPUTED_VALUE"""),"Sicily, Italy")</f>
        <v/>
      </c>
      <c r="K15186">
        <f>IFERROR(__xludf.DUMMYFUNCTION("""COMPUTED_VALUE"""),1707.69)</f>
        <v/>
      </c>
    </row>
    <row r="15187">
      <c r="J15187">
        <f>IFERROR(__xludf.DUMMYFUNCTION("""COMPUTED_VALUE"""),"Moncton, New Bunswick, Canada")</f>
        <v/>
      </c>
      <c r="K15187">
        <f>IFERROR(__xludf.DUMMYFUNCTION("""COMPUTED_VALUE"""),1707.23)</f>
        <v/>
      </c>
    </row>
    <row r="15188">
      <c r="J15188">
        <f>IFERROR(__xludf.DUMMYFUNCTION("""COMPUTED_VALUE"""),"San Antanio, TX")</f>
        <v/>
      </c>
      <c r="K15188">
        <f>IFERROR(__xludf.DUMMYFUNCTION("""COMPUTED_VALUE"""),1706.22)</f>
        <v/>
      </c>
    </row>
    <row r="15189">
      <c r="J15189">
        <f>IFERROR(__xludf.DUMMYFUNCTION("""COMPUTED_VALUE"""),"Kelowna, BC; Victoria, BC; Edmonton, AB")</f>
        <v/>
      </c>
      <c r="K15189">
        <f>IFERROR(__xludf.DUMMYFUNCTION("""COMPUTED_VALUE"""),1705.79)</f>
        <v/>
      </c>
    </row>
    <row r="15190">
      <c r="J15190">
        <f>IFERROR(__xludf.DUMMYFUNCTION("""COMPUTED_VALUE"""),"Lake Louise (Alberta)")</f>
        <v/>
      </c>
      <c r="K15190">
        <f>IFERROR(__xludf.DUMMYFUNCTION("""COMPUTED_VALUE"""),1705.52)</f>
        <v/>
      </c>
    </row>
    <row r="15191">
      <c r="J15191">
        <f>IFERROR(__xludf.DUMMYFUNCTION("""COMPUTED_VALUE"""),"Toronto, ON / Sudbury, ON")</f>
        <v/>
      </c>
      <c r="K15191">
        <f>IFERROR(__xludf.DUMMYFUNCTION("""COMPUTED_VALUE"""),1705.41)</f>
        <v/>
      </c>
    </row>
    <row r="15192">
      <c r="J15192">
        <f>IFERROR(__xludf.DUMMYFUNCTION("""COMPUTED_VALUE"""),"Calgary, Alberta, Canada; Edmonton, Alberta, Canada; Canmore, Alberta, Canada")</f>
        <v/>
      </c>
      <c r="K15192">
        <f>IFERROR(__xludf.DUMMYFUNCTION("""COMPUTED_VALUE"""),1705.2)</f>
        <v/>
      </c>
    </row>
    <row r="15193">
      <c r="J15193">
        <f>IFERROR(__xludf.DUMMYFUNCTION("""COMPUTED_VALUE"""),"Queen Charlotte Island, British Columbia (Gwaii Haanas NP)")</f>
        <v/>
      </c>
      <c r="K15193">
        <f>IFERROR(__xludf.DUMMYFUNCTION("""COMPUTED_VALUE"""),1705.04)</f>
        <v/>
      </c>
    </row>
    <row r="15194">
      <c r="J15194">
        <f>IFERROR(__xludf.DUMMYFUNCTION("""COMPUTED_VALUE"""),"Red Deer, Alberta;
Edmonton, Alberta")</f>
        <v/>
      </c>
      <c r="K15194">
        <f>IFERROR(__xludf.DUMMYFUNCTION("""COMPUTED_VALUE"""),1704.83)</f>
        <v/>
      </c>
    </row>
    <row r="15195">
      <c r="J15195">
        <f>IFERROR(__xludf.DUMMYFUNCTION("""COMPUTED_VALUE"""),"Montréal; Ottawa")</f>
        <v/>
      </c>
      <c r="K15195">
        <f>IFERROR(__xludf.DUMMYFUNCTION("""COMPUTED_VALUE"""),1704.81)</f>
        <v/>
      </c>
    </row>
    <row r="15196">
      <c r="J15196">
        <f>IFERROR(__xludf.DUMMYFUNCTION("""COMPUTED_VALUE"""),"Long Island, New York, USA")</f>
        <v/>
      </c>
      <c r="K15196">
        <f>IFERROR(__xludf.DUMMYFUNCTION("""COMPUTED_VALUE"""),1704.78)</f>
        <v/>
      </c>
    </row>
    <row r="15197">
      <c r="J15197">
        <f>IFERROR(__xludf.DUMMYFUNCTION("""COMPUTED_VALUE"""),"Cambridge, Ontario, Canada / Waterloo, Ontario, Canada")</f>
        <v/>
      </c>
      <c r="K15197">
        <f>IFERROR(__xludf.DUMMYFUNCTION("""COMPUTED_VALUE"""),1704.47)</f>
        <v/>
      </c>
    </row>
    <row r="15198">
      <c r="J15198">
        <f>IFERROR(__xludf.DUMMYFUNCTION("""COMPUTED_VALUE"""),"Charlottetown,PEI")</f>
        <v/>
      </c>
      <c r="K15198">
        <f>IFERROR(__xludf.DUMMYFUNCTION("""COMPUTED_VALUE"""),1704.37)</f>
        <v/>
      </c>
    </row>
    <row r="15199">
      <c r="J15199">
        <f>IFERROR(__xludf.DUMMYFUNCTION("""COMPUTED_VALUE"""),"Montreal- Bagotville- Montreal")</f>
        <v/>
      </c>
      <c r="K15199">
        <f>IFERROR(__xludf.DUMMYFUNCTION("""COMPUTED_VALUE"""),1703.62)</f>
        <v/>
      </c>
    </row>
    <row r="15200">
      <c r="J15200">
        <f>IFERROR(__xludf.DUMMYFUNCTION("""COMPUTED_VALUE"""),"Springhill, NS")</f>
        <v/>
      </c>
      <c r="K15200">
        <f>IFERROR(__xludf.DUMMYFUNCTION("""COMPUTED_VALUE"""),1703.61)</f>
        <v/>
      </c>
    </row>
    <row r="15201">
      <c r="J15201">
        <f>IFERROR(__xludf.DUMMYFUNCTION("""COMPUTED_VALUE"""),"Toronto, ON and Washington, DC")</f>
        <v/>
      </c>
      <c r="K15201">
        <f>IFERROR(__xludf.DUMMYFUNCTION("""COMPUTED_VALUE"""),1703.6)</f>
        <v/>
      </c>
    </row>
    <row r="15202">
      <c r="J15202">
        <f>IFERROR(__xludf.DUMMYFUNCTION("""COMPUTED_VALUE"""),"Pembrooke, ON, Canada")</f>
        <v/>
      </c>
      <c r="K15202">
        <f>IFERROR(__xludf.DUMMYFUNCTION("""COMPUTED_VALUE"""),1703.2)</f>
        <v/>
      </c>
    </row>
    <row r="15203">
      <c r="J15203">
        <f>IFERROR(__xludf.DUMMYFUNCTION("""COMPUTED_VALUE"""),"St-John's, Newfoundland and Labrador and Montreal, Quebec")</f>
        <v/>
      </c>
      <c r="K15203">
        <f>IFERROR(__xludf.DUMMYFUNCTION("""COMPUTED_VALUE"""),1703.2)</f>
        <v/>
      </c>
    </row>
    <row r="15204">
      <c r="J15204">
        <f>IFERROR(__xludf.DUMMYFUNCTION("""COMPUTED_VALUE"""),"Toronto, Ontario, Canada; Mississauga, Ontario, Canada; Brampton, Ontario, Canada")</f>
        <v/>
      </c>
      <c r="K15204">
        <f>IFERROR(__xludf.DUMMYFUNCTION("""COMPUTED_VALUE"""),1702.47)</f>
        <v/>
      </c>
    </row>
    <row r="15205">
      <c r="J15205">
        <f>IFERROR(__xludf.DUMMYFUNCTION("""COMPUTED_VALUE"""),"Halifax, Nova Scotia, Canada; Gatineau, Quebec, Canada")</f>
        <v/>
      </c>
      <c r="K15205">
        <f>IFERROR(__xludf.DUMMYFUNCTION("""COMPUTED_VALUE"""),1702.35)</f>
        <v/>
      </c>
    </row>
    <row r="15206">
      <c r="J15206">
        <f>IFERROR(__xludf.DUMMYFUNCTION("""COMPUTED_VALUE"""),"Auckland, New Zealand / Wellington, New Zealand")</f>
        <v/>
      </c>
      <c r="K15206">
        <f>IFERROR(__xludf.DUMMYFUNCTION("""COMPUTED_VALUE"""),1702.24)</f>
        <v/>
      </c>
    </row>
    <row r="15207">
      <c r="J15207">
        <f>IFERROR(__xludf.DUMMYFUNCTION("""COMPUTED_VALUE"""),"Ottawa, BC, Manitoba")</f>
        <v/>
      </c>
      <c r="K15207">
        <f>IFERROR(__xludf.DUMMYFUNCTION("""COMPUTED_VALUE"""),1702.24)</f>
        <v/>
      </c>
    </row>
    <row r="15208">
      <c r="J15208">
        <f>IFERROR(__xludf.DUMMYFUNCTION("""COMPUTED_VALUE"""),"Calgary, Alberta, Canada; Surrey, British Columbia, Canada")</f>
        <v/>
      </c>
      <c r="K15208">
        <f>IFERROR(__xludf.DUMMYFUNCTION("""COMPUTED_VALUE"""),1701.99)</f>
        <v/>
      </c>
    </row>
    <row r="15209">
      <c r="J15209">
        <f>IFERROR(__xludf.DUMMYFUNCTION("""COMPUTED_VALUE"""),"Labrador City, Newfoundland and Labrador")</f>
        <v/>
      </c>
      <c r="K15209">
        <f>IFERROR(__xludf.DUMMYFUNCTION("""COMPUTED_VALUE"""),1701.82)</f>
        <v/>
      </c>
    </row>
    <row r="15210">
      <c r="J15210">
        <f>IFERROR(__xludf.DUMMYFUNCTION("""COMPUTED_VALUE"""),"St. John's and Goose Bay, Newfoundland")</f>
        <v/>
      </c>
      <c r="K15210">
        <f>IFERROR(__xludf.DUMMYFUNCTION("""COMPUTED_VALUE"""),1701.17)</f>
        <v/>
      </c>
    </row>
    <row r="15211">
      <c r="J15211">
        <f>IFERROR(__xludf.DUMMYFUNCTION("""COMPUTED_VALUE"""),"Halifax &amp; Sambro, Nova Scotia")</f>
        <v/>
      </c>
      <c r="K15211">
        <f>IFERROR(__xludf.DUMMYFUNCTION("""COMPUTED_VALUE"""),1700.53)</f>
        <v/>
      </c>
    </row>
    <row r="15212">
      <c r="J15212">
        <f>IFERROR(__xludf.DUMMYFUNCTION("""COMPUTED_VALUE"""),"New Brunswick and Quebec")</f>
        <v/>
      </c>
      <c r="K15212">
        <f>IFERROR(__xludf.DUMMYFUNCTION("""COMPUTED_VALUE"""),1700.06)</f>
        <v/>
      </c>
    </row>
    <row r="15213">
      <c r="J15213">
        <f>IFERROR(__xludf.DUMMYFUNCTION("""COMPUTED_VALUE"""),"Washington (DC) United StatesFairbanks (Alaska) United States")</f>
        <v/>
      </c>
      <c r="K15213">
        <f>IFERROR(__xludf.DUMMYFUNCTION("""COMPUTED_VALUE"""),1699.84)</f>
        <v/>
      </c>
    </row>
    <row r="15214">
      <c r="J15214">
        <f>IFERROR(__xludf.DUMMYFUNCTION("""COMPUTED_VALUE"""),"Oxford and London, United Kingdom")</f>
        <v/>
      </c>
      <c r="K15214">
        <f>IFERROR(__xludf.DUMMYFUNCTION("""COMPUTED_VALUE"""),1699.83)</f>
        <v/>
      </c>
    </row>
    <row r="15215">
      <c r="J15215">
        <f>IFERROR(__xludf.DUMMYFUNCTION("""COMPUTED_VALUE"""),"Woodstock, NB
St-John, NL")</f>
        <v/>
      </c>
      <c r="K15215">
        <f>IFERROR(__xludf.DUMMYFUNCTION("""COMPUTED_VALUE"""),1699.03)</f>
        <v/>
      </c>
    </row>
    <row r="15216">
      <c r="J15216">
        <f>IFERROR(__xludf.DUMMYFUNCTION("""COMPUTED_VALUE"""),"Saint-Paul de Vence, France")</f>
        <v/>
      </c>
      <c r="K15216">
        <f>IFERROR(__xludf.DUMMYFUNCTION("""COMPUTED_VALUE"""),1699)</f>
        <v/>
      </c>
    </row>
    <row r="15217">
      <c r="J15217">
        <f>IFERROR(__xludf.DUMMYFUNCTION("""COMPUTED_VALUE"""),"St-John's and Trinity Bay, Newfoundland")</f>
        <v/>
      </c>
      <c r="K15217">
        <f>IFERROR(__xludf.DUMMYFUNCTION("""COMPUTED_VALUE"""),1698.66)</f>
        <v/>
      </c>
    </row>
    <row r="15218">
      <c r="J15218">
        <f>IFERROR(__xludf.DUMMYFUNCTION("""COMPUTED_VALUE"""),"Georgian Bay and Fort George, Ontario")</f>
        <v/>
      </c>
      <c r="K15218">
        <f>IFERROR(__xludf.DUMMYFUNCTION("""COMPUTED_VALUE"""),1698.59)</f>
        <v/>
      </c>
    </row>
    <row r="15219">
      <c r="J15219">
        <f>IFERROR(__xludf.DUMMYFUNCTION("""COMPUTED_VALUE"""),"Las Vegas, Nevada, United States of America")</f>
        <v/>
      </c>
      <c r="K15219">
        <f>IFERROR(__xludf.DUMMYFUNCTION("""COMPUTED_VALUE"""),1698.52)</f>
        <v/>
      </c>
    </row>
    <row r="15220">
      <c r="J15220">
        <f>IFERROR(__xludf.DUMMYFUNCTION("""COMPUTED_VALUE"""),"Sarnia, ON / Kitchener, ON")</f>
        <v/>
      </c>
      <c r="K15220">
        <f>IFERROR(__xludf.DUMMYFUNCTION("""COMPUTED_VALUE"""),1698.39)</f>
        <v/>
      </c>
    </row>
    <row r="15221">
      <c r="J15221">
        <f>IFERROR(__xludf.DUMMYFUNCTION("""COMPUTED_VALUE"""),"Toronto, Ontario, Canada; London, Ontario, Canada; Stoney Creek, Ontario, Canada; Hamilton, Ontario, Canada; Barrie, Ontario, Canada")</f>
        <v/>
      </c>
      <c r="K15221">
        <f>IFERROR(__xludf.DUMMYFUNCTION("""COMPUTED_VALUE"""),1698.35)</f>
        <v/>
      </c>
    </row>
    <row r="15222">
      <c r="J15222">
        <f>IFERROR(__xludf.DUMMYFUNCTION("""COMPUTED_VALUE"""),"Forestville, Quebec,Canada")</f>
        <v/>
      </c>
      <c r="K15222">
        <f>IFERROR(__xludf.DUMMYFUNCTION("""COMPUTED_VALUE"""),1698.31)</f>
        <v/>
      </c>
    </row>
    <row r="15223">
      <c r="J15223">
        <f>IFERROR(__xludf.DUMMYFUNCTION("""COMPUTED_VALUE"""),"St. John's, Newfoundland and Labrador, Canada; Halifax, Nova Scotia, Canada; Ottawa, Ontario, Canada; Halifax, Nova Scotia, Canada; St. John's, Newfoundland and Labrador, Canada")</f>
        <v/>
      </c>
      <c r="K15223">
        <f>IFERROR(__xludf.DUMMYFUNCTION("""COMPUTED_VALUE"""),1698.19)</f>
        <v/>
      </c>
    </row>
    <row r="15224">
      <c r="J15224">
        <f>IFERROR(__xludf.DUMMYFUNCTION("""COMPUTED_VALUE"""),"Vancouver, British Columbia, Canada; Trois-Rivieres, Quebec, Canada")</f>
        <v/>
      </c>
      <c r="K15224">
        <f>IFERROR(__xludf.DUMMYFUNCTION("""COMPUTED_VALUE"""),1697.52)</f>
        <v/>
      </c>
    </row>
    <row r="15225">
      <c r="J15225">
        <f>IFERROR(__xludf.DUMMYFUNCTION("""COMPUTED_VALUE"""),"Kincardine, ON")</f>
        <v/>
      </c>
      <c r="K15225">
        <f>IFERROR(__xludf.DUMMYFUNCTION("""COMPUTED_VALUE"""),1697.2)</f>
        <v/>
      </c>
    </row>
    <row r="15226">
      <c r="J15226">
        <f>IFERROR(__xludf.DUMMYFUNCTION("""COMPUTED_VALUE"""),"Roberval and Quebec City, Quebec")</f>
        <v/>
      </c>
      <c r="K15226">
        <f>IFERROR(__xludf.DUMMYFUNCTION("""COMPUTED_VALUE"""),1697.17999999999)</f>
        <v/>
      </c>
    </row>
    <row r="15227">
      <c r="J15227">
        <f>IFERROR(__xludf.DUMMYFUNCTION("""COMPUTED_VALUE"""),"Guelph and Vineland, ON")</f>
        <v/>
      </c>
      <c r="K15227">
        <f>IFERROR(__xludf.DUMMYFUNCTION("""COMPUTED_VALUE"""),1696.78)</f>
        <v/>
      </c>
    </row>
    <row r="15228">
      <c r="J15228">
        <f>IFERROR(__xludf.DUMMYFUNCTION("""COMPUTED_VALUE"""),"Montreal, Quebec; Fredericton, New Brunswick")</f>
        <v/>
      </c>
      <c r="K15228">
        <f>IFERROR(__xludf.DUMMYFUNCTION("""COMPUTED_VALUE"""),1696.29)</f>
        <v/>
      </c>
    </row>
    <row r="15229">
      <c r="J15229">
        <f>IFERROR(__xludf.DUMMYFUNCTION("""COMPUTED_VALUE"""),"Montreal, Quebec and Montebello, QC")</f>
        <v/>
      </c>
      <c r="K15229">
        <f>IFERROR(__xludf.DUMMYFUNCTION("""COMPUTED_VALUE"""),1696.05)</f>
        <v/>
      </c>
    </row>
    <row r="15230">
      <c r="J15230">
        <f>IFERROR(__xludf.DUMMYFUNCTION("""COMPUTED_VALUE"""),"Shawinigan and Trois-Rivières, Quebec, Canada")</f>
        <v/>
      </c>
      <c r="K15230">
        <f>IFERROR(__xludf.DUMMYFUNCTION("""COMPUTED_VALUE"""),1696)</f>
        <v/>
      </c>
    </row>
    <row r="15231">
      <c r="J15231">
        <f>IFERROR(__xludf.DUMMYFUNCTION("""COMPUTED_VALUE"""),"Omaha, NE")</f>
        <v/>
      </c>
      <c r="K15231">
        <f>IFERROR(__xludf.DUMMYFUNCTION("""COMPUTED_VALUE"""),1695.67)</f>
        <v/>
      </c>
    </row>
    <row r="15232">
      <c r="J15232">
        <f>IFERROR(__xludf.DUMMYFUNCTION("""COMPUTED_VALUE"""),"Missisauga, Ontario")</f>
        <v/>
      </c>
      <c r="K15232">
        <f>IFERROR(__xludf.DUMMYFUNCTION("""COMPUTED_VALUE"""),1695.51)</f>
        <v/>
      </c>
    </row>
    <row r="15233">
      <c r="J15233">
        <f>IFERROR(__xludf.DUMMYFUNCTION("""COMPUTED_VALUE"""),"Cleveland, USA")</f>
        <v/>
      </c>
      <c r="K15233">
        <f>IFERROR(__xludf.DUMMYFUNCTION("""COMPUTED_VALUE"""),1695.49)</f>
        <v/>
      </c>
    </row>
    <row r="15234">
      <c r="J15234">
        <f>IFERROR(__xludf.DUMMYFUNCTION("""COMPUTED_VALUE"""),"Brandon and Winnipeg, Manitoba")</f>
        <v/>
      </c>
      <c r="K15234">
        <f>IFERROR(__xludf.DUMMYFUNCTION("""COMPUTED_VALUE"""),1695.44)</f>
        <v/>
      </c>
    </row>
    <row r="15235">
      <c r="J15235">
        <f>IFERROR(__xludf.DUMMYFUNCTION("""COMPUTED_VALUE"""),"Bowmanville, Ontario, Canada; Ottawa, Ontario, Canada")</f>
        <v/>
      </c>
      <c r="K15235">
        <f>IFERROR(__xludf.DUMMYFUNCTION("""COMPUTED_VALUE"""),1695.21)</f>
        <v/>
      </c>
    </row>
    <row r="15236">
      <c r="J15236">
        <f>IFERROR(__xludf.DUMMYFUNCTION("""COMPUTED_VALUE"""),"Calgary, Alberta, CanadaBanff, Alberta, Canada")</f>
        <v/>
      </c>
      <c r="K15236">
        <f>IFERROR(__xludf.DUMMYFUNCTION("""COMPUTED_VALUE"""),1694.64)</f>
        <v/>
      </c>
    </row>
    <row r="15237">
      <c r="J15237">
        <f>IFERROR(__xludf.DUMMYFUNCTION("""COMPUTED_VALUE"""),"Delta St. John's Hotel, St. John's, Newfoundland")</f>
        <v/>
      </c>
      <c r="K15237">
        <f>IFERROR(__xludf.DUMMYFUNCTION("""COMPUTED_VALUE"""),1693.93)</f>
        <v/>
      </c>
    </row>
    <row r="15238">
      <c r="J15238">
        <f>IFERROR(__xludf.DUMMYFUNCTION("""COMPUTED_VALUE"""),"Fredericton and Quispamsis, New Brunswick")</f>
        <v/>
      </c>
      <c r="K15238">
        <f>IFERROR(__xludf.DUMMYFUNCTION("""COMPUTED_VALUE"""),1693.86)</f>
        <v/>
      </c>
    </row>
    <row r="15239">
      <c r="J15239">
        <f>IFERROR(__xludf.DUMMYFUNCTION("""COMPUTED_VALUE"""),"Deer Lake, Newfoundland and Labrador, Canada; Bromont, Quebec, Canada: Toronto, Ontario, Canada")</f>
        <v/>
      </c>
      <c r="K15239">
        <f>IFERROR(__xludf.DUMMYFUNCTION("""COMPUTED_VALUE"""),1693.33)</f>
        <v/>
      </c>
    </row>
    <row r="15240">
      <c r="J15240">
        <f>IFERROR(__xludf.DUMMYFUNCTION("""COMPUTED_VALUE"""),"Gatineau, QC / Moncton, NB")</f>
        <v/>
      </c>
      <c r="K15240">
        <f>IFERROR(__xludf.DUMMYFUNCTION("""COMPUTED_VALUE"""),1693.17)</f>
        <v/>
      </c>
    </row>
    <row r="15241">
      <c r="J15241">
        <f>IFERROR(__xludf.DUMMYFUNCTION("""COMPUTED_VALUE"""),"Smith Falls, Ontario / Halifax, Nova Scotia")</f>
        <v/>
      </c>
      <c r="K15241">
        <f>IFERROR(__xludf.DUMMYFUNCTION("""COMPUTED_VALUE"""),1693.1)</f>
        <v/>
      </c>
    </row>
    <row r="15242">
      <c r="J15242">
        <f>IFERROR(__xludf.DUMMYFUNCTION("""COMPUTED_VALUE"""),"Montreal QC and Fredericton NB")</f>
        <v/>
      </c>
      <c r="K15242">
        <f>IFERROR(__xludf.DUMMYFUNCTION("""COMPUTED_VALUE"""),1692.69)</f>
        <v/>
      </c>
    </row>
    <row r="15243">
      <c r="J15243">
        <f>IFERROR(__xludf.DUMMYFUNCTION("""COMPUTED_VALUE"""),"Toronto, Ontario, Canada; London, Ontario, Canada; Hamilton, Ontario, Canada; Barrie, Ontario, Canada; Stoney Creek, Ontario, Canada")</f>
        <v/>
      </c>
      <c r="K15243">
        <f>IFERROR(__xludf.DUMMYFUNCTION("""COMPUTED_VALUE"""),1691.25)</f>
        <v/>
      </c>
    </row>
    <row r="15244">
      <c r="J15244">
        <f>IFERROR(__xludf.DUMMYFUNCTION("""COMPUTED_VALUE"""),"Toronto, Ontario, Canada; London, Ontario, Canada; Hamilton, Ontario, Canada; Stoney Creek, Ontario, Canada; Barrie, Ontario, Canada")</f>
        <v/>
      </c>
      <c r="K15244">
        <f>IFERROR(__xludf.DUMMYFUNCTION("""COMPUTED_VALUE"""),1691.25)</f>
        <v/>
      </c>
    </row>
    <row r="15245">
      <c r="J15245">
        <f>IFERROR(__xludf.DUMMYFUNCTION("""COMPUTED_VALUE"""),"Quebec, Toronto, Ottawa")</f>
        <v/>
      </c>
      <c r="K15245">
        <f>IFERROR(__xludf.DUMMYFUNCTION("""COMPUTED_VALUE"""),1690.67)</f>
        <v/>
      </c>
    </row>
    <row r="15246">
      <c r="J15246">
        <f>IFERROR(__xludf.DUMMYFUNCTION("""COMPUTED_VALUE"""),"Halifax, Nova Scotia, Canada; Montreal, Quebec, Canada; Quebec, Quebec, Canada")</f>
        <v/>
      </c>
      <c r="K15246">
        <f>IFERROR(__xludf.DUMMYFUNCTION("""COMPUTED_VALUE"""),1690.43)</f>
        <v/>
      </c>
    </row>
    <row r="15247">
      <c r="J15247">
        <f>IFERROR(__xludf.DUMMYFUNCTION("""COMPUTED_VALUE"""),"Regina / Saskatoon, Saskatchewan")</f>
        <v/>
      </c>
      <c r="K15247">
        <f>IFERROR(__xludf.DUMMYFUNCTION("""COMPUTED_VALUE"""),1690.16)</f>
        <v/>
      </c>
    </row>
    <row r="15248">
      <c r="J15248">
        <f>IFERROR(__xludf.DUMMYFUNCTION("""COMPUTED_VALUE"""),"Brazil, Barbadoa and Trinidad and Tobago")</f>
        <v/>
      </c>
      <c r="K15248">
        <f>IFERROR(__xludf.DUMMYFUNCTION("""COMPUTED_VALUE"""),1690.08)</f>
        <v/>
      </c>
    </row>
    <row r="15249">
      <c r="J15249">
        <f>IFERROR(__xludf.DUMMYFUNCTION("""COMPUTED_VALUE"""),"Markham, Ontario, Canada; Brampton, Ontario, Canada; Mississauga; Ontario, Canada; Burlington, Ontario, Canada")</f>
        <v/>
      </c>
      <c r="K15249">
        <f>IFERROR(__xludf.DUMMYFUNCTION("""COMPUTED_VALUE"""),1690.04)</f>
        <v/>
      </c>
    </row>
    <row r="15250">
      <c r="J15250">
        <f>IFERROR(__xludf.DUMMYFUNCTION("""COMPUTED_VALUE"""),"Sherbrooke, (Quebec)")</f>
        <v/>
      </c>
      <c r="K15250">
        <f>IFERROR(__xludf.DUMMYFUNCTION("""COMPUTED_VALUE"""),1689.7)</f>
        <v/>
      </c>
    </row>
    <row r="15251">
      <c r="J15251">
        <f>IFERROR(__xludf.DUMMYFUNCTION("""COMPUTED_VALUE"""),"Fredericton/Moncton/Charlottetown")</f>
        <v/>
      </c>
      <c r="K15251">
        <f>IFERROR(__xludf.DUMMYFUNCTION("""COMPUTED_VALUE"""),1689.69)</f>
        <v/>
      </c>
    </row>
    <row r="15252">
      <c r="J15252">
        <f>IFERROR(__xludf.DUMMYFUNCTION("""COMPUTED_VALUE"""),"Halifax, Nova scotia, and, Fredericton, New Brunswick, Canada")</f>
        <v/>
      </c>
      <c r="K15252">
        <f>IFERROR(__xludf.DUMMYFUNCTION("""COMPUTED_VALUE"""),1689.68)</f>
        <v/>
      </c>
    </row>
    <row r="15253">
      <c r="J15253">
        <f>IFERROR(__xludf.DUMMYFUNCTION("""COMPUTED_VALUE"""),"Halifax, NS / Bouctouche, NB / Moncton, NB")</f>
        <v/>
      </c>
      <c r="K15253">
        <f>IFERROR(__xludf.DUMMYFUNCTION("""COMPUTED_VALUE"""),1689.64)</f>
        <v/>
      </c>
    </row>
    <row r="15254">
      <c r="J15254">
        <f>IFERROR(__xludf.DUMMYFUNCTION("""COMPUTED_VALUE"""),"Lake Louise, Alberta / Vancouver, British Columbia")</f>
        <v/>
      </c>
      <c r="K15254">
        <f>IFERROR(__xludf.DUMMYFUNCTION("""COMPUTED_VALUE"""),1689.5)</f>
        <v/>
      </c>
    </row>
    <row r="15255">
      <c r="J15255">
        <f>IFERROR(__xludf.DUMMYFUNCTION("""COMPUTED_VALUE"""),"ST-JEAN-SUR-RICHELIEU, QUEBEC, CANADA")</f>
        <v/>
      </c>
      <c r="K15255">
        <f>IFERROR(__xludf.DUMMYFUNCTION("""COMPUTED_VALUE"""),1689.25)</f>
        <v/>
      </c>
    </row>
    <row r="15256">
      <c r="J15256">
        <f>IFERROR(__xludf.DUMMYFUNCTION("""COMPUTED_VALUE"""),"Vancouver and Haida Gwaii, British Columbia")</f>
        <v/>
      </c>
      <c r="K15256">
        <f>IFERROR(__xludf.DUMMYFUNCTION("""COMPUTED_VALUE"""),1689.24)</f>
        <v/>
      </c>
    </row>
    <row r="15257">
      <c r="J15257">
        <f>IFERROR(__xludf.DUMMYFUNCTION("""COMPUTED_VALUE"""),"Golden, BC / Calgary, AB")</f>
        <v/>
      </c>
      <c r="K15257">
        <f>IFERROR(__xludf.DUMMYFUNCTION("""COMPUTED_VALUE"""),1689)</f>
        <v/>
      </c>
    </row>
    <row r="15258">
      <c r="J15258">
        <f>IFERROR(__xludf.DUMMYFUNCTION("""COMPUTED_VALUE"""),"Montana, United States")</f>
        <v/>
      </c>
      <c r="K15258">
        <f>IFERROR(__xludf.DUMMYFUNCTION("""COMPUTED_VALUE"""),1688.83)</f>
        <v/>
      </c>
    </row>
    <row r="15259">
      <c r="J15259">
        <f>IFERROR(__xludf.DUMMYFUNCTION("""COMPUTED_VALUE"""),"Minas Gerais")</f>
        <v/>
      </c>
      <c r="K15259">
        <f>IFERROR(__xludf.DUMMYFUNCTION("""COMPUTED_VALUE"""),1688.8)</f>
        <v/>
      </c>
    </row>
    <row r="15260">
      <c r="J15260">
        <f>IFERROR(__xludf.DUMMYFUNCTION("""COMPUTED_VALUE"""),"Ottawa - Montréal - Lévis - Valcartier - Lévis - Ottawa")</f>
        <v/>
      </c>
      <c r="K15260">
        <f>IFERROR(__xludf.DUMMYFUNCTION("""COMPUTED_VALUE"""),1688.38)</f>
        <v/>
      </c>
    </row>
    <row r="15261">
      <c r="J15261">
        <f>IFERROR(__xludf.DUMMYFUNCTION("""COMPUTED_VALUE"""),"Ottawa, ON ; Moncton, NB")</f>
        <v/>
      </c>
      <c r="K15261">
        <f>IFERROR(__xludf.DUMMYFUNCTION("""COMPUTED_VALUE"""),1688.16)</f>
        <v/>
      </c>
    </row>
    <row r="15262">
      <c r="J15262">
        <f>IFERROR(__xludf.DUMMYFUNCTION("""COMPUTED_VALUE"""),"Gatineau, Quebec, Canada; Fredericton, New Brunswick, Canada; Moncton, New Brunswick, Canada")</f>
        <v/>
      </c>
      <c r="K15262">
        <f>IFERROR(__xludf.DUMMYFUNCTION("""COMPUTED_VALUE"""),1686.11)</f>
        <v/>
      </c>
    </row>
    <row r="15263">
      <c r="J15263">
        <f>IFERROR(__xludf.DUMMYFUNCTION("""COMPUTED_VALUE"""),"Saint John's, Newfoundland, Canada / Halifax, Nova Scotia, Canada")</f>
        <v/>
      </c>
      <c r="K15263">
        <f>IFERROR(__xludf.DUMMYFUNCTION("""COMPUTED_VALUE"""),1686.11)</f>
        <v/>
      </c>
    </row>
    <row r="15264">
      <c r="J15264">
        <f>IFERROR(__xludf.DUMMYFUNCTION("""COMPUTED_VALUE"""),"Calgary, Alberta Edmonton, Alberta")</f>
        <v/>
      </c>
      <c r="K15264">
        <f>IFERROR(__xludf.DUMMYFUNCTION("""COMPUTED_VALUE"""),1686)</f>
        <v/>
      </c>
    </row>
    <row r="15265">
      <c r="J15265">
        <f>IFERROR(__xludf.DUMMYFUNCTION("""COMPUTED_VALUE"""),"Ottawa, Ontario, Canada ; St. John's, Newfoundland, Canada")</f>
        <v/>
      </c>
      <c r="K15265">
        <f>IFERROR(__xludf.DUMMYFUNCTION("""COMPUTED_VALUE"""),1685.91)</f>
        <v/>
      </c>
    </row>
    <row r="15266">
      <c r="J15266">
        <f>IFERROR(__xludf.DUMMYFUNCTION("""COMPUTED_VALUE"""),"New Brunswick &amp; Nova Scotia")</f>
        <v/>
      </c>
      <c r="K15266">
        <f>IFERROR(__xludf.DUMMYFUNCTION("""COMPUTED_VALUE"""),1685.37)</f>
        <v/>
      </c>
    </row>
    <row r="15267">
      <c r="J15267">
        <f>IFERROR(__xludf.DUMMYFUNCTION("""COMPUTED_VALUE"""),"Petawawa (Ontario) Canada")</f>
        <v/>
      </c>
      <c r="K15267">
        <f>IFERROR(__xludf.DUMMYFUNCTION("""COMPUTED_VALUE"""),1685.14)</f>
        <v/>
      </c>
    </row>
    <row r="15268">
      <c r="J15268">
        <f>IFERROR(__xludf.DUMMYFUNCTION("""COMPUTED_VALUE"""),"Fredericton, NB and Charlottetwon, PEI")</f>
        <v/>
      </c>
      <c r="K15268">
        <f>IFERROR(__xludf.DUMMYFUNCTION("""COMPUTED_VALUE"""),1684.84)</f>
        <v/>
      </c>
    </row>
    <row r="15269">
      <c r="J15269">
        <f>IFERROR(__xludf.DUMMYFUNCTION("""COMPUTED_VALUE"""),"Manotick, Ontario, Canada")</f>
        <v/>
      </c>
      <c r="K15269">
        <f>IFERROR(__xludf.DUMMYFUNCTION("""COMPUTED_VALUE"""),1684.44)</f>
        <v/>
      </c>
    </row>
    <row r="15270">
      <c r="J15270">
        <f>IFERROR(__xludf.DUMMYFUNCTION("""COMPUTED_VALUE"""),"Charlottetown, Prince Edward Island, Canada
Grand-Manan, St. George and Moncton, New Brunswick, Canada")</f>
        <v/>
      </c>
      <c r="K15270">
        <f>IFERROR(__xludf.DUMMYFUNCTION("""COMPUTED_VALUE"""),1684.09)</f>
        <v/>
      </c>
    </row>
    <row r="15271">
      <c r="J15271">
        <f>IFERROR(__xludf.DUMMYFUNCTION("""COMPUTED_VALUE"""),"Chicoutimi, Quebec, Canada; Drummondville, Quebec, Canada; Quebec, Quebec, Canada")</f>
        <v/>
      </c>
      <c r="K15271">
        <f>IFERROR(__xludf.DUMMYFUNCTION("""COMPUTED_VALUE"""),1684)</f>
        <v/>
      </c>
    </row>
    <row r="15272">
      <c r="J15272">
        <f>IFERROR(__xludf.DUMMYFUNCTION("""COMPUTED_VALUE"""),"North Vancouver, British Columbia")</f>
        <v/>
      </c>
      <c r="K15272">
        <f>IFERROR(__xludf.DUMMYFUNCTION("""COMPUTED_VALUE"""),1683.93)</f>
        <v/>
      </c>
    </row>
    <row r="15273">
      <c r="J15273">
        <f>IFERROR(__xludf.DUMMYFUNCTION("""COMPUTED_VALUE"""),"Saskatoon, Saskatchewan, Canada; Regina, Saskatchewan, Canada; Vancouver, British Columbia, Canada")</f>
        <v/>
      </c>
      <c r="K15273">
        <f>IFERROR(__xludf.DUMMYFUNCTION("""COMPUTED_VALUE"""),1683.87)</f>
        <v/>
      </c>
    </row>
    <row r="15274">
      <c r="J15274">
        <f>IFERROR(__xludf.DUMMYFUNCTION("""COMPUTED_VALUE"""),"Livonia, Michigan")</f>
        <v/>
      </c>
      <c r="K15274">
        <f>IFERROR(__xludf.DUMMYFUNCTION("""COMPUTED_VALUE"""),1683.67)</f>
        <v/>
      </c>
    </row>
    <row r="15275">
      <c r="J15275">
        <f>IFERROR(__xludf.DUMMYFUNCTION("""COMPUTED_VALUE"""),"St. Catharines; Toronto")</f>
        <v/>
      </c>
      <c r="K15275">
        <f>IFERROR(__xludf.DUMMYFUNCTION("""COMPUTED_VALUE"""),1683.48)</f>
        <v/>
      </c>
    </row>
    <row r="15276">
      <c r="J15276">
        <f>IFERROR(__xludf.DUMMYFUNCTION("""COMPUTED_VALUE"""),"Dartmouth, Nova Scotia and St. John's, Newfoundland and Labrador")</f>
        <v/>
      </c>
      <c r="K15276">
        <f>IFERROR(__xludf.DUMMYFUNCTION("""COMPUTED_VALUE"""),1683.29)</f>
        <v/>
      </c>
    </row>
    <row r="15277">
      <c r="J15277">
        <f>IFERROR(__xludf.DUMMYFUNCTION("""COMPUTED_VALUE"""),"Guelph (Ontario) Canada; Vineland (Ontario) Canada")</f>
        <v/>
      </c>
      <c r="K15277">
        <f>IFERROR(__xludf.DUMMYFUNCTION("""COMPUTED_VALUE"""),1682.88)</f>
        <v/>
      </c>
    </row>
    <row r="15278">
      <c r="J15278">
        <f>IFERROR(__xludf.DUMMYFUNCTION("""COMPUTED_VALUE"""),"Achorage (Alaska) United States")</f>
        <v/>
      </c>
      <c r="K15278">
        <f>IFERROR(__xludf.DUMMYFUNCTION("""COMPUTED_VALUE"""),1682.84)</f>
        <v/>
      </c>
    </row>
    <row r="15279">
      <c r="J15279">
        <f>IFERROR(__xludf.DUMMYFUNCTION("""COMPUTED_VALUE"""),"Edmonton, AB and Ottawa, ON")</f>
        <v/>
      </c>
      <c r="K15279">
        <f>IFERROR(__xludf.DUMMYFUNCTION("""COMPUTED_VALUE"""),1682.67)</f>
        <v/>
      </c>
    </row>
    <row r="15280">
      <c r="J15280">
        <f>IFERROR(__xludf.DUMMYFUNCTION("""COMPUTED_VALUE"""),"Halifax, NS / Summerside, PE")</f>
        <v/>
      </c>
      <c r="K15280">
        <f>IFERROR(__xludf.DUMMYFUNCTION("""COMPUTED_VALUE"""),1682.64)</f>
        <v/>
      </c>
    </row>
    <row r="15281">
      <c r="J15281">
        <f>IFERROR(__xludf.DUMMYFUNCTION("""COMPUTED_VALUE"""),"Edmonton, Alberta / Vancouver, British Colombia / Toronto, Ontario, Canada")</f>
        <v/>
      </c>
      <c r="K15281">
        <f>IFERROR(__xludf.DUMMYFUNCTION("""COMPUTED_VALUE"""),1682.49)</f>
        <v/>
      </c>
    </row>
    <row r="15282">
      <c r="J15282">
        <f>IFERROR(__xludf.DUMMYFUNCTION("""COMPUTED_VALUE"""),"Deer Lake,  Newfoundland and Labrador, Canada")</f>
        <v/>
      </c>
      <c r="K15282">
        <f>IFERROR(__xludf.DUMMYFUNCTION("""COMPUTED_VALUE"""),1682.45)</f>
        <v/>
      </c>
    </row>
    <row r="15283">
      <c r="J15283">
        <f>IFERROR(__xludf.DUMMYFUNCTION("""COMPUTED_VALUE"""),"Seattle, United States and Vancouver, British Columbia")</f>
        <v/>
      </c>
      <c r="K15283">
        <f>IFERROR(__xludf.DUMMYFUNCTION("""COMPUTED_VALUE"""),1681.78)</f>
        <v/>
      </c>
    </row>
    <row r="15284">
      <c r="J15284">
        <f>IFERROR(__xludf.DUMMYFUNCTION("""COMPUTED_VALUE"""),"Ottawa- Toronto- Ottawa")</f>
        <v/>
      </c>
      <c r="K15284">
        <f>IFERROR(__xludf.DUMMYFUNCTION("""COMPUTED_VALUE"""),1681.62)</f>
        <v/>
      </c>
    </row>
    <row r="15285">
      <c r="J15285">
        <f>IFERROR(__xludf.DUMMYFUNCTION("""COMPUTED_VALUE"""),"Charlottetown/Montreal")</f>
        <v/>
      </c>
      <c r="K15285">
        <f>IFERROR(__xludf.DUMMYFUNCTION("""COMPUTED_VALUE"""),1681.55)</f>
        <v/>
      </c>
    </row>
    <row r="15286">
      <c r="J15286">
        <f>IFERROR(__xludf.DUMMYFUNCTION("""COMPUTED_VALUE"""),"Halifax, Nova Scotia, Canada/
Toronto, Ontario, Canada")</f>
        <v/>
      </c>
      <c r="K15286">
        <f>IFERROR(__xludf.DUMMYFUNCTION("""COMPUTED_VALUE"""),1681.54)</f>
        <v/>
      </c>
    </row>
    <row r="15287">
      <c r="J15287">
        <f>IFERROR(__xludf.DUMMYFUNCTION("""COMPUTED_VALUE"""),"Baddeck, Nova Scotia, Canada")</f>
        <v/>
      </c>
      <c r="K15287">
        <f>IFERROR(__xludf.DUMMYFUNCTION("""COMPUTED_VALUE"""),1681.42)</f>
        <v/>
      </c>
    </row>
    <row r="15288">
      <c r="J15288">
        <f>IFERROR(__xludf.DUMMYFUNCTION("""COMPUTED_VALUE"""),"Sydney, NS; Ottawa, ON; Halifax, NS")</f>
        <v/>
      </c>
      <c r="K15288">
        <f>IFERROR(__xludf.DUMMYFUNCTION("""COMPUTED_VALUE"""),1681.21)</f>
        <v/>
      </c>
    </row>
    <row r="15289">
      <c r="J15289">
        <f>IFERROR(__xludf.DUMMYFUNCTION("""COMPUTED_VALUE"""),"Sault Ste. Marie, Ontario, Canada; Sudbury, Ontario, Canada")</f>
        <v/>
      </c>
      <c r="K15289">
        <f>IFERROR(__xludf.DUMMYFUNCTION("""COMPUTED_VALUE"""),1681.1)</f>
        <v/>
      </c>
    </row>
    <row r="15290">
      <c r="J15290">
        <f>IFERROR(__xludf.DUMMYFUNCTION("""COMPUTED_VALUE"""),"Frédéricton NB")</f>
        <v/>
      </c>
      <c r="K15290">
        <f>IFERROR(__xludf.DUMMYFUNCTION("""COMPUTED_VALUE"""),1680.88)</f>
        <v/>
      </c>
    </row>
    <row r="15291">
      <c r="J15291">
        <f>IFERROR(__xludf.DUMMYFUNCTION("""COMPUTED_VALUE"""),"Halifax,N-S, Canada")</f>
        <v/>
      </c>
      <c r="K15291">
        <f>IFERROR(__xludf.DUMMYFUNCTION("""COMPUTED_VALUE"""),1680.09)</f>
        <v/>
      </c>
    </row>
    <row r="15292">
      <c r="J15292">
        <f>IFERROR(__xludf.DUMMYFUNCTION("""COMPUTED_VALUE"""),"Romania, Bucharest")</f>
        <v/>
      </c>
      <c r="K15292">
        <f>IFERROR(__xludf.DUMMYFUNCTION("""COMPUTED_VALUE"""),1680)</f>
        <v/>
      </c>
    </row>
    <row r="15293">
      <c r="J15293">
        <f>IFERROR(__xludf.DUMMYFUNCTION("""COMPUTED_VALUE"""),"Moose Jaw, Canada")</f>
        <v/>
      </c>
      <c r="K15293">
        <f>IFERROR(__xludf.DUMMYFUNCTION("""COMPUTED_VALUE"""),1679.7)</f>
        <v/>
      </c>
    </row>
    <row r="15294">
      <c r="J15294">
        <f>IFERROR(__xludf.DUMMYFUNCTION("""COMPUTED_VALUE"""),"Trois Rivières / Ottawa")</f>
        <v/>
      </c>
      <c r="K15294">
        <f>IFERROR(__xludf.DUMMYFUNCTION("""COMPUTED_VALUE"""),1679.25)</f>
        <v/>
      </c>
    </row>
    <row r="15295">
      <c r="J15295">
        <f>IFERROR(__xludf.DUMMYFUNCTION("""COMPUTED_VALUE"""),"Calgary, AB and Toronto,ON")</f>
        <v/>
      </c>
      <c r="K15295">
        <f>IFERROR(__xludf.DUMMYFUNCTION("""COMPUTED_VALUE"""),1678.71)</f>
        <v/>
      </c>
    </row>
    <row r="15296">
      <c r="J15296">
        <f>IFERROR(__xludf.DUMMYFUNCTION("""COMPUTED_VALUE"""),"Mumbai/Pune")</f>
        <v/>
      </c>
      <c r="K15296">
        <f>IFERROR(__xludf.DUMMYFUNCTION("""COMPUTED_VALUE"""),1678.7)</f>
        <v/>
      </c>
    </row>
    <row r="15297">
      <c r="J15297">
        <f>IFERROR(__xludf.DUMMYFUNCTION("""COMPUTED_VALUE"""),"Saint-Hyacinthe, QC")</f>
        <v/>
      </c>
      <c r="K15297">
        <f>IFERROR(__xludf.DUMMYFUNCTION("""COMPUTED_VALUE"""),1678.25)</f>
        <v/>
      </c>
    </row>
    <row r="15298">
      <c r="J15298">
        <f>IFERROR(__xludf.DUMMYFUNCTION("""COMPUTED_VALUE"""),"Halifax, Fredericton, Otttawa")</f>
        <v/>
      </c>
      <c r="K15298">
        <f>IFERROR(__xludf.DUMMYFUNCTION("""COMPUTED_VALUE"""),1677.92)</f>
        <v/>
      </c>
    </row>
    <row r="15299">
      <c r="J15299">
        <f>IFERROR(__xludf.DUMMYFUNCTION("""COMPUTED_VALUE"""),"Toronto, Ontario, Canada; London, Ontario, Canada; Ottawa, Ontario, Canada")</f>
        <v/>
      </c>
      <c r="K15299">
        <f>IFERROR(__xludf.DUMMYFUNCTION("""COMPUTED_VALUE"""),1677.89)</f>
        <v/>
      </c>
    </row>
    <row r="15300">
      <c r="J15300">
        <f>IFERROR(__xludf.DUMMYFUNCTION("""COMPUTED_VALUE"""),"Charlottetown, Prince Edward Island, Canada; Halifax, Nova Scotia, Canada; St. John's, Newfoundland and Labrador, Canada; Halifax, Nova Scotia, Canada")</f>
        <v/>
      </c>
      <c r="K15300">
        <f>IFERROR(__xludf.DUMMYFUNCTION("""COMPUTED_VALUE"""),1677.74)</f>
        <v/>
      </c>
    </row>
    <row r="15301">
      <c r="J15301">
        <f>IFERROR(__xludf.DUMMYFUNCTION("""COMPUTED_VALUE"""),"St. John's NFLD")</f>
        <v/>
      </c>
      <c r="K15301">
        <f>IFERROR(__xludf.DUMMYFUNCTION("""COMPUTED_VALUE"""),1677.66)</f>
        <v/>
      </c>
    </row>
    <row r="15302">
      <c r="J15302">
        <f>IFERROR(__xludf.DUMMYFUNCTION("""COMPUTED_VALUE"""),"Phonom Penh, Cambodia; Bali, Indonesia; Bangkok, Thailand; Djerba, Tunisia")</f>
        <v/>
      </c>
      <c r="K15302">
        <f>IFERROR(__xludf.DUMMYFUNCTION("""COMPUTED_VALUE"""),1677.11)</f>
        <v/>
      </c>
    </row>
    <row r="15303">
      <c r="J15303">
        <f>IFERROR(__xludf.DUMMYFUNCTION("""COMPUTED_VALUE"""),"Mahone Bay, Nova Scotia")</f>
        <v/>
      </c>
      <c r="K15303">
        <f>IFERROR(__xludf.DUMMYFUNCTION("""COMPUTED_VALUE"""),1677.05)</f>
        <v/>
      </c>
    </row>
    <row r="15304">
      <c r="J15304">
        <f>IFERROR(__xludf.DUMMYFUNCTION("""COMPUTED_VALUE"""),"Moncton, New Brunswick, Canada, Halifax, Nova-Scotia, Canada")</f>
        <v/>
      </c>
      <c r="K15304">
        <f>IFERROR(__xludf.DUMMYFUNCTION("""COMPUTED_VALUE"""),1676.6)</f>
        <v/>
      </c>
    </row>
    <row r="15305">
      <c r="J15305">
        <f>IFERROR(__xludf.DUMMYFUNCTION("""COMPUTED_VALUE"""),"Banff &amp; Calgary, Alberta")</f>
        <v/>
      </c>
      <c r="K15305">
        <f>IFERROR(__xludf.DUMMYFUNCTION("""COMPUTED_VALUE"""),1676.48)</f>
        <v/>
      </c>
    </row>
    <row r="15306">
      <c r="J15306">
        <f>IFERROR(__xludf.DUMMYFUNCTION("""COMPUTED_VALUE"""),"Quebec, Quebec, Canada; Sherbrooke, Quebec, Canada")</f>
        <v/>
      </c>
      <c r="K15306">
        <f>IFERROR(__xludf.DUMMYFUNCTION("""COMPUTED_VALUE"""),1676.41)</f>
        <v/>
      </c>
    </row>
    <row r="15307">
      <c r="J15307">
        <f>IFERROR(__xludf.DUMMYFUNCTION("""COMPUTED_VALUE"""),"Halifax, Nova Scotia; Charlottetown, Prince Edward Island; Vancouver, British Columbia")</f>
        <v/>
      </c>
      <c r="K15307">
        <f>IFERROR(__xludf.DUMMYFUNCTION("""COMPUTED_VALUE"""),1675.65)</f>
        <v/>
      </c>
    </row>
    <row r="15308">
      <c r="J15308">
        <f>IFERROR(__xludf.DUMMYFUNCTION("""COMPUTED_VALUE"""),"Québec, Québec; Halifax, Nova Scotia")</f>
        <v/>
      </c>
      <c r="K15308">
        <f>IFERROR(__xludf.DUMMYFUNCTION("""COMPUTED_VALUE"""),1675.49)</f>
        <v/>
      </c>
    </row>
    <row r="15309">
      <c r="J15309">
        <f>IFERROR(__xludf.DUMMYFUNCTION("""COMPUTED_VALUE"""),"Vancouver/Port Renfrew/Tofino, British Columbia")</f>
        <v/>
      </c>
      <c r="K15309">
        <f>IFERROR(__xludf.DUMMYFUNCTION("""COMPUTED_VALUE"""),1675.2)</f>
        <v/>
      </c>
    </row>
    <row r="15310">
      <c r="J15310">
        <f>IFERROR(__xludf.DUMMYFUNCTION("""COMPUTED_VALUE"""),"Québec City, Quebec")</f>
        <v/>
      </c>
      <c r="K15310">
        <f>IFERROR(__xludf.DUMMYFUNCTION("""COMPUTED_VALUE"""),1674.83)</f>
        <v/>
      </c>
    </row>
    <row r="15311">
      <c r="J15311">
        <f>IFERROR(__xludf.DUMMYFUNCTION("""COMPUTED_VALUE"""),"Yellowknife,NWT and Kugluktuk,Nu")</f>
        <v/>
      </c>
      <c r="K15311">
        <f>IFERROR(__xludf.DUMMYFUNCTION("""COMPUTED_VALUE"""),1674.78)</f>
        <v/>
      </c>
    </row>
    <row r="15312">
      <c r="J15312">
        <f>IFERROR(__xludf.DUMMYFUNCTION("""COMPUTED_VALUE"""),"Vancouver to Ottawa")</f>
        <v/>
      </c>
      <c r="K15312">
        <f>IFERROR(__xludf.DUMMYFUNCTION("""COMPUTED_VALUE"""),1674.7)</f>
        <v/>
      </c>
    </row>
    <row r="15313">
      <c r="J15313">
        <f>IFERROR(__xludf.DUMMYFUNCTION("""COMPUTED_VALUE"""),"Carlisle and Washington")</f>
        <v/>
      </c>
      <c r="K15313">
        <f>IFERROR(__xludf.DUMMYFUNCTION("""COMPUTED_VALUE"""),1674.65)</f>
        <v/>
      </c>
    </row>
    <row r="15314">
      <c r="J15314">
        <f>IFERROR(__xludf.DUMMYFUNCTION("""COMPUTED_VALUE"""),"Bernières-Sur-Mer / Courseulles-Sur-Mer, France")</f>
        <v/>
      </c>
      <c r="K15314">
        <f>IFERROR(__xludf.DUMMYFUNCTION("""COMPUTED_VALUE"""),1674.42)</f>
        <v/>
      </c>
    </row>
    <row r="15315">
      <c r="J15315">
        <f>IFERROR(__xludf.DUMMYFUNCTION("""COMPUTED_VALUE"""),"Riga, Latvia                                                 Naples, Italy")</f>
        <v/>
      </c>
      <c r="K15315">
        <f>IFERROR(__xludf.DUMMYFUNCTION("""COMPUTED_VALUE"""),1674.38)</f>
        <v/>
      </c>
    </row>
    <row r="15316">
      <c r="J15316">
        <f>IFERROR(__xludf.DUMMYFUNCTION("""COMPUTED_VALUE"""),"Toronto, Ontario, London, Ontario")</f>
        <v/>
      </c>
      <c r="K15316">
        <f>IFERROR(__xludf.DUMMYFUNCTION("""COMPUTED_VALUE"""),1673.87)</f>
        <v/>
      </c>
    </row>
    <row r="15317">
      <c r="J15317">
        <f>IFERROR(__xludf.DUMMYFUNCTION("""COMPUTED_VALUE"""),"Montréal , Québec")</f>
        <v/>
      </c>
      <c r="K15317">
        <f>IFERROR(__xludf.DUMMYFUNCTION("""COMPUTED_VALUE"""),1672.54)</f>
        <v/>
      </c>
    </row>
    <row r="15318">
      <c r="J15318">
        <f>IFERROR(__xludf.DUMMYFUNCTION("""COMPUTED_VALUE"""),"Gaspé,QC")</f>
        <v/>
      </c>
      <c r="K15318">
        <f>IFERROR(__xludf.DUMMYFUNCTION("""COMPUTED_VALUE"""),1672.41)</f>
        <v/>
      </c>
    </row>
    <row r="15319">
      <c r="J15319">
        <f>IFERROR(__xludf.DUMMYFUNCTION("""COMPUTED_VALUE"""),"GATINEAU, OTTAWA, TORONTO, OTTAWA, GATINEAU")</f>
        <v/>
      </c>
      <c r="K15319">
        <f>IFERROR(__xludf.DUMMYFUNCTION("""COMPUTED_VALUE"""),1671.9)</f>
        <v/>
      </c>
    </row>
    <row r="15320">
      <c r="J15320">
        <f>IFERROR(__xludf.DUMMYFUNCTION("""COMPUTED_VALUE"""),"Levis-Calgary-Levis")</f>
        <v/>
      </c>
      <c r="K15320">
        <f>IFERROR(__xludf.DUMMYFUNCTION("""COMPUTED_VALUE"""),1671.45)</f>
        <v/>
      </c>
    </row>
    <row r="15321">
      <c r="J15321">
        <f>IFERROR(__xludf.DUMMYFUNCTION("""COMPUTED_VALUE"""),"Montreal, Quebec, Canada; Quebec City, Quebec, Canada; Toronto, Ontario, Canada; Peterborough, Ontario, Canada")</f>
        <v/>
      </c>
      <c r="K15321">
        <f>IFERROR(__xludf.DUMMYFUNCTION("""COMPUTED_VALUE"""),1670.39)</f>
        <v/>
      </c>
    </row>
    <row r="15322">
      <c r="J15322">
        <f>IFERROR(__xludf.DUMMYFUNCTION("""COMPUTED_VALUE"""),"Warkworth, Ontario, Canada")</f>
        <v/>
      </c>
      <c r="K15322">
        <f>IFERROR(__xludf.DUMMYFUNCTION("""COMPUTED_VALUE"""),1669.84)</f>
        <v/>
      </c>
    </row>
    <row r="15323">
      <c r="J15323">
        <f>IFERROR(__xludf.DUMMYFUNCTION("""COMPUTED_VALUE"""),"Halifax / St-John's")</f>
        <v/>
      </c>
      <c r="K15323">
        <f>IFERROR(__xludf.DUMMYFUNCTION("""COMPUTED_VALUE"""),1669.61)</f>
        <v/>
      </c>
    </row>
    <row r="15324">
      <c r="J15324">
        <f>IFERROR(__xludf.DUMMYFUNCTION("""COMPUTED_VALUE"""),"Quebec-Vancouver-Ottawa")</f>
        <v/>
      </c>
      <c r="K15324">
        <f>IFERROR(__xludf.DUMMYFUNCTION("""COMPUTED_VALUE"""),1669.59)</f>
        <v/>
      </c>
    </row>
    <row r="15325">
      <c r="J15325">
        <f>IFERROR(__xludf.DUMMYFUNCTION("""COMPUTED_VALUE"""),"Sao Paulo, Brazil; Toronto, Ontario, Canada")</f>
        <v/>
      </c>
      <c r="K15325">
        <f>IFERROR(__xludf.DUMMYFUNCTION("""COMPUTED_VALUE"""),1669.57)</f>
        <v/>
      </c>
    </row>
    <row r="15326">
      <c r="J15326">
        <f>IFERROR(__xludf.DUMMYFUNCTION("""COMPUTED_VALUE"""),"Nashville, TN")</f>
        <v/>
      </c>
      <c r="K15326">
        <f>IFERROR(__xludf.DUMMYFUNCTION("""COMPUTED_VALUE"""),1669.17)</f>
        <v/>
      </c>
    </row>
    <row r="15327">
      <c r="J15327">
        <f>IFERROR(__xludf.DUMMYFUNCTION("""COMPUTED_VALUE"""),"Recife, Sao Paulo")</f>
        <v/>
      </c>
      <c r="K15327">
        <f>IFERROR(__xludf.DUMMYFUNCTION("""COMPUTED_VALUE"""),1667.84)</f>
        <v/>
      </c>
    </row>
    <row r="15328">
      <c r="J15328">
        <f>IFERROR(__xludf.DUMMYFUNCTION("""COMPUTED_VALUE"""),"St. Johns, NFLD, Toronto, ON")</f>
        <v/>
      </c>
      <c r="K15328">
        <f>IFERROR(__xludf.DUMMYFUNCTION("""COMPUTED_VALUE"""),1667.61)</f>
        <v/>
      </c>
    </row>
    <row r="15329">
      <c r="J15329">
        <f>IFERROR(__xludf.DUMMYFUNCTION("""COMPUTED_VALUE"""),"Kelowna, Lake County, Penticton, Vernon, Kamloops, Hope and Abbottsford, British-Columbia")</f>
        <v/>
      </c>
      <c r="K15329">
        <f>IFERROR(__xludf.DUMMYFUNCTION("""COMPUTED_VALUE"""),1667.53)</f>
        <v/>
      </c>
    </row>
    <row r="15330">
      <c r="J15330">
        <f>IFERROR(__xludf.DUMMYFUNCTION("""COMPUTED_VALUE"""),"Sarnia, ON")</f>
        <v/>
      </c>
      <c r="K15330">
        <f>IFERROR(__xludf.DUMMYFUNCTION("""COMPUTED_VALUE"""),1667.29)</f>
        <v/>
      </c>
    </row>
    <row r="15331">
      <c r="J15331">
        <f>IFERROR(__xludf.DUMMYFUNCTION("""COMPUTED_VALUE"""),"Iqaluit, Nunavut, Canada; Yellowknife, Northwest Territories, Canada; Whitehorse, Yukon, Canada")</f>
        <v/>
      </c>
      <c r="K15331">
        <f>IFERROR(__xludf.DUMMYFUNCTION("""COMPUTED_VALUE"""),1667.2)</f>
        <v/>
      </c>
    </row>
    <row r="15332">
      <c r="J15332">
        <f>IFERROR(__xludf.DUMMYFUNCTION("""COMPUTED_VALUE"""),"Ottawa - Correctionnal Learning Development Centre + Ottawa - Marriott Hotel, 100 Rue Kent")</f>
        <v/>
      </c>
      <c r="K15332">
        <f>IFERROR(__xludf.DUMMYFUNCTION("""COMPUTED_VALUE"""),1667.06)</f>
        <v/>
      </c>
    </row>
    <row r="15333">
      <c r="J15333">
        <f>IFERROR(__xludf.DUMMYFUNCTION("""COMPUTED_VALUE"""),"Woodbridge, Ontario, Canada")</f>
        <v/>
      </c>
      <c r="K15333">
        <f>IFERROR(__xludf.DUMMYFUNCTION("""COMPUTED_VALUE"""),1666)</f>
        <v/>
      </c>
    </row>
    <row r="15334">
      <c r="J15334">
        <f>IFERROR(__xludf.DUMMYFUNCTION("""COMPUTED_VALUE"""),"Nepal")</f>
        <v/>
      </c>
      <c r="K15334">
        <f>IFERROR(__xludf.DUMMYFUNCTION("""COMPUTED_VALUE"""),1665.97)</f>
        <v/>
      </c>
    </row>
    <row r="15335">
      <c r="J15335">
        <f>IFERROR(__xludf.DUMMYFUNCTION("""COMPUTED_VALUE"""),"Cranbrook, Comox, and Campbell River, British Columbia, Canada")</f>
        <v/>
      </c>
      <c r="K15335">
        <f>IFERROR(__xludf.DUMMYFUNCTION("""COMPUTED_VALUE"""),1665.85)</f>
        <v/>
      </c>
    </row>
    <row r="15336">
      <c r="J15336">
        <f>IFERROR(__xludf.DUMMYFUNCTION("""COMPUTED_VALUE"""),"Manhattan, Kansas, United States
Kansas, Missouri, United States")</f>
        <v/>
      </c>
      <c r="K15336">
        <f>IFERROR(__xludf.DUMMYFUNCTION("""COMPUTED_VALUE"""),1665.79)</f>
        <v/>
      </c>
    </row>
    <row r="15337">
      <c r="J15337">
        <f>IFERROR(__xludf.DUMMYFUNCTION("""COMPUTED_VALUE"""),"New Orleans, state of Louisiana, United States")</f>
        <v/>
      </c>
      <c r="K15337">
        <f>IFERROR(__xludf.DUMMYFUNCTION("""COMPUTED_VALUE"""),1665.72)</f>
        <v/>
      </c>
    </row>
    <row r="15338">
      <c r="J15338">
        <f>IFERROR(__xludf.DUMMYFUNCTION("""COMPUTED_VALUE"""),"St. John, Newfoundland and Labrador, Canada &amp; Montreal, Quebec, Canada")</f>
        <v/>
      </c>
      <c r="K15338">
        <f>IFERROR(__xludf.DUMMYFUNCTION("""COMPUTED_VALUE"""),1665.56)</f>
        <v/>
      </c>
    </row>
    <row r="15339">
      <c r="J15339">
        <f>IFERROR(__xludf.DUMMYFUNCTION("""COMPUTED_VALUE"""),"Moncton, NB - Ottawa, ON / Ottawa, ON - Halifax, NS")</f>
        <v/>
      </c>
      <c r="K15339">
        <f>IFERROR(__xludf.DUMMYFUNCTION("""COMPUTED_VALUE"""),1665.44)</f>
        <v/>
      </c>
    </row>
    <row r="15340">
      <c r="J15340">
        <f>IFERROR(__xludf.DUMMYFUNCTION("""COMPUTED_VALUE"""),"Toronto, Ontario, Canada; Mississauga, Ontario, Canada; London, Ontario, Canada; Milton, Ontario, Canada; Oakville, Ontario, Canada")</f>
        <v/>
      </c>
      <c r="K15340">
        <f>IFERROR(__xludf.DUMMYFUNCTION("""COMPUTED_VALUE"""),1664.87)</f>
        <v/>
      </c>
    </row>
    <row r="15341">
      <c r="J15341">
        <f>IFERROR(__xludf.DUMMYFUNCTION("""COMPUTED_VALUE"""),"Banff, Alberta / Vancouver, British Columbia, Canada")</f>
        <v/>
      </c>
      <c r="K15341">
        <f>IFERROR(__xludf.DUMMYFUNCTION("""COMPUTED_VALUE"""),1664.59)</f>
        <v/>
      </c>
    </row>
    <row r="15342">
      <c r="J15342">
        <f>IFERROR(__xludf.DUMMYFUNCTION("""COMPUTED_VALUE"""),"Toronto, Ontario, (Canada)
Halifax, Quebec, (Canada)")</f>
        <v/>
      </c>
      <c r="K15342">
        <f>IFERROR(__xludf.DUMMYFUNCTION("""COMPUTED_VALUE"""),1664.48)</f>
        <v/>
      </c>
    </row>
    <row r="15343">
      <c r="J15343">
        <f>IFERROR(__xludf.DUMMYFUNCTION("""COMPUTED_VALUE"""),"Saint John; Halifax, Nova Scotia, Canada")</f>
        <v/>
      </c>
      <c r="K15343">
        <f>IFERROR(__xludf.DUMMYFUNCTION("""COMPUTED_VALUE"""),1664.32)</f>
        <v/>
      </c>
    </row>
    <row r="15344">
      <c r="J15344">
        <f>IFERROR(__xludf.DUMMYFUNCTION("""COMPUTED_VALUE"""),"Sandspit, British Colombia")</f>
        <v/>
      </c>
      <c r="K15344">
        <f>IFERROR(__xludf.DUMMYFUNCTION("""COMPUTED_VALUE"""),1664.17)</f>
        <v/>
      </c>
    </row>
    <row r="15345">
      <c r="J15345">
        <f>IFERROR(__xludf.DUMMYFUNCTION("""COMPUTED_VALUE"""),"Vancouver, British-Colombia,Canada")</f>
        <v/>
      </c>
      <c r="K15345">
        <f>IFERROR(__xludf.DUMMYFUNCTION("""COMPUTED_VALUE"""),1664.06)</f>
        <v/>
      </c>
    </row>
    <row r="15346">
      <c r="J15346">
        <f>IFERROR(__xludf.DUMMYFUNCTION("""COMPUTED_VALUE"""),"Dartmouth, Nova Scotia, Canada; Ottawa, Ontario, Canada")</f>
        <v/>
      </c>
      <c r="K15346">
        <f>IFERROR(__xludf.DUMMYFUNCTION("""COMPUTED_VALUE"""),1664.03)</f>
        <v/>
      </c>
    </row>
    <row r="15347">
      <c r="J15347">
        <f>IFERROR(__xludf.DUMMYFUNCTION("""COMPUTED_VALUE"""),"Calgary, Banff, Jasper, Edmonton (Alberta) Canada")</f>
        <v/>
      </c>
      <c r="K15347">
        <f>IFERROR(__xludf.DUMMYFUNCTION("""COMPUTED_VALUE"""),1663.93)</f>
        <v/>
      </c>
    </row>
    <row r="15348">
      <c r="J15348">
        <f>IFERROR(__xludf.DUMMYFUNCTION("""COMPUTED_VALUE"""),"Kitchener / London, ON")</f>
        <v/>
      </c>
      <c r="K15348">
        <f>IFERROR(__xludf.DUMMYFUNCTION("""COMPUTED_VALUE"""),1663.91)</f>
        <v/>
      </c>
    </row>
    <row r="15349">
      <c r="J15349">
        <f>IFERROR(__xludf.DUMMYFUNCTION("""COMPUTED_VALUE"""),"Victoria (British Columbia) and Ottawa (Ontario)")</f>
        <v/>
      </c>
      <c r="K15349">
        <f>IFERROR(__xludf.DUMMYFUNCTION("""COMPUTED_VALUE"""),1663.75)</f>
        <v/>
      </c>
    </row>
    <row r="15350">
      <c r="J15350">
        <f>IFERROR(__xludf.DUMMYFUNCTION("""COMPUTED_VALUE"""),"Delta, BC")</f>
        <v/>
      </c>
      <c r="K15350">
        <f>IFERROR(__xludf.DUMMYFUNCTION("""COMPUTED_VALUE"""),1663.4)</f>
        <v/>
      </c>
    </row>
    <row r="15351">
      <c r="J15351">
        <f>IFERROR(__xludf.DUMMYFUNCTION("""COMPUTED_VALUE"""),"Charlottetown, Yarmouth, Digby and Halifax")</f>
        <v/>
      </c>
      <c r="K15351">
        <f>IFERROR(__xludf.DUMMYFUNCTION("""COMPUTED_VALUE"""),1663.18)</f>
        <v/>
      </c>
    </row>
    <row r="15352">
      <c r="J15352">
        <f>IFERROR(__xludf.DUMMYFUNCTION("""COMPUTED_VALUE"""),"Ottawa - Calgary - Edmonton - Ottawa")</f>
        <v/>
      </c>
      <c r="K15352">
        <f>IFERROR(__xludf.DUMMYFUNCTION("""COMPUTED_VALUE"""),1663.01)</f>
        <v/>
      </c>
    </row>
    <row r="15353">
      <c r="J15353">
        <f>IFERROR(__xludf.DUMMYFUNCTION("""COMPUTED_VALUE"""),"Chicoutimi, Quebec and Quebec, Quebec")</f>
        <v/>
      </c>
      <c r="K15353">
        <f>IFERROR(__xludf.DUMMYFUNCTION("""COMPUTED_VALUE"""),1662.98)</f>
        <v/>
      </c>
    </row>
    <row r="15354">
      <c r="J15354">
        <f>IFERROR(__xludf.DUMMYFUNCTION("""COMPUTED_VALUE"""),"Toronto, Calgary, Ontario, (Canada)")</f>
        <v/>
      </c>
      <c r="K15354">
        <f>IFERROR(__xludf.DUMMYFUNCTION("""COMPUTED_VALUE"""),1662.73)</f>
        <v/>
      </c>
    </row>
    <row r="15355">
      <c r="J15355">
        <f>IFERROR(__xludf.DUMMYFUNCTION("""COMPUTED_VALUE"""),"Winnipeg, Manitoba, Canada &amp; Regina, Saskatchewan, Canada")</f>
        <v/>
      </c>
      <c r="K15355">
        <f>IFERROR(__xludf.DUMMYFUNCTION("""COMPUTED_VALUE"""),1662.71)</f>
        <v/>
      </c>
    </row>
    <row r="15356">
      <c r="J15356">
        <f>IFERROR(__xludf.DUMMYFUNCTION("""COMPUTED_VALUE"""),"CFB Esquimalt, British Colombia")</f>
        <v/>
      </c>
      <c r="K15356">
        <f>IFERROR(__xludf.DUMMYFUNCTION("""COMPUTED_VALUE"""),1662.59)</f>
        <v/>
      </c>
    </row>
    <row r="15357">
      <c r="J15357">
        <f>IFERROR(__xludf.DUMMYFUNCTION("""COMPUTED_VALUE"""),"Quebec, Quebec, Canada / Saguenay, Quebec, Canada")</f>
        <v/>
      </c>
      <c r="K15357">
        <f>IFERROR(__xludf.DUMMYFUNCTION("""COMPUTED_VALUE"""),1662.58)</f>
        <v/>
      </c>
    </row>
    <row r="15358">
      <c r="J15358">
        <f>IFERROR(__xludf.DUMMYFUNCTION("""COMPUTED_VALUE"""),"Alexandria, VA")</f>
        <v/>
      </c>
      <c r="K15358">
        <f>IFERROR(__xludf.DUMMYFUNCTION("""COMPUTED_VALUE"""),1662.38)</f>
        <v/>
      </c>
    </row>
    <row r="15359">
      <c r="J15359">
        <f>IFERROR(__xludf.DUMMYFUNCTION("""COMPUTED_VALUE"""),"Québec, Chicoutimi, (Quebec)")</f>
        <v/>
      </c>
      <c r="K15359">
        <f>IFERROR(__xludf.DUMMYFUNCTION("""COMPUTED_VALUE"""),1662.14)</f>
        <v/>
      </c>
    </row>
    <row r="15360">
      <c r="J15360">
        <f>IFERROR(__xludf.DUMMYFUNCTION("""COMPUTED_VALUE"""),"Halifax, St-John's")</f>
        <v/>
      </c>
      <c r="K15360">
        <f>IFERROR(__xludf.DUMMYFUNCTION("""COMPUTED_VALUE"""),1662)</f>
        <v/>
      </c>
    </row>
    <row r="15361">
      <c r="J15361">
        <f>IFERROR(__xludf.DUMMYFUNCTION("""COMPUTED_VALUE"""),"Toronto, ON, Halifax, NS")</f>
        <v/>
      </c>
      <c r="K15361">
        <f>IFERROR(__xludf.DUMMYFUNCTION("""COMPUTED_VALUE"""),1661.03)</f>
        <v/>
      </c>
    </row>
    <row r="15362">
      <c r="J15362">
        <f>IFERROR(__xludf.DUMMYFUNCTION("""COMPUTED_VALUE"""),"Montreal, Quebec, Canada; Halifax, Nova Scotia, Canada; London, Ontario, Canada")</f>
        <v/>
      </c>
      <c r="K15362">
        <f>IFERROR(__xludf.DUMMYFUNCTION("""COMPUTED_VALUE"""),1660.48)</f>
        <v/>
      </c>
    </row>
    <row r="15363">
      <c r="J15363">
        <f>IFERROR(__xludf.DUMMYFUNCTION("""COMPUTED_VALUE"""),"Charlottetown, Prince Edward Island and Fredericton, New Brunswick")</f>
        <v/>
      </c>
      <c r="K15363">
        <f>IFERROR(__xludf.DUMMYFUNCTION("""COMPUTED_VALUE"""),1659.97)</f>
        <v/>
      </c>
    </row>
    <row r="15364">
      <c r="J15364">
        <f>IFERROR(__xludf.DUMMYFUNCTION("""COMPUTED_VALUE"""),"Lakehead University")</f>
        <v/>
      </c>
      <c r="K15364">
        <f>IFERROR(__xludf.DUMMYFUNCTION("""COMPUTED_VALUE"""),1659.91)</f>
        <v/>
      </c>
    </row>
    <row r="15365">
      <c r="J15365">
        <f>IFERROR(__xludf.DUMMYFUNCTION("""COMPUTED_VALUE"""),"Grand Falls, Rocky Harbour and Corner Brook")</f>
        <v/>
      </c>
      <c r="K15365">
        <f>IFERROR(__xludf.DUMMYFUNCTION("""COMPUTED_VALUE"""),1659.74)</f>
        <v/>
      </c>
    </row>
    <row r="15366">
      <c r="J15366">
        <f>IFERROR(__xludf.DUMMYFUNCTION("""COMPUTED_VALUE"""),"Grasslands, Saskatchewan")</f>
        <v/>
      </c>
      <c r="K15366">
        <f>IFERROR(__xludf.DUMMYFUNCTION("""COMPUTED_VALUE"""),1659.5)</f>
        <v/>
      </c>
    </row>
    <row r="15367">
      <c r="J15367">
        <f>IFERROR(__xludf.DUMMYFUNCTION("""COMPUTED_VALUE"""),"KANATA, OTTAWA, TORONTO, BORDEN, MEAFORD, TORONTO, OTTAWA, KANATA")</f>
        <v/>
      </c>
      <c r="K15367">
        <f>IFERROR(__xludf.DUMMYFUNCTION("""COMPUTED_VALUE"""),1659.13)</f>
        <v/>
      </c>
    </row>
    <row r="15368">
      <c r="J15368">
        <f>IFERROR(__xludf.DUMMYFUNCTION("""COMPUTED_VALUE"""),"Vancouver, British Columbia, Calgary, Alberta, Canada")</f>
        <v/>
      </c>
      <c r="K15368">
        <f>IFERROR(__xludf.DUMMYFUNCTION("""COMPUTED_VALUE"""),1658.78)</f>
        <v/>
      </c>
    </row>
    <row r="15369">
      <c r="J15369">
        <f>IFERROR(__xludf.DUMMYFUNCTION("""COMPUTED_VALUE"""),"Istanbul and Jakarta")</f>
        <v/>
      </c>
      <c r="K15369">
        <f>IFERROR(__xludf.DUMMYFUNCTION("""COMPUTED_VALUE"""),1658.75)</f>
        <v/>
      </c>
    </row>
    <row r="15370">
      <c r="J15370">
        <f>IFERROR(__xludf.DUMMYFUNCTION("""COMPUTED_VALUE"""),"Gagetown, New Brunswick and Winnipeg Manitoba")</f>
        <v/>
      </c>
      <c r="K15370">
        <f>IFERROR(__xludf.DUMMYFUNCTION("""COMPUTED_VALUE"""),1658.54)</f>
        <v/>
      </c>
    </row>
    <row r="15371">
      <c r="J15371">
        <f>IFERROR(__xludf.DUMMYFUNCTION("""COMPUTED_VALUE"""),"Buenos Aires, Buenos Aires, Argentina")</f>
        <v/>
      </c>
      <c r="K15371">
        <f>IFERROR(__xludf.DUMMYFUNCTION("""COMPUTED_VALUE"""),1658.45)</f>
        <v/>
      </c>
    </row>
    <row r="15372">
      <c r="J15372">
        <f>IFERROR(__xludf.DUMMYFUNCTION("""COMPUTED_VALUE"""),"Qingdao and Wuxi, People's Republic of China.")</f>
        <v/>
      </c>
      <c r="K15372">
        <f>IFERROR(__xludf.DUMMYFUNCTION("""COMPUTED_VALUE"""),1658.29)</f>
        <v/>
      </c>
    </row>
    <row r="15373">
      <c r="J15373">
        <f>IFERROR(__xludf.DUMMYFUNCTION("""COMPUTED_VALUE"""),"Quebec,Quebec")</f>
        <v/>
      </c>
      <c r="K15373">
        <f>IFERROR(__xludf.DUMMYFUNCTION("""COMPUTED_VALUE"""),1658.09)</f>
        <v/>
      </c>
    </row>
    <row r="15374">
      <c r="J15374">
        <f>IFERROR(__xludf.DUMMYFUNCTION("""COMPUTED_VALUE"""),"Halifax, New Glascow, Moncton, Charlottetown")</f>
        <v/>
      </c>
      <c r="K15374">
        <f>IFERROR(__xludf.DUMMYFUNCTION("""COMPUTED_VALUE"""),1658.08)</f>
        <v/>
      </c>
    </row>
    <row r="15375">
      <c r="J15375">
        <f>IFERROR(__xludf.DUMMYFUNCTION("""COMPUTED_VALUE"""),"Toronto/Quebec")</f>
        <v/>
      </c>
      <c r="K15375">
        <f>IFERROR(__xludf.DUMMYFUNCTION("""COMPUTED_VALUE"""),1657.98)</f>
        <v/>
      </c>
    </row>
    <row r="15376">
      <c r="J15376">
        <f>IFERROR(__xludf.DUMMYFUNCTION("""COMPUTED_VALUE"""),"Ottawa-Edmonton-Ottawa")</f>
        <v/>
      </c>
      <c r="K15376">
        <f>IFERROR(__xludf.DUMMYFUNCTION("""COMPUTED_VALUE"""),1657.75)</f>
        <v/>
      </c>
    </row>
    <row r="15377">
      <c r="J15377">
        <f>IFERROR(__xludf.DUMMYFUNCTION("""COMPUTED_VALUE"""),"Edmonton, AB and Montreal, Qc")</f>
        <v/>
      </c>
      <c r="K15377">
        <f>IFERROR(__xludf.DUMMYFUNCTION("""COMPUTED_VALUE"""),1656.91)</f>
        <v/>
      </c>
    </row>
    <row r="15378">
      <c r="J15378">
        <f>IFERROR(__xludf.DUMMYFUNCTION("""COMPUTED_VALUE"""),"Montreal, Quebec, Canada; Brampton, Ontario, Canada")</f>
        <v/>
      </c>
      <c r="K15378">
        <f>IFERROR(__xludf.DUMMYFUNCTION("""COMPUTED_VALUE"""),1656.85)</f>
        <v/>
      </c>
    </row>
    <row r="15379">
      <c r="J15379">
        <f>IFERROR(__xludf.DUMMYFUNCTION("""COMPUTED_VALUE"""),"Toronte, Ontario and Borden, Ontario")</f>
        <v/>
      </c>
      <c r="K15379">
        <f>IFERROR(__xludf.DUMMYFUNCTION("""COMPUTED_VALUE"""),1656.61)</f>
        <v/>
      </c>
    </row>
    <row r="15380">
      <c r="J15380">
        <f>IFERROR(__xludf.DUMMYFUNCTION("""COMPUTED_VALUE"""),"Toronto &amp; Montreal")</f>
        <v/>
      </c>
      <c r="K15380">
        <f>IFERROR(__xludf.DUMMYFUNCTION("""COMPUTED_VALUE"""),1656.56)</f>
        <v/>
      </c>
    </row>
    <row r="15381">
      <c r="J15381">
        <f>IFERROR(__xludf.DUMMYFUNCTION("""COMPUTED_VALUE"""),"Toronto, Ontario, Canada; London, United Kingdom")</f>
        <v/>
      </c>
      <c r="K15381">
        <f>IFERROR(__xludf.DUMMYFUNCTION("""COMPUTED_VALUE"""),1655.98)</f>
        <v/>
      </c>
    </row>
    <row r="15382">
      <c r="J15382">
        <f>IFERROR(__xludf.DUMMYFUNCTION("""COMPUTED_VALUE"""),"Nanaimo and Victoria, British Columbia, Canada")</f>
        <v/>
      </c>
      <c r="K15382">
        <f>IFERROR(__xludf.DUMMYFUNCTION("""COMPUTED_VALUE"""),1655.95)</f>
        <v/>
      </c>
    </row>
    <row r="15383">
      <c r="J15383">
        <f>IFERROR(__xludf.DUMMYFUNCTION("""COMPUTED_VALUE"""),"Vancouver, Comox, Esquimalt and Victoria, British Columbia; and Yellowknife, Northwest Territories.")</f>
        <v/>
      </c>
      <c r="K15383">
        <f>IFERROR(__xludf.DUMMYFUNCTION("""COMPUTED_VALUE"""),1655.49)</f>
        <v/>
      </c>
    </row>
    <row r="15384">
      <c r="J15384">
        <f>IFERROR(__xludf.DUMMYFUNCTION("""COMPUTED_VALUE"""),"Halifax, Nova Scotia / Deer Lake, Newfoundland and Labrador")</f>
        <v/>
      </c>
      <c r="K15384">
        <f>IFERROR(__xludf.DUMMYFUNCTION("""COMPUTED_VALUE"""),1655.33)</f>
        <v/>
      </c>
    </row>
    <row r="15385">
      <c r="J15385">
        <f>IFERROR(__xludf.DUMMYFUNCTION("""COMPUTED_VALUE"""),"Halifax, Nova Scotia / Charlottetown, Prince Edward Island")</f>
        <v/>
      </c>
      <c r="K15385">
        <f>IFERROR(__xludf.DUMMYFUNCTION("""COMPUTED_VALUE"""),1655.06)</f>
        <v/>
      </c>
    </row>
    <row r="15386">
      <c r="J15386">
        <f>IFERROR(__xludf.DUMMYFUNCTION("""COMPUTED_VALUE"""),"Moncton, Tracadie, Halifax")</f>
        <v/>
      </c>
      <c r="K15386">
        <f>IFERROR(__xludf.DUMMYFUNCTION("""COMPUTED_VALUE"""),1654.02)</f>
        <v/>
      </c>
    </row>
    <row r="15387">
      <c r="J15387">
        <f>IFERROR(__xludf.DUMMYFUNCTION("""COMPUTED_VALUE"""),"Shanghai, PRC")</f>
        <v/>
      </c>
      <c r="K15387">
        <f>IFERROR(__xludf.DUMMYFUNCTION("""COMPUTED_VALUE"""),1654)</f>
        <v/>
      </c>
    </row>
    <row r="15388">
      <c r="J15388">
        <f>IFERROR(__xludf.DUMMYFUNCTION("""COMPUTED_VALUE"""),"Orlando Florida USA")</f>
        <v/>
      </c>
      <c r="K15388">
        <f>IFERROR(__xludf.DUMMYFUNCTION("""COMPUTED_VALUE"""),1653.86)</f>
        <v/>
      </c>
    </row>
    <row r="15389">
      <c r="J15389">
        <f>IFERROR(__xludf.DUMMYFUNCTION("""COMPUTED_VALUE"""),"Dalvay, Prince Edward Island and Halifax, Nova Scotia")</f>
        <v/>
      </c>
      <c r="K15389">
        <f>IFERROR(__xludf.DUMMYFUNCTION("""COMPUTED_VALUE"""),1653.78)</f>
        <v/>
      </c>
    </row>
    <row r="15390">
      <c r="J15390">
        <f>IFERROR(__xludf.DUMMYFUNCTION("""COMPUTED_VALUE"""),"Dauphin, Manitoba, Canada")</f>
        <v/>
      </c>
      <c r="K15390">
        <f>IFERROR(__xludf.DUMMYFUNCTION("""COMPUTED_VALUE"""),1653.7)</f>
        <v/>
      </c>
    </row>
    <row r="15391">
      <c r="J15391">
        <f>IFERROR(__xludf.DUMMYFUNCTION("""COMPUTED_VALUE"""),"Lacombe, BC")</f>
        <v/>
      </c>
      <c r="K15391">
        <f>IFERROR(__xludf.DUMMYFUNCTION("""COMPUTED_VALUE"""),1653.64)</f>
        <v/>
      </c>
    </row>
    <row r="15392">
      <c r="J15392">
        <f>IFERROR(__xludf.DUMMYFUNCTION("""COMPUTED_VALUE"""),"Ottawa- St. John's-Ottawa")</f>
        <v/>
      </c>
      <c r="K15392">
        <f>IFERROR(__xludf.DUMMYFUNCTION("""COMPUTED_VALUE"""),1653.6)</f>
        <v/>
      </c>
    </row>
    <row r="15393">
      <c r="J15393">
        <f>IFERROR(__xludf.DUMMYFUNCTION("""COMPUTED_VALUE"""),"St. John's, Newfoundland and Labrador - Halifax, Nova Scotia")</f>
        <v/>
      </c>
      <c r="K15393">
        <f>IFERROR(__xludf.DUMMYFUNCTION("""COMPUTED_VALUE"""),1653.17)</f>
        <v/>
      </c>
    </row>
    <row r="15394">
      <c r="J15394">
        <f>IFERROR(__xludf.DUMMYFUNCTION("""COMPUTED_VALUE"""),"Rocky Harbour, Newfoundland and Labrador, Canada; St. Anthony, Newfoundland and Labrador, Canada; Corner Brook, Newfoundland and Labrador, Canada")</f>
        <v/>
      </c>
      <c r="K15394">
        <f>IFERROR(__xludf.DUMMYFUNCTION("""COMPUTED_VALUE"""),1652.63)</f>
        <v/>
      </c>
    </row>
    <row r="15395">
      <c r="J15395">
        <f>IFERROR(__xludf.DUMMYFUNCTION("""COMPUTED_VALUE"""),"Drumheller, Alberta;
Edmonton, Alberta")</f>
        <v/>
      </c>
      <c r="K15395">
        <f>IFERROR(__xludf.DUMMYFUNCTION("""COMPUTED_VALUE"""),1652.57)</f>
        <v/>
      </c>
    </row>
    <row r="15396">
      <c r="J15396">
        <f>IFERROR(__xludf.DUMMYFUNCTION("""COMPUTED_VALUE"""),"Ottawa - Québec -Toronto - Ottawa - Québec")</f>
        <v/>
      </c>
      <c r="K15396">
        <f>IFERROR(__xludf.DUMMYFUNCTION("""COMPUTED_VALUE"""),1652.28)</f>
        <v/>
      </c>
    </row>
    <row r="15397">
      <c r="J15397">
        <f>IFERROR(__xludf.DUMMYFUNCTION("""COMPUTED_VALUE"""),"Calgary (Alberta) Canada, Edmonton (Alberta) Canada")</f>
        <v/>
      </c>
      <c r="K15397">
        <f>IFERROR(__xludf.DUMMYFUNCTION("""COMPUTED_VALUE"""),1652.18)</f>
        <v/>
      </c>
    </row>
    <row r="15398">
      <c r="J15398">
        <f>IFERROR(__xludf.DUMMYFUNCTION("""COMPUTED_VALUE"""),"Guelph, Ontario and Montreal, Quebec")</f>
        <v/>
      </c>
      <c r="K15398">
        <f>IFERROR(__xludf.DUMMYFUNCTION("""COMPUTED_VALUE"""),1652.07)</f>
        <v/>
      </c>
    </row>
    <row r="15399">
      <c r="J15399">
        <f>IFERROR(__xludf.DUMMYFUNCTION("""COMPUTED_VALUE"""),"Ottawa, Ontario; Waterton Lakes National Park, Alberta")</f>
        <v/>
      </c>
      <c r="K15399">
        <f>IFERROR(__xludf.DUMMYFUNCTION("""COMPUTED_VALUE"""),1651.98)</f>
        <v/>
      </c>
    </row>
    <row r="15400">
      <c r="J15400">
        <f>IFERROR(__xludf.DUMMYFUNCTION("""COMPUTED_VALUE"""),"Oakville, ON / Brantford, ON")</f>
        <v/>
      </c>
      <c r="K15400">
        <f>IFERROR(__xludf.DUMMYFUNCTION("""COMPUTED_VALUE"""),1651.85)</f>
        <v/>
      </c>
    </row>
    <row r="15401">
      <c r="J15401">
        <f>IFERROR(__xludf.DUMMYFUNCTION("""COMPUTED_VALUE"""),"Toronto and Belleville, ON")</f>
        <v/>
      </c>
      <c r="K15401">
        <f>IFERROR(__xludf.DUMMYFUNCTION("""COMPUTED_VALUE"""),1651.75)</f>
        <v/>
      </c>
    </row>
    <row r="15402">
      <c r="J15402">
        <f>IFERROR(__xludf.DUMMYFUNCTION("""COMPUTED_VALUE"""),"Halifax, NS - Moncton, NB")</f>
        <v/>
      </c>
      <c r="K15402">
        <f>IFERROR(__xludf.DUMMYFUNCTION("""COMPUTED_VALUE"""),1651.67)</f>
        <v/>
      </c>
    </row>
    <row r="15403">
      <c r="J15403">
        <f>IFERROR(__xludf.DUMMYFUNCTION("""COMPUTED_VALUE"""),"Rosemont, Illinois, United States")</f>
        <v/>
      </c>
      <c r="K15403">
        <f>IFERROR(__xludf.DUMMYFUNCTION("""COMPUTED_VALUE"""),1651.42)</f>
        <v/>
      </c>
    </row>
    <row r="15404">
      <c r="J15404">
        <f>IFERROR(__xludf.DUMMYFUNCTION("""COMPUTED_VALUE"""),"Ottawa, Ontario, Canada; Windsor, Ontario, Canada")</f>
        <v/>
      </c>
      <c r="K15404">
        <f>IFERROR(__xludf.DUMMYFUNCTION("""COMPUTED_VALUE"""),1650.89)</f>
        <v/>
      </c>
    </row>
    <row r="15405">
      <c r="J15405">
        <f>IFERROR(__xludf.DUMMYFUNCTION("""COMPUTED_VALUE"""),"Toronto, Ontario, Canada; London, Ontario, Canada; Montreal, Quebec, Canada")</f>
        <v/>
      </c>
      <c r="K15405">
        <f>IFERROR(__xludf.DUMMYFUNCTION("""COMPUTED_VALUE"""),1650.8)</f>
        <v/>
      </c>
    </row>
    <row r="15406">
      <c r="J15406">
        <f>IFERROR(__xludf.DUMMYFUNCTION("""COMPUTED_VALUE"""),"Kentville, Nova Scotia")</f>
        <v/>
      </c>
      <c r="K15406">
        <f>IFERROR(__xludf.DUMMYFUNCTION("""COMPUTED_VALUE"""),1650.77)</f>
        <v/>
      </c>
    </row>
    <row r="15407">
      <c r="J15407">
        <f>IFERROR(__xludf.DUMMYFUNCTION("""COMPUTED_VALUE"""),"Winnipeg, MB, Calgary, AB, Vancouver, BC")</f>
        <v/>
      </c>
      <c r="K15407">
        <f>IFERROR(__xludf.DUMMYFUNCTION("""COMPUTED_VALUE"""),1650.36)</f>
        <v/>
      </c>
    </row>
    <row r="15408">
      <c r="J15408">
        <f>IFERROR(__xludf.DUMMYFUNCTION("""COMPUTED_VALUE"""),"Yorkton (SK)")</f>
        <v/>
      </c>
      <c r="K15408">
        <f>IFERROR(__xludf.DUMMYFUNCTION("""COMPUTED_VALUE"""),1650.3)</f>
        <v/>
      </c>
    </row>
    <row r="15409">
      <c r="J15409">
        <f>IFERROR(__xludf.DUMMYFUNCTION("""COMPUTED_VALUE"""),"Sakastoon, Saskatchewan, Canada")</f>
        <v/>
      </c>
      <c r="K15409">
        <f>IFERROR(__xludf.DUMMYFUNCTION("""COMPUTED_VALUE"""),1649.96)</f>
        <v/>
      </c>
    </row>
    <row r="15410">
      <c r="J15410">
        <f>IFERROR(__xludf.DUMMYFUNCTION("""COMPUTED_VALUE"""),"Chicago, Illinois, United states")</f>
        <v/>
      </c>
      <c r="K15410">
        <f>IFERROR(__xludf.DUMMYFUNCTION("""COMPUTED_VALUE"""),1649.85)</f>
        <v/>
      </c>
    </row>
    <row r="15411">
      <c r="J15411">
        <f>IFERROR(__xludf.DUMMYFUNCTION("""COMPUTED_VALUE"""),"Sault-Ste-Marie")</f>
        <v/>
      </c>
      <c r="K15411">
        <f>IFERROR(__xludf.DUMMYFUNCTION("""COMPUTED_VALUE"""),1649.53)</f>
        <v/>
      </c>
    </row>
    <row r="15412">
      <c r="J15412">
        <f>IFERROR(__xludf.DUMMYFUNCTION("""COMPUTED_VALUE"""),"Montréal - Rouyn Noranda - Montréal")</f>
        <v/>
      </c>
      <c r="K15412">
        <f>IFERROR(__xludf.DUMMYFUNCTION("""COMPUTED_VALUE"""),1649.44)</f>
        <v/>
      </c>
    </row>
    <row r="15413">
      <c r="J15413">
        <f>IFERROR(__xludf.DUMMYFUNCTION("""COMPUTED_VALUE"""),"Kamloops, BC Nanaimo, BC Campbell River, BC Victoria, BC Vancouver, BC")</f>
        <v/>
      </c>
      <c r="K15413">
        <f>IFERROR(__xludf.DUMMYFUNCTION("""COMPUTED_VALUE"""),1649.39)</f>
        <v/>
      </c>
    </row>
    <row r="15414">
      <c r="J15414">
        <f>IFERROR(__xludf.DUMMYFUNCTION("""COMPUTED_VALUE"""),"Miami, Fort Lauderdale, Florida")</f>
        <v/>
      </c>
      <c r="K15414">
        <f>IFERROR(__xludf.DUMMYFUNCTION("""COMPUTED_VALUE"""),1649.31)</f>
        <v/>
      </c>
    </row>
    <row r="15415">
      <c r="J15415">
        <f>IFERROR(__xludf.DUMMYFUNCTION("""COMPUTED_VALUE"""),"Moncton, NB - Quebec, QC / Quebec, QC - Moncton, NB")</f>
        <v/>
      </c>
      <c r="K15415">
        <f>IFERROR(__xludf.DUMMYFUNCTION("""COMPUTED_VALUE"""),1648.55)</f>
        <v/>
      </c>
    </row>
    <row r="15416">
      <c r="J15416">
        <f>IFERROR(__xludf.DUMMYFUNCTION("""COMPUTED_VALUE"""),"Pointe Pelee, Ontario")</f>
        <v/>
      </c>
      <c r="K15416">
        <f>IFERROR(__xludf.DUMMYFUNCTION("""COMPUTED_VALUE"""),1648.42)</f>
        <v/>
      </c>
    </row>
    <row r="15417">
      <c r="J15417">
        <f>IFERROR(__xludf.DUMMYFUNCTION("""COMPUTED_VALUE"""),"Toronto/Winnipeg")</f>
        <v/>
      </c>
      <c r="K15417">
        <f>IFERROR(__xludf.DUMMYFUNCTION("""COMPUTED_VALUE"""),1648.3)</f>
        <v/>
      </c>
    </row>
    <row r="15418">
      <c r="J15418">
        <f>IFERROR(__xludf.DUMMYFUNCTION("""COMPUTED_VALUE"""),"Rouyn-Noranda, Quebec")</f>
        <v/>
      </c>
      <c r="K15418">
        <f>IFERROR(__xludf.DUMMYFUNCTION("""COMPUTED_VALUE"""),1647.55)</f>
        <v/>
      </c>
    </row>
    <row r="15419">
      <c r="J15419">
        <f>IFERROR(__xludf.DUMMYFUNCTION("""COMPUTED_VALUE"""),"Grand Rapids, Manitoba")</f>
        <v/>
      </c>
      <c r="K15419">
        <f>IFERROR(__xludf.DUMMYFUNCTION("""COMPUTED_VALUE"""),1647.09)</f>
        <v/>
      </c>
    </row>
    <row r="15420">
      <c r="J15420">
        <f>IFERROR(__xludf.DUMMYFUNCTION("""COMPUTED_VALUE"""),"Pine Creek, Manitoba")</f>
        <v/>
      </c>
      <c r="K15420">
        <f>IFERROR(__xludf.DUMMYFUNCTION("""COMPUTED_VALUE"""),1646.56)</f>
        <v/>
      </c>
    </row>
    <row r="15421">
      <c r="J15421">
        <f>IFERROR(__xludf.DUMMYFUNCTION("""COMPUTED_VALUE"""),"Recife")</f>
        <v/>
      </c>
      <c r="K15421">
        <f>IFERROR(__xludf.DUMMYFUNCTION("""COMPUTED_VALUE"""),1646.36)</f>
        <v/>
      </c>
    </row>
    <row r="15422">
      <c r="J15422">
        <f>IFERROR(__xludf.DUMMYFUNCTION("""COMPUTED_VALUE"""),"Suffield (Alberta) Canada")</f>
        <v/>
      </c>
      <c r="K15422">
        <f>IFERROR(__xludf.DUMMYFUNCTION("""COMPUTED_VALUE"""),1646.07)</f>
        <v/>
      </c>
    </row>
    <row r="15423">
      <c r="J15423">
        <f>IFERROR(__xludf.DUMMYFUNCTION("""COMPUTED_VALUE"""),"Edmonton and Calgary, Alberta, Canada
Whitehorse, Yukon, Canada")</f>
        <v/>
      </c>
      <c r="K15423">
        <f>IFERROR(__xludf.DUMMYFUNCTION("""COMPUTED_VALUE"""),1645.97)</f>
        <v/>
      </c>
    </row>
    <row r="15424">
      <c r="J15424">
        <f>IFERROR(__xludf.DUMMYFUNCTION("""COMPUTED_VALUE"""),"Calgary, Alberta; Medicine Hat, Alberta")</f>
        <v/>
      </c>
      <c r="K15424">
        <f>IFERROR(__xludf.DUMMYFUNCTION("""COMPUTED_VALUE"""),1645.96)</f>
        <v/>
      </c>
    </row>
    <row r="15425">
      <c r="J15425">
        <f>IFERROR(__xludf.DUMMYFUNCTION("""COMPUTED_VALUE"""),"Moncton, NB - Montreal, QC / Montreal, QC - Moncton, NB / Moncton, NB - Fredericton, NB / Fredericton, NB - Gagetown, NB / Gagetown, NB - Charlottetown, PE")</f>
        <v/>
      </c>
      <c r="K15425">
        <f>IFERROR(__xludf.DUMMYFUNCTION("""COMPUTED_VALUE"""),1645.94)</f>
        <v/>
      </c>
    </row>
    <row r="15426">
      <c r="J15426">
        <f>IFERROR(__xludf.DUMMYFUNCTION("""COMPUTED_VALUE"""),"Frascati, Italy")</f>
        <v/>
      </c>
      <c r="K15426">
        <f>IFERROR(__xludf.DUMMYFUNCTION("""COMPUTED_VALUE"""),1644.5)</f>
        <v/>
      </c>
    </row>
    <row r="15427">
      <c r="J15427">
        <f>IFERROR(__xludf.DUMMYFUNCTION("""COMPUTED_VALUE"""),"Santa Fe, Albuquerque, New Mexico")</f>
        <v/>
      </c>
      <c r="K15427">
        <f>IFERROR(__xludf.DUMMYFUNCTION("""COMPUTED_VALUE"""),1644.22)</f>
        <v/>
      </c>
    </row>
    <row r="15428">
      <c r="J15428">
        <f>IFERROR(__xludf.DUMMYFUNCTION("""COMPUTED_VALUE"""),"Coatesville, Pennsylvania")</f>
        <v/>
      </c>
      <c r="K15428">
        <f>IFERROR(__xludf.DUMMYFUNCTION("""COMPUTED_VALUE"""),1644)</f>
        <v/>
      </c>
    </row>
    <row r="15429">
      <c r="J15429">
        <f>IFERROR(__xludf.DUMMYFUNCTION("""COMPUTED_VALUE"""),"Ottawa-Kingston-Belleville-Toronto-Ottawa")</f>
        <v/>
      </c>
      <c r="K15429">
        <f>IFERROR(__xludf.DUMMYFUNCTION("""COMPUTED_VALUE"""),1643.57)</f>
        <v/>
      </c>
    </row>
    <row r="15430">
      <c r="J15430">
        <f>IFERROR(__xludf.DUMMYFUNCTION("""COMPUTED_VALUE"""),"Montreal, QC Quebec , QC Saguenay, QC")</f>
        <v/>
      </c>
      <c r="K15430">
        <f>IFERROR(__xludf.DUMMYFUNCTION("""COMPUTED_VALUE"""),1643.51)</f>
        <v/>
      </c>
    </row>
    <row r="15431">
      <c r="J15431">
        <f>IFERROR(__xludf.DUMMYFUNCTION("""COMPUTED_VALUE"""),"Edmonton, AB and Yellowknife NT")</f>
        <v/>
      </c>
      <c r="K15431">
        <f>IFERROR(__xludf.DUMMYFUNCTION("""COMPUTED_VALUE"""),1643.44)</f>
        <v/>
      </c>
    </row>
    <row r="15432">
      <c r="J15432">
        <f>IFERROR(__xludf.DUMMYFUNCTION("""COMPUTED_VALUE"""),"Toronto, Ontario, St. John's, Newfoundland &amp; Labrador, and Halifax, Nova Scotia")</f>
        <v/>
      </c>
      <c r="K15432">
        <f>IFERROR(__xludf.DUMMYFUNCTION("""COMPUTED_VALUE"""),1643.27)</f>
        <v/>
      </c>
    </row>
    <row r="15433">
      <c r="J15433">
        <f>IFERROR(__xludf.DUMMYFUNCTION("""COMPUTED_VALUE"""),"Thunder Bay, Ontario , Canada - Timmins, Ontario, Canada")</f>
        <v/>
      </c>
      <c r="K15433">
        <f>IFERROR(__xludf.DUMMYFUNCTION("""COMPUTED_VALUE"""),1642.57)</f>
        <v/>
      </c>
    </row>
    <row r="15434">
      <c r="J15434">
        <f>IFERROR(__xludf.DUMMYFUNCTION("""COMPUTED_VALUE"""),"Washington, United States, United States of America")</f>
        <v/>
      </c>
      <c r="K15434">
        <f>IFERROR(__xludf.DUMMYFUNCTION("""COMPUTED_VALUE"""),1642.45)</f>
        <v/>
      </c>
    </row>
    <row r="15435">
      <c r="J15435">
        <f>IFERROR(__xludf.DUMMYFUNCTION("""COMPUTED_VALUE"""),"Halifax, Nova Scotia, Canada; St. John's, Newfoundland and Labrador, Canada; Halifax, Nova Scotia, Canada; Saint John, New Brunswick, Canada; Halifax, Nova Scotia, Canada")</f>
        <v/>
      </c>
      <c r="K15435">
        <f>IFERROR(__xludf.DUMMYFUNCTION("""COMPUTED_VALUE"""),1642.43)</f>
        <v/>
      </c>
    </row>
    <row r="15436">
      <c r="J15436">
        <f>IFERROR(__xludf.DUMMYFUNCTION("""COMPUTED_VALUE"""),"Toronto and Hunstville (Ontario)")</f>
        <v/>
      </c>
      <c r="K15436">
        <f>IFERROR(__xludf.DUMMYFUNCTION("""COMPUTED_VALUE"""),1642.33)</f>
        <v/>
      </c>
    </row>
    <row r="15437">
      <c r="J15437">
        <f>IFERROR(__xludf.DUMMYFUNCTION("""COMPUTED_VALUE"""),"Edmonton, Alberta;")</f>
        <v/>
      </c>
      <c r="K15437">
        <f>IFERROR(__xludf.DUMMYFUNCTION("""COMPUTED_VALUE"""),1642.14)</f>
        <v/>
      </c>
    </row>
    <row r="15438">
      <c r="J15438">
        <f>IFERROR(__xludf.DUMMYFUNCTION("""COMPUTED_VALUE"""),"Port Hardy, British Colombia")</f>
        <v/>
      </c>
      <c r="K15438">
        <f>IFERROR(__xludf.DUMMYFUNCTION("""COMPUTED_VALUE"""),1642.08)</f>
        <v/>
      </c>
    </row>
    <row r="15439">
      <c r="J15439">
        <f>IFERROR(__xludf.DUMMYFUNCTION("""COMPUTED_VALUE"""),"Saskatoon and Waskesiu Lake, Saskatchewan, Canada")</f>
        <v/>
      </c>
      <c r="K15439">
        <f>IFERROR(__xludf.DUMMYFUNCTION("""COMPUTED_VALUE"""),1641.41)</f>
        <v/>
      </c>
    </row>
    <row r="15440">
      <c r="J15440">
        <f>IFERROR(__xludf.DUMMYFUNCTION("""COMPUTED_VALUE"""),"Ottawa and Toronto ON")</f>
        <v/>
      </c>
      <c r="K15440">
        <f>IFERROR(__xludf.DUMMYFUNCTION("""COMPUTED_VALUE"""),1641.26)</f>
        <v/>
      </c>
    </row>
    <row r="15441">
      <c r="J15441">
        <f>IFERROR(__xludf.DUMMYFUNCTION("""COMPUTED_VALUE"""),"Kitchener, ON
London, ON
Toronto, ON
Windsor, ON")</f>
        <v/>
      </c>
      <c r="K15441">
        <f>IFERROR(__xludf.DUMMYFUNCTION("""COMPUTED_VALUE"""),1641.03)</f>
        <v/>
      </c>
    </row>
    <row r="15442">
      <c r="J15442">
        <f>IFERROR(__xludf.DUMMYFUNCTION("""COMPUTED_VALUE"""),"Little Current, Ontario, Canada")</f>
        <v/>
      </c>
      <c r="K15442">
        <f>IFERROR(__xludf.DUMMYFUNCTION("""COMPUTED_VALUE"""),1640.98)</f>
        <v/>
      </c>
    </row>
    <row r="15443">
      <c r="J15443">
        <f>IFERROR(__xludf.DUMMYFUNCTION("""COMPUTED_VALUE"""),"Thunder Bay, ON/Winnipeg, MB")</f>
        <v/>
      </c>
      <c r="K15443">
        <f>IFERROR(__xludf.DUMMYFUNCTION("""COMPUTED_VALUE"""),1640.79)</f>
        <v/>
      </c>
    </row>
    <row r="15444">
      <c r="J15444">
        <f>IFERROR(__xludf.DUMMYFUNCTION("""COMPUTED_VALUE"""),"Boston, Toronto, Ottawa")</f>
        <v/>
      </c>
      <c r="K15444">
        <f>IFERROR(__xludf.DUMMYFUNCTION("""COMPUTED_VALUE"""),1640.45)</f>
        <v/>
      </c>
    </row>
    <row r="15445">
      <c r="J15445">
        <f>IFERROR(__xludf.DUMMYFUNCTION("""COMPUTED_VALUE"""),"Châteauguay, Quebec, Canada")</f>
        <v/>
      </c>
      <c r="K15445">
        <f>IFERROR(__xludf.DUMMYFUNCTION("""COMPUTED_VALUE"""),1640.36)</f>
        <v/>
      </c>
    </row>
    <row r="15446">
      <c r="J15446">
        <f>IFERROR(__xludf.DUMMYFUNCTION("""COMPUTED_VALUE"""),"Edmonton, Vegreville and Calgary, Alberta, Canada")</f>
        <v/>
      </c>
      <c r="K15446">
        <f>IFERROR(__xludf.DUMMYFUNCTION("""COMPUTED_VALUE"""),1639.57)</f>
        <v/>
      </c>
    </row>
    <row r="15447">
      <c r="J15447">
        <f>IFERROR(__xludf.DUMMYFUNCTION("""COMPUTED_VALUE"""),"Kamloops, British Columbia, Canada; Kelowna, British Columbia, Canada")</f>
        <v/>
      </c>
      <c r="K15447">
        <f>IFERROR(__xludf.DUMMYFUNCTION("""COMPUTED_VALUE"""),1639.07)</f>
        <v/>
      </c>
    </row>
    <row r="15448">
      <c r="J15448">
        <f>IFERROR(__xludf.DUMMYFUNCTION("""COMPUTED_VALUE"""),"Bagotville, Quebec, Canada / Rivière-du-Loup, Quebec, Canada / Les Éboulements, Quebec, Canada / Peribonka, Quebec, Canada")</f>
        <v/>
      </c>
      <c r="K15448">
        <f>IFERROR(__xludf.DUMMYFUNCTION("""COMPUTED_VALUE"""),1638.83)</f>
        <v/>
      </c>
    </row>
    <row r="15449">
      <c r="J15449">
        <f>IFERROR(__xludf.DUMMYFUNCTION("""COMPUTED_VALUE"""),"London,  Kitchener and Waterloo, ON")</f>
        <v/>
      </c>
      <c r="K15449">
        <f>IFERROR(__xludf.DUMMYFUNCTION("""COMPUTED_VALUE"""),1638.53)</f>
        <v/>
      </c>
    </row>
    <row r="15450">
      <c r="J15450">
        <f>IFERROR(__xludf.DUMMYFUNCTION("""COMPUTED_VALUE"""),"Ottawa- Winnipeg-Saskatoon-Toronto-Ottawa")</f>
        <v/>
      </c>
      <c r="K15450">
        <f>IFERROR(__xludf.DUMMYFUNCTION("""COMPUTED_VALUE"""),1638.42)</f>
        <v/>
      </c>
    </row>
    <row r="15451">
      <c r="J15451">
        <f>IFERROR(__xludf.DUMMYFUNCTION("""COMPUTED_VALUE"""),"Ottawa - Charlottetown - Quebec - Ottawa")</f>
        <v/>
      </c>
      <c r="K15451">
        <f>IFERROR(__xludf.DUMMYFUNCTION("""COMPUTED_VALUE"""),1638.36)</f>
        <v/>
      </c>
    </row>
    <row r="15452">
      <c r="J15452">
        <f>IFERROR(__xludf.DUMMYFUNCTION("""COMPUTED_VALUE"""),"(Newfoundland and Nova Scotia)")</f>
        <v/>
      </c>
      <c r="K15452">
        <f>IFERROR(__xludf.DUMMYFUNCTION("""COMPUTED_VALUE"""),1638.15)</f>
        <v/>
      </c>
    </row>
    <row r="15453">
      <c r="J15453">
        <f>IFERROR(__xludf.DUMMYFUNCTION("""COMPUTED_VALUE"""),"Percé, Quebec, Canada")</f>
        <v/>
      </c>
      <c r="K15453">
        <f>IFERROR(__xludf.DUMMYFUNCTION("""COMPUTED_VALUE"""),1637.6)</f>
        <v/>
      </c>
    </row>
    <row r="15454">
      <c r="J15454">
        <f>IFERROR(__xludf.DUMMYFUNCTION("""COMPUTED_VALUE"""),"Toronto, ON London, ON Mississauga, ON Kitchener, ON")</f>
        <v/>
      </c>
      <c r="K15454">
        <f>IFERROR(__xludf.DUMMYFUNCTION("""COMPUTED_VALUE"""),1637.44)</f>
        <v/>
      </c>
    </row>
    <row r="15455">
      <c r="J15455">
        <f>IFERROR(__xludf.DUMMYFUNCTION("""COMPUTED_VALUE"""),"Halifax /St John/ Edmundston /Caraquet")</f>
        <v/>
      </c>
      <c r="K15455">
        <f>IFERROR(__xludf.DUMMYFUNCTION("""COMPUTED_VALUE"""),1637.38)</f>
        <v/>
      </c>
    </row>
    <row r="15456">
      <c r="J15456">
        <f>IFERROR(__xludf.DUMMYFUNCTION("""COMPUTED_VALUE"""),"Ottawa (ON) AND Toronto (ON)")</f>
        <v/>
      </c>
      <c r="K15456">
        <f>IFERROR(__xludf.DUMMYFUNCTION("""COMPUTED_VALUE"""),1637.22)</f>
        <v/>
      </c>
    </row>
    <row r="15457">
      <c r="J15457">
        <f>IFERROR(__xludf.DUMMYFUNCTION("""COMPUTED_VALUE"""),"Toronto, Ontario,")</f>
        <v/>
      </c>
      <c r="K15457">
        <f>IFERROR(__xludf.DUMMYFUNCTION("""COMPUTED_VALUE"""),1636.96)</f>
        <v/>
      </c>
    </row>
    <row r="15458">
      <c r="J15458">
        <f>IFERROR(__xludf.DUMMYFUNCTION("""COMPUTED_VALUE"""),"Recife, Brazil and Sao Paulo, Brazil")</f>
        <v/>
      </c>
      <c r="K15458">
        <f>IFERROR(__xludf.DUMMYFUNCTION("""COMPUTED_VALUE"""),1636.89)</f>
        <v/>
      </c>
    </row>
    <row r="15459">
      <c r="J15459">
        <f>IFERROR(__xludf.DUMMYFUNCTION("""COMPUTED_VALUE"""),"Montreal and Saguenay, QC")</f>
        <v/>
      </c>
      <c r="K15459">
        <f>IFERROR(__xludf.DUMMYFUNCTION("""COMPUTED_VALUE"""),1635.35)</f>
        <v/>
      </c>
    </row>
    <row r="15460">
      <c r="J15460">
        <f>IFERROR(__xludf.DUMMYFUNCTION("""COMPUTED_VALUE"""),"Ottawa- Cambridge- London")</f>
        <v/>
      </c>
      <c r="K15460">
        <f>IFERROR(__xludf.DUMMYFUNCTION("""COMPUTED_VALUE"""),1635.11)</f>
        <v/>
      </c>
    </row>
    <row r="15461">
      <c r="J15461">
        <f>IFERROR(__xludf.DUMMYFUNCTION("""COMPUTED_VALUE"""),"Kelowna, BC and Osoyoos, BC")</f>
        <v/>
      </c>
      <c r="K15461">
        <f>IFERROR(__xludf.DUMMYFUNCTION("""COMPUTED_VALUE"""),1635.07)</f>
        <v/>
      </c>
    </row>
    <row r="15462">
      <c r="J15462">
        <f>IFERROR(__xludf.DUMMYFUNCTION("""COMPUTED_VALUE"""),"Bagotville, Chandler, Hemmingford, Montréal")</f>
        <v/>
      </c>
      <c r="K15462">
        <f>IFERROR(__xludf.DUMMYFUNCTION("""COMPUTED_VALUE"""),1634.84)</f>
        <v/>
      </c>
    </row>
    <row r="15463">
      <c r="J15463">
        <f>IFERROR(__xludf.DUMMYFUNCTION("""COMPUTED_VALUE"""),"Plano, Texas, United States")</f>
        <v/>
      </c>
      <c r="K15463">
        <f>IFERROR(__xludf.DUMMYFUNCTION("""COMPUTED_VALUE"""),1634.53)</f>
        <v/>
      </c>
    </row>
    <row r="15464">
      <c r="J15464">
        <f>IFERROR(__xludf.DUMMYFUNCTION("""COMPUTED_VALUE"""),"Miramichi, Moncton, New Brunswick")</f>
        <v/>
      </c>
      <c r="K15464">
        <f>IFERROR(__xludf.DUMMYFUNCTION("""COMPUTED_VALUE"""),1634.15)</f>
        <v/>
      </c>
    </row>
    <row r="15465">
      <c r="J15465">
        <f>IFERROR(__xludf.DUMMYFUNCTION("""COMPUTED_VALUE"""),"Québec; Chicoutimi; Jonquière, Quebec, Canada")</f>
        <v/>
      </c>
      <c r="K15465">
        <f>IFERROR(__xludf.DUMMYFUNCTION("""COMPUTED_VALUE"""),1634.12)</f>
        <v/>
      </c>
    </row>
    <row r="15466">
      <c r="J15466">
        <f>IFERROR(__xludf.DUMMYFUNCTION("""COMPUTED_VALUE"""),"Charlottetown, Prince Edward Island, Canada; Summerside, Prince Edward Island, Canada; Halifax, Nova Scotia, Canada; Truro, Nova Scotia, Canada; Amherst, Nova Scotia, Canada; Stellarton, Nova Scotia, Canada; New Glasgow, Nova Scotia, Canada")</f>
        <v/>
      </c>
      <c r="K15466">
        <f>IFERROR(__xludf.DUMMYFUNCTION("""COMPUTED_VALUE"""),1634)</f>
        <v/>
      </c>
    </row>
    <row r="15467">
      <c r="J15467">
        <f>IFERROR(__xludf.DUMMYFUNCTION("""COMPUTED_VALUE"""),"Ottawa, ON Rimouski, QC Gaspésie, QC")</f>
        <v/>
      </c>
      <c r="K15467">
        <f>IFERROR(__xludf.DUMMYFUNCTION("""COMPUTED_VALUE"""),1634)</f>
        <v/>
      </c>
    </row>
    <row r="15468">
      <c r="J15468">
        <f>IFERROR(__xludf.DUMMYFUNCTION("""COMPUTED_VALUE"""),"Montréal, (Quebec), Toronto, (Ontario)")</f>
        <v/>
      </c>
      <c r="K15468">
        <f>IFERROR(__xludf.DUMMYFUNCTION("""COMPUTED_VALUE"""),1633.94)</f>
        <v/>
      </c>
    </row>
    <row r="15469">
      <c r="J15469">
        <f>IFERROR(__xludf.DUMMYFUNCTION("""COMPUTED_VALUE"""),"Wakefield, Quebec, Canada; Laval, Quebec, Canada; Montreal, Quebec, Canada; Brossard, Quebec, Canada")</f>
        <v/>
      </c>
      <c r="K15469">
        <f>IFERROR(__xludf.DUMMYFUNCTION("""COMPUTED_VALUE"""),1633.87)</f>
        <v/>
      </c>
    </row>
    <row r="15470">
      <c r="J15470">
        <f>IFERROR(__xludf.DUMMYFUNCTION("""COMPUTED_VALUE"""),"Greenwood, Nova Scotia, Canada")</f>
        <v/>
      </c>
      <c r="K15470">
        <f>IFERROR(__xludf.DUMMYFUNCTION("""COMPUTED_VALUE"""),1633.34)</f>
        <v/>
      </c>
    </row>
    <row r="15471">
      <c r="J15471">
        <f>IFERROR(__xludf.DUMMYFUNCTION("""COMPUTED_VALUE"""),"Trade Discussions")</f>
        <v/>
      </c>
      <c r="K15471">
        <f>IFERROR(__xludf.DUMMYFUNCTION("""COMPUTED_VALUE"""),1632.66)</f>
        <v/>
      </c>
    </row>
    <row r="15472">
      <c r="J15472">
        <f>IFERROR(__xludf.DUMMYFUNCTION("""COMPUTED_VALUE"""),"Edmonton, AB;
Ottawa, ON")</f>
        <v/>
      </c>
      <c r="K15472">
        <f>IFERROR(__xludf.DUMMYFUNCTION("""COMPUTED_VALUE"""),1632.39)</f>
        <v/>
      </c>
    </row>
    <row r="15473">
      <c r="J15473">
        <f>IFERROR(__xludf.DUMMYFUNCTION("""COMPUTED_VALUE"""),"South India")</f>
        <v/>
      </c>
      <c r="K15473">
        <f>IFERROR(__xludf.DUMMYFUNCTION("""COMPUTED_VALUE"""),1631.77)</f>
        <v/>
      </c>
    </row>
    <row r="15474">
      <c r="J15474">
        <f>IFERROR(__xludf.DUMMYFUNCTION("""COMPUTED_VALUE"""),"St- John’s, Newfoundland and Labrador")</f>
        <v/>
      </c>
      <c r="K15474">
        <f>IFERROR(__xludf.DUMMYFUNCTION("""COMPUTED_VALUE"""),1631.43)</f>
        <v/>
      </c>
    </row>
    <row r="15475">
      <c r="J15475">
        <f>IFERROR(__xludf.DUMMYFUNCTION("""COMPUTED_VALUE"""),"Moosejaw, Saskatchewan; Dundurn, Saskatchewan")</f>
        <v/>
      </c>
      <c r="K15475">
        <f>IFERROR(__xludf.DUMMYFUNCTION("""COMPUTED_VALUE"""),1631.28)</f>
        <v/>
      </c>
    </row>
    <row r="15476">
      <c r="J15476">
        <f>IFERROR(__xludf.DUMMYFUNCTION("""COMPUTED_VALUE"""),"Moncton, NB;Montreal, Qc")</f>
        <v/>
      </c>
      <c r="K15476">
        <f>IFERROR(__xludf.DUMMYFUNCTION("""COMPUTED_VALUE"""),1631.21)</f>
        <v/>
      </c>
    </row>
    <row r="15477">
      <c r="J15477">
        <f>IFERROR(__xludf.DUMMYFUNCTION("""COMPUTED_VALUE"""),"Monterrey, Nuevo Leon")</f>
        <v/>
      </c>
      <c r="K15477">
        <f>IFERROR(__xludf.DUMMYFUNCTION("""COMPUTED_VALUE"""),1630.83)</f>
        <v/>
      </c>
    </row>
    <row r="15478">
      <c r="J15478">
        <f>IFERROR(__xludf.DUMMYFUNCTION("""COMPUTED_VALUE"""),"Saskatoon/Regina, Saskatchewan, Canada")</f>
        <v/>
      </c>
      <c r="K15478">
        <f>IFERROR(__xludf.DUMMYFUNCTION("""COMPUTED_VALUE"""),1630.38)</f>
        <v/>
      </c>
    </row>
    <row r="15479">
      <c r="J15479">
        <f>IFERROR(__xludf.DUMMYFUNCTION("""COMPUTED_VALUE"""),"New York, Other States, United States")</f>
        <v/>
      </c>
      <c r="K15479">
        <f>IFERROR(__xludf.DUMMYFUNCTION("""COMPUTED_VALUE"""),1630.26)</f>
        <v/>
      </c>
    </row>
    <row r="15480">
      <c r="J15480">
        <f>IFERROR(__xludf.DUMMYFUNCTION("""COMPUTED_VALUE"""),"Pacific Region")</f>
        <v/>
      </c>
      <c r="K15480">
        <f>IFERROR(__xludf.DUMMYFUNCTION("""COMPUTED_VALUE"""),1630.07)</f>
        <v/>
      </c>
    </row>
    <row r="15481">
      <c r="J15481">
        <f>IFERROR(__xludf.DUMMYFUNCTION("""COMPUTED_VALUE"""),"Waterloo / London (Ontario)")</f>
        <v/>
      </c>
      <c r="K15481">
        <f>IFERROR(__xludf.DUMMYFUNCTION("""COMPUTED_VALUE"""),1629.1)</f>
        <v/>
      </c>
    </row>
    <row r="15482">
      <c r="J15482">
        <f>IFERROR(__xludf.DUMMYFUNCTION("""COMPUTED_VALUE"""),"London / Kitchener, ON")</f>
        <v/>
      </c>
      <c r="K15482">
        <f>IFERROR(__xludf.DUMMYFUNCTION("""COMPUTED_VALUE"""),1628.95)</f>
        <v/>
      </c>
    </row>
    <row r="15483">
      <c r="J15483">
        <f>IFERROR(__xludf.DUMMYFUNCTION("""COMPUTED_VALUE"""),"Montebello, Canada")</f>
        <v/>
      </c>
      <c r="K15483">
        <f>IFERROR(__xludf.DUMMYFUNCTION("""COMPUTED_VALUE"""),1628.94)</f>
        <v/>
      </c>
    </row>
    <row r="15484">
      <c r="J15484">
        <f>IFERROR(__xludf.DUMMYFUNCTION("""COMPUTED_VALUE"""),"Dorchester, New Brunswick")</f>
        <v/>
      </c>
      <c r="K15484">
        <f>IFERROR(__xludf.DUMMYFUNCTION("""COMPUTED_VALUE"""),1628.83)</f>
        <v/>
      </c>
    </row>
    <row r="15485">
      <c r="J15485">
        <f>IFERROR(__xludf.DUMMYFUNCTION("""COMPUTED_VALUE"""),"Edmonton, AB   Calgary, AB  Yellowknife, NT")</f>
        <v/>
      </c>
      <c r="K15485">
        <f>IFERROR(__xludf.DUMMYFUNCTION("""COMPUTED_VALUE"""),1628.06)</f>
        <v/>
      </c>
    </row>
    <row r="15486">
      <c r="J15486">
        <f>IFERROR(__xludf.DUMMYFUNCTION("""COMPUTED_VALUE"""),"Ottawa - St John's - Ottawa")</f>
        <v/>
      </c>
      <c r="K15486">
        <f>IFERROR(__xludf.DUMMYFUNCTION("""COMPUTED_VALUE"""),1627.49)</f>
        <v/>
      </c>
    </row>
    <row r="15487">
      <c r="J15487">
        <f>IFERROR(__xludf.DUMMYFUNCTION("""COMPUTED_VALUE"""),"Montréal, QC Ottawa, ON")</f>
        <v/>
      </c>
      <c r="K15487">
        <f>IFERROR(__xludf.DUMMYFUNCTION("""COMPUTED_VALUE"""),1627.19)</f>
        <v/>
      </c>
    </row>
    <row r="15488">
      <c r="J15488">
        <f>IFERROR(__xludf.DUMMYFUNCTION("""COMPUTED_VALUE"""),"Georgian Bay, Ontario")</f>
        <v/>
      </c>
      <c r="K15488">
        <f>IFERROR(__xludf.DUMMYFUNCTION("""COMPUTED_VALUE"""),1626.82)</f>
        <v/>
      </c>
    </row>
    <row r="15489">
      <c r="J15489">
        <f>IFERROR(__xludf.DUMMYFUNCTION("""COMPUTED_VALUE"""),"Revelstoke, British Columbia, Canada / Banff, Alberta, Canada / Jasper, Alberta, Canada")</f>
        <v/>
      </c>
      <c r="K15489">
        <f>IFERROR(__xludf.DUMMYFUNCTION("""COMPUTED_VALUE"""),1626.53)</f>
        <v/>
      </c>
    </row>
    <row r="15490">
      <c r="J15490">
        <f>IFERROR(__xludf.DUMMYFUNCTION("""COMPUTED_VALUE"""),"Montréal, Quebec, Canada; Charlottetown, Prince Edward Island, Canada")</f>
        <v/>
      </c>
      <c r="K15490">
        <f>IFERROR(__xludf.DUMMYFUNCTION("""COMPUTED_VALUE"""),1626.4)</f>
        <v/>
      </c>
    </row>
    <row r="15491">
      <c r="J15491">
        <f>IFERROR(__xludf.DUMMYFUNCTION("""COMPUTED_VALUE"""),"Ottawa / Québec")</f>
        <v/>
      </c>
      <c r="K15491">
        <f>IFERROR(__xludf.DUMMYFUNCTION("""COMPUTED_VALUE"""),1626.31)</f>
        <v/>
      </c>
    </row>
    <row r="15492">
      <c r="J15492">
        <f>IFERROR(__xludf.DUMMYFUNCTION("""COMPUTED_VALUE"""),"Victoria and Comox, BC")</f>
        <v/>
      </c>
      <c r="K15492">
        <f>IFERROR(__xludf.DUMMYFUNCTION("""COMPUTED_VALUE"""),1626.16)</f>
        <v/>
      </c>
    </row>
    <row r="15493">
      <c r="J15493">
        <f>IFERROR(__xludf.DUMMYFUNCTION("""COMPUTED_VALUE"""),"Saskatoon, Saskatchawan, Canada")</f>
        <v/>
      </c>
      <c r="K15493">
        <f>IFERROR(__xludf.DUMMYFUNCTION("""COMPUTED_VALUE"""),1625.61)</f>
        <v/>
      </c>
    </row>
    <row r="15494">
      <c r="J15494">
        <f>IFERROR(__xludf.DUMMYFUNCTION("""COMPUTED_VALUE"""),"London, Ontario/Ingersoll, Ontario")</f>
        <v/>
      </c>
      <c r="K15494">
        <f>IFERROR(__xludf.DUMMYFUNCTION("""COMPUTED_VALUE"""),1625.07)</f>
        <v/>
      </c>
    </row>
    <row r="15495">
      <c r="J15495">
        <f>IFERROR(__xludf.DUMMYFUNCTION("""COMPUTED_VALUE"""),"St. John's and Deerlake, Newfoundland")</f>
        <v/>
      </c>
      <c r="K15495">
        <f>IFERROR(__xludf.DUMMYFUNCTION("""COMPUTED_VALUE"""),1624.88)</f>
        <v/>
      </c>
    </row>
    <row r="15496">
      <c r="J15496">
        <f>IFERROR(__xludf.DUMMYFUNCTION("""COMPUTED_VALUE"""),"St. Johns, NewfoundLand , Canada")</f>
        <v/>
      </c>
      <c r="K15496">
        <f>IFERROR(__xludf.DUMMYFUNCTION("""COMPUTED_VALUE"""),1624.83)</f>
        <v/>
      </c>
    </row>
    <row r="15497">
      <c r="J15497">
        <f>IFERROR(__xludf.DUMMYFUNCTION("""COMPUTED_VALUE"""),"Edmonton, Alberta, Canada; Brooks, Alberta, Canada; Medicine Hat, Alberta, Canada; Lethbridge, Alberta, Canada; Cranbrook, British Columbia, Canada; Calgary, Alberta, Canada")</f>
        <v/>
      </c>
      <c r="K15497">
        <f>IFERROR(__xludf.DUMMYFUNCTION("""COMPUTED_VALUE"""),1624.68)</f>
        <v/>
      </c>
    </row>
    <row r="15498">
      <c r="J15498">
        <f>IFERROR(__xludf.DUMMYFUNCTION("""COMPUTED_VALUE"""),"Vancouver, British Columbia; Canada, Montreal, Quebec, Canada")</f>
        <v/>
      </c>
      <c r="K15498">
        <f>IFERROR(__xludf.DUMMYFUNCTION("""COMPUTED_VALUE"""),1624.05)</f>
        <v/>
      </c>
    </row>
    <row r="15499">
      <c r="J15499">
        <f>IFERROR(__xludf.DUMMYFUNCTION("""COMPUTED_VALUE"""),"Montreal, Quebec and Toronto, On")</f>
        <v/>
      </c>
      <c r="K15499">
        <f>IFERROR(__xludf.DUMMYFUNCTION("""COMPUTED_VALUE"""),1624.02)</f>
        <v/>
      </c>
    </row>
    <row r="15500">
      <c r="J15500">
        <f>IFERROR(__xludf.DUMMYFUNCTION("""COMPUTED_VALUE"""),"Moncton, New Brunswick, Charlottetown, Prince Edward Island, Canada")</f>
        <v/>
      </c>
      <c r="K15500">
        <f>IFERROR(__xludf.DUMMYFUNCTION("""COMPUTED_VALUE"""),1624)</f>
        <v/>
      </c>
    </row>
    <row r="15501">
      <c r="J15501">
        <f>IFERROR(__xludf.DUMMYFUNCTION("""COMPUTED_VALUE"""),"Wainwright, Canada")</f>
        <v/>
      </c>
      <c r="K15501">
        <f>IFERROR(__xludf.DUMMYFUNCTION("""COMPUTED_VALUE"""),1623.99)</f>
        <v/>
      </c>
    </row>
    <row r="15502">
      <c r="J15502">
        <f>IFERROR(__xludf.DUMMYFUNCTION("""COMPUTED_VALUE"""),"Cold Lake, Alberta and Ottawa, Ontario")</f>
        <v/>
      </c>
      <c r="K15502">
        <f>IFERROR(__xludf.DUMMYFUNCTION("""COMPUTED_VALUE"""),1623.81)</f>
        <v/>
      </c>
    </row>
    <row r="15503">
      <c r="J15503">
        <f>IFERROR(__xludf.DUMMYFUNCTION("""COMPUTED_VALUE"""),"Boston, Massachusetts, United states")</f>
        <v/>
      </c>
      <c r="K15503">
        <f>IFERROR(__xludf.DUMMYFUNCTION("""COMPUTED_VALUE"""),1623.64)</f>
        <v/>
      </c>
    </row>
    <row r="15504">
      <c r="J15504">
        <f>IFERROR(__xludf.DUMMYFUNCTION("""COMPUTED_VALUE"""),"Fredericton &amp; Moncton, New Brunswick and Halifax, Nova Scotia")</f>
        <v/>
      </c>
      <c r="K15504">
        <f>IFERROR(__xludf.DUMMYFUNCTION("""COMPUTED_VALUE"""),1623.59)</f>
        <v/>
      </c>
    </row>
    <row r="15505">
      <c r="J15505">
        <f>IFERROR(__xludf.DUMMYFUNCTION("""COMPUTED_VALUE"""),"Bagotville, Quebec, Canada / Péribonka, Quebec, Canada / Mont-Joli, Quebec, Canada")</f>
        <v/>
      </c>
      <c r="K15505">
        <f>IFERROR(__xludf.DUMMYFUNCTION("""COMPUTED_VALUE"""),1621.62)</f>
        <v/>
      </c>
    </row>
    <row r="15506">
      <c r="J15506">
        <f>IFERROR(__xludf.DUMMYFUNCTION("""COMPUTED_VALUE"""),"Miramichi, Nouveau-Brunswick")</f>
        <v/>
      </c>
      <c r="K15506">
        <f>IFERROR(__xludf.DUMMYFUNCTION("""COMPUTED_VALUE"""),1621.59)</f>
        <v/>
      </c>
    </row>
    <row r="15507">
      <c r="J15507">
        <f>IFERROR(__xludf.DUMMYFUNCTION("""COMPUTED_VALUE"""),"Ottawa-Toronto-Charlottetown-Toronto-Ottawa")</f>
        <v/>
      </c>
      <c r="K15507">
        <f>IFERROR(__xludf.DUMMYFUNCTION("""COMPUTED_VALUE"""),1621.53)</f>
        <v/>
      </c>
    </row>
    <row r="15508">
      <c r="J15508">
        <f>IFERROR(__xludf.DUMMYFUNCTION("""COMPUTED_VALUE"""),"Toronto, Ontario, Canada; Oxford, Ontario, Canada; Windsor, Ontario, Canada; Orillia, Ontario, Canada")</f>
        <v/>
      </c>
      <c r="K15508">
        <f>IFERROR(__xludf.DUMMYFUNCTION("""COMPUTED_VALUE"""),1621.42)</f>
        <v/>
      </c>
    </row>
    <row r="15509">
      <c r="J15509">
        <f>IFERROR(__xludf.DUMMYFUNCTION("""COMPUTED_VALUE"""),"Timmins (Ontario) Canada")</f>
        <v/>
      </c>
      <c r="K15509">
        <f>IFERROR(__xludf.DUMMYFUNCTION("""COMPUTED_VALUE"""),1621.21)</f>
        <v/>
      </c>
    </row>
    <row r="15510">
      <c r="J15510">
        <f>IFERROR(__xludf.DUMMYFUNCTION("""COMPUTED_VALUE"""),"Peterborough and Toronto, Ontario")</f>
        <v/>
      </c>
      <c r="K15510">
        <f>IFERROR(__xludf.DUMMYFUNCTION("""COMPUTED_VALUE"""),1621.19)</f>
        <v/>
      </c>
    </row>
    <row r="15511">
      <c r="J15511">
        <f>IFERROR(__xludf.DUMMYFUNCTION("""COMPUTED_VALUE"""),"Tiverton &amp; Southampton, Ontario, Canada")</f>
        <v/>
      </c>
      <c r="K15511">
        <f>IFERROR(__xludf.DUMMYFUNCTION("""COMPUTED_VALUE"""),1620.89)</f>
        <v/>
      </c>
    </row>
    <row r="15512">
      <c r="J15512">
        <f>IFERROR(__xludf.DUMMYFUNCTION("""COMPUTED_VALUE"""),"Toronto, Cambrige, (Ontario)")</f>
        <v/>
      </c>
      <c r="K15512">
        <f>IFERROR(__xludf.DUMMYFUNCTION("""COMPUTED_VALUE"""),1620.86)</f>
        <v/>
      </c>
    </row>
    <row r="15513">
      <c r="J15513">
        <f>IFERROR(__xludf.DUMMYFUNCTION("""COMPUTED_VALUE"""),"St. Johns, Newfoundland and Labrador")</f>
        <v/>
      </c>
      <c r="K15513">
        <f>IFERROR(__xludf.DUMMYFUNCTION("""COMPUTED_VALUE"""),1620.56)</f>
        <v/>
      </c>
    </row>
    <row r="15514">
      <c r="J15514">
        <f>IFERROR(__xludf.DUMMYFUNCTION("""COMPUTED_VALUE"""),"Saint Andrews, NB, Halifax, NS")</f>
        <v/>
      </c>
      <c r="K15514">
        <f>IFERROR(__xludf.DUMMYFUNCTION("""COMPUTED_VALUE"""),1620.52)</f>
        <v/>
      </c>
    </row>
    <row r="15515">
      <c r="J15515">
        <f>IFERROR(__xludf.DUMMYFUNCTION("""COMPUTED_VALUE"""),"Vanouver, BC")</f>
        <v/>
      </c>
      <c r="K15515">
        <f>IFERROR(__xludf.DUMMYFUNCTION("""COMPUTED_VALUE"""),1620.45)</f>
        <v/>
      </c>
    </row>
    <row r="15516">
      <c r="J15516">
        <f>IFERROR(__xludf.DUMMYFUNCTION("""COMPUTED_VALUE"""),"Regina SK, Calgary AB")</f>
        <v/>
      </c>
      <c r="K15516">
        <f>IFERROR(__xludf.DUMMYFUNCTION("""COMPUTED_VALUE"""),1619.1)</f>
        <v/>
      </c>
    </row>
    <row r="15517">
      <c r="J15517">
        <f>IFERROR(__xludf.DUMMYFUNCTION("""COMPUTED_VALUE"""),"Montréal, Toronto, Canada")</f>
        <v/>
      </c>
      <c r="K15517">
        <f>IFERROR(__xludf.DUMMYFUNCTION("""COMPUTED_VALUE"""),1619.01)</f>
        <v/>
      </c>
    </row>
    <row r="15518">
      <c r="J15518">
        <f>IFERROR(__xludf.DUMMYFUNCTION("""COMPUTED_VALUE"""),"Ranking Inlet and Iqaluit, Nunavut")</f>
        <v/>
      </c>
      <c r="K15518">
        <f>IFERROR(__xludf.DUMMYFUNCTION("""COMPUTED_VALUE"""),1618.42)</f>
        <v/>
      </c>
    </row>
    <row r="15519">
      <c r="J15519">
        <f>IFERROR(__xludf.DUMMYFUNCTION("""COMPUTED_VALUE"""),"Kouchibougac, Quebec, Canada                                                           Fundy, Quebec, Canada")</f>
        <v/>
      </c>
      <c r="K15519">
        <f>IFERROR(__xludf.DUMMYFUNCTION("""COMPUTED_VALUE"""),1618.38)</f>
        <v/>
      </c>
    </row>
    <row r="15520">
      <c r="J15520">
        <f>IFERROR(__xludf.DUMMYFUNCTION("""COMPUTED_VALUE"""),"Markham, Ontario, Canada; Brampton, Ontario, Canada; Mississauga, Ontario, Canada")</f>
        <v/>
      </c>
      <c r="K15520">
        <f>IFERROR(__xludf.DUMMYFUNCTION("""COMPUTED_VALUE"""),1618.35)</f>
        <v/>
      </c>
    </row>
    <row r="15521">
      <c r="J15521">
        <f>IFERROR(__xludf.DUMMYFUNCTION("""COMPUTED_VALUE"""),"Kingston, Ontario, Canada; Toronto, Ontario, Canada")</f>
        <v/>
      </c>
      <c r="K15521">
        <f>IFERROR(__xludf.DUMMYFUNCTION("""COMPUTED_VALUE"""),1617.66)</f>
        <v/>
      </c>
    </row>
    <row r="15522">
      <c r="J15522">
        <f>IFERROR(__xludf.DUMMYFUNCTION("""COMPUTED_VALUE"""),"Toronto, Ontario, Canada; Brantford, Ontario, Canada")</f>
        <v/>
      </c>
      <c r="K15522">
        <f>IFERROR(__xludf.DUMMYFUNCTION("""COMPUTED_VALUE"""),1617.65)</f>
        <v/>
      </c>
    </row>
    <row r="15523">
      <c r="J15523">
        <f>IFERROR(__xludf.DUMMYFUNCTION("""COMPUTED_VALUE"""),"Montréal, Quebec, Canada; Québec, Quebec, Canada; Gatineau, Quebec, Canada; Trois-Rivières, Quebec, Canada")</f>
        <v/>
      </c>
      <c r="K15523">
        <f>IFERROR(__xludf.DUMMYFUNCTION("""COMPUTED_VALUE"""),1617.48)</f>
        <v/>
      </c>
    </row>
    <row r="15524">
      <c r="J15524">
        <f>IFERROR(__xludf.DUMMYFUNCTION("""COMPUTED_VALUE"""),"Borden")</f>
        <v/>
      </c>
      <c r="K15524">
        <f>IFERROR(__xludf.DUMMYFUNCTION("""COMPUTED_VALUE"""),1617.36)</f>
        <v/>
      </c>
    </row>
    <row r="15525">
      <c r="J15525">
        <f>IFERROR(__xludf.DUMMYFUNCTION("""COMPUTED_VALUE"""),"Oshawa, Ontarion, Canada")</f>
        <v/>
      </c>
      <c r="K15525">
        <f>IFERROR(__xludf.DUMMYFUNCTION("""COMPUTED_VALUE"""),1617.16)</f>
        <v/>
      </c>
    </row>
    <row r="15526">
      <c r="J15526">
        <f>IFERROR(__xludf.DUMMYFUNCTION("""COMPUTED_VALUE"""),"Fredericton, New Brunswick, Canada; Charlottetown, Prince Edwards Island, Canada")</f>
        <v/>
      </c>
      <c r="K15526">
        <f>IFERROR(__xludf.DUMMYFUNCTION("""COMPUTED_VALUE"""),1617.06)</f>
        <v/>
      </c>
    </row>
    <row r="15527">
      <c r="J15527">
        <f>IFERROR(__xludf.DUMMYFUNCTION("""COMPUTED_VALUE"""),"Manitoba  - Saskatchewan")</f>
        <v/>
      </c>
      <c r="K15527">
        <f>IFERROR(__xludf.DUMMYFUNCTION("""COMPUTED_VALUE"""),1617.01)</f>
        <v/>
      </c>
    </row>
    <row r="15528">
      <c r="J15528">
        <f>IFERROR(__xludf.DUMMYFUNCTION("""COMPUTED_VALUE"""),"Thunder Bay, Ontario / Winnipeg, Manitoba, Canada")</f>
        <v/>
      </c>
      <c r="K15528">
        <f>IFERROR(__xludf.DUMMYFUNCTION("""COMPUTED_VALUE"""),1616.64)</f>
        <v/>
      </c>
    </row>
    <row r="15529">
      <c r="J15529">
        <f>IFERROR(__xludf.DUMMYFUNCTION("""COMPUTED_VALUE"""),"St.John's, NL.")</f>
        <v/>
      </c>
      <c r="K15529">
        <f>IFERROR(__xludf.DUMMYFUNCTION("""COMPUTED_VALUE"""),1616.61)</f>
        <v/>
      </c>
    </row>
    <row r="15530">
      <c r="J15530">
        <f>IFERROR(__xludf.DUMMYFUNCTION("""COMPUTED_VALUE"""),"Key West / Tampa, Florida, US")</f>
        <v/>
      </c>
      <c r="K15530">
        <f>IFERROR(__xludf.DUMMYFUNCTION("""COMPUTED_VALUE"""),1616.45)</f>
        <v/>
      </c>
    </row>
    <row r="15531">
      <c r="J15531">
        <f>IFERROR(__xludf.DUMMYFUNCTION("""COMPUTED_VALUE"""),"Organization of American States Headquarters and the Inter-American Development Bank Washington, D.C.")</f>
        <v/>
      </c>
      <c r="K15531">
        <f>IFERROR(__xludf.DUMMYFUNCTION("""COMPUTED_VALUE"""),1615.88)</f>
        <v/>
      </c>
    </row>
    <row r="15532">
      <c r="J15532">
        <f>IFERROR(__xludf.DUMMYFUNCTION("""COMPUTED_VALUE"""),"Nouvelle-Écosse")</f>
        <v/>
      </c>
      <c r="K15532">
        <f>IFERROR(__xludf.DUMMYFUNCTION("""COMPUTED_VALUE"""),1615.72)</f>
        <v/>
      </c>
    </row>
    <row r="15533">
      <c r="J15533">
        <f>IFERROR(__xludf.DUMMYFUNCTION("""COMPUTED_VALUE"""),"Ottawa - Saskatchewan - Ottawa")</f>
        <v/>
      </c>
      <c r="K15533">
        <f>IFERROR(__xludf.DUMMYFUNCTION("""COMPUTED_VALUE"""),1615.59)</f>
        <v/>
      </c>
    </row>
    <row r="15534">
      <c r="J15534">
        <f>IFERROR(__xludf.DUMMYFUNCTION("""COMPUTED_VALUE"""),"Montreal, Quebec; Toronto, Ontario")</f>
        <v/>
      </c>
      <c r="K15534">
        <f>IFERROR(__xludf.DUMMYFUNCTION("""COMPUTED_VALUE"""),1615.35)</f>
        <v/>
      </c>
    </row>
    <row r="15535">
      <c r="J15535">
        <f>IFERROR(__xludf.DUMMYFUNCTION("""COMPUTED_VALUE"""),"Hawke’s Bay/Napier, New Zealand")</f>
        <v/>
      </c>
      <c r="K15535">
        <f>IFERROR(__xludf.DUMMYFUNCTION("""COMPUTED_VALUE"""),1615.27)</f>
        <v/>
      </c>
    </row>
    <row r="15536">
      <c r="J15536">
        <f>IFERROR(__xludf.DUMMYFUNCTION("""COMPUTED_VALUE"""),"KINGSTON, OTTAWA, KINGSTON")</f>
        <v/>
      </c>
      <c r="K15536">
        <f>IFERROR(__xludf.DUMMYFUNCTION("""COMPUTED_VALUE"""),1615.11)</f>
        <v/>
      </c>
    </row>
    <row r="15537">
      <c r="J15537">
        <f>IFERROR(__xludf.DUMMYFUNCTION("""COMPUTED_VALUE"""),"Dunedin, New Zealand")</f>
        <v/>
      </c>
      <c r="K15537">
        <f>IFERROR(__xludf.DUMMYFUNCTION("""COMPUTED_VALUE"""),1614.82)</f>
        <v/>
      </c>
    </row>
    <row r="15538">
      <c r="J15538">
        <f>IFERROR(__xludf.DUMMYFUNCTION("""COMPUTED_VALUE"""),"Marieville, Dorval, Rouyn, Val d'Or, Mirabel, Rimouski, Rivière-du-Loup, Québec")</f>
        <v/>
      </c>
      <c r="K15538">
        <f>IFERROR(__xludf.DUMMYFUNCTION("""COMPUTED_VALUE"""),1614.52)</f>
        <v/>
      </c>
    </row>
    <row r="15539">
      <c r="J15539">
        <f>IFERROR(__xludf.DUMMYFUNCTION("""COMPUTED_VALUE"""),"Latvia/Brussels")</f>
        <v/>
      </c>
      <c r="K15539">
        <f>IFERROR(__xludf.DUMMYFUNCTION("""COMPUTED_VALUE"""),1614.22)</f>
        <v/>
      </c>
    </row>
    <row r="15540">
      <c r="J15540">
        <f>IFERROR(__xludf.DUMMYFUNCTION("""COMPUTED_VALUE"""),"Toronto, ON / Ottawa, ON / Montreal, QC")</f>
        <v/>
      </c>
      <c r="K15540">
        <f>IFERROR(__xludf.DUMMYFUNCTION("""COMPUTED_VALUE"""),1613.23)</f>
        <v/>
      </c>
    </row>
    <row r="15541">
      <c r="J15541">
        <f>IFERROR(__xludf.DUMMYFUNCTION("""COMPUTED_VALUE"""),"Antigonish, Nova Scotia")</f>
        <v/>
      </c>
      <c r="K15541">
        <f>IFERROR(__xludf.DUMMYFUNCTION("""COMPUTED_VALUE"""),1612.3)</f>
        <v/>
      </c>
    </row>
    <row r="15542">
      <c r="J15542">
        <f>IFERROR(__xludf.DUMMYFUNCTION("""COMPUTED_VALUE"""),"Ottawa- Windsor ON")</f>
        <v/>
      </c>
      <c r="K15542">
        <f>IFERROR(__xludf.DUMMYFUNCTION("""COMPUTED_VALUE"""),1611.74)</f>
        <v/>
      </c>
    </row>
    <row r="15543">
      <c r="J15543">
        <f>IFERROR(__xludf.DUMMYFUNCTION("""COMPUTED_VALUE"""),"Toronto, Ontario / Montreal, Quebec")</f>
        <v/>
      </c>
      <c r="K15543">
        <f>IFERROR(__xludf.DUMMYFUNCTION("""COMPUTED_VALUE"""),1611.48)</f>
        <v/>
      </c>
    </row>
    <row r="15544">
      <c r="J15544">
        <f>IFERROR(__xludf.DUMMYFUNCTION("""COMPUTED_VALUE"""),"Greensboro, GA, USA")</f>
        <v/>
      </c>
      <c r="K15544">
        <f>IFERROR(__xludf.DUMMYFUNCTION("""COMPUTED_VALUE"""),1611.17)</f>
        <v/>
      </c>
    </row>
    <row r="15545">
      <c r="J15545">
        <f>IFERROR(__xludf.DUMMYFUNCTION("""COMPUTED_VALUE"""),"Montreal, Quebec, Canada / Halifax, Nova Scotia, Canada")</f>
        <v/>
      </c>
      <c r="K15545">
        <f>IFERROR(__xludf.DUMMYFUNCTION("""COMPUTED_VALUE"""),1611)</f>
        <v/>
      </c>
    </row>
    <row r="15546">
      <c r="J15546">
        <f>IFERROR(__xludf.DUMMYFUNCTION("""COMPUTED_VALUE"""),"Québec City and Tadoussac, Quebec")</f>
        <v/>
      </c>
      <c r="K15546">
        <f>IFERROR(__xludf.DUMMYFUNCTION("""COMPUTED_VALUE"""),1610.91)</f>
        <v/>
      </c>
    </row>
    <row r="15547">
      <c r="J15547">
        <f>IFERROR(__xludf.DUMMYFUNCTION("""COMPUTED_VALUE"""),"Regina, Saskatchewan, Canada; Edmonton, Alberta, Canada; Toronto, Ontario, Canada")</f>
        <v/>
      </c>
      <c r="K15547">
        <f>IFERROR(__xludf.DUMMYFUNCTION("""COMPUTED_VALUE"""),1610.88)</f>
        <v/>
      </c>
    </row>
    <row r="15548">
      <c r="J15548">
        <f>IFERROR(__xludf.DUMMYFUNCTION("""COMPUTED_VALUE"""),"Québec and Mont Joli, Quebec, Canada")</f>
        <v/>
      </c>
      <c r="K15548">
        <f>IFERROR(__xludf.DUMMYFUNCTION("""COMPUTED_VALUE"""),1610.77)</f>
        <v/>
      </c>
    </row>
    <row r="15549">
      <c r="J15549">
        <f>IFERROR(__xludf.DUMMYFUNCTION("""COMPUTED_VALUE"""),"Collingwood, Ontario")</f>
        <v/>
      </c>
      <c r="K15549">
        <f>IFERROR(__xludf.DUMMYFUNCTION("""COMPUTED_VALUE"""),1609.92)</f>
        <v/>
      </c>
    </row>
    <row r="15550">
      <c r="J15550">
        <f>IFERROR(__xludf.DUMMYFUNCTION("""COMPUTED_VALUE"""),"Toronto, Ontario and Charlottetown, Prince Edward Island")</f>
        <v/>
      </c>
      <c r="K15550">
        <f>IFERROR(__xludf.DUMMYFUNCTION("""COMPUTED_VALUE"""),1609.58)</f>
        <v/>
      </c>
    </row>
    <row r="15551">
      <c r="J15551">
        <f>IFERROR(__xludf.DUMMYFUNCTION("""COMPUTED_VALUE"""),"Rome and Palermo, Italy")</f>
        <v/>
      </c>
      <c r="K15551">
        <f>IFERROR(__xludf.DUMMYFUNCTION("""COMPUTED_VALUE"""),1609.39)</f>
        <v/>
      </c>
    </row>
    <row r="15552">
      <c r="J15552">
        <f>IFERROR(__xludf.DUMMYFUNCTION("""COMPUTED_VALUE"""),"Dubrovnik &amp; Zagreb - Croatia")</f>
        <v/>
      </c>
      <c r="K15552">
        <f>IFERROR(__xludf.DUMMYFUNCTION("""COMPUTED_VALUE"""),1609.28)</f>
        <v/>
      </c>
    </row>
    <row r="15553">
      <c r="J15553">
        <f>IFERROR(__xludf.DUMMYFUNCTION("""COMPUTED_VALUE"""),"Lac-Saint-Jean (Quebec) Canada; Montreal (Quebec) Canada; Saint-Pie (Quebec) Canada")</f>
        <v/>
      </c>
      <c r="K15553">
        <f>IFERROR(__xludf.DUMMYFUNCTION("""COMPUTED_VALUE"""),1609.19)</f>
        <v/>
      </c>
    </row>
    <row r="15554">
      <c r="J15554">
        <f>IFERROR(__xludf.DUMMYFUNCTION("""COMPUTED_VALUE"""),"Toronto, Ontario, Canada; Thorold, Ontario, Canada;")</f>
        <v/>
      </c>
      <c r="K15554">
        <f>IFERROR(__xludf.DUMMYFUNCTION("""COMPUTED_VALUE"""),1608.73)</f>
        <v/>
      </c>
    </row>
    <row r="15555">
      <c r="J15555">
        <f>IFERROR(__xludf.DUMMYFUNCTION("""COMPUTED_VALUE"""),"Bagotville, Roberval")</f>
        <v/>
      </c>
      <c r="K15555">
        <f>IFERROR(__xludf.DUMMYFUNCTION("""COMPUTED_VALUE"""),1608.13)</f>
        <v/>
      </c>
    </row>
    <row r="15556">
      <c r="J15556">
        <f>IFERROR(__xludf.DUMMYFUNCTION("""COMPUTED_VALUE"""),"Various locations, Nova Scotia, Canada and Various location, Prince Edward Island, Canada")</f>
        <v/>
      </c>
      <c r="K15556">
        <f>IFERROR(__xludf.DUMMYFUNCTION("""COMPUTED_VALUE"""),1607.66)</f>
        <v/>
      </c>
    </row>
    <row r="15557">
      <c r="J15557">
        <f>IFERROR(__xludf.DUMMYFUNCTION("""COMPUTED_VALUE"""),"Toronto/Waterloo/Kitchener")</f>
        <v/>
      </c>
      <c r="K15557">
        <f>IFERROR(__xludf.DUMMYFUNCTION("""COMPUTED_VALUE"""),1607.46)</f>
        <v/>
      </c>
    </row>
    <row r="15558">
      <c r="J15558">
        <f>IFERROR(__xludf.DUMMYFUNCTION("""COMPUTED_VALUE"""),"Ottawa and Kingston, Ontario")</f>
        <v/>
      </c>
      <c r="K15558">
        <f>IFERROR(__xludf.DUMMYFUNCTION("""COMPUTED_VALUE"""),1607.41)</f>
        <v/>
      </c>
    </row>
    <row r="15559">
      <c r="J15559">
        <f>IFERROR(__xludf.DUMMYFUNCTION("""COMPUTED_VALUE"""),"Niagara-on-the-lake, Ontario")</f>
        <v/>
      </c>
      <c r="K15559">
        <f>IFERROR(__xludf.DUMMYFUNCTION("""COMPUTED_VALUE"""),1607.38)</f>
        <v/>
      </c>
    </row>
    <row r="15560">
      <c r="J15560">
        <f>IFERROR(__xludf.DUMMYFUNCTION("""COMPUTED_VALUE"""),"St. John's, Newfoundland and Labrador, Canada; Halifax, Nova Scotia, Canada; St. John's, Newfoundland and Labrador, Canada")</f>
        <v/>
      </c>
      <c r="K15560">
        <f>IFERROR(__xludf.DUMMYFUNCTION("""COMPUTED_VALUE"""),1606.97)</f>
        <v/>
      </c>
    </row>
    <row r="15561">
      <c r="J15561">
        <f>IFERROR(__xludf.DUMMYFUNCTION("""COMPUTED_VALUE"""),"Moncton and Saint John New Brunswick, Canada")</f>
        <v/>
      </c>
      <c r="K15561">
        <f>IFERROR(__xludf.DUMMYFUNCTION("""COMPUTED_VALUE"""),1606.95)</f>
        <v/>
      </c>
    </row>
    <row r="15562">
      <c r="J15562">
        <f>IFERROR(__xludf.DUMMYFUNCTION("""COMPUTED_VALUE"""),"Norfolk, Virgina, USA")</f>
        <v/>
      </c>
      <c r="K15562">
        <f>IFERROR(__xludf.DUMMYFUNCTION("""COMPUTED_VALUE"""),1606.87)</f>
        <v/>
      </c>
    </row>
    <row r="15563">
      <c r="J15563">
        <f>IFERROR(__xludf.DUMMYFUNCTION("""COMPUTED_VALUE"""),"Halifax, NS and Ottawa,ON")</f>
        <v/>
      </c>
      <c r="K15563">
        <f>IFERROR(__xludf.DUMMYFUNCTION("""COMPUTED_VALUE"""),1606.81)</f>
        <v/>
      </c>
    </row>
    <row r="15564">
      <c r="J15564">
        <f>IFERROR(__xludf.DUMMYFUNCTION("""COMPUTED_VALUE"""),"Cambridge, ON / Ottawa, ON /
Toronto, ON")</f>
        <v/>
      </c>
      <c r="K15564">
        <f>IFERROR(__xludf.DUMMYFUNCTION("""COMPUTED_VALUE"""),1606.63)</f>
        <v/>
      </c>
    </row>
    <row r="15565">
      <c r="J15565">
        <f>IFERROR(__xludf.DUMMYFUNCTION("""COMPUTED_VALUE"""),"Poland, Warsaw")</f>
        <v/>
      </c>
      <c r="K15565">
        <f>IFERROR(__xludf.DUMMYFUNCTION("""COMPUTED_VALUE"""),1606.34)</f>
        <v/>
      </c>
    </row>
    <row r="15566">
      <c r="J15566">
        <f>IFERROR(__xludf.DUMMYFUNCTION("""COMPUTED_VALUE"""),"Gatineau, Quebec, Canada; Québec, Quebec, Canada; Lévis, Quebec, Canada")</f>
        <v/>
      </c>
      <c r="K15566">
        <f>IFERROR(__xludf.DUMMYFUNCTION("""COMPUTED_VALUE"""),1605.7)</f>
        <v/>
      </c>
    </row>
    <row r="15567">
      <c r="J15567">
        <f>IFERROR(__xludf.DUMMYFUNCTION("""COMPUTED_VALUE"""),"Edmonton, Alberta; Red Deer, Aberta")</f>
        <v/>
      </c>
      <c r="K15567">
        <f>IFERROR(__xludf.DUMMYFUNCTION("""COMPUTED_VALUE"""),1604.91)</f>
        <v/>
      </c>
    </row>
    <row r="15568">
      <c r="J15568">
        <f>IFERROR(__xludf.DUMMYFUNCTION("""COMPUTED_VALUE"""),"Paris-Ottawa-NY-Paris")</f>
        <v/>
      </c>
      <c r="K15568">
        <f>IFERROR(__xludf.DUMMYFUNCTION("""COMPUTED_VALUE"""),1604.77)</f>
        <v/>
      </c>
    </row>
    <row r="15569">
      <c r="J15569">
        <f>IFERROR(__xludf.DUMMYFUNCTION("""COMPUTED_VALUE"""),"Sainte-Anne-des-Plaines, Quebec, Canada")</f>
        <v/>
      </c>
      <c r="K15569">
        <f>IFERROR(__xludf.DUMMYFUNCTION("""COMPUTED_VALUE"""),1604.74)</f>
        <v/>
      </c>
    </row>
    <row r="15570">
      <c r="J15570">
        <f>IFERROR(__xludf.DUMMYFUNCTION("""COMPUTED_VALUE"""),"Ottawa, Montréal, Bagotville, Roberval, Amos")</f>
        <v/>
      </c>
      <c r="K15570">
        <f>IFERROR(__xludf.DUMMYFUNCTION("""COMPUTED_VALUE"""),1604.35)</f>
        <v/>
      </c>
    </row>
    <row r="15571">
      <c r="J15571">
        <f>IFERROR(__xludf.DUMMYFUNCTION("""COMPUTED_VALUE"""),"Kingston, Ontario; Montreal, Quebec")</f>
        <v/>
      </c>
      <c r="K15571">
        <f>IFERROR(__xludf.DUMMYFUNCTION("""COMPUTED_VALUE"""),1604.23)</f>
        <v/>
      </c>
    </row>
    <row r="15572">
      <c r="J15572">
        <f>IFERROR(__xludf.DUMMYFUNCTION("""COMPUTED_VALUE"""),"Toronto Island, ON")</f>
        <v/>
      </c>
      <c r="K15572">
        <f>IFERROR(__xludf.DUMMYFUNCTION("""COMPUTED_VALUE"""),1603.86)</f>
        <v/>
      </c>
    </row>
    <row r="15573">
      <c r="J15573">
        <f>IFERROR(__xludf.DUMMYFUNCTION("""COMPUTED_VALUE"""),"Montréal, Quebec, Canada; Saint John, New Brunswick, Canada")</f>
        <v/>
      </c>
      <c r="K15573">
        <f>IFERROR(__xludf.DUMMYFUNCTION("""COMPUTED_VALUE"""),1603.03)</f>
        <v/>
      </c>
    </row>
    <row r="15574">
      <c r="J15574">
        <f>IFERROR(__xludf.DUMMYFUNCTION("""COMPUTED_VALUE"""),"Vancouver, BC., Toronto, ON")</f>
        <v/>
      </c>
      <c r="K15574">
        <f>IFERROR(__xludf.DUMMYFUNCTION("""COMPUTED_VALUE"""),1602.79)</f>
        <v/>
      </c>
    </row>
    <row r="15575">
      <c r="J15575">
        <f>IFERROR(__xludf.DUMMYFUNCTION("""COMPUTED_VALUE"""),"Picton, Ontario, Canada; Perth, Ontario, Canada; Port Hope, Ontario, Canada")</f>
        <v/>
      </c>
      <c r="K15575">
        <f>IFERROR(__xludf.DUMMYFUNCTION("""COMPUTED_VALUE"""),1602.69)</f>
        <v/>
      </c>
    </row>
    <row r="15576">
      <c r="J15576">
        <f>IFERROR(__xludf.DUMMYFUNCTION("""COMPUTED_VALUE"""),"Québec City, QC - Lévis, QC")</f>
        <v/>
      </c>
      <c r="K15576">
        <f>IFERROR(__xludf.DUMMYFUNCTION("""COMPUTED_VALUE"""),1602.4)</f>
        <v/>
      </c>
    </row>
    <row r="15577">
      <c r="J15577">
        <f>IFERROR(__xludf.DUMMYFUNCTION("""COMPUTED_VALUE"""),"Winnipeg, MB; Saskatoon, SK")</f>
        <v/>
      </c>
      <c r="K15577">
        <f>IFERROR(__xludf.DUMMYFUNCTION("""COMPUTED_VALUE"""),1600.7)</f>
        <v/>
      </c>
    </row>
    <row r="15578">
      <c r="J15578">
        <f>IFERROR(__xludf.DUMMYFUNCTION("""COMPUTED_VALUE"""),"St. John's,  Newfoundland and Labrador")</f>
        <v/>
      </c>
      <c r="K15578">
        <f>IFERROR(__xludf.DUMMYFUNCTION("""COMPUTED_VALUE"""),1600.5)</f>
        <v/>
      </c>
    </row>
    <row r="15579">
      <c r="J15579">
        <f>IFERROR(__xludf.DUMMYFUNCTION("""COMPUTED_VALUE"""),"Denver &amp; Colorado Springs, CO")</f>
        <v/>
      </c>
      <c r="K15579">
        <f>IFERROR(__xludf.DUMMYFUNCTION("""COMPUTED_VALUE"""),1600.46)</f>
        <v/>
      </c>
    </row>
    <row r="15580">
      <c r="J15580">
        <f>IFERROR(__xludf.DUMMYFUNCTION("""COMPUTED_VALUE"""),"Fredericton, New Brunswick, Canada; Saint John, New Brunswick, Canada; Moncton, New Brunswick, Canada; Truro, Nova Scotia, Canada")</f>
        <v/>
      </c>
      <c r="K15580">
        <f>IFERROR(__xludf.DUMMYFUNCTION("""COMPUTED_VALUE"""),1599.61)</f>
        <v/>
      </c>
    </row>
    <row r="15581">
      <c r="J15581">
        <f>IFERROR(__xludf.DUMMYFUNCTION("""COMPUTED_VALUE"""),"Berlin, Federal repubic of Germany")</f>
        <v/>
      </c>
      <c r="K15581">
        <f>IFERROR(__xludf.DUMMYFUNCTION("""COMPUTED_VALUE"""),1599.41)</f>
        <v/>
      </c>
    </row>
    <row r="15582">
      <c r="J15582">
        <f>IFERROR(__xludf.DUMMYFUNCTION("""COMPUTED_VALUE"""),"Toronto/Vancouver")</f>
        <v/>
      </c>
      <c r="K15582">
        <f>IFERROR(__xludf.DUMMYFUNCTION("""COMPUTED_VALUE"""),1599.05)</f>
        <v/>
      </c>
    </row>
    <row r="15583">
      <c r="J15583">
        <f>IFERROR(__xludf.DUMMYFUNCTION("""COMPUTED_VALUE"""),"Motreal, Quebec, Canada")</f>
        <v/>
      </c>
      <c r="K15583">
        <f>IFERROR(__xludf.DUMMYFUNCTION("""COMPUTED_VALUE"""),1598.79)</f>
        <v/>
      </c>
    </row>
    <row r="15584">
      <c r="J15584">
        <f>IFERROR(__xludf.DUMMYFUNCTION("""COMPUTED_VALUE"""),"Montreal/Quebec")</f>
        <v/>
      </c>
      <c r="K15584">
        <f>IFERROR(__xludf.DUMMYFUNCTION("""COMPUTED_VALUE"""),1598.58)</f>
        <v/>
      </c>
    </row>
    <row r="15585">
      <c r="J15585">
        <f>IFERROR(__xludf.DUMMYFUNCTION("""COMPUTED_VALUE"""),"New York, Unites States")</f>
        <v/>
      </c>
      <c r="K15585">
        <f>IFERROR(__xludf.DUMMYFUNCTION("""COMPUTED_VALUE"""),1598.54)</f>
        <v/>
      </c>
    </row>
    <row r="15586">
      <c r="J15586">
        <f>IFERROR(__xludf.DUMMYFUNCTION("""COMPUTED_VALUE"""),"Kitchener/Waterloo/Mississauga, ON")</f>
        <v/>
      </c>
      <c r="K15586">
        <f>IFERROR(__xludf.DUMMYFUNCTION("""COMPUTED_VALUE"""),1597.98)</f>
        <v/>
      </c>
    </row>
    <row r="15587">
      <c r="J15587">
        <f>IFERROR(__xludf.DUMMYFUNCTION("""COMPUTED_VALUE"""),"Norfolk")</f>
        <v/>
      </c>
      <c r="K15587">
        <f>IFERROR(__xludf.DUMMYFUNCTION("""COMPUTED_VALUE"""),1597.82)</f>
        <v/>
      </c>
    </row>
    <row r="15588">
      <c r="J15588">
        <f>IFERROR(__xludf.DUMMYFUNCTION("""COMPUTED_VALUE"""),"Moncton, New Brunswick
Canada")</f>
        <v/>
      </c>
      <c r="K15588">
        <f>IFERROR(__xludf.DUMMYFUNCTION("""COMPUTED_VALUE"""),1597.59)</f>
        <v/>
      </c>
    </row>
    <row r="15589">
      <c r="J15589">
        <f>IFERROR(__xludf.DUMMYFUNCTION("""COMPUTED_VALUE"""),"DeerLake, Newfoundland and Labrador")</f>
        <v/>
      </c>
      <c r="K15589">
        <f>IFERROR(__xludf.DUMMYFUNCTION("""COMPUTED_VALUE"""),1597.18)</f>
        <v/>
      </c>
    </row>
    <row r="15590">
      <c r="J15590">
        <f>IFERROR(__xludf.DUMMYFUNCTION("""COMPUTED_VALUE"""),"Louisbourg, Nova Scotia / Gatineau, Quebec")</f>
        <v/>
      </c>
      <c r="K15590">
        <f>IFERROR(__xludf.DUMMYFUNCTION("""COMPUTED_VALUE"""),1596.55)</f>
        <v/>
      </c>
    </row>
    <row r="15591">
      <c r="J15591">
        <f>IFERROR(__xludf.DUMMYFUNCTION("""COMPUTED_VALUE"""),"Toronto, Ontario, Canada / London, Ontario, Canada / Hamilton, Ontario, Canada")</f>
        <v/>
      </c>
      <c r="K15591">
        <f>IFERROR(__xludf.DUMMYFUNCTION("""COMPUTED_VALUE"""),1595.85)</f>
        <v/>
      </c>
    </row>
    <row r="15592">
      <c r="J15592">
        <f>IFERROR(__xludf.DUMMYFUNCTION("""COMPUTED_VALUE"""),"Verona")</f>
        <v/>
      </c>
      <c r="K15592">
        <f>IFERROR(__xludf.DUMMYFUNCTION("""COMPUTED_VALUE"""),1595.84)</f>
        <v/>
      </c>
    </row>
    <row r="15593">
      <c r="J15593">
        <f>IFERROR(__xludf.DUMMYFUNCTION("""COMPUTED_VALUE"""),"Saint John and Saint Andrews, New Brunswick")</f>
        <v/>
      </c>
      <c r="K15593">
        <f>IFERROR(__xludf.DUMMYFUNCTION("""COMPUTED_VALUE"""),1595.65)</f>
        <v/>
      </c>
    </row>
    <row r="15594">
      <c r="J15594">
        <f>IFERROR(__xludf.DUMMYFUNCTION("""COMPUTED_VALUE"""),"Toronto, NYC")</f>
        <v/>
      </c>
      <c r="K15594">
        <f>IFERROR(__xludf.DUMMYFUNCTION("""COMPUTED_VALUE"""),1594.94)</f>
        <v/>
      </c>
    </row>
    <row r="15595">
      <c r="J15595">
        <f>IFERROR(__xludf.DUMMYFUNCTION("""COMPUTED_VALUE"""),"Stratford, Ontario")</f>
        <v/>
      </c>
      <c r="K15595">
        <f>IFERROR(__xludf.DUMMYFUNCTION("""COMPUTED_VALUE"""),1594.48)</f>
        <v/>
      </c>
    </row>
    <row r="15596">
      <c r="J15596">
        <f>IFERROR(__xludf.DUMMYFUNCTION("""COMPUTED_VALUE"""),"Summerside, PE, Halifax, NS")</f>
        <v/>
      </c>
      <c r="K15596">
        <f>IFERROR(__xludf.DUMMYFUNCTION("""COMPUTED_VALUE"""),1594.15)</f>
        <v/>
      </c>
    </row>
    <row r="15597">
      <c r="J15597">
        <f>IFERROR(__xludf.DUMMYFUNCTION("""COMPUTED_VALUE"""),"Ottawa, ON /Quebec, QC")</f>
        <v/>
      </c>
      <c r="K15597">
        <f>IFERROR(__xludf.DUMMYFUNCTION("""COMPUTED_VALUE"""),1593.97)</f>
        <v/>
      </c>
    </row>
    <row r="15598">
      <c r="J15598">
        <f>IFERROR(__xludf.DUMMYFUNCTION("""COMPUTED_VALUE"""),"Halifax, (Nova Scotia) ;
Charlottetown, (Prince Edward Island) ; and
Moncton, (New Brunswick)")</f>
        <v/>
      </c>
      <c r="K15598">
        <f>IFERROR(__xludf.DUMMYFUNCTION("""COMPUTED_VALUE"""),1593.64)</f>
        <v/>
      </c>
    </row>
    <row r="15599">
      <c r="J15599">
        <f>IFERROR(__xludf.DUMMYFUNCTION("""COMPUTED_VALUE"""),"Iqualuit (Nunavut) Canada")</f>
        <v/>
      </c>
      <c r="K15599">
        <f>IFERROR(__xludf.DUMMYFUNCTION("""COMPUTED_VALUE"""),1593.48)</f>
        <v/>
      </c>
    </row>
    <row r="15600">
      <c r="J15600">
        <f>IFERROR(__xludf.DUMMYFUNCTION("""COMPUTED_VALUE"""),"Quebec City, Quebec; Toronto, Ontario")</f>
        <v/>
      </c>
      <c r="K15600">
        <f>IFERROR(__xludf.DUMMYFUNCTION("""COMPUTED_VALUE"""),1593.43)</f>
        <v/>
      </c>
    </row>
    <row r="15601">
      <c r="J15601">
        <f>IFERROR(__xludf.DUMMYFUNCTION("""COMPUTED_VALUE"""),"Toronto- London ON")</f>
        <v/>
      </c>
      <c r="K15601">
        <f>IFERROR(__xludf.DUMMYFUNCTION("""COMPUTED_VALUE"""),1593.27)</f>
        <v/>
      </c>
    </row>
    <row r="15602">
      <c r="J15602">
        <f>IFERROR(__xludf.DUMMYFUNCTION("""COMPUTED_VALUE"""),"Edmonton, AB; Morinville, AB; Banff, AB")</f>
        <v/>
      </c>
      <c r="K15602">
        <f>IFERROR(__xludf.DUMMYFUNCTION("""COMPUTED_VALUE"""),1592.9)</f>
        <v/>
      </c>
    </row>
    <row r="15603">
      <c r="J15603">
        <f>IFERROR(__xludf.DUMMYFUNCTION("""COMPUTED_VALUE"""),"Charlottetown, Prince Edward Island, Canada and Moncton, New Brunswick, Canada")</f>
        <v/>
      </c>
      <c r="K15603">
        <f>IFERROR(__xludf.DUMMYFUNCTION("""COMPUTED_VALUE"""),1592.51)</f>
        <v/>
      </c>
    </row>
    <row r="15604">
      <c r="J15604">
        <f>IFERROR(__xludf.DUMMYFUNCTION("""COMPUTED_VALUE"""),"Waterloo, ON and Vancouver, BC")</f>
        <v/>
      </c>
      <c r="K15604">
        <f>IFERROR(__xludf.DUMMYFUNCTION("""COMPUTED_VALUE"""),1592.32)</f>
        <v/>
      </c>
    </row>
    <row r="15605">
      <c r="J15605">
        <f>IFERROR(__xludf.DUMMYFUNCTION("""COMPUTED_VALUE"""),"Guelph On")</f>
        <v/>
      </c>
      <c r="K15605">
        <f>IFERROR(__xludf.DUMMYFUNCTION("""COMPUTED_VALUE"""),1592.27)</f>
        <v/>
      </c>
    </row>
    <row r="15606">
      <c r="J15606">
        <f>IFERROR(__xludf.DUMMYFUNCTION("""COMPUTED_VALUE"""),"Québec, Québec, Canada Matane, Québec, Canada")</f>
        <v/>
      </c>
      <c r="K15606">
        <f>IFERROR(__xludf.DUMMYFUNCTION("""COMPUTED_VALUE"""),1592.23)</f>
        <v/>
      </c>
    </row>
    <row r="15607">
      <c r="J15607">
        <f>IFERROR(__xludf.DUMMYFUNCTION("""COMPUTED_VALUE"""),"Dundurn(Saskatchewan) Canada")</f>
        <v/>
      </c>
      <c r="K15607">
        <f>IFERROR(__xludf.DUMMYFUNCTION("""COMPUTED_VALUE"""),1591.91)</f>
        <v/>
      </c>
    </row>
    <row r="15608">
      <c r="J15608">
        <f>IFERROR(__xludf.DUMMYFUNCTION("""COMPUTED_VALUE"""),"Quebec and Saguenay, Quebec, Canada")</f>
        <v/>
      </c>
      <c r="K15608">
        <f>IFERROR(__xludf.DUMMYFUNCTION("""COMPUTED_VALUE"""),1591.9)</f>
        <v/>
      </c>
    </row>
    <row r="15609">
      <c r="J15609">
        <f>IFERROR(__xludf.DUMMYFUNCTION("""COMPUTED_VALUE"""),"Miramichi, New Brunswick and St. John's, Newfoundland and Labrador")</f>
        <v/>
      </c>
      <c r="K15609">
        <f>IFERROR(__xludf.DUMMYFUNCTION("""COMPUTED_VALUE"""),1590.96)</f>
        <v/>
      </c>
    </row>
    <row r="15610">
      <c r="J15610">
        <f>IFERROR(__xludf.DUMMYFUNCTION("""COMPUTED_VALUE"""),"Toronto. ON")</f>
        <v/>
      </c>
      <c r="K15610">
        <f>IFERROR(__xludf.DUMMYFUNCTION("""COMPUTED_VALUE"""),1590.45)</f>
        <v/>
      </c>
    </row>
    <row r="15611">
      <c r="J15611">
        <f>IFERROR(__xludf.DUMMYFUNCTION("""COMPUTED_VALUE"""),"Halifax, NS / Truro, NS / Gander, NL")</f>
        <v/>
      </c>
      <c r="K15611">
        <f>IFERROR(__xludf.DUMMYFUNCTION("""COMPUTED_VALUE"""),1590.37)</f>
        <v/>
      </c>
    </row>
    <row r="15612">
      <c r="J15612">
        <f>IFERROR(__xludf.DUMMYFUNCTION("""COMPUTED_VALUE"""),"Fredericton, Toronto")</f>
        <v/>
      </c>
      <c r="K15612">
        <f>IFERROR(__xludf.DUMMYFUNCTION("""COMPUTED_VALUE"""),1590.17)</f>
        <v/>
      </c>
    </row>
    <row r="15613">
      <c r="J15613">
        <f>IFERROR(__xludf.DUMMYFUNCTION("""COMPUTED_VALUE"""),"Toronto, Niagara, and Welland, Ontario")</f>
        <v/>
      </c>
      <c r="K15613">
        <f>IFERROR(__xludf.DUMMYFUNCTION("""COMPUTED_VALUE"""),1589.87)</f>
        <v/>
      </c>
    </row>
    <row r="15614">
      <c r="J15614">
        <f>IFERROR(__xludf.DUMMYFUNCTION("""COMPUTED_VALUE"""),"Toronto, Vaughan, Brampton")</f>
        <v/>
      </c>
      <c r="K15614">
        <f>IFERROR(__xludf.DUMMYFUNCTION("""COMPUTED_VALUE"""),1589.7)</f>
        <v/>
      </c>
    </row>
    <row r="15615">
      <c r="J15615">
        <f>IFERROR(__xludf.DUMMYFUNCTION("""COMPUTED_VALUE"""),"Ottawa, Ontario; and Gatineau, Quebec")</f>
        <v/>
      </c>
      <c r="K15615">
        <f>IFERROR(__xludf.DUMMYFUNCTION("""COMPUTED_VALUE"""),1589.38)</f>
        <v/>
      </c>
    </row>
    <row r="15616">
      <c r="J15616">
        <f>IFERROR(__xludf.DUMMYFUNCTION("""COMPUTED_VALUE"""),"Portage la Prairie, MB")</f>
        <v/>
      </c>
      <c r="K15616">
        <f>IFERROR(__xludf.DUMMYFUNCTION("""COMPUTED_VALUE"""),1589.24)</f>
        <v/>
      </c>
    </row>
    <row r="15617">
      <c r="J15617">
        <f>IFERROR(__xludf.DUMMYFUNCTION("""COMPUTED_VALUE"""),"Sherbrooke and Montreal, Quebec")</f>
        <v/>
      </c>
      <c r="K15617">
        <f>IFERROR(__xludf.DUMMYFUNCTION("""COMPUTED_VALUE"""),1589.15)</f>
        <v/>
      </c>
    </row>
    <row r="15618">
      <c r="J15618">
        <f>IFERROR(__xludf.DUMMYFUNCTION("""COMPUTED_VALUE"""),"St-Jean-sur-Richelieu")</f>
        <v/>
      </c>
      <c r="K15618">
        <f>IFERROR(__xludf.DUMMYFUNCTION("""COMPUTED_VALUE"""),1589.11)</f>
        <v/>
      </c>
    </row>
    <row r="15619">
      <c r="J15619">
        <f>IFERROR(__xludf.DUMMYFUNCTION("""COMPUTED_VALUE"""),"Fredericton, New Brunswick, Canada; St. Andrews, New Brunswick, Canada; Saint John, New Brunswick, Canada")</f>
        <v/>
      </c>
      <c r="K15619">
        <f>IFERROR(__xludf.DUMMYFUNCTION("""COMPUTED_VALUE"""),1588.62)</f>
        <v/>
      </c>
    </row>
    <row r="15620">
      <c r="J15620">
        <f>IFERROR(__xludf.DUMMYFUNCTION("""COMPUTED_VALUE"""),"Fort McMurray/Calgary, Alberta")</f>
        <v/>
      </c>
      <c r="K15620">
        <f>IFERROR(__xludf.DUMMYFUNCTION("""COMPUTED_VALUE"""),1588.22)</f>
        <v/>
      </c>
    </row>
    <row r="15621">
      <c r="J15621">
        <f>IFERROR(__xludf.DUMMYFUNCTION("""COMPUTED_VALUE"""),"St-John, NL
Halifax, NS")</f>
        <v/>
      </c>
      <c r="K15621">
        <f>IFERROR(__xludf.DUMMYFUNCTION("""COMPUTED_VALUE"""),1588.11)</f>
        <v/>
      </c>
    </row>
    <row r="15622">
      <c r="J15622">
        <f>IFERROR(__xludf.DUMMYFUNCTION("""COMPUTED_VALUE"""),"British Columbia, Manitoba")</f>
        <v/>
      </c>
      <c r="K15622">
        <f>IFERROR(__xludf.DUMMYFUNCTION("""COMPUTED_VALUE"""),1587.36)</f>
        <v/>
      </c>
    </row>
    <row r="15623">
      <c r="J15623">
        <f>IFERROR(__xludf.DUMMYFUNCTION("""COMPUTED_VALUE"""),"Kanata, ON - Montreal, QC")</f>
        <v/>
      </c>
      <c r="K15623">
        <f>IFERROR(__xludf.DUMMYFUNCTION("""COMPUTED_VALUE"""),1587.3)</f>
        <v/>
      </c>
    </row>
    <row r="15624">
      <c r="J15624">
        <f>IFERROR(__xludf.DUMMYFUNCTION("""COMPUTED_VALUE"""),"Washington, D.C. and Montreal, QC")</f>
        <v/>
      </c>
      <c r="K15624">
        <f>IFERROR(__xludf.DUMMYFUNCTION("""COMPUTED_VALUE"""),1587.14)</f>
        <v/>
      </c>
    </row>
    <row r="15625">
      <c r="J15625">
        <f>IFERROR(__xludf.DUMMYFUNCTION("""COMPUTED_VALUE"""),"Washington, D.C.  USA/ÉU")</f>
        <v/>
      </c>
      <c r="K15625">
        <f>IFERROR(__xludf.DUMMYFUNCTION("""COMPUTED_VALUE"""),1586.95)</f>
        <v/>
      </c>
    </row>
    <row r="15626">
      <c r="J15626">
        <f>IFERROR(__xludf.DUMMYFUNCTION("""COMPUTED_VALUE"""),"Fredericton and Gagetown, New Brunswick")</f>
        <v/>
      </c>
      <c r="K15626">
        <f>IFERROR(__xludf.DUMMYFUNCTION("""COMPUTED_VALUE"""),1586.81)</f>
        <v/>
      </c>
    </row>
    <row r="15627">
      <c r="J15627">
        <f>IFERROR(__xludf.DUMMYFUNCTION("""COMPUTED_VALUE"""),"Esquimalt, British Columbia, Canada and Victoria, British Columbia, Canada")</f>
        <v/>
      </c>
      <c r="K15627">
        <f>IFERROR(__xludf.DUMMYFUNCTION("""COMPUTED_VALUE"""),1586.78)</f>
        <v/>
      </c>
    </row>
    <row r="15628">
      <c r="J15628">
        <f>IFERROR(__xludf.DUMMYFUNCTION("""COMPUTED_VALUE"""),"Fredericton and Moncton, New Brunswick, St. John's, Newfoundland and Labrador")</f>
        <v/>
      </c>
      <c r="K15628">
        <f>IFERROR(__xludf.DUMMYFUNCTION("""COMPUTED_VALUE"""),1586.61)</f>
        <v/>
      </c>
    </row>
    <row r="15629">
      <c r="J15629">
        <f>IFERROR(__xludf.DUMMYFUNCTION("""COMPUTED_VALUE"""),"Montréal, QC Toronto, ON")</f>
        <v/>
      </c>
      <c r="K15629">
        <f>IFERROR(__xludf.DUMMYFUNCTION("""COMPUTED_VALUE"""),1586.21)</f>
        <v/>
      </c>
    </row>
    <row r="15630">
      <c r="J15630">
        <f>IFERROR(__xludf.DUMMYFUNCTION("""COMPUTED_VALUE"""),"Kingston, Toronto, Ontario, Canada")</f>
        <v/>
      </c>
      <c r="K15630">
        <f>IFERROR(__xludf.DUMMYFUNCTION("""COMPUTED_VALUE"""),1585.82)</f>
        <v/>
      </c>
    </row>
    <row r="15631">
      <c r="J15631">
        <f>IFERROR(__xludf.DUMMYFUNCTION("""COMPUTED_VALUE"""),"Ottawa and Waterloo")</f>
        <v/>
      </c>
      <c r="K15631">
        <f>IFERROR(__xludf.DUMMYFUNCTION("""COMPUTED_VALUE"""),1585.05)</f>
        <v/>
      </c>
    </row>
    <row r="15632">
      <c r="J15632">
        <f>IFERROR(__xludf.DUMMYFUNCTION("""COMPUTED_VALUE"""),"Waterloo, Ontario, Canada; Calgary, Alberta, Canada")</f>
        <v/>
      </c>
      <c r="K15632">
        <f>IFERROR(__xludf.DUMMYFUNCTION("""COMPUTED_VALUE"""),1584.55)</f>
        <v/>
      </c>
    </row>
    <row r="15633">
      <c r="J15633">
        <f>IFERROR(__xludf.DUMMYFUNCTION("""COMPUTED_VALUE"""),"Gatineau, Québec and Peterborough, Ontario")</f>
        <v/>
      </c>
      <c r="K15633">
        <f>IFERROR(__xludf.DUMMYFUNCTION("""COMPUTED_VALUE"""),1584.53)</f>
        <v/>
      </c>
    </row>
    <row r="15634">
      <c r="J15634">
        <f>IFERROR(__xludf.DUMMYFUNCTION("""COMPUTED_VALUE"""),"Timmins, Ontario;#27")</f>
        <v/>
      </c>
      <c r="K15634">
        <f>IFERROR(__xludf.DUMMYFUNCTION("""COMPUTED_VALUE"""),1584.52)</f>
        <v/>
      </c>
    </row>
    <row r="15635">
      <c r="J15635">
        <f>IFERROR(__xludf.DUMMYFUNCTION("""COMPUTED_VALUE"""),"Moncton, New Brunswick, Canada; Kanata, Ontario, Canada")</f>
        <v/>
      </c>
      <c r="K15635">
        <f>IFERROR(__xludf.DUMMYFUNCTION("""COMPUTED_VALUE"""),1584.43)</f>
        <v/>
      </c>
    </row>
    <row r="15636">
      <c r="J15636">
        <f>IFERROR(__xludf.DUMMYFUNCTION("""COMPUTED_VALUE"""),"Vancouver and Prince Rupert British Columbia")</f>
        <v/>
      </c>
      <c r="K15636">
        <f>IFERROR(__xludf.DUMMYFUNCTION("""COMPUTED_VALUE"""),1584.29)</f>
        <v/>
      </c>
    </row>
    <row r="15637">
      <c r="J15637">
        <f>IFERROR(__xludf.DUMMYFUNCTION("""COMPUTED_VALUE"""),"London, England and Lisbon, England")</f>
        <v/>
      </c>
      <c r="K15637">
        <f>IFERROR(__xludf.DUMMYFUNCTION("""COMPUTED_VALUE"""),1584.2)</f>
        <v/>
      </c>
    </row>
    <row r="15638">
      <c r="J15638">
        <f>IFERROR(__xludf.DUMMYFUNCTION("""COMPUTED_VALUE"""),"Conne River, Newfoundland and Labrador")</f>
        <v/>
      </c>
      <c r="K15638">
        <f>IFERROR(__xludf.DUMMYFUNCTION("""COMPUTED_VALUE"""),1584.18)</f>
        <v/>
      </c>
    </row>
    <row r="15639">
      <c r="J15639">
        <f>IFERROR(__xludf.DUMMYFUNCTION("""COMPUTED_VALUE"""),"Peterborough, Ontario, Canada; Belleville, Ontario, Canada")</f>
        <v/>
      </c>
      <c r="K15639">
        <f>IFERROR(__xludf.DUMMYFUNCTION("""COMPUTED_VALUE"""),1583.88)</f>
        <v/>
      </c>
    </row>
    <row r="15640">
      <c r="J15640">
        <f>IFERROR(__xludf.DUMMYFUNCTION("""COMPUTED_VALUE"""),"Winnipeg &amp; Saskatoon")</f>
        <v/>
      </c>
      <c r="K15640">
        <f>IFERROR(__xludf.DUMMYFUNCTION("""COMPUTED_VALUE"""),1583.85)</f>
        <v/>
      </c>
    </row>
    <row r="15641">
      <c r="J15641">
        <f>IFERROR(__xludf.DUMMYFUNCTION("""COMPUTED_VALUE"""),"Camrose, Alberta, Canada")</f>
        <v/>
      </c>
      <c r="K15641">
        <f>IFERROR(__xludf.DUMMYFUNCTION("""COMPUTED_VALUE"""),1583.07)</f>
        <v/>
      </c>
    </row>
    <row r="15642">
      <c r="J15642">
        <f>IFERROR(__xludf.DUMMYFUNCTION("""COMPUTED_VALUE"""),"San Antonio, Texas, United States of America")</f>
        <v/>
      </c>
      <c r="K15642">
        <f>IFERROR(__xludf.DUMMYFUNCTION("""COMPUTED_VALUE"""),1583)</f>
        <v/>
      </c>
    </row>
    <row r="15643">
      <c r="J15643">
        <f>IFERROR(__xludf.DUMMYFUNCTION("""COMPUTED_VALUE"""),"Fredericton, New Brunswick;#30")</f>
        <v/>
      </c>
      <c r="K15643">
        <f>IFERROR(__xludf.DUMMYFUNCTION("""COMPUTED_VALUE"""),1582.8)</f>
        <v/>
      </c>
    </row>
    <row r="15644">
      <c r="J15644">
        <f>IFERROR(__xludf.DUMMYFUNCTION("""COMPUTED_VALUE"""),"Washinton (District of Columbia) United States of America")</f>
        <v/>
      </c>
      <c r="K15644">
        <f>IFERROR(__xludf.DUMMYFUNCTION("""COMPUTED_VALUE"""),1582.51)</f>
        <v/>
      </c>
    </row>
    <row r="15645">
      <c r="J15645">
        <f>IFERROR(__xludf.DUMMYFUNCTION("""COMPUTED_VALUE"""),"Vancouver, B.C")</f>
        <v/>
      </c>
      <c r="K15645">
        <f>IFERROR(__xludf.DUMMYFUNCTION("""COMPUTED_VALUE"""),1582.48)</f>
        <v/>
      </c>
    </row>
    <row r="15646">
      <c r="J15646">
        <f>IFERROR(__xludf.DUMMYFUNCTION("""COMPUTED_VALUE"""),"Ottawa, Ontario, Canada; Brackley, Prince Edward Island, Canada")</f>
        <v/>
      </c>
      <c r="K15646">
        <f>IFERROR(__xludf.DUMMYFUNCTION("""COMPUTED_VALUE"""),1581.89)</f>
        <v/>
      </c>
    </row>
    <row r="15647">
      <c r="J15647">
        <f>IFERROR(__xludf.DUMMYFUNCTION("""COMPUTED_VALUE"""),"Halifax N.S.")</f>
        <v/>
      </c>
      <c r="K15647">
        <f>IFERROR(__xludf.DUMMYFUNCTION("""COMPUTED_VALUE"""),1581.86)</f>
        <v/>
      </c>
    </row>
    <row r="15648">
      <c r="J15648">
        <f>IFERROR(__xludf.DUMMYFUNCTION("""COMPUTED_VALUE"""),"Wasington, DC")</f>
        <v/>
      </c>
      <c r="K15648">
        <f>IFERROR(__xludf.DUMMYFUNCTION("""COMPUTED_VALUE"""),1581.76)</f>
        <v/>
      </c>
    </row>
    <row r="15649">
      <c r="J15649">
        <f>IFERROR(__xludf.DUMMYFUNCTION("""COMPUTED_VALUE"""),"Vancouver, Masset and Queen Charlotte British Columbia")</f>
        <v/>
      </c>
      <c r="K15649">
        <f>IFERROR(__xludf.DUMMYFUNCTION("""COMPUTED_VALUE"""),1581.39)</f>
        <v/>
      </c>
    </row>
    <row r="15650">
      <c r="J15650">
        <f>IFERROR(__xludf.DUMMYFUNCTION("""COMPUTED_VALUE"""),"Moncton, New Burnswick")</f>
        <v/>
      </c>
      <c r="K15650">
        <f>IFERROR(__xludf.DUMMYFUNCTION("""COMPUTED_VALUE"""),1580.93)</f>
        <v/>
      </c>
    </row>
    <row r="15651">
      <c r="J15651">
        <f>IFERROR(__xludf.DUMMYFUNCTION("""COMPUTED_VALUE"""),"Toronto &amp; Burlington, Ontario")</f>
        <v/>
      </c>
      <c r="K15651">
        <f>IFERROR(__xludf.DUMMYFUNCTION("""COMPUTED_VALUE"""),1580.82)</f>
        <v/>
      </c>
    </row>
    <row r="15652">
      <c r="J15652">
        <f>IFERROR(__xludf.DUMMYFUNCTION("""COMPUTED_VALUE"""),"Fredericton, New Brunswick and Charlottetown, Prince Edward Island")</f>
        <v/>
      </c>
      <c r="K15652">
        <f>IFERROR(__xludf.DUMMYFUNCTION("""COMPUTED_VALUE"""),1580.65)</f>
        <v/>
      </c>
    </row>
    <row r="15653">
      <c r="J15653">
        <f>IFERROR(__xludf.DUMMYFUNCTION("""COMPUTED_VALUE"""),"Sainte-Thérèse, Quebec, Canada; Saint-Jérôme, Quebec, Canada")</f>
        <v/>
      </c>
      <c r="K15653">
        <f>IFERROR(__xludf.DUMMYFUNCTION("""COMPUTED_VALUE"""),1580.40999999999)</f>
        <v/>
      </c>
    </row>
    <row r="15654">
      <c r="J15654">
        <f>IFERROR(__xludf.DUMMYFUNCTION("""COMPUTED_VALUE"""),"Fredericton, PEI")</f>
        <v/>
      </c>
      <c r="K15654">
        <f>IFERROR(__xludf.DUMMYFUNCTION("""COMPUTED_VALUE"""),1580.26)</f>
        <v/>
      </c>
    </row>
    <row r="15655">
      <c r="J15655">
        <f>IFERROR(__xludf.DUMMYFUNCTION("""COMPUTED_VALUE"""),"Halifax, Nova Scotia and Gagetown, New Brunswick")</f>
        <v/>
      </c>
      <c r="K15655">
        <f>IFERROR(__xludf.DUMMYFUNCTION("""COMPUTED_VALUE"""),1580.15)</f>
        <v/>
      </c>
    </row>
    <row r="15656">
      <c r="J15656">
        <f>IFERROR(__xludf.DUMMYFUNCTION("""COMPUTED_VALUE"""),"Montreal / Sorel-Tracy / Lavaltrie / Trois-Rivières / Thetford Mines / Sherbrooke, (Quebec)")</f>
        <v/>
      </c>
      <c r="K15656">
        <f>IFERROR(__xludf.DUMMYFUNCTION("""COMPUTED_VALUE"""),1580.13)</f>
        <v/>
      </c>
    </row>
    <row r="15657">
      <c r="J15657">
        <f>IFERROR(__xludf.DUMMYFUNCTION("""COMPUTED_VALUE"""),"Cape Breton and Sydney, Nova Scotia")</f>
        <v/>
      </c>
      <c r="K15657">
        <f>IFERROR(__xludf.DUMMYFUNCTION("""COMPUTED_VALUE"""),1580.08)</f>
        <v/>
      </c>
    </row>
    <row r="15658">
      <c r="J15658">
        <f>IFERROR(__xludf.DUMMYFUNCTION("""COMPUTED_VALUE"""),"MELFORT, SK")</f>
        <v/>
      </c>
      <c r="K15658">
        <f>IFERROR(__xludf.DUMMYFUNCTION("""COMPUTED_VALUE"""),1579.97)</f>
        <v/>
      </c>
    </row>
    <row r="15659">
      <c r="J15659">
        <f>IFERROR(__xludf.DUMMYFUNCTION("""COMPUTED_VALUE"""),"Fredericton, Caraquet and Edmundston, New Brunswick")</f>
        <v/>
      </c>
      <c r="K15659">
        <f>IFERROR(__xludf.DUMMYFUNCTION("""COMPUTED_VALUE"""),1579.82)</f>
        <v/>
      </c>
    </row>
    <row r="15660">
      <c r="J15660">
        <f>IFERROR(__xludf.DUMMYFUNCTION("""COMPUTED_VALUE"""),"Kentville, Nova-Scotia, Canada")</f>
        <v/>
      </c>
      <c r="K15660">
        <f>IFERROR(__xludf.DUMMYFUNCTION("""COMPUTED_VALUE"""),1579.25)</f>
        <v/>
      </c>
    </row>
    <row r="15661">
      <c r="J15661">
        <f>IFERROR(__xludf.DUMMYFUNCTION("""COMPUTED_VALUE"""),"Republic of Korea")</f>
        <v/>
      </c>
      <c r="K15661">
        <f>IFERROR(__xludf.DUMMYFUNCTION("""COMPUTED_VALUE"""),1579.07)</f>
        <v/>
      </c>
    </row>
    <row r="15662">
      <c r="J15662">
        <f>IFERROR(__xludf.DUMMYFUNCTION("""COMPUTED_VALUE"""),"Toronto, London, ON")</f>
        <v/>
      </c>
      <c r="K15662">
        <f>IFERROR(__xludf.DUMMYFUNCTION("""COMPUTED_VALUE"""),1578.9)</f>
        <v/>
      </c>
    </row>
    <row r="15663">
      <c r="J15663">
        <f>IFERROR(__xludf.DUMMYFUNCTION("""COMPUTED_VALUE"""),"Valletta and London, Malta and United Kingdom")</f>
        <v/>
      </c>
      <c r="K15663">
        <f>IFERROR(__xludf.DUMMYFUNCTION("""COMPUTED_VALUE"""),1578.18)</f>
        <v/>
      </c>
    </row>
    <row r="15664">
      <c r="J15664">
        <f>IFERROR(__xludf.DUMMYFUNCTION("""COMPUTED_VALUE"""),"Ottawa- Toronto- Saskatoon-Toronto")</f>
        <v/>
      </c>
      <c r="K15664">
        <f>IFERROR(__xludf.DUMMYFUNCTION("""COMPUTED_VALUE"""),1577.7)</f>
        <v/>
      </c>
    </row>
    <row r="15665">
      <c r="J15665">
        <f>IFERROR(__xludf.DUMMYFUNCTION("""COMPUTED_VALUE"""),"Ottawa, ON; Fredericton, NB")</f>
        <v/>
      </c>
      <c r="K15665">
        <f>IFERROR(__xludf.DUMMYFUNCTION("""COMPUTED_VALUE"""),1576)</f>
        <v/>
      </c>
    </row>
    <row r="15666">
      <c r="J15666">
        <f>IFERROR(__xludf.DUMMYFUNCTION("""COMPUTED_VALUE"""),"Fredericton, New Brunswick, Canada; Toronto, Ontario, Canada")</f>
        <v/>
      </c>
      <c r="K15666">
        <f>IFERROR(__xludf.DUMMYFUNCTION("""COMPUTED_VALUE"""),1575.84)</f>
        <v/>
      </c>
    </row>
    <row r="15667">
      <c r="J15667">
        <f>IFERROR(__xludf.DUMMYFUNCTION("""COMPUTED_VALUE"""),"Bagotville - Portneuf - Ste-Foy - Lévis - Sherbrooke - Montréal - Bagotville")</f>
        <v/>
      </c>
      <c r="K15667">
        <f>IFERROR(__xludf.DUMMYFUNCTION("""COMPUTED_VALUE"""),1575.69)</f>
        <v/>
      </c>
    </row>
    <row r="15668">
      <c r="J15668">
        <f>IFERROR(__xludf.DUMMYFUNCTION("""COMPUTED_VALUE"""),"Îles-de-la-Madeleine, Quebec, Canada; Gaspé, Quebec, Canada")</f>
        <v/>
      </c>
      <c r="K15668">
        <f>IFERROR(__xludf.DUMMYFUNCTION("""COMPUTED_VALUE"""),1575.58)</f>
        <v/>
      </c>
    </row>
    <row r="15669">
      <c r="J15669">
        <f>IFERROR(__xludf.DUMMYFUNCTION("""COMPUTED_VALUE"""),"Lac-Delage, Quebec, Canada")</f>
        <v/>
      </c>
      <c r="K15669">
        <f>IFERROR(__xludf.DUMMYFUNCTION("""COMPUTED_VALUE"""),1575.44)</f>
        <v/>
      </c>
    </row>
    <row r="15670">
      <c r="J15670">
        <f>IFERROR(__xludf.DUMMYFUNCTION("""COMPUTED_VALUE"""),"Inuvik, Northwest Terretories, Canada")</f>
        <v/>
      </c>
      <c r="K15670">
        <f>IFERROR(__xludf.DUMMYFUNCTION("""COMPUTED_VALUE"""),1575.04)</f>
        <v/>
      </c>
    </row>
    <row r="15671">
      <c r="J15671">
        <f>IFERROR(__xludf.DUMMYFUNCTION("""COMPUTED_VALUE"""),"Montreal, QC/Gatineau, QC")</f>
        <v/>
      </c>
      <c r="K15671">
        <f>IFERROR(__xludf.DUMMYFUNCTION("""COMPUTED_VALUE"""),1575)</f>
        <v/>
      </c>
    </row>
    <row r="15672">
      <c r="J15672">
        <f>IFERROR(__xludf.DUMMYFUNCTION("""COMPUTED_VALUE"""),"Rimouski (Quebec) Canada
Sainte-Anne-des-Monts (Quebec) Canada
Lévis (Quebec) Canada")</f>
        <v/>
      </c>
      <c r="K15672">
        <f>IFERROR(__xludf.DUMMYFUNCTION("""COMPUTED_VALUE"""),1574.89)</f>
        <v/>
      </c>
    </row>
    <row r="15673">
      <c r="J15673">
        <f>IFERROR(__xludf.DUMMYFUNCTION("""COMPUTED_VALUE"""),"Wakefield, ON")</f>
        <v/>
      </c>
      <c r="K15673">
        <f>IFERROR(__xludf.DUMMYFUNCTION("""COMPUTED_VALUE"""),1574.24)</f>
        <v/>
      </c>
    </row>
    <row r="15674">
      <c r="J15674">
        <f>IFERROR(__xludf.DUMMYFUNCTION("""COMPUTED_VALUE"""),"Winnipeg, Manitoba &amp; Montreal,Quebec")</f>
        <v/>
      </c>
      <c r="K15674">
        <f>IFERROR(__xludf.DUMMYFUNCTION("""COMPUTED_VALUE"""),1574.22)</f>
        <v/>
      </c>
    </row>
    <row r="15675">
      <c r="J15675">
        <f>IFERROR(__xludf.DUMMYFUNCTION("""COMPUTED_VALUE"""),"Calgary / Edmonton, Alberta")</f>
        <v/>
      </c>
      <c r="K15675">
        <f>IFERROR(__xludf.DUMMYFUNCTION("""COMPUTED_VALUE"""),1573.59)</f>
        <v/>
      </c>
    </row>
    <row r="15676">
      <c r="J15676">
        <f>IFERROR(__xludf.DUMMYFUNCTION("""COMPUTED_VALUE"""),"St.John's,
Newfoundland and Labrador,
Canada")</f>
        <v/>
      </c>
      <c r="K15676">
        <f>IFERROR(__xludf.DUMMYFUNCTION("""COMPUTED_VALUE"""),1573.14)</f>
        <v/>
      </c>
    </row>
    <row r="15677">
      <c r="J15677">
        <f>IFERROR(__xludf.DUMMYFUNCTION("""COMPUTED_VALUE"""),"St John, Newfoundland, Canada")</f>
        <v/>
      </c>
      <c r="K15677">
        <f>IFERROR(__xludf.DUMMYFUNCTION("""COMPUTED_VALUE"""),1572.6)</f>
        <v/>
      </c>
    </row>
    <row r="15678">
      <c r="J15678">
        <f>IFERROR(__xludf.DUMMYFUNCTION("""COMPUTED_VALUE"""),"Montréal, QC; Bagotville, QC")</f>
        <v/>
      </c>
      <c r="K15678">
        <f>IFERROR(__xludf.DUMMYFUNCTION("""COMPUTED_VALUE"""),1572.2)</f>
        <v/>
      </c>
    </row>
    <row r="15679">
      <c r="J15679">
        <f>IFERROR(__xludf.DUMMYFUNCTION("""COMPUTED_VALUE"""),"Montreal, Quebec, Canada Halifax, Nova Scotia, Canada")</f>
        <v/>
      </c>
      <c r="K15679">
        <f>IFERROR(__xludf.DUMMYFUNCTION("""COMPUTED_VALUE"""),1571.73)</f>
        <v/>
      </c>
    </row>
    <row r="15680">
      <c r="J15680">
        <f>IFERROR(__xludf.DUMMYFUNCTION("""COMPUTED_VALUE"""),"Toronto and Niagara, Ontario, Canada")</f>
        <v/>
      </c>
      <c r="K15680">
        <f>IFERROR(__xludf.DUMMYFUNCTION("""COMPUTED_VALUE"""),1570.83)</f>
        <v/>
      </c>
    </row>
    <row r="15681">
      <c r="J15681">
        <f>IFERROR(__xludf.DUMMYFUNCTION("""COMPUTED_VALUE"""),"Golden, BC")</f>
        <v/>
      </c>
      <c r="K15681">
        <f>IFERROR(__xludf.DUMMYFUNCTION("""COMPUTED_VALUE"""),1570.75999999999)</f>
        <v/>
      </c>
    </row>
    <row r="15682">
      <c r="J15682">
        <f>IFERROR(__xludf.DUMMYFUNCTION("""COMPUTED_VALUE"""),"Fredericton, New Brunswick and Quebec, Quebec")</f>
        <v/>
      </c>
      <c r="K15682">
        <f>IFERROR(__xludf.DUMMYFUNCTION("""COMPUTED_VALUE"""),1570.69)</f>
        <v/>
      </c>
    </row>
    <row r="15683">
      <c r="J15683">
        <f>IFERROR(__xludf.DUMMYFUNCTION("""COMPUTED_VALUE"""),"Toronto, Oakville, Burlington")</f>
        <v/>
      </c>
      <c r="K15683">
        <f>IFERROR(__xludf.DUMMYFUNCTION("""COMPUTED_VALUE"""),1570.46)</f>
        <v/>
      </c>
    </row>
    <row r="15684">
      <c r="J15684">
        <f>IFERROR(__xludf.DUMMYFUNCTION("""COMPUTED_VALUE"""),"Mount Revelstoke, British Columbia / Val Marie, Saskatchewan")</f>
        <v/>
      </c>
      <c r="K15684">
        <f>IFERROR(__xludf.DUMMYFUNCTION("""COMPUTED_VALUE"""),1570.11)</f>
        <v/>
      </c>
    </row>
    <row r="15685">
      <c r="J15685">
        <f>IFERROR(__xludf.DUMMYFUNCTION("""COMPUTED_VALUE"""),"Peterborough, Ontario / Toronto, Ontario")</f>
        <v/>
      </c>
      <c r="K15685">
        <f>IFERROR(__xludf.DUMMYFUNCTION("""COMPUTED_VALUE"""),1570.03)</f>
        <v/>
      </c>
    </row>
    <row r="15686">
      <c r="J15686">
        <f>IFERROR(__xludf.DUMMYFUNCTION("""COMPUTED_VALUE"""),"Saskatchewan, SK and Edmonton, AB")</f>
        <v/>
      </c>
      <c r="K15686">
        <f>IFERROR(__xludf.DUMMYFUNCTION("""COMPUTED_VALUE"""),1569.85)</f>
        <v/>
      </c>
    </row>
    <row r="15687">
      <c r="J15687">
        <f>IFERROR(__xludf.DUMMYFUNCTION("""COMPUTED_VALUE"""),"Niagara Falls, Ontario, Canada; Hamilton, Ontario, Canada; Kitchener, Ontario, Canada; Brantford, Ontario, Canada")</f>
        <v/>
      </c>
      <c r="K15687">
        <f>IFERROR(__xludf.DUMMYFUNCTION("""COMPUTED_VALUE"""),1569.73)</f>
        <v/>
      </c>
    </row>
    <row r="15688">
      <c r="J15688">
        <f>IFERROR(__xludf.DUMMYFUNCTION("""COMPUTED_VALUE"""),"Norval, Ontario, Canada; Bolton, Ontario, Canada")</f>
        <v/>
      </c>
      <c r="K15688">
        <f>IFERROR(__xludf.DUMMYFUNCTION("""COMPUTED_VALUE"""),1569.66)</f>
        <v/>
      </c>
    </row>
    <row r="15689">
      <c r="J15689">
        <f>IFERROR(__xludf.DUMMYFUNCTION("""COMPUTED_VALUE"""),"Winnipeg, Manitoba / Montreal, Quebec, Canada")</f>
        <v/>
      </c>
      <c r="K15689">
        <f>IFERROR(__xludf.DUMMYFUNCTION("""COMPUTED_VALUE"""),1569.6)</f>
        <v/>
      </c>
    </row>
    <row r="15690">
      <c r="J15690">
        <f>IFERROR(__xludf.DUMMYFUNCTION("""COMPUTED_VALUE"""),"Kathmandu, Nepal")</f>
        <v/>
      </c>
      <c r="K15690">
        <f>IFERROR(__xludf.DUMMYFUNCTION("""COMPUTED_VALUE"""),1569.58)</f>
        <v/>
      </c>
    </row>
    <row r="15691">
      <c r="J15691">
        <f>IFERROR(__xludf.DUMMYFUNCTION("""COMPUTED_VALUE"""),"Toronto, London, Barrie, Ontario, Canada")</f>
        <v/>
      </c>
      <c r="K15691">
        <f>IFERROR(__xludf.DUMMYFUNCTION("""COMPUTED_VALUE"""),1569.58)</f>
        <v/>
      </c>
    </row>
    <row r="15692">
      <c r="J15692">
        <f>IFERROR(__xludf.DUMMYFUNCTION("""COMPUTED_VALUE"""),"St Jean-Sur-Richelieu, Quebec, Canada")</f>
        <v/>
      </c>
      <c r="K15692">
        <f>IFERROR(__xludf.DUMMYFUNCTION("""COMPUTED_VALUE"""),1569.5)</f>
        <v/>
      </c>
    </row>
    <row r="15693">
      <c r="J15693">
        <f>IFERROR(__xludf.DUMMYFUNCTION("""COMPUTED_VALUE"""),"Québec - Ottawa - Londres, Angleterre - Ottawa - Québec")</f>
        <v/>
      </c>
      <c r="K15693">
        <f>IFERROR(__xludf.DUMMYFUNCTION("""COMPUTED_VALUE"""),1569.49)</f>
        <v/>
      </c>
    </row>
    <row r="15694">
      <c r="J15694">
        <f>IFERROR(__xludf.DUMMYFUNCTION("""COMPUTED_VALUE"""),"Victoria and Vancouver, BC and Wakefield, QC")</f>
        <v/>
      </c>
      <c r="K15694">
        <f>IFERROR(__xludf.DUMMYFUNCTION("""COMPUTED_VALUE"""),1569.39)</f>
        <v/>
      </c>
    </row>
    <row r="15695">
      <c r="J15695">
        <f>IFERROR(__xludf.DUMMYFUNCTION("""COMPUTED_VALUE"""),"Québec, Montréal")</f>
        <v/>
      </c>
      <c r="K15695">
        <f>IFERROR(__xludf.DUMMYFUNCTION("""COMPUTED_VALUE"""),1569.19)</f>
        <v/>
      </c>
    </row>
    <row r="15696">
      <c r="J15696">
        <f>IFERROR(__xludf.DUMMYFUNCTION("""COMPUTED_VALUE"""),"Terrebonne, Quebec, Canada
Repentigny, Quebec, Canada
Laval, Quebec, Canada
Quebec, Quebec, Canada
Bromont, Quebec, Canada
Laval, Quebec , Canada")</f>
        <v/>
      </c>
      <c r="K15696">
        <f>IFERROR(__xludf.DUMMYFUNCTION("""COMPUTED_VALUE"""),1569.08)</f>
        <v/>
      </c>
    </row>
    <row r="15697">
      <c r="J15697">
        <f>IFERROR(__xludf.DUMMYFUNCTION("""COMPUTED_VALUE"""),"Banff and Calgary Alberta Canada")</f>
        <v/>
      </c>
      <c r="K15697">
        <f>IFERROR(__xludf.DUMMYFUNCTION("""COMPUTED_VALUE"""),1568.78)</f>
        <v/>
      </c>
    </row>
    <row r="15698">
      <c r="J15698">
        <f>IFERROR(__xludf.DUMMYFUNCTION("""COMPUTED_VALUE"""),"Val Marie, Saskatchewan (Grasslands National Park)")</f>
        <v/>
      </c>
      <c r="K15698">
        <f>IFERROR(__xludf.DUMMYFUNCTION("""COMPUTED_VALUE"""),1568.54)</f>
        <v/>
      </c>
    </row>
    <row r="15699">
      <c r="J15699">
        <f>IFERROR(__xludf.DUMMYFUNCTION("""COMPUTED_VALUE"""),"HALIFAX - NOVA SCOTIA")</f>
        <v/>
      </c>
      <c r="K15699">
        <f>IFERROR(__xludf.DUMMYFUNCTION("""COMPUTED_VALUE"""),1568.2)</f>
        <v/>
      </c>
    </row>
    <row r="15700">
      <c r="J15700">
        <f>IFERROR(__xludf.DUMMYFUNCTION("""COMPUTED_VALUE"""),"Halifax, N.S, Fredericton, NB")</f>
        <v/>
      </c>
      <c r="K15700">
        <f>IFERROR(__xludf.DUMMYFUNCTION("""COMPUTED_VALUE"""),1567.76)</f>
        <v/>
      </c>
    </row>
    <row r="15701">
      <c r="J15701">
        <f>IFERROR(__xludf.DUMMYFUNCTION("""COMPUTED_VALUE"""),"CHARLOTTETOWN PE - HALIFAX NS")</f>
        <v/>
      </c>
      <c r="K15701">
        <f>IFERROR(__xludf.DUMMYFUNCTION("""COMPUTED_VALUE"""),1567.73)</f>
        <v/>
      </c>
    </row>
    <row r="15702">
      <c r="J15702">
        <f>IFERROR(__xludf.DUMMYFUNCTION("""COMPUTED_VALUE"""),"Charlottetown, Prince-Edward Island, Canada")</f>
        <v/>
      </c>
      <c r="K15702">
        <f>IFERROR(__xludf.DUMMYFUNCTION("""COMPUTED_VALUE"""),1567.72)</f>
        <v/>
      </c>
    </row>
    <row r="15703">
      <c r="J15703">
        <f>IFERROR(__xludf.DUMMYFUNCTION("""COMPUTED_VALUE"""),"Halifax, Nova Scotia, Canada; Kentville, Nova Scotia, Canada; Charlottetown, Prince Edward Island, Canada")</f>
        <v/>
      </c>
      <c r="K15703">
        <f>IFERROR(__xludf.DUMMYFUNCTION("""COMPUTED_VALUE"""),1567.13)</f>
        <v/>
      </c>
    </row>
    <row r="15704">
      <c r="J15704">
        <f>IFERROR(__xludf.DUMMYFUNCTION("""COMPUTED_VALUE"""),"Timmins &amp; Cochrane, Ontario")</f>
        <v/>
      </c>
      <c r="K15704">
        <f>IFERROR(__xludf.DUMMYFUNCTION("""COMPUTED_VALUE"""),1566.97)</f>
        <v/>
      </c>
    </row>
    <row r="15705">
      <c r="J15705">
        <f>IFERROR(__xludf.DUMMYFUNCTION("""COMPUTED_VALUE"""),"Regina and Swift Current, Saskatchewan")</f>
        <v/>
      </c>
      <c r="K15705">
        <f>IFERROR(__xludf.DUMMYFUNCTION("""COMPUTED_VALUE"""),1566.72)</f>
        <v/>
      </c>
    </row>
    <row r="15706">
      <c r="J15706">
        <f>IFERROR(__xludf.DUMMYFUNCTION("""COMPUTED_VALUE"""),"Ottawa, ON - Toronto, ON / Toronto, ON - Charlottetown, PE / Charlottetown, PE - Ottawa, ON")</f>
        <v/>
      </c>
      <c r="K15706">
        <f>IFERROR(__xludf.DUMMYFUNCTION("""COMPUTED_VALUE"""),1565.78)</f>
        <v/>
      </c>
    </row>
    <row r="15707">
      <c r="J15707">
        <f>IFERROR(__xludf.DUMMYFUNCTION("""COMPUTED_VALUE"""),"Moncton / St. John's")</f>
        <v/>
      </c>
      <c r="K15707">
        <f>IFERROR(__xludf.DUMMYFUNCTION("""COMPUTED_VALUE"""),1565.22)</f>
        <v/>
      </c>
    </row>
    <row r="15708">
      <c r="J15708">
        <f>IFERROR(__xludf.DUMMYFUNCTION("""COMPUTED_VALUE"""),"Niagara Region, ON")</f>
        <v/>
      </c>
      <c r="K15708">
        <f>IFERROR(__xludf.DUMMYFUNCTION("""COMPUTED_VALUE"""),1564.8)</f>
        <v/>
      </c>
    </row>
    <row r="15709">
      <c r="J15709">
        <f>IFERROR(__xludf.DUMMYFUNCTION("""COMPUTED_VALUE"""),"Invermere, British Columbia")</f>
        <v/>
      </c>
      <c r="K15709">
        <f>IFERROR(__xludf.DUMMYFUNCTION("""COMPUTED_VALUE"""),1564.72)</f>
        <v/>
      </c>
    </row>
    <row r="15710">
      <c r="J15710">
        <f>IFERROR(__xludf.DUMMYFUNCTION("""COMPUTED_VALUE"""),"Ottawa-London-Toronto-Ottawa")</f>
        <v/>
      </c>
      <c r="K15710">
        <f>IFERROR(__xludf.DUMMYFUNCTION("""COMPUTED_VALUE"""),1564.57)</f>
        <v/>
      </c>
    </row>
    <row r="15711">
      <c r="J15711">
        <f>IFERROR(__xludf.DUMMYFUNCTION("""COMPUTED_VALUE"""),"Ottawa, Ontario and Saint John, New Brunswick")</f>
        <v/>
      </c>
      <c r="K15711">
        <f>IFERROR(__xludf.DUMMYFUNCTION("""COMPUTED_VALUE"""),1564.53)</f>
        <v/>
      </c>
    </row>
    <row r="15712">
      <c r="J15712">
        <f>IFERROR(__xludf.DUMMYFUNCTION("""COMPUTED_VALUE"""),"Norway House")</f>
        <v/>
      </c>
      <c r="K15712">
        <f>IFERROR(__xludf.DUMMYFUNCTION("""COMPUTED_VALUE"""),1564.4)</f>
        <v/>
      </c>
    </row>
    <row r="15713">
      <c r="J15713">
        <f>IFERROR(__xludf.DUMMYFUNCTION("""COMPUTED_VALUE"""),"(CFB) Gagetown, Halifax and Greenwood")</f>
        <v/>
      </c>
      <c r="K15713">
        <f>IFERROR(__xludf.DUMMYFUNCTION("""COMPUTED_VALUE"""),1564.27)</f>
        <v/>
      </c>
    </row>
    <row r="15714">
      <c r="J15714">
        <f>IFERROR(__xludf.DUMMYFUNCTION("""COMPUTED_VALUE"""),"Ottawa (Ontario) Canada
Sherbrooke (Quebec) Canada")</f>
        <v/>
      </c>
      <c r="K15714">
        <f>IFERROR(__xludf.DUMMYFUNCTION("""COMPUTED_VALUE"""),1564.06)</f>
        <v/>
      </c>
    </row>
    <row r="15715">
      <c r="J15715">
        <f>IFERROR(__xludf.DUMMYFUNCTION("""COMPUTED_VALUE"""),"Calgary, Banff and Ottawa")</f>
        <v/>
      </c>
      <c r="K15715">
        <f>IFERROR(__xludf.DUMMYFUNCTION("""COMPUTED_VALUE"""),1563.84)</f>
        <v/>
      </c>
    </row>
    <row r="15716">
      <c r="J15716">
        <f>IFERROR(__xludf.DUMMYFUNCTION("""COMPUTED_VALUE"""),"St John's, Newfoundland / Fredericton, New Brunswick")</f>
        <v/>
      </c>
      <c r="K15716">
        <f>IFERROR(__xludf.DUMMYFUNCTION("""COMPUTED_VALUE"""),1563.74)</f>
        <v/>
      </c>
    </row>
    <row r="15717">
      <c r="J15717">
        <f>IFERROR(__xludf.DUMMYFUNCTION("""COMPUTED_VALUE"""),"Bordon, ON")</f>
        <v/>
      </c>
      <c r="K15717">
        <f>IFERROR(__xludf.DUMMYFUNCTION("""COMPUTED_VALUE"""),1563.38)</f>
        <v/>
      </c>
    </row>
    <row r="15718">
      <c r="J15718">
        <f>IFERROR(__xludf.DUMMYFUNCTION("""COMPUTED_VALUE"""),"Grand Haven, USA")</f>
        <v/>
      </c>
      <c r="K15718">
        <f>IFERROR(__xludf.DUMMYFUNCTION("""COMPUTED_VALUE"""),1563.12)</f>
        <v/>
      </c>
    </row>
    <row r="15719">
      <c r="J15719">
        <f>IFERROR(__xludf.DUMMYFUNCTION("""COMPUTED_VALUE"""),"Rankin Inlet")</f>
        <v/>
      </c>
      <c r="K15719">
        <f>IFERROR(__xludf.DUMMYFUNCTION("""COMPUTED_VALUE"""),1563.1)</f>
        <v/>
      </c>
    </row>
    <row r="15720">
      <c r="J15720">
        <f>IFERROR(__xludf.DUMMYFUNCTION("""COMPUTED_VALUE"""),"Northwest territories, Canada")</f>
        <v/>
      </c>
      <c r="K15720">
        <f>IFERROR(__xludf.DUMMYFUNCTION("""COMPUTED_VALUE"""),1562.38)</f>
        <v/>
      </c>
    </row>
    <row r="15721">
      <c r="J15721">
        <f>IFERROR(__xludf.DUMMYFUNCTION("""COMPUTED_VALUE"""),"Halifax, Nova Scotia / Sydney, Nova Scotia")</f>
        <v/>
      </c>
      <c r="K15721">
        <f>IFERROR(__xludf.DUMMYFUNCTION("""COMPUTED_VALUE"""),1562.32)</f>
        <v/>
      </c>
    </row>
    <row r="15722">
      <c r="J15722">
        <f>IFERROR(__xludf.DUMMYFUNCTION("""COMPUTED_VALUE"""),"Vegreville, Alberta, Canada")</f>
        <v/>
      </c>
      <c r="K15722">
        <f>IFERROR(__xludf.DUMMYFUNCTION("""COMPUTED_VALUE"""),1561.86)</f>
        <v/>
      </c>
    </row>
    <row r="15723">
      <c r="J15723">
        <f>IFERROR(__xludf.DUMMYFUNCTION("""COMPUTED_VALUE"""),"Edmonton/Regina")</f>
        <v/>
      </c>
      <c r="K15723">
        <f>IFERROR(__xludf.DUMMYFUNCTION("""COMPUTED_VALUE"""),1561.78)</f>
        <v/>
      </c>
    </row>
    <row r="15724">
      <c r="J15724">
        <f>IFERROR(__xludf.DUMMYFUNCTION("""COMPUTED_VALUE"""),"Tallinn, Estonia, Estonia")</f>
        <v/>
      </c>
      <c r="K15724">
        <f>IFERROR(__xludf.DUMMYFUNCTION("""COMPUTED_VALUE"""),1561.76)</f>
        <v/>
      </c>
    </row>
    <row r="15725">
      <c r="J15725">
        <f>IFERROR(__xludf.DUMMYFUNCTION("""COMPUTED_VALUE"""),"Germany, Berlin")</f>
        <v/>
      </c>
      <c r="K15725">
        <f>IFERROR(__xludf.DUMMYFUNCTION("""COMPUTED_VALUE"""),1561.42)</f>
        <v/>
      </c>
    </row>
    <row r="15726">
      <c r="J15726">
        <f>IFERROR(__xludf.DUMMYFUNCTION("""COMPUTED_VALUE"""),"Toronto, Ontario, Canada; Markham, Ontario, Canada; Ottawa, Ontario, Canada")</f>
        <v/>
      </c>
      <c r="K15726">
        <f>IFERROR(__xludf.DUMMYFUNCTION("""COMPUTED_VALUE"""),1561.02)</f>
        <v/>
      </c>
    </row>
    <row r="15727">
      <c r="J15727">
        <f>IFERROR(__xludf.DUMMYFUNCTION("""COMPUTED_VALUE"""),"Ottawa, Ontario, Canada
Vancouver, British Columbia, Canada
Victoria, British Columbia, Canada")</f>
        <v/>
      </c>
      <c r="K15727">
        <f>IFERROR(__xludf.DUMMYFUNCTION("""COMPUTED_VALUE"""),1561.01)</f>
        <v/>
      </c>
    </row>
    <row r="15728">
      <c r="J15728">
        <f>IFERROR(__xludf.DUMMYFUNCTION("""COMPUTED_VALUE"""),"Woodstock-Chatham-Toronto-
Cambridge")</f>
        <v/>
      </c>
      <c r="K15728">
        <f>IFERROR(__xludf.DUMMYFUNCTION("""COMPUTED_VALUE"""),1560.34)</f>
        <v/>
      </c>
    </row>
    <row r="15729">
      <c r="J15729">
        <f>IFERROR(__xludf.DUMMYFUNCTION("""COMPUTED_VALUE"""),"Corner Brook, NL &amp; Labrador")</f>
        <v/>
      </c>
      <c r="K15729">
        <f>IFERROR(__xludf.DUMMYFUNCTION("""COMPUTED_VALUE"""),1560.18)</f>
        <v/>
      </c>
    </row>
    <row r="15730">
      <c r="J15730">
        <f>IFERROR(__xludf.DUMMYFUNCTION("""COMPUTED_VALUE"""),"St. John's (Terre-Neuve-et-Labrador)")</f>
        <v/>
      </c>
      <c r="K15730">
        <f>IFERROR(__xludf.DUMMYFUNCTION("""COMPUTED_VALUE"""),1559.86)</f>
        <v/>
      </c>
    </row>
    <row r="15731">
      <c r="J15731">
        <f>IFERROR(__xludf.DUMMYFUNCTION("""COMPUTED_VALUE"""),"Swift Current and Regina, Saskatchewan")</f>
        <v/>
      </c>
      <c r="K15731">
        <f>IFERROR(__xludf.DUMMYFUNCTION("""COMPUTED_VALUE"""),1559.77)</f>
        <v/>
      </c>
    </row>
    <row r="15732">
      <c r="J15732">
        <f>IFERROR(__xludf.DUMMYFUNCTION("""COMPUTED_VALUE"""),"Charlottetown, PE; Fredericton, NB; St. John's, NL")</f>
        <v/>
      </c>
      <c r="K15732">
        <f>IFERROR(__xludf.DUMMYFUNCTION("""COMPUTED_VALUE"""),1559.69)</f>
        <v/>
      </c>
    </row>
    <row r="15733">
      <c r="J15733">
        <f>IFERROR(__xludf.DUMMYFUNCTION("""COMPUTED_VALUE"""),"Enfield, Nova Scotia, Canada")</f>
        <v/>
      </c>
      <c r="K15733">
        <f>IFERROR(__xludf.DUMMYFUNCTION("""COMPUTED_VALUE"""),1559.62)</f>
        <v/>
      </c>
    </row>
    <row r="15734">
      <c r="J15734">
        <f>IFERROR(__xludf.DUMMYFUNCTION("""COMPUTED_VALUE"""),"Oslo, NO")</f>
        <v/>
      </c>
      <c r="K15734">
        <f>IFERROR(__xludf.DUMMYFUNCTION("""COMPUTED_VALUE"""),1559.4)</f>
        <v/>
      </c>
    </row>
    <row r="15735">
      <c r="J15735">
        <f>IFERROR(__xludf.DUMMYFUNCTION("""COMPUTED_VALUE"""),"Exeter, Ontario, Canada; Kitchener, Ontario, Canada; Guelph, Ontario, Canada")</f>
        <v/>
      </c>
      <c r="K15735">
        <f>IFERROR(__xludf.DUMMYFUNCTION("""COMPUTED_VALUE"""),1558.62)</f>
        <v/>
      </c>
    </row>
    <row r="15736">
      <c r="J15736">
        <f>IFERROR(__xludf.DUMMYFUNCTION("""COMPUTED_VALUE"""),"Quito, Equator")</f>
        <v/>
      </c>
      <c r="K15736">
        <f>IFERROR(__xludf.DUMMYFUNCTION("""COMPUTED_VALUE"""),1558.12)</f>
        <v/>
      </c>
    </row>
    <row r="15737">
      <c r="J15737">
        <f>IFERROR(__xludf.DUMMYFUNCTION("""COMPUTED_VALUE"""),"Moncton, NB and Saguenay QC")</f>
        <v/>
      </c>
      <c r="K15737">
        <f>IFERROR(__xludf.DUMMYFUNCTION("""COMPUTED_VALUE"""),1557.22)</f>
        <v/>
      </c>
    </row>
    <row r="15738">
      <c r="J15738">
        <f>IFERROR(__xludf.DUMMYFUNCTION("""COMPUTED_VALUE"""),"Moncton and Sussex, New Brunswick")</f>
        <v/>
      </c>
      <c r="K15738">
        <f>IFERROR(__xludf.DUMMYFUNCTION("""COMPUTED_VALUE"""),1557.06)</f>
        <v/>
      </c>
    </row>
    <row r="15739">
      <c r="J15739">
        <f>IFERROR(__xludf.DUMMYFUNCTION("""COMPUTED_VALUE"""),"Moncton and Sussex, New Brunswick, Canada")</f>
        <v/>
      </c>
      <c r="K15739">
        <f>IFERROR(__xludf.DUMMYFUNCTION("""COMPUTED_VALUE"""),1557.06)</f>
        <v/>
      </c>
    </row>
    <row r="15740">
      <c r="J15740">
        <f>IFERROR(__xludf.DUMMYFUNCTION("""COMPUTED_VALUE"""),"Oromocto, New Brunswick, Canada; Toronto, Ontario, Canada")</f>
        <v/>
      </c>
      <c r="K15740">
        <f>IFERROR(__xludf.DUMMYFUNCTION("""COMPUTED_VALUE"""),1556.81)</f>
        <v/>
      </c>
    </row>
    <row r="15741">
      <c r="J15741">
        <f>IFERROR(__xludf.DUMMYFUNCTION("""COMPUTED_VALUE"""),"Red Deer, Alberta, Canada and Calgary, Alberta, Canada")</f>
        <v/>
      </c>
      <c r="K15741">
        <f>IFERROR(__xludf.DUMMYFUNCTION("""COMPUTED_VALUE"""),1556.68)</f>
        <v/>
      </c>
    </row>
    <row r="15742">
      <c r="J15742">
        <f>IFERROR(__xludf.DUMMYFUNCTION("""COMPUTED_VALUE"""),"Guelph, ON / London, ON")</f>
        <v/>
      </c>
      <c r="K15742">
        <f>IFERROR(__xludf.DUMMYFUNCTION("""COMPUTED_VALUE"""),1556.64999999999)</f>
        <v/>
      </c>
    </row>
    <row r="15743">
      <c r="J15743">
        <f>IFERROR(__xludf.DUMMYFUNCTION("""COMPUTED_VALUE"""),"Halifax, Nova Scotia; Charlottetown, PEI; Moncton, New Brunswick; Fredericton, New Brunswick")</f>
        <v/>
      </c>
      <c r="K15743">
        <f>IFERROR(__xludf.DUMMYFUNCTION("""COMPUTED_VALUE"""),1555.85)</f>
        <v/>
      </c>
    </row>
    <row r="15744">
      <c r="J15744">
        <f>IFERROR(__xludf.DUMMYFUNCTION("""COMPUTED_VALUE"""),"Fredericton  (New Brunswick) Canada")</f>
        <v/>
      </c>
      <c r="K15744">
        <f>IFERROR(__xludf.DUMMYFUNCTION("""COMPUTED_VALUE"""),1555.83)</f>
        <v/>
      </c>
    </row>
    <row r="15745">
      <c r="J15745">
        <f>IFERROR(__xludf.DUMMYFUNCTION("""COMPUTED_VALUE"""),"Detroit, MI and Windsor, ON")</f>
        <v/>
      </c>
      <c r="K15745">
        <f>IFERROR(__xludf.DUMMYFUNCTION("""COMPUTED_VALUE"""),1555.25)</f>
        <v/>
      </c>
    </row>
    <row r="15746">
      <c r="J15746">
        <f>IFERROR(__xludf.DUMMYFUNCTION("""COMPUTED_VALUE"""),"Chalk River")</f>
        <v/>
      </c>
      <c r="K15746">
        <f>IFERROR(__xludf.DUMMYFUNCTION("""COMPUTED_VALUE"""),1555.01)</f>
        <v/>
      </c>
    </row>
    <row r="15747">
      <c r="J15747">
        <f>IFERROR(__xludf.DUMMYFUNCTION("""COMPUTED_VALUE"""),"Berlin/Germany")</f>
        <v/>
      </c>
      <c r="K15747">
        <f>IFERROR(__xludf.DUMMYFUNCTION("""COMPUTED_VALUE"""),1554.79)</f>
        <v/>
      </c>
    </row>
    <row r="15748">
      <c r="J15748">
        <f>IFERROR(__xludf.DUMMYFUNCTION("""COMPUTED_VALUE"""),"Deer Lake, NL / Steady Brook, NL")</f>
        <v/>
      </c>
      <c r="K15748">
        <f>IFERROR(__xludf.DUMMYFUNCTION("""COMPUTED_VALUE"""),1554.71)</f>
        <v/>
      </c>
    </row>
    <row r="15749">
      <c r="J15749">
        <f>IFERROR(__xludf.DUMMYFUNCTION("""COMPUTED_VALUE"""),"Ottawa - Moosejaw - Ottawa")</f>
        <v/>
      </c>
      <c r="K15749">
        <f>IFERROR(__xludf.DUMMYFUNCTION("""COMPUTED_VALUE"""),1554.64)</f>
        <v/>
      </c>
    </row>
    <row r="15750">
      <c r="J15750">
        <f>IFERROR(__xludf.DUMMYFUNCTION("""COMPUTED_VALUE"""),"Boucherville, Chicoutimi, QC")</f>
        <v/>
      </c>
      <c r="K15750">
        <f>IFERROR(__xludf.DUMMYFUNCTION("""COMPUTED_VALUE"""),1554.42)</f>
        <v/>
      </c>
    </row>
    <row r="15751">
      <c r="J15751">
        <f>IFERROR(__xludf.DUMMYFUNCTION("""COMPUTED_VALUE"""),"Bathurst NB /Montreal QC")</f>
        <v/>
      </c>
      <c r="K15751">
        <f>IFERROR(__xludf.DUMMYFUNCTION("""COMPUTED_VALUE"""),1554.29)</f>
        <v/>
      </c>
    </row>
    <row r="15752">
      <c r="J15752">
        <f>IFERROR(__xludf.DUMMYFUNCTION("""COMPUTED_VALUE"""),"Calgary, Waterloo")</f>
        <v/>
      </c>
      <c r="K15752">
        <f>IFERROR(__xludf.DUMMYFUNCTION("""COMPUTED_VALUE"""),1553.47)</f>
        <v/>
      </c>
    </row>
    <row r="15753">
      <c r="J15753">
        <f>IFERROR(__xludf.DUMMYFUNCTION("""COMPUTED_VALUE"""),"Baie-Saint-Paul, Quebec, Canada")</f>
        <v/>
      </c>
      <c r="K15753">
        <f>IFERROR(__xludf.DUMMYFUNCTION("""COMPUTED_VALUE"""),1553.32)</f>
        <v/>
      </c>
    </row>
    <row r="15754">
      <c r="J15754">
        <f>IFERROR(__xludf.DUMMYFUNCTION("""COMPUTED_VALUE"""),"Gaspe, Quebec")</f>
        <v/>
      </c>
      <c r="K15754">
        <f>IFERROR(__xludf.DUMMYFUNCTION("""COMPUTED_VALUE"""),1552.91)</f>
        <v/>
      </c>
    </row>
    <row r="15755">
      <c r="J15755">
        <f>IFERROR(__xludf.DUMMYFUNCTION("""COMPUTED_VALUE"""),"New Minas, Nova Scotia, Canada")</f>
        <v/>
      </c>
      <c r="K15755">
        <f>IFERROR(__xludf.DUMMYFUNCTION("""COMPUTED_VALUE"""),1552.89)</f>
        <v/>
      </c>
    </row>
    <row r="15756">
      <c r="J15756">
        <f>IFERROR(__xludf.DUMMYFUNCTION("""COMPUTED_VALUE"""),"Hamilton, Ontario; London, Ontario, Canada")</f>
        <v/>
      </c>
      <c r="K15756">
        <f>IFERROR(__xludf.DUMMYFUNCTION("""COMPUTED_VALUE"""),1552.85)</f>
        <v/>
      </c>
    </row>
    <row r="15757">
      <c r="J15757">
        <f>IFERROR(__xludf.DUMMYFUNCTION("""COMPUTED_VALUE"""),"London and Windsor, Ontario")</f>
        <v/>
      </c>
      <c r="K15757">
        <f>IFERROR(__xludf.DUMMYFUNCTION("""COMPUTED_VALUE"""),1552.68)</f>
        <v/>
      </c>
    </row>
    <row r="15758">
      <c r="J15758">
        <f>IFERROR(__xludf.DUMMYFUNCTION("""COMPUTED_VALUE"""),"Vancouver (British Columbia) Canada; Prince Rupert (British Columbia) Canada")</f>
        <v/>
      </c>
      <c r="K15758">
        <f>IFERROR(__xludf.DUMMYFUNCTION("""COMPUTED_VALUE"""),1552.37)</f>
        <v/>
      </c>
    </row>
    <row r="15759">
      <c r="J15759">
        <f>IFERROR(__xludf.DUMMYFUNCTION("""COMPUTED_VALUE"""),"Saskatoon, Saskatchewan, Canada; Windsor, Ontario, Canada")</f>
        <v/>
      </c>
      <c r="K15759">
        <f>IFERROR(__xludf.DUMMYFUNCTION("""COMPUTED_VALUE"""),1552.18)</f>
        <v/>
      </c>
    </row>
    <row r="15760">
      <c r="J15760">
        <f>IFERROR(__xludf.DUMMYFUNCTION("""COMPUTED_VALUE"""),"Stratford ON")</f>
        <v/>
      </c>
      <c r="K15760">
        <f>IFERROR(__xludf.DUMMYFUNCTION("""COMPUTED_VALUE"""),1551.96)</f>
        <v/>
      </c>
    </row>
    <row r="15761">
      <c r="J15761">
        <f>IFERROR(__xludf.DUMMYFUNCTION("""COMPUTED_VALUE"""),"Temiscaming, Quebec, Canada")</f>
        <v/>
      </c>
      <c r="K15761">
        <f>IFERROR(__xludf.DUMMYFUNCTION("""COMPUTED_VALUE"""),1551.83)</f>
        <v/>
      </c>
    </row>
    <row r="15762">
      <c r="J15762">
        <f>IFERROR(__xludf.DUMMYFUNCTION("""COMPUTED_VALUE"""),"Shawinigan; Laval, Quebec, Canada")</f>
        <v/>
      </c>
      <c r="K15762">
        <f>IFERROR(__xludf.DUMMYFUNCTION("""COMPUTED_VALUE"""),1550.57)</f>
        <v/>
      </c>
    </row>
    <row r="15763">
      <c r="J15763">
        <f>IFERROR(__xludf.DUMMYFUNCTION("""COMPUTED_VALUE"""),"Maxwell AFB (Alabama) United States of America")</f>
        <v/>
      </c>
      <c r="K15763">
        <f>IFERROR(__xludf.DUMMYFUNCTION("""COMPUTED_VALUE"""),1550.42)</f>
        <v/>
      </c>
    </row>
    <row r="15764">
      <c r="J15764">
        <f>IFERROR(__xludf.DUMMYFUNCTION("""COMPUTED_VALUE"""),"Ingonish, Nova Scotia, Canada")</f>
        <v/>
      </c>
      <c r="K15764">
        <f>IFERROR(__xludf.DUMMYFUNCTION("""COMPUTED_VALUE"""),1550.33)</f>
        <v/>
      </c>
    </row>
    <row r="15765">
      <c r="J15765">
        <f>IFERROR(__xludf.DUMMYFUNCTION("""COMPUTED_VALUE"""),"Regina, Saskatchewan, SK")</f>
        <v/>
      </c>
      <c r="K15765">
        <f>IFERROR(__xludf.DUMMYFUNCTION("""COMPUTED_VALUE"""),1550.08)</f>
        <v/>
      </c>
    </row>
    <row r="15766">
      <c r="J15766">
        <f>IFERROR(__xludf.DUMMYFUNCTION("""COMPUTED_VALUE"""),"Ljubljana and Maribor")</f>
        <v/>
      </c>
      <c r="K15766">
        <f>IFERROR(__xludf.DUMMYFUNCTION("""COMPUTED_VALUE"""),1549.69)</f>
        <v/>
      </c>
    </row>
    <row r="15767">
      <c r="J15767">
        <f>IFERROR(__xludf.DUMMYFUNCTION("""COMPUTED_VALUE"""),"Toronto, Whitby, Aurora &amp; London, ON")</f>
        <v/>
      </c>
      <c r="K15767">
        <f>IFERROR(__xludf.DUMMYFUNCTION("""COMPUTED_VALUE"""),1549.4)</f>
        <v/>
      </c>
    </row>
    <row r="15768">
      <c r="J15768">
        <f>IFERROR(__xludf.DUMMYFUNCTION("""COMPUTED_VALUE"""),"Halifax, NS / St. Johns, NL")</f>
        <v/>
      </c>
      <c r="K15768">
        <f>IFERROR(__xludf.DUMMYFUNCTION("""COMPUTED_VALUE"""),1549.2)</f>
        <v/>
      </c>
    </row>
    <row r="15769">
      <c r="J15769">
        <f>IFERROR(__xludf.DUMMYFUNCTION("""COMPUTED_VALUE"""),"Huntsville, ON")</f>
        <v/>
      </c>
      <c r="K15769">
        <f>IFERROR(__xludf.DUMMYFUNCTION("""COMPUTED_VALUE"""),1549.11)</f>
        <v/>
      </c>
    </row>
    <row r="15770">
      <c r="J15770">
        <f>IFERROR(__xludf.DUMMYFUNCTION("""COMPUTED_VALUE"""),"Miami &amp; Honduras")</f>
        <v/>
      </c>
      <c r="K15770">
        <f>IFERROR(__xludf.DUMMYFUNCTION("""COMPUTED_VALUE"""),1548.98)</f>
        <v/>
      </c>
    </row>
    <row r="15771">
      <c r="J15771">
        <f>IFERROR(__xludf.DUMMYFUNCTION("""COMPUTED_VALUE"""),"Joggins, Nova Scotia and Quebec, Quebec")</f>
        <v/>
      </c>
      <c r="K15771">
        <f>IFERROR(__xludf.DUMMYFUNCTION("""COMPUTED_VALUE"""),1548.95)</f>
        <v/>
      </c>
    </row>
    <row r="15772">
      <c r="J15772">
        <f>IFERROR(__xludf.DUMMYFUNCTION("""COMPUTED_VALUE"""),"TURKEY - ISTANBUL")</f>
        <v/>
      </c>
      <c r="K15772">
        <f>IFERROR(__xludf.DUMMYFUNCTION("""COMPUTED_VALUE"""),1548.72)</f>
        <v/>
      </c>
    </row>
    <row r="15773">
      <c r="J15773">
        <f>IFERROR(__xludf.DUMMYFUNCTION("""COMPUTED_VALUE"""),"Whistler, British Colombia, Canada")</f>
        <v/>
      </c>
      <c r="K15773">
        <f>IFERROR(__xludf.DUMMYFUNCTION("""COMPUTED_VALUE"""),1548.33)</f>
        <v/>
      </c>
    </row>
    <row r="15774">
      <c r="J15774">
        <f>IFERROR(__xludf.DUMMYFUNCTION("""COMPUTED_VALUE"""),"Northern Ontario Region")</f>
        <v/>
      </c>
      <c r="K15774">
        <f>IFERROR(__xludf.DUMMYFUNCTION("""COMPUTED_VALUE"""),1548.17)</f>
        <v/>
      </c>
    </row>
    <row r="15775">
      <c r="J15775">
        <f>IFERROR(__xludf.DUMMYFUNCTION("""COMPUTED_VALUE"""),"Quebec, Quebec &amp; Gatineau, Quebec")</f>
        <v/>
      </c>
      <c r="K15775">
        <f>IFERROR(__xludf.DUMMYFUNCTION("""COMPUTED_VALUE"""),1548.02)</f>
        <v/>
      </c>
    </row>
    <row r="15776">
      <c r="J15776">
        <f>IFERROR(__xludf.DUMMYFUNCTION("""COMPUTED_VALUE"""),"Halifax, Nova Scotia, Canada and Charlottetown, Prince Edward Island, Canada")</f>
        <v/>
      </c>
      <c r="K15776">
        <f>IFERROR(__xludf.DUMMYFUNCTION("""COMPUTED_VALUE"""),1547.93)</f>
        <v/>
      </c>
    </row>
    <row r="15777">
      <c r="J15777">
        <f>IFERROR(__xludf.DUMMYFUNCTION("""COMPUTED_VALUE"""),"White Rock, British Columbia, Canada; Vancouver, British Columbia, Canada")</f>
        <v/>
      </c>
      <c r="K15777">
        <f>IFERROR(__xludf.DUMMYFUNCTION("""COMPUTED_VALUE"""),1547.61)</f>
        <v/>
      </c>
    </row>
    <row r="15778">
      <c r="J15778">
        <f>IFERROR(__xludf.DUMMYFUNCTION("""COMPUTED_VALUE"""),"Toronto, Barrie, Ontario, Canada  Montreal, Quebec, Canada")</f>
        <v/>
      </c>
      <c r="K15778">
        <f>IFERROR(__xludf.DUMMYFUNCTION("""COMPUTED_VALUE"""),1547.57)</f>
        <v/>
      </c>
    </row>
    <row r="15779">
      <c r="J15779">
        <f>IFERROR(__xludf.DUMMYFUNCTION("""COMPUTED_VALUE"""),"Ottawa, ON,
Winnipeg, MB,
Wainwright, AB,")</f>
        <v/>
      </c>
      <c r="K15779">
        <f>IFERROR(__xludf.DUMMYFUNCTION("""COMPUTED_VALUE"""),1546.71)</f>
        <v/>
      </c>
    </row>
    <row r="15780">
      <c r="J15780">
        <f>IFERROR(__xludf.DUMMYFUNCTION("""COMPUTED_VALUE"""),"NORTH BAY, ON")</f>
        <v/>
      </c>
      <c r="K15780">
        <f>IFERROR(__xludf.DUMMYFUNCTION("""COMPUTED_VALUE"""),1546.15999999999)</f>
        <v/>
      </c>
    </row>
    <row r="15781">
      <c r="J15781">
        <f>IFERROR(__xludf.DUMMYFUNCTION("""COMPUTED_VALUE"""),"Toronto/Windsor, Ontario")</f>
        <v/>
      </c>
      <c r="K15781">
        <f>IFERROR(__xludf.DUMMYFUNCTION("""COMPUTED_VALUE"""),1546.03)</f>
        <v/>
      </c>
    </row>
    <row r="15782">
      <c r="J15782">
        <f>IFERROR(__xludf.DUMMYFUNCTION("""COMPUTED_VALUE"""),"Mississaga, ON, CA")</f>
        <v/>
      </c>
      <c r="K15782">
        <f>IFERROR(__xludf.DUMMYFUNCTION("""COMPUTED_VALUE"""),1545.74)</f>
        <v/>
      </c>
    </row>
    <row r="15783">
      <c r="J15783">
        <f>IFERROR(__xludf.DUMMYFUNCTION("""COMPUTED_VALUE"""),"Ottawa, CAN")</f>
        <v/>
      </c>
      <c r="K15783">
        <f>IFERROR(__xludf.DUMMYFUNCTION("""COMPUTED_VALUE"""),1545.37)</f>
        <v/>
      </c>
    </row>
    <row r="15784">
      <c r="J15784">
        <f>IFERROR(__xludf.DUMMYFUNCTION("""COMPUTED_VALUE"""),"Beauce, Quebec")</f>
        <v/>
      </c>
      <c r="K15784">
        <f>IFERROR(__xludf.DUMMYFUNCTION("""COMPUTED_VALUE"""),1545.18)</f>
        <v/>
      </c>
    </row>
    <row r="15785">
      <c r="J15785">
        <f>IFERROR(__xludf.DUMMYFUNCTION("""COMPUTED_VALUE"""),"Québec and Sept-Îles (Québec) Canada")</f>
        <v/>
      </c>
      <c r="K15785">
        <f>IFERROR(__xludf.DUMMYFUNCTION("""COMPUTED_VALUE"""),1544.84)</f>
        <v/>
      </c>
    </row>
    <row r="15786">
      <c r="J15786">
        <f>IFERROR(__xludf.DUMMYFUNCTION("""COMPUTED_VALUE"""),"Montreal; Halifax")</f>
        <v/>
      </c>
      <c r="K15786">
        <f>IFERROR(__xludf.DUMMYFUNCTION("""COMPUTED_VALUE"""),1544.81)</f>
        <v/>
      </c>
    </row>
    <row r="15787">
      <c r="J15787">
        <f>IFERROR(__xludf.DUMMYFUNCTION("""COMPUTED_VALUE"""),"Vancouver, BC; Winnipeg, MB")</f>
        <v/>
      </c>
      <c r="K15787">
        <f>IFERROR(__xludf.DUMMYFUNCTION("""COMPUTED_VALUE"""),1544.47)</f>
        <v/>
      </c>
    </row>
    <row r="15788">
      <c r="J15788">
        <f>IFERROR(__xludf.DUMMYFUNCTION("""COMPUTED_VALUE"""),"ON")</f>
        <v/>
      </c>
      <c r="K15788">
        <f>IFERROR(__xludf.DUMMYFUNCTION("""COMPUTED_VALUE"""),1544.33)</f>
        <v/>
      </c>
    </row>
    <row r="15789">
      <c r="J15789">
        <f>IFERROR(__xludf.DUMMYFUNCTION("""COMPUTED_VALUE"""),"Washington, DC., United States")</f>
        <v/>
      </c>
      <c r="K15789">
        <f>IFERROR(__xludf.DUMMYFUNCTION("""COMPUTED_VALUE"""),1544.2)</f>
        <v/>
      </c>
    </row>
    <row r="15790">
      <c r="J15790">
        <f>IFERROR(__xludf.DUMMYFUNCTION("""COMPUTED_VALUE"""),"St John")</f>
        <v/>
      </c>
      <c r="K15790">
        <f>IFERROR(__xludf.DUMMYFUNCTION("""COMPUTED_VALUE"""),1543.95)</f>
        <v/>
      </c>
    </row>
    <row r="15791">
      <c r="J15791">
        <f>IFERROR(__xludf.DUMMYFUNCTION("""COMPUTED_VALUE"""),"Triverton, Ontario")</f>
        <v/>
      </c>
      <c r="K15791">
        <f>IFERROR(__xludf.DUMMYFUNCTION("""COMPUTED_VALUE"""),1543.6)</f>
        <v/>
      </c>
    </row>
    <row r="15792">
      <c r="J15792">
        <f>IFERROR(__xludf.DUMMYFUNCTION("""COMPUTED_VALUE"""),"Cornwall, Ontario, Canada; Montreal, Quebec, Canada")</f>
        <v/>
      </c>
      <c r="K15792">
        <f>IFERROR(__xludf.DUMMYFUNCTION("""COMPUTED_VALUE"""),1543.56)</f>
        <v/>
      </c>
    </row>
    <row r="15793">
      <c r="J15793">
        <f>IFERROR(__xludf.DUMMYFUNCTION("""COMPUTED_VALUE"""),"Hamilton, Waterloo, Toronto, Ontario, Canada")</f>
        <v/>
      </c>
      <c r="K15793">
        <f>IFERROR(__xludf.DUMMYFUNCTION("""COMPUTED_VALUE"""),1543.55)</f>
        <v/>
      </c>
    </row>
    <row r="15794">
      <c r="J15794">
        <f>IFERROR(__xludf.DUMMYFUNCTION("""COMPUTED_VALUE"""),"Fort MacMurray, Alberta")</f>
        <v/>
      </c>
      <c r="K15794">
        <f>IFERROR(__xludf.DUMMYFUNCTION("""COMPUTED_VALUE"""),1542.73)</f>
        <v/>
      </c>
    </row>
    <row r="15795">
      <c r="J15795">
        <f>IFERROR(__xludf.DUMMYFUNCTION("""COMPUTED_VALUE"""),"Whitehorse, Yukon, Canada; Vancouver, British-Columbia, Canada")</f>
        <v/>
      </c>
      <c r="K15795">
        <f>IFERROR(__xludf.DUMMYFUNCTION("""COMPUTED_VALUE"""),1542.73)</f>
        <v/>
      </c>
    </row>
    <row r="15796">
      <c r="J15796">
        <f>IFERROR(__xludf.DUMMYFUNCTION("""COMPUTED_VALUE"""),"Toronto, Ontario, Canada; London, Ontario, Canada; St.Catharines, Ontario, Canada")</f>
        <v/>
      </c>
      <c r="K15796">
        <f>IFERROR(__xludf.DUMMYFUNCTION("""COMPUTED_VALUE"""),1542.62)</f>
        <v/>
      </c>
    </row>
    <row r="15797">
      <c r="J15797">
        <f>IFERROR(__xludf.DUMMYFUNCTION("""COMPUTED_VALUE"""),"Toronto, ON / Crystal Beach, ON")</f>
        <v/>
      </c>
      <c r="K15797">
        <f>IFERROR(__xludf.DUMMYFUNCTION("""COMPUTED_VALUE"""),1542.59)</f>
        <v/>
      </c>
    </row>
    <row r="15798">
      <c r="J15798">
        <f>IFERROR(__xludf.DUMMYFUNCTION("""COMPUTED_VALUE"""),"Ottawa, ON - Charlottetown,  PE / Charlottetown, PE - Ottawa, ON")</f>
        <v/>
      </c>
      <c r="K15798">
        <f>IFERROR(__xludf.DUMMYFUNCTION("""COMPUTED_VALUE"""),1542.39)</f>
        <v/>
      </c>
    </row>
    <row r="15799">
      <c r="J15799">
        <f>IFERROR(__xludf.DUMMYFUNCTION("""COMPUTED_VALUE"""),"MONTREAL, QC - CHARLOTTETOWN, PE")</f>
        <v/>
      </c>
      <c r="K15799">
        <f>IFERROR(__xludf.DUMMYFUNCTION("""COMPUTED_VALUE"""),1542.33)</f>
        <v/>
      </c>
    </row>
    <row r="15800">
      <c r="J15800">
        <f>IFERROR(__xludf.DUMMYFUNCTION("""COMPUTED_VALUE"""),"Montréal, Québec, Sorel and Trois-Rivières, Quebec, Canada")</f>
        <v/>
      </c>
      <c r="K15800">
        <f>IFERROR(__xludf.DUMMYFUNCTION("""COMPUTED_VALUE"""),1542.13)</f>
        <v/>
      </c>
    </row>
    <row r="15801">
      <c r="J15801">
        <f>IFERROR(__xludf.DUMMYFUNCTION("""COMPUTED_VALUE"""),"Collingwood, ON")</f>
        <v/>
      </c>
      <c r="K15801">
        <f>IFERROR(__xludf.DUMMYFUNCTION("""COMPUTED_VALUE"""),1540.57)</f>
        <v/>
      </c>
    </row>
    <row r="15802">
      <c r="J15802">
        <f>IFERROR(__xludf.DUMMYFUNCTION("""COMPUTED_VALUE"""),"Québec - Halifax - Ottawa - Québec")</f>
        <v/>
      </c>
      <c r="K15802">
        <f>IFERROR(__xludf.DUMMYFUNCTION("""COMPUTED_VALUE"""),1540.18)</f>
        <v/>
      </c>
    </row>
    <row r="15803">
      <c r="J15803">
        <f>IFERROR(__xludf.DUMMYFUNCTION("""COMPUTED_VALUE"""),"Washington, VA")</f>
        <v/>
      </c>
      <c r="K15803">
        <f>IFERROR(__xludf.DUMMYFUNCTION("""COMPUTED_VALUE"""),1539.92)</f>
        <v/>
      </c>
    </row>
    <row r="15804">
      <c r="J15804">
        <f>IFERROR(__xludf.DUMMYFUNCTION("""COMPUTED_VALUE"""),"Victoria, BC and Edmonton, AB")</f>
        <v/>
      </c>
      <c r="K15804">
        <f>IFERROR(__xludf.DUMMYFUNCTION("""COMPUTED_VALUE"""),1539.85)</f>
        <v/>
      </c>
    </row>
    <row r="15805">
      <c r="J15805">
        <f>IFERROR(__xludf.DUMMYFUNCTION("""COMPUTED_VALUE"""),"Miramichi, New Brunswick; Fredericton, New Brunswick")</f>
        <v/>
      </c>
      <c r="K15805">
        <f>IFERROR(__xludf.DUMMYFUNCTION("""COMPUTED_VALUE"""),1539.75)</f>
        <v/>
      </c>
    </row>
    <row r="15806">
      <c r="J15806">
        <f>IFERROR(__xludf.DUMMYFUNCTION("""COMPUTED_VALUE"""),"Calagary, AB, Banff, AB")</f>
        <v/>
      </c>
      <c r="K15806">
        <f>IFERROR(__xludf.DUMMYFUNCTION("""COMPUTED_VALUE"""),1539.06)</f>
        <v/>
      </c>
    </row>
    <row r="15807">
      <c r="J15807">
        <f>IFERROR(__xludf.DUMMYFUNCTION("""COMPUTED_VALUE"""),"Moncton, NB - Ottawa, ON / Montreal, QC - Moncton, NB")</f>
        <v/>
      </c>
      <c r="K15807">
        <f>IFERROR(__xludf.DUMMYFUNCTION("""COMPUTED_VALUE"""),1538.34)</f>
        <v/>
      </c>
    </row>
    <row r="15808">
      <c r="J15808">
        <f>IFERROR(__xludf.DUMMYFUNCTION("""COMPUTED_VALUE"""),"Charlottetown, prince Edward Island")</f>
        <v/>
      </c>
      <c r="K15808">
        <f>IFERROR(__xludf.DUMMYFUNCTION("""COMPUTED_VALUE"""),1537.59)</f>
        <v/>
      </c>
    </row>
    <row r="15809">
      <c r="J15809">
        <f>IFERROR(__xludf.DUMMYFUNCTION("""COMPUTED_VALUE"""),"Toronto, ON and London, ON")</f>
        <v/>
      </c>
      <c r="K15809">
        <f>IFERROR(__xludf.DUMMYFUNCTION("""COMPUTED_VALUE"""),1537.34)</f>
        <v/>
      </c>
    </row>
    <row r="15810">
      <c r="J15810">
        <f>IFERROR(__xludf.DUMMYFUNCTION("""COMPUTED_VALUE"""),"Toronto, Ontario, Canada; Stratford, Ontario, Canada; Cayuga, Ontario, Canada")</f>
        <v/>
      </c>
      <c r="K15810">
        <f>IFERROR(__xludf.DUMMYFUNCTION("""COMPUTED_VALUE"""),1537.05)</f>
        <v/>
      </c>
    </row>
    <row r="15811">
      <c r="J15811">
        <f>IFERROR(__xludf.DUMMYFUNCTION("""COMPUTED_VALUE"""),"Deer Lake, Ontario")</f>
        <v/>
      </c>
      <c r="K15811">
        <f>IFERROR(__xludf.DUMMYFUNCTION("""COMPUTED_VALUE"""),1535.86)</f>
        <v/>
      </c>
    </row>
    <row r="15812">
      <c r="J15812">
        <f>IFERROR(__xludf.DUMMYFUNCTION("""COMPUTED_VALUE"""),"Ottawa, Ontario, and St. John's NL Canada")</f>
        <v/>
      </c>
      <c r="K15812">
        <f>IFERROR(__xludf.DUMMYFUNCTION("""COMPUTED_VALUE"""),1535.85)</f>
        <v/>
      </c>
    </row>
    <row r="15813">
      <c r="J15813">
        <f>IFERROR(__xludf.DUMMYFUNCTION("""COMPUTED_VALUE"""),"Fredericton, New Brunswick, Canada and Happy Valley-Goose Bay, Newfoundland and Labrador, Canada and St. John's, Newfoundland and Labrador, Canada")</f>
        <v/>
      </c>
      <c r="K15813">
        <f>IFERROR(__xludf.DUMMYFUNCTION("""COMPUTED_VALUE"""),1535.5)</f>
        <v/>
      </c>
    </row>
    <row r="15814">
      <c r="J15814">
        <f>IFERROR(__xludf.DUMMYFUNCTION("""COMPUTED_VALUE"""),"Charlottetown, Prince Edward Island and Moncton, New-Brunswick")</f>
        <v/>
      </c>
      <c r="K15814">
        <f>IFERROR(__xludf.DUMMYFUNCTION("""COMPUTED_VALUE"""),1534.35)</f>
        <v/>
      </c>
    </row>
    <row r="15815">
      <c r="J15815">
        <f>IFERROR(__xludf.DUMMYFUNCTION("""COMPUTED_VALUE"""),"NEW YORK")</f>
        <v/>
      </c>
      <c r="K15815">
        <f>IFERROR(__xludf.DUMMYFUNCTION("""COMPUTED_VALUE"""),1534.26)</f>
        <v/>
      </c>
    </row>
    <row r="15816">
      <c r="J15816">
        <f>IFERROR(__xludf.DUMMYFUNCTION("""COMPUTED_VALUE"""),"Wawa, Ontario")</f>
        <v/>
      </c>
      <c r="K15816">
        <f>IFERROR(__xludf.DUMMYFUNCTION("""COMPUTED_VALUE"""),1534.18)</f>
        <v/>
      </c>
    </row>
    <row r="15817">
      <c r="J15817">
        <f>IFERROR(__xludf.DUMMYFUNCTION("""COMPUTED_VALUE"""),"Ottawa-St.John's-Ottawa")</f>
        <v/>
      </c>
      <c r="K15817">
        <f>IFERROR(__xludf.DUMMYFUNCTION("""COMPUTED_VALUE"""),1534.16)</f>
        <v/>
      </c>
    </row>
    <row r="15818">
      <c r="J15818">
        <f>IFERROR(__xludf.DUMMYFUNCTION("""COMPUTED_VALUE"""),"Charlettetown, PE / Summerside, PE / Campbellton, NB / Moncton, NB")</f>
        <v/>
      </c>
      <c r="K15818">
        <f>IFERROR(__xludf.DUMMYFUNCTION("""COMPUTED_VALUE"""),1533.84)</f>
        <v/>
      </c>
    </row>
    <row r="15819">
      <c r="J15819">
        <f>IFERROR(__xludf.DUMMYFUNCTION("""COMPUTED_VALUE"""),"Ottawa,  ON")</f>
        <v/>
      </c>
      <c r="K15819">
        <f>IFERROR(__xludf.DUMMYFUNCTION("""COMPUTED_VALUE"""),1533.3)</f>
        <v/>
      </c>
    </row>
    <row r="15820">
      <c r="J15820">
        <f>IFERROR(__xludf.DUMMYFUNCTION("""COMPUTED_VALUE"""),"Amos, Val-d'Or, Québec")</f>
        <v/>
      </c>
      <c r="K15820">
        <f>IFERROR(__xludf.DUMMYFUNCTION("""COMPUTED_VALUE"""),1533.1)</f>
        <v/>
      </c>
    </row>
    <row r="15821">
      <c r="J15821">
        <f>IFERROR(__xludf.DUMMYFUNCTION("""COMPUTED_VALUE"""),"Halifax, NS/Fredericton, NB")</f>
        <v/>
      </c>
      <c r="K15821">
        <f>IFERROR(__xludf.DUMMYFUNCTION("""COMPUTED_VALUE"""),1532.45)</f>
        <v/>
      </c>
    </row>
    <row r="15822">
      <c r="J15822">
        <f>IFERROR(__xludf.DUMMYFUNCTION("""COMPUTED_VALUE"""),"Hamilton, Ontario, Canada; London, Ontario, Canada; Toronto, Ontario, Canada")</f>
        <v/>
      </c>
      <c r="K15822">
        <f>IFERROR(__xludf.DUMMYFUNCTION("""COMPUTED_VALUE"""),1532.22)</f>
        <v/>
      </c>
    </row>
    <row r="15823">
      <c r="J15823">
        <f>IFERROR(__xludf.DUMMYFUNCTION("""COMPUTED_VALUE"""),"Toronto, ON; Montreal, QC; Winnipeg, MB")</f>
        <v/>
      </c>
      <c r="K15823">
        <f>IFERROR(__xludf.DUMMYFUNCTION("""COMPUTED_VALUE"""),1532.05)</f>
        <v/>
      </c>
    </row>
    <row r="15824">
      <c r="J15824">
        <f>IFERROR(__xludf.DUMMYFUNCTION("""COMPUTED_VALUE"""),"Brandon, Manitoba, Canada; Winnipeg, Manitoba, Canada; Selkirk, Manitoba, Canada; Portage La Prairie, Manitoba, Canada; Notre Dame de Lourdes, Manitoba, Canada; Morden, Manitoba, Canada")</f>
        <v/>
      </c>
      <c r="K15824">
        <f>IFERROR(__xludf.DUMMYFUNCTION("""COMPUTED_VALUE"""),1532.02)</f>
        <v/>
      </c>
    </row>
    <row r="15825">
      <c r="J15825">
        <f>IFERROR(__xludf.DUMMYFUNCTION("""COMPUTED_VALUE"""),"Welland, ON / Toronto, ON")</f>
        <v/>
      </c>
      <c r="K15825">
        <f>IFERROR(__xludf.DUMMYFUNCTION("""COMPUTED_VALUE"""),1531.65999999999)</f>
        <v/>
      </c>
    </row>
    <row r="15826">
      <c r="J15826">
        <f>IFERROR(__xludf.DUMMYFUNCTION("""COMPUTED_VALUE"""),"Niagara")</f>
        <v/>
      </c>
      <c r="K15826">
        <f>IFERROR(__xludf.DUMMYFUNCTION("""COMPUTED_VALUE"""),1531)</f>
        <v/>
      </c>
    </row>
    <row r="15827">
      <c r="J15827">
        <f>IFERROR(__xludf.DUMMYFUNCTION("""COMPUTED_VALUE"""),"Bathurst, New Brunswick, Canada; Miramichi, New Brunswick, Canada")</f>
        <v/>
      </c>
      <c r="K15827">
        <f>IFERROR(__xludf.DUMMYFUNCTION("""COMPUTED_VALUE"""),1530.41)</f>
        <v/>
      </c>
    </row>
    <row r="15828">
      <c r="J15828">
        <f>IFERROR(__xludf.DUMMYFUNCTION("""COMPUTED_VALUE"""),"Calgary, AB; Saskatoon, SK")</f>
        <v/>
      </c>
      <c r="K15828">
        <f>IFERROR(__xludf.DUMMYFUNCTION("""COMPUTED_VALUE"""),1530.17)</f>
        <v/>
      </c>
    </row>
    <row r="15829">
      <c r="J15829">
        <f>IFERROR(__xludf.DUMMYFUNCTION("""COMPUTED_VALUE"""),"Shanghai &amp; Xinchang, PRC")</f>
        <v/>
      </c>
      <c r="K15829">
        <f>IFERROR(__xludf.DUMMYFUNCTION("""COMPUTED_VALUE"""),1530.08)</f>
        <v/>
      </c>
    </row>
    <row r="15830">
      <c r="J15830">
        <f>IFERROR(__xludf.DUMMYFUNCTION("""COMPUTED_VALUE"""),"St-Jean-sur-Richelieu, Quebec, Canada &amp; Burlington, Vermont, United States")</f>
        <v/>
      </c>
      <c r="K15830">
        <f>IFERROR(__xludf.DUMMYFUNCTION("""COMPUTED_VALUE"""),1529.81)</f>
        <v/>
      </c>
    </row>
    <row r="15831">
      <c r="J15831">
        <f>IFERROR(__xludf.DUMMYFUNCTION("""COMPUTED_VALUE"""),"Montreal, Quebec; Ottawa, Ontario and return to Halifax, Nova Scotia")</f>
        <v/>
      </c>
      <c r="K15831">
        <f>IFERROR(__xludf.DUMMYFUNCTION("""COMPUTED_VALUE"""),1529.71)</f>
        <v/>
      </c>
    </row>
    <row r="15832">
      <c r="J15832">
        <f>IFERROR(__xludf.DUMMYFUNCTION("""COMPUTED_VALUE"""),"Siciliy, Italy")</f>
        <v/>
      </c>
      <c r="K15832">
        <f>IFERROR(__xludf.DUMMYFUNCTION("""COMPUTED_VALUE"""),1529.16)</f>
        <v/>
      </c>
    </row>
    <row r="15833">
      <c r="J15833">
        <f>IFERROR(__xludf.DUMMYFUNCTION("""COMPUTED_VALUE"""),"Des Moines, IO")</f>
        <v/>
      </c>
      <c r="K15833">
        <f>IFERROR(__xludf.DUMMYFUNCTION("""COMPUTED_VALUE"""),1529.02)</f>
        <v/>
      </c>
    </row>
    <row r="15834">
      <c r="J15834">
        <f>IFERROR(__xludf.DUMMYFUNCTION("""COMPUTED_VALUE"""),"Chatham, Ontario, Canada; Toronto, Ontario, Canada")</f>
        <v/>
      </c>
      <c r="K15834">
        <f>IFERROR(__xludf.DUMMYFUNCTION("""COMPUTED_VALUE"""),1528.83)</f>
        <v/>
      </c>
    </row>
    <row r="15835">
      <c r="J15835">
        <f>IFERROR(__xludf.DUMMYFUNCTION("""COMPUTED_VALUE"""),"Ottawa / Toronto / London, ON")</f>
        <v/>
      </c>
      <c r="K15835">
        <f>IFERROR(__xludf.DUMMYFUNCTION("""COMPUTED_VALUE"""),1528.78)</f>
        <v/>
      </c>
    </row>
    <row r="15836">
      <c r="J15836">
        <f>IFERROR(__xludf.DUMMYFUNCTION("""COMPUTED_VALUE"""),"Jonquiere, QC Ottawa, ON")</f>
        <v/>
      </c>
      <c r="K15836">
        <f>IFERROR(__xludf.DUMMYFUNCTION("""COMPUTED_VALUE"""),1528.04)</f>
        <v/>
      </c>
    </row>
    <row r="15837">
      <c r="J15837">
        <f>IFERROR(__xludf.DUMMYFUNCTION("""COMPUTED_VALUE"""),"Queen Charlotte Island, British Columbia")</f>
        <v/>
      </c>
      <c r="K15837">
        <f>IFERROR(__xludf.DUMMYFUNCTION("""COMPUTED_VALUE"""),1527.82)</f>
        <v/>
      </c>
    </row>
    <row r="15838">
      <c r="J15838">
        <f>IFERROR(__xludf.DUMMYFUNCTION("""COMPUTED_VALUE"""),"Toronto and Niagara Falls, Ontario")</f>
        <v/>
      </c>
      <c r="K15838">
        <f>IFERROR(__xludf.DUMMYFUNCTION("""COMPUTED_VALUE"""),1527.8)</f>
        <v/>
      </c>
    </row>
    <row r="15839">
      <c r="J15839">
        <f>IFERROR(__xludf.DUMMYFUNCTION("""COMPUTED_VALUE"""),"Sault Ste-Marie, Ontario, Canada")</f>
        <v/>
      </c>
      <c r="K15839">
        <f>IFERROR(__xludf.DUMMYFUNCTION("""COMPUTED_VALUE"""),1527.33)</f>
        <v/>
      </c>
    </row>
    <row r="15840">
      <c r="J15840">
        <f>IFERROR(__xludf.DUMMYFUNCTION("""COMPUTED_VALUE"""),"Bathurst, New Brunswick, Canada; Miramichi, New Brunswick, Canada; Shediac, New Brunswick, Canada")</f>
        <v/>
      </c>
      <c r="K15840">
        <f>IFERROR(__xludf.DUMMYFUNCTION("""COMPUTED_VALUE"""),1527.27)</f>
        <v/>
      </c>
    </row>
    <row r="15841">
      <c r="J15841">
        <f>IFERROR(__xludf.DUMMYFUNCTION("""COMPUTED_VALUE"""),"Burlington ON, Syndey NS")</f>
        <v/>
      </c>
      <c r="K15841">
        <f>IFERROR(__xludf.DUMMYFUNCTION("""COMPUTED_VALUE"""),1527.02)</f>
        <v/>
      </c>
    </row>
    <row r="15842">
      <c r="J15842">
        <f>IFERROR(__xludf.DUMMYFUNCTION("""COMPUTED_VALUE"""),"Montréal, Quebec, Canada; Brossard, Quebec, Canada")</f>
        <v/>
      </c>
      <c r="K15842">
        <f>IFERROR(__xludf.DUMMYFUNCTION("""COMPUTED_VALUE"""),1526.97)</f>
        <v/>
      </c>
    </row>
    <row r="15843">
      <c r="J15843">
        <f>IFERROR(__xludf.DUMMYFUNCTION("""COMPUTED_VALUE"""),"Guelph, Ontario, Canada; Kitchener, Ontario, Canada")</f>
        <v/>
      </c>
      <c r="K15843">
        <f>IFERROR(__xludf.DUMMYFUNCTION("""COMPUTED_VALUE"""),1526.8)</f>
        <v/>
      </c>
    </row>
    <row r="15844">
      <c r="J15844">
        <f>IFERROR(__xludf.DUMMYFUNCTION("""COMPUTED_VALUE"""),"Kanata, Ontario Canada           Ottawa, Ontario, Canada      Montréal, Quebec, Canada  Bagotville, Quebec, Canada      Québec City, Quebec, Canada")</f>
        <v/>
      </c>
      <c r="K15844">
        <f>IFERROR(__xludf.DUMMYFUNCTION("""COMPUTED_VALUE"""),1526.54)</f>
        <v/>
      </c>
    </row>
    <row r="15845">
      <c r="J15845">
        <f>IFERROR(__xludf.DUMMYFUNCTION("""COMPUTED_VALUE"""),"Cardigan, Prince Edward Island")</f>
        <v/>
      </c>
      <c r="K15845">
        <f>IFERROR(__xludf.DUMMYFUNCTION("""COMPUTED_VALUE"""),1526.47)</f>
        <v/>
      </c>
    </row>
    <row r="15846">
      <c r="J15846">
        <f>IFERROR(__xludf.DUMMYFUNCTION("""COMPUTED_VALUE"""),"Calgary, Alberta, Ca")</f>
        <v/>
      </c>
      <c r="K15846">
        <f>IFERROR(__xludf.DUMMYFUNCTION("""COMPUTED_VALUE"""),1526.45)</f>
        <v/>
      </c>
    </row>
    <row r="15847">
      <c r="J15847">
        <f>IFERROR(__xludf.DUMMYFUNCTION("""COMPUTED_VALUE"""),"Ottawa / Toronto, Canada")</f>
        <v/>
      </c>
      <c r="K15847">
        <f>IFERROR(__xludf.DUMMYFUNCTION("""COMPUTED_VALUE"""),1526.23)</f>
        <v/>
      </c>
    </row>
    <row r="15848">
      <c r="J15848">
        <f>IFERROR(__xludf.DUMMYFUNCTION("""COMPUTED_VALUE"""),"Quebec, Quebec and Montreal, Quebec")</f>
        <v/>
      </c>
      <c r="K15848">
        <f>IFERROR(__xludf.DUMMYFUNCTION("""COMPUTED_VALUE"""),1526.18)</f>
        <v/>
      </c>
    </row>
    <row r="15849">
      <c r="J15849">
        <f>IFERROR(__xludf.DUMMYFUNCTION("""COMPUTED_VALUE"""),"Sopot, Warsaw (Poland)")</f>
        <v/>
      </c>
      <c r="K15849">
        <f>IFERROR(__xludf.DUMMYFUNCTION("""COMPUTED_VALUE"""),1526.17)</f>
        <v/>
      </c>
    </row>
    <row r="15850">
      <c r="J15850">
        <f>IFERROR(__xludf.DUMMYFUNCTION("""COMPUTED_VALUE"""),"Toronto-Sydney/Pictou-Ottawa")</f>
        <v/>
      </c>
      <c r="K15850">
        <f>IFERROR(__xludf.DUMMYFUNCTION("""COMPUTED_VALUE"""),1526.06)</f>
        <v/>
      </c>
    </row>
    <row r="15851">
      <c r="J15851">
        <f>IFERROR(__xludf.DUMMYFUNCTION("""COMPUTED_VALUE"""),"Québec; Shawinigan, Quebec, Canada")</f>
        <v/>
      </c>
      <c r="K15851">
        <f>IFERROR(__xludf.DUMMYFUNCTION("""COMPUTED_VALUE"""),1525.61)</f>
        <v/>
      </c>
    </row>
    <row r="15852">
      <c r="J15852">
        <f>IFERROR(__xludf.DUMMYFUNCTION("""COMPUTED_VALUE"""),"Cowessess, Saskatchewan")</f>
        <v/>
      </c>
      <c r="K15852">
        <f>IFERROR(__xludf.DUMMYFUNCTION("""COMPUTED_VALUE"""),1524.93)</f>
        <v/>
      </c>
    </row>
    <row r="15853">
      <c r="J15853">
        <f>IFERROR(__xludf.DUMMYFUNCTION("""COMPUTED_VALUE"""),"Orford, Quebec")</f>
        <v/>
      </c>
      <c r="K15853">
        <f>IFERROR(__xludf.DUMMYFUNCTION("""COMPUTED_VALUE"""),1524.49)</f>
        <v/>
      </c>
    </row>
    <row r="15854">
      <c r="J15854">
        <f>IFERROR(__xludf.DUMMYFUNCTION("""COMPUTED_VALUE"""),"Edmonton, AB to Ottawa, ON")</f>
        <v/>
      </c>
      <c r="K15854">
        <f>IFERROR(__xludf.DUMMYFUNCTION("""COMPUTED_VALUE"""),1524.45)</f>
        <v/>
      </c>
    </row>
    <row r="15855">
      <c r="J15855">
        <f>IFERROR(__xludf.DUMMYFUNCTION("""COMPUTED_VALUE"""),"Moncton, Shediac, New Brunswick, Canada")</f>
        <v/>
      </c>
      <c r="K15855">
        <f>IFERROR(__xludf.DUMMYFUNCTION("""COMPUTED_VALUE"""),1524.27)</f>
        <v/>
      </c>
    </row>
    <row r="15856">
      <c r="J15856">
        <f>IFERROR(__xludf.DUMMYFUNCTION("""COMPUTED_VALUE"""),"Regina (Saskatchewan) Canada;
Saskatoon (Saskatchewan) Canada")</f>
        <v/>
      </c>
      <c r="K15856">
        <f>IFERROR(__xludf.DUMMYFUNCTION("""COMPUTED_VALUE"""),1524.24)</f>
        <v/>
      </c>
    </row>
    <row r="15857">
      <c r="J15857">
        <f>IFERROR(__xludf.DUMMYFUNCTION("""COMPUTED_VALUE"""),"Kathmandhu, Nepal")</f>
        <v/>
      </c>
      <c r="K15857">
        <f>IFERROR(__xludf.DUMMYFUNCTION("""COMPUTED_VALUE"""),1523.92)</f>
        <v/>
      </c>
    </row>
    <row r="15858">
      <c r="J15858">
        <f>IFERROR(__xludf.DUMMYFUNCTION("""COMPUTED_VALUE"""),"Montreal, Mirabel, Quebec and Gatineau, Quebec")</f>
        <v/>
      </c>
      <c r="K15858">
        <f>IFERROR(__xludf.DUMMYFUNCTION("""COMPUTED_VALUE"""),1523.23)</f>
        <v/>
      </c>
    </row>
    <row r="15859">
      <c r="J15859">
        <f>IFERROR(__xludf.DUMMYFUNCTION("""COMPUTED_VALUE"""),"Ann Arbour, Michigan")</f>
        <v/>
      </c>
      <c r="K15859">
        <f>IFERROR(__xludf.DUMMYFUNCTION("""COMPUTED_VALUE"""),1523.06)</f>
        <v/>
      </c>
    </row>
    <row r="15860">
      <c r="J15860">
        <f>IFERROR(__xludf.DUMMYFUNCTION("""COMPUTED_VALUE"""),"Ottawa, ON - Charlottetown, PE  /  Charlottetown, PE - Ottawa, ON")</f>
        <v/>
      </c>
      <c r="K15860">
        <f>IFERROR(__xludf.DUMMYFUNCTION("""COMPUTED_VALUE"""),1522.82)</f>
        <v/>
      </c>
    </row>
    <row r="15861">
      <c r="J15861">
        <f>IFERROR(__xludf.DUMMYFUNCTION("""COMPUTED_VALUE"""),"Milan, Lombardy, Italie")</f>
        <v/>
      </c>
      <c r="K15861">
        <f>IFERROR(__xludf.DUMMYFUNCTION("""COMPUTED_VALUE"""),1522.14)</f>
        <v/>
      </c>
    </row>
    <row r="15862">
      <c r="J15862">
        <f>IFERROR(__xludf.DUMMYFUNCTION("""COMPUTED_VALUE"""),"Saint-Jean-sur-Richelieu")</f>
        <v/>
      </c>
      <c r="K15862">
        <f>IFERROR(__xludf.DUMMYFUNCTION("""COMPUTED_VALUE"""),1522.01)</f>
        <v/>
      </c>
    </row>
    <row r="15863">
      <c r="J15863">
        <f>IFERROR(__xludf.DUMMYFUNCTION("""COMPUTED_VALUE"""),"Montréal, QC - Toronto, ON")</f>
        <v/>
      </c>
      <c r="K15863">
        <f>IFERROR(__xludf.DUMMYFUNCTION("""COMPUTED_VALUE"""),1521.79)</f>
        <v/>
      </c>
    </row>
    <row r="15864">
      <c r="J15864">
        <f>IFERROR(__xludf.DUMMYFUNCTION("""COMPUTED_VALUE"""),"St. John, New Brunswick")</f>
        <v/>
      </c>
      <c r="K15864">
        <f>IFERROR(__xludf.DUMMYFUNCTION("""COMPUTED_VALUE"""),1521.38)</f>
        <v/>
      </c>
    </row>
    <row r="15865">
      <c r="J15865">
        <f>IFERROR(__xludf.DUMMYFUNCTION("""COMPUTED_VALUE"""),"Qubec City, Quebec, Canada")</f>
        <v/>
      </c>
      <c r="K15865">
        <f>IFERROR(__xludf.DUMMYFUNCTION("""COMPUTED_VALUE"""),1521.01)</f>
        <v/>
      </c>
    </row>
    <row r="15866">
      <c r="J15866">
        <f>IFERROR(__xludf.DUMMYFUNCTION("""COMPUTED_VALUE"""),"Windsor, Ontatrio")</f>
        <v/>
      </c>
      <c r="K15866">
        <f>IFERROR(__xludf.DUMMYFUNCTION("""COMPUTED_VALUE"""),1520.18)</f>
        <v/>
      </c>
    </row>
    <row r="15867">
      <c r="J15867">
        <f>IFERROR(__xludf.DUMMYFUNCTION("""COMPUTED_VALUE"""),"North Bay, Ontario; Borden, Ontario")</f>
        <v/>
      </c>
      <c r="K15867">
        <f>IFERROR(__xludf.DUMMYFUNCTION("""COMPUTED_VALUE"""),1520.06)</f>
        <v/>
      </c>
    </row>
    <row r="15868">
      <c r="J15868">
        <f>IFERROR(__xludf.DUMMYFUNCTION("""COMPUTED_VALUE"""),"Windsor, Ontario, Canada/ Toronto, Ontario, Canada/ London, Ontario, Canada")</f>
        <v/>
      </c>
      <c r="K15868">
        <f>IFERROR(__xludf.DUMMYFUNCTION("""COMPUTED_VALUE"""),1519.71)</f>
        <v/>
      </c>
    </row>
    <row r="15869">
      <c r="J15869">
        <f>IFERROR(__xludf.DUMMYFUNCTION("""COMPUTED_VALUE"""),"Manitoulin Island, Ontario")</f>
        <v/>
      </c>
      <c r="K15869">
        <f>IFERROR(__xludf.DUMMYFUNCTION("""COMPUTED_VALUE"""),1519.53)</f>
        <v/>
      </c>
    </row>
    <row r="15870">
      <c r="J15870">
        <f>IFERROR(__xludf.DUMMYFUNCTION("""COMPUTED_VALUE"""),"Boston USA")</f>
        <v/>
      </c>
      <c r="K15870">
        <f>IFERROR(__xludf.DUMMYFUNCTION("""COMPUTED_VALUE"""),1519.46)</f>
        <v/>
      </c>
    </row>
    <row r="15871">
      <c r="J15871">
        <f>IFERROR(__xludf.DUMMYFUNCTION("""COMPUTED_VALUE"""),"Montréal, Quebec, Canada; Laval, Quebec, Canada; Pointe-Claire, Quebec, Canada")</f>
        <v/>
      </c>
      <c r="K15871">
        <f>IFERROR(__xludf.DUMMYFUNCTION("""COMPUTED_VALUE"""),1519.31)</f>
        <v/>
      </c>
    </row>
    <row r="15872">
      <c r="J15872">
        <f>IFERROR(__xludf.DUMMYFUNCTION("""COMPUTED_VALUE"""),"Bathurst (New Brunswick) Canada; Moncton (New Brunswick) Canada; Saint John (New Brunswick) Canada")</f>
        <v/>
      </c>
      <c r="K15872">
        <f>IFERROR(__xludf.DUMMYFUNCTION("""COMPUTED_VALUE"""),1518.72)</f>
        <v/>
      </c>
    </row>
    <row r="15873">
      <c r="J15873">
        <f>IFERROR(__xludf.DUMMYFUNCTION("""COMPUTED_VALUE"""),"Ottawa, Ontario, Canada; Gatineau, Quebec, Canada; Sydney, Nova Scotia, Canada")</f>
        <v/>
      </c>
      <c r="K15873">
        <f>IFERROR(__xludf.DUMMYFUNCTION("""COMPUTED_VALUE"""),1518.63)</f>
        <v/>
      </c>
    </row>
    <row r="15874">
      <c r="J15874">
        <f>IFERROR(__xludf.DUMMYFUNCTION("""COMPUTED_VALUE"""),"Banff, Alberta, CanadaWinnipeg, Manitoba, Canada")</f>
        <v/>
      </c>
      <c r="K15874">
        <f>IFERROR(__xludf.DUMMYFUNCTION("""COMPUTED_VALUE"""),1518.59)</f>
        <v/>
      </c>
    </row>
    <row r="15875">
      <c r="J15875">
        <f>IFERROR(__xludf.DUMMYFUNCTION("""COMPUTED_VALUE"""),"Halifax and PEI")</f>
        <v/>
      </c>
      <c r="K15875">
        <f>IFERROR(__xludf.DUMMYFUNCTION("""COMPUTED_VALUE"""),1518.23)</f>
        <v/>
      </c>
    </row>
    <row r="15876">
      <c r="J15876">
        <f>IFERROR(__xludf.DUMMYFUNCTION("""COMPUTED_VALUE"""),"Winnipeng, Manitoba, Canada")</f>
        <v/>
      </c>
      <c r="K15876">
        <f>IFERROR(__xludf.DUMMYFUNCTION("""COMPUTED_VALUE"""),1517.99)</f>
        <v/>
      </c>
    </row>
    <row r="15877">
      <c r="J15877">
        <f>IFERROR(__xludf.DUMMYFUNCTION("""COMPUTED_VALUE"""),"Ottawa, Ontario, Mont Tremblant, Quebec, Ottawa, Ontario,")</f>
        <v/>
      </c>
      <c r="K15877">
        <f>IFERROR(__xludf.DUMMYFUNCTION("""COMPUTED_VALUE"""),1517.95)</f>
        <v/>
      </c>
    </row>
    <row r="15878">
      <c r="J15878">
        <f>IFERROR(__xludf.DUMMYFUNCTION("""COMPUTED_VALUE"""),"Montreal / Rouyn-Noranda / Val d'Or, (Quebec)")</f>
        <v/>
      </c>
      <c r="K15878">
        <f>IFERROR(__xludf.DUMMYFUNCTION("""COMPUTED_VALUE"""),1517.75)</f>
        <v/>
      </c>
    </row>
    <row r="15879">
      <c r="J15879">
        <f>IFERROR(__xludf.DUMMYFUNCTION("""COMPUTED_VALUE"""),"Hyderabad")</f>
        <v/>
      </c>
      <c r="K15879">
        <f>IFERROR(__xludf.DUMMYFUNCTION("""COMPUTED_VALUE"""),1517.36)</f>
        <v/>
      </c>
    </row>
    <row r="15880">
      <c r="J15880">
        <f>IFERROR(__xludf.DUMMYFUNCTION("""COMPUTED_VALUE"""),"Pinawa, MB, Canada")</f>
        <v/>
      </c>
      <c r="K15880">
        <f>IFERROR(__xludf.DUMMYFUNCTION("""COMPUTED_VALUE"""),1517.33)</f>
        <v/>
      </c>
    </row>
    <row r="15881">
      <c r="J15881">
        <f>IFERROR(__xludf.DUMMYFUNCTION("""COMPUTED_VALUE"""),"Edmonton / Toronto")</f>
        <v/>
      </c>
      <c r="K15881">
        <f>IFERROR(__xludf.DUMMYFUNCTION("""COMPUTED_VALUE"""),1517.28)</f>
        <v/>
      </c>
    </row>
    <row r="15882">
      <c r="J15882">
        <f>IFERROR(__xludf.DUMMYFUNCTION("""COMPUTED_VALUE"""),"GERMANY")</f>
        <v/>
      </c>
      <c r="K15882">
        <f>IFERROR(__xludf.DUMMYFUNCTION("""COMPUTED_VALUE"""),1517.24)</f>
        <v/>
      </c>
    </row>
    <row r="15883">
      <c r="J15883">
        <f>IFERROR(__xludf.DUMMYFUNCTION("""COMPUTED_VALUE"""),"Montréal, Quebec, Canada; Saguenay, Quebec, Canada")</f>
        <v/>
      </c>
      <c r="K15883">
        <f>IFERROR(__xludf.DUMMYFUNCTION("""COMPUTED_VALUE"""),1517.24)</f>
        <v/>
      </c>
    </row>
    <row r="15884">
      <c r="J15884">
        <f>IFERROR(__xludf.DUMMYFUNCTION("""COMPUTED_VALUE"""),"Ottawa, Montréal, Val d'Or")</f>
        <v/>
      </c>
      <c r="K15884">
        <f>IFERROR(__xludf.DUMMYFUNCTION("""COMPUTED_VALUE"""),1516.89)</f>
        <v/>
      </c>
    </row>
    <row r="15885">
      <c r="J15885">
        <f>IFERROR(__xludf.DUMMYFUNCTION("""COMPUTED_VALUE"""),"Scarborough, St.Catharines, Hamilton, Kitchener and Whitby, Ont")</f>
        <v/>
      </c>
      <c r="K15885">
        <f>IFERROR(__xludf.DUMMYFUNCTION("""COMPUTED_VALUE"""),1516.64)</f>
        <v/>
      </c>
    </row>
    <row r="15886">
      <c r="J15886">
        <f>IFERROR(__xludf.DUMMYFUNCTION("""COMPUTED_VALUE"""),"Victoria &amp; Kelowna, BC, Canada")</f>
        <v/>
      </c>
      <c r="K15886">
        <f>IFERROR(__xludf.DUMMYFUNCTION("""COMPUTED_VALUE"""),1516.17)</f>
        <v/>
      </c>
    </row>
    <row r="15887">
      <c r="J15887">
        <f>IFERROR(__xludf.DUMMYFUNCTION("""COMPUTED_VALUE"""),"Toronto, Ontario / Cobourg, Ontario")</f>
        <v/>
      </c>
      <c r="K15887">
        <f>IFERROR(__xludf.DUMMYFUNCTION("""COMPUTED_VALUE"""),1516.09)</f>
        <v/>
      </c>
    </row>
    <row r="15888">
      <c r="J15888">
        <f>IFERROR(__xludf.DUMMYFUNCTION("""COMPUTED_VALUE"""),"Toronto, Ontario, Canada
Windsor, Ontario, Canada")</f>
        <v/>
      </c>
      <c r="K15888">
        <f>IFERROR(__xludf.DUMMYFUNCTION("""COMPUTED_VALUE"""),1514.46)</f>
        <v/>
      </c>
    </row>
    <row r="15889">
      <c r="J15889">
        <f>IFERROR(__xludf.DUMMYFUNCTION("""COMPUTED_VALUE"""),"Kelowna (British Columbia)")</f>
        <v/>
      </c>
      <c r="K15889">
        <f>IFERROR(__xludf.DUMMYFUNCTION("""COMPUTED_VALUE"""),1514.4)</f>
        <v/>
      </c>
    </row>
    <row r="15890">
      <c r="J15890">
        <f>IFERROR(__xludf.DUMMYFUNCTION("""COMPUTED_VALUE"""),"Toronto, Ontario, Canada / St. Thomas, Ontario, Canada")</f>
        <v/>
      </c>
      <c r="K15890">
        <f>IFERROR(__xludf.DUMMYFUNCTION("""COMPUTED_VALUE"""),1514.01)</f>
        <v/>
      </c>
    </row>
    <row r="15891">
      <c r="J15891">
        <f>IFERROR(__xludf.DUMMYFUNCTION("""COMPUTED_VALUE"""),"Québec, Saint-Hyacinthe, Quebec, Canada")</f>
        <v/>
      </c>
      <c r="K15891">
        <f>IFERROR(__xludf.DUMMYFUNCTION("""COMPUTED_VALUE"""),1513.97)</f>
        <v/>
      </c>
    </row>
    <row r="15892">
      <c r="J15892">
        <f>IFERROR(__xludf.DUMMYFUNCTION("""COMPUTED_VALUE"""),"MONTREAL, QC &amp; CHARLOTTETOWN, PE")</f>
        <v/>
      </c>
      <c r="K15892">
        <f>IFERROR(__xludf.DUMMYFUNCTION("""COMPUTED_VALUE"""),1513.82)</f>
        <v/>
      </c>
    </row>
    <row r="15893">
      <c r="J15893">
        <f>IFERROR(__xludf.DUMMYFUNCTION("""COMPUTED_VALUE"""),"Québec - Toronto - Québec")</f>
        <v/>
      </c>
      <c r="K15893">
        <f>IFERROR(__xludf.DUMMYFUNCTION("""COMPUTED_VALUE"""),1513.82)</f>
        <v/>
      </c>
    </row>
    <row r="15894">
      <c r="J15894">
        <f>IFERROR(__xludf.DUMMYFUNCTION("""COMPUTED_VALUE"""),"Toronto, Sudbury")</f>
        <v/>
      </c>
      <c r="K15894">
        <f>IFERROR(__xludf.DUMMYFUNCTION("""COMPUTED_VALUE"""),1513.27)</f>
        <v/>
      </c>
    </row>
    <row r="15895">
      <c r="J15895">
        <f>IFERROR(__xludf.DUMMYFUNCTION("""COMPUTED_VALUE"""),"Banff, Alberta, Canada
Calgary, Alberta, Canada")</f>
        <v/>
      </c>
      <c r="K15895">
        <f>IFERROR(__xludf.DUMMYFUNCTION("""COMPUTED_VALUE"""),1512.8)</f>
        <v/>
      </c>
    </row>
    <row r="15896">
      <c r="J15896">
        <f>IFERROR(__xludf.DUMMYFUNCTION("""COMPUTED_VALUE"""),"Jeju Island, Republic of Korea")</f>
        <v/>
      </c>
      <c r="K15896">
        <f>IFERROR(__xludf.DUMMYFUNCTION("""COMPUTED_VALUE"""),1512.61)</f>
        <v/>
      </c>
    </row>
    <row r="15897">
      <c r="J15897">
        <f>IFERROR(__xludf.DUMMYFUNCTION("""COMPUTED_VALUE"""),"Winnipeg, MB / Portage la Prairie, MB")</f>
        <v/>
      </c>
      <c r="K15897">
        <f>IFERROR(__xludf.DUMMYFUNCTION("""COMPUTED_VALUE"""),1512.58)</f>
        <v/>
      </c>
    </row>
    <row r="15898">
      <c r="J15898">
        <f>IFERROR(__xludf.DUMMYFUNCTION("""COMPUTED_VALUE"""),"Vancouver and Penticton, British COlumbia")</f>
        <v/>
      </c>
      <c r="K15898">
        <f>IFERROR(__xludf.DUMMYFUNCTION("""COMPUTED_VALUE"""),1512.11)</f>
        <v/>
      </c>
    </row>
    <row r="15899">
      <c r="J15899">
        <f>IFERROR(__xludf.DUMMYFUNCTION("""COMPUTED_VALUE"""),"Nanaimo, BC; Edmonton, AB")</f>
        <v/>
      </c>
      <c r="K15899">
        <f>IFERROR(__xludf.DUMMYFUNCTION("""COMPUTED_VALUE"""),1512.04)</f>
        <v/>
      </c>
    </row>
    <row r="15900">
      <c r="J15900">
        <f>IFERROR(__xludf.DUMMYFUNCTION("""COMPUTED_VALUE"""),"Toronto, Ontario and St-John's, Newfoundland")</f>
        <v/>
      </c>
      <c r="K15900">
        <f>IFERROR(__xludf.DUMMYFUNCTION("""COMPUTED_VALUE"""),1511.69)</f>
        <v/>
      </c>
    </row>
    <row r="15901">
      <c r="J15901">
        <f>IFERROR(__xludf.DUMMYFUNCTION("""COMPUTED_VALUE"""),"Gaspé (Quebec) Canada")</f>
        <v/>
      </c>
      <c r="K15901">
        <f>IFERROR(__xludf.DUMMYFUNCTION("""COMPUTED_VALUE"""),1511.1)</f>
        <v/>
      </c>
    </row>
    <row r="15902">
      <c r="J15902">
        <f>IFERROR(__xludf.DUMMYFUNCTION("""COMPUTED_VALUE"""),"Winnipeg, Manitoba; Surrey, British Columbia")</f>
        <v/>
      </c>
      <c r="K15902">
        <f>IFERROR(__xludf.DUMMYFUNCTION("""COMPUTED_VALUE"""),1510.72)</f>
        <v/>
      </c>
    </row>
    <row r="15903">
      <c r="J15903">
        <f>IFERROR(__xludf.DUMMYFUNCTION("""COMPUTED_VALUE"""),"Jamaica/Florida")</f>
        <v/>
      </c>
      <c r="K15903">
        <f>IFERROR(__xludf.DUMMYFUNCTION("""COMPUTED_VALUE"""),1510.69)</f>
        <v/>
      </c>
    </row>
    <row r="15904">
      <c r="J15904">
        <f>IFERROR(__xludf.DUMMYFUNCTION("""COMPUTED_VALUE"""),"Val-d'Or, Quebec, Canada; Sept-Îles, Quebec, Canada; Trois-Rivières, Quebec, Canada; Havre-Saint-Pierre, Quebec, Canada")</f>
        <v/>
      </c>
      <c r="K15904">
        <f>IFERROR(__xludf.DUMMYFUNCTION("""COMPUTED_VALUE"""),1510.55)</f>
        <v/>
      </c>
    </row>
    <row r="15905">
      <c r="J15905">
        <f>IFERROR(__xludf.DUMMYFUNCTION("""COMPUTED_VALUE"""),"Northern Ontario")</f>
        <v/>
      </c>
      <c r="K15905">
        <f>IFERROR(__xludf.DUMMYFUNCTION("""COMPUTED_VALUE"""),1510.5)</f>
        <v/>
      </c>
    </row>
    <row r="15906">
      <c r="J15906">
        <f>IFERROR(__xludf.DUMMYFUNCTION("""COMPUTED_VALUE"""),"Toronto-Waterloo, Ontario")</f>
        <v/>
      </c>
      <c r="K15906">
        <f>IFERROR(__xludf.DUMMYFUNCTION("""COMPUTED_VALUE"""),1510.24)</f>
        <v/>
      </c>
    </row>
    <row r="15907">
      <c r="J15907">
        <f>IFERROR(__xludf.DUMMYFUNCTION("""COMPUTED_VALUE"""),"Toronto, Ontario / Hamilton, Ontario, Canada")</f>
        <v/>
      </c>
      <c r="K15907">
        <f>IFERROR(__xludf.DUMMYFUNCTION("""COMPUTED_VALUE"""),1509.77)</f>
        <v/>
      </c>
    </row>
    <row r="15908">
      <c r="J15908">
        <f>IFERROR(__xludf.DUMMYFUNCTION("""COMPUTED_VALUE"""),"New York (United States)")</f>
        <v/>
      </c>
      <c r="K15908">
        <f>IFERROR(__xludf.DUMMYFUNCTION("""COMPUTED_VALUE"""),1509.61)</f>
        <v/>
      </c>
    </row>
    <row r="15909">
      <c r="J15909">
        <f>IFERROR(__xludf.DUMMYFUNCTION("""COMPUTED_VALUE"""),"Îles-de-la-Madeleine, Quebec, Canada; Bathurst, New Brunswick, Canada; Moncton, New Brunswick, Canada")</f>
        <v/>
      </c>
      <c r="K15909">
        <f>IFERROR(__xludf.DUMMYFUNCTION("""COMPUTED_VALUE"""),1509.48)</f>
        <v/>
      </c>
    </row>
    <row r="15910">
      <c r="J15910">
        <f>IFERROR(__xludf.DUMMYFUNCTION("""COMPUTED_VALUE"""),"Toronto, Ontario, Canada;  Guelph, Ontario, Canada")</f>
        <v/>
      </c>
      <c r="K15910">
        <f>IFERROR(__xludf.DUMMYFUNCTION("""COMPUTED_VALUE"""),1509.37)</f>
        <v/>
      </c>
    </row>
    <row r="15911">
      <c r="J15911">
        <f>IFERROR(__xludf.DUMMYFUNCTION("""COMPUTED_VALUE"""),"Ottawa, Ontario, Canada; Toronto, Ontario, Canada; Calgary, Alberta, Canada; Saskatoon, Saskatchewan, Canada")</f>
        <v/>
      </c>
      <c r="K15911">
        <f>IFERROR(__xludf.DUMMYFUNCTION("""COMPUTED_VALUE"""),1509.36)</f>
        <v/>
      </c>
    </row>
    <row r="15912">
      <c r="J15912">
        <f>IFERROR(__xludf.DUMMYFUNCTION("""COMPUTED_VALUE"""),"LYON")</f>
        <v/>
      </c>
      <c r="K15912">
        <f>IFERROR(__xludf.DUMMYFUNCTION("""COMPUTED_VALUE"""),1509.08)</f>
        <v/>
      </c>
    </row>
    <row r="15913">
      <c r="J15913">
        <f>IFERROR(__xludf.DUMMYFUNCTION("""COMPUTED_VALUE"""),"Trois-Rivières, Quebec, Canada; Sept-Îles, Quebec, Canada; Chibougamau, Quebec, Canada; Havre-Saint-Pierre, Quebec, Canada; Val-d'Or, Quebec, Canada")</f>
        <v/>
      </c>
      <c r="K15913">
        <f>IFERROR(__xludf.DUMMYFUNCTION("""COMPUTED_VALUE"""),1509.05)</f>
        <v/>
      </c>
    </row>
    <row r="15914">
      <c r="J15914">
        <f>IFERROR(__xludf.DUMMYFUNCTION("""COMPUTED_VALUE"""),"Saint John, Halifax, and Fredericton")</f>
        <v/>
      </c>
      <c r="K15914">
        <f>IFERROR(__xludf.DUMMYFUNCTION("""COMPUTED_VALUE"""),1508.68)</f>
        <v/>
      </c>
    </row>
    <row r="15915">
      <c r="J15915">
        <f>IFERROR(__xludf.DUMMYFUNCTION("""COMPUTED_VALUE"""),"Sudbury, Ontario, Canada; Sault Ste. Marie, Ontario, Canada")</f>
        <v/>
      </c>
      <c r="K15915">
        <f>IFERROR(__xludf.DUMMYFUNCTION("""COMPUTED_VALUE"""),1508.67)</f>
        <v/>
      </c>
    </row>
    <row r="15916">
      <c r="J15916">
        <f>IFERROR(__xludf.DUMMYFUNCTION("""COMPUTED_VALUE"""),"Ottawa,toronto,canada")</f>
        <v/>
      </c>
      <c r="K15916">
        <f>IFERROR(__xludf.DUMMYFUNCTION("""COMPUTED_VALUE"""),1508.24)</f>
        <v/>
      </c>
    </row>
    <row r="15917">
      <c r="J15917">
        <f>IFERROR(__xludf.DUMMYFUNCTION("""COMPUTED_VALUE"""),"Chisasibi,  Québec, Canada")</f>
        <v/>
      </c>
      <c r="K15917">
        <f>IFERROR(__xludf.DUMMYFUNCTION("""COMPUTED_VALUE"""),1508.02)</f>
        <v/>
      </c>
    </row>
    <row r="15918">
      <c r="J15918">
        <f>IFERROR(__xludf.DUMMYFUNCTION("""COMPUTED_VALUE"""),"Victoriaville")</f>
        <v/>
      </c>
      <c r="K15918">
        <f>IFERROR(__xludf.DUMMYFUNCTION("""COMPUTED_VALUE"""),1507.76)</f>
        <v/>
      </c>
    </row>
    <row r="15919">
      <c r="J15919">
        <f>IFERROR(__xludf.DUMMYFUNCTION("""COMPUTED_VALUE"""),"Ayr, ON / Cambridge, ON")</f>
        <v/>
      </c>
      <c r="K15919">
        <f>IFERROR(__xludf.DUMMYFUNCTION("""COMPUTED_VALUE"""),1507.53)</f>
        <v/>
      </c>
    </row>
    <row r="15920">
      <c r="J15920">
        <f>IFERROR(__xludf.DUMMYFUNCTION("""COMPUTED_VALUE"""),"Williamsburg, United States")</f>
        <v/>
      </c>
      <c r="K15920">
        <f>IFERROR(__xludf.DUMMYFUNCTION("""COMPUTED_VALUE"""),1506.99)</f>
        <v/>
      </c>
    </row>
    <row r="15921">
      <c r="J15921">
        <f>IFERROR(__xludf.DUMMYFUNCTION("""COMPUTED_VALUE"""),"Kitchener (Ontario) Canada")</f>
        <v/>
      </c>
      <c r="K15921">
        <f>IFERROR(__xludf.DUMMYFUNCTION("""COMPUTED_VALUE"""),1506.95)</f>
        <v/>
      </c>
    </row>
    <row r="15922">
      <c r="J15922">
        <f>IFERROR(__xludf.DUMMYFUNCTION("""COMPUTED_VALUE"""),"Redwood City, CA")</f>
        <v/>
      </c>
      <c r="K15922">
        <f>IFERROR(__xludf.DUMMYFUNCTION("""COMPUTED_VALUE"""),1506.07)</f>
        <v/>
      </c>
    </row>
    <row r="15923">
      <c r="J15923">
        <f>IFERROR(__xludf.DUMMYFUNCTION("""COMPUTED_VALUE"""),"Rimouski (Quebec) Canada
St-Anne-des-Monts (Quebec) Canada
Lévis (Quebec) Canada")</f>
        <v/>
      </c>
      <c r="K15923">
        <f>IFERROR(__xludf.DUMMYFUNCTION("""COMPUTED_VALUE"""),1506.01)</f>
        <v/>
      </c>
    </row>
    <row r="15924">
      <c r="J15924">
        <f>IFERROR(__xludf.DUMMYFUNCTION("""COMPUTED_VALUE"""),"Cold Lake, AB")</f>
        <v/>
      </c>
      <c r="K15924">
        <f>IFERROR(__xludf.DUMMYFUNCTION("""COMPUTED_VALUE"""),1505.66)</f>
        <v/>
      </c>
    </row>
    <row r="15925">
      <c r="J15925">
        <f>IFERROR(__xludf.DUMMYFUNCTION("""COMPUTED_VALUE"""),"Edmonton (Alberta), Canada")</f>
        <v/>
      </c>
      <c r="K15925">
        <f>IFERROR(__xludf.DUMMYFUNCTION("""COMPUTED_VALUE"""),1505.65)</f>
        <v/>
      </c>
    </row>
    <row r="15926">
      <c r="J15926">
        <f>IFERROR(__xludf.DUMMYFUNCTION("""COMPUTED_VALUE"""),"ST. JOHN'S, NL CANADA")</f>
        <v/>
      </c>
      <c r="K15926">
        <f>IFERROR(__xludf.DUMMYFUNCTION("""COMPUTED_VALUE"""),1505.51)</f>
        <v/>
      </c>
    </row>
    <row r="15927">
      <c r="J15927">
        <f>IFERROR(__xludf.DUMMYFUNCTION("""COMPUTED_VALUE"""),"Quebec City, Quebec, Canada; Toronto, Ontario, Canada")</f>
        <v/>
      </c>
      <c r="K15927">
        <f>IFERROR(__xludf.DUMMYFUNCTION("""COMPUTED_VALUE"""),1505.28)</f>
        <v/>
      </c>
    </row>
    <row r="15928">
      <c r="J15928">
        <f>IFERROR(__xludf.DUMMYFUNCTION("""COMPUTED_VALUE"""),"Grand Manan")</f>
        <v/>
      </c>
      <c r="K15928">
        <f>IFERROR(__xludf.DUMMYFUNCTION("""COMPUTED_VALUE"""),1505.09)</f>
        <v/>
      </c>
    </row>
    <row r="15929">
      <c r="J15929">
        <f>IFERROR(__xludf.DUMMYFUNCTION("""COMPUTED_VALUE"""),"Toronto, Ontario / Montreal, Quebec, Canada")</f>
        <v/>
      </c>
      <c r="K15929">
        <f>IFERROR(__xludf.DUMMYFUNCTION("""COMPUTED_VALUE"""),1505.05)</f>
        <v/>
      </c>
    </row>
    <row r="15930">
      <c r="J15930">
        <f>IFERROR(__xludf.DUMMYFUNCTION("""COMPUTED_VALUE"""),"Regina, Saskatchewan, Canada; Edmonton, Alberta, Canada; Winnipeg, Manitoba, Canada")</f>
        <v/>
      </c>
      <c r="K15930">
        <f>IFERROR(__xludf.DUMMYFUNCTION("""COMPUTED_VALUE"""),1504.66)</f>
        <v/>
      </c>
    </row>
    <row r="15931">
      <c r="J15931">
        <f>IFERROR(__xludf.DUMMYFUNCTION("""COMPUTED_VALUE"""),"1) Victoria, B.C. 2) Vancouver, B.C.")</f>
        <v/>
      </c>
      <c r="K15931">
        <f>IFERROR(__xludf.DUMMYFUNCTION("""COMPUTED_VALUE"""),1504.59)</f>
        <v/>
      </c>
    </row>
    <row r="15932">
      <c r="J15932">
        <f>IFERROR(__xludf.DUMMYFUNCTION("""COMPUTED_VALUE"""),"Calgary, Alberta, Canada;
Canmore, Alberta, Canada")</f>
        <v/>
      </c>
      <c r="K15932">
        <f>IFERROR(__xludf.DUMMYFUNCTION("""COMPUTED_VALUE"""),1504.51)</f>
        <v/>
      </c>
    </row>
    <row r="15933">
      <c r="J15933">
        <f>IFERROR(__xludf.DUMMYFUNCTION("""COMPUTED_VALUE"""),"Saguenay, Jonquière, Ferme-Neuve")</f>
        <v/>
      </c>
      <c r="K15933">
        <f>IFERROR(__xludf.DUMMYFUNCTION("""COMPUTED_VALUE"""),1503.85)</f>
        <v/>
      </c>
    </row>
    <row r="15934">
      <c r="J15934">
        <f>IFERROR(__xludf.DUMMYFUNCTION("""COMPUTED_VALUE"""),"Smiths Falls, Ontario")</f>
        <v/>
      </c>
      <c r="K15934">
        <f>IFERROR(__xludf.DUMMYFUNCTION("""COMPUTED_VALUE"""),1503.81)</f>
        <v/>
      </c>
    </row>
    <row r="15935">
      <c r="J15935">
        <f>IFERROR(__xludf.DUMMYFUNCTION("""COMPUTED_VALUE"""),"Toronto, ON - Sault Ste Marie, ON - Kapuskasing, ON - Timmins, ON")</f>
        <v/>
      </c>
      <c r="K15935">
        <f>IFERROR(__xludf.DUMMYFUNCTION("""COMPUTED_VALUE"""),1503.57)</f>
        <v/>
      </c>
    </row>
    <row r="15936">
      <c r="J15936">
        <f>IFERROR(__xludf.DUMMYFUNCTION("""COMPUTED_VALUE"""),"Toronto and Windsor, Ontario, Canada")</f>
        <v/>
      </c>
      <c r="K15936">
        <f>IFERROR(__xludf.DUMMYFUNCTION("""COMPUTED_VALUE"""),1503.46)</f>
        <v/>
      </c>
    </row>
    <row r="15937">
      <c r="J15937">
        <f>IFERROR(__xludf.DUMMYFUNCTION("""COMPUTED_VALUE"""),"SYDNEY, NS")</f>
        <v/>
      </c>
      <c r="K15937">
        <f>IFERROR(__xludf.DUMMYFUNCTION("""COMPUTED_VALUE"""),1503.28)</f>
        <v/>
      </c>
    </row>
    <row r="15938">
      <c r="J15938">
        <f>IFERROR(__xludf.DUMMYFUNCTION("""COMPUTED_VALUE"""),"Denver, Los Angeles,USA")</f>
        <v/>
      </c>
      <c r="K15938">
        <f>IFERROR(__xludf.DUMMYFUNCTION("""COMPUTED_VALUE"""),1503.19)</f>
        <v/>
      </c>
    </row>
    <row r="15939">
      <c r="J15939">
        <f>IFERROR(__xludf.DUMMYFUNCTION("""COMPUTED_VALUE"""),"Edmonton, Winnipeg")</f>
        <v/>
      </c>
      <c r="K15939">
        <f>IFERROR(__xludf.DUMMYFUNCTION("""COMPUTED_VALUE"""),1503)</f>
        <v/>
      </c>
    </row>
    <row r="15940">
      <c r="J15940">
        <f>IFERROR(__xludf.DUMMYFUNCTION("""COMPUTED_VALUE"""),"Montreal, Quebec, Canada; St. John's, Newfoundland and Labrador, Canada; Halifax, Nova Scotia, Canada; Guelph, Ontario, Canada")</f>
        <v/>
      </c>
      <c r="K15940">
        <f>IFERROR(__xludf.DUMMYFUNCTION("""COMPUTED_VALUE"""),1502.7)</f>
        <v/>
      </c>
    </row>
    <row r="15941">
      <c r="J15941">
        <f>IFERROR(__xludf.DUMMYFUNCTION("""COMPUTED_VALUE"""),"Ottawa-Sherbrooke-Ottawa")</f>
        <v/>
      </c>
      <c r="K15941">
        <f>IFERROR(__xludf.DUMMYFUNCTION("""COMPUTED_VALUE"""),1502.53)</f>
        <v/>
      </c>
    </row>
    <row r="15942">
      <c r="J15942">
        <f>IFERROR(__xludf.DUMMYFUNCTION("""COMPUTED_VALUE"""),"Bratislava, Slovakia")</f>
        <v/>
      </c>
      <c r="K15942">
        <f>IFERROR(__xludf.DUMMYFUNCTION("""COMPUTED_VALUE"""),1501.34)</f>
        <v/>
      </c>
    </row>
    <row r="15943">
      <c r="J15943">
        <f>IFERROR(__xludf.DUMMYFUNCTION("""COMPUTED_VALUE"""),"Montreal, Quebec, Canada
Halifax, Nova Scotia, Canada")</f>
        <v/>
      </c>
      <c r="K15943">
        <f>IFERROR(__xludf.DUMMYFUNCTION("""COMPUTED_VALUE"""),1501.32)</f>
        <v/>
      </c>
    </row>
    <row r="15944">
      <c r="J15944">
        <f>IFERROR(__xludf.DUMMYFUNCTION("""COMPUTED_VALUE"""),"St Johns, Newfoundland")</f>
        <v/>
      </c>
      <c r="K15944">
        <f>IFERROR(__xludf.DUMMYFUNCTION("""COMPUTED_VALUE"""),1501.12)</f>
        <v/>
      </c>
    </row>
    <row r="15945">
      <c r="J15945">
        <f>IFERROR(__xludf.DUMMYFUNCTION("""COMPUTED_VALUE"""),"St-John's (NL)")</f>
        <v/>
      </c>
      <c r="K15945">
        <f>IFERROR(__xludf.DUMMYFUNCTION("""COMPUTED_VALUE"""),1500.05)</f>
        <v/>
      </c>
    </row>
    <row r="15946">
      <c r="J15946">
        <f>IFERROR(__xludf.DUMMYFUNCTION("""COMPUTED_VALUE"""),"CFB Gagetown")</f>
        <v/>
      </c>
      <c r="K15946">
        <f>IFERROR(__xludf.DUMMYFUNCTION("""COMPUTED_VALUE"""),1499.56)</f>
        <v/>
      </c>
    </row>
    <row r="15947">
      <c r="J15947">
        <f>IFERROR(__xludf.DUMMYFUNCTION("""COMPUTED_VALUE"""),"Montreal-Berlin-Montreal")</f>
        <v/>
      </c>
      <c r="K15947">
        <f>IFERROR(__xludf.DUMMYFUNCTION("""COMPUTED_VALUE"""),1499.41)</f>
        <v/>
      </c>
    </row>
    <row r="15948">
      <c r="J15948">
        <f>IFERROR(__xludf.DUMMYFUNCTION("""COMPUTED_VALUE"""),"Guelph, Ontario, Canada 
Mississauga, Ontario, Canada")</f>
        <v/>
      </c>
      <c r="K15948">
        <f>IFERROR(__xludf.DUMMYFUNCTION("""COMPUTED_VALUE"""),1498.84)</f>
        <v/>
      </c>
    </row>
    <row r="15949">
      <c r="J15949">
        <f>IFERROR(__xludf.DUMMYFUNCTION("""COMPUTED_VALUE"""),"Quebec and Wendake and Mont-Joli, Quebec")</f>
        <v/>
      </c>
      <c r="K15949">
        <f>IFERROR(__xludf.DUMMYFUNCTION("""COMPUTED_VALUE"""),1496.62)</f>
        <v/>
      </c>
    </row>
    <row r="15950">
      <c r="J15950">
        <f>IFERROR(__xludf.DUMMYFUNCTION("""COMPUTED_VALUE"""),"Montréal, Quebec, Canada                                Gatineau, Quebec, Canada")</f>
        <v/>
      </c>
      <c r="K15950">
        <f>IFERROR(__xludf.DUMMYFUNCTION("""COMPUTED_VALUE"""),1496.4)</f>
        <v/>
      </c>
    </row>
    <row r="15951">
      <c r="J15951">
        <f>IFERROR(__xludf.DUMMYFUNCTION("""COMPUTED_VALUE"""),"Fredericton, Alma and Moncton, New Brunswick")</f>
        <v/>
      </c>
      <c r="K15951">
        <f>IFERROR(__xludf.DUMMYFUNCTION("""COMPUTED_VALUE"""),1496.17)</f>
        <v/>
      </c>
    </row>
    <row r="15952">
      <c r="J15952">
        <f>IFERROR(__xludf.DUMMYFUNCTION("""COMPUTED_VALUE"""),"Ottawa &amp; Niagara Falls")</f>
        <v/>
      </c>
      <c r="K15952">
        <f>IFERROR(__xludf.DUMMYFUNCTION("""COMPUTED_VALUE"""),1496.09)</f>
        <v/>
      </c>
    </row>
    <row r="15953">
      <c r="J15953">
        <f>IFERROR(__xludf.DUMMYFUNCTION("""COMPUTED_VALUE"""),"Quebec, Joliette, Trois-Rivière, Quebec (Canada)")</f>
        <v/>
      </c>
      <c r="K15953">
        <f>IFERROR(__xludf.DUMMYFUNCTION("""COMPUTED_VALUE"""),1495.53)</f>
        <v/>
      </c>
    </row>
    <row r="15954">
      <c r="J15954">
        <f>IFERROR(__xludf.DUMMYFUNCTION("""COMPUTED_VALUE"""),"Niagara-On-The-Lake,
Ontario,
Canada")</f>
        <v/>
      </c>
      <c r="K15954">
        <f>IFERROR(__xludf.DUMMYFUNCTION("""COMPUTED_VALUE"""),1495.35)</f>
        <v/>
      </c>
    </row>
    <row r="15955">
      <c r="J15955">
        <f>IFERROR(__xludf.DUMMYFUNCTION("""COMPUTED_VALUE"""),"Annapolis, MD")</f>
        <v/>
      </c>
      <c r="K15955">
        <f>IFERROR(__xludf.DUMMYFUNCTION("""COMPUTED_VALUE"""),1494.3)</f>
        <v/>
      </c>
    </row>
    <row r="15956">
      <c r="J15956">
        <f>IFERROR(__xludf.DUMMYFUNCTION("""COMPUTED_VALUE"""),"Ottawa, Cornwall, Ontario, Canada")</f>
        <v/>
      </c>
      <c r="K15956">
        <f>IFERROR(__xludf.DUMMYFUNCTION("""COMPUTED_VALUE"""),1494.09)</f>
        <v/>
      </c>
    </row>
    <row r="15957">
      <c r="J15957">
        <f>IFERROR(__xludf.DUMMYFUNCTION("""COMPUTED_VALUE"""),"Jonquière")</f>
        <v/>
      </c>
      <c r="K15957">
        <f>IFERROR(__xludf.DUMMYFUNCTION("""COMPUTED_VALUE"""),1493.94999999999)</f>
        <v/>
      </c>
    </row>
    <row r="15958">
      <c r="J15958">
        <f>IFERROR(__xludf.DUMMYFUNCTION("""COMPUTED_VALUE"""),"Abbotsford, B.C.")</f>
        <v/>
      </c>
      <c r="K15958">
        <f>IFERROR(__xludf.DUMMYFUNCTION("""COMPUTED_VALUE"""),1493.65)</f>
        <v/>
      </c>
    </row>
    <row r="15959">
      <c r="J15959">
        <f>IFERROR(__xludf.DUMMYFUNCTION("""COMPUTED_VALUE"""),"Rockland, Ontario, Canada")</f>
        <v/>
      </c>
      <c r="K15959">
        <f>IFERROR(__xludf.DUMMYFUNCTION("""COMPUTED_VALUE"""),1493.63999999999)</f>
        <v/>
      </c>
    </row>
    <row r="15960">
      <c r="J15960">
        <f>IFERROR(__xludf.DUMMYFUNCTION("""COMPUTED_VALUE"""),"Edmonton (Alberta) and Cold Lake (Alberta)")</f>
        <v/>
      </c>
      <c r="K15960">
        <f>IFERROR(__xludf.DUMMYFUNCTION("""COMPUTED_VALUE"""),1493.63)</f>
        <v/>
      </c>
    </row>
    <row r="15961">
      <c r="J15961">
        <f>IFERROR(__xludf.DUMMYFUNCTION("""COMPUTED_VALUE"""),"Hamilton, Toronto")</f>
        <v/>
      </c>
      <c r="K15961">
        <f>IFERROR(__xludf.DUMMYFUNCTION("""COMPUTED_VALUE"""),1492.81)</f>
        <v/>
      </c>
    </row>
    <row r="15962">
      <c r="J15962">
        <f>IFERROR(__xludf.DUMMYFUNCTION("""COMPUTED_VALUE"""),"Halifax, Nova Scotia, Canada/ Moncton, New Brunswick, Canada")</f>
        <v/>
      </c>
      <c r="K15962">
        <f>IFERROR(__xludf.DUMMYFUNCTION("""COMPUTED_VALUE"""),1492.71)</f>
        <v/>
      </c>
    </row>
    <row r="15963">
      <c r="J15963">
        <f>IFERROR(__xludf.DUMMYFUNCTION("""COMPUTED_VALUE"""),"Totonto, Ontario, Canada")</f>
        <v/>
      </c>
      <c r="K15963">
        <f>IFERROR(__xludf.DUMMYFUNCTION("""COMPUTED_VALUE"""),1492.37)</f>
        <v/>
      </c>
    </row>
    <row r="15964">
      <c r="J15964">
        <f>IFERROR(__xludf.DUMMYFUNCTION("""COMPUTED_VALUE"""),"Essipit, Quebec, Canada")</f>
        <v/>
      </c>
      <c r="K15964">
        <f>IFERROR(__xludf.DUMMYFUNCTION("""COMPUTED_VALUE"""),1492.05)</f>
        <v/>
      </c>
    </row>
    <row r="15965">
      <c r="J15965">
        <f>IFERROR(__xludf.DUMMYFUNCTION("""COMPUTED_VALUE"""),"Îles-de-la-Madeleine, QC.")</f>
        <v/>
      </c>
      <c r="K15965">
        <f>IFERROR(__xludf.DUMMYFUNCTION("""COMPUTED_VALUE"""),1492.01)</f>
        <v/>
      </c>
    </row>
    <row r="15966">
      <c r="J15966">
        <f>IFERROR(__xludf.DUMMYFUNCTION("""COMPUTED_VALUE"""),"Grand Falls-Windsor, Newfoundland and Labrador, Canada; Gander, Newfoundland and Labrador, Canada")</f>
        <v/>
      </c>
      <c r="K15966">
        <f>IFERROR(__xludf.DUMMYFUNCTION("""COMPUTED_VALUE"""),1491.68)</f>
        <v/>
      </c>
    </row>
    <row r="15967">
      <c r="J15967">
        <f>IFERROR(__xludf.DUMMYFUNCTION("""COMPUTED_VALUE"""),"Pictou")</f>
        <v/>
      </c>
      <c r="K15967">
        <f>IFERROR(__xludf.DUMMYFUNCTION("""COMPUTED_VALUE"""),1491.57)</f>
        <v/>
      </c>
    </row>
    <row r="15968">
      <c r="J15968">
        <f>IFERROR(__xludf.DUMMYFUNCTION("""COMPUTED_VALUE"""),"Busan &amp; Seoul, ROK")</f>
        <v/>
      </c>
      <c r="K15968">
        <f>IFERROR(__xludf.DUMMYFUNCTION("""COMPUTED_VALUE"""),1491.36)</f>
        <v/>
      </c>
    </row>
    <row r="15969">
      <c r="J15969">
        <f>IFERROR(__xludf.DUMMYFUNCTION("""COMPUTED_VALUE"""),"Moncton, NB - Larnaca, Cyprus / Larnaca, Cyprus  - Moncton, NB")</f>
        <v/>
      </c>
      <c r="K15969">
        <f>IFERROR(__xludf.DUMMYFUNCTION("""COMPUTED_VALUE"""),1491.18)</f>
        <v/>
      </c>
    </row>
    <row r="15970">
      <c r="J15970">
        <f>IFERROR(__xludf.DUMMYFUNCTION("""COMPUTED_VALUE"""),"Barrie, Ontario, Canada /  Burlington, Ontario, Canada")</f>
        <v/>
      </c>
      <c r="K15970">
        <f>IFERROR(__xludf.DUMMYFUNCTION("""COMPUTED_VALUE"""),1491.14)</f>
        <v/>
      </c>
    </row>
    <row r="15971">
      <c r="J15971">
        <f>IFERROR(__xludf.DUMMYFUNCTION("""COMPUTED_VALUE"""),"Toronto and Oakville ON")</f>
        <v/>
      </c>
      <c r="K15971">
        <f>IFERROR(__xludf.DUMMYFUNCTION("""COMPUTED_VALUE"""),1490.74)</f>
        <v/>
      </c>
    </row>
    <row r="15972">
      <c r="J15972">
        <f>IFERROR(__xludf.DUMMYFUNCTION("""COMPUTED_VALUE"""),"Charlottetown (Prince Edward Island) Canada; Moncton (New Brunswick) Canada; Truro (Nova Scotia) Canada")</f>
        <v/>
      </c>
      <c r="K15972">
        <f>IFERROR(__xludf.DUMMYFUNCTION("""COMPUTED_VALUE"""),1490.69)</f>
        <v/>
      </c>
    </row>
    <row r="15973">
      <c r="J15973">
        <f>IFERROR(__xludf.DUMMYFUNCTION("""COMPUTED_VALUE"""),"HAMILTON, LONDON &amp; WINDSOR, ON")</f>
        <v/>
      </c>
      <c r="K15973">
        <f>IFERROR(__xludf.DUMMYFUNCTION("""COMPUTED_VALUE"""),1490.44)</f>
        <v/>
      </c>
    </row>
    <row r="15974">
      <c r="J15974">
        <f>IFERROR(__xludf.DUMMYFUNCTION("""COMPUTED_VALUE"""),"Edmonton, Alberta / Vancouver, British Columbia")</f>
        <v/>
      </c>
      <c r="K15974">
        <f>IFERROR(__xludf.DUMMYFUNCTION("""COMPUTED_VALUE"""),1490.35)</f>
        <v/>
      </c>
    </row>
    <row r="15975">
      <c r="J15975">
        <f>IFERROR(__xludf.DUMMYFUNCTION("""COMPUTED_VALUE"""),"Halifax-Charlottetown")</f>
        <v/>
      </c>
      <c r="K15975">
        <f>IFERROR(__xludf.DUMMYFUNCTION("""COMPUTED_VALUE"""),1490.17)</f>
        <v/>
      </c>
    </row>
    <row r="15976">
      <c r="J15976">
        <f>IFERROR(__xludf.DUMMYFUNCTION("""COMPUTED_VALUE"""),"Québec and Saguenay")</f>
        <v/>
      </c>
      <c r="K15976">
        <f>IFERROR(__xludf.DUMMYFUNCTION("""COMPUTED_VALUE"""),1490.02)</f>
        <v/>
      </c>
    </row>
    <row r="15977">
      <c r="J15977">
        <f>IFERROR(__xludf.DUMMYFUNCTION("""COMPUTED_VALUE"""),"Winnipeg, MB Portage la Prarie, MB")</f>
        <v/>
      </c>
      <c r="K15977">
        <f>IFERROR(__xludf.DUMMYFUNCTION("""COMPUTED_VALUE"""),1490)</f>
        <v/>
      </c>
    </row>
    <row r="15978">
      <c r="J15978">
        <f>IFERROR(__xludf.DUMMYFUNCTION("""COMPUTED_VALUE"""),"Dalvay, Prince Edward Island and Kouchibouguac, New-Brunswick")</f>
        <v/>
      </c>
      <c r="K15978">
        <f>IFERROR(__xludf.DUMMYFUNCTION("""COMPUTED_VALUE"""),1489.58)</f>
        <v/>
      </c>
    </row>
    <row r="15979">
      <c r="J15979">
        <f>IFERROR(__xludf.DUMMYFUNCTION("""COMPUTED_VALUE"""),"Port-Cartier Institution")</f>
        <v/>
      </c>
      <c r="K15979">
        <f>IFERROR(__xludf.DUMMYFUNCTION("""COMPUTED_VALUE"""),1489.54)</f>
        <v/>
      </c>
    </row>
    <row r="15980">
      <c r="J15980">
        <f>IFERROR(__xludf.DUMMYFUNCTION("""COMPUTED_VALUE"""),"Moncton, NB / Ottawa, ON")</f>
        <v/>
      </c>
      <c r="K15980">
        <f>IFERROR(__xludf.DUMMYFUNCTION("""COMPUTED_VALUE"""),1489.19)</f>
        <v/>
      </c>
    </row>
    <row r="15981">
      <c r="J15981">
        <f>IFERROR(__xludf.DUMMYFUNCTION("""COMPUTED_VALUE"""),"Val-d'Or")</f>
        <v/>
      </c>
      <c r="K15981">
        <f>IFERROR(__xludf.DUMMYFUNCTION("""COMPUTED_VALUE"""),1489.01)</f>
        <v/>
      </c>
    </row>
    <row r="15982">
      <c r="J15982">
        <f>IFERROR(__xludf.DUMMYFUNCTION("""COMPUTED_VALUE"""),"Toronto, On and Halifax, NS")</f>
        <v/>
      </c>
      <c r="K15982">
        <f>IFERROR(__xludf.DUMMYFUNCTION("""COMPUTED_VALUE"""),1489)</f>
        <v/>
      </c>
    </row>
    <row r="15983">
      <c r="J15983">
        <f>IFERROR(__xludf.DUMMYFUNCTION("""COMPUTED_VALUE"""),"O'Leary, PE - Charlottetown, PE")</f>
        <v/>
      </c>
      <c r="K15983">
        <f>IFERROR(__xludf.DUMMYFUNCTION("""COMPUTED_VALUE"""),1488.9)</f>
        <v/>
      </c>
    </row>
    <row r="15984">
      <c r="J15984">
        <f>IFERROR(__xludf.DUMMYFUNCTION("""COMPUTED_VALUE"""),"Belleville, Ontario")</f>
        <v/>
      </c>
      <c r="K15984">
        <f>IFERROR(__xludf.DUMMYFUNCTION("""COMPUTED_VALUE"""),1488.04)</f>
        <v/>
      </c>
    </row>
    <row r="15985">
      <c r="J15985">
        <f>IFERROR(__xludf.DUMMYFUNCTION("""COMPUTED_VALUE"""),"Waterloo, ON, Mississauga, ON")</f>
        <v/>
      </c>
      <c r="K15985">
        <f>IFERROR(__xludf.DUMMYFUNCTION("""COMPUTED_VALUE"""),1488.03)</f>
        <v/>
      </c>
    </row>
    <row r="15986">
      <c r="J15986">
        <f>IFERROR(__xludf.DUMMYFUNCTION("""COMPUTED_VALUE"""),"Vaughan, Ontario, Canada; Toronto, Ontario, Canada; Guelph, Ontario, Canada; Windsor, Ontario, Canada")</f>
        <v/>
      </c>
      <c r="K15986">
        <f>IFERROR(__xludf.DUMMYFUNCTION("""COMPUTED_VALUE"""),1487.71)</f>
        <v/>
      </c>
    </row>
    <row r="15987">
      <c r="J15987">
        <f>IFERROR(__xludf.DUMMYFUNCTION("""COMPUTED_VALUE"""),"Yukon, North West Territories")</f>
        <v/>
      </c>
      <c r="K15987">
        <f>IFERROR(__xludf.DUMMYFUNCTION("""COMPUTED_VALUE"""),1487.61)</f>
        <v/>
      </c>
    </row>
    <row r="15988">
      <c r="J15988">
        <f>IFERROR(__xludf.DUMMYFUNCTION("""COMPUTED_VALUE"""),"Gander, Newfoundland, Canada")</f>
        <v/>
      </c>
      <c r="K15988">
        <f>IFERROR(__xludf.DUMMYFUNCTION("""COMPUTED_VALUE"""),1487.23)</f>
        <v/>
      </c>
    </row>
    <row r="15989">
      <c r="J15989">
        <f>IFERROR(__xludf.DUMMYFUNCTION("""COMPUTED_VALUE"""),"St John, New Brunswick, Canada")</f>
        <v/>
      </c>
      <c r="K15989">
        <f>IFERROR(__xludf.DUMMYFUNCTION("""COMPUTED_VALUE"""),1487.03)</f>
        <v/>
      </c>
    </row>
    <row r="15990">
      <c r="J15990">
        <f>IFERROR(__xludf.DUMMYFUNCTION("""COMPUTED_VALUE"""),"Washington D.C., United States, Toronto Ontario")</f>
        <v/>
      </c>
      <c r="K15990">
        <f>IFERROR(__xludf.DUMMYFUNCTION("""COMPUTED_VALUE"""),1486.68)</f>
        <v/>
      </c>
    </row>
    <row r="15991">
      <c r="J15991">
        <f>IFERROR(__xludf.DUMMYFUNCTION("""COMPUTED_VALUE"""),"Truro, Nova Scotia, Canada; Sydney, Nova Scotia, Canada; Ottawa, Ontario, Canada")</f>
        <v/>
      </c>
      <c r="K15991">
        <f>IFERROR(__xludf.DUMMYFUNCTION("""COMPUTED_VALUE"""),1486.34)</f>
        <v/>
      </c>
    </row>
    <row r="15992">
      <c r="J15992">
        <f>IFERROR(__xludf.DUMMYFUNCTION("""COMPUTED_VALUE"""),"Saskatchewan &amp; Winnipeg")</f>
        <v/>
      </c>
      <c r="K15992">
        <f>IFERROR(__xludf.DUMMYFUNCTION("""COMPUTED_VALUE"""),1486)</f>
        <v/>
      </c>
    </row>
    <row r="15993">
      <c r="J15993">
        <f>IFERROR(__xludf.DUMMYFUNCTION("""COMPUTED_VALUE"""),"London and Durham, Ontario, Canada")</f>
        <v/>
      </c>
      <c r="K15993">
        <f>IFERROR(__xludf.DUMMYFUNCTION("""COMPUTED_VALUE"""),1485.78)</f>
        <v/>
      </c>
    </row>
    <row r="15994">
      <c r="J15994">
        <f>IFERROR(__xludf.DUMMYFUNCTION("""COMPUTED_VALUE"""),"Montreal, Quebec City, QC")</f>
        <v/>
      </c>
      <c r="K15994">
        <f>IFERROR(__xludf.DUMMYFUNCTION("""COMPUTED_VALUE"""),1485.67)</f>
        <v/>
      </c>
    </row>
    <row r="15995">
      <c r="J15995">
        <f>IFERROR(__xludf.DUMMYFUNCTION("""COMPUTED_VALUE"""),"Berkeley, California")</f>
        <v/>
      </c>
      <c r="K15995">
        <f>IFERROR(__xludf.DUMMYFUNCTION("""COMPUTED_VALUE"""),1485.09)</f>
        <v/>
      </c>
    </row>
    <row r="15996">
      <c r="J15996">
        <f>IFERROR(__xludf.DUMMYFUNCTION("""COMPUTED_VALUE"""),"Cape Canaveral")</f>
        <v/>
      </c>
      <c r="K15996">
        <f>IFERROR(__xludf.DUMMYFUNCTION("""COMPUTED_VALUE"""),1485.04)</f>
        <v/>
      </c>
    </row>
    <row r="15997">
      <c r="J15997">
        <f>IFERROR(__xludf.DUMMYFUNCTION("""COMPUTED_VALUE"""),"NOVA SCOTIA")</f>
        <v/>
      </c>
      <c r="K15997">
        <f>IFERROR(__xludf.DUMMYFUNCTION("""COMPUTED_VALUE"""),1484.24)</f>
        <v/>
      </c>
    </row>
    <row r="15998">
      <c r="J15998">
        <f>IFERROR(__xludf.DUMMYFUNCTION("""COMPUTED_VALUE"""),"Fox Lake, MB")</f>
        <v/>
      </c>
      <c r="K15998">
        <f>IFERROR(__xludf.DUMMYFUNCTION("""COMPUTED_VALUE"""),1483.83)</f>
        <v/>
      </c>
    </row>
    <row r="15999">
      <c r="J15999">
        <f>IFERROR(__xludf.DUMMYFUNCTION("""COMPUTED_VALUE"""),"Montreal, Quebec, Canada &amp; Fredericton, New Brunswick, Canada")</f>
        <v/>
      </c>
      <c r="K15999">
        <f>IFERROR(__xludf.DUMMYFUNCTION("""COMPUTED_VALUE"""),1483.65)</f>
        <v/>
      </c>
    </row>
    <row r="16000">
      <c r="J16000">
        <f>IFERROR(__xludf.DUMMYFUNCTION("""COMPUTED_VALUE"""),"Îles-de-la-Madeleine, Quebec, Canada; Mont-Joli, Quebec, Canada; Sept-Îles, Quebec, Canada; Alma, Quebec, Canada")</f>
        <v/>
      </c>
      <c r="K16000">
        <f>IFERROR(__xludf.DUMMYFUNCTION("""COMPUTED_VALUE"""),1483.61)</f>
        <v/>
      </c>
    </row>
    <row r="16001">
      <c r="J16001">
        <f>IFERROR(__xludf.DUMMYFUNCTION("""COMPUTED_VALUE"""),"Niagara Falls, ON / Hamilton, ON")</f>
        <v/>
      </c>
      <c r="K16001">
        <f>IFERROR(__xludf.DUMMYFUNCTION("""COMPUTED_VALUE"""),1483.56)</f>
        <v/>
      </c>
    </row>
    <row r="16002">
      <c r="J16002">
        <f>IFERROR(__xludf.DUMMYFUNCTION("""COMPUTED_VALUE"""),"Rocky Harbour, Newfounland and Labrador")</f>
        <v/>
      </c>
      <c r="K16002">
        <f>IFERROR(__xludf.DUMMYFUNCTION("""COMPUTED_VALUE"""),1483.41)</f>
        <v/>
      </c>
    </row>
    <row r="16003">
      <c r="J16003">
        <f>IFERROR(__xludf.DUMMYFUNCTION("""COMPUTED_VALUE"""),"Sudbury, ON Toronto, ON")</f>
        <v/>
      </c>
      <c r="K16003">
        <f>IFERROR(__xludf.DUMMYFUNCTION("""COMPUTED_VALUE"""),1483.36)</f>
        <v/>
      </c>
    </row>
    <row r="16004">
      <c r="J16004">
        <f>IFERROR(__xludf.DUMMYFUNCTION("""COMPUTED_VALUE"""),"Kirkland Lake, ON")</f>
        <v/>
      </c>
      <c r="K16004">
        <f>IFERROR(__xludf.DUMMYFUNCTION("""COMPUTED_VALUE"""),1483.15)</f>
        <v/>
      </c>
    </row>
    <row r="16005">
      <c r="J16005">
        <f>IFERROR(__xludf.DUMMYFUNCTION("""COMPUTED_VALUE"""),"Winnipeg (Manitoba) Canada
Brandon (Manitoba) Canada 
Morden (Manitoba) Canada")</f>
        <v/>
      </c>
      <c r="K16005">
        <f>IFERROR(__xludf.DUMMYFUNCTION("""COMPUTED_VALUE"""),1482.82)</f>
        <v/>
      </c>
    </row>
    <row r="16006">
      <c r="J16006">
        <f>IFERROR(__xludf.DUMMYFUNCTION("""COMPUTED_VALUE"""),"Rouyn-Noranda, Quebec, Canada; La Sarre, Quebec, Canada; Amos, Quebec, Canada; Val-d'Or, Quebec, Canada")</f>
        <v/>
      </c>
      <c r="K16006">
        <f>IFERROR(__xludf.DUMMYFUNCTION("""COMPUTED_VALUE"""),1482.61)</f>
        <v/>
      </c>
    </row>
    <row r="16007">
      <c r="J16007">
        <f>IFERROR(__xludf.DUMMYFUNCTION("""COMPUTED_VALUE"""),"Napanee, Ontario, Canada")</f>
        <v/>
      </c>
      <c r="K16007">
        <f>IFERROR(__xludf.DUMMYFUNCTION("""COMPUTED_VALUE"""),1482.59)</f>
        <v/>
      </c>
    </row>
    <row r="16008">
      <c r="J16008">
        <f>IFERROR(__xludf.DUMMYFUNCTION("""COMPUTED_VALUE"""),"Saint-John &amp; St-Andrews, New Brunswick")</f>
        <v/>
      </c>
      <c r="K16008">
        <f>IFERROR(__xludf.DUMMYFUNCTION("""COMPUTED_VALUE"""),1482.59)</f>
        <v/>
      </c>
    </row>
    <row r="16009">
      <c r="J16009">
        <f>IFERROR(__xludf.DUMMYFUNCTION("""COMPUTED_VALUE"""),"Edmonton, AB; Saskatoon, SK")</f>
        <v/>
      </c>
      <c r="K16009">
        <f>IFERROR(__xludf.DUMMYFUNCTION("""COMPUTED_VALUE"""),1482.48)</f>
        <v/>
      </c>
    </row>
    <row r="16010">
      <c r="J16010">
        <f>IFERROR(__xludf.DUMMYFUNCTION("""COMPUTED_VALUE"""),"Edmonton. Alberta")</f>
        <v/>
      </c>
      <c r="K16010">
        <f>IFERROR(__xludf.DUMMYFUNCTION("""COMPUTED_VALUE"""),1482.42)</f>
        <v/>
      </c>
    </row>
    <row r="16011">
      <c r="J16011">
        <f>IFERROR(__xludf.DUMMYFUNCTION("""COMPUTED_VALUE"""),"Halifax, Warsaw, Stockholm, Madrid")</f>
        <v/>
      </c>
      <c r="K16011">
        <f>IFERROR(__xludf.DUMMYFUNCTION("""COMPUTED_VALUE"""),1482.4)</f>
        <v/>
      </c>
    </row>
    <row r="16012">
      <c r="J16012">
        <f>IFERROR(__xludf.DUMMYFUNCTION("""COMPUTED_VALUE"""),"Johannesburg, Gauteng, South Africa")</f>
        <v/>
      </c>
      <c r="K16012">
        <f>IFERROR(__xludf.DUMMYFUNCTION("""COMPUTED_VALUE"""),1481.92)</f>
        <v/>
      </c>
    </row>
    <row r="16013">
      <c r="J16013">
        <f>IFERROR(__xludf.DUMMYFUNCTION("""COMPUTED_VALUE"""),"Trenton (Ontario) Canada")</f>
        <v/>
      </c>
      <c r="K16013">
        <f>IFERROR(__xludf.DUMMYFUNCTION("""COMPUTED_VALUE"""),1481.42)</f>
        <v/>
      </c>
    </row>
    <row r="16014">
      <c r="J16014">
        <f>IFERROR(__xludf.DUMMYFUNCTION("""COMPUTED_VALUE"""),"Washington, DC, USANew York, USA")</f>
        <v/>
      </c>
      <c r="K16014">
        <f>IFERROR(__xludf.DUMMYFUNCTION("""COMPUTED_VALUE"""),1481)</f>
        <v/>
      </c>
    </row>
    <row r="16015">
      <c r="J16015">
        <f>IFERROR(__xludf.DUMMYFUNCTION("""COMPUTED_VALUE"""),"Burlington &amp; Toronto, Ontario")</f>
        <v/>
      </c>
      <c r="K16015">
        <f>IFERROR(__xludf.DUMMYFUNCTION("""COMPUTED_VALUE"""),1480.84)</f>
        <v/>
      </c>
    </row>
    <row r="16016">
      <c r="J16016">
        <f>IFERROR(__xludf.DUMMYFUNCTION("""COMPUTED_VALUE"""),"Hong Kong,Singapore,Tokyo")</f>
        <v/>
      </c>
      <c r="K16016">
        <f>IFERROR(__xludf.DUMMYFUNCTION("""COMPUTED_VALUE"""),1479.79)</f>
        <v/>
      </c>
    </row>
    <row r="16017">
      <c r="J16017">
        <f>IFERROR(__xludf.DUMMYFUNCTION("""COMPUTED_VALUE"""),"Winnipeg, Manitoba, Canada and Edmonton, Alberta, Canada")</f>
        <v/>
      </c>
      <c r="K16017">
        <f>IFERROR(__xludf.DUMMYFUNCTION("""COMPUTED_VALUE"""),1479.64)</f>
        <v/>
      </c>
    </row>
    <row r="16018">
      <c r="J16018">
        <f>IFERROR(__xludf.DUMMYFUNCTION("""COMPUTED_VALUE"""),"Valcartier, QC &amp; Montreal, QC")</f>
        <v/>
      </c>
      <c r="K16018">
        <f>IFERROR(__xludf.DUMMYFUNCTION("""COMPUTED_VALUE"""),1479.58)</f>
        <v/>
      </c>
    </row>
    <row r="16019">
      <c r="J16019">
        <f>IFERROR(__xludf.DUMMYFUNCTION("""COMPUTED_VALUE"""),"Tampa, Toronto, Ottawa")</f>
        <v/>
      </c>
      <c r="K16019">
        <f>IFERROR(__xludf.DUMMYFUNCTION("""COMPUTED_VALUE"""),1479.47)</f>
        <v/>
      </c>
    </row>
    <row r="16020">
      <c r="J16020">
        <f>IFERROR(__xludf.DUMMYFUNCTION("""COMPUTED_VALUE"""),"Waterloo, Ontario,Canada")</f>
        <v/>
      </c>
      <c r="K16020">
        <f>IFERROR(__xludf.DUMMYFUNCTION("""COMPUTED_VALUE"""),1479.34)</f>
        <v/>
      </c>
    </row>
    <row r="16021">
      <c r="J16021">
        <f>IFERROR(__xludf.DUMMYFUNCTION("""COMPUTED_VALUE"""),"Harrow (Ontario) Canada; Guelph (Ontario) Canada; Jerseyville (Ontario) Canada; London (Ontario) Canada")</f>
        <v/>
      </c>
      <c r="K16021">
        <f>IFERROR(__xludf.DUMMYFUNCTION("""COMPUTED_VALUE"""),1479.16)</f>
        <v/>
      </c>
    </row>
    <row r="16022">
      <c r="J16022">
        <f>IFERROR(__xludf.DUMMYFUNCTION("""COMPUTED_VALUE"""),"Ottawa, ON, Moncton, NB")</f>
        <v/>
      </c>
      <c r="K16022">
        <f>IFERROR(__xludf.DUMMYFUNCTION("""COMPUTED_VALUE"""),1478.99)</f>
        <v/>
      </c>
    </row>
    <row r="16023">
      <c r="J16023">
        <f>IFERROR(__xludf.DUMMYFUNCTION("""COMPUTED_VALUE"""),"Calgary, Alberta &amp; Toronto, Ontario")</f>
        <v/>
      </c>
      <c r="K16023">
        <f>IFERROR(__xludf.DUMMYFUNCTION("""COMPUTED_VALUE"""),1477.92)</f>
        <v/>
      </c>
    </row>
    <row r="16024">
      <c r="J16024">
        <f>IFERROR(__xludf.DUMMYFUNCTION("""COMPUTED_VALUE"""),"Harrow, ON")</f>
        <v/>
      </c>
      <c r="K16024">
        <f>IFERROR(__xludf.DUMMYFUNCTION("""COMPUTED_VALUE"""),1477.82)</f>
        <v/>
      </c>
    </row>
    <row r="16025">
      <c r="J16025">
        <f>IFERROR(__xludf.DUMMYFUNCTION("""COMPUTED_VALUE"""),"Vancouver, British Columbia, Canada; Edmonton, Alberta, Canada; Winnipeg, Manitoba, Canada; St John's, Newfoundland, Canada")</f>
        <v/>
      </c>
      <c r="K16025">
        <f>IFERROR(__xludf.DUMMYFUNCTION("""COMPUTED_VALUE"""),1477.34)</f>
        <v/>
      </c>
    </row>
    <row r="16026">
      <c r="J16026">
        <f>IFERROR(__xludf.DUMMYFUNCTION("""COMPUTED_VALUE"""),"Whitehores, YK - Hay River, NT - Gjoa Haven, NU - Rankin Inlet, NU - Raglan Mine, QC")</f>
        <v/>
      </c>
      <c r="K16026">
        <f>IFERROR(__xludf.DUMMYFUNCTION("""COMPUTED_VALUE"""),1477.03)</f>
        <v/>
      </c>
    </row>
    <row r="16027">
      <c r="J16027">
        <f>IFERROR(__xludf.DUMMYFUNCTION("""COMPUTED_VALUE"""),"Mission, British Columbia")</f>
        <v/>
      </c>
      <c r="K16027">
        <f>IFERROR(__xludf.DUMMYFUNCTION("""COMPUTED_VALUE"""),1476.92)</f>
        <v/>
      </c>
    </row>
    <row r="16028">
      <c r="J16028">
        <f>IFERROR(__xludf.DUMMYFUNCTION("""COMPUTED_VALUE"""),"Montreal, Quebec, Canada/ Quebec, Quebec, Canada")</f>
        <v/>
      </c>
      <c r="K16028">
        <f>IFERROR(__xludf.DUMMYFUNCTION("""COMPUTED_VALUE"""),1476.33)</f>
        <v/>
      </c>
    </row>
    <row r="16029">
      <c r="J16029">
        <f>IFERROR(__xludf.DUMMYFUNCTION("""COMPUTED_VALUE"""),"Gros-Morne, Newfoundland")</f>
        <v/>
      </c>
      <c r="K16029">
        <f>IFERROR(__xludf.DUMMYFUNCTION("""COMPUTED_VALUE"""),1476.01)</f>
        <v/>
      </c>
    </row>
    <row r="16030">
      <c r="J16030">
        <f>IFERROR(__xludf.DUMMYFUNCTION("""COMPUTED_VALUE"""),"Sunnyvale, California, United States")</f>
        <v/>
      </c>
      <c r="K16030">
        <f>IFERROR(__xludf.DUMMYFUNCTION("""COMPUTED_VALUE"""),1475.62)</f>
        <v/>
      </c>
    </row>
    <row r="16031">
      <c r="J16031">
        <f>IFERROR(__xludf.DUMMYFUNCTION("""COMPUTED_VALUE"""),"Harrisburg, PA")</f>
        <v/>
      </c>
      <c r="K16031">
        <f>IFERROR(__xludf.DUMMYFUNCTION("""COMPUTED_VALUE"""),1475.13)</f>
        <v/>
      </c>
    </row>
    <row r="16032">
      <c r="J16032">
        <f>IFERROR(__xludf.DUMMYFUNCTION("""COMPUTED_VALUE"""),"Dieppe, NB, Charlottetown, PEI")</f>
        <v/>
      </c>
      <c r="K16032">
        <f>IFERROR(__xludf.DUMMYFUNCTION("""COMPUTED_VALUE"""),1474.32)</f>
        <v/>
      </c>
    </row>
    <row r="16033">
      <c r="J16033">
        <f>IFERROR(__xludf.DUMMYFUNCTION("""COMPUTED_VALUE"""),"Hamilton, Ontario, Canada; Barrie, Ontario, Canada")</f>
        <v/>
      </c>
      <c r="K16033">
        <f>IFERROR(__xludf.DUMMYFUNCTION("""COMPUTED_VALUE"""),1474.28)</f>
        <v/>
      </c>
    </row>
    <row r="16034">
      <c r="J16034">
        <f>IFERROR(__xludf.DUMMYFUNCTION("""COMPUTED_VALUE"""),"Charlottetown, Prince-Edward Island and Halifax, Nova Scotia")</f>
        <v/>
      </c>
      <c r="K16034">
        <f>IFERROR(__xludf.DUMMYFUNCTION("""COMPUTED_VALUE"""),1473.96)</f>
        <v/>
      </c>
    </row>
    <row r="16035">
      <c r="J16035">
        <f>IFERROR(__xludf.DUMMYFUNCTION("""COMPUTED_VALUE"""),"St.Johns, Newfoundland and labrador, Canada")</f>
        <v/>
      </c>
      <c r="K16035">
        <f>IFERROR(__xludf.DUMMYFUNCTION("""COMPUTED_VALUE"""),1473.6)</f>
        <v/>
      </c>
    </row>
    <row r="16036">
      <c r="J16036">
        <f>IFERROR(__xludf.DUMMYFUNCTION("""COMPUTED_VALUE"""),"Kingtson, Ontario, Canada")</f>
        <v/>
      </c>
      <c r="K16036">
        <f>IFERROR(__xludf.DUMMYFUNCTION("""COMPUTED_VALUE"""),1472.72)</f>
        <v/>
      </c>
    </row>
    <row r="16037">
      <c r="J16037">
        <f>IFERROR(__xludf.DUMMYFUNCTION("""COMPUTED_VALUE"""),"Halifax, Nova Scotia; Port Hawkesbury, Nova Scotia; Antigonish, Nova Scotia")</f>
        <v/>
      </c>
      <c r="K16037">
        <f>IFERROR(__xludf.DUMMYFUNCTION("""COMPUTED_VALUE"""),1472.68)</f>
        <v/>
      </c>
    </row>
    <row r="16038">
      <c r="J16038">
        <f>IFERROR(__xludf.DUMMYFUNCTION("""COMPUTED_VALUE"""),"St. John's, Newfoundland and Labrador, Canada; Charlottetown, Prince Edward Island, Canada; Halifax, Nova Scotia, Canada; St. John's, Newfoundland and Labrador, Canada")</f>
        <v/>
      </c>
      <c r="K16038">
        <f>IFERROR(__xludf.DUMMYFUNCTION("""COMPUTED_VALUE"""),1472.56)</f>
        <v/>
      </c>
    </row>
    <row r="16039">
      <c r="J16039">
        <f>IFERROR(__xludf.DUMMYFUNCTION("""COMPUTED_VALUE"""),"Moose Jaw, Saskatchewan")</f>
        <v/>
      </c>
      <c r="K16039">
        <f>IFERROR(__xludf.DUMMYFUNCTION("""COMPUTED_VALUE"""),1472.35)</f>
        <v/>
      </c>
    </row>
    <row r="16040">
      <c r="J16040">
        <f>IFERROR(__xludf.DUMMYFUNCTION("""COMPUTED_VALUE"""),"Calgary, Alberta, Canada
Winnipeg, Manitoba, Canada
Toronto, Ontario, Canada")</f>
        <v/>
      </c>
      <c r="K16040">
        <f>IFERROR(__xludf.DUMMYFUNCTION("""COMPUTED_VALUE"""),1472.09)</f>
        <v/>
      </c>
    </row>
    <row r="16041">
      <c r="J16041">
        <f>IFERROR(__xludf.DUMMYFUNCTION("""COMPUTED_VALUE"""),"Saint-Adolphe-D'Howard, Quebec, Canada")</f>
        <v/>
      </c>
      <c r="K16041">
        <f>IFERROR(__xludf.DUMMYFUNCTION("""COMPUTED_VALUE"""),1472.06)</f>
        <v/>
      </c>
    </row>
    <row r="16042">
      <c r="J16042">
        <f>IFERROR(__xludf.DUMMYFUNCTION("""COMPUTED_VALUE"""),"Washington-National Apt, District of Columbia")</f>
        <v/>
      </c>
      <c r="K16042">
        <f>IFERROR(__xludf.DUMMYFUNCTION("""COMPUTED_VALUE"""),1472.05)</f>
        <v/>
      </c>
    </row>
    <row r="16043">
      <c r="J16043">
        <f>IFERROR(__xludf.DUMMYFUNCTION("""COMPUTED_VALUE"""),"Mersey River, Nova Scotia, Canada")</f>
        <v/>
      </c>
      <c r="K16043">
        <f>IFERROR(__xludf.DUMMYFUNCTION("""COMPUTED_VALUE"""),1471.98)</f>
        <v/>
      </c>
    </row>
    <row r="16044">
      <c r="J16044">
        <f>IFERROR(__xludf.DUMMYFUNCTION("""COMPUTED_VALUE"""),"Winnipeg;Regina")</f>
        <v/>
      </c>
      <c r="K16044">
        <f>IFERROR(__xludf.DUMMYFUNCTION("""COMPUTED_VALUE"""),1471.87)</f>
        <v/>
      </c>
    </row>
    <row r="16045">
      <c r="J16045">
        <f>IFERROR(__xludf.DUMMYFUNCTION("""COMPUTED_VALUE"""),"Nemaiah Valley, British Columbia, Canada")</f>
        <v/>
      </c>
      <c r="K16045">
        <f>IFERROR(__xludf.DUMMYFUNCTION("""COMPUTED_VALUE"""),1471.63)</f>
        <v/>
      </c>
    </row>
    <row r="16046">
      <c r="J16046">
        <f>IFERROR(__xludf.DUMMYFUNCTION("""COMPUTED_VALUE"""),"Kentville (Nova Scotia) Canada")</f>
        <v/>
      </c>
      <c r="K16046">
        <f>IFERROR(__xludf.DUMMYFUNCTION("""COMPUTED_VALUE"""),1471)</f>
        <v/>
      </c>
    </row>
    <row r="16047">
      <c r="J16047">
        <f>IFERROR(__xludf.DUMMYFUNCTION("""COMPUTED_VALUE"""),"Winnipeg, Manitoba, Canada; Ottawa, Ontario, Canada")</f>
        <v/>
      </c>
      <c r="K16047">
        <f>IFERROR(__xludf.DUMMYFUNCTION("""COMPUTED_VALUE"""),1470.97)</f>
        <v/>
      </c>
    </row>
    <row r="16048">
      <c r="J16048">
        <f>IFERROR(__xludf.DUMMYFUNCTION("""COMPUTED_VALUE"""),"Quebec &amp; Montreal, Quebec")</f>
        <v/>
      </c>
      <c r="K16048">
        <f>IFERROR(__xludf.DUMMYFUNCTION("""COMPUTED_VALUE"""),1470.75)</f>
        <v/>
      </c>
    </row>
    <row r="16049">
      <c r="J16049">
        <f>IFERROR(__xludf.DUMMYFUNCTION("""COMPUTED_VALUE"""),"Gaspé, Quebec, Canada / Matane, Quebec, Canada")</f>
        <v/>
      </c>
      <c r="K16049">
        <f>IFERROR(__xludf.DUMMYFUNCTION("""COMPUTED_VALUE"""),1468.94)</f>
        <v/>
      </c>
    </row>
    <row r="16050">
      <c r="J16050">
        <f>IFERROR(__xludf.DUMMYFUNCTION("""COMPUTED_VALUE"""),"Coquitlam, BC")</f>
        <v/>
      </c>
      <c r="K16050">
        <f>IFERROR(__xludf.DUMMYFUNCTION("""COMPUTED_VALUE"""),1468.87999999999)</f>
        <v/>
      </c>
    </row>
    <row r="16051">
      <c r="J16051">
        <f>IFERROR(__xludf.DUMMYFUNCTION("""COMPUTED_VALUE"""),"Vancouver, British Columbia, Whitehorse, Yukon")</f>
        <v/>
      </c>
      <c r="K16051">
        <f>IFERROR(__xludf.DUMMYFUNCTION("""COMPUTED_VALUE"""),1468.7)</f>
        <v/>
      </c>
    </row>
    <row r="16052">
      <c r="J16052">
        <f>IFERROR(__xludf.DUMMYFUNCTION("""COMPUTED_VALUE"""),"Abbotsford BC")</f>
        <v/>
      </c>
      <c r="K16052">
        <f>IFERROR(__xludf.DUMMYFUNCTION("""COMPUTED_VALUE"""),1468.61)</f>
        <v/>
      </c>
    </row>
    <row r="16053">
      <c r="J16053">
        <f>IFERROR(__xludf.DUMMYFUNCTION("""COMPUTED_VALUE"""),"Kitchener/Brampton/Toronto, Ontario, Canada")</f>
        <v/>
      </c>
      <c r="K16053">
        <f>IFERROR(__xludf.DUMMYFUNCTION("""COMPUTED_VALUE"""),1468.6)</f>
        <v/>
      </c>
    </row>
    <row r="16054">
      <c r="J16054">
        <f>IFERROR(__xludf.DUMMYFUNCTION("""COMPUTED_VALUE"""),"Laval")</f>
        <v/>
      </c>
      <c r="K16054">
        <f>IFERROR(__xludf.DUMMYFUNCTION("""COMPUTED_VALUE"""),1467.97)</f>
        <v/>
      </c>
    </row>
    <row r="16055">
      <c r="J16055">
        <f>IFERROR(__xludf.DUMMYFUNCTION("""COMPUTED_VALUE"""),"1) Ottawa and Kingston, ON; 2) and 3) Halifax, NS")</f>
        <v/>
      </c>
      <c r="K16055">
        <f>IFERROR(__xludf.DUMMYFUNCTION("""COMPUTED_VALUE"""),1466.77)</f>
        <v/>
      </c>
    </row>
    <row r="16056">
      <c r="J16056">
        <f>IFERROR(__xludf.DUMMYFUNCTION("""COMPUTED_VALUE"""),"Toronto, ON - Hamilton, ON - Sault Ste. Marie, ON")</f>
        <v/>
      </c>
      <c r="K16056">
        <f>IFERROR(__xludf.DUMMYFUNCTION("""COMPUTED_VALUE"""),1466.1)</f>
        <v/>
      </c>
    </row>
    <row r="16057">
      <c r="J16057">
        <f>IFERROR(__xludf.DUMMYFUNCTION("""COMPUTED_VALUE"""),"Birmingham, UK")</f>
        <v/>
      </c>
      <c r="K16057">
        <f>IFERROR(__xludf.DUMMYFUNCTION("""COMPUTED_VALUE"""),1465.51)</f>
        <v/>
      </c>
    </row>
    <row r="16058">
      <c r="J16058">
        <f>IFERROR(__xludf.DUMMYFUNCTION("""COMPUTED_VALUE"""),"Moncton, New Brunswick and Sydney, Nova Scotia")</f>
        <v/>
      </c>
      <c r="K16058">
        <f>IFERROR(__xludf.DUMMYFUNCTION("""COMPUTED_VALUE"""),1464.45)</f>
        <v/>
      </c>
    </row>
    <row r="16059">
      <c r="J16059">
        <f>IFERROR(__xludf.DUMMYFUNCTION("""COMPUTED_VALUE"""),"Thunder Bay ON, Windsor ON")</f>
        <v/>
      </c>
      <c r="K16059">
        <f>IFERROR(__xludf.DUMMYFUNCTION("""COMPUTED_VALUE"""),1464.08)</f>
        <v/>
      </c>
    </row>
    <row r="16060">
      <c r="J16060">
        <f>IFERROR(__xludf.DUMMYFUNCTION("""COMPUTED_VALUE"""),"Saint-Romuald, Quebec, Canada")</f>
        <v/>
      </c>
      <c r="K16060">
        <f>IFERROR(__xludf.DUMMYFUNCTION("""COMPUTED_VALUE"""),1463.6)</f>
        <v/>
      </c>
    </row>
    <row r="16061">
      <c r="J16061">
        <f>IFERROR(__xludf.DUMMYFUNCTION("""COMPUTED_VALUE"""),"Sept-Îles, QC")</f>
        <v/>
      </c>
      <c r="K16061">
        <f>IFERROR(__xludf.DUMMYFUNCTION("""COMPUTED_VALUE"""),1463.58)</f>
        <v/>
      </c>
    </row>
    <row r="16062">
      <c r="J16062">
        <f>IFERROR(__xludf.DUMMYFUNCTION("""COMPUTED_VALUE"""),"Sainte-Foy (Quebec) Canada")</f>
        <v/>
      </c>
      <c r="K16062">
        <f>IFERROR(__xludf.DUMMYFUNCTION("""COMPUTED_VALUE"""),1462.98)</f>
        <v/>
      </c>
    </row>
    <row r="16063">
      <c r="J16063">
        <f>IFERROR(__xludf.DUMMYFUNCTION("""COMPUTED_VALUE"""),"Kouchibouguac, New Brunswick, Canada")</f>
        <v/>
      </c>
      <c r="K16063">
        <f>IFERROR(__xludf.DUMMYFUNCTION("""COMPUTED_VALUE"""),1462.7)</f>
        <v/>
      </c>
    </row>
    <row r="16064">
      <c r="J16064">
        <f>IFERROR(__xludf.DUMMYFUNCTION("""COMPUTED_VALUE"""),"Oromocto (New Brunswick) Canada; Fredericton (New Brunswick), Canada")</f>
        <v/>
      </c>
      <c r="K16064">
        <f>IFERROR(__xludf.DUMMYFUNCTION("""COMPUTED_VALUE"""),1462.67)</f>
        <v/>
      </c>
    </row>
    <row r="16065">
      <c r="J16065">
        <f>IFERROR(__xludf.DUMMYFUNCTION("""COMPUTED_VALUE"""),"La Granja, Spain")</f>
        <v/>
      </c>
      <c r="K16065">
        <f>IFERROR(__xludf.DUMMYFUNCTION("""COMPUTED_VALUE"""),1462.66)</f>
        <v/>
      </c>
    </row>
    <row r="16066">
      <c r="J16066">
        <f>IFERROR(__xludf.DUMMYFUNCTION("""COMPUTED_VALUE"""),"Edmonton, Alberta;Maskwacis, Alberta;Calgary, Alberta")</f>
        <v/>
      </c>
      <c r="K16066">
        <f>IFERROR(__xludf.DUMMYFUNCTION("""COMPUTED_VALUE"""),1462.52)</f>
        <v/>
      </c>
    </row>
    <row r="16067">
      <c r="J16067">
        <f>IFERROR(__xludf.DUMMYFUNCTION("""COMPUTED_VALUE"""),"Edmonton, AB; Victoria, BC")</f>
        <v/>
      </c>
      <c r="K16067">
        <f>IFERROR(__xludf.DUMMYFUNCTION("""COMPUTED_VALUE"""),1462.5)</f>
        <v/>
      </c>
    </row>
    <row r="16068">
      <c r="J16068">
        <f>IFERROR(__xludf.DUMMYFUNCTION("""COMPUTED_VALUE"""),"Rouyn, Val d'Or, Mont-Tremblant, Mirabel, Rimouski, Rivière-du-Loup, Québec")</f>
        <v/>
      </c>
      <c r="K16068">
        <f>IFERROR(__xludf.DUMMYFUNCTION("""COMPUTED_VALUE"""),1462.25)</f>
        <v/>
      </c>
    </row>
    <row r="16069">
      <c r="J16069">
        <f>IFERROR(__xludf.DUMMYFUNCTION("""COMPUTED_VALUE"""),"Halifax and Dartmouth, Nova Scotia; Moncton, New Brunswick")</f>
        <v/>
      </c>
      <c r="K16069">
        <f>IFERROR(__xludf.DUMMYFUNCTION("""COMPUTED_VALUE"""),1462.19)</f>
        <v/>
      </c>
    </row>
    <row r="16070">
      <c r="J16070">
        <f>IFERROR(__xludf.DUMMYFUNCTION("""COMPUTED_VALUE"""),"St-John's, Newfoundland, Canada &amp; Halifax, Nova Scotia, Canada")</f>
        <v/>
      </c>
      <c r="K16070">
        <f>IFERROR(__xludf.DUMMYFUNCTION("""COMPUTED_VALUE"""),1462)</f>
        <v/>
      </c>
    </row>
    <row r="16071">
      <c r="J16071">
        <f>IFERROR(__xludf.DUMMYFUNCTION("""COMPUTED_VALUE"""),"Paquetville, New Brunswick, Canada; Eel Ground, New Brunswick, Canada; Bathurst, New Brunswick, Canada; Charlottetown, Prince Edward Island, Canada")</f>
        <v/>
      </c>
      <c r="K16071">
        <f>IFERROR(__xludf.DUMMYFUNCTION("""COMPUTED_VALUE"""),1461.95)</f>
        <v/>
      </c>
    </row>
    <row r="16072">
      <c r="J16072">
        <f>IFERROR(__xludf.DUMMYFUNCTION("""COMPUTED_VALUE"""),"Guelph, Ontario, Canada / Waterloo, Ontario, Canada")</f>
        <v/>
      </c>
      <c r="K16072">
        <f>IFERROR(__xludf.DUMMYFUNCTION("""COMPUTED_VALUE"""),1461.4)</f>
        <v/>
      </c>
    </row>
    <row r="16073">
      <c r="J16073">
        <f>IFERROR(__xludf.DUMMYFUNCTION("""COMPUTED_VALUE"""),"Ottawa, Ontario and Winnipeg, Manitoba")</f>
        <v/>
      </c>
      <c r="K16073">
        <f>IFERROR(__xludf.DUMMYFUNCTION("""COMPUTED_VALUE"""),1461.17)</f>
        <v/>
      </c>
    </row>
    <row r="16074">
      <c r="J16074">
        <f>IFERROR(__xludf.DUMMYFUNCTION("""COMPUTED_VALUE"""),"Sofia, Republic of Bulgaria")</f>
        <v/>
      </c>
      <c r="K16074">
        <f>IFERROR(__xludf.DUMMYFUNCTION("""COMPUTED_VALUE"""),1460.9)</f>
        <v/>
      </c>
    </row>
    <row r="16075">
      <c r="J16075">
        <f>IFERROR(__xludf.DUMMYFUNCTION("""COMPUTED_VALUE"""),"Ottawa-Halifax-Charlottetown-Halifax-Ottawa")</f>
        <v/>
      </c>
      <c r="K16075">
        <f>IFERROR(__xludf.DUMMYFUNCTION("""COMPUTED_VALUE"""),1459.93)</f>
        <v/>
      </c>
    </row>
    <row r="16076">
      <c r="J16076">
        <f>IFERROR(__xludf.DUMMYFUNCTION("""COMPUTED_VALUE"""),"Nanaimo, British Columbia, Canada; Banff, Alberta, Canada")</f>
        <v/>
      </c>
      <c r="K16076">
        <f>IFERROR(__xludf.DUMMYFUNCTION("""COMPUTED_VALUE"""),1459.62)</f>
        <v/>
      </c>
    </row>
    <row r="16077">
      <c r="J16077">
        <f>IFERROR(__xludf.DUMMYFUNCTION("""COMPUTED_VALUE"""),"Montreal, Quebec &amp; Winnipeg, Manitoba")</f>
        <v/>
      </c>
      <c r="K16077">
        <f>IFERROR(__xludf.DUMMYFUNCTION("""COMPUTED_VALUE"""),1459.39)</f>
        <v/>
      </c>
    </row>
    <row r="16078">
      <c r="J16078">
        <f>IFERROR(__xludf.DUMMYFUNCTION("""COMPUTED_VALUE"""),"Toronto, Ontario, Canada; Owen Sound, Ontario, Canada; Collingwood, Ontario, Canada")</f>
        <v/>
      </c>
      <c r="K16078">
        <f>IFERROR(__xludf.DUMMYFUNCTION("""COMPUTED_VALUE"""),1459.33)</f>
        <v/>
      </c>
    </row>
    <row r="16079">
      <c r="J16079">
        <f>IFERROR(__xludf.DUMMYFUNCTION("""COMPUTED_VALUE"""),"Downsview (Ontario) Canada; Burlington (Ontario) Canada")</f>
        <v/>
      </c>
      <c r="K16079">
        <f>IFERROR(__xludf.DUMMYFUNCTION("""COMPUTED_VALUE"""),1459.24)</f>
        <v/>
      </c>
    </row>
    <row r="16080">
      <c r="J16080">
        <f>IFERROR(__xludf.DUMMYFUNCTION("""COMPUTED_VALUE"""),"Toronto, ON - Montréal, QC")</f>
        <v/>
      </c>
      <c r="K16080">
        <f>IFERROR(__xludf.DUMMYFUNCTION("""COMPUTED_VALUE"""),1458.95)</f>
        <v/>
      </c>
    </row>
    <row r="16081">
      <c r="J16081">
        <f>IFERROR(__xludf.DUMMYFUNCTION("""COMPUTED_VALUE"""),"La Malbaie (Quebec) Canada")</f>
        <v/>
      </c>
      <c r="K16081">
        <f>IFERROR(__xludf.DUMMYFUNCTION("""COMPUTED_VALUE"""),1458.79)</f>
        <v/>
      </c>
    </row>
    <row r="16082">
      <c r="J16082">
        <f>IFERROR(__xludf.DUMMYFUNCTION("""COMPUTED_VALUE"""),"Calgary, Alberta, Canada/ Vancouver, British Columbia, Canada/ Winnipeg, Manitoba, Canada")</f>
        <v/>
      </c>
      <c r="K16082">
        <f>IFERROR(__xludf.DUMMYFUNCTION("""COMPUTED_VALUE"""),1458.53)</f>
        <v/>
      </c>
    </row>
    <row r="16083">
      <c r="J16083">
        <f>IFERROR(__xludf.DUMMYFUNCTION("""COMPUTED_VALUE"""),"Moncton, NB / Fredericton, NB")</f>
        <v/>
      </c>
      <c r="K16083">
        <f>IFERROR(__xludf.DUMMYFUNCTION("""COMPUTED_VALUE"""),1458.43)</f>
        <v/>
      </c>
    </row>
    <row r="16084">
      <c r="J16084">
        <f>IFERROR(__xludf.DUMMYFUNCTION("""COMPUTED_VALUE"""),"Kentville and Truro (Nova Scotia) Canada")</f>
        <v/>
      </c>
      <c r="K16084">
        <f>IFERROR(__xludf.DUMMYFUNCTION("""COMPUTED_VALUE"""),1458.37)</f>
        <v/>
      </c>
    </row>
    <row r="16085">
      <c r="J16085">
        <f>IFERROR(__xludf.DUMMYFUNCTION("""COMPUTED_VALUE"""),"Truro, NS Halifax, NS Moncton, NB")</f>
        <v/>
      </c>
      <c r="K16085">
        <f>IFERROR(__xludf.DUMMYFUNCTION("""COMPUTED_VALUE"""),1457.94)</f>
        <v/>
      </c>
    </row>
    <row r="16086">
      <c r="J16086">
        <f>IFERROR(__xludf.DUMMYFUNCTION("""COMPUTED_VALUE"""),"Deer Lake, Corner Brook, Newfoundland and Labrador, Canada")</f>
        <v/>
      </c>
      <c r="K16086">
        <f>IFERROR(__xludf.DUMMYFUNCTION("""COMPUTED_VALUE"""),1457.91)</f>
        <v/>
      </c>
    </row>
    <row r="16087">
      <c r="J16087">
        <f>IFERROR(__xludf.DUMMYFUNCTION("""COMPUTED_VALUE"""),"Ottawa-Kingston-Belleville-Toronto-Halifax-St.John's")</f>
        <v/>
      </c>
      <c r="K16087">
        <f>IFERROR(__xludf.DUMMYFUNCTION("""COMPUTED_VALUE"""),1457.86)</f>
        <v/>
      </c>
    </row>
    <row r="16088">
      <c r="J16088">
        <f>IFERROR(__xludf.DUMMYFUNCTION("""COMPUTED_VALUE"""),"Sofia (Bulgaria)")</f>
        <v/>
      </c>
      <c r="K16088">
        <f>IFERROR(__xludf.DUMMYFUNCTION("""COMPUTED_VALUE"""),1457.58)</f>
        <v/>
      </c>
    </row>
    <row r="16089">
      <c r="J16089">
        <f>IFERROR(__xludf.DUMMYFUNCTION("""COMPUTED_VALUE"""),"Ottawa - Toronto - Niagara-on-the-Lake - Toronto - Ottawa")</f>
        <v/>
      </c>
      <c r="K16089">
        <f>IFERROR(__xludf.DUMMYFUNCTION("""COMPUTED_VALUE"""),1457.08)</f>
        <v/>
      </c>
    </row>
    <row r="16090">
      <c r="J16090">
        <f>IFERROR(__xludf.DUMMYFUNCTION("""COMPUTED_VALUE"""),"St-John, NB")</f>
        <v/>
      </c>
      <c r="K16090">
        <f>IFERROR(__xludf.DUMMYFUNCTION("""COMPUTED_VALUE"""),1456.84)</f>
        <v/>
      </c>
    </row>
    <row r="16091">
      <c r="J16091">
        <f>IFERROR(__xludf.DUMMYFUNCTION("""COMPUTED_VALUE"""),"Edmundston, NB")</f>
        <v/>
      </c>
      <c r="K16091">
        <f>IFERROR(__xludf.DUMMYFUNCTION("""COMPUTED_VALUE"""),1456.77)</f>
        <v/>
      </c>
    </row>
    <row r="16092">
      <c r="J16092">
        <f>IFERROR(__xludf.DUMMYFUNCTION("""COMPUTED_VALUE"""),"Campbellton, Caraquet, Moncton, Sussex and Fredericton, New Brunswick")</f>
        <v/>
      </c>
      <c r="K16092">
        <f>IFERROR(__xludf.DUMMYFUNCTION("""COMPUTED_VALUE"""),1456.57)</f>
        <v/>
      </c>
    </row>
    <row r="16093">
      <c r="J16093">
        <f>IFERROR(__xludf.DUMMYFUNCTION("""COMPUTED_VALUE"""),"Kitchener, ON / Cambridge, ON")</f>
        <v/>
      </c>
      <c r="K16093">
        <f>IFERROR(__xludf.DUMMYFUNCTION("""COMPUTED_VALUE"""),1456.21)</f>
        <v/>
      </c>
    </row>
    <row r="16094">
      <c r="J16094">
        <f>IFERROR(__xludf.DUMMYFUNCTION("""COMPUTED_VALUE"""),"Vancouver,British-Colombia,Canada")</f>
        <v/>
      </c>
      <c r="K16094">
        <f>IFERROR(__xludf.DUMMYFUNCTION("""COMPUTED_VALUE"""),1455.96)</f>
        <v/>
      </c>
    </row>
    <row r="16095">
      <c r="J16095">
        <f>IFERROR(__xludf.DUMMYFUNCTION("""COMPUTED_VALUE"""),"Campbellton, New Brunswick")</f>
        <v/>
      </c>
      <c r="K16095">
        <f>IFERROR(__xludf.DUMMYFUNCTION("""COMPUTED_VALUE"""),1455.87999999999)</f>
        <v/>
      </c>
    </row>
    <row r="16096">
      <c r="J16096">
        <f>IFERROR(__xludf.DUMMYFUNCTION("""COMPUTED_VALUE"""),"London &amp; Toronto, ON")</f>
        <v/>
      </c>
      <c r="K16096">
        <f>IFERROR(__xludf.DUMMYFUNCTION("""COMPUTED_VALUE"""),1455.54)</f>
        <v/>
      </c>
    </row>
    <row r="16097">
      <c r="J16097">
        <f>IFERROR(__xludf.DUMMYFUNCTION("""COMPUTED_VALUE"""),"Britsh Columbia, Canada")</f>
        <v/>
      </c>
      <c r="K16097">
        <f>IFERROR(__xludf.DUMMYFUNCTION("""COMPUTED_VALUE"""),1455.46)</f>
        <v/>
      </c>
    </row>
    <row r="16098">
      <c r="J16098">
        <f>IFERROR(__xludf.DUMMYFUNCTION("""COMPUTED_VALUE"""),"Sorel, Quebec City and Saguenay, Quebec, Canada")</f>
        <v/>
      </c>
      <c r="K16098">
        <f>IFERROR(__xludf.DUMMYFUNCTION("""COMPUTED_VALUE"""),1455.3)</f>
        <v/>
      </c>
    </row>
    <row r="16099">
      <c r="J16099">
        <f>IFERROR(__xludf.DUMMYFUNCTION("""COMPUTED_VALUE"""),"Saint John, New Brunswick, Canada
Saint Stephen, New Brunswick, Canada
Saint Croix, New Brunswick, Canada
McAdam, New Brunswick, Canada")</f>
        <v/>
      </c>
      <c r="K16099">
        <f>IFERROR(__xludf.DUMMYFUNCTION("""COMPUTED_VALUE"""),1454.36)</f>
        <v/>
      </c>
    </row>
    <row r="16100">
      <c r="J16100">
        <f>IFERROR(__xludf.DUMMYFUNCTION("""COMPUTED_VALUE"""),"Mali/Senegal/ Vancouver")</f>
        <v/>
      </c>
      <c r="K16100">
        <f>IFERROR(__xludf.DUMMYFUNCTION("""COMPUTED_VALUE"""),1453.51)</f>
        <v/>
      </c>
    </row>
    <row r="16101">
      <c r="J16101">
        <f>IFERROR(__xludf.DUMMYFUNCTION("""COMPUTED_VALUE"""),"Gander, Canada")</f>
        <v/>
      </c>
      <c r="K16101">
        <f>IFERROR(__xludf.DUMMYFUNCTION("""COMPUTED_VALUE"""),1453.44)</f>
        <v/>
      </c>
    </row>
    <row r="16102">
      <c r="J16102">
        <f>IFERROR(__xludf.DUMMYFUNCTION("""COMPUTED_VALUE"""),"Lévis, Québec")</f>
        <v/>
      </c>
      <c r="K16102">
        <f>IFERROR(__xludf.DUMMYFUNCTION("""COMPUTED_VALUE"""),1453.19)</f>
        <v/>
      </c>
    </row>
    <row r="16103">
      <c r="J16103">
        <f>IFERROR(__xludf.DUMMYFUNCTION("""COMPUTED_VALUE"""),"Carlgary, AB")</f>
        <v/>
      </c>
      <c r="K16103">
        <f>IFERROR(__xludf.DUMMYFUNCTION("""COMPUTED_VALUE"""),1452.8)</f>
        <v/>
      </c>
    </row>
    <row r="16104">
      <c r="J16104">
        <f>IFERROR(__xludf.DUMMYFUNCTION("""COMPUTED_VALUE"""),"in Nice")</f>
        <v/>
      </c>
      <c r="K16104">
        <f>IFERROR(__xludf.DUMMYFUNCTION("""COMPUTED_VALUE"""),1452.75)</f>
        <v/>
      </c>
    </row>
    <row r="16105">
      <c r="J16105">
        <f>IFERROR(__xludf.DUMMYFUNCTION("""COMPUTED_VALUE"""),"Toronto, ON / Cambridge, ON")</f>
        <v/>
      </c>
      <c r="K16105">
        <f>IFERROR(__xludf.DUMMYFUNCTION("""COMPUTED_VALUE"""),1452.71)</f>
        <v/>
      </c>
    </row>
    <row r="16106">
      <c r="J16106">
        <f>IFERROR(__xludf.DUMMYFUNCTION("""COMPUTED_VALUE"""),"Trois-Rivières, Quebec, Canada; Shawinigan, Quebec, Canada; Montréal, Quebec, Canada")</f>
        <v/>
      </c>
      <c r="K16106">
        <f>IFERROR(__xludf.DUMMYFUNCTION("""COMPUTED_VALUE"""),1452.56)</f>
        <v/>
      </c>
    </row>
    <row r="16107">
      <c r="J16107">
        <f>IFERROR(__xludf.DUMMYFUNCTION("""COMPUTED_VALUE"""),"Abitibi-Temiscaming, Quebec, Canada")</f>
        <v/>
      </c>
      <c r="K16107">
        <f>IFERROR(__xludf.DUMMYFUNCTION("""COMPUTED_VALUE"""),1452.34)</f>
        <v/>
      </c>
    </row>
    <row r="16108">
      <c r="J16108">
        <f>IFERROR(__xludf.DUMMYFUNCTION("""COMPUTED_VALUE"""),"St. Catharines, Ontario, Canada; Hamilton, Ontario, Canada; Kitchener, Ontario, Canada")</f>
        <v/>
      </c>
      <c r="K16108">
        <f>IFERROR(__xludf.DUMMYFUNCTION("""COMPUTED_VALUE"""),1452.2)</f>
        <v/>
      </c>
    </row>
    <row r="16109">
      <c r="J16109">
        <f>IFERROR(__xludf.DUMMYFUNCTION("""COMPUTED_VALUE"""),"To attend G20")</f>
        <v/>
      </c>
      <c r="K16109">
        <f>IFERROR(__xludf.DUMMYFUNCTION("""COMPUTED_VALUE"""),1452.2)</f>
        <v/>
      </c>
    </row>
    <row r="16110">
      <c r="J16110">
        <f>IFERROR(__xludf.DUMMYFUNCTION("""COMPUTED_VALUE"""),"Longueuil, QC")</f>
        <v/>
      </c>
      <c r="K16110">
        <f>IFERROR(__xludf.DUMMYFUNCTION("""COMPUTED_VALUE"""),1452.02)</f>
        <v/>
      </c>
    </row>
    <row r="16111">
      <c r="J16111">
        <f>IFERROR(__xludf.DUMMYFUNCTION("""COMPUTED_VALUE"""),"Matane, Quebec; Bathurst, Miramichi, Moncton, New Brunswick, Canada")</f>
        <v/>
      </c>
      <c r="K16111">
        <f>IFERROR(__xludf.DUMMYFUNCTION("""COMPUTED_VALUE"""),1451.58)</f>
        <v/>
      </c>
    </row>
    <row r="16112">
      <c r="J16112">
        <f>IFERROR(__xludf.DUMMYFUNCTION("""COMPUTED_VALUE"""),"Halifax, NS - St. John's, NL &amp; Labrador")</f>
        <v/>
      </c>
      <c r="K16112">
        <f>IFERROR(__xludf.DUMMYFUNCTION("""COMPUTED_VALUE"""),1451.47)</f>
        <v/>
      </c>
    </row>
    <row r="16113">
      <c r="J16113">
        <f>IFERROR(__xludf.DUMMYFUNCTION("""COMPUTED_VALUE"""),"Toronto &amp; Fredericton")</f>
        <v/>
      </c>
      <c r="K16113">
        <f>IFERROR(__xludf.DUMMYFUNCTION("""COMPUTED_VALUE"""),1450.18)</f>
        <v/>
      </c>
    </row>
    <row r="16114">
      <c r="J16114">
        <f>IFERROR(__xludf.DUMMYFUNCTION("""COMPUTED_VALUE"""),"Chicoutimi, Quebec, Canada / Edmundston, New Brunswick, Canada")</f>
        <v/>
      </c>
      <c r="K16114">
        <f>IFERROR(__xludf.DUMMYFUNCTION("""COMPUTED_VALUE"""),1449.87)</f>
        <v/>
      </c>
    </row>
    <row r="16115">
      <c r="J16115">
        <f>IFERROR(__xludf.DUMMYFUNCTION("""COMPUTED_VALUE"""),"Sudbury, Ontario, Canada - Kipawa, Quebec, Canada - Notre-Dame-Du-Lac, Quebec, Canada - Rouyn Noranda, Quebec, Canada")</f>
        <v/>
      </c>
      <c r="K16115">
        <f>IFERROR(__xludf.DUMMYFUNCTION("""COMPUTED_VALUE"""),1449.86)</f>
        <v/>
      </c>
    </row>
    <row r="16116">
      <c r="J16116">
        <f>IFERROR(__xludf.DUMMYFUNCTION("""COMPUTED_VALUE"""),"Sault Ste. Marie, Ontario, Canada; Thunder Bay, Ontario, Canada")</f>
        <v/>
      </c>
      <c r="K16116">
        <f>IFERROR(__xludf.DUMMYFUNCTION("""COMPUTED_VALUE"""),1449.79)</f>
        <v/>
      </c>
    </row>
    <row r="16117">
      <c r="J16117">
        <f>IFERROR(__xludf.DUMMYFUNCTION("""COMPUTED_VALUE"""),"Renous, New Brunswick and Truro, Nova Scotia, Canada")</f>
        <v/>
      </c>
      <c r="K16117">
        <f>IFERROR(__xludf.DUMMYFUNCTION("""COMPUTED_VALUE"""),1449.61)</f>
        <v/>
      </c>
    </row>
    <row r="16118">
      <c r="J16118">
        <f>IFERROR(__xludf.DUMMYFUNCTION("""COMPUTED_VALUE"""),"Neskantaga, Thunder Bay, Canada")</f>
        <v/>
      </c>
      <c r="K16118">
        <f>IFERROR(__xludf.DUMMYFUNCTION("""COMPUTED_VALUE"""),1449.54)</f>
        <v/>
      </c>
    </row>
    <row r="16119">
      <c r="J16119">
        <f>IFERROR(__xludf.DUMMYFUNCTION("""COMPUTED_VALUE"""),"Toronto &amp; Borden")</f>
        <v/>
      </c>
      <c r="K16119">
        <f>IFERROR(__xludf.DUMMYFUNCTION("""COMPUTED_VALUE"""),1449.47)</f>
        <v/>
      </c>
    </row>
    <row r="16120">
      <c r="J16120">
        <f>IFERROR(__xludf.DUMMYFUNCTION("""COMPUTED_VALUE"""),"Sao Paolo (Brazil), Recife (Brazil)")</f>
        <v/>
      </c>
      <c r="K16120">
        <f>IFERROR(__xludf.DUMMYFUNCTION("""COMPUTED_VALUE"""),1449.03)</f>
        <v/>
      </c>
    </row>
    <row r="16121">
      <c r="J16121">
        <f>IFERROR(__xludf.DUMMYFUNCTION("""COMPUTED_VALUE"""),"Winnipeg, MB and Montréal, QC")</f>
        <v/>
      </c>
      <c r="K16121">
        <f>IFERROR(__xludf.DUMMYFUNCTION("""COMPUTED_VALUE"""),1448.47)</f>
        <v/>
      </c>
    </row>
    <row r="16122">
      <c r="J16122">
        <f>IFERROR(__xludf.DUMMYFUNCTION("""COMPUTED_VALUE"""),"West Virginia, United States")</f>
        <v/>
      </c>
      <c r="K16122">
        <f>IFERROR(__xludf.DUMMYFUNCTION("""COMPUTED_VALUE"""),1448.42)</f>
        <v/>
      </c>
    </row>
    <row r="16123">
      <c r="J16123">
        <f>IFERROR(__xludf.DUMMYFUNCTION("""COMPUTED_VALUE"""),"Moncton, Shediac, Miramichi, New Brunswick, Canada")</f>
        <v/>
      </c>
      <c r="K16123">
        <f>IFERROR(__xludf.DUMMYFUNCTION("""COMPUTED_VALUE"""),1448.18)</f>
        <v/>
      </c>
    </row>
    <row r="16124">
      <c r="J16124">
        <f>IFERROR(__xludf.DUMMYFUNCTION("""COMPUTED_VALUE"""),"Guelph and Vineland (Ontario) Canada")</f>
        <v/>
      </c>
      <c r="K16124">
        <f>IFERROR(__xludf.DUMMYFUNCTION("""COMPUTED_VALUE"""),1448.06)</f>
        <v/>
      </c>
    </row>
    <row r="16125">
      <c r="J16125">
        <f>IFERROR(__xludf.DUMMYFUNCTION("""COMPUTED_VALUE"""),"Sea Island,GA")</f>
        <v/>
      </c>
      <c r="K16125">
        <f>IFERROR(__xludf.DUMMYFUNCTION("""COMPUTED_VALUE"""),1447.51)</f>
        <v/>
      </c>
    </row>
    <row r="16126">
      <c r="J16126">
        <f>IFERROR(__xludf.DUMMYFUNCTION("""COMPUTED_VALUE"""),"Halifax, Nova Scotia, Canada / Fredericton, New Brunswick, Canada / St. John's, Newfoundland, Canada")</f>
        <v/>
      </c>
      <c r="K16126">
        <f>IFERROR(__xludf.DUMMYFUNCTION("""COMPUTED_VALUE"""),1446.28)</f>
        <v/>
      </c>
    </row>
    <row r="16127">
      <c r="J16127">
        <f>IFERROR(__xludf.DUMMYFUNCTION("""COMPUTED_VALUE"""),"Halifax and Shelbourne, Nova Scotia and Charlottetown, Prince Edward Island")</f>
        <v/>
      </c>
      <c r="K16127">
        <f>IFERROR(__xludf.DUMMYFUNCTION("""COMPUTED_VALUE"""),1446.16)</f>
        <v/>
      </c>
    </row>
    <row r="16128">
      <c r="J16128">
        <f>IFERROR(__xludf.DUMMYFUNCTION("""COMPUTED_VALUE"""),"Grosse-Ile, Quebec, Canada")</f>
        <v/>
      </c>
      <c r="K16128">
        <f>IFERROR(__xludf.DUMMYFUNCTION("""COMPUTED_VALUE"""),1446.13)</f>
        <v/>
      </c>
    </row>
    <row r="16129">
      <c r="J16129">
        <f>IFERROR(__xludf.DUMMYFUNCTION("""COMPUTED_VALUE"""),"Cary, North Carolina")</f>
        <v/>
      </c>
      <c r="K16129">
        <f>IFERROR(__xludf.DUMMYFUNCTION("""COMPUTED_VALUE"""),1446)</f>
        <v/>
      </c>
    </row>
    <row r="16130">
      <c r="J16130">
        <f>IFERROR(__xludf.DUMMYFUNCTION("""COMPUTED_VALUE"""),"Williamsburg, Virginia")</f>
        <v/>
      </c>
      <c r="K16130">
        <f>IFERROR(__xludf.DUMMYFUNCTION("""COMPUTED_VALUE"""),1445.86)</f>
        <v/>
      </c>
    </row>
    <row r="16131">
      <c r="J16131">
        <f>IFERROR(__xludf.DUMMYFUNCTION("""COMPUTED_VALUE"""),"St. John’s, NF")</f>
        <v/>
      </c>
      <c r="K16131">
        <f>IFERROR(__xludf.DUMMYFUNCTION("""COMPUTED_VALUE"""),1445.68)</f>
        <v/>
      </c>
    </row>
    <row r="16132">
      <c r="J16132">
        <f>IFERROR(__xludf.DUMMYFUNCTION("""COMPUTED_VALUE"""),"New Delhi, IN / Agra, IN /  Ahmedabad, IN / Mumbai, IN / Amritsar, IN")</f>
        <v/>
      </c>
      <c r="K16132">
        <f>IFERROR(__xludf.DUMMYFUNCTION("""COMPUTED_VALUE"""),1445.4)</f>
        <v/>
      </c>
    </row>
    <row r="16133">
      <c r="J16133">
        <f>IFERROR(__xludf.DUMMYFUNCTION("""COMPUTED_VALUE"""),"Calgary, Alberta;
Edmonton, Alberta")</f>
        <v/>
      </c>
      <c r="K16133">
        <f>IFERROR(__xludf.DUMMYFUNCTION("""COMPUTED_VALUE"""),1445.27)</f>
        <v/>
      </c>
    </row>
    <row r="16134">
      <c r="J16134">
        <f>IFERROR(__xludf.DUMMYFUNCTION("""COMPUTED_VALUE"""),"Southeastern Anatolia (partly organized by local government)")</f>
        <v/>
      </c>
      <c r="K16134">
        <f>IFERROR(__xludf.DUMMYFUNCTION("""COMPUTED_VALUE"""),1444.9)</f>
        <v/>
      </c>
    </row>
    <row r="16135">
      <c r="J16135">
        <f>IFERROR(__xludf.DUMMYFUNCTION("""COMPUTED_VALUE"""),"Trenton , (Ontario), London, (United Kingdom)")</f>
        <v/>
      </c>
      <c r="K16135">
        <f>IFERROR(__xludf.DUMMYFUNCTION("""COMPUTED_VALUE"""),1444.02)</f>
        <v/>
      </c>
    </row>
    <row r="16136">
      <c r="J16136">
        <f>IFERROR(__xludf.DUMMYFUNCTION("""COMPUTED_VALUE"""),"Vancouver, British Columbia, Canada; Abbotsford, British Columbia, Canada")</f>
        <v/>
      </c>
      <c r="K16136">
        <f>IFERROR(__xludf.DUMMYFUNCTION("""COMPUTED_VALUE"""),1443.74)</f>
        <v/>
      </c>
    </row>
    <row r="16137">
      <c r="J16137">
        <f>IFERROR(__xludf.DUMMYFUNCTION("""COMPUTED_VALUE"""),"Muskoka")</f>
        <v/>
      </c>
      <c r="K16137">
        <f>IFERROR(__xludf.DUMMYFUNCTION("""COMPUTED_VALUE"""),1443.22)</f>
        <v/>
      </c>
    </row>
    <row r="16138">
      <c r="J16138">
        <f>IFERROR(__xludf.DUMMYFUNCTION("""COMPUTED_VALUE"""),"Richmond, BC")</f>
        <v/>
      </c>
      <c r="K16138">
        <f>IFERROR(__xludf.DUMMYFUNCTION("""COMPUTED_VALUE"""),1443.12)</f>
        <v/>
      </c>
    </row>
    <row r="16139">
      <c r="J16139">
        <f>IFERROR(__xludf.DUMMYFUNCTION("""COMPUTED_VALUE"""),"Moncton, (N.B.), Fredericton, (N.B.) and St. John's (N.L.)")</f>
        <v/>
      </c>
      <c r="K16139">
        <f>IFERROR(__xludf.DUMMYFUNCTION("""COMPUTED_VALUE"""),1442.97)</f>
        <v/>
      </c>
    </row>
    <row r="16140">
      <c r="J16140">
        <f>IFERROR(__xludf.DUMMYFUNCTION("""COMPUTED_VALUE"""),"Quebec City, Quebec and Banff, British-Columbia")</f>
        <v/>
      </c>
      <c r="K16140">
        <f>IFERROR(__xludf.DUMMYFUNCTION("""COMPUTED_VALUE"""),1442.89)</f>
        <v/>
      </c>
    </row>
    <row r="16141">
      <c r="J16141">
        <f>IFERROR(__xludf.DUMMYFUNCTION("""COMPUTED_VALUE"""),"Québec, Quebec
Canada")</f>
        <v/>
      </c>
      <c r="K16141">
        <f>IFERROR(__xludf.DUMMYFUNCTION("""COMPUTED_VALUE"""),1442.76)</f>
        <v/>
      </c>
    </row>
    <row r="16142">
      <c r="J16142">
        <f>IFERROR(__xludf.DUMMYFUNCTION("""COMPUTED_VALUE"""),"Edmonton. AB")</f>
        <v/>
      </c>
      <c r="K16142">
        <f>IFERROR(__xludf.DUMMYFUNCTION("""COMPUTED_VALUE"""),1442.6)</f>
        <v/>
      </c>
    </row>
    <row r="16143">
      <c r="J16143">
        <f>IFERROR(__xludf.DUMMYFUNCTION("""COMPUTED_VALUE"""),"Nashville, Tennessee, United-States")</f>
        <v/>
      </c>
      <c r="K16143">
        <f>IFERROR(__xludf.DUMMYFUNCTION("""COMPUTED_VALUE"""),1442.39)</f>
        <v/>
      </c>
    </row>
    <row r="16144">
      <c r="J16144">
        <f>IFERROR(__xludf.DUMMYFUNCTION("""COMPUTED_VALUE"""),"D.C. McLean, Virginia")</f>
        <v/>
      </c>
      <c r="K16144">
        <f>IFERROR(__xludf.DUMMYFUNCTION("""COMPUTED_VALUE"""),1441.82)</f>
        <v/>
      </c>
    </row>
    <row r="16145">
      <c r="J16145">
        <f>IFERROR(__xludf.DUMMYFUNCTION("""COMPUTED_VALUE"""),"Montreal &amp; Toronto, Canada")</f>
        <v/>
      </c>
      <c r="K16145">
        <f>IFERROR(__xludf.DUMMYFUNCTION("""COMPUTED_VALUE"""),1441.78)</f>
        <v/>
      </c>
    </row>
    <row r="16146">
      <c r="J16146">
        <f>IFERROR(__xludf.DUMMYFUNCTION("""COMPUTED_VALUE"""),"Quebec,  QC")</f>
        <v/>
      </c>
      <c r="K16146">
        <f>IFERROR(__xludf.DUMMYFUNCTION("""COMPUTED_VALUE"""),1441.2)</f>
        <v/>
      </c>
    </row>
    <row r="16147">
      <c r="J16147">
        <f>IFERROR(__xludf.DUMMYFUNCTION("""COMPUTED_VALUE"""),"Bathurst, New Brunswick, Canada; Charlottetown, Prince Edward Island, Canada")</f>
        <v/>
      </c>
      <c r="K16147">
        <f>IFERROR(__xludf.DUMMYFUNCTION("""COMPUTED_VALUE"""),1441.14)</f>
        <v/>
      </c>
    </row>
    <row r="16148">
      <c r="J16148">
        <f>IFERROR(__xludf.DUMMYFUNCTION("""COMPUTED_VALUE"""),"Winnipeg, Manitoba, Canada; Sault Ste. Marie, Ontario, Canada")</f>
        <v/>
      </c>
      <c r="K16148">
        <f>IFERROR(__xludf.DUMMYFUNCTION("""COMPUTED_VALUE"""),1440.88)</f>
        <v/>
      </c>
    </row>
    <row r="16149">
      <c r="J16149">
        <f>IFERROR(__xludf.DUMMYFUNCTION("""COMPUTED_VALUE"""),"Winnipeg (MB) and Trenton (ON)")</f>
        <v/>
      </c>
      <c r="K16149">
        <f>IFERROR(__xludf.DUMMYFUNCTION("""COMPUTED_VALUE"""),1440.66)</f>
        <v/>
      </c>
    </row>
    <row r="16150">
      <c r="J16150">
        <f>IFERROR(__xludf.DUMMYFUNCTION("""COMPUTED_VALUE"""),"Timmins, Ontario, Canada; Sudbury, Ontario, Canada; North Bay, Ontario, Canada")</f>
        <v/>
      </c>
      <c r="K16150">
        <f>IFERROR(__xludf.DUMMYFUNCTION("""COMPUTED_VALUE"""),1440.35)</f>
        <v/>
      </c>
    </row>
    <row r="16151">
      <c r="J16151">
        <f>IFERROR(__xludf.DUMMYFUNCTION("""COMPUTED_VALUE"""),"Virginia")</f>
        <v/>
      </c>
      <c r="K16151">
        <f>IFERROR(__xludf.DUMMYFUNCTION("""COMPUTED_VALUE"""),1439.9)</f>
        <v/>
      </c>
    </row>
    <row r="16152">
      <c r="J16152">
        <f>IFERROR(__xludf.DUMMYFUNCTION("""COMPUTED_VALUE"""),"Québec et Ottawa")</f>
        <v/>
      </c>
      <c r="K16152">
        <f>IFERROR(__xludf.DUMMYFUNCTION("""COMPUTED_VALUE"""),1439.75)</f>
        <v/>
      </c>
    </row>
    <row r="16153">
      <c r="J16153">
        <f>IFERROR(__xludf.DUMMYFUNCTION("""COMPUTED_VALUE"""),"Edmonton &amp; Winnipeg, Manitoba")</f>
        <v/>
      </c>
      <c r="K16153">
        <f>IFERROR(__xludf.DUMMYFUNCTION("""COMPUTED_VALUE"""),1439.24)</f>
        <v/>
      </c>
    </row>
    <row r="16154">
      <c r="J16154">
        <f>IFERROR(__xludf.DUMMYFUNCTION("""COMPUTED_VALUE"""),"Fredericton (New Brunswick) Canada
Moncton (New Brunswick) Canada")</f>
        <v/>
      </c>
      <c r="K16154">
        <f>IFERROR(__xludf.DUMMYFUNCTION("""COMPUTED_VALUE"""),1438.89)</f>
        <v/>
      </c>
    </row>
    <row r="16155">
      <c r="J16155">
        <f>IFERROR(__xludf.DUMMYFUNCTION("""COMPUTED_VALUE"""),"Milton, Ontario, Canada; Mississauga, Ontario, Canada")</f>
        <v/>
      </c>
      <c r="K16155">
        <f>IFERROR(__xludf.DUMMYFUNCTION("""COMPUTED_VALUE"""),1438.89)</f>
        <v/>
      </c>
    </row>
    <row r="16156">
      <c r="J16156">
        <f>IFERROR(__xludf.DUMMYFUNCTION("""COMPUTED_VALUE"""),"Chatham, Ontario, Canada; London, Ontario, Canada; Kitchener, Ontario, Canada; Milton, Ontario, Canada; Scarborough, Ontario, Canada; Belleville, Ontario, Canada; Napanee, Ontario, Canada; Kingston, Ontario, Canada")</f>
        <v/>
      </c>
      <c r="K16156">
        <f>IFERROR(__xludf.DUMMYFUNCTION("""COMPUTED_VALUE"""),1438.37)</f>
        <v/>
      </c>
    </row>
    <row r="16157">
      <c r="J16157">
        <f>IFERROR(__xludf.DUMMYFUNCTION("""COMPUTED_VALUE"""),"Belleville, Ontario, Canada; Trenton, Ontario, Canada; Kitchener, Ontario, Canada; Waterloo, Ontario, Canada; Toronto, Ontario, Canada")</f>
        <v/>
      </c>
      <c r="K16157">
        <f>IFERROR(__xludf.DUMMYFUNCTION("""COMPUTED_VALUE"""),1438.32)</f>
        <v/>
      </c>
    </row>
    <row r="16158">
      <c r="J16158">
        <f>IFERROR(__xludf.DUMMYFUNCTION("""COMPUTED_VALUE"""),"Québec - Saint John - Fredericton - Gagetown - Moncton - Québec")</f>
        <v/>
      </c>
      <c r="K16158">
        <f>IFERROR(__xludf.DUMMYFUNCTION("""COMPUTED_VALUE"""),1438.26)</f>
        <v/>
      </c>
    </row>
    <row r="16159">
      <c r="J16159">
        <f>IFERROR(__xludf.DUMMYFUNCTION("""COMPUTED_VALUE"""),"Brandon, Manitoba, Canada / Edmonton, Alberta, Canada")</f>
        <v/>
      </c>
      <c r="K16159">
        <f>IFERROR(__xludf.DUMMYFUNCTION("""COMPUTED_VALUE"""),1438.13)</f>
        <v/>
      </c>
    </row>
    <row r="16160">
      <c r="J16160">
        <f>IFERROR(__xludf.DUMMYFUNCTION("""COMPUTED_VALUE"""),"Niagara-on-the-Lake, Ontario, Canada; St. Catharines, Ontario, Canada")</f>
        <v/>
      </c>
      <c r="K16160">
        <f>IFERROR(__xludf.DUMMYFUNCTION("""COMPUTED_VALUE"""),1437.87)</f>
        <v/>
      </c>
    </row>
    <row r="16161">
      <c r="J16161">
        <f>IFERROR(__xludf.DUMMYFUNCTION("""COMPUTED_VALUE"""),"Saskatoon, Sakatchewan")</f>
        <v/>
      </c>
      <c r="K16161">
        <f>IFERROR(__xludf.DUMMYFUNCTION("""COMPUTED_VALUE"""),1437.64)</f>
        <v/>
      </c>
    </row>
    <row r="16162">
      <c r="J16162">
        <f>IFERROR(__xludf.DUMMYFUNCTION("""COMPUTED_VALUE"""),"St. John's, Gander, Newfoundland and Labrador")</f>
        <v/>
      </c>
      <c r="K16162">
        <f>IFERROR(__xludf.DUMMYFUNCTION("""COMPUTED_VALUE"""),1437.37)</f>
        <v/>
      </c>
    </row>
    <row r="16163">
      <c r="J16163">
        <f>IFERROR(__xludf.DUMMYFUNCTION("""COMPUTED_VALUE"""),"Moncton, New Brunswick / Saint John, New Brunswick / Miramichi, New Brunswick")</f>
        <v/>
      </c>
      <c r="K16163">
        <f>IFERROR(__xludf.DUMMYFUNCTION("""COMPUTED_VALUE"""),1437.33)</f>
        <v/>
      </c>
    </row>
    <row r="16164">
      <c r="J16164">
        <f>IFERROR(__xludf.DUMMYFUNCTION("""COMPUTED_VALUE"""),"Calgary, AB; Fort McMurray, AB")</f>
        <v/>
      </c>
      <c r="K16164">
        <f>IFERROR(__xludf.DUMMYFUNCTION("""COMPUTED_VALUE"""),1437.29)</f>
        <v/>
      </c>
    </row>
    <row r="16165">
      <c r="J16165">
        <f>IFERROR(__xludf.DUMMYFUNCTION("""COMPUTED_VALUE"""),"Washington, D.C., United States of Americas")</f>
        <v/>
      </c>
      <c r="K16165">
        <f>IFERROR(__xludf.DUMMYFUNCTION("""COMPUTED_VALUE"""),1436.88)</f>
        <v/>
      </c>
    </row>
    <row r="16166">
      <c r="J16166">
        <f>IFERROR(__xludf.DUMMYFUNCTION("""COMPUTED_VALUE"""),"Québec,  Québec, Canada")</f>
        <v/>
      </c>
      <c r="K16166">
        <f>IFERROR(__xludf.DUMMYFUNCTION("""COMPUTED_VALUE"""),1436.86)</f>
        <v/>
      </c>
    </row>
    <row r="16167">
      <c r="J16167">
        <f>IFERROR(__xludf.DUMMYFUNCTION("""COMPUTED_VALUE"""),"Vancouver, Winnipeg, Halifax, St-Johns, Charlottetown")</f>
        <v/>
      </c>
      <c r="K16167">
        <f>IFERROR(__xludf.DUMMYFUNCTION("""COMPUTED_VALUE"""),1435.77)</f>
        <v/>
      </c>
    </row>
    <row r="16168">
      <c r="J16168">
        <f>IFERROR(__xludf.DUMMYFUNCTION("""COMPUTED_VALUE"""),"Pickering, Ontario")</f>
        <v/>
      </c>
      <c r="K16168">
        <f>IFERROR(__xludf.DUMMYFUNCTION("""COMPUTED_VALUE"""),1435.32)</f>
        <v/>
      </c>
    </row>
    <row r="16169">
      <c r="J16169">
        <f>IFERROR(__xludf.DUMMYFUNCTION("""COMPUTED_VALUE"""),"Victoria (British Columbia) Canada
Comox (British Columbia) Canada")</f>
        <v/>
      </c>
      <c r="K16169">
        <f>IFERROR(__xludf.DUMMYFUNCTION("""COMPUTED_VALUE"""),1435.27)</f>
        <v/>
      </c>
    </row>
    <row r="16170">
      <c r="J16170">
        <f>IFERROR(__xludf.DUMMYFUNCTION("""COMPUTED_VALUE"""),"Vancouver,  BC")</f>
        <v/>
      </c>
      <c r="K16170">
        <f>IFERROR(__xludf.DUMMYFUNCTION("""COMPUTED_VALUE"""),1435.18)</f>
        <v/>
      </c>
    </row>
    <row r="16171">
      <c r="J16171">
        <f>IFERROR(__xludf.DUMMYFUNCTION("""COMPUTED_VALUE"""),"Davos Switzerland")</f>
        <v/>
      </c>
      <c r="K16171">
        <f>IFERROR(__xludf.DUMMYFUNCTION("""COMPUTED_VALUE"""),1435.11)</f>
        <v/>
      </c>
    </row>
    <row r="16172">
      <c r="J16172">
        <f>IFERROR(__xludf.DUMMYFUNCTION("""COMPUTED_VALUE"""),"Ottawa-Halifax-Charlottetown-St.Johns")</f>
        <v/>
      </c>
      <c r="K16172">
        <f>IFERROR(__xludf.DUMMYFUNCTION("""COMPUTED_VALUE"""),1435.03)</f>
        <v/>
      </c>
    </row>
    <row r="16173">
      <c r="J16173">
        <f>IFERROR(__xludf.DUMMYFUNCTION("""COMPUTED_VALUE"""),"The Pas, MB")</f>
        <v/>
      </c>
      <c r="K16173">
        <f>IFERROR(__xludf.DUMMYFUNCTION("""COMPUTED_VALUE"""),1434.78)</f>
        <v/>
      </c>
    </row>
    <row r="16174">
      <c r="J16174">
        <f>IFERROR(__xludf.DUMMYFUNCTION("""COMPUTED_VALUE"""),"Edmonton, Alberta; Wabamun, Alberta; Olds, Alberta; Calgary, Alberta")</f>
        <v/>
      </c>
      <c r="K16174">
        <f>IFERROR(__xludf.DUMMYFUNCTION("""COMPUTED_VALUE"""),1434.2)</f>
        <v/>
      </c>
    </row>
    <row r="16175">
      <c r="J16175">
        <f>IFERROR(__xludf.DUMMYFUNCTION("""COMPUTED_VALUE"""),"Halifax - Charlottetown - St.John's - Little Shemogue")</f>
        <v/>
      </c>
      <c r="K16175">
        <f>IFERROR(__xludf.DUMMYFUNCTION("""COMPUTED_VALUE"""),1433.92)</f>
        <v/>
      </c>
    </row>
    <row r="16176">
      <c r="J16176">
        <f>IFERROR(__xludf.DUMMYFUNCTION("""COMPUTED_VALUE"""),"Stratford, ON / Toronto, ON")</f>
        <v/>
      </c>
      <c r="K16176">
        <f>IFERROR(__xludf.DUMMYFUNCTION("""COMPUTED_VALUE"""),1432.41)</f>
        <v/>
      </c>
    </row>
    <row r="16177">
      <c r="J16177">
        <f>IFERROR(__xludf.DUMMYFUNCTION("""COMPUTED_VALUE"""),"Montreal, QC - Frederiction, NB")</f>
        <v/>
      </c>
      <c r="K16177">
        <f>IFERROR(__xludf.DUMMYFUNCTION("""COMPUTED_VALUE"""),1432.1)</f>
        <v/>
      </c>
    </row>
    <row r="16178">
      <c r="J16178">
        <f>IFERROR(__xludf.DUMMYFUNCTION("""COMPUTED_VALUE"""),"Gagetown, New-Brunswick, Canada")</f>
        <v/>
      </c>
      <c r="K16178">
        <f>IFERROR(__xludf.DUMMYFUNCTION("""COMPUTED_VALUE"""),1431.6)</f>
        <v/>
      </c>
    </row>
    <row r="16179">
      <c r="J16179">
        <f>IFERROR(__xludf.DUMMYFUNCTION("""COMPUTED_VALUE"""),"Regina et Saskatoon, Saskatchewan")</f>
        <v/>
      </c>
      <c r="K16179">
        <f>IFERROR(__xludf.DUMMYFUNCTION("""COMPUTED_VALUE"""),1431.57)</f>
        <v/>
      </c>
    </row>
    <row r="16180">
      <c r="J16180">
        <f>IFERROR(__xludf.DUMMYFUNCTION("""COMPUTED_VALUE"""),"Calgary, AB - Kenora, ON - Thunder Bay, ON - Toronto, ON")</f>
        <v/>
      </c>
      <c r="K16180">
        <f>IFERROR(__xludf.DUMMYFUNCTION("""COMPUTED_VALUE"""),1431.38)</f>
        <v/>
      </c>
    </row>
    <row r="16181">
      <c r="J16181">
        <f>IFERROR(__xludf.DUMMYFUNCTION("""COMPUTED_VALUE"""),"Carlottesville, Virginia")</f>
        <v/>
      </c>
      <c r="K16181">
        <f>IFERROR(__xludf.DUMMYFUNCTION("""COMPUTED_VALUE"""),1431.36)</f>
        <v/>
      </c>
    </row>
    <row r="16182">
      <c r="J16182">
        <f>IFERROR(__xludf.DUMMYFUNCTION("""COMPUTED_VALUE"""),"Calgary, Alberta;Drumheller, Alberta;Innisfail, Alberta")</f>
        <v/>
      </c>
      <c r="K16182">
        <f>IFERROR(__xludf.DUMMYFUNCTION("""COMPUTED_VALUE"""),1431.24)</f>
        <v/>
      </c>
    </row>
    <row r="16183">
      <c r="J16183">
        <f>IFERROR(__xludf.DUMMYFUNCTION("""COMPUTED_VALUE"""),"Windsor, London, Oakville, Ontario")</f>
        <v/>
      </c>
      <c r="K16183">
        <f>IFERROR(__xludf.DUMMYFUNCTION("""COMPUTED_VALUE"""),1430.6)</f>
        <v/>
      </c>
    </row>
    <row r="16184">
      <c r="J16184">
        <f>IFERROR(__xludf.DUMMYFUNCTION("""COMPUTED_VALUE"""),"Vancouver, British Columbia
Winnipeg, Manitoba
Saskatoon, Saskatchewan")</f>
        <v/>
      </c>
      <c r="K16184">
        <f>IFERROR(__xludf.DUMMYFUNCTION("""COMPUTED_VALUE"""),1430.39)</f>
        <v/>
      </c>
    </row>
    <row r="16185">
      <c r="J16185">
        <f>IFERROR(__xludf.DUMMYFUNCTION("""COMPUTED_VALUE"""),"Ottawa- Fort Erie- Ottawa")</f>
        <v/>
      </c>
      <c r="K16185">
        <f>IFERROR(__xludf.DUMMYFUNCTION("""COMPUTED_VALUE"""),1429.95)</f>
        <v/>
      </c>
    </row>
    <row r="16186">
      <c r="J16186">
        <f>IFERROR(__xludf.DUMMYFUNCTION("""COMPUTED_VALUE"""),"Batoche National Historic Site and Waskesiu, Saskatchewan")</f>
        <v/>
      </c>
      <c r="K16186">
        <f>IFERROR(__xludf.DUMMYFUNCTION("""COMPUTED_VALUE"""),1429.82)</f>
        <v/>
      </c>
    </row>
    <row r="16187">
      <c r="J16187">
        <f>IFERROR(__xludf.DUMMYFUNCTION("""COMPUTED_VALUE"""),"Charlottetown, Prince Edward Island, Halifax, Nova Scotia and Moncton, New Brunswick")</f>
        <v/>
      </c>
      <c r="K16187">
        <f>IFERROR(__xludf.DUMMYFUNCTION("""COMPUTED_VALUE"""),1428.25)</f>
        <v/>
      </c>
    </row>
    <row r="16188">
      <c r="J16188">
        <f>IFERROR(__xludf.DUMMYFUNCTION("""COMPUTED_VALUE"""),"Hartford")</f>
        <v/>
      </c>
      <c r="K16188">
        <f>IFERROR(__xludf.DUMMYFUNCTION("""COMPUTED_VALUE"""),1428.24)</f>
        <v/>
      </c>
    </row>
    <row r="16189">
      <c r="J16189">
        <f>IFERROR(__xludf.DUMMYFUNCTION("""COMPUTED_VALUE"""),"Washington, DC, USA and Montreal, Canada")</f>
        <v/>
      </c>
      <c r="K16189">
        <f>IFERROR(__xludf.DUMMYFUNCTION("""COMPUTED_VALUE"""),1428)</f>
        <v/>
      </c>
    </row>
    <row r="16190">
      <c r="J16190">
        <f>IFERROR(__xludf.DUMMYFUNCTION("""COMPUTED_VALUE"""),"Montreal, Quebec; Quebec, Quebec, Canada")</f>
        <v/>
      </c>
      <c r="K16190">
        <f>IFERROR(__xludf.DUMMYFUNCTION("""COMPUTED_VALUE"""),1427.96)</f>
        <v/>
      </c>
    </row>
    <row r="16191">
      <c r="J16191">
        <f>IFERROR(__xludf.DUMMYFUNCTION("""COMPUTED_VALUE"""),"Nanaimo, British Columbia, Canada
Campbell River, British Columbia, Canada")</f>
        <v/>
      </c>
      <c r="K16191">
        <f>IFERROR(__xludf.DUMMYFUNCTION("""COMPUTED_VALUE"""),1426.79)</f>
        <v/>
      </c>
    </row>
    <row r="16192">
      <c r="J16192">
        <f>IFERROR(__xludf.DUMMYFUNCTION("""COMPUTED_VALUE"""),"Baie Comeau, QC")</f>
        <v/>
      </c>
      <c r="K16192">
        <f>IFERROR(__xludf.DUMMYFUNCTION("""COMPUTED_VALUE"""),1426.35)</f>
        <v/>
      </c>
    </row>
    <row r="16193">
      <c r="J16193">
        <f>IFERROR(__xludf.DUMMYFUNCTION("""COMPUTED_VALUE"""),"Montréal,QC  Halifax, NS")</f>
        <v/>
      </c>
      <c r="K16193">
        <f>IFERROR(__xludf.DUMMYFUNCTION("""COMPUTED_VALUE"""),1425.68)</f>
        <v/>
      </c>
    </row>
    <row r="16194">
      <c r="J16194">
        <f>IFERROR(__xludf.DUMMYFUNCTION("""COMPUTED_VALUE"""),"Montreal, Quebec and Quebec City, Quebec")</f>
        <v/>
      </c>
      <c r="K16194">
        <f>IFERROR(__xludf.DUMMYFUNCTION("""COMPUTED_VALUE"""),1425.64999999999)</f>
        <v/>
      </c>
    </row>
    <row r="16195">
      <c r="J16195">
        <f>IFERROR(__xludf.DUMMYFUNCTION("""COMPUTED_VALUE"""),"Dartmouth, Nova Scotia, Canada; Toronto, Ontario, Canada; Winnipeg, Manitoba, Canada; Calgary, Alberta, Canada")</f>
        <v/>
      </c>
      <c r="K16195">
        <f>IFERROR(__xludf.DUMMYFUNCTION("""COMPUTED_VALUE"""),1425.63)</f>
        <v/>
      </c>
    </row>
    <row r="16196">
      <c r="J16196">
        <f>IFERROR(__xludf.DUMMYFUNCTION("""COMPUTED_VALUE"""),"Sydney, (Nova Scotia)")</f>
        <v/>
      </c>
      <c r="K16196">
        <f>IFERROR(__xludf.DUMMYFUNCTION("""COMPUTED_VALUE"""),1425.34)</f>
        <v/>
      </c>
    </row>
    <row r="16197">
      <c r="J16197">
        <f>IFERROR(__xludf.DUMMYFUNCTION("""COMPUTED_VALUE"""),"Vancouver BC / Toronto ON")</f>
        <v/>
      </c>
      <c r="K16197">
        <f>IFERROR(__xludf.DUMMYFUNCTION("""COMPUTED_VALUE"""),1424.97)</f>
        <v/>
      </c>
    </row>
    <row r="16198">
      <c r="J16198">
        <f>IFERROR(__xludf.DUMMYFUNCTION("""COMPUTED_VALUE"""),"Edmonton, AB; Toronto, ON")</f>
        <v/>
      </c>
      <c r="K16198">
        <f>IFERROR(__xludf.DUMMYFUNCTION("""COMPUTED_VALUE"""),1424.67)</f>
        <v/>
      </c>
    </row>
    <row r="16199">
      <c r="J16199">
        <f>IFERROR(__xludf.DUMMYFUNCTION("""COMPUTED_VALUE"""),"Bagotville, Montréal, Ottawa")</f>
        <v/>
      </c>
      <c r="K16199">
        <f>IFERROR(__xludf.DUMMYFUNCTION("""COMPUTED_VALUE"""),1423.73999999999)</f>
        <v/>
      </c>
    </row>
    <row r="16200">
      <c r="J16200">
        <f>IFERROR(__xludf.DUMMYFUNCTION("""COMPUTED_VALUE"""),"Hamilton (Ontario), Guelph (Ontario)")</f>
        <v/>
      </c>
      <c r="K16200">
        <f>IFERROR(__xludf.DUMMYFUNCTION("""COMPUTED_VALUE"""),1423.7)</f>
        <v/>
      </c>
    </row>
    <row r="16201">
      <c r="J16201">
        <f>IFERROR(__xludf.DUMMYFUNCTION("""COMPUTED_VALUE"""),"Vaughn, Ontario")</f>
        <v/>
      </c>
      <c r="K16201">
        <f>IFERROR(__xludf.DUMMYFUNCTION("""COMPUTED_VALUE"""),1423.65)</f>
        <v/>
      </c>
    </row>
    <row r="16202">
      <c r="J16202">
        <f>IFERROR(__xludf.DUMMYFUNCTION("""COMPUTED_VALUE"""),"Charlottetown, Prince Edward Island; Halifax, Nova Scotia, Canada")</f>
        <v/>
      </c>
      <c r="K16202">
        <f>IFERROR(__xludf.DUMMYFUNCTION("""COMPUTED_VALUE"""),1423.55)</f>
        <v/>
      </c>
    </row>
    <row r="16203">
      <c r="J16203">
        <f>IFERROR(__xludf.DUMMYFUNCTION("""COMPUTED_VALUE"""),"Moncton and Miramichi, NB")</f>
        <v/>
      </c>
      <c r="K16203">
        <f>IFERROR(__xludf.DUMMYFUNCTION("""COMPUTED_VALUE"""),1423.33)</f>
        <v/>
      </c>
    </row>
    <row r="16204">
      <c r="J16204">
        <f>IFERROR(__xludf.DUMMYFUNCTION("""COMPUTED_VALUE"""),"Vancouver &amp; Prince Rupert, British-Columbia")</f>
        <v/>
      </c>
      <c r="K16204">
        <f>IFERROR(__xludf.DUMMYFUNCTION("""COMPUTED_VALUE"""),1423.07)</f>
        <v/>
      </c>
    </row>
    <row r="16205">
      <c r="J16205">
        <f>IFERROR(__xludf.DUMMYFUNCTION("""COMPUTED_VALUE"""),"Val d'Or, Rouyn-Noranda")</f>
        <v/>
      </c>
      <c r="K16205">
        <f>IFERROR(__xludf.DUMMYFUNCTION("""COMPUTED_VALUE"""),1422.79)</f>
        <v/>
      </c>
    </row>
    <row r="16206">
      <c r="J16206">
        <f>IFERROR(__xludf.DUMMYFUNCTION("""COMPUTED_VALUE"""),"Ortona, Italy")</f>
        <v/>
      </c>
      <c r="K16206">
        <f>IFERROR(__xludf.DUMMYFUNCTION("""COMPUTED_VALUE"""),1422.63999999999)</f>
        <v/>
      </c>
    </row>
    <row r="16207">
      <c r="J16207">
        <f>IFERROR(__xludf.DUMMYFUNCTION("""COMPUTED_VALUE"""),"Kitchener and Waterloo ON")</f>
        <v/>
      </c>
      <c r="K16207">
        <f>IFERROR(__xludf.DUMMYFUNCTION("""COMPUTED_VALUE"""),1422.44)</f>
        <v/>
      </c>
    </row>
    <row r="16208">
      <c r="J16208">
        <f>IFERROR(__xludf.DUMMYFUNCTION("""COMPUTED_VALUE"""),"Salvador and Sao Jose dos Campos")</f>
        <v/>
      </c>
      <c r="K16208">
        <f>IFERROR(__xludf.DUMMYFUNCTION("""COMPUTED_VALUE"""),1422.11)</f>
        <v/>
      </c>
    </row>
    <row r="16209">
      <c r="J16209">
        <f>IFERROR(__xludf.DUMMYFUNCTION("""COMPUTED_VALUE"""),"Ouagadougou Burkina Faso
Nairobi Kenya")</f>
        <v/>
      </c>
      <c r="K16209">
        <f>IFERROR(__xludf.DUMMYFUNCTION("""COMPUTED_VALUE"""),1421.89)</f>
        <v/>
      </c>
    </row>
    <row r="16210">
      <c r="J16210">
        <f>IFERROR(__xludf.DUMMYFUNCTION("""COMPUTED_VALUE"""),"Charletttetown, Prince Edward Island")</f>
        <v/>
      </c>
      <c r="K16210">
        <f>IFERROR(__xludf.DUMMYFUNCTION("""COMPUTED_VALUE"""),1421.24)</f>
        <v/>
      </c>
    </row>
    <row r="16211">
      <c r="J16211">
        <f>IFERROR(__xludf.DUMMYFUNCTION("""COMPUTED_VALUE"""),"Ottawa - Toronto - Montréal")</f>
        <v/>
      </c>
      <c r="K16211">
        <f>IFERROR(__xludf.DUMMYFUNCTION("""COMPUTED_VALUE"""),1420.68)</f>
        <v/>
      </c>
    </row>
    <row r="16212">
      <c r="J16212">
        <f>IFERROR(__xludf.DUMMYFUNCTION("""COMPUTED_VALUE"""),"Toronto, Ontario;Kingston, Ontario")</f>
        <v/>
      </c>
      <c r="K16212">
        <f>IFERROR(__xludf.DUMMYFUNCTION("""COMPUTED_VALUE"""),1420.65)</f>
        <v/>
      </c>
    </row>
    <row r="16213">
      <c r="J16213">
        <f>IFERROR(__xludf.DUMMYFUNCTION("""COMPUTED_VALUE"""),"Bathurst, New Brunswick / Saint John, New Brunswick, Canada")</f>
        <v/>
      </c>
      <c r="K16213">
        <f>IFERROR(__xludf.DUMMYFUNCTION("""COMPUTED_VALUE"""),1420.16)</f>
        <v/>
      </c>
    </row>
    <row r="16214">
      <c r="J16214">
        <f>IFERROR(__xludf.DUMMYFUNCTION("""COMPUTED_VALUE"""),"Ottawa/Toronto, Ontario")</f>
        <v/>
      </c>
      <c r="K16214">
        <f>IFERROR(__xludf.DUMMYFUNCTION("""COMPUTED_VALUE"""),1419.66)</f>
        <v/>
      </c>
    </row>
    <row r="16215">
      <c r="J16215">
        <f>IFERROR(__xludf.DUMMYFUNCTION("""COMPUTED_VALUE"""),"London/Kitchener, Ontario, Canada")</f>
        <v/>
      </c>
      <c r="K16215">
        <f>IFERROR(__xludf.DUMMYFUNCTION("""COMPUTED_VALUE"""),1418.39)</f>
        <v/>
      </c>
    </row>
    <row r="16216">
      <c r="J16216">
        <f>IFERROR(__xludf.DUMMYFUNCTION("""COMPUTED_VALUE"""),"Boston, Massachusetts United States")</f>
        <v/>
      </c>
      <c r="K16216">
        <f>IFERROR(__xludf.DUMMYFUNCTION("""COMPUTED_VALUE"""),1418.26)</f>
        <v/>
      </c>
    </row>
    <row r="16217">
      <c r="J16217">
        <f>IFERROR(__xludf.DUMMYFUNCTION("""COMPUTED_VALUE"""),"Spokane, WA USA")</f>
        <v/>
      </c>
      <c r="K16217">
        <f>IFERROR(__xludf.DUMMYFUNCTION("""COMPUTED_VALUE"""),1417.92)</f>
        <v/>
      </c>
    </row>
    <row r="16218">
      <c r="J16218">
        <f>IFERROR(__xludf.DUMMYFUNCTION("""COMPUTED_VALUE"""),"Ottawa- St.John's-Ottawa")</f>
        <v/>
      </c>
      <c r="K16218">
        <f>IFERROR(__xludf.DUMMYFUNCTION("""COMPUTED_VALUE"""),1417.1)</f>
        <v/>
      </c>
    </row>
    <row r="16219">
      <c r="J16219">
        <f>IFERROR(__xludf.DUMMYFUNCTION("""COMPUTED_VALUE"""),"Colombo, Sri Lanka / Canberra, Australia / Sydney, Australia")</f>
        <v/>
      </c>
      <c r="K16219">
        <f>IFERROR(__xludf.DUMMYFUNCTION("""COMPUTED_VALUE"""),1416.97)</f>
        <v/>
      </c>
    </row>
    <row r="16220">
      <c r="J16220">
        <f>IFERROR(__xludf.DUMMYFUNCTION("""COMPUTED_VALUE"""),"Kelowna, Vancouver (British Columbia) Canada")</f>
        <v/>
      </c>
      <c r="K16220">
        <f>IFERROR(__xludf.DUMMYFUNCTION("""COMPUTED_VALUE"""),1416.65)</f>
        <v/>
      </c>
    </row>
    <row r="16221">
      <c r="J16221">
        <f>IFERROR(__xludf.DUMMYFUNCTION("""COMPUTED_VALUE"""),"Rothesay, New Brunswick / Ottawa, Ontario")</f>
        <v/>
      </c>
      <c r="K16221">
        <f>IFERROR(__xludf.DUMMYFUNCTION("""COMPUTED_VALUE"""),1416.35)</f>
        <v/>
      </c>
    </row>
    <row r="16222">
      <c r="J16222">
        <f>IFERROR(__xludf.DUMMYFUNCTION("""COMPUTED_VALUE"""),"Quebec, Quebec; Halifax, Nova Scotia")</f>
        <v/>
      </c>
      <c r="K16222">
        <f>IFERROR(__xludf.DUMMYFUNCTION("""COMPUTED_VALUE"""),1416.13)</f>
        <v/>
      </c>
    </row>
    <row r="16223">
      <c r="J16223">
        <f>IFERROR(__xludf.DUMMYFUNCTION("""COMPUTED_VALUE"""),"Saguenay, Quebec, Canada; Gaspé, Quebec, Canada; Montréal, Quebec, Canada")</f>
        <v/>
      </c>
      <c r="K16223">
        <f>IFERROR(__xludf.DUMMYFUNCTION("""COMPUTED_VALUE"""),1415.41)</f>
        <v/>
      </c>
    </row>
    <row r="16224">
      <c r="J16224">
        <f>IFERROR(__xludf.DUMMYFUNCTION("""COMPUTED_VALUE"""),"Guelph, Ontario, Canada /  
Toronto, Ontario, Canada")</f>
        <v/>
      </c>
      <c r="K16224">
        <f>IFERROR(__xludf.DUMMYFUNCTION("""COMPUTED_VALUE"""),1415.24)</f>
        <v/>
      </c>
    </row>
    <row r="16225">
      <c r="J16225">
        <f>IFERROR(__xludf.DUMMYFUNCTION("""COMPUTED_VALUE"""),"Montreal, PQ")</f>
        <v/>
      </c>
      <c r="K16225">
        <f>IFERROR(__xludf.DUMMYFUNCTION("""COMPUTED_VALUE"""),1414.96)</f>
        <v/>
      </c>
    </row>
    <row r="16226">
      <c r="J16226">
        <f>IFERROR(__xludf.DUMMYFUNCTION("""COMPUTED_VALUE"""),"Ottawa, Ontario and Fredericton, New-Brunswick, Canada")</f>
        <v/>
      </c>
      <c r="K16226">
        <f>IFERROR(__xludf.DUMMYFUNCTION("""COMPUTED_VALUE"""),1414.16)</f>
        <v/>
      </c>
    </row>
    <row r="16227">
      <c r="J16227">
        <f>IFERROR(__xludf.DUMMYFUNCTION("""COMPUTED_VALUE"""),"Wainwright, AB")</f>
        <v/>
      </c>
      <c r="K16227">
        <f>IFERROR(__xludf.DUMMYFUNCTION("""COMPUTED_VALUE"""),1414.03)</f>
        <v/>
      </c>
    </row>
    <row r="16228">
      <c r="J16228">
        <f>IFERROR(__xludf.DUMMYFUNCTION("""COMPUTED_VALUE"""),"Moncton / Charlottetown / Halifax")</f>
        <v/>
      </c>
      <c r="K16228">
        <f>IFERROR(__xludf.DUMMYFUNCTION("""COMPUTED_VALUE"""),1413.3)</f>
        <v/>
      </c>
    </row>
    <row r="16229">
      <c r="J16229">
        <f>IFERROR(__xludf.DUMMYFUNCTION("""COMPUTED_VALUE"""),"Monton, New Brunswick, Canada; Fredericton, New Brunswick, Canada; Charlottetown, Prince-Edward-Island, Canada; Quebec City, Quebec, Canada")</f>
        <v/>
      </c>
      <c r="K16229">
        <f>IFERROR(__xludf.DUMMYFUNCTION("""COMPUTED_VALUE"""),1413.16)</f>
        <v/>
      </c>
    </row>
    <row r="16230">
      <c r="J16230">
        <f>IFERROR(__xludf.DUMMYFUNCTION("""COMPUTED_VALUE"""),"Whitby, Ontario")</f>
        <v/>
      </c>
      <c r="K16230">
        <f>IFERROR(__xludf.DUMMYFUNCTION("""COMPUTED_VALUE"""),1413.05)</f>
        <v/>
      </c>
    </row>
    <row r="16231">
      <c r="J16231">
        <f>IFERROR(__xludf.DUMMYFUNCTION("""COMPUTED_VALUE"""),"Caglary, AB")</f>
        <v/>
      </c>
      <c r="K16231">
        <f>IFERROR(__xludf.DUMMYFUNCTION("""COMPUTED_VALUE"""),1413.02)</f>
        <v/>
      </c>
    </row>
    <row r="16232">
      <c r="J16232">
        <f>IFERROR(__xludf.DUMMYFUNCTION("""COMPUTED_VALUE"""),"Corfu, Greece")</f>
        <v/>
      </c>
      <c r="K16232">
        <f>IFERROR(__xludf.DUMMYFUNCTION("""COMPUTED_VALUE"""),1412.54)</f>
        <v/>
      </c>
    </row>
    <row r="16233">
      <c r="J16233">
        <f>IFERROR(__xludf.DUMMYFUNCTION("""COMPUTED_VALUE"""),"Windsor, Ontario, Canada; Chatham, Ontario, Canada; London, Ontario, Canada; Sarnia, Ontario, Canada; Kitchener, Ontario, Canada")</f>
        <v/>
      </c>
      <c r="K16233">
        <f>IFERROR(__xludf.DUMMYFUNCTION("""COMPUTED_VALUE"""),1412.53)</f>
        <v/>
      </c>
    </row>
    <row r="16234">
      <c r="J16234">
        <f>IFERROR(__xludf.DUMMYFUNCTION("""COMPUTED_VALUE"""),"Grande Cache, Alberta, Canada")</f>
        <v/>
      </c>
      <c r="K16234">
        <f>IFERROR(__xludf.DUMMYFUNCTION("""COMPUTED_VALUE"""),1412.43)</f>
        <v/>
      </c>
    </row>
    <row r="16235">
      <c r="J16235">
        <f>IFERROR(__xludf.DUMMYFUNCTION("""COMPUTED_VALUE"""),"Timmins, Canada")</f>
        <v/>
      </c>
      <c r="K16235">
        <f>IFERROR(__xludf.DUMMYFUNCTION("""COMPUTED_VALUE"""),1412.35)</f>
        <v/>
      </c>
    </row>
    <row r="16236">
      <c r="J16236">
        <f>IFERROR(__xludf.DUMMYFUNCTION("""COMPUTED_VALUE"""),"Guatemala, El Salvador,  Costa Rica, Panama &amp; Miami")</f>
        <v/>
      </c>
      <c r="K16236">
        <f>IFERROR(__xludf.DUMMYFUNCTION("""COMPUTED_VALUE"""),1411.52)</f>
        <v/>
      </c>
    </row>
    <row r="16237">
      <c r="J16237">
        <f>IFERROR(__xludf.DUMMYFUNCTION("""COMPUTED_VALUE"""),"Ottawa, ON - Montreal, QC")</f>
        <v/>
      </c>
      <c r="K16237">
        <f>IFERROR(__xludf.DUMMYFUNCTION("""COMPUTED_VALUE"""),1411.5)</f>
        <v/>
      </c>
    </row>
    <row r="16238">
      <c r="J16238">
        <f>IFERROR(__xludf.DUMMYFUNCTION("""COMPUTED_VALUE"""),"Kingston and Peterborough, Ontario, Canada")</f>
        <v/>
      </c>
      <c r="K16238">
        <f>IFERROR(__xludf.DUMMYFUNCTION("""COMPUTED_VALUE"""),1411.44)</f>
        <v/>
      </c>
    </row>
    <row r="16239">
      <c r="J16239">
        <f>IFERROR(__xludf.DUMMYFUNCTION("""COMPUTED_VALUE"""),"Québec and Gatineau")</f>
        <v/>
      </c>
      <c r="K16239">
        <f>IFERROR(__xludf.DUMMYFUNCTION("""COMPUTED_VALUE"""),1411.02)</f>
        <v/>
      </c>
    </row>
    <row r="16240">
      <c r="J16240">
        <f>IFERROR(__xludf.DUMMYFUNCTION("""COMPUTED_VALUE"""),"Calgary Alberta")</f>
        <v/>
      </c>
      <c r="K16240">
        <f>IFERROR(__xludf.DUMMYFUNCTION("""COMPUTED_VALUE"""),1409.7)</f>
        <v/>
      </c>
    </row>
    <row r="16241">
      <c r="J16241">
        <f>IFERROR(__xludf.DUMMYFUNCTION("""COMPUTED_VALUE"""),"Toronto, Ontario, Canada; Kitchener, Ontario, Canada; Waterloo, Ontario, Canada")</f>
        <v/>
      </c>
      <c r="K16241">
        <f>IFERROR(__xludf.DUMMYFUNCTION("""COMPUTED_VALUE"""),1409.54)</f>
        <v/>
      </c>
    </row>
    <row r="16242">
      <c r="J16242">
        <f>IFERROR(__xludf.DUMMYFUNCTION("""COMPUTED_VALUE"""),"Quebec City, Québec")</f>
        <v/>
      </c>
      <c r="K16242">
        <f>IFERROR(__xludf.DUMMYFUNCTION("""COMPUTED_VALUE"""),1409.47)</f>
        <v/>
      </c>
    </row>
    <row r="16243">
      <c r="J16243">
        <f>IFERROR(__xludf.DUMMYFUNCTION("""COMPUTED_VALUE"""),"Moncton (New-Brunswick), Halifax (Nova Scotia)")</f>
        <v/>
      </c>
      <c r="K16243">
        <f>IFERROR(__xludf.DUMMYFUNCTION("""COMPUTED_VALUE"""),1409)</f>
        <v/>
      </c>
    </row>
    <row r="16244">
      <c r="J16244">
        <f>IFERROR(__xludf.DUMMYFUNCTION("""COMPUTED_VALUE"""),"Quebec, QC and Bagotville, QC")</f>
        <v/>
      </c>
      <c r="K16244">
        <f>IFERROR(__xludf.DUMMYFUNCTION("""COMPUTED_VALUE"""),1409)</f>
        <v/>
      </c>
    </row>
    <row r="16245">
      <c r="J16245">
        <f>IFERROR(__xludf.DUMMYFUNCTION("""COMPUTED_VALUE"""),"Saskatoon (Saskachewan) Canada")</f>
        <v/>
      </c>
      <c r="K16245">
        <f>IFERROR(__xludf.DUMMYFUNCTION("""COMPUTED_VALUE"""),1408.83)</f>
        <v/>
      </c>
    </row>
    <row r="16246">
      <c r="J16246">
        <f>IFERROR(__xludf.DUMMYFUNCTION("""COMPUTED_VALUE"""),"Winnipeg / Yellowknife")</f>
        <v/>
      </c>
      <c r="K16246">
        <f>IFERROR(__xludf.DUMMYFUNCTION("""COMPUTED_VALUE"""),1408.82)</f>
        <v/>
      </c>
    </row>
    <row r="16247">
      <c r="J16247">
        <f>IFERROR(__xludf.DUMMYFUNCTION("""COMPUTED_VALUE"""),"Montréal, Quebec, Canada; Brossard, Quebec, Canada; Shawinigan, Quebec, Canada")</f>
        <v/>
      </c>
      <c r="K16247">
        <f>IFERROR(__xludf.DUMMYFUNCTION("""COMPUTED_VALUE"""),1408.42)</f>
        <v/>
      </c>
    </row>
    <row r="16248">
      <c r="J16248">
        <f>IFERROR(__xludf.DUMMYFUNCTION("""COMPUTED_VALUE"""),"Calgary, Alberta, Canada and Banff, Alberta, Canada")</f>
        <v/>
      </c>
      <c r="K16248">
        <f>IFERROR(__xludf.DUMMYFUNCTION("""COMPUTED_VALUE"""),1408.41)</f>
        <v/>
      </c>
    </row>
    <row r="16249">
      <c r="J16249">
        <f>IFERROR(__xludf.DUMMYFUNCTION("""COMPUTED_VALUE"""),"Winnipeg, Manitoba, Canada; London, Ontario, Canada")</f>
        <v/>
      </c>
      <c r="K16249">
        <f>IFERROR(__xludf.DUMMYFUNCTION("""COMPUTED_VALUE"""),1408.25)</f>
        <v/>
      </c>
    </row>
    <row r="16250">
      <c r="J16250">
        <f>IFERROR(__xludf.DUMMYFUNCTION("""COMPUTED_VALUE"""),"Charlottetown, Prince edward Island")</f>
        <v/>
      </c>
      <c r="K16250">
        <f>IFERROR(__xludf.DUMMYFUNCTION("""COMPUTED_VALUE"""),1407.53)</f>
        <v/>
      </c>
    </row>
    <row r="16251">
      <c r="J16251">
        <f>IFERROR(__xludf.DUMMYFUNCTION("""COMPUTED_VALUE"""),"Kitchener, Waterloo &amp; Toronto, Ontario")</f>
        <v/>
      </c>
      <c r="K16251">
        <f>IFERROR(__xludf.DUMMYFUNCTION("""COMPUTED_VALUE"""),1407.23)</f>
        <v/>
      </c>
    </row>
    <row r="16252">
      <c r="J16252">
        <f>IFERROR(__xludf.DUMMYFUNCTION("""COMPUTED_VALUE"""),"Stephenville, Newfoundland and Labrador, Canada; Port aux Basques, Newfoundland and Labrador, Canada; Corner Brook, Newfoundland and Labrador, Canada; Rocky Harbour, Newfoundland and Labrador, Canada; St. Anthony, Newfoundland and Labrador, Canada")</f>
        <v/>
      </c>
      <c r="K16252">
        <f>IFERROR(__xludf.DUMMYFUNCTION("""COMPUTED_VALUE"""),1406.97)</f>
        <v/>
      </c>
    </row>
    <row r="16253">
      <c r="J16253">
        <f>IFERROR(__xludf.DUMMYFUNCTION("""COMPUTED_VALUE"""),"Winnipeg, MB Vancouver, BC")</f>
        <v/>
      </c>
      <c r="K16253">
        <f>IFERROR(__xludf.DUMMYFUNCTION("""COMPUTED_VALUE"""),1406.49)</f>
        <v/>
      </c>
    </row>
    <row r="16254">
      <c r="J16254">
        <f>IFERROR(__xludf.DUMMYFUNCTION("""COMPUTED_VALUE"""),"COMOX, BRITISH COLUMBIA, CANADA")</f>
        <v/>
      </c>
      <c r="K16254">
        <f>IFERROR(__xludf.DUMMYFUNCTION("""COMPUTED_VALUE"""),1406.4)</f>
        <v/>
      </c>
    </row>
    <row r="16255">
      <c r="J16255">
        <f>IFERROR(__xludf.DUMMYFUNCTION("""COMPUTED_VALUE"""),"Stanhope, PEI")</f>
        <v/>
      </c>
      <c r="K16255">
        <f>IFERROR(__xludf.DUMMYFUNCTION("""COMPUTED_VALUE"""),1406.22)</f>
        <v/>
      </c>
    </row>
    <row r="16256">
      <c r="J16256">
        <f>IFERROR(__xludf.DUMMYFUNCTION("""COMPUTED_VALUE"""),"Levis, Quebec, Canada / Rimouski, Quebec, Canada")</f>
        <v/>
      </c>
      <c r="K16256">
        <f>IFERROR(__xludf.DUMMYFUNCTION("""COMPUTED_VALUE"""),1406.18)</f>
        <v/>
      </c>
    </row>
    <row r="16257">
      <c r="J16257">
        <f>IFERROR(__xludf.DUMMYFUNCTION("""COMPUTED_VALUE"""),"Batoche, Saskatchewan, Canada")</f>
        <v/>
      </c>
      <c r="K16257">
        <f>IFERROR(__xludf.DUMMYFUNCTION("""COMPUTED_VALUE"""),1403.86)</f>
        <v/>
      </c>
    </row>
    <row r="16258">
      <c r="J16258">
        <f>IFERROR(__xludf.DUMMYFUNCTION("""COMPUTED_VALUE"""),"St-John NF")</f>
        <v/>
      </c>
      <c r="K16258">
        <f>IFERROR(__xludf.DUMMYFUNCTION("""COMPUTED_VALUE"""),1403.68)</f>
        <v/>
      </c>
    </row>
    <row r="16259">
      <c r="J16259">
        <f>IFERROR(__xludf.DUMMYFUNCTION("""COMPUTED_VALUE"""),"Bathurst, New Brunswick, Canada; Miramichi, New Brunswick, Canada; Edmunston, New Brunswick, Canada; Moncton, New Brunswick, Canada")</f>
        <v/>
      </c>
      <c r="K16259">
        <f>IFERROR(__xludf.DUMMYFUNCTION("""COMPUTED_VALUE"""),1403.62)</f>
        <v/>
      </c>
    </row>
    <row r="16260">
      <c r="J16260">
        <f>IFERROR(__xludf.DUMMYFUNCTION("""COMPUTED_VALUE"""),"Montreal, Quebec Halifax ,NovaScotia")</f>
        <v/>
      </c>
      <c r="K16260">
        <f>IFERROR(__xludf.DUMMYFUNCTION("""COMPUTED_VALUE"""),1403.3)</f>
        <v/>
      </c>
    </row>
    <row r="16261">
      <c r="J16261">
        <f>IFERROR(__xludf.DUMMYFUNCTION("""COMPUTED_VALUE"""),"Vancouver, AB")</f>
        <v/>
      </c>
      <c r="K16261">
        <f>IFERROR(__xludf.DUMMYFUNCTION("""COMPUTED_VALUE"""),1403.13)</f>
        <v/>
      </c>
    </row>
    <row r="16262">
      <c r="J16262">
        <f>IFERROR(__xludf.DUMMYFUNCTION("""COMPUTED_VALUE"""),"Oshawa and Toronto, ON")</f>
        <v/>
      </c>
      <c r="K16262">
        <f>IFERROR(__xludf.DUMMYFUNCTION("""COMPUTED_VALUE"""),1403.1)</f>
        <v/>
      </c>
    </row>
    <row r="16263">
      <c r="J16263">
        <f>IFERROR(__xludf.DUMMYFUNCTION("""COMPUTED_VALUE"""),"Montreal, Bromont, Quebec, QC")</f>
        <v/>
      </c>
      <c r="K16263">
        <f>IFERROR(__xludf.DUMMYFUNCTION("""COMPUTED_VALUE"""),1402.94)</f>
        <v/>
      </c>
    </row>
    <row r="16264">
      <c r="J16264">
        <f>IFERROR(__xludf.DUMMYFUNCTION("""COMPUTED_VALUE"""),"Saint John, New Brunswick, Canada Saint Stephen, New Brunswick, Canada Saint Croix, New Brunswick, Canada McAdam, New Brunswick, Canada")</f>
        <v/>
      </c>
      <c r="K16264">
        <f>IFERROR(__xludf.DUMMYFUNCTION("""COMPUTED_VALUE"""),1402.78)</f>
        <v/>
      </c>
    </row>
    <row r="16265">
      <c r="J16265">
        <f>IFERROR(__xludf.DUMMYFUNCTION("""COMPUTED_VALUE"""),"Montreal, Mirabel and Quebec, Quebec")</f>
        <v/>
      </c>
      <c r="K16265">
        <f>IFERROR(__xludf.DUMMYFUNCTION("""COMPUTED_VALUE"""),1402.71)</f>
        <v/>
      </c>
    </row>
    <row r="16266">
      <c r="J16266">
        <f>IFERROR(__xludf.DUMMYFUNCTION("""COMPUTED_VALUE"""),"Port-Au-Prince, Haiti")</f>
        <v/>
      </c>
      <c r="K16266">
        <f>IFERROR(__xludf.DUMMYFUNCTION("""COMPUTED_VALUE"""),1402.56)</f>
        <v/>
      </c>
    </row>
    <row r="16267">
      <c r="J16267">
        <f>IFERROR(__xludf.DUMMYFUNCTION("""COMPUTED_VALUE"""),"Kingston, Ontario, Canada; Mississauga, Ontario, Canada; Toronto, Ontario, Canada")</f>
        <v/>
      </c>
      <c r="K16267">
        <f>IFERROR(__xludf.DUMMYFUNCTION("""COMPUTED_VALUE"""),1401.97)</f>
        <v/>
      </c>
    </row>
    <row r="16268">
      <c r="J16268">
        <f>IFERROR(__xludf.DUMMYFUNCTION("""COMPUTED_VALUE"""),"Montreal, Moncton")</f>
        <v/>
      </c>
      <c r="K16268">
        <f>IFERROR(__xludf.DUMMYFUNCTION("""COMPUTED_VALUE"""),1401.43)</f>
        <v/>
      </c>
    </row>
    <row r="16269">
      <c r="J16269">
        <f>IFERROR(__xludf.DUMMYFUNCTION("""COMPUTED_VALUE"""),"UK")</f>
        <v/>
      </c>
      <c r="K16269">
        <f>IFERROR(__xludf.DUMMYFUNCTION("""COMPUTED_VALUE"""),1400.96)</f>
        <v/>
      </c>
    </row>
    <row r="16270">
      <c r="J16270">
        <f>IFERROR(__xludf.DUMMYFUNCTION("""COMPUTED_VALUE"""),"Abbotsford, British Columbia; Victoria, British Columbia, Canada")</f>
        <v/>
      </c>
      <c r="K16270">
        <f>IFERROR(__xludf.DUMMYFUNCTION("""COMPUTED_VALUE"""),1400.45)</f>
        <v/>
      </c>
    </row>
    <row r="16271">
      <c r="J16271">
        <f>IFERROR(__xludf.DUMMYFUNCTION("""COMPUTED_VALUE"""),"Chicago, US")</f>
        <v/>
      </c>
      <c r="K16271">
        <f>IFERROR(__xludf.DUMMYFUNCTION("""COMPUTED_VALUE"""),1400.29)</f>
        <v/>
      </c>
    </row>
    <row r="16272">
      <c r="J16272">
        <f>IFERROR(__xludf.DUMMYFUNCTION("""COMPUTED_VALUE"""),"Avignon &amp; Arles")</f>
        <v/>
      </c>
      <c r="K16272">
        <f>IFERROR(__xludf.DUMMYFUNCTION("""COMPUTED_VALUE"""),1400)</f>
        <v/>
      </c>
    </row>
    <row r="16273">
      <c r="J16273">
        <f>IFERROR(__xludf.DUMMYFUNCTION("""COMPUTED_VALUE"""),"Romania")</f>
        <v/>
      </c>
      <c r="K16273">
        <f>IFERROR(__xludf.DUMMYFUNCTION("""COMPUTED_VALUE"""),1399.38)</f>
        <v/>
      </c>
    </row>
    <row r="16274">
      <c r="J16274">
        <f>IFERROR(__xludf.DUMMYFUNCTION("""COMPUTED_VALUE"""),"Port Hope and Toronto")</f>
        <v/>
      </c>
      <c r="K16274">
        <f>IFERROR(__xludf.DUMMYFUNCTION("""COMPUTED_VALUE"""),1399.36)</f>
        <v/>
      </c>
    </row>
    <row r="16275">
      <c r="J16275">
        <f>IFERROR(__xludf.DUMMYFUNCTION("""COMPUTED_VALUE"""),"St. John's, NL / Halifax, NS / Moncton, NB")</f>
        <v/>
      </c>
      <c r="K16275">
        <f>IFERROR(__xludf.DUMMYFUNCTION("""COMPUTED_VALUE"""),1399.28)</f>
        <v/>
      </c>
    </row>
    <row r="16276">
      <c r="J16276">
        <f>IFERROR(__xludf.DUMMYFUNCTION("""COMPUTED_VALUE"""),"Riga LV and Warsaw, Poland")</f>
        <v/>
      </c>
      <c r="K16276">
        <f>IFERROR(__xludf.DUMMYFUNCTION("""COMPUTED_VALUE"""),1398.52)</f>
        <v/>
      </c>
    </row>
    <row r="16277">
      <c r="J16277">
        <f>IFERROR(__xludf.DUMMYFUNCTION("""COMPUTED_VALUE"""),"Montréal, Quebec, Canada; Québec, Quebec, Canada; Sherbrooke, Quebec, Canada")</f>
        <v/>
      </c>
      <c r="K16277">
        <f>IFERROR(__xludf.DUMMYFUNCTION("""COMPUTED_VALUE"""),1398.49)</f>
        <v/>
      </c>
    </row>
    <row r="16278">
      <c r="J16278">
        <f>IFERROR(__xludf.DUMMYFUNCTION("""COMPUTED_VALUE"""),"Rimouski, Quebec City")</f>
        <v/>
      </c>
      <c r="K16278">
        <f>IFERROR(__xludf.DUMMYFUNCTION("""COMPUTED_VALUE"""),1398.36)</f>
        <v/>
      </c>
    </row>
    <row r="16279">
      <c r="J16279">
        <f>IFERROR(__xludf.DUMMYFUNCTION("""COMPUTED_VALUE"""),"Washington D.C., United States; New York, United States")</f>
        <v/>
      </c>
      <c r="K16279">
        <f>IFERROR(__xludf.DUMMYFUNCTION("""COMPUTED_VALUE"""),1398.23)</f>
        <v/>
      </c>
    </row>
    <row r="16280">
      <c r="J16280">
        <f>IFERROR(__xludf.DUMMYFUNCTION("""COMPUTED_VALUE"""),"Prague, Czech")</f>
        <v/>
      </c>
      <c r="K16280">
        <f>IFERROR(__xludf.DUMMYFUNCTION("""COMPUTED_VALUE"""),1398)</f>
        <v/>
      </c>
    </row>
    <row r="16281">
      <c r="J16281">
        <f>IFERROR(__xludf.DUMMYFUNCTION("""COMPUTED_VALUE"""),"Fredericton, N.B.")</f>
        <v/>
      </c>
      <c r="K16281">
        <f>IFERROR(__xludf.DUMMYFUNCTION("""COMPUTED_VALUE"""),1397.81)</f>
        <v/>
      </c>
    </row>
    <row r="16282">
      <c r="J16282">
        <f>IFERROR(__xludf.DUMMYFUNCTION("""COMPUTED_VALUE"""),"Matane, Quebec, Canada; Baie-Comeau, Quebec, Canada; Sept-Îles, Quebec, Canada; La Malbaie, Quebec, Canada")</f>
        <v/>
      </c>
      <c r="K16282">
        <f>IFERROR(__xludf.DUMMYFUNCTION("""COMPUTED_VALUE"""),1397.01)</f>
        <v/>
      </c>
    </row>
    <row r="16283">
      <c r="J16283">
        <f>IFERROR(__xludf.DUMMYFUNCTION("""COMPUTED_VALUE"""),"Ottawa - Québec - Montréal - Ottawa")</f>
        <v/>
      </c>
      <c r="K16283">
        <f>IFERROR(__xludf.DUMMYFUNCTION("""COMPUTED_VALUE"""),1396.96)</f>
        <v/>
      </c>
    </row>
    <row r="16284">
      <c r="J16284">
        <f>IFERROR(__xludf.DUMMYFUNCTION("""COMPUTED_VALUE"""),"Saskatoon, Saskatchewan; Prince Albert, Saskatchewan")</f>
        <v/>
      </c>
      <c r="K16284">
        <f>IFERROR(__xludf.DUMMYFUNCTION("""COMPUTED_VALUE"""),1396.84)</f>
        <v/>
      </c>
    </row>
    <row r="16285">
      <c r="J16285">
        <f>IFERROR(__xludf.DUMMYFUNCTION("""COMPUTED_VALUE"""),"JORDAN, ISREAL, WEST BANK &amp; GAZA, LEBANON AND SYRIA")</f>
        <v/>
      </c>
      <c r="K16285">
        <f>IFERROR(__xludf.DUMMYFUNCTION("""COMPUTED_VALUE"""),1396.61)</f>
        <v/>
      </c>
    </row>
    <row r="16286">
      <c r="J16286">
        <f>IFERROR(__xludf.DUMMYFUNCTION("""COMPUTED_VALUE"""),"Fredericton, New-Brunswick, Moncton, New-Brunswick  Miramichi, New-Brunswick")</f>
        <v/>
      </c>
      <c r="K16286">
        <f>IFERROR(__xludf.DUMMYFUNCTION("""COMPUTED_VALUE"""),1396.17)</f>
        <v/>
      </c>
    </row>
    <row r="16287">
      <c r="J16287">
        <f>IFERROR(__xludf.DUMMYFUNCTION("""COMPUTED_VALUE"""),"Toronto, ON; Hamilton, ON; Niagara, ON")</f>
        <v/>
      </c>
      <c r="K16287">
        <f>IFERROR(__xludf.DUMMYFUNCTION("""COMPUTED_VALUE"""),1396.16)</f>
        <v/>
      </c>
    </row>
    <row r="16288">
      <c r="J16288">
        <f>IFERROR(__xludf.DUMMYFUNCTION("""COMPUTED_VALUE"""),"Sainte-Adèle, Quebec, Canada")</f>
        <v/>
      </c>
      <c r="K16288">
        <f>IFERROR(__xludf.DUMMYFUNCTION("""COMPUTED_VALUE"""),1396.02)</f>
        <v/>
      </c>
    </row>
    <row r="16289">
      <c r="J16289">
        <f>IFERROR(__xludf.DUMMYFUNCTION("""COMPUTED_VALUE"""),"Fredericton &amp; Moncton, New Brunswick")</f>
        <v/>
      </c>
      <c r="K16289">
        <f>IFERROR(__xludf.DUMMYFUNCTION("""COMPUTED_VALUE"""),1395.83)</f>
        <v/>
      </c>
    </row>
    <row r="16290">
      <c r="J16290">
        <f>IFERROR(__xludf.DUMMYFUNCTION("""COMPUTED_VALUE"""),"­Yellowknife, Northwest Territories, Canada")</f>
        <v/>
      </c>
      <c r="K16290">
        <f>IFERROR(__xludf.DUMMYFUNCTION("""COMPUTED_VALUE"""),1395.82)</f>
        <v/>
      </c>
    </row>
    <row r="16291">
      <c r="J16291">
        <f>IFERROR(__xludf.DUMMYFUNCTION("""COMPUTED_VALUE"""),"Ottawa- Kitchener/Waterloo")</f>
        <v/>
      </c>
      <c r="K16291">
        <f>IFERROR(__xludf.DUMMYFUNCTION("""COMPUTED_VALUE"""),1395.65)</f>
        <v/>
      </c>
    </row>
    <row r="16292">
      <c r="J16292">
        <f>IFERROR(__xludf.DUMMYFUNCTION("""COMPUTED_VALUE"""),"Saskatoon, SK; Victoria, BC")</f>
        <v/>
      </c>
      <c r="K16292">
        <f>IFERROR(__xludf.DUMMYFUNCTION("""COMPUTED_VALUE"""),1395.4)</f>
        <v/>
      </c>
    </row>
    <row r="16293">
      <c r="J16293">
        <f>IFERROR(__xludf.DUMMYFUNCTION("""COMPUTED_VALUE"""),"Thunder Bay &amp; Sault Ste. Marie")</f>
        <v/>
      </c>
      <c r="K16293">
        <f>IFERROR(__xludf.DUMMYFUNCTION("""COMPUTED_VALUE"""),1395.4)</f>
        <v/>
      </c>
    </row>
    <row r="16294">
      <c r="J16294">
        <f>IFERROR(__xludf.DUMMYFUNCTION("""COMPUTED_VALUE"""),"Fredericton, New Brunswick, and Dartmouth, Nova Scotia, Canada")</f>
        <v/>
      </c>
      <c r="K16294">
        <f>IFERROR(__xludf.DUMMYFUNCTION("""COMPUTED_VALUE"""),1395.27)</f>
        <v/>
      </c>
    </row>
    <row r="16295">
      <c r="J16295">
        <f>IFERROR(__xludf.DUMMYFUNCTION("""COMPUTED_VALUE"""),"Shediac, New Brunswick, Canada;
Moncton, New Brunswick, Canada")</f>
        <v/>
      </c>
      <c r="K16295">
        <f>IFERROR(__xludf.DUMMYFUNCTION("""COMPUTED_VALUE"""),1394.95)</f>
        <v/>
      </c>
    </row>
    <row r="16296">
      <c r="J16296">
        <f>IFERROR(__xludf.DUMMYFUNCTION("""COMPUTED_VALUE"""),"Saint-Jérôme, Quebec, Canada")</f>
        <v/>
      </c>
      <c r="K16296">
        <f>IFERROR(__xludf.DUMMYFUNCTION("""COMPUTED_VALUE"""),1394.8)</f>
        <v/>
      </c>
    </row>
    <row r="16297">
      <c r="J16297">
        <f>IFERROR(__xludf.DUMMYFUNCTION("""COMPUTED_VALUE"""),"Seattle, United States, United States of America")</f>
        <v/>
      </c>
      <c r="K16297">
        <f>IFERROR(__xludf.DUMMYFUNCTION("""COMPUTED_VALUE"""),1394.54)</f>
        <v/>
      </c>
    </row>
    <row r="16298">
      <c r="J16298">
        <f>IFERROR(__xludf.DUMMYFUNCTION("""COMPUTED_VALUE"""),"Ontario, ON")</f>
        <v/>
      </c>
      <c r="K16298">
        <f>IFERROR(__xludf.DUMMYFUNCTION("""COMPUTED_VALUE"""),1394.38)</f>
        <v/>
      </c>
    </row>
    <row r="16299">
      <c r="J16299">
        <f>IFERROR(__xludf.DUMMYFUNCTION("""COMPUTED_VALUE"""),"Abitibi-Témiscamingue, (Quebec)")</f>
        <v/>
      </c>
      <c r="K16299">
        <f>IFERROR(__xludf.DUMMYFUNCTION("""COMPUTED_VALUE"""),1394.25)</f>
        <v/>
      </c>
    </row>
    <row r="16300">
      <c r="J16300">
        <f>IFERROR(__xludf.DUMMYFUNCTION("""COMPUTED_VALUE"""),"Edmonton, Alebrta Vancouver, British-Columbia")</f>
        <v/>
      </c>
      <c r="K16300">
        <f>IFERROR(__xludf.DUMMYFUNCTION("""COMPUTED_VALUE"""),1394.22)</f>
        <v/>
      </c>
    </row>
    <row r="16301">
      <c r="J16301">
        <f>IFERROR(__xludf.DUMMYFUNCTION("""COMPUTED_VALUE"""),"London, ON and Montreal, QC")</f>
        <v/>
      </c>
      <c r="K16301">
        <f>IFERROR(__xludf.DUMMYFUNCTION("""COMPUTED_VALUE"""),1393.88)</f>
        <v/>
      </c>
    </row>
    <row r="16302">
      <c r="J16302">
        <f>IFERROR(__xludf.DUMMYFUNCTION("""COMPUTED_VALUE"""),"St-Jean-sur-Richelieu, Quebec, Canada")</f>
        <v/>
      </c>
      <c r="K16302">
        <f>IFERROR(__xludf.DUMMYFUNCTION("""COMPUTED_VALUE"""),1393.88)</f>
        <v/>
      </c>
    </row>
    <row r="16303">
      <c r="J16303">
        <f>IFERROR(__xludf.DUMMYFUNCTION("""COMPUTED_VALUE"""),"St-John's, Newfoundland and Labrador, Canada/ Montreal, Quebec, Canada")</f>
        <v/>
      </c>
      <c r="K16303">
        <f>IFERROR(__xludf.DUMMYFUNCTION("""COMPUTED_VALUE"""),1393.62)</f>
        <v/>
      </c>
    </row>
    <row r="16304">
      <c r="J16304">
        <f>IFERROR(__xludf.DUMMYFUNCTION("""COMPUTED_VALUE"""),"Toronto, Ontario, Canada; Guelph, Ontario, Canada; Waterloo, Ontario, Canada")</f>
        <v/>
      </c>
      <c r="K16304">
        <f>IFERROR(__xludf.DUMMYFUNCTION("""COMPUTED_VALUE"""),1393.59)</f>
        <v/>
      </c>
    </row>
    <row r="16305">
      <c r="J16305">
        <f>IFERROR(__xludf.DUMMYFUNCTION("""COMPUTED_VALUE"""),"O'Leary, Prince Edward Island, Canada; Charlottetown, Prince Edward Island, Canada")</f>
        <v/>
      </c>
      <c r="K16305">
        <f>IFERROR(__xludf.DUMMYFUNCTION("""COMPUTED_VALUE"""),1393.2)</f>
        <v/>
      </c>
    </row>
    <row r="16306">
      <c r="J16306">
        <f>IFERROR(__xludf.DUMMYFUNCTION("""COMPUTED_VALUE"""),"Ottawa, ON Kingston, ON")</f>
        <v/>
      </c>
      <c r="K16306">
        <f>IFERROR(__xludf.DUMMYFUNCTION("""COMPUTED_VALUE"""),1393.09)</f>
        <v/>
      </c>
    </row>
    <row r="16307">
      <c r="J16307">
        <f>IFERROR(__xludf.DUMMYFUNCTION("""COMPUTED_VALUE"""),"Québec, QC; Shawinigan, QC")</f>
        <v/>
      </c>
      <c r="K16307">
        <f>IFERROR(__xludf.DUMMYFUNCTION("""COMPUTED_VALUE"""),1392.99)</f>
        <v/>
      </c>
    </row>
    <row r="16308">
      <c r="J16308">
        <f>IFERROR(__xludf.DUMMYFUNCTION("""COMPUTED_VALUE"""),"Rivière-du-Loup (Quebec) Canada
Rimouski (Quebec) Canada
St-Anne-des-Monts (Quebec) Canada
Lévis (Quebec) Canada")</f>
        <v/>
      </c>
      <c r="K16308">
        <f>IFERROR(__xludf.DUMMYFUNCTION("""COMPUTED_VALUE"""),1392.97)</f>
        <v/>
      </c>
    </row>
    <row r="16309">
      <c r="J16309">
        <f>IFERROR(__xludf.DUMMYFUNCTION("""COMPUTED_VALUE"""),"Ottawa - Regina - Ottawa")</f>
        <v/>
      </c>
      <c r="K16309">
        <f>IFERROR(__xludf.DUMMYFUNCTION("""COMPUTED_VALUE"""),1392.96)</f>
        <v/>
      </c>
    </row>
    <row r="16310">
      <c r="J16310">
        <f>IFERROR(__xludf.DUMMYFUNCTION("""COMPUTED_VALUE"""),"Sudbury, ON; Timmins, ON")</f>
        <v/>
      </c>
      <c r="K16310">
        <f>IFERROR(__xludf.DUMMYFUNCTION("""COMPUTED_VALUE"""),1392.7)</f>
        <v/>
      </c>
    </row>
    <row r="16311">
      <c r="J16311">
        <f>IFERROR(__xludf.DUMMYFUNCTION("""COMPUTED_VALUE"""),"Cincinnati, Ohio, USA")</f>
        <v/>
      </c>
      <c r="K16311">
        <f>IFERROR(__xludf.DUMMYFUNCTION("""COMPUTED_VALUE"""),1392.47)</f>
        <v/>
      </c>
    </row>
    <row r="16312">
      <c r="J16312">
        <f>IFERROR(__xludf.DUMMYFUNCTION("""COMPUTED_VALUE"""),"Albany, Syracuse, Potsdam, Watertown, Cornwall")</f>
        <v/>
      </c>
      <c r="K16312">
        <f>IFERROR(__xludf.DUMMYFUNCTION("""COMPUTED_VALUE"""),1392.27)</f>
        <v/>
      </c>
    </row>
    <row r="16313">
      <c r="J16313">
        <f>IFERROR(__xludf.DUMMYFUNCTION("""COMPUTED_VALUE"""),"COMOX, ESQUIMALT, VANCOUVER, WILLIAMS LAKE")</f>
        <v/>
      </c>
      <c r="K16313">
        <f>IFERROR(__xludf.DUMMYFUNCTION("""COMPUTED_VALUE"""),1392)</f>
        <v/>
      </c>
    </row>
    <row r="16314">
      <c r="J16314">
        <f>IFERROR(__xludf.DUMMYFUNCTION("""COMPUTED_VALUE"""),"London, Ditchley, Oxford (U.K.)")</f>
        <v/>
      </c>
      <c r="K16314">
        <f>IFERROR(__xludf.DUMMYFUNCTION("""COMPUTED_VALUE"""),1391.92)</f>
        <v/>
      </c>
    </row>
    <row r="16315">
      <c r="J16315">
        <f>IFERROR(__xludf.DUMMYFUNCTION("""COMPUTED_VALUE"""),"Fredericton and Edmundston, New Brunswick")</f>
        <v/>
      </c>
      <c r="K16315">
        <f>IFERROR(__xludf.DUMMYFUNCTION("""COMPUTED_VALUE"""),1391.39)</f>
        <v/>
      </c>
    </row>
    <row r="16316">
      <c r="J16316">
        <f>IFERROR(__xludf.DUMMYFUNCTION("""COMPUTED_VALUE"""),"Moncton, NB - Sydney, NS / Sydney, NS - Moncton, NB")</f>
        <v/>
      </c>
      <c r="K16316">
        <f>IFERROR(__xludf.DUMMYFUNCTION("""COMPUTED_VALUE"""),1390.86)</f>
        <v/>
      </c>
    </row>
    <row r="16317">
      <c r="J16317">
        <f>IFERROR(__xludf.DUMMYFUNCTION("""COMPUTED_VALUE"""),"Hamilton, ON / Niagara Falls, ON")</f>
        <v/>
      </c>
      <c r="K16317">
        <f>IFERROR(__xludf.DUMMYFUNCTION("""COMPUTED_VALUE"""),1390.81)</f>
        <v/>
      </c>
    </row>
    <row r="16318">
      <c r="J16318">
        <f>IFERROR(__xludf.DUMMYFUNCTION("""COMPUTED_VALUE"""),"Ottawa, Ontario and Cantley, Quebec")</f>
        <v/>
      </c>
      <c r="K16318">
        <f>IFERROR(__xludf.DUMMYFUNCTION("""COMPUTED_VALUE"""),1390.4)</f>
        <v/>
      </c>
    </row>
    <row r="16319">
      <c r="J16319">
        <f>IFERROR(__xludf.DUMMYFUNCTION("""COMPUTED_VALUE"""),"Montreal, Mirabel, and Quebec, Quebec")</f>
        <v/>
      </c>
      <c r="K16319">
        <f>IFERROR(__xludf.DUMMYFUNCTION("""COMPUTED_VALUE"""),1389.86)</f>
        <v/>
      </c>
    </row>
    <row r="16320">
      <c r="J16320">
        <f>IFERROR(__xludf.DUMMYFUNCTION("""COMPUTED_VALUE"""),"Val d'Or, Quebec")</f>
        <v/>
      </c>
      <c r="K16320">
        <f>IFERROR(__xludf.DUMMYFUNCTION("""COMPUTED_VALUE"""),1388.99)</f>
        <v/>
      </c>
    </row>
    <row r="16321">
      <c r="J16321">
        <f>IFERROR(__xludf.DUMMYFUNCTION("""COMPUTED_VALUE"""),"Sackville, New Brunswick; Ottawa, Ontario")</f>
        <v/>
      </c>
      <c r="K16321">
        <f>IFERROR(__xludf.DUMMYFUNCTION("""COMPUTED_VALUE"""),1388.06)</f>
        <v/>
      </c>
    </row>
    <row r="16322">
      <c r="J16322">
        <f>IFERROR(__xludf.DUMMYFUNCTION("""COMPUTED_VALUE"""),"Québec City, QC - Montréal, QC")</f>
        <v/>
      </c>
      <c r="K16322">
        <f>IFERROR(__xludf.DUMMYFUNCTION("""COMPUTED_VALUE"""),1387.88)</f>
        <v/>
      </c>
    </row>
    <row r="16323">
      <c r="J16323">
        <f>IFERROR(__xludf.DUMMYFUNCTION("""COMPUTED_VALUE"""),"Detroit &amp; Windsor, Ontario")</f>
        <v/>
      </c>
      <c r="K16323">
        <f>IFERROR(__xludf.DUMMYFUNCTION("""COMPUTED_VALUE"""),1387.6)</f>
        <v/>
      </c>
    </row>
    <row r="16324">
      <c r="J16324">
        <f>IFERROR(__xludf.DUMMYFUNCTION("""COMPUTED_VALUE"""),"Quebec, Quebec, Canada / Rimouski, Quebec, Canada")</f>
        <v/>
      </c>
      <c r="K16324">
        <f>IFERROR(__xludf.DUMMYFUNCTION("""COMPUTED_VALUE"""),1387.49)</f>
        <v/>
      </c>
    </row>
    <row r="16325">
      <c r="J16325">
        <f>IFERROR(__xludf.DUMMYFUNCTION("""COMPUTED_VALUE"""),"Owen Sound, Ontario, Canada; Barrie, Ontario, Canada; Markham, Ontario, Canada; Richmond Hill, Ontario, Canada")</f>
        <v/>
      </c>
      <c r="K16325">
        <f>IFERROR(__xludf.DUMMYFUNCTION("""COMPUTED_VALUE"""),1387.44)</f>
        <v/>
      </c>
    </row>
    <row r="16326">
      <c r="J16326">
        <f>IFERROR(__xludf.DUMMYFUNCTION("""COMPUTED_VALUE"""),"Bagotville and Gatineau, Quebec")</f>
        <v/>
      </c>
      <c r="K16326">
        <f>IFERROR(__xludf.DUMMYFUNCTION("""COMPUTED_VALUE"""),1387.06)</f>
        <v/>
      </c>
    </row>
    <row r="16327">
      <c r="J16327">
        <f>IFERROR(__xludf.DUMMYFUNCTION("""COMPUTED_VALUE"""),"Ottawa, Ontario / Vancouver, British Columbia / Winnipeg, Manitoba / Toronto and Ottawa Ontario, Canada")</f>
        <v/>
      </c>
      <c r="K16327">
        <f>IFERROR(__xludf.DUMMYFUNCTION("""COMPUTED_VALUE"""),1386.68)</f>
        <v/>
      </c>
    </row>
    <row r="16328">
      <c r="J16328">
        <f>IFERROR(__xludf.DUMMYFUNCTION("""COMPUTED_VALUE"""),"St-Hyacinthe, Quebec, Canada
Longueil, Quebec, Canada")</f>
        <v/>
      </c>
      <c r="K16328">
        <f>IFERROR(__xludf.DUMMYFUNCTION("""COMPUTED_VALUE"""),1386.55)</f>
        <v/>
      </c>
    </row>
    <row r="16329">
      <c r="J16329">
        <f>IFERROR(__xludf.DUMMYFUNCTION("""COMPUTED_VALUE"""),"Montréal, Quebéc")</f>
        <v/>
      </c>
      <c r="K16329">
        <f>IFERROR(__xludf.DUMMYFUNCTION("""COMPUTED_VALUE"""),1386.09)</f>
        <v/>
      </c>
    </row>
    <row r="16330">
      <c r="J16330">
        <f>IFERROR(__xludf.DUMMYFUNCTION("""COMPUTED_VALUE"""),"Niagara, Ontario, Canada; Hamilton, Ontario, Canada; Thorold, Ontario, Canada")</f>
        <v/>
      </c>
      <c r="K16330">
        <f>IFERROR(__xludf.DUMMYFUNCTION("""COMPUTED_VALUE"""),1385.69)</f>
        <v/>
      </c>
    </row>
    <row r="16331">
      <c r="J16331">
        <f>IFERROR(__xludf.DUMMYFUNCTION("""COMPUTED_VALUE"""),"London (ON), Toronto")</f>
        <v/>
      </c>
      <c r="K16331">
        <f>IFERROR(__xludf.DUMMYFUNCTION("""COMPUTED_VALUE"""),1385.57)</f>
        <v/>
      </c>
    </row>
    <row r="16332">
      <c r="J16332">
        <f>IFERROR(__xludf.DUMMYFUNCTION("""COMPUTED_VALUE"""),"Charlottetown,   Î.-P.-É. &amp;  Halifax, NÉ")</f>
        <v/>
      </c>
      <c r="K16332">
        <f>IFERROR(__xludf.DUMMYFUNCTION("""COMPUTED_VALUE"""),1384.8)</f>
        <v/>
      </c>
    </row>
    <row r="16333">
      <c r="J16333">
        <f>IFERROR(__xludf.DUMMYFUNCTION("""COMPUTED_VALUE"""),"Iqaluit, Yellowknife")</f>
        <v/>
      </c>
      <c r="K16333">
        <f>IFERROR(__xludf.DUMMYFUNCTION("""COMPUTED_VALUE"""),1384.78)</f>
        <v/>
      </c>
    </row>
    <row r="16334">
      <c r="J16334">
        <f>IFERROR(__xludf.DUMMYFUNCTION("""COMPUTED_VALUE"""),"Kitchener and Waterloo")</f>
        <v/>
      </c>
      <c r="K16334">
        <f>IFERROR(__xludf.DUMMYFUNCTION("""COMPUTED_VALUE"""),1384.56)</f>
        <v/>
      </c>
    </row>
    <row r="16335">
      <c r="J16335">
        <f>IFERROR(__xludf.DUMMYFUNCTION("""COMPUTED_VALUE"""),"Toronto, ON / St. Catharines ON")</f>
        <v/>
      </c>
      <c r="K16335">
        <f>IFERROR(__xludf.DUMMYFUNCTION("""COMPUTED_VALUE"""),1384.51)</f>
        <v/>
      </c>
    </row>
    <row r="16336">
      <c r="J16336">
        <f>IFERROR(__xludf.DUMMYFUNCTION("""COMPUTED_VALUE"""),"Hampton, NB")</f>
        <v/>
      </c>
      <c r="K16336">
        <f>IFERROR(__xludf.DUMMYFUNCTION("""COMPUTED_VALUE"""),1384.06)</f>
        <v/>
      </c>
    </row>
    <row r="16337">
      <c r="J16337">
        <f>IFERROR(__xludf.DUMMYFUNCTION("""COMPUTED_VALUE"""),"Halifax, Nova Scotia, Canada; Saint John, New Brunswick, Canada; Fredericton, New Brunswick, Canada")</f>
        <v/>
      </c>
      <c r="K16337">
        <f>IFERROR(__xludf.DUMMYFUNCTION("""COMPUTED_VALUE"""),1383.76)</f>
        <v/>
      </c>
    </row>
    <row r="16338">
      <c r="J16338">
        <f>IFERROR(__xludf.DUMMYFUNCTION("""COMPUTED_VALUE"""),"Waterloo-Belleville-Toronto-
Bowmanville-Leamington")</f>
        <v/>
      </c>
      <c r="K16338">
        <f>IFERROR(__xludf.DUMMYFUNCTION("""COMPUTED_VALUE"""),1383.68)</f>
        <v/>
      </c>
    </row>
    <row r="16339">
      <c r="J16339">
        <f>IFERROR(__xludf.DUMMYFUNCTION("""COMPUTED_VALUE"""),"Durham, Ontario")</f>
        <v/>
      </c>
      <c r="K16339">
        <f>IFERROR(__xludf.DUMMYFUNCTION("""COMPUTED_VALUE"""),1383.48)</f>
        <v/>
      </c>
    </row>
    <row r="16340">
      <c r="J16340">
        <f>IFERROR(__xludf.DUMMYFUNCTION("""COMPUTED_VALUE"""),"Istanbul (accompanied by spouse)  Trip by car")</f>
        <v/>
      </c>
      <c r="K16340">
        <f>IFERROR(__xludf.DUMMYFUNCTION("""COMPUTED_VALUE"""),1383.12)</f>
        <v/>
      </c>
    </row>
    <row r="16341">
      <c r="J16341">
        <f>IFERROR(__xludf.DUMMYFUNCTION("""COMPUTED_VALUE"""),"Toronto, On, Burlington, On")</f>
        <v/>
      </c>
      <c r="K16341">
        <f>IFERROR(__xludf.DUMMYFUNCTION("""COMPUTED_VALUE"""),1382.91)</f>
        <v/>
      </c>
    </row>
    <row r="16342">
      <c r="J16342">
        <f>IFERROR(__xludf.DUMMYFUNCTION("""COMPUTED_VALUE"""),"Edmonton, AB and Washington, DC")</f>
        <v/>
      </c>
      <c r="K16342">
        <f>IFERROR(__xludf.DUMMYFUNCTION("""COMPUTED_VALUE"""),1382.59)</f>
        <v/>
      </c>
    </row>
    <row r="16343">
      <c r="J16343">
        <f>IFERROR(__xludf.DUMMYFUNCTION("""COMPUTED_VALUE"""),"TRURO, NS")</f>
        <v/>
      </c>
      <c r="K16343">
        <f>IFERROR(__xludf.DUMMYFUNCTION("""COMPUTED_VALUE"""),1382.51)</f>
        <v/>
      </c>
    </row>
    <row r="16344">
      <c r="J16344">
        <f>IFERROR(__xludf.DUMMYFUNCTION("""COMPUTED_VALUE"""),"Edmonton, Alberta;
Ottawa, Ontario")</f>
        <v/>
      </c>
      <c r="K16344">
        <f>IFERROR(__xludf.DUMMYFUNCTION("""COMPUTED_VALUE"""),1382.21)</f>
        <v/>
      </c>
    </row>
    <row r="16345">
      <c r="J16345">
        <f>IFERROR(__xludf.DUMMYFUNCTION("""COMPUTED_VALUE"""),"Innsbruck, Austria")</f>
        <v/>
      </c>
      <c r="K16345">
        <f>IFERROR(__xludf.DUMMYFUNCTION("""COMPUTED_VALUE"""),1382.18)</f>
        <v/>
      </c>
    </row>
    <row r="16346">
      <c r="J16346">
        <f>IFERROR(__xludf.DUMMYFUNCTION("""COMPUTED_VALUE"""),"Ingonish, NS")</f>
        <v/>
      </c>
      <c r="K16346">
        <f>IFERROR(__xludf.DUMMYFUNCTION("""COMPUTED_VALUE"""),1382.01)</f>
        <v/>
      </c>
    </row>
    <row r="16347">
      <c r="J16347">
        <f>IFERROR(__xludf.DUMMYFUNCTION("""COMPUTED_VALUE"""),"Toronto, ON Fredericton, NB")</f>
        <v/>
      </c>
      <c r="K16347">
        <f>IFERROR(__xludf.DUMMYFUNCTION("""COMPUTED_VALUE"""),1380.77)</f>
        <v/>
      </c>
    </row>
    <row r="16348">
      <c r="J16348">
        <f>IFERROR(__xludf.DUMMYFUNCTION("""COMPUTED_VALUE"""),"Dallas, Texas, United States; Edmonton, Alberta")</f>
        <v/>
      </c>
      <c r="K16348">
        <f>IFERROR(__xludf.DUMMYFUNCTION("""COMPUTED_VALUE"""),1380.31)</f>
        <v/>
      </c>
    </row>
    <row r="16349">
      <c r="J16349">
        <f>IFERROR(__xludf.DUMMYFUNCTION("""COMPUTED_VALUE"""),"Ottawa, ON to Charlottetown, PE")</f>
        <v/>
      </c>
      <c r="K16349">
        <f>IFERROR(__xludf.DUMMYFUNCTION("""COMPUTED_VALUE"""),1380.23)</f>
        <v/>
      </c>
    </row>
    <row r="16350">
      <c r="J16350">
        <f>IFERROR(__xludf.DUMMYFUNCTION("""COMPUTED_VALUE"""),"Toronto, Ontario and Hamilton, Ontario")</f>
        <v/>
      </c>
      <c r="K16350">
        <f>IFERROR(__xludf.DUMMYFUNCTION("""COMPUTED_VALUE"""),1379.9)</f>
        <v/>
      </c>
    </row>
    <row r="16351">
      <c r="J16351">
        <f>IFERROR(__xludf.DUMMYFUNCTION("""COMPUTED_VALUE"""),"Washington, DC, U.S.A.; Colorado Springs, CO, U.S.A.")</f>
        <v/>
      </c>
      <c r="K16351">
        <f>IFERROR(__xludf.DUMMYFUNCTION("""COMPUTED_VALUE"""),1379.37)</f>
        <v/>
      </c>
    </row>
    <row r="16352">
      <c r="J16352">
        <f>IFERROR(__xludf.DUMMYFUNCTION("""COMPUTED_VALUE"""),"Magog, Quebec, Canada")</f>
        <v/>
      </c>
      <c r="K16352">
        <f>IFERROR(__xludf.DUMMYFUNCTION("""COMPUTED_VALUE"""),1378.97)</f>
        <v/>
      </c>
    </row>
    <row r="16353">
      <c r="J16353">
        <f>IFERROR(__xludf.DUMMYFUNCTION("""COMPUTED_VALUE"""),"Amos, QC")</f>
        <v/>
      </c>
      <c r="K16353">
        <f>IFERROR(__xludf.DUMMYFUNCTION("""COMPUTED_VALUE"""),1378.54)</f>
        <v/>
      </c>
    </row>
    <row r="16354">
      <c r="J16354">
        <f>IFERROR(__xludf.DUMMYFUNCTION("""COMPUTED_VALUE"""),"Ottawa ON)")</f>
        <v/>
      </c>
      <c r="K16354">
        <f>IFERROR(__xludf.DUMMYFUNCTION("""COMPUTED_VALUE"""),1378.37)</f>
        <v/>
      </c>
    </row>
    <row r="16355">
      <c r="J16355">
        <f>IFERROR(__xludf.DUMMYFUNCTION("""COMPUTED_VALUE"""),"Timmins, Ontario, Canada; Sudbury, Ontario, Canada")</f>
        <v/>
      </c>
      <c r="K16355">
        <f>IFERROR(__xludf.DUMMYFUNCTION("""COMPUTED_VALUE"""),1377.97)</f>
        <v/>
      </c>
    </row>
    <row r="16356">
      <c r="J16356">
        <f>IFERROR(__xludf.DUMMYFUNCTION("""COMPUTED_VALUE"""),"Missisauga")</f>
        <v/>
      </c>
      <c r="K16356">
        <f>IFERROR(__xludf.DUMMYFUNCTION("""COMPUTED_VALUE"""),1377.81)</f>
        <v/>
      </c>
    </row>
    <row r="16357">
      <c r="J16357">
        <f>IFERROR(__xludf.DUMMYFUNCTION("""COMPUTED_VALUE"""),"Montreal-Toronto Saskatoon-Toronto- Montreal")</f>
        <v/>
      </c>
      <c r="K16357">
        <f>IFERROR(__xludf.DUMMYFUNCTION("""COMPUTED_VALUE"""),1377.21)</f>
        <v/>
      </c>
    </row>
    <row r="16358">
      <c r="J16358">
        <f>IFERROR(__xludf.DUMMYFUNCTION("""COMPUTED_VALUE"""),"Quebec City (QC) and Halifax (NS)")</f>
        <v/>
      </c>
      <c r="K16358">
        <f>IFERROR(__xludf.DUMMYFUNCTION("""COMPUTED_VALUE"""),1376.96)</f>
        <v/>
      </c>
    </row>
    <row r="16359">
      <c r="J16359">
        <f>IFERROR(__xludf.DUMMYFUNCTION("""COMPUTED_VALUE"""),"Oslo (Norway)")</f>
        <v/>
      </c>
      <c r="K16359">
        <f>IFERROR(__xludf.DUMMYFUNCTION("""COMPUTED_VALUE"""),1376.9)</f>
        <v/>
      </c>
    </row>
    <row r="16360">
      <c r="J16360">
        <f>IFERROR(__xludf.DUMMYFUNCTION("""COMPUTED_VALUE"""),"Halifax, NS - Charlottetown, PE / Charlottetown, PE - Ottawa, ON")</f>
        <v/>
      </c>
      <c r="K16360">
        <f>IFERROR(__xludf.DUMMYFUNCTION("""COMPUTED_VALUE"""),1375.7)</f>
        <v/>
      </c>
    </row>
    <row r="16361">
      <c r="J16361">
        <f>IFERROR(__xludf.DUMMYFUNCTION("""COMPUTED_VALUE"""),"Toronto, (Ontario)- Washington (District of Colombus)")</f>
        <v/>
      </c>
      <c r="K16361">
        <f>IFERROR(__xludf.DUMMYFUNCTION("""COMPUTED_VALUE"""),1375.65)</f>
        <v/>
      </c>
    </row>
    <row r="16362">
      <c r="J16362">
        <f>IFERROR(__xludf.DUMMYFUNCTION("""COMPUTED_VALUE"""),"Toronto, ON/Halifax NS")</f>
        <v/>
      </c>
      <c r="K16362">
        <f>IFERROR(__xludf.DUMMYFUNCTION("""COMPUTED_VALUE"""),1375.64)</f>
        <v/>
      </c>
    </row>
    <row r="16363">
      <c r="J16363">
        <f>IFERROR(__xludf.DUMMYFUNCTION("""COMPUTED_VALUE"""),"Ottawa, Oklahoma City")</f>
        <v/>
      </c>
      <c r="K16363">
        <f>IFERROR(__xludf.DUMMYFUNCTION("""COMPUTED_VALUE"""),1375.18)</f>
        <v/>
      </c>
    </row>
    <row r="16364">
      <c r="J16364">
        <f>IFERROR(__xludf.DUMMYFUNCTION("""COMPUTED_VALUE"""),"Ottawa , Canada")</f>
        <v/>
      </c>
      <c r="K16364">
        <f>IFERROR(__xludf.DUMMYFUNCTION("""COMPUTED_VALUE"""),1374.76)</f>
        <v/>
      </c>
    </row>
    <row r="16365">
      <c r="J16365">
        <f>IFERROR(__xludf.DUMMYFUNCTION("""COMPUTED_VALUE"""),"Charlottetown, PEI and Moncton, NB")</f>
        <v/>
      </c>
      <c r="K16365">
        <f>IFERROR(__xludf.DUMMYFUNCTION("""COMPUTED_VALUE"""),1374.66)</f>
        <v/>
      </c>
    </row>
    <row r="16366">
      <c r="J16366">
        <f>IFERROR(__xludf.DUMMYFUNCTION("""COMPUTED_VALUE"""),"Greater Toronto Area Region")</f>
        <v/>
      </c>
      <c r="K16366">
        <f>IFERROR(__xludf.DUMMYFUNCTION("""COMPUTED_VALUE"""),1374.62)</f>
        <v/>
      </c>
    </row>
    <row r="16367">
      <c r="J16367">
        <f>IFERROR(__xludf.DUMMYFUNCTION("""COMPUTED_VALUE"""),"Albany")</f>
        <v/>
      </c>
      <c r="K16367">
        <f>IFERROR(__xludf.DUMMYFUNCTION("""COMPUTED_VALUE"""),1374.45)</f>
        <v/>
      </c>
    </row>
    <row r="16368">
      <c r="J16368">
        <f>IFERROR(__xludf.DUMMYFUNCTION("""COMPUTED_VALUE"""),"Saskatoon, SK - Regina, SK")</f>
        <v/>
      </c>
      <c r="K16368">
        <f>IFERROR(__xludf.DUMMYFUNCTION("""COMPUTED_VALUE"""),1374.26)</f>
        <v/>
      </c>
    </row>
    <row r="16369">
      <c r="J16369">
        <f>IFERROR(__xludf.DUMMYFUNCTION("""COMPUTED_VALUE"""),"Ottawa, ON; Gatineau, QC")</f>
        <v/>
      </c>
      <c r="K16369">
        <f>IFERROR(__xludf.DUMMYFUNCTION("""COMPUTED_VALUE"""),1374.06)</f>
        <v/>
      </c>
    </row>
    <row r="16370">
      <c r="J16370">
        <f>IFERROR(__xludf.DUMMYFUNCTION("""COMPUTED_VALUE"""),"Bonavista, Newfoundland and Labrador, Canada")</f>
        <v/>
      </c>
      <c r="K16370">
        <f>IFERROR(__xludf.DUMMYFUNCTION("""COMPUTED_VALUE"""),1374.05)</f>
        <v/>
      </c>
    </row>
    <row r="16371">
      <c r="J16371">
        <f>IFERROR(__xludf.DUMMYFUNCTION("""COMPUTED_VALUE"""),"Charlottetown, Prince Edward Island And Nova Scotia")</f>
        <v/>
      </c>
      <c r="K16371">
        <f>IFERROR(__xludf.DUMMYFUNCTION("""COMPUTED_VALUE"""),1373.57)</f>
        <v/>
      </c>
    </row>
    <row r="16372">
      <c r="J16372">
        <f>IFERROR(__xludf.DUMMYFUNCTION("""COMPUTED_VALUE"""),"King City, ON")</f>
        <v/>
      </c>
      <c r="K16372">
        <f>IFERROR(__xludf.DUMMYFUNCTION("""COMPUTED_VALUE"""),1373.52)</f>
        <v/>
      </c>
    </row>
    <row r="16373">
      <c r="J16373">
        <f>IFERROR(__xludf.DUMMYFUNCTION("""COMPUTED_VALUE"""),"Calgary, Alberta, Canada; Ottawa, Ontario, Canada")</f>
        <v/>
      </c>
      <c r="K16373">
        <f>IFERROR(__xludf.DUMMYFUNCTION("""COMPUTED_VALUE"""),1373.5)</f>
        <v/>
      </c>
    </row>
    <row r="16374">
      <c r="J16374">
        <f>IFERROR(__xludf.DUMMYFUNCTION("""COMPUTED_VALUE"""),"Russia and Eastern Europe")</f>
        <v/>
      </c>
      <c r="K16374">
        <f>IFERROR(__xludf.DUMMYFUNCTION("""COMPUTED_VALUE"""),1373.29)</f>
        <v/>
      </c>
    </row>
    <row r="16375">
      <c r="J16375">
        <f>IFERROR(__xludf.DUMMYFUNCTION("""COMPUTED_VALUE"""),"Vanvouver, BC")</f>
        <v/>
      </c>
      <c r="K16375">
        <f>IFERROR(__xludf.DUMMYFUNCTION("""COMPUTED_VALUE"""),1373.25)</f>
        <v/>
      </c>
    </row>
    <row r="16376">
      <c r="J16376">
        <f>IFERROR(__xludf.DUMMYFUNCTION("""COMPUTED_VALUE"""),"Vancouver, British Columbia, Canada; Saskatoon, Saskatchewan, Canada")</f>
        <v/>
      </c>
      <c r="K16376">
        <f>IFERROR(__xludf.DUMMYFUNCTION("""COMPUTED_VALUE"""),1372.46)</f>
        <v/>
      </c>
    </row>
    <row r="16377">
      <c r="J16377">
        <f>IFERROR(__xludf.DUMMYFUNCTION("""COMPUTED_VALUE"""),"Guelph, Ontario / Toronto, Ontario, Canada")</f>
        <v/>
      </c>
      <c r="K16377">
        <f>IFERROR(__xludf.DUMMYFUNCTION("""COMPUTED_VALUE"""),1372.35)</f>
        <v/>
      </c>
    </row>
    <row r="16378">
      <c r="J16378">
        <f>IFERROR(__xludf.DUMMYFUNCTION("""COMPUTED_VALUE"""),"Toronto and East Gwillimbury, Ontario, Canada")</f>
        <v/>
      </c>
      <c r="K16378">
        <f>IFERROR(__xludf.DUMMYFUNCTION("""COMPUTED_VALUE"""),1372)</f>
        <v/>
      </c>
    </row>
    <row r="16379">
      <c r="J16379">
        <f>IFERROR(__xludf.DUMMYFUNCTION("""COMPUTED_VALUE"""),"Montague, Prince Edward Island")</f>
        <v/>
      </c>
      <c r="K16379">
        <f>IFERROR(__xludf.DUMMYFUNCTION("""COMPUTED_VALUE"""),1371.72)</f>
        <v/>
      </c>
    </row>
    <row r="16380">
      <c r="J16380">
        <f>IFERROR(__xludf.DUMMYFUNCTION("""COMPUTED_VALUE"""),"Quebec and Montreal")</f>
        <v/>
      </c>
      <c r="K16380">
        <f>IFERROR(__xludf.DUMMYFUNCTION("""COMPUTED_VALUE"""),1371.53)</f>
        <v/>
      </c>
    </row>
    <row r="16381">
      <c r="J16381">
        <f>IFERROR(__xludf.DUMMYFUNCTION("""COMPUTED_VALUE"""),"Saint-Adèle, Quebec")</f>
        <v/>
      </c>
      <c r="K16381">
        <f>IFERROR(__xludf.DUMMYFUNCTION("""COMPUTED_VALUE"""),1371.51)</f>
        <v/>
      </c>
    </row>
    <row r="16382">
      <c r="J16382">
        <f>IFERROR(__xludf.DUMMYFUNCTION("""COMPUTED_VALUE"""),"Fredericton, New Brunswick, Canada; Québec, Quebec, Canada; Orford, Quebec, Canada")</f>
        <v/>
      </c>
      <c r="K16382">
        <f>IFERROR(__xludf.DUMMYFUNCTION("""COMPUTED_VALUE"""),1371.43)</f>
        <v/>
      </c>
    </row>
    <row r="16383">
      <c r="J16383">
        <f>IFERROR(__xludf.DUMMYFUNCTION("""COMPUTED_VALUE"""),"Halifax, Nova Scotia; Pictou, Nova Scotia")</f>
        <v/>
      </c>
      <c r="K16383">
        <f>IFERROR(__xludf.DUMMYFUNCTION("""COMPUTED_VALUE"""),1371.33)</f>
        <v/>
      </c>
    </row>
    <row r="16384">
      <c r="J16384">
        <f>IFERROR(__xludf.DUMMYFUNCTION("""COMPUTED_VALUE"""),"Quebec, QC / Montreal, QC / Mississauga, ON")</f>
        <v/>
      </c>
      <c r="K16384">
        <f>IFERROR(__xludf.DUMMYFUNCTION("""COMPUTED_VALUE"""),1371.22)</f>
        <v/>
      </c>
    </row>
    <row r="16385">
      <c r="J16385">
        <f>IFERROR(__xludf.DUMMYFUNCTION("""COMPUTED_VALUE"""),"Charlbury, United Kingdom")</f>
        <v/>
      </c>
      <c r="K16385">
        <f>IFERROR(__xludf.DUMMYFUNCTION("""COMPUTED_VALUE"""),1370.94)</f>
        <v/>
      </c>
    </row>
    <row r="16386">
      <c r="J16386">
        <f>IFERROR(__xludf.DUMMYFUNCTION("""COMPUTED_VALUE"""),"Kitchener/ Toronto ON")</f>
        <v/>
      </c>
      <c r="K16386">
        <f>IFERROR(__xludf.DUMMYFUNCTION("""COMPUTED_VALUE"""),1370.92)</f>
        <v/>
      </c>
    </row>
    <row r="16387">
      <c r="J16387">
        <f>IFERROR(__xludf.DUMMYFUNCTION("""COMPUTED_VALUE"""),"Chester, Nova Scotia, Canada")</f>
        <v/>
      </c>
      <c r="K16387">
        <f>IFERROR(__xludf.DUMMYFUNCTION("""COMPUTED_VALUE"""),1370.86)</f>
        <v/>
      </c>
    </row>
    <row r="16388">
      <c r="J16388">
        <f>IFERROR(__xludf.DUMMYFUNCTION("""COMPUTED_VALUE"""),"Trail, British Columbia, Canada")</f>
        <v/>
      </c>
      <c r="K16388">
        <f>IFERROR(__xludf.DUMMYFUNCTION("""COMPUTED_VALUE"""),1370.61)</f>
        <v/>
      </c>
    </row>
    <row r="16389">
      <c r="J16389">
        <f>IFERROR(__xludf.DUMMYFUNCTION("""COMPUTED_VALUE"""),"Val d'Or, Montréal, Ottawa")</f>
        <v/>
      </c>
      <c r="K16389">
        <f>IFERROR(__xludf.DUMMYFUNCTION("""COMPUTED_VALUE"""),1370.09)</f>
        <v/>
      </c>
    </row>
    <row r="16390">
      <c r="J16390">
        <f>IFERROR(__xludf.DUMMYFUNCTION("""COMPUTED_VALUE"""),"Baltimore, USA; Washington DC, USA")</f>
        <v/>
      </c>
      <c r="K16390">
        <f>IFERROR(__xludf.DUMMYFUNCTION("""COMPUTED_VALUE"""),1369.92)</f>
        <v/>
      </c>
    </row>
    <row r="16391">
      <c r="J16391">
        <f>IFERROR(__xludf.DUMMYFUNCTION("""COMPUTED_VALUE"""),"Ottawa-Toronto-Charlottetown-Montreal-Ottawa")</f>
        <v/>
      </c>
      <c r="K16391">
        <f>IFERROR(__xludf.DUMMYFUNCTION("""COMPUTED_VALUE"""),1369.29)</f>
        <v/>
      </c>
    </row>
    <row r="16392">
      <c r="J16392">
        <f>IFERROR(__xludf.DUMMYFUNCTION("""COMPUTED_VALUE"""),"Ottawa- Montreal-Ottawa")</f>
        <v/>
      </c>
      <c r="K16392">
        <f>IFERROR(__xludf.DUMMYFUNCTION("""COMPUTED_VALUE"""),1369.2)</f>
        <v/>
      </c>
    </row>
    <row r="16393">
      <c r="J16393">
        <f>IFERROR(__xludf.DUMMYFUNCTION("""COMPUTED_VALUE"""),"St. Catharines, Ontario, Canada; Hamilton, Ontario, Canada; Kitchener, Ontario, Canada; Toronto, Ontario, Canada")</f>
        <v/>
      </c>
      <c r="K16393">
        <f>IFERROR(__xludf.DUMMYFUNCTION("""COMPUTED_VALUE"""),1368.83)</f>
        <v/>
      </c>
    </row>
    <row r="16394">
      <c r="J16394">
        <f>IFERROR(__xludf.DUMMYFUNCTION("""COMPUTED_VALUE"""),"Yellowknife, Northwest Territoires")</f>
        <v/>
      </c>
      <c r="K16394">
        <f>IFERROR(__xludf.DUMMYFUNCTION("""COMPUTED_VALUE"""),1368.82)</f>
        <v/>
      </c>
    </row>
    <row r="16395">
      <c r="J16395">
        <f>IFERROR(__xludf.DUMMYFUNCTION("""COMPUTED_VALUE"""),"Moncton, New Brunswick, Canada / Boston, Massachusetts, United States of America")</f>
        <v/>
      </c>
      <c r="K16395">
        <f>IFERROR(__xludf.DUMMYFUNCTION("""COMPUTED_VALUE"""),1368.5)</f>
        <v/>
      </c>
    </row>
    <row r="16396">
      <c r="J16396">
        <f>IFERROR(__xludf.DUMMYFUNCTION("""COMPUTED_VALUE"""),"Toronto, ON and Fredericton, NB")</f>
        <v/>
      </c>
      <c r="K16396">
        <f>IFERROR(__xludf.DUMMYFUNCTION("""COMPUTED_VALUE"""),1368.38)</f>
        <v/>
      </c>
    </row>
    <row r="16397">
      <c r="J16397">
        <f>IFERROR(__xludf.DUMMYFUNCTION("""COMPUTED_VALUE"""),"St.John, New-Brunswick")</f>
        <v/>
      </c>
      <c r="K16397">
        <f>IFERROR(__xludf.DUMMYFUNCTION("""COMPUTED_VALUE"""),1368.3)</f>
        <v/>
      </c>
    </row>
    <row r="16398">
      <c r="J16398">
        <f>IFERROR(__xludf.DUMMYFUNCTION("""COMPUTED_VALUE"""),"Yellowknife, Northwest Territories,
Canada")</f>
        <v/>
      </c>
      <c r="K16398">
        <f>IFERROR(__xludf.DUMMYFUNCTION("""COMPUTED_VALUE"""),1368.06)</f>
        <v/>
      </c>
    </row>
    <row r="16399">
      <c r="J16399">
        <f>IFERROR(__xludf.DUMMYFUNCTION("""COMPUTED_VALUE"""),"Sequim, Washington, United States")</f>
        <v/>
      </c>
      <c r="K16399">
        <f>IFERROR(__xludf.DUMMYFUNCTION("""COMPUTED_VALUE"""),1367.99)</f>
        <v/>
      </c>
    </row>
    <row r="16400">
      <c r="J16400">
        <f>IFERROR(__xludf.DUMMYFUNCTION("""COMPUTED_VALUE"""),"Toronto, Onatrio, Canada")</f>
        <v/>
      </c>
      <c r="K16400">
        <f>IFERROR(__xludf.DUMMYFUNCTION("""COMPUTED_VALUE"""),1367.92)</f>
        <v/>
      </c>
    </row>
    <row r="16401">
      <c r="J16401">
        <f>IFERROR(__xludf.DUMMYFUNCTION("""COMPUTED_VALUE"""),"New-York, New York, United States")</f>
        <v/>
      </c>
      <c r="K16401">
        <f>IFERROR(__xludf.DUMMYFUNCTION("""COMPUTED_VALUE"""),1367.56)</f>
        <v/>
      </c>
    </row>
    <row r="16402">
      <c r="J16402">
        <f>IFERROR(__xludf.DUMMYFUNCTION("""COMPUTED_VALUE"""),"La Baie and Jonquière (Québec) Canada")</f>
        <v/>
      </c>
      <c r="K16402">
        <f>IFERROR(__xludf.DUMMYFUNCTION("""COMPUTED_VALUE"""),1367.23)</f>
        <v/>
      </c>
    </row>
    <row r="16403">
      <c r="J16403">
        <f>IFERROR(__xludf.DUMMYFUNCTION("""COMPUTED_VALUE"""),"Gatineau, Quebec, Canada                                Chambly, Quebec, Canada")</f>
        <v/>
      </c>
      <c r="K16403">
        <f>IFERROR(__xludf.DUMMYFUNCTION("""COMPUTED_VALUE"""),1367.01)</f>
        <v/>
      </c>
    </row>
    <row r="16404">
      <c r="J16404">
        <f>IFERROR(__xludf.DUMMYFUNCTION("""COMPUTED_VALUE"""),"Whitby - Toronto- London, ON")</f>
        <v/>
      </c>
      <c r="K16404">
        <f>IFERROR(__xludf.DUMMYFUNCTION("""COMPUTED_VALUE"""),1366.98)</f>
        <v/>
      </c>
    </row>
    <row r="16405">
      <c r="J16405">
        <f>IFERROR(__xludf.DUMMYFUNCTION("""COMPUTED_VALUE"""),"Newmarket, Ontario / Toronto, Ontario, Canada")</f>
        <v/>
      </c>
      <c r="K16405">
        <f>IFERROR(__xludf.DUMMYFUNCTION("""COMPUTED_VALUE"""),1366.94)</f>
        <v/>
      </c>
    </row>
    <row r="16406">
      <c r="J16406">
        <f>IFERROR(__xludf.DUMMYFUNCTION("""COMPUTED_VALUE"""),"Alton, ON")</f>
        <v/>
      </c>
      <c r="K16406">
        <f>IFERROR(__xludf.DUMMYFUNCTION("""COMPUTED_VALUE"""),1366.75)</f>
        <v/>
      </c>
    </row>
    <row r="16407">
      <c r="J16407">
        <f>IFERROR(__xludf.DUMMYFUNCTION("""COMPUTED_VALUE"""),"Moncton, New Brunswick &amp; Gatineau, Quebec")</f>
        <v/>
      </c>
      <c r="K16407">
        <f>IFERROR(__xludf.DUMMYFUNCTION("""COMPUTED_VALUE"""),1366.47)</f>
        <v/>
      </c>
    </row>
    <row r="16408">
      <c r="J16408">
        <f>IFERROR(__xludf.DUMMYFUNCTION("""COMPUTED_VALUE"""),"Gander and St. John's, Newfoundland and Labrador")</f>
        <v/>
      </c>
      <c r="K16408">
        <f>IFERROR(__xludf.DUMMYFUNCTION("""COMPUTED_VALUE"""),1366.41)</f>
        <v/>
      </c>
    </row>
    <row r="16409">
      <c r="J16409">
        <f>IFERROR(__xludf.DUMMYFUNCTION("""COMPUTED_VALUE"""),"Halifax, Nova Scotia, Canada; Ottawa, Ontario, Canada; St. John's, Newfoundland and Labrador, Canada")</f>
        <v/>
      </c>
      <c r="K16409">
        <f>IFERROR(__xludf.DUMMYFUNCTION("""COMPUTED_VALUE"""),1365.82)</f>
        <v/>
      </c>
    </row>
    <row r="16410">
      <c r="J16410">
        <f>IFERROR(__xludf.DUMMYFUNCTION("""COMPUTED_VALUE"""),"Ann Arbor, MI / Detroit, MI")</f>
        <v/>
      </c>
      <c r="K16410">
        <f>IFERROR(__xludf.DUMMYFUNCTION("""COMPUTED_VALUE"""),1365.77)</f>
        <v/>
      </c>
    </row>
    <row r="16411">
      <c r="J16411">
        <f>IFERROR(__xludf.DUMMYFUNCTION("""COMPUTED_VALUE"""),"St. Johns, Newfoundland and Labrador, Canada")</f>
        <v/>
      </c>
      <c r="K16411">
        <f>IFERROR(__xludf.DUMMYFUNCTION("""COMPUTED_VALUE"""),1365.01)</f>
        <v/>
      </c>
    </row>
    <row r="16412">
      <c r="J16412">
        <f>IFERROR(__xludf.DUMMYFUNCTION("""COMPUTED_VALUE"""),"Whidbey Island, Washington State, United States of America &amp; Vancouver, British-Colombia, Canada")</f>
        <v/>
      </c>
      <c r="K16412">
        <f>IFERROR(__xludf.DUMMYFUNCTION("""COMPUTED_VALUE"""),1364.61)</f>
        <v/>
      </c>
    </row>
    <row r="16413">
      <c r="J16413">
        <f>IFERROR(__xludf.DUMMYFUNCTION("""COMPUTED_VALUE"""),"Paris, Fontainebleau")</f>
        <v/>
      </c>
      <c r="K16413">
        <f>IFERROR(__xludf.DUMMYFUNCTION("""COMPUTED_VALUE"""),1364.46)</f>
        <v/>
      </c>
    </row>
    <row r="16414">
      <c r="J16414">
        <f>IFERROR(__xludf.DUMMYFUNCTION("""COMPUTED_VALUE"""),"Montreal / Brossard / Saint-Constant / Laval / Sainte-Thérèse, (Quebec)")</f>
        <v/>
      </c>
      <c r="K16414">
        <f>IFERROR(__xludf.DUMMYFUNCTION("""COMPUTED_VALUE"""),1364.21)</f>
        <v/>
      </c>
    </row>
    <row r="16415">
      <c r="J16415">
        <f>IFERROR(__xludf.DUMMYFUNCTION("""COMPUTED_VALUE"""),"Montreal &amp; Quebec, QC")</f>
        <v/>
      </c>
      <c r="K16415">
        <f>IFERROR(__xludf.DUMMYFUNCTION("""COMPUTED_VALUE"""),1364.08)</f>
        <v/>
      </c>
    </row>
    <row r="16416">
      <c r="J16416">
        <f>IFERROR(__xludf.DUMMYFUNCTION("""COMPUTED_VALUE"""),"Vancouver, Britsh-Columbia")</f>
        <v/>
      </c>
      <c r="K16416">
        <f>IFERROR(__xludf.DUMMYFUNCTION("""COMPUTED_VALUE"""),1363.54)</f>
        <v/>
      </c>
    </row>
    <row r="16417">
      <c r="J16417">
        <f>IFERROR(__xludf.DUMMYFUNCTION("""COMPUTED_VALUE"""),"Borden, London &amp; Ipperwash, Ontario, Canada")</f>
        <v/>
      </c>
      <c r="K16417">
        <f>IFERROR(__xludf.DUMMYFUNCTION("""COMPUTED_VALUE"""),1363.53)</f>
        <v/>
      </c>
    </row>
    <row r="16418">
      <c r="J16418">
        <f>IFERROR(__xludf.DUMMYFUNCTION("""COMPUTED_VALUE"""),"St. John's / Halifax")</f>
        <v/>
      </c>
      <c r="K16418">
        <f>IFERROR(__xludf.DUMMYFUNCTION("""COMPUTED_VALUE"""),1363.42)</f>
        <v/>
      </c>
    </row>
    <row r="16419">
      <c r="J16419">
        <f>IFERROR(__xludf.DUMMYFUNCTION("""COMPUTED_VALUE"""),"Montreal / Winnipeg")</f>
        <v/>
      </c>
      <c r="K16419">
        <f>IFERROR(__xludf.DUMMYFUNCTION("""COMPUTED_VALUE"""),1363.2)</f>
        <v/>
      </c>
    </row>
    <row r="16420">
      <c r="J16420">
        <f>IFERROR(__xludf.DUMMYFUNCTION("""COMPUTED_VALUE"""),"Charlottetown, PE; Summerside, PE; Moncton, NB")</f>
        <v/>
      </c>
      <c r="K16420">
        <f>IFERROR(__xludf.DUMMYFUNCTION("""COMPUTED_VALUE"""),1363.03)</f>
        <v/>
      </c>
    </row>
    <row r="16421">
      <c r="J16421">
        <f>IFERROR(__xludf.DUMMYFUNCTION("""COMPUTED_VALUE"""),"Hull, Quebec")</f>
        <v/>
      </c>
      <c r="K16421">
        <f>IFERROR(__xludf.DUMMYFUNCTION("""COMPUTED_VALUE"""),1362.4)</f>
        <v/>
      </c>
    </row>
    <row r="16422">
      <c r="J16422">
        <f>IFERROR(__xludf.DUMMYFUNCTION("""COMPUTED_VALUE"""),"Winnipeg (Mantioba) Canada")</f>
        <v/>
      </c>
      <c r="K16422">
        <f>IFERROR(__xludf.DUMMYFUNCTION("""COMPUTED_VALUE"""),1362.04)</f>
        <v/>
      </c>
    </row>
    <row r="16423">
      <c r="J16423">
        <f>IFERROR(__xludf.DUMMYFUNCTION("""COMPUTED_VALUE"""),"Denver and Colorado Springs")</f>
        <v/>
      </c>
      <c r="K16423">
        <f>IFERROR(__xludf.DUMMYFUNCTION("""COMPUTED_VALUE"""),1361.99)</f>
        <v/>
      </c>
    </row>
    <row r="16424">
      <c r="J16424">
        <f>IFERROR(__xludf.DUMMYFUNCTION("""COMPUTED_VALUE"""),"Rimouski, QC Montréal, QC")</f>
        <v/>
      </c>
      <c r="K16424">
        <f>IFERROR(__xludf.DUMMYFUNCTION("""COMPUTED_VALUE"""),1361.84)</f>
        <v/>
      </c>
    </row>
    <row r="16425">
      <c r="J16425">
        <f>IFERROR(__xludf.DUMMYFUNCTION("""COMPUTED_VALUE"""),"Toronto, On, Canada")</f>
        <v/>
      </c>
      <c r="K16425">
        <f>IFERROR(__xludf.DUMMYFUNCTION("""COMPUTED_VALUE"""),1361.59)</f>
        <v/>
      </c>
    </row>
    <row r="16426">
      <c r="J16426">
        <f>IFERROR(__xludf.DUMMYFUNCTION("""COMPUTED_VALUE"""),"Spokane, WA")</f>
        <v/>
      </c>
      <c r="K16426">
        <f>IFERROR(__xludf.DUMMYFUNCTION("""COMPUTED_VALUE"""),1361.16)</f>
        <v/>
      </c>
    </row>
    <row r="16427">
      <c r="J16427">
        <f>IFERROR(__xludf.DUMMYFUNCTION("""COMPUTED_VALUE"""),"Thunder Bay Marathon Sault Ste. Marie, Ontario")</f>
        <v/>
      </c>
      <c r="K16427">
        <f>IFERROR(__xludf.DUMMYFUNCTION("""COMPUTED_VALUE"""),1360.73)</f>
        <v/>
      </c>
    </row>
    <row r="16428">
      <c r="J16428">
        <f>IFERROR(__xludf.DUMMYFUNCTION("""COMPUTED_VALUE"""),"Toronto, Ontario, Canada; London, Ontario, Canada; Mississauga, Ontario,Canada")</f>
        <v/>
      </c>
      <c r="K16428">
        <f>IFERROR(__xludf.DUMMYFUNCTION("""COMPUTED_VALUE"""),1360.43)</f>
        <v/>
      </c>
    </row>
    <row r="16429">
      <c r="J16429">
        <f>IFERROR(__xludf.DUMMYFUNCTION("""COMPUTED_VALUE"""),"Vancouver, Williams Lake and Prince George, British Columbia, Canada")</f>
        <v/>
      </c>
      <c r="K16429">
        <f>IFERROR(__xludf.DUMMYFUNCTION("""COMPUTED_VALUE"""),1360.43)</f>
        <v/>
      </c>
    </row>
    <row r="16430">
      <c r="J16430">
        <f>IFERROR(__xludf.DUMMYFUNCTION("""COMPUTED_VALUE"""),"Guelph and Vaughan, Ontario, Canada")</f>
        <v/>
      </c>
      <c r="K16430">
        <f>IFERROR(__xludf.DUMMYFUNCTION("""COMPUTED_VALUE"""),1360.28)</f>
        <v/>
      </c>
    </row>
    <row r="16431">
      <c r="J16431">
        <f>IFERROR(__xludf.DUMMYFUNCTION("""COMPUTED_VALUE"""),"Quebec City (Quebec) Canada, Bagotville (Quebec) Canada")</f>
        <v/>
      </c>
      <c r="K16431">
        <f>IFERROR(__xludf.DUMMYFUNCTION("""COMPUTED_VALUE"""),1360.07)</f>
        <v/>
      </c>
    </row>
    <row r="16432">
      <c r="J16432">
        <f>IFERROR(__xludf.DUMMYFUNCTION("""COMPUTED_VALUE"""),"Halifax, Nova Scotia, Canada; Toronto, Ontario, Canada; Winnipeg, Manitoba, Canada; Calgary, Alberta, Canada")</f>
        <v/>
      </c>
      <c r="K16432">
        <f>IFERROR(__xludf.DUMMYFUNCTION("""COMPUTED_VALUE"""),1359.97)</f>
        <v/>
      </c>
    </row>
    <row r="16433">
      <c r="J16433">
        <f>IFERROR(__xludf.DUMMYFUNCTION("""COMPUTED_VALUE"""),"San Marino")</f>
        <v/>
      </c>
      <c r="K16433">
        <f>IFERROR(__xludf.DUMMYFUNCTION("""COMPUTED_VALUE"""),1359.81)</f>
        <v/>
      </c>
    </row>
    <row r="16434">
      <c r="J16434">
        <f>IFERROR(__xludf.DUMMYFUNCTION("""COMPUTED_VALUE"""),"Vancouver and Nanaimo, British Columbia, Canada and Iqaluit, Nunavut, Canada")</f>
        <v/>
      </c>
      <c r="K16434">
        <f>IFERROR(__xludf.DUMMYFUNCTION("""COMPUTED_VALUE"""),1359.58)</f>
        <v/>
      </c>
    </row>
    <row r="16435">
      <c r="J16435">
        <f>IFERROR(__xludf.DUMMYFUNCTION("""COMPUTED_VALUE"""),"Sao Paulo &amp; Curitiba")</f>
        <v/>
      </c>
      <c r="K16435">
        <f>IFERROR(__xludf.DUMMYFUNCTION("""COMPUTED_VALUE"""),1359.35)</f>
        <v/>
      </c>
    </row>
    <row r="16436">
      <c r="J16436">
        <f>IFERROR(__xludf.DUMMYFUNCTION("""COMPUTED_VALUE"""),"Gagetown, New Brunswick / Deer Lake, Newfoundland (Canada)")</f>
        <v/>
      </c>
      <c r="K16436">
        <f>IFERROR(__xludf.DUMMYFUNCTION("""COMPUTED_VALUE"""),1359.05)</f>
        <v/>
      </c>
    </row>
    <row r="16437">
      <c r="J16437">
        <f>IFERROR(__xludf.DUMMYFUNCTION("""COMPUTED_VALUE"""),"Vancouver, BC - Skidegate, BC")</f>
        <v/>
      </c>
      <c r="K16437">
        <f>IFERROR(__xludf.DUMMYFUNCTION("""COMPUTED_VALUE"""),1358.81)</f>
        <v/>
      </c>
    </row>
    <row r="16438">
      <c r="J16438">
        <f>IFERROR(__xludf.DUMMYFUNCTION("""COMPUTED_VALUE"""),"Kelowna, British Columbia, Canada; Trail, British Columbia, Canada; Vancouver, British Columbia, Canada")</f>
        <v/>
      </c>
      <c r="K16438">
        <f>IFERROR(__xludf.DUMMYFUNCTION("""COMPUTED_VALUE"""),1358.06)</f>
        <v/>
      </c>
    </row>
    <row r="16439">
      <c r="J16439">
        <f>IFERROR(__xludf.DUMMYFUNCTION("""COMPUTED_VALUE"""),"Toronto, Ontario Cambridge, Ontario")</f>
        <v/>
      </c>
      <c r="K16439">
        <f>IFERROR(__xludf.DUMMYFUNCTION("""COMPUTED_VALUE"""),1358.05)</f>
        <v/>
      </c>
    </row>
    <row r="16440">
      <c r="J16440">
        <f>IFERROR(__xludf.DUMMYFUNCTION("""COMPUTED_VALUE"""),"Montréal (Québec) Canada")</f>
        <v/>
      </c>
      <c r="K16440">
        <f>IFERROR(__xludf.DUMMYFUNCTION("""COMPUTED_VALUE"""),1358.01)</f>
        <v/>
      </c>
    </row>
    <row r="16441">
      <c r="J16441">
        <f>IFERROR(__xludf.DUMMYFUNCTION("""COMPUTED_VALUE"""),"Washington , United States")</f>
        <v/>
      </c>
      <c r="K16441">
        <f>IFERROR(__xludf.DUMMYFUNCTION("""COMPUTED_VALUE"""),1357.56)</f>
        <v/>
      </c>
    </row>
    <row r="16442">
      <c r="J16442">
        <f>IFERROR(__xludf.DUMMYFUNCTION("""COMPUTED_VALUE"""),"Toronto and Port Hope, Ontario")</f>
        <v/>
      </c>
      <c r="K16442">
        <f>IFERROR(__xludf.DUMMYFUNCTION("""COMPUTED_VALUE"""),1357.52)</f>
        <v/>
      </c>
    </row>
    <row r="16443">
      <c r="J16443">
        <f>IFERROR(__xludf.DUMMYFUNCTION("""COMPUTED_VALUE"""),"Windsor &amp; Toronto, ON")</f>
        <v/>
      </c>
      <c r="K16443">
        <f>IFERROR(__xludf.DUMMYFUNCTION("""COMPUTED_VALUE"""),1357.28)</f>
        <v/>
      </c>
    </row>
    <row r="16444">
      <c r="J16444">
        <f>IFERROR(__xludf.DUMMYFUNCTION("""COMPUTED_VALUE"""),"Riding Mountain National Park, Wasagaming, Manitoba")</f>
        <v/>
      </c>
      <c r="K16444">
        <f>IFERROR(__xludf.DUMMYFUNCTION("""COMPUTED_VALUE"""),1356.81)</f>
        <v/>
      </c>
    </row>
    <row r="16445">
      <c r="J16445">
        <f>IFERROR(__xludf.DUMMYFUNCTION("""COMPUTED_VALUE"""),"Montreal, Quebec &amp; Ottawa, Ontario, Canada")</f>
        <v/>
      </c>
      <c r="K16445">
        <f>IFERROR(__xludf.DUMMYFUNCTION("""COMPUTED_VALUE"""),1356.63)</f>
        <v/>
      </c>
    </row>
    <row r="16446">
      <c r="J16446">
        <f>IFERROR(__xludf.DUMMYFUNCTION("""COMPUTED_VALUE"""),"Sydney, Nova Scotia, Canada/ Channel-Port aux Basques, Newfoundland and Labrador, Canada/ Corner Brook, Newfoundland and Labardor, Canada/ Pasadena, Newfoundland and Labardor, Canada")</f>
        <v/>
      </c>
      <c r="K16446">
        <f>IFERROR(__xludf.DUMMYFUNCTION("""COMPUTED_VALUE"""),1356.36)</f>
        <v/>
      </c>
    </row>
    <row r="16447">
      <c r="J16447">
        <f>IFERROR(__xludf.DUMMYFUNCTION("""COMPUTED_VALUE"""),"Fox Harbour, Nova Scotia, and Halifax, Nova Scotia")</f>
        <v/>
      </c>
      <c r="K16447">
        <f>IFERROR(__xludf.DUMMYFUNCTION("""COMPUTED_VALUE"""),1356.12)</f>
        <v/>
      </c>
    </row>
    <row r="16448">
      <c r="J16448">
        <f>IFERROR(__xludf.DUMMYFUNCTION("""COMPUTED_VALUE"""),"Ottawa - Toronto - Saskatoon -Toronto -Ottawa")</f>
        <v/>
      </c>
      <c r="K16448">
        <f>IFERROR(__xludf.DUMMYFUNCTION("""COMPUTED_VALUE"""),1356.07)</f>
        <v/>
      </c>
    </row>
    <row r="16449">
      <c r="J16449">
        <f>IFERROR(__xludf.DUMMYFUNCTION("""COMPUTED_VALUE"""),"Guelph, Ontario, Canada / Oakville, Ontario, Canada")</f>
        <v/>
      </c>
      <c r="K16449">
        <f>IFERROR(__xludf.DUMMYFUNCTION("""COMPUTED_VALUE"""),1355.98)</f>
        <v/>
      </c>
    </row>
    <row r="16450">
      <c r="J16450">
        <f>IFERROR(__xludf.DUMMYFUNCTION("""COMPUTED_VALUE"""),"Ottawa,Ontario,canada")</f>
        <v/>
      </c>
      <c r="K16450">
        <f>IFERROR(__xludf.DUMMYFUNCTION("""COMPUTED_VALUE"""),1355.83)</f>
        <v/>
      </c>
    </row>
    <row r="16451">
      <c r="J16451">
        <f>IFERROR(__xludf.DUMMYFUNCTION("""COMPUTED_VALUE"""),"Toronto, Ontario / 
Montreal, Quebec, Canada")</f>
        <v/>
      </c>
      <c r="K16451">
        <f>IFERROR(__xludf.DUMMYFUNCTION("""COMPUTED_VALUE"""),1354.92)</f>
        <v/>
      </c>
    </row>
    <row r="16452">
      <c r="J16452">
        <f>IFERROR(__xludf.DUMMYFUNCTION("""COMPUTED_VALUE"""),"Fredericton and Moncton, New Brusnwick")</f>
        <v/>
      </c>
      <c r="K16452">
        <f>IFERROR(__xludf.DUMMYFUNCTION("""COMPUTED_VALUE"""),1354.61)</f>
        <v/>
      </c>
    </row>
    <row r="16453">
      <c r="J16453">
        <f>IFERROR(__xludf.DUMMYFUNCTION("""COMPUTED_VALUE"""),"Amherst, Nova Scotia")</f>
        <v/>
      </c>
      <c r="K16453">
        <f>IFERROR(__xludf.DUMMYFUNCTION("""COMPUTED_VALUE"""),1354.04)</f>
        <v/>
      </c>
    </row>
    <row r="16454">
      <c r="J16454">
        <f>IFERROR(__xludf.DUMMYFUNCTION("""COMPUTED_VALUE"""),"Fort Erie, Ontario")</f>
        <v/>
      </c>
      <c r="K16454">
        <f>IFERROR(__xludf.DUMMYFUNCTION("""COMPUTED_VALUE"""),1353.1)</f>
        <v/>
      </c>
    </row>
    <row r="16455">
      <c r="J16455">
        <f>IFERROR(__xludf.DUMMYFUNCTION("""COMPUTED_VALUE"""),"Amman,Jordan")</f>
        <v/>
      </c>
      <c r="K16455">
        <f>IFERROR(__xludf.DUMMYFUNCTION("""COMPUTED_VALUE"""),1352.68)</f>
        <v/>
      </c>
    </row>
    <row r="16456">
      <c r="J16456">
        <f>IFERROR(__xludf.DUMMYFUNCTION("""COMPUTED_VALUE"""),"Didgy, Nova Scotia")</f>
        <v/>
      </c>
      <c r="K16456">
        <f>IFERROR(__xludf.DUMMYFUNCTION("""COMPUTED_VALUE"""),1352.62)</f>
        <v/>
      </c>
    </row>
    <row r="16457">
      <c r="J16457">
        <f>IFERROR(__xludf.DUMMYFUNCTION("""COMPUTED_VALUE"""),"Roberval, Québec, Montréal, Ottawa")</f>
        <v/>
      </c>
      <c r="K16457">
        <f>IFERROR(__xludf.DUMMYFUNCTION("""COMPUTED_VALUE"""),1352.24)</f>
        <v/>
      </c>
    </row>
    <row r="16458">
      <c r="J16458">
        <f>IFERROR(__xludf.DUMMYFUNCTION("""COMPUTED_VALUE"""),"St. Andrews &amp; Saint John, New Brunswick, &amp; Digby, Nova Scotia")</f>
        <v/>
      </c>
      <c r="K16458">
        <f>IFERROR(__xludf.DUMMYFUNCTION("""COMPUTED_VALUE"""),1351.81)</f>
        <v/>
      </c>
    </row>
    <row r="16459">
      <c r="J16459">
        <f>IFERROR(__xludf.DUMMYFUNCTION("""COMPUTED_VALUE"""),"Fredericton and Moncton (New Brunswick) Canada")</f>
        <v/>
      </c>
      <c r="K16459">
        <f>IFERROR(__xludf.DUMMYFUNCTION("""COMPUTED_VALUE"""),1351.65)</f>
        <v/>
      </c>
    </row>
    <row r="16460">
      <c r="J16460">
        <f>IFERROR(__xludf.DUMMYFUNCTION("""COMPUTED_VALUE"""),"Halifax, Magdalen Islands, Charlottetown")</f>
        <v/>
      </c>
      <c r="K16460">
        <f>IFERROR(__xludf.DUMMYFUNCTION("""COMPUTED_VALUE"""),1351.5)</f>
        <v/>
      </c>
    </row>
    <row r="16461">
      <c r="J16461">
        <f>IFERROR(__xludf.DUMMYFUNCTION("""COMPUTED_VALUE"""),"Gimli, MB")</f>
        <v/>
      </c>
      <c r="K16461">
        <f>IFERROR(__xludf.DUMMYFUNCTION("""COMPUTED_VALUE"""),1351.32)</f>
        <v/>
      </c>
    </row>
    <row r="16462">
      <c r="J16462">
        <f>IFERROR(__xludf.DUMMYFUNCTION("""COMPUTED_VALUE"""),"Petawawa")</f>
        <v/>
      </c>
      <c r="K16462">
        <f>IFERROR(__xludf.DUMMYFUNCTION("""COMPUTED_VALUE"""),1351.31)</f>
        <v/>
      </c>
    </row>
    <row r="16463">
      <c r="J16463">
        <f>IFERROR(__xludf.DUMMYFUNCTION("""COMPUTED_VALUE"""),"Charlotetown, (Prince Edward Island)")</f>
        <v/>
      </c>
      <c r="K16463">
        <f>IFERROR(__xludf.DUMMYFUNCTION("""COMPUTED_VALUE"""),1351.07)</f>
        <v/>
      </c>
    </row>
    <row r="16464">
      <c r="J16464">
        <f>IFERROR(__xludf.DUMMYFUNCTION("""COMPUTED_VALUE"""),"Winnipeq, MB")</f>
        <v/>
      </c>
      <c r="K16464">
        <f>IFERROR(__xludf.DUMMYFUNCTION("""COMPUTED_VALUE"""),1350.57)</f>
        <v/>
      </c>
    </row>
    <row r="16465">
      <c r="J16465">
        <f>IFERROR(__xludf.DUMMYFUNCTION("""COMPUTED_VALUE"""),"Mons, Belgium and Brussels, Netherlands")</f>
        <v/>
      </c>
      <c r="K16465">
        <f>IFERROR(__xludf.DUMMYFUNCTION("""COMPUTED_VALUE"""),1350.14)</f>
        <v/>
      </c>
    </row>
    <row r="16466">
      <c r="J16466">
        <f>IFERROR(__xludf.DUMMYFUNCTION("""COMPUTED_VALUE"""),"Charlottetown, Prince Edward Island &amp; Moncton, New Brunswick, Canada")</f>
        <v/>
      </c>
      <c r="K16466">
        <f>IFERROR(__xludf.DUMMYFUNCTION("""COMPUTED_VALUE"""),1350.03)</f>
        <v/>
      </c>
    </row>
    <row r="16467">
      <c r="J16467">
        <f>IFERROR(__xludf.DUMMYFUNCTION("""COMPUTED_VALUE"""),"Halifax (Nova Scotia), Charlottetown (Prince Edward Island), Moncton (New Brunswick)")</f>
        <v/>
      </c>
      <c r="K16467">
        <f>IFERROR(__xludf.DUMMYFUNCTION("""COMPUTED_VALUE"""),1350.02)</f>
        <v/>
      </c>
    </row>
    <row r="16468">
      <c r="J16468">
        <f>IFERROR(__xludf.DUMMYFUNCTION("""COMPUTED_VALUE"""),"Toronto,On, Canada")</f>
        <v/>
      </c>
      <c r="K16468">
        <f>IFERROR(__xludf.DUMMYFUNCTION("""COMPUTED_VALUE"""),1350.01)</f>
        <v/>
      </c>
    </row>
    <row r="16469">
      <c r="J16469">
        <f>IFERROR(__xludf.DUMMYFUNCTION("""COMPUTED_VALUE"""),"Chelsea, Quebec; Ottawa, Ontario, Canada")</f>
        <v/>
      </c>
      <c r="K16469">
        <f>IFERROR(__xludf.DUMMYFUNCTION("""COMPUTED_VALUE"""),1349.95)</f>
        <v/>
      </c>
    </row>
    <row r="16470">
      <c r="J16470">
        <f>IFERROR(__xludf.DUMMYFUNCTION("""COMPUTED_VALUE"""),"Montréal (Quebec), Canada")</f>
        <v/>
      </c>
      <c r="K16470">
        <f>IFERROR(__xludf.DUMMYFUNCTION("""COMPUTED_VALUE"""),1349.93)</f>
        <v/>
      </c>
    </row>
    <row r="16471">
      <c r="J16471">
        <f>IFERROR(__xludf.DUMMYFUNCTION("""COMPUTED_VALUE"""),"Washington, District Columbia")</f>
        <v/>
      </c>
      <c r="K16471">
        <f>IFERROR(__xludf.DUMMYFUNCTION("""COMPUTED_VALUE"""),1348.74)</f>
        <v/>
      </c>
    </row>
    <row r="16472">
      <c r="J16472">
        <f>IFERROR(__xludf.DUMMYFUNCTION("""COMPUTED_VALUE"""),"Quebec (Quebec) ; Jonquiere (Quebec), Canada")</f>
        <v/>
      </c>
      <c r="K16472">
        <f>IFERROR(__xludf.DUMMYFUNCTION("""COMPUTED_VALUE"""),1348.69)</f>
        <v/>
      </c>
    </row>
    <row r="16473">
      <c r="J16473">
        <f>IFERROR(__xludf.DUMMYFUNCTION("""COMPUTED_VALUE"""),"St. John's, Newfoundland and Labrador, Canada; Montréal, Quebec, Canada")</f>
        <v/>
      </c>
      <c r="K16473">
        <f>IFERROR(__xludf.DUMMYFUNCTION("""COMPUTED_VALUE"""),1348.31)</f>
        <v/>
      </c>
    </row>
    <row r="16474">
      <c r="J16474">
        <f>IFERROR(__xludf.DUMMYFUNCTION("""COMPUTED_VALUE"""),"WINNIPEG MB")</f>
        <v/>
      </c>
      <c r="K16474">
        <f>IFERROR(__xludf.DUMMYFUNCTION("""COMPUTED_VALUE"""),1347.91)</f>
        <v/>
      </c>
    </row>
    <row r="16475">
      <c r="J16475">
        <f>IFERROR(__xludf.DUMMYFUNCTION("""COMPUTED_VALUE"""),"Halifax, NS
Montréal, QC")</f>
        <v/>
      </c>
      <c r="K16475">
        <f>IFERROR(__xludf.DUMMYFUNCTION("""COMPUTED_VALUE"""),1347.52)</f>
        <v/>
      </c>
    </row>
    <row r="16476">
      <c r="J16476">
        <f>IFERROR(__xludf.DUMMYFUNCTION("""COMPUTED_VALUE"""),"Brooks, Alberta, Canada; Calgary, Alberta, Canada")</f>
        <v/>
      </c>
      <c r="K16476">
        <f>IFERROR(__xludf.DUMMYFUNCTION("""COMPUTED_VALUE"""),1347.39)</f>
        <v/>
      </c>
    </row>
    <row r="16477">
      <c r="J16477">
        <f>IFERROR(__xludf.DUMMYFUNCTION("""COMPUTED_VALUE"""),"Tegucigalpa and San Pedro Sula, Honduras")</f>
        <v/>
      </c>
      <c r="K16477">
        <f>IFERROR(__xludf.DUMMYFUNCTION("""COMPUTED_VALUE"""),1347.37)</f>
        <v/>
      </c>
    </row>
    <row r="16478">
      <c r="J16478">
        <f>IFERROR(__xludf.DUMMYFUNCTION("""COMPUTED_VALUE"""),"Québec (Québec)")</f>
        <v/>
      </c>
      <c r="K16478">
        <f>IFERROR(__xludf.DUMMYFUNCTION("""COMPUTED_VALUE"""),1347.11)</f>
        <v/>
      </c>
    </row>
    <row r="16479">
      <c r="J16479">
        <f>IFERROR(__xludf.DUMMYFUNCTION("""COMPUTED_VALUE"""),"Sydney, Nova Scotia;
Ottawa, Ontario")</f>
        <v/>
      </c>
      <c r="K16479">
        <f>IFERROR(__xludf.DUMMYFUNCTION("""COMPUTED_VALUE"""),1346.83)</f>
        <v/>
      </c>
    </row>
    <row r="16480">
      <c r="J16480">
        <f>IFERROR(__xludf.DUMMYFUNCTION("""COMPUTED_VALUE"""),"Watson Lake, Yukon")</f>
        <v/>
      </c>
      <c r="K16480">
        <f>IFERROR(__xludf.DUMMYFUNCTION("""COMPUTED_VALUE"""),1346.67)</f>
        <v/>
      </c>
    </row>
    <row r="16481">
      <c r="J16481">
        <f>IFERROR(__xludf.DUMMYFUNCTION("""COMPUTED_VALUE"""),"Montreal / Rouyn-Noranda, (Quebec)")</f>
        <v/>
      </c>
      <c r="K16481">
        <f>IFERROR(__xludf.DUMMYFUNCTION("""COMPUTED_VALUE"""),1345.67)</f>
        <v/>
      </c>
    </row>
    <row r="16482">
      <c r="J16482">
        <f>IFERROR(__xludf.DUMMYFUNCTION("""COMPUTED_VALUE"""),"Kitchener and St. Catharines and Waterloo, Ontario, Canada")</f>
        <v/>
      </c>
      <c r="K16482">
        <f>IFERROR(__xludf.DUMMYFUNCTION("""COMPUTED_VALUE"""),1344.43)</f>
        <v/>
      </c>
    </row>
    <row r="16483">
      <c r="J16483">
        <f>IFERROR(__xludf.DUMMYFUNCTION("""COMPUTED_VALUE"""),"Port Aux Basques, Newfoundland and Labrador, Canada; Stephenville, Newfoundland and Labrador, Canada; Rocky Harbour, Newfoundland and Labrador, Canada; Corner Brook, Newfoundland and Labrador, Canada")</f>
        <v/>
      </c>
      <c r="K16483">
        <f>IFERROR(__xludf.DUMMYFUNCTION("""COMPUTED_VALUE"""),1344.26)</f>
        <v/>
      </c>
    </row>
    <row r="16484">
      <c r="J16484">
        <f>IFERROR(__xludf.DUMMYFUNCTION("""COMPUTED_VALUE"""),"Toronto and Vaughn, ON")</f>
        <v/>
      </c>
      <c r="K16484">
        <f>IFERROR(__xludf.DUMMYFUNCTION("""COMPUTED_VALUE"""),1343.98)</f>
        <v/>
      </c>
    </row>
    <row r="16485">
      <c r="J16485">
        <f>IFERROR(__xludf.DUMMYFUNCTION("""COMPUTED_VALUE"""),"Sherbrooke; Matane; Rimouski, Quebec, Canada")</f>
        <v/>
      </c>
      <c r="K16485">
        <f>IFERROR(__xludf.DUMMYFUNCTION("""COMPUTED_VALUE"""),1343.59)</f>
        <v/>
      </c>
    </row>
    <row r="16486">
      <c r="J16486">
        <f>IFERROR(__xludf.DUMMYFUNCTION("""COMPUTED_VALUE"""),"Victoria, British Columbia, Canada; Calgary, Alberta, Canada; Edmonton, Alberta, Canada")</f>
        <v/>
      </c>
      <c r="K16486">
        <f>IFERROR(__xludf.DUMMYFUNCTION("""COMPUTED_VALUE"""),1343.09)</f>
        <v/>
      </c>
    </row>
    <row r="16487">
      <c r="J16487">
        <f>IFERROR(__xludf.DUMMYFUNCTION("""COMPUTED_VALUE"""),"Calgary, Alberta, Canada; Winnipeg, Manitoba, Canada;")</f>
        <v/>
      </c>
      <c r="K16487">
        <f>IFERROR(__xludf.DUMMYFUNCTION("""COMPUTED_VALUE"""),1343.01)</f>
        <v/>
      </c>
    </row>
    <row r="16488">
      <c r="J16488">
        <f>IFERROR(__xludf.DUMMYFUNCTION("""COMPUTED_VALUE"""),"Standoff, Alberta")</f>
        <v/>
      </c>
      <c r="K16488">
        <f>IFERROR(__xludf.DUMMYFUNCTION("""COMPUTED_VALUE"""),1342.98)</f>
        <v/>
      </c>
    </row>
    <row r="16489">
      <c r="J16489">
        <f>IFERROR(__xludf.DUMMYFUNCTION("""COMPUTED_VALUE"""),"Sydney, Nova Scotia, Canada; Glace Bay, Nova Scotia, Canada; St. John's, Newfoundland and Labrador, Canada")</f>
        <v/>
      </c>
      <c r="K16489">
        <f>IFERROR(__xludf.DUMMYFUNCTION("""COMPUTED_VALUE"""),1342.64)</f>
        <v/>
      </c>
    </row>
    <row r="16490">
      <c r="J16490">
        <f>IFERROR(__xludf.DUMMYFUNCTION("""COMPUTED_VALUE"""),"Moncton, New Brunswick, Canada Miramichi, New Brunswick, Canada")</f>
        <v/>
      </c>
      <c r="K16490">
        <f>IFERROR(__xludf.DUMMYFUNCTION("""COMPUTED_VALUE"""),1342.38)</f>
        <v/>
      </c>
    </row>
    <row r="16491">
      <c r="J16491">
        <f>IFERROR(__xludf.DUMMYFUNCTION("""COMPUTED_VALUE"""),"Quebec,QC, Canada")</f>
        <v/>
      </c>
      <c r="K16491">
        <f>IFERROR(__xludf.DUMMYFUNCTION("""COMPUTED_VALUE"""),1342.33)</f>
        <v/>
      </c>
    </row>
    <row r="16492">
      <c r="J16492">
        <f>IFERROR(__xludf.DUMMYFUNCTION("""COMPUTED_VALUE"""),"Banff, Alberta, Canada / Jasper,  Alberta, Canada")</f>
        <v/>
      </c>
      <c r="K16492">
        <f>IFERROR(__xludf.DUMMYFUNCTION("""COMPUTED_VALUE"""),1341.77)</f>
        <v/>
      </c>
    </row>
    <row r="16493">
      <c r="J16493">
        <f>IFERROR(__xludf.DUMMYFUNCTION("""COMPUTED_VALUE"""),"London and Windsor, Ont")</f>
        <v/>
      </c>
      <c r="K16493">
        <f>IFERROR(__xludf.DUMMYFUNCTION("""COMPUTED_VALUE"""),1341.66)</f>
        <v/>
      </c>
    </row>
    <row r="16494">
      <c r="J16494">
        <f>IFERROR(__xludf.DUMMYFUNCTION("""COMPUTED_VALUE"""),"Gatineau, QC &amp; Ottawa, ON")</f>
        <v/>
      </c>
      <c r="K16494">
        <f>IFERROR(__xludf.DUMMYFUNCTION("""COMPUTED_VALUE"""),1341.23)</f>
        <v/>
      </c>
    </row>
    <row r="16495">
      <c r="J16495">
        <f>IFERROR(__xludf.DUMMYFUNCTION("""COMPUTED_VALUE"""),"Rimouski, Quebec, Canada / Quebec, Quebec, Canada")</f>
        <v/>
      </c>
      <c r="K16495">
        <f>IFERROR(__xludf.DUMMYFUNCTION("""COMPUTED_VALUE"""),1341.02)</f>
        <v/>
      </c>
    </row>
    <row r="16496">
      <c r="J16496">
        <f>IFERROR(__xludf.DUMMYFUNCTION("""COMPUTED_VALUE"""),"San Juan/ Puerto Rico")</f>
        <v/>
      </c>
      <c r="K16496">
        <f>IFERROR(__xludf.DUMMYFUNCTION("""COMPUTED_VALUE"""),1340.5)</f>
        <v/>
      </c>
    </row>
    <row r="16497">
      <c r="J16497">
        <f>IFERROR(__xludf.DUMMYFUNCTION("""COMPUTED_VALUE"""),"Iqaluit, Nunavut, Canada and Inuvik, Northwest Territories, Canada")</f>
        <v/>
      </c>
      <c r="K16497">
        <f>IFERROR(__xludf.DUMMYFUNCTION("""COMPUTED_VALUE"""),1340.42)</f>
        <v/>
      </c>
    </row>
    <row r="16498">
      <c r="J16498">
        <f>IFERROR(__xludf.DUMMYFUNCTION("""COMPUTED_VALUE"""),"Moncton, NB, CA")</f>
        <v/>
      </c>
      <c r="K16498">
        <f>IFERROR(__xludf.DUMMYFUNCTION("""COMPUTED_VALUE"""),1340.24)</f>
        <v/>
      </c>
    </row>
    <row r="16499">
      <c r="J16499">
        <f>IFERROR(__xludf.DUMMYFUNCTION("""COMPUTED_VALUE"""),"Ottawa - Valcartier - Ottawa")</f>
        <v/>
      </c>
      <c r="K16499">
        <f>IFERROR(__xludf.DUMMYFUNCTION("""COMPUTED_VALUE"""),1340.17)</f>
        <v/>
      </c>
    </row>
    <row r="16500">
      <c r="J16500">
        <f>IFERROR(__xludf.DUMMYFUNCTION("""COMPUTED_VALUE"""),"Toronto, Owen Sound, Barrie, Hamilton, Ontario, Canada")</f>
        <v/>
      </c>
      <c r="K16500">
        <f>IFERROR(__xludf.DUMMYFUNCTION("""COMPUTED_VALUE"""),1340.05)</f>
        <v/>
      </c>
    </row>
    <row r="16501">
      <c r="J16501">
        <f>IFERROR(__xludf.DUMMYFUNCTION("""COMPUTED_VALUE"""),"Warsaw - Poland")</f>
        <v/>
      </c>
      <c r="K16501">
        <f>IFERROR(__xludf.DUMMYFUNCTION("""COMPUTED_VALUE"""),1339.92)</f>
        <v/>
      </c>
    </row>
    <row r="16502">
      <c r="J16502">
        <f>IFERROR(__xludf.DUMMYFUNCTION("""COMPUTED_VALUE"""),"Thunder Bay, ON / Kenora, ON / Webequie, ON")</f>
        <v/>
      </c>
      <c r="K16502">
        <f>IFERROR(__xludf.DUMMYFUNCTION("""COMPUTED_VALUE"""),1339.63)</f>
        <v/>
      </c>
    </row>
    <row r="16503">
      <c r="J16503">
        <f>IFERROR(__xludf.DUMMYFUNCTION("""COMPUTED_VALUE"""),"Raligh/Durhnam NC")</f>
        <v/>
      </c>
      <c r="K16503">
        <f>IFERROR(__xludf.DUMMYFUNCTION("""COMPUTED_VALUE"""),1339.42)</f>
        <v/>
      </c>
    </row>
    <row r="16504">
      <c r="J16504">
        <f>IFERROR(__xludf.DUMMYFUNCTION("""COMPUTED_VALUE"""),"BC")</f>
        <v/>
      </c>
      <c r="K16504">
        <f>IFERROR(__xludf.DUMMYFUNCTION("""COMPUTED_VALUE"""),1338.76)</f>
        <v/>
      </c>
    </row>
    <row r="16505">
      <c r="J16505">
        <f>IFERROR(__xludf.DUMMYFUNCTION("""COMPUTED_VALUE"""),"To, Be, Defined")</f>
        <v/>
      </c>
      <c r="K16505">
        <f>IFERROR(__xludf.DUMMYFUNCTION("""COMPUTED_VALUE"""),1338.76)</f>
        <v/>
      </c>
    </row>
    <row r="16506">
      <c r="J16506">
        <f>IFERROR(__xludf.DUMMYFUNCTION("""COMPUTED_VALUE"""),"Prince Edward Island, Canada")</f>
        <v/>
      </c>
      <c r="K16506">
        <f>IFERROR(__xludf.DUMMYFUNCTION("""COMPUTED_VALUE"""),1338.58)</f>
        <v/>
      </c>
    </row>
    <row r="16507">
      <c r="J16507">
        <f>IFERROR(__xludf.DUMMYFUNCTION("""COMPUTED_VALUE"""),"Thetford Mines")</f>
        <v/>
      </c>
      <c r="K16507">
        <f>IFERROR(__xludf.DUMMYFUNCTION("""COMPUTED_VALUE"""),1338.3)</f>
        <v/>
      </c>
    </row>
    <row r="16508">
      <c r="J16508">
        <f>IFERROR(__xludf.DUMMYFUNCTION("""COMPUTED_VALUE"""),"Montréal - Vancouver - Ottawa")</f>
        <v/>
      </c>
      <c r="K16508">
        <f>IFERROR(__xludf.DUMMYFUNCTION("""COMPUTED_VALUE"""),1338.26)</f>
        <v/>
      </c>
    </row>
    <row r="16509">
      <c r="J16509">
        <f>IFERROR(__xludf.DUMMYFUNCTION("""COMPUTED_VALUE"""),"Winnipeg (Manitoba) Canada; Morden (Manitoba) Canada")</f>
        <v/>
      </c>
      <c r="K16509">
        <f>IFERROR(__xludf.DUMMYFUNCTION("""COMPUTED_VALUE"""),1338.17)</f>
        <v/>
      </c>
    </row>
    <row r="16510">
      <c r="J16510">
        <f>IFERROR(__xludf.DUMMYFUNCTION("""COMPUTED_VALUE"""),"United Kingdom, England")</f>
        <v/>
      </c>
      <c r="K16510">
        <f>IFERROR(__xludf.DUMMYFUNCTION("""COMPUTED_VALUE"""),1337.63)</f>
        <v/>
      </c>
    </row>
    <row r="16511">
      <c r="J16511">
        <f>IFERROR(__xludf.DUMMYFUNCTION("""COMPUTED_VALUE"""),"West Palm Beach, Florida, United States; St. John's, Newfoundland and Labrador, Canada")</f>
        <v/>
      </c>
      <c r="K16511">
        <f>IFERROR(__xludf.DUMMYFUNCTION("""COMPUTED_VALUE"""),1337.59)</f>
        <v/>
      </c>
    </row>
    <row r="16512">
      <c r="J16512">
        <f>IFERROR(__xludf.DUMMYFUNCTION("""COMPUTED_VALUE"""),"Chicago, Illinois USA")</f>
        <v/>
      </c>
      <c r="K16512">
        <f>IFERROR(__xludf.DUMMYFUNCTION("""COMPUTED_VALUE"""),1337.13)</f>
        <v/>
      </c>
    </row>
    <row r="16513">
      <c r="J16513">
        <f>IFERROR(__xludf.DUMMYFUNCTION("""COMPUTED_VALUE"""),"Goose Bay, Newfoundland and Labrador, Canada; Nain, Newfoundland and Labrador, Canada")</f>
        <v/>
      </c>
      <c r="K16513">
        <f>IFERROR(__xludf.DUMMYFUNCTION("""COMPUTED_VALUE"""),1337.07)</f>
        <v/>
      </c>
    </row>
    <row r="16514">
      <c r="J16514">
        <f>IFERROR(__xludf.DUMMYFUNCTION("""COMPUTED_VALUE"""),"Victoria and Pentincton, BC")</f>
        <v/>
      </c>
      <c r="K16514">
        <f>IFERROR(__xludf.DUMMYFUNCTION("""COMPUTED_VALUE"""),1336.89)</f>
        <v/>
      </c>
    </row>
    <row r="16515">
      <c r="J16515">
        <f>IFERROR(__xludf.DUMMYFUNCTION("""COMPUTED_VALUE"""),"Barrie, Ontario, Canada / Burlington, Ontario, Canada")</f>
        <v/>
      </c>
      <c r="K16515">
        <f>IFERROR(__xludf.DUMMYFUNCTION("""COMPUTED_VALUE"""),1336.87)</f>
        <v/>
      </c>
    </row>
    <row r="16516">
      <c r="J16516">
        <f>IFERROR(__xludf.DUMMYFUNCTION("""COMPUTED_VALUE"""),"Mississauga, ON and Montreal, QC")</f>
        <v/>
      </c>
      <c r="K16516">
        <f>IFERROR(__xludf.DUMMYFUNCTION("""COMPUTED_VALUE"""),1336.73)</f>
        <v/>
      </c>
    </row>
    <row r="16517">
      <c r="J16517">
        <f>IFERROR(__xludf.DUMMYFUNCTION("""COMPUTED_VALUE"""),"Saint-Jean-sur Richelieu, QC")</f>
        <v/>
      </c>
      <c r="K16517">
        <f>IFERROR(__xludf.DUMMYFUNCTION("""COMPUTED_VALUE"""),1336.52)</f>
        <v/>
      </c>
    </row>
    <row r="16518">
      <c r="J16518">
        <f>IFERROR(__xludf.DUMMYFUNCTION("""COMPUTED_VALUE"""),"Brampton, Mississauga, Whitby, Ontario, Canada")</f>
        <v/>
      </c>
      <c r="K16518">
        <f>IFERROR(__xludf.DUMMYFUNCTION("""COMPUTED_VALUE"""),1336.22)</f>
        <v/>
      </c>
    </row>
    <row r="16519">
      <c r="J16519">
        <f>IFERROR(__xludf.DUMMYFUNCTION("""COMPUTED_VALUE"""),"Kitchener, Waterloo, Toronto")</f>
        <v/>
      </c>
      <c r="K16519">
        <f>IFERROR(__xludf.DUMMYFUNCTION("""COMPUTED_VALUE"""),1336.18)</f>
        <v/>
      </c>
    </row>
    <row r="16520">
      <c r="J16520">
        <f>IFERROR(__xludf.DUMMYFUNCTION("""COMPUTED_VALUE"""),"Montreal, QC &amp; Quebec City, QC")</f>
        <v/>
      </c>
      <c r="K16520">
        <f>IFERROR(__xludf.DUMMYFUNCTION("""COMPUTED_VALUE"""),1335.9)</f>
        <v/>
      </c>
    </row>
    <row r="16521">
      <c r="J16521">
        <f>IFERROR(__xludf.DUMMYFUNCTION("""COMPUTED_VALUE"""),"Holyrood, Newfoundland and Labrador")</f>
        <v/>
      </c>
      <c r="K16521">
        <f>IFERROR(__xludf.DUMMYFUNCTION("""COMPUTED_VALUE"""),1335.86)</f>
        <v/>
      </c>
    </row>
    <row r="16522">
      <c r="J16522">
        <f>IFERROR(__xludf.DUMMYFUNCTION("""COMPUTED_VALUE"""),"Drummondville, Quebec / Saguenay, Quebec, Canada")</f>
        <v/>
      </c>
      <c r="K16522">
        <f>IFERROR(__xludf.DUMMYFUNCTION("""COMPUTED_VALUE"""),1335.82)</f>
        <v/>
      </c>
    </row>
    <row r="16523">
      <c r="J16523">
        <f>IFERROR(__xludf.DUMMYFUNCTION("""COMPUTED_VALUE"""),"Ottawa, ON - Kirkland Lake, ON / Kirkland Lake, ON - Ottawa, ON")</f>
        <v/>
      </c>
      <c r="K16523">
        <f>IFERROR(__xludf.DUMMYFUNCTION("""COMPUTED_VALUE"""),1335.24)</f>
        <v/>
      </c>
    </row>
    <row r="16524">
      <c r="J16524">
        <f>IFERROR(__xludf.DUMMYFUNCTION("""COMPUTED_VALUE"""),"Kingston, Ontario, Canada; Montréal, Quebec, Canada")</f>
        <v/>
      </c>
      <c r="K16524">
        <f>IFERROR(__xludf.DUMMYFUNCTION("""COMPUTED_VALUE"""),1334.95)</f>
        <v/>
      </c>
    </row>
    <row r="16525">
      <c r="J16525">
        <f>IFERROR(__xludf.DUMMYFUNCTION("""COMPUTED_VALUE"""),"Calgary, AB / Banff, AB")</f>
        <v/>
      </c>
      <c r="K16525">
        <f>IFERROR(__xludf.DUMMYFUNCTION("""COMPUTED_VALUE"""),1334.75)</f>
        <v/>
      </c>
    </row>
    <row r="16526">
      <c r="J16526">
        <f>IFERROR(__xludf.DUMMYFUNCTION("""COMPUTED_VALUE"""),"Montreal, Quebec and Lac-Mégantic, Quebec")</f>
        <v/>
      </c>
      <c r="K16526">
        <f>IFERROR(__xludf.DUMMYFUNCTION("""COMPUTED_VALUE"""),1334.74)</f>
        <v/>
      </c>
    </row>
    <row r="16527">
      <c r="J16527">
        <f>IFERROR(__xludf.DUMMYFUNCTION("""COMPUTED_VALUE"""),"Montreal, QC St.Hyacinthe, QC Sherbrooke, QC")</f>
        <v/>
      </c>
      <c r="K16527">
        <f>IFERROR(__xludf.DUMMYFUNCTION("""COMPUTED_VALUE"""),1333.88)</f>
        <v/>
      </c>
    </row>
    <row r="16528">
      <c r="J16528">
        <f>IFERROR(__xludf.DUMMYFUNCTION("""COMPUTED_VALUE"""),"Fredericton, New Brunswick, Canada; Campbellton, New Brunswick, Canada; Bathurst, New Brunswick, Canada")</f>
        <v/>
      </c>
      <c r="K16528">
        <f>IFERROR(__xludf.DUMMYFUNCTION("""COMPUTED_VALUE"""),1333.5)</f>
        <v/>
      </c>
    </row>
    <row r="16529">
      <c r="J16529">
        <f>IFERROR(__xludf.DUMMYFUNCTION("""COMPUTED_VALUE"""),"Niagara-On-The-Lake, Ontario")</f>
        <v/>
      </c>
      <c r="K16529">
        <f>IFERROR(__xludf.DUMMYFUNCTION("""COMPUTED_VALUE"""),1333.36)</f>
        <v/>
      </c>
    </row>
    <row r="16530">
      <c r="J16530">
        <f>IFERROR(__xludf.DUMMYFUNCTION("""COMPUTED_VALUE"""),"Victoria, BC; Winnipeg, MB")</f>
        <v/>
      </c>
      <c r="K16530">
        <f>IFERROR(__xludf.DUMMYFUNCTION("""COMPUTED_VALUE"""),1332.92)</f>
        <v/>
      </c>
    </row>
    <row r="16531">
      <c r="J16531">
        <f>IFERROR(__xludf.DUMMYFUNCTION("""COMPUTED_VALUE"""),"Ottawa, ON - Charlottetown, PE / Charlottetown, PE - Quebec City, QC / Quebec City, QC - Ottawa, ON")</f>
        <v/>
      </c>
      <c r="K16531">
        <f>IFERROR(__xludf.DUMMYFUNCTION("""COMPUTED_VALUE"""),1332.78)</f>
        <v/>
      </c>
    </row>
    <row r="16532">
      <c r="J16532">
        <f>IFERROR(__xludf.DUMMYFUNCTION("""COMPUTED_VALUE"""),"Rivière-du-Loup (Quebec) Canada
Rimouski (Quebec) Canada
Sainte-Anne-des-Monts (Quebec) Canada
Lévis (Quebec) Canada")</f>
        <v/>
      </c>
      <c r="K16532">
        <f>IFERROR(__xludf.DUMMYFUNCTION("""COMPUTED_VALUE"""),1332.64)</f>
        <v/>
      </c>
    </row>
    <row r="16533">
      <c r="J16533">
        <f>IFERROR(__xludf.DUMMYFUNCTION("""COMPUTED_VALUE"""),"Quebec, Mont-Joli, QC")</f>
        <v/>
      </c>
      <c r="K16533">
        <f>IFERROR(__xludf.DUMMYFUNCTION("""COMPUTED_VALUE"""),1332.13)</f>
        <v/>
      </c>
    </row>
    <row r="16534">
      <c r="J16534">
        <f>IFERROR(__xludf.DUMMYFUNCTION("""COMPUTED_VALUE"""),"Toronto Ontatrio Canada")</f>
        <v/>
      </c>
      <c r="K16534">
        <f>IFERROR(__xludf.DUMMYFUNCTION("""COMPUTED_VALUE"""),1332.12)</f>
        <v/>
      </c>
    </row>
    <row r="16535">
      <c r="J16535">
        <f>IFERROR(__xludf.DUMMYFUNCTION("""COMPUTED_VALUE"""),"San Jose (California) United States")</f>
        <v/>
      </c>
      <c r="K16535">
        <f>IFERROR(__xludf.DUMMYFUNCTION("""COMPUTED_VALUE"""),1331.86)</f>
        <v/>
      </c>
    </row>
    <row r="16536">
      <c r="J16536">
        <f>IFERROR(__xludf.DUMMYFUNCTION("""COMPUTED_VALUE"""),"Val d'Or
Rouyn-Noranda")</f>
        <v/>
      </c>
      <c r="K16536">
        <f>IFERROR(__xludf.DUMMYFUNCTION("""COMPUTED_VALUE"""),1331.12)</f>
        <v/>
      </c>
    </row>
    <row r="16537">
      <c r="J16537">
        <f>IFERROR(__xludf.DUMMYFUNCTION("""COMPUTED_VALUE"""),"Fortaleza,Brazil")</f>
        <v/>
      </c>
      <c r="K16537">
        <f>IFERROR(__xludf.DUMMYFUNCTION("""COMPUTED_VALUE"""),1331.06)</f>
        <v/>
      </c>
    </row>
    <row r="16538">
      <c r="J16538">
        <f>IFERROR(__xludf.DUMMYFUNCTION("""COMPUTED_VALUE"""),"St John's, Newfoundland, Canada; Dartmouth, Nova Scotia, Canada")</f>
        <v/>
      </c>
      <c r="K16538">
        <f>IFERROR(__xludf.DUMMYFUNCTION("""COMPUTED_VALUE"""),1330.12)</f>
        <v/>
      </c>
    </row>
    <row r="16539">
      <c r="J16539">
        <f>IFERROR(__xludf.DUMMYFUNCTION("""COMPUTED_VALUE"""),"Toronto/ Montreal")</f>
        <v/>
      </c>
      <c r="K16539">
        <f>IFERROR(__xludf.DUMMYFUNCTION("""COMPUTED_VALUE"""),1329.07)</f>
        <v/>
      </c>
    </row>
    <row r="16540">
      <c r="J16540">
        <f>IFERROR(__xludf.DUMMYFUNCTION("""COMPUTED_VALUE"""),"London, Ontario, Canada; Windsor, Ontario, Canada")</f>
        <v/>
      </c>
      <c r="K16540">
        <f>IFERROR(__xludf.DUMMYFUNCTION("""COMPUTED_VALUE"""),1328.47)</f>
        <v/>
      </c>
    </row>
    <row r="16541">
      <c r="J16541">
        <f>IFERROR(__xludf.DUMMYFUNCTION("""COMPUTED_VALUE"""),"Charlotte, NC, USA")</f>
        <v/>
      </c>
      <c r="K16541">
        <f>IFERROR(__xludf.DUMMYFUNCTION("""COMPUTED_VALUE"""),1328.17)</f>
        <v/>
      </c>
    </row>
    <row r="16542">
      <c r="J16542">
        <f>IFERROR(__xludf.DUMMYFUNCTION("""COMPUTED_VALUE"""),"Charlottetown, PE; Fredericton, NB")</f>
        <v/>
      </c>
      <c r="K16542">
        <f>IFERROR(__xludf.DUMMYFUNCTION("""COMPUTED_VALUE"""),1327.74)</f>
        <v/>
      </c>
    </row>
    <row r="16543">
      <c r="J16543">
        <f>IFERROR(__xludf.DUMMYFUNCTION("""COMPUTED_VALUE"""),"Toronto, ON &amp; Montréal, QC")</f>
        <v/>
      </c>
      <c r="K16543">
        <f>IFERROR(__xludf.DUMMYFUNCTION("""COMPUTED_VALUE"""),1327.6)</f>
        <v/>
      </c>
    </row>
    <row r="16544">
      <c r="J16544">
        <f>IFERROR(__xludf.DUMMYFUNCTION("""COMPUTED_VALUE"""),"Gagetown NB")</f>
        <v/>
      </c>
      <c r="K16544">
        <f>IFERROR(__xludf.DUMMYFUNCTION("""COMPUTED_VALUE"""),1327.14)</f>
        <v/>
      </c>
    </row>
    <row r="16545">
      <c r="J16545">
        <f>IFERROR(__xludf.DUMMYFUNCTION("""COMPUTED_VALUE"""),"Carleton-sur-Mer, Gaspé")</f>
        <v/>
      </c>
      <c r="K16545">
        <f>IFERROR(__xludf.DUMMYFUNCTION("""COMPUTED_VALUE"""),1327.08)</f>
        <v/>
      </c>
    </row>
    <row r="16546">
      <c r="J16546">
        <f>IFERROR(__xludf.DUMMYFUNCTION("""COMPUTED_VALUE"""),"Smithers, British Columbia, Canada")</f>
        <v/>
      </c>
      <c r="K16546">
        <f>IFERROR(__xludf.DUMMYFUNCTION("""COMPUTED_VALUE"""),1326.48)</f>
        <v/>
      </c>
    </row>
    <row r="16547">
      <c r="J16547">
        <f>IFERROR(__xludf.DUMMYFUNCTION("""COMPUTED_VALUE"""),"Mississauga, Ontario; Winnipeg, Manitoba; Iqaluit, Nunavut, Canada")</f>
        <v/>
      </c>
      <c r="K16547">
        <f>IFERROR(__xludf.DUMMYFUNCTION("""COMPUTED_VALUE"""),1326.39)</f>
        <v/>
      </c>
    </row>
    <row r="16548">
      <c r="J16548">
        <f>IFERROR(__xludf.DUMMYFUNCTION("""COMPUTED_VALUE"""),"Fredericton, New Brunswick, Canada; Moncton, New Brunswick, Canada; Montreal, Quebec, Canada; Sherbrooke, Quebec, Canada")</f>
        <v/>
      </c>
      <c r="K16548">
        <f>IFERROR(__xludf.DUMMYFUNCTION("""COMPUTED_VALUE"""),1326.2)</f>
        <v/>
      </c>
    </row>
    <row r="16549">
      <c r="J16549">
        <f>IFERROR(__xludf.DUMMYFUNCTION("""COMPUTED_VALUE"""),"Toronto, (Onatrio)")</f>
        <v/>
      </c>
      <c r="K16549">
        <f>IFERROR(__xludf.DUMMYFUNCTION("""COMPUTED_VALUE"""),1326.2)</f>
        <v/>
      </c>
    </row>
    <row r="16550">
      <c r="J16550">
        <f>IFERROR(__xludf.DUMMYFUNCTION("""COMPUTED_VALUE"""),"Fredericton, Moncton")</f>
        <v/>
      </c>
      <c r="K16550">
        <f>IFERROR(__xludf.DUMMYFUNCTION("""COMPUTED_VALUE"""),1326.18)</f>
        <v/>
      </c>
    </row>
    <row r="16551">
      <c r="J16551">
        <f>IFERROR(__xludf.DUMMYFUNCTION("""COMPUTED_VALUE"""),"Fredericton, NB - Moncton, NB")</f>
        <v/>
      </c>
      <c r="K16551">
        <f>IFERROR(__xludf.DUMMYFUNCTION("""COMPUTED_VALUE"""),1326.14)</f>
        <v/>
      </c>
    </row>
    <row r="16552">
      <c r="J16552">
        <f>IFERROR(__xludf.DUMMYFUNCTION("""COMPUTED_VALUE"""),"Bangui, Centrafrican Républic")</f>
        <v/>
      </c>
      <c r="K16552">
        <f>IFERROR(__xludf.DUMMYFUNCTION("""COMPUTED_VALUE"""),1325.85)</f>
        <v/>
      </c>
    </row>
    <row r="16553">
      <c r="J16553">
        <f>IFERROR(__xludf.DUMMYFUNCTION("""COMPUTED_VALUE"""),"Cape Canaveral, Flordia, USA")</f>
        <v/>
      </c>
      <c r="K16553">
        <f>IFERROR(__xludf.DUMMYFUNCTION("""COMPUTED_VALUE"""),1325.42)</f>
        <v/>
      </c>
    </row>
    <row r="16554">
      <c r="J16554">
        <f>IFERROR(__xludf.DUMMYFUNCTION("""COMPUTED_VALUE"""),"Edmonton, AB; Grande Prairie, AB")</f>
        <v/>
      </c>
      <c r="K16554">
        <f>IFERROR(__xludf.DUMMYFUNCTION("""COMPUTED_VALUE"""),1325.27)</f>
        <v/>
      </c>
    </row>
    <row r="16555">
      <c r="J16555">
        <f>IFERROR(__xludf.DUMMYFUNCTION("""COMPUTED_VALUE"""),"Roberval, Bagotville, Québec, Montréal")</f>
        <v/>
      </c>
      <c r="K16555">
        <f>IFERROR(__xludf.DUMMYFUNCTION("""COMPUTED_VALUE"""),1325.22)</f>
        <v/>
      </c>
    </row>
    <row r="16556">
      <c r="J16556">
        <f>IFERROR(__xludf.DUMMYFUNCTION("""COMPUTED_VALUE"""),"Jammu &amp; Kashmir")</f>
        <v/>
      </c>
      <c r="K16556">
        <f>IFERROR(__xludf.DUMMYFUNCTION("""COMPUTED_VALUE"""),1324.94)</f>
        <v/>
      </c>
    </row>
    <row r="16557">
      <c r="J16557">
        <f>IFERROR(__xludf.DUMMYFUNCTION("""COMPUTED_VALUE"""),"Toronto, Ontario, Canada; Vaughan, Ontario, Canada")</f>
        <v/>
      </c>
      <c r="K16557">
        <f>IFERROR(__xludf.DUMMYFUNCTION("""COMPUTED_VALUE"""),1324.76)</f>
        <v/>
      </c>
    </row>
    <row r="16558">
      <c r="J16558">
        <f>IFERROR(__xludf.DUMMYFUNCTION("""COMPUTED_VALUE"""),"Ottawa - Meaford - Ottawa")</f>
        <v/>
      </c>
      <c r="K16558">
        <f>IFERROR(__xludf.DUMMYFUNCTION("""COMPUTED_VALUE"""),1324.69)</f>
        <v/>
      </c>
    </row>
    <row r="16559">
      <c r="J16559">
        <f>IFERROR(__xludf.DUMMYFUNCTION("""COMPUTED_VALUE"""),"Kingston, Ont")</f>
        <v/>
      </c>
      <c r="K16559">
        <f>IFERROR(__xludf.DUMMYFUNCTION("""COMPUTED_VALUE"""),1324.56)</f>
        <v/>
      </c>
    </row>
    <row r="16560">
      <c r="J16560">
        <f>IFERROR(__xludf.DUMMYFUNCTION("""COMPUTED_VALUE"""),"Moose Jaw, SK, CA")</f>
        <v/>
      </c>
      <c r="K16560">
        <f>IFERROR(__xludf.DUMMYFUNCTION("""COMPUTED_VALUE"""),1324.54)</f>
        <v/>
      </c>
    </row>
    <row r="16561">
      <c r="J16561">
        <f>IFERROR(__xludf.DUMMYFUNCTION("""COMPUTED_VALUE"""),"Moncton, New-Brunswick, Halifax, Nova Scotia and Montreal, Quebec")</f>
        <v/>
      </c>
      <c r="K16561">
        <f>IFERROR(__xludf.DUMMYFUNCTION("""COMPUTED_VALUE"""),1324.47)</f>
        <v/>
      </c>
    </row>
    <row r="16562">
      <c r="J16562">
        <f>IFERROR(__xludf.DUMMYFUNCTION("""COMPUTED_VALUE"""),"Vancouver, British Columbia, Canada; Jasper, Alberta, Canada")</f>
        <v/>
      </c>
      <c r="K16562">
        <f>IFERROR(__xludf.DUMMYFUNCTION("""COMPUTED_VALUE"""),1324.25)</f>
        <v/>
      </c>
    </row>
    <row r="16563">
      <c r="J16563">
        <f>IFERROR(__xludf.DUMMYFUNCTION("""COMPUTED_VALUE"""),"St.Sauveur,QC")</f>
        <v/>
      </c>
      <c r="K16563">
        <f>IFERROR(__xludf.DUMMYFUNCTION("""COMPUTED_VALUE"""),1323.85)</f>
        <v/>
      </c>
    </row>
    <row r="16564">
      <c r="J16564">
        <f>IFERROR(__xludf.DUMMYFUNCTION("""COMPUTED_VALUE"""),"Pointe-Claire, Quebec, Canada")</f>
        <v/>
      </c>
      <c r="K16564">
        <f>IFERROR(__xludf.DUMMYFUNCTION("""COMPUTED_VALUE"""),1323.52)</f>
        <v/>
      </c>
    </row>
    <row r="16565">
      <c r="J16565">
        <f>IFERROR(__xludf.DUMMYFUNCTION("""COMPUTED_VALUE"""),"Toronto, Ontario, Canada; Newmarket, Ontario, Canada")</f>
        <v/>
      </c>
      <c r="K16565">
        <f>IFERROR(__xludf.DUMMYFUNCTION("""COMPUTED_VALUE"""),1323.27)</f>
        <v/>
      </c>
    </row>
    <row r="16566">
      <c r="J16566">
        <f>IFERROR(__xludf.DUMMYFUNCTION("""COMPUTED_VALUE"""),"Edmonton &amp; Calgary")</f>
        <v/>
      </c>
      <c r="K16566">
        <f>IFERROR(__xludf.DUMMYFUNCTION("""COMPUTED_VALUE"""),1323.15)</f>
        <v/>
      </c>
    </row>
    <row r="16567">
      <c r="J16567">
        <f>IFERROR(__xludf.DUMMYFUNCTION("""COMPUTED_VALUE"""),"Monreal, QC, Toronto, ON")</f>
        <v/>
      </c>
      <c r="K16567">
        <f>IFERROR(__xludf.DUMMYFUNCTION("""COMPUTED_VALUE"""),1323.06)</f>
        <v/>
      </c>
    </row>
    <row r="16568">
      <c r="J16568">
        <f>IFERROR(__xludf.DUMMYFUNCTION("""COMPUTED_VALUE"""),"Sudbury,Ontario, Canada")</f>
        <v/>
      </c>
      <c r="K16568">
        <f>IFERROR(__xludf.DUMMYFUNCTION("""COMPUTED_VALUE"""),1322.24)</f>
        <v/>
      </c>
    </row>
    <row r="16569">
      <c r="J16569">
        <f>IFERROR(__xludf.DUMMYFUNCTION("""COMPUTED_VALUE"""),"Bowden, Alberta")</f>
        <v/>
      </c>
      <c r="K16569">
        <f>IFERROR(__xludf.DUMMYFUNCTION("""COMPUTED_VALUE"""),1321.46)</f>
        <v/>
      </c>
    </row>
    <row r="16570">
      <c r="J16570">
        <f>IFERROR(__xludf.DUMMYFUNCTION("""COMPUTED_VALUE"""),"Happy Valley-Goose Bay, NL; St. John's, NL")</f>
        <v/>
      </c>
      <c r="K16570">
        <f>IFERROR(__xludf.DUMMYFUNCTION("""COMPUTED_VALUE"""),1321.01)</f>
        <v/>
      </c>
    </row>
    <row r="16571">
      <c r="J16571">
        <f>IFERROR(__xludf.DUMMYFUNCTION("""COMPUTED_VALUE"""),"Abbotsford,  British Columbia, Canada")</f>
        <v/>
      </c>
      <c r="K16571">
        <f>IFERROR(__xludf.DUMMYFUNCTION("""COMPUTED_VALUE"""),1320.32)</f>
        <v/>
      </c>
    </row>
    <row r="16572">
      <c r="J16572">
        <f>IFERROR(__xludf.DUMMYFUNCTION("""COMPUTED_VALUE"""),"Barrie, ON / Mississauga, ON /
Cambridge, ON / North York,
ON / Toronto, ON / Brantford,
ON")</f>
        <v/>
      </c>
      <c r="K16572">
        <f>IFERROR(__xludf.DUMMYFUNCTION("""COMPUTED_VALUE"""),1320)</f>
        <v/>
      </c>
    </row>
    <row r="16573">
      <c r="J16573">
        <f>IFERROR(__xludf.DUMMYFUNCTION("""COMPUTED_VALUE"""),"Anaheim, California, USA")</f>
        <v/>
      </c>
      <c r="K16573">
        <f>IFERROR(__xludf.DUMMYFUNCTION("""COMPUTED_VALUE"""),1319.88)</f>
        <v/>
      </c>
    </row>
    <row r="16574">
      <c r="J16574">
        <f>IFERROR(__xludf.DUMMYFUNCTION("""COMPUTED_VALUE"""),"Washington, DC, US")</f>
        <v/>
      </c>
      <c r="K16574">
        <f>IFERROR(__xludf.DUMMYFUNCTION("""COMPUTED_VALUE"""),1319.86)</f>
        <v/>
      </c>
    </row>
    <row r="16575">
      <c r="J16575">
        <f>IFERROR(__xludf.DUMMYFUNCTION("""COMPUTED_VALUE"""),"Regina,
Saskatchewan,
Canada")</f>
        <v/>
      </c>
      <c r="K16575">
        <f>IFERROR(__xludf.DUMMYFUNCTION("""COMPUTED_VALUE"""),1319.83)</f>
        <v/>
      </c>
    </row>
    <row r="16576">
      <c r="J16576">
        <f>IFERROR(__xludf.DUMMYFUNCTION("""COMPUTED_VALUE"""),"Vancouver and Kelowna, British Columbia and Calgary, Alberta")</f>
        <v/>
      </c>
      <c r="K16576">
        <f>IFERROR(__xludf.DUMMYFUNCTION("""COMPUTED_VALUE"""),1319.75)</f>
        <v/>
      </c>
    </row>
    <row r="16577">
      <c r="J16577">
        <f>IFERROR(__xludf.DUMMYFUNCTION("""COMPUTED_VALUE"""),"Midland, Ontario, Canada")</f>
        <v/>
      </c>
      <c r="K16577">
        <f>IFERROR(__xludf.DUMMYFUNCTION("""COMPUTED_VALUE"""),1319.65)</f>
        <v/>
      </c>
    </row>
    <row r="16578">
      <c r="J16578">
        <f>IFERROR(__xludf.DUMMYFUNCTION("""COMPUTED_VALUE"""),"Markham, Ontario, Canada; Brampton, Ontario, Canada; Mississauga, Ontario, Canada; Burlington, Ontario, Canada")</f>
        <v/>
      </c>
      <c r="K16578">
        <f>IFERROR(__xludf.DUMMYFUNCTION("""COMPUTED_VALUE"""),1319.54)</f>
        <v/>
      </c>
    </row>
    <row r="16579">
      <c r="J16579">
        <f>IFERROR(__xludf.DUMMYFUNCTION("""COMPUTED_VALUE"""),"St. Thomas, London &amp; Toronto, Ontario, Canada")</f>
        <v/>
      </c>
      <c r="K16579">
        <f>IFERROR(__xludf.DUMMYFUNCTION("""COMPUTED_VALUE"""),1319.08)</f>
        <v/>
      </c>
    </row>
    <row r="16580">
      <c r="J16580">
        <f>IFERROR(__xludf.DUMMYFUNCTION("""COMPUTED_VALUE"""),"Concord, Ontario, Canada")</f>
        <v/>
      </c>
      <c r="K16580">
        <f>IFERROR(__xludf.DUMMYFUNCTION("""COMPUTED_VALUE"""),1318.81)</f>
        <v/>
      </c>
    </row>
    <row r="16581">
      <c r="J16581">
        <f>IFERROR(__xludf.DUMMYFUNCTION("""COMPUTED_VALUE"""),"Vancouver, British-Conlumbia")</f>
        <v/>
      </c>
      <c r="K16581">
        <f>IFERROR(__xludf.DUMMYFUNCTION("""COMPUTED_VALUE"""),1317.8)</f>
        <v/>
      </c>
    </row>
    <row r="16582">
      <c r="J16582">
        <f>IFERROR(__xludf.DUMMYFUNCTION("""COMPUTED_VALUE"""),"Gagetown, Canada")</f>
        <v/>
      </c>
      <c r="K16582">
        <f>IFERROR(__xludf.DUMMYFUNCTION("""COMPUTED_VALUE"""),1317.72)</f>
        <v/>
      </c>
    </row>
    <row r="16583">
      <c r="J16583">
        <f>IFERROR(__xludf.DUMMYFUNCTION("""COMPUTED_VALUE"""),"Fredericton, New Brunswick, Canada; Moncton, New Brunswick, Canada; Miramichi, New Brunswick, Canada; Bathurst, New Brunswick, Canada")</f>
        <v/>
      </c>
      <c r="K16583">
        <f>IFERROR(__xludf.DUMMYFUNCTION("""COMPUTED_VALUE"""),1317.71999999999)</f>
        <v/>
      </c>
    </row>
    <row r="16584">
      <c r="J16584">
        <f>IFERROR(__xludf.DUMMYFUNCTION("""COMPUTED_VALUE"""),"Bridgewater, USA")</f>
        <v/>
      </c>
      <c r="K16584">
        <f>IFERROR(__xludf.DUMMYFUNCTION("""COMPUTED_VALUE"""),1316.67)</f>
        <v/>
      </c>
    </row>
    <row r="16585">
      <c r="J16585">
        <f>IFERROR(__xludf.DUMMYFUNCTION("""COMPUTED_VALUE"""),"Peterborough, Toronto and Waterloo, Ontario, Canada")</f>
        <v/>
      </c>
      <c r="K16585">
        <f>IFERROR(__xludf.DUMMYFUNCTION("""COMPUTED_VALUE"""),1315.97)</f>
        <v/>
      </c>
    </row>
    <row r="16586">
      <c r="J16586">
        <f>IFERROR(__xludf.DUMMYFUNCTION("""COMPUTED_VALUE"""),"Edmonton, AB Calgary, AB")</f>
        <v/>
      </c>
      <c r="K16586">
        <f>IFERROR(__xludf.DUMMYFUNCTION("""COMPUTED_VALUE"""),1315.02)</f>
        <v/>
      </c>
    </row>
    <row r="16587">
      <c r="J16587">
        <f>IFERROR(__xludf.DUMMYFUNCTION("""COMPUTED_VALUE"""),"Belleville, ON Ottawa, ON")</f>
        <v/>
      </c>
      <c r="K16587">
        <f>IFERROR(__xludf.DUMMYFUNCTION("""COMPUTED_VALUE"""),1315.01)</f>
        <v/>
      </c>
    </row>
    <row r="16588">
      <c r="J16588">
        <f>IFERROR(__xludf.DUMMYFUNCTION("""COMPUTED_VALUE"""),"Saint-Jean-sur-Richelieu, Pike River and Montréal, Québec")</f>
        <v/>
      </c>
      <c r="K16588">
        <f>IFERROR(__xludf.DUMMYFUNCTION("""COMPUTED_VALUE"""),1314.83)</f>
        <v/>
      </c>
    </row>
    <row r="16589">
      <c r="J16589">
        <f>IFERROR(__xludf.DUMMYFUNCTION("""COMPUTED_VALUE"""),"Vancouver, British Columbia, Canada; Edmonton, Alberta, Canada;  Sydney, Nova Scotia, Canada")</f>
        <v/>
      </c>
      <c r="K16589">
        <f>IFERROR(__xludf.DUMMYFUNCTION("""COMPUTED_VALUE"""),1314.45)</f>
        <v/>
      </c>
    </row>
    <row r="16590">
      <c r="J16590">
        <f>IFERROR(__xludf.DUMMYFUNCTION("""COMPUTED_VALUE"""),"Saskatoon/Waskesiu/Batoche, Saskatchewan")</f>
        <v/>
      </c>
      <c r="K16590">
        <f>IFERROR(__xludf.DUMMYFUNCTION("""COMPUTED_VALUE"""),1313.88)</f>
        <v/>
      </c>
    </row>
    <row r="16591">
      <c r="J16591">
        <f>IFERROR(__xludf.DUMMYFUNCTION("""COMPUTED_VALUE"""),"Toronto Windsor, Ontario")</f>
        <v/>
      </c>
      <c r="K16591">
        <f>IFERROR(__xludf.DUMMYFUNCTION("""COMPUTED_VALUE"""),1313.57)</f>
        <v/>
      </c>
    </row>
    <row r="16592">
      <c r="J16592">
        <f>IFERROR(__xludf.DUMMYFUNCTION("""COMPUTED_VALUE"""),"Bruce Peninsula")</f>
        <v/>
      </c>
      <c r="K16592">
        <f>IFERROR(__xludf.DUMMYFUNCTION("""COMPUTED_VALUE"""),1313.53)</f>
        <v/>
      </c>
    </row>
    <row r="16593">
      <c r="J16593">
        <f>IFERROR(__xludf.DUMMYFUNCTION("""COMPUTED_VALUE"""),"Toronto, Scarborough, Port Hope, ON, Saint-Hyacinthe, QC")</f>
        <v/>
      </c>
      <c r="K16593">
        <f>IFERROR(__xludf.DUMMYFUNCTION("""COMPUTED_VALUE"""),1313.38)</f>
        <v/>
      </c>
    </row>
    <row r="16594">
      <c r="J16594">
        <f>IFERROR(__xludf.DUMMYFUNCTION("""COMPUTED_VALUE"""),"Roberval, Bagotville, Vaudreuil")</f>
        <v/>
      </c>
      <c r="K16594">
        <f>IFERROR(__xludf.DUMMYFUNCTION("""COMPUTED_VALUE"""),1313.35)</f>
        <v/>
      </c>
    </row>
    <row r="16595">
      <c r="J16595">
        <f>IFERROR(__xludf.DUMMYFUNCTION("""COMPUTED_VALUE"""),"Toronto/Waterloo, Ontario")</f>
        <v/>
      </c>
      <c r="K16595">
        <f>IFERROR(__xludf.DUMMYFUNCTION("""COMPUTED_VALUE"""),1313.32)</f>
        <v/>
      </c>
    </row>
    <row r="16596">
      <c r="J16596">
        <f>IFERROR(__xludf.DUMMYFUNCTION("""COMPUTED_VALUE"""),"Tofino, British Columbia")</f>
        <v/>
      </c>
      <c r="K16596">
        <f>IFERROR(__xludf.DUMMYFUNCTION("""COMPUTED_VALUE"""),1313.3)</f>
        <v/>
      </c>
    </row>
    <row r="16597">
      <c r="J16597">
        <f>IFERROR(__xludf.DUMMYFUNCTION("""COMPUTED_VALUE"""),"Toronto, Ontario, Canada; London, Ontario, Canada; Sudbury, Ontario, Canada")</f>
        <v/>
      </c>
      <c r="K16597">
        <f>IFERROR(__xludf.DUMMYFUNCTION("""COMPUTED_VALUE"""),1313.14)</f>
        <v/>
      </c>
    </row>
    <row r="16598">
      <c r="J16598">
        <f>IFERROR(__xludf.DUMMYFUNCTION("""COMPUTED_VALUE"""),"Halifax , NS")</f>
        <v/>
      </c>
      <c r="K16598">
        <f>IFERROR(__xludf.DUMMYFUNCTION("""COMPUTED_VALUE"""),1313.08)</f>
        <v/>
      </c>
    </row>
    <row r="16599">
      <c r="J16599">
        <f>IFERROR(__xludf.DUMMYFUNCTION("""COMPUTED_VALUE"""),"Richmond Hill, ON / Brantford, ON")</f>
        <v/>
      </c>
      <c r="K16599">
        <f>IFERROR(__xludf.DUMMYFUNCTION("""COMPUTED_VALUE"""),1313.03)</f>
        <v/>
      </c>
    </row>
    <row r="16600">
      <c r="J16600">
        <f>IFERROR(__xludf.DUMMYFUNCTION("""COMPUTED_VALUE"""),"CFB Trenton")</f>
        <v/>
      </c>
      <c r="K16600">
        <f>IFERROR(__xludf.DUMMYFUNCTION("""COMPUTED_VALUE"""),1312.6)</f>
        <v/>
      </c>
    </row>
    <row r="16601">
      <c r="J16601">
        <f>IFERROR(__xludf.DUMMYFUNCTION("""COMPUTED_VALUE"""),"Digby and Halifax, Nova Scotia, Canada")</f>
        <v/>
      </c>
      <c r="K16601">
        <f>IFERROR(__xludf.DUMMYFUNCTION("""COMPUTED_VALUE"""),1312.52)</f>
        <v/>
      </c>
    </row>
    <row r="16602">
      <c r="J16602">
        <f>IFERROR(__xludf.DUMMYFUNCTION("""COMPUTED_VALUE"""),"Montréal, QC; Québec, QC")</f>
        <v/>
      </c>
      <c r="K16602">
        <f>IFERROR(__xludf.DUMMYFUNCTION("""COMPUTED_VALUE"""),1312.23)</f>
        <v/>
      </c>
    </row>
    <row r="16603">
      <c r="J16603">
        <f>IFERROR(__xludf.DUMMYFUNCTION("""COMPUTED_VALUE"""),"Hallfax, Nova Scotia, Canada")</f>
        <v/>
      </c>
      <c r="K16603">
        <f>IFERROR(__xludf.DUMMYFUNCTION("""COMPUTED_VALUE"""),1312.18)</f>
        <v/>
      </c>
    </row>
    <row r="16604">
      <c r="J16604">
        <f>IFERROR(__xludf.DUMMYFUNCTION("""COMPUTED_VALUE"""),"Victoria, British Columbia and Edmonton, Alberta")</f>
        <v/>
      </c>
      <c r="K16604">
        <f>IFERROR(__xludf.DUMMYFUNCTION("""COMPUTED_VALUE"""),1311.85)</f>
        <v/>
      </c>
    </row>
    <row r="16605">
      <c r="J16605">
        <f>IFERROR(__xludf.DUMMYFUNCTION("""COMPUTED_VALUE"""),"Moncton (New Brunswick) Charlottetown and Summerside (Prince Edward Island), Sydney (Nova Scotia)")</f>
        <v/>
      </c>
      <c r="K16605">
        <f>IFERROR(__xludf.DUMMYFUNCTION("""COMPUTED_VALUE"""),1311.81)</f>
        <v/>
      </c>
    </row>
    <row r="16606">
      <c r="J16606">
        <f>IFERROR(__xludf.DUMMYFUNCTION("""COMPUTED_VALUE"""),"Bagotville and Chateauguay, Quebec")</f>
        <v/>
      </c>
      <c r="K16606">
        <f>IFERROR(__xludf.DUMMYFUNCTION("""COMPUTED_VALUE"""),1311.62)</f>
        <v/>
      </c>
    </row>
    <row r="16607">
      <c r="J16607">
        <f>IFERROR(__xludf.DUMMYFUNCTION("""COMPUTED_VALUE"""),"Boucherville, Quebec")</f>
        <v/>
      </c>
      <c r="K16607">
        <f>IFERROR(__xludf.DUMMYFUNCTION("""COMPUTED_VALUE"""),1311.46)</f>
        <v/>
      </c>
    </row>
    <row r="16608">
      <c r="J16608">
        <f>IFERROR(__xludf.DUMMYFUNCTION("""COMPUTED_VALUE"""),"Vaughan and Mississauga, Ontario, Canada")</f>
        <v/>
      </c>
      <c r="K16608">
        <f>IFERROR(__xludf.DUMMYFUNCTION("""COMPUTED_VALUE"""),1311.34)</f>
        <v/>
      </c>
    </row>
    <row r="16609">
      <c r="J16609">
        <f>IFERROR(__xludf.DUMMYFUNCTION("""COMPUTED_VALUE"""),"St-Hubert, Roberval, Gaspé, Sept-Iles, Rivière-du-Loup, Amos")</f>
        <v/>
      </c>
      <c r="K16609">
        <f>IFERROR(__xludf.DUMMYFUNCTION("""COMPUTED_VALUE"""),1310.66)</f>
        <v/>
      </c>
    </row>
    <row r="16610">
      <c r="J16610">
        <f>IFERROR(__xludf.DUMMYFUNCTION("""COMPUTED_VALUE"""),"Fredericton, New Brunswick, Canada; Shediac, New Brunswick, Canada; French Village, New Brunswick, Canada; Halifax, Nova Scotia, Canada")</f>
        <v/>
      </c>
      <c r="K16610">
        <f>IFERROR(__xludf.DUMMYFUNCTION("""COMPUTED_VALUE"""),1310.51)</f>
        <v/>
      </c>
    </row>
    <row r="16611">
      <c r="J16611">
        <f>IFERROR(__xludf.DUMMYFUNCTION("""COMPUTED_VALUE"""),"Sarnia, Ontario, Canada
Burlington, Ontario, Canada")</f>
        <v/>
      </c>
      <c r="K16611">
        <f>IFERROR(__xludf.DUMMYFUNCTION("""COMPUTED_VALUE"""),1310.45)</f>
        <v/>
      </c>
    </row>
    <row r="16612">
      <c r="J16612">
        <f>IFERROR(__xludf.DUMMYFUNCTION("""COMPUTED_VALUE"""),"Moncton, New Brunswick and Gaspé, Quebec")</f>
        <v/>
      </c>
      <c r="K16612">
        <f>IFERROR(__xludf.DUMMYFUNCTION("""COMPUTED_VALUE"""),1310.3)</f>
        <v/>
      </c>
    </row>
    <row r="16613">
      <c r="J16613">
        <f>IFERROR(__xludf.DUMMYFUNCTION("""COMPUTED_VALUE"""),"Blanc Sablon, QC")</f>
        <v/>
      </c>
      <c r="K16613">
        <f>IFERROR(__xludf.DUMMYFUNCTION("""COMPUTED_VALUE"""),1309.66)</f>
        <v/>
      </c>
    </row>
    <row r="16614">
      <c r="J16614">
        <f>IFERROR(__xludf.DUMMYFUNCTION("""COMPUTED_VALUE"""),"Windsor, Nova Scotia, Canada; Kentville, Nova Scotia, Canada; Middleton, Nova Scotia, Canada; Digby, Nova Scotia, Canada; Church Point, Nova Scotia, Canada; Yarmouth, Nova Scotia, Canada; Shelburne, Nova Scotia, Canada; Bridgewater, Nova Scotia, Canada; O"&amp;"ak Island, Nova Scotia, Canada; Truro, Nova Scotia, Canada; Amherst, Nova Scotia, Canada; Halifax, Nova Scotia, Canada;")</f>
        <v/>
      </c>
      <c r="K16614">
        <f>IFERROR(__xludf.DUMMYFUNCTION("""COMPUTED_VALUE"""),1309.55)</f>
        <v/>
      </c>
    </row>
    <row r="16615">
      <c r="J16615">
        <f>IFERROR(__xludf.DUMMYFUNCTION("""COMPUTED_VALUE"""),"St Sauveur, Quebec, Canada")</f>
        <v/>
      </c>
      <c r="K16615">
        <f>IFERROR(__xludf.DUMMYFUNCTION("""COMPUTED_VALUE"""),1308.76)</f>
        <v/>
      </c>
    </row>
    <row r="16616">
      <c r="J16616">
        <f>IFERROR(__xludf.DUMMYFUNCTION("""COMPUTED_VALUE"""),"Toronto, ON / Ottawa, ON / Waterloo, ON")</f>
        <v/>
      </c>
      <c r="K16616">
        <f>IFERROR(__xludf.DUMMYFUNCTION("""COMPUTED_VALUE"""),1308.37)</f>
        <v/>
      </c>
    </row>
    <row r="16617">
      <c r="J16617">
        <f>IFERROR(__xludf.DUMMYFUNCTION("""COMPUTED_VALUE"""),"Vancouver, Prince Rupert,  B.C.")</f>
        <v/>
      </c>
      <c r="K16617">
        <f>IFERROR(__xludf.DUMMYFUNCTION("""COMPUTED_VALUE"""),1308.36)</f>
        <v/>
      </c>
    </row>
    <row r="16618">
      <c r="J16618">
        <f>IFERROR(__xludf.DUMMYFUNCTION("""COMPUTED_VALUE"""),"Edmonton, AB; Lethbridge, AB")</f>
        <v/>
      </c>
      <c r="K16618">
        <f>IFERROR(__xludf.DUMMYFUNCTION("""COMPUTED_VALUE"""),1308.13)</f>
        <v/>
      </c>
    </row>
    <row r="16619">
      <c r="J16619">
        <f>IFERROR(__xludf.DUMMYFUNCTION("""COMPUTED_VALUE"""),"St-Petersburg, Moscow")</f>
        <v/>
      </c>
      <c r="K16619">
        <f>IFERROR(__xludf.DUMMYFUNCTION("""COMPUTED_VALUE"""),1308.12)</f>
        <v/>
      </c>
    </row>
    <row r="16620">
      <c r="J16620">
        <f>IFERROR(__xludf.DUMMYFUNCTION("""COMPUTED_VALUE"""),"Cities in Ontario and New-Brunswick, Canada")</f>
        <v/>
      </c>
      <c r="K16620">
        <f>IFERROR(__xludf.DUMMYFUNCTION("""COMPUTED_VALUE"""),1307.73)</f>
        <v/>
      </c>
    </row>
    <row r="16621">
      <c r="J16621">
        <f>IFERROR(__xludf.DUMMYFUNCTION("""COMPUTED_VALUE"""),"Lisbon and Porto in Portugal")</f>
        <v/>
      </c>
      <c r="K16621">
        <f>IFERROR(__xludf.DUMMYFUNCTION("""COMPUTED_VALUE"""),1307.26)</f>
        <v/>
      </c>
    </row>
    <row r="16622">
      <c r="J16622">
        <f>IFERROR(__xludf.DUMMYFUNCTION("""COMPUTED_VALUE"""),"Toronto, ON - Sault Ste. Marie, ON")</f>
        <v/>
      </c>
      <c r="K16622">
        <f>IFERROR(__xludf.DUMMYFUNCTION("""COMPUTED_VALUE"""),1306.77)</f>
        <v/>
      </c>
    </row>
    <row r="16623">
      <c r="J16623">
        <f>IFERROR(__xludf.DUMMYFUNCTION("""COMPUTED_VALUE"""),"Morrell, Prince Edward Island, Canada")</f>
        <v/>
      </c>
      <c r="K16623">
        <f>IFERROR(__xludf.DUMMYFUNCTION("""COMPUTED_VALUE"""),1306.69)</f>
        <v/>
      </c>
    </row>
    <row r="16624">
      <c r="J16624">
        <f>IFERROR(__xludf.DUMMYFUNCTION("""COMPUTED_VALUE"""),"Moncton, NB / Gatineau, QC")</f>
        <v/>
      </c>
      <c r="K16624">
        <f>IFERROR(__xludf.DUMMYFUNCTION("""COMPUTED_VALUE"""),1306.23)</f>
        <v/>
      </c>
    </row>
    <row r="16625">
      <c r="J16625">
        <f>IFERROR(__xludf.DUMMYFUNCTION("""COMPUTED_VALUE"""),"KINGSTON and TRENTON, ON")</f>
        <v/>
      </c>
      <c r="K16625">
        <f>IFERROR(__xludf.DUMMYFUNCTION("""COMPUTED_VALUE"""),1306.15)</f>
        <v/>
      </c>
    </row>
    <row r="16626">
      <c r="J16626">
        <f>IFERROR(__xludf.DUMMYFUNCTION("""COMPUTED_VALUE"""),"Valcartier Québec")</f>
        <v/>
      </c>
      <c r="K16626">
        <f>IFERROR(__xludf.DUMMYFUNCTION("""COMPUTED_VALUE"""),1305.88)</f>
        <v/>
      </c>
    </row>
    <row r="16627">
      <c r="J16627">
        <f>IFERROR(__xludf.DUMMYFUNCTION("""COMPUTED_VALUE"""),"Bécancour, Quebec, Canada")</f>
        <v/>
      </c>
      <c r="K16627">
        <f>IFERROR(__xludf.DUMMYFUNCTION("""COMPUTED_VALUE"""),1305.43)</f>
        <v/>
      </c>
    </row>
    <row r="16628">
      <c r="J16628">
        <f>IFERROR(__xludf.DUMMYFUNCTION("""COMPUTED_VALUE"""),"Winnipeg, Manitoba; Emerson, Manitoba")</f>
        <v/>
      </c>
      <c r="K16628">
        <f>IFERROR(__xludf.DUMMYFUNCTION("""COMPUTED_VALUE"""),1305.33)</f>
        <v/>
      </c>
    </row>
    <row r="16629">
      <c r="J16629">
        <f>IFERROR(__xludf.DUMMYFUNCTION("""COMPUTED_VALUE"""),"Montreal, Quebec, Canada; Val d'Or, Quebec, Canada; Quebec City, Quebec, Canada")</f>
        <v/>
      </c>
      <c r="K16629">
        <f>IFERROR(__xludf.DUMMYFUNCTION("""COMPUTED_VALUE"""),1305.13)</f>
        <v/>
      </c>
    </row>
    <row r="16630">
      <c r="J16630">
        <f>IFERROR(__xludf.DUMMYFUNCTION("""COMPUTED_VALUE"""),"Boston (MA) USA")</f>
        <v/>
      </c>
      <c r="K16630">
        <f>IFERROR(__xludf.DUMMYFUNCTION("""COMPUTED_VALUE"""),1304.93)</f>
        <v/>
      </c>
    </row>
    <row r="16631">
      <c r="J16631">
        <f>IFERROR(__xludf.DUMMYFUNCTION("""COMPUTED_VALUE"""),"Toronto (Ontario) Canada;
Harrow (Ontario) Canada;
Windsor (Ontario) Canada")</f>
        <v/>
      </c>
      <c r="K16631">
        <f>IFERROR(__xludf.DUMMYFUNCTION("""COMPUTED_VALUE"""),1304.5)</f>
        <v/>
      </c>
    </row>
    <row r="16632">
      <c r="J16632">
        <f>IFERROR(__xludf.DUMMYFUNCTION("""COMPUTED_VALUE"""),"Mont-Tremblant")</f>
        <v/>
      </c>
      <c r="K16632">
        <f>IFERROR(__xludf.DUMMYFUNCTION("""COMPUTED_VALUE"""),1304.47)</f>
        <v/>
      </c>
    </row>
    <row r="16633">
      <c r="J16633">
        <f>IFERROR(__xludf.DUMMYFUNCTION("""COMPUTED_VALUE"""),"Toronto and Guelph, ON")</f>
        <v/>
      </c>
      <c r="K16633">
        <f>IFERROR(__xludf.DUMMYFUNCTION("""COMPUTED_VALUE"""),1304.4)</f>
        <v/>
      </c>
    </row>
    <row r="16634">
      <c r="J16634">
        <f>IFERROR(__xludf.DUMMYFUNCTION("""COMPUTED_VALUE"""),"Winnipeg, Manitoba, Canada
Brandon, Manitoba, Canada")</f>
        <v/>
      </c>
      <c r="K16634">
        <f>IFERROR(__xludf.DUMMYFUNCTION("""COMPUTED_VALUE"""),1303.89)</f>
        <v/>
      </c>
    </row>
    <row r="16635">
      <c r="J16635">
        <f>IFERROR(__xludf.DUMMYFUNCTION("""COMPUTED_VALUE"""),"Saskatoon, Saskatchewan, Canada; Regina, Saskatchewan, Canada; Estevan, Saskatchewan, Canada; Weyburn, Saskatchewan, Canada")</f>
        <v/>
      </c>
      <c r="K16635">
        <f>IFERROR(__xludf.DUMMYFUNCTION("""COMPUTED_VALUE"""),1303.87)</f>
        <v/>
      </c>
    </row>
    <row r="16636">
      <c r="J16636">
        <f>IFERROR(__xludf.DUMMYFUNCTION("""COMPUTED_VALUE"""),"Matane (Québec) Canada")</f>
        <v/>
      </c>
      <c r="K16636">
        <f>IFERROR(__xludf.DUMMYFUNCTION("""COMPUTED_VALUE"""),1303.81)</f>
        <v/>
      </c>
    </row>
    <row r="16637">
      <c r="J16637">
        <f>IFERROR(__xludf.DUMMYFUNCTION("""COMPUTED_VALUE"""),"Fredericton, New Brunswick, Canada; Saint John, New Brunswick, Canada")</f>
        <v/>
      </c>
      <c r="K16637">
        <f>IFERROR(__xludf.DUMMYFUNCTION("""COMPUTED_VALUE"""),1303.68)</f>
        <v/>
      </c>
    </row>
    <row r="16638">
      <c r="J16638">
        <f>IFERROR(__xludf.DUMMYFUNCTION("""COMPUTED_VALUE"""),"Rimouski; Québec, Quebec, Canada")</f>
        <v/>
      </c>
      <c r="K16638">
        <f>IFERROR(__xludf.DUMMYFUNCTION("""COMPUTED_VALUE"""),1303.6)</f>
        <v/>
      </c>
    </row>
    <row r="16639">
      <c r="J16639">
        <f>IFERROR(__xludf.DUMMYFUNCTION("""COMPUTED_VALUE"""),"Montreal, QC - Halifax, NS")</f>
        <v/>
      </c>
      <c r="K16639">
        <f>IFERROR(__xludf.DUMMYFUNCTION("""COMPUTED_VALUE"""),1303.37)</f>
        <v/>
      </c>
    </row>
    <row r="16640">
      <c r="J16640">
        <f>IFERROR(__xludf.DUMMYFUNCTION("""COMPUTED_VALUE"""),"Saguenay, Quebec, Canada / Montreal, Quebec, Canada")</f>
        <v/>
      </c>
      <c r="K16640">
        <f>IFERROR(__xludf.DUMMYFUNCTION("""COMPUTED_VALUE"""),1303.19)</f>
        <v/>
      </c>
    </row>
    <row r="16641">
      <c r="J16641">
        <f>IFERROR(__xludf.DUMMYFUNCTION("""COMPUTED_VALUE"""),"Baltimore, USA")</f>
        <v/>
      </c>
      <c r="K16641">
        <f>IFERROR(__xludf.DUMMYFUNCTION("""COMPUTED_VALUE"""),1302.98)</f>
        <v/>
      </c>
    </row>
    <row r="16642">
      <c r="J16642">
        <f>IFERROR(__xludf.DUMMYFUNCTION("""COMPUTED_VALUE"""),"Yellowknife, Northwest Territories, Canada and Edmonton, Alberta, Canada")</f>
        <v/>
      </c>
      <c r="K16642">
        <f>IFERROR(__xludf.DUMMYFUNCTION("""COMPUTED_VALUE"""),1302.48)</f>
        <v/>
      </c>
    </row>
    <row r="16643">
      <c r="J16643">
        <f>IFERROR(__xludf.DUMMYFUNCTION("""COMPUTED_VALUE"""),"Montreal, Quebec, Canada/ Ottawa, Ontario, Canada")</f>
        <v/>
      </c>
      <c r="K16643">
        <f>IFERROR(__xludf.DUMMYFUNCTION("""COMPUTED_VALUE"""),1301.46)</f>
        <v/>
      </c>
    </row>
    <row r="16644">
      <c r="J16644">
        <f>IFERROR(__xludf.DUMMYFUNCTION("""COMPUTED_VALUE"""),"Toronto, Ontario. Canada")</f>
        <v/>
      </c>
      <c r="K16644">
        <f>IFERROR(__xludf.DUMMYFUNCTION("""COMPUTED_VALUE"""),1301.31)</f>
        <v/>
      </c>
    </row>
    <row r="16645">
      <c r="J16645">
        <f>IFERROR(__xludf.DUMMYFUNCTION("""COMPUTED_VALUE"""),"Calgary, British-Colombia")</f>
        <v/>
      </c>
      <c r="K16645">
        <f>IFERROR(__xludf.DUMMYFUNCTION("""COMPUTED_VALUE"""),1300.72)</f>
        <v/>
      </c>
    </row>
    <row r="16646">
      <c r="J16646">
        <f>IFERROR(__xludf.DUMMYFUNCTION("""COMPUTED_VALUE"""),"Boucherville, QC and Halifax, NS")</f>
        <v/>
      </c>
      <c r="K16646">
        <f>IFERROR(__xludf.DUMMYFUNCTION("""COMPUTED_VALUE"""),1300.46)</f>
        <v/>
      </c>
    </row>
    <row r="16647">
      <c r="J16647">
        <f>IFERROR(__xludf.DUMMYFUNCTION("""COMPUTED_VALUE"""),"Colorado Springs, CO, USA")</f>
        <v/>
      </c>
      <c r="K16647">
        <f>IFERROR(__xludf.DUMMYFUNCTION("""COMPUTED_VALUE"""),1300.35)</f>
        <v/>
      </c>
    </row>
    <row r="16648">
      <c r="J16648">
        <f>IFERROR(__xludf.DUMMYFUNCTION("""COMPUTED_VALUE"""),"Levis, Quebec")</f>
        <v/>
      </c>
      <c r="K16648">
        <f>IFERROR(__xludf.DUMMYFUNCTION("""COMPUTED_VALUE"""),1300.28)</f>
        <v/>
      </c>
    </row>
    <row r="16649">
      <c r="J16649">
        <f>IFERROR(__xludf.DUMMYFUNCTION("""COMPUTED_VALUE"""),"Peace River, Alberta")</f>
        <v/>
      </c>
      <c r="K16649">
        <f>IFERROR(__xludf.DUMMYFUNCTION("""COMPUTED_VALUE"""),1299.89999999999)</f>
        <v/>
      </c>
    </row>
    <row r="16650">
      <c r="J16650">
        <f>IFERROR(__xludf.DUMMYFUNCTION("""COMPUTED_VALUE"""),"Edmonton, Wainwright and Winnipeg")</f>
        <v/>
      </c>
      <c r="K16650">
        <f>IFERROR(__xludf.DUMMYFUNCTION("""COMPUTED_VALUE"""),1299.49)</f>
        <v/>
      </c>
    </row>
    <row r="16651">
      <c r="J16651">
        <f>IFERROR(__xludf.DUMMYFUNCTION("""COMPUTED_VALUE"""),"Banff, Alberta and Edmonton Alberta")</f>
        <v/>
      </c>
      <c r="K16651">
        <f>IFERROR(__xludf.DUMMYFUNCTION("""COMPUTED_VALUE"""),1298.1)</f>
        <v/>
      </c>
    </row>
    <row r="16652">
      <c r="J16652">
        <f>IFERROR(__xludf.DUMMYFUNCTION("""COMPUTED_VALUE"""),"Fredericton, NB; Halifax, NS")</f>
        <v/>
      </c>
      <c r="K16652">
        <f>IFERROR(__xludf.DUMMYFUNCTION("""COMPUTED_VALUE"""),1297.83)</f>
        <v/>
      </c>
    </row>
    <row r="16653">
      <c r="J16653">
        <f>IFERROR(__xludf.DUMMYFUNCTION("""COMPUTED_VALUE"""),"Halifax (Nova Scotia) Canada; Greenwich (Nova Scotia) Canada")</f>
        <v/>
      </c>
      <c r="K16653">
        <f>IFERROR(__xludf.DUMMYFUNCTION("""COMPUTED_VALUE"""),1297.56)</f>
        <v/>
      </c>
    </row>
    <row r="16654">
      <c r="J16654">
        <f>IFERROR(__xludf.DUMMYFUNCTION("""COMPUTED_VALUE"""),"Brampton, Ontario, Canada / Kingston, Ontario, Canada")</f>
        <v/>
      </c>
      <c r="K16654">
        <f>IFERROR(__xludf.DUMMYFUNCTION("""COMPUTED_VALUE"""),1297.05)</f>
        <v/>
      </c>
    </row>
    <row r="16655">
      <c r="J16655">
        <f>IFERROR(__xludf.DUMMYFUNCTION("""COMPUTED_VALUE"""),"Toronto Fairmont Royal York Hotel")</f>
        <v/>
      </c>
      <c r="K16655">
        <f>IFERROR(__xludf.DUMMYFUNCTION("""COMPUTED_VALUE"""),1296.9)</f>
        <v/>
      </c>
    </row>
    <row r="16656">
      <c r="J16656">
        <f>IFERROR(__xludf.DUMMYFUNCTION("""COMPUTED_VALUE"""),"WASHINGTON, DC US - CHARLOTTETOWN, PE")</f>
        <v/>
      </c>
      <c r="K16656">
        <f>IFERROR(__xludf.DUMMYFUNCTION("""COMPUTED_VALUE"""),1296.63)</f>
        <v/>
      </c>
    </row>
    <row r="16657">
      <c r="J16657">
        <f>IFERROR(__xludf.DUMMYFUNCTION("""COMPUTED_VALUE"""),"Fogo Island, Newfoundland and Labrador")</f>
        <v/>
      </c>
      <c r="K16657">
        <f>IFERROR(__xludf.DUMMYFUNCTION("""COMPUTED_VALUE"""),1296.38)</f>
        <v/>
      </c>
    </row>
    <row r="16658">
      <c r="J16658">
        <f>IFERROR(__xludf.DUMMYFUNCTION("""COMPUTED_VALUE"""),"Spokane, Washington, United States of America")</f>
        <v/>
      </c>
      <c r="K16658">
        <f>IFERROR(__xludf.DUMMYFUNCTION("""COMPUTED_VALUE"""),1295.74)</f>
        <v/>
      </c>
    </row>
    <row r="16659">
      <c r="J16659">
        <f>IFERROR(__xludf.DUMMYFUNCTION("""COMPUTED_VALUE"""),"Halifax, Fredericton")</f>
        <v/>
      </c>
      <c r="K16659">
        <f>IFERROR(__xludf.DUMMYFUNCTION("""COMPUTED_VALUE"""),1295.56)</f>
        <v/>
      </c>
    </row>
    <row r="16660">
      <c r="J16660">
        <f>IFERROR(__xludf.DUMMYFUNCTION("""COMPUTED_VALUE"""),"Brampton and Hamilton, Ontario")</f>
        <v/>
      </c>
      <c r="K16660">
        <f>IFERROR(__xludf.DUMMYFUNCTION("""COMPUTED_VALUE"""),1295.3)</f>
        <v/>
      </c>
    </row>
    <row r="16661">
      <c r="J16661">
        <f>IFERROR(__xludf.DUMMYFUNCTION("""COMPUTED_VALUE"""),"Marieville, Montréal, Ottawa, Roberval, Sept-Iles, Bagotville")</f>
        <v/>
      </c>
      <c r="K16661">
        <f>IFERROR(__xludf.DUMMYFUNCTION("""COMPUTED_VALUE"""),1294.84)</f>
        <v/>
      </c>
    </row>
    <row r="16662">
      <c r="J16662">
        <f>IFERROR(__xludf.DUMMYFUNCTION("""COMPUTED_VALUE"""),"Sudbury, Timmins,  North Bay")</f>
        <v/>
      </c>
      <c r="K16662">
        <f>IFERROR(__xludf.DUMMYFUNCTION("""COMPUTED_VALUE"""),1294.42)</f>
        <v/>
      </c>
    </row>
    <row r="16663">
      <c r="J16663">
        <f>IFERROR(__xludf.DUMMYFUNCTION("""COMPUTED_VALUE"""),"Beaupré, Quebec, Canada")</f>
        <v/>
      </c>
      <c r="K16663">
        <f>IFERROR(__xludf.DUMMYFUNCTION("""COMPUTED_VALUE"""),1293.84)</f>
        <v/>
      </c>
    </row>
    <row r="16664">
      <c r="J16664">
        <f>IFERROR(__xludf.DUMMYFUNCTION("""COMPUTED_VALUE"""),"Penticton, British Columbia and Kelowna, British Columbia")</f>
        <v/>
      </c>
      <c r="K16664">
        <f>IFERROR(__xludf.DUMMYFUNCTION("""COMPUTED_VALUE"""),1293.51)</f>
        <v/>
      </c>
    </row>
    <row r="16665">
      <c r="J16665">
        <f>IFERROR(__xludf.DUMMYFUNCTION("""COMPUTED_VALUE"""),"Winnipeg, Manitoba;Crane River, Manitoba")</f>
        <v/>
      </c>
      <c r="K16665">
        <f>IFERROR(__xludf.DUMMYFUNCTION("""COMPUTED_VALUE"""),1293.05)</f>
        <v/>
      </c>
    </row>
    <row r="16666">
      <c r="J16666">
        <f>IFERROR(__xludf.DUMMYFUNCTION("""COMPUTED_VALUE"""),"Brisbane / Sydney, Australia")</f>
        <v/>
      </c>
      <c r="K16666">
        <f>IFERROR(__xludf.DUMMYFUNCTION("""COMPUTED_VALUE"""),1292.94)</f>
        <v/>
      </c>
    </row>
    <row r="16667">
      <c r="J16667">
        <f>IFERROR(__xludf.DUMMYFUNCTION("""COMPUTED_VALUE"""),"Ottawa - Jonquière - Ottawa")</f>
        <v/>
      </c>
      <c r="K16667">
        <f>IFERROR(__xludf.DUMMYFUNCTION("""COMPUTED_VALUE"""),1292.4)</f>
        <v/>
      </c>
    </row>
    <row r="16668">
      <c r="J16668">
        <f>IFERROR(__xludf.DUMMYFUNCTION("""COMPUTED_VALUE"""),"Ottawa, Ontario, Canada / Montreal, Quebec, Canada")</f>
        <v/>
      </c>
      <c r="K16668">
        <f>IFERROR(__xludf.DUMMYFUNCTION("""COMPUTED_VALUE"""),1292.35)</f>
        <v/>
      </c>
    </row>
    <row r="16669">
      <c r="J16669">
        <f>IFERROR(__xludf.DUMMYFUNCTION("""COMPUTED_VALUE"""),"Lansing, United States")</f>
        <v/>
      </c>
      <c r="K16669">
        <f>IFERROR(__xludf.DUMMYFUNCTION("""COMPUTED_VALUE"""),1292.03)</f>
        <v/>
      </c>
    </row>
    <row r="16670">
      <c r="J16670">
        <f>IFERROR(__xludf.DUMMYFUNCTION("""COMPUTED_VALUE"""),"Dundurn (Saskatoon) Canada")</f>
        <v/>
      </c>
      <c r="K16670">
        <f>IFERROR(__xludf.DUMMYFUNCTION("""COMPUTED_VALUE"""),1291.95)</f>
        <v/>
      </c>
    </row>
    <row r="16671">
      <c r="J16671">
        <f>IFERROR(__xludf.DUMMYFUNCTION("""COMPUTED_VALUE"""),"Toronto, Ontario, Canada; London, Ontario, Canada; St. Catharines, Ontario, Canada")</f>
        <v/>
      </c>
      <c r="K16671">
        <f>IFERROR(__xludf.DUMMYFUNCTION("""COMPUTED_VALUE"""),1291.48)</f>
        <v/>
      </c>
    </row>
    <row r="16672">
      <c r="J16672">
        <f>IFERROR(__xludf.DUMMYFUNCTION("""COMPUTED_VALUE"""),"Pittsburgh, United States")</f>
        <v/>
      </c>
      <c r="K16672">
        <f>IFERROR(__xludf.DUMMYFUNCTION("""COMPUTED_VALUE"""),1290.93)</f>
        <v/>
      </c>
    </row>
    <row r="16673">
      <c r="J16673">
        <f>IFERROR(__xludf.DUMMYFUNCTION("""COMPUTED_VALUE"""),"Québec and Gaspé, Québec")</f>
        <v/>
      </c>
      <c r="K16673">
        <f>IFERROR(__xludf.DUMMYFUNCTION("""COMPUTED_VALUE"""),1290.88)</f>
        <v/>
      </c>
    </row>
    <row r="16674">
      <c r="J16674">
        <f>IFERROR(__xludf.DUMMYFUNCTION("""COMPUTED_VALUE"""),"Toronto, Kingston, Ontario, Canada")</f>
        <v/>
      </c>
      <c r="K16674">
        <f>IFERROR(__xludf.DUMMYFUNCTION("""COMPUTED_VALUE"""),1290.47)</f>
        <v/>
      </c>
    </row>
    <row r="16675">
      <c r="J16675">
        <f>IFERROR(__xludf.DUMMYFUNCTION("""COMPUTED_VALUE"""),"Fort Francis, Ontario")</f>
        <v/>
      </c>
      <c r="K16675">
        <f>IFERROR(__xludf.DUMMYFUNCTION("""COMPUTED_VALUE"""),1290.46)</f>
        <v/>
      </c>
    </row>
    <row r="16676">
      <c r="J16676">
        <f>IFERROR(__xludf.DUMMYFUNCTION("""COMPUTED_VALUE"""),"Quebec, Quebec, Canada/ Montreal, Quebec, Canada/ Trois-Rivières, Quebec, Canada")</f>
        <v/>
      </c>
      <c r="K16676">
        <f>IFERROR(__xludf.DUMMYFUNCTION("""COMPUTED_VALUE"""),1290.31)</f>
        <v/>
      </c>
    </row>
    <row r="16677">
      <c r="J16677">
        <f>IFERROR(__xludf.DUMMYFUNCTION("""COMPUTED_VALUE"""),"Golden Lake, Ontario, Canada")</f>
        <v/>
      </c>
      <c r="K16677">
        <f>IFERROR(__xludf.DUMMYFUNCTION("""COMPUTED_VALUE"""),1290.24)</f>
        <v/>
      </c>
    </row>
    <row r="16678">
      <c r="J16678">
        <f>IFERROR(__xludf.DUMMYFUNCTION("""COMPUTED_VALUE"""),"Halifax, Nova Scotia, Canada; Calgary, Alberta, Canada; Montreal, Quebec, Canada; Sherbrooke, Quebec, Canada")</f>
        <v/>
      </c>
      <c r="K16678">
        <f>IFERROR(__xludf.DUMMYFUNCTION("""COMPUTED_VALUE"""),1290.22)</f>
        <v/>
      </c>
    </row>
    <row r="16679">
      <c r="J16679">
        <f>IFERROR(__xludf.DUMMYFUNCTION("""COMPUTED_VALUE"""),"Borden, ON, Canada")</f>
        <v/>
      </c>
      <c r="K16679">
        <f>IFERROR(__xludf.DUMMYFUNCTION("""COMPUTED_VALUE"""),1290.16)</f>
        <v/>
      </c>
    </row>
    <row r="16680">
      <c r="J16680">
        <f>IFERROR(__xludf.DUMMYFUNCTION("""COMPUTED_VALUE"""),"Ottawa - Charlottetown/Moncton - Ottawa")</f>
        <v/>
      </c>
      <c r="K16680">
        <f>IFERROR(__xludf.DUMMYFUNCTION("""COMPUTED_VALUE"""),1290.1)</f>
        <v/>
      </c>
    </row>
    <row r="16681">
      <c r="J16681">
        <f>IFERROR(__xludf.DUMMYFUNCTION("""COMPUTED_VALUE"""),"Niagara Region")</f>
        <v/>
      </c>
      <c r="K16681">
        <f>IFERROR(__xludf.DUMMYFUNCTION("""COMPUTED_VALUE"""),1289.97)</f>
        <v/>
      </c>
    </row>
    <row r="16682">
      <c r="J16682">
        <f>IFERROR(__xludf.DUMMYFUNCTION("""COMPUTED_VALUE"""),"Quebec,       Quebec")</f>
        <v/>
      </c>
      <c r="K16682">
        <f>IFERROR(__xludf.DUMMYFUNCTION("""COMPUTED_VALUE"""),1289.87)</f>
        <v/>
      </c>
    </row>
    <row r="16683">
      <c r="J16683">
        <f>IFERROR(__xludf.DUMMYFUNCTION("""COMPUTED_VALUE"""),"Hamilton, ON St. Catharines, ON Mississauga, ON Scarborough, ON")</f>
        <v/>
      </c>
      <c r="K16683">
        <f>IFERROR(__xludf.DUMMYFUNCTION("""COMPUTED_VALUE"""),1288.89)</f>
        <v/>
      </c>
    </row>
    <row r="16684">
      <c r="J16684">
        <f>IFERROR(__xludf.DUMMYFUNCTION("""COMPUTED_VALUE"""),"Saint John (New Brunswick) Canada")</f>
        <v/>
      </c>
      <c r="K16684">
        <f>IFERROR(__xludf.DUMMYFUNCTION("""COMPUTED_VALUE"""),1288.44)</f>
        <v/>
      </c>
    </row>
    <row r="16685">
      <c r="J16685">
        <f>IFERROR(__xludf.DUMMYFUNCTION("""COMPUTED_VALUE"""),"Toronto, Ontario, Canada;  Québec, Quebec, Canada")</f>
        <v/>
      </c>
      <c r="K16685">
        <f>IFERROR(__xludf.DUMMYFUNCTION("""COMPUTED_VALUE"""),1288)</f>
        <v/>
      </c>
    </row>
    <row r="16686">
      <c r="J16686">
        <f>IFERROR(__xludf.DUMMYFUNCTION("""COMPUTED_VALUE"""),"Banff, AB; Calgary, AB; Fort Saskatchewan, AB")</f>
        <v/>
      </c>
      <c r="K16686">
        <f>IFERROR(__xludf.DUMMYFUNCTION("""COMPUTED_VALUE"""),1287.94)</f>
        <v/>
      </c>
    </row>
    <row r="16687">
      <c r="J16687">
        <f>IFERROR(__xludf.DUMMYFUNCTION("""COMPUTED_VALUE"""),"Montreal, QC Mont Joli, QC")</f>
        <v/>
      </c>
      <c r="K16687">
        <f>IFERROR(__xludf.DUMMYFUNCTION("""COMPUTED_VALUE"""),1287.6)</f>
        <v/>
      </c>
    </row>
    <row r="16688">
      <c r="J16688">
        <f>IFERROR(__xludf.DUMMYFUNCTION("""COMPUTED_VALUE"""),"Montreal, QC Mont-Joli, QC")</f>
        <v/>
      </c>
      <c r="K16688">
        <f>IFERROR(__xludf.DUMMYFUNCTION("""COMPUTED_VALUE"""),1287.6)</f>
        <v/>
      </c>
    </row>
    <row r="16689">
      <c r="J16689">
        <f>IFERROR(__xludf.DUMMYFUNCTION("""COMPUTED_VALUE"""),"Roberval, Rivière-du-Loup, Chibougamau, Roberval")</f>
        <v/>
      </c>
      <c r="K16689">
        <f>IFERROR(__xludf.DUMMYFUNCTION("""COMPUTED_VALUE"""),1287.48)</f>
        <v/>
      </c>
    </row>
    <row r="16690">
      <c r="J16690">
        <f>IFERROR(__xludf.DUMMYFUNCTION("""COMPUTED_VALUE"""),"Kingston, Ontario, Canada; Hamilton, Ontario, Canada; Waterloo, Ontario, Canada")</f>
        <v/>
      </c>
      <c r="K16690">
        <f>IFERROR(__xludf.DUMMYFUNCTION("""COMPUTED_VALUE"""),1287.36)</f>
        <v/>
      </c>
    </row>
    <row r="16691">
      <c r="J16691">
        <f>IFERROR(__xludf.DUMMYFUNCTION("""COMPUTED_VALUE"""),"San Fransisco, California, USA")</f>
        <v/>
      </c>
      <c r="K16691">
        <f>IFERROR(__xludf.DUMMYFUNCTION("""COMPUTED_VALUE"""),1287.18)</f>
        <v/>
      </c>
    </row>
    <row r="16692">
      <c r="J16692">
        <f>IFERROR(__xludf.DUMMYFUNCTION("""COMPUTED_VALUE"""),"Chicago, Il")</f>
        <v/>
      </c>
      <c r="K16692">
        <f>IFERROR(__xludf.DUMMYFUNCTION("""COMPUTED_VALUE"""),1286.91)</f>
        <v/>
      </c>
    </row>
    <row r="16693">
      <c r="J16693">
        <f>IFERROR(__xludf.DUMMYFUNCTION("""COMPUTED_VALUE"""),"Toronto, ON &amp; Guelph, ON")</f>
        <v/>
      </c>
      <c r="K16693">
        <f>IFERROR(__xludf.DUMMYFUNCTION("""COMPUTED_VALUE"""),1286.67)</f>
        <v/>
      </c>
    </row>
    <row r="16694">
      <c r="J16694">
        <f>IFERROR(__xludf.DUMMYFUNCTION("""COMPUTED_VALUE"""),"Canada - Montreal")</f>
        <v/>
      </c>
      <c r="K16694">
        <f>IFERROR(__xludf.DUMMYFUNCTION("""COMPUTED_VALUE"""),1286.6)</f>
        <v/>
      </c>
    </row>
    <row r="16695">
      <c r="J16695">
        <f>IFERROR(__xludf.DUMMYFUNCTION("""COMPUTED_VALUE"""),"Chicoutimi")</f>
        <v/>
      </c>
      <c r="K16695">
        <f>IFERROR(__xludf.DUMMYFUNCTION("""COMPUTED_VALUE"""),1286.23)</f>
        <v/>
      </c>
    </row>
    <row r="16696">
      <c r="J16696">
        <f>IFERROR(__xludf.DUMMYFUNCTION("""COMPUTED_VALUE"""),"Winnipeg, Manitoba, Canada; Portage la Prairie, Manitoba, Canada")</f>
        <v/>
      </c>
      <c r="K16696">
        <f>IFERROR(__xludf.DUMMYFUNCTION("""COMPUTED_VALUE"""),1286.17)</f>
        <v/>
      </c>
    </row>
    <row r="16697">
      <c r="J16697">
        <f>IFERROR(__xludf.DUMMYFUNCTION("""COMPUTED_VALUE"""),"Cambridge, On, Canada")</f>
        <v/>
      </c>
      <c r="K16697">
        <f>IFERROR(__xludf.DUMMYFUNCTION("""COMPUTED_VALUE"""),1286.1)</f>
        <v/>
      </c>
    </row>
    <row r="16698">
      <c r="J16698">
        <f>IFERROR(__xludf.DUMMYFUNCTION("""COMPUTED_VALUE"""),"Lethbridge, Alberta; Calgary, Alberta")</f>
        <v/>
      </c>
      <c r="K16698">
        <f>IFERROR(__xludf.DUMMYFUNCTION("""COMPUTED_VALUE"""),1285.76)</f>
        <v/>
      </c>
    </row>
    <row r="16699">
      <c r="J16699">
        <f>IFERROR(__xludf.DUMMYFUNCTION("""COMPUTED_VALUE"""),"Riga Latvia")</f>
        <v/>
      </c>
      <c r="K16699">
        <f>IFERROR(__xludf.DUMMYFUNCTION("""COMPUTED_VALUE"""),1285.45)</f>
        <v/>
      </c>
    </row>
    <row r="16700">
      <c r="J16700">
        <f>IFERROR(__xludf.DUMMYFUNCTION("""COMPUTED_VALUE"""),"New Delhi, IN / Hyderabad, IN / Agra, IN / Mumbai, IN / Amritsar, IN")</f>
        <v/>
      </c>
      <c r="K16700">
        <f>IFERROR(__xludf.DUMMYFUNCTION("""COMPUTED_VALUE"""),1285.4)</f>
        <v/>
      </c>
    </row>
    <row r="16701">
      <c r="J16701">
        <f>IFERROR(__xludf.DUMMYFUNCTION("""COMPUTED_VALUE"""),"Vaudreuil, Quebec")</f>
        <v/>
      </c>
      <c r="K16701">
        <f>IFERROR(__xludf.DUMMYFUNCTION("""COMPUTED_VALUE"""),1285.18999999999)</f>
        <v/>
      </c>
    </row>
    <row r="16702">
      <c r="J16702">
        <f>IFERROR(__xludf.DUMMYFUNCTION("""COMPUTED_VALUE"""),"LONDON")</f>
        <v/>
      </c>
      <c r="K16702">
        <f>IFERROR(__xludf.DUMMYFUNCTION("""COMPUTED_VALUE"""),1284)</f>
        <v/>
      </c>
    </row>
    <row r="16703">
      <c r="J16703">
        <f>IFERROR(__xludf.DUMMYFUNCTION("""COMPUTED_VALUE"""),"St. John's (Nfld) Canada")</f>
        <v/>
      </c>
      <c r="K16703">
        <f>IFERROR(__xludf.DUMMYFUNCTION("""COMPUTED_VALUE"""),1283.78)</f>
        <v/>
      </c>
    </row>
    <row r="16704">
      <c r="J16704">
        <f>IFERROR(__xludf.DUMMYFUNCTION("""COMPUTED_VALUE"""),"London and Toronto, ON")</f>
        <v/>
      </c>
      <c r="K16704">
        <f>IFERROR(__xludf.DUMMYFUNCTION("""COMPUTED_VALUE"""),1283.19)</f>
        <v/>
      </c>
    </row>
    <row r="16705">
      <c r="J16705">
        <f>IFERROR(__xludf.DUMMYFUNCTION("""COMPUTED_VALUE"""),"Montreal, QC and Hamilton ON")</f>
        <v/>
      </c>
      <c r="K16705">
        <f>IFERROR(__xludf.DUMMYFUNCTION("""COMPUTED_VALUE"""),1283.03)</f>
        <v/>
      </c>
    </row>
    <row r="16706">
      <c r="J16706">
        <f>IFERROR(__xludf.DUMMYFUNCTION("""COMPUTED_VALUE"""),"Sainte-Thérèse, Quebec, Canada / Montreal, Quebec, Canada")</f>
        <v/>
      </c>
      <c r="K16706">
        <f>IFERROR(__xludf.DUMMYFUNCTION("""COMPUTED_VALUE"""),1283.02)</f>
        <v/>
      </c>
    </row>
    <row r="16707">
      <c r="J16707">
        <f>IFERROR(__xludf.DUMMYFUNCTION("""COMPUTED_VALUE"""),"Hamilton, Ontario, Canada; Brantford, Ontario, Canada")</f>
        <v/>
      </c>
      <c r="K16707">
        <f>IFERROR(__xludf.DUMMYFUNCTION("""COMPUTED_VALUE"""),1282.7)</f>
        <v/>
      </c>
    </row>
    <row r="16708">
      <c r="J16708">
        <f>IFERROR(__xludf.DUMMYFUNCTION("""COMPUTED_VALUE"""),"St. John's, Newfoundland and Labrador, Canada; Ottawa, Ontario, Canada; Toronto, Ontario, Canada")</f>
        <v/>
      </c>
      <c r="K16708">
        <f>IFERROR(__xludf.DUMMYFUNCTION("""COMPUTED_VALUE"""),1282.41)</f>
        <v/>
      </c>
    </row>
    <row r="16709">
      <c r="J16709">
        <f>IFERROR(__xludf.DUMMYFUNCTION("""COMPUTED_VALUE"""),"New York, New York - U.S.A.")</f>
        <v/>
      </c>
      <c r="K16709">
        <f>IFERROR(__xludf.DUMMYFUNCTION("""COMPUTED_VALUE"""),1282.24)</f>
        <v/>
      </c>
    </row>
    <row r="16710">
      <c r="J16710">
        <f>IFERROR(__xludf.DUMMYFUNCTION("""COMPUTED_VALUE"""),"New York, New York - United States of America")</f>
        <v/>
      </c>
      <c r="K16710">
        <f>IFERROR(__xludf.DUMMYFUNCTION("""COMPUTED_VALUE"""),1282.24)</f>
        <v/>
      </c>
    </row>
    <row r="16711">
      <c r="J16711">
        <f>IFERROR(__xludf.DUMMYFUNCTION("""COMPUTED_VALUE"""),"Frankfurt, Germany / Munich, Germany")</f>
        <v/>
      </c>
      <c r="K16711">
        <f>IFERROR(__xludf.DUMMYFUNCTION("""COMPUTED_VALUE"""),1281.75)</f>
        <v/>
      </c>
    </row>
    <row r="16712">
      <c r="J16712">
        <f>IFERROR(__xludf.DUMMYFUNCTION("""COMPUTED_VALUE"""),"Charlottetown- Montreal-Ottawa")</f>
        <v/>
      </c>
      <c r="K16712">
        <f>IFERROR(__xludf.DUMMYFUNCTION("""COMPUTED_VALUE"""),1281.54)</f>
        <v/>
      </c>
    </row>
    <row r="16713">
      <c r="J16713">
        <f>IFERROR(__xludf.DUMMYFUNCTION("""COMPUTED_VALUE"""),"Halifax, Nova Scotia, Canada; Wolfville, Nova Scotia, Canada")</f>
        <v/>
      </c>
      <c r="K16713">
        <f>IFERROR(__xludf.DUMMYFUNCTION("""COMPUTED_VALUE"""),1281.35)</f>
        <v/>
      </c>
    </row>
    <row r="16714">
      <c r="J16714">
        <f>IFERROR(__xludf.DUMMYFUNCTION("""COMPUTED_VALUE"""),"Gatineau, Quebec and Kingston, Ontario")</f>
        <v/>
      </c>
      <c r="K16714">
        <f>IFERROR(__xludf.DUMMYFUNCTION("""COMPUTED_VALUE"""),1280.92)</f>
        <v/>
      </c>
    </row>
    <row r="16715">
      <c r="J16715">
        <f>IFERROR(__xludf.DUMMYFUNCTION("""COMPUTED_VALUE"""),"Lac-Megantic, Quebec")</f>
        <v/>
      </c>
      <c r="K16715">
        <f>IFERROR(__xludf.DUMMYFUNCTION("""COMPUTED_VALUE"""),1280.91)</f>
        <v/>
      </c>
    </row>
    <row r="16716">
      <c r="J16716">
        <f>IFERROR(__xludf.DUMMYFUNCTION("""COMPUTED_VALUE"""),"Saint Johns, NB")</f>
        <v/>
      </c>
      <c r="K16716">
        <f>IFERROR(__xludf.DUMMYFUNCTION("""COMPUTED_VALUE"""),1280.56)</f>
        <v/>
      </c>
    </row>
    <row r="16717">
      <c r="J16717">
        <f>IFERROR(__xludf.DUMMYFUNCTION("""COMPUTED_VALUE"""),"St-Raphael, France")</f>
        <v/>
      </c>
      <c r="K16717">
        <f>IFERROR(__xludf.DUMMYFUNCTION("""COMPUTED_VALUE"""),1280.5)</f>
        <v/>
      </c>
    </row>
    <row r="16718">
      <c r="J16718">
        <f>IFERROR(__xludf.DUMMYFUNCTION("""COMPUTED_VALUE"""),"Toronto, ON Ottawa, ON Saint-Adèle, QC")</f>
        <v/>
      </c>
      <c r="K16718">
        <f>IFERROR(__xludf.DUMMYFUNCTION("""COMPUTED_VALUE"""),1280.07)</f>
        <v/>
      </c>
    </row>
    <row r="16719">
      <c r="J16719">
        <f>IFERROR(__xludf.DUMMYFUNCTION("""COMPUTED_VALUE"""),"St.John's, Nfld")</f>
        <v/>
      </c>
      <c r="K16719">
        <f>IFERROR(__xludf.DUMMYFUNCTION("""COMPUTED_VALUE"""),1279.74)</f>
        <v/>
      </c>
    </row>
    <row r="16720">
      <c r="J16720">
        <f>IFERROR(__xludf.DUMMYFUNCTION("""COMPUTED_VALUE"""),"St. John’s, Newfoundland and labrador")</f>
        <v/>
      </c>
      <c r="K16720">
        <f>IFERROR(__xludf.DUMMYFUNCTION("""COMPUTED_VALUE"""),1279.66)</f>
        <v/>
      </c>
    </row>
    <row r="16721">
      <c r="J16721">
        <f>IFERROR(__xludf.DUMMYFUNCTION("""COMPUTED_VALUE"""),"Montreal and multiple destinations along the Canada/U.S. Border")</f>
        <v/>
      </c>
      <c r="K16721">
        <f>IFERROR(__xludf.DUMMYFUNCTION("""COMPUTED_VALUE"""),1279.39)</f>
        <v/>
      </c>
    </row>
    <row r="16722">
      <c r="J16722">
        <f>IFERROR(__xludf.DUMMYFUNCTION("""COMPUTED_VALUE"""),"Houston, Tx")</f>
        <v/>
      </c>
      <c r="K16722">
        <f>IFERROR(__xludf.DUMMYFUNCTION("""COMPUTED_VALUE"""),1279.12)</f>
        <v/>
      </c>
    </row>
    <row r="16723">
      <c r="J16723">
        <f>IFERROR(__xludf.DUMMYFUNCTION("""COMPUTED_VALUE"""),"Sorel-Tracy, Quebec, Canada; Montreal, Quebec, Canada; Toronto, Ontario, Canada; Waterloo, Ontario, Canada")</f>
        <v/>
      </c>
      <c r="K16723">
        <f>IFERROR(__xludf.DUMMYFUNCTION("""COMPUTED_VALUE"""),1278.75)</f>
        <v/>
      </c>
    </row>
    <row r="16724">
      <c r="J16724">
        <f>IFERROR(__xludf.DUMMYFUNCTION("""COMPUTED_VALUE"""),"Charlottetown, Prince Edward Island, Canada; New Glasgow, Nova Scotia, Canada; Kentville, Nova Scotia, Canada; Annapolis Royal, Nova Scotia, Canada; Digby, Nova Scotia, Canada; Yarmouth, Nova Scotia, Canada; Shelburne, Nova Scotia, Canada; Bridgewater, No"&amp;"va Scotia, Canada")</f>
        <v/>
      </c>
      <c r="K16724">
        <f>IFERROR(__xludf.DUMMYFUNCTION("""COMPUTED_VALUE"""),1278.26)</f>
        <v/>
      </c>
    </row>
    <row r="16725">
      <c r="J16725">
        <f>IFERROR(__xludf.DUMMYFUNCTION("""COMPUTED_VALUE"""),"Ottawa (Ontario) Canada, Montreal (Quebec) Canada")</f>
        <v/>
      </c>
      <c r="K16725">
        <f>IFERROR(__xludf.DUMMYFUNCTION("""COMPUTED_VALUE"""),1278.22)</f>
        <v/>
      </c>
    </row>
    <row r="16726">
      <c r="J16726">
        <f>IFERROR(__xludf.DUMMYFUNCTION("""COMPUTED_VALUE"""),"Quebec City, Quebec, Candada")</f>
        <v/>
      </c>
      <c r="K16726">
        <f>IFERROR(__xludf.DUMMYFUNCTION("""COMPUTED_VALUE"""),1278)</f>
        <v/>
      </c>
    </row>
    <row r="16727">
      <c r="J16727">
        <f>IFERROR(__xludf.DUMMYFUNCTION("""COMPUTED_VALUE"""),"Montreal,  Quebec, (Canada)")</f>
        <v/>
      </c>
      <c r="K16727">
        <f>IFERROR(__xludf.DUMMYFUNCTION("""COMPUTED_VALUE"""),1277.97999999999)</f>
        <v/>
      </c>
    </row>
    <row r="16728">
      <c r="J16728">
        <f>IFERROR(__xludf.DUMMYFUNCTION("""COMPUTED_VALUE"""),"Hallifax, Nova Scotia")</f>
        <v/>
      </c>
      <c r="K16728">
        <f>IFERROR(__xludf.DUMMYFUNCTION("""COMPUTED_VALUE"""),1277.96)</f>
        <v/>
      </c>
    </row>
    <row r="16729">
      <c r="J16729">
        <f>IFERROR(__xludf.DUMMYFUNCTION("""COMPUTED_VALUE"""),"Hawkesbury, Ottawa, Arnprior, Bancroft, Renfrew, Ontario, Canada")</f>
        <v/>
      </c>
      <c r="K16729">
        <f>IFERROR(__xludf.DUMMYFUNCTION("""COMPUTED_VALUE"""),1277.3)</f>
        <v/>
      </c>
    </row>
    <row r="16730">
      <c r="J16730">
        <f>IFERROR(__xludf.DUMMYFUNCTION("""COMPUTED_VALUE"""),"Saint John, New Brunswick, Canada - Fredericton, New Brunswick, Canada")</f>
        <v/>
      </c>
      <c r="K16730">
        <f>IFERROR(__xludf.DUMMYFUNCTION("""COMPUTED_VALUE"""),1277.28)</f>
        <v/>
      </c>
    </row>
    <row r="16731">
      <c r="J16731">
        <f>IFERROR(__xludf.DUMMYFUNCTION("""COMPUTED_VALUE"""),"Wakefield, Qc")</f>
        <v/>
      </c>
      <c r="K16731">
        <f>IFERROR(__xludf.DUMMYFUNCTION("""COMPUTED_VALUE"""),1276.47)</f>
        <v/>
      </c>
    </row>
    <row r="16732">
      <c r="J16732">
        <f>IFERROR(__xludf.DUMMYFUNCTION("""COMPUTED_VALUE"""),"Merrickville, Ontario, Canada")</f>
        <v/>
      </c>
      <c r="K16732">
        <f>IFERROR(__xludf.DUMMYFUNCTION("""COMPUTED_VALUE"""),1276.4)</f>
        <v/>
      </c>
    </row>
    <row r="16733">
      <c r="J16733">
        <f>IFERROR(__xludf.DUMMYFUNCTION("""COMPUTED_VALUE"""),"Montreal &amp; Quebec, Quebec")</f>
        <v/>
      </c>
      <c r="K16733">
        <f>IFERROR(__xludf.DUMMYFUNCTION("""COMPUTED_VALUE"""),1276.26)</f>
        <v/>
      </c>
    </row>
    <row r="16734">
      <c r="J16734">
        <f>IFERROR(__xludf.DUMMYFUNCTION("""COMPUTED_VALUE"""),"Angoulême et Brouage")</f>
        <v/>
      </c>
      <c r="K16734">
        <f>IFERROR(__xludf.DUMMYFUNCTION("""COMPUTED_VALUE"""),1276)</f>
        <v/>
      </c>
    </row>
    <row r="16735">
      <c r="J16735">
        <f>IFERROR(__xludf.DUMMYFUNCTION("""COMPUTED_VALUE"""),"Montreal, Quebec, Canada, Val-d'Or, Quebec, Canada")</f>
        <v/>
      </c>
      <c r="K16735">
        <f>IFERROR(__xludf.DUMMYFUNCTION("""COMPUTED_VALUE"""),1275.9)</f>
        <v/>
      </c>
    </row>
    <row r="16736">
      <c r="J16736">
        <f>IFERROR(__xludf.DUMMYFUNCTION("""COMPUTED_VALUE"""),"Sherbrooke, QC Rimouski, QC")</f>
        <v/>
      </c>
      <c r="K16736">
        <f>IFERROR(__xludf.DUMMYFUNCTION("""COMPUTED_VALUE"""),1275.89)</f>
        <v/>
      </c>
    </row>
    <row r="16737">
      <c r="J16737">
        <f>IFERROR(__xludf.DUMMYFUNCTION("""COMPUTED_VALUE"""),"Lévis, Quebec")</f>
        <v/>
      </c>
      <c r="K16737">
        <f>IFERROR(__xludf.DUMMYFUNCTION("""COMPUTED_VALUE"""),1275.54)</f>
        <v/>
      </c>
    </row>
    <row r="16738">
      <c r="J16738">
        <f>IFERROR(__xludf.DUMMYFUNCTION("""COMPUTED_VALUE"""),"Gatineau QC, Ottawa, ON")</f>
        <v/>
      </c>
      <c r="K16738">
        <f>IFERROR(__xludf.DUMMYFUNCTION("""COMPUTED_VALUE"""),1275.44)</f>
        <v/>
      </c>
    </row>
    <row r="16739">
      <c r="J16739">
        <f>IFERROR(__xludf.DUMMYFUNCTION("""COMPUTED_VALUE"""),"Kapuskasing, Hearst, Cochrane, Kirkland and Timmins, ON")</f>
        <v/>
      </c>
      <c r="K16739">
        <f>IFERROR(__xludf.DUMMYFUNCTION("""COMPUTED_VALUE"""),1275.06)</f>
        <v/>
      </c>
    </row>
    <row r="16740">
      <c r="J16740">
        <f>IFERROR(__xludf.DUMMYFUNCTION("""COMPUTED_VALUE"""),"Québec, Quebec, Canada; Montréal, Quebec, Canada; Sherbrooke, Quebec, Canada")</f>
        <v/>
      </c>
      <c r="K16740">
        <f>IFERROR(__xludf.DUMMYFUNCTION("""COMPUTED_VALUE"""),1274.82)</f>
        <v/>
      </c>
    </row>
    <row r="16741">
      <c r="J16741">
        <f>IFERROR(__xludf.DUMMYFUNCTION("""COMPUTED_VALUE"""),"Aylmer, Quebec, Canada; Saint-Jean-sur-Richelieu, Quebec, Canada; Châteauguay, Quebec, Canada; Montréal, Quebec, Canada")</f>
        <v/>
      </c>
      <c r="K16741">
        <f>IFERROR(__xludf.DUMMYFUNCTION("""COMPUTED_VALUE"""),1274.81)</f>
        <v/>
      </c>
    </row>
    <row r="16742">
      <c r="J16742">
        <f>IFERROR(__xludf.DUMMYFUNCTION("""COMPUTED_VALUE"""),"Kitchener, Waterloo")</f>
        <v/>
      </c>
      <c r="K16742">
        <f>IFERROR(__xludf.DUMMYFUNCTION("""COMPUTED_VALUE"""),1274.23)</f>
        <v/>
      </c>
    </row>
    <row r="16743">
      <c r="J16743">
        <f>IFERROR(__xludf.DUMMYFUNCTION("""COMPUTED_VALUE"""),"Toronto(Ontario) Canada")</f>
        <v/>
      </c>
      <c r="K16743">
        <f>IFERROR(__xludf.DUMMYFUNCTION("""COMPUTED_VALUE"""),1273.88999999999)</f>
        <v/>
      </c>
    </row>
    <row r="16744">
      <c r="J16744">
        <f>IFERROR(__xludf.DUMMYFUNCTION("""COMPUTED_VALUE"""),"Banff, Alberta, Canada /  Jasper, Alberta, Canada")</f>
        <v/>
      </c>
      <c r="K16744">
        <f>IFERROR(__xludf.DUMMYFUNCTION("""COMPUTED_VALUE"""),1273.78)</f>
        <v/>
      </c>
    </row>
    <row r="16745">
      <c r="J16745">
        <f>IFERROR(__xludf.DUMMYFUNCTION("""COMPUTED_VALUE"""),"Niagara Falls, Ontario, Canada / 
Toronto, Ontario, Canada")</f>
        <v/>
      </c>
      <c r="K16745">
        <f>IFERROR(__xludf.DUMMYFUNCTION("""COMPUTED_VALUE"""),1273.7)</f>
        <v/>
      </c>
    </row>
    <row r="16746">
      <c r="J16746">
        <f>IFERROR(__xludf.DUMMYFUNCTION("""COMPUTED_VALUE"""),"Val-d'Or, Quebec, Canada; Sept-Îles, Quebec, Canada; Chibougamau, Quebec, Canada; Trois-Rivières, Quebec, Canada")</f>
        <v/>
      </c>
      <c r="K16746">
        <f>IFERROR(__xludf.DUMMYFUNCTION("""COMPUTED_VALUE"""),1273.57)</f>
        <v/>
      </c>
    </row>
    <row r="16747">
      <c r="J16747">
        <f>IFERROR(__xludf.DUMMYFUNCTION("""COMPUTED_VALUE"""),"Blumenort, Manitoba, Canada")</f>
        <v/>
      </c>
      <c r="K16747">
        <f>IFERROR(__xludf.DUMMYFUNCTION("""COMPUTED_VALUE"""),1273.51)</f>
        <v/>
      </c>
    </row>
    <row r="16748">
      <c r="J16748">
        <f>IFERROR(__xludf.DUMMYFUNCTION("""COMPUTED_VALUE"""),"Toronto , ON")</f>
        <v/>
      </c>
      <c r="K16748">
        <f>IFERROR(__xludf.DUMMYFUNCTION("""COMPUTED_VALUE"""),1272.63)</f>
        <v/>
      </c>
    </row>
    <row r="16749">
      <c r="J16749">
        <f>IFERROR(__xludf.DUMMYFUNCTION("""COMPUTED_VALUE"""),"Halifas, NS")</f>
        <v/>
      </c>
      <c r="K16749">
        <f>IFERROR(__xludf.DUMMYFUNCTION("""COMPUTED_VALUE"""),1272.33)</f>
        <v/>
      </c>
    </row>
    <row r="16750">
      <c r="J16750">
        <f>IFERROR(__xludf.DUMMYFUNCTION("""COMPUTED_VALUE"""),"Rimouski (Québec) Canada")</f>
        <v/>
      </c>
      <c r="K16750">
        <f>IFERROR(__xludf.DUMMYFUNCTION("""COMPUTED_VALUE"""),1271.65)</f>
        <v/>
      </c>
    </row>
    <row r="16751">
      <c r="J16751">
        <f>IFERROR(__xludf.DUMMYFUNCTION("""COMPUTED_VALUE"""),"Victoria and Campbell River, British Columbia, Canada")</f>
        <v/>
      </c>
      <c r="K16751">
        <f>IFERROR(__xludf.DUMMYFUNCTION("""COMPUTED_VALUE"""),1271.21)</f>
        <v/>
      </c>
    </row>
    <row r="16752">
      <c r="J16752">
        <f>IFERROR(__xludf.DUMMYFUNCTION("""COMPUTED_VALUE"""),"Quebec, Quebec and Toronto, Ontario, Canada")</f>
        <v/>
      </c>
      <c r="K16752">
        <f>IFERROR(__xludf.DUMMYFUNCTION("""COMPUTED_VALUE"""),1270.53)</f>
        <v/>
      </c>
    </row>
    <row r="16753">
      <c r="J16753">
        <f>IFERROR(__xludf.DUMMYFUNCTION("""COMPUTED_VALUE"""),"Ottawa-Moncton-Fredericton-Ottawa")</f>
        <v/>
      </c>
      <c r="K16753">
        <f>IFERROR(__xludf.DUMMYFUNCTION("""COMPUTED_VALUE"""),1270.41)</f>
        <v/>
      </c>
    </row>
    <row r="16754">
      <c r="J16754">
        <f>IFERROR(__xludf.DUMMYFUNCTION("""COMPUTED_VALUE"""),"Kingston (Ontario) Canada, Petawawa (Ontario) Canada")</f>
        <v/>
      </c>
      <c r="K16754">
        <f>IFERROR(__xludf.DUMMYFUNCTION("""COMPUTED_VALUE"""),1269.97)</f>
        <v/>
      </c>
    </row>
    <row r="16755">
      <c r="J16755">
        <f>IFERROR(__xludf.DUMMYFUNCTION("""COMPUTED_VALUE"""),"ronto, Ontario")</f>
        <v/>
      </c>
      <c r="K16755">
        <f>IFERROR(__xludf.DUMMYFUNCTION("""COMPUTED_VALUE"""),1269.91)</f>
        <v/>
      </c>
    </row>
    <row r="16756">
      <c r="J16756">
        <f>IFERROR(__xludf.DUMMYFUNCTION("""COMPUTED_VALUE"""),"Halifax, Nova Scotia, Canada; Yarmouth, Nova Scotia, Canada; Bridgewater, Nova Scotia, Canada; Truro, Nova Scotia, Canada")</f>
        <v/>
      </c>
      <c r="K16756">
        <f>IFERROR(__xludf.DUMMYFUNCTION("""COMPUTED_VALUE"""),1269.67)</f>
        <v/>
      </c>
    </row>
    <row r="16757">
      <c r="J16757">
        <f>IFERROR(__xludf.DUMMYFUNCTION("""COMPUTED_VALUE"""),"Bagotville, La Malbaie, Quebec City")</f>
        <v/>
      </c>
      <c r="K16757">
        <f>IFERROR(__xludf.DUMMYFUNCTION("""COMPUTED_VALUE"""),1269.66)</f>
        <v/>
      </c>
    </row>
    <row r="16758">
      <c r="J16758">
        <f>IFERROR(__xludf.DUMMYFUNCTION("""COMPUTED_VALUE"""),"Montreal, Quebec, Canada; Quebec City, Quebec, Canada; Chateauguay, Quebec, Canada; Mauricie, Quebec, Canada")</f>
        <v/>
      </c>
      <c r="K16758">
        <f>IFERROR(__xludf.DUMMYFUNCTION("""COMPUTED_VALUE"""),1269.53)</f>
        <v/>
      </c>
    </row>
    <row r="16759">
      <c r="J16759">
        <f>IFERROR(__xludf.DUMMYFUNCTION("""COMPUTED_VALUE"""),"Rome, Italy
San Marino, Italy")</f>
        <v/>
      </c>
      <c r="K16759">
        <f>IFERROR(__xludf.DUMMYFUNCTION("""COMPUTED_VALUE"""),1269.39)</f>
        <v/>
      </c>
    </row>
    <row r="16760">
      <c r="J16760">
        <f>IFERROR(__xludf.DUMMYFUNCTION("""COMPUTED_VALUE"""),"Mississauga, Niagara, Waterloo, and Windsor, Ontario")</f>
        <v/>
      </c>
      <c r="K16760">
        <f>IFERROR(__xludf.DUMMYFUNCTION("""COMPUTED_VALUE"""),1268.96)</f>
        <v/>
      </c>
    </row>
    <row r="16761">
      <c r="J16761">
        <f>IFERROR(__xludf.DUMMYFUNCTION("""COMPUTED_VALUE"""),"Buffalo and Syracuse, NY")</f>
        <v/>
      </c>
      <c r="K16761">
        <f>IFERROR(__xludf.DUMMYFUNCTION("""COMPUTED_VALUE"""),1268.79)</f>
        <v/>
      </c>
    </row>
    <row r="16762">
      <c r="J16762">
        <f>IFERROR(__xludf.DUMMYFUNCTION("""COMPUTED_VALUE"""),"Toronto, ON and St. John's, NL")</f>
        <v/>
      </c>
      <c r="K16762">
        <f>IFERROR(__xludf.DUMMYFUNCTION("""COMPUTED_VALUE"""),1267.75)</f>
        <v/>
      </c>
    </row>
    <row r="16763">
      <c r="J16763">
        <f>IFERROR(__xludf.DUMMYFUNCTION("""COMPUTED_VALUE"""),"Calgary, AB Edmonton, AB Regina, SK")</f>
        <v/>
      </c>
      <c r="K16763">
        <f>IFERROR(__xludf.DUMMYFUNCTION("""COMPUTED_VALUE"""),1267.7)</f>
        <v/>
      </c>
    </row>
    <row r="16764">
      <c r="J16764">
        <f>IFERROR(__xludf.DUMMYFUNCTION("""COMPUTED_VALUE"""),"Chemillé charente maritime and Larochelle")</f>
        <v/>
      </c>
      <c r="K16764">
        <f>IFERROR(__xludf.DUMMYFUNCTION("""COMPUTED_VALUE"""),1267.49)</f>
        <v/>
      </c>
    </row>
    <row r="16765">
      <c r="J16765">
        <f>IFERROR(__xludf.DUMMYFUNCTION("""COMPUTED_VALUE"""),"Halifax, Nova Scotia; Grand Pré National Historic Site")</f>
        <v/>
      </c>
      <c r="K16765">
        <f>IFERROR(__xludf.DUMMYFUNCTION("""COMPUTED_VALUE"""),1267.36)</f>
        <v/>
      </c>
    </row>
    <row r="16766">
      <c r="J16766">
        <f>IFERROR(__xludf.DUMMYFUNCTION("""COMPUTED_VALUE"""),"Sherbrooke, Quebec, Québec")</f>
        <v/>
      </c>
      <c r="K16766">
        <f>IFERROR(__xludf.DUMMYFUNCTION("""COMPUTED_VALUE"""),1267.2)</f>
        <v/>
      </c>
    </row>
    <row r="16767">
      <c r="J16767">
        <f>IFERROR(__xludf.DUMMYFUNCTION("""COMPUTED_VALUE"""),"Oshawa, Ontario, Canada; Hamilton, Ontario, Canada; Windsor, Ontario, Canada")</f>
        <v/>
      </c>
      <c r="K16767">
        <f>IFERROR(__xludf.DUMMYFUNCTION("""COMPUTED_VALUE"""),1267.14)</f>
        <v/>
      </c>
    </row>
    <row r="16768">
      <c r="J16768">
        <f>IFERROR(__xludf.DUMMYFUNCTION("""COMPUTED_VALUE"""),"Windsor, Ontario, Canada; Hamilton, Ontario, Canada; Oshawa, Ontario, Canada")</f>
        <v/>
      </c>
      <c r="K16768">
        <f>IFERROR(__xludf.DUMMYFUNCTION("""COMPUTED_VALUE"""),1267.14)</f>
        <v/>
      </c>
    </row>
    <row r="16769">
      <c r="J16769">
        <f>IFERROR(__xludf.DUMMYFUNCTION("""COMPUTED_VALUE"""),"Trois-Rivières, Québec")</f>
        <v/>
      </c>
      <c r="K16769">
        <f>IFERROR(__xludf.DUMMYFUNCTION("""COMPUTED_VALUE"""),1267.02)</f>
        <v/>
      </c>
    </row>
    <row r="16770">
      <c r="J16770">
        <f>IFERROR(__xludf.DUMMYFUNCTION("""COMPUTED_VALUE"""),"Venise, Parais, Europe")</f>
        <v/>
      </c>
      <c r="K16770">
        <f>IFERROR(__xludf.DUMMYFUNCTION("""COMPUTED_VALUE"""),1266.87)</f>
        <v/>
      </c>
    </row>
    <row r="16771">
      <c r="J16771">
        <f>IFERROR(__xludf.DUMMYFUNCTION("""COMPUTED_VALUE"""),"Whitby and Toronto, ON")</f>
        <v/>
      </c>
      <c r="K16771">
        <f>IFERROR(__xludf.DUMMYFUNCTION("""COMPUTED_VALUE"""),1266.72)</f>
        <v/>
      </c>
    </row>
    <row r="16772">
      <c r="J16772">
        <f>IFERROR(__xludf.DUMMYFUNCTION("""COMPUTED_VALUE"""),"Winnipeg. Manitoba, Canada")</f>
        <v/>
      </c>
      <c r="K16772">
        <f>IFERROR(__xludf.DUMMYFUNCTION("""COMPUTED_VALUE"""),1266.7)</f>
        <v/>
      </c>
    </row>
    <row r="16773">
      <c r="J16773">
        <f>IFERROR(__xludf.DUMMYFUNCTION("""COMPUTED_VALUE"""),"Calgary, Alberta, Canada and Grouard, Alberta, Canada and Strathmore, Alberta Canada and Cochrane, Alberta, Canada")</f>
        <v/>
      </c>
      <c r="K16773">
        <f>IFERROR(__xludf.DUMMYFUNCTION("""COMPUTED_VALUE"""),1266.45)</f>
        <v/>
      </c>
    </row>
    <row r="16774">
      <c r="J16774">
        <f>IFERROR(__xludf.DUMMYFUNCTION("""COMPUTED_VALUE"""),"Niagara-On-The-Lake, ON")</f>
        <v/>
      </c>
      <c r="K16774">
        <f>IFERROR(__xludf.DUMMYFUNCTION("""COMPUTED_VALUE"""),1266.33)</f>
        <v/>
      </c>
    </row>
    <row r="16775">
      <c r="J16775">
        <f>IFERROR(__xludf.DUMMYFUNCTION("""COMPUTED_VALUE"""),"BRAMPTON, ON")</f>
        <v/>
      </c>
      <c r="K16775">
        <f>IFERROR(__xludf.DUMMYFUNCTION("""COMPUTED_VALUE"""),1266.17)</f>
        <v/>
      </c>
    </row>
    <row r="16776">
      <c r="J16776">
        <f>IFERROR(__xludf.DUMMYFUNCTION("""COMPUTED_VALUE"""),"Mississauga (Ontario) Canada")</f>
        <v/>
      </c>
      <c r="K16776">
        <f>IFERROR(__xludf.DUMMYFUNCTION("""COMPUTED_VALUE"""),1265.8)</f>
        <v/>
      </c>
    </row>
    <row r="16777">
      <c r="J16777">
        <f>IFERROR(__xludf.DUMMYFUNCTION("""COMPUTED_VALUE"""),"Toronto, Ontario, Canada; Calgary, Alberta, Canada; Saskatoon, Saskatchewan, Canada")</f>
        <v/>
      </c>
      <c r="K16777">
        <f>IFERROR(__xludf.DUMMYFUNCTION("""COMPUTED_VALUE"""),1265.67)</f>
        <v/>
      </c>
    </row>
    <row r="16778">
      <c r="J16778">
        <f>IFERROR(__xludf.DUMMYFUNCTION("""COMPUTED_VALUE"""),"Hamilton, Toronto, ON")</f>
        <v/>
      </c>
      <c r="K16778">
        <f>IFERROR(__xludf.DUMMYFUNCTION("""COMPUTED_VALUE"""),1265.65)</f>
        <v/>
      </c>
    </row>
    <row r="16779">
      <c r="J16779">
        <f>IFERROR(__xludf.DUMMYFUNCTION("""COMPUTED_VALUE"""),"Trois-Rivières; Sherbrooke, Quebec, Canada")</f>
        <v/>
      </c>
      <c r="K16779">
        <f>IFERROR(__xludf.DUMMYFUNCTION("""COMPUTED_VALUE"""),1265.11)</f>
        <v/>
      </c>
    </row>
    <row r="16780">
      <c r="J16780">
        <f>IFERROR(__xludf.DUMMYFUNCTION("""COMPUTED_VALUE"""),"Skopje, Northern Macedonia")</f>
        <v/>
      </c>
      <c r="K16780">
        <f>IFERROR(__xludf.DUMMYFUNCTION("""COMPUTED_VALUE"""),1264.82)</f>
        <v/>
      </c>
    </row>
    <row r="16781">
      <c r="J16781">
        <f>IFERROR(__xludf.DUMMYFUNCTION("""COMPUTED_VALUE"""),"Calgary, AB; Lake Louise, AB")</f>
        <v/>
      </c>
      <c r="K16781">
        <f>IFERROR(__xludf.DUMMYFUNCTION("""COMPUTED_VALUE"""),1264.31)</f>
        <v/>
      </c>
    </row>
    <row r="16782">
      <c r="J16782">
        <f>IFERROR(__xludf.DUMMYFUNCTION("""COMPUTED_VALUE"""),"Chatham, ON")</f>
        <v/>
      </c>
      <c r="K16782">
        <f>IFERROR(__xludf.DUMMYFUNCTION("""COMPUTED_VALUE"""),1263.98)</f>
        <v/>
      </c>
    </row>
    <row r="16783">
      <c r="J16783">
        <f>IFERROR(__xludf.DUMMYFUNCTION("""COMPUTED_VALUE"""),"Winnipeg, ON")</f>
        <v/>
      </c>
      <c r="K16783">
        <f>IFERROR(__xludf.DUMMYFUNCTION("""COMPUTED_VALUE"""),1263.81)</f>
        <v/>
      </c>
    </row>
    <row r="16784">
      <c r="J16784">
        <f>IFERROR(__xludf.DUMMYFUNCTION("""COMPUTED_VALUE"""),"Minet, ON")</f>
        <v/>
      </c>
      <c r="K16784">
        <f>IFERROR(__xludf.DUMMYFUNCTION("""COMPUTED_VALUE"""),1263.48)</f>
        <v/>
      </c>
    </row>
    <row r="16785">
      <c r="J16785">
        <f>IFERROR(__xludf.DUMMYFUNCTION("""COMPUTED_VALUE"""),"Trois Rivieres, Quebec")</f>
        <v/>
      </c>
      <c r="K16785">
        <f>IFERROR(__xludf.DUMMYFUNCTION("""COMPUTED_VALUE"""),1263.33)</f>
        <v/>
      </c>
    </row>
    <row r="16786">
      <c r="J16786">
        <f>IFERROR(__xludf.DUMMYFUNCTION("""COMPUTED_VALUE"""),"Ottawa-Fredericton-Ottawa")</f>
        <v/>
      </c>
      <c r="K16786">
        <f>IFERROR(__xludf.DUMMYFUNCTION("""COMPUTED_VALUE"""),1263.29)</f>
        <v/>
      </c>
    </row>
    <row r="16787">
      <c r="J16787">
        <f>IFERROR(__xludf.DUMMYFUNCTION("""COMPUTED_VALUE"""),"Toronto and Kingston, Ontario, Canada")</f>
        <v/>
      </c>
      <c r="K16787">
        <f>IFERROR(__xludf.DUMMYFUNCTION("""COMPUTED_VALUE"""),1263.11)</f>
        <v/>
      </c>
    </row>
    <row r="16788">
      <c r="J16788">
        <f>IFERROR(__xludf.DUMMYFUNCTION("""COMPUTED_VALUE"""),"Colorado Springs and Washington, USA")</f>
        <v/>
      </c>
      <c r="K16788">
        <f>IFERROR(__xludf.DUMMYFUNCTION("""COMPUTED_VALUE"""),1263)</f>
        <v/>
      </c>
    </row>
    <row r="16789">
      <c r="J16789">
        <f>IFERROR(__xludf.DUMMYFUNCTION("""COMPUTED_VALUE"""),"St. Sauveur, QC")</f>
        <v/>
      </c>
      <c r="K16789">
        <f>IFERROR(__xludf.DUMMYFUNCTION("""COMPUTED_VALUE"""),1262.97)</f>
        <v/>
      </c>
    </row>
    <row r="16790">
      <c r="J16790">
        <f>IFERROR(__xludf.DUMMYFUNCTION("""COMPUTED_VALUE"""),"Moncton, New Brunswick; Laval, Quebec")</f>
        <v/>
      </c>
      <c r="K16790">
        <f>IFERROR(__xludf.DUMMYFUNCTION("""COMPUTED_VALUE"""),1262.82)</f>
        <v/>
      </c>
    </row>
    <row r="16791">
      <c r="J16791">
        <f>IFERROR(__xludf.DUMMYFUNCTION("""COMPUTED_VALUE"""),"North Sydney, NS, Canada")</f>
        <v/>
      </c>
      <c r="K16791">
        <f>IFERROR(__xludf.DUMMYFUNCTION("""COMPUTED_VALUE"""),1262.74)</f>
        <v/>
      </c>
    </row>
    <row r="16792">
      <c r="J16792">
        <f>IFERROR(__xludf.DUMMYFUNCTION("""COMPUTED_VALUE"""),"St-John's and Halifax")</f>
        <v/>
      </c>
      <c r="K16792">
        <f>IFERROR(__xludf.DUMMYFUNCTION("""COMPUTED_VALUE"""),1262.53)</f>
        <v/>
      </c>
    </row>
    <row r="16793">
      <c r="J16793">
        <f>IFERROR(__xludf.DUMMYFUNCTION("""COMPUTED_VALUE"""),"Mill River, Prince Edward Island")</f>
        <v/>
      </c>
      <c r="K16793">
        <f>IFERROR(__xludf.DUMMYFUNCTION("""COMPUTED_VALUE"""),1262.35)</f>
        <v/>
      </c>
    </row>
    <row r="16794">
      <c r="J16794">
        <f>IFERROR(__xludf.DUMMYFUNCTION("""COMPUTED_VALUE"""),"Moncton, New-Brunswick and Halifax, Nova Scotia")</f>
        <v/>
      </c>
      <c r="K16794">
        <f>IFERROR(__xludf.DUMMYFUNCTION("""COMPUTED_VALUE"""),1262.14)</f>
        <v/>
      </c>
    </row>
    <row r="16795">
      <c r="J16795">
        <f>IFERROR(__xludf.DUMMYFUNCTION("""COMPUTED_VALUE"""),"Gatineau, (Quebec)")</f>
        <v/>
      </c>
      <c r="K16795">
        <f>IFERROR(__xludf.DUMMYFUNCTION("""COMPUTED_VALUE"""),1261.52)</f>
        <v/>
      </c>
    </row>
    <row r="16796">
      <c r="J16796">
        <f>IFERROR(__xludf.DUMMYFUNCTION("""COMPUTED_VALUE"""),"Regina (Saskatchewan), Canada")</f>
        <v/>
      </c>
      <c r="K16796">
        <f>IFERROR(__xludf.DUMMYFUNCTION("""COMPUTED_VALUE"""),1260.98)</f>
        <v/>
      </c>
    </row>
    <row r="16797">
      <c r="J16797">
        <f>IFERROR(__xludf.DUMMYFUNCTION("""COMPUTED_VALUE"""),"Toronto, St. Thomas, London, Ontario area")</f>
        <v/>
      </c>
      <c r="K16797">
        <f>IFERROR(__xludf.DUMMYFUNCTION("""COMPUTED_VALUE"""),1260.97)</f>
        <v/>
      </c>
    </row>
    <row r="16798">
      <c r="J16798">
        <f>IFERROR(__xludf.DUMMYFUNCTION("""COMPUTED_VALUE"""),"Grand Pré, Nova Scotia")</f>
        <v/>
      </c>
      <c r="K16798">
        <f>IFERROR(__xludf.DUMMYFUNCTION("""COMPUTED_VALUE"""),1260.62)</f>
        <v/>
      </c>
    </row>
    <row r="16799">
      <c r="J16799">
        <f>IFERROR(__xludf.DUMMYFUNCTION("""COMPUTED_VALUE"""),"Guelph, Ontario;           Vineland, Ontario")</f>
        <v/>
      </c>
      <c r="K16799">
        <f>IFERROR(__xludf.DUMMYFUNCTION("""COMPUTED_VALUE"""),1260.58)</f>
        <v/>
      </c>
    </row>
    <row r="16800">
      <c r="J16800">
        <f>IFERROR(__xludf.DUMMYFUNCTION("""COMPUTED_VALUE"""),"Kenaston, SK")</f>
        <v/>
      </c>
      <c r="K16800">
        <f>IFERROR(__xludf.DUMMYFUNCTION("""COMPUTED_VALUE"""),1260.49)</f>
        <v/>
      </c>
    </row>
    <row r="16801">
      <c r="J16801">
        <f>IFERROR(__xludf.DUMMYFUNCTION("""COMPUTED_VALUE"""),"Ottawa-Moncton-Fredericton-Toronto-Ottawa")</f>
        <v/>
      </c>
      <c r="K16801">
        <f>IFERROR(__xludf.DUMMYFUNCTION("""COMPUTED_VALUE"""),1259.96)</f>
        <v/>
      </c>
    </row>
    <row r="16802">
      <c r="J16802">
        <f>IFERROR(__xludf.DUMMYFUNCTION("""COMPUTED_VALUE"""),"Fredericton and Gagetown NB")</f>
        <v/>
      </c>
      <c r="K16802">
        <f>IFERROR(__xludf.DUMMYFUNCTION("""COMPUTED_VALUE"""),1259.93)</f>
        <v/>
      </c>
    </row>
    <row r="16803">
      <c r="J16803">
        <f>IFERROR(__xludf.DUMMYFUNCTION("""COMPUTED_VALUE"""),"Montreal, Quebec, Canada; Windsor, Ontario, Canada")</f>
        <v/>
      </c>
      <c r="K16803">
        <f>IFERROR(__xludf.DUMMYFUNCTION("""COMPUTED_VALUE"""),1259.93)</f>
        <v/>
      </c>
    </row>
    <row r="16804">
      <c r="J16804">
        <f>IFERROR(__xludf.DUMMYFUNCTION("""COMPUTED_VALUE"""),"Chibougamau, Quebec, Canada; Rimouski, Quebec, Canada; Sherbrooke, Quebec, Canada")</f>
        <v/>
      </c>
      <c r="K16804">
        <f>IFERROR(__xludf.DUMMYFUNCTION("""COMPUTED_VALUE"""),1259.76)</f>
        <v/>
      </c>
    </row>
    <row r="16805">
      <c r="J16805">
        <f>IFERROR(__xludf.DUMMYFUNCTION("""COMPUTED_VALUE"""),"Point Claire, QC")</f>
        <v/>
      </c>
      <c r="K16805">
        <f>IFERROR(__xludf.DUMMYFUNCTION("""COMPUTED_VALUE"""),1259.74)</f>
        <v/>
      </c>
    </row>
    <row r="16806">
      <c r="J16806">
        <f>IFERROR(__xludf.DUMMYFUNCTION("""COMPUTED_VALUE"""),"Mont Saint-Anne / Montreal")</f>
        <v/>
      </c>
      <c r="K16806">
        <f>IFERROR(__xludf.DUMMYFUNCTION("""COMPUTED_VALUE"""),1259.72)</f>
        <v/>
      </c>
    </row>
    <row r="16807">
      <c r="J16807">
        <f>IFERROR(__xludf.DUMMYFUNCTION("""COMPUTED_VALUE"""),"Jean Marie River, Northwest Territories, Canada")</f>
        <v/>
      </c>
      <c r="K16807">
        <f>IFERROR(__xludf.DUMMYFUNCTION("""COMPUTED_VALUE"""),1259.64)</f>
        <v/>
      </c>
    </row>
    <row r="16808">
      <c r="J16808">
        <f>IFERROR(__xludf.DUMMYFUNCTION("""COMPUTED_VALUE"""),"Peterborough, ON; Belleville, ON; Kingston, ON; Ottawa, ON")</f>
        <v/>
      </c>
      <c r="K16808">
        <f>IFERROR(__xludf.DUMMYFUNCTION("""COMPUTED_VALUE"""),1259.5)</f>
        <v/>
      </c>
    </row>
    <row r="16809">
      <c r="J16809">
        <f>IFERROR(__xludf.DUMMYFUNCTION("""COMPUTED_VALUE"""),"Summerside, Prince Edward Island, Canada; Charlottetown, Prince Edward Island, Canada")</f>
        <v/>
      </c>
      <c r="K16809">
        <f>IFERROR(__xludf.DUMMYFUNCTION("""COMPUTED_VALUE"""),1259.44)</f>
        <v/>
      </c>
    </row>
    <row r="16810">
      <c r="J16810">
        <f>IFERROR(__xludf.DUMMYFUNCTION("""COMPUTED_VALUE"""),"Montreal ,Quebec Halifax, Nova Scotia")</f>
        <v/>
      </c>
      <c r="K16810">
        <f>IFERROR(__xludf.DUMMYFUNCTION("""COMPUTED_VALUE"""),1259.26)</f>
        <v/>
      </c>
    </row>
    <row r="16811">
      <c r="J16811">
        <f>IFERROR(__xludf.DUMMYFUNCTION("""COMPUTED_VALUE"""),"Rama, Saskatchewan, Canada")</f>
        <v/>
      </c>
      <c r="K16811">
        <f>IFERROR(__xludf.DUMMYFUNCTION("""COMPUTED_VALUE"""),1259.1)</f>
        <v/>
      </c>
    </row>
    <row r="16812">
      <c r="J16812">
        <f>IFERROR(__xludf.DUMMYFUNCTION("""COMPUTED_VALUE"""),"Ottawa, Ontario, Canada                               Gatineau, Quebec, Canada")</f>
        <v/>
      </c>
      <c r="K16812">
        <f>IFERROR(__xludf.DUMMYFUNCTION("""COMPUTED_VALUE"""),1258.69)</f>
        <v/>
      </c>
    </row>
    <row r="16813">
      <c r="J16813">
        <f>IFERROR(__xludf.DUMMYFUNCTION("""COMPUTED_VALUE"""),"Sainte-Thérèse, Quebec, Canada")</f>
        <v/>
      </c>
      <c r="K16813">
        <f>IFERROR(__xludf.DUMMYFUNCTION("""COMPUTED_VALUE"""),1258.59)</f>
        <v/>
      </c>
    </row>
    <row r="16814">
      <c r="J16814">
        <f>IFERROR(__xludf.DUMMYFUNCTION("""COMPUTED_VALUE"""),"Hamiton, Mississauga, Toronto, Ontario, Canada")</f>
        <v/>
      </c>
      <c r="K16814">
        <f>IFERROR(__xludf.DUMMYFUNCTION("""COMPUTED_VALUE"""),1258.58)</f>
        <v/>
      </c>
    </row>
    <row r="16815">
      <c r="J16815">
        <f>IFERROR(__xludf.DUMMYFUNCTION("""COMPUTED_VALUE"""),"Guelph, Ontario, Canada; Essex, Ontario, Canada; Chatham, Ontario, Canada; Clinton, Ontario, Canada")</f>
        <v/>
      </c>
      <c r="K16815">
        <f>IFERROR(__xludf.DUMMYFUNCTION("""COMPUTED_VALUE"""),1258.18)</f>
        <v/>
      </c>
    </row>
    <row r="16816">
      <c r="J16816">
        <f>IFERROR(__xludf.DUMMYFUNCTION("""COMPUTED_VALUE"""),"Markham, Ontario, Canada; Windsor, Ontario, Canada; Hamilton, Ontario, Canada")</f>
        <v/>
      </c>
      <c r="K16816">
        <f>IFERROR(__xludf.DUMMYFUNCTION("""COMPUTED_VALUE"""),1257.94)</f>
        <v/>
      </c>
    </row>
    <row r="16817">
      <c r="J16817">
        <f>IFERROR(__xludf.DUMMYFUNCTION("""COMPUTED_VALUE"""),"Latvia &amp; Belgium")</f>
        <v/>
      </c>
      <c r="K16817">
        <f>IFERROR(__xludf.DUMMYFUNCTION("""COMPUTED_VALUE"""),1257.91)</f>
        <v/>
      </c>
    </row>
    <row r="16818">
      <c r="J16818">
        <f>IFERROR(__xludf.DUMMYFUNCTION("""COMPUTED_VALUE"""),"Pittsburgh, PA, USA")</f>
        <v/>
      </c>
      <c r="K16818">
        <f>IFERROR(__xludf.DUMMYFUNCTION("""COMPUTED_VALUE"""),1257.04)</f>
        <v/>
      </c>
    </row>
    <row r="16819">
      <c r="J16819">
        <f>IFERROR(__xludf.DUMMYFUNCTION("""COMPUTED_VALUE"""),"Cambridge / Toronto / London,
ON")</f>
        <v/>
      </c>
      <c r="K16819">
        <f>IFERROR(__xludf.DUMMYFUNCTION("""COMPUTED_VALUE"""),1255.59)</f>
        <v/>
      </c>
    </row>
    <row r="16820">
      <c r="J16820">
        <f>IFERROR(__xludf.DUMMYFUNCTION("""COMPUTED_VALUE"""),"Jacksonville, Florida, USA")</f>
        <v/>
      </c>
      <c r="K16820">
        <f>IFERROR(__xludf.DUMMYFUNCTION("""COMPUTED_VALUE"""),1255.05)</f>
        <v/>
      </c>
    </row>
    <row r="16821">
      <c r="J16821">
        <f>IFERROR(__xludf.DUMMYFUNCTION("""COMPUTED_VALUE"""),"Hamilton and Port Weller, Ontario, Canada")</f>
        <v/>
      </c>
      <c r="K16821">
        <f>IFERROR(__xludf.DUMMYFUNCTION("""COMPUTED_VALUE"""),1254.98)</f>
        <v/>
      </c>
    </row>
    <row r="16822">
      <c r="J16822">
        <f>IFERROR(__xludf.DUMMYFUNCTION("""COMPUTED_VALUE"""),"St-John, Newfoundland and Labrador, Canada")</f>
        <v/>
      </c>
      <c r="K16822">
        <f>IFERROR(__xludf.DUMMYFUNCTION("""COMPUTED_VALUE"""),1254.57)</f>
        <v/>
      </c>
    </row>
    <row r="16823">
      <c r="J16823">
        <f>IFERROR(__xludf.DUMMYFUNCTION("""COMPUTED_VALUE"""),"Boisbriand, St-Jean sur Richelieu")</f>
        <v/>
      </c>
      <c r="K16823">
        <f>IFERROR(__xludf.DUMMYFUNCTION("""COMPUTED_VALUE"""),1253.83)</f>
        <v/>
      </c>
    </row>
    <row r="16824">
      <c r="J16824">
        <f>IFERROR(__xludf.DUMMYFUNCTION("""COMPUTED_VALUE"""),"Saint John, New Brunswick (acc. paid by ACOA")</f>
        <v/>
      </c>
      <c r="K16824">
        <f>IFERROR(__xludf.DUMMYFUNCTION("""COMPUTED_VALUE"""),1253.83)</f>
        <v/>
      </c>
    </row>
    <row r="16825">
      <c r="J16825">
        <f>IFERROR(__xludf.DUMMYFUNCTION("""COMPUTED_VALUE"""),"Providence, Rhode Island, United States of America")</f>
        <v/>
      </c>
      <c r="K16825">
        <f>IFERROR(__xludf.DUMMYFUNCTION("""COMPUTED_VALUE"""),1253.61)</f>
        <v/>
      </c>
    </row>
    <row r="16826">
      <c r="J16826">
        <f>IFERROR(__xludf.DUMMYFUNCTION("""COMPUTED_VALUE"""),"Quebec, Trois-Rivières, Quebec, Canada")</f>
        <v/>
      </c>
      <c r="K16826">
        <f>IFERROR(__xludf.DUMMYFUNCTION("""COMPUTED_VALUE"""),1253.19)</f>
        <v/>
      </c>
    </row>
    <row r="16827">
      <c r="J16827">
        <f>IFERROR(__xludf.DUMMYFUNCTION("""COMPUTED_VALUE"""),"Thunder Bay, Ontario &amp; Gatineau, Quebec")</f>
        <v/>
      </c>
      <c r="K16827">
        <f>IFERROR(__xludf.DUMMYFUNCTION("""COMPUTED_VALUE"""),1253.13)</f>
        <v/>
      </c>
    </row>
    <row r="16828">
      <c r="J16828">
        <f>IFERROR(__xludf.DUMMYFUNCTION("""COMPUTED_VALUE"""),"Joggins, Nova Scotia")</f>
        <v/>
      </c>
      <c r="K16828">
        <f>IFERROR(__xludf.DUMMYFUNCTION("""COMPUTED_VALUE"""),1252.73)</f>
        <v/>
      </c>
    </row>
    <row r="16829">
      <c r="J16829">
        <f>IFERROR(__xludf.DUMMYFUNCTION("""COMPUTED_VALUE"""),"Thunder Bay, Ontario, Canada; Toronto, Ontario, Canada; Sudbury, Ontario, Canada")</f>
        <v/>
      </c>
      <c r="K16829">
        <f>IFERROR(__xludf.DUMMYFUNCTION("""COMPUTED_VALUE"""),1252.68)</f>
        <v/>
      </c>
    </row>
    <row r="16830">
      <c r="J16830">
        <f>IFERROR(__xludf.DUMMYFUNCTION("""COMPUTED_VALUE"""),"Truro, Nova Scotia, Canada; Toronto, Ontario, Canada; Calgary, Alberta, Canada; Montreal, Quebec, Canada; Kingston, Ontario, Canada")</f>
        <v/>
      </c>
      <c r="K16830">
        <f>IFERROR(__xludf.DUMMYFUNCTION("""COMPUTED_VALUE"""),1252.45)</f>
        <v/>
      </c>
    </row>
    <row r="16831">
      <c r="J16831">
        <f>IFERROR(__xludf.DUMMYFUNCTION("""COMPUTED_VALUE"""),"Ottawa, Toronto, Bowmanville, ON")</f>
        <v/>
      </c>
      <c r="K16831">
        <f>IFERROR(__xludf.DUMMYFUNCTION("""COMPUTED_VALUE"""),1251.87)</f>
        <v/>
      </c>
    </row>
    <row r="16832">
      <c r="J16832">
        <f>IFERROR(__xludf.DUMMYFUNCTION("""COMPUTED_VALUE"""),"Grand Manan Island, New Brunswick, Canada")</f>
        <v/>
      </c>
      <c r="K16832">
        <f>IFERROR(__xludf.DUMMYFUNCTION("""COMPUTED_VALUE"""),1251.7)</f>
        <v/>
      </c>
    </row>
    <row r="16833">
      <c r="J16833">
        <f>IFERROR(__xludf.DUMMYFUNCTION("""COMPUTED_VALUE"""),"Ammnan, Jordan &amp; Doha, Qatar")</f>
        <v/>
      </c>
      <c r="K16833">
        <f>IFERROR(__xludf.DUMMYFUNCTION("""COMPUTED_VALUE"""),1251.19)</f>
        <v/>
      </c>
    </row>
    <row r="16834">
      <c r="J16834">
        <f>IFERROR(__xludf.DUMMYFUNCTION("""COMPUTED_VALUE"""),"Winnipeg,
Manitoba")</f>
        <v/>
      </c>
      <c r="K16834">
        <f>IFERROR(__xludf.DUMMYFUNCTION("""COMPUTED_VALUE"""),1250.92)</f>
        <v/>
      </c>
    </row>
    <row r="16835">
      <c r="J16835">
        <f>IFERROR(__xludf.DUMMYFUNCTION("""COMPUTED_VALUE"""),"Campbell River, Port Hardy and Courtenay, British Columbia, Canada")</f>
        <v/>
      </c>
      <c r="K16835">
        <f>IFERROR(__xludf.DUMMYFUNCTION("""COMPUTED_VALUE"""),1250.87)</f>
        <v/>
      </c>
    </row>
    <row r="16836">
      <c r="J16836">
        <f>IFERROR(__xludf.DUMMYFUNCTION("""COMPUTED_VALUE"""),"Montague, Prince Edward Island, Canada")</f>
        <v/>
      </c>
      <c r="K16836">
        <f>IFERROR(__xludf.DUMMYFUNCTION("""COMPUTED_VALUE"""),1250.81)</f>
        <v/>
      </c>
    </row>
    <row r="16837">
      <c r="J16837">
        <f>IFERROR(__xludf.DUMMYFUNCTION("""COMPUTED_VALUE"""),"Montréal, Québec and St John's, Newfoundland and Labrador")</f>
        <v/>
      </c>
      <c r="K16837">
        <f>IFERROR(__xludf.DUMMYFUNCTION("""COMPUTED_VALUE"""),1249.71)</f>
        <v/>
      </c>
    </row>
    <row r="16838">
      <c r="J16838">
        <f>IFERROR(__xludf.DUMMYFUNCTION("""COMPUTED_VALUE"""),"Trois-Rivières, Quebec , Canada")</f>
        <v/>
      </c>
      <c r="K16838">
        <f>IFERROR(__xludf.DUMMYFUNCTION("""COMPUTED_VALUE"""),1249.49)</f>
        <v/>
      </c>
    </row>
    <row r="16839">
      <c r="J16839">
        <f>IFERROR(__xludf.DUMMYFUNCTION("""COMPUTED_VALUE"""),"Ottawa - Alma - Jonquière - St-Ambroise - Ottawa")</f>
        <v/>
      </c>
      <c r="K16839">
        <f>IFERROR(__xludf.DUMMYFUNCTION("""COMPUTED_VALUE"""),1248.46)</f>
        <v/>
      </c>
    </row>
    <row r="16840">
      <c r="J16840">
        <f>IFERROR(__xludf.DUMMYFUNCTION("""COMPUTED_VALUE"""),"Toronto, ON     Windsor, ON")</f>
        <v/>
      </c>
      <c r="K16840">
        <f>IFERROR(__xludf.DUMMYFUNCTION("""COMPUTED_VALUE"""),1248.44)</f>
        <v/>
      </c>
    </row>
    <row r="16841">
      <c r="J16841">
        <f>IFERROR(__xludf.DUMMYFUNCTION("""COMPUTED_VALUE"""),"Shawinigan, Quebec, Canada / Rouyn-Noranda, Quebec, Canada / Ottawa, Ontario, Canada")</f>
        <v/>
      </c>
      <c r="K16841">
        <f>IFERROR(__xludf.DUMMYFUNCTION("""COMPUTED_VALUE"""),1248.29)</f>
        <v/>
      </c>
    </row>
    <row r="16842">
      <c r="J16842">
        <f>IFERROR(__xludf.DUMMYFUNCTION("""COMPUTED_VALUE"""),"Halifax, NS; Montréal, QC")</f>
        <v/>
      </c>
      <c r="K16842">
        <f>IFERROR(__xludf.DUMMYFUNCTION("""COMPUTED_VALUE"""),1247.63)</f>
        <v/>
      </c>
    </row>
    <row r="16843">
      <c r="J16843">
        <f>IFERROR(__xludf.DUMMYFUNCTION("""COMPUTED_VALUE"""),"Pictou, Nova Scotia, Canada; Charlottetown, Prince Edward Island, Canada")</f>
        <v/>
      </c>
      <c r="K16843">
        <f>IFERROR(__xludf.DUMMYFUNCTION("""COMPUTED_VALUE"""),1247.4)</f>
        <v/>
      </c>
    </row>
    <row r="16844">
      <c r="J16844">
        <f>IFERROR(__xludf.DUMMYFUNCTION("""COMPUTED_VALUE"""),"Guatemala, El Salvador, Costa Rica, Panama &amp; Miami")</f>
        <v/>
      </c>
      <c r="K16844">
        <f>IFERROR(__xludf.DUMMYFUNCTION("""COMPUTED_VALUE"""),1246.48)</f>
        <v/>
      </c>
    </row>
    <row r="16845">
      <c r="J16845">
        <f>IFERROR(__xludf.DUMMYFUNCTION("""COMPUTED_VALUE"""),"Toronto, Ontario, Canada/ London, Ontario, Canada/ Windsor, Ontario, Canada")</f>
        <v/>
      </c>
      <c r="K16845">
        <f>IFERROR(__xludf.DUMMYFUNCTION("""COMPUTED_VALUE"""),1246.37)</f>
        <v/>
      </c>
    </row>
    <row r="16846">
      <c r="J16846">
        <f>IFERROR(__xludf.DUMMYFUNCTION("""COMPUTED_VALUE"""),"Chambly, Québec / Niagara-on-the-Lake, Ontario")</f>
        <v/>
      </c>
      <c r="K16846">
        <f>IFERROR(__xludf.DUMMYFUNCTION("""COMPUTED_VALUE"""),1246.07)</f>
        <v/>
      </c>
    </row>
    <row r="16847">
      <c r="J16847">
        <f>IFERROR(__xludf.DUMMYFUNCTION("""COMPUTED_VALUE"""),"Fuzhou, PRC")</f>
        <v/>
      </c>
      <c r="K16847">
        <f>IFERROR(__xludf.DUMMYFUNCTION("""COMPUTED_VALUE"""),1246)</f>
        <v/>
      </c>
    </row>
    <row r="16848">
      <c r="J16848">
        <f>IFERROR(__xludf.DUMMYFUNCTION("""COMPUTED_VALUE"""),"Waterloo,On")</f>
        <v/>
      </c>
      <c r="K16848">
        <f>IFERROR(__xludf.DUMMYFUNCTION("""COMPUTED_VALUE"""),1245.97)</f>
        <v/>
      </c>
    </row>
    <row r="16849">
      <c r="J16849">
        <f>IFERROR(__xludf.DUMMYFUNCTION("""COMPUTED_VALUE"""),"Osoyoos and Kamloops, British Columbia")</f>
        <v/>
      </c>
      <c r="K16849">
        <f>IFERROR(__xludf.DUMMYFUNCTION("""COMPUTED_VALUE"""),1245.56)</f>
        <v/>
      </c>
    </row>
    <row r="16850">
      <c r="J16850">
        <f>IFERROR(__xludf.DUMMYFUNCTION("""COMPUTED_VALUE"""),"Sussex, NB / Moncton, NB / Halifax, NS")</f>
        <v/>
      </c>
      <c r="K16850">
        <f>IFERROR(__xludf.DUMMYFUNCTION("""COMPUTED_VALUE"""),1244.91)</f>
        <v/>
      </c>
    </row>
    <row r="16851">
      <c r="J16851">
        <f>IFERROR(__xludf.DUMMYFUNCTION("""COMPUTED_VALUE"""),"Sechelt, British Columbia, Canada")</f>
        <v/>
      </c>
      <c r="K16851">
        <f>IFERROR(__xludf.DUMMYFUNCTION("""COMPUTED_VALUE"""),1244.82)</f>
        <v/>
      </c>
    </row>
    <row r="16852">
      <c r="J16852">
        <f>IFERROR(__xludf.DUMMYFUNCTION("""COMPUTED_VALUE"""),"Sarnia, ON / St. Thomas, ON /
Brantford, ON")</f>
        <v/>
      </c>
      <c r="K16852">
        <f>IFERROR(__xludf.DUMMYFUNCTION("""COMPUTED_VALUE"""),1244.81)</f>
        <v/>
      </c>
    </row>
    <row r="16853">
      <c r="J16853">
        <f>IFERROR(__xludf.DUMMYFUNCTION("""COMPUTED_VALUE"""),"Kitchener, Ontario, Canada / Waterloo, Ontario, Canada")</f>
        <v/>
      </c>
      <c r="K16853">
        <f>IFERROR(__xludf.DUMMYFUNCTION("""COMPUTED_VALUE"""),1244.59)</f>
        <v/>
      </c>
    </row>
    <row r="16854">
      <c r="J16854">
        <f>IFERROR(__xludf.DUMMYFUNCTION("""COMPUTED_VALUE"""),"Niagra On the Lake, Ontario")</f>
        <v/>
      </c>
      <c r="K16854">
        <f>IFERROR(__xludf.DUMMYFUNCTION("""COMPUTED_VALUE"""),1244)</f>
        <v/>
      </c>
    </row>
    <row r="16855">
      <c r="J16855">
        <f>IFERROR(__xludf.DUMMYFUNCTION("""COMPUTED_VALUE"""),"Newark, New York, USA")</f>
        <v/>
      </c>
      <c r="K16855">
        <f>IFERROR(__xludf.DUMMYFUNCTION("""COMPUTED_VALUE"""),1243.24)</f>
        <v/>
      </c>
    </row>
    <row r="16856">
      <c r="J16856">
        <f>IFERROR(__xludf.DUMMYFUNCTION("""COMPUTED_VALUE"""),"St-Raymond de Portneuf, QC")</f>
        <v/>
      </c>
      <c r="K16856">
        <f>IFERROR(__xludf.DUMMYFUNCTION("""COMPUTED_VALUE"""),1243.18)</f>
        <v/>
      </c>
    </row>
    <row r="16857">
      <c r="J16857">
        <f>IFERROR(__xludf.DUMMYFUNCTION("""COMPUTED_VALUE"""),"Ottawa (Ontario) Canada; Shawinigan (Quebec) Canada")</f>
        <v/>
      </c>
      <c r="K16857">
        <f>IFERROR(__xludf.DUMMYFUNCTION("""COMPUTED_VALUE"""),1243.05)</f>
        <v/>
      </c>
    </row>
    <row r="16858">
      <c r="J16858">
        <f>IFERROR(__xludf.DUMMYFUNCTION("""COMPUTED_VALUE"""),"­Tyndall Air Force Base, Florida, United States of America; Bagotville, Quebec, Canada")</f>
        <v/>
      </c>
      <c r="K16858">
        <f>IFERROR(__xludf.DUMMYFUNCTION("""COMPUTED_VALUE"""),1243.04)</f>
        <v/>
      </c>
    </row>
    <row r="16859">
      <c r="J16859">
        <f>IFERROR(__xludf.DUMMYFUNCTION("""COMPUTED_VALUE"""),"Whistler / Richmond")</f>
        <v/>
      </c>
      <c r="K16859">
        <f>IFERROR(__xludf.DUMMYFUNCTION("""COMPUTED_VALUE"""),1242.89)</f>
        <v/>
      </c>
    </row>
    <row r="16860">
      <c r="J16860">
        <f>IFERROR(__xludf.DUMMYFUNCTION("""COMPUTED_VALUE"""),"Sherbrooke, QC / Hamilton, ON")</f>
        <v/>
      </c>
      <c r="K16860">
        <f>IFERROR(__xludf.DUMMYFUNCTION("""COMPUTED_VALUE"""),1242.52)</f>
        <v/>
      </c>
    </row>
    <row r="16861">
      <c r="J16861">
        <f>IFERROR(__xludf.DUMMYFUNCTION("""COMPUTED_VALUE"""),"Boston MA USA")</f>
        <v/>
      </c>
      <c r="K16861">
        <f>IFERROR(__xludf.DUMMYFUNCTION("""COMPUTED_VALUE"""),1242.39)</f>
        <v/>
      </c>
    </row>
    <row r="16862">
      <c r="J16862">
        <f>IFERROR(__xludf.DUMMYFUNCTION("""COMPUTED_VALUE"""),"Moncton, New Brunswick, Charlottetown, Prince Edward Island")</f>
        <v/>
      </c>
      <c r="K16862">
        <f>IFERROR(__xludf.DUMMYFUNCTION("""COMPUTED_VALUE"""),1241.83)</f>
        <v/>
      </c>
    </row>
    <row r="16863">
      <c r="J16863">
        <f>IFERROR(__xludf.DUMMYFUNCTION("""COMPUTED_VALUE"""),"Waterloo, Cornwall, Brockville and Port Perry, Ontario")</f>
        <v/>
      </c>
      <c r="K16863">
        <f>IFERROR(__xludf.DUMMYFUNCTION("""COMPUTED_VALUE"""),1241.69)</f>
        <v/>
      </c>
    </row>
    <row r="16864">
      <c r="J16864">
        <f>IFERROR(__xludf.DUMMYFUNCTION("""COMPUTED_VALUE"""),"Calgary, BC")</f>
        <v/>
      </c>
      <c r="K16864">
        <f>IFERROR(__xludf.DUMMYFUNCTION("""COMPUTED_VALUE"""),1241.51)</f>
        <v/>
      </c>
    </row>
    <row r="16865">
      <c r="J16865">
        <f>IFERROR(__xludf.DUMMYFUNCTION("""COMPUTED_VALUE"""),"Calgary- Edmonton")</f>
        <v/>
      </c>
      <c r="K16865">
        <f>IFERROR(__xludf.DUMMYFUNCTION("""COMPUTED_VALUE"""),1241.5)</f>
        <v/>
      </c>
    </row>
    <row r="16866">
      <c r="J16866">
        <f>IFERROR(__xludf.DUMMYFUNCTION("""COMPUTED_VALUE"""),"Québec City, Rivière-du-Loup, Rivière-Ouelle, La Pocatière, Beauce and Shawinigan, Québec")</f>
        <v/>
      </c>
      <c r="K16866">
        <f>IFERROR(__xludf.DUMMYFUNCTION("""COMPUTED_VALUE"""),1241.49)</f>
        <v/>
      </c>
    </row>
    <row r="16867">
      <c r="J16867">
        <f>IFERROR(__xludf.DUMMYFUNCTION("""COMPUTED_VALUE"""),"Penticton, British Columbia, Canada; Kelowna, British Columbia, Canada; Lake Country British Columbia, Canada; Summerland, British Columbia, Canada")</f>
        <v/>
      </c>
      <c r="K16867">
        <f>IFERROR(__xludf.DUMMYFUNCTION("""COMPUTED_VALUE"""),1241.07)</f>
        <v/>
      </c>
    </row>
    <row r="16868">
      <c r="J16868">
        <f>IFERROR(__xludf.DUMMYFUNCTION("""COMPUTED_VALUE"""),"Quebec / Montreal, Quebec, Canada")</f>
        <v/>
      </c>
      <c r="K16868">
        <f>IFERROR(__xludf.DUMMYFUNCTION("""COMPUTED_VALUE"""),1240.68)</f>
        <v/>
      </c>
    </row>
    <row r="16869">
      <c r="J16869">
        <f>IFERROR(__xludf.DUMMYFUNCTION("""COMPUTED_VALUE"""),"Lac-Megantic, Quebec, Canada")</f>
        <v/>
      </c>
      <c r="K16869">
        <f>IFERROR(__xludf.DUMMYFUNCTION("""COMPUTED_VALUE"""),1240.62)</f>
        <v/>
      </c>
    </row>
    <row r="16870">
      <c r="J16870">
        <f>IFERROR(__xludf.DUMMYFUNCTION("""COMPUTED_VALUE"""),"Quebec City,   Quebec")</f>
        <v/>
      </c>
      <c r="K16870">
        <f>IFERROR(__xludf.DUMMYFUNCTION("""COMPUTED_VALUE"""),1240.2)</f>
        <v/>
      </c>
    </row>
    <row r="16871">
      <c r="J16871">
        <f>IFERROR(__xludf.DUMMYFUNCTION("""COMPUTED_VALUE"""),"Leduc, Alberta, Canada; Edmonton, Alberta, Canada")</f>
        <v/>
      </c>
      <c r="K16871">
        <f>IFERROR(__xludf.DUMMYFUNCTION("""COMPUTED_VALUE"""),1239.63)</f>
        <v/>
      </c>
    </row>
    <row r="16872">
      <c r="J16872">
        <f>IFERROR(__xludf.DUMMYFUNCTION("""COMPUTED_VALUE"""),"Halifax, Nova-Scotia.")</f>
        <v/>
      </c>
      <c r="K16872">
        <f>IFERROR(__xludf.DUMMYFUNCTION("""COMPUTED_VALUE"""),1239.62)</f>
        <v/>
      </c>
    </row>
    <row r="16873">
      <c r="J16873">
        <f>IFERROR(__xludf.DUMMYFUNCTION("""COMPUTED_VALUE"""),"Ditchley, Park, UK via London")</f>
        <v/>
      </c>
      <c r="K16873">
        <f>IFERROR(__xludf.DUMMYFUNCTION("""COMPUTED_VALUE"""),1239.53)</f>
        <v/>
      </c>
    </row>
    <row r="16874">
      <c r="J16874">
        <f>IFERROR(__xludf.DUMMYFUNCTION("""COMPUTED_VALUE"""),"Victoria BC- William Head Institution, Victoria Parole Office")</f>
        <v/>
      </c>
      <c r="K16874">
        <f>IFERROR(__xludf.DUMMYFUNCTION("""COMPUTED_VALUE"""),1239.48)</f>
        <v/>
      </c>
    </row>
    <row r="16875">
      <c r="J16875">
        <f>IFERROR(__xludf.DUMMYFUNCTION("""COMPUTED_VALUE"""),"Stavanger")</f>
        <v/>
      </c>
      <c r="K16875">
        <f>IFERROR(__xludf.DUMMYFUNCTION("""COMPUTED_VALUE"""),1239.04)</f>
        <v/>
      </c>
    </row>
    <row r="16876">
      <c r="J16876">
        <f>IFERROR(__xludf.DUMMYFUNCTION("""COMPUTED_VALUE"""),"Montreal, Quebec and Ottawa ,Ontario")</f>
        <v/>
      </c>
      <c r="K16876">
        <f>IFERROR(__xludf.DUMMYFUNCTION("""COMPUTED_VALUE"""),1239.01)</f>
        <v/>
      </c>
    </row>
    <row r="16877">
      <c r="J16877">
        <f>IFERROR(__xludf.DUMMYFUNCTION("""COMPUTED_VALUE"""),"Aix-en-Provence")</f>
        <v/>
      </c>
      <c r="K16877">
        <f>IFERROR(__xludf.DUMMYFUNCTION("""COMPUTED_VALUE"""),1239)</f>
        <v/>
      </c>
    </row>
    <row r="16878">
      <c r="J16878">
        <f>IFERROR(__xludf.DUMMYFUNCTION("""COMPUTED_VALUE"""),"Cap-Chat, Quebec, Canada; Matane, Quebec, Canada; Rimouski, Quebec, Canada")</f>
        <v/>
      </c>
      <c r="K16878">
        <f>IFERROR(__xludf.DUMMYFUNCTION("""COMPUTED_VALUE"""),1238.69)</f>
        <v/>
      </c>
    </row>
    <row r="16879">
      <c r="J16879">
        <f>IFERROR(__xludf.DUMMYFUNCTION("""COMPUTED_VALUE"""),"Fredericton,  New-Brunswick")</f>
        <v/>
      </c>
      <c r="K16879">
        <f>IFERROR(__xludf.DUMMYFUNCTION("""COMPUTED_VALUE"""),1238.48)</f>
        <v/>
      </c>
    </row>
    <row r="16880">
      <c r="J16880">
        <f>IFERROR(__xludf.DUMMYFUNCTION("""COMPUTED_VALUE"""),"Istanbul (accompanied by spouse)")</f>
        <v/>
      </c>
      <c r="K16880">
        <f>IFERROR(__xludf.DUMMYFUNCTION("""COMPUTED_VALUE"""),1238.22)</f>
        <v/>
      </c>
    </row>
    <row r="16881">
      <c r="J16881">
        <f>IFERROR(__xludf.DUMMYFUNCTION("""COMPUTED_VALUE"""),"Prince Rupert, Vancouver")</f>
        <v/>
      </c>
      <c r="K16881">
        <f>IFERROR(__xludf.DUMMYFUNCTION("""COMPUTED_VALUE"""),1237.86)</f>
        <v/>
      </c>
    </row>
    <row r="16882">
      <c r="J16882">
        <f>IFERROR(__xludf.DUMMYFUNCTION("""COMPUTED_VALUE"""),"Waterloo, ON / Ottawa, ON")</f>
        <v/>
      </c>
      <c r="K16882">
        <f>IFERROR(__xludf.DUMMYFUNCTION("""COMPUTED_VALUE"""),1237.09)</f>
        <v/>
      </c>
    </row>
    <row r="16883">
      <c r="J16883">
        <f>IFERROR(__xludf.DUMMYFUNCTION("""COMPUTED_VALUE"""),"Vaughan and Toronto, Ontario, Canada")</f>
        <v/>
      </c>
      <c r="K16883">
        <f>IFERROR(__xludf.DUMMYFUNCTION("""COMPUTED_VALUE"""),1236.18)</f>
        <v/>
      </c>
    </row>
    <row r="16884">
      <c r="J16884">
        <f>IFERROR(__xludf.DUMMYFUNCTION("""COMPUTED_VALUE"""),"Vaudreuil-Dorion, Quebec, Canada; Repentigny, Quebec, Canada")</f>
        <v/>
      </c>
      <c r="K16884">
        <f>IFERROR(__xludf.DUMMYFUNCTION("""COMPUTED_VALUE"""),1236.08)</f>
        <v/>
      </c>
    </row>
    <row r="16885">
      <c r="J16885">
        <f>IFERROR(__xludf.DUMMYFUNCTION("""COMPUTED_VALUE"""),"Scarborough and Durham, Ontario")</f>
        <v/>
      </c>
      <c r="K16885">
        <f>IFERROR(__xludf.DUMMYFUNCTION("""COMPUTED_VALUE"""),1235.96)</f>
        <v/>
      </c>
    </row>
    <row r="16886">
      <c r="J16886">
        <f>IFERROR(__xludf.DUMMYFUNCTION("""COMPUTED_VALUE"""),"Rimouski, Rivière-du-Loup, Quebec, Canada")</f>
        <v/>
      </c>
      <c r="K16886">
        <f>IFERROR(__xludf.DUMMYFUNCTION("""COMPUTED_VALUE"""),1235.9)</f>
        <v/>
      </c>
    </row>
    <row r="16887">
      <c r="J16887">
        <f>IFERROR(__xludf.DUMMYFUNCTION("""COMPUTED_VALUE"""),"Flin Flon, Manitoba, Canada; The Pas, Manitoba, Canada")</f>
        <v/>
      </c>
      <c r="K16887">
        <f>IFERROR(__xludf.DUMMYFUNCTION("""COMPUTED_VALUE"""),1235.76)</f>
        <v/>
      </c>
    </row>
    <row r="16888">
      <c r="J16888">
        <f>IFERROR(__xludf.DUMMYFUNCTION("""COMPUTED_VALUE"""),"Sherbrooke, Quebec, Canada/ Bromont, Quebec, Canada/ Matane, Quebec, Canada/ Quebec, Quebec, Canada")</f>
        <v/>
      </c>
      <c r="K16888">
        <f>IFERROR(__xludf.DUMMYFUNCTION("""COMPUTED_VALUE"""),1235.67)</f>
        <v/>
      </c>
    </row>
    <row r="16889">
      <c r="J16889">
        <f>IFERROR(__xludf.DUMMYFUNCTION("""COMPUTED_VALUE"""),"Gander, Newfoundland and Labrador, Canada;  Montreal, Quebec, Canada;  Moncton, New Brunswick, Canada")</f>
        <v/>
      </c>
      <c r="K16889">
        <f>IFERROR(__xludf.DUMMYFUNCTION("""COMPUTED_VALUE"""),1235.51)</f>
        <v/>
      </c>
    </row>
    <row r="16890">
      <c r="J16890">
        <f>IFERROR(__xludf.DUMMYFUNCTION("""COMPUTED_VALUE"""),"Iqaluit, Nunavut, canada")</f>
        <v/>
      </c>
      <c r="K16890">
        <f>IFERROR(__xludf.DUMMYFUNCTION("""COMPUTED_VALUE"""),1235.37)</f>
        <v/>
      </c>
    </row>
    <row r="16891">
      <c r="J16891">
        <f>IFERROR(__xludf.DUMMYFUNCTION("""COMPUTED_VALUE"""),"Montreal, Québec, Toronto, Ontario")</f>
        <v/>
      </c>
      <c r="K16891">
        <f>IFERROR(__xludf.DUMMYFUNCTION("""COMPUTED_VALUE"""),1234.5)</f>
        <v/>
      </c>
    </row>
    <row r="16892">
      <c r="J16892">
        <f>IFERROR(__xludf.DUMMYFUNCTION("""COMPUTED_VALUE"""),"Calgary, Alberta, Canda")</f>
        <v/>
      </c>
      <c r="K16892">
        <f>IFERROR(__xludf.DUMMYFUNCTION("""COMPUTED_VALUE"""),1234.38)</f>
        <v/>
      </c>
    </row>
    <row r="16893">
      <c r="J16893">
        <f>IFERROR(__xludf.DUMMYFUNCTION("""COMPUTED_VALUE"""),"Marrakech - Morocco")</f>
        <v/>
      </c>
      <c r="K16893">
        <f>IFERROR(__xludf.DUMMYFUNCTION("""COMPUTED_VALUE"""),1234.34)</f>
        <v/>
      </c>
    </row>
    <row r="16894">
      <c r="J16894">
        <f>IFERROR(__xludf.DUMMYFUNCTION("""COMPUTED_VALUE"""),"Orford, Quebec (Canada)")</f>
        <v/>
      </c>
      <c r="K16894">
        <f>IFERROR(__xludf.DUMMYFUNCTION("""COMPUTED_VALUE"""),1234)</f>
        <v/>
      </c>
    </row>
    <row r="16895">
      <c r="J16895">
        <f>IFERROR(__xludf.DUMMYFUNCTION("""COMPUTED_VALUE"""),"Marystown, Newfoundland and Labrador")</f>
        <v/>
      </c>
      <c r="K16895">
        <f>IFERROR(__xludf.DUMMYFUNCTION("""COMPUTED_VALUE"""),1233.39)</f>
        <v/>
      </c>
    </row>
    <row r="16896">
      <c r="J16896">
        <f>IFERROR(__xludf.DUMMYFUNCTION("""COMPUTED_VALUE"""),"Montreal, Quebec and Windsor, Ontario")</f>
        <v/>
      </c>
      <c r="K16896">
        <f>IFERROR(__xludf.DUMMYFUNCTION("""COMPUTED_VALUE"""),1233.19)</f>
        <v/>
      </c>
    </row>
    <row r="16897">
      <c r="J16897">
        <f>IFERROR(__xludf.DUMMYFUNCTION("""COMPUTED_VALUE"""),"Campbellton, Acadian Peninsula, Moncton, Saint John and Fredericton, New Brunswick")</f>
        <v/>
      </c>
      <c r="K16897">
        <f>IFERROR(__xludf.DUMMYFUNCTION("""COMPUTED_VALUE"""),1233.13)</f>
        <v/>
      </c>
    </row>
    <row r="16898">
      <c r="J16898">
        <f>IFERROR(__xludf.DUMMYFUNCTION("""COMPUTED_VALUE"""),"Windsor, Ontario, Canada; Chatham, Ontario, Canada; Point Edward, Ontario, Canada; Sarnia, Ontario, Canada; London, Ontario, Canada; Ottawa, Ontario, Canada; Gatineau, Quebec, Canada")</f>
        <v/>
      </c>
      <c r="K16898">
        <f>IFERROR(__xludf.DUMMYFUNCTION("""COMPUTED_VALUE"""),1232.52)</f>
        <v/>
      </c>
    </row>
    <row r="16899">
      <c r="J16899">
        <f>IFERROR(__xludf.DUMMYFUNCTION("""COMPUTED_VALUE"""),"Hamilton, Waterloo and Mississauga, Ontario")</f>
        <v/>
      </c>
      <c r="K16899">
        <f>IFERROR(__xludf.DUMMYFUNCTION("""COMPUTED_VALUE"""),1232.15)</f>
        <v/>
      </c>
    </row>
    <row r="16900">
      <c r="J16900">
        <f>IFERROR(__xludf.DUMMYFUNCTION("""COMPUTED_VALUE"""),"Charlottetown, Prince Edwards Island , Canada")</f>
        <v/>
      </c>
      <c r="K16900">
        <f>IFERROR(__xludf.DUMMYFUNCTION("""COMPUTED_VALUE"""),1231.41)</f>
        <v/>
      </c>
    </row>
    <row r="16901">
      <c r="J16901">
        <f>IFERROR(__xludf.DUMMYFUNCTION("""COMPUTED_VALUE"""),"Peterborough, Ontario, Canada; Oshawa, Ontario, Canada; Belleville, Ontario, Canada; Kingston, Ontario, Canada")</f>
        <v/>
      </c>
      <c r="K16901">
        <f>IFERROR(__xludf.DUMMYFUNCTION("""COMPUTED_VALUE"""),1230.69)</f>
        <v/>
      </c>
    </row>
    <row r="16902">
      <c r="J16902">
        <f>IFERROR(__xludf.DUMMYFUNCTION("""COMPUTED_VALUE"""),"Iles-de-la-Madeleine, Montreal and Sherbrooke, Quebec, Canada and Fredericton, New Brunswick, Canada")</f>
        <v/>
      </c>
      <c r="K16902">
        <f>IFERROR(__xludf.DUMMYFUNCTION("""COMPUTED_VALUE"""),1230.42)</f>
        <v/>
      </c>
    </row>
    <row r="16903">
      <c r="J16903">
        <f>IFERROR(__xludf.DUMMYFUNCTION("""COMPUTED_VALUE"""),"Halifax and Shelburne, Nova Scotia")</f>
        <v/>
      </c>
      <c r="K16903">
        <f>IFERROR(__xludf.DUMMYFUNCTION("""COMPUTED_VALUE"""),1230.41)</f>
        <v/>
      </c>
    </row>
    <row r="16904">
      <c r="J16904">
        <f>IFERROR(__xludf.DUMMYFUNCTION("""COMPUTED_VALUE"""),"Toronto, Ontario / Markham, Ontario")</f>
        <v/>
      </c>
      <c r="K16904">
        <f>IFERROR(__xludf.DUMMYFUNCTION("""COMPUTED_VALUE"""),1229.51)</f>
        <v/>
      </c>
    </row>
    <row r="16905">
      <c r="J16905">
        <f>IFERROR(__xludf.DUMMYFUNCTION("""COMPUTED_VALUE"""),"Grand Falls, New Brunswick")</f>
        <v/>
      </c>
      <c r="K16905">
        <f>IFERROR(__xludf.DUMMYFUNCTION("""COMPUTED_VALUE"""),1228.67)</f>
        <v/>
      </c>
    </row>
    <row r="16906">
      <c r="J16906">
        <f>IFERROR(__xludf.DUMMYFUNCTION("""COMPUTED_VALUE"""),"St. George, St. Croix and St. Andrews, New Brunswick")</f>
        <v/>
      </c>
      <c r="K16906">
        <f>IFERROR(__xludf.DUMMYFUNCTION("""COMPUTED_VALUE"""),1228.28)</f>
        <v/>
      </c>
    </row>
    <row r="16907">
      <c r="J16907">
        <f>IFERROR(__xludf.DUMMYFUNCTION("""COMPUTED_VALUE"""),"Fredericton, NB; St. John, NB")</f>
        <v/>
      </c>
      <c r="K16907">
        <f>IFERROR(__xludf.DUMMYFUNCTION("""COMPUTED_VALUE"""),1228)</f>
        <v/>
      </c>
    </row>
    <row r="16908">
      <c r="J16908">
        <f>IFERROR(__xludf.DUMMYFUNCTION("""COMPUTED_VALUE"""),"Halifax, Nova Scotia - Charlottetown, PEI - Moncton, New Brunswick")</f>
        <v/>
      </c>
      <c r="K16908">
        <f>IFERROR(__xludf.DUMMYFUNCTION("""COMPUTED_VALUE"""),1228)</f>
        <v/>
      </c>
    </row>
    <row r="16909">
      <c r="J16909">
        <f>IFERROR(__xludf.DUMMYFUNCTION("""COMPUTED_VALUE"""),"Sarajevo, BiH and Pristina, Kosovo")</f>
        <v/>
      </c>
      <c r="K16909">
        <f>IFERROR(__xludf.DUMMYFUNCTION("""COMPUTED_VALUE"""),1227.94)</f>
        <v/>
      </c>
    </row>
    <row r="16910">
      <c r="J16910">
        <f>IFERROR(__xludf.DUMMYFUNCTION("""COMPUTED_VALUE"""),"Toronto, Ontario / Waterloo, Ontario, Canada")</f>
        <v/>
      </c>
      <c r="K16910">
        <f>IFERROR(__xludf.DUMMYFUNCTION("""COMPUTED_VALUE"""),1227.8)</f>
        <v/>
      </c>
    </row>
    <row r="16911">
      <c r="J16911">
        <f>IFERROR(__xludf.DUMMYFUNCTION("""COMPUTED_VALUE"""),"Brantford, Ontario")</f>
        <v/>
      </c>
      <c r="K16911">
        <f>IFERROR(__xludf.DUMMYFUNCTION("""COMPUTED_VALUE"""),1227.66)</f>
        <v/>
      </c>
    </row>
    <row r="16912">
      <c r="J16912">
        <f>IFERROR(__xludf.DUMMYFUNCTION("""COMPUTED_VALUE"""),"Riga, Latvia/Kiev, Ukraine")</f>
        <v/>
      </c>
      <c r="K16912">
        <f>IFERROR(__xludf.DUMMYFUNCTION("""COMPUTED_VALUE"""),1227.46)</f>
        <v/>
      </c>
    </row>
    <row r="16913">
      <c r="J16913">
        <f>IFERROR(__xludf.DUMMYFUNCTION("""COMPUTED_VALUE"""),"Istanbul (accompanied by spouse) Trip by car")</f>
        <v/>
      </c>
      <c r="K16913">
        <f>IFERROR(__xludf.DUMMYFUNCTION("""COMPUTED_VALUE"""),1226.72)</f>
        <v/>
      </c>
    </row>
    <row r="16914">
      <c r="J16914">
        <f>IFERROR(__xludf.DUMMYFUNCTION("""COMPUTED_VALUE"""),"Bled, Ljubljana, Slovenia")</f>
        <v/>
      </c>
      <c r="K16914">
        <f>IFERROR(__xludf.DUMMYFUNCTION("""COMPUTED_VALUE"""),1226.52)</f>
        <v/>
      </c>
    </row>
    <row r="16915">
      <c r="J16915">
        <f>IFERROR(__xludf.DUMMYFUNCTION("""COMPUTED_VALUE"""),"Mississauga, Ontario, Canada; Toronto, Ontario, Canada; Ottawa, Ontario, Canada; Gatineau, Quebec, Canada")</f>
        <v/>
      </c>
      <c r="K16915">
        <f>IFERROR(__xludf.DUMMYFUNCTION("""COMPUTED_VALUE"""),1226.27)</f>
        <v/>
      </c>
    </row>
    <row r="16916">
      <c r="J16916">
        <f>IFERROR(__xludf.DUMMYFUNCTION("""COMPUTED_VALUE"""),"Vancouver- Victoria- Campbell River- Vancouver")</f>
        <v/>
      </c>
      <c r="K16916">
        <f>IFERROR(__xludf.DUMMYFUNCTION("""COMPUTED_VALUE"""),1225.96)</f>
        <v/>
      </c>
    </row>
    <row r="16917">
      <c r="J16917">
        <f>IFERROR(__xludf.DUMMYFUNCTION("""COMPUTED_VALUE"""),"Halifax, Nova Scotia &amp; Montreal, Quebec")</f>
        <v/>
      </c>
      <c r="K16917">
        <f>IFERROR(__xludf.DUMMYFUNCTION("""COMPUTED_VALUE"""),1225.87)</f>
        <v/>
      </c>
    </row>
    <row r="16918">
      <c r="J16918">
        <f>IFERROR(__xludf.DUMMYFUNCTION("""COMPUTED_VALUE"""),"Herndon, VA, USA")</f>
        <v/>
      </c>
      <c r="K16918">
        <f>IFERROR(__xludf.DUMMYFUNCTION("""COMPUTED_VALUE"""),1225.63)</f>
        <v/>
      </c>
    </row>
    <row r="16919">
      <c r="J16919">
        <f>IFERROR(__xludf.DUMMYFUNCTION("""COMPUTED_VALUE"""),"Cambridge-Woodstock-
Chatham-
Toronto")</f>
        <v/>
      </c>
      <c r="K16919">
        <f>IFERROR(__xludf.DUMMYFUNCTION("""COMPUTED_VALUE"""),1225.52)</f>
        <v/>
      </c>
    </row>
    <row r="16920">
      <c r="J16920">
        <f>IFERROR(__xludf.DUMMYFUNCTION("""COMPUTED_VALUE"""),"Toronto, ON / Waterloo, ON / Kitchener, ON")</f>
        <v/>
      </c>
      <c r="K16920">
        <f>IFERROR(__xludf.DUMMYFUNCTION("""COMPUTED_VALUE"""),1225.51)</f>
        <v/>
      </c>
    </row>
    <row r="16921">
      <c r="J16921">
        <f>IFERROR(__xludf.DUMMYFUNCTION("""COMPUTED_VALUE"""),"Ottawa (Ontario) CanadaNorth Gower (Ontario) Canada")</f>
        <v/>
      </c>
      <c r="K16921">
        <f>IFERROR(__xludf.DUMMYFUNCTION("""COMPUTED_VALUE"""),1225.31)</f>
        <v/>
      </c>
    </row>
    <row r="16922">
      <c r="J16922">
        <f>IFERROR(__xludf.DUMMYFUNCTION("""COMPUTED_VALUE"""),"Guelph (Ontario) Canada; London (Ontario) Canada")</f>
        <v/>
      </c>
      <c r="K16922">
        <f>IFERROR(__xludf.DUMMYFUNCTION("""COMPUTED_VALUE"""),1225.19)</f>
        <v/>
      </c>
    </row>
    <row r="16923">
      <c r="J16923">
        <f>IFERROR(__xludf.DUMMYFUNCTION("""COMPUTED_VALUE"""),"Montreal, Quebec, Canada /
Toronto, Ontario, Canada")</f>
        <v/>
      </c>
      <c r="K16923">
        <f>IFERROR(__xludf.DUMMYFUNCTION("""COMPUTED_VALUE"""),1225.06)</f>
        <v/>
      </c>
    </row>
    <row r="16924">
      <c r="J16924">
        <f>IFERROR(__xludf.DUMMYFUNCTION("""COMPUTED_VALUE"""),"Ottawa - Correctionnal Learning Development Centre")</f>
        <v/>
      </c>
      <c r="K16924">
        <f>IFERROR(__xludf.DUMMYFUNCTION("""COMPUTED_VALUE"""),1224.97)</f>
        <v/>
      </c>
    </row>
    <row r="16925">
      <c r="J16925">
        <f>IFERROR(__xludf.DUMMYFUNCTION("""COMPUTED_VALUE"""),"Charlotte, North Carolina, United States")</f>
        <v/>
      </c>
      <c r="K16925">
        <f>IFERROR(__xludf.DUMMYFUNCTION("""COMPUTED_VALUE"""),1224.76)</f>
        <v/>
      </c>
    </row>
    <row r="16926">
      <c r="J16926">
        <f>IFERROR(__xludf.DUMMYFUNCTION("""COMPUTED_VALUE"""),"Listowel, Ontario, Canada; Londont Ontario, Canada; Woodstock, Ontario, Canada")</f>
        <v/>
      </c>
      <c r="K16926">
        <f>IFERROR(__xludf.DUMMYFUNCTION("""COMPUTED_VALUE"""),1224.65)</f>
        <v/>
      </c>
    </row>
    <row r="16927">
      <c r="J16927">
        <f>IFERROR(__xludf.DUMMYFUNCTION("""COMPUTED_VALUE"""),"Thunder Bay, ON Winnipeg, MB")</f>
        <v/>
      </c>
      <c r="K16927">
        <f>IFERROR(__xludf.DUMMYFUNCTION("""COMPUTED_VALUE"""),1224.27)</f>
        <v/>
      </c>
    </row>
    <row r="16928">
      <c r="J16928">
        <f>IFERROR(__xludf.DUMMYFUNCTION("""COMPUTED_VALUE"""),"Vancouver, British Columbia, Canada/ Kelowna, British Columbia, Canada")</f>
        <v/>
      </c>
      <c r="K16928">
        <f>IFERROR(__xludf.DUMMYFUNCTION("""COMPUTED_VALUE"""),1223.98)</f>
        <v/>
      </c>
    </row>
    <row r="16929">
      <c r="J16929">
        <f>IFERROR(__xludf.DUMMYFUNCTION("""COMPUTED_VALUE"""),"Sydney, AU")</f>
        <v/>
      </c>
      <c r="K16929">
        <f>IFERROR(__xludf.DUMMYFUNCTION("""COMPUTED_VALUE"""),1223.83)</f>
        <v/>
      </c>
    </row>
    <row r="16930">
      <c r="J16930">
        <f>IFERROR(__xludf.DUMMYFUNCTION("""COMPUTED_VALUE"""),"Ste-Foy, QC.")</f>
        <v/>
      </c>
      <c r="K16930">
        <f>IFERROR(__xludf.DUMMYFUNCTION("""COMPUTED_VALUE"""),1223.68)</f>
        <v/>
      </c>
    </row>
    <row r="16931">
      <c r="J16931">
        <f>IFERROR(__xludf.DUMMYFUNCTION("""COMPUTED_VALUE"""),"Amherst, New Brunswick")</f>
        <v/>
      </c>
      <c r="K16931">
        <f>IFERROR(__xludf.DUMMYFUNCTION("""COMPUTED_VALUE"""),1222.84)</f>
        <v/>
      </c>
    </row>
    <row r="16932">
      <c r="J16932">
        <f>IFERROR(__xludf.DUMMYFUNCTION("""COMPUTED_VALUE"""),"Cobourg, ON")</f>
        <v/>
      </c>
      <c r="K16932">
        <f>IFERROR(__xludf.DUMMYFUNCTION("""COMPUTED_VALUE"""),1221.83)</f>
        <v/>
      </c>
    </row>
    <row r="16933">
      <c r="J16933">
        <f>IFERROR(__xludf.DUMMYFUNCTION("""COMPUTED_VALUE"""),"Laval, QC; Jonquière, QC; Québec, QC")</f>
        <v/>
      </c>
      <c r="K16933">
        <f>IFERROR(__xludf.DUMMYFUNCTION("""COMPUTED_VALUE"""),1221.23)</f>
        <v/>
      </c>
    </row>
    <row r="16934">
      <c r="J16934">
        <f>IFERROR(__xludf.DUMMYFUNCTION("""COMPUTED_VALUE"""),"Montreal, QC/Montréal, QC")</f>
        <v/>
      </c>
      <c r="K16934">
        <f>IFERROR(__xludf.DUMMYFUNCTION("""COMPUTED_VALUE"""),1221)</f>
        <v/>
      </c>
    </row>
    <row r="16935">
      <c r="J16935">
        <f>IFERROR(__xludf.DUMMYFUNCTION("""COMPUTED_VALUE"""),"Toronto, Ontario,  Canada")</f>
        <v/>
      </c>
      <c r="K16935">
        <f>IFERROR(__xludf.DUMMYFUNCTION("""COMPUTED_VALUE"""),1220.95)</f>
        <v/>
      </c>
    </row>
    <row r="16936">
      <c r="J16936">
        <f>IFERROR(__xludf.DUMMYFUNCTION("""COMPUTED_VALUE"""),"Vaughan, Ontario, Canada; Longueuil, Quebec, Canada; Halifax, Nova Scotia, Canada")</f>
        <v/>
      </c>
      <c r="K16936">
        <f>IFERROR(__xludf.DUMMYFUNCTION("""COMPUTED_VALUE"""),1220.95)</f>
        <v/>
      </c>
    </row>
    <row r="16937">
      <c r="J16937">
        <f>IFERROR(__xludf.DUMMYFUNCTION("""COMPUTED_VALUE"""),"North Sydney, Nova Scotia, Canada; Sydney, Nova Scotia, Canada; Glace Bay, Nova Scotia, Canada")</f>
        <v/>
      </c>
      <c r="K16937">
        <f>IFERROR(__xludf.DUMMYFUNCTION("""COMPUTED_VALUE"""),1220.51)</f>
        <v/>
      </c>
    </row>
    <row r="16938">
      <c r="J16938">
        <f>IFERROR(__xludf.DUMMYFUNCTION("""COMPUTED_VALUE"""),"Saint-Johns New Brunswick")</f>
        <v/>
      </c>
      <c r="K16938">
        <f>IFERROR(__xludf.DUMMYFUNCTION("""COMPUTED_VALUE"""),1220.42)</f>
        <v/>
      </c>
    </row>
    <row r="16939">
      <c r="J16939">
        <f>IFERROR(__xludf.DUMMYFUNCTION("""COMPUTED_VALUE"""),"Montréal, Quebec, Canada; Sherbrooke, Quebec, Canada; Québec, Quebec, Canada")</f>
        <v/>
      </c>
      <c r="K16939">
        <f>IFERROR(__xludf.DUMMYFUNCTION("""COMPUTED_VALUE"""),1219.88)</f>
        <v/>
      </c>
    </row>
    <row r="16940">
      <c r="J16940">
        <f>IFERROR(__xludf.DUMMYFUNCTION("""COMPUTED_VALUE"""),"Halifax(Nova Scotia), Canada")</f>
        <v/>
      </c>
      <c r="K16940">
        <f>IFERROR(__xludf.DUMMYFUNCTION("""COMPUTED_VALUE"""),1219.08)</f>
        <v/>
      </c>
    </row>
    <row r="16941">
      <c r="J16941">
        <f>IFERROR(__xludf.DUMMYFUNCTION("""COMPUTED_VALUE"""),"Waterloo, ON, London, ON")</f>
        <v/>
      </c>
      <c r="K16941">
        <f>IFERROR(__xludf.DUMMYFUNCTION("""COMPUTED_VALUE"""),1219.04)</f>
        <v/>
      </c>
    </row>
    <row r="16942">
      <c r="J16942">
        <f>IFERROR(__xludf.DUMMYFUNCTION("""COMPUTED_VALUE"""),"Saint-Quentin/Edmundston/Saint-Basile/Grand-Sault, New Brunswick and Dégelis, Quebec")</f>
        <v/>
      </c>
      <c r="K16942">
        <f>IFERROR(__xludf.DUMMYFUNCTION("""COMPUTED_VALUE"""),1218.72)</f>
        <v/>
      </c>
    </row>
    <row r="16943">
      <c r="J16943">
        <f>IFERROR(__xludf.DUMMYFUNCTION("""COMPUTED_VALUE"""),"Brussels, Belgium; Dublin, Ireland")</f>
        <v/>
      </c>
      <c r="K16943">
        <f>IFERROR(__xludf.DUMMYFUNCTION("""COMPUTED_VALUE"""),1218.64)</f>
        <v/>
      </c>
    </row>
    <row r="16944">
      <c r="J16944">
        <f>IFERROR(__xludf.DUMMYFUNCTION("""COMPUTED_VALUE"""),"Timmins, Ontario and Cochrane, Ontario")</f>
        <v/>
      </c>
      <c r="K16944">
        <f>IFERROR(__xludf.DUMMYFUNCTION("""COMPUTED_VALUE"""),1218.56)</f>
        <v/>
      </c>
    </row>
    <row r="16945">
      <c r="J16945">
        <f>IFERROR(__xludf.DUMMYFUNCTION("""COMPUTED_VALUE"""),"Bathurst, New Brunswick, Canada; Fredericton, New Brunswick, Canada; Moncton, New Brunswick, Canada")</f>
        <v/>
      </c>
      <c r="K16945">
        <f>IFERROR(__xludf.DUMMYFUNCTION("""COMPUTED_VALUE"""),1218.28)</f>
        <v/>
      </c>
    </row>
    <row r="16946">
      <c r="J16946">
        <f>IFERROR(__xludf.DUMMYFUNCTION("""COMPUTED_VALUE"""),"Winnipeg, MB; Saskatoon, SK.")</f>
        <v/>
      </c>
      <c r="K16946">
        <f>IFERROR(__xludf.DUMMYFUNCTION("""COMPUTED_VALUE"""),1218.26)</f>
        <v/>
      </c>
    </row>
    <row r="16947">
      <c r="J16947">
        <f>IFERROR(__xludf.DUMMYFUNCTION("""COMPUTED_VALUE"""),"Toronto, ON / Waterloo, O")</f>
        <v/>
      </c>
      <c r="K16947">
        <f>IFERROR(__xludf.DUMMYFUNCTION("""COMPUTED_VALUE"""),1218.02)</f>
        <v/>
      </c>
    </row>
    <row r="16948">
      <c r="J16948">
        <f>IFERROR(__xludf.DUMMYFUNCTION("""COMPUTED_VALUE"""),"Grande Prairie, AB and High Prairie, AB")</f>
        <v/>
      </c>
      <c r="K16948">
        <f>IFERROR(__xludf.DUMMYFUNCTION("""COMPUTED_VALUE"""),1217.98)</f>
        <v/>
      </c>
    </row>
    <row r="16949">
      <c r="J16949">
        <f>IFERROR(__xludf.DUMMYFUNCTION("""COMPUTED_VALUE"""),"Montreal, Quebec, Canada; Markham, Ontario, Canada")</f>
        <v/>
      </c>
      <c r="K16949">
        <f>IFERROR(__xludf.DUMMYFUNCTION("""COMPUTED_VALUE"""),1217.8)</f>
        <v/>
      </c>
    </row>
    <row r="16950">
      <c r="J16950">
        <f>IFERROR(__xludf.DUMMYFUNCTION("""COMPUTED_VALUE"""),"Montréal, Quebec, Canada; Drummondville, Quebec, Canada; Sherbrooke, Quebec, Canada")</f>
        <v/>
      </c>
      <c r="K16950">
        <f>IFERROR(__xludf.DUMMYFUNCTION("""COMPUTED_VALUE"""),1217.56)</f>
        <v/>
      </c>
    </row>
    <row r="16951">
      <c r="J16951">
        <f>IFERROR(__xludf.DUMMYFUNCTION("""COMPUTED_VALUE"""),"Moncton, Nova Scotia")</f>
        <v/>
      </c>
      <c r="K16951">
        <f>IFERROR(__xludf.DUMMYFUNCTION("""COMPUTED_VALUE"""),1217.52)</f>
        <v/>
      </c>
    </row>
    <row r="16952">
      <c r="J16952">
        <f>IFERROR(__xludf.DUMMYFUNCTION("""COMPUTED_VALUE"""),"Victoriaville, Québec")</f>
        <v/>
      </c>
      <c r="K16952">
        <f>IFERROR(__xludf.DUMMYFUNCTION("""COMPUTED_VALUE"""),1217.48)</f>
        <v/>
      </c>
    </row>
    <row r="16953">
      <c r="J16953">
        <f>IFERROR(__xludf.DUMMYFUNCTION("""COMPUTED_VALUE"""),"Gaspé, Quebec, Canada; Jonquière, Quebec, Canada")</f>
        <v/>
      </c>
      <c r="K16953">
        <f>IFERROR(__xludf.DUMMYFUNCTION("""COMPUTED_VALUE"""),1217)</f>
        <v/>
      </c>
    </row>
    <row r="16954">
      <c r="J16954">
        <f>IFERROR(__xludf.DUMMYFUNCTION("""COMPUTED_VALUE"""),"Ottawa, ON to Winnipeg, MB and Winnipeg, MB to Ottawa, ON")</f>
        <v/>
      </c>
      <c r="K16954">
        <f>IFERROR(__xludf.DUMMYFUNCTION("""COMPUTED_VALUE"""),1216.31)</f>
        <v/>
      </c>
    </row>
    <row r="16955">
      <c r="J16955">
        <f>IFERROR(__xludf.DUMMYFUNCTION("""COMPUTED_VALUE"""),"Ottawa - Moncton - Ottawa")</f>
        <v/>
      </c>
      <c r="K16955">
        <f>IFERROR(__xludf.DUMMYFUNCTION("""COMPUTED_VALUE"""),1215.71)</f>
        <v/>
      </c>
    </row>
    <row r="16956">
      <c r="J16956">
        <f>IFERROR(__xludf.DUMMYFUNCTION("""COMPUTED_VALUE"""),"Hamilton, On, Waterloo, On")</f>
        <v/>
      </c>
      <c r="K16956">
        <f>IFERROR(__xludf.DUMMYFUNCTION("""COMPUTED_VALUE"""),1215.46)</f>
        <v/>
      </c>
    </row>
    <row r="16957">
      <c r="J16957">
        <f>IFERROR(__xludf.DUMMYFUNCTION("""COMPUTED_VALUE"""),"Québec City, Boucherville, St-Hyacinthe, Drummondville, Sherbrooke and Shawinigan, Québec")</f>
        <v/>
      </c>
      <c r="K16957">
        <f>IFERROR(__xludf.DUMMYFUNCTION("""COMPUTED_VALUE"""),1215.19)</f>
        <v/>
      </c>
    </row>
    <row r="16958">
      <c r="J16958">
        <f>IFERROR(__xludf.DUMMYFUNCTION("""COMPUTED_VALUE"""),"British Colombia and Alberta")</f>
        <v/>
      </c>
      <c r="K16958">
        <f>IFERROR(__xludf.DUMMYFUNCTION("""COMPUTED_VALUE"""),1214.98)</f>
        <v/>
      </c>
    </row>
    <row r="16959">
      <c r="J16959">
        <f>IFERROR(__xludf.DUMMYFUNCTION("""COMPUTED_VALUE"""),"Ottawa - Lévis - Gaspé - Lévis - Montréal - Ottawa")</f>
        <v/>
      </c>
      <c r="K16959">
        <f>IFERROR(__xludf.DUMMYFUNCTION("""COMPUTED_VALUE"""),1214.92)</f>
        <v/>
      </c>
    </row>
    <row r="16960">
      <c r="J16960">
        <f>IFERROR(__xludf.DUMMYFUNCTION("""COMPUTED_VALUE"""),"Summerside, PEI, Fredericton, NB, Moncton, NB")</f>
        <v/>
      </c>
      <c r="K16960">
        <f>IFERROR(__xludf.DUMMYFUNCTION("""COMPUTED_VALUE"""),1214.55)</f>
        <v/>
      </c>
    </row>
    <row r="16961">
      <c r="J16961">
        <f>IFERROR(__xludf.DUMMYFUNCTION("""COMPUTED_VALUE"""),"Guelph, ON - Toronto, ON")</f>
        <v/>
      </c>
      <c r="K16961">
        <f>IFERROR(__xludf.DUMMYFUNCTION("""COMPUTED_VALUE"""),1214.1)</f>
        <v/>
      </c>
    </row>
    <row r="16962">
      <c r="J16962">
        <f>IFERROR(__xludf.DUMMYFUNCTION("""COMPUTED_VALUE"""),"Vancouver, British Columbia, Canada; San Francisco, United States")</f>
        <v/>
      </c>
      <c r="K16962">
        <f>IFERROR(__xludf.DUMMYFUNCTION("""COMPUTED_VALUE"""),1213.90999999999)</f>
        <v/>
      </c>
    </row>
    <row r="16963">
      <c r="J16963">
        <f>IFERROR(__xludf.DUMMYFUNCTION("""COMPUTED_VALUE"""),"Yellowknife, Northwest Territories,Canada")</f>
        <v/>
      </c>
      <c r="K16963">
        <f>IFERROR(__xludf.DUMMYFUNCTION("""COMPUTED_VALUE"""),1213.74)</f>
        <v/>
      </c>
    </row>
    <row r="16964">
      <c r="J16964">
        <f>IFERROR(__xludf.DUMMYFUNCTION("""COMPUTED_VALUE"""),"Québec, Canada")</f>
        <v/>
      </c>
      <c r="K16964">
        <f>IFERROR(__xludf.DUMMYFUNCTION("""COMPUTED_VALUE"""),1213.15)</f>
        <v/>
      </c>
    </row>
    <row r="16965">
      <c r="J16965">
        <f>IFERROR(__xludf.DUMMYFUNCTION("""COMPUTED_VALUE"""),"Waterloo and Toronto, Ontario, Canada")</f>
        <v/>
      </c>
      <c r="K16965">
        <f>IFERROR(__xludf.DUMMYFUNCTION("""COMPUTED_VALUE"""),1212.53)</f>
        <v/>
      </c>
    </row>
    <row r="16966">
      <c r="J16966">
        <f>IFERROR(__xludf.DUMMYFUNCTION("""COMPUTED_VALUE"""),"Sherbrooke, Quebec, Canada / Matane,  Quebec, Canada")</f>
        <v/>
      </c>
      <c r="K16966">
        <f>IFERROR(__xludf.DUMMYFUNCTION("""COMPUTED_VALUE"""),1212.49)</f>
        <v/>
      </c>
    </row>
    <row r="16967">
      <c r="J16967">
        <f>IFERROR(__xludf.DUMMYFUNCTION("""COMPUTED_VALUE"""),"Toronto, Ontario / Quebec city, Quebec, Canada")</f>
        <v/>
      </c>
      <c r="K16967">
        <f>IFERROR(__xludf.DUMMYFUNCTION("""COMPUTED_VALUE"""),1212.41)</f>
        <v/>
      </c>
    </row>
    <row r="16968">
      <c r="J16968">
        <f>IFERROR(__xludf.DUMMYFUNCTION("""COMPUTED_VALUE"""),"Chéticamp, Nova Scotia, Canada")</f>
        <v/>
      </c>
      <c r="K16968">
        <f>IFERROR(__xludf.DUMMYFUNCTION("""COMPUTED_VALUE"""),1212.38)</f>
        <v/>
      </c>
    </row>
    <row r="16969">
      <c r="J16969">
        <f>IFERROR(__xludf.DUMMYFUNCTION("""COMPUTED_VALUE"""),"Kuujiaq, Quebec, Canada")</f>
        <v/>
      </c>
      <c r="K16969">
        <f>IFERROR(__xludf.DUMMYFUNCTION("""COMPUTED_VALUE"""),1212.23)</f>
        <v/>
      </c>
    </row>
    <row r="16970">
      <c r="J16970">
        <f>IFERROR(__xludf.DUMMYFUNCTION("""COMPUTED_VALUE"""),"Gaspé / Alma")</f>
        <v/>
      </c>
      <c r="K16970">
        <f>IFERROR(__xludf.DUMMYFUNCTION("""COMPUTED_VALUE"""),1211.81)</f>
        <v/>
      </c>
    </row>
    <row r="16971">
      <c r="J16971">
        <f>IFERROR(__xludf.DUMMYFUNCTION("""COMPUTED_VALUE"""),"Calgary, Alberta (Note: flight to Calgary was on the Challenger, return flight to Ottawa on a commercial carrier)")</f>
        <v/>
      </c>
      <c r="K16971">
        <f>IFERROR(__xludf.DUMMYFUNCTION("""COMPUTED_VALUE"""),1211.48)</f>
        <v/>
      </c>
    </row>
    <row r="16972">
      <c r="J16972">
        <f>IFERROR(__xludf.DUMMYFUNCTION("""COMPUTED_VALUE"""),"Vaudreuil, Quebec, Canada")</f>
        <v/>
      </c>
      <c r="K16972">
        <f>IFERROR(__xludf.DUMMYFUNCTION("""COMPUTED_VALUE"""),1210.73)</f>
        <v/>
      </c>
    </row>
    <row r="16973">
      <c r="J16973">
        <f>IFERROR(__xludf.DUMMYFUNCTION("""COMPUTED_VALUE"""),"Montreal, Boucherville, QC, Halifax, NS")</f>
        <v/>
      </c>
      <c r="K16973">
        <f>IFERROR(__xludf.DUMMYFUNCTION("""COMPUTED_VALUE"""),1210.44)</f>
        <v/>
      </c>
    </row>
    <row r="16974">
      <c r="J16974">
        <f>IFERROR(__xludf.DUMMYFUNCTION("""COMPUTED_VALUE"""),"Thetford Mines, Quebec, Canada; Lévis, Quebec, Canada")</f>
        <v/>
      </c>
      <c r="K16974">
        <f>IFERROR(__xludf.DUMMYFUNCTION("""COMPUTED_VALUE"""),1210.4)</f>
        <v/>
      </c>
    </row>
    <row r="16975">
      <c r="J16975">
        <f>IFERROR(__xludf.DUMMYFUNCTION("""COMPUTED_VALUE"""),"Saint-Romuald, Quebec, Canada; Québec, Quebec, Canada")</f>
        <v/>
      </c>
      <c r="K16975">
        <f>IFERROR(__xludf.DUMMYFUNCTION("""COMPUTED_VALUE"""),1210.22)</f>
        <v/>
      </c>
    </row>
    <row r="16976">
      <c r="J16976">
        <f>IFERROR(__xludf.DUMMYFUNCTION("""COMPUTED_VALUE"""),"Gaspésie, QC")</f>
        <v/>
      </c>
      <c r="K16976">
        <f>IFERROR(__xludf.DUMMYFUNCTION("""COMPUTED_VALUE"""),1210.18)</f>
        <v/>
      </c>
    </row>
    <row r="16977">
      <c r="J16977">
        <f>IFERROR(__xludf.DUMMYFUNCTION("""COMPUTED_VALUE"""),"Bouctouche and Miramichi, New Brunswick")</f>
        <v/>
      </c>
      <c r="K16977">
        <f>IFERROR(__xludf.DUMMYFUNCTION("""COMPUTED_VALUE"""),1209.64)</f>
        <v/>
      </c>
    </row>
    <row r="16978">
      <c r="J16978">
        <f>IFERROR(__xludf.DUMMYFUNCTION("""COMPUTED_VALUE"""),"Toronto, Ontario, Canada; Port Elgin, Ontario, Canada")</f>
        <v/>
      </c>
      <c r="K16978">
        <f>IFERROR(__xludf.DUMMYFUNCTION("""COMPUTED_VALUE"""),1209.46)</f>
        <v/>
      </c>
    </row>
    <row r="16979">
      <c r="J16979">
        <f>IFERROR(__xludf.DUMMYFUNCTION("""COMPUTED_VALUE"""),"Scarborough, ON / Picton, ON /
Toronto, ON / Cambridge, ON /
Willowdale, ON / Cambridge,
ON / Mississauga, ON")</f>
        <v/>
      </c>
      <c r="K16979">
        <f>IFERROR(__xludf.DUMMYFUNCTION("""COMPUTED_VALUE"""),1208.6)</f>
        <v/>
      </c>
    </row>
    <row r="16980">
      <c r="J16980">
        <f>IFERROR(__xludf.DUMMYFUNCTION("""COMPUTED_VALUE"""),"Mexico and Guatemala")</f>
        <v/>
      </c>
      <c r="K16980">
        <f>IFERROR(__xludf.DUMMYFUNCTION("""COMPUTED_VALUE"""),1207.71)</f>
        <v/>
      </c>
    </row>
    <row r="16981">
      <c r="J16981">
        <f>IFERROR(__xludf.DUMMYFUNCTION("""COMPUTED_VALUE"""),"Norfolk, VA &amp; Minneapolis, MN")</f>
        <v/>
      </c>
      <c r="K16981">
        <f>IFERROR(__xludf.DUMMYFUNCTION("""COMPUTED_VALUE"""),1207.02)</f>
        <v/>
      </c>
    </row>
    <row r="16982">
      <c r="J16982">
        <f>IFERROR(__xludf.DUMMYFUNCTION("""COMPUTED_VALUE"""),"Baie-Comeau et Forestville")</f>
        <v/>
      </c>
      <c r="K16982">
        <f>IFERROR(__xludf.DUMMYFUNCTION("""COMPUTED_VALUE"""),1206.69)</f>
        <v/>
      </c>
    </row>
    <row r="16983">
      <c r="J16983">
        <f>IFERROR(__xludf.DUMMYFUNCTION("""COMPUTED_VALUE"""),"Alexandria (Virginia) United States")</f>
        <v/>
      </c>
      <c r="K16983">
        <f>IFERROR(__xludf.DUMMYFUNCTION("""COMPUTED_VALUE"""),1206.64)</f>
        <v/>
      </c>
    </row>
    <row r="16984">
      <c r="J16984">
        <f>IFERROR(__xludf.DUMMYFUNCTION("""COMPUTED_VALUE"""),"Mont Tremblant, Qc")</f>
        <v/>
      </c>
      <c r="K16984">
        <f>IFERROR(__xludf.DUMMYFUNCTION("""COMPUTED_VALUE"""),1206.45)</f>
        <v/>
      </c>
    </row>
    <row r="16985">
      <c r="J16985">
        <f>IFERROR(__xludf.DUMMYFUNCTION("""COMPUTED_VALUE"""),"San Pedro Sula, Honduras")</f>
        <v/>
      </c>
      <c r="K16985">
        <f>IFERROR(__xludf.DUMMYFUNCTION("""COMPUTED_VALUE"""),1206.16)</f>
        <v/>
      </c>
    </row>
    <row r="16986">
      <c r="J16986">
        <f>IFERROR(__xludf.DUMMYFUNCTION("""COMPUTED_VALUE"""),"ST Catharines, On")</f>
        <v/>
      </c>
      <c r="K16986">
        <f>IFERROR(__xludf.DUMMYFUNCTION("""COMPUTED_VALUE"""),1206.07)</f>
        <v/>
      </c>
    </row>
    <row r="16987">
      <c r="J16987">
        <f>IFERROR(__xludf.DUMMYFUNCTION("""COMPUTED_VALUE"""),"Guelph, Ontario   London, Ontario")</f>
        <v/>
      </c>
      <c r="K16987">
        <f>IFERROR(__xludf.DUMMYFUNCTION("""COMPUTED_VALUE"""),1205.96)</f>
        <v/>
      </c>
    </row>
    <row r="16988">
      <c r="J16988">
        <f>IFERROR(__xludf.DUMMYFUNCTION("""COMPUTED_VALUE"""),"Edmonton, AB.")</f>
        <v/>
      </c>
      <c r="K16988">
        <f>IFERROR(__xludf.DUMMYFUNCTION("""COMPUTED_VALUE"""),1205.46)</f>
        <v/>
      </c>
    </row>
    <row r="16989">
      <c r="J16989">
        <f>IFERROR(__xludf.DUMMYFUNCTION("""COMPUTED_VALUE"""),"Rivière-du-Loup, Quebec, Canada; Montréal, Quebec, Canada")</f>
        <v/>
      </c>
      <c r="K16989">
        <f>IFERROR(__xludf.DUMMYFUNCTION("""COMPUTED_VALUE"""),1205.42)</f>
        <v/>
      </c>
    </row>
    <row r="16990">
      <c r="J16990">
        <f>IFERROR(__xludf.DUMMYFUNCTION("""COMPUTED_VALUE"""),"Niagara on the Lake, On")</f>
        <v/>
      </c>
      <c r="K16990">
        <f>IFERROR(__xludf.DUMMYFUNCTION("""COMPUTED_VALUE"""),1205.13)</f>
        <v/>
      </c>
    </row>
    <row r="16991">
      <c r="J16991">
        <f>IFERROR(__xludf.DUMMYFUNCTION("""COMPUTED_VALUE"""),"Peterborough, Toronto, Waterloo, Ontario")</f>
        <v/>
      </c>
      <c r="K16991">
        <f>IFERROR(__xludf.DUMMYFUNCTION("""COMPUTED_VALUE"""),1203.94)</f>
        <v/>
      </c>
    </row>
    <row r="16992">
      <c r="J16992">
        <f>IFERROR(__xludf.DUMMYFUNCTION("""COMPUTED_VALUE"""),"Manitoba - Saskatchewan")</f>
        <v/>
      </c>
      <c r="K16992">
        <f>IFERROR(__xludf.DUMMYFUNCTION("""COMPUTED_VALUE"""),1203.71)</f>
        <v/>
      </c>
    </row>
    <row r="16993">
      <c r="J16993">
        <f>IFERROR(__xludf.DUMMYFUNCTION("""COMPUTED_VALUE"""),"Charlottetown, Prince Edward Island, Canada Halifax, Nova Scotia, Canada")</f>
        <v/>
      </c>
      <c r="K16993">
        <f>IFERROR(__xludf.DUMMYFUNCTION("""COMPUTED_VALUE"""),1202.32)</f>
        <v/>
      </c>
    </row>
    <row r="16994">
      <c r="J16994">
        <f>IFERROR(__xludf.DUMMYFUNCTION("""COMPUTED_VALUE"""),"Batumi, Georgia")</f>
        <v/>
      </c>
      <c r="K16994">
        <f>IFERROR(__xludf.DUMMYFUNCTION("""COMPUTED_VALUE"""),1201.93)</f>
        <v/>
      </c>
    </row>
    <row r="16995">
      <c r="J16995">
        <f>IFERROR(__xludf.DUMMYFUNCTION("""COMPUTED_VALUE"""),"Edmonton and Lethbridge, Alberta, Canada")</f>
        <v/>
      </c>
      <c r="K16995">
        <f>IFERROR(__xludf.DUMMYFUNCTION("""COMPUTED_VALUE"""),1201.86)</f>
        <v/>
      </c>
    </row>
    <row r="16996">
      <c r="J16996">
        <f>IFERROR(__xludf.DUMMYFUNCTION("""COMPUTED_VALUE"""),"Moncton and Montréal")</f>
        <v/>
      </c>
      <c r="K16996">
        <f>IFERROR(__xludf.DUMMYFUNCTION("""COMPUTED_VALUE"""),1201.14)</f>
        <v/>
      </c>
    </row>
    <row r="16997">
      <c r="J16997">
        <f>IFERROR(__xludf.DUMMYFUNCTION("""COMPUTED_VALUE"""),"Brantford/London")</f>
        <v/>
      </c>
      <c r="K16997">
        <f>IFERROR(__xludf.DUMMYFUNCTION("""COMPUTED_VALUE"""),1199.93)</f>
        <v/>
      </c>
    </row>
    <row r="16998">
      <c r="J16998">
        <f>IFERROR(__xludf.DUMMYFUNCTION("""COMPUTED_VALUE"""),"Montréal, Québec, Roberval, Ottawa")</f>
        <v/>
      </c>
      <c r="K16998">
        <f>IFERROR(__xludf.DUMMYFUNCTION("""COMPUTED_VALUE"""),1199.76)</f>
        <v/>
      </c>
    </row>
    <row r="16999">
      <c r="J16999">
        <f>IFERROR(__xludf.DUMMYFUNCTION("""COMPUTED_VALUE"""),"Edmonton Alberta, Canada")</f>
        <v/>
      </c>
      <c r="K16999">
        <f>IFERROR(__xludf.DUMMYFUNCTION("""COMPUTED_VALUE"""),1199.65)</f>
        <v/>
      </c>
    </row>
    <row r="17000">
      <c r="J17000">
        <f>IFERROR(__xludf.DUMMYFUNCTION("""COMPUTED_VALUE"""),"Montbello, Quebec")</f>
        <v/>
      </c>
      <c r="K17000">
        <f>IFERROR(__xludf.DUMMYFUNCTION("""COMPUTED_VALUE"""),1199.4)</f>
        <v/>
      </c>
    </row>
    <row r="17001">
      <c r="J17001">
        <f>IFERROR(__xludf.DUMMYFUNCTION("""COMPUTED_VALUE"""),"Sao Luis, Brazil")</f>
        <v/>
      </c>
      <c r="K17001">
        <f>IFERROR(__xludf.DUMMYFUNCTION("""COMPUTED_VALUE"""),1199.28)</f>
        <v/>
      </c>
    </row>
    <row r="17002">
      <c r="J17002">
        <f>IFERROR(__xludf.DUMMYFUNCTION("""COMPUTED_VALUE"""),"Elk Island, Alberta")</f>
        <v/>
      </c>
      <c r="K17002">
        <f>IFERROR(__xludf.DUMMYFUNCTION("""COMPUTED_VALUE"""),1199.19)</f>
        <v/>
      </c>
    </row>
    <row r="17003">
      <c r="J17003">
        <f>IFERROR(__xludf.DUMMYFUNCTION("""COMPUTED_VALUE"""),"London, Sudbury, ON")</f>
        <v/>
      </c>
      <c r="K17003">
        <f>IFERROR(__xludf.DUMMYFUNCTION("""COMPUTED_VALUE"""),1199.07)</f>
        <v/>
      </c>
    </row>
    <row r="17004">
      <c r="J17004">
        <f>IFERROR(__xludf.DUMMYFUNCTION("""COMPUTED_VALUE"""),"Abbottsford, British Columbia")</f>
        <v/>
      </c>
      <c r="K17004">
        <f>IFERROR(__xludf.DUMMYFUNCTION("""COMPUTED_VALUE"""),1198.61)</f>
        <v/>
      </c>
    </row>
    <row r="17005">
      <c r="J17005">
        <f>IFERROR(__xludf.DUMMYFUNCTION("""COMPUTED_VALUE"""),"Amherst, Bridgewater, Darthmouth, Halifax Nova Scotia, Canada; Moncton, New Brunswick, Canada; Charlottetown, Prince Edward Island, Canada")</f>
        <v/>
      </c>
      <c r="K17005">
        <f>IFERROR(__xludf.DUMMYFUNCTION("""COMPUTED_VALUE"""),1198.5)</f>
        <v/>
      </c>
    </row>
    <row r="17006">
      <c r="J17006">
        <f>IFERROR(__xludf.DUMMYFUNCTION("""COMPUTED_VALUE"""),"Abbotsford (British Columbia) Canada")</f>
        <v/>
      </c>
      <c r="K17006">
        <f>IFERROR(__xludf.DUMMYFUNCTION("""COMPUTED_VALUE"""),1198.19)</f>
        <v/>
      </c>
    </row>
    <row r="17007">
      <c r="J17007">
        <f>IFERROR(__xludf.DUMMYFUNCTION("""COMPUTED_VALUE"""),"Toronto, Cambridge ON")</f>
        <v/>
      </c>
      <c r="K17007">
        <f>IFERROR(__xludf.DUMMYFUNCTION("""COMPUTED_VALUE"""),1198.11)</f>
        <v/>
      </c>
    </row>
    <row r="17008">
      <c r="J17008">
        <f>IFERROR(__xludf.DUMMYFUNCTION("""COMPUTED_VALUE"""),"Gander, Newfoundland and Labrador, Canada; Grand Falls, Newfoundland and Labrador, Canada; Springdale, Newfoundland and Labrador, Canada")</f>
        <v/>
      </c>
      <c r="K17008">
        <f>IFERROR(__xludf.DUMMYFUNCTION("""COMPUTED_VALUE"""),1198.1)</f>
        <v/>
      </c>
    </row>
    <row r="17009">
      <c r="J17009">
        <f>IFERROR(__xludf.DUMMYFUNCTION("""COMPUTED_VALUE"""),"Thunder Bay, Ontario and Nipigon, Ontario")</f>
        <v/>
      </c>
      <c r="K17009">
        <f>IFERROR(__xludf.DUMMYFUNCTION("""COMPUTED_VALUE"""),1197.87)</f>
        <v/>
      </c>
    </row>
    <row r="17010">
      <c r="J17010">
        <f>IFERROR(__xludf.DUMMYFUNCTION("""COMPUTED_VALUE"""),"Renous, New Brunswick, Canada")</f>
        <v/>
      </c>
      <c r="K17010">
        <f>IFERROR(__xludf.DUMMYFUNCTION("""COMPUTED_VALUE"""),1197.08)</f>
        <v/>
      </c>
    </row>
    <row r="17011">
      <c r="J17011">
        <f>IFERROR(__xludf.DUMMYFUNCTION("""COMPUTED_VALUE"""),"Marseilles")</f>
        <v/>
      </c>
      <c r="K17011">
        <f>IFERROR(__xludf.DUMMYFUNCTION("""COMPUTED_VALUE"""),1197)</f>
        <v/>
      </c>
    </row>
    <row r="17012">
      <c r="J17012">
        <f>IFERROR(__xludf.DUMMYFUNCTION("""COMPUTED_VALUE"""),"Ottawa-Québec-Trois Rivières-Ottawa")</f>
        <v/>
      </c>
      <c r="K17012">
        <f>IFERROR(__xludf.DUMMYFUNCTION("""COMPUTED_VALUE"""),1196.7)</f>
        <v/>
      </c>
    </row>
    <row r="17013">
      <c r="J17013">
        <f>IFERROR(__xludf.DUMMYFUNCTION("""COMPUTED_VALUE"""),"St-Hyacinthe, QC")</f>
        <v/>
      </c>
      <c r="K17013">
        <f>IFERROR(__xludf.DUMMYFUNCTION("""COMPUTED_VALUE"""),1196.22)</f>
        <v/>
      </c>
    </row>
    <row r="17014">
      <c r="J17014">
        <f>IFERROR(__xludf.DUMMYFUNCTION("""COMPUTED_VALUE"""),"Liverpool, Nova Scotia, Canada")</f>
        <v/>
      </c>
      <c r="K17014">
        <f>IFERROR(__xludf.DUMMYFUNCTION("""COMPUTED_VALUE"""),1195.87)</f>
        <v/>
      </c>
    </row>
    <row r="17015">
      <c r="J17015">
        <f>IFERROR(__xludf.DUMMYFUNCTION("""COMPUTED_VALUE"""),"Ottawa - Sudbury - Ottawa")</f>
        <v/>
      </c>
      <c r="K17015">
        <f>IFERROR(__xludf.DUMMYFUNCTION("""COMPUTED_VALUE"""),1195.52)</f>
        <v/>
      </c>
    </row>
    <row r="17016">
      <c r="J17016">
        <f>IFERROR(__xludf.DUMMYFUNCTION("""COMPUTED_VALUE"""),"Trakai - Lithuania")</f>
        <v/>
      </c>
      <c r="K17016">
        <f>IFERROR(__xludf.DUMMYFUNCTION("""COMPUTED_VALUE"""),1195.42)</f>
        <v/>
      </c>
    </row>
    <row r="17017">
      <c r="J17017">
        <f>IFERROR(__xludf.DUMMYFUNCTION("""COMPUTED_VALUE"""),"Bagotville-Valcartier, Canada")</f>
        <v/>
      </c>
      <c r="K17017">
        <f>IFERROR(__xludf.DUMMYFUNCTION("""COMPUTED_VALUE"""),1195.26)</f>
        <v/>
      </c>
    </row>
    <row r="17018">
      <c r="J17018">
        <f>IFERROR(__xludf.DUMMYFUNCTION("""COMPUTED_VALUE"""),"Brandon / Winnipeg, Manitoba")</f>
        <v/>
      </c>
      <c r="K17018">
        <f>IFERROR(__xludf.DUMMYFUNCTION("""COMPUTED_VALUE"""),1195.12)</f>
        <v/>
      </c>
    </row>
    <row r="17019">
      <c r="J17019">
        <f>IFERROR(__xludf.DUMMYFUNCTION("""COMPUTED_VALUE"""),"Windsor, Ontario (Canada)")</f>
        <v/>
      </c>
      <c r="K17019">
        <f>IFERROR(__xludf.DUMMYFUNCTION("""COMPUTED_VALUE"""),1195.06)</f>
        <v/>
      </c>
    </row>
    <row r="17020">
      <c r="J17020">
        <f>IFERROR(__xludf.DUMMYFUNCTION("""COMPUTED_VALUE"""),"Frankfurt, Germany; Warsaw, Poland; Riga, Latvia; Paris, France")</f>
        <v/>
      </c>
      <c r="K17020">
        <f>IFERROR(__xludf.DUMMYFUNCTION("""COMPUTED_VALUE"""),1194.74)</f>
        <v/>
      </c>
    </row>
    <row r="17021">
      <c r="J17021">
        <f>IFERROR(__xludf.DUMMYFUNCTION("""COMPUTED_VALUE"""),"Kitchener and Hamilton")</f>
        <v/>
      </c>
      <c r="K17021">
        <f>IFERROR(__xludf.DUMMYFUNCTION("""COMPUTED_VALUE"""),1194.42)</f>
        <v/>
      </c>
    </row>
    <row r="17022">
      <c r="J17022">
        <f>IFERROR(__xludf.DUMMYFUNCTION("""COMPUTED_VALUE"""),"Abbottsford, BC")</f>
        <v/>
      </c>
      <c r="K17022">
        <f>IFERROR(__xludf.DUMMYFUNCTION("""COMPUTED_VALUE"""),1194.15)</f>
        <v/>
      </c>
    </row>
    <row r="17023">
      <c r="J17023">
        <f>IFERROR(__xludf.DUMMYFUNCTION("""COMPUTED_VALUE"""),"Ottawa, ON, Montreal et Montebello, QC")</f>
        <v/>
      </c>
      <c r="K17023">
        <f>IFERROR(__xludf.DUMMYFUNCTION("""COMPUTED_VALUE"""),1193.69)</f>
        <v/>
      </c>
    </row>
    <row r="17024">
      <c r="J17024">
        <f>IFERROR(__xludf.DUMMYFUNCTION("""COMPUTED_VALUE"""),"Vancouver, British Columbia, Canada/
Victoria, British Columbia, Canada")</f>
        <v/>
      </c>
      <c r="K17024">
        <f>IFERROR(__xludf.DUMMYFUNCTION("""COMPUTED_VALUE"""),1193.6)</f>
        <v/>
      </c>
    </row>
    <row r="17025">
      <c r="J17025">
        <f>IFERROR(__xludf.DUMMYFUNCTION("""COMPUTED_VALUE"""),"St-Hyacinthe, Quebec, Canada
Montreal, Quebec, Canada")</f>
        <v/>
      </c>
      <c r="K17025">
        <f>IFERROR(__xludf.DUMMYFUNCTION("""COMPUTED_VALUE"""),1193.42)</f>
        <v/>
      </c>
    </row>
    <row r="17026">
      <c r="J17026">
        <f>IFERROR(__xludf.DUMMYFUNCTION("""COMPUTED_VALUE"""),"Nova Scotia, Alberta, Manitoba")</f>
        <v/>
      </c>
      <c r="K17026">
        <f>IFERROR(__xludf.DUMMYFUNCTION("""COMPUTED_VALUE"""),1193.37)</f>
        <v/>
      </c>
    </row>
    <row r="17027">
      <c r="J17027">
        <f>IFERROR(__xludf.DUMMYFUNCTION("""COMPUTED_VALUE"""),"Paris-London-Paris")</f>
        <v/>
      </c>
      <c r="K17027">
        <f>IFERROR(__xludf.DUMMYFUNCTION("""COMPUTED_VALUE"""),1192.83)</f>
        <v/>
      </c>
    </row>
    <row r="17028">
      <c r="J17028">
        <f>IFERROR(__xludf.DUMMYFUNCTION("""COMPUTED_VALUE"""),"Toronto, ON, Calgary,AB")</f>
        <v/>
      </c>
      <c r="K17028">
        <f>IFERROR(__xludf.DUMMYFUNCTION("""COMPUTED_VALUE"""),1192.22)</f>
        <v/>
      </c>
    </row>
    <row r="17029">
      <c r="J17029">
        <f>IFERROR(__xludf.DUMMYFUNCTION("""COMPUTED_VALUE"""),"St. John's and Gros Morne, Newfoundland and Labrador")</f>
        <v/>
      </c>
      <c r="K17029">
        <f>IFERROR(__xludf.DUMMYFUNCTION("""COMPUTED_VALUE"""),1192.01)</f>
        <v/>
      </c>
    </row>
    <row r="17030">
      <c r="J17030">
        <f>IFERROR(__xludf.DUMMYFUNCTION("""COMPUTED_VALUE"""),"Chipping Norton, United Kingdom
London, United Kingdom")</f>
        <v/>
      </c>
      <c r="K17030">
        <f>IFERROR(__xludf.DUMMYFUNCTION("""COMPUTED_VALUE"""),1191.72)</f>
        <v/>
      </c>
    </row>
    <row r="17031">
      <c r="J17031">
        <f>IFERROR(__xludf.DUMMYFUNCTION("""COMPUTED_VALUE"""),"JORDAN, ISRAEL, WEST BANK &amp; GAZA, LEBANON AND SYRIA")</f>
        <v/>
      </c>
      <c r="K17031">
        <f>IFERROR(__xludf.DUMMYFUNCTION("""COMPUTED_VALUE"""),1190.94)</f>
        <v/>
      </c>
    </row>
    <row r="17032">
      <c r="J17032">
        <f>IFERROR(__xludf.DUMMYFUNCTION("""COMPUTED_VALUE"""),"Montreal, Quebec, Canada; Trenton, Ontario, Canada")</f>
        <v/>
      </c>
      <c r="K17032">
        <f>IFERROR(__xludf.DUMMYFUNCTION("""COMPUTED_VALUE"""),1190.94)</f>
        <v/>
      </c>
    </row>
    <row r="17033">
      <c r="J17033">
        <f>IFERROR(__xludf.DUMMYFUNCTION("""COMPUTED_VALUE"""),"British Comlumbia")</f>
        <v/>
      </c>
      <c r="K17033">
        <f>IFERROR(__xludf.DUMMYFUNCTION("""COMPUTED_VALUE"""),1190.91)</f>
        <v/>
      </c>
    </row>
    <row r="17034">
      <c r="J17034">
        <f>IFERROR(__xludf.DUMMYFUNCTION("""COMPUTED_VALUE"""),"Halifax and Cape Breton, Nova Scotia, Canada")</f>
        <v/>
      </c>
      <c r="K17034">
        <f>IFERROR(__xludf.DUMMYFUNCTION("""COMPUTED_VALUE"""),1190.74)</f>
        <v/>
      </c>
    </row>
    <row r="17035">
      <c r="J17035">
        <f>IFERROR(__xludf.DUMMYFUNCTION("""COMPUTED_VALUE"""),"Frederticton, NB")</f>
        <v/>
      </c>
      <c r="K17035">
        <f>IFERROR(__xludf.DUMMYFUNCTION("""COMPUTED_VALUE"""),1190.36)</f>
        <v/>
      </c>
    </row>
    <row r="17036">
      <c r="J17036">
        <f>IFERROR(__xludf.DUMMYFUNCTION("""COMPUTED_VALUE"""),"Montreal, Quebec and Quebec, Quebec")</f>
        <v/>
      </c>
      <c r="K17036">
        <f>IFERROR(__xludf.DUMMYFUNCTION("""COMPUTED_VALUE"""),1189.98)</f>
        <v/>
      </c>
    </row>
    <row r="17037">
      <c r="J17037">
        <f>IFERROR(__xludf.DUMMYFUNCTION("""COMPUTED_VALUE"""),"Ottawa, Ontario and London,
Ontario")</f>
        <v/>
      </c>
      <c r="K17037">
        <f>IFERROR(__xludf.DUMMYFUNCTION("""COMPUTED_VALUE"""),1189.89)</f>
        <v/>
      </c>
    </row>
    <row r="17038">
      <c r="J17038">
        <f>IFERROR(__xludf.DUMMYFUNCTION("""COMPUTED_VALUE"""),"Hull, Qc")</f>
        <v/>
      </c>
      <c r="K17038">
        <f>IFERROR(__xludf.DUMMYFUNCTION("""COMPUTED_VALUE"""),1189.58)</f>
        <v/>
      </c>
    </row>
    <row r="17039">
      <c r="J17039">
        <f>IFERROR(__xludf.DUMMYFUNCTION("""COMPUTED_VALUE"""),"Chicago, IL, US")</f>
        <v/>
      </c>
      <c r="K17039">
        <f>IFERROR(__xludf.DUMMYFUNCTION("""COMPUTED_VALUE"""),1189.14)</f>
        <v/>
      </c>
    </row>
    <row r="17040">
      <c r="J17040">
        <f>IFERROR(__xludf.DUMMYFUNCTION("""COMPUTED_VALUE"""),"Québec - Vancouver - Calgary - Québec")</f>
        <v/>
      </c>
      <c r="K17040">
        <f>IFERROR(__xludf.DUMMYFUNCTION("""COMPUTED_VALUE"""),1188.81)</f>
        <v/>
      </c>
    </row>
    <row r="17041">
      <c r="J17041">
        <f>IFERROR(__xludf.DUMMYFUNCTION("""COMPUTED_VALUE"""),"Peterborough / Toronto, (Ontario)")</f>
        <v/>
      </c>
      <c r="K17041">
        <f>IFERROR(__xludf.DUMMYFUNCTION("""COMPUTED_VALUE"""),1188.72)</f>
        <v/>
      </c>
    </row>
    <row r="17042">
      <c r="J17042">
        <f>IFERROR(__xludf.DUMMYFUNCTION("""COMPUTED_VALUE"""),"Quebec (Quebec), Canada")</f>
        <v/>
      </c>
      <c r="K17042">
        <f>IFERROR(__xludf.DUMMYFUNCTION("""COMPUTED_VALUE"""),1188.09)</f>
        <v/>
      </c>
    </row>
    <row r="17043">
      <c r="J17043">
        <f>IFERROR(__xludf.DUMMYFUNCTION("""COMPUTED_VALUE"""),"Baltimore, United States")</f>
        <v/>
      </c>
      <c r="K17043">
        <f>IFERROR(__xludf.DUMMYFUNCTION("""COMPUTED_VALUE"""),1187.84)</f>
        <v/>
      </c>
    </row>
    <row r="17044">
      <c r="J17044">
        <f>IFERROR(__xludf.DUMMYFUNCTION("""COMPUTED_VALUE"""),"NORWAY, Oslo")</f>
        <v/>
      </c>
      <c r="K17044">
        <f>IFERROR(__xludf.DUMMYFUNCTION("""COMPUTED_VALUE"""),1187.36)</f>
        <v/>
      </c>
    </row>
    <row r="17045">
      <c r="J17045">
        <f>IFERROR(__xludf.DUMMYFUNCTION("""COMPUTED_VALUE"""),"London, england")</f>
        <v/>
      </c>
      <c r="K17045">
        <f>IFERROR(__xludf.DUMMYFUNCTION("""COMPUTED_VALUE"""),1187.3)</f>
        <v/>
      </c>
    </row>
    <row r="17046">
      <c r="J17046">
        <f>IFERROR(__xludf.DUMMYFUNCTION("""COMPUTED_VALUE"""),"Niagara Falls, Ontario, Canada; Waterloo, Ontario, Canada")</f>
        <v/>
      </c>
      <c r="K17046">
        <f>IFERROR(__xludf.DUMMYFUNCTION("""COMPUTED_VALUE"""),1187.3)</f>
        <v/>
      </c>
    </row>
    <row r="17047">
      <c r="J17047">
        <f>IFERROR(__xludf.DUMMYFUNCTION("""COMPUTED_VALUE"""),"Beaumont-Hamel, France")</f>
        <v/>
      </c>
      <c r="K17047">
        <f>IFERROR(__xludf.DUMMYFUNCTION("""COMPUTED_VALUE"""),1187.05)</f>
        <v/>
      </c>
    </row>
    <row r="17048">
      <c r="J17048">
        <f>IFERROR(__xludf.DUMMYFUNCTION("""COMPUTED_VALUE"""),"Moncton, New Brunswick, and Halifax, Nova Scotia")</f>
        <v/>
      </c>
      <c r="K17048">
        <f>IFERROR(__xludf.DUMMYFUNCTION("""COMPUTED_VALUE"""),1186.93)</f>
        <v/>
      </c>
    </row>
    <row r="17049">
      <c r="J17049">
        <f>IFERROR(__xludf.DUMMYFUNCTION("""COMPUTED_VALUE"""),"Yukon")</f>
        <v/>
      </c>
      <c r="K17049">
        <f>IFERROR(__xludf.DUMMYFUNCTION("""COMPUTED_VALUE"""),1186.72)</f>
        <v/>
      </c>
    </row>
    <row r="17050">
      <c r="J17050">
        <f>IFERROR(__xludf.DUMMYFUNCTION("""COMPUTED_VALUE"""),"Washington((USA), NorthBay (Ontario, Canada)")</f>
        <v/>
      </c>
      <c r="K17050">
        <f>IFERROR(__xludf.DUMMYFUNCTION("""COMPUTED_VALUE"""),1186.69)</f>
        <v/>
      </c>
    </row>
    <row r="17051">
      <c r="J17051">
        <f>IFERROR(__xludf.DUMMYFUNCTION("""COMPUTED_VALUE"""),"North Bay, Huntsville and Toronto, ON")</f>
        <v/>
      </c>
      <c r="K17051">
        <f>IFERROR(__xludf.DUMMYFUNCTION("""COMPUTED_VALUE"""),1186.6)</f>
        <v/>
      </c>
    </row>
    <row r="17052">
      <c r="J17052">
        <f>IFERROR(__xludf.DUMMYFUNCTION("""COMPUTED_VALUE"""),"Bournemouth, UK")</f>
        <v/>
      </c>
      <c r="K17052">
        <f>IFERROR(__xludf.DUMMYFUNCTION("""COMPUTED_VALUE"""),1186.46)</f>
        <v/>
      </c>
    </row>
    <row r="17053">
      <c r="J17053">
        <f>IFERROR(__xludf.DUMMYFUNCTION("""COMPUTED_VALUE"""),"Tirana/Albania")</f>
        <v/>
      </c>
      <c r="K17053">
        <f>IFERROR(__xludf.DUMMYFUNCTION("""COMPUTED_VALUE"""),1186.42)</f>
        <v/>
      </c>
    </row>
    <row r="17054">
      <c r="J17054">
        <f>IFERROR(__xludf.DUMMYFUNCTION("""COMPUTED_VALUE"""),"Nuevo Laredo")</f>
        <v/>
      </c>
      <c r="K17054">
        <f>IFERROR(__xludf.DUMMYFUNCTION("""COMPUTED_VALUE"""),1186.17)</f>
        <v/>
      </c>
    </row>
    <row r="17055">
      <c r="J17055">
        <f>IFERROR(__xludf.DUMMYFUNCTION("""COMPUTED_VALUE"""),"Hamilton ON")</f>
        <v/>
      </c>
      <c r="K17055">
        <f>IFERROR(__xludf.DUMMYFUNCTION("""COMPUTED_VALUE"""),1186)</f>
        <v/>
      </c>
    </row>
    <row r="17056">
      <c r="J17056">
        <f>IFERROR(__xludf.DUMMYFUNCTION("""COMPUTED_VALUE"""),"Thorold, ON")</f>
        <v/>
      </c>
      <c r="K17056">
        <f>IFERROR(__xludf.DUMMYFUNCTION("""COMPUTED_VALUE"""),1185.97)</f>
        <v/>
      </c>
    </row>
    <row r="17057">
      <c r="J17057">
        <f>IFERROR(__xludf.DUMMYFUNCTION("""COMPUTED_VALUE"""),"Cancun, Quintana Roo")</f>
        <v/>
      </c>
      <c r="K17057">
        <f>IFERROR(__xludf.DUMMYFUNCTION("""COMPUTED_VALUE"""),1185.77)</f>
        <v/>
      </c>
    </row>
    <row r="17058">
      <c r="J17058">
        <f>IFERROR(__xludf.DUMMYFUNCTION("""COMPUTED_VALUE"""),"COLORADO SPRINGS")</f>
        <v/>
      </c>
      <c r="K17058">
        <f>IFERROR(__xludf.DUMMYFUNCTION("""COMPUTED_VALUE"""),1185.76)</f>
        <v/>
      </c>
    </row>
    <row r="17059">
      <c r="J17059">
        <f>IFERROR(__xludf.DUMMYFUNCTION("""COMPUTED_VALUE"""),"Thunder Bay - Sand Point, Ontario")</f>
        <v/>
      </c>
      <c r="K17059">
        <f>IFERROR(__xludf.DUMMYFUNCTION("""COMPUTED_VALUE"""),1185.74)</f>
        <v/>
      </c>
    </row>
    <row r="17060">
      <c r="J17060">
        <f>IFERROR(__xludf.DUMMYFUNCTION("""COMPUTED_VALUE"""),"Sault Ste. Marie, Ontario, Canada; Winnipeg, Manitoba, Canada")</f>
        <v/>
      </c>
      <c r="K17060">
        <f>IFERROR(__xludf.DUMMYFUNCTION("""COMPUTED_VALUE"""),1185.63999999999)</f>
        <v/>
      </c>
    </row>
    <row r="17061">
      <c r="J17061">
        <f>IFERROR(__xludf.DUMMYFUNCTION("""COMPUTED_VALUE"""),"Trenton (Ontario) Canada, Borden (Ontario) Canada")</f>
        <v/>
      </c>
      <c r="K17061">
        <f>IFERROR(__xludf.DUMMYFUNCTION("""COMPUTED_VALUE"""),1185.48)</f>
        <v/>
      </c>
    </row>
    <row r="17062">
      <c r="J17062">
        <f>IFERROR(__xludf.DUMMYFUNCTION("""COMPUTED_VALUE"""),"Roberval, Montréal, Bagotville")</f>
        <v/>
      </c>
      <c r="K17062">
        <f>IFERROR(__xludf.DUMMYFUNCTION("""COMPUTED_VALUE"""),1185.35)</f>
        <v/>
      </c>
    </row>
    <row r="17063">
      <c r="J17063">
        <f>IFERROR(__xludf.DUMMYFUNCTION("""COMPUTED_VALUE"""),"Montreal, Toronto and Ottawa in Canada")</f>
        <v/>
      </c>
      <c r="K17063">
        <f>IFERROR(__xludf.DUMMYFUNCTION("""COMPUTED_VALUE"""),1184.8)</f>
        <v/>
      </c>
    </row>
    <row r="17064">
      <c r="J17064">
        <f>IFERROR(__xludf.DUMMYFUNCTION("""COMPUTED_VALUE"""),"Gatineau, Quebec, Canada                                      Ottawa, Ontario, Canada")</f>
        <v/>
      </c>
      <c r="K17064">
        <f>IFERROR(__xludf.DUMMYFUNCTION("""COMPUTED_VALUE"""),1184.25)</f>
        <v/>
      </c>
    </row>
    <row r="17065">
      <c r="J17065">
        <f>IFERROR(__xludf.DUMMYFUNCTION("""COMPUTED_VALUE"""),"Salmon Arm, British Columbia, Canada")</f>
        <v/>
      </c>
      <c r="K17065">
        <f>IFERROR(__xludf.DUMMYFUNCTION("""COMPUTED_VALUE"""),1183.48)</f>
        <v/>
      </c>
    </row>
    <row r="17066">
      <c r="J17066">
        <f>IFERROR(__xludf.DUMMYFUNCTION("""COMPUTED_VALUE"""),"Winnipeg, MB, Fort McMurray, AB, Toronto, ON")</f>
        <v/>
      </c>
      <c r="K17066">
        <f>IFERROR(__xludf.DUMMYFUNCTION("""COMPUTED_VALUE"""),1183.22)</f>
        <v/>
      </c>
    </row>
    <row r="17067">
      <c r="J17067">
        <f>IFERROR(__xludf.DUMMYFUNCTION("""COMPUTED_VALUE"""),"Halifax Nova Scotia; Quebec City, Quebec")</f>
        <v/>
      </c>
      <c r="K17067">
        <f>IFERROR(__xludf.DUMMYFUNCTION("""COMPUTED_VALUE"""),1182.76)</f>
        <v/>
      </c>
    </row>
    <row r="17068">
      <c r="J17068">
        <f>IFERROR(__xludf.DUMMYFUNCTION("""COMPUTED_VALUE"""),"Hamilton, ON; Kitchener, ON; London, ON")</f>
        <v/>
      </c>
      <c r="K17068">
        <f>IFERROR(__xludf.DUMMYFUNCTION("""COMPUTED_VALUE"""),1182.48)</f>
        <v/>
      </c>
    </row>
    <row r="17069">
      <c r="J17069">
        <f>IFERROR(__xludf.DUMMYFUNCTION("""COMPUTED_VALUE"""),"Kirkenes, Bodo, Oslo - Norway")</f>
        <v/>
      </c>
      <c r="K17069">
        <f>IFERROR(__xludf.DUMMYFUNCTION("""COMPUTED_VALUE"""),1182.12)</f>
        <v/>
      </c>
    </row>
    <row r="17070">
      <c r="J17070">
        <f>IFERROR(__xludf.DUMMYFUNCTION("""COMPUTED_VALUE"""),"Antigua")</f>
        <v/>
      </c>
      <c r="K17070">
        <f>IFERROR(__xludf.DUMMYFUNCTION("""COMPUTED_VALUE"""),1182.08)</f>
        <v/>
      </c>
    </row>
    <row r="17071">
      <c r="J17071">
        <f>IFERROR(__xludf.DUMMYFUNCTION("""COMPUTED_VALUE"""),"Thorold and Toronto, Ontario")</f>
        <v/>
      </c>
      <c r="K17071">
        <f>IFERROR(__xludf.DUMMYFUNCTION("""COMPUTED_VALUE"""),1181.79)</f>
        <v/>
      </c>
    </row>
    <row r="17072">
      <c r="J17072">
        <f>IFERROR(__xludf.DUMMYFUNCTION("""COMPUTED_VALUE"""),"Mabou, Nova Scotia, Canada; New Glasgow, Nova Scotia, Canada; Halifax, Nova Scotia, Canada; Moncton, New Brunswick, Canada; Port Hawkesbury, Nova Scotia, Canada; Cheticamp, Nova Scotia, Canada; Bathurst, New Brunswick, Canada; Miramichi, New Brunswick, Ca"&amp;"nada")</f>
        <v/>
      </c>
      <c r="K17072">
        <f>IFERROR(__xludf.DUMMYFUNCTION("""COMPUTED_VALUE"""),1181.67)</f>
        <v/>
      </c>
    </row>
    <row r="17073">
      <c r="J17073">
        <f>IFERROR(__xludf.DUMMYFUNCTION("""COMPUTED_VALUE"""),"Rimouski, Quebec, Canada; Matane, Quebec, Canada")</f>
        <v/>
      </c>
      <c r="K17073">
        <f>IFERROR(__xludf.DUMMYFUNCTION("""COMPUTED_VALUE"""),1181.07)</f>
        <v/>
      </c>
    </row>
    <row r="17074">
      <c r="J17074">
        <f>IFERROR(__xludf.DUMMYFUNCTION("""COMPUTED_VALUE"""),"Saint-Hyacinthe, Quebec")</f>
        <v/>
      </c>
      <c r="K17074">
        <f>IFERROR(__xludf.DUMMYFUNCTION("""COMPUTED_VALUE"""),1181.04)</f>
        <v/>
      </c>
    </row>
    <row r="17075">
      <c r="J17075">
        <f>IFERROR(__xludf.DUMMYFUNCTION("""COMPUTED_VALUE"""),"Sainte-Julie, Quebec, Canada; Saint-Bruno, Quebec, Canada; Valleyfield, Quebec, Canada")</f>
        <v/>
      </c>
      <c r="K17075">
        <f>IFERROR(__xludf.DUMMYFUNCTION("""COMPUTED_VALUE"""),1180.92)</f>
        <v/>
      </c>
    </row>
    <row r="17076">
      <c r="J17076">
        <f>IFERROR(__xludf.DUMMYFUNCTION("""COMPUTED_VALUE"""),"Windsor, Ontario; Detroit, Michigan")</f>
        <v/>
      </c>
      <c r="K17076">
        <f>IFERROR(__xludf.DUMMYFUNCTION("""COMPUTED_VALUE"""),1180.67)</f>
        <v/>
      </c>
    </row>
    <row r="17077">
      <c r="J17077">
        <f>IFERROR(__xludf.DUMMYFUNCTION("""COMPUTED_VALUE"""),"Vancouver, British Columbia and Banff, Alberta")</f>
        <v/>
      </c>
      <c r="K17077">
        <f>IFERROR(__xludf.DUMMYFUNCTION("""COMPUTED_VALUE"""),1180.65)</f>
        <v/>
      </c>
    </row>
    <row r="17078">
      <c r="J17078">
        <f>IFERROR(__xludf.DUMMYFUNCTION("""COMPUTED_VALUE"""),"Shawinigan, Quebec, Canada; Trois-Rivières, Quebec, Canada; Québec, Quebec, Canada; Rimouski, Quebec, Canada; Rivière-du-Loup, Quebec, Canada")</f>
        <v/>
      </c>
      <c r="K17078">
        <f>IFERROR(__xludf.DUMMYFUNCTION("""COMPUTED_VALUE"""),1180.2)</f>
        <v/>
      </c>
    </row>
    <row r="17079">
      <c r="J17079">
        <f>IFERROR(__xludf.DUMMYFUNCTION("""COMPUTED_VALUE"""),"Brandon and Morden, MB")</f>
        <v/>
      </c>
      <c r="K17079">
        <f>IFERROR(__xludf.DUMMYFUNCTION("""COMPUTED_VALUE"""),1179.99)</f>
        <v/>
      </c>
    </row>
    <row r="17080">
      <c r="J17080">
        <f>IFERROR(__xludf.DUMMYFUNCTION("""COMPUTED_VALUE"""),"Fort McMurray, Slave Lake and Grande Prairie, Alberta")</f>
        <v/>
      </c>
      <c r="K17080">
        <f>IFERROR(__xludf.DUMMYFUNCTION("""COMPUTED_VALUE"""),1179.86)</f>
        <v/>
      </c>
    </row>
    <row r="17081">
      <c r="J17081">
        <f>IFERROR(__xludf.DUMMYFUNCTION("""COMPUTED_VALUE"""),"Ottawa - Toronto, ON")</f>
        <v/>
      </c>
      <c r="K17081">
        <f>IFERROR(__xludf.DUMMYFUNCTION("""COMPUTED_VALUE"""),1179.6)</f>
        <v/>
      </c>
    </row>
    <row r="17082">
      <c r="J17082">
        <f>IFERROR(__xludf.DUMMYFUNCTION("""COMPUTED_VALUE"""),"Ottawa, Montréal, Roberval, Saguenay, Ottawa")</f>
        <v/>
      </c>
      <c r="K17082">
        <f>IFERROR(__xludf.DUMMYFUNCTION("""COMPUTED_VALUE"""),1179.25)</f>
        <v/>
      </c>
    </row>
    <row r="17083">
      <c r="J17083">
        <f>IFERROR(__xludf.DUMMYFUNCTION("""COMPUTED_VALUE"""),"Sault Ste. Marie, Ontario, Ca")</f>
        <v/>
      </c>
      <c r="K17083">
        <f>IFERROR(__xludf.DUMMYFUNCTION("""COMPUTED_VALUE"""),1178.8)</f>
        <v/>
      </c>
    </row>
    <row r="17084">
      <c r="J17084">
        <f>IFERROR(__xludf.DUMMYFUNCTION("""COMPUTED_VALUE"""),"Ottawa (ON) and Toronto (ON)")</f>
        <v/>
      </c>
      <c r="K17084">
        <f>IFERROR(__xludf.DUMMYFUNCTION("""COMPUTED_VALUE"""),1178.52)</f>
        <v/>
      </c>
    </row>
    <row r="17085">
      <c r="J17085">
        <f>IFERROR(__xludf.DUMMYFUNCTION("""COMPUTED_VALUE"""),"Taipei, Taiwan and Regina, SK")</f>
        <v/>
      </c>
      <c r="K17085">
        <f>IFERROR(__xludf.DUMMYFUNCTION("""COMPUTED_VALUE"""),1178.52)</f>
        <v/>
      </c>
    </row>
    <row r="17086">
      <c r="J17086">
        <f>IFERROR(__xludf.DUMMYFUNCTION("""COMPUTED_VALUE"""),"FOGO ISLAND, NL")</f>
        <v/>
      </c>
      <c r="K17086">
        <f>IFERROR(__xludf.DUMMYFUNCTION("""COMPUTED_VALUE"""),1178.38)</f>
        <v/>
      </c>
    </row>
    <row r="17087">
      <c r="J17087">
        <f>IFERROR(__xludf.DUMMYFUNCTION("""COMPUTED_VALUE"""),"Wiesbaden and Ramstein, Germany, Europe")</f>
        <v/>
      </c>
      <c r="K17087">
        <f>IFERROR(__xludf.DUMMYFUNCTION("""COMPUTED_VALUE"""),1178.24)</f>
        <v/>
      </c>
    </row>
    <row r="17088">
      <c r="J17088">
        <f>IFERROR(__xludf.DUMMYFUNCTION("""COMPUTED_VALUE"""),"Calgary, Albera, Canada")</f>
        <v/>
      </c>
      <c r="K17088">
        <f>IFERROR(__xludf.DUMMYFUNCTION("""COMPUTED_VALUE"""),1178.2)</f>
        <v/>
      </c>
    </row>
    <row r="17089">
      <c r="J17089">
        <f>IFERROR(__xludf.DUMMYFUNCTION("""COMPUTED_VALUE"""),"St-Jean-sur-Richelieu, St-Hyacinthe, Sherbrooke and Quebec, Quebec")</f>
        <v/>
      </c>
      <c r="K17089">
        <f>IFERROR(__xludf.DUMMYFUNCTION("""COMPUTED_VALUE"""),1178.16)</f>
        <v/>
      </c>
    </row>
    <row r="17090">
      <c r="J17090">
        <f>IFERROR(__xludf.DUMMYFUNCTION("""COMPUTED_VALUE"""),"Ottawa-Halifiax-Charlottetown-Halifax-Ottawa")</f>
        <v/>
      </c>
      <c r="K17090">
        <f>IFERROR(__xludf.DUMMYFUNCTION("""COMPUTED_VALUE"""),1177.43)</f>
        <v/>
      </c>
    </row>
    <row r="17091">
      <c r="J17091">
        <f>IFERROR(__xludf.DUMMYFUNCTION("""COMPUTED_VALUE"""),"Montréal and Sherbrooke, Québec")</f>
        <v/>
      </c>
      <c r="K17091">
        <f>IFERROR(__xludf.DUMMYFUNCTION("""COMPUTED_VALUE"""),1177.36)</f>
        <v/>
      </c>
    </row>
    <row r="17092">
      <c r="J17092">
        <f>IFERROR(__xludf.DUMMYFUNCTION("""COMPUTED_VALUE"""),"3 Wing and CFB Bagotville (Quebec) Canada")</f>
        <v/>
      </c>
      <c r="K17092">
        <f>IFERROR(__xludf.DUMMYFUNCTION("""COMPUTED_VALUE"""),1177.26)</f>
        <v/>
      </c>
    </row>
    <row r="17093">
      <c r="J17093">
        <f>IFERROR(__xludf.DUMMYFUNCTION("""COMPUTED_VALUE"""),"3 Wing and CFB Bagotville, Quebec, Canada")</f>
        <v/>
      </c>
      <c r="K17093">
        <f>IFERROR(__xludf.DUMMYFUNCTION("""COMPUTED_VALUE"""),1177.26)</f>
        <v/>
      </c>
    </row>
    <row r="17094">
      <c r="J17094">
        <f>IFERROR(__xludf.DUMMYFUNCTION("""COMPUTED_VALUE"""),"Moncton, NB - Halifax, NS / Halifax, NS - Moncton, NB")</f>
        <v/>
      </c>
      <c r="K17094">
        <f>IFERROR(__xludf.DUMMYFUNCTION("""COMPUTED_VALUE"""),1176.97)</f>
        <v/>
      </c>
    </row>
    <row r="17095">
      <c r="J17095">
        <f>IFERROR(__xludf.DUMMYFUNCTION("""COMPUTED_VALUE"""),"Winnipeg Manitoba")</f>
        <v/>
      </c>
      <c r="K17095">
        <f>IFERROR(__xludf.DUMMYFUNCTION("""COMPUTED_VALUE"""),1176.85)</f>
        <v/>
      </c>
    </row>
    <row r="17096">
      <c r="J17096">
        <f>IFERROR(__xludf.DUMMYFUNCTION("""COMPUTED_VALUE"""),"Cancun, Playa del Carmen (Quintana Roo)")</f>
        <v/>
      </c>
      <c r="K17096">
        <f>IFERROR(__xludf.DUMMYFUNCTION("""COMPUTED_VALUE"""),1176.84)</f>
        <v/>
      </c>
    </row>
    <row r="17097">
      <c r="J17097">
        <f>IFERROR(__xludf.DUMMYFUNCTION("""COMPUTED_VALUE"""),"Halifax, Nova Scotia / Charlottetown, Prince Edward Island / Miramichi, New Brunswick, Canada")</f>
        <v/>
      </c>
      <c r="K17097">
        <f>IFERROR(__xludf.DUMMYFUNCTION("""COMPUTED_VALUE"""),1176.63)</f>
        <v/>
      </c>
    </row>
    <row r="17098">
      <c r="J17098">
        <f>IFERROR(__xludf.DUMMYFUNCTION("""COMPUTED_VALUE"""),"Montréal , Québec City, Quebec, Canada")</f>
        <v/>
      </c>
      <c r="K17098">
        <f>IFERROR(__xludf.DUMMYFUNCTION("""COMPUTED_VALUE"""),1176.52)</f>
        <v/>
      </c>
    </row>
    <row r="17099">
      <c r="J17099">
        <f>IFERROR(__xludf.DUMMYFUNCTION("""COMPUTED_VALUE"""),"Quebec and Montreal, QC")</f>
        <v/>
      </c>
      <c r="K17099">
        <f>IFERROR(__xludf.DUMMYFUNCTION("""COMPUTED_VALUE"""),1176.37)</f>
        <v/>
      </c>
    </row>
    <row r="17100">
      <c r="J17100">
        <f>IFERROR(__xludf.DUMMYFUNCTION("""COMPUTED_VALUE"""),"Hamilton, ON Kitchener, ON Ottawa, ON")</f>
        <v/>
      </c>
      <c r="K17100">
        <f>IFERROR(__xludf.DUMMYFUNCTION("""COMPUTED_VALUE"""),1176.35)</f>
        <v/>
      </c>
    </row>
    <row r="17101">
      <c r="J17101">
        <f>IFERROR(__xludf.DUMMYFUNCTION("""COMPUTED_VALUE"""),"Norway, Oslo")</f>
        <v/>
      </c>
      <c r="K17101">
        <f>IFERROR(__xludf.DUMMYFUNCTION("""COMPUTED_VALUE"""),1176.05)</f>
        <v/>
      </c>
    </row>
    <row r="17102">
      <c r="J17102">
        <f>IFERROR(__xludf.DUMMYFUNCTION("""COMPUTED_VALUE"""),"Windsor, Ontario Canada | London, Ontario, Canada")</f>
        <v/>
      </c>
      <c r="K17102">
        <f>IFERROR(__xludf.DUMMYFUNCTION("""COMPUTED_VALUE"""),1175.49)</f>
        <v/>
      </c>
    </row>
    <row r="17103">
      <c r="J17103">
        <f>IFERROR(__xludf.DUMMYFUNCTION("""COMPUTED_VALUE"""),"Lennoxville, Quebec, Canada")</f>
        <v/>
      </c>
      <c r="K17103">
        <f>IFERROR(__xludf.DUMMYFUNCTION("""COMPUTED_VALUE"""),1175.39)</f>
        <v/>
      </c>
    </row>
    <row r="17104">
      <c r="J17104">
        <f>IFERROR(__xludf.DUMMYFUNCTION("""COMPUTED_VALUE"""),"Montreal, Quebec, Canada Toronto, Ontario, Canada")</f>
        <v/>
      </c>
      <c r="K17104">
        <f>IFERROR(__xludf.DUMMYFUNCTION("""COMPUTED_VALUE"""),1175.2)</f>
        <v/>
      </c>
    </row>
    <row r="17105">
      <c r="J17105">
        <f>IFERROR(__xludf.DUMMYFUNCTION("""COMPUTED_VALUE"""),"Lahore and Islamabad, Pakistan")</f>
        <v/>
      </c>
      <c r="K17105">
        <f>IFERROR(__xludf.DUMMYFUNCTION("""COMPUTED_VALUE"""),1174.8)</f>
        <v/>
      </c>
    </row>
    <row r="17106">
      <c r="J17106">
        <f>IFERROR(__xludf.DUMMYFUNCTION("""COMPUTED_VALUE"""),"Ottawa- Québec - Montréal - Meaford - Ottawa")</f>
        <v/>
      </c>
      <c r="K17106">
        <f>IFERROR(__xludf.DUMMYFUNCTION("""COMPUTED_VALUE"""),1174.52)</f>
        <v/>
      </c>
    </row>
    <row r="17107">
      <c r="J17107">
        <f>IFERROR(__xludf.DUMMYFUNCTION("""COMPUTED_VALUE"""),"Georgian Bluffs, Ontario, Canada")</f>
        <v/>
      </c>
      <c r="K17107">
        <f>IFERROR(__xludf.DUMMYFUNCTION("""COMPUTED_VALUE"""),1174.51)</f>
        <v/>
      </c>
    </row>
    <row r="17108">
      <c r="J17108">
        <f>IFERROR(__xludf.DUMMYFUNCTION("""COMPUTED_VALUE"""),"Petawawa, ON, Canada")</f>
        <v/>
      </c>
      <c r="K17108">
        <f>IFERROR(__xludf.DUMMYFUNCTION("""COMPUTED_VALUE"""),1174.35)</f>
        <v/>
      </c>
    </row>
    <row r="17109">
      <c r="J17109">
        <f>IFERROR(__xludf.DUMMYFUNCTION("""COMPUTED_VALUE"""),"Guelph and Toronto, ON")</f>
        <v/>
      </c>
      <c r="K17109">
        <f>IFERROR(__xludf.DUMMYFUNCTION("""COMPUTED_VALUE"""),1174.11)</f>
        <v/>
      </c>
    </row>
    <row r="17110">
      <c r="J17110">
        <f>IFERROR(__xludf.DUMMYFUNCTION("""COMPUTED_VALUE"""),"Prince Rupert, British Columbia, Canada; Terrace, British Columbia, Canada")</f>
        <v/>
      </c>
      <c r="K17110">
        <f>IFERROR(__xludf.DUMMYFUNCTION("""COMPUTED_VALUE"""),1173.93)</f>
        <v/>
      </c>
    </row>
    <row r="17111">
      <c r="J17111">
        <f>IFERROR(__xludf.DUMMYFUNCTION("""COMPUTED_VALUE"""),"Edmonton, AB/ Cold Lake, AB")</f>
        <v/>
      </c>
      <c r="K17111">
        <f>IFERROR(__xludf.DUMMYFUNCTION("""COMPUTED_VALUE"""),1173.62)</f>
        <v/>
      </c>
    </row>
    <row r="17112">
      <c r="J17112">
        <f>IFERROR(__xludf.DUMMYFUNCTION("""COMPUTED_VALUE"""),"Rio Grande do Sul")</f>
        <v/>
      </c>
      <c r="K17112">
        <f>IFERROR(__xludf.DUMMYFUNCTION("""COMPUTED_VALUE"""),1173.26)</f>
        <v/>
      </c>
    </row>
    <row r="17113">
      <c r="J17113">
        <f>IFERROR(__xludf.DUMMYFUNCTION("""COMPUTED_VALUE"""),"Uzbekistan")</f>
        <v/>
      </c>
      <c r="K17113">
        <f>IFERROR(__xludf.DUMMYFUNCTION("""COMPUTED_VALUE"""),1173.13)</f>
        <v/>
      </c>
    </row>
    <row r="17114">
      <c r="J17114">
        <f>IFERROR(__xludf.DUMMYFUNCTION("""COMPUTED_VALUE"""),"Saint-Hyacinthe, Upton, Montréal, Ottawa")</f>
        <v/>
      </c>
      <c r="K17114">
        <f>IFERROR(__xludf.DUMMYFUNCTION("""COMPUTED_VALUE"""),1172.66)</f>
        <v/>
      </c>
    </row>
    <row r="17115">
      <c r="J17115">
        <f>IFERROR(__xludf.DUMMYFUNCTION("""COMPUTED_VALUE"""),"Waterloo and London, ON")</f>
        <v/>
      </c>
      <c r="K17115">
        <f>IFERROR(__xludf.DUMMYFUNCTION("""COMPUTED_VALUE"""),1172.46)</f>
        <v/>
      </c>
    </row>
    <row r="17116">
      <c r="J17116">
        <f>IFERROR(__xludf.DUMMYFUNCTION("""COMPUTED_VALUE"""),"Toronto, ON/Waterloo, ON")</f>
        <v/>
      </c>
      <c r="K17116">
        <f>IFERROR(__xludf.DUMMYFUNCTION("""COMPUTED_VALUE"""),1172.38)</f>
        <v/>
      </c>
    </row>
    <row r="17117">
      <c r="J17117">
        <f>IFERROR(__xludf.DUMMYFUNCTION("""COMPUTED_VALUE"""),"Rivière-du-Loup (Quebec) ; Quebec, (Quebec), Canada")</f>
        <v/>
      </c>
      <c r="K17117">
        <f>IFERROR(__xludf.DUMMYFUNCTION("""COMPUTED_VALUE"""),1172.31)</f>
        <v/>
      </c>
    </row>
    <row r="17118">
      <c r="J17118">
        <f>IFERROR(__xludf.DUMMYFUNCTION("""COMPUTED_VALUE"""),"New York, United States.")</f>
        <v/>
      </c>
      <c r="K17118">
        <f>IFERROR(__xludf.DUMMYFUNCTION("""COMPUTED_VALUE"""),1171.96)</f>
        <v/>
      </c>
    </row>
    <row r="17119">
      <c r="J17119">
        <f>IFERROR(__xludf.DUMMYFUNCTION("""COMPUTED_VALUE"""),"Sudbury, Ontario, Canada; Sturgeon Falls, Ontario, Canada; North Bay, Ontario, Canada; New Liskeard, Ontario, Canada; Kirkland Lake, Ontario, Canada; Timmins, Ontario, Canada; Kapuskasing, Ontario, Canada")</f>
        <v/>
      </c>
      <c r="K17119">
        <f>IFERROR(__xludf.DUMMYFUNCTION("""COMPUTED_VALUE"""),1171.87)</f>
        <v/>
      </c>
    </row>
    <row r="17120">
      <c r="J17120">
        <f>IFERROR(__xludf.DUMMYFUNCTION("""COMPUTED_VALUE"""),"Toronto, Ontario, Mississauga, Ontario")</f>
        <v/>
      </c>
      <c r="K17120">
        <f>IFERROR(__xludf.DUMMYFUNCTION("""COMPUTED_VALUE"""),1171.18)</f>
        <v/>
      </c>
    </row>
    <row r="17121">
      <c r="J17121">
        <f>IFERROR(__xludf.DUMMYFUNCTION("""COMPUTED_VALUE"""),"Quebec city, Quebec")</f>
        <v/>
      </c>
      <c r="K17121">
        <f>IFERROR(__xludf.DUMMYFUNCTION("""COMPUTED_VALUE"""),1171.07)</f>
        <v/>
      </c>
    </row>
    <row r="17122">
      <c r="J17122">
        <f>IFERROR(__xludf.DUMMYFUNCTION("""COMPUTED_VALUE"""),"Charlottetown and Montague, Prince Edward Island")</f>
        <v/>
      </c>
      <c r="K17122">
        <f>IFERROR(__xludf.DUMMYFUNCTION("""COMPUTED_VALUE"""),1170.85)</f>
        <v/>
      </c>
    </row>
    <row r="17123">
      <c r="J17123">
        <f>IFERROR(__xludf.DUMMYFUNCTION("""COMPUTED_VALUE"""),"Montréal, Quebec, Canada; Laval, Quebec, Canada; Repentigny, Quebec, Canada; Vaudreuil-Dorion, Quebec, Canada")</f>
        <v/>
      </c>
      <c r="K17123">
        <f>IFERROR(__xludf.DUMMYFUNCTION("""COMPUTED_VALUE"""),1170.76)</f>
        <v/>
      </c>
    </row>
    <row r="17124">
      <c r="J17124">
        <f>IFERROR(__xludf.DUMMYFUNCTION("""COMPUTED_VALUE"""),"Mississauga, ON / Toronto, ON")</f>
        <v/>
      </c>
      <c r="K17124">
        <f>IFERROR(__xludf.DUMMYFUNCTION("""COMPUTED_VALUE"""),1170.64)</f>
        <v/>
      </c>
    </row>
    <row r="17125">
      <c r="J17125">
        <f>IFERROR(__xludf.DUMMYFUNCTION("""COMPUTED_VALUE"""),"Toronto/Brampton, Ontario, Canada")</f>
        <v/>
      </c>
      <c r="K17125">
        <f>IFERROR(__xludf.DUMMYFUNCTION("""COMPUTED_VALUE"""),1170.36)</f>
        <v/>
      </c>
    </row>
    <row r="17126">
      <c r="J17126">
        <f>IFERROR(__xludf.DUMMYFUNCTION("""COMPUTED_VALUE"""),"Comox and Vancouver BC")</f>
        <v/>
      </c>
      <c r="K17126">
        <f>IFERROR(__xludf.DUMMYFUNCTION("""COMPUTED_VALUE"""),1170.3)</f>
        <v/>
      </c>
    </row>
    <row r="17127">
      <c r="J17127">
        <f>IFERROR(__xludf.DUMMYFUNCTION("""COMPUTED_VALUE"""),"Colborne, Ontario, Canada; Quebec City, Quebec, Canada")</f>
        <v/>
      </c>
      <c r="K17127">
        <f>IFERROR(__xludf.DUMMYFUNCTION("""COMPUTED_VALUE"""),1170.11)</f>
        <v/>
      </c>
    </row>
    <row r="17128">
      <c r="J17128">
        <f>IFERROR(__xludf.DUMMYFUNCTION("""COMPUTED_VALUE"""),"East West Flight Passes (Fees)")</f>
        <v/>
      </c>
      <c r="K17128">
        <f>IFERROR(__xludf.DUMMYFUNCTION("""COMPUTED_VALUE"""),1170)</f>
        <v/>
      </c>
    </row>
    <row r="17129">
      <c r="J17129">
        <f>IFERROR(__xludf.DUMMYFUNCTION("""COMPUTED_VALUE"""),"Montreal, Trois-Rivièves, 
Quebec (Canada)")</f>
        <v/>
      </c>
      <c r="K17129">
        <f>IFERROR(__xludf.DUMMYFUNCTION("""COMPUTED_VALUE"""),1170)</f>
        <v/>
      </c>
    </row>
    <row r="17130">
      <c r="J17130">
        <f>IFERROR(__xludf.DUMMYFUNCTION("""COMPUTED_VALUE"""),"Montreal, Quebec;  Toronto, Ontario")</f>
        <v/>
      </c>
      <c r="K17130">
        <f>IFERROR(__xludf.DUMMYFUNCTION("""COMPUTED_VALUE"""),1169.43)</f>
        <v/>
      </c>
    </row>
    <row r="17131">
      <c r="J17131">
        <f>IFERROR(__xludf.DUMMYFUNCTION("""COMPUTED_VALUE"""),"Bathurst NB Montreal QC")</f>
        <v/>
      </c>
      <c r="K17131">
        <f>IFERROR(__xludf.DUMMYFUNCTION("""COMPUTED_VALUE"""),1169.34)</f>
        <v/>
      </c>
    </row>
    <row r="17132">
      <c r="J17132">
        <f>IFERROR(__xludf.DUMMYFUNCTION("""COMPUTED_VALUE"""),"Montreal. Quebec")</f>
        <v/>
      </c>
      <c r="K17132">
        <f>IFERROR(__xludf.DUMMYFUNCTION("""COMPUTED_VALUE"""),1168.83)</f>
        <v/>
      </c>
    </row>
    <row r="17133">
      <c r="J17133">
        <f>IFERROR(__xludf.DUMMYFUNCTION("""COMPUTED_VALUE"""),"Sault Ste Marie,  Sudbury, North Bay, Barrie and Peterborough, Ontario, Canada")</f>
        <v/>
      </c>
      <c r="K17133">
        <f>IFERROR(__xludf.DUMMYFUNCTION("""COMPUTED_VALUE"""),1168.49)</f>
        <v/>
      </c>
    </row>
    <row r="17134">
      <c r="J17134">
        <f>IFERROR(__xludf.DUMMYFUNCTION("""COMPUTED_VALUE"""),"Sudbury ON, Saguenay QC")</f>
        <v/>
      </c>
      <c r="K17134">
        <f>IFERROR(__xludf.DUMMYFUNCTION("""COMPUTED_VALUE"""),1168.43)</f>
        <v/>
      </c>
    </row>
    <row r="17135">
      <c r="J17135">
        <f>IFERROR(__xludf.DUMMYFUNCTION("""COMPUTED_VALUE"""),"Halifax, Nova Scotia -  Charlottetown, Prince Edward Island")</f>
        <v/>
      </c>
      <c r="K17135">
        <f>IFERROR(__xludf.DUMMYFUNCTION("""COMPUTED_VALUE"""),1166.79)</f>
        <v/>
      </c>
    </row>
    <row r="17136">
      <c r="J17136">
        <f>IFERROR(__xludf.DUMMYFUNCTION("""COMPUTED_VALUE"""),"Fredericton, Newfoundland and Charlottetown, Prince Edward Island")</f>
        <v/>
      </c>
      <c r="K17136">
        <f>IFERROR(__xludf.DUMMYFUNCTION("""COMPUTED_VALUE"""),1166.71)</f>
        <v/>
      </c>
    </row>
    <row r="17137">
      <c r="J17137">
        <f>IFERROR(__xludf.DUMMYFUNCTION("""COMPUTED_VALUE"""),"YARMOUTH, NS")</f>
        <v/>
      </c>
      <c r="K17137">
        <f>IFERROR(__xludf.DUMMYFUNCTION("""COMPUTED_VALUE"""),1166.56)</f>
        <v/>
      </c>
    </row>
    <row r="17138">
      <c r="J17138">
        <f>IFERROR(__xludf.DUMMYFUNCTION("""COMPUTED_VALUE"""),"London (England)")</f>
        <v/>
      </c>
      <c r="K17138">
        <f>IFERROR(__xludf.DUMMYFUNCTION("""COMPUTED_VALUE"""),1166.42)</f>
        <v/>
      </c>
    </row>
    <row r="17139">
      <c r="J17139">
        <f>IFERROR(__xludf.DUMMYFUNCTION("""COMPUTED_VALUE"""),"Fredericton, New Brunswick Canada")</f>
        <v/>
      </c>
      <c r="K17139">
        <f>IFERROR(__xludf.DUMMYFUNCTION("""COMPUTED_VALUE"""),1165.75)</f>
        <v/>
      </c>
    </row>
    <row r="17140">
      <c r="J17140">
        <f>IFERROR(__xludf.DUMMYFUNCTION("""COMPUTED_VALUE"""),"Iqaluit,NU. Canada")</f>
        <v/>
      </c>
      <c r="K17140">
        <f>IFERROR(__xludf.DUMMYFUNCTION("""COMPUTED_VALUE"""),1165.31)</f>
        <v/>
      </c>
    </row>
    <row r="17141">
      <c r="J17141">
        <f>IFERROR(__xludf.DUMMYFUNCTION("""COMPUTED_VALUE"""),"Orford")</f>
        <v/>
      </c>
      <c r="K17141">
        <f>IFERROR(__xludf.DUMMYFUNCTION("""COMPUTED_VALUE"""),1165.25)</f>
        <v/>
      </c>
    </row>
    <row r="17142">
      <c r="J17142">
        <f>IFERROR(__xludf.DUMMYFUNCTION("""COMPUTED_VALUE"""),"Spokane, Washington, United States
Okanagan, British Columbia, Canada
Kootenay, British Columbia, Canada")</f>
        <v/>
      </c>
      <c r="K17142">
        <f>IFERROR(__xludf.DUMMYFUNCTION("""COMPUTED_VALUE"""),1165.25)</f>
        <v/>
      </c>
    </row>
    <row r="17143">
      <c r="J17143">
        <f>IFERROR(__xludf.DUMMYFUNCTION("""COMPUTED_VALUE"""),"Fredericton, Shippagan and Edmundston, New Brunswick")</f>
        <v/>
      </c>
      <c r="K17143">
        <f>IFERROR(__xludf.DUMMYFUNCTION("""COMPUTED_VALUE"""),1164.96)</f>
        <v/>
      </c>
    </row>
    <row r="17144">
      <c r="J17144">
        <f>IFERROR(__xludf.DUMMYFUNCTION("""COMPUTED_VALUE"""),"Thorold, Ontario, Canada; St. Catharines, Ontario, Canada; Hamilton, Ontario, Canada; Kitchener, Ontario, Canada; Cambridge, Ontario, Canada")</f>
        <v/>
      </c>
      <c r="K17144">
        <f>IFERROR(__xludf.DUMMYFUNCTION("""COMPUTED_VALUE"""),1164.63)</f>
        <v/>
      </c>
    </row>
    <row r="17145">
      <c r="J17145">
        <f>IFERROR(__xludf.DUMMYFUNCTION("""COMPUTED_VALUE"""),"Edmonton, Alberta, Canada; Seoul, South Korea; Hiroshima, Japan")</f>
        <v/>
      </c>
      <c r="K17145">
        <f>IFERROR(__xludf.DUMMYFUNCTION("""COMPUTED_VALUE"""),1164.29)</f>
        <v/>
      </c>
    </row>
    <row r="17146">
      <c r="J17146">
        <f>IFERROR(__xludf.DUMMYFUNCTION("""COMPUTED_VALUE"""),"Montreal, Quebec, Canada; Halifax, Nova Scotia, Canada; Toronto, Ontario, Canada")</f>
        <v/>
      </c>
      <c r="K17146">
        <f>IFERROR(__xludf.DUMMYFUNCTION("""COMPUTED_VALUE"""),1164.17)</f>
        <v/>
      </c>
    </row>
    <row r="17147">
      <c r="J17147">
        <f>IFERROR(__xludf.DUMMYFUNCTION("""COMPUTED_VALUE"""),"Toronto, Niagara-on-the-Lake, ON")</f>
        <v/>
      </c>
      <c r="K17147">
        <f>IFERROR(__xludf.DUMMYFUNCTION("""COMPUTED_VALUE"""),1164.04)</f>
        <v/>
      </c>
    </row>
    <row r="17148">
      <c r="J17148">
        <f>IFERROR(__xludf.DUMMYFUNCTION("""COMPUTED_VALUE"""),"Clarenville, Newfoundland and Labrador, Canada")</f>
        <v/>
      </c>
      <c r="K17148">
        <f>IFERROR(__xludf.DUMMYFUNCTION("""COMPUTED_VALUE"""),1163.5)</f>
        <v/>
      </c>
    </row>
    <row r="17149">
      <c r="J17149">
        <f>IFERROR(__xludf.DUMMYFUNCTION("""COMPUTED_VALUE"""),"Owen Sound, Ontario, Canada; York, Ontario, Canada")</f>
        <v/>
      </c>
      <c r="K17149">
        <f>IFERROR(__xludf.DUMMYFUNCTION("""COMPUTED_VALUE"""),1162.9)</f>
        <v/>
      </c>
    </row>
    <row r="17150">
      <c r="J17150">
        <f>IFERROR(__xludf.DUMMYFUNCTION("""COMPUTED_VALUE"""),"Aotearoa, New Zealand")</f>
        <v/>
      </c>
      <c r="K17150">
        <f>IFERROR(__xludf.DUMMYFUNCTION("""COMPUTED_VALUE"""),1162.57)</f>
        <v/>
      </c>
    </row>
    <row r="17151">
      <c r="J17151">
        <f>IFERROR(__xludf.DUMMYFUNCTION("""COMPUTED_VALUE"""),"Labrador City, Newfoundland and Labrador, Canada; Happy Valley-Goose Bay, Newfoundland and Labrador, Canada")</f>
        <v/>
      </c>
      <c r="K17151">
        <f>IFERROR(__xludf.DUMMYFUNCTION("""COMPUTED_VALUE"""),1162.49)</f>
        <v/>
      </c>
    </row>
    <row r="17152">
      <c r="J17152">
        <f>IFERROR(__xludf.DUMMYFUNCTION("""COMPUTED_VALUE"""),"Charlottetown, Halifax and Dartmouth")</f>
        <v/>
      </c>
      <c r="K17152">
        <f>IFERROR(__xludf.DUMMYFUNCTION("""COMPUTED_VALUE"""),1162.09)</f>
        <v/>
      </c>
    </row>
    <row r="17153">
      <c r="J17153">
        <f>IFERROR(__xludf.DUMMYFUNCTION("""COMPUTED_VALUE"""),"Toronto, On &amp; Montreal, Qc")</f>
        <v/>
      </c>
      <c r="K17153">
        <f>IFERROR(__xludf.DUMMYFUNCTION("""COMPUTED_VALUE"""),1161.38)</f>
        <v/>
      </c>
    </row>
    <row r="17154">
      <c r="J17154">
        <f>IFERROR(__xludf.DUMMYFUNCTION("""COMPUTED_VALUE"""),"Ottawa - Toronto, Ontario")</f>
        <v/>
      </c>
      <c r="K17154">
        <f>IFERROR(__xludf.DUMMYFUNCTION("""COMPUTED_VALUE"""),1161.24)</f>
        <v/>
      </c>
    </row>
    <row r="17155">
      <c r="J17155">
        <f>IFERROR(__xludf.DUMMYFUNCTION("""COMPUTED_VALUE"""),"Fredericton, NB / Charlottetown, PEI")</f>
        <v/>
      </c>
      <c r="K17155">
        <f>IFERROR(__xludf.DUMMYFUNCTION("""COMPUTED_VALUE"""),1161.1)</f>
        <v/>
      </c>
    </row>
    <row r="17156">
      <c r="J17156">
        <f>IFERROR(__xludf.DUMMYFUNCTION("""COMPUTED_VALUE"""),"Toronto and London, Ontario, Canada")</f>
        <v/>
      </c>
      <c r="K17156">
        <f>IFERROR(__xludf.DUMMYFUNCTION("""COMPUTED_VALUE"""),1160.63)</f>
        <v/>
      </c>
    </row>
    <row r="17157">
      <c r="J17157">
        <f>IFERROR(__xludf.DUMMYFUNCTION("""COMPUTED_VALUE"""),"Spruce Meadows, AB")</f>
        <v/>
      </c>
      <c r="K17157">
        <f>IFERROR(__xludf.DUMMYFUNCTION("""COMPUTED_VALUE"""),1160.53)</f>
        <v/>
      </c>
    </row>
    <row r="17158">
      <c r="J17158">
        <f>IFERROR(__xludf.DUMMYFUNCTION("""COMPUTED_VALUE"""),"Québec,
Ottawa")</f>
        <v/>
      </c>
      <c r="K17158">
        <f>IFERROR(__xludf.DUMMYFUNCTION("""COMPUTED_VALUE"""),1159.3)</f>
        <v/>
      </c>
    </row>
    <row r="17159">
      <c r="J17159">
        <f>IFERROR(__xludf.DUMMYFUNCTION("""COMPUTED_VALUE"""),"Rockland, Maine, United States of America")</f>
        <v/>
      </c>
      <c r="K17159">
        <f>IFERROR(__xludf.DUMMYFUNCTION("""COMPUTED_VALUE"""),1159.12)</f>
        <v/>
      </c>
    </row>
    <row r="17160">
      <c r="J17160">
        <f>IFERROR(__xludf.DUMMYFUNCTION("""COMPUTED_VALUE"""),"Montreal, Sherbrooke, (Quebec)")</f>
        <v/>
      </c>
      <c r="K17160">
        <f>IFERROR(__xludf.DUMMYFUNCTION("""COMPUTED_VALUE"""),1158.29)</f>
        <v/>
      </c>
    </row>
    <row r="17161">
      <c r="J17161">
        <f>IFERROR(__xludf.DUMMYFUNCTION("""COMPUTED_VALUE"""),"Barrie, Ontario, Canada;  Markham, Ontario, Canada; Toronto, Ontario, Canada")</f>
        <v/>
      </c>
      <c r="K17161">
        <f>IFERROR(__xludf.DUMMYFUNCTION("""COMPUTED_VALUE"""),1158.14)</f>
        <v/>
      </c>
    </row>
    <row r="17162">
      <c r="J17162">
        <f>IFERROR(__xludf.DUMMYFUNCTION("""COMPUTED_VALUE"""),"Nelson, British Columbia, Canada")</f>
        <v/>
      </c>
      <c r="K17162">
        <f>IFERROR(__xludf.DUMMYFUNCTION("""COMPUTED_VALUE"""),1157.78)</f>
        <v/>
      </c>
    </row>
    <row r="17163">
      <c r="J17163">
        <f>IFERROR(__xludf.DUMMYFUNCTION("""COMPUTED_VALUE"""),"Ottawa-Windsor-Ottawa")</f>
        <v/>
      </c>
      <c r="K17163">
        <f>IFERROR(__xludf.DUMMYFUNCTION("""COMPUTED_VALUE"""),1156.66)</f>
        <v/>
      </c>
    </row>
    <row r="17164">
      <c r="J17164">
        <f>IFERROR(__xludf.DUMMYFUNCTION("""COMPUTED_VALUE"""),"Campbell River, British Columbia, Canada
Nanaimo, British Columbia, Canada")</f>
        <v/>
      </c>
      <c r="K17164">
        <f>IFERROR(__xludf.DUMMYFUNCTION("""COMPUTED_VALUE"""),1156.51)</f>
        <v/>
      </c>
    </row>
    <row r="17165">
      <c r="J17165">
        <f>IFERROR(__xludf.DUMMYFUNCTION("""COMPUTED_VALUE"""),"Montréal, Drummondville")</f>
        <v/>
      </c>
      <c r="K17165">
        <f>IFERROR(__xludf.DUMMYFUNCTION("""COMPUTED_VALUE"""),1156.46)</f>
        <v/>
      </c>
    </row>
    <row r="17166">
      <c r="J17166">
        <f>IFERROR(__xludf.DUMMYFUNCTION("""COMPUTED_VALUE"""),"Ottawa-Montréal-Ottawa")</f>
        <v/>
      </c>
      <c r="K17166">
        <f>IFERROR(__xludf.DUMMYFUNCTION("""COMPUTED_VALUE"""),1156.29)</f>
        <v/>
      </c>
    </row>
    <row r="17167">
      <c r="J17167">
        <f>IFERROR(__xludf.DUMMYFUNCTION("""COMPUTED_VALUE"""),"Kamouraska, Quebec, Canada")</f>
        <v/>
      </c>
      <c r="K17167">
        <f>IFERROR(__xludf.DUMMYFUNCTION("""COMPUTED_VALUE"""),1156.21)</f>
        <v/>
      </c>
    </row>
    <row r="17168">
      <c r="J17168">
        <f>IFERROR(__xludf.DUMMYFUNCTION("""COMPUTED_VALUE"""),"Niagara Falls, New York, United States and Kingston, Ontario")</f>
        <v/>
      </c>
      <c r="K17168">
        <f>IFERROR(__xludf.DUMMYFUNCTION("""COMPUTED_VALUE"""),1155.9)</f>
        <v/>
      </c>
    </row>
    <row r="17169">
      <c r="J17169">
        <f>IFERROR(__xludf.DUMMYFUNCTION("""COMPUTED_VALUE"""),"Québec/ Sept-Iles")</f>
        <v/>
      </c>
      <c r="K17169">
        <f>IFERROR(__xludf.DUMMYFUNCTION("""COMPUTED_VALUE"""),1155.39)</f>
        <v/>
      </c>
    </row>
    <row r="17170">
      <c r="J17170">
        <f>IFERROR(__xludf.DUMMYFUNCTION("""COMPUTED_VALUE"""),"Langley, British Columbia, Canada; Port Coquitlam, British Columbia, Canada; Vancouver, British Columbia, Canada")</f>
        <v/>
      </c>
      <c r="K17170">
        <f>IFERROR(__xludf.DUMMYFUNCTION("""COMPUTED_VALUE"""),1155.23)</f>
        <v/>
      </c>
    </row>
    <row r="17171">
      <c r="J17171">
        <f>IFERROR(__xludf.DUMMYFUNCTION("""COMPUTED_VALUE"""),"Lorraine")</f>
        <v/>
      </c>
      <c r="K17171">
        <f>IFERROR(__xludf.DUMMYFUNCTION("""COMPUTED_VALUE"""),1154.7)</f>
        <v/>
      </c>
    </row>
    <row r="17172">
      <c r="J17172">
        <f>IFERROR(__xludf.DUMMYFUNCTION("""COMPUTED_VALUE"""),"Toronto, Ontario, Canada          Borden, Ontario, Canada")</f>
        <v/>
      </c>
      <c r="K17172">
        <f>IFERROR(__xludf.DUMMYFUNCTION("""COMPUTED_VALUE"""),1154.17)</f>
        <v/>
      </c>
    </row>
    <row r="17173">
      <c r="J17173">
        <f>IFERROR(__xludf.DUMMYFUNCTION("""COMPUTED_VALUE"""),"CHARLOTTETOWN (PE)")</f>
        <v/>
      </c>
      <c r="K17173">
        <f>IFERROR(__xludf.DUMMYFUNCTION("""COMPUTED_VALUE"""),1154.13)</f>
        <v/>
      </c>
    </row>
    <row r="17174">
      <c r="J17174">
        <f>IFERROR(__xludf.DUMMYFUNCTION("""COMPUTED_VALUE"""),"Holland Landing, Ontario, Canada")</f>
        <v/>
      </c>
      <c r="K17174">
        <f>IFERROR(__xludf.DUMMYFUNCTION("""COMPUTED_VALUE"""),1153.95)</f>
        <v/>
      </c>
    </row>
    <row r="17175">
      <c r="J17175">
        <f>IFERROR(__xludf.DUMMYFUNCTION("""COMPUTED_VALUE"""),"Toronto and Kitchener-Waterloo, Ontario")</f>
        <v/>
      </c>
      <c r="K17175">
        <f>IFERROR(__xludf.DUMMYFUNCTION("""COMPUTED_VALUE"""),1153.82)</f>
        <v/>
      </c>
    </row>
    <row r="17176">
      <c r="J17176">
        <f>IFERROR(__xludf.DUMMYFUNCTION("""COMPUTED_VALUE"""),"Moncton, NS")</f>
        <v/>
      </c>
      <c r="K17176">
        <f>IFERROR(__xludf.DUMMYFUNCTION("""COMPUTED_VALUE"""),1153.31)</f>
        <v/>
      </c>
    </row>
    <row r="17177">
      <c r="J17177">
        <f>IFERROR(__xludf.DUMMYFUNCTION("""COMPUTED_VALUE"""),"Gwaii Haanas, Queen Charlotte, British Columbia")</f>
        <v/>
      </c>
      <c r="K17177">
        <f>IFERROR(__xludf.DUMMYFUNCTION("""COMPUTED_VALUE"""),1153.1)</f>
        <v/>
      </c>
    </row>
    <row r="17178">
      <c r="J17178">
        <f>IFERROR(__xludf.DUMMYFUNCTION("""COMPUTED_VALUE"""),"Comox BC, Vancouver BC")</f>
        <v/>
      </c>
      <c r="K17178">
        <f>IFERROR(__xludf.DUMMYFUNCTION("""COMPUTED_VALUE"""),1152.9)</f>
        <v/>
      </c>
    </row>
    <row r="17179">
      <c r="J17179">
        <f>IFERROR(__xludf.DUMMYFUNCTION("""COMPUTED_VALUE"""),"Moncton, New Brunswick, Canada; Gander, Newfoundland and Labrador, Canada; Montreal, Quebec, Canada")</f>
        <v/>
      </c>
      <c r="K17179">
        <f>IFERROR(__xludf.DUMMYFUNCTION("""COMPUTED_VALUE"""),1152.78)</f>
        <v/>
      </c>
    </row>
    <row r="17180">
      <c r="J17180">
        <f>IFERROR(__xludf.DUMMYFUNCTION("""COMPUTED_VALUE"""),"Bridgewater, Nova Scotia, Canada; Wolfville, Nova Scotia, Canada")</f>
        <v/>
      </c>
      <c r="K17180">
        <f>IFERROR(__xludf.DUMMYFUNCTION("""COMPUTED_VALUE"""),1152.73)</f>
        <v/>
      </c>
    </row>
    <row r="17181">
      <c r="J17181">
        <f>IFERROR(__xludf.DUMMYFUNCTION("""COMPUTED_VALUE"""),"Saguenay, Roberval")</f>
        <v/>
      </c>
      <c r="K17181">
        <f>IFERROR(__xludf.DUMMYFUNCTION("""COMPUTED_VALUE"""),1152.67)</f>
        <v/>
      </c>
    </row>
    <row r="17182">
      <c r="J17182">
        <f>IFERROR(__xludf.DUMMYFUNCTION("""COMPUTED_VALUE"""),"Greenwich, Nova Scotia")</f>
        <v/>
      </c>
      <c r="K17182">
        <f>IFERROR(__xludf.DUMMYFUNCTION("""COMPUTED_VALUE"""),1151.76)</f>
        <v/>
      </c>
    </row>
    <row r="17183">
      <c r="J17183">
        <f>IFERROR(__xludf.DUMMYFUNCTION("""COMPUTED_VALUE"""),"Brockport, New York")</f>
        <v/>
      </c>
      <c r="K17183">
        <f>IFERROR(__xludf.DUMMYFUNCTION("""COMPUTED_VALUE"""),1151.48)</f>
        <v/>
      </c>
    </row>
    <row r="17184">
      <c r="J17184">
        <f>IFERROR(__xludf.DUMMYFUNCTION("""COMPUTED_VALUE"""),"Kansas City, St. Pauls, Minneapolis and Winnipeg")</f>
        <v/>
      </c>
      <c r="K17184">
        <f>IFERROR(__xludf.DUMMYFUNCTION("""COMPUTED_VALUE"""),1151.14)</f>
        <v/>
      </c>
    </row>
    <row r="17185">
      <c r="J17185">
        <f>IFERROR(__xludf.DUMMYFUNCTION("""COMPUTED_VALUE"""),"Lac La Biche, Alberta, Canada")</f>
        <v/>
      </c>
      <c r="K17185">
        <f>IFERROR(__xludf.DUMMYFUNCTION("""COMPUTED_VALUE"""),1150.63)</f>
        <v/>
      </c>
    </row>
    <row r="17186">
      <c r="J17186">
        <f>IFERROR(__xludf.DUMMYFUNCTION("""COMPUTED_VALUE"""),"Halifax, NS Fredericton, NB")</f>
        <v/>
      </c>
      <c r="K17186">
        <f>IFERROR(__xludf.DUMMYFUNCTION("""COMPUTED_VALUE"""),1149.39)</f>
        <v/>
      </c>
    </row>
    <row r="17187">
      <c r="J17187">
        <f>IFERROR(__xludf.DUMMYFUNCTION("""COMPUTED_VALUE"""),"Belleville &amp; Ottawa, ON")</f>
        <v/>
      </c>
      <c r="K17187">
        <f>IFERROR(__xludf.DUMMYFUNCTION("""COMPUTED_VALUE"""),1148.46)</f>
        <v/>
      </c>
    </row>
    <row r="17188">
      <c r="J17188">
        <f>IFERROR(__xludf.DUMMYFUNCTION("""COMPUTED_VALUE"""),"Springfield Virginia, USA")</f>
        <v/>
      </c>
      <c r="K17188">
        <f>IFERROR(__xludf.DUMMYFUNCTION("""COMPUTED_VALUE"""),1147.96)</f>
        <v/>
      </c>
    </row>
    <row r="17189">
      <c r="J17189">
        <f>IFERROR(__xludf.DUMMYFUNCTION("""COMPUTED_VALUE"""),"Mississauga, Ontario, Canada; Oshawa, Ontario, Canada")</f>
        <v/>
      </c>
      <c r="K17189">
        <f>IFERROR(__xludf.DUMMYFUNCTION("""COMPUTED_VALUE"""),1147.76)</f>
        <v/>
      </c>
    </row>
    <row r="17190">
      <c r="J17190">
        <f>IFERROR(__xludf.DUMMYFUNCTION("""COMPUTED_VALUE"""),"Vancouver, BC - Smithers, BC")</f>
        <v/>
      </c>
      <c r="K17190">
        <f>IFERROR(__xludf.DUMMYFUNCTION("""COMPUTED_VALUE"""),1147.61)</f>
        <v/>
      </c>
    </row>
    <row r="17191">
      <c r="J17191">
        <f>IFERROR(__xludf.DUMMYFUNCTION("""COMPUTED_VALUE"""),"Niagara Falls, Ontario, Canada
Hamilton, Ontario, Canada")</f>
        <v/>
      </c>
      <c r="K17191">
        <f>IFERROR(__xludf.DUMMYFUNCTION("""COMPUTED_VALUE"""),1147.48)</f>
        <v/>
      </c>
    </row>
    <row r="17192">
      <c r="J17192">
        <f>IFERROR(__xludf.DUMMYFUNCTION("""COMPUTED_VALUE"""),"Niagara Falls, Ontario, Canada; Hamilton, Ontario, Canada; Brantford, Ontario, Canada")</f>
        <v/>
      </c>
      <c r="K17192">
        <f>IFERROR(__xludf.DUMMYFUNCTION("""COMPUTED_VALUE"""),1147.48)</f>
        <v/>
      </c>
    </row>
    <row r="17193">
      <c r="J17193">
        <f>IFERROR(__xludf.DUMMYFUNCTION("""COMPUTED_VALUE"""),"Charlottetown, New Brunswick")</f>
        <v/>
      </c>
      <c r="K17193">
        <f>IFERROR(__xludf.DUMMYFUNCTION("""COMPUTED_VALUE"""),1147.37)</f>
        <v/>
      </c>
    </row>
    <row r="17194">
      <c r="J17194">
        <f>IFERROR(__xludf.DUMMYFUNCTION("""COMPUTED_VALUE"""),"St. John's - Halifax - St. John's")</f>
        <v/>
      </c>
      <c r="K17194">
        <f>IFERROR(__xludf.DUMMYFUNCTION("""COMPUTED_VALUE"""),1147.36)</f>
        <v/>
      </c>
    </row>
    <row r="17195">
      <c r="J17195">
        <f>IFERROR(__xludf.DUMMYFUNCTION("""COMPUTED_VALUE"""),"Corner Brook, Newfoundland and Labrador, Canada; Rocky Harbour, Newfoundland and Labrador, Canada; St. Anthony, Newfoundland and Labrador, Canada")</f>
        <v/>
      </c>
      <c r="K17195">
        <f>IFERROR(__xludf.DUMMYFUNCTION("""COMPUTED_VALUE"""),1147.31)</f>
        <v/>
      </c>
    </row>
    <row r="17196">
      <c r="J17196">
        <f>IFERROR(__xludf.DUMMYFUNCTION("""COMPUTED_VALUE"""),"Pacific Rim, British Columbia")</f>
        <v/>
      </c>
      <c r="K17196">
        <f>IFERROR(__xludf.DUMMYFUNCTION("""COMPUTED_VALUE"""),1147.07)</f>
        <v/>
      </c>
    </row>
    <row r="17197">
      <c r="J17197">
        <f>IFERROR(__xludf.DUMMYFUNCTION("""COMPUTED_VALUE"""),"Porto Alegre")</f>
        <v/>
      </c>
      <c r="K17197">
        <f>IFERROR(__xludf.DUMMYFUNCTION("""COMPUTED_VALUE"""),1145.76)</f>
        <v/>
      </c>
    </row>
    <row r="17198">
      <c r="J17198">
        <f>IFERROR(__xludf.DUMMYFUNCTION("""COMPUTED_VALUE"""),"Edmundston and Campbellton, New Brunswick")</f>
        <v/>
      </c>
      <c r="K17198">
        <f>IFERROR(__xludf.DUMMYFUNCTION("""COMPUTED_VALUE"""),1145.18)</f>
        <v/>
      </c>
    </row>
    <row r="17199">
      <c r="J17199">
        <f>IFERROR(__xludf.DUMMYFUNCTION("""COMPUTED_VALUE"""),"London; Windsor, Ontario, Canada")</f>
        <v/>
      </c>
      <c r="K17199">
        <f>IFERROR(__xludf.DUMMYFUNCTION("""COMPUTED_VALUE"""),1144.63)</f>
        <v/>
      </c>
    </row>
    <row r="17200">
      <c r="J17200">
        <f>IFERROR(__xludf.DUMMYFUNCTION("""COMPUTED_VALUE"""),"Bagotville -  Montréal - Ottawa")</f>
        <v/>
      </c>
      <c r="K17200">
        <f>IFERROR(__xludf.DUMMYFUNCTION("""COMPUTED_VALUE"""),1144.6)</f>
        <v/>
      </c>
    </row>
    <row r="17201">
      <c r="J17201">
        <f>IFERROR(__xludf.DUMMYFUNCTION("""COMPUTED_VALUE"""),"Hamilton and Guelph, Ontario, Canada")</f>
        <v/>
      </c>
      <c r="K17201">
        <f>IFERROR(__xludf.DUMMYFUNCTION("""COMPUTED_VALUE"""),1143.77)</f>
        <v/>
      </c>
    </row>
    <row r="17202">
      <c r="J17202">
        <f>IFERROR(__xludf.DUMMYFUNCTION("""COMPUTED_VALUE"""),"Québec,Roberval, Victoriaville, Ottawa")</f>
        <v/>
      </c>
      <c r="K17202">
        <f>IFERROR(__xludf.DUMMYFUNCTION("""COMPUTED_VALUE"""),1143.49)</f>
        <v/>
      </c>
    </row>
    <row r="17203">
      <c r="J17203">
        <f>IFERROR(__xludf.DUMMYFUNCTION("""COMPUTED_VALUE"""),"Sainte-Anne-des-Plaines, Quebec")</f>
        <v/>
      </c>
      <c r="K17203">
        <f>IFERROR(__xludf.DUMMYFUNCTION("""COMPUTED_VALUE"""),1143.43)</f>
        <v/>
      </c>
    </row>
    <row r="17204">
      <c r="J17204">
        <f>IFERROR(__xludf.DUMMYFUNCTION("""COMPUTED_VALUE"""),"Waterloo, ON / Windsor, ON /
London, ON / Oakville, ON")</f>
        <v/>
      </c>
      <c r="K17204">
        <f>IFERROR(__xludf.DUMMYFUNCTION("""COMPUTED_VALUE"""),1143.36)</f>
        <v/>
      </c>
    </row>
    <row r="17205">
      <c r="J17205">
        <f>IFERROR(__xludf.DUMMYFUNCTION("""COMPUTED_VALUE"""),"Lake Louise, Alberta and Riding Mountain, Manitoba")</f>
        <v/>
      </c>
      <c r="K17205">
        <f>IFERROR(__xludf.DUMMYFUNCTION("""COMPUTED_VALUE"""),1143.35)</f>
        <v/>
      </c>
    </row>
    <row r="17206">
      <c r="J17206">
        <f>IFERROR(__xludf.DUMMYFUNCTION("""COMPUTED_VALUE"""),"Toronto and Peterborough, ON")</f>
        <v/>
      </c>
      <c r="K17206">
        <f>IFERROR(__xludf.DUMMYFUNCTION("""COMPUTED_VALUE"""),1143.23)</f>
        <v/>
      </c>
    </row>
    <row r="17207">
      <c r="J17207">
        <f>IFERROR(__xludf.DUMMYFUNCTION("""COMPUTED_VALUE"""),"Washington - Montreal - Washington")</f>
        <v/>
      </c>
      <c r="K17207">
        <f>IFERROR(__xludf.DUMMYFUNCTION("""COMPUTED_VALUE"""),1142.88)</f>
        <v/>
      </c>
    </row>
    <row r="17208">
      <c r="J17208">
        <f>IFERROR(__xludf.DUMMYFUNCTION("""COMPUTED_VALUE"""),"Mississauga, ON / Hamilton, ON / Montreal, QC")</f>
        <v/>
      </c>
      <c r="K17208">
        <f>IFERROR(__xludf.DUMMYFUNCTION("""COMPUTED_VALUE"""),1142.65)</f>
        <v/>
      </c>
    </row>
    <row r="17209">
      <c r="J17209">
        <f>IFERROR(__xludf.DUMMYFUNCTION("""COMPUTED_VALUE"""),"Windsor, London, Brantford, St. Catherines and Hamilton, Ontario, Canada")</f>
        <v/>
      </c>
      <c r="K17209">
        <f>IFERROR(__xludf.DUMMYFUNCTION("""COMPUTED_VALUE"""),1142.38)</f>
        <v/>
      </c>
    </row>
    <row r="17210">
      <c r="J17210">
        <f>IFERROR(__xludf.DUMMYFUNCTION("""COMPUTED_VALUE"""),"Québec / St-Joseph-de-Beauce")</f>
        <v/>
      </c>
      <c r="K17210">
        <f>IFERROR(__xludf.DUMMYFUNCTION("""COMPUTED_VALUE"""),1142.26)</f>
        <v/>
      </c>
    </row>
    <row r="17211">
      <c r="J17211">
        <f>IFERROR(__xludf.DUMMYFUNCTION("""COMPUTED_VALUE"""),"Halifax, Nova Scotia, Canada; Montreal, Quebec, Canada; Val-d'Or, Quebec, Canada; Quebec City, Quebec, Canada")</f>
        <v/>
      </c>
      <c r="K17211">
        <f>IFERROR(__xludf.DUMMYFUNCTION("""COMPUTED_VALUE"""),1140.99)</f>
        <v/>
      </c>
    </row>
    <row r="17212">
      <c r="J17212">
        <f>IFERROR(__xludf.DUMMYFUNCTION("""COMPUTED_VALUE"""),"Ottawa-Québec-Gatineau")</f>
        <v/>
      </c>
      <c r="K17212">
        <f>IFERROR(__xludf.DUMMYFUNCTION("""COMPUTED_VALUE"""),1140.85)</f>
        <v/>
      </c>
    </row>
    <row r="17213">
      <c r="J17213">
        <f>IFERROR(__xludf.DUMMYFUNCTION("""COMPUTED_VALUE"""),"Riding Mountain National Park, Manitoba")</f>
        <v/>
      </c>
      <c r="K17213">
        <f>IFERROR(__xludf.DUMMYFUNCTION("""COMPUTED_VALUE"""),1140.83)</f>
        <v/>
      </c>
    </row>
    <row r="17214">
      <c r="J17214">
        <f>IFERROR(__xludf.DUMMYFUNCTION("""COMPUTED_VALUE"""),"Stellarton, Nova Scotia, Canada")</f>
        <v/>
      </c>
      <c r="K17214">
        <f>IFERROR(__xludf.DUMMYFUNCTION("""COMPUTED_VALUE"""),1140.8)</f>
        <v/>
      </c>
    </row>
    <row r="17215">
      <c r="J17215">
        <f>IFERROR(__xludf.DUMMYFUNCTION("""COMPUTED_VALUE"""),"Toronto, Ontario
Kitchener, Ontario")</f>
        <v/>
      </c>
      <c r="K17215">
        <f>IFERROR(__xludf.DUMMYFUNCTION("""COMPUTED_VALUE"""),1140.77)</f>
        <v/>
      </c>
    </row>
    <row r="17216">
      <c r="J17216">
        <f>IFERROR(__xludf.DUMMYFUNCTION("""COMPUTED_VALUE"""),"Shippagan, NB Tracadie, NB")</f>
        <v/>
      </c>
      <c r="K17216">
        <f>IFERROR(__xludf.DUMMYFUNCTION("""COMPUTED_VALUE"""),1140.41)</f>
        <v/>
      </c>
    </row>
    <row r="17217">
      <c r="J17217">
        <f>IFERROR(__xludf.DUMMYFUNCTION("""COMPUTED_VALUE"""),"Ottawa (Ontario) and St-Jean-Sur-Richelieu (Quebec) Canada")</f>
        <v/>
      </c>
      <c r="K17217">
        <f>IFERROR(__xludf.DUMMYFUNCTION("""COMPUTED_VALUE"""),1140.31)</f>
        <v/>
      </c>
    </row>
    <row r="17218">
      <c r="J17218">
        <f>IFERROR(__xludf.DUMMYFUNCTION("""COMPUTED_VALUE"""),"Yellowknife, Northwest Territories
Calgary, Alberta")</f>
        <v/>
      </c>
      <c r="K17218">
        <f>IFERROR(__xludf.DUMMYFUNCTION("""COMPUTED_VALUE"""),1139.99)</f>
        <v/>
      </c>
    </row>
    <row r="17219">
      <c r="J17219">
        <f>IFERROR(__xludf.DUMMYFUNCTION("""COMPUTED_VALUE"""),"Vancouver, British Columbia and Suquamish Washington State")</f>
        <v/>
      </c>
      <c r="K17219">
        <f>IFERROR(__xludf.DUMMYFUNCTION("""COMPUTED_VALUE"""),1139.49)</f>
        <v/>
      </c>
    </row>
    <row r="17220">
      <c r="J17220">
        <f>IFERROR(__xludf.DUMMYFUNCTION("""COMPUTED_VALUE"""),"Sherbrooke, Drummondville, Gatineau, Val-d'Or, Montreal")</f>
        <v/>
      </c>
      <c r="K17220">
        <f>IFERROR(__xludf.DUMMYFUNCTION("""COMPUTED_VALUE"""),1139.43)</f>
        <v/>
      </c>
    </row>
    <row r="17221">
      <c r="J17221">
        <f>IFERROR(__xludf.DUMMYFUNCTION("""COMPUTED_VALUE"""),"Richmond Hill, Ontario, Canada; Oshawa, Ontario, Canada")</f>
        <v/>
      </c>
      <c r="K17221">
        <f>IFERROR(__xludf.DUMMYFUNCTION("""COMPUTED_VALUE"""),1139.39)</f>
        <v/>
      </c>
    </row>
    <row r="17222">
      <c r="J17222">
        <f>IFERROR(__xludf.DUMMYFUNCTION("""COMPUTED_VALUE"""),"Halifax, St-Johns, Charlottetown")</f>
        <v/>
      </c>
      <c r="K17222">
        <f>IFERROR(__xludf.DUMMYFUNCTION("""COMPUTED_VALUE"""),1139.14)</f>
        <v/>
      </c>
    </row>
    <row r="17223">
      <c r="J17223">
        <f>IFERROR(__xludf.DUMMYFUNCTION("""COMPUTED_VALUE"""),"Toronto, ON / Cambridge, ON /
Brantford, ON")</f>
        <v/>
      </c>
      <c r="K17223">
        <f>IFERROR(__xludf.DUMMYFUNCTION("""COMPUTED_VALUE"""),1139.13)</f>
        <v/>
      </c>
    </row>
    <row r="17224">
      <c r="J17224">
        <f>IFERROR(__xludf.DUMMYFUNCTION("""COMPUTED_VALUE"""),"Bagotville - Québec - Montréal - Ottawa")</f>
        <v/>
      </c>
      <c r="K17224">
        <f>IFERROR(__xludf.DUMMYFUNCTION("""COMPUTED_VALUE"""),1139.01)</f>
        <v/>
      </c>
    </row>
    <row r="17225">
      <c r="J17225">
        <f>IFERROR(__xludf.DUMMYFUNCTION("""COMPUTED_VALUE"""),"Fort-Lévis et Québec, Québec")</f>
        <v/>
      </c>
      <c r="K17225">
        <f>IFERROR(__xludf.DUMMYFUNCTION("""COMPUTED_VALUE"""),1138.98)</f>
        <v/>
      </c>
    </row>
    <row r="17226">
      <c r="J17226">
        <f>IFERROR(__xludf.DUMMYFUNCTION("""COMPUTED_VALUE"""),"Ottawa, Ontario &amp; Moncton, New Brunswick")</f>
        <v/>
      </c>
      <c r="K17226">
        <f>IFERROR(__xludf.DUMMYFUNCTION("""COMPUTED_VALUE"""),1138.97)</f>
        <v/>
      </c>
    </row>
    <row r="17227">
      <c r="J17227">
        <f>IFERROR(__xludf.DUMMYFUNCTION("""COMPUTED_VALUE"""),"Labrador, Nunatsiavut")</f>
        <v/>
      </c>
      <c r="K17227">
        <f>IFERROR(__xludf.DUMMYFUNCTION("""COMPUTED_VALUE"""),1138.88)</f>
        <v/>
      </c>
    </row>
    <row r="17228">
      <c r="J17228">
        <f>IFERROR(__xludf.DUMMYFUNCTION("""COMPUTED_VALUE"""),"Québec et Montréal, QC")</f>
        <v/>
      </c>
      <c r="K17228">
        <f>IFERROR(__xludf.DUMMYFUNCTION("""COMPUTED_VALUE"""),1138.66)</f>
        <v/>
      </c>
    </row>
    <row r="17229">
      <c r="J17229">
        <f>IFERROR(__xludf.DUMMYFUNCTION("""COMPUTED_VALUE"""),"Jonquière, Quebec, Canada; Drummondville, Quebec, Canada")</f>
        <v/>
      </c>
      <c r="K17229">
        <f>IFERROR(__xludf.DUMMYFUNCTION("""COMPUTED_VALUE"""),1138.59)</f>
        <v/>
      </c>
    </row>
    <row r="17230">
      <c r="J17230">
        <f>IFERROR(__xludf.DUMMYFUNCTION("""COMPUTED_VALUE"""),"Niagara-on-the-Lake, ON / Waterloo, ON")</f>
        <v/>
      </c>
      <c r="K17230">
        <f>IFERROR(__xludf.DUMMYFUNCTION("""COMPUTED_VALUE"""),1138.21)</f>
        <v/>
      </c>
    </row>
    <row r="17231">
      <c r="J17231">
        <f>IFERROR(__xludf.DUMMYFUNCTION("""COMPUTED_VALUE"""),"Toronto, ON - Mississauga, ON")</f>
        <v/>
      </c>
      <c r="K17231">
        <f>IFERROR(__xludf.DUMMYFUNCTION("""COMPUTED_VALUE"""),1138.17)</f>
        <v/>
      </c>
    </row>
    <row r="17232">
      <c r="J17232">
        <f>IFERROR(__xludf.DUMMYFUNCTION("""COMPUTED_VALUE"""),"Sainte-Anne-de-Bellevue, Quebec, Canada")</f>
        <v/>
      </c>
      <c r="K17232">
        <f>IFERROR(__xludf.DUMMYFUNCTION("""COMPUTED_VALUE"""),1137.97)</f>
        <v/>
      </c>
    </row>
    <row r="17233">
      <c r="J17233">
        <f>IFERROR(__xludf.DUMMYFUNCTION("""COMPUTED_VALUE"""),"Burlington VT., Colchester VT., Rockport ME., Portland ME.")</f>
        <v/>
      </c>
      <c r="K17233">
        <f>IFERROR(__xludf.DUMMYFUNCTION("""COMPUTED_VALUE"""),1137.91)</f>
        <v/>
      </c>
    </row>
    <row r="17234">
      <c r="J17234">
        <f>IFERROR(__xludf.DUMMYFUNCTION("""COMPUTED_VALUE"""),"Ottawa-Toronto, ON")</f>
        <v/>
      </c>
      <c r="K17234">
        <f>IFERROR(__xludf.DUMMYFUNCTION("""COMPUTED_VALUE"""),1136.1)</f>
        <v/>
      </c>
    </row>
    <row r="17235">
      <c r="J17235">
        <f>IFERROR(__xludf.DUMMYFUNCTION("""COMPUTED_VALUE"""),"Halifax and Shelburne, Nova Scotia, Canada")</f>
        <v/>
      </c>
      <c r="K17235">
        <f>IFERROR(__xludf.DUMMYFUNCTION("""COMPUTED_VALUE"""),1135.78)</f>
        <v/>
      </c>
    </row>
    <row r="17236">
      <c r="J17236">
        <f>IFERROR(__xludf.DUMMYFUNCTION("""COMPUTED_VALUE"""),"Renous, New Brunswick")</f>
        <v/>
      </c>
      <c r="K17236">
        <f>IFERROR(__xludf.DUMMYFUNCTION("""COMPUTED_VALUE"""),1135.39)</f>
        <v/>
      </c>
    </row>
    <row r="17237">
      <c r="J17237">
        <f>IFERROR(__xludf.DUMMYFUNCTION("""COMPUTED_VALUE"""),"Halifax Canada")</f>
        <v/>
      </c>
      <c r="K17237">
        <f>IFERROR(__xludf.DUMMYFUNCTION("""COMPUTED_VALUE"""),1135.35)</f>
        <v/>
      </c>
    </row>
    <row r="17238">
      <c r="J17238">
        <f>IFERROR(__xludf.DUMMYFUNCTION("""COMPUTED_VALUE"""),"Cape Breton Island, Nova Scotia")</f>
        <v/>
      </c>
      <c r="K17238">
        <f>IFERROR(__xludf.DUMMYFUNCTION("""COMPUTED_VALUE"""),1135.16)</f>
        <v/>
      </c>
    </row>
    <row r="17239">
      <c r="J17239">
        <f>IFERROR(__xludf.DUMMYFUNCTION("""COMPUTED_VALUE"""),"Germany - Berlin")</f>
        <v/>
      </c>
      <c r="K17239">
        <f>IFERROR(__xludf.DUMMYFUNCTION("""COMPUTED_VALUE"""),1135)</f>
        <v/>
      </c>
    </row>
    <row r="17240">
      <c r="J17240">
        <f>IFERROR(__xludf.DUMMYFUNCTION("""COMPUTED_VALUE"""),"Oshawa, ON / Toronto, ON")</f>
        <v/>
      </c>
      <c r="K17240">
        <f>IFERROR(__xludf.DUMMYFUNCTION("""COMPUTED_VALUE"""),1134.97)</f>
        <v/>
      </c>
    </row>
    <row r="17241">
      <c r="J17241">
        <f>IFERROR(__xludf.DUMMYFUNCTION("""COMPUTED_VALUE"""),"London, ON Hamilton, ON")</f>
        <v/>
      </c>
      <c r="K17241">
        <f>IFERROR(__xludf.DUMMYFUNCTION("""COMPUTED_VALUE"""),1134.74)</f>
        <v/>
      </c>
    </row>
    <row r="17242">
      <c r="J17242">
        <f>IFERROR(__xludf.DUMMYFUNCTION("""COMPUTED_VALUE"""),"Rivière-du-Loup, Québec")</f>
        <v/>
      </c>
      <c r="K17242">
        <f>IFERROR(__xludf.DUMMYFUNCTION("""COMPUTED_VALUE"""),1134.43)</f>
        <v/>
      </c>
    </row>
    <row r="17243">
      <c r="J17243">
        <f>IFERROR(__xludf.DUMMYFUNCTION("""COMPUTED_VALUE"""),"Halifax /Charlottetown / Fredericton")</f>
        <v/>
      </c>
      <c r="K17243">
        <f>IFERROR(__xludf.DUMMYFUNCTION("""COMPUTED_VALUE"""),1134.32)</f>
        <v/>
      </c>
    </row>
    <row r="17244">
      <c r="J17244">
        <f>IFERROR(__xludf.DUMMYFUNCTION("""COMPUTED_VALUE"""),"Vancouver, British Columbia and Halifax , Nova Scotia")</f>
        <v/>
      </c>
      <c r="K17244">
        <f>IFERROR(__xludf.DUMMYFUNCTION("""COMPUTED_VALUE"""),1133.86)</f>
        <v/>
      </c>
    </row>
    <row r="17245">
      <c r="J17245">
        <f>IFERROR(__xludf.DUMMYFUNCTION("""COMPUTED_VALUE"""),"JORDAN, ISARAEL, WEST BANK &amp; GAZA, LEBANON AND SYRIA")</f>
        <v/>
      </c>
      <c r="K17245">
        <f>IFERROR(__xludf.DUMMYFUNCTION("""COMPUTED_VALUE"""),1133.76)</f>
        <v/>
      </c>
    </row>
    <row r="17246">
      <c r="J17246">
        <f>IFERROR(__xludf.DUMMYFUNCTION("""COMPUTED_VALUE"""),"Niagara on the Lake, ON")</f>
        <v/>
      </c>
      <c r="K17246">
        <f>IFERROR(__xludf.DUMMYFUNCTION("""COMPUTED_VALUE"""),1133.75)</f>
        <v/>
      </c>
    </row>
    <row r="17247">
      <c r="J17247">
        <f>IFERROR(__xludf.DUMMYFUNCTION("""COMPUTED_VALUE"""),"Calgary, Alb")</f>
        <v/>
      </c>
      <c r="K17247">
        <f>IFERROR(__xludf.DUMMYFUNCTION("""COMPUTED_VALUE"""),1132.98)</f>
        <v/>
      </c>
    </row>
    <row r="17248">
      <c r="J17248">
        <f>IFERROR(__xludf.DUMMYFUNCTION("""COMPUTED_VALUE"""),"Ottawa, ON - Kingston, ON / Kingston, ON - St.-Jean, QC / St.-Jean, QC - Ottawa, ON")</f>
        <v/>
      </c>
      <c r="K17248">
        <f>IFERROR(__xludf.DUMMYFUNCTION("""COMPUTED_VALUE"""),1132.92)</f>
        <v/>
      </c>
    </row>
    <row r="17249">
      <c r="J17249">
        <f>IFERROR(__xludf.DUMMYFUNCTION("""COMPUTED_VALUE"""),"Mono, ON")</f>
        <v/>
      </c>
      <c r="K17249">
        <f>IFERROR(__xludf.DUMMYFUNCTION("""COMPUTED_VALUE"""),1132.8)</f>
        <v/>
      </c>
    </row>
    <row r="17250">
      <c r="J17250">
        <f>IFERROR(__xludf.DUMMYFUNCTION("""COMPUTED_VALUE"""),"Colorado, U.S.A")</f>
        <v/>
      </c>
      <c r="K17250">
        <f>IFERROR(__xludf.DUMMYFUNCTION("""COMPUTED_VALUE"""),1132.32)</f>
        <v/>
      </c>
    </row>
    <row r="17251">
      <c r="J17251">
        <f>IFERROR(__xludf.DUMMYFUNCTION("""COMPUTED_VALUE"""),"Seattle/Washington, United States of America")</f>
        <v/>
      </c>
      <c r="K17251">
        <f>IFERROR(__xludf.DUMMYFUNCTION("""COMPUTED_VALUE"""),1132.06)</f>
        <v/>
      </c>
    </row>
    <row r="17252">
      <c r="J17252">
        <f>IFERROR(__xludf.DUMMYFUNCTION("""COMPUTED_VALUE"""),"Toronto and Ottawa, ON and Montreal, QC")</f>
        <v/>
      </c>
      <c r="K17252">
        <f>IFERROR(__xludf.DUMMYFUNCTION("""COMPUTED_VALUE"""),1131.31)</f>
        <v/>
      </c>
    </row>
    <row r="17253">
      <c r="J17253">
        <f>IFERROR(__xludf.DUMMYFUNCTION("""COMPUTED_VALUE"""),"Victoriaville, Québec, Roberval, Gaspé, Iles-de-la-Madeleine, Sherbrooke, Rimouski")</f>
        <v/>
      </c>
      <c r="K17253">
        <f>IFERROR(__xludf.DUMMYFUNCTION("""COMPUTED_VALUE"""),1131.16)</f>
        <v/>
      </c>
    </row>
    <row r="17254">
      <c r="J17254">
        <f>IFERROR(__xludf.DUMMYFUNCTION("""COMPUTED_VALUE"""),"Listowel/Harriston/Toronto, ON")</f>
        <v/>
      </c>
      <c r="K17254">
        <f>IFERROR(__xludf.DUMMYFUNCTION("""COMPUTED_VALUE"""),1131.12)</f>
        <v/>
      </c>
    </row>
    <row r="17255">
      <c r="J17255">
        <f>IFERROR(__xludf.DUMMYFUNCTION("""COMPUTED_VALUE"""),"Pessamit, Quebec, Canada")</f>
        <v/>
      </c>
      <c r="K17255">
        <f>IFERROR(__xludf.DUMMYFUNCTION("""COMPUTED_VALUE"""),1130.74)</f>
        <v/>
      </c>
    </row>
    <row r="17256">
      <c r="J17256">
        <f>IFERROR(__xludf.DUMMYFUNCTION("""COMPUTED_VALUE"""),"Toronto - Meaford")</f>
        <v/>
      </c>
      <c r="K17256">
        <f>IFERROR(__xludf.DUMMYFUNCTION("""COMPUTED_VALUE"""),1130.5)</f>
        <v/>
      </c>
    </row>
    <row r="17257">
      <c r="J17257">
        <f>IFERROR(__xludf.DUMMYFUNCTION("""COMPUTED_VALUE"""),"Québec - Toronto - Montréal - Québec")</f>
        <v/>
      </c>
      <c r="K17257">
        <f>IFERROR(__xludf.DUMMYFUNCTION("""COMPUTED_VALUE"""),1129.66)</f>
        <v/>
      </c>
    </row>
    <row r="17258">
      <c r="J17258">
        <f>IFERROR(__xludf.DUMMYFUNCTION("""COMPUTED_VALUE"""),"Cowansville, Quebec")</f>
        <v/>
      </c>
      <c r="K17258">
        <f>IFERROR(__xludf.DUMMYFUNCTION("""COMPUTED_VALUE"""),1129.57)</f>
        <v/>
      </c>
    </row>
    <row r="17259">
      <c r="J17259">
        <f>IFERROR(__xludf.DUMMYFUNCTION("""COMPUTED_VALUE"""),"Baie Saint Paul")</f>
        <v/>
      </c>
      <c r="K17259">
        <f>IFERROR(__xludf.DUMMYFUNCTION("""COMPUTED_VALUE"""),1129.11)</f>
        <v/>
      </c>
    </row>
    <row r="17260">
      <c r="J17260">
        <f>IFERROR(__xludf.DUMMYFUNCTION("""COMPUTED_VALUE"""),"Laval, Trois-Rivières, Québec, Isle Verte")</f>
        <v/>
      </c>
      <c r="K17260">
        <f>IFERROR(__xludf.DUMMYFUNCTION("""COMPUTED_VALUE"""),1128.32)</f>
        <v/>
      </c>
    </row>
    <row r="17261">
      <c r="J17261">
        <f>IFERROR(__xludf.DUMMYFUNCTION("""COMPUTED_VALUE"""),"Ottawa- Montreal - Moncton- Ottawa")</f>
        <v/>
      </c>
      <c r="K17261">
        <f>IFERROR(__xludf.DUMMYFUNCTION("""COMPUTED_VALUE"""),1128.04)</f>
        <v/>
      </c>
    </row>
    <row r="17262">
      <c r="J17262">
        <f>IFERROR(__xludf.DUMMYFUNCTION("""COMPUTED_VALUE"""),"Borden, Ontario, Canada.")</f>
        <v/>
      </c>
      <c r="K17262">
        <f>IFERROR(__xludf.DUMMYFUNCTION("""COMPUTED_VALUE"""),1127.41)</f>
        <v/>
      </c>
    </row>
    <row r="17263">
      <c r="J17263">
        <f>IFERROR(__xludf.DUMMYFUNCTION("""COMPUTED_VALUE"""),"Sherwood Park, Alberta, Canada")</f>
        <v/>
      </c>
      <c r="K17263">
        <f>IFERROR(__xludf.DUMMYFUNCTION("""COMPUTED_VALUE"""),1127.33)</f>
        <v/>
      </c>
    </row>
    <row r="17264">
      <c r="J17264">
        <f>IFERROR(__xludf.DUMMYFUNCTION("""COMPUTED_VALUE"""),"Cleremont - Ferrand")</f>
        <v/>
      </c>
      <c r="K17264">
        <f>IFERROR(__xludf.DUMMYFUNCTION("""COMPUTED_VALUE"""),1127.23)</f>
        <v/>
      </c>
    </row>
    <row r="17265">
      <c r="J17265">
        <f>IFERROR(__xludf.DUMMYFUNCTION("""COMPUTED_VALUE"""),"London, Waterloo, ON")</f>
        <v/>
      </c>
      <c r="K17265">
        <f>IFERROR(__xludf.DUMMYFUNCTION("""COMPUTED_VALUE"""),1127.22)</f>
        <v/>
      </c>
    </row>
    <row r="17266">
      <c r="J17266">
        <f>IFERROR(__xludf.DUMMYFUNCTION("""COMPUTED_VALUE"""),"Fredericton, New Brunswick, Canada; Montreal, Quebec, Canada")</f>
        <v/>
      </c>
      <c r="K17266">
        <f>IFERROR(__xludf.DUMMYFUNCTION("""COMPUTED_VALUE"""),1127.19)</f>
        <v/>
      </c>
    </row>
    <row r="17267">
      <c r="J17267">
        <f>IFERROR(__xludf.DUMMYFUNCTION("""COMPUTED_VALUE"""),"Sainte-Adèle")</f>
        <v/>
      </c>
      <c r="K17267">
        <f>IFERROR(__xludf.DUMMYFUNCTION("""COMPUTED_VALUE"""),1126.87)</f>
        <v/>
      </c>
    </row>
    <row r="17268">
      <c r="J17268">
        <f>IFERROR(__xludf.DUMMYFUNCTION("""COMPUTED_VALUE"""),"La Citadelle Québec, Québec")</f>
        <v/>
      </c>
      <c r="K17268">
        <f>IFERROR(__xludf.DUMMYFUNCTION("""COMPUTED_VALUE"""),1126.55)</f>
        <v/>
      </c>
    </row>
    <row r="17269">
      <c r="J17269">
        <f>IFERROR(__xludf.DUMMYFUNCTION("""COMPUTED_VALUE"""),"Montreal, Quebec, Canada
Stanstead, Quebec, Canada")</f>
        <v/>
      </c>
      <c r="K17269">
        <f>IFERROR(__xludf.DUMMYFUNCTION("""COMPUTED_VALUE"""),1126.43)</f>
        <v/>
      </c>
    </row>
    <row r="17270">
      <c r="J17270">
        <f>IFERROR(__xludf.DUMMYFUNCTION("""COMPUTED_VALUE"""),"St-John's Newfoundland")</f>
        <v/>
      </c>
      <c r="K17270">
        <f>IFERROR(__xludf.DUMMYFUNCTION("""COMPUTED_VALUE"""),1126.4)</f>
        <v/>
      </c>
    </row>
    <row r="17271">
      <c r="J17271">
        <f>IFERROR(__xludf.DUMMYFUNCTION("""COMPUTED_VALUE"""),"Chennai")</f>
        <v/>
      </c>
      <c r="K17271">
        <f>IFERROR(__xludf.DUMMYFUNCTION("""COMPUTED_VALUE"""),1126.17)</f>
        <v/>
      </c>
    </row>
    <row r="17272">
      <c r="J17272">
        <f>IFERROR(__xludf.DUMMYFUNCTION("""COMPUTED_VALUE"""),"Greenwood, NS")</f>
        <v/>
      </c>
      <c r="K17272">
        <f>IFERROR(__xludf.DUMMYFUNCTION("""COMPUTED_VALUE"""),1125.47)</f>
        <v/>
      </c>
    </row>
    <row r="17273">
      <c r="J17273">
        <f>IFERROR(__xludf.DUMMYFUNCTION("""COMPUTED_VALUE"""),"Belo Horizonte &amp; Ouro Preto")</f>
        <v/>
      </c>
      <c r="K17273">
        <f>IFERROR(__xludf.DUMMYFUNCTION("""COMPUTED_VALUE"""),1125.37)</f>
        <v/>
      </c>
    </row>
    <row r="17274">
      <c r="J17274">
        <f>IFERROR(__xludf.DUMMYFUNCTION("""COMPUTED_VALUE"""),"Bagotville, Montréal, Québec, Roberval")</f>
        <v/>
      </c>
      <c r="K17274">
        <f>IFERROR(__xludf.DUMMYFUNCTION("""COMPUTED_VALUE"""),1125.21)</f>
        <v/>
      </c>
    </row>
    <row r="17275">
      <c r="J17275">
        <f>IFERROR(__xludf.DUMMYFUNCTION("""COMPUTED_VALUE"""),"ST. JOHN'S, NF")</f>
        <v/>
      </c>
      <c r="K17275">
        <f>IFERROR(__xludf.DUMMYFUNCTION("""COMPUTED_VALUE"""),1125.07)</f>
        <v/>
      </c>
    </row>
    <row r="17276">
      <c r="J17276">
        <f>IFERROR(__xludf.DUMMYFUNCTION("""COMPUTED_VALUE"""),"Stephenville, Newfoundland and Labrador, Canada; Îles-de-la-Madeleine, Quebec, Canada; Niagara Falls, Ontario, Canada")</f>
        <v/>
      </c>
      <c r="K17276">
        <f>IFERROR(__xludf.DUMMYFUNCTION("""COMPUTED_VALUE"""),1125.02)</f>
        <v/>
      </c>
    </row>
    <row r="17277">
      <c r="J17277">
        <f>IFERROR(__xludf.DUMMYFUNCTION("""COMPUTED_VALUE"""),"Halifax, NS/Gatineau, QC")</f>
        <v/>
      </c>
      <c r="K17277">
        <f>IFERROR(__xludf.DUMMYFUNCTION("""COMPUTED_VALUE"""),1125)</f>
        <v/>
      </c>
    </row>
    <row r="17278">
      <c r="J17278">
        <f>IFERROR(__xludf.DUMMYFUNCTION("""COMPUTED_VALUE"""),"St-Jean, Quebec, Canada")</f>
        <v/>
      </c>
      <c r="K17278">
        <f>IFERROR(__xludf.DUMMYFUNCTION("""COMPUTED_VALUE"""),1124.45)</f>
        <v/>
      </c>
    </row>
    <row r="17279">
      <c r="J17279">
        <f>IFERROR(__xludf.DUMMYFUNCTION("""COMPUTED_VALUE"""),"Brampton, Ontario; Hamilton, Ontario, Canada")</f>
        <v/>
      </c>
      <c r="K17279">
        <f>IFERROR(__xludf.DUMMYFUNCTION("""COMPUTED_VALUE"""),1124.43)</f>
        <v/>
      </c>
    </row>
    <row r="17280">
      <c r="J17280">
        <f>IFERROR(__xludf.DUMMYFUNCTION("""COMPUTED_VALUE"""),"Toronto and Oakville, Ontario")</f>
        <v/>
      </c>
      <c r="K17280">
        <f>IFERROR(__xludf.DUMMYFUNCTION("""COMPUTED_VALUE"""),1123.86)</f>
        <v/>
      </c>
    </row>
    <row r="17281">
      <c r="J17281">
        <f>IFERROR(__xludf.DUMMYFUNCTION("""COMPUTED_VALUE"""),"Mississauga and Guelf, ON")</f>
        <v/>
      </c>
      <c r="K17281">
        <f>IFERROR(__xludf.DUMMYFUNCTION("""COMPUTED_VALUE"""),1123.63)</f>
        <v/>
      </c>
    </row>
    <row r="17282">
      <c r="J17282">
        <f>IFERROR(__xludf.DUMMYFUNCTION("""COMPUTED_VALUE"""),"Greenland, Denmark")</f>
        <v/>
      </c>
      <c r="K17282">
        <f>IFERROR(__xludf.DUMMYFUNCTION("""COMPUTED_VALUE"""),1122.45)</f>
        <v/>
      </c>
    </row>
    <row r="17283">
      <c r="J17283">
        <f>IFERROR(__xludf.DUMMYFUNCTION("""COMPUTED_VALUE"""),"Maskwacis, Alberta, Canada and Calgary, Alberta, Canada")</f>
        <v/>
      </c>
      <c r="K17283">
        <f>IFERROR(__xludf.DUMMYFUNCTION("""COMPUTED_VALUE"""),1122.33)</f>
        <v/>
      </c>
    </row>
    <row r="17284">
      <c r="J17284">
        <f>IFERROR(__xludf.DUMMYFUNCTION("""COMPUTED_VALUE"""),"Moncton, NB; Montreal, QC")</f>
        <v/>
      </c>
      <c r="K17284">
        <f>IFERROR(__xludf.DUMMYFUNCTION("""COMPUTED_VALUE"""),1121.5)</f>
        <v/>
      </c>
    </row>
    <row r="17285">
      <c r="J17285">
        <f>IFERROR(__xludf.DUMMYFUNCTION("""COMPUTED_VALUE"""),"Moncton, New Brunswick and Wolfville, Nova Scotia")</f>
        <v/>
      </c>
      <c r="K17285">
        <f>IFERROR(__xludf.DUMMYFUNCTION("""COMPUTED_VALUE"""),1121.4)</f>
        <v/>
      </c>
    </row>
    <row r="17286">
      <c r="J17286">
        <f>IFERROR(__xludf.DUMMYFUNCTION("""COMPUTED_VALUE"""),"Vaudreuil, Québec")</f>
        <v/>
      </c>
      <c r="K17286">
        <f>IFERROR(__xludf.DUMMYFUNCTION("""COMPUTED_VALUE"""),1121)</f>
        <v/>
      </c>
    </row>
    <row r="17287">
      <c r="J17287">
        <f>IFERROR(__xludf.DUMMYFUNCTION("""COMPUTED_VALUE"""),"Canberra and Adelaide, Australia")</f>
        <v/>
      </c>
      <c r="K17287">
        <f>IFERROR(__xludf.DUMMYFUNCTION("""COMPUTED_VALUE"""),1120.14)</f>
        <v/>
      </c>
    </row>
    <row r="17288">
      <c r="J17288">
        <f>IFERROR(__xludf.DUMMYFUNCTION("""COMPUTED_VALUE"""),"Belfast")</f>
        <v/>
      </c>
      <c r="K17288">
        <f>IFERROR(__xludf.DUMMYFUNCTION("""COMPUTED_VALUE"""),1120.1)</f>
        <v/>
      </c>
    </row>
    <row r="17289">
      <c r="J17289">
        <f>IFERROR(__xludf.DUMMYFUNCTION("""COMPUTED_VALUE"""),"Quebec, Montreal, (Quebec)")</f>
        <v/>
      </c>
      <c r="K17289">
        <f>IFERROR(__xludf.DUMMYFUNCTION("""COMPUTED_VALUE"""),1120)</f>
        <v/>
      </c>
    </row>
    <row r="17290">
      <c r="J17290">
        <f>IFERROR(__xludf.DUMMYFUNCTION("""COMPUTED_VALUE"""),"Summerside, Prince Edward Island, Canada; Mill River, Prince Edward Island, Canada; O'Leary, Prince Edward Island, Canada; Charlottetown, Prince Edward Island, Canada; Amherst, Nova Scotia, Canada")</f>
        <v/>
      </c>
      <c r="K17290">
        <f>IFERROR(__xludf.DUMMYFUNCTION("""COMPUTED_VALUE"""),1119.94)</f>
        <v/>
      </c>
    </row>
    <row r="17291">
      <c r="J17291">
        <f>IFERROR(__xludf.DUMMYFUNCTION("""COMPUTED_VALUE"""),"Montreal (Que)")</f>
        <v/>
      </c>
      <c r="K17291">
        <f>IFERROR(__xludf.DUMMYFUNCTION("""COMPUTED_VALUE"""),1119.65)</f>
        <v/>
      </c>
    </row>
    <row r="17292">
      <c r="J17292">
        <f>IFERROR(__xludf.DUMMYFUNCTION("""COMPUTED_VALUE"""),"Toronto / Halifax")</f>
        <v/>
      </c>
      <c r="K17292">
        <f>IFERROR(__xludf.DUMMYFUNCTION("""COMPUTED_VALUE"""),1119.63)</f>
        <v/>
      </c>
    </row>
    <row r="17293">
      <c r="J17293">
        <f>IFERROR(__xludf.DUMMYFUNCTION("""COMPUTED_VALUE"""),"Toronto, ON - Thunder Bay, ON")</f>
        <v/>
      </c>
      <c r="K17293">
        <f>IFERROR(__xludf.DUMMYFUNCTION("""COMPUTED_VALUE"""),1119.04)</f>
        <v/>
      </c>
    </row>
    <row r="17294">
      <c r="J17294">
        <f>IFERROR(__xludf.DUMMYFUNCTION("""COMPUTED_VALUE"""),"GAGETOWN - NEW BRUNSWICK")</f>
        <v/>
      </c>
      <c r="K17294">
        <f>IFERROR(__xludf.DUMMYFUNCTION("""COMPUTED_VALUE"""),1119)</f>
        <v/>
      </c>
    </row>
    <row r="17295">
      <c r="J17295">
        <f>IFERROR(__xludf.DUMMYFUNCTION("""COMPUTED_VALUE"""),"Montréal and St. John")</f>
        <v/>
      </c>
      <c r="K17295">
        <f>IFERROR(__xludf.DUMMYFUNCTION("""COMPUTED_VALUE"""),1118.75)</f>
        <v/>
      </c>
    </row>
    <row r="17296">
      <c r="J17296">
        <f>IFERROR(__xludf.DUMMYFUNCTION("""COMPUTED_VALUE"""),"Québec, Ottawa")</f>
        <v/>
      </c>
      <c r="K17296">
        <f>IFERROR(__xludf.DUMMYFUNCTION("""COMPUTED_VALUE"""),1117.54)</f>
        <v/>
      </c>
    </row>
    <row r="17297">
      <c r="J17297">
        <f>IFERROR(__xludf.DUMMYFUNCTION("""COMPUTED_VALUE"""),"Whitehorse, YK - Hay River, NT - Gjoa Haven, NU - Rankin Inlet, NU")</f>
        <v/>
      </c>
      <c r="K17297">
        <f>IFERROR(__xludf.DUMMYFUNCTION("""COMPUTED_VALUE"""),1116.35)</f>
        <v/>
      </c>
    </row>
    <row r="17298">
      <c r="J17298">
        <f>IFERROR(__xludf.DUMMYFUNCTION("""COMPUTED_VALUE"""),"Alma, Quebec, Canada")</f>
        <v/>
      </c>
      <c r="K17298">
        <f>IFERROR(__xludf.DUMMYFUNCTION("""COMPUTED_VALUE"""),1116.05)</f>
        <v/>
      </c>
    </row>
    <row r="17299">
      <c r="J17299">
        <f>IFERROR(__xludf.DUMMYFUNCTION("""COMPUTED_VALUE"""),"Pologne, Warsaw")</f>
        <v/>
      </c>
      <c r="K17299">
        <f>IFERROR(__xludf.DUMMYFUNCTION("""COMPUTED_VALUE"""),1116)</f>
        <v/>
      </c>
    </row>
    <row r="17300">
      <c r="J17300">
        <f>IFERROR(__xludf.DUMMYFUNCTION("""COMPUTED_VALUE"""),"Winnipeg, Manitoba, Canada; Toronto, Ontario, Canada; Montreal, Quebec, Canada")</f>
        <v/>
      </c>
      <c r="K17300">
        <f>IFERROR(__xludf.DUMMYFUNCTION("""COMPUTED_VALUE"""),1115.73)</f>
        <v/>
      </c>
    </row>
    <row r="17301">
      <c r="J17301">
        <f>IFERROR(__xludf.DUMMYFUNCTION("""COMPUTED_VALUE"""),"Napanee, Ontario")</f>
        <v/>
      </c>
      <c r="K17301">
        <f>IFERROR(__xludf.DUMMYFUNCTION("""COMPUTED_VALUE"""),1114.95)</f>
        <v/>
      </c>
    </row>
    <row r="17302">
      <c r="J17302">
        <f>IFERROR(__xludf.DUMMYFUNCTION("""COMPUTED_VALUE"""),"Terrebonne, Quebec, Canada; Brossard, Quebec, Canada; Trois-Rivières, Quebec, Canada; Saint-Stanislas, Quebec, Canada; Québec, Quebec, Canada")</f>
        <v/>
      </c>
      <c r="K17302">
        <f>IFERROR(__xludf.DUMMYFUNCTION("""COMPUTED_VALUE"""),1114.92999999999)</f>
        <v/>
      </c>
    </row>
    <row r="17303">
      <c r="J17303">
        <f>IFERROR(__xludf.DUMMYFUNCTION("""COMPUTED_VALUE"""),"New Brunswick / Nova Scotia / Ottawa, Ontario")</f>
        <v/>
      </c>
      <c r="K17303">
        <f>IFERROR(__xludf.DUMMYFUNCTION("""COMPUTED_VALUE"""),1114.92)</f>
        <v/>
      </c>
    </row>
    <row r="17304">
      <c r="J17304">
        <f>IFERROR(__xludf.DUMMYFUNCTION("""COMPUTED_VALUE"""),"Vancouver, British Columbia, Canada; Powell, British Columbia, Canada")</f>
        <v/>
      </c>
      <c r="K17304">
        <f>IFERROR(__xludf.DUMMYFUNCTION("""COMPUTED_VALUE"""),1114.76)</f>
        <v/>
      </c>
    </row>
    <row r="17305">
      <c r="J17305">
        <f>IFERROR(__xludf.DUMMYFUNCTION("""COMPUTED_VALUE"""),"TORONTO, ON - CHARLOTTETOWN, PE")</f>
        <v/>
      </c>
      <c r="K17305">
        <f>IFERROR(__xludf.DUMMYFUNCTION("""COMPUTED_VALUE"""),1114.21)</f>
        <v/>
      </c>
    </row>
    <row r="17306">
      <c r="J17306">
        <f>IFERROR(__xludf.DUMMYFUNCTION("""COMPUTED_VALUE"""),"OTAWA RETURN TORONTO")</f>
        <v/>
      </c>
      <c r="K17306">
        <f>IFERROR(__xludf.DUMMYFUNCTION("""COMPUTED_VALUE"""),1113.92)</f>
        <v/>
      </c>
    </row>
    <row r="17307">
      <c r="J17307">
        <f>IFERROR(__xludf.DUMMYFUNCTION("""COMPUTED_VALUE"""),"Barrie (ON) Canada")</f>
        <v/>
      </c>
      <c r="K17307">
        <f>IFERROR(__xludf.DUMMYFUNCTION("""COMPUTED_VALUE"""),1113.9)</f>
        <v/>
      </c>
    </row>
    <row r="17308">
      <c r="J17308">
        <f>IFERROR(__xludf.DUMMYFUNCTION("""COMPUTED_VALUE"""),"Forillon, Quebec, Canada")</f>
        <v/>
      </c>
      <c r="K17308">
        <f>IFERROR(__xludf.DUMMYFUNCTION("""COMPUTED_VALUE"""),1113.84)</f>
        <v/>
      </c>
    </row>
    <row r="17309">
      <c r="J17309">
        <f>IFERROR(__xludf.DUMMYFUNCTION("""COMPUTED_VALUE"""),"Quebec, Quebec / Montreal, Quebec / Laval, Quebec, Canada")</f>
        <v/>
      </c>
      <c r="K17309">
        <f>IFERROR(__xludf.DUMMYFUNCTION("""COMPUTED_VALUE"""),1113.81)</f>
        <v/>
      </c>
    </row>
    <row r="17310">
      <c r="J17310">
        <f>IFERROR(__xludf.DUMMYFUNCTION("""COMPUTED_VALUE"""),"Cambridge, Ontario, Canada
London, Ontario, Canada
Windsor, Ontario, Canada
Toronto, Ontario, Canada")</f>
        <v/>
      </c>
      <c r="K17310">
        <f>IFERROR(__xludf.DUMMYFUNCTION("""COMPUTED_VALUE"""),1113.74)</f>
        <v/>
      </c>
    </row>
    <row r="17311">
      <c r="J17311">
        <f>IFERROR(__xludf.DUMMYFUNCTION("""COMPUTED_VALUE"""),"Glace Bay, Nova Scotia, Canada; Sydney, Nova Scotia, Canada")</f>
        <v/>
      </c>
      <c r="K17311">
        <f>IFERROR(__xludf.DUMMYFUNCTION("""COMPUTED_VALUE"""),1112.57)</f>
        <v/>
      </c>
    </row>
    <row r="17312">
      <c r="J17312">
        <f>IFERROR(__xludf.DUMMYFUNCTION("""COMPUTED_VALUE"""),"Greater Toronto Area, Ontario, Canada")</f>
        <v/>
      </c>
      <c r="K17312">
        <f>IFERROR(__xludf.DUMMYFUNCTION("""COMPUTED_VALUE"""),1111.95)</f>
        <v/>
      </c>
    </row>
    <row r="17313">
      <c r="J17313">
        <f>IFERROR(__xludf.DUMMYFUNCTION("""COMPUTED_VALUE"""),"Barrhead, Alberta, Canada")</f>
        <v/>
      </c>
      <c r="K17313">
        <f>IFERROR(__xludf.DUMMYFUNCTION("""COMPUTED_VALUE"""),1111.22)</f>
        <v/>
      </c>
    </row>
    <row r="17314">
      <c r="J17314">
        <f>IFERROR(__xludf.DUMMYFUNCTION("""COMPUTED_VALUE"""),"Yellowknife, Northwest Territories, Canada; Winipeg, Manitoba, Canada")</f>
        <v/>
      </c>
      <c r="K17314">
        <f>IFERROR(__xludf.DUMMYFUNCTION("""COMPUTED_VALUE"""),1110.38)</f>
        <v/>
      </c>
    </row>
    <row r="17315">
      <c r="J17315">
        <f>IFERROR(__xludf.DUMMYFUNCTION("""COMPUTED_VALUE"""),"Leamington ON")</f>
        <v/>
      </c>
      <c r="K17315">
        <f>IFERROR(__xludf.DUMMYFUNCTION("""COMPUTED_VALUE"""),1109.56)</f>
        <v/>
      </c>
    </row>
    <row r="17316">
      <c r="J17316">
        <f>IFERROR(__xludf.DUMMYFUNCTION("""COMPUTED_VALUE"""),"Roberval, Amos, Rouyn-Noranda, Trois-Rivières")</f>
        <v/>
      </c>
      <c r="K17316">
        <f>IFERROR(__xludf.DUMMYFUNCTION("""COMPUTED_VALUE"""),1109.54)</f>
        <v/>
      </c>
    </row>
    <row r="17317">
      <c r="J17317">
        <f>IFERROR(__xludf.DUMMYFUNCTION("""COMPUTED_VALUE"""),"Charlottetown, Prince Edward Island, Canada / Moncton, New-Brunswick, Canada")</f>
        <v/>
      </c>
      <c r="K17317">
        <f>IFERROR(__xludf.DUMMYFUNCTION("""COMPUTED_VALUE"""),1108.85)</f>
        <v/>
      </c>
    </row>
    <row r="17318">
      <c r="J17318">
        <f>IFERROR(__xludf.DUMMYFUNCTION("""COMPUTED_VALUE"""),"Mississauga, Ontario, Canada; London, Ontario, Canada; Guelph, Ontario, Canada; Woodstock, Ontario, Canada; Essex, Ontario, Canada")</f>
        <v/>
      </c>
      <c r="K17318">
        <f>IFERROR(__xludf.DUMMYFUNCTION("""COMPUTED_VALUE"""),1108.45)</f>
        <v/>
      </c>
    </row>
    <row r="17319">
      <c r="J17319">
        <f>IFERROR(__xludf.DUMMYFUNCTION("""COMPUTED_VALUE"""),"Knowlton / Montreal")</f>
        <v/>
      </c>
      <c r="K17319">
        <f>IFERROR(__xludf.DUMMYFUNCTION("""COMPUTED_VALUE"""),1108.16)</f>
        <v/>
      </c>
    </row>
    <row r="17320">
      <c r="J17320">
        <f>IFERROR(__xludf.DUMMYFUNCTION("""COMPUTED_VALUE"""),"Edmonton / Vancouver / Whitehorse")</f>
        <v/>
      </c>
      <c r="K17320">
        <f>IFERROR(__xludf.DUMMYFUNCTION("""COMPUTED_VALUE"""),1107.82)</f>
        <v/>
      </c>
    </row>
    <row r="17321">
      <c r="J17321">
        <f>IFERROR(__xludf.DUMMYFUNCTION("""COMPUTED_VALUE"""),"Edmonton, AB /Montreal, QC")</f>
        <v/>
      </c>
      <c r="K17321">
        <f>IFERROR(__xludf.DUMMYFUNCTION("""COMPUTED_VALUE"""),1107.57)</f>
        <v/>
      </c>
    </row>
    <row r="17322">
      <c r="J17322">
        <f>IFERROR(__xludf.DUMMYFUNCTION("""COMPUTED_VALUE"""),"Ottawa, ON - London, England /  London, England - Ottawa, ON")</f>
        <v/>
      </c>
      <c r="K17322">
        <f>IFERROR(__xludf.DUMMYFUNCTION("""COMPUTED_VALUE"""),1107.4)</f>
        <v/>
      </c>
    </row>
    <row r="17323">
      <c r="J17323">
        <f>IFERROR(__xludf.DUMMYFUNCTION("""COMPUTED_VALUE"""),"Woodbridge, ON")</f>
        <v/>
      </c>
      <c r="K17323">
        <f>IFERROR(__xludf.DUMMYFUNCTION("""COMPUTED_VALUE"""),1107.15)</f>
        <v/>
      </c>
    </row>
    <row r="17324">
      <c r="J17324">
        <f>IFERROR(__xludf.DUMMYFUNCTION("""COMPUTED_VALUE"""),"Calgary, Alberta       Edmonton, Alberta")</f>
        <v/>
      </c>
      <c r="K17324">
        <f>IFERROR(__xludf.DUMMYFUNCTION("""COMPUTED_VALUE"""),1107.12)</f>
        <v/>
      </c>
    </row>
    <row r="17325">
      <c r="J17325">
        <f>IFERROR(__xludf.DUMMYFUNCTION("""COMPUTED_VALUE"""),"Washington and Annapolis")</f>
        <v/>
      </c>
      <c r="K17325">
        <f>IFERROR(__xludf.DUMMYFUNCTION("""COMPUTED_VALUE"""),1106.86)</f>
        <v/>
      </c>
    </row>
    <row r="17326">
      <c r="J17326">
        <f>IFERROR(__xludf.DUMMYFUNCTION("""COMPUTED_VALUE"""),"Perth, Ontario")</f>
        <v/>
      </c>
      <c r="K17326">
        <f>IFERROR(__xludf.DUMMYFUNCTION("""COMPUTED_VALUE"""),1105.38)</f>
        <v/>
      </c>
    </row>
    <row r="17327">
      <c r="J17327">
        <f>IFERROR(__xludf.DUMMYFUNCTION("""COMPUTED_VALUE"""),"Ottawa - Lèvis - Valcartier - Drummondville - Ottawa")</f>
        <v/>
      </c>
      <c r="K17327">
        <f>IFERROR(__xludf.DUMMYFUNCTION("""COMPUTED_VALUE"""),1105.27)</f>
        <v/>
      </c>
    </row>
    <row r="17328">
      <c r="J17328">
        <f>IFERROR(__xludf.DUMMYFUNCTION("""COMPUTED_VALUE"""),"Edmundston, Shippagan, Bathurst, Campbellton and Fredericton, New Brunswick")</f>
        <v/>
      </c>
      <c r="K17328">
        <f>IFERROR(__xludf.DUMMYFUNCTION("""COMPUTED_VALUE"""),1104.47)</f>
        <v/>
      </c>
    </row>
    <row r="17329">
      <c r="J17329">
        <f>IFERROR(__xludf.DUMMYFUNCTION("""COMPUTED_VALUE"""),"Toronto &amp; Thornhill, ON")</f>
        <v/>
      </c>
      <c r="K17329">
        <f>IFERROR(__xludf.DUMMYFUNCTION("""COMPUTED_VALUE"""),1104.34)</f>
        <v/>
      </c>
    </row>
    <row r="17330">
      <c r="J17330">
        <f>IFERROR(__xludf.DUMMYFUNCTION("""COMPUTED_VALUE"""),"Montreal, Quebec, Canada; Sept-Îles, Quebec, Canada")</f>
        <v/>
      </c>
      <c r="K17330">
        <f>IFERROR(__xludf.DUMMYFUNCTION("""COMPUTED_VALUE"""),1103.54)</f>
        <v/>
      </c>
    </row>
    <row r="17331">
      <c r="J17331">
        <f>IFERROR(__xludf.DUMMYFUNCTION("""COMPUTED_VALUE"""),"Toronto
Waterloo")</f>
        <v/>
      </c>
      <c r="K17331">
        <f>IFERROR(__xludf.DUMMYFUNCTION("""COMPUTED_VALUE"""),1103.51)</f>
        <v/>
      </c>
    </row>
    <row r="17332">
      <c r="J17332">
        <f>IFERROR(__xludf.DUMMYFUNCTION("""COMPUTED_VALUE"""),"Grenville-sur-la-Rouge, Quebec, Canada")</f>
        <v/>
      </c>
      <c r="K17332">
        <f>IFERROR(__xludf.DUMMYFUNCTION("""COMPUTED_VALUE"""),1103.5)</f>
        <v/>
      </c>
    </row>
    <row r="17333">
      <c r="J17333">
        <f>IFERROR(__xludf.DUMMYFUNCTION("""COMPUTED_VALUE"""),"Kitchener / Borden, Ontario")</f>
        <v/>
      </c>
      <c r="K17333">
        <f>IFERROR(__xludf.DUMMYFUNCTION("""COMPUTED_VALUE"""),1103)</f>
        <v/>
      </c>
    </row>
    <row r="17334">
      <c r="J17334">
        <f>IFERROR(__xludf.DUMMYFUNCTION("""COMPUTED_VALUE"""),"Tirana, Albenia")</f>
        <v/>
      </c>
      <c r="K17334">
        <f>IFERROR(__xludf.DUMMYFUNCTION("""COMPUTED_VALUE"""),1102.68)</f>
        <v/>
      </c>
    </row>
    <row r="17335">
      <c r="J17335">
        <f>IFERROR(__xludf.DUMMYFUNCTION("""COMPUTED_VALUE"""),"Toronto, Ontario, Canada; Chatham, Ontario, Canada")</f>
        <v/>
      </c>
      <c r="K17335">
        <f>IFERROR(__xludf.DUMMYFUNCTION("""COMPUTED_VALUE"""),1102.16)</f>
        <v/>
      </c>
    </row>
    <row r="17336">
      <c r="J17336">
        <f>IFERROR(__xludf.DUMMYFUNCTION("""COMPUTED_VALUE"""),"Halifax, Nova Scotia / St-Johns, Newfoundland and Labrador")</f>
        <v/>
      </c>
      <c r="K17336">
        <f>IFERROR(__xludf.DUMMYFUNCTION("""COMPUTED_VALUE"""),1102)</f>
        <v/>
      </c>
    </row>
    <row r="17337">
      <c r="J17337">
        <f>IFERROR(__xludf.DUMMYFUNCTION("""COMPUTED_VALUE"""),"Windsor, Ontario/Detroit, Michigan, United States")</f>
        <v/>
      </c>
      <c r="K17337">
        <f>IFERROR(__xludf.DUMMYFUNCTION("""COMPUTED_VALUE"""),1100.54)</f>
        <v/>
      </c>
    </row>
    <row r="17338">
      <c r="J17338">
        <f>IFERROR(__xludf.DUMMYFUNCTION("""COMPUTED_VALUE"""),"Summerside")</f>
        <v/>
      </c>
      <c r="K17338">
        <f>IFERROR(__xludf.DUMMYFUNCTION("""COMPUTED_VALUE"""),1100.31)</f>
        <v/>
      </c>
    </row>
    <row r="17339">
      <c r="J17339">
        <f>IFERROR(__xludf.DUMMYFUNCTION("""COMPUTED_VALUE"""),"Vancouver, British-Columbia, Canada / Kamloops, British-Columbia, Canada")</f>
        <v/>
      </c>
      <c r="K17339">
        <f>IFERROR(__xludf.DUMMYFUNCTION("""COMPUTED_VALUE"""),1099.81)</f>
        <v/>
      </c>
    </row>
    <row r="17340">
      <c r="J17340">
        <f>IFERROR(__xludf.DUMMYFUNCTION("""COMPUTED_VALUE"""),"Moncton, St. Stephen, Saint John, New Brunswick, Canada")</f>
        <v/>
      </c>
      <c r="K17340">
        <f>IFERROR(__xludf.DUMMYFUNCTION("""COMPUTED_VALUE"""),1099.18)</f>
        <v/>
      </c>
    </row>
    <row r="17341">
      <c r="J17341">
        <f>IFERROR(__xludf.DUMMYFUNCTION("""COMPUTED_VALUE"""),"Hamilton, Ontario; Trenton, Ontario; Cologne, Germany; Kuwait City, Kuwait")</f>
        <v/>
      </c>
      <c r="K17341">
        <f>IFERROR(__xludf.DUMMYFUNCTION("""COMPUTED_VALUE"""),1097.92)</f>
        <v/>
      </c>
    </row>
    <row r="17342">
      <c r="J17342">
        <f>IFERROR(__xludf.DUMMYFUNCTION("""COMPUTED_VALUE"""),"Ottawa and Calabogie, ON")</f>
        <v/>
      </c>
      <c r="K17342">
        <f>IFERROR(__xludf.DUMMYFUNCTION("""COMPUTED_VALUE"""),1097.8)</f>
        <v/>
      </c>
    </row>
    <row r="17343">
      <c r="J17343">
        <f>IFERROR(__xludf.DUMMYFUNCTION("""COMPUTED_VALUE"""),"Princeton, USA")</f>
        <v/>
      </c>
      <c r="K17343">
        <f>IFERROR(__xludf.DUMMYFUNCTION("""COMPUTED_VALUE"""),1096.91)</f>
        <v/>
      </c>
    </row>
    <row r="17344">
      <c r="J17344">
        <f>IFERROR(__xludf.DUMMYFUNCTION("""COMPUTED_VALUE"""),"Terrace, BC; Kitimat, BC")</f>
        <v/>
      </c>
      <c r="K17344">
        <f>IFERROR(__xludf.DUMMYFUNCTION("""COMPUTED_VALUE"""),1096.07)</f>
        <v/>
      </c>
    </row>
    <row r="17345">
      <c r="J17345">
        <f>IFERROR(__xludf.DUMMYFUNCTION("""COMPUTED_VALUE"""),"Niagara Falls and Toronto, Ontario")</f>
        <v/>
      </c>
      <c r="K17345">
        <f>IFERROR(__xludf.DUMMYFUNCTION("""COMPUTED_VALUE"""),1096.06)</f>
        <v/>
      </c>
    </row>
    <row r="17346">
      <c r="J17346">
        <f>IFERROR(__xludf.DUMMYFUNCTION("""COMPUTED_VALUE"""),"Burlington, Toronto")</f>
        <v/>
      </c>
      <c r="K17346">
        <f>IFERROR(__xludf.DUMMYFUNCTION("""COMPUTED_VALUE"""),1095.81)</f>
        <v/>
      </c>
    </row>
    <row r="17347">
      <c r="J17347">
        <f>IFERROR(__xludf.DUMMYFUNCTION("""COMPUTED_VALUE"""),"Fredericton/Charlottetown/     Halifax")</f>
        <v/>
      </c>
      <c r="K17347">
        <f>IFERROR(__xludf.DUMMYFUNCTION("""COMPUTED_VALUE"""),1095.65)</f>
        <v/>
      </c>
    </row>
    <row r="17348">
      <c r="J17348">
        <f>IFERROR(__xludf.DUMMYFUNCTION("""COMPUTED_VALUE"""),"Waterloo, Ontario, Canada; Windsor, Ontario, Canada")</f>
        <v/>
      </c>
      <c r="K17348">
        <f>IFERROR(__xludf.DUMMYFUNCTION("""COMPUTED_VALUE"""),1095.64)</f>
        <v/>
      </c>
    </row>
    <row r="17349">
      <c r="J17349">
        <f>IFERROR(__xludf.DUMMYFUNCTION("""COMPUTED_VALUE"""),"OTTAWA, WINNIPEG, COLD LAKE, EDMONTON, OTTAWA")</f>
        <v/>
      </c>
      <c r="K17349">
        <f>IFERROR(__xludf.DUMMYFUNCTION("""COMPUTED_VALUE"""),1094.34)</f>
        <v/>
      </c>
    </row>
    <row r="17350">
      <c r="J17350">
        <f>IFERROR(__xludf.DUMMYFUNCTION("""COMPUTED_VALUE"""),"Toronto, Ontario, Canada and Borden, Ontario, Canada")</f>
        <v/>
      </c>
      <c r="K17350">
        <f>IFERROR(__xludf.DUMMYFUNCTION("""COMPUTED_VALUE"""),1094.31)</f>
        <v/>
      </c>
    </row>
    <row r="17351">
      <c r="J17351">
        <f>IFERROR(__xludf.DUMMYFUNCTION("""COMPUTED_VALUE"""),"Baie Comeau, Quebec, Canada")</f>
        <v/>
      </c>
      <c r="K17351">
        <f>IFERROR(__xludf.DUMMYFUNCTION("""COMPUTED_VALUE"""),1094.29)</f>
        <v/>
      </c>
    </row>
    <row r="17352">
      <c r="J17352">
        <f>IFERROR(__xludf.DUMMYFUNCTION("""COMPUTED_VALUE"""),"Kiev, Ukraine; Warsaw, Poland")</f>
        <v/>
      </c>
      <c r="K17352">
        <f>IFERROR(__xludf.DUMMYFUNCTION("""COMPUTED_VALUE"""),1093.96)</f>
        <v/>
      </c>
    </row>
    <row r="17353">
      <c r="J17353">
        <f>IFERROR(__xludf.DUMMYFUNCTION("""COMPUTED_VALUE"""),"Toronto/Barrie")</f>
        <v/>
      </c>
      <c r="K17353">
        <f>IFERROR(__xludf.DUMMYFUNCTION("""COMPUTED_VALUE"""),1093.69)</f>
        <v/>
      </c>
    </row>
    <row r="17354">
      <c r="J17354">
        <f>IFERROR(__xludf.DUMMYFUNCTION("""COMPUTED_VALUE"""),"Shawinigan, Quebec, CanadaChambly, Quebec, CanadaMontreal, Quebec, Canada")</f>
        <v/>
      </c>
      <c r="K17354">
        <f>IFERROR(__xludf.DUMMYFUNCTION("""COMPUTED_VALUE"""),1093.51)</f>
        <v/>
      </c>
    </row>
    <row r="17355">
      <c r="J17355">
        <f>IFERROR(__xludf.DUMMYFUNCTION("""COMPUTED_VALUE"""),"Rivière-du-Loup, Jonquière, Ottawa, Montréal")</f>
        <v/>
      </c>
      <c r="K17355">
        <f>IFERROR(__xludf.DUMMYFUNCTION("""COMPUTED_VALUE"""),1092.47)</f>
        <v/>
      </c>
    </row>
    <row r="17356">
      <c r="J17356">
        <f>IFERROR(__xludf.DUMMYFUNCTION("""COMPUTED_VALUE"""),"Various locations - Cape Breton, Nova Scotia")</f>
        <v/>
      </c>
      <c r="K17356">
        <f>IFERROR(__xludf.DUMMYFUNCTION("""COMPUTED_VALUE"""),1092.37)</f>
        <v/>
      </c>
    </row>
    <row r="17357">
      <c r="J17357">
        <f>IFERROR(__xludf.DUMMYFUNCTION("""COMPUTED_VALUE"""),"Calgary, Alberta, Canada; Montreal, Quebec, Canada; Sherbrooke, Quebec, Canada")</f>
        <v/>
      </c>
      <c r="K17357">
        <f>IFERROR(__xludf.DUMMYFUNCTION("""COMPUTED_VALUE"""),1091.57)</f>
        <v/>
      </c>
    </row>
    <row r="17358">
      <c r="J17358">
        <f>IFERROR(__xludf.DUMMYFUNCTION("""COMPUTED_VALUE"""),"Cornwall (Ontario) Canada")</f>
        <v/>
      </c>
      <c r="K17358">
        <f>IFERROR(__xludf.DUMMYFUNCTION("""COMPUTED_VALUE"""),1090.84)</f>
        <v/>
      </c>
    </row>
    <row r="17359">
      <c r="J17359">
        <f>IFERROR(__xludf.DUMMYFUNCTION("""COMPUTED_VALUE"""),"Moose Jaw, Ontario")</f>
        <v/>
      </c>
      <c r="K17359">
        <f>IFERROR(__xludf.DUMMYFUNCTION("""COMPUTED_VALUE"""),1090.4)</f>
        <v/>
      </c>
    </row>
    <row r="17360">
      <c r="J17360">
        <f>IFERROR(__xludf.DUMMYFUNCTION("""COMPUTED_VALUE"""),"Stanford, CA")</f>
        <v/>
      </c>
      <c r="K17360">
        <f>IFERROR(__xludf.DUMMYFUNCTION("""COMPUTED_VALUE"""),1089.92)</f>
        <v/>
      </c>
    </row>
    <row r="17361">
      <c r="J17361">
        <f>IFERROR(__xludf.DUMMYFUNCTION("""COMPUTED_VALUE"""),"Montreal, Quebec, Canada ; Quebec, Quebec, Canada")</f>
        <v/>
      </c>
      <c r="K17361">
        <f>IFERROR(__xludf.DUMMYFUNCTION("""COMPUTED_VALUE"""),1089.54)</f>
        <v/>
      </c>
    </row>
    <row r="17362">
      <c r="J17362">
        <f>IFERROR(__xludf.DUMMYFUNCTION("""COMPUTED_VALUE"""),"Washington, DC and Toronton, Ontario")</f>
        <v/>
      </c>
      <c r="K17362">
        <f>IFERROR(__xludf.DUMMYFUNCTION("""COMPUTED_VALUE"""),1089.45)</f>
        <v/>
      </c>
    </row>
    <row r="17363">
      <c r="J17363">
        <f>IFERROR(__xludf.DUMMYFUNCTION("""COMPUTED_VALUE"""),"Trois-Rivières, QC")</f>
        <v/>
      </c>
      <c r="K17363">
        <f>IFERROR(__xludf.DUMMYFUNCTION("""COMPUTED_VALUE"""),1087.77)</f>
        <v/>
      </c>
    </row>
    <row r="17364">
      <c r="J17364">
        <f>IFERROR(__xludf.DUMMYFUNCTION("""COMPUTED_VALUE"""),"Toronto, Ontario, Canada / Kingston, Ontario, Canada / Windsor, Ontario, Canada")</f>
        <v/>
      </c>
      <c r="K17364">
        <f>IFERROR(__xludf.DUMMYFUNCTION("""COMPUTED_VALUE"""),1087.59)</f>
        <v/>
      </c>
    </row>
    <row r="17365">
      <c r="J17365">
        <f>IFERROR(__xludf.DUMMYFUNCTION("""COMPUTED_VALUE"""),"Bagotville, Quebec, Canada; Gaspé, Quebec, Canada; Ottawa, Ontario, Canada")</f>
        <v/>
      </c>
      <c r="K17365">
        <f>IFERROR(__xludf.DUMMYFUNCTION("""COMPUTED_VALUE"""),1086.86)</f>
        <v/>
      </c>
    </row>
    <row r="17366">
      <c r="J17366">
        <f>IFERROR(__xludf.DUMMYFUNCTION("""COMPUTED_VALUE"""),"Markham, Ontario, Canada; Pickering, Ontario, Canada; Scarborough, Ontario, Canada")</f>
        <v/>
      </c>
      <c r="K17366">
        <f>IFERROR(__xludf.DUMMYFUNCTION("""COMPUTED_VALUE"""),1086.75)</f>
        <v/>
      </c>
    </row>
    <row r="17367">
      <c r="J17367">
        <f>IFERROR(__xludf.DUMMYFUNCTION("""COMPUTED_VALUE"""),"Guelph, Ontario, Canada / Toronto, Ontario, Canada")</f>
        <v/>
      </c>
      <c r="K17367">
        <f>IFERROR(__xludf.DUMMYFUNCTION("""COMPUTED_VALUE"""),1086.58)</f>
        <v/>
      </c>
    </row>
    <row r="17368">
      <c r="J17368">
        <f>IFERROR(__xludf.DUMMYFUNCTION("""COMPUTED_VALUE"""),"Ste-Anne-de-la-Pérade, Gaspé")</f>
        <v/>
      </c>
      <c r="K17368">
        <f>IFERROR(__xludf.DUMMYFUNCTION("""COMPUTED_VALUE"""),1086.47)</f>
        <v/>
      </c>
    </row>
    <row r="17369">
      <c r="J17369">
        <f>IFERROR(__xludf.DUMMYFUNCTION("""COMPUTED_VALUE"""),"Sault Ste.Marie POE")</f>
        <v/>
      </c>
      <c r="K17369">
        <f>IFERROR(__xludf.DUMMYFUNCTION("""COMPUTED_VALUE"""),1086.22)</f>
        <v/>
      </c>
    </row>
    <row r="17370">
      <c r="J17370">
        <f>IFERROR(__xludf.DUMMYFUNCTION("""COMPUTED_VALUE"""),"Guelph, Waterloo, Kitchener, ON")</f>
        <v/>
      </c>
      <c r="K17370">
        <f>IFERROR(__xludf.DUMMYFUNCTION("""COMPUTED_VALUE"""),1086.07)</f>
        <v/>
      </c>
    </row>
    <row r="17371">
      <c r="J17371">
        <f>IFERROR(__xludf.DUMMYFUNCTION("""COMPUTED_VALUE"""),"Pittsburgh, PA and Buffalo, NY")</f>
        <v/>
      </c>
      <c r="K17371">
        <f>IFERROR(__xludf.DUMMYFUNCTION("""COMPUTED_VALUE"""),1085.73)</f>
        <v/>
      </c>
    </row>
    <row r="17372">
      <c r="J17372">
        <f>IFERROR(__xludf.DUMMYFUNCTION("""COMPUTED_VALUE"""),"Calgary and Banff, AB")</f>
        <v/>
      </c>
      <c r="K17372">
        <f>IFERROR(__xludf.DUMMYFUNCTION("""COMPUTED_VALUE"""),1085.61)</f>
        <v/>
      </c>
    </row>
    <row r="17373">
      <c r="J17373">
        <f>IFERROR(__xludf.DUMMYFUNCTION("""COMPUTED_VALUE"""),"London (ONT)")</f>
        <v/>
      </c>
      <c r="K17373">
        <f>IFERROR(__xludf.DUMMYFUNCTION("""COMPUTED_VALUE"""),1085.52)</f>
        <v/>
      </c>
    </row>
    <row r="17374">
      <c r="J17374">
        <f>IFERROR(__xludf.DUMMYFUNCTION("""COMPUTED_VALUE"""),"Uzbekistan, Tashkent")</f>
        <v/>
      </c>
      <c r="K17374">
        <f>IFERROR(__xludf.DUMMYFUNCTION("""COMPUTED_VALUE"""),1085.17)</f>
        <v/>
      </c>
    </row>
    <row r="17375">
      <c r="J17375">
        <f>IFERROR(__xludf.DUMMYFUNCTION("""COMPUTED_VALUE"""),"Quebec, QC - Ottawa, ON")</f>
        <v/>
      </c>
      <c r="K17375">
        <f>IFERROR(__xludf.DUMMYFUNCTION("""COMPUTED_VALUE"""),1084.93)</f>
        <v/>
      </c>
    </row>
    <row r="17376">
      <c r="J17376">
        <f>IFERROR(__xludf.DUMMYFUNCTION("""COMPUTED_VALUE"""),"Sherbrooke, Quebec, Canada / Montreal, Quebec, Canada")</f>
        <v/>
      </c>
      <c r="K17376">
        <f>IFERROR(__xludf.DUMMYFUNCTION("""COMPUTED_VALUE"""),1084.88)</f>
        <v/>
      </c>
    </row>
    <row r="17377">
      <c r="J17377">
        <f>IFERROR(__xludf.DUMMYFUNCTION("""COMPUTED_VALUE"""),"Waterloo, ON / Kitchener, ON")</f>
        <v/>
      </c>
      <c r="K17377">
        <f>IFERROR(__xludf.DUMMYFUNCTION("""COMPUTED_VALUE"""),1084.7)</f>
        <v/>
      </c>
    </row>
    <row r="17378">
      <c r="J17378">
        <f>IFERROR(__xludf.DUMMYFUNCTION("""COMPUTED_VALUE"""),"Innisfail, Alberta")</f>
        <v/>
      </c>
      <c r="K17378">
        <f>IFERROR(__xludf.DUMMYFUNCTION("""COMPUTED_VALUE"""),1084.61)</f>
        <v/>
      </c>
    </row>
    <row r="17379">
      <c r="J17379">
        <f>IFERROR(__xludf.DUMMYFUNCTION("""COMPUTED_VALUE"""),"Queenston, Ontario, Canada")</f>
        <v/>
      </c>
      <c r="K17379">
        <f>IFERROR(__xludf.DUMMYFUNCTION("""COMPUTED_VALUE"""),1084.6)</f>
        <v/>
      </c>
    </row>
    <row r="17380">
      <c r="J17380">
        <f>IFERROR(__xludf.DUMMYFUNCTION("""COMPUTED_VALUE"""),"Oklahoma City (Oklahoma) United States of America")</f>
        <v/>
      </c>
      <c r="K17380">
        <f>IFERROR(__xludf.DUMMYFUNCTION("""COMPUTED_VALUE"""),1084)</f>
        <v/>
      </c>
    </row>
    <row r="17381">
      <c r="J17381">
        <f>IFERROR(__xludf.DUMMYFUNCTION("""COMPUTED_VALUE"""),"Kitchener, ON / St. Catharines ,ON / Toronto, ON / Vaughan, ON")</f>
        <v/>
      </c>
      <c r="K17381">
        <f>IFERROR(__xludf.DUMMYFUNCTION("""COMPUTED_VALUE"""),1083.92)</f>
        <v/>
      </c>
    </row>
    <row r="17382">
      <c r="J17382">
        <f>IFERROR(__xludf.DUMMYFUNCTION("""COMPUTED_VALUE"""),"Prince Albert, Saskatchewan, Canada; Buffalo Narrows, Saskatchewan, Canada; North Battleford, Saskatchewan, Canada; Saskatoon, Saskatchewan, Canada")</f>
        <v/>
      </c>
      <c r="K17382">
        <f>IFERROR(__xludf.DUMMYFUNCTION("""COMPUTED_VALUE"""),1083.43)</f>
        <v/>
      </c>
    </row>
    <row r="17383">
      <c r="J17383">
        <f>IFERROR(__xludf.DUMMYFUNCTION("""COMPUTED_VALUE"""),"GAGETOWN, NEW-BRUNSWICK, CANADA")</f>
        <v/>
      </c>
      <c r="K17383">
        <f>IFERROR(__xludf.DUMMYFUNCTION("""COMPUTED_VALUE"""),1083.24)</f>
        <v/>
      </c>
    </row>
    <row r="17384">
      <c r="J17384">
        <f>IFERROR(__xludf.DUMMYFUNCTION("""COMPUTED_VALUE"""),"London, Ontario / Hamilton, Ontario, Canada")</f>
        <v/>
      </c>
      <c r="K17384">
        <f>IFERROR(__xludf.DUMMYFUNCTION("""COMPUTED_VALUE"""),1083.22)</f>
        <v/>
      </c>
    </row>
    <row r="17385">
      <c r="J17385">
        <f>IFERROR(__xludf.DUMMYFUNCTION("""COMPUTED_VALUE"""),"France, Bordeaux")</f>
        <v/>
      </c>
      <c r="K17385">
        <f>IFERROR(__xludf.DUMMYFUNCTION("""COMPUTED_VALUE"""),1083)</f>
        <v/>
      </c>
    </row>
    <row r="17386">
      <c r="J17386">
        <f>IFERROR(__xludf.DUMMYFUNCTION("""COMPUTED_VALUE"""),"Halifax (Nova Scotia)")</f>
        <v/>
      </c>
      <c r="K17386">
        <f>IFERROR(__xludf.DUMMYFUNCTION("""COMPUTED_VALUE"""),1082.94)</f>
        <v/>
      </c>
    </row>
    <row r="17387">
      <c r="J17387">
        <f>IFERROR(__xludf.DUMMYFUNCTION("""COMPUTED_VALUE"""),"Hanna, AB; Calgary, AB")</f>
        <v/>
      </c>
      <c r="K17387">
        <f>IFERROR(__xludf.DUMMYFUNCTION("""COMPUTED_VALUE"""),1082.46)</f>
        <v/>
      </c>
    </row>
    <row r="17388">
      <c r="J17388">
        <f>IFERROR(__xludf.DUMMYFUNCTION("""COMPUTED_VALUE"""),"Val-Cartier, Quebec")</f>
        <v/>
      </c>
      <c r="K17388">
        <f>IFERROR(__xludf.DUMMYFUNCTION("""COMPUTED_VALUE"""),1082)</f>
        <v/>
      </c>
    </row>
    <row r="17389">
      <c r="J17389">
        <f>IFERROR(__xludf.DUMMYFUNCTION("""COMPUTED_VALUE"""),"Ottawa ON/ Halifax NS")</f>
        <v/>
      </c>
      <c r="K17389">
        <f>IFERROR(__xludf.DUMMYFUNCTION("""COMPUTED_VALUE"""),1081.96)</f>
        <v/>
      </c>
    </row>
    <row r="17390">
      <c r="J17390">
        <f>IFERROR(__xludf.DUMMYFUNCTION("""COMPUTED_VALUE"""),"Montreal, Quebec Via car")</f>
        <v/>
      </c>
      <c r="K17390">
        <f>IFERROR(__xludf.DUMMYFUNCTION("""COMPUTED_VALUE"""),1081.83)</f>
        <v/>
      </c>
    </row>
    <row r="17391">
      <c r="J17391">
        <f>IFERROR(__xludf.DUMMYFUNCTION("""COMPUTED_VALUE"""),"Grand Rapid, Manitoba")</f>
        <v/>
      </c>
      <c r="K17391">
        <f>IFERROR(__xludf.DUMMYFUNCTION("""COMPUTED_VALUE"""),1081.76)</f>
        <v/>
      </c>
    </row>
    <row r="17392">
      <c r="J17392">
        <f>IFERROR(__xludf.DUMMYFUNCTION("""COMPUTED_VALUE"""),"Everett, Washington, United States")</f>
        <v/>
      </c>
      <c r="K17392">
        <f>IFERROR(__xludf.DUMMYFUNCTION("""COMPUTED_VALUE"""),1081.72)</f>
        <v/>
      </c>
    </row>
    <row r="17393">
      <c r="J17393">
        <f>IFERROR(__xludf.DUMMYFUNCTION("""COMPUTED_VALUE"""),"Toronto, ON / Woodbridge, ON")</f>
        <v/>
      </c>
      <c r="K17393">
        <f>IFERROR(__xludf.DUMMYFUNCTION("""COMPUTED_VALUE"""),1081.56)</f>
        <v/>
      </c>
    </row>
    <row r="17394">
      <c r="J17394">
        <f>IFERROR(__xludf.DUMMYFUNCTION("""COMPUTED_VALUE"""),"Bagotville and La Malbaie, Quebec")</f>
        <v/>
      </c>
      <c r="K17394">
        <f>IFERROR(__xludf.DUMMYFUNCTION("""COMPUTED_VALUE"""),1081.39)</f>
        <v/>
      </c>
    </row>
    <row r="17395">
      <c r="J17395">
        <f>IFERROR(__xludf.DUMMYFUNCTION("""COMPUTED_VALUE"""),"Montréal, Quebec, Canada; Gatineau, Quebec, Canada; Québec, Quebec, Canada")</f>
        <v/>
      </c>
      <c r="K17395">
        <f>IFERROR(__xludf.DUMMYFUNCTION("""COMPUTED_VALUE"""),1080.6)</f>
        <v/>
      </c>
    </row>
    <row r="17396">
      <c r="J17396">
        <f>IFERROR(__xludf.DUMMYFUNCTION("""COMPUTED_VALUE"""),"Bahamas &amp; Haiti")</f>
        <v/>
      </c>
      <c r="K17396">
        <f>IFERROR(__xludf.DUMMYFUNCTION("""COMPUTED_VALUE"""),1080.56)</f>
        <v/>
      </c>
    </row>
    <row r="17397">
      <c r="J17397">
        <f>IFERROR(__xludf.DUMMYFUNCTION("""COMPUTED_VALUE"""),"Skopje, North-Macedonia")</f>
        <v/>
      </c>
      <c r="K17397">
        <f>IFERROR(__xludf.DUMMYFUNCTION("""COMPUTED_VALUE"""),1079.82)</f>
        <v/>
      </c>
    </row>
    <row r="17398">
      <c r="J17398">
        <f>IFERROR(__xludf.DUMMYFUNCTION("""COMPUTED_VALUE"""),"Toronto, Ontario, Canada; Trenton, Ontario, Canada")</f>
        <v/>
      </c>
      <c r="K17398">
        <f>IFERROR(__xludf.DUMMYFUNCTION("""COMPUTED_VALUE"""),1079.62)</f>
        <v/>
      </c>
    </row>
    <row r="17399">
      <c r="J17399">
        <f>IFERROR(__xludf.DUMMYFUNCTION("""COMPUTED_VALUE"""),"St. John’s, NL")</f>
        <v/>
      </c>
      <c r="K17399">
        <f>IFERROR(__xludf.DUMMYFUNCTION("""COMPUTED_VALUE"""),1079.46)</f>
        <v/>
      </c>
    </row>
    <row r="17400">
      <c r="J17400">
        <f>IFERROR(__xludf.DUMMYFUNCTION("""COMPUTED_VALUE"""),"Ottawa - Ste-Anne-de-Bellevue - Ottawa")</f>
        <v/>
      </c>
      <c r="K17400">
        <f>IFERROR(__xludf.DUMMYFUNCTION("""COMPUTED_VALUE"""),1079.15)</f>
        <v/>
      </c>
    </row>
    <row r="17401">
      <c r="J17401">
        <f>IFERROR(__xludf.DUMMYFUNCTION("""COMPUTED_VALUE"""),"Whistler, BC Merritt, BC")</f>
        <v/>
      </c>
      <c r="K17401">
        <f>IFERROR(__xludf.DUMMYFUNCTION("""COMPUTED_VALUE"""),1079.14)</f>
        <v/>
      </c>
    </row>
    <row r="17402">
      <c r="J17402">
        <f>IFERROR(__xludf.DUMMYFUNCTION("""COMPUTED_VALUE"""),"Jonquiére, QC Québec, QC")</f>
        <v/>
      </c>
      <c r="K17402">
        <f>IFERROR(__xludf.DUMMYFUNCTION("""COMPUTED_VALUE"""),1079.08)</f>
        <v/>
      </c>
    </row>
    <row r="17403">
      <c r="J17403">
        <f>IFERROR(__xludf.DUMMYFUNCTION("""COMPUTED_VALUE"""),"Puçon (Chile)")</f>
        <v/>
      </c>
      <c r="K17403">
        <f>IFERROR(__xludf.DUMMYFUNCTION("""COMPUTED_VALUE"""),1078.93)</f>
        <v/>
      </c>
    </row>
    <row r="17404">
      <c r="J17404">
        <f>IFERROR(__xludf.DUMMYFUNCTION("""COMPUTED_VALUE"""),"Montreal, Quebec / Laval, Quebec, Canada")</f>
        <v/>
      </c>
      <c r="K17404">
        <f>IFERROR(__xludf.DUMMYFUNCTION("""COMPUTED_VALUE"""),1078.79)</f>
        <v/>
      </c>
    </row>
    <row r="17405">
      <c r="J17405">
        <f>IFERROR(__xludf.DUMMYFUNCTION("""COMPUTED_VALUE"""),"Moncton, New Brunswick, Canada; Belle-Baie, New Brunswick, Canada; Riviere-du-Nord, New Brunswick, Canada; Caraquet, Nouveau-Brunswick, Canada")</f>
        <v/>
      </c>
      <c r="K17405">
        <f>IFERROR(__xludf.DUMMYFUNCTION("""COMPUTED_VALUE"""),1078.13)</f>
        <v/>
      </c>
    </row>
    <row r="17406">
      <c r="J17406">
        <f>IFERROR(__xludf.DUMMYFUNCTION("""COMPUTED_VALUE"""),"Cape Breton and Sydney, Nova scotia")</f>
        <v/>
      </c>
      <c r="K17406">
        <f>IFERROR(__xludf.DUMMYFUNCTION("""COMPUTED_VALUE"""),1077.93)</f>
        <v/>
      </c>
    </row>
    <row r="17407">
      <c r="J17407">
        <f>IFERROR(__xludf.DUMMYFUNCTION("""COMPUTED_VALUE"""),"Buffalo, NY
Rochester, NY")</f>
        <v/>
      </c>
      <c r="K17407">
        <f>IFERROR(__xludf.DUMMYFUNCTION("""COMPUTED_VALUE"""),1077.56)</f>
        <v/>
      </c>
    </row>
    <row r="17408">
      <c r="J17408">
        <f>IFERROR(__xludf.DUMMYFUNCTION("""COMPUTED_VALUE"""),"Toronto, Ontario, Canada and Kingston, Ontario, Canada")</f>
        <v/>
      </c>
      <c r="K17408">
        <f>IFERROR(__xludf.DUMMYFUNCTION("""COMPUTED_VALUE"""),1077.54)</f>
        <v/>
      </c>
    </row>
    <row r="17409">
      <c r="J17409">
        <f>IFERROR(__xludf.DUMMYFUNCTION("""COMPUTED_VALUE"""),"Winnipeg and Fort Alexander, Manitoba, Canada")</f>
        <v/>
      </c>
      <c r="K17409">
        <f>IFERROR(__xludf.DUMMYFUNCTION("""COMPUTED_VALUE"""),1077.5)</f>
        <v/>
      </c>
    </row>
    <row r="17410">
      <c r="J17410">
        <f>IFERROR(__xludf.DUMMYFUNCTION("""COMPUTED_VALUE"""),"Cold Lake Alberta, Canada")</f>
        <v/>
      </c>
      <c r="K17410">
        <f>IFERROR(__xludf.DUMMYFUNCTION("""COMPUTED_VALUE"""),1077.02)</f>
        <v/>
      </c>
    </row>
    <row r="17411">
      <c r="J17411">
        <f>IFERROR(__xludf.DUMMYFUNCTION("""COMPUTED_VALUE"""),"Potsdam, NY")</f>
        <v/>
      </c>
      <c r="K17411">
        <f>IFERROR(__xludf.DUMMYFUNCTION("""COMPUTED_VALUE"""),1076.97)</f>
        <v/>
      </c>
    </row>
    <row r="17412">
      <c r="J17412">
        <f>IFERROR(__xludf.DUMMYFUNCTION("""COMPUTED_VALUE"""),"Red Deer, AB; Calgary, AB")</f>
        <v/>
      </c>
      <c r="K17412">
        <f>IFERROR(__xludf.DUMMYFUNCTION("""COMPUTED_VALUE"""),1076.89)</f>
        <v/>
      </c>
    </row>
    <row r="17413">
      <c r="J17413">
        <f>IFERROR(__xludf.DUMMYFUNCTION("""COMPUTED_VALUE"""),"Baie-Saint-Paul")</f>
        <v/>
      </c>
      <c r="K17413">
        <f>IFERROR(__xludf.DUMMYFUNCTION("""COMPUTED_VALUE"""),1076.3)</f>
        <v/>
      </c>
    </row>
    <row r="17414">
      <c r="J17414">
        <f>IFERROR(__xludf.DUMMYFUNCTION("""COMPUTED_VALUE"""),"Shawinigan, Quebec, Canada / Toronto, Ontario, Canada")</f>
        <v/>
      </c>
      <c r="K17414">
        <f>IFERROR(__xludf.DUMMYFUNCTION("""COMPUTED_VALUE"""),1073.63)</f>
        <v/>
      </c>
    </row>
    <row r="17415">
      <c r="J17415">
        <f>IFERROR(__xludf.DUMMYFUNCTION("""COMPUTED_VALUE"""),"St-Joseph-du-Lac, QC St-Bruno, QC Laval, QC Quebec, QC Shawinigan, QC")</f>
        <v/>
      </c>
      <c r="K17415">
        <f>IFERROR(__xludf.DUMMYFUNCTION("""COMPUTED_VALUE"""),1073.54)</f>
        <v/>
      </c>
    </row>
    <row r="17416">
      <c r="J17416">
        <f>IFERROR(__xludf.DUMMYFUNCTION("""COMPUTED_VALUE"""),"St-John, New-Brunswick")</f>
        <v/>
      </c>
      <c r="K17416">
        <f>IFERROR(__xludf.DUMMYFUNCTION("""COMPUTED_VALUE"""),1073.35)</f>
        <v/>
      </c>
    </row>
    <row r="17417">
      <c r="J17417">
        <f>IFERROR(__xludf.DUMMYFUNCTION("""COMPUTED_VALUE"""),"Quebec-Toronto-Quebec")</f>
        <v/>
      </c>
      <c r="K17417">
        <f>IFERROR(__xludf.DUMMYFUNCTION("""COMPUTED_VALUE"""),1073.23)</f>
        <v/>
      </c>
    </row>
    <row r="17418">
      <c r="J17418">
        <f>IFERROR(__xludf.DUMMYFUNCTION("""COMPUTED_VALUE"""),"Oakville, Ontario / Fort Erie, Ontario, Canada")</f>
        <v/>
      </c>
      <c r="K17418">
        <f>IFERROR(__xludf.DUMMYFUNCTION("""COMPUTED_VALUE"""),1072.74)</f>
        <v/>
      </c>
    </row>
    <row r="17419">
      <c r="J17419">
        <f>IFERROR(__xludf.DUMMYFUNCTION("""COMPUTED_VALUE"""),"Saint Sauveur, Quebec, Canada")</f>
        <v/>
      </c>
      <c r="K17419">
        <f>IFERROR(__xludf.DUMMYFUNCTION("""COMPUTED_VALUE"""),1072.65)</f>
        <v/>
      </c>
    </row>
    <row r="17420">
      <c r="J17420">
        <f>IFERROR(__xludf.DUMMYFUNCTION("""COMPUTED_VALUE"""),"Caraquet, New Brunswick, Canada; Edmunston, New Brunswick, Canada")</f>
        <v/>
      </c>
      <c r="K17420">
        <f>IFERROR(__xludf.DUMMYFUNCTION("""COMPUTED_VALUE"""),1072.4)</f>
        <v/>
      </c>
    </row>
    <row r="17421">
      <c r="J17421">
        <f>IFERROR(__xludf.DUMMYFUNCTION("""COMPUTED_VALUE"""),"Pictou First Nation, Nova Scotia, Canada")</f>
        <v/>
      </c>
      <c r="K17421">
        <f>IFERROR(__xludf.DUMMYFUNCTION("""COMPUTED_VALUE"""),1072.3)</f>
        <v/>
      </c>
    </row>
    <row r="17422">
      <c r="J17422">
        <f>IFERROR(__xludf.DUMMYFUNCTION("""COMPUTED_VALUE"""),"Gatineau, Quebec and Moncton, New Brunswick")</f>
        <v/>
      </c>
      <c r="K17422">
        <f>IFERROR(__xludf.DUMMYFUNCTION("""COMPUTED_VALUE"""),1071.71)</f>
        <v/>
      </c>
    </row>
    <row r="17423">
      <c r="J17423">
        <f>IFERROR(__xludf.DUMMYFUNCTION("""COMPUTED_VALUE"""),"Vancouver, British Columbia, Canada; Whistler, British Columbia, Canada")</f>
        <v/>
      </c>
      <c r="K17423">
        <f>IFERROR(__xludf.DUMMYFUNCTION("""COMPUTED_VALUE"""),1071.22)</f>
        <v/>
      </c>
    </row>
    <row r="17424">
      <c r="J17424">
        <f>IFERROR(__xludf.DUMMYFUNCTION("""COMPUTED_VALUE"""),"Montréal, Val d'Or")</f>
        <v/>
      </c>
      <c r="K17424">
        <f>IFERROR(__xludf.DUMMYFUNCTION("""COMPUTED_VALUE"""),1070.14)</f>
        <v/>
      </c>
    </row>
    <row r="17425">
      <c r="J17425">
        <f>IFERROR(__xludf.DUMMYFUNCTION("""COMPUTED_VALUE"""),"Lyon, Nice, Monaco")</f>
        <v/>
      </c>
      <c r="K17425">
        <f>IFERROR(__xludf.DUMMYFUNCTION("""COMPUTED_VALUE"""),1069.95)</f>
        <v/>
      </c>
    </row>
    <row r="17426">
      <c r="J17426">
        <f>IFERROR(__xludf.DUMMYFUNCTION("""COMPUTED_VALUE"""),"Montréal, QC, Hamilton, ON, London, ON, Niagara-on-the-Lake, ON")</f>
        <v/>
      </c>
      <c r="K17426">
        <f>IFERROR(__xludf.DUMMYFUNCTION("""COMPUTED_VALUE"""),1069.51)</f>
        <v/>
      </c>
    </row>
    <row r="17427">
      <c r="J17427">
        <f>IFERROR(__xludf.DUMMYFUNCTION("""COMPUTED_VALUE"""),"Brantford and Hamilton, Ontario, Canada")</f>
        <v/>
      </c>
      <c r="K17427">
        <f>IFERROR(__xludf.DUMMYFUNCTION("""COMPUTED_VALUE"""),1068.18)</f>
        <v/>
      </c>
    </row>
    <row r="17428">
      <c r="J17428">
        <f>IFERROR(__xludf.DUMMYFUNCTION("""COMPUTED_VALUE"""),"Montréal, Québec / Kouchibouguac, New Brunswick")</f>
        <v/>
      </c>
      <c r="K17428">
        <f>IFERROR(__xludf.DUMMYFUNCTION("""COMPUTED_VALUE"""),1068.11)</f>
        <v/>
      </c>
    </row>
    <row r="17429">
      <c r="J17429">
        <f>IFERROR(__xludf.DUMMYFUNCTION("""COMPUTED_VALUE"""),"Mont-Tremblant (QC)")</f>
        <v/>
      </c>
      <c r="K17429">
        <f>IFERROR(__xludf.DUMMYFUNCTION("""COMPUTED_VALUE"""),1067.93)</f>
        <v/>
      </c>
    </row>
    <row r="17430">
      <c r="J17430">
        <f>IFERROR(__xludf.DUMMYFUNCTION("""COMPUTED_VALUE"""),"Toronto, Ontario, Ontario")</f>
        <v/>
      </c>
      <c r="K17430">
        <f>IFERROR(__xludf.DUMMYFUNCTION("""COMPUTED_VALUE"""),1067.92)</f>
        <v/>
      </c>
    </row>
    <row r="17431">
      <c r="J17431">
        <f>IFERROR(__xludf.DUMMYFUNCTION("""COMPUTED_VALUE"""),"Estimauville, Dorval, Quebec")</f>
        <v/>
      </c>
      <c r="K17431">
        <f>IFERROR(__xludf.DUMMYFUNCTION("""COMPUTED_VALUE"""),1067.87)</f>
        <v/>
      </c>
    </row>
    <row r="17432">
      <c r="J17432">
        <f>IFERROR(__xludf.DUMMYFUNCTION("""COMPUTED_VALUE"""),"Ottawa -Moncton - Charlottetown - Ottawa")</f>
        <v/>
      </c>
      <c r="K17432">
        <f>IFERROR(__xludf.DUMMYFUNCTION("""COMPUTED_VALUE"""),1067.4)</f>
        <v/>
      </c>
    </row>
    <row r="17433">
      <c r="J17433">
        <f>IFERROR(__xludf.DUMMYFUNCTION("""COMPUTED_VALUE"""),"Etobicoke, Ontario")</f>
        <v/>
      </c>
      <c r="K17433">
        <f>IFERROR(__xludf.DUMMYFUNCTION("""COMPUTED_VALUE"""),1067.17999999999)</f>
        <v/>
      </c>
    </row>
    <row r="17434">
      <c r="J17434">
        <f>IFERROR(__xludf.DUMMYFUNCTION("""COMPUTED_VALUE"""),"Ottawa/Toronto/Ottawa, ON")</f>
        <v/>
      </c>
      <c r="K17434">
        <f>IFERROR(__xludf.DUMMYFUNCTION("""COMPUTED_VALUE"""),1066.82)</f>
        <v/>
      </c>
    </row>
    <row r="17435">
      <c r="J17435">
        <f>IFERROR(__xludf.DUMMYFUNCTION("""COMPUTED_VALUE"""),"Waterloo, Ontario, Canada
Toronto, Ontario, Canada")</f>
        <v/>
      </c>
      <c r="K17435">
        <f>IFERROR(__xludf.DUMMYFUNCTION("""COMPUTED_VALUE"""),1066.82)</f>
        <v/>
      </c>
    </row>
    <row r="17436">
      <c r="J17436">
        <f>IFERROR(__xludf.DUMMYFUNCTION("""COMPUTED_VALUE"""),"Toronto, Ontario, Canada / Kitchener, Ontario, Canada / Waterloo, Ontario, Canada")</f>
        <v/>
      </c>
      <c r="K17436">
        <f>IFERROR(__xludf.DUMMYFUNCTION("""COMPUTED_VALUE"""),1066.75)</f>
        <v/>
      </c>
    </row>
    <row r="17437">
      <c r="J17437">
        <f>IFERROR(__xludf.DUMMYFUNCTION("""COMPUTED_VALUE"""),"Toronto / Waterloo")</f>
        <v/>
      </c>
      <c r="K17437">
        <f>IFERROR(__xludf.DUMMYFUNCTION("""COMPUTED_VALUE"""),1066.17)</f>
        <v/>
      </c>
    </row>
    <row r="17438">
      <c r="J17438">
        <f>IFERROR(__xludf.DUMMYFUNCTION("""COMPUTED_VALUE"""),"Ottawa, Ontario, Canada;")</f>
        <v/>
      </c>
      <c r="K17438">
        <f>IFERROR(__xludf.DUMMYFUNCTION("""COMPUTED_VALUE"""),1066.02)</f>
        <v/>
      </c>
    </row>
    <row r="17439">
      <c r="J17439">
        <f>IFERROR(__xludf.DUMMYFUNCTION("""COMPUTED_VALUE"""),"AURORA, ON")</f>
        <v/>
      </c>
      <c r="K17439">
        <f>IFERROR(__xludf.DUMMYFUNCTION("""COMPUTED_VALUE"""),1065.95)</f>
        <v/>
      </c>
    </row>
    <row r="17440">
      <c r="J17440">
        <f>IFERROR(__xludf.DUMMYFUNCTION("""COMPUTED_VALUE"""),"Florianapolis, Brazil")</f>
        <v/>
      </c>
      <c r="K17440">
        <f>IFERROR(__xludf.DUMMYFUNCTION("""COMPUTED_VALUE"""),1065.59)</f>
        <v/>
      </c>
    </row>
    <row r="17441">
      <c r="J17441">
        <f>IFERROR(__xludf.DUMMYFUNCTION("""COMPUTED_VALUE"""),"Thornhill, ON")</f>
        <v/>
      </c>
      <c r="K17441">
        <f>IFERROR(__xludf.DUMMYFUNCTION("""COMPUTED_VALUE"""),1065.57)</f>
        <v/>
      </c>
    </row>
    <row r="17442">
      <c r="J17442">
        <f>IFERROR(__xludf.DUMMYFUNCTION("""COMPUTED_VALUE"""),"Courtenay, British Columbia, Canada")</f>
        <v/>
      </c>
      <c r="K17442">
        <f>IFERROR(__xludf.DUMMYFUNCTION("""COMPUTED_VALUE"""),1065.08)</f>
        <v/>
      </c>
    </row>
    <row r="17443">
      <c r="J17443">
        <f>IFERROR(__xludf.DUMMYFUNCTION("""COMPUTED_VALUE"""),"Montréal, Blainville")</f>
        <v/>
      </c>
      <c r="K17443">
        <f>IFERROR(__xludf.DUMMYFUNCTION("""COMPUTED_VALUE"""),1064.36)</f>
        <v/>
      </c>
    </row>
    <row r="17444">
      <c r="J17444">
        <f>IFERROR(__xludf.DUMMYFUNCTION("""COMPUTED_VALUE"""),"Vancouver, Campbell River and Bella Bella, British Columbia")</f>
        <v/>
      </c>
      <c r="K17444">
        <f>IFERROR(__xludf.DUMMYFUNCTION("""COMPUTED_VALUE"""),1064.33)</f>
        <v/>
      </c>
    </row>
    <row r="17445">
      <c r="J17445">
        <f>IFERROR(__xludf.DUMMYFUNCTION("""COMPUTED_VALUE"""),"Calgary, AB; High River, AB; Lethbridge, AB")</f>
        <v/>
      </c>
      <c r="K17445">
        <f>IFERROR(__xludf.DUMMYFUNCTION("""COMPUTED_VALUE"""),1064.26)</f>
        <v/>
      </c>
    </row>
    <row r="17446">
      <c r="J17446">
        <f>IFERROR(__xludf.DUMMYFUNCTION("""COMPUTED_VALUE"""),"Frankfurt Germany, Bydgszcz Poland")</f>
        <v/>
      </c>
      <c r="K17446">
        <f>IFERROR(__xludf.DUMMYFUNCTION("""COMPUTED_VALUE"""),1064.01)</f>
        <v/>
      </c>
    </row>
    <row r="17447">
      <c r="J17447">
        <f>IFERROR(__xludf.DUMMYFUNCTION("""COMPUTED_VALUE"""),"Montreal-Windsor-Montreal")</f>
        <v/>
      </c>
      <c r="K17447">
        <f>IFERROR(__xludf.DUMMYFUNCTION("""COMPUTED_VALUE"""),1063.91)</f>
        <v/>
      </c>
    </row>
    <row r="17448">
      <c r="J17448">
        <f>IFERROR(__xludf.DUMMYFUNCTION("""COMPUTED_VALUE"""),"Mississauga, Ontario, Canada; Alliston, Ontario, Canada")</f>
        <v/>
      </c>
      <c r="K17448">
        <f>IFERROR(__xludf.DUMMYFUNCTION("""COMPUTED_VALUE"""),1063.8)</f>
        <v/>
      </c>
    </row>
    <row r="17449">
      <c r="J17449">
        <f>IFERROR(__xludf.DUMMYFUNCTION("""COMPUTED_VALUE"""),"Deer Lake-Halifax-Sydney-St. John's")</f>
        <v/>
      </c>
      <c r="K17449">
        <f>IFERROR(__xludf.DUMMYFUNCTION("""COMPUTED_VALUE"""),1063.78)</f>
        <v/>
      </c>
    </row>
    <row r="17450">
      <c r="J17450">
        <f>IFERROR(__xludf.DUMMYFUNCTION("""COMPUTED_VALUE"""),"Charlottetown ( Prince Edward Island)")</f>
        <v/>
      </c>
      <c r="K17450">
        <f>IFERROR(__xludf.DUMMYFUNCTION("""COMPUTED_VALUE"""),1063.54)</f>
        <v/>
      </c>
    </row>
    <row r="17451">
      <c r="J17451">
        <f>IFERROR(__xludf.DUMMYFUNCTION("""COMPUTED_VALUE"""),"Halifax, NS - Charlottetown, PE / Charlottetown, PE - Halifax, NS")</f>
        <v/>
      </c>
      <c r="K17451">
        <f>IFERROR(__xludf.DUMMYFUNCTION("""COMPUTED_VALUE"""),1063.02)</f>
        <v/>
      </c>
    </row>
    <row r="17452">
      <c r="J17452">
        <f>IFERROR(__xludf.DUMMYFUNCTION("""COMPUTED_VALUE"""),"Cambridge")</f>
        <v/>
      </c>
      <c r="K17452">
        <f>IFERROR(__xludf.DUMMYFUNCTION("""COMPUTED_VALUE"""),1061.39)</f>
        <v/>
      </c>
    </row>
    <row r="17453">
      <c r="J17453">
        <f>IFERROR(__xludf.DUMMYFUNCTION("""COMPUTED_VALUE"""),"Montreal, QC, CAN")</f>
        <v/>
      </c>
      <c r="K17453">
        <f>IFERROR(__xludf.DUMMYFUNCTION("""COMPUTED_VALUE"""),1061.35)</f>
        <v/>
      </c>
    </row>
    <row r="17454">
      <c r="J17454">
        <f>IFERROR(__xludf.DUMMYFUNCTION("""COMPUTED_VALUE"""),"Coleman, Summerside, Morell, Charlottetown, Prince Edward Island")</f>
        <v/>
      </c>
      <c r="K17454">
        <f>IFERROR(__xludf.DUMMYFUNCTION("""COMPUTED_VALUE"""),1061.15)</f>
        <v/>
      </c>
    </row>
    <row r="17455">
      <c r="J17455">
        <f>IFERROR(__xludf.DUMMYFUNCTION("""COMPUTED_VALUE"""),"Montréal
Ottawa")</f>
        <v/>
      </c>
      <c r="K17455">
        <f>IFERROR(__xludf.DUMMYFUNCTION("""COMPUTED_VALUE"""),1060.97)</f>
        <v/>
      </c>
    </row>
    <row r="17456">
      <c r="J17456">
        <f>IFERROR(__xludf.DUMMYFUNCTION("""COMPUTED_VALUE"""),"Quebec City, Bagotville, Alma and Saguenay, Quebec")</f>
        <v/>
      </c>
      <c r="K17456">
        <f>IFERROR(__xludf.DUMMYFUNCTION("""COMPUTED_VALUE"""),1060.5)</f>
        <v/>
      </c>
    </row>
    <row r="17457">
      <c r="J17457">
        <f>IFERROR(__xludf.DUMMYFUNCTION("""COMPUTED_VALUE"""),"Trois-Rivieres, Quebec, Canada / Quebec, Quebec, Canada / Chicoutimi, Quebec, Canada")</f>
        <v/>
      </c>
      <c r="K17457">
        <f>IFERROR(__xludf.DUMMYFUNCTION("""COMPUTED_VALUE"""),1060.22)</f>
        <v/>
      </c>
    </row>
    <row r="17458">
      <c r="J17458">
        <f>IFERROR(__xludf.DUMMYFUNCTION("""COMPUTED_VALUE"""),"Riga, Latvia (12-16 Nov 24)Warsaw Poland (16-18 Nov 24)")</f>
        <v/>
      </c>
      <c r="K17458">
        <f>IFERROR(__xludf.DUMMYFUNCTION("""COMPUTED_VALUE"""),1060.1)</f>
        <v/>
      </c>
    </row>
    <row r="17459">
      <c r="J17459">
        <f>IFERROR(__xludf.DUMMYFUNCTION("""COMPUTED_VALUE"""),"Ottawa, ON/Fredericton, NB")</f>
        <v/>
      </c>
      <c r="K17459">
        <f>IFERROR(__xludf.DUMMYFUNCTION("""COMPUTED_VALUE"""),1059.55)</f>
        <v/>
      </c>
    </row>
    <row r="17460">
      <c r="J17460">
        <f>IFERROR(__xludf.DUMMYFUNCTION("""COMPUTED_VALUE"""),"Attend VAC meetings")</f>
        <v/>
      </c>
      <c r="K17460">
        <f>IFERROR(__xludf.DUMMYFUNCTION("""COMPUTED_VALUE"""),1059.12)</f>
        <v/>
      </c>
    </row>
    <row r="17461">
      <c r="J17461">
        <f>IFERROR(__xludf.DUMMYFUNCTION("""COMPUTED_VALUE"""),"Kahnawake, Quebec, Canada")</f>
        <v/>
      </c>
      <c r="K17461">
        <f>IFERROR(__xludf.DUMMYFUNCTION("""COMPUTED_VALUE"""),1058.75)</f>
        <v/>
      </c>
    </row>
    <row r="17462">
      <c r="J17462">
        <f>IFERROR(__xludf.DUMMYFUNCTION("""COMPUTED_VALUE"""),"Onion Lake Indian Reserve, Saskatchewan, Canada")</f>
        <v/>
      </c>
      <c r="K17462">
        <f>IFERROR(__xludf.DUMMYFUNCTION("""COMPUTED_VALUE"""),1058.6)</f>
        <v/>
      </c>
    </row>
    <row r="17463">
      <c r="J17463">
        <f>IFERROR(__xludf.DUMMYFUNCTION("""COMPUTED_VALUE"""),"Guelph, ON - Mississauga, ON")</f>
        <v/>
      </c>
      <c r="K17463">
        <f>IFERROR(__xludf.DUMMYFUNCTION("""COMPUTED_VALUE"""),1058.39)</f>
        <v/>
      </c>
    </row>
    <row r="17464">
      <c r="J17464">
        <f>IFERROR(__xludf.DUMMYFUNCTION("""COMPUTED_VALUE"""),"Toronto, Ontario, Canada; Guelph, Ontario, Canada, Aurora, Ontario, Canada")</f>
        <v/>
      </c>
      <c r="K17464">
        <f>IFERROR(__xludf.DUMMYFUNCTION("""COMPUTED_VALUE"""),1058.34)</f>
        <v/>
      </c>
    </row>
    <row r="17465">
      <c r="J17465">
        <f>IFERROR(__xludf.DUMMYFUNCTION("""COMPUTED_VALUE"""),"Fort McMurray, AB; Edmonton, AB")</f>
        <v/>
      </c>
      <c r="K17465">
        <f>IFERROR(__xludf.DUMMYFUNCTION("""COMPUTED_VALUE"""),1058.04)</f>
        <v/>
      </c>
    </row>
    <row r="17466">
      <c r="J17466">
        <f>IFERROR(__xludf.DUMMYFUNCTION("""COMPUTED_VALUE"""),"Moncton, New Brunswick / Dartmouth, Nova Scotia / St. John's, Newfoundland and Labrador")</f>
        <v/>
      </c>
      <c r="K17466">
        <f>IFERROR(__xludf.DUMMYFUNCTION("""COMPUTED_VALUE"""),1057.5)</f>
        <v/>
      </c>
    </row>
    <row r="17467">
      <c r="J17467">
        <f>IFERROR(__xludf.DUMMYFUNCTION("""COMPUTED_VALUE"""),"Etobicoke ON, CAN")</f>
        <v/>
      </c>
      <c r="K17467">
        <f>IFERROR(__xludf.DUMMYFUNCTION("""COMPUTED_VALUE"""),1057.38)</f>
        <v/>
      </c>
    </row>
    <row r="17468">
      <c r="J17468">
        <f>IFERROR(__xludf.DUMMYFUNCTION("""COMPUTED_VALUE"""),"Parksville, British-Columbia, Canada")</f>
        <v/>
      </c>
      <c r="K17468">
        <f>IFERROR(__xludf.DUMMYFUNCTION("""COMPUTED_VALUE"""),1057.04)</f>
        <v/>
      </c>
    </row>
    <row r="17469">
      <c r="J17469">
        <f>IFERROR(__xludf.DUMMYFUNCTION("""COMPUTED_VALUE"""),"TORONTO ON")</f>
        <v/>
      </c>
      <c r="K17469">
        <f>IFERROR(__xludf.DUMMYFUNCTION("""COMPUTED_VALUE"""),1055.92)</f>
        <v/>
      </c>
    </row>
    <row r="17470">
      <c r="J17470">
        <f>IFERROR(__xludf.DUMMYFUNCTION("""COMPUTED_VALUE"""),"Rivière-du-Loup, Québec, Victoriaville, Roberval, Laval, Ottawa")</f>
        <v/>
      </c>
      <c r="K17470">
        <f>IFERROR(__xludf.DUMMYFUNCTION("""COMPUTED_VALUE"""),1055.68)</f>
        <v/>
      </c>
    </row>
    <row r="17471">
      <c r="J17471">
        <f>IFERROR(__xludf.DUMMYFUNCTION("""COMPUTED_VALUE"""),"Grande Prairie, AB; Calgary, AB")</f>
        <v/>
      </c>
      <c r="K17471">
        <f>IFERROR(__xludf.DUMMYFUNCTION("""COMPUTED_VALUE"""),1054.95)</f>
        <v/>
      </c>
    </row>
    <row r="17472">
      <c r="J17472">
        <f>IFERROR(__xludf.DUMMYFUNCTION("""COMPUTED_VALUE"""),"Conrwall, Ontario; Ottawa, Ontario")</f>
        <v/>
      </c>
      <c r="K17472">
        <f>IFERROR(__xludf.DUMMYFUNCTION("""COMPUTED_VALUE"""),1054.91)</f>
        <v/>
      </c>
    </row>
    <row r="17473">
      <c r="J17473">
        <f>IFERROR(__xludf.DUMMYFUNCTION("""COMPUTED_VALUE"""),"Toronto, (Ontario) Montreal, (Québec)")</f>
        <v/>
      </c>
      <c r="K17473">
        <f>IFERROR(__xludf.DUMMYFUNCTION("""COMPUTED_VALUE"""),1053.85)</f>
        <v/>
      </c>
    </row>
    <row r="17474">
      <c r="J17474">
        <f>IFERROR(__xludf.DUMMYFUNCTION("""COMPUTED_VALUE"""),"Kanata, Ontario, Canada          Ottawa, Ontario, Canada         Toronto, Ontario, Canada")</f>
        <v/>
      </c>
      <c r="K17474">
        <f>IFERROR(__xludf.DUMMYFUNCTION("""COMPUTED_VALUE"""),1053.27)</f>
        <v/>
      </c>
    </row>
    <row r="17475">
      <c r="J17475">
        <f>IFERROR(__xludf.DUMMYFUNCTION("""COMPUTED_VALUE"""),"Saratov, Russia")</f>
        <v/>
      </c>
      <c r="K17475">
        <f>IFERROR(__xludf.DUMMYFUNCTION("""COMPUTED_VALUE"""),1052.39)</f>
        <v/>
      </c>
    </row>
    <row r="17476">
      <c r="J17476">
        <f>IFERROR(__xludf.DUMMYFUNCTION("""COMPUTED_VALUE"""),"Ottawa - Québec - Lévis - Québec - Ottawa")</f>
        <v/>
      </c>
      <c r="K17476">
        <f>IFERROR(__xludf.DUMMYFUNCTION("""COMPUTED_VALUE"""),1052.33)</f>
        <v/>
      </c>
    </row>
    <row r="17477">
      <c r="J17477">
        <f>IFERROR(__xludf.DUMMYFUNCTION("""COMPUTED_VALUE"""),"Bathurst, New Brunswick, Canada; Moncton, New Brunswick, Canada")</f>
        <v/>
      </c>
      <c r="K17477">
        <f>IFERROR(__xludf.DUMMYFUNCTION("""COMPUTED_VALUE"""),1052.25)</f>
        <v/>
      </c>
    </row>
    <row r="17478">
      <c r="J17478">
        <f>IFERROR(__xludf.DUMMYFUNCTION("""COMPUTED_VALUE"""),"Aurora, Ontario, Canada; Newmarket, Ontario, Canada")</f>
        <v/>
      </c>
      <c r="K17478">
        <f>IFERROR(__xludf.DUMMYFUNCTION("""COMPUTED_VALUE"""),1052.01)</f>
        <v/>
      </c>
    </row>
    <row r="17479">
      <c r="J17479">
        <f>IFERROR(__xludf.DUMMYFUNCTION("""COMPUTED_VALUE"""),"St-Catharines, ON")</f>
        <v/>
      </c>
      <c r="K17479">
        <f>IFERROR(__xludf.DUMMYFUNCTION("""COMPUTED_VALUE"""),1052)</f>
        <v/>
      </c>
    </row>
    <row r="17480">
      <c r="J17480">
        <f>IFERROR(__xludf.DUMMYFUNCTION("""COMPUTED_VALUE"""),"Saint John, New Brusnwick")</f>
        <v/>
      </c>
      <c r="K17480">
        <f>IFERROR(__xludf.DUMMYFUNCTION("""COMPUTED_VALUE"""),1051.74)</f>
        <v/>
      </c>
    </row>
    <row r="17481">
      <c r="J17481">
        <f>IFERROR(__xludf.DUMMYFUNCTION("""COMPUTED_VALUE"""),"West Virginia (Charleston &amp; Morgantown), United States")</f>
        <v/>
      </c>
      <c r="K17481">
        <f>IFERROR(__xludf.DUMMYFUNCTION("""COMPUTED_VALUE"""),1051.41)</f>
        <v/>
      </c>
    </row>
    <row r="17482">
      <c r="J17482">
        <f>IFERROR(__xludf.DUMMYFUNCTION("""COMPUTED_VALUE"""),"Sept-îles, Quebec")</f>
        <v/>
      </c>
      <c r="K17482">
        <f>IFERROR(__xludf.DUMMYFUNCTION("""COMPUTED_VALUE"""),1051.21)</f>
        <v/>
      </c>
    </row>
    <row r="17483">
      <c r="J17483">
        <f>IFERROR(__xludf.DUMMYFUNCTION("""COMPUTED_VALUE"""),"Gander, Newfoundland and Labrador, Canada; Springdale, Newfoundland and Labrador, Canada; Grand Falls, Newfoundland and Labrador, Canada; Clarenville, Newfoundland and Labrador, Canada; Marystown, Newfoundland and Labrador, Canada")</f>
        <v/>
      </c>
      <c r="K17483">
        <f>IFERROR(__xludf.DUMMYFUNCTION("""COMPUTED_VALUE"""),1051.17)</f>
        <v/>
      </c>
    </row>
    <row r="17484">
      <c r="J17484">
        <f>IFERROR(__xludf.DUMMYFUNCTION("""COMPUTED_VALUE"""),"Albany, NY and Newark, NJ")</f>
        <v/>
      </c>
      <c r="K17484">
        <f>IFERROR(__xludf.DUMMYFUNCTION("""COMPUTED_VALUE"""),1050.6)</f>
        <v/>
      </c>
    </row>
    <row r="17485">
      <c r="J17485">
        <f>IFERROR(__xludf.DUMMYFUNCTION("""COMPUTED_VALUE"""),"Ottawa, ON - Quebec City, QC - Bagotville, QC - Ottawa ON")</f>
        <v/>
      </c>
      <c r="K17485">
        <f>IFERROR(__xludf.DUMMYFUNCTION("""COMPUTED_VALUE"""),1050.27)</f>
        <v/>
      </c>
    </row>
    <row r="17486">
      <c r="J17486">
        <f>IFERROR(__xludf.DUMMYFUNCTION("""COMPUTED_VALUE"""),"Penticton, BC Kelowna, BC")</f>
        <v/>
      </c>
      <c r="K17486">
        <f>IFERROR(__xludf.DUMMYFUNCTION("""COMPUTED_VALUE"""),1050.26)</f>
        <v/>
      </c>
    </row>
    <row r="17487">
      <c r="J17487">
        <f>IFERROR(__xludf.DUMMYFUNCTION("""COMPUTED_VALUE"""),"Brandon, Winkler, Winnipeg, Manitoba, Canada")</f>
        <v/>
      </c>
      <c r="K17487">
        <f>IFERROR(__xludf.DUMMYFUNCTION("""COMPUTED_VALUE"""),1050.12)</f>
        <v/>
      </c>
    </row>
    <row r="17488">
      <c r="J17488">
        <f>IFERROR(__xludf.DUMMYFUNCTION("""COMPUTED_VALUE"""),"Montreal, QC - Charlottetown, PE / Charlottetown, PE - Ottawa, ON")</f>
        <v/>
      </c>
      <c r="K17488">
        <f>IFERROR(__xludf.DUMMYFUNCTION("""COMPUTED_VALUE"""),1050.03)</f>
        <v/>
      </c>
    </row>
    <row r="17489">
      <c r="J17489">
        <f>IFERROR(__xludf.DUMMYFUNCTION("""COMPUTED_VALUE"""),"North Bay (Ontario) Canada")</f>
        <v/>
      </c>
      <c r="K17489">
        <f>IFERROR(__xludf.DUMMYFUNCTION("""COMPUTED_VALUE"""),1050.02)</f>
        <v/>
      </c>
    </row>
    <row r="17490">
      <c r="J17490">
        <f>IFERROR(__xludf.DUMMYFUNCTION("""COMPUTED_VALUE"""),"Sainte-Anne-des-Monts, QC")</f>
        <v/>
      </c>
      <c r="K17490">
        <f>IFERROR(__xludf.DUMMYFUNCTION("""COMPUTED_VALUE"""),1049.9)</f>
        <v/>
      </c>
    </row>
    <row r="17491">
      <c r="J17491">
        <f>IFERROR(__xludf.DUMMYFUNCTION("""COMPUTED_VALUE"""),"King City, ON, Canada")</f>
        <v/>
      </c>
      <c r="K17491">
        <f>IFERROR(__xludf.DUMMYFUNCTION("""COMPUTED_VALUE"""),1049.87)</f>
        <v/>
      </c>
    </row>
    <row r="17492">
      <c r="J17492">
        <f>IFERROR(__xludf.DUMMYFUNCTION("""COMPUTED_VALUE"""),"Saskatoon; Regina, Saskatchewan, Canada")</f>
        <v/>
      </c>
      <c r="K17492">
        <f>IFERROR(__xludf.DUMMYFUNCTION("""COMPUTED_VALUE"""),1049.86)</f>
        <v/>
      </c>
    </row>
    <row r="17493">
      <c r="J17493">
        <f>IFERROR(__xludf.DUMMYFUNCTION("""COMPUTED_VALUE"""),"New Dehli, India")</f>
        <v/>
      </c>
      <c r="K17493">
        <f>IFERROR(__xludf.DUMMYFUNCTION("""COMPUTED_VALUE"""),1049.69)</f>
        <v/>
      </c>
    </row>
    <row r="17494">
      <c r="J17494">
        <f>IFERROR(__xludf.DUMMYFUNCTION("""COMPUTED_VALUE"""),"Calgary, AB; Bonnyville, AB")</f>
        <v/>
      </c>
      <c r="K17494">
        <f>IFERROR(__xludf.DUMMYFUNCTION("""COMPUTED_VALUE"""),1049.27)</f>
        <v/>
      </c>
    </row>
    <row r="17495">
      <c r="J17495">
        <f>IFERROR(__xludf.DUMMYFUNCTION("""COMPUTED_VALUE"""),"Naples and Sicily, Italy")</f>
        <v/>
      </c>
      <c r="K17495">
        <f>IFERROR(__xludf.DUMMYFUNCTION("""COMPUTED_VALUE"""),1049.08)</f>
        <v/>
      </c>
    </row>
    <row r="17496">
      <c r="J17496">
        <f>IFERROR(__xludf.DUMMYFUNCTION("""COMPUTED_VALUE"""),"Halifax and Kentville, Nova Scotia")</f>
        <v/>
      </c>
      <c r="K17496">
        <f>IFERROR(__xludf.DUMMYFUNCTION("""COMPUTED_VALUE"""),1048.95)</f>
        <v/>
      </c>
    </row>
    <row r="17497">
      <c r="J17497">
        <f>IFERROR(__xludf.DUMMYFUNCTION("""COMPUTED_VALUE"""),"Ottawa and Montréal")</f>
        <v/>
      </c>
      <c r="K17497">
        <f>IFERROR(__xludf.DUMMYFUNCTION("""COMPUTED_VALUE"""),1048.95)</f>
        <v/>
      </c>
    </row>
    <row r="17498">
      <c r="J17498">
        <f>IFERROR(__xludf.DUMMYFUNCTION("""COMPUTED_VALUE"""),"Whitby, Newmarket, Brampton and Oakville, Ontario")</f>
        <v/>
      </c>
      <c r="K17498">
        <f>IFERROR(__xludf.DUMMYFUNCTION("""COMPUTED_VALUE"""),1048.93)</f>
        <v/>
      </c>
    </row>
    <row r="17499">
      <c r="J17499">
        <f>IFERROR(__xludf.DUMMYFUNCTION("""COMPUTED_VALUE"""),"Charlottetown- Toronto- Ottawa")</f>
        <v/>
      </c>
      <c r="K17499">
        <f>IFERROR(__xludf.DUMMYFUNCTION("""COMPUTED_VALUE"""),1048.47)</f>
        <v/>
      </c>
    </row>
    <row r="17500">
      <c r="J17500">
        <f>IFERROR(__xludf.DUMMYFUNCTION("""COMPUTED_VALUE"""),"Maskwacis, Alberta, Canada")</f>
        <v/>
      </c>
      <c r="K17500">
        <f>IFERROR(__xludf.DUMMYFUNCTION("""COMPUTED_VALUE"""),1048.32)</f>
        <v/>
      </c>
    </row>
    <row r="17501">
      <c r="J17501">
        <f>IFERROR(__xludf.DUMMYFUNCTION("""COMPUTED_VALUE"""),"Quebec City, Delson, Saint-Ubalde, Quebec")</f>
        <v/>
      </c>
      <c r="K17501">
        <f>IFERROR(__xludf.DUMMYFUNCTION("""COMPUTED_VALUE"""),1048.21)</f>
        <v/>
      </c>
    </row>
    <row r="17502">
      <c r="J17502">
        <f>IFERROR(__xludf.DUMMYFUNCTION("""COMPUTED_VALUE"""),"Toronto, Ontario and Valcartier,  Québec")</f>
        <v/>
      </c>
      <c r="K17502">
        <f>IFERROR(__xludf.DUMMYFUNCTION("""COMPUTED_VALUE"""),1047.59)</f>
        <v/>
      </c>
    </row>
    <row r="17503">
      <c r="J17503">
        <f>IFERROR(__xludf.DUMMYFUNCTION("""COMPUTED_VALUE"""),"Sudbury / Toronto")</f>
        <v/>
      </c>
      <c r="K17503">
        <f>IFERROR(__xludf.DUMMYFUNCTION("""COMPUTED_VALUE"""),1047.48)</f>
        <v/>
      </c>
    </row>
    <row r="17504">
      <c r="J17504">
        <f>IFERROR(__xludf.DUMMYFUNCTION("""COMPUTED_VALUE"""),"Sudbury, Ontario, Canada; Toronto, Ontario, Canada")</f>
        <v/>
      </c>
      <c r="K17504">
        <f>IFERROR(__xludf.DUMMYFUNCTION("""COMPUTED_VALUE"""),1047.48)</f>
        <v/>
      </c>
    </row>
    <row r="17505">
      <c r="J17505">
        <f>IFERROR(__xludf.DUMMYFUNCTION("""COMPUTED_VALUE"""),"Moncton, New-Brunswick and Montreal, Quebec")</f>
        <v/>
      </c>
      <c r="K17505">
        <f>IFERROR(__xludf.DUMMYFUNCTION("""COMPUTED_VALUE"""),1047.41)</f>
        <v/>
      </c>
    </row>
    <row r="17506">
      <c r="J17506">
        <f>IFERROR(__xludf.DUMMYFUNCTION("""COMPUTED_VALUE"""),"Montreal, QC /Ottawa, ON")</f>
        <v/>
      </c>
      <c r="K17506">
        <f>IFERROR(__xludf.DUMMYFUNCTION("""COMPUTED_VALUE"""),1046.37)</f>
        <v/>
      </c>
    </row>
    <row r="17507">
      <c r="J17507">
        <f>IFERROR(__xludf.DUMMYFUNCTION("""COMPUTED_VALUE"""),"Midland, Ontario")</f>
        <v/>
      </c>
      <c r="K17507">
        <f>IFERROR(__xludf.DUMMYFUNCTION("""COMPUTED_VALUE"""),1046.06)</f>
        <v/>
      </c>
    </row>
    <row r="17508">
      <c r="J17508">
        <f>IFERROR(__xludf.DUMMYFUNCTION("""COMPUTED_VALUE"""),"Ontario, Borden")</f>
        <v/>
      </c>
      <c r="K17508">
        <f>IFERROR(__xludf.DUMMYFUNCTION("""COMPUTED_VALUE"""),1045.98)</f>
        <v/>
      </c>
    </row>
    <row r="17509">
      <c r="J17509">
        <f>IFERROR(__xludf.DUMMYFUNCTION("""COMPUTED_VALUE"""),"Moncton, NB - Hamilton, ON / Hamilton, ON - Moncton, NB")</f>
        <v/>
      </c>
      <c r="K17509">
        <f>IFERROR(__xludf.DUMMYFUNCTION("""COMPUTED_VALUE"""),1045.77)</f>
        <v/>
      </c>
    </row>
    <row r="17510">
      <c r="J17510">
        <f>IFERROR(__xludf.DUMMYFUNCTION("""COMPUTED_VALUE"""),"Toronto, Québec, Canada")</f>
        <v/>
      </c>
      <c r="K17510">
        <f>IFERROR(__xludf.DUMMYFUNCTION("""COMPUTED_VALUE"""),1045.5)</f>
        <v/>
      </c>
    </row>
    <row r="17511">
      <c r="J17511">
        <f>IFERROR(__xludf.DUMMYFUNCTION("""COMPUTED_VALUE"""),"Bromont, Sutton, Dunham, Montreal, Quebec, (Canada)")</f>
        <v/>
      </c>
      <c r="K17511">
        <f>IFERROR(__xludf.DUMMYFUNCTION("""COMPUTED_VALUE"""),1045.19)</f>
        <v/>
      </c>
    </row>
    <row r="17512">
      <c r="J17512">
        <f>IFERROR(__xludf.DUMMYFUNCTION("""COMPUTED_VALUE"""),"DALHOUSIE, NB - CHARLOTTETOWN, PE")</f>
        <v/>
      </c>
      <c r="K17512">
        <f>IFERROR(__xludf.DUMMYFUNCTION("""COMPUTED_VALUE"""),1045)</f>
        <v/>
      </c>
    </row>
    <row r="17513">
      <c r="J17513">
        <f>IFERROR(__xludf.DUMMYFUNCTION("""COMPUTED_VALUE"""),"Winnipeg, Manitoba, North Bay, Ontario, Ottawa, Ontario (Canada)")</f>
        <v/>
      </c>
      <c r="K17513">
        <f>IFERROR(__xludf.DUMMYFUNCTION("""COMPUTED_VALUE"""),1044.91)</f>
        <v/>
      </c>
    </row>
    <row r="17514">
      <c r="J17514">
        <f>IFERROR(__xludf.DUMMYFUNCTION("""COMPUTED_VALUE"""),"Ottawa - Kingston - Ottawa")</f>
        <v/>
      </c>
      <c r="K17514">
        <f>IFERROR(__xludf.DUMMYFUNCTION("""COMPUTED_VALUE"""),1044.74)</f>
        <v/>
      </c>
    </row>
    <row r="17515">
      <c r="J17515">
        <f>IFERROR(__xludf.DUMMYFUNCTION("""COMPUTED_VALUE"""),"Newfoundland, Alberta, Nunavut, Canada")</f>
        <v/>
      </c>
      <c r="K17515">
        <f>IFERROR(__xludf.DUMMYFUNCTION("""COMPUTED_VALUE"""),1044.39)</f>
        <v/>
      </c>
    </row>
    <row r="17516">
      <c r="J17516">
        <f>IFERROR(__xludf.DUMMYFUNCTION("""COMPUTED_VALUE"""),"Aspen, Colorado (USA)")</f>
        <v/>
      </c>
      <c r="K17516">
        <f>IFERROR(__xludf.DUMMYFUNCTION("""COMPUTED_VALUE"""),1044)</f>
        <v/>
      </c>
    </row>
    <row r="17517">
      <c r="J17517">
        <f>IFERROR(__xludf.DUMMYFUNCTION("""COMPUTED_VALUE"""),"Saskatooon, Saskatchewan, Canada")</f>
        <v/>
      </c>
      <c r="K17517">
        <f>IFERROR(__xludf.DUMMYFUNCTION("""COMPUTED_VALUE"""),1043.93)</f>
        <v/>
      </c>
    </row>
    <row r="17518">
      <c r="J17518">
        <f>IFERROR(__xludf.DUMMYFUNCTION("""COMPUTED_VALUE"""),"CFB Borden, Ontario, Canada")</f>
        <v/>
      </c>
      <c r="K17518">
        <f>IFERROR(__xludf.DUMMYFUNCTION("""COMPUTED_VALUE"""),1043.8)</f>
        <v/>
      </c>
    </row>
    <row r="17519">
      <c r="J17519">
        <f>IFERROR(__xludf.DUMMYFUNCTION("""COMPUTED_VALUE"""),"Truro, Nova Scotia, Canada; Amherst, Nova Scotia, Canada; Port Hawkesbury, Nova Scotia, Canada; Inverness, Nova Scotia, Canada; Guysborough, Nova Scotia, Canada; Antigonish, Nova Scotia, Canada; Dartmouth, Nova Scotia, Canada; Bedford, Nova Scotia, Canada")</f>
        <v/>
      </c>
      <c r="K17519">
        <f>IFERROR(__xludf.DUMMYFUNCTION("""COMPUTED_VALUE"""),1042.77)</f>
        <v/>
      </c>
    </row>
    <row r="17520">
      <c r="J17520">
        <f>IFERROR(__xludf.DUMMYFUNCTION("""COMPUTED_VALUE"""),"Boucherville, Qc")</f>
        <v/>
      </c>
      <c r="K17520">
        <f>IFERROR(__xludf.DUMMYFUNCTION("""COMPUTED_VALUE"""),1042.35)</f>
        <v/>
      </c>
    </row>
    <row r="17521">
      <c r="J17521">
        <f>IFERROR(__xludf.DUMMYFUNCTION("""COMPUTED_VALUE"""),"OTTAWA RETURN TORONTO")</f>
        <v/>
      </c>
      <c r="K17521">
        <f>IFERROR(__xludf.DUMMYFUNCTION("""COMPUTED_VALUE"""),1042.23)</f>
        <v/>
      </c>
    </row>
    <row r="17522">
      <c r="J17522">
        <f>IFERROR(__xludf.DUMMYFUNCTION("""COMPUTED_VALUE"""),"Ottawa, Ontario (Canada) Montreal, Quebec, Sherbrooke, Trois-Rivière, Quebec (Canada)")</f>
        <v/>
      </c>
      <c r="K17522">
        <f>IFERROR(__xludf.DUMMYFUNCTION("""COMPUTED_VALUE"""),1042)</f>
        <v/>
      </c>
    </row>
    <row r="17523">
      <c r="J17523">
        <f>IFERROR(__xludf.DUMMYFUNCTION("""COMPUTED_VALUE"""),"Moncton, NB; Bathurst, NB; Sydney, NS")</f>
        <v/>
      </c>
      <c r="K17523">
        <f>IFERROR(__xludf.DUMMYFUNCTION("""COMPUTED_VALUE"""),1041.39)</f>
        <v/>
      </c>
    </row>
    <row r="17524">
      <c r="J17524">
        <f>IFERROR(__xludf.DUMMYFUNCTION("""COMPUTED_VALUE"""),"Ottawa, Halifax, canada")</f>
        <v/>
      </c>
      <c r="K17524">
        <f>IFERROR(__xludf.DUMMYFUNCTION("""COMPUTED_VALUE"""),1040.49)</f>
        <v/>
      </c>
    </row>
    <row r="17525">
      <c r="J17525">
        <f>IFERROR(__xludf.DUMMYFUNCTION("""COMPUTED_VALUE"""),"Toronto, Ontario and Fredericton, New Brunswick")</f>
        <v/>
      </c>
      <c r="K17525">
        <f>IFERROR(__xludf.DUMMYFUNCTION("""COMPUTED_VALUE"""),1040.48)</f>
        <v/>
      </c>
    </row>
    <row r="17526">
      <c r="J17526">
        <f>IFERROR(__xludf.DUMMYFUNCTION("""COMPUTED_VALUE"""),"Toronto &amp; Ottawa, Ontario")</f>
        <v/>
      </c>
      <c r="K17526">
        <f>IFERROR(__xludf.DUMMYFUNCTION("""COMPUTED_VALUE"""),1040.44)</f>
        <v/>
      </c>
    </row>
    <row r="17527">
      <c r="J17527">
        <f>IFERROR(__xludf.DUMMYFUNCTION("""COMPUTED_VALUE"""),"Calgary, Alberta; Cochrane, Alberta; Blairmore, Alberta; Eden Valley, Alberta; Coleman, Alberta")</f>
        <v/>
      </c>
      <c r="K17527">
        <f>IFERROR(__xludf.DUMMYFUNCTION("""COMPUTED_VALUE"""),1040.24)</f>
        <v/>
      </c>
    </row>
    <row r="17528">
      <c r="J17528">
        <f>IFERROR(__xludf.DUMMYFUNCTION("""COMPUTED_VALUE"""),"PARIS, France")</f>
        <v/>
      </c>
      <c r="K17528">
        <f>IFERROR(__xludf.DUMMYFUNCTION("""COMPUTED_VALUE"""),1040.11)</f>
        <v/>
      </c>
    </row>
    <row r="17529">
      <c r="J17529">
        <f>IFERROR(__xludf.DUMMYFUNCTION("""COMPUTED_VALUE"""),"Edmonton, Calgary / Toronto, Ontario, Canada")</f>
        <v/>
      </c>
      <c r="K17529">
        <f>IFERROR(__xludf.DUMMYFUNCTION("""COMPUTED_VALUE"""),1039.5)</f>
        <v/>
      </c>
    </row>
    <row r="17530">
      <c r="J17530">
        <f>IFERROR(__xludf.DUMMYFUNCTION("""COMPUTED_VALUE"""),"St. John's - Halifax- Ottawa")</f>
        <v/>
      </c>
      <c r="K17530">
        <f>IFERROR(__xludf.DUMMYFUNCTION("""COMPUTED_VALUE"""),1038.83)</f>
        <v/>
      </c>
    </row>
    <row r="17531">
      <c r="J17531">
        <f>IFERROR(__xludf.DUMMYFUNCTION("""COMPUTED_VALUE"""),"Toronto and Waterloo, Ontario")</f>
        <v/>
      </c>
      <c r="K17531">
        <f>IFERROR(__xludf.DUMMYFUNCTION("""COMPUTED_VALUE"""),1038.26)</f>
        <v/>
      </c>
    </row>
    <row r="17532">
      <c r="J17532">
        <f>IFERROR(__xludf.DUMMYFUNCTION("""COMPUTED_VALUE"""),"Halifax, Digby County and Yarmouth, Nova Scotia")</f>
        <v/>
      </c>
      <c r="K17532">
        <f>IFERROR(__xludf.DUMMYFUNCTION("""COMPUTED_VALUE"""),1038.14)</f>
        <v/>
      </c>
    </row>
    <row r="17533">
      <c r="J17533">
        <f>IFERROR(__xludf.DUMMYFUNCTION("""COMPUTED_VALUE"""),"Halifax, Nova Scotia, Canada; Charlottetown, Prince Edward Island, Canada; Montague, Prince Edward Island, Canada; Brudenell, Prince Edward Island, Canada")</f>
        <v/>
      </c>
      <c r="K17533">
        <f>IFERROR(__xludf.DUMMYFUNCTION("""COMPUTED_VALUE"""),1038.13)</f>
        <v/>
      </c>
    </row>
    <row r="17534">
      <c r="J17534">
        <f>IFERROR(__xludf.DUMMYFUNCTION("""COMPUTED_VALUE"""),"Winnipeg &amp; Abbotsford")</f>
        <v/>
      </c>
      <c r="K17534">
        <f>IFERROR(__xludf.DUMMYFUNCTION("""COMPUTED_VALUE"""),1038.07)</f>
        <v/>
      </c>
    </row>
    <row r="17535">
      <c r="J17535">
        <f>IFERROR(__xludf.DUMMYFUNCTION("""COMPUTED_VALUE"""),"Red Deer,  (Alberta)")</f>
        <v/>
      </c>
      <c r="K17535">
        <f>IFERROR(__xludf.DUMMYFUNCTION("""COMPUTED_VALUE"""),1037.69)</f>
        <v/>
      </c>
    </row>
    <row r="17536">
      <c r="J17536">
        <f>IFERROR(__xludf.DUMMYFUNCTION("""COMPUTED_VALUE"""),"Cambodia, Asia; Indonesia, Asia; Thailand, Asia; Tunisia, Africa")</f>
        <v/>
      </c>
      <c r="K17536">
        <f>IFERROR(__xludf.DUMMYFUNCTION("""COMPUTED_VALUE"""),1037.66)</f>
        <v/>
      </c>
    </row>
    <row r="17537">
      <c r="J17537">
        <f>IFERROR(__xludf.DUMMYFUNCTION("""COMPUTED_VALUE"""),"Sudburry, Ontario, Canada")</f>
        <v/>
      </c>
      <c r="K17537">
        <f>IFERROR(__xludf.DUMMYFUNCTION("""COMPUTED_VALUE"""),1037.09)</f>
        <v/>
      </c>
    </row>
    <row r="17538">
      <c r="J17538">
        <f>IFERROR(__xludf.DUMMYFUNCTION("""COMPUTED_VALUE"""),"Victoria (BC), Edmonton (AB), Winnipeg (MB).")</f>
        <v/>
      </c>
      <c r="K17538">
        <f>IFERROR(__xludf.DUMMYFUNCTION("""COMPUTED_VALUE"""),1037.07)</f>
        <v/>
      </c>
    </row>
    <row r="17539">
      <c r="J17539">
        <f>IFERROR(__xludf.DUMMYFUNCTION("""COMPUTED_VALUE"""),"Myrtle Beach, SC")</f>
        <v/>
      </c>
      <c r="K17539">
        <f>IFERROR(__xludf.DUMMYFUNCTION("""COMPUTED_VALUE"""),1037.04)</f>
        <v/>
      </c>
    </row>
    <row r="17540">
      <c r="J17540">
        <f>IFERROR(__xludf.DUMMYFUNCTION("""COMPUTED_VALUE"""),"Shawinigan, Quebec, Canada /Montreal, Quebec, Canada")</f>
        <v/>
      </c>
      <c r="K17540">
        <f>IFERROR(__xludf.DUMMYFUNCTION("""COMPUTED_VALUE"""),1036.56)</f>
        <v/>
      </c>
    </row>
    <row r="17541">
      <c r="J17541">
        <f>IFERROR(__xludf.DUMMYFUNCTION("""COMPUTED_VALUE"""),"Charlottetown PE - Moncton NB / Moncton NB - Charlottetown PE")</f>
        <v/>
      </c>
      <c r="K17541">
        <f>IFERROR(__xludf.DUMMYFUNCTION("""COMPUTED_VALUE"""),1036)</f>
        <v/>
      </c>
    </row>
    <row r="17542">
      <c r="J17542">
        <f>IFERROR(__xludf.DUMMYFUNCTION("""COMPUTED_VALUE"""),"Charlottetown, Prince Edward Island / Moncton, New Brunswick, Canada")</f>
        <v/>
      </c>
      <c r="K17542">
        <f>IFERROR(__xludf.DUMMYFUNCTION("""COMPUTED_VALUE"""),1035.01)</f>
        <v/>
      </c>
    </row>
    <row r="17543">
      <c r="J17543">
        <f>IFERROR(__xludf.DUMMYFUNCTION("""COMPUTED_VALUE"""),"Kingston, Ontario; Trenton, Ontario")</f>
        <v/>
      </c>
      <c r="K17543">
        <f>IFERROR(__xludf.DUMMYFUNCTION("""COMPUTED_VALUE"""),1034.87)</f>
        <v/>
      </c>
    </row>
    <row r="17544">
      <c r="J17544">
        <f>IFERROR(__xludf.DUMMYFUNCTION("""COMPUTED_VALUE"""),"Shawinigan")</f>
        <v/>
      </c>
      <c r="K17544">
        <f>IFERROR(__xludf.DUMMYFUNCTION("""COMPUTED_VALUE"""),1034.8)</f>
        <v/>
      </c>
    </row>
    <row r="17545">
      <c r="J17545">
        <f>IFERROR(__xludf.DUMMYFUNCTION("""COMPUTED_VALUE"""),"Toronto,Waterloo,Windsor, (Ontario)")</f>
        <v/>
      </c>
      <c r="K17545">
        <f>IFERROR(__xludf.DUMMYFUNCTION("""COMPUTED_VALUE"""),1034.78)</f>
        <v/>
      </c>
    </row>
    <row r="17546">
      <c r="J17546">
        <f>IFERROR(__xludf.DUMMYFUNCTION("""COMPUTED_VALUE"""),"Québec, Quebec, Canada; Jonquière, Quebec, Canada")</f>
        <v/>
      </c>
      <c r="K17546">
        <f>IFERROR(__xludf.DUMMYFUNCTION("""COMPUTED_VALUE"""),1034.71)</f>
        <v/>
      </c>
    </row>
    <row r="17547">
      <c r="J17547">
        <f>IFERROR(__xludf.DUMMYFUNCTION("""COMPUTED_VALUE"""),"Moncton/New Brunswick")</f>
        <v/>
      </c>
      <c r="K17547">
        <f>IFERROR(__xludf.DUMMYFUNCTION("""COMPUTED_VALUE"""),1034.51)</f>
        <v/>
      </c>
    </row>
    <row r="17548">
      <c r="J17548">
        <f>IFERROR(__xludf.DUMMYFUNCTION("""COMPUTED_VALUE"""),"Guelph (Ontario);Toronto (Ontario) Canada")</f>
        <v/>
      </c>
      <c r="K17548">
        <f>IFERROR(__xludf.DUMMYFUNCTION("""COMPUTED_VALUE"""),1034.49)</f>
        <v/>
      </c>
    </row>
    <row r="17549">
      <c r="J17549">
        <f>IFERROR(__xludf.DUMMYFUNCTION("""COMPUTED_VALUE"""),"Moncton (New Brunswick) Canada")</f>
        <v/>
      </c>
      <c r="K17549">
        <f>IFERROR(__xludf.DUMMYFUNCTION("""COMPUTED_VALUE"""),1034.28)</f>
        <v/>
      </c>
    </row>
    <row r="17550">
      <c r="J17550">
        <f>IFERROR(__xludf.DUMMYFUNCTION("""COMPUTED_VALUE"""),"Windsor, England, United Kingdom")</f>
        <v/>
      </c>
      <c r="K17550">
        <f>IFERROR(__xludf.DUMMYFUNCTION("""COMPUTED_VALUE"""),1033.62)</f>
        <v/>
      </c>
    </row>
    <row r="17551">
      <c r="J17551">
        <f>IFERROR(__xludf.DUMMYFUNCTION("""COMPUTED_VALUE"""),"Toronto and Mississauga, ON")</f>
        <v/>
      </c>
      <c r="K17551">
        <f>IFERROR(__xludf.DUMMYFUNCTION("""COMPUTED_VALUE"""),1031.73)</f>
        <v/>
      </c>
    </row>
    <row r="17552">
      <c r="J17552">
        <f>IFERROR(__xludf.DUMMYFUNCTION("""COMPUTED_VALUE"""),"Vermillion, Alberta, Canada")</f>
        <v/>
      </c>
      <c r="K17552">
        <f>IFERROR(__xludf.DUMMYFUNCTION("""COMPUTED_VALUE"""),1030.7)</f>
        <v/>
      </c>
    </row>
    <row r="17553">
      <c r="J17553">
        <f>IFERROR(__xludf.DUMMYFUNCTION("""COMPUTED_VALUE"""),"Montreal,Quebec,Canada")</f>
        <v/>
      </c>
      <c r="K17553">
        <f>IFERROR(__xludf.DUMMYFUNCTION("""COMPUTED_VALUE"""),1029.61)</f>
        <v/>
      </c>
    </row>
    <row r="17554">
      <c r="J17554">
        <f>IFERROR(__xludf.DUMMYFUNCTION("""COMPUTED_VALUE"""),"Baie-Comeau and Sept-Îles, Québec")</f>
        <v/>
      </c>
      <c r="K17554">
        <f>IFERROR(__xludf.DUMMYFUNCTION("""COMPUTED_VALUE"""),1029.18)</f>
        <v/>
      </c>
    </row>
    <row r="17555">
      <c r="J17555">
        <f>IFERROR(__xludf.DUMMYFUNCTION("""COMPUTED_VALUE"""),"Victoriaville, Sept-Iles, Gaspé, Quebec City, Trois-Rivières")</f>
        <v/>
      </c>
      <c r="K17555">
        <f>IFERROR(__xludf.DUMMYFUNCTION("""COMPUTED_VALUE"""),1029.15)</f>
        <v/>
      </c>
    </row>
    <row r="17556">
      <c r="J17556">
        <f>IFERROR(__xludf.DUMMYFUNCTION("""COMPUTED_VALUE"""),"Montebello and Montreal, Quebec")</f>
        <v/>
      </c>
      <c r="K17556">
        <f>IFERROR(__xludf.DUMMYFUNCTION("""COMPUTED_VALUE"""),1028.99)</f>
        <v/>
      </c>
    </row>
    <row r="17557">
      <c r="J17557">
        <f>IFERROR(__xludf.DUMMYFUNCTION("""COMPUTED_VALUE"""),"Peterborough, Ontario, Canada; Oshawa, Ontario, Canada; Niagara Falls, Ontario, Canada; Kingston, Ontario, Canada")</f>
        <v/>
      </c>
      <c r="K17557">
        <f>IFERROR(__xludf.DUMMYFUNCTION("""COMPUTED_VALUE"""),1028.69)</f>
        <v/>
      </c>
    </row>
    <row r="17558">
      <c r="J17558">
        <f>IFERROR(__xludf.DUMMYFUNCTION("""COMPUTED_VALUE"""),"Montréal (Quebec) Canada; Ottawa (Ontario) Canada")</f>
        <v/>
      </c>
      <c r="K17558">
        <f>IFERROR(__xludf.DUMMYFUNCTION("""COMPUTED_VALUE"""),1028.31)</f>
        <v/>
      </c>
    </row>
    <row r="17559">
      <c r="J17559">
        <f>IFERROR(__xludf.DUMMYFUNCTION("""COMPUTED_VALUE"""),"Columbus, Ohio")</f>
        <v/>
      </c>
      <c r="K17559">
        <f>IFERROR(__xludf.DUMMYFUNCTION("""COMPUTED_VALUE"""),1027.97)</f>
        <v/>
      </c>
    </row>
    <row r="17560">
      <c r="J17560">
        <f>IFERROR(__xludf.DUMMYFUNCTION("""COMPUTED_VALUE"""),"Norris Point, NL")</f>
        <v/>
      </c>
      <c r="K17560">
        <f>IFERROR(__xludf.DUMMYFUNCTION("""COMPUTED_VALUE"""),1027.6)</f>
        <v/>
      </c>
    </row>
    <row r="17561">
      <c r="J17561">
        <f>IFERROR(__xludf.DUMMYFUNCTION("""COMPUTED_VALUE"""),"Ste-Hyacinthe, QC, Campbelton and Edmunston, NB")</f>
        <v/>
      </c>
      <c r="K17561">
        <f>IFERROR(__xludf.DUMMYFUNCTION("""COMPUTED_VALUE"""),1027.37)</f>
        <v/>
      </c>
    </row>
    <row r="17562">
      <c r="J17562">
        <f>IFERROR(__xludf.DUMMYFUNCTION("""COMPUTED_VALUE"""),"London (Ontario)Canada")</f>
        <v/>
      </c>
      <c r="K17562">
        <f>IFERROR(__xludf.DUMMYFUNCTION("""COMPUTED_VALUE"""),1027.28)</f>
        <v/>
      </c>
    </row>
    <row r="17563">
      <c r="J17563">
        <f>IFERROR(__xludf.DUMMYFUNCTION("""COMPUTED_VALUE"""),"Cambridge, Ontario, Canada / Toronto, Ontario, Canada")</f>
        <v/>
      </c>
      <c r="K17563">
        <f>IFERROR(__xludf.DUMMYFUNCTION("""COMPUTED_VALUE"""),1027.27)</f>
        <v/>
      </c>
    </row>
    <row r="17564">
      <c r="J17564">
        <f>IFERROR(__xludf.DUMMYFUNCTION("""COMPUTED_VALUE"""),"Montreal, Quebec, Quebec")</f>
        <v/>
      </c>
      <c r="K17564">
        <f>IFERROR(__xludf.DUMMYFUNCTION("""COMPUTED_VALUE"""),1026.79)</f>
        <v/>
      </c>
    </row>
    <row r="17565">
      <c r="J17565">
        <f>IFERROR(__xludf.DUMMYFUNCTION("""COMPUTED_VALUE"""),"Edmonton, Alberta - Saskatoon, Saskatchewan")</f>
        <v/>
      </c>
      <c r="K17565">
        <f>IFERROR(__xludf.DUMMYFUNCTION("""COMPUTED_VALUE"""),1026.73)</f>
        <v/>
      </c>
    </row>
    <row r="17566">
      <c r="J17566">
        <f>IFERROR(__xludf.DUMMYFUNCTION("""COMPUTED_VALUE"""),"Shediac, New Brunswick and Shubenacadie, Nova Scotia")</f>
        <v/>
      </c>
      <c r="K17566">
        <f>IFERROR(__xludf.DUMMYFUNCTION("""COMPUTED_VALUE"""),1026.31)</f>
        <v/>
      </c>
    </row>
    <row r="17567">
      <c r="J17567">
        <f>IFERROR(__xludf.DUMMYFUNCTION("""COMPUTED_VALUE"""),"Brampton and Guelph, ON")</f>
        <v/>
      </c>
      <c r="K17567">
        <f>IFERROR(__xludf.DUMMYFUNCTION("""COMPUTED_VALUE"""),1026.27)</f>
        <v/>
      </c>
    </row>
    <row r="17568">
      <c r="J17568">
        <f>IFERROR(__xludf.DUMMYFUNCTION("""COMPUTED_VALUE"""),"Moncton, New brunswick")</f>
        <v/>
      </c>
      <c r="K17568">
        <f>IFERROR(__xludf.DUMMYFUNCTION("""COMPUTED_VALUE"""),1026.27)</f>
        <v/>
      </c>
    </row>
    <row r="17569">
      <c r="J17569">
        <f>IFERROR(__xludf.DUMMYFUNCTION("""COMPUTED_VALUE"""),"Ottawa-Montreal")</f>
        <v/>
      </c>
      <c r="K17569">
        <f>IFERROR(__xludf.DUMMYFUNCTION("""COMPUTED_VALUE"""),1026.17)</f>
        <v/>
      </c>
    </row>
    <row r="17570">
      <c r="J17570">
        <f>IFERROR(__xludf.DUMMYFUNCTION("""COMPUTED_VALUE"""),"Saint-Aubin sur Mer, France")</f>
        <v/>
      </c>
      <c r="K17570">
        <f>IFERROR(__xludf.DUMMYFUNCTION("""COMPUTED_VALUE"""),1025.8)</f>
        <v/>
      </c>
    </row>
    <row r="17571">
      <c r="J17571">
        <f>IFERROR(__xludf.DUMMYFUNCTION("""COMPUTED_VALUE"""),"Chicoutimi, Quebec, Canada; Drummondville, Quebec, Canada")</f>
        <v/>
      </c>
      <c r="K17571">
        <f>IFERROR(__xludf.DUMMYFUNCTION("""COMPUTED_VALUE"""),1025.77)</f>
        <v/>
      </c>
    </row>
    <row r="17572">
      <c r="J17572">
        <f>IFERROR(__xludf.DUMMYFUNCTION("""COMPUTED_VALUE"""),"Toronto, Kitchener, ON")</f>
        <v/>
      </c>
      <c r="K17572">
        <f>IFERROR(__xludf.DUMMYFUNCTION("""COMPUTED_VALUE"""),1025.55)</f>
        <v/>
      </c>
    </row>
    <row r="17573">
      <c r="J17573">
        <f>IFERROR(__xludf.DUMMYFUNCTION("""COMPUTED_VALUE"""),"Fredericton, New Brumswick")</f>
        <v/>
      </c>
      <c r="K17573">
        <f>IFERROR(__xludf.DUMMYFUNCTION("""COMPUTED_VALUE"""),1025.54)</f>
        <v/>
      </c>
    </row>
    <row r="17574">
      <c r="J17574">
        <f>IFERROR(__xludf.DUMMYFUNCTION("""COMPUTED_VALUE"""),"Laval, Quebec, Canada; Sainte-Thérèse, Quebec, Canada")</f>
        <v/>
      </c>
      <c r="K17574">
        <f>IFERROR(__xludf.DUMMYFUNCTION("""COMPUTED_VALUE"""),1025.34)</f>
        <v/>
      </c>
    </row>
    <row r="17575">
      <c r="J17575">
        <f>IFERROR(__xludf.DUMMYFUNCTION("""COMPUTED_VALUE"""),"Cambridge, ON - Toronto, ON")</f>
        <v/>
      </c>
      <c r="K17575">
        <f>IFERROR(__xludf.DUMMYFUNCTION("""COMPUTED_VALUE"""),1023.83)</f>
        <v/>
      </c>
    </row>
    <row r="17576">
      <c r="J17576">
        <f>IFERROR(__xludf.DUMMYFUNCTION("""COMPUTED_VALUE"""),"Saskatoon,  Saskatchewan, Canada")</f>
        <v/>
      </c>
      <c r="K17576">
        <f>IFERROR(__xludf.DUMMYFUNCTION("""COMPUTED_VALUE"""),1023.3)</f>
        <v/>
      </c>
    </row>
    <row r="17577">
      <c r="J17577">
        <f>IFERROR(__xludf.DUMMYFUNCTION("""COMPUTED_VALUE"""),"Halifax, Tantallon, Chester, Italy Cross and Mahone Bay, Nova Scotia, Canada")</f>
        <v/>
      </c>
      <c r="K17577">
        <f>IFERROR(__xludf.DUMMYFUNCTION("""COMPUTED_VALUE"""),1023.03)</f>
        <v/>
      </c>
    </row>
    <row r="17578">
      <c r="J17578">
        <f>IFERROR(__xludf.DUMMYFUNCTION("""COMPUTED_VALUE"""),"Charlottetown / Moncton")</f>
        <v/>
      </c>
      <c r="K17578">
        <f>IFERROR(__xludf.DUMMYFUNCTION("""COMPUTED_VALUE"""),1022.91)</f>
        <v/>
      </c>
    </row>
    <row r="17579">
      <c r="J17579">
        <f>IFERROR(__xludf.DUMMYFUNCTION("""COMPUTED_VALUE"""),"Belgrad")</f>
        <v/>
      </c>
      <c r="K17579">
        <f>IFERROR(__xludf.DUMMYFUNCTION("""COMPUTED_VALUE"""),1022.52)</f>
        <v/>
      </c>
    </row>
    <row r="17580">
      <c r="J17580">
        <f>IFERROR(__xludf.DUMMYFUNCTION("""COMPUTED_VALUE"""),"Niagara-on-the-lake, ON")</f>
        <v/>
      </c>
      <c r="K17580">
        <f>IFERROR(__xludf.DUMMYFUNCTION("""COMPUTED_VALUE"""),1022.42)</f>
        <v/>
      </c>
    </row>
    <row r="17581">
      <c r="J17581">
        <f>IFERROR(__xludf.DUMMYFUNCTION("""COMPUTED_VALUE"""),"Whitby - Toronto, ON &amp; Montreal, QC")</f>
        <v/>
      </c>
      <c r="K17581">
        <f>IFERROR(__xludf.DUMMYFUNCTION("""COMPUTED_VALUE"""),1022.33)</f>
        <v/>
      </c>
    </row>
    <row r="17582">
      <c r="J17582">
        <f>IFERROR(__xludf.DUMMYFUNCTION("""COMPUTED_VALUE"""),"Ottawa, Ontario, Canada / Montreal, Quebec, Canada / Shawinigan, Quebec, Canada")</f>
        <v/>
      </c>
      <c r="K17582">
        <f>IFERROR(__xludf.DUMMYFUNCTION("""COMPUTED_VALUE"""),1021.26)</f>
        <v/>
      </c>
    </row>
    <row r="17583">
      <c r="J17583">
        <f>IFERROR(__xludf.DUMMYFUNCTION("""COMPUTED_VALUE"""),"Brighton, UK")</f>
        <v/>
      </c>
      <c r="K17583">
        <f>IFERROR(__xludf.DUMMYFUNCTION("""COMPUTED_VALUE"""),1021.13)</f>
        <v/>
      </c>
    </row>
    <row r="17584">
      <c r="J17584">
        <f>IFERROR(__xludf.DUMMYFUNCTION("""COMPUTED_VALUE"""),"Trois-Rivières, Sherbrooke")</f>
        <v/>
      </c>
      <c r="K17584">
        <f>IFERROR(__xludf.DUMMYFUNCTION("""COMPUTED_VALUE"""),1020.95)</f>
        <v/>
      </c>
    </row>
    <row r="17585">
      <c r="J17585">
        <f>IFERROR(__xludf.DUMMYFUNCTION("""COMPUTED_VALUE"""),"Bagotville, Montréal, Roberval")</f>
        <v/>
      </c>
      <c r="K17585">
        <f>IFERROR(__xludf.DUMMYFUNCTION("""COMPUTED_VALUE"""),1020.73)</f>
        <v/>
      </c>
    </row>
    <row r="17586">
      <c r="J17586">
        <f>IFERROR(__xludf.DUMMYFUNCTION("""COMPUTED_VALUE"""),"Toronto/New York/Ottawa")</f>
        <v/>
      </c>
      <c r="K17586">
        <f>IFERROR(__xludf.DUMMYFUNCTION("""COMPUTED_VALUE"""),1020.63)</f>
        <v/>
      </c>
    </row>
    <row r="17587">
      <c r="J17587">
        <f>IFERROR(__xludf.DUMMYFUNCTION("""COMPUTED_VALUE"""),"Sherbrooke, Lac-Mégantic")</f>
        <v/>
      </c>
      <c r="K17587">
        <f>IFERROR(__xludf.DUMMYFUNCTION("""COMPUTED_VALUE"""),1020.55)</f>
        <v/>
      </c>
    </row>
    <row r="17588">
      <c r="J17588">
        <f>IFERROR(__xludf.DUMMYFUNCTION("""COMPUTED_VALUE"""),"Stavanger, Norway and Cape Verde")</f>
        <v/>
      </c>
      <c r="K17588">
        <f>IFERROR(__xludf.DUMMYFUNCTION("""COMPUTED_VALUE"""),1020.41)</f>
        <v/>
      </c>
    </row>
    <row r="17589">
      <c r="J17589">
        <f>IFERROR(__xludf.DUMMYFUNCTION("""COMPUTED_VALUE"""),"Thompson")</f>
        <v/>
      </c>
      <c r="K17589">
        <f>IFERROR(__xludf.DUMMYFUNCTION("""COMPUTED_VALUE"""),1020.41)</f>
        <v/>
      </c>
    </row>
    <row r="17590">
      <c r="J17590">
        <f>IFERROR(__xludf.DUMMYFUNCTION("""COMPUTED_VALUE"""),"Halifax-Charlottetown-Halifax")</f>
        <v/>
      </c>
      <c r="K17590">
        <f>IFERROR(__xludf.DUMMYFUNCTION("""COMPUTED_VALUE"""),1019.59)</f>
        <v/>
      </c>
    </row>
    <row r="17591">
      <c r="J17591">
        <f>IFERROR(__xludf.DUMMYFUNCTION("""COMPUTED_VALUE"""),"Seoul, Republic Of Korea")</f>
        <v/>
      </c>
      <c r="K17591">
        <f>IFERROR(__xludf.DUMMYFUNCTION("""COMPUTED_VALUE"""),1019.56)</f>
        <v/>
      </c>
    </row>
    <row r="17592">
      <c r="J17592">
        <f>IFERROR(__xludf.DUMMYFUNCTION("""COMPUTED_VALUE"""),"Vancouver, Whistler")</f>
        <v/>
      </c>
      <c r="K17592">
        <f>IFERROR(__xludf.DUMMYFUNCTION("""COMPUTED_VALUE"""),1019.3)</f>
        <v/>
      </c>
    </row>
    <row r="17593">
      <c r="J17593">
        <f>IFERROR(__xludf.DUMMYFUNCTION("""COMPUTED_VALUE"""),"Vancouver BC Canada")</f>
        <v/>
      </c>
      <c r="K17593">
        <f>IFERROR(__xludf.DUMMYFUNCTION("""COMPUTED_VALUE"""),1019.01)</f>
        <v/>
      </c>
    </row>
    <row r="17594">
      <c r="J17594">
        <f>IFERROR(__xludf.DUMMYFUNCTION("""COMPUTED_VALUE"""),"Cowansville, Quebec, Canada")</f>
        <v/>
      </c>
      <c r="K17594">
        <f>IFERROR(__xludf.DUMMYFUNCTION("""COMPUTED_VALUE"""),1018.9)</f>
        <v/>
      </c>
    </row>
    <row r="17595">
      <c r="J17595">
        <f>IFERROR(__xludf.DUMMYFUNCTION("""COMPUTED_VALUE"""),"Ottawa, Ontario, Canada; Kyiv, Ukraine")</f>
        <v/>
      </c>
      <c r="K17595">
        <f>IFERROR(__xludf.DUMMYFUNCTION("""COMPUTED_VALUE"""),1018.72)</f>
        <v/>
      </c>
    </row>
    <row r="17596">
      <c r="J17596">
        <f>IFERROR(__xludf.DUMMYFUNCTION("""COMPUTED_VALUE"""),"Scarborough, Ontario, Canada; St. Catharines, Ontario, Canada")</f>
        <v/>
      </c>
      <c r="K17596">
        <f>IFERROR(__xludf.DUMMYFUNCTION("""COMPUTED_VALUE"""),1018.17)</f>
        <v/>
      </c>
    </row>
    <row r="17597">
      <c r="J17597">
        <f>IFERROR(__xludf.DUMMYFUNCTION("""COMPUTED_VALUE"""),"Mont-Tremblant, QC")</f>
        <v/>
      </c>
      <c r="K17597">
        <f>IFERROR(__xludf.DUMMYFUNCTION("""COMPUTED_VALUE"""),1018.16)</f>
        <v/>
      </c>
    </row>
    <row r="17598">
      <c r="J17598">
        <f>IFERROR(__xludf.DUMMYFUNCTION("""COMPUTED_VALUE"""),"North Macedonia")</f>
        <v/>
      </c>
      <c r="K17598">
        <f>IFERROR(__xludf.DUMMYFUNCTION("""COMPUTED_VALUE"""),1018)</f>
        <v/>
      </c>
    </row>
    <row r="17599">
      <c r="J17599">
        <f>IFERROR(__xludf.DUMMYFUNCTION("""COMPUTED_VALUE"""),"Québec, Quebec, Canada; Lévis, Quebec, Canada; Saint-Georges-de-Beauce, Quebec, Canada")</f>
        <v/>
      </c>
      <c r="K17599">
        <f>IFERROR(__xludf.DUMMYFUNCTION("""COMPUTED_VALUE"""),1017.73)</f>
        <v/>
      </c>
    </row>
    <row r="17600">
      <c r="J17600">
        <f>IFERROR(__xludf.DUMMYFUNCTION("""COMPUTED_VALUE"""),"Islamabad, Lahore")</f>
        <v/>
      </c>
      <c r="K17600">
        <f>IFERROR(__xludf.DUMMYFUNCTION("""COMPUTED_VALUE"""),1017.33)</f>
        <v/>
      </c>
    </row>
    <row r="17601">
      <c r="J17601">
        <f>IFERROR(__xludf.DUMMYFUNCTION("""COMPUTED_VALUE"""),"Tracadie, NB Halifax, NS")</f>
        <v/>
      </c>
      <c r="K17601">
        <f>IFERROR(__xludf.DUMMYFUNCTION("""COMPUTED_VALUE"""),1017.27)</f>
        <v/>
      </c>
    </row>
    <row r="17602">
      <c r="J17602">
        <f>IFERROR(__xludf.DUMMYFUNCTION("""COMPUTED_VALUE"""),"Halifax, Nova Scotia, Canada
Ottawa, Ontario, Canada")</f>
        <v/>
      </c>
      <c r="K17602">
        <f>IFERROR(__xludf.DUMMYFUNCTION("""COMPUTED_VALUE"""),1017.1)</f>
        <v/>
      </c>
    </row>
    <row r="17603">
      <c r="J17603">
        <f>IFERROR(__xludf.DUMMYFUNCTION("""COMPUTED_VALUE"""),"Montreal, Boucherville, St-Jean-sur-Ricehlieu, Quebec, Canada")</f>
        <v/>
      </c>
      <c r="K17603">
        <f>IFERROR(__xludf.DUMMYFUNCTION("""COMPUTED_VALUE"""),1016.75)</f>
        <v/>
      </c>
    </row>
    <row r="17604">
      <c r="J17604">
        <f>IFERROR(__xludf.DUMMYFUNCTION("""COMPUTED_VALUE"""),"Palm Beach, FL")</f>
        <v/>
      </c>
      <c r="K17604">
        <f>IFERROR(__xludf.DUMMYFUNCTION("""COMPUTED_VALUE"""),1016.64)</f>
        <v/>
      </c>
    </row>
    <row r="17605">
      <c r="J17605">
        <f>IFERROR(__xludf.DUMMYFUNCTION("""COMPUTED_VALUE"""),"Mazatlan")</f>
        <v/>
      </c>
      <c r="K17605">
        <f>IFERROR(__xludf.DUMMYFUNCTION("""COMPUTED_VALUE"""),1016.04)</f>
        <v/>
      </c>
    </row>
    <row r="17606">
      <c r="J17606">
        <f>IFERROR(__xludf.DUMMYFUNCTION("""COMPUTED_VALUE"""),"Jonquière, Quebec, Canada; La Pocatière, Quebec, Canada; Montréal, Quebec, Canada")</f>
        <v/>
      </c>
      <c r="K17606">
        <f>IFERROR(__xludf.DUMMYFUNCTION("""COMPUTED_VALUE"""),1015.56)</f>
        <v/>
      </c>
    </row>
    <row r="17607">
      <c r="J17607">
        <f>IFERROR(__xludf.DUMMYFUNCTION("""COMPUTED_VALUE"""),"Winnipeg and Thompson Manitoba, Canada")</f>
        <v/>
      </c>
      <c r="K17607">
        <f>IFERROR(__xludf.DUMMYFUNCTION("""COMPUTED_VALUE"""),1015.37)</f>
        <v/>
      </c>
    </row>
    <row r="17608">
      <c r="J17608">
        <f>IFERROR(__xludf.DUMMYFUNCTION("""COMPUTED_VALUE"""),"Amqui (Québec) Canada")</f>
        <v/>
      </c>
      <c r="K17608">
        <f>IFERROR(__xludf.DUMMYFUNCTION("""COMPUTED_VALUE"""),1015.32)</f>
        <v/>
      </c>
    </row>
    <row r="17609">
      <c r="J17609">
        <f>IFERROR(__xludf.DUMMYFUNCTION("""COMPUTED_VALUE"""),"Toronto and  Niagara-on-the-lake, ON")</f>
        <v/>
      </c>
      <c r="K17609">
        <f>IFERROR(__xludf.DUMMYFUNCTION("""COMPUTED_VALUE"""),1014.77)</f>
        <v/>
      </c>
    </row>
    <row r="17610">
      <c r="J17610">
        <f>IFERROR(__xludf.DUMMYFUNCTION("""COMPUTED_VALUE"""),"Toronto, Ontario and Tokyo, Japan")</f>
        <v/>
      </c>
      <c r="K17610">
        <f>IFERROR(__xludf.DUMMYFUNCTION("""COMPUTED_VALUE"""),1014.58)</f>
        <v/>
      </c>
    </row>
    <row r="17611">
      <c r="J17611">
        <f>IFERROR(__xludf.DUMMYFUNCTION("""COMPUTED_VALUE"""),"Washinton, DC, USA")</f>
        <v/>
      </c>
      <c r="K17611">
        <f>IFERROR(__xludf.DUMMYFUNCTION("""COMPUTED_VALUE"""),1014.46)</f>
        <v/>
      </c>
    </row>
    <row r="17612">
      <c r="J17612">
        <f>IFERROR(__xludf.DUMMYFUNCTION("""COMPUTED_VALUE"""),"Campbell River and Bella Bella, British Columbia")</f>
        <v/>
      </c>
      <c r="K17612">
        <f>IFERROR(__xludf.DUMMYFUNCTION("""COMPUTED_VALUE"""),1014.28)</f>
        <v/>
      </c>
    </row>
    <row r="17613">
      <c r="J17613">
        <f>IFERROR(__xludf.DUMMYFUNCTION("""COMPUTED_VALUE"""),"Eel River Bar, New Brunswick, Canada")</f>
        <v/>
      </c>
      <c r="K17613">
        <f>IFERROR(__xludf.DUMMYFUNCTION("""COMPUTED_VALUE"""),1014.06)</f>
        <v/>
      </c>
    </row>
    <row r="17614">
      <c r="J17614">
        <f>IFERROR(__xludf.DUMMYFUNCTION("""COMPUTED_VALUE"""),"Buffalo, New York")</f>
        <v/>
      </c>
      <c r="K17614">
        <f>IFERROR(__xludf.DUMMYFUNCTION("""COMPUTED_VALUE"""),1013.84)</f>
        <v/>
      </c>
    </row>
    <row r="17615">
      <c r="J17615">
        <f>IFERROR(__xludf.DUMMYFUNCTION("""COMPUTED_VALUE"""),"Ottawa - Montréal - Québec City - Ottawa")</f>
        <v/>
      </c>
      <c r="K17615">
        <f>IFERROR(__xludf.DUMMYFUNCTION("""COMPUTED_VALUE"""),1013.53)</f>
        <v/>
      </c>
    </row>
    <row r="17616">
      <c r="J17616">
        <f>IFERROR(__xludf.DUMMYFUNCTION("""COMPUTED_VALUE"""),"Los Angeles, California, Unites States")</f>
        <v/>
      </c>
      <c r="K17616">
        <f>IFERROR(__xludf.DUMMYFUNCTION("""COMPUTED_VALUE"""),1013.27)</f>
        <v/>
      </c>
    </row>
    <row r="17617">
      <c r="J17617">
        <f>IFERROR(__xludf.DUMMYFUNCTION("""COMPUTED_VALUE"""),"Québec City, Québec.")</f>
        <v/>
      </c>
      <c r="K17617">
        <f>IFERROR(__xludf.DUMMYFUNCTION("""COMPUTED_VALUE"""),1013.15)</f>
        <v/>
      </c>
    </row>
    <row r="17618">
      <c r="J17618">
        <f>IFERROR(__xludf.DUMMYFUNCTION("""COMPUTED_VALUE"""),"St-Georges de Beauce, QC")</f>
        <v/>
      </c>
      <c r="K17618">
        <f>IFERROR(__xludf.DUMMYFUNCTION("""COMPUTED_VALUE"""),1012.52)</f>
        <v/>
      </c>
    </row>
    <row r="17619">
      <c r="J17619">
        <f>IFERROR(__xludf.DUMMYFUNCTION("""COMPUTED_VALUE"""),"Toronto Ontario Canada")</f>
        <v/>
      </c>
      <c r="K17619">
        <f>IFERROR(__xludf.DUMMYFUNCTION("""COMPUTED_VALUE"""),1012.41)</f>
        <v/>
      </c>
    </row>
    <row r="17620">
      <c r="J17620">
        <f>IFERROR(__xludf.DUMMYFUNCTION("""COMPUTED_VALUE"""),"Maple Creek, Saskatchewan, Canada")</f>
        <v/>
      </c>
      <c r="K17620">
        <f>IFERROR(__xludf.DUMMYFUNCTION("""COMPUTED_VALUE"""),1012.2)</f>
        <v/>
      </c>
    </row>
    <row r="17621">
      <c r="J17621">
        <f>IFERROR(__xludf.DUMMYFUNCTION("""COMPUTED_VALUE"""),"St.John's, Newfoundland")</f>
        <v/>
      </c>
      <c r="K17621">
        <f>IFERROR(__xludf.DUMMYFUNCTION("""COMPUTED_VALUE"""),1012.05)</f>
        <v/>
      </c>
    </row>
    <row r="17622">
      <c r="J17622">
        <f>IFERROR(__xludf.DUMMYFUNCTION("""COMPUTED_VALUE"""),"Lac des Français, Cowansville, Drummondville, Montmagny, Rivière-du-Loup, Matane, and Rimouski Quebec, Canada")</f>
        <v/>
      </c>
      <c r="K17622">
        <f>IFERROR(__xludf.DUMMYFUNCTION("""COMPUTED_VALUE"""),1011.85)</f>
        <v/>
      </c>
    </row>
    <row r="17623">
      <c r="J17623">
        <f>IFERROR(__xludf.DUMMYFUNCTION("""COMPUTED_VALUE"""),"Marseille &amp; Cannes")</f>
        <v/>
      </c>
      <c r="K17623">
        <f>IFERROR(__xludf.DUMMYFUNCTION("""COMPUTED_VALUE"""),1011)</f>
        <v/>
      </c>
    </row>
    <row r="17624">
      <c r="J17624">
        <f>IFERROR(__xludf.DUMMYFUNCTION("""COMPUTED_VALUE"""),"Huntsville &amp; Toronto, Ontario")</f>
        <v/>
      </c>
      <c r="K17624">
        <f>IFERROR(__xludf.DUMMYFUNCTION("""COMPUTED_VALUE"""),1010.55)</f>
        <v/>
      </c>
    </row>
    <row r="17625">
      <c r="J17625">
        <f>IFERROR(__xludf.DUMMYFUNCTION("""COMPUTED_VALUE"""),"London/Toronto")</f>
        <v/>
      </c>
      <c r="K17625">
        <f>IFERROR(__xludf.DUMMYFUNCTION("""COMPUTED_VALUE"""),1010.54)</f>
        <v/>
      </c>
    </row>
    <row r="17626">
      <c r="J17626">
        <f>IFERROR(__xludf.DUMMYFUNCTION("""COMPUTED_VALUE"""),"Wolfville, NS, Canada")</f>
        <v/>
      </c>
      <c r="K17626">
        <f>IFERROR(__xludf.DUMMYFUNCTION("""COMPUTED_VALUE"""),1010.35)</f>
        <v/>
      </c>
    </row>
    <row r="17627">
      <c r="J17627">
        <f>IFERROR(__xludf.DUMMYFUNCTION("""COMPUTED_VALUE"""),"London, Waterloo, Kitchener, ON")</f>
        <v/>
      </c>
      <c r="K17627">
        <f>IFERROR(__xludf.DUMMYFUNCTION("""COMPUTED_VALUE"""),1010.15)</f>
        <v/>
      </c>
    </row>
    <row r="17628">
      <c r="J17628">
        <f>IFERROR(__xludf.DUMMYFUNCTION("""COMPUTED_VALUE"""),"London, ON / Waterloo, ON")</f>
        <v/>
      </c>
      <c r="K17628">
        <f>IFERROR(__xludf.DUMMYFUNCTION("""COMPUTED_VALUE"""),1009.78)</f>
        <v/>
      </c>
    </row>
    <row r="17629">
      <c r="J17629">
        <f>IFERROR(__xludf.DUMMYFUNCTION("""COMPUTED_VALUE"""),"Toronto, ON / Brampton, ON")</f>
        <v/>
      </c>
      <c r="K17629">
        <f>IFERROR(__xludf.DUMMYFUNCTION("""COMPUTED_VALUE"""),1009.12)</f>
        <v/>
      </c>
    </row>
    <row r="17630">
      <c r="J17630">
        <f>IFERROR(__xludf.DUMMYFUNCTION("""COMPUTED_VALUE"""),"Toronto, Ontario, Canada; Peterborough, Ontario, Canada")</f>
        <v/>
      </c>
      <c r="K17630">
        <f>IFERROR(__xludf.DUMMYFUNCTION("""COMPUTED_VALUE"""),1008.53)</f>
        <v/>
      </c>
    </row>
    <row r="17631">
      <c r="J17631">
        <f>IFERROR(__xludf.DUMMYFUNCTION("""COMPUTED_VALUE"""),"Halifax, Nova Scotia and Gatineau, Quebec")</f>
        <v/>
      </c>
      <c r="K17631">
        <f>IFERROR(__xludf.DUMMYFUNCTION("""COMPUTED_VALUE"""),1008.46)</f>
        <v/>
      </c>
    </row>
    <row r="17632">
      <c r="J17632">
        <f>IFERROR(__xludf.DUMMYFUNCTION("""COMPUTED_VALUE"""),"Saint Andrews, New Brunswick, Canada")</f>
        <v/>
      </c>
      <c r="K17632">
        <f>IFERROR(__xludf.DUMMYFUNCTION("""COMPUTED_VALUE"""),1008.34)</f>
        <v/>
      </c>
    </row>
    <row r="17633">
      <c r="J17633">
        <f>IFERROR(__xludf.DUMMYFUNCTION("""COMPUTED_VALUE"""),"Portland, US")</f>
        <v/>
      </c>
      <c r="K17633">
        <f>IFERROR(__xludf.DUMMYFUNCTION("""COMPUTED_VALUE"""),1008.33)</f>
        <v/>
      </c>
    </row>
    <row r="17634">
      <c r="J17634">
        <f>IFERROR(__xludf.DUMMYFUNCTION("""COMPUTED_VALUE"""),"Toronto, Oshawa ON")</f>
        <v/>
      </c>
      <c r="K17634">
        <f>IFERROR(__xludf.DUMMYFUNCTION("""COMPUTED_VALUE"""),1007.91)</f>
        <v/>
      </c>
    </row>
    <row r="17635">
      <c r="J17635">
        <f>IFERROR(__xludf.DUMMYFUNCTION("""COMPUTED_VALUE"""),"Montreal / Trois-Rivières / Sherbrooke, (Quebec)")</f>
        <v/>
      </c>
      <c r="K17635">
        <f>IFERROR(__xludf.DUMMYFUNCTION("""COMPUTED_VALUE"""),1007.62)</f>
        <v/>
      </c>
    </row>
    <row r="17636">
      <c r="J17636">
        <f>IFERROR(__xludf.DUMMYFUNCTION("""COMPUTED_VALUE"""),"Edmunston, NB Campbellton, NB Dalhousie, NB Belledune, NB Caraquet, NB")</f>
        <v/>
      </c>
      <c r="K17636">
        <f>IFERROR(__xludf.DUMMYFUNCTION("""COMPUTED_VALUE"""),1007.57)</f>
        <v/>
      </c>
    </row>
    <row r="17637">
      <c r="J17637">
        <f>IFERROR(__xludf.DUMMYFUNCTION("""COMPUTED_VALUE"""),"Bangor, ME")</f>
        <v/>
      </c>
      <c r="K17637">
        <f>IFERROR(__xludf.DUMMYFUNCTION("""COMPUTED_VALUE"""),1007.09)</f>
        <v/>
      </c>
    </row>
    <row r="17638">
      <c r="J17638">
        <f>IFERROR(__xludf.DUMMYFUNCTION("""COMPUTED_VALUE"""),"Montreal and Québec, Québec")</f>
        <v/>
      </c>
      <c r="K17638">
        <f>IFERROR(__xludf.DUMMYFUNCTION("""COMPUTED_VALUE"""),1006.13)</f>
        <v/>
      </c>
    </row>
    <row r="17639">
      <c r="J17639">
        <f>IFERROR(__xludf.DUMMYFUNCTION("""COMPUTED_VALUE"""),"Wales, United Kingdom")</f>
        <v/>
      </c>
      <c r="K17639">
        <f>IFERROR(__xludf.DUMMYFUNCTION("""COMPUTED_VALUE"""),1005.75)</f>
        <v/>
      </c>
    </row>
    <row r="17640">
      <c r="J17640">
        <f>IFERROR(__xludf.DUMMYFUNCTION("""COMPUTED_VALUE"""),"New Bedford, Massachusetts")</f>
        <v/>
      </c>
      <c r="K17640">
        <f>IFERROR(__xludf.DUMMYFUNCTION("""COMPUTED_VALUE"""),1005.7)</f>
        <v/>
      </c>
    </row>
    <row r="17641">
      <c r="J17641">
        <f>IFERROR(__xludf.DUMMYFUNCTION("""COMPUTED_VALUE"""),"Ottawa - Timmins - Ottawa")</f>
        <v/>
      </c>
      <c r="K17641">
        <f>IFERROR(__xludf.DUMMYFUNCTION("""COMPUTED_VALUE"""),1004.74)</f>
        <v/>
      </c>
    </row>
    <row r="17642">
      <c r="J17642">
        <f>IFERROR(__xludf.DUMMYFUNCTION("""COMPUTED_VALUE"""),"Montréal, Bagotville, Roberval, St-Gédéon")</f>
        <v/>
      </c>
      <c r="K17642">
        <f>IFERROR(__xludf.DUMMYFUNCTION("""COMPUTED_VALUE"""),1004.26)</f>
        <v/>
      </c>
    </row>
    <row r="17643">
      <c r="J17643">
        <f>IFERROR(__xludf.DUMMYFUNCTION("""COMPUTED_VALUE"""),"Halifax, Nova Scotia, Canada; Charlottetown, Prince Edward Island, Canada; Summerside, Prince Edward Island, Canada; O'Leary, Prince Edward Island, Canada; Montague, Prince Edward Island, Canada; Brudenell, Prince Edward Island, Canada")</f>
        <v/>
      </c>
      <c r="K17643">
        <f>IFERROR(__xludf.DUMMYFUNCTION("""COMPUTED_VALUE"""),1004)</f>
        <v/>
      </c>
    </row>
    <row r="17644">
      <c r="J17644">
        <f>IFERROR(__xludf.DUMMYFUNCTION("""COMPUTED_VALUE"""),"Barrie, Ontario, Canada; Richmond Hill, Ontario, Canada; Montréal, Quebec, Canada")</f>
        <v/>
      </c>
      <c r="K17644">
        <f>IFERROR(__xludf.DUMMYFUNCTION("""COMPUTED_VALUE"""),1003.83)</f>
        <v/>
      </c>
    </row>
    <row r="17645">
      <c r="J17645">
        <f>IFERROR(__xludf.DUMMYFUNCTION("""COMPUTED_VALUE"""),"Torrejon , Spain")</f>
        <v/>
      </c>
      <c r="K17645">
        <f>IFERROR(__xludf.DUMMYFUNCTION("""COMPUTED_VALUE"""),1003.67)</f>
        <v/>
      </c>
    </row>
    <row r="17646">
      <c r="J17646">
        <f>IFERROR(__xludf.DUMMYFUNCTION("""COMPUTED_VALUE"""),"Washinton, D.C., United States")</f>
        <v/>
      </c>
      <c r="K17646">
        <f>IFERROR(__xludf.DUMMYFUNCTION("""COMPUTED_VALUE"""),1003.62)</f>
        <v/>
      </c>
    </row>
    <row r="17647">
      <c r="J17647">
        <f>IFERROR(__xludf.DUMMYFUNCTION("""COMPUTED_VALUE"""),"Saint-Aubin-sur-Mer")</f>
        <v/>
      </c>
      <c r="K17647">
        <f>IFERROR(__xludf.DUMMYFUNCTION("""COMPUTED_VALUE"""),1003.61)</f>
        <v/>
      </c>
    </row>
    <row r="17648">
      <c r="J17648">
        <f>IFERROR(__xludf.DUMMYFUNCTION("""COMPUTED_VALUE"""),"Charlottetown, Prince Edward Island, Canada; Truro, Nova Scotia, Canada")</f>
        <v/>
      </c>
      <c r="K17648">
        <f>IFERROR(__xludf.DUMMYFUNCTION("""COMPUTED_VALUE"""),1003.5)</f>
        <v/>
      </c>
    </row>
    <row r="17649">
      <c r="J17649">
        <f>IFERROR(__xludf.DUMMYFUNCTION("""COMPUTED_VALUE"""),"Cambridge, Ontario; London, Ontario; Mississauga, Ontario; Brampton, Ontario")</f>
        <v/>
      </c>
      <c r="K17649">
        <f>IFERROR(__xludf.DUMMYFUNCTION("""COMPUTED_VALUE"""),1003.42)</f>
        <v/>
      </c>
    </row>
    <row r="17650">
      <c r="J17650">
        <f>IFERROR(__xludf.DUMMYFUNCTION("""COMPUTED_VALUE"""),"Hamilton and Toronto, ON")</f>
        <v/>
      </c>
      <c r="K17650">
        <f>IFERROR(__xludf.DUMMYFUNCTION("""COMPUTED_VALUE"""),1003.24)</f>
        <v/>
      </c>
    </row>
    <row r="17651">
      <c r="J17651">
        <f>IFERROR(__xludf.DUMMYFUNCTION("""COMPUTED_VALUE"""),"Volgograd")</f>
        <v/>
      </c>
      <c r="K17651">
        <f>IFERROR(__xludf.DUMMYFUNCTION("""COMPUTED_VALUE"""),1003.18)</f>
        <v/>
      </c>
    </row>
    <row r="17652">
      <c r="J17652">
        <f>IFERROR(__xludf.DUMMYFUNCTION("""COMPUTED_VALUE"""),"Conne River, Newfoundland and Labrador, Canada")</f>
        <v/>
      </c>
      <c r="K17652">
        <f>IFERROR(__xludf.DUMMYFUNCTION("""COMPUTED_VALUE"""),1002.63)</f>
        <v/>
      </c>
    </row>
    <row r="17653">
      <c r="J17653">
        <f>IFERROR(__xludf.DUMMYFUNCTION("""COMPUTED_VALUE"""),"Manchester, England")</f>
        <v/>
      </c>
      <c r="K17653">
        <f>IFERROR(__xludf.DUMMYFUNCTION("""COMPUTED_VALUE"""),1002.37)</f>
        <v/>
      </c>
    </row>
    <row r="17654">
      <c r="J17654">
        <f>IFERROR(__xludf.DUMMYFUNCTION("""COMPUTED_VALUE"""),"Chicoutimi, QC; Jonquière, QC")</f>
        <v/>
      </c>
      <c r="K17654">
        <f>IFERROR(__xludf.DUMMYFUNCTION("""COMPUTED_VALUE"""),1001.98)</f>
        <v/>
      </c>
    </row>
    <row r="17655">
      <c r="J17655">
        <f>IFERROR(__xludf.DUMMYFUNCTION("""COMPUTED_VALUE"""),"Ottawa (Ontario)  and Québec (Québec) Canada")</f>
        <v/>
      </c>
      <c r="K17655">
        <f>IFERROR(__xludf.DUMMYFUNCTION("""COMPUTED_VALUE"""),1001.72)</f>
        <v/>
      </c>
    </row>
    <row r="17656">
      <c r="J17656">
        <f>IFERROR(__xludf.DUMMYFUNCTION("""COMPUTED_VALUE"""),"Ottawa, Saguenay")</f>
        <v/>
      </c>
      <c r="K17656">
        <f>IFERROR(__xludf.DUMMYFUNCTION("""COMPUTED_VALUE"""),1001.42)</f>
        <v/>
      </c>
    </row>
    <row r="17657">
      <c r="J17657">
        <f>IFERROR(__xludf.DUMMYFUNCTION("""COMPUTED_VALUE"""),"Montréal, Quebec, Canada; Shawinigan, Quebec, Canada")</f>
        <v/>
      </c>
      <c r="K17657">
        <f>IFERROR(__xludf.DUMMYFUNCTION("""COMPUTED_VALUE"""),1001.31)</f>
        <v/>
      </c>
    </row>
    <row r="17658">
      <c r="J17658">
        <f>IFERROR(__xludf.DUMMYFUNCTION("""COMPUTED_VALUE"""),"La Tuque, Quebec, Canada /Saguenay, Quebec, Canada")</f>
        <v/>
      </c>
      <c r="K17658">
        <f>IFERROR(__xludf.DUMMYFUNCTION("""COMPUTED_VALUE"""),1001.11)</f>
        <v/>
      </c>
    </row>
    <row r="17659">
      <c r="J17659">
        <f>IFERROR(__xludf.DUMMYFUNCTION("""COMPUTED_VALUE"""),"Toronto,Ontario,Canada")</f>
        <v/>
      </c>
      <c r="K17659">
        <f>IFERROR(__xludf.DUMMYFUNCTION("""COMPUTED_VALUE"""),1000.95)</f>
        <v/>
      </c>
    </row>
    <row r="17660">
      <c r="J17660">
        <f>IFERROR(__xludf.DUMMYFUNCTION("""COMPUTED_VALUE"""),"Val-Brillant, Quebec, Canada; Matane, Quebec, Canada")</f>
        <v/>
      </c>
      <c r="K17660">
        <f>IFERROR(__xludf.DUMMYFUNCTION("""COMPUTED_VALUE"""),1000.25)</f>
        <v/>
      </c>
    </row>
    <row r="17661">
      <c r="J17661">
        <f>IFERROR(__xludf.DUMMYFUNCTION("""COMPUTED_VALUE"""),"Charlottetown, PEI and Halifax, NS")</f>
        <v/>
      </c>
      <c r="K17661">
        <f>IFERROR(__xludf.DUMMYFUNCTION("""COMPUTED_VALUE"""),1000.15)</f>
        <v/>
      </c>
    </row>
    <row r="17662">
      <c r="J17662">
        <f>IFERROR(__xludf.DUMMYFUNCTION("""COMPUTED_VALUE"""),"Edmonton and Wainwright")</f>
        <v/>
      </c>
      <c r="K17662">
        <f>IFERROR(__xludf.DUMMYFUNCTION("""COMPUTED_VALUE"""),1000)</f>
        <v/>
      </c>
    </row>
    <row r="17663">
      <c r="J17663">
        <f>IFERROR(__xludf.DUMMYFUNCTION("""COMPUTED_VALUE"""),"Port Elgin, Ontario, Canada; Toronto, Ontario, Canada")</f>
        <v/>
      </c>
      <c r="K17663">
        <f>IFERROR(__xludf.DUMMYFUNCTION("""COMPUTED_VALUE"""),999.77)</f>
        <v/>
      </c>
    </row>
    <row r="17664">
      <c r="J17664">
        <f>IFERROR(__xludf.DUMMYFUNCTION("""COMPUTED_VALUE"""),"Port Hardy and Campbell River, British Columbia, Canada")</f>
        <v/>
      </c>
      <c r="K17664">
        <f>IFERROR(__xludf.DUMMYFUNCTION("""COMPUTED_VALUE"""),999.75)</f>
        <v/>
      </c>
    </row>
    <row r="17665">
      <c r="J17665">
        <f>IFERROR(__xludf.DUMMYFUNCTION("""COMPUTED_VALUE"""),"Ottawa-Moncton-Toronto")</f>
        <v/>
      </c>
      <c r="K17665">
        <f>IFERROR(__xludf.DUMMYFUNCTION("""COMPUTED_VALUE"""),999.13)</f>
        <v/>
      </c>
    </row>
    <row r="17666">
      <c r="J17666">
        <f>IFERROR(__xludf.DUMMYFUNCTION("""COMPUTED_VALUE"""),"Repentigny, Quebec, Canada; Laval, Quebec, Canada; Shawinigan, Quebec, Canada")</f>
        <v/>
      </c>
      <c r="K17666">
        <f>IFERROR(__xludf.DUMMYFUNCTION("""COMPUTED_VALUE"""),999.06)</f>
        <v/>
      </c>
    </row>
    <row r="17667">
      <c r="J17667">
        <f>IFERROR(__xludf.DUMMYFUNCTION("""COMPUTED_VALUE"""),"Ottawa - Niagara-on-the-Lake - Ottawa")</f>
        <v/>
      </c>
      <c r="K17667">
        <f>IFERROR(__xludf.DUMMYFUNCTION("""COMPUTED_VALUE"""),998.88)</f>
        <v/>
      </c>
    </row>
    <row r="17668">
      <c r="J17668">
        <f>IFERROR(__xludf.DUMMYFUNCTION("""COMPUTED_VALUE"""),"Saskatoon, Saskatchewan , Canada")</f>
        <v/>
      </c>
      <c r="K17668">
        <f>IFERROR(__xludf.DUMMYFUNCTION("""COMPUTED_VALUE"""),998.85)</f>
        <v/>
      </c>
    </row>
    <row r="17669">
      <c r="J17669">
        <f>IFERROR(__xludf.DUMMYFUNCTION("""COMPUTED_VALUE"""),"Halifax, (NS)")</f>
        <v/>
      </c>
      <c r="K17669">
        <f>IFERROR(__xludf.DUMMYFUNCTION("""COMPUTED_VALUE"""),998.7)</f>
        <v/>
      </c>
    </row>
    <row r="17670">
      <c r="J17670">
        <f>IFERROR(__xludf.DUMMYFUNCTION("""COMPUTED_VALUE"""),"Buffalo")</f>
        <v/>
      </c>
      <c r="K17670">
        <f>IFERROR(__xludf.DUMMYFUNCTION("""COMPUTED_VALUE"""),998.07)</f>
        <v/>
      </c>
    </row>
    <row r="17671">
      <c r="J17671">
        <f>IFERROR(__xludf.DUMMYFUNCTION("""COMPUTED_VALUE"""),"Toronto, Guelph, ON")</f>
        <v/>
      </c>
      <c r="K17671">
        <f>IFERROR(__xludf.DUMMYFUNCTION("""COMPUTED_VALUE"""),997.57)</f>
        <v/>
      </c>
    </row>
    <row r="17672">
      <c r="J17672">
        <f>IFERROR(__xludf.DUMMYFUNCTION("""COMPUTED_VALUE"""),"New Paltz, NY")</f>
        <v/>
      </c>
      <c r="K17672">
        <f>IFERROR(__xludf.DUMMYFUNCTION("""COMPUTED_VALUE"""),997.29)</f>
        <v/>
      </c>
    </row>
    <row r="17673">
      <c r="J17673">
        <f>IFERROR(__xludf.DUMMYFUNCTION("""COMPUTED_VALUE"""),"London, ON / Cambridge, ON / Brampton ON")</f>
        <v/>
      </c>
      <c r="K17673">
        <f>IFERROR(__xludf.DUMMYFUNCTION("""COMPUTED_VALUE"""),996.48)</f>
        <v/>
      </c>
    </row>
    <row r="17674">
      <c r="J17674">
        <f>IFERROR(__xludf.DUMMYFUNCTION("""COMPUTED_VALUE"""),"Whitby, Ontario, Canada                                                           Ottawa, Ontario, Canada")</f>
        <v/>
      </c>
      <c r="K17674">
        <f>IFERROR(__xludf.DUMMYFUNCTION("""COMPUTED_VALUE"""),996.35)</f>
        <v/>
      </c>
    </row>
    <row r="17675">
      <c r="J17675">
        <f>IFERROR(__xludf.DUMMYFUNCTION("""COMPUTED_VALUE"""),"Montreal, Quebec, Sherbrooke, Quebec")</f>
        <v/>
      </c>
      <c r="K17675">
        <f>IFERROR(__xludf.DUMMYFUNCTION("""COMPUTED_VALUE"""),996.13)</f>
        <v/>
      </c>
    </row>
    <row r="17676">
      <c r="J17676">
        <f>IFERROR(__xludf.DUMMYFUNCTION("""COMPUTED_VALUE"""),"Ottawa-Barrie-Ottawa")</f>
        <v/>
      </c>
      <c r="K17676">
        <f>IFERROR(__xludf.DUMMYFUNCTION("""COMPUTED_VALUE"""),995.97)</f>
        <v/>
      </c>
    </row>
    <row r="17677">
      <c r="J17677">
        <f>IFERROR(__xludf.DUMMYFUNCTION("""COMPUTED_VALUE"""),"Regina, Saskatchewan, Canada and Calgary, Alberta, Canada")</f>
        <v/>
      </c>
      <c r="K17677">
        <f>IFERROR(__xludf.DUMMYFUNCTION("""COMPUTED_VALUE"""),995.55)</f>
        <v/>
      </c>
    </row>
    <row r="17678">
      <c r="J17678">
        <f>IFERROR(__xludf.DUMMYFUNCTION("""COMPUTED_VALUE"""),"Toronto, Ontario, Canada; Richmond Hill, Ontario, Canada")</f>
        <v/>
      </c>
      <c r="K17678">
        <f>IFERROR(__xludf.DUMMYFUNCTION("""COMPUTED_VALUE"""),995.27)</f>
        <v/>
      </c>
    </row>
    <row r="17679">
      <c r="J17679">
        <f>IFERROR(__xludf.DUMMYFUNCTION("""COMPUTED_VALUE"""),"Gaspé, Quebec, Canada; Québec, Quebec, Canada")</f>
        <v/>
      </c>
      <c r="K17679">
        <f>IFERROR(__xludf.DUMMYFUNCTION("""COMPUTED_VALUE"""),994.87)</f>
        <v/>
      </c>
    </row>
    <row r="17680">
      <c r="J17680">
        <f>IFERROR(__xludf.DUMMYFUNCTION("""COMPUTED_VALUE"""),"Gallipoli, Turkey (accompanied by spouse) Trip by car")</f>
        <v/>
      </c>
      <c r="K17680">
        <f>IFERROR(__xludf.DUMMYFUNCTION("""COMPUTED_VALUE"""),994.82)</f>
        <v/>
      </c>
    </row>
    <row r="17681">
      <c r="J17681">
        <f>IFERROR(__xludf.DUMMYFUNCTION("""COMPUTED_VALUE"""),"Longueuil, Quebec, Canada;  Halifax, Nova Scotia, Canada")</f>
        <v/>
      </c>
      <c r="K17681">
        <f>IFERROR(__xludf.DUMMYFUNCTION("""COMPUTED_VALUE"""),994.74)</f>
        <v/>
      </c>
    </row>
    <row r="17682">
      <c r="J17682">
        <f>IFERROR(__xludf.DUMMYFUNCTION("""COMPUTED_VALUE"""),"Osoyoos, BC")</f>
        <v/>
      </c>
      <c r="K17682">
        <f>IFERROR(__xludf.DUMMYFUNCTION("""COMPUTED_VALUE"""),994.14)</f>
        <v/>
      </c>
    </row>
    <row r="17683">
      <c r="J17683">
        <f>IFERROR(__xludf.DUMMYFUNCTION("""COMPUTED_VALUE"""),"Ottawa- Quebec City- Ottawa")</f>
        <v/>
      </c>
      <c r="K17683">
        <f>IFERROR(__xludf.DUMMYFUNCTION("""COMPUTED_VALUE"""),994.14)</f>
        <v/>
      </c>
    </row>
    <row r="17684">
      <c r="J17684">
        <f>IFERROR(__xludf.DUMMYFUNCTION("""COMPUTED_VALUE"""),"Charlottetown, PEI - Moncton, NB")</f>
        <v/>
      </c>
      <c r="K17684">
        <f>IFERROR(__xludf.DUMMYFUNCTION("""COMPUTED_VALUE"""),993.97)</f>
        <v/>
      </c>
    </row>
    <row r="17685">
      <c r="J17685">
        <f>IFERROR(__xludf.DUMMYFUNCTION("""COMPUTED_VALUE"""),"Comox (British Coloumbia) Canada")</f>
        <v/>
      </c>
      <c r="K17685">
        <f>IFERROR(__xludf.DUMMYFUNCTION("""COMPUTED_VALUE"""),993.65)</f>
        <v/>
      </c>
    </row>
    <row r="17686">
      <c r="J17686">
        <f>IFERROR(__xludf.DUMMYFUNCTION("""COMPUTED_VALUE"""),"Tucson, Arizona and Santa Ana, California, United States")</f>
        <v/>
      </c>
      <c r="K17686">
        <f>IFERROR(__xludf.DUMMYFUNCTION("""COMPUTED_VALUE"""),993.44)</f>
        <v/>
      </c>
    </row>
    <row r="17687">
      <c r="J17687">
        <f>IFERROR(__xludf.DUMMYFUNCTION("""COMPUTED_VALUE"""),"Riga, Naples")</f>
        <v/>
      </c>
      <c r="K17687">
        <f>IFERROR(__xludf.DUMMYFUNCTION("""COMPUTED_VALUE"""),993.42)</f>
        <v/>
      </c>
    </row>
    <row r="17688">
      <c r="J17688">
        <f>IFERROR(__xludf.DUMMYFUNCTION("""COMPUTED_VALUE"""),"Masset, BC")</f>
        <v/>
      </c>
      <c r="K17688">
        <f>IFERROR(__xludf.DUMMYFUNCTION("""COMPUTED_VALUE"""),993.4)</f>
        <v/>
      </c>
    </row>
    <row r="17689">
      <c r="J17689">
        <f>IFERROR(__xludf.DUMMYFUNCTION("""COMPUTED_VALUE"""),"St. John's (Newfoundland and Labrador) Canada")</f>
        <v/>
      </c>
      <c r="K17689">
        <f>IFERROR(__xludf.DUMMYFUNCTION("""COMPUTED_VALUE"""),993.28)</f>
        <v/>
      </c>
    </row>
    <row r="17690">
      <c r="J17690">
        <f>IFERROR(__xludf.DUMMYFUNCTION("""COMPUTED_VALUE"""),"Montreal, Quebec, Canada; Toronto, Ontario, Canada; Newfoundland and Labrador, Canada")</f>
        <v/>
      </c>
      <c r="K17690">
        <f>IFERROR(__xludf.DUMMYFUNCTION("""COMPUTED_VALUE"""),993.24)</f>
        <v/>
      </c>
    </row>
    <row r="17691">
      <c r="J17691">
        <f>IFERROR(__xludf.DUMMYFUNCTION("""COMPUTED_VALUE"""),"Udaipur")</f>
        <v/>
      </c>
      <c r="K17691">
        <f>IFERROR(__xludf.DUMMYFUNCTION("""COMPUTED_VALUE"""),993.16)</f>
        <v/>
      </c>
    </row>
    <row r="17692">
      <c r="J17692">
        <f>IFERROR(__xludf.DUMMYFUNCTION("""COMPUTED_VALUE"""),"Trois-Rivières (Québec) Canada")</f>
        <v/>
      </c>
      <c r="K17692">
        <f>IFERROR(__xludf.DUMMYFUNCTION("""COMPUTED_VALUE"""),992.78)</f>
        <v/>
      </c>
    </row>
    <row r="17693">
      <c r="J17693">
        <f>IFERROR(__xludf.DUMMYFUNCTION("""COMPUTED_VALUE"""),"Toronto ON- Winnipeg MB")</f>
        <v/>
      </c>
      <c r="K17693">
        <f>IFERROR(__xludf.DUMMYFUNCTION("""COMPUTED_VALUE"""),992.53)</f>
        <v/>
      </c>
    </row>
    <row r="17694">
      <c r="J17694">
        <f>IFERROR(__xludf.DUMMYFUNCTION("""COMPUTED_VALUE"""),"Toronto and Kingston")</f>
        <v/>
      </c>
      <c r="K17694">
        <f>IFERROR(__xludf.DUMMYFUNCTION("""COMPUTED_VALUE"""),992.22)</f>
        <v/>
      </c>
    </row>
    <row r="17695">
      <c r="J17695">
        <f>IFERROR(__xludf.DUMMYFUNCTION("""COMPUTED_VALUE"""),"Prince Albert, SK; Saskatoon, SK")</f>
        <v/>
      </c>
      <c r="K17695">
        <f>IFERROR(__xludf.DUMMYFUNCTION("""COMPUTED_VALUE"""),992.17)</f>
        <v/>
      </c>
    </row>
    <row r="17696">
      <c r="J17696">
        <f>IFERROR(__xludf.DUMMYFUNCTION("""COMPUTED_VALUE"""),"Murmansk, Russia")</f>
        <v/>
      </c>
      <c r="K17696">
        <f>IFERROR(__xludf.DUMMYFUNCTION("""COMPUTED_VALUE"""),990.91)</f>
        <v/>
      </c>
    </row>
    <row r="17697">
      <c r="J17697">
        <f>IFERROR(__xludf.DUMMYFUNCTION("""COMPUTED_VALUE"""),"Petawawa, On")</f>
        <v/>
      </c>
      <c r="K17697">
        <f>IFERROR(__xludf.DUMMYFUNCTION("""COMPUTED_VALUE"""),990.839999999999)</f>
        <v/>
      </c>
    </row>
    <row r="17698">
      <c r="J17698">
        <f>IFERROR(__xludf.DUMMYFUNCTION("""COMPUTED_VALUE"""),"Monctoc, New Brunswick")</f>
        <v/>
      </c>
      <c r="K17698">
        <f>IFERROR(__xludf.DUMMYFUNCTION("""COMPUTED_VALUE"""),990.77)</f>
        <v/>
      </c>
    </row>
    <row r="17699">
      <c r="J17699">
        <f>IFERROR(__xludf.DUMMYFUNCTION("""COMPUTED_VALUE"""),"Goose Bay, NL")</f>
        <v/>
      </c>
      <c r="K17699">
        <f>IFERROR(__xludf.DUMMYFUNCTION("""COMPUTED_VALUE"""),990.37)</f>
        <v/>
      </c>
    </row>
    <row r="17700">
      <c r="J17700">
        <f>IFERROR(__xludf.DUMMYFUNCTION("""COMPUTED_VALUE"""),"Saint-Hyacinthe (Quebec) Canada
Drummondville (Quebec) Canada")</f>
        <v/>
      </c>
      <c r="K17700">
        <f>IFERROR(__xludf.DUMMYFUNCTION("""COMPUTED_VALUE"""),990.28)</f>
        <v/>
      </c>
    </row>
    <row r="17701">
      <c r="J17701">
        <f>IFERROR(__xludf.DUMMYFUNCTION("""COMPUTED_VALUE"""),"KANATA, OTTAWA, TORONTO, LONDON, TORONTO, OTTAWA, KANATA")</f>
        <v/>
      </c>
      <c r="K17701">
        <f>IFERROR(__xludf.DUMMYFUNCTION("""COMPUTED_VALUE"""),990.22)</f>
        <v/>
      </c>
    </row>
    <row r="17702">
      <c r="J17702">
        <f>IFERROR(__xludf.DUMMYFUNCTION("""COMPUTED_VALUE"""),"Quebec (QC)")</f>
        <v/>
      </c>
      <c r="K17702">
        <f>IFERROR(__xludf.DUMMYFUNCTION("""COMPUTED_VALUE"""),989.889999999999)</f>
        <v/>
      </c>
    </row>
    <row r="17703">
      <c r="J17703">
        <f>IFERROR(__xludf.DUMMYFUNCTION("""COMPUTED_VALUE"""),"Ottawa-Valcartier-Ste Foy-Ottawa")</f>
        <v/>
      </c>
      <c r="K17703">
        <f>IFERROR(__xludf.DUMMYFUNCTION("""COMPUTED_VALUE"""),989.84)</f>
        <v/>
      </c>
    </row>
    <row r="17704">
      <c r="J17704">
        <f>IFERROR(__xludf.DUMMYFUNCTION("""COMPUTED_VALUE"""),"Toronto, ON and Mirabel, QC")</f>
        <v/>
      </c>
      <c r="K17704">
        <f>IFERROR(__xludf.DUMMYFUNCTION("""COMPUTED_VALUE"""),989.51)</f>
        <v/>
      </c>
    </row>
    <row r="17705">
      <c r="J17705">
        <f>IFERROR(__xludf.DUMMYFUNCTION("""COMPUTED_VALUE"""),"Rio de Janiero, Brazil")</f>
        <v/>
      </c>
      <c r="K17705">
        <f>IFERROR(__xludf.DUMMYFUNCTION("""COMPUTED_VALUE"""),988.95)</f>
        <v/>
      </c>
    </row>
    <row r="17706">
      <c r="J17706">
        <f>IFERROR(__xludf.DUMMYFUNCTION("""COMPUTED_VALUE"""),"Rochester NY 
Syracuse NY")</f>
        <v/>
      </c>
      <c r="K17706">
        <f>IFERROR(__xludf.DUMMYFUNCTION("""COMPUTED_VALUE"""),988.86)</f>
        <v/>
      </c>
    </row>
    <row r="17707">
      <c r="J17707">
        <f>IFERROR(__xludf.DUMMYFUNCTION("""COMPUTED_VALUE"""),"Brantford, Ontario; Burlington, Ontario")</f>
        <v/>
      </c>
      <c r="K17707">
        <f>IFERROR(__xludf.DUMMYFUNCTION("""COMPUTED_VALUE"""),988.55)</f>
        <v/>
      </c>
    </row>
    <row r="17708">
      <c r="J17708">
        <f>IFERROR(__xludf.DUMMYFUNCTION("""COMPUTED_VALUE"""),"Chambly, Quebec, Canada")</f>
        <v/>
      </c>
      <c r="K17708">
        <f>IFERROR(__xludf.DUMMYFUNCTION("""COMPUTED_VALUE"""),988.4)</f>
        <v/>
      </c>
    </row>
    <row r="17709">
      <c r="J17709">
        <f>IFERROR(__xludf.DUMMYFUNCTION("""COMPUTED_VALUE"""),"Cayuga, Ontario, Canada; Simcoe, Ontario, Canada")</f>
        <v/>
      </c>
      <c r="K17709">
        <f>IFERROR(__xludf.DUMMYFUNCTION("""COMPUTED_VALUE"""),988.4)</f>
        <v/>
      </c>
    </row>
    <row r="17710">
      <c r="J17710">
        <f>IFERROR(__xludf.DUMMYFUNCTION("""COMPUTED_VALUE"""),"Kitchener/Waterloo Ontario")</f>
        <v/>
      </c>
      <c r="K17710">
        <f>IFERROR(__xludf.DUMMYFUNCTION("""COMPUTED_VALUE"""),988.1)</f>
        <v/>
      </c>
    </row>
    <row r="17711">
      <c r="J17711">
        <f>IFERROR(__xludf.DUMMYFUNCTION("""COMPUTED_VALUE"""),"Montréal, Quebec, Canada; Trois-Rivières, Quebec, Canada; Québec, Quebec, Canada")</f>
        <v/>
      </c>
      <c r="K17711">
        <f>IFERROR(__xludf.DUMMYFUNCTION("""COMPUTED_VALUE"""),988.07)</f>
        <v/>
      </c>
    </row>
    <row r="17712">
      <c r="J17712">
        <f>IFERROR(__xludf.DUMMYFUNCTION("""COMPUTED_VALUE"""),"KINGSTON,  MONTREAL, EDMONTON")</f>
        <v/>
      </c>
      <c r="K17712">
        <f>IFERROR(__xludf.DUMMYFUNCTION("""COMPUTED_VALUE"""),987.59)</f>
        <v/>
      </c>
    </row>
    <row r="17713">
      <c r="J17713">
        <f>IFERROR(__xludf.DUMMYFUNCTION("""COMPUTED_VALUE"""),"New Glasgow, Nova Scotia, Canada; Antigonish, Nova Scotia, Canada; Truro, Nova Scotia, Canada; Charlottetown, Prince Edward Island, Canada")</f>
        <v/>
      </c>
      <c r="K17713">
        <f>IFERROR(__xludf.DUMMYFUNCTION("""COMPUTED_VALUE"""),987.59)</f>
        <v/>
      </c>
    </row>
    <row r="17714">
      <c r="J17714">
        <f>IFERROR(__xludf.DUMMYFUNCTION("""COMPUTED_VALUE"""),"Victoriaville, Quebec, Canada")</f>
        <v/>
      </c>
      <c r="K17714">
        <f>IFERROR(__xludf.DUMMYFUNCTION("""COMPUTED_VALUE"""),987.4)</f>
        <v/>
      </c>
    </row>
    <row r="17715">
      <c r="J17715">
        <f>IFERROR(__xludf.DUMMYFUNCTION("""COMPUTED_VALUE"""),"Quebec, city")</f>
        <v/>
      </c>
      <c r="K17715">
        <f>IFERROR(__xludf.DUMMYFUNCTION("""COMPUTED_VALUE"""),987.36)</f>
        <v/>
      </c>
    </row>
    <row r="17716">
      <c r="J17716">
        <f>IFERROR(__xludf.DUMMYFUNCTION("""COMPUTED_VALUE"""),"YARTMOUTH, NS")</f>
        <v/>
      </c>
      <c r="K17716">
        <f>IFERROR(__xludf.DUMMYFUNCTION("""COMPUTED_VALUE"""),987.32)</f>
        <v/>
      </c>
    </row>
    <row r="17717">
      <c r="J17717">
        <f>IFERROR(__xludf.DUMMYFUNCTION("""COMPUTED_VALUE"""),"Québec, Quebec, Canada; Rimouski, Quebec, Canada")</f>
        <v/>
      </c>
      <c r="K17717">
        <f>IFERROR(__xludf.DUMMYFUNCTION("""COMPUTED_VALUE"""),987.24)</f>
        <v/>
      </c>
    </row>
    <row r="17718">
      <c r="J17718">
        <f>IFERROR(__xludf.DUMMYFUNCTION("""COMPUTED_VALUE"""),"Saint-Jean sur Richelieu")</f>
        <v/>
      </c>
      <c r="K17718">
        <f>IFERROR(__xludf.DUMMYFUNCTION("""COMPUTED_VALUE"""),986.39)</f>
        <v/>
      </c>
    </row>
    <row r="17719">
      <c r="J17719">
        <f>IFERROR(__xludf.DUMMYFUNCTION("""COMPUTED_VALUE"""),"Gatineau, Quebec / Peterborough, Ontario")</f>
        <v/>
      </c>
      <c r="K17719">
        <f>IFERROR(__xludf.DUMMYFUNCTION("""COMPUTED_VALUE"""),985.97)</f>
        <v/>
      </c>
    </row>
    <row r="17720">
      <c r="J17720">
        <f>IFERROR(__xludf.DUMMYFUNCTION("""COMPUTED_VALUE"""),"Paris - New York")</f>
        <v/>
      </c>
      <c r="K17720">
        <f>IFERROR(__xludf.DUMMYFUNCTION("""COMPUTED_VALUE"""),985.86)</f>
        <v/>
      </c>
    </row>
    <row r="17721">
      <c r="J17721">
        <f>IFERROR(__xludf.DUMMYFUNCTION("""COMPUTED_VALUE"""),"Drummondville and Gatineau (Québec) and Ottawa (Ontario) Canada")</f>
        <v/>
      </c>
      <c r="K17721">
        <f>IFERROR(__xludf.DUMMYFUNCTION("""COMPUTED_VALUE"""),985)</f>
        <v/>
      </c>
    </row>
    <row r="17722">
      <c r="J17722">
        <f>IFERROR(__xludf.DUMMYFUNCTION("""COMPUTED_VALUE"""),"Rimouski, Normandin, La Baie, Saguenay, Ottawa")</f>
        <v/>
      </c>
      <c r="K17722">
        <f>IFERROR(__xludf.DUMMYFUNCTION("""COMPUTED_VALUE"""),984.85)</f>
        <v/>
      </c>
    </row>
    <row r="17723">
      <c r="J17723">
        <f>IFERROR(__xludf.DUMMYFUNCTION("""COMPUTED_VALUE"""),"Tijuana and San Diego, Califonia")</f>
        <v/>
      </c>
      <c r="K17723">
        <f>IFERROR(__xludf.DUMMYFUNCTION("""COMPUTED_VALUE"""),984.34)</f>
        <v/>
      </c>
    </row>
    <row r="17724">
      <c r="J17724">
        <f>IFERROR(__xludf.DUMMYFUNCTION("""COMPUTED_VALUE"""),"Vaughan, Ontario, Canada; Mississauga, Ontario, Canada")</f>
        <v/>
      </c>
      <c r="K17724">
        <f>IFERROR(__xludf.DUMMYFUNCTION("""COMPUTED_VALUE"""),984.15)</f>
        <v/>
      </c>
    </row>
    <row r="17725">
      <c r="J17725">
        <f>IFERROR(__xludf.DUMMYFUNCTION("""COMPUTED_VALUE"""),"Toronto, ON, St. Catharines, ON")</f>
        <v/>
      </c>
      <c r="K17725">
        <f>IFERROR(__xludf.DUMMYFUNCTION("""COMPUTED_VALUE"""),983.49)</f>
        <v/>
      </c>
    </row>
    <row r="17726">
      <c r="J17726">
        <f>IFERROR(__xludf.DUMMYFUNCTION("""COMPUTED_VALUE"""),"Cambridge and Toronto, ON")</f>
        <v/>
      </c>
      <c r="K17726">
        <f>IFERROR(__xludf.DUMMYFUNCTION("""COMPUTED_VALUE"""),983.43)</f>
        <v/>
      </c>
    </row>
    <row r="17727">
      <c r="J17727">
        <f>IFERROR(__xludf.DUMMYFUNCTION("""COMPUTED_VALUE"""),"Montréal, Quebec, Canada; Kahnawake, Quebec, Canada")</f>
        <v/>
      </c>
      <c r="K17727">
        <f>IFERROR(__xludf.DUMMYFUNCTION("""COMPUTED_VALUE"""),983.27)</f>
        <v/>
      </c>
    </row>
    <row r="17728">
      <c r="J17728">
        <f>IFERROR(__xludf.DUMMYFUNCTION("""COMPUTED_VALUE"""),"Pickering, ON / Belleville, ON")</f>
        <v/>
      </c>
      <c r="K17728">
        <f>IFERROR(__xludf.DUMMYFUNCTION("""COMPUTED_VALUE"""),983.15)</f>
        <v/>
      </c>
    </row>
    <row r="17729">
      <c r="J17729">
        <f>IFERROR(__xludf.DUMMYFUNCTION("""COMPUTED_VALUE"""),"Kazan")</f>
        <v/>
      </c>
      <c r="K17729">
        <f>IFERROR(__xludf.DUMMYFUNCTION("""COMPUTED_VALUE"""),981.96)</f>
        <v/>
      </c>
    </row>
    <row r="17730">
      <c r="J17730">
        <f>IFERROR(__xludf.DUMMYFUNCTION("""COMPUTED_VALUE"""),"Niagara Falls, ON   North York, ON")</f>
        <v/>
      </c>
      <c r="K17730">
        <f>IFERROR(__xludf.DUMMYFUNCTION("""COMPUTED_VALUE"""),981.09)</f>
        <v/>
      </c>
    </row>
    <row r="17731">
      <c r="J17731">
        <f>IFERROR(__xludf.DUMMYFUNCTION("""COMPUTED_VALUE"""),"Sudbury Ontario (18-19 Nov 24)Berlin Germany (19-20 Nov 24)Kingston Ontario (20-21 Nov 24)")</f>
        <v/>
      </c>
      <c r="K17731">
        <f>IFERROR(__xludf.DUMMYFUNCTION("""COMPUTED_VALUE"""),981.07)</f>
        <v/>
      </c>
    </row>
    <row r="17732">
      <c r="J17732">
        <f>IFERROR(__xludf.DUMMYFUNCTION("""COMPUTED_VALUE"""),"Pernambuco State")</f>
        <v/>
      </c>
      <c r="K17732">
        <f>IFERROR(__xludf.DUMMYFUNCTION("""COMPUTED_VALUE"""),980.94)</f>
        <v/>
      </c>
    </row>
    <row r="17733">
      <c r="J17733">
        <f>IFERROR(__xludf.DUMMYFUNCTION("""COMPUTED_VALUE"""),"Langdon Hall, Cambridge,
Ontario, Canada")</f>
        <v/>
      </c>
      <c r="K17733">
        <f>IFERROR(__xludf.DUMMYFUNCTION("""COMPUTED_VALUE"""),980.77)</f>
        <v/>
      </c>
    </row>
    <row r="17734">
      <c r="J17734">
        <f>IFERROR(__xludf.DUMMYFUNCTION("""COMPUTED_VALUE"""),"Lethbridge, Alberta, Canada; High River, Alberta, Canada")</f>
        <v/>
      </c>
      <c r="K17734">
        <f>IFERROR(__xludf.DUMMYFUNCTION("""COMPUTED_VALUE"""),980.38)</f>
        <v/>
      </c>
    </row>
    <row r="17735">
      <c r="J17735">
        <f>IFERROR(__xludf.DUMMYFUNCTION("""COMPUTED_VALUE"""),"Montreal, Quebec, Canada and
Toronto, Ontario, Canada")</f>
        <v/>
      </c>
      <c r="K17735">
        <f>IFERROR(__xludf.DUMMYFUNCTION("""COMPUTED_VALUE"""),980.32)</f>
        <v/>
      </c>
    </row>
    <row r="17736">
      <c r="J17736">
        <f>IFERROR(__xludf.DUMMYFUNCTION("""COMPUTED_VALUE"""),"Eastern Townships, Quebec (Canada)")</f>
        <v/>
      </c>
      <c r="K17736">
        <f>IFERROR(__xludf.DUMMYFUNCTION("""COMPUTED_VALUE"""),979.75)</f>
        <v/>
      </c>
    </row>
    <row r="17737">
      <c r="J17737">
        <f>IFERROR(__xludf.DUMMYFUNCTION("""COMPUTED_VALUE"""),"Montebello, Quebec; Ottawa, ON")</f>
        <v/>
      </c>
      <c r="K17737">
        <f>IFERROR(__xludf.DUMMYFUNCTION("""COMPUTED_VALUE"""),979.64)</f>
        <v/>
      </c>
    </row>
    <row r="17738">
      <c r="J17738">
        <f>IFERROR(__xludf.DUMMYFUNCTION("""COMPUTED_VALUE"""),"North Bay, Ontario, Canada
Timmins, Ontario, Canada
Cochrane, Ontario, Canada")</f>
        <v/>
      </c>
      <c r="K17738">
        <f>IFERROR(__xludf.DUMMYFUNCTION("""COMPUTED_VALUE"""),979.29)</f>
        <v/>
      </c>
    </row>
    <row r="17739">
      <c r="J17739">
        <f>IFERROR(__xludf.DUMMYFUNCTION("""COMPUTED_VALUE"""),"Thunder Bay, (Ontario)")</f>
        <v/>
      </c>
      <c r="K17739">
        <f>IFERROR(__xludf.DUMMYFUNCTION("""COMPUTED_VALUE"""),979)</f>
        <v/>
      </c>
    </row>
    <row r="17740">
      <c r="J17740">
        <f>IFERROR(__xludf.DUMMYFUNCTION("""COMPUTED_VALUE"""),"Owen Sound, Ontario, Canada; Barrie, Ontario, Canada; York, Ontario, Canada; Toronto, Ontario, Canada")</f>
        <v/>
      </c>
      <c r="K17740">
        <f>IFERROR(__xludf.DUMMYFUNCTION("""COMPUTED_VALUE"""),978.97)</f>
        <v/>
      </c>
    </row>
    <row r="17741">
      <c r="J17741">
        <f>IFERROR(__xludf.DUMMYFUNCTION("""COMPUTED_VALUE"""),"Vancouver, British Columbia, Canada; London, Ontario, Canada")</f>
        <v/>
      </c>
      <c r="K17741">
        <f>IFERROR(__xludf.DUMMYFUNCTION("""COMPUTED_VALUE"""),978.87)</f>
        <v/>
      </c>
    </row>
    <row r="17742">
      <c r="J17742">
        <f>IFERROR(__xludf.DUMMYFUNCTION("""COMPUTED_VALUE"""),"Saint John, NB, Fredericton, NB")</f>
        <v/>
      </c>
      <c r="K17742">
        <f>IFERROR(__xludf.DUMMYFUNCTION("""COMPUTED_VALUE"""),978.74)</f>
        <v/>
      </c>
    </row>
    <row r="17743">
      <c r="J17743">
        <f>IFERROR(__xludf.DUMMYFUNCTION("""COMPUTED_VALUE"""),"Shippagan, Campbellton and Fredericton, New Brunswick")</f>
        <v/>
      </c>
      <c r="K17743">
        <f>IFERROR(__xludf.DUMMYFUNCTION("""COMPUTED_VALUE"""),978.69)</f>
        <v/>
      </c>
    </row>
    <row r="17744">
      <c r="J17744">
        <f>IFERROR(__xludf.DUMMYFUNCTION("""COMPUTED_VALUE"""),"Belleville (Ontario) Canada")</f>
        <v/>
      </c>
      <c r="K17744">
        <f>IFERROR(__xludf.DUMMYFUNCTION("""COMPUTED_VALUE"""),978.29)</f>
        <v/>
      </c>
    </row>
    <row r="17745">
      <c r="J17745">
        <f>IFERROR(__xludf.DUMMYFUNCTION("""COMPUTED_VALUE"""),"KANATA, OTTAWA, HALIFAX, OTTAWA, KANATA")</f>
        <v/>
      </c>
      <c r="K17745">
        <f>IFERROR(__xludf.DUMMYFUNCTION("""COMPUTED_VALUE"""),977.99)</f>
        <v/>
      </c>
    </row>
    <row r="17746">
      <c r="J17746">
        <f>IFERROR(__xludf.DUMMYFUNCTION("""COMPUTED_VALUE"""),"Los Cabos and La Paz, Baja California")</f>
        <v/>
      </c>
      <c r="K17746">
        <f>IFERROR(__xludf.DUMMYFUNCTION("""COMPUTED_VALUE"""),977.81)</f>
        <v/>
      </c>
    </row>
    <row r="17747">
      <c r="J17747">
        <f>IFERROR(__xludf.DUMMYFUNCTION("""COMPUTED_VALUE"""),"Mississauga, Ontario, Canada; Ottawa, Ontario, Canada")</f>
        <v/>
      </c>
      <c r="K17747">
        <f>IFERROR(__xludf.DUMMYFUNCTION("""COMPUTED_VALUE"""),977.65)</f>
        <v/>
      </c>
    </row>
    <row r="17748">
      <c r="J17748">
        <f>IFERROR(__xludf.DUMMYFUNCTION("""COMPUTED_VALUE"""),"Tampa FL / Norfolk VA, USA")</f>
        <v/>
      </c>
      <c r="K17748">
        <f>IFERROR(__xludf.DUMMYFUNCTION("""COMPUTED_VALUE"""),977.5)</f>
        <v/>
      </c>
    </row>
    <row r="17749">
      <c r="J17749">
        <f>IFERROR(__xludf.DUMMYFUNCTION("""COMPUTED_VALUE"""),"Trois-Rivières, Québec, Montréal")</f>
        <v/>
      </c>
      <c r="K17749">
        <f>IFERROR(__xludf.DUMMYFUNCTION("""COMPUTED_VALUE"""),977.02)</f>
        <v/>
      </c>
    </row>
    <row r="17750">
      <c r="J17750">
        <f>IFERROR(__xludf.DUMMYFUNCTION("""COMPUTED_VALUE"""),"Cape Breton Island, Nova Scotia, Canada")</f>
        <v/>
      </c>
      <c r="K17750">
        <f>IFERROR(__xludf.DUMMYFUNCTION("""COMPUTED_VALUE"""),976.8)</f>
        <v/>
      </c>
    </row>
    <row r="17751">
      <c r="J17751">
        <f>IFERROR(__xludf.DUMMYFUNCTION("""COMPUTED_VALUE"""),"Gaspé, Matane")</f>
        <v/>
      </c>
      <c r="K17751">
        <f>IFERROR(__xludf.DUMMYFUNCTION("""COMPUTED_VALUE"""),976.75)</f>
        <v/>
      </c>
    </row>
    <row r="17752">
      <c r="J17752">
        <f>IFERROR(__xludf.DUMMYFUNCTION("""COMPUTED_VALUE"""),"Île Bizard, Québec, Canada")</f>
        <v/>
      </c>
      <c r="K17752">
        <f>IFERROR(__xludf.DUMMYFUNCTION("""COMPUTED_VALUE"""),976.18)</f>
        <v/>
      </c>
    </row>
    <row r="17753">
      <c r="J17753">
        <f>IFERROR(__xludf.DUMMYFUNCTION("""COMPUTED_VALUE"""),"Toronto/Calgary/Vancouver")</f>
        <v/>
      </c>
      <c r="K17753">
        <f>IFERROR(__xludf.DUMMYFUNCTION("""COMPUTED_VALUE"""),975.78)</f>
        <v/>
      </c>
    </row>
    <row r="17754">
      <c r="J17754">
        <f>IFERROR(__xludf.DUMMYFUNCTION("""COMPUTED_VALUE"""),"Waterloo and Guelph, ON")</f>
        <v/>
      </c>
      <c r="K17754">
        <f>IFERROR(__xludf.DUMMYFUNCTION("""COMPUTED_VALUE"""),975.38)</f>
        <v/>
      </c>
    </row>
    <row r="17755">
      <c r="J17755">
        <f>IFERROR(__xludf.DUMMYFUNCTION("""COMPUTED_VALUE"""),"Sorel-Tracy, Quebec, Canada")</f>
        <v/>
      </c>
      <c r="K17755">
        <f>IFERROR(__xludf.DUMMYFUNCTION("""COMPUTED_VALUE"""),975.27)</f>
        <v/>
      </c>
    </row>
    <row r="17756">
      <c r="J17756">
        <f>IFERROR(__xludf.DUMMYFUNCTION("""COMPUTED_VALUE"""),"Toronto, Ontario and Halifax, Nova Scotia")</f>
        <v/>
      </c>
      <c r="K17756">
        <f>IFERROR(__xludf.DUMMYFUNCTION("""COMPUTED_VALUE"""),975.24)</f>
        <v/>
      </c>
    </row>
    <row r="17757">
      <c r="J17757">
        <f>IFERROR(__xludf.DUMMYFUNCTION("""COMPUTED_VALUE"""),"Vancouver, Nanaimo and Sidney, British Columbia, Canada")</f>
        <v/>
      </c>
      <c r="K17757">
        <f>IFERROR(__xludf.DUMMYFUNCTION("""COMPUTED_VALUE"""),975.01)</f>
        <v/>
      </c>
    </row>
    <row r="17758">
      <c r="J17758">
        <f>IFERROR(__xludf.DUMMYFUNCTION("""COMPUTED_VALUE"""),"Moncton, New Brunwick")</f>
        <v/>
      </c>
      <c r="K17758">
        <f>IFERROR(__xludf.DUMMYFUNCTION("""COMPUTED_VALUE"""),974.95)</f>
        <v/>
      </c>
    </row>
    <row r="17759">
      <c r="J17759">
        <f>IFERROR(__xludf.DUMMYFUNCTION("""COMPUTED_VALUE"""),"Fredericton, NB,")</f>
        <v/>
      </c>
      <c r="K17759">
        <f>IFERROR(__xludf.DUMMYFUNCTION("""COMPUTED_VALUE"""),974.37)</f>
        <v/>
      </c>
    </row>
    <row r="17760">
      <c r="J17760">
        <f>IFERROR(__xludf.DUMMYFUNCTION("""COMPUTED_VALUE"""),"Laval, Quebec, Canada; Pointe-Claire, Quebec, Canada")</f>
        <v/>
      </c>
      <c r="K17760">
        <f>IFERROR(__xludf.DUMMYFUNCTION("""COMPUTED_VALUE"""),974.37)</f>
        <v/>
      </c>
    </row>
    <row r="17761">
      <c r="J17761">
        <f>IFERROR(__xludf.DUMMYFUNCTION("""COMPUTED_VALUE"""),"Toronto, ON    Québec, QC")</f>
        <v/>
      </c>
      <c r="K17761">
        <f>IFERROR(__xludf.DUMMYFUNCTION("""COMPUTED_VALUE"""),974.22)</f>
        <v/>
      </c>
    </row>
    <row r="17762">
      <c r="J17762">
        <f>IFERROR(__xludf.DUMMYFUNCTION("""COMPUTED_VALUE"""),"Toronto, ON/Ottawa, ON/ Montréal , QC")</f>
        <v/>
      </c>
      <c r="K17762">
        <f>IFERROR(__xludf.DUMMYFUNCTION("""COMPUTED_VALUE"""),974.01)</f>
        <v/>
      </c>
    </row>
    <row r="17763">
      <c r="J17763">
        <f>IFERROR(__xludf.DUMMYFUNCTION("""COMPUTED_VALUE"""),"Hartley Bay, BC; Prince Rupert, BC;")</f>
        <v/>
      </c>
      <c r="K17763">
        <f>IFERROR(__xludf.DUMMYFUNCTION("""COMPUTED_VALUE"""),973.69)</f>
        <v/>
      </c>
    </row>
    <row r="17764">
      <c r="J17764">
        <f>IFERROR(__xludf.DUMMYFUNCTION("""COMPUTED_VALUE"""),"Mont-Tremblant, (Quebec)")</f>
        <v/>
      </c>
      <c r="K17764">
        <f>IFERROR(__xludf.DUMMYFUNCTION("""COMPUTED_VALUE"""),973.62)</f>
        <v/>
      </c>
    </row>
    <row r="17765">
      <c r="J17765">
        <f>IFERROR(__xludf.DUMMYFUNCTION("""COMPUTED_VALUE"""),"Sault Ste. Marie, Ontario, Canada / Toronto, Ontario, Canada")</f>
        <v/>
      </c>
      <c r="K17765">
        <f>IFERROR(__xludf.DUMMYFUNCTION("""COMPUTED_VALUE"""),973.36)</f>
        <v/>
      </c>
    </row>
    <row r="17766">
      <c r="J17766">
        <f>IFERROR(__xludf.DUMMYFUNCTION("""COMPUTED_VALUE"""),"Jonquière; Saguenay, Quebec, Canada")</f>
        <v/>
      </c>
      <c r="K17766">
        <f>IFERROR(__xludf.DUMMYFUNCTION("""COMPUTED_VALUE"""),973.29)</f>
        <v/>
      </c>
    </row>
    <row r="17767">
      <c r="J17767">
        <f>IFERROR(__xludf.DUMMYFUNCTION("""COMPUTED_VALUE"""),"Québec, Quebec, Canada; Saint-Romuald, Quebec, Canada")</f>
        <v/>
      </c>
      <c r="K17767">
        <f>IFERROR(__xludf.DUMMYFUNCTION("""COMPUTED_VALUE"""),972.79)</f>
        <v/>
      </c>
    </row>
    <row r="17768">
      <c r="J17768">
        <f>IFERROR(__xludf.DUMMYFUNCTION("""COMPUTED_VALUE"""),"Niagara Falls, Toronto")</f>
        <v/>
      </c>
      <c r="K17768">
        <f>IFERROR(__xludf.DUMMYFUNCTION("""COMPUTED_VALUE"""),972.71)</f>
        <v/>
      </c>
    </row>
    <row r="17769">
      <c r="J17769">
        <f>IFERROR(__xludf.DUMMYFUNCTION("""COMPUTED_VALUE"""),"Nanaimo, British Columbia, Canada; Kamloops, British Columbia, Canada")</f>
        <v/>
      </c>
      <c r="K17769">
        <f>IFERROR(__xludf.DUMMYFUNCTION("""COMPUTED_VALUE"""),972.67)</f>
        <v/>
      </c>
    </row>
    <row r="17770">
      <c r="J17770">
        <f>IFERROR(__xludf.DUMMYFUNCTION("""COMPUTED_VALUE"""),"Collingwood, Ontario, Canada")</f>
        <v/>
      </c>
      <c r="K17770">
        <f>IFERROR(__xludf.DUMMYFUNCTION("""COMPUTED_VALUE"""),972.4)</f>
        <v/>
      </c>
    </row>
    <row r="17771">
      <c r="J17771">
        <f>IFERROR(__xludf.DUMMYFUNCTION("""COMPUTED_VALUE"""),"Vancouver, Brithish Columbia, Canada")</f>
        <v/>
      </c>
      <c r="K17771">
        <f>IFERROR(__xludf.DUMMYFUNCTION("""COMPUTED_VALUE"""),972.28)</f>
        <v/>
      </c>
    </row>
    <row r="17772">
      <c r="J17772">
        <f>IFERROR(__xludf.DUMMYFUNCTION("""COMPUTED_VALUE"""),"Burlington, Vermont")</f>
        <v/>
      </c>
      <c r="K17772">
        <f>IFERROR(__xludf.DUMMYFUNCTION("""COMPUTED_VALUE"""),971.75)</f>
        <v/>
      </c>
    </row>
    <row r="17773">
      <c r="J17773">
        <f>IFERROR(__xludf.DUMMYFUNCTION("""COMPUTED_VALUE"""),"La Ronge, Saskatchewan, Canada; Saskatoon, Saskatchewan, Canada; Melfort, Saskatchewan, Canada; Prince Albert, Saskatchewan, Canada; North Battleford, Saskatchewan, Canada")</f>
        <v/>
      </c>
      <c r="K17773">
        <f>IFERROR(__xludf.DUMMYFUNCTION("""COMPUTED_VALUE"""),971.46)</f>
        <v/>
      </c>
    </row>
    <row r="17774">
      <c r="J17774">
        <f>IFERROR(__xludf.DUMMYFUNCTION("""COMPUTED_VALUE"""),"Gander, Newfoundland and Labrador, Montreal, Quebec, Canada; Moncton, New Brunswick, Canada; Charlottetown, Prince Edward Island, Canada")</f>
        <v/>
      </c>
      <c r="K17774">
        <f>IFERROR(__xludf.DUMMYFUNCTION("""COMPUTED_VALUE"""),971.14)</f>
        <v/>
      </c>
    </row>
    <row r="17775">
      <c r="J17775">
        <f>IFERROR(__xludf.DUMMYFUNCTION("""COMPUTED_VALUE"""),"Kigali, Rwanda; Munich, Germany")</f>
        <v/>
      </c>
      <c r="K17775">
        <f>IFERROR(__xludf.DUMMYFUNCTION("""COMPUTED_VALUE"""),970.32)</f>
        <v/>
      </c>
    </row>
    <row r="17776">
      <c r="J17776">
        <f>IFERROR(__xludf.DUMMYFUNCTION("""COMPUTED_VALUE"""),"Hamilton/Brantford, Ontario")</f>
        <v/>
      </c>
      <c r="K17776">
        <f>IFERROR(__xludf.DUMMYFUNCTION("""COMPUTED_VALUE"""),970.27)</f>
        <v/>
      </c>
    </row>
    <row r="17777">
      <c r="J17777">
        <f>IFERROR(__xludf.DUMMYFUNCTION("""COMPUTED_VALUE"""),"Enoch, AB, Canada")</f>
        <v/>
      </c>
      <c r="K17777">
        <f>IFERROR(__xludf.DUMMYFUNCTION("""COMPUTED_VALUE"""),969.89)</f>
        <v/>
      </c>
    </row>
    <row r="17778">
      <c r="J17778">
        <f>IFERROR(__xludf.DUMMYFUNCTION("""COMPUTED_VALUE"""),"Fort Providence, Northwest Territories, Canada")</f>
        <v/>
      </c>
      <c r="K17778">
        <f>IFERROR(__xludf.DUMMYFUNCTION("""COMPUTED_VALUE"""),969.73)</f>
        <v/>
      </c>
    </row>
    <row r="17779">
      <c r="J17779">
        <f>IFERROR(__xludf.DUMMYFUNCTION("""COMPUTED_VALUE"""),"Hamilton, Toronto - ON")</f>
        <v/>
      </c>
      <c r="K17779">
        <f>IFERROR(__xludf.DUMMYFUNCTION("""COMPUTED_VALUE"""),968.67)</f>
        <v/>
      </c>
    </row>
    <row r="17780">
      <c r="J17780">
        <f>IFERROR(__xludf.DUMMYFUNCTION("""COMPUTED_VALUE"""),"Peterborough, ON; Belleville, ON; Kingston, ON")</f>
        <v/>
      </c>
      <c r="K17780">
        <f>IFERROR(__xludf.DUMMYFUNCTION("""COMPUTED_VALUE"""),968.04)</f>
        <v/>
      </c>
    </row>
    <row r="17781">
      <c r="J17781">
        <f>IFERROR(__xludf.DUMMYFUNCTION("""COMPUTED_VALUE"""),"Quebec,QC")</f>
        <v/>
      </c>
      <c r="K17781">
        <f>IFERROR(__xludf.DUMMYFUNCTION("""COMPUTED_VALUE"""),967.98)</f>
        <v/>
      </c>
    </row>
    <row r="17782">
      <c r="J17782">
        <f>IFERROR(__xludf.DUMMYFUNCTION("""COMPUTED_VALUE"""),"Belleville, ON")</f>
        <v/>
      </c>
      <c r="K17782">
        <f>IFERROR(__xludf.DUMMYFUNCTION("""COMPUTED_VALUE"""),967.67)</f>
        <v/>
      </c>
    </row>
    <row r="17783">
      <c r="J17783">
        <f>IFERROR(__xludf.DUMMYFUNCTION("""COMPUTED_VALUE"""),"Vancouver and Campbell River, British Columbia")</f>
        <v/>
      </c>
      <c r="K17783">
        <f>IFERROR(__xludf.DUMMYFUNCTION("""COMPUTED_VALUE"""),967.65)</f>
        <v/>
      </c>
    </row>
    <row r="17784">
      <c r="J17784">
        <f>IFERROR(__xludf.DUMMYFUNCTION("""COMPUTED_VALUE"""),"UNITED KINGDOM &amp; FRANCE")</f>
        <v/>
      </c>
      <c r="K17784">
        <f>IFERROR(__xludf.DUMMYFUNCTION("""COMPUTED_VALUE"""),967.58)</f>
        <v/>
      </c>
    </row>
    <row r="17785">
      <c r="J17785">
        <f>IFERROR(__xludf.DUMMYFUNCTION("""COMPUTED_VALUE"""),"Ottawa, ON - France / France - Ottawa, ON")</f>
        <v/>
      </c>
      <c r="K17785">
        <f>IFERROR(__xludf.DUMMYFUNCTION("""COMPUTED_VALUE"""),967.51)</f>
        <v/>
      </c>
    </row>
    <row r="17786">
      <c r="J17786">
        <f>IFERROR(__xludf.DUMMYFUNCTION("""COMPUTED_VALUE"""),"Wabush, Newfoundland and Labrador, Canada; Goose Bay, Newfoundland and Labrador, Canada")</f>
        <v/>
      </c>
      <c r="K17786">
        <f>IFERROR(__xludf.DUMMYFUNCTION("""COMPUTED_VALUE"""),967.32)</f>
        <v/>
      </c>
    </row>
    <row r="17787">
      <c r="J17787">
        <f>IFERROR(__xludf.DUMMYFUNCTION("""COMPUTED_VALUE"""),"Calgary, AB; Canmore, AB")</f>
        <v/>
      </c>
      <c r="K17787">
        <f>IFERROR(__xludf.DUMMYFUNCTION("""COMPUTED_VALUE"""),967.25)</f>
        <v/>
      </c>
    </row>
    <row r="17788">
      <c r="J17788">
        <f>IFERROR(__xludf.DUMMYFUNCTION("""COMPUTED_VALUE"""),"Duncan, British Columbia, Canada")</f>
        <v/>
      </c>
      <c r="K17788">
        <f>IFERROR(__xludf.DUMMYFUNCTION("""COMPUTED_VALUE"""),967.25)</f>
        <v/>
      </c>
    </row>
    <row r="17789">
      <c r="J17789">
        <f>IFERROR(__xludf.DUMMYFUNCTION("""COMPUTED_VALUE"""),"Brampton, Ontario, Canada; Vancouver, British Columbia, Canada; Williams Lake, British Columbia, Canada")</f>
        <v/>
      </c>
      <c r="K17789">
        <f>IFERROR(__xludf.DUMMYFUNCTION("""COMPUTED_VALUE"""),967.06)</f>
        <v/>
      </c>
    </row>
    <row r="17790">
      <c r="J17790">
        <f>IFERROR(__xludf.DUMMYFUNCTION("""COMPUTED_VALUE"""),"Val Marie / Fort Walsh, Saskatchewan")</f>
        <v/>
      </c>
      <c r="K17790">
        <f>IFERROR(__xludf.DUMMYFUNCTION("""COMPUTED_VALUE"""),966.48)</f>
        <v/>
      </c>
    </row>
    <row r="17791">
      <c r="J17791">
        <f>IFERROR(__xludf.DUMMYFUNCTION("""COMPUTED_VALUE"""),"Blainville, Quebec, Canada")</f>
        <v/>
      </c>
      <c r="K17791">
        <f>IFERROR(__xludf.DUMMYFUNCTION("""COMPUTED_VALUE"""),965.939999999999)</f>
        <v/>
      </c>
    </row>
    <row r="17792">
      <c r="J17792">
        <f>IFERROR(__xludf.DUMMYFUNCTION("""COMPUTED_VALUE"""),"Ottawa - Québec City - Ottawa")</f>
        <v/>
      </c>
      <c r="K17792">
        <f>IFERROR(__xludf.DUMMYFUNCTION("""COMPUTED_VALUE"""),965.88)</f>
        <v/>
      </c>
    </row>
    <row r="17793">
      <c r="J17793">
        <f>IFERROR(__xludf.DUMMYFUNCTION("""COMPUTED_VALUE"""),"Kolkata")</f>
        <v/>
      </c>
      <c r="K17793">
        <f>IFERROR(__xludf.DUMMYFUNCTION("""COMPUTED_VALUE"""),965.19)</f>
        <v/>
      </c>
    </row>
    <row r="17794">
      <c r="J17794">
        <f>IFERROR(__xludf.DUMMYFUNCTION("""COMPUTED_VALUE"""),"Halifax, Nova Soctia")</f>
        <v/>
      </c>
      <c r="K17794">
        <f>IFERROR(__xludf.DUMMYFUNCTION("""COMPUTED_VALUE"""),964.9)</f>
        <v/>
      </c>
    </row>
    <row r="17795">
      <c r="J17795">
        <f>IFERROR(__xludf.DUMMYFUNCTION("""COMPUTED_VALUE"""),"Vancouver, BC - Kamloops, BC -")</f>
        <v/>
      </c>
      <c r="K17795">
        <f>IFERROR(__xludf.DUMMYFUNCTION("""COMPUTED_VALUE"""),964.89)</f>
        <v/>
      </c>
    </row>
    <row r="17796">
      <c r="J17796">
        <f>IFERROR(__xludf.DUMMYFUNCTION("""COMPUTED_VALUE"""),"Montreal, Toronto, Saskatoon, Edmonton")</f>
        <v/>
      </c>
      <c r="K17796">
        <f>IFERROR(__xludf.DUMMYFUNCTION("""COMPUTED_VALUE"""),964.73)</f>
        <v/>
      </c>
    </row>
    <row r="17797">
      <c r="J17797">
        <f>IFERROR(__xludf.DUMMYFUNCTION("""COMPUTED_VALUE"""),"Washington, DC, USD")</f>
        <v/>
      </c>
      <c r="K17797">
        <f>IFERROR(__xludf.DUMMYFUNCTION("""COMPUTED_VALUE"""),964.14)</f>
        <v/>
      </c>
    </row>
    <row r="17798">
      <c r="J17798">
        <f>IFERROR(__xludf.DUMMYFUNCTION("""COMPUTED_VALUE"""),"Saguenay and La Pocatiere")</f>
        <v/>
      </c>
      <c r="K17798">
        <f>IFERROR(__xludf.DUMMYFUNCTION("""COMPUTED_VALUE"""),964.129999999999)</f>
        <v/>
      </c>
    </row>
    <row r="17799">
      <c r="J17799">
        <f>IFERROR(__xludf.DUMMYFUNCTION("""COMPUTED_VALUE"""),"Ottawa, Toronto, ON")</f>
        <v/>
      </c>
      <c r="K17799">
        <f>IFERROR(__xludf.DUMMYFUNCTION("""COMPUTED_VALUE"""),964.06)</f>
        <v/>
      </c>
    </row>
    <row r="17800">
      <c r="J17800">
        <f>IFERROR(__xludf.DUMMYFUNCTION("""COMPUTED_VALUE"""),"London, Ontario, Canada; Simcoe, Ontario, Canada")</f>
        <v/>
      </c>
      <c r="K17800">
        <f>IFERROR(__xludf.DUMMYFUNCTION("""COMPUTED_VALUE"""),963.99)</f>
        <v/>
      </c>
    </row>
    <row r="17801">
      <c r="J17801">
        <f>IFERROR(__xludf.DUMMYFUNCTION("""COMPUTED_VALUE"""),"Miramichi (NB)")</f>
        <v/>
      </c>
      <c r="K17801">
        <f>IFERROR(__xludf.DUMMYFUNCTION("""COMPUTED_VALUE"""),963.97)</f>
        <v/>
      </c>
    </row>
    <row r="17802">
      <c r="J17802">
        <f>IFERROR(__xludf.DUMMYFUNCTION("""COMPUTED_VALUE"""),"Charlottetown, PE Borden, PE Halifax, NS Digby, NS")</f>
        <v/>
      </c>
      <c r="K17802">
        <f>IFERROR(__xludf.DUMMYFUNCTION("""COMPUTED_VALUE"""),963.93)</f>
        <v/>
      </c>
    </row>
    <row r="17803">
      <c r="J17803">
        <f>IFERROR(__xludf.DUMMYFUNCTION("""COMPUTED_VALUE"""),"Montreal, Saint-Felicien and Trois-Rivieres, Quebec")</f>
        <v/>
      </c>
      <c r="K17803">
        <f>IFERROR(__xludf.DUMMYFUNCTION("""COMPUTED_VALUE"""),963.76)</f>
        <v/>
      </c>
    </row>
    <row r="17804">
      <c r="J17804">
        <f>IFERROR(__xludf.DUMMYFUNCTION("""COMPUTED_VALUE"""),"Ancienne-Lorette; Rivière-du-loup; Sainte-Anne-des-Monts, Quebec, Canada")</f>
        <v/>
      </c>
      <c r="K17804">
        <f>IFERROR(__xludf.DUMMYFUNCTION("""COMPUTED_VALUE"""),963.51)</f>
        <v/>
      </c>
    </row>
    <row r="17805">
      <c r="J17805">
        <f>IFERROR(__xludf.DUMMYFUNCTION("""COMPUTED_VALUE"""),"Truno, Nova Scotia")</f>
        <v/>
      </c>
      <c r="K17805">
        <f>IFERROR(__xludf.DUMMYFUNCTION("""COMPUTED_VALUE"""),963.4)</f>
        <v/>
      </c>
    </row>
    <row r="17806">
      <c r="J17806">
        <f>IFERROR(__xludf.DUMMYFUNCTION("""COMPUTED_VALUE"""),"Barrie and Owen Sound, Ontario, Canada")</f>
        <v/>
      </c>
      <c r="K17806">
        <f>IFERROR(__xludf.DUMMYFUNCTION("""COMPUTED_VALUE"""),963.14)</f>
        <v/>
      </c>
    </row>
    <row r="17807">
      <c r="J17807">
        <f>IFERROR(__xludf.DUMMYFUNCTION("""COMPUTED_VALUE"""),"Montréal / Sherbrooke")</f>
        <v/>
      </c>
      <c r="K17807">
        <f>IFERROR(__xludf.DUMMYFUNCTION("""COMPUTED_VALUE"""),963.02)</f>
        <v/>
      </c>
    </row>
    <row r="17808">
      <c r="J17808">
        <f>IFERROR(__xludf.DUMMYFUNCTION("""COMPUTED_VALUE"""),"Montreal/ Quebec")</f>
        <v/>
      </c>
      <c r="K17808">
        <f>IFERROR(__xludf.DUMMYFUNCTION("""COMPUTED_VALUE"""),962.47)</f>
        <v/>
      </c>
    </row>
    <row r="17809">
      <c r="J17809">
        <f>IFERROR(__xludf.DUMMYFUNCTION("""COMPUTED_VALUE"""),"Whitby , ON")</f>
        <v/>
      </c>
      <c r="K17809">
        <f>IFERROR(__xludf.DUMMYFUNCTION("""COMPUTED_VALUE"""),962.27)</f>
        <v/>
      </c>
    </row>
    <row r="17810">
      <c r="J17810">
        <f>IFERROR(__xludf.DUMMYFUNCTION("""COMPUTED_VALUE"""),"Niagara (Ontario) Canada")</f>
        <v/>
      </c>
      <c r="K17810">
        <f>IFERROR(__xludf.DUMMYFUNCTION("""COMPUTED_VALUE"""),961.81)</f>
        <v/>
      </c>
    </row>
    <row r="17811">
      <c r="J17811">
        <f>IFERROR(__xludf.DUMMYFUNCTION("""COMPUTED_VALUE"""),"Montreal-Victoria")</f>
        <v/>
      </c>
      <c r="K17811">
        <f>IFERROR(__xludf.DUMMYFUNCTION("""COMPUTED_VALUE"""),961.76)</f>
        <v/>
      </c>
    </row>
    <row r="17812">
      <c r="J17812">
        <f>IFERROR(__xludf.DUMMYFUNCTION("""COMPUTED_VALUE"""),"Saint-Prime")</f>
        <v/>
      </c>
      <c r="K17812">
        <f>IFERROR(__xludf.DUMMYFUNCTION("""COMPUTED_VALUE"""),961.52)</f>
        <v/>
      </c>
    </row>
    <row r="17813">
      <c r="J17813">
        <f>IFERROR(__xludf.DUMMYFUNCTION("""COMPUTED_VALUE"""),"Charlottetown-Moncton-Charlottetown")</f>
        <v/>
      </c>
      <c r="K17813">
        <f>IFERROR(__xludf.DUMMYFUNCTION("""COMPUTED_VALUE"""),961.24)</f>
        <v/>
      </c>
    </row>
    <row r="17814">
      <c r="J17814">
        <f>IFERROR(__xludf.DUMMYFUNCTION("""COMPUTED_VALUE"""),"Edmonton, Alberta and Vancouver, British Columbia")</f>
        <v/>
      </c>
      <c r="K17814">
        <f>IFERROR(__xludf.DUMMYFUNCTION("""COMPUTED_VALUE"""),961.22)</f>
        <v/>
      </c>
    </row>
    <row r="17815">
      <c r="J17815">
        <f>IFERROR(__xludf.DUMMYFUNCTION("""COMPUTED_VALUE"""),"Banff and Lake Louise, Alberta")</f>
        <v/>
      </c>
      <c r="K17815">
        <f>IFERROR(__xludf.DUMMYFUNCTION("""COMPUTED_VALUE"""),961.21)</f>
        <v/>
      </c>
    </row>
    <row r="17816">
      <c r="J17816">
        <f>IFERROR(__xludf.DUMMYFUNCTION("""COMPUTED_VALUE"""),"Montréal, Drummondville, Québec")</f>
        <v/>
      </c>
      <c r="K17816">
        <f>IFERROR(__xludf.DUMMYFUNCTION("""COMPUTED_VALUE"""),960.89)</f>
        <v/>
      </c>
    </row>
    <row r="17817">
      <c r="J17817">
        <f>IFERROR(__xludf.DUMMYFUNCTION("""COMPUTED_VALUE"""),"Ottawa, ON - Kingston, ON / Kingston, ON - Ottawa, ON")</f>
        <v/>
      </c>
      <c r="K17817">
        <f>IFERROR(__xludf.DUMMYFUNCTION("""COMPUTED_VALUE"""),960.84)</f>
        <v/>
      </c>
    </row>
    <row r="17818">
      <c r="J17818">
        <f>IFERROR(__xludf.DUMMYFUNCTION("""COMPUTED_VALUE"""),"Ottawa - Québec - Fredericton - Québec - Ottawa")</f>
        <v/>
      </c>
      <c r="K17818">
        <f>IFERROR(__xludf.DUMMYFUNCTION("""COMPUTED_VALUE"""),960.58)</f>
        <v/>
      </c>
    </row>
    <row r="17819">
      <c r="J17819">
        <f>IFERROR(__xludf.DUMMYFUNCTION("""COMPUTED_VALUE"""),"Toronto, ON / Stratford, ON")</f>
        <v/>
      </c>
      <c r="K17819">
        <f>IFERROR(__xludf.DUMMYFUNCTION("""COMPUTED_VALUE"""),960.54)</f>
        <v/>
      </c>
    </row>
    <row r="17820">
      <c r="J17820">
        <f>IFERROR(__xludf.DUMMYFUNCTION("""COMPUTED_VALUE"""),"Dartmouth, Nova-Scotia, Canada
Parrsboro, Nova-Scotia, Canada")</f>
        <v/>
      </c>
      <c r="K17820">
        <f>IFERROR(__xludf.DUMMYFUNCTION("""COMPUTED_VALUE"""),960.53)</f>
        <v/>
      </c>
    </row>
    <row r="17821">
      <c r="J17821">
        <f>IFERROR(__xludf.DUMMYFUNCTION("""COMPUTED_VALUE"""),"Fredericton, New Brunswick, CanadaMoncton, New Brunswick, CanadaHalifax, Nova Scotia, Canada")</f>
        <v/>
      </c>
      <c r="K17821">
        <f>IFERROR(__xludf.DUMMYFUNCTION("""COMPUTED_VALUE"""),960.32)</f>
        <v/>
      </c>
    </row>
    <row r="17822">
      <c r="J17822">
        <f>IFERROR(__xludf.DUMMYFUNCTION("""COMPUTED_VALUE"""),"Kipawa, Quebec, Canada - Notre-Dame-Du-Lac, Quebec, Canada - Rouyn Noranda, Quebec, Canada")</f>
        <v/>
      </c>
      <c r="K17822">
        <f>IFERROR(__xludf.DUMMYFUNCTION("""COMPUTED_VALUE"""),959.91)</f>
        <v/>
      </c>
    </row>
    <row r="17823">
      <c r="J17823">
        <f>IFERROR(__xludf.DUMMYFUNCTION("""COMPUTED_VALUE"""),"Toronto, Ontario  Canada")</f>
        <v/>
      </c>
      <c r="K17823">
        <f>IFERROR(__xludf.DUMMYFUNCTION("""COMPUTED_VALUE"""),959.74)</f>
        <v/>
      </c>
    </row>
    <row r="17824">
      <c r="J17824">
        <f>IFERROR(__xludf.DUMMYFUNCTION("""COMPUTED_VALUE"""),"Waterloo Ontario")</f>
        <v/>
      </c>
      <c r="K17824">
        <f>IFERROR(__xludf.DUMMYFUNCTION("""COMPUTED_VALUE"""),959.22)</f>
        <v/>
      </c>
    </row>
    <row r="17825">
      <c r="J17825">
        <f>IFERROR(__xludf.DUMMYFUNCTION("""COMPUTED_VALUE"""),"Shandong, PRC")</f>
        <v/>
      </c>
      <c r="K17825">
        <f>IFERROR(__xludf.DUMMYFUNCTION("""COMPUTED_VALUE"""),958.82)</f>
        <v/>
      </c>
    </row>
    <row r="17826">
      <c r="J17826">
        <f>IFERROR(__xludf.DUMMYFUNCTION("""COMPUTED_VALUE"""),"Vaughan, Toronto, Hamiton, Ontario, Canada")</f>
        <v/>
      </c>
      <c r="K17826">
        <f>IFERROR(__xludf.DUMMYFUNCTION("""COMPUTED_VALUE"""),958.52)</f>
        <v/>
      </c>
    </row>
    <row r="17827">
      <c r="J17827">
        <f>IFERROR(__xludf.DUMMYFUNCTION("""COMPUTED_VALUE"""),"Mississauga, Ontario, Canada; Kitchener, Ontario, Canada; Scarborough, Ontario, Canada; Toronto, Ontario, Canada")</f>
        <v/>
      </c>
      <c r="K17827">
        <f>IFERROR(__xludf.DUMMYFUNCTION("""COMPUTED_VALUE"""),958.03)</f>
        <v/>
      </c>
    </row>
    <row r="17828">
      <c r="J17828">
        <f>IFERROR(__xludf.DUMMYFUNCTION("""COMPUTED_VALUE"""),"Monction, NB")</f>
        <v/>
      </c>
      <c r="K17828">
        <f>IFERROR(__xludf.DUMMYFUNCTION("""COMPUTED_VALUE"""),958.02)</f>
        <v/>
      </c>
    </row>
    <row r="17829">
      <c r="J17829">
        <f>IFERROR(__xludf.DUMMYFUNCTION("""COMPUTED_VALUE"""),"Pickering, ON / York-Simcoe,
ON / Vaughan &amp; Dufferin, ON")</f>
        <v/>
      </c>
      <c r="K17829">
        <f>IFERROR(__xludf.DUMMYFUNCTION("""COMPUTED_VALUE"""),957.96)</f>
        <v/>
      </c>
    </row>
    <row r="17830">
      <c r="J17830">
        <f>IFERROR(__xludf.DUMMYFUNCTION("""COMPUTED_VALUE"""),"Shebrooke, Quebec")</f>
        <v/>
      </c>
      <c r="K17830">
        <f>IFERROR(__xludf.DUMMYFUNCTION("""COMPUTED_VALUE"""),957.84)</f>
        <v/>
      </c>
    </row>
    <row r="17831">
      <c r="J17831">
        <f>IFERROR(__xludf.DUMMYFUNCTION("""COMPUTED_VALUE"""),"Banff, Alberta and Prince Albert, Saskatchewan")</f>
        <v/>
      </c>
      <c r="K17831">
        <f>IFERROR(__xludf.DUMMYFUNCTION("""COMPUTED_VALUE"""),956.94)</f>
        <v/>
      </c>
    </row>
    <row r="17832">
      <c r="J17832">
        <f>IFERROR(__xludf.DUMMYFUNCTION("""COMPUTED_VALUE"""),"Quebec-Montréal-Québec")</f>
        <v/>
      </c>
      <c r="K17832">
        <f>IFERROR(__xludf.DUMMYFUNCTION("""COMPUTED_VALUE"""),956.94)</f>
        <v/>
      </c>
    </row>
    <row r="17833">
      <c r="J17833">
        <f>IFERROR(__xludf.DUMMYFUNCTION("""COMPUTED_VALUE"""),"Taormina in Italy")</f>
        <v/>
      </c>
      <c r="K17833">
        <f>IFERROR(__xludf.DUMMYFUNCTION("""COMPUTED_VALUE"""),956.64)</f>
        <v/>
      </c>
    </row>
    <row r="17834">
      <c r="J17834">
        <f>IFERROR(__xludf.DUMMYFUNCTION("""COMPUTED_VALUE"""),"Russell, Manitoba, Canada")</f>
        <v/>
      </c>
      <c r="K17834">
        <f>IFERROR(__xludf.DUMMYFUNCTION("""COMPUTED_VALUE"""),956.39)</f>
        <v/>
      </c>
    </row>
    <row r="17835">
      <c r="J17835">
        <f>IFERROR(__xludf.DUMMYFUNCTION("""COMPUTED_VALUE"""),"Chicoutimi, Quebec, Canada; Montréal, Quebec, Canada; Québec, Quebec, Canada; Bagotville, Quebec, Canada; Sainte-Foy, Quebec, Canada; Québec, Quebec, Canada")</f>
        <v/>
      </c>
      <c r="K17835">
        <f>IFERROR(__xludf.DUMMYFUNCTION("""COMPUTED_VALUE"""),956.23)</f>
        <v/>
      </c>
    </row>
    <row r="17836">
      <c r="J17836">
        <f>IFERROR(__xludf.DUMMYFUNCTION("""COMPUTED_VALUE"""),"Hamilton. ON")</f>
        <v/>
      </c>
      <c r="K17836">
        <f>IFERROR(__xludf.DUMMYFUNCTION("""COMPUTED_VALUE"""),956.01)</f>
        <v/>
      </c>
    </row>
    <row r="17837">
      <c r="J17837">
        <f>IFERROR(__xludf.DUMMYFUNCTION("""COMPUTED_VALUE"""),"TORONTO - ONTARIO")</f>
        <v/>
      </c>
      <c r="K17837">
        <f>IFERROR(__xludf.DUMMYFUNCTION("""COMPUTED_VALUE"""),956)</f>
        <v/>
      </c>
    </row>
    <row r="17838">
      <c r="J17838">
        <f>IFERROR(__xludf.DUMMYFUNCTION("""COMPUTED_VALUE"""),"London and Kitchener,  Ontario")</f>
        <v/>
      </c>
      <c r="K17838">
        <f>IFERROR(__xludf.DUMMYFUNCTION("""COMPUTED_VALUE"""),955.67)</f>
        <v/>
      </c>
    </row>
    <row r="17839">
      <c r="J17839">
        <f>IFERROR(__xludf.DUMMYFUNCTION("""COMPUTED_VALUE"""),"Donnacona Institution                                    Donnacona, Quebec, Canada                                                                                         Drummond Institution                           Drummondville, Quebec, CanadaSainte-A"&amp;"nne-des-Plaines Institution                    Sainte-Anne-des-Plaines, Quebec, CanadaCentre Fédéral de Formation Institution                     Laval, Quebec, Canada")</f>
        <v/>
      </c>
      <c r="K17839">
        <f>IFERROR(__xludf.DUMMYFUNCTION("""COMPUTED_VALUE"""),955.42)</f>
        <v/>
      </c>
    </row>
    <row r="17840">
      <c r="J17840">
        <f>IFERROR(__xludf.DUMMYFUNCTION("""COMPUTED_VALUE"""),"Grande Prarie, Alberta, Canada")</f>
        <v/>
      </c>
      <c r="K17840">
        <f>IFERROR(__xludf.DUMMYFUNCTION("""COMPUTED_VALUE"""),955.07)</f>
        <v/>
      </c>
    </row>
    <row r="17841">
      <c r="J17841">
        <f>IFERROR(__xludf.DUMMYFUNCTION("""COMPUTED_VALUE"""),"Oakville Niagara, Ontario, Canada")</f>
        <v/>
      </c>
      <c r="K17841">
        <f>IFERROR(__xludf.DUMMYFUNCTION("""COMPUTED_VALUE"""),954.94)</f>
        <v/>
      </c>
    </row>
    <row r="17842">
      <c r="J17842">
        <f>IFERROR(__xludf.DUMMYFUNCTION("""COMPUTED_VALUE"""),"Ottawa, ON, Quebec, QC")</f>
        <v/>
      </c>
      <c r="K17842">
        <f>IFERROR(__xludf.DUMMYFUNCTION("""COMPUTED_VALUE"""),954.57)</f>
        <v/>
      </c>
    </row>
    <row r="17843">
      <c r="J17843">
        <f>IFERROR(__xludf.DUMMYFUNCTION("""COMPUTED_VALUE"""),"Ottawa, Ontario,  Canada")</f>
        <v/>
      </c>
      <c r="K17843">
        <f>IFERROR(__xludf.DUMMYFUNCTION("""COMPUTED_VALUE"""),954.47)</f>
        <v/>
      </c>
    </row>
    <row r="17844">
      <c r="J17844">
        <f>IFERROR(__xludf.DUMMYFUNCTION("""COMPUTED_VALUE"""),"Red Deer, Medicine Hat, Lethbridge, Alberta, Canada")</f>
        <v/>
      </c>
      <c r="K17844">
        <f>IFERROR(__xludf.DUMMYFUNCTION("""COMPUTED_VALUE"""),953.68)</f>
        <v/>
      </c>
    </row>
    <row r="17845">
      <c r="J17845">
        <f>IFERROR(__xludf.DUMMYFUNCTION("""COMPUTED_VALUE"""),"Nice - France")</f>
        <v/>
      </c>
      <c r="K17845">
        <f>IFERROR(__xludf.DUMMYFUNCTION("""COMPUTED_VALUE"""),953.26)</f>
        <v/>
      </c>
    </row>
    <row r="17846">
      <c r="J17846">
        <f>IFERROR(__xludf.DUMMYFUNCTION("""COMPUTED_VALUE"""),"Akwesasne, New York, United States")</f>
        <v/>
      </c>
      <c r="K17846">
        <f>IFERROR(__xludf.DUMMYFUNCTION("""COMPUTED_VALUE"""),953.04)</f>
        <v/>
      </c>
    </row>
    <row r="17847">
      <c r="J17847">
        <f>IFERROR(__xludf.DUMMYFUNCTION("""COMPUTED_VALUE"""),"CFC Toronto, ON")</f>
        <v/>
      </c>
      <c r="K17847">
        <f>IFERROR(__xludf.DUMMYFUNCTION("""COMPUTED_VALUE"""),952.41)</f>
        <v/>
      </c>
    </row>
    <row r="17848">
      <c r="J17848">
        <f>IFERROR(__xludf.DUMMYFUNCTION("""COMPUTED_VALUE"""),"London and Brampton, On")</f>
        <v/>
      </c>
      <c r="K17848">
        <f>IFERROR(__xludf.DUMMYFUNCTION("""COMPUTED_VALUE"""),952.31)</f>
        <v/>
      </c>
    </row>
    <row r="17849">
      <c r="J17849">
        <f>IFERROR(__xludf.DUMMYFUNCTION("""COMPUTED_VALUE"""),"Trois-Rivières / Québec")</f>
        <v/>
      </c>
      <c r="K17849">
        <f>IFERROR(__xludf.DUMMYFUNCTION("""COMPUTED_VALUE"""),952.06)</f>
        <v/>
      </c>
    </row>
    <row r="17850">
      <c r="J17850">
        <f>IFERROR(__xludf.DUMMYFUNCTION("""COMPUTED_VALUE"""),"from Edmonton, AB to Ottawa, ON")</f>
        <v/>
      </c>
      <c r="K17850">
        <f>IFERROR(__xludf.DUMMYFUNCTION("""COMPUTED_VALUE"""),951.7)</f>
        <v/>
      </c>
    </row>
    <row r="17851">
      <c r="J17851">
        <f>IFERROR(__xludf.DUMMYFUNCTION("""COMPUTED_VALUE"""),"Banff, Alberta and Fort Battleford, Saskatchewan")</f>
        <v/>
      </c>
      <c r="K17851">
        <f>IFERROR(__xludf.DUMMYFUNCTION("""COMPUTED_VALUE"""),951.65)</f>
        <v/>
      </c>
    </row>
    <row r="17852">
      <c r="J17852">
        <f>IFERROR(__xludf.DUMMYFUNCTION("""COMPUTED_VALUE"""),"Esprit-Saint, Quebec, Canada; La Pocatière, Quebec, Canada; Montmagny, Quebec, Canada; Berthier-sur-Mer, Quebec, Canada; Thetford Mines, Quebec, Canada; Saint-Hyacinthe, Quebec, Canada; Saint-Fulgence, Quebec, Canada")</f>
        <v/>
      </c>
      <c r="K17852">
        <f>IFERROR(__xludf.DUMMYFUNCTION("""COMPUTED_VALUE"""),951.05)</f>
        <v/>
      </c>
    </row>
    <row r="17853">
      <c r="J17853">
        <f>IFERROR(__xludf.DUMMYFUNCTION("""COMPUTED_VALUE"""),"Richmond Hill, Ontario /
Toronto, Ontario")</f>
        <v/>
      </c>
      <c r="K17853">
        <f>IFERROR(__xludf.DUMMYFUNCTION("""COMPUTED_VALUE"""),951.01)</f>
        <v/>
      </c>
    </row>
    <row r="17854">
      <c r="J17854">
        <f>IFERROR(__xludf.DUMMYFUNCTION("""COMPUTED_VALUE"""),"Toronto, Missisauga, North York")</f>
        <v/>
      </c>
      <c r="K17854">
        <f>IFERROR(__xludf.DUMMYFUNCTION("""COMPUTED_VALUE"""),950.92)</f>
        <v/>
      </c>
    </row>
    <row r="17855">
      <c r="J17855">
        <f>IFERROR(__xludf.DUMMYFUNCTION("""COMPUTED_VALUE"""),"Toronto, ON / Mississauga, ON")</f>
        <v/>
      </c>
      <c r="K17855">
        <f>IFERROR(__xludf.DUMMYFUNCTION("""COMPUTED_VALUE"""),950.88)</f>
        <v/>
      </c>
    </row>
    <row r="17856">
      <c r="J17856">
        <f>IFERROR(__xludf.DUMMYFUNCTION("""COMPUTED_VALUE"""),"Montreal and Sherbrooke, QC")</f>
        <v/>
      </c>
      <c r="K17856">
        <f>IFERROR(__xludf.DUMMYFUNCTION("""COMPUTED_VALUE"""),949.74)</f>
        <v/>
      </c>
    </row>
    <row r="17857">
      <c r="J17857">
        <f>IFERROR(__xludf.DUMMYFUNCTION("""COMPUTED_VALUE"""),"Williams Lake, BC")</f>
        <v/>
      </c>
      <c r="K17857">
        <f>IFERROR(__xludf.DUMMYFUNCTION("""COMPUTED_VALUE"""),949.54)</f>
        <v/>
      </c>
    </row>
    <row r="17858">
      <c r="J17858">
        <f>IFERROR(__xludf.DUMMYFUNCTION("""COMPUTED_VALUE"""),"Rszewow, Poland")</f>
        <v/>
      </c>
      <c r="K17858">
        <f>IFERROR(__xludf.DUMMYFUNCTION("""COMPUTED_VALUE"""),949.3)</f>
        <v/>
      </c>
    </row>
    <row r="17859">
      <c r="J17859">
        <f>IFERROR(__xludf.DUMMYFUNCTION("""COMPUTED_VALUE"""),"Kelowna, British Columbia, Canada; Edmonton, Alberta, Canada")</f>
        <v/>
      </c>
      <c r="K17859">
        <f>IFERROR(__xludf.DUMMYFUNCTION("""COMPUTED_VALUE"""),949.12)</f>
        <v/>
      </c>
    </row>
    <row r="17860">
      <c r="J17860">
        <f>IFERROR(__xludf.DUMMYFUNCTION("""COMPUTED_VALUE"""),"Sherbroioke and Montreal")</f>
        <v/>
      </c>
      <c r="K17860">
        <f>IFERROR(__xludf.DUMMYFUNCTION("""COMPUTED_VALUE"""),948.28)</f>
        <v/>
      </c>
    </row>
    <row r="17861">
      <c r="J17861">
        <f>IFERROR(__xludf.DUMMYFUNCTION("""COMPUTED_VALUE"""),"Grenoble")</f>
        <v/>
      </c>
      <c r="K17861">
        <f>IFERROR(__xludf.DUMMYFUNCTION("""COMPUTED_VALUE"""),948.27)</f>
        <v/>
      </c>
    </row>
    <row r="17862">
      <c r="J17862">
        <f>IFERROR(__xludf.DUMMYFUNCTION("""COMPUTED_VALUE"""),"Jonquière, Quebec, Canada; Alma, Quebec, Canada")</f>
        <v/>
      </c>
      <c r="K17862">
        <f>IFERROR(__xludf.DUMMYFUNCTION("""COMPUTED_VALUE"""),948.05)</f>
        <v/>
      </c>
    </row>
    <row r="17863">
      <c r="J17863">
        <f>IFERROR(__xludf.DUMMYFUNCTION("""COMPUTED_VALUE"""),"Winnipeg, MB; Kingston, ON")</f>
        <v/>
      </c>
      <c r="K17863">
        <f>IFERROR(__xludf.DUMMYFUNCTION("""COMPUTED_VALUE"""),947.76)</f>
        <v/>
      </c>
    </row>
    <row r="17864">
      <c r="J17864">
        <f>IFERROR(__xludf.DUMMYFUNCTION("""COMPUTED_VALUE"""),"Niagra, Ontario")</f>
        <v/>
      </c>
      <c r="K17864">
        <f>IFERROR(__xludf.DUMMYFUNCTION("""COMPUTED_VALUE"""),947.63)</f>
        <v/>
      </c>
    </row>
    <row r="17865">
      <c r="J17865">
        <f>IFERROR(__xludf.DUMMYFUNCTION("""COMPUTED_VALUE"""),"Syracuse, United States")</f>
        <v/>
      </c>
      <c r="K17865">
        <f>IFERROR(__xludf.DUMMYFUNCTION("""COMPUTED_VALUE"""),947.62)</f>
        <v/>
      </c>
    </row>
    <row r="17866">
      <c r="J17866">
        <f>IFERROR(__xludf.DUMMYFUNCTION("""COMPUTED_VALUE"""),"Gatineau, Quebec / Charlottetown, Prince Edward Island")</f>
        <v/>
      </c>
      <c r="K17866">
        <f>IFERROR(__xludf.DUMMYFUNCTION("""COMPUTED_VALUE"""),947.54)</f>
        <v/>
      </c>
    </row>
    <row r="17867">
      <c r="J17867">
        <f>IFERROR(__xludf.DUMMYFUNCTION("""COMPUTED_VALUE"""),"Warsaw PL, Kyiv UA, Wroclaw PL")</f>
        <v/>
      </c>
      <c r="K17867">
        <f>IFERROR(__xludf.DUMMYFUNCTION("""COMPUTED_VALUE"""),946.39)</f>
        <v/>
      </c>
    </row>
    <row r="17868">
      <c r="J17868">
        <f>IFERROR(__xludf.DUMMYFUNCTION("""COMPUTED_VALUE"""),"Toronto, Ontario, Canada /
Kitchener, Ontario, Canada /
Waterloo, Ontario, Canada")</f>
        <v/>
      </c>
      <c r="K17868">
        <f>IFERROR(__xludf.DUMMYFUNCTION("""COMPUTED_VALUE"""),946.21)</f>
        <v/>
      </c>
    </row>
    <row r="17869">
      <c r="J17869">
        <f>IFERROR(__xludf.DUMMYFUNCTION("""COMPUTED_VALUE"""),"La Tuque")</f>
        <v/>
      </c>
      <c r="K17869">
        <f>IFERROR(__xludf.DUMMYFUNCTION("""COMPUTED_VALUE"""),946.02)</f>
        <v/>
      </c>
    </row>
    <row r="17870">
      <c r="J17870">
        <f>IFERROR(__xludf.DUMMYFUNCTION("""COMPUTED_VALUE"""),"Saskatoon, Saskatchewan, Canada; Halton, Ontario, Canada; Alliston, Ontario, Canada")</f>
        <v/>
      </c>
      <c r="K17870">
        <f>IFERROR(__xludf.DUMMYFUNCTION("""COMPUTED_VALUE"""),945.07)</f>
        <v/>
      </c>
    </row>
    <row r="17871">
      <c r="J17871">
        <f>IFERROR(__xludf.DUMMYFUNCTION("""COMPUTED_VALUE"""),"Orillia, ON / Oshawa, ON")</f>
        <v/>
      </c>
      <c r="K17871">
        <f>IFERROR(__xludf.DUMMYFUNCTION("""COMPUTED_VALUE"""),945.04)</f>
        <v/>
      </c>
    </row>
    <row r="17872">
      <c r="J17872">
        <f>IFERROR(__xludf.DUMMYFUNCTION("""COMPUTED_VALUE"""),"St-Foy, Quebec, Canada")</f>
        <v/>
      </c>
      <c r="K17872">
        <f>IFERROR(__xludf.DUMMYFUNCTION("""COMPUTED_VALUE"""),944.979999999999)</f>
        <v/>
      </c>
    </row>
    <row r="17873">
      <c r="J17873">
        <f>IFERROR(__xludf.DUMMYFUNCTION("""COMPUTED_VALUE"""),"La Tuque, Quebec, Canada")</f>
        <v/>
      </c>
      <c r="K17873">
        <f>IFERROR(__xludf.DUMMYFUNCTION("""COMPUTED_VALUE"""),944.86)</f>
        <v/>
      </c>
    </row>
    <row r="17874">
      <c r="J17874">
        <f>IFERROR(__xludf.DUMMYFUNCTION("""COMPUTED_VALUE"""),"Ottawa, Ontario; Gatineau, Quebec")</f>
        <v/>
      </c>
      <c r="K17874">
        <f>IFERROR(__xludf.DUMMYFUNCTION("""COMPUTED_VALUE"""),944.85)</f>
        <v/>
      </c>
    </row>
    <row r="17875">
      <c r="J17875">
        <f>IFERROR(__xludf.DUMMYFUNCTION("""COMPUTED_VALUE"""),"Ottawa, ON to Toronto, ON and Toronto, ON to Ottawa, ON")</f>
        <v/>
      </c>
      <c r="K17875">
        <f>IFERROR(__xludf.DUMMYFUNCTION("""COMPUTED_VALUE"""),944.34)</f>
        <v/>
      </c>
    </row>
    <row r="17876">
      <c r="J17876">
        <f>IFERROR(__xludf.DUMMYFUNCTION("""COMPUTED_VALUE"""),"Wendake, Quebec")</f>
        <v/>
      </c>
      <c r="K17876">
        <f>IFERROR(__xludf.DUMMYFUNCTION("""COMPUTED_VALUE"""),944.31)</f>
        <v/>
      </c>
    </row>
    <row r="17877">
      <c r="J17877">
        <f>IFERROR(__xludf.DUMMYFUNCTION("""COMPUTED_VALUE"""),"Toronto, Ontario;
Gravenhurst, Ontario")</f>
        <v/>
      </c>
      <c r="K17877">
        <f>IFERROR(__xludf.DUMMYFUNCTION("""COMPUTED_VALUE"""),944.04)</f>
        <v/>
      </c>
    </row>
    <row r="17878">
      <c r="J17878">
        <f>IFERROR(__xludf.DUMMYFUNCTION("""COMPUTED_VALUE"""),"Montreal, Quebec
Canada")</f>
        <v/>
      </c>
      <c r="K17878">
        <f>IFERROR(__xludf.DUMMYFUNCTION("""COMPUTED_VALUE"""),943.99)</f>
        <v/>
      </c>
    </row>
    <row r="17879">
      <c r="J17879">
        <f>IFERROR(__xludf.DUMMYFUNCTION("""COMPUTED_VALUE"""),"Montréal, Sept-Iles")</f>
        <v/>
      </c>
      <c r="K17879">
        <f>IFERROR(__xludf.DUMMYFUNCTION("""COMPUTED_VALUE"""),943.28)</f>
        <v/>
      </c>
    </row>
    <row r="17880">
      <c r="J17880">
        <f>IFERROR(__xludf.DUMMYFUNCTION("""COMPUTED_VALUE"""),"Moncton and Quebec, New Brunswick and Quebec, Canada")</f>
        <v/>
      </c>
      <c r="K17880">
        <f>IFERROR(__xludf.DUMMYFUNCTION("""COMPUTED_VALUE"""),942.99)</f>
        <v/>
      </c>
    </row>
    <row r="17881">
      <c r="J17881">
        <f>IFERROR(__xludf.DUMMYFUNCTION("""COMPUTED_VALUE"""),"HUBBARDS, NE")</f>
        <v/>
      </c>
      <c r="K17881">
        <f>IFERROR(__xludf.DUMMYFUNCTION("""COMPUTED_VALUE"""),942.89)</f>
        <v/>
      </c>
    </row>
    <row r="17882">
      <c r="J17882">
        <f>IFERROR(__xludf.DUMMYFUNCTION("""COMPUTED_VALUE"""),"Guelph, Ontario, Canada; Chatham, Ontario, Canada; Toronto, Ontario, Canada")</f>
        <v/>
      </c>
      <c r="K17882">
        <f>IFERROR(__xludf.DUMMYFUNCTION("""COMPUTED_VALUE"""),942.8)</f>
        <v/>
      </c>
    </row>
    <row r="17883">
      <c r="J17883">
        <f>IFERROR(__xludf.DUMMYFUNCTION("""COMPUTED_VALUE"""),"Charlottetown, PEI, North Bedeque, PEI and Montague, PEI")</f>
        <v/>
      </c>
      <c r="K17883">
        <f>IFERROR(__xludf.DUMMYFUNCTION("""COMPUTED_VALUE"""),942.74)</f>
        <v/>
      </c>
    </row>
    <row r="17884">
      <c r="J17884">
        <f>IFERROR(__xludf.DUMMYFUNCTION("""COMPUTED_VALUE"""),"Waterloo and Toronto")</f>
        <v/>
      </c>
      <c r="K17884">
        <f>IFERROR(__xludf.DUMMYFUNCTION("""COMPUTED_VALUE"""),942.59)</f>
        <v/>
      </c>
    </row>
    <row r="17885">
      <c r="J17885">
        <f>IFERROR(__xludf.DUMMYFUNCTION("""COMPUTED_VALUE"""),"Downsview/Burlington, Ontario")</f>
        <v/>
      </c>
      <c r="K17885">
        <f>IFERROR(__xludf.DUMMYFUNCTION("""COMPUTED_VALUE"""),942.47)</f>
        <v/>
      </c>
    </row>
    <row r="17886">
      <c r="J17886">
        <f>IFERROR(__xludf.DUMMYFUNCTION("""COMPUTED_VALUE"""),"La Tuque et Trois-Rivières, (Quebec)")</f>
        <v/>
      </c>
      <c r="K17886">
        <f>IFERROR(__xludf.DUMMYFUNCTION("""COMPUTED_VALUE"""),942)</f>
        <v/>
      </c>
    </row>
    <row r="17887">
      <c r="J17887">
        <f>IFERROR(__xludf.DUMMYFUNCTION("""COMPUTED_VALUE"""),"Charlottetown, Prince Edward Island, Canada; Montague, Prince Edward Island, Canada; Halifax, Nova Scotia, Canada")</f>
        <v/>
      </c>
      <c r="K17887">
        <f>IFERROR(__xludf.DUMMYFUNCTION("""COMPUTED_VALUE"""),941.57)</f>
        <v/>
      </c>
    </row>
    <row r="17888">
      <c r="J17888">
        <f>IFERROR(__xludf.DUMMYFUNCTION("""COMPUTED_VALUE"""),"Scarborough, Ontario and Niagara-on-the-Lake, Ontario")</f>
        <v/>
      </c>
      <c r="K17888">
        <f>IFERROR(__xludf.DUMMYFUNCTION("""COMPUTED_VALUE"""),941.1)</f>
        <v/>
      </c>
    </row>
    <row r="17889">
      <c r="J17889">
        <f>IFERROR(__xludf.DUMMYFUNCTION("""COMPUTED_VALUE"""),"Winnipeg, MB; Edmonton, AB")</f>
        <v/>
      </c>
      <c r="K17889">
        <f>IFERROR(__xludf.DUMMYFUNCTION("""COMPUTED_VALUE"""),940.72)</f>
        <v/>
      </c>
    </row>
    <row r="17890">
      <c r="J17890">
        <f>IFERROR(__xludf.DUMMYFUNCTION("""COMPUTED_VALUE"""),"Wanuskewin, Saskatchewan")</f>
        <v/>
      </c>
      <c r="K17890">
        <f>IFERROR(__xludf.DUMMYFUNCTION("""COMPUTED_VALUE"""),939.96)</f>
        <v/>
      </c>
    </row>
    <row r="17891">
      <c r="J17891">
        <f>IFERROR(__xludf.DUMMYFUNCTION("""COMPUTED_VALUE"""),"Burlington, Ontario, Canada                               Toronto, Ontario, Canada")</f>
        <v/>
      </c>
      <c r="K17891">
        <f>IFERROR(__xludf.DUMMYFUNCTION("""COMPUTED_VALUE"""),939.89)</f>
        <v/>
      </c>
    </row>
    <row r="17892">
      <c r="J17892">
        <f>IFERROR(__xludf.DUMMYFUNCTION("""COMPUTED_VALUE"""),"Kanata")</f>
        <v/>
      </c>
      <c r="K17892">
        <f>IFERROR(__xludf.DUMMYFUNCTION("""COMPUTED_VALUE"""),939.82)</f>
        <v/>
      </c>
    </row>
    <row r="17893">
      <c r="J17893">
        <f>IFERROR(__xludf.DUMMYFUNCTION("""COMPUTED_VALUE"""),"Watson Lake and Teslin, Yukon")</f>
        <v/>
      </c>
      <c r="K17893">
        <f>IFERROR(__xludf.DUMMYFUNCTION("""COMPUTED_VALUE"""),939.74)</f>
        <v/>
      </c>
    </row>
    <row r="17894">
      <c r="J17894">
        <f>IFERROR(__xludf.DUMMYFUNCTION("""COMPUTED_VALUE"""),"Waterloo  and Toronto")</f>
        <v/>
      </c>
      <c r="K17894">
        <f>IFERROR(__xludf.DUMMYFUNCTION("""COMPUTED_VALUE"""),939)</f>
        <v/>
      </c>
    </row>
    <row r="17895">
      <c r="J17895">
        <f>IFERROR(__xludf.DUMMYFUNCTION("""COMPUTED_VALUE"""),"Ottawa, Montréal, Asbestos, Malbaie, Roberval")</f>
        <v/>
      </c>
      <c r="K17895">
        <f>IFERROR(__xludf.DUMMYFUNCTION("""COMPUTED_VALUE"""),938.99)</f>
        <v/>
      </c>
    </row>
    <row r="17896">
      <c r="J17896">
        <f>IFERROR(__xludf.DUMMYFUNCTION("""COMPUTED_VALUE"""),"Fox Harbour, Nova Scotia / Summerside, Prince Edward Island")</f>
        <v/>
      </c>
      <c r="K17896">
        <f>IFERROR(__xludf.DUMMYFUNCTION("""COMPUTED_VALUE"""),938.87)</f>
        <v/>
      </c>
    </row>
    <row r="17897">
      <c r="J17897">
        <f>IFERROR(__xludf.DUMMYFUNCTION("""COMPUTED_VALUE"""),"Charlottetown, Prince Edward Island, Canada; Montague, Prince Edward Island, Canada; Brudenell, Prince Edward Island, Canada")</f>
        <v/>
      </c>
      <c r="K17897">
        <f>IFERROR(__xludf.DUMMYFUNCTION("""COMPUTED_VALUE"""),938.66)</f>
        <v/>
      </c>
    </row>
    <row r="17898">
      <c r="J17898">
        <f>IFERROR(__xludf.DUMMYFUNCTION("""COMPUTED_VALUE"""),"White Sulphur Springs, West Virginia")</f>
        <v/>
      </c>
      <c r="K17898">
        <f>IFERROR(__xludf.DUMMYFUNCTION("""COMPUTED_VALUE"""),938.47)</f>
        <v/>
      </c>
    </row>
    <row r="17899">
      <c r="J17899">
        <f>IFERROR(__xludf.DUMMYFUNCTION("""COMPUTED_VALUE"""),"Dartmouth NS, Nova Scotia, Canada")</f>
        <v/>
      </c>
      <c r="K17899">
        <f>IFERROR(__xludf.DUMMYFUNCTION("""COMPUTED_VALUE"""),938.21)</f>
        <v/>
      </c>
    </row>
    <row r="17900">
      <c r="J17900">
        <f>IFERROR(__xludf.DUMMYFUNCTION("""COMPUTED_VALUE"""),"Gatineau, Qc")</f>
        <v/>
      </c>
      <c r="K17900">
        <f>IFERROR(__xludf.DUMMYFUNCTION("""COMPUTED_VALUE"""),937.8)</f>
        <v/>
      </c>
    </row>
    <row r="17901">
      <c r="J17901">
        <f>IFERROR(__xludf.DUMMYFUNCTION("""COMPUTED_VALUE"""),"Toronto, ON - Sudbury, ON")</f>
        <v/>
      </c>
      <c r="K17901">
        <f>IFERROR(__xludf.DUMMYFUNCTION("""COMPUTED_VALUE"""),937.66)</f>
        <v/>
      </c>
    </row>
    <row r="17902">
      <c r="J17902">
        <f>IFERROR(__xludf.DUMMYFUNCTION("""COMPUTED_VALUE"""),"Cornwall, Ontario, Canada; Trenton, Ontario, Canada; Oshawa, Ontario, Canada")</f>
        <v/>
      </c>
      <c r="K17902">
        <f>IFERROR(__xludf.DUMMYFUNCTION("""COMPUTED_VALUE"""),937.49)</f>
        <v/>
      </c>
    </row>
    <row r="17903">
      <c r="J17903">
        <f>IFERROR(__xludf.DUMMYFUNCTION("""COMPUTED_VALUE"""),"Laval, St-Jérôme, St-Hyacinthe")</f>
        <v/>
      </c>
      <c r="K17903">
        <f>IFERROR(__xludf.DUMMYFUNCTION("""COMPUTED_VALUE"""),936.16)</f>
        <v/>
      </c>
    </row>
    <row r="17904">
      <c r="J17904">
        <f>IFERROR(__xludf.DUMMYFUNCTION("""COMPUTED_VALUE"""),"Orleans, Ottawa")</f>
        <v/>
      </c>
      <c r="K17904">
        <f>IFERROR(__xludf.DUMMYFUNCTION("""COMPUTED_VALUE"""),936.11)</f>
        <v/>
      </c>
    </row>
    <row r="17905">
      <c r="J17905">
        <f>IFERROR(__xludf.DUMMYFUNCTION("""COMPUTED_VALUE"""),"Saint Raphael france")</f>
        <v/>
      </c>
      <c r="K17905">
        <f>IFERROR(__xludf.DUMMYFUNCTION("""COMPUTED_VALUE"""),935.88)</f>
        <v/>
      </c>
    </row>
    <row r="17906">
      <c r="J17906">
        <f>IFERROR(__xludf.DUMMYFUNCTION("""COMPUTED_VALUE"""),"St-Hubert, Québec, Canada")</f>
        <v/>
      </c>
      <c r="K17906">
        <f>IFERROR(__xludf.DUMMYFUNCTION("""COMPUTED_VALUE"""),935.86)</f>
        <v/>
      </c>
    </row>
    <row r="17907">
      <c r="J17907">
        <f>IFERROR(__xludf.DUMMYFUNCTION("""COMPUTED_VALUE"""),"Montreal,              Quebec")</f>
        <v/>
      </c>
      <c r="K17907">
        <f>IFERROR(__xludf.DUMMYFUNCTION("""COMPUTED_VALUE"""),935.8)</f>
        <v/>
      </c>
    </row>
    <row r="17908">
      <c r="J17908">
        <f>IFERROR(__xludf.DUMMYFUNCTION("""COMPUTED_VALUE"""),"KINGSTON")</f>
        <v/>
      </c>
      <c r="K17908">
        <f>IFERROR(__xludf.DUMMYFUNCTION("""COMPUTED_VALUE"""),935.7)</f>
        <v/>
      </c>
    </row>
    <row r="17909">
      <c r="J17909">
        <f>IFERROR(__xludf.DUMMYFUNCTION("""COMPUTED_VALUE"""),"Temiskaming Shores, Ontario, Canada")</f>
        <v/>
      </c>
      <c r="K17909">
        <f>IFERROR(__xludf.DUMMYFUNCTION("""COMPUTED_VALUE"""),935.67)</f>
        <v/>
      </c>
    </row>
    <row r="17910">
      <c r="J17910">
        <f>IFERROR(__xludf.DUMMYFUNCTION("""COMPUTED_VALUE"""),"Dartmouth, Halifax and Truro, Nova Scotia")</f>
        <v/>
      </c>
      <c r="K17910">
        <f>IFERROR(__xludf.DUMMYFUNCTION("""COMPUTED_VALUE"""),935.54)</f>
        <v/>
      </c>
    </row>
    <row r="17911">
      <c r="J17911">
        <f>IFERROR(__xludf.DUMMYFUNCTION("""COMPUTED_VALUE"""),"Brossard, Quebec, Canada; Vaudreuil-Dorion, Quebec, Canada")</f>
        <v/>
      </c>
      <c r="K17911">
        <f>IFERROR(__xludf.DUMMYFUNCTION("""COMPUTED_VALUE"""),934.96)</f>
        <v/>
      </c>
    </row>
    <row r="17912">
      <c r="J17912">
        <f>IFERROR(__xludf.DUMMYFUNCTION("""COMPUTED_VALUE"""),"Ottawa/ Toronto, ON")</f>
        <v/>
      </c>
      <c r="K17912">
        <f>IFERROR(__xludf.DUMMYFUNCTION("""COMPUTED_VALUE"""),934.88)</f>
        <v/>
      </c>
    </row>
    <row r="17913">
      <c r="J17913">
        <f>IFERROR(__xludf.DUMMYFUNCTION("""COMPUTED_VALUE"""),"Vancouver, British Columbia, Canada; Hamilton, Ontario, Canada")</f>
        <v/>
      </c>
      <c r="K17913">
        <f>IFERROR(__xludf.DUMMYFUNCTION("""COMPUTED_VALUE"""),934.54)</f>
        <v/>
      </c>
    </row>
    <row r="17914">
      <c r="J17914">
        <f>IFERROR(__xludf.DUMMYFUNCTION("""COMPUTED_VALUE"""),"Montreal, Quebec, Camada")</f>
        <v/>
      </c>
      <c r="K17914">
        <f>IFERROR(__xludf.DUMMYFUNCTION("""COMPUTED_VALUE"""),934.29)</f>
        <v/>
      </c>
    </row>
    <row r="17915">
      <c r="J17915">
        <f>IFERROR(__xludf.DUMMYFUNCTION("""COMPUTED_VALUE"""),"Toronto, Oakville and Mississauga, ON")</f>
        <v/>
      </c>
      <c r="K17915">
        <f>IFERROR(__xludf.DUMMYFUNCTION("""COMPUTED_VALUE"""),934.27)</f>
        <v/>
      </c>
    </row>
    <row r="17916">
      <c r="J17916">
        <f>IFERROR(__xludf.DUMMYFUNCTION("""COMPUTED_VALUE"""),"Regina, Saskatechewan, Canada")</f>
        <v/>
      </c>
      <c r="K17916">
        <f>IFERROR(__xludf.DUMMYFUNCTION("""COMPUTED_VALUE"""),934.05)</f>
        <v/>
      </c>
    </row>
    <row r="17917">
      <c r="J17917">
        <f>IFERROR(__xludf.DUMMYFUNCTION("""COMPUTED_VALUE"""),"Moncton, New Brunswick, and Annapolis Royal and Meteghan, Nova Scotia")</f>
        <v/>
      </c>
      <c r="K17917">
        <f>IFERROR(__xludf.DUMMYFUNCTION("""COMPUTED_VALUE"""),933.55)</f>
        <v/>
      </c>
    </row>
    <row r="17918">
      <c r="J17918">
        <f>IFERROR(__xludf.DUMMYFUNCTION("""COMPUTED_VALUE"""),"Valcartier,Quebec")</f>
        <v/>
      </c>
      <c r="K17918">
        <f>IFERROR(__xludf.DUMMYFUNCTION("""COMPUTED_VALUE"""),933.41)</f>
        <v/>
      </c>
    </row>
    <row r="17919">
      <c r="J17919">
        <f>IFERROR(__xludf.DUMMYFUNCTION("""COMPUTED_VALUE"""),"Moose Jaw, Saskatchewan and Comox, BC, CA")</f>
        <v/>
      </c>
      <c r="K17919">
        <f>IFERROR(__xludf.DUMMYFUNCTION("""COMPUTED_VALUE"""),933.17)</f>
        <v/>
      </c>
    </row>
    <row r="17920">
      <c r="J17920">
        <f>IFERROR(__xludf.DUMMYFUNCTION("""COMPUTED_VALUE"""),"Saguenay, Quebec, Canada; Gaspé, Quebec, Canada; Drummondville, Quebec, Canada; Longueuil, Quebec, Canada")</f>
        <v/>
      </c>
      <c r="K17920">
        <f>IFERROR(__xludf.DUMMYFUNCTION("""COMPUTED_VALUE"""),932.98)</f>
        <v/>
      </c>
    </row>
    <row r="17921">
      <c r="J17921">
        <f>IFERROR(__xludf.DUMMYFUNCTION("""COMPUTED_VALUE"""),"South Korea, Kazakstan, Mongolia")</f>
        <v/>
      </c>
      <c r="K17921">
        <f>IFERROR(__xludf.DUMMYFUNCTION("""COMPUTED_VALUE"""),932.76)</f>
        <v/>
      </c>
    </row>
    <row r="17922">
      <c r="J17922">
        <f>IFERROR(__xludf.DUMMYFUNCTION("""COMPUTED_VALUE"""),"Sackville, New Brunswick")</f>
        <v/>
      </c>
      <c r="K17922">
        <f>IFERROR(__xludf.DUMMYFUNCTION("""COMPUTED_VALUE"""),932.65)</f>
        <v/>
      </c>
    </row>
    <row r="17923">
      <c r="J17923">
        <f>IFERROR(__xludf.DUMMYFUNCTION("""COMPUTED_VALUE"""),"Jonquiere, Quebec, Canada")</f>
        <v/>
      </c>
      <c r="K17923">
        <f>IFERROR(__xludf.DUMMYFUNCTION("""COMPUTED_VALUE"""),932.44)</f>
        <v/>
      </c>
    </row>
    <row r="17924">
      <c r="J17924">
        <f>IFERROR(__xludf.DUMMYFUNCTION("""COMPUTED_VALUE"""),"Roberval, Bagotville, Montréal, Ottawa")</f>
        <v/>
      </c>
      <c r="K17924">
        <f>IFERROR(__xludf.DUMMYFUNCTION("""COMPUTED_VALUE"""),932.12)</f>
        <v/>
      </c>
    </row>
    <row r="17925">
      <c r="J17925">
        <f>IFERROR(__xludf.DUMMYFUNCTION("""COMPUTED_VALUE"""),"GATINEAU, OTTAWA, Montréal, FREDERICTON, GAGETOWN, FREDERICTON, Montréal, OTTAWA, GATINEAU")</f>
        <v/>
      </c>
      <c r="K17925">
        <f>IFERROR(__xludf.DUMMYFUNCTION("""COMPUTED_VALUE"""),932.02)</f>
        <v/>
      </c>
    </row>
    <row r="17926">
      <c r="J17926">
        <f>IFERROR(__xludf.DUMMYFUNCTION("""COMPUTED_VALUE"""),"Deer Lake, Newfoundland and Labrador, Canada; Corner Brook, Newfoundland and Labrador, Canada")</f>
        <v/>
      </c>
      <c r="K17926">
        <f>IFERROR(__xludf.DUMMYFUNCTION("""COMPUTED_VALUE"""),931.59)</f>
        <v/>
      </c>
    </row>
    <row r="17927">
      <c r="J17927">
        <f>IFERROR(__xludf.DUMMYFUNCTION("""COMPUTED_VALUE"""),"Caen and Rouen (France)")</f>
        <v/>
      </c>
      <c r="K17927">
        <f>IFERROR(__xludf.DUMMYFUNCTION("""COMPUTED_VALUE"""),931.58)</f>
        <v/>
      </c>
    </row>
    <row r="17928">
      <c r="J17928">
        <f>IFERROR(__xludf.DUMMYFUNCTION("""COMPUTED_VALUE"""),"Fort Erie")</f>
        <v/>
      </c>
      <c r="K17928">
        <f>IFERROR(__xludf.DUMMYFUNCTION("""COMPUTED_VALUE"""),931.53)</f>
        <v/>
      </c>
    </row>
    <row r="17929">
      <c r="J17929">
        <f>IFERROR(__xludf.DUMMYFUNCTION("""COMPUTED_VALUE"""),"Etobicoke, ON / Waterloo, ON / Chatham, ON / Windsor, ON")</f>
        <v/>
      </c>
      <c r="K17929">
        <f>IFERROR(__xludf.DUMMYFUNCTION("""COMPUTED_VALUE"""),931.08)</f>
        <v/>
      </c>
    </row>
    <row r="17930">
      <c r="J17930">
        <f>IFERROR(__xludf.DUMMYFUNCTION("""COMPUTED_VALUE"""),"Halifax, NS, and Ottawa, ON")</f>
        <v/>
      </c>
      <c r="K17930">
        <f>IFERROR(__xludf.DUMMYFUNCTION("""COMPUTED_VALUE"""),930.94)</f>
        <v/>
      </c>
    </row>
    <row r="17931">
      <c r="J17931">
        <f>IFERROR(__xludf.DUMMYFUNCTION("""COMPUTED_VALUE"""),"Dusseldorf, Germany")</f>
        <v/>
      </c>
      <c r="K17931">
        <f>IFERROR(__xludf.DUMMYFUNCTION("""COMPUTED_VALUE"""),930.58)</f>
        <v/>
      </c>
    </row>
    <row r="17932">
      <c r="J17932">
        <f>IFERROR(__xludf.DUMMYFUNCTION("""COMPUTED_VALUE"""),"Kelowna, (British Colombia)")</f>
        <v/>
      </c>
      <c r="K17932">
        <f>IFERROR(__xludf.DUMMYFUNCTION("""COMPUTED_VALUE"""),929.53)</f>
        <v/>
      </c>
    </row>
    <row r="17933">
      <c r="J17933">
        <f>IFERROR(__xludf.DUMMYFUNCTION("""COMPUTED_VALUE"""),"Guelph, Ont.")</f>
        <v/>
      </c>
      <c r="K17933">
        <f>IFERROR(__xludf.DUMMYFUNCTION("""COMPUTED_VALUE"""),929.52)</f>
        <v/>
      </c>
    </row>
    <row r="17934">
      <c r="J17934">
        <f>IFERROR(__xludf.DUMMYFUNCTION("""COMPUTED_VALUE"""),"Kitchener &amp; London, ON")</f>
        <v/>
      </c>
      <c r="K17934">
        <f>IFERROR(__xludf.DUMMYFUNCTION("""COMPUTED_VALUE"""),929.21)</f>
        <v/>
      </c>
    </row>
    <row r="17935">
      <c r="J17935">
        <f>IFERROR(__xludf.DUMMYFUNCTION("""COMPUTED_VALUE"""),"Siksika, Alberta; Calgary, Alberta")</f>
        <v/>
      </c>
      <c r="K17935">
        <f>IFERROR(__xludf.DUMMYFUNCTION("""COMPUTED_VALUE"""),928.85)</f>
        <v/>
      </c>
    </row>
    <row r="17936">
      <c r="J17936">
        <f>IFERROR(__xludf.DUMMYFUNCTION("""COMPUTED_VALUE"""),"Magog, Quebec")</f>
        <v/>
      </c>
      <c r="K17936">
        <f>IFERROR(__xludf.DUMMYFUNCTION("""COMPUTED_VALUE"""),928.49)</f>
        <v/>
      </c>
    </row>
    <row r="17937">
      <c r="J17937">
        <f>IFERROR(__xludf.DUMMYFUNCTION("""COMPUTED_VALUE"""),"Oxford, Enlgand")</f>
        <v/>
      </c>
      <c r="K17937">
        <f>IFERROR(__xludf.DUMMYFUNCTION("""COMPUTED_VALUE"""),928.45)</f>
        <v/>
      </c>
    </row>
    <row r="17938">
      <c r="J17938">
        <f>IFERROR(__xludf.DUMMYFUNCTION("""COMPUTED_VALUE"""),"Shawinigan, Montréal and Québec City, Québec")</f>
        <v/>
      </c>
      <c r="K17938">
        <f>IFERROR(__xludf.DUMMYFUNCTION("""COMPUTED_VALUE"""),928.4)</f>
        <v/>
      </c>
    </row>
    <row r="17939">
      <c r="J17939">
        <f>IFERROR(__xludf.DUMMYFUNCTION("""COMPUTED_VALUE"""),"Montreal and Québec, QC")</f>
        <v/>
      </c>
      <c r="K17939">
        <f>IFERROR(__xludf.DUMMYFUNCTION("""COMPUTED_VALUE"""),928.34)</f>
        <v/>
      </c>
    </row>
    <row r="17940">
      <c r="J17940">
        <f>IFERROR(__xludf.DUMMYFUNCTION("""COMPUTED_VALUE"""),"Key West FL, USA &amp; Belize")</f>
        <v/>
      </c>
      <c r="K17940">
        <f>IFERROR(__xludf.DUMMYFUNCTION("""COMPUTED_VALUE"""),927.63)</f>
        <v/>
      </c>
    </row>
    <row r="17941">
      <c r="J17941">
        <f>IFERROR(__xludf.DUMMYFUNCTION("""COMPUTED_VALUE"""),"Victoriaville, Drummondville, Montreal")</f>
        <v/>
      </c>
      <c r="K17941">
        <f>IFERROR(__xludf.DUMMYFUNCTION("""COMPUTED_VALUE"""),927.24)</f>
        <v/>
      </c>
    </row>
    <row r="17942">
      <c r="J17942">
        <f>IFERROR(__xludf.DUMMYFUNCTION("""COMPUTED_VALUE"""),"Windsor and London, Ontario")</f>
        <v/>
      </c>
      <c r="K17942">
        <f>IFERROR(__xludf.DUMMYFUNCTION("""COMPUTED_VALUE"""),926.78)</f>
        <v/>
      </c>
    </row>
    <row r="17943">
      <c r="J17943">
        <f>IFERROR(__xludf.DUMMYFUNCTION("""COMPUTED_VALUE"""),"Gatineau, QC - Quebec City, QC / Quebec City, QC - Gatineau, QC")</f>
        <v/>
      </c>
      <c r="K17943">
        <f>IFERROR(__xludf.DUMMYFUNCTION("""COMPUTED_VALUE"""),926.11)</f>
        <v/>
      </c>
    </row>
    <row r="17944">
      <c r="J17944">
        <f>IFERROR(__xludf.DUMMYFUNCTION("""COMPUTED_VALUE"""),"Fredericton and Eel River, New Brunswick")</f>
        <v/>
      </c>
      <c r="K17944">
        <f>IFERROR(__xludf.DUMMYFUNCTION("""COMPUTED_VALUE"""),926.04)</f>
        <v/>
      </c>
    </row>
    <row r="17945">
      <c r="J17945">
        <f>IFERROR(__xludf.DUMMYFUNCTION("""COMPUTED_VALUE"""),"Motreal, Québec , Canada")</f>
        <v/>
      </c>
      <c r="K17945">
        <f>IFERROR(__xludf.DUMMYFUNCTION("""COMPUTED_VALUE"""),925.63)</f>
        <v/>
      </c>
    </row>
    <row r="17946">
      <c r="J17946">
        <f>IFERROR(__xludf.DUMMYFUNCTION("""COMPUTED_VALUE"""),"Parksville, BC")</f>
        <v/>
      </c>
      <c r="K17946">
        <f>IFERROR(__xludf.DUMMYFUNCTION("""COMPUTED_VALUE"""),925.5)</f>
        <v/>
      </c>
    </row>
    <row r="17947">
      <c r="J17947">
        <f>IFERROR(__xludf.DUMMYFUNCTION("""COMPUTED_VALUE"""),"St. John's, Newfoundland and Labrador, Canada; Halifax, Nova Scotia, Canada; St. John's, Newfoundland and Labrador, Canada; Halifax, Nova Scotia, Canada")</f>
        <v/>
      </c>
      <c r="K17947">
        <f>IFERROR(__xludf.DUMMYFUNCTION("""COMPUTED_VALUE"""),925.45)</f>
        <v/>
      </c>
    </row>
    <row r="17948">
      <c r="J17948">
        <f>IFERROR(__xludf.DUMMYFUNCTION("""COMPUTED_VALUE"""),"Wolfville, Nova Scotia, Canada
Dartmouth, Nova Scotia, Canada")</f>
        <v/>
      </c>
      <c r="K17948">
        <f>IFERROR(__xludf.DUMMYFUNCTION("""COMPUTED_VALUE"""),925.45)</f>
        <v/>
      </c>
    </row>
    <row r="17949">
      <c r="J17949">
        <f>IFERROR(__xludf.DUMMYFUNCTION("""COMPUTED_VALUE"""),"Mexico, Peru and Guatemala")</f>
        <v/>
      </c>
      <c r="K17949">
        <f>IFERROR(__xludf.DUMMYFUNCTION("""COMPUTED_VALUE"""),925.349999999999)</f>
        <v/>
      </c>
    </row>
    <row r="17950">
      <c r="J17950">
        <f>IFERROR(__xludf.DUMMYFUNCTION("""COMPUTED_VALUE"""),"Sillikers, New Brunswick and Halifax, Nova Scotia")</f>
        <v/>
      </c>
      <c r="K17950">
        <f>IFERROR(__xludf.DUMMYFUNCTION("""COMPUTED_VALUE"""),924.93)</f>
        <v/>
      </c>
    </row>
    <row r="17951">
      <c r="J17951">
        <f>IFERROR(__xludf.DUMMYFUNCTION("""COMPUTED_VALUE"""),"St. Vincent")</f>
        <v/>
      </c>
      <c r="K17951">
        <f>IFERROR(__xludf.DUMMYFUNCTION("""COMPUTED_VALUE"""),924.9)</f>
        <v/>
      </c>
    </row>
    <row r="17952">
      <c r="J17952">
        <f>IFERROR(__xludf.DUMMYFUNCTION("""COMPUTED_VALUE"""),"London, Ontario (Ivey School of Business) Cambridge, Ontario (CIGI Canada-Korea Forum)")</f>
        <v/>
      </c>
      <c r="K17952">
        <f>IFERROR(__xludf.DUMMYFUNCTION("""COMPUTED_VALUE"""),923.99)</f>
        <v/>
      </c>
    </row>
    <row r="17953">
      <c r="J17953">
        <f>IFERROR(__xludf.DUMMYFUNCTION("""COMPUTED_VALUE"""),"York, Ontario, Canada; Oshawa, Ontario, Canada")</f>
        <v/>
      </c>
      <c r="K17953">
        <f>IFERROR(__xludf.DUMMYFUNCTION("""COMPUTED_VALUE"""),923.99)</f>
        <v/>
      </c>
    </row>
    <row r="17954">
      <c r="J17954">
        <f>IFERROR(__xludf.DUMMYFUNCTION("""COMPUTED_VALUE"""),"Toronto, ON
Fredericton, NB")</f>
        <v/>
      </c>
      <c r="K17954">
        <f>IFERROR(__xludf.DUMMYFUNCTION("""COMPUTED_VALUE"""),923.32)</f>
        <v/>
      </c>
    </row>
    <row r="17955">
      <c r="J17955">
        <f>IFERROR(__xludf.DUMMYFUNCTION("""COMPUTED_VALUE"""),"Toronto, Ontario, Canada; Delhi, Ontario, Canada")</f>
        <v/>
      </c>
      <c r="K17955">
        <f>IFERROR(__xludf.DUMMYFUNCTION("""COMPUTED_VALUE"""),923.29)</f>
        <v/>
      </c>
    </row>
    <row r="17956">
      <c r="J17956">
        <f>IFERROR(__xludf.DUMMYFUNCTION("""COMPUTED_VALUE"""),"Wateloo, ON")</f>
        <v/>
      </c>
      <c r="K17956">
        <f>IFERROR(__xludf.DUMMYFUNCTION("""COMPUTED_VALUE"""),922.26)</f>
        <v/>
      </c>
    </row>
    <row r="17957">
      <c r="J17957">
        <f>IFERROR(__xludf.DUMMYFUNCTION("""COMPUTED_VALUE"""),"Tillsonburg, ON")</f>
        <v/>
      </c>
      <c r="K17957">
        <f>IFERROR(__xludf.DUMMYFUNCTION("""COMPUTED_VALUE"""),922.06)</f>
        <v/>
      </c>
    </row>
    <row r="17958">
      <c r="J17958">
        <f>IFERROR(__xludf.DUMMYFUNCTION("""COMPUTED_VALUE"""),"FREDERICTON, NEW BRUNSWICK")</f>
        <v/>
      </c>
      <c r="K17958">
        <f>IFERROR(__xludf.DUMMYFUNCTION("""COMPUTED_VALUE"""),922.05)</f>
        <v/>
      </c>
    </row>
    <row r="17959">
      <c r="J17959">
        <f>IFERROR(__xludf.DUMMYFUNCTION("""COMPUTED_VALUE"""),"St-Jean-sur-Richelieu, Sherbrooke, St-Hyacinthe, Quebec")</f>
        <v/>
      </c>
      <c r="K17959">
        <f>IFERROR(__xludf.DUMMYFUNCTION("""COMPUTED_VALUE"""),922.02)</f>
        <v/>
      </c>
    </row>
    <row r="17960">
      <c r="J17960">
        <f>IFERROR(__xludf.DUMMYFUNCTION("""COMPUTED_VALUE"""),"Calgary, AB and Banff, AB, and Okotoks, AB and Claresholm, AB, and Brooks, AB, and Redcliff, AB, and Bow Island, AB, and Taber, AB")</f>
        <v/>
      </c>
      <c r="K17960">
        <f>IFERROR(__xludf.DUMMYFUNCTION("""COMPUTED_VALUE"""),921.92)</f>
        <v/>
      </c>
    </row>
    <row r="17961">
      <c r="J17961">
        <f>IFERROR(__xludf.DUMMYFUNCTION("""COMPUTED_VALUE"""),"Rüschlikon, Switzerland")</f>
        <v/>
      </c>
      <c r="K17961">
        <f>IFERROR(__xludf.DUMMYFUNCTION("""COMPUTED_VALUE"""),921.88)</f>
        <v/>
      </c>
    </row>
    <row r="17962">
      <c r="J17962">
        <f>IFERROR(__xludf.DUMMYFUNCTION("""COMPUTED_VALUE"""),"Nanaimo, BC / Comox, BC")</f>
        <v/>
      </c>
      <c r="K17962">
        <f>IFERROR(__xludf.DUMMYFUNCTION("""COMPUTED_VALUE"""),921.569999999999)</f>
        <v/>
      </c>
    </row>
    <row r="17963">
      <c r="J17963">
        <f>IFERROR(__xludf.DUMMYFUNCTION("""COMPUTED_VALUE"""),"Halifax, Nova Scotia, Canada; Amherst, Nova Scotia, Canada; Truro, Nova Scotia, Canada; Charlottetown, Prince Edward Island, Canada")</f>
        <v/>
      </c>
      <c r="K17963">
        <f>IFERROR(__xludf.DUMMYFUNCTION("""COMPUTED_VALUE"""),921.25)</f>
        <v/>
      </c>
    </row>
    <row r="17964">
      <c r="J17964">
        <f>IFERROR(__xludf.DUMMYFUNCTION("""COMPUTED_VALUE"""),"GATINEAU, OTTAWA, FREDERICTON, OTTAWA, GATINEAU")</f>
        <v/>
      </c>
      <c r="K17964">
        <f>IFERROR(__xludf.DUMMYFUNCTION("""COMPUTED_VALUE"""),920.98)</f>
        <v/>
      </c>
    </row>
    <row r="17965">
      <c r="J17965">
        <f>IFERROR(__xludf.DUMMYFUNCTION("""COMPUTED_VALUE"""),"Montréal, Percé, Québec")</f>
        <v/>
      </c>
      <c r="K17965">
        <f>IFERROR(__xludf.DUMMYFUNCTION("""COMPUTED_VALUE"""),920.93)</f>
        <v/>
      </c>
    </row>
    <row r="17966">
      <c r="J17966">
        <f>IFERROR(__xludf.DUMMYFUNCTION("""COMPUTED_VALUE"""),"Saint-John and Fredericton, New Brunswick, Canada")</f>
        <v/>
      </c>
      <c r="K17966">
        <f>IFERROR(__xludf.DUMMYFUNCTION("""COMPUTED_VALUE"""),920.29)</f>
        <v/>
      </c>
    </row>
    <row r="17967">
      <c r="J17967">
        <f>IFERROR(__xludf.DUMMYFUNCTION("""COMPUTED_VALUE"""),"Toronto, Ontario, Canada.")</f>
        <v/>
      </c>
      <c r="K17967">
        <f>IFERROR(__xludf.DUMMYFUNCTION("""COMPUTED_VALUE"""),920.22)</f>
        <v/>
      </c>
    </row>
    <row r="17968">
      <c r="J17968">
        <f>IFERROR(__xludf.DUMMYFUNCTION("""COMPUTED_VALUE"""),"Moorestown, New Jersey, United States of America")</f>
        <v/>
      </c>
      <c r="K17968">
        <f>IFERROR(__xludf.DUMMYFUNCTION("""COMPUTED_VALUE"""),920.18)</f>
        <v/>
      </c>
    </row>
    <row r="17969">
      <c r="J17969">
        <f>IFERROR(__xludf.DUMMYFUNCTION("""COMPUTED_VALUE"""),"Stephenville, Newfoundland and Labrador, Canada; Port aux Basques, Newfoundland and Labrador, Canada")</f>
        <v/>
      </c>
      <c r="K17969">
        <f>IFERROR(__xludf.DUMMYFUNCTION("""COMPUTED_VALUE"""),920.05)</f>
        <v/>
      </c>
    </row>
    <row r="17970">
      <c r="J17970">
        <f>IFERROR(__xludf.DUMMYFUNCTION("""COMPUTED_VALUE"""),"Naples")</f>
        <v/>
      </c>
      <c r="K17970">
        <f>IFERROR(__xludf.DUMMYFUNCTION("""COMPUTED_VALUE"""),919.89)</f>
        <v/>
      </c>
    </row>
    <row r="17971">
      <c r="J17971">
        <f>IFERROR(__xludf.DUMMYFUNCTION("""COMPUTED_VALUE"""),"Victori/Comox (British Columbia), Canada")</f>
        <v/>
      </c>
      <c r="K17971">
        <f>IFERROR(__xludf.DUMMYFUNCTION("""COMPUTED_VALUE"""),919.85)</f>
        <v/>
      </c>
    </row>
    <row r="17972">
      <c r="J17972">
        <f>IFERROR(__xludf.DUMMYFUNCTION("""COMPUTED_VALUE"""),"Ohsweken, Ontario, Canada")</f>
        <v/>
      </c>
      <c r="K17972">
        <f>IFERROR(__xludf.DUMMYFUNCTION("""COMPUTED_VALUE"""),919.65)</f>
        <v/>
      </c>
    </row>
    <row r="17973">
      <c r="J17973">
        <f>IFERROR(__xludf.DUMMYFUNCTION("""COMPUTED_VALUE"""),"New York, United States; London, United Kingdom")</f>
        <v/>
      </c>
      <c r="K17973">
        <f>IFERROR(__xludf.DUMMYFUNCTION("""COMPUTED_VALUE"""),919.54)</f>
        <v/>
      </c>
    </row>
    <row r="17974">
      <c r="J17974">
        <f>IFERROR(__xludf.DUMMYFUNCTION("""COMPUTED_VALUE"""),"Sherbrooke, Bagotville")</f>
        <v/>
      </c>
      <c r="K17974">
        <f>IFERROR(__xludf.DUMMYFUNCTION("""COMPUTED_VALUE"""),919.48)</f>
        <v/>
      </c>
    </row>
    <row r="17975">
      <c r="J17975">
        <f>IFERROR(__xludf.DUMMYFUNCTION("""COMPUTED_VALUE"""),"Sault Ste-Marie, Winnipeg")</f>
        <v/>
      </c>
      <c r="K17975">
        <f>IFERROR(__xludf.DUMMYFUNCTION("""COMPUTED_VALUE"""),919.47)</f>
        <v/>
      </c>
    </row>
    <row r="17976">
      <c r="J17976">
        <f>IFERROR(__xludf.DUMMYFUNCTION("""COMPUTED_VALUE"""),"Bromont, Quebec, Canada; Drummondville, Quebec, Canada; Montréal, Quebec, Canada; Québec, Quebec, Canada")</f>
        <v/>
      </c>
      <c r="K17976">
        <f>IFERROR(__xludf.DUMMYFUNCTION("""COMPUTED_VALUE"""),918.9)</f>
        <v/>
      </c>
    </row>
    <row r="17977">
      <c r="J17977">
        <f>IFERROR(__xludf.DUMMYFUNCTION("""COMPUTED_VALUE"""),"Sherbrooke, Montreal")</f>
        <v/>
      </c>
      <c r="K17977">
        <f>IFERROR(__xludf.DUMMYFUNCTION("""COMPUTED_VALUE"""),918.839999999999)</f>
        <v/>
      </c>
    </row>
    <row r="17978">
      <c r="J17978">
        <f>IFERROR(__xludf.DUMMYFUNCTION("""COMPUTED_VALUE"""),"Brampton, Ontario, Canada / Montreal, Quebec, Canada")</f>
        <v/>
      </c>
      <c r="K17978">
        <f>IFERROR(__xludf.DUMMYFUNCTION("""COMPUTED_VALUE"""),918.73)</f>
        <v/>
      </c>
    </row>
    <row r="17979">
      <c r="J17979">
        <f>IFERROR(__xludf.DUMMYFUNCTION("""COMPUTED_VALUE"""),"Marystown, Newfoundland and Labrador, Canada")</f>
        <v/>
      </c>
      <c r="K17979">
        <f>IFERROR(__xludf.DUMMYFUNCTION("""COMPUTED_VALUE"""),918.43)</f>
        <v/>
      </c>
    </row>
    <row r="17980">
      <c r="J17980">
        <f>IFERROR(__xludf.DUMMYFUNCTION("""COMPUTED_VALUE"""),"Birmingham, England,  (United Kingdom)")</f>
        <v/>
      </c>
      <c r="K17980">
        <f>IFERROR(__xludf.DUMMYFUNCTION("""COMPUTED_VALUE"""),918.24)</f>
        <v/>
      </c>
    </row>
    <row r="17981">
      <c r="J17981">
        <f>IFERROR(__xludf.DUMMYFUNCTION("""COMPUTED_VALUE"""),"KINGSTON, OTTAWA, FREDERICTON,")</f>
        <v/>
      </c>
      <c r="K17981">
        <f>IFERROR(__xludf.DUMMYFUNCTION("""COMPUTED_VALUE"""),917.91)</f>
        <v/>
      </c>
    </row>
    <row r="17982">
      <c r="J17982">
        <f>IFERROR(__xludf.DUMMYFUNCTION("""COMPUTED_VALUE"""),"Vaughan, Toronto and Hamilton, Ontario, Canada")</f>
        <v/>
      </c>
      <c r="K17982">
        <f>IFERROR(__xludf.DUMMYFUNCTION("""COMPUTED_VALUE"""),917.65)</f>
        <v/>
      </c>
    </row>
    <row r="17983">
      <c r="J17983">
        <f>IFERROR(__xludf.DUMMYFUNCTION("""COMPUTED_VALUE"""),"Mount Revelstoke, British Columbia")</f>
        <v/>
      </c>
      <c r="K17983">
        <f>IFERROR(__xludf.DUMMYFUNCTION("""COMPUTED_VALUE"""),917.49)</f>
        <v/>
      </c>
    </row>
    <row r="17984">
      <c r="J17984">
        <f>IFERROR(__xludf.DUMMYFUNCTION("""COMPUTED_VALUE"""),"Varennes, QC")</f>
        <v/>
      </c>
      <c r="K17984">
        <f>IFERROR(__xludf.DUMMYFUNCTION("""COMPUTED_VALUE"""),917.469999999999)</f>
        <v/>
      </c>
    </row>
    <row r="17985">
      <c r="J17985">
        <f>IFERROR(__xludf.DUMMYFUNCTION("""COMPUTED_VALUE"""),"Thompson, Manitoba, Canada")</f>
        <v/>
      </c>
      <c r="K17985">
        <f>IFERROR(__xludf.DUMMYFUNCTION("""COMPUTED_VALUE"""),917.09)</f>
        <v/>
      </c>
    </row>
    <row r="17986">
      <c r="J17986">
        <f>IFERROR(__xludf.DUMMYFUNCTION("""COMPUTED_VALUE"""),"Listuguj, Quebec, Canada")</f>
        <v/>
      </c>
      <c r="K17986">
        <f>IFERROR(__xludf.DUMMYFUNCTION("""COMPUTED_VALUE"""),916.72)</f>
        <v/>
      </c>
    </row>
    <row r="17987">
      <c r="J17987">
        <f>IFERROR(__xludf.DUMMYFUNCTION("""COMPUTED_VALUE"""),"St-Jean sur Richlieu, Qc")</f>
        <v/>
      </c>
      <c r="K17987">
        <f>IFERROR(__xludf.DUMMYFUNCTION("""COMPUTED_VALUE"""),916.57)</f>
        <v/>
      </c>
    </row>
    <row r="17988">
      <c r="J17988">
        <f>IFERROR(__xludf.DUMMYFUNCTION("""COMPUTED_VALUE"""),"Windsor, Ontario, Canada; Strathroy, Ontario, Canada")</f>
        <v/>
      </c>
      <c r="K17988">
        <f>IFERROR(__xludf.DUMMYFUNCTION("""COMPUTED_VALUE"""),915.62)</f>
        <v/>
      </c>
    </row>
    <row r="17989">
      <c r="J17989">
        <f>IFERROR(__xludf.DUMMYFUNCTION("""COMPUTED_VALUE"""),"Fort Walsh &amp; Val Marie, Saskatchewan")</f>
        <v/>
      </c>
      <c r="K17989">
        <f>IFERROR(__xludf.DUMMYFUNCTION("""COMPUTED_VALUE"""),915.22)</f>
        <v/>
      </c>
    </row>
    <row r="17990">
      <c r="J17990">
        <f>IFERROR(__xludf.DUMMYFUNCTION("""COMPUTED_VALUE"""),"Vancouver, Campbell River and Williams Lake, British Columbia")</f>
        <v/>
      </c>
      <c r="K17990">
        <f>IFERROR(__xludf.DUMMYFUNCTION("""COMPUTED_VALUE"""),915.22)</f>
        <v/>
      </c>
    </row>
    <row r="17991">
      <c r="J17991">
        <f>IFERROR(__xludf.DUMMYFUNCTION("""COMPUTED_VALUE"""),"Quebec,      Quebec")</f>
        <v/>
      </c>
      <c r="K17991">
        <f>IFERROR(__xludf.DUMMYFUNCTION("""COMPUTED_VALUE"""),915.03)</f>
        <v/>
      </c>
    </row>
    <row r="17992">
      <c r="J17992">
        <f>IFERROR(__xludf.DUMMYFUNCTION("""COMPUTED_VALUE"""),"Halifax, Nova Scotia; Truro, Nova Scotia, Canada")</f>
        <v/>
      </c>
      <c r="K17992">
        <f>IFERROR(__xludf.DUMMYFUNCTION("""COMPUTED_VALUE"""),914.99)</f>
        <v/>
      </c>
    </row>
    <row r="17993">
      <c r="J17993">
        <f>IFERROR(__xludf.DUMMYFUNCTION("""COMPUTED_VALUE"""),"Montréal, Quebec, Canada; Thetford Mines, Quebec, Canada; Sherbrooke, Quebec, Canada")</f>
        <v/>
      </c>
      <c r="K17993">
        <f>IFERROR(__xludf.DUMMYFUNCTION("""COMPUTED_VALUE"""),914.51)</f>
        <v/>
      </c>
    </row>
    <row r="17994">
      <c r="J17994">
        <f>IFERROR(__xludf.DUMMYFUNCTION("""COMPUTED_VALUE"""),"Timmins, Ontario, Canada; Sault Ste. Marie, Ontario, Canada")</f>
        <v/>
      </c>
      <c r="K17994">
        <f>IFERROR(__xludf.DUMMYFUNCTION("""COMPUTED_VALUE"""),914.29)</f>
        <v/>
      </c>
    </row>
    <row r="17995">
      <c r="J17995">
        <f>IFERROR(__xludf.DUMMYFUNCTION("""COMPUTED_VALUE"""),"Toronto / Montreal")</f>
        <v/>
      </c>
      <c r="K17995">
        <f>IFERROR(__xludf.DUMMYFUNCTION("""COMPUTED_VALUE"""),914.17)</f>
        <v/>
      </c>
    </row>
    <row r="17996">
      <c r="J17996">
        <f>IFERROR(__xludf.DUMMYFUNCTION("""COMPUTED_VALUE"""),"Saint-Jean, Quebec, Canada")</f>
        <v/>
      </c>
      <c r="K17996">
        <f>IFERROR(__xludf.DUMMYFUNCTION("""COMPUTED_VALUE"""),914.14)</f>
        <v/>
      </c>
    </row>
    <row r="17997">
      <c r="J17997">
        <f>IFERROR(__xludf.DUMMYFUNCTION("""COMPUTED_VALUE"""),"Montreal, QC Jonquière, QC")</f>
        <v/>
      </c>
      <c r="K17997">
        <f>IFERROR(__xludf.DUMMYFUNCTION("""COMPUTED_VALUE"""),914.02)</f>
        <v/>
      </c>
    </row>
    <row r="17998">
      <c r="J17998">
        <f>IFERROR(__xludf.DUMMYFUNCTION("""COMPUTED_VALUE"""),"Essipit, Quebec")</f>
        <v/>
      </c>
      <c r="K17998">
        <f>IFERROR(__xludf.DUMMYFUNCTION("""COMPUTED_VALUE"""),913.96)</f>
        <v/>
      </c>
    </row>
    <row r="17999">
      <c r="J17999">
        <f>IFERROR(__xludf.DUMMYFUNCTION("""COMPUTED_VALUE"""),"Dartmouth, Nova Scotia, Canada; Charlottetown, Prince Edward Island, Canada")</f>
        <v/>
      </c>
      <c r="K17999">
        <f>IFERROR(__xludf.DUMMYFUNCTION("""COMPUTED_VALUE"""),913.74)</f>
        <v/>
      </c>
    </row>
    <row r="18000">
      <c r="J18000">
        <f>IFERROR(__xludf.DUMMYFUNCTION("""COMPUTED_VALUE"""),"Roseau, Dominica")</f>
        <v/>
      </c>
      <c r="K18000">
        <f>IFERROR(__xludf.DUMMYFUNCTION("""COMPUTED_VALUE"""),913.41)</f>
        <v/>
      </c>
    </row>
    <row r="18001">
      <c r="J18001">
        <f>IFERROR(__xludf.DUMMYFUNCTION("""COMPUTED_VALUE"""),"George, South Africa")</f>
        <v/>
      </c>
      <c r="K18001">
        <f>IFERROR(__xludf.DUMMYFUNCTION("""COMPUTED_VALUE"""),913.11)</f>
        <v/>
      </c>
    </row>
    <row r="18002">
      <c r="J18002">
        <f>IFERROR(__xludf.DUMMYFUNCTION("""COMPUTED_VALUE"""),"St. John's-Montreal-Ottawa")</f>
        <v/>
      </c>
      <c r="K18002">
        <f>IFERROR(__xludf.DUMMYFUNCTION("""COMPUTED_VALUE"""),913.1)</f>
        <v/>
      </c>
    </row>
    <row r="18003">
      <c r="J18003">
        <f>IFERROR(__xludf.DUMMYFUNCTION("""COMPUTED_VALUE"""),"Haliburton, Ontario, Canada")</f>
        <v/>
      </c>
      <c r="K18003">
        <f>IFERROR(__xludf.DUMMYFUNCTION("""COMPUTED_VALUE"""),913.02)</f>
        <v/>
      </c>
    </row>
    <row r="18004">
      <c r="J18004">
        <f>IFERROR(__xludf.DUMMYFUNCTION("""COMPUTED_VALUE"""),"Alberta, Alberta, Manitoba")</f>
        <v/>
      </c>
      <c r="K18004">
        <f>IFERROR(__xludf.DUMMYFUNCTION("""COMPUTED_VALUE"""),913)</f>
        <v/>
      </c>
    </row>
    <row r="18005">
      <c r="J18005">
        <f>IFERROR(__xludf.DUMMYFUNCTION("""COMPUTED_VALUE"""),"Halifax, Nova Scotia; Saint John, New Brunswick")</f>
        <v/>
      </c>
      <c r="K18005">
        <f>IFERROR(__xludf.DUMMYFUNCTION("""COMPUTED_VALUE"""),912.81)</f>
        <v/>
      </c>
    </row>
    <row r="18006">
      <c r="J18006">
        <f>IFERROR(__xludf.DUMMYFUNCTION("""COMPUTED_VALUE"""),"Vancouver, British Columbia; Toronto, Ontario, Canada; Hamilton, Ontario, Canada")</f>
        <v/>
      </c>
      <c r="K18006">
        <f>IFERROR(__xludf.DUMMYFUNCTION("""COMPUTED_VALUE"""),912.67)</f>
        <v/>
      </c>
    </row>
    <row r="18007">
      <c r="J18007">
        <f>IFERROR(__xludf.DUMMYFUNCTION("""COMPUTED_VALUE"""),"New Glasgow, PE; Charlottetown, PE")</f>
        <v/>
      </c>
      <c r="K18007">
        <f>IFERROR(__xludf.DUMMYFUNCTION("""COMPUTED_VALUE"""),912.38)</f>
        <v/>
      </c>
    </row>
    <row r="18008">
      <c r="J18008">
        <f>IFERROR(__xludf.DUMMYFUNCTION("""COMPUTED_VALUE"""),"Montreal, Brome Missisquoi")</f>
        <v/>
      </c>
      <c r="K18008">
        <f>IFERROR(__xludf.DUMMYFUNCTION("""COMPUTED_VALUE"""),912.35)</f>
        <v/>
      </c>
    </row>
    <row r="18009">
      <c r="J18009">
        <f>IFERROR(__xludf.DUMMYFUNCTION("""COMPUTED_VALUE"""),"Port Perry;Whitby;St.Catharine;Mississauga;Toronto")</f>
        <v/>
      </c>
      <c r="K18009">
        <f>IFERROR(__xludf.DUMMYFUNCTION("""COMPUTED_VALUE"""),912)</f>
        <v/>
      </c>
    </row>
    <row r="18010">
      <c r="J18010">
        <f>IFERROR(__xludf.DUMMYFUNCTION("""COMPUTED_VALUE"""),"Charlottetown,Prince Edward Island, Canada")</f>
        <v/>
      </c>
      <c r="K18010">
        <f>IFERROR(__xludf.DUMMYFUNCTION("""COMPUTED_VALUE"""),911.91)</f>
        <v/>
      </c>
    </row>
    <row r="18011">
      <c r="J18011">
        <f>IFERROR(__xludf.DUMMYFUNCTION("""COMPUTED_VALUE"""),"Saint-Hyacinthe (Quebec) Canada; Saint-Patrice-de-Sherrington (Quebec) Canada;  Napierville (Quebec) Canada")</f>
        <v/>
      </c>
      <c r="K18011">
        <f>IFERROR(__xludf.DUMMYFUNCTION("""COMPUTED_VALUE"""),911.89)</f>
        <v/>
      </c>
    </row>
    <row r="18012">
      <c r="J18012">
        <f>IFERROR(__xludf.DUMMYFUNCTION("""COMPUTED_VALUE"""),"Ottawa - Portneuf - Levis - Montréal - Ottawa")</f>
        <v/>
      </c>
      <c r="K18012">
        <f>IFERROR(__xludf.DUMMYFUNCTION("""COMPUTED_VALUE"""),911.78)</f>
        <v/>
      </c>
    </row>
    <row r="18013">
      <c r="J18013">
        <f>IFERROR(__xludf.DUMMYFUNCTION("""COMPUTED_VALUE"""),"Airdrie, Lethbridge and Calgary, Alberta")</f>
        <v/>
      </c>
      <c r="K18013">
        <f>IFERROR(__xludf.DUMMYFUNCTION("""COMPUTED_VALUE"""),911.65)</f>
        <v/>
      </c>
    </row>
    <row r="18014">
      <c r="J18014">
        <f>IFERROR(__xludf.DUMMYFUNCTION("""COMPUTED_VALUE"""),"Edmonton, Alberta, Canada; Vegreville, Alberta, Canada")</f>
        <v/>
      </c>
      <c r="K18014">
        <f>IFERROR(__xludf.DUMMYFUNCTION("""COMPUTED_VALUE"""),911.33)</f>
        <v/>
      </c>
    </row>
    <row r="18015">
      <c r="J18015">
        <f>IFERROR(__xludf.DUMMYFUNCTION("""COMPUTED_VALUE"""),"Charlottetown, PE/ Moncton, NB")</f>
        <v/>
      </c>
      <c r="K18015">
        <f>IFERROR(__xludf.DUMMYFUNCTION("""COMPUTED_VALUE"""),911.2)</f>
        <v/>
      </c>
    </row>
    <row r="18016">
      <c r="J18016">
        <f>IFERROR(__xludf.DUMMYFUNCTION("""COMPUTED_VALUE"""),"Beijing, CN / Guangzhou, CN")</f>
        <v/>
      </c>
      <c r="K18016">
        <f>IFERROR(__xludf.DUMMYFUNCTION("""COMPUTED_VALUE"""),910.85)</f>
        <v/>
      </c>
    </row>
    <row r="18017">
      <c r="J18017">
        <f>IFERROR(__xludf.DUMMYFUNCTION("""COMPUTED_VALUE"""),"Halifax, Nova Scotia, Canada; Moncton, New Brunswick, Canada; Montague, Prince Edward Island, Canada; Charlottetown, Prince Edward Island, Canada")</f>
        <v/>
      </c>
      <c r="K18017">
        <f>IFERROR(__xludf.DUMMYFUNCTION("""COMPUTED_VALUE"""),910.79)</f>
        <v/>
      </c>
    </row>
    <row r="18018">
      <c r="J18018">
        <f>IFERROR(__xludf.DUMMYFUNCTION("""COMPUTED_VALUE"""),"Ottawa, Ontario, Canada;
Kyiv, Ukraine")</f>
        <v/>
      </c>
      <c r="K18018">
        <f>IFERROR(__xludf.DUMMYFUNCTION("""COMPUTED_VALUE"""),910.65)</f>
        <v/>
      </c>
    </row>
    <row r="18019">
      <c r="J18019">
        <f>IFERROR(__xludf.DUMMYFUNCTION("""COMPUTED_VALUE"""),"Campbell River and Victoria, British Columbia")</f>
        <v/>
      </c>
      <c r="K18019">
        <f>IFERROR(__xludf.DUMMYFUNCTION("""COMPUTED_VALUE"""),910.45)</f>
        <v/>
      </c>
    </row>
    <row r="18020">
      <c r="J18020">
        <f>IFERROR(__xludf.DUMMYFUNCTION("""COMPUTED_VALUE"""),"Ottawa, ON - Edmonton, AB  / Edmonton, AB - Ottawa, ON")</f>
        <v/>
      </c>
      <c r="K18020">
        <f>IFERROR(__xludf.DUMMYFUNCTION("""COMPUTED_VALUE"""),910.12)</f>
        <v/>
      </c>
    </row>
    <row r="18021">
      <c r="J18021">
        <f>IFERROR(__xludf.DUMMYFUNCTION("""COMPUTED_VALUE"""),"Rimouski, Québec, Canada 
Québec, Québec, Canada")</f>
        <v/>
      </c>
      <c r="K18021">
        <f>IFERROR(__xludf.DUMMYFUNCTION("""COMPUTED_VALUE"""),910.1)</f>
        <v/>
      </c>
    </row>
    <row r="18022">
      <c r="J18022">
        <f>IFERROR(__xludf.DUMMYFUNCTION("""COMPUTED_VALUE"""),"Barrie, Borden, Ontario")</f>
        <v/>
      </c>
      <c r="K18022">
        <f>IFERROR(__xludf.DUMMYFUNCTION("""COMPUTED_VALUE"""),909.02)</f>
        <v/>
      </c>
    </row>
    <row r="18023">
      <c r="J18023">
        <f>IFERROR(__xludf.DUMMYFUNCTION("""COMPUTED_VALUE"""),"Sept-Îles")</f>
        <v/>
      </c>
      <c r="K18023">
        <f>IFERROR(__xludf.DUMMYFUNCTION("""COMPUTED_VALUE"""),908.77)</f>
        <v/>
      </c>
    </row>
    <row r="18024">
      <c r="J18024">
        <f>IFERROR(__xludf.DUMMYFUNCTION("""COMPUTED_VALUE"""),"London, Britain")</f>
        <v/>
      </c>
      <c r="K18024">
        <f>IFERROR(__xludf.DUMMYFUNCTION("""COMPUTED_VALUE"""),908.56)</f>
        <v/>
      </c>
    </row>
    <row r="18025">
      <c r="J18025">
        <f>IFERROR(__xludf.DUMMYFUNCTION("""COMPUTED_VALUE"""),"Fort Frances, Ontario, Canada")</f>
        <v/>
      </c>
      <c r="K18025">
        <f>IFERROR(__xludf.DUMMYFUNCTION("""COMPUTED_VALUE"""),907.82)</f>
        <v/>
      </c>
    </row>
    <row r="18026">
      <c r="J18026">
        <f>IFERROR(__xludf.DUMMYFUNCTION("""COMPUTED_VALUE"""),"Kamloops, British Columbia, Canada and Kelowna, British Columbia, Canada")</f>
        <v/>
      </c>
      <c r="K18026">
        <f>IFERROR(__xludf.DUMMYFUNCTION("""COMPUTED_VALUE"""),907.54)</f>
        <v/>
      </c>
    </row>
    <row r="18027">
      <c r="J18027">
        <f>IFERROR(__xludf.DUMMYFUNCTION("""COMPUTED_VALUE"""),"Calgary, AB; Kelowna, BC")</f>
        <v/>
      </c>
      <c r="K18027">
        <f>IFERROR(__xludf.DUMMYFUNCTION("""COMPUTED_VALUE"""),907.47)</f>
        <v/>
      </c>
    </row>
    <row r="18028">
      <c r="J18028">
        <f>IFERROR(__xludf.DUMMYFUNCTION("""COMPUTED_VALUE"""),"Ottawa, Ontario; Chelsea, Quebec, Canada")</f>
        <v/>
      </c>
      <c r="K18028">
        <f>IFERROR(__xludf.DUMMYFUNCTION("""COMPUTED_VALUE"""),907.14)</f>
        <v/>
      </c>
    </row>
    <row r="18029">
      <c r="J18029">
        <f>IFERROR(__xludf.DUMMYFUNCTION("""COMPUTED_VALUE"""),"Ottawa, ON - Sudbury, ON / Sudbury, ON - Ottawa, ON")</f>
        <v/>
      </c>
      <c r="K18029">
        <f>IFERROR(__xludf.DUMMYFUNCTION("""COMPUTED_VALUE"""),907.11)</f>
        <v/>
      </c>
    </row>
    <row r="18030">
      <c r="J18030">
        <f>IFERROR(__xludf.DUMMYFUNCTION("""COMPUTED_VALUE"""),"Wendake (Québec) Canada")</f>
        <v/>
      </c>
      <c r="K18030">
        <f>IFERROR(__xludf.DUMMYFUNCTION("""COMPUTED_VALUE"""),906.04)</f>
        <v/>
      </c>
    </row>
    <row r="18031">
      <c r="J18031">
        <f>IFERROR(__xludf.DUMMYFUNCTION("""COMPUTED_VALUE"""),"Pentincton, BC")</f>
        <v/>
      </c>
      <c r="K18031">
        <f>IFERROR(__xludf.DUMMYFUNCTION("""COMPUTED_VALUE"""),905.75)</f>
        <v/>
      </c>
    </row>
    <row r="18032">
      <c r="J18032">
        <f>IFERROR(__xludf.DUMMYFUNCTION("""COMPUTED_VALUE"""),"Québec - Charlottetown - Ottawa")</f>
        <v/>
      </c>
      <c r="K18032">
        <f>IFERROR(__xludf.DUMMYFUNCTION("""COMPUTED_VALUE"""),905.35)</f>
        <v/>
      </c>
    </row>
    <row r="18033">
      <c r="J18033">
        <f>IFERROR(__xludf.DUMMYFUNCTION("""COMPUTED_VALUE"""),"Thessaloniki Greece")</f>
        <v/>
      </c>
      <c r="K18033">
        <f>IFERROR(__xludf.DUMMYFUNCTION("""COMPUTED_VALUE"""),905.31)</f>
        <v/>
      </c>
    </row>
    <row r="18034">
      <c r="J18034">
        <f>IFERROR(__xludf.DUMMYFUNCTION("""COMPUTED_VALUE"""),"Rimouski, Matane")</f>
        <v/>
      </c>
      <c r="K18034">
        <f>IFERROR(__xludf.DUMMYFUNCTION("""COMPUTED_VALUE"""),905.1)</f>
        <v/>
      </c>
    </row>
    <row r="18035">
      <c r="J18035">
        <f>IFERROR(__xludf.DUMMYFUNCTION("""COMPUTED_VALUE"""),"Oxfordshire, England")</f>
        <v/>
      </c>
      <c r="K18035">
        <f>IFERROR(__xludf.DUMMYFUNCTION("""COMPUTED_VALUE"""),905)</f>
        <v/>
      </c>
    </row>
    <row r="18036">
      <c r="J18036">
        <f>IFERROR(__xludf.DUMMYFUNCTION("""COMPUTED_VALUE"""),"Val d'Or, St-Hubert, Granby, Sorel-Tracy, Victoriaville, Québec et Montréal")</f>
        <v/>
      </c>
      <c r="K18036">
        <f>IFERROR(__xludf.DUMMYFUNCTION("""COMPUTED_VALUE"""),904.79)</f>
        <v/>
      </c>
    </row>
    <row r="18037">
      <c r="J18037">
        <f>IFERROR(__xludf.DUMMYFUNCTION("""COMPUTED_VALUE"""),"Sainte-Thérèse, Quebec, Canada; Saint-Jérôme, Quebec, Canada; Montréal, Quebec, Canada")</f>
        <v/>
      </c>
      <c r="K18037">
        <f>IFERROR(__xludf.DUMMYFUNCTION("""COMPUTED_VALUE"""),904.78)</f>
        <v/>
      </c>
    </row>
    <row r="18038">
      <c r="J18038">
        <f>IFERROR(__xludf.DUMMYFUNCTION("""COMPUTED_VALUE"""),"MIRAMICHI, NB - MONCTON, NB")</f>
        <v/>
      </c>
      <c r="K18038">
        <f>IFERROR(__xludf.DUMMYFUNCTION("""COMPUTED_VALUE"""),904.68)</f>
        <v/>
      </c>
    </row>
    <row r="18039">
      <c r="J18039">
        <f>IFERROR(__xludf.DUMMYFUNCTION("""COMPUTED_VALUE"""),"Trois-Rivière, Québec, Canada")</f>
        <v/>
      </c>
      <c r="K18039">
        <f>IFERROR(__xludf.DUMMYFUNCTION("""COMPUTED_VALUE"""),904.26)</f>
        <v/>
      </c>
    </row>
    <row r="18040">
      <c r="J18040">
        <f>IFERROR(__xludf.DUMMYFUNCTION("""COMPUTED_VALUE"""),"Ottawa, Ontario, Toronto, Ontario")</f>
        <v/>
      </c>
      <c r="K18040">
        <f>IFERROR(__xludf.DUMMYFUNCTION("""COMPUTED_VALUE"""),904.01)</f>
        <v/>
      </c>
    </row>
    <row r="18041">
      <c r="J18041">
        <f>IFERROR(__xludf.DUMMYFUNCTION("""COMPUTED_VALUE"""),"Darthmouth, NS")</f>
        <v/>
      </c>
      <c r="K18041">
        <f>IFERROR(__xludf.DUMMYFUNCTION("""COMPUTED_VALUE"""),903.34)</f>
        <v/>
      </c>
    </row>
    <row r="18042">
      <c r="J18042">
        <f>IFERROR(__xludf.DUMMYFUNCTION("""COMPUTED_VALUE"""),"Trinity Bay, Newfoundland and Labrador")</f>
        <v/>
      </c>
      <c r="K18042">
        <f>IFERROR(__xludf.DUMMYFUNCTION("""COMPUTED_VALUE"""),903.1)</f>
        <v/>
      </c>
    </row>
    <row r="18043">
      <c r="J18043">
        <f>IFERROR(__xludf.DUMMYFUNCTION("""COMPUTED_VALUE"""),"Emerson, Manitoba")</f>
        <v/>
      </c>
      <c r="K18043">
        <f>IFERROR(__xludf.DUMMYFUNCTION("""COMPUTED_VALUE"""),903.09)</f>
        <v/>
      </c>
    </row>
    <row r="18044">
      <c r="J18044">
        <f>IFERROR(__xludf.DUMMYFUNCTION("""COMPUTED_VALUE"""),"Ottawa - Lévis - Québec - Lévis - Ottawa")</f>
        <v/>
      </c>
      <c r="K18044">
        <f>IFERROR(__xludf.DUMMYFUNCTION("""COMPUTED_VALUE"""),902.47)</f>
        <v/>
      </c>
    </row>
    <row r="18045">
      <c r="J18045">
        <f>IFERROR(__xludf.DUMMYFUNCTION("""COMPUTED_VALUE"""),"Montreal and Quebec")</f>
        <v/>
      </c>
      <c r="K18045">
        <f>IFERROR(__xludf.DUMMYFUNCTION("""COMPUTED_VALUE"""),902.19)</f>
        <v/>
      </c>
    </row>
    <row r="18046">
      <c r="J18046">
        <f>IFERROR(__xludf.DUMMYFUNCTION("""COMPUTED_VALUE"""),"Halifax/St.John's")</f>
        <v/>
      </c>
      <c r="K18046">
        <f>IFERROR(__xludf.DUMMYFUNCTION("""COMPUTED_VALUE"""),901.85)</f>
        <v/>
      </c>
    </row>
    <row r="18047">
      <c r="J18047">
        <f>IFERROR(__xludf.DUMMYFUNCTION("""COMPUTED_VALUE"""),"Kingston/Kanata, ON")</f>
        <v/>
      </c>
      <c r="K18047">
        <f>IFERROR(__xludf.DUMMYFUNCTION("""COMPUTED_VALUE"""),901.67)</f>
        <v/>
      </c>
    </row>
    <row r="18048">
      <c r="J18048">
        <f>IFERROR(__xludf.DUMMYFUNCTION("""COMPUTED_VALUE"""),"Montréal, Quebec, Canada; Saint-Sauveur, Quebec, Canada")</f>
        <v/>
      </c>
      <c r="K18048">
        <f>IFERROR(__xludf.DUMMYFUNCTION("""COMPUTED_VALUE"""),901.55)</f>
        <v/>
      </c>
    </row>
    <row r="18049">
      <c r="J18049">
        <f>IFERROR(__xludf.DUMMYFUNCTION("""COMPUTED_VALUE"""),"Halifax, Nova Scotia / Prince Edward Island")</f>
        <v/>
      </c>
      <c r="K18049">
        <f>IFERROR(__xludf.DUMMYFUNCTION("""COMPUTED_VALUE"""),901.01)</f>
        <v/>
      </c>
    </row>
    <row r="18050">
      <c r="J18050">
        <f>IFERROR(__xludf.DUMMYFUNCTION("""COMPUTED_VALUE"""),"KANATA, OTTAWA, TORONTO, LONDON, ONTARIO CANADA")</f>
        <v/>
      </c>
      <c r="K18050">
        <f>IFERROR(__xludf.DUMMYFUNCTION("""COMPUTED_VALUE"""),900.83)</f>
        <v/>
      </c>
    </row>
    <row r="18051">
      <c r="J18051">
        <f>IFERROR(__xludf.DUMMYFUNCTION("""COMPUTED_VALUE"""),"Niagara Falls, Ontario, Canada; Ottawa, Ontario, Canada")</f>
        <v/>
      </c>
      <c r="K18051">
        <f>IFERROR(__xludf.DUMMYFUNCTION("""COMPUTED_VALUE"""),900.53)</f>
        <v/>
      </c>
    </row>
    <row r="18052">
      <c r="J18052">
        <f>IFERROR(__xludf.DUMMYFUNCTION("""COMPUTED_VALUE"""),"Montreal, Quebe")</f>
        <v/>
      </c>
      <c r="K18052">
        <f>IFERROR(__xludf.DUMMYFUNCTION("""COMPUTED_VALUE"""),900.51)</f>
        <v/>
      </c>
    </row>
    <row r="18053">
      <c r="J18053">
        <f>IFERROR(__xludf.DUMMYFUNCTION("""COMPUTED_VALUE"""),"St-Adèle, QC")</f>
        <v/>
      </c>
      <c r="K18053">
        <f>IFERROR(__xludf.DUMMYFUNCTION("""COMPUTED_VALUE"""),900.16)</f>
        <v/>
      </c>
    </row>
    <row r="18054">
      <c r="J18054">
        <f>IFERROR(__xludf.DUMMYFUNCTION("""COMPUTED_VALUE"""),"Normandie, France")</f>
        <v/>
      </c>
      <c r="K18054">
        <f>IFERROR(__xludf.DUMMYFUNCTION("""COMPUTED_VALUE"""),900)</f>
        <v/>
      </c>
    </row>
    <row r="18055">
      <c r="J18055">
        <f>IFERROR(__xludf.DUMMYFUNCTION("""COMPUTED_VALUE"""),"Montreal, P.Q.")</f>
        <v/>
      </c>
      <c r="K18055">
        <f>IFERROR(__xludf.DUMMYFUNCTION("""COMPUTED_VALUE"""),899.96)</f>
        <v/>
      </c>
    </row>
    <row r="18056">
      <c r="J18056">
        <f>IFERROR(__xludf.DUMMYFUNCTION("""COMPUTED_VALUE"""),"Fort Saskatchewan, Alberta")</f>
        <v/>
      </c>
      <c r="K18056">
        <f>IFERROR(__xludf.DUMMYFUNCTION("""COMPUTED_VALUE"""),899.89)</f>
        <v/>
      </c>
    </row>
    <row r="18057">
      <c r="J18057">
        <f>IFERROR(__xludf.DUMMYFUNCTION("""COMPUTED_VALUE"""),"Quebec City / Halifax")</f>
        <v/>
      </c>
      <c r="K18057">
        <f>IFERROR(__xludf.DUMMYFUNCTION("""COMPUTED_VALUE"""),899.64)</f>
        <v/>
      </c>
    </row>
    <row r="18058">
      <c r="J18058">
        <f>IFERROR(__xludf.DUMMYFUNCTION("""COMPUTED_VALUE"""),"Vaudreuil-Dorion, Quebec, Canada; Saint-Hyacinthe, Quebec, Canada; Longueuil, Quebec, Canada")</f>
        <v/>
      </c>
      <c r="K18058">
        <f>IFERROR(__xludf.DUMMYFUNCTION("""COMPUTED_VALUE"""),899.21)</f>
        <v/>
      </c>
    </row>
    <row r="18059">
      <c r="J18059">
        <f>IFERROR(__xludf.DUMMYFUNCTION("""COMPUTED_VALUE"""),"Warerloo, Ontario")</f>
        <v/>
      </c>
      <c r="K18059">
        <f>IFERROR(__xludf.DUMMYFUNCTION("""COMPUTED_VALUE"""),899)</f>
        <v/>
      </c>
    </row>
    <row r="18060">
      <c r="J18060">
        <f>IFERROR(__xludf.DUMMYFUNCTION("""COMPUTED_VALUE"""),"Winnipeg,  Manitoba, Canada")</f>
        <v/>
      </c>
      <c r="K18060">
        <f>IFERROR(__xludf.DUMMYFUNCTION("""COMPUTED_VALUE"""),898.9)</f>
        <v/>
      </c>
    </row>
    <row r="18061">
      <c r="J18061">
        <f>IFERROR(__xludf.DUMMYFUNCTION("""COMPUTED_VALUE"""),"Dakar, Senegal /
Accra, Ghana /
Dubai, United Arab Emirates /
Rome, Italy")</f>
        <v/>
      </c>
      <c r="K18061">
        <f>IFERROR(__xludf.DUMMYFUNCTION("""COMPUTED_VALUE"""),898.32)</f>
        <v/>
      </c>
    </row>
    <row r="18062">
      <c r="J18062">
        <f>IFERROR(__xludf.DUMMYFUNCTION("""COMPUTED_VALUE"""),"Charlottetown, PE - Halifax, NS / Halifax, NS - Charlottetown, PE")</f>
        <v/>
      </c>
      <c r="K18062">
        <f>IFERROR(__xludf.DUMMYFUNCTION("""COMPUTED_VALUE"""),898.31)</f>
        <v/>
      </c>
    </row>
    <row r="18063">
      <c r="J18063">
        <f>IFERROR(__xludf.DUMMYFUNCTION("""COMPUTED_VALUE"""),"Halifax-St. John's")</f>
        <v/>
      </c>
      <c r="K18063">
        <f>IFERROR(__xludf.DUMMYFUNCTION("""COMPUTED_VALUE"""),897.49)</f>
        <v/>
      </c>
    </row>
    <row r="18064">
      <c r="J18064">
        <f>IFERROR(__xludf.DUMMYFUNCTION("""COMPUTED_VALUE"""),"Dalian, People's Republic of China")</f>
        <v/>
      </c>
      <c r="K18064">
        <f>IFERROR(__xludf.DUMMYFUNCTION("""COMPUTED_VALUE"""),897.4)</f>
        <v/>
      </c>
    </row>
    <row r="18065">
      <c r="J18065">
        <f>IFERROR(__xludf.DUMMYFUNCTION("""COMPUTED_VALUE"""),"Collingwood and Kincardine, Ontario")</f>
        <v/>
      </c>
      <c r="K18065">
        <f>IFERROR(__xludf.DUMMYFUNCTION("""COMPUTED_VALUE"""),897.12)</f>
        <v/>
      </c>
    </row>
    <row r="18066">
      <c r="J18066">
        <f>IFERROR(__xludf.DUMMYFUNCTION("""COMPUTED_VALUE"""),"Halifax, Nova Scotia, Canada; Kentville, Nova Scotia, Canada; Wolfville, Nova Scotia, Canada; Digby, Nova Scotia, Canada; Clare, Nova Scotia, Canada; Yarmouth, Nova Scotia, Canada; Bridgewater, Nova Scotia, Canada")</f>
        <v/>
      </c>
      <c r="K18066">
        <f>IFERROR(__xludf.DUMMYFUNCTION("""COMPUTED_VALUE"""),897.04)</f>
        <v/>
      </c>
    </row>
    <row r="18067">
      <c r="J18067">
        <f>IFERROR(__xludf.DUMMYFUNCTION("""COMPUTED_VALUE"""),"Sydney and Lunenburg, Nova Scotia")</f>
        <v/>
      </c>
      <c r="K18067">
        <f>IFERROR(__xludf.DUMMYFUNCTION("""COMPUTED_VALUE"""),896.87)</f>
        <v/>
      </c>
    </row>
    <row r="18068">
      <c r="J18068">
        <f>IFERROR(__xludf.DUMMYFUNCTION("""COMPUTED_VALUE"""),"St-Jean Sur Richelieu, Quebec, Canada")</f>
        <v/>
      </c>
      <c r="K18068">
        <f>IFERROR(__xludf.DUMMYFUNCTION("""COMPUTED_VALUE"""),896.76)</f>
        <v/>
      </c>
    </row>
    <row r="18069">
      <c r="J18069">
        <f>IFERROR(__xludf.DUMMYFUNCTION("""COMPUTED_VALUE"""),"Dorchester and Halifax, Nova Scotia")</f>
        <v/>
      </c>
      <c r="K18069">
        <f>IFERROR(__xludf.DUMMYFUNCTION("""COMPUTED_VALUE"""),896.54)</f>
        <v/>
      </c>
    </row>
    <row r="18070">
      <c r="J18070">
        <f>IFERROR(__xludf.DUMMYFUNCTION("""COMPUTED_VALUE"""),"East Hartford, CT")</f>
        <v/>
      </c>
      <c r="K18070">
        <f>IFERROR(__xludf.DUMMYFUNCTION("""COMPUTED_VALUE"""),896.16)</f>
        <v/>
      </c>
    </row>
    <row r="18071">
      <c r="J18071">
        <f>IFERROR(__xludf.DUMMYFUNCTION("""COMPUTED_VALUE"""),"Ottawa-Toronto-Cambridge")</f>
        <v/>
      </c>
      <c r="K18071">
        <f>IFERROR(__xludf.DUMMYFUNCTION("""COMPUTED_VALUE"""),896.13)</f>
        <v/>
      </c>
    </row>
    <row r="18072">
      <c r="J18072">
        <f>IFERROR(__xludf.DUMMYFUNCTION("""COMPUTED_VALUE"""),"Moncton, New Brunswick, Canada; Boutouche, New Brunswick, Canada; Shediac, New Brunswick, Canada; Fredericton, New Brunswick, Canada")</f>
        <v/>
      </c>
      <c r="K18072">
        <f>IFERROR(__xludf.DUMMYFUNCTION("""COMPUTED_VALUE"""),895.67)</f>
        <v/>
      </c>
    </row>
    <row r="18073">
      <c r="J18073">
        <f>IFERROR(__xludf.DUMMYFUNCTION("""COMPUTED_VALUE"""),"Ottawa, 2-3 June 2011 Montréal, 6-7 June, 2011")</f>
        <v/>
      </c>
      <c r="K18073">
        <f>IFERROR(__xludf.DUMMYFUNCTION("""COMPUTED_VALUE"""),895.23)</f>
        <v/>
      </c>
    </row>
    <row r="18074">
      <c r="J18074">
        <f>IFERROR(__xludf.DUMMYFUNCTION("""COMPUTED_VALUE"""),"Lévis - Ottawa - Toronto - Lévis")</f>
        <v/>
      </c>
      <c r="K18074">
        <f>IFERROR(__xludf.DUMMYFUNCTION("""COMPUTED_VALUE"""),894.94)</f>
        <v/>
      </c>
    </row>
    <row r="18075">
      <c r="J18075">
        <f>IFERROR(__xludf.DUMMYFUNCTION("""COMPUTED_VALUE"""),"London &amp; Toronto")</f>
        <v/>
      </c>
      <c r="K18075">
        <f>IFERROR(__xludf.DUMMYFUNCTION("""COMPUTED_VALUE"""),894.76)</f>
        <v/>
      </c>
    </row>
    <row r="18076">
      <c r="J18076">
        <f>IFERROR(__xludf.DUMMYFUNCTION("""COMPUTED_VALUE"""),"Nepean, Ontario, Canada")</f>
        <v/>
      </c>
      <c r="K18076">
        <f>IFERROR(__xludf.DUMMYFUNCTION("""COMPUTED_VALUE"""),894.199999999999)</f>
        <v/>
      </c>
    </row>
    <row r="18077">
      <c r="J18077">
        <f>IFERROR(__xludf.DUMMYFUNCTION("""COMPUTED_VALUE"""),"Montreal and Sherbrooke, Quebec")</f>
        <v/>
      </c>
      <c r="K18077">
        <f>IFERROR(__xludf.DUMMYFUNCTION("""COMPUTED_VALUE"""),894.17)</f>
        <v/>
      </c>
    </row>
    <row r="18078">
      <c r="J18078">
        <f>IFERROR(__xludf.DUMMYFUNCTION("""COMPUTED_VALUE"""),"Sudbury, Ontario, Canada and North Bay, Ontario, Canada")</f>
        <v/>
      </c>
      <c r="K18078">
        <f>IFERROR(__xludf.DUMMYFUNCTION("""COMPUTED_VALUE"""),893.99)</f>
        <v/>
      </c>
    </row>
    <row r="18079">
      <c r="J18079">
        <f>IFERROR(__xludf.DUMMYFUNCTION("""COMPUTED_VALUE"""),"Montreal (Quebec) Canada;
Sherbrooke (Quebec) Canada")</f>
        <v/>
      </c>
      <c r="K18079">
        <f>IFERROR(__xludf.DUMMYFUNCTION("""COMPUTED_VALUE"""),893.95)</f>
        <v/>
      </c>
    </row>
    <row r="18080">
      <c r="J18080">
        <f>IFERROR(__xludf.DUMMYFUNCTION("""COMPUTED_VALUE"""),"Kinsgton, Ontario, Canada")</f>
        <v/>
      </c>
      <c r="K18080">
        <f>IFERROR(__xludf.DUMMYFUNCTION("""COMPUTED_VALUE"""),893.82)</f>
        <v/>
      </c>
    </row>
    <row r="18081">
      <c r="J18081">
        <f>IFERROR(__xludf.DUMMYFUNCTION("""COMPUTED_VALUE"""),"Montréal, Quebec, Canada/ Ottawa, Ontario, Canada")</f>
        <v/>
      </c>
      <c r="K18081">
        <f>IFERROR(__xludf.DUMMYFUNCTION("""COMPUTED_VALUE"""),893.74)</f>
        <v/>
      </c>
    </row>
    <row r="18082">
      <c r="J18082">
        <f>IFERROR(__xludf.DUMMYFUNCTION("""COMPUTED_VALUE"""),"Morelia, Michoacan")</f>
        <v/>
      </c>
      <c r="K18082">
        <f>IFERROR(__xludf.DUMMYFUNCTION("""COMPUTED_VALUE"""),893.72)</f>
        <v/>
      </c>
    </row>
    <row r="18083">
      <c r="J18083">
        <f>IFERROR(__xludf.DUMMYFUNCTION("""COMPUTED_VALUE"""),"Humboldt, Saskatchewan, Canada; Tisdale, Saskatchewan, Canada")</f>
        <v/>
      </c>
      <c r="K18083">
        <f>IFERROR(__xludf.DUMMYFUNCTION("""COMPUTED_VALUE"""),893.54)</f>
        <v/>
      </c>
    </row>
    <row r="18084">
      <c r="J18084">
        <f>IFERROR(__xludf.DUMMYFUNCTION("""COMPUTED_VALUE"""),"Montreal, Qc, Can")</f>
        <v/>
      </c>
      <c r="K18084">
        <f>IFERROR(__xludf.DUMMYFUNCTION("""COMPUTED_VALUE"""),893.329999999999)</f>
        <v/>
      </c>
    </row>
    <row r="18085">
      <c r="J18085">
        <f>IFERROR(__xludf.DUMMYFUNCTION("""COMPUTED_VALUE"""),"Moncton, NB - Halifax, NS / Halifax, NS   - Moncton, NB")</f>
        <v/>
      </c>
      <c r="K18085">
        <f>IFERROR(__xludf.DUMMYFUNCTION("""COMPUTED_VALUE"""),893.19)</f>
        <v/>
      </c>
    </row>
    <row r="18086">
      <c r="J18086">
        <f>IFERROR(__xludf.DUMMYFUNCTION("""COMPUTED_VALUE"""),"Salvador, Sao Paulo, Brasilia, Rio de Janeiro")</f>
        <v/>
      </c>
      <c r="K18086">
        <f>IFERROR(__xludf.DUMMYFUNCTION("""COMPUTED_VALUE"""),893.19)</f>
        <v/>
      </c>
    </row>
    <row r="18087">
      <c r="J18087">
        <f>IFERROR(__xludf.DUMMYFUNCTION("""COMPUTED_VALUE"""),"Saint-Pierre et Miquelon, France")</f>
        <v/>
      </c>
      <c r="K18087">
        <f>IFERROR(__xludf.DUMMYFUNCTION("""COMPUTED_VALUE"""),893.17)</f>
        <v/>
      </c>
    </row>
    <row r="18088">
      <c r="J18088">
        <f>IFERROR(__xludf.DUMMYFUNCTION("""COMPUTED_VALUE"""),"Omaha, Nebraska")</f>
        <v/>
      </c>
      <c r="K18088">
        <f>IFERROR(__xludf.DUMMYFUNCTION("""COMPUTED_VALUE"""),892.97)</f>
        <v/>
      </c>
    </row>
    <row r="18089">
      <c r="J18089">
        <f>IFERROR(__xludf.DUMMYFUNCTION("""COMPUTED_VALUE"""),"Guelph, Ontario, Canada; Simcoe, Ontario, Canada")</f>
        <v/>
      </c>
      <c r="K18089">
        <f>IFERROR(__xludf.DUMMYFUNCTION("""COMPUTED_VALUE"""),892.87)</f>
        <v/>
      </c>
    </row>
    <row r="18090">
      <c r="J18090">
        <f>IFERROR(__xludf.DUMMYFUNCTION("""COMPUTED_VALUE"""),"Longueuil, Quebec, Canada; Saint-Hyacinthe, Quebec, Canada")</f>
        <v/>
      </c>
      <c r="K18090">
        <f>IFERROR(__xludf.DUMMYFUNCTION("""COMPUTED_VALUE"""),892.709999999999)</f>
        <v/>
      </c>
    </row>
    <row r="18091">
      <c r="J18091">
        <f>IFERROR(__xludf.DUMMYFUNCTION("""COMPUTED_VALUE"""),"Estes Park (Colorado) United States")</f>
        <v/>
      </c>
      <c r="K18091">
        <f>IFERROR(__xludf.DUMMYFUNCTION("""COMPUTED_VALUE"""),892.68)</f>
        <v/>
      </c>
    </row>
    <row r="18092">
      <c r="J18092">
        <f>IFERROR(__xludf.DUMMYFUNCTION("""COMPUTED_VALUE"""),"Sydney, Nova Scotia, Canada; New Glasgow, Nova Scotia, Canada; Wolfville, Nova Scotia, Canada; Digby, Nova Scotia, Canada")</f>
        <v/>
      </c>
      <c r="K18092">
        <f>IFERROR(__xludf.DUMMYFUNCTION("""COMPUTED_VALUE"""),892.62)</f>
        <v/>
      </c>
    </row>
    <row r="18093">
      <c r="J18093">
        <f>IFERROR(__xludf.DUMMYFUNCTION("""COMPUTED_VALUE"""),"Winnipeg, MB and Yellowknife, NT")</f>
        <v/>
      </c>
      <c r="K18093">
        <f>IFERROR(__xludf.DUMMYFUNCTION("""COMPUTED_VALUE"""),892.61)</f>
        <v/>
      </c>
    </row>
    <row r="18094">
      <c r="J18094">
        <f>IFERROR(__xludf.DUMMYFUNCTION("""COMPUTED_VALUE"""),"London, Ontario, Canada; Toronto, Ontario, Canada; Mississauga, Ontario, Canada; Markham, Ontario, Canada")</f>
        <v/>
      </c>
      <c r="K18094">
        <f>IFERROR(__xludf.DUMMYFUNCTION("""COMPUTED_VALUE"""),892.17)</f>
        <v/>
      </c>
    </row>
    <row r="18095">
      <c r="J18095">
        <f>IFERROR(__xludf.DUMMYFUNCTION("""COMPUTED_VALUE"""),"Kingston, Ontario, Canada; Barrie, Ontario, Canada; Toronto, Ontario, Canada")</f>
        <v/>
      </c>
      <c r="K18095">
        <f>IFERROR(__xludf.DUMMYFUNCTION("""COMPUTED_VALUE"""),892.03)</f>
        <v/>
      </c>
    </row>
    <row r="18096">
      <c r="J18096">
        <f>IFERROR(__xludf.DUMMYFUNCTION("""COMPUTED_VALUE"""),"Moncton, New Brunswick, Canada; St. John's, Newfoundland and Labrador, Canada")</f>
        <v/>
      </c>
      <c r="K18096">
        <f>IFERROR(__xludf.DUMMYFUNCTION("""COMPUTED_VALUE"""),891.42)</f>
        <v/>
      </c>
    </row>
    <row r="18097">
      <c r="J18097">
        <f>IFERROR(__xludf.DUMMYFUNCTION("""COMPUTED_VALUE"""),"Shawinigan, QC; Québec, QC")</f>
        <v/>
      </c>
      <c r="K18097">
        <f>IFERROR(__xludf.DUMMYFUNCTION("""COMPUTED_VALUE"""),891.37)</f>
        <v/>
      </c>
    </row>
    <row r="18098">
      <c r="J18098">
        <f>IFERROR(__xludf.DUMMYFUNCTION("""COMPUTED_VALUE"""),"Val D'Or, QC")</f>
        <v/>
      </c>
      <c r="K18098">
        <f>IFERROR(__xludf.DUMMYFUNCTION("""COMPUTED_VALUE"""),890)</f>
        <v/>
      </c>
    </row>
    <row r="18099">
      <c r="J18099">
        <f>IFERROR(__xludf.DUMMYFUNCTION("""COMPUTED_VALUE"""),"Toronto, Oshawa, Belleville, ON")</f>
        <v/>
      </c>
      <c r="K18099">
        <f>IFERROR(__xludf.DUMMYFUNCTION("""COMPUTED_VALUE"""),889.59)</f>
        <v/>
      </c>
    </row>
    <row r="18100">
      <c r="J18100">
        <f>IFERROR(__xludf.DUMMYFUNCTION("""COMPUTED_VALUE"""),"Niagara Falls, Ontario, Canada
Lewiston, New York, United States")</f>
        <v/>
      </c>
      <c r="K18100">
        <f>IFERROR(__xludf.DUMMYFUNCTION("""COMPUTED_VALUE"""),889.58)</f>
        <v/>
      </c>
    </row>
    <row r="18101">
      <c r="J18101">
        <f>IFERROR(__xludf.DUMMYFUNCTION("""COMPUTED_VALUE"""),"Saint John, New Brunswick and Summerside, Prince Edward Island")</f>
        <v/>
      </c>
      <c r="K18101">
        <f>IFERROR(__xludf.DUMMYFUNCTION("""COMPUTED_VALUE"""),889.23)</f>
        <v/>
      </c>
    </row>
    <row r="18102">
      <c r="J18102">
        <f>IFERROR(__xludf.DUMMYFUNCTION("""COMPUTED_VALUE"""),"Beauharnois, Quebec, Canada")</f>
        <v/>
      </c>
      <c r="K18102">
        <f>IFERROR(__xludf.DUMMYFUNCTION("""COMPUTED_VALUE"""),889.12)</f>
        <v/>
      </c>
    </row>
    <row r="18103">
      <c r="J18103">
        <f>IFERROR(__xludf.DUMMYFUNCTION("""COMPUTED_VALUE"""),"Toronto; Midland")</f>
        <v/>
      </c>
      <c r="K18103">
        <f>IFERROR(__xludf.DUMMYFUNCTION("""COMPUTED_VALUE"""),888.87)</f>
        <v/>
      </c>
    </row>
    <row r="18104">
      <c r="J18104">
        <f>IFERROR(__xludf.DUMMYFUNCTION("""COMPUTED_VALUE"""),"Whitby ON")</f>
        <v/>
      </c>
      <c r="K18104">
        <f>IFERROR(__xludf.DUMMYFUNCTION("""COMPUTED_VALUE"""),888.86)</f>
        <v/>
      </c>
    </row>
    <row r="18105">
      <c r="J18105">
        <f>IFERROR(__xludf.DUMMYFUNCTION("""COMPUTED_VALUE"""),"Kingston, Ontario, Canada; Belleville, Ontario, Canada; Toronto, Ontario, Canada")</f>
        <v/>
      </c>
      <c r="K18105">
        <f>IFERROR(__xludf.DUMMYFUNCTION("""COMPUTED_VALUE"""),888.53)</f>
        <v/>
      </c>
    </row>
    <row r="18106">
      <c r="J18106">
        <f>IFERROR(__xludf.DUMMYFUNCTION("""COMPUTED_VALUE"""),"Kincardine, ON, Canada")</f>
        <v/>
      </c>
      <c r="K18106">
        <f>IFERROR(__xludf.DUMMYFUNCTION("""COMPUTED_VALUE"""),887.82)</f>
        <v/>
      </c>
    </row>
    <row r="18107">
      <c r="J18107">
        <f>IFERROR(__xludf.DUMMYFUNCTION("""COMPUTED_VALUE"""),"Wolfville")</f>
        <v/>
      </c>
      <c r="K18107">
        <f>IFERROR(__xludf.DUMMYFUNCTION("""COMPUTED_VALUE"""),887.38)</f>
        <v/>
      </c>
    </row>
    <row r="18108">
      <c r="J18108">
        <f>IFERROR(__xludf.DUMMYFUNCTION("""COMPUTED_VALUE"""),"Québec, Quebec, Canada; Thetford Mines, Quebec, Canada; Shawinigan, Quebec, Canada")</f>
        <v/>
      </c>
      <c r="K18108">
        <f>IFERROR(__xludf.DUMMYFUNCTION("""COMPUTED_VALUE"""),887.19)</f>
        <v/>
      </c>
    </row>
    <row r="18109">
      <c r="J18109">
        <f>IFERROR(__xludf.DUMMYFUNCTION("""COMPUTED_VALUE"""),"Québec and Gatineau (Québec) and Ottawa (Ontario) Canada")</f>
        <v/>
      </c>
      <c r="K18109">
        <f>IFERROR(__xludf.DUMMYFUNCTION("""COMPUTED_VALUE"""),887.06)</f>
        <v/>
      </c>
    </row>
    <row r="18110">
      <c r="J18110">
        <f>IFERROR(__xludf.DUMMYFUNCTION("""COMPUTED_VALUE"""),"Ottawa, ON and Boucherville, QC")</f>
        <v/>
      </c>
      <c r="K18110">
        <f>IFERROR(__xludf.DUMMYFUNCTION("""COMPUTED_VALUE"""),886.53)</f>
        <v/>
      </c>
    </row>
    <row r="18111">
      <c r="J18111">
        <f>IFERROR(__xludf.DUMMYFUNCTION("""COMPUTED_VALUE"""),"Ottawa, ON / Kitchener, ON")</f>
        <v/>
      </c>
      <c r="K18111">
        <f>IFERROR(__xludf.DUMMYFUNCTION("""COMPUTED_VALUE"""),886.37)</f>
        <v/>
      </c>
    </row>
    <row r="18112">
      <c r="J18112">
        <f>IFERROR(__xludf.DUMMYFUNCTION("""COMPUTED_VALUE"""),"Sudbury,Ontario")</f>
        <v/>
      </c>
      <c r="K18112">
        <f>IFERROR(__xludf.DUMMYFUNCTION("""COMPUTED_VALUE"""),886.07)</f>
        <v/>
      </c>
    </row>
    <row r="18113">
      <c r="J18113">
        <f>IFERROR(__xludf.DUMMYFUNCTION("""COMPUTED_VALUE"""),"Gander, NL")</f>
        <v/>
      </c>
      <c r="K18113">
        <f>IFERROR(__xludf.DUMMYFUNCTION("""COMPUTED_VALUE"""),885.77)</f>
        <v/>
      </c>
    </row>
    <row r="18114">
      <c r="J18114">
        <f>IFERROR(__xludf.DUMMYFUNCTION("""COMPUTED_VALUE"""),"Chicago, IL, Indianapolis, IN")</f>
        <v/>
      </c>
      <c r="K18114">
        <f>IFERROR(__xludf.DUMMYFUNCTION("""COMPUTED_VALUE"""),885.72)</f>
        <v/>
      </c>
    </row>
    <row r="18115">
      <c r="J18115">
        <f>IFERROR(__xludf.DUMMYFUNCTION("""COMPUTED_VALUE"""),"Halifax, ON")</f>
        <v/>
      </c>
      <c r="K18115">
        <f>IFERROR(__xludf.DUMMYFUNCTION("""COMPUTED_VALUE"""),885.62)</f>
        <v/>
      </c>
    </row>
    <row r="18116">
      <c r="J18116">
        <f>IFERROR(__xludf.DUMMYFUNCTION("""COMPUTED_VALUE"""),"Owen Sound, ON, Canada")</f>
        <v/>
      </c>
      <c r="K18116">
        <f>IFERROR(__xludf.DUMMYFUNCTION("""COMPUTED_VALUE"""),885.33)</f>
        <v/>
      </c>
    </row>
    <row r="18117">
      <c r="J18117">
        <f>IFERROR(__xludf.DUMMYFUNCTION("""COMPUTED_VALUE"""),"Ottawa, Montréal, Bécancour, Trois-Rivières, Roberval, Victoriaville")</f>
        <v/>
      </c>
      <c r="K18117">
        <f>IFERROR(__xludf.DUMMYFUNCTION("""COMPUTED_VALUE"""),885.32)</f>
        <v/>
      </c>
    </row>
    <row r="18118">
      <c r="J18118">
        <f>IFERROR(__xludf.DUMMYFUNCTION("""COMPUTED_VALUE"""),"Quebec, Quebec and Ottawa, Ontario, Canada")</f>
        <v/>
      </c>
      <c r="K18118">
        <f>IFERROR(__xludf.DUMMYFUNCTION("""COMPUTED_VALUE"""),885.21)</f>
        <v/>
      </c>
    </row>
    <row r="18119">
      <c r="J18119">
        <f>IFERROR(__xludf.DUMMYFUNCTION("""COMPUTED_VALUE"""),"Tiverton,  Georgian Bluffs, Ontario, Canada.")</f>
        <v/>
      </c>
      <c r="K18119">
        <f>IFERROR(__xludf.DUMMYFUNCTION("""COMPUTED_VALUE"""),885.14)</f>
        <v/>
      </c>
    </row>
    <row r="18120">
      <c r="J18120">
        <f>IFERROR(__xludf.DUMMYFUNCTION("""COMPUTED_VALUE"""),"KINGSTON, CALGARY")</f>
        <v/>
      </c>
      <c r="K18120">
        <f>IFERROR(__xludf.DUMMYFUNCTION("""COMPUTED_VALUE"""),885)</f>
        <v/>
      </c>
    </row>
    <row r="18121">
      <c r="J18121">
        <f>IFERROR(__xludf.DUMMYFUNCTION("""COMPUTED_VALUE"""),"Brooklyn, New York, USA")</f>
        <v/>
      </c>
      <c r="K18121">
        <f>IFERROR(__xludf.DUMMYFUNCTION("""COMPUTED_VALUE"""),884.96)</f>
        <v/>
      </c>
    </row>
    <row r="18122">
      <c r="J18122">
        <f>IFERROR(__xludf.DUMMYFUNCTION("""COMPUTED_VALUE"""),"Quebect City")</f>
        <v/>
      </c>
      <c r="K18122">
        <f>IFERROR(__xludf.DUMMYFUNCTION("""COMPUTED_VALUE"""),884.57)</f>
        <v/>
      </c>
    </row>
    <row r="18123">
      <c r="J18123">
        <f>IFERROR(__xludf.DUMMYFUNCTION("""COMPUTED_VALUE"""),"Huntsville, ON - Peterborough, ON / Peterborough, ON - Trenton, ON / Trenton, ON - Kingston, ON")</f>
        <v/>
      </c>
      <c r="K18123">
        <f>IFERROR(__xludf.DUMMYFUNCTION("""COMPUTED_VALUE"""),883.85)</f>
        <v/>
      </c>
    </row>
    <row r="18124">
      <c r="J18124">
        <f>IFERROR(__xludf.DUMMYFUNCTION("""COMPUTED_VALUE"""),"OTTAWA (ONT.)")</f>
        <v/>
      </c>
      <c r="K18124">
        <f>IFERROR(__xludf.DUMMYFUNCTION("""COMPUTED_VALUE"""),883.79)</f>
        <v/>
      </c>
    </row>
    <row r="18125">
      <c r="J18125">
        <f>IFERROR(__xludf.DUMMYFUNCTION("""COMPUTED_VALUE"""),"Kamloops BC &amp; Kelowna BC")</f>
        <v/>
      </c>
      <c r="K18125">
        <f>IFERROR(__xludf.DUMMYFUNCTION("""COMPUTED_VALUE"""),883.7)</f>
        <v/>
      </c>
    </row>
    <row r="18126">
      <c r="J18126">
        <f>IFERROR(__xludf.DUMMYFUNCTION("""COMPUTED_VALUE"""),"Gwangju, South Jeolla, South Korea")</f>
        <v/>
      </c>
      <c r="K18126">
        <f>IFERROR(__xludf.DUMMYFUNCTION("""COMPUTED_VALUE"""),883.61)</f>
        <v/>
      </c>
    </row>
    <row r="18127">
      <c r="J18127">
        <f>IFERROR(__xludf.DUMMYFUNCTION("""COMPUTED_VALUE"""),"Cobourg and Napanee, Ontario")</f>
        <v/>
      </c>
      <c r="K18127">
        <f>IFERROR(__xludf.DUMMYFUNCTION("""COMPUTED_VALUE"""),883.5)</f>
        <v/>
      </c>
    </row>
    <row r="18128">
      <c r="J18128">
        <f>IFERROR(__xludf.DUMMYFUNCTION("""COMPUTED_VALUE"""),"Fredericton, New Brunswick and Houlton, Maine")</f>
        <v/>
      </c>
      <c r="K18128">
        <f>IFERROR(__xludf.DUMMYFUNCTION("""COMPUTED_VALUE"""),883.24)</f>
        <v/>
      </c>
    </row>
    <row r="18129">
      <c r="J18129">
        <f>IFERROR(__xludf.DUMMYFUNCTION("""COMPUTED_VALUE"""),"Saskatoon, Saksatchewan")</f>
        <v/>
      </c>
      <c r="K18129">
        <f>IFERROR(__xludf.DUMMYFUNCTION("""COMPUTED_VALUE"""),883.05)</f>
        <v/>
      </c>
    </row>
    <row r="18130">
      <c r="J18130">
        <f>IFERROR(__xludf.DUMMYFUNCTION("""COMPUTED_VALUE"""),"St. Catharines, ON / Kingston,
ON")</f>
        <v/>
      </c>
      <c r="K18130">
        <f>IFERROR(__xludf.DUMMYFUNCTION("""COMPUTED_VALUE"""),883.05)</f>
        <v/>
      </c>
    </row>
    <row r="18131">
      <c r="J18131">
        <f>IFERROR(__xludf.DUMMYFUNCTION("""COMPUTED_VALUE"""),"St-Catherines, Ontario, Canada")</f>
        <v/>
      </c>
      <c r="K18131">
        <f>IFERROR(__xludf.DUMMYFUNCTION("""COMPUTED_VALUE"""),882.9)</f>
        <v/>
      </c>
    </row>
    <row r="18132">
      <c r="J18132">
        <f>IFERROR(__xludf.DUMMYFUNCTION("""COMPUTED_VALUE"""),"Summerside, PE; Charlottetown, PE")</f>
        <v/>
      </c>
      <c r="K18132">
        <f>IFERROR(__xludf.DUMMYFUNCTION("""COMPUTED_VALUE"""),882.48)</f>
        <v/>
      </c>
    </row>
    <row r="18133">
      <c r="J18133">
        <f>IFERROR(__xludf.DUMMYFUNCTION("""COMPUTED_VALUE"""),"Salvador, Rio de Janeiro")</f>
        <v/>
      </c>
      <c r="K18133">
        <f>IFERROR(__xludf.DUMMYFUNCTION("""COMPUTED_VALUE"""),881.85)</f>
        <v/>
      </c>
    </row>
    <row r="18134">
      <c r="J18134">
        <f>IFERROR(__xludf.DUMMYFUNCTION("""COMPUTED_VALUE"""),"Bampton, Ontario, Canada")</f>
        <v/>
      </c>
      <c r="K18134">
        <f>IFERROR(__xludf.DUMMYFUNCTION("""COMPUTED_VALUE"""),881.77)</f>
        <v/>
      </c>
    </row>
    <row r="18135">
      <c r="J18135">
        <f>IFERROR(__xludf.DUMMYFUNCTION("""COMPUTED_VALUE"""),"Breslau, ON")</f>
        <v/>
      </c>
      <c r="K18135">
        <f>IFERROR(__xludf.DUMMYFUNCTION("""COMPUTED_VALUE"""),881.44)</f>
        <v/>
      </c>
    </row>
    <row r="18136">
      <c r="J18136">
        <f>IFERROR(__xludf.DUMMYFUNCTION("""COMPUTED_VALUE"""),"Charlottetown, Prince Edward Island, Canada; North River, Prince Edward Island, Canada; Halifax, Nova Scotia, Canada; Bridgewater, Nova Scotia, Canada")</f>
        <v/>
      </c>
      <c r="K18136">
        <f>IFERROR(__xludf.DUMMYFUNCTION("""COMPUTED_VALUE"""),881.29)</f>
        <v/>
      </c>
    </row>
    <row r="18137">
      <c r="J18137">
        <f>IFERROR(__xludf.DUMMYFUNCTION("""COMPUTED_VALUE"""),"Ottawa, ON to Halifax, NS and Halifax, NS to Ottawa, ON")</f>
        <v/>
      </c>
      <c r="K18137">
        <f>IFERROR(__xludf.DUMMYFUNCTION("""COMPUTED_VALUE"""),880.72)</f>
        <v/>
      </c>
    </row>
    <row r="18138">
      <c r="J18138">
        <f>IFERROR(__xludf.DUMMYFUNCTION("""COMPUTED_VALUE"""),"Ottawa-Shawinigan-Trois Riviere- Ottawa")</f>
        <v/>
      </c>
      <c r="K18138">
        <f>IFERROR(__xludf.DUMMYFUNCTION("""COMPUTED_VALUE"""),880.319999999999)</f>
        <v/>
      </c>
    </row>
    <row r="18139">
      <c r="J18139">
        <f>IFERROR(__xludf.DUMMYFUNCTION("""COMPUTED_VALUE"""),"Toronto/Kitchener")</f>
        <v/>
      </c>
      <c r="K18139">
        <f>IFERROR(__xludf.DUMMYFUNCTION("""COMPUTED_VALUE"""),880.3)</f>
        <v/>
      </c>
    </row>
    <row r="18140">
      <c r="J18140">
        <f>IFERROR(__xludf.DUMMYFUNCTION("""COMPUTED_VALUE"""),"Budva, Montenegro")</f>
        <v/>
      </c>
      <c r="K18140">
        <f>IFERROR(__xludf.DUMMYFUNCTION("""COMPUTED_VALUE"""),880.19)</f>
        <v/>
      </c>
    </row>
    <row r="18141">
      <c r="J18141">
        <f>IFERROR(__xludf.DUMMYFUNCTION("""COMPUTED_VALUE"""),"Toronto and Brampton, Ontario")</f>
        <v/>
      </c>
      <c r="K18141">
        <f>IFERROR(__xludf.DUMMYFUNCTION("""COMPUTED_VALUE"""),879.69)</f>
        <v/>
      </c>
    </row>
    <row r="18142">
      <c r="J18142">
        <f>IFERROR(__xludf.DUMMYFUNCTION("""COMPUTED_VALUE"""),"Vernon, British Columbia; Kelowna, British Columbia; Kamloops, British Columbia")</f>
        <v/>
      </c>
      <c r="K18142">
        <f>IFERROR(__xludf.DUMMYFUNCTION("""COMPUTED_VALUE"""),879.35)</f>
        <v/>
      </c>
    </row>
    <row r="18143">
      <c r="J18143">
        <f>IFERROR(__xludf.DUMMYFUNCTION("""COMPUTED_VALUE"""),"Saint-Jean-Sur-Richelieu, QC")</f>
        <v/>
      </c>
      <c r="K18143">
        <f>IFERROR(__xludf.DUMMYFUNCTION("""COMPUTED_VALUE"""),879.17)</f>
        <v/>
      </c>
    </row>
    <row r="18144">
      <c r="J18144">
        <f>IFERROR(__xludf.DUMMYFUNCTION("""COMPUTED_VALUE"""),"Hamilton, ON / Mississauga, ON")</f>
        <v/>
      </c>
      <c r="K18144">
        <f>IFERROR(__xludf.DUMMYFUNCTION("""COMPUTED_VALUE"""),879.1)</f>
        <v/>
      </c>
    </row>
    <row r="18145">
      <c r="J18145">
        <f>IFERROR(__xludf.DUMMYFUNCTION("""COMPUTED_VALUE"""),"Bridgewater, Nova Scotia; Fredericton, NB")</f>
        <v/>
      </c>
      <c r="K18145">
        <f>IFERROR(__xludf.DUMMYFUNCTION("""COMPUTED_VALUE"""),878.98)</f>
        <v/>
      </c>
    </row>
    <row r="18146">
      <c r="J18146">
        <f>IFERROR(__xludf.DUMMYFUNCTION("""COMPUTED_VALUE"""),"Israel - Jordan")</f>
        <v/>
      </c>
      <c r="K18146">
        <f>IFERROR(__xludf.DUMMYFUNCTION("""COMPUTED_VALUE"""),878.93)</f>
        <v/>
      </c>
    </row>
    <row r="18147">
      <c r="J18147">
        <f>IFERROR(__xludf.DUMMYFUNCTION("""COMPUTED_VALUE"""),"Port Colborne, Ontario, Canada; Quebec City, Quebec, Canada")</f>
        <v/>
      </c>
      <c r="K18147">
        <f>IFERROR(__xludf.DUMMYFUNCTION("""COMPUTED_VALUE"""),878.81)</f>
        <v/>
      </c>
    </row>
    <row r="18148">
      <c r="J18148">
        <f>IFERROR(__xludf.DUMMYFUNCTION("""COMPUTED_VALUE"""),"Cambridge, ON / Milton, ON /
Oakville, ON / Toronto, ON /
London, ON")</f>
        <v/>
      </c>
      <c r="K18148">
        <f>IFERROR(__xludf.DUMMYFUNCTION("""COMPUTED_VALUE"""),878.64)</f>
        <v/>
      </c>
    </row>
    <row r="18149">
      <c r="J18149">
        <f>IFERROR(__xludf.DUMMYFUNCTION("""COMPUTED_VALUE"""),"CAMPBELLTON, NB")</f>
        <v/>
      </c>
      <c r="K18149">
        <f>IFERROR(__xludf.DUMMYFUNCTION("""COMPUTED_VALUE"""),878.43)</f>
        <v/>
      </c>
    </row>
    <row r="18150">
      <c r="J18150">
        <f>IFERROR(__xludf.DUMMYFUNCTION("""COMPUTED_VALUE"""),"Quesnel, BC")</f>
        <v/>
      </c>
      <c r="K18150">
        <f>IFERROR(__xludf.DUMMYFUNCTION("""COMPUTED_VALUE"""),877.81)</f>
        <v/>
      </c>
    </row>
    <row r="18151">
      <c r="J18151">
        <f>IFERROR(__xludf.DUMMYFUNCTION("""COMPUTED_VALUE"""),"Mississaug, Ontario")</f>
        <v/>
      </c>
      <c r="K18151">
        <f>IFERROR(__xludf.DUMMYFUNCTION("""COMPUTED_VALUE"""),877.43)</f>
        <v/>
      </c>
    </row>
    <row r="18152">
      <c r="J18152">
        <f>IFERROR(__xludf.DUMMYFUNCTION("""COMPUTED_VALUE"""),"Hamilton, Ontario, Canada; Mississauga, Ontario, Canada")</f>
        <v/>
      </c>
      <c r="K18152">
        <f>IFERROR(__xludf.DUMMYFUNCTION("""COMPUTED_VALUE"""),877.07)</f>
        <v/>
      </c>
    </row>
    <row r="18153">
      <c r="J18153">
        <f>IFERROR(__xludf.DUMMYFUNCTION("""COMPUTED_VALUE"""),"North Gower, Ontario")</f>
        <v/>
      </c>
      <c r="K18153">
        <f>IFERROR(__xludf.DUMMYFUNCTION("""COMPUTED_VALUE"""),876.93)</f>
        <v/>
      </c>
    </row>
    <row r="18154">
      <c r="J18154">
        <f>IFERROR(__xludf.DUMMYFUNCTION("""COMPUTED_VALUE"""),"Fort St-John, B.C.")</f>
        <v/>
      </c>
      <c r="K18154">
        <f>IFERROR(__xludf.DUMMYFUNCTION("""COMPUTED_VALUE"""),876.45)</f>
        <v/>
      </c>
    </row>
    <row r="18155">
      <c r="J18155">
        <f>IFERROR(__xludf.DUMMYFUNCTION("""COMPUTED_VALUE"""),"Folkston, Georgia")</f>
        <v/>
      </c>
      <c r="K18155">
        <f>IFERROR(__xludf.DUMMYFUNCTION("""COMPUTED_VALUE"""),876.01)</f>
        <v/>
      </c>
    </row>
    <row r="18156">
      <c r="J18156">
        <f>IFERROR(__xludf.DUMMYFUNCTION("""COMPUTED_VALUE"""),"Trois Riviere, Quebec, Canada")</f>
        <v/>
      </c>
      <c r="K18156">
        <f>IFERROR(__xludf.DUMMYFUNCTION("""COMPUTED_VALUE"""),875.97)</f>
        <v/>
      </c>
    </row>
    <row r="18157">
      <c r="J18157">
        <f>IFERROR(__xludf.DUMMYFUNCTION("""COMPUTED_VALUE"""),"Alliston")</f>
        <v/>
      </c>
      <c r="K18157">
        <f>IFERROR(__xludf.DUMMYFUNCTION("""COMPUTED_VALUE"""),875.85)</f>
        <v/>
      </c>
    </row>
    <row r="18158">
      <c r="J18158">
        <f>IFERROR(__xludf.DUMMYFUNCTION("""COMPUTED_VALUE"""),"Ottawa - Edmonton - Ottawa")</f>
        <v/>
      </c>
      <c r="K18158">
        <f>IFERROR(__xludf.DUMMYFUNCTION("""COMPUTED_VALUE"""),875.85)</f>
        <v/>
      </c>
    </row>
    <row r="18159">
      <c r="J18159">
        <f>IFERROR(__xludf.DUMMYFUNCTION("""COMPUTED_VALUE"""),"Thessaloniki, Greece")</f>
        <v/>
      </c>
      <c r="K18159">
        <f>IFERROR(__xludf.DUMMYFUNCTION("""COMPUTED_VALUE"""),875.84)</f>
        <v/>
      </c>
    </row>
    <row r="18160">
      <c r="J18160">
        <f>IFERROR(__xludf.DUMMYFUNCTION("""COMPUTED_VALUE"""),"Peace Bridge and Fort Erie, Ontario")</f>
        <v/>
      </c>
      <c r="K18160">
        <f>IFERROR(__xludf.DUMMYFUNCTION("""COMPUTED_VALUE"""),875.83)</f>
        <v/>
      </c>
    </row>
    <row r="18161">
      <c r="J18161">
        <f>IFERROR(__xludf.DUMMYFUNCTION("""COMPUTED_VALUE"""),"Alton, Ontario, Canada")</f>
        <v/>
      </c>
      <c r="K18161">
        <f>IFERROR(__xludf.DUMMYFUNCTION("""COMPUTED_VALUE"""),875.75)</f>
        <v/>
      </c>
    </row>
    <row r="18162">
      <c r="J18162">
        <f>IFERROR(__xludf.DUMMYFUNCTION("""COMPUTED_VALUE"""),"Saint-Hyacinthe, Upton, Montréal, Roberval")</f>
        <v/>
      </c>
      <c r="K18162">
        <f>IFERROR(__xludf.DUMMYFUNCTION("""COMPUTED_VALUE"""),874.71)</f>
        <v/>
      </c>
    </row>
    <row r="18163">
      <c r="J18163">
        <f>IFERROR(__xludf.DUMMYFUNCTION("""COMPUTED_VALUE"""),"Halifax, Nova Scotia, Canada and Truro, Nova Scotia, Canada")</f>
        <v/>
      </c>
      <c r="K18163">
        <f>IFERROR(__xludf.DUMMYFUNCTION("""COMPUTED_VALUE"""),874.54)</f>
        <v/>
      </c>
    </row>
    <row r="18164">
      <c r="J18164">
        <f>IFERROR(__xludf.DUMMYFUNCTION("""COMPUTED_VALUE"""),"Témiscaming, Kebaowak, Rouyn-Noranda, Val d’Or, Terrebonne, Mascouche, Crabtree, Québec, Saguenay, Mashteuiatsh, La Tuque, and Trois-Rivières, Quebec, Canada")</f>
        <v/>
      </c>
      <c r="K18164">
        <f>IFERROR(__xludf.DUMMYFUNCTION("""COMPUTED_VALUE"""),874.2)</f>
        <v/>
      </c>
    </row>
    <row r="18165">
      <c r="J18165">
        <f>IFERROR(__xludf.DUMMYFUNCTION("""COMPUTED_VALUE"""),"Saint Stephen, New Brunswick, Canada")</f>
        <v/>
      </c>
      <c r="K18165">
        <f>IFERROR(__xludf.DUMMYFUNCTION("""COMPUTED_VALUE"""),874.09)</f>
        <v/>
      </c>
    </row>
    <row r="18166">
      <c r="J18166">
        <f>IFERROR(__xludf.DUMMYFUNCTION("""COMPUTED_VALUE"""),"Mont Saint-Sauveur, Quebec, Canada")</f>
        <v/>
      </c>
      <c r="K18166">
        <f>IFERROR(__xludf.DUMMYFUNCTION("""COMPUTED_VALUE"""),873.889999999999)</f>
        <v/>
      </c>
    </row>
    <row r="18167">
      <c r="J18167">
        <f>IFERROR(__xludf.DUMMYFUNCTION("""COMPUTED_VALUE"""),"Tracadie-Sheila, Bathurst and Shippagan, New-Brunswick, Canada")</f>
        <v/>
      </c>
      <c r="K18167">
        <f>IFERROR(__xludf.DUMMYFUNCTION("""COMPUTED_VALUE"""),873.71)</f>
        <v/>
      </c>
    </row>
    <row r="18168">
      <c r="J18168">
        <f>IFERROR(__xludf.DUMMYFUNCTION("""COMPUTED_VALUE"""),"Chihuahua")</f>
        <v/>
      </c>
      <c r="K18168">
        <f>IFERROR(__xludf.DUMMYFUNCTION("""COMPUTED_VALUE"""),872.83)</f>
        <v/>
      </c>
    </row>
    <row r="18169">
      <c r="J18169">
        <f>IFERROR(__xludf.DUMMYFUNCTION("""COMPUTED_VALUE"""),"Brossard, QC; Chateauguay, QC; Boucherville, QC; Saint-Hyacinthe, QC; Granby QC; Saint-Eustache, QC")</f>
        <v/>
      </c>
      <c r="K18169">
        <f>IFERROR(__xludf.DUMMYFUNCTION("""COMPUTED_VALUE"""),872.68)</f>
        <v/>
      </c>
    </row>
    <row r="18170">
      <c r="J18170">
        <f>IFERROR(__xludf.DUMMYFUNCTION("""COMPUTED_VALUE"""),"Ottawa, ON/Resolute Bay, NU")</f>
        <v/>
      </c>
      <c r="K18170">
        <f>IFERROR(__xludf.DUMMYFUNCTION("""COMPUTED_VALUE"""),872.14)</f>
        <v/>
      </c>
    </row>
    <row r="18171">
      <c r="J18171">
        <f>IFERROR(__xludf.DUMMYFUNCTION("""COMPUTED_VALUE"""),"Rwanda and Spain")</f>
        <v/>
      </c>
      <c r="K18171">
        <f>IFERROR(__xludf.DUMMYFUNCTION("""COMPUTED_VALUE"""),872.03)</f>
        <v/>
      </c>
    </row>
    <row r="18172">
      <c r="J18172">
        <f>IFERROR(__xludf.DUMMYFUNCTION("""COMPUTED_VALUE"""),"Turkey &amp; India")</f>
        <v/>
      </c>
      <c r="K18172">
        <f>IFERROR(__xludf.DUMMYFUNCTION("""COMPUTED_VALUE"""),871.95)</f>
        <v/>
      </c>
    </row>
    <row r="18173">
      <c r="J18173">
        <f>IFERROR(__xludf.DUMMYFUNCTION("""COMPUTED_VALUE"""),"Toronto/Borden")</f>
        <v/>
      </c>
      <c r="K18173">
        <f>IFERROR(__xludf.DUMMYFUNCTION("""COMPUTED_VALUE"""),871.19)</f>
        <v/>
      </c>
    </row>
    <row r="18174">
      <c r="J18174">
        <f>IFERROR(__xludf.DUMMYFUNCTION("""COMPUTED_VALUE"""),"Sydney, N.S.")</f>
        <v/>
      </c>
      <c r="K18174">
        <f>IFERROR(__xludf.DUMMYFUNCTION("""COMPUTED_VALUE"""),871)</f>
        <v/>
      </c>
    </row>
    <row r="18175">
      <c r="J18175">
        <f>IFERROR(__xludf.DUMMYFUNCTION("""COMPUTED_VALUE"""),"Elbow, Saskatchewan, Canada; Swift Current, Saskatchewan, Canada; Assiniboia, Saskatchewan, Canada")</f>
        <v/>
      </c>
      <c r="K18175">
        <f>IFERROR(__xludf.DUMMYFUNCTION("""COMPUTED_VALUE"""),870.92)</f>
        <v/>
      </c>
    </row>
    <row r="18176">
      <c r="J18176">
        <f>IFERROR(__xludf.DUMMYFUNCTION("""COMPUTED_VALUE"""),"Fogo Island (NL)")</f>
        <v/>
      </c>
      <c r="K18176">
        <f>IFERROR(__xludf.DUMMYFUNCTION("""COMPUTED_VALUE"""),870.17)</f>
        <v/>
      </c>
    </row>
    <row r="18177">
      <c r="J18177">
        <f>IFERROR(__xludf.DUMMYFUNCTION("""COMPUTED_VALUE"""),"Quebec, La Malbaie, Quebec")</f>
        <v/>
      </c>
      <c r="K18177">
        <f>IFERROR(__xludf.DUMMYFUNCTION("""COMPUTED_VALUE"""),870.17)</f>
        <v/>
      </c>
    </row>
    <row r="18178">
      <c r="J18178">
        <f>IFERROR(__xludf.DUMMYFUNCTION("""COMPUTED_VALUE"""),"Québec - Ottawa - Québec")</f>
        <v/>
      </c>
      <c r="K18178">
        <f>IFERROR(__xludf.DUMMYFUNCTION("""COMPUTED_VALUE"""),869.55)</f>
        <v/>
      </c>
    </row>
    <row r="18179">
      <c r="J18179">
        <f>IFERROR(__xludf.DUMMYFUNCTION("""COMPUTED_VALUE"""),"Kingston,ON")</f>
        <v/>
      </c>
      <c r="K18179">
        <f>IFERROR(__xludf.DUMMYFUNCTION("""COMPUTED_VALUE"""),868.08)</f>
        <v/>
      </c>
    </row>
    <row r="18180">
      <c r="J18180">
        <f>IFERROR(__xludf.DUMMYFUNCTION("""COMPUTED_VALUE"""),"OTTAWA PART OF A 6 TICKET BIZ PACK")</f>
        <v/>
      </c>
      <c r="K18180">
        <f>IFERROR(__xludf.DUMMYFUNCTION("""COMPUTED_VALUE"""),868.04)</f>
        <v/>
      </c>
    </row>
    <row r="18181">
      <c r="J18181">
        <f>IFERROR(__xludf.DUMMYFUNCTION("""COMPUTED_VALUE"""),"Saint-Nazaire, France")</f>
        <v/>
      </c>
      <c r="K18181">
        <f>IFERROR(__xludf.DUMMYFUNCTION("""COMPUTED_VALUE"""),868)</f>
        <v/>
      </c>
    </row>
    <row r="18182">
      <c r="J18182">
        <f>IFERROR(__xludf.DUMMYFUNCTION("""COMPUTED_VALUE"""),"Toronto and Montréal")</f>
        <v/>
      </c>
      <c r="K18182">
        <f>IFERROR(__xludf.DUMMYFUNCTION("""COMPUTED_VALUE"""),867.86)</f>
        <v/>
      </c>
    </row>
    <row r="18183">
      <c r="J18183">
        <f>IFERROR(__xludf.DUMMYFUNCTION("""COMPUTED_VALUE"""),"Atlanta, Georgia, US")</f>
        <v/>
      </c>
      <c r="K18183">
        <f>IFERROR(__xludf.DUMMYFUNCTION("""COMPUTED_VALUE"""),867.5)</f>
        <v/>
      </c>
    </row>
    <row r="18184">
      <c r="J18184">
        <f>IFERROR(__xludf.DUMMYFUNCTION("""COMPUTED_VALUE"""),"Owen Sound, Ontario, Canada; Barrie, Ontario, Canada")</f>
        <v/>
      </c>
      <c r="K18184">
        <f>IFERROR(__xludf.DUMMYFUNCTION("""COMPUTED_VALUE"""),867.35)</f>
        <v/>
      </c>
    </row>
    <row r="18185">
      <c r="J18185">
        <f>IFERROR(__xludf.DUMMYFUNCTION("""COMPUTED_VALUE"""),"Repentigny (Quebec) Canada; Compton (Quebec) Canada")</f>
        <v/>
      </c>
      <c r="K18185">
        <f>IFERROR(__xludf.DUMMYFUNCTION("""COMPUTED_VALUE"""),867.33)</f>
        <v/>
      </c>
    </row>
    <row r="18186">
      <c r="J18186">
        <f>IFERROR(__xludf.DUMMYFUNCTION("""COMPUTED_VALUE"""),"Beauport, Quebec, Canada")</f>
        <v/>
      </c>
      <c r="K18186">
        <f>IFERROR(__xludf.DUMMYFUNCTION("""COMPUTED_VALUE"""),867.11)</f>
        <v/>
      </c>
    </row>
    <row r="18187">
      <c r="J18187">
        <f>IFERROR(__xludf.DUMMYFUNCTION("""COMPUTED_VALUE"""),"Belleville, London and Stratford Ontario, Canada")</f>
        <v/>
      </c>
      <c r="K18187">
        <f>IFERROR(__xludf.DUMMYFUNCTION("""COMPUTED_VALUE"""),866.77)</f>
        <v/>
      </c>
    </row>
    <row r="18188">
      <c r="J18188">
        <f>IFERROR(__xludf.DUMMYFUNCTION("""COMPUTED_VALUE"""),"WINDSOR, NS")</f>
        <v/>
      </c>
      <c r="K18188">
        <f>IFERROR(__xludf.DUMMYFUNCTION("""COMPUTED_VALUE"""),866.75)</f>
        <v/>
      </c>
    </row>
    <row r="18189">
      <c r="J18189">
        <f>IFERROR(__xludf.DUMMYFUNCTION("""COMPUTED_VALUE"""),"Kingston (Ontario), Canada")</f>
        <v/>
      </c>
      <c r="K18189">
        <f>IFERROR(__xludf.DUMMYFUNCTION("""COMPUTED_VALUE"""),866.46)</f>
        <v/>
      </c>
    </row>
    <row r="18190">
      <c r="J18190">
        <f>IFERROR(__xludf.DUMMYFUNCTION("""COMPUTED_VALUE"""),"Honoluli, Hawaii, USA")</f>
        <v/>
      </c>
      <c r="K18190">
        <f>IFERROR(__xludf.DUMMYFUNCTION("""COMPUTED_VALUE"""),866.42)</f>
        <v/>
      </c>
    </row>
    <row r="18191">
      <c r="J18191">
        <f>IFERROR(__xludf.DUMMYFUNCTION("""COMPUTED_VALUE"""),"Cornwall, Ontario, Canada; Akwesanse, Ontario, Canada")</f>
        <v/>
      </c>
      <c r="K18191">
        <f>IFERROR(__xludf.DUMMYFUNCTION("""COMPUTED_VALUE"""),866.19)</f>
        <v/>
      </c>
    </row>
    <row r="18192">
      <c r="J18192">
        <f>IFERROR(__xludf.DUMMYFUNCTION("""COMPUTED_VALUE"""),"Montreal, Quebec, Canada; Sainte-Anne-de-Beaupre, Quebec, Canada")</f>
        <v/>
      </c>
      <c r="K18192">
        <f>IFERROR(__xludf.DUMMYFUNCTION("""COMPUTED_VALUE"""),865.95)</f>
        <v/>
      </c>
    </row>
    <row r="18193">
      <c r="J18193">
        <f>IFERROR(__xludf.DUMMYFUNCTION("""COMPUTED_VALUE"""),"Rama, Ontario")</f>
        <v/>
      </c>
      <c r="K18193">
        <f>IFERROR(__xludf.DUMMYFUNCTION("""COMPUTED_VALUE"""),865.58)</f>
        <v/>
      </c>
    </row>
    <row r="18194">
      <c r="J18194">
        <f>IFERROR(__xludf.DUMMYFUNCTION("""COMPUTED_VALUE"""),"Calgary, Alberta, Canada /  Vancouver, British Columbia, Canada")</f>
        <v/>
      </c>
      <c r="K18194">
        <f>IFERROR(__xludf.DUMMYFUNCTION("""COMPUTED_VALUE"""),865.34)</f>
        <v/>
      </c>
    </row>
    <row r="18195">
      <c r="J18195">
        <f>IFERROR(__xludf.DUMMYFUNCTION("""COMPUTED_VALUE"""),"Philadelphia, USA (Moorestown)")</f>
        <v/>
      </c>
      <c r="K18195">
        <f>IFERROR(__xludf.DUMMYFUNCTION("""COMPUTED_VALUE"""),865.14)</f>
        <v/>
      </c>
    </row>
    <row r="18196">
      <c r="J18196">
        <f>IFERROR(__xludf.DUMMYFUNCTION("""COMPUTED_VALUE"""),"Toronto, Ontario, Canada; Hamilton, Ontario, Canada; Waterloo, Ontario, Canada")</f>
        <v/>
      </c>
      <c r="K18196">
        <f>IFERROR(__xludf.DUMMYFUNCTION("""COMPUTED_VALUE"""),864.86)</f>
        <v/>
      </c>
    </row>
    <row r="18197">
      <c r="J18197">
        <f>IFERROR(__xludf.DUMMYFUNCTION("""COMPUTED_VALUE"""),"OTTAWA (ON)")</f>
        <v/>
      </c>
      <c r="K18197">
        <f>IFERROR(__xludf.DUMMYFUNCTION("""COMPUTED_VALUE"""),864.62)</f>
        <v/>
      </c>
    </row>
    <row r="18198">
      <c r="J18198">
        <f>IFERROR(__xludf.DUMMYFUNCTION("""COMPUTED_VALUE"""),"Québec, QC; Chicoutimi, QC; Shawinigan, QC")</f>
        <v/>
      </c>
      <c r="K18198">
        <f>IFERROR(__xludf.DUMMYFUNCTION("""COMPUTED_VALUE"""),864.36)</f>
        <v/>
      </c>
    </row>
    <row r="18199">
      <c r="J18199">
        <f>IFERROR(__xludf.DUMMYFUNCTION("""COMPUTED_VALUE"""),"Halifax, Nova Scotia, Canada; St. John's, Newfoundland and Labrador, Canada; Halifax, Nova Scotia, Canada")</f>
        <v/>
      </c>
      <c r="K18199">
        <f>IFERROR(__xludf.DUMMYFUNCTION("""COMPUTED_VALUE"""),864.15)</f>
        <v/>
      </c>
    </row>
    <row r="18200">
      <c r="J18200">
        <f>IFERROR(__xludf.DUMMYFUNCTION("""COMPUTED_VALUE"""),"Oshawa, ON / Waterloo, ON")</f>
        <v/>
      </c>
      <c r="K18200">
        <f>IFERROR(__xludf.DUMMYFUNCTION("""COMPUTED_VALUE"""),863.84)</f>
        <v/>
      </c>
    </row>
    <row r="18201">
      <c r="J18201">
        <f>IFERROR(__xludf.DUMMYFUNCTION("""COMPUTED_VALUE"""),"Boucherville, QC and Montreal, QC")</f>
        <v/>
      </c>
      <c r="K18201">
        <f>IFERROR(__xludf.DUMMYFUNCTION("""COMPUTED_VALUE"""),863.79)</f>
        <v/>
      </c>
    </row>
    <row r="18202">
      <c r="J18202">
        <f>IFERROR(__xludf.DUMMYFUNCTION("""COMPUTED_VALUE"""),"Valcartier and Charlevoix")</f>
        <v/>
      </c>
      <c r="K18202">
        <f>IFERROR(__xludf.DUMMYFUNCTION("""COMPUTED_VALUE"""),863.28)</f>
        <v/>
      </c>
    </row>
    <row r="18203">
      <c r="J18203">
        <f>IFERROR(__xludf.DUMMYFUNCTION("""COMPUTED_VALUE"""),"DARTMOUTH,NS")</f>
        <v/>
      </c>
      <c r="K18203">
        <f>IFERROR(__xludf.DUMMYFUNCTION("""COMPUTED_VALUE"""),862.6)</f>
        <v/>
      </c>
    </row>
    <row r="18204">
      <c r="J18204">
        <f>IFERROR(__xludf.DUMMYFUNCTION("""COMPUTED_VALUE"""),"Ottawa-Quebec-Ottawa")</f>
        <v/>
      </c>
      <c r="K18204">
        <f>IFERROR(__xludf.DUMMYFUNCTION("""COMPUTED_VALUE"""),862.05)</f>
        <v/>
      </c>
    </row>
    <row r="18205">
      <c r="J18205">
        <f>IFERROR(__xludf.DUMMYFUNCTION("""COMPUTED_VALUE"""),"Halifax, Nova Scotia, Canada; Amherst, Nova Scotia, Canada; O'Leary, Prince Edward Island, Canada; Souris, Prince Edward Island, Canada")</f>
        <v/>
      </c>
      <c r="K18205">
        <f>IFERROR(__xludf.DUMMYFUNCTION("""COMPUTED_VALUE"""),861.41)</f>
        <v/>
      </c>
    </row>
    <row r="18206">
      <c r="J18206">
        <f>IFERROR(__xludf.DUMMYFUNCTION("""COMPUTED_VALUE"""),"Simcoe (Ontario) Canada")</f>
        <v/>
      </c>
      <c r="K18206">
        <f>IFERROR(__xludf.DUMMYFUNCTION("""COMPUTED_VALUE"""),861.4)</f>
        <v/>
      </c>
    </row>
    <row r="18207">
      <c r="J18207">
        <f>IFERROR(__xludf.DUMMYFUNCTION("""COMPUTED_VALUE"""),"Stony Point, Ontario")</f>
        <v/>
      </c>
      <c r="K18207">
        <f>IFERROR(__xludf.DUMMYFUNCTION("""COMPUTED_VALUE"""),860.83)</f>
        <v/>
      </c>
    </row>
    <row r="18208">
      <c r="J18208">
        <f>IFERROR(__xludf.DUMMYFUNCTION("""COMPUTED_VALUE"""),"Victoria, BC and Nanaimo, BC")</f>
        <v/>
      </c>
      <c r="K18208">
        <f>IFERROR(__xludf.DUMMYFUNCTION("""COMPUTED_VALUE"""),860.55)</f>
        <v/>
      </c>
    </row>
    <row r="18209">
      <c r="J18209">
        <f>IFERROR(__xludf.DUMMYFUNCTION("""COMPUTED_VALUE"""),"Kingston, ON; Montréal, QC")</f>
        <v/>
      </c>
      <c r="K18209">
        <f>IFERROR(__xludf.DUMMYFUNCTION("""COMPUTED_VALUE"""),860.54)</f>
        <v/>
      </c>
    </row>
    <row r="18210">
      <c r="J18210">
        <f>IFERROR(__xludf.DUMMYFUNCTION("""COMPUTED_VALUE"""),"Royalmount and Saint-Augustin-de-Desmaures, Quebec, Canada")</f>
        <v/>
      </c>
      <c r="K18210">
        <f>IFERROR(__xludf.DUMMYFUNCTION("""COMPUTED_VALUE"""),860.45)</f>
        <v/>
      </c>
    </row>
    <row r="18211">
      <c r="J18211">
        <f>IFERROR(__xludf.DUMMYFUNCTION("""COMPUTED_VALUE"""),"Saint-Lambert, Quebec, Canada")</f>
        <v/>
      </c>
      <c r="K18211">
        <f>IFERROR(__xludf.DUMMYFUNCTION("""COMPUTED_VALUE"""),860.079999999999)</f>
        <v/>
      </c>
    </row>
    <row r="18212">
      <c r="J18212">
        <f>IFERROR(__xludf.DUMMYFUNCTION("""COMPUTED_VALUE"""),"Whitby, ON; Toronto, ON")</f>
        <v/>
      </c>
      <c r="K18212">
        <f>IFERROR(__xludf.DUMMYFUNCTION("""COMPUTED_VALUE"""),859.63)</f>
        <v/>
      </c>
    </row>
    <row r="18213">
      <c r="J18213">
        <f>IFERROR(__xludf.DUMMYFUNCTION("""COMPUTED_VALUE"""),"Halifax, Nova Scotia
Canada")</f>
        <v/>
      </c>
      <c r="K18213">
        <f>IFERROR(__xludf.DUMMYFUNCTION("""COMPUTED_VALUE"""),859.06)</f>
        <v/>
      </c>
    </row>
    <row r="18214">
      <c r="J18214">
        <f>IFERROR(__xludf.DUMMYFUNCTION("""COMPUTED_VALUE"""),"Montreal, QC, Ottawa, ON")</f>
        <v/>
      </c>
      <c r="K18214">
        <f>IFERROR(__xludf.DUMMYFUNCTION("""COMPUTED_VALUE"""),859.06)</f>
        <v/>
      </c>
    </row>
    <row r="18215">
      <c r="J18215">
        <f>IFERROR(__xludf.DUMMYFUNCTION("""COMPUTED_VALUE"""),"Trois-Rivières, Ottawa")</f>
        <v/>
      </c>
      <c r="K18215">
        <f>IFERROR(__xludf.DUMMYFUNCTION("""COMPUTED_VALUE"""),858.9)</f>
        <v/>
      </c>
    </row>
    <row r="18216">
      <c r="J18216">
        <f>IFERROR(__xludf.DUMMYFUNCTION("""COMPUTED_VALUE"""),"Volos, Greece")</f>
        <v/>
      </c>
      <c r="K18216">
        <f>IFERROR(__xludf.DUMMYFUNCTION("""COMPUTED_VALUE"""),858.87)</f>
        <v/>
      </c>
    </row>
    <row r="18217">
      <c r="J18217">
        <f>IFERROR(__xludf.DUMMYFUNCTION("""COMPUTED_VALUE"""),"Fort St. John, BC")</f>
        <v/>
      </c>
      <c r="K18217">
        <f>IFERROR(__xludf.DUMMYFUNCTION("""COMPUTED_VALUE"""),858.68)</f>
        <v/>
      </c>
    </row>
    <row r="18218">
      <c r="J18218">
        <f>IFERROR(__xludf.DUMMYFUNCTION("""COMPUTED_VALUE"""),"York, Ontario, Ontario")</f>
        <v/>
      </c>
      <c r="K18218">
        <f>IFERROR(__xludf.DUMMYFUNCTION("""COMPUTED_VALUE"""),858.6)</f>
        <v/>
      </c>
    </row>
    <row r="18219">
      <c r="J18219">
        <f>IFERROR(__xludf.DUMMYFUNCTION("""COMPUTED_VALUE"""),"Shawinigan-Sud, QC")</f>
        <v/>
      </c>
      <c r="K18219">
        <f>IFERROR(__xludf.DUMMYFUNCTION("""COMPUTED_VALUE"""),858.319999999999)</f>
        <v/>
      </c>
    </row>
    <row r="18220">
      <c r="J18220">
        <f>IFERROR(__xludf.DUMMYFUNCTION("""COMPUTED_VALUE"""),"Ottawa, Ontario / Montreal, Quebec")</f>
        <v/>
      </c>
      <c r="K18220">
        <f>IFERROR(__xludf.DUMMYFUNCTION("""COMPUTED_VALUE"""),858.15)</f>
        <v/>
      </c>
    </row>
    <row r="18221">
      <c r="J18221">
        <f>IFERROR(__xludf.DUMMYFUNCTION("""COMPUTED_VALUE"""),"Drummondville and Montreal, Quebec")</f>
        <v/>
      </c>
      <c r="K18221">
        <f>IFERROR(__xludf.DUMMYFUNCTION("""COMPUTED_VALUE"""),858.09)</f>
        <v/>
      </c>
    </row>
    <row r="18222">
      <c r="J18222">
        <f>IFERROR(__xludf.DUMMYFUNCTION("""COMPUTED_VALUE"""),"Charlottetown, ( Prince Edward Island)")</f>
        <v/>
      </c>
      <c r="K18222">
        <f>IFERROR(__xludf.DUMMYFUNCTION("""COMPUTED_VALUE"""),858.08)</f>
        <v/>
      </c>
    </row>
    <row r="18223">
      <c r="J18223">
        <f>IFERROR(__xludf.DUMMYFUNCTION("""COMPUTED_VALUE"""),"Moncton, New Brunswick, Canada; Shediac, New Brunswick, Canada")</f>
        <v/>
      </c>
      <c r="K18223">
        <f>IFERROR(__xludf.DUMMYFUNCTION("""COMPUTED_VALUE"""),857.06)</f>
        <v/>
      </c>
    </row>
    <row r="18224">
      <c r="J18224">
        <f>IFERROR(__xludf.DUMMYFUNCTION("""COMPUTED_VALUE"""),"Gananoque, ON / Cornwall, ON")</f>
        <v/>
      </c>
      <c r="K18224">
        <f>IFERROR(__xludf.DUMMYFUNCTION("""COMPUTED_VALUE"""),856)</f>
        <v/>
      </c>
    </row>
    <row r="18225">
      <c r="J18225">
        <f>IFERROR(__xludf.DUMMYFUNCTION("""COMPUTED_VALUE"""),"Brockville, Ontario, Canada")</f>
        <v/>
      </c>
      <c r="K18225">
        <f>IFERROR(__xludf.DUMMYFUNCTION("""COMPUTED_VALUE"""),855.969999999999)</f>
        <v/>
      </c>
    </row>
    <row r="18226">
      <c r="J18226">
        <f>IFERROR(__xludf.DUMMYFUNCTION("""COMPUTED_VALUE"""),"Lac-Megantic and Toronto")</f>
        <v/>
      </c>
      <c r="K18226">
        <f>IFERROR(__xludf.DUMMYFUNCTION("""COMPUTED_VALUE"""),855.81)</f>
        <v/>
      </c>
    </row>
    <row r="18227">
      <c r="J18227">
        <f>IFERROR(__xludf.DUMMYFUNCTION("""COMPUTED_VALUE"""),"Saint- Antoine, QC")</f>
        <v/>
      </c>
      <c r="K18227">
        <f>IFERROR(__xludf.DUMMYFUNCTION("""COMPUTED_VALUE"""),855.67)</f>
        <v/>
      </c>
    </row>
    <row r="18228">
      <c r="J18228">
        <f>IFERROR(__xludf.DUMMYFUNCTION("""COMPUTED_VALUE"""),"Tirane, Albania")</f>
        <v/>
      </c>
      <c r="K18228">
        <f>IFERROR(__xludf.DUMMYFUNCTION("""COMPUTED_VALUE"""),855.55)</f>
        <v/>
      </c>
    </row>
    <row r="18229">
      <c r="J18229">
        <f>IFERROR(__xludf.DUMMYFUNCTION("""COMPUTED_VALUE"""),"Sydney, Nova Scotia, Canada; Cape Breton, Nova Scotia, Canada")</f>
        <v/>
      </c>
      <c r="K18229">
        <f>IFERROR(__xludf.DUMMYFUNCTION("""COMPUTED_VALUE"""),855.48)</f>
        <v/>
      </c>
    </row>
    <row r="18230">
      <c r="J18230">
        <f>IFERROR(__xludf.DUMMYFUNCTION("""COMPUTED_VALUE"""),"Fredericton, NN")</f>
        <v/>
      </c>
      <c r="K18230">
        <f>IFERROR(__xludf.DUMMYFUNCTION("""COMPUTED_VALUE"""),855.3)</f>
        <v/>
      </c>
    </row>
    <row r="18231">
      <c r="J18231">
        <f>IFERROR(__xludf.DUMMYFUNCTION("""COMPUTED_VALUE"""),"Kingston, Toronto, ON")</f>
        <v/>
      </c>
      <c r="K18231">
        <f>IFERROR(__xludf.DUMMYFUNCTION("""COMPUTED_VALUE"""),855.21)</f>
        <v/>
      </c>
    </row>
    <row r="18232">
      <c r="J18232">
        <f>IFERROR(__xludf.DUMMYFUNCTION("""COMPUTED_VALUE"""),"Quebec City, Quebec / Montreal, Quebec")</f>
        <v/>
      </c>
      <c r="K18232">
        <f>IFERROR(__xludf.DUMMYFUNCTION("""COMPUTED_VALUE"""),855.14)</f>
        <v/>
      </c>
    </row>
    <row r="18233">
      <c r="J18233">
        <f>IFERROR(__xludf.DUMMYFUNCTION("""COMPUTED_VALUE"""),"Rimouski, New Richmond")</f>
        <v/>
      </c>
      <c r="K18233">
        <f>IFERROR(__xludf.DUMMYFUNCTION("""COMPUTED_VALUE"""),854.8)</f>
        <v/>
      </c>
    </row>
    <row r="18234">
      <c r="J18234">
        <f>IFERROR(__xludf.DUMMYFUNCTION("""COMPUTED_VALUE"""),"Gatineau - Québec City - Gatineau")</f>
        <v/>
      </c>
      <c r="K18234">
        <f>IFERROR(__xludf.DUMMYFUNCTION("""COMPUTED_VALUE"""),854.62)</f>
        <v/>
      </c>
    </row>
    <row r="18235">
      <c r="J18235">
        <f>IFERROR(__xludf.DUMMYFUNCTION("""COMPUTED_VALUE"""),"Quebec &amp;  La Malbaie, Quebec")</f>
        <v/>
      </c>
      <c r="K18235">
        <f>IFERROR(__xludf.DUMMYFUNCTION("""COMPUTED_VALUE"""),854.57)</f>
        <v/>
      </c>
    </row>
    <row r="18236">
      <c r="J18236">
        <f>IFERROR(__xludf.DUMMYFUNCTION("""COMPUTED_VALUE"""),"Vancouver, Brtitish Columbia, Canada")</f>
        <v/>
      </c>
      <c r="K18236">
        <f>IFERROR(__xludf.DUMMYFUNCTION("""COMPUTED_VALUE"""),853.94)</f>
        <v/>
      </c>
    </row>
    <row r="18237">
      <c r="J18237">
        <f>IFERROR(__xludf.DUMMYFUNCTION("""COMPUTED_VALUE"""),"Toronto,  Ontario")</f>
        <v/>
      </c>
      <c r="K18237">
        <f>IFERROR(__xludf.DUMMYFUNCTION("""COMPUTED_VALUE"""),853.66)</f>
        <v/>
      </c>
    </row>
    <row r="18238">
      <c r="J18238">
        <f>IFERROR(__xludf.DUMMYFUNCTION("""COMPUTED_VALUE"""),"Gatineau, St-Bruno-de-Montarville, Drummondville")</f>
        <v/>
      </c>
      <c r="K18238">
        <f>IFERROR(__xludf.DUMMYFUNCTION("""COMPUTED_VALUE"""),853.44)</f>
        <v/>
      </c>
    </row>
    <row r="18239">
      <c r="J18239">
        <f>IFERROR(__xludf.DUMMYFUNCTION("""COMPUTED_VALUE"""),"Charlottetown, Price Edward island")</f>
        <v/>
      </c>
      <c r="K18239">
        <f>IFERROR(__xludf.DUMMYFUNCTION("""COMPUTED_VALUE"""),853.39)</f>
        <v/>
      </c>
    </row>
    <row r="18240">
      <c r="J18240">
        <f>IFERROR(__xludf.DUMMYFUNCTION("""COMPUTED_VALUE"""),"Monterrey and Saltillo")</f>
        <v/>
      </c>
      <c r="K18240">
        <f>IFERROR(__xludf.DUMMYFUNCTION("""COMPUTED_VALUE"""),853.37)</f>
        <v/>
      </c>
    </row>
    <row r="18241">
      <c r="J18241">
        <f>IFERROR(__xludf.DUMMYFUNCTION("""COMPUTED_VALUE"""),"Collingwood, Ontario/Kincardine, Ontario")</f>
        <v/>
      </c>
      <c r="K18241">
        <f>IFERROR(__xludf.DUMMYFUNCTION("""COMPUTED_VALUE"""),851.46)</f>
        <v/>
      </c>
    </row>
    <row r="18242">
      <c r="J18242">
        <f>IFERROR(__xludf.DUMMYFUNCTION("""COMPUTED_VALUE"""),"Sherbrooke, Québec, Canada")</f>
        <v/>
      </c>
      <c r="K18242">
        <f>IFERROR(__xludf.DUMMYFUNCTION("""COMPUTED_VALUE"""),851.46)</f>
        <v/>
      </c>
    </row>
    <row r="18243">
      <c r="J18243">
        <f>IFERROR(__xludf.DUMMYFUNCTION("""COMPUTED_VALUE"""),"Ottawa - Lévis - Valcartier - Québec City - Ottawa")</f>
        <v/>
      </c>
      <c r="K18243">
        <f>IFERROR(__xludf.DUMMYFUNCTION("""COMPUTED_VALUE"""),850.54)</f>
        <v/>
      </c>
    </row>
    <row r="18244">
      <c r="J18244">
        <f>IFERROR(__xludf.DUMMYFUNCTION("""COMPUTED_VALUE"""),"Toronto, Borden, ON")</f>
        <v/>
      </c>
      <c r="K18244">
        <f>IFERROR(__xludf.DUMMYFUNCTION("""COMPUTED_VALUE"""),850.28)</f>
        <v/>
      </c>
    </row>
    <row r="18245">
      <c r="J18245">
        <f>IFERROR(__xludf.DUMMYFUNCTION("""COMPUTED_VALUE"""),"Lansing,  Michigan and Toronto, Ontario")</f>
        <v/>
      </c>
      <c r="K18245">
        <f>IFERROR(__xludf.DUMMYFUNCTION("""COMPUTED_VALUE"""),850.1)</f>
        <v/>
      </c>
    </row>
    <row r="18246">
      <c r="J18246">
        <f>IFERROR(__xludf.DUMMYFUNCTION("""COMPUTED_VALUE"""),"LONDON AND WARWICK HOTEL FEES HAD TO BE PAID")</f>
        <v/>
      </c>
      <c r="K18246">
        <f>IFERROR(__xludf.DUMMYFUNCTION("""COMPUTED_VALUE"""),850)</f>
        <v/>
      </c>
    </row>
    <row r="18247">
      <c r="J18247">
        <f>IFERROR(__xludf.DUMMYFUNCTION("""COMPUTED_VALUE"""),"LONDON AND WARWICK HOTEL FEES TO PAY")</f>
        <v/>
      </c>
      <c r="K18247">
        <f>IFERROR(__xludf.DUMMYFUNCTION("""COMPUTED_VALUE"""),850)</f>
        <v/>
      </c>
    </row>
    <row r="18248">
      <c r="J18248">
        <f>IFERROR(__xludf.DUMMYFUNCTION("""COMPUTED_VALUE"""),"Guelph, Ontario, Canada 
Toronto, Ontario, Canada")</f>
        <v/>
      </c>
      <c r="K18248">
        <f>IFERROR(__xludf.DUMMYFUNCTION("""COMPUTED_VALUE"""),849.99)</f>
        <v/>
      </c>
    </row>
    <row r="18249">
      <c r="J18249">
        <f>IFERROR(__xludf.DUMMYFUNCTION("""COMPUTED_VALUE"""),"Halifax, Nova Scotia, Canada; Truro, Nova Scotia, Canada; Amherst, Nova Scotia, Canada; Bridgewater, Nova Scotia, Canada; New Glasgow, Nova Scotia, Canada; Antigonish, Nova Scotia, Canada; Bedford, Nova Scotia, Canada")</f>
        <v/>
      </c>
      <c r="K18249">
        <f>IFERROR(__xludf.DUMMYFUNCTION("""COMPUTED_VALUE"""),849.86)</f>
        <v/>
      </c>
    </row>
    <row r="18250">
      <c r="J18250">
        <f>IFERROR(__xludf.DUMMYFUNCTION("""COMPUTED_VALUE"""),"Ottawa, ON Belleville, ON")</f>
        <v/>
      </c>
      <c r="K18250">
        <f>IFERROR(__xludf.DUMMYFUNCTION("""COMPUTED_VALUE"""),849.75)</f>
        <v/>
      </c>
    </row>
    <row r="18251">
      <c r="J18251">
        <f>IFERROR(__xludf.DUMMYFUNCTION("""COMPUTED_VALUE"""),"Vancouver, British Columbia, Canada, Winnipeg, Manitoba, Canada")</f>
        <v/>
      </c>
      <c r="K18251">
        <f>IFERROR(__xludf.DUMMYFUNCTION("""COMPUTED_VALUE"""),849.57)</f>
        <v/>
      </c>
    </row>
    <row r="18252">
      <c r="J18252">
        <f>IFERROR(__xludf.DUMMYFUNCTION("""COMPUTED_VALUE"""),"Goias")</f>
        <v/>
      </c>
      <c r="K18252">
        <f>IFERROR(__xludf.DUMMYFUNCTION("""COMPUTED_VALUE"""),849.42)</f>
        <v/>
      </c>
    </row>
    <row r="18253">
      <c r="J18253">
        <f>IFERROR(__xludf.DUMMYFUNCTION("""COMPUTED_VALUE"""),"Rama, ON")</f>
        <v/>
      </c>
      <c r="K18253">
        <f>IFERROR(__xludf.DUMMYFUNCTION("""COMPUTED_VALUE"""),849)</f>
        <v/>
      </c>
    </row>
    <row r="18254">
      <c r="J18254">
        <f>IFERROR(__xludf.DUMMYFUNCTION("""COMPUTED_VALUE"""),"Vancouver, British Columbia, Canada / Montreal, Quebec, Canada")</f>
        <v/>
      </c>
      <c r="K18254">
        <f>IFERROR(__xludf.DUMMYFUNCTION("""COMPUTED_VALUE"""),848.62)</f>
        <v/>
      </c>
    </row>
    <row r="18255">
      <c r="J18255">
        <f>IFERROR(__xludf.DUMMYFUNCTION("""COMPUTED_VALUE"""),"Toronto, Waterloo, ON")</f>
        <v/>
      </c>
      <c r="K18255">
        <f>IFERROR(__xludf.DUMMYFUNCTION("""COMPUTED_VALUE"""),848.48)</f>
        <v/>
      </c>
    </row>
    <row r="18256">
      <c r="J18256">
        <f>IFERROR(__xludf.DUMMYFUNCTION("""COMPUTED_VALUE"""),"St-Raymond-de-Portneuf, Québec, Mont-Joli, Amqui, Rivière-du-Loup")</f>
        <v/>
      </c>
      <c r="K18256">
        <f>IFERROR(__xludf.DUMMYFUNCTION("""COMPUTED_VALUE"""),848.47)</f>
        <v/>
      </c>
    </row>
    <row r="18257">
      <c r="J18257">
        <f>IFERROR(__xludf.DUMMYFUNCTION("""COMPUTED_VALUE"""),"St-Thomas, ON / London, ON /
Kingston, ON / Cornwall, ON")</f>
        <v/>
      </c>
      <c r="K18257">
        <f>IFERROR(__xludf.DUMMYFUNCTION("""COMPUTED_VALUE"""),848.39)</f>
        <v/>
      </c>
    </row>
    <row r="18258">
      <c r="J18258">
        <f>IFERROR(__xludf.DUMMYFUNCTION("""COMPUTED_VALUE"""),"Sweden and Latvia")</f>
        <v/>
      </c>
      <c r="K18258">
        <f>IFERROR(__xludf.DUMMYFUNCTION("""COMPUTED_VALUE"""),847.93)</f>
        <v/>
      </c>
    </row>
    <row r="18259">
      <c r="J18259">
        <f>IFERROR(__xludf.DUMMYFUNCTION("""COMPUTED_VALUE"""),"Saint Sauveur, Québec")</f>
        <v/>
      </c>
      <c r="K18259">
        <f>IFERROR(__xludf.DUMMYFUNCTION("""COMPUTED_VALUE"""),847.77)</f>
        <v/>
      </c>
    </row>
    <row r="18260">
      <c r="J18260">
        <f>IFERROR(__xludf.DUMMYFUNCTION("""COMPUTED_VALUE"""),"Ottawa - Montreal - Quebec - Ottawa")</f>
        <v/>
      </c>
      <c r="K18260">
        <f>IFERROR(__xludf.DUMMYFUNCTION("""COMPUTED_VALUE"""),847.42)</f>
        <v/>
      </c>
    </row>
    <row r="18261">
      <c r="J18261">
        <f>IFERROR(__xludf.DUMMYFUNCTION("""COMPUTED_VALUE"""),"Gaspé &amp; Montreal, Quebec, Canada")</f>
        <v/>
      </c>
      <c r="K18261">
        <f>IFERROR(__xludf.DUMMYFUNCTION("""COMPUTED_VALUE"""),846.75)</f>
        <v/>
      </c>
    </row>
    <row r="18262">
      <c r="J18262">
        <f>IFERROR(__xludf.DUMMYFUNCTION("""COMPUTED_VALUE"""),"Ottawa - Lévis - Valcartier - Lévis - Ottawa")</f>
        <v/>
      </c>
      <c r="K18262">
        <f>IFERROR(__xludf.DUMMYFUNCTION("""COMPUTED_VALUE"""),846.19)</f>
        <v/>
      </c>
    </row>
    <row r="18263">
      <c r="J18263">
        <f>IFERROR(__xludf.DUMMYFUNCTION("""COMPUTED_VALUE"""),"Montreal, Quebec, Canada; Mississauga, Ontario, Canada")</f>
        <v/>
      </c>
      <c r="K18263">
        <f>IFERROR(__xludf.DUMMYFUNCTION("""COMPUTED_VALUE"""),845.85)</f>
        <v/>
      </c>
    </row>
    <row r="18264">
      <c r="J18264">
        <f>IFERROR(__xludf.DUMMYFUNCTION("""COMPUTED_VALUE"""),"Tijuana")</f>
        <v/>
      </c>
      <c r="K18264">
        <f>IFERROR(__xludf.DUMMYFUNCTION("""COMPUTED_VALUE"""),845.34)</f>
        <v/>
      </c>
    </row>
    <row r="18265">
      <c r="J18265">
        <f>IFERROR(__xludf.DUMMYFUNCTION("""COMPUTED_VALUE"""),"Halifax,Nova Scotia")</f>
        <v/>
      </c>
      <c r="K18265">
        <f>IFERROR(__xludf.DUMMYFUNCTION("""COMPUTED_VALUE"""),845.29)</f>
        <v/>
      </c>
    </row>
    <row r="18266">
      <c r="J18266">
        <f>IFERROR(__xludf.DUMMYFUNCTION("""COMPUTED_VALUE"""),"Toronto - Windsor")</f>
        <v/>
      </c>
      <c r="K18266">
        <f>IFERROR(__xludf.DUMMYFUNCTION("""COMPUTED_VALUE"""),844.05)</f>
        <v/>
      </c>
    </row>
    <row r="18267">
      <c r="J18267">
        <f>IFERROR(__xludf.DUMMYFUNCTION("""COMPUTED_VALUE"""),"Ottawa (On) , Wainwright (AB) (Canada")</f>
        <v/>
      </c>
      <c r="K18267">
        <f>IFERROR(__xludf.DUMMYFUNCTION("""COMPUTED_VALUE"""),843.94)</f>
        <v/>
      </c>
    </row>
    <row r="18268">
      <c r="J18268">
        <f>IFERROR(__xludf.DUMMYFUNCTION("""COMPUTED_VALUE"""),"Montreal (Que)
and Quebec City (Que)")</f>
        <v/>
      </c>
      <c r="K18268">
        <f>IFERROR(__xludf.DUMMYFUNCTION("""COMPUTED_VALUE"""),843.67)</f>
        <v/>
      </c>
    </row>
    <row r="18269">
      <c r="J18269">
        <f>IFERROR(__xludf.DUMMYFUNCTION("""COMPUTED_VALUE"""),"Waterloo, Ontario, Canada; Peterborough, Ontario, Canada")</f>
        <v/>
      </c>
      <c r="K18269">
        <f>IFERROR(__xludf.DUMMYFUNCTION("""COMPUTED_VALUE"""),843.47)</f>
        <v/>
      </c>
    </row>
    <row r="18270">
      <c r="J18270">
        <f>IFERROR(__xludf.DUMMYFUNCTION("""COMPUTED_VALUE"""),"Dundas, Hamilton, Ontario, Canada")</f>
        <v/>
      </c>
      <c r="K18270">
        <f>IFERROR(__xludf.DUMMYFUNCTION("""COMPUTED_VALUE"""),843.29)</f>
        <v/>
      </c>
    </row>
    <row r="18271">
      <c r="J18271">
        <f>IFERROR(__xludf.DUMMYFUNCTION("""COMPUTED_VALUE"""),"Cardiff, Wales")</f>
        <v/>
      </c>
      <c r="K18271">
        <f>IFERROR(__xludf.DUMMYFUNCTION("""COMPUTED_VALUE"""),843.21)</f>
        <v/>
      </c>
    </row>
    <row r="18272">
      <c r="J18272">
        <f>IFERROR(__xludf.DUMMYFUNCTION("""COMPUTED_VALUE"""),"Whistler, and Victoria, British Columbia, Canada")</f>
        <v/>
      </c>
      <c r="K18272">
        <f>IFERROR(__xludf.DUMMYFUNCTION("""COMPUTED_VALUE"""),843.04)</f>
        <v/>
      </c>
    </row>
    <row r="18273">
      <c r="J18273">
        <f>IFERROR(__xludf.DUMMYFUNCTION("""COMPUTED_VALUE"""),"Niagara Falls, On")</f>
        <v/>
      </c>
      <c r="K18273">
        <f>IFERROR(__xludf.DUMMYFUNCTION("""COMPUTED_VALUE"""),842.5)</f>
        <v/>
      </c>
    </row>
    <row r="18274">
      <c r="J18274">
        <f>IFERROR(__xludf.DUMMYFUNCTION("""COMPUTED_VALUE"""),"Trieste and Naples")</f>
        <v/>
      </c>
      <c r="K18274">
        <f>IFERROR(__xludf.DUMMYFUNCTION("""COMPUTED_VALUE"""),842.32)</f>
        <v/>
      </c>
    </row>
    <row r="18275">
      <c r="J18275">
        <f>IFERROR(__xludf.DUMMYFUNCTION("""COMPUTED_VALUE"""),"Albany, NY/Ottawa")</f>
        <v/>
      </c>
      <c r="K18275">
        <f>IFERROR(__xludf.DUMMYFUNCTION("""COMPUTED_VALUE"""),841.98)</f>
        <v/>
      </c>
    </row>
    <row r="18276">
      <c r="J18276">
        <f>IFERROR(__xludf.DUMMYFUNCTION("""COMPUTED_VALUE"""),"Vancouver and Victoria")</f>
        <v/>
      </c>
      <c r="K18276">
        <f>IFERROR(__xludf.DUMMYFUNCTION("""COMPUTED_VALUE"""),841.65)</f>
        <v/>
      </c>
    </row>
    <row r="18277">
      <c r="J18277">
        <f>IFERROR(__xludf.DUMMYFUNCTION("""COMPUTED_VALUE"""),"Pittsburg, United States and Montreal, Quebec")</f>
        <v/>
      </c>
      <c r="K18277">
        <f>IFERROR(__xludf.DUMMYFUNCTION("""COMPUTED_VALUE"""),841.19)</f>
        <v/>
      </c>
    </row>
    <row r="18278">
      <c r="J18278">
        <f>IFERROR(__xludf.DUMMYFUNCTION("""COMPUTED_VALUE"""),"Calgary (Alberta), Canada")</f>
        <v/>
      </c>
      <c r="K18278">
        <f>IFERROR(__xludf.DUMMYFUNCTION("""COMPUTED_VALUE"""),840.89)</f>
        <v/>
      </c>
    </row>
    <row r="18279">
      <c r="J18279">
        <f>IFERROR(__xludf.DUMMYFUNCTION("""COMPUTED_VALUE"""),"Port aux Basques, Newfoundland and Labrador, Canada; Montreal, Quebec, Canada; Niagara Falls, Ontario, Canada")</f>
        <v/>
      </c>
      <c r="K18279">
        <f>IFERROR(__xludf.DUMMYFUNCTION("""COMPUTED_VALUE"""),840.87)</f>
        <v/>
      </c>
    </row>
    <row r="18280">
      <c r="J18280">
        <f>IFERROR(__xludf.DUMMYFUNCTION("""COMPUTED_VALUE"""),"Toronto (Ontraio) Canada")</f>
        <v/>
      </c>
      <c r="K18280">
        <f>IFERROR(__xludf.DUMMYFUNCTION("""COMPUTED_VALUE"""),840.6)</f>
        <v/>
      </c>
    </row>
    <row r="18281">
      <c r="J18281">
        <f>IFERROR(__xludf.DUMMYFUNCTION("""COMPUTED_VALUE"""),"Penticton/Kelowna, BC")</f>
        <v/>
      </c>
      <c r="K18281">
        <f>IFERROR(__xludf.DUMMYFUNCTION("""COMPUTED_VALUE"""),840.33)</f>
        <v/>
      </c>
    </row>
    <row r="18282">
      <c r="J18282">
        <f>IFERROR(__xludf.DUMMYFUNCTION("""COMPUTED_VALUE"""),"Bathurst NB")</f>
        <v/>
      </c>
      <c r="K18282">
        <f>IFERROR(__xludf.DUMMYFUNCTION("""COMPUTED_VALUE"""),840.16)</f>
        <v/>
      </c>
    </row>
    <row r="18283">
      <c r="J18283">
        <f>IFERROR(__xludf.DUMMYFUNCTION("""COMPUTED_VALUE"""),"Cambridge, ON, Markham, ON")</f>
        <v/>
      </c>
      <c r="K18283">
        <f>IFERROR(__xludf.DUMMYFUNCTION("""COMPUTED_VALUE"""),839.74)</f>
        <v/>
      </c>
    </row>
    <row r="18284">
      <c r="J18284">
        <f>IFERROR(__xludf.DUMMYFUNCTION("""COMPUTED_VALUE"""),"Niagara, Windsor, Ontario (Canada)")</f>
        <v/>
      </c>
      <c r="K18284">
        <f>IFERROR(__xludf.DUMMYFUNCTION("""COMPUTED_VALUE"""),839.41)</f>
        <v/>
      </c>
    </row>
    <row r="18285">
      <c r="J18285">
        <f>IFERROR(__xludf.DUMMYFUNCTION("""COMPUTED_VALUE"""),"Smiths Falls, Ontario, Canada")</f>
        <v/>
      </c>
      <c r="K18285">
        <f>IFERROR(__xludf.DUMMYFUNCTION("""COMPUTED_VALUE"""),839.37)</f>
        <v/>
      </c>
    </row>
    <row r="18286">
      <c r="J18286">
        <f>IFERROR(__xludf.DUMMYFUNCTION("""COMPUTED_VALUE"""),"Montreal &amp; Lac Mégantic, Quebec")</f>
        <v/>
      </c>
      <c r="K18286">
        <f>IFERROR(__xludf.DUMMYFUNCTION("""COMPUTED_VALUE"""),838.91)</f>
        <v/>
      </c>
    </row>
    <row r="18287">
      <c r="J18287">
        <f>IFERROR(__xludf.DUMMYFUNCTION("""COMPUTED_VALUE"""),"St. John's, Newfoundland and Labrador, Canada; Fredericton, New Brunswick, Canada; Halifax, Nova Scotia, Canada; St. John's, Newfoundland and Labrador, Canada")</f>
        <v/>
      </c>
      <c r="K18287">
        <f>IFERROR(__xludf.DUMMYFUNCTION("""COMPUTED_VALUE"""),838.9)</f>
        <v/>
      </c>
    </row>
    <row r="18288">
      <c r="J18288">
        <f>IFERROR(__xludf.DUMMYFUNCTION("""COMPUTED_VALUE"""),"Granby, QC")</f>
        <v/>
      </c>
      <c r="K18288">
        <f>IFERROR(__xludf.DUMMYFUNCTION("""COMPUTED_VALUE"""),838.8)</f>
        <v/>
      </c>
    </row>
    <row r="18289">
      <c r="J18289">
        <f>IFERROR(__xludf.DUMMYFUNCTION("""COMPUTED_VALUE"""),"Sydney/ Canberra, NSW/ACT, Australia")</f>
        <v/>
      </c>
      <c r="K18289">
        <f>IFERROR(__xludf.DUMMYFUNCTION("""COMPUTED_VALUE"""),838.72)</f>
        <v/>
      </c>
    </row>
    <row r="18290">
      <c r="J18290">
        <f>IFERROR(__xludf.DUMMYFUNCTION("""COMPUTED_VALUE"""),"Delaware")</f>
        <v/>
      </c>
      <c r="K18290">
        <f>IFERROR(__xludf.DUMMYFUNCTION("""COMPUTED_VALUE"""),838.68)</f>
        <v/>
      </c>
    </row>
    <row r="18291">
      <c r="J18291">
        <f>IFERROR(__xludf.DUMMYFUNCTION("""COMPUTED_VALUE"""),"Saint-Hubert, Quebec, Canada; Bagotville, Quebec, Canada; Drummondville, Quebec, Canada; Gatineau, Quebec, Canada")</f>
        <v/>
      </c>
      <c r="K18291">
        <f>IFERROR(__xludf.DUMMYFUNCTION("""COMPUTED_VALUE"""),838.63)</f>
        <v/>
      </c>
    </row>
    <row r="18292">
      <c r="J18292">
        <f>IFERROR(__xludf.DUMMYFUNCTION("""COMPUTED_VALUE"""),"Calgary, Alberta Canada")</f>
        <v/>
      </c>
      <c r="K18292">
        <f>IFERROR(__xludf.DUMMYFUNCTION("""COMPUTED_VALUE"""),838.28)</f>
        <v/>
      </c>
    </row>
    <row r="18293">
      <c r="J18293">
        <f>IFERROR(__xludf.DUMMYFUNCTION("""COMPUTED_VALUE"""),"Ottawa (Ontario) &amp; Bagotville (Quebec) Canada")</f>
        <v/>
      </c>
      <c r="K18293">
        <f>IFERROR(__xludf.DUMMYFUNCTION("""COMPUTED_VALUE"""),838.22)</f>
        <v/>
      </c>
    </row>
    <row r="18294">
      <c r="J18294">
        <f>IFERROR(__xludf.DUMMYFUNCTION("""COMPUTED_VALUE"""),"London, Ontario / Niagara Falls, Ontario / Ajax, Ontario / Hamilton, Ontario, Canada")</f>
        <v/>
      </c>
      <c r="K18294">
        <f>IFERROR(__xludf.DUMMYFUNCTION("""COMPUTED_VALUE"""),837.97)</f>
        <v/>
      </c>
    </row>
    <row r="18295">
      <c r="J18295">
        <f>IFERROR(__xludf.DUMMYFUNCTION("""COMPUTED_VALUE"""),"Quebec City, Fredericton, Halifax")</f>
        <v/>
      </c>
      <c r="K18295">
        <f>IFERROR(__xludf.DUMMYFUNCTION("""COMPUTED_VALUE"""),837.41)</f>
        <v/>
      </c>
    </row>
    <row r="18296">
      <c r="J18296">
        <f>IFERROR(__xludf.DUMMYFUNCTION("""COMPUTED_VALUE"""),"Drummondville, Quebec, Canada; Sherbrooke, Quebec, Canada; Montréal, Quebec, Canada")</f>
        <v/>
      </c>
      <c r="K18296">
        <f>IFERROR(__xludf.DUMMYFUNCTION("""COMPUTED_VALUE"""),837.36)</f>
        <v/>
      </c>
    </row>
    <row r="18297">
      <c r="J18297">
        <f>IFERROR(__xludf.DUMMYFUNCTION("""COMPUTED_VALUE"""),"Rivière-du-Loup, Trois-Pistoles, Québec")</f>
        <v/>
      </c>
      <c r="K18297">
        <f>IFERROR(__xludf.DUMMYFUNCTION("""COMPUTED_VALUE"""),837.05)</f>
        <v/>
      </c>
    </row>
    <row r="18298">
      <c r="J18298">
        <f>IFERROR(__xludf.DUMMYFUNCTION("""COMPUTED_VALUE"""),"FREDERICTON - NEW BRUNSWICK")</f>
        <v/>
      </c>
      <c r="K18298">
        <f>IFERROR(__xludf.DUMMYFUNCTION("""COMPUTED_VALUE"""),837)</f>
        <v/>
      </c>
    </row>
    <row r="18299">
      <c r="J18299">
        <f>IFERROR(__xludf.DUMMYFUNCTION("""COMPUTED_VALUE"""),"St-Augustin-de-Desmaures, Quebec")</f>
        <v/>
      </c>
      <c r="K18299">
        <f>IFERROR(__xludf.DUMMYFUNCTION("""COMPUTED_VALUE"""),836.68)</f>
        <v/>
      </c>
    </row>
    <row r="18300">
      <c r="J18300">
        <f>IFERROR(__xludf.DUMMYFUNCTION("""COMPUTED_VALUE"""),"Bratislava,Slovakia")</f>
        <v/>
      </c>
      <c r="K18300">
        <f>IFERROR(__xludf.DUMMYFUNCTION("""COMPUTED_VALUE"""),836.44)</f>
        <v/>
      </c>
    </row>
    <row r="18301">
      <c r="J18301">
        <f>IFERROR(__xludf.DUMMYFUNCTION("""COMPUTED_VALUE"""),"St. Andrew's, NB")</f>
        <v/>
      </c>
      <c r="K18301">
        <f>IFERROR(__xludf.DUMMYFUNCTION("""COMPUTED_VALUE"""),835.62)</f>
        <v/>
      </c>
    </row>
    <row r="18302">
      <c r="J18302">
        <f>IFERROR(__xludf.DUMMYFUNCTION("""COMPUTED_VALUE"""),"Kingston, Ontario, Canada; Peterborough, Ontario, Canada; Toronto, Ontario, Canada")</f>
        <v/>
      </c>
      <c r="K18302">
        <f>IFERROR(__xludf.DUMMYFUNCTION("""COMPUTED_VALUE"""),835.56)</f>
        <v/>
      </c>
    </row>
    <row r="18303">
      <c r="J18303">
        <f>IFERROR(__xludf.DUMMYFUNCTION("""COMPUTED_VALUE"""),"Riga, Latvia and Vilnius, Lithuania, Europe")</f>
        <v/>
      </c>
      <c r="K18303">
        <f>IFERROR(__xludf.DUMMYFUNCTION("""COMPUTED_VALUE"""),835.079999999999)</f>
        <v/>
      </c>
    </row>
    <row r="18304">
      <c r="J18304">
        <f>IFERROR(__xludf.DUMMYFUNCTION("""COMPUTED_VALUE"""),"Ottawa, Trois-Rivières, Victoriaville, Drummondville, Montréal, Québec, Roberval, Shawinigan")</f>
        <v/>
      </c>
      <c r="K18304">
        <f>IFERROR(__xludf.DUMMYFUNCTION("""COMPUTED_VALUE"""),834.82)</f>
        <v/>
      </c>
    </row>
    <row r="18305">
      <c r="J18305">
        <f>IFERROR(__xludf.DUMMYFUNCTION("""COMPUTED_VALUE"""),"Montréal, QC   Toronto, ON")</f>
        <v/>
      </c>
      <c r="K18305">
        <f>IFERROR(__xludf.DUMMYFUNCTION("""COMPUTED_VALUE"""),834.76)</f>
        <v/>
      </c>
    </row>
    <row r="18306">
      <c r="J18306">
        <f>IFERROR(__xludf.DUMMYFUNCTION("""COMPUTED_VALUE"""),"Tarrytown (N.Y.)")</f>
        <v/>
      </c>
      <c r="K18306">
        <f>IFERROR(__xludf.DUMMYFUNCTION("""COMPUTED_VALUE"""),834.6)</f>
        <v/>
      </c>
    </row>
    <row r="18307">
      <c r="J18307">
        <f>IFERROR(__xludf.DUMMYFUNCTION("""COMPUTED_VALUE"""),"Saskatoon, Saskatchewan; Lloydminster, Alberta")</f>
        <v/>
      </c>
      <c r="K18307">
        <f>IFERROR(__xludf.DUMMYFUNCTION("""COMPUTED_VALUE"""),834.48)</f>
        <v/>
      </c>
    </row>
    <row r="18308">
      <c r="J18308">
        <f>IFERROR(__xludf.DUMMYFUNCTION("""COMPUTED_VALUE"""),"Orillia, Ontario, Canada")</f>
        <v/>
      </c>
      <c r="K18308">
        <f>IFERROR(__xludf.DUMMYFUNCTION("""COMPUTED_VALUE"""),834.06)</f>
        <v/>
      </c>
    </row>
    <row r="18309">
      <c r="J18309">
        <f>IFERROR(__xludf.DUMMYFUNCTION("""COMPUTED_VALUE"""),"Miami; New York")</f>
        <v/>
      </c>
      <c r="K18309">
        <f>IFERROR(__xludf.DUMMYFUNCTION("""COMPUTED_VALUE"""),833.71)</f>
        <v/>
      </c>
    </row>
    <row r="18310">
      <c r="J18310">
        <f>IFERROR(__xludf.DUMMYFUNCTION("""COMPUTED_VALUE"""),"Banff, Alberta Canada")</f>
        <v/>
      </c>
      <c r="K18310">
        <f>IFERROR(__xludf.DUMMYFUNCTION("""COMPUTED_VALUE"""),833.35)</f>
        <v/>
      </c>
    </row>
    <row r="18311">
      <c r="J18311">
        <f>IFERROR(__xludf.DUMMYFUNCTION("""COMPUTED_VALUE"""),"Donnacona Institution                                      Donnacona, Quebec, Canada")</f>
        <v/>
      </c>
      <c r="K18311">
        <f>IFERROR(__xludf.DUMMYFUNCTION("""COMPUTED_VALUE"""),832.76)</f>
        <v/>
      </c>
    </row>
    <row r="18312">
      <c r="J18312">
        <f>IFERROR(__xludf.DUMMYFUNCTION("""COMPUTED_VALUE"""),"Donnacona, Quebec")</f>
        <v/>
      </c>
      <c r="K18312">
        <f>IFERROR(__xludf.DUMMYFUNCTION("""COMPUTED_VALUE"""),832.43)</f>
        <v/>
      </c>
    </row>
    <row r="18313">
      <c r="J18313">
        <f>IFERROR(__xludf.DUMMYFUNCTION("""COMPUTED_VALUE"""),"La Macaza, Quebec, Canada")</f>
        <v/>
      </c>
      <c r="K18313">
        <f>IFERROR(__xludf.DUMMYFUNCTION("""COMPUTED_VALUE"""),831.859999999999)</f>
        <v/>
      </c>
    </row>
    <row r="18314">
      <c r="J18314">
        <f>IFERROR(__xludf.DUMMYFUNCTION("""COMPUTED_VALUE"""),"Etobicoke, ON / Waterloo, ON / Chatham, ON / Burlington, ON / Ottawa, ON")</f>
        <v/>
      </c>
      <c r="K18314">
        <f>IFERROR(__xludf.DUMMYFUNCTION("""COMPUTED_VALUE"""),831.33)</f>
        <v/>
      </c>
    </row>
    <row r="18315">
      <c r="J18315">
        <f>IFERROR(__xludf.DUMMYFUNCTION("""COMPUTED_VALUE"""),"Reykjavik, Iceland; Selfoss, Iceland")</f>
        <v/>
      </c>
      <c r="K18315">
        <f>IFERROR(__xludf.DUMMYFUNCTION("""COMPUTED_VALUE"""),831.099999999999)</f>
        <v/>
      </c>
    </row>
    <row r="18316">
      <c r="J18316">
        <f>IFERROR(__xludf.DUMMYFUNCTION("""COMPUTED_VALUE"""),"Toronto, ON- Montreal, QC")</f>
        <v/>
      </c>
      <c r="K18316">
        <f>IFERROR(__xludf.DUMMYFUNCTION("""COMPUTED_VALUE"""),831.05)</f>
        <v/>
      </c>
    </row>
    <row r="18317">
      <c r="J18317">
        <f>IFERROR(__xludf.DUMMYFUNCTION("""COMPUTED_VALUE"""),"Toronto and Bluemountain, Ontario, Canada")</f>
        <v/>
      </c>
      <c r="K18317">
        <f>IFERROR(__xludf.DUMMYFUNCTION("""COMPUTED_VALUE"""),830.77)</f>
        <v/>
      </c>
    </row>
    <row r="18318">
      <c r="J18318">
        <f>IFERROR(__xludf.DUMMYFUNCTION("""COMPUTED_VALUE"""),"Banff, Alberta and Edmonton, Alberta")</f>
        <v/>
      </c>
      <c r="K18318">
        <f>IFERROR(__xludf.DUMMYFUNCTION("""COMPUTED_VALUE"""),830.65)</f>
        <v/>
      </c>
    </row>
    <row r="18319">
      <c r="J18319">
        <f>IFERROR(__xludf.DUMMYFUNCTION("""COMPUTED_VALUE"""),"Notre-Dame-du-Nord")</f>
        <v/>
      </c>
      <c r="K18319">
        <f>IFERROR(__xludf.DUMMYFUNCTION("""COMPUTED_VALUE"""),830.22)</f>
        <v/>
      </c>
    </row>
    <row r="18320">
      <c r="J18320">
        <f>IFERROR(__xludf.DUMMYFUNCTION("""COMPUTED_VALUE"""),"Kitchener, ON Windsor, ON London, ON")</f>
        <v/>
      </c>
      <c r="K18320">
        <f>IFERROR(__xludf.DUMMYFUNCTION("""COMPUTED_VALUE"""),830.15)</f>
        <v/>
      </c>
    </row>
    <row r="18321">
      <c r="J18321">
        <f>IFERROR(__xludf.DUMMYFUNCTION("""COMPUTED_VALUE"""),"Ottawa-Washington, DC-Ottawa")</f>
        <v/>
      </c>
      <c r="K18321">
        <f>IFERROR(__xludf.DUMMYFUNCTION("""COMPUTED_VALUE"""),830.14)</f>
        <v/>
      </c>
    </row>
    <row r="18322">
      <c r="J18322">
        <f>IFERROR(__xludf.DUMMYFUNCTION("""COMPUTED_VALUE"""),"Cagliari")</f>
        <v/>
      </c>
      <c r="K18322">
        <f>IFERROR(__xludf.DUMMYFUNCTION("""COMPUTED_VALUE"""),830.11)</f>
        <v/>
      </c>
    </row>
    <row r="18323">
      <c r="J18323">
        <f>IFERROR(__xludf.DUMMYFUNCTION("""COMPUTED_VALUE"""),"OROMOCTO, NB - CHARLOTTETOWN, PE")</f>
        <v/>
      </c>
      <c r="K18323">
        <f>IFERROR(__xludf.DUMMYFUNCTION("""COMPUTED_VALUE"""),830.09)</f>
        <v/>
      </c>
    </row>
    <row r="18324">
      <c r="J18324">
        <f>IFERROR(__xludf.DUMMYFUNCTION("""COMPUTED_VALUE"""),"Québec / Ottawa")</f>
        <v/>
      </c>
      <c r="K18324">
        <f>IFERROR(__xludf.DUMMYFUNCTION("""COMPUTED_VALUE"""),830.04)</f>
        <v/>
      </c>
    </row>
    <row r="18325">
      <c r="J18325">
        <f>IFERROR(__xludf.DUMMYFUNCTION("""COMPUTED_VALUE"""),"Cornwall, Ontario, Canada; Ottawa, Ontario, Canada")</f>
        <v/>
      </c>
      <c r="K18325">
        <f>IFERROR(__xludf.DUMMYFUNCTION("""COMPUTED_VALUE"""),829.6)</f>
        <v/>
      </c>
    </row>
    <row r="18326">
      <c r="J18326">
        <f>IFERROR(__xludf.DUMMYFUNCTION("""COMPUTED_VALUE"""),"Saint Andrews, New Brunswick, Canada and Calais, Maine, United States")</f>
        <v/>
      </c>
      <c r="K18326">
        <f>IFERROR(__xludf.DUMMYFUNCTION("""COMPUTED_VALUE"""),829.49)</f>
        <v/>
      </c>
    </row>
    <row r="18327">
      <c r="J18327">
        <f>IFERROR(__xludf.DUMMYFUNCTION("""COMPUTED_VALUE"""),"BaumHolder Germany")</f>
        <v/>
      </c>
      <c r="K18327">
        <f>IFERROR(__xludf.DUMMYFUNCTION("""COMPUTED_VALUE"""),829.25)</f>
        <v/>
      </c>
    </row>
    <row r="18328">
      <c r="J18328">
        <f>IFERROR(__xludf.DUMMYFUNCTION("""COMPUTED_VALUE"""),"New York, N.Y.")</f>
        <v/>
      </c>
      <c r="K18328">
        <f>IFERROR(__xludf.DUMMYFUNCTION("""COMPUTED_VALUE"""),829.25)</f>
        <v/>
      </c>
    </row>
    <row r="18329">
      <c r="J18329">
        <f>IFERROR(__xludf.DUMMYFUNCTION("""COMPUTED_VALUE"""),"Charlottetown - Fredericton- Charlottetown")</f>
        <v/>
      </c>
      <c r="K18329">
        <f>IFERROR(__xludf.DUMMYFUNCTION("""COMPUTED_VALUE"""),828.9)</f>
        <v/>
      </c>
    </row>
    <row r="18330">
      <c r="J18330">
        <f>IFERROR(__xludf.DUMMYFUNCTION("""COMPUTED_VALUE"""),"Hull, Quebec, Canada")</f>
        <v/>
      </c>
      <c r="K18330">
        <f>IFERROR(__xludf.DUMMYFUNCTION("""COMPUTED_VALUE"""),827.359999999999)</f>
        <v/>
      </c>
    </row>
    <row r="18331">
      <c r="J18331">
        <f>IFERROR(__xludf.DUMMYFUNCTION("""COMPUTED_VALUE"""),"St-Augustin, Quebec")</f>
        <v/>
      </c>
      <c r="K18331">
        <f>IFERROR(__xludf.DUMMYFUNCTION("""COMPUTED_VALUE"""),827.05)</f>
        <v/>
      </c>
    </row>
    <row r="18332">
      <c r="J18332">
        <f>IFERROR(__xludf.DUMMYFUNCTION("""COMPUTED_VALUE"""),"Vaudreuil-Dorion, Quebec, Canada; Drummondville, Quebec, Canada")</f>
        <v/>
      </c>
      <c r="K18332">
        <f>IFERROR(__xludf.DUMMYFUNCTION("""COMPUTED_VALUE"""),827.03)</f>
        <v/>
      </c>
    </row>
    <row r="18333">
      <c r="J18333">
        <f>IFERROR(__xludf.DUMMYFUNCTION("""COMPUTED_VALUE"""),"Whitehorse, Yukon ; Vancouver, British Columbia; Calgary, Alberta")</f>
        <v/>
      </c>
      <c r="K18333">
        <f>IFERROR(__xludf.DUMMYFUNCTION("""COMPUTED_VALUE"""),826.89)</f>
        <v/>
      </c>
    </row>
    <row r="18334">
      <c r="J18334">
        <f>IFERROR(__xludf.DUMMYFUNCTION("""COMPUTED_VALUE"""),"Toronto, ON North York, ON")</f>
        <v/>
      </c>
      <c r="K18334">
        <f>IFERROR(__xludf.DUMMYFUNCTION("""COMPUTED_VALUE"""),826.45)</f>
        <v/>
      </c>
    </row>
    <row r="18335">
      <c r="J18335">
        <f>IFERROR(__xludf.DUMMYFUNCTION("""COMPUTED_VALUE"""),"Calgary,Alberta,Edmonton")</f>
        <v/>
      </c>
      <c r="K18335">
        <f>IFERROR(__xludf.DUMMYFUNCTION("""COMPUTED_VALUE"""),826.34)</f>
        <v/>
      </c>
    </row>
    <row r="18336">
      <c r="J18336">
        <f>IFERROR(__xludf.DUMMYFUNCTION("""COMPUTED_VALUE"""),"West Fargo, North Dakota")</f>
        <v/>
      </c>
      <c r="K18336">
        <f>IFERROR(__xludf.DUMMYFUNCTION("""COMPUTED_VALUE"""),826.32)</f>
        <v/>
      </c>
    </row>
    <row r="18337">
      <c r="J18337">
        <f>IFERROR(__xludf.DUMMYFUNCTION("""COMPUTED_VALUE"""),"Montreal, Quebec, Canada/ Kingston, Ontario, Canada")</f>
        <v/>
      </c>
      <c r="K18337">
        <f>IFERROR(__xludf.DUMMYFUNCTION("""COMPUTED_VALUE"""),826.2)</f>
        <v/>
      </c>
    </row>
    <row r="18338">
      <c r="J18338">
        <f>IFERROR(__xludf.DUMMYFUNCTION("""COMPUTED_VALUE"""),"Vancouver and Bella Coola, British Columbia")</f>
        <v/>
      </c>
      <c r="K18338">
        <f>IFERROR(__xludf.DUMMYFUNCTION("""COMPUTED_VALUE"""),826.1)</f>
        <v/>
      </c>
    </row>
    <row r="18339">
      <c r="J18339">
        <f>IFERROR(__xludf.DUMMYFUNCTION("""COMPUTED_VALUE"""),"Quebec City and La Baie, Quebec")</f>
        <v/>
      </c>
      <c r="K18339">
        <f>IFERROR(__xludf.DUMMYFUNCTION("""COMPUTED_VALUE"""),825.85)</f>
        <v/>
      </c>
    </row>
    <row r="18340">
      <c r="J18340">
        <f>IFERROR(__xludf.DUMMYFUNCTION("""COMPUTED_VALUE"""),"Calgary to Ottawa")</f>
        <v/>
      </c>
      <c r="K18340">
        <f>IFERROR(__xludf.DUMMYFUNCTION("""COMPUTED_VALUE"""),825.54)</f>
        <v/>
      </c>
    </row>
    <row r="18341">
      <c r="J18341">
        <f>IFERROR(__xludf.DUMMYFUNCTION("""COMPUTED_VALUE"""),"New Westminster, Vancouver, Nanaimo, Victoria, Comox, British Columbia")</f>
        <v/>
      </c>
      <c r="K18341">
        <f>IFERROR(__xludf.DUMMYFUNCTION("""COMPUTED_VALUE"""),825.37)</f>
        <v/>
      </c>
    </row>
    <row r="18342">
      <c r="J18342">
        <f>IFERROR(__xludf.DUMMYFUNCTION("""COMPUTED_VALUE"""),"Fox Harbour, Nova Scotia")</f>
        <v/>
      </c>
      <c r="K18342">
        <f>IFERROR(__xludf.DUMMYFUNCTION("""COMPUTED_VALUE"""),825.26)</f>
        <v/>
      </c>
    </row>
    <row r="18343">
      <c r="J18343">
        <f>IFERROR(__xludf.DUMMYFUNCTION("""COMPUTED_VALUE"""),"Amherstburg, Ontario")</f>
        <v/>
      </c>
      <c r="K18343">
        <f>IFERROR(__xludf.DUMMYFUNCTION("""COMPUTED_VALUE"""),825.2)</f>
        <v/>
      </c>
    </row>
    <row r="18344">
      <c r="J18344">
        <f>IFERROR(__xludf.DUMMYFUNCTION("""COMPUTED_VALUE"""),"Montreal, Quebec, Canada / Trois-Rivières, Quebec, Canada")</f>
        <v/>
      </c>
      <c r="K18344">
        <f>IFERROR(__xludf.DUMMYFUNCTION("""COMPUTED_VALUE"""),825.16)</f>
        <v/>
      </c>
    </row>
    <row r="18345">
      <c r="J18345">
        <f>IFERROR(__xludf.DUMMYFUNCTION("""COMPUTED_VALUE"""),"Montreal, QC - Québec City, QC")</f>
        <v/>
      </c>
      <c r="K18345">
        <f>IFERROR(__xludf.DUMMYFUNCTION("""COMPUTED_VALUE"""),824.94)</f>
        <v/>
      </c>
    </row>
    <row r="18346">
      <c r="J18346">
        <f>IFERROR(__xludf.DUMMYFUNCTION("""COMPUTED_VALUE"""),"Montreal, ON, CA")</f>
        <v/>
      </c>
      <c r="K18346">
        <f>IFERROR(__xludf.DUMMYFUNCTION("""COMPUTED_VALUE"""),824.86)</f>
        <v/>
      </c>
    </row>
    <row r="18347">
      <c r="J18347">
        <f>IFERROR(__xludf.DUMMYFUNCTION("""COMPUTED_VALUE"""),"Fairbanks, Alaska")</f>
        <v/>
      </c>
      <c r="K18347">
        <f>IFERROR(__xludf.DUMMYFUNCTION("""COMPUTED_VALUE"""),823.64)</f>
        <v/>
      </c>
    </row>
    <row r="18348">
      <c r="J18348">
        <f>IFERROR(__xludf.DUMMYFUNCTION("""COMPUTED_VALUE"""),"Matane, Quebec, Gaspé, Quebec and Rimouski, Quebec")</f>
        <v/>
      </c>
      <c r="K18348">
        <f>IFERROR(__xludf.DUMMYFUNCTION("""COMPUTED_VALUE"""),823.05)</f>
        <v/>
      </c>
    </row>
    <row r="18349">
      <c r="J18349">
        <f>IFERROR(__xludf.DUMMYFUNCTION("""COMPUTED_VALUE"""),"Kitchener, Ontario, Canada; Waterloo, Ontario, Canada; Hamilton, Ontario, Canada; London, Ontario, Canada; Toronto, Ontario, Canada")</f>
        <v/>
      </c>
      <c r="K18349">
        <f>IFERROR(__xludf.DUMMYFUNCTION("""COMPUTED_VALUE"""),822.99)</f>
        <v/>
      </c>
    </row>
    <row r="18350">
      <c r="J18350">
        <f>IFERROR(__xludf.DUMMYFUNCTION("""COMPUTED_VALUE"""),"OTTAWA, BORDEN, OTTAWA ON")</f>
        <v/>
      </c>
      <c r="K18350">
        <f>IFERROR(__xludf.DUMMYFUNCTION("""COMPUTED_VALUE"""),822.42)</f>
        <v/>
      </c>
    </row>
    <row r="18351">
      <c r="J18351">
        <f>IFERROR(__xludf.DUMMYFUNCTION("""COMPUTED_VALUE"""),"Nanaimo, BC and Fairy Creek, BC")</f>
        <v/>
      </c>
      <c r="K18351">
        <f>IFERROR(__xludf.DUMMYFUNCTION("""COMPUTED_VALUE"""),822.1)</f>
        <v/>
      </c>
    </row>
    <row r="18352">
      <c r="J18352">
        <f>IFERROR(__xludf.DUMMYFUNCTION("""COMPUTED_VALUE"""),"Montreal, ON, Canada")</f>
        <v/>
      </c>
      <c r="K18352">
        <f>IFERROR(__xludf.DUMMYFUNCTION("""COMPUTED_VALUE"""),822)</f>
        <v/>
      </c>
    </row>
    <row r="18353">
      <c r="J18353">
        <f>IFERROR(__xludf.DUMMYFUNCTION("""COMPUTED_VALUE"""),"Montréal, QC
Lacolle, QC")</f>
        <v/>
      </c>
      <c r="K18353">
        <f>IFERROR(__xludf.DUMMYFUNCTION("""COMPUTED_VALUE"""),821.88)</f>
        <v/>
      </c>
    </row>
    <row r="18354">
      <c r="J18354">
        <f>IFERROR(__xludf.DUMMYFUNCTION("""COMPUTED_VALUE"""),"BELLEVILLE, ON")</f>
        <v/>
      </c>
      <c r="K18354">
        <f>IFERROR(__xludf.DUMMYFUNCTION("""COMPUTED_VALUE"""),821.77)</f>
        <v/>
      </c>
    </row>
    <row r="18355">
      <c r="J18355">
        <f>IFERROR(__xludf.DUMMYFUNCTION("""COMPUTED_VALUE"""),"Carajas, Brazil")</f>
        <v/>
      </c>
      <c r="K18355">
        <f>IFERROR(__xludf.DUMMYFUNCTION("""COMPUTED_VALUE"""),821.54)</f>
        <v/>
      </c>
    </row>
    <row r="18356">
      <c r="J18356">
        <f>IFERROR(__xludf.DUMMYFUNCTION("""COMPUTED_VALUE"""),"Buffalo/Niagara-on-the-Lake")</f>
        <v/>
      </c>
      <c r="K18356">
        <f>IFERROR(__xludf.DUMMYFUNCTION("""COMPUTED_VALUE"""),821.37)</f>
        <v/>
      </c>
    </row>
    <row r="18357">
      <c r="J18357">
        <f>IFERROR(__xludf.DUMMYFUNCTION("""COMPUTED_VALUE"""),"Niagara Falls, ON / Toronto, ON")</f>
        <v/>
      </c>
      <c r="K18357">
        <f>IFERROR(__xludf.DUMMYFUNCTION("""COMPUTED_VALUE"""),821)</f>
        <v/>
      </c>
    </row>
    <row r="18358">
      <c r="J18358">
        <f>IFERROR(__xludf.DUMMYFUNCTION("""COMPUTED_VALUE"""),"Whistler /     Richmond")</f>
        <v/>
      </c>
      <c r="K18358">
        <f>IFERROR(__xludf.DUMMYFUNCTION("""COMPUTED_VALUE"""),820.48)</f>
        <v/>
      </c>
    </row>
    <row r="18359">
      <c r="J18359">
        <f>IFERROR(__xludf.DUMMYFUNCTION("""COMPUTED_VALUE"""),"Vancouver, British Columbia, Canada- Kamloops, British Columbia, Canada")</f>
        <v/>
      </c>
      <c r="K18359">
        <f>IFERROR(__xludf.DUMMYFUNCTION("""COMPUTED_VALUE"""),820.46)</f>
        <v/>
      </c>
    </row>
    <row r="18360">
      <c r="J18360">
        <f>IFERROR(__xludf.DUMMYFUNCTION("""COMPUTED_VALUE"""),"Grozny, Russia")</f>
        <v/>
      </c>
      <c r="K18360">
        <f>IFERROR(__xludf.DUMMYFUNCTION("""COMPUTED_VALUE"""),820.32)</f>
        <v/>
      </c>
    </row>
    <row r="18361">
      <c r="J18361">
        <f>IFERROR(__xludf.DUMMYFUNCTION("""COMPUTED_VALUE"""),"Miramichi and northeastern New Brunswick")</f>
        <v/>
      </c>
      <c r="K18361">
        <f>IFERROR(__xludf.DUMMYFUNCTION("""COMPUTED_VALUE"""),820.05)</f>
        <v/>
      </c>
    </row>
    <row r="18362">
      <c r="J18362">
        <f>IFERROR(__xludf.DUMMYFUNCTION("""COMPUTED_VALUE"""),"Rivière-du-Loup, Quebec (Canada)")</f>
        <v/>
      </c>
      <c r="K18362">
        <f>IFERROR(__xludf.DUMMYFUNCTION("""COMPUTED_VALUE"""),820)</f>
        <v/>
      </c>
    </row>
    <row r="18363">
      <c r="J18363">
        <f>IFERROR(__xludf.DUMMYFUNCTION("""COMPUTED_VALUE"""),"Fort Walsh NHS - Saskatchewan")</f>
        <v/>
      </c>
      <c r="K18363">
        <f>IFERROR(__xludf.DUMMYFUNCTION("""COMPUTED_VALUE"""),819.85)</f>
        <v/>
      </c>
    </row>
    <row r="18364">
      <c r="J18364">
        <f>IFERROR(__xludf.DUMMYFUNCTION("""COMPUTED_VALUE"""),"Ottawa, ON and Gatineau, QC")</f>
        <v/>
      </c>
      <c r="K18364">
        <f>IFERROR(__xludf.DUMMYFUNCTION("""COMPUTED_VALUE"""),819.75)</f>
        <v/>
      </c>
    </row>
    <row r="18365">
      <c r="J18365">
        <f>IFERROR(__xludf.DUMMYFUNCTION("""COMPUTED_VALUE"""),"Trois-Rivières, Montréal, Québec, Roberval, Ottawa")</f>
        <v/>
      </c>
      <c r="K18365">
        <f>IFERROR(__xludf.DUMMYFUNCTION("""COMPUTED_VALUE"""),819.66)</f>
        <v/>
      </c>
    </row>
    <row r="18366">
      <c r="J18366">
        <f>IFERROR(__xludf.DUMMYFUNCTION("""COMPUTED_VALUE"""),"Petawawa/Trenton/Brampton/ Kitchener /Toronto, Ontario, Canada")</f>
        <v/>
      </c>
      <c r="K18366">
        <f>IFERROR(__xludf.DUMMYFUNCTION("""COMPUTED_VALUE"""),819.47)</f>
        <v/>
      </c>
    </row>
    <row r="18367">
      <c r="J18367">
        <f>IFERROR(__xludf.DUMMYFUNCTION("""COMPUTED_VALUE"""),"Denver, OH, USA")</f>
        <v/>
      </c>
      <c r="K18367">
        <f>IFERROR(__xludf.DUMMYFUNCTION("""COMPUTED_VALUE"""),818.93)</f>
        <v/>
      </c>
    </row>
    <row r="18368">
      <c r="J18368">
        <f>IFERROR(__xludf.DUMMYFUNCTION("""COMPUTED_VALUE"""),"Toronto, Ontario, Canada; Mississauga, Ontario, Canada; Gatineau, Quebec, Canada")</f>
        <v/>
      </c>
      <c r="K18368">
        <f>IFERROR(__xludf.DUMMYFUNCTION("""COMPUTED_VALUE"""),818.42)</f>
        <v/>
      </c>
    </row>
    <row r="18369">
      <c r="J18369">
        <f>IFERROR(__xludf.DUMMYFUNCTION("""COMPUTED_VALUE"""),"Nackawic, New Brunswick; Halifax, Nova Scotia")</f>
        <v/>
      </c>
      <c r="K18369">
        <f>IFERROR(__xludf.DUMMYFUNCTION("""COMPUTED_VALUE"""),818.3)</f>
        <v/>
      </c>
    </row>
    <row r="18370">
      <c r="J18370">
        <f>IFERROR(__xludf.DUMMYFUNCTION("""COMPUTED_VALUE"""),"Jonquiére, QC")</f>
        <v/>
      </c>
      <c r="K18370">
        <f>IFERROR(__xludf.DUMMYFUNCTION("""COMPUTED_VALUE"""),818.06)</f>
        <v/>
      </c>
    </row>
    <row r="18371">
      <c r="J18371">
        <f>IFERROR(__xludf.DUMMYFUNCTION("""COMPUTED_VALUE"""),"Montreal and Whitby")</f>
        <v/>
      </c>
      <c r="K18371">
        <f>IFERROR(__xludf.DUMMYFUNCTION("""COMPUTED_VALUE"""),818.01)</f>
        <v/>
      </c>
    </row>
    <row r="18372">
      <c r="J18372">
        <f>IFERROR(__xludf.DUMMYFUNCTION("""COMPUTED_VALUE"""),"Rimini and Cesena, Italy")</f>
        <v/>
      </c>
      <c r="K18372">
        <f>IFERROR(__xludf.DUMMYFUNCTION("""COMPUTED_VALUE"""),817.03)</f>
        <v/>
      </c>
    </row>
    <row r="18373">
      <c r="J18373">
        <f>IFERROR(__xludf.DUMMYFUNCTION("""COMPUTED_VALUE"""),"Niagara Falls, ON, Canada")</f>
        <v/>
      </c>
      <c r="K18373">
        <f>IFERROR(__xludf.DUMMYFUNCTION("""COMPUTED_VALUE"""),816.31)</f>
        <v/>
      </c>
    </row>
    <row r="18374">
      <c r="J18374">
        <f>IFERROR(__xludf.DUMMYFUNCTION("""COMPUTED_VALUE"""),"Toronto, Toronto")</f>
        <v/>
      </c>
      <c r="K18374">
        <f>IFERROR(__xludf.DUMMYFUNCTION("""COMPUTED_VALUE"""),815.87)</f>
        <v/>
      </c>
    </row>
    <row r="18375">
      <c r="J18375">
        <f>IFERROR(__xludf.DUMMYFUNCTION("""COMPUTED_VALUE"""),"Cornwall, ON / Cambridge, ON")</f>
        <v/>
      </c>
      <c r="K18375">
        <f>IFERROR(__xludf.DUMMYFUNCTION("""COMPUTED_VALUE"""),815.79)</f>
        <v/>
      </c>
    </row>
    <row r="18376">
      <c r="J18376">
        <f>IFERROR(__xludf.DUMMYFUNCTION("""COMPUTED_VALUE"""),"Yarmouth, Nova Scotia and Moncton, New Brunswick")</f>
        <v/>
      </c>
      <c r="K18376">
        <f>IFERROR(__xludf.DUMMYFUNCTION("""COMPUTED_VALUE"""),815.56)</f>
        <v/>
      </c>
    </row>
    <row r="18377">
      <c r="J18377">
        <f>IFERROR(__xludf.DUMMYFUNCTION("""COMPUTED_VALUE"""),"Montreal-Trois-Rivieres, Qc, Can")</f>
        <v/>
      </c>
      <c r="K18377">
        <f>IFERROR(__xludf.DUMMYFUNCTION("""COMPUTED_VALUE"""),815.32)</f>
        <v/>
      </c>
    </row>
    <row r="18378">
      <c r="J18378">
        <f>IFERROR(__xludf.DUMMYFUNCTION("""COMPUTED_VALUE"""),"Manchester, England, UK")</f>
        <v/>
      </c>
      <c r="K18378">
        <f>IFERROR(__xludf.DUMMYFUNCTION("""COMPUTED_VALUE"""),815.29)</f>
        <v/>
      </c>
    </row>
    <row r="18379">
      <c r="J18379">
        <f>IFERROR(__xludf.DUMMYFUNCTION("""COMPUTED_VALUE"""),"Edmonton, AB; Morinville, AB")</f>
        <v/>
      </c>
      <c r="K18379">
        <f>IFERROR(__xludf.DUMMYFUNCTION("""COMPUTED_VALUE"""),815.11)</f>
        <v/>
      </c>
    </row>
    <row r="18380">
      <c r="J18380">
        <f>IFERROR(__xludf.DUMMYFUNCTION("""COMPUTED_VALUE"""),"Port Hardy, British Columbia")</f>
        <v/>
      </c>
      <c r="K18380">
        <f>IFERROR(__xludf.DUMMYFUNCTION("""COMPUTED_VALUE"""),815.04)</f>
        <v/>
      </c>
    </row>
    <row r="18381">
      <c r="J18381">
        <f>IFERROR(__xludf.DUMMYFUNCTION("""COMPUTED_VALUE"""),"Moorestown, NJ (USA)")</f>
        <v/>
      </c>
      <c r="K18381">
        <f>IFERROR(__xludf.DUMMYFUNCTION("""COMPUTED_VALUE"""),814.94)</f>
        <v/>
      </c>
    </row>
    <row r="18382">
      <c r="J18382">
        <f>IFERROR(__xludf.DUMMYFUNCTION("""COMPUTED_VALUE"""),"Repentigny, Quebec, Canada")</f>
        <v/>
      </c>
      <c r="K18382">
        <f>IFERROR(__xludf.DUMMYFUNCTION("""COMPUTED_VALUE"""),814.87)</f>
        <v/>
      </c>
    </row>
    <row r="18383">
      <c r="J18383">
        <f>IFERROR(__xludf.DUMMYFUNCTION("""COMPUTED_VALUE"""),"Québec, Québec)")</f>
        <v/>
      </c>
      <c r="K18383">
        <f>IFERROR(__xludf.DUMMYFUNCTION("""COMPUTED_VALUE"""),814.71)</f>
        <v/>
      </c>
    </row>
    <row r="18384">
      <c r="J18384">
        <f>IFERROR(__xludf.DUMMYFUNCTION("""COMPUTED_VALUE"""),"Port-au-Prince, Haiti and Cayenne, french government")</f>
        <v/>
      </c>
      <c r="K18384">
        <f>IFERROR(__xludf.DUMMYFUNCTION("""COMPUTED_VALUE"""),814.569999999999)</f>
        <v/>
      </c>
    </row>
    <row r="18385">
      <c r="J18385">
        <f>IFERROR(__xludf.DUMMYFUNCTION("""COMPUTED_VALUE"""),"Sherbrooke, Quebec, Canada; Thetford Mines, Quebec, Canada")</f>
        <v/>
      </c>
      <c r="K18385">
        <f>IFERROR(__xludf.DUMMYFUNCTION("""COMPUTED_VALUE"""),814.37)</f>
        <v/>
      </c>
    </row>
    <row r="18386">
      <c r="J18386">
        <f>IFERROR(__xludf.DUMMYFUNCTION("""COMPUTED_VALUE"""),"Rimouski, Montréal")</f>
        <v/>
      </c>
      <c r="K18386">
        <f>IFERROR(__xludf.DUMMYFUNCTION("""COMPUTED_VALUE"""),814.2)</f>
        <v/>
      </c>
    </row>
    <row r="18387">
      <c r="J18387">
        <f>IFERROR(__xludf.DUMMYFUNCTION("""COMPUTED_VALUE"""),"Shawinigan and Québec City, Québec")</f>
        <v/>
      </c>
      <c r="K18387">
        <f>IFERROR(__xludf.DUMMYFUNCTION("""COMPUTED_VALUE"""),813.64)</f>
        <v/>
      </c>
    </row>
    <row r="18388">
      <c r="J18388">
        <f>IFERROR(__xludf.DUMMYFUNCTION("""COMPUTED_VALUE"""),"Saskatoon, Saskatchewan, Canada; Windsor, Ontario, Canada; Shawinigan, Quebec, Canada;  Trois-Rivières, Quebec, Canada")</f>
        <v/>
      </c>
      <c r="K18388">
        <f>IFERROR(__xludf.DUMMYFUNCTION("""COMPUTED_VALUE"""),813.55)</f>
        <v/>
      </c>
    </row>
    <row r="18389">
      <c r="J18389">
        <f>IFERROR(__xludf.DUMMYFUNCTION("""COMPUTED_VALUE"""),"Vancouver, British Columbia &amp; Toronto, Ontario")</f>
        <v/>
      </c>
      <c r="K18389">
        <f>IFERROR(__xludf.DUMMYFUNCTION("""COMPUTED_VALUE"""),812.8)</f>
        <v/>
      </c>
    </row>
    <row r="18390">
      <c r="J18390">
        <f>IFERROR(__xludf.DUMMYFUNCTION("""COMPUTED_VALUE"""),"Kingston, Ontario, Canada; Ottawa, Ontario, Canada; Toronto, Ontario, Canada")</f>
        <v/>
      </c>
      <c r="K18390">
        <f>IFERROR(__xludf.DUMMYFUNCTION("""COMPUTED_VALUE"""),812.13)</f>
        <v/>
      </c>
    </row>
    <row r="18391">
      <c r="J18391">
        <f>IFERROR(__xludf.DUMMYFUNCTION("""COMPUTED_VALUE"""),"Portage La Prairie, Manitoba")</f>
        <v/>
      </c>
      <c r="K18391">
        <f>IFERROR(__xludf.DUMMYFUNCTION("""COMPUTED_VALUE"""),812.06)</f>
        <v/>
      </c>
    </row>
    <row r="18392">
      <c r="J18392">
        <f>IFERROR(__xludf.DUMMYFUNCTION("""COMPUTED_VALUE"""),"Roberval, Bagotville, 
St-Bruno")</f>
        <v/>
      </c>
      <c r="K18392">
        <f>IFERROR(__xludf.DUMMYFUNCTION("""COMPUTED_VALUE"""),811.91)</f>
        <v/>
      </c>
    </row>
    <row r="18393">
      <c r="J18393">
        <f>IFERROR(__xludf.DUMMYFUNCTION("""COMPUTED_VALUE"""),"Venise-en-Quebec, Quebec, Canada")</f>
        <v/>
      </c>
      <c r="K18393">
        <f>IFERROR(__xludf.DUMMYFUNCTION("""COMPUTED_VALUE"""),811.9)</f>
        <v/>
      </c>
    </row>
    <row r="18394">
      <c r="J18394">
        <f>IFERROR(__xludf.DUMMYFUNCTION("""COMPUTED_VALUE"""),"Gatineau, Val d'Or")</f>
        <v/>
      </c>
      <c r="K18394">
        <f>IFERROR(__xludf.DUMMYFUNCTION("""COMPUTED_VALUE"""),811.77)</f>
        <v/>
      </c>
    </row>
    <row r="18395">
      <c r="J18395">
        <f>IFERROR(__xludf.DUMMYFUNCTION("""COMPUTED_VALUE"""),"Gagetown, NB/Charlottetown, PEI/Halifax, NS")</f>
        <v/>
      </c>
      <c r="K18395">
        <f>IFERROR(__xludf.DUMMYFUNCTION("""COMPUTED_VALUE"""),811.42)</f>
        <v/>
      </c>
    </row>
    <row r="18396">
      <c r="J18396">
        <f>IFERROR(__xludf.DUMMYFUNCTION("""COMPUTED_VALUE"""),"Norfolk USA and Halifax")</f>
        <v/>
      </c>
      <c r="K18396">
        <f>IFERROR(__xludf.DUMMYFUNCTION("""COMPUTED_VALUE"""),811.24)</f>
        <v/>
      </c>
    </row>
    <row r="18397">
      <c r="J18397">
        <f>IFERROR(__xludf.DUMMYFUNCTION("""COMPUTED_VALUE"""),"Toronto - Oakville, ON")</f>
        <v/>
      </c>
      <c r="K18397">
        <f>IFERROR(__xludf.DUMMYFUNCTION("""COMPUTED_VALUE"""),811.11)</f>
        <v/>
      </c>
    </row>
    <row r="18398">
      <c r="J18398">
        <f>IFERROR(__xludf.DUMMYFUNCTION("""COMPUTED_VALUE"""),"Oakville, Ontario, Canada; Hamilton, Ontario, Canada; Toronto, Ontario, Canada")</f>
        <v/>
      </c>
      <c r="K18398">
        <f>IFERROR(__xludf.DUMMYFUNCTION("""COMPUTED_VALUE"""),811.07)</f>
        <v/>
      </c>
    </row>
    <row r="18399">
      <c r="J18399">
        <f>IFERROR(__xludf.DUMMYFUNCTION("""COMPUTED_VALUE"""),"Ottawa, ON Charlottetown, PEI")</f>
        <v/>
      </c>
      <c r="K18399">
        <f>IFERROR(__xludf.DUMMYFUNCTION("""COMPUTED_VALUE"""),810.94)</f>
        <v/>
      </c>
    </row>
    <row r="18400">
      <c r="J18400">
        <f>IFERROR(__xludf.DUMMYFUNCTION("""COMPUTED_VALUE"""),"New York, United States; Peterborough, Ontario, Canada; Kingston, Ontario, Canada; Belleville, Ontario, Canada; Toronto, Ontario, Canada")</f>
        <v/>
      </c>
      <c r="K18400">
        <f>IFERROR(__xludf.DUMMYFUNCTION("""COMPUTED_VALUE"""),810.7)</f>
        <v/>
      </c>
    </row>
    <row r="18401">
      <c r="J18401">
        <f>IFERROR(__xludf.DUMMYFUNCTION("""COMPUTED_VALUE"""),"Harrow (Ontario) Canada, London (Ontario) Canada")</f>
        <v/>
      </c>
      <c r="K18401">
        <f>IFERROR(__xludf.DUMMYFUNCTION("""COMPUTED_VALUE"""),810.61)</f>
        <v/>
      </c>
    </row>
    <row r="18402">
      <c r="J18402">
        <f>IFERROR(__xludf.DUMMYFUNCTION("""COMPUTED_VALUE"""),"Kapuskasing, Ontario, Canada")</f>
        <v/>
      </c>
      <c r="K18402">
        <f>IFERROR(__xludf.DUMMYFUNCTION("""COMPUTED_VALUE"""),810.48)</f>
        <v/>
      </c>
    </row>
    <row r="18403">
      <c r="J18403">
        <f>IFERROR(__xludf.DUMMYFUNCTION("""COMPUTED_VALUE"""),"Welland,Ontario")</f>
        <v/>
      </c>
      <c r="K18403">
        <f>IFERROR(__xludf.DUMMYFUNCTION("""COMPUTED_VALUE"""),810.02)</f>
        <v/>
      </c>
    </row>
    <row r="18404">
      <c r="J18404">
        <f>IFERROR(__xludf.DUMMYFUNCTION("""COMPUTED_VALUE"""),"Ottawa, ON - Charlottetown, PE")</f>
        <v/>
      </c>
      <c r="K18404">
        <f>IFERROR(__xludf.DUMMYFUNCTION("""COMPUTED_VALUE"""),809.55)</f>
        <v/>
      </c>
    </row>
    <row r="18405">
      <c r="J18405">
        <f>IFERROR(__xludf.DUMMYFUNCTION("""COMPUTED_VALUE"""),"Whitby, Ontario, Canada; Oshawa, Ontario, Canada")</f>
        <v/>
      </c>
      <c r="K18405">
        <f>IFERROR(__xludf.DUMMYFUNCTION("""COMPUTED_VALUE"""),809.44)</f>
        <v/>
      </c>
    </row>
    <row r="18406">
      <c r="J18406">
        <f>IFERROR(__xludf.DUMMYFUNCTION("""COMPUTED_VALUE"""),"White City, Saskatchewan, Canada; Saskatoon, Saskatchewan, Canada")</f>
        <v/>
      </c>
      <c r="K18406">
        <f>IFERROR(__xludf.DUMMYFUNCTION("""COMPUTED_VALUE"""),809.15)</f>
        <v/>
      </c>
    </row>
    <row r="18407">
      <c r="J18407">
        <f>IFERROR(__xludf.DUMMYFUNCTION("""COMPUTED_VALUE"""),"Montreal, Quebec / Gatineau, Quebec")</f>
        <v/>
      </c>
      <c r="K18407">
        <f>IFERROR(__xludf.DUMMYFUNCTION("""COMPUTED_VALUE"""),808.86)</f>
        <v/>
      </c>
    </row>
    <row r="18408">
      <c r="J18408">
        <f>IFERROR(__xludf.DUMMYFUNCTION("""COMPUTED_VALUE"""),"Ottawa, ON / Guelph, ON")</f>
        <v/>
      </c>
      <c r="K18408">
        <f>IFERROR(__xludf.DUMMYFUNCTION("""COMPUTED_VALUE"""),807.65)</f>
        <v/>
      </c>
    </row>
    <row r="18409">
      <c r="J18409">
        <f>IFERROR(__xludf.DUMMYFUNCTION("""COMPUTED_VALUE"""),"Montreal, QC,")</f>
        <v/>
      </c>
      <c r="K18409">
        <f>IFERROR(__xludf.DUMMYFUNCTION("""COMPUTED_VALUE"""),807.59)</f>
        <v/>
      </c>
    </row>
    <row r="18410">
      <c r="J18410">
        <f>IFERROR(__xludf.DUMMYFUNCTION("""COMPUTED_VALUE"""),"Roberval, Bagotville, Montréal, St-Hubert et Val d'Or")</f>
        <v/>
      </c>
      <c r="K18410">
        <f>IFERROR(__xludf.DUMMYFUNCTION("""COMPUTED_VALUE"""),807.43)</f>
        <v/>
      </c>
    </row>
    <row r="18411">
      <c r="J18411">
        <f>IFERROR(__xludf.DUMMYFUNCTION("""COMPUTED_VALUE"""),"Montreal, Quebec, Canada / Ottawa, Ontario, Canada / Toronto, Ontario, Canada")</f>
        <v/>
      </c>
      <c r="K18411">
        <f>IFERROR(__xludf.DUMMYFUNCTION("""COMPUTED_VALUE"""),807.41)</f>
        <v/>
      </c>
    </row>
    <row r="18412">
      <c r="J18412">
        <f>IFERROR(__xludf.DUMMYFUNCTION("""COMPUTED_VALUE"""),"Wrexham, UK")</f>
        <v/>
      </c>
      <c r="K18412">
        <f>IFERROR(__xludf.DUMMYFUNCTION("""COMPUTED_VALUE"""),807.41)</f>
        <v/>
      </c>
    </row>
    <row r="18413">
      <c r="J18413">
        <f>IFERROR(__xludf.DUMMYFUNCTION("""COMPUTED_VALUE"""),"Haïti")</f>
        <v/>
      </c>
      <c r="K18413">
        <f>IFERROR(__xludf.DUMMYFUNCTION("""COMPUTED_VALUE"""),807.28)</f>
        <v/>
      </c>
    </row>
    <row r="18414">
      <c r="J18414">
        <f>IFERROR(__xludf.DUMMYFUNCTION("""COMPUTED_VALUE"""),"Lunenburg, Greenwich, Waterville, Cherry Brook, Wolfville, Gaspereau, Windsor, Avondale, NS")</f>
        <v/>
      </c>
      <c r="K18414">
        <f>IFERROR(__xludf.DUMMYFUNCTION("""COMPUTED_VALUE"""),806.73)</f>
        <v/>
      </c>
    </row>
    <row r="18415">
      <c r="J18415">
        <f>IFERROR(__xludf.DUMMYFUNCTION("""COMPUTED_VALUE"""),"Quebec (QC), Canada")</f>
        <v/>
      </c>
      <c r="K18415">
        <f>IFERROR(__xludf.DUMMYFUNCTION("""COMPUTED_VALUE"""),805.62)</f>
        <v/>
      </c>
    </row>
    <row r="18416">
      <c r="J18416">
        <f>IFERROR(__xludf.DUMMYFUNCTION("""COMPUTED_VALUE"""),"Québec, Ottawa
")</f>
        <v/>
      </c>
      <c r="K18416">
        <f>IFERROR(__xludf.DUMMYFUNCTION("""COMPUTED_VALUE"""),805.56)</f>
        <v/>
      </c>
    </row>
    <row r="18417">
      <c r="J18417">
        <f>IFERROR(__xludf.DUMMYFUNCTION("""COMPUTED_VALUE"""),"Montreal and Lévis, QC")</f>
        <v/>
      </c>
      <c r="K18417">
        <f>IFERROR(__xludf.DUMMYFUNCTION("""COMPUTED_VALUE"""),805.48)</f>
        <v/>
      </c>
    </row>
    <row r="18418">
      <c r="J18418">
        <f>IFERROR(__xludf.DUMMYFUNCTION("""COMPUTED_VALUE"""),"St Catharines, ON")</f>
        <v/>
      </c>
      <c r="K18418">
        <f>IFERROR(__xludf.DUMMYFUNCTION("""COMPUTED_VALUE"""),805)</f>
        <v/>
      </c>
    </row>
    <row r="18419">
      <c r="J18419">
        <f>IFERROR(__xludf.DUMMYFUNCTION("""COMPUTED_VALUE"""),"Rouyn-Noranda, Quebec, Canada; Val-d'Or, Quebec, Canada")</f>
        <v/>
      </c>
      <c r="K18419">
        <f>IFERROR(__xludf.DUMMYFUNCTION("""COMPUTED_VALUE"""),804.47)</f>
        <v/>
      </c>
    </row>
    <row r="18420">
      <c r="J18420">
        <f>IFERROR(__xludf.DUMMYFUNCTION("""COMPUTED_VALUE"""),"Niagara On The Lake, ON")</f>
        <v/>
      </c>
      <c r="K18420">
        <f>IFERROR(__xludf.DUMMYFUNCTION("""COMPUTED_VALUE"""),804.29)</f>
        <v/>
      </c>
    </row>
    <row r="18421">
      <c r="J18421">
        <f>IFERROR(__xludf.DUMMYFUNCTION("""COMPUTED_VALUE"""),"Alma, Quebec")</f>
        <v/>
      </c>
      <c r="K18421">
        <f>IFERROR(__xludf.DUMMYFUNCTION("""COMPUTED_VALUE"""),804.12)</f>
        <v/>
      </c>
    </row>
    <row r="18422">
      <c r="J18422">
        <f>IFERROR(__xludf.DUMMYFUNCTION("""COMPUTED_VALUE"""),"Ottawa, Montreal
Canada")</f>
        <v/>
      </c>
      <c r="K18422">
        <f>IFERROR(__xludf.DUMMYFUNCTION("""COMPUTED_VALUE"""),804.06)</f>
        <v/>
      </c>
    </row>
    <row r="18423">
      <c r="J18423">
        <f>IFERROR(__xludf.DUMMYFUNCTION("""COMPUTED_VALUE"""),"Moncton (NB)")</f>
        <v/>
      </c>
      <c r="K18423">
        <f>IFERROR(__xludf.DUMMYFUNCTION("""COMPUTED_VALUE"""),803.54)</f>
        <v/>
      </c>
    </row>
    <row r="18424">
      <c r="J18424">
        <f>IFERROR(__xludf.DUMMYFUNCTION("""COMPUTED_VALUE"""),"Kelowna, British Colombia, Canada")</f>
        <v/>
      </c>
      <c r="K18424">
        <f>IFERROR(__xludf.DUMMYFUNCTION("""COMPUTED_VALUE"""),803.52)</f>
        <v/>
      </c>
    </row>
    <row r="18425">
      <c r="J18425">
        <f>IFERROR(__xludf.DUMMYFUNCTION("""COMPUTED_VALUE"""),"Courtenay, BC / Campbell River, BC")</f>
        <v/>
      </c>
      <c r="K18425">
        <f>IFERROR(__xludf.DUMMYFUNCTION("""COMPUTED_VALUE"""),803.3)</f>
        <v/>
      </c>
    </row>
    <row r="18426">
      <c r="J18426">
        <f>IFERROR(__xludf.DUMMYFUNCTION("""COMPUTED_VALUE"""),"Gananoque, Cornwall")</f>
        <v/>
      </c>
      <c r="K18426">
        <f>IFERROR(__xludf.DUMMYFUNCTION("""COMPUTED_VALUE"""),803)</f>
        <v/>
      </c>
    </row>
    <row r="18427">
      <c r="J18427">
        <f>IFERROR(__xludf.DUMMYFUNCTION("""COMPUTED_VALUE"""),"Senegal and Mali")</f>
        <v/>
      </c>
      <c r="K18427">
        <f>IFERROR(__xludf.DUMMYFUNCTION("""COMPUTED_VALUE"""),803)</f>
        <v/>
      </c>
    </row>
    <row r="18428">
      <c r="J18428">
        <f>IFERROR(__xludf.DUMMYFUNCTION("""COMPUTED_VALUE"""),"Scarborough and Toronto, Ontario, Canada")</f>
        <v/>
      </c>
      <c r="K18428">
        <f>IFERROR(__xludf.DUMMYFUNCTION("""COMPUTED_VALUE"""),802.84)</f>
        <v/>
      </c>
    </row>
    <row r="18429">
      <c r="J18429">
        <f>IFERROR(__xludf.DUMMYFUNCTION("""COMPUTED_VALUE"""),"Montreal, Trois-Rivières, Quebec, Canada")</f>
        <v/>
      </c>
      <c r="K18429">
        <f>IFERROR(__xludf.DUMMYFUNCTION("""COMPUTED_VALUE"""),802.52)</f>
        <v/>
      </c>
    </row>
    <row r="18430">
      <c r="J18430">
        <f>IFERROR(__xludf.DUMMYFUNCTION("""COMPUTED_VALUE"""),"Rivière-du-Loup")</f>
        <v/>
      </c>
      <c r="K18430">
        <f>IFERROR(__xludf.DUMMYFUNCTION("""COMPUTED_VALUE"""),802.23)</f>
        <v/>
      </c>
    </row>
    <row r="18431">
      <c r="J18431">
        <f>IFERROR(__xludf.DUMMYFUNCTION("""COMPUTED_VALUE"""),"Ottawa, Val-David, St-Jérôme, Mirabel, Gatineau, Ottawa")</f>
        <v/>
      </c>
      <c r="K18431">
        <f>IFERROR(__xludf.DUMMYFUNCTION("""COMPUTED_VALUE"""),801.88)</f>
        <v/>
      </c>
    </row>
    <row r="18432">
      <c r="J18432">
        <f>IFERROR(__xludf.DUMMYFUNCTION("""COMPUTED_VALUE"""),"Sherbrook, Quebec, Canada")</f>
        <v/>
      </c>
      <c r="K18432">
        <f>IFERROR(__xludf.DUMMYFUNCTION("""COMPUTED_VALUE"""),801.79)</f>
        <v/>
      </c>
    </row>
    <row r="18433">
      <c r="J18433">
        <f>IFERROR(__xludf.DUMMYFUNCTION("""COMPUTED_VALUE"""),"Montreal and Roberval, Quebec")</f>
        <v/>
      </c>
      <c r="K18433">
        <f>IFERROR(__xludf.DUMMYFUNCTION("""COMPUTED_VALUE"""),801.71)</f>
        <v/>
      </c>
    </row>
    <row r="18434">
      <c r="J18434">
        <f>IFERROR(__xludf.DUMMYFUNCTION("""COMPUTED_VALUE"""),"Montreal,            Quebec")</f>
        <v/>
      </c>
      <c r="K18434">
        <f>IFERROR(__xludf.DUMMYFUNCTION("""COMPUTED_VALUE"""),801.44)</f>
        <v/>
      </c>
    </row>
    <row r="18435">
      <c r="J18435">
        <f>IFERROR(__xludf.DUMMYFUNCTION("""COMPUTED_VALUE"""),"Kentville/Sydney, NS")</f>
        <v/>
      </c>
      <c r="K18435">
        <f>IFERROR(__xludf.DUMMYFUNCTION("""COMPUTED_VALUE"""),801.39)</f>
        <v/>
      </c>
    </row>
    <row r="18436">
      <c r="J18436">
        <f>IFERROR(__xludf.DUMMYFUNCTION("""COMPUTED_VALUE"""),"Brasilia and Sao Paulo, Brazil Bogota, Colombia                San Jose, Costa Rica San Pedro Sula, Honduras")</f>
        <v/>
      </c>
      <c r="K18436">
        <f>IFERROR(__xludf.DUMMYFUNCTION("""COMPUTED_VALUE"""),801.24)</f>
        <v/>
      </c>
    </row>
    <row r="18437">
      <c r="J18437">
        <f>IFERROR(__xludf.DUMMYFUNCTION("""COMPUTED_VALUE"""),"Lacolle/ Montreal, Quebec, Canada")</f>
        <v/>
      </c>
      <c r="K18437">
        <f>IFERROR(__xludf.DUMMYFUNCTION("""COMPUTED_VALUE"""),801.2)</f>
        <v/>
      </c>
    </row>
    <row r="18438">
      <c r="J18438">
        <f>IFERROR(__xludf.DUMMYFUNCTION("""COMPUTED_VALUE"""),"Innisfail, AB")</f>
        <v/>
      </c>
      <c r="K18438">
        <f>IFERROR(__xludf.DUMMYFUNCTION("""COMPUTED_VALUE"""),801.18)</f>
        <v/>
      </c>
    </row>
    <row r="18439">
      <c r="J18439">
        <f>IFERROR(__xludf.DUMMYFUNCTION("""COMPUTED_VALUE"""),"Lévis")</f>
        <v/>
      </c>
      <c r="K18439">
        <f>IFERROR(__xludf.DUMMYFUNCTION("""COMPUTED_VALUE"""),800.82)</f>
        <v/>
      </c>
    </row>
    <row r="18440">
      <c r="J18440">
        <f>IFERROR(__xludf.DUMMYFUNCTION("""COMPUTED_VALUE"""),"Shawinigan, Victoriaville and Lévis, Québec")</f>
        <v/>
      </c>
      <c r="K18440">
        <f>IFERROR(__xludf.DUMMYFUNCTION("""COMPUTED_VALUE"""),800.47)</f>
        <v/>
      </c>
    </row>
    <row r="18441">
      <c r="J18441">
        <f>IFERROR(__xludf.DUMMYFUNCTION("""COMPUTED_VALUE"""),"Toronto, Ontario, Canada / Waterloo, Ontario, Canada / London, Ontario, Canada")</f>
        <v/>
      </c>
      <c r="K18441">
        <f>IFERROR(__xludf.DUMMYFUNCTION("""COMPUTED_VALUE"""),799.94)</f>
        <v/>
      </c>
    </row>
    <row r="18442">
      <c r="J18442">
        <f>IFERROR(__xludf.DUMMYFUNCTION("""COMPUTED_VALUE"""),"None - Trip cancelled due to illness")</f>
        <v/>
      </c>
      <c r="K18442">
        <f>IFERROR(__xludf.DUMMYFUNCTION("""COMPUTED_VALUE"""),799.8)</f>
        <v/>
      </c>
    </row>
    <row r="18443">
      <c r="J18443">
        <f>IFERROR(__xludf.DUMMYFUNCTION("""COMPUTED_VALUE"""),"Québec, Quebec, Canada; Saint-Georges, Quebec, Canada")</f>
        <v/>
      </c>
      <c r="K18443">
        <f>IFERROR(__xludf.DUMMYFUNCTION("""COMPUTED_VALUE"""),799.61)</f>
        <v/>
      </c>
    </row>
    <row r="18444">
      <c r="J18444">
        <f>IFERROR(__xludf.DUMMYFUNCTION("""COMPUTED_VALUE"""),"Beijing, Shenzhen, Guangzhou - China")</f>
        <v/>
      </c>
      <c r="K18444">
        <f>IFERROR(__xludf.DUMMYFUNCTION("""COMPUTED_VALUE"""),799.58)</f>
        <v/>
      </c>
    </row>
    <row r="18445">
      <c r="J18445">
        <f>IFERROR(__xludf.DUMMYFUNCTION("""COMPUTED_VALUE"""),"Saskatoon / Swartz Bay")</f>
        <v/>
      </c>
      <c r="K18445">
        <f>IFERROR(__xludf.DUMMYFUNCTION("""COMPUTED_VALUE"""),799.57)</f>
        <v/>
      </c>
    </row>
    <row r="18446">
      <c r="J18446">
        <f>IFERROR(__xludf.DUMMYFUNCTION("""COMPUTED_VALUE"""),"Toronto and Kitchener, Ontario, Canada")</f>
        <v/>
      </c>
      <c r="K18446">
        <f>IFERROR(__xludf.DUMMYFUNCTION("""COMPUTED_VALUE"""),799.06)</f>
        <v/>
      </c>
    </row>
    <row r="18447">
      <c r="J18447">
        <f>IFERROR(__xludf.DUMMYFUNCTION("""COMPUTED_VALUE"""),"Queretaro")</f>
        <v/>
      </c>
      <c r="K18447">
        <f>IFERROR(__xludf.DUMMYFUNCTION("""COMPUTED_VALUE"""),798.95)</f>
        <v/>
      </c>
    </row>
    <row r="18448">
      <c r="J18448">
        <f>IFERROR(__xludf.DUMMYFUNCTION("""COMPUTED_VALUE"""),"Acton Vale")</f>
        <v/>
      </c>
      <c r="K18448">
        <f>IFERROR(__xludf.DUMMYFUNCTION("""COMPUTED_VALUE"""),798.82)</f>
        <v/>
      </c>
    </row>
    <row r="18449">
      <c r="J18449">
        <f>IFERROR(__xludf.DUMMYFUNCTION("""COMPUTED_VALUE"""),"Sainte-Marie, Quebec, Canada")</f>
        <v/>
      </c>
      <c r="K18449">
        <f>IFERROR(__xludf.DUMMYFUNCTION("""COMPUTED_VALUE"""),798.63)</f>
        <v/>
      </c>
    </row>
    <row r="18450">
      <c r="J18450">
        <f>IFERROR(__xludf.DUMMYFUNCTION("""COMPUTED_VALUE"""),"Waterloo, Ontario, Canada / Toronto, Ontario, Canada / London, Ontario, Canada")</f>
        <v/>
      </c>
      <c r="K18450">
        <f>IFERROR(__xludf.DUMMYFUNCTION("""COMPUTED_VALUE"""),798.52)</f>
        <v/>
      </c>
    </row>
    <row r="18451">
      <c r="J18451">
        <f>IFERROR(__xludf.DUMMYFUNCTION("""COMPUTED_VALUE"""),"Ottawa (Ontario) Canada
Perth (Ontario) Canada")</f>
        <v/>
      </c>
      <c r="K18451">
        <f>IFERROR(__xludf.DUMMYFUNCTION("""COMPUTED_VALUE"""),797.85)</f>
        <v/>
      </c>
    </row>
    <row r="18452">
      <c r="J18452">
        <f>IFERROR(__xludf.DUMMYFUNCTION("""COMPUTED_VALUE"""),"Veracruz")</f>
        <v/>
      </c>
      <c r="K18452">
        <f>IFERROR(__xludf.DUMMYFUNCTION("""COMPUTED_VALUE"""),797.48)</f>
        <v/>
      </c>
    </row>
    <row r="18453">
      <c r="J18453">
        <f>IFERROR(__xludf.DUMMYFUNCTION("""COMPUTED_VALUE"""),"Toronto, Montreal, Canada")</f>
        <v/>
      </c>
      <c r="K18453">
        <f>IFERROR(__xludf.DUMMYFUNCTION("""COMPUTED_VALUE"""),797.24)</f>
        <v/>
      </c>
    </row>
    <row r="18454">
      <c r="J18454">
        <f>IFERROR(__xludf.DUMMYFUNCTION("""COMPUTED_VALUE"""),"Vilnius, Slovenia")</f>
        <v/>
      </c>
      <c r="K18454">
        <f>IFERROR(__xludf.DUMMYFUNCTION("""COMPUTED_VALUE"""),796.82)</f>
        <v/>
      </c>
    </row>
    <row r="18455">
      <c r="J18455">
        <f>IFERROR(__xludf.DUMMYFUNCTION("""COMPUTED_VALUE"""),"St-Jean-Sur-Richelieu, Quebec")</f>
        <v/>
      </c>
      <c r="K18455">
        <f>IFERROR(__xludf.DUMMYFUNCTION("""COMPUTED_VALUE"""),796.62)</f>
        <v/>
      </c>
    </row>
    <row r="18456">
      <c r="J18456">
        <f>IFERROR(__xludf.DUMMYFUNCTION("""COMPUTED_VALUE"""),"Jonquière, QC Québec, QC")</f>
        <v/>
      </c>
      <c r="K18456">
        <f>IFERROR(__xludf.DUMMYFUNCTION("""COMPUTED_VALUE"""),796.58)</f>
        <v/>
      </c>
    </row>
    <row r="18457">
      <c r="J18457">
        <f>IFERROR(__xludf.DUMMYFUNCTION("""COMPUTED_VALUE"""),"Moncton, Miramichi and Grand Lake, New Brunswick")</f>
        <v/>
      </c>
      <c r="K18457">
        <f>IFERROR(__xludf.DUMMYFUNCTION("""COMPUTED_VALUE"""),795.92)</f>
        <v/>
      </c>
    </row>
    <row r="18458">
      <c r="J18458">
        <f>IFERROR(__xludf.DUMMYFUNCTION("""COMPUTED_VALUE"""),"Ottawa-London-Toronto")</f>
        <v/>
      </c>
      <c r="K18458">
        <f>IFERROR(__xludf.DUMMYFUNCTION("""COMPUTED_VALUE"""),795.33)</f>
        <v/>
      </c>
    </row>
    <row r="18459">
      <c r="J18459">
        <f>IFERROR(__xludf.DUMMYFUNCTION("""COMPUTED_VALUE"""),"Montreal, QC.")</f>
        <v/>
      </c>
      <c r="K18459">
        <f>IFERROR(__xludf.DUMMYFUNCTION("""COMPUTED_VALUE"""),795.04)</f>
        <v/>
      </c>
    </row>
    <row r="18460">
      <c r="J18460">
        <f>IFERROR(__xludf.DUMMYFUNCTION("""COMPUTED_VALUE"""),"Warkworth, Ontario")</f>
        <v/>
      </c>
      <c r="K18460">
        <f>IFERROR(__xludf.DUMMYFUNCTION("""COMPUTED_VALUE"""),794.74)</f>
        <v/>
      </c>
    </row>
    <row r="18461">
      <c r="J18461">
        <f>IFERROR(__xludf.DUMMYFUNCTION("""COMPUTED_VALUE"""),"Petawawa/Trenton/Kitchener/Toronto, Ontario, Canada")</f>
        <v/>
      </c>
      <c r="K18461">
        <f>IFERROR(__xludf.DUMMYFUNCTION("""COMPUTED_VALUE"""),794.56)</f>
        <v/>
      </c>
    </row>
    <row r="18462">
      <c r="J18462">
        <f>IFERROR(__xludf.DUMMYFUNCTION("""COMPUTED_VALUE"""),"Gravenhurst, Ontario;
Kitchener, Ontario")</f>
        <v/>
      </c>
      <c r="K18462">
        <f>IFERROR(__xludf.DUMMYFUNCTION("""COMPUTED_VALUE"""),794.42)</f>
        <v/>
      </c>
    </row>
    <row r="18463">
      <c r="J18463">
        <f>IFERROR(__xludf.DUMMYFUNCTION("""COMPUTED_VALUE"""),"Port au Prince- Haïti, Regina and Winnipeg")</f>
        <v/>
      </c>
      <c r="K18463">
        <f>IFERROR(__xludf.DUMMYFUNCTION("""COMPUTED_VALUE"""),793.5)</f>
        <v/>
      </c>
    </row>
    <row r="18464">
      <c r="J18464">
        <f>IFERROR(__xludf.DUMMYFUNCTION("""COMPUTED_VALUE"""),"Quesnel, B.C.")</f>
        <v/>
      </c>
      <c r="K18464">
        <f>IFERROR(__xludf.DUMMYFUNCTION("""COMPUTED_VALUE"""),793.03)</f>
        <v/>
      </c>
    </row>
    <row r="18465">
      <c r="J18465">
        <f>IFERROR(__xludf.DUMMYFUNCTION("""COMPUTED_VALUE"""),"Rivière-du-Loup, Trois-Pistoles, Québec / Moncton, New Brunswick")</f>
        <v/>
      </c>
      <c r="K18465">
        <f>IFERROR(__xludf.DUMMYFUNCTION("""COMPUTED_VALUE"""),792.83)</f>
        <v/>
      </c>
    </row>
    <row r="18466">
      <c r="J18466">
        <f>IFERROR(__xludf.DUMMYFUNCTION("""COMPUTED_VALUE"""),"Moscow, Russian Federation")</f>
        <v/>
      </c>
      <c r="K18466">
        <f>IFERROR(__xludf.DUMMYFUNCTION("""COMPUTED_VALUE"""),792.82)</f>
        <v/>
      </c>
    </row>
    <row r="18467">
      <c r="J18467">
        <f>IFERROR(__xludf.DUMMYFUNCTION("""COMPUTED_VALUE"""),"Ottawa - Sherbrooke - Ottawa")</f>
        <v/>
      </c>
      <c r="K18467">
        <f>IFERROR(__xludf.DUMMYFUNCTION("""COMPUTED_VALUE"""),792.79)</f>
        <v/>
      </c>
    </row>
    <row r="18468">
      <c r="J18468">
        <f>IFERROR(__xludf.DUMMYFUNCTION("""COMPUTED_VALUE"""),"Santo Domingo, Dominican Republic and Port-au-Prince, Haïti")</f>
        <v/>
      </c>
      <c r="K18468">
        <f>IFERROR(__xludf.DUMMYFUNCTION("""COMPUTED_VALUE"""),792.75)</f>
        <v/>
      </c>
    </row>
    <row r="18469">
      <c r="J18469">
        <f>IFERROR(__xludf.DUMMYFUNCTION("""COMPUTED_VALUE"""),"St-Hubert, Quebec")</f>
        <v/>
      </c>
      <c r="K18469">
        <f>IFERROR(__xludf.DUMMYFUNCTION("""COMPUTED_VALUE"""),792.7)</f>
        <v/>
      </c>
    </row>
    <row r="18470">
      <c r="J18470">
        <f>IFERROR(__xludf.DUMMYFUNCTION("""COMPUTED_VALUE"""),"New York, United States; Peterborough, Ontario, Canada")</f>
        <v/>
      </c>
      <c r="K18470">
        <f>IFERROR(__xludf.DUMMYFUNCTION("""COMPUTED_VALUE"""),792.31)</f>
        <v/>
      </c>
    </row>
    <row r="18471">
      <c r="J18471">
        <f>IFERROR(__xludf.DUMMYFUNCTION("""COMPUTED_VALUE"""),"Alghero, Italy")</f>
        <v/>
      </c>
      <c r="K18471">
        <f>IFERROR(__xludf.DUMMYFUNCTION("""COMPUTED_VALUE"""),791.54)</f>
        <v/>
      </c>
    </row>
    <row r="18472">
      <c r="J18472">
        <f>IFERROR(__xludf.DUMMYFUNCTION("""COMPUTED_VALUE"""),"Montreal, Quebec, (Canada)
Ottawa, Ontario, (Canada)")</f>
        <v/>
      </c>
      <c r="K18472">
        <f>IFERROR(__xludf.DUMMYFUNCTION("""COMPUTED_VALUE"""),791.5)</f>
        <v/>
      </c>
    </row>
    <row r="18473">
      <c r="J18473">
        <f>IFERROR(__xludf.DUMMYFUNCTION("""COMPUTED_VALUE"""),"Moncton, New Brunswick, Canada; Kentville, Nova Scotia, Canada")</f>
        <v/>
      </c>
      <c r="K18473">
        <f>IFERROR(__xludf.DUMMYFUNCTION("""COMPUTED_VALUE"""),791.04)</f>
        <v/>
      </c>
    </row>
    <row r="18474">
      <c r="J18474">
        <f>IFERROR(__xludf.DUMMYFUNCTION("""COMPUTED_VALUE"""),"Queenston, Ontario")</f>
        <v/>
      </c>
      <c r="K18474">
        <f>IFERROR(__xludf.DUMMYFUNCTION("""COMPUTED_VALUE"""),790.1)</f>
        <v/>
      </c>
    </row>
    <row r="18475">
      <c r="J18475">
        <f>IFERROR(__xludf.DUMMYFUNCTION("""COMPUTED_VALUE"""),"Yan'an, PRC")</f>
        <v/>
      </c>
      <c r="K18475">
        <f>IFERROR(__xludf.DUMMYFUNCTION("""COMPUTED_VALUE"""),790.07)</f>
        <v/>
      </c>
    </row>
    <row r="18476">
      <c r="J18476">
        <f>IFERROR(__xludf.DUMMYFUNCTION("""COMPUTED_VALUE"""),"Paris - Bagnoles de l'Orne")</f>
        <v/>
      </c>
      <c r="K18476">
        <f>IFERROR(__xludf.DUMMYFUNCTION("""COMPUTED_VALUE"""),789.45)</f>
        <v/>
      </c>
    </row>
    <row r="18477">
      <c r="J18477">
        <f>IFERROR(__xludf.DUMMYFUNCTION("""COMPUTED_VALUE"""),"Delhi, Ontario, Canada")</f>
        <v/>
      </c>
      <c r="K18477">
        <f>IFERROR(__xludf.DUMMYFUNCTION("""COMPUTED_VALUE"""),789.26)</f>
        <v/>
      </c>
    </row>
    <row r="18478">
      <c r="J18478">
        <f>IFERROR(__xludf.DUMMYFUNCTION("""COMPUTED_VALUE"""),"Bruges, Belgium")</f>
        <v/>
      </c>
      <c r="K18478">
        <f>IFERROR(__xludf.DUMMYFUNCTION("""COMPUTED_VALUE"""),789.16)</f>
        <v/>
      </c>
    </row>
    <row r="18479">
      <c r="J18479">
        <f>IFERROR(__xludf.DUMMYFUNCTION("""COMPUTED_VALUE"""),"Peterborough (Ontario) Canada")</f>
        <v/>
      </c>
      <c r="K18479">
        <f>IFERROR(__xludf.DUMMYFUNCTION("""COMPUTED_VALUE"""),789.06)</f>
        <v/>
      </c>
    </row>
    <row r="18480">
      <c r="J18480">
        <f>IFERROR(__xludf.DUMMYFUNCTION("""COMPUTED_VALUE"""),"Îles-de-la-Madelaine, Québec, Canada")</f>
        <v/>
      </c>
      <c r="K18480">
        <f>IFERROR(__xludf.DUMMYFUNCTION("""COMPUTED_VALUE"""),788.95)</f>
        <v/>
      </c>
    </row>
    <row r="18481">
      <c r="J18481">
        <f>IFERROR(__xludf.DUMMYFUNCTION("""COMPUTED_VALUE"""),"Scarborough, Ontario, Canada; Richmond Hill, Ontario, Canada; Markham, Ontario, Canada; Brampton, Ontario, Canada")</f>
        <v/>
      </c>
      <c r="K18481">
        <f>IFERROR(__xludf.DUMMYFUNCTION("""COMPUTED_VALUE"""),787.2)</f>
        <v/>
      </c>
    </row>
    <row r="18482">
      <c r="J18482">
        <f>IFERROR(__xludf.DUMMYFUNCTION("""COMPUTED_VALUE"""),"Keene, Ontario, Canada")</f>
        <v/>
      </c>
      <c r="K18482">
        <f>IFERROR(__xludf.DUMMYFUNCTION("""COMPUTED_VALUE"""),787)</f>
        <v/>
      </c>
    </row>
    <row r="18483">
      <c r="J18483">
        <f>IFERROR(__xludf.DUMMYFUNCTION("""COMPUTED_VALUE"""),"Trois-Rivières, Montréal")</f>
        <v/>
      </c>
      <c r="K18483">
        <f>IFERROR(__xludf.DUMMYFUNCTION("""COMPUTED_VALUE"""),786.05)</f>
        <v/>
      </c>
    </row>
    <row r="18484">
      <c r="J18484">
        <f>IFERROR(__xludf.DUMMYFUNCTION("""COMPUTED_VALUE"""),"PETAWAWA, ON")</f>
        <v/>
      </c>
      <c r="K18484">
        <f>IFERROR(__xludf.DUMMYFUNCTION("""COMPUTED_VALUE"""),786)</f>
        <v/>
      </c>
    </row>
    <row r="18485">
      <c r="J18485">
        <f>IFERROR(__xludf.DUMMYFUNCTION("""COMPUTED_VALUE"""),"Ottawa, ON &amp; London, ON")</f>
        <v/>
      </c>
      <c r="K18485">
        <f>IFERROR(__xludf.DUMMYFUNCTION("""COMPUTED_VALUE"""),785.97)</f>
        <v/>
      </c>
    </row>
    <row r="18486">
      <c r="J18486">
        <f>IFERROR(__xludf.DUMMYFUNCTION("""COMPUTED_VALUE"""),"Middle East (CANCEL)")</f>
        <v/>
      </c>
      <c r="K18486">
        <f>IFERROR(__xludf.DUMMYFUNCTION("""COMPUTED_VALUE"""),785.16)</f>
        <v/>
      </c>
    </row>
    <row r="18487">
      <c r="J18487">
        <f>IFERROR(__xludf.DUMMYFUNCTION("""COMPUTED_VALUE"""),"Windsor and Toronto, Ontario")</f>
        <v/>
      </c>
      <c r="K18487">
        <f>IFERROR(__xludf.DUMMYFUNCTION("""COMPUTED_VALUE"""),785.09)</f>
        <v/>
      </c>
    </row>
    <row r="18488">
      <c r="J18488">
        <f>IFERROR(__xludf.DUMMYFUNCTION("""COMPUTED_VALUE"""),"Toronto, Waterloo")</f>
        <v/>
      </c>
      <c r="K18488">
        <f>IFERROR(__xludf.DUMMYFUNCTION("""COMPUTED_VALUE"""),784.67)</f>
        <v/>
      </c>
    </row>
    <row r="18489">
      <c r="J18489">
        <f>IFERROR(__xludf.DUMMYFUNCTION("""COMPUTED_VALUE"""),"Montreal, Quebec, Canada; Gagetown and Moncton, New Brunswick, Canada; Dartmouth, Nova Scotia, Canada")</f>
        <v/>
      </c>
      <c r="K18489">
        <f>IFERROR(__xludf.DUMMYFUNCTION("""COMPUTED_VALUE"""),784.59)</f>
        <v/>
      </c>
    </row>
    <row r="18490">
      <c r="J18490">
        <f>IFERROR(__xludf.DUMMYFUNCTION("""COMPUTED_VALUE"""),"Rivière-du-Loup, Roberval")</f>
        <v/>
      </c>
      <c r="K18490">
        <f>IFERROR(__xludf.DUMMYFUNCTION("""COMPUTED_VALUE"""),784.26)</f>
        <v/>
      </c>
    </row>
    <row r="18491">
      <c r="J18491">
        <f>IFERROR(__xludf.DUMMYFUNCTION("""COMPUTED_VALUE"""),"St-Jean, Quebec")</f>
        <v/>
      </c>
      <c r="K18491">
        <f>IFERROR(__xludf.DUMMYFUNCTION("""COMPUTED_VALUE"""),784.2)</f>
        <v/>
      </c>
    </row>
    <row r="18492">
      <c r="J18492">
        <f>IFERROR(__xludf.DUMMYFUNCTION("""COMPUTED_VALUE"""),"Toronto/Kingston")</f>
        <v/>
      </c>
      <c r="K18492">
        <f>IFERROR(__xludf.DUMMYFUNCTION("""COMPUTED_VALUE"""),784.18)</f>
        <v/>
      </c>
    </row>
    <row r="18493">
      <c r="J18493">
        <f>IFERROR(__xludf.DUMMYFUNCTION("""COMPUTED_VALUE"""),"Regina, Saskatchewan and Campbell River, British-Colombia")</f>
        <v/>
      </c>
      <c r="K18493">
        <f>IFERROR(__xludf.DUMMYFUNCTION("""COMPUTED_VALUE"""),784.01)</f>
        <v/>
      </c>
    </row>
    <row r="18494">
      <c r="J18494">
        <f>IFERROR(__xludf.DUMMYFUNCTION("""COMPUTED_VALUE"""),"Kelowna and Mount Revelstoke, British Columbia")</f>
        <v/>
      </c>
      <c r="K18494">
        <f>IFERROR(__xludf.DUMMYFUNCTION("""COMPUTED_VALUE"""),783.98)</f>
        <v/>
      </c>
    </row>
    <row r="18495">
      <c r="J18495">
        <f>IFERROR(__xludf.DUMMYFUNCTION("""COMPUTED_VALUE"""),"Val d'Or, Lebel-sur-Quévillon")</f>
        <v/>
      </c>
      <c r="K18495">
        <f>IFERROR(__xludf.DUMMYFUNCTION("""COMPUTED_VALUE"""),783.87)</f>
        <v/>
      </c>
    </row>
    <row r="18496">
      <c r="J18496">
        <f>IFERROR(__xludf.DUMMYFUNCTION("""COMPUTED_VALUE"""),"Port-au-Prince, Haïti and Regina")</f>
        <v/>
      </c>
      <c r="K18496">
        <f>IFERROR(__xludf.DUMMYFUNCTION("""COMPUTED_VALUE"""),783.71)</f>
        <v/>
      </c>
    </row>
    <row r="18497">
      <c r="J18497">
        <f>IFERROR(__xludf.DUMMYFUNCTION("""COMPUTED_VALUE"""),"Halifax and Annapolis Valley, Nova Scotia")</f>
        <v/>
      </c>
      <c r="K18497">
        <f>IFERROR(__xludf.DUMMYFUNCTION("""COMPUTED_VALUE"""),782.49)</f>
        <v/>
      </c>
    </row>
    <row r="18498">
      <c r="J18498">
        <f>IFERROR(__xludf.DUMMYFUNCTION("""COMPUTED_VALUE"""),"Winsdor, Ontario")</f>
        <v/>
      </c>
      <c r="K18498">
        <f>IFERROR(__xludf.DUMMYFUNCTION("""COMPUTED_VALUE"""),781.97)</f>
        <v/>
      </c>
    </row>
    <row r="18499">
      <c r="J18499">
        <f>IFERROR(__xludf.DUMMYFUNCTION("""COMPUTED_VALUE"""),"quebec city")</f>
        <v/>
      </c>
      <c r="K18499">
        <f>IFERROR(__xludf.DUMMYFUNCTION("""COMPUTED_VALUE"""),781.56)</f>
        <v/>
      </c>
    </row>
    <row r="18500">
      <c r="J18500">
        <f>IFERROR(__xludf.DUMMYFUNCTION("""COMPUTED_VALUE"""),"Miramichi, New Brunswick, Canada; Bathurst, New Brunswick, Canada; Campbellton, New Brunswick, Canada")</f>
        <v/>
      </c>
      <c r="K18500">
        <f>IFERROR(__xludf.DUMMYFUNCTION("""COMPUTED_VALUE"""),781.11)</f>
        <v/>
      </c>
    </row>
    <row r="18501">
      <c r="J18501">
        <f>IFERROR(__xludf.DUMMYFUNCTION("""COMPUTED_VALUE"""),"High Level, Alberta, Canada")</f>
        <v/>
      </c>
      <c r="K18501">
        <f>IFERROR(__xludf.DUMMYFUNCTION("""COMPUTED_VALUE"""),781.05)</f>
        <v/>
      </c>
    </row>
    <row r="18502">
      <c r="J18502">
        <f>IFERROR(__xludf.DUMMYFUNCTION("""COMPUTED_VALUE"""),"Stoney Point,Ontario, Canada")</f>
        <v/>
      </c>
      <c r="K18502">
        <f>IFERROR(__xludf.DUMMYFUNCTION("""COMPUTED_VALUE"""),781)</f>
        <v/>
      </c>
    </row>
    <row r="18503">
      <c r="J18503">
        <f>IFERROR(__xludf.DUMMYFUNCTION("""COMPUTED_VALUE"""),"Drummondville, Quebec, Canada; Trois-Rivières, Quebec, Canada; Gaspé, Quebec, Canada")</f>
        <v/>
      </c>
      <c r="K18503">
        <f>IFERROR(__xludf.DUMMYFUNCTION("""COMPUTED_VALUE"""),780.56)</f>
        <v/>
      </c>
    </row>
    <row r="18504">
      <c r="J18504">
        <f>IFERROR(__xludf.DUMMYFUNCTION("""COMPUTED_VALUE"""),"Acheson Beacon Yard, Alberta, Canada
Edmonton, Alberta, Canada")</f>
        <v/>
      </c>
      <c r="K18504">
        <f>IFERROR(__xludf.DUMMYFUNCTION("""COMPUTED_VALUE"""),780.36)</f>
        <v/>
      </c>
    </row>
    <row r="18505">
      <c r="J18505">
        <f>IFERROR(__xludf.DUMMYFUNCTION("""COMPUTED_VALUE"""),"Toronto, Ontaro")</f>
        <v/>
      </c>
      <c r="K18505">
        <f>IFERROR(__xludf.DUMMYFUNCTION("""COMPUTED_VALUE"""),780.28)</f>
        <v/>
      </c>
    </row>
    <row r="18506">
      <c r="J18506">
        <f>IFERROR(__xludf.DUMMYFUNCTION("""COMPUTED_VALUE"""),"Comox, British Columbia; Winnipeg, Manitoba")</f>
        <v/>
      </c>
      <c r="K18506">
        <f>IFERROR(__xludf.DUMMYFUNCTION("""COMPUTED_VALUE"""),780.26)</f>
        <v/>
      </c>
    </row>
    <row r="18507">
      <c r="J18507">
        <f>IFERROR(__xludf.DUMMYFUNCTION("""COMPUTED_VALUE"""),"Orford, Magog, Chicoutimi, Alma, La Pocatiere, Quebec, (Canada)")</f>
        <v/>
      </c>
      <c r="K18507">
        <f>IFERROR(__xludf.DUMMYFUNCTION("""COMPUTED_VALUE"""),779.81)</f>
        <v/>
      </c>
    </row>
    <row r="18508">
      <c r="J18508">
        <f>IFERROR(__xludf.DUMMYFUNCTION("""COMPUTED_VALUE"""),"Rivière-du-Loup, Québec, Canada")</f>
        <v/>
      </c>
      <c r="K18508">
        <f>IFERROR(__xludf.DUMMYFUNCTION("""COMPUTED_VALUE"""),779.41)</f>
        <v/>
      </c>
    </row>
    <row r="18509">
      <c r="J18509">
        <f>IFERROR(__xludf.DUMMYFUNCTION("""COMPUTED_VALUE"""),"Halifax and Lunenburg, Nova Scotia")</f>
        <v/>
      </c>
      <c r="K18509">
        <f>IFERROR(__xludf.DUMMYFUNCTION("""COMPUTED_VALUE"""),779.2)</f>
        <v/>
      </c>
    </row>
    <row r="18510">
      <c r="J18510">
        <f>IFERROR(__xludf.DUMMYFUNCTION("""COMPUTED_VALUE"""),"St-Hubert and Boucherville, QC")</f>
        <v/>
      </c>
      <c r="K18510">
        <f>IFERROR(__xludf.DUMMYFUNCTION("""COMPUTED_VALUE"""),779.1)</f>
        <v/>
      </c>
    </row>
    <row r="18511">
      <c r="J18511">
        <f>IFERROR(__xludf.DUMMYFUNCTION("""COMPUTED_VALUE"""),"St-Andrew's By-The-Sea")</f>
        <v/>
      </c>
      <c r="K18511">
        <f>IFERROR(__xludf.DUMMYFUNCTION("""COMPUTED_VALUE"""),779.09)</f>
        <v/>
      </c>
    </row>
    <row r="18512">
      <c r="J18512">
        <f>IFERROR(__xludf.DUMMYFUNCTION("""COMPUTED_VALUE"""),"Walkerton, Ontario, Canada")</f>
        <v/>
      </c>
      <c r="K18512">
        <f>IFERROR(__xludf.DUMMYFUNCTION("""COMPUTED_VALUE"""),777.89)</f>
        <v/>
      </c>
    </row>
    <row r="18513">
      <c r="J18513">
        <f>IFERROR(__xludf.DUMMYFUNCTION("""COMPUTED_VALUE"""),"Chalk River &amp; Ottawa, Ontario, Canada")</f>
        <v/>
      </c>
      <c r="K18513">
        <f>IFERROR(__xludf.DUMMYFUNCTION("""COMPUTED_VALUE"""),777.57)</f>
        <v/>
      </c>
    </row>
    <row r="18514">
      <c r="J18514">
        <f>IFERROR(__xludf.DUMMYFUNCTION("""COMPUTED_VALUE"""),"Montreal, Quebec and Oshawa, Ontario, Canada")</f>
        <v/>
      </c>
      <c r="K18514">
        <f>IFERROR(__xludf.DUMMYFUNCTION("""COMPUTED_VALUE"""),777.48)</f>
        <v/>
      </c>
    </row>
    <row r="18515">
      <c r="J18515">
        <f>IFERROR(__xludf.DUMMYFUNCTION("""COMPUTED_VALUE"""),"Toronto, Brampton, ON")</f>
        <v/>
      </c>
      <c r="K18515">
        <f>IFERROR(__xludf.DUMMYFUNCTION("""COMPUTED_VALUE"""),777.44)</f>
        <v/>
      </c>
    </row>
    <row r="18516">
      <c r="J18516">
        <f>IFERROR(__xludf.DUMMYFUNCTION("""COMPUTED_VALUE"""),"North Cowichan, BC")</f>
        <v/>
      </c>
      <c r="K18516">
        <f>IFERROR(__xludf.DUMMYFUNCTION("""COMPUTED_VALUE"""),777.43)</f>
        <v/>
      </c>
    </row>
    <row r="18517">
      <c r="J18517">
        <f>IFERROR(__xludf.DUMMYFUNCTION("""COMPUTED_VALUE"""),"Grand Falls-Windsor, Newfoundland and Labrador")</f>
        <v/>
      </c>
      <c r="K18517">
        <f>IFERROR(__xludf.DUMMYFUNCTION("""COMPUTED_VALUE"""),777.11)</f>
        <v/>
      </c>
    </row>
    <row r="18518">
      <c r="J18518">
        <f>IFERROR(__xludf.DUMMYFUNCTION("""COMPUTED_VALUE"""),"Corner Brook and Deer Lake, Newfoundland and Labrador")</f>
        <v/>
      </c>
      <c r="K18518">
        <f>IFERROR(__xludf.DUMMYFUNCTION("""COMPUTED_VALUE"""),776.07)</f>
        <v/>
      </c>
    </row>
    <row r="18519">
      <c r="J18519">
        <f>IFERROR(__xludf.DUMMYFUNCTION("""COMPUTED_VALUE"""),"Gatineau, QC - Pointe-Claire, QC / Pointe-Claire, QC - Gatineau, QC")</f>
        <v/>
      </c>
      <c r="K18519">
        <f>IFERROR(__xludf.DUMMYFUNCTION("""COMPUTED_VALUE"""),776.07)</f>
        <v/>
      </c>
    </row>
    <row r="18520">
      <c r="J18520">
        <f>IFERROR(__xludf.DUMMYFUNCTION("""COMPUTED_VALUE"""),"Montréal, (Québec)")</f>
        <v/>
      </c>
      <c r="K18520">
        <f>IFERROR(__xludf.DUMMYFUNCTION("""COMPUTED_VALUE"""),775.869999999999)</f>
        <v/>
      </c>
    </row>
    <row r="18521">
      <c r="J18521">
        <f>IFERROR(__xludf.DUMMYFUNCTION("""COMPUTED_VALUE"""),"Leamington, Ontario, Canada")</f>
        <v/>
      </c>
      <c r="K18521">
        <f>IFERROR(__xludf.DUMMYFUNCTION("""COMPUTED_VALUE"""),775.71)</f>
        <v/>
      </c>
    </row>
    <row r="18522">
      <c r="J18522">
        <f>IFERROR(__xludf.DUMMYFUNCTION("""COMPUTED_VALUE"""),"Toronto, Montreal, New Jersey")</f>
        <v/>
      </c>
      <c r="K18522">
        <f>IFERROR(__xludf.DUMMYFUNCTION("""COMPUTED_VALUE"""),775.27)</f>
        <v/>
      </c>
    </row>
    <row r="18523">
      <c r="J18523">
        <f>IFERROR(__xludf.DUMMYFUNCTION("""COMPUTED_VALUE"""),"Toronto and Markham, ON")</f>
        <v/>
      </c>
      <c r="K18523">
        <f>IFERROR(__xludf.DUMMYFUNCTION("""COMPUTED_VALUE"""),775.2)</f>
        <v/>
      </c>
    </row>
    <row r="18524">
      <c r="J18524">
        <f>IFERROR(__xludf.DUMMYFUNCTION("""COMPUTED_VALUE"""),"Newmarket, ON / Vaughan, ON
/ Thornhill, ON / Markham, ON /
Cambridge, ON")</f>
        <v/>
      </c>
      <c r="K18524">
        <f>IFERROR(__xludf.DUMMYFUNCTION("""COMPUTED_VALUE"""),775.16)</f>
        <v/>
      </c>
    </row>
    <row r="18525">
      <c r="J18525">
        <f>IFERROR(__xludf.DUMMYFUNCTION("""COMPUTED_VALUE"""),"WInnipeg, Manitoba, Canada")</f>
        <v/>
      </c>
      <c r="K18525">
        <f>IFERROR(__xludf.DUMMYFUNCTION("""COMPUTED_VALUE"""),774.97)</f>
        <v/>
      </c>
    </row>
    <row r="18526">
      <c r="J18526">
        <f>IFERROR(__xludf.DUMMYFUNCTION("""COMPUTED_VALUE"""),"Colorado Srping (Colorado) USA")</f>
        <v/>
      </c>
      <c r="K18526">
        <f>IFERROR(__xludf.DUMMYFUNCTION("""COMPUTED_VALUE"""),774.61)</f>
        <v/>
      </c>
    </row>
    <row r="18527">
      <c r="J18527">
        <f>IFERROR(__xludf.DUMMYFUNCTION("""COMPUTED_VALUE"""),"Gramado, Brazil")</f>
        <v/>
      </c>
      <c r="K18527">
        <f>IFERROR(__xludf.DUMMYFUNCTION("""COMPUTED_VALUE"""),774.42)</f>
        <v/>
      </c>
    </row>
    <row r="18528">
      <c r="J18528">
        <f>IFERROR(__xludf.DUMMYFUNCTION("""COMPUTED_VALUE"""),"St.John's-Montreal-Ottawa")</f>
        <v/>
      </c>
      <c r="K18528">
        <f>IFERROR(__xludf.DUMMYFUNCTION("""COMPUTED_VALUE"""),774.06)</f>
        <v/>
      </c>
    </row>
    <row r="18529">
      <c r="J18529">
        <f>IFERROR(__xludf.DUMMYFUNCTION("""COMPUTED_VALUE"""),"Stratford-upon-Avon, United Kingdom")</f>
        <v/>
      </c>
      <c r="K18529">
        <f>IFERROR(__xludf.DUMMYFUNCTION("""COMPUTED_VALUE"""),773.1)</f>
        <v/>
      </c>
    </row>
    <row r="18530">
      <c r="J18530">
        <f>IFERROR(__xludf.DUMMYFUNCTION("""COMPUTED_VALUE"""),"Kitchener, ON / Ottawa, ON")</f>
        <v/>
      </c>
      <c r="K18530">
        <f>IFERROR(__xludf.DUMMYFUNCTION("""COMPUTED_VALUE"""),772.69)</f>
        <v/>
      </c>
    </row>
    <row r="18531">
      <c r="J18531">
        <f>IFERROR(__xludf.DUMMYFUNCTION("""COMPUTED_VALUE"""),"Île Bizard, Quebec, Canada")</f>
        <v/>
      </c>
      <c r="K18531">
        <f>IFERROR(__xludf.DUMMYFUNCTION("""COMPUTED_VALUE"""),772.5)</f>
        <v/>
      </c>
    </row>
    <row r="18532">
      <c r="J18532">
        <f>IFERROR(__xludf.DUMMYFUNCTION("""COMPUTED_VALUE"""),"Elk Island National Park, Alberta")</f>
        <v/>
      </c>
      <c r="K18532">
        <f>IFERROR(__xludf.DUMMYFUNCTION("""COMPUTED_VALUE"""),772.33)</f>
        <v/>
      </c>
    </row>
    <row r="18533">
      <c r="J18533">
        <f>IFERROR(__xludf.DUMMYFUNCTION("""COMPUTED_VALUE"""),"Quebec City/Québec")</f>
        <v/>
      </c>
      <c r="K18533">
        <f>IFERROR(__xludf.DUMMYFUNCTION("""COMPUTED_VALUE"""),772)</f>
        <v/>
      </c>
    </row>
    <row r="18534">
      <c r="J18534">
        <f>IFERROR(__xludf.DUMMYFUNCTION("""COMPUTED_VALUE"""),"Villetta, Malta")</f>
        <v/>
      </c>
      <c r="K18534">
        <f>IFERROR(__xludf.DUMMYFUNCTION("""COMPUTED_VALUE"""),771.79)</f>
        <v/>
      </c>
    </row>
    <row r="18535">
      <c r="J18535">
        <f>IFERROR(__xludf.DUMMYFUNCTION("""COMPUTED_VALUE"""),"Port Rexton, Newfoundland and Labrador, Canada")</f>
        <v/>
      </c>
      <c r="K18535">
        <f>IFERROR(__xludf.DUMMYFUNCTION("""COMPUTED_VALUE"""),771.44)</f>
        <v/>
      </c>
    </row>
    <row r="18536">
      <c r="J18536">
        <f>IFERROR(__xludf.DUMMYFUNCTION("""COMPUTED_VALUE"""),"Key West, USA and Belize City, Belize")</f>
        <v/>
      </c>
      <c r="K18536">
        <f>IFERROR(__xludf.DUMMYFUNCTION("""COMPUTED_VALUE"""),770.66)</f>
        <v/>
      </c>
    </row>
    <row r="18537">
      <c r="J18537">
        <f>IFERROR(__xludf.DUMMYFUNCTION("""COMPUTED_VALUE"""),"New Richmond, Carleton-sur-Mer, Matane, Chicoutimi")</f>
        <v/>
      </c>
      <c r="K18537">
        <f>IFERROR(__xludf.DUMMYFUNCTION("""COMPUTED_VALUE"""),770.47)</f>
        <v/>
      </c>
    </row>
    <row r="18538">
      <c r="J18538">
        <f>IFERROR(__xludf.DUMMYFUNCTION("""COMPUTED_VALUE"""),"Port Elgin, ON, Canada")</f>
        <v/>
      </c>
      <c r="K18538">
        <f>IFERROR(__xludf.DUMMYFUNCTION("""COMPUTED_VALUE"""),770.39)</f>
        <v/>
      </c>
    </row>
    <row r="18539">
      <c r="J18539">
        <f>IFERROR(__xludf.DUMMYFUNCTION("""COMPUTED_VALUE"""),"Peterborough - ON")</f>
        <v/>
      </c>
      <c r="K18539">
        <f>IFERROR(__xludf.DUMMYFUNCTION("""COMPUTED_VALUE"""),770.17)</f>
        <v/>
      </c>
    </row>
    <row r="18540">
      <c r="J18540">
        <f>IFERROR(__xludf.DUMMYFUNCTION("""COMPUTED_VALUE"""),"Quebec City et Montreal, QC")</f>
        <v/>
      </c>
      <c r="K18540">
        <f>IFERROR(__xludf.DUMMYFUNCTION("""COMPUTED_VALUE"""),770)</f>
        <v/>
      </c>
    </row>
    <row r="18541">
      <c r="J18541">
        <f>IFERROR(__xludf.DUMMYFUNCTION("""COMPUTED_VALUE"""),"Fort Walsh, Saskatchewan")</f>
        <v/>
      </c>
      <c r="K18541">
        <f>IFERROR(__xludf.DUMMYFUNCTION("""COMPUTED_VALUE"""),769.9)</f>
        <v/>
      </c>
    </row>
    <row r="18542">
      <c r="J18542">
        <f>IFERROR(__xludf.DUMMYFUNCTION("""COMPUTED_VALUE"""),"Montréal, Québec, Ottawa")</f>
        <v/>
      </c>
      <c r="K18542">
        <f>IFERROR(__xludf.DUMMYFUNCTION("""COMPUTED_VALUE"""),769.89)</f>
        <v/>
      </c>
    </row>
    <row r="18543">
      <c r="J18543">
        <f>IFERROR(__xludf.DUMMYFUNCTION("""COMPUTED_VALUE"""),"Kingston-Toronto")</f>
        <v/>
      </c>
      <c r="K18543">
        <f>IFERROR(__xludf.DUMMYFUNCTION("""COMPUTED_VALUE"""),769.75)</f>
        <v/>
      </c>
    </row>
    <row r="18544">
      <c r="J18544">
        <f>IFERROR(__xludf.DUMMYFUNCTION("""COMPUTED_VALUE"""),"Seattle, WA.")</f>
        <v/>
      </c>
      <c r="K18544">
        <f>IFERROR(__xludf.DUMMYFUNCTION("""COMPUTED_VALUE"""),769.72)</f>
        <v/>
      </c>
    </row>
    <row r="18545">
      <c r="J18545">
        <f>IFERROR(__xludf.DUMMYFUNCTION("""COMPUTED_VALUE"""),"Colorado Springs, Colorado, U.S.")</f>
        <v/>
      </c>
      <c r="K18545">
        <f>IFERROR(__xludf.DUMMYFUNCTION("""COMPUTED_VALUE"""),769.22)</f>
        <v/>
      </c>
    </row>
    <row r="18546">
      <c r="J18546">
        <f>IFERROR(__xludf.DUMMYFUNCTION("""COMPUTED_VALUE"""),"CBSA College, Rigaud, QC")</f>
        <v/>
      </c>
      <c r="K18546">
        <f>IFERROR(__xludf.DUMMYFUNCTION("""COMPUTED_VALUE"""),769.15)</f>
        <v/>
      </c>
    </row>
    <row r="18547">
      <c r="J18547">
        <f>IFERROR(__xludf.DUMMYFUNCTION("""COMPUTED_VALUE"""),"Ottawa-Halifax-Sydney")</f>
        <v/>
      </c>
      <c r="K18547">
        <f>IFERROR(__xludf.DUMMYFUNCTION("""COMPUTED_VALUE"""),768.95)</f>
        <v/>
      </c>
    </row>
    <row r="18548">
      <c r="J18548">
        <f>IFERROR(__xludf.DUMMYFUNCTION("""COMPUTED_VALUE"""),"James Smith Cree Nation, Saskatchewan, Canada")</f>
        <v/>
      </c>
      <c r="K18548">
        <f>IFERROR(__xludf.DUMMYFUNCTION("""COMPUTED_VALUE"""),768.88)</f>
        <v/>
      </c>
    </row>
    <row r="18549">
      <c r="J18549">
        <f>IFERROR(__xludf.DUMMYFUNCTION("""COMPUTED_VALUE"""),"Campbell River, Bella and Vancouver, British Columbia and Regina, Saskatchewan")</f>
        <v/>
      </c>
      <c r="K18549">
        <f>IFERROR(__xludf.DUMMYFUNCTION("""COMPUTED_VALUE"""),768.67)</f>
        <v/>
      </c>
    </row>
    <row r="18550">
      <c r="J18550">
        <f>IFERROR(__xludf.DUMMYFUNCTION("""COMPUTED_VALUE"""),"Trois-Rivières, Quebec, Canada; Québec, Quebec, Canada; Gatineau, Quebec, Canada")</f>
        <v/>
      </c>
      <c r="K18550">
        <f>IFERROR(__xludf.DUMMYFUNCTION("""COMPUTED_VALUE"""),768.62)</f>
        <v/>
      </c>
    </row>
    <row r="18551">
      <c r="J18551">
        <f>IFERROR(__xludf.DUMMYFUNCTION("""COMPUTED_VALUE"""),"Québec, Quebec, Canada; La Malbaie, Quebec, Canada")</f>
        <v/>
      </c>
      <c r="K18551">
        <f>IFERROR(__xludf.DUMMYFUNCTION("""COMPUTED_VALUE"""),768.52)</f>
        <v/>
      </c>
    </row>
    <row r="18552">
      <c r="J18552">
        <f>IFERROR(__xludf.DUMMYFUNCTION("""COMPUTED_VALUE"""),"New-Brunswick, NS, Canada")</f>
        <v/>
      </c>
      <c r="K18552">
        <f>IFERROR(__xludf.DUMMYFUNCTION("""COMPUTED_VALUE"""),768.5)</f>
        <v/>
      </c>
    </row>
    <row r="18553">
      <c r="J18553">
        <f>IFERROR(__xludf.DUMMYFUNCTION("""COMPUTED_VALUE"""),"Moncton &amp; Fredericton, NB")</f>
        <v/>
      </c>
      <c r="K18553">
        <f>IFERROR(__xludf.DUMMYFUNCTION("""COMPUTED_VALUE"""),767.86)</f>
        <v/>
      </c>
    </row>
    <row r="18554">
      <c r="J18554">
        <f>IFERROR(__xludf.DUMMYFUNCTION("""COMPUTED_VALUE"""),"Toronto, Windsor")</f>
        <v/>
      </c>
      <c r="K18554">
        <f>IFERROR(__xludf.DUMMYFUNCTION("""COMPUTED_VALUE"""),767.51)</f>
        <v/>
      </c>
    </row>
    <row r="18555">
      <c r="J18555">
        <f>IFERROR(__xludf.DUMMYFUNCTION("""COMPUTED_VALUE"""),"Picton, Ontario")</f>
        <v/>
      </c>
      <c r="K18555">
        <f>IFERROR(__xludf.DUMMYFUNCTION("""COMPUTED_VALUE"""),767.5)</f>
        <v/>
      </c>
    </row>
    <row r="18556">
      <c r="J18556">
        <f>IFERROR(__xludf.DUMMYFUNCTION("""COMPUTED_VALUE"""),"Edmundston, New-Brunswick, Canada")</f>
        <v/>
      </c>
      <c r="K18556">
        <f>IFERROR(__xludf.DUMMYFUNCTION("""COMPUTED_VALUE"""),767.38)</f>
        <v/>
      </c>
    </row>
    <row r="18557">
      <c r="J18557">
        <f>IFERROR(__xludf.DUMMYFUNCTION("""COMPUTED_VALUE"""),"Montreal, QC - Kirkland Lake, ON / Kirkland Lake, ON - Ottawa, ON")</f>
        <v/>
      </c>
      <c r="K18557">
        <f>IFERROR(__xludf.DUMMYFUNCTION("""COMPUTED_VALUE"""),766.9)</f>
        <v/>
      </c>
    </row>
    <row r="18558">
      <c r="J18558">
        <f>IFERROR(__xludf.DUMMYFUNCTION("""COMPUTED_VALUE"""),"St-Hyacinthe (Quebec) Canada;
Sherbrooke (Quebec) Canada")</f>
        <v/>
      </c>
      <c r="K18558">
        <f>IFERROR(__xludf.DUMMYFUNCTION("""COMPUTED_VALUE"""),766.24)</f>
        <v/>
      </c>
    </row>
    <row r="18559">
      <c r="J18559">
        <f>IFERROR(__xludf.DUMMYFUNCTION("""COMPUTED_VALUE"""),"Taormina")</f>
        <v/>
      </c>
      <c r="K18559">
        <f>IFERROR(__xludf.DUMMYFUNCTION("""COMPUTED_VALUE"""),766.23)</f>
        <v/>
      </c>
    </row>
    <row r="18560">
      <c r="J18560">
        <f>IFERROR(__xludf.DUMMYFUNCTION("""COMPUTED_VALUE"""),"Toronto, Ontario / Ottawa, Ontario / Montreal, Quebec")</f>
        <v/>
      </c>
      <c r="K18560">
        <f>IFERROR(__xludf.DUMMYFUNCTION("""COMPUTED_VALUE"""),766.12)</f>
        <v/>
      </c>
    </row>
    <row r="18561">
      <c r="J18561">
        <f>IFERROR(__xludf.DUMMYFUNCTION("""COMPUTED_VALUE"""),"Québec / Rimouski")</f>
        <v/>
      </c>
      <c r="K18561">
        <f>IFERROR(__xludf.DUMMYFUNCTION("""COMPUTED_VALUE"""),765.8)</f>
        <v/>
      </c>
    </row>
    <row r="18562">
      <c r="J18562">
        <f>IFERROR(__xludf.DUMMYFUNCTION("""COMPUTED_VALUE"""),"Whitby &amp; Toronto, ON")</f>
        <v/>
      </c>
      <c r="K18562">
        <f>IFERROR(__xludf.DUMMYFUNCTION("""COMPUTED_VALUE"""),765.45)</f>
        <v/>
      </c>
    </row>
    <row r="18563">
      <c r="J18563">
        <f>IFERROR(__xludf.DUMMYFUNCTION("""COMPUTED_VALUE"""),"Saint-Jean sur le Richelieu")</f>
        <v/>
      </c>
      <c r="K18563">
        <f>IFERROR(__xludf.DUMMYFUNCTION("""COMPUTED_VALUE"""),764.99)</f>
        <v/>
      </c>
    </row>
    <row r="18564">
      <c r="J18564">
        <f>IFERROR(__xludf.DUMMYFUNCTION("""COMPUTED_VALUE"""),"Point Claire, Quebec")</f>
        <v/>
      </c>
      <c r="K18564">
        <f>IFERROR(__xludf.DUMMYFUNCTION("""COMPUTED_VALUE"""),764.64)</f>
        <v/>
      </c>
    </row>
    <row r="18565">
      <c r="J18565">
        <f>IFERROR(__xludf.DUMMYFUNCTION("""COMPUTED_VALUE"""),"Grosse-Île, Quebec")</f>
        <v/>
      </c>
      <c r="K18565">
        <f>IFERROR(__xludf.DUMMYFUNCTION("""COMPUTED_VALUE"""),764.48)</f>
        <v/>
      </c>
    </row>
    <row r="18566">
      <c r="J18566">
        <f>IFERROR(__xludf.DUMMYFUNCTION("""COMPUTED_VALUE"""),"Geneve")</f>
        <v/>
      </c>
      <c r="K18566">
        <f>IFERROR(__xludf.DUMMYFUNCTION("""COMPUTED_VALUE"""),764.17)</f>
        <v/>
      </c>
    </row>
    <row r="18567">
      <c r="J18567">
        <f>IFERROR(__xludf.DUMMYFUNCTION("""COMPUTED_VALUE"""),"Rota, Spain")</f>
        <v/>
      </c>
      <c r="K18567">
        <f>IFERROR(__xludf.DUMMYFUNCTION("""COMPUTED_VALUE"""),763.95)</f>
        <v/>
      </c>
    </row>
    <row r="18568">
      <c r="J18568">
        <f>IFERROR(__xludf.DUMMYFUNCTION("""COMPUTED_VALUE"""),"Saint-Hyacinthe, QC - Longeuil, QC")</f>
        <v/>
      </c>
      <c r="K18568">
        <f>IFERROR(__xludf.DUMMYFUNCTION("""COMPUTED_VALUE"""),763.75)</f>
        <v/>
      </c>
    </row>
    <row r="18569">
      <c r="J18569">
        <f>IFERROR(__xludf.DUMMYFUNCTION("""COMPUTED_VALUE"""),"Paris and Deauville, France")</f>
        <v/>
      </c>
      <c r="K18569">
        <f>IFERROR(__xludf.DUMMYFUNCTION("""COMPUTED_VALUE"""),763.73)</f>
        <v/>
      </c>
    </row>
    <row r="18570">
      <c r="J18570">
        <f>IFERROR(__xludf.DUMMYFUNCTION("""COMPUTED_VALUE"""),"La Citadelle, Québec, Canada")</f>
        <v/>
      </c>
      <c r="K18570">
        <f>IFERROR(__xludf.DUMMYFUNCTION("""COMPUTED_VALUE"""),763.7)</f>
        <v/>
      </c>
    </row>
    <row r="18571">
      <c r="J18571">
        <f>IFERROR(__xludf.DUMMYFUNCTION("""COMPUTED_VALUE"""),"Saskatoon, Saskatchewan, Canada; James Smith Cree Nation, Saskatchewan, Canada")</f>
        <v/>
      </c>
      <c r="K18571">
        <f>IFERROR(__xludf.DUMMYFUNCTION("""COMPUTED_VALUE"""),763.54)</f>
        <v/>
      </c>
    </row>
    <row r="18572">
      <c r="J18572">
        <f>IFERROR(__xludf.DUMMYFUNCTION("""COMPUTED_VALUE"""),"Windsor, ON; Detroit, MI; Lansing and Grand Rapids, MI")</f>
        <v/>
      </c>
      <c r="K18572">
        <f>IFERROR(__xludf.DUMMYFUNCTION("""COMPUTED_VALUE"""),763.52)</f>
        <v/>
      </c>
    </row>
    <row r="18573">
      <c r="J18573">
        <f>IFERROR(__xludf.DUMMYFUNCTION("""COMPUTED_VALUE"""),"Roberval, Quebec City and Montreal, Quebec")</f>
        <v/>
      </c>
      <c r="K18573">
        <f>IFERROR(__xludf.DUMMYFUNCTION("""COMPUTED_VALUE"""),763.42)</f>
        <v/>
      </c>
    </row>
    <row r="18574">
      <c r="J18574">
        <f>IFERROR(__xludf.DUMMYFUNCTION("""COMPUTED_VALUE"""),"Montreal, Quebec, Canada / Kingston, Ontario, Canada")</f>
        <v/>
      </c>
      <c r="K18574">
        <f>IFERROR(__xludf.DUMMYFUNCTION("""COMPUTED_VALUE"""),762.84)</f>
        <v/>
      </c>
    </row>
    <row r="18575">
      <c r="J18575">
        <f>IFERROR(__xludf.DUMMYFUNCTION("""COMPUTED_VALUE"""),"Laval, Quebec, Canada; Gatineau, Quebec, Canada; Ottawa, Ontario, Canada")</f>
        <v/>
      </c>
      <c r="K18575">
        <f>IFERROR(__xludf.DUMMYFUNCTION("""COMPUTED_VALUE"""),762.43)</f>
        <v/>
      </c>
    </row>
    <row r="18576">
      <c r="J18576">
        <f>IFERROR(__xludf.DUMMYFUNCTION("""COMPUTED_VALUE"""),"Corner Brook, Newfoundland and Labrador, Canada; Stephenville, Newfoundland and Labrador, Canada; Port Aux Basques, Newfoundland and Labrador, Canada; St. John's, Newfoundland and Labrador, Canada")</f>
        <v/>
      </c>
      <c r="K18576">
        <f>IFERROR(__xludf.DUMMYFUNCTION("""COMPUTED_VALUE"""),762.41)</f>
        <v/>
      </c>
    </row>
    <row r="18577">
      <c r="J18577">
        <f>IFERROR(__xludf.DUMMYFUNCTION("""COMPUTED_VALUE"""),"Toronto,Ontario,canada
Saskatoon,Saskatchewan, Canada
Regina,Saskatchewan,canada")</f>
        <v/>
      </c>
      <c r="K18577">
        <f>IFERROR(__xludf.DUMMYFUNCTION("""COMPUTED_VALUE"""),762.01)</f>
        <v/>
      </c>
    </row>
    <row r="18578">
      <c r="J18578">
        <f>IFERROR(__xludf.DUMMYFUNCTION("""COMPUTED_VALUE"""),"Halifax, Nova- Scotia, Canada")</f>
        <v/>
      </c>
      <c r="K18578">
        <f>IFERROR(__xludf.DUMMYFUNCTION("""COMPUTED_VALUE"""),761.78)</f>
        <v/>
      </c>
    </row>
    <row r="18579">
      <c r="J18579">
        <f>IFERROR(__xludf.DUMMYFUNCTION("""COMPUTED_VALUE"""),"Whycocomagh, Nova Scotia, Canada
Moncton, New Brunswick, Canada")</f>
        <v/>
      </c>
      <c r="K18579">
        <f>IFERROR(__xludf.DUMMYFUNCTION("""COMPUTED_VALUE"""),761.46)</f>
        <v/>
      </c>
    </row>
    <row r="18580">
      <c r="J18580">
        <f>IFERROR(__xludf.DUMMYFUNCTION("""COMPUTED_VALUE"""),"Ottawa, ON - Moncton, NB Charlottetown, PE - Ottawa, ON")</f>
        <v/>
      </c>
      <c r="K18580">
        <f>IFERROR(__xludf.DUMMYFUNCTION("""COMPUTED_VALUE"""),761.38)</f>
        <v/>
      </c>
    </row>
    <row r="18581">
      <c r="J18581">
        <f>IFERROR(__xludf.DUMMYFUNCTION("""COMPUTED_VALUE"""),"Saint-Jean-Sur-Richelieu, Canada")</f>
        <v/>
      </c>
      <c r="K18581">
        <f>IFERROR(__xludf.DUMMYFUNCTION("""COMPUTED_VALUE"""),761.17)</f>
        <v/>
      </c>
    </row>
    <row r="18582">
      <c r="J18582">
        <f>IFERROR(__xludf.DUMMYFUNCTION("""COMPUTED_VALUE"""),"Digby, Nova Scotia, Canada")</f>
        <v/>
      </c>
      <c r="K18582">
        <f>IFERROR(__xludf.DUMMYFUNCTION("""COMPUTED_VALUE"""),760.29)</f>
        <v/>
      </c>
    </row>
    <row r="18583">
      <c r="J18583">
        <f>IFERROR(__xludf.DUMMYFUNCTION("""COMPUTED_VALUE"""),"Rougemont, Quebec, Canada")</f>
        <v/>
      </c>
      <c r="K18583">
        <f>IFERROR(__xludf.DUMMYFUNCTION("""COMPUTED_VALUE"""),760.27)</f>
        <v/>
      </c>
    </row>
    <row r="18584">
      <c r="J18584">
        <f>IFERROR(__xludf.DUMMYFUNCTION("""COMPUTED_VALUE"""),"Alma, Quebec, Canada; Jonquière, Quebec, Canada; Québec, Quebec, Canada")</f>
        <v/>
      </c>
      <c r="K18584">
        <f>IFERROR(__xludf.DUMMYFUNCTION("""COMPUTED_VALUE"""),760.18)</f>
        <v/>
      </c>
    </row>
    <row r="18585">
      <c r="J18585">
        <f>IFERROR(__xludf.DUMMYFUNCTION("""COMPUTED_VALUE"""),"Ste Foy, QC - Quebec, QC")</f>
        <v/>
      </c>
      <c r="K18585">
        <f>IFERROR(__xludf.DUMMYFUNCTION("""COMPUTED_VALUE"""),759.94)</f>
        <v/>
      </c>
    </row>
    <row r="18586">
      <c r="J18586">
        <f>IFERROR(__xludf.DUMMYFUNCTION("""COMPUTED_VALUE"""),"Quebec City, Sainte-Marie, Roberval and Shawinigan, Quebec")</f>
        <v/>
      </c>
      <c r="K18586">
        <f>IFERROR(__xludf.DUMMYFUNCTION("""COMPUTED_VALUE"""),759.88)</f>
        <v/>
      </c>
    </row>
    <row r="18587">
      <c r="J18587">
        <f>IFERROR(__xludf.DUMMYFUNCTION("""COMPUTED_VALUE"""),"Montreal,  Quebec")</f>
        <v/>
      </c>
      <c r="K18587">
        <f>IFERROR(__xludf.DUMMYFUNCTION("""COMPUTED_VALUE"""),759.86)</f>
        <v/>
      </c>
    </row>
    <row r="18588">
      <c r="J18588">
        <f>IFERROR(__xludf.DUMMYFUNCTION("""COMPUTED_VALUE"""),"Charlottetown, Prince Edward Island, Canada; Truro, Nova Scotia, Canada; Halifax, Nova Scotia, Canada")</f>
        <v/>
      </c>
      <c r="K18588">
        <f>IFERROR(__xludf.DUMMYFUNCTION("""COMPUTED_VALUE"""),759.8)</f>
        <v/>
      </c>
    </row>
    <row r="18589">
      <c r="J18589">
        <f>IFERROR(__xludf.DUMMYFUNCTION("""COMPUTED_VALUE"""),"Bath, Ontario")</f>
        <v/>
      </c>
      <c r="K18589">
        <f>IFERROR(__xludf.DUMMYFUNCTION("""COMPUTED_VALUE"""),758.07)</f>
        <v/>
      </c>
    </row>
    <row r="18590">
      <c r="J18590">
        <f>IFERROR(__xludf.DUMMYFUNCTION("""COMPUTED_VALUE"""),"Niagara-on-the-Lake (ON), Canada")</f>
        <v/>
      </c>
      <c r="K18590">
        <f>IFERROR(__xludf.DUMMYFUNCTION("""COMPUTED_VALUE"""),758.07)</f>
        <v/>
      </c>
    </row>
    <row r="18591">
      <c r="J18591">
        <f>IFERROR(__xludf.DUMMYFUNCTION("""COMPUTED_VALUE"""),"Deep River, Ontario")</f>
        <v/>
      </c>
      <c r="K18591">
        <f>IFERROR(__xludf.DUMMYFUNCTION("""COMPUTED_VALUE"""),757.86)</f>
        <v/>
      </c>
    </row>
    <row r="18592">
      <c r="J18592">
        <f>IFERROR(__xludf.DUMMYFUNCTION("""COMPUTED_VALUE"""),"Stoney Creek, Ontario, Canada")</f>
        <v/>
      </c>
      <c r="K18592">
        <f>IFERROR(__xludf.DUMMYFUNCTION("""COMPUTED_VALUE"""),757.56)</f>
        <v/>
      </c>
    </row>
    <row r="18593">
      <c r="J18593">
        <f>IFERROR(__xludf.DUMMYFUNCTION("""COMPUTED_VALUE"""),"Charlottetown, Prince Edward Island; Halifax and Digby, Nova Scotia")</f>
        <v/>
      </c>
      <c r="K18593">
        <f>IFERROR(__xludf.DUMMYFUNCTION("""COMPUTED_VALUE"""),757.42)</f>
        <v/>
      </c>
    </row>
    <row r="18594">
      <c r="J18594">
        <f>IFERROR(__xludf.DUMMYFUNCTION("""COMPUTED_VALUE"""),"FREDERICTON &amp; MONCTON, NB")</f>
        <v/>
      </c>
      <c r="K18594">
        <f>IFERROR(__xludf.DUMMYFUNCTION("""COMPUTED_VALUE"""),757.37)</f>
        <v/>
      </c>
    </row>
    <row r="18595">
      <c r="J18595">
        <f>IFERROR(__xludf.DUMMYFUNCTION("""COMPUTED_VALUE"""),"Ottawa-Halifax-Charlottetown-St. John's")</f>
        <v/>
      </c>
      <c r="K18595">
        <f>IFERROR(__xludf.DUMMYFUNCTION("""COMPUTED_VALUE"""),757.13)</f>
        <v/>
      </c>
    </row>
    <row r="18596">
      <c r="J18596">
        <f>IFERROR(__xludf.DUMMYFUNCTION("""COMPUTED_VALUE"""),"Toronto, Ontario
Belleville, Ontario")</f>
        <v/>
      </c>
      <c r="K18596">
        <f>IFERROR(__xludf.DUMMYFUNCTION("""COMPUTED_VALUE"""),756.79)</f>
        <v/>
      </c>
    </row>
    <row r="18597">
      <c r="J18597">
        <f>IFERROR(__xludf.DUMMYFUNCTION("""COMPUTED_VALUE"""),"Bagotville/Fort Hood, TX")</f>
        <v/>
      </c>
      <c r="K18597">
        <f>IFERROR(__xludf.DUMMYFUNCTION("""COMPUTED_VALUE"""),756.69)</f>
        <v/>
      </c>
    </row>
    <row r="18598">
      <c r="J18598">
        <f>IFERROR(__xludf.DUMMYFUNCTION("""COMPUTED_VALUE"""),"Toronto, Ontario, Canada - Collingwood, Ontario, Canada")</f>
        <v/>
      </c>
      <c r="K18598">
        <f>IFERROR(__xludf.DUMMYFUNCTION("""COMPUTED_VALUE"""),756.46)</f>
        <v/>
      </c>
    </row>
    <row r="18599">
      <c r="J18599">
        <f>IFERROR(__xludf.DUMMYFUNCTION("""COMPUTED_VALUE"""),"Turin and Milan")</f>
        <v/>
      </c>
      <c r="K18599">
        <f>IFERROR(__xludf.DUMMYFUNCTION("""COMPUTED_VALUE"""),756.22)</f>
        <v/>
      </c>
    </row>
    <row r="18600">
      <c r="J18600">
        <f>IFERROR(__xludf.DUMMYFUNCTION("""COMPUTED_VALUE"""),"Ottawa, Ontario and Montréal and Québec City, Québec")</f>
        <v/>
      </c>
      <c r="K18600">
        <f>IFERROR(__xludf.DUMMYFUNCTION("""COMPUTED_VALUE"""),755.23)</f>
        <v/>
      </c>
    </row>
    <row r="18601">
      <c r="J18601">
        <f>IFERROR(__xludf.DUMMYFUNCTION("""COMPUTED_VALUE"""),"Bécancour, Berthierville,  Trois-Rivières")</f>
        <v/>
      </c>
      <c r="K18601">
        <f>IFERROR(__xludf.DUMMYFUNCTION("""COMPUTED_VALUE"""),754.88)</f>
        <v/>
      </c>
    </row>
    <row r="18602">
      <c r="J18602">
        <f>IFERROR(__xludf.DUMMYFUNCTION("""COMPUTED_VALUE"""),"Kahnawake, Quebec")</f>
        <v/>
      </c>
      <c r="K18602">
        <f>IFERROR(__xludf.DUMMYFUNCTION("""COMPUTED_VALUE"""),754.84)</f>
        <v/>
      </c>
    </row>
    <row r="18603">
      <c r="J18603">
        <f>IFERROR(__xludf.DUMMYFUNCTION("""COMPUTED_VALUE"""),"PERTH, OTTAWA, FORT POLK, TORONTO, PERTH")</f>
        <v/>
      </c>
      <c r="K18603">
        <f>IFERROR(__xludf.DUMMYFUNCTION("""COMPUTED_VALUE"""),754.81)</f>
        <v/>
      </c>
    </row>
    <row r="18604">
      <c r="J18604">
        <f>IFERROR(__xludf.DUMMYFUNCTION("""COMPUTED_VALUE"""),"Hamilton/Barrie, ON")</f>
        <v/>
      </c>
      <c r="K18604">
        <f>IFERROR(__xludf.DUMMYFUNCTION("""COMPUTED_VALUE"""),754.75)</f>
        <v/>
      </c>
    </row>
    <row r="18605">
      <c r="J18605">
        <f>IFERROR(__xludf.DUMMYFUNCTION("""COMPUTED_VALUE"""),"Saskatoon, Saskatchewan, Canada; Windsor, Ontario, Canada; Trois Rivières, Quebec, Canada")</f>
        <v/>
      </c>
      <c r="K18605">
        <f>IFERROR(__xludf.DUMMYFUNCTION("""COMPUTED_VALUE"""),754.74)</f>
        <v/>
      </c>
    </row>
    <row r="18606">
      <c r="J18606">
        <f>IFERROR(__xludf.DUMMYFUNCTION("""COMPUTED_VALUE"""),"Nice")</f>
        <v/>
      </c>
      <c r="K18606">
        <f>IFERROR(__xludf.DUMMYFUNCTION("""COMPUTED_VALUE"""),754.21)</f>
        <v/>
      </c>
    </row>
    <row r="18607">
      <c r="J18607">
        <f>IFERROR(__xludf.DUMMYFUNCTION("""COMPUTED_VALUE"""),"PABINEAU, NB")</f>
        <v/>
      </c>
      <c r="K18607">
        <f>IFERROR(__xludf.DUMMYFUNCTION("""COMPUTED_VALUE"""),753.58)</f>
        <v/>
      </c>
    </row>
    <row r="18608">
      <c r="J18608">
        <f>IFERROR(__xludf.DUMMYFUNCTION("""COMPUTED_VALUE"""),"Quebec City, Quebec, Canada; Trois-Rivières, Quebec, Canada")</f>
        <v/>
      </c>
      <c r="K18608">
        <f>IFERROR(__xludf.DUMMYFUNCTION("""COMPUTED_VALUE"""),752.93)</f>
        <v/>
      </c>
    </row>
    <row r="18609">
      <c r="J18609">
        <f>IFERROR(__xludf.DUMMYFUNCTION("""COMPUTED_VALUE"""),"Montreal, Qubec")</f>
        <v/>
      </c>
      <c r="K18609">
        <f>IFERROR(__xludf.DUMMYFUNCTION("""COMPUTED_VALUE"""),752.85)</f>
        <v/>
      </c>
    </row>
    <row r="18610">
      <c r="J18610">
        <f>IFERROR(__xludf.DUMMYFUNCTION("""COMPUTED_VALUE"""),"Colorado Springs, Colorado.")</f>
        <v/>
      </c>
      <c r="K18610">
        <f>IFERROR(__xludf.DUMMYFUNCTION("""COMPUTED_VALUE"""),752.53)</f>
        <v/>
      </c>
    </row>
    <row r="18611">
      <c r="J18611">
        <f>IFERROR(__xludf.DUMMYFUNCTION("""COMPUTED_VALUE"""),"Shawinigan and Montréal, Québec")</f>
        <v/>
      </c>
      <c r="K18611">
        <f>IFERROR(__xludf.DUMMYFUNCTION("""COMPUTED_VALUE"""),751.98)</f>
        <v/>
      </c>
    </row>
    <row r="18612">
      <c r="J18612">
        <f>IFERROR(__xludf.DUMMYFUNCTION("""COMPUTED_VALUE"""),"Belleville, Ontario, Canada; Kingston, Ontario, Canada")</f>
        <v/>
      </c>
      <c r="K18612">
        <f>IFERROR(__xludf.DUMMYFUNCTION("""COMPUTED_VALUE"""),751.64)</f>
        <v/>
      </c>
    </row>
    <row r="18613">
      <c r="J18613">
        <f>IFERROR(__xludf.DUMMYFUNCTION("""COMPUTED_VALUE"""),"Oshawa, ON, Toronto, ON")</f>
        <v/>
      </c>
      <c r="K18613">
        <f>IFERROR(__xludf.DUMMYFUNCTION("""COMPUTED_VALUE"""),751.19)</f>
        <v/>
      </c>
    </row>
    <row r="18614">
      <c r="J18614">
        <f>IFERROR(__xludf.DUMMYFUNCTION("""COMPUTED_VALUE"""),"Kinston, ON, Toronto, ON")</f>
        <v/>
      </c>
      <c r="K18614">
        <f>IFERROR(__xludf.DUMMYFUNCTION("""COMPUTED_VALUE"""),750.35)</f>
        <v/>
      </c>
    </row>
    <row r="18615">
      <c r="J18615">
        <f>IFERROR(__xludf.DUMMYFUNCTION("""COMPUTED_VALUE"""),"St Kitts &amp; Nevis")</f>
        <v/>
      </c>
      <c r="K18615">
        <f>IFERROR(__xludf.DUMMYFUNCTION("""COMPUTED_VALUE"""),750.33)</f>
        <v/>
      </c>
    </row>
    <row r="18616">
      <c r="J18616">
        <f>IFERROR(__xludf.DUMMYFUNCTION("""COMPUTED_VALUE"""),"Cheltenham, U.K.")</f>
        <v/>
      </c>
      <c r="K18616">
        <f>IFERROR(__xludf.DUMMYFUNCTION("""COMPUTED_VALUE"""),750)</f>
        <v/>
      </c>
    </row>
    <row r="18617">
      <c r="J18617">
        <f>IFERROR(__xludf.DUMMYFUNCTION("""COMPUTED_VALUE"""),"St. John's Antigua")</f>
        <v/>
      </c>
      <c r="K18617">
        <f>IFERROR(__xludf.DUMMYFUNCTION("""COMPUTED_VALUE"""),750)</f>
        <v/>
      </c>
    </row>
    <row r="18618">
      <c r="J18618">
        <f>IFERROR(__xludf.DUMMYFUNCTION("""COMPUTED_VALUE"""),"Toronto, Ontario, Canada - London, Ontario, Canada")</f>
        <v/>
      </c>
      <c r="K18618">
        <f>IFERROR(__xludf.DUMMYFUNCTION("""COMPUTED_VALUE"""),749.58)</f>
        <v/>
      </c>
    </row>
    <row r="18619">
      <c r="J18619">
        <f>IFERROR(__xludf.DUMMYFUNCTION("""COMPUTED_VALUE"""),"Egypte")</f>
        <v/>
      </c>
      <c r="K18619">
        <f>IFERROR(__xludf.DUMMYFUNCTION("""COMPUTED_VALUE"""),749.36)</f>
        <v/>
      </c>
    </row>
    <row r="18620">
      <c r="J18620">
        <f>IFERROR(__xludf.DUMMYFUNCTION("""COMPUTED_VALUE"""),"Moncton, Back Bay and St. Stephen, New Brunswick")</f>
        <v/>
      </c>
      <c r="K18620">
        <f>IFERROR(__xludf.DUMMYFUNCTION("""COMPUTED_VALUE"""),749.23)</f>
        <v/>
      </c>
    </row>
    <row r="18621">
      <c r="J18621">
        <f>IFERROR(__xludf.DUMMYFUNCTION("""COMPUTED_VALUE"""),"Montreal,ottawa,canada")</f>
        <v/>
      </c>
      <c r="K18621">
        <f>IFERROR(__xludf.DUMMYFUNCTION("""COMPUTED_VALUE"""),748.69)</f>
        <v/>
      </c>
    </row>
    <row r="18622">
      <c r="J18622">
        <f>IFERROR(__xludf.DUMMYFUNCTION("""COMPUTED_VALUE"""),"Montreal,  Toronto")</f>
        <v/>
      </c>
      <c r="K18622">
        <f>IFERROR(__xludf.DUMMYFUNCTION("""COMPUTED_VALUE"""),748.68)</f>
        <v/>
      </c>
    </row>
    <row r="18623">
      <c r="J18623">
        <f>IFERROR(__xludf.DUMMYFUNCTION("""COMPUTED_VALUE"""),"Fairbanks (Alaska) USA     Elmendorf(Alaska) USA    Yellowknife (Northwest Territory) Canada")</f>
        <v/>
      </c>
      <c r="K18623">
        <f>IFERROR(__xludf.DUMMYFUNCTION("""COMPUTED_VALUE"""),748.66)</f>
        <v/>
      </c>
    </row>
    <row r="18624">
      <c r="J18624">
        <f>IFERROR(__xludf.DUMMYFUNCTION("""COMPUTED_VALUE"""),"Toronto and Waterloo, Ontario, Canada")</f>
        <v/>
      </c>
      <c r="K18624">
        <f>IFERROR(__xludf.DUMMYFUNCTION("""COMPUTED_VALUE"""),748.66)</f>
        <v/>
      </c>
    </row>
    <row r="18625">
      <c r="J18625">
        <f>IFERROR(__xludf.DUMMYFUNCTION("""COMPUTED_VALUE"""),"St-Tite, Laval, Terrebonne")</f>
        <v/>
      </c>
      <c r="K18625">
        <f>IFERROR(__xludf.DUMMYFUNCTION("""COMPUTED_VALUE"""),748.4)</f>
        <v/>
      </c>
    </row>
    <row r="18626">
      <c r="J18626">
        <f>IFERROR(__xludf.DUMMYFUNCTION("""COMPUTED_VALUE"""),"Moncton- Ottawa")</f>
        <v/>
      </c>
      <c r="K18626">
        <f>IFERROR(__xludf.DUMMYFUNCTION("""COMPUTED_VALUE"""),747.04)</f>
        <v/>
      </c>
    </row>
    <row r="18627">
      <c r="J18627">
        <f>IFERROR(__xludf.DUMMYFUNCTION("""COMPUTED_VALUE"""),"Saskatoon, Saskatchewan,Canada")</f>
        <v/>
      </c>
      <c r="K18627">
        <f>IFERROR(__xludf.DUMMYFUNCTION("""COMPUTED_VALUE"""),747.04)</f>
        <v/>
      </c>
    </row>
    <row r="18628">
      <c r="J18628">
        <f>IFERROR(__xludf.DUMMYFUNCTION("""COMPUTED_VALUE"""),"Toronto - Waterloo, Ontario")</f>
        <v/>
      </c>
      <c r="K18628">
        <f>IFERROR(__xludf.DUMMYFUNCTION("""COMPUTED_VALUE"""),747)</f>
        <v/>
      </c>
    </row>
    <row r="18629">
      <c r="J18629">
        <f>IFERROR(__xludf.DUMMYFUNCTION("""COMPUTED_VALUE"""),"Victoriaville, Montreal, Quebec City and Saguenay, Quebec")</f>
        <v/>
      </c>
      <c r="K18629">
        <f>IFERROR(__xludf.DUMMYFUNCTION("""COMPUTED_VALUE"""),746.92)</f>
        <v/>
      </c>
    </row>
    <row r="18630">
      <c r="J18630">
        <f>IFERROR(__xludf.DUMMYFUNCTION("""COMPUTED_VALUE"""),"Washington, DC and Portland, Maine")</f>
        <v/>
      </c>
      <c r="K18630">
        <f>IFERROR(__xludf.DUMMYFUNCTION("""COMPUTED_VALUE"""),746.65)</f>
        <v/>
      </c>
    </row>
    <row r="18631">
      <c r="J18631">
        <f>IFERROR(__xludf.DUMMYFUNCTION("""COMPUTED_VALUE"""),"Trois-Rivères, Quebec, Canada")</f>
        <v/>
      </c>
      <c r="K18631">
        <f>IFERROR(__xludf.DUMMYFUNCTION("""COMPUTED_VALUE"""),745.92)</f>
        <v/>
      </c>
    </row>
    <row r="18632">
      <c r="J18632">
        <f>IFERROR(__xludf.DUMMYFUNCTION("""COMPUTED_VALUE"""),"Charlottetown, Prince Edward Island / Halfiax, Nova Scotia / Fredericton, New Brunswick")</f>
        <v/>
      </c>
      <c r="K18632">
        <f>IFERROR(__xludf.DUMMYFUNCTION("""COMPUTED_VALUE"""),745.3)</f>
        <v/>
      </c>
    </row>
    <row r="18633">
      <c r="J18633">
        <f>IFERROR(__xludf.DUMMYFUNCTION("""COMPUTED_VALUE"""),"Detroit, Michigan and Windsor, Ontario")</f>
        <v/>
      </c>
      <c r="K18633">
        <f>IFERROR(__xludf.DUMMYFUNCTION("""COMPUTED_VALUE"""),745.3)</f>
        <v/>
      </c>
    </row>
    <row r="18634">
      <c r="J18634">
        <f>IFERROR(__xludf.DUMMYFUNCTION("""COMPUTED_VALUE"""),"Montreal, Quebec, Canada and Kingston, Ontario, Canada")</f>
        <v/>
      </c>
      <c r="K18634">
        <f>IFERROR(__xludf.DUMMYFUNCTION("""COMPUTED_VALUE"""),745)</f>
        <v/>
      </c>
    </row>
    <row r="18635">
      <c r="J18635">
        <f>IFERROR(__xludf.DUMMYFUNCTION("""COMPUTED_VALUE"""),"Sept-Iles, Gaspé, Quebec City, Trois-Rivières, Laval")</f>
        <v/>
      </c>
      <c r="K18635">
        <f>IFERROR(__xludf.DUMMYFUNCTION("""COMPUTED_VALUE"""),744.54)</f>
        <v/>
      </c>
    </row>
    <row r="18636">
      <c r="J18636">
        <f>IFERROR(__xludf.DUMMYFUNCTION("""COMPUTED_VALUE"""),"Montreal, Quebec, Canada / Saint-Alexis, Quebec, Canada")</f>
        <v/>
      </c>
      <c r="K18636">
        <f>IFERROR(__xludf.DUMMYFUNCTION("""COMPUTED_VALUE"""),744.23)</f>
        <v/>
      </c>
    </row>
    <row r="18637">
      <c r="J18637">
        <f>IFERROR(__xludf.DUMMYFUNCTION("""COMPUTED_VALUE"""),"Charlottetown PE - Toronto ON / Toronto ON - Charlottetown PE")</f>
        <v/>
      </c>
      <c r="K18637">
        <f>IFERROR(__xludf.DUMMYFUNCTION("""COMPUTED_VALUE"""),744)</f>
        <v/>
      </c>
    </row>
    <row r="18638">
      <c r="J18638">
        <f>IFERROR(__xludf.DUMMYFUNCTION("""COMPUTED_VALUE"""),"Prince George, Nova Scotia, Canada")</f>
        <v/>
      </c>
      <c r="K18638">
        <f>IFERROR(__xludf.DUMMYFUNCTION("""COMPUTED_VALUE"""),743.81)</f>
        <v/>
      </c>
    </row>
    <row r="18639">
      <c r="J18639">
        <f>IFERROR(__xludf.DUMMYFUNCTION("""COMPUTED_VALUE"""),"Montréal, Quebec, Canada; New Richmond, Quebec, Canada; Québec, Quebec, Canada")</f>
        <v/>
      </c>
      <c r="K18639">
        <f>IFERROR(__xludf.DUMMYFUNCTION("""COMPUTED_VALUE"""),743.45)</f>
        <v/>
      </c>
    </row>
    <row r="18640">
      <c r="J18640">
        <f>IFERROR(__xludf.DUMMYFUNCTION("""COMPUTED_VALUE"""),"Gaspé, Quebec, Canada; Montreal, Quebec, Canada")</f>
        <v/>
      </c>
      <c r="K18640">
        <f>IFERROR(__xludf.DUMMYFUNCTION("""COMPUTED_VALUE"""),743.44)</f>
        <v/>
      </c>
    </row>
    <row r="18641">
      <c r="J18641">
        <f>IFERROR(__xludf.DUMMYFUNCTION("""COMPUTED_VALUE"""),"Saint-Georges, Quebec, Canada")</f>
        <v/>
      </c>
      <c r="K18641">
        <f>IFERROR(__xludf.DUMMYFUNCTION("""COMPUTED_VALUE"""),743.36)</f>
        <v/>
      </c>
    </row>
    <row r="18642">
      <c r="J18642">
        <f>IFERROR(__xludf.DUMMYFUNCTION("""COMPUTED_VALUE"""),"Montréal, Quebec, Canada; Val-David, Quebec, Canada")</f>
        <v/>
      </c>
      <c r="K18642">
        <f>IFERROR(__xludf.DUMMYFUNCTION("""COMPUTED_VALUE"""),743.06)</f>
        <v/>
      </c>
    </row>
    <row r="18643">
      <c r="J18643">
        <f>IFERROR(__xludf.DUMMYFUNCTION("""COMPUTED_VALUE"""),"Toronto Congress Centre,   Toronto")</f>
        <v/>
      </c>
      <c r="K18643">
        <f>IFERROR(__xludf.DUMMYFUNCTION("""COMPUTED_VALUE"""),742.82)</f>
        <v/>
      </c>
    </row>
    <row r="18644">
      <c r="J18644">
        <f>IFERROR(__xludf.DUMMYFUNCTION("""COMPUTED_VALUE"""),"Moncton, New Brunswick, Canada
Grand Manan, New Brunswick, Canada")</f>
        <v/>
      </c>
      <c r="K18644">
        <f>IFERROR(__xludf.DUMMYFUNCTION("""COMPUTED_VALUE"""),742.68)</f>
        <v/>
      </c>
    </row>
    <row r="18645">
      <c r="J18645">
        <f>IFERROR(__xludf.DUMMYFUNCTION("""COMPUTED_VALUE"""),"Richibucto, New Brunswick, Canada; Moncton, New Brunswick, Canada")</f>
        <v/>
      </c>
      <c r="K18645">
        <f>IFERROR(__xludf.DUMMYFUNCTION("""COMPUTED_VALUE"""),742.49)</f>
        <v/>
      </c>
    </row>
    <row r="18646">
      <c r="J18646">
        <f>IFERROR(__xludf.DUMMYFUNCTION("""COMPUTED_VALUE"""),"Amiens, France")</f>
        <v/>
      </c>
      <c r="K18646">
        <f>IFERROR(__xludf.DUMMYFUNCTION("""COMPUTED_VALUE"""),741.86)</f>
        <v/>
      </c>
    </row>
    <row r="18647">
      <c r="J18647">
        <f>IFERROR(__xludf.DUMMYFUNCTION("""COMPUTED_VALUE"""),"White Point, Nova Scotia, Canada")</f>
        <v/>
      </c>
      <c r="K18647">
        <f>IFERROR(__xludf.DUMMYFUNCTION("""COMPUTED_VALUE"""),741.599999999999)</f>
        <v/>
      </c>
    </row>
    <row r="18648">
      <c r="J18648">
        <f>IFERROR(__xludf.DUMMYFUNCTION("""COMPUTED_VALUE"""),"Orford, Quebec, (Canada)")</f>
        <v/>
      </c>
      <c r="K18648">
        <f>IFERROR(__xludf.DUMMYFUNCTION("""COMPUTED_VALUE"""),741.54)</f>
        <v/>
      </c>
    </row>
    <row r="18649">
      <c r="J18649">
        <f>IFERROR(__xludf.DUMMYFUNCTION("""COMPUTED_VALUE"""),"Jasper and Edmonton, Alberta")</f>
        <v/>
      </c>
      <c r="K18649">
        <f>IFERROR(__xludf.DUMMYFUNCTION("""COMPUTED_VALUE"""),740.59)</f>
        <v/>
      </c>
    </row>
    <row r="18650">
      <c r="J18650">
        <f>IFERROR(__xludf.DUMMYFUNCTION("""COMPUTED_VALUE"""),"Trois-Rivières, Quebec, Canada / Montreal, Quebec, Canada")</f>
        <v/>
      </c>
      <c r="K18650">
        <f>IFERROR(__xludf.DUMMYFUNCTION("""COMPUTED_VALUE"""),740.52)</f>
        <v/>
      </c>
    </row>
    <row r="18651">
      <c r="J18651">
        <f>IFERROR(__xludf.DUMMYFUNCTION("""COMPUTED_VALUE"""),"Makhachkala, Dagestan")</f>
        <v/>
      </c>
      <c r="K18651">
        <f>IFERROR(__xludf.DUMMYFUNCTION("""COMPUTED_VALUE"""),740.09)</f>
        <v/>
      </c>
    </row>
    <row r="18652">
      <c r="J18652">
        <f>IFERROR(__xludf.DUMMYFUNCTION("""COMPUTED_VALUE"""),"Rivière-du-Loup, Québec, Trois-Rivières, Roberval, Shawinigan, Ottawa")</f>
        <v/>
      </c>
      <c r="K18652">
        <f>IFERROR(__xludf.DUMMYFUNCTION("""COMPUTED_VALUE"""),740)</f>
        <v/>
      </c>
    </row>
    <row r="18653">
      <c r="J18653">
        <f>IFERROR(__xludf.DUMMYFUNCTION("""COMPUTED_VALUE"""),"Grenville-sur-la-Rouge, Quebec, Canada; Toronto, Ontario, Canada")</f>
        <v/>
      </c>
      <c r="K18653">
        <f>IFERROR(__xludf.DUMMYFUNCTION("""COMPUTED_VALUE"""),739.82)</f>
        <v/>
      </c>
    </row>
    <row r="18654">
      <c r="J18654">
        <f>IFERROR(__xludf.DUMMYFUNCTION("""COMPUTED_VALUE"""),"Mont-Joli, Rimouski, Rivière-du-Loup, St-Eusèbe, Lapocatière")</f>
        <v/>
      </c>
      <c r="K18654">
        <f>IFERROR(__xludf.DUMMYFUNCTION("""COMPUTED_VALUE"""),739.04)</f>
        <v/>
      </c>
    </row>
    <row r="18655">
      <c r="J18655">
        <f>IFERROR(__xludf.DUMMYFUNCTION("""COMPUTED_VALUE"""),"vilnius, Lithuania")</f>
        <v/>
      </c>
      <c r="K18655">
        <f>IFERROR(__xludf.DUMMYFUNCTION("""COMPUTED_VALUE"""),738.73)</f>
        <v/>
      </c>
    </row>
    <row r="18656">
      <c r="J18656">
        <f>IFERROR(__xludf.DUMMYFUNCTION("""COMPUTED_VALUE"""),"Wakefield, Quebec / Peterborough, Ontario")</f>
        <v/>
      </c>
      <c r="K18656">
        <f>IFERROR(__xludf.DUMMYFUNCTION("""COMPUTED_VALUE"""),737.12)</f>
        <v/>
      </c>
    </row>
    <row r="18657">
      <c r="J18657">
        <f>IFERROR(__xludf.DUMMYFUNCTION("""COMPUTED_VALUE"""),"Charlottetown (PEI) Canada")</f>
        <v/>
      </c>
      <c r="K18657">
        <f>IFERROR(__xludf.DUMMYFUNCTION("""COMPUTED_VALUE"""),736.75)</f>
        <v/>
      </c>
    </row>
    <row r="18658">
      <c r="J18658">
        <f>IFERROR(__xludf.DUMMYFUNCTION("""COMPUTED_VALUE"""),"Val d'Or, St-Hubert, Granby et Sorel-Tracy")</f>
        <v/>
      </c>
      <c r="K18658">
        <f>IFERROR(__xludf.DUMMYFUNCTION("""COMPUTED_VALUE"""),736.599999999999)</f>
        <v/>
      </c>
    </row>
    <row r="18659">
      <c r="J18659">
        <f>IFERROR(__xludf.DUMMYFUNCTION("""COMPUTED_VALUE"""),"Toronto and Kitchener")</f>
        <v/>
      </c>
      <c r="K18659">
        <f>IFERROR(__xludf.DUMMYFUNCTION("""COMPUTED_VALUE"""),736.58)</f>
        <v/>
      </c>
    </row>
    <row r="18660">
      <c r="J18660">
        <f>IFERROR(__xludf.DUMMYFUNCTION("""COMPUTED_VALUE"""),"Laval, Quebec, Canada; Repentigny, Quebec, Canada")</f>
        <v/>
      </c>
      <c r="K18660">
        <f>IFERROR(__xludf.DUMMYFUNCTION("""COMPUTED_VALUE"""),736.35)</f>
        <v/>
      </c>
    </row>
    <row r="18661">
      <c r="J18661">
        <f>IFERROR(__xludf.DUMMYFUNCTION("""COMPUTED_VALUE"""),"Bobcaygeon, Ontario")</f>
        <v/>
      </c>
      <c r="K18661">
        <f>IFERROR(__xludf.DUMMYFUNCTION("""COMPUTED_VALUE"""),735.84)</f>
        <v/>
      </c>
    </row>
    <row r="18662">
      <c r="J18662">
        <f>IFERROR(__xludf.DUMMYFUNCTION("""COMPUTED_VALUE"""),"Gander, New Labrador")</f>
        <v/>
      </c>
      <c r="K18662">
        <f>IFERROR(__xludf.DUMMYFUNCTION("""COMPUTED_VALUE"""),735.33)</f>
        <v/>
      </c>
    </row>
    <row r="18663">
      <c r="J18663">
        <f>IFERROR(__xludf.DUMMYFUNCTION("""COMPUTED_VALUE"""),"South West, Nova Scotia")</f>
        <v/>
      </c>
      <c r="K18663">
        <f>IFERROR(__xludf.DUMMYFUNCTION("""COMPUTED_VALUE"""),735.189999999999)</f>
        <v/>
      </c>
    </row>
    <row r="18664">
      <c r="J18664">
        <f>IFERROR(__xludf.DUMMYFUNCTION("""COMPUTED_VALUE"""),"Toronto- Waterloo, Ontario")</f>
        <v/>
      </c>
      <c r="K18664">
        <f>IFERROR(__xludf.DUMMYFUNCTION("""COMPUTED_VALUE"""),735.15)</f>
        <v/>
      </c>
    </row>
    <row r="18665">
      <c r="J18665">
        <f>IFERROR(__xludf.DUMMYFUNCTION("""COMPUTED_VALUE"""),"Mexico City and Vancouver")</f>
        <v/>
      </c>
      <c r="K18665">
        <f>IFERROR(__xludf.DUMMYFUNCTION("""COMPUTED_VALUE"""),734.98)</f>
        <v/>
      </c>
    </row>
    <row r="18666">
      <c r="J18666">
        <f>IFERROR(__xludf.DUMMYFUNCTION("""COMPUTED_VALUE"""),"Toronto, Ontario and Gravenhurst, Ontario")</f>
        <v/>
      </c>
      <c r="K18666">
        <f>IFERROR(__xludf.DUMMYFUNCTION("""COMPUTED_VALUE"""),734.4)</f>
        <v/>
      </c>
    </row>
    <row r="18667">
      <c r="J18667">
        <f>IFERROR(__xludf.DUMMYFUNCTION("""COMPUTED_VALUE"""),"SAINT-JEAN-SUR-RICHELIEU, QC")</f>
        <v/>
      </c>
      <c r="K18667">
        <f>IFERROR(__xludf.DUMMYFUNCTION("""COMPUTED_VALUE"""),734.29)</f>
        <v/>
      </c>
    </row>
    <row r="18668">
      <c r="J18668">
        <f>IFERROR(__xludf.DUMMYFUNCTION("""COMPUTED_VALUE"""),"Waterloo and London, Ontario, Canada")</f>
        <v/>
      </c>
      <c r="K18668">
        <f>IFERROR(__xludf.DUMMYFUNCTION("""COMPUTED_VALUE"""),734.15)</f>
        <v/>
      </c>
    </row>
    <row r="18669">
      <c r="J18669">
        <f>IFERROR(__xludf.DUMMYFUNCTION("""COMPUTED_VALUE"""),"Westlock, Alberta, Canada")</f>
        <v/>
      </c>
      <c r="K18669">
        <f>IFERROR(__xludf.DUMMYFUNCTION("""COMPUTED_VALUE"""),733.42)</f>
        <v/>
      </c>
    </row>
    <row r="18670">
      <c r="J18670">
        <f>IFERROR(__xludf.DUMMYFUNCTION("""COMPUTED_VALUE"""),"Gaspé, Sept-Iles, Rimouski, Rivière-du-Loup, Montréal")</f>
        <v/>
      </c>
      <c r="K18670">
        <f>IFERROR(__xludf.DUMMYFUNCTION("""COMPUTED_VALUE"""),733.31)</f>
        <v/>
      </c>
    </row>
    <row r="18671">
      <c r="J18671">
        <f>IFERROR(__xludf.DUMMYFUNCTION("""COMPUTED_VALUE"""),"Toronto- Orillia, ON")</f>
        <v/>
      </c>
      <c r="K18671">
        <f>IFERROR(__xludf.DUMMYFUNCTION("""COMPUTED_VALUE"""),733.3)</f>
        <v/>
      </c>
    </row>
    <row r="18672">
      <c r="J18672">
        <f>IFERROR(__xludf.DUMMYFUNCTION("""COMPUTED_VALUE"""),"Mississauga, Ontario, Canada; Montréal, Quebec, Canada")</f>
        <v/>
      </c>
      <c r="K18672">
        <f>IFERROR(__xludf.DUMMYFUNCTION("""COMPUTED_VALUE"""),733.16)</f>
        <v/>
      </c>
    </row>
    <row r="18673">
      <c r="J18673">
        <f>IFERROR(__xludf.DUMMYFUNCTION("""COMPUTED_VALUE"""),"Belo Horizonte, Brazil")</f>
        <v/>
      </c>
      <c r="K18673">
        <f>IFERROR(__xludf.DUMMYFUNCTION("""COMPUTED_VALUE"""),732.14)</f>
        <v/>
      </c>
    </row>
    <row r="18674">
      <c r="J18674">
        <f>IFERROR(__xludf.DUMMYFUNCTION("""COMPUTED_VALUE"""),"Montréal, Roberval, Shawinigan, Ottawa")</f>
        <v/>
      </c>
      <c r="K18674">
        <f>IFERROR(__xludf.DUMMYFUNCTION("""COMPUTED_VALUE"""),732.02)</f>
        <v/>
      </c>
    </row>
    <row r="18675">
      <c r="J18675">
        <f>IFERROR(__xludf.DUMMYFUNCTION("""COMPUTED_VALUE"""),"MIAMI, Florida")</f>
        <v/>
      </c>
      <c r="K18675">
        <f>IFERROR(__xludf.DUMMYFUNCTION("""COMPUTED_VALUE"""),731.98)</f>
        <v/>
      </c>
    </row>
    <row r="18676">
      <c r="J18676">
        <f>IFERROR(__xludf.DUMMYFUNCTION("""COMPUTED_VALUE"""),"Jonquière - Ottawa")</f>
        <v/>
      </c>
      <c r="K18676">
        <f>IFERROR(__xludf.DUMMYFUNCTION("""COMPUTED_VALUE"""),731.54)</f>
        <v/>
      </c>
    </row>
    <row r="18677">
      <c r="J18677">
        <f>IFERROR(__xludf.DUMMYFUNCTION("""COMPUTED_VALUE"""),"Laval and Montréal, Québec")</f>
        <v/>
      </c>
      <c r="K18677">
        <f>IFERROR(__xludf.DUMMYFUNCTION("""COMPUTED_VALUE"""),730.349999999999)</f>
        <v/>
      </c>
    </row>
    <row r="18678">
      <c r="J18678">
        <f>IFERROR(__xludf.DUMMYFUNCTION("""COMPUTED_VALUE"""),"Montreal, Quebec, Canada; Stephenville, Newfoundland and Labrador, Canada")</f>
        <v/>
      </c>
      <c r="K18678">
        <f>IFERROR(__xludf.DUMMYFUNCTION("""COMPUTED_VALUE"""),730.22)</f>
        <v/>
      </c>
    </row>
    <row r="18679">
      <c r="J18679">
        <f>IFERROR(__xludf.DUMMYFUNCTION("""COMPUTED_VALUE"""),"Twillingate, Newfoundland and Labrador, Canada")</f>
        <v/>
      </c>
      <c r="K18679">
        <f>IFERROR(__xludf.DUMMYFUNCTION("""COMPUTED_VALUE"""),730.01)</f>
        <v/>
      </c>
    </row>
    <row r="18680">
      <c r="J18680">
        <f>IFERROR(__xludf.DUMMYFUNCTION("""COMPUTED_VALUE"""),"Colorado Springs, CO, United States of America")</f>
        <v/>
      </c>
      <c r="K18680">
        <f>IFERROR(__xludf.DUMMYFUNCTION("""COMPUTED_VALUE"""),729.54)</f>
        <v/>
      </c>
    </row>
    <row r="18681">
      <c r="J18681">
        <f>IFERROR(__xludf.DUMMYFUNCTION("""COMPUTED_VALUE"""),"Rockland / Ottawa")</f>
        <v/>
      </c>
      <c r="K18681">
        <f>IFERROR(__xludf.DUMMYFUNCTION("""COMPUTED_VALUE"""),729.51)</f>
        <v/>
      </c>
    </row>
    <row r="18682">
      <c r="J18682">
        <f>IFERROR(__xludf.DUMMYFUNCTION("""COMPUTED_VALUE"""),"Woodstock, New Brunswick")</f>
        <v/>
      </c>
      <c r="K18682">
        <f>IFERROR(__xludf.DUMMYFUNCTION("""COMPUTED_VALUE"""),729.31)</f>
        <v/>
      </c>
    </row>
    <row r="18683">
      <c r="J18683">
        <f>IFERROR(__xludf.DUMMYFUNCTION("""COMPUTED_VALUE"""),"Shenyang, PRC")</f>
        <v/>
      </c>
      <c r="K18683">
        <f>IFERROR(__xludf.DUMMYFUNCTION("""COMPUTED_VALUE"""),729.29)</f>
        <v/>
      </c>
    </row>
    <row r="18684">
      <c r="J18684">
        <f>IFERROR(__xludf.DUMMYFUNCTION("""COMPUTED_VALUE"""),"Val Cartier, QC")</f>
        <v/>
      </c>
      <c r="K18684">
        <f>IFERROR(__xludf.DUMMYFUNCTION("""COMPUTED_VALUE"""),729)</f>
        <v/>
      </c>
    </row>
    <row r="18685">
      <c r="J18685">
        <f>IFERROR(__xludf.DUMMYFUNCTION("""COMPUTED_VALUE"""),"Ottawa-Toronto-St. John's")</f>
        <v/>
      </c>
      <c r="K18685">
        <f>IFERROR(__xludf.DUMMYFUNCTION("""COMPUTED_VALUE"""),728.99)</f>
        <v/>
      </c>
    </row>
    <row r="18686">
      <c r="J18686">
        <f>IFERROR(__xludf.DUMMYFUNCTION("""COMPUTED_VALUE"""),"Victoria,Vancouver,British Columbia")</f>
        <v/>
      </c>
      <c r="K18686">
        <f>IFERROR(__xludf.DUMMYFUNCTION("""COMPUTED_VALUE"""),728.63)</f>
        <v/>
      </c>
    </row>
    <row r="18687">
      <c r="J18687">
        <f>IFERROR(__xludf.DUMMYFUNCTION("""COMPUTED_VALUE"""),"Sydney, Port Hawkesbury, Nova Scotia")</f>
        <v/>
      </c>
      <c r="K18687">
        <f>IFERROR(__xludf.DUMMYFUNCTION("""COMPUTED_VALUE"""),728.61)</f>
        <v/>
      </c>
    </row>
    <row r="18688">
      <c r="J18688">
        <f>IFERROR(__xludf.DUMMYFUNCTION("""COMPUTED_VALUE"""),"Fredericton, NB; Saint John, NB")</f>
        <v/>
      </c>
      <c r="K18688">
        <f>IFERROR(__xludf.DUMMYFUNCTION("""COMPUTED_VALUE"""),728.51)</f>
        <v/>
      </c>
    </row>
    <row r="18689">
      <c r="J18689">
        <f>IFERROR(__xludf.DUMMYFUNCTION("""COMPUTED_VALUE"""),"Willow Beach, Ontario, Canada")</f>
        <v/>
      </c>
      <c r="K18689">
        <f>IFERROR(__xludf.DUMMYFUNCTION("""COMPUTED_VALUE"""),728.34)</f>
        <v/>
      </c>
    </row>
    <row r="18690">
      <c r="J18690">
        <f>IFERROR(__xludf.DUMMYFUNCTION("""COMPUTED_VALUE"""),"Drummondville, Trois-Rivières")</f>
        <v/>
      </c>
      <c r="K18690">
        <f>IFERROR(__xludf.DUMMYFUNCTION("""COMPUTED_VALUE"""),727.53)</f>
        <v/>
      </c>
    </row>
    <row r="18691">
      <c r="J18691">
        <f>IFERROR(__xludf.DUMMYFUNCTION("""COMPUTED_VALUE"""),"Niagara-on-the Lake (Ontario) Canada; Toronto (Ontario) Canada")</f>
        <v/>
      </c>
      <c r="K18691">
        <f>IFERROR(__xludf.DUMMYFUNCTION("""COMPUTED_VALUE"""),726.97)</f>
        <v/>
      </c>
    </row>
    <row r="18692">
      <c r="J18692">
        <f>IFERROR(__xludf.DUMMYFUNCTION("""COMPUTED_VALUE"""),"Whitby")</f>
        <v/>
      </c>
      <c r="K18692">
        <f>IFERROR(__xludf.DUMMYFUNCTION("""COMPUTED_VALUE"""),726.939999999999)</f>
        <v/>
      </c>
    </row>
    <row r="18693">
      <c r="J18693">
        <f>IFERROR(__xludf.DUMMYFUNCTION("""COMPUTED_VALUE"""),"Low, Québec")</f>
        <v/>
      </c>
      <c r="K18693">
        <f>IFERROR(__xludf.DUMMYFUNCTION("""COMPUTED_VALUE"""),726.75)</f>
        <v/>
      </c>
    </row>
    <row r="18694">
      <c r="J18694">
        <f>IFERROR(__xludf.DUMMYFUNCTION("""COMPUTED_VALUE"""),"EDMUNDSTON, NB")</f>
        <v/>
      </c>
      <c r="K18694">
        <f>IFERROR(__xludf.DUMMYFUNCTION("""COMPUTED_VALUE"""),726.35)</f>
        <v/>
      </c>
    </row>
    <row r="18695">
      <c r="J18695">
        <f>IFERROR(__xludf.DUMMYFUNCTION("""COMPUTED_VALUE"""),"LONDON, ENGLAND")</f>
        <v/>
      </c>
      <c r="K18695">
        <f>IFERROR(__xludf.DUMMYFUNCTION("""COMPUTED_VALUE"""),725.67)</f>
        <v/>
      </c>
    </row>
    <row r="18696">
      <c r="J18696">
        <f>IFERROR(__xludf.DUMMYFUNCTION("""COMPUTED_VALUE"""),"Saint John, New Brunswick, and Fredericton, New Brunswick")</f>
        <v/>
      </c>
      <c r="K18696">
        <f>IFERROR(__xludf.DUMMYFUNCTION("""COMPUTED_VALUE"""),725.4)</f>
        <v/>
      </c>
    </row>
    <row r="18697">
      <c r="J18697">
        <f>IFERROR(__xludf.DUMMYFUNCTION("""COMPUTED_VALUE"""),"Manawan, Quebec, Canada")</f>
        <v/>
      </c>
      <c r="K18697">
        <f>IFERROR(__xludf.DUMMYFUNCTION("""COMPUTED_VALUE"""),724.3)</f>
        <v/>
      </c>
    </row>
    <row r="18698">
      <c r="J18698">
        <f>IFERROR(__xludf.DUMMYFUNCTION("""COMPUTED_VALUE"""),"Quebec-Toronto-Ottawa")</f>
        <v/>
      </c>
      <c r="K18698">
        <f>IFERROR(__xludf.DUMMYFUNCTION("""COMPUTED_VALUE"""),722.97)</f>
        <v/>
      </c>
    </row>
    <row r="18699">
      <c r="J18699">
        <f>IFERROR(__xludf.DUMMYFUNCTION("""COMPUTED_VALUE"""),"Montreal, Quebec, QC")</f>
        <v/>
      </c>
      <c r="K18699">
        <f>IFERROR(__xludf.DUMMYFUNCTION("""COMPUTED_VALUE"""),722.93)</f>
        <v/>
      </c>
    </row>
    <row r="18700">
      <c r="J18700">
        <f>IFERROR(__xludf.DUMMYFUNCTION("""COMPUTED_VALUE"""),"Montreal, Quebec Via Car")</f>
        <v/>
      </c>
      <c r="K18700">
        <f>IFERROR(__xludf.DUMMYFUNCTION("""COMPUTED_VALUE"""),722.91)</f>
        <v/>
      </c>
    </row>
    <row r="18701">
      <c r="J18701">
        <f>IFERROR(__xludf.DUMMYFUNCTION("""COMPUTED_VALUE"""),"Barrie, Ontario, Canada/ Kitchener, Ontario, Canada/ Waterloo, Ontario, Canada")</f>
        <v/>
      </c>
      <c r="K18701">
        <f>IFERROR(__xludf.DUMMYFUNCTION("""COMPUTED_VALUE"""),722.88)</f>
        <v/>
      </c>
    </row>
    <row r="18702">
      <c r="J18702">
        <f>IFERROR(__xludf.DUMMYFUNCTION("""COMPUTED_VALUE"""),"Rome, NY")</f>
        <v/>
      </c>
      <c r="K18702">
        <f>IFERROR(__xludf.DUMMYFUNCTION("""COMPUTED_VALUE"""),722.71)</f>
        <v/>
      </c>
    </row>
    <row r="18703">
      <c r="J18703">
        <f>IFERROR(__xludf.DUMMYFUNCTION("""COMPUTED_VALUE"""),"Saskatoon, Saskatchewan; Prince Albert")</f>
        <v/>
      </c>
      <c r="K18703">
        <f>IFERROR(__xludf.DUMMYFUNCTION("""COMPUTED_VALUE"""),722.4)</f>
        <v/>
      </c>
    </row>
    <row r="18704">
      <c r="J18704">
        <f>IFERROR(__xludf.DUMMYFUNCTION("""COMPUTED_VALUE"""),"Saint-Hubert, Quebec, Canada; Ottawa, Ontario, Canada; Gatineau, Quebec, Canada")</f>
        <v/>
      </c>
      <c r="K18704">
        <f>IFERROR(__xludf.DUMMYFUNCTION("""COMPUTED_VALUE"""),722.18)</f>
        <v/>
      </c>
    </row>
    <row r="18705">
      <c r="J18705">
        <f>IFERROR(__xludf.DUMMYFUNCTION("""COMPUTED_VALUE"""),"Dalian")</f>
        <v/>
      </c>
      <c r="K18705">
        <f>IFERROR(__xludf.DUMMYFUNCTION("""COMPUTED_VALUE"""),721.25)</f>
        <v/>
      </c>
    </row>
    <row r="18706">
      <c r="J18706">
        <f>IFERROR(__xludf.DUMMYFUNCTION("""COMPUTED_VALUE"""),"Mirabel, Quebec and Montreal, Quebec")</f>
        <v/>
      </c>
      <c r="K18706">
        <f>IFERROR(__xludf.DUMMYFUNCTION("""COMPUTED_VALUE"""),720.7)</f>
        <v/>
      </c>
    </row>
    <row r="18707">
      <c r="J18707">
        <f>IFERROR(__xludf.DUMMYFUNCTION("""COMPUTED_VALUE"""),"Thorold, Ontario, Canada")</f>
        <v/>
      </c>
      <c r="K18707">
        <f>IFERROR(__xludf.DUMMYFUNCTION("""COMPUTED_VALUE"""),719.92)</f>
        <v/>
      </c>
    </row>
    <row r="18708">
      <c r="J18708">
        <f>IFERROR(__xludf.DUMMYFUNCTION("""COMPUTED_VALUE"""),"Toronto / London, ON")</f>
        <v/>
      </c>
      <c r="K18708">
        <f>IFERROR(__xludf.DUMMYFUNCTION("""COMPUTED_VALUE"""),719.54)</f>
        <v/>
      </c>
    </row>
    <row r="18709">
      <c r="J18709">
        <f>IFERROR(__xludf.DUMMYFUNCTION("""COMPUTED_VALUE"""),"Cobourg and Waterloo, Ontario")</f>
        <v/>
      </c>
      <c r="K18709">
        <f>IFERROR(__xludf.DUMMYFUNCTION("""COMPUTED_VALUE"""),719.44)</f>
        <v/>
      </c>
    </row>
    <row r="18710">
      <c r="J18710">
        <f>IFERROR(__xludf.DUMMYFUNCTION("""COMPUTED_VALUE"""),"Andrews AFB, Maryland USA")</f>
        <v/>
      </c>
      <c r="K18710">
        <f>IFERROR(__xludf.DUMMYFUNCTION("""COMPUTED_VALUE"""),719.41)</f>
        <v/>
      </c>
    </row>
    <row r="18711">
      <c r="J18711">
        <f>IFERROR(__xludf.DUMMYFUNCTION("""COMPUTED_VALUE"""),"Vaudreuil-Dorion, Québec")</f>
        <v/>
      </c>
      <c r="K18711">
        <f>IFERROR(__xludf.DUMMYFUNCTION("""COMPUTED_VALUE"""),719.25)</f>
        <v/>
      </c>
    </row>
    <row r="18712">
      <c r="J18712">
        <f>IFERROR(__xludf.DUMMYFUNCTION("""COMPUTED_VALUE"""),"Moncton, New Brunswick / Antigonish, Nova Scotia / Halifax, Nova Scotia")</f>
        <v/>
      </c>
      <c r="K18712">
        <f>IFERROR(__xludf.DUMMYFUNCTION("""COMPUTED_VALUE"""),719.13)</f>
        <v/>
      </c>
    </row>
    <row r="18713">
      <c r="J18713">
        <f>IFERROR(__xludf.DUMMYFUNCTION("""COMPUTED_VALUE"""),"Montréal, QC Jonquière, QC")</f>
        <v/>
      </c>
      <c r="K18713">
        <f>IFERROR(__xludf.DUMMYFUNCTION("""COMPUTED_VALUE"""),718.98)</f>
        <v/>
      </c>
    </row>
    <row r="18714">
      <c r="J18714">
        <f>IFERROR(__xludf.DUMMYFUNCTION("""COMPUTED_VALUE"""),"Tofino, BC")</f>
        <v/>
      </c>
      <c r="K18714">
        <f>IFERROR(__xludf.DUMMYFUNCTION("""COMPUTED_VALUE"""),718.97)</f>
        <v/>
      </c>
    </row>
    <row r="18715">
      <c r="J18715">
        <f>IFERROR(__xludf.DUMMYFUNCTION("""COMPUTED_VALUE"""),"Toronto Peterborough and Waterloo, Ontario, Canada")</f>
        <v/>
      </c>
      <c r="K18715">
        <f>IFERROR(__xludf.DUMMYFUNCTION("""COMPUTED_VALUE"""),718.67)</f>
        <v/>
      </c>
    </row>
    <row r="18716">
      <c r="J18716">
        <f>IFERROR(__xludf.DUMMYFUNCTION("""COMPUTED_VALUE"""),"Mirabel")</f>
        <v/>
      </c>
      <c r="K18716">
        <f>IFERROR(__xludf.DUMMYFUNCTION("""COMPUTED_VALUE"""),718.569999999999)</f>
        <v/>
      </c>
    </row>
    <row r="18717">
      <c r="J18717">
        <f>IFERROR(__xludf.DUMMYFUNCTION("""COMPUTED_VALUE"""),"Edmonton, Alberta, Canada and
Coutts, Alberta, Canada and
Lethbridge, Alberta, Canada and
Cochrane, Alberta, Canada and
Calgary, Alberta, Canada and
Coaldale, Alberta, Canada")</f>
        <v/>
      </c>
      <c r="K18717">
        <f>IFERROR(__xludf.DUMMYFUNCTION("""COMPUTED_VALUE"""),718.05)</f>
        <v/>
      </c>
    </row>
    <row r="18718">
      <c r="J18718">
        <f>IFERROR(__xludf.DUMMYFUNCTION("""COMPUTED_VALUE"""),"Pangnirtung, Nunavut, Canada")</f>
        <v/>
      </c>
      <c r="K18718">
        <f>IFERROR(__xludf.DUMMYFUNCTION("""COMPUTED_VALUE"""),717.9)</f>
        <v/>
      </c>
    </row>
    <row r="18719">
      <c r="J18719">
        <f>IFERROR(__xludf.DUMMYFUNCTION("""COMPUTED_VALUE"""),"Kuwait, KW")</f>
        <v/>
      </c>
      <c r="K18719">
        <f>IFERROR(__xludf.DUMMYFUNCTION("""COMPUTED_VALUE"""),717.82)</f>
        <v/>
      </c>
    </row>
    <row r="18720">
      <c r="J18720">
        <f>IFERROR(__xludf.DUMMYFUNCTION("""COMPUTED_VALUE"""),"Montreal, qc")</f>
        <v/>
      </c>
      <c r="K18720">
        <f>IFERROR(__xludf.DUMMYFUNCTION("""COMPUTED_VALUE"""),717.79)</f>
        <v/>
      </c>
    </row>
    <row r="18721">
      <c r="J18721">
        <f>IFERROR(__xludf.DUMMYFUNCTION("""COMPUTED_VALUE"""),"Matane , Quebec, Moncton, New Brunswick and Charlo, New Brunswick")</f>
        <v/>
      </c>
      <c r="K18721">
        <f>IFERROR(__xludf.DUMMYFUNCTION("""COMPUTED_VALUE"""),717.2)</f>
        <v/>
      </c>
    </row>
    <row r="18722">
      <c r="J18722">
        <f>IFERROR(__xludf.DUMMYFUNCTION("""COMPUTED_VALUE"""),"Edmundston, Saint John, Saint-Quentin, New Brunswick")</f>
        <v/>
      </c>
      <c r="K18722">
        <f>IFERROR(__xludf.DUMMYFUNCTION("""COMPUTED_VALUE"""),716.74)</f>
        <v/>
      </c>
    </row>
    <row r="18723">
      <c r="J18723">
        <f>IFERROR(__xludf.DUMMYFUNCTION("""COMPUTED_VALUE"""),"Oshawa;Ajax;Pickering;North York;Burlington;Halton")</f>
        <v/>
      </c>
      <c r="K18723">
        <f>IFERROR(__xludf.DUMMYFUNCTION("""COMPUTED_VALUE"""),716.3)</f>
        <v/>
      </c>
    </row>
    <row r="18724">
      <c r="J18724">
        <f>IFERROR(__xludf.DUMMYFUNCTION("""COMPUTED_VALUE"""),"Albany, New York, United States")</f>
        <v/>
      </c>
      <c r="K18724">
        <f>IFERROR(__xludf.DUMMYFUNCTION("""COMPUTED_VALUE"""),716.29)</f>
        <v/>
      </c>
    </row>
    <row r="18725">
      <c r="J18725">
        <f>IFERROR(__xludf.DUMMYFUNCTION("""COMPUTED_VALUE"""),"Chelyabinsk, Russia")</f>
        <v/>
      </c>
      <c r="K18725">
        <f>IFERROR(__xludf.DUMMYFUNCTION("""COMPUTED_VALUE"""),715.55)</f>
        <v/>
      </c>
    </row>
    <row r="18726">
      <c r="J18726">
        <f>IFERROR(__xludf.DUMMYFUNCTION("""COMPUTED_VALUE"""),"Pictou, New Glasgow, St. Ann's, Sydney, Mulgrave NS")</f>
        <v/>
      </c>
      <c r="K18726">
        <f>IFERROR(__xludf.DUMMYFUNCTION("""COMPUTED_VALUE"""),715.25)</f>
        <v/>
      </c>
    </row>
    <row r="18727">
      <c r="J18727">
        <f>IFERROR(__xludf.DUMMYFUNCTION("""COMPUTED_VALUE"""),"HQ")</f>
        <v/>
      </c>
      <c r="K18727">
        <f>IFERROR(__xludf.DUMMYFUNCTION("""COMPUTED_VALUE"""),714.76)</f>
        <v/>
      </c>
    </row>
    <row r="18728">
      <c r="J18728">
        <f>IFERROR(__xludf.DUMMYFUNCTION("""COMPUTED_VALUE"""),"Listowel, Ontario, Canada; London, Ontario, Canada")</f>
        <v/>
      </c>
      <c r="K18728">
        <f>IFERROR(__xludf.DUMMYFUNCTION("""COMPUTED_VALUE"""),714.74)</f>
        <v/>
      </c>
    </row>
    <row r="18729">
      <c r="J18729">
        <f>IFERROR(__xludf.DUMMYFUNCTION("""COMPUTED_VALUE"""),"Toronto, Ontario, Guelph, Ontario")</f>
        <v/>
      </c>
      <c r="K18729">
        <f>IFERROR(__xludf.DUMMYFUNCTION("""COMPUTED_VALUE"""),714.62)</f>
        <v/>
      </c>
    </row>
    <row r="18730">
      <c r="J18730">
        <f>IFERROR(__xludf.DUMMYFUNCTION("""COMPUTED_VALUE"""),"Montréal,(Quebec)")</f>
        <v/>
      </c>
      <c r="K18730">
        <f>IFERROR(__xludf.DUMMYFUNCTION("""COMPUTED_VALUE"""),714.379999999999)</f>
        <v/>
      </c>
    </row>
    <row r="18731">
      <c r="J18731">
        <f>IFERROR(__xludf.DUMMYFUNCTION("""COMPUTED_VALUE"""),"Îles de la Madeleine (Quebec) Canada")</f>
        <v/>
      </c>
      <c r="K18731">
        <f>IFERROR(__xludf.DUMMYFUNCTION("""COMPUTED_VALUE"""),713.18)</f>
        <v/>
      </c>
    </row>
    <row r="18732">
      <c r="J18732">
        <f>IFERROR(__xludf.DUMMYFUNCTION("""COMPUTED_VALUE"""),"Mingan, Quebec")</f>
        <v/>
      </c>
      <c r="K18732">
        <f>IFERROR(__xludf.DUMMYFUNCTION("""COMPUTED_VALUE"""),712.95)</f>
        <v/>
      </c>
    </row>
    <row r="18733">
      <c r="J18733">
        <f>IFERROR(__xludf.DUMMYFUNCTION("""COMPUTED_VALUE"""),"Williamsburg, United-States")</f>
        <v/>
      </c>
      <c r="K18733">
        <f>IFERROR(__xludf.DUMMYFUNCTION("""COMPUTED_VALUE"""),712.46)</f>
        <v/>
      </c>
    </row>
    <row r="18734">
      <c r="J18734">
        <f>IFERROR(__xludf.DUMMYFUNCTION("""COMPUTED_VALUE"""),"Toronto, Ontario, Camada")</f>
        <v/>
      </c>
      <c r="K18734">
        <f>IFERROR(__xludf.DUMMYFUNCTION("""COMPUTED_VALUE"""),712.17)</f>
        <v/>
      </c>
    </row>
    <row r="18735">
      <c r="J18735">
        <f>IFERROR(__xludf.DUMMYFUNCTION("""COMPUTED_VALUE"""),"Montreal and Trois-Rivières, Quebec")</f>
        <v/>
      </c>
      <c r="K18735">
        <f>IFERROR(__xludf.DUMMYFUNCTION("""COMPUTED_VALUE"""),711.81)</f>
        <v/>
      </c>
    </row>
    <row r="18736">
      <c r="J18736">
        <f>IFERROR(__xludf.DUMMYFUNCTION("""COMPUTED_VALUE"""),"Kingston, (Ontario)")</f>
        <v/>
      </c>
      <c r="K18736">
        <f>IFERROR(__xludf.DUMMYFUNCTION("""COMPUTED_VALUE"""),711)</f>
        <v/>
      </c>
    </row>
    <row r="18737">
      <c r="J18737">
        <f>IFERROR(__xludf.DUMMYFUNCTION("""COMPUTED_VALUE"""),"Edmonton, Alberta / Toronto and London, Ontario, Canada")</f>
        <v/>
      </c>
      <c r="K18737">
        <f>IFERROR(__xludf.DUMMYFUNCTION("""COMPUTED_VALUE"""),710.89)</f>
        <v/>
      </c>
    </row>
    <row r="18738">
      <c r="J18738">
        <f>IFERROR(__xludf.DUMMYFUNCTION("""COMPUTED_VALUE"""),"L'assomption (Quebec) Canada")</f>
        <v/>
      </c>
      <c r="K18738">
        <f>IFERROR(__xludf.DUMMYFUNCTION("""COMPUTED_VALUE"""),710.52)</f>
        <v/>
      </c>
    </row>
    <row r="18739">
      <c r="J18739">
        <f>IFERROR(__xludf.DUMMYFUNCTION("""COMPUTED_VALUE"""),"Stephenville, Newfoundland and Labrador, Canada; Channel-Port aux Basques, Newfoundland and Labrador, Canada; Corner Brook, Newfoundland and Labrador, Canada; Rocky Harbour, Newfoundland and Labrador, Canada")</f>
        <v/>
      </c>
      <c r="K18739">
        <f>IFERROR(__xludf.DUMMYFUNCTION("""COMPUTED_VALUE"""),710.51)</f>
        <v/>
      </c>
    </row>
    <row r="18740">
      <c r="J18740">
        <f>IFERROR(__xludf.DUMMYFUNCTION("""COMPUTED_VALUE"""),"Montreal / Saint-Hyacinthe / Saint-Jean-sur-Richelieu, Quebec, Canada")</f>
        <v/>
      </c>
      <c r="K18740">
        <f>IFERROR(__xludf.DUMMYFUNCTION("""COMPUTED_VALUE"""),710.49)</f>
        <v/>
      </c>
    </row>
    <row r="18741">
      <c r="J18741">
        <f>IFERROR(__xludf.DUMMYFUNCTION("""COMPUTED_VALUE"""),"Port Blandford, Newfoundland and Labrador, Canada")</f>
        <v/>
      </c>
      <c r="K18741">
        <f>IFERROR(__xludf.DUMMYFUNCTION("""COMPUTED_VALUE"""),710.38)</f>
        <v/>
      </c>
    </row>
    <row r="18742">
      <c r="J18742">
        <f>IFERROR(__xludf.DUMMYFUNCTION("""COMPUTED_VALUE"""),"Toronto and Megantic")</f>
        <v/>
      </c>
      <c r="K18742">
        <f>IFERROR(__xludf.DUMMYFUNCTION("""COMPUTED_VALUE"""),710.18)</f>
        <v/>
      </c>
    </row>
    <row r="18743">
      <c r="J18743">
        <f>IFERROR(__xludf.DUMMYFUNCTION("""COMPUTED_VALUE"""),"Gatineau, Quebec, Canada; Lachenaie, Quebec, Canada")</f>
        <v/>
      </c>
      <c r="K18743">
        <f>IFERROR(__xludf.DUMMYFUNCTION("""COMPUTED_VALUE"""),710.06)</f>
        <v/>
      </c>
    </row>
    <row r="18744">
      <c r="J18744">
        <f>IFERROR(__xludf.DUMMYFUNCTION("""COMPUTED_VALUE"""),"Vaudreuil-Dorion, Quebec, Canada; Montréal, Quebec, Canada; Saint-Hyacinthe, Quebec, Canada")</f>
        <v/>
      </c>
      <c r="K18744">
        <f>IFERROR(__xludf.DUMMYFUNCTION("""COMPUTED_VALUE"""),709.28)</f>
        <v/>
      </c>
    </row>
    <row r="18745">
      <c r="J18745">
        <f>IFERROR(__xludf.DUMMYFUNCTION("""COMPUTED_VALUE"""),"Prince Rupert, B.C.")</f>
        <v/>
      </c>
      <c r="K18745">
        <f>IFERROR(__xludf.DUMMYFUNCTION("""COMPUTED_VALUE"""),709)</f>
        <v/>
      </c>
    </row>
    <row r="18746">
      <c r="J18746">
        <f>IFERROR(__xludf.DUMMYFUNCTION("""COMPUTED_VALUE"""),"Brackley Beach, PE")</f>
        <v/>
      </c>
      <c r="K18746">
        <f>IFERROR(__xludf.DUMMYFUNCTION("""COMPUTED_VALUE"""),708.71)</f>
        <v/>
      </c>
    </row>
    <row r="18747">
      <c r="J18747">
        <f>IFERROR(__xludf.DUMMYFUNCTION("""COMPUTED_VALUE"""),"Collingwood")</f>
        <v/>
      </c>
      <c r="K18747">
        <f>IFERROR(__xludf.DUMMYFUNCTION("""COMPUTED_VALUE"""),708.46)</f>
        <v/>
      </c>
    </row>
    <row r="18748">
      <c r="J18748">
        <f>IFERROR(__xludf.DUMMYFUNCTION("""COMPUTED_VALUE"""),"Woodstock, Prince Edward Island, Canada")</f>
        <v/>
      </c>
      <c r="K18748">
        <f>IFERROR(__xludf.DUMMYFUNCTION("""COMPUTED_VALUE"""),708.09)</f>
        <v/>
      </c>
    </row>
    <row r="18749">
      <c r="J18749">
        <f>IFERROR(__xludf.DUMMYFUNCTION("""COMPUTED_VALUE"""),"Toronto ON, Montreal QC")</f>
        <v/>
      </c>
      <c r="K18749">
        <f>IFERROR(__xludf.DUMMYFUNCTION("""COMPUTED_VALUE"""),707.88)</f>
        <v/>
      </c>
    </row>
    <row r="18750">
      <c r="J18750">
        <f>IFERROR(__xludf.DUMMYFUNCTION("""COMPUTED_VALUE"""),"Sainte-Julie, Quebec, Canada")</f>
        <v/>
      </c>
      <c r="K18750">
        <f>IFERROR(__xludf.DUMMYFUNCTION("""COMPUTED_VALUE"""),707.86)</f>
        <v/>
      </c>
    </row>
    <row r="18751">
      <c r="J18751">
        <f>IFERROR(__xludf.DUMMYFUNCTION("""COMPUTED_VALUE"""),"Boucherville, Québec, Canada")</f>
        <v/>
      </c>
      <c r="K18751">
        <f>IFERROR(__xludf.DUMMYFUNCTION("""COMPUTED_VALUE"""),707.62)</f>
        <v/>
      </c>
    </row>
    <row r="18752">
      <c r="J18752">
        <f>IFERROR(__xludf.DUMMYFUNCTION("""COMPUTED_VALUE"""),"Oakville, Ontario, Canada; Hamilton, Ontario, Canada")</f>
        <v/>
      </c>
      <c r="K18752">
        <f>IFERROR(__xludf.DUMMYFUNCTION("""COMPUTED_VALUE"""),707.58)</f>
        <v/>
      </c>
    </row>
    <row r="18753">
      <c r="J18753">
        <f>IFERROR(__xludf.DUMMYFUNCTION("""COMPUTED_VALUE"""),"Dolbeau-Mistassini, Roberval, Québec")</f>
        <v/>
      </c>
      <c r="K18753">
        <f>IFERROR(__xludf.DUMMYFUNCTION("""COMPUTED_VALUE"""),706.56)</f>
        <v/>
      </c>
    </row>
    <row r="18754">
      <c r="J18754">
        <f>IFERROR(__xludf.DUMMYFUNCTION("""COMPUTED_VALUE"""),"Québec, Rimouski, Chicoutimi")</f>
        <v/>
      </c>
      <c r="K18754">
        <f>IFERROR(__xludf.DUMMYFUNCTION("""COMPUTED_VALUE"""),706.54)</f>
        <v/>
      </c>
    </row>
    <row r="18755">
      <c r="J18755">
        <f>IFERROR(__xludf.DUMMYFUNCTION("""COMPUTED_VALUE"""),"Kingston (Ontario)")</f>
        <v/>
      </c>
      <c r="K18755">
        <f>IFERROR(__xludf.DUMMYFUNCTION("""COMPUTED_VALUE"""),706.349999999999)</f>
        <v/>
      </c>
    </row>
    <row r="18756">
      <c r="J18756">
        <f>IFERROR(__xludf.DUMMYFUNCTION("""COMPUTED_VALUE"""),"Lingan Road, Nova Scotia, Canada")</f>
        <v/>
      </c>
      <c r="K18756">
        <f>IFERROR(__xludf.DUMMYFUNCTION("""COMPUTED_VALUE"""),706.09)</f>
        <v/>
      </c>
    </row>
    <row r="18757">
      <c r="J18757">
        <f>IFERROR(__xludf.DUMMYFUNCTION("""COMPUTED_VALUE"""),"Trieste")</f>
        <v/>
      </c>
      <c r="K18757">
        <f>IFERROR(__xludf.DUMMYFUNCTION("""COMPUTED_VALUE"""),706)</f>
        <v/>
      </c>
    </row>
    <row r="18758">
      <c r="J18758">
        <f>IFERROR(__xludf.DUMMYFUNCTION("""COMPUTED_VALUE"""),"Cochrane, Ontario")</f>
        <v/>
      </c>
      <c r="K18758">
        <f>IFERROR(__xludf.DUMMYFUNCTION("""COMPUTED_VALUE"""),705.88)</f>
        <v/>
      </c>
    </row>
    <row r="18759">
      <c r="J18759">
        <f>IFERROR(__xludf.DUMMYFUNCTION("""COMPUTED_VALUE"""),"Rimouski, Rivière-du-Loup, Québec, Victoriaville, Roberval")</f>
        <v/>
      </c>
      <c r="K18759">
        <f>IFERROR(__xludf.DUMMYFUNCTION("""COMPUTED_VALUE"""),705.45)</f>
        <v/>
      </c>
    </row>
    <row r="18760">
      <c r="J18760">
        <f>IFERROR(__xludf.DUMMYFUNCTION("""COMPUTED_VALUE"""),"Niagara&amp;Toronto, Ontario")</f>
        <v/>
      </c>
      <c r="K18760">
        <f>IFERROR(__xludf.DUMMYFUNCTION("""COMPUTED_VALUE"""),705.42)</f>
        <v/>
      </c>
    </row>
    <row r="18761">
      <c r="J18761">
        <f>IFERROR(__xludf.DUMMYFUNCTION("""COMPUTED_VALUE"""),"Montreal, Quebec, Canada; Abbotsford, British Columbia, Canada; Victoria, British Columbia, Canada")</f>
        <v/>
      </c>
      <c r="K18761">
        <f>IFERROR(__xludf.DUMMYFUNCTION("""COMPUTED_VALUE"""),705.2)</f>
        <v/>
      </c>
    </row>
    <row r="18762">
      <c r="J18762">
        <f>IFERROR(__xludf.DUMMYFUNCTION("""COMPUTED_VALUE"""),"Ottawa, Quebec, Canada")</f>
        <v/>
      </c>
      <c r="K18762">
        <f>IFERROR(__xludf.DUMMYFUNCTION("""COMPUTED_VALUE"""),705.11)</f>
        <v/>
      </c>
    </row>
    <row r="18763">
      <c r="J18763">
        <f>IFERROR(__xludf.DUMMYFUNCTION("""COMPUTED_VALUE"""),"Montreal,Canada")</f>
        <v/>
      </c>
      <c r="K18763">
        <f>IFERROR(__xludf.DUMMYFUNCTION("""COMPUTED_VALUE"""),705.03)</f>
        <v/>
      </c>
    </row>
    <row r="18764">
      <c r="J18764">
        <f>IFERROR(__xludf.DUMMYFUNCTION("""COMPUTED_VALUE"""),"Longueuil, Quebec")</f>
        <v/>
      </c>
      <c r="K18764">
        <f>IFERROR(__xludf.DUMMYFUNCTION("""COMPUTED_VALUE"""),705)</f>
        <v/>
      </c>
    </row>
    <row r="18765">
      <c r="J18765">
        <f>IFERROR(__xludf.DUMMYFUNCTION("""COMPUTED_VALUE"""),"Toronto, Ontario, Canada/ London, Ontario, Canada")</f>
        <v/>
      </c>
      <c r="K18765">
        <f>IFERROR(__xludf.DUMMYFUNCTION("""COMPUTED_VALUE"""),704.63)</f>
        <v/>
      </c>
    </row>
    <row r="18766">
      <c r="J18766">
        <f>IFERROR(__xludf.DUMMYFUNCTION("""COMPUTED_VALUE"""),"Ottawa-Barrie-Toronto")</f>
        <v/>
      </c>
      <c r="K18766">
        <f>IFERROR(__xludf.DUMMYFUNCTION("""COMPUTED_VALUE"""),704.21)</f>
        <v/>
      </c>
    </row>
    <row r="18767">
      <c r="J18767">
        <f>IFERROR(__xludf.DUMMYFUNCTION("""COMPUTED_VALUE"""),"Verville Sur mer")</f>
        <v/>
      </c>
      <c r="K18767">
        <f>IFERROR(__xludf.DUMMYFUNCTION("""COMPUTED_VALUE"""),702.87)</f>
        <v/>
      </c>
    </row>
    <row r="18768">
      <c r="J18768">
        <f>IFERROR(__xludf.DUMMYFUNCTION("""COMPUTED_VALUE"""),"Charlottetown, Prince Edward Island, Canada; Summerside, Prince Edward Island, Canada; Halifax, Nova Scotia, Canada")</f>
        <v/>
      </c>
      <c r="K18768">
        <f>IFERROR(__xludf.DUMMYFUNCTION("""COMPUTED_VALUE"""),702.56)</f>
        <v/>
      </c>
    </row>
    <row r="18769">
      <c r="J18769">
        <f>IFERROR(__xludf.DUMMYFUNCTION("""COMPUTED_VALUE"""),"Saint-Eustache, Quebec , Canada")</f>
        <v/>
      </c>
      <c r="K18769">
        <f>IFERROR(__xludf.DUMMYFUNCTION("""COMPUTED_VALUE"""),702.37)</f>
        <v/>
      </c>
    </row>
    <row r="18770">
      <c r="J18770">
        <f>IFERROR(__xludf.DUMMYFUNCTION("""COMPUTED_VALUE"""),"Orford, (Quebec)")</f>
        <v/>
      </c>
      <c r="K18770">
        <f>IFERROR(__xludf.DUMMYFUNCTION("""COMPUTED_VALUE"""),701.92)</f>
        <v/>
      </c>
    </row>
    <row r="18771">
      <c r="J18771">
        <f>IFERROR(__xludf.DUMMYFUNCTION("""COMPUTED_VALUE"""),"Toronto, ON, Waterloo, ON")</f>
        <v/>
      </c>
      <c r="K18771">
        <f>IFERROR(__xludf.DUMMYFUNCTION("""COMPUTED_VALUE"""),701.91)</f>
        <v/>
      </c>
    </row>
    <row r="18772">
      <c r="J18772">
        <f>IFERROR(__xludf.DUMMYFUNCTION("""COMPUTED_VALUE"""),"Comox")</f>
        <v/>
      </c>
      <c r="K18772">
        <f>IFERROR(__xludf.DUMMYFUNCTION("""COMPUTED_VALUE"""),701.83)</f>
        <v/>
      </c>
    </row>
    <row r="18773">
      <c r="J18773">
        <f>IFERROR(__xludf.DUMMYFUNCTION("""COMPUTED_VALUE"""),"Windsor, Kitchener et Waterloo")</f>
        <v/>
      </c>
      <c r="K18773">
        <f>IFERROR(__xludf.DUMMYFUNCTION("""COMPUTED_VALUE"""),701.57)</f>
        <v/>
      </c>
    </row>
    <row r="18774">
      <c r="J18774">
        <f>IFERROR(__xludf.DUMMYFUNCTION("""COMPUTED_VALUE"""),"Montréal (Quebec) Canada; Trois-Rivières (Quebec) Canada; Québec (Quebec) Canada")</f>
        <v/>
      </c>
      <c r="K18774">
        <f>IFERROR(__xludf.DUMMYFUNCTION("""COMPUTED_VALUE"""),701.55)</f>
        <v/>
      </c>
    </row>
    <row r="18775">
      <c r="J18775">
        <f>IFERROR(__xludf.DUMMYFUNCTION("""COMPUTED_VALUE"""),"Kingston, Trenton, Ontario, Canada")</f>
        <v/>
      </c>
      <c r="K18775">
        <f>IFERROR(__xludf.DUMMYFUNCTION("""COMPUTED_VALUE"""),701.5)</f>
        <v/>
      </c>
    </row>
    <row r="18776">
      <c r="J18776">
        <f>IFERROR(__xludf.DUMMYFUNCTION("""COMPUTED_VALUE"""),"Edmonton,  Canada")</f>
        <v/>
      </c>
      <c r="K18776">
        <f>IFERROR(__xludf.DUMMYFUNCTION("""COMPUTED_VALUE"""),699.94)</f>
        <v/>
      </c>
    </row>
    <row r="18777">
      <c r="J18777">
        <f>IFERROR(__xludf.DUMMYFUNCTION("""COMPUTED_VALUE"""),"Darmstadt, Germany")</f>
        <v/>
      </c>
      <c r="K18777">
        <f>IFERROR(__xludf.DUMMYFUNCTION("""COMPUTED_VALUE"""),699.44)</f>
        <v/>
      </c>
    </row>
    <row r="18778">
      <c r="J18778">
        <f>IFERROR(__xludf.DUMMYFUNCTION("""COMPUTED_VALUE"""),"Charlottetown, Prince Edward Island / Moncton and Chipman, New Brunswick")</f>
        <v/>
      </c>
      <c r="K18778">
        <f>IFERROR(__xludf.DUMMYFUNCTION("""COMPUTED_VALUE"""),699.32)</f>
        <v/>
      </c>
    </row>
    <row r="18779">
      <c r="J18779">
        <f>IFERROR(__xludf.DUMMYFUNCTION("""COMPUTED_VALUE"""),"Trois-Rivières, Roberval, Montréal")</f>
        <v/>
      </c>
      <c r="K18779">
        <f>IFERROR(__xludf.DUMMYFUNCTION("""COMPUTED_VALUE"""),699.3)</f>
        <v/>
      </c>
    </row>
    <row r="18780">
      <c r="J18780">
        <f>IFERROR(__xludf.DUMMYFUNCTION("""COMPUTED_VALUE"""),"Michigan, United States")</f>
        <v/>
      </c>
      <c r="K18780">
        <f>IFERROR(__xludf.DUMMYFUNCTION("""COMPUTED_VALUE"""),699.18)</f>
        <v/>
      </c>
    </row>
    <row r="18781">
      <c r="J18781">
        <f>IFERROR(__xludf.DUMMYFUNCTION("""COMPUTED_VALUE"""),"Lévis - Québec - Lévis - Ottawa")</f>
        <v/>
      </c>
      <c r="K18781">
        <f>IFERROR(__xludf.DUMMYFUNCTION("""COMPUTED_VALUE"""),698.93)</f>
        <v/>
      </c>
    </row>
    <row r="18782">
      <c r="J18782">
        <f>IFERROR(__xludf.DUMMYFUNCTION("""COMPUTED_VALUE"""),"Bismark, ND")</f>
        <v/>
      </c>
      <c r="K18782">
        <f>IFERROR(__xludf.DUMMYFUNCTION("""COMPUTED_VALUE"""),698.01)</f>
        <v/>
      </c>
    </row>
    <row r="18783">
      <c r="J18783">
        <f>IFERROR(__xludf.DUMMYFUNCTION("""COMPUTED_VALUE"""),"Ghent, Belgium")</f>
        <v/>
      </c>
      <c r="K18783">
        <f>IFERROR(__xludf.DUMMYFUNCTION("""COMPUTED_VALUE"""),698)</f>
        <v/>
      </c>
    </row>
    <row r="18784">
      <c r="J18784">
        <f>IFERROR(__xludf.DUMMYFUNCTION("""COMPUTED_VALUE"""),"St-Jean sur Richelieu (Quebec) Canada")</f>
        <v/>
      </c>
      <c r="K18784">
        <f>IFERROR(__xludf.DUMMYFUNCTION("""COMPUTED_VALUE"""),697.61)</f>
        <v/>
      </c>
    </row>
    <row r="18785">
      <c r="J18785">
        <f>IFERROR(__xludf.DUMMYFUNCTION("""COMPUTED_VALUE"""),"Vaudreil (Quebec) Canada")</f>
        <v/>
      </c>
      <c r="K18785">
        <f>IFERROR(__xludf.DUMMYFUNCTION("""COMPUTED_VALUE"""),697.56)</f>
        <v/>
      </c>
    </row>
    <row r="18786">
      <c r="J18786">
        <f>IFERROR(__xludf.DUMMYFUNCTION("""COMPUTED_VALUE"""),"Edmonton, Ontario, Canada")</f>
        <v/>
      </c>
      <c r="K18786">
        <f>IFERROR(__xludf.DUMMYFUNCTION("""COMPUTED_VALUE"""),697.51)</f>
        <v/>
      </c>
    </row>
    <row r="18787">
      <c r="J18787">
        <f>IFERROR(__xludf.DUMMYFUNCTION("""COMPUTED_VALUE"""),"Grand Falls, NB Sainte-André, NB St.Leonard, NB Campbelton, NB Charlo, NB Belledune, NB Nigadoo, NB Beresford, NB Miramichi, NB")</f>
        <v/>
      </c>
      <c r="K18787">
        <f>IFERROR(__xludf.DUMMYFUNCTION("""COMPUTED_VALUE"""),697.48)</f>
        <v/>
      </c>
    </row>
    <row r="18788">
      <c r="J18788">
        <f>IFERROR(__xludf.DUMMYFUNCTION("""COMPUTED_VALUE"""),"Vantaa, Helsinki, Finland")</f>
        <v/>
      </c>
      <c r="K18788">
        <f>IFERROR(__xludf.DUMMYFUNCTION("""COMPUTED_VALUE"""),696.76)</f>
        <v/>
      </c>
    </row>
    <row r="18789">
      <c r="J18789">
        <f>IFERROR(__xludf.DUMMYFUNCTION("""COMPUTED_VALUE"""),"Thunder Nay, Ontario, Canada")</f>
        <v/>
      </c>
      <c r="K18789">
        <f>IFERROR(__xludf.DUMMYFUNCTION("""COMPUTED_VALUE"""),695.18)</f>
        <v/>
      </c>
    </row>
    <row r="18790">
      <c r="J18790">
        <f>IFERROR(__xludf.DUMMYFUNCTION("""COMPUTED_VALUE"""),"Bridgetown, BB")</f>
        <v/>
      </c>
      <c r="K18790">
        <f>IFERROR(__xludf.DUMMYFUNCTION("""COMPUTED_VALUE"""),694.87)</f>
        <v/>
      </c>
    </row>
    <row r="18791">
      <c r="J18791">
        <f>IFERROR(__xludf.DUMMYFUNCTION("""COMPUTED_VALUE"""),"Keene, Ontario")</f>
        <v/>
      </c>
      <c r="K18791">
        <f>IFERROR(__xludf.DUMMYFUNCTION("""COMPUTED_VALUE"""),694.86)</f>
        <v/>
      </c>
    </row>
    <row r="18792">
      <c r="J18792">
        <f>IFERROR(__xludf.DUMMYFUNCTION("""COMPUTED_VALUE"""),"Amman, Jordan   Riyadh, Saudi Arabia")</f>
        <v/>
      </c>
      <c r="K18792">
        <f>IFERROR(__xludf.DUMMYFUNCTION("""COMPUTED_VALUE"""),694.56)</f>
        <v/>
      </c>
    </row>
    <row r="18793">
      <c r="J18793">
        <f>IFERROR(__xludf.DUMMYFUNCTION("""COMPUTED_VALUE"""),"Shediac, New Brunswick, Canada; Fredericton, New Brunswick, Canada; Miramichi, New Brunswick, Canada")</f>
        <v/>
      </c>
      <c r="K18793">
        <f>IFERROR(__xludf.DUMMYFUNCTION("""COMPUTED_VALUE"""),694.32)</f>
        <v/>
      </c>
    </row>
    <row r="18794">
      <c r="J18794">
        <f>IFERROR(__xludf.DUMMYFUNCTION("""COMPUTED_VALUE"""),"Joliette, QC / Ottawa, ON")</f>
        <v/>
      </c>
      <c r="K18794">
        <f>IFERROR(__xludf.DUMMYFUNCTION("""COMPUTED_VALUE"""),694.05)</f>
        <v/>
      </c>
    </row>
    <row r="18795">
      <c r="J18795">
        <f>IFERROR(__xludf.DUMMYFUNCTION("""COMPUTED_VALUE"""),"Estes Park (Colorado) United States of America")</f>
        <v/>
      </c>
      <c r="K18795">
        <f>IFERROR(__xludf.DUMMYFUNCTION("""COMPUTED_VALUE"""),694)</f>
        <v/>
      </c>
    </row>
    <row r="18796">
      <c r="J18796">
        <f>IFERROR(__xludf.DUMMYFUNCTION("""COMPUTED_VALUE"""),"Windsor, ON / Ottawa, ON")</f>
        <v/>
      </c>
      <c r="K18796">
        <f>IFERROR(__xludf.DUMMYFUNCTION("""COMPUTED_VALUE"""),693.93)</f>
        <v/>
      </c>
    </row>
    <row r="18797">
      <c r="J18797">
        <f>IFERROR(__xludf.DUMMYFUNCTION("""COMPUTED_VALUE"""),"Shawinigan,
QC")</f>
        <v/>
      </c>
      <c r="K18797">
        <f>IFERROR(__xludf.DUMMYFUNCTION("""COMPUTED_VALUE"""),693.92)</f>
        <v/>
      </c>
    </row>
    <row r="18798">
      <c r="J18798">
        <f>IFERROR(__xludf.DUMMYFUNCTION("""COMPUTED_VALUE"""),"London, Ontario. Canada")</f>
        <v/>
      </c>
      <c r="K18798">
        <f>IFERROR(__xludf.DUMMYFUNCTION("""COMPUTED_VALUE"""),693.65)</f>
        <v/>
      </c>
    </row>
    <row r="18799">
      <c r="J18799">
        <f>IFERROR(__xludf.DUMMYFUNCTION("""COMPUTED_VALUE"""),"Ottawa, Ontario Via personal vehicle")</f>
        <v/>
      </c>
      <c r="K18799">
        <f>IFERROR(__xludf.DUMMYFUNCTION("""COMPUTED_VALUE"""),693.16)</f>
        <v/>
      </c>
    </row>
    <row r="18800">
      <c r="J18800">
        <f>IFERROR(__xludf.DUMMYFUNCTION("""COMPUTED_VALUE"""),"Montréal, Québec,Canada")</f>
        <v/>
      </c>
      <c r="K18800">
        <f>IFERROR(__xludf.DUMMYFUNCTION("""COMPUTED_VALUE"""),693.06)</f>
        <v/>
      </c>
    </row>
    <row r="18801">
      <c r="J18801">
        <f>IFERROR(__xludf.DUMMYFUNCTION("""COMPUTED_VALUE"""),"Saint Jean Sur Richelieu, Quebec, Canada")</f>
        <v/>
      </c>
      <c r="K18801">
        <f>IFERROR(__xludf.DUMMYFUNCTION("""COMPUTED_VALUE"""),692.54)</f>
        <v/>
      </c>
    </row>
    <row r="18802">
      <c r="J18802">
        <f>IFERROR(__xludf.DUMMYFUNCTION("""COMPUTED_VALUE"""),"Regina, Saskatchewan; Estevan, Saskatchewan")</f>
        <v/>
      </c>
      <c r="K18802">
        <f>IFERROR(__xludf.DUMMYFUNCTION("""COMPUTED_VALUE"""),691.76)</f>
        <v/>
      </c>
    </row>
    <row r="18803">
      <c r="J18803">
        <f>IFERROR(__xludf.DUMMYFUNCTION("""COMPUTED_VALUE"""),"Rivière-du-Loup, Québec, Victoriaville, Drummondville, Montréal")</f>
        <v/>
      </c>
      <c r="K18803">
        <f>IFERROR(__xludf.DUMMYFUNCTION("""COMPUTED_VALUE"""),691.72)</f>
        <v/>
      </c>
    </row>
    <row r="18804">
      <c r="J18804">
        <f>IFERROR(__xludf.DUMMYFUNCTION("""COMPUTED_VALUE"""),"Grasslands National Parks, (Val Marie) Saskatchewan")</f>
        <v/>
      </c>
      <c r="K18804">
        <f>IFERROR(__xludf.DUMMYFUNCTION("""COMPUTED_VALUE"""),691.57)</f>
        <v/>
      </c>
    </row>
    <row r="18805">
      <c r="J18805">
        <f>IFERROR(__xludf.DUMMYFUNCTION("""COMPUTED_VALUE"""),"La Pêche, Quebec, Canada")</f>
        <v/>
      </c>
      <c r="K18805">
        <f>IFERROR(__xludf.DUMMYFUNCTION("""COMPUTED_VALUE"""),691.32)</f>
        <v/>
      </c>
    </row>
    <row r="18806">
      <c r="J18806">
        <f>IFERROR(__xludf.DUMMYFUNCTION("""COMPUTED_VALUE"""),"San Diego CA")</f>
        <v/>
      </c>
      <c r="K18806">
        <f>IFERROR(__xludf.DUMMYFUNCTION("""COMPUTED_VALUE"""),691.24)</f>
        <v/>
      </c>
    </row>
    <row r="18807">
      <c r="J18807">
        <f>IFERROR(__xludf.DUMMYFUNCTION("""COMPUTED_VALUE"""),"Montréal, Quebec, Canada; Sept-Îles, Quebec, Canada; Saint-Paulin, Quebec, Canada; Québec, Quebec, Canada")</f>
        <v/>
      </c>
      <c r="K18807">
        <f>IFERROR(__xludf.DUMMYFUNCTION("""COMPUTED_VALUE"""),690.93)</f>
        <v/>
      </c>
    </row>
    <row r="18808">
      <c r="J18808">
        <f>IFERROR(__xludf.DUMMYFUNCTION("""COMPUTED_VALUE"""),"Guadalajara, Jalisco")</f>
        <v/>
      </c>
      <c r="K18808">
        <f>IFERROR(__xludf.DUMMYFUNCTION("""COMPUTED_VALUE"""),690.69)</f>
        <v/>
      </c>
    </row>
    <row r="18809">
      <c r="J18809">
        <f>IFERROR(__xludf.DUMMYFUNCTION("""COMPUTED_VALUE"""),"Regina, Saskatchewan and Campbell River, British Columbia")</f>
        <v/>
      </c>
      <c r="K18809">
        <f>IFERROR(__xludf.DUMMYFUNCTION("""COMPUTED_VALUE"""),690.58)</f>
        <v/>
      </c>
    </row>
    <row r="18810">
      <c r="J18810">
        <f>IFERROR(__xludf.DUMMYFUNCTION("""COMPUTED_VALUE"""),"Toronto (Ontario) Canada / Trenton (Ontario) Canada")</f>
        <v/>
      </c>
      <c r="K18810">
        <f>IFERROR(__xludf.DUMMYFUNCTION("""COMPUTED_VALUE"""),689.92)</f>
        <v/>
      </c>
    </row>
    <row r="18811">
      <c r="J18811">
        <f>IFERROR(__xludf.DUMMYFUNCTION("""COMPUTED_VALUE"""),"Livingstone, Zambia")</f>
        <v/>
      </c>
      <c r="K18811">
        <f>IFERROR(__xludf.DUMMYFUNCTION("""COMPUTED_VALUE"""),689.27)</f>
        <v/>
      </c>
    </row>
    <row r="18812">
      <c r="J18812">
        <f>IFERROR(__xludf.DUMMYFUNCTION("""COMPUTED_VALUE"""),"Moncton &amp; Fredricton, NB")</f>
        <v/>
      </c>
      <c r="K18812">
        <f>IFERROR(__xludf.DUMMYFUNCTION("""COMPUTED_VALUE"""),689.22)</f>
        <v/>
      </c>
    </row>
    <row r="18813">
      <c r="J18813">
        <f>IFERROR(__xludf.DUMMYFUNCTION("""COMPUTED_VALUE"""),"Montreal , Quebec")</f>
        <v/>
      </c>
      <c r="K18813">
        <f>IFERROR(__xludf.DUMMYFUNCTION("""COMPUTED_VALUE"""),689.05)</f>
        <v/>
      </c>
    </row>
    <row r="18814">
      <c r="J18814">
        <f>IFERROR(__xludf.DUMMYFUNCTION("""COMPUTED_VALUE"""),"Borden / Meaford ON")</f>
        <v/>
      </c>
      <c r="K18814">
        <f>IFERROR(__xludf.DUMMYFUNCTION("""COMPUTED_VALUE"""),688.46)</f>
        <v/>
      </c>
    </row>
    <row r="18815">
      <c r="J18815">
        <f>IFERROR(__xludf.DUMMYFUNCTION("""COMPUTED_VALUE"""),"La Pocatière, Québec")</f>
        <v/>
      </c>
      <c r="K18815">
        <f>IFERROR(__xludf.DUMMYFUNCTION("""COMPUTED_VALUE"""),688.12)</f>
        <v/>
      </c>
    </row>
    <row r="18816">
      <c r="J18816">
        <f>IFERROR(__xludf.DUMMYFUNCTION("""COMPUTED_VALUE"""),"Cornwall, Ontario, Canada; Montréal, Quebec, Canada")</f>
        <v/>
      </c>
      <c r="K18816">
        <f>IFERROR(__xludf.DUMMYFUNCTION("""COMPUTED_VALUE"""),687.97)</f>
        <v/>
      </c>
    </row>
    <row r="18817">
      <c r="J18817">
        <f>IFERROR(__xludf.DUMMYFUNCTION("""COMPUTED_VALUE"""),"Montreal, Quebec, Canada / Toronto, Ontario, Canada / Prince Edward County, Ontario, Canada")</f>
        <v/>
      </c>
      <c r="K18817">
        <f>IFERROR(__xludf.DUMMYFUNCTION("""COMPUTED_VALUE"""),687.73)</f>
        <v/>
      </c>
    </row>
    <row r="18818">
      <c r="J18818">
        <f>IFERROR(__xludf.DUMMYFUNCTION("""COMPUTED_VALUE"""),"Kingston and Washington")</f>
        <v/>
      </c>
      <c r="K18818">
        <f>IFERROR(__xludf.DUMMYFUNCTION("""COMPUTED_VALUE"""),687.64)</f>
        <v/>
      </c>
    </row>
    <row r="18819">
      <c r="J18819">
        <f>IFERROR(__xludf.DUMMYFUNCTION("""COMPUTED_VALUE"""),"Victoria &amp; Port Hardy, British Columbia")</f>
        <v/>
      </c>
      <c r="K18819">
        <f>IFERROR(__xludf.DUMMYFUNCTION("""COMPUTED_VALUE"""),687.53)</f>
        <v/>
      </c>
    </row>
    <row r="18820">
      <c r="J18820">
        <f>IFERROR(__xludf.DUMMYFUNCTION("""COMPUTED_VALUE"""),"St. Andrews, New Brunswick, and Fredericton, New Brunswick")</f>
        <v/>
      </c>
      <c r="K18820">
        <f>IFERROR(__xludf.DUMMYFUNCTION("""COMPUTED_VALUE"""),686.69)</f>
        <v/>
      </c>
    </row>
    <row r="18821">
      <c r="J18821">
        <f>IFERROR(__xludf.DUMMYFUNCTION("""COMPUTED_VALUE"""),"Hemmingford")</f>
        <v/>
      </c>
      <c r="K18821">
        <f>IFERROR(__xludf.DUMMYFUNCTION("""COMPUTED_VALUE"""),686.55)</f>
        <v/>
      </c>
    </row>
    <row r="18822">
      <c r="J18822">
        <f>IFERROR(__xludf.DUMMYFUNCTION("""COMPUTED_VALUE"""),"Quebec City and Trois Rivières, Quebec, Canada")</f>
        <v/>
      </c>
      <c r="K18822">
        <f>IFERROR(__xludf.DUMMYFUNCTION("""COMPUTED_VALUE"""),686.48)</f>
        <v/>
      </c>
    </row>
    <row r="18823">
      <c r="J18823">
        <f>IFERROR(__xludf.DUMMYFUNCTION("""COMPUTED_VALUE"""),"Johnston, Ontario")</f>
        <v/>
      </c>
      <c r="K18823">
        <f>IFERROR(__xludf.DUMMYFUNCTION("""COMPUTED_VALUE"""),686.21)</f>
        <v/>
      </c>
    </row>
    <row r="18824">
      <c r="J18824">
        <f>IFERROR(__xludf.DUMMYFUNCTION("""COMPUTED_VALUE"""),"Fredericton, New Bruinswick, Canada")</f>
        <v/>
      </c>
      <c r="K18824">
        <f>IFERROR(__xludf.DUMMYFUNCTION("""COMPUTED_VALUE"""),686.09)</f>
        <v/>
      </c>
    </row>
    <row r="18825">
      <c r="J18825">
        <f>IFERROR(__xludf.DUMMYFUNCTION("""COMPUTED_VALUE"""),"Digby, Nova Scotia and Moncton, New Brunswick")</f>
        <v/>
      </c>
      <c r="K18825">
        <f>IFERROR(__xludf.DUMMYFUNCTION("""COMPUTED_VALUE"""),685.8)</f>
        <v/>
      </c>
    </row>
    <row r="18826">
      <c r="J18826">
        <f>IFERROR(__xludf.DUMMYFUNCTION("""COMPUTED_VALUE"""),"Montreal, QC, CAD")</f>
        <v/>
      </c>
      <c r="K18826">
        <f>IFERROR(__xludf.DUMMYFUNCTION("""COMPUTED_VALUE"""),685.78)</f>
        <v/>
      </c>
    </row>
    <row r="18827">
      <c r="J18827">
        <f>IFERROR(__xludf.DUMMYFUNCTION("""COMPUTED_VALUE"""),"Kingston, Ontario and Trenton, Ontario")</f>
        <v/>
      </c>
      <c r="K18827">
        <f>IFERROR(__xludf.DUMMYFUNCTION("""COMPUTED_VALUE"""),684.85)</f>
        <v/>
      </c>
    </row>
    <row r="18828">
      <c r="J18828">
        <f>IFERROR(__xludf.DUMMYFUNCTION("""COMPUTED_VALUE"""),"Rama (Orillia), Ontario")</f>
        <v/>
      </c>
      <c r="K18828">
        <f>IFERROR(__xludf.DUMMYFUNCTION("""COMPUTED_VALUE"""),684.7)</f>
        <v/>
      </c>
    </row>
    <row r="18829">
      <c r="J18829">
        <f>IFERROR(__xludf.DUMMYFUNCTION("""COMPUTED_VALUE"""),"Toronto, Ontario, Canada; Saskatoon, Saskatchewan, Canada; Regina, Saskatchewan, Canada; Winnipeg, Manitoba, Canada")</f>
        <v/>
      </c>
      <c r="K18829">
        <f>IFERROR(__xludf.DUMMYFUNCTION("""COMPUTED_VALUE"""),684.69)</f>
        <v/>
      </c>
    </row>
    <row r="18830">
      <c r="J18830">
        <f>IFERROR(__xludf.DUMMYFUNCTION("""COMPUTED_VALUE"""),"Sigonella, Italy")</f>
        <v/>
      </c>
      <c r="K18830">
        <f>IFERROR(__xludf.DUMMYFUNCTION("""COMPUTED_VALUE"""),684.56)</f>
        <v/>
      </c>
    </row>
    <row r="18831">
      <c r="J18831">
        <f>IFERROR(__xludf.DUMMYFUNCTION("""COMPUTED_VALUE"""),"Edmundston, Bathurst, Beresford, Atholville, St-Arthur, New Brunswick")</f>
        <v/>
      </c>
      <c r="K18831">
        <f>IFERROR(__xludf.DUMMYFUNCTION("""COMPUTED_VALUE"""),684.48)</f>
        <v/>
      </c>
    </row>
    <row r="18832">
      <c r="J18832">
        <f>IFERROR(__xludf.DUMMYFUNCTION("""COMPUTED_VALUE"""),"Ottawa, ON - Montreal (Laval), QC / Montreal (Laval), QC - Ottawa, ON")</f>
        <v/>
      </c>
      <c r="K18832">
        <f>IFERROR(__xludf.DUMMYFUNCTION("""COMPUTED_VALUE"""),684.43)</f>
        <v/>
      </c>
    </row>
    <row r="18833">
      <c r="J18833">
        <f>IFERROR(__xludf.DUMMYFUNCTION("""COMPUTED_VALUE"""),"Kitchener/Waterloo")</f>
        <v/>
      </c>
      <c r="K18833">
        <f>IFERROR(__xludf.DUMMYFUNCTION("""COMPUTED_VALUE"""),684.14)</f>
        <v/>
      </c>
    </row>
    <row r="18834">
      <c r="J18834">
        <f>IFERROR(__xludf.DUMMYFUNCTION("""COMPUTED_VALUE"""),"Mississauga, London, Windsor and Missisauga, Ontario, Canada")</f>
        <v/>
      </c>
      <c r="K18834">
        <f>IFERROR(__xludf.DUMMYFUNCTION("""COMPUTED_VALUE"""),684)</f>
        <v/>
      </c>
    </row>
    <row r="18835">
      <c r="J18835">
        <f>IFERROR(__xludf.DUMMYFUNCTION("""COMPUTED_VALUE"""),"Pointe Claire, QC")</f>
        <v/>
      </c>
      <c r="K18835">
        <f>IFERROR(__xludf.DUMMYFUNCTION("""COMPUTED_VALUE"""),683.89)</f>
        <v/>
      </c>
    </row>
    <row r="18836">
      <c r="J18836">
        <f>IFERROR(__xludf.DUMMYFUNCTION("""COMPUTED_VALUE"""),"Summerside; Charlottetown, Prince Edward Island, Canada")</f>
        <v/>
      </c>
      <c r="K18836">
        <f>IFERROR(__xludf.DUMMYFUNCTION("""COMPUTED_VALUE"""),683.19)</f>
        <v/>
      </c>
    </row>
    <row r="18837">
      <c r="J18837">
        <f>IFERROR(__xludf.DUMMYFUNCTION("""COMPUTED_VALUE"""),"Toronto Via Private Car")</f>
        <v/>
      </c>
      <c r="K18837">
        <f>IFERROR(__xludf.DUMMYFUNCTION("""COMPUTED_VALUE"""),682.85)</f>
        <v/>
      </c>
    </row>
    <row r="18838">
      <c r="J18838">
        <f>IFERROR(__xludf.DUMMYFUNCTION("""COMPUTED_VALUE"""),"Quebec, Trois-Rivières")</f>
        <v/>
      </c>
      <c r="K18838">
        <f>IFERROR(__xludf.DUMMYFUNCTION("""COMPUTED_VALUE"""),682.51)</f>
        <v/>
      </c>
    </row>
    <row r="18839">
      <c r="J18839">
        <f>IFERROR(__xludf.DUMMYFUNCTION("""COMPUTED_VALUE"""),"Guelph, Ontario, Canada; Dunnville, Ontario, Canada")</f>
        <v/>
      </c>
      <c r="K18839">
        <f>IFERROR(__xludf.DUMMYFUNCTION("""COMPUTED_VALUE"""),682.25)</f>
        <v/>
      </c>
    </row>
    <row r="18840">
      <c r="J18840">
        <f>IFERROR(__xludf.DUMMYFUNCTION("""COMPUTED_VALUE"""),"Ottawa, Ontario, canada")</f>
        <v/>
      </c>
      <c r="K18840">
        <f>IFERROR(__xludf.DUMMYFUNCTION("""COMPUTED_VALUE"""),682.12)</f>
        <v/>
      </c>
    </row>
    <row r="18841">
      <c r="J18841">
        <f>IFERROR(__xludf.DUMMYFUNCTION("""COMPUTED_VALUE"""),"Magog, Orford, Montreal, Sherbrooke, Quebec (Canada)")</f>
        <v/>
      </c>
      <c r="K18841">
        <f>IFERROR(__xludf.DUMMYFUNCTION("""COMPUTED_VALUE"""),682)</f>
        <v/>
      </c>
    </row>
    <row r="18842">
      <c r="J18842">
        <f>IFERROR(__xludf.DUMMYFUNCTION("""COMPUTED_VALUE"""),"Cologne and Frankfurt, Germany")</f>
        <v/>
      </c>
      <c r="K18842">
        <f>IFERROR(__xludf.DUMMYFUNCTION("""COMPUTED_VALUE"""),681.7)</f>
        <v/>
      </c>
    </row>
    <row r="18843">
      <c r="J18843">
        <f>IFERROR(__xludf.DUMMYFUNCTION("""COMPUTED_VALUE"""),"Edmonton, Albeta")</f>
        <v/>
      </c>
      <c r="K18843">
        <f>IFERROR(__xludf.DUMMYFUNCTION("""COMPUTED_VALUE"""),681.469999999999)</f>
        <v/>
      </c>
    </row>
    <row r="18844">
      <c r="J18844">
        <f>IFERROR(__xludf.DUMMYFUNCTION("""COMPUTED_VALUE"""),"Toronto, Ontario, Canada / Prince Edward County, Ontario, Canada")</f>
        <v/>
      </c>
      <c r="K18844">
        <f>IFERROR(__xludf.DUMMYFUNCTION("""COMPUTED_VALUE"""),681.12)</f>
        <v/>
      </c>
    </row>
    <row r="18845">
      <c r="J18845">
        <f>IFERROR(__xludf.DUMMYFUNCTION("""COMPUTED_VALUE"""),"Eilat, Israel")</f>
        <v/>
      </c>
      <c r="K18845">
        <f>IFERROR(__xludf.DUMMYFUNCTION("""COMPUTED_VALUE"""),680.82)</f>
        <v/>
      </c>
    </row>
    <row r="18846">
      <c r="J18846">
        <f>IFERROR(__xludf.DUMMYFUNCTION("""COMPUTED_VALUE"""),"Barriere Lake, Quebec, Canada")</f>
        <v/>
      </c>
      <c r="K18846">
        <f>IFERROR(__xludf.DUMMYFUNCTION("""COMPUTED_VALUE"""),680.68)</f>
        <v/>
      </c>
    </row>
    <row r="18847">
      <c r="J18847">
        <f>IFERROR(__xludf.DUMMYFUNCTION("""COMPUTED_VALUE"""),"Ottawa, Ontario Via train Bus. Pack 6 tickets return using Bus. Pack 10 ticket")</f>
        <v/>
      </c>
      <c r="K18847">
        <f>IFERROR(__xludf.DUMMYFUNCTION("""COMPUTED_VALUE"""),680.49)</f>
        <v/>
      </c>
    </row>
    <row r="18848">
      <c r="J18848">
        <f>IFERROR(__xludf.DUMMYFUNCTION("""COMPUTED_VALUE"""),"Saguenay-Lac-Saint-Jean, Quebec, Canada")</f>
        <v/>
      </c>
      <c r="K18848">
        <f>IFERROR(__xludf.DUMMYFUNCTION("""COMPUTED_VALUE"""),680.36)</f>
        <v/>
      </c>
    </row>
    <row r="18849">
      <c r="J18849">
        <f>IFERROR(__xludf.DUMMYFUNCTION("""COMPUTED_VALUE"""),"Montreal en route to the New England Governors conference in Burlington, Vermont")</f>
        <v/>
      </c>
      <c r="K18849">
        <f>IFERROR(__xludf.DUMMYFUNCTION("""COMPUTED_VALUE"""),680.17)</f>
        <v/>
      </c>
    </row>
    <row r="18850">
      <c r="J18850">
        <f>IFERROR(__xludf.DUMMYFUNCTION("""COMPUTED_VALUE"""),"Toronto, Ontario, Waterloo, Ontario")</f>
        <v/>
      </c>
      <c r="K18850">
        <f>IFERROR(__xludf.DUMMYFUNCTION("""COMPUTED_VALUE"""),679.85)</f>
        <v/>
      </c>
    </row>
    <row r="18851">
      <c r="J18851">
        <f>IFERROR(__xludf.DUMMYFUNCTION("""COMPUTED_VALUE"""),"St Alexis-des-Monts")</f>
        <v/>
      </c>
      <c r="K18851">
        <f>IFERROR(__xludf.DUMMYFUNCTION("""COMPUTED_VALUE"""),679.31)</f>
        <v/>
      </c>
    </row>
    <row r="18852">
      <c r="J18852">
        <f>IFERROR(__xludf.DUMMYFUNCTION("""COMPUTED_VALUE"""),"Shediac, New Brunswick, Canada; Bathurst, New Brunswick, Canada; Miramichi, New Brunswick, Canada")</f>
        <v/>
      </c>
      <c r="K18852">
        <f>IFERROR(__xludf.DUMMYFUNCTION("""COMPUTED_VALUE"""),679.21)</f>
        <v/>
      </c>
    </row>
    <row r="18853">
      <c r="J18853">
        <f>IFERROR(__xludf.DUMMYFUNCTION("""COMPUTED_VALUE"""),"Toronto, Ontario, Canada / Barrie, Ontario, Canada")</f>
        <v/>
      </c>
      <c r="K18853">
        <f>IFERROR(__xludf.DUMMYFUNCTION("""COMPUTED_VALUE"""),679.11)</f>
        <v/>
      </c>
    </row>
    <row r="18854">
      <c r="J18854">
        <f>IFERROR(__xludf.DUMMYFUNCTION("""COMPUTED_VALUE"""),"Kingston, Ontario, Canada; Peterborough, Ontario, Canada")</f>
        <v/>
      </c>
      <c r="K18854">
        <f>IFERROR(__xludf.DUMMYFUNCTION("""COMPUTED_VALUE"""),679.01)</f>
        <v/>
      </c>
    </row>
    <row r="18855">
      <c r="J18855">
        <f>IFERROR(__xludf.DUMMYFUNCTION("""COMPUTED_VALUE"""),"Halifax, Nova Scotia, Canada; Summerside, Prince Edward Island, Canada; Montague, Prince Edward Island, Canada")</f>
        <v/>
      </c>
      <c r="K18855">
        <f>IFERROR(__xludf.DUMMYFUNCTION("""COMPUTED_VALUE"""),678.9)</f>
        <v/>
      </c>
    </row>
    <row r="18856">
      <c r="J18856">
        <f>IFERROR(__xludf.DUMMYFUNCTION("""COMPUTED_VALUE"""),"Québec, Roberval, Gaspé, Iles-de-la-Madeleine, Sherbrooke, Rimouski, Dolbeau")</f>
        <v/>
      </c>
      <c r="K18856">
        <f>IFERROR(__xludf.DUMMYFUNCTION("""COMPUTED_VALUE"""),678.26)</f>
        <v/>
      </c>
    </row>
    <row r="18857">
      <c r="J18857">
        <f>IFERROR(__xludf.DUMMYFUNCTION("""COMPUTED_VALUE"""),"Orford, Montreal, (Quebec)")</f>
        <v/>
      </c>
      <c r="K18857">
        <f>IFERROR(__xludf.DUMMYFUNCTION("""COMPUTED_VALUE"""),677.62)</f>
        <v/>
      </c>
    </row>
    <row r="18858">
      <c r="J18858">
        <f>IFERROR(__xludf.DUMMYFUNCTION("""COMPUTED_VALUE"""),"Arad, Israel")</f>
        <v/>
      </c>
      <c r="K18858">
        <f>IFERROR(__xludf.DUMMYFUNCTION("""COMPUTED_VALUE"""),677.3)</f>
        <v/>
      </c>
    </row>
    <row r="18859">
      <c r="J18859">
        <f>IFERROR(__xludf.DUMMYFUNCTION("""COMPUTED_VALUE"""),"Toronto, Mississauga, Whitby, Ottawa")</f>
        <v/>
      </c>
      <c r="K18859">
        <f>IFERROR(__xludf.DUMMYFUNCTION("""COMPUTED_VALUE"""),676.99)</f>
        <v/>
      </c>
    </row>
    <row r="18860">
      <c r="J18860">
        <f>IFERROR(__xludf.DUMMYFUNCTION("""COMPUTED_VALUE"""),"Charlottetown, PE - Moncton, NB / Moncton, NB - Ottawa, ON")</f>
        <v/>
      </c>
      <c r="K18860">
        <f>IFERROR(__xludf.DUMMYFUNCTION("""COMPUTED_VALUE"""),676.54)</f>
        <v/>
      </c>
    </row>
    <row r="18861">
      <c r="J18861">
        <f>IFERROR(__xludf.DUMMYFUNCTION("""COMPUTED_VALUE"""),"Montreal, QC
Ottawa, ON")</f>
        <v/>
      </c>
      <c r="K18861">
        <f>IFERROR(__xludf.DUMMYFUNCTION("""COMPUTED_VALUE"""),676.44)</f>
        <v/>
      </c>
    </row>
    <row r="18862">
      <c r="J18862">
        <f>IFERROR(__xludf.DUMMYFUNCTION("""COMPUTED_VALUE"""),"Toronto,(Ontario)")</f>
        <v/>
      </c>
      <c r="K18862">
        <f>IFERROR(__xludf.DUMMYFUNCTION("""COMPUTED_VALUE"""),676.05)</f>
        <v/>
      </c>
    </row>
    <row r="18863">
      <c r="J18863">
        <f>IFERROR(__xludf.DUMMYFUNCTION("""COMPUTED_VALUE"""),"Saint-Anaclet-de-Lessard, Amqui")</f>
        <v/>
      </c>
      <c r="K18863">
        <f>IFERROR(__xludf.DUMMYFUNCTION("""COMPUTED_VALUE"""),675.959999999999)</f>
        <v/>
      </c>
    </row>
    <row r="18864">
      <c r="J18864">
        <f>IFERROR(__xludf.DUMMYFUNCTION("""COMPUTED_VALUE"""),"LJUBLJANA Slovinia")</f>
        <v/>
      </c>
      <c r="K18864">
        <f>IFERROR(__xludf.DUMMYFUNCTION("""COMPUTED_VALUE"""),675.68)</f>
        <v/>
      </c>
    </row>
    <row r="18865">
      <c r="J18865">
        <f>IFERROR(__xludf.DUMMYFUNCTION("""COMPUTED_VALUE"""),"Kebaowek, QC  Canada")</f>
        <v/>
      </c>
      <c r="K18865">
        <f>IFERROR(__xludf.DUMMYFUNCTION("""COMPUTED_VALUE"""),675.6)</f>
        <v/>
      </c>
    </row>
    <row r="18866">
      <c r="J18866">
        <f>IFERROR(__xludf.DUMMYFUNCTION("""COMPUTED_VALUE"""),"Avalon Peninsula, Newfoundland and Labrador")</f>
        <v/>
      </c>
      <c r="K18866">
        <f>IFERROR(__xludf.DUMMYFUNCTION("""COMPUTED_VALUE"""),675.589999999999)</f>
        <v/>
      </c>
    </row>
    <row r="18867">
      <c r="J18867">
        <f>IFERROR(__xludf.DUMMYFUNCTION("""COMPUTED_VALUE"""),"Athabaskan, Kerlouan, France")</f>
        <v/>
      </c>
      <c r="K18867">
        <f>IFERROR(__xludf.DUMMYFUNCTION("""COMPUTED_VALUE"""),674.91)</f>
        <v/>
      </c>
    </row>
    <row r="18868">
      <c r="J18868">
        <f>IFERROR(__xludf.DUMMYFUNCTION("""COMPUTED_VALUE"""),"Kingston ON; Belleville ON;  Peterborough ON")</f>
        <v/>
      </c>
      <c r="K18868">
        <f>IFERROR(__xludf.DUMMYFUNCTION("""COMPUTED_VALUE"""),674.74)</f>
        <v/>
      </c>
    </row>
    <row r="18869">
      <c r="J18869">
        <f>IFERROR(__xludf.DUMMYFUNCTION("""COMPUTED_VALUE"""),"WINNIPEG, MB - BRANDON, MB")</f>
        <v/>
      </c>
      <c r="K18869">
        <f>IFERROR(__xludf.DUMMYFUNCTION("""COMPUTED_VALUE"""),674.68)</f>
        <v/>
      </c>
    </row>
    <row r="18870">
      <c r="J18870">
        <f>IFERROR(__xludf.DUMMYFUNCTION("""COMPUTED_VALUE"""),"Niagara / St. Catharines, Ontario, Canada")</f>
        <v/>
      </c>
      <c r="K18870">
        <f>IFERROR(__xludf.DUMMYFUNCTION("""COMPUTED_VALUE"""),674.16)</f>
        <v/>
      </c>
    </row>
    <row r="18871">
      <c r="J18871">
        <f>IFERROR(__xludf.DUMMYFUNCTION("""COMPUTED_VALUE"""),"Montreal, Quebec, Canada / Sherbrooke, Quebec, Canada")</f>
        <v/>
      </c>
      <c r="K18871">
        <f>IFERROR(__xludf.DUMMYFUNCTION("""COMPUTED_VALUE"""),674.05)</f>
        <v/>
      </c>
    </row>
    <row r="18872">
      <c r="J18872">
        <f>IFERROR(__xludf.DUMMYFUNCTION("""COMPUTED_VALUE"""),"Voncouver British Columbia")</f>
        <v/>
      </c>
      <c r="K18872">
        <f>IFERROR(__xludf.DUMMYFUNCTION("""COMPUTED_VALUE"""),674.03)</f>
        <v/>
      </c>
    </row>
    <row r="18873">
      <c r="J18873">
        <f>IFERROR(__xludf.DUMMYFUNCTION("""COMPUTED_VALUE"""),"Lanzhou, PRC")</f>
        <v/>
      </c>
      <c r="K18873">
        <f>IFERROR(__xludf.DUMMYFUNCTION("""COMPUTED_VALUE"""),673.63)</f>
        <v/>
      </c>
    </row>
    <row r="18874">
      <c r="J18874">
        <f>IFERROR(__xludf.DUMMYFUNCTION("""COMPUTED_VALUE"""),"Parry Sound, ON")</f>
        <v/>
      </c>
      <c r="K18874">
        <f>IFERROR(__xludf.DUMMYFUNCTION("""COMPUTED_VALUE"""),672.74)</f>
        <v/>
      </c>
    </row>
    <row r="18875">
      <c r="J18875">
        <f>IFERROR(__xludf.DUMMYFUNCTION("""COMPUTED_VALUE"""),"Tampa, Florida, United States &amp; Washington, United States")</f>
        <v/>
      </c>
      <c r="K18875">
        <f>IFERROR(__xludf.DUMMYFUNCTION("""COMPUTED_VALUE"""),672.62)</f>
        <v/>
      </c>
    </row>
    <row r="18876">
      <c r="J18876">
        <f>IFERROR(__xludf.DUMMYFUNCTION("""COMPUTED_VALUE"""),"Toronto, Ontario, Canada 
and Kitchener, Ontario, Canada")</f>
        <v/>
      </c>
      <c r="K18876">
        <f>IFERROR(__xludf.DUMMYFUNCTION("""COMPUTED_VALUE"""),672.2)</f>
        <v/>
      </c>
    </row>
    <row r="18877">
      <c r="J18877">
        <f>IFERROR(__xludf.DUMMYFUNCTION("""COMPUTED_VALUE"""),"Washington,")</f>
        <v/>
      </c>
      <c r="K18877">
        <f>IFERROR(__xludf.DUMMYFUNCTION("""COMPUTED_VALUE"""),672.15)</f>
        <v/>
      </c>
    </row>
    <row r="18878">
      <c r="J18878">
        <f>IFERROR(__xludf.DUMMYFUNCTION("""COMPUTED_VALUE"""),"Halifax, NS - Greenwood, NS / Greenwood, NS - Halifax, NS")</f>
        <v/>
      </c>
      <c r="K18878">
        <f>IFERROR(__xludf.DUMMYFUNCTION("""COMPUTED_VALUE"""),671.98)</f>
        <v/>
      </c>
    </row>
    <row r="18879">
      <c r="J18879">
        <f>IFERROR(__xludf.DUMMYFUNCTION("""COMPUTED_VALUE"""),"Bathurst, NB; Fredericton, NB")</f>
        <v/>
      </c>
      <c r="K18879">
        <f>IFERROR(__xludf.DUMMYFUNCTION("""COMPUTED_VALUE"""),671.68)</f>
        <v/>
      </c>
    </row>
    <row r="18880">
      <c r="J18880">
        <f>IFERROR(__xludf.DUMMYFUNCTION("""COMPUTED_VALUE"""),"Kentville, Nova Scotia, Canada; Wolfville, Nova Scotia, Canada; Truro, Nova Scotia, Canada; Halifax, Nova Scotia, Canada")</f>
        <v/>
      </c>
      <c r="K18880">
        <f>IFERROR(__xludf.DUMMYFUNCTION("""COMPUTED_VALUE"""),671.62)</f>
        <v/>
      </c>
    </row>
    <row r="18881">
      <c r="J18881">
        <f>IFERROR(__xludf.DUMMYFUNCTION("""COMPUTED_VALUE"""),"St-Alphonse Rodriguez, QC, Canada")</f>
        <v/>
      </c>
      <c r="K18881">
        <f>IFERROR(__xludf.DUMMYFUNCTION("""COMPUTED_VALUE"""),671.48)</f>
        <v/>
      </c>
    </row>
    <row r="18882">
      <c r="J18882">
        <f>IFERROR(__xludf.DUMMYFUNCTION("""COMPUTED_VALUE"""),"Toronto and Ottawa, ON; Boucherville and Gatineau, QC")</f>
        <v/>
      </c>
      <c r="K18882">
        <f>IFERROR(__xludf.DUMMYFUNCTION("""COMPUTED_VALUE"""),670.98)</f>
        <v/>
      </c>
    </row>
    <row r="18883">
      <c r="J18883">
        <f>IFERROR(__xludf.DUMMYFUNCTION("""COMPUTED_VALUE"""),"Banff (Alberta), Canada")</f>
        <v/>
      </c>
      <c r="K18883">
        <f>IFERROR(__xludf.DUMMYFUNCTION("""COMPUTED_VALUE"""),670.91)</f>
        <v/>
      </c>
    </row>
    <row r="18884">
      <c r="J18884">
        <f>IFERROR(__xludf.DUMMYFUNCTION("""COMPUTED_VALUE"""),"Bruxelles, Belgium")</f>
        <v/>
      </c>
      <c r="K18884">
        <f>IFERROR(__xludf.DUMMYFUNCTION("""COMPUTED_VALUE"""),670.2)</f>
        <v/>
      </c>
    </row>
    <row r="18885">
      <c r="J18885">
        <f>IFERROR(__xludf.DUMMYFUNCTION("""COMPUTED_VALUE"""),"Brampton ON, Etobicoke ON")</f>
        <v/>
      </c>
      <c r="K18885">
        <f>IFERROR(__xludf.DUMMYFUNCTION("""COMPUTED_VALUE"""),670.02)</f>
        <v/>
      </c>
    </row>
    <row r="18886">
      <c r="J18886">
        <f>IFERROR(__xludf.DUMMYFUNCTION("""COMPUTED_VALUE"""),"Hamilton,ON")</f>
        <v/>
      </c>
      <c r="K18886">
        <f>IFERROR(__xludf.DUMMYFUNCTION("""COMPUTED_VALUE"""),669.74)</f>
        <v/>
      </c>
    </row>
    <row r="18887">
      <c r="J18887">
        <f>IFERROR(__xludf.DUMMYFUNCTION("""COMPUTED_VALUE"""),"Charlottetown, Prince Edward Island, Canada; O'Leary, Prince Edward Island, Canada")</f>
        <v/>
      </c>
      <c r="K18887">
        <f>IFERROR(__xludf.DUMMYFUNCTION("""COMPUTED_VALUE"""),669.04)</f>
        <v/>
      </c>
    </row>
    <row r="18888">
      <c r="J18888">
        <f>IFERROR(__xludf.DUMMYFUNCTION("""COMPUTED_VALUE"""),"Charlottetown, PE; Summerside, PE; Borden, PE Moncton, NB")</f>
        <v/>
      </c>
      <c r="K18888">
        <f>IFERROR(__xludf.DUMMYFUNCTION("""COMPUTED_VALUE"""),668.67)</f>
        <v/>
      </c>
    </row>
    <row r="18889">
      <c r="J18889">
        <f>IFERROR(__xludf.DUMMYFUNCTION("""COMPUTED_VALUE"""),"St-Hyacinthe, Quebec, Canada
Longueil, Quebec, Canada
Quebec, Quebec, Canada")</f>
        <v/>
      </c>
      <c r="K18889">
        <f>IFERROR(__xludf.DUMMYFUNCTION("""COMPUTED_VALUE"""),668.46)</f>
        <v/>
      </c>
    </row>
    <row r="18890">
      <c r="J18890">
        <f>IFERROR(__xludf.DUMMYFUNCTION("""COMPUTED_VALUE"""),"Sherbrooke, Quebec; Plessisville, Quebec; Quebec City, Quebec")</f>
        <v/>
      </c>
      <c r="K18890">
        <f>IFERROR(__xludf.DUMMYFUNCTION("""COMPUTED_VALUE"""),668.12)</f>
        <v/>
      </c>
    </row>
    <row r="18891">
      <c r="J18891">
        <f>IFERROR(__xludf.DUMMYFUNCTION("""COMPUTED_VALUE"""),"Woodstock, London, Inwood, Kirkton, Zurich, Kippen, Clifford, Ontario, Canada")</f>
        <v/>
      </c>
      <c r="K18891">
        <f>IFERROR(__xludf.DUMMYFUNCTION("""COMPUTED_VALUE"""),667.84)</f>
        <v/>
      </c>
    </row>
    <row r="18892">
      <c r="J18892">
        <f>IFERROR(__xludf.DUMMYFUNCTION("""COMPUTED_VALUE"""),"Grand-Mère, Quebec, Canada; Granby, Quebec, Canada; Bromont, Quebec, Canada")</f>
        <v/>
      </c>
      <c r="K18892">
        <f>IFERROR(__xludf.DUMMYFUNCTION("""COMPUTED_VALUE"""),667.57)</f>
        <v/>
      </c>
    </row>
    <row r="18893">
      <c r="J18893">
        <f>IFERROR(__xludf.DUMMYFUNCTION("""COMPUTED_VALUE"""),"Bowmanville, Ontario")</f>
        <v/>
      </c>
      <c r="K18893">
        <f>IFERROR(__xludf.DUMMYFUNCTION("""COMPUTED_VALUE"""),667.35)</f>
        <v/>
      </c>
    </row>
    <row r="18894">
      <c r="J18894">
        <f>IFERROR(__xludf.DUMMYFUNCTION("""COMPUTED_VALUE"""),"Uncasville, CT")</f>
        <v/>
      </c>
      <c r="K18894">
        <f>IFERROR(__xludf.DUMMYFUNCTION("""COMPUTED_VALUE"""),667.18)</f>
        <v/>
      </c>
    </row>
    <row r="18895">
      <c r="J18895">
        <f>IFERROR(__xludf.DUMMYFUNCTION("""COMPUTED_VALUE"""),"Shenyang")</f>
        <v/>
      </c>
      <c r="K18895">
        <f>IFERROR(__xludf.DUMMYFUNCTION("""COMPUTED_VALUE"""),667)</f>
        <v/>
      </c>
    </row>
    <row r="18896">
      <c r="J18896">
        <f>IFERROR(__xludf.DUMMYFUNCTION("""COMPUTED_VALUE"""),"Alliston, ON")</f>
        <v/>
      </c>
      <c r="K18896">
        <f>IFERROR(__xludf.DUMMYFUNCTION("""COMPUTED_VALUE"""),666.92)</f>
        <v/>
      </c>
    </row>
    <row r="18897">
      <c r="J18897">
        <f>IFERROR(__xludf.DUMMYFUNCTION("""COMPUTED_VALUE"""),"Montréal, Longueuil, Sainte-Julie")</f>
        <v/>
      </c>
      <c r="K18897">
        <f>IFERROR(__xludf.DUMMYFUNCTION("""COMPUTED_VALUE"""),666.5)</f>
        <v/>
      </c>
    </row>
    <row r="18898">
      <c r="J18898">
        <f>IFERROR(__xludf.DUMMYFUNCTION("""COMPUTED_VALUE"""),"Lac-Saint-Jean (Quebec) Canada; Hebertville (Quebec) Canada; Saint-Felicien (Quebec) Canada; Normandin (Quebec) Canada")</f>
        <v/>
      </c>
      <c r="K18898">
        <f>IFERROR(__xludf.DUMMYFUNCTION("""COMPUTED_VALUE"""),666.46)</f>
        <v/>
      </c>
    </row>
    <row r="18899">
      <c r="J18899">
        <f>IFERROR(__xludf.DUMMYFUNCTION("""COMPUTED_VALUE"""),"Toronto, Niagara Falls, Fort Erie")</f>
        <v/>
      </c>
      <c r="K18899">
        <f>IFERROR(__xludf.DUMMYFUNCTION("""COMPUTED_VALUE"""),666.4)</f>
        <v/>
      </c>
    </row>
    <row r="18900">
      <c r="J18900">
        <f>IFERROR(__xludf.DUMMYFUNCTION("""COMPUTED_VALUE"""),"Vancouver and Williams Lake British Columbia")</f>
        <v/>
      </c>
      <c r="K18900">
        <f>IFERROR(__xludf.DUMMYFUNCTION("""COMPUTED_VALUE"""),666.11)</f>
        <v/>
      </c>
    </row>
    <row r="18901">
      <c r="J18901">
        <f>IFERROR(__xludf.DUMMYFUNCTION("""COMPUTED_VALUE"""),"Sherbrooke (Quebec)")</f>
        <v/>
      </c>
      <c r="K18901">
        <f>IFERROR(__xludf.DUMMYFUNCTION("""COMPUTED_VALUE"""),664.91)</f>
        <v/>
      </c>
    </row>
    <row r="18902">
      <c r="J18902">
        <f>IFERROR(__xludf.DUMMYFUNCTION("""COMPUTED_VALUE"""),"Ottawa, Rivière-du-Loup, Québec, Trois-Rivières, Montréal")</f>
        <v/>
      </c>
      <c r="K18902">
        <f>IFERROR(__xludf.DUMMYFUNCTION("""COMPUTED_VALUE"""),664.57)</f>
        <v/>
      </c>
    </row>
    <row r="18903">
      <c r="J18903">
        <f>IFERROR(__xludf.DUMMYFUNCTION("""COMPUTED_VALUE"""),"Ottawa - Montréal - Québec - Montréal - Ottawa")</f>
        <v/>
      </c>
      <c r="K18903">
        <f>IFERROR(__xludf.DUMMYFUNCTION("""COMPUTED_VALUE"""),662.89)</f>
        <v/>
      </c>
    </row>
    <row r="18904">
      <c r="J18904">
        <f>IFERROR(__xludf.DUMMYFUNCTION("""COMPUTED_VALUE"""),"Coldbrook, NS, Halifax, NS")</f>
        <v/>
      </c>
      <c r="K18904">
        <f>IFERROR(__xludf.DUMMYFUNCTION("""COMPUTED_VALUE"""),662.71)</f>
        <v/>
      </c>
    </row>
    <row r="18905">
      <c r="J18905">
        <f>IFERROR(__xludf.DUMMYFUNCTION("""COMPUTED_VALUE"""),"Vaughn")</f>
        <v/>
      </c>
      <c r="K18905">
        <f>IFERROR(__xludf.DUMMYFUNCTION("""COMPUTED_VALUE"""),662.69)</f>
        <v/>
      </c>
    </row>
    <row r="18906">
      <c r="J18906">
        <f>IFERROR(__xludf.DUMMYFUNCTION("""COMPUTED_VALUE"""),"Toronto / Waterloo, Ontario")</f>
        <v/>
      </c>
      <c r="K18906">
        <f>IFERROR(__xludf.DUMMYFUNCTION("""COMPUTED_VALUE"""),662.53)</f>
        <v/>
      </c>
    </row>
    <row r="18907">
      <c r="J18907">
        <f>IFERROR(__xludf.DUMMYFUNCTION("""COMPUTED_VALUE"""),"Gananoque, ON")</f>
        <v/>
      </c>
      <c r="K18907">
        <f>IFERROR(__xludf.DUMMYFUNCTION("""COMPUTED_VALUE"""),662.27)</f>
        <v/>
      </c>
    </row>
    <row r="18908">
      <c r="J18908">
        <f>IFERROR(__xludf.DUMMYFUNCTION("""COMPUTED_VALUE"""),"Sokpje, North Macedonia")</f>
        <v/>
      </c>
      <c r="K18908">
        <f>IFERROR(__xludf.DUMMYFUNCTION("""COMPUTED_VALUE"""),662.12)</f>
        <v/>
      </c>
    </row>
    <row r="18909">
      <c r="J18909">
        <f>IFERROR(__xludf.DUMMYFUNCTION("""COMPUTED_VALUE"""),"Noordwijk, Netherlands by NATO provided Bus")</f>
        <v/>
      </c>
      <c r="K18909">
        <f>IFERROR(__xludf.DUMMYFUNCTION("""COMPUTED_VALUE"""),662)</f>
        <v/>
      </c>
    </row>
    <row r="18910">
      <c r="J18910">
        <f>IFERROR(__xludf.DUMMYFUNCTION("""COMPUTED_VALUE"""),"Toronto and Borden, Ontario, Canada")</f>
        <v/>
      </c>
      <c r="K18910">
        <f>IFERROR(__xludf.DUMMYFUNCTION("""COMPUTED_VALUE"""),661.78)</f>
        <v/>
      </c>
    </row>
    <row r="18911">
      <c r="J18911">
        <f>IFERROR(__xludf.DUMMYFUNCTION("""COMPUTED_VALUE"""),"Lunenburg, Nova Scotia, Canada")</f>
        <v/>
      </c>
      <c r="K18911">
        <f>IFERROR(__xludf.DUMMYFUNCTION("""COMPUTED_VALUE"""),661.65)</f>
        <v/>
      </c>
    </row>
    <row r="18912">
      <c r="J18912">
        <f>IFERROR(__xludf.DUMMYFUNCTION("""COMPUTED_VALUE"""),"Halifax, Bridgewater, Liverpool and Caledonia, Nova Scotia")</f>
        <v/>
      </c>
      <c r="K18912">
        <f>IFERROR(__xludf.DUMMYFUNCTION("""COMPUTED_VALUE"""),661.28)</f>
        <v/>
      </c>
    </row>
    <row r="18913">
      <c r="J18913">
        <f>IFERROR(__xludf.DUMMYFUNCTION("""COMPUTED_VALUE"""),"Val-David, Quebec, Canada")</f>
        <v/>
      </c>
      <c r="K18913">
        <f>IFERROR(__xludf.DUMMYFUNCTION("""COMPUTED_VALUE"""),661.17)</f>
        <v/>
      </c>
    </row>
    <row r="18914">
      <c r="J18914">
        <f>IFERROR(__xludf.DUMMYFUNCTION("""COMPUTED_VALUE"""),"London, the United Kingdom.")</f>
        <v/>
      </c>
      <c r="K18914">
        <f>IFERROR(__xludf.DUMMYFUNCTION("""COMPUTED_VALUE"""),661.14)</f>
        <v/>
      </c>
    </row>
    <row r="18915">
      <c r="J18915">
        <f>IFERROR(__xludf.DUMMYFUNCTION("""COMPUTED_VALUE"""),"Detroit, MI USA")</f>
        <v/>
      </c>
      <c r="K18915">
        <f>IFERROR(__xludf.DUMMYFUNCTION("""COMPUTED_VALUE"""),661.06)</f>
        <v/>
      </c>
    </row>
    <row r="18916">
      <c r="J18916">
        <f>IFERROR(__xludf.DUMMYFUNCTION("""COMPUTED_VALUE"""),"Bella Bella, BC")</f>
        <v/>
      </c>
      <c r="K18916">
        <f>IFERROR(__xludf.DUMMYFUNCTION("""COMPUTED_VALUE"""),660.56)</f>
        <v/>
      </c>
    </row>
    <row r="18917">
      <c r="J18917">
        <f>IFERROR(__xludf.DUMMYFUNCTION("""COMPUTED_VALUE"""),"Vancouver/Korea")</f>
        <v/>
      </c>
      <c r="K18917">
        <f>IFERROR(__xludf.DUMMYFUNCTION("""COMPUTED_VALUE"""),660.25)</f>
        <v/>
      </c>
    </row>
    <row r="18918">
      <c r="J18918">
        <f>IFERROR(__xludf.DUMMYFUNCTION("""COMPUTED_VALUE"""),"Kitchener / Hamilton (Ontario)")</f>
        <v/>
      </c>
      <c r="K18918">
        <f>IFERROR(__xludf.DUMMYFUNCTION("""COMPUTED_VALUE"""),660.24)</f>
        <v/>
      </c>
    </row>
    <row r="18919">
      <c r="J18919">
        <f>IFERROR(__xludf.DUMMYFUNCTION("""COMPUTED_VALUE"""),"Chateau Montebello, Quebec")</f>
        <v/>
      </c>
      <c r="K18919">
        <f>IFERROR(__xludf.DUMMYFUNCTION("""COMPUTED_VALUE"""),660.23)</f>
        <v/>
      </c>
    </row>
    <row r="18920">
      <c r="J18920">
        <f>IFERROR(__xludf.DUMMYFUNCTION("""COMPUTED_VALUE"""),"Yellowknife, North-West Territories, Canada")</f>
        <v/>
      </c>
      <c r="K18920">
        <f>IFERROR(__xludf.DUMMYFUNCTION("""COMPUTED_VALUE"""),660.2)</f>
        <v/>
      </c>
    </row>
    <row r="18921">
      <c r="J18921">
        <f>IFERROR(__xludf.DUMMYFUNCTION("""COMPUTED_VALUE"""),"Toronto, ON, Regina, SK")</f>
        <v/>
      </c>
      <c r="K18921">
        <f>IFERROR(__xludf.DUMMYFUNCTION("""COMPUTED_VALUE"""),660.06)</f>
        <v/>
      </c>
    </row>
    <row r="18922">
      <c r="J18922">
        <f>IFERROR(__xludf.DUMMYFUNCTION("""COMPUTED_VALUE"""),"Alma, Ontario, Canada / Jonquiere, Quebec, Canada")</f>
        <v/>
      </c>
      <c r="K18922">
        <f>IFERROR(__xludf.DUMMYFUNCTION("""COMPUTED_VALUE"""),659.72)</f>
        <v/>
      </c>
    </row>
    <row r="18923">
      <c r="J18923">
        <f>IFERROR(__xludf.DUMMYFUNCTION("""COMPUTED_VALUE"""),"Ottawa, (Ontario) Canada")</f>
        <v/>
      </c>
      <c r="K18923">
        <f>IFERROR(__xludf.DUMMYFUNCTION("""COMPUTED_VALUE"""),659.52)</f>
        <v/>
      </c>
    </row>
    <row r="18924">
      <c r="J18924">
        <f>IFERROR(__xludf.DUMMYFUNCTION("""COMPUTED_VALUE"""),"Fairmont Chateau Montebello, Montebello, Quebec")</f>
        <v/>
      </c>
      <c r="K18924">
        <f>IFERROR(__xludf.DUMMYFUNCTION("""COMPUTED_VALUE"""),659.33)</f>
        <v/>
      </c>
    </row>
    <row r="18925">
      <c r="J18925">
        <f>IFERROR(__xludf.DUMMYFUNCTION("""COMPUTED_VALUE"""),"Charleston, SC")</f>
        <v/>
      </c>
      <c r="K18925">
        <f>IFERROR(__xludf.DUMMYFUNCTION("""COMPUTED_VALUE"""),659.13)</f>
        <v/>
      </c>
    </row>
    <row r="18926">
      <c r="J18926">
        <f>IFERROR(__xludf.DUMMYFUNCTION("""COMPUTED_VALUE"""),"Peterborough, Ontario/Cobourg, Ontario")</f>
        <v/>
      </c>
      <c r="K18926">
        <f>IFERROR(__xludf.DUMMYFUNCTION("""COMPUTED_VALUE"""),658.97)</f>
        <v/>
      </c>
    </row>
    <row r="18927">
      <c r="J18927">
        <f>IFERROR(__xludf.DUMMYFUNCTION("""COMPUTED_VALUE"""),"Port Alberni, British Columbia, Canada; Courtenay, British Columbia, Canada; Nanaimo, British Columbia, Canada")</f>
        <v/>
      </c>
      <c r="K18927">
        <f>IFERROR(__xludf.DUMMYFUNCTION("""COMPUTED_VALUE"""),658.74)</f>
        <v/>
      </c>
    </row>
    <row r="18928">
      <c r="J18928">
        <f>IFERROR(__xludf.DUMMYFUNCTION("""COMPUTED_VALUE"""),"Brockville, Ontario/Belleville, Ontario")</f>
        <v/>
      </c>
      <c r="K18928">
        <f>IFERROR(__xludf.DUMMYFUNCTION("""COMPUTED_VALUE"""),657.81)</f>
        <v/>
      </c>
    </row>
    <row r="18929">
      <c r="J18929">
        <f>IFERROR(__xludf.DUMMYFUNCTION("""COMPUTED_VALUE"""),"Cornwall,ON")</f>
        <v/>
      </c>
      <c r="K18929">
        <f>IFERROR(__xludf.DUMMYFUNCTION("""COMPUTED_VALUE"""),657.76)</f>
        <v/>
      </c>
    </row>
    <row r="18930">
      <c r="J18930">
        <f>IFERROR(__xludf.DUMMYFUNCTION("""COMPUTED_VALUE"""),"Brastislava, Slovakia")</f>
        <v/>
      </c>
      <c r="K18930">
        <f>IFERROR(__xludf.DUMMYFUNCTION("""COMPUTED_VALUE"""),657.58)</f>
        <v/>
      </c>
    </row>
    <row r="18931">
      <c r="J18931">
        <f>IFERROR(__xludf.DUMMYFUNCTION("""COMPUTED_VALUE"""),"Colorado Spring, CO")</f>
        <v/>
      </c>
      <c r="K18931">
        <f>IFERROR(__xludf.DUMMYFUNCTION("""COMPUTED_VALUE"""),656.92)</f>
        <v/>
      </c>
    </row>
    <row r="18932">
      <c r="J18932">
        <f>IFERROR(__xludf.DUMMYFUNCTION("""COMPUTED_VALUE"""),"Quebec, Quebec, Canada/ Sainte-Foy, Quebec, Canada")</f>
        <v/>
      </c>
      <c r="K18932">
        <f>IFERROR(__xludf.DUMMYFUNCTION("""COMPUTED_VALUE"""),656.68)</f>
        <v/>
      </c>
    </row>
    <row r="18933">
      <c r="J18933">
        <f>IFERROR(__xludf.DUMMYFUNCTION("""COMPUTED_VALUE"""),"Ottawa, ON London, ON")</f>
        <v/>
      </c>
      <c r="K18933">
        <f>IFERROR(__xludf.DUMMYFUNCTION("""COMPUTED_VALUE"""),656.57)</f>
        <v/>
      </c>
    </row>
    <row r="18934">
      <c r="J18934">
        <f>IFERROR(__xludf.DUMMYFUNCTION("""COMPUTED_VALUE"""),"Saint-Hyacinthe (Quebec) Canada; Bedford (Quebec) Canada; Saint-Paul-D'Abbotsford (Quebec) Canada; Sherbooke (Quebec) Canada")</f>
        <v/>
      </c>
      <c r="K18934">
        <f>IFERROR(__xludf.DUMMYFUNCTION("""COMPUTED_VALUE"""),656.57)</f>
        <v/>
      </c>
    </row>
    <row r="18935">
      <c r="J18935">
        <f>IFERROR(__xludf.DUMMYFUNCTION("""COMPUTED_VALUE"""),"Penticton")</f>
        <v/>
      </c>
      <c r="K18935">
        <f>IFERROR(__xludf.DUMMYFUNCTION("""COMPUTED_VALUE"""),656.45)</f>
        <v/>
      </c>
    </row>
    <row r="18936">
      <c r="J18936">
        <f>IFERROR(__xludf.DUMMYFUNCTION("""COMPUTED_VALUE"""),"Waterloo, ON, Whitby, ON")</f>
        <v/>
      </c>
      <c r="K18936">
        <f>IFERROR(__xludf.DUMMYFUNCTION("""COMPUTED_VALUE"""),656.26)</f>
        <v/>
      </c>
    </row>
    <row r="18937">
      <c r="J18937">
        <f>IFERROR(__xludf.DUMMYFUNCTION("""COMPUTED_VALUE"""),"Toronto and Windsor, Ontario")</f>
        <v/>
      </c>
      <c r="K18937">
        <f>IFERROR(__xludf.DUMMYFUNCTION("""COMPUTED_VALUE"""),656.23)</f>
        <v/>
      </c>
    </row>
    <row r="18938">
      <c r="J18938">
        <f>IFERROR(__xludf.DUMMYFUNCTION("""COMPUTED_VALUE"""),"Dortmund, Germany")</f>
        <v/>
      </c>
      <c r="K18938">
        <f>IFERROR(__xludf.DUMMYFUNCTION("""COMPUTED_VALUE"""),655.88)</f>
        <v/>
      </c>
    </row>
    <row r="18939">
      <c r="J18939">
        <f>IFERROR(__xludf.DUMMYFUNCTION("""COMPUTED_VALUE"""),"Gagetown, New Brunswick, Canada; Fredericton, New Brunswick, Canada")</f>
        <v/>
      </c>
      <c r="K18939">
        <f>IFERROR(__xludf.DUMMYFUNCTION("""COMPUTED_VALUE"""),654.3)</f>
        <v/>
      </c>
    </row>
    <row r="18940">
      <c r="J18940">
        <f>IFERROR(__xludf.DUMMYFUNCTION("""COMPUTED_VALUE"""),"Travel to London, UK")</f>
        <v/>
      </c>
      <c r="K18940">
        <f>IFERROR(__xludf.DUMMYFUNCTION("""COMPUTED_VALUE"""),654)</f>
        <v/>
      </c>
    </row>
    <row r="18941">
      <c r="J18941">
        <f>IFERROR(__xludf.DUMMYFUNCTION("""COMPUTED_VALUE"""),"Paris &amp; Normandy")</f>
        <v/>
      </c>
      <c r="K18941">
        <f>IFERROR(__xludf.DUMMYFUNCTION("""COMPUTED_VALUE"""),653.91)</f>
        <v/>
      </c>
    </row>
    <row r="18942">
      <c r="J18942">
        <f>IFERROR(__xludf.DUMMYFUNCTION("""COMPUTED_VALUE"""),"Shawinigan and Trois-Rivieres")</f>
        <v/>
      </c>
      <c r="K18942">
        <f>IFERROR(__xludf.DUMMYFUNCTION("""COMPUTED_VALUE"""),653.819999999999)</f>
        <v/>
      </c>
    </row>
    <row r="18943">
      <c r="J18943">
        <f>IFERROR(__xludf.DUMMYFUNCTION("""COMPUTED_VALUE"""),"St-John's, Newfoundland, Halifax, Nova Scotia and Charlottetown, Prince Edward, Canada")</f>
        <v/>
      </c>
      <c r="K18943">
        <f>IFERROR(__xludf.DUMMYFUNCTION("""COMPUTED_VALUE"""),653.55)</f>
        <v/>
      </c>
    </row>
    <row r="18944">
      <c r="J18944">
        <f>IFERROR(__xludf.DUMMYFUNCTION("""COMPUTED_VALUE"""),"St. John's-Halifax")</f>
        <v/>
      </c>
      <c r="K18944">
        <f>IFERROR(__xludf.DUMMYFUNCTION("""COMPUTED_VALUE"""),653.52)</f>
        <v/>
      </c>
    </row>
    <row r="18945">
      <c r="J18945">
        <f>IFERROR(__xludf.DUMMYFUNCTION("""COMPUTED_VALUE"""),"Toronto and Quebec City")</f>
        <v/>
      </c>
      <c r="K18945">
        <f>IFERROR(__xludf.DUMMYFUNCTION("""COMPUTED_VALUE"""),653.25)</f>
        <v/>
      </c>
    </row>
    <row r="18946">
      <c r="J18946">
        <f>IFERROR(__xludf.DUMMYFUNCTION("""COMPUTED_VALUE"""),"Toronto, ON, CAN")</f>
        <v/>
      </c>
      <c r="K18946">
        <f>IFERROR(__xludf.DUMMYFUNCTION("""COMPUTED_VALUE"""),652.78)</f>
        <v/>
      </c>
    </row>
    <row r="18947">
      <c r="J18947">
        <f>IFERROR(__xludf.DUMMYFUNCTION("""COMPUTED_VALUE"""),"Cascais, Portugal; Lisbon, Portugal")</f>
        <v/>
      </c>
      <c r="K18947">
        <f>IFERROR(__xludf.DUMMYFUNCTION("""COMPUTED_VALUE"""),652.5)</f>
        <v/>
      </c>
    </row>
    <row r="18948">
      <c r="J18948">
        <f>IFERROR(__xludf.DUMMYFUNCTION("""COMPUTED_VALUE"""),"St-Jean-sur-Richelieu, Canada")</f>
        <v/>
      </c>
      <c r="K18948">
        <f>IFERROR(__xludf.DUMMYFUNCTION("""COMPUTED_VALUE"""),652.42)</f>
        <v/>
      </c>
    </row>
    <row r="18949">
      <c r="J18949">
        <f>IFERROR(__xludf.DUMMYFUNCTION("""COMPUTED_VALUE"""),"Charlottetown, Prince Edward Island / Miramichi, New Brunswick, Canada")</f>
        <v/>
      </c>
      <c r="K18949">
        <f>IFERROR(__xludf.DUMMYFUNCTION("""COMPUTED_VALUE"""),652.3)</f>
        <v/>
      </c>
    </row>
    <row r="18950">
      <c r="J18950">
        <f>IFERROR(__xludf.DUMMYFUNCTION("""COMPUTED_VALUE"""),"Penticton/Kelowna")</f>
        <v/>
      </c>
      <c r="K18950">
        <f>IFERROR(__xludf.DUMMYFUNCTION("""COMPUTED_VALUE"""),651.68)</f>
        <v/>
      </c>
    </row>
    <row r="18951">
      <c r="J18951">
        <f>IFERROR(__xludf.DUMMYFUNCTION("""COMPUTED_VALUE"""),"Toronto, Hamilton, Ontario, Canada")</f>
        <v/>
      </c>
      <c r="K18951">
        <f>IFERROR(__xludf.DUMMYFUNCTION("""COMPUTED_VALUE"""),651.44)</f>
        <v/>
      </c>
    </row>
    <row r="18952">
      <c r="J18952">
        <f>IFERROR(__xludf.DUMMYFUNCTION("""COMPUTED_VALUE"""),"Toronto; Washington")</f>
        <v/>
      </c>
      <c r="K18952">
        <f>IFERROR(__xludf.DUMMYFUNCTION("""COMPUTED_VALUE"""),651.41)</f>
        <v/>
      </c>
    </row>
    <row r="18953">
      <c r="J18953">
        <f>IFERROR(__xludf.DUMMYFUNCTION("""COMPUTED_VALUE"""),"St-Jean QC, Canada")</f>
        <v/>
      </c>
      <c r="K18953">
        <f>IFERROR(__xludf.DUMMYFUNCTION("""COMPUTED_VALUE"""),651.39)</f>
        <v/>
      </c>
    </row>
    <row r="18954">
      <c r="J18954">
        <f>IFERROR(__xludf.DUMMYFUNCTION("""COMPUTED_VALUE"""),"Moncton, New Nrunswick")</f>
        <v/>
      </c>
      <c r="K18954">
        <f>IFERROR(__xludf.DUMMYFUNCTION("""COMPUTED_VALUE"""),651.3)</f>
        <v/>
      </c>
    </row>
    <row r="18955">
      <c r="J18955">
        <f>IFERROR(__xludf.DUMMYFUNCTION("""COMPUTED_VALUE"""),"Kelona, British Columbia")</f>
        <v/>
      </c>
      <c r="K18955">
        <f>IFERROR(__xludf.DUMMYFUNCTION("""COMPUTED_VALUE"""),650.45)</f>
        <v/>
      </c>
    </row>
    <row r="18956">
      <c r="J18956">
        <f>IFERROR(__xludf.DUMMYFUNCTION("""COMPUTED_VALUE"""),"Frankfurt/Glashütten/Germany")</f>
        <v/>
      </c>
      <c r="K18956">
        <f>IFERROR(__xludf.DUMMYFUNCTION("""COMPUTED_VALUE"""),650.2)</f>
        <v/>
      </c>
    </row>
    <row r="18957">
      <c r="J18957">
        <f>IFERROR(__xludf.DUMMYFUNCTION("""COMPUTED_VALUE"""),"Trois-Rivières and Québec (Québec) Canada")</f>
        <v/>
      </c>
      <c r="K18957">
        <f>IFERROR(__xludf.DUMMYFUNCTION("""COMPUTED_VALUE"""),649.93)</f>
        <v/>
      </c>
    </row>
    <row r="18958">
      <c r="J18958">
        <f>IFERROR(__xludf.DUMMYFUNCTION("""COMPUTED_VALUE"""),"Montreal, Quebec, Canada/ Shawinigan, Quebec, Canada/ Ottawa, Ontario, Canada")</f>
        <v/>
      </c>
      <c r="K18958">
        <f>IFERROR(__xludf.DUMMYFUNCTION("""COMPUTED_VALUE"""),649.71)</f>
        <v/>
      </c>
    </row>
    <row r="18959">
      <c r="J18959">
        <f>IFERROR(__xludf.DUMMYFUNCTION("""COMPUTED_VALUE"""),"Huntsville and Collingwood Ontario")</f>
        <v/>
      </c>
      <c r="K18959">
        <f>IFERROR(__xludf.DUMMYFUNCTION("""COMPUTED_VALUE"""),649.67)</f>
        <v/>
      </c>
    </row>
    <row r="18960">
      <c r="J18960">
        <f>IFERROR(__xludf.DUMMYFUNCTION("""COMPUTED_VALUE"""),"Amsterdam/Berlin/Amsterdam")</f>
        <v/>
      </c>
      <c r="K18960">
        <f>IFERROR(__xludf.DUMMYFUNCTION("""COMPUTED_VALUE"""),649.54)</f>
        <v/>
      </c>
    </row>
    <row r="18961">
      <c r="J18961">
        <f>IFERROR(__xludf.DUMMYFUNCTION("""COMPUTED_VALUE"""),"Valcartier ( Quebec) Canada")</f>
        <v/>
      </c>
      <c r="K18961">
        <f>IFERROR(__xludf.DUMMYFUNCTION("""COMPUTED_VALUE"""),649.52)</f>
        <v/>
      </c>
    </row>
    <row r="18962">
      <c r="J18962">
        <f>IFERROR(__xludf.DUMMYFUNCTION("""COMPUTED_VALUE"""),"Edmonton,AB")</f>
        <v/>
      </c>
      <c r="K18962">
        <f>IFERROR(__xludf.DUMMYFUNCTION("""COMPUTED_VALUE"""),649.09)</f>
        <v/>
      </c>
    </row>
    <row r="18963">
      <c r="J18963">
        <f>IFERROR(__xludf.DUMMYFUNCTION("""COMPUTED_VALUE"""),"Israel, West Bank and Jordan")</f>
        <v/>
      </c>
      <c r="K18963">
        <f>IFERROR(__xludf.DUMMYFUNCTION("""COMPUTED_VALUE"""),649.05)</f>
        <v/>
      </c>
    </row>
    <row r="18964">
      <c r="J18964">
        <f>IFERROR(__xludf.DUMMYFUNCTION("""COMPUTED_VALUE"""),"Pentinton,British-Columbia")</f>
        <v/>
      </c>
      <c r="K18964">
        <f>IFERROR(__xludf.DUMMYFUNCTION("""COMPUTED_VALUE"""),649.05)</f>
        <v/>
      </c>
    </row>
    <row r="18965">
      <c r="J18965">
        <f>IFERROR(__xludf.DUMMYFUNCTION("""COMPUTED_VALUE"""),"Oosterbeek &amp; Arnhem, Netherlands")</f>
        <v/>
      </c>
      <c r="K18965">
        <f>IFERROR(__xludf.DUMMYFUNCTION("""COMPUTED_VALUE"""),648.81)</f>
        <v/>
      </c>
    </row>
    <row r="18966">
      <c r="J18966">
        <f>IFERROR(__xludf.DUMMYFUNCTION("""COMPUTED_VALUE"""),"Mont-Blanc, Quebec, Canada")</f>
        <v/>
      </c>
      <c r="K18966">
        <f>IFERROR(__xludf.DUMMYFUNCTION("""COMPUTED_VALUE"""),648.74)</f>
        <v/>
      </c>
    </row>
    <row r="18967">
      <c r="J18967">
        <f>IFERROR(__xludf.DUMMYFUNCTION("""COMPUTED_VALUE"""),"Charlottetown, Prince Edward Island, Canada; Dartmouth, Nova Scotia, Canada")</f>
        <v/>
      </c>
      <c r="K18967">
        <f>IFERROR(__xludf.DUMMYFUNCTION("""COMPUTED_VALUE"""),648.73)</f>
        <v/>
      </c>
    </row>
    <row r="18968">
      <c r="J18968">
        <f>IFERROR(__xludf.DUMMYFUNCTION("""COMPUTED_VALUE"""),"Washington, District of Columbia, United States - Toronto, Ontario, Canada")</f>
        <v/>
      </c>
      <c r="K18968">
        <f>IFERROR(__xludf.DUMMYFUNCTION("""COMPUTED_VALUE"""),648.38)</f>
        <v/>
      </c>
    </row>
    <row r="18969">
      <c r="J18969">
        <f>IFERROR(__xludf.DUMMYFUNCTION("""COMPUTED_VALUE"""),"Toronto, ON - Tiverton, ON")</f>
        <v/>
      </c>
      <c r="K18969">
        <f>IFERROR(__xludf.DUMMYFUNCTION("""COMPUTED_VALUE"""),647.93)</f>
        <v/>
      </c>
    </row>
    <row r="18970">
      <c r="J18970">
        <f>IFERROR(__xludf.DUMMYFUNCTION("""COMPUTED_VALUE"""),"Brussels/Belgium")</f>
        <v/>
      </c>
      <c r="K18970">
        <f>IFERROR(__xludf.DUMMYFUNCTION("""COMPUTED_VALUE"""),646.99)</f>
        <v/>
      </c>
    </row>
    <row r="18971">
      <c r="J18971">
        <f>IFERROR(__xludf.DUMMYFUNCTION("""COMPUTED_VALUE"""),"Victoriaville, QC, Canada")</f>
        <v/>
      </c>
      <c r="K18971">
        <f>IFERROR(__xludf.DUMMYFUNCTION("""COMPUTED_VALUE"""),646.99)</f>
        <v/>
      </c>
    </row>
    <row r="18972">
      <c r="J18972">
        <f>IFERROR(__xludf.DUMMYFUNCTION("""COMPUTED_VALUE"""),"Campbellford, Ontario")</f>
        <v/>
      </c>
      <c r="K18972">
        <f>IFERROR(__xludf.DUMMYFUNCTION("""COMPUTED_VALUE"""),646.93)</f>
        <v/>
      </c>
    </row>
    <row r="18973">
      <c r="J18973">
        <f>IFERROR(__xludf.DUMMYFUNCTION("""COMPUTED_VALUE"""),"Plattsburgh, NY")</f>
        <v/>
      </c>
      <c r="K18973">
        <f>IFERROR(__xludf.DUMMYFUNCTION("""COMPUTED_VALUE"""),646.67)</f>
        <v/>
      </c>
    </row>
    <row r="18974">
      <c r="J18974">
        <f>IFERROR(__xludf.DUMMYFUNCTION("""COMPUTED_VALUE"""),"Caledon, ON")</f>
        <v/>
      </c>
      <c r="K18974">
        <f>IFERROR(__xludf.DUMMYFUNCTION("""COMPUTED_VALUE"""),646.59)</f>
        <v/>
      </c>
    </row>
    <row r="18975">
      <c r="J18975">
        <f>IFERROR(__xludf.DUMMYFUNCTION("""COMPUTED_VALUE"""),"Montréal, QC; Sherbrooke, QC; Québec, QC")</f>
        <v/>
      </c>
      <c r="K18975">
        <f>IFERROR(__xludf.DUMMYFUNCTION("""COMPUTED_VALUE"""),646.56)</f>
        <v/>
      </c>
    </row>
    <row r="18976">
      <c r="J18976">
        <f>IFERROR(__xludf.DUMMYFUNCTION("""COMPUTED_VALUE"""),"Ottawa, Ontario, Canada; London, Ontario, Canada")</f>
        <v/>
      </c>
      <c r="K18976">
        <f>IFERROR(__xludf.DUMMYFUNCTION("""COMPUTED_VALUE"""),646.56)</f>
        <v/>
      </c>
    </row>
    <row r="18977">
      <c r="J18977">
        <f>IFERROR(__xludf.DUMMYFUNCTION("""COMPUTED_VALUE"""),"London, 
Ontario")</f>
        <v/>
      </c>
      <c r="K18977">
        <f>IFERROR(__xludf.DUMMYFUNCTION("""COMPUTED_VALUE"""),646.14)</f>
        <v/>
      </c>
    </row>
    <row r="18978">
      <c r="J18978">
        <f>IFERROR(__xludf.DUMMYFUNCTION("""COMPUTED_VALUE"""),"Whistler, BC Merrit, BC")</f>
        <v/>
      </c>
      <c r="K18978">
        <f>IFERROR(__xludf.DUMMYFUNCTION("""COMPUTED_VALUE"""),645.87)</f>
        <v/>
      </c>
    </row>
    <row r="18979">
      <c r="J18979">
        <f>IFERROR(__xludf.DUMMYFUNCTION("""COMPUTED_VALUE"""),"Montréal, Baie-Comeau, Îles-de-la-Madeleine, Percé, Rimouski, Québec")</f>
        <v/>
      </c>
      <c r="K18979">
        <f>IFERROR(__xludf.DUMMYFUNCTION("""COMPUTED_VALUE"""),645.66)</f>
        <v/>
      </c>
    </row>
    <row r="18980">
      <c r="J18980">
        <f>IFERROR(__xludf.DUMMYFUNCTION("""COMPUTED_VALUE"""),"Duck Lake, Saskatchewan;Prince Albert, Saskatchewan")</f>
        <v/>
      </c>
      <c r="K18980">
        <f>IFERROR(__xludf.DUMMYFUNCTION("""COMPUTED_VALUE"""),645.22)</f>
        <v/>
      </c>
    </row>
    <row r="18981">
      <c r="J18981">
        <f>IFERROR(__xludf.DUMMYFUNCTION("""COMPUTED_VALUE"""),"Victoriaville, St-Georges")</f>
        <v/>
      </c>
      <c r="K18981">
        <f>IFERROR(__xludf.DUMMYFUNCTION("""COMPUTED_VALUE"""),645.18)</f>
        <v/>
      </c>
    </row>
    <row r="18982">
      <c r="J18982">
        <f>IFERROR(__xludf.DUMMYFUNCTION("""COMPUTED_VALUE"""),"Drumheller, Alberta")</f>
        <v/>
      </c>
      <c r="K18982">
        <f>IFERROR(__xludf.DUMMYFUNCTION("""COMPUTED_VALUE"""),645.14)</f>
        <v/>
      </c>
    </row>
    <row r="18983">
      <c r="J18983">
        <f>IFERROR(__xludf.DUMMYFUNCTION("""COMPUTED_VALUE"""),"Cambridge-London-Ottawa")</f>
        <v/>
      </c>
      <c r="K18983">
        <f>IFERROR(__xludf.DUMMYFUNCTION("""COMPUTED_VALUE"""),645.09)</f>
        <v/>
      </c>
    </row>
    <row r="18984">
      <c r="J18984">
        <f>IFERROR(__xludf.DUMMYFUNCTION("""COMPUTED_VALUE"""),"Morrisburg, ON Ottawa, ON")</f>
        <v/>
      </c>
      <c r="K18984">
        <f>IFERROR(__xludf.DUMMYFUNCTION("""COMPUTED_VALUE"""),644.76)</f>
        <v/>
      </c>
    </row>
    <row r="18985">
      <c r="J18985">
        <f>IFERROR(__xludf.DUMMYFUNCTION("""COMPUTED_VALUE"""),"Toronto (Ontario)  Canada")</f>
        <v/>
      </c>
      <c r="K18985">
        <f>IFERROR(__xludf.DUMMYFUNCTION("""COMPUTED_VALUE"""),644.56)</f>
        <v/>
      </c>
    </row>
    <row r="18986">
      <c r="J18986">
        <f>IFERROR(__xludf.DUMMYFUNCTION("""COMPUTED_VALUE"""),"Lucknow")</f>
        <v/>
      </c>
      <c r="K18986">
        <f>IFERROR(__xludf.DUMMYFUNCTION("""COMPUTED_VALUE"""),644.55)</f>
        <v/>
      </c>
    </row>
    <row r="18987">
      <c r="J18987">
        <f>IFERROR(__xludf.DUMMYFUNCTION("""COMPUTED_VALUE"""),"Cayuga, Ontario, Canada")</f>
        <v/>
      </c>
      <c r="K18987">
        <f>IFERROR(__xludf.DUMMYFUNCTION("""COMPUTED_VALUE"""),644.5)</f>
        <v/>
      </c>
    </row>
    <row r="18988">
      <c r="J18988">
        <f>IFERROR(__xludf.DUMMYFUNCTION("""COMPUTED_VALUE"""),"Ottawa/Toronto ON")</f>
        <v/>
      </c>
      <c r="K18988">
        <f>IFERROR(__xludf.DUMMYFUNCTION("""COMPUTED_VALUE"""),644.38)</f>
        <v/>
      </c>
    </row>
    <row r="18989">
      <c r="J18989">
        <f>IFERROR(__xludf.DUMMYFUNCTION("""COMPUTED_VALUE"""),"Sydney and Inverness, Nova Scotia")</f>
        <v/>
      </c>
      <c r="K18989">
        <f>IFERROR(__xludf.DUMMYFUNCTION("""COMPUTED_VALUE"""),644.33)</f>
        <v/>
      </c>
    </row>
    <row r="18990">
      <c r="J18990">
        <f>IFERROR(__xludf.DUMMYFUNCTION("""COMPUTED_VALUE"""),"Sherbrooke,Drummondville,Gatineau, Montreal")</f>
        <v/>
      </c>
      <c r="K18990">
        <f>IFERROR(__xludf.DUMMYFUNCTION("""COMPUTED_VALUE"""),644.32)</f>
        <v/>
      </c>
    </row>
    <row r="18991">
      <c r="J18991">
        <f>IFERROR(__xludf.DUMMYFUNCTION("""COMPUTED_VALUE"""),"Sarnia, Ontario, Canada; Goderich, Ontario, Canada; London, Ontario, Canada")</f>
        <v/>
      </c>
      <c r="K18991">
        <f>IFERROR(__xludf.DUMMYFUNCTION("""COMPUTED_VALUE"""),643.35)</f>
        <v/>
      </c>
    </row>
    <row r="18992">
      <c r="J18992">
        <f>IFERROR(__xludf.DUMMYFUNCTION("""COMPUTED_VALUE"""),"Blain, Washingon, United States")</f>
        <v/>
      </c>
      <c r="K18992">
        <f>IFERROR(__xludf.DUMMYFUNCTION("""COMPUTED_VALUE"""),643.32)</f>
        <v/>
      </c>
    </row>
    <row r="18993">
      <c r="J18993">
        <f>IFERROR(__xludf.DUMMYFUNCTION("""COMPUTED_VALUE"""),"Varennes, QC - Boucherville, QC")</f>
        <v/>
      </c>
      <c r="K18993">
        <f>IFERROR(__xludf.DUMMYFUNCTION("""COMPUTED_VALUE"""),643.23)</f>
        <v/>
      </c>
    </row>
    <row r="18994">
      <c r="J18994">
        <f>IFERROR(__xludf.DUMMYFUNCTION("""COMPUTED_VALUE"""),"St-Hyacinthe, Laval")</f>
        <v/>
      </c>
      <c r="K18994">
        <f>IFERROR(__xludf.DUMMYFUNCTION("""COMPUTED_VALUE"""),642.85)</f>
        <v/>
      </c>
    </row>
    <row r="18995">
      <c r="J18995">
        <f>IFERROR(__xludf.DUMMYFUNCTION("""COMPUTED_VALUE"""),"Wilton Park, United Kingdom")</f>
        <v/>
      </c>
      <c r="K18995">
        <f>IFERROR(__xludf.DUMMYFUNCTION("""COMPUTED_VALUE"""),642.75)</f>
        <v/>
      </c>
    </row>
    <row r="18996">
      <c r="J18996">
        <f>IFERROR(__xludf.DUMMYFUNCTION("""COMPUTED_VALUE"""),"Moncton, New Brunswick, Canada; Dalhousie, New Brunswick, Canada")</f>
        <v/>
      </c>
      <c r="K18996">
        <f>IFERROR(__xludf.DUMMYFUNCTION("""COMPUTED_VALUE"""),642.38)</f>
        <v/>
      </c>
    </row>
    <row r="18997">
      <c r="J18997">
        <f>IFERROR(__xludf.DUMMYFUNCTION("""COMPUTED_VALUE"""),"Edmonton, Prince George")</f>
        <v/>
      </c>
      <c r="K18997">
        <f>IFERROR(__xludf.DUMMYFUNCTION("""COMPUTED_VALUE"""),642)</f>
        <v/>
      </c>
    </row>
    <row r="18998">
      <c r="J18998">
        <f>IFERROR(__xludf.DUMMYFUNCTION("""COMPUTED_VALUE"""),"Missisauga, ON")</f>
        <v/>
      </c>
      <c r="K18998">
        <f>IFERROR(__xludf.DUMMYFUNCTION("""COMPUTED_VALUE"""),641.7)</f>
        <v/>
      </c>
    </row>
    <row r="18999">
      <c r="J18999">
        <f>IFERROR(__xludf.DUMMYFUNCTION("""COMPUTED_VALUE"""),"Mississauga - Ottawa - Mississauga")</f>
        <v/>
      </c>
      <c r="K18999">
        <f>IFERROR(__xludf.DUMMYFUNCTION("""COMPUTED_VALUE"""),641.04)</f>
        <v/>
      </c>
    </row>
    <row r="19000">
      <c r="J19000">
        <f>IFERROR(__xludf.DUMMYFUNCTION("""COMPUTED_VALUE"""),"Montreal &amp; St-Hubert, QC")</f>
        <v/>
      </c>
      <c r="K19000">
        <f>IFERROR(__xludf.DUMMYFUNCTION("""COMPUTED_VALUE"""),641)</f>
        <v/>
      </c>
    </row>
    <row r="19001">
      <c r="J19001">
        <f>IFERROR(__xludf.DUMMYFUNCTION("""COMPUTED_VALUE"""),"Sweden and Finland")</f>
        <v/>
      </c>
      <c r="K19001">
        <f>IFERROR(__xludf.DUMMYFUNCTION("""COMPUTED_VALUE"""),640.9)</f>
        <v/>
      </c>
    </row>
    <row r="19002">
      <c r="J19002">
        <f>IFERROR(__xludf.DUMMYFUNCTION("""COMPUTED_VALUE"""),"Kingston (Ontario) Canada,                 St Jean (Quebec) Canada")</f>
        <v/>
      </c>
      <c r="K19002">
        <f>IFERROR(__xludf.DUMMYFUNCTION("""COMPUTED_VALUE"""),640.78)</f>
        <v/>
      </c>
    </row>
    <row r="19003">
      <c r="J19003">
        <f>IFERROR(__xludf.DUMMYFUNCTION("""COMPUTED_VALUE"""),"North York, Ontario, Canada; Ottawa, Ontario, Canada; Gatineau, Quebec, Canada; Toronto, Ontario, Canada")</f>
        <v/>
      </c>
      <c r="K19003">
        <f>IFERROR(__xludf.DUMMYFUNCTION("""COMPUTED_VALUE"""),640.4)</f>
        <v/>
      </c>
    </row>
    <row r="19004">
      <c r="J19004">
        <f>IFERROR(__xludf.DUMMYFUNCTION("""COMPUTED_VALUE"""),"Moncton and Shippagan, New Brunswick")</f>
        <v/>
      </c>
      <c r="K19004">
        <f>IFERROR(__xludf.DUMMYFUNCTION("""COMPUTED_VALUE"""),640.23)</f>
        <v/>
      </c>
    </row>
    <row r="19005">
      <c r="J19005">
        <f>IFERROR(__xludf.DUMMYFUNCTION("""COMPUTED_VALUE"""),"Saint-Étienne, France")</f>
        <v/>
      </c>
      <c r="K19005">
        <f>IFERROR(__xludf.DUMMYFUNCTION("""COMPUTED_VALUE"""),640.15)</f>
        <v/>
      </c>
    </row>
    <row r="19006">
      <c r="J19006">
        <f>IFERROR(__xludf.DUMMYFUNCTION("""COMPUTED_VALUE"""),"Fort-Coulonge, Quebec, Canada")</f>
        <v/>
      </c>
      <c r="K19006">
        <f>IFERROR(__xludf.DUMMYFUNCTION("""COMPUTED_VALUE"""),638.69)</f>
        <v/>
      </c>
    </row>
    <row r="19007">
      <c r="J19007">
        <f>IFERROR(__xludf.DUMMYFUNCTION("""COMPUTED_VALUE"""),"St Peters, NS")</f>
        <v/>
      </c>
      <c r="K19007">
        <f>IFERROR(__xludf.DUMMYFUNCTION("""COMPUTED_VALUE"""),638.33)</f>
        <v/>
      </c>
    </row>
    <row r="19008">
      <c r="J19008">
        <f>IFERROR(__xludf.DUMMYFUNCTION("""COMPUTED_VALUE"""),"Toronto, Ontrario")</f>
        <v/>
      </c>
      <c r="K19008">
        <f>IFERROR(__xludf.DUMMYFUNCTION("""COMPUTED_VALUE"""),637.96)</f>
        <v/>
      </c>
    </row>
    <row r="19009">
      <c r="J19009">
        <f>IFERROR(__xludf.DUMMYFUNCTION("""COMPUTED_VALUE"""),"Montreal/Trois Rivière")</f>
        <v/>
      </c>
      <c r="K19009">
        <f>IFERROR(__xludf.DUMMYFUNCTION("""COMPUTED_VALUE"""),637.61)</f>
        <v/>
      </c>
    </row>
    <row r="19010">
      <c r="J19010">
        <f>IFERROR(__xludf.DUMMYFUNCTION("""COMPUTED_VALUE"""),"Wasagaming, Manitoba, Canada")</f>
        <v/>
      </c>
      <c r="K19010">
        <f>IFERROR(__xludf.DUMMYFUNCTION("""COMPUTED_VALUE"""),637.43)</f>
        <v/>
      </c>
    </row>
    <row r="19011">
      <c r="J19011">
        <f>IFERROR(__xludf.DUMMYFUNCTION("""COMPUTED_VALUE"""),"Laval &amp; Québec")</f>
        <v/>
      </c>
      <c r="K19011">
        <f>IFERROR(__xludf.DUMMYFUNCTION("""COMPUTED_VALUE"""),637.33)</f>
        <v/>
      </c>
    </row>
    <row r="19012">
      <c r="J19012">
        <f>IFERROR(__xludf.DUMMYFUNCTION("""COMPUTED_VALUE"""),"Southwest Nova Scotia and Antigonish, Nova Scotia, Canada")</f>
        <v/>
      </c>
      <c r="K19012">
        <f>IFERROR(__xludf.DUMMYFUNCTION("""COMPUTED_VALUE"""),636.63)</f>
        <v/>
      </c>
    </row>
    <row r="19013">
      <c r="J19013">
        <f>IFERROR(__xludf.DUMMYFUNCTION("""COMPUTED_VALUE"""),"Ottawa, Ontario; Markham, Ontario; Toronto, Ontario")</f>
        <v/>
      </c>
      <c r="K19013">
        <f>IFERROR(__xludf.DUMMYFUNCTION("""COMPUTED_VALUE"""),635.8)</f>
        <v/>
      </c>
    </row>
    <row r="19014">
      <c r="J19014">
        <f>IFERROR(__xludf.DUMMYFUNCTION("""COMPUTED_VALUE"""),"Trois-Rivières,
Gatineau")</f>
        <v/>
      </c>
      <c r="K19014">
        <f>IFERROR(__xludf.DUMMYFUNCTION("""COMPUTED_VALUE"""),635.31)</f>
        <v/>
      </c>
    </row>
    <row r="19015">
      <c r="J19015">
        <f>IFERROR(__xludf.DUMMYFUNCTION("""COMPUTED_VALUE"""),"Quebéc City, Québec")</f>
        <v/>
      </c>
      <c r="K19015">
        <f>IFERROR(__xludf.DUMMYFUNCTION("""COMPUTED_VALUE"""),634.9)</f>
        <v/>
      </c>
    </row>
    <row r="19016">
      <c r="J19016">
        <f>IFERROR(__xludf.DUMMYFUNCTION("""COMPUTED_VALUE"""),"Sept-Îles, Îles-de-la-Madeleine")</f>
        <v/>
      </c>
      <c r="K19016">
        <f>IFERROR(__xludf.DUMMYFUNCTION("""COMPUTED_VALUE"""),634.849999999999)</f>
        <v/>
      </c>
    </row>
    <row r="19017">
      <c r="J19017">
        <f>IFERROR(__xludf.DUMMYFUNCTION("""COMPUTED_VALUE"""),"Eastman, Quebec, Canada")</f>
        <v/>
      </c>
      <c r="K19017">
        <f>IFERROR(__xludf.DUMMYFUNCTION("""COMPUTED_VALUE"""),634.7)</f>
        <v/>
      </c>
    </row>
    <row r="19018">
      <c r="J19018">
        <f>IFERROR(__xludf.DUMMYFUNCTION("""COMPUTED_VALUE"""),"Brampton")</f>
        <v/>
      </c>
      <c r="K19018">
        <f>IFERROR(__xludf.DUMMYFUNCTION("""COMPUTED_VALUE"""),634.67)</f>
        <v/>
      </c>
    </row>
    <row r="19019">
      <c r="J19019">
        <f>IFERROR(__xludf.DUMMYFUNCTION("""COMPUTED_VALUE"""),"Toronto - Greater Toronto Area")</f>
        <v/>
      </c>
      <c r="K19019">
        <f>IFERROR(__xludf.DUMMYFUNCTION("""COMPUTED_VALUE"""),634.41)</f>
        <v/>
      </c>
    </row>
    <row r="19020">
      <c r="J19020">
        <f>IFERROR(__xludf.DUMMYFUNCTION("""COMPUTED_VALUE"""),"St.Jean sur Richelieu, Montreal and Sherbrooke QC.")</f>
        <v/>
      </c>
      <c r="K19020">
        <f>IFERROR(__xludf.DUMMYFUNCTION("""COMPUTED_VALUE"""),633.76)</f>
        <v/>
      </c>
    </row>
    <row r="19021">
      <c r="J19021">
        <f>IFERROR(__xludf.DUMMYFUNCTION("""COMPUTED_VALUE"""),"Richmond, Virginia")</f>
        <v/>
      </c>
      <c r="K19021">
        <f>IFERROR(__xludf.DUMMYFUNCTION("""COMPUTED_VALUE"""),633.51)</f>
        <v/>
      </c>
    </row>
    <row r="19022">
      <c r="J19022">
        <f>IFERROR(__xludf.DUMMYFUNCTION("""COMPUTED_VALUE"""),"Gaspé, QC")</f>
        <v/>
      </c>
      <c r="K19022">
        <f>IFERROR(__xludf.DUMMYFUNCTION("""COMPUTED_VALUE"""),633.4)</f>
        <v/>
      </c>
    </row>
    <row r="19023">
      <c r="J19023">
        <f>IFERROR(__xludf.DUMMYFUNCTION("""COMPUTED_VALUE"""),"Casselman, Ontario, Canada")</f>
        <v/>
      </c>
      <c r="K19023">
        <f>IFERROR(__xludf.DUMMYFUNCTION("""COMPUTED_VALUE"""),633.37)</f>
        <v/>
      </c>
    </row>
    <row r="19024">
      <c r="J19024">
        <f>IFERROR(__xludf.DUMMYFUNCTION("""COMPUTED_VALUE"""),"St. Andrews and Grand Manan Island, New Brunswick, Canada")</f>
        <v/>
      </c>
      <c r="K19024">
        <f>IFERROR(__xludf.DUMMYFUNCTION("""COMPUTED_VALUE"""),632.78)</f>
        <v/>
      </c>
    </row>
    <row r="19025">
      <c r="J19025">
        <f>IFERROR(__xludf.DUMMYFUNCTION("""COMPUTED_VALUE"""),"Saint-Jean-sur-Richelieu and Halifax")</f>
        <v/>
      </c>
      <c r="K19025">
        <f>IFERROR(__xludf.DUMMYFUNCTION("""COMPUTED_VALUE"""),632)</f>
        <v/>
      </c>
    </row>
    <row r="19026">
      <c r="J19026">
        <f>IFERROR(__xludf.DUMMYFUNCTION("""COMPUTED_VALUE"""),"Summerside (Prince Edward Island) Canada; Charlottetown (Prince Edward Island) Canada")</f>
        <v/>
      </c>
      <c r="K19026">
        <f>IFERROR(__xludf.DUMMYFUNCTION("""COMPUTED_VALUE"""),631.78)</f>
        <v/>
      </c>
    </row>
    <row r="19027">
      <c r="J19027">
        <f>IFERROR(__xludf.DUMMYFUNCTION("""COMPUTED_VALUE"""),"Wilfrid-Pelletier, Quebec, Canada")</f>
        <v/>
      </c>
      <c r="K19027">
        <f>IFERROR(__xludf.DUMMYFUNCTION("""COMPUTED_VALUE"""),631.72)</f>
        <v/>
      </c>
    </row>
    <row r="19028">
      <c r="J19028">
        <f>IFERROR(__xludf.DUMMYFUNCTION("""COMPUTED_VALUE"""),"Montgomery (Alabama) United States of America")</f>
        <v/>
      </c>
      <c r="K19028">
        <f>IFERROR(__xludf.DUMMYFUNCTION("""COMPUTED_VALUE"""),630.95)</f>
        <v/>
      </c>
    </row>
    <row r="19029">
      <c r="J19029">
        <f>IFERROR(__xludf.DUMMYFUNCTION("""COMPUTED_VALUE"""),"Lac-Mégantic, Québec, Canada")</f>
        <v/>
      </c>
      <c r="K19029">
        <f>IFERROR(__xludf.DUMMYFUNCTION("""COMPUTED_VALUE"""),630.56)</f>
        <v/>
      </c>
    </row>
    <row r="19030">
      <c r="J19030">
        <f>IFERROR(__xludf.DUMMYFUNCTION("""COMPUTED_VALUE"""),"Vancouver and Bella Bella, British Columbia")</f>
        <v/>
      </c>
      <c r="K19030">
        <f>IFERROR(__xludf.DUMMYFUNCTION("""COMPUTED_VALUE"""),630.53)</f>
        <v/>
      </c>
    </row>
    <row r="19031">
      <c r="J19031">
        <f>IFERROR(__xludf.DUMMYFUNCTION("""COMPUTED_VALUE"""),"Toronto, Kitchener, Ontario &amp; Edmonton, Alberta, Canada")</f>
        <v/>
      </c>
      <c r="K19031">
        <f>IFERROR(__xludf.DUMMYFUNCTION("""COMPUTED_VALUE"""),630.27)</f>
        <v/>
      </c>
    </row>
    <row r="19032">
      <c r="J19032">
        <f>IFERROR(__xludf.DUMMYFUNCTION("""COMPUTED_VALUE"""),"Sherbrooke, Lac Mégantic, Montreal")</f>
        <v/>
      </c>
      <c r="K19032">
        <f>IFERROR(__xludf.DUMMYFUNCTION("""COMPUTED_VALUE"""),629.25)</f>
        <v/>
      </c>
    </row>
    <row r="19033">
      <c r="J19033">
        <f>IFERROR(__xludf.DUMMYFUNCTION("""COMPUTED_VALUE"""),"Tblisi, Georgia")</f>
        <v/>
      </c>
      <c r="K19033">
        <f>IFERROR(__xludf.DUMMYFUNCTION("""COMPUTED_VALUE"""),629.09)</f>
        <v/>
      </c>
    </row>
    <row r="19034">
      <c r="J19034">
        <f>IFERROR(__xludf.DUMMYFUNCTION("""COMPUTED_VALUE"""),"Orford (Quebec)")</f>
        <v/>
      </c>
      <c r="K19034">
        <f>IFERROR(__xludf.DUMMYFUNCTION("""COMPUTED_VALUE"""),629.05)</f>
        <v/>
      </c>
    </row>
    <row r="19035">
      <c r="J19035">
        <f>IFERROR(__xludf.DUMMYFUNCTION("""COMPUTED_VALUE"""),"Augusta, Maine")</f>
        <v/>
      </c>
      <c r="K19035">
        <f>IFERROR(__xludf.DUMMYFUNCTION("""COMPUTED_VALUE"""),628.44)</f>
        <v/>
      </c>
    </row>
    <row r="19036">
      <c r="J19036">
        <f>IFERROR(__xludf.DUMMYFUNCTION("""COMPUTED_VALUE"""),"Toronto, Whitby,Peterborough and Campbellford Ontario")</f>
        <v/>
      </c>
      <c r="K19036">
        <f>IFERROR(__xludf.DUMMYFUNCTION("""COMPUTED_VALUE"""),628.44)</f>
        <v/>
      </c>
    </row>
    <row r="19037">
      <c r="J19037">
        <f>IFERROR(__xludf.DUMMYFUNCTION("""COMPUTED_VALUE"""),"Peterborough, Ontario, Canada / Hamilton, Ontario, Canada")</f>
        <v/>
      </c>
      <c r="K19037">
        <f>IFERROR(__xludf.DUMMYFUNCTION("""COMPUTED_VALUE"""),628.3)</f>
        <v/>
      </c>
    </row>
    <row r="19038">
      <c r="J19038">
        <f>IFERROR(__xludf.DUMMYFUNCTION("""COMPUTED_VALUE"""),"Ulm &amp; Ramstein, Germany")</f>
        <v/>
      </c>
      <c r="K19038">
        <f>IFERROR(__xludf.DUMMYFUNCTION("""COMPUTED_VALUE"""),628.14)</f>
        <v/>
      </c>
    </row>
    <row r="19039">
      <c r="J19039">
        <f>IFERROR(__xludf.DUMMYFUNCTION("""COMPUTED_VALUE"""),"Bata, Equatorial Guinea")</f>
        <v/>
      </c>
      <c r="K19039">
        <f>IFERROR(__xludf.DUMMYFUNCTION("""COMPUTED_VALUE"""),626.72)</f>
        <v/>
      </c>
    </row>
    <row r="19040">
      <c r="J19040">
        <f>IFERROR(__xludf.DUMMYFUNCTION("""COMPUTED_VALUE"""),"Péribonka, Roberval")</f>
        <v/>
      </c>
      <c r="K19040">
        <f>IFERROR(__xludf.DUMMYFUNCTION("""COMPUTED_VALUE"""),626.41)</f>
        <v/>
      </c>
    </row>
    <row r="19041">
      <c r="J19041">
        <f>IFERROR(__xludf.DUMMYFUNCTION("""COMPUTED_VALUE"""),"Ottawa, ON - Toronto, ON  and Toronto, ON - Ottawa, ON")</f>
        <v/>
      </c>
      <c r="K19041">
        <f>IFERROR(__xludf.DUMMYFUNCTION("""COMPUTED_VALUE"""),626.25)</f>
        <v/>
      </c>
    </row>
    <row r="19042">
      <c r="J19042">
        <f>IFERROR(__xludf.DUMMYFUNCTION("""COMPUTED_VALUE"""),"Bologna, Rome and Naples, Italy")</f>
        <v/>
      </c>
      <c r="K19042">
        <f>IFERROR(__xludf.DUMMYFUNCTION("""COMPUTED_VALUE"""),626.11)</f>
        <v/>
      </c>
    </row>
    <row r="19043">
      <c r="J19043">
        <f>IFERROR(__xludf.DUMMYFUNCTION("""COMPUTED_VALUE"""),"Ottawa - Petawawa - Ottawa")</f>
        <v/>
      </c>
      <c r="K19043">
        <f>IFERROR(__xludf.DUMMYFUNCTION("""COMPUTED_VALUE"""),626.02)</f>
        <v/>
      </c>
    </row>
    <row r="19044">
      <c r="J19044">
        <f>IFERROR(__xludf.DUMMYFUNCTION("""COMPUTED_VALUE"""),"Ottawa - Brampton - Ottawa")</f>
        <v/>
      </c>
      <c r="K19044">
        <f>IFERROR(__xludf.DUMMYFUNCTION("""COMPUTED_VALUE"""),625.62)</f>
        <v/>
      </c>
    </row>
    <row r="19045">
      <c r="J19045">
        <f>IFERROR(__xludf.DUMMYFUNCTION("""COMPUTED_VALUE"""),"Rothesay, New Brunswick")</f>
        <v/>
      </c>
      <c r="K19045">
        <f>IFERROR(__xludf.DUMMYFUNCTION("""COMPUTED_VALUE"""),625.27)</f>
        <v/>
      </c>
    </row>
    <row r="19046">
      <c r="J19046">
        <f>IFERROR(__xludf.DUMMYFUNCTION("""COMPUTED_VALUE"""),"Toronto - Guelph")</f>
        <v/>
      </c>
      <c r="K19046">
        <f>IFERROR(__xludf.DUMMYFUNCTION("""COMPUTED_VALUE"""),625)</f>
        <v/>
      </c>
    </row>
    <row r="19047">
      <c r="J19047">
        <f>IFERROR(__xludf.DUMMYFUNCTION("""COMPUTED_VALUE"""),"Owen Sound, Ontario, Canada; Barrie, Ontario, Canada; Richmond Hill, Ontario, Canada")</f>
        <v/>
      </c>
      <c r="K19047">
        <f>IFERROR(__xludf.DUMMYFUNCTION("""COMPUTED_VALUE"""),624.85)</f>
        <v/>
      </c>
    </row>
    <row r="19048">
      <c r="J19048">
        <f>IFERROR(__xludf.DUMMYFUNCTION("""COMPUTED_VALUE"""),"Ste-Foy (QC)")</f>
        <v/>
      </c>
      <c r="K19048">
        <f>IFERROR(__xludf.DUMMYFUNCTION("""COMPUTED_VALUE"""),624.69)</f>
        <v/>
      </c>
    </row>
    <row r="19049">
      <c r="J19049">
        <f>IFERROR(__xludf.DUMMYFUNCTION("""COMPUTED_VALUE"""),"Montreal, St-Jean-sur-Richelieu St-Hyacinthe, QC")</f>
        <v/>
      </c>
      <c r="K19049">
        <f>IFERROR(__xludf.DUMMYFUNCTION("""COMPUTED_VALUE"""),624.6)</f>
        <v/>
      </c>
    </row>
    <row r="19050">
      <c r="J19050">
        <f>IFERROR(__xludf.DUMMYFUNCTION("""COMPUTED_VALUE"""),"Halifax, NS, Saint Andrews, NB")</f>
        <v/>
      </c>
      <c r="K19050">
        <f>IFERROR(__xludf.DUMMYFUNCTION("""COMPUTED_VALUE"""),624.55)</f>
        <v/>
      </c>
    </row>
    <row r="19051">
      <c r="J19051">
        <f>IFERROR(__xludf.DUMMYFUNCTION("""COMPUTED_VALUE"""),"Gaspé, Montréal, Sherbrooke, Rimouski")</f>
        <v/>
      </c>
      <c r="K19051">
        <f>IFERROR(__xludf.DUMMYFUNCTION("""COMPUTED_VALUE"""),624.44)</f>
        <v/>
      </c>
    </row>
    <row r="19052">
      <c r="J19052">
        <f>IFERROR(__xludf.DUMMYFUNCTION("""COMPUTED_VALUE"""),"Montreal, Quebec, Canada / Prince Edward County, Ontario, Canada / Toronto, Ontario, Canada")</f>
        <v/>
      </c>
      <c r="K19052">
        <f>IFERROR(__xludf.DUMMYFUNCTION("""COMPUTED_VALUE"""),624.28)</f>
        <v/>
      </c>
    </row>
    <row r="19053">
      <c r="J19053">
        <f>IFERROR(__xludf.DUMMYFUNCTION("""COMPUTED_VALUE"""),"Portoroz, Slovenia")</f>
        <v/>
      </c>
      <c r="K19053">
        <f>IFERROR(__xludf.DUMMYFUNCTION("""COMPUTED_VALUE"""),624.25)</f>
        <v/>
      </c>
    </row>
    <row r="19054">
      <c r="J19054">
        <f>IFERROR(__xludf.DUMMYFUNCTION("""COMPUTED_VALUE"""),"Cambridge, Ontario, Canada; Oshawa, Ontario, Canada; Toronto, Ontario, Canada")</f>
        <v/>
      </c>
      <c r="K19054">
        <f>IFERROR(__xludf.DUMMYFUNCTION("""COMPUTED_VALUE"""),623.99)</f>
        <v/>
      </c>
    </row>
    <row r="19055">
      <c r="J19055">
        <f>IFERROR(__xludf.DUMMYFUNCTION("""COMPUTED_VALUE"""),"Sydney, NS, Canada")</f>
        <v/>
      </c>
      <c r="K19055">
        <f>IFERROR(__xludf.DUMMYFUNCTION("""COMPUTED_VALUE"""),623.82)</f>
        <v/>
      </c>
    </row>
    <row r="19056">
      <c r="J19056">
        <f>IFERROR(__xludf.DUMMYFUNCTION("""COMPUTED_VALUE"""),"Georgia")</f>
        <v/>
      </c>
      <c r="K19056">
        <f>IFERROR(__xludf.DUMMYFUNCTION("""COMPUTED_VALUE"""),623.79)</f>
        <v/>
      </c>
    </row>
    <row r="19057">
      <c r="J19057">
        <f>IFERROR(__xludf.DUMMYFUNCTION("""COMPUTED_VALUE"""),"Burlington, Ontario, Canada; Mississauga, Ontario, Canada; Toronto, Ontario, Canada;")</f>
        <v/>
      </c>
      <c r="K19057">
        <f>IFERROR(__xludf.DUMMYFUNCTION("""COMPUTED_VALUE"""),623.75)</f>
        <v/>
      </c>
    </row>
    <row r="19058">
      <c r="J19058">
        <f>IFERROR(__xludf.DUMMYFUNCTION("""COMPUTED_VALUE"""),"Mirabel, Quebec Canada")</f>
        <v/>
      </c>
      <c r="K19058">
        <f>IFERROR(__xludf.DUMMYFUNCTION("""COMPUTED_VALUE"""),623.69)</f>
        <v/>
      </c>
    </row>
    <row r="19059">
      <c r="J19059">
        <f>IFERROR(__xludf.DUMMYFUNCTION("""COMPUTED_VALUE"""),"Sherbrooke (Quebec) Canada
Edmunston (New Brunswick) Canada")</f>
        <v/>
      </c>
      <c r="K19059">
        <f>IFERROR(__xludf.DUMMYFUNCTION("""COMPUTED_VALUE"""),623.45)</f>
        <v/>
      </c>
    </row>
    <row r="19060">
      <c r="J19060">
        <f>IFERROR(__xludf.DUMMYFUNCTION("""COMPUTED_VALUE"""),"Warkworth,ON, Canada")</f>
        <v/>
      </c>
      <c r="K19060">
        <f>IFERROR(__xludf.DUMMYFUNCTION("""COMPUTED_VALUE"""),623.29)</f>
        <v/>
      </c>
    </row>
    <row r="19061">
      <c r="J19061">
        <f>IFERROR(__xludf.DUMMYFUNCTION("""COMPUTED_VALUE"""),"Ottawa, Halifax, Canada.")</f>
        <v/>
      </c>
      <c r="K19061">
        <f>IFERROR(__xludf.DUMMYFUNCTION("""COMPUTED_VALUE"""),622.8)</f>
        <v/>
      </c>
    </row>
    <row r="19062">
      <c r="J19062">
        <f>IFERROR(__xludf.DUMMYFUNCTION("""COMPUTED_VALUE"""),"Montreal - Sherbrooke, QC")</f>
        <v/>
      </c>
      <c r="K19062">
        <f>IFERROR(__xludf.DUMMYFUNCTION("""COMPUTED_VALUE"""),621.92)</f>
        <v/>
      </c>
    </row>
    <row r="19063">
      <c r="J19063">
        <f>IFERROR(__xludf.DUMMYFUNCTION("""COMPUTED_VALUE"""),"Toronto / Collingwood, Ontario, Canada")</f>
        <v/>
      </c>
      <c r="K19063">
        <f>IFERROR(__xludf.DUMMYFUNCTION("""COMPUTED_VALUE"""),621.21)</f>
        <v/>
      </c>
    </row>
    <row r="19064">
      <c r="J19064">
        <f>IFERROR(__xludf.DUMMYFUNCTION("""COMPUTED_VALUE"""),"The Hague-Brussels-Maastrich- The Hague")</f>
        <v/>
      </c>
      <c r="K19064">
        <f>IFERROR(__xludf.DUMMYFUNCTION("""COMPUTED_VALUE"""),620.69)</f>
        <v/>
      </c>
    </row>
    <row r="19065">
      <c r="J19065">
        <f>IFERROR(__xludf.DUMMYFUNCTION("""COMPUTED_VALUE"""),"Montreal, Quebec; Saint-Esprit, Quebec; Saint-Cesaire, Quebec")</f>
        <v/>
      </c>
      <c r="K19065">
        <f>IFERROR(__xludf.DUMMYFUNCTION("""COMPUTED_VALUE"""),620.47)</f>
        <v/>
      </c>
    </row>
    <row r="19066">
      <c r="J19066">
        <f>IFERROR(__xludf.DUMMYFUNCTION("""COMPUTED_VALUE"""),"Port Albeni, BC, Canada")</f>
        <v/>
      </c>
      <c r="K19066">
        <f>IFERROR(__xludf.DUMMYFUNCTION("""COMPUTED_VALUE"""),620.18)</f>
        <v/>
      </c>
    </row>
    <row r="19067">
      <c r="J19067">
        <f>IFERROR(__xludf.DUMMYFUNCTION("""COMPUTED_VALUE"""),"Montréal, Roberval")</f>
        <v/>
      </c>
      <c r="K19067">
        <f>IFERROR(__xludf.DUMMYFUNCTION("""COMPUTED_VALUE"""),620.089999999999)</f>
        <v/>
      </c>
    </row>
    <row r="19068">
      <c r="J19068">
        <f>IFERROR(__xludf.DUMMYFUNCTION("""COMPUTED_VALUE"""),"Saint-Sauveur, Quebec")</f>
        <v/>
      </c>
      <c r="K19068">
        <f>IFERROR(__xludf.DUMMYFUNCTION("""COMPUTED_VALUE"""),619.74)</f>
        <v/>
      </c>
    </row>
    <row r="19069">
      <c r="J19069">
        <f>IFERROR(__xludf.DUMMYFUNCTION("""COMPUTED_VALUE"""),"Halifax, Winnipeg")</f>
        <v/>
      </c>
      <c r="K19069">
        <f>IFERROR(__xludf.DUMMYFUNCTION("""COMPUTED_VALUE"""),619.17)</f>
        <v/>
      </c>
    </row>
    <row r="19070">
      <c r="J19070">
        <f>IFERROR(__xludf.DUMMYFUNCTION("""COMPUTED_VALUE"""),"Roberval, Rimouski, Québec, Montréal")</f>
        <v/>
      </c>
      <c r="K19070">
        <f>IFERROR(__xludf.DUMMYFUNCTION("""COMPUTED_VALUE"""),618.69)</f>
        <v/>
      </c>
    </row>
    <row r="19071">
      <c r="J19071">
        <f>IFERROR(__xludf.DUMMYFUNCTION("""COMPUTED_VALUE"""),"Val-d'Or and Sherbrooke")</f>
        <v/>
      </c>
      <c r="K19071">
        <f>IFERROR(__xludf.DUMMYFUNCTION("""COMPUTED_VALUE"""),618.56)</f>
        <v/>
      </c>
    </row>
    <row r="19072">
      <c r="J19072">
        <f>IFERROR(__xludf.DUMMYFUNCTION("""COMPUTED_VALUE"""),"Quebec, Sherbrooke, QC")</f>
        <v/>
      </c>
      <c r="K19072">
        <f>IFERROR(__xludf.DUMMYFUNCTION("""COMPUTED_VALUE"""),618.44)</f>
        <v/>
      </c>
    </row>
    <row r="19073">
      <c r="J19073">
        <f>IFERROR(__xludf.DUMMYFUNCTION("""COMPUTED_VALUE"""),"Halifax, Windsor and Truro, Nova Scotia")</f>
        <v/>
      </c>
      <c r="K19073">
        <f>IFERROR(__xludf.DUMMYFUNCTION("""COMPUTED_VALUE"""),617.92)</f>
        <v/>
      </c>
    </row>
    <row r="19074">
      <c r="J19074">
        <f>IFERROR(__xludf.DUMMYFUNCTION("""COMPUTED_VALUE"""),"Tiverton, ON")</f>
        <v/>
      </c>
      <c r="K19074">
        <f>IFERROR(__xludf.DUMMYFUNCTION("""COMPUTED_VALUE"""),617.86)</f>
        <v/>
      </c>
    </row>
    <row r="19075">
      <c r="J19075">
        <f>IFERROR(__xludf.DUMMYFUNCTION("""COMPUTED_VALUE"""),"Niagara Fall, Ontario, Canada")</f>
        <v/>
      </c>
      <c r="K19075">
        <f>IFERROR(__xludf.DUMMYFUNCTION("""COMPUTED_VALUE"""),617.83)</f>
        <v/>
      </c>
    </row>
    <row r="19076">
      <c r="J19076">
        <f>IFERROR(__xludf.DUMMYFUNCTION("""COMPUTED_VALUE"""),"Ottawa- Toronto- Cambridge")</f>
        <v/>
      </c>
      <c r="K19076">
        <f>IFERROR(__xludf.DUMMYFUNCTION("""COMPUTED_VALUE"""),617.72)</f>
        <v/>
      </c>
    </row>
    <row r="19077">
      <c r="J19077">
        <f>IFERROR(__xludf.DUMMYFUNCTION("""COMPUTED_VALUE"""),"Sherbrooke (Quebec) Canada; Lac St-Jean (Quebec) Canada")</f>
        <v/>
      </c>
      <c r="K19077">
        <f>IFERROR(__xludf.DUMMYFUNCTION("""COMPUTED_VALUE"""),617.3)</f>
        <v/>
      </c>
    </row>
    <row r="19078">
      <c r="J19078">
        <f>IFERROR(__xludf.DUMMYFUNCTION("""COMPUTED_VALUE"""),"Montreal, Trois-Rivieres and Roberval, Quebec")</f>
        <v/>
      </c>
      <c r="K19078">
        <f>IFERROR(__xludf.DUMMYFUNCTION("""COMPUTED_VALUE"""),617.29)</f>
        <v/>
      </c>
    </row>
    <row r="19079">
      <c r="J19079">
        <f>IFERROR(__xludf.DUMMYFUNCTION("""COMPUTED_VALUE"""),"Quebec City, Sainte-Marie and Bagotville, Quebec")</f>
        <v/>
      </c>
      <c r="K19079">
        <f>IFERROR(__xludf.DUMMYFUNCTION("""COMPUTED_VALUE"""),617.18)</f>
        <v/>
      </c>
    </row>
    <row r="19080">
      <c r="J19080">
        <f>IFERROR(__xludf.DUMMYFUNCTION("""COMPUTED_VALUE"""),"Vancouver/Kelowna, BC")</f>
        <v/>
      </c>
      <c r="K19080">
        <f>IFERROR(__xludf.DUMMYFUNCTION("""COMPUTED_VALUE"""),616.65)</f>
        <v/>
      </c>
    </row>
    <row r="19081">
      <c r="J19081">
        <f>IFERROR(__xludf.DUMMYFUNCTION("""COMPUTED_VALUE"""),"Bromont et St-Hubert, QC")</f>
        <v/>
      </c>
      <c r="K19081">
        <f>IFERROR(__xludf.DUMMYFUNCTION("""COMPUTED_VALUE"""),616.57)</f>
        <v/>
      </c>
    </row>
    <row r="19082">
      <c r="J19082">
        <f>IFERROR(__xludf.DUMMYFUNCTION("""COMPUTED_VALUE"""),"Dakar, Senegal / Kinshasa, Democratic Republic of the Congo")</f>
        <v/>
      </c>
      <c r="K19082">
        <f>IFERROR(__xludf.DUMMYFUNCTION("""COMPUTED_VALUE"""),616.57)</f>
        <v/>
      </c>
    </row>
    <row r="19083">
      <c r="J19083">
        <f>IFERROR(__xludf.DUMMYFUNCTION("""COMPUTED_VALUE"""),"Ste-Anne-des-Plaines, Quebec")</f>
        <v/>
      </c>
      <c r="K19083">
        <f>IFERROR(__xludf.DUMMYFUNCTION("""COMPUTED_VALUE"""),615.28)</f>
        <v/>
      </c>
    </row>
    <row r="19084">
      <c r="J19084">
        <f>IFERROR(__xludf.DUMMYFUNCTION("""COMPUTED_VALUE"""),"Montreal (Quebec), Quebec, (Quebec)")</f>
        <v/>
      </c>
      <c r="K19084">
        <f>IFERROR(__xludf.DUMMYFUNCTION("""COMPUTED_VALUE"""),615.16)</f>
        <v/>
      </c>
    </row>
    <row r="19085">
      <c r="J19085">
        <f>IFERROR(__xludf.DUMMYFUNCTION("""COMPUTED_VALUE"""),"Montréal, QC Ottawa, ON North Hatley, QC")</f>
        <v/>
      </c>
      <c r="K19085">
        <f>IFERROR(__xludf.DUMMYFUNCTION("""COMPUTED_VALUE"""),614.66)</f>
        <v/>
      </c>
    </row>
    <row r="19086">
      <c r="J19086">
        <f>IFERROR(__xludf.DUMMYFUNCTION("""COMPUTED_VALUE"""),"Ottawa, ON, Boucherville, Blainville, Verdun and Montreal, QC")</f>
        <v/>
      </c>
      <c r="K19086">
        <f>IFERROR(__xludf.DUMMYFUNCTION("""COMPUTED_VALUE"""),614.64)</f>
        <v/>
      </c>
    </row>
    <row r="19087">
      <c r="J19087">
        <f>IFERROR(__xludf.DUMMYFUNCTION("""COMPUTED_VALUE"""),"St. Catharine's, Ontario")</f>
        <v/>
      </c>
      <c r="K19087">
        <f>IFERROR(__xludf.DUMMYFUNCTION("""COMPUTED_VALUE"""),614.4)</f>
        <v/>
      </c>
    </row>
    <row r="19088">
      <c r="J19088">
        <f>IFERROR(__xludf.DUMMYFUNCTION("""COMPUTED_VALUE"""),"Maple Creek, SK")</f>
        <v/>
      </c>
      <c r="K19088">
        <f>IFERROR(__xludf.DUMMYFUNCTION("""COMPUTED_VALUE"""),614.34)</f>
        <v/>
      </c>
    </row>
    <row r="19089">
      <c r="J19089">
        <f>IFERROR(__xludf.DUMMYFUNCTION("""COMPUTED_VALUE"""),"Burnaby, B.C.")</f>
        <v/>
      </c>
      <c r="K19089">
        <f>IFERROR(__xludf.DUMMYFUNCTION("""COMPUTED_VALUE"""),614.09)</f>
        <v/>
      </c>
    </row>
    <row r="19090">
      <c r="J19090">
        <f>IFERROR(__xludf.DUMMYFUNCTION("""COMPUTED_VALUE"""),"Springfield, MA")</f>
        <v/>
      </c>
      <c r="K19090">
        <f>IFERROR(__xludf.DUMMYFUNCTION("""COMPUTED_VALUE"""),613.42)</f>
        <v/>
      </c>
    </row>
    <row r="19091">
      <c r="J19091">
        <f>IFERROR(__xludf.DUMMYFUNCTION("""COMPUTED_VALUE"""),"Toronto, Kingston")</f>
        <v/>
      </c>
      <c r="K19091">
        <f>IFERROR(__xludf.DUMMYFUNCTION("""COMPUTED_VALUE"""),613.17)</f>
        <v/>
      </c>
    </row>
    <row r="19092">
      <c r="J19092">
        <f>IFERROR(__xludf.DUMMYFUNCTION("""COMPUTED_VALUE"""),"Rivière-du-Loup, Québec, Trois-Rivières, Roberval")</f>
        <v/>
      </c>
      <c r="K19092">
        <f>IFERROR(__xludf.DUMMYFUNCTION("""COMPUTED_VALUE"""),613.1)</f>
        <v/>
      </c>
    </row>
    <row r="19093">
      <c r="J19093">
        <f>IFERROR(__xludf.DUMMYFUNCTION("""COMPUTED_VALUE"""),"Lac Carling, QC")</f>
        <v/>
      </c>
      <c r="K19093">
        <f>IFERROR(__xludf.DUMMYFUNCTION("""COMPUTED_VALUE"""),613)</f>
        <v/>
      </c>
    </row>
    <row r="19094">
      <c r="J19094">
        <f>IFERROR(__xludf.DUMMYFUNCTION("""COMPUTED_VALUE"""),"Montréal, Percé, Rimouski")</f>
        <v/>
      </c>
      <c r="K19094">
        <f>IFERROR(__xludf.DUMMYFUNCTION("""COMPUTED_VALUE"""),612.83)</f>
        <v/>
      </c>
    </row>
    <row r="19095">
      <c r="J19095">
        <f>IFERROR(__xludf.DUMMYFUNCTION("""COMPUTED_VALUE"""),"Avignon, France")</f>
        <v/>
      </c>
      <c r="K19095">
        <f>IFERROR(__xludf.DUMMYFUNCTION("""COMPUTED_VALUE"""),612.51)</f>
        <v/>
      </c>
    </row>
    <row r="19096">
      <c r="J19096">
        <f>IFERROR(__xludf.DUMMYFUNCTION("""COMPUTED_VALUE"""),"Kingston ( Ontario) canada")</f>
        <v/>
      </c>
      <c r="K19096">
        <f>IFERROR(__xludf.DUMMYFUNCTION("""COMPUTED_VALUE"""),612.4)</f>
        <v/>
      </c>
    </row>
    <row r="19097">
      <c r="J19097">
        <f>IFERROR(__xludf.DUMMYFUNCTION("""COMPUTED_VALUE"""),"Tonronto and Montreal")</f>
        <v/>
      </c>
      <c r="K19097">
        <f>IFERROR(__xludf.DUMMYFUNCTION("""COMPUTED_VALUE"""),610.18)</f>
        <v/>
      </c>
    </row>
    <row r="19098">
      <c r="J19098">
        <f>IFERROR(__xludf.DUMMYFUNCTION("""COMPUTED_VALUE"""),"Gatineau , Quebec, Canada")</f>
        <v/>
      </c>
      <c r="K19098">
        <f>IFERROR(__xludf.DUMMYFUNCTION("""COMPUTED_VALUE"""),609.94)</f>
        <v/>
      </c>
    </row>
    <row r="19099">
      <c r="J19099">
        <f>IFERROR(__xludf.DUMMYFUNCTION("""COMPUTED_VALUE"""),"Calgary, Alberta, Canada; Kamloops, British Columbia, Canada")</f>
        <v/>
      </c>
      <c r="K19099">
        <f>IFERROR(__xludf.DUMMYFUNCTION("""COMPUTED_VALUE"""),609.78)</f>
        <v/>
      </c>
    </row>
    <row r="19100">
      <c r="J19100">
        <f>IFERROR(__xludf.DUMMYFUNCTION("""COMPUTED_VALUE"""),"Montreal, Quebec, Canada / Mirabel, Quebec, Canada")</f>
        <v/>
      </c>
      <c r="K19100">
        <f>IFERROR(__xludf.DUMMYFUNCTION("""COMPUTED_VALUE"""),609.7)</f>
        <v/>
      </c>
    </row>
    <row r="19101">
      <c r="J19101">
        <f>IFERROR(__xludf.DUMMYFUNCTION("""COMPUTED_VALUE"""),"Longueuil(Québec)Canada")</f>
        <v/>
      </c>
      <c r="K19101">
        <f>IFERROR(__xludf.DUMMYFUNCTION("""COMPUTED_VALUE"""),609.69)</f>
        <v/>
      </c>
    </row>
    <row r="19102">
      <c r="J19102">
        <f>IFERROR(__xludf.DUMMYFUNCTION("""COMPUTED_VALUE"""),"Shawinigan (Quebec) ; Jonquiere (Quebec), Canada")</f>
        <v/>
      </c>
      <c r="K19102">
        <f>IFERROR(__xludf.DUMMYFUNCTION("""COMPUTED_VALUE"""),609.61)</f>
        <v/>
      </c>
    </row>
    <row r="19103">
      <c r="J19103">
        <f>IFERROR(__xludf.DUMMYFUNCTION("""COMPUTED_VALUE"""),"Port Hope and Chalk River, Ontario")</f>
        <v/>
      </c>
      <c r="K19103">
        <f>IFERROR(__xludf.DUMMYFUNCTION("""COMPUTED_VALUE"""),609.57)</f>
        <v/>
      </c>
    </row>
    <row r="19104">
      <c r="J19104">
        <f>IFERROR(__xludf.DUMMYFUNCTION("""COMPUTED_VALUE"""),"Ottawa, ON-Halifax, NS/Halifax, NS-Ottawa, ON")</f>
        <v/>
      </c>
      <c r="K19104">
        <f>IFERROR(__xludf.DUMMYFUNCTION("""COMPUTED_VALUE"""),609.22)</f>
        <v/>
      </c>
    </row>
    <row r="19105">
      <c r="J19105">
        <f>IFERROR(__xludf.DUMMYFUNCTION("""COMPUTED_VALUE"""),"in London")</f>
        <v/>
      </c>
      <c r="K19105">
        <f>IFERROR(__xludf.DUMMYFUNCTION("""COMPUTED_VALUE"""),609.11)</f>
        <v/>
      </c>
    </row>
    <row r="19106">
      <c r="J19106">
        <f>IFERROR(__xludf.DUMMYFUNCTION("""COMPUTED_VALUE"""),"Gravenhurst, Ontario Canada")</f>
        <v/>
      </c>
      <c r="K19106">
        <f>IFERROR(__xludf.DUMMYFUNCTION("""COMPUTED_VALUE"""),609.1)</f>
        <v/>
      </c>
    </row>
    <row r="19107">
      <c r="J19107">
        <f>IFERROR(__xludf.DUMMYFUNCTION("""COMPUTED_VALUE"""),"Peterborough, ON  Belleville, ON")</f>
        <v/>
      </c>
      <c r="K19107">
        <f>IFERROR(__xludf.DUMMYFUNCTION("""COMPUTED_VALUE"""),608.9)</f>
        <v/>
      </c>
    </row>
    <row r="19108">
      <c r="J19108">
        <f>IFERROR(__xludf.DUMMYFUNCTION("""COMPUTED_VALUE"""),"North Bay and Trenton, Ontario, Canada")</f>
        <v/>
      </c>
      <c r="K19108">
        <f>IFERROR(__xludf.DUMMYFUNCTION("""COMPUTED_VALUE"""),608.53)</f>
        <v/>
      </c>
    </row>
    <row r="19109">
      <c r="J19109">
        <f>IFERROR(__xludf.DUMMYFUNCTION("""COMPUTED_VALUE"""),"Halifax, Lunenberg and Bridgewater, Nova Scotia")</f>
        <v/>
      </c>
      <c r="K19109">
        <f>IFERROR(__xludf.DUMMYFUNCTION("""COMPUTED_VALUE"""),608.5)</f>
        <v/>
      </c>
    </row>
    <row r="19110">
      <c r="J19110">
        <f>IFERROR(__xludf.DUMMYFUNCTION("""COMPUTED_VALUE"""),"Shediac, New-Brunswick, Canada")</f>
        <v/>
      </c>
      <c r="K19110">
        <f>IFERROR(__xludf.DUMMYFUNCTION("""COMPUTED_VALUE"""),608.3)</f>
        <v/>
      </c>
    </row>
    <row r="19111">
      <c r="J19111">
        <f>IFERROR(__xludf.DUMMYFUNCTION("""COMPUTED_VALUE"""),"Truro, Nova Scotia, Canada; Toronto, Ontario, Canada; Calgary, Alberta, Canada; Montreal, Quebec, Canada")</f>
        <v/>
      </c>
      <c r="K19111">
        <f>IFERROR(__xludf.DUMMYFUNCTION("""COMPUTED_VALUE"""),607.86)</f>
        <v/>
      </c>
    </row>
    <row r="19112">
      <c r="J19112">
        <f>IFERROR(__xludf.DUMMYFUNCTION("""COMPUTED_VALUE"""),"Brossard")</f>
        <v/>
      </c>
      <c r="K19112">
        <f>IFERROR(__xludf.DUMMYFUNCTION("""COMPUTED_VALUE"""),607.67)</f>
        <v/>
      </c>
    </row>
    <row r="19113">
      <c r="J19113">
        <f>IFERROR(__xludf.DUMMYFUNCTION("""COMPUTED_VALUE"""),"Halifax, Weymouth, Cornwallis, Annapolis Royal and Berwick, Nova Scotia")</f>
        <v/>
      </c>
      <c r="K19113">
        <f>IFERROR(__xludf.DUMMYFUNCTION("""COMPUTED_VALUE"""),607.23)</f>
        <v/>
      </c>
    </row>
    <row r="19114">
      <c r="J19114">
        <f>IFERROR(__xludf.DUMMYFUNCTION("""COMPUTED_VALUE"""),"Winnipeg, Manitoba, Canada  and Sandiego, California, United States")</f>
        <v/>
      </c>
      <c r="K19114">
        <f>IFERROR(__xludf.DUMMYFUNCTION("""COMPUTED_VALUE"""),607.14)</f>
        <v/>
      </c>
    </row>
    <row r="19115">
      <c r="J19115">
        <f>IFERROR(__xludf.DUMMYFUNCTION("""COMPUTED_VALUE"""),"Shawinigan, Quebec, Canada; Montréal, Quebec, Canada; Verdun, Quebec, Canada")</f>
        <v/>
      </c>
      <c r="K19115">
        <f>IFERROR(__xludf.DUMMYFUNCTION("""COMPUTED_VALUE"""),606.93)</f>
        <v/>
      </c>
    </row>
    <row r="19116">
      <c r="J19116">
        <f>IFERROR(__xludf.DUMMYFUNCTION("""COMPUTED_VALUE"""),"Dieppe.")</f>
        <v/>
      </c>
      <c r="K19116">
        <f>IFERROR(__xludf.DUMMYFUNCTION("""COMPUTED_VALUE"""),606.42)</f>
        <v/>
      </c>
    </row>
    <row r="19117">
      <c r="J19117">
        <f>IFERROR(__xludf.DUMMYFUNCTION("""COMPUTED_VALUE"""),"Vancouver and Port Alberni, British Columbia")</f>
        <v/>
      </c>
      <c r="K19117">
        <f>IFERROR(__xludf.DUMMYFUNCTION("""COMPUTED_VALUE"""),606.01)</f>
        <v/>
      </c>
    </row>
    <row r="19118">
      <c r="J19118">
        <f>IFERROR(__xludf.DUMMYFUNCTION("""COMPUTED_VALUE"""),"Mont St-Saveur, QC")</f>
        <v/>
      </c>
      <c r="K19118">
        <f>IFERROR(__xludf.DUMMYFUNCTION("""COMPUTED_VALUE"""),605)</f>
        <v/>
      </c>
    </row>
    <row r="19119">
      <c r="J19119">
        <f>IFERROR(__xludf.DUMMYFUNCTION("""COMPUTED_VALUE"""),"Montreal, Trois-Rivières, Akwasasne, Quebec")</f>
        <v/>
      </c>
      <c r="K19119">
        <f>IFERROR(__xludf.DUMMYFUNCTION("""COMPUTED_VALUE"""),604.62)</f>
        <v/>
      </c>
    </row>
    <row r="19120">
      <c r="J19120">
        <f>IFERROR(__xludf.DUMMYFUNCTION("""COMPUTED_VALUE"""),"Regina, Sasksatchewan; Prince Albert, Saskatchewan")</f>
        <v/>
      </c>
      <c r="K19120">
        <f>IFERROR(__xludf.DUMMYFUNCTION("""COMPUTED_VALUE"""),604.62)</f>
        <v/>
      </c>
    </row>
    <row r="19121">
      <c r="J19121">
        <f>IFERROR(__xludf.DUMMYFUNCTION("""COMPUTED_VALUE"""),"Montreal, Ste-Hyacinthe, Trois-Rivieres, La Tuque, Chambord and Saguenay, Quebec")</f>
        <v/>
      </c>
      <c r="K19121">
        <f>IFERROR(__xludf.DUMMYFUNCTION("""COMPUTED_VALUE"""),604.39)</f>
        <v/>
      </c>
    </row>
    <row r="19122">
      <c r="J19122">
        <f>IFERROR(__xludf.DUMMYFUNCTION("""COMPUTED_VALUE"""),"Miramichi, Pointe-Sapin, Neguac, Tracadie-Sheila, Caraquet, New Brunswick")</f>
        <v/>
      </c>
      <c r="K19122">
        <f>IFERROR(__xludf.DUMMYFUNCTION("""COMPUTED_VALUE"""),604.08)</f>
        <v/>
      </c>
    </row>
    <row r="19123">
      <c r="J19123">
        <f>IFERROR(__xludf.DUMMYFUNCTION("""COMPUTED_VALUE"""),"Greenwood, Canada")</f>
        <v/>
      </c>
      <c r="K19123">
        <f>IFERROR(__xludf.DUMMYFUNCTION("""COMPUTED_VALUE"""),604.06)</f>
        <v/>
      </c>
    </row>
    <row r="19124">
      <c r="J19124">
        <f>IFERROR(__xludf.DUMMYFUNCTION("""COMPUTED_VALUE"""),"Beijing, China; Hanoi, Vietnam")</f>
        <v/>
      </c>
      <c r="K19124">
        <f>IFERROR(__xludf.DUMMYFUNCTION("""COMPUTED_VALUE"""),603.99)</f>
        <v/>
      </c>
    </row>
    <row r="19125">
      <c r="J19125">
        <f>IFERROR(__xludf.DUMMYFUNCTION("""COMPUTED_VALUE"""),"Montréal and Trois-Rivières, Québec")</f>
        <v/>
      </c>
      <c r="K19125">
        <f>IFERROR(__xludf.DUMMYFUNCTION("""COMPUTED_VALUE"""),603.78)</f>
        <v/>
      </c>
    </row>
    <row r="19126">
      <c r="J19126">
        <f>IFERROR(__xludf.DUMMYFUNCTION("""COMPUTED_VALUE"""),"Mississauga, London and Windsor, Ontario, Canda")</f>
        <v/>
      </c>
      <c r="K19126">
        <f>IFERROR(__xludf.DUMMYFUNCTION("""COMPUTED_VALUE"""),603.75)</f>
        <v/>
      </c>
    </row>
    <row r="19127">
      <c r="J19127">
        <f>IFERROR(__xludf.DUMMYFUNCTION("""COMPUTED_VALUE"""),"Guelph and Waterloo, Ontario")</f>
        <v/>
      </c>
      <c r="K19127">
        <f>IFERROR(__xludf.DUMMYFUNCTION("""COMPUTED_VALUE"""),603.57)</f>
        <v/>
      </c>
    </row>
    <row r="19128">
      <c r="J19128">
        <f>IFERROR(__xludf.DUMMYFUNCTION("""COMPUTED_VALUE"""),"Chiapas")</f>
        <v/>
      </c>
      <c r="K19128">
        <f>IFERROR(__xludf.DUMMYFUNCTION("""COMPUTED_VALUE"""),602.86)</f>
        <v/>
      </c>
    </row>
    <row r="19129">
      <c r="J19129">
        <f>IFERROR(__xludf.DUMMYFUNCTION("""COMPUTED_VALUE"""),"Trois-Rivières, Quebec, Canada; Québec, Quebec, Canada")</f>
        <v/>
      </c>
      <c r="K19129">
        <f>IFERROR(__xludf.DUMMYFUNCTION("""COMPUTED_VALUE"""),602.72)</f>
        <v/>
      </c>
    </row>
    <row r="19130">
      <c r="J19130">
        <f>IFERROR(__xludf.DUMMYFUNCTION("""COMPUTED_VALUE"""),"Vatican City")</f>
        <v/>
      </c>
      <c r="K19130">
        <f>IFERROR(__xludf.DUMMYFUNCTION("""COMPUTED_VALUE"""),602.08)</f>
        <v/>
      </c>
    </row>
    <row r="19131">
      <c r="J19131">
        <f>IFERROR(__xludf.DUMMYFUNCTION("""COMPUTED_VALUE"""),"Calgary,Ottawa,canada")</f>
        <v/>
      </c>
      <c r="K19131">
        <f>IFERROR(__xludf.DUMMYFUNCTION("""COMPUTED_VALUE"""),601.44)</f>
        <v/>
      </c>
    </row>
    <row r="19132">
      <c r="J19132">
        <f>IFERROR(__xludf.DUMMYFUNCTION("""COMPUTED_VALUE"""),"Eastman, St-Bonaventure")</f>
        <v/>
      </c>
      <c r="K19132">
        <f>IFERROR(__xludf.DUMMYFUNCTION("""COMPUTED_VALUE"""),601.36)</f>
        <v/>
      </c>
    </row>
    <row r="19133">
      <c r="J19133">
        <f>IFERROR(__xludf.DUMMYFUNCTION("""COMPUTED_VALUE"""),"Moncton, NB, Summerside, PE")</f>
        <v/>
      </c>
      <c r="K19133">
        <f>IFERROR(__xludf.DUMMYFUNCTION("""COMPUTED_VALUE"""),601.3)</f>
        <v/>
      </c>
    </row>
    <row r="19134">
      <c r="J19134">
        <f>IFERROR(__xludf.DUMMYFUNCTION("""COMPUTED_VALUE"""),"Kelowna/Penticton")</f>
        <v/>
      </c>
      <c r="K19134">
        <f>IFERROR(__xludf.DUMMYFUNCTION("""COMPUTED_VALUE"""),600.23)</f>
        <v/>
      </c>
    </row>
    <row r="19135">
      <c r="J19135">
        <f>IFERROR(__xludf.DUMMYFUNCTION("""COMPUTED_VALUE"""),"Mississauga and Toronto, Ontario")</f>
        <v/>
      </c>
      <c r="K19135">
        <f>IFERROR(__xludf.DUMMYFUNCTION("""COMPUTED_VALUE"""),600)</f>
        <v/>
      </c>
    </row>
    <row r="19136">
      <c r="J19136">
        <f>IFERROR(__xludf.DUMMYFUNCTION("""COMPUTED_VALUE"""),"Montreal, Orford, Laval Quebec, (Canada)")</f>
        <v/>
      </c>
      <c r="K19136">
        <f>IFERROR(__xludf.DUMMYFUNCTION("""COMPUTED_VALUE"""),599.61)</f>
        <v/>
      </c>
    </row>
    <row r="19137">
      <c r="J19137">
        <f>IFERROR(__xludf.DUMMYFUNCTION("""COMPUTED_VALUE"""),"Dalhousie, NS")</f>
        <v/>
      </c>
      <c r="K19137">
        <f>IFERROR(__xludf.DUMMYFUNCTION("""COMPUTED_VALUE"""),599.49)</f>
        <v/>
      </c>
    </row>
    <row r="19138">
      <c r="J19138">
        <f>IFERROR(__xludf.DUMMYFUNCTION("""COMPUTED_VALUE"""),"Trois-Rivières, Quebec, Canada / Quebec, Quebec, Canada / Chicoutimi, Quebec, Canada")</f>
        <v/>
      </c>
      <c r="K19138">
        <f>IFERROR(__xludf.DUMMYFUNCTION("""COMPUTED_VALUE"""),599.01)</f>
        <v/>
      </c>
    </row>
    <row r="19139">
      <c r="J19139">
        <f>IFERROR(__xludf.DUMMYFUNCTION("""COMPUTED_VALUE"""),"Mallorytown, Ontario, Canada -
Kingston, Ontario, Canada")</f>
        <v/>
      </c>
      <c r="K19139">
        <f>IFERROR(__xludf.DUMMYFUNCTION("""COMPUTED_VALUE"""),598.71)</f>
        <v/>
      </c>
    </row>
    <row r="19140">
      <c r="J19140">
        <f>IFERROR(__xludf.DUMMYFUNCTION("""COMPUTED_VALUE"""),"Cypress County, Alberta, Canada")</f>
        <v/>
      </c>
      <c r="K19140">
        <f>IFERROR(__xludf.DUMMYFUNCTION("""COMPUTED_VALUE"""),598.15)</f>
        <v/>
      </c>
    </row>
    <row r="19141">
      <c r="J19141">
        <f>IFERROR(__xludf.DUMMYFUNCTION("""COMPUTED_VALUE"""),"Montreal, QC Ottawa, ON")</f>
        <v/>
      </c>
      <c r="K19141">
        <f>IFERROR(__xludf.DUMMYFUNCTION("""COMPUTED_VALUE"""),597.87)</f>
        <v/>
      </c>
    </row>
    <row r="19142">
      <c r="J19142">
        <f>IFERROR(__xludf.DUMMYFUNCTION("""COMPUTED_VALUE"""),"Trois-Rivières, Quebec, Canada; Shawinigan, Quebec, Canada")</f>
        <v/>
      </c>
      <c r="K19142">
        <f>IFERROR(__xludf.DUMMYFUNCTION("""COMPUTED_VALUE"""),597.31)</f>
        <v/>
      </c>
    </row>
    <row r="19143">
      <c r="J19143">
        <f>IFERROR(__xludf.DUMMYFUNCTION("""COMPUTED_VALUE"""),"Inuvik, NT")</f>
        <v/>
      </c>
      <c r="K19143">
        <f>IFERROR(__xludf.DUMMYFUNCTION("""COMPUTED_VALUE"""),597)</f>
        <v/>
      </c>
    </row>
    <row r="19144">
      <c r="J19144">
        <f>IFERROR(__xludf.DUMMYFUNCTION("""COMPUTED_VALUE"""),"Rigaud, Québec")</f>
        <v/>
      </c>
      <c r="K19144">
        <f>IFERROR(__xludf.DUMMYFUNCTION("""COMPUTED_VALUE"""),597)</f>
        <v/>
      </c>
    </row>
    <row r="19145">
      <c r="J19145">
        <f>IFERROR(__xludf.DUMMYFUNCTION("""COMPUTED_VALUE"""),"All Canada")</f>
        <v/>
      </c>
      <c r="K19145">
        <f>IFERROR(__xludf.DUMMYFUNCTION("""COMPUTED_VALUE"""),596.64)</f>
        <v/>
      </c>
    </row>
    <row r="19146">
      <c r="J19146">
        <f>IFERROR(__xludf.DUMMYFUNCTION("""COMPUTED_VALUE"""),"Montreal,  Quebec (Canada).")</f>
        <v/>
      </c>
      <c r="K19146">
        <f>IFERROR(__xludf.DUMMYFUNCTION("""COMPUTED_VALUE"""),596.42)</f>
        <v/>
      </c>
    </row>
    <row r="19147">
      <c r="J19147">
        <f>IFERROR(__xludf.DUMMYFUNCTION("""COMPUTED_VALUE"""),"Saint-Jean, Quebec")</f>
        <v/>
      </c>
      <c r="K19147">
        <f>IFERROR(__xludf.DUMMYFUNCTION("""COMPUTED_VALUE"""),596.26)</f>
        <v/>
      </c>
    </row>
    <row r="19148">
      <c r="J19148">
        <f>IFERROR(__xludf.DUMMYFUNCTION("""COMPUTED_VALUE"""),"Drummondville, Quebec, Canada; Saint-Hyacinthe, Quebec, Canada")</f>
        <v/>
      </c>
      <c r="K19148">
        <f>IFERROR(__xludf.DUMMYFUNCTION("""COMPUTED_VALUE"""),595.93)</f>
        <v/>
      </c>
    </row>
    <row r="19149">
      <c r="J19149">
        <f>IFERROR(__xludf.DUMMYFUNCTION("""COMPUTED_VALUE"""),"Ufa, Kashkortostan")</f>
        <v/>
      </c>
      <c r="K19149">
        <f>IFERROR(__xludf.DUMMYFUNCTION("""COMPUTED_VALUE"""),595.62)</f>
        <v/>
      </c>
    </row>
    <row r="19150">
      <c r="J19150">
        <f>IFERROR(__xludf.DUMMYFUNCTION("""COMPUTED_VALUE"""),"Tornoto, ON")</f>
        <v/>
      </c>
      <c r="K19150">
        <f>IFERROR(__xludf.DUMMYFUNCTION("""COMPUTED_VALUE"""),595.45)</f>
        <v/>
      </c>
    </row>
    <row r="19151">
      <c r="J19151">
        <f>IFERROR(__xludf.DUMMYFUNCTION("""COMPUTED_VALUE"""),"Truro, Nova Scotia, Canada; Moncton, New Brunswick, Canada; Dieppe, New Brunswick, Canada")</f>
        <v/>
      </c>
      <c r="K19151">
        <f>IFERROR(__xludf.DUMMYFUNCTION("""COMPUTED_VALUE"""),595.41)</f>
        <v/>
      </c>
    </row>
    <row r="19152">
      <c r="J19152">
        <f>IFERROR(__xludf.DUMMYFUNCTION("""COMPUTED_VALUE"""),"Oromocto, New Brunswick")</f>
        <v/>
      </c>
      <c r="K19152">
        <f>IFERROR(__xludf.DUMMYFUNCTION("""COMPUTED_VALUE"""),595.4)</f>
        <v/>
      </c>
    </row>
    <row r="19153">
      <c r="J19153">
        <f>IFERROR(__xludf.DUMMYFUNCTION("""COMPUTED_VALUE"""),"Toronto, ON / Guelph, ON")</f>
        <v/>
      </c>
      <c r="K19153">
        <f>IFERROR(__xludf.DUMMYFUNCTION("""COMPUTED_VALUE"""),594.75)</f>
        <v/>
      </c>
    </row>
    <row r="19154">
      <c r="J19154">
        <f>IFERROR(__xludf.DUMMYFUNCTION("""COMPUTED_VALUE"""),"Ottawa-Quebec City-Longueuil-Ottawa")</f>
        <v/>
      </c>
      <c r="K19154">
        <f>IFERROR(__xludf.DUMMYFUNCTION("""COMPUTED_VALUE"""),594.63)</f>
        <v/>
      </c>
    </row>
    <row r="19155">
      <c r="J19155">
        <f>IFERROR(__xludf.DUMMYFUNCTION("""COMPUTED_VALUE"""),"Sherbrooke, Quebec; Drummondville, Quebec")</f>
        <v/>
      </c>
      <c r="K19155">
        <f>IFERROR(__xludf.DUMMYFUNCTION("""COMPUTED_VALUE"""),593.5)</f>
        <v/>
      </c>
    </row>
    <row r="19156">
      <c r="J19156">
        <f>IFERROR(__xludf.DUMMYFUNCTION("""COMPUTED_VALUE"""),"Mascouche / Montreal, (Quebec)")</f>
        <v/>
      </c>
      <c r="K19156">
        <f>IFERROR(__xludf.DUMMYFUNCTION("""COMPUTED_VALUE"""),593.21)</f>
        <v/>
      </c>
    </row>
    <row r="19157">
      <c r="J19157">
        <f>IFERROR(__xludf.DUMMYFUNCTION("""COMPUTED_VALUE"""),"Granby, St-Hubert, Gatineau QC and Ottawa, ON")</f>
        <v/>
      </c>
      <c r="K19157">
        <f>IFERROR(__xludf.DUMMYFUNCTION("""COMPUTED_VALUE"""),593.15)</f>
        <v/>
      </c>
    </row>
    <row r="19158">
      <c r="J19158">
        <f>IFERROR(__xludf.DUMMYFUNCTION("""COMPUTED_VALUE"""),"Québec, Mirabel, Montréal")</f>
        <v/>
      </c>
      <c r="K19158">
        <f>IFERROR(__xludf.DUMMYFUNCTION("""COMPUTED_VALUE"""),592.75)</f>
        <v/>
      </c>
    </row>
    <row r="19159">
      <c r="J19159">
        <f>IFERROR(__xludf.DUMMYFUNCTION("""COMPUTED_VALUE"""),"Montreal/Trois-Rivière")</f>
        <v/>
      </c>
      <c r="K19159">
        <f>IFERROR(__xludf.DUMMYFUNCTION("""COMPUTED_VALUE"""),592.24)</f>
        <v/>
      </c>
    </row>
    <row r="19160">
      <c r="J19160">
        <f>IFERROR(__xludf.DUMMYFUNCTION("""COMPUTED_VALUE"""),"Montréal, QC
Rigaud, QC")</f>
        <v/>
      </c>
      <c r="K19160">
        <f>IFERROR(__xludf.DUMMYFUNCTION("""COMPUTED_VALUE"""),591.76)</f>
        <v/>
      </c>
    </row>
    <row r="19161">
      <c r="J19161">
        <f>IFERROR(__xludf.DUMMYFUNCTION("""COMPUTED_VALUE"""),"Shediac, NB - Halifax, NS / Halifax, NS - Shediac, NB")</f>
        <v/>
      </c>
      <c r="K19161">
        <f>IFERROR(__xludf.DUMMYFUNCTION("""COMPUTED_VALUE"""),591.05)</f>
        <v/>
      </c>
    </row>
    <row r="19162">
      <c r="J19162">
        <f>IFERROR(__xludf.DUMMYFUNCTION("""COMPUTED_VALUE"""),"Riga, Latvia; Vilnius, Lituania")</f>
        <v/>
      </c>
      <c r="K19162">
        <f>IFERROR(__xludf.DUMMYFUNCTION("""COMPUTED_VALUE"""),590.99)</f>
        <v/>
      </c>
    </row>
    <row r="19163">
      <c r="J19163">
        <f>IFERROR(__xludf.DUMMYFUNCTION("""COMPUTED_VALUE"""),"Saint-Bernard-de-Lacolle, Quebec")</f>
        <v/>
      </c>
      <c r="K19163">
        <f>IFERROR(__xludf.DUMMYFUNCTION("""COMPUTED_VALUE"""),590.89)</f>
        <v/>
      </c>
    </row>
    <row r="19164">
      <c r="J19164">
        <f>IFERROR(__xludf.DUMMYFUNCTION("""COMPUTED_VALUE"""),"Niagara Falls, Ontario, Canada; Simcoe, Ontario, Canada")</f>
        <v/>
      </c>
      <c r="K19164">
        <f>IFERROR(__xludf.DUMMYFUNCTION("""COMPUTED_VALUE"""),590.65)</f>
        <v/>
      </c>
    </row>
    <row r="19165">
      <c r="J19165">
        <f>IFERROR(__xludf.DUMMYFUNCTION("""COMPUTED_VALUE"""),"Drummondville (Québec) Canada")</f>
        <v/>
      </c>
      <c r="K19165">
        <f>IFERROR(__xludf.DUMMYFUNCTION("""COMPUTED_VALUE"""),590.56)</f>
        <v/>
      </c>
    </row>
    <row r="19166">
      <c r="J19166">
        <f>IFERROR(__xludf.DUMMYFUNCTION("""COMPUTED_VALUE"""),"Montebello, Québec, Canada")</f>
        <v/>
      </c>
      <c r="K19166">
        <f>IFERROR(__xludf.DUMMYFUNCTION("""COMPUTED_VALUE"""),590.56)</f>
        <v/>
      </c>
    </row>
    <row r="19167">
      <c r="J19167">
        <f>IFERROR(__xludf.DUMMYFUNCTION("""COMPUTED_VALUE"""),"Attend Royal International Air Tattoo (RIAT)")</f>
        <v/>
      </c>
      <c r="K19167">
        <f>IFERROR(__xludf.DUMMYFUNCTION("""COMPUTED_VALUE"""),590)</f>
        <v/>
      </c>
    </row>
    <row r="19168">
      <c r="J19168">
        <f>IFERROR(__xludf.DUMMYFUNCTION("""COMPUTED_VALUE"""),"Hanoi-Vietnam")</f>
        <v/>
      </c>
      <c r="K19168">
        <f>IFERROR(__xludf.DUMMYFUNCTION("""COMPUTED_VALUE"""),589.51)</f>
        <v/>
      </c>
    </row>
    <row r="19169">
      <c r="J19169">
        <f>IFERROR(__xludf.DUMMYFUNCTION("""COMPUTED_VALUE"""),"Regina, Alberta")</f>
        <v/>
      </c>
      <c r="K19169">
        <f>IFERROR(__xludf.DUMMYFUNCTION("""COMPUTED_VALUE"""),589.34)</f>
        <v/>
      </c>
    </row>
    <row r="19170">
      <c r="J19170">
        <f>IFERROR(__xludf.DUMMYFUNCTION("""COMPUTED_VALUE"""),"Oshawa, Whitby and Belleville, ON")</f>
        <v/>
      </c>
      <c r="K19170">
        <f>IFERROR(__xludf.DUMMYFUNCTION("""COMPUTED_VALUE"""),589.2)</f>
        <v/>
      </c>
    </row>
    <row r="19171">
      <c r="J19171">
        <f>IFERROR(__xludf.DUMMYFUNCTION("""COMPUTED_VALUE"""),"Stratford, Ontario, Canada; Owen Sound, Ontario, Canada")</f>
        <v/>
      </c>
      <c r="K19171">
        <f>IFERROR(__xludf.DUMMYFUNCTION("""COMPUTED_VALUE"""),589.19)</f>
        <v/>
      </c>
    </row>
    <row r="19172">
      <c r="J19172">
        <f>IFERROR(__xludf.DUMMYFUNCTION("""COMPUTED_VALUE"""),"KINGSTON, OTTAWA, WASHINGTON, SAN ANTONIO, WASHINGTON, OTTAWA")</f>
        <v/>
      </c>
      <c r="K19172">
        <f>IFERROR(__xludf.DUMMYFUNCTION("""COMPUTED_VALUE"""),589.05)</f>
        <v/>
      </c>
    </row>
    <row r="19173">
      <c r="J19173">
        <f>IFERROR(__xludf.DUMMYFUNCTION("""COMPUTED_VALUE"""),"Mainz, Germany")</f>
        <v/>
      </c>
      <c r="K19173">
        <f>IFERROR(__xludf.DUMMYFUNCTION("""COMPUTED_VALUE"""),589.04)</f>
        <v/>
      </c>
    </row>
    <row r="19174">
      <c r="J19174">
        <f>IFERROR(__xludf.DUMMYFUNCTION("""COMPUTED_VALUE"""),"Stavanger and Bodo, Norway")</f>
        <v/>
      </c>
      <c r="K19174">
        <f>IFERROR(__xludf.DUMMYFUNCTION("""COMPUTED_VALUE"""),588.92)</f>
        <v/>
      </c>
    </row>
    <row r="19175">
      <c r="J19175">
        <f>IFERROR(__xludf.DUMMYFUNCTION("""COMPUTED_VALUE"""),"Victoriaville and Montreal, Quebec")</f>
        <v/>
      </c>
      <c r="K19175">
        <f>IFERROR(__xludf.DUMMYFUNCTION("""COMPUTED_VALUE"""),588.86)</f>
        <v/>
      </c>
    </row>
    <row r="19176">
      <c r="J19176">
        <f>IFERROR(__xludf.DUMMYFUNCTION("""COMPUTED_VALUE"""),"Sudbury and Toronto")</f>
        <v/>
      </c>
      <c r="K19176">
        <f>IFERROR(__xludf.DUMMYFUNCTION("""COMPUTED_VALUE"""),588.27)</f>
        <v/>
      </c>
    </row>
    <row r="19177">
      <c r="J19177">
        <f>IFERROR(__xludf.DUMMYFUNCTION("""COMPUTED_VALUE"""),"Ottawa,Toronto,Saskatoon")</f>
        <v/>
      </c>
      <c r="K19177">
        <f>IFERROR(__xludf.DUMMYFUNCTION("""COMPUTED_VALUE"""),588.2)</f>
        <v/>
      </c>
    </row>
    <row r="19178">
      <c r="J19178">
        <f>IFERROR(__xludf.DUMMYFUNCTION("""COMPUTED_VALUE"""),"Waterloo (Ontario) Canada")</f>
        <v/>
      </c>
      <c r="K19178">
        <f>IFERROR(__xludf.DUMMYFUNCTION("""COMPUTED_VALUE"""),588)</f>
        <v/>
      </c>
    </row>
    <row r="19179">
      <c r="J19179">
        <f>IFERROR(__xludf.DUMMYFUNCTION("""COMPUTED_VALUE"""),"Orford, Montreal, Sutton, Quebec, (Canada)")</f>
        <v/>
      </c>
      <c r="K19179">
        <f>IFERROR(__xludf.DUMMYFUNCTION("""COMPUTED_VALUE"""),587.98)</f>
        <v/>
      </c>
    </row>
    <row r="19180">
      <c r="J19180">
        <f>IFERROR(__xludf.DUMMYFUNCTION("""COMPUTED_VALUE"""),"Campbellford, Ontario;
Gravenhurst, Ontario;
Kitchener, Ontario")</f>
        <v/>
      </c>
      <c r="K19180">
        <f>IFERROR(__xludf.DUMMYFUNCTION("""COMPUTED_VALUE"""),587.84)</f>
        <v/>
      </c>
    </row>
    <row r="19181">
      <c r="J19181">
        <f>IFERROR(__xludf.DUMMYFUNCTION("""COMPUTED_VALUE"""),"Helsinborg, Sweden")</f>
        <v/>
      </c>
      <c r="K19181">
        <f>IFERROR(__xludf.DUMMYFUNCTION("""COMPUTED_VALUE"""),587.57)</f>
        <v/>
      </c>
    </row>
    <row r="19182">
      <c r="J19182">
        <f>IFERROR(__xludf.DUMMYFUNCTION("""COMPUTED_VALUE"""),"Kanata (Ontario) Canada")</f>
        <v/>
      </c>
      <c r="K19182">
        <f>IFERROR(__xludf.DUMMYFUNCTION("""COMPUTED_VALUE"""),587.39)</f>
        <v/>
      </c>
    </row>
    <row r="19183">
      <c r="J19183">
        <f>IFERROR(__xludf.DUMMYFUNCTION("""COMPUTED_VALUE"""),"Toronto, ON Hamilton, ON")</f>
        <v/>
      </c>
      <c r="K19183">
        <f>IFERROR(__xludf.DUMMYFUNCTION("""COMPUTED_VALUE"""),587.32)</f>
        <v/>
      </c>
    </row>
    <row r="19184">
      <c r="J19184">
        <f>IFERROR(__xludf.DUMMYFUNCTION("""COMPUTED_VALUE"""),"Boucherville, Quebec, Canada; Ottawa, Ontario, Canada; Gatineau, Quebec, Canada")</f>
        <v/>
      </c>
      <c r="K19184">
        <f>IFERROR(__xludf.DUMMYFUNCTION("""COMPUTED_VALUE"""),587.26)</f>
        <v/>
      </c>
    </row>
    <row r="19185">
      <c r="J19185">
        <f>IFERROR(__xludf.DUMMYFUNCTION("""COMPUTED_VALUE"""),"Agra")</f>
        <v/>
      </c>
      <c r="K19185">
        <f>IFERROR(__xludf.DUMMYFUNCTION("""COMPUTED_VALUE"""),587.09)</f>
        <v/>
      </c>
    </row>
    <row r="19186">
      <c r="J19186">
        <f>IFERROR(__xludf.DUMMYFUNCTION("""COMPUTED_VALUE"""),"New Orleans, U.S.A.")</f>
        <v/>
      </c>
      <c r="K19186">
        <f>IFERROR(__xludf.DUMMYFUNCTION("""COMPUTED_VALUE"""),586.99)</f>
        <v/>
      </c>
    </row>
    <row r="19187">
      <c r="J19187">
        <f>IFERROR(__xludf.DUMMYFUNCTION("""COMPUTED_VALUE"""),"Montreal, Trois-Rivieres and Quebec, Quebec")</f>
        <v/>
      </c>
      <c r="K19187">
        <f>IFERROR(__xludf.DUMMYFUNCTION("""COMPUTED_VALUE"""),586.74)</f>
        <v/>
      </c>
    </row>
    <row r="19188">
      <c r="J19188">
        <f>IFERROR(__xludf.DUMMYFUNCTION("""COMPUTED_VALUE"""),"Sydney, Nova Scotia, and Liscombe, Nova Scotia")</f>
        <v/>
      </c>
      <c r="K19188">
        <f>IFERROR(__xludf.DUMMYFUNCTION("""COMPUTED_VALUE"""),586.61)</f>
        <v/>
      </c>
    </row>
    <row r="19189">
      <c r="J19189">
        <f>IFERROR(__xludf.DUMMYFUNCTION("""COMPUTED_VALUE"""),"Wakefield, QC Ottawa, ON")</f>
        <v/>
      </c>
      <c r="K19189">
        <f>IFERROR(__xludf.DUMMYFUNCTION("""COMPUTED_VALUE"""),586.36)</f>
        <v/>
      </c>
    </row>
    <row r="19190">
      <c r="J19190">
        <f>IFERROR(__xludf.DUMMYFUNCTION("""COMPUTED_VALUE"""),"Levis/Quebec")</f>
        <v/>
      </c>
      <c r="K19190">
        <f>IFERROR(__xludf.DUMMYFUNCTION("""COMPUTED_VALUE"""),586.15)</f>
        <v/>
      </c>
    </row>
    <row r="19191">
      <c r="J19191">
        <f>IFERROR(__xludf.DUMMYFUNCTION("""COMPUTED_VALUE"""),"Bedford, Quebec")</f>
        <v/>
      </c>
      <c r="K19191">
        <f>IFERROR(__xludf.DUMMYFUNCTION("""COMPUTED_VALUE"""),585.849999999999)</f>
        <v/>
      </c>
    </row>
    <row r="19192">
      <c r="J19192">
        <f>IFERROR(__xludf.DUMMYFUNCTION("""COMPUTED_VALUE"""),"Montréal, Quebec, Canada; Laval, Quebec, Canada")</f>
        <v/>
      </c>
      <c r="K19192">
        <f>IFERROR(__xludf.DUMMYFUNCTION("""COMPUTED_VALUE"""),585.81)</f>
        <v/>
      </c>
    </row>
    <row r="19193">
      <c r="J19193">
        <f>IFERROR(__xludf.DUMMYFUNCTION("""COMPUTED_VALUE"""),"Kamloops, British Colombia")</f>
        <v/>
      </c>
      <c r="K19193">
        <f>IFERROR(__xludf.DUMMYFUNCTION("""COMPUTED_VALUE"""),585.5)</f>
        <v/>
      </c>
    </row>
    <row r="19194">
      <c r="J19194">
        <f>IFERROR(__xludf.DUMMYFUNCTION("""COMPUTED_VALUE"""),"Alma, Roberval, Ottawa")</f>
        <v/>
      </c>
      <c r="K19194">
        <f>IFERROR(__xludf.DUMMYFUNCTION("""COMPUTED_VALUE"""),585.42)</f>
        <v/>
      </c>
    </row>
    <row r="19195">
      <c r="J19195">
        <f>IFERROR(__xludf.DUMMYFUNCTION("""COMPUTED_VALUE"""),"Toronto, ON; Scarborough, ON")</f>
        <v/>
      </c>
      <c r="K19195">
        <f>IFERROR(__xludf.DUMMYFUNCTION("""COMPUTED_VALUE"""),585.42)</f>
        <v/>
      </c>
    </row>
    <row r="19196">
      <c r="J19196">
        <f>IFERROR(__xludf.DUMMYFUNCTION("""COMPUTED_VALUE"""),"Quebec City, QC.")</f>
        <v/>
      </c>
      <c r="K19196">
        <f>IFERROR(__xludf.DUMMYFUNCTION("""COMPUTED_VALUE"""),584.78)</f>
        <v/>
      </c>
    </row>
    <row r="19197">
      <c r="J19197">
        <f>IFERROR(__xludf.DUMMYFUNCTION("""COMPUTED_VALUE"""),"Trois-Rivières, QC; Gatineau, QC")</f>
        <v/>
      </c>
      <c r="K19197">
        <f>IFERROR(__xludf.DUMMYFUNCTION("""COMPUTED_VALUE"""),584.24)</f>
        <v/>
      </c>
    </row>
    <row r="19198">
      <c r="J19198">
        <f>IFERROR(__xludf.DUMMYFUNCTION("""COMPUTED_VALUE"""),"Victoriaville et Charlesbourg, Quebec")</f>
        <v/>
      </c>
      <c r="K19198">
        <f>IFERROR(__xludf.DUMMYFUNCTION("""COMPUTED_VALUE"""),583.849999999999)</f>
        <v/>
      </c>
    </row>
    <row r="19199">
      <c r="J19199">
        <f>IFERROR(__xludf.DUMMYFUNCTION("""COMPUTED_VALUE"""),"Esquimalt, BC / Moose Jaw, SK")</f>
        <v/>
      </c>
      <c r="K19199">
        <f>IFERROR(__xludf.DUMMYFUNCTION("""COMPUTED_VALUE"""),583.19)</f>
        <v/>
      </c>
    </row>
    <row r="19200">
      <c r="J19200">
        <f>IFERROR(__xludf.DUMMYFUNCTION("""COMPUTED_VALUE"""),"Halifax, NS - Ottawa, ON / Ottawa, ON to Halifax, NS")</f>
        <v/>
      </c>
      <c r="K19200">
        <f>IFERROR(__xludf.DUMMYFUNCTION("""COMPUTED_VALUE"""),583.03)</f>
        <v/>
      </c>
    </row>
    <row r="19201">
      <c r="J19201">
        <f>IFERROR(__xludf.DUMMYFUNCTION("""COMPUTED_VALUE"""),"Sherbrooke; Laval; Montebello, Quebec, Canada")</f>
        <v/>
      </c>
      <c r="K19201">
        <f>IFERROR(__xludf.DUMMYFUNCTION("""COMPUTED_VALUE"""),582.9)</f>
        <v/>
      </c>
    </row>
    <row r="19202">
      <c r="J19202">
        <f>IFERROR(__xludf.DUMMYFUNCTION("""COMPUTED_VALUE"""),"Rennes")</f>
        <v/>
      </c>
      <c r="K19202">
        <f>IFERROR(__xludf.DUMMYFUNCTION("""COMPUTED_VALUE"""),582.38)</f>
        <v/>
      </c>
    </row>
    <row r="19203">
      <c r="J19203">
        <f>IFERROR(__xludf.DUMMYFUNCTION("""COMPUTED_VALUE"""),"South Bristol, ME / Pittsfield, ME / Presque Isle, ME")</f>
        <v/>
      </c>
      <c r="K19203">
        <f>IFERROR(__xludf.DUMMYFUNCTION("""COMPUTED_VALUE"""),581.42)</f>
        <v/>
      </c>
    </row>
    <row r="19204">
      <c r="J19204">
        <f>IFERROR(__xludf.DUMMYFUNCTION("""COMPUTED_VALUE"""),"Catania, Italy")</f>
        <v/>
      </c>
      <c r="K19204">
        <f>IFERROR(__xludf.DUMMYFUNCTION("""COMPUTED_VALUE"""),581.32)</f>
        <v/>
      </c>
    </row>
    <row r="19205">
      <c r="J19205">
        <f>IFERROR(__xludf.DUMMYFUNCTION("""COMPUTED_VALUE"""),"Calgary, Edmonton, Alberta (Canada)")</f>
        <v/>
      </c>
      <c r="K19205">
        <f>IFERROR(__xludf.DUMMYFUNCTION("""COMPUTED_VALUE"""),581.12)</f>
        <v/>
      </c>
    </row>
    <row r="19206">
      <c r="J19206">
        <f>IFERROR(__xludf.DUMMYFUNCTION("""COMPUTED_VALUE"""),"Edmonton, Calgary, Alberta (Canada)")</f>
        <v/>
      </c>
      <c r="K19206">
        <f>IFERROR(__xludf.DUMMYFUNCTION("""COMPUTED_VALUE"""),581)</f>
        <v/>
      </c>
    </row>
    <row r="19207">
      <c r="J19207">
        <f>IFERROR(__xludf.DUMMYFUNCTION("""COMPUTED_VALUE"""),"Saint John, New Brunswick and Moncton, New Brunswick")</f>
        <v/>
      </c>
      <c r="K19207">
        <f>IFERROR(__xludf.DUMMYFUNCTION("""COMPUTED_VALUE"""),580.91)</f>
        <v/>
      </c>
    </row>
    <row r="19208">
      <c r="J19208">
        <f>IFERROR(__xludf.DUMMYFUNCTION("""COMPUTED_VALUE"""),"Tiberias")</f>
        <v/>
      </c>
      <c r="K19208">
        <f>IFERROR(__xludf.DUMMYFUNCTION("""COMPUTED_VALUE"""),580.85)</f>
        <v/>
      </c>
    </row>
    <row r="19209">
      <c r="J19209">
        <f>IFERROR(__xludf.DUMMYFUNCTION("""COMPUTED_VALUE"""),"Ottawa / Toronto, Ontario, Canada")</f>
        <v/>
      </c>
      <c r="K19209">
        <f>IFERROR(__xludf.DUMMYFUNCTION("""COMPUTED_VALUE"""),580.75)</f>
        <v/>
      </c>
    </row>
    <row r="19210">
      <c r="J19210">
        <f>IFERROR(__xludf.DUMMYFUNCTION("""COMPUTED_VALUE"""),"Wendake")</f>
        <v/>
      </c>
      <c r="K19210">
        <f>IFERROR(__xludf.DUMMYFUNCTION("""COMPUTED_VALUE"""),580.3)</f>
        <v/>
      </c>
    </row>
    <row r="19211">
      <c r="J19211">
        <f>IFERROR(__xludf.DUMMYFUNCTION("""COMPUTED_VALUE"""),"St-Lawrence Islands National Park, Mallorytown, Ontario")</f>
        <v/>
      </c>
      <c r="K19211">
        <f>IFERROR(__xludf.DUMMYFUNCTION("""COMPUTED_VALUE"""),580.27)</f>
        <v/>
      </c>
    </row>
    <row r="19212">
      <c r="J19212">
        <f>IFERROR(__xludf.DUMMYFUNCTION("""COMPUTED_VALUE"""),"Windsor, Ontario, Canada - Leamington, Ontario, Canada")</f>
        <v/>
      </c>
      <c r="K19212">
        <f>IFERROR(__xludf.DUMMYFUNCTION("""COMPUTED_VALUE"""),579.79)</f>
        <v/>
      </c>
    </row>
    <row r="19213">
      <c r="J19213">
        <f>IFERROR(__xludf.DUMMYFUNCTION("""COMPUTED_VALUE"""),"Grand-Mère")</f>
        <v/>
      </c>
      <c r="K19213">
        <f>IFERROR(__xludf.DUMMYFUNCTION("""COMPUTED_VALUE"""),579.06)</f>
        <v/>
      </c>
    </row>
    <row r="19214">
      <c r="J19214">
        <f>IFERROR(__xludf.DUMMYFUNCTION("""COMPUTED_VALUE"""),"Drummondville, Québec, Quebec, Canada")</f>
        <v/>
      </c>
      <c r="K19214">
        <f>IFERROR(__xludf.DUMMYFUNCTION("""COMPUTED_VALUE"""),579.03)</f>
        <v/>
      </c>
    </row>
    <row r="19215">
      <c r="J19215">
        <f>IFERROR(__xludf.DUMMYFUNCTION("""COMPUTED_VALUE"""),"Sainte-Anne, Quebec, Canada")</f>
        <v/>
      </c>
      <c r="K19215">
        <f>IFERROR(__xludf.DUMMYFUNCTION("""COMPUTED_VALUE"""),579)</f>
        <v/>
      </c>
    </row>
    <row r="19216">
      <c r="J19216">
        <f>IFERROR(__xludf.DUMMYFUNCTION("""COMPUTED_VALUE"""),"Montreal, QC and Toronto, Ontario")</f>
        <v/>
      </c>
      <c r="K19216">
        <f>IFERROR(__xludf.DUMMYFUNCTION("""COMPUTED_VALUE"""),578.98)</f>
        <v/>
      </c>
    </row>
    <row r="19217">
      <c r="J19217">
        <f>IFERROR(__xludf.DUMMYFUNCTION("""COMPUTED_VALUE"""),"Victoria/Esquimalt")</f>
        <v/>
      </c>
      <c r="K19217">
        <f>IFERROR(__xludf.DUMMYFUNCTION("""COMPUTED_VALUE"""),578.92)</f>
        <v/>
      </c>
    </row>
    <row r="19218">
      <c r="J19218">
        <f>IFERROR(__xludf.DUMMYFUNCTION("""COMPUTED_VALUE"""),"London, and Waterloo")</f>
        <v/>
      </c>
      <c r="K19218">
        <f>IFERROR(__xludf.DUMMYFUNCTION("""COMPUTED_VALUE"""),578.78)</f>
        <v/>
      </c>
    </row>
    <row r="19219">
      <c r="J19219">
        <f>IFERROR(__xludf.DUMMYFUNCTION("""COMPUTED_VALUE"""),"Québec and Shawinigan, Quebec")</f>
        <v/>
      </c>
      <c r="K19219">
        <f>IFERROR(__xludf.DUMMYFUNCTION("""COMPUTED_VALUE"""),578.77)</f>
        <v/>
      </c>
    </row>
    <row r="19220">
      <c r="J19220">
        <f>IFERROR(__xludf.DUMMYFUNCTION("""COMPUTED_VALUE"""),"Kingston and Toronto, Ontario")</f>
        <v/>
      </c>
      <c r="K19220">
        <f>IFERROR(__xludf.DUMMYFUNCTION("""COMPUTED_VALUE"""),578.25)</f>
        <v/>
      </c>
    </row>
    <row r="19221">
      <c r="J19221">
        <f>IFERROR(__xludf.DUMMYFUNCTION("""COMPUTED_VALUE"""),"Moncton, New Brunswick and Charlottetown, Prince Edward Island and Halifax, Nova Scotia")</f>
        <v/>
      </c>
      <c r="K19221">
        <f>IFERROR(__xludf.DUMMYFUNCTION("""COMPUTED_VALUE"""),578.25)</f>
        <v/>
      </c>
    </row>
    <row r="19222">
      <c r="J19222">
        <f>IFERROR(__xludf.DUMMYFUNCTION("""COMPUTED_VALUE"""),"Oakville/Waterloo, Ontario")</f>
        <v/>
      </c>
      <c r="K19222">
        <f>IFERROR(__xludf.DUMMYFUNCTION("""COMPUTED_VALUE"""),577.68)</f>
        <v/>
      </c>
    </row>
    <row r="19223">
      <c r="J19223">
        <f>IFERROR(__xludf.DUMMYFUNCTION("""COMPUTED_VALUE"""),"Sherbrooke (Quebec) Canada
Vaudreuil-Dorion (Quebec) Canada")</f>
        <v/>
      </c>
      <c r="K19223">
        <f>IFERROR(__xludf.DUMMYFUNCTION("""COMPUTED_VALUE"""),577.58)</f>
        <v/>
      </c>
    </row>
    <row r="19224">
      <c r="J19224">
        <f>IFERROR(__xludf.DUMMYFUNCTION("""COMPUTED_VALUE"""),"Hamilton, On")</f>
        <v/>
      </c>
      <c r="K19224">
        <f>IFERROR(__xludf.DUMMYFUNCTION("""COMPUTED_VALUE"""),577.17)</f>
        <v/>
      </c>
    </row>
    <row r="19225">
      <c r="J19225">
        <f>IFERROR(__xludf.DUMMYFUNCTION("""COMPUTED_VALUE"""),"Vandenberg, California")</f>
        <v/>
      </c>
      <c r="K19225">
        <f>IFERROR(__xludf.DUMMYFUNCTION("""COMPUTED_VALUE"""),576.7)</f>
        <v/>
      </c>
    </row>
    <row r="19226">
      <c r="J19226">
        <f>IFERROR(__xludf.DUMMYFUNCTION("""COMPUTED_VALUE"""),"Estérel, QC")</f>
        <v/>
      </c>
      <c r="K19226">
        <f>IFERROR(__xludf.DUMMYFUNCTION("""COMPUTED_VALUE"""),576.24)</f>
        <v/>
      </c>
    </row>
    <row r="19227">
      <c r="J19227">
        <f>IFERROR(__xludf.DUMMYFUNCTION("""COMPUTED_VALUE"""),"Ottawa, ON Alliston, ON")</f>
        <v/>
      </c>
      <c r="K19227">
        <f>IFERROR(__xludf.DUMMYFUNCTION("""COMPUTED_VALUE"""),576.16)</f>
        <v/>
      </c>
    </row>
    <row r="19228">
      <c r="J19228">
        <f>IFERROR(__xludf.DUMMYFUNCTION("""COMPUTED_VALUE"""),"Montreal,                  Quebec")</f>
        <v/>
      </c>
      <c r="K19228">
        <f>IFERROR(__xludf.DUMMYFUNCTION("""COMPUTED_VALUE"""),576.09)</f>
        <v/>
      </c>
    </row>
    <row r="19229">
      <c r="J19229">
        <f>IFERROR(__xludf.DUMMYFUNCTION("""COMPUTED_VALUE"""),"Ottawa, ON / Mississauga, ON")</f>
        <v/>
      </c>
      <c r="K19229">
        <f>IFERROR(__xludf.DUMMYFUNCTION("""COMPUTED_VALUE"""),575.87)</f>
        <v/>
      </c>
    </row>
    <row r="19230">
      <c r="J19230">
        <f>IFERROR(__xludf.DUMMYFUNCTION("""COMPUTED_VALUE"""),"Saint-Jean, QC")</f>
        <v/>
      </c>
      <c r="K19230">
        <f>IFERROR(__xludf.DUMMYFUNCTION("""COMPUTED_VALUE"""),575.73)</f>
        <v/>
      </c>
    </row>
    <row r="19231">
      <c r="J19231">
        <f>IFERROR(__xludf.DUMMYFUNCTION("""COMPUTED_VALUE"""),"Rigaud, Quebec, Canada; Ottawa, Ontario, Canada")</f>
        <v/>
      </c>
      <c r="K19231">
        <f>IFERROR(__xludf.DUMMYFUNCTION("""COMPUTED_VALUE"""),575.56)</f>
        <v/>
      </c>
    </row>
    <row r="19232">
      <c r="J19232">
        <f>IFERROR(__xludf.DUMMYFUNCTION("""COMPUTED_VALUE"""),"La Malbaie, Québec")</f>
        <v/>
      </c>
      <c r="K19232">
        <f>IFERROR(__xludf.DUMMYFUNCTION("""COMPUTED_VALUE"""),575.15)</f>
        <v/>
      </c>
    </row>
    <row r="19233">
      <c r="J19233">
        <f>IFERROR(__xludf.DUMMYFUNCTION("""COMPUTED_VALUE"""),"Thorold, Ontario")</f>
        <v/>
      </c>
      <c r="K19233">
        <f>IFERROR(__xludf.DUMMYFUNCTION("""COMPUTED_VALUE"""),575.02)</f>
        <v/>
      </c>
    </row>
    <row r="19234">
      <c r="J19234">
        <f>IFERROR(__xludf.DUMMYFUNCTION("""COMPUTED_VALUE"""),"Ottawa-Trois-Rivières-Ottawa")</f>
        <v/>
      </c>
      <c r="K19234">
        <f>IFERROR(__xludf.DUMMYFUNCTION("""COMPUTED_VALUE"""),574.67)</f>
        <v/>
      </c>
    </row>
    <row r="19235">
      <c r="J19235">
        <f>IFERROR(__xludf.DUMMYFUNCTION("""COMPUTED_VALUE"""),"Whitby- Toronto, ON")</f>
        <v/>
      </c>
      <c r="K19235">
        <f>IFERROR(__xludf.DUMMYFUNCTION("""COMPUTED_VALUE"""),574.45)</f>
        <v/>
      </c>
    </row>
    <row r="19236">
      <c r="J19236">
        <f>IFERROR(__xludf.DUMMYFUNCTION("""COMPUTED_VALUE"""),"Tornoto, Ontario")</f>
        <v/>
      </c>
      <c r="K19236">
        <f>IFERROR(__xludf.DUMMYFUNCTION("""COMPUTED_VALUE"""),574.17)</f>
        <v/>
      </c>
    </row>
    <row r="19237">
      <c r="J19237">
        <f>IFERROR(__xludf.DUMMYFUNCTION("""COMPUTED_VALUE"""),"Amos, Montréal, Roberval")</f>
        <v/>
      </c>
      <c r="K19237">
        <f>IFERROR(__xludf.DUMMYFUNCTION("""COMPUTED_VALUE"""),573.92)</f>
        <v/>
      </c>
    </row>
    <row r="19238">
      <c r="J19238">
        <f>IFERROR(__xludf.DUMMYFUNCTION("""COMPUTED_VALUE"""),"Estrie, Quebec")</f>
        <v/>
      </c>
      <c r="K19238">
        <f>IFERROR(__xludf.DUMMYFUNCTION("""COMPUTED_VALUE"""),573.78)</f>
        <v/>
      </c>
    </row>
    <row r="19239">
      <c r="J19239">
        <f>IFERROR(__xludf.DUMMYFUNCTION("""COMPUTED_VALUE"""),"Gravenhurst, ON")</f>
        <v/>
      </c>
      <c r="K19239">
        <f>IFERROR(__xludf.DUMMYFUNCTION("""COMPUTED_VALUE"""),573)</f>
        <v/>
      </c>
    </row>
    <row r="19240">
      <c r="J19240">
        <f>IFERROR(__xludf.DUMMYFUNCTION("""COMPUTED_VALUE"""),"London, Ontario, Ca")</f>
        <v/>
      </c>
      <c r="K19240">
        <f>IFERROR(__xludf.DUMMYFUNCTION("""COMPUTED_VALUE"""),572.79)</f>
        <v/>
      </c>
    </row>
    <row r="19241">
      <c r="J19241">
        <f>IFERROR(__xludf.DUMMYFUNCTION("""COMPUTED_VALUE"""),"Halifax and Darthmouth, Nova Scotia, Canada")</f>
        <v/>
      </c>
      <c r="K19241">
        <f>IFERROR(__xludf.DUMMYFUNCTION("""COMPUTED_VALUE"""),572.35)</f>
        <v/>
      </c>
    </row>
    <row r="19242">
      <c r="J19242">
        <f>IFERROR(__xludf.DUMMYFUNCTION("""COMPUTED_VALUE"""),"East Hartford, Connecticut, United States")</f>
        <v/>
      </c>
      <c r="K19242">
        <f>IFERROR(__xludf.DUMMYFUNCTION("""COMPUTED_VALUE"""),572.26)</f>
        <v/>
      </c>
    </row>
    <row r="19243">
      <c r="J19243">
        <f>IFERROR(__xludf.DUMMYFUNCTION("""COMPUTED_VALUE"""),"Palmerston North, New Zealand")</f>
        <v/>
      </c>
      <c r="K19243">
        <f>IFERROR(__xludf.DUMMYFUNCTION("""COMPUTED_VALUE"""),572.12)</f>
        <v/>
      </c>
    </row>
    <row r="19244">
      <c r="J19244">
        <f>IFERROR(__xludf.DUMMYFUNCTION("""COMPUTED_VALUE"""),"Abermethy, Saskatchewan")</f>
        <v/>
      </c>
      <c r="K19244">
        <f>IFERROR(__xludf.DUMMYFUNCTION("""COMPUTED_VALUE"""),571.99)</f>
        <v/>
      </c>
    </row>
    <row r="19245">
      <c r="J19245">
        <f>IFERROR(__xludf.DUMMYFUNCTION("""COMPUTED_VALUE"""),"Shawinigan, Quebec, Canada/ Montreal, Quebec, Canada")</f>
        <v/>
      </c>
      <c r="K19245">
        <f>IFERROR(__xludf.DUMMYFUNCTION("""COMPUTED_VALUE"""),571.84)</f>
        <v/>
      </c>
    </row>
    <row r="19246">
      <c r="J19246">
        <f>IFERROR(__xludf.DUMMYFUNCTION("""COMPUTED_VALUE"""),"Sainte-Hyacinthe , Que.")</f>
        <v/>
      </c>
      <c r="K19246">
        <f>IFERROR(__xludf.DUMMYFUNCTION("""COMPUTED_VALUE"""),571.53)</f>
        <v/>
      </c>
    </row>
    <row r="19247">
      <c r="J19247">
        <f>IFERROR(__xludf.DUMMYFUNCTION("""COMPUTED_VALUE"""),"Kinkora, PE Coleman, PE Summerside, PE Abrams Village, PE Charlottetown, PE Cavendish, PE Mapleque, PE Wheatley River, PE")</f>
        <v/>
      </c>
      <c r="K19247">
        <f>IFERROR(__xludf.DUMMYFUNCTION("""COMPUTED_VALUE"""),571.5)</f>
        <v/>
      </c>
    </row>
    <row r="19248">
      <c r="J19248">
        <f>IFERROR(__xludf.DUMMYFUNCTION("""COMPUTED_VALUE"""),"Hartford, CT")</f>
        <v/>
      </c>
      <c r="K19248">
        <f>IFERROR(__xludf.DUMMYFUNCTION("""COMPUTED_VALUE"""),571.37)</f>
        <v/>
      </c>
    </row>
    <row r="19249">
      <c r="J19249">
        <f>IFERROR(__xludf.DUMMYFUNCTION("""COMPUTED_VALUE"""),"CMR ST-JEAN-SUR-RICHELIEU, QUEBEC, CANADA")</f>
        <v/>
      </c>
      <c r="K19249">
        <f>IFERROR(__xludf.DUMMYFUNCTION("""COMPUTED_VALUE"""),571.31)</f>
        <v/>
      </c>
    </row>
    <row r="19250">
      <c r="J19250">
        <f>IFERROR(__xludf.DUMMYFUNCTION("""COMPUTED_VALUE"""),"Charlottetown, Prince Edward Island; Halifax, Nova Scotia")</f>
        <v/>
      </c>
      <c r="K19250">
        <f>IFERROR(__xludf.DUMMYFUNCTION("""COMPUTED_VALUE"""),571.21)</f>
        <v/>
      </c>
    </row>
    <row r="19251">
      <c r="J19251">
        <f>IFERROR(__xludf.DUMMYFUNCTION("""COMPUTED_VALUE"""),"Courseulles-sur-Mer")</f>
        <v/>
      </c>
      <c r="K19251">
        <f>IFERROR(__xludf.DUMMYFUNCTION("""COMPUTED_VALUE"""),571)</f>
        <v/>
      </c>
    </row>
    <row r="19252">
      <c r="J19252">
        <f>IFERROR(__xludf.DUMMYFUNCTION("""COMPUTED_VALUE"""),"Red Bank, New Brunswick")</f>
        <v/>
      </c>
      <c r="K19252">
        <f>IFERROR(__xludf.DUMMYFUNCTION("""COMPUTED_VALUE"""),570.78)</f>
        <v/>
      </c>
    </row>
    <row r="19253">
      <c r="J19253">
        <f>IFERROR(__xludf.DUMMYFUNCTION("""COMPUTED_VALUE"""),"Dorval-India")</f>
        <v/>
      </c>
      <c r="K19253">
        <f>IFERROR(__xludf.DUMMYFUNCTION("""COMPUTED_VALUE"""),570.46)</f>
        <v/>
      </c>
    </row>
    <row r="19254">
      <c r="J19254">
        <f>IFERROR(__xludf.DUMMYFUNCTION("""COMPUTED_VALUE"""),"Port Hope, Ontario and Scarborough, Ontario")</f>
        <v/>
      </c>
      <c r="K19254">
        <f>IFERROR(__xludf.DUMMYFUNCTION("""COMPUTED_VALUE"""),569.88)</f>
        <v/>
      </c>
    </row>
    <row r="19255">
      <c r="J19255">
        <f>IFERROR(__xludf.DUMMYFUNCTION("""COMPUTED_VALUE"""),"Parrsboro, Nova Scotia, Canada")</f>
        <v/>
      </c>
      <c r="K19255">
        <f>IFERROR(__xludf.DUMMYFUNCTION("""COMPUTED_VALUE"""),569.8)</f>
        <v/>
      </c>
    </row>
    <row r="19256">
      <c r="J19256">
        <f>IFERROR(__xludf.DUMMYFUNCTION("""COMPUTED_VALUE"""),"VCDS Trip to Norad/Northcom HQ")</f>
        <v/>
      </c>
      <c r="K19256">
        <f>IFERROR(__xludf.DUMMYFUNCTION("""COMPUTED_VALUE"""),569.45)</f>
        <v/>
      </c>
    </row>
    <row r="19257">
      <c r="J19257">
        <f>IFERROR(__xludf.DUMMYFUNCTION("""COMPUTED_VALUE"""),"Toronto, Ontario, CA")</f>
        <v/>
      </c>
      <c r="K19257">
        <f>IFERROR(__xludf.DUMMYFUNCTION("""COMPUTED_VALUE"""),569.26)</f>
        <v/>
      </c>
    </row>
    <row r="19258">
      <c r="J19258">
        <f>IFERROR(__xludf.DUMMYFUNCTION("""COMPUTED_VALUE"""),"Laval; Montebello, Quebec, Canada")</f>
        <v/>
      </c>
      <c r="K19258">
        <f>IFERROR(__xludf.DUMMYFUNCTION("""COMPUTED_VALUE"""),569.2)</f>
        <v/>
      </c>
    </row>
    <row r="19259">
      <c r="J19259">
        <f>IFERROR(__xludf.DUMMYFUNCTION("""COMPUTED_VALUE"""),"Winnipeg &amp; Portage la Prairie (Manitoba) Canada")</f>
        <v/>
      </c>
      <c r="K19259">
        <f>IFERROR(__xludf.DUMMYFUNCTION("""COMPUTED_VALUE"""),569.16)</f>
        <v/>
      </c>
    </row>
    <row r="19260">
      <c r="J19260">
        <f>IFERROR(__xludf.DUMMYFUNCTION("""COMPUTED_VALUE"""),"Sussex, NB")</f>
        <v/>
      </c>
      <c r="K19260">
        <f>IFERROR(__xludf.DUMMYFUNCTION("""COMPUTED_VALUE"""),569.12)</f>
        <v/>
      </c>
    </row>
    <row r="19261">
      <c r="J19261">
        <f>IFERROR(__xludf.DUMMYFUNCTION("""COMPUTED_VALUE"""),"Niagara &amp; Toronto, Ontario")</f>
        <v/>
      </c>
      <c r="K19261">
        <f>IFERROR(__xludf.DUMMYFUNCTION("""COMPUTED_VALUE"""),568.92)</f>
        <v/>
      </c>
    </row>
    <row r="19262">
      <c r="J19262">
        <f>IFERROR(__xludf.DUMMYFUNCTION("""COMPUTED_VALUE"""),"Montreal, Royalmount et Boucherville, QC")</f>
        <v/>
      </c>
      <c r="K19262">
        <f>IFERROR(__xludf.DUMMYFUNCTION("""COMPUTED_VALUE"""),568.82)</f>
        <v/>
      </c>
    </row>
    <row r="19263">
      <c r="J19263">
        <f>IFERROR(__xludf.DUMMYFUNCTION("""COMPUTED_VALUE"""),"Saint-Ours, Quebec, Canada / Montreal, Quebec, Canada")</f>
        <v/>
      </c>
      <c r="K19263">
        <f>IFERROR(__xludf.DUMMYFUNCTION("""COMPUTED_VALUE"""),568.53)</f>
        <v/>
      </c>
    </row>
    <row r="19264">
      <c r="J19264">
        <f>IFERROR(__xludf.DUMMYFUNCTION("""COMPUTED_VALUE"""),"Sydney, Mabou, Nova Scotia")</f>
        <v/>
      </c>
      <c r="K19264">
        <f>IFERROR(__xludf.DUMMYFUNCTION("""COMPUTED_VALUE"""),568.45)</f>
        <v/>
      </c>
    </row>
    <row r="19265">
      <c r="J19265">
        <f>IFERROR(__xludf.DUMMYFUNCTION("""COMPUTED_VALUE"""),"St-Symphorien le Château, France")</f>
        <v/>
      </c>
      <c r="K19265">
        <f>IFERROR(__xludf.DUMMYFUNCTION("""COMPUTED_VALUE"""),568.34)</f>
        <v/>
      </c>
    </row>
    <row r="19266">
      <c r="J19266">
        <f>IFERROR(__xludf.DUMMYFUNCTION("""COMPUTED_VALUE"""),"Kingston, Ontatio, Canada")</f>
        <v/>
      </c>
      <c r="K19266">
        <f>IFERROR(__xludf.DUMMYFUNCTION("""COMPUTED_VALUE"""),568.18)</f>
        <v/>
      </c>
    </row>
    <row r="19267">
      <c r="J19267">
        <f>IFERROR(__xludf.DUMMYFUNCTION("""COMPUTED_VALUE"""),"Florianopolis, Brazil")</f>
        <v/>
      </c>
      <c r="K19267">
        <f>IFERROR(__xludf.DUMMYFUNCTION("""COMPUTED_VALUE"""),568.17)</f>
        <v/>
      </c>
    </row>
    <row r="19268">
      <c r="J19268">
        <f>IFERROR(__xludf.DUMMYFUNCTION("""COMPUTED_VALUE"""),"Kensington, PEI Borden, PEI Summerside, PEI Alberton, PEI Charlottetown, PEI")</f>
        <v/>
      </c>
      <c r="K19268">
        <f>IFERROR(__xludf.DUMMYFUNCTION("""COMPUTED_VALUE"""),568.03)</f>
        <v/>
      </c>
    </row>
    <row r="19269">
      <c r="J19269">
        <f>IFERROR(__xludf.DUMMYFUNCTION("""COMPUTED_VALUE"""),"Montreal and Sherbrooke")</f>
        <v/>
      </c>
      <c r="K19269">
        <f>IFERROR(__xludf.DUMMYFUNCTION("""COMPUTED_VALUE"""),567.69)</f>
        <v/>
      </c>
    </row>
    <row r="19270">
      <c r="J19270">
        <f>IFERROR(__xludf.DUMMYFUNCTION("""COMPUTED_VALUE"""),"Sydney and Goffs, NS")</f>
        <v/>
      </c>
      <c r="K19270">
        <f>IFERROR(__xludf.DUMMYFUNCTION("""COMPUTED_VALUE"""),567.46)</f>
        <v/>
      </c>
    </row>
    <row r="19271">
      <c r="J19271">
        <f>IFERROR(__xludf.DUMMYFUNCTION("""COMPUTED_VALUE"""),"Millbrook, Baddeck and Truro, Nova Scotia")</f>
        <v/>
      </c>
      <c r="K19271">
        <f>IFERROR(__xludf.DUMMYFUNCTION("""COMPUTED_VALUE"""),567.2)</f>
        <v/>
      </c>
    </row>
    <row r="19272">
      <c r="J19272">
        <f>IFERROR(__xludf.DUMMYFUNCTION("""COMPUTED_VALUE"""),"Montreal, Quebec and Toronto, Ontario, Canada")</f>
        <v/>
      </c>
      <c r="K19272">
        <f>IFERROR(__xludf.DUMMYFUNCTION("""COMPUTED_VALUE"""),567.07)</f>
        <v/>
      </c>
    </row>
    <row r="19273">
      <c r="J19273">
        <f>IFERROR(__xludf.DUMMYFUNCTION("""COMPUTED_VALUE"""),"Clagary, AB`")</f>
        <v/>
      </c>
      <c r="K19273">
        <f>IFERROR(__xludf.DUMMYFUNCTION("""COMPUTED_VALUE"""),567)</f>
        <v/>
      </c>
    </row>
    <row r="19274">
      <c r="J19274">
        <f>IFERROR(__xludf.DUMMYFUNCTION("""COMPUTED_VALUE"""),"Sherbrooke (Quebec) Canada;
Quebec (Quebec) Canada")</f>
        <v/>
      </c>
      <c r="K19274">
        <f>IFERROR(__xludf.DUMMYFUNCTION("""COMPUTED_VALUE"""),566.99)</f>
        <v/>
      </c>
    </row>
    <row r="19275">
      <c r="J19275">
        <f>IFERROR(__xludf.DUMMYFUNCTION("""COMPUTED_VALUE"""),"Vancouver, British Columbia, Canada / Richmond, British Columbia,Canada")</f>
        <v/>
      </c>
      <c r="K19275">
        <f>IFERROR(__xludf.DUMMYFUNCTION("""COMPUTED_VALUE"""),566.89)</f>
        <v/>
      </c>
    </row>
    <row r="19276">
      <c r="J19276">
        <f>IFERROR(__xludf.DUMMYFUNCTION("""COMPUTED_VALUE"""),"Trois-Rivières / Shawinigan / Montréal")</f>
        <v/>
      </c>
      <c r="K19276">
        <f>IFERROR(__xludf.DUMMYFUNCTION("""COMPUTED_VALUE"""),566.85)</f>
        <v/>
      </c>
    </row>
    <row r="19277">
      <c r="J19277">
        <f>IFERROR(__xludf.DUMMYFUNCTION("""COMPUTED_VALUE"""),"Istanbul (accompanied by Spouse)")</f>
        <v/>
      </c>
      <c r="K19277">
        <f>IFERROR(__xludf.DUMMYFUNCTION("""COMPUTED_VALUE"""),566.23)</f>
        <v/>
      </c>
    </row>
    <row r="19278">
      <c r="J19278">
        <f>IFERROR(__xludf.DUMMYFUNCTION("""COMPUTED_VALUE"""),"Scarborough, Toronto, Bampton, (Ontario)")</f>
        <v/>
      </c>
      <c r="K19278">
        <f>IFERROR(__xludf.DUMMYFUNCTION("""COMPUTED_VALUE"""),565.91)</f>
        <v/>
      </c>
    </row>
    <row r="19279">
      <c r="J19279">
        <f>IFERROR(__xludf.DUMMYFUNCTION("""COMPUTED_VALUE"""),"Brampton, Ontario, Canada; Montreal, Québec, Canada")</f>
        <v/>
      </c>
      <c r="K19279">
        <f>IFERROR(__xludf.DUMMYFUNCTION("""COMPUTED_VALUE"""),565.52)</f>
        <v/>
      </c>
    </row>
    <row r="19280">
      <c r="J19280">
        <f>IFERROR(__xludf.DUMMYFUNCTION("""COMPUTED_VALUE"""),"Gaspe and Rimouski, Quebec, Canada")</f>
        <v/>
      </c>
      <c r="K19280">
        <f>IFERROR(__xludf.DUMMYFUNCTION("""COMPUTED_VALUE"""),564.81)</f>
        <v/>
      </c>
    </row>
    <row r="19281">
      <c r="J19281">
        <f>IFERROR(__xludf.DUMMYFUNCTION("""COMPUTED_VALUE"""),"Trip to Groesbeek and Apeldoorn")</f>
        <v/>
      </c>
      <c r="K19281">
        <f>IFERROR(__xludf.DUMMYFUNCTION("""COMPUTED_VALUE"""),564.32)</f>
        <v/>
      </c>
    </row>
    <row r="19282">
      <c r="J19282">
        <f>IFERROR(__xludf.DUMMYFUNCTION("""COMPUTED_VALUE"""),"Ottawa, ON - Charlottetown, PE / Charlottetown, PE - Fredericton, NB / Fredericton, NB  - Ottawa, ON")</f>
        <v/>
      </c>
      <c r="K19282">
        <f>IFERROR(__xludf.DUMMYFUNCTION("""COMPUTED_VALUE"""),563.88)</f>
        <v/>
      </c>
    </row>
    <row r="19283">
      <c r="J19283">
        <f>IFERROR(__xludf.DUMMYFUNCTION("""COMPUTED_VALUE"""),"Toronto, Ontario, Canada; Alliston, Ontario, Canada; Newmarket, Ontario, Canada; Whitby, Ontario, Canada")</f>
        <v/>
      </c>
      <c r="K19283">
        <f>IFERROR(__xludf.DUMMYFUNCTION("""COMPUTED_VALUE"""),563.78)</f>
        <v/>
      </c>
    </row>
    <row r="19284">
      <c r="J19284">
        <f>IFERROR(__xludf.DUMMYFUNCTION("""COMPUTED_VALUE"""),"Toronto, Ontario, Ca")</f>
        <v/>
      </c>
      <c r="K19284">
        <f>IFERROR(__xludf.DUMMYFUNCTION("""COMPUTED_VALUE"""),563.46)</f>
        <v/>
      </c>
    </row>
    <row r="19285">
      <c r="J19285">
        <f>IFERROR(__xludf.DUMMYFUNCTION("""COMPUTED_VALUE"""),"Markham, ON / London, ON")</f>
        <v/>
      </c>
      <c r="K19285">
        <f>IFERROR(__xludf.DUMMYFUNCTION("""COMPUTED_VALUE"""),563.3)</f>
        <v/>
      </c>
    </row>
    <row r="19286">
      <c r="J19286">
        <f>IFERROR(__xludf.DUMMYFUNCTION("""COMPUTED_VALUE"""),"Québec, La Pocatière")</f>
        <v/>
      </c>
      <c r="K19286">
        <f>IFERROR(__xludf.DUMMYFUNCTION("""COMPUTED_VALUE"""),562.57)</f>
        <v/>
      </c>
    </row>
    <row r="19287">
      <c r="J19287">
        <f>IFERROR(__xludf.DUMMYFUNCTION("""COMPUTED_VALUE"""),"Northumberland &amp; Peterborough, Ontario, Canada")</f>
        <v/>
      </c>
      <c r="K19287">
        <f>IFERROR(__xludf.DUMMYFUNCTION("""COMPUTED_VALUE"""),562.41)</f>
        <v/>
      </c>
    </row>
    <row r="19288">
      <c r="J19288">
        <f>IFERROR(__xludf.DUMMYFUNCTION("""COMPUTED_VALUE"""),"Ottawa / Low")</f>
        <v/>
      </c>
      <c r="K19288">
        <f>IFERROR(__xludf.DUMMYFUNCTION("""COMPUTED_VALUE"""),562.32)</f>
        <v/>
      </c>
    </row>
    <row r="19289">
      <c r="J19289">
        <f>IFERROR(__xludf.DUMMYFUNCTION("""COMPUTED_VALUE"""),"Lac Megantic, Qc")</f>
        <v/>
      </c>
      <c r="K19289">
        <f>IFERROR(__xludf.DUMMYFUNCTION("""COMPUTED_VALUE"""),562.18)</f>
        <v/>
      </c>
    </row>
    <row r="19290">
      <c r="J19290">
        <f>IFERROR(__xludf.DUMMYFUNCTION("""COMPUTED_VALUE"""),"Winnipeg, MA")</f>
        <v/>
      </c>
      <c r="K19290">
        <f>IFERROR(__xludf.DUMMYFUNCTION("""COMPUTED_VALUE"""),562.16)</f>
        <v/>
      </c>
    </row>
    <row r="19291">
      <c r="J19291">
        <f>IFERROR(__xludf.DUMMYFUNCTION("""COMPUTED_VALUE"""),"Montréal, Québec, Roberval")</f>
        <v/>
      </c>
      <c r="K19291">
        <f>IFERROR(__xludf.DUMMYFUNCTION("""COMPUTED_VALUE"""),562.06)</f>
        <v/>
      </c>
    </row>
    <row r="19292">
      <c r="J19292">
        <f>IFERROR(__xludf.DUMMYFUNCTION("""COMPUTED_VALUE"""),"Red Deer, Alberta; Olds, Alberta")</f>
        <v/>
      </c>
      <c r="K19292">
        <f>IFERROR(__xludf.DUMMYFUNCTION("""COMPUTED_VALUE"""),561.66)</f>
        <v/>
      </c>
    </row>
    <row r="19293">
      <c r="J19293">
        <f>IFERROR(__xludf.DUMMYFUNCTION("""COMPUTED_VALUE"""),"Guelph, ON / Toronto, ON")</f>
        <v/>
      </c>
      <c r="K19293">
        <f>IFERROR(__xludf.DUMMYFUNCTION("""COMPUTED_VALUE"""),561.57)</f>
        <v/>
      </c>
    </row>
    <row r="19294">
      <c r="J19294">
        <f>IFERROR(__xludf.DUMMYFUNCTION("""COMPUTED_VALUE"""),"Bécancour and Montreal. Quebec")</f>
        <v/>
      </c>
      <c r="K19294">
        <f>IFERROR(__xludf.DUMMYFUNCTION("""COMPUTED_VALUE"""),561.48)</f>
        <v/>
      </c>
    </row>
    <row r="19295">
      <c r="J19295">
        <f>IFERROR(__xludf.DUMMYFUNCTION("""COMPUTED_VALUE"""),"St-Jean-Sur Richelieu, Quebec")</f>
        <v/>
      </c>
      <c r="K19295">
        <f>IFERROR(__xludf.DUMMYFUNCTION("""COMPUTED_VALUE"""),561.25)</f>
        <v/>
      </c>
    </row>
    <row r="19296">
      <c r="J19296">
        <f>IFERROR(__xludf.DUMMYFUNCTION("""COMPUTED_VALUE"""),"London and Windsor, Ontario, Canada")</f>
        <v/>
      </c>
      <c r="K19296">
        <f>IFERROR(__xludf.DUMMYFUNCTION("""COMPUTED_VALUE"""),561.05)</f>
        <v/>
      </c>
    </row>
    <row r="19297">
      <c r="J19297">
        <f>IFERROR(__xludf.DUMMYFUNCTION("""COMPUTED_VALUE"""),"Toronto, Ontario, Canada - Oakville, Ontario, Canada - Hamilton, Ontario, Canada")</f>
        <v/>
      </c>
      <c r="K19297">
        <f>IFERROR(__xludf.DUMMYFUNCTION("""COMPUTED_VALUE"""),561.02)</f>
        <v/>
      </c>
    </row>
    <row r="19298">
      <c r="J19298">
        <f>IFERROR(__xludf.DUMMYFUNCTION("""COMPUTED_VALUE"""),"Tracadie, New Brunswick")</f>
        <v/>
      </c>
      <c r="K19298">
        <f>IFERROR(__xludf.DUMMYFUNCTION("""COMPUTED_VALUE"""),560.5)</f>
        <v/>
      </c>
    </row>
    <row r="19299">
      <c r="J19299">
        <f>IFERROR(__xludf.DUMMYFUNCTION("""COMPUTED_VALUE"""),"Vancouver and Kelowna, British-Columbia")</f>
        <v/>
      </c>
      <c r="K19299">
        <f>IFERROR(__xludf.DUMMYFUNCTION("""COMPUTED_VALUE"""),560.46)</f>
        <v/>
      </c>
    </row>
    <row r="19300">
      <c r="J19300">
        <f>IFERROR(__xludf.DUMMYFUNCTION("""COMPUTED_VALUE"""),"Canmore, AB")</f>
        <v/>
      </c>
      <c r="K19300">
        <f>IFERROR(__xludf.DUMMYFUNCTION("""COMPUTED_VALUE"""),560.27)</f>
        <v/>
      </c>
    </row>
    <row r="19301">
      <c r="J19301">
        <f>IFERROR(__xludf.DUMMYFUNCTION("""COMPUTED_VALUE"""),"Knowlton")</f>
        <v/>
      </c>
      <c r="K19301">
        <f>IFERROR(__xludf.DUMMYFUNCTION("""COMPUTED_VALUE"""),560.07)</f>
        <v/>
      </c>
    </row>
    <row r="19302">
      <c r="J19302">
        <f>IFERROR(__xludf.DUMMYFUNCTION("""COMPUTED_VALUE"""),"Montreal and Saint-Bernard-de-Lacolle, Quebec")</f>
        <v/>
      </c>
      <c r="K19302">
        <f>IFERROR(__xludf.DUMMYFUNCTION("""COMPUTED_VALUE"""),559.44)</f>
        <v/>
      </c>
    </row>
    <row r="19303">
      <c r="J19303">
        <f>IFERROR(__xludf.DUMMYFUNCTION("""COMPUTED_VALUE"""),"Montreal, Québec, Canada; Saint John, New Brunswick, Canada")</f>
        <v/>
      </c>
      <c r="K19303">
        <f>IFERROR(__xludf.DUMMYFUNCTION("""COMPUTED_VALUE"""),558.82)</f>
        <v/>
      </c>
    </row>
    <row r="19304">
      <c r="J19304">
        <f>IFERROR(__xludf.DUMMYFUNCTION("""COMPUTED_VALUE"""),"Ottawa, Ontario, Canada  Gatineau, Quebec, Canada")</f>
        <v/>
      </c>
      <c r="K19304">
        <f>IFERROR(__xludf.DUMMYFUNCTION("""COMPUTED_VALUE"""),557.57)</f>
        <v/>
      </c>
    </row>
    <row r="19305">
      <c r="J19305">
        <f>IFERROR(__xludf.DUMMYFUNCTION("""COMPUTED_VALUE"""),"Charlottetown (PEI) Montreal (QC)")</f>
        <v/>
      </c>
      <c r="K19305">
        <f>IFERROR(__xludf.DUMMYFUNCTION("""COMPUTED_VALUE"""),557.51)</f>
        <v/>
      </c>
    </row>
    <row r="19306">
      <c r="J19306">
        <f>IFERROR(__xludf.DUMMYFUNCTION("""COMPUTED_VALUE"""),"Toronto, Ontario, Canada; New York, United States")</f>
        <v/>
      </c>
      <c r="K19306">
        <f>IFERROR(__xludf.DUMMYFUNCTION("""COMPUTED_VALUE"""),557.5)</f>
        <v/>
      </c>
    </row>
    <row r="19307">
      <c r="J19307">
        <f>IFERROR(__xludf.DUMMYFUNCTION("""COMPUTED_VALUE"""),"St-Jean sur Richelieu, Quebec, Canada")</f>
        <v/>
      </c>
      <c r="K19307">
        <f>IFERROR(__xludf.DUMMYFUNCTION("""COMPUTED_VALUE"""),557.03)</f>
        <v/>
      </c>
    </row>
    <row r="19308">
      <c r="J19308">
        <f>IFERROR(__xludf.DUMMYFUNCTION("""COMPUTED_VALUE"""),"WATERLOO, ON")</f>
        <v/>
      </c>
      <c r="K19308">
        <f>IFERROR(__xludf.DUMMYFUNCTION("""COMPUTED_VALUE"""),556.64)</f>
        <v/>
      </c>
    </row>
    <row r="19309">
      <c r="J19309">
        <f>IFERROR(__xludf.DUMMYFUNCTION("""COMPUTED_VALUE"""),"Washington, District of Columbia, United St")</f>
        <v/>
      </c>
      <c r="K19309">
        <f>IFERROR(__xludf.DUMMYFUNCTION("""COMPUTED_VALUE"""),556.47)</f>
        <v/>
      </c>
    </row>
    <row r="19310">
      <c r="J19310">
        <f>IFERROR(__xludf.DUMMYFUNCTION("""COMPUTED_VALUE"""),"Ottawa, Gatineau, Tadoussac, Ottawa, Montréal")</f>
        <v/>
      </c>
      <c r="K19310">
        <f>IFERROR(__xludf.DUMMYFUNCTION("""COMPUTED_VALUE"""),556.35)</f>
        <v/>
      </c>
    </row>
    <row r="19311">
      <c r="J19311">
        <f>IFERROR(__xludf.DUMMYFUNCTION("""COMPUTED_VALUE"""),"Magog, Québec, Canada")</f>
        <v/>
      </c>
      <c r="K19311">
        <f>IFERROR(__xludf.DUMMYFUNCTION("""COMPUTED_VALUE"""),556.17)</f>
        <v/>
      </c>
    </row>
    <row r="19312">
      <c r="J19312">
        <f>IFERROR(__xludf.DUMMYFUNCTION("""COMPUTED_VALUE"""),"Toronto and Oshawa, ON")</f>
        <v/>
      </c>
      <c r="K19312">
        <f>IFERROR(__xludf.DUMMYFUNCTION("""COMPUTED_VALUE"""),555.85)</f>
        <v/>
      </c>
    </row>
    <row r="19313">
      <c r="J19313">
        <f>IFERROR(__xludf.DUMMYFUNCTION("""COMPUTED_VALUE"""),"Laval, Terrebonne, Roberval")</f>
        <v/>
      </c>
      <c r="K19313">
        <f>IFERROR(__xludf.DUMMYFUNCTION("""COMPUTED_VALUE"""),555.78)</f>
        <v/>
      </c>
    </row>
    <row r="19314">
      <c r="J19314">
        <f>IFERROR(__xludf.DUMMYFUNCTION("""COMPUTED_VALUE"""),"Shawinigan, Montreal, Canada")</f>
        <v/>
      </c>
      <c r="K19314">
        <f>IFERROR(__xludf.DUMMYFUNCTION("""COMPUTED_VALUE"""),555.38)</f>
        <v/>
      </c>
    </row>
    <row r="19315">
      <c r="J19315">
        <f>IFERROR(__xludf.DUMMYFUNCTION("""COMPUTED_VALUE"""),"Toronto, Oakville, ON")</f>
        <v/>
      </c>
      <c r="K19315">
        <f>IFERROR(__xludf.DUMMYFUNCTION("""COMPUTED_VALUE"""),555.23)</f>
        <v/>
      </c>
    </row>
    <row r="19316">
      <c r="J19316">
        <f>IFERROR(__xludf.DUMMYFUNCTION("""COMPUTED_VALUE"""),"Pickering, ON / York-Simcoe,
ON / Vaughn &amp; Dufferin, ON")</f>
        <v/>
      </c>
      <c r="K19316">
        <f>IFERROR(__xludf.DUMMYFUNCTION("""COMPUTED_VALUE"""),554.92)</f>
        <v/>
      </c>
    </row>
    <row r="19317">
      <c r="J19317">
        <f>IFERROR(__xludf.DUMMYFUNCTION("""COMPUTED_VALUE"""),"Trois-Rivières, Quebec, Canada / Bécancour, Quebec, Canada")</f>
        <v/>
      </c>
      <c r="K19317">
        <f>IFERROR(__xludf.DUMMYFUNCTION("""COMPUTED_VALUE"""),554.61)</f>
        <v/>
      </c>
    </row>
    <row r="19318">
      <c r="J19318">
        <f>IFERROR(__xludf.DUMMYFUNCTION("""COMPUTED_VALUE"""),"Laval, QC, Canada")</f>
        <v/>
      </c>
      <c r="K19318">
        <f>IFERROR(__xludf.DUMMYFUNCTION("""COMPUTED_VALUE"""),554.38)</f>
        <v/>
      </c>
    </row>
    <row r="19319">
      <c r="J19319">
        <f>IFERROR(__xludf.DUMMYFUNCTION("""COMPUTED_VALUE"""),"Ottawa / Gatineau")</f>
        <v/>
      </c>
      <c r="K19319">
        <f>IFERROR(__xludf.DUMMYFUNCTION("""COMPUTED_VALUE"""),554.35)</f>
        <v/>
      </c>
    </row>
    <row r="19320">
      <c r="J19320">
        <f>IFERROR(__xludf.DUMMYFUNCTION("""COMPUTED_VALUE"""),"Mattawa, Ontario, Canada; North Bay, Ontario, Canada; New Liskeard, Ontario, Canada")</f>
        <v/>
      </c>
      <c r="K19320">
        <f>IFERROR(__xludf.DUMMYFUNCTION("""COMPUTED_VALUE"""),554.12)</f>
        <v/>
      </c>
    </row>
    <row r="19321">
      <c r="J19321">
        <f>IFERROR(__xludf.DUMMYFUNCTION("""COMPUTED_VALUE"""),"Colorado Springs,
Colorado")</f>
        <v/>
      </c>
      <c r="K19321">
        <f>IFERROR(__xludf.DUMMYFUNCTION("""COMPUTED_VALUE"""),553.72)</f>
        <v/>
      </c>
    </row>
    <row r="19322">
      <c r="J19322">
        <f>IFERROR(__xludf.DUMMYFUNCTION("""COMPUTED_VALUE"""),"Charlo, New Brunswick, Canada; Waterloo, Ontario, Canada; Winnipeg, Manitoba, Canada")</f>
        <v/>
      </c>
      <c r="K19322">
        <f>IFERROR(__xludf.DUMMYFUNCTION("""COMPUTED_VALUE"""),553.29)</f>
        <v/>
      </c>
    </row>
    <row r="19323">
      <c r="J19323">
        <f>IFERROR(__xludf.DUMMYFUNCTION("""COMPUTED_VALUE"""),"Bromont-St-Hyacinthe, Quebec")</f>
        <v/>
      </c>
      <c r="K19323">
        <f>IFERROR(__xludf.DUMMYFUNCTION("""COMPUTED_VALUE"""),552.75)</f>
        <v/>
      </c>
    </row>
    <row r="19324">
      <c r="J19324">
        <f>IFERROR(__xludf.DUMMYFUNCTION("""COMPUTED_VALUE"""),"Montreal and Trois-Rivières, Quebec, Canada
Prescott, Ontario, Canada")</f>
        <v/>
      </c>
      <c r="K19324">
        <f>IFERROR(__xludf.DUMMYFUNCTION("""COMPUTED_VALUE"""),552.48)</f>
        <v/>
      </c>
    </row>
    <row r="19325">
      <c r="J19325">
        <f>IFERROR(__xludf.DUMMYFUNCTION("""COMPUTED_VALUE"""),"Geneva, Switzerland; Basel, Switzerland")</f>
        <v/>
      </c>
      <c r="K19325">
        <f>IFERROR(__xludf.DUMMYFUNCTION("""COMPUTED_VALUE"""),552.45)</f>
        <v/>
      </c>
    </row>
    <row r="19326">
      <c r="J19326">
        <f>IFERROR(__xludf.DUMMYFUNCTION("""COMPUTED_VALUE"""),"Masstown/New Glasgow/Masstown, Nova Scotia and Moncton, New Brunswick")</f>
        <v/>
      </c>
      <c r="K19326">
        <f>IFERROR(__xludf.DUMMYFUNCTION("""COMPUTED_VALUE"""),551.97)</f>
        <v/>
      </c>
    </row>
    <row r="19327">
      <c r="J19327">
        <f>IFERROR(__xludf.DUMMYFUNCTION("""COMPUTED_VALUE"""),"Manila, Philippenes")</f>
        <v/>
      </c>
      <c r="K19327">
        <f>IFERROR(__xludf.DUMMYFUNCTION("""COMPUTED_VALUE"""),551.81)</f>
        <v/>
      </c>
    </row>
    <row r="19328">
      <c r="J19328">
        <f>IFERROR(__xludf.DUMMYFUNCTION("""COMPUTED_VALUE"""),"Toronto, ON - Oakville, ON")</f>
        <v/>
      </c>
      <c r="K19328">
        <f>IFERROR(__xludf.DUMMYFUNCTION("""COMPUTED_VALUE"""),550.87)</f>
        <v/>
      </c>
    </row>
    <row r="19329">
      <c r="J19329">
        <f>IFERROR(__xludf.DUMMYFUNCTION("""COMPUTED_VALUE"""),"St-Jean-des-Piles, Quebec, Canada")</f>
        <v/>
      </c>
      <c r="K19329">
        <f>IFERROR(__xludf.DUMMYFUNCTION("""COMPUTED_VALUE"""),550.64)</f>
        <v/>
      </c>
    </row>
    <row r="19330">
      <c r="J19330">
        <f>IFERROR(__xludf.DUMMYFUNCTION("""COMPUTED_VALUE"""),"Springdale, Newfoundland and Labrador, Canada; Grand Falls, Newfoundland and Labrador, Canada; Gander, Newfoundland and Labrador, Canada")</f>
        <v/>
      </c>
      <c r="K19330">
        <f>IFERROR(__xludf.DUMMYFUNCTION("""COMPUTED_VALUE"""),550.53)</f>
        <v/>
      </c>
    </row>
    <row r="19331">
      <c r="J19331">
        <f>IFERROR(__xludf.DUMMYFUNCTION("""COMPUTED_VALUE"""),"Montmagny / La Pocatière")</f>
        <v/>
      </c>
      <c r="K19331">
        <f>IFERROR(__xludf.DUMMYFUNCTION("""COMPUTED_VALUE"""),550.52)</f>
        <v/>
      </c>
    </row>
    <row r="19332">
      <c r="J19332">
        <f>IFERROR(__xludf.DUMMYFUNCTION("""COMPUTED_VALUE"""),"Bathurst, New-Brunswick;
Edmunston, New-Brunswick;
Fredericton, New-Brunswick")</f>
        <v/>
      </c>
      <c r="K19332">
        <f>IFERROR(__xludf.DUMMYFUNCTION("""COMPUTED_VALUE"""),550.5)</f>
        <v/>
      </c>
    </row>
    <row r="19333">
      <c r="J19333">
        <f>IFERROR(__xludf.DUMMYFUNCTION("""COMPUTED_VALUE"""),"Quebec CIty (Quebec) Canada")</f>
        <v/>
      </c>
      <c r="K19333">
        <f>IFERROR(__xludf.DUMMYFUNCTION("""COMPUTED_VALUE"""),549.27)</f>
        <v/>
      </c>
    </row>
    <row r="19334">
      <c r="J19334">
        <f>IFERROR(__xludf.DUMMYFUNCTION("""COMPUTED_VALUE"""),"Charlottetown and Summerside, Prince Edward Island")</f>
        <v/>
      </c>
      <c r="K19334">
        <f>IFERROR(__xludf.DUMMYFUNCTION("""COMPUTED_VALUE"""),549.01)</f>
        <v/>
      </c>
    </row>
    <row r="19335">
      <c r="J19335">
        <f>IFERROR(__xludf.DUMMYFUNCTION("""COMPUTED_VALUE"""),"Prince Albert, SK")</f>
        <v/>
      </c>
      <c r="K19335">
        <f>IFERROR(__xludf.DUMMYFUNCTION("""COMPUTED_VALUE"""),548.63)</f>
        <v/>
      </c>
    </row>
    <row r="19336">
      <c r="J19336">
        <f>IFERROR(__xludf.DUMMYFUNCTION("""COMPUTED_VALUE"""),"Roberval, Trois-Rivières, Sherbrooke")</f>
        <v/>
      </c>
      <c r="K19336">
        <f>IFERROR(__xludf.DUMMYFUNCTION("""COMPUTED_VALUE"""),548.63)</f>
        <v/>
      </c>
    </row>
    <row r="19337">
      <c r="J19337">
        <f>IFERROR(__xludf.DUMMYFUNCTION("""COMPUTED_VALUE"""),"Ottawa ON/Montreal QC")</f>
        <v/>
      </c>
      <c r="K19337">
        <f>IFERROR(__xludf.DUMMYFUNCTION("""COMPUTED_VALUE"""),548.28)</f>
        <v/>
      </c>
    </row>
    <row r="19338">
      <c r="J19338">
        <f>IFERROR(__xludf.DUMMYFUNCTION("""COMPUTED_VALUE"""),"Warsaw, PL")</f>
        <v/>
      </c>
      <c r="K19338">
        <f>IFERROR(__xludf.DUMMYFUNCTION("""COMPUTED_VALUE"""),548.05)</f>
        <v/>
      </c>
    </row>
    <row r="19339">
      <c r="J19339">
        <f>IFERROR(__xludf.DUMMYFUNCTION("""COMPUTED_VALUE"""),"Kingston (ON)")</f>
        <v/>
      </c>
      <c r="K19339">
        <f>IFERROR(__xludf.DUMMYFUNCTION("""COMPUTED_VALUE"""),547.67)</f>
        <v/>
      </c>
    </row>
    <row r="19340">
      <c r="J19340">
        <f>IFERROR(__xludf.DUMMYFUNCTION("""COMPUTED_VALUE"""),"Prince Edward County, Ontario")</f>
        <v/>
      </c>
      <c r="K19340">
        <f>IFERROR(__xludf.DUMMYFUNCTION("""COMPUTED_VALUE"""),547.64)</f>
        <v/>
      </c>
    </row>
    <row r="19341">
      <c r="J19341">
        <f>IFERROR(__xludf.DUMMYFUNCTION("""COMPUTED_VALUE"""),"Sherbrooke, QC and Ottawa, ON")</f>
        <v/>
      </c>
      <c r="K19341">
        <f>IFERROR(__xludf.DUMMYFUNCTION("""COMPUTED_VALUE"""),547.19)</f>
        <v/>
      </c>
    </row>
    <row r="19342">
      <c r="J19342">
        <f>IFERROR(__xludf.DUMMYFUNCTION("""COMPUTED_VALUE"""),"Bécancour")</f>
        <v/>
      </c>
      <c r="K19342">
        <f>IFERROR(__xludf.DUMMYFUNCTION("""COMPUTED_VALUE"""),547.02)</f>
        <v/>
      </c>
    </row>
    <row r="19343">
      <c r="J19343">
        <f>IFERROR(__xludf.DUMMYFUNCTION("""COMPUTED_VALUE"""),"O'Leary, Prince Edward Island, Canada; Moncton, New Brunswick, Canada; Montague, Prince Edward Island, Canada")</f>
        <v/>
      </c>
      <c r="K19343">
        <f>IFERROR(__xludf.DUMMYFUNCTION("""COMPUTED_VALUE"""),546.23)</f>
        <v/>
      </c>
    </row>
    <row r="19344">
      <c r="J19344">
        <f>IFERROR(__xludf.DUMMYFUNCTION("""COMPUTED_VALUE"""),"Torrejon, Spain")</f>
        <v/>
      </c>
      <c r="K19344">
        <f>IFERROR(__xludf.DUMMYFUNCTION("""COMPUTED_VALUE"""),546.18)</f>
        <v/>
      </c>
    </row>
    <row r="19345">
      <c r="J19345">
        <f>IFERROR(__xludf.DUMMYFUNCTION("""COMPUTED_VALUE"""),"Otttawa, ON")</f>
        <v/>
      </c>
      <c r="K19345">
        <f>IFERROR(__xludf.DUMMYFUNCTION("""COMPUTED_VALUE"""),546.05)</f>
        <v/>
      </c>
    </row>
    <row r="19346">
      <c r="J19346">
        <f>IFERROR(__xludf.DUMMYFUNCTION("""COMPUTED_VALUE"""),"Rouen, France")</f>
        <v/>
      </c>
      <c r="K19346">
        <f>IFERROR(__xludf.DUMMYFUNCTION("""COMPUTED_VALUE"""),546.01)</f>
        <v/>
      </c>
    </row>
    <row r="19347">
      <c r="J19347">
        <f>IFERROR(__xludf.DUMMYFUNCTION("""COMPUTED_VALUE"""),"St-Jérôme, Quebec, Canada")</f>
        <v/>
      </c>
      <c r="K19347">
        <f>IFERROR(__xludf.DUMMYFUNCTION("""COMPUTED_VALUE"""),545.84)</f>
        <v/>
      </c>
    </row>
    <row r="19348">
      <c r="J19348">
        <f>IFERROR(__xludf.DUMMYFUNCTION("""COMPUTED_VALUE"""),"Kingston, ON / Otttawa, ON")</f>
        <v/>
      </c>
      <c r="K19348">
        <f>IFERROR(__xludf.DUMMYFUNCTION("""COMPUTED_VALUE"""),545.67)</f>
        <v/>
      </c>
    </row>
    <row r="19349">
      <c r="J19349">
        <f>IFERROR(__xludf.DUMMYFUNCTION("""COMPUTED_VALUE"""),"Edmundston, St. Quentin, Saint John and Sussex, New Brunswick")</f>
        <v/>
      </c>
      <c r="K19349">
        <f>IFERROR(__xludf.DUMMYFUNCTION("""COMPUTED_VALUE"""),545.27)</f>
        <v/>
      </c>
    </row>
    <row r="19350">
      <c r="J19350">
        <f>IFERROR(__xludf.DUMMYFUNCTION("""COMPUTED_VALUE"""),"Harvard University, Boston, MASS, USA")</f>
        <v/>
      </c>
      <c r="K19350">
        <f>IFERROR(__xludf.DUMMYFUNCTION("""COMPUTED_VALUE"""),545.18)</f>
        <v/>
      </c>
    </row>
    <row r="19351">
      <c r="J19351">
        <f>IFERROR(__xludf.DUMMYFUNCTION("""COMPUTED_VALUE"""),"Chennai/Coimbatore")</f>
        <v/>
      </c>
      <c r="K19351">
        <f>IFERROR(__xludf.DUMMYFUNCTION("""COMPUTED_VALUE"""),545.09)</f>
        <v/>
      </c>
    </row>
    <row r="19352">
      <c r="J19352">
        <f>IFERROR(__xludf.DUMMYFUNCTION("""COMPUTED_VALUE"""),"Bar Harbor, Maine")</f>
        <v/>
      </c>
      <c r="K19352">
        <f>IFERROR(__xludf.DUMMYFUNCTION("""COMPUTED_VALUE"""),544.68)</f>
        <v/>
      </c>
    </row>
    <row r="19353">
      <c r="J19353">
        <f>IFERROR(__xludf.DUMMYFUNCTION("""COMPUTED_VALUE"""),"Granby / Montreal , Quebec")</f>
        <v/>
      </c>
      <c r="K19353">
        <f>IFERROR(__xludf.DUMMYFUNCTION("""COMPUTED_VALUE"""),544.5)</f>
        <v/>
      </c>
    </row>
    <row r="19354">
      <c r="J19354">
        <f>IFERROR(__xludf.DUMMYFUNCTION("""COMPUTED_VALUE"""),"Laval, Montreal, Boisbriand, St-Bruno-de-Montarville, St-Jean sur Richelieu")</f>
        <v/>
      </c>
      <c r="K19354">
        <f>IFERROR(__xludf.DUMMYFUNCTION("""COMPUTED_VALUE"""),543.39)</f>
        <v/>
      </c>
    </row>
    <row r="19355">
      <c r="J19355">
        <f>IFERROR(__xludf.DUMMYFUNCTION("""COMPUTED_VALUE"""),"Montréal, Quebec, Canada and Québec, Quebec, Canada")</f>
        <v/>
      </c>
      <c r="K19355">
        <f>IFERROR(__xludf.DUMMYFUNCTION("""COMPUTED_VALUE"""),543.31)</f>
        <v/>
      </c>
    </row>
    <row r="19356">
      <c r="J19356">
        <f>IFERROR(__xludf.DUMMYFUNCTION("""COMPUTED_VALUE"""),"New Plymouth, New Zealand")</f>
        <v/>
      </c>
      <c r="K19356">
        <f>IFERROR(__xludf.DUMMYFUNCTION("""COMPUTED_VALUE"""),543.14)</f>
        <v/>
      </c>
    </row>
    <row r="19357">
      <c r="J19357">
        <f>IFERROR(__xludf.DUMMYFUNCTION("""COMPUTED_VALUE"""),"Brechin, Ontario, Canada")</f>
        <v/>
      </c>
      <c r="K19357">
        <f>IFERROR(__xludf.DUMMYFUNCTION("""COMPUTED_VALUE"""),543.1)</f>
        <v/>
      </c>
    </row>
    <row r="19358">
      <c r="J19358">
        <f>IFERROR(__xludf.DUMMYFUNCTION("""COMPUTED_VALUE"""),"Calgary - Edmonton - Calgary")</f>
        <v/>
      </c>
      <c r="K19358">
        <f>IFERROR(__xludf.DUMMYFUNCTION("""COMPUTED_VALUE"""),542.86)</f>
        <v/>
      </c>
    </row>
    <row r="19359">
      <c r="J19359">
        <f>IFERROR(__xludf.DUMMYFUNCTION("""COMPUTED_VALUE"""),"Vaudreuil-Dorion, QC")</f>
        <v/>
      </c>
      <c r="K19359">
        <f>IFERROR(__xludf.DUMMYFUNCTION("""COMPUTED_VALUE"""),542.68)</f>
        <v/>
      </c>
    </row>
    <row r="19360">
      <c r="J19360">
        <f>IFERROR(__xludf.DUMMYFUNCTION("""COMPUTED_VALUE"""),"Ste-Flore-de-Grand-Mère")</f>
        <v/>
      </c>
      <c r="K19360">
        <f>IFERROR(__xludf.DUMMYFUNCTION("""COMPUTED_VALUE"""),542.23)</f>
        <v/>
      </c>
    </row>
    <row r="19361">
      <c r="J19361">
        <f>IFERROR(__xludf.DUMMYFUNCTION("""COMPUTED_VALUE"""),"Windsor, Ontario, Canada; Saskatoon, Saskatchewan, Canada")</f>
        <v/>
      </c>
      <c r="K19361">
        <f>IFERROR(__xludf.DUMMYFUNCTION("""COMPUTED_VALUE"""),542.15)</f>
        <v/>
      </c>
    </row>
    <row r="19362">
      <c r="J19362">
        <f>IFERROR(__xludf.DUMMYFUNCTION("""COMPUTED_VALUE"""),"Gatineau, QC and Ottawa, ON")</f>
        <v/>
      </c>
      <c r="K19362">
        <f>IFERROR(__xludf.DUMMYFUNCTION("""COMPUTED_VALUE"""),541.69)</f>
        <v/>
      </c>
    </row>
    <row r="19363">
      <c r="J19363">
        <f>IFERROR(__xludf.DUMMYFUNCTION("""COMPUTED_VALUE"""),"Beijing, Shenzhen, Guangzhou, Chongqing - China")</f>
        <v/>
      </c>
      <c r="K19363">
        <f>IFERROR(__xludf.DUMMYFUNCTION("""COMPUTED_VALUE"""),541.27)</f>
        <v/>
      </c>
    </row>
    <row r="19364">
      <c r="J19364">
        <f>IFERROR(__xludf.DUMMYFUNCTION("""COMPUTED_VALUE"""),"Lacombe, AB")</f>
        <v/>
      </c>
      <c r="K19364">
        <f>IFERROR(__xludf.DUMMYFUNCTION("""COMPUTED_VALUE"""),541.18)</f>
        <v/>
      </c>
    </row>
    <row r="19365">
      <c r="J19365">
        <f>IFERROR(__xludf.DUMMYFUNCTION("""COMPUTED_VALUE"""),"Berck-sur-Mer, France")</f>
        <v/>
      </c>
      <c r="K19365">
        <f>IFERROR(__xludf.DUMMYFUNCTION("""COMPUTED_VALUE"""),540.86)</f>
        <v/>
      </c>
    </row>
    <row r="19366">
      <c r="J19366">
        <f>IFERROR(__xludf.DUMMYFUNCTION("""COMPUTED_VALUE"""),"Montreal (Quebec) Canada; Sherbrooke (Quebec) Canada")</f>
        <v/>
      </c>
      <c r="K19366">
        <f>IFERROR(__xludf.DUMMYFUNCTION("""COMPUTED_VALUE"""),540.85)</f>
        <v/>
      </c>
    </row>
    <row r="19367">
      <c r="J19367">
        <f>IFERROR(__xludf.DUMMYFUNCTION("""COMPUTED_VALUE"""),"Ottawa - Quebec - Montreal")</f>
        <v/>
      </c>
      <c r="K19367">
        <f>IFERROR(__xludf.DUMMYFUNCTION("""COMPUTED_VALUE"""),540.04)</f>
        <v/>
      </c>
    </row>
    <row r="19368">
      <c r="J19368">
        <f>IFERROR(__xludf.DUMMYFUNCTION("""COMPUTED_VALUE"""),"Comox BC")</f>
        <v/>
      </c>
      <c r="K19368">
        <f>IFERROR(__xludf.DUMMYFUNCTION("""COMPUTED_VALUE"""),539.7)</f>
        <v/>
      </c>
    </row>
    <row r="19369">
      <c r="J19369">
        <f>IFERROR(__xludf.DUMMYFUNCTION("""COMPUTED_VALUE"""),"Montreal, Shawinigan")</f>
        <v/>
      </c>
      <c r="K19369">
        <f>IFERROR(__xludf.DUMMYFUNCTION("""COMPUTED_VALUE"""),539.16)</f>
        <v/>
      </c>
    </row>
    <row r="19370">
      <c r="J19370">
        <f>IFERROR(__xludf.DUMMYFUNCTION("""COMPUTED_VALUE"""),"Cowansville, Quebec; Venise-en-Quebec, Quebec")</f>
        <v/>
      </c>
      <c r="K19370">
        <f>IFERROR(__xludf.DUMMYFUNCTION("""COMPUTED_VALUE"""),539.05)</f>
        <v/>
      </c>
    </row>
    <row r="19371">
      <c r="J19371">
        <f>IFERROR(__xludf.DUMMYFUNCTION("""COMPUTED_VALUE"""),"Charlottetown, Prince Edouard Island")</f>
        <v/>
      </c>
      <c r="K19371">
        <f>IFERROR(__xludf.DUMMYFUNCTION("""COMPUTED_VALUE"""),538.77)</f>
        <v/>
      </c>
    </row>
    <row r="19372">
      <c r="J19372">
        <f>IFERROR(__xludf.DUMMYFUNCTION("""COMPUTED_VALUE"""),"St. Catherines, Ontario")</f>
        <v/>
      </c>
      <c r="K19372">
        <f>IFERROR(__xludf.DUMMYFUNCTION("""COMPUTED_VALUE"""),538.65)</f>
        <v/>
      </c>
    </row>
    <row r="19373">
      <c r="J19373">
        <f>IFERROR(__xludf.DUMMYFUNCTION("""COMPUTED_VALUE"""),"Pyeongchang (South Korea)")</f>
        <v/>
      </c>
      <c r="K19373">
        <f>IFERROR(__xludf.DUMMYFUNCTION("""COMPUTED_VALUE"""),538.2)</f>
        <v/>
      </c>
    </row>
    <row r="19374">
      <c r="J19374">
        <f>IFERROR(__xludf.DUMMYFUNCTION("""COMPUTED_VALUE"""),"Îles-de-la-Madeleine, Quebec, Canada; Gaspé, Quebec, Canada; Havre-Saint-Pierre, Quebec, Canada; Sept-Îles, Quebec, Canada")</f>
        <v/>
      </c>
      <c r="K19374">
        <f>IFERROR(__xludf.DUMMYFUNCTION("""COMPUTED_VALUE"""),537.65)</f>
        <v/>
      </c>
    </row>
    <row r="19375">
      <c r="J19375">
        <f>IFERROR(__xludf.DUMMYFUNCTION("""COMPUTED_VALUE"""),"Ottawa - Gasepésie - Ottawa")</f>
        <v/>
      </c>
      <c r="K19375">
        <f>IFERROR(__xludf.DUMMYFUNCTION("""COMPUTED_VALUE"""),535.75)</f>
        <v/>
      </c>
    </row>
    <row r="19376">
      <c r="J19376">
        <f>IFERROR(__xludf.DUMMYFUNCTION("""COMPUTED_VALUE"""),"METZ")</f>
        <v/>
      </c>
      <c r="K19376">
        <f>IFERROR(__xludf.DUMMYFUNCTION("""COMPUTED_VALUE"""),535.63)</f>
        <v/>
      </c>
    </row>
    <row r="19377">
      <c r="J19377">
        <f>IFERROR(__xludf.DUMMYFUNCTION("""COMPUTED_VALUE"""),"Val-Marie, Saskatchewan")</f>
        <v/>
      </c>
      <c r="K19377">
        <f>IFERROR(__xludf.DUMMYFUNCTION("""COMPUTED_VALUE"""),535.6)</f>
        <v/>
      </c>
    </row>
    <row r="19378">
      <c r="J19378">
        <f>IFERROR(__xludf.DUMMYFUNCTION("""COMPUTED_VALUE"""),"Montréal / La Prairie")</f>
        <v/>
      </c>
      <c r="K19378">
        <f>IFERROR(__xludf.DUMMYFUNCTION("""COMPUTED_VALUE"""),535.48)</f>
        <v/>
      </c>
    </row>
    <row r="19379">
      <c r="J19379">
        <f>IFERROR(__xludf.DUMMYFUNCTION("""COMPUTED_VALUE"""),"Verdun, Quebec, Canada; Québec, Quebec, Canada")</f>
        <v/>
      </c>
      <c r="K19379">
        <f>IFERROR(__xludf.DUMMYFUNCTION("""COMPUTED_VALUE"""),535.34)</f>
        <v/>
      </c>
    </row>
    <row r="19380">
      <c r="J19380">
        <f>IFERROR(__xludf.DUMMYFUNCTION("""COMPUTED_VALUE"""),"Montreal, Ontario")</f>
        <v/>
      </c>
      <c r="K19380">
        <f>IFERROR(__xludf.DUMMYFUNCTION("""COMPUTED_VALUE"""),534.83)</f>
        <v/>
      </c>
    </row>
    <row r="19381">
      <c r="J19381">
        <f>IFERROR(__xludf.DUMMYFUNCTION("""COMPUTED_VALUE"""),"Armenia, Yerevan")</f>
        <v/>
      </c>
      <c r="K19381">
        <f>IFERROR(__xludf.DUMMYFUNCTION("""COMPUTED_VALUE"""),534.82)</f>
        <v/>
      </c>
    </row>
    <row r="19382">
      <c r="J19382">
        <f>IFERROR(__xludf.DUMMYFUNCTION("""COMPUTED_VALUE"""),"Ottawa - Ste-Anne-De-Bellevue - Ottawa")</f>
        <v/>
      </c>
      <c r="K19382">
        <f>IFERROR(__xludf.DUMMYFUNCTION("""COMPUTED_VALUE"""),534.7)</f>
        <v/>
      </c>
    </row>
    <row r="19383">
      <c r="J19383">
        <f>IFERROR(__xludf.DUMMYFUNCTION("""COMPUTED_VALUE"""),"Sherbrooke, Saguenay-Lac-Saint-Jean")</f>
        <v/>
      </c>
      <c r="K19383">
        <f>IFERROR(__xludf.DUMMYFUNCTION("""COMPUTED_VALUE"""),534.13)</f>
        <v/>
      </c>
    </row>
    <row r="19384">
      <c r="J19384">
        <f>IFERROR(__xludf.DUMMYFUNCTION("""COMPUTED_VALUE"""),"Paris-Villiers le Maheu-Paris")</f>
        <v/>
      </c>
      <c r="K19384">
        <f>IFERROR(__xludf.DUMMYFUNCTION("""COMPUTED_VALUE"""),534)</f>
        <v/>
      </c>
    </row>
    <row r="19385">
      <c r="J19385">
        <f>IFERROR(__xludf.DUMMYFUNCTION("""COMPUTED_VALUE"""),"Montreal, Quebec and Laval, Quebec")</f>
        <v/>
      </c>
      <c r="K19385">
        <f>IFERROR(__xludf.DUMMYFUNCTION("""COMPUTED_VALUE"""),533.84)</f>
        <v/>
      </c>
    </row>
    <row r="19386">
      <c r="J19386">
        <f>IFERROR(__xludf.DUMMYFUNCTION("""COMPUTED_VALUE"""),"Base Gander, NL")</f>
        <v/>
      </c>
      <c r="K19386">
        <f>IFERROR(__xludf.DUMMYFUNCTION("""COMPUTED_VALUE"""),533.78)</f>
        <v/>
      </c>
    </row>
    <row r="19387">
      <c r="J19387">
        <f>IFERROR(__xludf.DUMMYFUNCTION("""COMPUTED_VALUE"""),"OTTAWA,WINNIPEG, OTTAWA")</f>
        <v/>
      </c>
      <c r="K19387">
        <f>IFERROR(__xludf.DUMMYFUNCTION("""COMPUTED_VALUE"""),533.76)</f>
        <v/>
      </c>
    </row>
    <row r="19388">
      <c r="J19388">
        <f>IFERROR(__xludf.DUMMYFUNCTION("""COMPUTED_VALUE"""),"Charlottetown, Prince Edward Island, Canada; Halifax, Nova Scotia, Canada; Truro, Nova Scotia, Canada")</f>
        <v/>
      </c>
      <c r="K19388">
        <f>IFERROR(__xludf.DUMMYFUNCTION("""COMPUTED_VALUE"""),532.5)</f>
        <v/>
      </c>
    </row>
    <row r="19389">
      <c r="J19389">
        <f>IFERROR(__xludf.DUMMYFUNCTION("""COMPUTED_VALUE"""),"Calgary, AB and Innisfail, AB and Red Deer, AB and Sylvan Lake, AB")</f>
        <v/>
      </c>
      <c r="K19389">
        <f>IFERROR(__xludf.DUMMYFUNCTION("""COMPUTED_VALUE"""),532.37)</f>
        <v/>
      </c>
    </row>
    <row r="19390">
      <c r="J19390">
        <f>IFERROR(__xludf.DUMMYFUNCTION("""COMPUTED_VALUE"""),"St. John's, Newfoundland and Labrador and Sydney, Cape Breton and Antigonish, Nova Scotia")</f>
        <v/>
      </c>
      <c r="K19390">
        <f>IFERROR(__xludf.DUMMYFUNCTION("""COMPUTED_VALUE"""),532.32)</f>
        <v/>
      </c>
    </row>
    <row r="19391">
      <c r="J19391">
        <f>IFERROR(__xludf.DUMMYFUNCTION("""COMPUTED_VALUE"""),"Tampa, Florida USA")</f>
        <v/>
      </c>
      <c r="K19391">
        <f>IFERROR(__xludf.DUMMYFUNCTION("""COMPUTED_VALUE"""),531.77)</f>
        <v/>
      </c>
    </row>
    <row r="19392">
      <c r="J19392">
        <f>IFERROR(__xludf.DUMMYFUNCTION("""COMPUTED_VALUE"""),"Buffalo and Niagara Region")</f>
        <v/>
      </c>
      <c r="K19392">
        <f>IFERROR(__xludf.DUMMYFUNCTION("""COMPUTED_VALUE"""),531.29)</f>
        <v/>
      </c>
    </row>
    <row r="19393">
      <c r="J19393">
        <f>IFERROR(__xludf.DUMMYFUNCTION("""COMPUTED_VALUE"""),"Sherbrooke; Granby; Drummondville, Quebec, Canada")</f>
        <v/>
      </c>
      <c r="K19393">
        <f>IFERROR(__xludf.DUMMYFUNCTION("""COMPUTED_VALUE"""),530.99)</f>
        <v/>
      </c>
    </row>
    <row r="19394">
      <c r="J19394">
        <f>IFERROR(__xludf.DUMMYFUNCTION("""COMPUTED_VALUE"""),"Charlevoix, Quebec, Canada; Québec, Quebec, Canada")</f>
        <v/>
      </c>
      <c r="K19394">
        <f>IFERROR(__xludf.DUMMYFUNCTION("""COMPUTED_VALUE"""),530.76)</f>
        <v/>
      </c>
    </row>
    <row r="19395">
      <c r="J19395">
        <f>IFERROR(__xludf.DUMMYFUNCTION("""COMPUTED_VALUE"""),"Orford / Granby")</f>
        <v/>
      </c>
      <c r="K19395">
        <f>IFERROR(__xludf.DUMMYFUNCTION("""COMPUTED_VALUE"""),530.45)</f>
        <v/>
      </c>
    </row>
    <row r="19396">
      <c r="J19396">
        <f>IFERROR(__xludf.DUMMYFUNCTION("""COMPUTED_VALUE"""),"Georgina, Ontario, Canada")</f>
        <v/>
      </c>
      <c r="K19396">
        <f>IFERROR(__xludf.DUMMYFUNCTION("""COMPUTED_VALUE"""),530.26)</f>
        <v/>
      </c>
    </row>
    <row r="19397">
      <c r="J19397">
        <f>IFERROR(__xludf.DUMMYFUNCTION("""COMPUTED_VALUE"""),"Jordan, Ontario, Canada")</f>
        <v/>
      </c>
      <c r="K19397">
        <f>IFERROR(__xludf.DUMMYFUNCTION("""COMPUTED_VALUE"""),530.05)</f>
        <v/>
      </c>
    </row>
    <row r="19398">
      <c r="J19398">
        <f>IFERROR(__xludf.DUMMYFUNCTION("""COMPUTED_VALUE"""),"Cheltenham")</f>
        <v/>
      </c>
      <c r="K19398">
        <f>IFERROR(__xludf.DUMMYFUNCTION("""COMPUTED_VALUE"""),529.8)</f>
        <v/>
      </c>
    </row>
    <row r="19399">
      <c r="J19399">
        <f>IFERROR(__xludf.DUMMYFUNCTION("""COMPUTED_VALUE"""),"Calabogie, Ontario")</f>
        <v/>
      </c>
      <c r="K19399">
        <f>IFERROR(__xludf.DUMMYFUNCTION("""COMPUTED_VALUE"""),529.77)</f>
        <v/>
      </c>
    </row>
    <row r="19400">
      <c r="J19400">
        <f>IFERROR(__xludf.DUMMYFUNCTION("""COMPUTED_VALUE"""),"Burlington, Vermont and Montreal")</f>
        <v/>
      </c>
      <c r="K19400">
        <f>IFERROR(__xludf.DUMMYFUNCTION("""COMPUTED_VALUE"""),529.45)</f>
        <v/>
      </c>
    </row>
    <row r="19401">
      <c r="J19401">
        <f>IFERROR(__xludf.DUMMYFUNCTION("""COMPUTED_VALUE"""),"Kingston/Toronto")</f>
        <v/>
      </c>
      <c r="K19401">
        <f>IFERROR(__xludf.DUMMYFUNCTION("""COMPUTED_VALUE"""),529.19)</f>
        <v/>
      </c>
    </row>
    <row r="19402">
      <c r="J19402">
        <f>IFERROR(__xludf.DUMMYFUNCTION("""COMPUTED_VALUE"""),"Winnipeg and Portage la prairie (Manitoba)")</f>
        <v/>
      </c>
      <c r="K19402">
        <f>IFERROR(__xludf.DUMMYFUNCTION("""COMPUTED_VALUE"""),529.16)</f>
        <v/>
      </c>
    </row>
    <row r="19403">
      <c r="J19403">
        <f>IFERROR(__xludf.DUMMYFUNCTION("""COMPUTED_VALUE"""),"Ottawa-Montreal- Sherbrooke-Ottawa")</f>
        <v/>
      </c>
      <c r="K19403">
        <f>IFERROR(__xludf.DUMMYFUNCTION("""COMPUTED_VALUE"""),528.57)</f>
        <v/>
      </c>
    </row>
    <row r="19404">
      <c r="J19404">
        <f>IFERROR(__xludf.DUMMYFUNCTION("""COMPUTED_VALUE"""),"Montréal / St-Hyacinthe")</f>
        <v/>
      </c>
      <c r="K19404">
        <f>IFERROR(__xludf.DUMMYFUNCTION("""COMPUTED_VALUE"""),528.37)</f>
        <v/>
      </c>
    </row>
    <row r="19405">
      <c r="J19405">
        <f>IFERROR(__xludf.DUMMYFUNCTION("""COMPUTED_VALUE"""),"Dolbeau-Mistassini")</f>
        <v/>
      </c>
      <c r="K19405">
        <f>IFERROR(__xludf.DUMMYFUNCTION("""COMPUTED_VALUE"""),528.25)</f>
        <v/>
      </c>
    </row>
    <row r="19406">
      <c r="J19406">
        <f>IFERROR(__xludf.DUMMYFUNCTION("""COMPUTED_VALUE"""),"Melbourne, Australia; Adelaide, Australia")</f>
        <v/>
      </c>
      <c r="K19406">
        <f>IFERROR(__xludf.DUMMYFUNCTION("""COMPUTED_VALUE"""),528.23)</f>
        <v/>
      </c>
    </row>
    <row r="19407">
      <c r="J19407">
        <f>IFERROR(__xludf.DUMMYFUNCTION("""COMPUTED_VALUE"""),"St. Jean Sur Richelieu (Quebec) Canada")</f>
        <v/>
      </c>
      <c r="K19407">
        <f>IFERROR(__xludf.DUMMYFUNCTION("""COMPUTED_VALUE"""),528.14)</f>
        <v/>
      </c>
    </row>
    <row r="19408">
      <c r="J19408">
        <f>IFERROR(__xludf.DUMMYFUNCTION("""COMPUTED_VALUE"""),"Dartmouth, Nova Scotia, Canada; Halifax, Nova Scotia, Canada")</f>
        <v/>
      </c>
      <c r="K19408">
        <f>IFERROR(__xludf.DUMMYFUNCTION("""COMPUTED_VALUE"""),527.93)</f>
        <v/>
      </c>
    </row>
    <row r="19409">
      <c r="J19409">
        <f>IFERROR(__xludf.DUMMYFUNCTION("""COMPUTED_VALUE"""),"Markham, Northumberland &amp; Peterborough, Ontario, Canada")</f>
        <v/>
      </c>
      <c r="K19409">
        <f>IFERROR(__xludf.DUMMYFUNCTION("""COMPUTED_VALUE"""),527.56)</f>
        <v/>
      </c>
    </row>
    <row r="19410">
      <c r="J19410">
        <f>IFERROR(__xludf.DUMMYFUNCTION("""COMPUTED_VALUE"""),"Markham, Stratford, London, Ontario, Canada")</f>
        <v/>
      </c>
      <c r="K19410">
        <f>IFERROR(__xludf.DUMMYFUNCTION("""COMPUTED_VALUE"""),527.31)</f>
        <v/>
      </c>
    </row>
    <row r="19411">
      <c r="J19411">
        <f>IFERROR(__xludf.DUMMYFUNCTION("""COMPUTED_VALUE"""),"London and Niagara Falls, Ontario, Canada")</f>
        <v/>
      </c>
      <c r="K19411">
        <f>IFERROR(__xludf.DUMMYFUNCTION("""COMPUTED_VALUE"""),526.97)</f>
        <v/>
      </c>
    </row>
    <row r="19412">
      <c r="J19412">
        <f>IFERROR(__xludf.DUMMYFUNCTION("""COMPUTED_VALUE"""),"Caledon")</f>
        <v/>
      </c>
      <c r="K19412">
        <f>IFERROR(__xludf.DUMMYFUNCTION("""COMPUTED_VALUE"""),526.39)</f>
        <v/>
      </c>
    </row>
    <row r="19413">
      <c r="J19413">
        <f>IFERROR(__xludf.DUMMYFUNCTION("""COMPUTED_VALUE"""),"Castlegar, British Columbia")</f>
        <v/>
      </c>
      <c r="K19413">
        <f>IFERROR(__xludf.DUMMYFUNCTION("""COMPUTED_VALUE"""),526.19)</f>
        <v/>
      </c>
    </row>
    <row r="19414">
      <c r="J19414">
        <f>IFERROR(__xludf.DUMMYFUNCTION("""COMPUTED_VALUE"""),"Kitchener-Ottawa")</f>
        <v/>
      </c>
      <c r="K19414">
        <f>IFERROR(__xludf.DUMMYFUNCTION("""COMPUTED_VALUE"""),526.16)</f>
        <v/>
      </c>
    </row>
    <row r="19415">
      <c r="J19415">
        <f>IFERROR(__xludf.DUMMYFUNCTION("""COMPUTED_VALUE"""),"Istanbul (accompanied by spouse) Trip by car (from Ankra)")</f>
        <v/>
      </c>
      <c r="K19415">
        <f>IFERROR(__xludf.DUMMYFUNCTION("""COMPUTED_VALUE"""),525.92)</f>
        <v/>
      </c>
    </row>
    <row r="19416">
      <c r="J19416">
        <f>IFERROR(__xludf.DUMMYFUNCTION("""COMPUTED_VALUE"""),"Curitiba, Brazil")</f>
        <v/>
      </c>
      <c r="K19416">
        <f>IFERROR(__xludf.DUMMYFUNCTION("""COMPUTED_VALUE"""),525.86)</f>
        <v/>
      </c>
    </row>
    <row r="19417">
      <c r="J19417">
        <f>IFERROR(__xludf.DUMMYFUNCTION("""COMPUTED_VALUE"""),"Vimy and Arras")</f>
        <v/>
      </c>
      <c r="K19417">
        <f>IFERROR(__xludf.DUMMYFUNCTION("""COMPUTED_VALUE"""),525.44)</f>
        <v/>
      </c>
    </row>
    <row r="19418">
      <c r="J19418">
        <f>IFERROR(__xludf.DUMMYFUNCTION("""COMPUTED_VALUE"""),"Truro, Nova Scotia, Canada; Halifax, Nova Scotia, Canada; Moncton, New Brunswick, Canada")</f>
        <v/>
      </c>
      <c r="K19418">
        <f>IFERROR(__xludf.DUMMYFUNCTION("""COMPUTED_VALUE"""),525.37)</f>
        <v/>
      </c>
    </row>
    <row r="19419">
      <c r="J19419">
        <f>IFERROR(__xludf.DUMMYFUNCTION("""COMPUTED_VALUE"""),"IRAQ")</f>
        <v/>
      </c>
      <c r="K19419">
        <f>IFERROR(__xludf.DUMMYFUNCTION("""COMPUTED_VALUE"""),525.28)</f>
        <v/>
      </c>
    </row>
    <row r="19420">
      <c r="J19420">
        <f>IFERROR(__xludf.DUMMYFUNCTION("""COMPUTED_VALUE"""),"Montreal - Thetford")</f>
        <v/>
      </c>
      <c r="K19420">
        <f>IFERROR(__xludf.DUMMYFUNCTION("""COMPUTED_VALUE"""),525.27)</f>
        <v/>
      </c>
    </row>
    <row r="19421">
      <c r="J19421">
        <f>IFERROR(__xludf.DUMMYFUNCTION("""COMPUTED_VALUE"""),"Saint-Jean-sur-Richlieu (QC)")</f>
        <v/>
      </c>
      <c r="K19421">
        <f>IFERROR(__xludf.DUMMYFUNCTION("""COMPUTED_VALUE"""),525.06)</f>
        <v/>
      </c>
    </row>
    <row r="19422">
      <c r="J19422">
        <f>IFERROR(__xludf.DUMMYFUNCTION("""COMPUTED_VALUE"""),"Lenox, MA")</f>
        <v/>
      </c>
      <c r="K19422">
        <f>IFERROR(__xludf.DUMMYFUNCTION("""COMPUTED_VALUE"""),524.87)</f>
        <v/>
      </c>
    </row>
    <row r="19423">
      <c r="J19423">
        <f>IFERROR(__xludf.DUMMYFUNCTION("""COMPUTED_VALUE"""),"MONTREAL, Quebec")</f>
        <v/>
      </c>
      <c r="K19423">
        <f>IFERROR(__xludf.DUMMYFUNCTION("""COMPUTED_VALUE"""),524.46)</f>
        <v/>
      </c>
    </row>
    <row r="19424">
      <c r="J19424">
        <f>IFERROR(__xludf.DUMMYFUNCTION("""COMPUTED_VALUE"""),"Cheltenham, UK")</f>
        <v/>
      </c>
      <c r="K19424">
        <f>IFERROR(__xludf.DUMMYFUNCTION("""COMPUTED_VALUE"""),524.44)</f>
        <v/>
      </c>
    </row>
    <row r="19425">
      <c r="J19425">
        <f>IFERROR(__xludf.DUMMYFUNCTION("""COMPUTED_VALUE"""),"Tabasco")</f>
        <v/>
      </c>
      <c r="K19425">
        <f>IFERROR(__xludf.DUMMYFUNCTION("""COMPUTED_VALUE"""),524.33)</f>
        <v/>
      </c>
    </row>
    <row r="19426">
      <c r="J19426">
        <f>IFERROR(__xludf.DUMMYFUNCTION("""COMPUTED_VALUE"""),"Vail, CO, USA")</f>
        <v/>
      </c>
      <c r="K19426">
        <f>IFERROR(__xludf.DUMMYFUNCTION("""COMPUTED_VALUE"""),524.31)</f>
        <v/>
      </c>
    </row>
    <row r="19427">
      <c r="J19427">
        <f>IFERROR(__xludf.DUMMYFUNCTION("""COMPUTED_VALUE"""),"Saint John, New Brunswick, Canada
Milltown, New Brunswick, Canada")</f>
        <v/>
      </c>
      <c r="K19427">
        <f>IFERROR(__xludf.DUMMYFUNCTION("""COMPUTED_VALUE"""),524.14)</f>
        <v/>
      </c>
    </row>
    <row r="19428">
      <c r="J19428">
        <f>IFERROR(__xludf.DUMMYFUNCTION("""COMPUTED_VALUE"""),"Thetford Mines, Quebec, Canada; Québec, Quebec, Canada")</f>
        <v/>
      </c>
      <c r="K19428">
        <f>IFERROR(__xludf.DUMMYFUNCTION("""COMPUTED_VALUE"""),523.62)</f>
        <v/>
      </c>
    </row>
    <row r="19429">
      <c r="J19429">
        <f>IFERROR(__xludf.DUMMYFUNCTION("""COMPUTED_VALUE"""),"Ottawa and Toronto,ON")</f>
        <v/>
      </c>
      <c r="K19429">
        <f>IFERROR(__xludf.DUMMYFUNCTION("""COMPUTED_VALUE"""),523.53)</f>
        <v/>
      </c>
    </row>
    <row r="19430">
      <c r="J19430">
        <f>IFERROR(__xludf.DUMMYFUNCTION("""COMPUTED_VALUE"""),"Lacolle, QC
Morses Line, QC")</f>
        <v/>
      </c>
      <c r="K19430">
        <f>IFERROR(__xludf.DUMMYFUNCTION("""COMPUTED_VALUE"""),523.52)</f>
        <v/>
      </c>
    </row>
    <row r="19431">
      <c r="J19431">
        <f>IFERROR(__xludf.DUMMYFUNCTION("""COMPUTED_VALUE"""),"Sarnia and London, ON")</f>
        <v/>
      </c>
      <c r="K19431">
        <f>IFERROR(__xludf.DUMMYFUNCTION("""COMPUTED_VALUE"""),523.47)</f>
        <v/>
      </c>
    </row>
    <row r="19432">
      <c r="J19432">
        <f>IFERROR(__xludf.DUMMYFUNCTION("""COMPUTED_VALUE"""),"Normandie")</f>
        <v/>
      </c>
      <c r="K19432">
        <f>IFERROR(__xludf.DUMMYFUNCTION("""COMPUTED_VALUE"""),523.09)</f>
        <v/>
      </c>
    </row>
    <row r="19433">
      <c r="J19433">
        <f>IFERROR(__xludf.DUMMYFUNCTION("""COMPUTED_VALUE"""),"Beaver Creek, Yukon")</f>
        <v/>
      </c>
      <c r="K19433">
        <f>IFERROR(__xludf.DUMMYFUNCTION("""COMPUTED_VALUE"""),522.9)</f>
        <v/>
      </c>
    </row>
    <row r="19434">
      <c r="J19434">
        <f>IFERROR(__xludf.DUMMYFUNCTION("""COMPUTED_VALUE"""),"Kamloops, BC Halifax, NS")</f>
        <v/>
      </c>
      <c r="K19434">
        <f>IFERROR(__xludf.DUMMYFUNCTION("""COMPUTED_VALUE"""),522.53)</f>
        <v/>
      </c>
    </row>
    <row r="19435">
      <c r="J19435">
        <f>IFERROR(__xludf.DUMMYFUNCTION("""COMPUTED_VALUE"""),"Sherbrooke/Lennoxville, Quebec")</f>
        <v/>
      </c>
      <c r="K19435">
        <f>IFERROR(__xludf.DUMMYFUNCTION("""COMPUTED_VALUE"""),521.85)</f>
        <v/>
      </c>
    </row>
    <row r="19436">
      <c r="J19436">
        <f>IFERROR(__xludf.DUMMYFUNCTION("""COMPUTED_VALUE"""),"Regina, SK and Moose Jaw, SK")</f>
        <v/>
      </c>
      <c r="K19436">
        <f>IFERROR(__xludf.DUMMYFUNCTION("""COMPUTED_VALUE"""),521.79)</f>
        <v/>
      </c>
    </row>
    <row r="19437">
      <c r="J19437">
        <f>IFERROR(__xludf.DUMMYFUNCTION("""COMPUTED_VALUE"""),"Drummondville, Ottawa")</f>
        <v/>
      </c>
      <c r="K19437">
        <f>IFERROR(__xludf.DUMMYFUNCTION("""COMPUTED_VALUE"""),521.26)</f>
        <v/>
      </c>
    </row>
    <row r="19438">
      <c r="J19438">
        <f>IFERROR(__xludf.DUMMYFUNCTION("""COMPUTED_VALUE"""),"Saint John, NB - Ottawa, ON")</f>
        <v/>
      </c>
      <c r="K19438">
        <f>IFERROR(__xludf.DUMMYFUNCTION("""COMPUTED_VALUE"""),521.02)</f>
        <v/>
      </c>
    </row>
    <row r="19439">
      <c r="J19439">
        <f>IFERROR(__xludf.DUMMYFUNCTION("""COMPUTED_VALUE"""),"St-Mathieu-du-Parc/Québec, Quebec")</f>
        <v/>
      </c>
      <c r="K19439">
        <f>IFERROR(__xludf.DUMMYFUNCTION("""COMPUTED_VALUE"""),520.99)</f>
        <v/>
      </c>
    </row>
    <row r="19440">
      <c r="J19440">
        <f>IFERROR(__xludf.DUMMYFUNCTION("""COMPUTED_VALUE"""),"Prince Albert, SK; La Ronge, SK")</f>
        <v/>
      </c>
      <c r="K19440">
        <f>IFERROR(__xludf.DUMMYFUNCTION("""COMPUTED_VALUE"""),520.26)</f>
        <v/>
      </c>
    </row>
    <row r="19441">
      <c r="J19441">
        <f>IFERROR(__xludf.DUMMYFUNCTION("""COMPUTED_VALUE"""),"Sainte-Martine, Quebec, Canada")</f>
        <v/>
      </c>
      <c r="K19441">
        <f>IFERROR(__xludf.DUMMYFUNCTION("""COMPUTED_VALUE"""),520.24)</f>
        <v/>
      </c>
    </row>
    <row r="19442">
      <c r="J19442">
        <f>IFERROR(__xludf.DUMMYFUNCTION("""COMPUTED_VALUE"""),"Montreal, On")</f>
        <v/>
      </c>
      <c r="K19442">
        <f>IFERROR(__xludf.DUMMYFUNCTION("""COMPUTED_VALUE"""),520)</f>
        <v/>
      </c>
    </row>
    <row r="19443">
      <c r="J19443">
        <f>IFERROR(__xludf.DUMMYFUNCTION("""COMPUTED_VALUE"""),"Québec City, Rivière-du-Loup, Rivière-Ouelle, La Pocatière, Beauce et Shawinigan, Québec")</f>
        <v/>
      </c>
      <c r="K19443">
        <f>IFERROR(__xludf.DUMMYFUNCTION("""COMPUTED_VALUE"""),519.95)</f>
        <v/>
      </c>
    </row>
    <row r="19444">
      <c r="J19444">
        <f>IFERROR(__xludf.DUMMYFUNCTION("""COMPUTED_VALUE"""),"Québec, Roberval, Montréal, Ottawa")</f>
        <v/>
      </c>
      <c r="K19444">
        <f>IFERROR(__xludf.DUMMYFUNCTION("""COMPUTED_VALUE"""),519.84)</f>
        <v/>
      </c>
    </row>
    <row r="19445">
      <c r="J19445">
        <f>IFERROR(__xludf.DUMMYFUNCTION("""COMPUTED_VALUE"""),"Port Perry, Brampton,Toronto, ON")</f>
        <v/>
      </c>
      <c r="K19445">
        <f>IFERROR(__xludf.DUMMYFUNCTION("""COMPUTED_VALUE"""),519.75)</f>
        <v/>
      </c>
    </row>
    <row r="19446">
      <c r="J19446">
        <f>IFERROR(__xludf.DUMMYFUNCTION("""COMPUTED_VALUE"""),"Onanole, Manitoba, Canada")</f>
        <v/>
      </c>
      <c r="K19446">
        <f>IFERROR(__xludf.DUMMYFUNCTION("""COMPUTED_VALUE"""),519.71)</f>
        <v/>
      </c>
    </row>
    <row r="19447">
      <c r="J19447">
        <f>IFERROR(__xludf.DUMMYFUNCTION("""COMPUTED_VALUE"""),"Montreal QC and Toronto ON")</f>
        <v/>
      </c>
      <c r="K19447">
        <f>IFERROR(__xludf.DUMMYFUNCTION("""COMPUTED_VALUE"""),519.25)</f>
        <v/>
      </c>
    </row>
    <row r="19448">
      <c r="J19448">
        <f>IFERROR(__xludf.DUMMYFUNCTION("""COMPUTED_VALUE"""),"PORT-AU-PRINCE, HAITI")</f>
        <v/>
      </c>
      <c r="K19448">
        <f>IFERROR(__xludf.DUMMYFUNCTION("""COMPUTED_VALUE"""),518.6)</f>
        <v/>
      </c>
    </row>
    <row r="19449">
      <c r="J19449">
        <f>IFERROR(__xludf.DUMMYFUNCTION("""COMPUTED_VALUE"""),"Kangiqsujuaq, Quebec, Canada")</f>
        <v/>
      </c>
      <c r="K19449">
        <f>IFERROR(__xludf.DUMMYFUNCTION("""COMPUTED_VALUE"""),518.32)</f>
        <v/>
      </c>
    </row>
    <row r="19450">
      <c r="J19450">
        <f>IFERROR(__xludf.DUMMYFUNCTION("""COMPUTED_VALUE"""),"Thunder Bay, Ontario, Canada; Sudbury, Ontario, Canada")</f>
        <v/>
      </c>
      <c r="K19450">
        <f>IFERROR(__xludf.DUMMYFUNCTION("""COMPUTED_VALUE"""),518.18)</f>
        <v/>
      </c>
    </row>
    <row r="19451">
      <c r="J19451">
        <f>IFERROR(__xludf.DUMMYFUNCTION("""COMPUTED_VALUE"""),"Tyne Valley, PE Elmsdale, PE Summerside, PE Alberton, PE Charlottetown, PE Tignish, PE Wellington, PE Sherbrooke, PE")</f>
        <v/>
      </c>
      <c r="K19451">
        <f>IFERROR(__xludf.DUMMYFUNCTION("""COMPUTED_VALUE"""),517.86)</f>
        <v/>
      </c>
    </row>
    <row r="19452">
      <c r="J19452">
        <f>IFERROR(__xludf.DUMMYFUNCTION("""COMPUTED_VALUE"""),"Atlantic City and Princeton, NJ")</f>
        <v/>
      </c>
      <c r="K19452">
        <f>IFERROR(__xludf.DUMMYFUNCTION("""COMPUTED_VALUE"""),517.35)</f>
        <v/>
      </c>
    </row>
    <row r="19453">
      <c r="J19453">
        <f>IFERROR(__xludf.DUMMYFUNCTION("""COMPUTED_VALUE"""),"Saint-Félicien, Quebec, Canada")</f>
        <v/>
      </c>
      <c r="K19453">
        <f>IFERROR(__xludf.DUMMYFUNCTION("""COMPUTED_VALUE"""),517.34)</f>
        <v/>
      </c>
    </row>
    <row r="19454">
      <c r="J19454">
        <f>IFERROR(__xludf.DUMMYFUNCTION("""COMPUTED_VALUE"""),"Eskasoni, Nova Scotia, Canada")</f>
        <v/>
      </c>
      <c r="K19454">
        <f>IFERROR(__xludf.DUMMYFUNCTION("""COMPUTED_VALUE"""),517.08)</f>
        <v/>
      </c>
    </row>
    <row r="19455">
      <c r="J19455">
        <f>IFERROR(__xludf.DUMMYFUNCTION("""COMPUTED_VALUE"""),"Ottawa, Newark, canada")</f>
        <v/>
      </c>
      <c r="K19455">
        <f>IFERROR(__xludf.DUMMYFUNCTION("""COMPUTED_VALUE"""),516.83)</f>
        <v/>
      </c>
    </row>
    <row r="19456">
      <c r="J19456">
        <f>IFERROR(__xludf.DUMMYFUNCTION("""COMPUTED_VALUE"""),"Ottawa, Gatineau, Trois-Rivières")</f>
        <v/>
      </c>
      <c r="K19456">
        <f>IFERROR(__xludf.DUMMYFUNCTION("""COMPUTED_VALUE"""),516.77)</f>
        <v/>
      </c>
    </row>
    <row r="19457">
      <c r="J19457">
        <f>IFERROR(__xludf.DUMMYFUNCTION("""COMPUTED_VALUE"""),"Rivière-Baudette, Coteau-du-Lac, Vaudreuil-Dorion")</f>
        <v/>
      </c>
      <c r="K19457">
        <f>IFERROR(__xludf.DUMMYFUNCTION("""COMPUTED_VALUE"""),516.22)</f>
        <v/>
      </c>
    </row>
    <row r="19458">
      <c r="J19458">
        <f>IFERROR(__xludf.DUMMYFUNCTION("""COMPUTED_VALUE"""),"Port Hawkesbury, Nova Scotia, Canada")</f>
        <v/>
      </c>
      <c r="K19458">
        <f>IFERROR(__xludf.DUMMYFUNCTION("""COMPUTED_VALUE"""),516.15)</f>
        <v/>
      </c>
    </row>
    <row r="19459">
      <c r="J19459">
        <f>IFERROR(__xludf.DUMMYFUNCTION("""COMPUTED_VALUE"""),"Moncton and St. Andrews, New Brunswick")</f>
        <v/>
      </c>
      <c r="K19459">
        <f>IFERROR(__xludf.DUMMYFUNCTION("""COMPUTED_VALUE"""),515.81)</f>
        <v/>
      </c>
    </row>
    <row r="19460">
      <c r="J19460">
        <f>IFERROR(__xludf.DUMMYFUNCTION("""COMPUTED_VALUE"""),"Ottawa, Gatineau
et Québec")</f>
        <v/>
      </c>
      <c r="K19460">
        <f>IFERROR(__xludf.DUMMYFUNCTION("""COMPUTED_VALUE"""),515.77)</f>
        <v/>
      </c>
    </row>
    <row r="19461">
      <c r="J19461">
        <f>IFERROR(__xludf.DUMMYFUNCTION("""COMPUTED_VALUE"""),"Ottawa, Ontario, Canada   Gatineau, Quebec, Canada")</f>
        <v/>
      </c>
      <c r="K19461">
        <f>IFERROR(__xludf.DUMMYFUNCTION("""COMPUTED_VALUE"""),515.68)</f>
        <v/>
      </c>
    </row>
    <row r="19462">
      <c r="J19462">
        <f>IFERROR(__xludf.DUMMYFUNCTION("""COMPUTED_VALUE"""),"Saint-Jean-De-Matha, Quebec, Canada")</f>
        <v/>
      </c>
      <c r="K19462">
        <f>IFERROR(__xludf.DUMMYFUNCTION("""COMPUTED_VALUE"""),515.46)</f>
        <v/>
      </c>
    </row>
    <row r="19463">
      <c r="J19463">
        <f>IFERROR(__xludf.DUMMYFUNCTION("""COMPUTED_VALUE"""),"Vitoria and Sao Paulo, Brazil")</f>
        <v/>
      </c>
      <c r="K19463">
        <f>IFERROR(__xludf.DUMMYFUNCTION("""COMPUTED_VALUE"""),515.35)</f>
        <v/>
      </c>
    </row>
    <row r="19464">
      <c r="J19464">
        <f>IFERROR(__xludf.DUMMYFUNCTION("""COMPUTED_VALUE"""),"Port Hawkesbury, Nova Scotia")</f>
        <v/>
      </c>
      <c r="K19464">
        <f>IFERROR(__xludf.DUMMYFUNCTION("""COMPUTED_VALUE"""),515.25)</f>
        <v/>
      </c>
    </row>
    <row r="19465">
      <c r="J19465">
        <f>IFERROR(__xludf.DUMMYFUNCTION("""COMPUTED_VALUE"""),"Regina and Saskatoon, Saskatchewan")</f>
        <v/>
      </c>
      <c r="K19465">
        <f>IFERROR(__xludf.DUMMYFUNCTION("""COMPUTED_VALUE"""),514.82)</f>
        <v/>
      </c>
    </row>
    <row r="19466">
      <c r="J19466">
        <f>IFERROR(__xludf.DUMMYFUNCTION("""COMPUTED_VALUE"""),"Toronto, ON; Oshawa, ON")</f>
        <v/>
      </c>
      <c r="K19466">
        <f>IFERROR(__xludf.DUMMYFUNCTION("""COMPUTED_VALUE"""),514.35)</f>
        <v/>
      </c>
    </row>
    <row r="19467">
      <c r="J19467">
        <f>IFERROR(__xludf.DUMMYFUNCTION("""COMPUTED_VALUE"""),"PARIS, FR")</f>
        <v/>
      </c>
      <c r="K19467">
        <f>IFERROR(__xludf.DUMMYFUNCTION("""COMPUTED_VALUE"""),514.13)</f>
        <v/>
      </c>
    </row>
    <row r="19468">
      <c r="J19468">
        <f>IFERROR(__xludf.DUMMYFUNCTION("""COMPUTED_VALUE"""),"Ange-Gardien, Quebec, Canada; Richelieu, Quebec, Canada")</f>
        <v/>
      </c>
      <c r="K19468">
        <f>IFERROR(__xludf.DUMMYFUNCTION("""COMPUTED_VALUE"""),513.65)</f>
        <v/>
      </c>
    </row>
    <row r="19469">
      <c r="J19469">
        <f>IFERROR(__xludf.DUMMYFUNCTION("""COMPUTED_VALUE"""),"Richmond, Quebec, Canada / Rougemont, Quebec, Canada")</f>
        <v/>
      </c>
      <c r="K19469">
        <f>IFERROR(__xludf.DUMMYFUNCTION("""COMPUTED_VALUE"""),513.4)</f>
        <v/>
      </c>
    </row>
    <row r="19470">
      <c r="J19470">
        <f>IFERROR(__xludf.DUMMYFUNCTION("""COMPUTED_VALUE"""),"Kingston RHQ")</f>
        <v/>
      </c>
      <c r="K19470">
        <f>IFERROR(__xludf.DUMMYFUNCTION("""COMPUTED_VALUE"""),513.36)</f>
        <v/>
      </c>
    </row>
    <row r="19471">
      <c r="J19471">
        <f>IFERROR(__xludf.DUMMYFUNCTION("""COMPUTED_VALUE"""),"Summerside, PE Charlottetown, PE")</f>
        <v/>
      </c>
      <c r="K19471">
        <f>IFERROR(__xludf.DUMMYFUNCTION("""COMPUTED_VALUE"""),513.11)</f>
        <v/>
      </c>
    </row>
    <row r="19472">
      <c r="J19472">
        <f>IFERROR(__xludf.DUMMYFUNCTION("""COMPUTED_VALUE"""),"Sherbrooke (Quebec) Canada; Montréal (Quebec) Canada")</f>
        <v/>
      </c>
      <c r="K19472">
        <f>IFERROR(__xludf.DUMMYFUNCTION("""COMPUTED_VALUE"""),512.4)</f>
        <v/>
      </c>
    </row>
    <row r="19473">
      <c r="J19473">
        <f>IFERROR(__xludf.DUMMYFUNCTION("""COMPUTED_VALUE"""),"Québec - Edmonton - Québec")</f>
        <v/>
      </c>
      <c r="K19473">
        <f>IFERROR(__xludf.DUMMYFUNCTION("""COMPUTED_VALUE"""),512.25)</f>
        <v/>
      </c>
    </row>
    <row r="19474">
      <c r="J19474">
        <f>IFERROR(__xludf.DUMMYFUNCTION("""COMPUTED_VALUE"""),"Sherbrooke, Qc")</f>
        <v/>
      </c>
      <c r="K19474">
        <f>IFERROR(__xludf.DUMMYFUNCTION("""COMPUTED_VALUE"""),512.21)</f>
        <v/>
      </c>
    </row>
    <row r="19475">
      <c r="J19475">
        <f>IFERROR(__xludf.DUMMYFUNCTION("""COMPUTED_VALUE"""),"Sherbrooke, Quebec (Canada)")</f>
        <v/>
      </c>
      <c r="K19475">
        <f>IFERROR(__xludf.DUMMYFUNCTION("""COMPUTED_VALUE"""),512)</f>
        <v/>
      </c>
    </row>
    <row r="19476">
      <c r="J19476">
        <f>IFERROR(__xludf.DUMMYFUNCTION("""COMPUTED_VALUE"""),"Moncton NB")</f>
        <v/>
      </c>
      <c r="K19476">
        <f>IFERROR(__xludf.DUMMYFUNCTION("""COMPUTED_VALUE"""),511.83)</f>
        <v/>
      </c>
    </row>
    <row r="19477">
      <c r="J19477">
        <f>IFERROR(__xludf.DUMMYFUNCTION("""COMPUTED_VALUE"""),"Arkhangelsk")</f>
        <v/>
      </c>
      <c r="K19477">
        <f>IFERROR(__xludf.DUMMYFUNCTION("""COMPUTED_VALUE"""),511.82)</f>
        <v/>
      </c>
    </row>
    <row r="19478">
      <c r="J19478">
        <f>IFERROR(__xludf.DUMMYFUNCTION("""COMPUTED_VALUE"""),"New York and Washington.")</f>
        <v/>
      </c>
      <c r="K19478">
        <f>IFERROR(__xludf.DUMMYFUNCTION("""COMPUTED_VALUE"""),511.65)</f>
        <v/>
      </c>
    </row>
    <row r="19479">
      <c r="J19479">
        <f>IFERROR(__xludf.DUMMYFUNCTION("""COMPUTED_VALUE"""),"Drummondville, Québec")</f>
        <v/>
      </c>
      <c r="K19479">
        <f>IFERROR(__xludf.DUMMYFUNCTION("""COMPUTED_VALUE"""),511.56)</f>
        <v/>
      </c>
    </row>
    <row r="19480">
      <c r="J19480">
        <f>IFERROR(__xludf.DUMMYFUNCTION("""COMPUTED_VALUE"""),"Mashteuiatsh, Quebec, Canada")</f>
        <v/>
      </c>
      <c r="K19480">
        <f>IFERROR(__xludf.DUMMYFUNCTION("""COMPUTED_VALUE"""),511.41)</f>
        <v/>
      </c>
    </row>
    <row r="19481">
      <c r="J19481">
        <f>IFERROR(__xludf.DUMMYFUNCTION("""COMPUTED_VALUE"""),"Toronto, (Ontaio)")</f>
        <v/>
      </c>
      <c r="K19481">
        <f>IFERROR(__xludf.DUMMYFUNCTION("""COMPUTED_VALUE"""),510.73)</f>
        <v/>
      </c>
    </row>
    <row r="19482">
      <c r="J19482">
        <f>IFERROR(__xludf.DUMMYFUNCTION("""COMPUTED_VALUE"""),"Bagotville (Quebec) Canada, North Bay (Ontario) Canada")</f>
        <v/>
      </c>
      <c r="K19482">
        <f>IFERROR(__xludf.DUMMYFUNCTION("""COMPUTED_VALUE"""),510.62)</f>
        <v/>
      </c>
    </row>
    <row r="19483">
      <c r="J19483">
        <f>IFERROR(__xludf.DUMMYFUNCTION("""COMPUTED_VALUE"""),"Montreal, Quebec, Canada / Trois-Rivieres, Quebec, Canada / Quebec City, Quebec, Canada")</f>
        <v/>
      </c>
      <c r="K19483">
        <f>IFERROR(__xludf.DUMMYFUNCTION("""COMPUTED_VALUE"""),509.77)</f>
        <v/>
      </c>
    </row>
    <row r="19484">
      <c r="J19484">
        <f>IFERROR(__xludf.DUMMYFUNCTION("""COMPUTED_VALUE"""),"Canada- Montreal")</f>
        <v/>
      </c>
      <c r="K19484">
        <f>IFERROR(__xludf.DUMMYFUNCTION("""COMPUTED_VALUE"""),509.48)</f>
        <v/>
      </c>
    </row>
    <row r="19485">
      <c r="J19485">
        <f>IFERROR(__xludf.DUMMYFUNCTION("""COMPUTED_VALUE"""),"Winnipeg,  MB")</f>
        <v/>
      </c>
      <c r="K19485">
        <f>IFERROR(__xludf.DUMMYFUNCTION("""COMPUTED_VALUE"""),509.04)</f>
        <v/>
      </c>
    </row>
    <row r="19486">
      <c r="J19486">
        <f>IFERROR(__xludf.DUMMYFUNCTION("""COMPUTED_VALUE"""),"Bécancour, Tadoussac, Sherbrooke")</f>
        <v/>
      </c>
      <c r="K19486">
        <f>IFERROR(__xludf.DUMMYFUNCTION("""COMPUTED_VALUE"""),508.99)</f>
        <v/>
      </c>
    </row>
    <row r="19487">
      <c r="J19487">
        <f>IFERROR(__xludf.DUMMYFUNCTION("""COMPUTED_VALUE"""),"Brockville")</f>
        <v/>
      </c>
      <c r="K19487">
        <f>IFERROR(__xludf.DUMMYFUNCTION("""COMPUTED_VALUE"""),508.82)</f>
        <v/>
      </c>
    </row>
    <row r="19488">
      <c r="J19488">
        <f>IFERROR(__xludf.DUMMYFUNCTION("""COMPUTED_VALUE"""),"Omaha")</f>
        <v/>
      </c>
      <c r="K19488">
        <f>IFERROR(__xludf.DUMMYFUNCTION("""COMPUTED_VALUE"""),508.68)</f>
        <v/>
      </c>
    </row>
    <row r="19489">
      <c r="J19489">
        <f>IFERROR(__xludf.DUMMYFUNCTION("""COMPUTED_VALUE"""),"Niagara Falls, Ontario, Canada and Markham, Ontario, Canada")</f>
        <v/>
      </c>
      <c r="K19489">
        <f>IFERROR(__xludf.DUMMYFUNCTION("""COMPUTED_VALUE"""),508.34)</f>
        <v/>
      </c>
    </row>
    <row r="19490">
      <c r="J19490">
        <f>IFERROR(__xludf.DUMMYFUNCTION("""COMPUTED_VALUE"""),"Kazakhstan and Uzbekistan")</f>
        <v/>
      </c>
      <c r="K19490">
        <f>IFERROR(__xludf.DUMMYFUNCTION("""COMPUTED_VALUE"""),507.51)</f>
        <v/>
      </c>
    </row>
    <row r="19491">
      <c r="J19491">
        <f>IFERROR(__xludf.DUMMYFUNCTION("""COMPUTED_VALUE"""),"Gatineau, QC - Italy / Italy - Gatineau, QC")</f>
        <v/>
      </c>
      <c r="K19491">
        <f>IFERROR(__xludf.DUMMYFUNCTION("""COMPUTED_VALUE"""),507.25)</f>
        <v/>
      </c>
    </row>
    <row r="19492">
      <c r="J19492">
        <f>IFERROR(__xludf.DUMMYFUNCTION("""COMPUTED_VALUE"""),"Harbour Grace, Newfoundland and Labrador, Canada")</f>
        <v/>
      </c>
      <c r="K19492">
        <f>IFERROR(__xludf.DUMMYFUNCTION("""COMPUTED_VALUE"""),507.2)</f>
        <v/>
      </c>
    </row>
    <row r="19493">
      <c r="J19493">
        <f>IFERROR(__xludf.DUMMYFUNCTION("""COMPUTED_VALUE"""),"Antigonish, NS, Canada")</f>
        <v/>
      </c>
      <c r="K19493">
        <f>IFERROR(__xludf.DUMMYFUNCTION("""COMPUTED_VALUE"""),506.26)</f>
        <v/>
      </c>
    </row>
    <row r="19494">
      <c r="J19494">
        <f>IFERROR(__xludf.DUMMYFUNCTION("""COMPUTED_VALUE"""),"St-Jérôme and Trois-Rivières, QC")</f>
        <v/>
      </c>
      <c r="K19494">
        <f>IFERROR(__xludf.DUMMYFUNCTION("""COMPUTED_VALUE"""),504.91)</f>
        <v/>
      </c>
    </row>
    <row r="19495">
      <c r="J19495">
        <f>IFERROR(__xludf.DUMMYFUNCTION("""COMPUTED_VALUE"""),"Breslau, Ontario, Canada")</f>
        <v/>
      </c>
      <c r="K19495">
        <f>IFERROR(__xludf.DUMMYFUNCTION("""COMPUTED_VALUE"""),504.82)</f>
        <v/>
      </c>
    </row>
    <row r="19496">
      <c r="J19496">
        <f>IFERROR(__xludf.DUMMYFUNCTION("""COMPUTED_VALUE"""),"Mexico / Panama")</f>
        <v/>
      </c>
      <c r="K19496">
        <f>IFERROR(__xludf.DUMMYFUNCTION("""COMPUTED_VALUE"""),504.539999999999)</f>
        <v/>
      </c>
    </row>
    <row r="19497">
      <c r="J19497">
        <f>IFERROR(__xludf.DUMMYFUNCTION("""COMPUTED_VALUE"""),"Sainte-Adele, Quebec, Canada")</f>
        <v/>
      </c>
      <c r="K19497">
        <f>IFERROR(__xludf.DUMMYFUNCTION("""COMPUTED_VALUE"""),504.05)</f>
        <v/>
      </c>
    </row>
    <row r="19498">
      <c r="J19498">
        <f>IFERROR(__xludf.DUMMYFUNCTION("""COMPUTED_VALUE"""),"Ajax, ON and Whitby, ON")</f>
        <v/>
      </c>
      <c r="K19498">
        <f>IFERROR(__xludf.DUMMYFUNCTION("""COMPUTED_VALUE"""),504)</f>
        <v/>
      </c>
    </row>
    <row r="19499">
      <c r="J19499">
        <f>IFERROR(__xludf.DUMMYFUNCTION("""COMPUTED_VALUE"""),"Embassy to Official Residence and return")</f>
        <v/>
      </c>
      <c r="K19499">
        <f>IFERROR(__xludf.DUMMYFUNCTION("""COMPUTED_VALUE"""),504)</f>
        <v/>
      </c>
    </row>
    <row r="19500">
      <c r="J19500">
        <f>IFERROR(__xludf.DUMMYFUNCTION("""COMPUTED_VALUE"""),"Jonquière, Québec")</f>
        <v/>
      </c>
      <c r="K19500">
        <f>IFERROR(__xludf.DUMMYFUNCTION("""COMPUTED_VALUE"""),502.92)</f>
        <v/>
      </c>
    </row>
    <row r="19501">
      <c r="J19501">
        <f>IFERROR(__xludf.DUMMYFUNCTION("""COMPUTED_VALUE"""),"Ottawa - Orford - Ottawa")</f>
        <v/>
      </c>
      <c r="K19501">
        <f>IFERROR(__xludf.DUMMYFUNCTION("""COMPUTED_VALUE"""),502.76)</f>
        <v/>
      </c>
    </row>
    <row r="19502">
      <c r="J19502">
        <f>IFERROR(__xludf.DUMMYFUNCTION("""COMPUTED_VALUE"""),"Bergen, Germany")</f>
        <v/>
      </c>
      <c r="K19502">
        <f>IFERROR(__xludf.DUMMYFUNCTION("""COMPUTED_VALUE"""),502.73)</f>
        <v/>
      </c>
    </row>
    <row r="19503">
      <c r="J19503">
        <f>IFERROR(__xludf.DUMMYFUNCTION("""COMPUTED_VALUE"""),"ULM GERMANY")</f>
        <v/>
      </c>
      <c r="K19503">
        <f>IFERROR(__xludf.DUMMYFUNCTION("""COMPUTED_VALUE"""),501.93)</f>
        <v/>
      </c>
    </row>
    <row r="19504">
      <c r="J19504">
        <f>IFERROR(__xludf.DUMMYFUNCTION("""COMPUTED_VALUE"""),"Niagara and Oakville, Ontario, Canada")</f>
        <v/>
      </c>
      <c r="K19504">
        <f>IFERROR(__xludf.DUMMYFUNCTION("""COMPUTED_VALUE"""),501.64)</f>
        <v/>
      </c>
    </row>
    <row r="19505">
      <c r="J19505">
        <f>IFERROR(__xludf.DUMMYFUNCTION("""COMPUTED_VALUE"""),"Montréal, Trois-Rivières")</f>
        <v/>
      </c>
      <c r="K19505">
        <f>IFERROR(__xludf.DUMMYFUNCTION("""COMPUTED_VALUE"""),501.61)</f>
        <v/>
      </c>
    </row>
    <row r="19506">
      <c r="J19506">
        <f>IFERROR(__xludf.DUMMYFUNCTION("""COMPUTED_VALUE"""),"Kingston, Ontario, Canada; Napanee, Ontario, Canada")</f>
        <v/>
      </c>
      <c r="K19506">
        <f>IFERROR(__xludf.DUMMYFUNCTION("""COMPUTED_VALUE"""),501.55)</f>
        <v/>
      </c>
    </row>
    <row r="19507">
      <c r="J19507">
        <f>IFERROR(__xludf.DUMMYFUNCTION("""COMPUTED_VALUE"""),"Toronto / Stratford")</f>
        <v/>
      </c>
      <c r="K19507">
        <f>IFERROR(__xludf.DUMMYFUNCTION("""COMPUTED_VALUE"""),501.32)</f>
        <v/>
      </c>
    </row>
    <row r="19508">
      <c r="J19508">
        <f>IFERROR(__xludf.DUMMYFUNCTION("""COMPUTED_VALUE"""),"Sherbrooke, Que.")</f>
        <v/>
      </c>
      <c r="K19508">
        <f>IFERROR(__xludf.DUMMYFUNCTION("""COMPUTED_VALUE"""),501.16)</f>
        <v/>
      </c>
    </row>
    <row r="19509">
      <c r="J19509">
        <f>IFERROR(__xludf.DUMMYFUNCTION("""COMPUTED_VALUE"""),"St-Félicien, Québec, Mirabel, Montréal")</f>
        <v/>
      </c>
      <c r="K19509">
        <f>IFERROR(__xludf.DUMMYFUNCTION("""COMPUTED_VALUE"""),500.82)</f>
        <v/>
      </c>
    </row>
    <row r="19510">
      <c r="J19510">
        <f>IFERROR(__xludf.DUMMYFUNCTION("""COMPUTED_VALUE"""),"Québec / Trois-Rivières")</f>
        <v/>
      </c>
      <c r="K19510">
        <f>IFERROR(__xludf.DUMMYFUNCTION("""COMPUTED_VALUE"""),500.46)</f>
        <v/>
      </c>
    </row>
    <row r="19511">
      <c r="J19511">
        <f>IFERROR(__xludf.DUMMYFUNCTION("""COMPUTED_VALUE"""),"Japan; Taiwan; China")</f>
        <v/>
      </c>
      <c r="K19511">
        <f>IFERROR(__xludf.DUMMYFUNCTION("""COMPUTED_VALUE"""),500)</f>
        <v/>
      </c>
    </row>
    <row r="19512">
      <c r="J19512">
        <f>IFERROR(__xludf.DUMMYFUNCTION("""COMPUTED_VALUE"""),"Shawinigan, Quebec, Canada / Jonquiere, Quebec, Canada")</f>
        <v/>
      </c>
      <c r="K19512">
        <f>IFERROR(__xludf.DUMMYFUNCTION("""COMPUTED_VALUE"""),499.42)</f>
        <v/>
      </c>
    </row>
    <row r="19513">
      <c r="J19513">
        <f>IFERROR(__xludf.DUMMYFUNCTION("""COMPUTED_VALUE"""),"St Adele, QC")</f>
        <v/>
      </c>
      <c r="K19513">
        <f>IFERROR(__xludf.DUMMYFUNCTION("""COMPUTED_VALUE"""),499.39)</f>
        <v/>
      </c>
    </row>
    <row r="19514">
      <c r="J19514">
        <f>IFERROR(__xludf.DUMMYFUNCTION("""COMPUTED_VALUE"""),"Ottawa-St. Foy-Montreal - Ottawa")</f>
        <v/>
      </c>
      <c r="K19514">
        <f>IFERROR(__xludf.DUMMYFUNCTION("""COMPUTED_VALUE"""),499.04)</f>
        <v/>
      </c>
    </row>
    <row r="19515">
      <c r="J19515">
        <f>IFERROR(__xludf.DUMMYFUNCTION("""COMPUTED_VALUE"""),"Longueuil, Quebec,Canada")</f>
        <v/>
      </c>
      <c r="K19515">
        <f>IFERROR(__xludf.DUMMYFUNCTION("""COMPUTED_VALUE"""),498.34)</f>
        <v/>
      </c>
    </row>
    <row r="19516">
      <c r="J19516">
        <f>IFERROR(__xludf.DUMMYFUNCTION("""COMPUTED_VALUE"""),"Castlegar BC, Vancouver BC")</f>
        <v/>
      </c>
      <c r="K19516">
        <f>IFERROR(__xludf.DUMMYFUNCTION("""COMPUTED_VALUE"""),498.32)</f>
        <v/>
      </c>
    </row>
    <row r="19517">
      <c r="J19517">
        <f>IFERROR(__xludf.DUMMYFUNCTION("""COMPUTED_VALUE"""),"Québec, (Quebec)")</f>
        <v/>
      </c>
      <c r="K19517">
        <f>IFERROR(__xludf.DUMMYFUNCTION("""COMPUTED_VALUE"""),497.95)</f>
        <v/>
      </c>
    </row>
    <row r="19518">
      <c r="J19518">
        <f>IFERROR(__xludf.DUMMYFUNCTION("""COMPUTED_VALUE"""),"Bécancour, Tadoussac, Nicolet")</f>
        <v/>
      </c>
      <c r="K19518">
        <f>IFERROR(__xludf.DUMMYFUNCTION("""COMPUTED_VALUE"""),497.89)</f>
        <v/>
      </c>
    </row>
    <row r="19519">
      <c r="J19519">
        <f>IFERROR(__xludf.DUMMYFUNCTION("""COMPUTED_VALUE"""),"Kingston, On, Canada")</f>
        <v/>
      </c>
      <c r="K19519">
        <f>IFERROR(__xludf.DUMMYFUNCTION("""COMPUTED_VALUE"""),497.63)</f>
        <v/>
      </c>
    </row>
    <row r="19520">
      <c r="J19520">
        <f>IFERROR(__xludf.DUMMYFUNCTION("""COMPUTED_VALUE"""),"Andaman Nicobar Island")</f>
        <v/>
      </c>
      <c r="K19520">
        <f>IFERROR(__xludf.DUMMYFUNCTION("""COMPUTED_VALUE"""),497.6)</f>
        <v/>
      </c>
    </row>
    <row r="19521">
      <c r="J19521">
        <f>IFERROR(__xludf.DUMMYFUNCTION("""COMPUTED_VALUE"""),"Reading, United Kingdom")</f>
        <v/>
      </c>
      <c r="K19521">
        <f>IFERROR(__xludf.DUMMYFUNCTION("""COMPUTED_VALUE"""),497.59)</f>
        <v/>
      </c>
    </row>
    <row r="19522">
      <c r="J19522">
        <f>IFERROR(__xludf.DUMMYFUNCTION("""COMPUTED_VALUE"""),"Quebec City, St-Apollinaire and Roberval, Quebec")</f>
        <v/>
      </c>
      <c r="K19522">
        <f>IFERROR(__xludf.DUMMYFUNCTION("""COMPUTED_VALUE"""),497.56)</f>
        <v/>
      </c>
    </row>
    <row r="19523">
      <c r="J19523">
        <f>IFERROR(__xludf.DUMMYFUNCTION("""COMPUTED_VALUE"""),"North York, ON")</f>
        <v/>
      </c>
      <c r="K19523">
        <f>IFERROR(__xludf.DUMMYFUNCTION("""COMPUTED_VALUE"""),497.5)</f>
        <v/>
      </c>
    </row>
    <row r="19524">
      <c r="J19524">
        <f>IFERROR(__xludf.DUMMYFUNCTION("""COMPUTED_VALUE"""),"Toronto / Kitchener, ON")</f>
        <v/>
      </c>
      <c r="K19524">
        <f>IFERROR(__xludf.DUMMYFUNCTION("""COMPUTED_VALUE"""),497.4)</f>
        <v/>
      </c>
    </row>
    <row r="19525">
      <c r="J19525">
        <f>IFERROR(__xludf.DUMMYFUNCTION("""COMPUTED_VALUE"""),"Walkefield, QC")</f>
        <v/>
      </c>
      <c r="K19525">
        <f>IFERROR(__xludf.DUMMYFUNCTION("""COMPUTED_VALUE"""),497)</f>
        <v/>
      </c>
    </row>
    <row r="19526">
      <c r="J19526">
        <f>IFERROR(__xludf.DUMMYFUNCTION("""COMPUTED_VALUE"""),"Vermont")</f>
        <v/>
      </c>
      <c r="K19526">
        <f>IFERROR(__xludf.DUMMYFUNCTION("""COMPUTED_VALUE"""),496.79)</f>
        <v/>
      </c>
    </row>
    <row r="19527">
      <c r="J19527">
        <f>IFERROR(__xludf.DUMMYFUNCTION("""COMPUTED_VALUE"""),"Montréal/Québec City, Québec")</f>
        <v/>
      </c>
      <c r="K19527">
        <f>IFERROR(__xludf.DUMMYFUNCTION("""COMPUTED_VALUE"""),496.31)</f>
        <v/>
      </c>
    </row>
    <row r="19528">
      <c r="J19528">
        <f>IFERROR(__xludf.DUMMYFUNCTION("""COMPUTED_VALUE"""),"Portage La Prairie, Manitoba, Canada; Brandon, Manitoba, Canada")</f>
        <v/>
      </c>
      <c r="K19528">
        <f>IFERROR(__xludf.DUMMYFUNCTION("""COMPUTED_VALUE"""),496.28)</f>
        <v/>
      </c>
    </row>
    <row r="19529">
      <c r="J19529">
        <f>IFERROR(__xludf.DUMMYFUNCTION("""COMPUTED_VALUE"""),"Greenfield Park QC-Val-Cartier QC-Greenfield Park QC")</f>
        <v/>
      </c>
      <c r="K19529">
        <f>IFERROR(__xludf.DUMMYFUNCTION("""COMPUTED_VALUE"""),495.63)</f>
        <v/>
      </c>
    </row>
    <row r="19530">
      <c r="J19530">
        <f>IFERROR(__xludf.DUMMYFUNCTION("""COMPUTED_VALUE"""),"Brussels Belgium, Munich Germany")</f>
        <v/>
      </c>
      <c r="K19530">
        <f>IFERROR(__xludf.DUMMYFUNCTION("""COMPUTED_VALUE"""),495.53)</f>
        <v/>
      </c>
    </row>
    <row r="19531">
      <c r="J19531">
        <f>IFERROR(__xludf.DUMMYFUNCTION("""COMPUTED_VALUE"""),"Nanaimo and Campbell River and Victoria, British Columbia")</f>
        <v/>
      </c>
      <c r="K19531">
        <f>IFERROR(__xludf.DUMMYFUNCTION("""COMPUTED_VALUE"""),495.19)</f>
        <v/>
      </c>
    </row>
    <row r="19532">
      <c r="J19532">
        <f>IFERROR(__xludf.DUMMYFUNCTION("""COMPUTED_VALUE"""),"Saint John, New Brunswick, Canada; Sussex, New Brunswick, Canada")</f>
        <v/>
      </c>
      <c r="K19532">
        <f>IFERROR(__xludf.DUMMYFUNCTION("""COMPUTED_VALUE"""),495.1)</f>
        <v/>
      </c>
    </row>
    <row r="19533">
      <c r="J19533">
        <f>IFERROR(__xludf.DUMMYFUNCTION("""COMPUTED_VALUE"""),"KINGSTON,ON - TRENTON, ON")</f>
        <v/>
      </c>
      <c r="K19533">
        <f>IFERROR(__xludf.DUMMYFUNCTION("""COMPUTED_VALUE"""),495.03)</f>
        <v/>
      </c>
    </row>
    <row r="19534">
      <c r="J19534">
        <f>IFERROR(__xludf.DUMMYFUNCTION("""COMPUTED_VALUE"""),"Cardigan, Prince Edward Island, Canada")</f>
        <v/>
      </c>
      <c r="K19534">
        <f>IFERROR(__xludf.DUMMYFUNCTION("""COMPUTED_VALUE"""),494.5)</f>
        <v/>
      </c>
    </row>
    <row r="19535">
      <c r="J19535">
        <f>IFERROR(__xludf.DUMMYFUNCTION("""COMPUTED_VALUE"""),"Montreal (Quebec) Canada
Warwick (Quebec) Canada")</f>
        <v/>
      </c>
      <c r="K19535">
        <f>IFERROR(__xludf.DUMMYFUNCTION("""COMPUTED_VALUE"""),494.4)</f>
        <v/>
      </c>
    </row>
    <row r="19536">
      <c r="J19536">
        <f>IFERROR(__xludf.DUMMYFUNCTION("""COMPUTED_VALUE"""),"Shippagan, New Brunswick / Moncton, New Brunswick")</f>
        <v/>
      </c>
      <c r="K19536">
        <f>IFERROR(__xludf.DUMMYFUNCTION("""COMPUTED_VALUE"""),494.34)</f>
        <v/>
      </c>
    </row>
    <row r="19537">
      <c r="J19537">
        <f>IFERROR(__xludf.DUMMYFUNCTION("""COMPUTED_VALUE"""),"Winlaw, BC; Kaslo, BC")</f>
        <v/>
      </c>
      <c r="K19537">
        <f>IFERROR(__xludf.DUMMYFUNCTION("""COMPUTED_VALUE"""),493.91)</f>
        <v/>
      </c>
    </row>
    <row r="19538">
      <c r="J19538">
        <f>IFERROR(__xludf.DUMMYFUNCTION("""COMPUTED_VALUE"""),"Chambly, Quebec")</f>
        <v/>
      </c>
      <c r="K19538">
        <f>IFERROR(__xludf.DUMMYFUNCTION("""COMPUTED_VALUE"""),493.61)</f>
        <v/>
      </c>
    </row>
    <row r="19539">
      <c r="J19539">
        <f>IFERROR(__xludf.DUMMYFUNCTION("""COMPUTED_VALUE"""),"Ottawa, Ontario Via personal vehicle return with someone else")</f>
        <v/>
      </c>
      <c r="K19539">
        <f>IFERROR(__xludf.DUMMYFUNCTION("""COMPUTED_VALUE"""),493.53)</f>
        <v/>
      </c>
    </row>
    <row r="19540">
      <c r="J19540">
        <f>IFERROR(__xludf.DUMMYFUNCTION("""COMPUTED_VALUE"""),"Vancouver - Ottawa")</f>
        <v/>
      </c>
      <c r="K19540">
        <f>IFERROR(__xludf.DUMMYFUNCTION("""COMPUTED_VALUE"""),493.5)</f>
        <v/>
      </c>
    </row>
    <row r="19541">
      <c r="J19541">
        <f>IFERROR(__xludf.DUMMYFUNCTION("""COMPUTED_VALUE"""),"Victoriaville, Baie Comeau")</f>
        <v/>
      </c>
      <c r="K19541">
        <f>IFERROR(__xludf.DUMMYFUNCTION("""COMPUTED_VALUE"""),493.5)</f>
        <v/>
      </c>
    </row>
    <row r="19542">
      <c r="J19542">
        <f>IFERROR(__xludf.DUMMYFUNCTION("""COMPUTED_VALUE"""),"Ottawa, Montreal 
Canada")</f>
        <v/>
      </c>
      <c r="K19542">
        <f>IFERROR(__xludf.DUMMYFUNCTION("""COMPUTED_VALUE"""),493.43)</f>
        <v/>
      </c>
    </row>
    <row r="19543">
      <c r="J19543">
        <f>IFERROR(__xludf.DUMMYFUNCTION("""COMPUTED_VALUE"""),"Geilenkirchen, Germany")</f>
        <v/>
      </c>
      <c r="K19543">
        <f>IFERROR(__xludf.DUMMYFUNCTION("""COMPUTED_VALUE"""),493.42)</f>
        <v/>
      </c>
    </row>
    <row r="19544">
      <c r="J19544">
        <f>IFERROR(__xludf.DUMMYFUNCTION("""COMPUTED_VALUE"""),"Trenton and Kingston (Ontario) Canada")</f>
        <v/>
      </c>
      <c r="K19544">
        <f>IFERROR(__xludf.DUMMYFUNCTION("""COMPUTED_VALUE"""),493.34)</f>
        <v/>
      </c>
    </row>
    <row r="19545">
      <c r="J19545">
        <f>IFERROR(__xludf.DUMMYFUNCTION("""COMPUTED_VALUE"""),"Ottawa, Ontario Via Train on 6 Biz pack")</f>
        <v/>
      </c>
      <c r="K19545">
        <f>IFERROR(__xludf.DUMMYFUNCTION("""COMPUTED_VALUE"""),492.85)</f>
        <v/>
      </c>
    </row>
    <row r="19546">
      <c r="J19546">
        <f>IFERROR(__xludf.DUMMYFUNCTION("""COMPUTED_VALUE"""),"Montréal/Québec City,Québec")</f>
        <v/>
      </c>
      <c r="K19546">
        <f>IFERROR(__xludf.DUMMYFUNCTION("""COMPUTED_VALUE"""),492.28)</f>
        <v/>
      </c>
    </row>
    <row r="19547">
      <c r="J19547">
        <f>IFERROR(__xludf.DUMMYFUNCTION("""COMPUTED_VALUE"""),"Brossard, QC; Laval, QC; Shawinigan-Sud, QC")</f>
        <v/>
      </c>
      <c r="K19547">
        <f>IFERROR(__xludf.DUMMYFUNCTION("""COMPUTED_VALUE"""),492.13)</f>
        <v/>
      </c>
    </row>
    <row r="19548">
      <c r="J19548">
        <f>IFERROR(__xludf.DUMMYFUNCTION("""COMPUTED_VALUE"""),"Prince Edward Point, Ontario, Canada")</f>
        <v/>
      </c>
      <c r="K19548">
        <f>IFERROR(__xludf.DUMMYFUNCTION("""COMPUTED_VALUE"""),491.89)</f>
        <v/>
      </c>
    </row>
    <row r="19549">
      <c r="J19549">
        <f>IFERROR(__xludf.DUMMYFUNCTION("""COMPUTED_VALUE"""),"Ottawa-Kitchener")</f>
        <v/>
      </c>
      <c r="K19549">
        <f>IFERROR(__xludf.DUMMYFUNCTION("""COMPUTED_VALUE"""),491.81)</f>
        <v/>
      </c>
    </row>
    <row r="19550">
      <c r="J19550">
        <f>IFERROR(__xludf.DUMMYFUNCTION("""COMPUTED_VALUE"""),"Trois-Rivières, Quebec;
Ottawa, Ontario")</f>
        <v/>
      </c>
      <c r="K19550">
        <f>IFERROR(__xludf.DUMMYFUNCTION("""COMPUTED_VALUE"""),491.6)</f>
        <v/>
      </c>
    </row>
    <row r="19551">
      <c r="J19551">
        <f>IFERROR(__xludf.DUMMYFUNCTION("""COMPUTED_VALUE"""),"Wawa and Chapleau")</f>
        <v/>
      </c>
      <c r="K19551">
        <f>IFERROR(__xludf.DUMMYFUNCTION("""COMPUTED_VALUE"""),491.46)</f>
        <v/>
      </c>
    </row>
    <row r="19552">
      <c r="J19552">
        <f>IFERROR(__xludf.DUMMYFUNCTION("""COMPUTED_VALUE"""),"Gatineau, QC Ottawa, ON")</f>
        <v/>
      </c>
      <c r="K19552">
        <f>IFERROR(__xludf.DUMMYFUNCTION("""COMPUTED_VALUE"""),491.44)</f>
        <v/>
      </c>
    </row>
    <row r="19553">
      <c r="J19553">
        <f>IFERROR(__xludf.DUMMYFUNCTION("""COMPUTED_VALUE"""),"Mont-Tremblant,QC")</f>
        <v/>
      </c>
      <c r="K19553">
        <f>IFERROR(__xludf.DUMMYFUNCTION("""COMPUTED_VALUE"""),491.4)</f>
        <v/>
      </c>
    </row>
    <row r="19554">
      <c r="J19554">
        <f>IFERROR(__xludf.DUMMYFUNCTION("""COMPUTED_VALUE"""),"Edmundston, New Brunswick (Canada)")</f>
        <v/>
      </c>
      <c r="K19554">
        <f>IFERROR(__xludf.DUMMYFUNCTION("""COMPUTED_VALUE"""),491)</f>
        <v/>
      </c>
    </row>
    <row r="19555">
      <c r="J19555">
        <f>IFERROR(__xludf.DUMMYFUNCTION("""COMPUTED_VALUE"""),"Joyceville, Ontario")</f>
        <v/>
      </c>
      <c r="K19555">
        <f>IFERROR(__xludf.DUMMYFUNCTION("""COMPUTED_VALUE"""),490.99)</f>
        <v/>
      </c>
    </row>
    <row r="19556">
      <c r="J19556">
        <f>IFERROR(__xludf.DUMMYFUNCTION("""COMPUTED_VALUE"""),"Vaudreuil, Que.")</f>
        <v/>
      </c>
      <c r="K19556">
        <f>IFERROR(__xludf.DUMMYFUNCTION("""COMPUTED_VALUE"""),490.86)</f>
        <v/>
      </c>
    </row>
    <row r="19557">
      <c r="J19557">
        <f>IFERROR(__xludf.DUMMYFUNCTION("""COMPUTED_VALUE"""),"Deep River, ON")</f>
        <v/>
      </c>
      <c r="K19557">
        <f>IFERROR(__xludf.DUMMYFUNCTION("""COMPUTED_VALUE"""),490.67)</f>
        <v/>
      </c>
    </row>
    <row r="19558">
      <c r="J19558">
        <f>IFERROR(__xludf.DUMMYFUNCTION("""COMPUTED_VALUE"""),"Gatineau, Quebec, Canada   Ottawa, Ontario, Canada")</f>
        <v/>
      </c>
      <c r="K19558">
        <f>IFERROR(__xludf.DUMMYFUNCTION("""COMPUTED_VALUE"""),490.33)</f>
        <v/>
      </c>
    </row>
    <row r="19559">
      <c r="J19559">
        <f>IFERROR(__xludf.DUMMYFUNCTION("""COMPUTED_VALUE"""),"Trois-Rivières, Quebec, Canada
Québec City, Quebec, Canada")</f>
        <v/>
      </c>
      <c r="K19559">
        <f>IFERROR(__xludf.DUMMYFUNCTION("""COMPUTED_VALUE"""),490.15)</f>
        <v/>
      </c>
    </row>
    <row r="19560">
      <c r="J19560">
        <f>IFERROR(__xludf.DUMMYFUNCTION("""COMPUTED_VALUE"""),"Montreal, Quebec, Canada; Estrie, Quebec, Canada")</f>
        <v/>
      </c>
      <c r="K19560">
        <f>IFERROR(__xludf.DUMMYFUNCTION("""COMPUTED_VALUE"""),489.9)</f>
        <v/>
      </c>
    </row>
    <row r="19561">
      <c r="J19561">
        <f>IFERROR(__xludf.DUMMYFUNCTION("""COMPUTED_VALUE"""),"Nova Scotia / New Brunswick")</f>
        <v/>
      </c>
      <c r="K19561">
        <f>IFERROR(__xludf.DUMMYFUNCTION("""COMPUTED_VALUE"""),489.82)</f>
        <v/>
      </c>
    </row>
    <row r="19562">
      <c r="J19562">
        <f>IFERROR(__xludf.DUMMYFUNCTION("""COMPUTED_VALUE"""),"Iqaluit, Nunavut / Vancouver &amp; Victoria, Canada")</f>
        <v/>
      </c>
      <c r="K19562">
        <f>IFERROR(__xludf.DUMMYFUNCTION("""COMPUTED_VALUE"""),489.28)</f>
        <v/>
      </c>
    </row>
    <row r="19563">
      <c r="J19563">
        <f>IFERROR(__xludf.DUMMYFUNCTION("""COMPUTED_VALUE"""),"Goa,  India")</f>
        <v/>
      </c>
      <c r="K19563">
        <f>IFERROR(__xludf.DUMMYFUNCTION("""COMPUTED_VALUE"""),489.19)</f>
        <v/>
      </c>
    </row>
    <row r="19564">
      <c r="J19564">
        <f>IFERROR(__xludf.DUMMYFUNCTION("""COMPUTED_VALUE"""),"Toronto, On.")</f>
        <v/>
      </c>
      <c r="K19564">
        <f>IFERROR(__xludf.DUMMYFUNCTION("""COMPUTED_VALUE"""),489.19)</f>
        <v/>
      </c>
    </row>
    <row r="19565">
      <c r="J19565">
        <f>IFERROR(__xludf.DUMMYFUNCTION("""COMPUTED_VALUE"""),"Baie Comeau, Montréal")</f>
        <v/>
      </c>
      <c r="K19565">
        <f>IFERROR(__xludf.DUMMYFUNCTION("""COMPUTED_VALUE"""),488.59)</f>
        <v/>
      </c>
    </row>
    <row r="19566">
      <c r="J19566">
        <f>IFERROR(__xludf.DUMMYFUNCTION("""COMPUTED_VALUE"""),"Bagotville, Quebec, Canada; Toronto, Ontario, Canada")</f>
        <v/>
      </c>
      <c r="K19566">
        <f>IFERROR(__xludf.DUMMYFUNCTION("""COMPUTED_VALUE"""),487.9)</f>
        <v/>
      </c>
    </row>
    <row r="19567">
      <c r="J19567">
        <f>IFERROR(__xludf.DUMMYFUNCTION("""COMPUTED_VALUE"""),"Cornwall, Ontario, Canada; Charlottetown, Prince Edward Island, Canada; Halifax, Nova Scotia, Canada")</f>
        <v/>
      </c>
      <c r="K19567">
        <f>IFERROR(__xludf.DUMMYFUNCTION("""COMPUTED_VALUE"""),487.73)</f>
        <v/>
      </c>
    </row>
    <row r="19568">
      <c r="J19568">
        <f>IFERROR(__xludf.DUMMYFUNCTION("""COMPUTED_VALUE"""),"Algeria")</f>
        <v/>
      </c>
      <c r="K19568">
        <f>IFERROR(__xludf.DUMMYFUNCTION("""COMPUTED_VALUE"""),487)</f>
        <v/>
      </c>
    </row>
    <row r="19569">
      <c r="J19569">
        <f>IFERROR(__xludf.DUMMYFUNCTION("""COMPUTED_VALUE"""),"Ottawa, ON / Toronto, ON /
Cambridge, ON")</f>
        <v/>
      </c>
      <c r="K19569">
        <f>IFERROR(__xludf.DUMMYFUNCTION("""COMPUTED_VALUE"""),486.26)</f>
        <v/>
      </c>
    </row>
    <row r="19570">
      <c r="J19570">
        <f>IFERROR(__xludf.DUMMYFUNCTION("""COMPUTED_VALUE"""),"Whistler, British-Columbia, Canada")</f>
        <v/>
      </c>
      <c r="K19570">
        <f>IFERROR(__xludf.DUMMYFUNCTION("""COMPUTED_VALUE"""),486.09)</f>
        <v/>
      </c>
    </row>
    <row r="19571">
      <c r="J19571">
        <f>IFERROR(__xludf.DUMMYFUNCTION("""COMPUTED_VALUE"""),"Sherbooke, Quebec, Canada / Acton Vale, Quebec, Canada")</f>
        <v/>
      </c>
      <c r="K19571">
        <f>IFERROR(__xludf.DUMMYFUNCTION("""COMPUTED_VALUE"""),485.57)</f>
        <v/>
      </c>
    </row>
    <row r="19572">
      <c r="J19572">
        <f>IFERROR(__xludf.DUMMYFUNCTION("""COMPUTED_VALUE"""),"Sept-Îles, Quebec, Canada; Saint-Paulin, Quebec, Canada")</f>
        <v/>
      </c>
      <c r="K19572">
        <f>IFERROR(__xludf.DUMMYFUNCTION("""COMPUTED_VALUE"""),485.16)</f>
        <v/>
      </c>
    </row>
    <row r="19573">
      <c r="J19573">
        <f>IFERROR(__xludf.DUMMYFUNCTION("""COMPUTED_VALUE"""),"Hecla Island, Manitoba")</f>
        <v/>
      </c>
      <c r="K19573">
        <f>IFERROR(__xludf.DUMMYFUNCTION("""COMPUTED_VALUE"""),485.07)</f>
        <v/>
      </c>
    </row>
    <row r="19574">
      <c r="J19574">
        <f>IFERROR(__xludf.DUMMYFUNCTION("""COMPUTED_VALUE"""),"Montreal,Mont-Tremblant, (Quebec)")</f>
        <v/>
      </c>
      <c r="K19574">
        <f>IFERROR(__xludf.DUMMYFUNCTION("""COMPUTED_VALUE"""),484.63)</f>
        <v/>
      </c>
    </row>
    <row r="19575">
      <c r="J19575">
        <f>IFERROR(__xludf.DUMMYFUNCTION("""COMPUTED_VALUE"""),"Rimouski, Quebec; Ange Gardien, Quebec")</f>
        <v/>
      </c>
      <c r="K19575">
        <f>IFERROR(__xludf.DUMMYFUNCTION("""COMPUTED_VALUE"""),484.4)</f>
        <v/>
      </c>
    </row>
    <row r="19576">
      <c r="J19576">
        <f>IFERROR(__xludf.DUMMYFUNCTION("""COMPUTED_VALUE"""),"Kingston, Napanee, Deseronto, Trenton, Belleville, Coburg and Port Hope, Ontario")</f>
        <v/>
      </c>
      <c r="K19576">
        <f>IFERROR(__xludf.DUMMYFUNCTION("""COMPUTED_VALUE"""),484.17)</f>
        <v/>
      </c>
    </row>
    <row r="19577">
      <c r="J19577">
        <f>IFERROR(__xludf.DUMMYFUNCTION("""COMPUTED_VALUE"""),"Montreal, QC St.-Hyacinthe, QC Sherbrooke, QC")</f>
        <v/>
      </c>
      <c r="K19577">
        <f>IFERROR(__xludf.DUMMYFUNCTION("""COMPUTED_VALUE"""),484.04)</f>
        <v/>
      </c>
    </row>
    <row r="19578">
      <c r="J19578">
        <f>IFERROR(__xludf.DUMMYFUNCTION("""COMPUTED_VALUE"""),"Montréal, Bagotville, St-Nazaire")</f>
        <v/>
      </c>
      <c r="K19578">
        <f>IFERROR(__xludf.DUMMYFUNCTION("""COMPUTED_VALUE"""),483.96)</f>
        <v/>
      </c>
    </row>
    <row r="19579">
      <c r="J19579">
        <f>IFERROR(__xludf.DUMMYFUNCTION("""COMPUTED_VALUE"""),"Valcourt, Quebec, Canada")</f>
        <v/>
      </c>
      <c r="K19579">
        <f>IFERROR(__xludf.DUMMYFUNCTION("""COMPUTED_VALUE"""),483.93)</f>
        <v/>
      </c>
    </row>
    <row r="19580">
      <c r="J19580">
        <f>IFERROR(__xludf.DUMMYFUNCTION("""COMPUTED_VALUE"""),"Chilliwack, British Columba")</f>
        <v/>
      </c>
      <c r="K19580">
        <f>IFERROR(__xludf.DUMMYFUNCTION("""COMPUTED_VALUE"""),483.82)</f>
        <v/>
      </c>
    </row>
    <row r="19581">
      <c r="J19581">
        <f>IFERROR(__xludf.DUMMYFUNCTION("""COMPUTED_VALUE"""),"Colorado Springs, CO (USA)")</f>
        <v/>
      </c>
      <c r="K19581">
        <f>IFERROR(__xludf.DUMMYFUNCTION("""COMPUTED_VALUE"""),483.33)</f>
        <v/>
      </c>
    </row>
    <row r="19582">
      <c r="J19582">
        <f>IFERROR(__xludf.DUMMYFUNCTION("""COMPUTED_VALUE"""),"Truro and Antigonish, Nova Scotia")</f>
        <v/>
      </c>
      <c r="K19582">
        <f>IFERROR(__xludf.DUMMYFUNCTION("""COMPUTED_VALUE"""),483.15)</f>
        <v/>
      </c>
    </row>
    <row r="19583">
      <c r="J19583">
        <f>IFERROR(__xludf.DUMMYFUNCTION("""COMPUTED_VALUE"""),"Vernon, British Columbia, Canada")</f>
        <v/>
      </c>
      <c r="K19583">
        <f>IFERROR(__xludf.DUMMYFUNCTION("""COMPUTED_VALUE"""),483.08)</f>
        <v/>
      </c>
    </row>
    <row r="19584">
      <c r="J19584">
        <f>IFERROR(__xludf.DUMMYFUNCTION("""COMPUTED_VALUE"""),"Montreal and Sorel Tracy, Quebec")</f>
        <v/>
      </c>
      <c r="K19584">
        <f>IFERROR(__xludf.DUMMYFUNCTION("""COMPUTED_VALUE"""),482.95)</f>
        <v/>
      </c>
    </row>
    <row r="19585">
      <c r="J19585">
        <f>IFERROR(__xludf.DUMMYFUNCTION("""COMPUTED_VALUE"""),"South Frontenac, Ontario, Canada")</f>
        <v/>
      </c>
      <c r="K19585">
        <f>IFERROR(__xludf.DUMMYFUNCTION("""COMPUTED_VALUE"""),482.3)</f>
        <v/>
      </c>
    </row>
    <row r="19586">
      <c r="J19586">
        <f>IFERROR(__xludf.DUMMYFUNCTION("""COMPUTED_VALUE"""),"Toronto, Ontario, Canada - Alliston, Ontario, Canada")</f>
        <v/>
      </c>
      <c r="K19586">
        <f>IFERROR(__xludf.DUMMYFUNCTION("""COMPUTED_VALUE"""),482.07)</f>
        <v/>
      </c>
    </row>
    <row r="19587">
      <c r="J19587">
        <f>IFERROR(__xludf.DUMMYFUNCTION("""COMPUTED_VALUE"""),"Georgeville, Quebec, Canada")</f>
        <v/>
      </c>
      <c r="K19587">
        <f>IFERROR(__xludf.DUMMYFUNCTION("""COMPUTED_VALUE"""),482.05)</f>
        <v/>
      </c>
    </row>
    <row r="19588">
      <c r="J19588">
        <f>IFERROR(__xludf.DUMMYFUNCTION("""COMPUTED_VALUE"""),"KANATA, OTTAWA,SHERBROOKE, OTTAWA, KANATA")</f>
        <v/>
      </c>
      <c r="K19588">
        <f>IFERROR(__xludf.DUMMYFUNCTION("""COMPUTED_VALUE"""),481.86)</f>
        <v/>
      </c>
    </row>
    <row r="19589">
      <c r="J19589">
        <f>IFERROR(__xludf.DUMMYFUNCTION("""COMPUTED_VALUE"""),"Juno Towers, (Halifax) Canada")</f>
        <v/>
      </c>
      <c r="K19589">
        <f>IFERROR(__xludf.DUMMYFUNCTION("""COMPUTED_VALUE"""),481.63)</f>
        <v/>
      </c>
    </row>
    <row r="19590">
      <c r="J19590">
        <f>IFERROR(__xludf.DUMMYFUNCTION("""COMPUTED_VALUE"""),"Saguenay-Lac-St-Jean")</f>
        <v/>
      </c>
      <c r="K19590">
        <f>IFERROR(__xludf.DUMMYFUNCTION("""COMPUTED_VALUE"""),481.4)</f>
        <v/>
      </c>
    </row>
    <row r="19591">
      <c r="J19591">
        <f>IFERROR(__xludf.DUMMYFUNCTION("""COMPUTED_VALUE"""),"Kingston Ontario")</f>
        <v/>
      </c>
      <c r="K19591">
        <f>IFERROR(__xludf.DUMMYFUNCTION("""COMPUTED_VALUE"""),481.06)</f>
        <v/>
      </c>
    </row>
    <row r="19592">
      <c r="J19592">
        <f>IFERROR(__xludf.DUMMYFUNCTION("""COMPUTED_VALUE"""),"JSA, ROK")</f>
        <v/>
      </c>
      <c r="K19592">
        <f>IFERROR(__xludf.DUMMYFUNCTION("""COMPUTED_VALUE"""),480.76)</f>
        <v/>
      </c>
    </row>
    <row r="19593">
      <c r="J19593">
        <f>IFERROR(__xludf.DUMMYFUNCTION("""COMPUTED_VALUE"""),"Cambridge, Waterloo - ON")</f>
        <v/>
      </c>
      <c r="K19593">
        <f>IFERROR(__xludf.DUMMYFUNCTION("""COMPUTED_VALUE"""),480.57)</f>
        <v/>
      </c>
    </row>
    <row r="19594">
      <c r="J19594">
        <f>IFERROR(__xludf.DUMMYFUNCTION("""COMPUTED_VALUE"""),"Malaysia, Vietnam, Singapore")</f>
        <v/>
      </c>
      <c r="K19594">
        <f>IFERROR(__xludf.DUMMYFUNCTION("""COMPUTED_VALUE"""),480.5)</f>
        <v/>
      </c>
    </row>
    <row r="19595">
      <c r="J19595">
        <f>IFERROR(__xludf.DUMMYFUNCTION("""COMPUTED_VALUE"""),"Kingston,Ontario,Canada")</f>
        <v/>
      </c>
      <c r="K19595">
        <f>IFERROR(__xludf.DUMMYFUNCTION("""COMPUTED_VALUE"""),480.39)</f>
        <v/>
      </c>
    </row>
    <row r="19596">
      <c r="J19596">
        <f>IFERROR(__xludf.DUMMYFUNCTION("""COMPUTED_VALUE"""),"Vancouver, British Columbia and Moncton, New Brunswick")</f>
        <v/>
      </c>
      <c r="K19596">
        <f>IFERROR(__xludf.DUMMYFUNCTION("""COMPUTED_VALUE"""),479.84)</f>
        <v/>
      </c>
    </row>
    <row r="19597">
      <c r="J19597">
        <f>IFERROR(__xludf.DUMMYFUNCTION("""COMPUTED_VALUE"""),"North Hatley, QC")</f>
        <v/>
      </c>
      <c r="K19597">
        <f>IFERROR(__xludf.DUMMYFUNCTION("""COMPUTED_VALUE"""),479.32)</f>
        <v/>
      </c>
    </row>
    <row r="19598">
      <c r="J19598">
        <f>IFERROR(__xludf.DUMMYFUNCTION("""COMPUTED_VALUE"""),"St.-Hyacinthe, QC")</f>
        <v/>
      </c>
      <c r="K19598">
        <f>IFERROR(__xludf.DUMMYFUNCTION("""COMPUTED_VALUE"""),479)</f>
        <v/>
      </c>
    </row>
    <row r="19599">
      <c r="J19599">
        <f>IFERROR(__xludf.DUMMYFUNCTION("""COMPUTED_VALUE"""),"Toornto, ON")</f>
        <v/>
      </c>
      <c r="K19599">
        <f>IFERROR(__xludf.DUMMYFUNCTION("""COMPUTED_VALUE"""),478.99)</f>
        <v/>
      </c>
    </row>
    <row r="19600">
      <c r="J19600">
        <f>IFERROR(__xludf.DUMMYFUNCTION("""COMPUTED_VALUE"""),"Montreal, QC Canda")</f>
        <v/>
      </c>
      <c r="K19600">
        <f>IFERROR(__xludf.DUMMYFUNCTION("""COMPUTED_VALUE"""),478.31)</f>
        <v/>
      </c>
    </row>
    <row r="19601">
      <c r="J19601">
        <f>IFERROR(__xludf.DUMMYFUNCTION("""COMPUTED_VALUE"""),"Kingston (ON) Canada")</f>
        <v/>
      </c>
      <c r="K19601">
        <f>IFERROR(__xludf.DUMMYFUNCTION("""COMPUTED_VALUE"""),478.26)</f>
        <v/>
      </c>
    </row>
    <row r="19602">
      <c r="J19602">
        <f>IFERROR(__xludf.DUMMYFUNCTION("""COMPUTED_VALUE"""),"Pike River, Quebec")</f>
        <v/>
      </c>
      <c r="K19602">
        <f>IFERROR(__xludf.DUMMYFUNCTION("""COMPUTED_VALUE"""),478.08)</f>
        <v/>
      </c>
    </row>
    <row r="19603">
      <c r="J19603">
        <f>IFERROR(__xludf.DUMMYFUNCTION("""COMPUTED_VALUE"""),"Ottawa, Ontario / Peterborough,
Ontario / Toronto, Ontario")</f>
        <v/>
      </c>
      <c r="K19603">
        <f>IFERROR(__xludf.DUMMYFUNCTION("""COMPUTED_VALUE"""),478.01)</f>
        <v/>
      </c>
    </row>
    <row r="19604">
      <c r="J19604">
        <f>IFERROR(__xludf.DUMMYFUNCTION("""COMPUTED_VALUE"""),"Waterloo, ON / Kitchener, ON / Toronto, ON")</f>
        <v/>
      </c>
      <c r="K19604">
        <f>IFERROR(__xludf.DUMMYFUNCTION("""COMPUTED_VALUE"""),478.01)</f>
        <v/>
      </c>
    </row>
    <row r="19605">
      <c r="J19605">
        <f>IFERROR(__xludf.DUMMYFUNCTION("""COMPUTED_VALUE"""),"Magog, Quebec (Canada)")</f>
        <v/>
      </c>
      <c r="K19605">
        <f>IFERROR(__xludf.DUMMYFUNCTION("""COMPUTED_VALUE"""),478)</f>
        <v/>
      </c>
    </row>
    <row r="19606">
      <c r="J19606">
        <f>IFERROR(__xludf.DUMMYFUNCTION("""COMPUTED_VALUE"""),"Musquodoboit Harbour, Nova Scotia, Canada            
Lake Charlotte, Nova Scotia, Canada")</f>
        <v/>
      </c>
      <c r="K19606">
        <f>IFERROR(__xludf.DUMMYFUNCTION("""COMPUTED_VALUE"""),477.75)</f>
        <v/>
      </c>
    </row>
    <row r="19607">
      <c r="J19607">
        <f>IFERROR(__xludf.DUMMYFUNCTION("""COMPUTED_VALUE"""),"Mactaquac, New Brunswick, Canada")</f>
        <v/>
      </c>
      <c r="K19607">
        <f>IFERROR(__xludf.DUMMYFUNCTION("""COMPUTED_VALUE"""),477.56)</f>
        <v/>
      </c>
    </row>
    <row r="19608">
      <c r="J19608">
        <f>IFERROR(__xludf.DUMMYFUNCTION("""COMPUTED_VALUE"""),"Drummondville, Quebec, Canada; Trois-Rivières, Quebec, Canada")</f>
        <v/>
      </c>
      <c r="K19608">
        <f>IFERROR(__xludf.DUMMYFUNCTION("""COMPUTED_VALUE"""),477.47)</f>
        <v/>
      </c>
    </row>
    <row r="19609">
      <c r="J19609">
        <f>IFERROR(__xludf.DUMMYFUNCTION("""COMPUTED_VALUE"""),"Moncton, NB, Bathurst, NB")</f>
        <v/>
      </c>
      <c r="K19609">
        <f>IFERROR(__xludf.DUMMYFUNCTION("""COMPUTED_VALUE"""),477)</f>
        <v/>
      </c>
    </row>
    <row r="19610">
      <c r="J19610">
        <f>IFERROR(__xludf.DUMMYFUNCTION("""COMPUTED_VALUE"""),"London, Ontario, Canada; Kitchener, Ontario, Canada; Toronto, Ontario, Canada; Hamilton, Ontario, Canada")</f>
        <v/>
      </c>
      <c r="K19610">
        <f>IFERROR(__xludf.DUMMYFUNCTION("""COMPUTED_VALUE"""),476.75)</f>
        <v/>
      </c>
    </row>
    <row r="19611">
      <c r="J19611">
        <f>IFERROR(__xludf.DUMMYFUNCTION("""COMPUTED_VALUE"""),"Quebec/Granby/Sherbrooke")</f>
        <v/>
      </c>
      <c r="K19611">
        <f>IFERROR(__xludf.DUMMYFUNCTION("""COMPUTED_VALUE"""),476.23)</f>
        <v/>
      </c>
    </row>
    <row r="19612">
      <c r="J19612">
        <f>IFERROR(__xludf.DUMMYFUNCTION("""COMPUTED_VALUE"""),"North Gower, ON")</f>
        <v/>
      </c>
      <c r="K19612">
        <f>IFERROR(__xludf.DUMMYFUNCTION("""COMPUTED_VALUE"""),475.77)</f>
        <v/>
      </c>
    </row>
    <row r="19613">
      <c r="J19613">
        <f>IFERROR(__xludf.DUMMYFUNCTION("""COMPUTED_VALUE"""),"Kyiv and Odessa")</f>
        <v/>
      </c>
      <c r="K19613">
        <f>IFERROR(__xludf.DUMMYFUNCTION("""COMPUTED_VALUE"""),475.5)</f>
        <v/>
      </c>
    </row>
    <row r="19614">
      <c r="J19614">
        <f>IFERROR(__xludf.DUMMYFUNCTION("""COMPUTED_VALUE"""),"Daegu, ROK")</f>
        <v/>
      </c>
      <c r="K19614">
        <f>IFERROR(__xludf.DUMMYFUNCTION("""COMPUTED_VALUE"""),475.34)</f>
        <v/>
      </c>
    </row>
    <row r="19615">
      <c r="J19615">
        <f>IFERROR(__xludf.DUMMYFUNCTION("""COMPUTED_VALUE"""),"Moncton, NB Souris, PE")</f>
        <v/>
      </c>
      <c r="K19615">
        <f>IFERROR(__xludf.DUMMYFUNCTION("""COMPUTED_VALUE"""),474.62)</f>
        <v/>
      </c>
    </row>
    <row r="19616">
      <c r="J19616">
        <f>IFERROR(__xludf.DUMMYFUNCTION("""COMPUTED_VALUE"""),"Saint Andrews and St. Stephen, New Brunswick")</f>
        <v/>
      </c>
      <c r="K19616">
        <f>IFERROR(__xludf.DUMMYFUNCTION("""COMPUTED_VALUE"""),474.55)</f>
        <v/>
      </c>
    </row>
    <row r="19617">
      <c r="J19617">
        <f>IFERROR(__xludf.DUMMYFUNCTION("""COMPUTED_VALUE"""),"Vancouver - Victoria")</f>
        <v/>
      </c>
      <c r="K19617">
        <f>IFERROR(__xludf.DUMMYFUNCTION("""COMPUTED_VALUE"""),474.44)</f>
        <v/>
      </c>
    </row>
    <row r="19618">
      <c r="J19618">
        <f>IFERROR(__xludf.DUMMYFUNCTION("""COMPUTED_VALUE"""),"Québec, Alma")</f>
        <v/>
      </c>
      <c r="K19618">
        <f>IFERROR(__xludf.DUMMYFUNCTION("""COMPUTED_VALUE"""),473.71)</f>
        <v/>
      </c>
    </row>
    <row r="19619">
      <c r="J19619">
        <f>IFERROR(__xludf.DUMMYFUNCTION("""COMPUTED_VALUE"""),"Revelstoke, British Columbia and Edmonton, Alberta")</f>
        <v/>
      </c>
      <c r="K19619">
        <f>IFERROR(__xludf.DUMMYFUNCTION("""COMPUTED_VALUE"""),473.23)</f>
        <v/>
      </c>
    </row>
    <row r="19620">
      <c r="J19620">
        <f>IFERROR(__xludf.DUMMYFUNCTION("""COMPUTED_VALUE"""),"SAINTE-ANNE-DE-BELLEVUE, QC")</f>
        <v/>
      </c>
      <c r="K19620">
        <f>IFERROR(__xludf.DUMMYFUNCTION("""COMPUTED_VALUE"""),473.23)</f>
        <v/>
      </c>
    </row>
    <row r="19621">
      <c r="J19621">
        <f>IFERROR(__xludf.DUMMYFUNCTION("""COMPUTED_VALUE"""),"Sandy Lake, Ontario")</f>
        <v/>
      </c>
      <c r="K19621">
        <f>IFERROR(__xludf.DUMMYFUNCTION("""COMPUTED_VALUE"""),472.46)</f>
        <v/>
      </c>
    </row>
    <row r="19622">
      <c r="J19622">
        <f>IFERROR(__xludf.DUMMYFUNCTION("""COMPUTED_VALUE"""),"Beijing, China / Shenzhen, China / Guangzhou, China")</f>
        <v/>
      </c>
      <c r="K19622">
        <f>IFERROR(__xludf.DUMMYFUNCTION("""COMPUTED_VALUE"""),472.38)</f>
        <v/>
      </c>
    </row>
    <row r="19623">
      <c r="J19623">
        <f>IFERROR(__xludf.DUMMYFUNCTION("""COMPUTED_VALUE"""),"Creuse / Indre")</f>
        <v/>
      </c>
      <c r="K19623">
        <f>IFERROR(__xludf.DUMMYFUNCTION("""COMPUTED_VALUE"""),471.84)</f>
        <v/>
      </c>
    </row>
    <row r="19624">
      <c r="J19624">
        <f>IFERROR(__xludf.DUMMYFUNCTION("""COMPUTED_VALUE"""),"Charlottetown, Prince Edward Island, Canada; Montague, Prince Edward Island, Canada; Georgetown, Prince Edward Island, Canada")</f>
        <v/>
      </c>
      <c r="K19624">
        <f>IFERROR(__xludf.DUMMYFUNCTION("""COMPUTED_VALUE"""),471.27)</f>
        <v/>
      </c>
    </row>
    <row r="19625">
      <c r="J19625">
        <f>IFERROR(__xludf.DUMMYFUNCTION("""COMPUTED_VALUE"""),"Utrecht, DE")</f>
        <v/>
      </c>
      <c r="K19625">
        <f>IFERROR(__xludf.DUMMYFUNCTION("""COMPUTED_VALUE"""),470.87)</f>
        <v/>
      </c>
    </row>
    <row r="19626">
      <c r="J19626">
        <f>IFERROR(__xludf.DUMMYFUNCTION("""COMPUTED_VALUE"""),"Ottawa, Ontario and Shawinigan, Québec")</f>
        <v/>
      </c>
      <c r="K19626">
        <f>IFERROR(__xludf.DUMMYFUNCTION("""COMPUTED_VALUE"""),470.68)</f>
        <v/>
      </c>
    </row>
    <row r="19627">
      <c r="J19627">
        <f>IFERROR(__xludf.DUMMYFUNCTION("""COMPUTED_VALUE"""),"Donnacona Institution                                     Donnacona, Quebec, Canada                                                                                         Drummond Institution                          Drummondville, Quebec, CanadaSainte-A"&amp;"nne-des-Plaines Institution                    Sainte-Anne-des-Plaines, Quebec, CanadaCentre Fédéral de Formation Institution                     Laval, Quebec, Canada")</f>
        <v/>
      </c>
      <c r="K19627">
        <f>IFERROR(__xludf.DUMMYFUNCTION("""COMPUTED_VALUE"""),470.42)</f>
        <v/>
      </c>
    </row>
    <row r="19628">
      <c r="J19628">
        <f>IFERROR(__xludf.DUMMYFUNCTION("""COMPUTED_VALUE"""),"Rovaniemi, Finland")</f>
        <v/>
      </c>
      <c r="K19628">
        <f>IFERROR(__xludf.DUMMYFUNCTION("""COMPUTED_VALUE"""),470.35)</f>
        <v/>
      </c>
    </row>
    <row r="19629">
      <c r="J19629">
        <f>IFERROR(__xludf.DUMMYFUNCTION("""COMPUTED_VALUE"""),"Dolbeau-Mistassini, Girardville")</f>
        <v/>
      </c>
      <c r="K19629">
        <f>IFERROR(__xludf.DUMMYFUNCTION("""COMPUTED_VALUE"""),470.11)</f>
        <v/>
      </c>
    </row>
    <row r="19630">
      <c r="J19630">
        <f>IFERROR(__xludf.DUMMYFUNCTION("""COMPUTED_VALUE"""),"Barcelona, Catelonia, Spain")</f>
        <v/>
      </c>
      <c r="K19630">
        <f>IFERROR(__xludf.DUMMYFUNCTION("""COMPUTED_VALUE"""),469.87)</f>
        <v/>
      </c>
    </row>
    <row r="19631">
      <c r="J19631">
        <f>IFERROR(__xludf.DUMMYFUNCTION("""COMPUTED_VALUE"""),"Miramichi, New Brunswick, Canada; Shediac, New Brunswick, Canada")</f>
        <v/>
      </c>
      <c r="K19631">
        <f>IFERROR(__xludf.DUMMYFUNCTION("""COMPUTED_VALUE"""),469.86)</f>
        <v/>
      </c>
    </row>
    <row r="19632">
      <c r="J19632">
        <f>IFERROR(__xludf.DUMMYFUNCTION("""COMPUTED_VALUE"""),"Regina, Saskatchewan, Canada; Batoche, Saskatchewan, Canada")</f>
        <v/>
      </c>
      <c r="K19632">
        <f>IFERROR(__xludf.DUMMYFUNCTION("""COMPUTED_VALUE"""),469.71)</f>
        <v/>
      </c>
    </row>
    <row r="19633">
      <c r="J19633">
        <f>IFERROR(__xludf.DUMMYFUNCTION("""COMPUTED_VALUE"""),"St-Benoit-du-Lac, Quebec; Sherbrooke, Quebec")</f>
        <v/>
      </c>
      <c r="K19633">
        <f>IFERROR(__xludf.DUMMYFUNCTION("""COMPUTED_VALUE"""),469.54)</f>
        <v/>
      </c>
    </row>
    <row r="19634">
      <c r="J19634">
        <f>IFERROR(__xludf.DUMMYFUNCTION("""COMPUTED_VALUE"""),"Montreal and St-Hyacinthe")</f>
        <v/>
      </c>
      <c r="K19634">
        <f>IFERROR(__xludf.DUMMYFUNCTION("""COMPUTED_VALUE"""),469.03)</f>
        <v/>
      </c>
    </row>
    <row r="19635">
      <c r="J19635">
        <f>IFERROR(__xludf.DUMMYFUNCTION("""COMPUTED_VALUE"""),"Collins Bay, ON")</f>
        <v/>
      </c>
      <c r="K19635">
        <f>IFERROR(__xludf.DUMMYFUNCTION("""COMPUTED_VALUE"""),469)</f>
        <v/>
      </c>
    </row>
    <row r="19636">
      <c r="J19636">
        <f>IFERROR(__xludf.DUMMYFUNCTION("""COMPUTED_VALUE"""),"Bedford, Nova Scotia, Canada; Truro, Nova Scotia, Canada")</f>
        <v/>
      </c>
      <c r="K19636">
        <f>IFERROR(__xludf.DUMMYFUNCTION("""COMPUTED_VALUE"""),468.9)</f>
        <v/>
      </c>
    </row>
    <row r="19637">
      <c r="J19637">
        <f>IFERROR(__xludf.DUMMYFUNCTION("""COMPUTED_VALUE"""),"Montreal, Quebec. Canada")</f>
        <v/>
      </c>
      <c r="K19637">
        <f>IFERROR(__xludf.DUMMYFUNCTION("""COMPUTED_VALUE"""),468.74)</f>
        <v/>
      </c>
    </row>
    <row r="19638">
      <c r="J19638">
        <f>IFERROR(__xludf.DUMMYFUNCTION("""COMPUTED_VALUE"""),"Georgetown Royalty, Prince Edward Island")</f>
        <v/>
      </c>
      <c r="K19638">
        <f>IFERROR(__xludf.DUMMYFUNCTION("""COMPUTED_VALUE"""),468.64)</f>
        <v/>
      </c>
    </row>
    <row r="19639">
      <c r="J19639">
        <f>IFERROR(__xludf.DUMMYFUNCTION("""COMPUTED_VALUE"""),"Forestville")</f>
        <v/>
      </c>
      <c r="K19639">
        <f>IFERROR(__xludf.DUMMYFUNCTION("""COMPUTED_VALUE"""),468.15)</f>
        <v/>
      </c>
    </row>
    <row r="19640">
      <c r="J19640">
        <f>IFERROR(__xludf.DUMMYFUNCTION("""COMPUTED_VALUE"""),"Lac Megantic")</f>
        <v/>
      </c>
      <c r="K19640">
        <f>IFERROR(__xludf.DUMMYFUNCTION("""COMPUTED_VALUE"""),468.04)</f>
        <v/>
      </c>
    </row>
    <row r="19641">
      <c r="J19641">
        <f>IFERROR(__xludf.DUMMYFUNCTION("""COMPUTED_VALUE"""),"Wilton Park, UK")</f>
        <v/>
      </c>
      <c r="K19641">
        <f>IFERROR(__xludf.DUMMYFUNCTION("""COMPUTED_VALUE"""),466.68)</f>
        <v/>
      </c>
    </row>
    <row r="19642">
      <c r="J19642">
        <f>IFERROR(__xludf.DUMMYFUNCTION("""COMPUTED_VALUE"""),"PRESTWICH, KUWAIT, JORDAN, WARSAW")</f>
        <v/>
      </c>
      <c r="K19642">
        <f>IFERROR(__xludf.DUMMYFUNCTION("""COMPUTED_VALUE"""),466.12)</f>
        <v/>
      </c>
    </row>
    <row r="19643">
      <c r="J19643">
        <f>IFERROR(__xludf.DUMMYFUNCTION("""COMPUTED_VALUE"""),"Kingston(Ontario) Canada")</f>
        <v/>
      </c>
      <c r="K19643">
        <f>IFERROR(__xludf.DUMMYFUNCTION("""COMPUTED_VALUE"""),466.04)</f>
        <v/>
      </c>
    </row>
    <row r="19644">
      <c r="J19644">
        <f>IFERROR(__xludf.DUMMYFUNCTION("""COMPUTED_VALUE"""),"Edmundston, New Brunswick, Canada")</f>
        <v/>
      </c>
      <c r="K19644">
        <f>IFERROR(__xludf.DUMMYFUNCTION("""COMPUTED_VALUE"""),465.73)</f>
        <v/>
      </c>
    </row>
    <row r="19645">
      <c r="J19645">
        <f>IFERROR(__xludf.DUMMYFUNCTION("""COMPUTED_VALUE"""),"Ottawa, Ontario Via with someone else and return")</f>
        <v/>
      </c>
      <c r="K19645">
        <f>IFERROR(__xludf.DUMMYFUNCTION("""COMPUTED_VALUE"""),465.66)</f>
        <v/>
      </c>
    </row>
    <row r="19646">
      <c r="J19646">
        <f>IFERROR(__xludf.DUMMYFUNCTION("""COMPUTED_VALUE"""),"MIDLAND, ON")</f>
        <v/>
      </c>
      <c r="K19646">
        <f>IFERROR(__xludf.DUMMYFUNCTION("""COMPUTED_VALUE"""),465.27)</f>
        <v/>
      </c>
    </row>
    <row r="19647">
      <c r="J19647">
        <f>IFERROR(__xludf.DUMMYFUNCTION("""COMPUTED_VALUE"""),"Toronto (Ont)")</f>
        <v/>
      </c>
      <c r="K19647">
        <f>IFERROR(__xludf.DUMMYFUNCTION("""COMPUTED_VALUE"""),465.1)</f>
        <v/>
      </c>
    </row>
    <row r="19648">
      <c r="J19648">
        <f>IFERROR(__xludf.DUMMYFUNCTION("""COMPUTED_VALUE"""),"Toronto, Ontario / Bancroft, Ontario and Georgian Bay, Ontario")</f>
        <v/>
      </c>
      <c r="K19648">
        <f>IFERROR(__xludf.DUMMYFUNCTION("""COMPUTED_VALUE"""),464.65)</f>
        <v/>
      </c>
    </row>
    <row r="19649">
      <c r="J19649">
        <f>IFERROR(__xludf.DUMMYFUNCTION("""COMPUTED_VALUE"""),"Barrie, Ontario; Gravenhurst, Ontario")</f>
        <v/>
      </c>
      <c r="K19649">
        <f>IFERROR(__xludf.DUMMYFUNCTION("""COMPUTED_VALUE"""),464.59)</f>
        <v/>
      </c>
    </row>
    <row r="19650">
      <c r="J19650">
        <f>IFERROR(__xludf.DUMMYFUNCTION("""COMPUTED_VALUE"""),"Varennes, QC - Sherbrooke, QC")</f>
        <v/>
      </c>
      <c r="K19650">
        <f>IFERROR(__xludf.DUMMYFUNCTION("""COMPUTED_VALUE"""),464.52)</f>
        <v/>
      </c>
    </row>
    <row r="19651">
      <c r="J19651">
        <f>IFERROR(__xludf.DUMMYFUNCTION("""COMPUTED_VALUE"""),"Frelighsburg, Quebec, Canada; Stanbridge East, Quebec, Canada; Notre-Dame-de-Stanbridge, Quebec, Canada")</f>
        <v/>
      </c>
      <c r="K19651">
        <f>IFERROR(__xludf.DUMMYFUNCTION("""COMPUTED_VALUE"""),464.08)</f>
        <v/>
      </c>
    </row>
    <row r="19652">
      <c r="J19652">
        <f>IFERROR(__xludf.DUMMYFUNCTION("""COMPUTED_VALUE"""),"Juno")</f>
        <v/>
      </c>
      <c r="K19652">
        <f>IFERROR(__xludf.DUMMYFUNCTION("""COMPUTED_VALUE"""),464)</f>
        <v/>
      </c>
    </row>
    <row r="19653">
      <c r="J19653">
        <f>IFERROR(__xludf.DUMMYFUNCTION("""COMPUTED_VALUE"""),"Montréal, QC Québec, QC")</f>
        <v/>
      </c>
      <c r="K19653">
        <f>IFERROR(__xludf.DUMMYFUNCTION("""COMPUTED_VALUE"""),463.6)</f>
        <v/>
      </c>
    </row>
    <row r="19654">
      <c r="J19654">
        <f>IFERROR(__xludf.DUMMYFUNCTION("""COMPUTED_VALUE"""),"Longueuil, Lachute")</f>
        <v/>
      </c>
      <c r="K19654">
        <f>IFERROR(__xludf.DUMMYFUNCTION("""COMPUTED_VALUE"""),462.97)</f>
        <v/>
      </c>
    </row>
    <row r="19655">
      <c r="J19655">
        <f>IFERROR(__xludf.DUMMYFUNCTION("""COMPUTED_VALUE"""),"Sainte-Julie")</f>
        <v/>
      </c>
      <c r="K19655">
        <f>IFERROR(__xludf.DUMMYFUNCTION("""COMPUTED_VALUE"""),462.31)</f>
        <v/>
      </c>
    </row>
    <row r="19656">
      <c r="J19656">
        <f>IFERROR(__xludf.DUMMYFUNCTION("""COMPUTED_VALUE"""),"Taber, Alberta, Canada")</f>
        <v/>
      </c>
      <c r="K19656">
        <f>IFERROR(__xludf.DUMMYFUNCTION("""COMPUTED_VALUE"""),462.05)</f>
        <v/>
      </c>
    </row>
    <row r="19657">
      <c r="J19657">
        <f>IFERROR(__xludf.DUMMYFUNCTION("""COMPUTED_VALUE"""),"Kapuskasing, Ontario")</f>
        <v/>
      </c>
      <c r="K19657">
        <f>IFERROR(__xludf.DUMMYFUNCTION("""COMPUTED_VALUE"""),462.04)</f>
        <v/>
      </c>
    </row>
    <row r="19658">
      <c r="J19658">
        <f>IFERROR(__xludf.DUMMYFUNCTION("""COMPUTED_VALUE"""),"London, Ontario, Canada; Kitchener, Ontario, Canada")</f>
        <v/>
      </c>
      <c r="K19658">
        <f>IFERROR(__xludf.DUMMYFUNCTION("""COMPUTED_VALUE"""),462.02)</f>
        <v/>
      </c>
    </row>
    <row r="19659">
      <c r="J19659">
        <f>IFERROR(__xludf.DUMMYFUNCTION("""COMPUTED_VALUE"""),"London, Ontario, Canada; Oxford, Ontario, Canada; Windsor, Ontario, Canada; Orillia, Ontario, Canada")</f>
        <v/>
      </c>
      <c r="K19659">
        <f>IFERROR(__xludf.DUMMYFUNCTION("""COMPUTED_VALUE"""),461.82)</f>
        <v/>
      </c>
    </row>
    <row r="19660">
      <c r="J19660">
        <f>IFERROR(__xludf.DUMMYFUNCTION("""COMPUTED_VALUE"""),"Souris, Prince Edward Island, Canada; Summerside, Prince Edward Island, Canada; O'Leary, Prince Edward Island, Canada")</f>
        <v/>
      </c>
      <c r="K19660">
        <f>IFERROR(__xludf.DUMMYFUNCTION("""COMPUTED_VALUE"""),461.76)</f>
        <v/>
      </c>
    </row>
    <row r="19661">
      <c r="J19661">
        <f>IFERROR(__xludf.DUMMYFUNCTION("""COMPUTED_VALUE"""),"Quebec / Trois-Rivieres")</f>
        <v/>
      </c>
      <c r="K19661">
        <f>IFERROR(__xludf.DUMMYFUNCTION("""COMPUTED_VALUE"""),461.28)</f>
        <v/>
      </c>
    </row>
    <row r="19662">
      <c r="J19662">
        <f>IFERROR(__xludf.DUMMYFUNCTION("""COMPUTED_VALUE"""),"Oshawa, ON Belleville, ON")</f>
        <v/>
      </c>
      <c r="K19662">
        <f>IFERROR(__xludf.DUMMYFUNCTION("""COMPUTED_VALUE"""),460.98)</f>
        <v/>
      </c>
    </row>
    <row r="19663">
      <c r="J19663">
        <f>IFERROR(__xludf.DUMMYFUNCTION("""COMPUTED_VALUE"""),"Kingston, Whitby, ON")</f>
        <v/>
      </c>
      <c r="K19663">
        <f>IFERROR(__xludf.DUMMYFUNCTION("""COMPUTED_VALUE"""),460.75)</f>
        <v/>
      </c>
    </row>
    <row r="19664">
      <c r="J19664">
        <f>IFERROR(__xludf.DUMMYFUNCTION("""COMPUTED_VALUE"""),"Milton, Ontario, Canada; Saskatoon, Saskatchewan, Canada")</f>
        <v/>
      </c>
      <c r="K19664">
        <f>IFERROR(__xludf.DUMMYFUNCTION("""COMPUTED_VALUE"""),460.03)</f>
        <v/>
      </c>
    </row>
    <row r="19665">
      <c r="J19665">
        <f>IFERROR(__xludf.DUMMYFUNCTION("""COMPUTED_VALUE"""),"Charlottetown and Albany, Prince Edward Island")</f>
        <v/>
      </c>
      <c r="K19665">
        <f>IFERROR(__xludf.DUMMYFUNCTION("""COMPUTED_VALUE"""),459.52)</f>
        <v/>
      </c>
    </row>
    <row r="19666">
      <c r="J19666">
        <f>IFERROR(__xludf.DUMMYFUNCTION("""COMPUTED_VALUE"""),"Peterborough/Cobourg, Ontario")</f>
        <v/>
      </c>
      <c r="K19666">
        <f>IFERROR(__xludf.DUMMYFUNCTION("""COMPUTED_VALUE"""),459.48)</f>
        <v/>
      </c>
    </row>
    <row r="19667">
      <c r="J19667">
        <f>IFERROR(__xludf.DUMMYFUNCTION("""COMPUTED_VALUE"""),"Radium, British Columbia")</f>
        <v/>
      </c>
      <c r="K19667">
        <f>IFERROR(__xludf.DUMMYFUNCTION("""COMPUTED_VALUE"""),459.46)</f>
        <v/>
      </c>
    </row>
    <row r="19668">
      <c r="J19668">
        <f>IFERROR(__xludf.DUMMYFUNCTION("""COMPUTED_VALUE"""),"Gaspé, Gatineau, Trois-Rivières, Longueuil")</f>
        <v/>
      </c>
      <c r="K19668">
        <f>IFERROR(__xludf.DUMMYFUNCTION("""COMPUTED_VALUE"""),459.41)</f>
        <v/>
      </c>
    </row>
    <row r="19669">
      <c r="J19669">
        <f>IFERROR(__xludf.DUMMYFUNCTION("""COMPUTED_VALUE"""),"Richmond Hill, ON / Cambridge,
ON / Burlington, ON")</f>
        <v/>
      </c>
      <c r="K19669">
        <f>IFERROR(__xludf.DUMMYFUNCTION("""COMPUTED_VALUE"""),459.36)</f>
        <v/>
      </c>
    </row>
    <row r="19670">
      <c r="J19670">
        <f>IFERROR(__xludf.DUMMYFUNCTION("""COMPUTED_VALUE"""),"Toronto  and  Whitby")</f>
        <v/>
      </c>
      <c r="K19670">
        <f>IFERROR(__xludf.DUMMYFUNCTION("""COMPUTED_VALUE"""),459.22)</f>
        <v/>
      </c>
    </row>
    <row r="19671">
      <c r="J19671">
        <f>IFERROR(__xludf.DUMMYFUNCTION("""COMPUTED_VALUE"""),"Vancouver, North Vancouver, Victoria, Toronto")</f>
        <v/>
      </c>
      <c r="K19671">
        <f>IFERROR(__xludf.DUMMYFUNCTION("""COMPUTED_VALUE"""),459.15)</f>
        <v/>
      </c>
    </row>
    <row r="19672">
      <c r="J19672">
        <f>IFERROR(__xludf.DUMMYFUNCTION("""COMPUTED_VALUE"""),"Waskesiu Lake, Saskatchewan, Canada")</f>
        <v/>
      </c>
      <c r="K19672">
        <f>IFERROR(__xludf.DUMMYFUNCTION("""COMPUTED_VALUE"""),458.62)</f>
        <v/>
      </c>
    </row>
    <row r="19673">
      <c r="J19673">
        <f>IFERROR(__xludf.DUMMYFUNCTION("""COMPUTED_VALUE"""),"Solvay, NY, USA")</f>
        <v/>
      </c>
      <c r="K19673">
        <f>IFERROR(__xludf.DUMMYFUNCTION("""COMPUTED_VALUE"""),458.45)</f>
        <v/>
      </c>
    </row>
    <row r="19674">
      <c r="J19674">
        <f>IFERROR(__xludf.DUMMYFUNCTION("""COMPUTED_VALUE"""),"Bergen OP Zoom, Netherlands")</f>
        <v/>
      </c>
      <c r="K19674">
        <f>IFERROR(__xludf.DUMMYFUNCTION("""COMPUTED_VALUE"""),458.13)</f>
        <v/>
      </c>
    </row>
    <row r="19675">
      <c r="J19675">
        <f>IFERROR(__xludf.DUMMYFUNCTION("""COMPUTED_VALUE"""),"Sainte Adèle, QC")</f>
        <v/>
      </c>
      <c r="K19675">
        <f>IFERROR(__xludf.DUMMYFUNCTION("""COMPUTED_VALUE"""),458)</f>
        <v/>
      </c>
    </row>
    <row r="19676">
      <c r="J19676">
        <f>IFERROR(__xludf.DUMMYFUNCTION("""COMPUTED_VALUE"""),"Greenville, Texas, United States")</f>
        <v/>
      </c>
      <c r="K19676">
        <f>IFERROR(__xludf.DUMMYFUNCTION("""COMPUTED_VALUE"""),457.61)</f>
        <v/>
      </c>
    </row>
    <row r="19677">
      <c r="J19677">
        <f>IFERROR(__xludf.DUMMYFUNCTION("""COMPUTED_VALUE"""),"St Jean (Quebec) Canada")</f>
        <v/>
      </c>
      <c r="K19677">
        <f>IFERROR(__xludf.DUMMYFUNCTION("""COMPUTED_VALUE"""),457.36)</f>
        <v/>
      </c>
    </row>
    <row r="19678">
      <c r="J19678">
        <f>IFERROR(__xludf.DUMMYFUNCTION("""COMPUTED_VALUE"""),"Tadoussac")</f>
        <v/>
      </c>
      <c r="K19678">
        <f>IFERROR(__xludf.DUMMYFUNCTION("""COMPUTED_VALUE"""),457.33)</f>
        <v/>
      </c>
    </row>
    <row r="19679">
      <c r="J19679">
        <f>IFERROR(__xludf.DUMMYFUNCTION("""COMPUTED_VALUE"""),"Caraquet, New Brunswick, Canada; Bertrand, New Brunswick, Canada; Beresford, New Brunswick, Canada")</f>
        <v/>
      </c>
      <c r="K19679">
        <f>IFERROR(__xludf.DUMMYFUNCTION("""COMPUTED_VALUE"""),457.1)</f>
        <v/>
      </c>
    </row>
    <row r="19680">
      <c r="J19680">
        <f>IFERROR(__xludf.DUMMYFUNCTION("""COMPUTED_VALUE"""),"Vegreville, Alberta, Canada and Calgary, Alberta, Canada")</f>
        <v/>
      </c>
      <c r="K19680">
        <f>IFERROR(__xludf.DUMMYFUNCTION("""COMPUTED_VALUE"""),456.75)</f>
        <v/>
      </c>
    </row>
    <row r="19681">
      <c r="J19681">
        <f>IFERROR(__xludf.DUMMYFUNCTION("""COMPUTED_VALUE"""),"Windsor, ON / London, ON")</f>
        <v/>
      </c>
      <c r="K19681">
        <f>IFERROR(__xludf.DUMMYFUNCTION("""COMPUTED_VALUE"""),456.6)</f>
        <v/>
      </c>
    </row>
    <row r="19682">
      <c r="J19682">
        <f>IFERROR(__xludf.DUMMYFUNCTION("""COMPUTED_VALUE"""),"London ON, Quebec")</f>
        <v/>
      </c>
      <c r="K19682">
        <f>IFERROR(__xludf.DUMMYFUNCTION("""COMPUTED_VALUE"""),456.44)</f>
        <v/>
      </c>
    </row>
    <row r="19683">
      <c r="J19683">
        <f>IFERROR(__xludf.DUMMYFUNCTION("""COMPUTED_VALUE"""),"Kelowna, BC Penticton, BC")</f>
        <v/>
      </c>
      <c r="K19683">
        <f>IFERROR(__xludf.DUMMYFUNCTION("""COMPUTED_VALUE"""),456.19)</f>
        <v/>
      </c>
    </row>
    <row r="19684">
      <c r="J19684">
        <f>IFERROR(__xludf.DUMMYFUNCTION("""COMPUTED_VALUE"""),"New Glasgow, NS &amp; Charlottetown, PEI")</f>
        <v/>
      </c>
      <c r="K19684">
        <f>IFERROR(__xludf.DUMMYFUNCTION("""COMPUTED_VALUE"""),455.92)</f>
        <v/>
      </c>
    </row>
    <row r="19685">
      <c r="J19685">
        <f>IFERROR(__xludf.DUMMYFUNCTION("""COMPUTED_VALUE"""),"Newmarket-Aurora-Toronto-
Cambridge")</f>
        <v/>
      </c>
      <c r="K19685">
        <f>IFERROR(__xludf.DUMMYFUNCTION("""COMPUTED_VALUE"""),455.72)</f>
        <v/>
      </c>
    </row>
    <row r="19686">
      <c r="J19686">
        <f>IFERROR(__xludf.DUMMYFUNCTION("""COMPUTED_VALUE"""),"Rivière-du-Loup and Rimouski (Québec) Canada")</f>
        <v/>
      </c>
      <c r="K19686">
        <f>IFERROR(__xludf.DUMMYFUNCTION("""COMPUTED_VALUE"""),455.49)</f>
        <v/>
      </c>
    </row>
    <row r="19687">
      <c r="J19687">
        <f>IFERROR(__xludf.DUMMYFUNCTION("""COMPUTED_VALUE"""),"Lydd, UK")</f>
        <v/>
      </c>
      <c r="K19687">
        <f>IFERROR(__xludf.DUMMYFUNCTION("""COMPUTED_VALUE"""),454.81)</f>
        <v/>
      </c>
    </row>
    <row r="19688">
      <c r="J19688">
        <f>IFERROR(__xludf.DUMMYFUNCTION("""COMPUTED_VALUE"""),"La Sarre, Québec, Lévis")</f>
        <v/>
      </c>
      <c r="K19688">
        <f>IFERROR(__xludf.DUMMYFUNCTION("""COMPUTED_VALUE"""),454.74)</f>
        <v/>
      </c>
    </row>
    <row r="19689">
      <c r="J19689">
        <f>IFERROR(__xludf.DUMMYFUNCTION("""COMPUTED_VALUE"""),"Waterloo, ON / London, ON")</f>
        <v/>
      </c>
      <c r="K19689">
        <f>IFERROR(__xludf.DUMMYFUNCTION("""COMPUTED_VALUE"""),454.36)</f>
        <v/>
      </c>
    </row>
    <row r="19690">
      <c r="J19690">
        <f>IFERROR(__xludf.DUMMYFUNCTION("""COMPUTED_VALUE"""),"MONCTON, NB - ST.JOHN'S, NB")</f>
        <v/>
      </c>
      <c r="K19690">
        <f>IFERROR(__xludf.DUMMYFUNCTION("""COMPUTED_VALUE"""),454.26)</f>
        <v/>
      </c>
    </row>
    <row r="19691">
      <c r="J19691">
        <f>IFERROR(__xludf.DUMMYFUNCTION("""COMPUTED_VALUE"""),"Saint-Lambert. Quebec, Canada")</f>
        <v/>
      </c>
      <c r="K19691">
        <f>IFERROR(__xludf.DUMMYFUNCTION("""COMPUTED_VALUE"""),453.96)</f>
        <v/>
      </c>
    </row>
    <row r="19692">
      <c r="J19692">
        <f>IFERROR(__xludf.DUMMYFUNCTION("""COMPUTED_VALUE"""),"Cape Breton")</f>
        <v/>
      </c>
      <c r="K19692">
        <f>IFERROR(__xludf.DUMMYFUNCTION("""COMPUTED_VALUE"""),453.15)</f>
        <v/>
      </c>
    </row>
    <row r="19693">
      <c r="J19693">
        <f>IFERROR(__xludf.DUMMYFUNCTION("""COMPUTED_VALUE"""),"Sherbrooke (Quebec) Canada
Québec (Quebec) Canada")</f>
        <v/>
      </c>
      <c r="K19693">
        <f>IFERROR(__xludf.DUMMYFUNCTION("""COMPUTED_VALUE"""),452.73)</f>
        <v/>
      </c>
    </row>
    <row r="19694">
      <c r="J19694">
        <f>IFERROR(__xludf.DUMMYFUNCTION("""COMPUTED_VALUE"""),"Saint-Michel-des-Saints, QC, Canada")</f>
        <v/>
      </c>
      <c r="K19694">
        <f>IFERROR(__xludf.DUMMYFUNCTION("""COMPUTED_VALUE"""),452.67)</f>
        <v/>
      </c>
    </row>
    <row r="19695">
      <c r="J19695">
        <f>IFERROR(__xludf.DUMMYFUNCTION("""COMPUTED_VALUE"""),"Lévis (Québec) Canada")</f>
        <v/>
      </c>
      <c r="K19695">
        <f>IFERROR(__xludf.DUMMYFUNCTION("""COMPUTED_VALUE"""),452.66)</f>
        <v/>
      </c>
    </row>
    <row r="19696">
      <c r="J19696">
        <f>IFERROR(__xludf.DUMMYFUNCTION("""COMPUTED_VALUE"""),"Montreal, Quebec, Canada; Wendake, Quebec, Canada")</f>
        <v/>
      </c>
      <c r="K19696">
        <f>IFERROR(__xludf.DUMMYFUNCTION("""COMPUTED_VALUE"""),452.18)</f>
        <v/>
      </c>
    </row>
    <row r="19697">
      <c r="J19697">
        <f>IFERROR(__xludf.DUMMYFUNCTION("""COMPUTED_VALUE"""),"Scarborough and Markham, Ontario")</f>
        <v/>
      </c>
      <c r="K19697">
        <f>IFERROR(__xludf.DUMMYFUNCTION("""COMPUTED_VALUE"""),451.92)</f>
        <v/>
      </c>
    </row>
    <row r="19698">
      <c r="J19698">
        <f>IFERROR(__xludf.DUMMYFUNCTION("""COMPUTED_VALUE"""),"Quebec City, Quebec Canada")</f>
        <v/>
      </c>
      <c r="K19698">
        <f>IFERROR(__xludf.DUMMYFUNCTION("""COMPUTED_VALUE"""),451.76)</f>
        <v/>
      </c>
    </row>
    <row r="19699">
      <c r="J19699">
        <f>IFERROR(__xludf.DUMMYFUNCTION("""COMPUTED_VALUE"""),"CFB Petawawa, St.Jean sur Richelieu, Montreal and Sherbrooke QC.")</f>
        <v/>
      </c>
      <c r="K19699">
        <f>IFERROR(__xludf.DUMMYFUNCTION("""COMPUTED_VALUE"""),451.5)</f>
        <v/>
      </c>
    </row>
    <row r="19700">
      <c r="J19700">
        <f>IFERROR(__xludf.DUMMYFUNCTION("""COMPUTED_VALUE"""),"Toronto and Ottawa, ON; Sherbrooke, Montreal, Granby, Bromont and St-Hubert, QC")</f>
        <v/>
      </c>
      <c r="K19700">
        <f>IFERROR(__xludf.DUMMYFUNCTION("""COMPUTED_VALUE"""),451.5)</f>
        <v/>
      </c>
    </row>
    <row r="19701">
      <c r="J19701">
        <f>IFERROR(__xludf.DUMMYFUNCTION("""COMPUTED_VALUE"""),"Fredericton, New Brunswick, Canada; Miramichi, New Brunswick, Canada")</f>
        <v/>
      </c>
      <c r="K19701">
        <f>IFERROR(__xludf.DUMMYFUNCTION("""COMPUTED_VALUE"""),451.3)</f>
        <v/>
      </c>
    </row>
    <row r="19702">
      <c r="J19702">
        <f>IFERROR(__xludf.DUMMYFUNCTION("""COMPUTED_VALUE"""),"BERWICK, NOVA SCOTIA, CANADA")</f>
        <v/>
      </c>
      <c r="K19702">
        <f>IFERROR(__xludf.DUMMYFUNCTION("""COMPUTED_VALUE"""),451.09)</f>
        <v/>
      </c>
    </row>
    <row r="19703">
      <c r="J19703">
        <f>IFERROR(__xludf.DUMMYFUNCTION("""COMPUTED_VALUE"""),"Saint-Félix-de-Valois, Quebec, Canada")</f>
        <v/>
      </c>
      <c r="K19703">
        <f>IFERROR(__xludf.DUMMYFUNCTION("""COMPUTED_VALUE"""),451.06)</f>
        <v/>
      </c>
    </row>
    <row r="19704">
      <c r="J19704">
        <f>IFERROR(__xludf.DUMMYFUNCTION("""COMPUTED_VALUE"""),"Moncton, NB - Saint John, NB / Saint John, NB - Moncton, NB")</f>
        <v/>
      </c>
      <c r="K19704">
        <f>IFERROR(__xludf.DUMMYFUNCTION("""COMPUTED_VALUE"""),451)</f>
        <v/>
      </c>
    </row>
    <row r="19705">
      <c r="J19705">
        <f>IFERROR(__xludf.DUMMYFUNCTION("""COMPUTED_VALUE"""),"Boisbriand, Quebec, Canada")</f>
        <v/>
      </c>
      <c r="K19705">
        <f>IFERROR(__xludf.DUMMYFUNCTION("""COMPUTED_VALUE"""),450.8)</f>
        <v/>
      </c>
    </row>
    <row r="19706">
      <c r="J19706">
        <f>IFERROR(__xludf.DUMMYFUNCTION("""COMPUTED_VALUE"""),"Dorchester, New Brunswick, Springhill, Nova Scotia and Renous, New Brunswick")</f>
        <v/>
      </c>
      <c r="K19706">
        <f>IFERROR(__xludf.DUMMYFUNCTION("""COMPUTED_VALUE"""),450.68)</f>
        <v/>
      </c>
    </row>
    <row r="19707">
      <c r="J19707">
        <f>IFERROR(__xludf.DUMMYFUNCTION("""COMPUTED_VALUE"""),"Montreal, Quebec and Trois-Rivieres, Quebec")</f>
        <v/>
      </c>
      <c r="K19707">
        <f>IFERROR(__xludf.DUMMYFUNCTION("""COMPUTED_VALUE"""),450.33)</f>
        <v/>
      </c>
    </row>
    <row r="19708">
      <c r="J19708">
        <f>IFERROR(__xludf.DUMMYFUNCTION("""COMPUTED_VALUE"""),"Saint-Alexis-des-Monts, Quebec, Canada")</f>
        <v/>
      </c>
      <c r="K19708">
        <f>IFERROR(__xludf.DUMMYFUNCTION("""COMPUTED_VALUE"""),449.96)</f>
        <v/>
      </c>
    </row>
    <row r="19709">
      <c r="J19709">
        <f>IFERROR(__xludf.DUMMYFUNCTION("""COMPUTED_VALUE"""),"Niagra Falls")</f>
        <v/>
      </c>
      <c r="K19709">
        <f>IFERROR(__xludf.DUMMYFUNCTION("""COMPUTED_VALUE"""),449.84)</f>
        <v/>
      </c>
    </row>
    <row r="19710">
      <c r="J19710">
        <f>IFERROR(__xludf.DUMMYFUNCTION("""COMPUTED_VALUE"""),"Ottawa, Trois-Rivières, Victoriaville, Drummondville, Montréal")</f>
        <v/>
      </c>
      <c r="K19710">
        <f>IFERROR(__xludf.DUMMYFUNCTION("""COMPUTED_VALUE"""),449.81)</f>
        <v/>
      </c>
    </row>
    <row r="19711">
      <c r="J19711">
        <f>IFERROR(__xludf.DUMMYFUNCTION("""COMPUTED_VALUE"""),"Brunssum,")</f>
        <v/>
      </c>
      <c r="K19711">
        <f>IFERROR(__xludf.DUMMYFUNCTION("""COMPUTED_VALUE"""),449.79)</f>
        <v/>
      </c>
    </row>
    <row r="19712">
      <c r="J19712">
        <f>IFERROR(__xludf.DUMMYFUNCTION("""COMPUTED_VALUE"""),"Longueuil")</f>
        <v/>
      </c>
      <c r="K19712">
        <f>IFERROR(__xludf.DUMMYFUNCTION("""COMPUTED_VALUE"""),449.72)</f>
        <v/>
      </c>
    </row>
    <row r="19713">
      <c r="J19713">
        <f>IFERROR(__xludf.DUMMYFUNCTION("""COMPUTED_VALUE"""),"Paris and New York (cancelled)")</f>
        <v/>
      </c>
      <c r="K19713">
        <f>IFERROR(__xludf.DUMMYFUNCTION("""COMPUTED_VALUE"""),449.55)</f>
        <v/>
      </c>
    </row>
    <row r="19714">
      <c r="J19714">
        <f>IFERROR(__xludf.DUMMYFUNCTION("""COMPUTED_VALUE"""),"Bayeux, France")</f>
        <v/>
      </c>
      <c r="K19714">
        <f>IFERROR(__xludf.DUMMYFUNCTION("""COMPUTED_VALUE"""),449.11)</f>
        <v/>
      </c>
    </row>
    <row r="19715">
      <c r="J19715">
        <f>IFERROR(__xludf.DUMMYFUNCTION("""COMPUTED_VALUE"""),"Montreal, Quebec, Canada; Dorval, Quebec, Canada")</f>
        <v/>
      </c>
      <c r="K19715">
        <f>IFERROR(__xludf.DUMMYFUNCTION("""COMPUTED_VALUE"""),448.12)</f>
        <v/>
      </c>
    </row>
    <row r="19716">
      <c r="J19716">
        <f>IFERROR(__xludf.DUMMYFUNCTION("""COMPUTED_VALUE"""),"Cairo, Egypt, Aswan, Egypt")</f>
        <v/>
      </c>
      <c r="K19716">
        <f>IFERROR(__xludf.DUMMYFUNCTION("""COMPUTED_VALUE"""),447.9)</f>
        <v/>
      </c>
    </row>
    <row r="19717">
      <c r="J19717">
        <f>IFERROR(__xludf.DUMMYFUNCTION("""COMPUTED_VALUE"""),"Antigonish, Nova Scotia, Canada; Guysborough, Nova Scotia, Canada; Canso, Nova Scotia, Canada")</f>
        <v/>
      </c>
      <c r="K19717">
        <f>IFERROR(__xludf.DUMMYFUNCTION("""COMPUTED_VALUE"""),447)</f>
        <v/>
      </c>
    </row>
    <row r="19718">
      <c r="J19718">
        <f>IFERROR(__xludf.DUMMYFUNCTION("""COMPUTED_VALUE"""),"Sherbrooke, Quebec, Canada / Baie-Saint-Paul, Quebec, Canada")</f>
        <v/>
      </c>
      <c r="K19718">
        <f>IFERROR(__xludf.DUMMYFUNCTION("""COMPUTED_VALUE"""),446.93)</f>
        <v/>
      </c>
    </row>
    <row r="19719">
      <c r="J19719">
        <f>IFERROR(__xludf.DUMMYFUNCTION("""COMPUTED_VALUE"""),"Port Weller, Ontario; Waterloo, Ontario; St. Thomas, Ontario; Windsor, Ontario; Woodstock, Ontario")</f>
        <v/>
      </c>
      <c r="K19719">
        <f>IFERROR(__xludf.DUMMYFUNCTION("""COMPUTED_VALUE"""),446.65)</f>
        <v/>
      </c>
    </row>
    <row r="19720">
      <c r="J19720">
        <f>IFERROR(__xludf.DUMMYFUNCTION("""COMPUTED_VALUE"""),"Montreal, Sherbrooke")</f>
        <v/>
      </c>
      <c r="K19720">
        <f>IFERROR(__xludf.DUMMYFUNCTION("""COMPUTED_VALUE"""),446.52)</f>
        <v/>
      </c>
    </row>
    <row r="19721">
      <c r="J19721">
        <f>IFERROR(__xludf.DUMMYFUNCTION("""COMPUTED_VALUE"""),"Rosetown, Saskatchewan, Canada")</f>
        <v/>
      </c>
      <c r="K19721">
        <f>IFERROR(__xludf.DUMMYFUNCTION("""COMPUTED_VALUE"""),446.48)</f>
        <v/>
      </c>
    </row>
    <row r="19722">
      <c r="J19722">
        <f>IFERROR(__xludf.DUMMYFUNCTION("""COMPUTED_VALUE"""),"Victoriaville, Quebec")</f>
        <v/>
      </c>
      <c r="K19722">
        <f>IFERROR(__xludf.DUMMYFUNCTION("""COMPUTED_VALUE"""),445.48)</f>
        <v/>
      </c>
    </row>
    <row r="19723">
      <c r="J19723">
        <f>IFERROR(__xludf.DUMMYFUNCTION("""COMPUTED_VALUE"""),"Cosmos LB9Quebec City, Quebec, CanadaDonnacona InstitutionDonnacona, Quebec, Canada")</f>
        <v/>
      </c>
      <c r="K19723">
        <f>IFERROR(__xludf.DUMMYFUNCTION("""COMPUTED_VALUE"""),445.22)</f>
        <v/>
      </c>
    </row>
    <row r="19724">
      <c r="J19724">
        <f>IFERROR(__xludf.DUMMYFUNCTION("""COMPUTED_VALUE"""),"Pointe-Claire, Quebec")</f>
        <v/>
      </c>
      <c r="K19724">
        <f>IFERROR(__xludf.DUMMYFUNCTION("""COMPUTED_VALUE"""),444.93)</f>
        <v/>
      </c>
    </row>
    <row r="19725">
      <c r="J19725">
        <f>IFERROR(__xludf.DUMMYFUNCTION("""COMPUTED_VALUE"""),"Connecticut")</f>
        <v/>
      </c>
      <c r="K19725">
        <f>IFERROR(__xludf.DUMMYFUNCTION("""COMPUTED_VALUE"""),444.489999999999)</f>
        <v/>
      </c>
    </row>
    <row r="19726">
      <c r="J19726">
        <f>IFERROR(__xludf.DUMMYFUNCTION("""COMPUTED_VALUE"""),"Ottawa, Ontario Via Private Vehicle Return")</f>
        <v/>
      </c>
      <c r="K19726">
        <f>IFERROR(__xludf.DUMMYFUNCTION("""COMPUTED_VALUE"""),444.38)</f>
        <v/>
      </c>
    </row>
    <row r="19727">
      <c r="J19727">
        <f>IFERROR(__xludf.DUMMYFUNCTION("""COMPUTED_VALUE"""),"Vanvouver, British Columbia, Canada")</f>
        <v/>
      </c>
      <c r="K19727">
        <f>IFERROR(__xludf.DUMMYFUNCTION("""COMPUTED_VALUE"""),444.38)</f>
        <v/>
      </c>
    </row>
    <row r="19728">
      <c r="J19728">
        <f>IFERROR(__xludf.DUMMYFUNCTION("""COMPUTED_VALUE"""),"Toronto -ON")</f>
        <v/>
      </c>
      <c r="K19728">
        <f>IFERROR(__xludf.DUMMYFUNCTION("""COMPUTED_VALUE"""),444.33)</f>
        <v/>
      </c>
    </row>
    <row r="19729">
      <c r="J19729">
        <f>IFERROR(__xludf.DUMMYFUNCTION("""COMPUTED_VALUE"""),"Ottawa, Ontario Via private car - return by train 6 biz pack")</f>
        <v/>
      </c>
      <c r="K19729">
        <f>IFERROR(__xludf.DUMMYFUNCTION("""COMPUTED_VALUE"""),444.04)</f>
        <v/>
      </c>
    </row>
    <row r="19730">
      <c r="J19730">
        <f>IFERROR(__xludf.DUMMYFUNCTION("""COMPUTED_VALUE"""),"Murdochville, Boucherville")</f>
        <v/>
      </c>
      <c r="K19730">
        <f>IFERROR(__xludf.DUMMYFUNCTION("""COMPUTED_VALUE"""),443.31)</f>
        <v/>
      </c>
    </row>
    <row r="19731">
      <c r="J19731">
        <f>IFERROR(__xludf.DUMMYFUNCTION("""COMPUTED_VALUE"""),"Wakefield, Quebec, Canad")</f>
        <v/>
      </c>
      <c r="K19731">
        <f>IFERROR(__xludf.DUMMYFUNCTION("""COMPUTED_VALUE"""),442.93)</f>
        <v/>
      </c>
    </row>
    <row r="19732">
      <c r="J19732">
        <f>IFERROR(__xludf.DUMMYFUNCTION("""COMPUTED_VALUE"""),"Destruction Bay , Yukon")</f>
        <v/>
      </c>
      <c r="K19732">
        <f>IFERROR(__xludf.DUMMYFUNCTION("""COMPUTED_VALUE"""),442.45)</f>
        <v/>
      </c>
    </row>
    <row r="19733">
      <c r="J19733">
        <f>IFERROR(__xludf.DUMMYFUNCTION("""COMPUTED_VALUE"""),"China; Mongolia")</f>
        <v/>
      </c>
      <c r="K19733">
        <f>IFERROR(__xludf.DUMMYFUNCTION("""COMPUTED_VALUE"""),442.08)</f>
        <v/>
      </c>
    </row>
    <row r="19734">
      <c r="J19734">
        <f>IFERROR(__xludf.DUMMYFUNCTION("""COMPUTED_VALUE"""),"Mystic, CT
Greenwich, CT")</f>
        <v/>
      </c>
      <c r="K19734">
        <f>IFERROR(__xludf.DUMMYFUNCTION("""COMPUTED_VALUE"""),442.02)</f>
        <v/>
      </c>
    </row>
    <row r="19735">
      <c r="J19735">
        <f>IFERROR(__xludf.DUMMYFUNCTION("""COMPUTED_VALUE"""),"Boucherville, Montreal, QC and Ottawa, ON")</f>
        <v/>
      </c>
      <c r="K19735">
        <f>IFERROR(__xludf.DUMMYFUNCTION("""COMPUTED_VALUE"""),441.7)</f>
        <v/>
      </c>
    </row>
    <row r="19736">
      <c r="J19736">
        <f>IFERROR(__xludf.DUMMYFUNCTION("""COMPUTED_VALUE"""),"Weisbaden, Germany")</f>
        <v/>
      </c>
      <c r="K19736">
        <f>IFERROR(__xludf.DUMMYFUNCTION("""COMPUTED_VALUE"""),441.61)</f>
        <v/>
      </c>
    </row>
    <row r="19737">
      <c r="J19737">
        <f>IFERROR(__xludf.DUMMYFUNCTION("""COMPUTED_VALUE"""),"Baie-Comeau, Quebec, Canada; Sept-Îles, Quebec, Canada; Montréal, Quebec, Canada; Bagotville, Quebec, Canada")</f>
        <v/>
      </c>
      <c r="K19737">
        <f>IFERROR(__xludf.DUMMYFUNCTION("""COMPUTED_VALUE"""),441.5)</f>
        <v/>
      </c>
    </row>
    <row r="19738">
      <c r="J19738">
        <f>IFERROR(__xludf.DUMMYFUNCTION("""COMPUTED_VALUE"""),"Resolute, NU")</f>
        <v/>
      </c>
      <c r="K19738">
        <f>IFERROR(__xludf.DUMMYFUNCTION("""COMPUTED_VALUE"""),441.4)</f>
        <v/>
      </c>
    </row>
    <row r="19739">
      <c r="J19739">
        <f>IFERROR(__xludf.DUMMYFUNCTION("""COMPUTED_VALUE"""),"Middleton, Nova Scotia, Canada")</f>
        <v/>
      </c>
      <c r="K19739">
        <f>IFERROR(__xludf.DUMMYFUNCTION("""COMPUTED_VALUE"""),441.3)</f>
        <v/>
      </c>
    </row>
    <row r="19740">
      <c r="J19740">
        <f>IFERROR(__xludf.DUMMYFUNCTION("""COMPUTED_VALUE"""),"Ottawa, Ontario, Canada and Gatineau, Québec, Canada")</f>
        <v/>
      </c>
      <c r="K19740">
        <f>IFERROR(__xludf.DUMMYFUNCTION("""COMPUTED_VALUE"""),440.9)</f>
        <v/>
      </c>
    </row>
    <row r="19741">
      <c r="J19741">
        <f>IFERROR(__xludf.DUMMYFUNCTION("""COMPUTED_VALUE"""),"Frankfurt, DE")</f>
        <v/>
      </c>
      <c r="K19741">
        <f>IFERROR(__xludf.DUMMYFUNCTION("""COMPUTED_VALUE"""),440.87)</f>
        <v/>
      </c>
    </row>
    <row r="19742">
      <c r="J19742">
        <f>IFERROR(__xludf.DUMMYFUNCTION("""COMPUTED_VALUE"""),"Edmunston, Cambellton, Caraquet, Shippagan, New Brunswick")</f>
        <v/>
      </c>
      <c r="K19742">
        <f>IFERROR(__xludf.DUMMYFUNCTION("""COMPUTED_VALUE"""),440.14)</f>
        <v/>
      </c>
    </row>
    <row r="19743">
      <c r="J19743">
        <f>IFERROR(__xludf.DUMMYFUNCTION("""COMPUTED_VALUE"""),"Newfoundland and Labrador, Canada; Goose Bay, Newfoundland, Canada")</f>
        <v/>
      </c>
      <c r="K19743">
        <f>IFERROR(__xludf.DUMMYFUNCTION("""COMPUTED_VALUE"""),439.54)</f>
        <v/>
      </c>
    </row>
    <row r="19744">
      <c r="J19744">
        <f>IFERROR(__xludf.DUMMYFUNCTION("""COMPUTED_VALUE"""),"Vancouver and Victoria British Columbia")</f>
        <v/>
      </c>
      <c r="K19744">
        <f>IFERROR(__xludf.DUMMYFUNCTION("""COMPUTED_VALUE"""),439.5)</f>
        <v/>
      </c>
    </row>
    <row r="19745">
      <c r="J19745">
        <f>IFERROR(__xludf.DUMMYFUNCTION("""COMPUTED_VALUE"""),"Montreal and Granby, Quebec")</f>
        <v/>
      </c>
      <c r="K19745">
        <f>IFERROR(__xludf.DUMMYFUNCTION("""COMPUTED_VALUE"""),439.47)</f>
        <v/>
      </c>
    </row>
    <row r="19746">
      <c r="J19746">
        <f>IFERROR(__xludf.DUMMYFUNCTION("""COMPUTED_VALUE"""),"Shelburne, Nova Scotia")</f>
        <v/>
      </c>
      <c r="K19746">
        <f>IFERROR(__xludf.DUMMYFUNCTION("""COMPUTED_VALUE"""),438.6)</f>
        <v/>
      </c>
    </row>
    <row r="19747">
      <c r="J19747">
        <f>IFERROR(__xludf.DUMMYFUNCTION("""COMPUTED_VALUE"""),"Sherbrooke (Quebec) Canad")</f>
        <v/>
      </c>
      <c r="K19747">
        <f>IFERROR(__xludf.DUMMYFUNCTION("""COMPUTED_VALUE"""),438.36)</f>
        <v/>
      </c>
    </row>
    <row r="19748">
      <c r="J19748">
        <f>IFERROR(__xludf.DUMMYFUNCTION("""COMPUTED_VALUE"""),"Dartmouth and Yarmouth, NS")</f>
        <v/>
      </c>
      <c r="K19748">
        <f>IFERROR(__xludf.DUMMYFUNCTION("""COMPUTED_VALUE"""),438.24)</f>
        <v/>
      </c>
    </row>
    <row r="19749">
      <c r="J19749">
        <f>IFERROR(__xludf.DUMMYFUNCTION("""COMPUTED_VALUE"""),"Sainte-Adèle, Quebec")</f>
        <v/>
      </c>
      <c r="K19749">
        <f>IFERROR(__xludf.DUMMYFUNCTION("""COMPUTED_VALUE"""),438)</f>
        <v/>
      </c>
    </row>
    <row r="19750">
      <c r="J19750">
        <f>IFERROR(__xludf.DUMMYFUNCTION("""COMPUTED_VALUE"""),"Beauharnois, Quebec")</f>
        <v/>
      </c>
      <c r="K19750">
        <f>IFERROR(__xludf.DUMMYFUNCTION("""COMPUTED_VALUE"""),437.81)</f>
        <v/>
      </c>
    </row>
    <row r="19751">
      <c r="J19751">
        <f>IFERROR(__xludf.DUMMYFUNCTION("""COMPUTED_VALUE"""),"Stephenville, Newfoundland and Labrador, Canada; Montreal, Quebec, Canada")</f>
        <v/>
      </c>
      <c r="K19751">
        <f>IFERROR(__xludf.DUMMYFUNCTION("""COMPUTED_VALUE"""),437.77)</f>
        <v/>
      </c>
    </row>
    <row r="19752">
      <c r="J19752">
        <f>IFERROR(__xludf.DUMMYFUNCTION("""COMPUTED_VALUE"""),"Trenton, ON / Quinte West, ON")</f>
        <v/>
      </c>
      <c r="K19752">
        <f>IFERROR(__xludf.DUMMYFUNCTION("""COMPUTED_VALUE"""),437.7)</f>
        <v/>
      </c>
    </row>
    <row r="19753">
      <c r="J19753">
        <f>IFERROR(__xludf.DUMMYFUNCTION("""COMPUTED_VALUE"""),"Luxemburg")</f>
        <v/>
      </c>
      <c r="K19753">
        <f>IFERROR(__xludf.DUMMYFUNCTION("""COMPUTED_VALUE"""),437.64)</f>
        <v/>
      </c>
    </row>
    <row r="19754">
      <c r="J19754">
        <f>IFERROR(__xludf.DUMMYFUNCTION("""COMPUTED_VALUE"""),"Montréal, Saint-Tite, Québec, Roberval")</f>
        <v/>
      </c>
      <c r="K19754">
        <f>IFERROR(__xludf.DUMMYFUNCTION("""COMPUTED_VALUE"""),437.51)</f>
        <v/>
      </c>
    </row>
    <row r="19755">
      <c r="J19755">
        <f>IFERROR(__xludf.DUMMYFUNCTION("""COMPUTED_VALUE"""),"Totonto, ON")</f>
        <v/>
      </c>
      <c r="K19755">
        <f>IFERROR(__xludf.DUMMYFUNCTION("""COMPUTED_VALUE"""),437.22)</f>
        <v/>
      </c>
    </row>
    <row r="19756">
      <c r="J19756">
        <f>IFERROR(__xludf.DUMMYFUNCTION("""COMPUTED_VALUE"""),"Becancour, Quebec")</f>
        <v/>
      </c>
      <c r="K19756">
        <f>IFERROR(__xludf.DUMMYFUNCTION("""COMPUTED_VALUE"""),437.15)</f>
        <v/>
      </c>
    </row>
    <row r="19757">
      <c r="J19757">
        <f>IFERROR(__xludf.DUMMYFUNCTION("""COMPUTED_VALUE"""),"Montréal, Laval")</f>
        <v/>
      </c>
      <c r="K19757">
        <f>IFERROR(__xludf.DUMMYFUNCTION("""COMPUTED_VALUE"""),436.909999999999)</f>
        <v/>
      </c>
    </row>
    <row r="19758">
      <c r="J19758">
        <f>IFERROR(__xludf.DUMMYFUNCTION("""COMPUTED_VALUE"""),"Sherbrooke, Quebec, Canada; Montreal, Quebec, Canada")</f>
        <v/>
      </c>
      <c r="K19758">
        <f>IFERROR(__xludf.DUMMYFUNCTION("""COMPUTED_VALUE"""),436.87)</f>
        <v/>
      </c>
    </row>
    <row r="19759">
      <c r="J19759">
        <f>IFERROR(__xludf.DUMMYFUNCTION("""COMPUTED_VALUE"""),"Homestead, Florida")</f>
        <v/>
      </c>
      <c r="K19759">
        <f>IFERROR(__xludf.DUMMYFUNCTION("""COMPUTED_VALUE"""),436.28)</f>
        <v/>
      </c>
    </row>
    <row r="19760">
      <c r="J19760">
        <f>IFERROR(__xludf.DUMMYFUNCTION("""COMPUTED_VALUE"""),"Chalk River and Pembroke, Ontario")</f>
        <v/>
      </c>
      <c r="K19760">
        <f>IFERROR(__xludf.DUMMYFUNCTION("""COMPUTED_VALUE"""),436.23)</f>
        <v/>
      </c>
    </row>
    <row r="19761">
      <c r="J19761">
        <f>IFERROR(__xludf.DUMMYFUNCTION("""COMPUTED_VALUE"""),"Prestwick, UK")</f>
        <v/>
      </c>
      <c r="K19761">
        <f>IFERROR(__xludf.DUMMYFUNCTION("""COMPUTED_VALUE"""),436)</f>
        <v/>
      </c>
    </row>
    <row r="19762">
      <c r="J19762">
        <f>IFERROR(__xludf.DUMMYFUNCTION("""COMPUTED_VALUE"""),"St. Eustache, QC")</f>
        <v/>
      </c>
      <c r="K19762">
        <f>IFERROR(__xludf.DUMMYFUNCTION("""COMPUTED_VALUE"""),435.02)</f>
        <v/>
      </c>
    </row>
    <row r="19763">
      <c r="J19763">
        <f>IFERROR(__xludf.DUMMYFUNCTION("""COMPUTED_VALUE"""),"Albuquerque, New Mexico, USA
New York City, USA")</f>
        <v/>
      </c>
      <c r="K19763">
        <f>IFERROR(__xludf.DUMMYFUNCTION("""COMPUTED_VALUE"""),434.94)</f>
        <v/>
      </c>
    </row>
    <row r="19764">
      <c r="J19764">
        <f>IFERROR(__xludf.DUMMYFUNCTION("""COMPUTED_VALUE"""),"Sherbrooke (Quebec) Canada; Coaticook (Quebec) Canada")</f>
        <v/>
      </c>
      <c r="K19764">
        <f>IFERROR(__xludf.DUMMYFUNCTION("""COMPUTED_VALUE"""),434.94)</f>
        <v/>
      </c>
    </row>
    <row r="19765">
      <c r="J19765">
        <f>IFERROR(__xludf.DUMMYFUNCTION("""COMPUTED_VALUE"""),"Montreal/Sherbrooke/Bromont, Quebec")</f>
        <v/>
      </c>
      <c r="K19765">
        <f>IFERROR(__xludf.DUMMYFUNCTION("""COMPUTED_VALUE"""),434.76)</f>
        <v/>
      </c>
    </row>
    <row r="19766">
      <c r="J19766">
        <f>IFERROR(__xludf.DUMMYFUNCTION("""COMPUTED_VALUE"""),"Ottawa, ON - Netherlands, EU")</f>
        <v/>
      </c>
      <c r="K19766">
        <f>IFERROR(__xludf.DUMMYFUNCTION("""COMPUTED_VALUE"""),434.6)</f>
        <v/>
      </c>
    </row>
    <row r="19767">
      <c r="J19767">
        <f>IFERROR(__xludf.DUMMYFUNCTION("""COMPUTED_VALUE"""),"West Virginia")</f>
        <v/>
      </c>
      <c r="K19767">
        <f>IFERROR(__xludf.DUMMYFUNCTION("""COMPUTED_VALUE"""),434.29)</f>
        <v/>
      </c>
    </row>
    <row r="19768">
      <c r="J19768">
        <f>IFERROR(__xludf.DUMMYFUNCTION("""COMPUTED_VALUE"""),"Saint-Jean sur Richelieu, Québec")</f>
        <v/>
      </c>
      <c r="K19768">
        <f>IFERROR(__xludf.DUMMYFUNCTION("""COMPUTED_VALUE"""),434.16)</f>
        <v/>
      </c>
    </row>
    <row r="19769">
      <c r="J19769">
        <f>IFERROR(__xludf.DUMMYFUNCTION("""COMPUTED_VALUE"""),"Okotoks, Alberta, Canada")</f>
        <v/>
      </c>
      <c r="K19769">
        <f>IFERROR(__xludf.DUMMYFUNCTION("""COMPUTED_VALUE"""),433.94)</f>
        <v/>
      </c>
    </row>
    <row r="19770">
      <c r="J19770">
        <f>IFERROR(__xludf.DUMMYFUNCTION("""COMPUTED_VALUE"""),"Trenton &amp; Kingston (Ontario) Canada")</f>
        <v/>
      </c>
      <c r="K19770">
        <f>IFERROR(__xludf.DUMMYFUNCTION("""COMPUTED_VALUE"""),432.35)</f>
        <v/>
      </c>
    </row>
    <row r="19771">
      <c r="J19771">
        <f>IFERROR(__xludf.DUMMYFUNCTION("""COMPUTED_VALUE"""),"Montreal, Edmonton,Canada")</f>
        <v/>
      </c>
      <c r="K19771">
        <f>IFERROR(__xludf.DUMMYFUNCTION("""COMPUTED_VALUE"""),432.34)</f>
        <v/>
      </c>
    </row>
    <row r="19772">
      <c r="J19772">
        <f>IFERROR(__xludf.DUMMYFUNCTION("""COMPUTED_VALUE"""),"Boucherville")</f>
        <v/>
      </c>
      <c r="K19772">
        <f>IFERROR(__xludf.DUMMYFUNCTION("""COMPUTED_VALUE"""),432.25)</f>
        <v/>
      </c>
    </row>
    <row r="19773">
      <c r="J19773">
        <f>IFERROR(__xludf.DUMMYFUNCTION("""COMPUTED_VALUE"""),"Clermont-Ferrand")</f>
        <v/>
      </c>
      <c r="K19773">
        <f>IFERROR(__xludf.DUMMYFUNCTION("""COMPUTED_VALUE"""),432)</f>
        <v/>
      </c>
    </row>
    <row r="19774">
      <c r="J19774">
        <f>IFERROR(__xludf.DUMMYFUNCTION("""COMPUTED_VALUE"""),"Saint-Alphonse-Rodriguez, Quebec")</f>
        <v/>
      </c>
      <c r="K19774">
        <f>IFERROR(__xludf.DUMMYFUNCTION("""COMPUTED_VALUE"""),432)</f>
        <v/>
      </c>
    </row>
    <row r="19775">
      <c r="J19775">
        <f>IFERROR(__xludf.DUMMYFUNCTION("""COMPUTED_VALUE"""),"Riverview, New Brunswick")</f>
        <v/>
      </c>
      <c r="K19775">
        <f>IFERROR(__xludf.DUMMYFUNCTION("""COMPUTED_VALUE"""),431.71)</f>
        <v/>
      </c>
    </row>
    <row r="19776">
      <c r="J19776">
        <f>IFERROR(__xludf.DUMMYFUNCTION("""COMPUTED_VALUE"""),"Québec City and Donnacona, Québec, Canada")</f>
        <v/>
      </c>
      <c r="K19776">
        <f>IFERROR(__xludf.DUMMYFUNCTION("""COMPUTED_VALUE"""),430.27)</f>
        <v/>
      </c>
    </row>
    <row r="19777">
      <c r="J19777">
        <f>IFERROR(__xludf.DUMMYFUNCTION("""COMPUTED_VALUE"""),"Charlottetown, Prince Edward Island; Vancouver, British Columbia; Whitehorse, Yukon; Calgary, Alberta")</f>
        <v/>
      </c>
      <c r="K19777">
        <f>IFERROR(__xludf.DUMMYFUNCTION("""COMPUTED_VALUE"""),430.12)</f>
        <v/>
      </c>
    </row>
    <row r="19778">
      <c r="J19778">
        <f>IFERROR(__xludf.DUMMYFUNCTION("""COMPUTED_VALUE"""),"Singapor")</f>
        <v/>
      </c>
      <c r="K19778">
        <f>IFERROR(__xludf.DUMMYFUNCTION("""COMPUTED_VALUE"""),430)</f>
        <v/>
      </c>
    </row>
    <row r="19779">
      <c r="J19779">
        <f>IFERROR(__xludf.DUMMYFUNCTION("""COMPUTED_VALUE"""),"Ottawa - Hampton - Ottawa")</f>
        <v/>
      </c>
      <c r="K19779">
        <f>IFERROR(__xludf.DUMMYFUNCTION("""COMPUTED_VALUE"""),429.81)</f>
        <v/>
      </c>
    </row>
    <row r="19780">
      <c r="J19780">
        <f>IFERROR(__xludf.DUMMYFUNCTION("""COMPUTED_VALUE"""),"Saint Hyacinthe, Quebec, Canada")</f>
        <v/>
      </c>
      <c r="K19780">
        <f>IFERROR(__xludf.DUMMYFUNCTION("""COMPUTED_VALUE"""),429.36)</f>
        <v/>
      </c>
    </row>
    <row r="19781">
      <c r="J19781">
        <f>IFERROR(__xludf.DUMMYFUNCTION("""COMPUTED_VALUE"""),"Parry Sound, Ontario")</f>
        <v/>
      </c>
      <c r="K19781">
        <f>IFERROR(__xludf.DUMMYFUNCTION("""COMPUTED_VALUE"""),429.27)</f>
        <v/>
      </c>
    </row>
    <row r="19782">
      <c r="J19782">
        <f>IFERROR(__xludf.DUMMYFUNCTION("""COMPUTED_VALUE"""),"Gagetown, New Brunswick / Deer Lake, Newfoundland and Labrador")</f>
        <v/>
      </c>
      <c r="K19782">
        <f>IFERROR(__xludf.DUMMYFUNCTION("""COMPUTED_VALUE"""),429.18)</f>
        <v/>
      </c>
    </row>
    <row r="19783">
      <c r="J19783">
        <f>IFERROR(__xludf.DUMMYFUNCTION("""COMPUTED_VALUE"""),"Sainte-Hyacinthe, QC")</f>
        <v/>
      </c>
      <c r="K19783">
        <f>IFERROR(__xludf.DUMMYFUNCTION("""COMPUTED_VALUE"""),428.9)</f>
        <v/>
      </c>
    </row>
    <row r="19784">
      <c r="J19784">
        <f>IFERROR(__xludf.DUMMYFUNCTION("""COMPUTED_VALUE"""),"Ivory Coast, Abidjan")</f>
        <v/>
      </c>
      <c r="K19784">
        <f>IFERROR(__xludf.DUMMYFUNCTION("""COMPUTED_VALUE"""),428.87)</f>
        <v/>
      </c>
    </row>
    <row r="19785">
      <c r="J19785">
        <f>IFERROR(__xludf.DUMMYFUNCTION("""COMPUTED_VALUE"""),"Sherbrooke, Quebec, Canada/ Bromont, Quebec, Canada / Granby, Quebec, Canada")</f>
        <v/>
      </c>
      <c r="K19785">
        <f>IFERROR(__xludf.DUMMYFUNCTION("""COMPUTED_VALUE"""),428.73)</f>
        <v/>
      </c>
    </row>
    <row r="19786">
      <c r="J19786">
        <f>IFERROR(__xludf.DUMMYFUNCTION("""COMPUTED_VALUE"""),"National Headquarters Office")</f>
        <v/>
      </c>
      <c r="K19786">
        <f>IFERROR(__xludf.DUMMYFUNCTION("""COMPUTED_VALUE"""),428.1)</f>
        <v/>
      </c>
    </row>
    <row r="19787">
      <c r="J19787">
        <f>IFERROR(__xludf.DUMMYFUNCTION("""COMPUTED_VALUE"""),"Milton, Ontario Canada")</f>
        <v/>
      </c>
      <c r="K19787">
        <f>IFERROR(__xludf.DUMMYFUNCTION("""COMPUTED_VALUE"""),427.88)</f>
        <v/>
      </c>
    </row>
    <row r="19788">
      <c r="J19788">
        <f>IFERROR(__xludf.DUMMYFUNCTION("""COMPUTED_VALUE"""),"Barrie, Borden and Belleville, Ontario")</f>
        <v/>
      </c>
      <c r="K19788">
        <f>IFERROR(__xludf.DUMMYFUNCTION("""COMPUTED_VALUE"""),427.74)</f>
        <v/>
      </c>
    </row>
    <row r="19789">
      <c r="J19789">
        <f>IFERROR(__xludf.DUMMYFUNCTION("""COMPUTED_VALUE"""),"Ottawa, ON - Charlottetown, PE / Charlottetown PE - Ottawa, ON")</f>
        <v/>
      </c>
      <c r="K19789">
        <f>IFERROR(__xludf.DUMMYFUNCTION("""COMPUTED_VALUE"""),427.62)</f>
        <v/>
      </c>
    </row>
    <row r="19790">
      <c r="J19790">
        <f>IFERROR(__xludf.DUMMYFUNCTION("""COMPUTED_VALUE"""),"Roberval, Bagotville, Montréal")</f>
        <v/>
      </c>
      <c r="K19790">
        <f>IFERROR(__xludf.DUMMYFUNCTION("""COMPUTED_VALUE"""),427.62)</f>
        <v/>
      </c>
    </row>
    <row r="19791">
      <c r="J19791">
        <f>IFERROR(__xludf.DUMMYFUNCTION("""COMPUTED_VALUE"""),"Quebec City/Quebec")</f>
        <v/>
      </c>
      <c r="K19791">
        <f>IFERROR(__xludf.DUMMYFUNCTION("""COMPUTED_VALUE"""),427.59)</f>
        <v/>
      </c>
    </row>
    <row r="19792">
      <c r="J19792">
        <f>IFERROR(__xludf.DUMMYFUNCTION("""COMPUTED_VALUE"""),"Ajax, ON / Cambridge, ON")</f>
        <v/>
      </c>
      <c r="K19792">
        <f>IFERROR(__xludf.DUMMYFUNCTION("""COMPUTED_VALUE"""),427.55)</f>
        <v/>
      </c>
    </row>
    <row r="19793">
      <c r="J19793">
        <f>IFERROR(__xludf.DUMMYFUNCTION("""COMPUTED_VALUE"""),"Carmacks - Mt. Nansen")</f>
        <v/>
      </c>
      <c r="K19793">
        <f>IFERROR(__xludf.DUMMYFUNCTION("""COMPUTED_VALUE"""),427.2)</f>
        <v/>
      </c>
    </row>
    <row r="19794">
      <c r="J19794">
        <f>IFERROR(__xludf.DUMMYFUNCTION("""COMPUTED_VALUE"""),"Saanich, BC")</f>
        <v/>
      </c>
      <c r="K19794">
        <f>IFERROR(__xludf.DUMMYFUNCTION("""COMPUTED_VALUE"""),427.15)</f>
        <v/>
      </c>
    </row>
    <row r="19795">
      <c r="J19795">
        <f>IFERROR(__xludf.DUMMYFUNCTION("""COMPUTED_VALUE"""),"Dakar, Senega / Kinshasa, Republic Democratic of the Congo")</f>
        <v/>
      </c>
      <c r="K19795">
        <f>IFERROR(__xludf.DUMMYFUNCTION("""COMPUTED_VALUE"""),426.69)</f>
        <v/>
      </c>
    </row>
    <row r="19796">
      <c r="J19796">
        <f>IFERROR(__xludf.DUMMYFUNCTION("""COMPUTED_VALUE"""),"Gatineau, Drummondville")</f>
        <v/>
      </c>
      <c r="K19796">
        <f>IFERROR(__xludf.DUMMYFUNCTION("""COMPUTED_VALUE"""),426.65)</f>
        <v/>
      </c>
    </row>
    <row r="19797">
      <c r="J19797">
        <f>IFERROR(__xludf.DUMMYFUNCTION("""COMPUTED_VALUE"""),"Jackson's Point")</f>
        <v/>
      </c>
      <c r="K19797">
        <f>IFERROR(__xludf.DUMMYFUNCTION("""COMPUTED_VALUE"""),426.28)</f>
        <v/>
      </c>
    </row>
    <row r="19798">
      <c r="J19798">
        <f>IFERROR(__xludf.DUMMYFUNCTION("""COMPUTED_VALUE"""),"Meaford, Ontario")</f>
        <v/>
      </c>
      <c r="K19798">
        <f>IFERROR(__xludf.DUMMYFUNCTION("""COMPUTED_VALUE"""),426.1)</f>
        <v/>
      </c>
    </row>
    <row r="19799">
      <c r="J19799">
        <f>IFERROR(__xludf.DUMMYFUNCTION("""COMPUTED_VALUE"""),"Montreal and Trois-Rivieres, Quebec")</f>
        <v/>
      </c>
      <c r="K19799">
        <f>IFERROR(__xludf.DUMMYFUNCTION("""COMPUTED_VALUE"""),426.07)</f>
        <v/>
      </c>
    </row>
    <row r="19800">
      <c r="J19800">
        <f>IFERROR(__xludf.DUMMYFUNCTION("""COMPUTED_VALUE"""),"East Hereford, Quebec, Canada")</f>
        <v/>
      </c>
      <c r="K19800">
        <f>IFERROR(__xludf.DUMMYFUNCTION("""COMPUTED_VALUE"""),426)</f>
        <v/>
      </c>
    </row>
    <row r="19801">
      <c r="J19801">
        <f>IFERROR(__xludf.DUMMYFUNCTION("""COMPUTED_VALUE"""),"Ste-Marthe, QC")</f>
        <v/>
      </c>
      <c r="K19801">
        <f>IFERROR(__xludf.DUMMYFUNCTION("""COMPUTED_VALUE"""),426)</f>
        <v/>
      </c>
    </row>
    <row r="19802">
      <c r="J19802">
        <f>IFERROR(__xludf.DUMMYFUNCTION("""COMPUTED_VALUE"""),"Montreal, Quebec, Canada / Trois-Rivières, Quebec, Canada / Hemmingford, Quebec, Canada / Mirabel, Quebec, Canada")</f>
        <v/>
      </c>
      <c r="K19802">
        <f>IFERROR(__xludf.DUMMYFUNCTION("""COMPUTED_VALUE"""),425.81)</f>
        <v/>
      </c>
    </row>
    <row r="19803">
      <c r="J19803">
        <f>IFERROR(__xludf.DUMMYFUNCTION("""COMPUTED_VALUE"""),"Charlottetown, Prince Edward Island and St. Andrews, New Brunswick")</f>
        <v/>
      </c>
      <c r="K19803">
        <f>IFERROR(__xludf.DUMMYFUNCTION("""COMPUTED_VALUE"""),425.07)</f>
        <v/>
      </c>
    </row>
    <row r="19804">
      <c r="J19804">
        <f>IFERROR(__xludf.DUMMYFUNCTION("""COMPUTED_VALUE"""),"Shawinigan, Quebec, Canada / Arvida, Quebec, Canada / Jonquiere, Quebec, Canada")</f>
        <v/>
      </c>
      <c r="K19804">
        <f>IFERROR(__xludf.DUMMYFUNCTION("""COMPUTED_VALUE"""),424.82)</f>
        <v/>
      </c>
    </row>
    <row r="19805">
      <c r="J19805">
        <f>IFERROR(__xludf.DUMMYFUNCTION("""COMPUTED_VALUE"""),"Geneva,  Switzerland")</f>
        <v/>
      </c>
      <c r="K19805">
        <f>IFERROR(__xludf.DUMMYFUNCTION("""COMPUTED_VALUE"""),424.79)</f>
        <v/>
      </c>
    </row>
    <row r="19806">
      <c r="J19806">
        <f>IFERROR(__xludf.DUMMYFUNCTION("""COMPUTED_VALUE"""),"Brunssum, Netherlands")</f>
        <v/>
      </c>
      <c r="K19806">
        <f>IFERROR(__xludf.DUMMYFUNCTION("""COMPUTED_VALUE"""),424.65)</f>
        <v/>
      </c>
    </row>
    <row r="19807">
      <c r="J19807">
        <f>IFERROR(__xludf.DUMMYFUNCTION("""COMPUTED_VALUE"""),"Port Colborne, Ontario")</f>
        <v/>
      </c>
      <c r="K19807">
        <f>IFERROR(__xludf.DUMMYFUNCTION("""COMPUTED_VALUE"""),424.62)</f>
        <v/>
      </c>
    </row>
    <row r="19808">
      <c r="J19808">
        <f>IFERROR(__xludf.DUMMYFUNCTION("""COMPUTED_VALUE"""),"Calgary, Ottawa, Toronto")</f>
        <v/>
      </c>
      <c r="K19808">
        <f>IFERROR(__xludf.DUMMYFUNCTION("""COMPUTED_VALUE"""),424)</f>
        <v/>
      </c>
    </row>
    <row r="19809">
      <c r="J19809">
        <f>IFERROR(__xludf.DUMMYFUNCTION("""COMPUTED_VALUE"""),"Toronto, ON / Belleville, ON")</f>
        <v/>
      </c>
      <c r="K19809">
        <f>IFERROR(__xludf.DUMMYFUNCTION("""COMPUTED_VALUE"""),423.69)</f>
        <v/>
      </c>
    </row>
    <row r="19810">
      <c r="J19810">
        <f>IFERROR(__xludf.DUMMYFUNCTION("""COMPUTED_VALUE"""),"Mississauga, Ontario, Canada / Richmond Hill, Ontario, Canada")</f>
        <v/>
      </c>
      <c r="K19810">
        <f>IFERROR(__xludf.DUMMYFUNCTION("""COMPUTED_VALUE"""),423.01)</f>
        <v/>
      </c>
    </row>
    <row r="19811">
      <c r="J19811">
        <f>IFERROR(__xludf.DUMMYFUNCTION("""COMPUTED_VALUE"""),"Portugal, Cascais")</f>
        <v/>
      </c>
      <c r="K19811">
        <f>IFERROR(__xludf.DUMMYFUNCTION("""COMPUTED_VALUE"""),422.67)</f>
        <v/>
      </c>
    </row>
    <row r="19812">
      <c r="J19812">
        <f>IFERROR(__xludf.DUMMYFUNCTION("""COMPUTED_VALUE"""),"Hunts Point, Nova Scotia, Canada")</f>
        <v/>
      </c>
      <c r="K19812">
        <f>IFERROR(__xludf.DUMMYFUNCTION("""COMPUTED_VALUE"""),420.9)</f>
        <v/>
      </c>
    </row>
    <row r="19813">
      <c r="J19813">
        <f>IFERROR(__xludf.DUMMYFUNCTION("""COMPUTED_VALUE"""),"Québec - Valleyfield")</f>
        <v/>
      </c>
      <c r="K19813">
        <f>IFERROR(__xludf.DUMMYFUNCTION("""COMPUTED_VALUE"""),420.9)</f>
        <v/>
      </c>
    </row>
    <row r="19814">
      <c r="J19814">
        <f>IFERROR(__xludf.DUMMYFUNCTION("""COMPUTED_VALUE"""),"Vancouver, Nanaimo and Parksville, British Columbia, Canada")</f>
        <v/>
      </c>
      <c r="K19814">
        <f>IFERROR(__xludf.DUMMYFUNCTION("""COMPUTED_VALUE"""),419.68)</f>
        <v/>
      </c>
    </row>
    <row r="19815">
      <c r="J19815">
        <f>IFERROR(__xludf.DUMMYFUNCTION("""COMPUTED_VALUE"""),"Florenceville, New Brunswick")</f>
        <v/>
      </c>
      <c r="K19815">
        <f>IFERROR(__xludf.DUMMYFUNCTION("""COMPUTED_VALUE"""),419.02)</f>
        <v/>
      </c>
    </row>
    <row r="19816">
      <c r="J19816">
        <f>IFERROR(__xludf.DUMMYFUNCTION("""COMPUTED_VALUE"""),"Moncton, New Bruswick")</f>
        <v/>
      </c>
      <c r="K19816">
        <f>IFERROR(__xludf.DUMMYFUNCTION("""COMPUTED_VALUE"""),419)</f>
        <v/>
      </c>
    </row>
    <row r="19817">
      <c r="J19817">
        <f>IFERROR(__xludf.DUMMYFUNCTION("""COMPUTED_VALUE"""),"Colorado Springs, Colorado andJacksonville, North Carolina USA")</f>
        <v/>
      </c>
      <c r="K19817">
        <f>IFERROR(__xludf.DUMMYFUNCTION("""COMPUTED_VALUE"""),418.96)</f>
        <v/>
      </c>
    </row>
    <row r="19818">
      <c r="J19818">
        <f>IFERROR(__xludf.DUMMYFUNCTION("""COMPUTED_VALUE"""),"Montpelier, VT and Montreal, QC")</f>
        <v/>
      </c>
      <c r="K19818">
        <f>IFERROR(__xludf.DUMMYFUNCTION("""COMPUTED_VALUE"""),418.74)</f>
        <v/>
      </c>
    </row>
    <row r="19819">
      <c r="J19819">
        <f>IFERROR(__xludf.DUMMYFUNCTION("""COMPUTED_VALUE"""),"Black River and St. Leonard, New Brunswick")</f>
        <v/>
      </c>
      <c r="K19819">
        <f>IFERROR(__xludf.DUMMYFUNCTION("""COMPUTED_VALUE"""),418.25)</f>
        <v/>
      </c>
    </row>
    <row r="19820">
      <c r="J19820">
        <f>IFERROR(__xludf.DUMMYFUNCTION("""COMPUTED_VALUE"""),"Quebec City,Trois-Rivières")</f>
        <v/>
      </c>
      <c r="K19820">
        <f>IFERROR(__xludf.DUMMYFUNCTION("""COMPUTED_VALUE"""),418.22)</f>
        <v/>
      </c>
    </row>
    <row r="19821">
      <c r="J19821">
        <f>IFERROR(__xludf.DUMMYFUNCTION("""COMPUTED_VALUE"""),"Saint-Bernard-de-Lacolle, Quebec, Canada")</f>
        <v/>
      </c>
      <c r="K19821">
        <f>IFERROR(__xludf.DUMMYFUNCTION("""COMPUTED_VALUE"""),418.15)</f>
        <v/>
      </c>
    </row>
    <row r="19822">
      <c r="J19822">
        <f>IFERROR(__xludf.DUMMYFUNCTION("""COMPUTED_VALUE"""),"Rouyn-Noranda and James Bay, Quebec")</f>
        <v/>
      </c>
      <c r="K19822">
        <f>IFERROR(__xludf.DUMMYFUNCTION("""COMPUTED_VALUE"""),418.04)</f>
        <v/>
      </c>
    </row>
    <row r="19823">
      <c r="J19823">
        <f>IFERROR(__xludf.DUMMYFUNCTION("""COMPUTED_VALUE"""),"Montréal and Shawinigan, Québec")</f>
        <v/>
      </c>
      <c r="K19823">
        <f>IFERROR(__xludf.DUMMYFUNCTION("""COMPUTED_VALUE"""),416.9)</f>
        <v/>
      </c>
    </row>
    <row r="19824">
      <c r="J19824">
        <f>IFERROR(__xludf.DUMMYFUNCTION("""COMPUTED_VALUE"""),"Kingston, Ontario; Toronto, Ontario")</f>
        <v/>
      </c>
      <c r="K19824">
        <f>IFERROR(__xludf.DUMMYFUNCTION("""COMPUTED_VALUE"""),416.24)</f>
        <v/>
      </c>
    </row>
    <row r="19825">
      <c r="J19825">
        <f>IFERROR(__xludf.DUMMYFUNCTION("""COMPUTED_VALUE"""),"Québec, St-Polycarpe")</f>
        <v/>
      </c>
      <c r="K19825">
        <f>IFERROR(__xludf.DUMMYFUNCTION("""COMPUTED_VALUE"""),416.05)</f>
        <v/>
      </c>
    </row>
    <row r="19826">
      <c r="J19826">
        <f>IFERROR(__xludf.DUMMYFUNCTION("""COMPUTED_VALUE"""),"Drummondville, Roberval and Montreal, Quebec")</f>
        <v/>
      </c>
      <c r="K19826">
        <f>IFERROR(__xludf.DUMMYFUNCTION("""COMPUTED_VALUE"""),415.81)</f>
        <v/>
      </c>
    </row>
    <row r="19827">
      <c r="J19827">
        <f>IFERROR(__xludf.DUMMYFUNCTION("""COMPUTED_VALUE"""),"Montreal and Eastern Townships, Quebec")</f>
        <v/>
      </c>
      <c r="K19827">
        <f>IFERROR(__xludf.DUMMYFUNCTION("""COMPUTED_VALUE"""),415.75)</f>
        <v/>
      </c>
    </row>
    <row r="19828">
      <c r="J19828">
        <f>IFERROR(__xludf.DUMMYFUNCTION("""COMPUTED_VALUE"""),"Montréal / 
St-Marc-sur-le
-Richelieu")</f>
        <v/>
      </c>
      <c r="K19828">
        <f>IFERROR(__xludf.DUMMYFUNCTION("""COMPUTED_VALUE"""),415.16)</f>
        <v/>
      </c>
    </row>
    <row r="19829">
      <c r="J19829">
        <f>IFERROR(__xludf.DUMMYFUNCTION("""COMPUTED_VALUE"""),"Joyceville Institution")</f>
        <v/>
      </c>
      <c r="K19829">
        <f>IFERROR(__xludf.DUMMYFUNCTION("""COMPUTED_VALUE"""),415.13)</f>
        <v/>
      </c>
    </row>
    <row r="19830">
      <c r="J19830">
        <f>IFERROR(__xludf.DUMMYFUNCTION("""COMPUTED_VALUE"""),"Saint-Blaise-sur-Richelieu, Quebec, Canada")</f>
        <v/>
      </c>
      <c r="K19830">
        <f>IFERROR(__xludf.DUMMYFUNCTION("""COMPUTED_VALUE"""),415.07)</f>
        <v/>
      </c>
    </row>
    <row r="19831">
      <c r="J19831">
        <f>IFERROR(__xludf.DUMMYFUNCTION("""COMPUTED_VALUE"""),"Prince George, BC and Kelowna, BC")</f>
        <v/>
      </c>
      <c r="K19831">
        <f>IFERROR(__xludf.DUMMYFUNCTION("""COMPUTED_VALUE"""),415.04)</f>
        <v/>
      </c>
    </row>
    <row r="19832">
      <c r="J19832">
        <f>IFERROR(__xludf.DUMMYFUNCTION("""COMPUTED_VALUE"""),"Shawinigan , Quebec, Canada")</f>
        <v/>
      </c>
      <c r="K19832">
        <f>IFERROR(__xludf.DUMMYFUNCTION("""COMPUTED_VALUE"""),414.979999999999)</f>
        <v/>
      </c>
    </row>
    <row r="19833">
      <c r="J19833">
        <f>IFERROR(__xludf.DUMMYFUNCTION("""COMPUTED_VALUE"""),"Gatineau,Quebec, Canada")</f>
        <v/>
      </c>
      <c r="K19833">
        <f>IFERROR(__xludf.DUMMYFUNCTION("""COMPUTED_VALUE"""),414.92)</f>
        <v/>
      </c>
    </row>
    <row r="19834">
      <c r="J19834">
        <f>IFERROR(__xludf.DUMMYFUNCTION("""COMPUTED_VALUE"""),"OROMOCTO, NB, CANADA")</f>
        <v/>
      </c>
      <c r="K19834">
        <f>IFERROR(__xludf.DUMMYFUNCTION("""COMPUTED_VALUE"""),414.38)</f>
        <v/>
      </c>
    </row>
    <row r="19835">
      <c r="J19835">
        <f>IFERROR(__xludf.DUMMYFUNCTION("""COMPUTED_VALUE"""),"Niagra-on-the-Lake, Ontario, Canada")</f>
        <v/>
      </c>
      <c r="K19835">
        <f>IFERROR(__xludf.DUMMYFUNCTION("""COMPUTED_VALUE"""),414.12)</f>
        <v/>
      </c>
    </row>
    <row r="19836">
      <c r="J19836">
        <f>IFERROR(__xludf.DUMMYFUNCTION("""COMPUTED_VALUE"""),"Bridgewater, Lunenburg and Bridgewater, Nova Scotia, Canada")</f>
        <v/>
      </c>
      <c r="K19836">
        <f>IFERROR(__xludf.DUMMYFUNCTION("""COMPUTED_VALUE"""),413.53)</f>
        <v/>
      </c>
    </row>
    <row r="19837">
      <c r="J19837">
        <f>IFERROR(__xludf.DUMMYFUNCTION("""COMPUTED_VALUE"""),"Trenton")</f>
        <v/>
      </c>
      <c r="K19837">
        <f>IFERROR(__xludf.DUMMYFUNCTION("""COMPUTED_VALUE"""),413.34)</f>
        <v/>
      </c>
    </row>
    <row r="19838">
      <c r="J19838">
        <f>IFERROR(__xludf.DUMMYFUNCTION("""COMPUTED_VALUE"""),"Baddeck")</f>
        <v/>
      </c>
      <c r="K19838">
        <f>IFERROR(__xludf.DUMMYFUNCTION("""COMPUTED_VALUE"""),413.09)</f>
        <v/>
      </c>
    </row>
    <row r="19839">
      <c r="J19839">
        <f>IFERROR(__xludf.DUMMYFUNCTION("""COMPUTED_VALUE"""),"Québec/Trois Rivières")</f>
        <v/>
      </c>
      <c r="K19839">
        <f>IFERROR(__xludf.DUMMYFUNCTION("""COMPUTED_VALUE"""),412.84)</f>
        <v/>
      </c>
    </row>
    <row r="19840">
      <c r="J19840">
        <f>IFERROR(__xludf.DUMMYFUNCTION("""COMPUTED_VALUE"""),"Maniwaki")</f>
        <v/>
      </c>
      <c r="K19840">
        <f>IFERROR(__xludf.DUMMYFUNCTION("""COMPUTED_VALUE"""),411.94)</f>
        <v/>
      </c>
    </row>
    <row r="19841">
      <c r="J19841">
        <f>IFERROR(__xludf.DUMMYFUNCTION("""COMPUTED_VALUE"""),"Listuguj, Quebec")</f>
        <v/>
      </c>
      <c r="K19841">
        <f>IFERROR(__xludf.DUMMYFUNCTION("""COMPUTED_VALUE"""),411.9)</f>
        <v/>
      </c>
    </row>
    <row r="19842">
      <c r="J19842">
        <f>IFERROR(__xludf.DUMMYFUNCTION("""COMPUTED_VALUE"""),"Brossard (Quebec) Canada")</f>
        <v/>
      </c>
      <c r="K19842">
        <f>IFERROR(__xludf.DUMMYFUNCTION("""COMPUTED_VALUE"""),411.77)</f>
        <v/>
      </c>
    </row>
    <row r="19843">
      <c r="J19843">
        <f>IFERROR(__xludf.DUMMYFUNCTION("""COMPUTED_VALUE"""),"Moncton, NB - Ottawa, ON")</f>
        <v/>
      </c>
      <c r="K19843">
        <f>IFERROR(__xludf.DUMMYFUNCTION("""COMPUTED_VALUE"""),411.6)</f>
        <v/>
      </c>
    </row>
    <row r="19844">
      <c r="J19844">
        <f>IFERROR(__xludf.DUMMYFUNCTION("""COMPUTED_VALUE"""),"Prévost, Laval")</f>
        <v/>
      </c>
      <c r="K19844">
        <f>IFERROR(__xludf.DUMMYFUNCTION("""COMPUTED_VALUE"""),411.54)</f>
        <v/>
      </c>
    </row>
    <row r="19845">
      <c r="J19845">
        <f>IFERROR(__xludf.DUMMYFUNCTION("""COMPUTED_VALUE"""),"Muskoka, Ontario")</f>
        <v/>
      </c>
      <c r="K19845">
        <f>IFERROR(__xludf.DUMMYFUNCTION("""COMPUTED_VALUE"""),411.4)</f>
        <v/>
      </c>
    </row>
    <row r="19846">
      <c r="J19846">
        <f>IFERROR(__xludf.DUMMYFUNCTION("""COMPUTED_VALUE"""),"Bagotville QC")</f>
        <v/>
      </c>
      <c r="K19846">
        <f>IFERROR(__xludf.DUMMYFUNCTION("""COMPUTED_VALUE"""),410.89)</f>
        <v/>
      </c>
    </row>
    <row r="19847">
      <c r="J19847">
        <f>IFERROR(__xludf.DUMMYFUNCTION("""COMPUTED_VALUE"""),"Borden and Charlottetown, Prince Edward Island")</f>
        <v/>
      </c>
      <c r="K19847">
        <f>IFERROR(__xludf.DUMMYFUNCTION("""COMPUTED_VALUE"""),410.74)</f>
        <v/>
      </c>
    </row>
    <row r="19848">
      <c r="J19848">
        <f>IFERROR(__xludf.DUMMYFUNCTION("""COMPUTED_VALUE"""),"Barrie, Ontario, Canada; London, Ontario, Canada; Windsor, Ontario, Canada")</f>
        <v/>
      </c>
      <c r="K19848">
        <f>IFERROR(__xludf.DUMMYFUNCTION("""COMPUTED_VALUE"""),410.27)</f>
        <v/>
      </c>
    </row>
    <row r="19849">
      <c r="J19849">
        <f>IFERROR(__xludf.DUMMYFUNCTION("""COMPUTED_VALUE"""),"Mascouche, QC")</f>
        <v/>
      </c>
      <c r="K19849">
        <f>IFERROR(__xludf.DUMMYFUNCTION("""COMPUTED_VALUE"""),410)</f>
        <v/>
      </c>
    </row>
    <row r="19850">
      <c r="J19850">
        <f>IFERROR(__xludf.DUMMYFUNCTION("""COMPUTED_VALUE"""),"St-Hubert")</f>
        <v/>
      </c>
      <c r="K19850">
        <f>IFERROR(__xludf.DUMMYFUNCTION("""COMPUTED_VALUE"""),409.6)</f>
        <v/>
      </c>
    </row>
    <row r="19851">
      <c r="J19851">
        <f>IFERROR(__xludf.DUMMYFUNCTION("""COMPUTED_VALUE"""),"Rivière-du-Loup, Quebec")</f>
        <v/>
      </c>
      <c r="K19851">
        <f>IFERROR(__xludf.DUMMYFUNCTION("""COMPUTED_VALUE"""),409.57)</f>
        <v/>
      </c>
    </row>
    <row r="19852">
      <c r="J19852">
        <f>IFERROR(__xludf.DUMMYFUNCTION("""COMPUTED_VALUE"""),"Charlottetown, Prince Edward Island, Canada; Montague, Prince Edward Island, Canada; O'Leary, Prince Edward Island, Canada; Lennox Island, Prince Edward Island, Canada; Tignish, Prince Edward Island, Canada; Tyne Valley, Prince Edward Island, Canada; Murr"&amp;"ay River, Prince Edward Island, Canada; Wood Islands, Prince Edward Island, Canada; Brudenell, Prince Edward Island, Canada")</f>
        <v/>
      </c>
      <c r="K19852">
        <f>IFERROR(__xludf.DUMMYFUNCTION("""COMPUTED_VALUE"""),408.92)</f>
        <v/>
      </c>
    </row>
    <row r="19853">
      <c r="J19853">
        <f>IFERROR(__xludf.DUMMYFUNCTION("""COMPUTED_VALUE"""),"Trois-Rivières, Gaspé")</f>
        <v/>
      </c>
      <c r="K19853">
        <f>IFERROR(__xludf.DUMMYFUNCTION("""COMPUTED_VALUE"""),408.87)</f>
        <v/>
      </c>
    </row>
    <row r="19854">
      <c r="J19854">
        <f>IFERROR(__xludf.DUMMYFUNCTION("""COMPUTED_VALUE"""),"Montreal, Quebec; Gaspé, Quebec, Canada")</f>
        <v/>
      </c>
      <c r="K19854">
        <f>IFERROR(__xludf.DUMMYFUNCTION("""COMPUTED_VALUE"""),408.48)</f>
        <v/>
      </c>
    </row>
    <row r="19855">
      <c r="J19855">
        <f>IFERROR(__xludf.DUMMYFUNCTION("""COMPUTED_VALUE"""),"Saint Hyacinthe, QC")</f>
        <v/>
      </c>
      <c r="K19855">
        <f>IFERROR(__xludf.DUMMYFUNCTION("""COMPUTED_VALUE"""),408.45)</f>
        <v/>
      </c>
    </row>
    <row r="19856">
      <c r="J19856">
        <f>IFERROR(__xludf.DUMMYFUNCTION("""COMPUTED_VALUE"""),"Ottawa, ON, Montreal, St-Hyacinthe et St-Hubert, QC")</f>
        <v/>
      </c>
      <c r="K19856">
        <f>IFERROR(__xludf.DUMMYFUNCTION("""COMPUTED_VALUE"""),408.25)</f>
        <v/>
      </c>
    </row>
    <row r="19857">
      <c r="J19857">
        <f>IFERROR(__xludf.DUMMYFUNCTION("""COMPUTED_VALUE"""),"Windsor, ON &amp; Detroit, USA")</f>
        <v/>
      </c>
      <c r="K19857">
        <f>IFERROR(__xludf.DUMMYFUNCTION("""COMPUTED_VALUE"""),408.11)</f>
        <v/>
      </c>
    </row>
    <row r="19858">
      <c r="J19858">
        <f>IFERROR(__xludf.DUMMYFUNCTION("""COMPUTED_VALUE"""),"Haiti &amp; Santo Domingo (ICA Fund)")</f>
        <v/>
      </c>
      <c r="K19858">
        <f>IFERROR(__xludf.DUMMYFUNCTION("""COMPUTED_VALUE"""),408.08)</f>
        <v/>
      </c>
    </row>
    <row r="19859">
      <c r="J19859">
        <f>IFERROR(__xludf.DUMMYFUNCTION("""COMPUTED_VALUE"""),"Maastricht, The Netherlands")</f>
        <v/>
      </c>
      <c r="K19859">
        <f>IFERROR(__xludf.DUMMYFUNCTION("""COMPUTED_VALUE"""),406.97)</f>
        <v/>
      </c>
    </row>
    <row r="19860">
      <c r="J19860">
        <f>IFERROR(__xludf.DUMMYFUNCTION("""COMPUTED_VALUE"""),"Moncton, New Brunswick and Mont-Joli, Quebec")</f>
        <v/>
      </c>
      <c r="K19860">
        <f>IFERROR(__xludf.DUMMYFUNCTION("""COMPUTED_VALUE"""),406.73)</f>
        <v/>
      </c>
    </row>
    <row r="19861">
      <c r="J19861">
        <f>IFERROR(__xludf.DUMMYFUNCTION("""COMPUTED_VALUE"""),"Mont-Saint-Hilaire")</f>
        <v/>
      </c>
      <c r="K19861">
        <f>IFERROR(__xludf.DUMMYFUNCTION("""COMPUTED_VALUE"""),406.69)</f>
        <v/>
      </c>
    </row>
    <row r="19862">
      <c r="J19862">
        <f>IFERROR(__xludf.DUMMYFUNCTION("""COMPUTED_VALUE"""),"Vancouver and Nanaimo British Columbia")</f>
        <v/>
      </c>
      <c r="K19862">
        <f>IFERROR(__xludf.DUMMYFUNCTION("""COMPUTED_VALUE"""),406.68)</f>
        <v/>
      </c>
    </row>
    <row r="19863">
      <c r="J19863">
        <f>IFERROR(__xludf.DUMMYFUNCTION("""COMPUTED_VALUE"""),"Kitchener, Ontario;
Gravenhurst, Ontario;
Kingston, Ontario")</f>
        <v/>
      </c>
      <c r="K19863">
        <f>IFERROR(__xludf.DUMMYFUNCTION("""COMPUTED_VALUE"""),406.52)</f>
        <v/>
      </c>
    </row>
    <row r="19864">
      <c r="J19864">
        <f>IFERROR(__xludf.DUMMYFUNCTION("""COMPUTED_VALUE"""),"Peterborough, On")</f>
        <v/>
      </c>
      <c r="K19864">
        <f>IFERROR(__xludf.DUMMYFUNCTION("""COMPUTED_VALUE"""),406.38)</f>
        <v/>
      </c>
    </row>
    <row r="19865">
      <c r="J19865">
        <f>IFERROR(__xludf.DUMMYFUNCTION("""COMPUTED_VALUE"""),"Drumondville, Quebec, Canada")</f>
        <v/>
      </c>
      <c r="K19865">
        <f>IFERROR(__xludf.DUMMYFUNCTION("""COMPUTED_VALUE"""),406.22)</f>
        <v/>
      </c>
    </row>
    <row r="19866">
      <c r="J19866">
        <f>IFERROR(__xludf.DUMMYFUNCTION("""COMPUTED_VALUE"""),"Xalapa, Veracruz")</f>
        <v/>
      </c>
      <c r="K19866">
        <f>IFERROR(__xludf.DUMMYFUNCTION("""COMPUTED_VALUE"""),406.12)</f>
        <v/>
      </c>
    </row>
    <row r="19867">
      <c r="J19867">
        <f>IFERROR(__xludf.DUMMYFUNCTION("""COMPUTED_VALUE"""),"Goiania, Goias State")</f>
        <v/>
      </c>
      <c r="K19867">
        <f>IFERROR(__xludf.DUMMYFUNCTION("""COMPUTED_VALUE"""),405.85)</f>
        <v/>
      </c>
    </row>
    <row r="19868">
      <c r="J19868">
        <f>IFERROR(__xludf.DUMMYFUNCTION("""COMPUTED_VALUE"""),"Montréal et Shawinigan, Québec")</f>
        <v/>
      </c>
      <c r="K19868">
        <f>IFERROR(__xludf.DUMMYFUNCTION("""COMPUTED_VALUE"""),405.8)</f>
        <v/>
      </c>
    </row>
    <row r="19869">
      <c r="J19869">
        <f>IFERROR(__xludf.DUMMYFUNCTION("""COMPUTED_VALUE"""),"Montréal, Quebec, Canada; Lennoxville, Quebec, Canada; Saint-Gédéon, Quebec, Canada")</f>
        <v/>
      </c>
      <c r="K19869">
        <f>IFERROR(__xludf.DUMMYFUNCTION("""COMPUTED_VALUE"""),405.61)</f>
        <v/>
      </c>
    </row>
    <row r="19870">
      <c r="J19870">
        <f>IFERROR(__xludf.DUMMYFUNCTION("""COMPUTED_VALUE"""),"Grand Falls-Windsor, Newfoundland and Labrador, Canada; Springdale, Newfoundland and Labrador, Canada")</f>
        <v/>
      </c>
      <c r="K19870">
        <f>IFERROR(__xludf.DUMMYFUNCTION("""COMPUTED_VALUE"""),405.4)</f>
        <v/>
      </c>
    </row>
    <row r="19871">
      <c r="J19871">
        <f>IFERROR(__xludf.DUMMYFUNCTION("""COMPUTED_VALUE"""),"Kentville, Nova Scotia;
Halifax, Nova Scotia;
Dartmouth, Nova Scotia")</f>
        <v/>
      </c>
      <c r="K19871">
        <f>IFERROR(__xludf.DUMMYFUNCTION("""COMPUTED_VALUE"""),405.33)</f>
        <v/>
      </c>
    </row>
    <row r="19872">
      <c r="J19872">
        <f>IFERROR(__xludf.DUMMYFUNCTION("""COMPUTED_VALUE"""),"Sarajevo, Bosnia and Herzegovina")</f>
        <v/>
      </c>
      <c r="K19872">
        <f>IFERROR(__xludf.DUMMYFUNCTION("""COMPUTED_VALUE"""),405.03)</f>
        <v/>
      </c>
    </row>
    <row r="19873">
      <c r="J19873">
        <f>IFERROR(__xludf.DUMMYFUNCTION("""COMPUTED_VALUE"""),"Québec, Quebec, Canada; Lévis, Quebec, Canada; Montréal, Quebec, Canada")</f>
        <v/>
      </c>
      <c r="K19873">
        <f>IFERROR(__xludf.DUMMYFUNCTION("""COMPUTED_VALUE"""),404.05)</f>
        <v/>
      </c>
    </row>
    <row r="19874">
      <c r="J19874">
        <f>IFERROR(__xludf.DUMMYFUNCTION("""COMPUTED_VALUE"""),"Trois-Rivières, Roberval, Québec")</f>
        <v/>
      </c>
      <c r="K19874">
        <f>IFERROR(__xludf.DUMMYFUNCTION("""COMPUTED_VALUE"""),403.94)</f>
        <v/>
      </c>
    </row>
    <row r="19875">
      <c r="J19875">
        <f>IFERROR(__xludf.DUMMYFUNCTION("""COMPUTED_VALUE"""),"Matane, Quebec Gaspé, Quebec et Rimouski, Quebec")</f>
        <v/>
      </c>
      <c r="K19875">
        <f>IFERROR(__xludf.DUMMYFUNCTION("""COMPUTED_VALUE"""),403.76)</f>
        <v/>
      </c>
    </row>
    <row r="19876">
      <c r="J19876">
        <f>IFERROR(__xludf.DUMMYFUNCTION("""COMPUTED_VALUE"""),"Saint-Félix-de-Valois, Quebec, Canada; Saint-Jérôme, Quebec, Canada; Saint-Joseph-du-Lac, Quebec, Canada")</f>
        <v/>
      </c>
      <c r="K19876">
        <f>IFERROR(__xludf.DUMMYFUNCTION("""COMPUTED_VALUE"""),403.25)</f>
        <v/>
      </c>
    </row>
    <row r="19877">
      <c r="J19877">
        <f>IFERROR(__xludf.DUMMYFUNCTION("""COMPUTED_VALUE"""),"Cambodia; Bali, Indonesia; Thailand")</f>
        <v/>
      </c>
      <c r="K19877">
        <f>IFERROR(__xludf.DUMMYFUNCTION("""COMPUTED_VALUE"""),402.85)</f>
        <v/>
      </c>
    </row>
    <row r="19878">
      <c r="J19878">
        <f>IFERROR(__xludf.DUMMYFUNCTION("""COMPUTED_VALUE"""),"Montreal, Quebec and Kingston, Ontario, Canada")</f>
        <v/>
      </c>
      <c r="K19878">
        <f>IFERROR(__xludf.DUMMYFUNCTION("""COMPUTED_VALUE"""),402.8)</f>
        <v/>
      </c>
    </row>
    <row r="19879">
      <c r="J19879">
        <f>IFERROR(__xludf.DUMMYFUNCTION("""COMPUTED_VALUE"""),"Richmond Hill, ON")</f>
        <v/>
      </c>
      <c r="K19879">
        <f>IFERROR(__xludf.DUMMYFUNCTION("""COMPUTED_VALUE"""),402.6)</f>
        <v/>
      </c>
    </row>
    <row r="19880">
      <c r="J19880">
        <f>IFERROR(__xludf.DUMMYFUNCTION("""COMPUTED_VALUE"""),"Red Deer, Alberta;
Drumheller, Alberta")</f>
        <v/>
      </c>
      <c r="K19880">
        <f>IFERROR(__xludf.DUMMYFUNCTION("""COMPUTED_VALUE"""),402.57)</f>
        <v/>
      </c>
    </row>
    <row r="19881">
      <c r="J19881">
        <f>IFERROR(__xludf.DUMMYFUNCTION("""COMPUTED_VALUE"""),"Six Nations of the Grand River, Ontario")</f>
        <v/>
      </c>
      <c r="K19881">
        <f>IFERROR(__xludf.DUMMYFUNCTION("""COMPUTED_VALUE"""),402.56)</f>
        <v/>
      </c>
    </row>
    <row r="19882">
      <c r="J19882">
        <f>IFERROR(__xludf.DUMMYFUNCTION("""COMPUTED_VALUE"""),"Summerside, Prince Edward Island, Canada  and Halifax, Nova Scotia, Canada")</f>
        <v/>
      </c>
      <c r="K19882">
        <f>IFERROR(__xludf.DUMMYFUNCTION("""COMPUTED_VALUE"""),402.21)</f>
        <v/>
      </c>
    </row>
    <row r="19883">
      <c r="J19883">
        <f>IFERROR(__xludf.DUMMYFUNCTION("""COMPUTED_VALUE"""),"Comox  (British Columbia), Victoria (British Columbia), Esquimalt (British Columbia) Canada")</f>
        <v/>
      </c>
      <c r="K19883">
        <f>IFERROR(__xludf.DUMMYFUNCTION("""COMPUTED_VALUE"""),402)</f>
        <v/>
      </c>
    </row>
    <row r="19884">
      <c r="J19884">
        <f>IFERROR(__xludf.DUMMYFUNCTION("""COMPUTED_VALUE"""),"Montréal and Quebec, Quebec")</f>
        <v/>
      </c>
      <c r="K19884">
        <f>IFERROR(__xludf.DUMMYFUNCTION("""COMPUTED_VALUE"""),401.87)</f>
        <v/>
      </c>
    </row>
    <row r="19885">
      <c r="J19885">
        <f>IFERROR(__xludf.DUMMYFUNCTION("""COMPUTED_VALUE"""),"Akwesasne, New york, USA")</f>
        <v/>
      </c>
      <c r="K19885">
        <f>IFERROR(__xludf.DUMMYFUNCTION("""COMPUTED_VALUE"""),401.75)</f>
        <v/>
      </c>
    </row>
    <row r="19886">
      <c r="J19886">
        <f>IFERROR(__xludf.DUMMYFUNCTION("""COMPUTED_VALUE"""),"Grenville, Quebec, Canada")</f>
        <v/>
      </c>
      <c r="K19886">
        <f>IFERROR(__xludf.DUMMYFUNCTION("""COMPUTED_VALUE"""),401.6)</f>
        <v/>
      </c>
    </row>
    <row r="19887">
      <c r="J19887">
        <f>IFERROR(__xludf.DUMMYFUNCTION("""COMPUTED_VALUE"""),"New Orleans, United States")</f>
        <v/>
      </c>
      <c r="K19887">
        <f>IFERROR(__xludf.DUMMYFUNCTION("""COMPUTED_VALUE"""),400.82)</f>
        <v/>
      </c>
    </row>
    <row r="19888">
      <c r="J19888">
        <f>IFERROR(__xludf.DUMMYFUNCTION("""COMPUTED_VALUE"""),"Port Alberni, British Columbia, Canada")</f>
        <v/>
      </c>
      <c r="K19888">
        <f>IFERROR(__xludf.DUMMYFUNCTION("""COMPUTED_VALUE"""),400.8)</f>
        <v/>
      </c>
    </row>
    <row r="19889">
      <c r="J19889">
        <f>IFERROR(__xludf.DUMMYFUNCTION("""COMPUTED_VALUE"""),"Rockland, Ontario, Canada; Guelph, Ontario, Canada")</f>
        <v/>
      </c>
      <c r="K19889">
        <f>IFERROR(__xludf.DUMMYFUNCTION("""COMPUTED_VALUE"""),400.55)</f>
        <v/>
      </c>
    </row>
    <row r="19890">
      <c r="J19890">
        <f>IFERROR(__xludf.DUMMYFUNCTION("""COMPUTED_VALUE"""),"Ramstein, Germany &amp; Aberdeen, Scotland")</f>
        <v/>
      </c>
      <c r="K19890">
        <f>IFERROR(__xludf.DUMMYFUNCTION("""COMPUTED_VALUE"""),400.27)</f>
        <v/>
      </c>
    </row>
    <row r="19891">
      <c r="J19891">
        <f>IFERROR(__xludf.DUMMYFUNCTION("""COMPUTED_VALUE"""),"Bromont, Quebec, (Canada)")</f>
        <v/>
      </c>
      <c r="K19891">
        <f>IFERROR(__xludf.DUMMYFUNCTION("""COMPUTED_VALUE"""),400.25)</f>
        <v/>
      </c>
    </row>
    <row r="19892">
      <c r="J19892">
        <f>IFERROR(__xludf.DUMMYFUNCTION("""COMPUTED_VALUE"""),"Stoney Lake, Ontario, Canada")</f>
        <v/>
      </c>
      <c r="K19892">
        <f>IFERROR(__xludf.DUMMYFUNCTION("""COMPUTED_VALUE"""),400.06)</f>
        <v/>
      </c>
    </row>
    <row r="19893">
      <c r="J19893">
        <f>IFERROR(__xludf.DUMMYFUNCTION("""COMPUTED_VALUE"""),"Halifax, NS, Wolfville, NS")</f>
        <v/>
      </c>
      <c r="K19893">
        <f>IFERROR(__xludf.DUMMYFUNCTION("""COMPUTED_VALUE"""),400.05)</f>
        <v/>
      </c>
    </row>
    <row r="19894">
      <c r="J19894">
        <f>IFERROR(__xludf.DUMMYFUNCTION("""COMPUTED_VALUE"""),"Arusha, Tanzania")</f>
        <v/>
      </c>
      <c r="K19894">
        <f>IFERROR(__xludf.DUMMYFUNCTION("""COMPUTED_VALUE"""),400)</f>
        <v/>
      </c>
    </row>
    <row r="19895">
      <c r="J19895">
        <f>IFERROR(__xludf.DUMMYFUNCTION("""COMPUTED_VALUE"""),"St. John's and surrounding area, Newfoundland and Labrador")</f>
        <v/>
      </c>
      <c r="K19895">
        <f>IFERROR(__xludf.DUMMYFUNCTION("""COMPUTED_VALUE"""),399.97)</f>
        <v/>
      </c>
    </row>
    <row r="19896">
      <c r="J19896">
        <f>IFERROR(__xludf.DUMMYFUNCTION("""COMPUTED_VALUE"""),"Port Colborne, Ontario, Canada")</f>
        <v/>
      </c>
      <c r="K19896">
        <f>IFERROR(__xludf.DUMMYFUNCTION("""COMPUTED_VALUE"""),399.81)</f>
        <v/>
      </c>
    </row>
    <row r="19897">
      <c r="J19897">
        <f>IFERROR(__xludf.DUMMYFUNCTION("""COMPUTED_VALUE"""),"Campbell River and Victoria, New Brunswick")</f>
        <v/>
      </c>
      <c r="K19897">
        <f>IFERROR(__xludf.DUMMYFUNCTION("""COMPUTED_VALUE"""),399.74)</f>
        <v/>
      </c>
    </row>
    <row r="19898">
      <c r="J19898">
        <f>IFERROR(__xludf.DUMMYFUNCTION("""COMPUTED_VALUE"""),"Smith Falls, Ontario, Canada")</f>
        <v/>
      </c>
      <c r="K19898">
        <f>IFERROR(__xludf.DUMMYFUNCTION("""COMPUTED_VALUE"""),399.63)</f>
        <v/>
      </c>
    </row>
    <row r="19899">
      <c r="J19899">
        <f>IFERROR(__xludf.DUMMYFUNCTION("""COMPUTED_VALUE"""),"Caledonia, NS")</f>
        <v/>
      </c>
      <c r="K19899">
        <f>IFERROR(__xludf.DUMMYFUNCTION("""COMPUTED_VALUE"""),399.35)</f>
        <v/>
      </c>
    </row>
    <row r="19900">
      <c r="J19900">
        <f>IFERROR(__xludf.DUMMYFUNCTION("""COMPUTED_VALUE"""),"Greenwood (Nova Scotia) Canada        Halifax (Nova Scotia) Canada     Gander (Newfoundland and Labrador) Canada")</f>
        <v/>
      </c>
      <c r="K19900">
        <f>IFERROR(__xludf.DUMMYFUNCTION("""COMPUTED_VALUE"""),399.31)</f>
        <v/>
      </c>
    </row>
    <row r="19901">
      <c r="J19901">
        <f>IFERROR(__xludf.DUMMYFUNCTION("""COMPUTED_VALUE"""),"Washington, District of Columbia, United States New York, New York, United States")</f>
        <v/>
      </c>
      <c r="K19901">
        <f>IFERROR(__xludf.DUMMYFUNCTION("""COMPUTED_VALUE"""),399.03)</f>
        <v/>
      </c>
    </row>
    <row r="19902">
      <c r="J19902">
        <f>IFERROR(__xludf.DUMMYFUNCTION("""COMPUTED_VALUE"""),"Saint-Henri, Sainte-Marthe, QC")</f>
        <v/>
      </c>
      <c r="K19902">
        <f>IFERROR(__xludf.DUMMYFUNCTION("""COMPUTED_VALUE"""),398.58)</f>
        <v/>
      </c>
    </row>
    <row r="19903">
      <c r="J19903">
        <f>IFERROR(__xludf.DUMMYFUNCTION("""COMPUTED_VALUE"""),"Montreal and Rigaud, Quebec, Canada")</f>
        <v/>
      </c>
      <c r="K19903">
        <f>IFERROR(__xludf.DUMMYFUNCTION("""COMPUTED_VALUE"""),398.55)</f>
        <v/>
      </c>
    </row>
    <row r="19904">
      <c r="J19904">
        <f>IFERROR(__xludf.DUMMYFUNCTION("""COMPUTED_VALUE"""),"Noordwijk, Netherlands")</f>
        <v/>
      </c>
      <c r="K19904">
        <f>IFERROR(__xludf.DUMMYFUNCTION("""COMPUTED_VALUE"""),398.14)</f>
        <v/>
      </c>
    </row>
    <row r="19905">
      <c r="J19905">
        <f>IFERROR(__xludf.DUMMYFUNCTION("""COMPUTED_VALUE"""),"Deerhurst, Ontario, Canada; Huntsville, Ontario, Canada")</f>
        <v/>
      </c>
      <c r="K19905">
        <f>IFERROR(__xludf.DUMMYFUNCTION("""COMPUTED_VALUE"""),397.59)</f>
        <v/>
      </c>
    </row>
    <row r="19906">
      <c r="J19906">
        <f>IFERROR(__xludf.DUMMYFUNCTION("""COMPUTED_VALUE"""),"Richibucto, NB Saint John, NB Gagetown, NB")</f>
        <v/>
      </c>
      <c r="K19906">
        <f>IFERROR(__xludf.DUMMYFUNCTION("""COMPUTED_VALUE"""),396.93)</f>
        <v/>
      </c>
    </row>
    <row r="19907">
      <c r="J19907">
        <f>IFERROR(__xludf.DUMMYFUNCTION("""COMPUTED_VALUE"""),"Tantallon, Dartmouth and Shelburne, Nova Scotia, Canada")</f>
        <v/>
      </c>
      <c r="K19907">
        <f>IFERROR(__xludf.DUMMYFUNCTION("""COMPUTED_VALUE"""),396.78)</f>
        <v/>
      </c>
    </row>
    <row r="19908">
      <c r="J19908">
        <f>IFERROR(__xludf.DUMMYFUNCTION("""COMPUTED_VALUE"""),"Kamloops BC")</f>
        <v/>
      </c>
      <c r="K19908">
        <f>IFERROR(__xludf.DUMMYFUNCTION("""COMPUTED_VALUE"""),396.27)</f>
        <v/>
      </c>
    </row>
    <row r="19909">
      <c r="J19909">
        <f>IFERROR(__xludf.DUMMYFUNCTION("""COMPUTED_VALUE"""),"Fort Garry Hotel, Winnipeg Manitoba")</f>
        <v/>
      </c>
      <c r="K19909">
        <f>IFERROR(__xludf.DUMMYFUNCTION("""COMPUTED_VALUE"""),395.83)</f>
        <v/>
      </c>
    </row>
    <row r="19910">
      <c r="J19910">
        <f>IFERROR(__xludf.DUMMYFUNCTION("""COMPUTED_VALUE"""),"Vaudreuil-Dorion (Quebec) Canada")</f>
        <v/>
      </c>
      <c r="K19910">
        <f>IFERROR(__xludf.DUMMYFUNCTION("""COMPUTED_VALUE"""),395.57)</f>
        <v/>
      </c>
    </row>
    <row r="19911">
      <c r="J19911">
        <f>IFERROR(__xludf.DUMMYFUNCTION("""COMPUTED_VALUE"""),"Montague, Prince Edward Island, Canada; Wellington, Prince Edward Island, Canada; Summerside, Prince Edward Island, Canada; Souris, Prince Edward Island, Canada; O'Leary, Prince Edward Island, Canada")</f>
        <v/>
      </c>
      <c r="K19911">
        <f>IFERROR(__xludf.DUMMYFUNCTION("""COMPUTED_VALUE"""),395.21)</f>
        <v/>
      </c>
    </row>
    <row r="19912">
      <c r="J19912">
        <f>IFERROR(__xludf.DUMMYFUNCTION("""COMPUTED_VALUE"""),"Southwest Nova Scotia")</f>
        <v/>
      </c>
      <c r="K19912">
        <f>IFERROR(__xludf.DUMMYFUNCTION("""COMPUTED_VALUE"""),394.8)</f>
        <v/>
      </c>
    </row>
    <row r="19913">
      <c r="J19913">
        <f>IFERROR(__xludf.DUMMYFUNCTION("""COMPUTED_VALUE"""),"Montreal (Quebec) Canada
Laval (Quebec) Canada
Montebello (Quebec) Canada
Saint-Hyacinthe (Quebec) Canada")</f>
        <v/>
      </c>
      <c r="K19913">
        <f>IFERROR(__xludf.DUMMYFUNCTION("""COMPUTED_VALUE"""),394.74)</f>
        <v/>
      </c>
    </row>
    <row r="19914">
      <c r="J19914">
        <f>IFERROR(__xludf.DUMMYFUNCTION("""COMPUTED_VALUE"""),"Ludhiana &amp; Amritsar")</f>
        <v/>
      </c>
      <c r="K19914">
        <f>IFERROR(__xludf.DUMMYFUNCTION("""COMPUTED_VALUE"""),394.64)</f>
        <v/>
      </c>
    </row>
    <row r="19915">
      <c r="J19915">
        <f>IFERROR(__xludf.DUMMYFUNCTION("""COMPUTED_VALUE"""),"Tbilisi - Georgia")</f>
        <v/>
      </c>
      <c r="K19915">
        <f>IFERROR(__xludf.DUMMYFUNCTION("""COMPUTED_VALUE"""),393.92)</f>
        <v/>
      </c>
    </row>
    <row r="19916">
      <c r="J19916">
        <f>IFERROR(__xludf.DUMMYFUNCTION("""COMPUTED_VALUE"""),"Amherst, Nova Scotia and Moncton, New Brunswick")</f>
        <v/>
      </c>
      <c r="K19916">
        <f>IFERROR(__xludf.DUMMYFUNCTION("""COMPUTED_VALUE"""),393.91)</f>
        <v/>
      </c>
    </row>
    <row r="19917">
      <c r="J19917">
        <f>IFERROR(__xludf.DUMMYFUNCTION("""COMPUTED_VALUE"""),"Rome - Italy")</f>
        <v/>
      </c>
      <c r="K19917">
        <f>IFERROR(__xludf.DUMMYFUNCTION("""COMPUTED_VALUE"""),393.61)</f>
        <v/>
      </c>
    </row>
    <row r="19918">
      <c r="J19918">
        <f>IFERROR(__xludf.DUMMYFUNCTION("""COMPUTED_VALUE"""),"Milan, IT")</f>
        <v/>
      </c>
      <c r="K19918">
        <f>IFERROR(__xludf.DUMMYFUNCTION("""COMPUTED_VALUE"""),392.66)</f>
        <v/>
      </c>
    </row>
    <row r="19919">
      <c r="J19919">
        <f>IFERROR(__xludf.DUMMYFUNCTION("""COMPUTED_VALUE"""),"Toronto, ON; Saint John, NB")</f>
        <v/>
      </c>
      <c r="K19919">
        <f>IFERROR(__xludf.DUMMYFUNCTION("""COMPUTED_VALUE"""),392.38)</f>
        <v/>
      </c>
    </row>
    <row r="19920">
      <c r="J19920">
        <f>IFERROR(__xludf.DUMMYFUNCTION("""COMPUTED_VALUE"""),"Verdun, Quebec, Canada; La Malbaie, Quebec, Canada; Québec, Quebec, Canada; Montréal, Quebec, Canada")</f>
        <v/>
      </c>
      <c r="K19920">
        <f>IFERROR(__xludf.DUMMYFUNCTION("""COMPUTED_VALUE"""),392.35)</f>
        <v/>
      </c>
    </row>
    <row r="19921">
      <c r="J19921">
        <f>IFERROR(__xludf.DUMMYFUNCTION("""COMPUTED_VALUE"""),"GATINEAU, OTTAWA, Québec City, OTTAWA, GATINEAU")</f>
        <v/>
      </c>
      <c r="K19921">
        <f>IFERROR(__xludf.DUMMYFUNCTION("""COMPUTED_VALUE"""),392.23)</f>
        <v/>
      </c>
    </row>
    <row r="19922">
      <c r="J19922">
        <f>IFERROR(__xludf.DUMMYFUNCTION("""COMPUTED_VALUE"""),"Saint-Gabriel-de-Brandon, Quebec, Canada; Saint-Cléophas, Quebec, Canada")</f>
        <v/>
      </c>
      <c r="K19922">
        <f>IFERROR(__xludf.DUMMYFUNCTION("""COMPUTED_VALUE"""),392.14)</f>
        <v/>
      </c>
    </row>
    <row r="19923">
      <c r="J19923">
        <f>IFERROR(__xludf.DUMMYFUNCTION("""COMPUTED_VALUE"""),"Odessa and Kyiv")</f>
        <v/>
      </c>
      <c r="K19923">
        <f>IFERROR(__xludf.DUMMYFUNCTION("""COMPUTED_VALUE"""),391.78)</f>
        <v/>
      </c>
    </row>
    <row r="19924">
      <c r="J19924">
        <f>IFERROR(__xludf.DUMMYFUNCTION("""COMPUTED_VALUE"""),"Niagara on the Lake")</f>
        <v/>
      </c>
      <c r="K19924">
        <f>IFERROR(__xludf.DUMMYFUNCTION("""COMPUTED_VALUE"""),391.55)</f>
        <v/>
      </c>
    </row>
    <row r="19925">
      <c r="J19925">
        <f>IFERROR(__xludf.DUMMYFUNCTION("""COMPUTED_VALUE"""),"Ottawa, ON, Montreal and Granby, QC")</f>
        <v/>
      </c>
      <c r="K19925">
        <f>IFERROR(__xludf.DUMMYFUNCTION("""COMPUTED_VALUE"""),391.54)</f>
        <v/>
      </c>
    </row>
    <row r="19926">
      <c r="J19926">
        <f>IFERROR(__xludf.DUMMYFUNCTION("""COMPUTED_VALUE"""),"Arnemuiden, Netherlands Hoofdplaat, Netherlands to Knokke-Heist, Belgium")</f>
        <v/>
      </c>
      <c r="K19926">
        <f>IFERROR(__xludf.DUMMYFUNCTION("""COMPUTED_VALUE"""),391.32)</f>
        <v/>
      </c>
    </row>
    <row r="19927">
      <c r="J19927">
        <f>IFERROR(__xludf.DUMMYFUNCTION("""COMPUTED_VALUE"""),"Montebellow, Quebec, Canada")</f>
        <v/>
      </c>
      <c r="K19927">
        <f>IFERROR(__xludf.DUMMYFUNCTION("""COMPUTED_VALUE"""),391.17)</f>
        <v/>
      </c>
    </row>
    <row r="19928">
      <c r="J19928">
        <f>IFERROR(__xludf.DUMMYFUNCTION("""COMPUTED_VALUE"""),"Toront, Onatrio")</f>
        <v/>
      </c>
      <c r="K19928">
        <f>IFERROR(__xludf.DUMMYFUNCTION("""COMPUTED_VALUE"""),390.91)</f>
        <v/>
      </c>
    </row>
    <row r="19929">
      <c r="J19929">
        <f>IFERROR(__xludf.DUMMYFUNCTION("""COMPUTED_VALUE"""),"Chambord, France")</f>
        <v/>
      </c>
      <c r="K19929">
        <f>IFERROR(__xludf.DUMMYFUNCTION("""COMPUTED_VALUE"""),390.68)</f>
        <v/>
      </c>
    </row>
    <row r="19930">
      <c r="J19930">
        <f>IFERROR(__xludf.DUMMYFUNCTION("""COMPUTED_VALUE"""),"Samara, Russia")</f>
        <v/>
      </c>
      <c r="K19930">
        <f>IFERROR(__xludf.DUMMYFUNCTION("""COMPUTED_VALUE"""),390.63)</f>
        <v/>
      </c>
    </row>
    <row r="19931">
      <c r="J19931">
        <f>IFERROR(__xludf.DUMMYFUNCTION("""COMPUTED_VALUE"""),"Vineland Station, ON / Toronto, ON")</f>
        <v/>
      </c>
      <c r="K19931">
        <f>IFERROR(__xludf.DUMMYFUNCTION("""COMPUTED_VALUE"""),390.5)</f>
        <v/>
      </c>
    </row>
    <row r="19932">
      <c r="J19932">
        <f>IFERROR(__xludf.DUMMYFUNCTION("""COMPUTED_VALUE"""),"Margraten, The Netherlands")</f>
        <v/>
      </c>
      <c r="K19932">
        <f>IFERROR(__xludf.DUMMYFUNCTION("""COMPUTED_VALUE"""),390.1)</f>
        <v/>
      </c>
    </row>
    <row r="19933">
      <c r="J19933">
        <f>IFERROR(__xludf.DUMMYFUNCTION("""COMPUTED_VALUE"""),"Orillia")</f>
        <v/>
      </c>
      <c r="K19933">
        <f>IFERROR(__xludf.DUMMYFUNCTION("""COMPUTED_VALUE"""),389.81)</f>
        <v/>
      </c>
    </row>
    <row r="19934">
      <c r="J19934">
        <f>IFERROR(__xludf.DUMMYFUNCTION("""COMPUTED_VALUE"""),"London, Ontario, Canada; Kitchener, Ontario, Canada; Sarnia, Ontario, Canada")</f>
        <v/>
      </c>
      <c r="K19934">
        <f>IFERROR(__xludf.DUMMYFUNCTION("""COMPUTED_VALUE"""),389.41)</f>
        <v/>
      </c>
    </row>
    <row r="19935">
      <c r="J19935">
        <f>IFERROR(__xludf.DUMMYFUNCTION("""COMPUTED_VALUE"""),"WASHINGTON, OTTAWA, PERTH")</f>
        <v/>
      </c>
      <c r="K19935">
        <f>IFERROR(__xludf.DUMMYFUNCTION("""COMPUTED_VALUE"""),389.11)</f>
        <v/>
      </c>
    </row>
    <row r="19936">
      <c r="J19936">
        <f>IFERROR(__xludf.DUMMYFUNCTION("""COMPUTED_VALUE"""),"Nijmegen, Netherlands")</f>
        <v/>
      </c>
      <c r="K19936">
        <f>IFERROR(__xludf.DUMMYFUNCTION("""COMPUTED_VALUE"""),389)</f>
        <v/>
      </c>
    </row>
    <row r="19937">
      <c r="J19937">
        <f>IFERROR(__xludf.DUMMYFUNCTION("""COMPUTED_VALUE"""),"Bonaventure, Quebec, Canada; New Richmond, Quebec, Canada; Rivière-du-Loup, Quebec, Canada; Bagotville, Quebec, Canada; Montréal, Quebec, Canada")</f>
        <v/>
      </c>
      <c r="K19937">
        <f>IFERROR(__xludf.DUMMYFUNCTION("""COMPUTED_VALUE"""),388.9)</f>
        <v/>
      </c>
    </row>
    <row r="19938">
      <c r="J19938">
        <f>IFERROR(__xludf.DUMMYFUNCTION("""COMPUTED_VALUE"""),"Westmount, QC")</f>
        <v/>
      </c>
      <c r="K19938">
        <f>IFERROR(__xludf.DUMMYFUNCTION("""COMPUTED_VALUE"""),388.61)</f>
        <v/>
      </c>
    </row>
    <row r="19939">
      <c r="J19939">
        <f>IFERROR(__xludf.DUMMYFUNCTION("""COMPUTED_VALUE"""),"Edmonton, Alberta; Calgary, Alberta; Ottawa, Ontario; Toronto, Ontario; Montreal, Quebec")</f>
        <v/>
      </c>
      <c r="K19939">
        <f>IFERROR(__xludf.DUMMYFUNCTION("""COMPUTED_VALUE"""),388.19)</f>
        <v/>
      </c>
    </row>
    <row r="19940">
      <c r="J19940">
        <f>IFERROR(__xludf.DUMMYFUNCTION("""COMPUTED_VALUE"""),"Minas Gerais, Brazil")</f>
        <v/>
      </c>
      <c r="K19940">
        <f>IFERROR(__xludf.DUMMYFUNCTION("""COMPUTED_VALUE"""),387.62)</f>
        <v/>
      </c>
    </row>
    <row r="19941">
      <c r="J19941">
        <f>IFERROR(__xludf.DUMMYFUNCTION("""COMPUTED_VALUE"""),"Québec City, Quebec            Saint-Augustin, Quebec")</f>
        <v/>
      </c>
      <c r="K19941">
        <f>IFERROR(__xludf.DUMMYFUNCTION("""COMPUTED_VALUE"""),387.6)</f>
        <v/>
      </c>
    </row>
    <row r="19942">
      <c r="J19942">
        <f>IFERROR(__xludf.DUMMYFUNCTION("""COMPUTED_VALUE"""),"Gaspé, Quebec; Montreal, Quebec, Canada")</f>
        <v/>
      </c>
      <c r="K19942">
        <f>IFERROR(__xludf.DUMMYFUNCTION("""COMPUTED_VALUE"""),387.57)</f>
        <v/>
      </c>
    </row>
    <row r="19943">
      <c r="J19943">
        <f>IFERROR(__xludf.DUMMYFUNCTION("""COMPUTED_VALUE"""),"Wilton Park, U.K.")</f>
        <v/>
      </c>
      <c r="K19943">
        <f>IFERROR(__xludf.DUMMYFUNCTION("""COMPUTED_VALUE"""),387.47)</f>
        <v/>
      </c>
    </row>
    <row r="19944">
      <c r="J19944">
        <f>IFERROR(__xludf.DUMMYFUNCTION("""COMPUTED_VALUE"""),"Saint-Bonaventure, Quebec, Canada")</f>
        <v/>
      </c>
      <c r="K19944">
        <f>IFERROR(__xludf.DUMMYFUNCTION("""COMPUTED_VALUE"""),386.78)</f>
        <v/>
      </c>
    </row>
    <row r="19945">
      <c r="J19945">
        <f>IFERROR(__xludf.DUMMYFUNCTION("""COMPUTED_VALUE"""),"New-Brunswick, Canada")</f>
        <v/>
      </c>
      <c r="K19945">
        <f>IFERROR(__xludf.DUMMYFUNCTION("""COMPUTED_VALUE"""),386.59)</f>
        <v/>
      </c>
    </row>
    <row r="19946">
      <c r="J19946">
        <f>IFERROR(__xludf.DUMMYFUNCTION("""COMPUTED_VALUE"""),"BELGIUM-BRUSSELS")</f>
        <v/>
      </c>
      <c r="K19946">
        <f>IFERROR(__xludf.DUMMYFUNCTION("""COMPUTED_VALUE"""),385.84)</f>
        <v/>
      </c>
    </row>
    <row r="19947">
      <c r="J19947">
        <f>IFERROR(__xludf.DUMMYFUNCTION("""COMPUTED_VALUE"""),"Windsor, NS, Halifax, NS")</f>
        <v/>
      </c>
      <c r="K19947">
        <f>IFERROR(__xludf.DUMMYFUNCTION("""COMPUTED_VALUE"""),385.75)</f>
        <v/>
      </c>
    </row>
    <row r="19948">
      <c r="J19948">
        <f>IFERROR(__xludf.DUMMYFUNCTION("""COMPUTED_VALUE"""),"Bathurst, New Brunswick, Canada; Winnipeg, Manitoba, Canada")</f>
        <v/>
      </c>
      <c r="K19948">
        <f>IFERROR(__xludf.DUMMYFUNCTION("""COMPUTED_VALUE"""),385.64)</f>
        <v/>
      </c>
    </row>
    <row r="19949">
      <c r="J19949">
        <f>IFERROR(__xludf.DUMMYFUNCTION("""COMPUTED_VALUE"""),"Kingston, ON - Toronto, ON / Toronto, ON - Kingston, ON")</f>
        <v/>
      </c>
      <c r="K19949">
        <f>IFERROR(__xludf.DUMMYFUNCTION("""COMPUTED_VALUE"""),385.5)</f>
        <v/>
      </c>
    </row>
    <row r="19950">
      <c r="J19950">
        <f>IFERROR(__xludf.DUMMYFUNCTION("""COMPUTED_VALUE"""),"Bracebridge, Ontario, Canada")</f>
        <v/>
      </c>
      <c r="K19950">
        <f>IFERROR(__xludf.DUMMYFUNCTION("""COMPUTED_VALUE"""),385.05)</f>
        <v/>
      </c>
    </row>
    <row r="19951">
      <c r="J19951">
        <f>IFERROR(__xludf.DUMMYFUNCTION("""COMPUTED_VALUE"""),"Decelles, Quebec, Canada")</f>
        <v/>
      </c>
      <c r="K19951">
        <f>IFERROR(__xludf.DUMMYFUNCTION("""COMPUTED_VALUE"""),385.03)</f>
        <v/>
      </c>
    </row>
    <row r="19952">
      <c r="J19952">
        <f>IFERROR(__xludf.DUMMYFUNCTION("""COMPUTED_VALUE"""),"Digby, Nova Scotia, Canada; Kentville, Nova Scotia, Canada; Windsor, Nova Scotia, Canada")</f>
        <v/>
      </c>
      <c r="K19952">
        <f>IFERROR(__xludf.DUMMYFUNCTION("""COMPUTED_VALUE"""),384.8)</f>
        <v/>
      </c>
    </row>
    <row r="19953">
      <c r="J19953">
        <f>IFERROR(__xludf.DUMMYFUNCTION("""COMPUTED_VALUE"""),"Quebec City, Quebec, Canada; Montreal, Quebec, Canada")</f>
        <v/>
      </c>
      <c r="K19953">
        <f>IFERROR(__xludf.DUMMYFUNCTION("""COMPUTED_VALUE"""),384.41)</f>
        <v/>
      </c>
    </row>
    <row r="19954">
      <c r="J19954">
        <f>IFERROR(__xludf.DUMMYFUNCTION("""COMPUTED_VALUE"""),"Tyndall, FL")</f>
        <v/>
      </c>
      <c r="K19954">
        <f>IFERROR(__xludf.DUMMYFUNCTION("""COMPUTED_VALUE"""),384.409999999999)</f>
        <v/>
      </c>
    </row>
    <row r="19955">
      <c r="J19955">
        <f>IFERROR(__xludf.DUMMYFUNCTION("""COMPUTED_VALUE"""),"Roberval, Shawinigan, Ottawa")</f>
        <v/>
      </c>
      <c r="K19955">
        <f>IFERROR(__xludf.DUMMYFUNCTION("""COMPUTED_VALUE"""),384.36)</f>
        <v/>
      </c>
    </row>
    <row r="19956">
      <c r="J19956">
        <f>IFERROR(__xludf.DUMMYFUNCTION("""COMPUTED_VALUE"""),"Banff, Alberta and Mount Revelstoke, British Columbia")</f>
        <v/>
      </c>
      <c r="K19956">
        <f>IFERROR(__xludf.DUMMYFUNCTION("""COMPUTED_VALUE"""),384.2)</f>
        <v/>
      </c>
    </row>
    <row r="19957">
      <c r="J19957">
        <f>IFERROR(__xludf.DUMMYFUNCTION("""COMPUTED_VALUE"""),"Trois-Rivières and Shawinigan, Québec")</f>
        <v/>
      </c>
      <c r="K19957">
        <f>IFERROR(__xludf.DUMMYFUNCTION("""COMPUTED_VALUE"""),383.44)</f>
        <v/>
      </c>
    </row>
    <row r="19958">
      <c r="J19958">
        <f>IFERROR(__xludf.DUMMYFUNCTION("""COMPUTED_VALUE"""),"Ottawa, Gatineau, Ontario, Canada")</f>
        <v/>
      </c>
      <c r="K19958">
        <f>IFERROR(__xludf.DUMMYFUNCTION("""COMPUTED_VALUE"""),382.77)</f>
        <v/>
      </c>
    </row>
    <row r="19959">
      <c r="J19959">
        <f>IFERROR(__xludf.DUMMYFUNCTION("""COMPUTED_VALUE"""),"Bamako and Gao, Mali; and Dakar, Senegal")</f>
        <v/>
      </c>
      <c r="K19959">
        <f>IFERROR(__xludf.DUMMYFUNCTION("""COMPUTED_VALUE"""),382.76)</f>
        <v/>
      </c>
    </row>
    <row r="19960">
      <c r="J19960">
        <f>IFERROR(__xludf.DUMMYFUNCTION("""COMPUTED_VALUE"""),"Ortona IT")</f>
        <v/>
      </c>
      <c r="K19960">
        <f>IFERROR(__xludf.DUMMYFUNCTION("""COMPUTED_VALUE"""),382.5)</f>
        <v/>
      </c>
    </row>
    <row r="19961">
      <c r="J19961">
        <f>IFERROR(__xludf.DUMMYFUNCTION("""COMPUTED_VALUE"""),"Calgary, AB, and Kananaskis, AB, and Okotoks, AB")</f>
        <v/>
      </c>
      <c r="K19961">
        <f>IFERROR(__xludf.DUMMYFUNCTION("""COMPUTED_VALUE"""),382.37)</f>
        <v/>
      </c>
    </row>
    <row r="19962">
      <c r="J19962">
        <f>IFERROR(__xludf.DUMMYFUNCTION("""COMPUTED_VALUE"""),"High Level, AB")</f>
        <v/>
      </c>
      <c r="K19962">
        <f>IFERROR(__xludf.DUMMYFUNCTION("""COMPUTED_VALUE"""),382.29)</f>
        <v/>
      </c>
    </row>
    <row r="19963">
      <c r="J19963">
        <f>IFERROR(__xludf.DUMMYFUNCTION("""COMPUTED_VALUE"""),"Sherbrooke (Québec) Canada")</f>
        <v/>
      </c>
      <c r="K19963">
        <f>IFERROR(__xludf.DUMMYFUNCTION("""COMPUTED_VALUE"""),382.22)</f>
        <v/>
      </c>
    </row>
    <row r="19964">
      <c r="J19964">
        <f>IFERROR(__xludf.DUMMYFUNCTION("""COMPUTED_VALUE"""),"Wainwright, Alberta, Canada")</f>
        <v/>
      </c>
      <c r="K19964">
        <f>IFERROR(__xludf.DUMMYFUNCTION("""COMPUTED_VALUE"""),381.92)</f>
        <v/>
      </c>
    </row>
    <row r="19965">
      <c r="J19965">
        <f>IFERROR(__xludf.DUMMYFUNCTION("""COMPUTED_VALUE"""),"St-Jean-sur-Richelieu, QC")</f>
        <v/>
      </c>
      <c r="K19965">
        <f>IFERROR(__xludf.DUMMYFUNCTION("""COMPUTED_VALUE"""),381.76)</f>
        <v/>
      </c>
    </row>
    <row r="19966">
      <c r="J19966">
        <f>IFERROR(__xludf.DUMMYFUNCTION("""COMPUTED_VALUE"""),"Sydney and Baddeck, Nova Scotia")</f>
        <v/>
      </c>
      <c r="K19966">
        <f>IFERROR(__xludf.DUMMYFUNCTION("""COMPUTED_VALUE"""),381.37)</f>
        <v/>
      </c>
    </row>
    <row r="19967">
      <c r="J19967">
        <f>IFERROR(__xludf.DUMMYFUNCTION("""COMPUTED_VALUE"""),"Dartmouth, NS Halifax, NS")</f>
        <v/>
      </c>
      <c r="K19967">
        <f>IFERROR(__xludf.DUMMYFUNCTION("""COMPUTED_VALUE"""),380.31)</f>
        <v/>
      </c>
    </row>
    <row r="19968">
      <c r="J19968">
        <f>IFERROR(__xludf.DUMMYFUNCTION("""COMPUTED_VALUE"""),"Edmundston, New-Brunswick")</f>
        <v/>
      </c>
      <c r="K19968">
        <f>IFERROR(__xludf.DUMMYFUNCTION("""COMPUTED_VALUE"""),380.26)</f>
        <v/>
      </c>
    </row>
    <row r="19969">
      <c r="J19969">
        <f>IFERROR(__xludf.DUMMYFUNCTION("""COMPUTED_VALUE"""),"Saint-Eustache, QC")</f>
        <v/>
      </c>
      <c r="K19969">
        <f>IFERROR(__xludf.DUMMYFUNCTION("""COMPUTED_VALUE"""),380.25)</f>
        <v/>
      </c>
    </row>
    <row r="19970">
      <c r="J19970">
        <f>IFERROR(__xludf.DUMMYFUNCTION("""COMPUTED_VALUE"""),"Waterloo, London and Windsor, Ontario, Canada")</f>
        <v/>
      </c>
      <c r="K19970">
        <f>IFERROR(__xludf.DUMMYFUNCTION("""COMPUTED_VALUE"""),380.06)</f>
        <v/>
      </c>
    </row>
    <row r="19971">
      <c r="J19971">
        <f>IFERROR(__xludf.DUMMYFUNCTION("""COMPUTED_VALUE"""),"Miami FL")</f>
        <v/>
      </c>
      <c r="K19971">
        <f>IFERROR(__xludf.DUMMYFUNCTION("""COMPUTED_VALUE"""),379.77)</f>
        <v/>
      </c>
    </row>
    <row r="19972">
      <c r="J19972">
        <f>IFERROR(__xludf.DUMMYFUNCTION("""COMPUTED_VALUE"""),"Joilette, Quebec, Canada")</f>
        <v/>
      </c>
      <c r="K19972">
        <f>IFERROR(__xludf.DUMMYFUNCTION("""COMPUTED_VALUE"""),379.69)</f>
        <v/>
      </c>
    </row>
    <row r="19973">
      <c r="J19973">
        <f>IFERROR(__xludf.DUMMYFUNCTION("""COMPUTED_VALUE"""),"Bromont, Montreal, Quebec (Canada)")</f>
        <v/>
      </c>
      <c r="K19973">
        <f>IFERROR(__xludf.DUMMYFUNCTION("""COMPUTED_VALUE"""),379.53)</f>
        <v/>
      </c>
    </row>
    <row r="19974">
      <c r="J19974">
        <f>IFERROR(__xludf.DUMMYFUNCTION("""COMPUTED_VALUE"""),"Monteral, Quebec, Canada")</f>
        <v/>
      </c>
      <c r="K19974">
        <f>IFERROR(__xludf.DUMMYFUNCTION("""COMPUTED_VALUE"""),378.94)</f>
        <v/>
      </c>
    </row>
    <row r="19975">
      <c r="J19975">
        <f>IFERROR(__xludf.DUMMYFUNCTION("""COMPUTED_VALUE"""),"Ottawa, Trois-Rivières")</f>
        <v/>
      </c>
      <c r="K19975">
        <f>IFERROR(__xludf.DUMMYFUNCTION("""COMPUTED_VALUE"""),378.88)</f>
        <v/>
      </c>
    </row>
    <row r="19976">
      <c r="J19976">
        <f>IFERROR(__xludf.DUMMYFUNCTION("""COMPUTED_VALUE"""),"Montreal, Quebec, Canada / Bécancour, Quebec, Canada")</f>
        <v/>
      </c>
      <c r="K19976">
        <f>IFERROR(__xludf.DUMMYFUNCTION("""COMPUTED_VALUE"""),378.33)</f>
        <v/>
      </c>
    </row>
    <row r="19977">
      <c r="J19977">
        <f>IFERROR(__xludf.DUMMYFUNCTION("""COMPUTED_VALUE"""),"Roberval, Rimouski and Quebec City")</f>
        <v/>
      </c>
      <c r="K19977">
        <f>IFERROR(__xludf.DUMMYFUNCTION("""COMPUTED_VALUE"""),378.32)</f>
        <v/>
      </c>
    </row>
    <row r="19978">
      <c r="J19978">
        <f>IFERROR(__xludf.DUMMYFUNCTION("""COMPUTED_VALUE"""),"Ottawa part of a business pack of 6 tickets to go Part of a business pack of 10 tickets for the return")</f>
        <v/>
      </c>
      <c r="K19978">
        <f>IFERROR(__xludf.DUMMYFUNCTION("""COMPUTED_VALUE"""),378.06)</f>
        <v/>
      </c>
    </row>
    <row r="19979">
      <c r="J19979">
        <f>IFERROR(__xludf.DUMMYFUNCTION("""COMPUTED_VALUE"""),"Georgetown, Prince Edward Island")</f>
        <v/>
      </c>
      <c r="K19979">
        <f>IFERROR(__xludf.DUMMYFUNCTION("""COMPUTED_VALUE"""),377.71)</f>
        <v/>
      </c>
    </row>
    <row r="19980">
      <c r="J19980">
        <f>IFERROR(__xludf.DUMMYFUNCTION("""COMPUTED_VALUE"""),"Saint Jean sur Richelieu, Québec, Canada")</f>
        <v/>
      </c>
      <c r="K19980">
        <f>IFERROR(__xludf.DUMMYFUNCTION("""COMPUTED_VALUE"""),377.7)</f>
        <v/>
      </c>
    </row>
    <row r="19981">
      <c r="J19981">
        <f>IFERROR(__xludf.DUMMYFUNCTION("""COMPUTED_VALUE"""),"St-Apollinaire, Quebec")</f>
        <v/>
      </c>
      <c r="K19981">
        <f>IFERROR(__xludf.DUMMYFUNCTION("""COMPUTED_VALUE"""),377.26)</f>
        <v/>
      </c>
    </row>
    <row r="19982">
      <c r="J19982">
        <f>IFERROR(__xludf.DUMMYFUNCTION("""COMPUTED_VALUE"""),"Fredericton, New Brunswick, Canada
Moncton, New Brunswick, Canada")</f>
        <v/>
      </c>
      <c r="K19982">
        <f>IFERROR(__xludf.DUMMYFUNCTION("""COMPUTED_VALUE"""),377.2)</f>
        <v/>
      </c>
    </row>
    <row r="19983">
      <c r="J19983">
        <f>IFERROR(__xludf.DUMMYFUNCTION("""COMPUTED_VALUE"""),"Parnu, EE")</f>
        <v/>
      </c>
      <c r="K19983">
        <f>IFERROR(__xludf.DUMMYFUNCTION("""COMPUTED_VALUE"""),377.12)</f>
        <v/>
      </c>
    </row>
    <row r="19984">
      <c r="J19984">
        <f>IFERROR(__xludf.DUMMYFUNCTION("""COMPUTED_VALUE"""),"Rockport, ME")</f>
        <v/>
      </c>
      <c r="K19984">
        <f>IFERROR(__xludf.DUMMYFUNCTION("""COMPUTED_VALUE"""),376.82)</f>
        <v/>
      </c>
    </row>
    <row r="19985">
      <c r="J19985">
        <f>IFERROR(__xludf.DUMMYFUNCTION("""COMPUTED_VALUE"""),"Santiago (Chile)")</f>
        <v/>
      </c>
      <c r="K19985">
        <f>IFERROR(__xludf.DUMMYFUNCTION("""COMPUTED_VALUE"""),376.72)</f>
        <v/>
      </c>
    </row>
    <row r="19986">
      <c r="J19986">
        <f>IFERROR(__xludf.DUMMYFUNCTION("""COMPUTED_VALUE"""),"Mascouche / Terrebonne / Repentigny, (Quebec)")</f>
        <v/>
      </c>
      <c r="K19986">
        <f>IFERROR(__xludf.DUMMYFUNCTION("""COMPUTED_VALUE"""),376.64)</f>
        <v/>
      </c>
    </row>
    <row r="19987">
      <c r="J19987">
        <f>IFERROR(__xludf.DUMMYFUNCTION("""COMPUTED_VALUE"""),"Pincher Creek, AB and Claresholm, AB, and Fort MacLeod, AB, and Piikani, AB")</f>
        <v/>
      </c>
      <c r="K19987">
        <f>IFERROR(__xludf.DUMMYFUNCTION("""COMPUTED_VALUE"""),375.45)</f>
        <v/>
      </c>
    </row>
    <row r="19988">
      <c r="J19988">
        <f>IFERROR(__xludf.DUMMYFUNCTION("""COMPUTED_VALUE"""),"Boissevain, BC")</f>
        <v/>
      </c>
      <c r="K19988">
        <f>IFERROR(__xludf.DUMMYFUNCTION("""COMPUTED_VALUE"""),375.37)</f>
        <v/>
      </c>
    </row>
    <row r="19989">
      <c r="J19989">
        <f>IFERROR(__xludf.DUMMYFUNCTION("""COMPUTED_VALUE"""),"Charlottetown, PE Bedeque, PE")</f>
        <v/>
      </c>
      <c r="K19989">
        <f>IFERROR(__xludf.DUMMYFUNCTION("""COMPUTED_VALUE"""),375.34)</f>
        <v/>
      </c>
    </row>
    <row r="19990">
      <c r="J19990">
        <f>IFERROR(__xludf.DUMMYFUNCTION("""COMPUTED_VALUE"""),"Stratford, Ontario, Canada; Kitchener, Ontario, Canada")</f>
        <v/>
      </c>
      <c r="K19990">
        <f>IFERROR(__xludf.DUMMYFUNCTION("""COMPUTED_VALUE"""),375.33)</f>
        <v/>
      </c>
    </row>
    <row r="19991">
      <c r="J19991">
        <f>IFERROR(__xludf.DUMMYFUNCTION("""COMPUTED_VALUE"""),"Ottawa, Ontario, Canada - Bowmanville, Ontario, Canada")</f>
        <v/>
      </c>
      <c r="K19991">
        <f>IFERROR(__xludf.DUMMYFUNCTION("""COMPUTED_VALUE"""),375.21)</f>
        <v/>
      </c>
    </row>
    <row r="19992">
      <c r="J19992">
        <f>IFERROR(__xludf.DUMMYFUNCTION("""COMPUTED_VALUE"""),"Winnipeg, MB and Trenton, ON")</f>
        <v/>
      </c>
      <c r="K19992">
        <f>IFERROR(__xludf.DUMMYFUNCTION("""COMPUTED_VALUE"""),374.9)</f>
        <v/>
      </c>
    </row>
    <row r="19993">
      <c r="J19993">
        <f>IFERROR(__xludf.DUMMYFUNCTION("""COMPUTED_VALUE"""),"Bancroft &amp; Georgia Bay, Ontario")</f>
        <v/>
      </c>
      <c r="K19993">
        <f>IFERROR(__xludf.DUMMYFUNCTION("""COMPUTED_VALUE"""),374.75)</f>
        <v/>
      </c>
    </row>
    <row r="19994">
      <c r="J19994">
        <f>IFERROR(__xludf.DUMMYFUNCTION("""COMPUTED_VALUE"""),"New York, New York
United States")</f>
        <v/>
      </c>
      <c r="K19994">
        <f>IFERROR(__xludf.DUMMYFUNCTION("""COMPUTED_VALUE"""),374.41)</f>
        <v/>
      </c>
    </row>
    <row r="19995">
      <c r="J19995">
        <f>IFERROR(__xludf.DUMMYFUNCTION("""COMPUTED_VALUE"""),"Shelburne, Nova Scotia, Canada; Yarmouth, Nova Scotia, Canada; Windsor, Nova Scotia, Canada")</f>
        <v/>
      </c>
      <c r="K19995">
        <f>IFERROR(__xludf.DUMMYFUNCTION("""COMPUTED_VALUE"""),374.27)</f>
        <v/>
      </c>
    </row>
    <row r="19996">
      <c r="J19996">
        <f>IFERROR(__xludf.DUMMYFUNCTION("""COMPUTED_VALUE"""),"Alexandria, Virginia, USA")</f>
        <v/>
      </c>
      <c r="K19996">
        <f>IFERROR(__xludf.DUMMYFUNCTION("""COMPUTED_VALUE"""),374.06)</f>
        <v/>
      </c>
    </row>
    <row r="19997">
      <c r="J19997">
        <f>IFERROR(__xludf.DUMMYFUNCTION("""COMPUTED_VALUE"""),"Washington, (USA)")</f>
        <v/>
      </c>
      <c r="K19997">
        <f>IFERROR(__xludf.DUMMYFUNCTION("""COMPUTED_VALUE"""),373.88)</f>
        <v/>
      </c>
    </row>
    <row r="19998">
      <c r="J19998">
        <f>IFERROR(__xludf.DUMMYFUNCTION("""COMPUTED_VALUE"""),"Shawinigan, Quebec, Canada / Gatineau, Quebec, Canada")</f>
        <v/>
      </c>
      <c r="K19998">
        <f>IFERROR(__xludf.DUMMYFUNCTION("""COMPUTED_VALUE"""),373.83)</f>
        <v/>
      </c>
    </row>
    <row r="19999">
      <c r="J19999">
        <f>IFERROR(__xludf.DUMMYFUNCTION("""COMPUTED_VALUE"""),"St-Jean-Sur -Richelieu, Qc, Canada")</f>
        <v/>
      </c>
      <c r="K19999">
        <f>IFERROR(__xludf.DUMMYFUNCTION("""COMPUTED_VALUE"""),373.74)</f>
        <v/>
      </c>
    </row>
    <row r="20000">
      <c r="J20000">
        <f>IFERROR(__xludf.DUMMYFUNCTION("""COMPUTED_VALUE"""),"York, Ontario, Canada; Hamilton, Ontario, Canada")</f>
        <v/>
      </c>
      <c r="K20000">
        <f>IFERROR(__xludf.DUMMYFUNCTION("""COMPUTED_VALUE"""),373.38)</f>
        <v/>
      </c>
    </row>
    <row r="20001">
      <c r="J20001">
        <f>IFERROR(__xludf.DUMMYFUNCTION("""COMPUTED_VALUE"""),"Montreal, Orford, 
Maniwaki, Mont-Laurier, 
Magog, Quebec (Canada)")</f>
        <v/>
      </c>
      <c r="K20001">
        <f>IFERROR(__xludf.DUMMYFUNCTION("""COMPUTED_VALUE"""),372)</f>
        <v/>
      </c>
    </row>
    <row r="20002">
      <c r="J20002">
        <f>IFERROR(__xludf.DUMMYFUNCTION("""COMPUTED_VALUE"""),"Saint-Jean-sur-Richelieu, Lavaltrie")</f>
        <v/>
      </c>
      <c r="K20002">
        <f>IFERROR(__xludf.DUMMYFUNCTION("""COMPUTED_VALUE"""),371.36)</f>
        <v/>
      </c>
    </row>
    <row r="20003">
      <c r="J20003">
        <f>IFERROR(__xludf.DUMMYFUNCTION("""COMPUTED_VALUE"""),"Various South West Nova Scotia locations")</f>
        <v/>
      </c>
      <c r="K20003">
        <f>IFERROR(__xludf.DUMMYFUNCTION("""COMPUTED_VALUE"""),371.18)</f>
        <v/>
      </c>
    </row>
    <row r="20004">
      <c r="J20004">
        <f>IFERROR(__xludf.DUMMYFUNCTION("""COMPUTED_VALUE"""),"Montréal, Saint-Tite, Québec, Ottawa")</f>
        <v/>
      </c>
      <c r="K20004">
        <f>IFERROR(__xludf.DUMMYFUNCTION("""COMPUTED_VALUE"""),371.15)</f>
        <v/>
      </c>
    </row>
    <row r="20005">
      <c r="J20005">
        <f>IFERROR(__xludf.DUMMYFUNCTION("""COMPUTED_VALUE"""),"Toronto, Ontario, Canada; Burlington, Ontario, Canada")</f>
        <v/>
      </c>
      <c r="K20005">
        <f>IFERROR(__xludf.DUMMYFUNCTION("""COMPUTED_VALUE"""),371.01)</f>
        <v/>
      </c>
    </row>
    <row r="20006">
      <c r="J20006">
        <f>IFERROR(__xludf.DUMMYFUNCTION("""COMPUTED_VALUE"""),"Dartmouth NH and Burlington VT")</f>
        <v/>
      </c>
      <c r="K20006">
        <f>IFERROR(__xludf.DUMMYFUNCTION("""COMPUTED_VALUE"""),370.16)</f>
        <v/>
      </c>
    </row>
    <row r="20007">
      <c r="J20007">
        <f>IFERROR(__xludf.DUMMYFUNCTION("""COMPUTED_VALUE"""),"St Jean, Canada")</f>
        <v/>
      </c>
      <c r="K20007">
        <f>IFERROR(__xludf.DUMMYFUNCTION("""COMPUTED_VALUE"""),370.14)</f>
        <v/>
      </c>
    </row>
    <row r="20008">
      <c r="J20008">
        <f>IFERROR(__xludf.DUMMYFUNCTION("""COMPUTED_VALUE"""),"Trenton, NJ
Harrisburg, PA")</f>
        <v/>
      </c>
      <c r="K20008">
        <f>IFERROR(__xludf.DUMMYFUNCTION("""COMPUTED_VALUE"""),370.11)</f>
        <v/>
      </c>
    </row>
    <row r="20009">
      <c r="J20009">
        <f>IFERROR(__xludf.DUMMYFUNCTION("""COMPUTED_VALUE"""),"Cornwall, Canada")</f>
        <v/>
      </c>
      <c r="K20009">
        <f>IFERROR(__xludf.DUMMYFUNCTION("""COMPUTED_VALUE"""),370.06)</f>
        <v/>
      </c>
    </row>
    <row r="20010">
      <c r="J20010">
        <f>IFERROR(__xludf.DUMMYFUNCTION("""COMPUTED_VALUE"""),"Drummondville, Quebec, Canada
Trois-Rivières, Quebec, Canada
Bécancour, Quebec, Canada")</f>
        <v/>
      </c>
      <c r="K20010">
        <f>IFERROR(__xludf.DUMMYFUNCTION("""COMPUTED_VALUE"""),369.68)</f>
        <v/>
      </c>
    </row>
    <row r="20011">
      <c r="J20011">
        <f>IFERROR(__xludf.DUMMYFUNCTION("""COMPUTED_VALUE"""),"Shawinigan, Quebec, Canada/  Montreal, Quebec, Canada")</f>
        <v/>
      </c>
      <c r="K20011">
        <f>IFERROR(__xludf.DUMMYFUNCTION("""COMPUTED_VALUE"""),369.56)</f>
        <v/>
      </c>
    </row>
    <row r="20012">
      <c r="J20012">
        <f>IFERROR(__xludf.DUMMYFUNCTION("""COMPUTED_VALUE"""),"Montrealo")</f>
        <v/>
      </c>
      <c r="K20012">
        <f>IFERROR(__xludf.DUMMYFUNCTION("""COMPUTED_VALUE"""),369.4)</f>
        <v/>
      </c>
    </row>
    <row r="20013">
      <c r="J20013">
        <f>IFERROR(__xludf.DUMMYFUNCTION("""COMPUTED_VALUE"""),"London, Chattam-Kent and Windsor, Ontario")</f>
        <v/>
      </c>
      <c r="K20013">
        <f>IFERROR(__xludf.DUMMYFUNCTION("""COMPUTED_VALUE"""),369.28)</f>
        <v/>
      </c>
    </row>
    <row r="20014">
      <c r="J20014">
        <f>IFERROR(__xludf.DUMMYFUNCTION("""COMPUTED_VALUE"""),"St. Hubert, Québec")</f>
        <v/>
      </c>
      <c r="K20014">
        <f>IFERROR(__xludf.DUMMYFUNCTION("""COMPUTED_VALUE"""),369.12)</f>
        <v/>
      </c>
    </row>
    <row r="20015">
      <c r="J20015">
        <f>IFERROR(__xludf.DUMMYFUNCTION("""COMPUTED_VALUE"""),"Drayton Valley, AB")</f>
        <v/>
      </c>
      <c r="K20015">
        <f>IFERROR(__xludf.DUMMYFUNCTION("""COMPUTED_VALUE"""),369.039999999999)</f>
        <v/>
      </c>
    </row>
    <row r="20016">
      <c r="J20016">
        <f>IFERROR(__xludf.DUMMYFUNCTION("""COMPUTED_VALUE"""),"Maniwaki, Quebec, Canada")</f>
        <v/>
      </c>
      <c r="K20016">
        <f>IFERROR(__xludf.DUMMYFUNCTION("""COMPUTED_VALUE"""),368.62)</f>
        <v/>
      </c>
    </row>
    <row r="20017">
      <c r="J20017">
        <f>IFERROR(__xludf.DUMMYFUNCTION("""COMPUTED_VALUE"""),"Toronto and Hamilton, ON")</f>
        <v/>
      </c>
      <c r="K20017">
        <f>IFERROR(__xludf.DUMMYFUNCTION("""COMPUTED_VALUE"""),368.46)</f>
        <v/>
      </c>
    </row>
    <row r="20018">
      <c r="J20018">
        <f>IFERROR(__xludf.DUMMYFUNCTION("""COMPUTED_VALUE"""),"Trois-Rivières and Québec")</f>
        <v/>
      </c>
      <c r="K20018">
        <f>IFERROR(__xludf.DUMMYFUNCTION("""COMPUTED_VALUE"""),368.28)</f>
        <v/>
      </c>
    </row>
    <row r="20019">
      <c r="J20019">
        <f>IFERROR(__xludf.DUMMYFUNCTION("""COMPUTED_VALUE"""),"Washington, District of Columbia, United States and North Bay, Ontario, Canada")</f>
        <v/>
      </c>
      <c r="K20019">
        <f>IFERROR(__xludf.DUMMYFUNCTION("""COMPUTED_VALUE"""),367.51)</f>
        <v/>
      </c>
    </row>
    <row r="20020">
      <c r="J20020">
        <f>IFERROR(__xludf.DUMMYFUNCTION("""COMPUTED_VALUE"""),"Saint-Hilaire")</f>
        <v/>
      </c>
      <c r="K20020">
        <f>IFERROR(__xludf.DUMMYFUNCTION("""COMPUTED_VALUE"""),367.12)</f>
        <v/>
      </c>
    </row>
    <row r="20021">
      <c r="J20021">
        <f>IFERROR(__xludf.DUMMYFUNCTION("""COMPUTED_VALUE"""),"Thunder Bay, Ontario, Canada/Webequie, Ontario, Canada/ Timmins, Ontario, Canada")</f>
        <v/>
      </c>
      <c r="K20021">
        <f>IFERROR(__xludf.DUMMYFUNCTION("""COMPUTED_VALUE"""),367.04)</f>
        <v/>
      </c>
    </row>
    <row r="20022">
      <c r="J20022">
        <f>IFERROR(__xludf.DUMMYFUNCTION("""COMPUTED_VALUE"""),"Burlington VT")</f>
        <v/>
      </c>
      <c r="K20022">
        <f>IFERROR(__xludf.DUMMYFUNCTION("""COMPUTED_VALUE"""),366.89)</f>
        <v/>
      </c>
    </row>
    <row r="20023">
      <c r="J20023">
        <f>IFERROR(__xludf.DUMMYFUNCTION("""COMPUTED_VALUE"""),"Wakefield Mill, Québec")</f>
        <v/>
      </c>
      <c r="K20023">
        <f>IFERROR(__xludf.DUMMYFUNCTION("""COMPUTED_VALUE"""),366.67)</f>
        <v/>
      </c>
    </row>
    <row r="20024">
      <c r="J20024">
        <f>IFERROR(__xludf.DUMMYFUNCTION("""COMPUTED_VALUE"""),"Petite-Rivière-Saint-François, Quebec, Canada")</f>
        <v/>
      </c>
      <c r="K20024">
        <f>IFERROR(__xludf.DUMMYFUNCTION("""COMPUTED_VALUE"""),366.62)</f>
        <v/>
      </c>
    </row>
    <row r="20025">
      <c r="J20025">
        <f>IFERROR(__xludf.DUMMYFUNCTION("""COMPUTED_VALUE"""),"Wainwright, Alberta, Canada &amp; Canadian Forces Base Edmonton, Alberta, Canada")</f>
        <v/>
      </c>
      <c r="K20025">
        <f>IFERROR(__xludf.DUMMYFUNCTION("""COMPUTED_VALUE"""),366.6)</f>
        <v/>
      </c>
    </row>
    <row r="20026">
      <c r="J20026">
        <f>IFERROR(__xludf.DUMMYFUNCTION("""COMPUTED_VALUE"""),"Sherbrooke (Quebec) Canada
Montréal (Quebec) Canada")</f>
        <v/>
      </c>
      <c r="K20026">
        <f>IFERROR(__xludf.DUMMYFUNCTION("""COMPUTED_VALUE"""),366.58)</f>
        <v/>
      </c>
    </row>
    <row r="20027">
      <c r="J20027">
        <f>IFERROR(__xludf.DUMMYFUNCTION("""COMPUTED_VALUE"""),"Québec, QC, Canada")</f>
        <v/>
      </c>
      <c r="K20027">
        <f>IFERROR(__xludf.DUMMYFUNCTION("""COMPUTED_VALUE"""),366.3)</f>
        <v/>
      </c>
    </row>
    <row r="20028">
      <c r="J20028">
        <f>IFERROR(__xludf.DUMMYFUNCTION("""COMPUTED_VALUE"""),"Sulmona, Ortona and L'Aquila, Italy")</f>
        <v/>
      </c>
      <c r="K20028">
        <f>IFERROR(__xludf.DUMMYFUNCTION("""COMPUTED_VALUE"""),366.06)</f>
        <v/>
      </c>
    </row>
    <row r="20029">
      <c r="J20029">
        <f>IFERROR(__xludf.DUMMYFUNCTION("""COMPUTED_VALUE"""),"Wilmington, DE")</f>
        <v/>
      </c>
      <c r="K20029">
        <f>IFERROR(__xludf.DUMMYFUNCTION("""COMPUTED_VALUE"""),366.05)</f>
        <v/>
      </c>
    </row>
    <row r="20030">
      <c r="J20030">
        <f>IFERROR(__xludf.DUMMYFUNCTION("""COMPUTED_VALUE"""),"Sainte-Edwidge-de-Clifton, Quebec, Canada")</f>
        <v/>
      </c>
      <c r="K20030">
        <f>IFERROR(__xludf.DUMMYFUNCTION("""COMPUTED_VALUE"""),365.45)</f>
        <v/>
      </c>
    </row>
    <row r="20031">
      <c r="J20031">
        <f>IFERROR(__xludf.DUMMYFUNCTION("""COMPUTED_VALUE"""),"Rivière-du-Loup, St-Cyprien")</f>
        <v/>
      </c>
      <c r="K20031">
        <f>IFERROR(__xludf.DUMMYFUNCTION("""COMPUTED_VALUE"""),365.26)</f>
        <v/>
      </c>
    </row>
    <row r="20032">
      <c r="J20032">
        <f>IFERROR(__xludf.DUMMYFUNCTION("""COMPUTED_VALUE"""),"Gatineau, Montreal, Quebec, (Canada)")</f>
        <v/>
      </c>
      <c r="K20032">
        <f>IFERROR(__xludf.DUMMYFUNCTION("""COMPUTED_VALUE"""),364.61)</f>
        <v/>
      </c>
    </row>
    <row r="20033">
      <c r="J20033">
        <f>IFERROR(__xludf.DUMMYFUNCTION("""COMPUTED_VALUE"""),"Banff, Alberta and Revelstoke, British Columbia")</f>
        <v/>
      </c>
      <c r="K20033">
        <f>IFERROR(__xludf.DUMMYFUNCTION("""COMPUTED_VALUE"""),364.55)</f>
        <v/>
      </c>
    </row>
    <row r="20034">
      <c r="J20034">
        <f>IFERROR(__xludf.DUMMYFUNCTION("""COMPUTED_VALUE"""),"Etobicoke, Ontario, Canada; Chatham, Ontario, Canada; Newmarket, Ontario, Canada")</f>
        <v/>
      </c>
      <c r="K20034">
        <f>IFERROR(__xludf.DUMMYFUNCTION("""COMPUTED_VALUE"""),364.53)</f>
        <v/>
      </c>
    </row>
    <row r="20035">
      <c r="J20035">
        <f>IFERROR(__xludf.DUMMYFUNCTION("""COMPUTED_VALUE"""),"Oshawa, ON / Peterborough,
ON / Ottawa, ON")</f>
        <v/>
      </c>
      <c r="K20035">
        <f>IFERROR(__xludf.DUMMYFUNCTION("""COMPUTED_VALUE"""),364.42)</f>
        <v/>
      </c>
    </row>
    <row r="20036">
      <c r="J20036">
        <f>IFERROR(__xludf.DUMMYFUNCTION("""COMPUTED_VALUE"""),"Ottawa, Drummondville")</f>
        <v/>
      </c>
      <c r="K20036">
        <f>IFERROR(__xludf.DUMMYFUNCTION("""COMPUTED_VALUE"""),364.28)</f>
        <v/>
      </c>
    </row>
    <row r="20037">
      <c r="J20037">
        <f>IFERROR(__xludf.DUMMYFUNCTION("""COMPUTED_VALUE"""),"Seven Sisters Falls, Manitoba, Canada")</f>
        <v/>
      </c>
      <c r="K20037">
        <f>IFERROR(__xludf.DUMMYFUNCTION("""COMPUTED_VALUE"""),363.69)</f>
        <v/>
      </c>
    </row>
    <row r="20038">
      <c r="J20038">
        <f>IFERROR(__xludf.DUMMYFUNCTION("""COMPUTED_VALUE"""),"Montreal, Orford, Quebec, (Canada)")</f>
        <v/>
      </c>
      <c r="K20038">
        <f>IFERROR(__xludf.DUMMYFUNCTION("""COMPUTED_VALUE"""),363.6)</f>
        <v/>
      </c>
    </row>
    <row r="20039">
      <c r="J20039">
        <f>IFERROR(__xludf.DUMMYFUNCTION("""COMPUTED_VALUE"""),"La Baie, Saguenay")</f>
        <v/>
      </c>
      <c r="K20039">
        <f>IFERROR(__xludf.DUMMYFUNCTION("""COMPUTED_VALUE"""),363.2)</f>
        <v/>
      </c>
    </row>
    <row r="20040">
      <c r="J20040">
        <f>IFERROR(__xludf.DUMMYFUNCTION("""COMPUTED_VALUE"""),"St-Honoré")</f>
        <v/>
      </c>
      <c r="K20040">
        <f>IFERROR(__xludf.DUMMYFUNCTION("""COMPUTED_VALUE"""),363.17)</f>
        <v/>
      </c>
    </row>
    <row r="20041">
      <c r="J20041">
        <f>IFERROR(__xludf.DUMMYFUNCTION("""COMPUTED_VALUE"""),"Montréal, Dolbeau")</f>
        <v/>
      </c>
      <c r="K20041">
        <f>IFERROR(__xludf.DUMMYFUNCTION("""COMPUTED_VALUE"""),362.69)</f>
        <v/>
      </c>
    </row>
    <row r="20042">
      <c r="J20042">
        <f>IFERROR(__xludf.DUMMYFUNCTION("""COMPUTED_VALUE"""),"Summerside, PE St. Edwards, PE Charlottetown, PE")</f>
        <v/>
      </c>
      <c r="K20042">
        <f>IFERROR(__xludf.DUMMYFUNCTION("""COMPUTED_VALUE"""),362.36)</f>
        <v/>
      </c>
    </row>
    <row r="20043">
      <c r="J20043">
        <f>IFERROR(__xludf.DUMMYFUNCTION("""COMPUTED_VALUE"""),"Sillikers, New Brunswick")</f>
        <v/>
      </c>
      <c r="K20043">
        <f>IFERROR(__xludf.DUMMYFUNCTION("""COMPUTED_VALUE"""),362.35)</f>
        <v/>
      </c>
    </row>
    <row r="20044">
      <c r="J20044">
        <f>IFERROR(__xludf.DUMMYFUNCTION("""COMPUTED_VALUE"""),"Greater Sudbury, Ontario, Canada")</f>
        <v/>
      </c>
      <c r="K20044">
        <f>IFERROR(__xludf.DUMMYFUNCTION("""COMPUTED_VALUE"""),362.11)</f>
        <v/>
      </c>
    </row>
    <row r="20045">
      <c r="J20045">
        <f>IFERROR(__xludf.DUMMYFUNCTION("""COMPUTED_VALUE"""),"Puebla")</f>
        <v/>
      </c>
      <c r="K20045">
        <f>IFERROR(__xludf.DUMMYFUNCTION("""COMPUTED_VALUE"""),361.78)</f>
        <v/>
      </c>
    </row>
    <row r="20046">
      <c r="J20046">
        <f>IFERROR(__xludf.DUMMYFUNCTION("""COMPUTED_VALUE"""),"EDMONTON")</f>
        <v/>
      </c>
      <c r="K20046">
        <f>IFERROR(__xludf.DUMMYFUNCTION("""COMPUTED_VALUE"""),361)</f>
        <v/>
      </c>
    </row>
    <row r="20047">
      <c r="J20047">
        <f>IFERROR(__xludf.DUMMYFUNCTION("""COMPUTED_VALUE"""),"Hamilton, (Ontario)")</f>
        <v/>
      </c>
      <c r="K20047">
        <f>IFERROR(__xludf.DUMMYFUNCTION("""COMPUTED_VALUE"""),361)</f>
        <v/>
      </c>
    </row>
    <row r="20048">
      <c r="J20048">
        <f>IFERROR(__xludf.DUMMYFUNCTION("""COMPUTED_VALUE"""),"Borden(Ontario) Canada")</f>
        <v/>
      </c>
      <c r="K20048">
        <f>IFERROR(__xludf.DUMMYFUNCTION("""COMPUTED_VALUE"""),360.94)</f>
        <v/>
      </c>
    </row>
    <row r="20049">
      <c r="J20049">
        <f>IFERROR(__xludf.DUMMYFUNCTION("""COMPUTED_VALUE"""),"Ottawa, ON / Winchester, ON /
Peterborough, ON / Cambridge,
ON")</f>
        <v/>
      </c>
      <c r="K20049">
        <f>IFERROR(__xludf.DUMMYFUNCTION("""COMPUTED_VALUE"""),360.85)</f>
        <v/>
      </c>
    </row>
    <row r="20050">
      <c r="J20050">
        <f>IFERROR(__xludf.DUMMYFUNCTION("""COMPUTED_VALUE"""),"Saint Jean, Quebec")</f>
        <v/>
      </c>
      <c r="K20050">
        <f>IFERROR(__xludf.DUMMYFUNCTION("""COMPUTED_VALUE"""),360.59)</f>
        <v/>
      </c>
    </row>
    <row r="20051">
      <c r="J20051">
        <f>IFERROR(__xludf.DUMMYFUNCTION("""COMPUTED_VALUE"""),"Singapore and Vietnam")</f>
        <v/>
      </c>
      <c r="K20051">
        <f>IFERROR(__xludf.DUMMYFUNCTION("""COMPUTED_VALUE"""),360.38)</f>
        <v/>
      </c>
    </row>
    <row r="20052">
      <c r="J20052">
        <f>IFERROR(__xludf.DUMMYFUNCTION("""COMPUTED_VALUE"""),"Kenora, Ontario, Canada
Winnipeg, Manitoba, Canada")</f>
        <v/>
      </c>
      <c r="K20052">
        <f>IFERROR(__xludf.DUMMYFUNCTION("""COMPUTED_VALUE"""),360.24)</f>
        <v/>
      </c>
    </row>
    <row r="20053">
      <c r="J20053">
        <f>IFERROR(__xludf.DUMMYFUNCTION("""COMPUTED_VALUE"""),"Mont Tremblant, Quebec")</f>
        <v/>
      </c>
      <c r="K20053">
        <f>IFERROR(__xludf.DUMMYFUNCTION("""COMPUTED_VALUE"""),360.16)</f>
        <v/>
      </c>
    </row>
    <row r="20054">
      <c r="J20054">
        <f>IFERROR(__xludf.DUMMYFUNCTION("""COMPUTED_VALUE"""),"Al Kurah, LB")</f>
        <v/>
      </c>
      <c r="K20054">
        <f>IFERROR(__xludf.DUMMYFUNCTION("""COMPUTED_VALUE"""),360.13)</f>
        <v/>
      </c>
    </row>
    <row r="20055">
      <c r="J20055">
        <f>IFERROR(__xludf.DUMMYFUNCTION("""COMPUTED_VALUE"""),"Montréal, Quebec, Canada; Drummondville, Quebec, Canada")</f>
        <v/>
      </c>
      <c r="K20055">
        <f>IFERROR(__xludf.DUMMYFUNCTION("""COMPUTED_VALUE"""),360.1)</f>
        <v/>
      </c>
    </row>
    <row r="20056">
      <c r="J20056">
        <f>IFERROR(__xludf.DUMMYFUNCTION("""COMPUTED_VALUE"""),"Moncton, NB - Ottawa, ON  /  Ottawa, ON - Montreal, QC  /   Montreal, QC - Ottawa, ON  / Ottawa, ON - Toronto, ON / Toronto, ON - Niagara Falls, ON  / Niagara Falls, ON - Toronto, ON / Toronto, ON - Ottawa, ON / Ottawa, ON - Moncton, NB")</f>
        <v/>
      </c>
      <c r="K20056">
        <f>IFERROR(__xludf.DUMMYFUNCTION("""COMPUTED_VALUE"""),359.7)</f>
        <v/>
      </c>
    </row>
    <row r="20057">
      <c r="J20057">
        <f>IFERROR(__xludf.DUMMYFUNCTION("""COMPUTED_VALUE"""),"Holiday Inn, Kingston, Ontario")</f>
        <v/>
      </c>
      <c r="K20057">
        <f>IFERROR(__xludf.DUMMYFUNCTION("""COMPUTED_VALUE"""),359.4)</f>
        <v/>
      </c>
    </row>
    <row r="20058">
      <c r="J20058">
        <f>IFERROR(__xludf.DUMMYFUNCTION("""COMPUTED_VALUE"""),"Québec / Chandler / Gaspé")</f>
        <v/>
      </c>
      <c r="K20058">
        <f>IFERROR(__xludf.DUMMYFUNCTION("""COMPUTED_VALUE"""),358.66)</f>
        <v/>
      </c>
    </row>
    <row r="20059">
      <c r="J20059">
        <f>IFERROR(__xludf.DUMMYFUNCTION("""COMPUTED_VALUE"""),"Chemainus, British Columbia")</f>
        <v/>
      </c>
      <c r="K20059">
        <f>IFERROR(__xludf.DUMMYFUNCTION("""COMPUTED_VALUE"""),358.3)</f>
        <v/>
      </c>
    </row>
    <row r="20060">
      <c r="J20060">
        <f>IFERROR(__xludf.DUMMYFUNCTION("""COMPUTED_VALUE"""),"Montreal-Ottawa-Montreal")</f>
        <v/>
      </c>
      <c r="K20060">
        <f>IFERROR(__xludf.DUMMYFUNCTION("""COMPUTED_VALUE"""),358.179999999999)</f>
        <v/>
      </c>
    </row>
    <row r="20061">
      <c r="J20061">
        <f>IFERROR(__xludf.DUMMYFUNCTION("""COMPUTED_VALUE"""),"Lac Magantic, Quebec, Canada")</f>
        <v/>
      </c>
      <c r="K20061">
        <f>IFERROR(__xludf.DUMMYFUNCTION("""COMPUTED_VALUE"""),357.78)</f>
        <v/>
      </c>
    </row>
    <row r="20062">
      <c r="J20062">
        <f>IFERROR(__xludf.DUMMYFUNCTION("""COMPUTED_VALUE"""),"Grand-Mère, Quebec, Canada")</f>
        <v/>
      </c>
      <c r="K20062">
        <f>IFERROR(__xludf.DUMMYFUNCTION("""COMPUTED_VALUE"""),357.63)</f>
        <v/>
      </c>
    </row>
    <row r="20063">
      <c r="J20063">
        <f>IFERROR(__xludf.DUMMYFUNCTION("""COMPUTED_VALUE"""),"Orangeville, Ontario")</f>
        <v/>
      </c>
      <c r="K20063">
        <f>IFERROR(__xludf.DUMMYFUNCTION("""COMPUTED_VALUE"""),357.38)</f>
        <v/>
      </c>
    </row>
    <row r="20064">
      <c r="J20064">
        <f>IFERROR(__xludf.DUMMYFUNCTION("""COMPUTED_VALUE"""),"Miramichi and Fredericton, New Brunswick")</f>
        <v/>
      </c>
      <c r="K20064">
        <f>IFERROR(__xludf.DUMMYFUNCTION("""COMPUTED_VALUE"""),357.05)</f>
        <v/>
      </c>
    </row>
    <row r="20065">
      <c r="J20065">
        <f>IFERROR(__xludf.DUMMYFUNCTION("""COMPUTED_VALUE"""),"St-Hyacinthe")</f>
        <v/>
      </c>
      <c r="K20065">
        <f>IFERROR(__xludf.DUMMYFUNCTION("""COMPUTED_VALUE"""),357.03)</f>
        <v/>
      </c>
    </row>
    <row r="20066">
      <c r="J20066">
        <f>IFERROR(__xludf.DUMMYFUNCTION("""COMPUTED_VALUE"""),"La Mauricie and Trois Rivières, Québec")</f>
        <v/>
      </c>
      <c r="K20066">
        <f>IFERROR(__xludf.DUMMYFUNCTION("""COMPUTED_VALUE"""),356.82)</f>
        <v/>
      </c>
    </row>
    <row r="20067">
      <c r="J20067">
        <f>IFERROR(__xludf.DUMMYFUNCTION("""COMPUTED_VALUE"""),"Wellington, PE Tyne Valley, PE Alberton, PE Tignish, PE Summerside, PE O'Leary, PE Northport, PE Abrams Village, PE")</f>
        <v/>
      </c>
      <c r="K20067">
        <f>IFERROR(__xludf.DUMMYFUNCTION("""COMPUTED_VALUE"""),356.2)</f>
        <v/>
      </c>
    </row>
    <row r="20068">
      <c r="J20068">
        <f>IFERROR(__xludf.DUMMYFUNCTION("""COMPUTED_VALUE"""),"Montérégie")</f>
        <v/>
      </c>
      <c r="K20068">
        <f>IFERROR(__xludf.DUMMYFUNCTION("""COMPUTED_VALUE"""),355.96)</f>
        <v/>
      </c>
    </row>
    <row r="20069">
      <c r="J20069">
        <f>IFERROR(__xludf.DUMMYFUNCTION("""COMPUTED_VALUE"""),"Lakefield, Ontario, Canada")</f>
        <v/>
      </c>
      <c r="K20069">
        <f>IFERROR(__xludf.DUMMYFUNCTION("""COMPUTED_VALUE"""),355.56)</f>
        <v/>
      </c>
    </row>
    <row r="20070">
      <c r="J20070">
        <f>IFERROR(__xludf.DUMMYFUNCTION("""COMPUTED_VALUE"""),"Sorel-Tracy, Victoriaville, Québec, Gaspé et Roberval")</f>
        <v/>
      </c>
      <c r="K20070">
        <f>IFERROR(__xludf.DUMMYFUNCTION("""COMPUTED_VALUE"""),355.38)</f>
        <v/>
      </c>
    </row>
    <row r="20071">
      <c r="J20071">
        <f>IFERROR(__xludf.DUMMYFUNCTION("""COMPUTED_VALUE"""),"Quebec and Roberval (Quebec)")</f>
        <v/>
      </c>
      <c r="K20071">
        <f>IFERROR(__xludf.DUMMYFUNCTION("""COMPUTED_VALUE"""),355.07)</f>
        <v/>
      </c>
    </row>
    <row r="20072">
      <c r="J20072">
        <f>IFERROR(__xludf.DUMMYFUNCTION("""COMPUTED_VALUE"""),"Montreal- Quebec- Montreal")</f>
        <v/>
      </c>
      <c r="K20072">
        <f>IFERROR(__xludf.DUMMYFUNCTION("""COMPUTED_VALUE"""),354.8)</f>
        <v/>
      </c>
    </row>
    <row r="20073">
      <c r="J20073">
        <f>IFERROR(__xludf.DUMMYFUNCTION("""COMPUTED_VALUE"""),"Ottawa, Ontario Via Train 6 biz pack")</f>
        <v/>
      </c>
      <c r="K20073">
        <f>IFERROR(__xludf.DUMMYFUNCTION("""COMPUTED_VALUE"""),354.78)</f>
        <v/>
      </c>
    </row>
    <row r="20074">
      <c r="J20074">
        <f>IFERROR(__xludf.DUMMYFUNCTION("""COMPUTED_VALUE"""),"Fort Qu'Appelle, SK")</f>
        <v/>
      </c>
      <c r="K20074">
        <f>IFERROR(__xludf.DUMMYFUNCTION("""COMPUTED_VALUE"""),354.33)</f>
        <v/>
      </c>
    </row>
    <row r="20075">
      <c r="J20075">
        <f>IFERROR(__xludf.DUMMYFUNCTION("""COMPUTED_VALUE"""),"Cambridge, ON / Mississauga, ON / Brampton, ON")</f>
        <v/>
      </c>
      <c r="K20075">
        <f>IFERROR(__xludf.DUMMYFUNCTION("""COMPUTED_VALUE"""),354.05)</f>
        <v/>
      </c>
    </row>
    <row r="20076">
      <c r="J20076">
        <f>IFERROR(__xludf.DUMMYFUNCTION("""COMPUTED_VALUE"""),"Stanley Bridge, Prince Edward Island, Canada")</f>
        <v/>
      </c>
      <c r="K20076">
        <f>IFERROR(__xludf.DUMMYFUNCTION("""COMPUTED_VALUE"""),353.95)</f>
        <v/>
      </c>
    </row>
    <row r="20077">
      <c r="J20077">
        <f>IFERROR(__xludf.DUMMYFUNCTION("""COMPUTED_VALUE"""),"Blainville and Dorval, Quebec")</f>
        <v/>
      </c>
      <c r="K20077">
        <f>IFERROR(__xludf.DUMMYFUNCTION("""COMPUTED_VALUE"""),353.81)</f>
        <v/>
      </c>
    </row>
    <row r="20078">
      <c r="J20078">
        <f>IFERROR(__xludf.DUMMYFUNCTION("""COMPUTED_VALUE"""),"Sorel-Tracy, Victoriaville, Québec, Gaspé et Montréal")</f>
        <v/>
      </c>
      <c r="K20078">
        <f>IFERROR(__xludf.DUMMYFUNCTION("""COMPUTED_VALUE"""),353.52)</f>
        <v/>
      </c>
    </row>
    <row r="20079">
      <c r="J20079">
        <f>IFERROR(__xludf.DUMMYFUNCTION("""COMPUTED_VALUE"""),"Montreal and trois Rivieres")</f>
        <v/>
      </c>
      <c r="K20079">
        <f>IFERROR(__xludf.DUMMYFUNCTION("""COMPUTED_VALUE"""),353.07)</f>
        <v/>
      </c>
    </row>
    <row r="20080">
      <c r="J20080">
        <f>IFERROR(__xludf.DUMMYFUNCTION("""COMPUTED_VALUE"""),"Tapachula, Chiapas")</f>
        <v/>
      </c>
      <c r="K20080">
        <f>IFERROR(__xludf.DUMMYFUNCTION("""COMPUTED_VALUE"""),352.85)</f>
        <v/>
      </c>
    </row>
    <row r="20081">
      <c r="J20081">
        <f>IFERROR(__xludf.DUMMYFUNCTION("""COMPUTED_VALUE"""),"Québec, QQ")</f>
        <v/>
      </c>
      <c r="K20081">
        <f>IFERROR(__xludf.DUMMYFUNCTION("""COMPUTED_VALUE"""),352.8)</f>
        <v/>
      </c>
    </row>
    <row r="20082">
      <c r="J20082">
        <f>IFERROR(__xludf.DUMMYFUNCTION("""COMPUTED_VALUE"""),"Lake Laberge, Yukon")</f>
        <v/>
      </c>
      <c r="K20082">
        <f>IFERROR(__xludf.DUMMYFUNCTION("""COMPUTED_VALUE"""),352.5)</f>
        <v/>
      </c>
    </row>
    <row r="20083">
      <c r="J20083">
        <f>IFERROR(__xludf.DUMMYFUNCTION("""COMPUTED_VALUE"""),"Belleville (ON), Toronto (ON) AND
Leamington (ON)")</f>
        <v/>
      </c>
      <c r="K20083">
        <f>IFERROR(__xludf.DUMMYFUNCTION("""COMPUTED_VALUE"""),352.49)</f>
        <v/>
      </c>
    </row>
    <row r="20084">
      <c r="J20084">
        <f>IFERROR(__xludf.DUMMYFUNCTION("""COMPUTED_VALUE"""),"Sussex, New Brunswick")</f>
        <v/>
      </c>
      <c r="K20084">
        <f>IFERROR(__xludf.DUMMYFUNCTION("""COMPUTED_VALUE"""),352.32)</f>
        <v/>
      </c>
    </row>
    <row r="20085">
      <c r="J20085">
        <f>IFERROR(__xludf.DUMMYFUNCTION("""COMPUTED_VALUE"""),"Gleichen, Alberta, Canada")</f>
        <v/>
      </c>
      <c r="K20085">
        <f>IFERROR(__xludf.DUMMYFUNCTION("""COMPUTED_VALUE"""),351.83)</f>
        <v/>
      </c>
    </row>
    <row r="20086">
      <c r="J20086">
        <f>IFERROR(__xludf.DUMMYFUNCTION("""COMPUTED_VALUE"""),"Halifax, Antigonish and Cape Breton, Nova Scotia")</f>
        <v/>
      </c>
      <c r="K20086">
        <f>IFERROR(__xludf.DUMMYFUNCTION("""COMPUTED_VALUE"""),351.45)</f>
        <v/>
      </c>
    </row>
    <row r="20087">
      <c r="J20087">
        <f>IFERROR(__xludf.DUMMYFUNCTION("""COMPUTED_VALUE"""),"Ottawa Part of a business pack of 6 tickets to go Part of a business pack of 6 tickets back")</f>
        <v/>
      </c>
      <c r="K20087">
        <f>IFERROR(__xludf.DUMMYFUNCTION("""COMPUTED_VALUE"""),351.23)</f>
        <v/>
      </c>
    </row>
    <row r="20088">
      <c r="J20088">
        <f>IFERROR(__xludf.DUMMYFUNCTION("""COMPUTED_VALUE"""),"Halifax, NS, Canda")</f>
        <v/>
      </c>
      <c r="K20088">
        <f>IFERROR(__xludf.DUMMYFUNCTION("""COMPUTED_VALUE"""),351)</f>
        <v/>
      </c>
    </row>
    <row r="20089">
      <c r="J20089">
        <f>IFERROR(__xludf.DUMMYFUNCTION("""COMPUTED_VALUE"""),"Windsor, Nova Scotia and Moncton, New Brunswick")</f>
        <v/>
      </c>
      <c r="K20089">
        <f>IFERROR(__xludf.DUMMYFUNCTION("""COMPUTED_VALUE"""),350.96)</f>
        <v/>
      </c>
    </row>
    <row r="20090">
      <c r="J20090">
        <f>IFERROR(__xludf.DUMMYFUNCTION("""COMPUTED_VALUE"""),"St-Alexis-des-Monts")</f>
        <v/>
      </c>
      <c r="K20090">
        <f>IFERROR(__xludf.DUMMYFUNCTION("""COMPUTED_VALUE"""),350.46)</f>
        <v/>
      </c>
    </row>
    <row r="20091">
      <c r="J20091">
        <f>IFERROR(__xludf.DUMMYFUNCTION("""COMPUTED_VALUE"""),"OTTAWA PART OF 6 BIZ PACK")</f>
        <v/>
      </c>
      <c r="K20091">
        <f>IFERROR(__xludf.DUMMYFUNCTION("""COMPUTED_VALUE"""),350.28)</f>
        <v/>
      </c>
    </row>
    <row r="20092">
      <c r="J20092">
        <f>IFERROR(__xludf.DUMMYFUNCTION("""COMPUTED_VALUE"""),"Haut-Saint-François, Quebec, Canada")</f>
        <v/>
      </c>
      <c r="K20092">
        <f>IFERROR(__xludf.DUMMYFUNCTION("""COMPUTED_VALUE"""),350.23)</f>
        <v/>
      </c>
    </row>
    <row r="20093">
      <c r="J20093">
        <f>IFERROR(__xludf.DUMMYFUNCTION("""COMPUTED_VALUE"""),"Querétaro")</f>
        <v/>
      </c>
      <c r="K20093">
        <f>IFERROR(__xludf.DUMMYFUNCTION("""COMPUTED_VALUE"""),350.05)</f>
        <v/>
      </c>
    </row>
    <row r="20094">
      <c r="J20094">
        <f>IFERROR(__xludf.DUMMYFUNCTION("""COMPUTED_VALUE"""),"Truro, Nova Scotia and Sussex, New Brunswick")</f>
        <v/>
      </c>
      <c r="K20094">
        <f>IFERROR(__xludf.DUMMYFUNCTION("""COMPUTED_VALUE"""),349.66)</f>
        <v/>
      </c>
    </row>
    <row r="20095">
      <c r="J20095">
        <f>IFERROR(__xludf.DUMMYFUNCTION("""COMPUTED_VALUE"""),"Crete, Greece")</f>
        <v/>
      </c>
      <c r="K20095">
        <f>IFERROR(__xludf.DUMMYFUNCTION("""COMPUTED_VALUE"""),349.58)</f>
        <v/>
      </c>
    </row>
    <row r="20096">
      <c r="J20096">
        <f>IFERROR(__xludf.DUMMYFUNCTION("""COMPUTED_VALUE"""),"Beaupre, Quebec, Canada")</f>
        <v/>
      </c>
      <c r="K20096">
        <f>IFERROR(__xludf.DUMMYFUNCTION("""COMPUTED_VALUE"""),348.78)</f>
        <v/>
      </c>
    </row>
    <row r="20097">
      <c r="J20097">
        <f>IFERROR(__xludf.DUMMYFUNCTION("""COMPUTED_VALUE"""),"Red Deer, Alberta, Canada; Camrose, Alberta, Canada")</f>
        <v/>
      </c>
      <c r="K20097">
        <f>IFERROR(__xludf.DUMMYFUNCTION("""COMPUTED_VALUE"""),348.68)</f>
        <v/>
      </c>
    </row>
    <row r="20098">
      <c r="J20098">
        <f>IFERROR(__xludf.DUMMYFUNCTION("""COMPUTED_VALUE"""),"Dorval (Quebec) Canada")</f>
        <v/>
      </c>
      <c r="K20098">
        <f>IFERROR(__xludf.DUMMYFUNCTION("""COMPUTED_VALUE"""),348.51)</f>
        <v/>
      </c>
    </row>
    <row r="20099">
      <c r="J20099">
        <f>IFERROR(__xludf.DUMMYFUNCTION("""COMPUTED_VALUE"""),"Mirabel, Montreal, Quebec, Canada")</f>
        <v/>
      </c>
      <c r="K20099">
        <f>IFERROR(__xludf.DUMMYFUNCTION("""COMPUTED_VALUE"""),348.5)</f>
        <v/>
      </c>
    </row>
    <row r="20100">
      <c r="J20100">
        <f>IFERROR(__xludf.DUMMYFUNCTION("""COMPUTED_VALUE"""),"Florence - Italy")</f>
        <v/>
      </c>
      <c r="K20100">
        <f>IFERROR(__xludf.DUMMYFUNCTION("""COMPUTED_VALUE"""),348.29)</f>
        <v/>
      </c>
    </row>
    <row r="20101">
      <c r="J20101">
        <f>IFERROR(__xludf.DUMMYFUNCTION("""COMPUTED_VALUE"""),"Québec - Gatineau - Ottawa - Québec")</f>
        <v/>
      </c>
      <c r="K20101">
        <f>IFERROR(__xludf.DUMMYFUNCTION("""COMPUTED_VALUE"""),348.17)</f>
        <v/>
      </c>
    </row>
    <row r="20102">
      <c r="J20102">
        <f>IFERROR(__xludf.DUMMYFUNCTION("""COMPUTED_VALUE"""),"New Glasgow and Port Hawkesbury, Nova Scotia")</f>
        <v/>
      </c>
      <c r="K20102">
        <f>IFERROR(__xludf.DUMMYFUNCTION("""COMPUTED_VALUE"""),347.78)</f>
        <v/>
      </c>
    </row>
    <row r="20103">
      <c r="J20103">
        <f>IFERROR(__xludf.DUMMYFUNCTION("""COMPUTED_VALUE"""),"Montreal and Trois-Rivières, Quebec, Canada")</f>
        <v/>
      </c>
      <c r="K20103">
        <f>IFERROR(__xludf.DUMMYFUNCTION("""COMPUTED_VALUE"""),347.59)</f>
        <v/>
      </c>
    </row>
    <row r="20104">
      <c r="J20104">
        <f>IFERROR(__xludf.DUMMYFUNCTION("""COMPUTED_VALUE"""),"Saint-Paul-de-l’île-aux-Noix, Québec")</f>
        <v/>
      </c>
      <c r="K20104">
        <f>IFERROR(__xludf.DUMMYFUNCTION("""COMPUTED_VALUE"""),347.48)</f>
        <v/>
      </c>
    </row>
    <row r="20105">
      <c r="J20105">
        <f>IFERROR(__xludf.DUMMYFUNCTION("""COMPUTED_VALUE"""),"Toronto, Ottawa, Ontario, Canada")</f>
        <v/>
      </c>
      <c r="K20105">
        <f>IFERROR(__xludf.DUMMYFUNCTION("""COMPUTED_VALUE"""),347.27)</f>
        <v/>
      </c>
    </row>
    <row r="20106">
      <c r="J20106">
        <f>IFERROR(__xludf.DUMMYFUNCTION("""COMPUTED_VALUE"""),"Montreal, Orford, Quebec (Canada)")</f>
        <v/>
      </c>
      <c r="K20106">
        <f>IFERROR(__xludf.DUMMYFUNCTION("""COMPUTED_VALUE"""),347)</f>
        <v/>
      </c>
    </row>
    <row r="20107">
      <c r="J20107">
        <f>IFERROR(__xludf.DUMMYFUNCTION("""COMPUTED_VALUE"""),"Baltmore, Maryland, USA")</f>
        <v/>
      </c>
      <c r="K20107">
        <f>IFERROR(__xludf.DUMMYFUNCTION("""COMPUTED_VALUE"""),346.99)</f>
        <v/>
      </c>
    </row>
    <row r="20108">
      <c r="J20108">
        <f>IFERROR(__xludf.DUMMYFUNCTION("""COMPUTED_VALUE"""),"Comox, British Colombia")</f>
        <v/>
      </c>
      <c r="K20108">
        <f>IFERROR(__xludf.DUMMYFUNCTION("""COMPUTED_VALUE"""),346.96)</f>
        <v/>
      </c>
    </row>
    <row r="20109">
      <c r="J20109">
        <f>IFERROR(__xludf.DUMMYFUNCTION("""COMPUTED_VALUE"""),"Port aux Basques, Newfoundland and Labrador, Canada")</f>
        <v/>
      </c>
      <c r="K20109">
        <f>IFERROR(__xludf.DUMMYFUNCTION("""COMPUTED_VALUE"""),346.9)</f>
        <v/>
      </c>
    </row>
    <row r="20110">
      <c r="J20110">
        <f>IFERROR(__xludf.DUMMYFUNCTION("""COMPUTED_VALUE"""),"Coaticook, Quebec, Canada / Granby, Quebec, Canada")</f>
        <v/>
      </c>
      <c r="K20110">
        <f>IFERROR(__xludf.DUMMYFUNCTION("""COMPUTED_VALUE"""),346.59)</f>
        <v/>
      </c>
    </row>
    <row r="20111">
      <c r="J20111">
        <f>IFERROR(__xludf.DUMMYFUNCTION("""COMPUTED_VALUE"""),"Stephenville, Ontario, Canada; Toronto, Ontario, Canada")</f>
        <v/>
      </c>
      <c r="K20111">
        <f>IFERROR(__xludf.DUMMYFUNCTION("""COMPUTED_VALUE"""),346.43)</f>
        <v/>
      </c>
    </row>
    <row r="20112">
      <c r="J20112">
        <f>IFERROR(__xludf.DUMMYFUNCTION("""COMPUTED_VALUE"""),"Are, Sweden")</f>
        <v/>
      </c>
      <c r="K20112">
        <f>IFERROR(__xludf.DUMMYFUNCTION("""COMPUTED_VALUE"""),346.15)</f>
        <v/>
      </c>
    </row>
    <row r="20113">
      <c r="J20113">
        <f>IFERROR(__xludf.DUMMYFUNCTION("""COMPUTED_VALUE"""),"Gaspé, Roberval")</f>
        <v/>
      </c>
      <c r="K20113">
        <f>IFERROR(__xludf.DUMMYFUNCTION("""COMPUTED_VALUE"""),346.14)</f>
        <v/>
      </c>
    </row>
    <row r="20114">
      <c r="J20114">
        <f>IFERROR(__xludf.DUMMYFUNCTION("""COMPUTED_VALUE"""),"Mississauga, Ontario, Canada / Toronto, Ontario, Canada")</f>
        <v/>
      </c>
      <c r="K20114">
        <f>IFERROR(__xludf.DUMMYFUNCTION("""COMPUTED_VALUE"""),346.05)</f>
        <v/>
      </c>
    </row>
    <row r="20115">
      <c r="J20115">
        <f>IFERROR(__xludf.DUMMYFUNCTION("""COMPUTED_VALUE"""),"Montreal, QC, Ottawa and Guelph, ON")</f>
        <v/>
      </c>
      <c r="K20115">
        <f>IFERROR(__xludf.DUMMYFUNCTION("""COMPUTED_VALUE"""),345.89)</f>
        <v/>
      </c>
    </row>
    <row r="20116">
      <c r="J20116">
        <f>IFERROR(__xludf.DUMMYFUNCTION("""COMPUTED_VALUE"""),"Barrie and Borden, Ontario")</f>
        <v/>
      </c>
      <c r="K20116">
        <f>IFERROR(__xludf.DUMMYFUNCTION("""COMPUTED_VALUE"""),345.78)</f>
        <v/>
      </c>
    </row>
    <row r="20117">
      <c r="J20117">
        <f>IFERROR(__xludf.DUMMYFUNCTION("""COMPUTED_VALUE"""),"Montréal, QC St-Hubert, QC")</f>
        <v/>
      </c>
      <c r="K20117">
        <f>IFERROR(__xludf.DUMMYFUNCTION("""COMPUTED_VALUE"""),345.69)</f>
        <v/>
      </c>
    </row>
    <row r="20118">
      <c r="J20118">
        <f>IFERROR(__xludf.DUMMYFUNCTION("""COMPUTED_VALUE"""),"Penticton, British Columbia, Canada and Kelowna, British Columbia, Canada")</f>
        <v/>
      </c>
      <c r="K20118">
        <f>IFERROR(__xludf.DUMMYFUNCTION("""COMPUTED_VALUE"""),345.68)</f>
        <v/>
      </c>
    </row>
    <row r="20119">
      <c r="J20119">
        <f>IFERROR(__xludf.DUMMYFUNCTION("""COMPUTED_VALUE"""),"Louisbourg, Nova Scotia, Canada")</f>
        <v/>
      </c>
      <c r="K20119">
        <f>IFERROR(__xludf.DUMMYFUNCTION("""COMPUTED_VALUE"""),345.52)</f>
        <v/>
      </c>
    </row>
    <row r="20120">
      <c r="J20120">
        <f>IFERROR(__xludf.DUMMYFUNCTION("""COMPUTED_VALUE"""),"Mont Saint-Sauveur")</f>
        <v/>
      </c>
      <c r="K20120">
        <f>IFERROR(__xludf.DUMMYFUNCTION("""COMPUTED_VALUE"""),345.45)</f>
        <v/>
      </c>
    </row>
    <row r="20121">
      <c r="J20121">
        <f>IFERROR(__xludf.DUMMYFUNCTION("""COMPUTED_VALUE"""),"Kingston, York and Mississauga, Ontario, Canada")</f>
        <v/>
      </c>
      <c r="K20121">
        <f>IFERROR(__xludf.DUMMYFUNCTION("""COMPUTED_VALUE"""),345.33)</f>
        <v/>
      </c>
    </row>
    <row r="20122">
      <c r="J20122">
        <f>IFERROR(__xludf.DUMMYFUNCTION("""COMPUTED_VALUE"""),"Annapolis, Maryland")</f>
        <v/>
      </c>
      <c r="K20122">
        <f>IFERROR(__xludf.DUMMYFUNCTION("""COMPUTED_VALUE"""),345.14)</f>
        <v/>
      </c>
    </row>
    <row r="20123">
      <c r="J20123">
        <f>IFERROR(__xludf.DUMMYFUNCTION("""COMPUTED_VALUE"""),"Montreal, Quebec 
(Canada)")</f>
        <v/>
      </c>
      <c r="K20123">
        <f>IFERROR(__xludf.DUMMYFUNCTION("""COMPUTED_VALUE"""),345)</f>
        <v/>
      </c>
    </row>
    <row r="20124">
      <c r="J20124">
        <f>IFERROR(__xludf.DUMMYFUNCTION("""COMPUTED_VALUE"""),"Chicoutimi, Saguenay, Canada")</f>
        <v/>
      </c>
      <c r="K20124">
        <f>IFERROR(__xludf.DUMMYFUNCTION("""COMPUTED_VALUE"""),344.9)</f>
        <v/>
      </c>
    </row>
    <row r="20125">
      <c r="J20125">
        <f>IFERROR(__xludf.DUMMYFUNCTION("""COMPUTED_VALUE"""),"Halifax, NS, Chezzetcook, NS")</f>
        <v/>
      </c>
      <c r="K20125">
        <f>IFERROR(__xludf.DUMMYFUNCTION("""COMPUTED_VALUE"""),344.83)</f>
        <v/>
      </c>
    </row>
    <row r="20126">
      <c r="J20126">
        <f>IFERROR(__xludf.DUMMYFUNCTION("""COMPUTED_VALUE"""),"Toronto, Ontario, Canada / Shawinigan, Quebec, Canada")</f>
        <v/>
      </c>
      <c r="K20126">
        <f>IFERROR(__xludf.DUMMYFUNCTION("""COMPUTED_VALUE"""),344.81)</f>
        <v/>
      </c>
    </row>
    <row r="20127">
      <c r="J20127">
        <f>IFERROR(__xludf.DUMMYFUNCTION("""COMPUTED_VALUE"""),"Ottawa, ON and Boucherville QC")</f>
        <v/>
      </c>
      <c r="K20127">
        <f>IFERROR(__xludf.DUMMYFUNCTION("""COMPUTED_VALUE"""),344.75)</f>
        <v/>
      </c>
    </row>
    <row r="20128">
      <c r="J20128">
        <f>IFERROR(__xludf.DUMMYFUNCTION("""COMPUTED_VALUE"""),"San Miguel de Allende")</f>
        <v/>
      </c>
      <c r="K20128">
        <f>IFERROR(__xludf.DUMMYFUNCTION("""COMPUTED_VALUE"""),344.64)</f>
        <v/>
      </c>
    </row>
    <row r="20129">
      <c r="J20129">
        <f>IFERROR(__xludf.DUMMYFUNCTION("""COMPUTED_VALUE"""),"Brossard, Quebec")</f>
        <v/>
      </c>
      <c r="K20129">
        <f>IFERROR(__xludf.DUMMYFUNCTION("""COMPUTED_VALUE"""),344.58)</f>
        <v/>
      </c>
    </row>
    <row r="20130">
      <c r="J20130">
        <f>IFERROR(__xludf.DUMMYFUNCTION("""COMPUTED_VALUE"""),"Cornwall (ON) Canada")</f>
        <v/>
      </c>
      <c r="K20130">
        <f>IFERROR(__xludf.DUMMYFUNCTION("""COMPUTED_VALUE"""),343.71)</f>
        <v/>
      </c>
    </row>
    <row r="20131">
      <c r="J20131">
        <f>IFERROR(__xludf.DUMMYFUNCTION("""COMPUTED_VALUE"""),"La Citadelle, Quebec, Canada")</f>
        <v/>
      </c>
      <c r="K20131">
        <f>IFERROR(__xludf.DUMMYFUNCTION("""COMPUTED_VALUE"""),343.67)</f>
        <v/>
      </c>
    </row>
    <row r="20132">
      <c r="J20132">
        <f>IFERROR(__xludf.DUMMYFUNCTION("""COMPUTED_VALUE"""),"Millhaven Institution")</f>
        <v/>
      </c>
      <c r="K20132">
        <f>IFERROR(__xludf.DUMMYFUNCTION("""COMPUTED_VALUE"""),343.55)</f>
        <v/>
      </c>
    </row>
    <row r="20133">
      <c r="J20133">
        <f>IFERROR(__xludf.DUMMYFUNCTION("""COMPUTED_VALUE"""),"Rouyn-Noranda, Quebec, Canada / Ottawa, Ontario, Canada")</f>
        <v/>
      </c>
      <c r="K20133">
        <f>IFERROR(__xludf.DUMMYFUNCTION("""COMPUTED_VALUE"""),343.53)</f>
        <v/>
      </c>
    </row>
    <row r="20134">
      <c r="J20134">
        <f>IFERROR(__xludf.DUMMYFUNCTION("""COMPUTED_VALUE"""),"Pau")</f>
        <v/>
      </c>
      <c r="K20134">
        <f>IFERROR(__xludf.DUMMYFUNCTION("""COMPUTED_VALUE"""),343.38)</f>
        <v/>
      </c>
    </row>
    <row r="20135">
      <c r="J20135">
        <f>IFERROR(__xludf.DUMMYFUNCTION("""COMPUTED_VALUE"""),"Field, British Columbia")</f>
        <v/>
      </c>
      <c r="K20135">
        <f>IFERROR(__xludf.DUMMYFUNCTION("""COMPUTED_VALUE"""),343.25)</f>
        <v/>
      </c>
    </row>
    <row r="20136">
      <c r="J20136">
        <f>IFERROR(__xludf.DUMMYFUNCTION("""COMPUTED_VALUE"""),"St-Germain-de-Grantham, Eastman")</f>
        <v/>
      </c>
      <c r="K20136">
        <f>IFERROR(__xludf.DUMMYFUNCTION("""COMPUTED_VALUE"""),343.08)</f>
        <v/>
      </c>
    </row>
    <row r="20137">
      <c r="J20137">
        <f>IFERROR(__xludf.DUMMYFUNCTION("""COMPUTED_VALUE"""),"Vancouver, British Columbia and Mont-Joli, Quebec and Moncton, New-Brunswick")</f>
        <v/>
      </c>
      <c r="K20137">
        <f>IFERROR(__xludf.DUMMYFUNCTION("""COMPUTED_VALUE"""),342.79)</f>
        <v/>
      </c>
    </row>
    <row r="20138">
      <c r="J20138">
        <f>IFERROR(__xludf.DUMMYFUNCTION("""COMPUTED_VALUE"""),"Awekesawne / Potsdam NY")</f>
        <v/>
      </c>
      <c r="K20138">
        <f>IFERROR(__xludf.DUMMYFUNCTION("""COMPUTED_VALUE"""),342.72)</f>
        <v/>
      </c>
    </row>
    <row r="20139">
      <c r="J20139">
        <f>IFERROR(__xludf.DUMMYFUNCTION("""COMPUTED_VALUE"""),"Candiac, Quebec, Canada")</f>
        <v/>
      </c>
      <c r="K20139">
        <f>IFERROR(__xludf.DUMMYFUNCTION("""COMPUTED_VALUE"""),342.7)</f>
        <v/>
      </c>
    </row>
    <row r="20140">
      <c r="J20140">
        <f>IFERROR(__xludf.DUMMYFUNCTION("""COMPUTED_VALUE"""),"Saint-Hubert, Quebec, Canada; Sept-Îles, Quebec, Canada; Trois-Rivières, Quebec, Canada; Québec, Quebec, Canada")</f>
        <v/>
      </c>
      <c r="K20140">
        <f>IFERROR(__xludf.DUMMYFUNCTION("""COMPUTED_VALUE"""),342.58)</f>
        <v/>
      </c>
    </row>
    <row r="20141">
      <c r="J20141">
        <f>IFERROR(__xludf.DUMMYFUNCTION("""COMPUTED_VALUE"""),"Brantford, Ontario, Canada;Mississauga, Ontaio, Canada")</f>
        <v/>
      </c>
      <c r="K20141">
        <f>IFERROR(__xludf.DUMMYFUNCTION("""COMPUTED_VALUE"""),342.27)</f>
        <v/>
      </c>
    </row>
    <row r="20142">
      <c r="J20142">
        <f>IFERROR(__xludf.DUMMYFUNCTION("""COMPUTED_VALUE"""),"Niagra Falls, Ontario, Canada")</f>
        <v/>
      </c>
      <c r="K20142">
        <f>IFERROR(__xludf.DUMMYFUNCTION("""COMPUTED_VALUE"""),342.2)</f>
        <v/>
      </c>
    </row>
    <row r="20143">
      <c r="J20143">
        <f>IFERROR(__xludf.DUMMYFUNCTION("""COMPUTED_VALUE"""),"Val David")</f>
        <v/>
      </c>
      <c r="K20143">
        <f>IFERROR(__xludf.DUMMYFUNCTION("""COMPUTED_VALUE"""),341.729999999999)</f>
        <v/>
      </c>
    </row>
    <row r="20144">
      <c r="J20144">
        <f>IFERROR(__xludf.DUMMYFUNCTION("""COMPUTED_VALUE"""),"Montreal, Quebec; Drummondville, Quebec")</f>
        <v/>
      </c>
      <c r="K20144">
        <f>IFERROR(__xludf.DUMMYFUNCTION("""COMPUTED_VALUE"""),341.64)</f>
        <v/>
      </c>
    </row>
    <row r="20145">
      <c r="J20145">
        <f>IFERROR(__xludf.DUMMYFUNCTION("""COMPUTED_VALUE"""),"La Macaza, QC")</f>
        <v/>
      </c>
      <c r="K20145">
        <f>IFERROR(__xludf.DUMMYFUNCTION("""COMPUTED_VALUE"""),341.09)</f>
        <v/>
      </c>
    </row>
    <row r="20146">
      <c r="J20146">
        <f>IFERROR(__xludf.DUMMYFUNCTION("""COMPUTED_VALUE"""),"Ingonish, Nova Scotia, Canada
Shediac, New Brunswick, Canada")</f>
        <v/>
      </c>
      <c r="K20146">
        <f>IFERROR(__xludf.DUMMYFUNCTION("""COMPUTED_VALUE"""),340.76)</f>
        <v/>
      </c>
    </row>
    <row r="20147">
      <c r="J20147">
        <f>IFERROR(__xludf.DUMMYFUNCTION("""COMPUTED_VALUE"""),"Roberval, Bécancour")</f>
        <v/>
      </c>
      <c r="K20147">
        <f>IFERROR(__xludf.DUMMYFUNCTION("""COMPUTED_VALUE"""),340.66)</f>
        <v/>
      </c>
    </row>
    <row r="20148">
      <c r="J20148">
        <f>IFERROR(__xludf.DUMMYFUNCTION("""COMPUTED_VALUE"""),"Charlottetown, PE - Halifax, NS / Halifax, NS - Shediac, NB")</f>
        <v/>
      </c>
      <c r="K20148">
        <f>IFERROR(__xludf.DUMMYFUNCTION("""COMPUTED_VALUE"""),340.54)</f>
        <v/>
      </c>
    </row>
    <row r="20149">
      <c r="J20149">
        <f>IFERROR(__xludf.DUMMYFUNCTION("""COMPUTED_VALUE"""),"Longueuil, Québec, Canada")</f>
        <v/>
      </c>
      <c r="K20149">
        <f>IFERROR(__xludf.DUMMYFUNCTION("""COMPUTED_VALUE"""),340.26)</f>
        <v/>
      </c>
    </row>
    <row r="20150">
      <c r="J20150">
        <f>IFERROR(__xludf.DUMMYFUNCTION("""COMPUTED_VALUE"""),"Montréal / St Jean, QC")</f>
        <v/>
      </c>
      <c r="K20150">
        <f>IFERROR(__xludf.DUMMYFUNCTION("""COMPUTED_VALUE"""),340.1)</f>
        <v/>
      </c>
    </row>
    <row r="20151">
      <c r="J20151">
        <f>IFERROR(__xludf.DUMMYFUNCTION("""COMPUTED_VALUE"""),"Toronto / Kingston, ON")</f>
        <v/>
      </c>
      <c r="K20151">
        <f>IFERROR(__xludf.DUMMYFUNCTION("""COMPUTED_VALUE"""),339.64)</f>
        <v/>
      </c>
    </row>
    <row r="20152">
      <c r="J20152">
        <f>IFERROR(__xludf.DUMMYFUNCTION("""COMPUTED_VALUE"""),"Whistler, British Colombia")</f>
        <v/>
      </c>
      <c r="K20152">
        <f>IFERROR(__xludf.DUMMYFUNCTION("""COMPUTED_VALUE"""),338.28)</f>
        <v/>
      </c>
    </row>
    <row r="20153">
      <c r="J20153">
        <f>IFERROR(__xludf.DUMMYFUNCTION("""COMPUTED_VALUE"""),"Donnacona Institution, Quebec, Canada")</f>
        <v/>
      </c>
      <c r="K20153">
        <f>IFERROR(__xludf.DUMMYFUNCTION("""COMPUTED_VALUE"""),338.16)</f>
        <v/>
      </c>
    </row>
    <row r="20154">
      <c r="J20154">
        <f>IFERROR(__xludf.DUMMYFUNCTION("""COMPUTED_VALUE"""),"Montreal and Saint-Hyacinthe, Quebec")</f>
        <v/>
      </c>
      <c r="K20154">
        <f>IFERROR(__xludf.DUMMYFUNCTION("""COMPUTED_VALUE"""),338.14)</f>
        <v/>
      </c>
    </row>
    <row r="20155">
      <c r="J20155">
        <f>IFERROR(__xludf.DUMMYFUNCTION("""COMPUTED_VALUE"""),"St-Jean (Quebec) Canada")</f>
        <v/>
      </c>
      <c r="K20155">
        <f>IFERROR(__xludf.DUMMYFUNCTION("""COMPUTED_VALUE"""),338.02)</f>
        <v/>
      </c>
    </row>
    <row r="20156">
      <c r="J20156">
        <f>IFERROR(__xludf.DUMMYFUNCTION("""COMPUTED_VALUE"""),"Saguenay, Quebec")</f>
        <v/>
      </c>
      <c r="K20156">
        <f>IFERROR(__xludf.DUMMYFUNCTION("""COMPUTED_VALUE"""),337.95)</f>
        <v/>
      </c>
    </row>
    <row r="20157">
      <c r="J20157">
        <f>IFERROR(__xludf.DUMMYFUNCTION("""COMPUTED_VALUE"""),"Wendake (Quebec) Canada")</f>
        <v/>
      </c>
      <c r="K20157">
        <f>IFERROR(__xludf.DUMMYFUNCTION("""COMPUTED_VALUE"""),337.87)</f>
        <v/>
      </c>
    </row>
    <row r="20158">
      <c r="J20158">
        <f>IFERROR(__xludf.DUMMYFUNCTION("""COMPUTED_VALUE"""),"Antigonish")</f>
        <v/>
      </c>
      <c r="K20158">
        <f>IFERROR(__xludf.DUMMYFUNCTION("""COMPUTED_VALUE"""),337.78)</f>
        <v/>
      </c>
    </row>
    <row r="20159">
      <c r="J20159">
        <f>IFERROR(__xludf.DUMMYFUNCTION("""COMPUTED_VALUE"""),"Ville St-Laurent, Québec")</f>
        <v/>
      </c>
      <c r="K20159">
        <f>IFERROR(__xludf.DUMMYFUNCTION("""COMPUTED_VALUE"""),337.73)</f>
        <v/>
      </c>
    </row>
    <row r="20160">
      <c r="J20160">
        <f>IFERROR(__xludf.DUMMYFUNCTION("""COMPUTED_VALUE"""),"Waterdown, Ontario")</f>
        <v/>
      </c>
      <c r="K20160">
        <f>IFERROR(__xludf.DUMMYFUNCTION("""COMPUTED_VALUE"""),337.56)</f>
        <v/>
      </c>
    </row>
    <row r="20161">
      <c r="J20161">
        <f>IFERROR(__xludf.DUMMYFUNCTION("""COMPUTED_VALUE"""),"St-Jean-sur Richelieu")</f>
        <v/>
      </c>
      <c r="K20161">
        <f>IFERROR(__xludf.DUMMYFUNCTION("""COMPUTED_VALUE"""),337.02)</f>
        <v/>
      </c>
    </row>
    <row r="20162">
      <c r="J20162">
        <f>IFERROR(__xludf.DUMMYFUNCTION("""COMPUTED_VALUE"""),"Sherbrooke, Orford, Trois-Riviere, Quebec, (Canada)")</f>
        <v/>
      </c>
      <c r="K20162">
        <f>IFERROR(__xludf.DUMMYFUNCTION("""COMPUTED_VALUE"""),336.43)</f>
        <v/>
      </c>
    </row>
    <row r="20163">
      <c r="J20163">
        <f>IFERROR(__xludf.DUMMYFUNCTION("""COMPUTED_VALUE"""),"Dartmouth, Nova Scotia, Canada; Truro, Nova Scotia, Canada")</f>
        <v/>
      </c>
      <c r="K20163">
        <f>IFERROR(__xludf.DUMMYFUNCTION("""COMPUTED_VALUE"""),336.4)</f>
        <v/>
      </c>
    </row>
    <row r="20164">
      <c r="J20164">
        <f>IFERROR(__xludf.DUMMYFUNCTION("""COMPUTED_VALUE"""),"Seattle (Washington) United States of America")</f>
        <v/>
      </c>
      <c r="K20164">
        <f>IFERROR(__xludf.DUMMYFUNCTION("""COMPUTED_VALUE"""),336.39)</f>
        <v/>
      </c>
    </row>
    <row r="20165">
      <c r="J20165">
        <f>IFERROR(__xludf.DUMMYFUNCTION("""COMPUTED_VALUE"""),"Vancouver, BC Delta, BC Richmond, BC New Westminster, BC")</f>
        <v/>
      </c>
      <c r="K20165">
        <f>IFERROR(__xludf.DUMMYFUNCTION("""COMPUTED_VALUE"""),336.31)</f>
        <v/>
      </c>
    </row>
    <row r="20166">
      <c r="J20166">
        <f>IFERROR(__xludf.DUMMYFUNCTION("""COMPUTED_VALUE"""),"Antigonish, Nova Scotia, Canada                                 Stellarton, Nova Scotia Canada")</f>
        <v/>
      </c>
      <c r="K20166">
        <f>IFERROR(__xludf.DUMMYFUNCTION("""COMPUTED_VALUE"""),335.66)</f>
        <v/>
      </c>
    </row>
    <row r="20167">
      <c r="J20167">
        <f>IFERROR(__xludf.DUMMYFUNCTION("""COMPUTED_VALUE"""),"Fort Erie, Ontario, Canada")</f>
        <v/>
      </c>
      <c r="K20167">
        <f>IFERROR(__xludf.DUMMYFUNCTION("""COMPUTED_VALUE"""),335.3)</f>
        <v/>
      </c>
    </row>
    <row r="20168">
      <c r="J20168">
        <f>IFERROR(__xludf.DUMMYFUNCTION("""COMPUTED_VALUE"""),"St Marthe")</f>
        <v/>
      </c>
      <c r="K20168">
        <f>IFERROR(__xludf.DUMMYFUNCTION("""COMPUTED_VALUE"""),334.91)</f>
        <v/>
      </c>
    </row>
    <row r="20169">
      <c r="J20169">
        <f>IFERROR(__xludf.DUMMYFUNCTION("""COMPUTED_VALUE"""),"Beaumont-Hamel, Vimy, Ypres.")</f>
        <v/>
      </c>
      <c r="K20169">
        <f>IFERROR(__xludf.DUMMYFUNCTION("""COMPUTED_VALUE"""),334.65)</f>
        <v/>
      </c>
    </row>
    <row r="20170">
      <c r="J20170">
        <f>IFERROR(__xludf.DUMMYFUNCTION("""COMPUTED_VALUE"""),"Kingston, Ontario, Canada                                                     Peterborough, Ontario, Canada")</f>
        <v/>
      </c>
      <c r="K20170">
        <f>IFERROR(__xludf.DUMMYFUNCTION("""COMPUTED_VALUE"""),333.5)</f>
        <v/>
      </c>
    </row>
    <row r="20171">
      <c r="J20171">
        <f>IFERROR(__xludf.DUMMYFUNCTION("""COMPUTED_VALUE"""),"Toney RIver, Nova Scotia")</f>
        <v/>
      </c>
      <c r="K20171">
        <f>IFERROR(__xludf.DUMMYFUNCTION("""COMPUTED_VALUE"""),333.28)</f>
        <v/>
      </c>
    </row>
    <row r="20172">
      <c r="J20172">
        <f>IFERROR(__xludf.DUMMYFUNCTION("""COMPUTED_VALUE"""),"Charlottetown, PE - Ottawa, ON")</f>
        <v/>
      </c>
      <c r="K20172">
        <f>IFERROR(__xludf.DUMMYFUNCTION("""COMPUTED_VALUE"""),333.26)</f>
        <v/>
      </c>
    </row>
    <row r="20173">
      <c r="J20173">
        <f>IFERROR(__xludf.DUMMYFUNCTION("""COMPUTED_VALUE"""),"TRENTON ONTARIO")</f>
        <v/>
      </c>
      <c r="K20173">
        <f>IFERROR(__xludf.DUMMYFUNCTION("""COMPUTED_VALUE"""),333.07)</f>
        <v/>
      </c>
    </row>
    <row r="20174">
      <c r="J20174">
        <f>IFERROR(__xludf.DUMMYFUNCTION("""COMPUTED_VALUE"""),"Swann Hills, AB and Fox Creek, AB and Grand Prairie, AB")</f>
        <v/>
      </c>
      <c r="K20174">
        <f>IFERROR(__xludf.DUMMYFUNCTION("""COMPUTED_VALUE"""),332.96)</f>
        <v/>
      </c>
    </row>
    <row r="20175">
      <c r="J20175">
        <f>IFERROR(__xludf.DUMMYFUNCTION("""COMPUTED_VALUE"""),"Sheet Harbour")</f>
        <v/>
      </c>
      <c r="K20175">
        <f>IFERROR(__xludf.DUMMYFUNCTION("""COMPUTED_VALUE"""),332.909999999999)</f>
        <v/>
      </c>
    </row>
    <row r="20176">
      <c r="J20176">
        <f>IFERROR(__xludf.DUMMYFUNCTION("""COMPUTED_VALUE"""),"Trenton (ontario) and Kingston (ontario)")</f>
        <v/>
      </c>
      <c r="K20176">
        <f>IFERROR(__xludf.DUMMYFUNCTION("""COMPUTED_VALUE"""),332.35)</f>
        <v/>
      </c>
    </row>
    <row r="20177">
      <c r="J20177">
        <f>IFERROR(__xludf.DUMMYFUNCTION("""COMPUTED_VALUE"""),"Moose Jaw, SK")</f>
        <v/>
      </c>
      <c r="K20177">
        <f>IFERROR(__xludf.DUMMYFUNCTION("""COMPUTED_VALUE"""),332.23)</f>
        <v/>
      </c>
    </row>
    <row r="20178">
      <c r="J20178">
        <f>IFERROR(__xludf.DUMMYFUNCTION("""COMPUTED_VALUE"""),"Washington, District of Columbia, United States                             Toronto, Ontario, Canada")</f>
        <v/>
      </c>
      <c r="K20178">
        <f>IFERROR(__xludf.DUMMYFUNCTION("""COMPUTED_VALUE"""),331.82)</f>
        <v/>
      </c>
    </row>
    <row r="20179">
      <c r="J20179">
        <f>IFERROR(__xludf.DUMMYFUNCTION("""COMPUTED_VALUE"""),"Banff, British-Columbia")</f>
        <v/>
      </c>
      <c r="K20179">
        <f>IFERROR(__xludf.DUMMYFUNCTION("""COMPUTED_VALUE"""),331.63)</f>
        <v/>
      </c>
    </row>
    <row r="20180">
      <c r="J20180">
        <f>IFERROR(__xludf.DUMMYFUNCTION("""COMPUTED_VALUE"""),"Gatineau,  Quebec (Canada)")</f>
        <v/>
      </c>
      <c r="K20180">
        <f>IFERROR(__xludf.DUMMYFUNCTION("""COMPUTED_VALUE"""),331.49)</f>
        <v/>
      </c>
    </row>
    <row r="20181">
      <c r="J20181">
        <f>IFERROR(__xludf.DUMMYFUNCTION("""COMPUTED_VALUE"""),"DEIPPE, FRANCE")</f>
        <v/>
      </c>
      <c r="K20181">
        <f>IFERROR(__xludf.DUMMYFUNCTION("""COMPUTED_VALUE"""),331.26)</f>
        <v/>
      </c>
    </row>
    <row r="20182">
      <c r="J20182">
        <f>IFERROR(__xludf.DUMMYFUNCTION("""COMPUTED_VALUE"""),"Pittsburgh")</f>
        <v/>
      </c>
      <c r="K20182">
        <f>IFERROR(__xludf.DUMMYFUNCTION("""COMPUTED_VALUE"""),330.87)</f>
        <v/>
      </c>
    </row>
    <row r="20183">
      <c r="J20183">
        <f>IFERROR(__xludf.DUMMYFUNCTION("""COMPUTED_VALUE"""),"Yarmouth")</f>
        <v/>
      </c>
      <c r="K20183">
        <f>IFERROR(__xludf.DUMMYFUNCTION("""COMPUTED_VALUE"""),330.51)</f>
        <v/>
      </c>
    </row>
    <row r="20184">
      <c r="J20184">
        <f>IFERROR(__xludf.DUMMYFUNCTION("""COMPUTED_VALUE"""),"Bagotville (Quebec) Canada")</f>
        <v/>
      </c>
      <c r="K20184">
        <f>IFERROR(__xludf.DUMMYFUNCTION("""COMPUTED_VALUE"""),330.44)</f>
        <v/>
      </c>
    </row>
    <row r="20185">
      <c r="J20185">
        <f>IFERROR(__xludf.DUMMYFUNCTION("""COMPUTED_VALUE"""),"North of Israel")</f>
        <v/>
      </c>
      <c r="K20185">
        <f>IFERROR(__xludf.DUMMYFUNCTION("""COMPUTED_VALUE"""),330.4)</f>
        <v/>
      </c>
    </row>
    <row r="20186">
      <c r="J20186">
        <f>IFERROR(__xludf.DUMMYFUNCTION("""COMPUTED_VALUE"""),"Oliver, British Columbia")</f>
        <v/>
      </c>
      <c r="K20186">
        <f>IFERROR(__xludf.DUMMYFUNCTION("""COMPUTED_VALUE"""),330.35)</f>
        <v/>
      </c>
    </row>
    <row r="20187">
      <c r="J20187">
        <f>IFERROR(__xludf.DUMMYFUNCTION("""COMPUTED_VALUE"""),"Parrsboro, Nova Scotia Canada")</f>
        <v/>
      </c>
      <c r="K20187">
        <f>IFERROR(__xludf.DUMMYFUNCTION("""COMPUTED_VALUE"""),330.3)</f>
        <v/>
      </c>
    </row>
    <row r="20188">
      <c r="J20188">
        <f>IFERROR(__xludf.DUMMYFUNCTION("""COMPUTED_VALUE"""),"unknown")</f>
        <v/>
      </c>
      <c r="K20188">
        <f>IFERROR(__xludf.DUMMYFUNCTION("""COMPUTED_VALUE"""),330.15)</f>
        <v/>
      </c>
    </row>
    <row r="20189">
      <c r="J20189">
        <f>IFERROR(__xludf.DUMMYFUNCTION("""COMPUTED_VALUE"""),"Notre-Dame-de-l'Île-Perrot, Quebec, Canada")</f>
        <v/>
      </c>
      <c r="K20189">
        <f>IFERROR(__xludf.DUMMYFUNCTION("""COMPUTED_VALUE"""),330.01)</f>
        <v/>
      </c>
    </row>
    <row r="20190">
      <c r="J20190">
        <f>IFERROR(__xludf.DUMMYFUNCTION("""COMPUTED_VALUE"""),"Clermont Ferrand")</f>
        <v/>
      </c>
      <c r="K20190">
        <f>IFERROR(__xludf.DUMMYFUNCTION("""COMPUTED_VALUE"""),330)</f>
        <v/>
      </c>
    </row>
    <row r="20191">
      <c r="J20191">
        <f>IFERROR(__xludf.DUMMYFUNCTION("""COMPUTED_VALUE"""),"O'Leary, PE Elmsdale, PE Summerside, PE Alberton, PE Charlottetown, PE")</f>
        <v/>
      </c>
      <c r="K20191">
        <f>IFERROR(__xludf.DUMMYFUNCTION("""COMPUTED_VALUE"""),329.81)</f>
        <v/>
      </c>
    </row>
    <row r="20192">
      <c r="J20192">
        <f>IFERROR(__xludf.DUMMYFUNCTION("""COMPUTED_VALUE"""),"Nur Sultan, KAZAKHSTAN")</f>
        <v/>
      </c>
      <c r="K20192">
        <f>IFERROR(__xludf.DUMMYFUNCTION("""COMPUTED_VALUE"""),329.65)</f>
        <v/>
      </c>
    </row>
    <row r="20193">
      <c r="J20193">
        <f>IFERROR(__xludf.DUMMYFUNCTION("""COMPUTED_VALUE"""),"Charlottetown, Prince Edward Island, Canada; Montague, Prince Edward Island, Canada; O'Leary, Prince Edward Island, Canada; Summerside, Prince Edward Island, Canada")</f>
        <v/>
      </c>
      <c r="K20193">
        <f>IFERROR(__xludf.DUMMYFUNCTION("""COMPUTED_VALUE"""),329.61)</f>
        <v/>
      </c>
    </row>
    <row r="20194">
      <c r="J20194">
        <f>IFERROR(__xludf.DUMMYFUNCTION("""COMPUTED_VALUE"""),"Ste-Julie, Quebec, Canada")</f>
        <v/>
      </c>
      <c r="K20194">
        <f>IFERROR(__xludf.DUMMYFUNCTION("""COMPUTED_VALUE"""),329.6)</f>
        <v/>
      </c>
    </row>
    <row r="20195">
      <c r="J20195">
        <f>IFERROR(__xludf.DUMMYFUNCTION("""COMPUTED_VALUE"""),"La Pocatière, Québec, Ottawa")</f>
        <v/>
      </c>
      <c r="K20195">
        <f>IFERROR(__xludf.DUMMYFUNCTION("""COMPUTED_VALUE"""),329.4)</f>
        <v/>
      </c>
    </row>
    <row r="20196">
      <c r="J20196">
        <f>IFERROR(__xludf.DUMMYFUNCTION("""COMPUTED_VALUE"""),"Calgary, AB and Airdrie, AB")</f>
        <v/>
      </c>
      <c r="K20196">
        <f>IFERROR(__xludf.DUMMYFUNCTION("""COMPUTED_VALUE"""),329.31)</f>
        <v/>
      </c>
    </row>
    <row r="20197">
      <c r="J20197">
        <f>IFERROR(__xludf.DUMMYFUNCTION("""COMPUTED_VALUE"""),"Alberton, PE Arlington, PE Wellington, PE Summerside, PE")</f>
        <v/>
      </c>
      <c r="K20197">
        <f>IFERROR(__xludf.DUMMYFUNCTION("""COMPUTED_VALUE"""),328.69)</f>
        <v/>
      </c>
    </row>
    <row r="20198">
      <c r="J20198">
        <f>IFERROR(__xludf.DUMMYFUNCTION("""COMPUTED_VALUE"""),"St-Étienne-de-Lauzon, Ste-Ursule, Prémont, St-Jean-de-Mathou")</f>
        <v/>
      </c>
      <c r="K20198">
        <f>IFERROR(__xludf.DUMMYFUNCTION("""COMPUTED_VALUE"""),328.47)</f>
        <v/>
      </c>
    </row>
    <row r="20199">
      <c r="J20199">
        <f>IFERROR(__xludf.DUMMYFUNCTION("""COMPUTED_VALUE"""),"Swift Current, Saskatchewan, Canada")</f>
        <v/>
      </c>
      <c r="K20199">
        <f>IFERROR(__xludf.DUMMYFUNCTION("""COMPUTED_VALUE"""),328.41)</f>
        <v/>
      </c>
    </row>
    <row r="20200">
      <c r="J20200">
        <f>IFERROR(__xludf.DUMMYFUNCTION("""COMPUTED_VALUE"""),"Val d'Or, Montréal")</f>
        <v/>
      </c>
      <c r="K20200">
        <f>IFERROR(__xludf.DUMMYFUNCTION("""COMPUTED_VALUE"""),328.36)</f>
        <v/>
      </c>
    </row>
    <row r="20201">
      <c r="J20201">
        <f>IFERROR(__xludf.DUMMYFUNCTION("""COMPUTED_VALUE"""),"Action Vale, Quebec, Canada")</f>
        <v/>
      </c>
      <c r="K20201">
        <f>IFERROR(__xludf.DUMMYFUNCTION("""COMPUTED_VALUE"""),328.11)</f>
        <v/>
      </c>
    </row>
    <row r="20202">
      <c r="J20202">
        <f>IFERROR(__xludf.DUMMYFUNCTION("""COMPUTED_VALUE"""),"Fredericton, NB; Vancouver, BC")</f>
        <v/>
      </c>
      <c r="K20202">
        <f>IFERROR(__xludf.DUMMYFUNCTION("""COMPUTED_VALUE"""),328)</f>
        <v/>
      </c>
    </row>
    <row r="20203">
      <c r="J20203">
        <f>IFERROR(__xludf.DUMMYFUNCTION("""COMPUTED_VALUE"""),"Montebello (Quebec) Canada; Laval(Quebec) Canada; Saint-Hyacinthe (Quebec) Canada")</f>
        <v/>
      </c>
      <c r="K20203">
        <f>IFERROR(__xludf.DUMMYFUNCTION("""COMPUTED_VALUE"""),327.7)</f>
        <v/>
      </c>
    </row>
    <row r="20204">
      <c r="J20204">
        <f>IFERROR(__xludf.DUMMYFUNCTION("""COMPUTED_VALUE"""),"Port-au-Prince and Santo Domingo")</f>
        <v/>
      </c>
      <c r="K20204">
        <f>IFERROR(__xludf.DUMMYFUNCTION("""COMPUTED_VALUE"""),327.23)</f>
        <v/>
      </c>
    </row>
    <row r="20205">
      <c r="J20205">
        <f>IFERROR(__xludf.DUMMYFUNCTION("""COMPUTED_VALUE"""),"Matane, Quebec Gaspé, Quebec and Rimouski, Quebec")</f>
        <v/>
      </c>
      <c r="K20205">
        <f>IFERROR(__xludf.DUMMYFUNCTION("""COMPUTED_VALUE"""),327.2)</f>
        <v/>
      </c>
    </row>
    <row r="20206">
      <c r="J20206">
        <f>IFERROR(__xludf.DUMMYFUNCTION("""COMPUTED_VALUE"""),"Montreal, Quebec, Canada / Rouyn-Noranda, Quebec, Canada / Val d'Or, Quebec, Canada / Mont-Joli, Quebec, Canada")</f>
        <v/>
      </c>
      <c r="K20206">
        <f>IFERROR(__xludf.DUMMYFUNCTION("""COMPUTED_VALUE"""),327.13)</f>
        <v/>
      </c>
    </row>
    <row r="20207">
      <c r="J20207">
        <f>IFERROR(__xludf.DUMMYFUNCTION("""COMPUTED_VALUE"""),"Saint-Lazare, Quebec, Canada")</f>
        <v/>
      </c>
      <c r="K20207">
        <f>IFERROR(__xludf.DUMMYFUNCTION("""COMPUTED_VALUE"""),327.1)</f>
        <v/>
      </c>
    </row>
    <row r="20208">
      <c r="J20208">
        <f>IFERROR(__xludf.DUMMYFUNCTION("""COMPUTED_VALUE"""),"Tyendingaga, Ontario, Canada")</f>
        <v/>
      </c>
      <c r="K20208">
        <f>IFERROR(__xludf.DUMMYFUNCTION("""COMPUTED_VALUE"""),326.98)</f>
        <v/>
      </c>
    </row>
    <row r="20209">
      <c r="J20209">
        <f>IFERROR(__xludf.DUMMYFUNCTION("""COMPUTED_VALUE"""),"Great Barrington, Massachusetts, USA")</f>
        <v/>
      </c>
      <c r="K20209">
        <f>IFERROR(__xludf.DUMMYFUNCTION("""COMPUTED_VALUE"""),326.96)</f>
        <v/>
      </c>
    </row>
    <row r="20210">
      <c r="J20210">
        <f>IFERROR(__xludf.DUMMYFUNCTION("""COMPUTED_VALUE"""),"Saint-Jean-sur-Richelieu, Lac Brome, Quebec, Canada")</f>
        <v/>
      </c>
      <c r="K20210">
        <f>IFERROR(__xludf.DUMMYFUNCTION("""COMPUTED_VALUE"""),326.57)</f>
        <v/>
      </c>
    </row>
    <row r="20211">
      <c r="J20211">
        <f>IFERROR(__xludf.DUMMYFUNCTION("""COMPUTED_VALUE"""),"Cold Lake (Alberta), Bagotville (Québec) Canada")</f>
        <v/>
      </c>
      <c r="K20211">
        <f>IFERROR(__xludf.DUMMYFUNCTION("""COMPUTED_VALUE"""),326.38)</f>
        <v/>
      </c>
    </row>
    <row r="20212">
      <c r="J20212">
        <f>IFERROR(__xludf.DUMMYFUNCTION("""COMPUTED_VALUE"""),"Lansdowne, Ontario, Canada")</f>
        <v/>
      </c>
      <c r="K20212">
        <f>IFERROR(__xludf.DUMMYFUNCTION("""COMPUTED_VALUE"""),326.32)</f>
        <v/>
      </c>
    </row>
    <row r="20213">
      <c r="J20213">
        <f>IFERROR(__xludf.DUMMYFUNCTION("""COMPUTED_VALUE"""),"Montréal, Quebec, Canada and Toronto, Ontario, Canada")</f>
        <v/>
      </c>
      <c r="K20213">
        <f>IFERROR(__xludf.DUMMYFUNCTION("""COMPUTED_VALUE"""),326.25)</f>
        <v/>
      </c>
    </row>
    <row r="20214">
      <c r="J20214">
        <f>IFERROR(__xludf.DUMMYFUNCTION("""COMPUTED_VALUE"""),"Chibougamau, Quebec, Canada; Montréal, Quebec, Canada")</f>
        <v/>
      </c>
      <c r="K20214">
        <f>IFERROR(__xludf.DUMMYFUNCTION("""COMPUTED_VALUE"""),326.03)</f>
        <v/>
      </c>
    </row>
    <row r="20215">
      <c r="J20215">
        <f>IFERROR(__xludf.DUMMYFUNCTION("""COMPUTED_VALUE"""),"Montreal,Sherbrooke, Quebec (Canada)")</f>
        <v/>
      </c>
      <c r="K20215">
        <f>IFERROR(__xludf.DUMMYFUNCTION("""COMPUTED_VALUE"""),325.9)</f>
        <v/>
      </c>
    </row>
    <row r="20216">
      <c r="J20216">
        <f>IFERROR(__xludf.DUMMYFUNCTION("""COMPUTED_VALUE"""),"Tiberias, Israel")</f>
        <v/>
      </c>
      <c r="K20216">
        <f>IFERROR(__xludf.DUMMYFUNCTION("""COMPUTED_VALUE"""),325.85)</f>
        <v/>
      </c>
    </row>
    <row r="20217">
      <c r="J20217">
        <f>IFERROR(__xludf.DUMMYFUNCTION("""COMPUTED_VALUE"""),"Quebec and Chicoutimi")</f>
        <v/>
      </c>
      <c r="K20217">
        <f>IFERROR(__xludf.DUMMYFUNCTION("""COMPUTED_VALUE"""),325.2)</f>
        <v/>
      </c>
    </row>
    <row r="20218">
      <c r="J20218">
        <f>IFERROR(__xludf.DUMMYFUNCTION("""COMPUTED_VALUE"""),"Sherbrooke (Quebec) Canada; 
Ottawa (Ontario) Canada")</f>
        <v/>
      </c>
      <c r="K20218">
        <f>IFERROR(__xludf.DUMMYFUNCTION("""COMPUTED_VALUE"""),324.7)</f>
        <v/>
      </c>
    </row>
    <row r="20219">
      <c r="J20219">
        <f>IFERROR(__xludf.DUMMYFUNCTION("""COMPUTED_VALUE"""),"Ottawa, Ontario / Gatineau, Quebec, Canada")</f>
        <v/>
      </c>
      <c r="K20219">
        <f>IFERROR(__xludf.DUMMYFUNCTION("""COMPUTED_VALUE"""),324.45)</f>
        <v/>
      </c>
    </row>
    <row r="20220">
      <c r="J20220">
        <f>IFERROR(__xludf.DUMMYFUNCTION("""COMPUTED_VALUE"""),"Acheson Beacon Yard, Alberta, Canada")</f>
        <v/>
      </c>
      <c r="K20220">
        <f>IFERROR(__xludf.DUMMYFUNCTION("""COMPUTED_VALUE"""),324.44)</f>
        <v/>
      </c>
    </row>
    <row r="20221">
      <c r="J20221">
        <f>IFERROR(__xludf.DUMMYFUNCTION("""COMPUTED_VALUE"""),"Becancour, Quebec, Canada")</f>
        <v/>
      </c>
      <c r="K20221">
        <f>IFERROR(__xludf.DUMMYFUNCTION("""COMPUTED_VALUE"""),324.35)</f>
        <v/>
      </c>
    </row>
    <row r="20222">
      <c r="J20222">
        <f>IFERROR(__xludf.DUMMYFUNCTION("""COMPUTED_VALUE"""),"Alert")</f>
        <v/>
      </c>
      <c r="K20222">
        <f>IFERROR(__xludf.DUMMYFUNCTION("""COMPUTED_VALUE"""),324.12)</f>
        <v/>
      </c>
    </row>
    <row r="20223">
      <c r="J20223">
        <f>IFERROR(__xludf.DUMMYFUNCTION("""COMPUTED_VALUE"""),"Matagami, Quebec, Canada; Amos, Quebec, Canada")</f>
        <v/>
      </c>
      <c r="K20223">
        <f>IFERROR(__xludf.DUMMYFUNCTION("""COMPUTED_VALUE"""),323.88)</f>
        <v/>
      </c>
    </row>
    <row r="20224">
      <c r="J20224">
        <f>IFERROR(__xludf.DUMMYFUNCTION("""COMPUTED_VALUE"""),"Nantes")</f>
        <v/>
      </c>
      <c r="K20224">
        <f>IFERROR(__xludf.DUMMYFUNCTION("""COMPUTED_VALUE"""),323.76)</f>
        <v/>
      </c>
    </row>
    <row r="20225">
      <c r="J20225">
        <f>IFERROR(__xludf.DUMMYFUNCTION("""COMPUTED_VALUE"""),"Ottawa-St Jean sur Richelieu-Ottawa")</f>
        <v/>
      </c>
      <c r="K20225">
        <f>IFERROR(__xludf.DUMMYFUNCTION("""COMPUTED_VALUE"""),323.61)</f>
        <v/>
      </c>
    </row>
    <row r="20226">
      <c r="J20226">
        <f>IFERROR(__xludf.DUMMYFUNCTION("""COMPUTED_VALUE"""),"Valcartier, Halifax")</f>
        <v/>
      </c>
      <c r="K20226">
        <f>IFERROR(__xludf.DUMMYFUNCTION("""COMPUTED_VALUE"""),323.6)</f>
        <v/>
      </c>
    </row>
    <row r="20227">
      <c r="J20227">
        <f>IFERROR(__xludf.DUMMYFUNCTION("""COMPUTED_VALUE"""),"Port Hope, ON")</f>
        <v/>
      </c>
      <c r="K20227">
        <f>IFERROR(__xludf.DUMMYFUNCTION("""COMPUTED_VALUE"""),323.56)</f>
        <v/>
      </c>
    </row>
    <row r="20228">
      <c r="J20228">
        <f>IFERROR(__xludf.DUMMYFUNCTION("""COMPUTED_VALUE"""),"Ottawa - Montréal - St-Jean-Baptiste-de-Rouville - Asbestos - Montréal - Ottawa")</f>
        <v/>
      </c>
      <c r="K20228">
        <f>IFERROR(__xludf.DUMMYFUNCTION("""COMPUTED_VALUE"""),323.5)</f>
        <v/>
      </c>
    </row>
    <row r="20229">
      <c r="J20229">
        <f>IFERROR(__xludf.DUMMYFUNCTION("""COMPUTED_VALUE"""),"Kelowna and Kamloops, British Columbia, Canada")</f>
        <v/>
      </c>
      <c r="K20229">
        <f>IFERROR(__xludf.DUMMYFUNCTION("""COMPUTED_VALUE"""),323.46)</f>
        <v/>
      </c>
    </row>
    <row r="20230">
      <c r="J20230">
        <f>IFERROR(__xludf.DUMMYFUNCTION("""COMPUTED_VALUE"""),"Parksville and Victoria, BC")</f>
        <v/>
      </c>
      <c r="K20230">
        <f>IFERROR(__xludf.DUMMYFUNCTION("""COMPUTED_VALUE"""),322.8)</f>
        <v/>
      </c>
    </row>
    <row r="20231">
      <c r="J20231">
        <f>IFERROR(__xludf.DUMMYFUNCTION("""COMPUTED_VALUE"""),"La Sarre, Québec, Lévis, Roberval")</f>
        <v/>
      </c>
      <c r="K20231">
        <f>IFERROR(__xludf.DUMMYFUNCTION("""COMPUTED_VALUE"""),322.63)</f>
        <v/>
      </c>
    </row>
    <row r="20232">
      <c r="J20232">
        <f>IFERROR(__xludf.DUMMYFUNCTION("""COMPUTED_VALUE"""),"Roberval, Gaspé, Gatineau")</f>
        <v/>
      </c>
      <c r="K20232">
        <f>IFERROR(__xludf.DUMMYFUNCTION("""COMPUTED_VALUE"""),321.68)</f>
        <v/>
      </c>
    </row>
    <row r="20233">
      <c r="J20233">
        <f>IFERROR(__xludf.DUMMYFUNCTION("""COMPUTED_VALUE"""),"Thetford Mines, Québec, Canada; Québec, Québec, Canada")</f>
        <v/>
      </c>
      <c r="K20233">
        <f>IFERROR(__xludf.DUMMYFUNCTION("""COMPUTED_VALUE"""),321.6)</f>
        <v/>
      </c>
    </row>
    <row r="20234">
      <c r="J20234">
        <f>IFERROR(__xludf.DUMMYFUNCTION("""COMPUTED_VALUE"""),"Calgary, Alberta, Canada; Medicine Hat, Alberta, Canada")</f>
        <v/>
      </c>
      <c r="K20234">
        <f>IFERROR(__xludf.DUMMYFUNCTION("""COMPUTED_VALUE"""),321.36)</f>
        <v/>
      </c>
    </row>
    <row r="20235">
      <c r="J20235">
        <f>IFERROR(__xludf.DUMMYFUNCTION("""COMPUTED_VALUE"""),"Quebec City, Quebec, Canada; Montreal, Quebec Canada")</f>
        <v/>
      </c>
      <c r="K20235">
        <f>IFERROR(__xludf.DUMMYFUNCTION("""COMPUTED_VALUE"""),321.2)</f>
        <v/>
      </c>
    </row>
    <row r="20236">
      <c r="J20236">
        <f>IFERROR(__xludf.DUMMYFUNCTION("""COMPUTED_VALUE"""),"Sicily Italy")</f>
        <v/>
      </c>
      <c r="K20236">
        <f>IFERROR(__xludf.DUMMYFUNCTION("""COMPUTED_VALUE"""),321.2)</f>
        <v/>
      </c>
    </row>
    <row r="20237">
      <c r="J20237">
        <f>IFERROR(__xludf.DUMMYFUNCTION("""COMPUTED_VALUE"""),"Ottawa, Ontario, Canada/ Gatineau, Quebec, Canada")</f>
        <v/>
      </c>
      <c r="K20237">
        <f>IFERROR(__xludf.DUMMYFUNCTION("""COMPUTED_VALUE"""),320.82)</f>
        <v/>
      </c>
    </row>
    <row r="20238">
      <c r="J20238">
        <f>IFERROR(__xludf.DUMMYFUNCTION("""COMPUTED_VALUE"""),"Lévis, QC.")</f>
        <v/>
      </c>
      <c r="K20238">
        <f>IFERROR(__xludf.DUMMYFUNCTION("""COMPUTED_VALUE"""),320.58)</f>
        <v/>
      </c>
    </row>
    <row r="20239">
      <c r="J20239">
        <f>IFERROR(__xludf.DUMMYFUNCTION("""COMPUTED_VALUE"""),"Clarington, Ontario, Canada")</f>
        <v/>
      </c>
      <c r="K20239">
        <f>IFERROR(__xludf.DUMMYFUNCTION("""COMPUTED_VALUE"""),320.4)</f>
        <v/>
      </c>
    </row>
    <row r="20240">
      <c r="J20240">
        <f>IFERROR(__xludf.DUMMYFUNCTION("""COMPUTED_VALUE"""),"Passeport / Passport")</f>
        <v/>
      </c>
      <c r="K20240">
        <f>IFERROR(__xludf.DUMMYFUNCTION("""COMPUTED_VALUE"""),320)</f>
        <v/>
      </c>
    </row>
    <row r="20241">
      <c r="J20241">
        <f>IFERROR(__xludf.DUMMYFUNCTION("""COMPUTED_VALUE"""),"Washington, DC area")</f>
        <v/>
      </c>
      <c r="K20241">
        <f>IFERROR(__xludf.DUMMYFUNCTION("""COMPUTED_VALUE"""),319.4)</f>
        <v/>
      </c>
    </row>
    <row r="20242">
      <c r="J20242">
        <f>IFERROR(__xludf.DUMMYFUNCTION("""COMPUTED_VALUE"""),"Various locations, British Columbia, Canada")</f>
        <v/>
      </c>
      <c r="K20242">
        <f>IFERROR(__xludf.DUMMYFUNCTION("""COMPUTED_VALUE"""),319.35)</f>
        <v/>
      </c>
    </row>
    <row r="20243">
      <c r="J20243">
        <f>IFERROR(__xludf.DUMMYFUNCTION("""COMPUTED_VALUE"""),"Fredericton, New Brunswick, Canada/ St Andrews, New Brunswick, Canada")</f>
        <v/>
      </c>
      <c r="K20243">
        <f>IFERROR(__xludf.DUMMYFUNCTION("""COMPUTED_VALUE"""),319.2)</f>
        <v/>
      </c>
    </row>
    <row r="20244">
      <c r="J20244">
        <f>IFERROR(__xludf.DUMMYFUNCTION("""COMPUTED_VALUE"""),"Ottawa, Ontario, Canada / Baie-Comeau, Quebec, Canada")</f>
        <v/>
      </c>
      <c r="K20244">
        <f>IFERROR(__xludf.DUMMYFUNCTION("""COMPUTED_VALUE"""),319.12)</f>
        <v/>
      </c>
    </row>
    <row r="20245">
      <c r="J20245">
        <f>IFERROR(__xludf.DUMMYFUNCTION("""COMPUTED_VALUE"""),"Napanee")</f>
        <v/>
      </c>
      <c r="K20245">
        <f>IFERROR(__xludf.DUMMYFUNCTION("""COMPUTED_VALUE"""),318.72)</f>
        <v/>
      </c>
    </row>
    <row r="20246">
      <c r="J20246">
        <f>IFERROR(__xludf.DUMMYFUNCTION("""COMPUTED_VALUE"""),"Elkhorn, Manitoba, Canada")</f>
        <v/>
      </c>
      <c r="K20246">
        <f>IFERROR(__xludf.DUMMYFUNCTION("""COMPUTED_VALUE"""),318.22)</f>
        <v/>
      </c>
    </row>
    <row r="20247">
      <c r="J20247">
        <f>IFERROR(__xludf.DUMMYFUNCTION("""COMPUTED_VALUE"""),"Summerside, Prince Edward Island, Canada; Mill River, Prince Edward Island, Canada; Cornwall, Prince Edward Island, Canada")</f>
        <v/>
      </c>
      <c r="K20247">
        <f>IFERROR(__xludf.DUMMYFUNCTION("""COMPUTED_VALUE"""),317.62)</f>
        <v/>
      </c>
    </row>
    <row r="20248">
      <c r="J20248">
        <f>IFERROR(__xludf.DUMMYFUNCTION("""COMPUTED_VALUE"""),"Halifax, Nova Scotia, Canada; Truro, Nova Scotia, Canada; Lower Sackville, Nova Scotia, Canada")</f>
        <v/>
      </c>
      <c r="K20248">
        <f>IFERROR(__xludf.DUMMYFUNCTION("""COMPUTED_VALUE"""),317.5)</f>
        <v/>
      </c>
    </row>
    <row r="20249">
      <c r="J20249">
        <f>IFERROR(__xludf.DUMMYFUNCTION("""COMPUTED_VALUE"""),"St. Albans &amp; Burlington, VT")</f>
        <v/>
      </c>
      <c r="K20249">
        <f>IFERROR(__xludf.DUMMYFUNCTION("""COMPUTED_VALUE"""),317.45)</f>
        <v/>
      </c>
    </row>
    <row r="20250">
      <c r="J20250">
        <f>IFERROR(__xludf.DUMMYFUNCTION("""COMPUTED_VALUE"""),"Montreal- QC")</f>
        <v/>
      </c>
      <c r="K20250">
        <f>IFERROR(__xludf.DUMMYFUNCTION("""COMPUTED_VALUE"""),317.25)</f>
        <v/>
      </c>
    </row>
    <row r="20251">
      <c r="J20251">
        <f>IFERROR(__xludf.DUMMYFUNCTION("""COMPUTED_VALUE"""),"Charlottetown, PE Tignish, PE")</f>
        <v/>
      </c>
      <c r="K20251">
        <f>IFERROR(__xludf.DUMMYFUNCTION("""COMPUTED_VALUE"""),316.68)</f>
        <v/>
      </c>
    </row>
    <row r="20252">
      <c r="J20252">
        <f>IFERROR(__xludf.DUMMYFUNCTION("""COMPUTED_VALUE"""),"Jagel, Germany")</f>
        <v/>
      </c>
      <c r="K20252">
        <f>IFERROR(__xludf.DUMMYFUNCTION("""COMPUTED_VALUE"""),316.54)</f>
        <v/>
      </c>
    </row>
    <row r="20253">
      <c r="J20253">
        <f>IFERROR(__xludf.DUMMYFUNCTION("""COMPUTED_VALUE"""),"NORMANDY, FRANCE")</f>
        <v/>
      </c>
      <c r="K20253">
        <f>IFERROR(__xludf.DUMMYFUNCTION("""COMPUTED_VALUE"""),316.44)</f>
        <v/>
      </c>
    </row>
    <row r="20254">
      <c r="J20254">
        <f>IFERROR(__xludf.DUMMYFUNCTION("""COMPUTED_VALUE"""),"Hawkesbury, Ontario")</f>
        <v/>
      </c>
      <c r="K20254">
        <f>IFERROR(__xludf.DUMMYFUNCTION("""COMPUTED_VALUE"""),316.15)</f>
        <v/>
      </c>
    </row>
    <row r="20255">
      <c r="J20255">
        <f>IFERROR(__xludf.DUMMYFUNCTION("""COMPUTED_VALUE"""),"St-Jean-sur-richelieu, QC")</f>
        <v/>
      </c>
      <c r="K20255">
        <f>IFERROR(__xludf.DUMMYFUNCTION("""COMPUTED_VALUE"""),316.12)</f>
        <v/>
      </c>
    </row>
    <row r="20256">
      <c r="J20256">
        <f>IFERROR(__xludf.DUMMYFUNCTION("""COMPUTED_VALUE"""),"Providence RI")</f>
        <v/>
      </c>
      <c r="K20256">
        <f>IFERROR(__xludf.DUMMYFUNCTION("""COMPUTED_VALUE"""),315.76)</f>
        <v/>
      </c>
    </row>
    <row r="20257">
      <c r="J20257">
        <f>IFERROR(__xludf.DUMMYFUNCTION("""COMPUTED_VALUE"""),"Montreal, Quebec; Rigaud, Quebec; Dorval, Quebec;")</f>
        <v/>
      </c>
      <c r="K20257">
        <f>IFERROR(__xludf.DUMMYFUNCTION("""COMPUTED_VALUE"""),315.68)</f>
        <v/>
      </c>
    </row>
    <row r="20258">
      <c r="J20258">
        <f>IFERROR(__xludf.DUMMYFUNCTION("""COMPUTED_VALUE"""),"La Doré, Quebec, Canada; Lac Saint-Jean, Quebec, Canada")</f>
        <v/>
      </c>
      <c r="K20258">
        <f>IFERROR(__xludf.DUMMYFUNCTION("""COMPUTED_VALUE"""),315.63)</f>
        <v/>
      </c>
    </row>
    <row r="20259">
      <c r="J20259">
        <f>IFERROR(__xludf.DUMMYFUNCTION("""COMPUTED_VALUE"""),"Dorval and Montreal, Quebec, Canada")</f>
        <v/>
      </c>
      <c r="K20259">
        <f>IFERROR(__xludf.DUMMYFUNCTION("""COMPUTED_VALUE"""),315.53)</f>
        <v/>
      </c>
    </row>
    <row r="20260">
      <c r="J20260">
        <f>IFERROR(__xludf.DUMMYFUNCTION("""COMPUTED_VALUE"""),"Bromont and Sherbrooke (Québec) Canada")</f>
        <v/>
      </c>
      <c r="K20260">
        <f>IFERROR(__xludf.DUMMYFUNCTION("""COMPUTED_VALUE"""),315.3)</f>
        <v/>
      </c>
    </row>
    <row r="20261">
      <c r="J20261">
        <f>IFERROR(__xludf.DUMMYFUNCTION("""COMPUTED_VALUE"""),"Saint-Hubert, Que.")</f>
        <v/>
      </c>
      <c r="K20261">
        <f>IFERROR(__xludf.DUMMYFUNCTION("""COMPUTED_VALUE"""),315.2)</f>
        <v/>
      </c>
    </row>
    <row r="20262">
      <c r="J20262">
        <f>IFERROR(__xludf.DUMMYFUNCTION("""COMPUTED_VALUE"""),"Various Canadian Destinations")</f>
        <v/>
      </c>
      <c r="K20262">
        <f>IFERROR(__xludf.DUMMYFUNCTION("""COMPUTED_VALUE"""),315)</f>
        <v/>
      </c>
    </row>
    <row r="20263">
      <c r="J20263">
        <f>IFERROR(__xludf.DUMMYFUNCTION("""COMPUTED_VALUE"""),"Sainte-Anne-de-la-Pérade, Quebec, Canada")</f>
        <v/>
      </c>
      <c r="K20263">
        <f>IFERROR(__xludf.DUMMYFUNCTION("""COMPUTED_VALUE"""),314.75)</f>
        <v/>
      </c>
    </row>
    <row r="20264">
      <c r="J20264">
        <f>IFERROR(__xludf.DUMMYFUNCTION("""COMPUTED_VALUE"""),"Morell, Prince Edward Island")</f>
        <v/>
      </c>
      <c r="K20264">
        <f>IFERROR(__xludf.DUMMYFUNCTION("""COMPUTED_VALUE"""),314.55)</f>
        <v/>
      </c>
    </row>
    <row r="20265">
      <c r="J20265">
        <f>IFERROR(__xludf.DUMMYFUNCTION("""COMPUTED_VALUE"""),"Etobicoke, ON - Toronto, ON")</f>
        <v/>
      </c>
      <c r="K20265">
        <f>IFERROR(__xludf.DUMMYFUNCTION("""COMPUTED_VALUE"""),314.42)</f>
        <v/>
      </c>
    </row>
    <row r="20266">
      <c r="J20266">
        <f>IFERROR(__xludf.DUMMYFUNCTION("""COMPUTED_VALUE"""),"Bathurst, New brunswick, Canada; Bouctouche, New Brunswick, Canada")</f>
        <v/>
      </c>
      <c r="K20266">
        <f>IFERROR(__xludf.DUMMYFUNCTION("""COMPUTED_VALUE"""),314.38)</f>
        <v/>
      </c>
    </row>
    <row r="20267">
      <c r="J20267">
        <f>IFERROR(__xludf.DUMMYFUNCTION("""COMPUTED_VALUE"""),"Laval, Québec, Canada")</f>
        <v/>
      </c>
      <c r="K20267">
        <f>IFERROR(__xludf.DUMMYFUNCTION("""COMPUTED_VALUE"""),314.35)</f>
        <v/>
      </c>
    </row>
    <row r="20268">
      <c r="J20268">
        <f>IFERROR(__xludf.DUMMYFUNCTION("""COMPUTED_VALUE"""),"Chalk River and Deep River, Ontario")</f>
        <v/>
      </c>
      <c r="K20268">
        <f>IFERROR(__xludf.DUMMYFUNCTION("""COMPUTED_VALUE"""),314.2)</f>
        <v/>
      </c>
    </row>
    <row r="20269">
      <c r="J20269">
        <f>IFERROR(__xludf.DUMMYFUNCTION("""COMPUTED_VALUE"""),"St. John's, Newfoundland and Labrador;  Canada")</f>
        <v/>
      </c>
      <c r="K20269">
        <f>IFERROR(__xludf.DUMMYFUNCTION("""COMPUTED_VALUE"""),314.15)</f>
        <v/>
      </c>
    </row>
    <row r="20270">
      <c r="J20270">
        <f>IFERROR(__xludf.DUMMYFUNCTION("""COMPUTED_VALUE"""),"475 Chemin de la Grande Ligne")</f>
        <v/>
      </c>
      <c r="K20270">
        <f>IFERROR(__xludf.DUMMYFUNCTION("""COMPUTED_VALUE"""),313.85)</f>
        <v/>
      </c>
    </row>
    <row r="20271">
      <c r="J20271">
        <f>IFERROR(__xludf.DUMMYFUNCTION("""COMPUTED_VALUE"""),"Colorado Springs CO, USA")</f>
        <v/>
      </c>
      <c r="K20271">
        <f>IFERROR(__xludf.DUMMYFUNCTION("""COMPUTED_VALUE"""),313.52)</f>
        <v/>
      </c>
    </row>
    <row r="20272">
      <c r="J20272">
        <f>IFERROR(__xludf.DUMMYFUNCTION("""COMPUTED_VALUE"""),"Ottawa - Greenfield - Ottawa")</f>
        <v/>
      </c>
      <c r="K20272">
        <f>IFERROR(__xludf.DUMMYFUNCTION("""COMPUTED_VALUE"""),313.5)</f>
        <v/>
      </c>
    </row>
    <row r="20273">
      <c r="J20273">
        <f>IFERROR(__xludf.DUMMYFUNCTION("""COMPUTED_VALUE"""),"Moosomin, Saskatchewan, Canada")</f>
        <v/>
      </c>
      <c r="K20273">
        <f>IFERROR(__xludf.DUMMYFUNCTION("""COMPUTED_VALUE"""),313.08)</f>
        <v/>
      </c>
    </row>
    <row r="20274">
      <c r="J20274">
        <f>IFERROR(__xludf.DUMMYFUNCTION("""COMPUTED_VALUE"""),"Nain, Newfoundland and Labrador (Flight with the Minister on the Challenger)")</f>
        <v/>
      </c>
      <c r="K20274">
        <f>IFERROR(__xludf.DUMMYFUNCTION("""COMPUTED_VALUE"""),313)</f>
        <v/>
      </c>
    </row>
    <row r="20275">
      <c r="J20275">
        <f>IFERROR(__xludf.DUMMYFUNCTION("""COMPUTED_VALUE"""),"Amman, JO")</f>
        <v/>
      </c>
      <c r="K20275">
        <f>IFERROR(__xludf.DUMMYFUNCTION("""COMPUTED_VALUE"""),312.97)</f>
        <v/>
      </c>
    </row>
    <row r="20276">
      <c r="J20276">
        <f>IFERROR(__xludf.DUMMYFUNCTION("""COMPUTED_VALUE"""),"Kingston, ON, CA")</f>
        <v/>
      </c>
      <c r="K20276">
        <f>IFERROR(__xludf.DUMMYFUNCTION("""COMPUTED_VALUE"""),312.86)</f>
        <v/>
      </c>
    </row>
    <row r="20277">
      <c r="J20277">
        <f>IFERROR(__xludf.DUMMYFUNCTION("""COMPUTED_VALUE"""),"GATINEAU, BELLS CORNERS, SHERBROOKE, BELLS CORNERS, GATINEAU")</f>
        <v/>
      </c>
      <c r="K20277">
        <f>IFERROR(__xludf.DUMMYFUNCTION("""COMPUTED_VALUE"""),312.8)</f>
        <v/>
      </c>
    </row>
    <row r="20278">
      <c r="J20278">
        <f>IFERROR(__xludf.DUMMYFUNCTION("""COMPUTED_VALUE"""),"475 Chemin de la Gr")</f>
        <v/>
      </c>
      <c r="K20278">
        <f>IFERROR(__xludf.DUMMYFUNCTION("""COMPUTED_VALUE"""),312.28)</f>
        <v/>
      </c>
    </row>
    <row r="20279">
      <c r="J20279">
        <f>IFERROR(__xludf.DUMMYFUNCTION("""COMPUTED_VALUE"""),"Yarmouth, NS")</f>
        <v/>
      </c>
      <c r="K20279">
        <f>IFERROR(__xludf.DUMMYFUNCTION("""COMPUTED_VALUE"""),312.159999999999)</f>
        <v/>
      </c>
    </row>
    <row r="20280">
      <c r="J20280">
        <f>IFERROR(__xludf.DUMMYFUNCTION("""COMPUTED_VALUE"""),"Saint-Bruno-de-Montarville (Quebec) Canada")</f>
        <v/>
      </c>
      <c r="K20280">
        <f>IFERROR(__xludf.DUMMYFUNCTION("""COMPUTED_VALUE"""),312.07)</f>
        <v/>
      </c>
    </row>
    <row r="20281">
      <c r="J20281">
        <f>IFERROR(__xludf.DUMMYFUNCTION("""COMPUTED_VALUE"""),"Roberval, Trois-Rivières")</f>
        <v/>
      </c>
      <c r="K20281">
        <f>IFERROR(__xludf.DUMMYFUNCTION("""COMPUTED_VALUE"""),311.87)</f>
        <v/>
      </c>
    </row>
    <row r="20282">
      <c r="J20282">
        <f>IFERROR(__xludf.DUMMYFUNCTION("""COMPUTED_VALUE"""),"Ottawa Via private car to go and Via train to return part of a 6 ticket business pack")</f>
        <v/>
      </c>
      <c r="K20282">
        <f>IFERROR(__xludf.DUMMYFUNCTION("""COMPUTED_VALUE"""),311.85)</f>
        <v/>
      </c>
    </row>
    <row r="20283">
      <c r="J20283">
        <f>IFERROR(__xludf.DUMMYFUNCTION("""COMPUTED_VALUE"""),"Cochrane, Alberta, Canada")</f>
        <v/>
      </c>
      <c r="K20283">
        <f>IFERROR(__xludf.DUMMYFUNCTION("""COMPUTED_VALUE"""),311.729999999999)</f>
        <v/>
      </c>
    </row>
    <row r="20284">
      <c r="J20284">
        <f>IFERROR(__xludf.DUMMYFUNCTION("""COMPUTED_VALUE"""),"Summerside, Prince Edward Island, Canada; Miscouche, Prince Edward Island, Canada; Wellington, Prince Edward Island, Canada; Charlottetown, Prince Edward Island, Canada; Brackley, Prince Edward Island, Canada; Montague, Prince Edward Island, Canada")</f>
        <v/>
      </c>
      <c r="K20284">
        <f>IFERROR(__xludf.DUMMYFUNCTION("""COMPUTED_VALUE"""),311.67)</f>
        <v/>
      </c>
    </row>
    <row r="20285">
      <c r="J20285">
        <f>IFERROR(__xludf.DUMMYFUNCTION("""COMPUTED_VALUE"""),"Riyadh, Saudi Arabia; Paris, France")</f>
        <v/>
      </c>
      <c r="K20285">
        <f>IFERROR(__xludf.DUMMYFUNCTION("""COMPUTED_VALUE"""),311.4)</f>
        <v/>
      </c>
    </row>
    <row r="20286">
      <c r="J20286">
        <f>IFERROR(__xludf.DUMMYFUNCTION("""COMPUTED_VALUE"""),"Cayuga, Ontario, Canada; Dunnville, Ontario, Canada")</f>
        <v/>
      </c>
      <c r="K20286">
        <f>IFERROR(__xludf.DUMMYFUNCTION("""COMPUTED_VALUE"""),311.08)</f>
        <v/>
      </c>
    </row>
    <row r="20287">
      <c r="J20287">
        <f>IFERROR(__xludf.DUMMYFUNCTION("""COMPUTED_VALUE"""),"Vaudreuil Soulanges, QC")</f>
        <v/>
      </c>
      <c r="K20287">
        <f>IFERROR(__xludf.DUMMYFUNCTION("""COMPUTED_VALUE"""),310.96)</f>
        <v/>
      </c>
    </row>
    <row r="20288">
      <c r="J20288">
        <f>IFERROR(__xludf.DUMMYFUNCTION("""COMPUTED_VALUE"""),"Montreal, Sherbrooke, Grand-Mère")</f>
        <v/>
      </c>
      <c r="K20288">
        <f>IFERROR(__xludf.DUMMYFUNCTION("""COMPUTED_VALUE"""),310.56)</f>
        <v/>
      </c>
    </row>
    <row r="20289">
      <c r="J20289">
        <f>IFERROR(__xludf.DUMMYFUNCTION("""COMPUTED_VALUE"""),"Toronto to Ottawa")</f>
        <v/>
      </c>
      <c r="K20289">
        <f>IFERROR(__xludf.DUMMYFUNCTION("""COMPUTED_VALUE"""),310.18)</f>
        <v/>
      </c>
    </row>
    <row r="20290">
      <c r="J20290">
        <f>IFERROR(__xludf.DUMMYFUNCTION("""COMPUTED_VALUE"""),"Victoriaville, Quebec, Canada; Thetford Mines, Quebec, Canada")</f>
        <v/>
      </c>
      <c r="K20290">
        <f>IFERROR(__xludf.DUMMYFUNCTION("""COMPUTED_VALUE"""),309.96)</f>
        <v/>
      </c>
    </row>
    <row r="20291">
      <c r="J20291">
        <f>IFERROR(__xludf.DUMMYFUNCTION("""COMPUTED_VALUE"""),"To drive the Minister to Burlington.")</f>
        <v/>
      </c>
      <c r="K20291">
        <f>IFERROR(__xludf.DUMMYFUNCTION("""COMPUTED_VALUE"""),309.84)</f>
        <v/>
      </c>
    </row>
    <row r="20292">
      <c r="J20292">
        <f>IFERROR(__xludf.DUMMYFUNCTION("""COMPUTED_VALUE"""),"Coaticook, Quebec, Canada")</f>
        <v/>
      </c>
      <c r="K20292">
        <f>IFERROR(__xludf.DUMMYFUNCTION("""COMPUTED_VALUE"""),309.21)</f>
        <v/>
      </c>
    </row>
    <row r="20293">
      <c r="J20293">
        <f>IFERROR(__xludf.DUMMYFUNCTION("""COMPUTED_VALUE"""),"Lac des Français, Quebec, Canada")</f>
        <v/>
      </c>
      <c r="K20293">
        <f>IFERROR(__xludf.DUMMYFUNCTION("""COMPUTED_VALUE"""),309.17)</f>
        <v/>
      </c>
    </row>
    <row r="20294">
      <c r="J20294">
        <f>IFERROR(__xludf.DUMMYFUNCTION("""COMPUTED_VALUE"""),"Verdun, Quebec, Canada; Ottawa, Ontario, Canada")</f>
        <v/>
      </c>
      <c r="K20294">
        <f>IFERROR(__xludf.DUMMYFUNCTION("""COMPUTED_VALUE"""),308.71)</f>
        <v/>
      </c>
    </row>
    <row r="20295">
      <c r="J20295">
        <f>IFERROR(__xludf.DUMMYFUNCTION("""COMPUTED_VALUE"""),"Sherbrooke and Lac-Megantic, Quebec")</f>
        <v/>
      </c>
      <c r="K20295">
        <f>IFERROR(__xludf.DUMMYFUNCTION("""COMPUTED_VALUE"""),308.51)</f>
        <v/>
      </c>
    </row>
    <row r="20296">
      <c r="J20296">
        <f>IFERROR(__xludf.DUMMYFUNCTION("""COMPUTED_VALUE"""),"Shanghai, CN / Hangzhou, CN / Hong Kong, CN / Beijing, CN")</f>
        <v/>
      </c>
      <c r="K20296">
        <f>IFERROR(__xludf.DUMMYFUNCTION("""COMPUTED_VALUE"""),308.47)</f>
        <v/>
      </c>
    </row>
    <row r="20297">
      <c r="J20297">
        <f>IFERROR(__xludf.DUMMYFUNCTION("""COMPUTED_VALUE"""),"Conduire la ministre Bibeau de Sherbrooke à Ottawa")</f>
        <v/>
      </c>
      <c r="K20297">
        <f>IFERROR(__xludf.DUMMYFUNCTION("""COMPUTED_VALUE"""),308.2)</f>
        <v/>
      </c>
    </row>
    <row r="20298">
      <c r="J20298">
        <f>IFERROR(__xludf.DUMMYFUNCTION("""COMPUTED_VALUE"""),"Mallorytown, Ontario")</f>
        <v/>
      </c>
      <c r="K20298">
        <f>IFERROR(__xludf.DUMMYFUNCTION("""COMPUTED_VALUE"""),307.76)</f>
        <v/>
      </c>
    </row>
    <row r="20299">
      <c r="J20299">
        <f>IFERROR(__xludf.DUMMYFUNCTION("""COMPUTED_VALUE"""),"Dollard-des-Ormeaux")</f>
        <v/>
      </c>
      <c r="K20299">
        <f>IFERROR(__xludf.DUMMYFUNCTION("""COMPUTED_VALUE"""),307.6)</f>
        <v/>
      </c>
    </row>
    <row r="20300">
      <c r="J20300">
        <f>IFERROR(__xludf.DUMMYFUNCTION("""COMPUTED_VALUE"""),"Washington and Norfolk, United States of America")</f>
        <v/>
      </c>
      <c r="K20300">
        <f>IFERROR(__xludf.DUMMYFUNCTION("""COMPUTED_VALUE"""),307.59)</f>
        <v/>
      </c>
    </row>
    <row r="20301">
      <c r="J20301">
        <f>IFERROR(__xludf.DUMMYFUNCTION("""COMPUTED_VALUE"""),"ALERT - NUNAVUT")</f>
        <v/>
      </c>
      <c r="K20301">
        <f>IFERROR(__xludf.DUMMYFUNCTION("""COMPUTED_VALUE"""),307)</f>
        <v/>
      </c>
    </row>
    <row r="20302">
      <c r="J20302">
        <f>IFERROR(__xludf.DUMMYFUNCTION("""COMPUTED_VALUE"""),"Guerrero")</f>
        <v/>
      </c>
      <c r="K20302">
        <f>IFERROR(__xludf.DUMMYFUNCTION("""COMPUTED_VALUE"""),306.98)</f>
        <v/>
      </c>
    </row>
    <row r="20303">
      <c r="J20303">
        <f>IFERROR(__xludf.DUMMYFUNCTION("""COMPUTED_VALUE"""),"Laval/Montreal")</f>
        <v/>
      </c>
      <c r="K20303">
        <f>IFERROR(__xludf.DUMMYFUNCTION("""COMPUTED_VALUE"""),306.64)</f>
        <v/>
      </c>
    </row>
    <row r="20304">
      <c r="J20304">
        <f>IFERROR(__xludf.DUMMYFUNCTION("""COMPUTED_VALUE"""),"Chicoutimi, Roberval")</f>
        <v/>
      </c>
      <c r="K20304">
        <f>IFERROR(__xludf.DUMMYFUNCTION("""COMPUTED_VALUE"""),306.57)</f>
        <v/>
      </c>
    </row>
    <row r="20305">
      <c r="J20305">
        <f>IFERROR(__xludf.DUMMYFUNCTION("""COMPUTED_VALUE"""),"Fundy, New Brunswick, Canada")</f>
        <v/>
      </c>
      <c r="K20305">
        <f>IFERROR(__xludf.DUMMYFUNCTION("""COMPUTED_VALUE"""),306.43)</f>
        <v/>
      </c>
    </row>
    <row r="20306">
      <c r="J20306">
        <f>IFERROR(__xludf.DUMMYFUNCTION("""COMPUTED_VALUE"""),"Hanover NH")</f>
        <v/>
      </c>
      <c r="K20306">
        <f>IFERROR(__xludf.DUMMYFUNCTION("""COMPUTED_VALUE"""),306.42)</f>
        <v/>
      </c>
    </row>
    <row r="20307">
      <c r="J20307">
        <f>IFERROR(__xludf.DUMMYFUNCTION("""COMPUTED_VALUE"""),"Lévis - Gaspé - Lévis")</f>
        <v/>
      </c>
      <c r="K20307">
        <f>IFERROR(__xludf.DUMMYFUNCTION("""COMPUTED_VALUE"""),306.28)</f>
        <v/>
      </c>
    </row>
    <row r="20308">
      <c r="J20308">
        <f>IFERROR(__xludf.DUMMYFUNCTION("""COMPUTED_VALUE"""),"Trois-Rivières (Quebec) Canada / Mont-Tremblant (Quebec) Canada")</f>
        <v/>
      </c>
      <c r="K20308">
        <f>IFERROR(__xludf.DUMMYFUNCTION("""COMPUTED_VALUE"""),306.05)</f>
        <v/>
      </c>
    </row>
    <row r="20309">
      <c r="J20309">
        <f>IFERROR(__xludf.DUMMYFUNCTION("""COMPUTED_VALUE"""),"Bécancour, (Quebec)")</f>
        <v/>
      </c>
      <c r="K20309">
        <f>IFERROR(__xludf.DUMMYFUNCTION("""COMPUTED_VALUE"""),305)</f>
        <v/>
      </c>
    </row>
    <row r="20310">
      <c r="J20310">
        <f>IFERROR(__xludf.DUMMYFUNCTION("""COMPUTED_VALUE"""),"Gatineau, Quebec, (Canada)
Ottawa, Ontario, (Canada)")</f>
        <v/>
      </c>
      <c r="K20310">
        <f>IFERROR(__xludf.DUMMYFUNCTION("""COMPUTED_VALUE"""),304.7)</f>
        <v/>
      </c>
    </row>
    <row r="20311">
      <c r="J20311">
        <f>IFERROR(__xludf.DUMMYFUNCTION("""COMPUTED_VALUE"""),"Calgary, Alberta, Canada and Red Deer, Alberta, Canada and Bowden,Alberta, Canada")</f>
        <v/>
      </c>
      <c r="K20311">
        <f>IFERROR(__xludf.DUMMYFUNCTION("""COMPUTED_VALUE"""),304.65)</f>
        <v/>
      </c>
    </row>
    <row r="20312">
      <c r="J20312">
        <f>IFERROR(__xludf.DUMMYFUNCTION("""COMPUTED_VALUE"""),"Ottawa - Montréal - Québec")</f>
        <v/>
      </c>
      <c r="K20312">
        <f>IFERROR(__xludf.DUMMYFUNCTION("""COMPUTED_VALUE"""),304.65)</f>
        <v/>
      </c>
    </row>
    <row r="20313">
      <c r="J20313">
        <f>IFERROR(__xludf.DUMMYFUNCTION("""COMPUTED_VALUE"""),"Granby, Quebec")</f>
        <v/>
      </c>
      <c r="K20313">
        <f>IFERROR(__xludf.DUMMYFUNCTION("""COMPUTED_VALUE"""),304.57)</f>
        <v/>
      </c>
    </row>
    <row r="20314">
      <c r="J20314">
        <f>IFERROR(__xludf.DUMMYFUNCTION("""COMPUTED_VALUE"""),"Doaktown, New Brunswick")</f>
        <v/>
      </c>
      <c r="K20314">
        <f>IFERROR(__xludf.DUMMYFUNCTION("""COMPUTED_VALUE"""),304.27)</f>
        <v/>
      </c>
    </row>
    <row r="20315">
      <c r="J20315">
        <f>IFERROR(__xludf.DUMMYFUNCTION("""COMPUTED_VALUE"""),"Richmond, Victoria")</f>
        <v/>
      </c>
      <c r="K20315">
        <f>IFERROR(__xludf.DUMMYFUNCTION("""COMPUTED_VALUE"""),304.2)</f>
        <v/>
      </c>
    </row>
    <row r="20316">
      <c r="J20316">
        <f>IFERROR(__xludf.DUMMYFUNCTION("""COMPUTED_VALUE"""),"Toronto, ON; Hamilton, ON")</f>
        <v/>
      </c>
      <c r="K20316">
        <f>IFERROR(__xludf.DUMMYFUNCTION("""COMPUTED_VALUE"""),304.09)</f>
        <v/>
      </c>
    </row>
    <row r="20317">
      <c r="J20317">
        <f>IFERROR(__xludf.DUMMYFUNCTION("""COMPUTED_VALUE"""),"Richmond, British Colombia, Canada")</f>
        <v/>
      </c>
      <c r="K20317">
        <f>IFERROR(__xludf.DUMMYFUNCTION("""COMPUTED_VALUE"""),303.94)</f>
        <v/>
      </c>
    </row>
    <row r="20318">
      <c r="J20318">
        <f>IFERROR(__xludf.DUMMYFUNCTION("""COMPUTED_VALUE"""),"Charlottetown-Dartmouth-Charlottetown")</f>
        <v/>
      </c>
      <c r="K20318">
        <f>IFERROR(__xludf.DUMMYFUNCTION("""COMPUTED_VALUE"""),303.79)</f>
        <v/>
      </c>
    </row>
    <row r="20319">
      <c r="J20319">
        <f>IFERROR(__xludf.DUMMYFUNCTION("""COMPUTED_VALUE"""),"Montreal.")</f>
        <v/>
      </c>
      <c r="K20319">
        <f>IFERROR(__xludf.DUMMYFUNCTION("""COMPUTED_VALUE"""),303.61)</f>
        <v/>
      </c>
    </row>
    <row r="20320">
      <c r="J20320">
        <f>IFERROR(__xludf.DUMMYFUNCTION("""COMPUTED_VALUE"""),"Bedque, PE")</f>
        <v/>
      </c>
      <c r="K20320">
        <f>IFERROR(__xludf.DUMMYFUNCTION("""COMPUTED_VALUE"""),303.58)</f>
        <v/>
      </c>
    </row>
    <row r="20321">
      <c r="J20321">
        <f>IFERROR(__xludf.DUMMYFUNCTION("""COMPUTED_VALUE"""),"Saint-Jean Sur Richelieu")</f>
        <v/>
      </c>
      <c r="K20321">
        <f>IFERROR(__xludf.DUMMYFUNCTION("""COMPUTED_VALUE"""),303.56)</f>
        <v/>
      </c>
    </row>
    <row r="20322">
      <c r="J20322">
        <f>IFERROR(__xludf.DUMMYFUNCTION("""COMPUTED_VALUE"""),"Kingston, Ontartio, Canada")</f>
        <v/>
      </c>
      <c r="K20322">
        <f>IFERROR(__xludf.DUMMYFUNCTION("""COMPUTED_VALUE"""),303.22)</f>
        <v/>
      </c>
    </row>
    <row r="20323">
      <c r="J20323">
        <f>IFERROR(__xludf.DUMMYFUNCTION("""COMPUTED_VALUE"""),"Campbell River")</f>
        <v/>
      </c>
      <c r="K20323">
        <f>IFERROR(__xludf.DUMMYFUNCTION("""COMPUTED_VALUE"""),303.17)</f>
        <v/>
      </c>
    </row>
    <row r="20324">
      <c r="J20324">
        <f>IFERROR(__xludf.DUMMYFUNCTION("""COMPUTED_VALUE"""),"Augusta ME")</f>
        <v/>
      </c>
      <c r="K20324">
        <f>IFERROR(__xludf.DUMMYFUNCTION("""COMPUTED_VALUE"""),303.08)</f>
        <v/>
      </c>
    </row>
    <row r="20325">
      <c r="J20325">
        <f>IFERROR(__xludf.DUMMYFUNCTION("""COMPUTED_VALUE"""),"Denver")</f>
        <v/>
      </c>
      <c r="K20325">
        <f>IFERROR(__xludf.DUMMYFUNCTION("""COMPUTED_VALUE"""),303)</f>
        <v/>
      </c>
    </row>
    <row r="20326">
      <c r="J20326">
        <f>IFERROR(__xludf.DUMMYFUNCTION("""COMPUTED_VALUE"""),"Bois-des-Filion, Quebec, Canada")</f>
        <v/>
      </c>
      <c r="K20326">
        <f>IFERROR(__xludf.DUMMYFUNCTION("""COMPUTED_VALUE"""),302.98)</f>
        <v/>
      </c>
    </row>
    <row r="20327">
      <c r="J20327">
        <f>IFERROR(__xludf.DUMMYFUNCTION("""COMPUTED_VALUE"""),"Shelburne and Yarmouth Counties, Nova Scotia")</f>
        <v/>
      </c>
      <c r="K20327">
        <f>IFERROR(__xludf.DUMMYFUNCTION("""COMPUTED_VALUE"""),302.9)</f>
        <v/>
      </c>
    </row>
    <row r="20328">
      <c r="J20328">
        <f>IFERROR(__xludf.DUMMYFUNCTION("""COMPUTED_VALUE"""),"Mississauga, Ontario, Canada; Pickering, Ontario, Canada")</f>
        <v/>
      </c>
      <c r="K20328">
        <f>IFERROR(__xludf.DUMMYFUNCTION("""COMPUTED_VALUE"""),302.84)</f>
        <v/>
      </c>
    </row>
    <row r="20329">
      <c r="J20329">
        <f>IFERROR(__xludf.DUMMYFUNCTION("""COMPUTED_VALUE"""),"Taranto")</f>
        <v/>
      </c>
      <c r="K20329">
        <f>IFERROR(__xludf.DUMMYFUNCTION("""COMPUTED_VALUE"""),302.28)</f>
        <v/>
      </c>
    </row>
    <row r="20330">
      <c r="J20330">
        <f>IFERROR(__xludf.DUMMYFUNCTION("""COMPUTED_VALUE"""),"Fredericton, New Brusnwick")</f>
        <v/>
      </c>
      <c r="K20330">
        <f>IFERROR(__xludf.DUMMYFUNCTION("""COMPUTED_VALUE"""),301.95)</f>
        <v/>
      </c>
    </row>
    <row r="20331">
      <c r="J20331">
        <f>IFERROR(__xludf.DUMMYFUNCTION("""COMPUTED_VALUE"""),"Terrebonne, Quebec, Canada / Rawdon, Quebec, Canada / Repentigny, Quebec, Canada")</f>
        <v/>
      </c>
      <c r="K20331">
        <f>IFERROR(__xludf.DUMMYFUNCTION("""COMPUTED_VALUE"""),301.88)</f>
        <v/>
      </c>
    </row>
    <row r="20332">
      <c r="J20332">
        <f>IFERROR(__xludf.DUMMYFUNCTION("""COMPUTED_VALUE"""),"Saint-Jean-sur-Richelieu, Quebec")</f>
        <v/>
      </c>
      <c r="K20332">
        <f>IFERROR(__xludf.DUMMYFUNCTION("""COMPUTED_VALUE"""),301.65)</f>
        <v/>
      </c>
    </row>
    <row r="20333">
      <c r="J20333">
        <f>IFERROR(__xludf.DUMMYFUNCTION("""COMPUTED_VALUE"""),"Lynchburg, Roanoke, Bedford (Virginia)")</f>
        <v/>
      </c>
      <c r="K20333">
        <f>IFERROR(__xludf.DUMMYFUNCTION("""COMPUTED_VALUE"""),301.46)</f>
        <v/>
      </c>
    </row>
    <row r="20334">
      <c r="J20334">
        <f>IFERROR(__xludf.DUMMYFUNCTION("""COMPUTED_VALUE"""),"Aylmer, Dorchester, Port Burell, Thillsbury, Ontario")</f>
        <v/>
      </c>
      <c r="K20334">
        <f>IFERROR(__xludf.DUMMYFUNCTION("""COMPUTED_VALUE"""),301.3)</f>
        <v/>
      </c>
    </row>
    <row r="20335">
      <c r="J20335">
        <f>IFERROR(__xludf.DUMMYFUNCTION("""COMPUTED_VALUE"""),"Greenfield Park QC-Ottawa-Greenfield Park QC")</f>
        <v/>
      </c>
      <c r="K20335">
        <f>IFERROR(__xludf.DUMMYFUNCTION("""COMPUTED_VALUE"""),301.25)</f>
        <v/>
      </c>
    </row>
    <row r="20336">
      <c r="J20336">
        <f>IFERROR(__xludf.DUMMYFUNCTION("""COMPUTED_VALUE"""),"London. Ontario, Canada / Burlington, Ontario, Canada")</f>
        <v/>
      </c>
      <c r="K20336">
        <f>IFERROR(__xludf.DUMMYFUNCTION("""COMPUTED_VALUE"""),301.08)</f>
        <v/>
      </c>
    </row>
    <row r="20337">
      <c r="J20337">
        <f>IFERROR(__xludf.DUMMYFUNCTION("""COMPUTED_VALUE"""),"Morrisburg,ON")</f>
        <v/>
      </c>
      <c r="K20337">
        <f>IFERROR(__xludf.DUMMYFUNCTION("""COMPUTED_VALUE"""),301.04)</f>
        <v/>
      </c>
    </row>
    <row r="20338">
      <c r="J20338">
        <f>IFERROR(__xludf.DUMMYFUNCTION("""COMPUTED_VALUE"""),"Toronto, Ontario, Canada; Mississauga, Ontario, Canada; Ottawa, Ontario, Canada")</f>
        <v/>
      </c>
      <c r="K20338">
        <f>IFERROR(__xludf.DUMMYFUNCTION("""COMPUTED_VALUE"""),300.96)</f>
        <v/>
      </c>
    </row>
    <row r="20339">
      <c r="J20339">
        <f>IFERROR(__xludf.DUMMYFUNCTION("""COMPUTED_VALUE"""),"Quebec, Quebec , Canada")</f>
        <v/>
      </c>
      <c r="K20339">
        <f>IFERROR(__xludf.DUMMYFUNCTION("""COMPUTED_VALUE"""),300.95)</f>
        <v/>
      </c>
    </row>
    <row r="20340">
      <c r="J20340">
        <f>IFERROR(__xludf.DUMMYFUNCTION("""COMPUTED_VALUE"""),"Gaspé, Quebec, Canada; Saint-Antoine-de-Tilly, Quebec, Canada; Québec, Quebec, Canada")</f>
        <v/>
      </c>
      <c r="K20340">
        <f>IFERROR(__xludf.DUMMYFUNCTION("""COMPUTED_VALUE"""),300.74)</f>
        <v/>
      </c>
    </row>
    <row r="20341">
      <c r="J20341">
        <f>IFERROR(__xludf.DUMMYFUNCTION("""COMPUTED_VALUE"""),"Charlottetown, PE Georgetown, PE")</f>
        <v/>
      </c>
      <c r="K20341">
        <f>IFERROR(__xludf.DUMMYFUNCTION("""COMPUTED_VALUE"""),300.48)</f>
        <v/>
      </c>
    </row>
    <row r="20342">
      <c r="J20342">
        <f>IFERROR(__xludf.DUMMYFUNCTION("""COMPUTED_VALUE"""),"Nelson, BC")</f>
        <v/>
      </c>
      <c r="K20342">
        <f>IFERROR(__xludf.DUMMYFUNCTION("""COMPUTED_VALUE"""),300.2)</f>
        <v/>
      </c>
    </row>
    <row r="20343">
      <c r="J20343">
        <f>IFERROR(__xludf.DUMMYFUNCTION("""COMPUTED_VALUE"""),"East Africa")</f>
        <v/>
      </c>
      <c r="K20343">
        <f>IFERROR(__xludf.DUMMYFUNCTION("""COMPUTED_VALUE"""),300)</f>
        <v/>
      </c>
    </row>
    <row r="20344">
      <c r="J20344">
        <f>IFERROR(__xludf.DUMMYFUNCTION("""COMPUTED_VALUE"""),"Curve Lake, ON, Canada")</f>
        <v/>
      </c>
      <c r="K20344">
        <f>IFERROR(__xludf.DUMMYFUNCTION("""COMPUTED_VALUE"""),299.7)</f>
        <v/>
      </c>
    </row>
    <row r="20345">
      <c r="J20345">
        <f>IFERROR(__xludf.DUMMYFUNCTION("""COMPUTED_VALUE"""),"Lachine, Quebec")</f>
        <v/>
      </c>
      <c r="K20345">
        <f>IFERROR(__xludf.DUMMYFUNCTION("""COMPUTED_VALUE"""),299.57)</f>
        <v/>
      </c>
    </row>
    <row r="20346">
      <c r="J20346">
        <f>IFERROR(__xludf.DUMMYFUNCTION("""COMPUTED_VALUE"""),"Estrie")</f>
        <v/>
      </c>
      <c r="K20346">
        <f>IFERROR(__xludf.DUMMYFUNCTION("""COMPUTED_VALUE"""),299.09)</f>
        <v/>
      </c>
    </row>
    <row r="20347">
      <c r="J20347">
        <f>IFERROR(__xludf.DUMMYFUNCTION("""COMPUTED_VALUE"""),"St. Catharines / Hamilton, Ontario, Canada")</f>
        <v/>
      </c>
      <c r="K20347">
        <f>IFERROR(__xludf.DUMMYFUNCTION("""COMPUTED_VALUE"""),298.74)</f>
        <v/>
      </c>
    </row>
    <row r="20348">
      <c r="J20348">
        <f>IFERROR(__xludf.DUMMYFUNCTION("""COMPUTED_VALUE"""),"Charlottetown, PEI, Fredericton, NB, Sydney NS")</f>
        <v/>
      </c>
      <c r="K20348">
        <f>IFERROR(__xludf.DUMMYFUNCTION("""COMPUTED_VALUE"""),298.58)</f>
        <v/>
      </c>
    </row>
    <row r="20349">
      <c r="J20349">
        <f>IFERROR(__xludf.DUMMYFUNCTION("""COMPUTED_VALUE"""),"Edmonton, AB, Yellowknife, NT")</f>
        <v/>
      </c>
      <c r="K20349">
        <f>IFERROR(__xludf.DUMMYFUNCTION("""COMPUTED_VALUE"""),298.19)</f>
        <v/>
      </c>
    </row>
    <row r="20350">
      <c r="J20350">
        <f>IFERROR(__xludf.DUMMYFUNCTION("""COMPUTED_VALUE"""),"N/A - Trip cancelled")</f>
        <v/>
      </c>
      <c r="K20350">
        <f>IFERROR(__xludf.DUMMYFUNCTION("""COMPUTED_VALUE"""),298.12)</f>
        <v/>
      </c>
    </row>
    <row r="20351">
      <c r="J20351">
        <f>IFERROR(__xludf.DUMMYFUNCTION("""COMPUTED_VALUE"""),"Siena")</f>
        <v/>
      </c>
      <c r="K20351">
        <f>IFERROR(__xludf.DUMMYFUNCTION("""COMPUTED_VALUE"""),297.97)</f>
        <v/>
      </c>
    </row>
    <row r="20352">
      <c r="J20352">
        <f>IFERROR(__xludf.DUMMYFUNCTION("""COMPUTED_VALUE"""),"Sherbrooke (Quebec) Canada
Trois-Rivière (Quebec) Canada")</f>
        <v/>
      </c>
      <c r="K20352">
        <f>IFERROR(__xludf.DUMMYFUNCTION("""COMPUTED_VALUE"""),297.91)</f>
        <v/>
      </c>
    </row>
    <row r="20353">
      <c r="J20353">
        <f>IFERROR(__xludf.DUMMYFUNCTION("""COMPUTED_VALUE"""),"Hamilton, Oakville, Burlington, Cambridge, Lucan and Stratford, Ontario, Canada")</f>
        <v/>
      </c>
      <c r="K20353">
        <f>IFERROR(__xludf.DUMMYFUNCTION("""COMPUTED_VALUE"""),297.9)</f>
        <v/>
      </c>
    </row>
    <row r="20354">
      <c r="J20354">
        <f>IFERROR(__xludf.DUMMYFUNCTION("""COMPUTED_VALUE"""),"Notre-Dame-du-Portage")</f>
        <v/>
      </c>
      <c r="K20354">
        <f>IFERROR(__xludf.DUMMYFUNCTION("""COMPUTED_VALUE"""),297.9)</f>
        <v/>
      </c>
    </row>
    <row r="20355">
      <c r="J20355">
        <f>IFERROR(__xludf.DUMMYFUNCTION("""COMPUTED_VALUE"""),"OTTAWA, FAIRBANKS, OTTAWA")</f>
        <v/>
      </c>
      <c r="K20355">
        <f>IFERROR(__xludf.DUMMYFUNCTION("""COMPUTED_VALUE"""),297.67)</f>
        <v/>
      </c>
    </row>
    <row r="20356">
      <c r="J20356">
        <f>IFERROR(__xludf.DUMMYFUNCTION("""COMPUTED_VALUE"""),"Kinston, Ontario")</f>
        <v/>
      </c>
      <c r="K20356">
        <f>IFERROR(__xludf.DUMMYFUNCTION("""COMPUTED_VALUE"""),297.62)</f>
        <v/>
      </c>
    </row>
    <row r="20357">
      <c r="J20357">
        <f>IFERROR(__xludf.DUMMYFUNCTION("""COMPUTED_VALUE"""),"Moncton, New Brunswick and Graham Pond, Prince Edward Island")</f>
        <v/>
      </c>
      <c r="K20357">
        <f>IFERROR(__xludf.DUMMYFUNCTION("""COMPUTED_VALUE"""),297.61)</f>
        <v/>
      </c>
    </row>
    <row r="20358">
      <c r="J20358">
        <f>IFERROR(__xludf.DUMMYFUNCTION("""COMPUTED_VALUE"""),"Halifax &amp; Greenwood")</f>
        <v/>
      </c>
      <c r="K20358">
        <f>IFERROR(__xludf.DUMMYFUNCTION("""COMPUTED_VALUE"""),297.1)</f>
        <v/>
      </c>
    </row>
    <row r="20359">
      <c r="J20359">
        <f>IFERROR(__xludf.DUMMYFUNCTION("""COMPUTED_VALUE"""),"Sainte-Anne-des-Plaines, QC")</f>
        <v/>
      </c>
      <c r="K20359">
        <f>IFERROR(__xludf.DUMMYFUNCTION("""COMPUTED_VALUE"""),297.09)</f>
        <v/>
      </c>
    </row>
    <row r="20360">
      <c r="J20360">
        <f>IFERROR(__xludf.DUMMYFUNCTION("""COMPUTED_VALUE"""),"Anacortes, Washington, USA")</f>
        <v/>
      </c>
      <c r="K20360">
        <f>IFERROR(__xludf.DUMMYFUNCTION("""COMPUTED_VALUE"""),296.82)</f>
        <v/>
      </c>
    </row>
    <row r="20361">
      <c r="J20361">
        <f>IFERROR(__xludf.DUMMYFUNCTION("""COMPUTED_VALUE"""),"Edinburgh, Scotland, United Kingdom")</f>
        <v/>
      </c>
      <c r="K20361">
        <f>IFERROR(__xludf.DUMMYFUNCTION("""COMPUTED_VALUE"""),296.65)</f>
        <v/>
      </c>
    </row>
    <row r="20362">
      <c r="J20362">
        <f>IFERROR(__xludf.DUMMYFUNCTION("""COMPUTED_VALUE"""),"Trent Hills, Ontario, Canada")</f>
        <v/>
      </c>
      <c r="K20362">
        <f>IFERROR(__xludf.DUMMYFUNCTION("""COMPUTED_VALUE"""),296.5)</f>
        <v/>
      </c>
    </row>
    <row r="20363">
      <c r="J20363">
        <f>IFERROR(__xludf.DUMMYFUNCTION("""COMPUTED_VALUE"""),"Fort Belvoir Virginia, USA")</f>
        <v/>
      </c>
      <c r="K20363">
        <f>IFERROR(__xludf.DUMMYFUNCTION("""COMPUTED_VALUE"""),296.05)</f>
        <v/>
      </c>
    </row>
    <row r="20364">
      <c r="J20364">
        <f>IFERROR(__xludf.DUMMYFUNCTION("""COMPUTED_VALUE"""),"Ottawa - Québec")</f>
        <v/>
      </c>
      <c r="K20364">
        <f>IFERROR(__xludf.DUMMYFUNCTION("""COMPUTED_VALUE"""),295.86)</f>
        <v/>
      </c>
    </row>
    <row r="20365">
      <c r="J20365">
        <f>IFERROR(__xludf.DUMMYFUNCTION("""COMPUTED_VALUE"""),"Digby and Glooscap, Nova Scotia")</f>
        <v/>
      </c>
      <c r="K20365">
        <f>IFERROR(__xludf.DUMMYFUNCTION("""COMPUTED_VALUE"""),295.52)</f>
        <v/>
      </c>
    </row>
    <row r="20366">
      <c r="J20366">
        <f>IFERROR(__xludf.DUMMYFUNCTION("""COMPUTED_VALUE"""),"Leeds, England")</f>
        <v/>
      </c>
      <c r="K20366">
        <f>IFERROR(__xludf.DUMMYFUNCTION("""COMPUTED_VALUE"""),295.48)</f>
        <v/>
      </c>
    </row>
    <row r="20367">
      <c r="J20367">
        <f>IFERROR(__xludf.DUMMYFUNCTION("""COMPUTED_VALUE"""),"St-Adele, QC")</f>
        <v/>
      </c>
      <c r="K20367">
        <f>IFERROR(__xludf.DUMMYFUNCTION("""COMPUTED_VALUE"""),295.38)</f>
        <v/>
      </c>
    </row>
    <row r="20368">
      <c r="J20368">
        <f>IFERROR(__xludf.DUMMYFUNCTION("""COMPUTED_VALUE"""),"Saint-Ludger, Quebec, Canada")</f>
        <v/>
      </c>
      <c r="K20368">
        <f>IFERROR(__xludf.DUMMYFUNCTION("""COMPUTED_VALUE"""),295.26)</f>
        <v/>
      </c>
    </row>
    <row r="20369">
      <c r="J20369">
        <f>IFERROR(__xludf.DUMMYFUNCTION("""COMPUTED_VALUE"""),"Montreal, Qubeec, Canada")</f>
        <v/>
      </c>
      <c r="K20369">
        <f>IFERROR(__xludf.DUMMYFUNCTION("""COMPUTED_VALUE"""),294.91)</f>
        <v/>
      </c>
    </row>
    <row r="20370">
      <c r="J20370">
        <f>IFERROR(__xludf.DUMMYFUNCTION("""COMPUTED_VALUE"""),"Newmarket, Ontario")</f>
        <v/>
      </c>
      <c r="K20370">
        <f>IFERROR(__xludf.DUMMYFUNCTION("""COMPUTED_VALUE"""),294.84)</f>
        <v/>
      </c>
    </row>
    <row r="20371">
      <c r="J20371">
        <f>IFERROR(__xludf.DUMMYFUNCTION("""COMPUTED_VALUE"""),"Paris - Rotterdam")</f>
        <v/>
      </c>
      <c r="K20371">
        <f>IFERROR(__xludf.DUMMYFUNCTION("""COMPUTED_VALUE"""),294.44)</f>
        <v/>
      </c>
    </row>
    <row r="20372">
      <c r="J20372">
        <f>IFERROR(__xludf.DUMMYFUNCTION("""COMPUTED_VALUE"""),"Charlottetown, PE New Glasgow, PE Richmond, PE")</f>
        <v/>
      </c>
      <c r="K20372">
        <f>IFERROR(__xludf.DUMMYFUNCTION("""COMPUTED_VALUE"""),294.24)</f>
        <v/>
      </c>
    </row>
    <row r="20373">
      <c r="J20373">
        <f>IFERROR(__xludf.DUMMYFUNCTION("""COMPUTED_VALUE"""),"Ottawa-Kingston-Ottawa")</f>
        <v/>
      </c>
      <c r="K20373">
        <f>IFERROR(__xludf.DUMMYFUNCTION("""COMPUTED_VALUE"""),294.22)</f>
        <v/>
      </c>
    </row>
    <row r="20374">
      <c r="J20374">
        <f>IFERROR(__xludf.DUMMYFUNCTION("""COMPUTED_VALUE"""),"Québec, Trois-Rivières")</f>
        <v/>
      </c>
      <c r="K20374">
        <f>IFERROR(__xludf.DUMMYFUNCTION("""COMPUTED_VALUE"""),294.12)</f>
        <v/>
      </c>
    </row>
    <row r="20375">
      <c r="J20375">
        <f>IFERROR(__xludf.DUMMYFUNCTION("""COMPUTED_VALUE"""),"Chapel's Cove, Newfoundland and Labrador")</f>
        <v/>
      </c>
      <c r="K20375">
        <f>IFERROR(__xludf.DUMMYFUNCTION("""COMPUTED_VALUE"""),294.05)</f>
        <v/>
      </c>
    </row>
    <row r="20376">
      <c r="J20376">
        <f>IFERROR(__xludf.DUMMYFUNCTION("""COMPUTED_VALUE"""),"Toronto, Ontario; Gravenhurst, Ontario")</f>
        <v/>
      </c>
      <c r="K20376">
        <f>IFERROR(__xludf.DUMMYFUNCTION("""COMPUTED_VALUE"""),293.65)</f>
        <v/>
      </c>
    </row>
    <row r="20377">
      <c r="J20377">
        <f>IFERROR(__xludf.DUMMYFUNCTION("""COMPUTED_VALUE"""),"Longueil")</f>
        <v/>
      </c>
      <c r="K20377">
        <f>IFERROR(__xludf.DUMMYFUNCTION("""COMPUTED_VALUE"""),293.42)</f>
        <v/>
      </c>
    </row>
    <row r="20378">
      <c r="J20378">
        <f>IFERROR(__xludf.DUMMYFUNCTION("""COMPUTED_VALUE"""),"Estérel, Quebec")</f>
        <v/>
      </c>
      <c r="K20378">
        <f>IFERROR(__xludf.DUMMYFUNCTION("""COMPUTED_VALUE"""),293.32)</f>
        <v/>
      </c>
    </row>
    <row r="20379">
      <c r="J20379">
        <f>IFERROR(__xludf.DUMMYFUNCTION("""COMPUTED_VALUE"""),"Ottawa and Rimouski")</f>
        <v/>
      </c>
      <c r="K20379">
        <f>IFERROR(__xludf.DUMMYFUNCTION("""COMPUTED_VALUE"""),293.31)</f>
        <v/>
      </c>
    </row>
    <row r="20380">
      <c r="J20380">
        <f>IFERROR(__xludf.DUMMYFUNCTION("""COMPUTED_VALUE"""),"MONTREAL, QC - SHERBROOKE, QC")</f>
        <v/>
      </c>
      <c r="K20380">
        <f>IFERROR(__xludf.DUMMYFUNCTION("""COMPUTED_VALUE"""),293.28)</f>
        <v/>
      </c>
    </row>
    <row r="20381">
      <c r="J20381">
        <f>IFERROR(__xludf.DUMMYFUNCTION("""COMPUTED_VALUE"""),"Graham Pond, Prince Edward Island")</f>
        <v/>
      </c>
      <c r="K20381">
        <f>IFERROR(__xludf.DUMMYFUNCTION("""COMPUTED_VALUE"""),293.11)</f>
        <v/>
      </c>
    </row>
    <row r="20382">
      <c r="J20382">
        <f>IFERROR(__xludf.DUMMYFUNCTION("""COMPUTED_VALUE"""),"Hurlburt Field, Florida, USA")</f>
        <v/>
      </c>
      <c r="K20382">
        <f>IFERROR(__xludf.DUMMYFUNCTION("""COMPUTED_VALUE"""),292.97)</f>
        <v/>
      </c>
    </row>
    <row r="20383">
      <c r="J20383">
        <f>IFERROR(__xludf.DUMMYFUNCTION("""COMPUTED_VALUE"""),"Saint-Liboire, Quebec, Canada")</f>
        <v/>
      </c>
      <c r="K20383">
        <f>IFERROR(__xludf.DUMMYFUNCTION("""COMPUTED_VALUE"""),292.83)</f>
        <v/>
      </c>
    </row>
    <row r="20384">
      <c r="J20384">
        <f>IFERROR(__xludf.DUMMYFUNCTION("""COMPUTED_VALUE"""),"Lac mégantic, Quebec")</f>
        <v/>
      </c>
      <c r="K20384">
        <f>IFERROR(__xludf.DUMMYFUNCTION("""COMPUTED_VALUE"""),292.68)</f>
        <v/>
      </c>
    </row>
    <row r="20385">
      <c r="J20385">
        <f>IFERROR(__xludf.DUMMYFUNCTION("""COMPUTED_VALUE"""),"Markham, Hamilton, Ontario, Canada")</f>
        <v/>
      </c>
      <c r="K20385">
        <f>IFERROR(__xludf.DUMMYFUNCTION("""COMPUTED_VALUE"""),292.48)</f>
        <v/>
      </c>
    </row>
    <row r="20386">
      <c r="J20386">
        <f>IFERROR(__xludf.DUMMYFUNCTION("""COMPUTED_VALUE"""),"Regina Beach, Saskatchewan, Canada")</f>
        <v/>
      </c>
      <c r="K20386">
        <f>IFERROR(__xludf.DUMMYFUNCTION("""COMPUTED_VALUE"""),292.35)</f>
        <v/>
      </c>
    </row>
    <row r="20387">
      <c r="J20387">
        <f>IFERROR(__xludf.DUMMYFUNCTION("""COMPUTED_VALUE"""),"Lunenburg, Nova Scotia")</f>
        <v/>
      </c>
      <c r="K20387">
        <f>IFERROR(__xludf.DUMMYFUNCTION("""COMPUTED_VALUE"""),292.14)</f>
        <v/>
      </c>
    </row>
    <row r="20388">
      <c r="J20388">
        <f>IFERROR(__xludf.DUMMYFUNCTION("""COMPUTED_VALUE"""),"Aylmer / Boucherville")</f>
        <v/>
      </c>
      <c r="K20388">
        <f>IFERROR(__xludf.DUMMYFUNCTION("""COMPUTED_VALUE"""),291.88)</f>
        <v/>
      </c>
    </row>
    <row r="20389">
      <c r="J20389">
        <f>IFERROR(__xludf.DUMMYFUNCTION("""COMPUTED_VALUE"""),"Ortona, IT")</f>
        <v/>
      </c>
      <c r="K20389">
        <f>IFERROR(__xludf.DUMMYFUNCTION("""COMPUTED_VALUE"""),291.84)</f>
        <v/>
      </c>
    </row>
    <row r="20390">
      <c r="J20390">
        <f>IFERROR(__xludf.DUMMYFUNCTION("""COMPUTED_VALUE"""),"Bradford, Ontario, Canada")</f>
        <v/>
      </c>
      <c r="K20390">
        <f>IFERROR(__xludf.DUMMYFUNCTION("""COMPUTED_VALUE"""),291.5)</f>
        <v/>
      </c>
    </row>
    <row r="20391">
      <c r="J20391">
        <f>IFERROR(__xludf.DUMMYFUNCTION("""COMPUTED_VALUE"""),"High River, Alberta, Canada")</f>
        <v/>
      </c>
      <c r="K20391">
        <f>IFERROR(__xludf.DUMMYFUNCTION("""COMPUTED_VALUE"""),291.37)</f>
        <v/>
      </c>
    </row>
    <row r="20392">
      <c r="J20392">
        <f>IFERROR(__xludf.DUMMYFUNCTION("""COMPUTED_VALUE"""),"London, ON / Hamilton, ON / Sarnia, ON")</f>
        <v/>
      </c>
      <c r="K20392">
        <f>IFERROR(__xludf.DUMMYFUNCTION("""COMPUTED_VALUE"""),291.34)</f>
        <v/>
      </c>
    </row>
    <row r="20393">
      <c r="J20393">
        <f>IFERROR(__xludf.DUMMYFUNCTION("""COMPUTED_VALUE"""),"Ottawa-Montreal-Otawa")</f>
        <v/>
      </c>
      <c r="K20393">
        <f>IFERROR(__xludf.DUMMYFUNCTION("""COMPUTED_VALUE"""),291.22)</f>
        <v/>
      </c>
    </row>
    <row r="20394">
      <c r="J20394">
        <f>IFERROR(__xludf.DUMMYFUNCTION("""COMPUTED_VALUE"""),"Kingston (Ontario) Canada                       Quebec City (Québec) Canada")</f>
        <v/>
      </c>
      <c r="K20394">
        <f>IFERROR(__xludf.DUMMYFUNCTION("""COMPUTED_VALUE"""),291)</f>
        <v/>
      </c>
    </row>
    <row r="20395">
      <c r="J20395">
        <f>IFERROR(__xludf.DUMMYFUNCTION("""COMPUTED_VALUE"""),"Lewiston &amp; Auburn, Maine")</f>
        <v/>
      </c>
      <c r="K20395">
        <f>IFERROR(__xludf.DUMMYFUNCTION("""COMPUTED_VALUE"""),290.26)</f>
        <v/>
      </c>
    </row>
    <row r="20396">
      <c r="J20396">
        <f>IFERROR(__xludf.DUMMYFUNCTION("""COMPUTED_VALUE"""),"Dorval, Canada")</f>
        <v/>
      </c>
      <c r="K20396">
        <f>IFERROR(__xludf.DUMMYFUNCTION("""COMPUTED_VALUE"""),290)</f>
        <v/>
      </c>
    </row>
    <row r="20397">
      <c r="J20397">
        <f>IFERROR(__xludf.DUMMYFUNCTION("""COMPUTED_VALUE"""),"Lac-Megantic, QC")</f>
        <v/>
      </c>
      <c r="K20397">
        <f>IFERROR(__xludf.DUMMYFUNCTION("""COMPUTED_VALUE"""),289.95)</f>
        <v/>
      </c>
    </row>
    <row r="20398">
      <c r="J20398">
        <f>IFERROR(__xludf.DUMMYFUNCTION("""COMPUTED_VALUE"""),"Sherbrooke, Quebec; St-Hyacythe, Quebec")</f>
        <v/>
      </c>
      <c r="K20398">
        <f>IFERROR(__xludf.DUMMYFUNCTION("""COMPUTED_VALUE"""),289.86)</f>
        <v/>
      </c>
    </row>
    <row r="20399">
      <c r="J20399">
        <f>IFERROR(__xludf.DUMMYFUNCTION("""COMPUTED_VALUE"""),"Rimouski, Rivière-du-Loup")</f>
        <v/>
      </c>
      <c r="K20399">
        <f>IFERROR(__xludf.DUMMYFUNCTION("""COMPUTED_VALUE"""),289.37)</f>
        <v/>
      </c>
    </row>
    <row r="20400">
      <c r="J20400">
        <f>IFERROR(__xludf.DUMMYFUNCTION("""COMPUTED_VALUE"""),"Montreal, Quebec; Laval, Quebec, Canada")</f>
        <v/>
      </c>
      <c r="K20400">
        <f>IFERROR(__xludf.DUMMYFUNCTION("""COMPUTED_VALUE"""),289.02)</f>
        <v/>
      </c>
    </row>
    <row r="20401">
      <c r="J20401">
        <f>IFERROR(__xludf.DUMMYFUNCTION("""COMPUTED_VALUE"""),"Vancouver, British Columbina, Canada")</f>
        <v/>
      </c>
      <c r="K20401">
        <f>IFERROR(__xludf.DUMMYFUNCTION("""COMPUTED_VALUE"""),288.94)</f>
        <v/>
      </c>
    </row>
    <row r="20402">
      <c r="J20402">
        <f>IFERROR(__xludf.DUMMYFUNCTION("""COMPUTED_VALUE"""),"Jaint-Jean-Sur-Richelieu, Quebec")</f>
        <v/>
      </c>
      <c r="K20402">
        <f>IFERROR(__xludf.DUMMYFUNCTION("""COMPUTED_VALUE"""),288.89)</f>
        <v/>
      </c>
    </row>
    <row r="20403">
      <c r="J20403">
        <f>IFERROR(__xludf.DUMMYFUNCTION("""COMPUTED_VALUE"""),"St. Hubert, Quebec")</f>
        <v/>
      </c>
      <c r="K20403">
        <f>IFERROR(__xludf.DUMMYFUNCTION("""COMPUTED_VALUE"""),288.75)</f>
        <v/>
      </c>
    </row>
    <row r="20404">
      <c r="J20404">
        <f>IFERROR(__xludf.DUMMYFUNCTION("""COMPUTED_VALUE"""),"Atlantic City, NJ")</f>
        <v/>
      </c>
      <c r="K20404">
        <f>IFERROR(__xludf.DUMMYFUNCTION("""COMPUTED_VALUE"""),288.66)</f>
        <v/>
      </c>
    </row>
    <row r="20405">
      <c r="J20405">
        <f>IFERROR(__xludf.DUMMYFUNCTION("""COMPUTED_VALUE"""),"Kaula Lampur, Malaysia")</f>
        <v/>
      </c>
      <c r="K20405">
        <f>IFERROR(__xludf.DUMMYFUNCTION("""COMPUTED_VALUE"""),288.66)</f>
        <v/>
      </c>
    </row>
    <row r="20406">
      <c r="J20406">
        <f>IFERROR(__xludf.DUMMYFUNCTION("""COMPUTED_VALUE"""),"New Maryland, New Brunswick, Canada")</f>
        <v/>
      </c>
      <c r="K20406">
        <f>IFERROR(__xludf.DUMMYFUNCTION("""COMPUTED_VALUE"""),288.6)</f>
        <v/>
      </c>
    </row>
    <row r="20407">
      <c r="J20407">
        <f>IFERROR(__xludf.DUMMYFUNCTION("""COMPUTED_VALUE"""),"Bedeque, PE")</f>
        <v/>
      </c>
      <c r="K20407">
        <f>IFERROR(__xludf.DUMMYFUNCTION("""COMPUTED_VALUE"""),288.53)</f>
        <v/>
      </c>
    </row>
    <row r="20408">
      <c r="J20408">
        <f>IFERROR(__xludf.DUMMYFUNCTION("""COMPUTED_VALUE"""),"Saint-Albert, Alberta, Canada")</f>
        <v/>
      </c>
      <c r="K20408">
        <f>IFERROR(__xludf.DUMMYFUNCTION("""COMPUTED_VALUE"""),288.27)</f>
        <v/>
      </c>
    </row>
    <row r="20409">
      <c r="J20409">
        <f>IFERROR(__xludf.DUMMYFUNCTION("""COMPUTED_VALUE"""),"Charlottetown, Prince Edward Island / Moncton and Miramichi, New Brunswick")</f>
        <v/>
      </c>
      <c r="K20409">
        <f>IFERROR(__xludf.DUMMYFUNCTION("""COMPUTED_VALUE"""),288.14)</f>
        <v/>
      </c>
    </row>
    <row r="20410">
      <c r="J20410">
        <f>IFERROR(__xludf.DUMMYFUNCTION("""COMPUTED_VALUE"""),"New Glasgow, Stellarton and Pictou, Nova Scotia")</f>
        <v/>
      </c>
      <c r="K20410">
        <f>IFERROR(__xludf.DUMMYFUNCTION("""COMPUTED_VALUE"""),287.6)</f>
        <v/>
      </c>
    </row>
    <row r="20411">
      <c r="J20411">
        <f>IFERROR(__xludf.DUMMYFUNCTION("""COMPUTED_VALUE"""),"Arad")</f>
        <v/>
      </c>
      <c r="K20411">
        <f>IFERROR(__xludf.DUMMYFUNCTION("""COMPUTED_VALUE"""),287.53)</f>
        <v/>
      </c>
    </row>
    <row r="20412">
      <c r="J20412">
        <f>IFERROR(__xludf.DUMMYFUNCTION("""COMPUTED_VALUE"""),"Yellowknife, Northwest Territories, Canada; Vancouver, British Columbia, Canada")</f>
        <v/>
      </c>
      <c r="K20412">
        <f>IFERROR(__xludf.DUMMYFUNCTION("""COMPUTED_VALUE"""),287.47)</f>
        <v/>
      </c>
    </row>
    <row r="20413">
      <c r="J20413">
        <f>IFERROR(__xludf.DUMMYFUNCTION("""COMPUTED_VALUE"""),"Ramstein, Germany &amp; Dieppe, France")</f>
        <v/>
      </c>
      <c r="K20413">
        <f>IFERROR(__xludf.DUMMYFUNCTION("""COMPUTED_VALUE"""),287.43)</f>
        <v/>
      </c>
    </row>
    <row r="20414">
      <c r="J20414">
        <f>IFERROR(__xludf.DUMMYFUNCTION("""COMPUTED_VALUE"""),"L'Isle-Verte")</f>
        <v/>
      </c>
      <c r="K20414">
        <f>IFERROR(__xludf.DUMMYFUNCTION("""COMPUTED_VALUE"""),287.35)</f>
        <v/>
      </c>
    </row>
    <row r="20415">
      <c r="J20415">
        <f>IFERROR(__xludf.DUMMYFUNCTION("""COMPUTED_VALUE"""),"Bellechasse, Quebec, Canada")</f>
        <v/>
      </c>
      <c r="K20415">
        <f>IFERROR(__xludf.DUMMYFUNCTION("""COMPUTED_VALUE"""),287.28)</f>
        <v/>
      </c>
    </row>
    <row r="20416">
      <c r="J20416">
        <f>IFERROR(__xludf.DUMMYFUNCTION("""COMPUTED_VALUE"""),"Saint-Rosaire, Quebec, Canada; Saint-Hubert, Quebec, Canada; Rivière-du-Loup, Quebec, Canada")</f>
        <v/>
      </c>
      <c r="K20416">
        <f>IFERROR(__xludf.DUMMYFUNCTION("""COMPUTED_VALUE"""),286.76)</f>
        <v/>
      </c>
    </row>
    <row r="20417">
      <c r="J20417">
        <f>IFERROR(__xludf.DUMMYFUNCTION("""COMPUTED_VALUE"""),"Detroit, MI, USA")</f>
        <v/>
      </c>
      <c r="K20417">
        <f>IFERROR(__xludf.DUMMYFUNCTION("""COMPUTED_VALUE"""),286.53)</f>
        <v/>
      </c>
    </row>
    <row r="20418">
      <c r="J20418">
        <f>IFERROR(__xludf.DUMMYFUNCTION("""COMPUTED_VALUE"""),"Halifax, Nova Scotia, Charlottetown, Prince Edward Island (Canada)")</f>
        <v/>
      </c>
      <c r="K20418">
        <f>IFERROR(__xludf.DUMMYFUNCTION("""COMPUTED_VALUE"""),286.37)</f>
        <v/>
      </c>
    </row>
    <row r="20419">
      <c r="J20419">
        <f>IFERROR(__xludf.DUMMYFUNCTION("""COMPUTED_VALUE"""),"Toledo, OH USA")</f>
        <v/>
      </c>
      <c r="K20419">
        <f>IFERROR(__xludf.DUMMYFUNCTION("""COMPUTED_VALUE"""),286.12)</f>
        <v/>
      </c>
    </row>
    <row r="20420">
      <c r="J20420">
        <f>IFERROR(__xludf.DUMMYFUNCTION("""COMPUTED_VALUE"""),"Bordeaux")</f>
        <v/>
      </c>
      <c r="K20420">
        <f>IFERROR(__xludf.DUMMYFUNCTION("""COMPUTED_VALUE"""),286)</f>
        <v/>
      </c>
    </row>
    <row r="20421">
      <c r="J20421">
        <f>IFERROR(__xludf.DUMMYFUNCTION("""COMPUTED_VALUE"""),"OTTAWA, TRENTON, OTTAWA")</f>
        <v/>
      </c>
      <c r="K20421">
        <f>IFERROR(__xludf.DUMMYFUNCTION("""COMPUTED_VALUE"""),285.97)</f>
        <v/>
      </c>
    </row>
    <row r="20422">
      <c r="J20422">
        <f>IFERROR(__xludf.DUMMYFUNCTION("""COMPUTED_VALUE"""),"Newport USA")</f>
        <v/>
      </c>
      <c r="K20422">
        <f>IFERROR(__xludf.DUMMYFUNCTION("""COMPUTED_VALUE"""),285.82)</f>
        <v/>
      </c>
    </row>
    <row r="20423">
      <c r="J20423">
        <f>IFERROR(__xludf.DUMMYFUNCTION("""COMPUTED_VALUE"""),"Newport, RI, USA")</f>
        <v/>
      </c>
      <c r="K20423">
        <f>IFERROR(__xludf.DUMMYFUNCTION("""COMPUTED_VALUE"""),285.82)</f>
        <v/>
      </c>
    </row>
    <row r="20424">
      <c r="J20424">
        <f>IFERROR(__xludf.DUMMYFUNCTION("""COMPUTED_VALUE"""),"Saint-Hyacinthe, Quebec, Canada; Fortierville, Quebec, Canada")</f>
        <v/>
      </c>
      <c r="K20424">
        <f>IFERROR(__xludf.DUMMYFUNCTION("""COMPUTED_VALUE"""),285.8)</f>
        <v/>
      </c>
    </row>
    <row r="20425">
      <c r="J20425">
        <f>IFERROR(__xludf.DUMMYFUNCTION("""COMPUTED_VALUE"""),"Summerside, PE Amherst, NS Charlottetown, PE Caribou, NS")</f>
        <v/>
      </c>
      <c r="K20425">
        <f>IFERROR(__xludf.DUMMYFUNCTION("""COMPUTED_VALUE"""),285.72)</f>
        <v/>
      </c>
    </row>
    <row r="20426">
      <c r="J20426">
        <f>IFERROR(__xludf.DUMMYFUNCTION("""COMPUTED_VALUE"""),"Canadian Forces Base (CFB) Petawawa, ON")</f>
        <v/>
      </c>
      <c r="K20426">
        <f>IFERROR(__xludf.DUMMYFUNCTION("""COMPUTED_VALUE"""),285.38)</f>
        <v/>
      </c>
    </row>
    <row r="20427">
      <c r="J20427">
        <f>IFERROR(__xludf.DUMMYFUNCTION("""COMPUTED_VALUE"""),"Montebello (Quebec), Canada")</f>
        <v/>
      </c>
      <c r="K20427">
        <f>IFERROR(__xludf.DUMMYFUNCTION("""COMPUTED_VALUE"""),285.16)</f>
        <v/>
      </c>
    </row>
    <row r="20428">
      <c r="J20428">
        <f>IFERROR(__xludf.DUMMYFUNCTION("""COMPUTED_VALUE"""),"Stony Rapids, Saskatchewan, Canada")</f>
        <v/>
      </c>
      <c r="K20428">
        <f>IFERROR(__xludf.DUMMYFUNCTION("""COMPUTED_VALUE"""),285.06)</f>
        <v/>
      </c>
    </row>
    <row r="20429">
      <c r="J20429">
        <f>IFERROR(__xludf.DUMMYFUNCTION("""COMPUTED_VALUE"""),"Kitchener, Ontario, Canada; London, Ontario, Canada; Toronto, Ontario, Canada")</f>
        <v/>
      </c>
      <c r="K20429">
        <f>IFERROR(__xludf.DUMMYFUNCTION("""COMPUTED_VALUE"""),284.95)</f>
        <v/>
      </c>
    </row>
    <row r="20430">
      <c r="J20430">
        <f>IFERROR(__xludf.DUMMYFUNCTION("""COMPUTED_VALUE"""),"St-Camille / Sherbrooke /
St-Jean")</f>
        <v/>
      </c>
      <c r="K20430">
        <f>IFERROR(__xludf.DUMMYFUNCTION("""COMPUTED_VALUE"""),284.94)</f>
        <v/>
      </c>
    </row>
    <row r="20431">
      <c r="J20431">
        <f>IFERROR(__xludf.DUMMYFUNCTION("""COMPUTED_VALUE"""),"Clarenville, NL")</f>
        <v/>
      </c>
      <c r="K20431">
        <f>IFERROR(__xludf.DUMMYFUNCTION("""COMPUTED_VALUE"""),284.75)</f>
        <v/>
      </c>
    </row>
    <row r="20432">
      <c r="J20432">
        <f>IFERROR(__xludf.DUMMYFUNCTION("""COMPUTED_VALUE"""),"Arras/Vimy")</f>
        <v/>
      </c>
      <c r="K20432">
        <f>IFERROR(__xludf.DUMMYFUNCTION("""COMPUTED_VALUE"""),284.68)</f>
        <v/>
      </c>
    </row>
    <row r="20433">
      <c r="J20433">
        <f>IFERROR(__xludf.DUMMYFUNCTION("""COMPUTED_VALUE"""),"Valcourt, Orford, Masonville, St-Hubert, Quebec (Canada)")</f>
        <v/>
      </c>
      <c r="K20433">
        <f>IFERROR(__xludf.DUMMYFUNCTION("""COMPUTED_VALUE"""),284.549999999999)</f>
        <v/>
      </c>
    </row>
    <row r="20434">
      <c r="J20434">
        <f>IFERROR(__xludf.DUMMYFUNCTION("""COMPUTED_VALUE"""),"Kitchener, Ontario, Canada; Mississauga, Ontario, Canada")</f>
        <v/>
      </c>
      <c r="K20434">
        <f>IFERROR(__xludf.DUMMYFUNCTION("""COMPUTED_VALUE"""),284.51)</f>
        <v/>
      </c>
    </row>
    <row r="20435">
      <c r="J20435">
        <f>IFERROR(__xludf.DUMMYFUNCTION("""COMPUTED_VALUE"""),"Saguenay, Québec, Montréal, Ottawa")</f>
        <v/>
      </c>
      <c r="K20435">
        <f>IFERROR(__xludf.DUMMYFUNCTION("""COMPUTED_VALUE"""),284.33)</f>
        <v/>
      </c>
    </row>
    <row r="20436">
      <c r="J20436">
        <f>IFERROR(__xludf.DUMMYFUNCTION("""COMPUTED_VALUE"""),"Dalhousie, New Brunswick, Canada")</f>
        <v/>
      </c>
      <c r="K20436">
        <f>IFERROR(__xludf.DUMMYFUNCTION("""COMPUTED_VALUE"""),284.24)</f>
        <v/>
      </c>
    </row>
    <row r="20437">
      <c r="J20437">
        <f>IFERROR(__xludf.DUMMYFUNCTION("""COMPUTED_VALUE"""),"Gaspé, Rimouski")</f>
        <v/>
      </c>
      <c r="K20437">
        <f>IFERROR(__xludf.DUMMYFUNCTION("""COMPUTED_VALUE"""),284.13)</f>
        <v/>
      </c>
    </row>
    <row r="20438">
      <c r="J20438">
        <f>IFERROR(__xludf.DUMMYFUNCTION("""COMPUTED_VALUE"""),"Hamilton &amp; Toronto, Ontario, Canada")</f>
        <v/>
      </c>
      <c r="K20438">
        <f>IFERROR(__xludf.DUMMYFUNCTION("""COMPUTED_VALUE"""),283.86)</f>
        <v/>
      </c>
    </row>
    <row r="20439">
      <c r="J20439">
        <f>IFERROR(__xludf.DUMMYFUNCTION("""COMPUTED_VALUE"""),"Edmunston, New-Brunswick, Canada")</f>
        <v/>
      </c>
      <c r="K20439">
        <f>IFERROR(__xludf.DUMMYFUNCTION("""COMPUTED_VALUE"""),283.85)</f>
        <v/>
      </c>
    </row>
    <row r="20440">
      <c r="J20440">
        <f>IFERROR(__xludf.DUMMYFUNCTION("""COMPUTED_VALUE"""),"Lincoln")</f>
        <v/>
      </c>
      <c r="K20440">
        <f>IFERROR(__xludf.DUMMYFUNCTION("""COMPUTED_VALUE"""),283.84)</f>
        <v/>
      </c>
    </row>
    <row r="20441">
      <c r="J20441">
        <f>IFERROR(__xludf.DUMMYFUNCTION("""COMPUTED_VALUE"""),"Montreal, QU")</f>
        <v/>
      </c>
      <c r="K20441">
        <f>IFERROR(__xludf.DUMMYFUNCTION("""COMPUTED_VALUE"""),283.8)</f>
        <v/>
      </c>
    </row>
    <row r="20442">
      <c r="J20442">
        <f>IFERROR(__xludf.DUMMYFUNCTION("""COMPUTED_VALUE"""),"Kingston, ON, Canda")</f>
        <v/>
      </c>
      <c r="K20442">
        <f>IFERROR(__xludf.DUMMYFUNCTION("""COMPUTED_VALUE"""),283.76)</f>
        <v/>
      </c>
    </row>
    <row r="20443">
      <c r="J20443">
        <f>IFERROR(__xludf.DUMMYFUNCTION("""COMPUTED_VALUE"""),"Ottawa-Halifax-Charlottetown-St.John's")</f>
        <v/>
      </c>
      <c r="K20443">
        <f>IFERROR(__xludf.DUMMYFUNCTION("""COMPUTED_VALUE"""),283.59)</f>
        <v/>
      </c>
    </row>
    <row r="20444">
      <c r="J20444">
        <f>IFERROR(__xludf.DUMMYFUNCTION("""COMPUTED_VALUE"""),"St Johns, Newfoundland, Canada")</f>
        <v/>
      </c>
      <c r="K20444">
        <f>IFERROR(__xludf.DUMMYFUNCTION("""COMPUTED_VALUE"""),283.21)</f>
        <v/>
      </c>
    </row>
    <row r="20445">
      <c r="J20445">
        <f>IFERROR(__xludf.DUMMYFUNCTION("""COMPUTED_VALUE"""),"Regina, Sask")</f>
        <v/>
      </c>
      <c r="K20445">
        <f>IFERROR(__xludf.DUMMYFUNCTION("""COMPUTED_VALUE"""),283.09)</f>
        <v/>
      </c>
    </row>
    <row r="20446">
      <c r="J20446">
        <f>IFERROR(__xludf.DUMMYFUNCTION("""COMPUTED_VALUE"""),"Amos, Quebec, Canada")</f>
        <v/>
      </c>
      <c r="K20446">
        <f>IFERROR(__xludf.DUMMYFUNCTION("""COMPUTED_VALUE"""),282.89)</f>
        <v/>
      </c>
    </row>
    <row r="20447">
      <c r="J20447">
        <f>IFERROR(__xludf.DUMMYFUNCTION("""COMPUTED_VALUE"""),"St. Paul, Alberta, Canada")</f>
        <v/>
      </c>
      <c r="K20447">
        <f>IFERROR(__xludf.DUMMYFUNCTION("""COMPUTED_VALUE"""),282.83)</f>
        <v/>
      </c>
    </row>
    <row r="20448">
      <c r="J20448">
        <f>IFERROR(__xludf.DUMMYFUNCTION("""COMPUTED_VALUE"""),"Athens, Georgia (USA)")</f>
        <v/>
      </c>
      <c r="K20448">
        <f>IFERROR(__xludf.DUMMYFUNCTION("""COMPUTED_VALUE"""),282.81)</f>
        <v/>
      </c>
    </row>
    <row r="20449">
      <c r="J20449">
        <f>IFERROR(__xludf.DUMMYFUNCTION("""COMPUTED_VALUE"""),"Enstone, Chipping Norton, OX7 4ER")</f>
        <v/>
      </c>
      <c r="K20449">
        <f>IFERROR(__xludf.DUMMYFUNCTION("""COMPUTED_VALUE"""),282.65)</f>
        <v/>
      </c>
    </row>
    <row r="20450">
      <c r="J20450">
        <f>IFERROR(__xludf.DUMMYFUNCTION("""COMPUTED_VALUE"""),"L.B. Pearson Bldg, Ottawa")</f>
        <v/>
      </c>
      <c r="K20450">
        <f>IFERROR(__xludf.DUMMYFUNCTION("""COMPUTED_VALUE"""),282.4)</f>
        <v/>
      </c>
    </row>
    <row r="20451">
      <c r="J20451">
        <f>IFERROR(__xludf.DUMMYFUNCTION("""COMPUTED_VALUE"""),"Grand Falls, St. Andre, St. Leonard, Campbellton, Charlo, Belledune, Nigadoo, Beresford and Miramichi, New Brunswick")</f>
        <v/>
      </c>
      <c r="K20451">
        <f>IFERROR(__xludf.DUMMYFUNCTION("""COMPUTED_VALUE"""),282.27)</f>
        <v/>
      </c>
    </row>
    <row r="20452">
      <c r="J20452">
        <f>IFERROR(__xludf.DUMMYFUNCTION("""COMPUTED_VALUE"""),"Mont-Joli, Rimouski, Rivière-du-Loup, St-Eusèbe, La Pocatière")</f>
        <v/>
      </c>
      <c r="K20452">
        <f>IFERROR(__xludf.DUMMYFUNCTION("""COMPUTED_VALUE"""),282.08)</f>
        <v/>
      </c>
    </row>
    <row r="20453">
      <c r="J20453">
        <f>IFERROR(__xludf.DUMMYFUNCTION("""COMPUTED_VALUE"""),"St-Jean sur Richelieu, QC")</f>
        <v/>
      </c>
      <c r="K20453">
        <f>IFERROR(__xludf.DUMMYFUNCTION("""COMPUTED_VALUE"""),282)</f>
        <v/>
      </c>
    </row>
    <row r="20454">
      <c r="J20454">
        <f>IFERROR(__xludf.DUMMYFUNCTION("""COMPUTED_VALUE"""),"Wood Buffalo, Alberta, Canada")</f>
        <v/>
      </c>
      <c r="K20454">
        <f>IFERROR(__xludf.DUMMYFUNCTION("""COMPUTED_VALUE"""),281.72)</f>
        <v/>
      </c>
    </row>
    <row r="20455">
      <c r="J20455">
        <f>IFERROR(__xludf.DUMMYFUNCTION("""COMPUTED_VALUE"""),"Aylmer, Sherbrooke, QC")</f>
        <v/>
      </c>
      <c r="K20455">
        <f>IFERROR(__xludf.DUMMYFUNCTION("""COMPUTED_VALUE"""),281.26)</f>
        <v/>
      </c>
    </row>
    <row r="20456">
      <c r="J20456">
        <f>IFERROR(__xludf.DUMMYFUNCTION("""COMPUTED_VALUE"""),"Québec and Drummondville (Québec) Canada")</f>
        <v/>
      </c>
      <c r="K20456">
        <f>IFERROR(__xludf.DUMMYFUNCTION("""COMPUTED_VALUE"""),281.16)</f>
        <v/>
      </c>
    </row>
    <row r="20457">
      <c r="J20457">
        <f>IFERROR(__xludf.DUMMYFUNCTION("""COMPUTED_VALUE"""),"Inuvit, Northwest Territories")</f>
        <v/>
      </c>
      <c r="K20457">
        <f>IFERROR(__xludf.DUMMYFUNCTION("""COMPUTED_VALUE"""),280.67)</f>
        <v/>
      </c>
    </row>
    <row r="20458">
      <c r="J20458">
        <f>IFERROR(__xludf.DUMMYFUNCTION("""COMPUTED_VALUE"""),"Pohenegamook")</f>
        <v/>
      </c>
      <c r="K20458">
        <f>IFERROR(__xludf.DUMMYFUNCTION("""COMPUTED_VALUE"""),280.63)</f>
        <v/>
      </c>
    </row>
    <row r="20459">
      <c r="J20459">
        <f>IFERROR(__xludf.DUMMYFUNCTION("""COMPUTED_VALUE"""),"Dartmouth and Halifax, Nova Scotia")</f>
        <v/>
      </c>
      <c r="K20459">
        <f>IFERROR(__xludf.DUMMYFUNCTION("""COMPUTED_VALUE"""),280.49)</f>
        <v/>
      </c>
    </row>
    <row r="20460">
      <c r="J20460">
        <f>IFERROR(__xludf.DUMMYFUNCTION("""COMPUTED_VALUE"""),"Sturgeon Falls, Ontariio, Canada")</f>
        <v/>
      </c>
      <c r="K20460">
        <f>IFERROR(__xludf.DUMMYFUNCTION("""COMPUTED_VALUE"""),280.36)</f>
        <v/>
      </c>
    </row>
    <row r="20461">
      <c r="J20461">
        <f>IFERROR(__xludf.DUMMYFUNCTION("""COMPUTED_VALUE"""),"Vancouver and Smithers")</f>
        <v/>
      </c>
      <c r="K20461">
        <f>IFERROR(__xludf.DUMMYFUNCTION("""COMPUTED_VALUE"""),279.72)</f>
        <v/>
      </c>
    </row>
    <row r="20462">
      <c r="J20462">
        <f>IFERROR(__xludf.DUMMYFUNCTION("""COMPUTED_VALUE"""),"Windsor, Ontario, Canada; Tecumseh, Ontario, Canada")</f>
        <v/>
      </c>
      <c r="K20462">
        <f>IFERROR(__xludf.DUMMYFUNCTION("""COMPUTED_VALUE"""),279.17)</f>
        <v/>
      </c>
    </row>
    <row r="20463">
      <c r="J20463">
        <f>IFERROR(__xludf.DUMMYFUNCTION("""COMPUTED_VALUE"""),"Saint-Adèle, Quebec, Canada")</f>
        <v/>
      </c>
      <c r="K20463">
        <f>IFERROR(__xludf.DUMMYFUNCTION("""COMPUTED_VALUE"""),279.15)</f>
        <v/>
      </c>
    </row>
    <row r="20464">
      <c r="J20464">
        <f>IFERROR(__xludf.DUMMYFUNCTION("""COMPUTED_VALUE"""),"Fredericton, New Brunswick, Canada; Shediac, New Brunswick, Canada")</f>
        <v/>
      </c>
      <c r="K20464">
        <f>IFERROR(__xludf.DUMMYFUNCTION("""COMPUTED_VALUE"""),278.86)</f>
        <v/>
      </c>
    </row>
    <row r="20465">
      <c r="J20465">
        <f>IFERROR(__xludf.DUMMYFUNCTION("""COMPUTED_VALUE"""),"Victoriaville, Trois-Rivières, Laval")</f>
        <v/>
      </c>
      <c r="K20465">
        <f>IFERROR(__xludf.DUMMYFUNCTION("""COMPUTED_VALUE"""),278.2)</f>
        <v/>
      </c>
    </row>
    <row r="20466">
      <c r="J20466">
        <f>IFERROR(__xludf.DUMMYFUNCTION("""COMPUTED_VALUE"""),"Beloeil,Quebec, Canada")</f>
        <v/>
      </c>
      <c r="K20466">
        <f>IFERROR(__xludf.DUMMYFUNCTION("""COMPUTED_VALUE"""),277.9)</f>
        <v/>
      </c>
    </row>
    <row r="20467">
      <c r="J20467">
        <f>IFERROR(__xludf.DUMMYFUNCTION("""COMPUTED_VALUE"""),"Bromont, Quebec, Canada/ Sherbrooke, Quebec,Canada")</f>
        <v/>
      </c>
      <c r="K20467">
        <f>IFERROR(__xludf.DUMMYFUNCTION("""COMPUTED_VALUE"""),277.9)</f>
        <v/>
      </c>
    </row>
    <row r="20468">
      <c r="J20468">
        <f>IFERROR(__xludf.DUMMYFUNCTION("""COMPUTED_VALUE"""),"Kingston(Ontario)Canada")</f>
        <v/>
      </c>
      <c r="K20468">
        <f>IFERROR(__xludf.DUMMYFUNCTION("""COMPUTED_VALUE"""),277.69)</f>
        <v/>
      </c>
    </row>
    <row r="20469">
      <c r="J20469">
        <f>IFERROR(__xludf.DUMMYFUNCTION("""COMPUTED_VALUE"""),"London, Aylmer, Port Stanley, Ontario")</f>
        <v/>
      </c>
      <c r="K20469">
        <f>IFERROR(__xludf.DUMMYFUNCTION("""COMPUTED_VALUE"""),277.51)</f>
        <v/>
      </c>
    </row>
    <row r="20470">
      <c r="J20470">
        <f>IFERROR(__xludf.DUMMYFUNCTION("""COMPUTED_VALUE"""),"Sherbrooke (Quebec) Canada; Quebec City (Quebec) Canada")</f>
        <v/>
      </c>
      <c r="K20470">
        <f>IFERROR(__xludf.DUMMYFUNCTION("""COMPUTED_VALUE"""),277.5)</f>
        <v/>
      </c>
    </row>
    <row r="20471">
      <c r="J20471">
        <f>IFERROR(__xludf.DUMMYFUNCTION("""COMPUTED_VALUE"""),"Lac Mégantic
")</f>
        <v/>
      </c>
      <c r="K20471">
        <f>IFERROR(__xludf.DUMMYFUNCTION("""COMPUTED_VALUE"""),277.38)</f>
        <v/>
      </c>
    </row>
    <row r="20472">
      <c r="J20472">
        <f>IFERROR(__xludf.DUMMYFUNCTION("""COMPUTED_VALUE"""),"Trois Rivières")</f>
        <v/>
      </c>
      <c r="K20472">
        <f>IFERROR(__xludf.DUMMYFUNCTION("""COMPUTED_VALUE"""),277.28)</f>
        <v/>
      </c>
    </row>
    <row r="20473">
      <c r="J20473">
        <f>IFERROR(__xludf.DUMMYFUNCTION("""COMPUTED_VALUE"""),"St Jean sur Richelieu, QC")</f>
        <v/>
      </c>
      <c r="K20473">
        <f>IFERROR(__xludf.DUMMYFUNCTION("""COMPUTED_VALUE"""),277.01)</f>
        <v/>
      </c>
    </row>
    <row r="20474">
      <c r="J20474">
        <f>IFERROR(__xludf.DUMMYFUNCTION("""COMPUTED_VALUE"""),"Kahnawa'ke, Quebec, Canada")</f>
        <v/>
      </c>
      <c r="K20474">
        <f>IFERROR(__xludf.DUMMYFUNCTION("""COMPUTED_VALUE"""),276.95)</f>
        <v/>
      </c>
    </row>
    <row r="20475">
      <c r="J20475">
        <f>IFERROR(__xludf.DUMMYFUNCTION("""COMPUTED_VALUE"""),"Manchester, NH; Augusta, ME; Lewiston, ME")</f>
        <v/>
      </c>
      <c r="K20475">
        <f>IFERROR(__xludf.DUMMYFUNCTION("""COMPUTED_VALUE"""),276.76)</f>
        <v/>
      </c>
    </row>
    <row r="20476">
      <c r="J20476">
        <f>IFERROR(__xludf.DUMMYFUNCTION("""COMPUTED_VALUE"""),"Quebec - Gatineau")</f>
        <v/>
      </c>
      <c r="K20476">
        <f>IFERROR(__xludf.DUMMYFUNCTION("""COMPUTED_VALUE"""),276.62)</f>
        <v/>
      </c>
    </row>
    <row r="20477">
      <c r="J20477">
        <f>IFERROR(__xludf.DUMMYFUNCTION("""COMPUTED_VALUE"""),"Banff, AB, and Ottawa, ON.")</f>
        <v/>
      </c>
      <c r="K20477">
        <f>IFERROR(__xludf.DUMMYFUNCTION("""COMPUTED_VALUE"""),276.33)</f>
        <v/>
      </c>
    </row>
    <row r="20478">
      <c r="J20478">
        <f>IFERROR(__xludf.DUMMYFUNCTION("""COMPUTED_VALUE"""),"Lamèque, New Brunswick")</f>
        <v/>
      </c>
      <c r="K20478">
        <f>IFERROR(__xludf.DUMMYFUNCTION("""COMPUTED_VALUE"""),276.21)</f>
        <v/>
      </c>
    </row>
    <row r="20479">
      <c r="J20479">
        <f>IFERROR(__xludf.DUMMYFUNCTION("""COMPUTED_VALUE"""),"Shawinigan, Quebec, Canada/ Beloeil, Quebec, Canada")</f>
        <v/>
      </c>
      <c r="K20479">
        <f>IFERROR(__xludf.DUMMYFUNCTION("""COMPUTED_VALUE"""),276.21)</f>
        <v/>
      </c>
    </row>
    <row r="20480">
      <c r="J20480">
        <f>IFERROR(__xludf.DUMMYFUNCTION("""COMPUTED_VALUE"""),"O'Leary, Prince Edward Island")</f>
        <v/>
      </c>
      <c r="K20480">
        <f>IFERROR(__xludf.DUMMYFUNCTION("""COMPUTED_VALUE"""),276.05)</f>
        <v/>
      </c>
    </row>
    <row r="20481">
      <c r="J20481">
        <f>IFERROR(__xludf.DUMMYFUNCTION("""COMPUTED_VALUE"""),"Trinity Bay - Port Rexton, Newfoundland and Labrador")</f>
        <v/>
      </c>
      <c r="K20481">
        <f>IFERROR(__xludf.DUMMYFUNCTION("""COMPUTED_VALUE"""),275.9)</f>
        <v/>
      </c>
    </row>
    <row r="20482">
      <c r="J20482">
        <f>IFERROR(__xludf.DUMMYFUNCTION("""COMPUTED_VALUE"""),"OTTAWA PART OF 10 TICKET BIZ PACK")</f>
        <v/>
      </c>
      <c r="K20482">
        <f>IFERROR(__xludf.DUMMYFUNCTION("""COMPUTED_VALUE"""),275.78)</f>
        <v/>
      </c>
    </row>
    <row r="20483">
      <c r="J20483">
        <f>IFERROR(__xludf.DUMMYFUNCTION("""COMPUTED_VALUE"""),"Saint-Apollinaire, Quebec, Canada")</f>
        <v/>
      </c>
      <c r="K20483">
        <f>IFERROR(__xludf.DUMMYFUNCTION("""COMPUTED_VALUE"""),275.21)</f>
        <v/>
      </c>
    </row>
    <row r="20484">
      <c r="J20484">
        <f>IFERROR(__xludf.DUMMYFUNCTION("""COMPUTED_VALUE"""),"Louisville, Kentucky, Unites States")</f>
        <v/>
      </c>
      <c r="K20484">
        <f>IFERROR(__xludf.DUMMYFUNCTION("""COMPUTED_VALUE"""),275)</f>
        <v/>
      </c>
    </row>
    <row r="20485">
      <c r="J20485">
        <f>IFERROR(__xludf.DUMMYFUNCTION("""COMPUTED_VALUE"""),"Shawinigan and Montreal, QC")</f>
        <v/>
      </c>
      <c r="K20485">
        <f>IFERROR(__xludf.DUMMYFUNCTION("""COMPUTED_VALUE"""),274.89)</f>
        <v/>
      </c>
    </row>
    <row r="20486">
      <c r="J20486">
        <f>IFERROR(__xludf.DUMMYFUNCTION("""COMPUTED_VALUE"""),"Chester, Windsor, Mahone Bay, Ragged Lake and Dartmouth, Nova Scotia, Canada")</f>
        <v/>
      </c>
      <c r="K20486">
        <f>IFERROR(__xludf.DUMMYFUNCTION("""COMPUTED_VALUE"""),274.82)</f>
        <v/>
      </c>
    </row>
    <row r="20487">
      <c r="J20487">
        <f>IFERROR(__xludf.DUMMYFUNCTION("""COMPUTED_VALUE"""),"British Columbia (Canada)")</f>
        <v/>
      </c>
      <c r="K20487">
        <f>IFERROR(__xludf.DUMMYFUNCTION("""COMPUTED_VALUE"""),274.7)</f>
        <v/>
      </c>
    </row>
    <row r="20488">
      <c r="J20488">
        <f>IFERROR(__xludf.DUMMYFUNCTION("""COMPUTED_VALUE"""),"Ajax, ON / Kitchener, ON")</f>
        <v/>
      </c>
      <c r="K20488">
        <f>IFERROR(__xludf.DUMMYFUNCTION("""COMPUTED_VALUE"""),274.69)</f>
        <v/>
      </c>
    </row>
    <row r="20489">
      <c r="J20489">
        <f>IFERROR(__xludf.DUMMYFUNCTION("""COMPUTED_VALUE"""),"Bromont, Qc")</f>
        <v/>
      </c>
      <c r="K20489">
        <f>IFERROR(__xludf.DUMMYFUNCTION("""COMPUTED_VALUE"""),274.68)</f>
        <v/>
      </c>
    </row>
    <row r="20490">
      <c r="J20490">
        <f>IFERROR(__xludf.DUMMYFUNCTION("""COMPUTED_VALUE"""),"New Glasgow")</f>
        <v/>
      </c>
      <c r="K20490">
        <f>IFERROR(__xludf.DUMMYFUNCTION("""COMPUTED_VALUE"""),274.43)</f>
        <v/>
      </c>
    </row>
    <row r="20491">
      <c r="J20491">
        <f>IFERROR(__xludf.DUMMYFUNCTION("""COMPUTED_VALUE"""),"Port-au-Prince, Haiti and Cayeen, French Guiana")</f>
        <v/>
      </c>
      <c r="K20491">
        <f>IFERROR(__xludf.DUMMYFUNCTION("""COMPUTED_VALUE"""),274.38)</f>
        <v/>
      </c>
    </row>
    <row r="20492">
      <c r="J20492">
        <f>IFERROR(__xludf.DUMMYFUNCTION("""COMPUTED_VALUE"""),"SOUTHAMPTON, GB")</f>
        <v/>
      </c>
      <c r="K20492">
        <f>IFERROR(__xludf.DUMMYFUNCTION("""COMPUTED_VALUE"""),274.16)</f>
        <v/>
      </c>
    </row>
    <row r="20493">
      <c r="J20493">
        <f>IFERROR(__xludf.DUMMYFUNCTION("""COMPUTED_VALUE"""),"Toronto/Montreal")</f>
        <v/>
      </c>
      <c r="K20493">
        <f>IFERROR(__xludf.DUMMYFUNCTION("""COMPUTED_VALUE"""),274.12)</f>
        <v/>
      </c>
    </row>
    <row r="20494">
      <c r="J20494">
        <f>IFERROR(__xludf.DUMMYFUNCTION("""COMPUTED_VALUE"""),"Hemmingford, Quebec, Canada / Montreal, Quebec, Canada")</f>
        <v/>
      </c>
      <c r="K20494">
        <f>IFERROR(__xludf.DUMMYFUNCTION("""COMPUTED_VALUE"""),274.01)</f>
        <v/>
      </c>
    </row>
    <row r="20495">
      <c r="J20495">
        <f>IFERROR(__xludf.DUMMYFUNCTION("""COMPUTED_VALUE"""),"Ottawa, Ontario &amp; Gatineau, Quebec")</f>
        <v/>
      </c>
      <c r="K20495">
        <f>IFERROR(__xludf.DUMMYFUNCTION("""COMPUTED_VALUE"""),274)</f>
        <v/>
      </c>
    </row>
    <row r="20496">
      <c r="J20496">
        <f>IFERROR(__xludf.DUMMYFUNCTION("""COMPUTED_VALUE"""),"Kingston, Fort Henry, Ottawa, Ontario")</f>
        <v/>
      </c>
      <c r="K20496">
        <f>IFERROR(__xludf.DUMMYFUNCTION("""COMPUTED_VALUE"""),273.96)</f>
        <v/>
      </c>
    </row>
    <row r="20497">
      <c r="J20497">
        <f>IFERROR(__xludf.DUMMYFUNCTION("""COMPUTED_VALUE"""),"Waterloo / Hamilton (Ontario)")</f>
        <v/>
      </c>
      <c r="K20497">
        <f>IFERROR(__xludf.DUMMYFUNCTION("""COMPUTED_VALUE"""),273.66)</f>
        <v/>
      </c>
    </row>
    <row r="20498">
      <c r="J20498">
        <f>IFERROR(__xludf.DUMMYFUNCTION("""COMPUTED_VALUE"""),"Squamish, BC")</f>
        <v/>
      </c>
      <c r="K20498">
        <f>IFERROR(__xludf.DUMMYFUNCTION("""COMPUTED_VALUE"""),273.5)</f>
        <v/>
      </c>
    </row>
    <row r="20499">
      <c r="J20499">
        <f>IFERROR(__xludf.DUMMYFUNCTION("""COMPUTED_VALUE"""),"Virginia, United States")</f>
        <v/>
      </c>
      <c r="K20499">
        <f>IFERROR(__xludf.DUMMYFUNCTION("""COMPUTED_VALUE"""),273.41)</f>
        <v/>
      </c>
    </row>
    <row r="20500">
      <c r="J20500">
        <f>IFERROR(__xludf.DUMMYFUNCTION("""COMPUTED_VALUE"""),"Pictou, Antigonish, Guysborough and Strait, Nova Scotia")</f>
        <v/>
      </c>
      <c r="K20500">
        <f>IFERROR(__xludf.DUMMYFUNCTION("""COMPUTED_VALUE"""),272.7)</f>
        <v/>
      </c>
    </row>
    <row r="20501">
      <c r="J20501">
        <f>IFERROR(__xludf.DUMMYFUNCTION("""COMPUTED_VALUE"""),"Donnacona Institution")</f>
        <v/>
      </c>
      <c r="K20501">
        <f>IFERROR(__xludf.DUMMYFUNCTION("""COMPUTED_VALUE"""),272.48)</f>
        <v/>
      </c>
    </row>
    <row r="20502">
      <c r="J20502">
        <f>IFERROR(__xludf.DUMMYFUNCTION("""COMPUTED_VALUE"""),"Miramichi and Moncton, New Brunswick")</f>
        <v/>
      </c>
      <c r="K20502">
        <f>IFERROR(__xludf.DUMMYFUNCTION("""COMPUTED_VALUE"""),272.28)</f>
        <v/>
      </c>
    </row>
    <row r="20503">
      <c r="J20503">
        <f>IFERROR(__xludf.DUMMYFUNCTION("""COMPUTED_VALUE"""),"Ottawa - Ste-Anne de Bellevue - Ottawa")</f>
        <v/>
      </c>
      <c r="K20503">
        <f>IFERROR(__xludf.DUMMYFUNCTION("""COMPUTED_VALUE"""),272.03)</f>
        <v/>
      </c>
    </row>
    <row r="20504">
      <c r="J20504">
        <f>IFERROR(__xludf.DUMMYFUNCTION("""COMPUTED_VALUE"""),"Waterloo, ON, Port Perry, ON")</f>
        <v/>
      </c>
      <c r="K20504">
        <f>IFERROR(__xludf.DUMMYFUNCTION("""COMPUTED_VALUE"""),271.92)</f>
        <v/>
      </c>
    </row>
    <row r="20505">
      <c r="J20505">
        <f>IFERROR(__xludf.DUMMYFUNCTION("""COMPUTED_VALUE"""),"Ottawa, Montréal, Roberval, Saguenay")</f>
        <v/>
      </c>
      <c r="K20505">
        <f>IFERROR(__xludf.DUMMYFUNCTION("""COMPUTED_VALUE"""),271.77)</f>
        <v/>
      </c>
    </row>
    <row r="20506">
      <c r="J20506">
        <f>IFERROR(__xludf.DUMMYFUNCTION("""COMPUTED_VALUE"""),"Scarborough and North York, ON")</f>
        <v/>
      </c>
      <c r="K20506">
        <f>IFERROR(__xludf.DUMMYFUNCTION("""COMPUTED_VALUE"""),271.65)</f>
        <v/>
      </c>
    </row>
    <row r="20507">
      <c r="J20507">
        <f>IFERROR(__xludf.DUMMYFUNCTION("""COMPUTED_VALUE"""),"Valleyfield, QC")</f>
        <v/>
      </c>
      <c r="K20507">
        <f>IFERROR(__xludf.DUMMYFUNCTION("""COMPUTED_VALUE"""),271.57)</f>
        <v/>
      </c>
    </row>
    <row r="20508">
      <c r="J20508">
        <f>IFERROR(__xludf.DUMMYFUNCTION("""COMPUTED_VALUE"""),"St-Jean Sur Richelieu (Quebec) Canada")</f>
        <v/>
      </c>
      <c r="K20508">
        <f>IFERROR(__xludf.DUMMYFUNCTION("""COMPUTED_VALUE"""),271.52)</f>
        <v/>
      </c>
    </row>
    <row r="20509">
      <c r="J20509">
        <f>IFERROR(__xludf.DUMMYFUNCTION("""COMPUTED_VALUE"""),"Luskville, Quebec, Canada")</f>
        <v/>
      </c>
      <c r="K20509">
        <f>IFERROR(__xludf.DUMMYFUNCTION("""COMPUTED_VALUE"""),271.049999999999)</f>
        <v/>
      </c>
    </row>
    <row r="20510">
      <c r="J20510">
        <f>IFERROR(__xludf.DUMMYFUNCTION("""COMPUTED_VALUE"""),"Lac Mégantic, Quebec, Canada")</f>
        <v/>
      </c>
      <c r="K20510">
        <f>IFERROR(__xludf.DUMMYFUNCTION("""COMPUTED_VALUE"""),270.75)</f>
        <v/>
      </c>
    </row>
    <row r="20511">
      <c r="J20511">
        <f>IFERROR(__xludf.DUMMYFUNCTION("""COMPUTED_VALUE"""),"Lorraine, Ottawa")</f>
        <v/>
      </c>
      <c r="K20511">
        <f>IFERROR(__xludf.DUMMYFUNCTION("""COMPUTED_VALUE"""),270.66)</f>
        <v/>
      </c>
    </row>
    <row r="20512">
      <c r="J20512">
        <f>IFERROR(__xludf.DUMMYFUNCTION("""COMPUTED_VALUE"""),"St Sauveur")</f>
        <v/>
      </c>
      <c r="K20512">
        <f>IFERROR(__xludf.DUMMYFUNCTION("""COMPUTED_VALUE"""),270.65)</f>
        <v/>
      </c>
    </row>
    <row r="20513">
      <c r="J20513">
        <f>IFERROR(__xludf.DUMMYFUNCTION("""COMPUTED_VALUE"""),"Albany, New York")</f>
        <v/>
      </c>
      <c r="K20513">
        <f>IFERROR(__xludf.DUMMYFUNCTION("""COMPUTED_VALUE"""),270.07)</f>
        <v/>
      </c>
    </row>
    <row r="20514">
      <c r="J20514">
        <f>IFERROR(__xludf.DUMMYFUNCTION("""COMPUTED_VALUE"""),"Saint-Hyacinthe, Saint-Germain-de-Grantham")</f>
        <v/>
      </c>
      <c r="K20514">
        <f>IFERROR(__xludf.DUMMYFUNCTION("""COMPUTED_VALUE"""),270.06)</f>
        <v/>
      </c>
    </row>
    <row r="20515">
      <c r="J20515">
        <f>IFERROR(__xludf.DUMMYFUNCTION("""COMPUTED_VALUE"""),"Newbury, United Kingdom")</f>
        <v/>
      </c>
      <c r="K20515">
        <f>IFERROR(__xludf.DUMMYFUNCTION("""COMPUTED_VALUE"""),269.79)</f>
        <v/>
      </c>
    </row>
    <row r="20516">
      <c r="J20516">
        <f>IFERROR(__xludf.DUMMYFUNCTION("""COMPUTED_VALUE"""),"Elk Island National Park, Fort Saskatchewan, Alberta")</f>
        <v/>
      </c>
      <c r="K20516">
        <f>IFERROR(__xludf.DUMMYFUNCTION("""COMPUTED_VALUE"""),269.71)</f>
        <v/>
      </c>
    </row>
    <row r="20517">
      <c r="J20517">
        <f>IFERROR(__xludf.DUMMYFUNCTION("""COMPUTED_VALUE"""),"Drummondville, Québec, Roberval")</f>
        <v/>
      </c>
      <c r="K20517">
        <f>IFERROR(__xludf.DUMMYFUNCTION("""COMPUTED_VALUE"""),269.6)</f>
        <v/>
      </c>
    </row>
    <row r="20518">
      <c r="J20518">
        <f>IFERROR(__xludf.DUMMYFUNCTION("""COMPUTED_VALUE"""),"Cancelled, Denmark and Greenland")</f>
        <v/>
      </c>
      <c r="K20518">
        <f>IFERROR(__xludf.DUMMYFUNCTION("""COMPUTED_VALUE"""),269.56)</f>
        <v/>
      </c>
    </row>
    <row r="20519">
      <c r="J20519">
        <f>IFERROR(__xludf.DUMMYFUNCTION("""COMPUTED_VALUE"""),"Stellarton, Pictou and New Glasgow, Nova Scotia")</f>
        <v/>
      </c>
      <c r="K20519">
        <f>IFERROR(__xludf.DUMMYFUNCTION("""COMPUTED_VALUE"""),269.38)</f>
        <v/>
      </c>
    </row>
    <row r="20520">
      <c r="J20520">
        <f>IFERROR(__xludf.DUMMYFUNCTION("""COMPUTED_VALUE"""),"Rigaud- QC")</f>
        <v/>
      </c>
      <c r="K20520">
        <f>IFERROR(__xludf.DUMMYFUNCTION("""COMPUTED_VALUE"""),268.61)</f>
        <v/>
      </c>
    </row>
    <row r="20521">
      <c r="J20521">
        <f>IFERROR(__xludf.DUMMYFUNCTION("""COMPUTED_VALUE"""),"Albany, NY and New Berlin, NY")</f>
        <v/>
      </c>
      <c r="K20521">
        <f>IFERROR(__xludf.DUMMYFUNCTION("""COMPUTED_VALUE"""),268.5)</f>
        <v/>
      </c>
    </row>
    <row r="20522">
      <c r="J20522">
        <f>IFERROR(__xludf.DUMMYFUNCTION("""COMPUTED_VALUE"""),"Yarmouth and Church Point, Nova Scotia")</f>
        <v/>
      </c>
      <c r="K20522">
        <f>IFERROR(__xludf.DUMMYFUNCTION("""COMPUTED_VALUE"""),268.5)</f>
        <v/>
      </c>
    </row>
    <row r="20523">
      <c r="J20523">
        <f>IFERROR(__xludf.DUMMYFUNCTION("""COMPUTED_VALUE"""),"Spain and Portugal")</f>
        <v/>
      </c>
      <c r="K20523">
        <f>IFERROR(__xludf.DUMMYFUNCTION("""COMPUTED_VALUE"""),268.46)</f>
        <v/>
      </c>
    </row>
    <row r="20524">
      <c r="J20524">
        <f>IFERROR(__xludf.DUMMYFUNCTION("""COMPUTED_VALUE"""),"Saint Hubert, Quebec")</f>
        <v/>
      </c>
      <c r="K20524">
        <f>IFERROR(__xludf.DUMMYFUNCTION("""COMPUTED_VALUE"""),268.29)</f>
        <v/>
      </c>
    </row>
    <row r="20525">
      <c r="J20525">
        <f>IFERROR(__xludf.DUMMYFUNCTION("""COMPUTED_VALUE"""),"Vaughan, Ontario, Canada; Kitchener, Ontario, Canada")</f>
        <v/>
      </c>
      <c r="K20525">
        <f>IFERROR(__xludf.DUMMYFUNCTION("""COMPUTED_VALUE"""),268.1)</f>
        <v/>
      </c>
    </row>
    <row r="20526">
      <c r="J20526">
        <f>IFERROR(__xludf.DUMMYFUNCTION("""COMPUTED_VALUE"""),"Ottawa, Ontario Via train with Bus. Pack 10 ticket")</f>
        <v/>
      </c>
      <c r="K20526">
        <f>IFERROR(__xludf.DUMMYFUNCTION("""COMPUTED_VALUE"""),268.09)</f>
        <v/>
      </c>
    </row>
    <row r="20527">
      <c r="J20527">
        <f>IFERROR(__xludf.DUMMYFUNCTION("""COMPUTED_VALUE"""),"Drummondville, Quebec , Canada")</f>
        <v/>
      </c>
      <c r="K20527">
        <f>IFERROR(__xludf.DUMMYFUNCTION("""COMPUTED_VALUE"""),267.9)</f>
        <v/>
      </c>
    </row>
    <row r="20528">
      <c r="J20528">
        <f>IFERROR(__xludf.DUMMYFUNCTION("""COMPUTED_VALUE"""),"Toronto / Ottawa")</f>
        <v/>
      </c>
      <c r="K20528">
        <f>IFERROR(__xludf.DUMMYFUNCTION("""COMPUTED_VALUE"""),267.81)</f>
        <v/>
      </c>
    </row>
    <row r="20529">
      <c r="J20529">
        <f>IFERROR(__xludf.DUMMYFUNCTION("""COMPUTED_VALUE"""),"Saint-Germain-de-Grantham, Longueuil")</f>
        <v/>
      </c>
      <c r="K20529">
        <f>IFERROR(__xludf.DUMMYFUNCTION("""COMPUTED_VALUE"""),267.67)</f>
        <v/>
      </c>
    </row>
    <row r="20530">
      <c r="J20530">
        <f>IFERROR(__xludf.DUMMYFUNCTION("""COMPUTED_VALUE"""),"Saint-Lazare, Quebec")</f>
        <v/>
      </c>
      <c r="K20530">
        <f>IFERROR(__xludf.DUMMYFUNCTION("""COMPUTED_VALUE"""),267.289999999999)</f>
        <v/>
      </c>
    </row>
    <row r="20531">
      <c r="J20531">
        <f>IFERROR(__xludf.DUMMYFUNCTION("""COMPUTED_VALUE"""),"Laval, QC Ottawa, ON")</f>
        <v/>
      </c>
      <c r="K20531">
        <f>IFERROR(__xludf.DUMMYFUNCTION("""COMPUTED_VALUE"""),266.59)</f>
        <v/>
      </c>
    </row>
    <row r="20532">
      <c r="J20532">
        <f>IFERROR(__xludf.DUMMYFUNCTION("""COMPUTED_VALUE"""),"St-Agathe-des-Monts, Quebec, Canada")</f>
        <v/>
      </c>
      <c r="K20532">
        <f>IFERROR(__xludf.DUMMYFUNCTION("""COMPUTED_VALUE"""),266.45)</f>
        <v/>
      </c>
    </row>
    <row r="20533">
      <c r="J20533">
        <f>IFERROR(__xludf.DUMMYFUNCTION("""COMPUTED_VALUE"""),"Stanstead")</f>
        <v/>
      </c>
      <c r="K20533">
        <f>IFERROR(__xludf.DUMMYFUNCTION("""COMPUTED_VALUE"""),266.27)</f>
        <v/>
      </c>
    </row>
    <row r="20534">
      <c r="J20534">
        <f>IFERROR(__xludf.DUMMYFUNCTION("""COMPUTED_VALUE"""),"Montréal, Gatineau,
Ottawa")</f>
        <v/>
      </c>
      <c r="K20534">
        <f>IFERROR(__xludf.DUMMYFUNCTION("""COMPUTED_VALUE"""),266.13)</f>
        <v/>
      </c>
    </row>
    <row r="20535">
      <c r="J20535">
        <f>IFERROR(__xludf.DUMMYFUNCTION("""COMPUTED_VALUE"""),"Red Earth Creek, Alberta, Canada")</f>
        <v/>
      </c>
      <c r="K20535">
        <f>IFERROR(__xludf.DUMMYFUNCTION("""COMPUTED_VALUE"""),265.71)</f>
        <v/>
      </c>
    </row>
    <row r="20536">
      <c r="J20536">
        <f>IFERROR(__xludf.DUMMYFUNCTION("""COMPUTED_VALUE"""),"Accompanied the Minister to provide support in Toronto at the Canada-Ukraine Business Forum")</f>
        <v/>
      </c>
      <c r="K20536">
        <f>IFERROR(__xludf.DUMMYFUNCTION("""COMPUTED_VALUE"""),265.64)</f>
        <v/>
      </c>
    </row>
    <row r="20537">
      <c r="J20537">
        <f>IFERROR(__xludf.DUMMYFUNCTION("""COMPUTED_VALUE"""),"Québec, Sept-Iles")</f>
        <v/>
      </c>
      <c r="K20537">
        <f>IFERROR(__xludf.DUMMYFUNCTION("""COMPUTED_VALUE"""),265.57)</f>
        <v/>
      </c>
    </row>
    <row r="20538">
      <c r="J20538">
        <f>IFERROR(__xludf.DUMMYFUNCTION("""COMPUTED_VALUE"""),"Ste-Adèle")</f>
        <v/>
      </c>
      <c r="K20538">
        <f>IFERROR(__xludf.DUMMYFUNCTION("""COMPUTED_VALUE"""),265.45)</f>
        <v/>
      </c>
    </row>
    <row r="20539">
      <c r="J20539">
        <f>IFERROR(__xludf.DUMMYFUNCTION("""COMPUTED_VALUE"""),"Moncton, New Brunswick, Canada; Dieppe, New Brunswick, Canada")</f>
        <v/>
      </c>
      <c r="K20539">
        <f>IFERROR(__xludf.DUMMYFUNCTION("""COMPUTED_VALUE"""),265.28)</f>
        <v/>
      </c>
    </row>
    <row r="20540">
      <c r="J20540">
        <f>IFERROR(__xludf.DUMMYFUNCTION("""COMPUTED_VALUE"""),"Québec, Saguenay")</f>
        <v/>
      </c>
      <c r="K20540">
        <f>IFERROR(__xludf.DUMMYFUNCTION("""COMPUTED_VALUE"""),265.2)</f>
        <v/>
      </c>
    </row>
    <row r="20541">
      <c r="J20541">
        <f>IFERROR(__xludf.DUMMYFUNCTION("""COMPUTED_VALUE"""),"Ottawa, Ontario (one ticket of 10)")</f>
        <v/>
      </c>
      <c r="K20541">
        <f>IFERROR(__xludf.DUMMYFUNCTION("""COMPUTED_VALUE"""),265.12)</f>
        <v/>
      </c>
    </row>
    <row r="20542">
      <c r="J20542">
        <f>IFERROR(__xludf.DUMMYFUNCTION("""COMPUTED_VALUE"""),"Chexbres, Switzerland")</f>
        <v/>
      </c>
      <c r="K20542">
        <f>IFERROR(__xludf.DUMMYFUNCTION("""COMPUTED_VALUE"""),264.61)</f>
        <v/>
      </c>
    </row>
    <row r="20543">
      <c r="J20543">
        <f>IFERROR(__xludf.DUMMYFUNCTION("""COMPUTED_VALUE"""),"Gander, Newfoundland and Labrador;  Halifax, Shearwater and Greenwood Nova Scotia")</f>
        <v/>
      </c>
      <c r="K20543">
        <f>IFERROR(__xludf.DUMMYFUNCTION("""COMPUTED_VALUE"""),264.2)</f>
        <v/>
      </c>
    </row>
    <row r="20544">
      <c r="J20544">
        <f>IFERROR(__xludf.DUMMYFUNCTION("""COMPUTED_VALUE"""),"Montreal- Montreal Maggog- Montreal")</f>
        <v/>
      </c>
      <c r="K20544">
        <f>IFERROR(__xludf.DUMMYFUNCTION("""COMPUTED_VALUE"""),263.7)</f>
        <v/>
      </c>
    </row>
    <row r="20545">
      <c r="J20545">
        <f>IFERROR(__xludf.DUMMYFUNCTION("""COMPUTED_VALUE"""),"Gatineau,  Quebec, (Canada)")</f>
        <v/>
      </c>
      <c r="K20545">
        <f>IFERROR(__xludf.DUMMYFUNCTION("""COMPUTED_VALUE"""),263.6)</f>
        <v/>
      </c>
    </row>
    <row r="20546">
      <c r="J20546">
        <f>IFERROR(__xludf.DUMMYFUNCTION("""COMPUTED_VALUE"""),"St-Jean-Sur-Richelieu (Quebec) Canada")</f>
        <v/>
      </c>
      <c r="K20546">
        <f>IFERROR(__xludf.DUMMYFUNCTION("""COMPUTED_VALUE"""),263.52)</f>
        <v/>
      </c>
    </row>
    <row r="20547">
      <c r="J20547">
        <f>IFERROR(__xludf.DUMMYFUNCTION("""COMPUTED_VALUE"""),"Nunatsiavut, Labrador")</f>
        <v/>
      </c>
      <c r="K20547">
        <f>IFERROR(__xludf.DUMMYFUNCTION("""COMPUTED_VALUE"""),263.37)</f>
        <v/>
      </c>
    </row>
    <row r="20548">
      <c r="J20548">
        <f>IFERROR(__xludf.DUMMYFUNCTION("""COMPUTED_VALUE"""),"Laurentides and Labelle, Québec")</f>
        <v/>
      </c>
      <c r="K20548">
        <f>IFERROR(__xludf.DUMMYFUNCTION("""COMPUTED_VALUE"""),263.34)</f>
        <v/>
      </c>
    </row>
    <row r="20549">
      <c r="J20549">
        <f>IFERROR(__xludf.DUMMYFUNCTION("""COMPUTED_VALUE"""),"Arlington, US")</f>
        <v/>
      </c>
      <c r="K20549">
        <f>IFERROR(__xludf.DUMMYFUNCTION("""COMPUTED_VALUE"""),262.9)</f>
        <v/>
      </c>
    </row>
    <row r="20550">
      <c r="J20550">
        <f>IFERROR(__xludf.DUMMYFUNCTION("""COMPUTED_VALUE"""),"Victoria - Vancouver")</f>
        <v/>
      </c>
      <c r="K20550">
        <f>IFERROR(__xludf.DUMMYFUNCTION("""COMPUTED_VALUE"""),262.72)</f>
        <v/>
      </c>
    </row>
    <row r="20551">
      <c r="J20551">
        <f>IFERROR(__xludf.DUMMYFUNCTION("""COMPUTED_VALUE"""),"Brome-Missisquoi, Quebec")</f>
        <v/>
      </c>
      <c r="K20551">
        <f>IFERROR(__xludf.DUMMYFUNCTION("""COMPUTED_VALUE"""),261.51)</f>
        <v/>
      </c>
    </row>
    <row r="20552">
      <c r="J20552">
        <f>IFERROR(__xludf.DUMMYFUNCTION("""COMPUTED_VALUE"""),"St-Ludger-de-Milot, Roberval, La Baie, Roberval")</f>
        <v/>
      </c>
      <c r="K20552">
        <f>IFERROR(__xludf.DUMMYFUNCTION("""COMPUTED_VALUE"""),260.96)</f>
        <v/>
      </c>
    </row>
    <row r="20553">
      <c r="J20553">
        <f>IFERROR(__xludf.DUMMYFUNCTION("""COMPUTED_VALUE"""),"Acton Vale, St-Bonaventure")</f>
        <v/>
      </c>
      <c r="K20553">
        <f>IFERROR(__xludf.DUMMYFUNCTION("""COMPUTED_VALUE"""),260.83)</f>
        <v/>
      </c>
    </row>
    <row r="20554">
      <c r="J20554">
        <f>IFERROR(__xludf.DUMMYFUNCTION("""COMPUTED_VALUE"""),"Souris, Prince Edward Island, Canada; Montague, Prince Edward Island, Canada; O'Leary, Prince Edward Island, Canada; Summerside, Prince Edward Island, Canada; Charlottetown, Prince Edward Island, Canada")</f>
        <v/>
      </c>
      <c r="K20554">
        <f>IFERROR(__xludf.DUMMYFUNCTION("""COMPUTED_VALUE"""),260.1)</f>
        <v/>
      </c>
    </row>
    <row r="20555">
      <c r="J20555">
        <f>IFERROR(__xludf.DUMMYFUNCTION("""COMPUTED_VALUE"""),"Boisbrian, Quebec (Canada)")</f>
        <v/>
      </c>
      <c r="K20555">
        <f>IFERROR(__xludf.DUMMYFUNCTION("""COMPUTED_VALUE"""),259.61)</f>
        <v/>
      </c>
    </row>
    <row r="20556">
      <c r="J20556">
        <f>IFERROR(__xludf.DUMMYFUNCTION("""COMPUTED_VALUE"""),"Blainville, Laval")</f>
        <v/>
      </c>
      <c r="K20556">
        <f>IFERROR(__xludf.DUMMYFUNCTION("""COMPUTED_VALUE"""),259.49)</f>
        <v/>
      </c>
    </row>
    <row r="20557">
      <c r="J20557">
        <f>IFERROR(__xludf.DUMMYFUNCTION("""COMPUTED_VALUE"""),"Wellington, PE Richmond, PE Borden, PE Slemon Park, PE")</f>
        <v/>
      </c>
      <c r="K20557">
        <f>IFERROR(__xludf.DUMMYFUNCTION("""COMPUTED_VALUE"""),259.31)</f>
        <v/>
      </c>
    </row>
    <row r="20558">
      <c r="J20558">
        <f>IFERROR(__xludf.DUMMYFUNCTION("""COMPUTED_VALUE"""),"Montreal,
QC")</f>
        <v/>
      </c>
      <c r="K20558">
        <f>IFERROR(__xludf.DUMMYFUNCTION("""COMPUTED_VALUE"""),259.21)</f>
        <v/>
      </c>
    </row>
    <row r="20559">
      <c r="J20559">
        <f>IFERROR(__xludf.DUMMYFUNCTION("""COMPUTED_VALUE"""),"Montréal, Quebec, Canada; Boucherville, Quebec, Canada; Beloeil, Quebec, Canada")</f>
        <v/>
      </c>
      <c r="K20559">
        <f>IFERROR(__xludf.DUMMYFUNCTION("""COMPUTED_VALUE"""),258.63)</f>
        <v/>
      </c>
    </row>
    <row r="20560">
      <c r="J20560">
        <f>IFERROR(__xludf.DUMMYFUNCTION("""COMPUTED_VALUE"""),"Brudenell, Prince Edward Island, Canada; Montague, Prince Edward Island, Canada; Souris, Prince Edward Island, Canada; North River, Prince Edward Island, Canada; Charlottetown, Prince Edward Island, Canada; O'Leary, Prince Edward Island, Canada; Wellingto"&amp;"n, Prince Edward Island, Canada; Summerside, Prince Edward Island, Canada")</f>
        <v/>
      </c>
      <c r="K20560">
        <f>IFERROR(__xludf.DUMMYFUNCTION("""COMPUTED_VALUE"""),258.4)</f>
        <v/>
      </c>
    </row>
    <row r="20561">
      <c r="J20561">
        <f>IFERROR(__xludf.DUMMYFUNCTION("""COMPUTED_VALUE"""),"St. John NL")</f>
        <v/>
      </c>
      <c r="K20561">
        <f>IFERROR(__xludf.DUMMYFUNCTION("""COMPUTED_VALUE"""),258.38)</f>
        <v/>
      </c>
    </row>
    <row r="20562">
      <c r="J20562">
        <f>IFERROR(__xludf.DUMMYFUNCTION("""COMPUTED_VALUE"""),"Rivière-du-Loup, Rivière-Ouelle, La Pocatière and Beauce, Québec")</f>
        <v/>
      </c>
      <c r="K20562">
        <f>IFERROR(__xludf.DUMMYFUNCTION("""COMPUTED_VALUE"""),257.73)</f>
        <v/>
      </c>
    </row>
    <row r="20563">
      <c r="J20563">
        <f>IFERROR(__xludf.DUMMYFUNCTION("""COMPUTED_VALUE"""),"Edmonton, Alberta; Vegreville, Alberta; Camrose, Alberta")</f>
        <v/>
      </c>
      <c r="K20563">
        <f>IFERROR(__xludf.DUMMYFUNCTION("""COMPUTED_VALUE"""),257.53)</f>
        <v/>
      </c>
    </row>
    <row r="20564">
      <c r="J20564">
        <f>IFERROR(__xludf.DUMMYFUNCTION("""COMPUTED_VALUE"""),"Montreal, Quebec, Canada; Laval, Quebec, Canada")</f>
        <v/>
      </c>
      <c r="K20564">
        <f>IFERROR(__xludf.DUMMYFUNCTION("""COMPUTED_VALUE"""),257.27)</f>
        <v/>
      </c>
    </row>
    <row r="20565">
      <c r="J20565">
        <f>IFERROR(__xludf.DUMMYFUNCTION("""COMPUTED_VALUE"""),"Greater Toronto Area (Markham &amp; Mississauga)")</f>
        <v/>
      </c>
      <c r="K20565">
        <f>IFERROR(__xludf.DUMMYFUNCTION("""COMPUTED_VALUE"""),257.25)</f>
        <v/>
      </c>
    </row>
    <row r="20566">
      <c r="J20566">
        <f>IFERROR(__xludf.DUMMYFUNCTION("""COMPUTED_VALUE"""),"Ottawa, Ontario, Canada; Gatineau, Quebec, Canada; Valleyfield, Quebec, Canada")</f>
        <v/>
      </c>
      <c r="K20566">
        <f>IFERROR(__xludf.DUMMYFUNCTION("""COMPUTED_VALUE"""),257.2)</f>
        <v/>
      </c>
    </row>
    <row r="20567">
      <c r="J20567">
        <f>IFERROR(__xludf.DUMMYFUNCTION("""COMPUTED_VALUE"""),"Charlottetown, PE - Gagetown, NB / Gagetown, NB - Charlottetown, PE")</f>
        <v/>
      </c>
      <c r="K20567">
        <f>IFERROR(__xludf.DUMMYFUNCTION("""COMPUTED_VALUE"""),256.92)</f>
        <v/>
      </c>
    </row>
    <row r="20568">
      <c r="J20568">
        <f>IFERROR(__xludf.DUMMYFUNCTION("""COMPUTED_VALUE"""),"Downsview Park, Pearson Airport, Queens Park, etc.")</f>
        <v/>
      </c>
      <c r="K20568">
        <f>IFERROR(__xludf.DUMMYFUNCTION("""COMPUTED_VALUE"""),256.88)</f>
        <v/>
      </c>
    </row>
    <row r="20569">
      <c r="J20569">
        <f>IFERROR(__xludf.DUMMYFUNCTION("""COMPUTED_VALUE"""),"Port Mouton, Tusket and Barton, Nova Scotia")</f>
        <v/>
      </c>
      <c r="K20569">
        <f>IFERROR(__xludf.DUMMYFUNCTION("""COMPUTED_VALUE"""),256.66)</f>
        <v/>
      </c>
    </row>
    <row r="20570">
      <c r="J20570">
        <f>IFERROR(__xludf.DUMMYFUNCTION("""COMPUTED_VALUE"""),"Toronto, Ottawa, Souda Bay, Kuwait, Lviv, Ottawa")</f>
        <v/>
      </c>
      <c r="K20570">
        <f>IFERROR(__xludf.DUMMYFUNCTION("""COMPUTED_VALUE"""),256.41)</f>
        <v/>
      </c>
    </row>
    <row r="20571">
      <c r="J20571">
        <f>IFERROR(__xludf.DUMMYFUNCTION("""COMPUTED_VALUE"""),"Coquitlam, British Columbia, Canada; Nanaimo, British Columbia, Canada")</f>
        <v/>
      </c>
      <c r="K20571">
        <f>IFERROR(__xludf.DUMMYFUNCTION("""COMPUTED_VALUE"""),256.04)</f>
        <v/>
      </c>
    </row>
    <row r="20572">
      <c r="J20572">
        <f>IFERROR(__xludf.DUMMYFUNCTION("""COMPUTED_VALUE"""),"London (Ontario)")</f>
        <v/>
      </c>
      <c r="K20572">
        <f>IFERROR(__xludf.DUMMYFUNCTION("""COMPUTED_VALUE"""),255.79)</f>
        <v/>
      </c>
    </row>
    <row r="20573">
      <c r="J20573">
        <f>IFERROR(__xludf.DUMMYFUNCTION("""COMPUTED_VALUE"""),"Squamish, British Columbia")</f>
        <v/>
      </c>
      <c r="K20573">
        <f>IFERROR(__xludf.DUMMYFUNCTION("""COMPUTED_VALUE"""),255.75)</f>
        <v/>
      </c>
    </row>
    <row r="20574">
      <c r="J20574">
        <f>IFERROR(__xludf.DUMMYFUNCTION("""COMPUTED_VALUE"""),"Tecumseh, Ontario, Canada; Leamington, Ontario, Canada")</f>
        <v/>
      </c>
      <c r="K20574">
        <f>IFERROR(__xludf.DUMMYFUNCTION("""COMPUTED_VALUE"""),255.71)</f>
        <v/>
      </c>
    </row>
    <row r="20575">
      <c r="J20575">
        <f>IFERROR(__xludf.DUMMYFUNCTION("""COMPUTED_VALUE"""),"Grand-Pré, Nova Scotia")</f>
        <v/>
      </c>
      <c r="K20575">
        <f>IFERROR(__xludf.DUMMYFUNCTION("""COMPUTED_VALUE"""),255.48)</f>
        <v/>
      </c>
    </row>
    <row r="20576">
      <c r="J20576">
        <f>IFERROR(__xludf.DUMMYFUNCTION("""COMPUTED_VALUE"""),"Ste-Marthe-de-Rigaud")</f>
        <v/>
      </c>
      <c r="K20576">
        <f>IFERROR(__xludf.DUMMYFUNCTION("""COMPUTED_VALUE"""),255.42)</f>
        <v/>
      </c>
    </row>
    <row r="20577">
      <c r="J20577">
        <f>IFERROR(__xludf.DUMMYFUNCTION("""COMPUTED_VALUE"""),"Baie-Comeau, Quebec, Canada")</f>
        <v/>
      </c>
      <c r="K20577">
        <f>IFERROR(__xludf.DUMMYFUNCTION("""COMPUTED_VALUE"""),255.37)</f>
        <v/>
      </c>
    </row>
    <row r="20578">
      <c r="J20578">
        <f>IFERROR(__xludf.DUMMYFUNCTION("""COMPUTED_VALUE"""),"Oakville, ON / London, ON")</f>
        <v/>
      </c>
      <c r="K20578">
        <f>IFERROR(__xludf.DUMMYFUNCTION("""COMPUTED_VALUE"""),255.32)</f>
        <v/>
      </c>
    </row>
    <row r="20579">
      <c r="J20579">
        <f>IFERROR(__xludf.DUMMYFUNCTION("""COMPUTED_VALUE"""),"Qubec")</f>
        <v/>
      </c>
      <c r="K20579">
        <f>IFERROR(__xludf.DUMMYFUNCTION("""COMPUTED_VALUE"""),255.3)</f>
        <v/>
      </c>
    </row>
    <row r="20580">
      <c r="J20580">
        <f>IFERROR(__xludf.DUMMYFUNCTION("""COMPUTED_VALUE"""),"Trois-Rivières, Drummondville")</f>
        <v/>
      </c>
      <c r="K20580">
        <f>IFERROR(__xludf.DUMMYFUNCTION("""COMPUTED_VALUE"""),255.22)</f>
        <v/>
      </c>
    </row>
    <row r="20581">
      <c r="J20581">
        <f>IFERROR(__xludf.DUMMYFUNCTION("""COMPUTED_VALUE"""),"Jakarta  *Air fare to follow")</f>
        <v/>
      </c>
      <c r="K20581">
        <f>IFERROR(__xludf.DUMMYFUNCTION("""COMPUTED_VALUE"""),255.19)</f>
        <v/>
      </c>
    </row>
    <row r="20582">
      <c r="J20582">
        <f>IFERROR(__xludf.DUMMYFUNCTION("""COMPUTED_VALUE"""),"KINGSTON, Montréal, KINGSTON")</f>
        <v/>
      </c>
      <c r="K20582">
        <f>IFERROR(__xludf.DUMMYFUNCTION("""COMPUTED_VALUE"""),255.16)</f>
        <v/>
      </c>
    </row>
    <row r="20583">
      <c r="J20583">
        <f>IFERROR(__xludf.DUMMYFUNCTION("""COMPUTED_VALUE"""),"Kingston/Trenton ON")</f>
        <v/>
      </c>
      <c r="K20583">
        <f>IFERROR(__xludf.DUMMYFUNCTION("""COMPUTED_VALUE"""),255.1)</f>
        <v/>
      </c>
    </row>
    <row r="20584">
      <c r="J20584">
        <f>IFERROR(__xludf.DUMMYFUNCTION("""COMPUTED_VALUE"""),"St-Alban, Victoriaville")</f>
        <v/>
      </c>
      <c r="K20584">
        <f>IFERROR(__xludf.DUMMYFUNCTION("""COMPUTED_VALUE"""),254.58)</f>
        <v/>
      </c>
    </row>
    <row r="20585">
      <c r="J20585">
        <f>IFERROR(__xludf.DUMMYFUNCTION("""COMPUTED_VALUE"""),"Oxford, Nova Scotia")</f>
        <v/>
      </c>
      <c r="K20585">
        <f>IFERROR(__xludf.DUMMYFUNCTION("""COMPUTED_VALUE"""),254.38)</f>
        <v/>
      </c>
    </row>
    <row r="20586">
      <c r="J20586">
        <f>IFERROR(__xludf.DUMMYFUNCTION("""COMPUTED_VALUE"""),"Ottawa, ON, Boucherville, Montreal and Gatineau, QC")</f>
        <v/>
      </c>
      <c r="K20586">
        <f>IFERROR(__xludf.DUMMYFUNCTION("""COMPUTED_VALUE"""),254.36)</f>
        <v/>
      </c>
    </row>
    <row r="20587">
      <c r="J20587">
        <f>IFERROR(__xludf.DUMMYFUNCTION("""COMPUTED_VALUE"""),"Durham, Ontario; Owen Sound, Ontario")</f>
        <v/>
      </c>
      <c r="K20587">
        <f>IFERROR(__xludf.DUMMYFUNCTION("""COMPUTED_VALUE"""),254.11)</f>
        <v/>
      </c>
    </row>
    <row r="20588">
      <c r="J20588">
        <f>IFERROR(__xludf.DUMMYFUNCTION("""COMPUTED_VALUE"""),"St. Jean-sur-Richelieu (Quebec) Canada; Frelighsburg (Quebec) Canada")</f>
        <v/>
      </c>
      <c r="K20588">
        <f>IFERROR(__xludf.DUMMYFUNCTION("""COMPUTED_VALUE"""),254.11)</f>
        <v/>
      </c>
    </row>
    <row r="20589">
      <c r="J20589">
        <f>IFERROR(__xludf.DUMMYFUNCTION("""COMPUTED_VALUE"""),"Mississuaga, Ontario, Canada")</f>
        <v/>
      </c>
      <c r="K20589">
        <f>IFERROR(__xludf.DUMMYFUNCTION("""COMPUTED_VALUE"""),253.95)</f>
        <v/>
      </c>
    </row>
    <row r="20590">
      <c r="J20590">
        <f>IFERROR(__xludf.DUMMYFUNCTION("""COMPUTED_VALUE"""),"Saint-Jean-sur-Richelieu, Ottawa")</f>
        <v/>
      </c>
      <c r="K20590">
        <f>IFERROR(__xludf.DUMMYFUNCTION("""COMPUTED_VALUE"""),253.86)</f>
        <v/>
      </c>
    </row>
    <row r="20591">
      <c r="J20591">
        <f>IFERROR(__xludf.DUMMYFUNCTION("""COMPUTED_VALUE"""),"Saint-Jean-sur-Richelieu, Quebec,  Ottawa, Ontario,                          Canada")</f>
        <v/>
      </c>
      <c r="K20591">
        <f>IFERROR(__xludf.DUMMYFUNCTION("""COMPUTED_VALUE"""),253.86)</f>
        <v/>
      </c>
    </row>
    <row r="20592">
      <c r="J20592">
        <f>IFERROR(__xludf.DUMMYFUNCTION("""COMPUTED_VALUE"""),"North Saanach, British Columbia, Canada")</f>
        <v/>
      </c>
      <c r="K20592">
        <f>IFERROR(__xludf.DUMMYFUNCTION("""COMPUTED_VALUE"""),253.82)</f>
        <v/>
      </c>
    </row>
    <row r="20593">
      <c r="J20593">
        <f>IFERROR(__xludf.DUMMYFUNCTION("""COMPUTED_VALUE"""),"Montreal, Orford, Quebec, Canada")</f>
        <v/>
      </c>
      <c r="K20593">
        <f>IFERROR(__xludf.DUMMYFUNCTION("""COMPUTED_VALUE"""),253.61)</f>
        <v/>
      </c>
    </row>
    <row r="20594">
      <c r="J20594">
        <f>IFERROR(__xludf.DUMMYFUNCTION("""COMPUTED_VALUE"""),"Germany, Garmisch-Partenkirchen")</f>
        <v/>
      </c>
      <c r="K20594">
        <f>IFERROR(__xludf.DUMMYFUNCTION("""COMPUTED_VALUE"""),253.49)</f>
        <v/>
      </c>
    </row>
    <row r="20595">
      <c r="J20595">
        <f>IFERROR(__xludf.DUMMYFUNCTION("""COMPUTED_VALUE"""),"Cumberland BC")</f>
        <v/>
      </c>
      <c r="K20595">
        <f>IFERROR(__xludf.DUMMYFUNCTION("""COMPUTED_VALUE"""),252.77)</f>
        <v/>
      </c>
    </row>
    <row r="20596">
      <c r="J20596">
        <f>IFERROR(__xludf.DUMMYFUNCTION("""COMPUTED_VALUE"""),"St-Nicolas, Quebec")</f>
        <v/>
      </c>
      <c r="K20596">
        <f>IFERROR(__xludf.DUMMYFUNCTION("""COMPUTED_VALUE"""),252.47)</f>
        <v/>
      </c>
    </row>
    <row r="20597">
      <c r="J20597">
        <f>IFERROR(__xludf.DUMMYFUNCTION("""COMPUTED_VALUE"""),"Longueuil, Stanstead, Montréal")</f>
        <v/>
      </c>
      <c r="K20597">
        <f>IFERROR(__xludf.DUMMYFUNCTION("""COMPUTED_VALUE"""),252.1)</f>
        <v/>
      </c>
    </row>
    <row r="20598">
      <c r="J20598">
        <f>IFERROR(__xludf.DUMMYFUNCTION("""COMPUTED_VALUE"""),"Embassy to Official Residence &amp; return")</f>
        <v/>
      </c>
      <c r="K20598">
        <f>IFERROR(__xludf.DUMMYFUNCTION("""COMPUTED_VALUE"""),252)</f>
        <v/>
      </c>
    </row>
    <row r="20599">
      <c r="J20599">
        <f>IFERROR(__xludf.DUMMYFUNCTION("""COMPUTED_VALUE"""),"Moncton and Hampton, New Brunswick")</f>
        <v/>
      </c>
      <c r="K20599">
        <f>IFERROR(__xludf.DUMMYFUNCTION("""COMPUTED_VALUE"""),251.97)</f>
        <v/>
      </c>
    </row>
    <row r="20600">
      <c r="J20600">
        <f>IFERROR(__xludf.DUMMYFUNCTION("""COMPUTED_VALUE"""),"St. Catharines, Ontario, Canada; Niagara Falls, Ontario, Canada; Simcoe, Ontario, Canada")</f>
        <v/>
      </c>
      <c r="K20600">
        <f>IFERROR(__xludf.DUMMYFUNCTION("""COMPUTED_VALUE"""),251.85)</f>
        <v/>
      </c>
    </row>
    <row r="20601">
      <c r="J20601">
        <f>IFERROR(__xludf.DUMMYFUNCTION("""COMPUTED_VALUE"""),"London, Aylmer, Ontario")</f>
        <v/>
      </c>
      <c r="K20601">
        <f>IFERROR(__xludf.DUMMYFUNCTION("""COMPUTED_VALUE"""),251.84)</f>
        <v/>
      </c>
    </row>
    <row r="20602">
      <c r="J20602">
        <f>IFERROR(__xludf.DUMMYFUNCTION("""COMPUTED_VALUE"""),"Maskwascis, Alberta, Canada")</f>
        <v/>
      </c>
      <c r="K20602">
        <f>IFERROR(__xludf.DUMMYFUNCTION("""COMPUTED_VALUE"""),251.64)</f>
        <v/>
      </c>
    </row>
    <row r="20603">
      <c r="J20603">
        <f>IFERROR(__xludf.DUMMYFUNCTION("""COMPUTED_VALUE"""),"Grand Falls, New Brunswick, Canada")</f>
        <v/>
      </c>
      <c r="K20603">
        <f>IFERROR(__xludf.DUMMYFUNCTION("""COMPUTED_VALUE"""),251.05)</f>
        <v/>
      </c>
    </row>
    <row r="20604">
      <c r="J20604">
        <f>IFERROR(__xludf.DUMMYFUNCTION("""COMPUTED_VALUE"""),"Montréal, Hudson")</f>
        <v/>
      </c>
      <c r="K20604">
        <f>IFERROR(__xludf.DUMMYFUNCTION("""COMPUTED_VALUE"""),250.99)</f>
        <v/>
      </c>
    </row>
    <row r="20605">
      <c r="J20605">
        <f>IFERROR(__xludf.DUMMYFUNCTION("""COMPUTED_VALUE"""),"Drummondville / Québec")</f>
        <v/>
      </c>
      <c r="K20605">
        <f>IFERROR(__xludf.DUMMYFUNCTION("""COMPUTED_VALUE"""),250.8)</f>
        <v/>
      </c>
    </row>
    <row r="20606">
      <c r="J20606">
        <f>IFERROR(__xludf.DUMMYFUNCTION("""COMPUTED_VALUE"""),"Shawinigan, Quebec, Canada / Mirabel, Quebec, Canada")</f>
        <v/>
      </c>
      <c r="K20606">
        <f>IFERROR(__xludf.DUMMYFUNCTION("""COMPUTED_VALUE"""),250.8)</f>
        <v/>
      </c>
    </row>
    <row r="20607">
      <c r="J20607">
        <f>IFERROR(__xludf.DUMMYFUNCTION("""COMPUTED_VALUE"""),"Dorval, Quebec,
Canada")</f>
        <v/>
      </c>
      <c r="K20607">
        <f>IFERROR(__xludf.DUMMYFUNCTION("""COMPUTED_VALUE"""),250.4)</f>
        <v/>
      </c>
    </row>
    <row r="20608">
      <c r="J20608">
        <f>IFERROR(__xludf.DUMMYFUNCTION("""COMPUTED_VALUE"""),"Bay de Verde, Newfoundland and Labrador")</f>
        <v/>
      </c>
      <c r="K20608">
        <f>IFERROR(__xludf.DUMMYFUNCTION("""COMPUTED_VALUE"""),250.27)</f>
        <v/>
      </c>
    </row>
    <row r="20609">
      <c r="J20609">
        <f>IFERROR(__xludf.DUMMYFUNCTION("""COMPUTED_VALUE"""),"Lac Carling, CC")</f>
        <v/>
      </c>
      <c r="K20609">
        <f>IFERROR(__xludf.DUMMYFUNCTION("""COMPUTED_VALUE"""),250)</f>
        <v/>
      </c>
    </row>
    <row r="20610">
      <c r="J20610">
        <f>IFERROR(__xludf.DUMMYFUNCTION("""COMPUTED_VALUE"""),"Williamsburg, ON")</f>
        <v/>
      </c>
      <c r="K20610">
        <f>IFERROR(__xludf.DUMMYFUNCTION("""COMPUTED_VALUE"""),250)</f>
        <v/>
      </c>
    </row>
    <row r="20611">
      <c r="J20611">
        <f>IFERROR(__xludf.DUMMYFUNCTION("""COMPUTED_VALUE"""),"To Be determined")</f>
        <v/>
      </c>
      <c r="K20611">
        <f>IFERROR(__xludf.DUMMYFUNCTION("""COMPUTED_VALUE"""),249.86)</f>
        <v/>
      </c>
    </row>
    <row r="20612">
      <c r="J20612">
        <f>IFERROR(__xludf.DUMMYFUNCTION("""COMPUTED_VALUE"""),"Waterloo, Toronto and London, Ontario")</f>
        <v/>
      </c>
      <c r="K20612">
        <f>IFERROR(__xludf.DUMMYFUNCTION("""COMPUTED_VALUE"""),249.53)</f>
        <v/>
      </c>
    </row>
    <row r="20613">
      <c r="J20613">
        <f>IFERROR(__xludf.DUMMYFUNCTION("""COMPUTED_VALUE"""),"Charlottetown-Halifax-Charlottetown")</f>
        <v/>
      </c>
      <c r="K20613">
        <f>IFERROR(__xludf.DUMMYFUNCTION("""COMPUTED_VALUE"""),249.44)</f>
        <v/>
      </c>
    </row>
    <row r="20614">
      <c r="J20614">
        <f>IFERROR(__xludf.DUMMYFUNCTION("""COMPUTED_VALUE"""),"Shilo, Headingley, Brandon")</f>
        <v/>
      </c>
      <c r="K20614">
        <f>IFERROR(__xludf.DUMMYFUNCTION("""COMPUTED_VALUE"""),249.38)</f>
        <v/>
      </c>
    </row>
    <row r="20615">
      <c r="J20615">
        <f>IFERROR(__xludf.DUMMYFUNCTION("""COMPUTED_VALUE"""),"Ottawa, ON Montréal, QC Trois-Rivières, QC Québec, QC")</f>
        <v/>
      </c>
      <c r="K20615">
        <f>IFERROR(__xludf.DUMMYFUNCTION("""COMPUTED_VALUE"""),249.33)</f>
        <v/>
      </c>
    </row>
    <row r="20616">
      <c r="J20616">
        <f>IFERROR(__xludf.DUMMYFUNCTION("""COMPUTED_VALUE"""),"Cambridge, Ontario, Canada; Georgetown, Ontario, Canada; Brampton, Ontario, Canada; Toronto, Ontario, Canada")</f>
        <v/>
      </c>
      <c r="K20616">
        <f>IFERROR(__xludf.DUMMYFUNCTION("""COMPUTED_VALUE"""),249.24)</f>
        <v/>
      </c>
    </row>
    <row r="20617">
      <c r="J20617">
        <f>IFERROR(__xludf.DUMMYFUNCTION("""COMPUTED_VALUE"""),"Berthierville, Quebec, Canada")</f>
        <v/>
      </c>
      <c r="K20617">
        <f>IFERROR(__xludf.DUMMYFUNCTION("""COMPUTED_VALUE"""),249.05)</f>
        <v/>
      </c>
    </row>
    <row r="20618">
      <c r="J20618">
        <f>IFERROR(__xludf.DUMMYFUNCTION("""COMPUTED_VALUE"""),"Laval, Quebec, (Canada)")</f>
        <v/>
      </c>
      <c r="K20618">
        <f>IFERROR(__xludf.DUMMYFUNCTION("""COMPUTED_VALUE"""),249)</f>
        <v/>
      </c>
    </row>
    <row r="20619">
      <c r="J20619">
        <f>IFERROR(__xludf.DUMMYFUNCTION("""COMPUTED_VALUE"""),"Lausanne, Switzerland")</f>
        <v/>
      </c>
      <c r="K20619">
        <f>IFERROR(__xludf.DUMMYFUNCTION("""COMPUTED_VALUE"""),248.63)</f>
        <v/>
      </c>
    </row>
    <row r="20620">
      <c r="J20620">
        <f>IFERROR(__xludf.DUMMYFUNCTION("""COMPUTED_VALUE"""),"Ottawa, Ontario and Greenwood, Nova Scotia")</f>
        <v/>
      </c>
      <c r="K20620">
        <f>IFERROR(__xludf.DUMMYFUNCTION("""COMPUTED_VALUE"""),248.39)</f>
        <v/>
      </c>
    </row>
    <row r="20621">
      <c r="J20621">
        <f>IFERROR(__xludf.DUMMYFUNCTION("""COMPUTED_VALUE"""),"Mirabel, QC")</f>
        <v/>
      </c>
      <c r="K20621">
        <f>IFERROR(__xludf.DUMMYFUNCTION("""COMPUTED_VALUE"""),248.31)</f>
        <v/>
      </c>
    </row>
    <row r="20622">
      <c r="J20622">
        <f>IFERROR(__xludf.DUMMYFUNCTION("""COMPUTED_VALUE"""),"Teslin, Yukon")</f>
        <v/>
      </c>
      <c r="K20622">
        <f>IFERROR(__xludf.DUMMYFUNCTION("""COMPUTED_VALUE"""),248.13)</f>
        <v/>
      </c>
    </row>
    <row r="20623">
      <c r="J20623">
        <f>IFERROR(__xludf.DUMMYFUNCTION("""COMPUTED_VALUE"""),"Saint-Alexandre-de-Kamouraska, Quebec, Canada")</f>
        <v/>
      </c>
      <c r="K20623">
        <f>IFERROR(__xludf.DUMMYFUNCTION("""COMPUTED_VALUE"""),248.03)</f>
        <v/>
      </c>
    </row>
    <row r="20624">
      <c r="J20624">
        <f>IFERROR(__xludf.DUMMYFUNCTION("""COMPUTED_VALUE"""),"Saint Hubert, Quebec, Canada")</f>
        <v/>
      </c>
      <c r="K20624">
        <f>IFERROR(__xludf.DUMMYFUNCTION("""COMPUTED_VALUE"""),247.45)</f>
        <v/>
      </c>
    </row>
    <row r="20625">
      <c r="J20625">
        <f>IFERROR(__xludf.DUMMYFUNCTION("""COMPUTED_VALUE"""),"Ottawa - Longueuil - Ottawa")</f>
        <v/>
      </c>
      <c r="K20625">
        <f>IFERROR(__xludf.DUMMYFUNCTION("""COMPUTED_VALUE"""),247.38)</f>
        <v/>
      </c>
    </row>
    <row r="20626">
      <c r="J20626">
        <f>IFERROR(__xludf.DUMMYFUNCTION("""COMPUTED_VALUE"""),"Canadian Army Command and Staff College (CACSC) - KINGSTON")</f>
        <v/>
      </c>
      <c r="K20626">
        <f>IFERROR(__xludf.DUMMYFUNCTION("""COMPUTED_VALUE"""),246.91)</f>
        <v/>
      </c>
    </row>
    <row r="20627">
      <c r="J20627">
        <f>IFERROR(__xludf.DUMMYFUNCTION("""COMPUTED_VALUE"""),"Bromont and Montreal")</f>
        <v/>
      </c>
      <c r="K20627">
        <f>IFERROR(__xludf.DUMMYFUNCTION("""COMPUTED_VALUE"""),246.55)</f>
        <v/>
      </c>
    </row>
    <row r="20628">
      <c r="J20628">
        <f>IFERROR(__xludf.DUMMYFUNCTION("""COMPUTED_VALUE"""),"Cambridge, Massachusetts, United States of America")</f>
        <v/>
      </c>
      <c r="K20628">
        <f>IFERROR(__xludf.DUMMYFUNCTION("""COMPUTED_VALUE"""),246.53)</f>
        <v/>
      </c>
    </row>
    <row r="20629">
      <c r="J20629">
        <f>IFERROR(__xludf.DUMMYFUNCTION("""COMPUTED_VALUE"""),"Landsdown, On")</f>
        <v/>
      </c>
      <c r="K20629">
        <f>IFERROR(__xludf.DUMMYFUNCTION("""COMPUTED_VALUE"""),246)</f>
        <v/>
      </c>
    </row>
    <row r="20630">
      <c r="J20630">
        <f>IFERROR(__xludf.DUMMYFUNCTION("""COMPUTED_VALUE"""),"North Hatley, Stanstead, Montréal, Bagotville")</f>
        <v/>
      </c>
      <c r="K20630">
        <f>IFERROR(__xludf.DUMMYFUNCTION("""COMPUTED_VALUE"""),245.87)</f>
        <v/>
      </c>
    </row>
    <row r="20631">
      <c r="J20631">
        <f>IFERROR(__xludf.DUMMYFUNCTION("""COMPUTED_VALUE"""),"Drummondville and Sherbrooke (Québec) Canada")</f>
        <v/>
      </c>
      <c r="K20631">
        <f>IFERROR(__xludf.DUMMYFUNCTION("""COMPUTED_VALUE"""),245.69)</f>
        <v/>
      </c>
    </row>
    <row r="20632">
      <c r="J20632">
        <f>IFERROR(__xludf.DUMMYFUNCTION("""COMPUTED_VALUE"""),"Carling Lake, QC")</f>
        <v/>
      </c>
      <c r="K20632">
        <f>IFERROR(__xludf.DUMMYFUNCTION("""COMPUTED_VALUE"""),245)</f>
        <v/>
      </c>
    </row>
    <row r="20633">
      <c r="J20633">
        <f>IFERROR(__xludf.DUMMYFUNCTION("""COMPUTED_VALUE"""),"MonTeal, Quebec")</f>
        <v/>
      </c>
      <c r="K20633">
        <f>IFERROR(__xludf.DUMMYFUNCTION("""COMPUTED_VALUE"""),245)</f>
        <v/>
      </c>
    </row>
    <row r="20634">
      <c r="J20634">
        <f>IFERROR(__xludf.DUMMYFUNCTION("""COMPUTED_VALUE"""),"Millhaven, Ontario;
Kingston, Ontario")</f>
        <v/>
      </c>
      <c r="K20634">
        <f>IFERROR(__xludf.DUMMYFUNCTION("""COMPUTED_VALUE"""),244.9)</f>
        <v/>
      </c>
    </row>
    <row r="20635">
      <c r="J20635">
        <f>IFERROR(__xludf.DUMMYFUNCTION("""COMPUTED_VALUE"""),"Saint-Maurice, Quebec, Canada; Shawinigan, Quebec, Canada")</f>
        <v/>
      </c>
      <c r="K20635">
        <f>IFERROR(__xludf.DUMMYFUNCTION("""COMPUTED_VALUE"""),244.9)</f>
        <v/>
      </c>
    </row>
    <row r="20636">
      <c r="J20636">
        <f>IFERROR(__xludf.DUMMYFUNCTION("""COMPUTED_VALUE"""),"Caribou, NS")</f>
        <v/>
      </c>
      <c r="K20636">
        <f>IFERROR(__xludf.DUMMYFUNCTION("""COMPUTED_VALUE"""),244.83)</f>
        <v/>
      </c>
    </row>
    <row r="20637">
      <c r="J20637">
        <f>IFERROR(__xludf.DUMMYFUNCTION("""COMPUTED_VALUE"""),"Toronto, Ontario, Canada; Brampton, Ontario, Canada; Mississauga, Ontario, Canada")</f>
        <v/>
      </c>
      <c r="K20637">
        <f>IFERROR(__xludf.DUMMYFUNCTION("""COMPUTED_VALUE"""),244.7)</f>
        <v/>
      </c>
    </row>
    <row r="20638">
      <c r="J20638">
        <f>IFERROR(__xludf.DUMMYFUNCTION("""COMPUTED_VALUE"""),"Toronto, ON; Kitchener, ON")</f>
        <v/>
      </c>
      <c r="K20638">
        <f>IFERROR(__xludf.DUMMYFUNCTION("""COMPUTED_VALUE"""),244.36)</f>
        <v/>
      </c>
    </row>
    <row r="20639">
      <c r="J20639">
        <f>IFERROR(__xludf.DUMMYFUNCTION("""COMPUTED_VALUE"""),"Thetford Mines, Roberval, Québec")</f>
        <v/>
      </c>
      <c r="K20639">
        <f>IFERROR(__xludf.DUMMYFUNCTION("""COMPUTED_VALUE"""),244.27)</f>
        <v/>
      </c>
    </row>
    <row r="20640">
      <c r="J20640">
        <f>IFERROR(__xludf.DUMMYFUNCTION("""COMPUTED_VALUE"""),"Moose Jaw (Saskatchewan) Canada")</f>
        <v/>
      </c>
      <c r="K20640">
        <f>IFERROR(__xludf.DUMMYFUNCTION("""COMPUTED_VALUE"""),244.26)</f>
        <v/>
      </c>
    </row>
    <row r="20641">
      <c r="J20641">
        <f>IFERROR(__xludf.DUMMYFUNCTION("""COMPUTED_VALUE"""),"London, Ontario, Canada; Burlington, Ontario, Canada")</f>
        <v/>
      </c>
      <c r="K20641">
        <f>IFERROR(__xludf.DUMMYFUNCTION("""COMPUTED_VALUE"""),243.77)</f>
        <v/>
      </c>
    </row>
    <row r="20642">
      <c r="J20642">
        <f>IFERROR(__xludf.DUMMYFUNCTION("""COMPUTED_VALUE"""),"Buckham's Bay, Ontario, Canada; Leamington, Ontario, Canada")</f>
        <v/>
      </c>
      <c r="K20642">
        <f>IFERROR(__xludf.DUMMYFUNCTION("""COMPUTED_VALUE"""),243.7)</f>
        <v/>
      </c>
    </row>
    <row r="20643">
      <c r="J20643">
        <f>IFERROR(__xludf.DUMMYFUNCTION("""COMPUTED_VALUE"""),"Inuvik, Northwest Territories; Thule, Greenland; and Alert, Nunavut")</f>
        <v/>
      </c>
      <c r="K20643">
        <f>IFERROR(__xludf.DUMMYFUNCTION("""COMPUTED_VALUE"""),243.55)</f>
        <v/>
      </c>
    </row>
    <row r="20644">
      <c r="J20644">
        <f>IFERROR(__xludf.DUMMYFUNCTION("""COMPUTED_VALUE"""),"Sarnia, Ontario, Canada; Windsor, Ontario, Canada; London, Ontario, Canada")</f>
        <v/>
      </c>
      <c r="K20644">
        <f>IFERROR(__xludf.DUMMYFUNCTION("""COMPUTED_VALUE"""),243.35)</f>
        <v/>
      </c>
    </row>
    <row r="20645">
      <c r="J20645">
        <f>IFERROR(__xludf.DUMMYFUNCTION("""COMPUTED_VALUE"""),"Peterborough, Ontario, canada")</f>
        <v/>
      </c>
      <c r="K20645">
        <f>IFERROR(__xludf.DUMMYFUNCTION("""COMPUTED_VALUE"""),243.12)</f>
        <v/>
      </c>
    </row>
    <row r="20646">
      <c r="J20646">
        <f>IFERROR(__xludf.DUMMYFUNCTION("""COMPUTED_VALUE"""),"Kitchener, Ontario, Canada; London, Ontario, Canada; Burlington, Ontario, Canada; Ajax, Ontario, Canada")</f>
        <v/>
      </c>
      <c r="K20646">
        <f>IFERROR(__xludf.DUMMYFUNCTION("""COMPUTED_VALUE"""),242.84)</f>
        <v/>
      </c>
    </row>
    <row r="20647">
      <c r="J20647">
        <f>IFERROR(__xludf.DUMMYFUNCTION("""COMPUTED_VALUE"""),"Markham, North York, Ontario, Canada")</f>
        <v/>
      </c>
      <c r="K20647">
        <f>IFERROR(__xludf.DUMMYFUNCTION("""COMPUTED_VALUE"""),242.43)</f>
        <v/>
      </c>
    </row>
    <row r="20648">
      <c r="J20648">
        <f>IFERROR(__xludf.DUMMYFUNCTION("""COMPUTED_VALUE"""),"Neguac, New Brunswick")</f>
        <v/>
      </c>
      <c r="K20648">
        <f>IFERROR(__xludf.DUMMYFUNCTION("""COMPUTED_VALUE"""),242.17)</f>
        <v/>
      </c>
    </row>
    <row r="20649">
      <c r="J20649">
        <f>IFERROR(__xludf.DUMMYFUNCTION("""COMPUTED_VALUE"""),"Granby / Thetford Mines")</f>
        <v/>
      </c>
      <c r="K20649">
        <f>IFERROR(__xludf.DUMMYFUNCTION("""COMPUTED_VALUE"""),241.79)</f>
        <v/>
      </c>
    </row>
    <row r="20650">
      <c r="J20650">
        <f>IFERROR(__xludf.DUMMYFUNCTION("""COMPUTED_VALUE"""),"Dorval, Quebec, Canada /
Ottawa, Ontario, Canada")</f>
        <v/>
      </c>
      <c r="K20650">
        <f>IFERROR(__xludf.DUMMYFUNCTION("""COMPUTED_VALUE"""),241.75)</f>
        <v/>
      </c>
    </row>
    <row r="20651">
      <c r="J20651">
        <f>IFERROR(__xludf.DUMMYFUNCTION("""COMPUTED_VALUE"""),"Gaspé, Baie Comeau, Montréal")</f>
        <v/>
      </c>
      <c r="K20651">
        <f>IFERROR(__xludf.DUMMYFUNCTION("""COMPUTED_VALUE"""),241.72)</f>
        <v/>
      </c>
    </row>
    <row r="20652">
      <c r="J20652">
        <f>IFERROR(__xludf.DUMMYFUNCTION("""COMPUTED_VALUE"""),"Drummondville, QC")</f>
        <v/>
      </c>
      <c r="K20652">
        <f>IFERROR(__xludf.DUMMYFUNCTION("""COMPUTED_VALUE"""),241.32)</f>
        <v/>
      </c>
    </row>
    <row r="20653">
      <c r="J20653">
        <f>IFERROR(__xludf.DUMMYFUNCTION("""COMPUTED_VALUE"""),"Summerside, PEI Charlottetown, PEI Kensington, PEI Dieppe, NB")</f>
        <v/>
      </c>
      <c r="K20653">
        <f>IFERROR(__xludf.DUMMYFUNCTION("""COMPUTED_VALUE"""),241.26)</f>
        <v/>
      </c>
    </row>
    <row r="20654">
      <c r="J20654">
        <f>IFERROR(__xludf.DUMMYFUNCTION("""COMPUTED_VALUE"""),"Rzeszów, Poland")</f>
        <v/>
      </c>
      <c r="K20654">
        <f>IFERROR(__xludf.DUMMYFUNCTION("""COMPUTED_VALUE"""),240.8)</f>
        <v/>
      </c>
    </row>
    <row r="20655">
      <c r="J20655">
        <f>IFERROR(__xludf.DUMMYFUNCTION("""COMPUTED_VALUE"""),"Sibiu Romaina")</f>
        <v/>
      </c>
      <c r="K20655">
        <f>IFERROR(__xludf.DUMMYFUNCTION("""COMPUTED_VALUE"""),240.59)</f>
        <v/>
      </c>
    </row>
    <row r="20656">
      <c r="J20656">
        <f>IFERROR(__xludf.DUMMYFUNCTION("""COMPUTED_VALUE"""),"Hecla Island, MB")</f>
        <v/>
      </c>
      <c r="K20656">
        <f>IFERROR(__xludf.DUMMYFUNCTION("""COMPUTED_VALUE"""),240.49)</f>
        <v/>
      </c>
    </row>
    <row r="20657">
      <c r="J20657">
        <f>IFERROR(__xludf.DUMMYFUNCTION("""COMPUTED_VALUE"""),"Montreal &amp; Montebello")</f>
        <v/>
      </c>
      <c r="K20657">
        <f>IFERROR(__xludf.DUMMYFUNCTION("""COMPUTED_VALUE"""),240.47)</f>
        <v/>
      </c>
    </row>
    <row r="20658">
      <c r="J20658">
        <f>IFERROR(__xludf.DUMMYFUNCTION("""COMPUTED_VALUE"""),"Rimouski, Quebec, Canada; Rimouski, Quebec, Canada")</f>
        <v/>
      </c>
      <c r="K20658">
        <f>IFERROR(__xludf.DUMMYFUNCTION("""COMPUTED_VALUE"""),239.95)</f>
        <v/>
      </c>
    </row>
    <row r="20659">
      <c r="J20659">
        <f>IFERROR(__xludf.DUMMYFUNCTION("""COMPUTED_VALUE"""),"Montreal-Quebec, Quebec")</f>
        <v/>
      </c>
      <c r="K20659">
        <f>IFERROR(__xludf.DUMMYFUNCTION("""COMPUTED_VALUE"""),239.83)</f>
        <v/>
      </c>
    </row>
    <row r="20660">
      <c r="J20660">
        <f>IFERROR(__xludf.DUMMYFUNCTION("""COMPUTED_VALUE"""),"Shannon, Quebec, Canada")</f>
        <v/>
      </c>
      <c r="K20660">
        <f>IFERROR(__xludf.DUMMYFUNCTION("""COMPUTED_VALUE"""),239.76)</f>
        <v/>
      </c>
    </row>
    <row r="20661">
      <c r="J20661">
        <f>IFERROR(__xludf.DUMMYFUNCTION("""COMPUTED_VALUE"""),"Winnipeg, Brandon")</f>
        <v/>
      </c>
      <c r="K20661">
        <f>IFERROR(__xludf.DUMMYFUNCTION("""COMPUTED_VALUE"""),239.35)</f>
        <v/>
      </c>
    </row>
    <row r="20662">
      <c r="J20662">
        <f>IFERROR(__xludf.DUMMYFUNCTION("""COMPUTED_VALUE"""),"Bagotville, St-Michel-des-Saints, Montréal")</f>
        <v/>
      </c>
      <c r="K20662">
        <f>IFERROR(__xludf.DUMMYFUNCTION("""COMPUTED_VALUE"""),239.13)</f>
        <v/>
      </c>
    </row>
    <row r="20663">
      <c r="J20663">
        <f>IFERROR(__xludf.DUMMYFUNCTION("""COMPUTED_VALUE"""),"Humboldt, Saskatchewan")</f>
        <v/>
      </c>
      <c r="K20663">
        <f>IFERROR(__xludf.DUMMYFUNCTION("""COMPUTED_VALUE"""),238.62)</f>
        <v/>
      </c>
    </row>
    <row r="20664">
      <c r="J20664">
        <f>IFERROR(__xludf.DUMMYFUNCTION("""COMPUTED_VALUE"""),"Columbia Icefields and Banff, Alberta")</f>
        <v/>
      </c>
      <c r="K20664">
        <f>IFERROR(__xludf.DUMMYFUNCTION("""COMPUTED_VALUE"""),238.2)</f>
        <v/>
      </c>
    </row>
    <row r="20665">
      <c r="J20665">
        <f>IFERROR(__xludf.DUMMYFUNCTION("""COMPUTED_VALUE"""),"Cassidy Lake, NB St. Martin's, NB")</f>
        <v/>
      </c>
      <c r="K20665">
        <f>IFERROR(__xludf.DUMMYFUNCTION("""COMPUTED_VALUE"""),238.13)</f>
        <v/>
      </c>
    </row>
    <row r="20666">
      <c r="J20666">
        <f>IFERROR(__xludf.DUMMYFUNCTION("""COMPUTED_VALUE"""),"Aylmer, ON, Mount Salem, ON")</f>
        <v/>
      </c>
      <c r="K20666">
        <f>IFERROR(__xludf.DUMMYFUNCTION("""COMPUTED_VALUE"""),238.06)</f>
        <v/>
      </c>
    </row>
    <row r="20667">
      <c r="J20667">
        <f>IFERROR(__xludf.DUMMYFUNCTION("""COMPUTED_VALUE"""),"Nipawin, Saskatchewan; Saskatoon, Saskatchewan")</f>
        <v/>
      </c>
      <c r="K20667">
        <f>IFERROR(__xludf.DUMMYFUNCTION("""COMPUTED_VALUE"""),237.89)</f>
        <v/>
      </c>
    </row>
    <row r="20668">
      <c r="J20668">
        <f>IFERROR(__xludf.DUMMYFUNCTION("""COMPUTED_VALUE"""),"Frog Lake, AB")</f>
        <v/>
      </c>
      <c r="K20668">
        <f>IFERROR(__xludf.DUMMYFUNCTION("""COMPUTED_VALUE"""),237.66)</f>
        <v/>
      </c>
    </row>
    <row r="20669">
      <c r="J20669">
        <f>IFERROR(__xludf.DUMMYFUNCTION("""COMPUTED_VALUE"""),"Batiscan, Quebec, Canada; Trois-Rivières, Quebec, Canada")</f>
        <v/>
      </c>
      <c r="K20669">
        <f>IFERROR(__xludf.DUMMYFUNCTION("""COMPUTED_VALUE"""),237.5)</f>
        <v/>
      </c>
    </row>
    <row r="20670">
      <c r="J20670">
        <f>IFERROR(__xludf.DUMMYFUNCTION("""COMPUTED_VALUE"""),"Bath, Maine")</f>
        <v/>
      </c>
      <c r="K20670">
        <f>IFERROR(__xludf.DUMMYFUNCTION("""COMPUTED_VALUE"""),237.3)</f>
        <v/>
      </c>
    </row>
    <row r="20671">
      <c r="J20671">
        <f>IFERROR(__xludf.DUMMYFUNCTION("""COMPUTED_VALUE"""),"Harstad, Norway")</f>
        <v/>
      </c>
      <c r="K20671">
        <f>IFERROR(__xludf.DUMMYFUNCTION("""COMPUTED_VALUE"""),237.16)</f>
        <v/>
      </c>
    </row>
    <row r="20672">
      <c r="J20672">
        <f>IFERROR(__xludf.DUMMYFUNCTION("""COMPUTED_VALUE"""),"Montreal QC and Ottawa, ON")</f>
        <v/>
      </c>
      <c r="K20672">
        <f>IFERROR(__xludf.DUMMYFUNCTION("""COMPUTED_VALUE"""),237.15)</f>
        <v/>
      </c>
    </row>
    <row r="20673">
      <c r="J20673">
        <f>IFERROR(__xludf.DUMMYFUNCTION("""COMPUTED_VALUE"""),"New Hampshire")</f>
        <v/>
      </c>
      <c r="K20673">
        <f>IFERROR(__xludf.DUMMYFUNCTION("""COMPUTED_VALUE"""),237.06)</f>
        <v/>
      </c>
    </row>
    <row r="20674">
      <c r="J20674">
        <f>IFERROR(__xludf.DUMMYFUNCTION("""COMPUTED_VALUE"""),"Chealsea, Quebec")</f>
        <v/>
      </c>
      <c r="K20674">
        <f>IFERROR(__xludf.DUMMYFUNCTION("""COMPUTED_VALUE"""),236.81)</f>
        <v/>
      </c>
    </row>
    <row r="20675">
      <c r="J20675">
        <f>IFERROR(__xludf.DUMMYFUNCTION("""COMPUTED_VALUE"""),"Victoria, BC, Comox, BC, Moose Jaw, SK, Regina, SK")</f>
        <v/>
      </c>
      <c r="K20675">
        <f>IFERROR(__xludf.DUMMYFUNCTION("""COMPUTED_VALUE"""),236.77)</f>
        <v/>
      </c>
    </row>
    <row r="20676">
      <c r="J20676">
        <f>IFERROR(__xludf.DUMMYFUNCTION("""COMPUTED_VALUE"""),"Montreal, QB")</f>
        <v/>
      </c>
      <c r="K20676">
        <f>IFERROR(__xludf.DUMMYFUNCTION("""COMPUTED_VALUE"""),236.74)</f>
        <v/>
      </c>
    </row>
    <row r="20677">
      <c r="J20677">
        <f>IFERROR(__xludf.DUMMYFUNCTION("""COMPUTED_VALUE"""),"Shawinigan, Montreal")</f>
        <v/>
      </c>
      <c r="K20677">
        <f>IFERROR(__xludf.DUMMYFUNCTION("""COMPUTED_VALUE"""),236.72)</f>
        <v/>
      </c>
    </row>
    <row r="20678">
      <c r="J20678">
        <f>IFERROR(__xludf.DUMMYFUNCTION("""COMPUTED_VALUE"""),"Nanaimo, British Columbia, Canada; Cowichan Valley, British Columbia, Canada")</f>
        <v/>
      </c>
      <c r="K20678">
        <f>IFERROR(__xludf.DUMMYFUNCTION("""COMPUTED_VALUE"""),236.6)</f>
        <v/>
      </c>
    </row>
    <row r="20679">
      <c r="J20679">
        <f>IFERROR(__xludf.DUMMYFUNCTION("""COMPUTED_VALUE"""),"Drummondville, Roberval")</f>
        <v/>
      </c>
      <c r="K20679">
        <f>IFERROR(__xludf.DUMMYFUNCTION("""COMPUTED_VALUE"""),236.48)</f>
        <v/>
      </c>
    </row>
    <row r="20680">
      <c r="J20680">
        <f>IFERROR(__xludf.DUMMYFUNCTION("""COMPUTED_VALUE"""),"St.Stephen, NB")</f>
        <v/>
      </c>
      <c r="K20680">
        <f>IFERROR(__xludf.DUMMYFUNCTION("""COMPUTED_VALUE"""),236.2)</f>
        <v/>
      </c>
    </row>
    <row r="20681">
      <c r="J20681">
        <f>IFERROR(__xludf.DUMMYFUNCTION("""COMPUTED_VALUE"""),"Russell, Ontario, Canada")</f>
        <v/>
      </c>
      <c r="K20681">
        <f>IFERROR(__xludf.DUMMYFUNCTION("""COMPUTED_VALUE"""),236.08)</f>
        <v/>
      </c>
    </row>
    <row r="20682">
      <c r="J20682">
        <f>IFERROR(__xludf.DUMMYFUNCTION("""COMPUTED_VALUE"""),"Montpelier, Vermont")</f>
        <v/>
      </c>
      <c r="K20682">
        <f>IFERROR(__xludf.DUMMYFUNCTION("""COMPUTED_VALUE"""),235.97)</f>
        <v/>
      </c>
    </row>
    <row r="20683">
      <c r="J20683">
        <f>IFERROR(__xludf.DUMMYFUNCTION("""COMPUTED_VALUE"""),"Saint-Paulin, Quebec, Canada")</f>
        <v/>
      </c>
      <c r="K20683">
        <f>IFERROR(__xludf.DUMMYFUNCTION("""COMPUTED_VALUE"""),235.96)</f>
        <v/>
      </c>
    </row>
    <row r="20684">
      <c r="J20684">
        <f>IFERROR(__xludf.DUMMYFUNCTION("""COMPUTED_VALUE"""),"Merrickville")</f>
        <v/>
      </c>
      <c r="K20684">
        <f>IFERROR(__xludf.DUMMYFUNCTION("""COMPUTED_VALUE"""),235.8)</f>
        <v/>
      </c>
    </row>
    <row r="20685">
      <c r="J20685">
        <f>IFERROR(__xludf.DUMMYFUNCTION("""COMPUTED_VALUE"""),"Montréal, Québec)")</f>
        <v/>
      </c>
      <c r="K20685">
        <f>IFERROR(__xludf.DUMMYFUNCTION("""COMPUTED_VALUE"""),235.75)</f>
        <v/>
      </c>
    </row>
    <row r="20686">
      <c r="J20686">
        <f>IFERROR(__xludf.DUMMYFUNCTION("""COMPUTED_VALUE"""),"New Liskeard, Ontario, Canada")</f>
        <v/>
      </c>
      <c r="K20686">
        <f>IFERROR(__xludf.DUMMYFUNCTION("""COMPUTED_VALUE"""),235.73)</f>
        <v/>
      </c>
    </row>
    <row r="20687">
      <c r="J20687">
        <f>IFERROR(__xludf.DUMMYFUNCTION("""COMPUTED_VALUE"""),"Sept-Îles, Gaspé")</f>
        <v/>
      </c>
      <c r="K20687">
        <f>IFERROR(__xludf.DUMMYFUNCTION("""COMPUTED_VALUE"""),235.7)</f>
        <v/>
      </c>
    </row>
    <row r="20688">
      <c r="J20688">
        <f>IFERROR(__xludf.DUMMYFUNCTION("""COMPUTED_VALUE"""),"Cornwall, Ontario, Canada; Kingston, Ontario, Canada")</f>
        <v/>
      </c>
      <c r="K20688">
        <f>IFERROR(__xludf.DUMMYFUNCTION("""COMPUTED_VALUE"""),235.6)</f>
        <v/>
      </c>
    </row>
    <row r="20689">
      <c r="J20689">
        <f>IFERROR(__xludf.DUMMYFUNCTION("""COMPUTED_VALUE"""),"Cancun &amp; Mexico City, Mexico")</f>
        <v/>
      </c>
      <c r="K20689">
        <f>IFERROR(__xludf.DUMMYFUNCTION("""COMPUTED_VALUE"""),235.47)</f>
        <v/>
      </c>
    </row>
    <row r="20690">
      <c r="J20690">
        <f>IFERROR(__xludf.DUMMYFUNCTION("""COMPUTED_VALUE"""),"Ottawa - Fort Lennox - Ottawa")</f>
        <v/>
      </c>
      <c r="K20690">
        <f>IFERROR(__xludf.DUMMYFUNCTION("""COMPUTED_VALUE"""),235.17)</f>
        <v/>
      </c>
    </row>
    <row r="20691">
      <c r="J20691">
        <f>IFERROR(__xludf.DUMMYFUNCTION("""COMPUTED_VALUE"""),"Dorval, Québec")</f>
        <v/>
      </c>
      <c r="K20691">
        <f>IFERROR(__xludf.DUMMYFUNCTION("""COMPUTED_VALUE"""),235.1)</f>
        <v/>
      </c>
    </row>
    <row r="20692">
      <c r="J20692">
        <f>IFERROR(__xludf.DUMMYFUNCTION("""COMPUTED_VALUE"""),"Saint-Jean-Sur-Richelieu (Quebec) Canada")</f>
        <v/>
      </c>
      <c r="K20692">
        <f>IFERROR(__xludf.DUMMYFUNCTION("""COMPUTED_VALUE"""),235.08)</f>
        <v/>
      </c>
    </row>
    <row r="20693">
      <c r="J20693">
        <f>IFERROR(__xludf.DUMMYFUNCTION("""COMPUTED_VALUE"""),"Ste-Hyacinthe, QC")</f>
        <v/>
      </c>
      <c r="K20693">
        <f>IFERROR(__xludf.DUMMYFUNCTION("""COMPUTED_VALUE"""),234.82)</f>
        <v/>
      </c>
    </row>
    <row r="20694">
      <c r="J20694">
        <f>IFERROR(__xludf.DUMMYFUNCTION("""COMPUTED_VALUE"""),"Montréal (Quebec)")</f>
        <v/>
      </c>
      <c r="K20694">
        <f>IFERROR(__xludf.DUMMYFUNCTION("""COMPUTED_VALUE"""),234.6)</f>
        <v/>
      </c>
    </row>
    <row r="20695">
      <c r="J20695">
        <f>IFERROR(__xludf.DUMMYFUNCTION("""COMPUTED_VALUE"""),"Outlook, Saskatchewan")</f>
        <v/>
      </c>
      <c r="K20695">
        <f>IFERROR(__xludf.DUMMYFUNCTION("""COMPUTED_VALUE"""),234.5)</f>
        <v/>
      </c>
    </row>
    <row r="20696">
      <c r="J20696">
        <f>IFERROR(__xludf.DUMMYFUNCTION("""COMPUTED_VALUE"""),"Wheatley, Ontario")</f>
        <v/>
      </c>
      <c r="K20696">
        <f>IFERROR(__xludf.DUMMYFUNCTION("""COMPUTED_VALUE"""),234.38)</f>
        <v/>
      </c>
    </row>
    <row r="20697">
      <c r="J20697">
        <f>IFERROR(__xludf.DUMMYFUNCTION("""COMPUTED_VALUE"""),"Joliette, QC")</f>
        <v/>
      </c>
      <c r="K20697">
        <f>IFERROR(__xludf.DUMMYFUNCTION("""COMPUTED_VALUE"""),234.3)</f>
        <v/>
      </c>
    </row>
    <row r="20698">
      <c r="J20698">
        <f>IFERROR(__xludf.DUMMYFUNCTION("""COMPUTED_VALUE"""),"Aéroport de Montréal Pierre Elliott Trudeau (YUL)")</f>
        <v/>
      </c>
      <c r="K20698">
        <f>IFERROR(__xludf.DUMMYFUNCTION("""COMPUTED_VALUE"""),234)</f>
        <v/>
      </c>
    </row>
    <row r="20699">
      <c r="J20699">
        <f>IFERROR(__xludf.DUMMYFUNCTION("""COMPUTED_VALUE"""),"New Glasgow &amp; Pictou")</f>
        <v/>
      </c>
      <c r="K20699">
        <f>IFERROR(__xludf.DUMMYFUNCTION("""COMPUTED_VALUE"""),233.68)</f>
        <v/>
      </c>
    </row>
    <row r="20700">
      <c r="J20700">
        <f>IFERROR(__xludf.DUMMYFUNCTION("""COMPUTED_VALUE"""),"Norfokl, VA")</f>
        <v/>
      </c>
      <c r="K20700">
        <f>IFERROR(__xludf.DUMMYFUNCTION("""COMPUTED_VALUE"""),233.67)</f>
        <v/>
      </c>
    </row>
    <row r="20701">
      <c r="J20701">
        <f>IFERROR(__xludf.DUMMYFUNCTION("""COMPUTED_VALUE"""),"Moncton, NB Tignish, PE")</f>
        <v/>
      </c>
      <c r="K20701">
        <f>IFERROR(__xludf.DUMMYFUNCTION("""COMPUTED_VALUE"""),233.45)</f>
        <v/>
      </c>
    </row>
    <row r="20702">
      <c r="J20702">
        <f>IFERROR(__xludf.DUMMYFUNCTION("""COMPUTED_VALUE"""),"Maine")</f>
        <v/>
      </c>
      <c r="K20702">
        <f>IFERROR(__xludf.DUMMYFUNCTION("""COMPUTED_VALUE"""),233.41)</f>
        <v/>
      </c>
    </row>
    <row r="20703">
      <c r="J20703">
        <f>IFERROR(__xludf.DUMMYFUNCTION("""COMPUTED_VALUE"""),"Vimy")</f>
        <v/>
      </c>
      <c r="K20703">
        <f>IFERROR(__xludf.DUMMYFUNCTION("""COMPUTED_VALUE"""),233.24)</f>
        <v/>
      </c>
    </row>
    <row r="20704">
      <c r="J20704">
        <f>IFERROR(__xludf.DUMMYFUNCTION("""COMPUTED_VALUE"""),"Strathmore, Alberta Canada")</f>
        <v/>
      </c>
      <c r="K20704">
        <f>IFERROR(__xludf.DUMMYFUNCTION("""COMPUTED_VALUE"""),233.14)</f>
        <v/>
      </c>
    </row>
    <row r="20705">
      <c r="J20705">
        <f>IFERROR(__xludf.DUMMYFUNCTION("""COMPUTED_VALUE"""),"Rivière-du-Loup, Chicoutimi, Roberval, Ottawa")</f>
        <v/>
      </c>
      <c r="K20705">
        <f>IFERROR(__xludf.DUMMYFUNCTION("""COMPUTED_VALUE"""),232.93)</f>
        <v/>
      </c>
    </row>
    <row r="20706">
      <c r="J20706">
        <f>IFERROR(__xludf.DUMMYFUNCTION("""COMPUTED_VALUE"""),"Rivière-du-Loup, Roberval, Ottawa")</f>
        <v/>
      </c>
      <c r="K20706">
        <f>IFERROR(__xludf.DUMMYFUNCTION("""COMPUTED_VALUE"""),232.93)</f>
        <v/>
      </c>
    </row>
    <row r="20707">
      <c r="J20707">
        <f>IFERROR(__xludf.DUMMYFUNCTION("""COMPUTED_VALUE"""),"Chantilly, Virginia")</f>
        <v/>
      </c>
      <c r="K20707">
        <f>IFERROR(__xludf.DUMMYFUNCTION("""COMPUTED_VALUE"""),232.76)</f>
        <v/>
      </c>
    </row>
    <row r="20708">
      <c r="J20708">
        <f>IFERROR(__xludf.DUMMYFUNCTION("""COMPUTED_VALUE"""),"Clarenville, Newfoundland and Labrador")</f>
        <v/>
      </c>
      <c r="K20708">
        <f>IFERROR(__xludf.DUMMYFUNCTION("""COMPUTED_VALUE"""),232.65)</f>
        <v/>
      </c>
    </row>
    <row r="20709">
      <c r="J20709">
        <f>IFERROR(__xludf.DUMMYFUNCTION("""COMPUTED_VALUE"""),"Burlington and Hamilton, Ontario, Canada")</f>
        <v/>
      </c>
      <c r="K20709">
        <f>IFERROR(__xludf.DUMMYFUNCTION("""COMPUTED_VALUE"""),232.62)</f>
        <v/>
      </c>
    </row>
    <row r="20710">
      <c r="J20710">
        <f>IFERROR(__xludf.DUMMYFUNCTION("""COMPUTED_VALUE"""),"Moncton, NB Amherst, NS")</f>
        <v/>
      </c>
      <c r="K20710">
        <f>IFERROR(__xludf.DUMMYFUNCTION("""COMPUTED_VALUE"""),232.21)</f>
        <v/>
      </c>
    </row>
    <row r="20711">
      <c r="J20711">
        <f>IFERROR(__xludf.DUMMYFUNCTION("""COMPUTED_VALUE"""),"Cornwall, Ontatio, Canada")</f>
        <v/>
      </c>
      <c r="K20711">
        <f>IFERROR(__xludf.DUMMYFUNCTION("""COMPUTED_VALUE"""),232.12)</f>
        <v/>
      </c>
    </row>
    <row r="20712">
      <c r="J20712">
        <f>IFERROR(__xludf.DUMMYFUNCTION("""COMPUTED_VALUE"""),"Western Shore, Nova Scotia")</f>
        <v/>
      </c>
      <c r="K20712">
        <f>IFERROR(__xludf.DUMMYFUNCTION("""COMPUTED_VALUE"""),232)</f>
        <v/>
      </c>
    </row>
    <row r="20713">
      <c r="J20713">
        <f>IFERROR(__xludf.DUMMYFUNCTION("""COMPUTED_VALUE"""),"Valleyfield Port, Quebec")</f>
        <v/>
      </c>
      <c r="K20713">
        <f>IFERROR(__xludf.DUMMYFUNCTION("""COMPUTED_VALUE"""),231.7)</f>
        <v/>
      </c>
    </row>
    <row r="20714">
      <c r="J20714">
        <f>IFERROR(__xludf.DUMMYFUNCTION("""COMPUTED_VALUE"""),"Montréal (Quebec) Canada; Sherbrooke (Quebec) Canada")</f>
        <v/>
      </c>
      <c r="K20714">
        <f>IFERROR(__xludf.DUMMYFUNCTION("""COMPUTED_VALUE"""),231.25)</f>
        <v/>
      </c>
    </row>
    <row r="20715">
      <c r="J20715">
        <f>IFERROR(__xludf.DUMMYFUNCTION("""COMPUTED_VALUE"""),"Ottawa, ON, Canada
Gatineau, QC, Canada")</f>
        <v/>
      </c>
      <c r="K20715">
        <f>IFERROR(__xludf.DUMMYFUNCTION("""COMPUTED_VALUE"""),231.13)</f>
        <v/>
      </c>
    </row>
    <row r="20716">
      <c r="J20716">
        <f>IFERROR(__xludf.DUMMYFUNCTION("""COMPUTED_VALUE"""),"Bogota, Santiago, Bridgetown, Haiti")</f>
        <v/>
      </c>
      <c r="K20716">
        <f>IFERROR(__xludf.DUMMYFUNCTION("""COMPUTED_VALUE"""),231.09)</f>
        <v/>
      </c>
    </row>
    <row r="20717">
      <c r="J20717">
        <f>IFERROR(__xludf.DUMMYFUNCTION("""COMPUTED_VALUE"""),"Montreal, Gatineau, Quebec, (Canada)")</f>
        <v/>
      </c>
      <c r="K20717">
        <f>IFERROR(__xludf.DUMMYFUNCTION("""COMPUTED_VALUE"""),230.53)</f>
        <v/>
      </c>
    </row>
    <row r="20718">
      <c r="J20718">
        <f>IFERROR(__xludf.DUMMYFUNCTION("""COMPUTED_VALUE"""),"Saint-Narcisse, Sainte-Christine-d'Auvergne")</f>
        <v/>
      </c>
      <c r="K20718">
        <f>IFERROR(__xludf.DUMMYFUNCTION("""COMPUTED_VALUE"""),230.269999999999)</f>
        <v/>
      </c>
    </row>
    <row r="20719">
      <c r="J20719">
        <f>IFERROR(__xludf.DUMMYFUNCTION("""COMPUTED_VALUE"""),"Amqui, Quebec, Canada")</f>
        <v/>
      </c>
      <c r="K20719">
        <f>IFERROR(__xludf.DUMMYFUNCTION("""COMPUTED_VALUE"""),230.23)</f>
        <v/>
      </c>
    </row>
    <row r="20720">
      <c r="J20720">
        <f>IFERROR(__xludf.DUMMYFUNCTION("""COMPUTED_VALUE"""),"Radium, British Columbia / Lake Louise, Alberta")</f>
        <v/>
      </c>
      <c r="K20720">
        <f>IFERROR(__xludf.DUMMYFUNCTION("""COMPUTED_VALUE"""),229.82)</f>
        <v/>
      </c>
    </row>
    <row r="20721">
      <c r="J20721">
        <f>IFERROR(__xludf.DUMMYFUNCTION("""COMPUTED_VALUE"""),"Moncton; Fredericton")</f>
        <v/>
      </c>
      <c r="K20721">
        <f>IFERROR(__xludf.DUMMYFUNCTION("""COMPUTED_VALUE"""),229.5)</f>
        <v/>
      </c>
    </row>
    <row r="20722">
      <c r="J20722">
        <f>IFERROR(__xludf.DUMMYFUNCTION("""COMPUTED_VALUE"""),"Skopje, Macedonia")</f>
        <v/>
      </c>
      <c r="K20722">
        <f>IFERROR(__xludf.DUMMYFUNCTION("""COMPUTED_VALUE"""),229.5)</f>
        <v/>
      </c>
    </row>
    <row r="20723">
      <c r="J20723">
        <f>IFERROR(__xludf.DUMMYFUNCTION("""COMPUTED_VALUE"""),"Saint-Jean-sur-Richelieu, Québec, Canada")</f>
        <v/>
      </c>
      <c r="K20723">
        <f>IFERROR(__xludf.DUMMYFUNCTION("""COMPUTED_VALUE"""),229.11)</f>
        <v/>
      </c>
    </row>
    <row r="20724">
      <c r="J20724">
        <f>IFERROR(__xludf.DUMMYFUNCTION("""COMPUTED_VALUE"""),"Stockholm, Malmö, Gothenburg")</f>
        <v/>
      </c>
      <c r="K20724">
        <f>IFERROR(__xludf.DUMMYFUNCTION("""COMPUTED_VALUE"""),228.95)</f>
        <v/>
      </c>
    </row>
    <row r="20725">
      <c r="J20725">
        <f>IFERROR(__xludf.DUMMYFUNCTION("""COMPUTED_VALUE"""),"Ottawa, Ontario, Canada; Bromont, Quebec, Canada")</f>
        <v/>
      </c>
      <c r="K20725">
        <f>IFERROR(__xludf.DUMMYFUNCTION("""COMPUTED_VALUE"""),228.9)</f>
        <v/>
      </c>
    </row>
    <row r="20726">
      <c r="J20726">
        <f>IFERROR(__xludf.DUMMYFUNCTION("""COMPUTED_VALUE"""),"Maldegem, Belgium")</f>
        <v/>
      </c>
      <c r="K20726">
        <f>IFERROR(__xludf.DUMMYFUNCTION("""COMPUTED_VALUE"""),228.85)</f>
        <v/>
      </c>
    </row>
    <row r="20727">
      <c r="J20727">
        <f>IFERROR(__xludf.DUMMYFUNCTION("""COMPUTED_VALUE"""),"Toronto-ON")</f>
        <v/>
      </c>
      <c r="K20727">
        <f>IFERROR(__xludf.DUMMYFUNCTION("""COMPUTED_VALUE"""),228.7)</f>
        <v/>
      </c>
    </row>
    <row r="20728">
      <c r="J20728">
        <f>IFERROR(__xludf.DUMMYFUNCTION("""COMPUTED_VALUE"""),"Montpelier VT.")</f>
        <v/>
      </c>
      <c r="K20728">
        <f>IFERROR(__xludf.DUMMYFUNCTION("""COMPUTED_VALUE"""),228.39)</f>
        <v/>
      </c>
    </row>
    <row r="20729">
      <c r="J20729">
        <f>IFERROR(__xludf.DUMMYFUNCTION("""COMPUTED_VALUE"""),"Rimouski, Quebec, Canada; Saint-Georges, Quebec, Canada; Montréal, Quebec, Canada")</f>
        <v/>
      </c>
      <c r="K20729">
        <f>IFERROR(__xludf.DUMMYFUNCTION("""COMPUTED_VALUE"""),228.06)</f>
        <v/>
      </c>
    </row>
    <row r="20730">
      <c r="J20730">
        <f>IFERROR(__xludf.DUMMYFUNCTION("""COMPUTED_VALUE"""),"Kingston, Ontario, Ca")</f>
        <v/>
      </c>
      <c r="K20730">
        <f>IFERROR(__xludf.DUMMYFUNCTION("""COMPUTED_VALUE"""),228)</f>
        <v/>
      </c>
    </row>
    <row r="20731">
      <c r="J20731">
        <f>IFERROR(__xludf.DUMMYFUNCTION("""COMPUTED_VALUE"""),"Victoriaville, Leclercville, Lévis, Québec")</f>
        <v/>
      </c>
      <c r="K20731">
        <f>IFERROR(__xludf.DUMMYFUNCTION("""COMPUTED_VALUE"""),227.95)</f>
        <v/>
      </c>
    </row>
    <row r="20732">
      <c r="J20732">
        <f>IFERROR(__xludf.DUMMYFUNCTION("""COMPUTED_VALUE"""),"Milton Keynes, UK")</f>
        <v/>
      </c>
      <c r="K20732">
        <f>IFERROR(__xludf.DUMMYFUNCTION("""COMPUTED_VALUE"""),227.93)</f>
        <v/>
      </c>
    </row>
    <row r="20733">
      <c r="J20733">
        <f>IFERROR(__xludf.DUMMYFUNCTION("""COMPUTED_VALUE"""),"Kingston, and Edmonton")</f>
        <v/>
      </c>
      <c r="K20733">
        <f>IFERROR(__xludf.DUMMYFUNCTION("""COMPUTED_VALUE"""),227.91)</f>
        <v/>
      </c>
    </row>
    <row r="20734">
      <c r="J20734">
        <f>IFERROR(__xludf.DUMMYFUNCTION("""COMPUTED_VALUE"""),"Burnaby, British Columbia; Vancouver, British Columbia")</f>
        <v/>
      </c>
      <c r="K20734">
        <f>IFERROR(__xludf.DUMMYFUNCTION("""COMPUTED_VALUE"""),227.85)</f>
        <v/>
      </c>
    </row>
    <row r="20735">
      <c r="J20735">
        <f>IFERROR(__xludf.DUMMYFUNCTION("""COMPUTED_VALUE"""),"St.Thomas, Ontario, Canada")</f>
        <v/>
      </c>
      <c r="K20735">
        <f>IFERROR(__xludf.DUMMYFUNCTION("""COMPUTED_VALUE"""),227.74)</f>
        <v/>
      </c>
    </row>
    <row r="20736">
      <c r="J20736">
        <f>IFERROR(__xludf.DUMMYFUNCTION("""COMPUTED_VALUE"""),"Wainwright (Alberta) Canada")</f>
        <v/>
      </c>
      <c r="K20736">
        <f>IFERROR(__xludf.DUMMYFUNCTION("""COMPUTED_VALUE"""),227.21)</f>
        <v/>
      </c>
    </row>
    <row r="20737">
      <c r="J20737">
        <f>IFERROR(__xludf.DUMMYFUNCTION("""COMPUTED_VALUE"""),"Paris - France")</f>
        <v/>
      </c>
      <c r="K20737">
        <f>IFERROR(__xludf.DUMMYFUNCTION("""COMPUTED_VALUE"""),227.11)</f>
        <v/>
      </c>
    </row>
    <row r="20738">
      <c r="J20738">
        <f>IFERROR(__xludf.DUMMYFUNCTION("""COMPUTED_VALUE"""),"140 O'connor St, Ottawa, ON")</f>
        <v/>
      </c>
      <c r="K20738">
        <f>IFERROR(__xludf.DUMMYFUNCTION("""COMPUTED_VALUE"""),227.05)</f>
        <v/>
      </c>
    </row>
    <row r="20739">
      <c r="J20739">
        <f>IFERROR(__xludf.DUMMYFUNCTION("""COMPUTED_VALUE"""),"Burlington, ON / London, ON")</f>
        <v/>
      </c>
      <c r="K20739">
        <f>IFERROR(__xludf.DUMMYFUNCTION("""COMPUTED_VALUE"""),226.95)</f>
        <v/>
      </c>
    </row>
    <row r="20740">
      <c r="J20740">
        <f>IFERROR(__xludf.DUMMYFUNCTION("""COMPUTED_VALUE"""),"Québec City, Laval and Montréal, Québec")</f>
        <v/>
      </c>
      <c r="K20740">
        <f>IFERROR(__xludf.DUMMYFUNCTION("""COMPUTED_VALUE"""),226.91)</f>
        <v/>
      </c>
    </row>
    <row r="20741">
      <c r="J20741">
        <f>IFERROR(__xludf.DUMMYFUNCTION("""COMPUTED_VALUE"""),"Northern Nova Scotia")</f>
        <v/>
      </c>
      <c r="K20741">
        <f>IFERROR(__xludf.DUMMYFUNCTION("""COMPUTED_VALUE"""),226.9)</f>
        <v/>
      </c>
    </row>
    <row r="20742">
      <c r="J20742">
        <f>IFERROR(__xludf.DUMMYFUNCTION("""COMPUTED_VALUE"""),"St-Hubert, Montréal")</f>
        <v/>
      </c>
      <c r="K20742">
        <f>IFERROR(__xludf.DUMMYFUNCTION("""COMPUTED_VALUE"""),226.83)</f>
        <v/>
      </c>
    </row>
    <row r="20743">
      <c r="J20743">
        <f>IFERROR(__xludf.DUMMYFUNCTION("""COMPUTED_VALUE"""),"Iles de la Madeleine, Quebec")</f>
        <v/>
      </c>
      <c r="K20743">
        <f>IFERROR(__xludf.DUMMYFUNCTION("""COMPUTED_VALUE"""),226.62)</f>
        <v/>
      </c>
    </row>
    <row r="20744">
      <c r="J20744">
        <f>IFERROR(__xludf.DUMMYFUNCTION("""COMPUTED_VALUE"""),"Sorel-Tracy et Montreal, Quebec")</f>
        <v/>
      </c>
      <c r="K20744">
        <f>IFERROR(__xludf.DUMMYFUNCTION("""COMPUTED_VALUE"""),226.48)</f>
        <v/>
      </c>
    </row>
    <row r="20745">
      <c r="J20745">
        <f>IFERROR(__xludf.DUMMYFUNCTION("""COMPUTED_VALUE"""),"Ottawa - Sainte-Anne-de-Bellevue - Ottawa")</f>
        <v/>
      </c>
      <c r="K20745">
        <f>IFERROR(__xludf.DUMMYFUNCTION("""COMPUTED_VALUE"""),226.16)</f>
        <v/>
      </c>
    </row>
    <row r="20746">
      <c r="J20746">
        <f>IFERROR(__xludf.DUMMYFUNCTION("""COMPUTED_VALUE"""),"Cornwall, Ontario, Canada; Montreal, Quebec, Canada")</f>
        <v/>
      </c>
      <c r="K20746">
        <f>IFERROR(__xludf.DUMMYFUNCTION("""COMPUTED_VALUE"""),226.08)</f>
        <v/>
      </c>
    </row>
    <row r="20747">
      <c r="J20747">
        <f>IFERROR(__xludf.DUMMYFUNCTION("""COMPUTED_VALUE"""),"Bancroft, Ontario")</f>
        <v/>
      </c>
      <c r="K20747">
        <f>IFERROR(__xludf.DUMMYFUNCTION("""COMPUTED_VALUE"""),225.89)</f>
        <v/>
      </c>
    </row>
    <row r="20748">
      <c r="J20748">
        <f>IFERROR(__xludf.DUMMYFUNCTION("""COMPUTED_VALUE"""),"Deschambault (Quebec) Canada")</f>
        <v/>
      </c>
      <c r="K20748">
        <f>IFERROR(__xludf.DUMMYFUNCTION("""COMPUTED_VALUE"""),225.63)</f>
        <v/>
      </c>
    </row>
    <row r="20749">
      <c r="J20749">
        <f>IFERROR(__xludf.DUMMYFUNCTION("""COMPUTED_VALUE"""),"Santiago and Lima")</f>
        <v/>
      </c>
      <c r="K20749">
        <f>IFERROR(__xludf.DUMMYFUNCTION("""COMPUTED_VALUE"""),225.56)</f>
        <v/>
      </c>
    </row>
    <row r="20750">
      <c r="J20750">
        <f>IFERROR(__xludf.DUMMYFUNCTION("""COMPUTED_VALUE"""),"Burlington and East Gwillimbury, Ontario, Canada")</f>
        <v/>
      </c>
      <c r="K20750">
        <f>IFERROR(__xludf.DUMMYFUNCTION("""COMPUTED_VALUE"""),225.5)</f>
        <v/>
      </c>
    </row>
    <row r="20751">
      <c r="J20751">
        <f>IFERROR(__xludf.DUMMYFUNCTION("""COMPUTED_VALUE"""),"Sainte-Adèle, QC")</f>
        <v/>
      </c>
      <c r="K20751">
        <f>IFERROR(__xludf.DUMMYFUNCTION("""COMPUTED_VALUE"""),225.5)</f>
        <v/>
      </c>
    </row>
    <row r="20752">
      <c r="J20752">
        <f>IFERROR(__xludf.DUMMYFUNCTION("""COMPUTED_VALUE"""),"Sherbrooke, Quebec, Canada;
Anjou, Quebec, Canada")</f>
        <v/>
      </c>
      <c r="K20752">
        <f>IFERROR(__xludf.DUMMYFUNCTION("""COMPUTED_VALUE"""),225.37)</f>
        <v/>
      </c>
    </row>
    <row r="20753">
      <c r="J20753">
        <f>IFERROR(__xludf.DUMMYFUNCTION("""COMPUTED_VALUE"""),"St. Stephen, NB")</f>
        <v/>
      </c>
      <c r="K20753">
        <f>IFERROR(__xludf.DUMMYFUNCTION("""COMPUTED_VALUE"""),225.17)</f>
        <v/>
      </c>
    </row>
    <row r="20754">
      <c r="J20754">
        <f>IFERROR(__xludf.DUMMYFUNCTION("""COMPUTED_VALUE"""),"Louiseville")</f>
        <v/>
      </c>
      <c r="K20754">
        <f>IFERROR(__xludf.DUMMYFUNCTION("""COMPUTED_VALUE"""),225.16)</f>
        <v/>
      </c>
    </row>
    <row r="20755">
      <c r="J20755">
        <f>IFERROR(__xludf.DUMMYFUNCTION("""COMPUTED_VALUE"""),"9 Blvd Montclair, Gatineau, QC")</f>
        <v/>
      </c>
      <c r="K20755">
        <f>IFERROR(__xludf.DUMMYFUNCTION("""COMPUTED_VALUE"""),224.829999999999)</f>
        <v/>
      </c>
    </row>
    <row r="20756">
      <c r="J20756">
        <f>IFERROR(__xludf.DUMMYFUNCTION("""COMPUTED_VALUE"""),"Québec, Rimouski")</f>
        <v/>
      </c>
      <c r="K20756">
        <f>IFERROR(__xludf.DUMMYFUNCTION("""COMPUTED_VALUE"""),224.42)</f>
        <v/>
      </c>
    </row>
    <row r="20757">
      <c r="J20757">
        <f>IFERROR(__xludf.DUMMYFUNCTION("""COMPUTED_VALUE"""),"Rimouski, La Pocatière")</f>
        <v/>
      </c>
      <c r="K20757">
        <f>IFERROR(__xludf.DUMMYFUNCTION("""COMPUTED_VALUE"""),224.42)</f>
        <v/>
      </c>
    </row>
    <row r="20758">
      <c r="J20758">
        <f>IFERROR(__xludf.DUMMYFUNCTION("""COMPUTED_VALUE"""),"Montréal, Longueuil")</f>
        <v/>
      </c>
      <c r="K20758">
        <f>IFERROR(__xludf.DUMMYFUNCTION("""COMPUTED_VALUE"""),224.39)</f>
        <v/>
      </c>
    </row>
    <row r="20759">
      <c r="J20759">
        <f>IFERROR(__xludf.DUMMYFUNCTION("""COMPUTED_VALUE"""),"Normandin, La Baie")</f>
        <v/>
      </c>
      <c r="K20759">
        <f>IFERROR(__xludf.DUMMYFUNCTION("""COMPUTED_VALUE"""),224.32)</f>
        <v/>
      </c>
    </row>
    <row r="20760">
      <c r="J20760">
        <f>IFERROR(__xludf.DUMMYFUNCTION("""COMPUTED_VALUE"""),"Truro, Nova Scotia, Canada; 
Preston, Nova Scotia, Canada")</f>
        <v/>
      </c>
      <c r="K20760">
        <f>IFERROR(__xludf.DUMMYFUNCTION("""COMPUTED_VALUE"""),224.2)</f>
        <v/>
      </c>
    </row>
    <row r="20761">
      <c r="J20761">
        <f>IFERROR(__xludf.DUMMYFUNCTION("""COMPUTED_VALUE"""),"Coquitlam, British Columbia, Canada; Surrey, British Columbia, Canada; Vancouver, British Columbia, Canada")</f>
        <v/>
      </c>
      <c r="K20761">
        <f>IFERROR(__xludf.DUMMYFUNCTION("""COMPUTED_VALUE"""),224.02)</f>
        <v/>
      </c>
    </row>
    <row r="20762">
      <c r="J20762">
        <f>IFERROR(__xludf.DUMMYFUNCTION("""COMPUTED_VALUE"""),"Red Deer, and Calgary, Alberta, Canada")</f>
        <v/>
      </c>
      <c r="K20762">
        <f>IFERROR(__xludf.DUMMYFUNCTION("""COMPUTED_VALUE"""),223.5)</f>
        <v/>
      </c>
    </row>
    <row r="20763">
      <c r="J20763">
        <f>IFERROR(__xludf.DUMMYFUNCTION("""COMPUTED_VALUE"""),"St-Bernard de Lacolle")</f>
        <v/>
      </c>
      <c r="K20763">
        <f>IFERROR(__xludf.DUMMYFUNCTION("""COMPUTED_VALUE"""),223.17)</f>
        <v/>
      </c>
    </row>
    <row r="20764">
      <c r="J20764">
        <f>IFERROR(__xludf.DUMMYFUNCTION("""COMPUTED_VALUE"""),"St-Stanislas, Saguenay")</f>
        <v/>
      </c>
      <c r="K20764">
        <f>IFERROR(__xludf.DUMMYFUNCTION("""COMPUTED_VALUE"""),223.02)</f>
        <v/>
      </c>
    </row>
    <row r="20765">
      <c r="J20765">
        <f>IFERROR(__xludf.DUMMYFUNCTION("""COMPUTED_VALUE"""),"Hébertbille")</f>
        <v/>
      </c>
      <c r="K20765">
        <f>IFERROR(__xludf.DUMMYFUNCTION("""COMPUTED_VALUE"""),222.56)</f>
        <v/>
      </c>
    </row>
    <row r="20766">
      <c r="J20766">
        <f>IFERROR(__xludf.DUMMYFUNCTION("""COMPUTED_VALUE"""),"Ottawa, Montréal, Bagotville")</f>
        <v/>
      </c>
      <c r="K20766">
        <f>IFERROR(__xludf.DUMMYFUNCTION("""COMPUTED_VALUE"""),222.56)</f>
        <v/>
      </c>
    </row>
    <row r="20767">
      <c r="J20767">
        <f>IFERROR(__xludf.DUMMYFUNCTION("""COMPUTED_VALUE"""),"Drummondville, Quebec, Canada / Montreal, Quebec, Canada")</f>
        <v/>
      </c>
      <c r="K20767">
        <f>IFERROR(__xludf.DUMMYFUNCTION("""COMPUTED_VALUE"""),222.15)</f>
        <v/>
      </c>
    </row>
    <row r="20768">
      <c r="J20768">
        <f>IFERROR(__xludf.DUMMYFUNCTION("""COMPUTED_VALUE"""),"Ottawa, ON,  Montreal, QC and Edmonton AB.")</f>
        <v/>
      </c>
      <c r="K20768">
        <f>IFERROR(__xludf.DUMMYFUNCTION("""COMPUTED_VALUE"""),221.5)</f>
        <v/>
      </c>
    </row>
    <row r="20769">
      <c r="J20769">
        <f>IFERROR(__xludf.DUMMYFUNCTION("""COMPUTED_VALUE"""),"Sherbrooke, Quebec; Ottawa, Ontario, Canada")</f>
        <v/>
      </c>
      <c r="K20769">
        <f>IFERROR(__xludf.DUMMYFUNCTION("""COMPUTED_VALUE"""),221.29)</f>
        <v/>
      </c>
    </row>
    <row r="20770">
      <c r="J20770">
        <f>IFERROR(__xludf.DUMMYFUNCTION("""COMPUTED_VALUE"""),"Grand Manan and St. Andrews, New Brunswick")</f>
        <v/>
      </c>
      <c r="K20770">
        <f>IFERROR(__xludf.DUMMYFUNCTION("""COMPUTED_VALUE"""),221.27)</f>
        <v/>
      </c>
    </row>
    <row r="20771">
      <c r="J20771">
        <f>IFERROR(__xludf.DUMMYFUNCTION("""COMPUTED_VALUE"""),"Wainwright(Alberta) Canada")</f>
        <v/>
      </c>
      <c r="K20771">
        <f>IFERROR(__xludf.DUMMYFUNCTION("""COMPUTED_VALUE"""),221.22)</f>
        <v/>
      </c>
    </row>
    <row r="20772">
      <c r="J20772">
        <f>IFERROR(__xludf.DUMMYFUNCTION("""COMPUTED_VALUE"""),"Concord, NH / Hampton, NH / Portland, ME / Brunswick, ME / Bath, ME / East Boothbay, ME")</f>
        <v/>
      </c>
      <c r="K20772">
        <f>IFERROR(__xludf.DUMMYFUNCTION("""COMPUTED_VALUE"""),221.21)</f>
        <v/>
      </c>
    </row>
    <row r="20773">
      <c r="J20773">
        <f>IFERROR(__xludf.DUMMYFUNCTION("""COMPUTED_VALUE"""),"Esquimalt, B.C.")</f>
        <v/>
      </c>
      <c r="K20773">
        <f>IFERROR(__xludf.DUMMYFUNCTION("""COMPUTED_VALUE"""),220.99)</f>
        <v/>
      </c>
    </row>
    <row r="20774">
      <c r="J20774">
        <f>IFERROR(__xludf.DUMMYFUNCTION("""COMPUTED_VALUE"""),"Notre-Dame-du-Mont-Carmel")</f>
        <v/>
      </c>
      <c r="K20774">
        <f>IFERROR(__xludf.DUMMYFUNCTION("""COMPUTED_VALUE"""),220.93)</f>
        <v/>
      </c>
    </row>
    <row r="20775">
      <c r="J20775">
        <f>IFERROR(__xludf.DUMMYFUNCTION("""COMPUTED_VALUE"""),"St-Hyacinthe / Sherbrooke")</f>
        <v/>
      </c>
      <c r="K20775">
        <f>IFERROR(__xludf.DUMMYFUNCTION("""COMPUTED_VALUE"""),220.52)</f>
        <v/>
      </c>
    </row>
    <row r="20776">
      <c r="J20776">
        <f>IFERROR(__xludf.DUMMYFUNCTION("""COMPUTED_VALUE"""),"Edmonton, Alberta, Canada; Whitecourt, Alberta, Canada")</f>
        <v/>
      </c>
      <c r="K20776">
        <f>IFERROR(__xludf.DUMMYFUNCTION("""COMPUTED_VALUE"""),220.4)</f>
        <v/>
      </c>
    </row>
    <row r="20777">
      <c r="J20777">
        <f>IFERROR(__xludf.DUMMYFUNCTION("""COMPUTED_VALUE"""),"Saint-Germain-de-Grantham, Quebec, Canada")</f>
        <v/>
      </c>
      <c r="K20777">
        <f>IFERROR(__xludf.DUMMYFUNCTION("""COMPUTED_VALUE"""),220.2)</f>
        <v/>
      </c>
    </row>
    <row r="20778">
      <c r="J20778">
        <f>IFERROR(__xludf.DUMMYFUNCTION("""COMPUTED_VALUE"""),"Tatamagouche")</f>
        <v/>
      </c>
      <c r="K20778">
        <f>IFERROR(__xludf.DUMMYFUNCTION("""COMPUTED_VALUE"""),219.84)</f>
        <v/>
      </c>
    </row>
    <row r="20779">
      <c r="J20779">
        <f>IFERROR(__xludf.DUMMYFUNCTION("""COMPUTED_VALUE"""),"Sundre, Alberta, Canada")</f>
        <v/>
      </c>
      <c r="K20779">
        <f>IFERROR(__xludf.DUMMYFUNCTION("""COMPUTED_VALUE"""),219.4)</f>
        <v/>
      </c>
    </row>
    <row r="20780">
      <c r="J20780">
        <f>IFERROR(__xludf.DUMMYFUNCTION("""COMPUTED_VALUE"""),"AMHERST, NS")</f>
        <v/>
      </c>
      <c r="K20780">
        <f>IFERROR(__xludf.DUMMYFUNCTION("""COMPUTED_VALUE"""),219.38)</f>
        <v/>
      </c>
    </row>
    <row r="20781">
      <c r="J20781">
        <f>IFERROR(__xludf.DUMMYFUNCTION("""COMPUTED_VALUE"""),"Newport RI")</f>
        <v/>
      </c>
      <c r="K20781">
        <f>IFERROR(__xludf.DUMMYFUNCTION("""COMPUTED_VALUE"""),219.03)</f>
        <v/>
      </c>
    </row>
    <row r="20782">
      <c r="J20782">
        <f>IFERROR(__xludf.DUMMYFUNCTION("""COMPUTED_VALUE"""),"Sherbrooke (Quebec) Canada
St-Hyacinthe (Quebec) Canada")</f>
        <v/>
      </c>
      <c r="K20782">
        <f>IFERROR(__xludf.DUMMYFUNCTION("""COMPUTED_VALUE"""),218.6)</f>
        <v/>
      </c>
    </row>
    <row r="20783">
      <c r="J20783">
        <f>IFERROR(__xludf.DUMMYFUNCTION("""COMPUTED_VALUE"""),"Tracadie-Sheila, New Brunswick")</f>
        <v/>
      </c>
      <c r="K20783">
        <f>IFERROR(__xludf.DUMMYFUNCTION("""COMPUTED_VALUE"""),218.52)</f>
        <v/>
      </c>
    </row>
    <row r="20784">
      <c r="J20784">
        <f>IFERROR(__xludf.DUMMYFUNCTION("""COMPUTED_VALUE"""),"Placentia, Newfoundland and Labrador, Canada; Marystown, Newfoundland and Labrador, Canada; Clarenville, Newfoundland and Labrador, Canada")</f>
        <v/>
      </c>
      <c r="K20784">
        <f>IFERROR(__xludf.DUMMYFUNCTION("""COMPUTED_VALUE"""),218.37)</f>
        <v/>
      </c>
    </row>
    <row r="20785">
      <c r="J20785">
        <f>IFERROR(__xludf.DUMMYFUNCTION("""COMPUTED_VALUE"""),"WSHDC to New York")</f>
        <v/>
      </c>
      <c r="K20785">
        <f>IFERROR(__xludf.DUMMYFUNCTION("""COMPUTED_VALUE"""),218.25)</f>
        <v/>
      </c>
    </row>
    <row r="20786">
      <c r="J20786">
        <f>IFERROR(__xludf.DUMMYFUNCTION("""COMPUTED_VALUE"""),"This is a demi Tarif flat fee for train travel in Switzerland.")</f>
        <v/>
      </c>
      <c r="K20786">
        <f>IFERROR(__xludf.DUMMYFUNCTION("""COMPUTED_VALUE"""),218.16)</f>
        <v/>
      </c>
    </row>
    <row r="20787">
      <c r="J20787">
        <f>IFERROR(__xludf.DUMMYFUNCTION("""COMPUTED_VALUE"""),"KANATA, OTTAWA, KINGSTON,   ONTARIO CANADA")</f>
        <v/>
      </c>
      <c r="K20787">
        <f>IFERROR(__xludf.DUMMYFUNCTION("""COMPUTED_VALUE"""),218.04)</f>
        <v/>
      </c>
    </row>
    <row r="20788">
      <c r="J20788">
        <f>IFERROR(__xludf.DUMMYFUNCTION("""COMPUTED_VALUE"""),"Rouyn-Noranda")</f>
        <v/>
      </c>
      <c r="K20788">
        <f>IFERROR(__xludf.DUMMYFUNCTION("""COMPUTED_VALUE"""),217.68)</f>
        <v/>
      </c>
    </row>
    <row r="20789">
      <c r="J20789">
        <f>IFERROR(__xludf.DUMMYFUNCTION("""COMPUTED_VALUE"""),"Winnipeg Manitoba Canada")</f>
        <v/>
      </c>
      <c r="K20789">
        <f>IFERROR(__xludf.DUMMYFUNCTION("""COMPUTED_VALUE"""),217.34)</f>
        <v/>
      </c>
    </row>
    <row r="20790">
      <c r="J20790">
        <f>IFERROR(__xludf.DUMMYFUNCTION("""COMPUTED_VALUE"""),"Scarborough, Ontario, Canada; Brampton, Ontario, Canada")</f>
        <v/>
      </c>
      <c r="K20790">
        <f>IFERROR(__xludf.DUMMYFUNCTION("""COMPUTED_VALUE"""),216.87)</f>
        <v/>
      </c>
    </row>
    <row r="20791">
      <c r="J20791">
        <f>IFERROR(__xludf.DUMMYFUNCTION("""COMPUTED_VALUE"""),"Québec / Gaspé")</f>
        <v/>
      </c>
      <c r="K20791">
        <f>IFERROR(__xludf.DUMMYFUNCTION("""COMPUTED_VALUE"""),216.82)</f>
        <v/>
      </c>
    </row>
    <row r="20792">
      <c r="J20792">
        <f>IFERROR(__xludf.DUMMYFUNCTION("""COMPUTED_VALUE"""),"Beauce, Drummondville")</f>
        <v/>
      </c>
      <c r="K20792">
        <f>IFERROR(__xludf.DUMMYFUNCTION("""COMPUTED_VALUE"""),216.77)</f>
        <v/>
      </c>
    </row>
    <row r="20793">
      <c r="J20793">
        <f>IFERROR(__xludf.DUMMYFUNCTION("""COMPUTED_VALUE"""),"Victoria, BC and Kelowna, BC")</f>
        <v/>
      </c>
      <c r="K20793">
        <f>IFERROR(__xludf.DUMMYFUNCTION("""COMPUTED_VALUE"""),216.72)</f>
        <v/>
      </c>
    </row>
    <row r="20794">
      <c r="J20794">
        <f>IFERROR(__xludf.DUMMYFUNCTION("""COMPUTED_VALUE"""),"North Hatley")</f>
        <v/>
      </c>
      <c r="K20794">
        <f>IFERROR(__xludf.DUMMYFUNCTION("""COMPUTED_VALUE"""),216.58)</f>
        <v/>
      </c>
    </row>
    <row r="20795">
      <c r="J20795">
        <f>IFERROR(__xludf.DUMMYFUNCTION("""COMPUTED_VALUE"""),"Varenne, QC")</f>
        <v/>
      </c>
      <c r="K20795">
        <f>IFERROR(__xludf.DUMMYFUNCTION("""COMPUTED_VALUE"""),216.56)</f>
        <v/>
      </c>
    </row>
    <row r="20796">
      <c r="J20796">
        <f>IFERROR(__xludf.DUMMYFUNCTION("""COMPUTED_VALUE"""),"South Shore, Nova Scotia")</f>
        <v/>
      </c>
      <c r="K20796">
        <f>IFERROR(__xludf.DUMMYFUNCTION("""COMPUTED_VALUE"""),216.5)</f>
        <v/>
      </c>
    </row>
    <row r="20797">
      <c r="J20797">
        <f>IFERROR(__xludf.DUMMYFUNCTION("""COMPUTED_VALUE"""),"Scarborough, Toronto, Canada")</f>
        <v/>
      </c>
      <c r="K20797">
        <f>IFERROR(__xludf.DUMMYFUNCTION("""COMPUTED_VALUE"""),216.4)</f>
        <v/>
      </c>
    </row>
    <row r="20798">
      <c r="J20798">
        <f>IFERROR(__xludf.DUMMYFUNCTION("""COMPUTED_VALUE"""),"Sherbrooke (Quebec) Canada
Ottawa (Ontario) Canada")</f>
        <v/>
      </c>
      <c r="K20798">
        <f>IFERROR(__xludf.DUMMYFUNCTION("""COMPUTED_VALUE"""),216.11)</f>
        <v/>
      </c>
    </row>
    <row r="20799">
      <c r="J20799">
        <f>IFERROR(__xludf.DUMMYFUNCTION("""COMPUTED_VALUE"""),"Victoria, and Courtenay, British Columbia, Canada")</f>
        <v/>
      </c>
      <c r="K20799">
        <f>IFERROR(__xludf.DUMMYFUNCTION("""COMPUTED_VALUE"""),215.85)</f>
        <v/>
      </c>
    </row>
    <row r="20800">
      <c r="J20800">
        <f>IFERROR(__xludf.DUMMYFUNCTION("""COMPUTED_VALUE"""),"Boundary Bay, British Columbia, Canada")</f>
        <v/>
      </c>
      <c r="K20800">
        <f>IFERROR(__xludf.DUMMYFUNCTION("""COMPUTED_VALUE"""),215.72)</f>
        <v/>
      </c>
    </row>
    <row r="20801">
      <c r="J20801">
        <f>IFERROR(__xludf.DUMMYFUNCTION("""COMPUTED_VALUE"""),"Trois-Rivieres, Qc, Can")</f>
        <v/>
      </c>
      <c r="K20801">
        <f>IFERROR(__xludf.DUMMYFUNCTION("""COMPUTED_VALUE"""),215.48)</f>
        <v/>
      </c>
    </row>
    <row r="20802">
      <c r="J20802">
        <f>IFERROR(__xludf.DUMMYFUNCTION("""COMPUTED_VALUE"""),"Riga, LV")</f>
        <v/>
      </c>
      <c r="K20802">
        <f>IFERROR(__xludf.DUMMYFUNCTION("""COMPUTED_VALUE"""),215.46)</f>
        <v/>
      </c>
    </row>
    <row r="20803">
      <c r="J20803">
        <f>IFERROR(__xludf.DUMMYFUNCTION("""COMPUTED_VALUE"""),"Gatineau, Quebec)")</f>
        <v/>
      </c>
      <c r="K20803">
        <f>IFERROR(__xludf.DUMMYFUNCTION("""COMPUTED_VALUE"""),215.41)</f>
        <v/>
      </c>
    </row>
    <row r="20804">
      <c r="J20804">
        <f>IFERROR(__xludf.DUMMYFUNCTION("""COMPUTED_VALUE"""),"Landsdowne / Prescott")</f>
        <v/>
      </c>
      <c r="K20804">
        <f>IFERROR(__xludf.DUMMYFUNCTION("""COMPUTED_VALUE"""),215.41)</f>
        <v/>
      </c>
    </row>
    <row r="20805">
      <c r="J20805">
        <f>IFERROR(__xludf.DUMMYFUNCTION("""COMPUTED_VALUE"""),"Amqui, Rimouski, Rivière-du-Loup")</f>
        <v/>
      </c>
      <c r="K20805">
        <f>IFERROR(__xludf.DUMMYFUNCTION("""COMPUTED_VALUE"""),215.37)</f>
        <v/>
      </c>
    </row>
    <row r="20806">
      <c r="J20806">
        <f>IFERROR(__xludf.DUMMYFUNCTION("""COMPUTED_VALUE"""),"Republic of Lithuania")</f>
        <v/>
      </c>
      <c r="K20806">
        <f>IFERROR(__xludf.DUMMYFUNCTION("""COMPUTED_VALUE"""),215.37)</f>
        <v/>
      </c>
    </row>
    <row r="20807">
      <c r="J20807">
        <f>IFERROR(__xludf.DUMMYFUNCTION("""COMPUTED_VALUE"""),"PICTOU, NS")</f>
        <v/>
      </c>
      <c r="K20807">
        <f>IFERROR(__xludf.DUMMYFUNCTION("""COMPUTED_VALUE"""),215.18)</f>
        <v/>
      </c>
    </row>
    <row r="20808">
      <c r="J20808">
        <f>IFERROR(__xludf.DUMMYFUNCTION("""COMPUTED_VALUE"""),"Brooklin, Ontario")</f>
        <v/>
      </c>
      <c r="K20808">
        <f>IFERROR(__xludf.DUMMYFUNCTION("""COMPUTED_VALUE"""),215)</f>
        <v/>
      </c>
    </row>
    <row r="20809">
      <c r="J20809">
        <f>IFERROR(__xludf.DUMMYFUNCTION("""COMPUTED_VALUE"""),"Various locations, Canada")</f>
        <v/>
      </c>
      <c r="K20809">
        <f>IFERROR(__xludf.DUMMYFUNCTION("""COMPUTED_VALUE"""),214.98)</f>
        <v/>
      </c>
    </row>
    <row r="20810">
      <c r="J20810">
        <f>IFERROR(__xludf.DUMMYFUNCTION("""COMPUTED_VALUE"""),"Pembroke and Chalk River, Ontario")</f>
        <v/>
      </c>
      <c r="K20810">
        <f>IFERROR(__xludf.DUMMYFUNCTION("""COMPUTED_VALUE"""),214.85)</f>
        <v/>
      </c>
    </row>
    <row r="20811">
      <c r="J20811">
        <f>IFERROR(__xludf.DUMMYFUNCTION("""COMPUTED_VALUE"""),"Aylmer, Harrietsville, Ontario")</f>
        <v/>
      </c>
      <c r="K20811">
        <f>IFERROR(__xludf.DUMMYFUNCTION("""COMPUTED_VALUE"""),214.84)</f>
        <v/>
      </c>
    </row>
    <row r="20812">
      <c r="J20812">
        <f>IFERROR(__xludf.DUMMYFUNCTION("""COMPUTED_VALUE"""),"Rouyn Noranda (Quebec)")</f>
        <v/>
      </c>
      <c r="K20812">
        <f>IFERROR(__xludf.DUMMYFUNCTION("""COMPUTED_VALUE"""),214.49)</f>
        <v/>
      </c>
    </row>
    <row r="20813">
      <c r="J20813">
        <f>IFERROR(__xludf.DUMMYFUNCTION("""COMPUTED_VALUE"""),"Sainte-Marthe")</f>
        <v/>
      </c>
      <c r="K20813">
        <f>IFERROR(__xludf.DUMMYFUNCTION("""COMPUTED_VALUE"""),214.26)</f>
        <v/>
      </c>
    </row>
    <row r="20814">
      <c r="J20814">
        <f>IFERROR(__xludf.DUMMYFUNCTION("""COMPUTED_VALUE"""),"St Catherines, Ontario")</f>
        <v/>
      </c>
      <c r="K20814">
        <f>IFERROR(__xludf.DUMMYFUNCTION("""COMPUTED_VALUE"""),214.06)</f>
        <v/>
      </c>
    </row>
    <row r="20815">
      <c r="J20815">
        <f>IFERROR(__xludf.DUMMYFUNCTION("""COMPUTED_VALUE"""),"Akwesasne,
Ontario")</f>
        <v/>
      </c>
      <c r="K20815">
        <f>IFERROR(__xludf.DUMMYFUNCTION("""COMPUTED_VALUE"""),213.66)</f>
        <v/>
      </c>
    </row>
    <row r="20816">
      <c r="J20816">
        <f>IFERROR(__xludf.DUMMYFUNCTION("""COMPUTED_VALUE"""),"Orono, ME")</f>
        <v/>
      </c>
      <c r="K20816">
        <f>IFERROR(__xludf.DUMMYFUNCTION("""COMPUTED_VALUE"""),213.24)</f>
        <v/>
      </c>
    </row>
    <row r="20817">
      <c r="J20817">
        <f>IFERROR(__xludf.DUMMYFUNCTION("""COMPUTED_VALUE"""),"Lyn, Ontario, Canada")</f>
        <v/>
      </c>
      <c r="K20817">
        <f>IFERROR(__xludf.DUMMYFUNCTION("""COMPUTED_VALUE"""),213.14)</f>
        <v/>
      </c>
    </row>
    <row r="20818">
      <c r="J20818">
        <f>IFERROR(__xludf.DUMMYFUNCTION("""COMPUTED_VALUE"""),"Norfolk, Virginia, USA [Cancelled]")</f>
        <v/>
      </c>
      <c r="K20818">
        <f>IFERROR(__xludf.DUMMYFUNCTION("""COMPUTED_VALUE"""),212.67)</f>
        <v/>
      </c>
    </row>
    <row r="20819">
      <c r="J20819">
        <f>IFERROR(__xludf.DUMMYFUNCTION("""COMPUTED_VALUE"""),"Charlottetown, Prince Edward Island, Canada; Summerside, Prince Edward Island, Canada; Rexton, New Brunswick, Canada; Neguac New Brunswick, Canada; Bathurst, New Brunswick, Canada")</f>
        <v/>
      </c>
      <c r="K20819">
        <f>IFERROR(__xludf.DUMMYFUNCTION("""COMPUTED_VALUE"""),212.2)</f>
        <v/>
      </c>
    </row>
    <row r="20820">
      <c r="J20820">
        <f>IFERROR(__xludf.DUMMYFUNCTION("""COMPUTED_VALUE"""),"Newmarket")</f>
        <v/>
      </c>
      <c r="K20820">
        <f>IFERROR(__xludf.DUMMYFUNCTION("""COMPUTED_VALUE"""),212.2)</f>
        <v/>
      </c>
    </row>
    <row r="20821">
      <c r="J20821">
        <f>IFERROR(__xludf.DUMMYFUNCTION("""COMPUTED_VALUE"""),"Lotbinière, Quebec, Canada; Montréal, Quebec, Canada")</f>
        <v/>
      </c>
      <c r="K20821">
        <f>IFERROR(__xludf.DUMMYFUNCTION("""COMPUTED_VALUE"""),212.18)</f>
        <v/>
      </c>
    </row>
    <row r="20822">
      <c r="J20822">
        <f>IFERROR(__xludf.DUMMYFUNCTION("""COMPUTED_VALUE"""),"New Jersey and Delaware")</f>
        <v/>
      </c>
      <c r="K20822">
        <f>IFERROR(__xludf.DUMMYFUNCTION("""COMPUTED_VALUE"""),211.96)</f>
        <v/>
      </c>
    </row>
    <row r="20823">
      <c r="J20823">
        <f>IFERROR(__xludf.DUMMYFUNCTION("""COMPUTED_VALUE"""),"Lanaudière, Quebec, Canada")</f>
        <v/>
      </c>
      <c r="K20823">
        <f>IFERROR(__xludf.DUMMYFUNCTION("""COMPUTED_VALUE"""),211.72)</f>
        <v/>
      </c>
    </row>
    <row r="20824">
      <c r="J20824">
        <f>IFERROR(__xludf.DUMMYFUNCTION("""COMPUTED_VALUE"""),"Valcartier, QU")</f>
        <v/>
      </c>
      <c r="K20824">
        <f>IFERROR(__xludf.DUMMYFUNCTION("""COMPUTED_VALUE"""),211.5)</f>
        <v/>
      </c>
    </row>
    <row r="20825">
      <c r="J20825">
        <f>IFERROR(__xludf.DUMMYFUNCTION("""COMPUTED_VALUE"""),"Ottawa On (NDHQ Pearkes)")</f>
        <v/>
      </c>
      <c r="K20825">
        <f>IFERROR(__xludf.DUMMYFUNCTION("""COMPUTED_VALUE"""),211.25)</f>
        <v/>
      </c>
    </row>
    <row r="20826">
      <c r="J20826">
        <f>IFERROR(__xludf.DUMMYFUNCTION("""COMPUTED_VALUE"""),"Antigonish et Halifax")</f>
        <v/>
      </c>
      <c r="K20826">
        <f>IFERROR(__xludf.DUMMYFUNCTION("""COMPUTED_VALUE"""),211.14)</f>
        <v/>
      </c>
    </row>
    <row r="20827">
      <c r="J20827">
        <f>IFERROR(__xludf.DUMMYFUNCTION("""COMPUTED_VALUE"""),"Port Rowan, Ontario, Canada; London, Ontario, Canada")</f>
        <v/>
      </c>
      <c r="K20827">
        <f>IFERROR(__xludf.DUMMYFUNCTION("""COMPUTED_VALUE"""),211.08)</f>
        <v/>
      </c>
    </row>
    <row r="20828">
      <c r="J20828">
        <f>IFERROR(__xludf.DUMMYFUNCTION("""COMPUTED_VALUE"""),"St-Georges, Drummondville")</f>
        <v/>
      </c>
      <c r="K20828">
        <f>IFERROR(__xludf.DUMMYFUNCTION("""COMPUTED_VALUE"""),210.82)</f>
        <v/>
      </c>
    </row>
    <row r="20829">
      <c r="J20829">
        <f>IFERROR(__xludf.DUMMYFUNCTION("""COMPUTED_VALUE"""),"Shawinigan-sud, QC")</f>
        <v/>
      </c>
      <c r="K20829">
        <f>IFERROR(__xludf.DUMMYFUNCTION("""COMPUTED_VALUE"""),210.77)</f>
        <v/>
      </c>
    </row>
    <row r="20830">
      <c r="J20830">
        <f>IFERROR(__xludf.DUMMYFUNCTION("""COMPUTED_VALUE"""),"Morrisburg ON")</f>
        <v/>
      </c>
      <c r="K20830">
        <f>IFERROR(__xludf.DUMMYFUNCTION("""COMPUTED_VALUE"""),210.75)</f>
        <v/>
      </c>
    </row>
    <row r="20831">
      <c r="J20831">
        <f>IFERROR(__xludf.DUMMYFUNCTION("""COMPUTED_VALUE"""),"Waterloo, Orangeville and Wingham, Ontario")</f>
        <v/>
      </c>
      <c r="K20831">
        <f>IFERROR(__xludf.DUMMYFUNCTION("""COMPUTED_VALUE"""),210.75)</f>
        <v/>
      </c>
    </row>
    <row r="20832">
      <c r="J20832">
        <f>IFERROR(__xludf.DUMMYFUNCTION("""COMPUTED_VALUE"""),"Québec, Vaudreuil and Montbello, Québec")</f>
        <v/>
      </c>
      <c r="K20832">
        <f>IFERROR(__xludf.DUMMYFUNCTION("""COMPUTED_VALUE"""),210.66)</f>
        <v/>
      </c>
    </row>
    <row r="20833">
      <c r="J20833">
        <f>IFERROR(__xludf.DUMMYFUNCTION("""COMPUTED_VALUE"""),"Sherbrooke (Quebec) Canada;
Montreal (Quebec) Canada")</f>
        <v/>
      </c>
      <c r="K20833">
        <f>IFERROR(__xludf.DUMMYFUNCTION("""COMPUTED_VALUE"""),210.33)</f>
        <v/>
      </c>
    </row>
    <row r="20834">
      <c r="J20834">
        <f>IFERROR(__xludf.DUMMYFUNCTION("""COMPUTED_VALUE"""),"Embassy to Official Resident &amp; return")</f>
        <v/>
      </c>
      <c r="K20834">
        <f>IFERROR(__xludf.DUMMYFUNCTION("""COMPUTED_VALUE"""),210)</f>
        <v/>
      </c>
    </row>
    <row r="20835">
      <c r="J20835">
        <f>IFERROR(__xludf.DUMMYFUNCTION("""COMPUTED_VALUE"""),"Amos, Rouyn-Noranda, Trois-Rivières")</f>
        <v/>
      </c>
      <c r="K20835">
        <f>IFERROR(__xludf.DUMMYFUNCTION("""COMPUTED_VALUE"""),209.92)</f>
        <v/>
      </c>
    </row>
    <row r="20836">
      <c r="J20836">
        <f>IFERROR(__xludf.DUMMYFUNCTION("""COMPUTED_VALUE"""),"St-Laurent, QC")</f>
        <v/>
      </c>
      <c r="K20836">
        <f>IFERROR(__xludf.DUMMYFUNCTION("""COMPUTED_VALUE"""),209.79)</f>
        <v/>
      </c>
    </row>
    <row r="20837">
      <c r="J20837">
        <f>IFERROR(__xludf.DUMMYFUNCTION("""COMPUTED_VALUE"""),"Saint Paulin, Quebec, Canada / Trois-Rivieres, Quebec, Canada")</f>
        <v/>
      </c>
      <c r="K20837">
        <f>IFERROR(__xludf.DUMMYFUNCTION("""COMPUTED_VALUE"""),209.7)</f>
        <v/>
      </c>
    </row>
    <row r="20838">
      <c r="J20838">
        <f>IFERROR(__xludf.DUMMYFUNCTION("""COMPUTED_VALUE"""),"Edmonton and Cold Lake, AB")</f>
        <v/>
      </c>
      <c r="K20838">
        <f>IFERROR(__xludf.DUMMYFUNCTION("""COMPUTED_VALUE"""),209.6)</f>
        <v/>
      </c>
    </row>
    <row r="20839">
      <c r="J20839">
        <f>IFERROR(__xludf.DUMMYFUNCTION("""COMPUTED_VALUE"""),"Shawinigan, Montreal, Ottawa")</f>
        <v/>
      </c>
      <c r="K20839">
        <f>IFERROR(__xludf.DUMMYFUNCTION("""COMPUTED_VALUE"""),209.44)</f>
        <v/>
      </c>
    </row>
    <row r="20840">
      <c r="J20840">
        <f>IFERROR(__xludf.DUMMYFUNCTION("""COMPUTED_VALUE"""),"Montreal, Shawinigan,Sherbrooke, Quebec (Canada)")</f>
        <v/>
      </c>
      <c r="K20840">
        <f>IFERROR(__xludf.DUMMYFUNCTION("""COMPUTED_VALUE"""),209.25)</f>
        <v/>
      </c>
    </row>
    <row r="20841">
      <c r="J20841">
        <f>IFERROR(__xludf.DUMMYFUNCTION("""COMPUTED_VALUE"""),"Dorval, Dollard-des-Ormeaux")</f>
        <v/>
      </c>
      <c r="K20841">
        <f>IFERROR(__xludf.DUMMYFUNCTION("""COMPUTED_VALUE"""),208.67)</f>
        <v/>
      </c>
    </row>
    <row r="20842">
      <c r="J20842">
        <f>IFERROR(__xludf.DUMMYFUNCTION("""COMPUTED_VALUE"""),"Krakow, 
Poland")</f>
        <v/>
      </c>
      <c r="K20842">
        <f>IFERROR(__xludf.DUMMYFUNCTION("""COMPUTED_VALUE"""),208.24)</f>
        <v/>
      </c>
    </row>
    <row r="20843">
      <c r="J20843">
        <f>IFERROR(__xludf.DUMMYFUNCTION("""COMPUTED_VALUE"""),"London, Ontario, Saskatchewan")</f>
        <v/>
      </c>
      <c r="K20843">
        <f>IFERROR(__xludf.DUMMYFUNCTION("""COMPUTED_VALUE"""),207.9)</f>
        <v/>
      </c>
    </row>
    <row r="20844">
      <c r="J20844">
        <f>IFERROR(__xludf.DUMMYFUNCTION("""COMPUTED_VALUE"""),"St-Jean sur le Richelieu")</f>
        <v/>
      </c>
      <c r="K20844">
        <f>IFERROR(__xludf.DUMMYFUNCTION("""COMPUTED_VALUE"""),207.83)</f>
        <v/>
      </c>
    </row>
    <row r="20845">
      <c r="J20845">
        <f>IFERROR(__xludf.DUMMYFUNCTION("""COMPUTED_VALUE"""),"Vaughan")</f>
        <v/>
      </c>
      <c r="K20845">
        <f>IFERROR(__xludf.DUMMYFUNCTION("""COMPUTED_VALUE"""),207.78)</f>
        <v/>
      </c>
    </row>
    <row r="20846">
      <c r="J20846">
        <f>IFERROR(__xludf.DUMMYFUNCTION("""COMPUTED_VALUE"""),"Summerside, Prince Edward Island, Canada; Montague, Prince Edward Island, Canada; Halifax, Nova Scotia, Canada")</f>
        <v/>
      </c>
      <c r="K20846">
        <f>IFERROR(__xludf.DUMMYFUNCTION("""COMPUTED_VALUE"""),207.53)</f>
        <v/>
      </c>
    </row>
    <row r="20847">
      <c r="J20847">
        <f>IFERROR(__xludf.DUMMYFUNCTION("""COMPUTED_VALUE"""),"Toronto, Ontario, Canada / Markham, Ontario, Canada")</f>
        <v/>
      </c>
      <c r="K20847">
        <f>IFERROR(__xludf.DUMMYFUNCTION("""COMPUTED_VALUE"""),207.05)</f>
        <v/>
      </c>
    </row>
    <row r="20848">
      <c r="J20848">
        <f>IFERROR(__xludf.DUMMYFUNCTION("""COMPUTED_VALUE"""),"Trois-Rivières, Quebec, Ca")</f>
        <v/>
      </c>
      <c r="K20848">
        <f>IFERROR(__xludf.DUMMYFUNCTION("""COMPUTED_VALUE"""),206.94)</f>
        <v/>
      </c>
    </row>
    <row r="20849">
      <c r="J20849">
        <f>IFERROR(__xludf.DUMMYFUNCTION("""COMPUTED_VALUE"""),"Stanstead, Quebec")</f>
        <v/>
      </c>
      <c r="K20849">
        <f>IFERROR(__xludf.DUMMYFUNCTION("""COMPUTED_VALUE"""),206.82)</f>
        <v/>
      </c>
    </row>
    <row r="20850">
      <c r="J20850">
        <f>IFERROR(__xludf.DUMMYFUNCTION("""COMPUTED_VALUE"""),"Montreal, Quebec, (Canada).")</f>
        <v/>
      </c>
      <c r="K20850">
        <f>IFERROR(__xludf.DUMMYFUNCTION("""COMPUTED_VALUE"""),206.65)</f>
        <v/>
      </c>
    </row>
    <row r="20851">
      <c r="J20851">
        <f>IFERROR(__xludf.DUMMYFUNCTION("""COMPUTED_VALUE"""),"Châteauguay")</f>
        <v/>
      </c>
      <c r="K20851">
        <f>IFERROR(__xludf.DUMMYFUNCTION("""COMPUTED_VALUE"""),206.64)</f>
        <v/>
      </c>
    </row>
    <row r="20852">
      <c r="J20852">
        <f>IFERROR(__xludf.DUMMYFUNCTION("""COMPUTED_VALUE"""),"Trois-Rivières (Quebec) Canada; Laval (Quebec) Canada")</f>
        <v/>
      </c>
      <c r="K20852">
        <f>IFERROR(__xludf.DUMMYFUNCTION("""COMPUTED_VALUE"""),206.58)</f>
        <v/>
      </c>
    </row>
    <row r="20853">
      <c r="J20853">
        <f>IFERROR(__xludf.DUMMYFUNCTION("""COMPUTED_VALUE"""),"Saint-Sauveur, (Quebec)")</f>
        <v/>
      </c>
      <c r="K20853">
        <f>IFERROR(__xludf.DUMMYFUNCTION("""COMPUTED_VALUE"""),205.15)</f>
        <v/>
      </c>
    </row>
    <row r="20854">
      <c r="J20854">
        <f>IFERROR(__xludf.DUMMYFUNCTION("""COMPUTED_VALUE"""),"Ohrid, Macedonia")</f>
        <v/>
      </c>
      <c r="K20854">
        <f>IFERROR(__xludf.DUMMYFUNCTION("""COMPUTED_VALUE"""),205.14)</f>
        <v/>
      </c>
    </row>
    <row r="20855">
      <c r="J20855">
        <f>IFERROR(__xludf.DUMMYFUNCTION("""COMPUTED_VALUE"""),"Colorado, US")</f>
        <v/>
      </c>
      <c r="K20855">
        <f>IFERROR(__xludf.DUMMYFUNCTION("""COMPUTED_VALUE"""),205.12)</f>
        <v/>
      </c>
    </row>
    <row r="20856">
      <c r="J20856">
        <f>IFERROR(__xludf.DUMMYFUNCTION("""COMPUTED_VALUE"""),"Granby, Sorel-Tracy")</f>
        <v/>
      </c>
      <c r="K20856">
        <f>IFERROR(__xludf.DUMMYFUNCTION("""COMPUTED_VALUE"""),204.86)</f>
        <v/>
      </c>
    </row>
    <row r="20857">
      <c r="J20857">
        <f>IFERROR(__xludf.DUMMYFUNCTION("""COMPUTED_VALUE"""),"Vancouver, British Columbia &amp; Moncton, New Brunswick")</f>
        <v/>
      </c>
      <c r="K20857">
        <f>IFERROR(__xludf.DUMMYFUNCTION("""COMPUTED_VALUE"""),204.85)</f>
        <v/>
      </c>
    </row>
    <row r="20858">
      <c r="J20858">
        <f>IFERROR(__xludf.DUMMYFUNCTION("""COMPUTED_VALUE"""),"Ottawa (ON) and Saint-Jean-sur-Richelieu (QC)")</f>
        <v/>
      </c>
      <c r="K20858">
        <f>IFERROR(__xludf.DUMMYFUNCTION("""COMPUTED_VALUE"""),204.8)</f>
        <v/>
      </c>
    </row>
    <row r="20859">
      <c r="J20859">
        <f>IFERROR(__xludf.DUMMYFUNCTION("""COMPUTED_VALUE"""),"Delson / St-Isidore / Châteauguay")</f>
        <v/>
      </c>
      <c r="K20859">
        <f>IFERROR(__xludf.DUMMYFUNCTION("""COMPUTED_VALUE"""),204.6)</f>
        <v/>
      </c>
    </row>
    <row r="20860">
      <c r="J20860">
        <f>IFERROR(__xludf.DUMMYFUNCTION("""COMPUTED_VALUE"""),"New Glasgow, Nova Scotia")</f>
        <v/>
      </c>
      <c r="K20860">
        <f>IFERROR(__xludf.DUMMYFUNCTION("""COMPUTED_VALUE"""),204.6)</f>
        <v/>
      </c>
    </row>
    <row r="20861">
      <c r="J20861">
        <f>IFERROR(__xludf.DUMMYFUNCTION("""COMPUTED_VALUE"""),"Victoriaville / Drummondville")</f>
        <v/>
      </c>
      <c r="K20861">
        <f>IFERROR(__xludf.DUMMYFUNCTION("""COMPUTED_VALUE"""),204.42)</f>
        <v/>
      </c>
    </row>
    <row r="20862">
      <c r="J20862">
        <f>IFERROR(__xludf.DUMMYFUNCTION("""COMPUTED_VALUE"""),"Frankford, Ontario, Canada")</f>
        <v/>
      </c>
      <c r="K20862">
        <f>IFERROR(__xludf.DUMMYFUNCTION("""COMPUTED_VALUE"""),203.98)</f>
        <v/>
      </c>
    </row>
    <row r="20863">
      <c r="J20863">
        <f>IFERROR(__xludf.DUMMYFUNCTION("""COMPUTED_VALUE"""),"Régina")</f>
        <v/>
      </c>
      <c r="K20863">
        <f>IFERROR(__xludf.DUMMYFUNCTION("""COMPUTED_VALUE"""),203.8)</f>
        <v/>
      </c>
    </row>
    <row r="20864">
      <c r="J20864">
        <f>IFERROR(__xludf.DUMMYFUNCTION("""COMPUTED_VALUE"""),"Beloeil, QC and Ottawa, ON")</f>
        <v/>
      </c>
      <c r="K20864">
        <f>IFERROR(__xludf.DUMMYFUNCTION("""COMPUTED_VALUE"""),203.32)</f>
        <v/>
      </c>
    </row>
    <row r="20865">
      <c r="J20865">
        <f>IFERROR(__xludf.DUMMYFUNCTION("""COMPUTED_VALUE"""),"Brighton, ON")</f>
        <v/>
      </c>
      <c r="K20865">
        <f>IFERROR(__xludf.DUMMYFUNCTION("""COMPUTED_VALUE"""),203.2)</f>
        <v/>
      </c>
    </row>
    <row r="20866">
      <c r="J20866">
        <f>IFERROR(__xludf.DUMMYFUNCTION("""COMPUTED_VALUE"""),"Vandenberg California US")</f>
        <v/>
      </c>
      <c r="K20866">
        <f>IFERROR(__xludf.DUMMYFUNCTION("""COMPUTED_VALUE"""),203.2)</f>
        <v/>
      </c>
    </row>
    <row r="20867">
      <c r="J20867">
        <f>IFERROR(__xludf.DUMMYFUNCTION("""COMPUTED_VALUE"""),"Montreal and Shawinigan , QC")</f>
        <v/>
      </c>
      <c r="K20867">
        <f>IFERROR(__xludf.DUMMYFUNCTION("""COMPUTED_VALUE"""),203.13)</f>
        <v/>
      </c>
    </row>
    <row r="20868">
      <c r="J20868">
        <f>IFERROR(__xludf.DUMMYFUNCTION("""COMPUTED_VALUE"""),"Beaumont-Hamel - Arras")</f>
        <v/>
      </c>
      <c r="K20868">
        <f>IFERROR(__xludf.DUMMYFUNCTION("""COMPUTED_VALUE"""),203.11)</f>
        <v/>
      </c>
    </row>
    <row r="20869">
      <c r="J20869">
        <f>IFERROR(__xludf.DUMMYFUNCTION("""COMPUTED_VALUE"""),"New Glasgow, Hopewell, Lorne, Pictou &amp; Green Hill")</f>
        <v/>
      </c>
      <c r="K20869">
        <f>IFERROR(__xludf.DUMMYFUNCTION("""COMPUTED_VALUE"""),203.04)</f>
        <v/>
      </c>
    </row>
    <row r="20870">
      <c r="J20870">
        <f>IFERROR(__xludf.DUMMYFUNCTION("""COMPUTED_VALUE"""),"Kahnawà:ke, Quebec, Canada")</f>
        <v/>
      </c>
      <c r="K20870">
        <f>IFERROR(__xludf.DUMMYFUNCTION("""COMPUTED_VALUE"""),202.4)</f>
        <v/>
      </c>
    </row>
    <row r="20871">
      <c r="J20871">
        <f>IFERROR(__xludf.DUMMYFUNCTION("""COMPUTED_VALUE"""),"Alma, Dolbeau-Mistassini")</f>
        <v/>
      </c>
      <c r="K20871">
        <f>IFERROR(__xludf.DUMMYFUNCTION("""COMPUTED_VALUE"""),202.21)</f>
        <v/>
      </c>
    </row>
    <row r="20872">
      <c r="J20872">
        <f>IFERROR(__xludf.DUMMYFUNCTION("""COMPUTED_VALUE"""),"Shawinigan, Quebec, Canada / Ottawa, Ontario, Canada")</f>
        <v/>
      </c>
      <c r="K20872">
        <f>IFERROR(__xludf.DUMMYFUNCTION("""COMPUTED_VALUE"""),201.72)</f>
        <v/>
      </c>
    </row>
    <row r="20873">
      <c r="J20873">
        <f>IFERROR(__xludf.DUMMYFUNCTION("""COMPUTED_VALUE"""),"Ottawa, Ontario,Canada / Montreal, Quebec, Canada")</f>
        <v/>
      </c>
      <c r="K20873">
        <f>IFERROR(__xludf.DUMMYFUNCTION("""COMPUTED_VALUE"""),201.7)</f>
        <v/>
      </c>
    </row>
    <row r="20874">
      <c r="J20874">
        <f>IFERROR(__xludf.DUMMYFUNCTION("""COMPUTED_VALUE"""),"Rimouski, Gatineau, Amos")</f>
        <v/>
      </c>
      <c r="K20874">
        <f>IFERROR(__xludf.DUMMYFUNCTION("""COMPUTED_VALUE"""),201.68)</f>
        <v/>
      </c>
    </row>
    <row r="20875">
      <c r="J20875">
        <f>IFERROR(__xludf.DUMMYFUNCTION("""COMPUTED_VALUE"""),"Bridgewater, Nova Scotia, Canada; Shelburne, Nova Scotia, Canada; Yarmouth, Nova Scotia, Canada")</f>
        <v/>
      </c>
      <c r="K20875">
        <f>IFERROR(__xludf.DUMMYFUNCTION("""COMPUTED_VALUE"""),201.56)</f>
        <v/>
      </c>
    </row>
    <row r="20876">
      <c r="J20876">
        <f>IFERROR(__xludf.DUMMYFUNCTION("""COMPUTED_VALUE"""),"Fort Saskatchewan, Alberta, Canada")</f>
        <v/>
      </c>
      <c r="K20876">
        <f>IFERROR(__xludf.DUMMYFUNCTION("""COMPUTED_VALUE"""),201.36)</f>
        <v/>
      </c>
    </row>
    <row r="20877">
      <c r="J20877">
        <f>IFERROR(__xludf.DUMMYFUNCTION("""COMPUTED_VALUE"""),"Oka, Quebec / Montreal, Quebec, Canada")</f>
        <v/>
      </c>
      <c r="K20877">
        <f>IFERROR(__xludf.DUMMYFUNCTION("""COMPUTED_VALUE"""),201.03)</f>
        <v/>
      </c>
    </row>
    <row r="20878">
      <c r="J20878">
        <f>IFERROR(__xludf.DUMMYFUNCTION("""COMPUTED_VALUE"""),"Vancouver, and Victoria, British Columbia, Canada")</f>
        <v/>
      </c>
      <c r="K20878">
        <f>IFERROR(__xludf.DUMMYFUNCTION("""COMPUTED_VALUE"""),201)</f>
        <v/>
      </c>
    </row>
    <row r="20879">
      <c r="J20879">
        <f>IFERROR(__xludf.DUMMYFUNCTION("""COMPUTED_VALUE"""),"Southport, Manitoba")</f>
        <v/>
      </c>
      <c r="K20879">
        <f>IFERROR(__xludf.DUMMYFUNCTION("""COMPUTED_VALUE"""),200.81)</f>
        <v/>
      </c>
    </row>
    <row r="20880">
      <c r="J20880">
        <f>IFERROR(__xludf.DUMMYFUNCTION("""COMPUTED_VALUE"""),"Canning, Nova Scotia, Canada")</f>
        <v/>
      </c>
      <c r="K20880">
        <f>IFERROR(__xludf.DUMMYFUNCTION("""COMPUTED_VALUE"""),200.78)</f>
        <v/>
      </c>
    </row>
    <row r="20881">
      <c r="J20881">
        <f>IFERROR(__xludf.DUMMYFUNCTION("""COMPUTED_VALUE"""),"Nairobi, Kenya; Nairobi, Kenya")</f>
        <v/>
      </c>
      <c r="K20881">
        <f>IFERROR(__xludf.DUMMYFUNCTION("""COMPUTED_VALUE"""),200.73)</f>
        <v/>
      </c>
    </row>
    <row r="20882">
      <c r="J20882">
        <f>IFERROR(__xludf.DUMMYFUNCTION("""COMPUTED_VALUE"""),"Salle Sarto Des noyers - 1335 Chemin du Bord du Lac, Dorval")</f>
        <v/>
      </c>
      <c r="K20882">
        <f>IFERROR(__xludf.DUMMYFUNCTION("""COMPUTED_VALUE"""),200.6)</f>
        <v/>
      </c>
    </row>
    <row r="20883">
      <c r="J20883">
        <f>IFERROR(__xludf.DUMMYFUNCTION("""COMPUTED_VALUE"""),"Roberval, Bagotville, L'Anse-St-Jean")</f>
        <v/>
      </c>
      <c r="K20883">
        <f>IFERROR(__xludf.DUMMYFUNCTION("""COMPUTED_VALUE"""),200.56)</f>
        <v/>
      </c>
    </row>
    <row r="20884">
      <c r="J20884">
        <f>IFERROR(__xludf.DUMMYFUNCTION("""COMPUTED_VALUE"""),"Ottawa - Lacolle - Ottawa")</f>
        <v/>
      </c>
      <c r="K20884">
        <f>IFERROR(__xludf.DUMMYFUNCTION("""COMPUTED_VALUE"""),200.53)</f>
        <v/>
      </c>
    </row>
    <row r="20885">
      <c r="J20885">
        <f>IFERROR(__xludf.DUMMYFUNCTION("""COMPUTED_VALUE"""),"Montreal, Trois-Rivieres, Quebec, (Canada)")</f>
        <v/>
      </c>
      <c r="K20885">
        <f>IFERROR(__xludf.DUMMYFUNCTION("""COMPUTED_VALUE"""),200.37)</f>
        <v/>
      </c>
    </row>
    <row r="20886">
      <c r="J20886">
        <f>IFERROR(__xludf.DUMMYFUNCTION("""COMPUTED_VALUE"""),"9 Bd Montclair, Gatineau, Qc J8y 2e2, Canada")</f>
        <v/>
      </c>
      <c r="K20886">
        <f>IFERROR(__xludf.DUMMYFUNCTION("""COMPUTED_VALUE"""),200.299999999999)</f>
        <v/>
      </c>
    </row>
    <row r="20887">
      <c r="J20887">
        <f>IFERROR(__xludf.DUMMYFUNCTION("""COMPUTED_VALUE"""),"Kirkland, QC")</f>
        <v/>
      </c>
      <c r="K20887">
        <f>IFERROR(__xludf.DUMMYFUNCTION("""COMPUTED_VALUE"""),200.1)</f>
        <v/>
      </c>
    </row>
    <row r="20888">
      <c r="J20888">
        <f>IFERROR(__xludf.DUMMYFUNCTION("""COMPUTED_VALUE"""),"Boucherville, Québec")</f>
        <v/>
      </c>
      <c r="K20888">
        <f>IFERROR(__xludf.DUMMYFUNCTION("""COMPUTED_VALUE"""),200.01)</f>
        <v/>
      </c>
    </row>
    <row r="20889">
      <c r="J20889">
        <f>IFERROR(__xludf.DUMMYFUNCTION("""COMPUTED_VALUE"""),"Amos, Drummondville, Québec")</f>
        <v/>
      </c>
      <c r="K20889">
        <f>IFERROR(__xludf.DUMMYFUNCTION("""COMPUTED_VALUE"""),199.88)</f>
        <v/>
      </c>
    </row>
    <row r="20890">
      <c r="J20890">
        <f>IFERROR(__xludf.DUMMYFUNCTION("""COMPUTED_VALUE"""),"Mont-Laurier, QC")</f>
        <v/>
      </c>
      <c r="K20890">
        <f>IFERROR(__xludf.DUMMYFUNCTION("""COMPUTED_VALUE"""),199.8)</f>
        <v/>
      </c>
    </row>
    <row r="20891">
      <c r="J20891">
        <f>IFERROR(__xludf.DUMMYFUNCTION("""COMPUTED_VALUE"""),"St. Martins, Riverview and Moncton, New Brunswick")</f>
        <v/>
      </c>
      <c r="K20891">
        <f>IFERROR(__xludf.DUMMYFUNCTION("""COMPUTED_VALUE"""),199.58)</f>
        <v/>
      </c>
    </row>
    <row r="20892">
      <c r="J20892">
        <f>IFERROR(__xludf.DUMMYFUNCTION("""COMPUTED_VALUE"""),"Notre-Dame-du-Bon-Conseil, Victoriaville")</f>
        <v/>
      </c>
      <c r="K20892">
        <f>IFERROR(__xludf.DUMMYFUNCTION("""COMPUTED_VALUE"""),199.09)</f>
        <v/>
      </c>
    </row>
    <row r="20893">
      <c r="J20893">
        <f>IFERROR(__xludf.DUMMYFUNCTION("""COMPUTED_VALUE"""),"Val d'Or, Mirabel, Rimouski")</f>
        <v/>
      </c>
      <c r="K20893">
        <f>IFERROR(__xludf.DUMMYFUNCTION("""COMPUTED_VALUE"""),199.02)</f>
        <v/>
      </c>
    </row>
    <row r="20894">
      <c r="J20894">
        <f>IFERROR(__xludf.DUMMYFUNCTION("""COMPUTED_VALUE"""),"Cornwall, Ontario &amp; Montreal, Quebec")</f>
        <v/>
      </c>
      <c r="K20894">
        <f>IFERROR(__xludf.DUMMYFUNCTION("""COMPUTED_VALUE"""),198.93)</f>
        <v/>
      </c>
    </row>
    <row r="20895">
      <c r="J20895">
        <f>IFERROR(__xludf.DUMMYFUNCTION("""COMPUTED_VALUE"""),"Neil's Harbour, Nova Scotia, Canada")</f>
        <v/>
      </c>
      <c r="K20895">
        <f>IFERROR(__xludf.DUMMYFUNCTION("""COMPUTED_VALUE"""),198.73)</f>
        <v/>
      </c>
    </row>
    <row r="20896">
      <c r="J20896">
        <f>IFERROR(__xludf.DUMMYFUNCTION("""COMPUTED_VALUE"""),"Shawinigan, Quebec, Montreal")</f>
        <v/>
      </c>
      <c r="K20896">
        <f>IFERROR(__xludf.DUMMYFUNCTION("""COMPUTED_VALUE"""),198.19)</f>
        <v/>
      </c>
    </row>
    <row r="20897">
      <c r="J20897">
        <f>IFERROR(__xludf.DUMMYFUNCTION("""COMPUTED_VALUE"""),"Highgrove, Gloucestershire")</f>
        <v/>
      </c>
      <c r="K20897">
        <f>IFERROR(__xludf.DUMMYFUNCTION("""COMPUTED_VALUE"""),197.82)</f>
        <v/>
      </c>
    </row>
    <row r="20898">
      <c r="J20898">
        <f>IFERROR(__xludf.DUMMYFUNCTION("""COMPUTED_VALUE"""),"Brantford, London, Ontario, Canada")</f>
        <v/>
      </c>
      <c r="K20898">
        <f>IFERROR(__xludf.DUMMYFUNCTION("""COMPUTED_VALUE"""),197.67)</f>
        <v/>
      </c>
    </row>
    <row r="20899">
      <c r="J20899">
        <f>IFERROR(__xludf.DUMMYFUNCTION("""COMPUTED_VALUE"""),"Sainte Anne-des-Plaines, Quebec, Canada")</f>
        <v/>
      </c>
      <c r="K20899">
        <f>IFERROR(__xludf.DUMMYFUNCTION("""COMPUTED_VALUE"""),197.6)</f>
        <v/>
      </c>
    </row>
    <row r="20900">
      <c r="J20900">
        <f>IFERROR(__xludf.DUMMYFUNCTION("""COMPUTED_VALUE"""),"Montreal, Sherbrooke, Quebec (Canada)")</f>
        <v/>
      </c>
      <c r="K20900">
        <f>IFERROR(__xludf.DUMMYFUNCTION("""COMPUTED_VALUE"""),197.35)</f>
        <v/>
      </c>
    </row>
    <row r="20901">
      <c r="J20901">
        <f>IFERROR(__xludf.DUMMYFUNCTION("""COMPUTED_VALUE"""),"La Doré,
La Baie")</f>
        <v/>
      </c>
      <c r="K20901">
        <f>IFERROR(__xludf.DUMMYFUNCTION("""COMPUTED_VALUE"""),197.22)</f>
        <v/>
      </c>
    </row>
    <row r="20902">
      <c r="J20902">
        <f>IFERROR(__xludf.DUMMYFUNCTION("""COMPUTED_VALUE"""),"London, Ontario, Canada; Ingersoll, Ontario, Canada")</f>
        <v/>
      </c>
      <c r="K20902">
        <f>IFERROR(__xludf.DUMMYFUNCTION("""COMPUTED_VALUE"""),197.02)</f>
        <v/>
      </c>
    </row>
    <row r="20903">
      <c r="J20903">
        <f>IFERROR(__xludf.DUMMYFUNCTION("""COMPUTED_VALUE"""),"Bécancour, Trois-Rivières")</f>
        <v/>
      </c>
      <c r="K20903">
        <f>IFERROR(__xludf.DUMMYFUNCTION("""COMPUTED_VALUE"""),197.01)</f>
        <v/>
      </c>
    </row>
    <row r="20904">
      <c r="J20904">
        <f>IFERROR(__xludf.DUMMYFUNCTION("""COMPUTED_VALUE"""),"CBSA Rigaud, QC")</f>
        <v/>
      </c>
      <c r="K20904">
        <f>IFERROR(__xludf.DUMMYFUNCTION("""COMPUTED_VALUE"""),196.74)</f>
        <v/>
      </c>
    </row>
    <row r="20905">
      <c r="J20905">
        <f>IFERROR(__xludf.DUMMYFUNCTION("""COMPUTED_VALUE"""),"Whistler, British Columbia, Canada; Pemberton, British Columbia, Canada")</f>
        <v/>
      </c>
      <c r="K20905">
        <f>IFERROR(__xludf.DUMMYFUNCTION("""COMPUTED_VALUE"""),196.7)</f>
        <v/>
      </c>
    </row>
    <row r="20906">
      <c r="J20906">
        <f>IFERROR(__xludf.DUMMYFUNCTION("""COMPUTED_VALUE"""),"Trenton and Borden")</f>
        <v/>
      </c>
      <c r="K20906">
        <f>IFERROR(__xludf.DUMMYFUNCTION("""COMPUTED_VALUE"""),196.6)</f>
        <v/>
      </c>
    </row>
    <row r="20907">
      <c r="J20907">
        <f>IFERROR(__xludf.DUMMYFUNCTION("""COMPUTED_VALUE"""),"Toronto, Ontario, Canada; Timmins, Ontario, Canada; Sudbury, Ontario, Canada; Sault Ste. Marie, Ontario, Canada")</f>
        <v/>
      </c>
      <c r="K20907">
        <f>IFERROR(__xludf.DUMMYFUNCTION("""COMPUTED_VALUE"""),196.27)</f>
        <v/>
      </c>
    </row>
    <row r="20908">
      <c r="J20908">
        <f>IFERROR(__xludf.DUMMYFUNCTION("""COMPUTED_VALUE"""),"Niagara Falls, Ontario (Canada)")</f>
        <v/>
      </c>
      <c r="K20908">
        <f>IFERROR(__xludf.DUMMYFUNCTION("""COMPUTED_VALUE"""),195.95)</f>
        <v/>
      </c>
    </row>
    <row r="20909">
      <c r="J20909">
        <f>IFERROR(__xludf.DUMMYFUNCTION("""COMPUTED_VALUE"""),"Montreal, 
Quebec, 
Cananda")</f>
        <v/>
      </c>
      <c r="K20909">
        <f>IFERROR(__xludf.DUMMYFUNCTION("""COMPUTED_VALUE"""),195.91)</f>
        <v/>
      </c>
    </row>
    <row r="20910">
      <c r="J20910">
        <f>IFERROR(__xludf.DUMMYFUNCTION("""COMPUTED_VALUE"""),"Marystown, Newfoundland and Labrador, Canada; Clarenville, Newfoundland and Labrador, Canada")</f>
        <v/>
      </c>
      <c r="K20910">
        <f>IFERROR(__xludf.DUMMYFUNCTION("""COMPUTED_VALUE"""),195.9)</f>
        <v/>
      </c>
    </row>
    <row r="20911">
      <c r="J20911">
        <f>IFERROR(__xludf.DUMMYFUNCTION("""COMPUTED_VALUE"""),"Kingsley, New Brunswick, Canada; Asbestos, Quebec, Canada")</f>
        <v/>
      </c>
      <c r="K20911">
        <f>IFERROR(__xludf.DUMMYFUNCTION("""COMPUTED_VALUE"""),195.53)</f>
        <v/>
      </c>
    </row>
    <row r="20912">
      <c r="J20912">
        <f>IFERROR(__xludf.DUMMYFUNCTION("""COMPUTED_VALUE"""),"Wakefield, QC, and Ottawa, ON")</f>
        <v/>
      </c>
      <c r="K20912">
        <f>IFERROR(__xludf.DUMMYFUNCTION("""COMPUTED_VALUE"""),195.48)</f>
        <v/>
      </c>
    </row>
    <row r="20913">
      <c r="J20913">
        <f>IFERROR(__xludf.DUMMYFUNCTION("""COMPUTED_VALUE"""),"Montreal and Ste-Foy, Quebec")</f>
        <v/>
      </c>
      <c r="K20913">
        <f>IFERROR(__xludf.DUMMYFUNCTION("""COMPUTED_VALUE"""),195.28)</f>
        <v/>
      </c>
    </row>
    <row r="20914">
      <c r="J20914">
        <f>IFERROR(__xludf.DUMMYFUNCTION("""COMPUTED_VALUE"""),"Summerside; Trout River; Mill River; Morell; New Annan, Prince Edward Island")</f>
        <v/>
      </c>
      <c r="K20914">
        <f>IFERROR(__xludf.DUMMYFUNCTION("""COMPUTED_VALUE"""),195.06)</f>
        <v/>
      </c>
    </row>
    <row r="20915">
      <c r="J20915">
        <f>IFERROR(__xludf.DUMMYFUNCTION("""COMPUTED_VALUE"""),"Sherbrooke Quebec")</f>
        <v/>
      </c>
      <c r="K20915">
        <f>IFERROR(__xludf.DUMMYFUNCTION("""COMPUTED_VALUE"""),195)</f>
        <v/>
      </c>
    </row>
    <row r="20916">
      <c r="J20916">
        <f>IFERROR(__xludf.DUMMYFUNCTION("""COMPUTED_VALUE"""),"Ajax, ON")</f>
        <v/>
      </c>
      <c r="K20916">
        <f>IFERROR(__xludf.DUMMYFUNCTION("""COMPUTED_VALUE"""),194.81)</f>
        <v/>
      </c>
    </row>
    <row r="20917">
      <c r="J20917">
        <f>IFERROR(__xludf.DUMMYFUNCTION("""COMPUTED_VALUE"""),"Portland ME")</f>
        <v/>
      </c>
      <c r="K20917">
        <f>IFERROR(__xludf.DUMMYFUNCTION("""COMPUTED_VALUE"""),194.7)</f>
        <v/>
      </c>
    </row>
    <row r="20918">
      <c r="J20918">
        <f>IFERROR(__xludf.DUMMYFUNCTION("""COMPUTED_VALUE"""),"Strathmere, Ontario")</f>
        <v/>
      </c>
      <c r="K20918">
        <f>IFERROR(__xludf.DUMMYFUNCTION("""COMPUTED_VALUE"""),194.38)</f>
        <v/>
      </c>
    </row>
    <row r="20919">
      <c r="J20919">
        <f>IFERROR(__xludf.DUMMYFUNCTION("""COMPUTED_VALUE"""),"Roberval, Val-d'Or")</f>
        <v/>
      </c>
      <c r="K20919">
        <f>IFERROR(__xludf.DUMMYFUNCTION("""COMPUTED_VALUE"""),194.15)</f>
        <v/>
      </c>
    </row>
    <row r="20920">
      <c r="J20920">
        <f>IFERROR(__xludf.DUMMYFUNCTION("""COMPUTED_VALUE"""),"Vaudreuil, QC")</f>
        <v/>
      </c>
      <c r="K20920">
        <f>IFERROR(__xludf.DUMMYFUNCTION("""COMPUTED_VALUE"""),193.8)</f>
        <v/>
      </c>
    </row>
    <row r="20921">
      <c r="J20921">
        <f>IFERROR(__xludf.DUMMYFUNCTION("""COMPUTED_VALUE"""),"Verdun")</f>
        <v/>
      </c>
      <c r="K20921">
        <f>IFERROR(__xludf.DUMMYFUNCTION("""COMPUTED_VALUE"""),193.75)</f>
        <v/>
      </c>
    </row>
    <row r="20922">
      <c r="J20922">
        <f>IFERROR(__xludf.DUMMYFUNCTION("""COMPUTED_VALUE"""),"Montreal, Orford, Bromont, Quebec, (Canada)")</f>
        <v/>
      </c>
      <c r="K20922">
        <f>IFERROR(__xludf.DUMMYFUNCTION("""COMPUTED_VALUE"""),193.74)</f>
        <v/>
      </c>
    </row>
    <row r="20923">
      <c r="J20923">
        <f>IFERROR(__xludf.DUMMYFUNCTION("""COMPUTED_VALUE"""),"Thailand, India, Japan, Sri Lanka and China")</f>
        <v/>
      </c>
      <c r="K20923">
        <f>IFERROR(__xludf.DUMMYFUNCTION("""COMPUTED_VALUE"""),193.02)</f>
        <v/>
      </c>
    </row>
    <row r="20924">
      <c r="J20924">
        <f>IFERROR(__xludf.DUMMYFUNCTION("""COMPUTED_VALUE"""),"Sackville, New Brunswick and Saint John, New Brunswick")</f>
        <v/>
      </c>
      <c r="K20924">
        <f>IFERROR(__xludf.DUMMYFUNCTION("""COMPUTED_VALUE"""),192.91)</f>
        <v/>
      </c>
    </row>
    <row r="20925">
      <c r="J20925">
        <f>IFERROR(__xludf.DUMMYFUNCTION("""COMPUTED_VALUE"""),"Hamilton, Ontario/Brantford, Ontario")</f>
        <v/>
      </c>
      <c r="K20925">
        <f>IFERROR(__xludf.DUMMYFUNCTION("""COMPUTED_VALUE"""),192.56)</f>
        <v/>
      </c>
    </row>
    <row r="20926">
      <c r="J20926">
        <f>IFERROR(__xludf.DUMMYFUNCTION("""COMPUTED_VALUE"""),"Saint-Boniface, Québec")</f>
        <v/>
      </c>
      <c r="K20926">
        <f>IFERROR(__xludf.DUMMYFUNCTION("""COMPUTED_VALUE"""),192.36)</f>
        <v/>
      </c>
    </row>
    <row r="20927">
      <c r="J20927">
        <f>IFERROR(__xludf.DUMMYFUNCTION("""COMPUTED_VALUE"""),"Sherrington, Quebec")</f>
        <v/>
      </c>
      <c r="K20927">
        <f>IFERROR(__xludf.DUMMYFUNCTION("""COMPUTED_VALUE"""),192.31)</f>
        <v/>
      </c>
    </row>
    <row r="20928">
      <c r="J20928">
        <f>IFERROR(__xludf.DUMMYFUNCTION("""COMPUTED_VALUE"""),"Lévis and Trenton")</f>
        <v/>
      </c>
      <c r="K20928">
        <f>IFERROR(__xludf.DUMMYFUNCTION("""COMPUTED_VALUE"""),191.95)</f>
        <v/>
      </c>
    </row>
    <row r="20929">
      <c r="J20929">
        <f>IFERROR(__xludf.DUMMYFUNCTION("""COMPUTED_VALUE"""),"Pierrefonds-Roxboro, Quebec, Canada")</f>
        <v/>
      </c>
      <c r="K20929">
        <f>IFERROR(__xludf.DUMMYFUNCTION("""COMPUTED_VALUE"""),191.35)</f>
        <v/>
      </c>
    </row>
    <row r="20930">
      <c r="J20930">
        <f>IFERROR(__xludf.DUMMYFUNCTION("""COMPUTED_VALUE"""),"Kingsville, ON / Windsor, ON")</f>
        <v/>
      </c>
      <c r="K20930">
        <f>IFERROR(__xludf.DUMMYFUNCTION("""COMPUTED_VALUE"""),191.05)</f>
        <v/>
      </c>
    </row>
    <row r="20931">
      <c r="J20931">
        <f>IFERROR(__xludf.DUMMYFUNCTION("""COMPUTED_VALUE"""),"Montréal, Asbestos")</f>
        <v/>
      </c>
      <c r="K20931">
        <f>IFERROR(__xludf.DUMMYFUNCTION("""COMPUTED_VALUE"""),191.04)</f>
        <v/>
      </c>
    </row>
    <row r="20932">
      <c r="J20932">
        <f>IFERROR(__xludf.DUMMYFUNCTION("""COMPUTED_VALUE"""),"Montreal, Quebec, Canada /Shawinigan, Quebec, Canada")</f>
        <v/>
      </c>
      <c r="K20932">
        <f>IFERROR(__xludf.DUMMYFUNCTION("""COMPUTED_VALUE"""),190.8)</f>
        <v/>
      </c>
    </row>
    <row r="20933">
      <c r="J20933">
        <f>IFERROR(__xludf.DUMMYFUNCTION("""COMPUTED_VALUE"""),"Ottawa, Montréal, Asbestos")</f>
        <v/>
      </c>
      <c r="K20933">
        <f>IFERROR(__xludf.DUMMYFUNCTION("""COMPUTED_VALUE"""),190.5)</f>
        <v/>
      </c>
    </row>
    <row r="20934">
      <c r="J20934">
        <f>IFERROR(__xludf.DUMMYFUNCTION("""COMPUTED_VALUE"""),"St. John's, Newfoundland and Labrador; Canada")</f>
        <v/>
      </c>
      <c r="K20934">
        <f>IFERROR(__xludf.DUMMYFUNCTION("""COMPUTED_VALUE"""),190.4)</f>
        <v/>
      </c>
    </row>
    <row r="20935">
      <c r="J20935">
        <f>IFERROR(__xludf.DUMMYFUNCTION("""COMPUTED_VALUE"""),"Drummondville, St-Bruno")</f>
        <v/>
      </c>
      <c r="K20935">
        <f>IFERROR(__xludf.DUMMYFUNCTION("""COMPUTED_VALUE"""),190.15)</f>
        <v/>
      </c>
    </row>
    <row r="20936">
      <c r="J20936">
        <f>IFERROR(__xludf.DUMMYFUNCTION("""COMPUTED_VALUE"""),"Omaha - Nebraska")</f>
        <v/>
      </c>
      <c r="K20936">
        <f>IFERROR(__xludf.DUMMYFUNCTION("""COMPUTED_VALUE"""),189.98)</f>
        <v/>
      </c>
    </row>
    <row r="20937">
      <c r="J20937">
        <f>IFERROR(__xludf.DUMMYFUNCTION("""COMPUTED_VALUE"""),"Paraguay, Costa Rica")</f>
        <v/>
      </c>
      <c r="K20937">
        <f>IFERROR(__xludf.DUMMYFUNCTION("""COMPUTED_VALUE"""),189.84)</f>
        <v/>
      </c>
    </row>
    <row r="20938">
      <c r="J20938">
        <f>IFERROR(__xludf.DUMMYFUNCTION("""COMPUTED_VALUE"""),"Maine &amp; New Brunwick")</f>
        <v/>
      </c>
      <c r="K20938">
        <f>IFERROR(__xludf.DUMMYFUNCTION("""COMPUTED_VALUE"""),189.74)</f>
        <v/>
      </c>
    </row>
    <row r="20939">
      <c r="J20939">
        <f>IFERROR(__xludf.DUMMYFUNCTION("""COMPUTED_VALUE"""),"St-Paul, Alberta")</f>
        <v/>
      </c>
      <c r="K20939">
        <f>IFERROR(__xludf.DUMMYFUNCTION("""COMPUTED_VALUE"""),189.61)</f>
        <v/>
      </c>
    </row>
    <row r="20940">
      <c r="J20940">
        <f>IFERROR(__xludf.DUMMYFUNCTION("""COMPUTED_VALUE"""),"TRENTON, ONTARIO, CANADA")</f>
        <v/>
      </c>
      <c r="K20940">
        <f>IFERROR(__xludf.DUMMYFUNCTION("""COMPUTED_VALUE"""),189.58)</f>
        <v/>
      </c>
    </row>
    <row r="20941">
      <c r="J20941">
        <f>IFERROR(__xludf.DUMMYFUNCTION("""COMPUTED_VALUE"""),"Saint-Sauveur, QC, Canada")</f>
        <v/>
      </c>
      <c r="K20941">
        <f>IFERROR(__xludf.DUMMYFUNCTION("""COMPUTED_VALUE"""),189.4)</f>
        <v/>
      </c>
    </row>
    <row r="20942">
      <c r="J20942">
        <f>IFERROR(__xludf.DUMMYFUNCTION("""COMPUTED_VALUE"""),"Yamachiche, Quebec, Canada")</f>
        <v/>
      </c>
      <c r="K20942">
        <f>IFERROR(__xludf.DUMMYFUNCTION("""COMPUTED_VALUE"""),189.37)</f>
        <v/>
      </c>
    </row>
    <row r="20943">
      <c r="J20943">
        <f>IFERROR(__xludf.DUMMYFUNCTION("""COMPUTED_VALUE"""),"Saint-Eustache; Sainte-Thérèse, Quebec , Canada")</f>
        <v/>
      </c>
      <c r="K20943">
        <f>IFERROR(__xludf.DUMMYFUNCTION("""COMPUTED_VALUE"""),189.03)</f>
        <v/>
      </c>
    </row>
    <row r="20944">
      <c r="J20944">
        <f>IFERROR(__xludf.DUMMYFUNCTION("""COMPUTED_VALUE"""),"use of PMV from Embassy to Official Residence &amp; return")</f>
        <v/>
      </c>
      <c r="K20944">
        <f>IFERROR(__xludf.DUMMYFUNCTION("""COMPUTED_VALUE"""),189)</f>
        <v/>
      </c>
    </row>
    <row r="20945">
      <c r="J20945">
        <f>IFERROR(__xludf.DUMMYFUNCTION("""COMPUTED_VALUE"""),"Montréal, La Tuque")</f>
        <v/>
      </c>
      <c r="K20945">
        <f>IFERROR(__xludf.DUMMYFUNCTION("""COMPUTED_VALUE"""),188.89)</f>
        <v/>
      </c>
    </row>
    <row r="20946">
      <c r="J20946">
        <f>IFERROR(__xludf.DUMMYFUNCTION("""COMPUTED_VALUE"""),"Saint-Irénée, Quebec, Canada")</f>
        <v/>
      </c>
      <c r="K20946">
        <f>IFERROR(__xludf.DUMMYFUNCTION("""COMPUTED_VALUE"""),188.84)</f>
        <v/>
      </c>
    </row>
    <row r="20947">
      <c r="J20947">
        <f>IFERROR(__xludf.DUMMYFUNCTION("""COMPUTED_VALUE"""),"Québec, La Malbaie")</f>
        <v/>
      </c>
      <c r="K20947">
        <f>IFERROR(__xludf.DUMMYFUNCTION("""COMPUTED_VALUE"""),188.82)</f>
        <v/>
      </c>
    </row>
    <row r="20948">
      <c r="J20948">
        <f>IFERROR(__xludf.DUMMYFUNCTION("""COMPUTED_VALUE"""),"Drommondville")</f>
        <v/>
      </c>
      <c r="K20948">
        <f>IFERROR(__xludf.DUMMYFUNCTION("""COMPUTED_VALUE"""),188.62)</f>
        <v/>
      </c>
    </row>
    <row r="20949">
      <c r="J20949">
        <f>IFERROR(__xludf.DUMMYFUNCTION("""COMPUTED_VALUE"""),"Montmagny, QC")</f>
        <v/>
      </c>
      <c r="K20949">
        <f>IFERROR(__xludf.DUMMYFUNCTION("""COMPUTED_VALUE"""),188.59)</f>
        <v/>
      </c>
    </row>
    <row r="20950">
      <c r="J20950">
        <f>IFERROR(__xludf.DUMMYFUNCTION("""COMPUTED_VALUE"""),"Harbour Grace, Newfoundland and Labrador, Canada; Placentia, Newfoundland and Labrador, Canada")</f>
        <v/>
      </c>
      <c r="K20950">
        <f>IFERROR(__xludf.DUMMYFUNCTION("""COMPUTED_VALUE"""),188.57)</f>
        <v/>
      </c>
    </row>
    <row r="20951">
      <c r="J20951">
        <f>IFERROR(__xludf.DUMMYFUNCTION("""COMPUTED_VALUE"""),"Trois-Rivieres, Qc")</f>
        <v/>
      </c>
      <c r="K20951">
        <f>IFERROR(__xludf.DUMMYFUNCTION("""COMPUTED_VALUE"""),188.5)</f>
        <v/>
      </c>
    </row>
    <row r="20952">
      <c r="J20952">
        <f>IFERROR(__xludf.DUMMYFUNCTION("""COMPUTED_VALUE"""),"Kingston, Ont.")</f>
        <v/>
      </c>
      <c r="K20952">
        <f>IFERROR(__xludf.DUMMYFUNCTION("""COMPUTED_VALUE"""),188.32)</f>
        <v/>
      </c>
    </row>
    <row r="20953">
      <c r="J20953">
        <f>IFERROR(__xludf.DUMMYFUNCTION("""COMPUTED_VALUE"""),"North Bay, (Ontario) Canada")</f>
        <v/>
      </c>
      <c r="K20953">
        <f>IFERROR(__xludf.DUMMYFUNCTION("""COMPUTED_VALUE"""),188.2)</f>
        <v/>
      </c>
    </row>
    <row r="20954">
      <c r="J20954">
        <f>IFERROR(__xludf.DUMMYFUNCTION("""COMPUTED_VALUE"""),"Smiths Falls, Ontario, Ottawa")</f>
        <v/>
      </c>
      <c r="K20954">
        <f>IFERROR(__xludf.DUMMYFUNCTION("""COMPUTED_VALUE"""),188.16)</f>
        <v/>
      </c>
    </row>
    <row r="20955">
      <c r="J20955">
        <f>IFERROR(__xludf.DUMMYFUNCTION("""COMPUTED_VALUE"""),"London / Hamilton (Ontario)")</f>
        <v/>
      </c>
      <c r="K20955">
        <f>IFERROR(__xludf.DUMMYFUNCTION("""COMPUTED_VALUE"""),187.83)</f>
        <v/>
      </c>
    </row>
    <row r="20956">
      <c r="J20956">
        <f>IFERROR(__xludf.DUMMYFUNCTION("""COMPUTED_VALUE"""),"455 Blvd De La Carrière, Gatineau, QC")</f>
        <v/>
      </c>
      <c r="K20956">
        <f>IFERROR(__xludf.DUMMYFUNCTION("""COMPUTED_VALUE"""),187.76)</f>
        <v/>
      </c>
    </row>
    <row r="20957">
      <c r="J20957">
        <f>IFERROR(__xludf.DUMMYFUNCTION("""COMPUTED_VALUE"""),"Halifax, NS, Windsor, NS")</f>
        <v/>
      </c>
      <c r="K20957">
        <f>IFERROR(__xludf.DUMMYFUNCTION("""COMPUTED_VALUE"""),187.46)</f>
        <v/>
      </c>
    </row>
    <row r="20958">
      <c r="J20958">
        <f>IFERROR(__xludf.DUMMYFUNCTION("""COMPUTED_VALUE"""),"Toronto; North York, Ontario, Canada")</f>
        <v/>
      </c>
      <c r="K20958">
        <f>IFERROR(__xludf.DUMMYFUNCTION("""COMPUTED_VALUE"""),187.15)</f>
        <v/>
      </c>
    </row>
    <row r="20959">
      <c r="J20959">
        <f>IFERROR(__xludf.DUMMYFUNCTION("""COMPUTED_VALUE"""),"Argyle, Yarmouth, Meteghan and Windsor, Nova Scotia")</f>
        <v/>
      </c>
      <c r="K20959">
        <f>IFERROR(__xludf.DUMMYFUNCTION("""COMPUTED_VALUE"""),187.05)</f>
        <v/>
      </c>
    </row>
    <row r="20960">
      <c r="J20960">
        <f>IFERROR(__xludf.DUMMYFUNCTION("""COMPUTED_VALUE"""),"Bagotville, La Baie, Chicoutimi, Anse St-Jean")</f>
        <v/>
      </c>
      <c r="K20960">
        <f>IFERROR(__xludf.DUMMYFUNCTION("""COMPUTED_VALUE"""),186.93)</f>
        <v/>
      </c>
    </row>
    <row r="20961">
      <c r="J20961">
        <f>IFERROR(__xludf.DUMMYFUNCTION("""COMPUTED_VALUE"""),"Salaberry-de-Valleyfield, Montréal")</f>
        <v/>
      </c>
      <c r="K20961">
        <f>IFERROR(__xludf.DUMMYFUNCTION("""COMPUTED_VALUE"""),186.46)</f>
        <v/>
      </c>
    </row>
    <row r="20962">
      <c r="J20962">
        <f>IFERROR(__xludf.DUMMYFUNCTION("""COMPUTED_VALUE"""),"Anjou, Quebec, Canada")</f>
        <v/>
      </c>
      <c r="K20962">
        <f>IFERROR(__xludf.DUMMYFUNCTION("""COMPUTED_VALUE"""),186.3)</f>
        <v/>
      </c>
    </row>
    <row r="20963">
      <c r="J20963">
        <f>IFERROR(__xludf.DUMMYFUNCTION("""COMPUTED_VALUE"""),"Rouyn-Noranda, Val d'Or")</f>
        <v/>
      </c>
      <c r="K20963">
        <f>IFERROR(__xludf.DUMMYFUNCTION("""COMPUTED_VALUE"""),186.02)</f>
        <v/>
      </c>
    </row>
    <row r="20964">
      <c r="J20964">
        <f>IFERROR(__xludf.DUMMYFUNCTION("""COMPUTED_VALUE"""),"Kanehsatake, Quebec, Canada")</f>
        <v/>
      </c>
      <c r="K20964">
        <f>IFERROR(__xludf.DUMMYFUNCTION("""COMPUTED_VALUE"""),185.88)</f>
        <v/>
      </c>
    </row>
    <row r="20965">
      <c r="J20965">
        <f>IFERROR(__xludf.DUMMYFUNCTION("""COMPUTED_VALUE"""),"St-Félicien")</f>
        <v/>
      </c>
      <c r="K20965">
        <f>IFERROR(__xludf.DUMMYFUNCTION("""COMPUTED_VALUE"""),185.59)</f>
        <v/>
      </c>
    </row>
    <row r="20966">
      <c r="J20966">
        <f>IFERROR(__xludf.DUMMYFUNCTION("""COMPUTED_VALUE"""),"Calais, ME")</f>
        <v/>
      </c>
      <c r="K20966">
        <f>IFERROR(__xludf.DUMMYFUNCTION("""COMPUTED_VALUE"""),185.52)</f>
        <v/>
      </c>
    </row>
    <row r="20967">
      <c r="J20967">
        <f>IFERROR(__xludf.DUMMYFUNCTION("""COMPUTED_VALUE"""),"Mahone Bay, Nova Scotia, Canada")</f>
        <v/>
      </c>
      <c r="K20967">
        <f>IFERROR(__xludf.DUMMYFUNCTION("""COMPUTED_VALUE"""),185.44)</f>
        <v/>
      </c>
    </row>
    <row r="20968">
      <c r="J20968">
        <f>IFERROR(__xludf.DUMMYFUNCTION("""COMPUTED_VALUE"""),"Regina , SK")</f>
        <v/>
      </c>
      <c r="K20968">
        <f>IFERROR(__xludf.DUMMYFUNCTION("""COMPUTED_VALUE"""),185.29)</f>
        <v/>
      </c>
    </row>
    <row r="20969">
      <c r="J20969">
        <f>IFERROR(__xludf.DUMMYFUNCTION("""COMPUTED_VALUE"""),"CFB Borden")</f>
        <v/>
      </c>
      <c r="K20969">
        <f>IFERROR(__xludf.DUMMYFUNCTION("""COMPUTED_VALUE"""),184.59)</f>
        <v/>
      </c>
    </row>
    <row r="20970">
      <c r="J20970">
        <f>IFERROR(__xludf.DUMMYFUNCTION("""COMPUTED_VALUE"""),"Ottawa-Arras FR-Ottawa")</f>
        <v/>
      </c>
      <c r="K20970">
        <f>IFERROR(__xludf.DUMMYFUNCTION("""COMPUTED_VALUE"""),184.45)</f>
        <v/>
      </c>
    </row>
    <row r="20971">
      <c r="J20971">
        <f>IFERROR(__xludf.DUMMYFUNCTION("""COMPUTED_VALUE"""),"Hamilton, Toronto, Canada")</f>
        <v/>
      </c>
      <c r="K20971">
        <f>IFERROR(__xludf.DUMMYFUNCTION("""COMPUTED_VALUE"""),184.41)</f>
        <v/>
      </c>
    </row>
    <row r="20972">
      <c r="J20972">
        <f>IFERROR(__xludf.DUMMYFUNCTION("""COMPUTED_VALUE"""),"Red Deer, Alberta, Canada - Condor, Alberta, Canada")</f>
        <v/>
      </c>
      <c r="K20972">
        <f>IFERROR(__xludf.DUMMYFUNCTION("""COMPUTED_VALUE"""),184.39)</f>
        <v/>
      </c>
    </row>
    <row r="20973">
      <c r="J20973">
        <f>IFERROR(__xludf.DUMMYFUNCTION("""COMPUTED_VALUE"""),"Alert, Nunavut")</f>
        <v/>
      </c>
      <c r="K20973">
        <f>IFERROR(__xludf.DUMMYFUNCTION("""COMPUTED_VALUE"""),183.69)</f>
        <v/>
      </c>
    </row>
    <row r="20974">
      <c r="J20974">
        <f>IFERROR(__xludf.DUMMYFUNCTION("""COMPUTED_VALUE"""),"Drummondville, St-Hyacinthe, (Quebec)")</f>
        <v/>
      </c>
      <c r="K20974">
        <f>IFERROR(__xludf.DUMMYFUNCTION("""COMPUTED_VALUE"""),183.69)</f>
        <v/>
      </c>
    </row>
    <row r="20975">
      <c r="J20975">
        <f>IFERROR(__xludf.DUMMYFUNCTION("""COMPUTED_VALUE"""),"Etobicoke, ON, Canada")</f>
        <v/>
      </c>
      <c r="K20975">
        <f>IFERROR(__xludf.DUMMYFUNCTION("""COMPUTED_VALUE"""),183.68)</f>
        <v/>
      </c>
    </row>
    <row r="20976">
      <c r="J20976">
        <f>IFERROR(__xludf.DUMMYFUNCTION("""COMPUTED_VALUE"""),"Laval, Quebec
Canada")</f>
        <v/>
      </c>
      <c r="K20976">
        <f>IFERROR(__xludf.DUMMYFUNCTION("""COMPUTED_VALUE"""),183.54)</f>
        <v/>
      </c>
    </row>
    <row r="20977">
      <c r="J20977">
        <f>IFERROR(__xludf.DUMMYFUNCTION("""COMPUTED_VALUE"""),"Montréal, Quebec, Canada; St-Bruno, Quebec, Canada")</f>
        <v/>
      </c>
      <c r="K20977">
        <f>IFERROR(__xludf.DUMMYFUNCTION("""COMPUTED_VALUE"""),183.08)</f>
        <v/>
      </c>
    </row>
    <row r="20978">
      <c r="J20978">
        <f>IFERROR(__xludf.DUMMYFUNCTION("""COMPUTED_VALUE"""),"8 Wing Trenton and CFB Borden")</f>
        <v/>
      </c>
      <c r="K20978">
        <f>IFERROR(__xludf.DUMMYFUNCTION("""COMPUTED_VALUE"""),182.85)</f>
        <v/>
      </c>
    </row>
    <row r="20979">
      <c r="J20979">
        <f>IFERROR(__xludf.DUMMYFUNCTION("""COMPUTED_VALUE"""),"L'Islet, Quebec, Canada")</f>
        <v/>
      </c>
      <c r="K20979">
        <f>IFERROR(__xludf.DUMMYFUNCTION("""COMPUTED_VALUE"""),182.8)</f>
        <v/>
      </c>
    </row>
    <row r="20980">
      <c r="J20980">
        <f>IFERROR(__xludf.DUMMYFUNCTION("""COMPUTED_VALUE"""),"Laval, Murdochville, Boucherville, Montréal")</f>
        <v/>
      </c>
      <c r="K20980">
        <f>IFERROR(__xludf.DUMMYFUNCTION("""COMPUTED_VALUE"""),182.71)</f>
        <v/>
      </c>
    </row>
    <row r="20981">
      <c r="J20981">
        <f>IFERROR(__xludf.DUMMYFUNCTION("""COMPUTED_VALUE"""),"Danville")</f>
        <v/>
      </c>
      <c r="K20981">
        <f>IFERROR(__xludf.DUMMYFUNCTION("""COMPUTED_VALUE"""),182.3)</f>
        <v/>
      </c>
    </row>
    <row r="20982">
      <c r="J20982">
        <f>IFERROR(__xludf.DUMMYFUNCTION("""COMPUTED_VALUE"""),"Grenfell, Saskatchewan, Canada")</f>
        <v/>
      </c>
      <c r="K20982">
        <f>IFERROR(__xludf.DUMMYFUNCTION("""COMPUTED_VALUE"""),182.1)</f>
        <v/>
      </c>
    </row>
    <row r="20983">
      <c r="J20983">
        <f>IFERROR(__xludf.DUMMYFUNCTION("""COMPUTED_VALUE"""),"Hill Island, Ontario, Canada")</f>
        <v/>
      </c>
      <c r="K20983">
        <f>IFERROR(__xludf.DUMMYFUNCTION("""COMPUTED_VALUE"""),182.1)</f>
        <v/>
      </c>
    </row>
    <row r="20984">
      <c r="J20984">
        <f>IFERROR(__xludf.DUMMYFUNCTION("""COMPUTED_VALUE"""),"Ottawa Via private car to go and part of a business pack of tickets of 10 to return")</f>
        <v/>
      </c>
      <c r="K20984">
        <f>IFERROR(__xludf.DUMMYFUNCTION("""COMPUTED_VALUE"""),181.87)</f>
        <v/>
      </c>
    </row>
    <row r="20985">
      <c r="J20985">
        <f>IFERROR(__xludf.DUMMYFUNCTION("""COMPUTED_VALUE"""),"Assiniboia, Saskatchewan, Canada")</f>
        <v/>
      </c>
      <c r="K20985">
        <f>IFERROR(__xludf.DUMMYFUNCTION("""COMPUTED_VALUE"""),181.56)</f>
        <v/>
      </c>
    </row>
    <row r="20986">
      <c r="J20986">
        <f>IFERROR(__xludf.DUMMYFUNCTION("""COMPUTED_VALUE"""),"Montreal, Grand-Mère")</f>
        <v/>
      </c>
      <c r="K20986">
        <f>IFERROR(__xludf.DUMMYFUNCTION("""COMPUTED_VALUE"""),181.45)</f>
        <v/>
      </c>
    </row>
    <row r="20987">
      <c r="J20987">
        <f>IFERROR(__xludf.DUMMYFUNCTION("""COMPUTED_VALUE"""),"Peterborough, ON / Ottawa, ON")</f>
        <v/>
      </c>
      <c r="K20987">
        <f>IFERROR(__xludf.DUMMYFUNCTION("""COMPUTED_VALUE"""),180.95)</f>
        <v/>
      </c>
    </row>
    <row r="20988">
      <c r="J20988">
        <f>IFERROR(__xludf.DUMMYFUNCTION("""COMPUTED_VALUE"""),"Burlington, Hamilton, ON")</f>
        <v/>
      </c>
      <c r="K20988">
        <f>IFERROR(__xludf.DUMMYFUNCTION("""COMPUTED_VALUE"""),180.9)</f>
        <v/>
      </c>
    </row>
    <row r="20989">
      <c r="J20989">
        <f>IFERROR(__xludf.DUMMYFUNCTION("""COMPUTED_VALUE"""),"White Rock / Surrey / Vancouver / Richmond (British Colombia) Canada")</f>
        <v/>
      </c>
      <c r="K20989">
        <f>IFERROR(__xludf.DUMMYFUNCTION("""COMPUTED_VALUE"""),180.88)</f>
        <v/>
      </c>
    </row>
    <row r="20990">
      <c r="J20990">
        <f>IFERROR(__xludf.DUMMYFUNCTION("""COMPUTED_VALUE"""),"Charlottetown, Prince Edward Island, Canada; Abrams Village, Prince Edward Island, Canada; Montague, Prince Edward Island, Canada")</f>
        <v/>
      </c>
      <c r="K20990">
        <f>IFERROR(__xludf.DUMMYFUNCTION("""COMPUTED_VALUE"""),180.7)</f>
        <v/>
      </c>
    </row>
    <row r="20991">
      <c r="J20991">
        <f>IFERROR(__xludf.DUMMYFUNCTION("""COMPUTED_VALUE"""),"Prescott, Ontario, Canada")</f>
        <v/>
      </c>
      <c r="K20991">
        <f>IFERROR(__xludf.DUMMYFUNCTION("""COMPUTED_VALUE"""),179.85)</f>
        <v/>
      </c>
    </row>
    <row r="20992">
      <c r="J20992">
        <f>IFERROR(__xludf.DUMMYFUNCTION("""COMPUTED_VALUE"""),"Nov 11 - Jerusalem Nov 12 - Jerusalem Nov 13 - Jerusalem Nov 14 - Jerusalem Nov 16 - Jerusalem")</f>
        <v/>
      </c>
      <c r="K20992">
        <f>IFERROR(__xludf.DUMMYFUNCTION("""COMPUTED_VALUE"""),179.31)</f>
        <v/>
      </c>
    </row>
    <row r="20993">
      <c r="J20993">
        <f>IFERROR(__xludf.DUMMYFUNCTION("""COMPUTED_VALUE"""),"New York, ny")</f>
        <v/>
      </c>
      <c r="K20993">
        <f>IFERROR(__xludf.DUMMYFUNCTION("""COMPUTED_VALUE"""),178.39)</f>
        <v/>
      </c>
    </row>
    <row r="20994">
      <c r="J20994">
        <f>IFERROR(__xludf.DUMMYFUNCTION("""COMPUTED_VALUE"""),"Courseulles-sur-Mer and Sylly in Normandy")</f>
        <v/>
      </c>
      <c r="K20994">
        <f>IFERROR(__xludf.DUMMYFUNCTION("""COMPUTED_VALUE"""),178.1)</f>
        <v/>
      </c>
    </row>
    <row r="20995">
      <c r="J20995">
        <f>IFERROR(__xludf.DUMMYFUNCTION("""COMPUTED_VALUE"""),"Moose Jaw, Saskatchewan, Canada; Swift Current, Saskatchewan, Canada")</f>
        <v/>
      </c>
      <c r="K20995">
        <f>IFERROR(__xludf.DUMMYFUNCTION("""COMPUTED_VALUE"""),177.45)</f>
        <v/>
      </c>
    </row>
    <row r="20996">
      <c r="J20996">
        <f>IFERROR(__xludf.DUMMYFUNCTION("""COMPUTED_VALUE"""),"Barbaos, Grenada")</f>
        <v/>
      </c>
      <c r="K20996">
        <f>IFERROR(__xludf.DUMMYFUNCTION("""COMPUTED_VALUE"""),177.35)</f>
        <v/>
      </c>
    </row>
    <row r="20997">
      <c r="J20997">
        <f>IFERROR(__xludf.DUMMYFUNCTION("""COMPUTED_VALUE"""),"La Macaza, Quebec")</f>
        <v/>
      </c>
      <c r="K20997">
        <f>IFERROR(__xludf.DUMMYFUNCTION("""COMPUTED_VALUE"""),177.05)</f>
        <v/>
      </c>
    </row>
    <row r="20998">
      <c r="J20998">
        <f>IFERROR(__xludf.DUMMYFUNCTION("""COMPUTED_VALUE"""),"Washington, DC Area")</f>
        <v/>
      </c>
      <c r="K20998">
        <f>IFERROR(__xludf.DUMMYFUNCTION("""COMPUTED_VALUE"""),177)</f>
        <v/>
      </c>
    </row>
    <row r="20999">
      <c r="J20999">
        <f>IFERROR(__xludf.DUMMYFUNCTION("""COMPUTED_VALUE"""),"La Malbaie, Quebec")</f>
        <v/>
      </c>
      <c r="K20999">
        <f>IFERROR(__xludf.DUMMYFUNCTION("""COMPUTED_VALUE"""),176.92)</f>
        <v/>
      </c>
    </row>
    <row r="21000">
      <c r="J21000">
        <f>IFERROR(__xludf.DUMMYFUNCTION("""COMPUTED_VALUE"""),"Resolute Bay, Canada")</f>
        <v/>
      </c>
      <c r="K21000">
        <f>IFERROR(__xludf.DUMMYFUNCTION("""COMPUTED_VALUE"""),176.85)</f>
        <v/>
      </c>
    </row>
    <row r="21001">
      <c r="J21001">
        <f>IFERROR(__xludf.DUMMYFUNCTION("""COMPUTED_VALUE"""),"MCIA / Cornwall")</f>
        <v/>
      </c>
      <c r="K21001">
        <f>IFERROR(__xludf.DUMMYFUNCTION("""COMPUTED_VALUE"""),176.66)</f>
        <v/>
      </c>
    </row>
    <row r="21002">
      <c r="J21002">
        <f>IFERROR(__xludf.DUMMYFUNCTION("""COMPUTED_VALUE"""),"PERTH, OTTAWA, EDMONTON, OTTAWA, PERTH")</f>
        <v/>
      </c>
      <c r="K21002">
        <f>IFERROR(__xludf.DUMMYFUNCTION("""COMPUTED_VALUE"""),176.6)</f>
        <v/>
      </c>
    </row>
    <row r="21003">
      <c r="J21003">
        <f>IFERROR(__xludf.DUMMYFUNCTION("""COMPUTED_VALUE"""),"Toronto,  ON")</f>
        <v/>
      </c>
      <c r="K21003">
        <f>IFERROR(__xludf.DUMMYFUNCTION("""COMPUTED_VALUE"""),176.53)</f>
        <v/>
      </c>
    </row>
    <row r="21004">
      <c r="J21004">
        <f>IFERROR(__xludf.DUMMYFUNCTION("""COMPUTED_VALUE"""),"Saint-Narcisse, Quebec, Canada")</f>
        <v/>
      </c>
      <c r="K21004">
        <f>IFERROR(__xludf.DUMMYFUNCTION("""COMPUTED_VALUE"""),176.4)</f>
        <v/>
      </c>
    </row>
    <row r="21005">
      <c r="J21005">
        <f>IFERROR(__xludf.DUMMYFUNCTION("""COMPUTED_VALUE"""),"Montebello, PQ")</f>
        <v/>
      </c>
      <c r="K21005">
        <f>IFERROR(__xludf.DUMMYFUNCTION("""COMPUTED_VALUE"""),176)</f>
        <v/>
      </c>
    </row>
    <row r="21006">
      <c r="J21006">
        <f>IFERROR(__xludf.DUMMYFUNCTION("""COMPUTED_VALUE"""),"Sundre, Alberta")</f>
        <v/>
      </c>
      <c r="K21006">
        <f>IFERROR(__xludf.DUMMYFUNCTION("""COMPUTED_VALUE"""),176)</f>
        <v/>
      </c>
    </row>
    <row r="21007">
      <c r="J21007">
        <f>IFERROR(__xludf.DUMMYFUNCTION("""COMPUTED_VALUE"""),"Magog / Granby")</f>
        <v/>
      </c>
      <c r="K21007">
        <f>IFERROR(__xludf.DUMMYFUNCTION("""COMPUTED_VALUE"""),175.81)</f>
        <v/>
      </c>
    </row>
    <row r="21008">
      <c r="J21008">
        <f>IFERROR(__xludf.DUMMYFUNCTION("""COMPUTED_VALUE"""),"Calabogie Peaks Resort, Ottawa ON")</f>
        <v/>
      </c>
      <c r="K21008">
        <f>IFERROR(__xludf.DUMMYFUNCTION("""COMPUTED_VALUE"""),175.6)</f>
        <v/>
      </c>
    </row>
    <row r="21009">
      <c r="J21009">
        <f>IFERROR(__xludf.DUMMYFUNCTION("""COMPUTED_VALUE"""),"Lake  Louise, Alberta")</f>
        <v/>
      </c>
      <c r="K21009">
        <f>IFERROR(__xludf.DUMMYFUNCTION("""COMPUTED_VALUE"""),175.41)</f>
        <v/>
      </c>
    </row>
    <row r="21010">
      <c r="J21010">
        <f>IFERROR(__xludf.DUMMYFUNCTION("""COMPUTED_VALUE"""),"Ottawa, ON / Beijing, CN / Guangzhou, CN")</f>
        <v/>
      </c>
      <c r="K21010">
        <f>IFERROR(__xludf.DUMMYFUNCTION("""COMPUTED_VALUE"""),175.36)</f>
        <v/>
      </c>
    </row>
    <row r="21011">
      <c r="J21011">
        <f>IFERROR(__xludf.DUMMYFUNCTION("""COMPUTED_VALUE"""),"Montreal and Orford, Quebec, Canada")</f>
        <v/>
      </c>
      <c r="K21011">
        <f>IFERROR(__xludf.DUMMYFUNCTION("""COMPUTED_VALUE"""),175.2)</f>
        <v/>
      </c>
    </row>
    <row r="21012">
      <c r="J21012">
        <f>IFERROR(__xludf.DUMMYFUNCTION("""COMPUTED_VALUE"""),"Merritt, BC")</f>
        <v/>
      </c>
      <c r="K21012">
        <f>IFERROR(__xludf.DUMMYFUNCTION("""COMPUTED_VALUE"""),175.19)</f>
        <v/>
      </c>
    </row>
    <row r="21013">
      <c r="J21013">
        <f>IFERROR(__xludf.DUMMYFUNCTION("""COMPUTED_VALUE"""),"Ottawa/Kingston ON")</f>
        <v/>
      </c>
      <c r="K21013">
        <f>IFERROR(__xludf.DUMMYFUNCTION("""COMPUTED_VALUE"""),175.1)</f>
        <v/>
      </c>
    </row>
    <row r="21014">
      <c r="J21014">
        <f>IFERROR(__xludf.DUMMYFUNCTION("""COMPUTED_VALUE"""),"St.Catharines, Ontario (canada)")</f>
        <v/>
      </c>
      <c r="K21014">
        <f>IFERROR(__xludf.DUMMYFUNCTION("""COMPUTED_VALUE"""),175)</f>
        <v/>
      </c>
    </row>
    <row r="21015">
      <c r="J21015">
        <f>IFERROR(__xludf.DUMMYFUNCTION("""COMPUTED_VALUE"""),"St-Hyacinthe, Quebec; Drummondville, Quebec")</f>
        <v/>
      </c>
      <c r="K21015">
        <f>IFERROR(__xludf.DUMMYFUNCTION("""COMPUTED_VALUE"""),174.92)</f>
        <v/>
      </c>
    </row>
    <row r="21016">
      <c r="J21016">
        <f>IFERROR(__xludf.DUMMYFUNCTION("""COMPUTED_VALUE"""),"Abbotsford, British Columbia; Chilliwack, British Columbia; Coquitlam, British Columbia; Vancouver, British Columbia")</f>
        <v/>
      </c>
      <c r="K21016">
        <f>IFERROR(__xludf.DUMMYFUNCTION("""COMPUTED_VALUE"""),174.6)</f>
        <v/>
      </c>
    </row>
    <row r="21017">
      <c r="J21017">
        <f>IFERROR(__xludf.DUMMYFUNCTION("""COMPUTED_VALUE"""),"Gagetown, NB Fredericton, NB Nackawic, NB")</f>
        <v/>
      </c>
      <c r="K21017">
        <f>IFERROR(__xludf.DUMMYFUNCTION("""COMPUTED_VALUE"""),174.33)</f>
        <v/>
      </c>
    </row>
    <row r="21018">
      <c r="J21018">
        <f>IFERROR(__xludf.DUMMYFUNCTION("""COMPUTED_VALUE"""),"VANCOUVER, GC, CANADA")</f>
        <v/>
      </c>
      <c r="K21018">
        <f>IFERROR(__xludf.DUMMYFUNCTION("""COMPUTED_VALUE"""),173.69)</f>
        <v/>
      </c>
    </row>
    <row r="21019">
      <c r="J21019">
        <f>IFERROR(__xludf.DUMMYFUNCTION("""COMPUTED_VALUE"""),"Ndjamena, Chad, Africa")</f>
        <v/>
      </c>
      <c r="K21019">
        <f>IFERROR(__xludf.DUMMYFUNCTION("""COMPUTED_VALUE"""),173.61)</f>
        <v/>
      </c>
    </row>
    <row r="21020">
      <c r="J21020">
        <f>IFERROR(__xludf.DUMMYFUNCTION("""COMPUTED_VALUE"""),"Smithers, BC and Victoria, BC")</f>
        <v/>
      </c>
      <c r="K21020">
        <f>IFERROR(__xludf.DUMMYFUNCTION("""COMPUTED_VALUE"""),173.57)</f>
        <v/>
      </c>
    </row>
    <row r="21021">
      <c r="J21021">
        <f>IFERROR(__xludf.DUMMYFUNCTION("""COMPUTED_VALUE"""),"St. Jean - Port Joli, Que.")</f>
        <v/>
      </c>
      <c r="K21021">
        <f>IFERROR(__xludf.DUMMYFUNCTION("""COMPUTED_VALUE"""),173.12)</f>
        <v/>
      </c>
    </row>
    <row r="21022">
      <c r="J21022">
        <f>IFERROR(__xludf.DUMMYFUNCTION("""COMPUTED_VALUE"""),"Lansdowne, On")</f>
        <v/>
      </c>
      <c r="K21022">
        <f>IFERROR(__xludf.DUMMYFUNCTION("""COMPUTED_VALUE"""),173.07)</f>
        <v/>
      </c>
    </row>
    <row r="21023">
      <c r="J21023">
        <f>IFERROR(__xludf.DUMMYFUNCTION("""COMPUTED_VALUE"""),"Argentia, NL, Canada")</f>
        <v/>
      </c>
      <c r="K21023">
        <f>IFERROR(__xludf.DUMMYFUNCTION("""COMPUTED_VALUE"""),173.06)</f>
        <v/>
      </c>
    </row>
    <row r="21024">
      <c r="J21024">
        <f>IFERROR(__xludf.DUMMYFUNCTION("""COMPUTED_VALUE"""),"Maple, ON")</f>
        <v/>
      </c>
      <c r="K21024">
        <f>IFERROR(__xludf.DUMMYFUNCTION("""COMPUTED_VALUE"""),172.98)</f>
        <v/>
      </c>
    </row>
    <row r="21025">
      <c r="J21025">
        <f>IFERROR(__xludf.DUMMYFUNCTION("""COMPUTED_VALUE"""),"Wellington, PE Summerside, PE O'Leary, PE Slemon Park, PE Abrams Village, PE")</f>
        <v/>
      </c>
      <c r="K21025">
        <f>IFERROR(__xludf.DUMMYFUNCTION("""COMPUTED_VALUE"""),172.64)</f>
        <v/>
      </c>
    </row>
    <row r="21026">
      <c r="J21026">
        <f>IFERROR(__xludf.DUMMYFUNCTION("""COMPUTED_VALUE"""),"Ayer's Cliff")</f>
        <v/>
      </c>
      <c r="K21026">
        <f>IFERROR(__xludf.DUMMYFUNCTION("""COMPUTED_VALUE"""),172.14)</f>
        <v/>
      </c>
    </row>
    <row r="21027">
      <c r="J21027">
        <f>IFERROR(__xludf.DUMMYFUNCTION("""COMPUTED_VALUE"""),"Fisher River, Manitoba, Canada")</f>
        <v/>
      </c>
      <c r="K21027">
        <f>IFERROR(__xludf.DUMMYFUNCTION("""COMPUTED_VALUE"""),171.81)</f>
        <v/>
      </c>
    </row>
    <row r="21028">
      <c r="J21028">
        <f>IFERROR(__xludf.DUMMYFUNCTION("""COMPUTED_VALUE"""),"Lloyminster, Alberta, Canada")</f>
        <v/>
      </c>
      <c r="K21028">
        <f>IFERROR(__xludf.DUMMYFUNCTION("""COMPUTED_VALUE"""),171.36)</f>
        <v/>
      </c>
    </row>
    <row r="21029">
      <c r="J21029">
        <f>IFERROR(__xludf.DUMMYFUNCTION("""COMPUTED_VALUE"""),"Montreal, Grand-Mère, Trois-Rivières")</f>
        <v/>
      </c>
      <c r="K21029">
        <f>IFERROR(__xludf.DUMMYFUNCTION("""COMPUTED_VALUE"""),170.82)</f>
        <v/>
      </c>
    </row>
    <row r="21030">
      <c r="J21030">
        <f>IFERROR(__xludf.DUMMYFUNCTION("""COMPUTED_VALUE"""),"Lansing, Michigan")</f>
        <v/>
      </c>
      <c r="K21030">
        <f>IFERROR(__xludf.DUMMYFUNCTION("""COMPUTED_VALUE"""),170.489999999999)</f>
        <v/>
      </c>
    </row>
    <row r="21031">
      <c r="J21031">
        <f>IFERROR(__xludf.DUMMYFUNCTION("""COMPUTED_VALUE"""),"Montreal, Magog and Saint-Sébastien, Quebec")</f>
        <v/>
      </c>
      <c r="K21031">
        <f>IFERROR(__xludf.DUMMYFUNCTION("""COMPUTED_VALUE"""),170.27)</f>
        <v/>
      </c>
    </row>
    <row r="21032">
      <c r="J21032">
        <f>IFERROR(__xludf.DUMMYFUNCTION("""COMPUTED_VALUE"""),"Tracadie and Halifax")</f>
        <v/>
      </c>
      <c r="K21032">
        <f>IFERROR(__xludf.DUMMYFUNCTION("""COMPUTED_VALUE"""),170.2)</f>
        <v/>
      </c>
    </row>
    <row r="21033">
      <c r="J21033">
        <f>IFERROR(__xludf.DUMMYFUNCTION("""COMPUTED_VALUE"""),"St. John's, Newfoundland; Halifax, Nova Scotia")</f>
        <v/>
      </c>
      <c r="K21033">
        <f>IFERROR(__xludf.DUMMYFUNCTION("""COMPUTED_VALUE"""),170)</f>
        <v/>
      </c>
    </row>
    <row r="21034">
      <c r="J21034">
        <f>IFERROR(__xludf.DUMMYFUNCTION("""COMPUTED_VALUE"""),"Saint Andre and Saint Leonard, New Brunswick")</f>
        <v/>
      </c>
      <c r="K21034">
        <f>IFERROR(__xludf.DUMMYFUNCTION("""COMPUTED_VALUE"""),169.9)</f>
        <v/>
      </c>
    </row>
    <row r="21035">
      <c r="J21035">
        <f>IFERROR(__xludf.DUMMYFUNCTION("""COMPUTED_VALUE"""),"Detroit, Michigan, US")</f>
        <v/>
      </c>
      <c r="K21035">
        <f>IFERROR(__xludf.DUMMYFUNCTION("""COMPUTED_VALUE"""),168.44)</f>
        <v/>
      </c>
    </row>
    <row r="21036">
      <c r="J21036">
        <f>IFERROR(__xludf.DUMMYFUNCTION("""COMPUTED_VALUE"""),"Riverside-Albert, Hillsborough and Moncton, New Brunswick")</f>
        <v/>
      </c>
      <c r="K21036">
        <f>IFERROR(__xludf.DUMMYFUNCTION("""COMPUTED_VALUE"""),168.26)</f>
        <v/>
      </c>
    </row>
    <row r="21037">
      <c r="J21037">
        <f>IFERROR(__xludf.DUMMYFUNCTION("""COMPUTED_VALUE"""),"Riverview, Sussex and Hampton, New Brunswick")</f>
        <v/>
      </c>
      <c r="K21037">
        <f>IFERROR(__xludf.DUMMYFUNCTION("""COMPUTED_VALUE"""),167.97)</f>
        <v/>
      </c>
    </row>
    <row r="21038">
      <c r="J21038">
        <f>IFERROR(__xludf.DUMMYFUNCTION("""COMPUTED_VALUE"""),"Nunatsiavut, Newfoundland and Labrador")</f>
        <v/>
      </c>
      <c r="K21038">
        <f>IFERROR(__xludf.DUMMYFUNCTION("""COMPUTED_VALUE"""),167.8)</f>
        <v/>
      </c>
    </row>
    <row r="21039">
      <c r="J21039">
        <f>IFERROR(__xludf.DUMMYFUNCTION("""COMPUTED_VALUE"""),"Montreal (Canada)")</f>
        <v/>
      </c>
      <c r="K21039">
        <f>IFERROR(__xludf.DUMMYFUNCTION("""COMPUTED_VALUE"""),167.67)</f>
        <v/>
      </c>
    </row>
    <row r="21040">
      <c r="J21040">
        <f>IFERROR(__xludf.DUMMYFUNCTION("""COMPUTED_VALUE"""),"Brownsburg, Quebec, Canada")</f>
        <v/>
      </c>
      <c r="K21040">
        <f>IFERROR(__xludf.DUMMYFUNCTION("""COMPUTED_VALUE"""),167.63)</f>
        <v/>
      </c>
    </row>
    <row r="21041">
      <c r="J21041">
        <f>IFERROR(__xludf.DUMMYFUNCTION("""COMPUTED_VALUE"""),"Markham ON")</f>
        <v/>
      </c>
      <c r="K21041">
        <f>IFERROR(__xludf.DUMMYFUNCTION("""COMPUTED_VALUE"""),167.58)</f>
        <v/>
      </c>
    </row>
    <row r="21042">
      <c r="J21042">
        <f>IFERROR(__xludf.DUMMYFUNCTION("""COMPUTED_VALUE"""),"Saint-Jean-sur-Richelieu, Quebec (Canada)")</f>
        <v/>
      </c>
      <c r="K21042">
        <f>IFERROR(__xludf.DUMMYFUNCTION("""COMPUTED_VALUE"""),167.56)</f>
        <v/>
      </c>
    </row>
    <row r="21043">
      <c r="J21043">
        <f>IFERROR(__xludf.DUMMYFUNCTION("""COMPUTED_VALUE"""),"Placentia, NL, Canada")</f>
        <v/>
      </c>
      <c r="K21043">
        <f>IFERROR(__xludf.DUMMYFUNCTION("""COMPUTED_VALUE"""),167.45)</f>
        <v/>
      </c>
    </row>
    <row r="21044">
      <c r="J21044">
        <f>IFERROR(__xludf.DUMMYFUNCTION("""COMPUTED_VALUE"""),"St-Léonard-d'Aston")</f>
        <v/>
      </c>
      <c r="K21044">
        <f>IFERROR(__xludf.DUMMYFUNCTION("""COMPUTED_VALUE"""),167.33)</f>
        <v/>
      </c>
    </row>
    <row r="21045">
      <c r="J21045">
        <f>IFERROR(__xludf.DUMMYFUNCTION("""COMPUTED_VALUE"""),"Brockville, Ontairo")</f>
        <v/>
      </c>
      <c r="K21045">
        <f>IFERROR(__xludf.DUMMYFUNCTION("""COMPUTED_VALUE"""),167.26)</f>
        <v/>
      </c>
    </row>
    <row r="21046">
      <c r="J21046">
        <f>IFERROR(__xludf.DUMMYFUNCTION("""COMPUTED_VALUE"""),"Lorraine, Quebec, Canada")</f>
        <v/>
      </c>
      <c r="K21046">
        <f>IFERROR(__xludf.DUMMYFUNCTION("""COMPUTED_VALUE"""),166.49)</f>
        <v/>
      </c>
    </row>
    <row r="21047">
      <c r="J21047">
        <f>IFERROR(__xludf.DUMMYFUNCTION("""COMPUTED_VALUE"""),"Saint-Aubert")</f>
        <v/>
      </c>
      <c r="K21047">
        <f>IFERROR(__xludf.DUMMYFUNCTION("""COMPUTED_VALUE"""),166.44)</f>
        <v/>
      </c>
    </row>
    <row r="21048">
      <c r="J21048">
        <f>IFERROR(__xludf.DUMMYFUNCTION("""COMPUTED_VALUE"""),"Lansdowne, Ontario")</f>
        <v/>
      </c>
      <c r="K21048">
        <f>IFERROR(__xludf.DUMMYFUNCTION("""COMPUTED_VALUE"""),166.1)</f>
        <v/>
      </c>
    </row>
    <row r="21049">
      <c r="J21049">
        <f>IFERROR(__xludf.DUMMYFUNCTION("""COMPUTED_VALUE"""),"Ottawa, Blainville")</f>
        <v/>
      </c>
      <c r="K21049">
        <f>IFERROR(__xludf.DUMMYFUNCTION("""COMPUTED_VALUE"""),165.6)</f>
        <v/>
      </c>
    </row>
    <row r="21050">
      <c r="J21050">
        <f>IFERROR(__xludf.DUMMYFUNCTION("""COMPUTED_VALUE"""),"La Baie, Quebec")</f>
        <v/>
      </c>
      <c r="K21050">
        <f>IFERROR(__xludf.DUMMYFUNCTION("""COMPUTED_VALUE"""),165.3)</f>
        <v/>
      </c>
    </row>
    <row r="21051">
      <c r="J21051">
        <f>IFERROR(__xludf.DUMMYFUNCTION("""COMPUTED_VALUE"""),"Brome-Missisquoi, Quebec, Canada")</f>
        <v/>
      </c>
      <c r="K21051">
        <f>IFERROR(__xludf.DUMMYFUNCTION("""COMPUTED_VALUE"""),165.23)</f>
        <v/>
      </c>
    </row>
    <row r="21052">
      <c r="J21052">
        <f>IFERROR(__xludf.DUMMYFUNCTION("""COMPUTED_VALUE"""),"St. Martins, New Brunswick")</f>
        <v/>
      </c>
      <c r="K21052">
        <f>IFERROR(__xludf.DUMMYFUNCTION("""COMPUTED_VALUE"""),165.08)</f>
        <v/>
      </c>
    </row>
    <row r="21053">
      <c r="J21053">
        <f>IFERROR(__xludf.DUMMYFUNCTION("""COMPUTED_VALUE"""),"South Shore (Montreal), Montreal, Dorval &amp; Longeuil, Quebec")</f>
        <v/>
      </c>
      <c r="K21053">
        <f>IFERROR(__xludf.DUMMYFUNCTION("""COMPUTED_VALUE"""),165.05)</f>
        <v/>
      </c>
    </row>
    <row r="21054">
      <c r="J21054">
        <f>IFERROR(__xludf.DUMMYFUNCTION("""COMPUTED_VALUE"""),"Bagotville Qc")</f>
        <v/>
      </c>
      <c r="K21054">
        <f>IFERROR(__xludf.DUMMYFUNCTION("""COMPUTED_VALUE"""),164.81)</f>
        <v/>
      </c>
    </row>
    <row r="21055">
      <c r="J21055">
        <f>IFERROR(__xludf.DUMMYFUNCTION("""COMPUTED_VALUE"""),"Richmond Hill, ON, Vaughan, ON")</f>
        <v/>
      </c>
      <c r="K21055">
        <f>IFERROR(__xludf.DUMMYFUNCTION("""COMPUTED_VALUE"""),164.75)</f>
        <v/>
      </c>
    </row>
    <row r="21056">
      <c r="J21056">
        <f>IFERROR(__xludf.DUMMYFUNCTION("""COMPUTED_VALUE"""),"Halifax, Nova Scotia, Canada; Sheet Harbour, Nova Scotia, Canada")</f>
        <v/>
      </c>
      <c r="K21056">
        <f>IFERROR(__xludf.DUMMYFUNCTION("""COMPUTED_VALUE"""),164.46)</f>
        <v/>
      </c>
    </row>
    <row r="21057">
      <c r="J21057">
        <f>IFERROR(__xludf.DUMMYFUNCTION("""COMPUTED_VALUE"""),"Montréal, Quebec, canada")</f>
        <v/>
      </c>
      <c r="K21057">
        <f>IFERROR(__xludf.DUMMYFUNCTION("""COMPUTED_VALUE"""),164.46)</f>
        <v/>
      </c>
    </row>
    <row r="21058">
      <c r="J21058">
        <f>IFERROR(__xludf.DUMMYFUNCTION("""COMPUTED_VALUE"""),"CFB Borden, Ontario")</f>
        <v/>
      </c>
      <c r="K21058">
        <f>IFERROR(__xludf.DUMMYFUNCTION("""COMPUTED_VALUE"""),164.31)</f>
        <v/>
      </c>
    </row>
    <row r="21059">
      <c r="J21059">
        <f>IFERROR(__xludf.DUMMYFUNCTION("""COMPUTED_VALUE"""),"Wainwright, Alberta")</f>
        <v/>
      </c>
      <c r="K21059">
        <f>IFERROR(__xludf.DUMMYFUNCTION("""COMPUTED_VALUE"""),164.31)</f>
        <v/>
      </c>
    </row>
    <row r="21060">
      <c r="J21060">
        <f>IFERROR(__xludf.DUMMYFUNCTION("""COMPUTED_VALUE"""),"New Waterford, Nova Scotia, Canada")</f>
        <v/>
      </c>
      <c r="K21060">
        <f>IFERROR(__xludf.DUMMYFUNCTION("""COMPUTED_VALUE"""),164.23)</f>
        <v/>
      </c>
    </row>
    <row r="21061">
      <c r="J21061">
        <f>IFERROR(__xludf.DUMMYFUNCTION("""COMPUTED_VALUE"""),"Alexandria Bay, New York")</f>
        <v/>
      </c>
      <c r="K21061">
        <f>IFERROR(__xludf.DUMMYFUNCTION("""COMPUTED_VALUE"""),163.9)</f>
        <v/>
      </c>
    </row>
    <row r="21062">
      <c r="J21062">
        <f>IFERROR(__xludf.DUMMYFUNCTION("""COMPUTED_VALUE"""),"Orlando, Florida, United-States of America.")</f>
        <v/>
      </c>
      <c r="K21062">
        <f>IFERROR(__xludf.DUMMYFUNCTION("""COMPUTED_VALUE"""),163.85)</f>
        <v/>
      </c>
    </row>
    <row r="21063">
      <c r="J21063">
        <f>IFERROR(__xludf.DUMMYFUNCTION("""COMPUTED_VALUE"""),"Bois Franc")</f>
        <v/>
      </c>
      <c r="K21063">
        <f>IFERROR(__xludf.DUMMYFUNCTION("""COMPUTED_VALUE"""),163.5)</f>
        <v/>
      </c>
    </row>
    <row r="21064">
      <c r="J21064">
        <f>IFERROR(__xludf.DUMMYFUNCTION("""COMPUTED_VALUE"""),"Roberval, Quebec, Canada")</f>
        <v/>
      </c>
      <c r="K21064">
        <f>IFERROR(__xludf.DUMMYFUNCTION("""COMPUTED_VALUE"""),163.3)</f>
        <v/>
      </c>
    </row>
    <row r="21065">
      <c r="J21065">
        <f>IFERROR(__xludf.DUMMYFUNCTION("""COMPUTED_VALUE"""),"St Thomas, Ontario, Canada")</f>
        <v/>
      </c>
      <c r="K21065">
        <f>IFERROR(__xludf.DUMMYFUNCTION("""COMPUTED_VALUE"""),163.03)</f>
        <v/>
      </c>
    </row>
    <row r="21066">
      <c r="J21066">
        <f>IFERROR(__xludf.DUMMYFUNCTION("""COMPUTED_VALUE"""),"Back Bay, New Brunswick")</f>
        <v/>
      </c>
      <c r="K21066">
        <f>IFERROR(__xludf.DUMMYFUNCTION("""COMPUTED_VALUE"""),162.94)</f>
        <v/>
      </c>
    </row>
    <row r="21067">
      <c r="J21067">
        <f>IFERROR(__xludf.DUMMYFUNCTION("""COMPUTED_VALUE"""),"Lewiston, Maine")</f>
        <v/>
      </c>
      <c r="K21067">
        <f>IFERROR(__xludf.DUMMYFUNCTION("""COMPUTED_VALUE"""),162.8)</f>
        <v/>
      </c>
    </row>
    <row r="21068">
      <c r="J21068">
        <f>IFERROR(__xludf.DUMMYFUNCTION("""COMPUTED_VALUE"""),"US National Geo-Spatial Agency HQ, VA, USA")</f>
        <v/>
      </c>
      <c r="K21068">
        <f>IFERROR(__xludf.DUMMYFUNCTION("""COMPUTED_VALUE"""),162.79)</f>
        <v/>
      </c>
    </row>
    <row r="21069">
      <c r="J21069">
        <f>IFERROR(__xludf.DUMMYFUNCTION("""COMPUTED_VALUE"""),"Woodbridge, Ontario")</f>
        <v/>
      </c>
      <c r="K21069">
        <f>IFERROR(__xludf.DUMMYFUNCTION("""COMPUTED_VALUE"""),162.75)</f>
        <v/>
      </c>
    </row>
    <row r="21070">
      <c r="J21070">
        <f>IFERROR(__xludf.DUMMYFUNCTION("""COMPUTED_VALUE"""),"La Pocatière")</f>
        <v/>
      </c>
      <c r="K21070">
        <f>IFERROR(__xludf.DUMMYFUNCTION("""COMPUTED_VALUE"""),162.72)</f>
        <v/>
      </c>
    </row>
    <row r="21071">
      <c r="J21071">
        <f>IFERROR(__xludf.DUMMYFUNCTION("""COMPUTED_VALUE"""),"Lévis - Valcartier - Lévis")</f>
        <v/>
      </c>
      <c r="K21071">
        <f>IFERROR(__xludf.DUMMYFUNCTION("""COMPUTED_VALUE"""),162.55)</f>
        <v/>
      </c>
    </row>
    <row r="21072">
      <c r="J21072">
        <f>IFERROR(__xludf.DUMMYFUNCTION("""COMPUTED_VALUE"""),"Langton, Ontario, Canada")</f>
        <v/>
      </c>
      <c r="K21072">
        <f>IFERROR(__xludf.DUMMYFUNCTION("""COMPUTED_VALUE"""),162.45)</f>
        <v/>
      </c>
    </row>
    <row r="21073">
      <c r="J21073">
        <f>IFERROR(__xludf.DUMMYFUNCTION("""COMPUTED_VALUE"""),"Baie-Comeau (Quebec) Canada")</f>
        <v/>
      </c>
      <c r="K21073">
        <f>IFERROR(__xludf.DUMMYFUNCTION("""COMPUTED_VALUE"""),162.44)</f>
        <v/>
      </c>
    </row>
    <row r="21074">
      <c r="J21074">
        <f>IFERROR(__xludf.DUMMYFUNCTION("""COMPUTED_VALUE"""),"Ottawa, Ontario, Canada / Montreal, Quebec, Canada / Quebec, Quebec, Canada")</f>
        <v/>
      </c>
      <c r="K21074">
        <f>IFERROR(__xludf.DUMMYFUNCTION("""COMPUTED_VALUE"""),162.4)</f>
        <v/>
      </c>
    </row>
    <row r="21075">
      <c r="J21075">
        <f>IFERROR(__xludf.DUMMYFUNCTION("""COMPUTED_VALUE"""),"Tsawassen/Richmond Vancouver")</f>
        <v/>
      </c>
      <c r="K21075">
        <f>IFERROR(__xludf.DUMMYFUNCTION("""COMPUTED_VALUE"""),162.4)</f>
        <v/>
      </c>
    </row>
    <row r="21076">
      <c r="J21076">
        <f>IFERROR(__xludf.DUMMYFUNCTION("""COMPUTED_VALUE"""),"North Bay, Ontario, Canada; Sudbury, Ontario, Canada")</f>
        <v/>
      </c>
      <c r="K21076">
        <f>IFERROR(__xludf.DUMMYFUNCTION("""COMPUTED_VALUE"""),162.21)</f>
        <v/>
      </c>
    </row>
    <row r="21077">
      <c r="J21077">
        <f>IFERROR(__xludf.DUMMYFUNCTION("""COMPUTED_VALUE"""),"Nanaimo, British Colombia")</f>
        <v/>
      </c>
      <c r="K21077">
        <f>IFERROR(__xludf.DUMMYFUNCTION("""COMPUTED_VALUE"""),162.02)</f>
        <v/>
      </c>
    </row>
    <row r="21078">
      <c r="J21078">
        <f>IFERROR(__xludf.DUMMYFUNCTION("""COMPUTED_VALUE"""),"Gananoque")</f>
        <v/>
      </c>
      <c r="K21078">
        <f>IFERROR(__xludf.DUMMYFUNCTION("""COMPUTED_VALUE"""),162)</f>
        <v/>
      </c>
    </row>
    <row r="21079">
      <c r="J21079">
        <f>IFERROR(__xludf.DUMMYFUNCTION("""COMPUTED_VALUE"""),"Lac Colbert, QC")</f>
        <v/>
      </c>
      <c r="K21079">
        <f>IFERROR(__xludf.DUMMYFUNCTION("""COMPUTED_VALUE"""),162)</f>
        <v/>
      </c>
    </row>
    <row r="21080">
      <c r="J21080">
        <f>IFERROR(__xludf.DUMMYFUNCTION("""COMPUTED_VALUE"""),"Bar U NHS, Alberta")</f>
        <v/>
      </c>
      <c r="K21080">
        <f>IFERROR(__xludf.DUMMYFUNCTION("""COMPUTED_VALUE"""),161.8)</f>
        <v/>
      </c>
    </row>
    <row r="21081">
      <c r="J21081">
        <f>IFERROR(__xludf.DUMMYFUNCTION("""COMPUTED_VALUE"""),"CBSA College Rigaud")</f>
        <v/>
      </c>
      <c r="K21081">
        <f>IFERROR(__xludf.DUMMYFUNCTION("""COMPUTED_VALUE"""),161.66)</f>
        <v/>
      </c>
    </row>
    <row r="21082">
      <c r="J21082">
        <f>IFERROR(__xludf.DUMMYFUNCTION("""COMPUTED_VALUE"""),"Chesterville, Brockville, Ontario, Canada")</f>
        <v/>
      </c>
      <c r="K21082">
        <f>IFERROR(__xludf.DUMMYFUNCTION("""COMPUTED_VALUE"""),161.24)</f>
        <v/>
      </c>
    </row>
    <row r="21083">
      <c r="J21083">
        <f>IFERROR(__xludf.DUMMYFUNCTION("""COMPUTED_VALUE"""),"Ottawa Part of a 6 ticket business pack, there and back")</f>
        <v/>
      </c>
      <c r="K21083">
        <f>IFERROR(__xludf.DUMMYFUNCTION("""COMPUTED_VALUE"""),161.1)</f>
        <v/>
      </c>
    </row>
    <row r="21084">
      <c r="J21084">
        <f>IFERROR(__xludf.DUMMYFUNCTION("""COMPUTED_VALUE"""),"Ottawa (Ontario)Canada")</f>
        <v/>
      </c>
      <c r="K21084">
        <f>IFERROR(__xludf.DUMMYFUNCTION("""COMPUTED_VALUE"""),160.5)</f>
        <v/>
      </c>
    </row>
    <row r="21085">
      <c r="J21085">
        <f>IFERROR(__xludf.DUMMYFUNCTION("""COMPUTED_VALUE"""),"Campbridge and Kitchener, Ontario, Canada")</f>
        <v/>
      </c>
      <c r="K21085">
        <f>IFERROR(__xludf.DUMMYFUNCTION("""COMPUTED_VALUE"""),160.43)</f>
        <v/>
      </c>
    </row>
    <row r="21086">
      <c r="J21086">
        <f>IFERROR(__xludf.DUMMYFUNCTION("""COMPUTED_VALUE"""),"Royalmount, Quebec, canada")</f>
        <v/>
      </c>
      <c r="K21086">
        <f>IFERROR(__xludf.DUMMYFUNCTION("""COMPUTED_VALUE"""),160.43)</f>
        <v/>
      </c>
    </row>
    <row r="21087">
      <c r="J21087">
        <f>IFERROR(__xludf.DUMMYFUNCTION("""COMPUTED_VALUE"""),"Prague")</f>
        <v/>
      </c>
      <c r="K21087">
        <f>IFERROR(__xludf.DUMMYFUNCTION("""COMPUTED_VALUE"""),160.34)</f>
        <v/>
      </c>
    </row>
    <row r="21088">
      <c r="J21088">
        <f>IFERROR(__xludf.DUMMYFUNCTION("""COMPUTED_VALUE"""),"Ottawa, Ontario;
Trois-Rivières, Quebec;
Québec, Quebec")</f>
        <v/>
      </c>
      <c r="K21088">
        <f>IFERROR(__xludf.DUMMYFUNCTION("""COMPUTED_VALUE"""),159.96)</f>
        <v/>
      </c>
    </row>
    <row r="21089">
      <c r="J21089">
        <f>IFERROR(__xludf.DUMMYFUNCTION("""COMPUTED_VALUE"""),"Toronto, Ontario, Canada; London, Ontario, Canada; Kitchener, Ontario, Canada; Port Colborne, Ontario, Canada")</f>
        <v/>
      </c>
      <c r="K21089">
        <f>IFERROR(__xludf.DUMMYFUNCTION("""COMPUTED_VALUE"""),159.83)</f>
        <v/>
      </c>
    </row>
    <row r="21090">
      <c r="J21090">
        <f>IFERROR(__xludf.DUMMYFUNCTION("""COMPUTED_VALUE"""),"Monte Cassino")</f>
        <v/>
      </c>
      <c r="K21090">
        <f>IFERROR(__xludf.DUMMYFUNCTION("""COMPUTED_VALUE"""),159.3)</f>
        <v/>
      </c>
    </row>
    <row r="21091">
      <c r="J21091">
        <f>IFERROR(__xludf.DUMMYFUNCTION("""COMPUTED_VALUE"""),"Dolbeau-Mistassini, Albanel")</f>
        <v/>
      </c>
      <c r="K21091">
        <f>IFERROR(__xludf.DUMMYFUNCTION("""COMPUTED_VALUE"""),158.899999999999)</f>
        <v/>
      </c>
    </row>
    <row r="21092">
      <c r="J21092">
        <f>IFERROR(__xludf.DUMMYFUNCTION("""COMPUTED_VALUE"""),"Knowlton, Quebec, Canada")</f>
        <v/>
      </c>
      <c r="K21092">
        <f>IFERROR(__xludf.DUMMYFUNCTION("""COMPUTED_VALUE"""),158.6)</f>
        <v/>
      </c>
    </row>
    <row r="21093">
      <c r="J21093">
        <f>IFERROR(__xludf.DUMMYFUNCTION("""COMPUTED_VALUE"""),"Bangor, Maine")</f>
        <v/>
      </c>
      <c r="K21093">
        <f>IFERROR(__xludf.DUMMYFUNCTION("""COMPUTED_VALUE"""),158.44)</f>
        <v/>
      </c>
    </row>
    <row r="21094">
      <c r="J21094">
        <f>IFERROR(__xludf.DUMMYFUNCTION("""COMPUTED_VALUE"""),"Esterel")</f>
        <v/>
      </c>
      <c r="K21094">
        <f>IFERROR(__xludf.DUMMYFUNCTION("""COMPUTED_VALUE"""),158.31)</f>
        <v/>
      </c>
    </row>
    <row r="21095">
      <c r="J21095">
        <f>IFERROR(__xludf.DUMMYFUNCTION("""COMPUTED_VALUE"""),"Channel-Port aux Basques, Newfoundland and Labrador, Canada/ Corner Brook, Newfoundland and Labrador, Canada/ Pasadena,  Newfoundland and Labrador, Canada")</f>
        <v/>
      </c>
      <c r="K21095">
        <f>IFERROR(__xludf.DUMMYFUNCTION("""COMPUTED_VALUE"""),158.19)</f>
        <v/>
      </c>
    </row>
    <row r="21096">
      <c r="J21096">
        <f>IFERROR(__xludf.DUMMYFUNCTION("""COMPUTED_VALUE"""),"Baie St-Paul")</f>
        <v/>
      </c>
      <c r="K21096">
        <f>IFERROR(__xludf.DUMMYFUNCTION("""COMPUTED_VALUE"""),158.16)</f>
        <v/>
      </c>
    </row>
    <row r="21097">
      <c r="J21097">
        <f>IFERROR(__xludf.DUMMYFUNCTION("""COMPUTED_VALUE"""),"Monreal")</f>
        <v/>
      </c>
      <c r="K21097">
        <f>IFERROR(__xludf.DUMMYFUNCTION("""COMPUTED_VALUE"""),158.03)</f>
        <v/>
      </c>
    </row>
    <row r="21098">
      <c r="J21098">
        <f>IFERROR(__xludf.DUMMYFUNCTION("""COMPUTED_VALUE"""),"North Bay (Ontario) and Trenton (Ontario) Canada")</f>
        <v/>
      </c>
      <c r="K21098">
        <f>IFERROR(__xludf.DUMMYFUNCTION("""COMPUTED_VALUE"""),157.9)</f>
        <v/>
      </c>
    </row>
    <row r="21099">
      <c r="J21099">
        <f>IFERROR(__xludf.DUMMYFUNCTION("""COMPUTED_VALUE"""),"N'Djamena, Chad")</f>
        <v/>
      </c>
      <c r="K21099">
        <f>IFERROR(__xludf.DUMMYFUNCTION("""COMPUTED_VALUE"""),157.78)</f>
        <v/>
      </c>
    </row>
    <row r="21100">
      <c r="J21100">
        <f>IFERROR(__xludf.DUMMYFUNCTION("""COMPUTED_VALUE"""),"O'Leary, Prince Edward Island, Canada; Summerside, Prince Edward Island, Canada; Montague, Prince Edward Island, Canada; Souris, Prince Edward Island, Canada")</f>
        <v/>
      </c>
      <c r="K21100">
        <f>IFERROR(__xludf.DUMMYFUNCTION("""COMPUTED_VALUE"""),157.36)</f>
        <v/>
      </c>
    </row>
    <row r="21101">
      <c r="J21101">
        <f>IFERROR(__xludf.DUMMYFUNCTION("""COMPUTED_VALUE"""),"Lac des Français, Brome Lake, Bromont, Quebec, Canada")</f>
        <v/>
      </c>
      <c r="K21101">
        <f>IFERROR(__xludf.DUMMYFUNCTION("""COMPUTED_VALUE"""),157.05)</f>
        <v/>
      </c>
    </row>
    <row r="21102">
      <c r="J21102">
        <f>IFERROR(__xludf.DUMMYFUNCTION("""COMPUTED_VALUE"""),"Moncton, NB Summerside, PE")</f>
        <v/>
      </c>
      <c r="K21102">
        <f>IFERROR(__xludf.DUMMYFUNCTION("""COMPUTED_VALUE"""),157)</f>
        <v/>
      </c>
    </row>
    <row r="21103">
      <c r="J21103">
        <f>IFERROR(__xludf.DUMMYFUNCTION("""COMPUTED_VALUE"""),"St. John's, Newfoundland and Labrador, Canada
Toronto, Ontario, Canada
Montréal, Quebec, Canada")</f>
        <v/>
      </c>
      <c r="K21103">
        <f>IFERROR(__xludf.DUMMYFUNCTION("""COMPUTED_VALUE"""),156.78)</f>
        <v/>
      </c>
    </row>
    <row r="21104">
      <c r="J21104">
        <f>IFERROR(__xludf.DUMMYFUNCTION("""COMPUTED_VALUE"""),"St. Paul, AB and Elk Point, AB and Frog Lake, AB and Lloydminister, AB")</f>
        <v/>
      </c>
      <c r="K21104">
        <f>IFERROR(__xludf.DUMMYFUNCTION("""COMPUTED_VALUE"""),156.5)</f>
        <v/>
      </c>
    </row>
    <row r="21105">
      <c r="J21105">
        <f>IFERROR(__xludf.DUMMYFUNCTION("""COMPUTED_VALUE"""),"Brownsburg")</f>
        <v/>
      </c>
      <c r="K21105">
        <f>IFERROR(__xludf.DUMMYFUNCTION("""COMPUTED_VALUE"""),156.45)</f>
        <v/>
      </c>
    </row>
    <row r="21106">
      <c r="J21106">
        <f>IFERROR(__xludf.DUMMYFUNCTION("""COMPUTED_VALUE"""),"Montreal and Blainville, Quebec")</f>
        <v/>
      </c>
      <c r="K21106">
        <f>IFERROR(__xludf.DUMMYFUNCTION("""COMPUTED_VALUE"""),156.33)</f>
        <v/>
      </c>
    </row>
    <row r="21107">
      <c r="J21107">
        <f>IFERROR(__xludf.DUMMYFUNCTION("""COMPUTED_VALUE"""),"Cornwall, On")</f>
        <v/>
      </c>
      <c r="K21107">
        <f>IFERROR(__xludf.DUMMYFUNCTION("""COMPUTED_VALUE"""),156)</f>
        <v/>
      </c>
    </row>
    <row r="21108">
      <c r="J21108">
        <f>IFERROR(__xludf.DUMMYFUNCTION("""COMPUTED_VALUE"""),"Ottawa, Ontario ; Gatineau, Quebec")</f>
        <v/>
      </c>
      <c r="K21108">
        <f>IFERROR(__xludf.DUMMYFUNCTION("""COMPUTED_VALUE"""),156)</f>
        <v/>
      </c>
    </row>
    <row r="21109">
      <c r="J21109">
        <f>IFERROR(__xludf.DUMMYFUNCTION("""COMPUTED_VALUE"""),"Guysborough, Nova Scotia, Canada; Antigonish, Nova Scotia, Canada; Halifax, Nova Scotia, Canada")</f>
        <v/>
      </c>
      <c r="K21109">
        <f>IFERROR(__xludf.DUMMYFUNCTION("""COMPUTED_VALUE"""),155.64)</f>
        <v/>
      </c>
    </row>
    <row r="21110">
      <c r="J21110">
        <f>IFERROR(__xludf.DUMMYFUNCTION("""COMPUTED_VALUE"""),"Port Lorne, NS")</f>
        <v/>
      </c>
      <c r="K21110">
        <f>IFERROR(__xludf.DUMMYFUNCTION("""COMPUTED_VALUE"""),155.48)</f>
        <v/>
      </c>
    </row>
    <row r="21111">
      <c r="J21111">
        <f>IFERROR(__xludf.DUMMYFUNCTION("""COMPUTED_VALUE"""),"Rigaud - Quebec")</f>
        <v/>
      </c>
      <c r="K21111">
        <f>IFERROR(__xludf.DUMMYFUNCTION("""COMPUTED_VALUE"""),155.44)</f>
        <v/>
      </c>
    </row>
    <row r="21112">
      <c r="J21112">
        <f>IFERROR(__xludf.DUMMYFUNCTION("""COMPUTED_VALUE"""),"Fundy Trail Parkway and Sussex, New Brunswick")</f>
        <v/>
      </c>
      <c r="K21112">
        <f>IFERROR(__xludf.DUMMYFUNCTION("""COMPUTED_VALUE"""),155.4)</f>
        <v/>
      </c>
    </row>
    <row r="21113">
      <c r="J21113">
        <f>IFERROR(__xludf.DUMMYFUNCTION("""COMPUTED_VALUE"""),"Sainte-Monique, Dolbeau-Mistassini")</f>
        <v/>
      </c>
      <c r="K21113">
        <f>IFERROR(__xludf.DUMMYFUNCTION("""COMPUTED_VALUE"""),155.37)</f>
        <v/>
      </c>
    </row>
    <row r="21114">
      <c r="J21114">
        <f>IFERROR(__xludf.DUMMYFUNCTION("""COMPUTED_VALUE"""),"Stanstead, Quebec, Canada")</f>
        <v/>
      </c>
      <c r="K21114">
        <f>IFERROR(__xludf.DUMMYFUNCTION("""COMPUTED_VALUE"""),155.37)</f>
        <v/>
      </c>
    </row>
    <row r="21115">
      <c r="J21115">
        <f>IFERROR(__xludf.DUMMYFUNCTION("""COMPUTED_VALUE"""),"St. Andrews and St. Stephen, New Brunswick")</f>
        <v/>
      </c>
      <c r="K21115">
        <f>IFERROR(__xludf.DUMMYFUNCTION("""COMPUTED_VALUE"""),155.25)</f>
        <v/>
      </c>
    </row>
    <row r="21116">
      <c r="J21116">
        <f>IFERROR(__xludf.DUMMYFUNCTION("""COMPUTED_VALUE"""),"Saint-Hyacinthe, Québec")</f>
        <v/>
      </c>
      <c r="K21116">
        <f>IFERROR(__xludf.DUMMYFUNCTION("""COMPUTED_VALUE"""),155.23)</f>
        <v/>
      </c>
    </row>
    <row r="21117">
      <c r="J21117">
        <f>IFERROR(__xludf.DUMMYFUNCTION("""COMPUTED_VALUE"""),"Podgorica, Montenegro")</f>
        <v/>
      </c>
      <c r="K21117">
        <f>IFERROR(__xludf.DUMMYFUNCTION("""COMPUTED_VALUE"""),155.18)</f>
        <v/>
      </c>
    </row>
    <row r="21118">
      <c r="J21118">
        <f>IFERROR(__xludf.DUMMYFUNCTION("""COMPUTED_VALUE"""),"Beauharnois (Quebec) Canada")</f>
        <v/>
      </c>
      <c r="K21118">
        <f>IFERROR(__xludf.DUMMYFUNCTION("""COMPUTED_VALUE"""),154.9)</f>
        <v/>
      </c>
    </row>
    <row r="21119">
      <c r="J21119">
        <f>IFERROR(__xludf.DUMMYFUNCTION("""COMPUTED_VALUE"""),"Lansdowne, Ontario,
Canada")</f>
        <v/>
      </c>
      <c r="K21119">
        <f>IFERROR(__xludf.DUMMYFUNCTION("""COMPUTED_VALUE"""),154.84)</f>
        <v/>
      </c>
    </row>
    <row r="21120">
      <c r="J21120">
        <f>IFERROR(__xludf.DUMMYFUNCTION("""COMPUTED_VALUE"""),"Fort Coulonge, Quebec, Canada")</f>
        <v/>
      </c>
      <c r="K21120">
        <f>IFERROR(__xludf.DUMMYFUNCTION("""COMPUTED_VALUE"""),154.79)</f>
        <v/>
      </c>
    </row>
    <row r="21121">
      <c r="J21121">
        <f>IFERROR(__xludf.DUMMYFUNCTION("""COMPUTED_VALUE"""),"Saint-Narcisse-de-Beaurivage, Quebec, Canada; Québec, Quebec, Canada; Drummondville, Quebec, Canada")</f>
        <v/>
      </c>
      <c r="K21121">
        <f>IFERROR(__xludf.DUMMYFUNCTION("""COMPUTED_VALUE"""),154.77)</f>
        <v/>
      </c>
    </row>
    <row r="21122">
      <c r="J21122">
        <f>IFERROR(__xludf.DUMMYFUNCTION("""COMPUTED_VALUE"""),"Surrey")</f>
        <v/>
      </c>
      <c r="K21122">
        <f>IFERROR(__xludf.DUMMYFUNCTION("""COMPUTED_VALUE"""),154.69)</f>
        <v/>
      </c>
    </row>
    <row r="21123">
      <c r="J21123">
        <f>IFERROR(__xludf.DUMMYFUNCTION("""COMPUTED_VALUE"""),"Asbestos")</f>
        <v/>
      </c>
      <c r="K21123">
        <f>IFERROR(__xludf.DUMMYFUNCTION("""COMPUTED_VALUE"""),154.57)</f>
        <v/>
      </c>
    </row>
    <row r="21124">
      <c r="J21124">
        <f>IFERROR(__xludf.DUMMYFUNCTION("""COMPUTED_VALUE"""),"Lachute, Quebec")</f>
        <v/>
      </c>
      <c r="K21124">
        <f>IFERROR(__xludf.DUMMYFUNCTION("""COMPUTED_VALUE"""),154.519999999999)</f>
        <v/>
      </c>
    </row>
    <row r="21125">
      <c r="J21125">
        <f>IFERROR(__xludf.DUMMYFUNCTION("""COMPUTED_VALUE"""),"Cambridgeshire")</f>
        <v/>
      </c>
      <c r="K21125">
        <f>IFERROR(__xludf.DUMMYFUNCTION("""COMPUTED_VALUE"""),154.47)</f>
        <v/>
      </c>
    </row>
    <row r="21126">
      <c r="J21126">
        <f>IFERROR(__xludf.DUMMYFUNCTION("""COMPUTED_VALUE"""),"Boucherville (Québec) Canada")</f>
        <v/>
      </c>
      <c r="K21126">
        <f>IFERROR(__xludf.DUMMYFUNCTION("""COMPUTED_VALUE"""),154.41)</f>
        <v/>
      </c>
    </row>
    <row r="21127">
      <c r="J21127">
        <f>IFERROR(__xludf.DUMMYFUNCTION("""COMPUTED_VALUE"""),"Markham &amp; Stouffville, Ontario, Canada")</f>
        <v/>
      </c>
      <c r="K21127">
        <f>IFERROR(__xludf.DUMMYFUNCTION("""COMPUTED_VALUE"""),154.35)</f>
        <v/>
      </c>
    </row>
    <row r="21128">
      <c r="J21128">
        <f>IFERROR(__xludf.DUMMYFUNCTION("""COMPUTED_VALUE"""),"Windsor, London, Hamilton, Ontario, Canada")</f>
        <v/>
      </c>
      <c r="K21128">
        <f>IFERROR(__xludf.DUMMYFUNCTION("""COMPUTED_VALUE"""),154.26)</f>
        <v/>
      </c>
    </row>
    <row r="21129">
      <c r="J21129">
        <f>IFERROR(__xludf.DUMMYFUNCTION("""COMPUTED_VALUE"""),"Halifax, Nova Scotia &amp; Moncton, New-Brunswick")</f>
        <v/>
      </c>
      <c r="K21129">
        <f>IFERROR(__xludf.DUMMYFUNCTION("""COMPUTED_VALUE"""),154.09)</f>
        <v/>
      </c>
    </row>
    <row r="21130">
      <c r="J21130">
        <f>IFERROR(__xludf.DUMMYFUNCTION("""COMPUTED_VALUE"""),"Low, Quebec, Canada")</f>
        <v/>
      </c>
      <c r="K21130">
        <f>IFERROR(__xludf.DUMMYFUNCTION("""COMPUTED_VALUE"""),153.39)</f>
        <v/>
      </c>
    </row>
    <row r="21131">
      <c r="J21131">
        <f>IFERROR(__xludf.DUMMYFUNCTION("""COMPUTED_VALUE"""),"Ottawa,  (Ontario)")</f>
        <v/>
      </c>
      <c r="K21131">
        <f>IFERROR(__xludf.DUMMYFUNCTION("""COMPUTED_VALUE"""),153)</f>
        <v/>
      </c>
    </row>
    <row r="21132">
      <c r="J21132">
        <f>IFERROR(__xludf.DUMMYFUNCTION("""COMPUTED_VALUE"""),"Dolbeau-Mistassini, Roberval")</f>
        <v/>
      </c>
      <c r="K21132">
        <f>IFERROR(__xludf.DUMMYFUNCTION("""COMPUTED_VALUE"""),152.98)</f>
        <v/>
      </c>
    </row>
    <row r="21133">
      <c r="J21133">
        <f>IFERROR(__xludf.DUMMYFUNCTION("""COMPUTED_VALUE"""),"Kinkora, PE Charlottetown, PE")</f>
        <v/>
      </c>
      <c r="K21133">
        <f>IFERROR(__xludf.DUMMYFUNCTION("""COMPUTED_VALUE"""),152.96)</f>
        <v/>
      </c>
    </row>
    <row r="21134">
      <c r="J21134">
        <f>IFERROR(__xludf.DUMMYFUNCTION("""COMPUTED_VALUE"""),"Edmonton, AB; Drayton Valley, AB")</f>
        <v/>
      </c>
      <c r="K21134">
        <f>IFERROR(__xludf.DUMMYFUNCTION("""COMPUTED_VALUE"""),152.77)</f>
        <v/>
      </c>
    </row>
    <row r="21135">
      <c r="J21135">
        <f>IFERROR(__xludf.DUMMYFUNCTION("""COMPUTED_VALUE"""),"Alma, Saint-Ludger-de-Milot")</f>
        <v/>
      </c>
      <c r="K21135">
        <f>IFERROR(__xludf.DUMMYFUNCTION("""COMPUTED_VALUE"""),152.76)</f>
        <v/>
      </c>
    </row>
    <row r="21136">
      <c r="J21136">
        <f>IFERROR(__xludf.DUMMYFUNCTION("""COMPUTED_VALUE"""),"Toronto, ON Winnipeg, MB Cold Lake, MB")</f>
        <v/>
      </c>
      <c r="K21136">
        <f>IFERROR(__xludf.DUMMYFUNCTION("""COMPUTED_VALUE"""),151.9)</f>
        <v/>
      </c>
    </row>
    <row r="21137">
      <c r="J21137">
        <f>IFERROR(__xludf.DUMMYFUNCTION("""COMPUTED_VALUE"""),"Drummond, Quebec")</f>
        <v/>
      </c>
      <c r="K21137">
        <f>IFERROR(__xludf.DUMMYFUNCTION("""COMPUTED_VALUE"""),151.6)</f>
        <v/>
      </c>
    </row>
    <row r="21138">
      <c r="J21138">
        <f>IFERROR(__xludf.DUMMYFUNCTION("""COMPUTED_VALUE"""),"Vancouver, B.C.; Whistler, B.C.; Chilliwack, B.C.; Abbotsford, B.C.")</f>
        <v/>
      </c>
      <c r="K21138">
        <f>IFERROR(__xludf.DUMMYFUNCTION("""COMPUTED_VALUE"""),151.49)</f>
        <v/>
      </c>
    </row>
    <row r="21139">
      <c r="J21139">
        <f>IFERROR(__xludf.DUMMYFUNCTION("""COMPUTED_VALUE"""),"Bolton, Ontario / Cambridge,
Ontario")</f>
        <v/>
      </c>
      <c r="K21139">
        <f>IFERROR(__xludf.DUMMYFUNCTION("""COMPUTED_VALUE"""),151.23)</f>
        <v/>
      </c>
    </row>
    <row r="21140">
      <c r="J21140">
        <f>IFERROR(__xludf.DUMMYFUNCTION("""COMPUTED_VALUE"""),"La Pocatière, Quebec, Canada; Montmagny, Quebec, Canada")</f>
        <v/>
      </c>
      <c r="K21140">
        <f>IFERROR(__xludf.DUMMYFUNCTION("""COMPUTED_VALUE"""),151.1)</f>
        <v/>
      </c>
    </row>
    <row r="21141">
      <c r="J21141">
        <f>IFERROR(__xludf.DUMMYFUNCTION("""COMPUTED_VALUE"""),"Fredericton and Welsford, New Brunswick")</f>
        <v/>
      </c>
      <c r="K21141">
        <f>IFERROR(__xludf.DUMMYFUNCTION("""COMPUTED_VALUE"""),150.73)</f>
        <v/>
      </c>
    </row>
    <row r="21142">
      <c r="J21142">
        <f>IFERROR(__xludf.DUMMYFUNCTION("""COMPUTED_VALUE"""),"Waterford, New Brunswick")</f>
        <v/>
      </c>
      <c r="K21142">
        <f>IFERROR(__xludf.DUMMYFUNCTION("""COMPUTED_VALUE"""),150.58)</f>
        <v/>
      </c>
    </row>
    <row r="21143">
      <c r="J21143">
        <f>IFERROR(__xludf.DUMMYFUNCTION("""COMPUTED_VALUE"""),"Neyaashiinigmiing 27, Ontario, Canada")</f>
        <v/>
      </c>
      <c r="K21143">
        <f>IFERROR(__xludf.DUMMYFUNCTION("""COMPUTED_VALUE"""),150.29)</f>
        <v/>
      </c>
    </row>
    <row r="21144">
      <c r="J21144">
        <f>IFERROR(__xludf.DUMMYFUNCTION("""COMPUTED_VALUE"""),"Rigaud QC")</f>
        <v/>
      </c>
      <c r="K21144">
        <f>IFERROR(__xludf.DUMMYFUNCTION("""COMPUTED_VALUE"""),150.22)</f>
        <v/>
      </c>
    </row>
    <row r="21145">
      <c r="J21145">
        <f>IFERROR(__xludf.DUMMYFUNCTION("""COMPUTED_VALUE"""),"SUMMERSIDE, PE")</f>
        <v/>
      </c>
      <c r="K21145">
        <f>IFERROR(__xludf.DUMMYFUNCTION("""COMPUTED_VALUE"""),150.19)</f>
        <v/>
      </c>
    </row>
    <row r="21146">
      <c r="J21146">
        <f>IFERROR(__xludf.DUMMYFUNCTION("""COMPUTED_VALUE"""),"CFB Greenwood, NS")</f>
        <v/>
      </c>
      <c r="K21146">
        <f>IFERROR(__xludf.DUMMYFUNCTION("""COMPUTED_VALUE"""),150)</f>
        <v/>
      </c>
    </row>
    <row r="21147">
      <c r="J21147">
        <f>IFERROR(__xludf.DUMMYFUNCTION("""COMPUTED_VALUE"""),"St. Andrews, NB Minto, NB")</f>
        <v/>
      </c>
      <c r="K21147">
        <f>IFERROR(__xludf.DUMMYFUNCTION("""COMPUTED_VALUE"""),149.88)</f>
        <v/>
      </c>
    </row>
    <row r="21148">
      <c r="J21148">
        <f>IFERROR(__xludf.DUMMYFUNCTION("""COMPUTED_VALUE"""),"Sunshine Coast, British Columbia, Canada")</f>
        <v/>
      </c>
      <c r="K21148">
        <f>IFERROR(__xludf.DUMMYFUNCTION("""COMPUTED_VALUE"""),149.73)</f>
        <v/>
      </c>
    </row>
    <row r="21149">
      <c r="J21149">
        <f>IFERROR(__xludf.DUMMYFUNCTION("""COMPUTED_VALUE"""),"Wright Patterson AFB")</f>
        <v/>
      </c>
      <c r="K21149">
        <f>IFERROR(__xludf.DUMMYFUNCTION("""COMPUTED_VALUE"""),149.64)</f>
        <v/>
      </c>
    </row>
    <row r="21150">
      <c r="J21150">
        <f>IFERROR(__xludf.DUMMYFUNCTION("""COMPUTED_VALUE"""),"St.John, NB")</f>
        <v/>
      </c>
      <c r="K21150">
        <f>IFERROR(__xludf.DUMMYFUNCTION("""COMPUTED_VALUE"""),149.63)</f>
        <v/>
      </c>
    </row>
    <row r="21151">
      <c r="J21151">
        <f>IFERROR(__xludf.DUMMYFUNCTION("""COMPUTED_VALUE"""),"Morden, MB")</f>
        <v/>
      </c>
      <c r="K21151">
        <f>IFERROR(__xludf.DUMMYFUNCTION("""COMPUTED_VALUE"""),149.07)</f>
        <v/>
      </c>
    </row>
    <row r="21152">
      <c r="J21152">
        <f>IFERROR(__xludf.DUMMYFUNCTION("""COMPUTED_VALUE"""),"Local Ottawa travel")</f>
        <v/>
      </c>
      <c r="K21152">
        <f>IFERROR(__xludf.DUMMYFUNCTION("""COMPUTED_VALUE"""),149)</f>
        <v/>
      </c>
    </row>
    <row r="21153">
      <c r="J21153">
        <f>IFERROR(__xludf.DUMMYFUNCTION("""COMPUTED_VALUE"""),"Ottawa, ON &amp; St-Jean-sur-Richelieu, QC")</f>
        <v/>
      </c>
      <c r="K21153">
        <f>IFERROR(__xludf.DUMMYFUNCTION("""COMPUTED_VALUE"""),149)</f>
        <v/>
      </c>
    </row>
    <row r="21154">
      <c r="J21154">
        <f>IFERROR(__xludf.DUMMYFUNCTION("""COMPUTED_VALUE"""),"Surrey, Cultus Lake and Abbotsford, British Columbia, Canada")</f>
        <v/>
      </c>
      <c r="K21154">
        <f>IFERROR(__xludf.DUMMYFUNCTION("""COMPUTED_VALUE"""),148.71)</f>
        <v/>
      </c>
    </row>
    <row r="21155">
      <c r="J21155">
        <f>IFERROR(__xludf.DUMMYFUNCTION("""COMPUTED_VALUE"""),"Toronto, Ontario; Vancouver, British Colombia")</f>
        <v/>
      </c>
      <c r="K21155">
        <f>IFERROR(__xludf.DUMMYFUNCTION("""COMPUTED_VALUE"""),148.03)</f>
        <v/>
      </c>
    </row>
    <row r="21156">
      <c r="J21156">
        <f>IFERROR(__xludf.DUMMYFUNCTION("""COMPUTED_VALUE"""),"Roberval, Port Saguenay")</f>
        <v/>
      </c>
      <c r="K21156">
        <f>IFERROR(__xludf.DUMMYFUNCTION("""COMPUTED_VALUE"""),147.92)</f>
        <v/>
      </c>
    </row>
    <row r="21157">
      <c r="J21157">
        <f>IFERROR(__xludf.DUMMYFUNCTION("""COMPUTED_VALUE"""),"Grand Bay-Westfield, New Brunswick, Canada")</f>
        <v/>
      </c>
      <c r="K21157">
        <f>IFERROR(__xludf.DUMMYFUNCTION("""COMPUTED_VALUE"""),147.83)</f>
        <v/>
      </c>
    </row>
    <row r="21158">
      <c r="J21158">
        <f>IFERROR(__xludf.DUMMYFUNCTION("""COMPUTED_VALUE"""),"Vancouver and Squamish, British Columbia, Canada")</f>
        <v/>
      </c>
      <c r="K21158">
        <f>IFERROR(__xludf.DUMMYFUNCTION("""COMPUTED_VALUE"""),147.79)</f>
        <v/>
      </c>
    </row>
    <row r="21159">
      <c r="J21159">
        <f>IFERROR(__xludf.DUMMYFUNCTION("""COMPUTED_VALUE"""),"Montréal / Ottawa")</f>
        <v/>
      </c>
      <c r="K21159">
        <f>IFERROR(__xludf.DUMMYFUNCTION("""COMPUTED_VALUE"""),147.579999999999)</f>
        <v/>
      </c>
    </row>
    <row r="21160">
      <c r="J21160">
        <f>IFERROR(__xludf.DUMMYFUNCTION("""COMPUTED_VALUE"""),"Halifax, New Glasgow")</f>
        <v/>
      </c>
      <c r="K21160">
        <f>IFERROR(__xludf.DUMMYFUNCTION("""COMPUTED_VALUE"""),147.41)</f>
        <v/>
      </c>
    </row>
    <row r="21161">
      <c r="J21161">
        <f>IFERROR(__xludf.DUMMYFUNCTION("""COMPUTED_VALUE"""),"Six Nations, ON, Canada")</f>
        <v/>
      </c>
      <c r="K21161">
        <f>IFERROR(__xludf.DUMMYFUNCTION("""COMPUTED_VALUE"""),147.21)</f>
        <v/>
      </c>
    </row>
    <row r="21162">
      <c r="J21162">
        <f>IFERROR(__xludf.DUMMYFUNCTION("""COMPUTED_VALUE"""),"Welland, ON")</f>
        <v/>
      </c>
      <c r="K21162">
        <f>IFERROR(__xludf.DUMMYFUNCTION("""COMPUTED_VALUE"""),147.06)</f>
        <v/>
      </c>
    </row>
    <row r="21163">
      <c r="J21163">
        <f>IFERROR(__xludf.DUMMYFUNCTION("""COMPUTED_VALUE"""),"Murray Harbour, PE")</f>
        <v/>
      </c>
      <c r="K21163">
        <f>IFERROR(__xludf.DUMMYFUNCTION("""COMPUTED_VALUE"""),146.96)</f>
        <v/>
      </c>
    </row>
    <row r="21164">
      <c r="J21164">
        <f>IFERROR(__xludf.DUMMYFUNCTION("""COMPUTED_VALUE"""),"Borden ON")</f>
        <v/>
      </c>
      <c r="K21164">
        <f>IFERROR(__xludf.DUMMYFUNCTION("""COMPUTED_VALUE"""),146.85)</f>
        <v/>
      </c>
    </row>
    <row r="21165">
      <c r="J21165">
        <f>IFERROR(__xludf.DUMMYFUNCTION("""COMPUTED_VALUE"""),"New Delhi, India / Ahmedabad, India")</f>
        <v/>
      </c>
      <c r="K21165">
        <f>IFERROR(__xludf.DUMMYFUNCTION("""COMPUTED_VALUE"""),146.7)</f>
        <v/>
      </c>
    </row>
    <row r="21166">
      <c r="J21166">
        <f>IFERROR(__xludf.DUMMYFUNCTION("""COMPUTED_VALUE"""),"St. John's NL / Gagetown NB")</f>
        <v/>
      </c>
      <c r="K21166">
        <f>IFERROR(__xludf.DUMMYFUNCTION("""COMPUTED_VALUE"""),146.63)</f>
        <v/>
      </c>
    </row>
    <row r="21167">
      <c r="J21167">
        <f>IFERROR(__xludf.DUMMYFUNCTION("""COMPUTED_VALUE"""),"Moncton, NB - Charlottetown, PE / Charlottetown, PE - Moncton, NB")</f>
        <v/>
      </c>
      <c r="K21167">
        <f>IFERROR(__xludf.DUMMYFUNCTION("""COMPUTED_VALUE"""),146.24)</f>
        <v/>
      </c>
    </row>
    <row r="21168">
      <c r="J21168">
        <f>IFERROR(__xludf.DUMMYFUNCTION("""COMPUTED_VALUE"""),"Rivière-du-Loup, Chicoutimi, Roberval")</f>
        <v/>
      </c>
      <c r="K21168">
        <f>IFERROR(__xludf.DUMMYFUNCTION("""COMPUTED_VALUE"""),146.13)</f>
        <v/>
      </c>
    </row>
    <row r="21169">
      <c r="J21169">
        <f>IFERROR(__xludf.DUMMYFUNCTION("""COMPUTED_VALUE"""),"Roberval, Chicoutimi, St-Honoré, Gatineau")</f>
        <v/>
      </c>
      <c r="K21169">
        <f>IFERROR(__xludf.DUMMYFUNCTION("""COMPUTED_VALUE"""),146.06)</f>
        <v/>
      </c>
    </row>
    <row r="21170">
      <c r="J21170">
        <f>IFERROR(__xludf.DUMMYFUNCTION("""COMPUTED_VALUE"""),"St-Hyacinthe (Quebec) Canada")</f>
        <v/>
      </c>
      <c r="K21170">
        <f>IFERROR(__xludf.DUMMYFUNCTION("""COMPUTED_VALUE"""),145.75)</f>
        <v/>
      </c>
    </row>
    <row r="21171">
      <c r="J21171">
        <f>IFERROR(__xludf.DUMMYFUNCTION("""COMPUTED_VALUE"""),"Brussels Belgium, Frankfurt Germany, Kuwait, Amman")</f>
        <v/>
      </c>
      <c r="K21171">
        <f>IFERROR(__xludf.DUMMYFUNCTION("""COMPUTED_VALUE"""),145.64)</f>
        <v/>
      </c>
    </row>
    <row r="21172">
      <c r="J21172">
        <f>IFERROR(__xludf.DUMMYFUNCTION("""COMPUTED_VALUE"""),"Longueuil (Quebec) Canada")</f>
        <v/>
      </c>
      <c r="K21172">
        <f>IFERROR(__xludf.DUMMYFUNCTION("""COMPUTED_VALUE"""),145.31)</f>
        <v/>
      </c>
    </row>
    <row r="21173">
      <c r="J21173">
        <f>IFERROR(__xludf.DUMMYFUNCTION("""COMPUTED_VALUE"""),"Brossard, Quebec, canada")</f>
        <v/>
      </c>
      <c r="K21173">
        <f>IFERROR(__xludf.DUMMYFUNCTION("""COMPUTED_VALUE"""),145.3)</f>
        <v/>
      </c>
    </row>
    <row r="21174">
      <c r="J21174">
        <f>IFERROR(__xludf.DUMMYFUNCTION("""COMPUTED_VALUE"""),"Providence, Rhode Island")</f>
        <v/>
      </c>
      <c r="K21174">
        <f>IFERROR(__xludf.DUMMYFUNCTION("""COMPUTED_VALUE"""),145.3)</f>
        <v/>
      </c>
    </row>
    <row r="21175">
      <c r="J21175">
        <f>IFERROR(__xludf.DUMMYFUNCTION("""COMPUTED_VALUE"""),"Renfrew, ON")</f>
        <v/>
      </c>
      <c r="K21175">
        <f>IFERROR(__xludf.DUMMYFUNCTION("""COMPUTED_VALUE"""),145.16)</f>
        <v/>
      </c>
    </row>
    <row r="21176">
      <c r="J21176">
        <f>IFERROR(__xludf.DUMMYFUNCTION("""COMPUTED_VALUE"""),"Port-au-Prince, Haiti Santo Domingo, Dominican Republic")</f>
        <v/>
      </c>
      <c r="K21176">
        <f>IFERROR(__xludf.DUMMYFUNCTION("""COMPUTED_VALUE"""),144.97)</f>
        <v/>
      </c>
    </row>
    <row r="21177">
      <c r="J21177">
        <f>IFERROR(__xludf.DUMMYFUNCTION("""COMPUTED_VALUE"""),"Dolbeau-Mistassini, St-Bruno")</f>
        <v/>
      </c>
      <c r="K21177">
        <f>IFERROR(__xludf.DUMMYFUNCTION("""COMPUTED_VALUE"""),144.64)</f>
        <v/>
      </c>
    </row>
    <row r="21178">
      <c r="J21178">
        <f>IFERROR(__xludf.DUMMYFUNCTION("""COMPUTED_VALUE"""),"Valleyfield, Quebec, Canada")</f>
        <v/>
      </c>
      <c r="K21178">
        <f>IFERROR(__xludf.DUMMYFUNCTION("""COMPUTED_VALUE"""),144.41)</f>
        <v/>
      </c>
    </row>
    <row r="21179">
      <c r="J21179">
        <f>IFERROR(__xludf.DUMMYFUNCTION("""COMPUTED_VALUE"""),"Kingston and Trenton, Ontario, Canada")</f>
        <v/>
      </c>
      <c r="K21179">
        <f>IFERROR(__xludf.DUMMYFUNCTION("""COMPUTED_VALUE"""),144.05)</f>
        <v/>
      </c>
    </row>
    <row r="21180">
      <c r="J21180">
        <f>IFERROR(__xludf.DUMMYFUNCTION("""COMPUTED_VALUE"""),"Panama, United States")</f>
        <v/>
      </c>
      <c r="K21180">
        <f>IFERROR(__xludf.DUMMYFUNCTION("""COMPUTED_VALUE"""),144.02)</f>
        <v/>
      </c>
    </row>
    <row r="21181">
      <c r="J21181">
        <f>IFERROR(__xludf.DUMMYFUNCTION("""COMPUTED_VALUE"""),"Halton Hills, ON")</f>
        <v/>
      </c>
      <c r="K21181">
        <f>IFERROR(__xludf.DUMMYFUNCTION("""COMPUTED_VALUE"""),143.69)</f>
        <v/>
      </c>
    </row>
    <row r="21182">
      <c r="J21182">
        <f>IFERROR(__xludf.DUMMYFUNCTION("""COMPUTED_VALUE"""),"Markham, Ontario, Canada; Scarborough, Ontario, Canada")</f>
        <v/>
      </c>
      <c r="K21182">
        <f>IFERROR(__xludf.DUMMYFUNCTION("""COMPUTED_VALUE"""),143.6)</f>
        <v/>
      </c>
    </row>
    <row r="21183">
      <c r="J21183">
        <f>IFERROR(__xludf.DUMMYFUNCTION("""COMPUTED_VALUE"""),"Orono, Maine")</f>
        <v/>
      </c>
      <c r="K21183">
        <f>IFERROR(__xludf.DUMMYFUNCTION("""COMPUTED_VALUE"""),143.6)</f>
        <v/>
      </c>
    </row>
    <row r="21184">
      <c r="J21184">
        <f>IFERROR(__xludf.DUMMYFUNCTION("""COMPUTED_VALUE"""),"London and St. Thomas, Ontario, Canada")</f>
        <v/>
      </c>
      <c r="K21184">
        <f>IFERROR(__xludf.DUMMYFUNCTION("""COMPUTED_VALUE"""),143.57)</f>
        <v/>
      </c>
    </row>
    <row r="21185">
      <c r="J21185">
        <f>IFERROR(__xludf.DUMMYFUNCTION("""COMPUTED_VALUE"""),"Paris - Paris Country Club Rueil-Malmaison")</f>
        <v/>
      </c>
      <c r="K21185">
        <f>IFERROR(__xludf.DUMMYFUNCTION("""COMPUTED_VALUE"""),143.28)</f>
        <v/>
      </c>
    </row>
    <row r="21186">
      <c r="J21186">
        <f>IFERROR(__xludf.DUMMYFUNCTION("""COMPUTED_VALUE"""),"Saguenay, Chicoutimi")</f>
        <v/>
      </c>
      <c r="K21186">
        <f>IFERROR(__xludf.DUMMYFUNCTION("""COMPUTED_VALUE"""),143.21)</f>
        <v/>
      </c>
    </row>
    <row r="21187">
      <c r="J21187">
        <f>IFERROR(__xludf.DUMMYFUNCTION("""COMPUTED_VALUE"""),"Port au Prince-Haïti, Regina and Winnipeg")</f>
        <v/>
      </c>
      <c r="K21187">
        <f>IFERROR(__xludf.DUMMYFUNCTION("""COMPUTED_VALUE"""),143.04)</f>
        <v/>
      </c>
    </row>
    <row r="21188">
      <c r="J21188">
        <f>IFERROR(__xludf.DUMMYFUNCTION("""COMPUTED_VALUE"""),"St.Hyacinthe, QC")</f>
        <v/>
      </c>
      <c r="K21188">
        <f>IFERROR(__xludf.DUMMYFUNCTION("""COMPUTED_VALUE"""),143.03)</f>
        <v/>
      </c>
    </row>
    <row r="21189">
      <c r="J21189">
        <f>IFERROR(__xludf.DUMMYFUNCTION("""COMPUTED_VALUE"""),"Canadian Forces base, Borden (Ontario) Canada")</f>
        <v/>
      </c>
      <c r="K21189">
        <f>IFERROR(__xludf.DUMMYFUNCTION("""COMPUTED_VALUE"""),142.75)</f>
        <v/>
      </c>
    </row>
    <row r="21190">
      <c r="J21190">
        <f>IFERROR(__xludf.DUMMYFUNCTION("""COMPUTED_VALUE"""),"Norman's Cove, Newfoundland and Labrador")</f>
        <v/>
      </c>
      <c r="K21190">
        <f>IFERROR(__xludf.DUMMYFUNCTION("""COMPUTED_VALUE"""),142.74)</f>
        <v/>
      </c>
    </row>
    <row r="21191">
      <c r="J21191">
        <f>IFERROR(__xludf.DUMMYFUNCTION("""COMPUTED_VALUE"""),"Curve Lake First Nation, Ontario, Canada")</f>
        <v/>
      </c>
      <c r="K21191">
        <f>IFERROR(__xludf.DUMMYFUNCTION("""COMPUTED_VALUE"""),142.5)</f>
        <v/>
      </c>
    </row>
    <row r="21192">
      <c r="J21192">
        <f>IFERROR(__xludf.DUMMYFUNCTION("""COMPUTED_VALUE"""),"Ste-Anne-de-Bellevue, QC")</f>
        <v/>
      </c>
      <c r="K21192">
        <f>IFERROR(__xludf.DUMMYFUNCTION("""COMPUTED_VALUE"""),142.43)</f>
        <v/>
      </c>
    </row>
    <row r="21193">
      <c r="J21193">
        <f>IFERROR(__xludf.DUMMYFUNCTION("""COMPUTED_VALUE"""),"Newmarket, Brampton, Toronto, ON")</f>
        <v/>
      </c>
      <c r="K21193">
        <f>IFERROR(__xludf.DUMMYFUNCTION("""COMPUTED_VALUE"""),142.39)</f>
        <v/>
      </c>
    </row>
    <row r="21194">
      <c r="J21194">
        <f>IFERROR(__xludf.DUMMYFUNCTION("""COMPUTED_VALUE"""),"Ste-Croix, QC")</f>
        <v/>
      </c>
      <c r="K21194">
        <f>IFERROR(__xludf.DUMMYFUNCTION("""COMPUTED_VALUE"""),142.329999999999)</f>
        <v/>
      </c>
    </row>
    <row r="21195">
      <c r="J21195">
        <f>IFERROR(__xludf.DUMMYFUNCTION("""COMPUTED_VALUE"""),"Ottawa, Ontario; Winnipeg, Manitoba; Edmonton, Alberta; Kamloop, British Columbia")</f>
        <v/>
      </c>
      <c r="K21195">
        <f>IFERROR(__xludf.DUMMYFUNCTION("""COMPUTED_VALUE"""),142)</f>
        <v/>
      </c>
    </row>
    <row r="21196">
      <c r="J21196">
        <f>IFERROR(__xludf.DUMMYFUNCTION("""COMPUTED_VALUE"""),"Sainte-Catherine, Quebec, Canada; North Hatley, Quebec, Canada")</f>
        <v/>
      </c>
      <c r="K21196">
        <f>IFERROR(__xludf.DUMMYFUNCTION("""COMPUTED_VALUE"""),141.76)</f>
        <v/>
      </c>
    </row>
    <row r="21197">
      <c r="J21197">
        <f>IFERROR(__xludf.DUMMYFUNCTION("""COMPUTED_VALUE"""),"Halifax, Greenwood")</f>
        <v/>
      </c>
      <c r="K21197">
        <f>IFERROR(__xludf.DUMMYFUNCTION("""COMPUTED_VALUE"""),141.5)</f>
        <v/>
      </c>
    </row>
    <row r="21198">
      <c r="J21198">
        <f>IFERROR(__xludf.DUMMYFUNCTION("""COMPUTED_VALUE"""),"Ottawa, Ontario; Gatineau, Québec, Canada")</f>
        <v/>
      </c>
      <c r="K21198">
        <f>IFERROR(__xludf.DUMMYFUNCTION("""COMPUTED_VALUE"""),141.5)</f>
        <v/>
      </c>
    </row>
    <row r="21199">
      <c r="J21199">
        <f>IFERROR(__xludf.DUMMYFUNCTION("""COMPUTED_VALUE"""),"Kedgewick, New Brunswick")</f>
        <v/>
      </c>
      <c r="K21199">
        <f>IFERROR(__xludf.DUMMYFUNCTION("""COMPUTED_VALUE"""),141.45)</f>
        <v/>
      </c>
    </row>
    <row r="21200">
      <c r="J21200">
        <f>IFERROR(__xludf.DUMMYFUNCTION("""COMPUTED_VALUE"""),"Ottawa (Ontario) Canada, Gatineau (Quebec) Canada")</f>
        <v/>
      </c>
      <c r="K21200">
        <f>IFERROR(__xludf.DUMMYFUNCTION("""COMPUTED_VALUE"""),141.31)</f>
        <v/>
      </c>
    </row>
    <row r="21201">
      <c r="J21201">
        <f>IFERROR(__xludf.DUMMYFUNCTION("""COMPUTED_VALUE"""),"Bagotville, Roberval, Sept-Îles, Gaspé")</f>
        <v/>
      </c>
      <c r="K21201">
        <f>IFERROR(__xludf.DUMMYFUNCTION("""COMPUTED_VALUE"""),141.25)</f>
        <v/>
      </c>
    </row>
    <row r="21202">
      <c r="J21202">
        <f>IFERROR(__xludf.DUMMYFUNCTION("""COMPUTED_VALUE"""),"Sussex and Moncton, New Brunswick")</f>
        <v/>
      </c>
      <c r="K21202">
        <f>IFERROR(__xludf.DUMMYFUNCTION("""COMPUTED_VALUE"""),141)</f>
        <v/>
      </c>
    </row>
    <row r="21203">
      <c r="J21203">
        <f>IFERROR(__xludf.DUMMYFUNCTION("""COMPUTED_VALUE"""),"Nuns' Island, Montreal")</f>
        <v/>
      </c>
      <c r="K21203">
        <f>IFERROR(__xludf.DUMMYFUNCTION("""COMPUTED_VALUE"""),140.93)</f>
        <v/>
      </c>
    </row>
    <row r="21204">
      <c r="J21204">
        <f>IFERROR(__xludf.DUMMYFUNCTION("""COMPUTED_VALUE"""),"Nashua, NH &amp; Portland, ME")</f>
        <v/>
      </c>
      <c r="K21204">
        <f>IFERROR(__xludf.DUMMYFUNCTION("""COMPUTED_VALUE"""),140.92)</f>
        <v/>
      </c>
    </row>
    <row r="21205">
      <c r="J21205">
        <f>IFERROR(__xludf.DUMMYFUNCTION("""COMPUTED_VALUE"""),"Kingsotn (Ontario) Canada")</f>
        <v/>
      </c>
      <c r="K21205">
        <f>IFERROR(__xludf.DUMMYFUNCTION("""COMPUTED_VALUE"""),140.7)</f>
        <v/>
      </c>
    </row>
    <row r="21206">
      <c r="J21206">
        <f>IFERROR(__xludf.DUMMYFUNCTION("""COMPUTED_VALUE"""),"Quebec,Montreal,  (Quebec)")</f>
        <v/>
      </c>
      <c r="K21206">
        <f>IFERROR(__xludf.DUMMYFUNCTION("""COMPUTED_VALUE"""),140.5)</f>
        <v/>
      </c>
    </row>
    <row r="21207">
      <c r="J21207">
        <f>IFERROR(__xludf.DUMMYFUNCTION("""COMPUTED_VALUE"""),"Royalmount, QC")</f>
        <v/>
      </c>
      <c r="K21207">
        <f>IFERROR(__xludf.DUMMYFUNCTION("""COMPUTED_VALUE"""),140.39)</f>
        <v/>
      </c>
    </row>
    <row r="21208">
      <c r="J21208">
        <f>IFERROR(__xludf.DUMMYFUNCTION("""COMPUTED_VALUE"""),"Dolbeau-Mistassini, St-Gédéon")</f>
        <v/>
      </c>
      <c r="K21208">
        <f>IFERROR(__xludf.DUMMYFUNCTION("""COMPUTED_VALUE"""),140.12)</f>
        <v/>
      </c>
    </row>
    <row r="21209">
      <c r="J21209">
        <f>IFERROR(__xludf.DUMMYFUNCTION("""COMPUTED_VALUE"""),"Port Moody, Coquitlam, Burnaby")</f>
        <v/>
      </c>
      <c r="K21209">
        <f>IFERROR(__xludf.DUMMYFUNCTION("""COMPUTED_VALUE"""),140.09)</f>
        <v/>
      </c>
    </row>
    <row r="21210">
      <c r="J21210">
        <f>IFERROR(__xludf.DUMMYFUNCTION("""COMPUTED_VALUE"""),"Farmington Hills, Michigan, USA")</f>
        <v/>
      </c>
      <c r="K21210">
        <f>IFERROR(__xludf.DUMMYFUNCTION("""COMPUTED_VALUE"""),139.8)</f>
        <v/>
      </c>
    </row>
    <row r="21211">
      <c r="J21211">
        <f>IFERROR(__xludf.DUMMYFUNCTION("""COMPUTED_VALUE"""),"Six Nations, Ontario")</f>
        <v/>
      </c>
      <c r="K21211">
        <f>IFERROR(__xludf.DUMMYFUNCTION("""COMPUTED_VALUE"""),139.78)</f>
        <v/>
      </c>
    </row>
    <row r="21212">
      <c r="J21212">
        <f>IFERROR(__xludf.DUMMYFUNCTION("""COMPUTED_VALUE"""),"Cheltenham, ON / Mississauga,
ON")</f>
        <v/>
      </c>
      <c r="K21212">
        <f>IFERROR(__xludf.DUMMYFUNCTION("""COMPUTED_VALUE"""),139.55)</f>
        <v/>
      </c>
    </row>
    <row r="21213">
      <c r="J21213">
        <f>IFERROR(__xludf.DUMMYFUNCTION("""COMPUTED_VALUE"""),"Roberval, Bagotville")</f>
        <v/>
      </c>
      <c r="K21213">
        <f>IFERROR(__xludf.DUMMYFUNCTION("""COMPUTED_VALUE"""),139.1)</f>
        <v/>
      </c>
    </row>
    <row r="21214">
      <c r="J21214">
        <f>IFERROR(__xludf.DUMMYFUNCTION("""COMPUTED_VALUE"""),"Longueil, Qebec")</f>
        <v/>
      </c>
      <c r="K21214">
        <f>IFERROR(__xludf.DUMMYFUNCTION("""COMPUTED_VALUE"""),139.07)</f>
        <v/>
      </c>
    </row>
    <row r="21215">
      <c r="J21215">
        <f>IFERROR(__xludf.DUMMYFUNCTION("""COMPUTED_VALUE"""),"Vaughan, ON / Toronto, ON")</f>
        <v/>
      </c>
      <c r="K21215">
        <f>IFERROR(__xludf.DUMMYFUNCTION("""COMPUTED_VALUE"""),138.65)</f>
        <v/>
      </c>
    </row>
    <row r="21216">
      <c r="J21216">
        <f>IFERROR(__xludf.DUMMYFUNCTION("""COMPUTED_VALUE"""),"Istanbul, Turkiye")</f>
        <v/>
      </c>
      <c r="K21216">
        <f>IFERROR(__xludf.DUMMYFUNCTION("""COMPUTED_VALUE"""),138.55)</f>
        <v/>
      </c>
    </row>
    <row r="21217">
      <c r="J21217">
        <f>IFERROR(__xludf.DUMMYFUNCTION("""COMPUTED_VALUE"""),"Delta, Ontario")</f>
        <v/>
      </c>
      <c r="K21217">
        <f>IFERROR(__xludf.DUMMYFUNCTION("""COMPUTED_VALUE"""),138.43)</f>
        <v/>
      </c>
    </row>
    <row r="21218">
      <c r="J21218">
        <f>IFERROR(__xludf.DUMMYFUNCTION("""COMPUTED_VALUE"""),"Orleans, Hawkesbury, Ontario, Canada")</f>
        <v/>
      </c>
      <c r="K21218">
        <f>IFERROR(__xludf.DUMMYFUNCTION("""COMPUTED_VALUE"""),138.42)</f>
        <v/>
      </c>
    </row>
    <row r="21219">
      <c r="J21219">
        <f>IFERROR(__xludf.DUMMYFUNCTION("""COMPUTED_VALUE"""),"Huntingdon, Cambridgeshire")</f>
        <v/>
      </c>
      <c r="K21219">
        <f>IFERROR(__xludf.DUMMYFUNCTION("""COMPUTED_VALUE"""),138.27)</f>
        <v/>
      </c>
    </row>
    <row r="21220">
      <c r="J21220">
        <f>IFERROR(__xludf.DUMMYFUNCTION("""COMPUTED_VALUE"""),"Drummond Institution, Quebec")</f>
        <v/>
      </c>
      <c r="K21220">
        <f>IFERROR(__xludf.DUMMYFUNCTION("""COMPUTED_VALUE"""),138.03)</f>
        <v/>
      </c>
    </row>
    <row r="21221">
      <c r="J21221">
        <f>IFERROR(__xludf.DUMMYFUNCTION("""COMPUTED_VALUE"""),"Montreal ,QC")</f>
        <v/>
      </c>
      <c r="K21221">
        <f>IFERROR(__xludf.DUMMYFUNCTION("""COMPUTED_VALUE"""),137.86)</f>
        <v/>
      </c>
    </row>
    <row r="21222">
      <c r="J21222">
        <f>IFERROR(__xludf.DUMMYFUNCTION("""COMPUTED_VALUE"""),"Bethune-Thompson House, Williamstown, Ontario")</f>
        <v/>
      </c>
      <c r="K21222">
        <f>IFERROR(__xludf.DUMMYFUNCTION("""COMPUTED_VALUE"""),137.75)</f>
        <v/>
      </c>
    </row>
    <row r="21223">
      <c r="J21223">
        <f>IFERROR(__xludf.DUMMYFUNCTION("""COMPUTED_VALUE"""),"Riga, Latvia (by PM Airbus) (acc. paid by PMO)")</f>
        <v/>
      </c>
      <c r="K21223">
        <f>IFERROR(__xludf.DUMMYFUNCTION("""COMPUTED_VALUE"""),137.34)</f>
        <v/>
      </c>
    </row>
    <row r="21224">
      <c r="J21224">
        <f>IFERROR(__xludf.DUMMYFUNCTION("""COMPUTED_VALUE"""),"Trois-Rivière")</f>
        <v/>
      </c>
      <c r="K21224">
        <f>IFERROR(__xludf.DUMMYFUNCTION("""COMPUTED_VALUE"""),137.34)</f>
        <v/>
      </c>
    </row>
    <row r="21225">
      <c r="J21225">
        <f>IFERROR(__xludf.DUMMYFUNCTION("""COMPUTED_VALUE"""),"Charlottetown, Prince Edward Island, Canada; Montague, Prince Edward Island, Canada; Summerside, Prince Edward Island, Canada")</f>
        <v/>
      </c>
      <c r="K21225">
        <f>IFERROR(__xludf.DUMMYFUNCTION("""COMPUTED_VALUE"""),137.28)</f>
        <v/>
      </c>
    </row>
    <row r="21226">
      <c r="J21226">
        <f>IFERROR(__xludf.DUMMYFUNCTION("""COMPUTED_VALUE"""),"Merrickville (Ontario)")</f>
        <v/>
      </c>
      <c r="K21226">
        <f>IFERROR(__xludf.DUMMYFUNCTION("""COMPUTED_VALUE"""),137.1)</f>
        <v/>
      </c>
    </row>
    <row r="21227">
      <c r="J21227">
        <f>IFERROR(__xludf.DUMMYFUNCTION("""COMPUTED_VALUE"""),"Carling Campus and Pearkes, Ottawa")</f>
        <v/>
      </c>
      <c r="K21227">
        <f>IFERROR(__xludf.DUMMYFUNCTION("""COMPUTED_VALUE"""),137.07)</f>
        <v/>
      </c>
    </row>
    <row r="21228">
      <c r="J21228">
        <f>IFERROR(__xludf.DUMMYFUNCTION("""COMPUTED_VALUE"""),"Yves Houle funeral center, Drummondville, Québec.")</f>
        <v/>
      </c>
      <c r="K21228">
        <f>IFERROR(__xludf.DUMMYFUNCTION("""COMPUTED_VALUE"""),137.01)</f>
        <v/>
      </c>
    </row>
    <row r="21229">
      <c r="J21229">
        <f>IFERROR(__xludf.DUMMYFUNCTION("""COMPUTED_VALUE"""),"Péribonka")</f>
        <v/>
      </c>
      <c r="K21229">
        <f>IFERROR(__xludf.DUMMYFUNCTION("""COMPUTED_VALUE"""),136.36)</f>
        <v/>
      </c>
    </row>
    <row r="21230">
      <c r="J21230">
        <f>IFERROR(__xludf.DUMMYFUNCTION("""COMPUTED_VALUE"""),"Rigaud, QC Montréal, QC Laval, QC")</f>
        <v/>
      </c>
      <c r="K21230">
        <f>IFERROR(__xludf.DUMMYFUNCTION("""COMPUTED_VALUE"""),136.27)</f>
        <v/>
      </c>
    </row>
    <row r="21231">
      <c r="J21231">
        <f>IFERROR(__xludf.DUMMYFUNCTION("""COMPUTED_VALUE"""),"Trent")</f>
        <v/>
      </c>
      <c r="K21231">
        <f>IFERROR(__xludf.DUMMYFUNCTION("""COMPUTED_VALUE"""),136.17)</f>
        <v/>
      </c>
    </row>
    <row r="21232">
      <c r="J21232">
        <f>IFERROR(__xludf.DUMMYFUNCTION("""COMPUTED_VALUE"""),"Orford, Granby, Cowansville, Quebec, (Canada).")</f>
        <v/>
      </c>
      <c r="K21232">
        <f>IFERROR(__xludf.DUMMYFUNCTION("""COMPUTED_VALUE"""),136.02)</f>
        <v/>
      </c>
    </row>
    <row r="21233">
      <c r="J21233">
        <f>IFERROR(__xludf.DUMMYFUNCTION("""COMPUTED_VALUE"""),"Orford, QC")</f>
        <v/>
      </c>
      <c r="K21233">
        <f>IFERROR(__xludf.DUMMYFUNCTION("""COMPUTED_VALUE"""),136.019999999999)</f>
        <v/>
      </c>
    </row>
    <row r="21234">
      <c r="J21234">
        <f>IFERROR(__xludf.DUMMYFUNCTION("""COMPUTED_VALUE"""),"Saint-Léonard-d'Aston (Quebec) CanadaBaie-du-Febvre (Quebec) CanadaDrummondville (Quebec) Canada")</f>
        <v/>
      </c>
      <c r="K21234">
        <f>IFERROR(__xludf.DUMMYFUNCTION("""COMPUTED_VALUE"""),135.83)</f>
        <v/>
      </c>
    </row>
    <row r="21235">
      <c r="J21235">
        <f>IFERROR(__xludf.DUMMYFUNCTION("""COMPUTED_VALUE"""),"West Vancouver, British Columbia, Canada")</f>
        <v/>
      </c>
      <c r="K21235">
        <f>IFERROR(__xludf.DUMMYFUNCTION("""COMPUTED_VALUE"""),135.8)</f>
        <v/>
      </c>
    </row>
    <row r="21236">
      <c r="J21236">
        <f>IFERROR(__xludf.DUMMYFUNCTION("""COMPUTED_VALUE"""),"Prescott-Russell, Ontario, Canada")</f>
        <v/>
      </c>
      <c r="K21236">
        <f>IFERROR(__xludf.DUMMYFUNCTION("""COMPUTED_VALUE"""),135.52)</f>
        <v/>
      </c>
    </row>
    <row r="21237">
      <c r="J21237">
        <f>IFERROR(__xludf.DUMMYFUNCTION("""COMPUTED_VALUE"""),"Richmond")</f>
        <v/>
      </c>
      <c r="K21237">
        <f>IFERROR(__xludf.DUMMYFUNCTION("""COMPUTED_VALUE"""),135.39)</f>
        <v/>
      </c>
    </row>
    <row r="21238">
      <c r="J21238">
        <f>IFERROR(__xludf.DUMMYFUNCTION("""COMPUTED_VALUE"""),"Conrwall, Ontario")</f>
        <v/>
      </c>
      <c r="K21238">
        <f>IFERROR(__xludf.DUMMYFUNCTION("""COMPUTED_VALUE"""),135.36)</f>
        <v/>
      </c>
    </row>
    <row r="21239">
      <c r="J21239">
        <f>IFERROR(__xludf.DUMMYFUNCTION("""COMPUTED_VALUE"""),"Ottawa, Ontario Via train 6 biz pack return via train 10 biz pack")</f>
        <v/>
      </c>
      <c r="K21239">
        <f>IFERROR(__xludf.DUMMYFUNCTION("""COMPUTED_VALUE"""),135.07)</f>
        <v/>
      </c>
    </row>
    <row r="21240">
      <c r="J21240">
        <f>IFERROR(__xludf.DUMMYFUNCTION("""COMPUTED_VALUE"""),"15 Eddy St, Gatineau, Québec, Canada")</f>
        <v/>
      </c>
      <c r="K21240">
        <f>IFERROR(__xludf.DUMMYFUNCTION("""COMPUTED_VALUE"""),134.86)</f>
        <v/>
      </c>
    </row>
    <row r="21241">
      <c r="J21241">
        <f>IFERROR(__xludf.DUMMYFUNCTION("""COMPUTED_VALUE"""),"Ontario, Ontario")</f>
        <v/>
      </c>
      <c r="K21241">
        <f>IFERROR(__xludf.DUMMYFUNCTION("""COMPUTED_VALUE"""),134.7)</f>
        <v/>
      </c>
    </row>
    <row r="21242">
      <c r="J21242">
        <f>IFERROR(__xludf.DUMMYFUNCTION("""COMPUTED_VALUE"""),"Ottawa-Shawinigan-Montreal")</f>
        <v/>
      </c>
      <c r="K21242">
        <f>IFERROR(__xludf.DUMMYFUNCTION("""COMPUTED_VALUE"""),134.7)</f>
        <v/>
      </c>
    </row>
    <row r="21243">
      <c r="J21243">
        <f>IFERROR(__xludf.DUMMYFUNCTION("""COMPUTED_VALUE"""),"Bern")</f>
        <v/>
      </c>
      <c r="K21243">
        <f>IFERROR(__xludf.DUMMYFUNCTION("""COMPUTED_VALUE"""),134.16)</f>
        <v/>
      </c>
    </row>
    <row r="21244">
      <c r="J21244">
        <f>IFERROR(__xludf.DUMMYFUNCTION("""COMPUTED_VALUE"""),"Ottawa, Ontario; Quebec, Quebec, Canada")</f>
        <v/>
      </c>
      <c r="K21244">
        <f>IFERROR(__xludf.DUMMYFUNCTION("""COMPUTED_VALUE"""),134)</f>
        <v/>
      </c>
    </row>
    <row r="21245">
      <c r="J21245">
        <f>IFERROR(__xludf.DUMMYFUNCTION("""COMPUTED_VALUE"""),"Mohawk Nation, Akwesasne")</f>
        <v/>
      </c>
      <c r="K21245">
        <f>IFERROR(__xludf.DUMMYFUNCTION("""COMPUTED_VALUE"""),133.69)</f>
        <v/>
      </c>
    </row>
    <row r="21246">
      <c r="J21246">
        <f>IFERROR(__xludf.DUMMYFUNCTION("""COMPUTED_VALUE"""),"Saint-Thomas-Didyme, Saint-Édmond-les-Plaines, Dolbeau-Mistassini")</f>
        <v/>
      </c>
      <c r="K21246">
        <f>IFERROR(__xludf.DUMMYFUNCTION("""COMPUTED_VALUE"""),133.56)</f>
        <v/>
      </c>
    </row>
    <row r="21247">
      <c r="J21247">
        <f>IFERROR(__xludf.DUMMYFUNCTION("""COMPUTED_VALUE"""),"Halifax and Bridgewater, Nova Scotia, Canada")</f>
        <v/>
      </c>
      <c r="K21247">
        <f>IFERROR(__xludf.DUMMYFUNCTION("""COMPUTED_VALUE"""),133.49)</f>
        <v/>
      </c>
    </row>
    <row r="21248">
      <c r="J21248">
        <f>IFERROR(__xludf.DUMMYFUNCTION("""COMPUTED_VALUE"""),"United States, Washington DC.")</f>
        <v/>
      </c>
      <c r="K21248">
        <f>IFERROR(__xludf.DUMMYFUNCTION("""COMPUTED_VALUE"""),133.3)</f>
        <v/>
      </c>
    </row>
    <row r="21249">
      <c r="J21249">
        <f>IFERROR(__xludf.DUMMYFUNCTION("""COMPUTED_VALUE"""),"Sainte-Monique")</f>
        <v/>
      </c>
      <c r="K21249">
        <f>IFERROR(__xludf.DUMMYFUNCTION("""COMPUTED_VALUE"""),133.2)</f>
        <v/>
      </c>
    </row>
    <row r="21250">
      <c r="J21250">
        <f>IFERROR(__xludf.DUMMYFUNCTION("""COMPUTED_VALUE"""),"Trois-Rivières, Quebec, Canada / Shawinigan, Quebec, Canada")</f>
        <v/>
      </c>
      <c r="K21250">
        <f>IFERROR(__xludf.DUMMYFUNCTION("""COMPUTED_VALUE"""),132.93)</f>
        <v/>
      </c>
    </row>
    <row r="21251">
      <c r="J21251">
        <f>IFERROR(__xludf.DUMMYFUNCTION("""COMPUTED_VALUE"""),"Chaffey's Locks")</f>
        <v/>
      </c>
      <c r="K21251">
        <f>IFERROR(__xludf.DUMMYFUNCTION("""COMPUTED_VALUE"""),132.85)</f>
        <v/>
      </c>
    </row>
    <row r="21252">
      <c r="J21252">
        <f>IFERROR(__xludf.DUMMYFUNCTION("""COMPUTED_VALUE"""),"Trip cancelled")</f>
        <v/>
      </c>
      <c r="K21252">
        <f>IFERROR(__xludf.DUMMYFUNCTION("""COMPUTED_VALUE"""),132.61)</f>
        <v/>
      </c>
    </row>
    <row r="21253">
      <c r="J21253">
        <f>IFERROR(__xludf.DUMMYFUNCTION("""COMPUTED_VALUE"""),"Abu Dhabi, United Arab Emirates / Islamabad, Pakistan")</f>
        <v/>
      </c>
      <c r="K21253">
        <f>IFERROR(__xludf.DUMMYFUNCTION("""COMPUTED_VALUE"""),132.53)</f>
        <v/>
      </c>
    </row>
    <row r="21254">
      <c r="J21254">
        <f>IFERROR(__xludf.DUMMYFUNCTION("""COMPUTED_VALUE"""),"Johannesburg, Cape Town and Pretoria, South Africa")</f>
        <v/>
      </c>
      <c r="K21254">
        <f>IFERROR(__xludf.DUMMYFUNCTION("""COMPUTED_VALUE"""),132.42)</f>
        <v/>
      </c>
    </row>
    <row r="21255">
      <c r="J21255">
        <f>IFERROR(__xludf.DUMMYFUNCTION("""COMPUTED_VALUE"""),"Orford, Saint-Pie, Cowansville, Sherbrooke, Quebec (Canada)")</f>
        <v/>
      </c>
      <c r="K21255">
        <f>IFERROR(__xludf.DUMMYFUNCTION("""COMPUTED_VALUE"""),132)</f>
        <v/>
      </c>
    </row>
    <row r="21256">
      <c r="J21256">
        <f>IFERROR(__xludf.DUMMYFUNCTION("""COMPUTED_VALUE"""),"St-Roch-des-Aulnaies, Quebec, Canada")</f>
        <v/>
      </c>
      <c r="K21256">
        <f>IFERROR(__xludf.DUMMYFUNCTION("""COMPUTED_VALUE"""),132)</f>
        <v/>
      </c>
    </row>
    <row r="21257">
      <c r="J21257">
        <f>IFERROR(__xludf.DUMMYFUNCTION("""COMPUTED_VALUE"""),"Ottawa Via train part of a business pack of 10 tickets there and back")</f>
        <v/>
      </c>
      <c r="K21257">
        <f>IFERROR(__xludf.DUMMYFUNCTION("""COMPUTED_VALUE"""),131.24)</f>
        <v/>
      </c>
    </row>
    <row r="21258">
      <c r="J21258">
        <f>IFERROR(__xludf.DUMMYFUNCTION("""COMPUTED_VALUE"""),"Vaudreuil-Soulanges, Quebec, Canada")</f>
        <v/>
      </c>
      <c r="K21258">
        <f>IFERROR(__xludf.DUMMYFUNCTION("""COMPUTED_VALUE"""),129.94)</f>
        <v/>
      </c>
    </row>
    <row r="21259">
      <c r="J21259">
        <f>IFERROR(__xludf.DUMMYFUNCTION("""COMPUTED_VALUE"""),"Charlo, New Brunswick, Canada")</f>
        <v/>
      </c>
      <c r="K21259">
        <f>IFERROR(__xludf.DUMMYFUNCTION("""COMPUTED_VALUE"""),129.859999999999)</f>
        <v/>
      </c>
    </row>
    <row r="21260">
      <c r="J21260">
        <f>IFERROR(__xludf.DUMMYFUNCTION("""COMPUTED_VALUE"""),"Conrwall, Ontario; Meech Lake, Quebec")</f>
        <v/>
      </c>
      <c r="K21260">
        <f>IFERROR(__xludf.DUMMYFUNCTION("""COMPUTED_VALUE"""),129.8)</f>
        <v/>
      </c>
    </row>
    <row r="21261">
      <c r="J21261">
        <f>IFERROR(__xludf.DUMMYFUNCTION("""COMPUTED_VALUE"""),"Dolbeau, Roberval")</f>
        <v/>
      </c>
      <c r="K21261">
        <f>IFERROR(__xludf.DUMMYFUNCTION("""COMPUTED_VALUE"""),129.71)</f>
        <v/>
      </c>
    </row>
    <row r="21262">
      <c r="J21262">
        <f>IFERROR(__xludf.DUMMYFUNCTION("""COMPUTED_VALUE"""),"Wainwright, Alberta,Canada")</f>
        <v/>
      </c>
      <c r="K21262">
        <f>IFERROR(__xludf.DUMMYFUNCTION("""COMPUTED_VALUE"""),129.71)</f>
        <v/>
      </c>
    </row>
    <row r="21263">
      <c r="J21263">
        <f>IFERROR(__xludf.DUMMYFUNCTION("""COMPUTED_VALUE"""),"Hagersville, Ontario")</f>
        <v/>
      </c>
      <c r="K21263">
        <f>IFERROR(__xludf.DUMMYFUNCTION("""COMPUTED_VALUE"""),129.47)</f>
        <v/>
      </c>
    </row>
    <row r="21264">
      <c r="J21264">
        <f>IFERROR(__xludf.DUMMYFUNCTION("""COMPUTED_VALUE"""),"Bedford, Nova Scotia, Canada")</f>
        <v/>
      </c>
      <c r="K21264">
        <f>IFERROR(__xludf.DUMMYFUNCTION("""COMPUTED_VALUE"""),129.33)</f>
        <v/>
      </c>
    </row>
    <row r="21265">
      <c r="J21265">
        <f>IFERROR(__xludf.DUMMYFUNCTION("""COMPUTED_VALUE"""),"Guysborough, Nova Scotia")</f>
        <v/>
      </c>
      <c r="K21265">
        <f>IFERROR(__xludf.DUMMYFUNCTION("""COMPUTED_VALUE"""),128.8)</f>
        <v/>
      </c>
    </row>
    <row r="21266">
      <c r="J21266">
        <f>IFERROR(__xludf.DUMMYFUNCTION("""COMPUTED_VALUE"""),"Ponoka, Alberta, Canada")</f>
        <v/>
      </c>
      <c r="K21266">
        <f>IFERROR(__xludf.DUMMYFUNCTION("""COMPUTED_VALUE"""),128.57)</f>
        <v/>
      </c>
    </row>
    <row r="21267">
      <c r="J21267">
        <f>IFERROR(__xludf.DUMMYFUNCTION("""COMPUTED_VALUE"""),"Scarborough, Ontario, Canada; Mississauga, Ontario, Canada")</f>
        <v/>
      </c>
      <c r="K21267">
        <f>IFERROR(__xludf.DUMMYFUNCTION("""COMPUTED_VALUE"""),128.56)</f>
        <v/>
      </c>
    </row>
    <row r="21268">
      <c r="J21268">
        <f>IFERROR(__xludf.DUMMYFUNCTION("""COMPUTED_VALUE"""),"Ottawa, ON &amp; Gatineau, QC")</f>
        <v/>
      </c>
      <c r="K21268">
        <f>IFERROR(__xludf.DUMMYFUNCTION("""COMPUTED_VALUE"""),128.5)</f>
        <v/>
      </c>
    </row>
    <row r="21269">
      <c r="J21269">
        <f>IFERROR(__xludf.DUMMYFUNCTION("""COMPUTED_VALUE"""),"Akwesasne, Québec")</f>
        <v/>
      </c>
      <c r="K21269">
        <f>IFERROR(__xludf.DUMMYFUNCTION("""COMPUTED_VALUE"""),128.22)</f>
        <v/>
      </c>
    </row>
    <row r="21270">
      <c r="J21270">
        <f>IFERROR(__xludf.DUMMYFUNCTION("""COMPUTED_VALUE"""),"Wood Islands, Prince Edward Island, Canada; Stanley Bridge, Prince Edward Island, Canada")</f>
        <v/>
      </c>
      <c r="K21270">
        <f>IFERROR(__xludf.DUMMYFUNCTION("""COMPUTED_VALUE"""),127.79)</f>
        <v/>
      </c>
    </row>
    <row r="21271">
      <c r="J21271">
        <f>IFERROR(__xludf.DUMMYFUNCTION("""COMPUTED_VALUE"""),"Lyn, ON")</f>
        <v/>
      </c>
      <c r="K21271">
        <f>IFERROR(__xludf.DUMMYFUNCTION("""COMPUTED_VALUE"""),127.6)</f>
        <v/>
      </c>
    </row>
    <row r="21272">
      <c r="J21272">
        <f>IFERROR(__xludf.DUMMYFUNCTION("""COMPUTED_VALUE"""),"Sherbrooke (Quebec) Canada; Montreal (Quebec) Canada")</f>
        <v/>
      </c>
      <c r="K21272">
        <f>IFERROR(__xludf.DUMMYFUNCTION("""COMPUTED_VALUE"""),127.6)</f>
        <v/>
      </c>
    </row>
    <row r="21273">
      <c r="J21273">
        <f>IFERROR(__xludf.DUMMYFUNCTION("""COMPUTED_VALUE"""),"Matane, Quebec, Moncton, New Brunswick, Charlo, New Brunswick")</f>
        <v/>
      </c>
      <c r="K21273">
        <f>IFERROR(__xludf.DUMMYFUNCTION("""COMPUTED_VALUE"""),127.57)</f>
        <v/>
      </c>
    </row>
    <row r="21274">
      <c r="J21274">
        <f>IFERROR(__xludf.DUMMYFUNCTION("""COMPUTED_VALUE"""),"Ottawa Part of a business pack of 10 tickets to go Part of a business pack of 6 tickets back")</f>
        <v/>
      </c>
      <c r="K21274">
        <f>IFERROR(__xludf.DUMMYFUNCTION("""COMPUTED_VALUE"""),127.57)</f>
        <v/>
      </c>
    </row>
    <row r="21275">
      <c r="J21275">
        <f>IFERROR(__xludf.DUMMYFUNCTION("""COMPUTED_VALUE"""),"Ottawa Part of business pack of 10 tickets to go Part of business pack of 6 tickets back")</f>
        <v/>
      </c>
      <c r="K21275">
        <f>IFERROR(__xludf.DUMMYFUNCTION("""COMPUTED_VALUE"""),127.42)</f>
        <v/>
      </c>
    </row>
    <row r="21276">
      <c r="J21276">
        <f>IFERROR(__xludf.DUMMYFUNCTION("""COMPUTED_VALUE"""),"Summerside, Prince Edward Island, Canada; Montague, Prince Edward Island, Canada; Cornwall, Prince Edward Island, Canada")</f>
        <v/>
      </c>
      <c r="K21276">
        <f>IFERROR(__xludf.DUMMYFUNCTION("""COMPUTED_VALUE"""),127.4)</f>
        <v/>
      </c>
    </row>
    <row r="21277">
      <c r="J21277">
        <f>IFERROR(__xludf.DUMMYFUNCTION("""COMPUTED_VALUE"""),"Saint-Sauveur, Saint-Jérome, Sainte- Thérèse, Quebec (Canada)")</f>
        <v/>
      </c>
      <c r="K21277">
        <f>IFERROR(__xludf.DUMMYFUNCTION("""COMPUTED_VALUE"""),127.35)</f>
        <v/>
      </c>
    </row>
    <row r="21278">
      <c r="J21278">
        <f>IFERROR(__xludf.DUMMYFUNCTION("""COMPUTED_VALUE"""),"Scottsdale, Arizona, United States")</f>
        <v/>
      </c>
      <c r="K21278">
        <f>IFERROR(__xludf.DUMMYFUNCTION("""COMPUTED_VALUE"""),127.22)</f>
        <v/>
      </c>
    </row>
    <row r="21279">
      <c r="J21279">
        <f>IFERROR(__xludf.DUMMYFUNCTION("""COMPUTED_VALUE"""),"Hawkesbury/Alfred")</f>
        <v/>
      </c>
      <c r="K21279">
        <f>IFERROR(__xludf.DUMMYFUNCTION("""COMPUTED_VALUE"""),126.88)</f>
        <v/>
      </c>
    </row>
    <row r="21280">
      <c r="J21280">
        <f>IFERROR(__xludf.DUMMYFUNCTION("""COMPUTED_VALUE"""),"Daegu, Republic Of Korea")</f>
        <v/>
      </c>
      <c r="K21280">
        <f>IFERROR(__xludf.DUMMYFUNCTION("""COMPUTED_VALUE"""),126.61)</f>
        <v/>
      </c>
    </row>
    <row r="21281">
      <c r="J21281">
        <f>IFERROR(__xludf.DUMMYFUNCTION("""COMPUTED_VALUE"""),"Prescott POE")</f>
        <v/>
      </c>
      <c r="K21281">
        <f>IFERROR(__xludf.DUMMYFUNCTION("""COMPUTED_VALUE"""),126.44)</f>
        <v/>
      </c>
    </row>
    <row r="21282">
      <c r="J21282">
        <f>IFERROR(__xludf.DUMMYFUNCTION("""COMPUTED_VALUE"""),"Barbados, Grenada")</f>
        <v/>
      </c>
      <c r="K21282">
        <f>IFERROR(__xludf.DUMMYFUNCTION("""COMPUTED_VALUE"""),126.39)</f>
        <v/>
      </c>
    </row>
    <row r="21283">
      <c r="J21283">
        <f>IFERROR(__xludf.DUMMYFUNCTION("""COMPUTED_VALUE"""),"140 O'connor St, Ottawa, On K1a 0r5, Canada")</f>
        <v/>
      </c>
      <c r="K21283">
        <f>IFERROR(__xludf.DUMMYFUNCTION("""COMPUTED_VALUE"""),126.37)</f>
        <v/>
      </c>
    </row>
    <row r="21284">
      <c r="J21284">
        <f>IFERROR(__xludf.DUMMYFUNCTION("""COMPUTED_VALUE"""),"Petawawa Base")</f>
        <v/>
      </c>
      <c r="K21284">
        <f>IFERROR(__xludf.DUMMYFUNCTION("""COMPUTED_VALUE"""),125.46)</f>
        <v/>
      </c>
    </row>
    <row r="21285">
      <c r="J21285">
        <f>IFERROR(__xludf.DUMMYFUNCTION("""COMPUTED_VALUE"""),"St-Vincent, Grenadines")</f>
        <v/>
      </c>
      <c r="K21285">
        <f>IFERROR(__xludf.DUMMYFUNCTION("""COMPUTED_VALUE"""),125)</f>
        <v/>
      </c>
    </row>
    <row r="21286">
      <c r="J21286">
        <f>IFERROR(__xludf.DUMMYFUNCTION("""COMPUTED_VALUE"""),"Kings and Hants Counties")</f>
        <v/>
      </c>
      <c r="K21286">
        <f>IFERROR(__xludf.DUMMYFUNCTION("""COMPUTED_VALUE"""),124.9)</f>
        <v/>
      </c>
    </row>
    <row r="21287">
      <c r="J21287">
        <f>IFERROR(__xludf.DUMMYFUNCTION("""COMPUTED_VALUE"""),"Goiania")</f>
        <v/>
      </c>
      <c r="K21287">
        <f>IFERROR(__xludf.DUMMYFUNCTION("""COMPUTED_VALUE"""),124.79)</f>
        <v/>
      </c>
    </row>
    <row r="21288">
      <c r="J21288">
        <f>IFERROR(__xludf.DUMMYFUNCTION("""COMPUTED_VALUE"""),"Ottawa, Ontario Via Train private return via train")</f>
        <v/>
      </c>
      <c r="K21288">
        <f>IFERROR(__xludf.DUMMYFUNCTION("""COMPUTED_VALUE"""),124.65)</f>
        <v/>
      </c>
    </row>
    <row r="21289">
      <c r="J21289">
        <f>IFERROR(__xludf.DUMMYFUNCTION("""COMPUTED_VALUE"""),"North Bay/Trenton, ON")</f>
        <v/>
      </c>
      <c r="K21289">
        <f>IFERROR(__xludf.DUMMYFUNCTION("""COMPUTED_VALUE"""),124.6)</f>
        <v/>
      </c>
    </row>
    <row r="21290">
      <c r="J21290">
        <f>IFERROR(__xludf.DUMMYFUNCTION("""COMPUTED_VALUE"""),"Port Coquitlam, Vancouver")</f>
        <v/>
      </c>
      <c r="K21290">
        <f>IFERROR(__xludf.DUMMYFUNCTION("""COMPUTED_VALUE"""),124.479999999999)</f>
        <v/>
      </c>
    </row>
    <row r="21291">
      <c r="J21291">
        <f>IFERROR(__xludf.DUMMYFUNCTION("""COMPUTED_VALUE"""),"Saint-Alphonse-Rodriguez, Quebec, Canada")</f>
        <v/>
      </c>
      <c r="K21291">
        <f>IFERROR(__xludf.DUMMYFUNCTION("""COMPUTED_VALUE"""),124.34)</f>
        <v/>
      </c>
    </row>
    <row r="21292">
      <c r="J21292">
        <f>IFERROR(__xludf.DUMMYFUNCTION("""COMPUTED_VALUE"""),"Douville, Bécancour")</f>
        <v/>
      </c>
      <c r="K21292">
        <f>IFERROR(__xludf.DUMMYFUNCTION("""COMPUTED_VALUE"""),124.16)</f>
        <v/>
      </c>
    </row>
    <row r="21293">
      <c r="J21293">
        <f>IFERROR(__xludf.DUMMYFUNCTION("""COMPUTED_VALUE"""),"Vancouver and Abbotsford, British Columbia")</f>
        <v/>
      </c>
      <c r="K21293">
        <f>IFERROR(__xludf.DUMMYFUNCTION("""COMPUTED_VALUE"""),124.13)</f>
        <v/>
      </c>
    </row>
    <row r="21294">
      <c r="J21294">
        <f>IFERROR(__xludf.DUMMYFUNCTION("""COMPUTED_VALUE"""),"Kings and Hants counties, Nova Scotia")</f>
        <v/>
      </c>
      <c r="K21294">
        <f>IFERROR(__xludf.DUMMYFUNCTION("""COMPUTED_VALUE"""),123.98)</f>
        <v/>
      </c>
    </row>
    <row r="21295">
      <c r="J21295">
        <f>IFERROR(__xludf.DUMMYFUNCTION("""COMPUTED_VALUE"""),"Grand Forks, North Dakota")</f>
        <v/>
      </c>
      <c r="K21295">
        <f>IFERROR(__xludf.DUMMYFUNCTION("""COMPUTED_VALUE"""),123.8)</f>
        <v/>
      </c>
    </row>
    <row r="21296">
      <c r="J21296">
        <f>IFERROR(__xludf.DUMMYFUNCTION("""COMPUTED_VALUE"""),"Pickering and Toronto, Ontario")</f>
        <v/>
      </c>
      <c r="K21296">
        <f>IFERROR(__xludf.DUMMYFUNCTION("""COMPUTED_VALUE"""),123.75)</f>
        <v/>
      </c>
    </row>
    <row r="21297">
      <c r="J21297">
        <f>IFERROR(__xludf.DUMMYFUNCTION("""COMPUTED_VALUE"""),"Plattsburgh, United States")</f>
        <v/>
      </c>
      <c r="K21297">
        <f>IFERROR(__xludf.DUMMYFUNCTION("""COMPUTED_VALUE"""),123.71)</f>
        <v/>
      </c>
    </row>
    <row r="21298">
      <c r="J21298">
        <f>IFERROR(__xludf.DUMMYFUNCTION("""COMPUTED_VALUE"""),"Singapore,Hong Kong ,Tokyo")</f>
        <v/>
      </c>
      <c r="K21298">
        <f>IFERROR(__xludf.DUMMYFUNCTION("""COMPUTED_VALUE"""),123.5)</f>
        <v/>
      </c>
    </row>
    <row r="21299">
      <c r="J21299">
        <f>IFERROR(__xludf.DUMMYFUNCTION("""COMPUTED_VALUE"""),"Sable Island, Nova Scotia, Canada")</f>
        <v/>
      </c>
      <c r="K21299">
        <f>IFERROR(__xludf.DUMMYFUNCTION("""COMPUTED_VALUE"""),123.34)</f>
        <v/>
      </c>
    </row>
    <row r="21300">
      <c r="J21300">
        <f>IFERROR(__xludf.DUMMYFUNCTION("""COMPUTED_VALUE"""),"Collingwood / Barrie ON")</f>
        <v/>
      </c>
      <c r="K21300">
        <f>IFERROR(__xludf.DUMMYFUNCTION("""COMPUTED_VALUE"""),123.3)</f>
        <v/>
      </c>
    </row>
    <row r="21301">
      <c r="J21301">
        <f>IFERROR(__xludf.DUMMYFUNCTION("""COMPUTED_VALUE"""),"Drummondville, Quebec, Canada; Montréal, Quebec, Canada")</f>
        <v/>
      </c>
      <c r="K21301">
        <f>IFERROR(__xludf.DUMMYFUNCTION("""COMPUTED_VALUE"""),123.3)</f>
        <v/>
      </c>
    </row>
    <row r="21302">
      <c r="J21302">
        <f>IFERROR(__xludf.DUMMYFUNCTION("""COMPUTED_VALUE"""),"Kitchener, ON; Waterloo, ON")</f>
        <v/>
      </c>
      <c r="K21302">
        <f>IFERROR(__xludf.DUMMYFUNCTION("""COMPUTED_VALUE"""),123.2)</f>
        <v/>
      </c>
    </row>
    <row r="21303">
      <c r="J21303">
        <f>IFERROR(__xludf.DUMMYFUNCTION("""COMPUTED_VALUE"""),"Navcan Training institute, Cornwall")</f>
        <v/>
      </c>
      <c r="K21303">
        <f>IFERROR(__xludf.DUMMYFUNCTION("""COMPUTED_VALUE"""),123.2)</f>
        <v/>
      </c>
    </row>
    <row r="21304">
      <c r="J21304">
        <f>IFERROR(__xludf.DUMMYFUNCTION("""COMPUTED_VALUE"""),"Kitimat, British Columbia")</f>
        <v/>
      </c>
      <c r="K21304">
        <f>IFERROR(__xludf.DUMMYFUNCTION("""COMPUTED_VALUE"""),123.1)</f>
        <v/>
      </c>
    </row>
    <row r="21305">
      <c r="J21305">
        <f>IFERROR(__xludf.DUMMYFUNCTION("""COMPUTED_VALUE"""),"Ottawa Ontario, Gatineau, Quebec, Canada")</f>
        <v/>
      </c>
      <c r="K21305">
        <f>IFERROR(__xludf.DUMMYFUNCTION("""COMPUTED_VALUE"""),123.05)</f>
        <v/>
      </c>
    </row>
    <row r="21306">
      <c r="J21306">
        <f>IFERROR(__xludf.DUMMYFUNCTION("""COMPUTED_VALUE"""),"Saint-Gédéon")</f>
        <v/>
      </c>
      <c r="K21306">
        <f>IFERROR(__xludf.DUMMYFUNCTION("""COMPUTED_VALUE"""),122.59)</f>
        <v/>
      </c>
    </row>
    <row r="21307">
      <c r="J21307">
        <f>IFERROR(__xludf.DUMMYFUNCTION("""COMPUTED_VALUE"""),"(1) Victoria, British Columbia; (2) Saskatoon, Saskatchewan, Canada")</f>
        <v/>
      </c>
      <c r="K21307">
        <f>IFERROR(__xludf.DUMMYFUNCTION("""COMPUTED_VALUE"""),122.52)</f>
        <v/>
      </c>
    </row>
    <row r="21308">
      <c r="J21308">
        <f>IFERROR(__xludf.DUMMYFUNCTION("""COMPUTED_VALUE"""),"Kabul et Kandahar, Afghanistan")</f>
        <v/>
      </c>
      <c r="K21308">
        <f>IFERROR(__xludf.DUMMYFUNCTION("""COMPUTED_VALUE"""),122)</f>
        <v/>
      </c>
    </row>
    <row r="21309">
      <c r="J21309">
        <f>IFERROR(__xludf.DUMMYFUNCTION("""COMPUTED_VALUE"""),"Lachine and Montreal, QC")</f>
        <v/>
      </c>
      <c r="K21309">
        <f>IFERROR(__xludf.DUMMYFUNCTION("""COMPUTED_VALUE"""),121.46)</f>
        <v/>
      </c>
    </row>
    <row r="21310">
      <c r="J21310">
        <f>IFERROR(__xludf.DUMMYFUNCTION("""COMPUTED_VALUE"""),"Montréal and Montebello, Québec")</f>
        <v/>
      </c>
      <c r="K21310">
        <f>IFERROR(__xludf.DUMMYFUNCTION("""COMPUTED_VALUE"""),121.1)</f>
        <v/>
      </c>
    </row>
    <row r="21311">
      <c r="J21311">
        <f>IFERROR(__xludf.DUMMYFUNCTION("""COMPUTED_VALUE"""),"Millbrook, Nova Scotia")</f>
        <v/>
      </c>
      <c r="K21311">
        <f>IFERROR(__xludf.DUMMYFUNCTION("""COMPUTED_VALUE"""),120.85)</f>
        <v/>
      </c>
    </row>
    <row r="21312">
      <c r="J21312">
        <f>IFERROR(__xludf.DUMMYFUNCTION("""COMPUTED_VALUE"""),"Southport, Canada")</f>
        <v/>
      </c>
      <c r="K21312">
        <f>IFERROR(__xludf.DUMMYFUNCTION("""COMPUTED_VALUE"""),120.58)</f>
        <v/>
      </c>
    </row>
    <row r="21313">
      <c r="J21313">
        <f>IFERROR(__xludf.DUMMYFUNCTION("""COMPUTED_VALUE"""),"Toronto, Hamilton")</f>
        <v/>
      </c>
      <c r="K21313">
        <f>IFERROR(__xludf.DUMMYFUNCTION("""COMPUTED_VALUE"""),120.52)</f>
        <v/>
      </c>
    </row>
    <row r="21314">
      <c r="J21314">
        <f>IFERROR(__xludf.DUMMYFUNCTION("""COMPUTED_VALUE"""),"Ottawa, ON and  Edmonton, AB")</f>
        <v/>
      </c>
      <c r="K21314">
        <f>IFERROR(__xludf.DUMMYFUNCTION("""COMPUTED_VALUE"""),120.5)</f>
        <v/>
      </c>
    </row>
    <row r="21315">
      <c r="J21315">
        <f>IFERROR(__xludf.DUMMYFUNCTION("""COMPUTED_VALUE"""),"Gander, NL &amp; Greenwood, Halifax NS")</f>
        <v/>
      </c>
      <c r="K21315">
        <f>IFERROR(__xludf.DUMMYFUNCTION("""COMPUTED_VALUE"""),120.45)</f>
        <v/>
      </c>
    </row>
    <row r="21316">
      <c r="J21316">
        <f>IFERROR(__xludf.DUMMYFUNCTION("""COMPUTED_VALUE"""),"Fort-Alexander, Manitoba")</f>
        <v/>
      </c>
      <c r="K21316">
        <f>IFERROR(__xludf.DUMMYFUNCTION("""COMPUTED_VALUE"""),119.98)</f>
        <v/>
      </c>
    </row>
    <row r="21317">
      <c r="J21317">
        <f>IFERROR(__xludf.DUMMYFUNCTION("""COMPUTED_VALUE"""),"Bagotville, Quebec, Canada; Gaspé, Quebec, Canada; Rivière-du-Loup, Quebec, Canada")</f>
        <v/>
      </c>
      <c r="K21317">
        <f>IFERROR(__xludf.DUMMYFUNCTION("""COMPUTED_VALUE"""),119.9)</f>
        <v/>
      </c>
    </row>
    <row r="21318">
      <c r="J21318">
        <f>IFERROR(__xludf.DUMMYFUNCTION("""COMPUTED_VALUE"""),"Saint-Philippe, QC / Saint-Armand, QC")</f>
        <v/>
      </c>
      <c r="K21318">
        <f>IFERROR(__xludf.DUMMYFUNCTION("""COMPUTED_VALUE"""),119.84)</f>
        <v/>
      </c>
    </row>
    <row r="21319">
      <c r="J21319">
        <f>IFERROR(__xludf.DUMMYFUNCTION("""COMPUTED_VALUE"""),"Residence")</f>
        <v/>
      </c>
      <c r="K21319">
        <f>IFERROR(__xludf.DUMMYFUNCTION("""COMPUTED_VALUE"""),119.42)</f>
        <v/>
      </c>
    </row>
    <row r="21320">
      <c r="J21320">
        <f>IFERROR(__xludf.DUMMYFUNCTION("""COMPUTED_VALUE"""),"Vancouver, Port Moody, North Vancouver")</f>
        <v/>
      </c>
      <c r="K21320">
        <f>IFERROR(__xludf.DUMMYFUNCTION("""COMPUTED_VALUE"""),119.25)</f>
        <v/>
      </c>
    </row>
    <row r="21321">
      <c r="J21321">
        <f>IFERROR(__xludf.DUMMYFUNCTION("""COMPUTED_VALUE"""),"O'Leary, Prince Edward Island, Canada")</f>
        <v/>
      </c>
      <c r="K21321">
        <f>IFERROR(__xludf.DUMMYFUNCTION("""COMPUTED_VALUE"""),118.3)</f>
        <v/>
      </c>
    </row>
    <row r="21322">
      <c r="J21322">
        <f>IFERROR(__xludf.DUMMYFUNCTION("""COMPUTED_VALUE"""),"Washington, DC; Colorado Springs, CO.")</f>
        <v/>
      </c>
      <c r="K21322">
        <f>IFERROR(__xludf.DUMMYFUNCTION("""COMPUTED_VALUE"""),118.17)</f>
        <v/>
      </c>
    </row>
    <row r="21323">
      <c r="J21323">
        <f>IFERROR(__xludf.DUMMYFUNCTION("""COMPUTED_VALUE"""),"Prescott, Ontario")</f>
        <v/>
      </c>
      <c r="K21323">
        <f>IFERROR(__xludf.DUMMYFUNCTION("""COMPUTED_VALUE"""),117.72)</f>
        <v/>
      </c>
    </row>
    <row r="21324">
      <c r="J21324">
        <f>IFERROR(__xludf.DUMMYFUNCTION("""COMPUTED_VALUE"""),"St-Ludger-de-Milot, Roberval")</f>
        <v/>
      </c>
      <c r="K21324">
        <f>IFERROR(__xludf.DUMMYFUNCTION("""COMPUTED_VALUE"""),117.42)</f>
        <v/>
      </c>
    </row>
    <row r="21325">
      <c r="J21325">
        <f>IFERROR(__xludf.DUMMYFUNCTION("""COMPUTED_VALUE"""),"Strathroy-Caradoc, Ontario, Canada")</f>
        <v/>
      </c>
      <c r="K21325">
        <f>IFERROR(__xludf.DUMMYFUNCTION("""COMPUTED_VALUE"""),117.4)</f>
        <v/>
      </c>
    </row>
    <row r="21326">
      <c r="J21326">
        <f>IFERROR(__xludf.DUMMYFUNCTION("""COMPUTED_VALUE"""),"Enfield, Nova Scotia")</f>
        <v/>
      </c>
      <c r="K21326">
        <f>IFERROR(__xludf.DUMMYFUNCTION("""COMPUTED_VALUE"""),117.32)</f>
        <v/>
      </c>
    </row>
    <row r="21327">
      <c r="J21327">
        <f>IFERROR(__xludf.DUMMYFUNCTION("""COMPUTED_VALUE"""),"Shediac, NB - Moncton, NB / Moncton, NB - Charlottetown, PE")</f>
        <v/>
      </c>
      <c r="K21327">
        <f>IFERROR(__xludf.DUMMYFUNCTION("""COMPUTED_VALUE"""),117.26)</f>
        <v/>
      </c>
    </row>
    <row r="21328">
      <c r="J21328">
        <f>IFERROR(__xludf.DUMMYFUNCTION("""COMPUTED_VALUE"""),"Hope (British Columbia) Canada")</f>
        <v/>
      </c>
      <c r="K21328">
        <f>IFERROR(__xludf.DUMMYFUNCTION("""COMPUTED_VALUE"""),117.21)</f>
        <v/>
      </c>
    </row>
    <row r="21329">
      <c r="J21329">
        <f>IFERROR(__xludf.DUMMYFUNCTION("""COMPUTED_VALUE"""),"Lark Harbour, NL")</f>
        <v/>
      </c>
      <c r="K21329">
        <f>IFERROR(__xludf.DUMMYFUNCTION("""COMPUTED_VALUE"""),117.16)</f>
        <v/>
      </c>
    </row>
    <row r="21330">
      <c r="J21330">
        <f>IFERROR(__xludf.DUMMYFUNCTION("""COMPUTED_VALUE"""),"140 O'Connor St, Ottawa, Ontario, Canada")</f>
        <v/>
      </c>
      <c r="K21330">
        <f>IFERROR(__xludf.DUMMYFUNCTION("""COMPUTED_VALUE"""),116.83)</f>
        <v/>
      </c>
    </row>
    <row r="21331">
      <c r="J21331">
        <f>IFERROR(__xludf.DUMMYFUNCTION("""COMPUTED_VALUE"""),"Montenegro")</f>
        <v/>
      </c>
      <c r="K21331">
        <f>IFERROR(__xludf.DUMMYFUNCTION("""COMPUTED_VALUE"""),116.73)</f>
        <v/>
      </c>
    </row>
    <row r="21332">
      <c r="J21332">
        <f>IFERROR(__xludf.DUMMYFUNCTION("""COMPUTED_VALUE"""),"New Glascow to Truro")</f>
        <v/>
      </c>
      <c r="K21332">
        <f>IFERROR(__xludf.DUMMYFUNCTION("""COMPUTED_VALUE"""),116.38)</f>
        <v/>
      </c>
    </row>
    <row r="21333">
      <c r="J21333">
        <f>IFERROR(__xludf.DUMMYFUNCTION("""COMPUTED_VALUE"""),"Ottawa, Ontario Via train 6 biz pack return with someone else")</f>
        <v/>
      </c>
      <c r="K21333">
        <f>IFERROR(__xludf.DUMMYFUNCTION("""COMPUTED_VALUE"""),116.35)</f>
        <v/>
      </c>
    </row>
    <row r="21334">
      <c r="J21334">
        <f>IFERROR(__xludf.DUMMYFUNCTION("""COMPUTED_VALUE"""),"Ogdensburg, NY, US")</f>
        <v/>
      </c>
      <c r="K21334">
        <f>IFERROR(__xludf.DUMMYFUNCTION("""COMPUTED_VALUE"""),116.21)</f>
        <v/>
      </c>
    </row>
    <row r="21335">
      <c r="J21335">
        <f>IFERROR(__xludf.DUMMYFUNCTION("""COMPUTED_VALUE"""),"Upper Vaughan, Nova Scotia")</f>
        <v/>
      </c>
      <c r="K21335">
        <f>IFERROR(__xludf.DUMMYFUNCTION("""COMPUTED_VALUE"""),116.2)</f>
        <v/>
      </c>
    </row>
    <row r="21336">
      <c r="J21336">
        <f>IFERROR(__xludf.DUMMYFUNCTION("""COMPUTED_VALUE"""),"Cherry Brook, NS")</f>
        <v/>
      </c>
      <c r="K21336">
        <f>IFERROR(__xludf.DUMMYFUNCTION("""COMPUTED_VALUE"""),116.02)</f>
        <v/>
      </c>
    </row>
    <row r="21337">
      <c r="J21337">
        <f>IFERROR(__xludf.DUMMYFUNCTION("""COMPUTED_VALUE"""),"Portapique and Truro, Nova Scotia")</f>
        <v/>
      </c>
      <c r="K21337">
        <f>IFERROR(__xludf.DUMMYFUNCTION("""COMPUTED_VALUE"""),116)</f>
        <v/>
      </c>
    </row>
    <row r="21338">
      <c r="J21338">
        <f>IFERROR(__xludf.DUMMYFUNCTION("""COMPUTED_VALUE"""),"Brunssum, Netherlands / Geilenkirchen, Germany")</f>
        <v/>
      </c>
      <c r="K21338">
        <f>IFERROR(__xludf.DUMMYFUNCTION("""COMPUTED_VALUE"""),115.81)</f>
        <v/>
      </c>
    </row>
    <row r="21339">
      <c r="J21339">
        <f>IFERROR(__xludf.DUMMYFUNCTION("""COMPUTED_VALUE"""),"Ottawa, Ontario;
Yellowknife, Northwest Territories; Cambridge Bay, Gjoa Haven, Taloyoak, Nunavut; Canada")</f>
        <v/>
      </c>
      <c r="K21339">
        <f>IFERROR(__xludf.DUMMYFUNCTION("""COMPUTED_VALUE"""),115.44)</f>
        <v/>
      </c>
    </row>
    <row r="21340">
      <c r="J21340">
        <f>IFERROR(__xludf.DUMMYFUNCTION("""COMPUTED_VALUE"""),"Afrique")</f>
        <v/>
      </c>
      <c r="K21340">
        <f>IFERROR(__xludf.DUMMYFUNCTION("""COMPUTED_VALUE"""),114)</f>
        <v/>
      </c>
    </row>
    <row r="21341">
      <c r="J21341">
        <f>IFERROR(__xludf.DUMMYFUNCTION("""COMPUTED_VALUE"""),"Brookeside, Nova Scotia, Canada")</f>
        <v/>
      </c>
      <c r="K21341">
        <f>IFERROR(__xludf.DUMMYFUNCTION("""COMPUTED_VALUE"""),113.86)</f>
        <v/>
      </c>
    </row>
    <row r="21342">
      <c r="J21342">
        <f>IFERROR(__xludf.DUMMYFUNCTION("""COMPUTED_VALUE"""),"Manitoulin Island, Ontario, Canada")</f>
        <v/>
      </c>
      <c r="K21342">
        <f>IFERROR(__xludf.DUMMYFUNCTION("""COMPUTED_VALUE"""),113.5)</f>
        <v/>
      </c>
    </row>
    <row r="21343">
      <c r="J21343">
        <f>IFERROR(__xludf.DUMMYFUNCTION("""COMPUTED_VALUE"""),"Charlottetown, Prince Edward Island, Canada; Montague, Prince Edward Island, Canada; Souris, Prince Edward Island, Canada")</f>
        <v/>
      </c>
      <c r="K21343">
        <f>IFERROR(__xludf.DUMMYFUNCTION("""COMPUTED_VALUE"""),113.32)</f>
        <v/>
      </c>
    </row>
    <row r="21344">
      <c r="J21344">
        <f>IFERROR(__xludf.DUMMYFUNCTION("""COMPUTED_VALUE"""),"St-Lazare, Quebec , Canada")</f>
        <v/>
      </c>
      <c r="K21344">
        <f>IFERROR(__xludf.DUMMYFUNCTION("""COMPUTED_VALUE"""),113.25)</f>
        <v/>
      </c>
    </row>
    <row r="21345">
      <c r="J21345">
        <f>IFERROR(__xludf.DUMMYFUNCTION("""COMPUTED_VALUE"""),"Inuvialuit Settlement Region of the Northwest Territories")</f>
        <v/>
      </c>
      <c r="K21345">
        <f>IFERROR(__xludf.DUMMYFUNCTION("""COMPUTED_VALUE"""),113.17)</f>
        <v/>
      </c>
    </row>
    <row r="21346">
      <c r="J21346">
        <f>IFERROR(__xludf.DUMMYFUNCTION("""COMPUTED_VALUE"""),"Girardville")</f>
        <v/>
      </c>
      <c r="K21346">
        <f>IFERROR(__xludf.DUMMYFUNCTION("""COMPUTED_VALUE"""),112.78)</f>
        <v/>
      </c>
    </row>
    <row r="21347">
      <c r="J21347">
        <f>IFERROR(__xludf.DUMMYFUNCTION("""COMPUTED_VALUE"""),"Halifax Fredericton, New Brunswick, Canada")</f>
        <v/>
      </c>
      <c r="K21347">
        <f>IFERROR(__xludf.DUMMYFUNCTION("""COMPUTED_VALUE"""),112.78)</f>
        <v/>
      </c>
    </row>
    <row r="21348">
      <c r="J21348">
        <f>IFERROR(__xludf.DUMMYFUNCTION("""COMPUTED_VALUE"""),"St. John's, New Brunswick, Canada")</f>
        <v/>
      </c>
      <c r="K21348">
        <f>IFERROR(__xludf.DUMMYFUNCTION("""COMPUTED_VALUE"""),112.78)</f>
        <v/>
      </c>
    </row>
    <row r="21349">
      <c r="J21349">
        <f>IFERROR(__xludf.DUMMYFUNCTION("""COMPUTED_VALUE"""),"Wakefield, Québec, Canada")</f>
        <v/>
      </c>
      <c r="K21349">
        <f>IFERROR(__xludf.DUMMYFUNCTION("""COMPUTED_VALUE"""),112.11)</f>
        <v/>
      </c>
    </row>
    <row r="21350">
      <c r="J21350">
        <f>IFERROR(__xludf.DUMMYFUNCTION("""COMPUTED_VALUE"""),"Caraquet/Bathurst, NB")</f>
        <v/>
      </c>
      <c r="K21350">
        <f>IFERROR(__xludf.DUMMYFUNCTION("""COMPUTED_VALUE"""),111.95)</f>
        <v/>
      </c>
    </row>
    <row r="21351">
      <c r="J21351">
        <f>IFERROR(__xludf.DUMMYFUNCTION("""COMPUTED_VALUE"""),"Fort Qu'Appelle, Saskatchewan, Canada")</f>
        <v/>
      </c>
      <c r="K21351">
        <f>IFERROR(__xludf.DUMMYFUNCTION("""COMPUTED_VALUE"""),111.95)</f>
        <v/>
      </c>
    </row>
    <row r="21352">
      <c r="J21352">
        <f>IFERROR(__xludf.DUMMYFUNCTION("""COMPUTED_VALUE"""),"Regional Reception Centre                        Sainte-Anne-des-Plaines, Quebec, Canada")</f>
        <v/>
      </c>
      <c r="K21352">
        <f>IFERROR(__xludf.DUMMYFUNCTION("""COMPUTED_VALUE"""),111.95)</f>
        <v/>
      </c>
    </row>
    <row r="21353">
      <c r="J21353">
        <f>IFERROR(__xludf.DUMMYFUNCTION("""COMPUTED_VALUE"""),"Ste-Anne-des-Plaines, Quebec, Canada")</f>
        <v/>
      </c>
      <c r="K21353">
        <f>IFERROR(__xludf.DUMMYFUNCTION("""COMPUTED_VALUE"""),111.95)</f>
        <v/>
      </c>
    </row>
    <row r="21354">
      <c r="J21354">
        <f>IFERROR(__xludf.DUMMYFUNCTION("""COMPUTED_VALUE"""),"Resolute, Iqaluit")</f>
        <v/>
      </c>
      <c r="K21354">
        <f>IFERROR(__xludf.DUMMYFUNCTION("""COMPUTED_VALUE"""),111.18)</f>
        <v/>
      </c>
    </row>
    <row r="21355">
      <c r="J21355">
        <f>IFERROR(__xludf.DUMMYFUNCTION("""COMPUTED_VALUE"""),"Conquerall Mills, Nova Scotia, Canada")</f>
        <v/>
      </c>
      <c r="K21355">
        <f>IFERROR(__xludf.DUMMYFUNCTION("""COMPUTED_VALUE"""),111.13)</f>
        <v/>
      </c>
    </row>
    <row r="21356">
      <c r="J21356">
        <f>IFERROR(__xludf.DUMMYFUNCTION("""COMPUTED_VALUE"""),"Miramichi, Neguac, Oak Bay, St. Andrews, Fredericton, New Brunswick")</f>
        <v/>
      </c>
      <c r="K21356">
        <f>IFERROR(__xludf.DUMMYFUNCTION("""COMPUTED_VALUE"""),111.11)</f>
        <v/>
      </c>
    </row>
    <row r="21357">
      <c r="J21357">
        <f>IFERROR(__xludf.DUMMYFUNCTION("""COMPUTED_VALUE"""),"Abbotsford (BC) Canada")</f>
        <v/>
      </c>
      <c r="K21357">
        <f>IFERROR(__xludf.DUMMYFUNCTION("""COMPUTED_VALUE"""),110.75)</f>
        <v/>
      </c>
    </row>
    <row r="21358">
      <c r="J21358">
        <f>IFERROR(__xludf.DUMMYFUNCTION("""COMPUTED_VALUE"""),"Ottawa- Sherbrooke QC- Ottawa")</f>
        <v/>
      </c>
      <c r="K21358">
        <f>IFERROR(__xludf.DUMMYFUNCTION("""COMPUTED_VALUE"""),110.35)</f>
        <v/>
      </c>
    </row>
    <row r="21359">
      <c r="J21359">
        <f>IFERROR(__xludf.DUMMYFUNCTION("""COMPUTED_VALUE"""),"Toronto, Ontario, Canada; Oakville, Ontario, Canada")</f>
        <v/>
      </c>
      <c r="K21359">
        <f>IFERROR(__xludf.DUMMYFUNCTION("""COMPUTED_VALUE"""),110)</f>
        <v/>
      </c>
    </row>
    <row r="21360">
      <c r="J21360">
        <f>IFERROR(__xludf.DUMMYFUNCTION("""COMPUTED_VALUE"""),"Vancouver, BC Richmond, BC Surrey, BC")</f>
        <v/>
      </c>
      <c r="K21360">
        <f>IFERROR(__xludf.DUMMYFUNCTION("""COMPUTED_VALUE"""),109.89)</f>
        <v/>
      </c>
    </row>
    <row r="21361">
      <c r="J21361">
        <f>IFERROR(__xludf.DUMMYFUNCTION("""COMPUTED_VALUE"""),"Vancouver, BC; North Vancouver, BC; Delta, BC")</f>
        <v/>
      </c>
      <c r="K21361">
        <f>IFERROR(__xludf.DUMMYFUNCTION("""COMPUTED_VALUE"""),109.63)</f>
        <v/>
      </c>
    </row>
    <row r="21362">
      <c r="J21362">
        <f>IFERROR(__xludf.DUMMYFUNCTION("""COMPUTED_VALUE"""),"Port Renfrew, British Columbia, Canada")</f>
        <v/>
      </c>
      <c r="K21362">
        <f>IFERROR(__xludf.DUMMYFUNCTION("""COMPUTED_VALUE"""),109.61)</f>
        <v/>
      </c>
    </row>
    <row r="21363">
      <c r="J21363">
        <f>IFERROR(__xludf.DUMMYFUNCTION("""COMPUTED_VALUE"""),"Resolute Bay (Nunavut)")</f>
        <v/>
      </c>
      <c r="K21363">
        <f>IFERROR(__xludf.DUMMYFUNCTION("""COMPUTED_VALUE"""),109.55)</f>
        <v/>
      </c>
    </row>
    <row r="21364">
      <c r="J21364">
        <f>IFERROR(__xludf.DUMMYFUNCTION("""COMPUTED_VALUE"""),"Cold Lake, AB &amp; Victoria BC")</f>
        <v/>
      </c>
      <c r="K21364">
        <f>IFERROR(__xludf.DUMMYFUNCTION("""COMPUTED_VALUE"""),109.4)</f>
        <v/>
      </c>
    </row>
    <row r="21365">
      <c r="J21365">
        <f>IFERROR(__xludf.DUMMYFUNCTION("""COMPUTED_VALUE"""),"Local Travel")</f>
        <v/>
      </c>
      <c r="K21365">
        <f>IFERROR(__xludf.DUMMYFUNCTION("""COMPUTED_VALUE"""),109)</f>
        <v/>
      </c>
    </row>
    <row r="21366">
      <c r="J21366">
        <f>IFERROR(__xludf.DUMMYFUNCTION("""COMPUTED_VALUE"""),"Montebello. Quebec, Canada")</f>
        <v/>
      </c>
      <c r="K21366">
        <f>IFERROR(__xludf.DUMMYFUNCTION("""COMPUTED_VALUE"""),109)</f>
        <v/>
      </c>
    </row>
    <row r="21367">
      <c r="J21367">
        <f>IFERROR(__xludf.DUMMYFUNCTION("""COMPUTED_VALUE"""),"Blainville, Quebec")</f>
        <v/>
      </c>
      <c r="K21367">
        <f>IFERROR(__xludf.DUMMYFUNCTION("""COMPUTED_VALUE"""),108.86)</f>
        <v/>
      </c>
    </row>
    <row r="21368">
      <c r="J21368">
        <f>IFERROR(__xludf.DUMMYFUNCTION("""COMPUTED_VALUE"""),"Fort Belvoir, Virginia, United States")</f>
        <v/>
      </c>
      <c r="K21368">
        <f>IFERROR(__xludf.DUMMYFUNCTION("""COMPUTED_VALUE"""),108.73)</f>
        <v/>
      </c>
    </row>
    <row r="21369">
      <c r="J21369">
        <f>IFERROR(__xludf.DUMMYFUNCTION("""COMPUTED_VALUE"""),"Brokenhead, Manitoba")</f>
        <v/>
      </c>
      <c r="K21369">
        <f>IFERROR(__xludf.DUMMYFUNCTION("""COMPUTED_VALUE"""),108.45)</f>
        <v/>
      </c>
    </row>
    <row r="21370">
      <c r="J21370">
        <f>IFERROR(__xludf.DUMMYFUNCTION("""COMPUTED_VALUE"""),"Windsor, Nova Scotia, Canada")</f>
        <v/>
      </c>
      <c r="K21370">
        <f>IFERROR(__xludf.DUMMYFUNCTION("""COMPUTED_VALUE"""),108.17)</f>
        <v/>
      </c>
    </row>
    <row r="21371">
      <c r="J21371">
        <f>IFERROR(__xludf.DUMMYFUNCTION("""COMPUTED_VALUE"""),"Saint-Luc-de-Vincennes, Quebec")</f>
        <v/>
      </c>
      <c r="K21371">
        <f>IFERROR(__xludf.DUMMYFUNCTION("""COMPUTED_VALUE"""),108.16)</f>
        <v/>
      </c>
    </row>
    <row r="21372">
      <c r="J21372">
        <f>IFERROR(__xludf.DUMMYFUNCTION("""COMPUTED_VALUE"""),"Windsor, Nova Scotia, Canada; Kentville, Nova Scotia, Canada")</f>
        <v/>
      </c>
      <c r="K21372">
        <f>IFERROR(__xludf.DUMMYFUNCTION("""COMPUTED_VALUE"""),108)</f>
        <v/>
      </c>
    </row>
    <row r="21373">
      <c r="J21373">
        <f>IFERROR(__xludf.DUMMYFUNCTION("""COMPUTED_VALUE"""),"Vancouver and Richmond, British Columbia")</f>
        <v/>
      </c>
      <c r="K21373">
        <f>IFERROR(__xludf.DUMMYFUNCTION("""COMPUTED_VALUE"""),107.62)</f>
        <v/>
      </c>
    </row>
    <row r="21374">
      <c r="J21374">
        <f>IFERROR(__xludf.DUMMYFUNCTION("""COMPUTED_VALUE"""),"St. John's and surrounding area on the Avalon Peninsula")</f>
        <v/>
      </c>
      <c r="K21374">
        <f>IFERROR(__xludf.DUMMYFUNCTION("""COMPUTED_VALUE"""),107.52)</f>
        <v/>
      </c>
    </row>
    <row r="21375">
      <c r="J21375">
        <f>IFERROR(__xludf.DUMMYFUNCTION("""COMPUTED_VALUE"""),"Bay of Quinte, Ontario, Canada")</f>
        <v/>
      </c>
      <c r="K21375">
        <f>IFERROR(__xludf.DUMMYFUNCTION("""COMPUTED_VALUE"""),107.29)</f>
        <v/>
      </c>
    </row>
    <row r="21376">
      <c r="J21376">
        <f>IFERROR(__xludf.DUMMYFUNCTION("""COMPUTED_VALUE"""),"Akwesasne, ON")</f>
        <v/>
      </c>
      <c r="K21376">
        <f>IFERROR(__xludf.DUMMYFUNCTION("""COMPUTED_VALUE"""),106.56)</f>
        <v/>
      </c>
    </row>
    <row r="21377">
      <c r="J21377">
        <f>IFERROR(__xludf.DUMMYFUNCTION("""COMPUTED_VALUE"""),"NorthBay/ Trenton ON")</f>
        <v/>
      </c>
      <c r="K21377">
        <f>IFERROR(__xludf.DUMMYFUNCTION("""COMPUTED_VALUE"""),106.5)</f>
        <v/>
      </c>
    </row>
    <row r="21378">
      <c r="J21378">
        <f>IFERROR(__xludf.DUMMYFUNCTION("""COMPUTED_VALUE"""),"Lake Louise, AB")</f>
        <v/>
      </c>
      <c r="K21378">
        <f>IFERROR(__xludf.DUMMYFUNCTION("""COMPUTED_VALUE"""),106.15)</f>
        <v/>
      </c>
    </row>
    <row r="21379">
      <c r="J21379">
        <f>IFERROR(__xludf.DUMMYFUNCTION("""COMPUTED_VALUE"""),"Gatineau, Quebec, Canada/ Montreal, Quebec, Canada")</f>
        <v/>
      </c>
      <c r="K21379">
        <f>IFERROR(__xludf.DUMMYFUNCTION("""COMPUTED_VALUE"""),106.1)</f>
        <v/>
      </c>
    </row>
    <row r="21380">
      <c r="J21380">
        <f>IFERROR(__xludf.DUMMYFUNCTION("""COMPUTED_VALUE"""),"London, Ontario; Montreal, Quebec")</f>
        <v/>
      </c>
      <c r="K21380">
        <f>IFERROR(__xludf.DUMMYFUNCTION("""COMPUTED_VALUE"""),106.1)</f>
        <v/>
      </c>
    </row>
    <row r="21381">
      <c r="J21381">
        <f>IFERROR(__xludf.DUMMYFUNCTION("""COMPUTED_VALUE"""),"Amsterdam, the Kingdom of the Netherlands")</f>
        <v/>
      </c>
      <c r="K21381">
        <f>IFERROR(__xludf.DUMMYFUNCTION("""COMPUTED_VALUE"""),106)</f>
        <v/>
      </c>
    </row>
    <row r="21382">
      <c r="J21382">
        <f>IFERROR(__xludf.DUMMYFUNCTION("""COMPUTED_VALUE"""),"Drummondville and Trois-Rivières")</f>
        <v/>
      </c>
      <c r="K21382">
        <f>IFERROR(__xludf.DUMMYFUNCTION("""COMPUTED_VALUE"""),105.94)</f>
        <v/>
      </c>
    </row>
    <row r="21383">
      <c r="J21383">
        <f>IFERROR(__xludf.DUMMYFUNCTION("""COMPUTED_VALUE"""),"Cobden, Ontario, Canada")</f>
        <v/>
      </c>
      <c r="K21383">
        <f>IFERROR(__xludf.DUMMYFUNCTION("""COMPUTED_VALUE"""),105.93)</f>
        <v/>
      </c>
    </row>
    <row r="21384">
      <c r="J21384">
        <f>IFERROR(__xludf.DUMMYFUNCTION("""COMPUTED_VALUE"""),"Vancouver, BC; Burnaby, BC")</f>
        <v/>
      </c>
      <c r="K21384">
        <f>IFERROR(__xludf.DUMMYFUNCTION("""COMPUTED_VALUE"""),105.75)</f>
        <v/>
      </c>
    </row>
    <row r="21385">
      <c r="J21385">
        <f>IFERROR(__xludf.DUMMYFUNCTION("""COMPUTED_VALUE"""),"Providence RI, Augusta ME,  Mt. Pelier VT")</f>
        <v/>
      </c>
      <c r="K21385">
        <f>IFERROR(__xludf.DUMMYFUNCTION("""COMPUTED_VALUE"""),105.61)</f>
        <v/>
      </c>
    </row>
    <row r="21386">
      <c r="J21386">
        <f>IFERROR(__xludf.DUMMYFUNCTION("""COMPUTED_VALUE"""),"CFB Stadacona, Halifax NS")</f>
        <v/>
      </c>
      <c r="K21386">
        <f>IFERROR(__xludf.DUMMYFUNCTION("""COMPUTED_VALUE"""),105.5)</f>
        <v/>
      </c>
    </row>
    <row r="21387">
      <c r="J21387">
        <f>IFERROR(__xludf.DUMMYFUNCTION("""COMPUTED_VALUE"""),"Charlottown, Prince Edward Island, Canada")</f>
        <v/>
      </c>
      <c r="K21387">
        <f>IFERROR(__xludf.DUMMYFUNCTION("""COMPUTED_VALUE"""),105.28)</f>
        <v/>
      </c>
    </row>
    <row r="21388">
      <c r="J21388">
        <f>IFERROR(__xludf.DUMMYFUNCTION("""COMPUTED_VALUE"""),"Durham, On")</f>
        <v/>
      </c>
      <c r="K21388">
        <f>IFERROR(__xludf.DUMMYFUNCTION("""COMPUTED_VALUE"""),105.24)</f>
        <v/>
      </c>
    </row>
    <row r="21389">
      <c r="J21389">
        <f>IFERROR(__xludf.DUMMYFUNCTION("""COMPUTED_VALUE"""),"Potton, Quebec, Canada")</f>
        <v/>
      </c>
      <c r="K21389">
        <f>IFERROR(__xludf.DUMMYFUNCTION("""COMPUTED_VALUE"""),105.09)</f>
        <v/>
      </c>
    </row>
    <row r="21390">
      <c r="J21390">
        <f>IFERROR(__xludf.DUMMYFUNCTION("""COMPUTED_VALUE"""),"Summerside, Prince Edward Island, Canada; North River, Prince Edward Island, Canada")</f>
        <v/>
      </c>
      <c r="K21390">
        <f>IFERROR(__xludf.DUMMYFUNCTION("""COMPUTED_VALUE"""),104.88)</f>
        <v/>
      </c>
    </row>
    <row r="21391">
      <c r="J21391">
        <f>IFERROR(__xludf.DUMMYFUNCTION("""COMPUTED_VALUE"""),"Ottawa, Ontario and Shawinigan , Québec")</f>
        <v/>
      </c>
      <c r="K21391">
        <f>IFERROR(__xludf.DUMMYFUNCTION("""COMPUTED_VALUE"""),104.66)</f>
        <v/>
      </c>
    </row>
    <row r="21392">
      <c r="J21392">
        <f>IFERROR(__xludf.DUMMYFUNCTION("""COMPUTED_VALUE"""),"Edmonton, Alberta; Tofield, Alberta")</f>
        <v/>
      </c>
      <c r="K21392">
        <f>IFERROR(__xludf.DUMMYFUNCTION("""COMPUTED_VALUE"""),104.58)</f>
        <v/>
      </c>
    </row>
    <row r="21393">
      <c r="J21393">
        <f>IFERROR(__xludf.DUMMYFUNCTION("""COMPUTED_VALUE"""),"Meech Lake, Quebec")</f>
        <v/>
      </c>
      <c r="K21393">
        <f>IFERROR(__xludf.DUMMYFUNCTION("""COMPUTED_VALUE"""),104.46)</f>
        <v/>
      </c>
    </row>
    <row r="21394">
      <c r="J21394">
        <f>IFERROR(__xludf.DUMMYFUNCTION("""COMPUTED_VALUE"""),"Mali, Niger and Senegal")</f>
        <v/>
      </c>
      <c r="K21394">
        <f>IFERROR(__xludf.DUMMYFUNCTION("""COMPUTED_VALUE"""),104.46)</f>
        <v/>
      </c>
    </row>
    <row r="21395">
      <c r="J21395">
        <f>IFERROR(__xludf.DUMMYFUNCTION("""COMPUTED_VALUE"""),"Chipman, NB")</f>
        <v/>
      </c>
      <c r="K21395">
        <f>IFERROR(__xludf.DUMMYFUNCTION("""COMPUTED_VALUE"""),104.44)</f>
        <v/>
      </c>
    </row>
    <row r="21396">
      <c r="J21396">
        <f>IFERROR(__xludf.DUMMYFUNCTION("""COMPUTED_VALUE"""),"Langley, BC; Surrey, BC; Vancouver, BC")</f>
        <v/>
      </c>
      <c r="K21396">
        <f>IFERROR(__xludf.DUMMYFUNCTION("""COMPUTED_VALUE"""),104.33)</f>
        <v/>
      </c>
    </row>
    <row r="21397">
      <c r="J21397">
        <f>IFERROR(__xludf.DUMMYFUNCTION("""COMPUTED_VALUE"""),"Surrey Abbotsford, British Columbia, Canada")</f>
        <v/>
      </c>
      <c r="K21397">
        <f>IFERROR(__xludf.DUMMYFUNCTION("""COMPUTED_VALUE"""),104.3)</f>
        <v/>
      </c>
    </row>
    <row r="21398">
      <c r="J21398">
        <f>IFERROR(__xludf.DUMMYFUNCTION("""COMPUTED_VALUE"""),"475 Chemin Grande-Ligne, Rigaud, Quebec")</f>
        <v/>
      </c>
      <c r="K21398">
        <f>IFERROR(__xludf.DUMMYFUNCTION("""COMPUTED_VALUE"""),104.21)</f>
        <v/>
      </c>
    </row>
    <row r="21399">
      <c r="J21399">
        <f>IFERROR(__xludf.DUMMYFUNCTION("""COMPUTED_VALUE"""),"Quebec City , Québec")</f>
        <v/>
      </c>
      <c r="K21399">
        <f>IFERROR(__xludf.DUMMYFUNCTION("""COMPUTED_VALUE"""),104)</f>
        <v/>
      </c>
    </row>
    <row r="21400">
      <c r="J21400">
        <f>IFERROR(__xludf.DUMMYFUNCTION("""COMPUTED_VALUE"""),"Charlottetown, Prince Edward Island, Canada: Halifax, Nova Scotia, Canada")</f>
        <v/>
      </c>
      <c r="K21400">
        <f>IFERROR(__xludf.DUMMYFUNCTION("""COMPUTED_VALUE"""),103.96)</f>
        <v/>
      </c>
    </row>
    <row r="21401">
      <c r="J21401">
        <f>IFERROR(__xludf.DUMMYFUNCTION("""COMPUTED_VALUE"""),"Mont-Saint-Hiliaire, Quebec and Saint-Jean-sur-Richelieu, Quebec")</f>
        <v/>
      </c>
      <c r="K21401">
        <f>IFERROR(__xludf.DUMMYFUNCTION("""COMPUTED_VALUE"""),103.63)</f>
        <v/>
      </c>
    </row>
    <row r="21402">
      <c r="J21402">
        <f>IFERROR(__xludf.DUMMYFUNCTION("""COMPUTED_VALUE"""),"Mali")</f>
        <v/>
      </c>
      <c r="K21402">
        <f>IFERROR(__xludf.DUMMYFUNCTION("""COMPUTED_VALUE"""),103.44)</f>
        <v/>
      </c>
    </row>
    <row r="21403">
      <c r="J21403">
        <f>IFERROR(__xludf.DUMMYFUNCTION("""COMPUTED_VALUE"""),"Vancouver, British Columbia; North Vancouver, British Columbia")</f>
        <v/>
      </c>
      <c r="K21403">
        <f>IFERROR(__xludf.DUMMYFUNCTION("""COMPUTED_VALUE"""),103.37)</f>
        <v/>
      </c>
    </row>
    <row r="21404">
      <c r="J21404">
        <f>IFERROR(__xludf.DUMMYFUNCTION("""COMPUTED_VALUE"""),"Drive Minister to Shawinigan from Ottawa")</f>
        <v/>
      </c>
      <c r="K21404">
        <f>IFERROR(__xludf.DUMMYFUNCTION("""COMPUTED_VALUE"""),103.26)</f>
        <v/>
      </c>
    </row>
    <row r="21405">
      <c r="J21405">
        <f>IFERROR(__xludf.DUMMYFUNCTION("""COMPUTED_VALUE"""),"OTTAWA, ONTARIO CANADA")</f>
        <v/>
      </c>
      <c r="K21405">
        <f>IFERROR(__xludf.DUMMYFUNCTION("""COMPUTED_VALUE"""),102.83)</f>
        <v/>
      </c>
    </row>
    <row r="21406">
      <c r="J21406">
        <f>IFERROR(__xludf.DUMMYFUNCTION("""COMPUTED_VALUE"""),"Dauphin, Manitoba, Canada; Swan River, Manitoba, Canada")</f>
        <v/>
      </c>
      <c r="K21406">
        <f>IFERROR(__xludf.DUMMYFUNCTION("""COMPUTED_VALUE"""),102.82)</f>
        <v/>
      </c>
    </row>
    <row r="21407">
      <c r="J21407">
        <f>IFERROR(__xludf.DUMMYFUNCTION("""COMPUTED_VALUE"""),"Ajax, Mississauga ON")</f>
        <v/>
      </c>
      <c r="K21407">
        <f>IFERROR(__xludf.DUMMYFUNCTION("""COMPUTED_VALUE"""),102.66)</f>
        <v/>
      </c>
    </row>
    <row r="21408">
      <c r="J21408">
        <f>IFERROR(__xludf.DUMMYFUNCTION("""COMPUTED_VALUE"""),"Eastern Townships, Quebec")</f>
        <v/>
      </c>
      <c r="K21408">
        <f>IFERROR(__xludf.DUMMYFUNCTION("""COMPUTED_VALUE"""),102.45)</f>
        <v/>
      </c>
    </row>
    <row r="21409">
      <c r="J21409">
        <f>IFERROR(__xludf.DUMMYFUNCTION("""COMPUTED_VALUE"""),"Montreal, Bromont, Quebec, (Canada)")</f>
        <v/>
      </c>
      <c r="K21409">
        <f>IFERROR(__xludf.DUMMYFUNCTION("""COMPUTED_VALUE"""),102.45)</f>
        <v/>
      </c>
    </row>
    <row r="21410">
      <c r="J21410">
        <f>IFERROR(__xludf.DUMMYFUNCTION("""COMPUTED_VALUE"""),"Cantley, Quebec")</f>
        <v/>
      </c>
      <c r="K21410">
        <f>IFERROR(__xludf.DUMMYFUNCTION("""COMPUTED_VALUE"""),102.009999999999)</f>
        <v/>
      </c>
    </row>
    <row r="21411">
      <c r="J21411">
        <f>IFERROR(__xludf.DUMMYFUNCTION("""COMPUTED_VALUE"""),"Vancouver/Port Moody/Stanley Park")</f>
        <v/>
      </c>
      <c r="K21411">
        <f>IFERROR(__xludf.DUMMYFUNCTION("""COMPUTED_VALUE"""),101.99)</f>
        <v/>
      </c>
    </row>
    <row r="21412">
      <c r="J21412">
        <f>IFERROR(__xludf.DUMMYFUNCTION("""COMPUTED_VALUE"""),"Westport, ON")</f>
        <v/>
      </c>
      <c r="K21412">
        <f>IFERROR(__xludf.DUMMYFUNCTION("""COMPUTED_VALUE"""),101.9)</f>
        <v/>
      </c>
    </row>
    <row r="21413">
      <c r="J21413">
        <f>IFERROR(__xludf.DUMMYFUNCTION("""COMPUTED_VALUE"""),"Washington/Colorado Springs")</f>
        <v/>
      </c>
      <c r="K21413">
        <f>IFERROR(__xludf.DUMMYFUNCTION("""COMPUTED_VALUE"""),101.77)</f>
        <v/>
      </c>
    </row>
    <row r="21414">
      <c r="J21414">
        <f>IFERROR(__xludf.DUMMYFUNCTION("""COMPUTED_VALUE"""),"Washington, Reagan")</f>
        <v/>
      </c>
      <c r="K21414">
        <f>IFERROR(__xludf.DUMMYFUNCTION("""COMPUTED_VALUE"""),101.7)</f>
        <v/>
      </c>
    </row>
    <row r="21415">
      <c r="J21415">
        <f>IFERROR(__xludf.DUMMYFUNCTION("""COMPUTED_VALUE"""),"Farnham, Quebec, Canada")</f>
        <v/>
      </c>
      <c r="K21415">
        <f>IFERROR(__xludf.DUMMYFUNCTION("""COMPUTED_VALUE"""),100.44)</f>
        <v/>
      </c>
    </row>
    <row r="21416">
      <c r="J21416">
        <f>IFERROR(__xludf.DUMMYFUNCTION("""COMPUTED_VALUE"""),"Bromont, Qc; Montreal, Qc")</f>
        <v/>
      </c>
      <c r="K21416">
        <f>IFERROR(__xludf.DUMMYFUNCTION("""COMPUTED_VALUE"""),100.3)</f>
        <v/>
      </c>
    </row>
    <row r="21417">
      <c r="J21417">
        <f>IFERROR(__xludf.DUMMYFUNCTION("""COMPUTED_VALUE"""),"Strathmere")</f>
        <v/>
      </c>
      <c r="K21417">
        <f>IFERROR(__xludf.DUMMYFUNCTION("""COMPUTED_VALUE"""),100.1)</f>
        <v/>
      </c>
    </row>
    <row r="21418">
      <c r="J21418">
        <f>IFERROR(__xludf.DUMMYFUNCTION("""COMPUTED_VALUE"""),"Southport, Portage La Prairie, Manitoba")</f>
        <v/>
      </c>
      <c r="K21418">
        <f>IFERROR(__xludf.DUMMYFUNCTION("""COMPUTED_VALUE"""),100.05)</f>
        <v/>
      </c>
    </row>
    <row r="21419">
      <c r="J21419">
        <f>IFERROR(__xludf.DUMMYFUNCTION("""COMPUTED_VALUE"""),"L'Islet")</f>
        <v/>
      </c>
      <c r="K21419">
        <f>IFERROR(__xludf.DUMMYFUNCTION("""COMPUTED_VALUE"""),100)</f>
        <v/>
      </c>
    </row>
    <row r="21420">
      <c r="J21420">
        <f>IFERROR(__xludf.DUMMYFUNCTION("""COMPUTED_VALUE"""),"Truro, Nova Scotia, Canada; Halifax, Nova Scotia, Canada")</f>
        <v/>
      </c>
      <c r="K21420">
        <f>IFERROR(__xludf.DUMMYFUNCTION("""COMPUTED_VALUE"""),99.94)</f>
        <v/>
      </c>
    </row>
    <row r="21421">
      <c r="J21421">
        <f>IFERROR(__xludf.DUMMYFUNCTION("""COMPUTED_VALUE"""),"Saint-Jean-Sur-Richelieu, Quebec, Canada")</f>
        <v/>
      </c>
      <c r="K21421">
        <f>IFERROR(__xludf.DUMMYFUNCTION("""COMPUTED_VALUE"""),99.8)</f>
        <v/>
      </c>
    </row>
    <row r="21422">
      <c r="J21422">
        <f>IFERROR(__xludf.DUMMYFUNCTION("""COMPUTED_VALUE"""),"St Hugues")</f>
        <v/>
      </c>
      <c r="K21422">
        <f>IFERROR(__xludf.DUMMYFUNCTION("""COMPUTED_VALUE"""),99.7)</f>
        <v/>
      </c>
    </row>
    <row r="21423">
      <c r="J21423">
        <f>IFERROR(__xludf.DUMMYFUNCTION("""COMPUTED_VALUE"""),"Embrun (Ontario) Canada
Russell (Ontario) Canada")</f>
        <v/>
      </c>
      <c r="K21423">
        <f>IFERROR(__xludf.DUMMYFUNCTION("""COMPUTED_VALUE"""),99.65)</f>
        <v/>
      </c>
    </row>
    <row r="21424">
      <c r="J21424">
        <f>IFERROR(__xludf.DUMMYFUNCTION("""COMPUTED_VALUE"""),"Sherbrooke (Quebec) Canada
Montérégie (Quebec) Canada")</f>
        <v/>
      </c>
      <c r="K21424">
        <f>IFERROR(__xludf.DUMMYFUNCTION("""COMPUTED_VALUE"""),99.65)</f>
        <v/>
      </c>
    </row>
    <row r="21425">
      <c r="J21425">
        <f>IFERROR(__xludf.DUMMYFUNCTION("""COMPUTED_VALUE"""),"Halifax, Nova Scotia, Canada / Gander, Newfoundland and Labrador, Canada")</f>
        <v/>
      </c>
      <c r="K21425">
        <f>IFERROR(__xludf.DUMMYFUNCTION("""COMPUTED_VALUE"""),99.44)</f>
        <v/>
      </c>
    </row>
    <row r="21426">
      <c r="J21426">
        <f>IFERROR(__xludf.DUMMYFUNCTION("""COMPUTED_VALUE"""),"Kirkland, Quebec, Canada")</f>
        <v/>
      </c>
      <c r="K21426">
        <f>IFERROR(__xludf.DUMMYFUNCTION("""COMPUTED_VALUE"""),99.23)</f>
        <v/>
      </c>
    </row>
    <row r="21427">
      <c r="J21427">
        <f>IFERROR(__xludf.DUMMYFUNCTION("""COMPUTED_VALUE"""),"Rimouski, Montreal")</f>
        <v/>
      </c>
      <c r="K21427">
        <f>IFERROR(__xludf.DUMMYFUNCTION("""COMPUTED_VALUE"""),99.04)</f>
        <v/>
      </c>
    </row>
    <row r="21428">
      <c r="J21428">
        <f>IFERROR(__xludf.DUMMYFUNCTION("""COMPUTED_VALUE"""),"Various")</f>
        <v/>
      </c>
      <c r="K21428">
        <f>IFERROR(__xludf.DUMMYFUNCTION("""COMPUTED_VALUE"""),99)</f>
        <v/>
      </c>
    </row>
    <row r="21429">
      <c r="J21429">
        <f>IFERROR(__xludf.DUMMYFUNCTION("""COMPUTED_VALUE"""),"Abbotsford, BC; Ottawa, ON")</f>
        <v/>
      </c>
      <c r="K21429">
        <f>IFERROR(__xludf.DUMMYFUNCTION("""COMPUTED_VALUE"""),98.95)</f>
        <v/>
      </c>
    </row>
    <row r="21430">
      <c r="J21430">
        <f>IFERROR(__xludf.DUMMYFUNCTION("""COMPUTED_VALUE"""),"Tobique, Florenceville-Bristol, Fredericton, Upper Kingsclear and St. Andrews, New Brunswick")</f>
        <v/>
      </c>
      <c r="K21430">
        <f>IFERROR(__xludf.DUMMYFUNCTION("""COMPUTED_VALUE"""),98.7)</f>
        <v/>
      </c>
    </row>
    <row r="21431">
      <c r="J21431">
        <f>IFERROR(__xludf.DUMMYFUNCTION("""COMPUTED_VALUE"""),"Hemmingford / Boucherville")</f>
        <v/>
      </c>
      <c r="K21431">
        <f>IFERROR(__xludf.DUMMYFUNCTION("""COMPUTED_VALUE"""),98.63)</f>
        <v/>
      </c>
    </row>
    <row r="21432">
      <c r="J21432">
        <f>IFERROR(__xludf.DUMMYFUNCTION("""COMPUTED_VALUE"""),"Chapel's Cove-Harbour Main, Newfoundland and Labrador")</f>
        <v/>
      </c>
      <c r="K21432">
        <f>IFERROR(__xludf.DUMMYFUNCTION("""COMPUTED_VALUE"""),98.53)</f>
        <v/>
      </c>
    </row>
    <row r="21433">
      <c r="J21433">
        <f>IFERROR(__xludf.DUMMYFUNCTION("""COMPUTED_VALUE"""),"Joliette, Québec, Canada")</f>
        <v/>
      </c>
      <c r="K21433">
        <f>IFERROR(__xludf.DUMMYFUNCTION("""COMPUTED_VALUE"""),98.48)</f>
        <v/>
      </c>
    </row>
    <row r="21434">
      <c r="J21434">
        <f>IFERROR(__xludf.DUMMYFUNCTION("""COMPUTED_VALUE"""),"Riga, Latvia (on PM airbus &amp; acc. paid by PMO)")</f>
        <v/>
      </c>
      <c r="K21434">
        <f>IFERROR(__xludf.DUMMYFUNCTION("""COMPUTED_VALUE"""),98.08)</f>
        <v/>
      </c>
    </row>
    <row r="21435">
      <c r="J21435">
        <f>IFERROR(__xludf.DUMMYFUNCTION("""COMPUTED_VALUE"""),"Meech Lake, ON")</f>
        <v/>
      </c>
      <c r="K21435">
        <f>IFERROR(__xludf.DUMMYFUNCTION("""COMPUTED_VALUE"""),97.88)</f>
        <v/>
      </c>
    </row>
    <row r="21436">
      <c r="J21436">
        <f>IFERROR(__xludf.DUMMYFUNCTION("""COMPUTED_VALUE"""),"Montreal, Quebec / Kanesatake, Quebec, Canada")</f>
        <v/>
      </c>
      <c r="K21436">
        <f>IFERROR(__xludf.DUMMYFUNCTION("""COMPUTED_VALUE"""),97.53)</f>
        <v/>
      </c>
    </row>
    <row r="21437">
      <c r="J21437">
        <f>IFERROR(__xludf.DUMMYFUNCTION("""COMPUTED_VALUE"""),"Bromont (Québec) Canada")</f>
        <v/>
      </c>
      <c r="K21437">
        <f>IFERROR(__xludf.DUMMYFUNCTION("""COMPUTED_VALUE"""),97.48)</f>
        <v/>
      </c>
    </row>
    <row r="21438">
      <c r="J21438">
        <f>IFERROR(__xludf.DUMMYFUNCTION("""COMPUTED_VALUE"""),"Carman, Manitoba, Canada")</f>
        <v/>
      </c>
      <c r="K21438">
        <f>IFERROR(__xludf.DUMMYFUNCTION("""COMPUTED_VALUE"""),97.44)</f>
        <v/>
      </c>
    </row>
    <row r="21439">
      <c r="J21439">
        <f>IFERROR(__xludf.DUMMYFUNCTION("""COMPUTED_VALUE"""),"Goose Bay ,NL")</f>
        <v/>
      </c>
      <c r="K21439">
        <f>IFERROR(__xludf.DUMMYFUNCTION("""COMPUTED_VALUE"""),96.95)</f>
        <v/>
      </c>
    </row>
    <row r="21440">
      <c r="J21440">
        <f>IFERROR(__xludf.DUMMYFUNCTION("""COMPUTED_VALUE"""),"Longueil, Quebec")</f>
        <v/>
      </c>
      <c r="K21440">
        <f>IFERROR(__xludf.DUMMYFUNCTION("""COMPUTED_VALUE"""),96.66)</f>
        <v/>
      </c>
    </row>
    <row r="21441">
      <c r="J21441">
        <f>IFERROR(__xludf.DUMMYFUNCTION("""COMPUTED_VALUE"""),"Killarney Lake, NB Minto, NB")</f>
        <v/>
      </c>
      <c r="K21441">
        <f>IFERROR(__xludf.DUMMYFUNCTION("""COMPUTED_VALUE"""),96.53)</f>
        <v/>
      </c>
    </row>
    <row r="21442">
      <c r="J21442">
        <f>IFERROR(__xludf.DUMMYFUNCTION("""COMPUTED_VALUE"""),"Saint-Pie de Bagot(Quebec) Canada")</f>
        <v/>
      </c>
      <c r="K21442">
        <f>IFERROR(__xludf.DUMMYFUNCTION("""COMPUTED_VALUE"""),96.29)</f>
        <v/>
      </c>
    </row>
    <row r="21443">
      <c r="J21443">
        <f>IFERROR(__xludf.DUMMYFUNCTION("""COMPUTED_VALUE"""),"Oakville, Mississauga and Toronto, Ontario")</f>
        <v/>
      </c>
      <c r="K21443">
        <f>IFERROR(__xludf.DUMMYFUNCTION("""COMPUTED_VALUE"""),96.25)</f>
        <v/>
      </c>
    </row>
    <row r="21444">
      <c r="J21444">
        <f>IFERROR(__xludf.DUMMYFUNCTION("""COMPUTED_VALUE"""),"Chateau Montebello, Québec")</f>
        <v/>
      </c>
      <c r="K21444">
        <f>IFERROR(__xludf.DUMMYFUNCTION("""COMPUTED_VALUE"""),96)</f>
        <v/>
      </c>
    </row>
    <row r="21445">
      <c r="J21445">
        <f>IFERROR(__xludf.DUMMYFUNCTION("""COMPUTED_VALUE"""),"Lasalle, Quebec, Canada")</f>
        <v/>
      </c>
      <c r="K21445">
        <f>IFERROR(__xludf.DUMMYFUNCTION("""COMPUTED_VALUE"""),96)</f>
        <v/>
      </c>
    </row>
    <row r="21446">
      <c r="J21446">
        <f>IFERROR(__xludf.DUMMYFUNCTION("""COMPUTED_VALUE"""),"Orford, Quebec (Canada)  Montreal, Quebec (Canada)")</f>
        <v/>
      </c>
      <c r="K21446">
        <f>IFERROR(__xludf.DUMMYFUNCTION("""COMPUTED_VALUE"""),96)</f>
        <v/>
      </c>
    </row>
    <row r="21447">
      <c r="J21447">
        <f>IFERROR(__xludf.DUMMYFUNCTION("""COMPUTED_VALUE"""),"Kingston Ontario Canada")</f>
        <v/>
      </c>
      <c r="K21447">
        <f>IFERROR(__xludf.DUMMYFUNCTION("""COMPUTED_VALUE"""),95.95)</f>
        <v/>
      </c>
    </row>
    <row r="21448">
      <c r="J21448">
        <f>IFERROR(__xludf.DUMMYFUNCTION("""COMPUTED_VALUE"""),"Saint-Jean-de-Matha (Quebec) Canada")</f>
        <v/>
      </c>
      <c r="K21448">
        <f>IFERROR(__xludf.DUMMYFUNCTION("""COMPUTED_VALUE"""),95.95)</f>
        <v/>
      </c>
    </row>
    <row r="21449">
      <c r="J21449">
        <f>IFERROR(__xludf.DUMMYFUNCTION("""COMPUTED_VALUE"""),"Bethesda, MD")</f>
        <v/>
      </c>
      <c r="K21449">
        <f>IFERROR(__xludf.DUMMYFUNCTION("""COMPUTED_VALUE"""),95.92)</f>
        <v/>
      </c>
    </row>
    <row r="21450">
      <c r="J21450">
        <f>IFERROR(__xludf.DUMMYFUNCTION("""COMPUTED_VALUE"""),"New Ross, Nova Scotia")</f>
        <v/>
      </c>
      <c r="K21450">
        <f>IFERROR(__xludf.DUMMYFUNCTION("""COMPUTED_VALUE"""),95.88)</f>
        <v/>
      </c>
    </row>
    <row r="21451">
      <c r="J21451">
        <f>IFERROR(__xludf.DUMMYFUNCTION("""COMPUTED_VALUE"""),"Nakoda, Alberta, Canada")</f>
        <v/>
      </c>
      <c r="K21451">
        <f>IFERROR(__xludf.DUMMYFUNCTION("""COMPUTED_VALUE"""),95.65)</f>
        <v/>
      </c>
    </row>
    <row r="21452">
      <c r="J21452">
        <f>IFERROR(__xludf.DUMMYFUNCTION("""COMPUTED_VALUE"""),"Osgoode, Ontario, Canada")</f>
        <v/>
      </c>
      <c r="K21452">
        <f>IFERROR(__xludf.DUMMYFUNCTION("""COMPUTED_VALUE"""),95.22)</f>
        <v/>
      </c>
    </row>
    <row r="21453">
      <c r="J21453">
        <f>IFERROR(__xludf.DUMMYFUNCTION("""COMPUTED_VALUE"""),"Dolbeau-Mistassini, Normandin, La Doré")</f>
        <v/>
      </c>
      <c r="K21453">
        <f>IFERROR(__xludf.DUMMYFUNCTION("""COMPUTED_VALUE"""),94.92)</f>
        <v/>
      </c>
    </row>
    <row r="21454">
      <c r="J21454">
        <f>IFERROR(__xludf.DUMMYFUNCTION("""COMPUTED_VALUE"""),"Vancouver, Surrey")</f>
        <v/>
      </c>
      <c r="K21454">
        <f>IFERROR(__xludf.DUMMYFUNCTION("""COMPUTED_VALUE"""),94.87)</f>
        <v/>
      </c>
    </row>
    <row r="21455">
      <c r="J21455">
        <f>IFERROR(__xludf.DUMMYFUNCTION("""COMPUTED_VALUE"""),"Oct 27 - Jerusalem Oct 30 - Jerusalem Oct 31 - Jerusalem")</f>
        <v/>
      </c>
      <c r="K21455">
        <f>IFERROR(__xludf.DUMMYFUNCTION("""COMPUTED_VALUE"""),94.66)</f>
        <v/>
      </c>
    </row>
    <row r="21456">
      <c r="J21456">
        <f>IFERROR(__xludf.DUMMYFUNCTION("""COMPUTED_VALUE"""),"Dolbeau-Mistassini, Quebec, Canada")</f>
        <v/>
      </c>
      <c r="K21456">
        <f>IFERROR(__xludf.DUMMYFUNCTION("""COMPUTED_VALUE"""),94.56)</f>
        <v/>
      </c>
    </row>
    <row r="21457">
      <c r="J21457">
        <f>IFERROR(__xludf.DUMMYFUNCTION("""COMPUTED_VALUE"""),"Chesterville, Ontario")</f>
        <v/>
      </c>
      <c r="K21457">
        <f>IFERROR(__xludf.DUMMYFUNCTION("""COMPUTED_VALUE"""),94.36)</f>
        <v/>
      </c>
    </row>
    <row r="21458">
      <c r="J21458">
        <f>IFERROR(__xludf.DUMMYFUNCTION("""COMPUTED_VALUE"""),"Richmond, British Columbia, Canada; Maple Ridge, British Columbia, Canada")</f>
        <v/>
      </c>
      <c r="K21458">
        <f>IFERROR(__xludf.DUMMYFUNCTION("""COMPUTED_VALUE"""),94.36)</f>
        <v/>
      </c>
    </row>
    <row r="21459">
      <c r="J21459">
        <f>IFERROR(__xludf.DUMMYFUNCTION("""COMPUTED_VALUE"""),"Lachine Canal")</f>
        <v/>
      </c>
      <c r="K21459">
        <f>IFERROR(__xludf.DUMMYFUNCTION("""COMPUTED_VALUE"""),94.26)</f>
        <v/>
      </c>
    </row>
    <row r="21460">
      <c r="J21460">
        <f>IFERROR(__xludf.DUMMYFUNCTION("""COMPUTED_VALUE"""),"Bromont")</f>
        <v/>
      </c>
      <c r="K21460">
        <f>IFERROR(__xludf.DUMMYFUNCTION("""COMPUTED_VALUE"""),93.54)</f>
        <v/>
      </c>
    </row>
    <row r="21461">
      <c r="J21461">
        <f>IFERROR(__xludf.DUMMYFUNCTION("""COMPUTED_VALUE"""),"Ottawa, Ontario, Canada /
Montreal, Quebec, Canada")</f>
        <v/>
      </c>
      <c r="K21461">
        <f>IFERROR(__xludf.DUMMYFUNCTION("""COMPUTED_VALUE"""),93.5)</f>
        <v/>
      </c>
    </row>
    <row r="21462">
      <c r="J21462">
        <f>IFERROR(__xludf.DUMMYFUNCTION("""COMPUTED_VALUE"""),"Vancouver, Richmond, Surrey")</f>
        <v/>
      </c>
      <c r="K21462">
        <f>IFERROR(__xludf.DUMMYFUNCTION("""COMPUTED_VALUE"""),93.5)</f>
        <v/>
      </c>
    </row>
    <row r="21463">
      <c r="J21463">
        <f>IFERROR(__xludf.DUMMYFUNCTION("""COMPUTED_VALUE"""),"Saint-Thomas-Didyme")</f>
        <v/>
      </c>
      <c r="K21463">
        <f>IFERROR(__xludf.DUMMYFUNCTION("""COMPUTED_VALUE"""),93.24)</f>
        <v/>
      </c>
    </row>
    <row r="21464">
      <c r="J21464">
        <f>IFERROR(__xludf.DUMMYFUNCTION("""COMPUTED_VALUE"""),"Greenwich and Hartford, Connecticut")</f>
        <v/>
      </c>
      <c r="K21464">
        <f>IFERROR(__xludf.DUMMYFUNCTION("""COMPUTED_VALUE"""),93.06)</f>
        <v/>
      </c>
    </row>
    <row r="21465">
      <c r="J21465">
        <f>IFERROR(__xludf.DUMMYFUNCTION("""COMPUTED_VALUE"""),"Manawan, QC")</f>
        <v/>
      </c>
      <c r="K21465">
        <f>IFERROR(__xludf.DUMMYFUNCTION("""COMPUTED_VALUE"""),92.8)</f>
        <v/>
      </c>
    </row>
    <row r="21466">
      <c r="J21466">
        <f>IFERROR(__xludf.DUMMYFUNCTION("""COMPUTED_VALUE"""),"Sorel")</f>
        <v/>
      </c>
      <c r="K21466">
        <f>IFERROR(__xludf.DUMMYFUNCTION("""COMPUTED_VALUE"""),92.72)</f>
        <v/>
      </c>
    </row>
    <row r="21467">
      <c r="J21467">
        <f>IFERROR(__xludf.DUMMYFUNCTION("""COMPUTED_VALUE"""),"Bagotville, Quebec, Canada; Gaspé, Quebec, Canada; New Carlisle, Quebec, Canada")</f>
        <v/>
      </c>
      <c r="K21467">
        <f>IFERROR(__xludf.DUMMYFUNCTION("""COMPUTED_VALUE"""),92.7)</f>
        <v/>
      </c>
    </row>
    <row r="21468">
      <c r="J21468">
        <f>IFERROR(__xludf.DUMMYFUNCTION("""COMPUTED_VALUE"""),"Cap Santé")</f>
        <v/>
      </c>
      <c r="K21468">
        <f>IFERROR(__xludf.DUMMYFUNCTION("""COMPUTED_VALUE"""),92.56)</f>
        <v/>
      </c>
    </row>
    <row r="21469">
      <c r="J21469">
        <f>IFERROR(__xludf.DUMMYFUNCTION("""COMPUTED_VALUE"""),"Acton Vale, Quebec, Canada")</f>
        <v/>
      </c>
      <c r="K21469">
        <f>IFERROR(__xludf.DUMMYFUNCTION("""COMPUTED_VALUE"""),92.48)</f>
        <v/>
      </c>
    </row>
    <row r="21470">
      <c r="J21470">
        <f>IFERROR(__xludf.DUMMYFUNCTION("""COMPUTED_VALUE"""),"McAdam, NB")</f>
        <v/>
      </c>
      <c r="K21470">
        <f>IFERROR(__xludf.DUMMYFUNCTION("""COMPUTED_VALUE"""),92.11)</f>
        <v/>
      </c>
    </row>
    <row r="21471">
      <c r="J21471">
        <f>IFERROR(__xludf.DUMMYFUNCTION("""COMPUTED_VALUE"""),"Chambly, Longueuil, (Quebec)")</f>
        <v/>
      </c>
      <c r="K21471">
        <f>IFERROR(__xludf.DUMMYFUNCTION("""COMPUTED_VALUE"""),92.06)</f>
        <v/>
      </c>
    </row>
    <row r="21472">
      <c r="J21472">
        <f>IFERROR(__xludf.DUMMYFUNCTION("""COMPUTED_VALUE"""),"Whitney, Ontario")</f>
        <v/>
      </c>
      <c r="K21472">
        <f>IFERROR(__xludf.DUMMYFUNCTION("""COMPUTED_VALUE"""),92)</f>
        <v/>
      </c>
    </row>
    <row r="21473">
      <c r="J21473">
        <f>IFERROR(__xludf.DUMMYFUNCTION("""COMPUTED_VALUE"""),"L'Ascension")</f>
        <v/>
      </c>
      <c r="K21473">
        <f>IFERROR(__xludf.DUMMYFUNCTION("""COMPUTED_VALUE"""),91.84)</f>
        <v/>
      </c>
    </row>
    <row r="21474">
      <c r="J21474">
        <f>IFERROR(__xludf.DUMMYFUNCTION("""COMPUTED_VALUE"""),"St Jean QC")</f>
        <v/>
      </c>
      <c r="K21474">
        <f>IFERROR(__xludf.DUMMYFUNCTION("""COMPUTED_VALUE"""),91.5)</f>
        <v/>
      </c>
    </row>
    <row r="21475">
      <c r="J21475">
        <f>IFERROR(__xludf.DUMMYFUNCTION("""COMPUTED_VALUE"""),"Akwasasne, Quebec")</f>
        <v/>
      </c>
      <c r="K21475">
        <f>IFERROR(__xludf.DUMMYFUNCTION("""COMPUTED_VALUE"""),91.25)</f>
        <v/>
      </c>
    </row>
    <row r="21476">
      <c r="J21476">
        <f>IFERROR(__xludf.DUMMYFUNCTION("""COMPUTED_VALUE"""),"Trois-Rivières, Akwasasne, Quebec")</f>
        <v/>
      </c>
      <c r="K21476">
        <f>IFERROR(__xludf.DUMMYFUNCTION("""COMPUTED_VALUE"""),91.25)</f>
        <v/>
      </c>
    </row>
    <row r="21477">
      <c r="J21477">
        <f>IFERROR(__xludf.DUMMYFUNCTION("""COMPUTED_VALUE"""),"St-Lazare, Quebec")</f>
        <v/>
      </c>
      <c r="K21477">
        <f>IFERROR(__xludf.DUMMYFUNCTION("""COMPUTED_VALUE"""),90.77)</f>
        <v/>
      </c>
    </row>
    <row r="21478">
      <c r="J21478">
        <f>IFERROR(__xludf.DUMMYFUNCTION("""COMPUTED_VALUE"""),"Verdun, Quebec (Canada)")</f>
        <v/>
      </c>
      <c r="K21478">
        <f>IFERROR(__xludf.DUMMYFUNCTION("""COMPUTED_VALUE"""),90.5)</f>
        <v/>
      </c>
    </row>
    <row r="21479">
      <c r="J21479">
        <f>IFERROR(__xludf.DUMMYFUNCTION("""COMPUTED_VALUE"""),"St. Thomas, London, Tillsonburg, Aylmer, Ontario")</f>
        <v/>
      </c>
      <c r="K21479">
        <f>IFERROR(__xludf.DUMMYFUNCTION("""COMPUTED_VALUE"""),90.47)</f>
        <v/>
      </c>
    </row>
    <row r="21480">
      <c r="J21480">
        <f>IFERROR(__xludf.DUMMYFUNCTION("""COMPUTED_VALUE"""),"Charlottetown, Prince Edward Island / Halifax, Nova Scotia")</f>
        <v/>
      </c>
      <c r="K21480">
        <f>IFERROR(__xludf.DUMMYFUNCTION("""COMPUTED_VALUE"""),90.44)</f>
        <v/>
      </c>
    </row>
    <row r="21481">
      <c r="J21481">
        <f>IFERROR(__xludf.DUMMYFUNCTION("""COMPUTED_VALUE"""),"Ottawa-Montreal-Sherbrooke-Montreal")</f>
        <v/>
      </c>
      <c r="K21481">
        <f>IFERROR(__xludf.DUMMYFUNCTION("""COMPUTED_VALUE"""),90.1)</f>
        <v/>
      </c>
    </row>
    <row r="21482">
      <c r="J21482">
        <f>IFERROR(__xludf.DUMMYFUNCTION("""COMPUTED_VALUE"""),"Lima and Cali")</f>
        <v/>
      </c>
      <c r="K21482">
        <f>IFERROR(__xludf.DUMMYFUNCTION("""COMPUTED_VALUE"""),90)</f>
        <v/>
      </c>
    </row>
    <row r="21483">
      <c r="J21483">
        <f>IFERROR(__xludf.DUMMYFUNCTION("""COMPUTED_VALUE"""),"Lévis - Québec - Lévis")</f>
        <v/>
      </c>
      <c r="K21483">
        <f>IFERROR(__xludf.DUMMYFUNCTION("""COMPUTED_VALUE"""),89.97)</f>
        <v/>
      </c>
    </row>
    <row r="21484">
      <c r="J21484">
        <f>IFERROR(__xludf.DUMMYFUNCTION("""COMPUTED_VALUE"""),"Vankleek Hill (Ontario) Canada")</f>
        <v/>
      </c>
      <c r="K21484">
        <f>IFERROR(__xludf.DUMMYFUNCTION("""COMPUTED_VALUE"""),89.92)</f>
        <v/>
      </c>
    </row>
    <row r="21485">
      <c r="J21485">
        <f>IFERROR(__xludf.DUMMYFUNCTION("""COMPUTED_VALUE"""),"New Westminster, Surrey, Port Coquitlam, Port Moody")</f>
        <v/>
      </c>
      <c r="K21485">
        <f>IFERROR(__xludf.DUMMYFUNCTION("""COMPUTED_VALUE"""),89.6)</f>
        <v/>
      </c>
    </row>
    <row r="21486">
      <c r="J21486">
        <f>IFERROR(__xludf.DUMMYFUNCTION("""COMPUTED_VALUE"""),"Parliament Hill, Ottawa, Ontario")</f>
        <v/>
      </c>
      <c r="K21486">
        <f>IFERROR(__xludf.DUMMYFUNCTION("""COMPUTED_VALUE"""),89.6)</f>
        <v/>
      </c>
    </row>
    <row r="21487">
      <c r="J21487">
        <f>IFERROR(__xludf.DUMMYFUNCTION("""COMPUTED_VALUE"""),"Welland, Ontario")</f>
        <v/>
      </c>
      <c r="K21487">
        <f>IFERROR(__xludf.DUMMYFUNCTION("""COMPUTED_VALUE"""),89.57)</f>
        <v/>
      </c>
    </row>
    <row r="21488">
      <c r="J21488">
        <f>IFERROR(__xludf.DUMMYFUNCTION("""COMPUTED_VALUE"""),"Port Coquitlam, Richmond")</f>
        <v/>
      </c>
      <c r="K21488">
        <f>IFERROR(__xludf.DUMMYFUNCTION("""COMPUTED_VALUE"""),89.24)</f>
        <v/>
      </c>
    </row>
    <row r="21489">
      <c r="J21489">
        <f>IFERROR(__xludf.DUMMYFUNCTION("""COMPUTED_VALUE"""),"Brossard, QC; Montréal, QC; Laval, QC")</f>
        <v/>
      </c>
      <c r="K21489">
        <f>IFERROR(__xludf.DUMMYFUNCTION("""COMPUTED_VALUE"""),89.1)</f>
        <v/>
      </c>
    </row>
    <row r="21490">
      <c r="J21490">
        <f>IFERROR(__xludf.DUMMYFUNCTION("""COMPUTED_VALUE"""),"North Vancouver, BC")</f>
        <v/>
      </c>
      <c r="K21490">
        <f>IFERROR(__xludf.DUMMYFUNCTION("""COMPUTED_VALUE"""),88.84)</f>
        <v/>
      </c>
    </row>
    <row r="21491">
      <c r="J21491">
        <f>IFERROR(__xludf.DUMMYFUNCTION("""COMPUTED_VALUE"""),"Duck Lake, Saskatchewan")</f>
        <v/>
      </c>
      <c r="K21491">
        <f>IFERROR(__xludf.DUMMYFUNCTION("""COMPUTED_VALUE"""),88.8)</f>
        <v/>
      </c>
    </row>
    <row r="21492">
      <c r="J21492">
        <f>IFERROR(__xludf.DUMMYFUNCTION("""COMPUTED_VALUE"""),"Smith Falls, ON")</f>
        <v/>
      </c>
      <c r="K21492">
        <f>IFERROR(__xludf.DUMMYFUNCTION("""COMPUTED_VALUE"""),88.8)</f>
        <v/>
      </c>
    </row>
    <row r="21493">
      <c r="J21493">
        <f>IFERROR(__xludf.DUMMYFUNCTION("""COMPUTED_VALUE"""),"Abbotsford")</f>
        <v/>
      </c>
      <c r="K21493">
        <f>IFERROR(__xludf.DUMMYFUNCTION("""COMPUTED_VALUE"""),88.5)</f>
        <v/>
      </c>
    </row>
    <row r="21494">
      <c r="J21494">
        <f>IFERROR(__xludf.DUMMYFUNCTION("""COMPUTED_VALUE"""),"various regions")</f>
        <v/>
      </c>
      <c r="K21494">
        <f>IFERROR(__xludf.DUMMYFUNCTION("""COMPUTED_VALUE"""),88.47)</f>
        <v/>
      </c>
    </row>
    <row r="21495">
      <c r="J21495">
        <f>IFERROR(__xludf.DUMMYFUNCTION("""COMPUTED_VALUE"""),"Minto, New Brunswick")</f>
        <v/>
      </c>
      <c r="K21495">
        <f>IFERROR(__xludf.DUMMYFUNCTION("""COMPUTED_VALUE"""),88.39)</f>
        <v/>
      </c>
    </row>
    <row r="21496">
      <c r="J21496">
        <f>IFERROR(__xludf.DUMMYFUNCTION("""COMPUTED_VALUE"""),"Shearwater, Nova Scotia, Canada")</f>
        <v/>
      </c>
      <c r="K21496">
        <f>IFERROR(__xludf.DUMMYFUNCTION("""COMPUTED_VALUE"""),87.91)</f>
        <v/>
      </c>
    </row>
    <row r="21497">
      <c r="J21497">
        <f>IFERROR(__xludf.DUMMYFUNCTION("""COMPUTED_VALUE"""),"Vancouver, Burnaby, North Vancouver")</f>
        <v/>
      </c>
      <c r="K21497">
        <f>IFERROR(__xludf.DUMMYFUNCTION("""COMPUTED_VALUE"""),87.8)</f>
        <v/>
      </c>
    </row>
    <row r="21498">
      <c r="J21498">
        <f>IFERROR(__xludf.DUMMYFUNCTION("""COMPUTED_VALUE"""),"Sheet Harbour, Nova Scotia")</f>
        <v/>
      </c>
      <c r="K21498">
        <f>IFERROR(__xludf.DUMMYFUNCTION("""COMPUTED_VALUE"""),87.4)</f>
        <v/>
      </c>
    </row>
    <row r="21499">
      <c r="J21499">
        <f>IFERROR(__xludf.DUMMYFUNCTION("""COMPUTED_VALUE"""),"Coquitlam, Richmond, Tsawwassen, Delta")</f>
        <v/>
      </c>
      <c r="K21499">
        <f>IFERROR(__xludf.DUMMYFUNCTION("""COMPUTED_VALUE"""),87.27)</f>
        <v/>
      </c>
    </row>
    <row r="21500">
      <c r="J21500">
        <f>IFERROR(__xludf.DUMMYFUNCTION("""COMPUTED_VALUE"""),"Beloeil, Quebec, Canada")</f>
        <v/>
      </c>
      <c r="K21500">
        <f>IFERROR(__xludf.DUMMYFUNCTION("""COMPUTED_VALUE"""),87.14)</f>
        <v/>
      </c>
    </row>
    <row r="21501">
      <c r="J21501">
        <f>IFERROR(__xludf.DUMMYFUNCTION("""COMPUTED_VALUE"""),"Debert, Nova Scotia")</f>
        <v/>
      </c>
      <c r="K21501">
        <f>IFERROR(__xludf.DUMMYFUNCTION("""COMPUTED_VALUE"""),87.07)</f>
        <v/>
      </c>
    </row>
    <row r="21502">
      <c r="J21502">
        <f>IFERROR(__xludf.DUMMYFUNCTION("""COMPUTED_VALUE"""),"Longueil, Quebec, Canada")</f>
        <v/>
      </c>
      <c r="K21502">
        <f>IFERROR(__xludf.DUMMYFUNCTION("""COMPUTED_VALUE"""),87.05)</f>
        <v/>
      </c>
    </row>
    <row r="21503">
      <c r="J21503">
        <f>IFERROR(__xludf.DUMMYFUNCTION("""COMPUTED_VALUE"""),"Montréal; Sherbrooke, Quebec, Canada")</f>
        <v/>
      </c>
      <c r="K21503">
        <f>IFERROR(__xludf.DUMMYFUNCTION("""COMPUTED_VALUE"""),87.05)</f>
        <v/>
      </c>
    </row>
    <row r="21504">
      <c r="J21504">
        <f>IFERROR(__xludf.DUMMYFUNCTION("""COMPUTED_VALUE"""),"Ottawa, Ontario, (Canada)")</f>
        <v/>
      </c>
      <c r="K21504">
        <f>IFERROR(__xludf.DUMMYFUNCTION("""COMPUTED_VALUE"""),86.96)</f>
        <v/>
      </c>
    </row>
    <row r="21505">
      <c r="J21505">
        <f>IFERROR(__xludf.DUMMYFUNCTION("""COMPUTED_VALUE"""),"Verwood, Saskatchewan, Canada")</f>
        <v/>
      </c>
      <c r="K21505">
        <f>IFERROR(__xludf.DUMMYFUNCTION("""COMPUTED_VALUE"""),86.92)</f>
        <v/>
      </c>
    </row>
    <row r="21506">
      <c r="J21506">
        <f>IFERROR(__xludf.DUMMYFUNCTION("""COMPUTED_VALUE"""),"Sebringville, Ontario, Canada")</f>
        <v/>
      </c>
      <c r="K21506">
        <f>IFERROR(__xludf.DUMMYFUNCTION("""COMPUTED_VALUE"""),86.91)</f>
        <v/>
      </c>
    </row>
    <row r="21507">
      <c r="J21507">
        <f>IFERROR(__xludf.DUMMYFUNCTION("""COMPUTED_VALUE"""),"Holyrood and Conception Bay South, Newfoundland and Labrador")</f>
        <v/>
      </c>
      <c r="K21507">
        <f>IFERROR(__xludf.DUMMYFUNCTION("""COMPUTED_VALUE"""),86.8)</f>
        <v/>
      </c>
    </row>
    <row r="21508">
      <c r="J21508">
        <f>IFERROR(__xludf.DUMMYFUNCTION("""COMPUTED_VALUE"""),"Cancun (Mexico)")</f>
        <v/>
      </c>
      <c r="K21508">
        <f>IFERROR(__xludf.DUMMYFUNCTION("""COMPUTED_VALUE"""),86.68)</f>
        <v/>
      </c>
    </row>
    <row r="21509">
      <c r="J21509">
        <f>IFERROR(__xludf.DUMMYFUNCTION("""COMPUTED_VALUE"""),"Moose Jaw, Saskatchewan;#28")</f>
        <v/>
      </c>
      <c r="K21509">
        <f>IFERROR(__xludf.DUMMYFUNCTION("""COMPUTED_VALUE"""),86.44)</f>
        <v/>
      </c>
    </row>
    <row r="21510">
      <c r="J21510">
        <f>IFERROR(__xludf.DUMMYFUNCTION("""COMPUTED_VALUE"""),"Saint-Jérôme and Terrebonne, Quebec")</f>
        <v/>
      </c>
      <c r="K21510">
        <f>IFERROR(__xludf.DUMMYFUNCTION("""COMPUTED_VALUE"""),86.32)</f>
        <v/>
      </c>
    </row>
    <row r="21511">
      <c r="J21511">
        <f>IFERROR(__xludf.DUMMYFUNCTION("""COMPUTED_VALUE"""),"Harriman, New York")</f>
        <v/>
      </c>
      <c r="K21511">
        <f>IFERROR(__xludf.DUMMYFUNCTION("""COMPUTED_VALUE"""),86.07)</f>
        <v/>
      </c>
    </row>
    <row r="21512">
      <c r="J21512">
        <f>IFERROR(__xludf.DUMMYFUNCTION("""COMPUTED_VALUE"""),"Val-des-Monts (Quebec) Canada
Gracefield (Quebec) Canada
Wakefield (Quebec) Canada
Ottawa (Ontario) Canada")</f>
        <v/>
      </c>
      <c r="K21512">
        <f>IFERROR(__xludf.DUMMYFUNCTION("""COMPUTED_VALUE"""),86)</f>
        <v/>
      </c>
    </row>
    <row r="21513">
      <c r="J21513">
        <f>IFERROR(__xludf.DUMMYFUNCTION("""COMPUTED_VALUE"""),"Massena, NY, USA")</f>
        <v/>
      </c>
      <c r="K21513">
        <f>IFERROR(__xludf.DUMMYFUNCTION("""COMPUTED_VALUE"""),85.38)</f>
        <v/>
      </c>
    </row>
    <row r="21514">
      <c r="J21514">
        <f>IFERROR(__xludf.DUMMYFUNCTION("""COMPUTED_VALUE"""),"Prince Edward County, Ontario, Canada")</f>
        <v/>
      </c>
      <c r="K21514">
        <f>IFERROR(__xludf.DUMMYFUNCTION("""COMPUTED_VALUE"""),85.36)</f>
        <v/>
      </c>
    </row>
    <row r="21515">
      <c r="J21515">
        <f>IFERROR(__xludf.DUMMYFUNCTION("""COMPUTED_VALUE"""),"Pikwakanagan, Ontario, Canada")</f>
        <v/>
      </c>
      <c r="K21515">
        <f>IFERROR(__xludf.DUMMYFUNCTION("""COMPUTED_VALUE"""),85.1)</f>
        <v/>
      </c>
    </row>
    <row r="21516">
      <c r="J21516">
        <f>IFERROR(__xludf.DUMMYFUNCTION("""COMPUTED_VALUE"""),"Sainte-Anne des Plaines, Que.")</f>
        <v/>
      </c>
      <c r="K21516">
        <f>IFERROR(__xludf.DUMMYFUNCTION("""COMPUTED_VALUE"""),85.1)</f>
        <v/>
      </c>
    </row>
    <row r="21517">
      <c r="J21517">
        <f>IFERROR(__xludf.DUMMYFUNCTION("""COMPUTED_VALUE"""),"Vancouver/Port Moody/Coquitlam/Richmond/Surrey")</f>
        <v/>
      </c>
      <c r="K21517">
        <f>IFERROR(__xludf.DUMMYFUNCTION("""COMPUTED_VALUE"""),84.62)</f>
        <v/>
      </c>
    </row>
    <row r="21518">
      <c r="J21518">
        <f>IFERROR(__xludf.DUMMYFUNCTION("""COMPUTED_VALUE"""),"Cap-Pelé, New Brunswick")</f>
        <v/>
      </c>
      <c r="K21518">
        <f>IFERROR(__xludf.DUMMYFUNCTION("""COMPUTED_VALUE"""),84.55)</f>
        <v/>
      </c>
    </row>
    <row r="21519">
      <c r="J21519">
        <f>IFERROR(__xludf.DUMMYFUNCTION("""COMPUTED_VALUE"""),"Chateau Montebello")</f>
        <v/>
      </c>
      <c r="K21519">
        <f>IFERROR(__xludf.DUMMYFUNCTION("""COMPUTED_VALUE"""),84.48)</f>
        <v/>
      </c>
    </row>
    <row r="21520">
      <c r="J21520">
        <f>IFERROR(__xludf.DUMMYFUNCTION("""COMPUTED_VALUE"""),"Hemmingford, Quebec")</f>
        <v/>
      </c>
      <c r="K21520">
        <f>IFERROR(__xludf.DUMMYFUNCTION("""COMPUTED_VALUE"""),84.46)</f>
        <v/>
      </c>
    </row>
    <row r="21521">
      <c r="J21521">
        <f>IFERROR(__xludf.DUMMYFUNCTION("""COMPUTED_VALUE"""),"St-Thomas-Didyme, Roberval")</f>
        <v/>
      </c>
      <c r="K21521">
        <f>IFERROR(__xludf.DUMMYFUNCTION("""COMPUTED_VALUE"""),84.36)</f>
        <v/>
      </c>
    </row>
    <row r="21522">
      <c r="J21522">
        <f>IFERROR(__xludf.DUMMYFUNCTION("""COMPUTED_VALUE"""),"Humboldt, SK")</f>
        <v/>
      </c>
      <c r="K21522">
        <f>IFERROR(__xludf.DUMMYFUNCTION("""COMPUTED_VALUE"""),83.89)</f>
        <v/>
      </c>
    </row>
    <row r="21523">
      <c r="J21523">
        <f>IFERROR(__xludf.DUMMYFUNCTION("""COMPUTED_VALUE"""),"Clare, Nova Scotia, Canada")</f>
        <v/>
      </c>
      <c r="K21523">
        <f>IFERROR(__xludf.DUMMYFUNCTION("""COMPUTED_VALUE"""),83.52)</f>
        <v/>
      </c>
    </row>
    <row r="21524">
      <c r="J21524">
        <f>IFERROR(__xludf.DUMMYFUNCTION("""COMPUTED_VALUE"""),"Château Montebello - Province of Quebec - Outaouais region")</f>
        <v/>
      </c>
      <c r="K21524">
        <f>IFERROR(__xludf.DUMMYFUNCTION("""COMPUTED_VALUE"""),83.06)</f>
        <v/>
      </c>
    </row>
    <row r="21525">
      <c r="J21525">
        <f>IFERROR(__xludf.DUMMYFUNCTION("""COMPUTED_VALUE"""),"Cantley, Quebec, Canada")</f>
        <v/>
      </c>
      <c r="K21525">
        <f>IFERROR(__xludf.DUMMYFUNCTION("""COMPUTED_VALUE"""),82.78)</f>
        <v/>
      </c>
    </row>
    <row r="21526">
      <c r="J21526">
        <f>IFERROR(__xludf.DUMMYFUNCTION("""COMPUTED_VALUE"""),"Maple, Ontario, Canada")</f>
        <v/>
      </c>
      <c r="K21526">
        <f>IFERROR(__xludf.DUMMYFUNCTION("""COMPUTED_VALUE"""),82.5)</f>
        <v/>
      </c>
    </row>
    <row r="21527">
      <c r="J21527">
        <f>IFERROR(__xludf.DUMMYFUNCTION("""COMPUTED_VALUE"""),"Port Moody, Burnaby")</f>
        <v/>
      </c>
      <c r="K21527">
        <f>IFERROR(__xludf.DUMMYFUNCTION("""COMPUTED_VALUE"""),82.5)</f>
        <v/>
      </c>
    </row>
    <row r="21528">
      <c r="J21528">
        <f>IFERROR(__xludf.DUMMYFUNCTION("""COMPUTED_VALUE"""),"Vaughan and Milton, Ontario")</f>
        <v/>
      </c>
      <c r="K21528">
        <f>IFERROR(__xludf.DUMMYFUNCTION("""COMPUTED_VALUE"""),82.5)</f>
        <v/>
      </c>
    </row>
    <row r="21529">
      <c r="J21529">
        <f>IFERROR(__xludf.DUMMYFUNCTION("""COMPUTED_VALUE"""),"Northport, PE")</f>
        <v/>
      </c>
      <c r="K21529">
        <f>IFERROR(__xludf.DUMMYFUNCTION("""COMPUTED_VALUE"""),82.32)</f>
        <v/>
      </c>
    </row>
    <row r="21530">
      <c r="J21530">
        <f>IFERROR(__xludf.DUMMYFUNCTION("""COMPUTED_VALUE"""),"Airdrie, Alberta, Canada")</f>
        <v/>
      </c>
      <c r="K21530">
        <f>IFERROR(__xludf.DUMMYFUNCTION("""COMPUTED_VALUE"""),82.3)</f>
        <v/>
      </c>
    </row>
    <row r="21531">
      <c r="J21531">
        <f>IFERROR(__xludf.DUMMYFUNCTION("""COMPUTED_VALUE"""),"Chambord")</f>
        <v/>
      </c>
      <c r="K21531">
        <f>IFERROR(__xludf.DUMMYFUNCTION("""COMPUTED_VALUE"""),81.95)</f>
        <v/>
      </c>
    </row>
    <row r="21532">
      <c r="J21532">
        <f>IFERROR(__xludf.DUMMYFUNCTION("""COMPUTED_VALUE"""),"Regina, Saskatchewan, Canada; Saskatoon, Saskatchewan, Canada; Vancouver, British Columbia, Canada")</f>
        <v/>
      </c>
      <c r="K21532">
        <f>IFERROR(__xludf.DUMMYFUNCTION("""COMPUTED_VALUE"""),81.9)</f>
        <v/>
      </c>
    </row>
    <row r="21533">
      <c r="J21533">
        <f>IFERROR(__xludf.DUMMYFUNCTION("""COMPUTED_VALUE"""),"Noth Gower, ON")</f>
        <v/>
      </c>
      <c r="K21533">
        <f>IFERROR(__xludf.DUMMYFUNCTION("""COMPUTED_VALUE"""),81.8)</f>
        <v/>
      </c>
    </row>
    <row r="21534">
      <c r="J21534">
        <f>IFERROR(__xludf.DUMMYFUNCTION("""COMPUTED_VALUE"""),"Port Coquitlam, British Columbia, Canada")</f>
        <v/>
      </c>
      <c r="K21534">
        <f>IFERROR(__xludf.DUMMYFUNCTION("""COMPUTED_VALUE"""),81.8)</f>
        <v/>
      </c>
    </row>
    <row r="21535">
      <c r="J21535">
        <f>IFERROR(__xludf.DUMMYFUNCTION("""COMPUTED_VALUE"""),"Mirabel (Quebec) Canada")</f>
        <v/>
      </c>
      <c r="K21535">
        <f>IFERROR(__xludf.DUMMYFUNCTION("""COMPUTED_VALUE"""),81.78)</f>
        <v/>
      </c>
    </row>
    <row r="21536">
      <c r="J21536">
        <f>IFERROR(__xludf.DUMMYFUNCTION("""COMPUTED_VALUE"""),"Lachenaie, Quebec, Canada")</f>
        <v/>
      </c>
      <c r="K21536">
        <f>IFERROR(__xludf.DUMMYFUNCTION("""COMPUTED_VALUE"""),81.77)</f>
        <v/>
      </c>
    </row>
    <row r="21537">
      <c r="J21537">
        <f>IFERROR(__xludf.DUMMYFUNCTION("""COMPUTED_VALUE"""),"Cardiff, Wales, United Kingdom")</f>
        <v/>
      </c>
      <c r="K21537">
        <f>IFERROR(__xludf.DUMMYFUNCTION("""COMPUTED_VALUE"""),81.7)</f>
        <v/>
      </c>
    </row>
    <row r="21538">
      <c r="J21538">
        <f>IFERROR(__xludf.DUMMYFUNCTION("""COMPUTED_VALUE"""),"Delta, BC Vancouver, BC")</f>
        <v/>
      </c>
      <c r="K21538">
        <f>IFERROR(__xludf.DUMMYFUNCTION("""COMPUTED_VALUE"""),81.35)</f>
        <v/>
      </c>
    </row>
    <row r="21539">
      <c r="J21539">
        <f>IFERROR(__xludf.DUMMYFUNCTION("""COMPUTED_VALUE"""),"Lanark and Kanata, Ontario")</f>
        <v/>
      </c>
      <c r="K21539">
        <f>IFERROR(__xludf.DUMMYFUNCTION("""COMPUTED_VALUE"""),81.34)</f>
        <v/>
      </c>
    </row>
    <row r="21540">
      <c r="J21540">
        <f>IFERROR(__xludf.DUMMYFUNCTION("""COMPUTED_VALUE"""),"Strathmere, North Gower, Ontario")</f>
        <v/>
      </c>
      <c r="K21540">
        <f>IFERROR(__xludf.DUMMYFUNCTION("""COMPUTED_VALUE"""),81.26)</f>
        <v/>
      </c>
    </row>
    <row r="21541">
      <c r="J21541">
        <f>IFERROR(__xludf.DUMMYFUNCTION("""COMPUTED_VALUE"""),"Cambridge-Narrows, New Brunswick")</f>
        <v/>
      </c>
      <c r="K21541">
        <f>IFERROR(__xludf.DUMMYFUNCTION("""COMPUTED_VALUE"""),81.18)</f>
        <v/>
      </c>
    </row>
    <row r="21542">
      <c r="J21542">
        <f>IFERROR(__xludf.DUMMYFUNCTION("""COMPUTED_VALUE"""),"Gatineau, Quebec; Montreal, Quebec, Canada")</f>
        <v/>
      </c>
      <c r="K21542">
        <f>IFERROR(__xludf.DUMMYFUNCTION("""COMPUTED_VALUE"""),81)</f>
        <v/>
      </c>
    </row>
    <row r="21543">
      <c r="J21543">
        <f>IFERROR(__xludf.DUMMYFUNCTION("""COMPUTED_VALUE"""),"Oxford, Ontario, Canada")</f>
        <v/>
      </c>
      <c r="K21543">
        <f>IFERROR(__xludf.DUMMYFUNCTION("""COMPUTED_VALUE"""),80.31)</f>
        <v/>
      </c>
    </row>
    <row r="21544">
      <c r="J21544">
        <f>IFERROR(__xludf.DUMMYFUNCTION("""COMPUTED_VALUE"""),"Sainte-Hélène-de-Bagot, Quebec, Canada")</f>
        <v/>
      </c>
      <c r="K21544">
        <f>IFERROR(__xludf.DUMMYFUNCTION("""COMPUTED_VALUE"""),80.3)</f>
        <v/>
      </c>
    </row>
    <row r="21545">
      <c r="J21545">
        <f>IFERROR(__xludf.DUMMYFUNCTION("""COMPUTED_VALUE"""),"Québec, Montmagny")</f>
        <v/>
      </c>
      <c r="K21545">
        <f>IFERROR(__xludf.DUMMYFUNCTION("""COMPUTED_VALUE"""),80.1)</f>
        <v/>
      </c>
    </row>
    <row r="21546">
      <c r="J21546">
        <f>IFERROR(__xludf.DUMMYFUNCTION("""COMPUTED_VALUE"""),"Lille")</f>
        <v/>
      </c>
      <c r="K21546">
        <f>IFERROR(__xludf.DUMMYFUNCTION("""COMPUTED_VALUE"""),80)</f>
        <v/>
      </c>
    </row>
    <row r="21547">
      <c r="J21547">
        <f>IFERROR(__xludf.DUMMYFUNCTION("""COMPUTED_VALUE"""),"Borgo, Italy; Kiev, Ukraine")</f>
        <v/>
      </c>
      <c r="K21547">
        <f>IFERROR(__xludf.DUMMYFUNCTION("""COMPUTED_VALUE"""),79.81)</f>
        <v/>
      </c>
    </row>
    <row r="21548">
      <c r="J21548">
        <f>IFERROR(__xludf.DUMMYFUNCTION("""COMPUTED_VALUE"""),"Henry Trail Community Correctional Centre + Collins Bay Instituition")</f>
        <v/>
      </c>
      <c r="K21548">
        <f>IFERROR(__xludf.DUMMYFUNCTION("""COMPUTED_VALUE"""),79.65)</f>
        <v/>
      </c>
    </row>
    <row r="21549">
      <c r="J21549">
        <f>IFERROR(__xludf.DUMMYFUNCTION("""COMPUTED_VALUE"""),"Markham, Kitchener, Guelph, Waterloo, Ontario, Canada")</f>
        <v/>
      </c>
      <c r="K21549">
        <f>IFERROR(__xludf.DUMMYFUNCTION("""COMPUTED_VALUE"""),79.65)</f>
        <v/>
      </c>
    </row>
    <row r="21550">
      <c r="J21550">
        <f>IFERROR(__xludf.DUMMYFUNCTION("""COMPUTED_VALUE"""),"Westport, Ontario, Canada; Brockville, Ontario, Canada")</f>
        <v/>
      </c>
      <c r="K21550">
        <f>IFERROR(__xludf.DUMMYFUNCTION("""COMPUTED_VALUE"""),79.65)</f>
        <v/>
      </c>
    </row>
    <row r="21551">
      <c r="J21551">
        <f>IFERROR(__xludf.DUMMYFUNCTION("""COMPUTED_VALUE"""),"to Crystal City, to Residence")</f>
        <v/>
      </c>
      <c r="K21551">
        <f>IFERROR(__xludf.DUMMYFUNCTION("""COMPUTED_VALUE"""),79.61)</f>
        <v/>
      </c>
    </row>
    <row r="21552">
      <c r="J21552">
        <f>IFERROR(__xludf.DUMMYFUNCTION("""COMPUTED_VALUE"""),"Greenwich, Nova Scotia, Canada")</f>
        <v/>
      </c>
      <c r="K21552">
        <f>IFERROR(__xludf.DUMMYFUNCTION("""COMPUTED_VALUE"""),79.2)</f>
        <v/>
      </c>
    </row>
    <row r="21553">
      <c r="J21553">
        <f>IFERROR(__xludf.DUMMYFUNCTION("""COMPUTED_VALUE"""),"Toronto (Ontario) Canada; Mississauga (Ontario) Canada")</f>
        <v/>
      </c>
      <c r="K21553">
        <f>IFERROR(__xludf.DUMMYFUNCTION("""COMPUTED_VALUE"""),79.17)</f>
        <v/>
      </c>
    </row>
    <row r="21554">
      <c r="J21554">
        <f>IFERROR(__xludf.DUMMYFUNCTION("""COMPUTED_VALUE"""),"Baie-Comeau, Quebec, Canada; La Pocatière, Quebec, Canada")</f>
        <v/>
      </c>
      <c r="K21554">
        <f>IFERROR(__xludf.DUMMYFUNCTION("""COMPUTED_VALUE"""),78.63)</f>
        <v/>
      </c>
    </row>
    <row r="21555">
      <c r="J21555">
        <f>IFERROR(__xludf.DUMMYFUNCTION("""COMPUTED_VALUE"""),"Vancouver,  British Columbia, Canada")</f>
        <v/>
      </c>
      <c r="K21555">
        <f>IFERROR(__xludf.DUMMYFUNCTION("""COMPUTED_VALUE"""),78.55)</f>
        <v/>
      </c>
    </row>
    <row r="21556">
      <c r="J21556">
        <f>IFERROR(__xludf.DUMMYFUNCTION("""COMPUTED_VALUE"""),"Port Coquitlam")</f>
        <v/>
      </c>
      <c r="K21556">
        <f>IFERROR(__xludf.DUMMYFUNCTION("""COMPUTED_VALUE"""),78.22)</f>
        <v/>
      </c>
    </row>
    <row r="21557">
      <c r="J21557">
        <f>IFERROR(__xludf.DUMMYFUNCTION("""COMPUTED_VALUE"""),"Montarville, Quebec, Canada")</f>
        <v/>
      </c>
      <c r="K21557">
        <f>IFERROR(__xludf.DUMMYFUNCTION("""COMPUTED_VALUE"""),78.03)</f>
        <v/>
      </c>
    </row>
    <row r="21558">
      <c r="J21558">
        <f>IFERROR(__xludf.DUMMYFUNCTION("""COMPUTED_VALUE"""),"Burlington, Vermont, United States")</f>
        <v/>
      </c>
      <c r="K21558">
        <f>IFERROR(__xludf.DUMMYFUNCTION("""COMPUTED_VALUE"""),77.96)</f>
        <v/>
      </c>
    </row>
    <row r="21559">
      <c r="J21559">
        <f>IFERROR(__xludf.DUMMYFUNCTION("""COMPUTED_VALUE"""),"Langley, New Westminster, Port Coquitlam, Port Moody")</f>
        <v/>
      </c>
      <c r="K21559">
        <f>IFERROR(__xludf.DUMMYFUNCTION("""COMPUTED_VALUE"""),77.27)</f>
        <v/>
      </c>
    </row>
    <row r="21560">
      <c r="J21560">
        <f>IFERROR(__xludf.DUMMYFUNCTION("""COMPUTED_VALUE"""),"Cold Lake, Alb, Canada")</f>
        <v/>
      </c>
      <c r="K21560">
        <f>IFERROR(__xludf.DUMMYFUNCTION("""COMPUTED_VALUE"""),77.16)</f>
        <v/>
      </c>
    </row>
    <row r="21561">
      <c r="J21561">
        <f>IFERROR(__xludf.DUMMYFUNCTION("""COMPUTED_VALUE"""),"ROLLO BAY, PE")</f>
        <v/>
      </c>
      <c r="K21561">
        <f>IFERROR(__xludf.DUMMYFUNCTION("""COMPUTED_VALUE"""),76.96)</f>
        <v/>
      </c>
    </row>
    <row r="21562">
      <c r="J21562">
        <f>IFERROR(__xludf.DUMMYFUNCTION("""COMPUTED_VALUE"""),"Carleton Place, Ontario Canada")</f>
        <v/>
      </c>
      <c r="K21562">
        <f>IFERROR(__xludf.DUMMYFUNCTION("""COMPUTED_VALUE"""),76.56)</f>
        <v/>
      </c>
    </row>
    <row r="21563">
      <c r="J21563">
        <f>IFERROR(__xludf.DUMMYFUNCTION("""COMPUTED_VALUE"""),"Bear River, Nova Scotia")</f>
        <v/>
      </c>
      <c r="K21563">
        <f>IFERROR(__xludf.DUMMYFUNCTION("""COMPUTED_VALUE"""),76.55)</f>
        <v/>
      </c>
    </row>
    <row r="21564">
      <c r="J21564">
        <f>IFERROR(__xludf.DUMMYFUNCTION("""COMPUTED_VALUE"""),"CSC Federal Training Center, Laval,PQ")</f>
        <v/>
      </c>
      <c r="K21564">
        <f>IFERROR(__xludf.DUMMYFUNCTION("""COMPUTED_VALUE"""),76.55)</f>
        <v/>
      </c>
    </row>
    <row r="21565">
      <c r="J21565">
        <f>IFERROR(__xludf.DUMMYFUNCTION("""COMPUTED_VALUE"""),"Joyceville Institution, Kingston, ON")</f>
        <v/>
      </c>
      <c r="K21565">
        <f>IFERROR(__xludf.DUMMYFUNCTION("""COMPUTED_VALUE"""),76.55)</f>
        <v/>
      </c>
    </row>
    <row r="21566">
      <c r="J21566">
        <f>IFERROR(__xludf.DUMMYFUNCTION("""COMPUTED_VALUE"""),"Millhaven Institute")</f>
        <v/>
      </c>
      <c r="K21566">
        <f>IFERROR(__xludf.DUMMYFUNCTION("""COMPUTED_VALUE"""),76.55)</f>
        <v/>
      </c>
    </row>
    <row r="21567">
      <c r="J21567">
        <f>IFERROR(__xludf.DUMMYFUNCTION("""COMPUTED_VALUE"""),"Regional Reception Center")</f>
        <v/>
      </c>
      <c r="K21567">
        <f>IFERROR(__xludf.DUMMYFUNCTION("""COMPUTED_VALUE"""),76.55)</f>
        <v/>
      </c>
    </row>
    <row r="21568">
      <c r="J21568">
        <f>IFERROR(__xludf.DUMMYFUNCTION("""COMPUTED_VALUE"""),"Regional Reception Center ,Ste Anne des Plaines,PQ")</f>
        <v/>
      </c>
      <c r="K21568">
        <f>IFERROR(__xludf.DUMMYFUNCTION("""COMPUTED_VALUE"""),76.55)</f>
        <v/>
      </c>
    </row>
    <row r="21569">
      <c r="J21569">
        <f>IFERROR(__xludf.DUMMYFUNCTION("""COMPUTED_VALUE"""),"St-Jean-sur-Richelieu (Quebec) Canada")</f>
        <v/>
      </c>
      <c r="K21569">
        <f>IFERROR(__xludf.DUMMYFUNCTION("""COMPUTED_VALUE"""),76.55)</f>
        <v/>
      </c>
    </row>
    <row r="21570">
      <c r="J21570">
        <f>IFERROR(__xludf.DUMMYFUNCTION("""COMPUTED_VALUE"""),"Toronto, Ontario, Canada; Midland, Ontario, Canada; Collingwood, Ontario, Canada")</f>
        <v/>
      </c>
      <c r="K21570">
        <f>IFERROR(__xludf.DUMMYFUNCTION("""COMPUTED_VALUE"""),76.45)</f>
        <v/>
      </c>
    </row>
    <row r="21571">
      <c r="J21571">
        <f>IFERROR(__xludf.DUMMYFUNCTION("""COMPUTED_VALUE"""),"Beaumont-Hamel,France")</f>
        <v/>
      </c>
      <c r="K21571">
        <f>IFERROR(__xludf.DUMMYFUNCTION("""COMPUTED_VALUE"""),75.98)</f>
        <v/>
      </c>
    </row>
    <row r="21572">
      <c r="J21572">
        <f>IFERROR(__xludf.DUMMYFUNCTION("""COMPUTED_VALUE"""),"Vancouver, Port Moody, Coquitlam")</f>
        <v/>
      </c>
      <c r="K21572">
        <f>IFERROR(__xludf.DUMMYFUNCTION("""COMPUTED_VALUE"""),75.93)</f>
        <v/>
      </c>
    </row>
    <row r="21573">
      <c r="J21573">
        <f>IFERROR(__xludf.DUMMYFUNCTION("""COMPUTED_VALUE"""),"L'Ancienne-Lorette, Quebec, Canada")</f>
        <v/>
      </c>
      <c r="K21573">
        <f>IFERROR(__xludf.DUMMYFUNCTION("""COMPUTED_VALUE"""),75.9)</f>
        <v/>
      </c>
    </row>
    <row r="21574">
      <c r="J21574">
        <f>IFERROR(__xludf.DUMMYFUNCTION("""COMPUTED_VALUE"""),"Fort Langley, Burnaby")</f>
        <v/>
      </c>
      <c r="K21574">
        <f>IFERROR(__xludf.DUMMYFUNCTION("""COMPUTED_VALUE"""),75.84)</f>
        <v/>
      </c>
    </row>
    <row r="21575">
      <c r="J21575">
        <f>IFERROR(__xludf.DUMMYFUNCTION("""COMPUTED_VALUE"""),"Surrey, BC; Burnaby, BC; Vancouver, BC")</f>
        <v/>
      </c>
      <c r="K21575">
        <f>IFERROR(__xludf.DUMMYFUNCTION("""COMPUTED_VALUE"""),75.84)</f>
        <v/>
      </c>
    </row>
    <row r="21576">
      <c r="J21576">
        <f>IFERROR(__xludf.DUMMYFUNCTION("""COMPUTED_VALUE"""),"Ormstown, Quebec")</f>
        <v/>
      </c>
      <c r="K21576">
        <f>IFERROR(__xludf.DUMMYFUNCTION("""COMPUTED_VALUE"""),75.67)</f>
        <v/>
      </c>
    </row>
    <row r="21577">
      <c r="J21577">
        <f>IFERROR(__xludf.DUMMYFUNCTION("""COMPUTED_VALUE"""),"Rive-Sud-Montréal, Quebec")</f>
        <v/>
      </c>
      <c r="K21577">
        <f>IFERROR(__xludf.DUMMYFUNCTION("""COMPUTED_VALUE"""),75.6)</f>
        <v/>
      </c>
    </row>
    <row r="21578">
      <c r="J21578">
        <f>IFERROR(__xludf.DUMMYFUNCTION("""COMPUTED_VALUE"""),"ottawa, on")</f>
        <v/>
      </c>
      <c r="K21578">
        <f>IFERROR(__xludf.DUMMYFUNCTION("""COMPUTED_VALUE"""),75.4)</f>
        <v/>
      </c>
    </row>
    <row r="21579">
      <c r="J21579">
        <f>IFERROR(__xludf.DUMMYFUNCTION("""COMPUTED_VALUE"""),"Quebec Qc")</f>
        <v/>
      </c>
      <c r="K21579">
        <f>IFERROR(__xludf.DUMMYFUNCTION("""COMPUTED_VALUE"""),74.6)</f>
        <v/>
      </c>
    </row>
    <row r="21580">
      <c r="J21580">
        <f>IFERROR(__xludf.DUMMYFUNCTION("""COMPUTED_VALUE"""),"Shawinigan, Quebec, Canada /  Montreal, Quebec, Canada / Ottawa, Ontario, Canada")</f>
        <v/>
      </c>
      <c r="K21580">
        <f>IFERROR(__xludf.DUMMYFUNCTION("""COMPUTED_VALUE"""),74.6)</f>
        <v/>
      </c>
    </row>
    <row r="21581">
      <c r="J21581">
        <f>IFERROR(__xludf.DUMMYFUNCTION("""COMPUTED_VALUE"""),"Sherbrooke (Quebec) Canada; Drummondville (Quebec) Canada; Montréal (Quebec) Canada")</f>
        <v/>
      </c>
      <c r="K21581">
        <f>IFERROR(__xludf.DUMMYFUNCTION("""COMPUTED_VALUE"""),74.6)</f>
        <v/>
      </c>
    </row>
    <row r="21582">
      <c r="J21582">
        <f>IFERROR(__xludf.DUMMYFUNCTION("""COMPUTED_VALUE"""),"Vaudreuil ,Quebec,Canada")</f>
        <v/>
      </c>
      <c r="K21582">
        <f>IFERROR(__xludf.DUMMYFUNCTION("""COMPUTED_VALUE"""),74.6)</f>
        <v/>
      </c>
    </row>
    <row r="21583">
      <c r="J21583">
        <f>IFERROR(__xludf.DUMMYFUNCTION("""COMPUTED_VALUE"""),"Summerside,PEI")</f>
        <v/>
      </c>
      <c r="K21583">
        <f>IFERROR(__xludf.DUMMYFUNCTION("""COMPUTED_VALUE"""),74.55)</f>
        <v/>
      </c>
    </row>
    <row r="21584">
      <c r="J21584">
        <f>IFERROR(__xludf.DUMMYFUNCTION("""COMPUTED_VALUE"""),"Saint-Hyacinthe / Saint-Jean-sur-Richelieu, (Quebec)")</f>
        <v/>
      </c>
      <c r="K21584">
        <f>IFERROR(__xludf.DUMMYFUNCTION("""COMPUTED_VALUE"""),74.2)</f>
        <v/>
      </c>
    </row>
    <row r="21585">
      <c r="J21585">
        <f>IFERROR(__xludf.DUMMYFUNCTION("""COMPUTED_VALUE"""),"Thornhill, Ontario")</f>
        <v/>
      </c>
      <c r="K21585">
        <f>IFERROR(__xludf.DUMMYFUNCTION("""COMPUTED_VALUE"""),74.17)</f>
        <v/>
      </c>
    </row>
    <row r="21586">
      <c r="J21586">
        <f>IFERROR(__xludf.DUMMYFUNCTION("""COMPUTED_VALUE"""),"Quebec (Quebec) Canada; Sherbrooke (Quebec) Canada")</f>
        <v/>
      </c>
      <c r="K21586">
        <f>IFERROR(__xludf.DUMMYFUNCTION("""COMPUTED_VALUE"""),73.85)</f>
        <v/>
      </c>
    </row>
    <row r="21587">
      <c r="J21587">
        <f>IFERROR(__xludf.DUMMYFUNCTION("""COMPUTED_VALUE"""),"Abbotsford, British Columbia; Aggasiz, British Columbia; Vancouver, British Columbia; Mission, British Columbia")</f>
        <v/>
      </c>
      <c r="K21587">
        <f>IFERROR(__xludf.DUMMYFUNCTION("""COMPUTED_VALUE"""),73.8)</f>
        <v/>
      </c>
    </row>
    <row r="21588">
      <c r="J21588">
        <f>IFERROR(__xludf.DUMMYFUNCTION("""COMPUTED_VALUE"""),"Squamish, British Columbia, Canada")</f>
        <v/>
      </c>
      <c r="K21588">
        <f>IFERROR(__xludf.DUMMYFUNCTION("""COMPUTED_VALUE"""),73.66)</f>
        <v/>
      </c>
    </row>
    <row r="21589">
      <c r="J21589">
        <f>IFERROR(__xludf.DUMMYFUNCTION("""COMPUTED_VALUE"""),"Chalk-River, ON")</f>
        <v/>
      </c>
      <c r="K21589">
        <f>IFERROR(__xludf.DUMMYFUNCTION("""COMPUTED_VALUE"""),73.45)</f>
        <v/>
      </c>
    </row>
    <row r="21590">
      <c r="J21590">
        <f>IFERROR(__xludf.DUMMYFUNCTION("""COMPUTED_VALUE"""),"Meech Lake")</f>
        <v/>
      </c>
      <c r="K21590">
        <f>IFERROR(__xludf.DUMMYFUNCTION("""COMPUTED_VALUE"""),73.4)</f>
        <v/>
      </c>
    </row>
    <row r="21591">
      <c r="J21591">
        <f>IFERROR(__xludf.DUMMYFUNCTION("""COMPUTED_VALUE"""),"Strathmere Retreat, Ontario, Canada")</f>
        <v/>
      </c>
      <c r="K21591">
        <f>IFERROR(__xludf.DUMMYFUNCTION("""COMPUTED_VALUE"""),73.15)</f>
        <v/>
      </c>
    </row>
    <row r="21592">
      <c r="J21592">
        <f>IFERROR(__xludf.DUMMYFUNCTION("""COMPUTED_VALUE"""),"Dalhousie, New Brunswick")</f>
        <v/>
      </c>
      <c r="K21592">
        <f>IFERROR(__xludf.DUMMYFUNCTION("""COMPUTED_VALUE"""),72.95)</f>
        <v/>
      </c>
    </row>
    <row r="21593">
      <c r="J21593">
        <f>IFERROR(__xludf.DUMMYFUNCTION("""COMPUTED_VALUE"""),"Blainville")</f>
        <v/>
      </c>
      <c r="K21593">
        <f>IFERROR(__xludf.DUMMYFUNCTION("""COMPUTED_VALUE"""),72.86)</f>
        <v/>
      </c>
    </row>
    <row r="21594">
      <c r="J21594">
        <f>IFERROR(__xludf.DUMMYFUNCTION("""COMPUTED_VALUE"""),"Laval (Quebec) Canada")</f>
        <v/>
      </c>
      <c r="K21594">
        <f>IFERROR(__xludf.DUMMYFUNCTION("""COMPUTED_VALUE"""),72.84)</f>
        <v/>
      </c>
    </row>
    <row r="21595">
      <c r="J21595">
        <f>IFERROR(__xludf.DUMMYFUNCTION("""COMPUTED_VALUE"""),"Hampton, New Brunswick")</f>
        <v/>
      </c>
      <c r="K21595">
        <f>IFERROR(__xludf.DUMMYFUNCTION("""COMPUTED_VALUE"""),72.8)</f>
        <v/>
      </c>
    </row>
    <row r="21596">
      <c r="J21596">
        <f>IFERROR(__xludf.DUMMYFUNCTION("""COMPUTED_VALUE"""),"Windsor, NS")</f>
        <v/>
      </c>
      <c r="K21596">
        <f>IFERROR(__xludf.DUMMYFUNCTION("""COMPUTED_VALUE"""),72.76)</f>
        <v/>
      </c>
    </row>
    <row r="21597">
      <c r="J21597">
        <f>IFERROR(__xludf.DUMMYFUNCTION("""COMPUTED_VALUE"""),"Athabasca, AB and Lac La Biche, AB")</f>
        <v/>
      </c>
      <c r="K21597">
        <f>IFERROR(__xludf.DUMMYFUNCTION("""COMPUTED_VALUE"""),72.7)</f>
        <v/>
      </c>
    </row>
    <row r="21598">
      <c r="J21598">
        <f>IFERROR(__xludf.DUMMYFUNCTION("""COMPUTED_VALUE"""),"Tracadie, Caraquet and Shippagan, New Brunswick")</f>
        <v/>
      </c>
      <c r="K21598">
        <f>IFERROR(__xludf.DUMMYFUNCTION("""COMPUTED_VALUE"""),72.46)</f>
        <v/>
      </c>
    </row>
    <row r="21599">
      <c r="J21599">
        <f>IFERROR(__xludf.DUMMYFUNCTION("""COMPUTED_VALUE"""),"CFB Trenton (Ontario) Canada")</f>
        <v/>
      </c>
      <c r="K21599">
        <f>IFERROR(__xludf.DUMMYFUNCTION("""COMPUTED_VALUE"""),72.15)</f>
        <v/>
      </c>
    </row>
    <row r="21600">
      <c r="J21600">
        <f>IFERROR(__xludf.DUMMYFUNCTION("""COMPUTED_VALUE"""),"John D'Or Prairie, AB")</f>
        <v/>
      </c>
      <c r="K21600">
        <f>IFERROR(__xludf.DUMMYFUNCTION("""COMPUTED_VALUE"""),72.15)</f>
        <v/>
      </c>
    </row>
    <row r="21601">
      <c r="J21601">
        <f>IFERROR(__xludf.DUMMYFUNCTION("""COMPUTED_VALUE"""),"Orono Maine")</f>
        <v/>
      </c>
      <c r="K21601">
        <f>IFERROR(__xludf.DUMMYFUNCTION("""COMPUTED_VALUE"""),72.08)</f>
        <v/>
      </c>
    </row>
    <row r="21602">
      <c r="J21602">
        <f>IFERROR(__xludf.DUMMYFUNCTION("""COMPUTED_VALUE"""),"St-Gédéon, Roberval")</f>
        <v/>
      </c>
      <c r="K21602">
        <f>IFERROR(__xludf.DUMMYFUNCTION("""COMPUTED_VALUE"""),72.08)</f>
        <v/>
      </c>
    </row>
    <row r="21603">
      <c r="J21603">
        <f>IFERROR(__xludf.DUMMYFUNCTION("""COMPUTED_VALUE"""),"Burnaby, BC")</f>
        <v/>
      </c>
      <c r="K21603">
        <f>IFERROR(__xludf.DUMMYFUNCTION("""COMPUTED_VALUE"""),71.99)</f>
        <v/>
      </c>
    </row>
    <row r="21604">
      <c r="J21604">
        <f>IFERROR(__xludf.DUMMYFUNCTION("""COMPUTED_VALUE"""),"Casselman")</f>
        <v/>
      </c>
      <c r="K21604">
        <f>IFERROR(__xludf.DUMMYFUNCTION("""COMPUTED_VALUE"""),71.82)</f>
        <v/>
      </c>
    </row>
    <row r="21605">
      <c r="J21605">
        <f>IFERROR(__xludf.DUMMYFUNCTION("""COMPUTED_VALUE"""),"Albanel")</f>
        <v/>
      </c>
      <c r="K21605">
        <f>IFERROR(__xludf.DUMMYFUNCTION("""COMPUTED_VALUE"""),71.68)</f>
        <v/>
      </c>
    </row>
    <row r="21606">
      <c r="J21606">
        <f>IFERROR(__xludf.DUMMYFUNCTION("""COMPUTED_VALUE"""),"Salaberry de Valleyfield, Quebec")</f>
        <v/>
      </c>
      <c r="K21606">
        <f>IFERROR(__xludf.DUMMYFUNCTION("""COMPUTED_VALUE"""),71.51)</f>
        <v/>
      </c>
    </row>
    <row r="21607">
      <c r="J21607">
        <f>IFERROR(__xludf.DUMMYFUNCTION("""COMPUTED_VALUE"""),"Waterville, Nova Scotia, Canada")</f>
        <v/>
      </c>
      <c r="K21607">
        <f>IFERROR(__xludf.DUMMYFUNCTION("""COMPUTED_VALUE"""),71.4)</f>
        <v/>
      </c>
    </row>
    <row r="21608">
      <c r="J21608">
        <f>IFERROR(__xludf.DUMMYFUNCTION("""COMPUTED_VALUE"""),"Meech Lake, QC")</f>
        <v/>
      </c>
      <c r="K21608">
        <f>IFERROR(__xludf.DUMMYFUNCTION("""COMPUTED_VALUE"""),71.25)</f>
        <v/>
      </c>
    </row>
    <row r="21609">
      <c r="J21609">
        <f>IFERROR(__xludf.DUMMYFUNCTION("""COMPUTED_VALUE"""),"Chalk River, ON, Canada")</f>
        <v/>
      </c>
      <c r="K21609">
        <f>IFERROR(__xludf.DUMMYFUNCTION("""COMPUTED_VALUE"""),71.15)</f>
        <v/>
      </c>
    </row>
    <row r="21610">
      <c r="J21610">
        <f>IFERROR(__xludf.DUMMYFUNCTION("""COMPUTED_VALUE"""),"Montreal, Quebec, Canada - Mirabel, Quebec, Canada")</f>
        <v/>
      </c>
      <c r="K21610">
        <f>IFERROR(__xludf.DUMMYFUNCTION("""COMPUTED_VALUE"""),71.15)</f>
        <v/>
      </c>
    </row>
    <row r="21611">
      <c r="J21611">
        <f>IFERROR(__xludf.DUMMYFUNCTION("""COMPUTED_VALUE"""),"Norwich, Ontario, Canada - Brantford, Ontario, Canada")</f>
        <v/>
      </c>
      <c r="K21611">
        <f>IFERROR(__xludf.DUMMYFUNCTION("""COMPUTED_VALUE"""),71.15)</f>
        <v/>
      </c>
    </row>
    <row r="21612">
      <c r="J21612">
        <f>IFERROR(__xludf.DUMMYFUNCTION("""COMPUTED_VALUE"""),"Sherbrooke, Quebec, Canada / Acton Vale, Quebec, Canada")</f>
        <v/>
      </c>
      <c r="K21612">
        <f>IFERROR(__xludf.DUMMYFUNCTION("""COMPUTED_VALUE"""),71.15)</f>
        <v/>
      </c>
    </row>
    <row r="21613">
      <c r="J21613">
        <f>IFERROR(__xludf.DUMMYFUNCTION("""COMPUTED_VALUE"""),"Vimy, Lille (France)")</f>
        <v/>
      </c>
      <c r="K21613">
        <f>IFERROR(__xludf.DUMMYFUNCTION("""COMPUTED_VALUE"""),71.03)</f>
        <v/>
      </c>
    </row>
    <row r="21614">
      <c r="J21614">
        <f>IFERROR(__xludf.DUMMYFUNCTION("""COMPUTED_VALUE"""),"Hanley, SK")</f>
        <v/>
      </c>
      <c r="K21614">
        <f>IFERROR(__xludf.DUMMYFUNCTION("""COMPUTED_VALUE"""),71.02)</f>
        <v/>
      </c>
    </row>
    <row r="21615">
      <c r="J21615">
        <f>IFERROR(__xludf.DUMMYFUNCTION("""COMPUTED_VALUE"""),"Bath, Ontario, Canada")</f>
        <v/>
      </c>
      <c r="K21615">
        <f>IFERROR(__xludf.DUMMYFUNCTION("""COMPUTED_VALUE"""),70.75)</f>
        <v/>
      </c>
    </row>
    <row r="21616">
      <c r="J21616">
        <f>IFERROR(__xludf.DUMMYFUNCTION("""COMPUTED_VALUE"""),"Shawinigan, Trois-Rivières and Montréal, Québec")</f>
        <v/>
      </c>
      <c r="K21616">
        <f>IFERROR(__xludf.DUMMYFUNCTION("""COMPUTED_VALUE"""),70.75)</f>
        <v/>
      </c>
    </row>
    <row r="21617">
      <c r="J21617">
        <f>IFERROR(__xludf.DUMMYFUNCTION("""COMPUTED_VALUE"""),"Mirabel, Qeubec, Canada")</f>
        <v/>
      </c>
      <c r="K21617">
        <f>IFERROR(__xludf.DUMMYFUNCTION("""COMPUTED_VALUE"""),70.63)</f>
        <v/>
      </c>
    </row>
    <row r="21618">
      <c r="J21618">
        <f>IFERROR(__xludf.DUMMYFUNCTION("""COMPUTED_VALUE"""),"Vernon, BC")</f>
        <v/>
      </c>
      <c r="K21618">
        <f>IFERROR(__xludf.DUMMYFUNCTION("""COMPUTED_VALUE"""),70.6)</f>
        <v/>
      </c>
    </row>
    <row r="21619">
      <c r="J21619">
        <f>IFERROR(__xludf.DUMMYFUNCTION("""COMPUTED_VALUE"""),"Roberval, Dam-en-Terre")</f>
        <v/>
      </c>
      <c r="K21619">
        <f>IFERROR(__xludf.DUMMYFUNCTION("""COMPUTED_VALUE"""),70.56)</f>
        <v/>
      </c>
    </row>
    <row r="21620">
      <c r="J21620">
        <f>IFERROR(__xludf.DUMMYFUNCTION("""COMPUTED_VALUE"""),"Kahnawake (Québec)")</f>
        <v/>
      </c>
      <c r="K21620">
        <f>IFERROR(__xludf.DUMMYFUNCTION("""COMPUTED_VALUE"""),70.25)</f>
        <v/>
      </c>
    </row>
    <row r="21621">
      <c r="J21621">
        <f>IFERROR(__xludf.DUMMYFUNCTION("""COMPUTED_VALUE"""),"Mississauga, ON; North York, ON")</f>
        <v/>
      </c>
      <c r="K21621">
        <f>IFERROR(__xludf.DUMMYFUNCTION("""COMPUTED_VALUE"""),70.21)</f>
        <v/>
      </c>
    </row>
    <row r="21622">
      <c r="J21622">
        <f>IFERROR(__xludf.DUMMYFUNCTION("""COMPUTED_VALUE"""),"North Grenville, Ontario, Canada")</f>
        <v/>
      </c>
      <c r="K21622">
        <f>IFERROR(__xludf.DUMMYFUNCTION("""COMPUTED_VALUE"""),70.18)</f>
        <v/>
      </c>
    </row>
    <row r="21623">
      <c r="J21623">
        <f>IFERROR(__xludf.DUMMYFUNCTION("""COMPUTED_VALUE"""),"Naples, Florida")</f>
        <v/>
      </c>
      <c r="K21623">
        <f>IFERROR(__xludf.DUMMYFUNCTION("""COMPUTED_VALUE"""),69.89)</f>
        <v/>
      </c>
    </row>
    <row r="21624">
      <c r="J21624">
        <f>IFERROR(__xludf.DUMMYFUNCTION("""COMPUTED_VALUE"""),"Laval, Châteauguay, Quebec, Canada")</f>
        <v/>
      </c>
      <c r="K21624">
        <f>IFERROR(__xludf.DUMMYFUNCTION("""COMPUTED_VALUE"""),69.88)</f>
        <v/>
      </c>
    </row>
    <row r="21625">
      <c r="J21625">
        <f>IFERROR(__xludf.DUMMYFUNCTION("""COMPUTED_VALUE"""),"Airdrie, AB")</f>
        <v/>
      </c>
      <c r="K21625">
        <f>IFERROR(__xludf.DUMMYFUNCTION("""COMPUTED_VALUE"""),69.85)</f>
        <v/>
      </c>
    </row>
    <row r="21626">
      <c r="J21626">
        <f>IFERROR(__xludf.DUMMYFUNCTION("""COMPUTED_VALUE"""),"Laval, (Quebec)")</f>
        <v/>
      </c>
      <c r="K21626">
        <f>IFERROR(__xludf.DUMMYFUNCTION("""COMPUTED_VALUE"""),69.85)</f>
        <v/>
      </c>
    </row>
    <row r="21627">
      <c r="J21627">
        <f>IFERROR(__xludf.DUMMYFUNCTION("""COMPUTED_VALUE"""),"Montréal and Longueuil, Québec")</f>
        <v/>
      </c>
      <c r="K21627">
        <f>IFERROR(__xludf.DUMMYFUNCTION("""COMPUTED_VALUE"""),69.85)</f>
        <v/>
      </c>
    </row>
    <row r="21628">
      <c r="J21628">
        <f>IFERROR(__xludf.DUMMYFUNCTION("""COMPUTED_VALUE"""),"Sherbrooke / Granby / Brome, (Quebec)")</f>
        <v/>
      </c>
      <c r="K21628">
        <f>IFERROR(__xludf.DUMMYFUNCTION("""COMPUTED_VALUE"""),69.85)</f>
        <v/>
      </c>
    </row>
    <row r="21629">
      <c r="J21629">
        <f>IFERROR(__xludf.DUMMYFUNCTION("""COMPUTED_VALUE"""),"Vancouver, BC; Abbotsford, BC")</f>
        <v/>
      </c>
      <c r="K21629">
        <f>IFERROR(__xludf.DUMMYFUNCTION("""COMPUTED_VALUE"""),69.85)</f>
        <v/>
      </c>
    </row>
    <row r="21630">
      <c r="J21630">
        <f>IFERROR(__xludf.DUMMYFUNCTION("""COMPUTED_VALUE"""),"MISCOUCHE, PE")</f>
        <v/>
      </c>
      <c r="K21630">
        <f>IFERROR(__xludf.DUMMYFUNCTION("""COMPUTED_VALUE"""),69.68)</f>
        <v/>
      </c>
    </row>
    <row r="21631">
      <c r="J21631">
        <f>IFERROR(__xludf.DUMMYFUNCTION("""COMPUTED_VALUE"""),"Gatineau,QC")</f>
        <v/>
      </c>
      <c r="K21631">
        <f>IFERROR(__xludf.DUMMYFUNCTION("""COMPUTED_VALUE"""),69.56)</f>
        <v/>
      </c>
    </row>
    <row r="21632">
      <c r="J21632">
        <f>IFERROR(__xludf.DUMMYFUNCTION("""COMPUTED_VALUE"""),"Sainte-Croix, Quebec, Canada")</f>
        <v/>
      </c>
      <c r="K21632">
        <f>IFERROR(__xludf.DUMMYFUNCTION("""COMPUTED_VALUE"""),69.5)</f>
        <v/>
      </c>
    </row>
    <row r="21633">
      <c r="J21633">
        <f>IFERROR(__xludf.DUMMYFUNCTION("""COMPUTED_VALUE"""),"Longueuil, Quebec, Canada;
St. Hyacinthe, Quebec, Canada")</f>
        <v/>
      </c>
      <c r="K21633">
        <f>IFERROR(__xludf.DUMMYFUNCTION("""COMPUTED_VALUE"""),69.34)</f>
        <v/>
      </c>
    </row>
    <row r="21634">
      <c r="J21634">
        <f>IFERROR(__xludf.DUMMYFUNCTION("""COMPUTED_VALUE"""),"Perth, Ontario, Canada")</f>
        <v/>
      </c>
      <c r="K21634">
        <f>IFERROR(__xludf.DUMMYFUNCTION("""COMPUTED_VALUE"""),69.3)</f>
        <v/>
      </c>
    </row>
    <row r="21635">
      <c r="J21635">
        <f>IFERROR(__xludf.DUMMYFUNCTION("""COMPUTED_VALUE"""),"Hammond, Ontario, Canada")</f>
        <v/>
      </c>
      <c r="K21635">
        <f>IFERROR(__xludf.DUMMYFUNCTION("""COMPUTED_VALUE"""),69.1)</f>
        <v/>
      </c>
    </row>
    <row r="21636">
      <c r="J21636">
        <f>IFERROR(__xludf.DUMMYFUNCTION("""COMPUTED_VALUE"""),"Vancouver, BC; Richmond, BC")</f>
        <v/>
      </c>
      <c r="K21636">
        <f>IFERROR(__xludf.DUMMYFUNCTION("""COMPUTED_VALUE"""),68.98)</f>
        <v/>
      </c>
    </row>
    <row r="21637">
      <c r="J21637">
        <f>IFERROR(__xludf.DUMMYFUNCTION("""COMPUTED_VALUE"""),"Goose River, Prince Edward Island")</f>
        <v/>
      </c>
      <c r="K21637">
        <f>IFERROR(__xludf.DUMMYFUNCTION("""COMPUTED_VALUE"""),68.82)</f>
        <v/>
      </c>
    </row>
    <row r="21638">
      <c r="J21638">
        <f>IFERROR(__xludf.DUMMYFUNCTION("""COMPUTED_VALUE"""),"Lansing,  Michigan")</f>
        <v/>
      </c>
      <c r="K21638">
        <f>IFERROR(__xludf.DUMMYFUNCTION("""COMPUTED_VALUE"""),68.75)</f>
        <v/>
      </c>
    </row>
    <row r="21639">
      <c r="J21639">
        <f>IFERROR(__xludf.DUMMYFUNCTION("""COMPUTED_VALUE"""),"Metis Crossing, Alberta")</f>
        <v/>
      </c>
      <c r="K21639">
        <f>IFERROR(__xludf.DUMMYFUNCTION("""COMPUTED_VALUE"""),68.23)</f>
        <v/>
      </c>
    </row>
    <row r="21640">
      <c r="J21640">
        <f>IFERROR(__xludf.DUMMYFUNCTION("""COMPUTED_VALUE"""),"Vancouver, Richmond, Delta")</f>
        <v/>
      </c>
      <c r="K21640">
        <f>IFERROR(__xludf.DUMMYFUNCTION("""COMPUTED_VALUE"""),68.14)</f>
        <v/>
      </c>
    </row>
    <row r="21641">
      <c r="J21641">
        <f>IFERROR(__xludf.DUMMYFUNCTION("""COMPUTED_VALUE"""),"Manotick, Ontario")</f>
        <v/>
      </c>
      <c r="K21641">
        <f>IFERROR(__xludf.DUMMYFUNCTION("""COMPUTED_VALUE"""),68.05)</f>
        <v/>
      </c>
    </row>
    <row r="21642">
      <c r="J21642">
        <f>IFERROR(__xludf.DUMMYFUNCTION("""COMPUTED_VALUE"""),"Mississauga, ON, Canada")</f>
        <v/>
      </c>
      <c r="K21642">
        <f>IFERROR(__xludf.DUMMYFUNCTION("""COMPUTED_VALUE"""),67.83)</f>
        <v/>
      </c>
    </row>
    <row r="21643">
      <c r="J21643">
        <f>IFERROR(__xludf.DUMMYFUNCTION("""COMPUTED_VALUE"""),"Darlington, Ontario")</f>
        <v/>
      </c>
      <c r="K21643">
        <f>IFERROR(__xludf.DUMMYFUNCTION("""COMPUTED_VALUE"""),67.78)</f>
        <v/>
      </c>
    </row>
    <row r="21644">
      <c r="J21644">
        <f>IFERROR(__xludf.DUMMYFUNCTION("""COMPUTED_VALUE"""),"ST.PETER'S, PE")</f>
        <v/>
      </c>
      <c r="K21644">
        <f>IFERROR(__xludf.DUMMYFUNCTION("""COMPUTED_VALUE"""),67.2)</f>
        <v/>
      </c>
    </row>
    <row r="21645">
      <c r="J21645">
        <f>IFERROR(__xludf.DUMMYFUNCTION("""COMPUTED_VALUE"""),"Hawkesbury, Ontario, Canada")</f>
        <v/>
      </c>
      <c r="K21645">
        <f>IFERROR(__xludf.DUMMYFUNCTION("""COMPUTED_VALUE"""),67.1)</f>
        <v/>
      </c>
    </row>
    <row r="21646">
      <c r="J21646">
        <f>IFERROR(__xludf.DUMMYFUNCTION("""COMPUTED_VALUE"""),"Winnipeg, Manitoba, Canada; Steinbach, Manitoba, Canada; St. Pierre-Jolys, Manitoba, Canada")</f>
        <v/>
      </c>
      <c r="K21646">
        <f>IFERROR(__xludf.DUMMYFUNCTION("""COMPUTED_VALUE"""),66.42)</f>
        <v/>
      </c>
    </row>
    <row r="21647">
      <c r="J21647">
        <f>IFERROR(__xludf.DUMMYFUNCTION("""COMPUTED_VALUE"""),"Mirabel, Grand-Mère")</f>
        <v/>
      </c>
      <c r="K21647">
        <f>IFERROR(__xludf.DUMMYFUNCTION("""COMPUTED_VALUE"""),66.25)</f>
        <v/>
      </c>
    </row>
    <row r="21648">
      <c r="J21648">
        <f>IFERROR(__xludf.DUMMYFUNCTION("""COMPUTED_VALUE"""),"Héberville-Station")</f>
        <v/>
      </c>
      <c r="K21648">
        <f>IFERROR(__xludf.DUMMYFUNCTION("""COMPUTED_VALUE"""),66.12)</f>
        <v/>
      </c>
    </row>
    <row r="21649">
      <c r="J21649">
        <f>IFERROR(__xludf.DUMMYFUNCTION("""COMPUTED_VALUE"""),"SUMMERSIDE, PE, CANADA")</f>
        <v/>
      </c>
      <c r="K21649">
        <f>IFERROR(__xludf.DUMMYFUNCTION("""COMPUTED_VALUE"""),66)</f>
        <v/>
      </c>
    </row>
    <row r="21650">
      <c r="J21650">
        <f>IFERROR(__xludf.DUMMYFUNCTION("""COMPUTED_VALUE"""),"Trois-Rivière (Quebec) Canada")</f>
        <v/>
      </c>
      <c r="K21650">
        <f>IFERROR(__xludf.DUMMYFUNCTION("""COMPUTED_VALUE"""),65.87)</f>
        <v/>
      </c>
    </row>
    <row r="21651">
      <c r="J21651">
        <f>IFERROR(__xludf.DUMMYFUNCTION("""COMPUTED_VALUE"""),"Port-au-Prince, Haïti and Cayenne, French Guiana")</f>
        <v/>
      </c>
      <c r="K21651">
        <f>IFERROR(__xludf.DUMMYFUNCTION("""COMPUTED_VALUE"""),65.83)</f>
        <v/>
      </c>
    </row>
    <row r="21652">
      <c r="J21652">
        <f>IFERROR(__xludf.DUMMYFUNCTION("""COMPUTED_VALUE"""),"Hébertville, Roberval")</f>
        <v/>
      </c>
      <c r="K21652">
        <f>IFERROR(__xludf.DUMMYFUNCTION("""COMPUTED_VALUE"""),65.54)</f>
        <v/>
      </c>
    </row>
    <row r="21653">
      <c r="J21653">
        <f>IFERROR(__xludf.DUMMYFUNCTION("""COMPUTED_VALUE"""),"Orlando (Florida) United States of America")</f>
        <v/>
      </c>
      <c r="K21653">
        <f>IFERROR(__xludf.DUMMYFUNCTION("""COMPUTED_VALUE"""),65.54)</f>
        <v/>
      </c>
    </row>
    <row r="21654">
      <c r="J21654">
        <f>IFERROR(__xludf.DUMMYFUNCTION("""COMPUTED_VALUE"""),"Surrey (British Columbia) Canada")</f>
        <v/>
      </c>
      <c r="K21654">
        <f>IFERROR(__xludf.DUMMYFUNCTION("""COMPUTED_VALUE"""),65.42)</f>
        <v/>
      </c>
    </row>
    <row r="21655">
      <c r="J21655">
        <f>IFERROR(__xludf.DUMMYFUNCTION("""COMPUTED_VALUE"""),"Métabetchouan-Lac-à-la-Croix, Roberval")</f>
        <v/>
      </c>
      <c r="K21655">
        <f>IFERROR(__xludf.DUMMYFUNCTION("""COMPUTED_VALUE"""),65.31)</f>
        <v/>
      </c>
    </row>
    <row r="21656">
      <c r="J21656">
        <f>IFERROR(__xludf.DUMMYFUNCTION("""COMPUTED_VALUE"""),"Montevilla")</f>
        <v/>
      </c>
      <c r="K21656">
        <f>IFERROR(__xludf.DUMMYFUNCTION("""COMPUTED_VALUE"""),65.25)</f>
        <v/>
      </c>
    </row>
    <row r="21657">
      <c r="J21657">
        <f>IFERROR(__xludf.DUMMYFUNCTION("""COMPUTED_VALUE"""),"Peterborough ON")</f>
        <v/>
      </c>
      <c r="K21657">
        <f>IFERROR(__xludf.DUMMYFUNCTION("""COMPUTED_VALUE"""),65.1)</f>
        <v/>
      </c>
    </row>
    <row r="21658">
      <c r="J21658">
        <f>IFERROR(__xludf.DUMMYFUNCTION("""COMPUTED_VALUE"""),"Richmond, BC / Vancouver, BC")</f>
        <v/>
      </c>
      <c r="K21658">
        <f>IFERROR(__xludf.DUMMYFUNCTION("""COMPUTED_VALUE"""),65.07)</f>
        <v/>
      </c>
    </row>
    <row r="21659">
      <c r="J21659">
        <f>IFERROR(__xludf.DUMMYFUNCTION("""COMPUTED_VALUE"""),"St. Eleanors, PEI Charlottetown, PEI")</f>
        <v/>
      </c>
      <c r="K21659">
        <f>IFERROR(__xludf.DUMMYFUNCTION("""COMPUTED_VALUE"""),64.85)</f>
        <v/>
      </c>
    </row>
    <row r="21660">
      <c r="J21660">
        <f>IFERROR(__xludf.DUMMYFUNCTION("""COMPUTED_VALUE"""),"Mirabel (Québec) Canada")</f>
        <v/>
      </c>
      <c r="K21660">
        <f>IFERROR(__xludf.DUMMYFUNCTION("""COMPUTED_VALUE"""),64.8)</f>
        <v/>
      </c>
    </row>
    <row r="21661">
      <c r="J21661">
        <f>IFERROR(__xludf.DUMMYFUNCTION("""COMPUTED_VALUE"""),"Richmond, BC; Vancouver, BC")</f>
        <v/>
      </c>
      <c r="K21661">
        <f>IFERROR(__xludf.DUMMYFUNCTION("""COMPUTED_VALUE"""),64.76)</f>
        <v/>
      </c>
    </row>
    <row r="21662">
      <c r="J21662">
        <f>IFERROR(__xludf.DUMMYFUNCTION("""COMPUTED_VALUE"""),"Port Moody, Coquitlam, Port Coquitlam")</f>
        <v/>
      </c>
      <c r="K21662">
        <f>IFERROR(__xludf.DUMMYFUNCTION("""COMPUTED_VALUE"""),64.75)</f>
        <v/>
      </c>
    </row>
    <row r="21663">
      <c r="J21663">
        <f>IFERROR(__xludf.DUMMYFUNCTION("""COMPUTED_VALUE"""),"Mississauga, Brampton, Toronto ON")</f>
        <v/>
      </c>
      <c r="K21663">
        <f>IFERROR(__xludf.DUMMYFUNCTION("""COMPUTED_VALUE"""),64.7)</f>
        <v/>
      </c>
    </row>
    <row r="21664">
      <c r="J21664">
        <f>IFERROR(__xludf.DUMMYFUNCTION("""COMPUTED_VALUE"""),"Antiguish, Nova Scotia")</f>
        <v/>
      </c>
      <c r="K21664">
        <f>IFERROR(__xludf.DUMMYFUNCTION("""COMPUTED_VALUE"""),64.4)</f>
        <v/>
      </c>
    </row>
    <row r="21665">
      <c r="J21665">
        <f>IFERROR(__xludf.DUMMYFUNCTION("""COMPUTED_VALUE"""),"Trois-Rivières, Quebec, Quebec")</f>
        <v/>
      </c>
      <c r="K21665">
        <f>IFERROR(__xludf.DUMMYFUNCTION("""COMPUTED_VALUE"""),64.38)</f>
        <v/>
      </c>
    </row>
    <row r="21666">
      <c r="J21666">
        <f>IFERROR(__xludf.DUMMYFUNCTION("""COMPUTED_VALUE"""),"Kemptville, Ontario, Canada")</f>
        <v/>
      </c>
      <c r="K21666">
        <f>IFERROR(__xludf.DUMMYFUNCTION("""COMPUTED_VALUE"""),64.13)</f>
        <v/>
      </c>
    </row>
    <row r="21667">
      <c r="J21667">
        <f>IFERROR(__xludf.DUMMYFUNCTION("""COMPUTED_VALUE"""),"Ottawa, Ontario Via train with Bus. Pack 10 ticket return")</f>
        <v/>
      </c>
      <c r="K21667">
        <f>IFERROR(__xludf.DUMMYFUNCTION("""COMPUTED_VALUE"""),63.98)</f>
        <v/>
      </c>
    </row>
    <row r="21668">
      <c r="J21668">
        <f>IFERROR(__xludf.DUMMYFUNCTION("""COMPUTED_VALUE"""),"Ottawa, Ontario Via train with Bus. Pack 10 tickets return")</f>
        <v/>
      </c>
      <c r="K21668">
        <f>IFERROR(__xludf.DUMMYFUNCTION("""COMPUTED_VALUE"""),63.98)</f>
        <v/>
      </c>
    </row>
    <row r="21669">
      <c r="J21669">
        <f>IFERROR(__xludf.DUMMYFUNCTION("""COMPUTED_VALUE"""),"Toronto, Ontario; London, Ontario")</f>
        <v/>
      </c>
      <c r="K21669">
        <f>IFERROR(__xludf.DUMMYFUNCTION("""COMPUTED_VALUE"""),63.9)</f>
        <v/>
      </c>
    </row>
    <row r="21670">
      <c r="J21670">
        <f>IFERROR(__xludf.DUMMYFUNCTION("""COMPUTED_VALUE"""),"Aurora, Ontario, Canada")</f>
        <v/>
      </c>
      <c r="K21670">
        <f>IFERROR(__xludf.DUMMYFUNCTION("""COMPUTED_VALUE"""),63.72)</f>
        <v/>
      </c>
    </row>
    <row r="21671">
      <c r="J21671">
        <f>IFERROR(__xludf.DUMMYFUNCTION("""COMPUTED_VALUE"""),"St-Joseph-du-Lac, QC")</f>
        <v/>
      </c>
      <c r="K21671">
        <f>IFERROR(__xludf.DUMMYFUNCTION("""COMPUTED_VALUE"""),63.72)</f>
        <v/>
      </c>
    </row>
    <row r="21672">
      <c r="J21672">
        <f>IFERROR(__xludf.DUMMYFUNCTION("""COMPUTED_VALUE"""),"Squamish, Bristish Columbia")</f>
        <v/>
      </c>
      <c r="K21672">
        <f>IFERROR(__xludf.DUMMYFUNCTION("""COMPUTED_VALUE"""),63.36)</f>
        <v/>
      </c>
    </row>
    <row r="21673">
      <c r="J21673">
        <f>IFERROR(__xludf.DUMMYFUNCTION("""COMPUTED_VALUE"""),"Brooklyn , NY")</f>
        <v/>
      </c>
      <c r="K21673">
        <f>IFERROR(__xludf.DUMMYFUNCTION("""COMPUTED_VALUE"""),63.01)</f>
        <v/>
      </c>
    </row>
    <row r="21674">
      <c r="J21674">
        <f>IFERROR(__xludf.DUMMYFUNCTION("""COMPUTED_VALUE"""),"Verdun, Quebec, Canada")</f>
        <v/>
      </c>
      <c r="K21674">
        <f>IFERROR(__xludf.DUMMYFUNCTION("""COMPUTED_VALUE"""),63)</f>
        <v/>
      </c>
    </row>
    <row r="21675">
      <c r="J21675">
        <f>IFERROR(__xludf.DUMMYFUNCTION("""COMPUTED_VALUE"""),"Steveston, Port Moody")</f>
        <v/>
      </c>
      <c r="K21675">
        <f>IFERROR(__xludf.DUMMYFUNCTION("""COMPUTED_VALUE"""),62.87)</f>
        <v/>
      </c>
    </row>
    <row r="21676">
      <c r="J21676">
        <f>IFERROR(__xludf.DUMMYFUNCTION("""COMPUTED_VALUE"""),"St. Peters, Prince Edward Island")</f>
        <v/>
      </c>
      <c r="K21676">
        <f>IFERROR(__xludf.DUMMYFUNCTION("""COMPUTED_VALUE"""),62.6)</f>
        <v/>
      </c>
    </row>
    <row r="21677">
      <c r="J21677">
        <f>IFERROR(__xludf.DUMMYFUNCTION("""COMPUTED_VALUE"""),"Oshawa, Ontario, Canada; Whitby, Ontario, Canada")</f>
        <v/>
      </c>
      <c r="K21677">
        <f>IFERROR(__xludf.DUMMYFUNCTION("""COMPUTED_VALUE"""),62.3)</f>
        <v/>
      </c>
    </row>
    <row r="21678">
      <c r="J21678">
        <f>IFERROR(__xludf.DUMMYFUNCTION("""COMPUTED_VALUE"""),"Sherbrooke (Quebec) Canada
Montréal (Quebec) Quebec")</f>
        <v/>
      </c>
      <c r="K21678">
        <f>IFERROR(__xludf.DUMMYFUNCTION("""COMPUTED_VALUE"""),62.1)</f>
        <v/>
      </c>
    </row>
    <row r="21679">
      <c r="J21679">
        <f>IFERROR(__xludf.DUMMYFUNCTION("""COMPUTED_VALUE"""),"Bois-des-Filion, Quebec, Canada; Repentigny, Quebec, Canada")</f>
        <v/>
      </c>
      <c r="K21679">
        <f>IFERROR(__xludf.DUMMYFUNCTION("""COMPUTED_VALUE"""),62)</f>
        <v/>
      </c>
    </row>
    <row r="21680">
      <c r="J21680">
        <f>IFERROR(__xludf.DUMMYFUNCTION("""COMPUTED_VALUE"""),"Sainte-Edwidge-de-Clifton, Quebec, Canada; Drummondville, Quebec, Canada")</f>
        <v/>
      </c>
      <c r="K21680">
        <f>IFERROR(__xludf.DUMMYFUNCTION("""COMPUTED_VALUE"""),62)</f>
        <v/>
      </c>
    </row>
    <row r="21681">
      <c r="J21681">
        <f>IFERROR(__xludf.DUMMYFUNCTION("""COMPUTED_VALUE"""),"official residence")</f>
        <v/>
      </c>
      <c r="K21681">
        <f>IFERROR(__xludf.DUMMYFUNCTION("""COMPUTED_VALUE"""),61.99)</f>
        <v/>
      </c>
    </row>
    <row r="21682">
      <c r="J21682">
        <f>IFERROR(__xludf.DUMMYFUNCTION("""COMPUTED_VALUE"""),"Brantford, ON")</f>
        <v/>
      </c>
      <c r="K21682">
        <f>IFERROR(__xludf.DUMMYFUNCTION("""COMPUTED_VALUE"""),61.9)</f>
        <v/>
      </c>
    </row>
    <row r="21683">
      <c r="J21683">
        <f>IFERROR(__xludf.DUMMYFUNCTION("""COMPUTED_VALUE"""),"Windsor, Ontario, Canada; Detroit, Michigan, USA")</f>
        <v/>
      </c>
      <c r="K21683">
        <f>IFERROR(__xludf.DUMMYFUNCTION("""COMPUTED_VALUE"""),61.86)</f>
        <v/>
      </c>
    </row>
    <row r="21684">
      <c r="J21684">
        <f>IFERROR(__xludf.DUMMYFUNCTION("""COMPUTED_VALUE"""),"London, Ontario, Canada; St. Thomas, Ontario, Canada")</f>
        <v/>
      </c>
      <c r="K21684">
        <f>IFERROR(__xludf.DUMMYFUNCTION("""COMPUTED_VALUE"""),61.7)</f>
        <v/>
      </c>
    </row>
    <row r="21685">
      <c r="J21685">
        <f>IFERROR(__xludf.DUMMYFUNCTION("""COMPUTED_VALUE"""),"Hébertville-Station")</f>
        <v/>
      </c>
      <c r="K21685">
        <f>IFERROR(__xludf.DUMMYFUNCTION("""COMPUTED_VALUE"""),61.56)</f>
        <v/>
      </c>
    </row>
    <row r="21686">
      <c r="J21686">
        <f>IFERROR(__xludf.DUMMYFUNCTION("""COMPUTED_VALUE"""),"Kanata, ON")</f>
        <v/>
      </c>
      <c r="K21686">
        <f>IFERROR(__xludf.DUMMYFUNCTION("""COMPUTED_VALUE"""),61.3)</f>
        <v/>
      </c>
    </row>
    <row r="21687">
      <c r="J21687">
        <f>IFERROR(__xludf.DUMMYFUNCTION("""COMPUTED_VALUE"""),"Mali, Africa")</f>
        <v/>
      </c>
      <c r="K21687">
        <f>IFERROR(__xludf.DUMMYFUNCTION("""COMPUTED_VALUE"""),61.15)</f>
        <v/>
      </c>
    </row>
    <row r="21688">
      <c r="J21688">
        <f>IFERROR(__xludf.DUMMYFUNCTION("""COMPUTED_VALUE"""),"San Vito Chietino, Italy")</f>
        <v/>
      </c>
      <c r="K21688">
        <f>IFERROR(__xludf.DUMMYFUNCTION("""COMPUTED_VALUE"""),61.07)</f>
        <v/>
      </c>
    </row>
    <row r="21689">
      <c r="J21689">
        <f>IFERROR(__xludf.DUMMYFUNCTION("""COMPUTED_VALUE"""),"Calgary, AB (Tsuut'ina Area), Canada")</f>
        <v/>
      </c>
      <c r="K21689">
        <f>IFERROR(__xludf.DUMMYFUNCTION("""COMPUTED_VALUE"""),60.95)</f>
        <v/>
      </c>
    </row>
    <row r="21690">
      <c r="J21690">
        <f>IFERROR(__xludf.DUMMYFUNCTION("""COMPUTED_VALUE"""),"Richmond, Surrey")</f>
        <v/>
      </c>
      <c r="K21690">
        <f>IFERROR(__xludf.DUMMYFUNCTION("""COMPUTED_VALUE"""),60.92)</f>
        <v/>
      </c>
    </row>
    <row r="21691">
      <c r="J21691">
        <f>IFERROR(__xludf.DUMMYFUNCTION("""COMPUTED_VALUE"""),"Laval, QC;  Brossard, QC; Montréal, QC")</f>
        <v/>
      </c>
      <c r="K21691">
        <f>IFERROR(__xludf.DUMMYFUNCTION("""COMPUTED_VALUE"""),60.61)</f>
        <v/>
      </c>
    </row>
    <row r="21692">
      <c r="J21692">
        <f>IFERROR(__xludf.DUMMYFUNCTION("""COMPUTED_VALUE"""),"Blackfalds, Alberta, Canada and Ponoka, Alberta, Canada")</f>
        <v/>
      </c>
      <c r="K21692">
        <f>IFERROR(__xludf.DUMMYFUNCTION("""COMPUTED_VALUE"""),60.45)</f>
        <v/>
      </c>
    </row>
    <row r="21693">
      <c r="J21693">
        <f>IFERROR(__xludf.DUMMYFUNCTION("""COMPUTED_VALUE"""),"Kings and Hants Counties, Nova Scotia")</f>
        <v/>
      </c>
      <c r="K21693">
        <f>IFERROR(__xludf.DUMMYFUNCTION("""COMPUTED_VALUE"""),60.45)</f>
        <v/>
      </c>
    </row>
    <row r="21694">
      <c r="J21694">
        <f>IFERROR(__xludf.DUMMYFUNCTION("""COMPUTED_VALUE"""),"Saint-John and Coles Island, New Brunswick")</f>
        <v/>
      </c>
      <c r="K21694">
        <f>IFERROR(__xludf.DUMMYFUNCTION("""COMPUTED_VALUE"""),60.13)</f>
        <v/>
      </c>
    </row>
    <row r="21695">
      <c r="J21695">
        <f>IFERROR(__xludf.DUMMYFUNCTION("""COMPUTED_VALUE"""),"Montreal (Quebec) Canada
Sherbrooke (Quebec) Canada")</f>
        <v/>
      </c>
      <c r="K21695">
        <f>IFERROR(__xludf.DUMMYFUNCTION("""COMPUTED_VALUE"""),60.1)</f>
        <v/>
      </c>
    </row>
    <row r="21696">
      <c r="J21696">
        <f>IFERROR(__xludf.DUMMYFUNCTION("""COMPUTED_VALUE"""),"Maritimes")</f>
        <v/>
      </c>
      <c r="K21696">
        <f>IFERROR(__xludf.DUMMYFUNCTION("""COMPUTED_VALUE"""),60.07)</f>
        <v/>
      </c>
    </row>
    <row r="21697">
      <c r="J21697">
        <f>IFERROR(__xludf.DUMMYFUNCTION("""COMPUTED_VALUE"""),"3 parking receipts: NDHQ, 101 Colonel By Drive")</f>
        <v/>
      </c>
      <c r="K21697">
        <f>IFERROR(__xludf.DUMMYFUNCTION("""COMPUTED_VALUE"""),60)</f>
        <v/>
      </c>
    </row>
    <row r="21698">
      <c r="J21698">
        <f>IFERROR(__xludf.DUMMYFUNCTION("""COMPUTED_VALUE"""),"Gatineau, QC, Canada")</f>
        <v/>
      </c>
      <c r="K21698">
        <f>IFERROR(__xludf.DUMMYFUNCTION("""COMPUTED_VALUE"""),60)</f>
        <v/>
      </c>
    </row>
    <row r="21699">
      <c r="J21699">
        <f>IFERROR(__xludf.DUMMYFUNCTION("""COMPUTED_VALUE"""),"St-Albert, Ontario")</f>
        <v/>
      </c>
      <c r="K21699">
        <f>IFERROR(__xludf.DUMMYFUNCTION("""COMPUTED_VALUE"""),59.95)</f>
        <v/>
      </c>
    </row>
    <row r="21700">
      <c r="J21700">
        <f>IFERROR(__xludf.DUMMYFUNCTION("""COMPUTED_VALUE"""),"Kedgwick, New Brunswick")</f>
        <v/>
      </c>
      <c r="K21700">
        <f>IFERROR(__xludf.DUMMYFUNCTION("""COMPUTED_VALUE"""),59.4)</f>
        <v/>
      </c>
    </row>
    <row r="21701">
      <c r="J21701">
        <f>IFERROR(__xludf.DUMMYFUNCTION("""COMPUTED_VALUE"""),"Grosse Isle, Manitoba")</f>
        <v/>
      </c>
      <c r="K21701">
        <f>IFERROR(__xludf.DUMMYFUNCTION("""COMPUTED_VALUE"""),59.33)</f>
        <v/>
      </c>
    </row>
    <row r="21702">
      <c r="J21702">
        <f>IFERROR(__xludf.DUMMYFUNCTION("""COMPUTED_VALUE"""),"Detroit, Michiga, USA")</f>
        <v/>
      </c>
      <c r="K21702">
        <f>IFERROR(__xludf.DUMMYFUNCTION("""COMPUTED_VALUE"""),59.17)</f>
        <v/>
      </c>
    </row>
    <row r="21703">
      <c r="J21703">
        <f>IFERROR(__xludf.DUMMYFUNCTION("""COMPUTED_VALUE"""),"Windsor, Nova Scotia")</f>
        <v/>
      </c>
      <c r="K21703">
        <f>IFERROR(__xludf.DUMMYFUNCTION("""COMPUTED_VALUE"""),59.17)</f>
        <v/>
      </c>
    </row>
    <row r="21704">
      <c r="J21704">
        <f>IFERROR(__xludf.DUMMYFUNCTION("""COMPUTED_VALUE"""),"Loos en Gohelle")</f>
        <v/>
      </c>
      <c r="K21704">
        <f>IFERROR(__xludf.DUMMYFUNCTION("""COMPUTED_VALUE"""),59.1)</f>
        <v/>
      </c>
    </row>
    <row r="21705">
      <c r="J21705">
        <f>IFERROR(__xludf.DUMMYFUNCTION("""COMPUTED_VALUE"""),"Islamabad")</f>
        <v/>
      </c>
      <c r="K21705">
        <f>IFERROR(__xludf.DUMMYFUNCTION("""COMPUTED_VALUE"""),59.02)</f>
        <v/>
      </c>
    </row>
    <row r="21706">
      <c r="J21706">
        <f>IFERROR(__xludf.DUMMYFUNCTION("""COMPUTED_VALUE"""),"James Bay, Ontario, Canada")</f>
        <v/>
      </c>
      <c r="K21706">
        <f>IFERROR(__xludf.DUMMYFUNCTION("""COMPUTED_VALUE"""),58.8)</f>
        <v/>
      </c>
    </row>
    <row r="21707">
      <c r="J21707">
        <f>IFERROR(__xludf.DUMMYFUNCTION("""COMPUTED_VALUE"""),"Sainte-Julie, Ottawa")</f>
        <v/>
      </c>
      <c r="K21707">
        <f>IFERROR(__xludf.DUMMYFUNCTION("""COMPUTED_VALUE"""),58.74)</f>
        <v/>
      </c>
    </row>
    <row r="21708">
      <c r="J21708">
        <f>IFERROR(__xludf.DUMMYFUNCTION("""COMPUTED_VALUE"""),"Bradford West Gwillimbury, Ontario, Canada")</f>
        <v/>
      </c>
      <c r="K21708">
        <f>IFERROR(__xludf.DUMMYFUNCTION("""COMPUTED_VALUE"""),58.65)</f>
        <v/>
      </c>
    </row>
    <row r="21709">
      <c r="J21709">
        <f>IFERROR(__xludf.DUMMYFUNCTION("""COMPUTED_VALUE"""),"Tracadie, NB St. Peter's Bay, PE")</f>
        <v/>
      </c>
      <c r="K21709">
        <f>IFERROR(__xludf.DUMMYFUNCTION("""COMPUTED_VALUE"""),58.41)</f>
        <v/>
      </c>
    </row>
    <row r="21710">
      <c r="J21710">
        <f>IFERROR(__xludf.DUMMYFUNCTION("""COMPUTED_VALUE"""),"Thornhill, Ontario, Canada")</f>
        <v/>
      </c>
      <c r="K21710">
        <f>IFERROR(__xludf.DUMMYFUNCTION("""COMPUTED_VALUE"""),58.3)</f>
        <v/>
      </c>
    </row>
    <row r="21711">
      <c r="J21711">
        <f>IFERROR(__xludf.DUMMYFUNCTION("""COMPUTED_VALUE"""),"Harbour Main, Newfoundland and Labrador")</f>
        <v/>
      </c>
      <c r="K21711">
        <f>IFERROR(__xludf.DUMMYFUNCTION("""COMPUTED_VALUE"""),58.28)</f>
        <v/>
      </c>
    </row>
    <row r="21712">
      <c r="J21712">
        <f>IFERROR(__xludf.DUMMYFUNCTION("""COMPUTED_VALUE"""),"Richmond, BC / Surrey, BC")</f>
        <v/>
      </c>
      <c r="K21712">
        <f>IFERROR(__xludf.DUMMYFUNCTION("""COMPUTED_VALUE"""),58.13)</f>
        <v/>
      </c>
    </row>
    <row r="21713">
      <c r="J21713">
        <f>IFERROR(__xludf.DUMMYFUNCTION("""COMPUTED_VALUE"""),"Water Valley, Alberta, Canada")</f>
        <v/>
      </c>
      <c r="K21713">
        <f>IFERROR(__xludf.DUMMYFUNCTION("""COMPUTED_VALUE"""),58)</f>
        <v/>
      </c>
    </row>
    <row r="21714">
      <c r="J21714">
        <f>IFERROR(__xludf.DUMMYFUNCTION("""COMPUTED_VALUE"""),"Western and Central Prince Edward Island")</f>
        <v/>
      </c>
      <c r="K21714">
        <f>IFERROR(__xludf.DUMMYFUNCTION("""COMPUTED_VALUE"""),57.7)</f>
        <v/>
      </c>
    </row>
    <row r="21715">
      <c r="J21715">
        <f>IFERROR(__xludf.DUMMYFUNCTION("""COMPUTED_VALUE"""),"Pris le Bourget, France")</f>
        <v/>
      </c>
      <c r="K21715">
        <f>IFERROR(__xludf.DUMMYFUNCTION("""COMPUTED_VALUE"""),57.69)</f>
        <v/>
      </c>
    </row>
    <row r="21716">
      <c r="J21716">
        <f>IFERROR(__xludf.DUMMYFUNCTION("""COMPUTED_VALUE"""),"Dewdney and Langley, British Columbia, Canada")</f>
        <v/>
      </c>
      <c r="K21716">
        <f>IFERROR(__xludf.DUMMYFUNCTION("""COMPUTED_VALUE"""),57.67)</f>
        <v/>
      </c>
    </row>
    <row r="21717">
      <c r="J21717">
        <f>IFERROR(__xludf.DUMMYFUNCTION("""COMPUTED_VALUE"""),"Napierville")</f>
        <v/>
      </c>
      <c r="K21717">
        <f>IFERROR(__xludf.DUMMYFUNCTION("""COMPUTED_VALUE"""),57.5)</f>
        <v/>
      </c>
    </row>
    <row r="21718">
      <c r="J21718">
        <f>IFERROR(__xludf.DUMMYFUNCTION("""COMPUTED_VALUE"""),"Sept 9 - Ein Kerem Sept 21 - Jerusalem Sept 22 - Hadase E. Kerem")</f>
        <v/>
      </c>
      <c r="K21718">
        <f>IFERROR(__xludf.DUMMYFUNCTION("""COMPUTED_VALUE"""),57.49)</f>
        <v/>
      </c>
    </row>
    <row r="21719">
      <c r="J21719">
        <f>IFERROR(__xludf.DUMMYFUNCTION("""COMPUTED_VALUE"""),"Ohweken, Ontario, Canada")</f>
        <v/>
      </c>
      <c r="K21719">
        <f>IFERROR(__xludf.DUMMYFUNCTION("""COMPUTED_VALUE"""),57.44)</f>
        <v/>
      </c>
    </row>
    <row r="21720">
      <c r="J21720">
        <f>IFERROR(__xludf.DUMMYFUNCTION("""COMPUTED_VALUE"""),"Montréal, Quebec, Canada; Magog, Quebec, Canada; Drummondville, Quebec, Canada; Sherbrooke, Quebec, Canada; Boucherville, Quebec, Canada")</f>
        <v/>
      </c>
      <c r="K21720">
        <f>IFERROR(__xludf.DUMMYFUNCTION("""COMPUTED_VALUE"""),57.35)</f>
        <v/>
      </c>
    </row>
    <row r="21721">
      <c r="J21721">
        <f>IFERROR(__xludf.DUMMYFUNCTION("""COMPUTED_VALUE"""),"Drummondville, St-Bruno, Chambly")</f>
        <v/>
      </c>
      <c r="K21721">
        <f>IFERROR(__xludf.DUMMYFUNCTION("""COMPUTED_VALUE"""),57.05)</f>
        <v/>
      </c>
    </row>
    <row r="21722">
      <c r="J21722">
        <f>IFERROR(__xludf.DUMMYFUNCTION("""COMPUTED_VALUE"""),"Orford, Quebec, (Canada).")</f>
        <v/>
      </c>
      <c r="K21722">
        <f>IFERROR(__xludf.DUMMYFUNCTION("""COMPUTED_VALUE"""),57.04)</f>
        <v/>
      </c>
    </row>
    <row r="21723">
      <c r="J21723">
        <f>IFERROR(__xludf.DUMMYFUNCTION("""COMPUTED_VALUE"""),"Parking for meetings held in Edmonton and Ottawa for the period of April to August 2011.")</f>
        <v/>
      </c>
      <c r="K21723">
        <f>IFERROR(__xludf.DUMMYFUNCTION("""COMPUTED_VALUE"""),57)</f>
        <v/>
      </c>
    </row>
    <row r="21724">
      <c r="J21724">
        <f>IFERROR(__xludf.DUMMYFUNCTION("""COMPUTED_VALUE"""),"Ottawa, Ontario Via train with Bus. Pack 6 ticket and return")</f>
        <v/>
      </c>
      <c r="K21724">
        <f>IFERROR(__xludf.DUMMYFUNCTION("""COMPUTED_VALUE"""),56.99)</f>
        <v/>
      </c>
    </row>
    <row r="21725">
      <c r="J21725">
        <f>IFERROR(__xludf.DUMMYFUNCTION("""COMPUTED_VALUE"""),"Princeton, New Jersey")</f>
        <v/>
      </c>
      <c r="K21725">
        <f>IFERROR(__xludf.DUMMYFUNCTION("""COMPUTED_VALUE"""),56.94)</f>
        <v/>
      </c>
    </row>
    <row r="21726">
      <c r="J21726">
        <f>IFERROR(__xludf.DUMMYFUNCTION("""COMPUTED_VALUE"""),"Washington, Dc")</f>
        <v/>
      </c>
      <c r="K21726">
        <f>IFERROR(__xludf.DUMMYFUNCTION("""COMPUTED_VALUE"""),56.89)</f>
        <v/>
      </c>
    </row>
    <row r="21727">
      <c r="J21727">
        <f>IFERROR(__xludf.DUMMYFUNCTION("""COMPUTED_VALUE"""),"Port Moody")</f>
        <v/>
      </c>
      <c r="K21727">
        <f>IFERROR(__xludf.DUMMYFUNCTION("""COMPUTED_VALUE"""),56.63)</f>
        <v/>
      </c>
    </row>
    <row r="21728">
      <c r="J21728">
        <f>IFERROR(__xludf.DUMMYFUNCTION("""COMPUTED_VALUE"""),"Washington, Washington")</f>
        <v/>
      </c>
      <c r="K21728">
        <f>IFERROR(__xludf.DUMMYFUNCTION("""COMPUTED_VALUE"""),56.39)</f>
        <v/>
      </c>
    </row>
    <row r="21729">
      <c r="J21729">
        <f>IFERROR(__xludf.DUMMYFUNCTION("""COMPUTED_VALUE"""),"Montreal, Boucherville, Quebec, Canada")</f>
        <v/>
      </c>
      <c r="K21729">
        <f>IFERROR(__xludf.DUMMYFUNCTION("""COMPUTED_VALUE"""),56.34)</f>
        <v/>
      </c>
    </row>
    <row r="21730">
      <c r="J21730">
        <f>IFERROR(__xludf.DUMMYFUNCTION("""COMPUTED_VALUE"""),"Providence and Tiverton RI")</f>
        <v/>
      </c>
      <c r="K21730">
        <f>IFERROR(__xludf.DUMMYFUNCTION("""COMPUTED_VALUE"""),55.88)</f>
        <v/>
      </c>
    </row>
    <row r="21731">
      <c r="J21731">
        <f>IFERROR(__xludf.DUMMYFUNCTION("""COMPUTED_VALUE"""),"Brighton, Ontario, Canada")</f>
        <v/>
      </c>
      <c r="K21731">
        <f>IFERROR(__xludf.DUMMYFUNCTION("""COMPUTED_VALUE"""),55.8)</f>
        <v/>
      </c>
    </row>
    <row r="21732">
      <c r="J21732">
        <f>IFERROR(__xludf.DUMMYFUNCTION("""COMPUTED_VALUE"""),"Banff and Canmore, Alberta")</f>
        <v/>
      </c>
      <c r="K21732">
        <f>IFERROR(__xludf.DUMMYFUNCTION("""COMPUTED_VALUE"""),55.6)</f>
        <v/>
      </c>
    </row>
    <row r="21733">
      <c r="J21733">
        <f>IFERROR(__xludf.DUMMYFUNCTION("""COMPUTED_VALUE"""),"Burnaby, British Columbia")</f>
        <v/>
      </c>
      <c r="K21733">
        <f>IFERROR(__xludf.DUMMYFUNCTION("""COMPUTED_VALUE"""),55.34)</f>
        <v/>
      </c>
    </row>
    <row r="21734">
      <c r="J21734">
        <f>IFERROR(__xludf.DUMMYFUNCTION("""COMPUTED_VALUE"""),"Ottawa,  Canada")</f>
        <v/>
      </c>
      <c r="K21734">
        <f>IFERROR(__xludf.DUMMYFUNCTION("""COMPUTED_VALUE"""),55.31)</f>
        <v/>
      </c>
    </row>
    <row r="21735">
      <c r="J21735">
        <f>IFERROR(__xludf.DUMMYFUNCTION("""COMPUTED_VALUE"""),"Québec City. Quebec, Canada")</f>
        <v/>
      </c>
      <c r="K21735">
        <f>IFERROR(__xludf.DUMMYFUNCTION("""COMPUTED_VALUE"""),55.3)</f>
        <v/>
      </c>
    </row>
    <row r="21736">
      <c r="J21736">
        <f>IFERROR(__xludf.DUMMYFUNCTION("""COMPUTED_VALUE"""),"Home from Canada Now Opening Night/Reception
Roundtrip to/from dinner with Former CG Yaffe")</f>
        <v/>
      </c>
      <c r="K21736">
        <f>IFERROR(__xludf.DUMMYFUNCTION("""COMPUTED_VALUE"""),55.29)</f>
        <v/>
      </c>
    </row>
    <row r="21737">
      <c r="J21737">
        <f>IFERROR(__xludf.DUMMYFUNCTION("""COMPUTED_VALUE"""),"Esterel, Canada")</f>
        <v/>
      </c>
      <c r="K21737">
        <f>IFERROR(__xludf.DUMMYFUNCTION("""COMPUTED_VALUE"""),55.2)</f>
        <v/>
      </c>
    </row>
    <row r="21738">
      <c r="J21738">
        <f>IFERROR(__xludf.DUMMYFUNCTION("""COMPUTED_VALUE"""),"Gatineau, Quebec, Montebello, Quebec, Canada")</f>
        <v/>
      </c>
      <c r="K21738">
        <f>IFERROR(__xludf.DUMMYFUNCTION("""COMPUTED_VALUE"""),55)</f>
        <v/>
      </c>
    </row>
    <row r="21739">
      <c r="J21739">
        <f>IFERROR(__xludf.DUMMYFUNCTION("""COMPUTED_VALUE"""),"Lévis - St-Anne de Bellevue - Lévis")</f>
        <v/>
      </c>
      <c r="K21739">
        <f>IFERROR(__xludf.DUMMYFUNCTION("""COMPUTED_VALUE"""),54.9)</f>
        <v/>
      </c>
    </row>
    <row r="21740">
      <c r="J21740">
        <f>IFERROR(__xludf.DUMMYFUNCTION("""COMPUTED_VALUE"""),"London, Ontario, Canada;Ingersoll, Ontario, Canada")</f>
        <v/>
      </c>
      <c r="K21740">
        <f>IFERROR(__xludf.DUMMYFUNCTION("""COMPUTED_VALUE"""),54.74)</f>
        <v/>
      </c>
    </row>
    <row r="21741">
      <c r="J21741">
        <f>IFERROR(__xludf.DUMMYFUNCTION("""COMPUTED_VALUE"""),"Roundtrip from home to Jewish Solidarity March")</f>
        <v/>
      </c>
      <c r="K21741">
        <f>IFERROR(__xludf.DUMMYFUNCTION("""COMPUTED_VALUE"""),54.64)</f>
        <v/>
      </c>
    </row>
    <row r="21742">
      <c r="J21742">
        <f>IFERROR(__xludf.DUMMYFUNCTION("""COMPUTED_VALUE"""),"Colorado Springs CO USA")</f>
        <v/>
      </c>
      <c r="K21742">
        <f>IFERROR(__xludf.DUMMYFUNCTION("""COMPUTED_VALUE"""),54.42)</f>
        <v/>
      </c>
    </row>
    <row r="21743">
      <c r="J21743">
        <f>IFERROR(__xludf.DUMMYFUNCTION("""COMPUTED_VALUE"""),"Montreal, Quebec, Canada / Shawinigan, Quebec,Canada")</f>
        <v/>
      </c>
      <c r="K21743">
        <f>IFERROR(__xludf.DUMMYFUNCTION("""COMPUTED_VALUE"""),54.4)</f>
        <v/>
      </c>
    </row>
    <row r="21744">
      <c r="J21744">
        <f>IFERROR(__xludf.DUMMYFUNCTION("""COMPUTED_VALUE"""),"Port Granby, Ontario")</f>
        <v/>
      </c>
      <c r="K21744">
        <f>IFERROR(__xludf.DUMMYFUNCTION("""COMPUTED_VALUE"""),54.4)</f>
        <v/>
      </c>
    </row>
    <row r="21745">
      <c r="J21745">
        <f>IFERROR(__xludf.DUMMYFUNCTION("""COMPUTED_VALUE"""),"Vaughn, Ontario, Canada")</f>
        <v/>
      </c>
      <c r="K21745">
        <f>IFERROR(__xludf.DUMMYFUNCTION("""COMPUTED_VALUE"""),54.32)</f>
        <v/>
      </c>
    </row>
    <row r="21746">
      <c r="J21746">
        <f>IFERROR(__xludf.DUMMYFUNCTION("""COMPUTED_VALUE"""),"Kensington, Prince Edward Island")</f>
        <v/>
      </c>
      <c r="K21746">
        <f>IFERROR(__xludf.DUMMYFUNCTION("""COMPUTED_VALUE"""),54.06)</f>
        <v/>
      </c>
    </row>
    <row r="21747">
      <c r="J21747">
        <f>IFERROR(__xludf.DUMMYFUNCTION("""COMPUTED_VALUE"""),"Toronto &amp; Kingston, ON")</f>
        <v/>
      </c>
      <c r="K21747">
        <f>IFERROR(__xludf.DUMMYFUNCTION("""COMPUTED_VALUE"""),54.05)</f>
        <v/>
      </c>
    </row>
    <row r="21748">
      <c r="J21748">
        <f>IFERROR(__xludf.DUMMYFUNCTION("""COMPUTED_VALUE"""),"Ottawa, Gatineau, Canada")</f>
        <v/>
      </c>
      <c r="K21748">
        <f>IFERROR(__xludf.DUMMYFUNCTION("""COMPUTED_VALUE"""),54)</f>
        <v/>
      </c>
    </row>
    <row r="21749">
      <c r="J21749">
        <f>IFERROR(__xludf.DUMMYFUNCTION("""COMPUTED_VALUE"""),"Outaouais, Quebec, Canada")</f>
        <v/>
      </c>
      <c r="K21749">
        <f>IFERROR(__xludf.DUMMYFUNCTION("""COMPUTED_VALUE"""),54)</f>
        <v/>
      </c>
    </row>
    <row r="21750">
      <c r="J21750">
        <f>IFERROR(__xludf.DUMMYFUNCTION("""COMPUTED_VALUE"""),"St-Bruno, Quebec")</f>
        <v/>
      </c>
      <c r="K21750">
        <f>IFERROR(__xludf.DUMMYFUNCTION("""COMPUTED_VALUE"""),54)</f>
        <v/>
      </c>
    </row>
    <row r="21751">
      <c r="J21751">
        <f>IFERROR(__xludf.DUMMYFUNCTION("""COMPUTED_VALUE"""),"St-Bruno, Roberval")</f>
        <v/>
      </c>
      <c r="K21751">
        <f>IFERROR(__xludf.DUMMYFUNCTION("""COMPUTED_VALUE"""),54)</f>
        <v/>
      </c>
    </row>
    <row r="21752">
      <c r="J21752">
        <f>IFERROR(__xludf.DUMMYFUNCTION("""COMPUTED_VALUE"""),"Nova-Scotia, Canada")</f>
        <v/>
      </c>
      <c r="K21752">
        <f>IFERROR(__xludf.DUMMYFUNCTION("""COMPUTED_VALUE"""),53.68)</f>
        <v/>
      </c>
    </row>
    <row r="21753">
      <c r="J21753">
        <f>IFERROR(__xludf.DUMMYFUNCTION("""COMPUTED_VALUE"""),"Windsor, ON &amp; Detroit MI USA")</f>
        <v/>
      </c>
      <c r="K21753">
        <f>IFERROR(__xludf.DUMMYFUNCTION("""COMPUTED_VALUE"""),53.28)</f>
        <v/>
      </c>
    </row>
    <row r="21754">
      <c r="J21754">
        <f>IFERROR(__xludf.DUMMYFUNCTION("""COMPUTED_VALUE"""),"Boston, US")</f>
        <v/>
      </c>
      <c r="K21754">
        <f>IFERROR(__xludf.DUMMYFUNCTION("""COMPUTED_VALUE"""),53.1)</f>
        <v/>
      </c>
    </row>
    <row r="21755">
      <c r="J21755">
        <f>IFERROR(__xludf.DUMMYFUNCTION("""COMPUTED_VALUE"""),"Fort Saskatchewan, Saskatchewan, Canada")</f>
        <v/>
      </c>
      <c r="K21755">
        <f>IFERROR(__xludf.DUMMYFUNCTION("""COMPUTED_VALUE"""),53.01)</f>
        <v/>
      </c>
    </row>
    <row r="21756">
      <c r="J21756">
        <f>IFERROR(__xludf.DUMMYFUNCTION("""COMPUTED_VALUE"""),"Montreal, Quebec, Canada /  Ottawa, Ontario, Canada")</f>
        <v/>
      </c>
      <c r="K21756">
        <f>IFERROR(__xludf.DUMMYFUNCTION("""COMPUTED_VALUE"""),53)</f>
        <v/>
      </c>
    </row>
    <row r="21757">
      <c r="J21757">
        <f>IFERROR(__xludf.DUMMYFUNCTION("""COMPUTED_VALUE"""),"Cumberland, Ontario, Canada")</f>
        <v/>
      </c>
      <c r="K21757">
        <f>IFERROR(__xludf.DUMMYFUNCTION("""COMPUTED_VALUE"""),52.86)</f>
        <v/>
      </c>
    </row>
    <row r="21758">
      <c r="J21758">
        <f>IFERROR(__xludf.DUMMYFUNCTION("""COMPUTED_VALUE"""),"Blainville, QC")</f>
        <v/>
      </c>
      <c r="K21758">
        <f>IFERROR(__xludf.DUMMYFUNCTION("""COMPUTED_VALUE"""),52.82)</f>
        <v/>
      </c>
    </row>
    <row r="21759">
      <c r="J21759">
        <f>IFERROR(__xludf.DUMMYFUNCTION("""COMPUTED_VALUE"""),"Steinbach, Manitoba, Canada")</f>
        <v/>
      </c>
      <c r="K21759">
        <f>IFERROR(__xludf.DUMMYFUNCTION("""COMPUTED_VALUE"""),52.73)</f>
        <v/>
      </c>
    </row>
    <row r="21760">
      <c r="J21760">
        <f>IFERROR(__xludf.DUMMYFUNCTION("""COMPUTED_VALUE"""),"Sherbrooke (Quebec) Canada;
St-Hyacinthe (Quebec) Canada")</f>
        <v/>
      </c>
      <c r="K21760">
        <f>IFERROR(__xludf.DUMMYFUNCTION("""COMPUTED_VALUE"""),52.71)</f>
        <v/>
      </c>
    </row>
    <row r="21761">
      <c r="J21761">
        <f>IFERROR(__xludf.DUMMYFUNCTION("""COMPUTED_VALUE"""),"St. Andrews,  New Brunswick")</f>
        <v/>
      </c>
      <c r="K21761">
        <f>IFERROR(__xludf.DUMMYFUNCTION("""COMPUTED_VALUE"""),52.7)</f>
        <v/>
      </c>
    </row>
    <row r="21762">
      <c r="J21762">
        <f>IFERROR(__xludf.DUMMYFUNCTION("""COMPUTED_VALUE"""),"La Doré, Roberval")</f>
        <v/>
      </c>
      <c r="K21762">
        <f>IFERROR(__xludf.DUMMYFUNCTION("""COMPUTED_VALUE"""),52.64)</f>
        <v/>
      </c>
    </row>
    <row r="21763">
      <c r="J21763">
        <f>IFERROR(__xludf.DUMMYFUNCTION("""COMPUTED_VALUE"""),"North Surrey, South Surrey")</f>
        <v/>
      </c>
      <c r="K21763">
        <f>IFERROR(__xludf.DUMMYFUNCTION("""COMPUTED_VALUE"""),52.02)</f>
        <v/>
      </c>
    </row>
    <row r="21764">
      <c r="J21764">
        <f>IFERROR(__xludf.DUMMYFUNCTION("""COMPUTED_VALUE"""),"Donnaconna, Quebec, Canada")</f>
        <v/>
      </c>
      <c r="K21764">
        <f>IFERROR(__xludf.DUMMYFUNCTION("""COMPUTED_VALUE"""),52.01)</f>
        <v/>
      </c>
    </row>
    <row r="21765">
      <c r="J21765">
        <f>IFERROR(__xludf.DUMMYFUNCTION("""COMPUTED_VALUE"""),"Lac Pêche, QC")</f>
        <v/>
      </c>
      <c r="K21765">
        <f>IFERROR(__xludf.DUMMYFUNCTION("""COMPUTED_VALUE"""),52)</f>
        <v/>
      </c>
    </row>
    <row r="21766">
      <c r="J21766">
        <f>IFERROR(__xludf.DUMMYFUNCTION("""COMPUTED_VALUE"""),"Westport, Ontario")</f>
        <v/>
      </c>
      <c r="K21766">
        <f>IFERROR(__xludf.DUMMYFUNCTION("""COMPUTED_VALUE"""),52)</f>
        <v/>
      </c>
    </row>
    <row r="21767">
      <c r="J21767">
        <f>IFERROR(__xludf.DUMMYFUNCTION("""COMPUTED_VALUE"""),"Richibucto, New Brunswick, Canada")</f>
        <v/>
      </c>
      <c r="K21767">
        <f>IFERROR(__xludf.DUMMYFUNCTION("""COMPUTED_VALUE"""),51.94)</f>
        <v/>
      </c>
    </row>
    <row r="21768">
      <c r="J21768">
        <f>IFERROR(__xludf.DUMMYFUNCTION("""COMPUTED_VALUE"""),"Greenwood, Nova Scotia and Goose Bay, Newfounland and Labrador, Canada")</f>
        <v/>
      </c>
      <c r="K21768">
        <f>IFERROR(__xludf.DUMMYFUNCTION("""COMPUTED_VALUE"""),51.9)</f>
        <v/>
      </c>
    </row>
    <row r="21769">
      <c r="J21769">
        <f>IFERROR(__xludf.DUMMYFUNCTION("""COMPUTED_VALUE"""),"Shilo(Manitoba) Canada")</f>
        <v/>
      </c>
      <c r="K21769">
        <f>IFERROR(__xludf.DUMMYFUNCTION("""COMPUTED_VALUE"""),51.9)</f>
        <v/>
      </c>
    </row>
    <row r="21770">
      <c r="J21770">
        <f>IFERROR(__xludf.DUMMYFUNCTION("""COMPUTED_VALUE"""),"Embassy")</f>
        <v/>
      </c>
      <c r="K21770">
        <f>IFERROR(__xludf.DUMMYFUNCTION("""COMPUTED_VALUE"""),51.86)</f>
        <v/>
      </c>
    </row>
    <row r="21771">
      <c r="J21771">
        <f>IFERROR(__xludf.DUMMYFUNCTION("""COMPUTED_VALUE"""),"Paris, Ontario")</f>
        <v/>
      </c>
      <c r="K21771">
        <f>IFERROR(__xludf.DUMMYFUNCTION("""COMPUTED_VALUE"""),51.76)</f>
        <v/>
      </c>
    </row>
    <row r="21772">
      <c r="J21772">
        <f>IFERROR(__xludf.DUMMYFUNCTION("""COMPUTED_VALUE"""),"St. Peters Bay, Prince Edward Island")</f>
        <v/>
      </c>
      <c r="K21772">
        <f>IFERROR(__xludf.DUMMYFUNCTION("""COMPUTED_VALUE"""),51.7)</f>
        <v/>
      </c>
    </row>
    <row r="21773">
      <c r="J21773">
        <f>IFERROR(__xludf.DUMMYFUNCTION("""COMPUTED_VALUE"""),"Shawinigan and Ottawa, ON")</f>
        <v/>
      </c>
      <c r="K21773">
        <f>IFERROR(__xludf.DUMMYFUNCTION("""COMPUTED_VALUE"""),51.25)</f>
        <v/>
      </c>
    </row>
    <row r="21774">
      <c r="J21774">
        <f>IFERROR(__xludf.DUMMYFUNCTION("""COMPUTED_VALUE"""),"Chelsea and Shawinigan, Québec")</f>
        <v/>
      </c>
      <c r="K21774">
        <f>IFERROR(__xludf.DUMMYFUNCTION("""COMPUTED_VALUE"""),50.65)</f>
        <v/>
      </c>
    </row>
    <row r="21775">
      <c r="J21775">
        <f>IFERROR(__xludf.DUMMYFUNCTION("""COMPUTED_VALUE"""),"Shawinigan , Québec")</f>
        <v/>
      </c>
      <c r="K21775">
        <f>IFERROR(__xludf.DUMMYFUNCTION("""COMPUTED_VALUE"""),50.65)</f>
        <v/>
      </c>
    </row>
    <row r="21776">
      <c r="J21776">
        <f>IFERROR(__xludf.DUMMYFUNCTION("""COMPUTED_VALUE"""),"BARRIE, ON")</f>
        <v/>
      </c>
      <c r="K21776">
        <f>IFERROR(__xludf.DUMMYFUNCTION("""COMPUTED_VALUE"""),50.6)</f>
        <v/>
      </c>
    </row>
    <row r="21777">
      <c r="J21777">
        <f>IFERROR(__xludf.DUMMYFUNCTION("""COMPUTED_VALUE"""),"Mayerthorpe, AB")</f>
        <v/>
      </c>
      <c r="K21777">
        <f>IFERROR(__xludf.DUMMYFUNCTION("""COMPUTED_VALUE"""),50.55)</f>
        <v/>
      </c>
    </row>
    <row r="21778">
      <c r="J21778">
        <f>IFERROR(__xludf.DUMMYFUNCTION("""COMPUTED_VALUE"""),"Napanee, Ontario, Canada; Sudbury, Ontario, Canada")</f>
        <v/>
      </c>
      <c r="K21778">
        <f>IFERROR(__xludf.DUMMYFUNCTION("""COMPUTED_VALUE"""),50.4)</f>
        <v/>
      </c>
    </row>
    <row r="21779">
      <c r="J21779">
        <f>IFERROR(__xludf.DUMMYFUNCTION("""COMPUTED_VALUE"""),"Vancouver, Coquitlam, North Vancouver")</f>
        <v/>
      </c>
      <c r="K21779">
        <f>IFERROR(__xludf.DUMMYFUNCTION("""COMPUTED_VALUE"""),50.26)</f>
        <v/>
      </c>
    </row>
    <row r="21780">
      <c r="J21780">
        <f>IFERROR(__xludf.DUMMYFUNCTION("""COMPUTED_VALUE"""),"Elgin, Ontario, Canada")</f>
        <v/>
      </c>
      <c r="K21780">
        <f>IFERROR(__xludf.DUMMYFUNCTION("""COMPUTED_VALUE"""),50.16)</f>
        <v/>
      </c>
    </row>
    <row r="21781">
      <c r="J21781">
        <f>IFERROR(__xludf.DUMMYFUNCTION("""COMPUTED_VALUE"""),"Lac-Bouchette")</f>
        <v/>
      </c>
      <c r="K21781">
        <f>IFERROR(__xludf.DUMMYFUNCTION("""COMPUTED_VALUE"""),50.16)</f>
        <v/>
      </c>
    </row>
    <row r="21782">
      <c r="J21782">
        <f>IFERROR(__xludf.DUMMYFUNCTION("""COMPUTED_VALUE"""),"Richmond, BC Vancouver, BC")</f>
        <v/>
      </c>
      <c r="K21782">
        <f>IFERROR(__xludf.DUMMYFUNCTION("""COMPUTED_VALUE"""),50.16)</f>
        <v/>
      </c>
    </row>
    <row r="21783">
      <c r="J21783">
        <f>IFERROR(__xludf.DUMMYFUNCTION("""COMPUTED_VALUE"""),"Sherbrooke; Montréal, Quebec, Canada")</f>
        <v/>
      </c>
      <c r="K21783">
        <f>IFERROR(__xludf.DUMMYFUNCTION("""COMPUTED_VALUE"""),50.1)</f>
        <v/>
      </c>
    </row>
    <row r="21784">
      <c r="J21784">
        <f>IFERROR(__xludf.DUMMYFUNCTION("""COMPUTED_VALUE"""),"Shawinigan, Québec and Ottawa, Ontario")</f>
        <v/>
      </c>
      <c r="K21784">
        <f>IFERROR(__xludf.DUMMYFUNCTION("""COMPUTED_VALUE"""),50)</f>
        <v/>
      </c>
    </row>
    <row r="21785">
      <c r="J21785">
        <f>IFERROR(__xludf.DUMMYFUNCTION("""COMPUTED_VALUE"""),"Laval, Québec, Canada; 
Montréal, Québec, Canada")</f>
        <v/>
      </c>
      <c r="K21785">
        <f>IFERROR(__xludf.DUMMYFUNCTION("""COMPUTED_VALUE"""),49.88)</f>
        <v/>
      </c>
    </row>
    <row r="21786">
      <c r="J21786">
        <f>IFERROR(__xludf.DUMMYFUNCTION("""COMPUTED_VALUE"""),"90 Elgin St, Ottawa, ON")</f>
        <v/>
      </c>
      <c r="K21786">
        <f>IFERROR(__xludf.DUMMYFUNCTION("""COMPUTED_VALUE"""),49.79)</f>
        <v/>
      </c>
    </row>
    <row r="21787">
      <c r="J21787">
        <f>IFERROR(__xludf.DUMMYFUNCTION("""COMPUTED_VALUE"""),"Vancouver/Port Moody/Burnaby")</f>
        <v/>
      </c>
      <c r="K21787">
        <f>IFERROR(__xludf.DUMMYFUNCTION("""COMPUTED_VALUE"""),49.67)</f>
        <v/>
      </c>
    </row>
    <row r="21788">
      <c r="J21788">
        <f>IFERROR(__xludf.DUMMYFUNCTION("""COMPUTED_VALUE"""),"Notre-Dame, New Brunswick")</f>
        <v/>
      </c>
      <c r="K21788">
        <f>IFERROR(__xludf.DUMMYFUNCTION("""COMPUTED_VALUE"""),49.56)</f>
        <v/>
      </c>
    </row>
    <row r="21789">
      <c r="J21789">
        <f>IFERROR(__xludf.DUMMYFUNCTION("""COMPUTED_VALUE"""),"Châteauguay, Vaudreuil-Dorion, Pointe-Claire, Quebec, Canada")</f>
        <v/>
      </c>
      <c r="K21789">
        <f>IFERROR(__xludf.DUMMYFUNCTION("""COMPUTED_VALUE"""),49.3)</f>
        <v/>
      </c>
    </row>
    <row r="21790">
      <c r="J21790">
        <f>IFERROR(__xludf.DUMMYFUNCTION("""COMPUTED_VALUE"""),"Saint-Gabriel-de-Brandon, Quebec, Canada")</f>
        <v/>
      </c>
      <c r="K21790">
        <f>IFERROR(__xludf.DUMMYFUNCTION("""COMPUTED_VALUE"""),49.15)</f>
        <v/>
      </c>
    </row>
    <row r="21791">
      <c r="J21791">
        <f>IFERROR(__xludf.DUMMYFUNCTION("""COMPUTED_VALUE"""),"Adegem, Belgium")</f>
        <v/>
      </c>
      <c r="K21791">
        <f>IFERROR(__xludf.DUMMYFUNCTION("""COMPUTED_VALUE"""),49.09)</f>
        <v/>
      </c>
    </row>
    <row r="21792">
      <c r="J21792">
        <f>IFERROR(__xludf.DUMMYFUNCTION("""COMPUTED_VALUE"""),"North Dumfries, ON /
Cambridge, ON")</f>
        <v/>
      </c>
      <c r="K21792">
        <f>IFERROR(__xludf.DUMMYFUNCTION("""COMPUTED_VALUE"""),49.08)</f>
        <v/>
      </c>
    </row>
    <row r="21793">
      <c r="J21793">
        <f>IFERROR(__xludf.DUMMYFUNCTION("""COMPUTED_VALUE"""),"Candiac, Quebec, Canada / Saint-Rémi, Quebec, Canada")</f>
        <v/>
      </c>
      <c r="K21793">
        <f>IFERROR(__xludf.DUMMYFUNCTION("""COMPUTED_VALUE"""),49)</f>
        <v/>
      </c>
    </row>
    <row r="21794">
      <c r="J21794">
        <f>IFERROR(__xludf.DUMMYFUNCTION("""COMPUTED_VALUE"""),"Saint-Hubert")</f>
        <v/>
      </c>
      <c r="K21794">
        <f>IFERROR(__xludf.DUMMYFUNCTION("""COMPUTED_VALUE"""),49)</f>
        <v/>
      </c>
    </row>
    <row r="21795">
      <c r="J21795">
        <f>IFERROR(__xludf.DUMMYFUNCTION("""COMPUTED_VALUE"""),"St-Jean, Qc")</f>
        <v/>
      </c>
      <c r="K21795">
        <f>IFERROR(__xludf.DUMMYFUNCTION("""COMPUTED_VALUE"""),49)</f>
        <v/>
      </c>
    </row>
    <row r="21796">
      <c r="J21796">
        <f>IFERROR(__xludf.DUMMYFUNCTION("""COMPUTED_VALUE"""),"Vancouver, Dewdney and Langley, British Columbia, Canada")</f>
        <v/>
      </c>
      <c r="K21796">
        <f>IFERROR(__xludf.DUMMYFUNCTION("""COMPUTED_VALUE"""),48.98)</f>
        <v/>
      </c>
    </row>
    <row r="21797">
      <c r="J21797">
        <f>IFERROR(__xludf.DUMMYFUNCTION("""COMPUTED_VALUE"""),"Arm River, Saskatchewan, Canada")</f>
        <v/>
      </c>
      <c r="K21797">
        <f>IFERROR(__xludf.DUMMYFUNCTION("""COMPUTED_VALUE"""),48.88)</f>
        <v/>
      </c>
    </row>
    <row r="21798">
      <c r="J21798">
        <f>IFERROR(__xludf.DUMMYFUNCTION("""COMPUTED_VALUE"""),"Hoengseong, ROK")</f>
        <v/>
      </c>
      <c r="K21798">
        <f>IFERROR(__xludf.DUMMYFUNCTION("""COMPUTED_VALUE"""),48.46)</f>
        <v/>
      </c>
    </row>
    <row r="21799">
      <c r="J21799">
        <f>IFERROR(__xludf.DUMMYFUNCTION("""COMPUTED_VALUE"""),"Paekyoung-Do Island, ROK")</f>
        <v/>
      </c>
      <c r="K21799">
        <f>IFERROR(__xludf.DUMMYFUNCTION("""COMPUTED_VALUE"""),48.36)</f>
        <v/>
      </c>
    </row>
    <row r="21800">
      <c r="J21800">
        <f>IFERROR(__xludf.DUMMYFUNCTION("""COMPUTED_VALUE"""),"Yongin, ROK")</f>
        <v/>
      </c>
      <c r="K21800">
        <f>IFERROR(__xludf.DUMMYFUNCTION("""COMPUTED_VALUE"""),48.31)</f>
        <v/>
      </c>
    </row>
    <row r="21801">
      <c r="J21801">
        <f>IFERROR(__xludf.DUMMYFUNCTION("""COMPUTED_VALUE"""),"Surrey,British Columbia, Canada")</f>
        <v/>
      </c>
      <c r="K21801">
        <f>IFERROR(__xludf.DUMMYFUNCTION("""COMPUTED_VALUE"""),48.3)</f>
        <v/>
      </c>
    </row>
    <row r="21802">
      <c r="J21802">
        <f>IFERROR(__xludf.DUMMYFUNCTION("""COMPUTED_VALUE"""),"Saint-Antoine de Tilly")</f>
        <v/>
      </c>
      <c r="K21802">
        <f>IFERROR(__xludf.DUMMYFUNCTION("""COMPUTED_VALUE"""),48.29)</f>
        <v/>
      </c>
    </row>
    <row r="21803">
      <c r="J21803">
        <f>IFERROR(__xludf.DUMMYFUNCTION("""COMPUTED_VALUE"""),"Châteauguay, Grand-Mère")</f>
        <v/>
      </c>
      <c r="K21803">
        <f>IFERROR(__xludf.DUMMYFUNCTION("""COMPUTED_VALUE"""),48.15)</f>
        <v/>
      </c>
    </row>
    <row r="21804">
      <c r="J21804">
        <f>IFERROR(__xludf.DUMMYFUNCTION("""COMPUTED_VALUE"""),"Lloydminster, Saskatchewan")</f>
        <v/>
      </c>
      <c r="K21804">
        <f>IFERROR(__xludf.DUMMYFUNCTION("""COMPUTED_VALUE"""),48.15)</f>
        <v/>
      </c>
    </row>
    <row r="21805">
      <c r="J21805">
        <f>IFERROR(__xludf.DUMMYFUNCTION("""COMPUTED_VALUE"""),"30 rue Victoria, Gatineau QC")</f>
        <v/>
      </c>
      <c r="K21805">
        <f>IFERROR(__xludf.DUMMYFUNCTION("""COMPUTED_VALUE"""),48.14)</f>
        <v/>
      </c>
    </row>
    <row r="21806">
      <c r="J21806">
        <f>IFERROR(__xludf.DUMMYFUNCTION("""COMPUTED_VALUE"""),"Etobicoke, (Ontario)")</f>
        <v/>
      </c>
      <c r="K21806">
        <f>IFERROR(__xludf.DUMMYFUNCTION("""COMPUTED_VALUE"""),48)</f>
        <v/>
      </c>
    </row>
    <row r="21807">
      <c r="J21807">
        <f>IFERROR(__xludf.DUMMYFUNCTION("""COMPUTED_VALUE"""),"New Orleans")</f>
        <v/>
      </c>
      <c r="K21807">
        <f>IFERROR(__xludf.DUMMYFUNCTION("""COMPUTED_VALUE"""),47.75)</f>
        <v/>
      </c>
    </row>
    <row r="21808">
      <c r="J21808">
        <f>IFERROR(__xludf.DUMMYFUNCTION("""COMPUTED_VALUE"""),"Châteauguay, QC")</f>
        <v/>
      </c>
      <c r="K21808">
        <f>IFERROR(__xludf.DUMMYFUNCTION("""COMPUTED_VALUE"""),47.61)</f>
        <v/>
      </c>
    </row>
    <row r="21809">
      <c r="J21809">
        <f>IFERROR(__xludf.DUMMYFUNCTION("""COMPUTED_VALUE"""),"Saint-Hyacinthe, Upton, Montréal")</f>
        <v/>
      </c>
      <c r="K21809">
        <f>IFERROR(__xludf.DUMMYFUNCTION("""COMPUTED_VALUE"""),47.6)</f>
        <v/>
      </c>
    </row>
    <row r="21810">
      <c r="J21810">
        <f>IFERROR(__xludf.DUMMYFUNCTION("""COMPUTED_VALUE"""),"Fort Chipewyan, Albert, Canada")</f>
        <v/>
      </c>
      <c r="K21810">
        <f>IFERROR(__xludf.DUMMYFUNCTION("""COMPUTED_VALUE"""),47.46)</f>
        <v/>
      </c>
    </row>
    <row r="21811">
      <c r="J21811">
        <f>IFERROR(__xludf.DUMMYFUNCTION("""COMPUTED_VALUE"""),"Saint-Isidore, Ontario")</f>
        <v/>
      </c>
      <c r="K21811">
        <f>IFERROR(__xludf.DUMMYFUNCTION("""COMPUTED_VALUE"""),47.21)</f>
        <v/>
      </c>
    </row>
    <row r="21812">
      <c r="J21812">
        <f>IFERROR(__xludf.DUMMYFUNCTION("""COMPUTED_VALUE"""),"Bowen Island, British Columbia, Canada")</f>
        <v/>
      </c>
      <c r="K21812">
        <f>IFERROR(__xludf.DUMMYFUNCTION("""COMPUTED_VALUE"""),47.15)</f>
        <v/>
      </c>
    </row>
    <row r="21813">
      <c r="J21813">
        <f>IFERROR(__xludf.DUMMYFUNCTION("""COMPUTED_VALUE"""),"90 Elgin St, Ottawa, On K1p 5e9, Canada")</f>
        <v/>
      </c>
      <c r="K21813">
        <f>IFERROR(__xludf.DUMMYFUNCTION("""COMPUTED_VALUE"""),47.08)</f>
        <v/>
      </c>
    </row>
    <row r="21814">
      <c r="J21814">
        <f>IFERROR(__xludf.DUMMYFUNCTION("""COMPUTED_VALUE"""),"Kirkland, Qc")</f>
        <v/>
      </c>
      <c r="K21814">
        <f>IFERROR(__xludf.DUMMYFUNCTION("""COMPUTED_VALUE"""),47.03)</f>
        <v/>
      </c>
    </row>
    <row r="21815">
      <c r="J21815">
        <f>IFERROR(__xludf.DUMMYFUNCTION("""COMPUTED_VALUE"""),"Surrey, BC / Vancouver, BC")</f>
        <v/>
      </c>
      <c r="K21815">
        <f>IFERROR(__xludf.DUMMYFUNCTION("""COMPUTED_VALUE"""),46.97)</f>
        <v/>
      </c>
    </row>
    <row r="21816">
      <c r="J21816">
        <f>IFERROR(__xludf.DUMMYFUNCTION("""COMPUTED_VALUE"""),"Willson House, Quebec")</f>
        <v/>
      </c>
      <c r="K21816">
        <f>IFERROR(__xludf.DUMMYFUNCTION("""COMPUTED_VALUE"""),46.86)</f>
        <v/>
      </c>
    </row>
    <row r="21817">
      <c r="J21817">
        <f>IFERROR(__xludf.DUMMYFUNCTION("""COMPUTED_VALUE"""),"St-Eustache, Boisbriand, (Quebec)")</f>
        <v/>
      </c>
      <c r="K21817">
        <f>IFERROR(__xludf.DUMMYFUNCTION("""COMPUTED_VALUE"""),46.64)</f>
        <v/>
      </c>
    </row>
    <row r="21818">
      <c r="J21818">
        <f>IFERROR(__xludf.DUMMYFUNCTION("""COMPUTED_VALUE"""),"Paju, ROK")</f>
        <v/>
      </c>
      <c r="K21818">
        <f>IFERROR(__xludf.DUMMYFUNCTION("""COMPUTED_VALUE"""),46.51)</f>
        <v/>
      </c>
    </row>
    <row r="21819">
      <c r="J21819">
        <f>IFERROR(__xludf.DUMMYFUNCTION("""COMPUTED_VALUE"""),"Saint-Hyacinthe, Asbestos")</f>
        <v/>
      </c>
      <c r="K21819">
        <f>IFERROR(__xludf.DUMMYFUNCTION("""COMPUTED_VALUE"""),46.5)</f>
        <v/>
      </c>
    </row>
    <row r="21820">
      <c r="J21820">
        <f>IFERROR(__xludf.DUMMYFUNCTION("""COMPUTED_VALUE"""),"Cowansville, Qc")</f>
        <v/>
      </c>
      <c r="K21820">
        <f>IFERROR(__xludf.DUMMYFUNCTION("""COMPUTED_VALUE"""),46.46)</f>
        <v/>
      </c>
    </row>
    <row r="21821">
      <c r="J21821">
        <f>IFERROR(__xludf.DUMMYFUNCTION("""COMPUTED_VALUE"""),"Sienna")</f>
        <v/>
      </c>
      <c r="K21821">
        <f>IFERROR(__xludf.DUMMYFUNCTION("""COMPUTED_VALUE"""),46.46)</f>
        <v/>
      </c>
    </row>
    <row r="21822">
      <c r="J21822">
        <f>IFERROR(__xludf.DUMMYFUNCTION("""COMPUTED_VALUE"""),"Chateauguay, Quebec, Canada")</f>
        <v/>
      </c>
      <c r="K21822">
        <f>IFERROR(__xludf.DUMMYFUNCTION("""COMPUTED_VALUE"""),46.32)</f>
        <v/>
      </c>
    </row>
    <row r="21823">
      <c r="J21823">
        <f>IFERROR(__xludf.DUMMYFUNCTION("""COMPUTED_VALUE"""),"Annapolis Royal, NS")</f>
        <v/>
      </c>
      <c r="K21823">
        <f>IFERROR(__xludf.DUMMYFUNCTION("""COMPUTED_VALUE"""),46.1)</f>
        <v/>
      </c>
    </row>
    <row r="21824">
      <c r="J21824">
        <f>IFERROR(__xludf.DUMMYFUNCTION("""COMPUTED_VALUE"""),"Vancouver, Abbotsford, BC")</f>
        <v/>
      </c>
      <c r="K21824">
        <f>IFERROR(__xludf.DUMMYFUNCTION("""COMPUTED_VALUE"""),45.9)</f>
        <v/>
      </c>
    </row>
    <row r="21825">
      <c r="J21825">
        <f>IFERROR(__xludf.DUMMYFUNCTION("""COMPUTED_VALUE"""),"Trois-Rivieres, Quebec, (Canada).")</f>
        <v/>
      </c>
      <c r="K21825">
        <f>IFERROR(__xludf.DUMMYFUNCTION("""COMPUTED_VALUE"""),45.85)</f>
        <v/>
      </c>
    </row>
    <row r="21826">
      <c r="J21826">
        <f>IFERROR(__xludf.DUMMYFUNCTION("""COMPUTED_VALUE"""),"Montreal (Québec) Canada")</f>
        <v/>
      </c>
      <c r="K21826">
        <f>IFERROR(__xludf.DUMMYFUNCTION("""COMPUTED_VALUE"""),45.36)</f>
        <v/>
      </c>
    </row>
    <row r="21827">
      <c r="J21827">
        <f>IFERROR(__xludf.DUMMYFUNCTION("""COMPUTED_VALUE"""),"Wakefield, PQ")</f>
        <v/>
      </c>
      <c r="K21827">
        <f>IFERROR(__xludf.DUMMYFUNCTION("""COMPUTED_VALUE"""),45.08)</f>
        <v/>
      </c>
    </row>
    <row r="21828">
      <c r="J21828">
        <f>IFERROR(__xludf.DUMMYFUNCTION("""COMPUTED_VALUE"""),"Blue -Sea Lake, QC")</f>
        <v/>
      </c>
      <c r="K21828">
        <f>IFERROR(__xludf.DUMMYFUNCTION("""COMPUTED_VALUE"""),45)</f>
        <v/>
      </c>
    </row>
    <row r="21829">
      <c r="J21829">
        <f>IFERROR(__xludf.DUMMYFUNCTION("""COMPUTED_VALUE"""),"Mali/Senegal")</f>
        <v/>
      </c>
      <c r="K21829">
        <f>IFERROR(__xludf.DUMMYFUNCTION("""COMPUTED_VALUE"""),45)</f>
        <v/>
      </c>
    </row>
    <row r="21830">
      <c r="J21830">
        <f>IFERROR(__xludf.DUMMYFUNCTION("""COMPUTED_VALUE"""),"Mons, Belgique")</f>
        <v/>
      </c>
      <c r="K21830">
        <f>IFERROR(__xludf.DUMMYFUNCTION("""COMPUTED_VALUE"""),44.83)</f>
        <v/>
      </c>
    </row>
    <row r="21831">
      <c r="J21831">
        <f>IFERROR(__xludf.DUMMYFUNCTION("""COMPUTED_VALUE"""),"455 Bd De La Carrière, Gatineau, Qc J8y 6v7, Canada")</f>
        <v/>
      </c>
      <c r="K21831">
        <f>IFERROR(__xludf.DUMMYFUNCTION("""COMPUTED_VALUE"""),44.47)</f>
        <v/>
      </c>
    </row>
    <row r="21832">
      <c r="J21832">
        <f>IFERROR(__xludf.DUMMYFUNCTION("""COMPUTED_VALUE"""),"Mississaugua, ON, Canada")</f>
        <v/>
      </c>
      <c r="K21832">
        <f>IFERROR(__xludf.DUMMYFUNCTION("""COMPUTED_VALUE"""),44.4)</f>
        <v/>
      </c>
    </row>
    <row r="21833">
      <c r="J21833">
        <f>IFERROR(__xludf.DUMMYFUNCTION("""COMPUTED_VALUE"""),"Montreal, Quenec")</f>
        <v/>
      </c>
      <c r="K21833">
        <f>IFERROR(__xludf.DUMMYFUNCTION("""COMPUTED_VALUE"""),44.4)</f>
        <v/>
      </c>
    </row>
    <row r="21834">
      <c r="J21834">
        <f>IFERROR(__xludf.DUMMYFUNCTION("""COMPUTED_VALUE"""),"Kanasetake, Quebec, Canada")</f>
        <v/>
      </c>
      <c r="K21834">
        <f>IFERROR(__xludf.DUMMYFUNCTION("""COMPUTED_VALUE"""),44.05)</f>
        <v/>
      </c>
    </row>
    <row r="21835">
      <c r="J21835">
        <f>IFERROR(__xludf.DUMMYFUNCTION("""COMPUTED_VALUE"""),"Buckingham, Quebec")</f>
        <v/>
      </c>
      <c r="K21835">
        <f>IFERROR(__xludf.DUMMYFUNCTION("""COMPUTED_VALUE"""),44.04)</f>
        <v/>
      </c>
    </row>
    <row r="21836">
      <c r="J21836">
        <f>IFERROR(__xludf.DUMMYFUNCTION("""COMPUTED_VALUE"""),"Yellowknife NWT")</f>
        <v/>
      </c>
      <c r="K21836">
        <f>IFERROR(__xludf.DUMMYFUNCTION("""COMPUTED_VALUE"""),44)</f>
        <v/>
      </c>
    </row>
    <row r="21837">
      <c r="J21837">
        <f>IFERROR(__xludf.DUMMYFUNCTION("""COMPUTED_VALUE"""),"Burnaby")</f>
        <v/>
      </c>
      <c r="K21837">
        <f>IFERROR(__xludf.DUMMYFUNCTION("""COMPUTED_VALUE"""),43.94)</f>
        <v/>
      </c>
    </row>
    <row r="21838">
      <c r="J21838">
        <f>IFERROR(__xludf.DUMMYFUNCTION("""COMPUTED_VALUE"""),"Sainte-Dorothée, Quebec, Canada")</f>
        <v/>
      </c>
      <c r="K21838">
        <f>IFERROR(__xludf.DUMMYFUNCTION("""COMPUTED_VALUE"""),43.91)</f>
        <v/>
      </c>
    </row>
    <row r="21839">
      <c r="J21839">
        <f>IFERROR(__xludf.DUMMYFUNCTION("""COMPUTED_VALUE"""),"9 bd Montclair, Gatineau Quebec, Canada")</f>
        <v/>
      </c>
      <c r="K21839">
        <f>IFERROR(__xludf.DUMMYFUNCTION("""COMPUTED_VALUE"""),43.79)</f>
        <v/>
      </c>
    </row>
    <row r="21840">
      <c r="J21840">
        <f>IFERROR(__xludf.DUMMYFUNCTION("""COMPUTED_VALUE"""),"Monte-Cassino, Italy")</f>
        <v/>
      </c>
      <c r="K21840">
        <f>IFERROR(__xludf.DUMMYFUNCTION("""COMPUTED_VALUE"""),43.75)</f>
        <v/>
      </c>
    </row>
    <row r="21841">
      <c r="J21841">
        <f>IFERROR(__xludf.DUMMYFUNCTION("""COMPUTED_VALUE"""),"Toronto / Hamilton, ON")</f>
        <v/>
      </c>
      <c r="K21841">
        <f>IFERROR(__xludf.DUMMYFUNCTION("""COMPUTED_VALUE"""),43.65)</f>
        <v/>
      </c>
    </row>
    <row r="21842">
      <c r="J21842">
        <f>IFERROR(__xludf.DUMMYFUNCTION("""COMPUTED_VALUE"""),"Warwick (Quebec) Canada")</f>
        <v/>
      </c>
      <c r="K21842">
        <f>IFERROR(__xludf.DUMMYFUNCTION("""COMPUTED_VALUE"""),43.6)</f>
        <v/>
      </c>
    </row>
    <row r="21843">
      <c r="J21843">
        <f>IFERROR(__xludf.DUMMYFUNCTION("""COMPUTED_VALUE"""),"44 Elgin St, Ottawa, On K1p 1c7, Canada")</f>
        <v/>
      </c>
      <c r="K21843">
        <f>IFERROR(__xludf.DUMMYFUNCTION("""COMPUTED_VALUE"""),43.53)</f>
        <v/>
      </c>
    </row>
    <row r="21844">
      <c r="J21844">
        <f>IFERROR(__xludf.DUMMYFUNCTION("""COMPUTED_VALUE"""),"Spruce Grove, AB")</f>
        <v/>
      </c>
      <c r="K21844">
        <f>IFERROR(__xludf.DUMMYFUNCTION("""COMPUTED_VALUE"""),43.17)</f>
        <v/>
      </c>
    </row>
    <row r="21845">
      <c r="J21845">
        <f>IFERROR(__xludf.DUMMYFUNCTION("""COMPUTED_VALUE"""),"Saint-Eustache, Quebec, Canada")</f>
        <v/>
      </c>
      <c r="K21845">
        <f>IFERROR(__xludf.DUMMYFUNCTION("""COMPUTED_VALUE"""),43.13)</f>
        <v/>
      </c>
    </row>
    <row r="21846">
      <c r="J21846">
        <f>IFERROR(__xludf.DUMMYFUNCTION("""COMPUTED_VALUE"""),"Pontecorvo, Italy")</f>
        <v/>
      </c>
      <c r="K21846">
        <f>IFERROR(__xludf.DUMMYFUNCTION("""COMPUTED_VALUE"""),43)</f>
        <v/>
      </c>
    </row>
    <row r="21847">
      <c r="J21847">
        <f>IFERROR(__xludf.DUMMYFUNCTION("""COMPUTED_VALUE"""),"Ottawa, Ontairo, Canada")</f>
        <v/>
      </c>
      <c r="K21847">
        <f>IFERROR(__xludf.DUMMYFUNCTION("""COMPUTED_VALUE"""),42.68)</f>
        <v/>
      </c>
    </row>
    <row r="21848">
      <c r="J21848">
        <f>IFERROR(__xludf.DUMMYFUNCTION("""COMPUTED_VALUE"""),"Ste-Anne's, QC")</f>
        <v/>
      </c>
      <c r="K21848">
        <f>IFERROR(__xludf.DUMMYFUNCTION("""COMPUTED_VALUE"""),42)</f>
        <v/>
      </c>
    </row>
    <row r="21849">
      <c r="J21849">
        <f>IFERROR(__xludf.DUMMYFUNCTION("""COMPUTED_VALUE"""),"Osgoode, ON")</f>
        <v/>
      </c>
      <c r="K21849">
        <f>IFERROR(__xludf.DUMMYFUNCTION("""COMPUTED_VALUE"""),41.98)</f>
        <v/>
      </c>
    </row>
    <row r="21850">
      <c r="J21850">
        <f>IFERROR(__xludf.DUMMYFUNCTION("""COMPUTED_VALUE"""),"Arnprior, Ontario")</f>
        <v/>
      </c>
      <c r="K21850">
        <f>IFERROR(__xludf.DUMMYFUNCTION("""COMPUTED_VALUE"""),41.91)</f>
        <v/>
      </c>
    </row>
    <row r="21851">
      <c r="J21851">
        <f>IFERROR(__xludf.DUMMYFUNCTION("""COMPUTED_VALUE"""),"Vars, Ontario, Canada")</f>
        <v/>
      </c>
      <c r="K21851">
        <f>IFERROR(__xludf.DUMMYFUNCTION("""COMPUTED_VALUE"""),41.77)</f>
        <v/>
      </c>
    </row>
    <row r="21852">
      <c r="J21852">
        <f>IFERROR(__xludf.DUMMYFUNCTION("""COMPUTED_VALUE"""),"Courtice, Ontario, Canada")</f>
        <v/>
      </c>
      <c r="K21852">
        <f>IFERROR(__xludf.DUMMYFUNCTION("""COMPUTED_VALUE"""),41.62)</f>
        <v/>
      </c>
    </row>
    <row r="21853">
      <c r="J21853">
        <f>IFERROR(__xludf.DUMMYFUNCTION("""COMPUTED_VALUE"""),"Maple Ridge, British Columbia")</f>
        <v/>
      </c>
      <c r="K21853">
        <f>IFERROR(__xludf.DUMMYFUNCTION("""COMPUTED_VALUE"""),41.58)</f>
        <v/>
      </c>
    </row>
    <row r="21854">
      <c r="J21854">
        <f>IFERROR(__xludf.DUMMYFUNCTION("""COMPUTED_VALUE"""),"Maskwacis, AB")</f>
        <v/>
      </c>
      <c r="K21854">
        <f>IFERROR(__xludf.DUMMYFUNCTION("""COMPUTED_VALUE"""),41.45)</f>
        <v/>
      </c>
    </row>
    <row r="21855">
      <c r="J21855">
        <f>IFERROR(__xludf.DUMMYFUNCTION("""COMPUTED_VALUE"""),"Houston (Texas) United States of America")</f>
        <v/>
      </c>
      <c r="K21855">
        <f>IFERROR(__xludf.DUMMYFUNCTION("""COMPUTED_VALUE"""),41.41)</f>
        <v/>
      </c>
    </row>
    <row r="21856">
      <c r="J21856">
        <f>IFERROR(__xludf.DUMMYFUNCTION("""COMPUTED_VALUE"""),"Carcross, Yukon")</f>
        <v/>
      </c>
      <c r="K21856">
        <f>IFERROR(__xludf.DUMMYFUNCTION("""COMPUTED_VALUE"""),41.4)</f>
        <v/>
      </c>
    </row>
    <row r="21857">
      <c r="J21857">
        <f>IFERROR(__xludf.DUMMYFUNCTION("""COMPUTED_VALUE"""),"Saint-Laurent (Québec) Canada")</f>
        <v/>
      </c>
      <c r="K21857">
        <f>IFERROR(__xludf.DUMMYFUNCTION("""COMPUTED_VALUE"""),41.26)</f>
        <v/>
      </c>
    </row>
    <row r="21858">
      <c r="J21858">
        <f>IFERROR(__xludf.DUMMYFUNCTION("""COMPUTED_VALUE"""),"Embassy of Canada")</f>
        <v/>
      </c>
      <c r="K21858">
        <f>IFERROR(__xludf.DUMMYFUNCTION("""COMPUTED_VALUE"""),41.24)</f>
        <v/>
      </c>
    </row>
    <row r="21859">
      <c r="J21859">
        <f>IFERROR(__xludf.DUMMYFUNCTION("""COMPUTED_VALUE"""),"Ange-Gardien, Quebec, Canada")</f>
        <v/>
      </c>
      <c r="K21859">
        <f>IFERROR(__xludf.DUMMYFUNCTION("""COMPUTED_VALUE"""),41.14)</f>
        <v/>
      </c>
    </row>
    <row r="21860">
      <c r="J21860">
        <f>IFERROR(__xludf.DUMMYFUNCTION("""COMPUTED_VALUE"""),"Kingston ON Canada")</f>
        <v/>
      </c>
      <c r="K21860">
        <f>IFERROR(__xludf.DUMMYFUNCTION("""COMPUTED_VALUE"""),40.95)</f>
        <v/>
      </c>
    </row>
    <row r="21861">
      <c r="J21861">
        <f>IFERROR(__xludf.DUMMYFUNCTION("""COMPUTED_VALUE"""),"Sherbrooke (Quebec) Canada;
Racine (Quebec) Canada")</f>
        <v/>
      </c>
      <c r="K21861">
        <f>IFERROR(__xludf.DUMMYFUNCTION("""COMPUTED_VALUE"""),40.95)</f>
        <v/>
      </c>
    </row>
    <row r="21862">
      <c r="J21862">
        <f>IFERROR(__xludf.DUMMYFUNCTION("""COMPUTED_VALUE"""),"Picton, ON")</f>
        <v/>
      </c>
      <c r="K21862">
        <f>IFERROR(__xludf.DUMMYFUNCTION("""COMPUTED_VALUE"""),40.85)</f>
        <v/>
      </c>
    </row>
    <row r="21863">
      <c r="J21863">
        <f>IFERROR(__xludf.DUMMYFUNCTION("""COMPUTED_VALUE"""),"Quebec City, Montreal and Laval, Quebec")</f>
        <v/>
      </c>
      <c r="K21863">
        <f>IFERROR(__xludf.DUMMYFUNCTION("""COMPUTED_VALUE"""),40.71)</f>
        <v/>
      </c>
    </row>
    <row r="21864">
      <c r="J21864">
        <f>IFERROR(__xludf.DUMMYFUNCTION("""COMPUTED_VALUE"""),"National capital region")</f>
        <v/>
      </c>
      <c r="K21864">
        <f>IFERROR(__xludf.DUMMYFUNCTION("""COMPUTED_VALUE"""),40.5)</f>
        <v/>
      </c>
    </row>
    <row r="21865">
      <c r="J21865">
        <f>IFERROR(__xludf.DUMMYFUNCTION("""COMPUTED_VALUE"""),"Hope, British Columbia, Canada")</f>
        <v/>
      </c>
      <c r="K21865">
        <f>IFERROR(__xludf.DUMMYFUNCTION("""COMPUTED_VALUE"""),40.39)</f>
        <v/>
      </c>
    </row>
    <row r="21866">
      <c r="J21866">
        <f>IFERROR(__xludf.DUMMYFUNCTION("""COMPUTED_VALUE"""),"Montreal / Saint-Sauveur, (Quebec)")</f>
        <v/>
      </c>
      <c r="K21866">
        <f>IFERROR(__xludf.DUMMYFUNCTION("""COMPUTED_VALUE"""),40.2)</f>
        <v/>
      </c>
    </row>
    <row r="21867">
      <c r="J21867">
        <f>IFERROR(__xludf.DUMMYFUNCTION("""COMPUTED_VALUE"""),"Benoît
60 W55th Street
New York, NY 
10019")</f>
        <v/>
      </c>
      <c r="K21867">
        <f>IFERROR(__xludf.DUMMYFUNCTION("""COMPUTED_VALUE"""),40.12)</f>
        <v/>
      </c>
    </row>
    <row r="21868">
      <c r="J21868">
        <f>IFERROR(__xludf.DUMMYFUNCTION("""COMPUTED_VALUE"""),"Lévis - Citadelle de Québec - Lévis")</f>
        <v/>
      </c>
      <c r="K21868">
        <f>IFERROR(__xludf.DUMMYFUNCTION("""COMPUTED_VALUE"""),40.12)</f>
        <v/>
      </c>
    </row>
    <row r="21869">
      <c r="J21869">
        <f>IFERROR(__xludf.DUMMYFUNCTION("""COMPUTED_VALUE"""),"Oakville, Ontario, Canada
Burlington, Ontario, Canada")</f>
        <v/>
      </c>
      <c r="K21869">
        <f>IFERROR(__xludf.DUMMYFUNCTION("""COMPUTED_VALUE"""),40.12)</f>
        <v/>
      </c>
    </row>
    <row r="21870">
      <c r="J21870">
        <f>IFERROR(__xludf.DUMMYFUNCTION("""COMPUTED_VALUE"""),"Quebec City, Vaudreuil and Montebello, Québec")</f>
        <v/>
      </c>
      <c r="K21870">
        <f>IFERROR(__xludf.DUMMYFUNCTION("""COMPUTED_VALUE"""),40.1)</f>
        <v/>
      </c>
    </row>
    <row r="21871">
      <c r="J21871">
        <f>IFERROR(__xludf.DUMMYFUNCTION("""COMPUTED_VALUE"""),"Vaudreuil, Québec and Ottawa, Ontario")</f>
        <v/>
      </c>
      <c r="K21871">
        <f>IFERROR(__xludf.DUMMYFUNCTION("""COMPUTED_VALUE"""),40.1)</f>
        <v/>
      </c>
    </row>
    <row r="21872">
      <c r="J21872">
        <f>IFERROR(__xludf.DUMMYFUNCTION("""COMPUTED_VALUE"""),"OTTAWA, ONTARIO,CANADA")</f>
        <v/>
      </c>
      <c r="K21872">
        <f>IFERROR(__xludf.DUMMYFUNCTION("""COMPUTED_VALUE"""),40)</f>
        <v/>
      </c>
    </row>
    <row r="21873">
      <c r="J21873">
        <f>IFERROR(__xludf.DUMMYFUNCTION("""COMPUTED_VALUE"""),"Sept-îles, îles-de-la-Madeleine, Quebec")</f>
        <v/>
      </c>
      <c r="K21873">
        <f>IFERROR(__xludf.DUMMYFUNCTION("""COMPUTED_VALUE"""),40)</f>
        <v/>
      </c>
    </row>
    <row r="21874">
      <c r="J21874">
        <f>IFERROR(__xludf.DUMMYFUNCTION("""COMPUTED_VALUE"""),"Chelsea, QC")</f>
        <v/>
      </c>
      <c r="K21874">
        <f>IFERROR(__xludf.DUMMYFUNCTION("""COMPUTED_VALUE"""),39.82)</f>
        <v/>
      </c>
    </row>
    <row r="21875">
      <c r="J21875">
        <f>IFERROR(__xludf.DUMMYFUNCTION("""COMPUTED_VALUE"""),"Local transportation")</f>
        <v/>
      </c>
      <c r="K21875">
        <f>IFERROR(__xludf.DUMMYFUNCTION("""COMPUTED_VALUE"""),39.72)</f>
        <v/>
      </c>
    </row>
    <row r="21876">
      <c r="J21876">
        <f>IFERROR(__xludf.DUMMYFUNCTION("""COMPUTED_VALUE"""),"Pierrefonds, Quebec, Canada")</f>
        <v/>
      </c>
      <c r="K21876">
        <f>IFERROR(__xludf.DUMMYFUNCTION("""COMPUTED_VALUE"""),39.45)</f>
        <v/>
      </c>
    </row>
    <row r="21877">
      <c r="J21877">
        <f>IFERROR(__xludf.DUMMYFUNCTION("""COMPUTED_VALUE"""),"Ottawa / New York")</f>
        <v/>
      </c>
      <c r="K21877">
        <f>IFERROR(__xludf.DUMMYFUNCTION("""COMPUTED_VALUE"""),39.29)</f>
        <v/>
      </c>
    </row>
    <row r="21878">
      <c r="J21878">
        <f>IFERROR(__xludf.DUMMYFUNCTION("""COMPUTED_VALUE"""),"Saint-Félicien")</f>
        <v/>
      </c>
      <c r="K21878">
        <f>IFERROR(__xludf.DUMMYFUNCTION("""COMPUTED_VALUE"""),39.24)</f>
        <v/>
      </c>
    </row>
    <row r="21879">
      <c r="J21879">
        <f>IFERROR(__xludf.DUMMYFUNCTION("""COMPUTED_VALUE"""),"Ottawa - Boucherville - Ottawa")</f>
        <v/>
      </c>
      <c r="K21879">
        <f>IFERROR(__xludf.DUMMYFUNCTION("""COMPUTED_VALUE"""),39.2)</f>
        <v/>
      </c>
    </row>
    <row r="21880">
      <c r="J21880">
        <f>IFERROR(__xludf.DUMMYFUNCTION("""COMPUTED_VALUE"""),"Shippagan, New Brunswick, Canada")</f>
        <v/>
      </c>
      <c r="K21880">
        <f>IFERROR(__xludf.DUMMYFUNCTION("""COMPUTED_VALUE"""),39.1)</f>
        <v/>
      </c>
    </row>
    <row r="21881">
      <c r="J21881">
        <f>IFERROR(__xludf.DUMMYFUNCTION("""COMPUTED_VALUE"""),"Vancouver, Port Coquitlam, Port Moody")</f>
        <v/>
      </c>
      <c r="K21881">
        <f>IFERROR(__xludf.DUMMYFUNCTION("""COMPUTED_VALUE"""),39.06)</f>
        <v/>
      </c>
    </row>
    <row r="21882">
      <c r="J21882">
        <f>IFERROR(__xludf.DUMMYFUNCTION("""COMPUTED_VALUE"""),"Leduc, Alberta")</f>
        <v/>
      </c>
      <c r="K21882">
        <f>IFERROR(__xludf.DUMMYFUNCTION("""COMPUTED_VALUE"""),38.82)</f>
        <v/>
      </c>
    </row>
    <row r="21883">
      <c r="J21883">
        <f>IFERROR(__xludf.DUMMYFUNCTION("""COMPUTED_VALUE"""),"Sherwood Cemetery, PE")</f>
        <v/>
      </c>
      <c r="K21883">
        <f>IFERROR(__xludf.DUMMYFUNCTION("""COMPUTED_VALUE"""),38.69)</f>
        <v/>
      </c>
    </row>
    <row r="21884">
      <c r="J21884">
        <f>IFERROR(__xludf.DUMMYFUNCTION("""COMPUTED_VALUE"""),"Trois-Rivieres")</f>
        <v/>
      </c>
      <c r="K21884">
        <f>IFERROR(__xludf.DUMMYFUNCTION("""COMPUTED_VALUE"""),38.65)</f>
        <v/>
      </c>
    </row>
    <row r="21885">
      <c r="J21885">
        <f>IFERROR(__xludf.DUMMYFUNCTION("""COMPUTED_VALUE"""),"Fall River, Nova Scotia, Canada")</f>
        <v/>
      </c>
      <c r="K21885">
        <f>IFERROR(__xludf.DUMMYFUNCTION("""COMPUTED_VALUE"""),38.57)</f>
        <v/>
      </c>
    </row>
    <row r="21886">
      <c r="J21886">
        <f>IFERROR(__xludf.DUMMYFUNCTION("""COMPUTED_VALUE"""),"1341 G Street, NW/residence")</f>
        <v/>
      </c>
      <c r="K21886">
        <f>IFERROR(__xludf.DUMMYFUNCTION("""COMPUTED_VALUE"""),38.35)</f>
        <v/>
      </c>
    </row>
    <row r="21887">
      <c r="J21887">
        <f>IFERROR(__xludf.DUMMYFUNCTION("""COMPUTED_VALUE"""),"Clarence-Rockland, Ontario, Canada")</f>
        <v/>
      </c>
      <c r="K21887">
        <f>IFERROR(__xludf.DUMMYFUNCTION("""COMPUTED_VALUE"""),38.35)</f>
        <v/>
      </c>
    </row>
    <row r="21888">
      <c r="J21888">
        <f>IFERROR(__xludf.DUMMYFUNCTION("""COMPUTED_VALUE"""),"Baie-James")</f>
        <v/>
      </c>
      <c r="K21888">
        <f>IFERROR(__xludf.DUMMYFUNCTION("""COMPUTED_VALUE"""),38)</f>
        <v/>
      </c>
    </row>
    <row r="21889">
      <c r="J21889">
        <f>IFERROR(__xludf.DUMMYFUNCTION("""COMPUTED_VALUE"""),"Jamieson Community Correctional Centre in Dartmouth, Nova Scotia, Canada")</f>
        <v/>
      </c>
      <c r="K21889">
        <f>IFERROR(__xludf.DUMMYFUNCTION("""COMPUTED_VALUE"""),37.93)</f>
        <v/>
      </c>
    </row>
    <row r="21890">
      <c r="J21890">
        <f>IFERROR(__xludf.DUMMYFUNCTION("""COMPUTED_VALUE"""),"Saint-François-de-Sales")</f>
        <v/>
      </c>
      <c r="K21890">
        <f>IFERROR(__xludf.DUMMYFUNCTION("""COMPUTED_VALUE"""),37.74)</f>
        <v/>
      </c>
    </row>
    <row r="21891">
      <c r="J21891">
        <f>IFERROR(__xludf.DUMMYFUNCTION("""COMPUTED_VALUE"""),"Quebec, Qc, Can")</f>
        <v/>
      </c>
      <c r="K21891">
        <f>IFERROR(__xludf.DUMMYFUNCTION("""COMPUTED_VALUE"""),37.63)</f>
        <v/>
      </c>
    </row>
    <row r="21892">
      <c r="J21892">
        <f>IFERROR(__xludf.DUMMYFUNCTION("""COMPUTED_VALUE"""),"New Westminster, BC")</f>
        <v/>
      </c>
      <c r="K21892">
        <f>IFERROR(__xludf.DUMMYFUNCTION("""COMPUTED_VALUE"""),37.62)</f>
        <v/>
      </c>
    </row>
    <row r="21893">
      <c r="J21893">
        <f>IFERROR(__xludf.DUMMYFUNCTION("""COMPUTED_VALUE"""),"Peterborough, ON / Toronto, ON")</f>
        <v/>
      </c>
      <c r="K21893">
        <f>IFERROR(__xludf.DUMMYFUNCTION("""COMPUTED_VALUE"""),37.2)</f>
        <v/>
      </c>
    </row>
    <row r="21894">
      <c r="J21894">
        <f>IFERROR(__xludf.DUMMYFUNCTION("""COMPUTED_VALUE"""),"to residence")</f>
        <v/>
      </c>
      <c r="K21894">
        <f>IFERROR(__xludf.DUMMYFUNCTION("""COMPUTED_VALUE"""),36.75)</f>
        <v/>
      </c>
    </row>
    <row r="21895">
      <c r="J21895">
        <f>IFERROR(__xludf.DUMMYFUNCTION("""COMPUTED_VALUE"""),"N/A, N/A, N/A")</f>
        <v/>
      </c>
      <c r="K21895">
        <f>IFERROR(__xludf.DUMMYFUNCTION("""COMPUTED_VALUE"""),36.5)</f>
        <v/>
      </c>
    </row>
    <row r="21896">
      <c r="J21896">
        <f>IFERROR(__xludf.DUMMYFUNCTION("""COMPUTED_VALUE"""),"Ottawa, ON and Montreal, Qc.")</f>
        <v/>
      </c>
      <c r="K21896">
        <f>IFERROR(__xludf.DUMMYFUNCTION("""COMPUTED_VALUE"""),36.5)</f>
        <v/>
      </c>
    </row>
    <row r="21897">
      <c r="J21897">
        <f>IFERROR(__xludf.DUMMYFUNCTION("""COMPUTED_VALUE"""),"Winnipeg,Canada")</f>
        <v/>
      </c>
      <c r="K21897">
        <f>IFERROR(__xludf.DUMMYFUNCTION("""COMPUTED_VALUE"""),36.37)</f>
        <v/>
      </c>
    </row>
    <row r="21898">
      <c r="J21898">
        <f>IFERROR(__xludf.DUMMYFUNCTION("""COMPUTED_VALUE"""),"Windsor / London, ON")</f>
        <v/>
      </c>
      <c r="K21898">
        <f>IFERROR(__xludf.DUMMYFUNCTION("""COMPUTED_VALUE"""),36.3)</f>
        <v/>
      </c>
    </row>
    <row r="21899">
      <c r="J21899">
        <f>IFERROR(__xludf.DUMMYFUNCTION("""COMPUTED_VALUE"""),"Vancouver, Richmond")</f>
        <v/>
      </c>
      <c r="K21899">
        <f>IFERROR(__xludf.DUMMYFUNCTION("""COMPUTED_VALUE"""),36.26)</f>
        <v/>
      </c>
    </row>
    <row r="21900">
      <c r="J21900">
        <f>IFERROR(__xludf.DUMMYFUNCTION("""COMPUTED_VALUE"""),"Burnaby, Port Moody, Coquitlam")</f>
        <v/>
      </c>
      <c r="K21900">
        <f>IFERROR(__xludf.DUMMYFUNCTION("""COMPUTED_VALUE"""),36.11)</f>
        <v/>
      </c>
    </row>
    <row r="21901">
      <c r="J21901">
        <f>IFERROR(__xludf.DUMMYFUNCTION("""COMPUTED_VALUE"""),"Oranit")</f>
        <v/>
      </c>
      <c r="K21901">
        <f>IFERROR(__xludf.DUMMYFUNCTION("""COMPUTED_VALUE"""),36)</f>
        <v/>
      </c>
    </row>
    <row r="21902">
      <c r="J21902">
        <f>IFERROR(__xludf.DUMMYFUNCTION("""COMPUTED_VALUE"""),"Vancouver, British Columbia.")</f>
        <v/>
      </c>
      <c r="K21902">
        <f>IFERROR(__xludf.DUMMYFUNCTION("""COMPUTED_VALUE"""),36)</f>
        <v/>
      </c>
    </row>
    <row r="21903">
      <c r="J21903">
        <f>IFERROR(__xludf.DUMMYFUNCTION("""COMPUTED_VALUE"""),"Shippegan, New-Brunswick")</f>
        <v/>
      </c>
      <c r="K21903">
        <f>IFERROR(__xludf.DUMMYFUNCTION("""COMPUTED_VALUE"""),35.8)</f>
        <v/>
      </c>
    </row>
    <row r="21904">
      <c r="J21904">
        <f>IFERROR(__xludf.DUMMYFUNCTION("""COMPUTED_VALUE"""),"Montréal - Ottawa")</f>
        <v/>
      </c>
      <c r="K21904">
        <f>IFERROR(__xludf.DUMMYFUNCTION("""COMPUTED_VALUE"""),35.32)</f>
        <v/>
      </c>
    </row>
    <row r="21905">
      <c r="J21905">
        <f>IFERROR(__xludf.DUMMYFUNCTION("""COMPUTED_VALUE"""),"St.Hubert, QC")</f>
        <v/>
      </c>
      <c r="K21905">
        <f>IFERROR(__xludf.DUMMYFUNCTION("""COMPUTED_VALUE"""),35.2)</f>
        <v/>
      </c>
    </row>
    <row r="21906">
      <c r="J21906">
        <f>IFERROR(__xludf.DUMMYFUNCTION("""COMPUTED_VALUE"""),"Vancouver, Victoria, British-Colombia, Canada")</f>
        <v/>
      </c>
      <c r="K21906">
        <f>IFERROR(__xludf.DUMMYFUNCTION("""COMPUTED_VALUE"""),35.2)</f>
        <v/>
      </c>
    </row>
    <row r="21907">
      <c r="J21907">
        <f>IFERROR(__xludf.DUMMYFUNCTION("""COMPUTED_VALUE"""),"Jeanne Mance Building 200 Eglantine Driveway, Ottawa")</f>
        <v/>
      </c>
      <c r="K21907">
        <f>IFERROR(__xludf.DUMMYFUNCTION("""COMPUTED_VALUE"""),35.04)</f>
        <v/>
      </c>
    </row>
    <row r="21908">
      <c r="J21908">
        <f>IFERROR(__xludf.DUMMYFUNCTION("""COMPUTED_VALUE"""),"Calabogie, 
Ontario")</f>
        <v/>
      </c>
      <c r="K21908">
        <f>IFERROR(__xludf.DUMMYFUNCTION("""COMPUTED_VALUE"""),35)</f>
        <v/>
      </c>
    </row>
    <row r="21909">
      <c r="J21909">
        <f>IFERROR(__xludf.DUMMYFUNCTION("""COMPUTED_VALUE"""),"Nisku, Alberta")</f>
        <v/>
      </c>
      <c r="K21909">
        <f>IFERROR(__xludf.DUMMYFUNCTION("""COMPUTED_VALUE"""),34.92)</f>
        <v/>
      </c>
    </row>
    <row r="21910">
      <c r="J21910">
        <f>IFERROR(__xludf.DUMMYFUNCTION("""COMPUTED_VALUE"""),"Surrey,
British Columbia, Canada")</f>
        <v/>
      </c>
      <c r="K21910">
        <f>IFERROR(__xludf.DUMMYFUNCTION("""COMPUTED_VALUE"""),34.9)</f>
        <v/>
      </c>
    </row>
    <row r="21911">
      <c r="J21911">
        <f>IFERROR(__xludf.DUMMYFUNCTION("""COMPUTED_VALUE"""),"Guelph, ON / Peterborough, ON")</f>
        <v/>
      </c>
      <c r="K21911">
        <f>IFERROR(__xludf.DUMMYFUNCTION("""COMPUTED_VALUE"""),34.8)</f>
        <v/>
      </c>
    </row>
    <row r="21912">
      <c r="J21912">
        <f>IFERROR(__xludf.DUMMYFUNCTION("""COMPUTED_VALUE"""),"Prince Edward Island, Canada; Nova Scotia, Canada")</f>
        <v/>
      </c>
      <c r="K21912">
        <f>IFERROR(__xludf.DUMMYFUNCTION("""COMPUTED_VALUE"""),34.8)</f>
        <v/>
      </c>
    </row>
    <row r="21913">
      <c r="J21913">
        <f>IFERROR(__xludf.DUMMYFUNCTION("""COMPUTED_VALUE"""),"Canadian Forces Base Borden, Ontario,Canada")</f>
        <v/>
      </c>
      <c r="K21913">
        <f>IFERROR(__xludf.DUMMYFUNCTION("""COMPUTED_VALUE"""),34.6)</f>
        <v/>
      </c>
    </row>
    <row r="21914">
      <c r="J21914">
        <f>IFERROR(__xludf.DUMMYFUNCTION("""COMPUTED_VALUE"""),"Hamilton - Petawawa, ON")</f>
        <v/>
      </c>
      <c r="K21914">
        <f>IFERROR(__xludf.DUMMYFUNCTION("""COMPUTED_VALUE"""),34.6)</f>
        <v/>
      </c>
    </row>
    <row r="21915">
      <c r="J21915">
        <f>IFERROR(__xludf.DUMMYFUNCTION("""COMPUTED_VALUE"""),"Métis Crossing, Alberta, Canada")</f>
        <v/>
      </c>
      <c r="K21915">
        <f>IFERROR(__xludf.DUMMYFUNCTION("""COMPUTED_VALUE"""),34.6)</f>
        <v/>
      </c>
    </row>
    <row r="21916">
      <c r="J21916">
        <f>IFERROR(__xludf.DUMMYFUNCTION("""COMPUTED_VALUE"""),"Sept 2 - Jerusalem")</f>
        <v/>
      </c>
      <c r="K21916">
        <f>IFERROR(__xludf.DUMMYFUNCTION("""COMPUTED_VALUE"""),34.51)</f>
        <v/>
      </c>
    </row>
    <row r="21917">
      <c r="J21917">
        <f>IFERROR(__xludf.DUMMYFUNCTION("""COMPUTED_VALUE"""),"1 Elgin St, Ottawa, ON")</f>
        <v/>
      </c>
      <c r="K21917">
        <f>IFERROR(__xludf.DUMMYFUNCTION("""COMPUTED_VALUE"""),34.34)</f>
        <v/>
      </c>
    </row>
    <row r="21918">
      <c r="J21918">
        <f>IFERROR(__xludf.DUMMYFUNCTION("""COMPUTED_VALUE"""),"Victoria, BC/Regina, Sask/Yellowknife, NWT")</f>
        <v/>
      </c>
      <c r="K21918">
        <f>IFERROR(__xludf.DUMMYFUNCTION("""COMPUTED_VALUE"""),34.33)</f>
        <v/>
      </c>
    </row>
    <row r="21919">
      <c r="J21919">
        <f>IFERROR(__xludf.DUMMYFUNCTION("""COMPUTED_VALUE"""),"Ottawa, Ontario, Caanda")</f>
        <v/>
      </c>
      <c r="K21919">
        <f>IFERROR(__xludf.DUMMYFUNCTION("""COMPUTED_VALUE"""),34)</f>
        <v/>
      </c>
    </row>
    <row r="21920">
      <c r="J21920">
        <f>IFERROR(__xludf.DUMMYFUNCTION("""COMPUTED_VALUE"""),"Wales")</f>
        <v/>
      </c>
      <c r="K21920">
        <f>IFERROR(__xludf.DUMMYFUNCTION("""COMPUTED_VALUE"""),33.67)</f>
        <v/>
      </c>
    </row>
    <row r="21921">
      <c r="J21921">
        <f>IFERROR(__xludf.DUMMYFUNCTION("""COMPUTED_VALUE"""),"Orlando, Fl")</f>
        <v/>
      </c>
      <c r="K21921">
        <f>IFERROR(__xludf.DUMMYFUNCTION("""COMPUTED_VALUE"""),33.62)</f>
        <v/>
      </c>
    </row>
    <row r="21922">
      <c r="J21922">
        <f>IFERROR(__xludf.DUMMYFUNCTION("""COMPUTED_VALUE"""),"Winnipeg, Rosser")</f>
        <v/>
      </c>
      <c r="K21922">
        <f>IFERROR(__xludf.DUMMYFUNCTION("""COMPUTED_VALUE"""),33.45)</f>
        <v/>
      </c>
    </row>
    <row r="21923">
      <c r="J21923">
        <f>IFERROR(__xludf.DUMMYFUNCTION("""COMPUTED_VALUE"""),"Victoria, Prince Edward Island")</f>
        <v/>
      </c>
      <c r="K21923">
        <f>IFERROR(__xludf.DUMMYFUNCTION("""COMPUTED_VALUE"""),33.37)</f>
        <v/>
      </c>
    </row>
    <row r="21924">
      <c r="J21924">
        <f>IFERROR(__xludf.DUMMYFUNCTION("""COMPUTED_VALUE"""),"Winnipeg, Manitoba, Canada; Selkirk, Manitoba, Canada")</f>
        <v/>
      </c>
      <c r="K21924">
        <f>IFERROR(__xludf.DUMMYFUNCTION("""COMPUTED_VALUE"""),33.26)</f>
        <v/>
      </c>
    </row>
    <row r="21925">
      <c r="J21925">
        <f>IFERROR(__xludf.DUMMYFUNCTION("""COMPUTED_VALUE"""),"Brossard, QC")</f>
        <v/>
      </c>
      <c r="K21925">
        <f>IFERROR(__xludf.DUMMYFUNCTION("""COMPUTED_VALUE"""),33.2)</f>
        <v/>
      </c>
    </row>
    <row r="21926">
      <c r="J21926">
        <f>IFERROR(__xludf.DUMMYFUNCTION("""COMPUTED_VALUE"""),"Montreal,Quebec")</f>
        <v/>
      </c>
      <c r="K21926">
        <f>IFERROR(__xludf.DUMMYFUNCTION("""COMPUTED_VALUE"""),32.6)</f>
        <v/>
      </c>
    </row>
    <row r="21927">
      <c r="J21927">
        <f>IFERROR(__xludf.DUMMYFUNCTION("""COMPUTED_VALUE"""),"Ottawa, Ontario Via train Bus. Pack 10 tickets return")</f>
        <v/>
      </c>
      <c r="K21927">
        <f>IFERROR(__xludf.DUMMYFUNCTION("""COMPUTED_VALUE"""),31.99)</f>
        <v/>
      </c>
    </row>
    <row r="21928">
      <c r="J21928">
        <f>IFERROR(__xludf.DUMMYFUNCTION("""COMPUTED_VALUE"""),"Desbiens")</f>
        <v/>
      </c>
      <c r="K21928">
        <f>IFERROR(__xludf.DUMMYFUNCTION("""COMPUTED_VALUE"""),31.92)</f>
        <v/>
      </c>
    </row>
    <row r="21929">
      <c r="J21929">
        <f>IFERROR(__xludf.DUMMYFUNCTION("""COMPUTED_VALUE"""),"Richmond, Ontario, Canada")</f>
        <v/>
      </c>
      <c r="K21929">
        <f>IFERROR(__xludf.DUMMYFUNCTION("""COMPUTED_VALUE"""),31.9)</f>
        <v/>
      </c>
    </row>
    <row r="21930">
      <c r="J21930">
        <f>IFERROR(__xludf.DUMMYFUNCTION("""COMPUTED_VALUE"""),"State Department")</f>
        <v/>
      </c>
      <c r="K21930">
        <f>IFERROR(__xludf.DUMMYFUNCTION("""COMPUTED_VALUE"""),31.64)</f>
        <v/>
      </c>
    </row>
    <row r="21931">
      <c r="J21931">
        <f>IFERROR(__xludf.DUMMYFUNCTION("""COMPUTED_VALUE"""),"Gloucester, On")</f>
        <v/>
      </c>
      <c r="K21931">
        <f>IFERROR(__xludf.DUMMYFUNCTION("""COMPUTED_VALUE"""),31.6)</f>
        <v/>
      </c>
    </row>
    <row r="21932">
      <c r="J21932">
        <f>IFERROR(__xludf.DUMMYFUNCTION("""COMPUTED_VALUE"""),"The Netherlands, Various locations")</f>
        <v/>
      </c>
      <c r="K21932">
        <f>IFERROR(__xludf.DUMMYFUNCTION("""COMPUTED_VALUE"""),31.5)</f>
        <v/>
      </c>
    </row>
    <row r="21933">
      <c r="J21933">
        <f>IFERROR(__xludf.DUMMYFUNCTION("""COMPUTED_VALUE"""),"St. Hilaire, Quebec, Canada")</f>
        <v/>
      </c>
      <c r="K21933">
        <f>IFERROR(__xludf.DUMMYFUNCTION("""COMPUTED_VALUE"""),31.46)</f>
        <v/>
      </c>
    </row>
    <row r="21934">
      <c r="J21934">
        <f>IFERROR(__xludf.DUMMYFUNCTION("""COMPUTED_VALUE"""),"Sherbrooke, QC - Varennes, QC")</f>
        <v/>
      </c>
      <c r="K21934">
        <f>IFERROR(__xludf.DUMMYFUNCTION("""COMPUTED_VALUE"""),31.2)</f>
        <v/>
      </c>
    </row>
    <row r="21935">
      <c r="J21935">
        <f>IFERROR(__xludf.DUMMYFUNCTION("""COMPUTED_VALUE"""),"Burnaby, North Vancouver")</f>
        <v/>
      </c>
      <c r="K21935">
        <f>IFERROR(__xludf.DUMMYFUNCTION("""COMPUTED_VALUE"""),31.11)</f>
        <v/>
      </c>
    </row>
    <row r="21936">
      <c r="J21936">
        <f>IFERROR(__xludf.DUMMYFUNCTION("""COMPUTED_VALUE"""),"Matane, Quebec, Moncton, New Brunswick and Charlo, New Brunswick")</f>
        <v/>
      </c>
      <c r="K21936">
        <f>IFERROR(__xludf.DUMMYFUNCTION("""COMPUTED_VALUE"""),31)</f>
        <v/>
      </c>
    </row>
    <row r="21937">
      <c r="J21937">
        <f>IFERROR(__xludf.DUMMYFUNCTION("""COMPUTED_VALUE"""),"Melbourne, Australia (Cancelled - Visa only)")</f>
        <v/>
      </c>
      <c r="K21937">
        <f>IFERROR(__xludf.DUMMYFUNCTION("""COMPUTED_VALUE"""),30.84)</f>
        <v/>
      </c>
    </row>
    <row r="21938">
      <c r="J21938">
        <f>IFERROR(__xludf.DUMMYFUNCTION("""COMPUTED_VALUE"""),"Porters Lake, Nova Scotia")</f>
        <v/>
      </c>
      <c r="K21938">
        <f>IFERROR(__xludf.DUMMYFUNCTION("""COMPUTED_VALUE"""),30.8)</f>
        <v/>
      </c>
    </row>
    <row r="21939">
      <c r="J21939">
        <f>IFERROR(__xludf.DUMMYFUNCTION("""COMPUTED_VALUE"""),"Desbiens, Roberval")</f>
        <v/>
      </c>
      <c r="K21939">
        <f>IFERROR(__xludf.DUMMYFUNCTION("""COMPUTED_VALUE"""),30.78)</f>
        <v/>
      </c>
    </row>
    <row r="21940">
      <c r="J21940">
        <f>IFERROR(__xludf.DUMMYFUNCTION("""COMPUTED_VALUE"""),"Saint-Sauveur")</f>
        <v/>
      </c>
      <c r="K21940">
        <f>IFERROR(__xludf.DUMMYFUNCTION("""COMPUTED_VALUE"""),30.75)</f>
        <v/>
      </c>
    </row>
    <row r="21941">
      <c r="J21941">
        <f>IFERROR(__xludf.DUMMYFUNCTION("""COMPUTED_VALUE"""),"Levis-Bellechasse")</f>
        <v/>
      </c>
      <c r="K21941">
        <f>IFERROR(__xludf.DUMMYFUNCTION("""COMPUTED_VALUE"""),30.5)</f>
        <v/>
      </c>
    </row>
    <row r="21942">
      <c r="J21942">
        <f>IFERROR(__xludf.DUMMYFUNCTION("""COMPUTED_VALUE"""),"Ottawa - Levis - Ottawa")</f>
        <v/>
      </c>
      <c r="K21942">
        <f>IFERROR(__xludf.DUMMYFUNCTION("""COMPUTED_VALUE"""),30.45)</f>
        <v/>
      </c>
    </row>
    <row r="21943">
      <c r="J21943">
        <f>IFERROR(__xludf.DUMMYFUNCTION("""COMPUTED_VALUE"""),"4237 Wisconsin Ave NW")</f>
        <v/>
      </c>
      <c r="K21943">
        <f>IFERROR(__xludf.DUMMYFUNCTION("""COMPUTED_VALUE"""),30.37)</f>
        <v/>
      </c>
    </row>
    <row r="21944">
      <c r="J21944">
        <f>IFERROR(__xludf.DUMMYFUNCTION("""COMPUTED_VALUE"""),"Chibougamau, Bécancour")</f>
        <v/>
      </c>
      <c r="K21944">
        <f>IFERROR(__xludf.DUMMYFUNCTION("""COMPUTED_VALUE"""),30.28)</f>
        <v/>
      </c>
    </row>
    <row r="21945">
      <c r="J21945">
        <f>IFERROR(__xludf.DUMMYFUNCTION("""COMPUTED_VALUE"""),"residence")</f>
        <v/>
      </c>
      <c r="K21945">
        <f>IFERROR(__xludf.DUMMYFUNCTION("""COMPUTED_VALUE"""),30.2599999999999)</f>
        <v/>
      </c>
    </row>
    <row r="21946">
      <c r="J21946">
        <f>IFERROR(__xludf.DUMMYFUNCTION("""COMPUTED_VALUE"""),"Ottawa, Ontario / Gatineau, Quebec")</f>
        <v/>
      </c>
      <c r="K21946">
        <f>IFERROR(__xludf.DUMMYFUNCTION("""COMPUTED_VALUE"""),30.25)</f>
        <v/>
      </c>
    </row>
    <row r="21947">
      <c r="J21947">
        <f>IFERROR(__xludf.DUMMYFUNCTION("""COMPUTED_VALUE"""),"Longueuil, Quebec, Canada; Sorel, Quebec, Canada")</f>
        <v/>
      </c>
      <c r="K21947">
        <f>IFERROR(__xludf.DUMMYFUNCTION("""COMPUTED_VALUE"""),30.05)</f>
        <v/>
      </c>
    </row>
    <row r="21948">
      <c r="J21948">
        <f>IFERROR(__xludf.DUMMYFUNCTION("""COMPUTED_VALUE"""),"Gatineau, Québec , Canada")</f>
        <v/>
      </c>
      <c r="K21948">
        <f>IFERROR(__xludf.DUMMYFUNCTION("""COMPUTED_VALUE"""),30)</f>
        <v/>
      </c>
    </row>
    <row r="21949">
      <c r="J21949">
        <f>IFERROR(__xludf.DUMMYFUNCTION("""COMPUTED_VALUE"""),"Beloil, Quebec, Canada")</f>
        <v/>
      </c>
      <c r="K21949">
        <f>IFERROR(__xludf.DUMMYFUNCTION("""COMPUTED_VALUE"""),29.89)</f>
        <v/>
      </c>
    </row>
    <row r="21950">
      <c r="J21950">
        <f>IFERROR(__xludf.DUMMYFUNCTION("""COMPUTED_VALUE"""),"Château Laurier, Ottawa")</f>
        <v/>
      </c>
      <c r="K21950">
        <f>IFERROR(__xludf.DUMMYFUNCTION("""COMPUTED_VALUE"""),29.75)</f>
        <v/>
      </c>
    </row>
    <row r="21951">
      <c r="J21951">
        <f>IFERROR(__xludf.DUMMYFUNCTION("""COMPUTED_VALUE"""),"Deroche, British Columbia, Canada")</f>
        <v/>
      </c>
      <c r="K21951">
        <f>IFERROR(__xludf.DUMMYFUNCTION("""COMPUTED_VALUE"""),29.6)</f>
        <v/>
      </c>
    </row>
    <row r="21952">
      <c r="J21952">
        <f>IFERROR(__xludf.DUMMYFUNCTION("""COMPUTED_VALUE"""),"Harrison Mills, British Columbia, Canada")</f>
        <v/>
      </c>
      <c r="K21952">
        <f>IFERROR(__xludf.DUMMYFUNCTION("""COMPUTED_VALUE"""),29.6)</f>
        <v/>
      </c>
    </row>
    <row r="21953">
      <c r="J21953">
        <f>IFERROR(__xludf.DUMMYFUNCTION("""COMPUTED_VALUE"""),"Rigaud, QC, CAD")</f>
        <v/>
      </c>
      <c r="K21953">
        <f>IFERROR(__xludf.DUMMYFUNCTION("""COMPUTED_VALUE"""),29.6)</f>
        <v/>
      </c>
    </row>
    <row r="21954">
      <c r="J21954">
        <f>IFERROR(__xludf.DUMMYFUNCTION("""COMPUTED_VALUE"""),"St.John's, NL; Montreal, QC")</f>
        <v/>
      </c>
      <c r="K21954">
        <f>IFERROR(__xludf.DUMMYFUNCTION("""COMPUTED_VALUE"""),29.34)</f>
        <v/>
      </c>
    </row>
    <row r="21955">
      <c r="J21955">
        <f>IFERROR(__xludf.DUMMYFUNCTION("""COMPUTED_VALUE"""),"Coldbrook, Nova Scotia")</f>
        <v/>
      </c>
      <c r="K21955">
        <f>IFERROR(__xludf.DUMMYFUNCTION("""COMPUTED_VALUE"""),29.12)</f>
        <v/>
      </c>
    </row>
    <row r="21956">
      <c r="J21956">
        <f>IFERROR(__xludf.DUMMYFUNCTION("""COMPUTED_VALUE"""),"Hinton, Alberta")</f>
        <v/>
      </c>
      <c r="K21956">
        <f>IFERROR(__xludf.DUMMYFUNCTION("""COMPUTED_VALUE"""),29.06)</f>
        <v/>
      </c>
    </row>
    <row r="21957">
      <c r="J21957">
        <f>IFERROR(__xludf.DUMMYFUNCTION("""COMPUTED_VALUE"""),"Toronto (ON) Canada")</f>
        <v/>
      </c>
      <c r="K21957">
        <f>IFERROR(__xludf.DUMMYFUNCTION("""COMPUTED_VALUE"""),29.04)</f>
        <v/>
      </c>
    </row>
    <row r="21958">
      <c r="J21958">
        <f>IFERROR(__xludf.DUMMYFUNCTION("""COMPUTED_VALUE"""),"Châteauguay, Quebec")</f>
        <v/>
      </c>
      <c r="K21958">
        <f>IFERROR(__xludf.DUMMYFUNCTION("""COMPUTED_VALUE"""),28.84)</f>
        <v/>
      </c>
    </row>
    <row r="21959">
      <c r="J21959">
        <f>IFERROR(__xludf.DUMMYFUNCTION("""COMPUTED_VALUE"""),"Montreal, Quebec, Ontario")</f>
        <v/>
      </c>
      <c r="K21959">
        <f>IFERROR(__xludf.DUMMYFUNCTION("""COMPUTED_VALUE"""),28.32)</f>
        <v/>
      </c>
    </row>
    <row r="21960">
      <c r="J21960">
        <f>IFERROR(__xludf.DUMMYFUNCTION("""COMPUTED_VALUE"""),"Las Vegas (Nevada) United States")</f>
        <v/>
      </c>
      <c r="K21960">
        <f>IFERROR(__xludf.DUMMYFUNCTION("""COMPUTED_VALUE"""),28.25)</f>
        <v/>
      </c>
    </row>
    <row r="21961">
      <c r="J21961">
        <f>IFERROR(__xludf.DUMMYFUNCTION("""COMPUTED_VALUE"""),"1 Donald St. Ottawa")</f>
        <v/>
      </c>
      <c r="K21961">
        <f>IFERROR(__xludf.DUMMYFUNCTION("""COMPUTED_VALUE"""),28.14)</f>
        <v/>
      </c>
    </row>
    <row r="21962">
      <c r="J21962">
        <f>IFERROR(__xludf.DUMMYFUNCTION("""COMPUTED_VALUE"""),"Gatineau, Quebec / Ottawa, Ontario, Canada")</f>
        <v/>
      </c>
      <c r="K21962">
        <f>IFERROR(__xludf.DUMMYFUNCTION("""COMPUTED_VALUE"""),28)</f>
        <v/>
      </c>
    </row>
    <row r="21963">
      <c r="J21963">
        <f>IFERROR(__xludf.DUMMYFUNCTION("""COMPUTED_VALUE"""),"National capital Region")</f>
        <v/>
      </c>
      <c r="K21963">
        <f>IFERROR(__xludf.DUMMYFUNCTION("""COMPUTED_VALUE"""),28)</f>
        <v/>
      </c>
    </row>
    <row r="21964">
      <c r="J21964">
        <f>IFERROR(__xludf.DUMMYFUNCTION("""COMPUTED_VALUE"""),"Sainte-Anne-de-Bellevue (Québec) Canada")</f>
        <v/>
      </c>
      <c r="K21964">
        <f>IFERROR(__xludf.DUMMYFUNCTION("""COMPUTED_VALUE"""),28)</f>
        <v/>
      </c>
    </row>
    <row r="21965">
      <c r="J21965">
        <f>IFERROR(__xludf.DUMMYFUNCTION("""COMPUTED_VALUE"""),"Vancouver/Burnaby")</f>
        <v/>
      </c>
      <c r="K21965">
        <f>IFERROR(__xludf.DUMMYFUNCTION("""COMPUTED_VALUE"""),27.91)</f>
        <v/>
      </c>
    </row>
    <row r="21966">
      <c r="J21966">
        <f>IFERROR(__xludf.DUMMYFUNCTION("""COMPUTED_VALUE"""),"Ottawa, on")</f>
        <v/>
      </c>
      <c r="K21966">
        <f>IFERROR(__xludf.DUMMYFUNCTION("""COMPUTED_VALUE"""),27.69)</f>
        <v/>
      </c>
    </row>
    <row r="21967">
      <c r="J21967">
        <f>IFERROR(__xludf.DUMMYFUNCTION("""COMPUTED_VALUE"""),"Varennes")</f>
        <v/>
      </c>
      <c r="K21967">
        <f>IFERROR(__xludf.DUMMYFUNCTION("""COMPUTED_VALUE"""),27.6)</f>
        <v/>
      </c>
    </row>
    <row r="21968">
      <c r="J21968">
        <f>IFERROR(__xludf.DUMMYFUNCTION("""COMPUTED_VALUE"""),"Chipman, New Brunswick")</f>
        <v/>
      </c>
      <c r="K21968">
        <f>IFERROR(__xludf.DUMMYFUNCTION("""COMPUTED_VALUE"""),27.4)</f>
        <v/>
      </c>
    </row>
    <row r="21969">
      <c r="J21969">
        <f>IFERROR(__xludf.DUMMYFUNCTION("""COMPUTED_VALUE"""),"Fortune, Prince Edward Island")</f>
        <v/>
      </c>
      <c r="K21969">
        <f>IFERROR(__xludf.DUMMYFUNCTION("""COMPUTED_VALUE"""),27.4)</f>
        <v/>
      </c>
    </row>
    <row r="21970">
      <c r="J21970">
        <f>IFERROR(__xludf.DUMMYFUNCTION("""COMPUTED_VALUE"""),"St. Jean, Quebec")</f>
        <v/>
      </c>
      <c r="K21970">
        <f>IFERROR(__xludf.DUMMYFUNCTION("""COMPUTED_VALUE"""),27.4)</f>
        <v/>
      </c>
    </row>
    <row r="21971">
      <c r="J21971">
        <f>IFERROR(__xludf.DUMMYFUNCTION("""COMPUTED_VALUE"""),"Red Deer, Alberta Canada")</f>
        <v/>
      </c>
      <c r="K21971">
        <f>IFERROR(__xludf.DUMMYFUNCTION("""COMPUTED_VALUE"""),27)</f>
        <v/>
      </c>
    </row>
    <row r="21972">
      <c r="J21972">
        <f>IFERROR(__xludf.DUMMYFUNCTION("""COMPUTED_VALUE"""),"140 Prom. Du Portage, Gatineau, Qc J8x 4b6, Canada")</f>
        <v/>
      </c>
      <c r="K21972">
        <f>IFERROR(__xludf.DUMMYFUNCTION("""COMPUTED_VALUE"""),26.91)</f>
        <v/>
      </c>
    </row>
    <row r="21973">
      <c r="J21973">
        <f>IFERROR(__xludf.DUMMYFUNCTION("""COMPUTED_VALUE"""),"Acheson, AB")</f>
        <v/>
      </c>
      <c r="K21973">
        <f>IFERROR(__xludf.DUMMYFUNCTION("""COMPUTED_VALUE"""),26.78)</f>
        <v/>
      </c>
    </row>
    <row r="21974">
      <c r="J21974">
        <f>IFERROR(__xludf.DUMMYFUNCTION("""COMPUTED_VALUE"""),"Vancouver, BC, Richmond, BC.")</f>
        <v/>
      </c>
      <c r="K21974">
        <f>IFERROR(__xludf.DUMMYFUNCTION("""COMPUTED_VALUE"""),26.73)</f>
        <v/>
      </c>
    </row>
    <row r="21975">
      <c r="J21975">
        <f>IFERROR(__xludf.DUMMYFUNCTION("""COMPUTED_VALUE"""),"London, Ontario / Ingersoll, Ontario")</f>
        <v/>
      </c>
      <c r="K21975">
        <f>IFERROR(__xludf.DUMMYFUNCTION("""COMPUTED_VALUE"""),26.57)</f>
        <v/>
      </c>
    </row>
    <row r="21976">
      <c r="J21976">
        <f>IFERROR(__xludf.DUMMYFUNCTION("""COMPUTED_VALUE"""),"Gatineau and Québec")</f>
        <v/>
      </c>
      <c r="K21976">
        <f>IFERROR(__xludf.DUMMYFUNCTION("""COMPUTED_VALUE"""),26.56)</f>
        <v/>
      </c>
    </row>
    <row r="21977">
      <c r="J21977">
        <f>IFERROR(__xludf.DUMMYFUNCTION("""COMPUTED_VALUE"""),"3401 Mass Ave NW (return)")</f>
        <v/>
      </c>
      <c r="K21977">
        <f>IFERROR(__xludf.DUMMYFUNCTION("""COMPUTED_VALUE"""),26.53)</f>
        <v/>
      </c>
    </row>
    <row r="21978">
      <c r="J21978">
        <f>IFERROR(__xludf.DUMMYFUNCTION("""COMPUTED_VALUE"""),"188 Bank St, Ottawa, ON")</f>
        <v/>
      </c>
      <c r="K21978">
        <f>IFERROR(__xludf.DUMMYFUNCTION("""COMPUTED_VALUE"""),26.43)</f>
        <v/>
      </c>
    </row>
    <row r="21979">
      <c r="J21979">
        <f>IFERROR(__xludf.DUMMYFUNCTION("""COMPUTED_VALUE"""),"Kennedy Center")</f>
        <v/>
      </c>
      <c r="K21979">
        <f>IFERROR(__xludf.DUMMYFUNCTION("""COMPUTED_VALUE"""),26.3)</f>
        <v/>
      </c>
    </row>
    <row r="21980">
      <c r="J21980">
        <f>IFERROR(__xludf.DUMMYFUNCTION("""COMPUTED_VALUE"""),"Canadian Museum of History, 100 rue Laurier, Gatineau QC")</f>
        <v/>
      </c>
      <c r="K21980">
        <f>IFERROR(__xludf.DUMMYFUNCTION("""COMPUTED_VALUE"""),26)</f>
        <v/>
      </c>
    </row>
    <row r="21981">
      <c r="J21981">
        <f>IFERROR(__xludf.DUMMYFUNCTION("""COMPUTED_VALUE"""),"SCOTCHFORT, PE")</f>
        <v/>
      </c>
      <c r="K21981">
        <f>IFERROR(__xludf.DUMMYFUNCTION("""COMPUTED_VALUE"""),26)</f>
        <v/>
      </c>
    </row>
    <row r="21982">
      <c r="J21982">
        <f>IFERROR(__xludf.DUMMYFUNCTION("""COMPUTED_VALUE"""),"Gatineau &amp; Chelsea, QC")</f>
        <v/>
      </c>
      <c r="K21982">
        <f>IFERROR(__xludf.DUMMYFUNCTION("""COMPUTED_VALUE"""),25.85)</f>
        <v/>
      </c>
    </row>
    <row r="21983">
      <c r="J21983">
        <f>IFERROR(__xludf.DUMMYFUNCTION("""COMPUTED_VALUE"""),"Newport, Vermont")</f>
        <v/>
      </c>
      <c r="K21983">
        <f>IFERROR(__xludf.DUMMYFUNCTION("""COMPUTED_VALUE"""),25.78)</f>
        <v/>
      </c>
    </row>
    <row r="21984">
      <c r="J21984">
        <f>IFERROR(__xludf.DUMMYFUNCTION("""COMPUTED_VALUE"""),"Whitehorse, NT")</f>
        <v/>
      </c>
      <c r="K21984">
        <f>IFERROR(__xludf.DUMMYFUNCTION("""COMPUTED_VALUE"""),25.54)</f>
        <v/>
      </c>
    </row>
    <row r="21985">
      <c r="J21985">
        <f>IFERROR(__xludf.DUMMYFUNCTION("""COMPUTED_VALUE"""),"Various locations in Newfoundland region")</f>
        <v/>
      </c>
      <c r="K21985">
        <f>IFERROR(__xludf.DUMMYFUNCTION("""COMPUTED_VALUE"""),25.44)</f>
        <v/>
      </c>
    </row>
    <row r="21986">
      <c r="J21986">
        <f>IFERROR(__xludf.DUMMYFUNCTION("""COMPUTED_VALUE"""),"Aylmer, Quebec, Canada")</f>
        <v/>
      </c>
      <c r="K21986">
        <f>IFERROR(__xludf.DUMMYFUNCTION("""COMPUTED_VALUE"""),25.37)</f>
        <v/>
      </c>
    </row>
    <row r="21987">
      <c r="J21987">
        <f>IFERROR(__xludf.DUMMYFUNCTION("""COMPUTED_VALUE"""),"Saint-Prime, Ottawa")</f>
        <v/>
      </c>
      <c r="K21987">
        <f>IFERROR(__xludf.DUMMYFUNCTION("""COMPUTED_VALUE"""),25.34)</f>
        <v/>
      </c>
    </row>
    <row r="21988">
      <c r="J21988">
        <f>IFERROR(__xludf.DUMMYFUNCTION("""COMPUTED_VALUE"""),"Hamilton, Ontario, Canada / Peel Region, Ontario, Canada")</f>
        <v/>
      </c>
      <c r="K21988">
        <f>IFERROR(__xludf.DUMMYFUNCTION("""COMPUTED_VALUE"""),25.2)</f>
        <v/>
      </c>
    </row>
    <row r="21989">
      <c r="J21989">
        <f>IFERROR(__xludf.DUMMYFUNCTION("""COMPUTED_VALUE"""),"Laval, Quebec, Canada; 
Montréal, Quebec, Canada;")</f>
        <v/>
      </c>
      <c r="K21989">
        <f>IFERROR(__xludf.DUMMYFUNCTION("""COMPUTED_VALUE"""),25.2)</f>
        <v/>
      </c>
    </row>
    <row r="21990">
      <c r="J21990">
        <f>IFERROR(__xludf.DUMMYFUNCTION("""COMPUTED_VALUE"""),"Mosquito Grizzly Bears Head Lean Man First Nation, Saskatchewan, Canada")</f>
        <v/>
      </c>
      <c r="K21990">
        <f>IFERROR(__xludf.DUMMYFUNCTION("""COMPUTED_VALUE"""),25.2)</f>
        <v/>
      </c>
    </row>
    <row r="21991">
      <c r="J21991">
        <f>IFERROR(__xludf.DUMMYFUNCTION("""COMPUTED_VALUE"""),"Regional Reception CentreSte-Anne-des-Plaines, Quebec, Canada")</f>
        <v/>
      </c>
      <c r="K21991">
        <f>IFERROR(__xludf.DUMMYFUNCTION("""COMPUTED_VALUE"""),25.2)</f>
        <v/>
      </c>
    </row>
    <row r="21992">
      <c r="J21992">
        <f>IFERROR(__xludf.DUMMYFUNCTION("""COMPUTED_VALUE"""),"Saint-Bruno-de-Montarville, Quebec, Canada")</f>
        <v/>
      </c>
      <c r="K21992">
        <f>IFERROR(__xludf.DUMMYFUNCTION("""COMPUTED_VALUE"""),25.2)</f>
        <v/>
      </c>
    </row>
    <row r="21993">
      <c r="J21993">
        <f>IFERROR(__xludf.DUMMYFUNCTION("""COMPUTED_VALUE"""),"Joyceville Barn, Ontario, Canada")</f>
        <v/>
      </c>
      <c r="K21993">
        <f>IFERROR(__xludf.DUMMYFUNCTION("""COMPUTED_VALUE"""),25)</f>
        <v/>
      </c>
    </row>
    <row r="21994">
      <c r="J21994">
        <f>IFERROR(__xludf.DUMMYFUNCTION("""COMPUTED_VALUE"""),"Ottawa, Onatrio, Canada")</f>
        <v/>
      </c>
      <c r="K21994">
        <f>IFERROR(__xludf.DUMMYFUNCTION("""COMPUTED_VALUE"""),25)</f>
        <v/>
      </c>
    </row>
    <row r="21995">
      <c r="J21995">
        <f>IFERROR(__xludf.DUMMYFUNCTION("""COMPUTED_VALUE"""),"Williams Lake, (British Columbia)")</f>
        <v/>
      </c>
      <c r="K21995">
        <f>IFERROR(__xludf.DUMMYFUNCTION("""COMPUTED_VALUE"""),25)</f>
        <v/>
      </c>
    </row>
    <row r="21996">
      <c r="J21996">
        <f>IFERROR(__xludf.DUMMYFUNCTION("""COMPUTED_VALUE"""),"Halifax, Noca Scotia, Canada")</f>
        <v/>
      </c>
      <c r="K21996">
        <f>IFERROR(__xludf.DUMMYFUNCTION("""COMPUTED_VALUE"""),24.99)</f>
        <v/>
      </c>
    </row>
    <row r="21997">
      <c r="J21997">
        <f>IFERROR(__xludf.DUMMYFUNCTION("""COMPUTED_VALUE"""),"360 Albert St, Ottawa, ON")</f>
        <v/>
      </c>
      <c r="K21997">
        <f>IFERROR(__xludf.DUMMYFUNCTION("""COMPUTED_VALUE"""),24.93)</f>
        <v/>
      </c>
    </row>
    <row r="21998">
      <c r="J21998">
        <f>IFERROR(__xludf.DUMMYFUNCTION("""COMPUTED_VALUE"""),"Toroton, ON")</f>
        <v/>
      </c>
      <c r="K21998">
        <f>IFERROR(__xludf.DUMMYFUNCTION("""COMPUTED_VALUE"""),24.9)</f>
        <v/>
      </c>
    </row>
    <row r="21999">
      <c r="J21999">
        <f>IFERROR(__xludf.DUMMYFUNCTION("""COMPUTED_VALUE"""),"Coquitlam, Port Moody")</f>
        <v/>
      </c>
      <c r="K21999">
        <f>IFERROR(__xludf.DUMMYFUNCTION("""COMPUTED_VALUE"""),24.8)</f>
        <v/>
      </c>
    </row>
    <row r="22000">
      <c r="J22000">
        <f>IFERROR(__xludf.DUMMYFUNCTION("""COMPUTED_VALUE"""),"Concord, New Hampshire")</f>
        <v/>
      </c>
      <c r="K22000">
        <f>IFERROR(__xludf.DUMMYFUNCTION("""COMPUTED_VALUE"""),24.72)</f>
        <v/>
      </c>
    </row>
    <row r="22001">
      <c r="J22001">
        <f>IFERROR(__xludf.DUMMYFUNCTION("""COMPUTED_VALUE"""),"Granby, Quebec , Canada")</f>
        <v/>
      </c>
      <c r="K22001">
        <f>IFERROR(__xludf.DUMMYFUNCTION("""COMPUTED_VALUE"""),24.65)</f>
        <v/>
      </c>
    </row>
    <row r="22002">
      <c r="J22002">
        <f>IFERROR(__xludf.DUMMYFUNCTION("""COMPUTED_VALUE"""),"Ohsweken and Burlington, Ontario, Canada")</f>
        <v/>
      </c>
      <c r="K22002">
        <f>IFERROR(__xludf.DUMMYFUNCTION("""COMPUTED_VALUE"""),24.65)</f>
        <v/>
      </c>
    </row>
    <row r="22003">
      <c r="J22003">
        <f>IFERROR(__xludf.DUMMYFUNCTION("""COMPUTED_VALUE"""),"Shawinigan, Quebec , Canada")</f>
        <v/>
      </c>
      <c r="K22003">
        <f>IFERROR(__xludf.DUMMYFUNCTION("""COMPUTED_VALUE"""),24.65)</f>
        <v/>
      </c>
    </row>
    <row r="22004">
      <c r="J22004">
        <f>IFERROR(__xludf.DUMMYFUNCTION("""COMPUTED_VALUE"""),"Utopia and Blacks Harbour, New Brunswick")</f>
        <v/>
      </c>
      <c r="K22004">
        <f>IFERROR(__xludf.DUMMYFUNCTION("""COMPUTED_VALUE"""),24.65)</f>
        <v/>
      </c>
    </row>
    <row r="22005">
      <c r="J22005">
        <f>IFERROR(__xludf.DUMMYFUNCTION("""COMPUTED_VALUE"""),"Cultus Lake, British Columbia, Canada")</f>
        <v/>
      </c>
      <c r="K22005">
        <f>IFERROR(__xludf.DUMMYFUNCTION("""COMPUTED_VALUE"""),24.54)</f>
        <v/>
      </c>
    </row>
    <row r="22006">
      <c r="J22006">
        <f>IFERROR(__xludf.DUMMYFUNCTION("""COMPUTED_VALUE"""),"Portsmouth, NH")</f>
        <v/>
      </c>
      <c r="K22006">
        <f>IFERROR(__xludf.DUMMYFUNCTION("""COMPUTED_VALUE"""),24.5)</f>
        <v/>
      </c>
    </row>
    <row r="22007">
      <c r="J22007">
        <f>IFERROR(__xludf.DUMMYFUNCTION("""COMPUTED_VALUE"""),"NATO event")</f>
        <v/>
      </c>
      <c r="K22007">
        <f>IFERROR(__xludf.DUMMYFUNCTION("""COMPUTED_VALUE"""),24.37)</f>
        <v/>
      </c>
    </row>
    <row r="22008">
      <c r="J22008">
        <f>IFERROR(__xludf.DUMMYFUNCTION("""COMPUTED_VALUE"""),"Halifax, Nova Scotia, Canada; Bedford, Nova Scotia, Canada")</f>
        <v/>
      </c>
      <c r="K22008">
        <f>IFERROR(__xludf.DUMMYFUNCTION("""COMPUTED_VALUE"""),24.12)</f>
        <v/>
      </c>
    </row>
    <row r="22009">
      <c r="J22009">
        <f>IFERROR(__xludf.DUMMYFUNCTION("""COMPUTED_VALUE"""),"NDHQ Ottawa")</f>
        <v/>
      </c>
      <c r="K22009">
        <f>IFERROR(__xludf.DUMMYFUNCTION("""COMPUTED_VALUE"""),24.11)</f>
        <v/>
      </c>
    </row>
    <row r="22010">
      <c r="J22010">
        <f>IFERROR(__xludf.DUMMYFUNCTION("""COMPUTED_VALUE"""),"Various locations around the Newfoundland region")</f>
        <v/>
      </c>
      <c r="K22010">
        <f>IFERROR(__xludf.DUMMYFUNCTION("""COMPUTED_VALUE"""),23.92)</f>
        <v/>
      </c>
    </row>
    <row r="22011">
      <c r="J22011">
        <f>IFERROR(__xludf.DUMMYFUNCTION("""COMPUTED_VALUE"""),"Fox Lake, Alberta, Canada")</f>
        <v/>
      </c>
      <c r="K22011">
        <f>IFERROR(__xludf.DUMMYFUNCTION("""COMPUTED_VALUE"""),23.9)</f>
        <v/>
      </c>
    </row>
    <row r="22012">
      <c r="J22012">
        <f>IFERROR(__xludf.DUMMYFUNCTION("""COMPUTED_VALUE"""),"Laval, Quebec , Canada")</f>
        <v/>
      </c>
      <c r="K22012">
        <f>IFERROR(__xludf.DUMMYFUNCTION("""COMPUTED_VALUE"""),23.9)</f>
        <v/>
      </c>
    </row>
    <row r="22013">
      <c r="J22013">
        <f>IFERROR(__xludf.DUMMYFUNCTION("""COMPUTED_VALUE"""),"Westmount, Quebec, Canada")</f>
        <v/>
      </c>
      <c r="K22013">
        <f>IFERROR(__xludf.DUMMYFUNCTION("""COMPUTED_VALUE"""),23.6)</f>
        <v/>
      </c>
    </row>
    <row r="22014">
      <c r="J22014">
        <f>IFERROR(__xludf.DUMMYFUNCTION("""COMPUTED_VALUE"""),"Gatineau (QC), Canada")</f>
        <v/>
      </c>
      <c r="K22014">
        <f>IFERROR(__xludf.DUMMYFUNCTION("""COMPUTED_VALUE"""),23.44)</f>
        <v/>
      </c>
    </row>
    <row r="22015">
      <c r="J22015">
        <f>IFERROR(__xludf.DUMMYFUNCTION("""COMPUTED_VALUE"""),"Canadian War Museum, 1 Vimy Pl, Ottawa, On K1a 0m8, Canada")</f>
        <v/>
      </c>
      <c r="K22015">
        <f>IFERROR(__xludf.DUMMYFUNCTION("""COMPUTED_VALUE"""),23.29)</f>
        <v/>
      </c>
    </row>
    <row r="22016">
      <c r="J22016">
        <f>IFERROR(__xludf.DUMMYFUNCTION("""COMPUTED_VALUE"""),"Nanaimo and
Victoria, British Columbia, Canada")</f>
        <v/>
      </c>
      <c r="K22016">
        <f>IFERROR(__xludf.DUMMYFUNCTION("""COMPUTED_VALUE"""),23.05)</f>
        <v/>
      </c>
    </row>
    <row r="22017">
      <c r="J22017">
        <f>IFERROR(__xludf.DUMMYFUNCTION("""COMPUTED_VALUE"""),"Rigaud College")</f>
        <v/>
      </c>
      <c r="K22017">
        <f>IFERROR(__xludf.DUMMYFUNCTION("""COMPUTED_VALUE"""),23.05)</f>
        <v/>
      </c>
    </row>
    <row r="22018">
      <c r="J22018">
        <f>IFERROR(__xludf.DUMMYFUNCTION("""COMPUTED_VALUE"""),"Sept 3 - Jerusalem Sept 18 - Jerusalem")</f>
        <v/>
      </c>
      <c r="K22018">
        <f>IFERROR(__xludf.DUMMYFUNCTION("""COMPUTED_VALUE"""),23.01)</f>
        <v/>
      </c>
    </row>
    <row r="22019">
      <c r="J22019">
        <f>IFERROR(__xludf.DUMMYFUNCTION("""COMPUTED_VALUE"""),"Toronto, ON / Oakville, ON")</f>
        <v/>
      </c>
      <c r="K22019">
        <f>IFERROR(__xludf.DUMMYFUNCTION("""COMPUTED_VALUE"""),23)</f>
        <v/>
      </c>
    </row>
    <row r="22020">
      <c r="J22020">
        <f>IFERROR(__xludf.DUMMYFUNCTION("""COMPUTED_VALUE"""),"Annacis Island, BC")</f>
        <v/>
      </c>
      <c r="K22020">
        <f>IFERROR(__xludf.DUMMYFUNCTION("""COMPUTED_VALUE"""),22.8)</f>
        <v/>
      </c>
    </row>
    <row r="22021">
      <c r="J22021">
        <f>IFERROR(__xludf.DUMMYFUNCTION("""COMPUTED_VALUE"""),"Chelsea, Quebec")</f>
        <v/>
      </c>
      <c r="K22021">
        <f>IFERROR(__xludf.DUMMYFUNCTION("""COMPUTED_VALUE"""),22.7)</f>
        <v/>
      </c>
    </row>
    <row r="22022">
      <c r="J22022">
        <f>IFERROR(__xludf.DUMMYFUNCTION("""COMPUTED_VALUE"""),"Estevan, Saskatchewan, Canada; Weyburn, Saskatchewan, Canada")</f>
        <v/>
      </c>
      <c r="K22022">
        <f>IFERROR(__xludf.DUMMYFUNCTION("""COMPUTED_VALUE"""),22.59)</f>
        <v/>
      </c>
    </row>
    <row r="22023">
      <c r="J22023">
        <f>IFERROR(__xludf.DUMMYFUNCTION("""COMPUTED_VALUE"""),"Goias, Brazil")</f>
        <v/>
      </c>
      <c r="K22023">
        <f>IFERROR(__xludf.DUMMYFUNCTION("""COMPUTED_VALUE"""),22.38)</f>
        <v/>
      </c>
    </row>
    <row r="22024">
      <c r="J22024">
        <f>IFERROR(__xludf.DUMMYFUNCTION("""COMPUTED_VALUE"""),"Ottawa, Ontraio")</f>
        <v/>
      </c>
      <c r="K22024">
        <f>IFERROR(__xludf.DUMMYFUNCTION("""COMPUTED_VALUE"""),22.3)</f>
        <v/>
      </c>
    </row>
    <row r="22025">
      <c r="J22025">
        <f>IFERROR(__xludf.DUMMYFUNCTION("""COMPUTED_VALUE"""),"Port Moody, BC")</f>
        <v/>
      </c>
      <c r="K22025">
        <f>IFERROR(__xludf.DUMMYFUNCTION("""COMPUTED_VALUE"""),22.28)</f>
        <v/>
      </c>
    </row>
    <row r="22026">
      <c r="J22026">
        <f>IFERROR(__xludf.DUMMYFUNCTION("""COMPUTED_VALUE"""),"Lacolle Laval IHC")</f>
        <v/>
      </c>
      <c r="K22026">
        <f>IFERROR(__xludf.DUMMYFUNCTION("""COMPUTED_VALUE"""),22.15)</f>
        <v/>
      </c>
    </row>
    <row r="22027">
      <c r="J22027">
        <f>IFERROR(__xludf.DUMMYFUNCTION("""COMPUTED_VALUE"""),"Oakville and Trenton, Ontario, Canada")</f>
        <v/>
      </c>
      <c r="K22027">
        <f>IFERROR(__xludf.DUMMYFUNCTION("""COMPUTED_VALUE"""),22.15)</f>
        <v/>
      </c>
    </row>
    <row r="22028">
      <c r="J22028">
        <f>IFERROR(__xludf.DUMMYFUNCTION("""COMPUTED_VALUE"""),"Ormstown (Quebec) Canada")</f>
        <v/>
      </c>
      <c r="K22028">
        <f>IFERROR(__xludf.DUMMYFUNCTION("""COMPUTED_VALUE"""),22.15)</f>
        <v/>
      </c>
    </row>
    <row r="22029">
      <c r="J22029">
        <f>IFERROR(__xludf.DUMMYFUNCTION("""COMPUTED_VALUE"""),"Pictou, Wentworth, Truro, Amherst")</f>
        <v/>
      </c>
      <c r="K22029">
        <f>IFERROR(__xludf.DUMMYFUNCTION("""COMPUTED_VALUE"""),22.15)</f>
        <v/>
      </c>
    </row>
    <row r="22030">
      <c r="J22030">
        <f>IFERROR(__xludf.DUMMYFUNCTION("""COMPUTED_VALUE"""),"Saint-Anicet, Quebec, Canada")</f>
        <v/>
      </c>
      <c r="K22030">
        <f>IFERROR(__xludf.DUMMYFUNCTION("""COMPUTED_VALUE"""),22.15)</f>
        <v/>
      </c>
    </row>
    <row r="22031">
      <c r="J22031">
        <f>IFERROR(__xludf.DUMMYFUNCTION("""COMPUTED_VALUE"""),"Saint-Léonard-d'Aston (Quebec) Canada
Baie-du-Febvre (Quebec) Canada
Drummondville (Quebec) Canada")</f>
        <v/>
      </c>
      <c r="K22031">
        <f>IFERROR(__xludf.DUMMYFUNCTION("""COMPUTED_VALUE"""),22.15)</f>
        <v/>
      </c>
    </row>
    <row r="22032">
      <c r="J22032">
        <f>IFERROR(__xludf.DUMMYFUNCTION("""COMPUTED_VALUE"""),"Wetaskiwin, Alberta, Canada")</f>
        <v/>
      </c>
      <c r="K22032">
        <f>IFERROR(__xludf.DUMMYFUNCTION("""COMPUTED_VALUE"""),22.15)</f>
        <v/>
      </c>
    </row>
    <row r="22033">
      <c r="J22033">
        <f>IFERROR(__xludf.DUMMYFUNCTION("""COMPUTED_VALUE"""),"From residence to restaurant in Brussels")</f>
        <v/>
      </c>
      <c r="K22033">
        <f>IFERROR(__xludf.DUMMYFUNCTION("""COMPUTED_VALUE"""),22.1)</f>
        <v/>
      </c>
    </row>
    <row r="22034">
      <c r="J22034">
        <f>IFERROR(__xludf.DUMMYFUNCTION("""COMPUTED_VALUE"""),"Houston, Texas, United-States")</f>
        <v/>
      </c>
      <c r="K22034">
        <f>IFERROR(__xludf.DUMMYFUNCTION("""COMPUTED_VALUE"""),22)</f>
        <v/>
      </c>
    </row>
    <row r="22035">
      <c r="J22035">
        <f>IFERROR(__xludf.DUMMYFUNCTION("""COMPUTED_VALUE"""),"Trenton, Ontario Canada")</f>
        <v/>
      </c>
      <c r="K22035">
        <f>IFERROR(__xludf.DUMMYFUNCTION("""COMPUTED_VALUE"""),21.9)</f>
        <v/>
      </c>
    </row>
    <row r="22036">
      <c r="J22036">
        <f>IFERROR(__xludf.DUMMYFUNCTION("""COMPUTED_VALUE"""),"North Vancouver, British Columbia; New Westminster, British Columbia")</f>
        <v/>
      </c>
      <c r="K22036">
        <f>IFERROR(__xludf.DUMMYFUNCTION("""COMPUTED_VALUE"""),21.85)</f>
        <v/>
      </c>
    </row>
    <row r="22037">
      <c r="J22037">
        <f>IFERROR(__xludf.DUMMYFUNCTION("""COMPUTED_VALUE"""),"125 Zaida Eddy Private, Ottawa, ON")</f>
        <v/>
      </c>
      <c r="K22037">
        <f>IFERROR(__xludf.DUMMYFUNCTION("""COMPUTED_VALUE"""),21.76)</f>
        <v/>
      </c>
    </row>
    <row r="22038">
      <c r="J22038">
        <f>IFERROR(__xludf.DUMMYFUNCTION("""COMPUTED_VALUE"""),"Mont St-Hilaire, Quebec, Canada")</f>
        <v/>
      </c>
      <c r="K22038">
        <f>IFERROR(__xludf.DUMMYFUNCTION("""COMPUTED_VALUE"""),21.6)</f>
        <v/>
      </c>
    </row>
    <row r="22039">
      <c r="J22039">
        <f>IFERROR(__xludf.DUMMYFUNCTION("""COMPUTED_VALUE"""),"1307 L St NW")</f>
        <v/>
      </c>
      <c r="K22039">
        <f>IFERROR(__xludf.DUMMYFUNCTION("""COMPUTED_VALUE"""),21.5)</f>
        <v/>
      </c>
    </row>
    <row r="22040">
      <c r="J22040">
        <f>IFERROR(__xludf.DUMMYFUNCTION("""COMPUTED_VALUE"""),"Gatineau, QC Chelsea, QC")</f>
        <v/>
      </c>
      <c r="K22040">
        <f>IFERROR(__xludf.DUMMYFUNCTION("""COMPUTED_VALUE"""),21.47)</f>
        <v/>
      </c>
    </row>
    <row r="22041">
      <c r="J22041">
        <f>IFERROR(__xludf.DUMMYFUNCTION("""COMPUTED_VALUE"""),"Lennox Island, Prince Edward Island")</f>
        <v/>
      </c>
      <c r="K22041">
        <f>IFERROR(__xludf.DUMMYFUNCTION("""COMPUTED_VALUE"""),21.35)</f>
        <v/>
      </c>
    </row>
    <row r="22042">
      <c r="J22042">
        <f>IFERROR(__xludf.DUMMYFUNCTION("""COMPUTED_VALUE"""),"Souris, Prince Edward Island")</f>
        <v/>
      </c>
      <c r="K22042">
        <f>IFERROR(__xludf.DUMMYFUNCTION("""COMPUTED_VALUE"""),21.35)</f>
        <v/>
      </c>
    </row>
    <row r="22043">
      <c r="J22043">
        <f>IFERROR(__xludf.DUMMYFUNCTION("""COMPUTED_VALUE"""),"St-Prime")</f>
        <v/>
      </c>
      <c r="K22043">
        <f>IFERROR(__xludf.DUMMYFUNCTION("""COMPUTED_VALUE"""),21.24)</f>
        <v/>
      </c>
    </row>
    <row r="22044">
      <c r="J22044">
        <f>IFERROR(__xludf.DUMMYFUNCTION("""COMPUTED_VALUE"""),"1331 Pennsylvania Ave NW")</f>
        <v/>
      </c>
      <c r="K22044">
        <f>IFERROR(__xludf.DUMMYFUNCTION("""COMPUTED_VALUE"""),21.16)</f>
        <v/>
      </c>
    </row>
    <row r="22045">
      <c r="J22045">
        <f>IFERROR(__xludf.DUMMYFUNCTION("""COMPUTED_VALUE"""),"395 Wellington St, Ottawa, ON")</f>
        <v/>
      </c>
      <c r="K22045">
        <f>IFERROR(__xludf.DUMMYFUNCTION("""COMPUTED_VALUE"""),21.13)</f>
        <v/>
      </c>
    </row>
    <row r="22046">
      <c r="J22046">
        <f>IFERROR(__xludf.DUMMYFUNCTION("""COMPUTED_VALUE"""),"Estérel, Quebec , Canada")</f>
        <v/>
      </c>
      <c r="K22046">
        <f>IFERROR(__xludf.DUMMYFUNCTION("""COMPUTED_VALUE"""),21.1)</f>
        <v/>
      </c>
    </row>
    <row r="22047">
      <c r="J22047">
        <f>IFERROR(__xludf.DUMMYFUNCTION("""COMPUTED_VALUE"""),"St-Jean (Quebec)Canada")</f>
        <v/>
      </c>
      <c r="K22047">
        <f>IFERROR(__xludf.DUMMYFUNCTION("""COMPUTED_VALUE"""),21.1)</f>
        <v/>
      </c>
    </row>
    <row r="22048">
      <c r="J22048">
        <f>IFERROR(__xludf.DUMMYFUNCTION("""COMPUTED_VALUE"""),"410 Laurier Ave W, Ottawa, On K1a 0r1, Canada")</f>
        <v/>
      </c>
      <c r="K22048">
        <f>IFERROR(__xludf.DUMMYFUNCTION("""COMPUTED_VALUE"""),21.06)</f>
        <v/>
      </c>
    </row>
    <row r="22049">
      <c r="J22049">
        <f>IFERROR(__xludf.DUMMYFUNCTION("""COMPUTED_VALUE"""),"Miminegash, Prince Edward Island")</f>
        <v/>
      </c>
      <c r="K22049">
        <f>IFERROR(__xludf.DUMMYFUNCTION("""COMPUTED_VALUE"""),21.05)</f>
        <v/>
      </c>
    </row>
    <row r="22050">
      <c r="J22050">
        <f>IFERROR(__xludf.DUMMYFUNCTION("""COMPUTED_VALUE"""),"Beaumont, AB and Leduc, AB")</f>
        <v/>
      </c>
      <c r="K22050">
        <f>IFERROR(__xludf.DUMMYFUNCTION("""COMPUTED_VALUE"""),20.9)</f>
        <v/>
      </c>
    </row>
    <row r="22051">
      <c r="J22051">
        <f>IFERROR(__xludf.DUMMYFUNCTION("""COMPUTED_VALUE"""),"Westaskiwin, AB")</f>
        <v/>
      </c>
      <c r="K22051">
        <f>IFERROR(__xludf.DUMMYFUNCTION("""COMPUTED_VALUE"""),20.9)</f>
        <v/>
      </c>
    </row>
    <row r="22052">
      <c r="J22052">
        <f>IFERROR(__xludf.DUMMYFUNCTION("""COMPUTED_VALUE"""),"140 Wellington St, Ottawa, On K1p 5m3, Canada")</f>
        <v/>
      </c>
      <c r="K22052">
        <f>IFERROR(__xludf.DUMMYFUNCTION("""COMPUTED_VALUE"""),20.79)</f>
        <v/>
      </c>
    </row>
    <row r="22053">
      <c r="J22053">
        <f>IFERROR(__xludf.DUMMYFUNCTION("""COMPUTED_VALUE"""),"Wako, Texas")</f>
        <v/>
      </c>
      <c r="K22053">
        <f>IFERROR(__xludf.DUMMYFUNCTION("""COMPUTED_VALUE"""),20.79)</f>
        <v/>
      </c>
    </row>
    <row r="22054">
      <c r="J22054">
        <f>IFERROR(__xludf.DUMMYFUNCTION("""COMPUTED_VALUE"""),"50 Mackenzie King Bridge, Ottawa, Ontario, Canada")</f>
        <v/>
      </c>
      <c r="K22054">
        <f>IFERROR(__xludf.DUMMYFUNCTION("""COMPUTED_VALUE"""),20.64)</f>
        <v/>
      </c>
    </row>
    <row r="22055">
      <c r="J22055">
        <f>IFERROR(__xludf.DUMMYFUNCTION("""COMPUTED_VALUE"""),"Laval and Lacolle, Quebec, Canada")</f>
        <v/>
      </c>
      <c r="K22055">
        <f>IFERROR(__xludf.DUMMYFUNCTION("""COMPUTED_VALUE"""),20.6)</f>
        <v/>
      </c>
    </row>
    <row r="22056">
      <c r="J22056">
        <f>IFERROR(__xludf.DUMMYFUNCTION("""COMPUTED_VALUE"""),"Renfrew, Ontario, Canada")</f>
        <v/>
      </c>
      <c r="K22056">
        <f>IFERROR(__xludf.DUMMYFUNCTION("""COMPUTED_VALUE"""),20.6)</f>
        <v/>
      </c>
    </row>
    <row r="22057">
      <c r="J22057">
        <f>IFERROR(__xludf.DUMMYFUNCTION("""COMPUTED_VALUE"""),"Trenton (Ontario) Canada,")</f>
        <v/>
      </c>
      <c r="K22057">
        <f>IFERROR(__xludf.DUMMYFUNCTION("""COMPUTED_VALUE"""),20.6)</f>
        <v/>
      </c>
    </row>
    <row r="22058">
      <c r="J22058">
        <f>IFERROR(__xludf.DUMMYFUNCTION("""COMPUTED_VALUE"""),"Chambord, Roberval")</f>
        <v/>
      </c>
      <c r="K22058">
        <f>IFERROR(__xludf.DUMMYFUNCTION("""COMPUTED_VALUE"""),20.52)</f>
        <v/>
      </c>
    </row>
    <row r="22059">
      <c r="J22059">
        <f>IFERROR(__xludf.DUMMYFUNCTION("""COMPUTED_VALUE"""),"Gloucester, Ontario, Canada")</f>
        <v/>
      </c>
      <c r="K22059">
        <f>IFERROR(__xludf.DUMMYFUNCTION("""COMPUTED_VALUE"""),20.18)</f>
        <v/>
      </c>
    </row>
    <row r="22060">
      <c r="J22060">
        <f>IFERROR(__xludf.DUMMYFUNCTION("""COMPUTED_VALUE"""),"Holyrood and Carbonear, Newfoundland and Labrador")</f>
        <v/>
      </c>
      <c r="K22060">
        <f>IFERROR(__xludf.DUMMYFUNCTION("""COMPUTED_VALUE"""),20.1)</f>
        <v/>
      </c>
    </row>
    <row r="22061">
      <c r="J22061">
        <f>IFERROR(__xludf.DUMMYFUNCTION("""COMPUTED_VALUE"""),"Prince George, British Columbia, Banada")</f>
        <v/>
      </c>
      <c r="K22061">
        <f>IFERROR(__xludf.DUMMYFUNCTION("""COMPUTED_VALUE"""),20.1)</f>
        <v/>
      </c>
    </row>
    <row r="22062">
      <c r="J22062">
        <f>IFERROR(__xludf.DUMMYFUNCTION("""COMPUTED_VALUE"""),"Hungarian Embassy Ottawa")</f>
        <v/>
      </c>
      <c r="K22062">
        <f>IFERROR(__xludf.DUMMYFUNCTION("""COMPUTED_VALUE"""),20)</f>
        <v/>
      </c>
    </row>
    <row r="22063">
      <c r="J22063">
        <f>IFERROR(__xludf.DUMMYFUNCTION("""COMPUTED_VALUE"""),"Montreal, Quebec Canada")</f>
        <v/>
      </c>
      <c r="K22063">
        <f>IFERROR(__xludf.DUMMYFUNCTION("""COMPUTED_VALUE"""),20)</f>
        <v/>
      </c>
    </row>
    <row r="22064">
      <c r="J22064">
        <f>IFERROR(__xludf.DUMMYFUNCTION("""COMPUTED_VALUE"""),"Regina Saskatchewan, Canada")</f>
        <v/>
      </c>
      <c r="K22064">
        <f>IFERROR(__xludf.DUMMYFUNCTION("""COMPUTED_VALUE"""),19.99)</f>
        <v/>
      </c>
    </row>
    <row r="22065">
      <c r="J22065">
        <f>IFERROR(__xludf.DUMMYFUNCTION("""COMPUTED_VALUE"""),"Brossard / Châteauguay / Saint-Constant, (Quebec)")</f>
        <v/>
      </c>
      <c r="K22065">
        <f>IFERROR(__xludf.DUMMYFUNCTION("""COMPUTED_VALUE"""),19.85)</f>
        <v/>
      </c>
    </row>
    <row r="22066">
      <c r="J22066">
        <f>IFERROR(__xludf.DUMMYFUNCTION("""COMPUTED_VALUE"""),"Chateh, AB")</f>
        <v/>
      </c>
      <c r="K22066">
        <f>IFERROR(__xludf.DUMMYFUNCTION("""COMPUTED_VALUE"""),19.85)</f>
        <v/>
      </c>
    </row>
    <row r="22067">
      <c r="J22067">
        <f>IFERROR(__xludf.DUMMYFUNCTION("""COMPUTED_VALUE"""),"Durham and Scarborough, Ontario")</f>
        <v/>
      </c>
      <c r="K22067">
        <f>IFERROR(__xludf.DUMMYFUNCTION("""COMPUTED_VALUE"""),19.85)</f>
        <v/>
      </c>
    </row>
    <row r="22068">
      <c r="J22068">
        <f>IFERROR(__xludf.DUMMYFUNCTION("""COMPUTED_VALUE"""),"Fort Chipewyan, AB")</f>
        <v/>
      </c>
      <c r="K22068">
        <f>IFERROR(__xludf.DUMMYFUNCTION("""COMPUTED_VALUE"""),19.85)</f>
        <v/>
      </c>
    </row>
    <row r="22069">
      <c r="J22069">
        <f>IFERROR(__xludf.DUMMYFUNCTION("""COMPUTED_VALUE"""),"Niagara, Toronto")</f>
        <v/>
      </c>
      <c r="K22069">
        <f>IFERROR(__xludf.DUMMYFUNCTION("""COMPUTED_VALUE"""),19.85)</f>
        <v/>
      </c>
    </row>
    <row r="22070">
      <c r="J22070">
        <f>IFERROR(__xludf.DUMMYFUNCTION("""COMPUTED_VALUE"""),"Shawinigan and Rivière Rouge, Québec")</f>
        <v/>
      </c>
      <c r="K22070">
        <f>IFERROR(__xludf.DUMMYFUNCTION("""COMPUTED_VALUE"""),19.85)</f>
        <v/>
      </c>
    </row>
    <row r="22071">
      <c r="J22071">
        <f>IFERROR(__xludf.DUMMYFUNCTION("""COMPUTED_VALUE"""),"St. Stephen, New Brunswick")</f>
        <v/>
      </c>
      <c r="K22071">
        <f>IFERROR(__xludf.DUMMYFUNCTION("""COMPUTED_VALUE"""),19.85)</f>
        <v/>
      </c>
    </row>
    <row r="22072">
      <c r="J22072">
        <f>IFERROR(__xludf.DUMMYFUNCTION("""COMPUTED_VALUE"""),"Terrebonne / Repentigny, (Quebec)")</f>
        <v/>
      </c>
      <c r="K22072">
        <f>IFERROR(__xludf.DUMMYFUNCTION("""COMPUTED_VALUE"""),19.85)</f>
        <v/>
      </c>
    </row>
    <row r="22073">
      <c r="J22073">
        <f>IFERROR(__xludf.DUMMYFUNCTION("""COMPUTED_VALUE"""),"Québec City (Québec)")</f>
        <v/>
      </c>
      <c r="K22073">
        <f>IFERROR(__xludf.DUMMYFUNCTION("""COMPUTED_VALUE"""),19.77)</f>
        <v/>
      </c>
    </row>
    <row r="22074">
      <c r="J22074">
        <f>IFERROR(__xludf.DUMMYFUNCTION("""COMPUTED_VALUE"""),"Peterborough,Ontario,Canada")</f>
        <v/>
      </c>
      <c r="K22074">
        <f>IFERROR(__xludf.DUMMYFUNCTION("""COMPUTED_VALUE"""),19.6)</f>
        <v/>
      </c>
    </row>
    <row r="22075">
      <c r="J22075">
        <f>IFERROR(__xludf.DUMMYFUNCTION("""COMPUTED_VALUE"""),"Vancouver, Shaungnessy")</f>
        <v/>
      </c>
      <c r="K22075">
        <f>IFERROR(__xludf.DUMMYFUNCTION("""COMPUTED_VALUE"""),19.6)</f>
        <v/>
      </c>
    </row>
    <row r="22076">
      <c r="J22076">
        <f>IFERROR(__xludf.DUMMYFUNCTION("""COMPUTED_VALUE"""),"Arnold's Cove, Newfoundland and Labrador")</f>
        <v/>
      </c>
      <c r="K22076">
        <f>IFERROR(__xludf.DUMMYFUNCTION("""COMPUTED_VALUE"""),19.2)</f>
        <v/>
      </c>
    </row>
    <row r="22077">
      <c r="J22077">
        <f>IFERROR(__xludf.DUMMYFUNCTION("""COMPUTED_VALUE"""),"Cornwall, ON
Prescott, ON
Lansdowne, ON")</f>
        <v/>
      </c>
      <c r="K22077">
        <f>IFERROR(__xludf.DUMMYFUNCTION("""COMPUTED_VALUE"""),19.2)</f>
        <v/>
      </c>
    </row>
    <row r="22078">
      <c r="J22078">
        <f>IFERROR(__xludf.DUMMYFUNCTION("""COMPUTED_VALUE"""),"Longueuil, (Quebec)")</f>
        <v/>
      </c>
      <c r="K22078">
        <f>IFERROR(__xludf.DUMMYFUNCTION("""COMPUTED_VALUE"""),19.2)</f>
        <v/>
      </c>
    </row>
    <row r="22079">
      <c r="J22079">
        <f>IFERROR(__xludf.DUMMYFUNCTION("""COMPUTED_VALUE"""),"Saint-Hyacinthe / Drummondville, (Quebec)")</f>
        <v/>
      </c>
      <c r="K22079">
        <f>IFERROR(__xludf.DUMMYFUNCTION("""COMPUTED_VALUE"""),19.2)</f>
        <v/>
      </c>
    </row>
    <row r="22080">
      <c r="J22080">
        <f>IFERROR(__xludf.DUMMYFUNCTION("""COMPUTED_VALUE"""),"Hilton Lac-Leamy, Gatineau")</f>
        <v/>
      </c>
      <c r="K22080">
        <f>IFERROR(__xludf.DUMMYFUNCTION("""COMPUTED_VALUE"""),19.04)</f>
        <v/>
      </c>
    </row>
    <row r="22081">
      <c r="J22081">
        <f>IFERROR(__xludf.DUMMYFUNCTION("""COMPUTED_VALUE"""),"Montréal
")</f>
        <v/>
      </c>
      <c r="K22081">
        <f>IFERROR(__xludf.DUMMYFUNCTION("""COMPUTED_VALUE"""),19)</f>
        <v/>
      </c>
    </row>
    <row r="22082">
      <c r="J22082">
        <f>IFERROR(__xludf.DUMMYFUNCTION("""COMPUTED_VALUE"""),"National Arts Centre")</f>
        <v/>
      </c>
      <c r="K22082">
        <f>IFERROR(__xludf.DUMMYFUNCTION("""COMPUTED_VALUE"""),19)</f>
        <v/>
      </c>
    </row>
    <row r="22083">
      <c r="J22083">
        <f>IFERROR(__xludf.DUMMYFUNCTION("""COMPUTED_VALUE"""),"Agincourt, Ontario, Canada")</f>
        <v/>
      </c>
      <c r="K22083">
        <f>IFERROR(__xludf.DUMMYFUNCTION("""COMPUTED_VALUE"""),18.7)</f>
        <v/>
      </c>
    </row>
    <row r="22084">
      <c r="J22084">
        <f>IFERROR(__xludf.DUMMYFUNCTION("""COMPUTED_VALUE"""),"Tignish, Prince Edward Island")</f>
        <v/>
      </c>
      <c r="K22084">
        <f>IFERROR(__xludf.DUMMYFUNCTION("""COMPUTED_VALUE"""),18.7)</f>
        <v/>
      </c>
    </row>
    <row r="22085">
      <c r="J22085">
        <f>IFERROR(__xludf.DUMMYFUNCTION("""COMPUTED_VALUE"""),"Gatineau, Québec, Gatineau")</f>
        <v/>
      </c>
      <c r="K22085">
        <f>IFERROR(__xludf.DUMMYFUNCTION("""COMPUTED_VALUE"""),18.08)</f>
        <v/>
      </c>
    </row>
    <row r="22086">
      <c r="J22086">
        <f>IFERROR(__xludf.DUMMYFUNCTION("""COMPUTED_VALUE"""),"Lacolle, Quebec;#34")</f>
        <v/>
      </c>
      <c r="K22086">
        <f>IFERROR(__xludf.DUMMYFUNCTION("""COMPUTED_VALUE"""),18.05)</f>
        <v/>
      </c>
    </row>
    <row r="22087">
      <c r="J22087">
        <f>IFERROR(__xludf.DUMMYFUNCTION("""COMPUTED_VALUE"""),"Monreal, Quebec")</f>
        <v/>
      </c>
      <c r="K22087">
        <f>IFERROR(__xludf.DUMMYFUNCTION("""COMPUTED_VALUE"""),18.05)</f>
        <v/>
      </c>
    </row>
    <row r="22088">
      <c r="J22088">
        <f>IFERROR(__xludf.DUMMYFUNCTION("""COMPUTED_VALUE"""),"Trenton ON")</f>
        <v/>
      </c>
      <c r="K22088">
        <f>IFERROR(__xludf.DUMMYFUNCTION("""COMPUTED_VALUE"""),18.05)</f>
        <v/>
      </c>
    </row>
    <row r="22089">
      <c r="J22089">
        <f>IFERROR(__xludf.DUMMYFUNCTION("""COMPUTED_VALUE"""),"China, Japan")</f>
        <v/>
      </c>
      <c r="K22089">
        <f>IFERROR(__xludf.DUMMYFUNCTION("""COMPUTED_VALUE"""),18.02)</f>
        <v/>
      </c>
    </row>
    <row r="22090">
      <c r="J22090">
        <f>IFERROR(__xludf.DUMMYFUNCTION("""COMPUTED_VALUE"""),"British Columbia Regional office")</f>
        <v/>
      </c>
      <c r="K22090">
        <f>IFERROR(__xludf.DUMMYFUNCTION("""COMPUTED_VALUE"""),17.9)</f>
        <v/>
      </c>
    </row>
    <row r="22091">
      <c r="J22091">
        <f>IFERROR(__xludf.DUMMYFUNCTION("""COMPUTED_VALUE"""),"Scarborough, ON Oshawa, ON")</f>
        <v/>
      </c>
      <c r="K22091">
        <f>IFERROR(__xludf.DUMMYFUNCTION("""COMPUTED_VALUE"""),17.9)</f>
        <v/>
      </c>
    </row>
    <row r="22092">
      <c r="J22092">
        <f>IFERROR(__xludf.DUMMYFUNCTION("""COMPUTED_VALUE"""),"Portland ME - Worcester MA")</f>
        <v/>
      </c>
      <c r="K22092">
        <f>IFERROR(__xludf.DUMMYFUNCTION("""COMPUTED_VALUE"""),17.69)</f>
        <v/>
      </c>
    </row>
    <row r="22093">
      <c r="J22093">
        <f>IFERROR(__xludf.DUMMYFUNCTION("""COMPUTED_VALUE"""),"Coquitlam, British Columbia")</f>
        <v/>
      </c>
      <c r="K22093">
        <f>IFERROR(__xludf.DUMMYFUNCTION("""COMPUTED_VALUE"""),17.41)</f>
        <v/>
      </c>
    </row>
    <row r="22094">
      <c r="J22094">
        <f>IFERROR(__xludf.DUMMYFUNCTION("""COMPUTED_VALUE"""),"Alberton, Prince Edward Island")</f>
        <v/>
      </c>
      <c r="K22094">
        <f>IFERROR(__xludf.DUMMYFUNCTION("""COMPUTED_VALUE"""),17.25)</f>
        <v/>
      </c>
    </row>
    <row r="22095">
      <c r="J22095">
        <f>IFERROR(__xludf.DUMMYFUNCTION("""COMPUTED_VALUE"""),"Jericho")</f>
        <v/>
      </c>
      <c r="K22095">
        <f>IFERROR(__xludf.DUMMYFUNCTION("""COMPUTED_VALUE"""),17.07)</f>
        <v/>
      </c>
    </row>
    <row r="22096">
      <c r="J22096">
        <f>IFERROR(__xludf.DUMMYFUNCTION("""COMPUTED_VALUE"""),"25 Rue Eddy, Gatineau, Québec, Canada")</f>
        <v/>
      </c>
      <c r="K22096">
        <f>IFERROR(__xludf.DUMMYFUNCTION("""COMPUTED_VALUE"""),17)</f>
        <v/>
      </c>
    </row>
    <row r="22097">
      <c r="J22097">
        <f>IFERROR(__xludf.DUMMYFUNCTION("""COMPUTED_VALUE"""),"Joliette, Quebec")</f>
        <v/>
      </c>
      <c r="K22097">
        <f>IFERROR(__xludf.DUMMYFUNCTION("""COMPUTED_VALUE"""),16.8)</f>
        <v/>
      </c>
    </row>
    <row r="22098">
      <c r="J22098">
        <f>IFERROR(__xludf.DUMMYFUNCTION("""COMPUTED_VALUE"""),"Ancaster, Ontario")</f>
        <v/>
      </c>
      <c r="K22098">
        <f>IFERROR(__xludf.DUMMYFUNCTION("""COMPUTED_VALUE"""),16.79)</f>
        <v/>
      </c>
    </row>
    <row r="22099">
      <c r="J22099">
        <f>IFERROR(__xludf.DUMMYFUNCTION("""COMPUTED_VALUE"""),"Cantley, Québec")</f>
        <v/>
      </c>
      <c r="K22099">
        <f>IFERROR(__xludf.DUMMYFUNCTION("""COMPUTED_VALUE"""),16.76)</f>
        <v/>
      </c>
    </row>
    <row r="22100">
      <c r="J22100">
        <f>IFERROR(__xludf.DUMMYFUNCTION("""COMPUTED_VALUE"""),"Bromont, Quebec (Canada)")</f>
        <v/>
      </c>
      <c r="K22100">
        <f>IFERROR(__xludf.DUMMYFUNCTION("""COMPUTED_VALUE"""),16.61)</f>
        <v/>
      </c>
    </row>
    <row r="22101">
      <c r="J22101">
        <f>IFERROR(__xludf.DUMMYFUNCTION("""COMPUTED_VALUE"""),"Vancouver, BC and Victoria, BC")</f>
        <v/>
      </c>
      <c r="K22101">
        <f>IFERROR(__xludf.DUMMYFUNCTION("""COMPUTED_VALUE"""),16.5)</f>
        <v/>
      </c>
    </row>
    <row r="22102">
      <c r="J22102">
        <f>IFERROR(__xludf.DUMMYFUNCTION("""COMPUTED_VALUE"""),"Quebec, Quebec Canada")</f>
        <v/>
      </c>
      <c r="K22102">
        <f>IFERROR(__xludf.DUMMYFUNCTION("""COMPUTED_VALUE"""),16.42)</f>
        <v/>
      </c>
    </row>
    <row r="22103">
      <c r="J22103">
        <f>IFERROR(__xludf.DUMMYFUNCTION("""COMPUTED_VALUE"""),"Lanaudière, Quebec")</f>
        <v/>
      </c>
      <c r="K22103">
        <f>IFERROR(__xludf.DUMMYFUNCTION("""COMPUTED_VALUE"""),16.35)</f>
        <v/>
      </c>
    </row>
    <row r="22104">
      <c r="J22104">
        <f>IFERROR(__xludf.DUMMYFUNCTION("""COMPUTED_VALUE"""),"Ottawa, 
Ontario,
Canada")</f>
        <v/>
      </c>
      <c r="K22104">
        <f>IFERROR(__xludf.DUMMYFUNCTION("""COMPUTED_VALUE"""),16)</f>
        <v/>
      </c>
    </row>
    <row r="22105">
      <c r="J22105">
        <f>IFERROR(__xludf.DUMMYFUNCTION("""COMPUTED_VALUE"""),"55 Laurier Ave E, Ottawa, On K1n 6n5, Canada")</f>
        <v/>
      </c>
      <c r="K22105">
        <f>IFERROR(__xludf.DUMMYFUNCTION("""COMPUTED_VALUE"""),15.64)</f>
        <v/>
      </c>
    </row>
    <row r="22106">
      <c r="J22106">
        <f>IFERROR(__xludf.DUMMYFUNCTION("""COMPUTED_VALUE"""),"Montréal, Qc, Canada")</f>
        <v/>
      </c>
      <c r="K22106">
        <f>IFERROR(__xludf.DUMMYFUNCTION("""COMPUTED_VALUE"""),15.56)</f>
        <v/>
      </c>
    </row>
    <row r="22107">
      <c r="J22107">
        <f>IFERROR(__xludf.DUMMYFUNCTION("""COMPUTED_VALUE"""),"Annapolis Royal, Nova Scotia")</f>
        <v/>
      </c>
      <c r="K22107">
        <f>IFERROR(__xludf.DUMMYFUNCTION("""COMPUTED_VALUE"""),15.15)</f>
        <v/>
      </c>
    </row>
    <row r="22108">
      <c r="J22108">
        <f>IFERROR(__xludf.DUMMYFUNCTION("""COMPUTED_VALUE"""),"Sarnia/London")</f>
        <v/>
      </c>
      <c r="K22108">
        <f>IFERROR(__xludf.DUMMYFUNCTION("""COMPUTED_VALUE"""),15.15)</f>
        <v/>
      </c>
    </row>
    <row r="22109">
      <c r="J22109">
        <f>IFERROR(__xludf.DUMMYFUNCTION("""COMPUTED_VALUE"""),"Granby (Québec) Canada")</f>
        <v/>
      </c>
      <c r="K22109">
        <f>IFERROR(__xludf.DUMMYFUNCTION("""COMPUTED_VALUE"""),15.08)</f>
        <v/>
      </c>
    </row>
    <row r="22110">
      <c r="J22110">
        <f>IFERROR(__xludf.DUMMYFUNCTION("""COMPUTED_VALUE"""),"Manchester NH")</f>
        <v/>
      </c>
      <c r="K22110">
        <f>IFERROR(__xludf.DUMMYFUNCTION("""COMPUTED_VALUE"""),15.03)</f>
        <v/>
      </c>
    </row>
    <row r="22111">
      <c r="J22111">
        <f>IFERROR(__xludf.DUMMYFUNCTION("""COMPUTED_VALUE"""),"100 Laurier St. Gatineau")</f>
        <v/>
      </c>
      <c r="K22111">
        <f>IFERROR(__xludf.DUMMYFUNCTION("""COMPUTED_VALUE"""),15)</f>
        <v/>
      </c>
    </row>
    <row r="22112">
      <c r="J22112">
        <f>IFERROR(__xludf.DUMMYFUNCTION("""COMPUTED_VALUE"""),"1941 Ogilvie Ottawa, ON")</f>
        <v/>
      </c>
      <c r="K22112">
        <f>IFERROR(__xludf.DUMMYFUNCTION("""COMPUTED_VALUE"""),15)</f>
        <v/>
      </c>
    </row>
    <row r="22113">
      <c r="J22113">
        <f>IFERROR(__xludf.DUMMYFUNCTION("""COMPUTED_VALUE"""),"Gatineau, Quebec (Canada) Montreal, Quebec (Canada)")</f>
        <v/>
      </c>
      <c r="K22113">
        <f>IFERROR(__xludf.DUMMYFUNCTION("""COMPUTED_VALUE"""),15)</f>
        <v/>
      </c>
    </row>
    <row r="22114">
      <c r="J22114">
        <f>IFERROR(__xludf.DUMMYFUNCTION("""COMPUTED_VALUE"""),"Kanata, (Ontario)")</f>
        <v/>
      </c>
      <c r="K22114">
        <f>IFERROR(__xludf.DUMMYFUNCTION("""COMPUTED_VALUE"""),15)</f>
        <v/>
      </c>
    </row>
    <row r="22115">
      <c r="J22115">
        <f>IFERROR(__xludf.DUMMYFUNCTION("""COMPUTED_VALUE"""),"Palais Congres de Gatineau, QC")</f>
        <v/>
      </c>
      <c r="K22115">
        <f>IFERROR(__xludf.DUMMYFUNCTION("""COMPUTED_VALUE"""),15)</f>
        <v/>
      </c>
    </row>
    <row r="22116">
      <c r="J22116">
        <f>IFERROR(__xludf.DUMMYFUNCTION("""COMPUTED_VALUE"""),"Palais des Congrès de Gatineau")</f>
        <v/>
      </c>
      <c r="K22116">
        <f>IFERROR(__xludf.DUMMYFUNCTION("""COMPUTED_VALUE"""),15)</f>
        <v/>
      </c>
    </row>
    <row r="22117">
      <c r="J22117">
        <f>IFERROR(__xludf.DUMMYFUNCTION("""COMPUTED_VALUE"""),"Basin Head, Prince Edward Island")</f>
        <v/>
      </c>
      <c r="K22117">
        <f>IFERROR(__xludf.DUMMYFUNCTION("""COMPUTED_VALUE"""),14.91)</f>
        <v/>
      </c>
    </row>
    <row r="22118">
      <c r="J22118">
        <f>IFERROR(__xludf.DUMMYFUNCTION("""COMPUTED_VALUE"""),"Ottawa, ON-Montreal, QC/Montreal, QC-Ottawa, ON")</f>
        <v/>
      </c>
      <c r="K22118">
        <f>IFERROR(__xludf.DUMMYFUNCTION("""COMPUTED_VALUE"""),14.85)</f>
        <v/>
      </c>
    </row>
    <row r="22119">
      <c r="J22119">
        <f>IFERROR(__xludf.DUMMYFUNCTION("""COMPUTED_VALUE"""),"Cranston and Providence RI")</f>
        <v/>
      </c>
      <c r="K22119">
        <f>IFERROR(__xludf.DUMMYFUNCTION("""COMPUTED_VALUE"""),14.81)</f>
        <v/>
      </c>
    </row>
    <row r="22120">
      <c r="J22120">
        <f>IFERROR(__xludf.DUMMYFUNCTION("""COMPUTED_VALUE"""),"Vineland Station, ON")</f>
        <v/>
      </c>
      <c r="K22120">
        <f>IFERROR(__xludf.DUMMYFUNCTION("""COMPUTED_VALUE"""),14.6)</f>
        <v/>
      </c>
    </row>
    <row r="22121">
      <c r="J22121">
        <f>IFERROR(__xludf.DUMMYFUNCTION("""COMPUTED_VALUE"""),"200 Blvd Sacré-Coeur, Gatineau, QC")</f>
        <v/>
      </c>
      <c r="K22121">
        <f>IFERROR(__xludf.DUMMYFUNCTION("""COMPUTED_VALUE"""),14.52)</f>
        <v/>
      </c>
    </row>
    <row r="22122">
      <c r="J22122">
        <f>IFERROR(__xludf.DUMMYFUNCTION("""COMPUTED_VALUE"""),"165 Rue De L'hôtel-de-ville, Gatineau, Qc J8x 0a3, Canada")</f>
        <v/>
      </c>
      <c r="K22122">
        <f>IFERROR(__xludf.DUMMYFUNCTION("""COMPUTED_VALUE"""),14.46)</f>
        <v/>
      </c>
    </row>
    <row r="22123">
      <c r="J22123">
        <f>IFERROR(__xludf.DUMMYFUNCTION("""COMPUTED_VALUE"""),"Bath Iron Works Maine")</f>
        <v/>
      </c>
      <c r="K22123">
        <f>IFERROR(__xludf.DUMMYFUNCTION("""COMPUTED_VALUE"""),14.04)</f>
        <v/>
      </c>
    </row>
    <row r="22124">
      <c r="J22124">
        <f>IFERROR(__xludf.DUMMYFUNCTION("""COMPUTED_VALUE"""),"Edson, Alberta, Canada")</f>
        <v/>
      </c>
      <c r="K22124">
        <f>IFERROR(__xludf.DUMMYFUNCTION("""COMPUTED_VALUE"""),13.65)</f>
        <v/>
      </c>
    </row>
    <row r="22125">
      <c r="J22125">
        <f>IFERROR(__xludf.DUMMYFUNCTION("""COMPUTED_VALUE"""),"Mashteuiatsh")</f>
        <v/>
      </c>
      <c r="K22125">
        <f>IFERROR(__xludf.DUMMYFUNCTION("""COMPUTED_VALUE"""),13.56)</f>
        <v/>
      </c>
    </row>
    <row r="22126">
      <c r="J22126">
        <f>IFERROR(__xludf.DUMMYFUNCTION("""COMPUTED_VALUE"""),"Bedford NH and Concord NH")</f>
        <v/>
      </c>
      <c r="K22126">
        <f>IFERROR(__xludf.DUMMYFUNCTION("""COMPUTED_VALUE"""),13.5)</f>
        <v/>
      </c>
    </row>
    <row r="22127">
      <c r="J22127">
        <f>IFERROR(__xludf.DUMMYFUNCTION("""COMPUTED_VALUE"""),"Carleton University")</f>
        <v/>
      </c>
      <c r="K22127">
        <f>IFERROR(__xludf.DUMMYFUNCTION("""COMPUTED_VALUE"""),13.5)</f>
        <v/>
      </c>
    </row>
    <row r="22128">
      <c r="J22128">
        <f>IFERROR(__xludf.DUMMYFUNCTION("""COMPUTED_VALUE"""),"111 Sussex Drive, Ottawa, ON")</f>
        <v/>
      </c>
      <c r="K22128">
        <f>IFERROR(__xludf.DUMMYFUNCTION("""COMPUTED_VALUE"""),13.26)</f>
        <v/>
      </c>
    </row>
    <row r="22129">
      <c r="J22129">
        <f>IFERROR(__xludf.DUMMYFUNCTION("""COMPUTED_VALUE"""),"Canadian Museum of History, Gatineau, QC, Canada")</f>
        <v/>
      </c>
      <c r="K22129">
        <f>IFERROR(__xludf.DUMMYFUNCTION("""COMPUTED_VALUE"""),13)</f>
        <v/>
      </c>
    </row>
    <row r="22130">
      <c r="J22130">
        <f>IFERROR(__xludf.DUMMYFUNCTION("""COMPUTED_VALUE"""),"2 Rideau St, Ottawa, Ontario, Canada")</f>
        <v/>
      </c>
      <c r="K22130">
        <f>IFERROR(__xludf.DUMMYFUNCTION("""COMPUTED_VALUE"""),12.86)</f>
        <v/>
      </c>
    </row>
    <row r="22131">
      <c r="J22131">
        <f>IFERROR(__xludf.DUMMYFUNCTION("""COMPUTED_VALUE"""),"Lloydminster, Alberta, Canada; Camrose, Alberta, Canada")</f>
        <v/>
      </c>
      <c r="K22131">
        <f>IFERROR(__xludf.DUMMYFUNCTION("""COMPUTED_VALUE"""),12.85)</f>
        <v/>
      </c>
    </row>
    <row r="22132">
      <c r="J22132">
        <f>IFERROR(__xludf.DUMMYFUNCTION("""COMPUTED_VALUE"""),"200 Sacré-Cœur Blvd, Gatineau, Quebec, Canada")</f>
        <v/>
      </c>
      <c r="K22132">
        <f>IFERROR(__xludf.DUMMYFUNCTION("""COMPUTED_VALUE"""),12.65)</f>
        <v/>
      </c>
    </row>
    <row r="22133">
      <c r="J22133">
        <f>IFERROR(__xludf.DUMMYFUNCTION("""COMPUTED_VALUE"""),"Dorchester, NB")</f>
        <v/>
      </c>
      <c r="K22133">
        <f>IFERROR(__xludf.DUMMYFUNCTION("""COMPUTED_VALUE"""),12.43)</f>
        <v/>
      </c>
    </row>
    <row r="22134">
      <c r="J22134">
        <f>IFERROR(__xludf.DUMMYFUNCTION("""COMPUTED_VALUE"""),"Springhill, Nova Scotia")</f>
        <v/>
      </c>
      <c r="K22134">
        <f>IFERROR(__xludf.DUMMYFUNCTION("""COMPUTED_VALUE"""),12.43)</f>
        <v/>
      </c>
    </row>
    <row r="22135">
      <c r="J22135">
        <f>IFERROR(__xludf.DUMMYFUNCTION("""COMPUTED_VALUE"""),"219 Laurier Ave W, Ottawa, On K1p, Canada")</f>
        <v/>
      </c>
      <c r="K22135">
        <f>IFERROR(__xludf.DUMMYFUNCTION("""COMPUTED_VALUE"""),12.39)</f>
        <v/>
      </c>
    </row>
    <row r="22136">
      <c r="J22136">
        <f>IFERROR(__xludf.DUMMYFUNCTION("""COMPUTED_VALUE"""),"Library and Archives Canada, Salon B - Winifred Bambrick Ro")</f>
        <v/>
      </c>
      <c r="K22136">
        <f>IFERROR(__xludf.DUMMYFUNCTION("""COMPUTED_VALUE"""),12.15)</f>
        <v/>
      </c>
    </row>
    <row r="22137">
      <c r="J22137">
        <f>IFERROR(__xludf.DUMMYFUNCTION("""COMPUTED_VALUE"""),"111 Sussex Drive, Ottawa")</f>
        <v/>
      </c>
      <c r="K22137">
        <f>IFERROR(__xludf.DUMMYFUNCTION("""COMPUTED_VALUE"""),12)</f>
        <v/>
      </c>
    </row>
    <row r="22138">
      <c r="J22138">
        <f>IFERROR(__xludf.DUMMYFUNCTION("""COMPUTED_VALUE"""),"Hanscomb AFB, MA")</f>
        <v/>
      </c>
      <c r="K22138">
        <f>IFERROR(__xludf.DUMMYFUNCTION("""COMPUTED_VALUE"""),12)</f>
        <v/>
      </c>
    </row>
    <row r="22139">
      <c r="J22139">
        <f>IFERROR(__xludf.DUMMYFUNCTION("""COMPUTED_VALUE"""),"Kitchener, ON,")</f>
        <v/>
      </c>
      <c r="K22139">
        <f>IFERROR(__xludf.DUMMYFUNCTION("""COMPUTED_VALUE"""),12)</f>
        <v/>
      </c>
    </row>
    <row r="22140">
      <c r="J22140">
        <f>IFERROR(__xludf.DUMMYFUNCTION("""COMPUTED_VALUE"""),"Lowell, MA")</f>
        <v/>
      </c>
      <c r="K22140">
        <f>IFERROR(__xludf.DUMMYFUNCTION("""COMPUTED_VALUE"""),12)</f>
        <v/>
      </c>
    </row>
    <row r="22141">
      <c r="J22141">
        <f>IFERROR(__xludf.DUMMYFUNCTION("""COMPUTED_VALUE"""),"St-Gédéon")</f>
        <v/>
      </c>
      <c r="K22141">
        <f>IFERROR(__xludf.DUMMYFUNCTION("""COMPUTED_VALUE"""),12)</f>
        <v/>
      </c>
    </row>
    <row r="22142">
      <c r="J22142">
        <f>IFERROR(__xludf.DUMMYFUNCTION("""COMPUTED_VALUE"""),"Normandin")</f>
        <v/>
      </c>
      <c r="K22142">
        <f>IFERROR(__xludf.DUMMYFUNCTION("""COMPUTED_VALUE"""),11.85)</f>
        <v/>
      </c>
    </row>
    <row r="22143">
      <c r="J22143">
        <f>IFERROR(__xludf.DUMMYFUNCTION("""COMPUTED_VALUE"""),"Woonsocket, Rhode Island")</f>
        <v/>
      </c>
      <c r="K22143">
        <f>IFERROR(__xludf.DUMMYFUNCTION("""COMPUTED_VALUE"""),11.85)</f>
        <v/>
      </c>
    </row>
    <row r="22144">
      <c r="J22144">
        <f>IFERROR(__xludf.DUMMYFUNCTION("""COMPUTED_VALUE"""),"October 24 - Jerusalem")</f>
        <v/>
      </c>
      <c r="K22144">
        <f>IFERROR(__xludf.DUMMYFUNCTION("""COMPUTED_VALUE"""),11.83)</f>
        <v/>
      </c>
    </row>
    <row r="22145">
      <c r="J22145">
        <f>IFERROR(__xludf.DUMMYFUNCTION("""COMPUTED_VALUE"""),"15 Rue Eddy, Gatineau, Qc K1a 0n9, Canada")</f>
        <v/>
      </c>
      <c r="K22145">
        <f>IFERROR(__xludf.DUMMYFUNCTION("""COMPUTED_VALUE"""),11.79)</f>
        <v/>
      </c>
    </row>
    <row r="22146">
      <c r="J22146">
        <f>IFERROR(__xludf.DUMMYFUNCTION("""COMPUTED_VALUE"""),"Sept 10 - Jerusalem")</f>
        <v/>
      </c>
      <c r="K22146">
        <f>IFERROR(__xludf.DUMMYFUNCTION("""COMPUTED_VALUE"""),11.5)</f>
        <v/>
      </c>
    </row>
    <row r="22147">
      <c r="J22147">
        <f>IFERROR(__xludf.DUMMYFUNCTION("""COMPUTED_VALUE"""),"White House")</f>
        <v/>
      </c>
      <c r="K22147">
        <f>IFERROR(__xludf.DUMMYFUNCTION("""COMPUTED_VALUE"""),10.93)</f>
        <v/>
      </c>
    </row>
    <row r="22148">
      <c r="J22148">
        <f>IFERROR(__xludf.DUMMYFUNCTION("""COMPUTED_VALUE"""),"200 Rue Montcalm, Gatineau, Qc J8y 3b5, Canada")</f>
        <v/>
      </c>
      <c r="K22148">
        <f>IFERROR(__xludf.DUMMYFUNCTION("""COMPUTED_VALUE"""),10.84)</f>
        <v/>
      </c>
    </row>
    <row r="22149">
      <c r="J22149">
        <f>IFERROR(__xludf.DUMMYFUNCTION("""COMPUTED_VALUE"""),"Stony Mountain")</f>
        <v/>
      </c>
      <c r="K22149">
        <f>IFERROR(__xludf.DUMMYFUNCTION("""COMPUTED_VALUE"""),10.81)</f>
        <v/>
      </c>
    </row>
    <row r="22150">
      <c r="J22150">
        <f>IFERROR(__xludf.DUMMYFUNCTION("""COMPUTED_VALUE"""),"Cantley, QC")</f>
        <v/>
      </c>
      <c r="K22150">
        <f>IFERROR(__xludf.DUMMYFUNCTION("""COMPUTED_VALUE"""),10.5)</f>
        <v/>
      </c>
    </row>
    <row r="22151">
      <c r="J22151">
        <f>IFERROR(__xludf.DUMMYFUNCTION("""COMPUTED_VALUE"""),"Lac-à-l'épaule, Québec, Canada")</f>
        <v/>
      </c>
      <c r="K22151">
        <f>IFERROR(__xludf.DUMMYFUNCTION("""COMPUTED_VALUE"""),10.35)</f>
        <v/>
      </c>
    </row>
    <row r="22152">
      <c r="J22152">
        <f>IFERROR(__xludf.DUMMYFUNCTION("""COMPUTED_VALUE"""),"National Arts Centre, Ottawa")</f>
        <v/>
      </c>
      <c r="K22152">
        <f>IFERROR(__xludf.DUMMYFUNCTION("""COMPUTED_VALUE"""),10)</f>
        <v/>
      </c>
    </row>
    <row r="22153">
      <c r="J22153">
        <f>IFERROR(__xludf.DUMMYFUNCTION("""COMPUTED_VALUE"""),"373 Sussex Dr, Ottawa, Ontario, Canada")</f>
        <v/>
      </c>
      <c r="K22153">
        <f>IFERROR(__xludf.DUMMYFUNCTION("""COMPUTED_VALUE"""),9.75)</f>
        <v/>
      </c>
    </row>
    <row r="22154">
      <c r="J22154">
        <f>IFERROR(__xludf.DUMMYFUNCTION("""COMPUTED_VALUE"""),"Carleton University, Ottawa")</f>
        <v/>
      </c>
      <c r="K22154">
        <f>IFERROR(__xludf.DUMMYFUNCTION("""COMPUTED_VALUE"""),9)</f>
        <v/>
      </c>
    </row>
    <row r="22155">
      <c r="J22155">
        <f>IFERROR(__xludf.DUMMYFUNCTION("""COMPUTED_VALUE"""),"Thornhill and North York, Ontario")</f>
        <v/>
      </c>
      <c r="K22155">
        <f>IFERROR(__xludf.DUMMYFUNCTION("""COMPUTED_VALUE"""),9)</f>
        <v/>
      </c>
    </row>
    <row r="22156">
      <c r="J22156">
        <f>IFERROR(__xludf.DUMMYFUNCTION("""COMPUTED_VALUE"""),"Chateau Laurier")</f>
        <v/>
      </c>
      <c r="K22156">
        <f>IFERROR(__xludf.DUMMYFUNCTION("""COMPUTED_VALUE"""),8)</f>
        <v/>
      </c>
    </row>
    <row r="22157">
      <c r="J22157">
        <f>IFERROR(__xludf.DUMMYFUNCTION("""COMPUTED_VALUE"""),"Otttawa, Canada")</f>
        <v/>
      </c>
      <c r="K22157">
        <f>IFERROR(__xludf.DUMMYFUNCTION("""COMPUTED_VALUE"""),7)</f>
        <v/>
      </c>
    </row>
    <row r="22158">
      <c r="J22158">
        <f>IFERROR(__xludf.DUMMYFUNCTION("""COMPUTED_VALUE"""),"Moncton, New Brunswick, Canada; Hampton, New Brunswick, Canada; Grand-Sault, New Brunswick, Canada; Fredericton, New Brunswick, Canada")</f>
        <v/>
      </c>
      <c r="K22158">
        <f>IFERROR(__xludf.DUMMYFUNCTION("""COMPUTED_VALUE"""),5.95)</f>
        <v/>
      </c>
    </row>
    <row r="22159">
      <c r="J22159">
        <f>IFERROR(__xludf.DUMMYFUNCTION("""COMPUTED_VALUE"""),"City of Westmount, Quebec, Canada")</f>
        <v/>
      </c>
      <c r="K22159">
        <f>IFERROR(__xludf.DUMMYFUNCTION("""COMPUTED_VALUE"""),4.5)</f>
        <v/>
      </c>
    </row>
    <row r="22160">
      <c r="J22160">
        <f>IFERROR(__xludf.DUMMYFUNCTION("""COMPUTED_VALUE"""),"361 Queen St., Ottawa")</f>
        <v/>
      </c>
      <c r="K22160">
        <f>IFERROR(__xludf.DUMMYFUNCTION("""COMPUTED_VALUE"""),3.75)</f>
        <v/>
      </c>
    </row>
    <row r="22161">
      <c r="J22161">
        <f>IFERROR(__xludf.DUMMYFUNCTION("""COMPUTED_VALUE"""),"3522 International Cr NW")</f>
        <v/>
      </c>
      <c r="K22161">
        <f>IFERROR(__xludf.DUMMYFUNCTION("""COMPUTED_VALUE"""),3.09)</f>
        <v/>
      </c>
    </row>
    <row r="22162">
      <c r="J22162">
        <f>IFERROR(__xludf.DUMMYFUNCTION("""COMPUTED_VALUE"""),"1818 H St NW")</f>
        <v/>
      </c>
      <c r="K22162">
        <f>IFERROR(__xludf.DUMMYFUNCTION("""COMPUTED_VALUE"""),2.84)</f>
        <v/>
      </c>
    </row>
    <row r="22163">
      <c r="J22163">
        <f>IFERROR(__xludf.DUMMYFUNCTION("""COMPUTED_VALUE"""),"1616 Rhode Island Ave NW")</f>
        <v/>
      </c>
      <c r="K22163">
        <f>IFERROR(__xludf.DUMMYFUNCTION("""COMPUTED_VALUE"""),2.77)</f>
        <v/>
      </c>
    </row>
    <row r="22164">
      <c r="J22164">
        <f>IFERROR(__xludf.DUMMYFUNCTION("""COMPUTED_VALUE"""),"901 Massachusetts Ave NW")</f>
        <v/>
      </c>
      <c r="K22164">
        <f>IFERROR(__xludf.DUMMYFUNCTION("""COMPUTED_VALUE"""),2.54)</f>
        <v/>
      </c>
    </row>
    <row r="22165">
      <c r="J22165">
        <f>IFERROR(__xludf.DUMMYFUNCTION("""COMPUTED_VALUE"""),"Angus, Ontario Canada")</f>
        <v/>
      </c>
      <c r="K22165">
        <f>IFERROR(__xludf.DUMMYFUNCTION("""COMPUTED_VALUE"""),0)</f>
        <v/>
      </c>
    </row>
    <row r="22166">
      <c r="J22166">
        <f>IFERROR(__xludf.DUMMYFUNCTION("""COMPUTED_VALUE"""),"Berlin, Frankfurt, Germany")</f>
        <v/>
      </c>
      <c r="K22166">
        <f>IFERROR(__xludf.DUMMYFUNCTION("""COMPUTED_VALUE"""),0)</f>
        <v/>
      </c>
    </row>
    <row r="22167">
      <c r="J22167">
        <f>IFERROR(__xludf.DUMMYFUNCTION("""COMPUTED_VALUE"""),"Bordeaux &amp; Biarritz, France")</f>
        <v/>
      </c>
      <c r="K22167">
        <f>IFERROR(__xludf.DUMMYFUNCTION("""COMPUTED_VALUE"""),0)</f>
        <v/>
      </c>
    </row>
    <row r="22168">
      <c r="J22168">
        <f>IFERROR(__xludf.DUMMYFUNCTION("""COMPUTED_VALUE"""),"Brunssum - Netherlands Geilenkirchen - Germnay")</f>
        <v/>
      </c>
      <c r="K22168">
        <f>IFERROR(__xludf.DUMMYFUNCTION("""COMPUTED_VALUE"""),0)</f>
        <v/>
      </c>
    </row>
    <row r="22169">
      <c r="J22169">
        <f>IFERROR(__xludf.DUMMYFUNCTION("""COMPUTED_VALUE"""),"Davos, Geneva")</f>
        <v/>
      </c>
      <c r="K22169">
        <f>IFERROR(__xludf.DUMMYFUNCTION("""COMPUTED_VALUE"""),0)</f>
        <v/>
      </c>
    </row>
    <row r="22170">
      <c r="J22170">
        <f>IFERROR(__xludf.DUMMYFUNCTION("""COMPUTED_VALUE"""),"Dubai (UAE), Doha (Qatar)")</f>
        <v/>
      </c>
      <c r="K22170">
        <f>IFERROR(__xludf.DUMMYFUNCTION("""COMPUTED_VALUE"""),0)</f>
        <v/>
      </c>
    </row>
    <row r="22171">
      <c r="J22171">
        <f>IFERROR(__xludf.DUMMYFUNCTION("""COMPUTED_VALUE"""),"Halifax, NS
Goose Bay, NL")</f>
        <v/>
      </c>
      <c r="K22171">
        <f>IFERROR(__xludf.DUMMYFUNCTION("""COMPUTED_VALUE"""),0)</f>
        <v/>
      </c>
    </row>
    <row r="22172">
      <c r="J22172">
        <f>IFERROR(__xludf.DUMMYFUNCTION("""COMPUTED_VALUE"""),"Halifax, Nova scotia")</f>
        <v/>
      </c>
      <c r="K22172">
        <f>IFERROR(__xludf.DUMMYFUNCTION("""COMPUTED_VALUE"""),0)</f>
        <v/>
      </c>
    </row>
    <row r="22173">
      <c r="J22173">
        <f>IFERROR(__xludf.DUMMYFUNCTION("""COMPUTED_VALUE"""),"Helsinki and Rovaniemi, Finland")</f>
        <v/>
      </c>
      <c r="K22173">
        <f>IFERROR(__xludf.DUMMYFUNCTION("""COMPUTED_VALUE"""),0)</f>
        <v/>
      </c>
    </row>
    <row r="22174">
      <c r="J22174">
        <f>IFERROR(__xludf.DUMMYFUNCTION("""COMPUTED_VALUE"""),"KFOR, Kosovo")</f>
        <v/>
      </c>
      <c r="K22174">
        <f>IFERROR(__xludf.DUMMYFUNCTION("""COMPUTED_VALUE"""),0)</f>
        <v/>
      </c>
    </row>
    <row r="22175">
      <c r="J22175">
        <f>IFERROR(__xludf.DUMMYFUNCTION("""COMPUTED_VALUE"""),"Kenya, Nairobi")</f>
        <v/>
      </c>
      <c r="K22175">
        <f>IFERROR(__xludf.DUMMYFUNCTION("""COMPUTED_VALUE"""),0)</f>
        <v/>
      </c>
    </row>
    <row r="22176">
      <c r="J22176">
        <f>IFERROR(__xludf.DUMMYFUNCTION("""COMPUTED_VALUE"""),"Kosovo")</f>
        <v/>
      </c>
      <c r="K22176">
        <f>IFERROR(__xludf.DUMMYFUNCTION("""COMPUTED_VALUE"""),0)</f>
        <v/>
      </c>
    </row>
    <row r="22177">
      <c r="J22177">
        <f>IFERROR(__xludf.DUMMYFUNCTION("""COMPUTED_VALUE"""),"LINE CANCELLED")</f>
        <v/>
      </c>
      <c r="K22177">
        <f>IFERROR(__xludf.DUMMYFUNCTION("""COMPUTED_VALUE"""),0)</f>
        <v/>
      </c>
    </row>
    <row r="22178">
      <c r="J22178">
        <f>IFERROR(__xludf.DUMMYFUNCTION("""COMPUTED_VALUE"""),"Milano Cortina, Italy")</f>
        <v/>
      </c>
      <c r="K22178">
        <f>IFERROR(__xludf.DUMMYFUNCTION("""COMPUTED_VALUE"""),0)</f>
        <v/>
      </c>
    </row>
    <row r="22179">
      <c r="J22179">
        <f>IFERROR(__xludf.DUMMYFUNCTION("""COMPUTED_VALUE"""),"NIL")</f>
        <v/>
      </c>
      <c r="K22179">
        <f>IFERROR(__xludf.DUMMYFUNCTION("""COMPUTED_VALUE"""),0)</f>
        <v/>
      </c>
    </row>
    <row r="22180">
      <c r="J22180">
        <f>IFERROR(__xludf.DUMMYFUNCTION("""COMPUTED_VALUE"""),"No expense to report")</f>
        <v/>
      </c>
      <c r="K22180">
        <f>IFERROR(__xludf.DUMMYFUNCTION("""COMPUTED_VALUE"""),0)</f>
        <v/>
      </c>
    </row>
    <row r="22181">
      <c r="J22181">
        <f>IFERROR(__xludf.DUMMYFUNCTION("""COMPUTED_VALUE"""),"No expenses to report")</f>
        <v/>
      </c>
      <c r="K22181">
        <f>IFERROR(__xludf.DUMMYFUNCTION("""COMPUTED_VALUE"""),0)</f>
        <v/>
      </c>
    </row>
    <row r="22182">
      <c r="J22182">
        <f>IFERROR(__xludf.DUMMYFUNCTION("""COMPUTED_VALUE"""),"None")</f>
        <v/>
      </c>
      <c r="K22182">
        <f>IFERROR(__xludf.DUMMYFUNCTION("""COMPUTED_VALUE"""),0)</f>
        <v/>
      </c>
    </row>
    <row r="22183">
      <c r="J22183">
        <f>IFERROR(__xludf.DUMMYFUNCTION("""COMPUTED_VALUE"""),"Norfolk Naval Station, Norfolk, VA")</f>
        <v/>
      </c>
      <c r="K22183">
        <f>IFERROR(__xludf.DUMMYFUNCTION("""COMPUTED_VALUE"""),0)</f>
        <v/>
      </c>
    </row>
    <row r="22184">
      <c r="J22184">
        <f>IFERROR(__xludf.DUMMYFUNCTION("""COMPUTED_VALUE"""),"Ottawa/Montréal")</f>
        <v/>
      </c>
      <c r="K22184">
        <f>IFERROR(__xludf.DUMMYFUNCTION("""COMPUTED_VALUE"""),0)</f>
        <v/>
      </c>
    </row>
    <row r="22185">
      <c r="J22185">
        <f>IFERROR(__xludf.DUMMYFUNCTION("""COMPUTED_VALUE"""),"Saguenay and Riviere du Loup")</f>
        <v/>
      </c>
      <c r="K22185">
        <f>IFERROR(__xludf.DUMMYFUNCTION("""COMPUTED_VALUE"""),0)</f>
        <v/>
      </c>
    </row>
    <row r="22186">
      <c r="J22186">
        <f>IFERROR(__xludf.DUMMYFUNCTION("""COMPUTED_VALUE"""),"Saint-Jean sur Richelieu, Quebec, Canada")</f>
        <v/>
      </c>
      <c r="K22186">
        <f>IFERROR(__xludf.DUMMYFUNCTION("""COMPUTED_VALUE"""),0)</f>
        <v/>
      </c>
    </row>
    <row r="22187">
      <c r="J22187">
        <f>IFERROR(__xludf.DUMMYFUNCTION("""COMPUTED_VALUE"""),"Sasktoon, Saskatchwan, Canada")</f>
        <v/>
      </c>
      <c r="K22187">
        <f>IFERROR(__xludf.DUMMYFUNCTION("""COMPUTED_VALUE"""),0)</f>
        <v/>
      </c>
    </row>
    <row r="22188">
      <c r="J22188">
        <f>IFERROR(__xludf.DUMMYFUNCTION("""COMPUTED_VALUE"""),"Scotland")</f>
        <v/>
      </c>
      <c r="K22188">
        <f>IFERROR(__xludf.DUMMYFUNCTION("""COMPUTED_VALUE"""),0)</f>
        <v/>
      </c>
    </row>
    <row r="22189">
      <c r="J22189">
        <f>IFERROR(__xludf.DUMMYFUNCTION("""COMPUTED_VALUE"""),"St. Jean (Quebec) Canada")</f>
        <v/>
      </c>
      <c r="K22189">
        <f>IFERROR(__xludf.DUMMYFUNCTION("""COMPUTED_VALUE"""),0)</f>
        <v/>
      </c>
    </row>
    <row r="22190">
      <c r="J22190">
        <f>IFERROR(__xludf.DUMMYFUNCTION("""COMPUTED_VALUE"""),"Stockholm, Malmo, Gothenburg, Sweden")</f>
        <v/>
      </c>
      <c r="K22190">
        <f>IFERROR(__xludf.DUMMYFUNCTION("""COMPUTED_VALUE"""),0)</f>
        <v/>
      </c>
    </row>
    <row r="22191">
      <c r="J22191">
        <f>IFERROR(__xludf.DUMMYFUNCTION("""COMPUTED_VALUE"""),"Test")</f>
        <v/>
      </c>
      <c r="K22191">
        <f>IFERROR(__xludf.DUMMYFUNCTION("""COMPUTED_VALUE"""),0)</f>
        <v/>
      </c>
    </row>
    <row r="22192">
      <c r="J22192">
        <f>IFERROR(__xludf.DUMMYFUNCTION("""COMPUTED_VALUE"""),"Thunder Bay / Ottawa, Ontario, Canada")</f>
        <v/>
      </c>
      <c r="K22192">
        <f>IFERROR(__xludf.DUMMYFUNCTION("""COMPUTED_VALUE"""),0)</f>
        <v/>
      </c>
    </row>
    <row r="22193">
      <c r="J22193">
        <f>IFERROR(__xludf.DUMMYFUNCTION("""COMPUTED_VALUE"""),"Trapani, Italy")</f>
        <v/>
      </c>
      <c r="K22193">
        <f>IFERROR(__xludf.DUMMYFUNCTION("""COMPUTED_VALUE"""),0)</f>
        <v/>
      </c>
    </row>
    <row r="22194">
      <c r="J22194">
        <f>IFERROR(__xludf.DUMMYFUNCTION("""COMPUTED_VALUE"""),"US Northeast corridor: PA, MA, NY &amp; ME")</f>
        <v/>
      </c>
      <c r="K22194">
        <f>IFERROR(__xludf.DUMMYFUNCTION("""COMPUTED_VALUE"""),0)</f>
        <v/>
      </c>
    </row>
    <row r="22195">
      <c r="J22195">
        <f>IFERROR(__xludf.DUMMYFUNCTION("""COMPUTED_VALUE"""),"Vatican City, Rome, Italy")</f>
        <v/>
      </c>
      <c r="K22195">
        <f>IFERROR(__xludf.DUMMYFUNCTION("""COMPUTED_VALUE"""),0)</f>
        <v/>
      </c>
    </row>
    <row r="22196">
      <c r="J22196">
        <f>IFERROR(__xludf.DUMMYFUNCTION("""COMPUTED_VALUE"""),"Wageningen, Gelderland, Netherlands")</f>
        <v/>
      </c>
      <c r="K22196">
        <f>IFERROR(__xludf.DUMMYFUNCTION("""COMPUTED_VALUE"""),0)</f>
        <v/>
      </c>
    </row>
    <row r="22197">
      <c r="J22197">
        <f>IFERROR(__xludf.DUMMYFUNCTION("""COMPUTED_VALUE"""),"Yakutsk, and Moscow, Russia")</f>
        <v/>
      </c>
      <c r="K22197">
        <f>IFERROR(__xludf.DUMMYFUNCTION("""COMPUTED_VALUE"""),0)</f>
        <v/>
      </c>
    </row>
    <row r="22198">
      <c r="J22198">
        <f>IFERROR(__xludf.DUMMYFUNCTION("""COMPUTED_VALUE"""),"nil")</f>
        <v/>
      </c>
      <c r="K22198">
        <f>IFERROR(__xludf.DUMMYFUNCTION("""COMPUTED_VALUE"""),0)</f>
        <v/>
      </c>
    </row>
    <row r="22199">
      <c r="J22199">
        <f>IFERROR(__xludf.DUMMYFUNCTION("""COMPUTED_VALUE"""),"Nevada, USA")</f>
        <v/>
      </c>
      <c r="K22199">
        <f>IFERROR(__xludf.DUMMYFUNCTION("""COMPUTED_VALUE"""),-1274.47)</f>
        <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50"/>
  <sheetViews>
    <sheetView workbookViewId="0">
      <selection activeCell="A1" sqref="A1"/>
    </sheetView>
  </sheetViews>
  <sheetFormatPr baseColWidth="8" defaultRowHeight="15"/>
  <sheetData>
    <row r="1">
      <c r="E1" t="inlineStr">
        <is>
          <t>Travel Expense Analytics Dashboard</t>
        </is>
      </c>
    </row>
    <row r="2">
      <c r="A2" t="inlineStr">
        <is>
          <t>KPI</t>
        </is>
      </c>
      <c r="B2" t="inlineStr">
        <is>
          <t>Value</t>
        </is>
      </c>
    </row>
    <row r="3">
      <c r="A3" t="inlineStr">
        <is>
          <t>Total Travel Records</t>
        </is>
      </c>
      <c r="B3">
        <f>Analysis!B2</f>
        <v/>
      </c>
    </row>
    <row r="4">
      <c r="A4" t="inlineStr">
        <is>
          <t>Total Travel Expense</t>
        </is>
      </c>
      <c r="B4">
        <f>Analysis!B3</f>
        <v/>
      </c>
    </row>
    <row r="5">
      <c r="A5" t="inlineStr">
        <is>
          <t>Average Travel Expense</t>
        </is>
      </c>
      <c r="B5">
        <f>Analysis!B4</f>
        <v/>
      </c>
    </row>
    <row r="6">
      <c r="A6" t="inlineStr">
        <is>
          <t>Maximum Travel Expense</t>
        </is>
      </c>
      <c r="B6">
        <f>Analysis!B5</f>
        <v/>
      </c>
    </row>
    <row r="7">
      <c r="A7" t="inlineStr">
        <is>
          <t>Average Travel Days</t>
        </is>
      </c>
      <c r="B7">
        <f>Analysis!B13</f>
        <v/>
      </c>
    </row>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c r="A50" t="inlineStr">
        <is>
          <t>Recommendations
Focus on airfare cost optimization through advance booking and travel policy controls.
Monitor high-spending destinations such as Toronto and Ottawa.
Review departments with unusually high travel expenses.
Improve data completeness, especially for Other Expenses and Airfare.
Investigate the records flagged for data-quality and scale issues before making final budget decisions.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4"/>
  <sheetViews>
    <sheetView workbookViewId="0">
      <selection activeCell="A1" sqref="A1"/>
    </sheetView>
  </sheetViews>
  <sheetFormatPr baseColWidth="8" defaultRowHeight="15"/>
  <sheetData>
    <row r="1">
      <c r="A1" t="inlineStr">
        <is>
          <t>GitHub Portfolio Version</t>
        </is>
      </c>
    </row>
    <row r="2">
      <c r="A2" t="inlineStr">
        <is>
          <t>Raw_Data and Cleaned_Data contain a 5,000-row sample to keep the workbook lightweight.</t>
        </is>
      </c>
    </row>
    <row r="3">
      <c r="A3" t="inlineStr">
        <is>
          <t>The original full workbook remains unchanged on the user's computer.</t>
        </is>
      </c>
    </row>
    <row r="4">
      <c r="A4" t="inlineStr">
        <is>
          <t>Summary, Analysis, and Dashboard sheets are retained for portfolio demonstration.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2026-09-18T12:54:40Z</dcterms:created>
  <dcterms:modified xmlns:dcterms="http://purl.org/dc/terms/" xmlns:xsi="http://www.w3.org/2001/XMLSchema-instance" xsi:type="dcterms:W3CDTF">2026-09-18T12:54:43Z</dcterms:modified>
</cp:coreProperties>
</file>